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6.xml"/>
  <Override ContentType="application/vnd.openxmlformats-officedocument.spreadsheetml.pivotCacheDefinition+xml" PartName="/xl/pivotCache/pivotCacheDefinition5.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2.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Override ContentType="application/vnd.openxmlformats-officedocument.custom-properties+xml" PartName="/docProps/custom.xml"/>
</Types>
</file>

<file path=_rels/.rels><?xml version="1.0" encoding="UTF-8" standalone="yes" ?><Relationships xmlns="http://schemas.openxmlformats.org/package/2006/relationships"><Relationship Id="rId1" Target="xl/workbook.xml" Type="http://schemas.openxmlformats.org/officeDocument/2006/relationships/officeDocument"/><Relationship Id="rId2"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 state="visible" name="DAILY REPORT" sheetId="2" r:id="rId6"/>
    <sheet state="visible" name="DATABASE" sheetId="3" r:id="rId7"/>
    <sheet state="visible" name="EXPENSES" sheetId="4" r:id="rId8"/>
    <sheet state="visible" name="Sheet21" sheetId="5" r:id="rId9"/>
    <sheet state="visible" name="PURCHASE" sheetId="6" r:id="rId10"/>
    <sheet state="visible" name="TRANSACTION" sheetId="7" r:id="rId11"/>
    <sheet state="hidden" name="DATA_PIVOT" sheetId="8" r:id="rId12"/>
    <sheet state="visible" name="SELLING CASH" sheetId="9" r:id="rId13"/>
    <sheet state="visible" name="PAYMENT SUPPLIER" sheetId="10" r:id="rId14"/>
    <sheet state="visible" name="SELLING CREDIT" sheetId="11" r:id="rId15"/>
    <sheet state="visible" name="REPORT" sheetId="12" r:id="rId16"/>
    <sheet state="visible" name="TRANSFER" sheetId="13" r:id="rId17"/>
    <sheet state="visible" name="PAYMENT CREDIT" sheetId="14" r:id="rId18"/>
  </sheets>
  <definedNames>
    <definedName hidden="1" localSheetId="1" name="_xlnm._FilterDatabase">'DAILY REPORT'!$L$2:$W$37</definedName>
    <definedName hidden="1" localSheetId="2" name="_xlnm._FilterDatabase">DATABASE!$C$1:$Q$501</definedName>
    <definedName hidden="1" localSheetId="3" name="_xlnm._FilterDatabase">EXPENSES!$C$1:$G$2005</definedName>
    <definedName hidden="1" localSheetId="4" name="_xlnm._FilterDatabase">Sheet21!$T$3:$W$11</definedName>
    <definedName hidden="1" localSheetId="5" name="_xlnm._FilterDatabase">PURCHASE!$C$1:$Q$2003</definedName>
    <definedName hidden="1" localSheetId="8" name="_xlnm._FilterDatabase">'SELLING CASH'!$C$1:$R$11236</definedName>
    <definedName hidden="1" localSheetId="9" name="_xlnm._FilterDatabase">'PAYMENT SUPPLIER'!$C$1:$E$2002</definedName>
    <definedName hidden="1" localSheetId="10" name="_xlnm._FilterDatabase">'SELLING CREDIT'!$C$1:$T$2002</definedName>
    <definedName hidden="1" localSheetId="12" name="_xlnm._FilterDatabase">TRANSFER!$C$1:$F$2016</definedName>
    <definedName hidden="1" localSheetId="13" name="_xlnm._FilterDatabase">'PAYMENT CREDIT'!$C$1:$G$1002</definedName>
  </definedNames>
  <calcPr/>
  <pivotCaches>
    <pivotCache cacheId="0" r:id="rId19"/>
    <pivotCache cacheId="1" r:id="rId20"/>
    <pivotCache cacheId="2" r:id="rId21"/>
    <pivotCache cacheId="3" r:id="rId22"/>
    <pivotCache cacheId="4" r:id="rId23"/>
    <pivotCache cacheId="5" r:id="rId24"/>
  </pivotCaches>
</workbook>
</file>

<file path=xl/sharedStrings.xml><?xml version="1.0" encoding="utf-8"?>
<sst xmlns="http://schemas.openxmlformats.org/spreadsheetml/2006/main" count="33083" uniqueCount="2946">
  <si>
    <t>-</t>
  </si>
  <si>
    <t xml:space="preserve">                                                                                                                                                                         </t>
  </si>
  <si>
    <t xml:space="preserve"> </t>
  </si>
  <si>
    <t>Month</t>
  </si>
  <si>
    <t>September</t>
  </si>
  <si>
    <t>GRAND TOTAL</t>
  </si>
  <si>
    <t xml:space="preserve">                                                                                                                                                                                                                                                                                                                                                                                                                                                                                                                                                                                </t>
  </si>
  <si>
    <t>BIAN</t>
  </si>
  <si>
    <t>Date</t>
  </si>
  <si>
    <t>Tanggal</t>
  </si>
  <si>
    <t>Amount</t>
  </si>
  <si>
    <t>CASH</t>
  </si>
  <si>
    <t>Item</t>
  </si>
  <si>
    <t>Explain</t>
  </si>
  <si>
    <t>TEMPO</t>
  </si>
  <si>
    <t>Category</t>
  </si>
  <si>
    <t>Jumlah</t>
  </si>
  <si>
    <t>Payment</t>
  </si>
  <si>
    <t>Size</t>
  </si>
  <si>
    <t>TOTAL</t>
  </si>
  <si>
    <t>Tipe</t>
  </si>
  <si>
    <t>Brand</t>
  </si>
  <si>
    <t>oil</t>
  </si>
  <si>
    <t>Stock</t>
  </si>
  <si>
    <t>Selling Price</t>
  </si>
  <si>
    <t>Cost Price</t>
  </si>
  <si>
    <t>Owned by</t>
  </si>
  <si>
    <t>TAX</t>
  </si>
  <si>
    <t>Service Fee</t>
  </si>
  <si>
    <t>IN</t>
  </si>
  <si>
    <t>Report</t>
  </si>
  <si>
    <t>Credit</t>
  </si>
  <si>
    <t>FINAL</t>
  </si>
  <si>
    <t xml:space="preserve">Detail </t>
  </si>
  <si>
    <t>code</t>
  </si>
  <si>
    <t>Modal</t>
  </si>
  <si>
    <t>Laba</t>
  </si>
  <si>
    <t>Spooring</t>
  </si>
  <si>
    <t>Customer Name</t>
  </si>
  <si>
    <t>Service fee</t>
  </si>
  <si>
    <t>Rokok Bian ke Indaramayu</t>
  </si>
  <si>
    <t>Personal</t>
  </si>
  <si>
    <t>Cashier</t>
  </si>
  <si>
    <t>Out Standing Balance</t>
  </si>
  <si>
    <t>Admin mah nabil</t>
  </si>
  <si>
    <t>Store</t>
  </si>
  <si>
    <t>Revenue</t>
  </si>
  <si>
    <t/>
  </si>
  <si>
    <t>D-0022</t>
  </si>
  <si>
    <t>Bapak Velg</t>
  </si>
  <si>
    <t>Purchase</t>
  </si>
  <si>
    <t>Ibu kasih ke PKL</t>
  </si>
  <si>
    <t>Toko</t>
  </si>
  <si>
    <t>Ibu bayar ke mamah nabil</t>
  </si>
  <si>
    <t>Biaya service ka ade bian</t>
  </si>
  <si>
    <t>Accelera 165/60 14 eco plush</t>
  </si>
  <si>
    <t>165/60 14</t>
  </si>
  <si>
    <t>eco plush</t>
  </si>
  <si>
    <t>Accelera</t>
  </si>
  <si>
    <t>Ka Mah nabil</t>
  </si>
  <si>
    <t>Makanan burung</t>
  </si>
  <si>
    <t>Tire</t>
  </si>
  <si>
    <t>Tempe</t>
  </si>
  <si>
    <t>TAHUN</t>
  </si>
  <si>
    <t>Bensin Scoopy</t>
  </si>
  <si>
    <t>Penjualan</t>
  </si>
  <si>
    <t>Barang Keluar</t>
  </si>
  <si>
    <t>Pembelian</t>
  </si>
  <si>
    <t>Barang Masuk</t>
  </si>
  <si>
    <t>Laba Kotor</t>
  </si>
  <si>
    <t>Pengeluaran Tercatat</t>
  </si>
  <si>
    <t>Laba Bersih</t>
  </si>
  <si>
    <t>C-0001</t>
  </si>
  <si>
    <t>Bian sarapan ciomay</t>
  </si>
  <si>
    <t>Aartijaya Velvet</t>
  </si>
  <si>
    <t>Bian bensin</t>
  </si>
  <si>
    <t>Receivable Revenue</t>
  </si>
  <si>
    <t>Cat rambut bian</t>
  </si>
  <si>
    <t>Profit</t>
  </si>
  <si>
    <t>D-0001</t>
  </si>
  <si>
    <t>Kosentra/makanan ayam</t>
  </si>
  <si>
    <t>KHARISMA MAKMUR ABADI/PAK DADI</t>
  </si>
  <si>
    <t>nasi goreng bian</t>
  </si>
  <si>
    <t>Shopeefood Bian</t>
  </si>
  <si>
    <t>Accelera 165/65 13</t>
  </si>
  <si>
    <t>165/65 13</t>
  </si>
  <si>
    <t>Paket yang mah angel</t>
  </si>
  <si>
    <t>IBU</t>
  </si>
  <si>
    <t>PAKET UANG ke mah nabil</t>
  </si>
  <si>
    <t>Link</t>
  </si>
  <si>
    <t xml:space="preserve">  </t>
  </si>
  <si>
    <t>Shopee Ibu</t>
  </si>
  <si>
    <t>C-0002</t>
  </si>
  <si>
    <t>Bpk. Abah Agus/PACRT</t>
  </si>
  <si>
    <t xml:space="preserve">                                                                                                                                                                                                                                               </t>
  </si>
  <si>
    <t>D-0002</t>
  </si>
  <si>
    <t>WD 1</t>
  </si>
  <si>
    <t>TS. SUDIRMAN/NAUFAL</t>
  </si>
  <si>
    <t>BIAN COD</t>
  </si>
  <si>
    <t>BIAN cat rambut</t>
  </si>
  <si>
    <t>Transfer Payment</t>
  </si>
  <si>
    <t>Oil</t>
  </si>
  <si>
    <t>Accelera 165/80 13</t>
  </si>
  <si>
    <t>165/80 13</t>
  </si>
  <si>
    <t>Ibu belanja ke borma</t>
  </si>
  <si>
    <t>C-0003</t>
  </si>
  <si>
    <t>Bpk. Acep Cibeureum</t>
  </si>
  <si>
    <t>Ibu belanja ke bu oo</t>
  </si>
  <si>
    <t>D-0003</t>
  </si>
  <si>
    <t>Dangdang</t>
  </si>
  <si>
    <t>CV. MEKAR BARU/CI NOVI</t>
  </si>
  <si>
    <t>Expenses</t>
  </si>
  <si>
    <t>Makanan Ayam</t>
  </si>
  <si>
    <t xml:space="preserve">                                                         </t>
  </si>
  <si>
    <t>Kispray</t>
  </si>
  <si>
    <t>Accelera 175/13</t>
  </si>
  <si>
    <t>175/13</t>
  </si>
  <si>
    <t>Isi token listrik</t>
  </si>
  <si>
    <t>C-0004</t>
  </si>
  <si>
    <t>Bpk. Aden Fahri/Cibeureum</t>
  </si>
  <si>
    <t>SUPIR G YEAR</t>
  </si>
  <si>
    <t>D-0004</t>
  </si>
  <si>
    <t>Detail Transfer</t>
  </si>
  <si>
    <t>SAMUDERA GEMILANG/PAK KEMAN</t>
  </si>
  <si>
    <t>BENSIN SCOOPY FULL TANK</t>
  </si>
  <si>
    <t>BASO KUTIL</t>
  </si>
  <si>
    <t>Accelera 175/65 14</t>
  </si>
  <si>
    <t>175/65 14</t>
  </si>
  <si>
    <t>bIAN CIOMAY</t>
  </si>
  <si>
    <t>Batagor Bian</t>
  </si>
  <si>
    <t>Nett cash</t>
  </si>
  <si>
    <t>C-0005</t>
  </si>
  <si>
    <t>Bpk. Adin Texas/Balekambang</t>
  </si>
  <si>
    <t>BCA</t>
  </si>
  <si>
    <t>Serbuk untuk minuman ayam</t>
  </si>
  <si>
    <t>D-0005</t>
  </si>
  <si>
    <t>MAJU BERSAMA MOTOR/ANDRI</t>
  </si>
  <si>
    <t>Bian makan</t>
  </si>
  <si>
    <t>Ibu beli petis nitip ka a ade</t>
  </si>
  <si>
    <t>Accelera 175/70 13</t>
  </si>
  <si>
    <t>175/70 13</t>
  </si>
  <si>
    <t>MODAL BIAN</t>
  </si>
  <si>
    <t>BRI</t>
  </si>
  <si>
    <t>C-0006</t>
  </si>
  <si>
    <t>Bpk. Agus Antasalam</t>
  </si>
  <si>
    <t>Bian ambil uang</t>
  </si>
  <si>
    <t>D-0006</t>
  </si>
  <si>
    <t>MUSTIKA ADI SEJAHTERA/PAK TEDDY</t>
  </si>
  <si>
    <t>Ibu belanja ke Griya buah bahu</t>
  </si>
  <si>
    <t>Obat bulanan Ibu - Kimia Farma</t>
  </si>
  <si>
    <t>Accelera 185/14</t>
  </si>
  <si>
    <t>185/14</t>
  </si>
  <si>
    <t>LABA bian</t>
  </si>
  <si>
    <t>Ibu Jajan Donat kepang</t>
  </si>
  <si>
    <t>DANAMON</t>
  </si>
  <si>
    <t>Solar Kijang</t>
  </si>
  <si>
    <t>C-0007</t>
  </si>
  <si>
    <t>Bpk. Aji Cibodas Solokan jeruk</t>
  </si>
  <si>
    <t>Sedekah bulanan rumah Yatim</t>
  </si>
  <si>
    <t>D-0007</t>
  </si>
  <si>
    <t>CV. KHARISMA TIARA ABADI/DICKY</t>
  </si>
  <si>
    <t>Ibu TF ke Kakak</t>
  </si>
  <si>
    <t>BNI</t>
  </si>
  <si>
    <t>Accelera 185/70 14</t>
  </si>
  <si>
    <t>185/70 14</t>
  </si>
  <si>
    <t>Makanan Anjing</t>
  </si>
  <si>
    <t>Layer</t>
  </si>
  <si>
    <t>C-0008</t>
  </si>
  <si>
    <t>Bpk. Amal Cikawao</t>
  </si>
  <si>
    <t>Service</t>
  </si>
  <si>
    <t>Bian roti bakar</t>
  </si>
  <si>
    <t>D-0008</t>
  </si>
  <si>
    <t>Bian seblak</t>
  </si>
  <si>
    <t>EDC</t>
  </si>
  <si>
    <t>PT. INDOTYRE MANDIRI SENTOSA</t>
  </si>
  <si>
    <t>Bian jajan</t>
  </si>
  <si>
    <t>kampas rem depan belakang scoopy</t>
  </si>
  <si>
    <t>Accelera 195/15</t>
  </si>
  <si>
    <t>195/15</t>
  </si>
  <si>
    <t>Gaji karyawan</t>
  </si>
  <si>
    <t>C-0009</t>
  </si>
  <si>
    <t>Bpk. Asep PSB/CIbeureum</t>
  </si>
  <si>
    <t>QRIS</t>
  </si>
  <si>
    <t>LInk</t>
  </si>
  <si>
    <t>D-0009</t>
  </si>
  <si>
    <t>CV. MULTIPRIMA INTI NUSANTARA</t>
  </si>
  <si>
    <t>Bian dan pak jejen ambil ban</t>
  </si>
  <si>
    <t>Bian jajan makroni</t>
  </si>
  <si>
    <t>Accelera 205/40 17</t>
  </si>
  <si>
    <t>205/40 17</t>
  </si>
  <si>
    <t>Bensin SCOOPY</t>
  </si>
  <si>
    <t>Cuangki</t>
  </si>
  <si>
    <t>C-0010</t>
  </si>
  <si>
    <t>Bpk. Bram</t>
  </si>
  <si>
    <t>Supir Dunlop</t>
  </si>
  <si>
    <t>Supir Advance</t>
  </si>
  <si>
    <t>D-0010</t>
  </si>
  <si>
    <t>Pajak Oktober bian</t>
  </si>
  <si>
    <t>PT. DIRGAPUTRA EKAPRATAMA</t>
  </si>
  <si>
    <t>Minyak</t>
  </si>
  <si>
    <t>Timah balancing 2</t>
  </si>
  <si>
    <t>ACCELERA 215/35 18 SIGMA</t>
  </si>
  <si>
    <t>215/35 18</t>
  </si>
  <si>
    <t>SIGMA</t>
  </si>
  <si>
    <t>ACCELERA</t>
  </si>
  <si>
    <t>Bian nasi goreng</t>
  </si>
  <si>
    <t>Ciomay sarapan bian</t>
  </si>
  <si>
    <t>C-0011</t>
  </si>
  <si>
    <t>Bpk. Cuplis</t>
  </si>
  <si>
    <t>Bian cukur rambut</t>
  </si>
  <si>
    <t>Ibu beli nagasari 2 bungkus</t>
  </si>
  <si>
    <t>Minuman</t>
  </si>
  <si>
    <t>D-0011</t>
  </si>
  <si>
    <t>CV. MEKAR PRATAMA BAN</t>
  </si>
  <si>
    <t>Pak Iyan ambil velg</t>
  </si>
  <si>
    <t>Obat bian</t>
  </si>
  <si>
    <t>SUM of QTY</t>
  </si>
  <si>
    <t>SUM of Coist Price Absolute</t>
  </si>
  <si>
    <t>SUM of Total</t>
  </si>
  <si>
    <t>SUM of Profit</t>
  </si>
  <si>
    <t>Telor ayam 1 kg</t>
  </si>
  <si>
    <t>Baso kutil</t>
  </si>
  <si>
    <t>Accelera 215/55 17</t>
  </si>
  <si>
    <t>215/55 17</t>
  </si>
  <si>
    <t>Pajak Oktober Ibu</t>
  </si>
  <si>
    <t>NOTE UANG THEO</t>
  </si>
  <si>
    <t>Bayar konsultan pajak</t>
  </si>
  <si>
    <t xml:space="preserve">Baut 15 </t>
  </si>
  <si>
    <t>Ongkir Lalamove</t>
  </si>
  <si>
    <t>Supir shell</t>
  </si>
  <si>
    <t>Solar</t>
  </si>
  <si>
    <t>C-0012</t>
  </si>
  <si>
    <t>NAMA CUSTOMER</t>
  </si>
  <si>
    <t>DATE</t>
  </si>
  <si>
    <t>Bpk. Dani Darmawan/Garduh Jaya</t>
  </si>
  <si>
    <t>SUM of AMOUNT</t>
  </si>
  <si>
    <t>SUM of PROFIT</t>
  </si>
  <si>
    <t>Barang</t>
  </si>
  <si>
    <t>Minuman obat dan makanan ayam</t>
  </si>
  <si>
    <t>Total</t>
  </si>
  <si>
    <t>Jenis Jasa</t>
  </si>
  <si>
    <t>Harga</t>
  </si>
  <si>
    <t>Komisi montir</t>
  </si>
  <si>
    <t>Pertamina Meditran SX 10 Liter</t>
  </si>
  <si>
    <t>Bakso dan mi ayam</t>
  </si>
  <si>
    <t>Advance 1000/20 GL662A+</t>
  </si>
  <si>
    <t>Bongkar Pasang</t>
  </si>
  <si>
    <t>2</t>
  </si>
  <si>
    <t>Pertamina Prima XP 20W-50 4 Liter</t>
  </si>
  <si>
    <t>Bpk. Eye</t>
  </si>
  <si>
    <t>BD 13 GT</t>
  </si>
  <si>
    <t>SERVICE</t>
  </si>
  <si>
    <t>Shell Helix HX5 15W-40 4 Liter</t>
  </si>
  <si>
    <t>D-0012</t>
  </si>
  <si>
    <t>Bpk. H Entang</t>
  </si>
  <si>
    <t>BD 15 GT</t>
  </si>
  <si>
    <t>SPOORING</t>
  </si>
  <si>
    <t>PT. Astra Otoparts Tbk</t>
  </si>
  <si>
    <t>Shell Helix HX6 10W-40 1 Liter</t>
  </si>
  <si>
    <t>Bpk. H Odang Pelered</t>
  </si>
  <si>
    <t>INPUS anjing</t>
  </si>
  <si>
    <t>Dunlop 155/80 12 SP10</t>
  </si>
  <si>
    <t>SPOORING SS/CARRY LOS BAK</t>
  </si>
  <si>
    <t>Shell Helix HX6 4 Liter</t>
  </si>
  <si>
    <t>Bpk. H. Ikhsan/Cibeureum</t>
  </si>
  <si>
    <t>Dunlop 165/13 LT5</t>
  </si>
  <si>
    <t>Grand Total</t>
  </si>
  <si>
    <t>Bpk. Tobi Cikitu</t>
  </si>
  <si>
    <t>Dunlop 175/13 LT5</t>
  </si>
  <si>
    <t>OLi</t>
  </si>
  <si>
    <t>Bpk. Ujang Baduy Wadat</t>
  </si>
  <si>
    <t>Dunlop 175/65 14 EC300</t>
  </si>
  <si>
    <t>Nama Barang</t>
  </si>
  <si>
    <t>Total Harga</t>
  </si>
  <si>
    <t>Bpk. Wisnu Pangauban</t>
  </si>
  <si>
    <t>Dunlop 185/14 LT5</t>
  </si>
  <si>
    <t>Dunlop 185/60 15 TOURING</t>
  </si>
  <si>
    <t>Reefed</t>
  </si>
  <si>
    <t>Accelera 225/40 19</t>
  </si>
  <si>
    <t>Dunlop 185/70 14 ENASEV</t>
  </si>
  <si>
    <t>225/40 19</t>
  </si>
  <si>
    <t>Dunlop 195/50 16 EC300</t>
  </si>
  <si>
    <t>Dunlop 205/65 15 EC300</t>
  </si>
  <si>
    <t>Paku</t>
  </si>
  <si>
    <t>Flap 15 Truckoor</t>
  </si>
  <si>
    <t>Pembayaran Tempo</t>
  </si>
  <si>
    <t>GT 165/80 13 ECOTEC</t>
  </si>
  <si>
    <t>GT 185/14 MAXMILLER</t>
  </si>
  <si>
    <t>GT 185/70 14 ECOTEC</t>
  </si>
  <si>
    <t>Bian baso tahu</t>
  </si>
  <si>
    <t>GT 195/65 15 ECOTEC</t>
  </si>
  <si>
    <t>GT 205/70 15 ECOTEC</t>
  </si>
  <si>
    <t>GT 500/12 8PR</t>
  </si>
  <si>
    <t>Penjualan Tempo</t>
  </si>
  <si>
    <t>GT 640/13 8PR</t>
  </si>
  <si>
    <t>TIRON 750/15 12PR</t>
  </si>
  <si>
    <t>Kakak buat Gojek</t>
  </si>
  <si>
    <t>Velg 16 CEMAX 750-20 14</t>
  </si>
  <si>
    <t>Aspira  Filter Oli Avaza-Agya</t>
  </si>
  <si>
    <t>Balancing 30</t>
  </si>
  <si>
    <t>C-0013</t>
  </si>
  <si>
    <t>Baut Camber</t>
  </si>
  <si>
    <t>Gaji karyawan hari minggu</t>
  </si>
  <si>
    <t>Bpk. Dani Jembar Mukti</t>
  </si>
  <si>
    <t>ICOSON Filter Oli Avanza</t>
  </si>
  <si>
    <t>Lower Arm (Sayap)</t>
  </si>
  <si>
    <t>Uang Bian</t>
  </si>
  <si>
    <t>Kakak kirim paket</t>
  </si>
  <si>
    <t>Gaji Karyawan</t>
  </si>
  <si>
    <t>Pengeluaran</t>
  </si>
  <si>
    <t>Pendapatan Bersih</t>
  </si>
  <si>
    <t>Pendapatan toko selama seminggu</t>
  </si>
  <si>
    <t>31 Agustus - 5 September</t>
  </si>
  <si>
    <t>Ban keluar</t>
  </si>
  <si>
    <t>Laba bersih</t>
  </si>
  <si>
    <t>D-0013</t>
  </si>
  <si>
    <t>OLI</t>
  </si>
  <si>
    <t>Serum wajah Ibu</t>
  </si>
  <si>
    <t>PT. DAYTECH TETRA SINDO</t>
  </si>
  <si>
    <t>Jumlah barang keluar</t>
  </si>
  <si>
    <t>Supir GT</t>
  </si>
  <si>
    <t>Celana kulot ibu COD</t>
  </si>
  <si>
    <t>Uang makan kakak</t>
  </si>
  <si>
    <t>Accelera 235/75 15 at omicron</t>
  </si>
  <si>
    <t>235/75 15</t>
  </si>
  <si>
    <t>omicron at</t>
  </si>
  <si>
    <t>Bayar Kiki</t>
  </si>
  <si>
    <t>Bayar listrik rumah</t>
  </si>
  <si>
    <t>Supir BS</t>
  </si>
  <si>
    <t>Supir Vetron/Pak Reo</t>
  </si>
  <si>
    <t>C-0014</t>
  </si>
  <si>
    <t>Bpk. Dede DP/Pasanggrahan</t>
  </si>
  <si>
    <t>Oli Bian</t>
  </si>
  <si>
    <t>D-0014</t>
  </si>
  <si>
    <t>Bian sioamay</t>
  </si>
  <si>
    <t>PT. RODA ARTHA</t>
  </si>
  <si>
    <t>Pak Iyan ambil ban</t>
  </si>
  <si>
    <t>Bian shopeefood</t>
  </si>
  <si>
    <t>Bian</t>
  </si>
  <si>
    <t>Makanan anjing</t>
  </si>
  <si>
    <t>1000/20</t>
  </si>
  <si>
    <t>GL662A+</t>
  </si>
  <si>
    <t>Advance</t>
  </si>
  <si>
    <t>1</t>
  </si>
  <si>
    <t>C-0015</t>
  </si>
  <si>
    <t>Cuangki pegawai</t>
  </si>
  <si>
    <t>Bpk. Deden Putra Walahir</t>
  </si>
  <si>
    <t>Bensin scoopy</t>
  </si>
  <si>
    <t>D-0015</t>
  </si>
  <si>
    <t>PT. RODA GAMA</t>
  </si>
  <si>
    <t>Hebel</t>
  </si>
  <si>
    <t xml:space="preserve">              </t>
  </si>
  <si>
    <t>Supir advance</t>
  </si>
  <si>
    <t>Advance 750/15 radial fullset</t>
  </si>
  <si>
    <t>750/15</t>
  </si>
  <si>
    <t>radial fullset</t>
  </si>
  <si>
    <t>Bian COD</t>
  </si>
  <si>
    <t>Setoran BNI</t>
  </si>
  <si>
    <t>Cicilan mobil</t>
  </si>
  <si>
    <t>C-0016</t>
  </si>
  <si>
    <t>D-0016</t>
  </si>
  <si>
    <t>PT. VETRON SAILUN</t>
  </si>
  <si>
    <t>Ibu kirim uang ke kakak</t>
  </si>
  <si>
    <t>ADVANCE 750/16 GL279A+ CACING</t>
  </si>
  <si>
    <t>750/16</t>
  </si>
  <si>
    <t>GL279A+ CACING</t>
  </si>
  <si>
    <t>ADVANCE</t>
  </si>
  <si>
    <t>Ibu COD</t>
  </si>
  <si>
    <t>Gaji karyawan minggu</t>
  </si>
  <si>
    <t>C-0017</t>
  </si>
  <si>
    <t>Bpk. Dedi CRW</t>
  </si>
  <si>
    <t>D-0017</t>
  </si>
  <si>
    <t>PT BANCORE SENTRAL UTAMA</t>
  </si>
  <si>
    <t>Rokok Bian</t>
  </si>
  <si>
    <t>Advance 750/16 GL672D</t>
  </si>
  <si>
    <t>G72D</t>
  </si>
  <si>
    <t>Kakak Shopee</t>
  </si>
  <si>
    <t>Bian Bakso</t>
  </si>
  <si>
    <t>Supir pertamina</t>
  </si>
  <si>
    <t>Ganti uang bian kemarin</t>
  </si>
  <si>
    <t>Operational</t>
  </si>
  <si>
    <t>3</t>
  </si>
  <si>
    <t>C-0018</t>
  </si>
  <si>
    <t>Bpk. Dinar Sudi</t>
  </si>
  <si>
    <t>ke Yayasan dan beli Obat</t>
  </si>
  <si>
    <t>D-0018</t>
  </si>
  <si>
    <t>PT. Prestasi Pelumasindo Unggul</t>
  </si>
  <si>
    <t>Ganti uang bian beli selang</t>
  </si>
  <si>
    <t xml:space="preserve">                                                                                                                                                                                                                                       </t>
  </si>
  <si>
    <t>z</t>
  </si>
  <si>
    <t>Supir Good Year</t>
  </si>
  <si>
    <t>Advance 750/16 GLG71A+</t>
  </si>
  <si>
    <t>GL71A+</t>
  </si>
  <si>
    <t>Pentil dan timah</t>
  </si>
  <si>
    <t>C-0019</t>
  </si>
  <si>
    <t>Tahu</t>
  </si>
  <si>
    <t>Bpk. Dudung Cikoneng</t>
  </si>
  <si>
    <t xml:space="preserve">                                                                                                                                    </t>
  </si>
  <si>
    <t>Jajan bakso</t>
  </si>
  <si>
    <t>D-0019</t>
  </si>
  <si>
    <t>PT. Limas Raga Inti</t>
  </si>
  <si>
    <t>Galon</t>
  </si>
  <si>
    <t>Bensin mercy</t>
  </si>
  <si>
    <t>Advance 750/16 k. tahu GL909A</t>
  </si>
  <si>
    <t>Supir dunlop</t>
  </si>
  <si>
    <t>GL909A</t>
  </si>
  <si>
    <t>Bakso kutil</t>
  </si>
  <si>
    <t>Supir Bridgestone</t>
  </si>
  <si>
    <t>Nota toko</t>
  </si>
  <si>
    <t>C-0020</t>
  </si>
  <si>
    <t>Bpk. Egi/Ganjar Pasirkukun</t>
  </si>
  <si>
    <t>D-0020</t>
  </si>
  <si>
    <t>Pak Wang Pentil</t>
  </si>
  <si>
    <t>Makanan anjing dan ayam</t>
  </si>
  <si>
    <t>Kunci-kunci</t>
  </si>
  <si>
    <t>Aeolus 750/16</t>
  </si>
  <si>
    <t>Aeolus</t>
  </si>
  <si>
    <t>kunci-kunci</t>
  </si>
  <si>
    <t>Pak iyan ambil kacamata</t>
  </si>
  <si>
    <t>Pajak PPH Bian dan Ibu</t>
  </si>
  <si>
    <t>Ciciclan BNI</t>
  </si>
  <si>
    <t>C-0021</t>
  </si>
  <si>
    <t>Bpk. Endang RSJ Sudi</t>
  </si>
  <si>
    <t>Bian cukur</t>
  </si>
  <si>
    <t>D-0021</t>
  </si>
  <si>
    <t>PT. Arta Batrindo</t>
  </si>
  <si>
    <t>Fee konsultan Pajak</t>
  </si>
  <si>
    <t>Filter Oli Avaza-Agya</t>
  </si>
  <si>
    <t>IBU COD</t>
  </si>
  <si>
    <t>Aspira</t>
  </si>
  <si>
    <t>Bian jajan bakso malang</t>
  </si>
  <si>
    <t>COMPLEMENTARY</t>
  </si>
  <si>
    <t>Solar Bian</t>
  </si>
  <si>
    <t>Makan dan obat ayam</t>
  </si>
  <si>
    <t>C-0022</t>
  </si>
  <si>
    <t>COD Bian</t>
  </si>
  <si>
    <t>SURYA LESTARI/PAK IWAN</t>
  </si>
  <si>
    <t>Aspira 750/16 Halus</t>
  </si>
  <si>
    <t>Halus</t>
  </si>
  <si>
    <t>COD Kunci</t>
  </si>
  <si>
    <t>Belanja buat bingkisan</t>
  </si>
  <si>
    <t>COD kunci</t>
  </si>
  <si>
    <t>C-0023</t>
  </si>
  <si>
    <t>Bpk. Fauzan</t>
  </si>
  <si>
    <t>Makanan anjing dan lampu ayam</t>
  </si>
  <si>
    <t>Pak iyan ka Bandung</t>
  </si>
  <si>
    <t>tahu</t>
  </si>
  <si>
    <t>Aspira 750/16 Kasar</t>
  </si>
  <si>
    <t>Kasar</t>
  </si>
  <si>
    <t>Bian rokok</t>
  </si>
  <si>
    <t>Bensin Mercy</t>
  </si>
  <si>
    <t>Lem</t>
  </si>
  <si>
    <t>Laba ibu dipotongnya hari sabtu</t>
  </si>
  <si>
    <t>C-0024</t>
  </si>
  <si>
    <t>Lem 2 kali</t>
  </si>
  <si>
    <t>Balancing</t>
  </si>
  <si>
    <t>karbu Cleaner</t>
  </si>
  <si>
    <t>4</t>
  </si>
  <si>
    <t>C-0025</t>
  </si>
  <si>
    <t>Bian ciomay</t>
  </si>
  <si>
    <t>Bian Nasi Goreng</t>
  </si>
  <si>
    <t>Balancing 60</t>
  </si>
  <si>
    <t>--</t>
  </si>
  <si>
    <t>Bian Ice cream</t>
  </si>
  <si>
    <t>C-0026</t>
  </si>
  <si>
    <t>Bpk. H. Alit Cibeureum</t>
  </si>
  <si>
    <t>Bian kebab</t>
  </si>
  <si>
    <t>Bian cimol</t>
  </si>
  <si>
    <t>Bian isi bensin motor dedi</t>
  </si>
  <si>
    <t>C-0027</t>
  </si>
  <si>
    <t>Bpk. H. Amin Cibeureum</t>
  </si>
  <si>
    <t>WD</t>
  </si>
  <si>
    <t>Ganti oli bian</t>
  </si>
  <si>
    <t>Baut Camber 17</t>
  </si>
  <si>
    <t>bensin scoopy</t>
  </si>
  <si>
    <t>C-0028</t>
  </si>
  <si>
    <t>Bpk. H. Anang/Ciparay barujati</t>
  </si>
  <si>
    <t>Bakso kutil dan bian</t>
  </si>
  <si>
    <t>Baut Camber ss-carry</t>
  </si>
  <si>
    <t>Ganti rokok bian ke indramayu</t>
  </si>
  <si>
    <t>C-0029</t>
  </si>
  <si>
    <t>Makanan ayam</t>
  </si>
  <si>
    <t>Ibu belanja</t>
  </si>
  <si>
    <t>Baut Roda 12x1.5</t>
  </si>
  <si>
    <t>Baut</t>
  </si>
  <si>
    <t>C-0030</t>
  </si>
  <si>
    <t>Bpk. H. Iwan</t>
  </si>
  <si>
    <t>BD 1000 Bridgestone</t>
  </si>
  <si>
    <t>Bridgestone</t>
  </si>
  <si>
    <t>BD</t>
  </si>
  <si>
    <t>C-0031</t>
  </si>
  <si>
    <t>Bpk. H. Jamil/Butul</t>
  </si>
  <si>
    <t>BD 1000 GT</t>
  </si>
  <si>
    <t>GT</t>
  </si>
  <si>
    <t>Ripet</t>
  </si>
  <si>
    <t>Token listrik</t>
  </si>
  <si>
    <t>Date In</t>
  </si>
  <si>
    <t>C-0032</t>
  </si>
  <si>
    <t>Bpk. H. Samin/Sudi</t>
  </si>
  <si>
    <t>Date Invoice</t>
  </si>
  <si>
    <t>Distributor</t>
  </si>
  <si>
    <t>Invoice</t>
  </si>
  <si>
    <t>Sparepart panther</t>
  </si>
  <si>
    <t>Column 7</t>
  </si>
  <si>
    <t>Quantity</t>
  </si>
  <si>
    <t>Price</t>
  </si>
  <si>
    <t>Price Fixed</t>
  </si>
  <si>
    <t>Bakso kutil + Anak2</t>
  </si>
  <si>
    <t>BD 1000*20</t>
  </si>
  <si>
    <t>1000*20</t>
  </si>
  <si>
    <t>SUM</t>
  </si>
  <si>
    <t>Due Date</t>
  </si>
  <si>
    <t>Bensin bersihin panther</t>
  </si>
  <si>
    <t>Carbu cleaner</t>
  </si>
  <si>
    <t>C-0033</t>
  </si>
  <si>
    <t>Bpk. H. Syahro Dangdang</t>
  </si>
  <si>
    <t>SLS-SDR-2500012</t>
  </si>
  <si>
    <t>mata bor, lem dll buat panther</t>
  </si>
  <si>
    <t>Bridgestone 205/65 15 Turanza</t>
  </si>
  <si>
    <t>Cuangki buat ompreng</t>
  </si>
  <si>
    <t>Rp1.085.500</t>
  </si>
  <si>
    <t>Tempo 2 Month</t>
  </si>
  <si>
    <t>BD 12 Aspira</t>
  </si>
  <si>
    <t>Rokok bian ke yogja</t>
  </si>
  <si>
    <t>Service panther</t>
  </si>
  <si>
    <t>COD Bian/Ibu</t>
  </si>
  <si>
    <t>C-0034</t>
  </si>
  <si>
    <t>Ganti uang mas suryo</t>
  </si>
  <si>
    <t>Bpk. H. tarlan Cibeureum</t>
  </si>
  <si>
    <t>layer + obat ayam</t>
  </si>
  <si>
    <t>Tambang dan kawat</t>
  </si>
  <si>
    <t>BD 12 NYB</t>
  </si>
  <si>
    <t>NYB</t>
  </si>
  <si>
    <t>Lem dan kuas</t>
  </si>
  <si>
    <t>Gojek kimia farma</t>
  </si>
  <si>
    <t>C-0035</t>
  </si>
  <si>
    <t>Bpk. H. Wido</t>
  </si>
  <si>
    <t>Tang</t>
  </si>
  <si>
    <t>BD 13 Aspira</t>
  </si>
  <si>
    <t>Bian COD buat panther</t>
  </si>
  <si>
    <t>lem</t>
  </si>
  <si>
    <t>cat mobil</t>
  </si>
  <si>
    <t>C-0036</t>
  </si>
  <si>
    <t>Solasiban</t>
  </si>
  <si>
    <t>Bpk. Hadi Cikitu</t>
  </si>
  <si>
    <t>kawat las</t>
  </si>
  <si>
    <t>BD 13 Eversave</t>
  </si>
  <si>
    <t>Eversave</t>
  </si>
  <si>
    <t>SUM of SUM</t>
  </si>
  <si>
    <t>COD Ibu</t>
  </si>
  <si>
    <t>bakso kutil</t>
  </si>
  <si>
    <t>SLS-SDR-2500006</t>
  </si>
  <si>
    <t>kuas</t>
  </si>
  <si>
    <t>C-0037</t>
  </si>
  <si>
    <t>Bridgestone 175/13 Duravis</t>
  </si>
  <si>
    <t>Bpk. Hasyim Pacet</t>
  </si>
  <si>
    <t>Rp700.000</t>
  </si>
  <si>
    <t>minuman</t>
  </si>
  <si>
    <t>Mas suryo beli chat</t>
  </si>
  <si>
    <t>baut rim mas suryo</t>
  </si>
  <si>
    <t>Makanan Anjing + Obat ayam</t>
  </si>
  <si>
    <t>COD untuk panther</t>
  </si>
  <si>
    <t>Bakso bian dan kutil</t>
  </si>
  <si>
    <t>SLS-SDR-2500007</t>
  </si>
  <si>
    <t>C-0038</t>
  </si>
  <si>
    <t>Bpk. Heri Sapan</t>
  </si>
  <si>
    <t>Bridgestone 750/16 MRN</t>
  </si>
  <si>
    <t>Rp1.570.000</t>
  </si>
  <si>
    <t>Ganti uang rokok  (bian)</t>
  </si>
  <si>
    <t>BD 13 IBK</t>
  </si>
  <si>
    <t>IBK</t>
  </si>
  <si>
    <t>C-0039</t>
  </si>
  <si>
    <t>Bridgestone 750/15 MRD</t>
  </si>
  <si>
    <t>Bpk. Iwan Pajaten</t>
  </si>
  <si>
    <t>Konsultan Pajak</t>
  </si>
  <si>
    <t>Rp1.285.000</t>
  </si>
  <si>
    <t>Bensin satu kompan bian</t>
  </si>
  <si>
    <t>BD 13 NYB</t>
  </si>
  <si>
    <t>Makanan anjing + layer</t>
  </si>
  <si>
    <t>SLS-SDR-2500014</t>
  </si>
  <si>
    <t>Kunci sock</t>
  </si>
  <si>
    <t>Bridgestone 165/80 13 Ecopia</t>
  </si>
  <si>
    <t>C-0040</t>
  </si>
  <si>
    <t>Bpk. Iyep/Butul</t>
  </si>
  <si>
    <t>Rp577.500</t>
  </si>
  <si>
    <t>BD 13 Truckoor</t>
  </si>
  <si>
    <t xml:space="preserve">bian </t>
  </si>
  <si>
    <t>Truckoor</t>
  </si>
  <si>
    <t>2500000525</t>
  </si>
  <si>
    <t>Laher</t>
  </si>
  <si>
    <t>COD</t>
  </si>
  <si>
    <t>Bridgestone 185/70 14 Ecopia</t>
  </si>
  <si>
    <t>Pajak</t>
  </si>
  <si>
    <t>C-0041</t>
  </si>
  <si>
    <t>Rp676.728</t>
  </si>
  <si>
    <t>Bpk. Jajang/Sapan</t>
  </si>
  <si>
    <t>palu untuk ice cream</t>
  </si>
  <si>
    <t>BD 14 Aspira</t>
  </si>
  <si>
    <t>2500000709</t>
  </si>
  <si>
    <t>Filter oli</t>
  </si>
  <si>
    <t>Bridgestone 175/65 14 Ecopia</t>
  </si>
  <si>
    <t>Rp655.500</t>
  </si>
  <si>
    <t>C-0042</t>
  </si>
  <si>
    <t>Bpk. Kiki Tapak Serang</t>
  </si>
  <si>
    <t>BD 14 GT</t>
  </si>
  <si>
    <t>Bridgestone 165/13 Duravis</t>
  </si>
  <si>
    <t>Rp670.000</t>
  </si>
  <si>
    <t>Makanan ayam dan layer</t>
  </si>
  <si>
    <t>Pak iyan ambil ban</t>
  </si>
  <si>
    <t>C-0043</t>
  </si>
  <si>
    <t>Bpk. Koko</t>
  </si>
  <si>
    <t>Nambah gaji karyawan</t>
  </si>
  <si>
    <t>Photocopy untuk surat2 panther</t>
  </si>
  <si>
    <t>BD 14 IBK</t>
  </si>
  <si>
    <t>Bridgestone 185/65 15 Ecopia</t>
  </si>
  <si>
    <t>Rp765.916</t>
  </si>
  <si>
    <t>Ganti uang bian beli HT</t>
  </si>
  <si>
    <t>Ganti uang bian makan pas ambil mercy</t>
  </si>
  <si>
    <t>Ganti saldo bian yang ada di ibu</t>
  </si>
  <si>
    <t>C-0044</t>
  </si>
  <si>
    <t>Bian gofood donat</t>
  </si>
  <si>
    <t>Bpk. Nanang/Dandang</t>
  </si>
  <si>
    <t>Bridgestone 195/65 15 Ecopia</t>
  </si>
  <si>
    <t>Rp810.174</t>
  </si>
  <si>
    <t>BD 14 NYB</t>
  </si>
  <si>
    <t>Kunci filter oli</t>
  </si>
  <si>
    <t>COD Ibu buah kosambi</t>
  </si>
  <si>
    <t>Bridgestone 205/65 15 Ecopia</t>
  </si>
  <si>
    <t>COD Pakaian Ibu</t>
  </si>
  <si>
    <t>Rp902.500</t>
  </si>
  <si>
    <t>C-0045</t>
  </si>
  <si>
    <t>Bpk. Novi ciparay</t>
  </si>
  <si>
    <t>COD Ibu susu kental manis 5 kg</t>
  </si>
  <si>
    <t>BD 14 Truckoor</t>
  </si>
  <si>
    <t>Go send</t>
  </si>
  <si>
    <t>Ganti uang rokok (Bian)</t>
  </si>
  <si>
    <t>SLS-SDR-2500054</t>
  </si>
  <si>
    <t>Bridgestone 235/70 15 Dueler</t>
  </si>
  <si>
    <t>Rp1.170.500</t>
  </si>
  <si>
    <t>COD beras ibu</t>
  </si>
  <si>
    <t>C-0046</t>
  </si>
  <si>
    <t>Bpk. Pandu/Sapan</t>
  </si>
  <si>
    <t>AC Mobil</t>
  </si>
  <si>
    <t>BD 15 Aspira P. Pendek</t>
  </si>
  <si>
    <t>Aspira P. Pendek</t>
  </si>
  <si>
    <t>Nasi goreng</t>
  </si>
  <si>
    <t>25A03380</t>
  </si>
  <si>
    <t>G. YEAR 750/16 2020 HD</t>
  </si>
  <si>
    <t>Bakso tahu bian sarapan</t>
  </si>
  <si>
    <t>Rp1.360.000</t>
  </si>
  <si>
    <t>C-0047</t>
  </si>
  <si>
    <t>Bpk. Rian Papandayan</t>
  </si>
  <si>
    <t>BD 15 Bridgestone</t>
  </si>
  <si>
    <t>Barkit Assy Panther</t>
  </si>
  <si>
    <t>FJ/PST/BDG/25/01/0021</t>
  </si>
  <si>
    <t>Shopee food ibu dan bian</t>
  </si>
  <si>
    <t>Rp735.000</t>
  </si>
  <si>
    <t>Tempo DUNLOP</t>
  </si>
  <si>
    <t>Paket uang mamah nabil</t>
  </si>
  <si>
    <t>C-0048</t>
  </si>
  <si>
    <t>Karbu cleaner</t>
  </si>
  <si>
    <t>Bpk. Robi Balekambang</t>
  </si>
  <si>
    <t>Solar panther</t>
  </si>
  <si>
    <t>FKB250100037</t>
  </si>
  <si>
    <t>Rp760.239</t>
  </si>
  <si>
    <t>Bian sarapan baso tahu</t>
  </si>
  <si>
    <t>Bian COD kunci tekiro 8</t>
  </si>
  <si>
    <t>C-0049</t>
  </si>
  <si>
    <t>Bpk. Soni Majalaya</t>
  </si>
  <si>
    <t>Bian beli gorengan</t>
  </si>
  <si>
    <t>Print file SPT</t>
  </si>
  <si>
    <t>BD 15 GT P. Pendek</t>
  </si>
  <si>
    <t>GT P. Pendek</t>
  </si>
  <si>
    <t>33</t>
  </si>
  <si>
    <t>Rp1.830.000</t>
  </si>
  <si>
    <t>Bian batagor sarapan</t>
  </si>
  <si>
    <t>Jajan mie ayam</t>
  </si>
  <si>
    <t>C-0050</t>
  </si>
  <si>
    <t>Bpk. Tedi Warusatanngkal</t>
  </si>
  <si>
    <t>Makanan ayam dan obat ayam</t>
  </si>
  <si>
    <t>FJ/PST/BDG/25/01/0047</t>
  </si>
  <si>
    <t>BD 15 Indotube P. Pendek</t>
  </si>
  <si>
    <t>Indotube P. Pendek</t>
  </si>
  <si>
    <t>Pisau keramik dan batu gerinda</t>
  </si>
  <si>
    <t>Supir oli pertamina</t>
  </si>
  <si>
    <t>C-0051</t>
  </si>
  <si>
    <t>FJ/PST/BDG/25/01/0107</t>
  </si>
  <si>
    <t>Dunlop 215/65 16 ST20</t>
  </si>
  <si>
    <t>BD 15 KCN</t>
  </si>
  <si>
    <t>KCN</t>
  </si>
  <si>
    <t>Rp915.000</t>
  </si>
  <si>
    <t>Tambang, kawat las dan gurinda</t>
  </si>
  <si>
    <t>C-0052</t>
  </si>
  <si>
    <t>Bpk. Udo Kebum Tiwu</t>
  </si>
  <si>
    <t>Pentil</t>
  </si>
  <si>
    <t>Dunlop 185/80 14 SP TOURING</t>
  </si>
  <si>
    <t>makanan anjing</t>
  </si>
  <si>
    <t>Rp530.000</t>
  </si>
  <si>
    <t>BD 15 NYB</t>
  </si>
  <si>
    <t>Kawat las dan stainless</t>
  </si>
  <si>
    <t>C-0053</t>
  </si>
  <si>
    <t>BD 15 NYB P. Pendek</t>
  </si>
  <si>
    <t>NYB P. Pendek</t>
  </si>
  <si>
    <t>Gurinda</t>
  </si>
  <si>
    <t>Bian cimol dan kebab</t>
  </si>
  <si>
    <t>Bian beli etol</t>
  </si>
  <si>
    <t>Dunlop 165/80 13 HIMEX</t>
  </si>
  <si>
    <t>C-0054</t>
  </si>
  <si>
    <t>Rp468.000</t>
  </si>
  <si>
    <t>Bpk. Ujang Damai/Rancakole</t>
  </si>
  <si>
    <t>Bian shopee</t>
  </si>
  <si>
    <t>Ibu beli besi dan triplek</t>
  </si>
  <si>
    <t>BD 15 Truckoor</t>
  </si>
  <si>
    <t>Bakso bian, kutil dll</t>
  </si>
  <si>
    <t>Kawat las</t>
  </si>
  <si>
    <t>Rp613.000</t>
  </si>
  <si>
    <t>Filter solar</t>
  </si>
  <si>
    <t>C-0055</t>
  </si>
  <si>
    <t>Bpk. Ujang Sundawangi/Cikawao</t>
  </si>
  <si>
    <t>BD 16 Aspira</t>
  </si>
  <si>
    <t>Bian rokok waktu ke jawa</t>
  </si>
  <si>
    <t>Bian untuk service motor</t>
  </si>
  <si>
    <t>4009578301</t>
  </si>
  <si>
    <t>Rp1.607.040</t>
  </si>
  <si>
    <t>C-0056</t>
  </si>
  <si>
    <t>Bpk. Ujang TJ</t>
  </si>
  <si>
    <t>Martabak mini</t>
  </si>
  <si>
    <t>BD 16 Bestone</t>
  </si>
  <si>
    <t>Bestone</t>
  </si>
  <si>
    <t>Gosend kimia farma</t>
  </si>
  <si>
    <t>SI/BDG/01/2025/00033</t>
  </si>
  <si>
    <t>Rp1.695.000</t>
  </si>
  <si>
    <t>Gaji hari minggu</t>
  </si>
  <si>
    <t>Beli gas dan galon</t>
  </si>
  <si>
    <t>C-0057</t>
  </si>
  <si>
    <t>Bpk. Usep Isma/Balekambang</t>
  </si>
  <si>
    <t>Susu anline COD</t>
  </si>
  <si>
    <t>BD 16 Bridgestone</t>
  </si>
  <si>
    <t>Rp1.805.000</t>
  </si>
  <si>
    <t>Listrik toko token</t>
  </si>
  <si>
    <t>C-0058</t>
  </si>
  <si>
    <t>Bpk. Usep Sri Rahayu</t>
  </si>
  <si>
    <t>Rp2.015.000</t>
  </si>
  <si>
    <t>Bian minta uang</t>
  </si>
  <si>
    <t>BD 16 GT</t>
  </si>
  <si>
    <t>Bensin scopy</t>
  </si>
  <si>
    <t>C-0059</t>
  </si>
  <si>
    <t>Bpk. Uus</t>
  </si>
  <si>
    <t>Rp75.000</t>
  </si>
  <si>
    <t>BD 16 KCN</t>
  </si>
  <si>
    <t>Bian TF buat etol</t>
  </si>
  <si>
    <t>25000847</t>
  </si>
  <si>
    <t>Ganti uang rokok bian</t>
  </si>
  <si>
    <t>C-0060</t>
  </si>
  <si>
    <t>Rp199.920</t>
  </si>
  <si>
    <t>Tempo 30 Days</t>
  </si>
  <si>
    <t>Mas suryo belanja</t>
  </si>
  <si>
    <t>BD 16 NYB</t>
  </si>
  <si>
    <t>Ibu</t>
  </si>
  <si>
    <t>Rp161.840</t>
  </si>
  <si>
    <t>C-0061</t>
  </si>
  <si>
    <t>Bpk. Yana Wasnan/Pacet</t>
  </si>
  <si>
    <t>COD aki motor scopy</t>
  </si>
  <si>
    <t>Makanan anjing + Layer</t>
  </si>
  <si>
    <t>BD 16 SJ</t>
  </si>
  <si>
    <t>Rp125.120</t>
  </si>
  <si>
    <t>Nambah beli besi</t>
  </si>
  <si>
    <t>C-0062</t>
  </si>
  <si>
    <t>Bpk. Yapi/Agus</t>
  </si>
  <si>
    <t>Kertas print</t>
  </si>
  <si>
    <t>BD 16 Truckoor</t>
  </si>
  <si>
    <t>Rp102.000</t>
  </si>
  <si>
    <t xml:space="preserve">Air radiator bian </t>
  </si>
  <si>
    <t>Bian cukkur</t>
  </si>
  <si>
    <t>C-0063</t>
  </si>
  <si>
    <t>Bpk. Yayat Dojer Sapan</t>
  </si>
  <si>
    <t>Solar inova</t>
  </si>
  <si>
    <t>GT 600/13 8PR</t>
  </si>
  <si>
    <t>Rp507.000</t>
  </si>
  <si>
    <t>28X9 15</t>
  </si>
  <si>
    <t>25000849</t>
  </si>
  <si>
    <t>GT 550/13 8PR</t>
  </si>
  <si>
    <t>C-0064</t>
  </si>
  <si>
    <t>Bpk. Yusup Koramil</t>
  </si>
  <si>
    <t>Cat, tiner dan ram kawat</t>
  </si>
  <si>
    <t>Rp442.500</t>
  </si>
  <si>
    <t>BD 600/9 D GT</t>
  </si>
  <si>
    <t>Beli asin</t>
  </si>
  <si>
    <t>600/9</t>
  </si>
  <si>
    <t>Forklift GT</t>
  </si>
  <si>
    <t>service AC</t>
  </si>
  <si>
    <t>GT 750/15 12PR</t>
  </si>
  <si>
    <t>Rp1.180.000</t>
  </si>
  <si>
    <t>C-0065</t>
  </si>
  <si>
    <t>Faliza</t>
  </si>
  <si>
    <t>BD 650/10 GT</t>
  </si>
  <si>
    <t>650/10</t>
  </si>
  <si>
    <t>FJ/PST/BDG/25/01/0175</t>
  </si>
  <si>
    <t>Bian jajan gofood</t>
  </si>
  <si>
    <t>Bian beli baygon</t>
  </si>
  <si>
    <t>C-0066</t>
  </si>
  <si>
    <t>Family Sejati</t>
  </si>
  <si>
    <t>Tambah angin supir pak edi</t>
  </si>
  <si>
    <t>BD 650/700 15 Bridgestone</t>
  </si>
  <si>
    <t>650/700 15</t>
  </si>
  <si>
    <t>Filter oli inova bian</t>
  </si>
  <si>
    <t>25000989</t>
  </si>
  <si>
    <t>Rp441.450</t>
  </si>
  <si>
    <t>BAU BAJA + KOAS</t>
  </si>
  <si>
    <t>C-0067</t>
  </si>
  <si>
    <t>Ibu Dede/Maruyung</t>
  </si>
  <si>
    <t>Bian beli coklat keju</t>
  </si>
  <si>
    <t>BD 700/12 Powerclip GT</t>
  </si>
  <si>
    <t>700/12</t>
  </si>
  <si>
    <t>Flap 15 GT</t>
  </si>
  <si>
    <t>Rp38.760</t>
  </si>
  <si>
    <t>Supir Shell</t>
  </si>
  <si>
    <t>baso kutil</t>
  </si>
  <si>
    <t>C-0068</t>
  </si>
  <si>
    <t>Ibu Dede/Sundawangi</t>
  </si>
  <si>
    <t>Cat, tiner dll</t>
  </si>
  <si>
    <t>Flap 16 GT</t>
  </si>
  <si>
    <t>Rp42.840</t>
  </si>
  <si>
    <t>Bensin scoppy</t>
  </si>
  <si>
    <t>Sparepart spooring</t>
  </si>
  <si>
    <t>Bian beli lampu dan nota</t>
  </si>
  <si>
    <t>FJ/HO/01/25/00373</t>
  </si>
  <si>
    <t>Rp452.900</t>
  </si>
  <si>
    <t>C-0069</t>
  </si>
  <si>
    <t>Ibu Hajah Usu</t>
  </si>
  <si>
    <t>BD 8.25 TRUCKOOR</t>
  </si>
  <si>
    <t>Rp524.800</t>
  </si>
  <si>
    <t>C-0070</t>
  </si>
  <si>
    <t>Ibu Hj. Oneng</t>
  </si>
  <si>
    <t>Bian Gofood</t>
  </si>
  <si>
    <t>Bian jajanin ice cream</t>
  </si>
  <si>
    <t>BD 900* 20 GT</t>
  </si>
  <si>
    <t>900* 20</t>
  </si>
  <si>
    <t>multi 18 Mc dan rooftng (Mas suryo)</t>
  </si>
  <si>
    <t>GT 175/65 14 CHAMPIRO ECOTEC</t>
  </si>
  <si>
    <t>Rp475.700</t>
  </si>
  <si>
    <t>bensin scopy</t>
  </si>
  <si>
    <t>C-0071</t>
  </si>
  <si>
    <t>Ibu Komala/Munjul</t>
  </si>
  <si>
    <t>peralatan kantin (mas suryo belanja)</t>
  </si>
  <si>
    <t>Rokok bian kemarin</t>
  </si>
  <si>
    <t>BD 900*20 Bridgestone</t>
  </si>
  <si>
    <t>GT 195/55 16 GTX PRO</t>
  </si>
  <si>
    <t>900*20</t>
  </si>
  <si>
    <t>Bian spooring + tips</t>
  </si>
  <si>
    <t>Rp672.200</t>
  </si>
  <si>
    <t>piber pagar + ripet</t>
  </si>
  <si>
    <t>Kabel transparan</t>
  </si>
  <si>
    <t>C-0072</t>
  </si>
  <si>
    <t>Ibu Lilis Hayam</t>
  </si>
  <si>
    <t>Kuas kecil</t>
  </si>
  <si>
    <t>GT 175/13 MAXMILLER</t>
  </si>
  <si>
    <t>Rp581.100</t>
  </si>
  <si>
    <t>Bian ngasih ka pak iyan</t>
  </si>
  <si>
    <t>C-0073</t>
  </si>
  <si>
    <t>siapa?</t>
  </si>
  <si>
    <t>Rp690.600</t>
  </si>
  <si>
    <t>Tiner</t>
  </si>
  <si>
    <t>Pentil Pendek</t>
  </si>
  <si>
    <t>BD IBK</t>
  </si>
  <si>
    <t xml:space="preserve">Gaji </t>
  </si>
  <si>
    <t>C-0074</t>
  </si>
  <si>
    <t>Ibu Yayah Pandex/Ciheulang</t>
  </si>
  <si>
    <t>GT 235/60 16 SAVERO SUV</t>
  </si>
  <si>
    <t>BIAN jajan</t>
  </si>
  <si>
    <t>Rp836.000</t>
  </si>
  <si>
    <t>Amplas</t>
  </si>
  <si>
    <t xml:space="preserve">Cat </t>
  </si>
  <si>
    <t>C-0075</t>
  </si>
  <si>
    <t>Ibu. HJ. Eti</t>
  </si>
  <si>
    <t>pelingkup, silen botol, piber pager</t>
  </si>
  <si>
    <t>Rp39.440</t>
  </si>
  <si>
    <t>Bian beli sendal nitip</t>
  </si>
  <si>
    <t>Bongkar Pasang 17</t>
  </si>
  <si>
    <t>Ganti uang bian beli sayuran</t>
  </si>
  <si>
    <t>Nambah beli solar</t>
  </si>
  <si>
    <t>C-0076</t>
  </si>
  <si>
    <t>TRI PUTRA</t>
  </si>
  <si>
    <t>Rp43.520</t>
  </si>
  <si>
    <t>Bridgestone 1000*20</t>
  </si>
  <si>
    <t>Bayar pajak</t>
  </si>
  <si>
    <t>Beli kertas A4 iuntuk spooring</t>
  </si>
  <si>
    <t>Mas suryo beli plastik</t>
  </si>
  <si>
    <t>10781-250008</t>
  </si>
  <si>
    <t>Sailun 185/14 8PR</t>
  </si>
  <si>
    <t>C-0077</t>
  </si>
  <si>
    <t>PT. SANTOSA KURNIA JAYA</t>
  </si>
  <si>
    <t>165/13</t>
  </si>
  <si>
    <t>Bian beli pikok</t>
  </si>
  <si>
    <t>Duravis</t>
  </si>
  <si>
    <t>Gas kecil</t>
  </si>
  <si>
    <t>menyusl</t>
  </si>
  <si>
    <t>GT 750/16 HAPPY DUTY</t>
  </si>
  <si>
    <t>Bensin</t>
  </si>
  <si>
    <t>Rp1.500.000</t>
  </si>
  <si>
    <t>C-0078</t>
  </si>
  <si>
    <t>Bpk. H. Syukur/Ikhsan CIbeurreum</t>
  </si>
  <si>
    <t>Ecopia</t>
  </si>
  <si>
    <t>Solar bian</t>
  </si>
  <si>
    <t>C-0079</t>
  </si>
  <si>
    <t>PUSPA JAYA</t>
  </si>
  <si>
    <t>SI/BDG/01/2025/00052</t>
  </si>
  <si>
    <t>Rp1.840.000</t>
  </si>
  <si>
    <t xml:space="preserve">Bian </t>
  </si>
  <si>
    <t>C-0080</t>
  </si>
  <si>
    <t>Token listrik toko</t>
  </si>
  <si>
    <t>Bpk. Ate Paseh</t>
  </si>
  <si>
    <t>Ibu ngamplop</t>
  </si>
  <si>
    <t>Rp1.950.000</t>
  </si>
  <si>
    <t>Cabe + bawang daun</t>
  </si>
  <si>
    <t>es batu, bian jajan dll</t>
  </si>
  <si>
    <t>Bian belanja</t>
  </si>
  <si>
    <t>Supir laufen</t>
  </si>
  <si>
    <t>C-0081</t>
  </si>
  <si>
    <t xml:space="preserve">Bpk. Felis </t>
  </si>
  <si>
    <t>Rp2.160.000</t>
  </si>
  <si>
    <t>Bridgestone 175/65 14 Techno</t>
  </si>
  <si>
    <t>Techno</t>
  </si>
  <si>
    <t>Cengek</t>
  </si>
  <si>
    <t>TIRON 750/16</t>
  </si>
  <si>
    <t>C-0082</t>
  </si>
  <si>
    <t>Rp1.645.000</t>
  </si>
  <si>
    <t>Bpk. Opang CIheulang</t>
  </si>
  <si>
    <t>Bian gofood</t>
  </si>
  <si>
    <t>PRINT SPT</t>
  </si>
  <si>
    <t>Bridgestone 175/70 13 Ecopia</t>
  </si>
  <si>
    <t>FJ/PST/BDG/25/01/0249</t>
  </si>
  <si>
    <t>Dunlop 185/70 14 SP10</t>
  </si>
  <si>
    <t>Rp575.000</t>
  </si>
  <si>
    <t>C-0083</t>
  </si>
  <si>
    <t>Bpk. Agus Jogor</t>
  </si>
  <si>
    <t>Gofood bian</t>
  </si>
  <si>
    <t>Bridgestone 185/14 Duravis</t>
  </si>
  <si>
    <t>FJ/PST/BDG/25/01/0274</t>
  </si>
  <si>
    <t>Cabe cengkek</t>
  </si>
  <si>
    <t>Dunlop 195/65 15 EC300</t>
  </si>
  <si>
    <t>Rp704.500</t>
  </si>
  <si>
    <t>Bian solar</t>
  </si>
  <si>
    <t>C-0084</t>
  </si>
  <si>
    <t>Ibu. Amanah</t>
  </si>
  <si>
    <t>Bian sarapan</t>
  </si>
  <si>
    <t>Dunlop 205/65 16 EC300</t>
  </si>
  <si>
    <t>Bridgestone 185/55 15 Techno</t>
  </si>
  <si>
    <t>185/55 15</t>
  </si>
  <si>
    <t>Rp779.000</t>
  </si>
  <si>
    <t>rokok bian</t>
  </si>
  <si>
    <t>Bian beli ripet dan lem</t>
  </si>
  <si>
    <t>C-0085</t>
  </si>
  <si>
    <t>Bpk. Endut</t>
  </si>
  <si>
    <t>COD lemari</t>
  </si>
  <si>
    <t>Dunlop 185/65 15 EC300</t>
  </si>
  <si>
    <t>Rp645.000</t>
  </si>
  <si>
    <t>Bridgestone 185/55 16 Techno Sport</t>
  </si>
  <si>
    <t>185/55 16</t>
  </si>
  <si>
    <t>Techno Sport</t>
  </si>
  <si>
    <t>Air radiator</t>
  </si>
  <si>
    <t>C-0086</t>
  </si>
  <si>
    <t>Bpk. Cuing/Leles</t>
  </si>
  <si>
    <t>Dunlop 205/60 16 EC300</t>
  </si>
  <si>
    <t>Rp623.000</t>
  </si>
  <si>
    <t>Gaji Karyawan minggu</t>
  </si>
  <si>
    <t>Bridgestone 185/60 15 Ecopia</t>
  </si>
  <si>
    <t>185/60 15</t>
  </si>
  <si>
    <t>Dunlop 195/70 14 TOURING</t>
  </si>
  <si>
    <t>Rp550.500</t>
  </si>
  <si>
    <t>C-0087</t>
  </si>
  <si>
    <t>Bpk. Fajar Kurnia</t>
  </si>
  <si>
    <t>Bridgestone 185/60 15 TECHNO</t>
  </si>
  <si>
    <t>TECHNO</t>
  </si>
  <si>
    <t>Dunlop 175/70 13 TOURING</t>
  </si>
  <si>
    <t>Rp470.000</t>
  </si>
  <si>
    <t>COD kunci L tekiro</t>
  </si>
  <si>
    <t>Bian makan siomay</t>
  </si>
  <si>
    <t>C-0088</t>
  </si>
  <si>
    <t>Bpk. Koko Cibeet</t>
  </si>
  <si>
    <t>batu asah dan baut</t>
  </si>
  <si>
    <t>185/65 15</t>
  </si>
  <si>
    <t>Rp590.000</t>
  </si>
  <si>
    <t>Bian jajan shopeefood</t>
  </si>
  <si>
    <t>C-0089</t>
  </si>
  <si>
    <t>Bpk. H. Nundang</t>
  </si>
  <si>
    <t>arde broco</t>
  </si>
  <si>
    <t>Bridgestone 185/65 15 Techno</t>
  </si>
  <si>
    <t>Rp717.785</t>
  </si>
  <si>
    <t>Kabel</t>
  </si>
  <si>
    <t>C-0090</t>
  </si>
  <si>
    <t>Bpk. Dodi Polsek Soljer</t>
  </si>
  <si>
    <t>Chopper</t>
  </si>
  <si>
    <t>Bridgestone 185/65 16 Techno</t>
  </si>
  <si>
    <t>185/65 16</t>
  </si>
  <si>
    <t>Rp570.000</t>
  </si>
  <si>
    <t>Pajak PPH 2 Bian dan Ibu</t>
  </si>
  <si>
    <t>C-0091</t>
  </si>
  <si>
    <t>0</t>
  </si>
  <si>
    <t>Bpk. Rohman Loa</t>
  </si>
  <si>
    <t>Beli tahu</t>
  </si>
  <si>
    <t>Makanan Anjing dan burung</t>
  </si>
  <si>
    <t>Dunlop 750/16 12PR</t>
  </si>
  <si>
    <t>Bridgestone 185/70 14 B250</t>
  </si>
  <si>
    <t>Rp1.430.000</t>
  </si>
  <si>
    <t>B250</t>
  </si>
  <si>
    <t>C-0092</t>
  </si>
  <si>
    <t>Bpk. Kohar CIbereum</t>
  </si>
  <si>
    <t>25001443</t>
  </si>
  <si>
    <t>GT 185/65 15 ECOTEC</t>
  </si>
  <si>
    <t>Rp582.800</t>
  </si>
  <si>
    <t>Pak Iyan</t>
  </si>
  <si>
    <t>C-0093</t>
  </si>
  <si>
    <t>Bpk. H. Toni/ Jalan anyar</t>
  </si>
  <si>
    <t>Rp445.800</t>
  </si>
  <si>
    <t>Bridgestone 185/70 14 Techno</t>
  </si>
  <si>
    <t>Bian ngasih ke pak iyan</t>
  </si>
  <si>
    <t>1992</t>
  </si>
  <si>
    <t>solar inova</t>
  </si>
  <si>
    <t>FKB250200006</t>
  </si>
  <si>
    <t>C-0094</t>
  </si>
  <si>
    <t>Anita Jaya/Sapan</t>
  </si>
  <si>
    <t>Rp893.661</t>
  </si>
  <si>
    <t>Cash</t>
  </si>
  <si>
    <t>Banner</t>
  </si>
  <si>
    <t>Bridgestone 185/80 14 Ecopia</t>
  </si>
  <si>
    <t>185/80 14</t>
  </si>
  <si>
    <t>2043</t>
  </si>
  <si>
    <t>R43-030225001</t>
  </si>
  <si>
    <t>ibu cod</t>
  </si>
  <si>
    <t>C-0095</t>
  </si>
  <si>
    <t>Ko Aris/Leuwidulang</t>
  </si>
  <si>
    <t>Tips supir shell</t>
  </si>
  <si>
    <t>Bridgestone 185/80 14 Techno</t>
  </si>
  <si>
    <t>Nambah beli ban bian</t>
  </si>
  <si>
    <t>03-FJ2501000779</t>
  </si>
  <si>
    <t>Isi ulang air  10 galon</t>
  </si>
  <si>
    <t>Rp45.310</t>
  </si>
  <si>
    <t>Puyer ayam, lampu</t>
  </si>
  <si>
    <t>C-0096</t>
  </si>
  <si>
    <t>Bpk. H. Deni Dandang</t>
  </si>
  <si>
    <t>Bridgestone 185/80 14 Techno 248</t>
  </si>
  <si>
    <t>techno 248</t>
  </si>
  <si>
    <t>FJ/PST/BDG/25/02/0012</t>
  </si>
  <si>
    <t>Rp745.000</t>
  </si>
  <si>
    <t>Materai dan nasi kuning</t>
  </si>
  <si>
    <t>C-0097</t>
  </si>
  <si>
    <t>Bpk. agus kenalpot</t>
  </si>
  <si>
    <t>Bridgestone 195/14 Duravis</t>
  </si>
  <si>
    <t>195/14</t>
  </si>
  <si>
    <t>FJ/PST/BDG/25/02/0023</t>
  </si>
  <si>
    <t>Dunlop 195/14 LT5</t>
  </si>
  <si>
    <t>Rp870.000</t>
  </si>
  <si>
    <t>C-0098</t>
  </si>
  <si>
    <t>Bpk. Ujang Sp</t>
  </si>
  <si>
    <t>Baterai untuk remote</t>
  </si>
  <si>
    <t>Bridgestone 195/15</t>
  </si>
  <si>
    <t>Bian nasi kuning</t>
  </si>
  <si>
    <t>Rp550.000</t>
  </si>
  <si>
    <t>konci shock</t>
  </si>
  <si>
    <t>C-0099</t>
  </si>
  <si>
    <t>Bpk. Suyut</t>
  </si>
  <si>
    <t>25002133</t>
  </si>
  <si>
    <t>Nambah beli gas</t>
  </si>
  <si>
    <t>Bian bakso</t>
  </si>
  <si>
    <t>Bridgestone 195/50 16 Techno</t>
  </si>
  <si>
    <t>195/50 16</t>
  </si>
  <si>
    <t>Nambah beli makanan ayam</t>
  </si>
  <si>
    <t>Rp600.860</t>
  </si>
  <si>
    <t>Bensin scoopy full tank</t>
  </si>
  <si>
    <t>Solar Panther</t>
  </si>
  <si>
    <t>25002483</t>
  </si>
  <si>
    <t>C-0100</t>
  </si>
  <si>
    <t>Bpk Nana Rancajigang</t>
  </si>
  <si>
    <t>Bian bubur</t>
  </si>
  <si>
    <t>Makanan anjing, ayam</t>
  </si>
  <si>
    <t>GT 205/65 15 CHAMPIRO ECOTEC</t>
  </si>
  <si>
    <t>Rp655.960</t>
  </si>
  <si>
    <t>Bridgestone 195/55 15 Techno</t>
  </si>
  <si>
    <t>195/55 15</t>
  </si>
  <si>
    <t>Ibu ambil</t>
  </si>
  <si>
    <t>25003323</t>
  </si>
  <si>
    <t>Lem korea 2</t>
  </si>
  <si>
    <t>C-0101</t>
  </si>
  <si>
    <t>GT 31X10.50 R15 MT</t>
  </si>
  <si>
    <t>Bpk. Khairul Magung</t>
  </si>
  <si>
    <t>Bridgestone 195/55 16 Ecopia</t>
  </si>
  <si>
    <t>195/55 16</t>
  </si>
  <si>
    <t>25003412</t>
  </si>
  <si>
    <t>Keramik</t>
  </si>
  <si>
    <t>SLS-SDR-2501079</t>
  </si>
  <si>
    <t>Rp1.585.000</t>
  </si>
  <si>
    <t>Beli keramik</t>
  </si>
  <si>
    <t>C-0102</t>
  </si>
  <si>
    <t>BPK EPUL/BPK A ADE</t>
  </si>
  <si>
    <t>Ibu nitip rokok ke bian</t>
  </si>
  <si>
    <t>25003486</t>
  </si>
  <si>
    <t>Bridgestone 195/55 16 Techno Sport</t>
  </si>
  <si>
    <t>makanan anjing + ayam</t>
  </si>
  <si>
    <t>C-0103</t>
  </si>
  <si>
    <t>Bpk. H. Aep BCP Patrol</t>
  </si>
  <si>
    <t>25003523</t>
  </si>
  <si>
    <t>Nambah beli pasir</t>
  </si>
  <si>
    <t>Beli cengek</t>
  </si>
  <si>
    <t>Bridgestone 195/60 15 Techno</t>
  </si>
  <si>
    <t>195/60 15</t>
  </si>
  <si>
    <t>Earphone bian</t>
  </si>
  <si>
    <t>25003737</t>
  </si>
  <si>
    <t>Isi ulang air galon</t>
  </si>
  <si>
    <t>C-0105</t>
  </si>
  <si>
    <t>Supir sailun</t>
  </si>
  <si>
    <t>Rp810.000</t>
  </si>
  <si>
    <t>Bridgestone 195/60 16 Ecopia</t>
  </si>
  <si>
    <t>Bia cod</t>
  </si>
  <si>
    <t>195/60 16</t>
  </si>
  <si>
    <t>Cas aki</t>
  </si>
  <si>
    <t>25003774</t>
  </si>
  <si>
    <t>COD bian</t>
  </si>
  <si>
    <t>SLS-SDR-2501337</t>
  </si>
  <si>
    <t>C-0106</t>
  </si>
  <si>
    <t>Bpk. Pian Pakacangan</t>
  </si>
  <si>
    <t>Nasi kuning bian 2 hari</t>
  </si>
  <si>
    <t>25003975</t>
  </si>
  <si>
    <t>195/65 15</t>
  </si>
  <si>
    <t>Upah rokok</t>
  </si>
  <si>
    <t>FJ/HO/02/25/00211</t>
  </si>
  <si>
    <t>kasih pak jejen dan pak iyan</t>
  </si>
  <si>
    <t>Rp440.000</t>
  </si>
  <si>
    <t>C-0107</t>
  </si>
  <si>
    <t>Makanan anjing dan burung</t>
  </si>
  <si>
    <t>Bpk. SS</t>
  </si>
  <si>
    <t>25004051</t>
  </si>
  <si>
    <t>Print dan laminating</t>
  </si>
  <si>
    <t>Bridgestone 195/70 14 Ecopia</t>
  </si>
  <si>
    <t>195/70 14</t>
  </si>
  <si>
    <t>makanan ayam</t>
  </si>
  <si>
    <t>Rp505.000</t>
  </si>
  <si>
    <t>Kebab</t>
  </si>
  <si>
    <t>C-0108</t>
  </si>
  <si>
    <t>Bpk. H Makmun KSM ELf</t>
  </si>
  <si>
    <t>25004499</t>
  </si>
  <si>
    <t>Gaji karywan</t>
  </si>
  <si>
    <t>Bridgestone 195/70 14 Techno</t>
  </si>
  <si>
    <t>Rp490.000</t>
  </si>
  <si>
    <t>nambah COD ibu</t>
  </si>
  <si>
    <t>25006928</t>
  </si>
  <si>
    <t>C-0109</t>
  </si>
  <si>
    <t>Nambah bian gofood</t>
  </si>
  <si>
    <t>SLS-SDR-2501371</t>
  </si>
  <si>
    <t>Ibu untuk mobil</t>
  </si>
  <si>
    <t>Bridgestone 195/70 14 Turanza T005A</t>
  </si>
  <si>
    <t>Turanza T005A</t>
  </si>
  <si>
    <t>Bayar barcode</t>
  </si>
  <si>
    <t>Pak iyan ka baleendah</t>
  </si>
  <si>
    <t>Photocopy KTP dan STNK</t>
  </si>
  <si>
    <t>C-0110</t>
  </si>
  <si>
    <t>Ujang Samsu Sudi</t>
  </si>
  <si>
    <t>Ganti uang rokok samsu</t>
  </si>
  <si>
    <t>25B03562</t>
  </si>
  <si>
    <t>Rp1.365.000</t>
  </si>
  <si>
    <t>Bridgestone 205/45 17 Techno Sport</t>
  </si>
  <si>
    <t>205/45 17</t>
  </si>
  <si>
    <t>Siltip, pengukur angin</t>
  </si>
  <si>
    <t>C-0111</t>
  </si>
  <si>
    <t>Fajar travel</t>
  </si>
  <si>
    <t>FJ/PST/BDG/25/02/0124</t>
  </si>
  <si>
    <t>Supir duratun</t>
  </si>
  <si>
    <t>Bridgestone 205/55 16 Ecopia</t>
  </si>
  <si>
    <t>205/55 16</t>
  </si>
  <si>
    <t>C-0112</t>
  </si>
  <si>
    <t>Bpk. Iman Rohiman/baru jati</t>
  </si>
  <si>
    <t>Bian shoppeefood</t>
  </si>
  <si>
    <t>GT 205/50 16 Champiro SX2</t>
  </si>
  <si>
    <t>Rp860.000</t>
  </si>
  <si>
    <t>Pajak pph23</t>
  </si>
  <si>
    <t>Bridgestone 205/55 16 Techno Sport</t>
  </si>
  <si>
    <t>25c03745</t>
  </si>
  <si>
    <t>SI/BDG/02/2025/00025</t>
  </si>
  <si>
    <t>C-0113</t>
  </si>
  <si>
    <t>Bpk. Oman Majalaya</t>
  </si>
  <si>
    <t>bensin mercy</t>
  </si>
  <si>
    <t>COD ibu</t>
  </si>
  <si>
    <t>205/65 15</t>
  </si>
  <si>
    <t>25F4027</t>
  </si>
  <si>
    <t>Bian beli kok dll</t>
  </si>
  <si>
    <t>cod kacamata</t>
  </si>
  <si>
    <t>Turanza</t>
  </si>
  <si>
    <t>mata bor</t>
  </si>
  <si>
    <t>25K94838</t>
  </si>
  <si>
    <t>fee konsultan pajak ibu</t>
  </si>
  <si>
    <t>Rp1.765.000</t>
  </si>
  <si>
    <t>baut</t>
  </si>
  <si>
    <t>Bridgestone 205/65 15 Turanza T6</t>
  </si>
  <si>
    <t>Air galon 10</t>
  </si>
  <si>
    <t>25l04996</t>
  </si>
  <si>
    <t>beli rokok</t>
  </si>
  <si>
    <t>Bridgestone 205/65 16 Ecopia</t>
  </si>
  <si>
    <t>205/65 16</t>
  </si>
  <si>
    <t>Rp1.970.000</t>
  </si>
  <si>
    <t>Mie ayam</t>
  </si>
  <si>
    <t>26A05155</t>
  </si>
  <si>
    <t>COD Obeng dan maouse</t>
  </si>
  <si>
    <t>Bridgestone 205/70 15</t>
  </si>
  <si>
    <t>205/70 15</t>
  </si>
  <si>
    <t>Rp1.425.000</t>
  </si>
  <si>
    <t>Belanja ke lotte mart dan beli air mineral</t>
  </si>
  <si>
    <t>Bridgestone 215/45 17 Techno Sport</t>
  </si>
  <si>
    <t>215/45 17</t>
  </si>
  <si>
    <t>26E06067</t>
  </si>
  <si>
    <t>Flap 16 NYB</t>
  </si>
  <si>
    <t>Rp45.000</t>
  </si>
  <si>
    <t xml:space="preserve"> Perkasa Jaya Sistem Informasi</t>
  </si>
  <si>
    <t>Bridgestone 215/50 17 Techno</t>
  </si>
  <si>
    <t>215/50 17</t>
  </si>
  <si>
    <t>SI/BDG/02/2025/00026</t>
  </si>
  <si>
    <t>Rp1.620.000</t>
  </si>
  <si>
    <t>Bridgestone 215/50 17 Turanza T005A</t>
  </si>
  <si>
    <t>!</t>
  </si>
  <si>
    <t>Add Items</t>
  </si>
  <si>
    <t>Selling Cash</t>
  </si>
  <si>
    <t>Pucchase</t>
  </si>
  <si>
    <t>Payment of Receivables</t>
  </si>
  <si>
    <t>SLS-SDR-2501524</t>
  </si>
  <si>
    <t>Makanan anjing + burung</t>
  </si>
  <si>
    <t>Bridgestone 215/55 17 Turanza E33</t>
  </si>
  <si>
    <t>Turanza E33</t>
  </si>
  <si>
    <t>COD kakak untuk toko</t>
  </si>
  <si>
    <t>Listrik rumah</t>
  </si>
  <si>
    <t>Bridgestone 215/55 17 Turanza T005A</t>
  </si>
  <si>
    <t>Bensin turungtung dan Scopy</t>
  </si>
  <si>
    <t>Bian batagor</t>
  </si>
  <si>
    <t>Rp1.270.000</t>
  </si>
  <si>
    <t>COD Celana Bian</t>
  </si>
  <si>
    <t>Bridgestone 215/60 17 Alenza</t>
  </si>
  <si>
    <t>215/60 17</t>
  </si>
  <si>
    <t>Alenza</t>
  </si>
  <si>
    <t>SLS-SDR-2501523</t>
  </si>
  <si>
    <t>Bridgestone 235/75 15 Dueler H/T 689</t>
  </si>
  <si>
    <t>Rp1.088.301</t>
  </si>
  <si>
    <t>Nama</t>
  </si>
  <si>
    <t>Sarapan ciomay</t>
  </si>
  <si>
    <t>Bridgestone 215/60 17 D687</t>
  </si>
  <si>
    <t>D687</t>
  </si>
  <si>
    <t>QTY</t>
  </si>
  <si>
    <t>Tax</t>
  </si>
  <si>
    <t>PRICE</t>
  </si>
  <si>
    <t>Bridgestone 215/70 15 D689</t>
  </si>
  <si>
    <t>Bian jajam</t>
  </si>
  <si>
    <t>215/70 15</t>
  </si>
  <si>
    <t>D689</t>
  </si>
  <si>
    <t>Sarapan bian baso tahu</t>
  </si>
  <si>
    <t>Bian amplas</t>
  </si>
  <si>
    <t>Bridgestone 225/50 18 Alenza</t>
  </si>
  <si>
    <t>225/50 18</t>
  </si>
  <si>
    <t>Kertas HVS</t>
  </si>
  <si>
    <t>DISCON</t>
  </si>
  <si>
    <t>Rp785.133</t>
  </si>
  <si>
    <t>Bian beli amplas lagi</t>
  </si>
  <si>
    <t>Bridgestone 225/65 17 Dueler HT 470</t>
  </si>
  <si>
    <t>225/65 17</t>
  </si>
  <si>
    <t>Dueler HT 470</t>
  </si>
  <si>
    <t>Rp766.000</t>
  </si>
  <si>
    <t>COD paket kakak untuk member</t>
  </si>
  <si>
    <t>Sarapan bian</t>
  </si>
  <si>
    <t>BRIDGESTONE 225/75 16 DURAVIS</t>
  </si>
  <si>
    <t>225/75 16</t>
  </si>
  <si>
    <t>BRIDGESTONE</t>
  </si>
  <si>
    <t>Bian kemarin</t>
  </si>
  <si>
    <t>Bensin dll</t>
  </si>
  <si>
    <t>Bensin CRF</t>
  </si>
  <si>
    <t>Bridgestone 235/50 18 Turanza</t>
  </si>
  <si>
    <t>235/50 18</t>
  </si>
  <si>
    <t>Baut klaim tembakan impact</t>
  </si>
  <si>
    <t>baso bian dan kutil</t>
  </si>
  <si>
    <t>Nambah bian dan admin ke mah nabil</t>
  </si>
  <si>
    <t>Sarapan</t>
  </si>
  <si>
    <t>Bayar COD Bian</t>
  </si>
  <si>
    <t xml:space="preserve">                                                                   </t>
  </si>
  <si>
    <t>Bridgestone 235/60 16 D687</t>
  </si>
  <si>
    <t>235/60 16</t>
  </si>
  <si>
    <t>Rp944.794</t>
  </si>
  <si>
    <t>Bridgestone 235/60 18</t>
  </si>
  <si>
    <t>235/60 18</t>
  </si>
  <si>
    <t>Bian tambal ban</t>
  </si>
  <si>
    <t>Rp990.539</t>
  </si>
  <si>
    <t>Ibu kasbon A ade</t>
  </si>
  <si>
    <t>235/70 15</t>
  </si>
  <si>
    <t>Add Customers</t>
  </si>
  <si>
    <t>Dueler</t>
  </si>
  <si>
    <t>Selling Credit</t>
  </si>
  <si>
    <t>COD BIAN</t>
  </si>
  <si>
    <t>Payment to Supplier/Distributor</t>
  </si>
  <si>
    <t>FJ/PST/BDG/25/02/0190</t>
  </si>
  <si>
    <t>Code</t>
  </si>
  <si>
    <t>Dueler H/T 689</t>
  </si>
  <si>
    <t>COD kakak</t>
  </si>
  <si>
    <t>Bridgestone 250//15 16PR JL</t>
  </si>
  <si>
    <t>FJ/PST/BDG/25/02/0194</t>
  </si>
  <si>
    <t>Print laporan</t>
  </si>
  <si>
    <t>250//15</t>
  </si>
  <si>
    <t>16PR JL</t>
  </si>
  <si>
    <t>Dunlop 235/60 16 ST20</t>
  </si>
  <si>
    <t>Rp1.170.000</t>
  </si>
  <si>
    <t>Name</t>
  </si>
  <si>
    <t>No. Invoice</t>
  </si>
  <si>
    <t>Bridgestone 265/65 17 Dueler 684</t>
  </si>
  <si>
    <t>Customer</t>
  </si>
  <si>
    <t>265/65 17</t>
  </si>
  <si>
    <t>Dueler 684</t>
  </si>
  <si>
    <t>Benerin mobil bian</t>
  </si>
  <si>
    <t>02/2025/000333</t>
  </si>
  <si>
    <t>Ganti uang rokok</t>
  </si>
  <si>
    <t>Biaya benerin mobil</t>
  </si>
  <si>
    <t>Bridgestone 650/10 10PR JL</t>
  </si>
  <si>
    <t>10PR JL</t>
  </si>
  <si>
    <t>Pentil motor</t>
  </si>
  <si>
    <t>Rp347.480</t>
  </si>
  <si>
    <t>Cash Price</t>
  </si>
  <si>
    <t>MRD</t>
  </si>
  <si>
    <t>Credit Price</t>
  </si>
  <si>
    <t>Bian jajan tahu gejrot</t>
  </si>
  <si>
    <t>MRN</t>
  </si>
  <si>
    <t>Bayar kentang ke pak H, Entang</t>
  </si>
  <si>
    <t>Beli makan anjing + bian martabak</t>
  </si>
  <si>
    <t>Bridgestone 900*20</t>
  </si>
  <si>
    <t>Castrol GTX 1 Liter</t>
  </si>
  <si>
    <t>1 Liter</t>
  </si>
  <si>
    <t>GTX</t>
  </si>
  <si>
    <t>Castrol</t>
  </si>
  <si>
    <t>NON</t>
  </si>
  <si>
    <t>OIL</t>
  </si>
  <si>
    <t>Add Distributor</t>
  </si>
  <si>
    <t>FJ/HO/02/25/00414</t>
  </si>
  <si>
    <t>Transfer</t>
  </si>
  <si>
    <t>Rp347.500</t>
  </si>
  <si>
    <t>Bian baso</t>
  </si>
  <si>
    <t>Castrol Magnetic 10W-40  1 Liter</t>
  </si>
  <si>
    <t xml:space="preserve">Magnetic 10W-40 </t>
  </si>
  <si>
    <t>5</t>
  </si>
  <si>
    <t>SLS-SDR-2501721</t>
  </si>
  <si>
    <t xml:space="preserve">BENSIN </t>
  </si>
  <si>
    <t>Rp2.665.000</t>
  </si>
  <si>
    <t>Castrol Magnetic 10W-40  4 Liter</t>
  </si>
  <si>
    <t>4 Liter</t>
  </si>
  <si>
    <t>Pajak PPH</t>
  </si>
  <si>
    <t>VIA</t>
  </si>
  <si>
    <t>FJ.PST/BDG/26/08/0015</t>
  </si>
  <si>
    <t>Bian jajan pakai uang pak ejen</t>
  </si>
  <si>
    <t>Castrol Magnetic 5W-40  1 Liter</t>
  </si>
  <si>
    <t xml:space="preserve">Magnetic 5W-40 </t>
  </si>
  <si>
    <t>Rp510.000</t>
  </si>
  <si>
    <t xml:space="preserve">                 </t>
  </si>
  <si>
    <t>Supir ci novi</t>
  </si>
  <si>
    <t>Bensin mio</t>
  </si>
  <si>
    <t>FJ/25/03/0331</t>
  </si>
  <si>
    <t>Castrol Magnetic 5W-40  4 Liter</t>
  </si>
  <si>
    <t>FJ/PST/BDG/25/02/0243</t>
  </si>
  <si>
    <t>FJ/25/03/0332</t>
  </si>
  <si>
    <t>Castrol Magnetic Diesel 10W-30 4 Liter</t>
  </si>
  <si>
    <t>Magnetic Diesel 10W-30</t>
  </si>
  <si>
    <t>FJ/PST/BDG/25/02/0255</t>
  </si>
  <si>
    <t>Dunlop 195/60 16 EC300</t>
  </si>
  <si>
    <t>Supir petamina</t>
  </si>
  <si>
    <t>Rp794.000</t>
  </si>
  <si>
    <t>Castrol Magnetic Stop-Star 5W-30  1 Liter</t>
  </si>
  <si>
    <t xml:space="preserve">Magnetic Stop-Star 5W-30 </t>
  </si>
  <si>
    <t>FJ/26/03/03/0013</t>
  </si>
  <si>
    <t>Cicilan BNI</t>
  </si>
  <si>
    <t>Rp519.500</t>
  </si>
  <si>
    <t>Castrol Magnetic Stop-Star 5W-30  4 Liter</t>
  </si>
  <si>
    <t>FJ/PST/BDG/15/07/0248</t>
  </si>
  <si>
    <t>Supir pak tri</t>
  </si>
  <si>
    <t>Dunlop 205/55 17 ENASEV</t>
  </si>
  <si>
    <t>Rp985.000</t>
  </si>
  <si>
    <t>Filter Oli Innova Bensin</t>
  </si>
  <si>
    <t>Denso</t>
  </si>
  <si>
    <t>Ganti uang bian</t>
  </si>
  <si>
    <t>Dunlop 215/45 17 DIREZA</t>
  </si>
  <si>
    <t>Rp785.000</t>
  </si>
  <si>
    <t>Filter Oli Innova Solar</t>
  </si>
  <si>
    <t xml:space="preserve">bian makan gofood </t>
  </si>
  <si>
    <t>bensin</t>
  </si>
  <si>
    <t>Baso kutil sama kemarin</t>
  </si>
  <si>
    <t>Dunlop 205/45 17 DIREZA</t>
  </si>
  <si>
    <t>155/80 12</t>
  </si>
  <si>
    <t>SP10</t>
  </si>
  <si>
    <t>Rp765.000</t>
  </si>
  <si>
    <t>Dunlop</t>
  </si>
  <si>
    <t>Bian pulsa</t>
  </si>
  <si>
    <t>Dunlop 215/60 17 EC300</t>
  </si>
  <si>
    <t>LT5</t>
  </si>
  <si>
    <t>Rp865.500</t>
  </si>
  <si>
    <t>Nasi kuning 2</t>
  </si>
  <si>
    <t>Ibu sarapan</t>
  </si>
  <si>
    <t>Dunlop 165/65 13 SP TOURING</t>
  </si>
  <si>
    <t>SP TOURING</t>
  </si>
  <si>
    <t>HIMEX</t>
  </si>
  <si>
    <t>FJ/PST/BDG/25/02/0259</t>
  </si>
  <si>
    <t>Bian bengkel</t>
  </si>
  <si>
    <t>Baso bian + montir</t>
  </si>
  <si>
    <t>Dunlop 165/80 13 TOURING</t>
  </si>
  <si>
    <t>TOURING</t>
  </si>
  <si>
    <t>SLS-SDR-2501959</t>
  </si>
  <si>
    <t>Rp945.190</t>
  </si>
  <si>
    <t>Cuangki bareng2</t>
  </si>
  <si>
    <t>Sarapan kemarin pakai uang dedi</t>
  </si>
  <si>
    <t>Ibu ke bian</t>
  </si>
  <si>
    <t>Insto</t>
  </si>
  <si>
    <t>FJ/HO/03/25/00028</t>
  </si>
  <si>
    <t>Dunlop 175/60 15 SP TOURING</t>
  </si>
  <si>
    <t>175/60 15</t>
  </si>
  <si>
    <t>Rp475.650</t>
  </si>
  <si>
    <t>Bian jajan kue balok</t>
  </si>
  <si>
    <t>EC300</t>
  </si>
  <si>
    <t>Rp592.200</t>
  </si>
  <si>
    <t>Galon 9</t>
  </si>
  <si>
    <t>Dunlop 175/65 14 TOURING</t>
  </si>
  <si>
    <t>Rp609.800</t>
  </si>
  <si>
    <t>Dunlop 175/70 12</t>
  </si>
  <si>
    <t>175/70 12</t>
  </si>
  <si>
    <t>Touring</t>
  </si>
  <si>
    <t>Tahu gejrot</t>
  </si>
  <si>
    <t>Rp666.500</t>
  </si>
  <si>
    <t>Kirim paket kaka</t>
  </si>
  <si>
    <t>GT 205/50 17 CHAMPIRO ECOTEC</t>
  </si>
  <si>
    <t>Rp671.590</t>
  </si>
  <si>
    <t>Bian beli mur</t>
  </si>
  <si>
    <t>Dunlop 185/55 15 EC300</t>
  </si>
  <si>
    <t>Rp672.230</t>
  </si>
  <si>
    <t>Dunlop 185/55 16 EC300</t>
  </si>
  <si>
    <t>GT 185/55 16 GTX</t>
  </si>
  <si>
    <t>Rp659.620</t>
  </si>
  <si>
    <t>Supir GT ci novi</t>
  </si>
  <si>
    <t>Dunlop 185/60 15 EC300</t>
  </si>
  <si>
    <t>GT 215/55 17 CHAMPIRO GTX PRO</t>
  </si>
  <si>
    <t>Rp904.050</t>
  </si>
  <si>
    <t>Bayar Pajak PPH</t>
  </si>
  <si>
    <t>FJ/PST/BDG/25/03/0043</t>
  </si>
  <si>
    <t>Solar inova bian</t>
  </si>
  <si>
    <t>GT 165/13 MAXMILLER</t>
  </si>
  <si>
    <t>Bian beli autosol</t>
  </si>
  <si>
    <t>Rp540.800</t>
  </si>
  <si>
    <t>FJ/PST/BDG/25/03/0147</t>
  </si>
  <si>
    <t>Baso</t>
  </si>
  <si>
    <t>DUNLOP 185/65 15 SP TOURING</t>
  </si>
  <si>
    <t>DUNLOP</t>
  </si>
  <si>
    <t>parab hayam dan burung</t>
  </si>
  <si>
    <t>Bian bensin mercy</t>
  </si>
  <si>
    <t>Fee konsultan pajak</t>
  </si>
  <si>
    <t>Dunlop 185/65 15 SP300</t>
  </si>
  <si>
    <t>SP300</t>
  </si>
  <si>
    <t>FJ/PST/BDG/25/03/0358</t>
  </si>
  <si>
    <t>Shopee food roti</t>
  </si>
  <si>
    <t>Rp690.560</t>
  </si>
  <si>
    <t>Bian service mobil</t>
  </si>
  <si>
    <t>Bian service panther</t>
  </si>
  <si>
    <t>ENASEV</t>
  </si>
  <si>
    <t>FJ/PST/BDG/25/04/0058</t>
  </si>
  <si>
    <t>nasi kuning</t>
  </si>
  <si>
    <t>cod cover mobul bian</t>
  </si>
  <si>
    <t>FJ/PST/BDG/25/04/0280</t>
  </si>
  <si>
    <t>Dunlop 185/70 14 SPRILL Z</t>
  </si>
  <si>
    <t>SPRILL Z</t>
  </si>
  <si>
    <t>bian</t>
  </si>
  <si>
    <t>Cabe</t>
  </si>
  <si>
    <t>FJ/PST/BDG/25/04/0281</t>
  </si>
  <si>
    <t>Rp39.400</t>
  </si>
  <si>
    <t>Bian belanja untuk panther</t>
  </si>
  <si>
    <t>FJ/PST/BDG/25/05/0078</t>
  </si>
  <si>
    <t>mas suryo</t>
  </si>
  <si>
    <t>Mikrolak bian</t>
  </si>
  <si>
    <t>Rp43.500</t>
  </si>
  <si>
    <t>Nambah beli kertas dan tinta</t>
  </si>
  <si>
    <t>FJ/PST/BDG/25/05/0081</t>
  </si>
  <si>
    <t>DUNLOP 195/50 16 DIREZA</t>
  </si>
  <si>
    <t>DIREZA</t>
  </si>
  <si>
    <t>bIAN</t>
  </si>
  <si>
    <t>Rp199.900</t>
  </si>
  <si>
    <t>Bian kacamata</t>
  </si>
  <si>
    <t>Tribon bian</t>
  </si>
  <si>
    <t>FJ/PST/BDG/25/05/139</t>
  </si>
  <si>
    <t>Bian gorengan</t>
  </si>
  <si>
    <t>FJ/HO/03/25/00029</t>
  </si>
  <si>
    <t>Rokok bian buat ke pangandaran</t>
  </si>
  <si>
    <t>Rp1.490.000</t>
  </si>
  <si>
    <t>Bian bubur sarapan</t>
  </si>
  <si>
    <t>Dunlop 195/55 16 EC300</t>
  </si>
  <si>
    <t>solar bian</t>
  </si>
  <si>
    <t>FJ/PST/BDG/25/06/0150</t>
  </si>
  <si>
    <t>Dunlop 195/60 15 SP TOURING</t>
  </si>
  <si>
    <t>SI/BDG/02/2025/00041</t>
  </si>
  <si>
    <t>Bensins scoopy</t>
  </si>
  <si>
    <t>kabel + solasi</t>
  </si>
  <si>
    <t>FJ/PST/BDG/25/06/0159</t>
  </si>
  <si>
    <t>Dunlop 195/60 15 SPTR1</t>
  </si>
  <si>
    <t>SPTR1</t>
  </si>
  <si>
    <t>Bian alfa jajan</t>
  </si>
  <si>
    <t>Rp145.000</t>
  </si>
  <si>
    <t>Wiper</t>
  </si>
  <si>
    <t>FJ/PST/BDG/25/06/0160</t>
  </si>
  <si>
    <t xml:space="preserve">kacamata </t>
  </si>
  <si>
    <t>Iuran RW</t>
  </si>
  <si>
    <t>Bian kupat tahu</t>
  </si>
  <si>
    <t>FJ/PST/BDG/25/06/0191</t>
  </si>
  <si>
    <t>Supir ko iwan</t>
  </si>
  <si>
    <t>Listrik toko</t>
  </si>
  <si>
    <t>Rp195.000</t>
  </si>
  <si>
    <t>Dunlop 195/65 15 SPRILL Z</t>
  </si>
  <si>
    <t>FJ/PST/BDG/25/06/0203</t>
  </si>
  <si>
    <t>Print banner</t>
  </si>
  <si>
    <t>Bajigur bian</t>
  </si>
  <si>
    <t>DUNLOP 195/65 16 EC300</t>
  </si>
  <si>
    <t>195/65 16</t>
  </si>
  <si>
    <t>eC300+</t>
  </si>
  <si>
    <t>MAXXIS 285/60 18 AT</t>
  </si>
  <si>
    <t>Kok bian</t>
  </si>
  <si>
    <t>Rp2.300.000</t>
  </si>
  <si>
    <t>Bian gofood sate</t>
  </si>
  <si>
    <t>FJ/PST/BDG/25/06/0245</t>
  </si>
  <si>
    <t>03-FJ2502002809</t>
  </si>
  <si>
    <t>Duratun 750/16 LT Y601</t>
  </si>
  <si>
    <t>Rp1.698.000</t>
  </si>
  <si>
    <t>Bian martabak manis</t>
  </si>
  <si>
    <t>FJ/PST/BDG/25/07/0118</t>
  </si>
  <si>
    <t>Dunlop 205/55 16 EC300</t>
  </si>
  <si>
    <t>M000985</t>
  </si>
  <si>
    <t>Laufen 175/65 14</t>
  </si>
  <si>
    <t>Rp437.000</t>
  </si>
  <si>
    <t>205/55 17</t>
  </si>
  <si>
    <t>FJ/PST/BDG/25/07/0205</t>
  </si>
  <si>
    <t>Laufen 185/70 14</t>
  </si>
  <si>
    <t>Rp454.000</t>
  </si>
  <si>
    <t>Supir pak tedi</t>
  </si>
  <si>
    <t>205/60 16</t>
  </si>
  <si>
    <t>Nambah service mercy</t>
  </si>
  <si>
    <t>FJ/PST/BDG/25/07/0206</t>
  </si>
  <si>
    <t>Laufen 205/65 15</t>
  </si>
  <si>
    <t>Bian ice cream</t>
  </si>
  <si>
    <t>Rp573.000</t>
  </si>
  <si>
    <t>Ibu beli cabe 2kg</t>
  </si>
  <si>
    <t>FJ/PST/BDG/25/07/0269</t>
  </si>
  <si>
    <t>Dunlop 205/65 15 SP SPORT</t>
  </si>
  <si>
    <t>bensin scoopy dan bian jajan</t>
  </si>
  <si>
    <t>SP SPORT</t>
  </si>
  <si>
    <t>Nambah COD ibu</t>
  </si>
  <si>
    <t>Rp591.500</t>
  </si>
  <si>
    <t>Bian sarapan batagor</t>
  </si>
  <si>
    <t>FJ/PST/BDG/25/09/0001</t>
  </si>
  <si>
    <t>Dunlop 205/70 15 LM</t>
  </si>
  <si>
    <t>LM</t>
  </si>
  <si>
    <t>FJ/PST/BDG/25/09/0002</t>
  </si>
  <si>
    <t>Bian ciomay rian</t>
  </si>
  <si>
    <t>Plat strip</t>
  </si>
  <si>
    <t>FJ/PST/BDG/25/09/0006</t>
  </si>
  <si>
    <t>SLS-SDR-2502147</t>
  </si>
  <si>
    <t>Dunlop 215/50 17 DZ102</t>
  </si>
  <si>
    <t>DZ102</t>
  </si>
  <si>
    <t>Rp1.663.962</t>
  </si>
  <si>
    <t>Bian jajan alfagift</t>
  </si>
  <si>
    <t>Baut untuk mobil</t>
  </si>
  <si>
    <t>Dunlop 215/50 17 LM705</t>
  </si>
  <si>
    <t>FJ/PST/BDG/25/09/0134</t>
  </si>
  <si>
    <t>LM705</t>
  </si>
  <si>
    <t xml:space="preserve">Supir dunlop </t>
  </si>
  <si>
    <t>Rp1.283.251</t>
  </si>
  <si>
    <t>Dunlop 215/55 17 SPORTMAXX</t>
  </si>
  <si>
    <t>SPORTMAXX</t>
  </si>
  <si>
    <t>FJ/PST/BDG/25/09/0149</t>
  </si>
  <si>
    <t>Bian beli selang</t>
  </si>
  <si>
    <t>M000240</t>
  </si>
  <si>
    <t>Michelin 205/75 14</t>
  </si>
  <si>
    <t>Rp1.550.000</t>
  </si>
  <si>
    <t>COD Dompet</t>
  </si>
  <si>
    <t>Nambah kas bon A ade</t>
  </si>
  <si>
    <t>FJ/PST/BDG/25/09/0162</t>
  </si>
  <si>
    <t>215/65 16</t>
  </si>
  <si>
    <t>ST20</t>
  </si>
  <si>
    <t>Ganti uang bian ke indramayu</t>
  </si>
  <si>
    <t>Beli air galon</t>
  </si>
  <si>
    <t>Baut inova</t>
  </si>
  <si>
    <t>FJ/PST/BDG/25/10/006</t>
  </si>
  <si>
    <t>Dunlop 215/70 15 LM</t>
  </si>
  <si>
    <t>GiTi 11R 22.5 GRS225</t>
  </si>
  <si>
    <t>Rp3.775.000</t>
  </si>
  <si>
    <t>DUNLOP 225/60 18 SPORTMAXX</t>
  </si>
  <si>
    <t>225/60 18</t>
  </si>
  <si>
    <t>FJ/PST/BDG/25/10/0061</t>
  </si>
  <si>
    <t>Rp1.281.000</t>
  </si>
  <si>
    <t>Dunlop 225/65 17 ST30</t>
  </si>
  <si>
    <t>ST30</t>
  </si>
  <si>
    <t>FJ/PST/BDG/25/10/0138</t>
  </si>
  <si>
    <t>SLS-SDR-2502392</t>
  </si>
  <si>
    <t>Amplop 5 proposal</t>
  </si>
  <si>
    <t>Dunlop 235/50 18 DZ102</t>
  </si>
  <si>
    <t>Bian sarapan siomay</t>
  </si>
  <si>
    <t>FJ/PST/BDG/25/10/0209</t>
  </si>
  <si>
    <t>Supir beras</t>
  </si>
  <si>
    <t>GT 195/70 14 ECOTEC</t>
  </si>
  <si>
    <t>Rp535.680</t>
  </si>
  <si>
    <t>FJ/PST/BDG/25/10/0210</t>
  </si>
  <si>
    <t>Supir Ci Novi</t>
  </si>
  <si>
    <t>Proposal 17-an 1</t>
  </si>
  <si>
    <t>Dunlop 265/60 18 GRANDTREK</t>
  </si>
  <si>
    <t>265/60 18</t>
  </si>
  <si>
    <t>GRANDTREK</t>
  </si>
  <si>
    <t>Bian beli bensin</t>
  </si>
  <si>
    <t>Dunlop 265/65 17 AT25</t>
  </si>
  <si>
    <t>Makanan dan vitamin ayam</t>
  </si>
  <si>
    <t>FJ/PST/BDG/25/10/0231</t>
  </si>
  <si>
    <t>AT25</t>
  </si>
  <si>
    <t>Kabel dan lampu untuk ayam</t>
  </si>
  <si>
    <t>Silicon untuk inova</t>
  </si>
  <si>
    <t>Rp516.460</t>
  </si>
  <si>
    <t>Pak wawan</t>
  </si>
  <si>
    <t>12PR</t>
  </si>
  <si>
    <t>FJ/PST/BDG/25/11/0091</t>
  </si>
  <si>
    <t>Kelapa parut + air</t>
  </si>
  <si>
    <t>GT 215/65 16 SAVERO SUV</t>
  </si>
  <si>
    <t>Dunlop 900*20</t>
  </si>
  <si>
    <t>Rp727.260</t>
  </si>
  <si>
    <t>jasa pak wawan benerin panther</t>
  </si>
  <si>
    <t>FJ/PST/BDG/25/11/0118</t>
  </si>
  <si>
    <t>COD kunci sock</t>
  </si>
  <si>
    <t>Duratun 11R</t>
  </si>
  <si>
    <t>Bian ke bandung</t>
  </si>
  <si>
    <t>11R</t>
  </si>
  <si>
    <t>Duratun</t>
  </si>
  <si>
    <t>Lem paralon dan semen</t>
  </si>
  <si>
    <t>Ciomay bian sarapan</t>
  </si>
  <si>
    <t>Bian jelly</t>
  </si>
  <si>
    <t>Duratun 750/15 G51</t>
  </si>
  <si>
    <t>FJ/PST/BDG/25/11/0136</t>
  </si>
  <si>
    <t>G51</t>
  </si>
  <si>
    <t>DURATUN</t>
  </si>
  <si>
    <t>Bian dan montir jajan baso</t>
  </si>
  <si>
    <t>FJ/PST/BDG/2503/0126</t>
  </si>
  <si>
    <t>Duratun 750/16 14pr</t>
  </si>
  <si>
    <t>14pr</t>
  </si>
  <si>
    <t>FJ/PST/BDG/25/11/0220</t>
  </si>
  <si>
    <t>Mata gurinda</t>
  </si>
  <si>
    <t>Rp715.000</t>
  </si>
  <si>
    <t>Duratun 750/16 KASAR</t>
  </si>
  <si>
    <t>KASAR</t>
  </si>
  <si>
    <t>Ka abah</t>
  </si>
  <si>
    <t>FJ/PST/BDG/25/12/0028</t>
  </si>
  <si>
    <t>Y601</t>
  </si>
  <si>
    <t>Rp742.000</t>
  </si>
  <si>
    <t>pirodo + Ring</t>
  </si>
  <si>
    <t>Duratun 750/16 set</t>
  </si>
  <si>
    <t>FJ/PST/BDG/25/12/0065</t>
  </si>
  <si>
    <t>set</t>
  </si>
  <si>
    <t>rak galon</t>
  </si>
  <si>
    <t>Rp762.000</t>
  </si>
  <si>
    <t>Silip untuk ganti oli</t>
  </si>
  <si>
    <t>Duratun 750/16 Y226</t>
  </si>
  <si>
    <t>Y226</t>
  </si>
  <si>
    <t>FJ/PST/BDG/25/12/0193</t>
  </si>
  <si>
    <t>Bian cod</t>
  </si>
  <si>
    <t>Supir velg</t>
  </si>
  <si>
    <t>Bian kasih ke dedi ambil ban</t>
  </si>
  <si>
    <t>Rp540.000</t>
  </si>
  <si>
    <t>Filter oli ORI KW</t>
  </si>
  <si>
    <t>Sakura</t>
  </si>
  <si>
    <t>nambah beli asin</t>
  </si>
  <si>
    <t>kunci shok</t>
  </si>
  <si>
    <t>Flap 10 GT</t>
  </si>
  <si>
    <t>Flap</t>
  </si>
  <si>
    <t>Rp1.400.000</t>
  </si>
  <si>
    <t>COD kentang</t>
  </si>
  <si>
    <t>Flap 1000*20 Bridgestone</t>
  </si>
  <si>
    <t>FJ/PST/BDG/2503/0134</t>
  </si>
  <si>
    <t>lampu untuk ayam</t>
  </si>
  <si>
    <t>Rp1.747.000</t>
  </si>
  <si>
    <t>Flap 1000*20 GT</t>
  </si>
  <si>
    <t>Bi nuri di suruh ibu</t>
  </si>
  <si>
    <t>Ibu bubur</t>
  </si>
  <si>
    <t>FJ/PST/BDG/26/01/0001</t>
  </si>
  <si>
    <t>Flap 12 Forklift GT</t>
  </si>
  <si>
    <t>Rp1.305.000</t>
  </si>
  <si>
    <t>FJ/PST/BDG/26/01/0027</t>
  </si>
  <si>
    <t>Flap 15 Bridgestone</t>
  </si>
  <si>
    <t>Bian jajan ciomay sarapan</t>
  </si>
  <si>
    <t>Ongkir kimia farma</t>
  </si>
  <si>
    <t>FJ/PST/BDG/26/01/0079</t>
  </si>
  <si>
    <t>Rp935.000</t>
  </si>
  <si>
    <t>Rotio 5</t>
  </si>
  <si>
    <t>Flap 15 Cleon</t>
  </si>
  <si>
    <t>Plat cakram panther</t>
  </si>
  <si>
    <t>Cleon</t>
  </si>
  <si>
    <t>FJ/PST/BDG/26/01/0087</t>
  </si>
  <si>
    <t>Batagor bian</t>
  </si>
  <si>
    <t>Baut untuk mercy</t>
  </si>
  <si>
    <t>Bayar pak wawan</t>
  </si>
  <si>
    <t>FJ/PST/BDG/26/01/0207</t>
  </si>
  <si>
    <t>Batre</t>
  </si>
  <si>
    <t>Flap 15 INDOTUBE</t>
  </si>
  <si>
    <t>Gusi dan bian cimol</t>
  </si>
  <si>
    <t>INDOTUBE</t>
  </si>
  <si>
    <t>Rp557.000</t>
  </si>
  <si>
    <t>tagihan aku laku bian</t>
  </si>
  <si>
    <t>FJ/PST/BDG/26/01/0208</t>
  </si>
  <si>
    <t>Flap 15 MRV</t>
  </si>
  <si>
    <t>MRV</t>
  </si>
  <si>
    <t>Bian jajan baso</t>
  </si>
  <si>
    <t>GT 205/45 17 GTX PRO</t>
  </si>
  <si>
    <t>Rp700.600</t>
  </si>
  <si>
    <t>Cicilan shopee</t>
  </si>
  <si>
    <t>FJ/PST/BDG/26/01/0209</t>
  </si>
  <si>
    <t>Rp760.000</t>
  </si>
  <si>
    <t>Flap 16 Aspira</t>
  </si>
  <si>
    <t>Ambil motor di bengkel</t>
  </si>
  <si>
    <t>Bian beli susu murni</t>
  </si>
  <si>
    <t>FJ/PST/BDG/26/01/0267</t>
  </si>
  <si>
    <t>Bian ambil uang disuruh ibu</t>
  </si>
  <si>
    <t>Flap 16 Bridgestone</t>
  </si>
  <si>
    <t>Lampu</t>
  </si>
  <si>
    <t>BAYAR BUNDA NABIL</t>
  </si>
  <si>
    <t>Flap 16 Cleon</t>
  </si>
  <si>
    <t>FJ/PST/BDG/26/02/0004</t>
  </si>
  <si>
    <t>hari spesial</t>
  </si>
  <si>
    <t>Rp562.000</t>
  </si>
  <si>
    <t>hari spesial 2</t>
  </si>
  <si>
    <t>ngasih supir ci nopi</t>
  </si>
  <si>
    <t>Flap 16 DB</t>
  </si>
  <si>
    <t>DB</t>
  </si>
  <si>
    <t>pentil 500 picis</t>
  </si>
  <si>
    <t>FJ/PST/BDG/26/02/0010</t>
  </si>
  <si>
    <t>parab hayam</t>
  </si>
  <si>
    <t>parab asu</t>
  </si>
  <si>
    <t xml:space="preserve">sate hayam </t>
  </si>
  <si>
    <t>bian kebaap</t>
  </si>
  <si>
    <t>beli kripik bibi</t>
  </si>
  <si>
    <t>FJ/PST/BDG/26/02/151</t>
  </si>
  <si>
    <t>Flap 16 INDOTUBE</t>
  </si>
  <si>
    <t>beli solar</t>
  </si>
  <si>
    <t>Flap 16 MRV</t>
  </si>
  <si>
    <t>Ibu cod coput</t>
  </si>
  <si>
    <t>FJ/PST/BDG/26/03/0231</t>
  </si>
  <si>
    <t>Rp1.000.000</t>
  </si>
  <si>
    <t>Keyboard</t>
  </si>
  <si>
    <t>jajan bian</t>
  </si>
  <si>
    <t>sarapan kaka</t>
  </si>
  <si>
    <t>FJ/PST/BDG/26/03/0251</t>
  </si>
  <si>
    <t>Flap 16 Plus Plat</t>
  </si>
  <si>
    <t>FLAP</t>
  </si>
  <si>
    <t>sealtip</t>
  </si>
  <si>
    <t>Rp740.000</t>
  </si>
  <si>
    <t>Makroni basah bian</t>
  </si>
  <si>
    <t>Softex</t>
  </si>
  <si>
    <t>Flap 16 Truckoor</t>
  </si>
  <si>
    <t>Batagor</t>
  </si>
  <si>
    <t>FJ/PST/BDG/26/03/0276</t>
  </si>
  <si>
    <t>Kaka</t>
  </si>
  <si>
    <t>tranfer bian</t>
  </si>
  <si>
    <t>COD shopee kaka</t>
  </si>
  <si>
    <t>Flap 20 INDOTUBE</t>
  </si>
  <si>
    <t>uang eskrim</t>
  </si>
  <si>
    <t>FJ/PST/BDG/26/04/0109</t>
  </si>
  <si>
    <t>Kakak beli yakult</t>
  </si>
  <si>
    <t>supir ci novi</t>
  </si>
  <si>
    <t>Flap 900 Bridgestone</t>
  </si>
  <si>
    <t>Rp602.000</t>
  </si>
  <si>
    <t>makan bian</t>
  </si>
  <si>
    <t>FJ/PST/BDG/26/04/0110</t>
  </si>
  <si>
    <t>token pln toko</t>
  </si>
  <si>
    <t>beli lem ibu</t>
  </si>
  <si>
    <t>Flap 900*20 GT</t>
  </si>
  <si>
    <t>ngasih mg jejen</t>
  </si>
  <si>
    <t>BAYAR ONDERDIL</t>
  </si>
  <si>
    <t>SUPIR BS</t>
  </si>
  <si>
    <t>Flap Forklift 600*9 GT</t>
  </si>
  <si>
    <t>FJ/PST/BDG/26/04/0112</t>
  </si>
  <si>
    <t>600*9</t>
  </si>
  <si>
    <t>THEO BASO</t>
  </si>
  <si>
    <t>KAMEJA THEO</t>
  </si>
  <si>
    <t>Baso kaka dan bian</t>
  </si>
  <si>
    <t>Forceum 165/80 13 M/T</t>
  </si>
  <si>
    <t>M/T</t>
  </si>
  <si>
    <t>Forceum</t>
  </si>
  <si>
    <t>Ibu ambil untuk pak jejen</t>
  </si>
  <si>
    <t>FJ/PST/BDG/26/04/0114</t>
  </si>
  <si>
    <t>iuran warga</t>
  </si>
  <si>
    <t>COD CELANA THEO</t>
  </si>
  <si>
    <t>GT 185/55 15 ECOTEC</t>
  </si>
  <si>
    <t>Forceum 175/13</t>
  </si>
  <si>
    <t>ongkir kimia farma</t>
  </si>
  <si>
    <t>Rp578.460</t>
  </si>
  <si>
    <t>beli lem treabond dedi</t>
  </si>
  <si>
    <t>sarapan</t>
  </si>
  <si>
    <t>FJ/PST/BDG/26/04/0147</t>
  </si>
  <si>
    <t>makan siang</t>
  </si>
  <si>
    <t>Forceum 175/65 14</t>
  </si>
  <si>
    <t>benerin motor win</t>
  </si>
  <si>
    <t>SLS-SDR-25002558</t>
  </si>
  <si>
    <t>SOLAR</t>
  </si>
  <si>
    <t>Forceum 185/14</t>
  </si>
  <si>
    <t>Busi</t>
  </si>
  <si>
    <t>Bayar listrik</t>
  </si>
  <si>
    <t>FJ/PST/BDG/26/04/0178</t>
  </si>
  <si>
    <t>supir shell</t>
  </si>
  <si>
    <t>Rp799.425</t>
  </si>
  <si>
    <t>Forceum 185/65 15</t>
  </si>
  <si>
    <t>FJ/PST/BDG/26/04/0180</t>
  </si>
  <si>
    <t>Forceum 185/70 14</t>
  </si>
  <si>
    <t>SLS-SDR-25002559</t>
  </si>
  <si>
    <t>Forceum 195/65 15</t>
  </si>
  <si>
    <t>FJ/PST/BDG/26/05/0041</t>
  </si>
  <si>
    <t>G. YEAR 155/80 12 DP</t>
  </si>
  <si>
    <t>DP</t>
  </si>
  <si>
    <t>G. YEAR</t>
  </si>
  <si>
    <t>FJ/PST/BDG/26/05/0116</t>
  </si>
  <si>
    <t>G. YEAR 165/80 13 DP</t>
  </si>
  <si>
    <t>Rp572.762</t>
  </si>
  <si>
    <t>G. YEAR 175/13 8PR WDT</t>
  </si>
  <si>
    <t>8PR WDT</t>
  </si>
  <si>
    <t>FJ/PST/BDG/26/05/0202</t>
  </si>
  <si>
    <t>G. YEAR 175/65 14 ADP2</t>
  </si>
  <si>
    <t>ADP2</t>
  </si>
  <si>
    <t>FJ/PST/BDG/26/06/0076</t>
  </si>
  <si>
    <t>G. YEAR 185/55 15 ATM1</t>
  </si>
  <si>
    <t>ATM1</t>
  </si>
  <si>
    <t>G. YEAR 185/60 15 ADP2</t>
  </si>
  <si>
    <t>FJ/PST/BDG/26/06/0159</t>
  </si>
  <si>
    <t>G. YEAR 185/65 15 ADP2</t>
  </si>
  <si>
    <t>FJ/PST/BDG/26/06/0170</t>
  </si>
  <si>
    <t>G. YEAR 185/70 14 ADP2</t>
  </si>
  <si>
    <t>Rp810.342</t>
  </si>
  <si>
    <t>G. YEAR 195/65 15 ADP2</t>
  </si>
  <si>
    <t>FJ/PST/BDG/26/06/0203</t>
  </si>
  <si>
    <t>SLS-SDR-25002560</t>
  </si>
  <si>
    <t>Rp671.104</t>
  </si>
  <si>
    <t>G. YEAR 195/70 14 ADP2</t>
  </si>
  <si>
    <t>FJ/PST/BDG/26/06/0226</t>
  </si>
  <si>
    <t>Rp680.512</t>
  </si>
  <si>
    <t>G. YEAR 205/55 16 ATM</t>
  </si>
  <si>
    <t>ATM</t>
  </si>
  <si>
    <t>FJ/PST/BDG/26/07/0103</t>
  </si>
  <si>
    <t>G. YEAR 205/65 15 ADP2</t>
  </si>
  <si>
    <t>FJ/PST/BDG/26/08/0019</t>
  </si>
  <si>
    <t>G. YEAR 205/65 16 ADP2</t>
  </si>
  <si>
    <t xml:space="preserve">Top Ukuran BAN </t>
  </si>
  <si>
    <t>Rp564.181</t>
  </si>
  <si>
    <t>FJ/PST/BDG/26/08/0186</t>
  </si>
  <si>
    <t>G. YEAR 750/15 SET</t>
  </si>
  <si>
    <t>SET</t>
  </si>
  <si>
    <t>4009773492</t>
  </si>
  <si>
    <t>Rp111.800</t>
  </si>
  <si>
    <t>2020 HD</t>
  </si>
  <si>
    <t>FJ/PST/BDG/26/08/036</t>
  </si>
  <si>
    <t>GT 700/12 12PR GRIP</t>
  </si>
  <si>
    <t>Rp1.003.000</t>
  </si>
  <si>
    <t>G. YEAR 750/16 S501</t>
  </si>
  <si>
    <t>S501</t>
  </si>
  <si>
    <t>FJ/PST/BDG/26/09/0002</t>
  </si>
  <si>
    <t>11R 22.5</t>
  </si>
  <si>
    <t>GSR225</t>
  </si>
  <si>
    <t>GiTi</t>
  </si>
  <si>
    <t>Rp157.500</t>
  </si>
  <si>
    <t>GiTi 750/16 GAR</t>
  </si>
  <si>
    <t>GAR</t>
  </si>
  <si>
    <t>FJ/PST/BDG/26/09/0068</t>
  </si>
  <si>
    <t>Rp76.000</t>
  </si>
  <si>
    <t>GiTi 750/16 GAZ</t>
  </si>
  <si>
    <t>GAZ</t>
  </si>
  <si>
    <t>GOOD YEAR 750/16 SGD</t>
  </si>
  <si>
    <t>SDG</t>
  </si>
  <si>
    <t>GOOD YEAR</t>
  </si>
  <si>
    <t>GT 185/80 14 ECOTEC</t>
  </si>
  <si>
    <t>Rp549.320</t>
  </si>
  <si>
    <t>Goodride</t>
  </si>
  <si>
    <t>Rp822.740</t>
  </si>
  <si>
    <t>GT 1000*20</t>
  </si>
  <si>
    <t>GT 195/55 15 GTX PRO</t>
  </si>
  <si>
    <t>GT 11.00 * 20 SUPER</t>
  </si>
  <si>
    <t>11.00 * 20</t>
  </si>
  <si>
    <t>Rp638.600</t>
  </si>
  <si>
    <t>SUPER</t>
  </si>
  <si>
    <t>GT 145/80 13 ECOTEC</t>
  </si>
  <si>
    <t>03-FJ2503003845</t>
  </si>
  <si>
    <t>145/80 13</t>
  </si>
  <si>
    <t>ECOTEC</t>
  </si>
  <si>
    <t>GT 155/80 12 BXT PLUS</t>
  </si>
  <si>
    <t>BXT PLUS</t>
  </si>
  <si>
    <t>178-0001965</t>
  </si>
  <si>
    <t>Rp184.150</t>
  </si>
  <si>
    <t>MAXMILLER</t>
  </si>
  <si>
    <t>GT 165/65 13 ECOTEC</t>
  </si>
  <si>
    <t>Rp2.074.000</t>
  </si>
  <si>
    <t>GT 165/70 13 ECOTEC</t>
  </si>
  <si>
    <t>165/70 13</t>
  </si>
  <si>
    <t>GT 195/60 16 ECOTEC</t>
  </si>
  <si>
    <t>M000278</t>
  </si>
  <si>
    <t>Micelin 175/80 13 XCD2</t>
  </si>
  <si>
    <t>GT 175/70 12 BXT PLUS</t>
  </si>
  <si>
    <t>GT 175/70 13 ECOTEC</t>
  </si>
  <si>
    <t>SLS-SDR-2502904</t>
  </si>
  <si>
    <t>GT 185/55 15 CHAMPIRO BTX</t>
  </si>
  <si>
    <t>CHAMPIRO BTX</t>
  </si>
  <si>
    <t>GT 185/55 15 Champiro GTX</t>
  </si>
  <si>
    <t>CHAMPIRO GTX</t>
  </si>
  <si>
    <t>SLS-SDR-2502905</t>
  </si>
  <si>
    <t>Rp846.720</t>
  </si>
  <si>
    <t>GT 185/55 16 ECOTEC</t>
  </si>
  <si>
    <t>Rp766.438</t>
  </si>
  <si>
    <t>GTX PRO2</t>
  </si>
  <si>
    <t>SLS-SDR-2502916</t>
  </si>
  <si>
    <t>Rp634.099</t>
  </si>
  <si>
    <t>GT 185/60 14 ECOTEC</t>
  </si>
  <si>
    <t>185/60 14</t>
  </si>
  <si>
    <t>GT 185/60 14 GTX PRO</t>
  </si>
  <si>
    <t>Rp580.000</t>
  </si>
  <si>
    <t>GTX PRO</t>
  </si>
  <si>
    <t>GT 185/60 15 ECOTEC</t>
  </si>
  <si>
    <t>GT 185/60 15 GTX</t>
  </si>
  <si>
    <t>GT 185/65 14</t>
  </si>
  <si>
    <t>185/65 14</t>
  </si>
  <si>
    <t>GT 185/65 15 BXT PRO</t>
  </si>
  <si>
    <t>BXT PRO</t>
  </si>
  <si>
    <t>Rp770.000</t>
  </si>
  <si>
    <t>GT 185/65 15 CHAMPIRO GTX</t>
  </si>
  <si>
    <t>Rp690.000</t>
  </si>
  <si>
    <t>GT 185/70 14 BXT PLUS</t>
  </si>
  <si>
    <t>GT 195/14 MAXMILLER</t>
  </si>
  <si>
    <t>GT 195/50 15 CHAMPIRO GTX PRO</t>
  </si>
  <si>
    <t>195/50 15</t>
  </si>
  <si>
    <t>CHAMPIRO GTX PRO</t>
  </si>
  <si>
    <t>GT 195/50 16 GTX PRO</t>
  </si>
  <si>
    <t>GT 195/60 15 CHAMPIRO GTX</t>
  </si>
  <si>
    <t>GT 195/60 15 ECOTEC</t>
  </si>
  <si>
    <t>01-240826</t>
  </si>
  <si>
    <t>Rp462.500</t>
  </si>
  <si>
    <t>02-240826</t>
  </si>
  <si>
    <t>Rp465.000</t>
  </si>
  <si>
    <t>ibu</t>
  </si>
  <si>
    <t>205/50 16</t>
  </si>
  <si>
    <t>Champiro SX2</t>
  </si>
  <si>
    <t>Rp2.045.000</t>
  </si>
  <si>
    <t>205/50 17</t>
  </si>
  <si>
    <t>CHAMPIRO ECOTEC</t>
  </si>
  <si>
    <t>SI/BDG/04/2025/00005</t>
  </si>
  <si>
    <t>GT 205/55 16 GTX PRO</t>
  </si>
  <si>
    <t>Rp1.650.000</t>
  </si>
  <si>
    <t>GT 205/60 16 GTX PRO</t>
  </si>
  <si>
    <t>M000337</t>
  </si>
  <si>
    <t>GT 205/65 16 CHAMPIRO LUXE</t>
  </si>
  <si>
    <t>CHAMPIRO LUXE</t>
  </si>
  <si>
    <t>M000342</t>
  </si>
  <si>
    <t>GT 205/65 16 ECOTEC</t>
  </si>
  <si>
    <t>GT 205/70 15 SAVERO SUV</t>
  </si>
  <si>
    <t>M001150</t>
  </si>
  <si>
    <t>SAVERO SUV</t>
  </si>
  <si>
    <t>GT 215/45 17 GTX PRO</t>
  </si>
  <si>
    <t>M001506</t>
  </si>
  <si>
    <t>POLOSAN</t>
  </si>
  <si>
    <t>GT 215/50 17 GTX PRO</t>
  </si>
  <si>
    <t>M001609</t>
  </si>
  <si>
    <t>FJ/HO/04/25/00134</t>
  </si>
  <si>
    <t>GT 215/55 17 SAVERO SUV</t>
  </si>
  <si>
    <t>M002003</t>
  </si>
  <si>
    <t>Rp2.025.000</t>
  </si>
  <si>
    <t>GT 215/60 17 SAVERO SUV</t>
  </si>
  <si>
    <t>M002356</t>
  </si>
  <si>
    <t>GT 215/65 16 ECOTEC</t>
  </si>
  <si>
    <t>Rp435.000</t>
  </si>
  <si>
    <t>M002379</t>
  </si>
  <si>
    <t>Rp671.600</t>
  </si>
  <si>
    <t>225/60 17</t>
  </si>
  <si>
    <t>Savero SUV</t>
  </si>
  <si>
    <t>M002504</t>
  </si>
  <si>
    <t>SLS-SDR-2503406</t>
  </si>
  <si>
    <t>GT 225/65 17 SAVERO</t>
  </si>
  <si>
    <t>SAVERO</t>
  </si>
  <si>
    <t>Rp3.365.000</t>
  </si>
  <si>
    <t>M002514</t>
  </si>
  <si>
    <t>GT 225/75 16 MAXMILLER</t>
  </si>
  <si>
    <t>Rp252.140</t>
  </si>
  <si>
    <t>GT 235/50 18 Champiro HPY</t>
  </si>
  <si>
    <t>Champiro HPY</t>
  </si>
  <si>
    <t>M002788</t>
  </si>
  <si>
    <t>SI/BDG/04/2025/00016</t>
  </si>
  <si>
    <t>M002939</t>
  </si>
  <si>
    <t>GT 235/70 15 SAVERO</t>
  </si>
  <si>
    <t>M002972</t>
  </si>
  <si>
    <t>GT 235/75 15</t>
  </si>
  <si>
    <t>Rp668.000</t>
  </si>
  <si>
    <t>GT 235/75 15 SAV AT+</t>
  </si>
  <si>
    <t>SAV AT+</t>
  </si>
  <si>
    <t>51C0039742</t>
  </si>
  <si>
    <t>GT 235/75 16 SAV M/T</t>
  </si>
  <si>
    <t>SLS-SDR-2503486</t>
  </si>
  <si>
    <t>235/75 16</t>
  </si>
  <si>
    <t>SAV M/T</t>
  </si>
  <si>
    <t>Rp1.113.907</t>
  </si>
  <si>
    <t>GT 265/60 18 SAV A/T+</t>
  </si>
  <si>
    <t>SAV A/T+</t>
  </si>
  <si>
    <t>GT 265/65 17 SAV AT+</t>
  </si>
  <si>
    <t>265/70 17</t>
  </si>
  <si>
    <t>Komodo MT</t>
  </si>
  <si>
    <t>GT 27*8.50 14 KOMODO MT</t>
  </si>
  <si>
    <t>27*8.50 14</t>
  </si>
  <si>
    <t>KOMODO MT</t>
  </si>
  <si>
    <t xml:space="preserve">28 X 9 - 15 </t>
  </si>
  <si>
    <t>Forklift Specta Grip</t>
  </si>
  <si>
    <t>GT 30*9.50 15 SAVERO MT</t>
  </si>
  <si>
    <t>30*9.50 15</t>
  </si>
  <si>
    <t>SAVERO MT</t>
  </si>
  <si>
    <t>31X10.50 R15</t>
  </si>
  <si>
    <t>500/12</t>
  </si>
  <si>
    <t>8PR</t>
  </si>
  <si>
    <t>550/13</t>
  </si>
  <si>
    <t>600/13</t>
  </si>
  <si>
    <t>GT 600/9 10 PR GRIP</t>
  </si>
  <si>
    <t>600/9 10</t>
  </si>
  <si>
    <t>PR GRIP</t>
  </si>
  <si>
    <t>640/13</t>
  </si>
  <si>
    <t>GT 650/10 10PR</t>
  </si>
  <si>
    <t>10PR</t>
  </si>
  <si>
    <t>polosan</t>
  </si>
  <si>
    <t>12PR GRIP</t>
  </si>
  <si>
    <t>GT 700/14 8PR</t>
  </si>
  <si>
    <t>700/14</t>
  </si>
  <si>
    <t>Rp727.000</t>
  </si>
  <si>
    <t>GT 700/16 Super 88</t>
  </si>
  <si>
    <t>700/16</t>
  </si>
  <si>
    <t>Super 88</t>
  </si>
  <si>
    <t>Rp592.000</t>
  </si>
  <si>
    <t>GT 750/15 SET</t>
  </si>
  <si>
    <t>03-FJ2506008075</t>
  </si>
  <si>
    <t>GT 750/16 14R SUPER</t>
  </si>
  <si>
    <t>14R SUPER</t>
  </si>
  <si>
    <t>03-FJ2510016200</t>
  </si>
  <si>
    <t>HAPPY DUTY</t>
  </si>
  <si>
    <t>SLS-SDR-2503707</t>
  </si>
  <si>
    <t>Rp1.466.394</t>
  </si>
  <si>
    <t>GT 750/16 LUG PRO</t>
  </si>
  <si>
    <t>LUG PRO</t>
  </si>
  <si>
    <t>03-FJ2511018035</t>
  </si>
  <si>
    <t>GT 900*20</t>
  </si>
  <si>
    <t>RDF</t>
  </si>
  <si>
    <t>03-FJ2512020086</t>
  </si>
  <si>
    <t>HANKOOK 11*2.55 16 AH31K</t>
  </si>
  <si>
    <t>11*2.55 16</t>
  </si>
  <si>
    <t>AH31K</t>
  </si>
  <si>
    <t>HANKOOK</t>
  </si>
  <si>
    <t xml:space="preserve">HanKOOK 165/13 </t>
  </si>
  <si>
    <t>03-FJ2602002520</t>
  </si>
  <si>
    <t>HANKOOK 165/13 8PR</t>
  </si>
  <si>
    <t>03-FJ2602002521</t>
  </si>
  <si>
    <t>HANKOOK 175/13</t>
  </si>
  <si>
    <t>03-FJ2602003084</t>
  </si>
  <si>
    <t>HANKOOK 175/65 14</t>
  </si>
  <si>
    <t>SLS-SDR-2503708</t>
  </si>
  <si>
    <t>HANKOOK 185/14</t>
  </si>
  <si>
    <t>03-FJ2604006917</t>
  </si>
  <si>
    <t>HANKOOK 185/55 16</t>
  </si>
  <si>
    <t>03-FJ2604007033</t>
  </si>
  <si>
    <t>SLS-SDR-2503709</t>
  </si>
  <si>
    <t>Hankook 185/65 15</t>
  </si>
  <si>
    <t>Hankook</t>
  </si>
  <si>
    <t>03-FJ2605008886</t>
  </si>
  <si>
    <t>HANKOOK 185/70 14</t>
  </si>
  <si>
    <t>03-SO2609015231</t>
  </si>
  <si>
    <t>HANKOOK 195/55 16</t>
  </si>
  <si>
    <t>FJ2505006885</t>
  </si>
  <si>
    <t>Hankook 195/65 15</t>
  </si>
  <si>
    <t>HANKOOK 195/70 14</t>
  </si>
  <si>
    <t>HANKOOK 205/55 16</t>
  </si>
  <si>
    <t>HANKOOK 215/70 16</t>
  </si>
  <si>
    <t>215/70 16</t>
  </si>
  <si>
    <t>FKB250800087</t>
  </si>
  <si>
    <t>Hankook 225/55 17</t>
  </si>
  <si>
    <t>225/55 17</t>
  </si>
  <si>
    <t>hankook 225/55 19</t>
  </si>
  <si>
    <t>225/55 19</t>
  </si>
  <si>
    <t>hankook</t>
  </si>
  <si>
    <t>Rp930.000</t>
  </si>
  <si>
    <t>HANKOOK 255/45 20 K127A</t>
  </si>
  <si>
    <t>255/45 20</t>
  </si>
  <si>
    <t>K127A</t>
  </si>
  <si>
    <t>ARINV/2025/005011</t>
  </si>
  <si>
    <t>Hankook 27*8.50 14</t>
  </si>
  <si>
    <t>Dynamic MT</t>
  </si>
  <si>
    <t>Rp515.000</t>
  </si>
  <si>
    <t>HANKOOK 31x10.5x15</t>
  </si>
  <si>
    <t>31x10.5x15</t>
  </si>
  <si>
    <t>ARINV/2025/005691</t>
  </si>
  <si>
    <t>ARINV/2026/002887</t>
  </si>
  <si>
    <t>Rp539.000</t>
  </si>
  <si>
    <t>IBK light</t>
  </si>
  <si>
    <t>Karet Support + Pasang</t>
  </si>
  <si>
    <t>Laufen 175/13  X FIT VA</t>
  </si>
  <si>
    <t>X FIT VAN</t>
  </si>
  <si>
    <t>Laufen</t>
  </si>
  <si>
    <t>10781250041</t>
  </si>
  <si>
    <t>Rp678.000</t>
  </si>
  <si>
    <t>IV2510000306</t>
  </si>
  <si>
    <t>SI/BDG/05/22025/00004</t>
  </si>
  <si>
    <t>Laufen 185/65 15</t>
  </si>
  <si>
    <t>IV2510001190</t>
  </si>
  <si>
    <t>G FIT AS</t>
  </si>
  <si>
    <t>IV2510002473</t>
  </si>
  <si>
    <t>FJ/HO/05/25/00003</t>
  </si>
  <si>
    <t>Rp445.400</t>
  </si>
  <si>
    <t>IV2511000826</t>
  </si>
  <si>
    <t>S FIT AS</t>
  </si>
  <si>
    <t>Long Tierod APV</t>
  </si>
  <si>
    <t>Rp572.700</t>
  </si>
  <si>
    <t>Lower Arm</t>
  </si>
  <si>
    <t>IV2511002467</t>
  </si>
  <si>
    <t>MAXXIS 245/70 16 AT811</t>
  </si>
  <si>
    <t>245/70 16</t>
  </si>
  <si>
    <t>AT811</t>
  </si>
  <si>
    <t>MAXXIS</t>
  </si>
  <si>
    <t>Rp666.540</t>
  </si>
  <si>
    <t>285/60 18</t>
  </si>
  <si>
    <t>AT</t>
  </si>
  <si>
    <t>IV2512001584</t>
  </si>
  <si>
    <t>175/80 13</t>
  </si>
  <si>
    <t>XCD2</t>
  </si>
  <si>
    <t>Michellin</t>
  </si>
  <si>
    <t>Rp739.000</t>
  </si>
  <si>
    <t>IV2512003015</t>
  </si>
  <si>
    <t>Michelin 175/13 XCD2</t>
  </si>
  <si>
    <t>Michelin</t>
  </si>
  <si>
    <t>Rp1.150.700</t>
  </si>
  <si>
    <t>205/75 14</t>
  </si>
  <si>
    <t>iv2601002183</t>
  </si>
  <si>
    <t>FJ/HO/05/25/00004</t>
  </si>
  <si>
    <t>Michellin 195/75 14 XCD2</t>
  </si>
  <si>
    <t>195/75 14</t>
  </si>
  <si>
    <t>Rp585.000</t>
  </si>
  <si>
    <t>IV2602000960</t>
  </si>
  <si>
    <t>MRF 750/16</t>
  </si>
  <si>
    <t>MRF</t>
  </si>
  <si>
    <t>Rp1.150.000</t>
  </si>
  <si>
    <t>NITROGEN</t>
  </si>
  <si>
    <t>IV2603000894</t>
  </si>
  <si>
    <t>PELK KALENG 13</t>
  </si>
  <si>
    <t>IV2604000147</t>
  </si>
  <si>
    <t>PENTIL</t>
  </si>
  <si>
    <t>PENTIL + PASANG</t>
  </si>
  <si>
    <t>IV2606000530</t>
  </si>
  <si>
    <t>10 Liter</t>
  </si>
  <si>
    <t>Meditran SX</t>
  </si>
  <si>
    <t>Pertamina</t>
  </si>
  <si>
    <t>Rp123.300</t>
  </si>
  <si>
    <t>Pertamina Prima XP 20W-50 1 Liter</t>
  </si>
  <si>
    <t>Prima XP 20W-50</t>
  </si>
  <si>
    <t>IV2606001887</t>
  </si>
  <si>
    <t>Discon</t>
  </si>
  <si>
    <t>Cost Price VLOOKUP</t>
  </si>
  <si>
    <t>Coist Price Absolute</t>
  </si>
  <si>
    <t>Cost Price Fixed</t>
  </si>
  <si>
    <t>IV2607001155</t>
  </si>
  <si>
    <t>Press BOS stir</t>
  </si>
  <si>
    <t>SAILUN 175/13 8PR</t>
  </si>
  <si>
    <t>SAILUN</t>
  </si>
  <si>
    <t>IV2608002320</t>
  </si>
  <si>
    <t>Rp485.000</t>
  </si>
  <si>
    <t>Sailun</t>
  </si>
  <si>
    <t>IV2609001391</t>
  </si>
  <si>
    <t>Artezzo</t>
  </si>
  <si>
    <t>Atrezzo</t>
  </si>
  <si>
    <t>DO/BDG/04/2026/194</t>
  </si>
  <si>
    <t>SAILUN 750/16 14PR 711</t>
  </si>
  <si>
    <t>14PR 711</t>
  </si>
  <si>
    <t>SAILUN 750/16 14PR 812</t>
  </si>
  <si>
    <t>14PR 812</t>
  </si>
  <si>
    <t>SI./BDG/08/2026/00443</t>
  </si>
  <si>
    <t>SLS-SDR-2504247</t>
  </si>
  <si>
    <t>F/AC KW1</t>
  </si>
  <si>
    <t>SI/BDG/</t>
  </si>
  <si>
    <t>filter oli Carry</t>
  </si>
  <si>
    <t>filter oli SS/Tayo</t>
  </si>
  <si>
    <t>Shell Helix HX3 20W-50 4 Liter</t>
  </si>
  <si>
    <t>Helix HX3 20W-50</t>
  </si>
  <si>
    <t>Shell</t>
  </si>
  <si>
    <t>SI/BDG/01/2025/00054</t>
  </si>
  <si>
    <t>Shell Helix HX5 15W-40 1 Liter</t>
  </si>
  <si>
    <t>Helix HX5 15W-40</t>
  </si>
  <si>
    <t>Rp884.979</t>
  </si>
  <si>
    <t>SI/BDG/01/2026/00015</t>
  </si>
  <si>
    <t>SLS-SDR-2504248</t>
  </si>
  <si>
    <t>Helix HX6 10W-40</t>
  </si>
  <si>
    <t>SI/BDG/01/2026/0035</t>
  </si>
  <si>
    <t>Helix HX6</t>
  </si>
  <si>
    <t>Shell Helix HX7 1 Liter</t>
  </si>
  <si>
    <t>Helix HX7</t>
  </si>
  <si>
    <t>0094/HK/05/25</t>
  </si>
  <si>
    <t>Rp517.000</t>
  </si>
  <si>
    <t>Tempo 14 Days</t>
  </si>
  <si>
    <t>Shell Helix HX7 4 Liter</t>
  </si>
  <si>
    <t>Shell Rimula R4 1 Liter</t>
  </si>
  <si>
    <t>Rimula R4</t>
  </si>
  <si>
    <t>Rp565.000</t>
  </si>
  <si>
    <t>Shell Rimula R4 5 Liter</t>
  </si>
  <si>
    <t>5 Liter</t>
  </si>
  <si>
    <t>SI/BDG/02/2026/00001</t>
  </si>
  <si>
    <t>Rp610.000</t>
  </si>
  <si>
    <t>TAMBAL TUBLES</t>
  </si>
  <si>
    <t>SI/BDG/02/2026/00088</t>
  </si>
  <si>
    <t>SI/BDG/05/2025/00046</t>
  </si>
  <si>
    <t>TECKING 750/16 LEMES</t>
  </si>
  <si>
    <t>LEMES</t>
  </si>
  <si>
    <t>TECKING</t>
  </si>
  <si>
    <t>SI/BDG/03/2026/00154</t>
  </si>
  <si>
    <t>TIEROD 48810/20</t>
  </si>
  <si>
    <t>48810/20</t>
  </si>
  <si>
    <t>TIEROD</t>
  </si>
  <si>
    <t>Tierod Grandmax + Pasang</t>
  </si>
  <si>
    <t>Tierod</t>
  </si>
  <si>
    <t>TIEROD SE 7451R/L</t>
  </si>
  <si>
    <t>SE 7451R/L</t>
  </si>
  <si>
    <t>TIRON</t>
  </si>
  <si>
    <t>SI/BDG/04/2026/00233</t>
  </si>
  <si>
    <t>TIRON 750/16 HD</t>
  </si>
  <si>
    <t>Rp634.500</t>
  </si>
  <si>
    <t>VELG 13 SS</t>
  </si>
  <si>
    <t>SS</t>
  </si>
  <si>
    <t>VELG</t>
  </si>
  <si>
    <t>SI/BDG/05/2026/00287</t>
  </si>
  <si>
    <t>Velg 14*15J Kosei'</t>
  </si>
  <si>
    <t>14*15J</t>
  </si>
  <si>
    <t>Kosei'</t>
  </si>
  <si>
    <t>Velg</t>
  </si>
  <si>
    <t>Rp759.500</t>
  </si>
  <si>
    <t>VELG 15 L5</t>
  </si>
  <si>
    <t>L5</t>
  </si>
  <si>
    <t>Rp601.000</t>
  </si>
  <si>
    <t>VELG 15*6 6 TOPY</t>
  </si>
  <si>
    <t>15*6 6</t>
  </si>
  <si>
    <t>TOPY</t>
  </si>
  <si>
    <t>SI/BDG/06/2025/00013</t>
  </si>
  <si>
    <t xml:space="preserve"> XM LB6  10 ML</t>
  </si>
  <si>
    <t>SI/BDG/06/2025/00054</t>
  </si>
  <si>
    <t xml:space="preserve"> XM LB6  12 ML</t>
  </si>
  <si>
    <t>VELG 16 ORISINIL TOPY</t>
  </si>
  <si>
    <t>ORISINIL TOPY</t>
  </si>
  <si>
    <t>SI/BDG/06/2026/00311</t>
  </si>
  <si>
    <t>Rp2.475.000</t>
  </si>
  <si>
    <t>Robahan Canter</t>
  </si>
  <si>
    <t>SI/BDG/07/2025/00008</t>
  </si>
  <si>
    <t>Rp3.160.000</t>
  </si>
  <si>
    <t>TIDAK DIJUAL</t>
  </si>
  <si>
    <t>SI/BDG/07/2025/00010</t>
  </si>
  <si>
    <t>WESTLAKE 11/22.5</t>
  </si>
  <si>
    <t>11/22.5</t>
  </si>
  <si>
    <t>WESTLAKE</t>
  </si>
  <si>
    <t>Rp3.750.000</t>
  </si>
  <si>
    <t>WESTLAKE 750/16 14PR</t>
  </si>
  <si>
    <t>14PR</t>
  </si>
  <si>
    <t>SI/BDG/07/2026/00383</t>
  </si>
  <si>
    <t>Savero MT</t>
  </si>
  <si>
    <t>SI/BDG/07/2026/00396</t>
  </si>
  <si>
    <t>FJ/HO/05/25/00360</t>
  </si>
  <si>
    <t>SI/BDG/07/2026/00409</t>
  </si>
  <si>
    <t>EC300 ENASAVE</t>
  </si>
  <si>
    <t>SI/BDG/08/2025/00004</t>
  </si>
  <si>
    <t>k435</t>
  </si>
  <si>
    <t>HanKOOK</t>
  </si>
  <si>
    <t>Blue Response</t>
  </si>
  <si>
    <t>SI/BDG/08/2026/00460</t>
  </si>
  <si>
    <t>Rp544.300</t>
  </si>
  <si>
    <t>Filter Oli</t>
  </si>
  <si>
    <t>Avanza</t>
  </si>
  <si>
    <t>ICOSON</t>
  </si>
  <si>
    <t>NON VPT</t>
  </si>
  <si>
    <t>SI/BDG/09/2025/00037</t>
  </si>
  <si>
    <t>APV/FUTURA</t>
  </si>
  <si>
    <t>SI/BDG/10/2025/00076</t>
  </si>
  <si>
    <t>PAJERO</t>
  </si>
  <si>
    <t>Rp757.300</t>
  </si>
  <si>
    <t>SI/BDG/11/2025/00060</t>
  </si>
  <si>
    <t>INOVA/HILUX</t>
  </si>
  <si>
    <t>INOVA DIESEL</t>
  </si>
  <si>
    <t>SI/BDG/11/2025/0035</t>
  </si>
  <si>
    <t>FJ/HO/05/25/00361</t>
  </si>
  <si>
    <t>KARET SUPPORT</t>
  </si>
  <si>
    <t>JF</t>
  </si>
  <si>
    <t>SI/BDG/12/2025/00024</t>
  </si>
  <si>
    <t>HRV</t>
  </si>
  <si>
    <t>Honda</t>
  </si>
  <si>
    <t>SI/BDG/12/2025/00054</t>
  </si>
  <si>
    <t>Filter Oli Colt diesel</t>
  </si>
  <si>
    <t>Lonceng</t>
  </si>
  <si>
    <t>Suzuki</t>
  </si>
  <si>
    <t>3,5 Liter</t>
  </si>
  <si>
    <t>FASTRON ECO 5W-30</t>
  </si>
  <si>
    <t>FASTRON GOLD 5W-40</t>
  </si>
  <si>
    <t>SLS-SDR-2504651</t>
  </si>
  <si>
    <t>Agya Avanza baru</t>
  </si>
  <si>
    <t>ADM PART</t>
  </si>
  <si>
    <t>0023/HK/06/25</t>
  </si>
  <si>
    <t>SLS-SDR-2504715</t>
  </si>
  <si>
    <t>CEMAX 750-20 14</t>
  </si>
  <si>
    <t>0040/HK/08/25</t>
  </si>
  <si>
    <t>0049/hk/05/26</t>
  </si>
  <si>
    <t>SLS-SDR-2504717</t>
  </si>
  <si>
    <t>RACK END</t>
  </si>
  <si>
    <t>0072/HK/08/25</t>
  </si>
  <si>
    <t>Stabil link avanza</t>
  </si>
  <si>
    <t>0074/HK/08/25</t>
  </si>
  <si>
    <t>Stabil link Grandmax</t>
  </si>
  <si>
    <t>0213/HK/09/26</t>
  </si>
  <si>
    <t>1 liter</t>
  </si>
  <si>
    <t>NON VAT</t>
  </si>
  <si>
    <t>Rimula R5</t>
  </si>
  <si>
    <t>10181-260021</t>
  </si>
  <si>
    <t>10183-250322</t>
  </si>
  <si>
    <t>Date Invoice - Year</t>
  </si>
  <si>
    <t>Terjual</t>
  </si>
  <si>
    <t>2025</t>
  </si>
  <si>
    <t>10183-250683</t>
  </si>
  <si>
    <t>SLS-SDR-2504718</t>
  </si>
  <si>
    <t>non VAT</t>
  </si>
  <si>
    <t>G Fit AS</t>
  </si>
  <si>
    <t>2025 Total</t>
  </si>
  <si>
    <t>2026</t>
  </si>
  <si>
    <t>Rp640,000</t>
  </si>
  <si>
    <t>10183-260700</t>
  </si>
  <si>
    <t>Rp548,000.00</t>
  </si>
  <si>
    <t>2026 Total</t>
  </si>
  <si>
    <t xml:space="preserve"> Total</t>
  </si>
  <si>
    <t>Bulan</t>
  </si>
  <si>
    <t>saya ingin mengambil data dari SHEET SELLING CASH dan PAYMENT CREDIT. Berikut beberapa ketentuanya
1. nilai yang diambil berupa bulan, penjualan, pendapatan dan profit berdasarkan filter tahun pada dashboard B4
2. pada kolom bulan mengambil data kolom C pada sheet selling cash dan selling credit, namun pada sheet tersebut formatnya berupa tanggal, bulan dan tahun sementara yang saya mau hanya bulannya saja, sementara tahunya hasiil filter dari cell B4 pada sheet dashboard
3. kolom jumlah berupa jumlah pada kolom I pada sheet selling cash dan jumlah pada kolom F pada sheet payment credit
4. kolom profit berupa jumlah laba kotor, nilai didapat dari kolom N sheet selling cash, dan kolom G pada sheet payment credit.</t>
  </si>
  <si>
    <t>10183-261087</t>
  </si>
  <si>
    <t>10781-260038</t>
  </si>
  <si>
    <t>Rp2.050.000</t>
  </si>
  <si>
    <t>10781=250087</t>
  </si>
  <si>
    <t>Rp821.000</t>
  </si>
  <si>
    <t>Rp779.500</t>
  </si>
  <si>
    <t>Rp582.500</t>
  </si>
  <si>
    <t>FJ/HO/01/26/00102</t>
  </si>
  <si>
    <t xml:space="preserve">           </t>
  </si>
  <si>
    <t>Column 2</t>
  </si>
  <si>
    <t>AMOUNT</t>
  </si>
  <si>
    <t>FJ/HO/01/26/00422</t>
  </si>
  <si>
    <t>FJ/HO/01/26/00432</t>
  </si>
  <si>
    <t>Rp1.447.000</t>
  </si>
  <si>
    <t>FJ/HO/01/26/00720</t>
  </si>
  <si>
    <t>Rp896.000</t>
  </si>
  <si>
    <t>FJ/HO/02/26/00114</t>
  </si>
  <si>
    <t>Rp1.820.000</t>
  </si>
  <si>
    <t>FJ/HO/02/26/00115</t>
  </si>
  <si>
    <t>FJ/HO/02/26/00158</t>
  </si>
  <si>
    <t>Velg 16  XM LB6  12 ML</t>
  </si>
  <si>
    <t>Rp650.000</t>
  </si>
  <si>
    <t>FJ/HO/02/26/00684</t>
  </si>
  <si>
    <t>Rp42.170</t>
  </si>
  <si>
    <t>Rp54.171</t>
  </si>
  <si>
    <t>FJ/HO/03/26/00133</t>
  </si>
  <si>
    <t>FJ/HO/03/26/00134</t>
  </si>
  <si>
    <t>FJ/HO/03/26/00488</t>
  </si>
  <si>
    <t>FJ/HO/03/26/00554</t>
  </si>
  <si>
    <t>FJ/HO/06/25/00267</t>
  </si>
  <si>
    <t xml:space="preserve">       </t>
  </si>
  <si>
    <t xml:space="preserve">                                                                       </t>
  </si>
  <si>
    <t>Rp581.120</t>
  </si>
  <si>
    <t>Column 4</t>
  </si>
  <si>
    <t>Cost price VLOOKUP</t>
  </si>
  <si>
    <t>Cost price Absolute</t>
  </si>
  <si>
    <t>Baut chamber</t>
  </si>
  <si>
    <t>Total Cash</t>
  </si>
  <si>
    <t>Total Credit</t>
  </si>
  <si>
    <t xml:space="preserve">                    </t>
  </si>
  <si>
    <t>FJ/HO/05/26/00075</t>
  </si>
  <si>
    <t>Rp659.600</t>
  </si>
  <si>
    <t>FJ/HO/05/26/00076</t>
  </si>
  <si>
    <t>Rp643.200</t>
  </si>
  <si>
    <t xml:space="preserve">PT. RODA ARTHA </t>
  </si>
  <si>
    <t>FJ/HO/05/26/00521</t>
  </si>
  <si>
    <t>Rp716.900</t>
  </si>
  <si>
    <t>FJ/HO/05/26/00608</t>
  </si>
  <si>
    <t>Rp161.800</t>
  </si>
  <si>
    <t>FJ/HO/05/26/00621</t>
  </si>
  <si>
    <t>Rp199.910</t>
  </si>
  <si>
    <t>Pak Dadi</t>
  </si>
  <si>
    <t>FJ/HO/05/26/0076</t>
  </si>
  <si>
    <t>Pak Wang Pentil/Bian</t>
  </si>
  <si>
    <t>FJ/HO/06/25/00294</t>
  </si>
  <si>
    <t>FJ/HO/06/25/00295</t>
  </si>
  <si>
    <t>FJ/HO/06/26/00148</t>
  </si>
  <si>
    <t>FJ/HO/07/25/00055</t>
  </si>
  <si>
    <t>Rp752.000</t>
  </si>
  <si>
    <t>FJ/HO/07/25/00056</t>
  </si>
  <si>
    <t>Rp949.500</t>
  </si>
  <si>
    <t>FJ/HO/07/25/00438</t>
  </si>
  <si>
    <t>Rp1.419.500</t>
  </si>
  <si>
    <t>FJ/HO/07/25/00439</t>
  </si>
  <si>
    <t>FJ/HO/07/26/00532</t>
  </si>
  <si>
    <t>FJ/HO/07/26/00533</t>
  </si>
  <si>
    <t>FJ/HO/08/25/00120</t>
  </si>
  <si>
    <t>FJ/HO/08/25/00121</t>
  </si>
  <si>
    <t>SLS-SDR-2505642</t>
  </si>
  <si>
    <t>Rp593.541</t>
  </si>
  <si>
    <t>FJ/HO/08/26/00100</t>
  </si>
  <si>
    <t>FJ/HO/08/26/00416</t>
  </si>
  <si>
    <t>FJ/HO/08/26/00417</t>
  </si>
  <si>
    <t>FJ/HO/08/26/00471</t>
  </si>
  <si>
    <t>FJ/HO/09/25/00641</t>
  </si>
  <si>
    <t>FJ/HO/09/25/00642</t>
  </si>
  <si>
    <t>FJ/HO/09/26/00205</t>
  </si>
  <si>
    <t>Rp688.000</t>
  </si>
  <si>
    <t>FJ/HO/10/25/00337</t>
  </si>
  <si>
    <t>FJ/HO/10/25/00338</t>
  </si>
  <si>
    <t>Rp809.000</t>
  </si>
  <si>
    <t>FJ/HO/10/25/00355</t>
  </si>
  <si>
    <t>Rp908.000</t>
  </si>
  <si>
    <t>FJ/HO/11/25/00204</t>
  </si>
  <si>
    <t>Rp501.500</t>
  </si>
  <si>
    <t>FJ/HO/11/25/00380</t>
  </si>
  <si>
    <t>Rp582.000</t>
  </si>
  <si>
    <t>FJ/HO/11/25/00381</t>
  </si>
  <si>
    <t>FJ/HO/11/25/00746</t>
  </si>
  <si>
    <t>Rp959.000</t>
  </si>
  <si>
    <t>FJ/HO/11/25/00747</t>
  </si>
  <si>
    <t xml:space="preserve">                        </t>
  </si>
  <si>
    <t>FJ/HO/12/25/00687</t>
  </si>
  <si>
    <t>FJ/HO/12/25/00688</t>
  </si>
  <si>
    <t>Rp1.545.000</t>
  </si>
  <si>
    <t>SI/BDG/01/2026/00521</t>
  </si>
  <si>
    <t>FJLS.260700432</t>
  </si>
  <si>
    <t>FJSL.260800619</t>
  </si>
  <si>
    <t>---</t>
  </si>
  <si>
    <t>Rp1.320.000</t>
  </si>
  <si>
    <t>Rp1.245.000</t>
  </si>
  <si>
    <t>BD 8.25 Bestone</t>
  </si>
  <si>
    <t>Rp452.970</t>
  </si>
  <si>
    <t>VELG 16 ROBAHAN CANTER</t>
  </si>
  <si>
    <t>Rp788.000</t>
  </si>
  <si>
    <t xml:space="preserve">Pertamina </t>
  </si>
  <si>
    <t>SLS-SDR-2506005</t>
  </si>
  <si>
    <t>Rp593.438</t>
  </si>
  <si>
    <t>SLS-SDR-2506006</t>
  </si>
  <si>
    <t>SLS-SDR-2506204</t>
  </si>
  <si>
    <t>SLS-SDR-2506704</t>
  </si>
  <si>
    <t>SLS-SDR-2506742</t>
  </si>
  <si>
    <t>SLS-SDR-2506941</t>
  </si>
  <si>
    <t>SLS-SDR-2507303</t>
  </si>
  <si>
    <t>Rp1.501.164</t>
  </si>
  <si>
    <t>SLS-SDR-2507334</t>
  </si>
  <si>
    <t>SLS-SDR-2507554</t>
  </si>
  <si>
    <t>Rp1.175.000</t>
  </si>
  <si>
    <t>SLS-SDR-2507799</t>
  </si>
  <si>
    <t>Rp638.500</t>
  </si>
  <si>
    <t>SLS-SDR-2507894</t>
  </si>
  <si>
    <t>Rp1.108.560</t>
  </si>
  <si>
    <t>SLS-SDR-2507895</t>
  </si>
  <si>
    <t>Rp609.804</t>
  </si>
  <si>
    <t>SLS-SDR-2508088</t>
  </si>
  <si>
    <t>Rp425.000</t>
  </si>
  <si>
    <t>SLS-SDR-2508619</t>
  </si>
  <si>
    <t>Rp608.000</t>
  </si>
  <si>
    <t>SLS-SDR-2508721</t>
  </si>
  <si>
    <t>Rp615.000</t>
  </si>
  <si>
    <t>SLS-SDR-2509129</t>
  </si>
  <si>
    <t>Rp1.026.000</t>
  </si>
  <si>
    <t>SLS-SDR-2509521</t>
  </si>
  <si>
    <t>SLS-SDR-2509529</t>
  </si>
  <si>
    <t>SLS-SDR-2509530</t>
  </si>
  <si>
    <t>SLS-SDR-2509531</t>
  </si>
  <si>
    <t>SLS-SDR-2509532</t>
  </si>
  <si>
    <t>Rp849.000</t>
  </si>
  <si>
    <t>SLS-SDR-2509540</t>
  </si>
  <si>
    <t>SLS-SDR-2510845</t>
  </si>
  <si>
    <t>SLS-SDR-2510846</t>
  </si>
  <si>
    <t>Rp1.194.000</t>
  </si>
  <si>
    <t>SLS-SDR-2511582</t>
  </si>
  <si>
    <t>SLS-SDR-2511583</t>
  </si>
  <si>
    <t>SLS-SDR-2511663</t>
  </si>
  <si>
    <t>SLS-SDR-2511664</t>
  </si>
  <si>
    <t>SLS-SDR-2511665</t>
  </si>
  <si>
    <t>Rp795.000</t>
  </si>
  <si>
    <t>SLS-SDR-2511693</t>
  </si>
  <si>
    <t>SLS-SDR-2511916</t>
  </si>
  <si>
    <t>SLS-SDR-2511982</t>
  </si>
  <si>
    <t>Rp1.040.000</t>
  </si>
  <si>
    <t>SLS-SDR-2511983</t>
  </si>
  <si>
    <t>SLS-SDR-2512487</t>
  </si>
  <si>
    <t>SLS-SDR-2600358</t>
  </si>
  <si>
    <t>SLS-SDR-2600578</t>
  </si>
  <si>
    <t>SLS-SDR-2600698</t>
  </si>
  <si>
    <t>Rp920.000</t>
  </si>
  <si>
    <t>SLS-SDR-2600699</t>
  </si>
  <si>
    <t>Rp89.780</t>
  </si>
  <si>
    <t>SLS-SDR-2600700</t>
  </si>
  <si>
    <t>Rp140.700</t>
  </si>
  <si>
    <t>SLS-SDR-2600753</t>
  </si>
  <si>
    <t>Rp36.850</t>
  </si>
  <si>
    <t>SLS-SDR-2601498</t>
  </si>
  <si>
    <t>Rp50.920</t>
  </si>
  <si>
    <t>SLS-SDR-2602118</t>
  </si>
  <si>
    <t>SLS-SDR-2602124</t>
  </si>
  <si>
    <t>SLS-SDR-2602125</t>
  </si>
  <si>
    <t>Rp421.000</t>
  </si>
  <si>
    <t>SLS-SDR-2602126</t>
  </si>
  <si>
    <t>SLS-SDR-2603129</t>
  </si>
  <si>
    <t>Rp620.000</t>
  </si>
  <si>
    <t>SLS-SDR-2603130</t>
  </si>
  <si>
    <t>SLS-SDR-2603216</t>
  </si>
  <si>
    <t>SLS-SDR-2604141</t>
  </si>
  <si>
    <t>SLS-SDR-2604142</t>
  </si>
  <si>
    <t>SLS-SDR-2604143</t>
  </si>
  <si>
    <t>SLS-SDR-2604144</t>
  </si>
  <si>
    <t>Rp593.000</t>
  </si>
  <si>
    <t>SLS-SDR-2605007</t>
  </si>
  <si>
    <t>SLS=SDR=2507152</t>
  </si>
  <si>
    <t>SLS-SDR-2605512</t>
  </si>
  <si>
    <t>SLS-SDR-2605513</t>
  </si>
  <si>
    <t>SLS-SDR-2606187</t>
  </si>
  <si>
    <t>Rp558.200</t>
  </si>
  <si>
    <t>SLS-SDR-2606188</t>
  </si>
  <si>
    <t>SLS-SDR-2606444</t>
  </si>
  <si>
    <t>SLS-SDR-2606445</t>
  </si>
  <si>
    <t>SLS-SDR-2608990</t>
  </si>
  <si>
    <t>SLS-SDR-2609006</t>
  </si>
  <si>
    <t>Rp808.300</t>
  </si>
  <si>
    <t>SLS-SDR-2609007</t>
  </si>
  <si>
    <t>SLS-SDR-2609008</t>
  </si>
  <si>
    <t>SLS-SDR-2609530</t>
  </si>
  <si>
    <t>SLS-SDR-2609531</t>
  </si>
  <si>
    <t>Rp636.300</t>
  </si>
  <si>
    <t>SLS=SDR-2507993</t>
  </si>
  <si>
    <t>SLS=SDR-2507994</t>
  </si>
  <si>
    <t>SLS=SDR-2507995</t>
  </si>
  <si>
    <t>Rp100.500</t>
  </si>
  <si>
    <t>Rp159.500</t>
  </si>
  <si>
    <t>Rp197.000</t>
  </si>
  <si>
    <t>Rp38.900</t>
  </si>
  <si>
    <t>Rp42.900</t>
  </si>
  <si>
    <t>Rp1.740.000</t>
  </si>
  <si>
    <t>Rp803.640</t>
  </si>
  <si>
    <t>Rp450.000</t>
  </si>
  <si>
    <t>Rp593.488</t>
  </si>
  <si>
    <t>Rp881.000</t>
  </si>
  <si>
    <t>Rp638.525</t>
  </si>
  <si>
    <t>Rp895.000</t>
  </si>
  <si>
    <t>1466393,5</t>
  </si>
  <si>
    <t>Rp237.440</t>
  </si>
  <si>
    <t>Rp227.850</t>
  </si>
  <si>
    <t>Sakura  F/AC KW1</t>
  </si>
  <si>
    <t>Sakura  filter oli Carry</t>
  </si>
  <si>
    <t xml:space="preserve">Filter oli ORI KW  </t>
  </si>
  <si>
    <t>Denso  Filter Oli Innova Solar</t>
  </si>
  <si>
    <t>Denso  Filter Oli Innova Bensin</t>
  </si>
  <si>
    <t>Rp715.635</t>
  </si>
  <si>
    <t>Rp438.400</t>
  </si>
  <si>
    <t>Rp790.000</t>
  </si>
  <si>
    <t xml:space="preserve">HANKOOK 225/60 18 </t>
  </si>
  <si>
    <t>Rp1.090.000</t>
  </si>
  <si>
    <t>Rp604.000</t>
  </si>
  <si>
    <t>Rp762.048</t>
  </si>
  <si>
    <t>Rp628.500</t>
  </si>
  <si>
    <t>Rp467.000</t>
  </si>
  <si>
    <t>Rp599.000</t>
  </si>
  <si>
    <t>Laufen 185/65 15 G FIT AS</t>
  </si>
  <si>
    <t>Rp520.000</t>
  </si>
  <si>
    <t>Rp708.000</t>
  </si>
  <si>
    <t>Rp453.000</t>
  </si>
  <si>
    <t>Rp595.000</t>
  </si>
  <si>
    <t>Rp1.160.000</t>
  </si>
  <si>
    <t>Rp2.030.000</t>
  </si>
  <si>
    <t>Rp805.872</t>
  </si>
  <si>
    <t>Rp661.550</t>
  </si>
  <si>
    <t>Rp572.763</t>
  </si>
  <si>
    <t>Rp680.000</t>
  </si>
  <si>
    <t>Rp716.459</t>
  </si>
  <si>
    <t>Rp835.030</t>
  </si>
  <si>
    <t>Rp1.680.745</t>
  </si>
  <si>
    <t>Rp1.480.000</t>
  </si>
  <si>
    <t>Rp711.900</t>
  </si>
  <si>
    <t>Rp1.442.000</t>
  </si>
  <si>
    <t>Rp600.000</t>
  </si>
  <si>
    <t>Rp622.000</t>
  </si>
  <si>
    <t>Rp415.000</t>
  </si>
  <si>
    <t>Rp949.000</t>
  </si>
  <si>
    <t>Rp1.182.000</t>
  </si>
  <si>
    <t>Rp689.000</t>
  </si>
  <si>
    <t>Rp771.000</t>
  </si>
  <si>
    <t>Rp674.000</t>
  </si>
  <si>
    <t>Rp709.000</t>
  </si>
  <si>
    <t>Rp863.000</t>
  </si>
  <si>
    <t>Rp897.000</t>
  </si>
  <si>
    <t>Rp877.000</t>
  </si>
  <si>
    <t>Rp812.000</t>
  </si>
  <si>
    <t>Rp491.000</t>
  </si>
  <si>
    <t>Rp607.000</t>
  </si>
  <si>
    <t xml:space="preserve">WD  </t>
  </si>
  <si>
    <t xml:space="preserve">                                                                                                                                                                                                                                                               </t>
  </si>
  <si>
    <t>Year</t>
  </si>
  <si>
    <t>PEMBELIAN</t>
  </si>
  <si>
    <t>Total Pendapatan</t>
  </si>
  <si>
    <t>Rincian</t>
  </si>
  <si>
    <t>Pembayaran Supplier</t>
  </si>
  <si>
    <t>NETT</t>
  </si>
  <si>
    <t>TANGGAL TRANSAKSI</t>
  </si>
  <si>
    <t>JENIS BARANG YANG DIJUAL</t>
  </si>
  <si>
    <t>NO. FAKTUR ( PK )</t>
  </si>
  <si>
    <t>TANGGAL FAKTUR</t>
  </si>
  <si>
    <t>HARGA JUAL TERMASUK PPN</t>
  </si>
  <si>
    <t>HARGA JUAL TANPA PPN</t>
  </si>
  <si>
    <t>NILAI PAJAK KELUARAN</t>
  </si>
  <si>
    <t>NAMA PEMBELI/NAMA PENJUAL</t>
  </si>
  <si>
    <t>BAN</t>
  </si>
  <si>
    <t>SELAIN BAN</t>
  </si>
  <si>
    <t>Velg 16  XM LB6  10 ML</t>
  </si>
  <si>
    <t xml:space="preserve">                                                                                                                                                                                                                                                                                                                                                                                                                                                                                                                                                                                                                                                                                                                                                                                                                                                                                                                                                                                                                                                                                                                                                                                                                                                                                                                                                                                                                                                                                                                                                                                                                                                                                                                                                                                                                                                                                                                                                                                                                                                                                                                                                                                                                                                                                                                                                                                                                                                                                                                                                                                                                                                                                                                                                                                                                                                                                                                                                                                                                                                                                                                                                                                                                                                                                                                                                                                                                                                                                                                                                                                                                                                                                                                                                                                                                                                                                                                                                                                                                                                                                                                                                                                                                                                                                                                                                                                                                                                                                                                                                                                                                                                                                                                                                                                                                                                                                                                                                                                                                                                                                                                                                                                                                                                                                                                                                                                                               </t>
  </si>
  <si>
    <t>4022b</t>
  </si>
  <si>
    <t xml:space="preserve">Goodride 750/16 </t>
  </si>
  <si>
    <t>Sakura  filter oli SS/Tayo</t>
  </si>
  <si>
    <t>Laufen 215/55 17 S FIT AS</t>
  </si>
  <si>
    <t>BD IBK 15 Pentil Pendek</t>
  </si>
  <si>
    <t>GT 28 X 9 - 15  Forklift Specta Grip</t>
  </si>
  <si>
    <t>BD 28X9 15 GT</t>
  </si>
  <si>
    <t>BANK</t>
  </si>
  <si>
    <t>COUNTA</t>
  </si>
  <si>
    <t xml:space="preserve">                                                                                                                                                                                                                                      </t>
  </si>
  <si>
    <t>b19/09/2025</t>
  </si>
  <si>
    <t>GT 265/70 17 Komodo MT</t>
  </si>
  <si>
    <t>IBK 16 BD</t>
  </si>
  <si>
    <t>IBK 16 FLAP</t>
  </si>
  <si>
    <t>IBK light 16 BD</t>
  </si>
  <si>
    <t>IBK 15 BD</t>
  </si>
  <si>
    <t>GT 225/60 17 Savero SUV</t>
  </si>
  <si>
    <t>Sailun 185/65 15 Artezzo</t>
  </si>
  <si>
    <t>Sailun 195/65 15 Atrezzo</t>
  </si>
  <si>
    <t>Laufen 195/65 15 G Fit AS</t>
  </si>
  <si>
    <t>GT 235/75 15 Savero MT</t>
  </si>
  <si>
    <t>DUNLOP 185/65 14 EC300 ENASAVE</t>
  </si>
  <si>
    <t>non</t>
  </si>
  <si>
    <t>HanKOOK 165/80 13 k435</t>
  </si>
  <si>
    <t>DUNLOP 205/70 15 Blue Response</t>
  </si>
  <si>
    <t>DATE OF INVOICE</t>
  </si>
  <si>
    <t>PROFIT</t>
  </si>
  <si>
    <t>CREDIT</t>
  </si>
  <si>
    <t>SISA</t>
  </si>
  <si>
    <t>JF  KARET SUPPORT</t>
  </si>
  <si>
    <t>ICOSON Filter Oli APV/FUTURA</t>
  </si>
  <si>
    <t>ICOSON Filter Oli PAJERO</t>
  </si>
  <si>
    <t>ICOSON Filter Oli INOVA/HILUX</t>
  </si>
  <si>
    <t>ICOSON Filter Oli INOVA DIESEL</t>
  </si>
  <si>
    <t>Honda Filter Oli HRV</t>
  </si>
  <si>
    <t>Sakura Filter Oli SS</t>
  </si>
  <si>
    <t>Suzuki  Lonceng</t>
  </si>
  <si>
    <t>ADM PART Filter Oli Agya Avanza baru</t>
  </si>
  <si>
    <t>Stabil link avanza  JF</t>
  </si>
  <si>
    <t>Stabil link Grandmax  JF</t>
  </si>
  <si>
    <t>RACK END Avanza JF</t>
  </si>
  <si>
    <t>Pak Pandu</t>
  </si>
  <si>
    <t>TIEROD SS JF</t>
  </si>
  <si>
    <t>Pertamina 1 liter FASTRON GOLD 5W-40</t>
  </si>
  <si>
    <t>Shell 4 Liter Rimula R5</t>
  </si>
  <si>
    <t xml:space="preserve">Karet Support + Pasang  </t>
  </si>
  <si>
    <t>OLI-10.1</t>
  </si>
  <si>
    <t>oli-111201</t>
  </si>
  <si>
    <t>oli1312-01</t>
  </si>
  <si>
    <t>oli1312-02</t>
  </si>
  <si>
    <t>oli1412-01</t>
  </si>
  <si>
    <t>oli-151225-01</t>
  </si>
  <si>
    <t>oli-151225-02</t>
  </si>
  <si>
    <t>oli-151225-03</t>
  </si>
  <si>
    <t>oli-151225-04</t>
  </si>
  <si>
    <t>oli-151225-05</t>
  </si>
  <si>
    <t>oli-161225-01</t>
  </si>
  <si>
    <t>oli-181225-01</t>
  </si>
  <si>
    <t>oli-191225-01</t>
  </si>
  <si>
    <t>oli-191225-02</t>
  </si>
  <si>
    <t>oli-23122501</t>
  </si>
  <si>
    <t>oli-24122501</t>
  </si>
  <si>
    <t>0li26122501</t>
  </si>
  <si>
    <t>oli-26122502</t>
  </si>
  <si>
    <t>OLI-27122501</t>
  </si>
  <si>
    <t>oli-29122501</t>
  </si>
  <si>
    <t>OLI-020126-01</t>
  </si>
  <si>
    <t>OLI-030126021</t>
  </si>
  <si>
    <t>OLI-04012601</t>
  </si>
  <si>
    <t>OLI-04012602</t>
  </si>
  <si>
    <t>OLI-04012603</t>
  </si>
  <si>
    <t>OLI-06012501</t>
  </si>
  <si>
    <t>OLI09012601</t>
  </si>
  <si>
    <t xml:space="preserve">                           x</t>
  </si>
  <si>
    <t>OLI-12012601</t>
  </si>
  <si>
    <t>OLI-12012602</t>
  </si>
  <si>
    <t>OLI-12012603</t>
  </si>
  <si>
    <t>OLI-12012604</t>
  </si>
  <si>
    <t>OLI-12012605</t>
  </si>
  <si>
    <t>858 7</t>
  </si>
  <si>
    <t>OLI-14012601</t>
  </si>
  <si>
    <t>OLI-15012601</t>
  </si>
  <si>
    <t>OLI-15012602</t>
  </si>
  <si>
    <t>OLI-170125</t>
  </si>
  <si>
    <t>OLI-17012502</t>
  </si>
  <si>
    <t>OLI-20012601</t>
  </si>
  <si>
    <t>OLI-21012601</t>
  </si>
  <si>
    <t>OLI-23012601</t>
  </si>
  <si>
    <t>OLI-25012601</t>
  </si>
  <si>
    <t>OLI-2801202601</t>
  </si>
  <si>
    <t>OLI-29012601</t>
  </si>
  <si>
    <t>OLI-03022601</t>
  </si>
  <si>
    <t>OLI-05022601</t>
  </si>
  <si>
    <t>OLI-06022601</t>
  </si>
  <si>
    <t>OLI-07022601</t>
  </si>
  <si>
    <t>oli-08022601</t>
  </si>
  <si>
    <t>oli-08022602</t>
  </si>
  <si>
    <t>OLI-09022601</t>
  </si>
  <si>
    <t>OLI-1022601</t>
  </si>
  <si>
    <t xml:space="preserve">                                                                                                                                                                                                                                                                                                                                                                                                                                                                                                                                                                                                                                                                                                                                                                                                                                                                                                                                                                                                                                                                                                                                                                                                                                                                                                                                                                                                                                                                                                                                                                                                                                                                                                                                                                                                                                                                                                                                                                                                                                                                                                                                                                                                                                                                                                                                                                                                                                                                                                                                                                                                                                                                                                                                                                                                                                                                                                                                                                                                                                                                                                                                                                                                                                                                                                                                                                                                                                                                                                                                                                                                                                                                                                                                                                                                                                                                                                                                                                                                                                                                                                                                                                                                                                                                                                                                                                                                                                                                                                                                                                                                                                                                                                                                                                                                                                                                                                                                                                                                                                                                                                                                                                                                                                                                                                                                                                                                                                                                                                                                                                                                                                                                                                                                                                                                                                                                                                                                                                                                                                                                                                                                                                                                                                                                                                                                                                                                                                                                        </t>
  </si>
  <si>
    <t>OLI-11022601</t>
  </si>
  <si>
    <t>OLI-13022601</t>
  </si>
  <si>
    <t>OLI-14022601</t>
  </si>
  <si>
    <t>OLI-150226</t>
  </si>
  <si>
    <t>OLI-15022602</t>
  </si>
  <si>
    <t>OLI-17022601</t>
  </si>
  <si>
    <t>OLI-18022601</t>
  </si>
  <si>
    <t>OLI-22022601</t>
  </si>
  <si>
    <t>OLI-2202261</t>
  </si>
  <si>
    <t>OLI-26022601</t>
  </si>
  <si>
    <t>OLI-27022601</t>
  </si>
  <si>
    <t>OLI-28022601</t>
  </si>
  <si>
    <t>OLI-28022602</t>
  </si>
  <si>
    <t>OLI-01032601</t>
  </si>
  <si>
    <t>OLI-0303202601</t>
  </si>
  <si>
    <t>OLI-04032026</t>
  </si>
  <si>
    <t>OLI-04032601</t>
  </si>
  <si>
    <t>OLI-05032601</t>
  </si>
  <si>
    <t>OLI-06032601</t>
  </si>
  <si>
    <t>OLI-07032601</t>
  </si>
  <si>
    <t>OLI-08032601</t>
  </si>
  <si>
    <t>OLI-09032601</t>
  </si>
  <si>
    <t>OLI-09032602</t>
  </si>
  <si>
    <t>OLI-10032601</t>
  </si>
  <si>
    <t>OLI-10032602</t>
  </si>
  <si>
    <t>OLI-10032603</t>
  </si>
  <si>
    <t>OLI-12032601</t>
  </si>
  <si>
    <t>OLI-13032601</t>
  </si>
  <si>
    <t>OLI-13032602</t>
  </si>
  <si>
    <t>OLI-14032601</t>
  </si>
  <si>
    <t>OLI-14032602</t>
  </si>
  <si>
    <t>OLI-15033601</t>
  </si>
  <si>
    <t>OLI-15033602</t>
  </si>
  <si>
    <t>OLI-17032601</t>
  </si>
  <si>
    <t>OLI-17032603</t>
  </si>
  <si>
    <t>OLI-19032601</t>
  </si>
  <si>
    <t>OLI-19032602</t>
  </si>
  <si>
    <t>OLI-20032601</t>
  </si>
  <si>
    <t>OLI-23032601</t>
  </si>
  <si>
    <t>OLI-23032602</t>
  </si>
  <si>
    <t>OLI-23032603</t>
  </si>
  <si>
    <t>OLI-24032601</t>
  </si>
  <si>
    <t>OLI-24032602</t>
  </si>
  <si>
    <t>OLI-24032603</t>
  </si>
  <si>
    <t>OLI-25032601</t>
  </si>
  <si>
    <t>OLI-25032602</t>
  </si>
  <si>
    <t>OLI-25032603</t>
  </si>
  <si>
    <t>OLI-25032604</t>
  </si>
  <si>
    <t>OLI-25032605</t>
  </si>
  <si>
    <t>Aspira  Filter Oli Innova Bensin</t>
  </si>
  <si>
    <t>OLI-25032606</t>
  </si>
  <si>
    <t>OLI-26032601</t>
  </si>
  <si>
    <t>OLI-26032602</t>
  </si>
  <si>
    <t>OLI-27032601</t>
  </si>
  <si>
    <t>OLI-27032602</t>
  </si>
  <si>
    <t>OLI-27032603</t>
  </si>
  <si>
    <t>OLI-280326</t>
  </si>
  <si>
    <t>OLI-290326</t>
  </si>
  <si>
    <t>OLI-30032601</t>
  </si>
  <si>
    <t>OLI-30032602</t>
  </si>
  <si>
    <t>OLI-310326</t>
  </si>
  <si>
    <t>OLI-01042601</t>
  </si>
  <si>
    <t>OLI-01042602</t>
  </si>
  <si>
    <t>OLI-02032601</t>
  </si>
  <si>
    <t>OLI-02032602</t>
  </si>
  <si>
    <t>OLI-02032603</t>
  </si>
  <si>
    <t>OLI-02042603</t>
  </si>
  <si>
    <t>OLI-03032601</t>
  </si>
  <si>
    <t>OLI-04042601</t>
  </si>
  <si>
    <t>OLI-05042601</t>
  </si>
  <si>
    <t>OLI-05042602</t>
  </si>
  <si>
    <t>OLI-06042601</t>
  </si>
  <si>
    <t>OLI-06042602</t>
  </si>
  <si>
    <t>OLI-06042603</t>
  </si>
  <si>
    <t>OLI-070426</t>
  </si>
  <si>
    <t>OLI-08042601</t>
  </si>
  <si>
    <t>OLI-14042601</t>
  </si>
  <si>
    <t>OLI-15042601</t>
  </si>
  <si>
    <t>OLI-17042601</t>
  </si>
  <si>
    <t>OLI-18042601</t>
  </si>
  <si>
    <t>OLI-19042601</t>
  </si>
  <si>
    <t>OLI-20042602</t>
  </si>
  <si>
    <t>OLI-26042601</t>
  </si>
  <si>
    <t>OLI-26042602</t>
  </si>
  <si>
    <t>OLI-27042601</t>
  </si>
  <si>
    <t>OLI-27042602</t>
  </si>
  <si>
    <t>OLI-27042603</t>
  </si>
  <si>
    <t>OLI-27042604</t>
  </si>
  <si>
    <t>OLI-30042601</t>
  </si>
  <si>
    <t>OLI-30042602</t>
  </si>
  <si>
    <t>OLI-02052601</t>
  </si>
  <si>
    <t>OLI-03052601</t>
  </si>
  <si>
    <t>OLI-06052601</t>
  </si>
  <si>
    <t>OLI-06052602</t>
  </si>
  <si>
    <t>OLI-07052601</t>
  </si>
  <si>
    <t>OLI-07052602</t>
  </si>
  <si>
    <t>OLI-07052603</t>
  </si>
  <si>
    <t>OLI-09052602</t>
  </si>
  <si>
    <t>OLI-09062601</t>
  </si>
  <si>
    <t>OLI-10052601</t>
  </si>
  <si>
    <t>OLI-12052601</t>
  </si>
  <si>
    <t>OLI-14052601</t>
  </si>
  <si>
    <t>OLI-15052601</t>
  </si>
  <si>
    <t>OLI-15052602</t>
  </si>
  <si>
    <t>OLI-16052601</t>
  </si>
  <si>
    <t>OLI-18052601</t>
  </si>
  <si>
    <t>OLI-18052602</t>
  </si>
  <si>
    <t>OLI-18052603</t>
  </si>
  <si>
    <t>OLI-20052601</t>
  </si>
  <si>
    <t>OLI-21052601</t>
  </si>
  <si>
    <t>OLI-21052602</t>
  </si>
  <si>
    <t>OLI-21052603</t>
  </si>
  <si>
    <t>OLI-23052601</t>
  </si>
  <si>
    <t>OLI-24052601</t>
  </si>
  <si>
    <t>OLI-24052602</t>
  </si>
  <si>
    <t>OLI-28012601</t>
  </si>
  <si>
    <t>OLI-29052601</t>
  </si>
  <si>
    <t>OLI-3106202601</t>
  </si>
  <si>
    <t>OLI-0106202601</t>
  </si>
  <si>
    <t>OLI-0106202602</t>
  </si>
  <si>
    <t>OLI-0106202603</t>
  </si>
  <si>
    <t>OLI-0206202601</t>
  </si>
  <si>
    <t>OLI-0206202602</t>
  </si>
  <si>
    <t>OLI-0506202601</t>
  </si>
  <si>
    <t>OLI-0506202602</t>
  </si>
  <si>
    <t>OLI-0606202601</t>
  </si>
  <si>
    <t>OLI-06062602</t>
  </si>
  <si>
    <t>OLI-0706202601</t>
  </si>
  <si>
    <t>OLI-0706202602</t>
  </si>
  <si>
    <t>OLI-0806202601</t>
  </si>
  <si>
    <t>OLI-0906202601</t>
  </si>
  <si>
    <t>OLI-1006202601</t>
  </si>
  <si>
    <t>OLI-1006202602</t>
  </si>
  <si>
    <t>OLI-1106202601</t>
  </si>
  <si>
    <t>OLI-11062602</t>
  </si>
  <si>
    <t>OLI-12062601</t>
  </si>
  <si>
    <t>OLI-12062602</t>
  </si>
  <si>
    <t>OLI-1306202601</t>
  </si>
  <si>
    <t>OLI-1306202602</t>
  </si>
  <si>
    <t>OLI-1606202601</t>
  </si>
  <si>
    <t>OLI-18062601</t>
  </si>
  <si>
    <t>OLI-18062602</t>
  </si>
  <si>
    <t>OLI-21062601</t>
  </si>
  <si>
    <t>OLI-21062602</t>
  </si>
  <si>
    <t>OLI-2406202601</t>
  </si>
  <si>
    <t>OLI-25062601</t>
  </si>
  <si>
    <t>OLI-26062601</t>
  </si>
  <si>
    <t>OLI-2706202601</t>
  </si>
  <si>
    <t>OLI-2706202602</t>
  </si>
  <si>
    <t>OLI-2906202601</t>
  </si>
  <si>
    <t>OLI-2906202602</t>
  </si>
  <si>
    <t>OLI-3006202601</t>
  </si>
  <si>
    <t>OLI-05072026</t>
  </si>
  <si>
    <t>OLI-0607202601</t>
  </si>
  <si>
    <t>OLI-0607202602</t>
  </si>
  <si>
    <t>OLI-0607202603</t>
  </si>
  <si>
    <t>OLI-0607202604</t>
  </si>
  <si>
    <t>OLI-0707202602</t>
  </si>
  <si>
    <t>OLI-07072601</t>
  </si>
  <si>
    <t>OLI-0807202601</t>
  </si>
  <si>
    <t>OLI-08072602</t>
  </si>
  <si>
    <t>OLI-1007202601</t>
  </si>
  <si>
    <t>OLI-1007202602</t>
  </si>
  <si>
    <t>OLI-1107202601</t>
  </si>
  <si>
    <t>OLI-1107202602</t>
  </si>
  <si>
    <t>OLI-1207202601</t>
  </si>
  <si>
    <t>OLI-1307202601</t>
  </si>
  <si>
    <t>OLI-1407202601</t>
  </si>
  <si>
    <t>OLI-1407202602</t>
  </si>
  <si>
    <t>OLI-1407202603</t>
  </si>
  <si>
    <t>OLI-1607202601</t>
  </si>
  <si>
    <t>OLI-1707202601</t>
  </si>
  <si>
    <t>OLI-1807202601</t>
  </si>
  <si>
    <t>OLI-1807202602</t>
  </si>
  <si>
    <t>OLI-1807202603</t>
  </si>
  <si>
    <t>OLI-1807202605</t>
  </si>
  <si>
    <t>OLI-22072026</t>
  </si>
  <si>
    <t>OLI-2307202601</t>
  </si>
  <si>
    <t>OLI-2307202602</t>
  </si>
  <si>
    <t>OLI-2307202603</t>
  </si>
  <si>
    <t>OLI-2507202601</t>
  </si>
  <si>
    <t>OLI-26072026</t>
  </si>
  <si>
    <t>OLI-3007202601</t>
  </si>
  <si>
    <t>OLI-3007202602</t>
  </si>
  <si>
    <t>OLI-3101202601</t>
  </si>
  <si>
    <t>OLI-3101202602</t>
  </si>
  <si>
    <t>OLI-0108202601</t>
  </si>
  <si>
    <t>OLI-0108202602</t>
  </si>
  <si>
    <t>OLI-0308202601</t>
  </si>
  <si>
    <t>OLI-0308202602</t>
  </si>
  <si>
    <t>OLI-0308202603</t>
  </si>
  <si>
    <t>OLI-0308202604</t>
  </si>
  <si>
    <t>OLI-0508202601</t>
  </si>
  <si>
    <t>OLI-0708202601</t>
  </si>
  <si>
    <t>OLI-0808202601</t>
  </si>
  <si>
    <t>OLI-0808202602</t>
  </si>
  <si>
    <t>OLI-0808202603</t>
  </si>
  <si>
    <t>OLI-1108202601</t>
  </si>
  <si>
    <t>OLI-1408202601</t>
  </si>
  <si>
    <t>OLI-1408202602</t>
  </si>
  <si>
    <t>OLI-1508202601</t>
  </si>
  <si>
    <t>OLI-1908202601</t>
  </si>
  <si>
    <t>OLI-2008202601</t>
  </si>
  <si>
    <t>OLI-2008202602</t>
  </si>
  <si>
    <t>OLI-2208202602</t>
  </si>
  <si>
    <t>OLI-2308202602</t>
  </si>
  <si>
    <t>OLI-2408202601</t>
  </si>
  <si>
    <t>OLI-2508202601</t>
  </si>
  <si>
    <t>OLI-2508202602</t>
  </si>
  <si>
    <t>Aspira  Filter Oli Colt diesel</t>
  </si>
  <si>
    <t>OLI-2508202603</t>
  </si>
  <si>
    <t>OLI-2608202601</t>
  </si>
  <si>
    <t>OLI-2908202601</t>
  </si>
  <si>
    <t>OLI-3008202601</t>
  </si>
  <si>
    <t>OLI-0109202601</t>
  </si>
  <si>
    <t>OLI-0109202602</t>
  </si>
  <si>
    <t>OLI-0109202603</t>
  </si>
  <si>
    <t>OLI-0209202601</t>
  </si>
  <si>
    <t>OLI-0309202601</t>
  </si>
  <si>
    <t>OLI-0309202602</t>
  </si>
  <si>
    <t>OLI-0409202601</t>
  </si>
  <si>
    <t>OLI-0609202601</t>
  </si>
  <si>
    <t>OLI-0609202602</t>
  </si>
  <si>
    <t>Pertamina 4 Liter FASTRON GOLD 5W-40</t>
  </si>
  <si>
    <t>OLI-0809202601</t>
  </si>
  <si>
    <t>oli.09/09/2601</t>
  </si>
  <si>
    <t>Oli-12092602</t>
  </si>
  <si>
    <t>oli/12/09/26/1</t>
  </si>
  <si>
    <t>OLI-1409202602</t>
  </si>
  <si>
    <t>oli/14/09/2601</t>
  </si>
  <si>
    <t>oli/15/09/2601</t>
  </si>
  <si>
    <t>oli/16/09/2601</t>
  </si>
  <si>
    <t>OLI-1709202601</t>
  </si>
  <si>
    <t>OLI-1909202604</t>
  </si>
  <si>
    <t>OLI-19092601</t>
  </si>
  <si>
    <t>oli/19/09/2601</t>
  </si>
  <si>
    <t>oli/20/09/2601</t>
  </si>
  <si>
    <t>OLI/22/09/2601</t>
  </si>
  <si>
    <t>OLI/23/09/2601</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</si>
</sst>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dd/MM/yyyy"/>
    <numFmt numFmtId="165" formatCode="[$Rp]#,##0"/>
    <numFmt numFmtId="166" formatCode="dd/mm/yyyy"/>
    <numFmt numFmtId="167" formatCode="d&quot; &quot;mmmm&quot; &quot;yyyy"/>
    <numFmt numFmtId="168" formatCode="[$Rp]#,##0.00"/>
    <numFmt numFmtId="169" formatCode="d/m/yyyy"/>
    <numFmt numFmtId="170" formatCode="m/d/yyyy h:mm:ss"/>
    <numFmt numFmtId="171" formatCode="mmmm&quot; &quot;"/>
    <numFmt numFmtId="172" formatCode="&quot;,  &quot;mmmm&quot; &quot;"/>
  </numFmts>
  <fonts count="27">
    <font>
      <sz val="10.0"/>
      <color rgb="FF000000"/>
      <name val="Arial"/>
      <scheme val="minor"/>
    </font>
    <font>
      <color theme="1"/>
      <name val="Arial"/>
      <scheme val="minor"/>
    </font>
    <font>
      <color rgb="FFFFFFFF"/>
      <name val="Arial"/>
      <scheme val="minor"/>
    </font>
    <font>
      <b/>
      <color theme="1"/>
      <name val="Arial"/>
      <scheme val="minor"/>
    </font>
    <font>
      <b/>
      <color rgb="FFFFFFFF"/>
      <name val="Arial"/>
      <scheme val="minor"/>
    </font>
    <font/>
    <font>
      <b/>
      <color theme="1"/>
      <name val="Arial"/>
    </font>
    <font>
      <color rgb="FF000000"/>
      <name val="Arial"/>
      <scheme val="minor"/>
    </font>
    <font>
      <b/>
      <color theme="1"/>
      <name val="Comfortaa"/>
    </font>
    <font>
      <color theme="1"/>
      <name val="Arial"/>
    </font>
    <font>
      <u/>
      <color rgb="FF0000FF"/>
    </font>
    <font>
      <color rgb="FFFF0000"/>
      <name val="Arial"/>
      <scheme val="minor"/>
    </font>
    <font>
      <color rgb="FF434343"/>
      <name val="Roboto"/>
    </font>
    <font>
      <b/>
      <color rgb="FFFF0000"/>
      <name val="Arial"/>
      <scheme val="minor"/>
    </font>
    <font>
      <u/>
      <color rgb="FF0000FF"/>
    </font>
    <font>
      <color theme="1"/>
      <name val="Roboto"/>
    </font>
    <font>
      <color rgb="FF000000"/>
      <name val="Roboto"/>
    </font>
    <font>
      <color rgb="FF000000"/>
      <name val="Arial"/>
    </font>
    <font>
      <sz val="30.0"/>
      <color rgb="FF000000"/>
      <name val="Lexend"/>
    </font>
    <font>
      <sz val="20.0"/>
      <color rgb="FFD9EAD3"/>
      <name val="Pacifico"/>
    </font>
    <font>
      <sz val="14.0"/>
      <color rgb="FFD9EAD3"/>
      <name val="Pacifico"/>
    </font>
    <font>
      <color rgb="FFD9EAD3"/>
      <name val="Arial"/>
      <scheme val="minor"/>
    </font>
    <font>
      <sz val="11.0"/>
      <color theme="1"/>
      <name val="Roboto"/>
    </font>
    <font>
      <sz val="11.0"/>
      <color theme="1"/>
      <name val="Calibri"/>
    </font>
    <font>
      <b/>
      <color rgb="FF000000"/>
      <name val="Arial"/>
      <scheme val="minor"/>
    </font>
    <font>
      <b/>
      <sz val="11.0"/>
      <color theme="1"/>
      <name val="Calibri"/>
    </font>
    <font>
      <sz val="11.0"/>
      <color rgb="FF434343"/>
      <name val="Calibri"/>
    </font>
  </fonts>
  <fills count="20">
    <fill>
      <patternFill patternType="none"/>
    </fill>
    <fill>
      <patternFill patternType="lightGray"/>
    </fill>
    <fill>
      <patternFill patternType="solid">
        <fgColor rgb="FFFFFFFF"/>
        <bgColor rgb="FFFFFFFF"/>
      </patternFill>
    </fill>
    <fill>
      <patternFill patternType="solid">
        <fgColor rgb="FFFF0000"/>
        <bgColor rgb="FFFF0000"/>
      </patternFill>
    </fill>
    <fill>
      <patternFill patternType="solid">
        <fgColor rgb="FFF6F8F9"/>
        <bgColor rgb="FFF6F8F9"/>
      </patternFill>
    </fill>
    <fill>
      <patternFill patternType="solid">
        <fgColor rgb="FF38761D"/>
        <bgColor rgb="FF38761D"/>
      </patternFill>
    </fill>
    <fill>
      <patternFill patternType="solid">
        <fgColor rgb="FF000000"/>
        <bgColor rgb="FF000000"/>
      </patternFill>
    </fill>
    <fill>
      <patternFill patternType="solid">
        <fgColor rgb="FF274E13"/>
        <bgColor rgb="FF274E13"/>
      </patternFill>
    </fill>
    <fill>
      <patternFill patternType="solid">
        <fgColor rgb="FFFFF2CC"/>
        <bgColor rgb="FFFFF2CC"/>
      </patternFill>
    </fill>
    <fill>
      <patternFill patternType="solid">
        <fgColor rgb="FFCDD9D4"/>
        <bgColor rgb="FFCDD9D4"/>
      </patternFill>
    </fill>
    <fill>
      <patternFill patternType="solid">
        <fgColor rgb="FFD9EAD3"/>
        <bgColor rgb="FFD9EAD3"/>
      </patternFill>
    </fill>
    <fill>
      <patternFill patternType="solid">
        <fgColor rgb="FFF4CCCC"/>
        <bgColor rgb="FFF4CCCC"/>
      </patternFill>
    </fill>
    <fill>
      <patternFill patternType="solid">
        <fgColor rgb="FFF3F3F3"/>
        <bgColor rgb="FFF3F3F3"/>
      </patternFill>
    </fill>
    <fill>
      <patternFill patternType="solid">
        <fgColor rgb="FFA5CCAF"/>
        <bgColor rgb="FFA5CCAF"/>
      </patternFill>
    </fill>
    <fill>
      <patternFill patternType="solid">
        <fgColor rgb="FFB6D7A8"/>
        <bgColor rgb="FFB6D7A8"/>
      </patternFill>
    </fill>
    <fill>
      <patternFill patternType="solid">
        <fgColor rgb="FFF4F6F8"/>
        <bgColor rgb="FFF4F6F8"/>
      </patternFill>
    </fill>
    <fill>
      <patternFill patternType="solid">
        <fgColor rgb="FF00FF00"/>
        <bgColor rgb="FF00FF00"/>
      </patternFill>
    </fill>
    <fill>
      <patternFill patternType="solid">
        <fgColor rgb="FFE6B8AF"/>
        <bgColor rgb="FFE6B8AF"/>
      </patternFill>
    </fill>
    <fill>
      <patternFill patternType="solid">
        <fgColor rgb="FFC9DAF8"/>
        <bgColor rgb="FFC9DAF8"/>
      </patternFill>
    </fill>
    <fill>
      <patternFill patternType="solid">
        <fgColor rgb="FFADFF2F"/>
        <bgColor rgb="FFADFF2F"/>
      </patternFill>
    </fill>
  </fills>
  <borders count="73">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FFFFFF"/>
      </left>
      <top style="medium">
        <color rgb="FFFFFFFF"/>
      </top>
    </border>
    <border>
      <top style="medium">
        <color rgb="FFFFFFFF"/>
      </top>
    </border>
    <border>
      <right style="medium">
        <color rgb="FFFFFFFF"/>
      </right>
      <top style="medium">
        <color rgb="FFFFFFFF"/>
      </top>
    </border>
    <border>
      <left style="medium">
        <color rgb="FF000000"/>
      </left>
      <right style="medium">
        <color rgb="FF000000"/>
      </right>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FFFFFF"/>
      </left>
      <top style="thin">
        <color rgb="FFFFFFFF"/>
      </top>
      <bottom style="thin">
        <color rgb="FFFFFFFF"/>
      </bottom>
    </border>
    <border>
      <right style="thin">
        <color rgb="FFFFFFFF"/>
      </right>
      <top style="thin">
        <color rgb="FFFFFFFF"/>
      </top>
      <bottom style="thin">
        <color rgb="FFFFFFFF"/>
      </bottom>
    </border>
    <border>
      <left style="thin">
        <color rgb="FFFFFFFF"/>
      </left>
      <top style="thin">
        <color rgb="FFFFFFFF"/>
      </top>
      <bottom style="thin">
        <color rgb="FFFFFFFF"/>
      </bottom>
    </border>
    <border>
      <right style="medium">
        <color rgb="FFFFFFFF"/>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
      <left style="medium">
        <color rgb="FFFFFFFF"/>
      </left>
    </border>
    <border>
      <left style="medium">
        <color rgb="FFFFFFFF"/>
      </left>
      <bottom style="medium">
        <color rgb="FFFFFFFF"/>
      </bottom>
    </border>
    <border>
      <bottom style="medium">
        <color rgb="FFFFFFFF"/>
      </bottom>
    </border>
    <border>
      <left style="thin">
        <color rgb="FFFFFFFF"/>
      </left>
      <top style="thin">
        <color rgb="FFFFFFFF"/>
      </top>
      <bottom style="medium">
        <color rgb="FFFFFFFF"/>
      </bottom>
    </border>
    <border>
      <right style="thin">
        <color rgb="FFFFFFFF"/>
      </right>
      <top style="thin">
        <color rgb="FFFFFFFF"/>
      </top>
      <bottom style="medium">
        <color rgb="FFFFFFFF"/>
      </bottom>
    </border>
    <border>
      <right style="medium">
        <color rgb="FFFFFFFF"/>
      </right>
      <bottom style="medium">
        <color rgb="FFFFFFFF"/>
      </bottom>
    </border>
    <border>
      <left style="thin">
        <color rgb="FFFFFFFF"/>
      </left>
      <right style="thin">
        <color rgb="FFFFFFF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border>
    <border>
      <left style="thin">
        <color rgb="FF000000"/>
      </left>
      <top style="thin">
        <color rgb="FF000000"/>
      </top>
    </border>
    <border>
      <top style="thin">
        <color rgb="FF000000"/>
      </top>
    </border>
    <border>
      <right style="thin">
        <color rgb="FF000000"/>
      </right>
      <top style="thin">
        <color rgb="FF000000"/>
      </top>
    </border>
    <border>
      <top style="thin">
        <color rgb="FF000000"/>
      </top>
      <bottom style="thin">
        <color rgb="FF000000"/>
      </bottom>
    </border>
    <border>
      <right style="thin">
        <color rgb="FF000000"/>
      </right>
      <top style="thin">
        <color rgb="FF000000"/>
      </top>
      <bottom style="thin">
        <color rgb="FF000000"/>
      </bottom>
    </border>
    <border>
      <right style="medium">
        <color rgb="FF000000"/>
      </right>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rgb="FF000000"/>
      </left>
      <right style="medium">
        <color rgb="FF000000"/>
      </right>
    </border>
    <border>
      <left style="medium">
        <color rgb="FF000000"/>
      </left>
      <right style="medium">
        <color rgb="FF000000"/>
      </right>
      <top style="thin">
        <color rgb="FFFFFFFF"/>
      </top>
    </border>
    <border>
      <left style="medium">
        <color rgb="FF000000"/>
      </left>
      <top style="medium">
        <color rgb="FFFFFFFF"/>
      </top>
    </border>
    <border>
      <right style="medium">
        <color rgb="FF000000"/>
      </right>
      <top style="medium">
        <color rgb="FFFFFFFF"/>
      </top>
    </border>
    <border>
      <left style="medium">
        <color rgb="FF000000"/>
      </left>
      <right style="medium">
        <color rgb="FF000000"/>
      </right>
      <bottom style="thin">
        <color rgb="FFFFFFFF"/>
      </bottom>
    </border>
    <border>
      <bottom style="thin">
        <color rgb="FFFFFFFF"/>
      </bottom>
    </border>
    <border>
      <right style="medium">
        <color rgb="FF000000"/>
      </right>
      <bottom style="thick">
        <color rgb="FFD9EAD3"/>
      </bottom>
    </border>
    <border>
      <left style="thin">
        <color rgb="FFFFFFFF"/>
      </left>
      <right style="thin">
        <color rgb="FFFFFFFF"/>
      </right>
    </border>
    <border>
      <left style="medium">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top style="medium">
        <color rgb="FF000000"/>
      </top>
      <bottom style="medium">
        <color rgb="FF000000"/>
      </bottom>
    </border>
    <border>
      <left style="thin">
        <color rgb="FF000000"/>
      </left>
      <right style="thin">
        <color rgb="FF000000"/>
      </right>
      <top style="thin">
        <color rgb="FF000000"/>
      </top>
    </border>
    <border>
      <left style="medium">
        <color rgb="FF000000"/>
      </lef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thin">
        <color rgb="FF00FF00"/>
      </left>
      <right style="thin">
        <color rgb="FF00FF00"/>
      </right>
      <top style="thin">
        <color rgb="FF00FF00"/>
      </top>
      <bottom style="thin">
        <color rgb="FF00FF00"/>
      </bottom>
    </border>
  </borders>
  <cellStyleXfs count="1">
    <xf borderId="0" fillId="0" fontId="0" numFmtId="0" applyAlignment="1" applyFont="1"/>
  </cellStyleXfs>
  <cellXfs count="693">
    <xf borderId="0" fillId="0" fontId="0" numFmtId="0" xfId="0" applyAlignment="1" applyFont="1">
      <alignment readingOrder="0" shrinkToFit="0" vertical="bottom" wrapText="0"/>
    </xf>
    <xf borderId="0" fillId="2" fontId="1" numFmtId="165" xfId="0" applyAlignment="1" applyFill="1" applyFont="1" applyNumberFormat="1">
      <alignment readingOrder="0"/>
    </xf>
    <xf borderId="0" fillId="0" fontId="1" numFmtId="0" xfId="0" applyFont="1"/>
    <xf borderId="0" fillId="0" fontId="1" numFmtId="0" xfId="0" applyAlignment="1" applyFont="1">
      <alignment horizontal="center" readingOrder="0" vertical="center"/>
    </xf>
    <xf borderId="0" fillId="0" fontId="1" numFmtId="165" xfId="0" applyAlignment="1" applyFont="1" applyNumberFormat="1">
      <alignment horizontal="center" readingOrder="0" vertical="center"/>
    </xf>
    <xf borderId="0" fillId="0" fontId="1" numFmtId="4" xfId="0" applyAlignment="1" applyFont="1" applyNumberFormat="1">
      <alignment horizontal="center" readingOrder="0" shrinkToFit="0" vertical="center" wrapText="1"/>
    </xf>
    <xf borderId="0" fillId="0" fontId="1" numFmtId="165" xfId="0" applyAlignment="1" applyFont="1" applyNumberFormat="1">
      <alignment horizontal="center" readingOrder="0" shrinkToFit="0" vertical="center" wrapText="1"/>
    </xf>
    <xf borderId="0" fillId="0" fontId="1" numFmtId="165" xfId="0" applyAlignment="1" applyFont="1" applyNumberFormat="1">
      <alignment readingOrder="0"/>
    </xf>
    <xf borderId="0" fillId="0" fontId="1" numFmtId="49" xfId="0" applyFont="1" applyNumberFormat="1"/>
    <xf borderId="0" fillId="0" fontId="1" numFmtId="165" xfId="0" applyFont="1" applyNumberFormat="1"/>
    <xf borderId="0" fillId="0" fontId="1" numFmtId="167" xfId="0" applyAlignment="1" applyFont="1" applyNumberFormat="1">
      <alignment horizontal="center"/>
    </xf>
    <xf borderId="0" fillId="0" fontId="1" numFmtId="165" xfId="0" applyFont="1" applyNumberFormat="1"/>
    <xf borderId="0" fillId="2" fontId="1" numFmtId="165" xfId="0" applyFill="1" applyFont="1" applyNumberFormat="1"/>
    <xf borderId="0" fillId="0" fontId="1" numFmtId="0" xfId="0" applyAlignment="1" applyFont="1">
      <alignment readingOrder="0"/>
    </xf>
    <xf borderId="0" fillId="0" fontId="1" numFmtId="166" xfId="0" applyAlignment="1" applyFont="1" applyNumberFormat="1">
      <alignment readingOrder="0"/>
    </xf>
    <xf borderId="0" fillId="0" fontId="1" numFmtId="4" xfId="0" applyAlignment="1" applyFont="1" applyNumberFormat="1">
      <alignment readingOrder="0"/>
    </xf>
    <xf borderId="0" fillId="2" fontId="1" numFmtId="49" xfId="0" applyFill="1" applyFont="1" applyNumberFormat="1"/>
    <xf borderId="0" fillId="3" fontId="2" numFmtId="0" xfId="0" applyAlignment="1" applyFill="1" applyFont="1">
      <alignment horizontal="center" readingOrder="0"/>
    </xf>
    <xf borderId="0" fillId="2" fontId="3" numFmtId="165" xfId="0" applyAlignment="1" applyFill="1" applyFont="1" applyNumberFormat="1">
      <alignment readingOrder="0"/>
    </xf>
    <xf borderId="0" fillId="2" fontId="3" numFmtId="165" xfId="0" applyFill="1" applyFont="1" applyNumberFormat="1"/>
    <xf borderId="0" fillId="2" fontId="3" numFmtId="0" xfId="0" applyFill="1" applyFont="1"/>
    <xf borderId="0" fillId="4" fontId="1" numFmtId="165" xfId="0" applyFill="1" applyFont="1" applyNumberFormat="1"/>
    <xf borderId="0" fillId="4" fontId="1" numFmtId="49" xfId="0" applyFill="1" applyFont="1" applyNumberFormat="1"/>
    <xf borderId="0" fillId="4" fontId="1" numFmtId="0" xfId="0" applyAlignment="1" applyFill="1" applyFont="1">
      <alignment horizontal="center"/>
    </xf>
    <xf borderId="1" fillId="5" fontId="4" numFmtId="165" xfId="0" applyAlignment="1" applyBorder="1" applyFill="1" applyFont="1" applyNumberFormat="1">
      <alignment readingOrder="0"/>
    </xf>
    <xf borderId="2" fillId="4" fontId="5" numFmtId="0" xfId="0" applyBorder="1" applyFill="1" applyFont="1"/>
    <xf borderId="3" fillId="4" fontId="3" numFmtId="165" xfId="0" applyBorder="1" applyFill="1" applyFont="1" applyNumberFormat="1"/>
    <xf borderId="3" fillId="4" fontId="3" numFmtId="165" xfId="0" applyBorder="1" applyFill="1" applyFont="1" applyNumberFormat="1"/>
    <xf borderId="0" fillId="4" fontId="3" numFmtId="0" xfId="0" applyFill="1" applyFont="1"/>
    <xf borderId="0" fillId="2" fontId="1" numFmtId="0" xfId="0" applyAlignment="1" applyFill="1" applyFont="1">
      <alignment readingOrder="0"/>
    </xf>
    <xf borderId="0" fillId="0" fontId="1" numFmtId="165" xfId="0" applyAlignment="1" applyFont="1" applyNumberFormat="1">
      <alignment readingOrder="0"/>
    </xf>
    <xf borderId="0" fillId="6" fontId="1" numFmtId="0" xfId="0" applyFill="1" applyFont="1"/>
    <xf borderId="0" fillId="6" fontId="1" numFmtId="14" xfId="0" applyAlignment="1" applyFill="1" applyFont="1" applyNumberFormat="1">
      <alignment readingOrder="0"/>
    </xf>
    <xf borderId="0" fillId="6" fontId="1" numFmtId="165" xfId="0" applyAlignment="1" applyFill="1" applyFont="1" applyNumberFormat="1">
      <alignment readingOrder="0"/>
    </xf>
    <xf borderId="0" fillId="6" fontId="1" numFmtId="4" xfId="0" applyAlignment="1" applyFill="1" applyFont="1" applyNumberFormat="1">
      <alignment readingOrder="0"/>
    </xf>
    <xf borderId="0" fillId="6" fontId="1" numFmtId="165" xfId="0" applyFill="1" applyFont="1" applyNumberFormat="1"/>
    <xf borderId="0" fillId="6" fontId="1" numFmtId="49" xfId="0" applyFill="1" applyFont="1" applyNumberFormat="1"/>
    <xf borderId="0" fillId="0" fontId="1" numFmtId="0" xfId="0" applyAlignment="1" applyFont="1">
      <alignment horizontal="left" readingOrder="0" shrinkToFit="0" vertical="center" wrapText="0"/>
    </xf>
    <xf borderId="4" fillId="2" fontId="6" numFmtId="0" xfId="0" applyAlignment="1" applyBorder="1" applyFill="1" applyFont="1">
      <alignment horizontal="center" vertical="center"/>
    </xf>
    <xf borderId="0" fillId="2" fontId="1" numFmtId="0" xfId="0" applyFill="1" applyFont="1"/>
    <xf borderId="5" fillId="2" fontId="6" numFmtId="165" xfId="0" applyAlignment="1" applyBorder="1" applyFill="1" applyFont="1" applyNumberFormat="1">
      <alignment horizontal="center" vertical="center"/>
    </xf>
    <xf borderId="0" fillId="0" fontId="1" numFmtId="165" xfId="0" applyAlignment="1" applyFont="1" applyNumberFormat="1">
      <alignment horizontal="left" readingOrder="0" shrinkToFit="0" vertical="center" wrapText="0"/>
    </xf>
    <xf borderId="6" fillId="2" fontId="5" numFmtId="0" xfId="0" applyBorder="1" applyFill="1" applyFont="1"/>
    <xf borderId="7" fillId="2" fontId="5" numFmtId="0" xfId="0" applyBorder="1" applyFill="1" applyFont="1"/>
    <xf borderId="4" fillId="2" fontId="6" numFmtId="165" xfId="0" applyAlignment="1" applyBorder="1" applyFill="1" applyFont="1" applyNumberFormat="1">
      <alignment horizontal="center" vertical="center"/>
    </xf>
    <xf borderId="4" fillId="2" fontId="6" numFmtId="165" xfId="0" applyAlignment="1" applyBorder="1" applyFill="1" applyFont="1" applyNumberFormat="1">
      <alignment horizontal="center" readingOrder="0" shrinkToFit="0" vertical="center" wrapText="1"/>
    </xf>
    <xf borderId="0" fillId="2" fontId="6" numFmtId="0" xfId="0" applyAlignment="1" applyFill="1" applyFont="1">
      <alignment horizontal="center" readingOrder="0" shrinkToFit="0" vertical="center" wrapText="1"/>
    </xf>
    <xf borderId="0" fillId="0" fontId="1" numFmtId="0" xfId="0" applyAlignment="1" applyFont="1">
      <alignment horizontal="center" readingOrder="0" shrinkToFit="0" vertical="center" wrapText="1"/>
    </xf>
    <xf borderId="0" fillId="2" fontId="1" numFmtId="165" xfId="0" applyFill="1" applyFont="1" applyNumberFormat="1"/>
    <xf borderId="0" fillId="2" fontId="1" numFmtId="0" xfId="0" applyFill="1" applyFont="1"/>
    <xf borderId="8" fillId="7" fontId="2" numFmtId="0" xfId="0" applyAlignment="1" applyBorder="1" applyFill="1" applyFont="1">
      <alignment readingOrder="0"/>
    </xf>
    <xf borderId="9" fillId="7" fontId="2" numFmtId="164" xfId="0" applyBorder="1" applyFill="1" applyFont="1" applyNumberFormat="1"/>
    <xf borderId="9" fillId="7" fontId="2" numFmtId="0" xfId="0" applyBorder="1" applyFill="1" applyFont="1"/>
    <xf borderId="9" fillId="7" fontId="2" numFmtId="0" xfId="0" applyAlignment="1" applyBorder="1" applyFill="1" applyFont="1">
      <alignment horizontal="center" readingOrder="0"/>
    </xf>
    <xf borderId="9" fillId="4" fontId="5" numFmtId="0" xfId="0" applyBorder="1" applyFill="1" applyFont="1"/>
    <xf borderId="10" fillId="7" fontId="2" numFmtId="165" xfId="0" applyBorder="1" applyFill="1" applyFont="1" applyNumberFormat="1"/>
    <xf borderId="11" fillId="4" fontId="5" numFmtId="0" xfId="0" applyBorder="1" applyFill="1" applyFont="1"/>
    <xf borderId="12" fillId="4" fontId="6" numFmtId="165" xfId="0" applyAlignment="1" applyBorder="1" applyFill="1" applyFont="1" applyNumberFormat="1">
      <alignment horizontal="center" readingOrder="0" vertical="center"/>
    </xf>
    <xf borderId="13" fillId="0" fontId="1" numFmtId="49" xfId="0" applyAlignment="1" applyBorder="1" applyFont="1" applyNumberFormat="1">
      <alignment horizontal="left" readingOrder="0" shrinkToFit="0" vertical="center" wrapText="0"/>
    </xf>
    <xf borderId="14" fillId="4" fontId="6" numFmtId="165" xfId="0" applyAlignment="1" applyBorder="1" applyFill="1" applyFont="1" applyNumberFormat="1">
      <alignment horizontal="center" vertical="center"/>
    </xf>
    <xf borderId="0" fillId="0" fontId="1" numFmtId="14" xfId="0" applyAlignment="1" applyFont="1" applyNumberFormat="1">
      <alignment shrinkToFit="0" vertical="center" wrapText="0"/>
    </xf>
    <xf borderId="15" fillId="8" fontId="6" numFmtId="165" xfId="0" applyAlignment="1" applyBorder="1" applyFill="1" applyFont="1" applyNumberFormat="1">
      <alignment horizontal="center" readingOrder="0" vertical="center"/>
    </xf>
    <xf borderId="13" fillId="0" fontId="1" numFmtId="0" xfId="0" applyAlignment="1" applyBorder="1" applyFont="1">
      <alignment horizontal="left" readingOrder="0" shrinkToFit="0" vertical="center" wrapText="0"/>
    </xf>
    <xf borderId="0" fillId="0" fontId="1" numFmtId="165" xfId="0" applyAlignment="1" applyFont="1" applyNumberFormat="1">
      <alignment shrinkToFit="0" vertical="center" wrapText="0"/>
    </xf>
    <xf borderId="15" fillId="4" fontId="6" numFmtId="165" xfId="0" applyAlignment="1" applyBorder="1" applyFill="1" applyFont="1" applyNumberFormat="1">
      <alignment horizontal="center" vertical="center"/>
    </xf>
    <xf borderId="0" fillId="0" fontId="1" numFmtId="0" xfId="0" applyAlignment="1" applyFont="1">
      <alignment shrinkToFit="0" vertical="center" wrapText="0"/>
    </xf>
    <xf borderId="13" fillId="0" fontId="1" numFmtId="165" xfId="0" applyAlignment="1" applyBorder="1" applyFont="1" applyNumberFormat="1">
      <alignment horizontal="left" readingOrder="0" shrinkToFit="0" vertical="center" wrapText="0"/>
    </xf>
    <xf borderId="1" fillId="4" fontId="6" numFmtId="165" xfId="0" applyAlignment="1" applyBorder="1" applyFill="1" applyFont="1" applyNumberFormat="1">
      <alignment horizontal="center" readingOrder="0" vertical="center"/>
    </xf>
    <xf borderId="3" fillId="4" fontId="6" numFmtId="165" xfId="0" applyAlignment="1" applyBorder="1" applyFill="1" applyFont="1" applyNumberFormat="1">
      <alignment horizontal="center" vertical="center"/>
    </xf>
    <xf borderId="0" fillId="0" fontId="1" numFmtId="0" xfId="0" applyAlignment="1" applyFont="1">
      <alignment readingOrder="0" shrinkToFit="0" vertical="center" wrapText="0"/>
    </xf>
    <xf borderId="2" fillId="4" fontId="6" numFmtId="165" xfId="0" applyAlignment="1" applyBorder="1" applyFill="1" applyFont="1" applyNumberFormat="1">
      <alignment horizontal="center" vertical="center"/>
    </xf>
    <xf borderId="0" fillId="0" fontId="1" numFmtId="165" xfId="0" applyAlignment="1" applyFont="1" applyNumberFormat="1">
      <alignment horizontal="center" readingOrder="0"/>
    </xf>
    <xf borderId="0" fillId="4" fontId="6" numFmtId="0" xfId="0" applyAlignment="1" applyFill="1" applyFont="1">
      <alignment horizontal="center" readingOrder="0" shrinkToFit="0" vertical="center" wrapText="1"/>
    </xf>
    <xf borderId="0" fillId="4" fontId="1" numFmtId="165" xfId="0" applyAlignment="1" applyFill="1" applyFont="1" applyNumberFormat="1">
      <alignment readingOrder="0"/>
    </xf>
    <xf borderId="0" fillId="0" fontId="1" numFmtId="165" xfId="0" applyAlignment="1" applyFont="1" applyNumberFormat="1">
      <alignment shrinkToFit="0" vertical="center" wrapText="0"/>
    </xf>
    <xf borderId="0" fillId="4" fontId="1" numFmtId="165" xfId="0" applyFill="1" applyFont="1" applyNumberFormat="1"/>
    <xf borderId="16" fillId="7" fontId="2" numFmtId="0" xfId="0" applyAlignment="1" applyBorder="1" applyFill="1" applyFont="1">
      <alignment readingOrder="0"/>
    </xf>
    <xf quotePrefix="1" borderId="0" fillId="0" fontId="1" numFmtId="0" xfId="0" applyFont="1"/>
    <xf borderId="0" fillId="0" fontId="1" numFmtId="14" xfId="0" applyFont="1" applyNumberFormat="1"/>
    <xf borderId="0" fillId="2" fontId="7" numFmtId="0" xfId="0" applyAlignment="1" applyFill="1" applyFont="1">
      <alignment horizontal="center"/>
    </xf>
    <xf borderId="0" fillId="0" fontId="1" numFmtId="0" xfId="0" applyAlignment="1" applyFont="1">
      <alignment horizontal="center"/>
    </xf>
    <xf borderId="0" fillId="0" fontId="1" numFmtId="0" xfId="0" applyFont="1"/>
    <xf borderId="0" fillId="0" fontId="1" numFmtId="0" xfId="0" applyAlignment="1" applyFont="1">
      <alignment horizontal="center" readingOrder="0" shrinkToFit="0" vertical="center" wrapText="0"/>
    </xf>
    <xf borderId="0" fillId="0" fontId="1" numFmtId="165" xfId="0" applyAlignment="1" applyFont="1" applyNumberFormat="1">
      <alignment horizontal="center" readingOrder="0" shrinkToFit="0" vertical="center" wrapText="0"/>
    </xf>
    <xf borderId="17" fillId="7" fontId="2" numFmtId="165" xfId="0" applyAlignment="1" applyBorder="1" applyFill="1" applyFont="1" applyNumberFormat="1">
      <alignment readingOrder="0"/>
    </xf>
    <xf borderId="0" fillId="7" fontId="2" numFmtId="0" xfId="0" applyFill="1" applyFont="1"/>
    <xf borderId="0" fillId="0" fontId="1" numFmtId="165" xfId="0" applyAlignment="1" applyFont="1" applyNumberFormat="1">
      <alignment horizontal="center" readingOrder="0" shrinkToFit="0" vertical="center" wrapText="1"/>
    </xf>
    <xf borderId="18" fillId="7" fontId="2" numFmtId="0" xfId="0" applyAlignment="1" applyBorder="1" applyFill="1" applyFont="1">
      <alignment readingOrder="0"/>
    </xf>
    <xf borderId="13" fillId="0" fontId="1" numFmtId="0" xfId="0" applyAlignment="1" applyBorder="1" applyFont="1">
      <alignment horizontal="center" readingOrder="0" vertical="center"/>
    </xf>
    <xf borderId="17" fillId="7" fontId="2" numFmtId="165" xfId="0" applyBorder="1" applyFill="1" applyFont="1" applyNumberFormat="1"/>
    <xf borderId="19" fillId="7" fontId="2" numFmtId="165" xfId="0" applyBorder="1" applyFill="1" applyFont="1" applyNumberFormat="1"/>
    <xf borderId="13" fillId="0" fontId="1" numFmtId="0" xfId="0" applyAlignment="1" applyBorder="1" applyFont="1">
      <alignment horizontal="center" readingOrder="0" shrinkToFit="0" vertical="center" wrapText="1"/>
    </xf>
    <xf borderId="13" fillId="2" fontId="1" numFmtId="166" xfId="0" applyAlignment="1" applyBorder="1" applyFill="1" applyFont="1" applyNumberFormat="1">
      <alignment horizontal="center" readingOrder="0"/>
    </xf>
    <xf borderId="0" fillId="0" fontId="1" numFmtId="0" xfId="0" applyAlignment="1" applyFont="1">
      <alignment shrinkToFit="0" vertical="center" wrapText="0"/>
    </xf>
    <xf borderId="0" fillId="0" fontId="1" numFmtId="166" xfId="0" applyAlignment="1" applyFont="1" applyNumberFormat="1">
      <alignment shrinkToFit="0" vertical="center" wrapText="0"/>
    </xf>
    <xf borderId="20" fillId="2" fontId="1" numFmtId="165" xfId="0" applyAlignment="1" applyBorder="1" applyFill="1" applyFont="1" applyNumberFormat="1">
      <alignment readingOrder="0"/>
    </xf>
    <xf borderId="0" fillId="0" fontId="1" numFmtId="168" xfId="0" applyAlignment="1" applyFont="1" applyNumberFormat="1">
      <alignment shrinkToFit="0" vertical="center" wrapText="0"/>
    </xf>
    <xf borderId="20" fillId="2" fontId="1" numFmtId="165" xfId="0" applyBorder="1" applyFill="1" applyFont="1" applyNumberFormat="1"/>
    <xf borderId="0" fillId="9" fontId="1" numFmtId="0" xfId="0" applyFill="1" applyFont="1"/>
    <xf borderId="0" fillId="0" fontId="1" numFmtId="165" xfId="0" applyAlignment="1" applyFont="1" applyNumberFormat="1">
      <alignment horizontal="center"/>
    </xf>
    <xf borderId="0" fillId="9" fontId="1" numFmtId="0" xfId="0" applyAlignment="1" applyFill="1" applyFont="1">
      <alignment horizontal="center"/>
    </xf>
    <xf borderId="0" fillId="0" fontId="1" numFmtId="0" xfId="0" applyAlignment="1" applyFont="1">
      <alignment horizontal="center"/>
    </xf>
    <xf borderId="20" fillId="8" fontId="1" numFmtId="165" xfId="0" applyBorder="1" applyFill="1" applyFont="1" applyNumberFormat="1"/>
    <xf borderId="13" fillId="8" fontId="8" numFmtId="0" xfId="0" applyAlignment="1" applyBorder="1" applyFill="1" applyFont="1">
      <alignment horizontal="center" readingOrder="0" vertical="center"/>
    </xf>
    <xf borderId="0" fillId="9" fontId="8" numFmtId="0" xfId="0" applyAlignment="1" applyFill="1" applyFont="1">
      <alignment horizontal="center" vertical="center"/>
    </xf>
    <xf borderId="13" fillId="10" fontId="8" numFmtId="0" xfId="0" applyAlignment="1" applyBorder="1" applyFill="1" applyFont="1">
      <alignment horizontal="center" readingOrder="0" vertical="center"/>
    </xf>
    <xf borderId="13" fillId="11" fontId="8" numFmtId="0" xfId="0" applyAlignment="1" applyBorder="1" applyFill="1" applyFont="1">
      <alignment horizontal="center" readingOrder="0" vertical="center"/>
    </xf>
    <xf borderId="13" fillId="11" fontId="8" numFmtId="0" xfId="0" applyAlignment="1" applyBorder="1" applyFill="1" applyFont="1">
      <alignment horizontal="center" readingOrder="0" shrinkToFit="0" vertical="center" wrapText="1"/>
    </xf>
    <xf borderId="13" fillId="8" fontId="3" numFmtId="0" xfId="0" applyAlignment="1" applyBorder="1" applyFill="1" applyFont="1">
      <alignment horizontal="center" readingOrder="0" vertical="center"/>
    </xf>
    <xf borderId="0" fillId="9" fontId="3" numFmtId="0" xfId="0" applyAlignment="1" applyFill="1" applyFont="1">
      <alignment horizontal="center" vertical="center"/>
    </xf>
    <xf borderId="13" fillId="0" fontId="1" numFmtId="49" xfId="0" applyAlignment="1" applyBorder="1" applyFont="1" applyNumberFormat="1">
      <alignment shrinkToFit="0" vertical="center" wrapText="0"/>
    </xf>
    <xf borderId="13" fillId="0" fontId="1" numFmtId="0" xfId="0" applyAlignment="1" applyBorder="1" applyFont="1">
      <alignment shrinkToFit="0" vertical="center" wrapText="0"/>
    </xf>
    <xf borderId="21" fillId="2" fontId="1" numFmtId="165" xfId="0" applyBorder="1" applyFill="1" applyFont="1" applyNumberFormat="1"/>
    <xf borderId="13" fillId="0" fontId="1" numFmtId="165" xfId="0" applyAlignment="1" applyBorder="1" applyFont="1" applyNumberFormat="1">
      <alignment shrinkToFit="0" vertical="center" wrapText="0"/>
    </xf>
    <xf borderId="13" fillId="2" fontId="1" numFmtId="165" xfId="0" applyBorder="1" applyFill="1" applyFont="1" applyNumberFormat="1"/>
    <xf borderId="13" fillId="10" fontId="3" numFmtId="165" xfId="0" applyAlignment="1" applyBorder="1" applyFill="1" applyFont="1" applyNumberFormat="1">
      <alignment horizontal="center" vertical="center"/>
    </xf>
    <xf borderId="13" fillId="0" fontId="1" numFmtId="0" xfId="0" applyAlignment="1" applyBorder="1" applyFont="1">
      <alignment horizontal="center" readingOrder="0" shrinkToFit="0" vertical="center" wrapText="0"/>
    </xf>
    <xf borderId="13" fillId="0" fontId="9" numFmtId="0" xfId="0" applyAlignment="1" applyBorder="1" applyFont="1">
      <alignment shrinkToFit="0" vertical="bottom" wrapText="0"/>
    </xf>
    <xf borderId="13" fillId="4" fontId="1" numFmtId="166" xfId="0" applyAlignment="1" applyBorder="1" applyFill="1" applyFont="1" applyNumberFormat="1">
      <alignment horizontal="center" readingOrder="0"/>
    </xf>
    <xf borderId="13" fillId="10" fontId="3" numFmtId="0" xfId="0" applyAlignment="1" applyBorder="1" applyFill="1" applyFont="1">
      <alignment horizontal="center" vertical="center"/>
    </xf>
    <xf borderId="20" fillId="4" fontId="1" numFmtId="165" xfId="0" applyAlignment="1" applyBorder="1" applyFill="1" applyFont="1" applyNumberFormat="1">
      <alignment readingOrder="0"/>
    </xf>
    <xf borderId="20" fillId="4" fontId="1" numFmtId="165" xfId="0" applyBorder="1" applyFill="1" applyFont="1" applyNumberFormat="1"/>
    <xf borderId="13" fillId="11" fontId="3" numFmtId="165" xfId="0" applyAlignment="1" applyBorder="1" applyFill="1" applyFont="1" applyNumberFormat="1">
      <alignment horizontal="center" vertical="center"/>
    </xf>
    <xf borderId="13" fillId="4" fontId="1" numFmtId="165" xfId="0" applyBorder="1" applyFill="1" applyFont="1" applyNumberFormat="1"/>
    <xf borderId="13" fillId="8" fontId="1" numFmtId="165" xfId="0" applyBorder="1" applyFill="1" applyFont="1" applyNumberFormat="1"/>
    <xf borderId="13" fillId="11" fontId="3" numFmtId="0" xfId="0" applyAlignment="1" applyBorder="1" applyFill="1" applyFont="1">
      <alignment horizontal="center" vertical="center"/>
    </xf>
    <xf borderId="21" fillId="4" fontId="1" numFmtId="165" xfId="0" applyBorder="1" applyFill="1" applyFont="1" applyNumberFormat="1"/>
    <xf borderId="0" fillId="0" fontId="10" numFmtId="165" xfId="0" applyAlignment="1" applyFont="1" applyNumberFormat="1">
      <alignment horizontal="center" readingOrder="0"/>
    </xf>
    <xf borderId="13" fillId="4" fontId="1" numFmtId="165" xfId="0" applyBorder="1" applyFill="1" applyFont="1" applyNumberFormat="1"/>
    <xf borderId="0" fillId="4" fontId="1" numFmtId="0" xfId="0" applyFill="1" applyFont="1"/>
    <xf borderId="0" fillId="0" fontId="1" numFmtId="169" xfId="0" applyAlignment="1" applyFont="1" applyNumberFormat="1">
      <alignment shrinkToFit="0" vertical="center" wrapText="0"/>
    </xf>
    <xf borderId="13" fillId="0" fontId="1" numFmtId="0" xfId="0" applyAlignment="1" applyBorder="1" applyFont="1">
      <alignment shrinkToFit="0" vertical="center" wrapText="0"/>
    </xf>
    <xf borderId="0" fillId="9" fontId="1" numFmtId="0" xfId="0" applyAlignment="1" applyFill="1" applyFont="1">
      <alignment readingOrder="0"/>
    </xf>
    <xf borderId="0" fillId="0" fontId="1" numFmtId="169" xfId="0" applyAlignment="1" applyFont="1" applyNumberFormat="1">
      <alignment readingOrder="0" shrinkToFit="0" vertical="center" wrapText="0"/>
    </xf>
    <xf borderId="0" fillId="0" fontId="1" numFmtId="165" xfId="0" applyAlignment="1" applyFont="1" applyNumberFormat="1">
      <alignment readingOrder="0" shrinkToFit="0" vertical="center" wrapText="0"/>
    </xf>
    <xf borderId="13" fillId="2" fontId="1" numFmtId="165" xfId="0" applyBorder="1" applyFill="1" applyFont="1" applyNumberFormat="1"/>
    <xf borderId="13" fillId="0" fontId="9" numFmtId="0" xfId="0" applyAlignment="1" applyBorder="1" applyFont="1">
      <alignment readingOrder="0" shrinkToFit="0" vertical="bottom" wrapText="0"/>
    </xf>
    <xf borderId="16" fillId="7" fontId="11" numFmtId="0" xfId="0" applyAlignment="1" applyBorder="1" applyFill="1" applyFont="1">
      <alignment horizontal="right" readingOrder="0"/>
    </xf>
    <xf borderId="0" fillId="0" fontId="1" numFmtId="166" xfId="0" applyAlignment="1" applyFont="1" applyNumberFormat="1">
      <alignment readingOrder="0" shrinkToFit="0" vertical="center" wrapText="0"/>
    </xf>
    <xf borderId="17" fillId="7" fontId="11" numFmtId="165" xfId="0" applyBorder="1" applyFill="1" applyFont="1" applyNumberFormat="1"/>
    <xf borderId="0" fillId="0" fontId="1" numFmtId="165" xfId="0" applyAlignment="1" applyFont="1" applyNumberFormat="1">
      <alignment readingOrder="0" shrinkToFit="0" vertical="center" wrapText="0"/>
    </xf>
    <xf borderId="0" fillId="7" fontId="2" numFmtId="0" xfId="0" applyAlignment="1" applyFill="1" applyFont="1">
      <alignment readingOrder="0"/>
    </xf>
    <xf borderId="0" fillId="7" fontId="2" numFmtId="165" xfId="0" applyFill="1" applyFont="1" applyNumberFormat="1"/>
    <xf borderId="22" fillId="4" fontId="12" numFmtId="166" xfId="0" applyAlignment="1" applyBorder="1" applyFill="1" applyFont="1" applyNumberFormat="1">
      <alignment horizontal="right" readingOrder="0" shrinkToFit="0" vertical="center" wrapText="0"/>
    </xf>
    <xf borderId="23" fillId="4" fontId="12" numFmtId="165" xfId="0" applyAlignment="1" applyBorder="1" applyFill="1" applyFont="1" applyNumberFormat="1">
      <alignment horizontal="right" shrinkToFit="0" vertical="center" wrapText="0"/>
    </xf>
    <xf borderId="23" fillId="4" fontId="12" numFmtId="165" xfId="0" applyAlignment="1" applyBorder="1" applyFill="1" applyFont="1" applyNumberFormat="1">
      <alignment shrinkToFit="0" vertical="center" wrapText="0"/>
    </xf>
    <xf borderId="24" fillId="4" fontId="12" numFmtId="165" xfId="0" applyAlignment="1" applyBorder="1" applyFill="1" applyFont="1" applyNumberFormat="1">
      <alignment shrinkToFit="0" vertical="center" wrapText="0"/>
    </xf>
    <xf borderId="23" fillId="4" fontId="12" numFmtId="165" xfId="0" applyAlignment="1" applyBorder="1" applyFill="1" applyFont="1" applyNumberFormat="1">
      <alignment horizontal="right" readingOrder="0" shrinkToFit="0" vertical="center" wrapText="0"/>
    </xf>
    <xf borderId="0" fillId="7" fontId="2" numFmtId="0" xfId="0" applyAlignment="1" applyFill="1" applyFont="1">
      <alignment horizontal="center" readingOrder="0"/>
    </xf>
    <xf borderId="0" fillId="2" fontId="7" numFmtId="165" xfId="0" applyAlignment="1" applyFill="1" applyFont="1" applyNumberFormat="1">
      <alignment horizontal="center" readingOrder="0"/>
    </xf>
    <xf borderId="25" fillId="7" fontId="4" numFmtId="0" xfId="0" applyAlignment="1" applyBorder="1" applyFill="1" applyFont="1">
      <alignment readingOrder="0"/>
    </xf>
    <xf borderId="0" fillId="7" fontId="2" numFmtId="165" xfId="0" applyAlignment="1" applyFill="1" applyFont="1" applyNumberFormat="1">
      <alignment readingOrder="0"/>
    </xf>
    <xf borderId="22" fillId="2" fontId="12" numFmtId="166" xfId="0" applyAlignment="1" applyBorder="1" applyFill="1" applyFont="1" applyNumberFormat="1">
      <alignment horizontal="right" readingOrder="0" shrinkToFit="0" vertical="center" wrapText="0"/>
    </xf>
    <xf borderId="23" fillId="2" fontId="12" numFmtId="165" xfId="0" applyAlignment="1" applyBorder="1" applyFill="1" applyFont="1" applyNumberFormat="1">
      <alignment horizontal="right" shrinkToFit="0" vertical="center" wrapText="0"/>
    </xf>
    <xf borderId="23" fillId="2" fontId="12" numFmtId="165" xfId="0" applyAlignment="1" applyBorder="1" applyFill="1" applyFont="1" applyNumberFormat="1">
      <alignment shrinkToFit="0" vertical="center" wrapText="0"/>
    </xf>
    <xf borderId="24" fillId="2" fontId="12" numFmtId="165" xfId="0" applyAlignment="1" applyBorder="1" applyFill="1" applyFont="1" applyNumberFormat="1">
      <alignment shrinkToFit="0" vertical="center" wrapText="0"/>
    </xf>
    <xf borderId="23" fillId="2" fontId="12" numFmtId="165" xfId="0" applyAlignment="1" applyBorder="1" applyFill="1" applyFont="1" applyNumberFormat="1">
      <alignment horizontal="right" readingOrder="0" shrinkToFit="0" vertical="center" wrapText="0"/>
    </xf>
    <xf borderId="25" fillId="7" fontId="13" numFmtId="0" xfId="0" applyAlignment="1" applyBorder="1" applyFill="1" applyFont="1">
      <alignment horizontal="right" readingOrder="0"/>
    </xf>
    <xf borderId="0" fillId="7" fontId="11" numFmtId="165" xfId="0" applyAlignment="1" applyFill="1" applyFont="1" applyNumberFormat="1">
      <alignment readingOrder="0"/>
    </xf>
    <xf borderId="0" fillId="2" fontId="14" numFmtId="165" xfId="0" applyAlignment="1" applyFill="1" applyFont="1" applyNumberFormat="1">
      <alignment horizontal="center" readingOrder="0"/>
    </xf>
    <xf borderId="22" fillId="4" fontId="12" numFmtId="166" xfId="0" applyAlignment="1" applyBorder="1" applyFill="1" applyFont="1" applyNumberFormat="1">
      <alignment horizontal="right" shrinkToFit="0" vertical="center" wrapText="0"/>
    </xf>
    <xf borderId="0" fillId="4" fontId="12" numFmtId="165" xfId="0" applyAlignment="1" applyFill="1" applyFont="1" applyNumberFormat="1">
      <alignment horizontal="right" readingOrder="0" shrinkToFit="0" vertical="center" wrapText="0"/>
    </xf>
    <xf borderId="25" fillId="7" fontId="1" numFmtId="0" xfId="0" applyBorder="1" applyFill="1" applyFont="1"/>
    <xf borderId="0" fillId="7" fontId="1" numFmtId="165" xfId="0" applyAlignment="1" applyFill="1" applyFont="1" applyNumberFormat="1">
      <alignment readingOrder="0"/>
    </xf>
    <xf borderId="0" fillId="7" fontId="1" numFmtId="4" xfId="0" applyFill="1" applyFont="1" applyNumberFormat="1"/>
    <xf borderId="19" fillId="7" fontId="1" numFmtId="165" xfId="0" applyBorder="1" applyFill="1" applyFont="1" applyNumberFormat="1"/>
    <xf borderId="26" fillId="7" fontId="1" numFmtId="0" xfId="0" applyBorder="1" applyFill="1" applyFont="1"/>
    <xf borderId="27" fillId="7" fontId="1" numFmtId="165" xfId="0" applyAlignment="1" applyBorder="1" applyFill="1" applyFont="1" applyNumberFormat="1">
      <alignment readingOrder="0"/>
    </xf>
    <xf borderId="27" fillId="7" fontId="1" numFmtId="4" xfId="0" applyBorder="1" applyFill="1" applyFont="1" applyNumberFormat="1"/>
    <xf borderId="28" fillId="7" fontId="2" numFmtId="165" xfId="0" applyAlignment="1" applyBorder="1" applyFill="1" applyFont="1" applyNumberFormat="1">
      <alignment readingOrder="0"/>
    </xf>
    <xf borderId="29" fillId="7" fontId="2" numFmtId="165" xfId="0" applyBorder="1" applyFill="1" applyFont="1" applyNumberFormat="1"/>
    <xf borderId="30" fillId="7" fontId="1" numFmtId="165" xfId="0" applyBorder="1" applyFill="1" applyFont="1" applyNumberFormat="1"/>
    <xf borderId="0" fillId="6" fontId="1" numFmtId="4" xfId="0" applyFill="1" applyFont="1" applyNumberFormat="1"/>
    <xf borderId="0" fillId="0" fontId="1" numFmtId="4" xfId="0" applyFont="1" applyNumberFormat="1"/>
    <xf borderId="0" fillId="0" fontId="9" numFmtId="0" xfId="0" applyAlignment="1" applyFont="1">
      <alignment readingOrder="0" vertical="bottom"/>
    </xf>
    <xf borderId="0" fillId="0" fontId="9" numFmtId="165" xfId="0" applyAlignment="1" applyFont="1" applyNumberFormat="1">
      <alignment readingOrder="0" vertical="bottom"/>
    </xf>
    <xf borderId="0" fillId="0" fontId="9" numFmtId="4" xfId="0" applyAlignment="1" applyFont="1" applyNumberFormat="1">
      <alignment vertical="bottom"/>
    </xf>
    <xf borderId="0" fillId="0" fontId="9" numFmtId="165" xfId="0" applyAlignment="1" applyFont="1" applyNumberFormat="1">
      <alignment vertical="bottom"/>
    </xf>
    <xf borderId="0" fillId="4" fontId="9" numFmtId="165" xfId="0" applyAlignment="1" applyFill="1" applyFont="1" applyNumberFormat="1">
      <alignment vertical="bottom"/>
    </xf>
    <xf borderId="0" fillId="0" fontId="9" numFmtId="169" xfId="0" applyAlignment="1" applyFont="1" applyNumberFormat="1">
      <alignment horizontal="right" vertical="bottom"/>
    </xf>
    <xf borderId="0" fillId="0" fontId="9" numFmtId="165" xfId="0" applyAlignment="1" applyFont="1" applyNumberFormat="1">
      <alignment horizontal="right" readingOrder="0" vertical="bottom"/>
    </xf>
    <xf borderId="0" fillId="0" fontId="9" numFmtId="165" xfId="0" applyAlignment="1" applyFont="1" applyNumberFormat="1">
      <alignment horizontal="right" vertical="bottom"/>
    </xf>
    <xf borderId="0" fillId="2" fontId="9" numFmtId="165" xfId="0" applyAlignment="1" applyFill="1" applyFont="1" applyNumberFormat="1">
      <alignment horizontal="right" vertical="bottom"/>
    </xf>
    <xf borderId="0" fillId="0" fontId="1" numFmtId="166" xfId="0" applyFont="1" applyNumberFormat="1"/>
    <xf borderId="0" fillId="2" fontId="9" numFmtId="49" xfId="0" applyAlignment="1" applyFill="1" applyFont="1" applyNumberFormat="1">
      <alignment vertical="bottom"/>
    </xf>
    <xf borderId="0" fillId="0" fontId="1" numFmtId="169" xfId="0" applyAlignment="1" applyFont="1" applyNumberFormat="1">
      <alignment readingOrder="0" shrinkToFit="0" vertical="center" wrapText="0"/>
    </xf>
    <xf borderId="0" fillId="2" fontId="12" numFmtId="165" xfId="0" applyAlignment="1" applyFill="1" applyFont="1" applyNumberFormat="1">
      <alignment horizontal="right" shrinkToFit="0" vertical="center" wrapText="0"/>
    </xf>
    <xf borderId="0" fillId="2" fontId="12" numFmtId="165" xfId="0" applyAlignment="1" applyFill="1" applyFont="1" applyNumberFormat="1">
      <alignment readingOrder="0" shrinkToFit="0" vertical="center" wrapText="0"/>
    </xf>
    <xf borderId="0" fillId="4" fontId="9" numFmtId="165" xfId="0" applyAlignment="1" applyFill="1" applyFont="1" applyNumberFormat="1">
      <alignment horizontal="right" vertical="bottom"/>
    </xf>
    <xf borderId="0" fillId="4" fontId="9" numFmtId="49" xfId="0" applyAlignment="1" applyFill="1" applyFont="1" applyNumberFormat="1">
      <alignment vertical="bottom"/>
    </xf>
    <xf borderId="0" fillId="4" fontId="1" numFmtId="0" xfId="0" applyAlignment="1" applyFill="1" applyFont="1">
      <alignment readingOrder="0"/>
    </xf>
    <xf borderId="0" fillId="0" fontId="9" numFmtId="0" xfId="0" applyAlignment="1" applyFont="1">
      <alignment horizontal="right" readingOrder="0" vertical="bottom"/>
    </xf>
    <xf borderId="0" fillId="0" fontId="1" numFmtId="14" xfId="0" applyAlignment="1" applyFont="1" applyNumberFormat="1">
      <alignment readingOrder="0" shrinkToFit="0" vertical="center" wrapText="0"/>
    </xf>
    <xf borderId="0" fillId="0" fontId="1" numFmtId="168" xfId="0" applyAlignment="1" applyFont="1" applyNumberFormat="1">
      <alignment readingOrder="0" shrinkToFit="0" vertical="center" wrapText="0"/>
    </xf>
    <xf borderId="0" fillId="0" fontId="9" numFmtId="4" xfId="0" applyAlignment="1" applyFont="1" applyNumberFormat="1">
      <alignment readingOrder="0" vertical="bottom"/>
    </xf>
    <xf borderId="0" fillId="0" fontId="1" numFmtId="165" xfId="0" applyAlignment="1" applyFont="1" applyNumberFormat="1">
      <alignment readingOrder="0" shrinkToFit="0" vertical="center" wrapText="0"/>
    </xf>
    <xf borderId="0" fillId="2" fontId="7" numFmtId="0" xfId="0" applyAlignment="1" applyFill="1" applyFont="1">
      <alignment readingOrder="0"/>
    </xf>
    <xf borderId="0" fillId="2" fontId="15" numFmtId="49" xfId="0" applyAlignment="1" applyFill="1" applyFont="1" applyNumberFormat="1">
      <alignment horizontal="center" shrinkToFit="0" vertical="bottom" wrapText="0"/>
    </xf>
    <xf borderId="0" fillId="2" fontId="16" numFmtId="165" xfId="0" applyAlignment="1" applyFill="1" applyFont="1" applyNumberFormat="1">
      <alignment horizontal="right" shrinkToFit="0" wrapText="0"/>
    </xf>
    <xf borderId="31" fillId="0" fontId="1" numFmtId="165" xfId="0" applyAlignment="1" applyBorder="1" applyFont="1" applyNumberFormat="1">
      <alignment readingOrder="0" shrinkToFit="0" vertical="center" wrapText="0"/>
    </xf>
    <xf borderId="31" fillId="0" fontId="1" numFmtId="0" xfId="0" applyAlignment="1" applyBorder="1" applyFont="1">
      <alignment readingOrder="0" shrinkToFit="0" vertical="center" wrapText="0"/>
    </xf>
    <xf borderId="0" fillId="4" fontId="15" numFmtId="49" xfId="0" applyAlignment="1" applyFill="1" applyFont="1" applyNumberFormat="1">
      <alignment horizontal="center" shrinkToFit="0" vertical="bottom" wrapText="0"/>
    </xf>
    <xf borderId="0" fillId="4" fontId="9" numFmtId="165" xfId="0" applyAlignment="1" applyFill="1" applyFont="1" applyNumberFormat="1">
      <alignment horizontal="right" readingOrder="0" vertical="bottom"/>
    </xf>
    <xf borderId="0" fillId="2" fontId="9" numFmtId="169" xfId="0" applyAlignment="1" applyFill="1" applyFont="1" applyNumberFormat="1">
      <alignment horizontal="right" vertical="bottom"/>
    </xf>
    <xf borderId="0" fillId="2" fontId="9" numFmtId="4" xfId="0" applyAlignment="1" applyFill="1" applyFont="1" applyNumberFormat="1">
      <alignment vertical="bottom"/>
    </xf>
    <xf borderId="13" fillId="0" fontId="9" numFmtId="0" xfId="0" applyAlignment="1" applyBorder="1" applyFont="1">
      <alignment readingOrder="0" shrinkToFit="0" vertical="bottom" wrapText="0"/>
    </xf>
    <xf borderId="0" fillId="0" fontId="1" numFmtId="165" xfId="0" applyAlignment="1" applyFont="1" applyNumberFormat="1">
      <alignment shrinkToFit="0" vertical="center" wrapText="0"/>
    </xf>
    <xf borderId="0" fillId="2" fontId="15" numFmtId="49" xfId="0" applyAlignment="1" applyFill="1" applyFont="1" applyNumberFormat="1">
      <alignment horizontal="center" readingOrder="0" shrinkToFit="0" vertical="bottom" wrapText="0"/>
    </xf>
    <xf borderId="0" fillId="0" fontId="9" numFmtId="0" xfId="0" applyAlignment="1" applyFont="1">
      <alignment readingOrder="0" shrinkToFit="0" vertical="bottom" wrapText="0"/>
    </xf>
    <xf borderId="0" fillId="2" fontId="16" numFmtId="49" xfId="0" applyAlignment="1" applyFill="1" applyFont="1" applyNumberFormat="1">
      <alignment horizontal="center" readingOrder="0" shrinkToFit="0" wrapText="0"/>
    </xf>
    <xf borderId="0" fillId="4" fontId="1" numFmtId="167" xfId="0" applyAlignment="1" applyFill="1" applyFont="1" applyNumberFormat="1">
      <alignment horizontal="center"/>
    </xf>
    <xf borderId="0" fillId="4" fontId="1" numFmtId="165" xfId="0" applyAlignment="1" applyFill="1" applyFont="1" applyNumberFormat="1">
      <alignment horizontal="center"/>
    </xf>
    <xf borderId="0" fillId="4" fontId="1" numFmtId="165" xfId="0" applyAlignment="1" applyFill="1" applyFont="1" applyNumberFormat="1">
      <alignment horizontal="center" readingOrder="0"/>
    </xf>
    <xf borderId="0" fillId="4" fontId="1" numFmtId="165" xfId="0" applyAlignment="1" applyFill="1" applyFont="1" applyNumberFormat="1">
      <alignment horizontal="center"/>
    </xf>
    <xf borderId="0" fillId="2" fontId="9" numFmtId="169" xfId="0" applyAlignment="1" applyFill="1" applyFont="1" applyNumberFormat="1">
      <alignment horizontal="right" readingOrder="0" vertical="bottom"/>
    </xf>
    <xf borderId="0" fillId="2" fontId="7" numFmtId="165" xfId="0" applyAlignment="1" applyFill="1" applyFont="1" applyNumberFormat="1">
      <alignment readingOrder="0"/>
    </xf>
    <xf borderId="0" fillId="2" fontId="7" numFmtId="4" xfId="0" applyAlignment="1" applyFill="1" applyFont="1" applyNumberFormat="1">
      <alignment horizontal="center" readingOrder="0"/>
    </xf>
    <xf borderId="0" fillId="2" fontId="1" numFmtId="167" xfId="0" applyAlignment="1" applyFill="1" applyFont="1" applyNumberFormat="1">
      <alignment horizontal="center"/>
    </xf>
    <xf borderId="0" fillId="2" fontId="1" numFmtId="165" xfId="0" applyAlignment="1" applyFill="1" applyFont="1" applyNumberFormat="1">
      <alignment horizontal="center"/>
    </xf>
    <xf borderId="0" fillId="2" fontId="1" numFmtId="165" xfId="0" applyAlignment="1" applyFill="1" applyFont="1" applyNumberFormat="1">
      <alignment horizontal="center"/>
    </xf>
    <xf borderId="0" fillId="2" fontId="1" numFmtId="0" xfId="0" applyAlignment="1" applyFill="1" applyFont="1">
      <alignment horizontal="center"/>
    </xf>
    <xf borderId="0" fillId="2" fontId="16" numFmtId="165" xfId="0" applyAlignment="1" applyFill="1" applyFont="1" applyNumberFormat="1">
      <alignment horizontal="right" readingOrder="0" shrinkToFit="0" wrapText="0"/>
    </xf>
    <xf borderId="0" fillId="2" fontId="16" numFmtId="167" xfId="0" applyAlignment="1" applyFill="1" applyFont="1" applyNumberFormat="1">
      <alignment horizontal="center" shrinkToFit="0" wrapText="0"/>
    </xf>
    <xf borderId="0" fillId="2" fontId="16" numFmtId="165" xfId="0" applyAlignment="1" applyFill="1" applyFont="1" applyNumberFormat="1">
      <alignment horizontal="center" shrinkToFit="0" wrapText="0"/>
    </xf>
    <xf borderId="0" fillId="2" fontId="16" numFmtId="165" xfId="0" applyAlignment="1" applyFill="1" applyFont="1" applyNumberFormat="1">
      <alignment horizontal="center" shrinkToFit="0" wrapText="0"/>
    </xf>
    <xf borderId="0" fillId="2" fontId="16" numFmtId="0" xfId="0" applyAlignment="1" applyFill="1" applyFont="1">
      <alignment horizontal="center" shrinkToFit="0" wrapText="0"/>
    </xf>
    <xf borderId="0" fillId="4" fontId="16" numFmtId="165" xfId="0" applyAlignment="1" applyFill="1" applyFont="1" applyNumberFormat="1">
      <alignment horizontal="center" shrinkToFit="0" wrapText="0"/>
    </xf>
    <xf borderId="0" fillId="4" fontId="16" numFmtId="165" xfId="0" applyAlignment="1" applyFill="1" applyFont="1" applyNumberFormat="1">
      <alignment horizontal="center" shrinkToFit="0" wrapText="0"/>
    </xf>
    <xf borderId="0" fillId="4" fontId="16" numFmtId="0" xfId="0" applyAlignment="1" applyFill="1" applyFont="1">
      <alignment horizontal="center" shrinkToFit="0" wrapText="0"/>
    </xf>
    <xf borderId="0" fillId="2" fontId="16" numFmtId="49" xfId="0" applyAlignment="1" applyFill="1" applyFont="1" applyNumberFormat="1">
      <alignment horizontal="center" shrinkToFit="0" wrapText="0"/>
    </xf>
    <xf borderId="0" fillId="2" fontId="16" numFmtId="0" xfId="0" applyAlignment="1" applyFill="1" applyFont="1">
      <alignment horizontal="left" readingOrder="0" shrinkToFit="0" wrapText="0"/>
    </xf>
    <xf borderId="0" fillId="2" fontId="9" numFmtId="165" xfId="0" applyAlignment="1" applyFill="1" applyFont="1" applyNumberFormat="1">
      <alignment horizontal="right" readingOrder="0" vertical="bottom"/>
    </xf>
    <xf borderId="0" fillId="2" fontId="7" numFmtId="165" xfId="0" applyFill="1" applyFont="1" applyNumberFormat="1"/>
    <xf borderId="0" fillId="4" fontId="12" numFmtId="14" xfId="0" applyAlignment="1" applyFill="1" applyFont="1" applyNumberFormat="1">
      <alignment horizontal="right" readingOrder="0" shrinkToFit="0" vertical="center" wrapText="0"/>
    </xf>
    <xf borderId="0" fillId="4" fontId="12" numFmtId="165" xfId="0" applyAlignment="1" applyFill="1" applyFont="1" applyNumberFormat="1">
      <alignment horizontal="right" shrinkToFit="0" vertical="center" wrapText="0"/>
    </xf>
    <xf borderId="0" fillId="4" fontId="12" numFmtId="0" xfId="0" applyAlignment="1" applyFill="1" applyFont="1">
      <alignment shrinkToFit="0" vertical="center" wrapText="0"/>
    </xf>
    <xf borderId="32" fillId="0" fontId="1" numFmtId="14" xfId="0" applyAlignment="1" applyBorder="1" applyFont="1" applyNumberFormat="1">
      <alignment readingOrder="0" shrinkToFit="0" vertical="center" wrapText="0"/>
    </xf>
    <xf borderId="33" fillId="0" fontId="1" numFmtId="165" xfId="0" applyAlignment="1" applyBorder="1" applyFont="1" applyNumberFormat="1">
      <alignment readingOrder="0" shrinkToFit="0" vertical="center" wrapText="0"/>
    </xf>
    <xf borderId="33" fillId="0" fontId="1" numFmtId="0" xfId="0" applyAlignment="1" applyBorder="1" applyFont="1">
      <alignment readingOrder="0" shrinkToFit="0" vertical="center" wrapText="0"/>
    </xf>
    <xf borderId="34" fillId="0" fontId="1" numFmtId="0" xfId="0" applyAlignment="1" applyBorder="1" applyFont="1">
      <alignment readingOrder="0" shrinkToFit="0" vertical="center" wrapText="0"/>
    </xf>
    <xf borderId="0" fillId="2" fontId="16" numFmtId="165" xfId="0" applyAlignment="1" applyFill="1" applyFont="1" applyNumberFormat="1">
      <alignment shrinkToFit="0" wrapText="0"/>
    </xf>
    <xf borderId="0" fillId="2" fontId="12" numFmtId="14" xfId="0" applyAlignment="1" applyFill="1" applyFont="1" applyNumberFormat="1">
      <alignment horizontal="right" readingOrder="0" shrinkToFit="0" vertical="center" wrapText="0"/>
    </xf>
    <xf borderId="0" fillId="2" fontId="12" numFmtId="0" xfId="0" applyAlignment="1" applyFill="1" applyFont="1">
      <alignment shrinkToFit="0" vertical="center" wrapText="0"/>
    </xf>
    <xf borderId="0" fillId="0" fontId="1" numFmtId="49" xfId="0" applyAlignment="1" applyFont="1" applyNumberFormat="1">
      <alignment horizontal="center" readingOrder="0" shrinkToFit="0" vertical="center" wrapText="0"/>
    </xf>
    <xf borderId="0" fillId="0" fontId="1" numFmtId="49" xfId="0" applyAlignment="1" applyFont="1" applyNumberFormat="1">
      <alignment horizontal="right" readingOrder="0" shrinkToFit="0" vertical="center" wrapText="0"/>
    </xf>
    <xf borderId="0" fillId="0" fontId="1" numFmtId="167" xfId="0" applyAlignment="1" applyFont="1" applyNumberFormat="1">
      <alignment shrinkToFit="0" vertical="center" wrapText="0"/>
    </xf>
    <xf borderId="0" fillId="2" fontId="9" numFmtId="0" xfId="0" applyAlignment="1" applyFill="1" applyFont="1">
      <alignment shrinkToFit="0" vertical="bottom" wrapText="0"/>
    </xf>
    <xf borderId="0" fillId="0" fontId="1" numFmtId="49" xfId="0" applyAlignment="1" applyFont="1" applyNumberFormat="1">
      <alignment horizontal="center" shrinkToFit="0" vertical="center" wrapText="0"/>
    </xf>
    <xf borderId="0" fillId="0" fontId="1" numFmtId="49" xfId="0" applyAlignment="1" applyFont="1" applyNumberFormat="1">
      <alignment shrinkToFit="0" vertical="center" wrapText="0"/>
    </xf>
    <xf borderId="0" fillId="0" fontId="1" numFmtId="4" xfId="0" applyAlignment="1" applyFont="1" applyNumberFormat="1">
      <alignment horizontal="right" shrinkToFit="0" vertical="center" wrapText="0"/>
    </xf>
    <xf borderId="0" fillId="2" fontId="12" numFmtId="165" xfId="0" applyAlignment="1" applyFill="1" applyFont="1" applyNumberFormat="1">
      <alignment horizontal="right" readingOrder="0" shrinkToFit="0" vertical="center" wrapText="0"/>
    </xf>
    <xf borderId="0" fillId="2" fontId="12" numFmtId="0" xfId="0" applyAlignment="1" applyFill="1" applyFont="1">
      <alignment readingOrder="0" shrinkToFit="0" vertical="center" wrapText="0"/>
    </xf>
    <xf borderId="32" fillId="4" fontId="12" numFmtId="14" xfId="0" applyAlignment="1" applyBorder="1" applyFill="1" applyFont="1" applyNumberFormat="1">
      <alignment horizontal="right" readingOrder="0" shrinkToFit="0" vertical="center" wrapText="0"/>
    </xf>
    <xf borderId="33" fillId="4" fontId="12" numFmtId="165" xfId="0" applyAlignment="1" applyBorder="1" applyFill="1" applyFont="1" applyNumberFormat="1">
      <alignment horizontal="right" readingOrder="0" shrinkToFit="0" vertical="center" wrapText="0"/>
    </xf>
    <xf borderId="33" fillId="4" fontId="12" numFmtId="0" xfId="0" applyAlignment="1" applyBorder="1" applyFill="1" applyFont="1">
      <alignment readingOrder="0" shrinkToFit="0" vertical="center" wrapText="0"/>
    </xf>
    <xf borderId="0" fillId="0" fontId="1" numFmtId="49" xfId="0" applyAlignment="1" applyFont="1" applyNumberFormat="1">
      <alignment horizontal="center"/>
    </xf>
    <xf borderId="0" fillId="0" fontId="1" numFmtId="167" xfId="0" applyFont="1" applyNumberFormat="1"/>
    <xf borderId="34" fillId="4" fontId="12" numFmtId="0" xfId="0" applyAlignment="1" applyBorder="1" applyFill="1" applyFont="1">
      <alignment readingOrder="0" shrinkToFit="0" vertical="center" wrapText="0"/>
    </xf>
    <xf borderId="35" fillId="2" fontId="12" numFmtId="14" xfId="0" applyAlignment="1" applyBorder="1" applyFill="1" applyFont="1" applyNumberFormat="1">
      <alignment horizontal="right" readingOrder="0" shrinkToFit="0" vertical="center" wrapText="0"/>
    </xf>
    <xf borderId="31" fillId="2" fontId="12" numFmtId="165" xfId="0" applyAlignment="1" applyBorder="1" applyFill="1" applyFont="1" applyNumberFormat="1">
      <alignment horizontal="right" readingOrder="0" shrinkToFit="0" vertical="center" wrapText="0"/>
    </xf>
    <xf borderId="31" fillId="2" fontId="12" numFmtId="0" xfId="0" applyAlignment="1" applyBorder="1" applyFill="1" applyFont="1">
      <alignment readingOrder="0" shrinkToFit="0" vertical="center" wrapText="0"/>
    </xf>
    <xf borderId="36" fillId="2" fontId="12" numFmtId="0" xfId="0" applyAlignment="1" applyBorder="1" applyFill="1" applyFont="1">
      <alignment readingOrder="0" shrinkToFit="0" vertical="center" wrapText="0"/>
    </xf>
    <xf borderId="35" fillId="0" fontId="1" numFmtId="14" xfId="0" applyAlignment="1" applyBorder="1" applyFont="1" applyNumberFormat="1">
      <alignment readingOrder="0" shrinkToFit="0" vertical="center" wrapText="0"/>
    </xf>
    <xf borderId="36" fillId="0" fontId="1" numFmtId="0" xfId="0" applyAlignment="1" applyBorder="1" applyFont="1">
      <alignment readingOrder="0" shrinkToFit="0" vertical="center" wrapText="0"/>
    </xf>
    <xf borderId="0" fillId="4" fontId="12" numFmtId="165" xfId="0" applyAlignment="1" applyFill="1" applyFont="1" applyNumberFormat="1">
      <alignment horizontal="right" readingOrder="0" shrinkToFit="0" vertical="center" wrapText="0"/>
    </xf>
    <xf borderId="0" fillId="0" fontId="1" numFmtId="14" xfId="0" applyAlignment="1" applyFont="1" applyNumberFormat="1">
      <alignment horizontal="center"/>
    </xf>
    <xf borderId="0" fillId="0" fontId="1" numFmtId="0" xfId="0" applyAlignment="1" applyFont="1">
      <alignment horizontal="left" shrinkToFit="0" vertical="center" wrapText="0"/>
    </xf>
    <xf borderId="0" fillId="0" fontId="1" numFmtId="165" xfId="0" applyAlignment="1" applyFont="1" applyNumberFormat="1">
      <alignment horizontal="left" shrinkToFit="0" vertical="center" wrapText="0"/>
    </xf>
    <xf borderId="0" fillId="4" fontId="12" numFmtId="0" xfId="0" applyAlignment="1" applyFill="1" applyFont="1">
      <alignment shrinkToFit="0" vertical="center" wrapText="0"/>
    </xf>
    <xf borderId="0" fillId="2" fontId="17" numFmtId="165" xfId="0" applyFill="1" applyFont="1" applyNumberFormat="1"/>
    <xf borderId="0" fillId="0" fontId="1" numFmtId="4" xfId="0" applyAlignment="1" applyFont="1" applyNumberFormat="1">
      <alignment horizontal="center"/>
    </xf>
    <xf borderId="0" fillId="2" fontId="16" numFmtId="167" xfId="0" applyAlignment="1" applyFill="1" applyFont="1" applyNumberFormat="1">
      <alignment horizontal="center" readingOrder="0" shrinkToFit="0" wrapText="0"/>
    </xf>
    <xf borderId="0" fillId="2" fontId="16" numFmtId="165" xfId="0" applyAlignment="1" applyFill="1" applyFont="1" applyNumberFormat="1">
      <alignment horizontal="center" readingOrder="0" shrinkToFit="0" wrapText="0"/>
    </xf>
    <xf borderId="0" fillId="2" fontId="16" numFmtId="165" xfId="0" applyAlignment="1" applyFill="1" applyFont="1" applyNumberFormat="1">
      <alignment horizontal="center" readingOrder="0" shrinkToFit="0" wrapText="0"/>
    </xf>
    <xf borderId="0" fillId="2" fontId="16" numFmtId="0" xfId="0" applyAlignment="1" applyFill="1" applyFont="1">
      <alignment horizontal="center" readingOrder="0" shrinkToFit="0" wrapText="0"/>
    </xf>
    <xf borderId="0" fillId="4" fontId="16" numFmtId="165" xfId="0" applyAlignment="1" applyFill="1" applyFont="1" applyNumberFormat="1">
      <alignment horizontal="right" readingOrder="0" shrinkToFit="0" wrapText="0"/>
    </xf>
    <xf borderId="0" fillId="4" fontId="16" numFmtId="49" xfId="0" applyAlignment="1" applyFill="1" applyFont="1" applyNumberFormat="1">
      <alignment horizontal="center" readingOrder="0" shrinkToFit="0" wrapText="0"/>
    </xf>
    <xf borderId="0" fillId="4" fontId="16" numFmtId="167" xfId="0" applyAlignment="1" applyFill="1" applyFont="1" applyNumberFormat="1">
      <alignment horizontal="center" readingOrder="0" shrinkToFit="0" wrapText="0"/>
    </xf>
    <xf borderId="0" fillId="4" fontId="16" numFmtId="165" xfId="0" applyAlignment="1" applyFill="1" applyFont="1" applyNumberFormat="1">
      <alignment horizontal="center" readingOrder="0" shrinkToFit="0" wrapText="0"/>
    </xf>
    <xf borderId="0" fillId="4" fontId="16" numFmtId="165" xfId="0" applyAlignment="1" applyFill="1" applyFont="1" applyNumberFormat="1">
      <alignment horizontal="center" readingOrder="0" shrinkToFit="0" wrapText="0"/>
    </xf>
    <xf borderId="0" fillId="4" fontId="16" numFmtId="0" xfId="0" applyAlignment="1" applyFill="1" applyFont="1">
      <alignment horizontal="center" readingOrder="0" shrinkToFit="0" wrapText="0"/>
    </xf>
    <xf borderId="13" fillId="0" fontId="1" numFmtId="0" xfId="0" applyAlignment="1" applyBorder="1" applyFont="1">
      <alignment readingOrder="0" shrinkToFit="0" vertical="center" wrapText="0"/>
    </xf>
    <xf borderId="0" fillId="4" fontId="12" numFmtId="0" xfId="0" applyAlignment="1" applyFill="1" applyFont="1">
      <alignment readingOrder="0" shrinkToFit="0" vertical="center" wrapText="0"/>
    </xf>
    <xf borderId="34" fillId="0" fontId="1" numFmtId="0" xfId="0" applyAlignment="1" applyBorder="1" applyFont="1">
      <alignment shrinkToFit="0" vertical="center" wrapText="0"/>
    </xf>
    <xf borderId="0" fillId="2" fontId="12" numFmtId="0" xfId="0" applyAlignment="1" applyFill="1" applyFont="1">
      <alignment shrinkToFit="0" vertical="center" wrapText="0"/>
    </xf>
    <xf borderId="13" fillId="0" fontId="1" numFmtId="49" xfId="0" applyAlignment="1" applyBorder="1" applyFont="1" applyNumberFormat="1">
      <alignment readingOrder="0" shrinkToFit="0" vertical="center" wrapText="0"/>
    </xf>
    <xf borderId="13" fillId="0" fontId="1" numFmtId="165" xfId="0" applyAlignment="1" applyBorder="1" applyFont="1" applyNumberFormat="1">
      <alignment shrinkToFit="0" vertical="center" wrapText="0"/>
    </xf>
    <xf borderId="13" fillId="0" fontId="1" numFmtId="49" xfId="0" applyAlignment="1" applyBorder="1" applyFont="1" applyNumberFormat="1">
      <alignment readingOrder="0" shrinkToFit="0" vertical="center" wrapText="0"/>
    </xf>
    <xf borderId="0" fillId="0" fontId="1" numFmtId="0" xfId="0" applyAlignment="1" applyFont="1">
      <alignment readingOrder="0" shrinkToFit="0" vertical="center" wrapText="0"/>
    </xf>
    <xf borderId="0" fillId="0" fontId="1" numFmtId="49" xfId="0" applyAlignment="1" applyFont="1" applyNumberFormat="1">
      <alignment readingOrder="0" shrinkToFit="0" vertical="center" wrapText="0"/>
    </xf>
    <xf borderId="5" fillId="2" fontId="18" numFmtId="0" xfId="0" applyAlignment="1" applyBorder="1" applyFill="1" applyFont="1">
      <alignment horizontal="center" readingOrder="0" vertical="center"/>
    </xf>
    <xf borderId="6" fillId="0" fontId="5" numFmtId="0" xfId="0" applyBorder="1" applyFont="1"/>
    <xf borderId="7" fillId="0" fontId="5" numFmtId="0" xfId="0" applyBorder="1" applyFont="1"/>
    <xf borderId="0" fillId="0" fontId="1" numFmtId="0" xfId="0" applyAlignment="1" applyFont="1">
      <alignment readingOrder="0"/>
    </xf>
    <xf borderId="37" fillId="0" fontId="5" numFmtId="0" xfId="0" applyBorder="1" applyFont="1"/>
    <xf borderId="38" fillId="0" fontId="5" numFmtId="0" xfId="0" applyBorder="1" applyFont="1"/>
    <xf borderId="39" fillId="0" fontId="5" numFmtId="0" xfId="0" applyBorder="1" applyFont="1"/>
    <xf borderId="5" fillId="2" fontId="7" numFmtId="0" xfId="0" applyBorder="1" applyFill="1" applyFont="1"/>
    <xf borderId="6" fillId="2" fontId="1" numFmtId="0" xfId="0" applyBorder="1" applyFill="1" applyFont="1"/>
    <xf borderId="5" fillId="2" fontId="19" numFmtId="0" xfId="0" applyAlignment="1" applyBorder="1" applyFill="1" applyFont="1">
      <alignment horizontal="center" readingOrder="0" vertical="center"/>
    </xf>
    <xf borderId="7" fillId="2" fontId="1" numFmtId="0" xfId="0" applyBorder="1" applyFill="1" applyFont="1"/>
    <xf borderId="40" fillId="2" fontId="7" numFmtId="0" xfId="0" applyBorder="1" applyFill="1" applyFont="1"/>
    <xf borderId="40" fillId="2" fontId="2" numFmtId="0" xfId="0" applyAlignment="1" applyBorder="1" applyFill="1" applyFont="1">
      <alignment readingOrder="0"/>
    </xf>
    <xf borderId="41" fillId="7" fontId="20" numFmtId="0" xfId="0" applyAlignment="1" applyBorder="1" applyFill="1" applyFont="1">
      <alignment horizontal="center" readingOrder="0" vertical="center"/>
    </xf>
    <xf borderId="42" fillId="2" fontId="5" numFmtId="0" xfId="0" applyBorder="1" applyFill="1" applyFont="1"/>
    <xf borderId="43" fillId="2" fontId="5" numFmtId="0" xfId="0" applyBorder="1" applyFill="1" applyFont="1"/>
    <xf borderId="21" fillId="7" fontId="20" numFmtId="0" xfId="0" applyAlignment="1" applyBorder="1" applyFill="1" applyFont="1">
      <alignment horizontal="center" readingOrder="0" vertical="center"/>
    </xf>
    <xf borderId="44" fillId="2" fontId="5" numFmtId="0" xfId="0" applyBorder="1" applyFill="1" applyFont="1"/>
    <xf borderId="45" fillId="2" fontId="5" numFmtId="0" xfId="0" applyBorder="1" applyFill="1" applyFont="1"/>
    <xf borderId="46" fillId="2" fontId="20" numFmtId="0" xfId="0" applyAlignment="1" applyBorder="1" applyFill="1" applyFont="1">
      <alignment horizontal="center" readingOrder="0" vertical="center"/>
    </xf>
    <xf borderId="46" fillId="2" fontId="1" numFmtId="0" xfId="0" applyBorder="1" applyFill="1" applyFont="1"/>
    <xf borderId="44" fillId="12" fontId="5" numFmtId="0" xfId="0" applyBorder="1" applyFill="1" applyFont="1"/>
    <xf borderId="45" fillId="12" fontId="5" numFmtId="0" xfId="0" applyBorder="1" applyFill="1" applyFont="1"/>
    <xf borderId="47" fillId="13" fontId="1" numFmtId="0" xfId="0" applyBorder="1" applyFill="1" applyFont="1"/>
    <xf borderId="0" fillId="13" fontId="1" numFmtId="0" xfId="0" applyFill="1" applyFont="1"/>
    <xf borderId="48" fillId="13" fontId="1" numFmtId="0" xfId="0" applyBorder="1" applyFill="1" applyFont="1"/>
    <xf borderId="40" fillId="2" fontId="1" numFmtId="0" xfId="0" applyBorder="1" applyFill="1" applyFont="1"/>
    <xf borderId="41" fillId="13" fontId="1" numFmtId="0" xfId="0" applyBorder="1" applyFill="1" applyFont="1"/>
    <xf borderId="42" fillId="13" fontId="1" numFmtId="0" xfId="0" applyBorder="1" applyFill="1" applyFont="1"/>
    <xf borderId="43" fillId="13" fontId="1" numFmtId="0" xfId="0" applyBorder="1" applyFill="1" applyFont="1"/>
    <xf borderId="46" fillId="12" fontId="1" numFmtId="0" xfId="0" applyBorder="1" applyFill="1" applyFont="1"/>
    <xf borderId="21" fillId="5" fontId="21" numFmtId="0" xfId="0" applyAlignment="1" applyBorder="1" applyFill="1" applyFont="1">
      <alignment horizontal="left" readingOrder="0"/>
    </xf>
    <xf borderId="45" fillId="10" fontId="1" numFmtId="0" xfId="0" applyAlignment="1" applyBorder="1" applyFill="1" applyFont="1">
      <alignment readingOrder="0"/>
    </xf>
    <xf borderId="45" fillId="10" fontId="1" numFmtId="14" xfId="0" applyBorder="1" applyFill="1" applyFont="1" applyNumberFormat="1"/>
    <xf borderId="21" fillId="5" fontId="2" numFmtId="0" xfId="0" applyAlignment="1" applyBorder="1" applyFill="1" applyFont="1">
      <alignment horizontal="left" readingOrder="0"/>
    </xf>
    <xf borderId="45" fillId="10" fontId="7" numFmtId="14" xfId="0" applyBorder="1" applyFill="1" applyFont="1" applyNumberFormat="1"/>
    <xf borderId="0" fillId="13" fontId="1" numFmtId="0" xfId="0" applyAlignment="1" applyFill="1" applyFont="1">
      <alignment horizontal="left"/>
    </xf>
    <xf borderId="45" fillId="10" fontId="1" numFmtId="169" xfId="0" applyAlignment="1" applyBorder="1" applyFill="1" applyFont="1" applyNumberFormat="1">
      <alignment readingOrder="0"/>
    </xf>
    <xf borderId="45" fillId="10" fontId="1" numFmtId="166" xfId="0" applyAlignment="1" applyBorder="1" applyFill="1" applyFont="1" applyNumberFormat="1">
      <alignment readingOrder="0"/>
    </xf>
    <xf borderId="0" fillId="13" fontId="1" numFmtId="0" xfId="0" applyAlignment="1" applyFill="1" applyFont="1">
      <alignment readingOrder="0"/>
    </xf>
    <xf borderId="0" fillId="13" fontId="21" numFmtId="0" xfId="0" applyAlignment="1" applyFill="1" applyFont="1">
      <alignment horizontal="left" readingOrder="0"/>
    </xf>
    <xf borderId="48" fillId="13" fontId="1" numFmtId="0" xfId="0" applyAlignment="1" applyBorder="1" applyFill="1" applyFont="1">
      <alignment readingOrder="0"/>
    </xf>
    <xf borderId="46" fillId="2" fontId="1" numFmtId="0" xfId="0" applyAlignment="1" applyBorder="1" applyFill="1" applyFont="1">
      <alignment readingOrder="0"/>
    </xf>
    <xf borderId="45" fillId="10" fontId="1" numFmtId="165" xfId="0" applyAlignment="1" applyBorder="1" applyFill="1" applyFont="1" applyNumberFormat="1">
      <alignment readingOrder="0"/>
    </xf>
    <xf borderId="49" fillId="13" fontId="1" numFmtId="0" xfId="0" applyBorder="1" applyFill="1" applyFont="1"/>
    <xf borderId="50" fillId="13" fontId="21" numFmtId="0" xfId="0" applyAlignment="1" applyBorder="1" applyFill="1" applyFont="1">
      <alignment horizontal="center" readingOrder="0"/>
    </xf>
    <xf borderId="50" fillId="13" fontId="1" numFmtId="0" xfId="0" applyBorder="1" applyFill="1" applyFont="1"/>
    <xf borderId="51" fillId="13" fontId="1" numFmtId="0" xfId="0" applyBorder="1" applyFill="1" applyFont="1"/>
    <xf borderId="0" fillId="13" fontId="1" numFmtId="165" xfId="0" applyFill="1" applyFont="1" applyNumberFormat="1"/>
    <xf borderId="45" fillId="10" fontId="1" numFmtId="49" xfId="0" applyAlignment="1" applyBorder="1" applyFill="1" applyFont="1" applyNumberFormat="1">
      <alignment readingOrder="0"/>
    </xf>
    <xf borderId="50" fillId="13" fontId="21" numFmtId="0" xfId="0" applyAlignment="1" applyBorder="1" applyFill="1" applyFont="1">
      <alignment horizontal="left" readingOrder="0"/>
    </xf>
    <xf borderId="50" fillId="13" fontId="1" numFmtId="165" xfId="0" applyAlignment="1" applyBorder="1" applyFill="1" applyFont="1" applyNumberFormat="1">
      <alignment readingOrder="0"/>
    </xf>
    <xf borderId="0" fillId="2" fontId="21" numFmtId="0" xfId="0" applyAlignment="1" applyFill="1" applyFont="1">
      <alignment horizontal="center" readingOrder="0"/>
    </xf>
    <xf borderId="0" fillId="2" fontId="21" numFmtId="0" xfId="0" applyAlignment="1" applyFill="1" applyFont="1">
      <alignment horizontal="left" readingOrder="0"/>
    </xf>
    <xf borderId="45" fillId="10" fontId="1" numFmtId="165" xfId="0" applyBorder="1" applyFill="1" applyFont="1" applyNumberFormat="1"/>
    <xf quotePrefix="1" borderId="0" fillId="2" fontId="1" numFmtId="0" xfId="0" applyAlignment="1" applyFill="1" applyFont="1">
      <alignment readingOrder="0"/>
    </xf>
    <xf borderId="0" fillId="14" fontId="1" numFmtId="0" xfId="0" applyFill="1" applyFont="1"/>
    <xf borderId="0" fillId="14" fontId="1" numFmtId="0" xfId="0" applyAlignment="1" applyFill="1" applyFont="1">
      <alignment horizontal="left"/>
    </xf>
    <xf borderId="46" fillId="2" fontId="1" numFmtId="0" xfId="0" applyAlignment="1" applyBorder="1" applyFill="1" applyFont="1">
      <alignment readingOrder="0"/>
    </xf>
    <xf borderId="40" fillId="2" fontId="1" numFmtId="0" xfId="0" applyAlignment="1" applyBorder="1" applyFill="1" applyFont="1">
      <alignment readingOrder="0"/>
    </xf>
    <xf borderId="0" fillId="2" fontId="1" numFmtId="0" xfId="0" applyAlignment="1" applyFill="1" applyFont="1">
      <alignment horizontal="left"/>
    </xf>
    <xf borderId="37" fillId="2" fontId="7" numFmtId="0" xfId="0" applyBorder="1" applyFill="1" applyFont="1"/>
    <xf borderId="38" fillId="2" fontId="1" numFmtId="0" xfId="0" applyBorder="1" applyFill="1" applyFont="1"/>
    <xf borderId="37" fillId="2" fontId="1" numFmtId="0" xfId="0" applyBorder="1" applyFill="1" applyFont="1"/>
    <xf borderId="39" fillId="2" fontId="1" numFmtId="0" xfId="0" applyBorder="1" applyFill="1" applyFont="1"/>
    <xf borderId="4" fillId="2" fontId="7" numFmtId="0" xfId="0" applyBorder="1" applyFill="1" applyFont="1"/>
    <xf borderId="0" fillId="12" fontId="1" numFmtId="0" xfId="0" applyFill="1" applyFont="1"/>
    <xf borderId="52" fillId="2" fontId="1" numFmtId="0" xfId="0" applyBorder="1" applyFill="1" applyFont="1"/>
    <xf borderId="53" fillId="2" fontId="1" numFmtId="0" xfId="0" applyBorder="1" applyFill="1" applyFont="1"/>
    <xf borderId="54" fillId="2" fontId="1" numFmtId="0" xfId="0" applyBorder="1" applyFill="1" applyFont="1"/>
    <xf borderId="9" fillId="2" fontId="1" numFmtId="0" xfId="0" applyBorder="1" applyFill="1" applyFont="1"/>
    <xf borderId="55" fillId="2" fontId="1" numFmtId="0" xfId="0" applyBorder="1" applyFill="1" applyFont="1"/>
    <xf borderId="9" fillId="12" fontId="1" numFmtId="0" xfId="0" applyBorder="1" applyFill="1" applyFont="1"/>
    <xf borderId="0" fillId="2" fontId="2" numFmtId="0" xfId="0" applyAlignment="1" applyFill="1" applyFont="1">
      <alignment readingOrder="0"/>
    </xf>
    <xf borderId="0" fillId="2" fontId="20" numFmtId="0" xfId="0" applyAlignment="1" applyFill="1" applyFont="1">
      <alignment horizontal="center" readingOrder="0" vertical="center"/>
    </xf>
    <xf borderId="42" fillId="13" fontId="1" numFmtId="0" xfId="0" applyAlignment="1" applyBorder="1" applyFill="1" applyFont="1">
      <alignment horizontal="left"/>
    </xf>
    <xf quotePrefix="1" borderId="0" fillId="13" fontId="1" numFmtId="0" xfId="0" applyAlignment="1" applyFill="1" applyFont="1">
      <alignment readingOrder="0"/>
    </xf>
    <xf borderId="50" fillId="13" fontId="1" numFmtId="0" xfId="0" applyAlignment="1" applyBorder="1" applyFill="1" applyFont="1">
      <alignment readingOrder="0"/>
    </xf>
    <xf borderId="56" fillId="2" fontId="1" numFmtId="0" xfId="0" applyBorder="1" applyFill="1" applyFont="1"/>
    <xf borderId="57" fillId="0" fontId="1" numFmtId="0" xfId="0" applyBorder="1" applyFont="1"/>
    <xf borderId="5" fillId="2" fontId="1" numFmtId="0" xfId="0" applyBorder="1" applyFill="1" applyFont="1"/>
    <xf borderId="0" fillId="2" fontId="20" numFmtId="0" xfId="0" applyAlignment="1" applyFill="1" applyFont="1">
      <alignment horizontal="center" readingOrder="0" vertical="center"/>
    </xf>
    <xf borderId="0" fillId="10" fontId="1" numFmtId="0" xfId="0" applyAlignment="1" applyFill="1" applyFont="1">
      <alignment readingOrder="0"/>
    </xf>
    <xf borderId="58" fillId="2" fontId="1" numFmtId="0" xfId="0" applyBorder="1" applyFill="1" applyFont="1"/>
    <xf borderId="11" fillId="2" fontId="1" numFmtId="0" xfId="0" applyBorder="1" applyFill="1" applyFont="1"/>
    <xf borderId="25" fillId="2" fontId="1" numFmtId="0" xfId="0" applyBorder="1" applyFill="1" applyFont="1"/>
    <xf borderId="19" fillId="2" fontId="1" numFmtId="0" xfId="0" applyBorder="1" applyFill="1" applyFont="1"/>
    <xf borderId="0" fillId="0" fontId="1" numFmtId="169" xfId="0" applyFont="1" applyNumberFormat="1"/>
    <xf borderId="0" fillId="0" fontId="1" numFmtId="164" xfId="0" applyFont="1" applyNumberFormat="1"/>
    <xf borderId="0" fillId="0" fontId="3" numFmtId="0" xfId="0" applyAlignment="1" applyFont="1">
      <alignment readingOrder="0"/>
    </xf>
    <xf borderId="0" fillId="0" fontId="1" numFmtId="164" xfId="0" applyAlignment="1" applyFont="1" applyNumberFormat="1">
      <alignment horizontal="left" readingOrder="0" shrinkToFit="0" vertical="center" wrapText="0"/>
    </xf>
    <xf borderId="0" fillId="0" fontId="1" numFmtId="4" xfId="0" applyAlignment="1" applyFont="1" applyNumberFormat="1">
      <alignment horizontal="left" readingOrder="0" shrinkToFit="0" vertical="center" wrapText="0"/>
    </xf>
    <xf borderId="0" fillId="0" fontId="1" numFmtId="165" xfId="0" applyAlignment="1" applyFont="1" applyNumberFormat="1">
      <alignment horizontal="left" readingOrder="0" shrinkToFit="0" vertical="center" wrapText="1"/>
    </xf>
    <xf borderId="0" fillId="0" fontId="1" numFmtId="49" xfId="0" applyAlignment="1" applyFont="1" applyNumberFormat="1">
      <alignment horizontal="center" readingOrder="0" shrinkToFit="0" vertical="center" wrapText="1"/>
    </xf>
    <xf borderId="0" fillId="0" fontId="1" numFmtId="164" xfId="0" applyAlignment="1" applyFont="1" applyNumberFormat="1">
      <alignment shrinkToFit="0" vertical="center" wrapText="0"/>
    </xf>
    <xf borderId="0" fillId="0" fontId="1" numFmtId="0" xfId="0" applyAlignment="1" applyFont="1">
      <alignment shrinkToFit="0" vertical="center" wrapText="0"/>
    </xf>
    <xf borderId="0" fillId="0" fontId="1" numFmtId="4" xfId="0" applyAlignment="1" applyFont="1" applyNumberFormat="1">
      <alignment shrinkToFit="0" vertical="center" wrapText="0"/>
    </xf>
    <xf borderId="0" fillId="0" fontId="1" numFmtId="4" xfId="0" applyAlignment="1" applyFont="1" applyNumberFormat="1">
      <alignment readingOrder="0" shrinkToFit="0" vertical="center" wrapText="0"/>
    </xf>
    <xf borderId="31" fillId="2" fontId="12" numFmtId="0" xfId="0" applyAlignment="1" applyBorder="1" applyFill="1" applyFont="1">
      <alignment shrinkToFit="0" vertical="center" wrapText="0"/>
    </xf>
    <xf borderId="0" fillId="0" fontId="1" numFmtId="170" xfId="0" applyFont="1" applyNumberFormat="1"/>
    <xf borderId="0" fillId="0" fontId="1" numFmtId="171" xfId="0" applyAlignment="1" applyFont="1" applyNumberFormat="1">
      <alignment readingOrder="0"/>
    </xf>
    <xf borderId="0" fillId="0" fontId="1" numFmtId="168" xfId="0" applyFont="1" applyNumberFormat="1"/>
    <xf borderId="0" fillId="0" fontId="1" numFmtId="172" xfId="0" applyFont="1" applyNumberFormat="1"/>
    <xf borderId="0" fillId="0" fontId="1" numFmtId="165" xfId="0" applyAlignment="1" applyFont="1" applyNumberFormat="1">
      <alignment horizontal="right" readingOrder="0" shrinkToFit="0" vertical="center" wrapText="0"/>
    </xf>
    <xf borderId="0" fillId="15" fontId="9" numFmtId="0" xfId="0" applyAlignment="1" applyFill="1" applyFont="1">
      <alignment shrinkToFit="0" vertical="bottom" wrapText="0"/>
    </xf>
    <xf borderId="0" fillId="2" fontId="9" numFmtId="165" xfId="0" applyAlignment="1" applyFill="1" applyFont="1" applyNumberFormat="1">
      <alignment horizontal="right" shrinkToFit="0" vertical="bottom" wrapText="0"/>
    </xf>
    <xf borderId="0" fillId="0" fontId="1" numFmtId="165" xfId="0" applyAlignment="1" applyFont="1" applyNumberFormat="1">
      <alignment horizontal="right" readingOrder="0"/>
    </xf>
    <xf borderId="0" fillId="0" fontId="1" numFmtId="0" xfId="0" applyAlignment="1" applyFont="1">
      <alignment horizontal="center" readingOrder="0" shrinkToFit="0" vertical="center" wrapText="1"/>
    </xf>
    <xf borderId="0" fillId="0" fontId="1" numFmtId="165" xfId="0" applyAlignment="1" applyFont="1" applyNumberFormat="1">
      <alignment horizontal="right"/>
    </xf>
    <xf borderId="0" fillId="0" fontId="1" numFmtId="165" xfId="0" applyAlignment="1" applyFont="1" applyNumberFormat="1">
      <alignment shrinkToFit="0" vertical="center" wrapText="0"/>
    </xf>
    <xf borderId="0" fillId="0" fontId="1" numFmtId="164" xfId="0" applyAlignment="1" applyFont="1" applyNumberFormat="1">
      <alignment readingOrder="0" shrinkToFit="0" vertical="center" wrapText="0"/>
    </xf>
    <xf borderId="0" fillId="15" fontId="9" numFmtId="0" xfId="0" applyAlignment="1" applyFill="1" applyFont="1">
      <alignment readingOrder="0" shrinkToFit="0" vertical="bottom" wrapText="0"/>
    </xf>
    <xf borderId="0" fillId="0" fontId="1" numFmtId="165" xfId="0" applyAlignment="1" applyFont="1" applyNumberFormat="1">
      <alignment readingOrder="0"/>
    </xf>
    <xf borderId="0" fillId="15" fontId="9" numFmtId="0" xfId="0" applyAlignment="1" applyFill="1" applyFont="1">
      <alignment shrinkToFit="0" vertical="bottom" wrapText="0"/>
    </xf>
    <xf borderId="13" fillId="2" fontId="7" numFmtId="0" xfId="0" applyAlignment="1" applyBorder="1" applyFill="1" applyFont="1">
      <alignment readingOrder="0"/>
    </xf>
    <xf borderId="13" fillId="16" fontId="12" numFmtId="0" xfId="0" applyAlignment="1" applyBorder="1" applyFill="1" applyFont="1">
      <alignment shrinkToFit="0" wrapText="0"/>
    </xf>
    <xf borderId="13" fillId="15" fontId="9" numFmtId="0" xfId="0" applyAlignment="1" applyBorder="1" applyFill="1" applyFont="1">
      <alignment shrinkToFit="0" vertical="bottom" wrapText="0"/>
    </xf>
    <xf borderId="0" fillId="2" fontId="16" numFmtId="164" xfId="0" applyAlignment="1" applyFill="1" applyFont="1" applyNumberFormat="1">
      <alignment horizontal="right" shrinkToFit="0" wrapText="0"/>
    </xf>
    <xf borderId="0" fillId="2" fontId="16" numFmtId="164" xfId="0" applyAlignment="1" applyFill="1" applyFont="1" applyNumberFormat="1">
      <alignment horizontal="center" shrinkToFit="0" wrapText="0"/>
    </xf>
    <xf borderId="0" fillId="2" fontId="16" numFmtId="165" xfId="0" applyAlignment="1" applyFill="1" applyFont="1" applyNumberFormat="1">
      <alignment horizontal="center" shrinkToFit="0" wrapText="0"/>
    </xf>
    <xf borderId="0" fillId="2" fontId="16" numFmtId="0" xfId="0" applyAlignment="1" applyFill="1" applyFont="1">
      <alignment horizontal="center" shrinkToFit="0" wrapText="0"/>
    </xf>
    <xf borderId="0" fillId="0" fontId="9" numFmtId="0" xfId="0" applyAlignment="1" applyFont="1">
      <alignment shrinkToFit="0" vertical="bottom" wrapText="0"/>
    </xf>
    <xf borderId="0" fillId="2" fontId="17" numFmtId="164" xfId="0" applyFill="1" applyFont="1" applyNumberFormat="1"/>
    <xf borderId="0" fillId="2" fontId="16" numFmtId="164" xfId="0" applyAlignment="1" applyFill="1" applyFont="1" applyNumberFormat="1">
      <alignment horizontal="right" readingOrder="0" shrinkToFit="0" wrapText="0"/>
    </xf>
    <xf borderId="0" fillId="0" fontId="9" numFmtId="164" xfId="0" applyAlignment="1" applyFont="1" applyNumberFormat="1">
      <alignment shrinkToFit="0" vertical="bottom" wrapText="0"/>
    </xf>
    <xf borderId="59" fillId="15" fontId="9" numFmtId="164" xfId="0" applyAlignment="1" applyBorder="1" applyFill="1" applyFont="1" applyNumberFormat="1">
      <alignment horizontal="right" vertical="bottom"/>
    </xf>
    <xf borderId="59" fillId="0" fontId="1" numFmtId="164" xfId="0" applyAlignment="1" applyBorder="1" applyFont="1" applyNumberFormat="1">
      <alignment readingOrder="0" shrinkToFit="0" vertical="center" wrapText="0"/>
    </xf>
    <xf borderId="0" fillId="2" fontId="16" numFmtId="164" xfId="0" applyAlignment="1" applyFill="1" applyFont="1" applyNumberFormat="1">
      <alignment horizontal="center" readingOrder="0" shrinkToFit="0" wrapText="0"/>
    </xf>
    <xf borderId="59" fillId="15" fontId="9" numFmtId="164" xfId="0" applyAlignment="1" applyBorder="1" applyFill="1" applyFont="1" applyNumberFormat="1">
      <alignment horizontal="right" readingOrder="0" vertical="bottom"/>
    </xf>
    <xf borderId="0" fillId="2" fontId="9" numFmtId="0" xfId="0" applyAlignment="1" applyFill="1" applyFont="1">
      <alignment readingOrder="0" shrinkToFit="0" vertical="bottom" wrapText="0"/>
    </xf>
    <xf borderId="0" fillId="2" fontId="9" numFmtId="165" xfId="0" applyAlignment="1" applyFill="1" applyFont="1" applyNumberFormat="1">
      <alignment horizontal="right" readingOrder="0" shrinkToFit="0" vertical="bottom" wrapText="0"/>
    </xf>
    <xf borderId="0" fillId="15" fontId="9" numFmtId="164" xfId="0" applyAlignment="1" applyFill="1" applyFont="1" applyNumberFormat="1">
      <alignment shrinkToFit="0" vertical="bottom" wrapText="0"/>
    </xf>
    <xf borderId="0" fillId="15" fontId="9" numFmtId="164" xfId="0" applyAlignment="1" applyFill="1" applyFont="1" applyNumberFormat="1">
      <alignment readingOrder="0" shrinkToFit="0" vertical="bottom" wrapText="0"/>
    </xf>
    <xf borderId="0" fillId="2" fontId="9" numFmtId="165" xfId="0" applyAlignment="1" applyFill="1" applyFont="1" applyNumberFormat="1">
      <alignment horizontal="right" readingOrder="0" shrinkToFit="0" vertical="bottom" wrapText="0"/>
    </xf>
    <xf borderId="0" fillId="0" fontId="9" numFmtId="165" xfId="0" applyAlignment="1" applyFont="1" applyNumberFormat="1">
      <alignment horizontal="right" shrinkToFit="0" vertical="bottom" wrapText="0"/>
    </xf>
    <xf borderId="0" fillId="2" fontId="9" numFmtId="0" xfId="0" applyAlignment="1" applyFill="1" applyFont="1">
      <alignment shrinkToFit="0" vertical="bottom" wrapText="0"/>
    </xf>
    <xf borderId="0" fillId="0" fontId="9" numFmtId="0" xfId="0" applyAlignment="1" applyFont="1">
      <alignment shrinkToFit="0" vertical="bottom" wrapText="0"/>
    </xf>
    <xf borderId="0" fillId="0" fontId="9" numFmtId="164" xfId="0" applyAlignment="1" applyFont="1" applyNumberFormat="1">
      <alignment readingOrder="0" shrinkToFit="0" vertical="bottom" wrapText="0"/>
    </xf>
    <xf borderId="0" fillId="0" fontId="9" numFmtId="165" xfId="0" applyAlignment="1" applyFont="1" applyNumberFormat="1">
      <alignment horizontal="right" readingOrder="0" shrinkToFit="0" vertical="bottom" wrapText="0"/>
    </xf>
    <xf borderId="0" fillId="0" fontId="1" numFmtId="164" xfId="0" applyAlignment="1" applyFont="1" applyNumberFormat="1">
      <alignment readingOrder="0"/>
    </xf>
    <xf borderId="13" fillId="2" fontId="22" numFmtId="165" xfId="0" applyAlignment="1" applyBorder="1" applyFill="1" applyFont="1" applyNumberFormat="1">
      <alignment horizontal="right" vertical="bottom"/>
    </xf>
    <xf borderId="13" fillId="2" fontId="15" numFmtId="165" xfId="0" applyAlignment="1" applyBorder="1" applyFill="1" applyFont="1" applyNumberFormat="1">
      <alignment horizontal="right" readingOrder="0" vertical="center"/>
    </xf>
    <xf borderId="13" fillId="2" fontId="15" numFmtId="165" xfId="0" applyAlignment="1" applyBorder="1" applyFill="1" applyFont="1" applyNumberFormat="1">
      <alignment horizontal="right" vertical="bottom"/>
    </xf>
    <xf borderId="13" fillId="2" fontId="22" numFmtId="165" xfId="0" applyAlignment="1" applyBorder="1" applyFill="1" applyFont="1" applyNumberFormat="1">
      <alignment horizontal="right" vertical="center"/>
    </xf>
    <xf borderId="0" fillId="0" fontId="1" numFmtId="165" xfId="0" applyFont="1" applyNumberFormat="1"/>
    <xf borderId="0" fillId="0" fontId="1" numFmtId="0" xfId="0" applyFont="1"/>
    <xf borderId="0" fillId="0" fontId="1" numFmtId="0" xfId="0" applyAlignment="1" applyFont="1">
      <alignment horizontal="center"/>
    </xf>
    <xf borderId="0" fillId="2" fontId="16" numFmtId="165" xfId="0" applyAlignment="1" applyFill="1" applyFont="1" applyNumberFormat="1">
      <alignment horizontal="right" readingOrder="0" shrinkToFit="0" wrapText="0"/>
    </xf>
    <xf borderId="0" fillId="2" fontId="16" numFmtId="164" xfId="0" applyAlignment="1" applyFill="1" applyFont="1" applyNumberFormat="1">
      <alignment horizontal="right" readingOrder="0" shrinkToFit="0" wrapText="0"/>
    </xf>
    <xf borderId="0" fillId="2" fontId="16" numFmtId="164" xfId="0" applyAlignment="1" applyFill="1" applyFont="1" applyNumberFormat="1">
      <alignment horizontal="center" readingOrder="0" shrinkToFit="0" wrapText="0"/>
    </xf>
    <xf borderId="0" fillId="2" fontId="16" numFmtId="165" xfId="0" applyAlignment="1" applyFill="1" applyFont="1" applyNumberFormat="1">
      <alignment horizontal="center" readingOrder="0" shrinkToFit="0" wrapText="0"/>
    </xf>
    <xf borderId="0" fillId="2" fontId="16" numFmtId="0" xfId="0" applyAlignment="1" applyFill="1" applyFont="1">
      <alignment horizontal="center" readingOrder="0" shrinkToFit="0" wrapText="0"/>
    </xf>
    <xf borderId="0" fillId="0" fontId="1" numFmtId="164" xfId="0" applyAlignment="1" applyFont="1" applyNumberFormat="1">
      <alignment horizontal="center"/>
    </xf>
    <xf borderId="13" fillId="2" fontId="23" numFmtId="165" xfId="0" applyAlignment="1" applyBorder="1" applyFill="1" applyFont="1" applyNumberFormat="1">
      <alignment readingOrder="0" shrinkToFit="0" vertical="bottom" wrapText="0"/>
    </xf>
    <xf borderId="0" fillId="0" fontId="1" numFmtId="165" xfId="0" applyAlignment="1" applyFont="1" applyNumberFormat="1">
      <alignment horizontal="right" shrinkToFit="0" vertical="center" wrapText="0"/>
    </xf>
    <xf borderId="0" fillId="0" fontId="1" numFmtId="0" xfId="0" applyAlignment="1" applyFont="1">
      <alignment shrinkToFit="0" vertical="center" wrapText="0"/>
    </xf>
    <xf borderId="0" fillId="0" fontId="1" numFmtId="4" xfId="0" applyAlignment="1" applyFont="1" applyNumberFormat="1">
      <alignment horizontal="right" readingOrder="0" shrinkToFit="0" vertical="center" wrapText="0"/>
    </xf>
    <xf borderId="0" fillId="2" fontId="9" numFmtId="14" xfId="0" applyAlignment="1" applyFill="1" applyFont="1" applyNumberFormat="1">
      <alignment horizontal="right" shrinkToFit="0" vertical="bottom" wrapText="0"/>
    </xf>
    <xf borderId="0" fillId="2" fontId="9" numFmtId="49" xfId="0" applyAlignment="1" applyFill="1" applyFont="1" applyNumberFormat="1">
      <alignment horizontal="center" shrinkToFit="0" vertical="bottom" wrapText="0"/>
    </xf>
    <xf borderId="0" fillId="2" fontId="15" numFmtId="165" xfId="0" applyAlignment="1" applyFill="1" applyFont="1" applyNumberFormat="1">
      <alignment horizontal="right" shrinkToFit="0" vertical="bottom" wrapText="0"/>
    </xf>
    <xf borderId="0" fillId="2" fontId="15" numFmtId="165" xfId="0" applyAlignment="1" applyFill="1" applyFont="1" applyNumberFormat="1">
      <alignment shrinkToFit="0" vertical="bottom" wrapText="0"/>
    </xf>
    <xf borderId="0" fillId="2" fontId="15" numFmtId="49" xfId="0" applyAlignment="1" applyFill="1" applyFont="1" applyNumberFormat="1">
      <alignment horizontal="right" shrinkToFit="0" vertical="bottom" wrapText="0"/>
    </xf>
    <xf borderId="0" fillId="2" fontId="15" numFmtId="165" xfId="0" applyAlignment="1" applyFill="1" applyFont="1" applyNumberFormat="1">
      <alignment horizontal="left" shrinkToFit="0" vertical="bottom" wrapText="0"/>
    </xf>
    <xf borderId="0" fillId="0" fontId="1" numFmtId="165" xfId="0" applyAlignment="1" applyFont="1" applyNumberFormat="1">
      <alignment shrinkToFit="0" wrapText="1"/>
    </xf>
    <xf borderId="0" fillId="2" fontId="3" numFmtId="164" xfId="0" applyAlignment="1" applyFill="1" applyFont="1" applyNumberFormat="1">
      <alignment readingOrder="0"/>
    </xf>
    <xf borderId="0" fillId="2" fontId="3" numFmtId="165" xfId="0" applyAlignment="1" applyFill="1" applyFont="1" applyNumberFormat="1">
      <alignment shrinkToFit="0" wrapText="1"/>
    </xf>
    <xf borderId="0" fillId="2" fontId="3" numFmtId="165" xfId="0" applyFill="1" applyFont="1" applyNumberFormat="1"/>
    <xf borderId="0" fillId="2" fontId="3" numFmtId="0" xfId="0" applyFill="1" applyFont="1"/>
    <xf borderId="60" fillId="17" fontId="24" numFmtId="0" xfId="0" applyAlignment="1" applyBorder="1" applyFill="1" applyFont="1">
      <alignment horizontal="left" readingOrder="0"/>
    </xf>
    <xf borderId="61" fillId="0" fontId="1" numFmtId="165" xfId="0" applyAlignment="1" applyBorder="1" applyFont="1" applyNumberFormat="1">
      <alignment horizontal="center" readingOrder="0"/>
    </xf>
    <xf borderId="60" fillId="18" fontId="3" numFmtId="0" xfId="0" applyAlignment="1" applyBorder="1" applyFill="1" applyFont="1">
      <alignment readingOrder="0"/>
    </xf>
    <xf borderId="61" fillId="0" fontId="1" numFmtId="0" xfId="0" applyAlignment="1" applyBorder="1" applyFont="1">
      <alignment readingOrder="0"/>
    </xf>
    <xf borderId="0" fillId="2" fontId="1" numFmtId="164" xfId="0" applyFill="1" applyFont="1" applyNumberFormat="1"/>
    <xf borderId="0" fillId="2" fontId="1" numFmtId="165" xfId="0" applyAlignment="1" applyFill="1" applyFont="1" applyNumberFormat="1">
      <alignment shrinkToFit="0" wrapText="1"/>
    </xf>
    <xf borderId="62" fillId="17" fontId="3" numFmtId="0" xfId="0" applyAlignment="1" applyBorder="1" applyFill="1" applyFont="1">
      <alignment horizontal="left" readingOrder="0"/>
    </xf>
    <xf borderId="63" fillId="0" fontId="1" numFmtId="0" xfId="0" applyAlignment="1" applyBorder="1" applyFont="1">
      <alignment horizontal="center" readingOrder="0"/>
    </xf>
    <xf borderId="62" fillId="18" fontId="3" numFmtId="165" xfId="0" applyAlignment="1" applyBorder="1" applyFill="1" applyFont="1" applyNumberFormat="1">
      <alignment readingOrder="0"/>
    </xf>
    <xf borderId="63" fillId="0" fontId="1" numFmtId="165" xfId="0" applyAlignment="1" applyBorder="1" applyFont="1" applyNumberFormat="1">
      <alignment readingOrder="0"/>
    </xf>
    <xf borderId="0" fillId="2" fontId="15" numFmtId="4" xfId="0" applyAlignment="1" applyFill="1" applyFont="1" applyNumberFormat="1">
      <alignment horizontal="right" shrinkToFit="0" vertical="bottom" wrapText="0"/>
    </xf>
    <xf borderId="5" fillId="2" fontId="3" numFmtId="0" xfId="0" applyAlignment="1" applyBorder="1" applyFill="1" applyFont="1">
      <alignment horizontal="center" readingOrder="0" vertical="center"/>
    </xf>
    <xf borderId="4" fillId="2" fontId="3" numFmtId="165" xfId="0" applyAlignment="1" applyBorder="1" applyFill="1" applyFont="1" applyNumberFormat="1">
      <alignment horizontal="center" readingOrder="0" vertical="center"/>
    </xf>
    <xf borderId="1" fillId="2" fontId="3" numFmtId="165" xfId="0" applyAlignment="1" applyBorder="1" applyFill="1" applyFont="1" applyNumberFormat="1">
      <alignment horizontal="center" readingOrder="0" vertical="center"/>
    </xf>
    <xf borderId="64" fillId="4" fontId="5" numFmtId="0" xfId="0" applyBorder="1" applyFill="1" applyFont="1"/>
    <xf borderId="4" fillId="2" fontId="3" numFmtId="165" xfId="0" applyAlignment="1" applyBorder="1" applyFill="1" applyFont="1" applyNumberFormat="1">
      <alignment horizontal="center" readingOrder="0" shrinkToFit="0" vertical="center" wrapText="1"/>
    </xf>
    <xf borderId="65" fillId="0" fontId="25" numFmtId="167" xfId="0" applyAlignment="1" applyBorder="1" applyFont="1" applyNumberFormat="1">
      <alignment horizontal="center" shrinkToFit="0" vertical="center" wrapText="1"/>
    </xf>
    <xf borderId="21" fillId="0" fontId="25" numFmtId="0" xfId="0" applyAlignment="1" applyBorder="1" applyFont="1">
      <alignment horizontal="center" shrinkToFit="0" vertical="center" wrapText="1"/>
    </xf>
    <xf borderId="45" fillId="0" fontId="5" numFmtId="0" xfId="0" applyBorder="1" applyFont="1"/>
    <xf borderId="65" fillId="0" fontId="25" numFmtId="0" xfId="0" applyAlignment="1" applyBorder="1" applyFont="1">
      <alignment horizontal="center" vertical="center"/>
    </xf>
    <xf borderId="65" fillId="0" fontId="25" numFmtId="165" xfId="0" applyAlignment="1" applyBorder="1" applyFont="1" applyNumberFormat="1">
      <alignment horizontal="center" vertical="center"/>
    </xf>
    <xf borderId="65" fillId="0" fontId="25" numFmtId="0" xfId="0" applyAlignment="1" applyBorder="1" applyFont="1">
      <alignment horizontal="center" readingOrder="0" shrinkToFit="0" vertical="center" wrapText="1"/>
    </xf>
    <xf borderId="0" fillId="0" fontId="25" numFmtId="0" xfId="0" applyAlignment="1" applyFont="1">
      <alignment horizontal="center" vertical="center"/>
    </xf>
    <xf borderId="37" fillId="2" fontId="5" numFmtId="0" xfId="0" applyBorder="1" applyFill="1" applyFont="1"/>
    <xf borderId="11" fillId="2" fontId="5" numFmtId="0" xfId="0" applyBorder="1" applyFill="1" applyFont="1"/>
    <xf borderId="3" fillId="2" fontId="3" numFmtId="165" xfId="0" applyAlignment="1" applyBorder="1" applyFill="1" applyFont="1" applyNumberFormat="1">
      <alignment horizontal="center" readingOrder="0" vertical="center"/>
    </xf>
    <xf borderId="3" fillId="2" fontId="3" numFmtId="165" xfId="0" applyAlignment="1" applyBorder="1" applyFill="1" applyFont="1" applyNumberFormat="1">
      <alignment horizontal="center" readingOrder="0" vertical="center"/>
    </xf>
    <xf borderId="3" fillId="2" fontId="3" numFmtId="0" xfId="0" applyAlignment="1" applyBorder="1" applyFill="1" applyFont="1">
      <alignment horizontal="center" readingOrder="0" vertical="center"/>
    </xf>
    <xf borderId="20" fillId="0" fontId="5" numFmtId="0" xfId="0" applyBorder="1" applyFont="1"/>
    <xf borderId="13" fillId="0" fontId="25" numFmtId="0" xfId="0" applyAlignment="1" applyBorder="1" applyFont="1">
      <alignment horizontal="center" vertical="center"/>
    </xf>
    <xf borderId="66" fillId="2" fontId="1" numFmtId="0" xfId="0" applyAlignment="1" applyBorder="1" applyFill="1" applyFont="1">
      <alignment horizontal="center" readingOrder="0"/>
    </xf>
    <xf borderId="66" fillId="2" fontId="1" numFmtId="165" xfId="0" applyBorder="1" applyFill="1" applyFont="1" applyNumberFormat="1"/>
    <xf borderId="66" fillId="2" fontId="1" numFmtId="165" xfId="0" applyBorder="1" applyFill="1" applyFont="1" applyNumberFormat="1"/>
    <xf borderId="66" fillId="2" fontId="1" numFmtId="165" xfId="0" applyAlignment="1" applyBorder="1" applyFill="1" applyFont="1" applyNumberFormat="1">
      <alignment shrinkToFit="0" wrapText="1"/>
    </xf>
    <xf borderId="67" fillId="2" fontId="1" numFmtId="165" xfId="0" applyBorder="1" applyFill="1" applyFont="1" applyNumberFormat="1"/>
    <xf borderId="13" fillId="0" fontId="1" numFmtId="166" xfId="0" applyAlignment="1" applyBorder="1" applyFont="1" applyNumberFormat="1">
      <alignment readingOrder="0"/>
    </xf>
    <xf borderId="13" fillId="0" fontId="1" numFmtId="0" xfId="0" applyAlignment="1" applyBorder="1" applyFont="1">
      <alignment readingOrder="0"/>
    </xf>
    <xf borderId="13" fillId="0" fontId="1" numFmtId="0" xfId="0" applyBorder="1" applyFont="1"/>
    <xf borderId="13" fillId="0" fontId="1" numFmtId="3" xfId="0" applyAlignment="1" applyBorder="1" applyFont="1" applyNumberFormat="1">
      <alignment readingOrder="0"/>
    </xf>
    <xf borderId="13" fillId="0" fontId="1" numFmtId="165" xfId="0" applyBorder="1" applyFont="1" applyNumberFormat="1"/>
    <xf borderId="13" fillId="0" fontId="1" numFmtId="4" xfId="0" applyAlignment="1" applyBorder="1" applyFont="1" applyNumberFormat="1">
      <alignment readingOrder="0"/>
    </xf>
    <xf borderId="68" fillId="2" fontId="1" numFmtId="0" xfId="0" applyAlignment="1" applyBorder="1" applyFill="1" applyFont="1">
      <alignment horizontal="center" readingOrder="0"/>
    </xf>
    <xf borderId="68" fillId="2" fontId="1" numFmtId="165" xfId="0" applyBorder="1" applyFill="1" applyFont="1" applyNumberFormat="1"/>
    <xf borderId="68" fillId="2" fontId="1" numFmtId="165" xfId="0" applyBorder="1" applyFill="1" applyFont="1" applyNumberFormat="1"/>
    <xf borderId="68" fillId="2" fontId="1" numFmtId="165" xfId="0" applyAlignment="1" applyBorder="1" applyFill="1" applyFont="1" applyNumberFormat="1">
      <alignment shrinkToFit="0" wrapText="1"/>
    </xf>
    <xf borderId="69" fillId="2" fontId="1" numFmtId="165" xfId="0" applyBorder="1" applyFill="1" applyFont="1" applyNumberFormat="1"/>
    <xf borderId="0" fillId="2" fontId="9" numFmtId="165" xfId="0" applyAlignment="1" applyFill="1" applyFont="1" applyNumberFormat="1">
      <alignment shrinkToFit="0" vertical="bottom" wrapText="0"/>
    </xf>
    <xf borderId="13" fillId="2" fontId="15" numFmtId="165" xfId="0" applyAlignment="1" applyBorder="1" applyFill="1" applyFont="1" applyNumberFormat="1">
      <alignment horizontal="right" shrinkToFit="0" vertical="bottom" wrapText="0"/>
    </xf>
    <xf borderId="70" fillId="2" fontId="1" numFmtId="0" xfId="0" applyAlignment="1" applyBorder="1" applyFill="1" applyFont="1">
      <alignment horizontal="center" readingOrder="0"/>
    </xf>
    <xf borderId="70" fillId="2" fontId="1" numFmtId="165" xfId="0" applyBorder="1" applyFill="1" applyFont="1" applyNumberFormat="1"/>
    <xf borderId="13" fillId="19" fontId="9" numFmtId="0" xfId="0" applyAlignment="1" applyBorder="1" applyFill="1" applyFont="1">
      <alignment readingOrder="0" shrinkToFit="0" vertical="bottom" wrapText="0"/>
    </xf>
    <xf borderId="70" fillId="2" fontId="1" numFmtId="165" xfId="0" applyBorder="1" applyFill="1" applyFont="1" applyNumberFormat="1"/>
    <xf borderId="70" fillId="2" fontId="1" numFmtId="165" xfId="0" applyAlignment="1" applyBorder="1" applyFill="1" applyFont="1" applyNumberFormat="1">
      <alignment shrinkToFit="0" wrapText="1"/>
    </xf>
    <xf borderId="71" fillId="2" fontId="1" numFmtId="165" xfId="0" applyBorder="1" applyFill="1" applyFont="1" applyNumberFormat="1"/>
    <xf borderId="0" fillId="2" fontId="15" numFmtId="0" xfId="0" applyAlignment="1" applyFill="1" applyFont="1">
      <alignment horizontal="right" readingOrder="0" shrinkToFit="0" vertical="bottom" wrapText="0"/>
    </xf>
    <xf borderId="0" fillId="2" fontId="1" numFmtId="166" xfId="0" applyFill="1" applyFont="1" applyNumberFormat="1"/>
    <xf borderId="0" fillId="2" fontId="9" numFmtId="0" xfId="0" applyAlignment="1" applyFill="1" applyFont="1">
      <alignment horizontal="right" shrinkToFit="0" vertical="bottom" wrapText="0"/>
    </xf>
    <xf borderId="0" fillId="2" fontId="1" numFmtId="167" xfId="0" applyFill="1" applyFont="1" applyNumberFormat="1"/>
    <xf borderId="13" fillId="0" fontId="1" numFmtId="4" xfId="0" applyAlignment="1" applyBorder="1" applyFont="1" applyNumberFormat="1">
      <alignment readingOrder="0" shrinkToFit="0" wrapText="1"/>
    </xf>
    <xf borderId="0" fillId="4" fontId="16" numFmtId="164" xfId="0" applyAlignment="1" applyFill="1" applyFont="1" applyNumberFormat="1">
      <alignment horizontal="center" shrinkToFit="0" wrapText="0"/>
    </xf>
    <xf borderId="0" fillId="4" fontId="16" numFmtId="165" xfId="0" applyAlignment="1" applyFill="1" applyFont="1" applyNumberFormat="1">
      <alignment horizontal="center" shrinkToFit="0" wrapText="1"/>
    </xf>
    <xf borderId="0" fillId="2" fontId="16" numFmtId="165" xfId="0" applyAlignment="1" applyFill="1" applyFont="1" applyNumberFormat="1">
      <alignment horizontal="center" shrinkToFit="0" wrapText="1"/>
    </xf>
    <xf borderId="0" fillId="0" fontId="7" numFmtId="0" xfId="0" applyAlignment="1" applyFont="1">
      <alignment readingOrder="0" shrinkToFit="0" vertical="center" wrapText="0"/>
    </xf>
    <xf borderId="13" fillId="0" fontId="1" numFmtId="0" xfId="0" applyAlignment="1" applyBorder="1" applyFont="1">
      <alignment readingOrder="0"/>
    </xf>
    <xf borderId="13" fillId="0" fontId="1" numFmtId="14" xfId="0" applyAlignment="1" applyBorder="1" applyFont="1" applyNumberFormat="1">
      <alignment readingOrder="0"/>
    </xf>
    <xf borderId="0" fillId="2" fontId="15" numFmtId="0" xfId="0" applyAlignment="1" applyFill="1" applyFont="1">
      <alignment horizontal="right" shrinkToFit="0" vertical="bottom" wrapText="0"/>
    </xf>
    <xf borderId="0" fillId="0" fontId="1" numFmtId="0" xfId="0" applyAlignment="1" applyFont="1">
      <alignment readingOrder="0" shrinkToFit="0" vertical="center" wrapText="0"/>
    </xf>
    <xf borderId="13" fillId="0" fontId="1" numFmtId="165" xfId="0" applyAlignment="1" applyBorder="1" applyFont="1" applyNumberFormat="1">
      <alignment readingOrder="0"/>
    </xf>
    <xf borderId="0" fillId="2" fontId="9" numFmtId="14" xfId="0" applyAlignment="1" applyFill="1" applyFont="1" applyNumberFormat="1">
      <alignment readingOrder="0" shrinkToFit="0" vertical="bottom" wrapText="0"/>
    </xf>
    <xf borderId="0" fillId="2" fontId="9" numFmtId="49" xfId="0" applyAlignment="1" applyFill="1" applyFont="1" applyNumberFormat="1">
      <alignment readingOrder="0" shrinkToFit="0" vertical="bottom" wrapText="0"/>
    </xf>
    <xf borderId="0" fillId="4" fontId="9" numFmtId="165" xfId="0" applyAlignment="1" applyFill="1" applyFont="1" applyNumberFormat="1">
      <alignment readingOrder="0" shrinkToFit="0" vertical="bottom" wrapText="0"/>
    </xf>
    <xf borderId="0" fillId="2" fontId="9" numFmtId="4" xfId="0" applyAlignment="1" applyFill="1" applyFont="1" applyNumberFormat="1">
      <alignment horizontal="right" readingOrder="0" shrinkToFit="0" vertical="bottom" wrapText="0"/>
    </xf>
    <xf borderId="0" fillId="2" fontId="9" numFmtId="165" xfId="0" applyAlignment="1" applyFill="1" applyFont="1" applyNumberFormat="1">
      <alignment readingOrder="0" shrinkToFit="0" vertical="bottom" wrapText="0"/>
    </xf>
    <xf borderId="0" fillId="2" fontId="1" numFmtId="164" xfId="0" applyAlignment="1" applyFill="1" applyFont="1" applyNumberFormat="1">
      <alignment horizontal="center"/>
    </xf>
    <xf borderId="0" fillId="2" fontId="1" numFmtId="165" xfId="0" applyAlignment="1" applyFill="1" applyFont="1" applyNumberFormat="1">
      <alignment horizontal="center" shrinkToFit="0" wrapText="1"/>
    </xf>
    <xf borderId="0" fillId="4" fontId="1" numFmtId="164" xfId="0" applyAlignment="1" applyFill="1" applyFont="1" applyNumberFormat="1">
      <alignment horizontal="center"/>
    </xf>
    <xf borderId="0" fillId="4" fontId="1" numFmtId="165" xfId="0" applyAlignment="1" applyFill="1" applyFont="1" applyNumberFormat="1">
      <alignment horizontal="center" shrinkToFit="0" wrapText="1"/>
    </xf>
    <xf borderId="0" fillId="2" fontId="16" numFmtId="165" xfId="0" applyAlignment="1" applyFill="1" applyFont="1" applyNumberFormat="1">
      <alignment horizontal="center" readingOrder="0" shrinkToFit="0" wrapText="1"/>
    </xf>
    <xf borderId="0" fillId="4" fontId="16" numFmtId="164" xfId="0" applyAlignment="1" applyFill="1" applyFont="1" applyNumberFormat="1">
      <alignment horizontal="center" readingOrder="0" shrinkToFit="0" wrapText="0"/>
    </xf>
    <xf borderId="0" fillId="4" fontId="16" numFmtId="165" xfId="0" applyAlignment="1" applyFill="1" applyFont="1" applyNumberFormat="1">
      <alignment horizontal="center" readingOrder="0" shrinkToFit="0" wrapText="1"/>
    </xf>
    <xf borderId="0" fillId="2" fontId="9" numFmtId="14" xfId="0" applyAlignment="1" applyFill="1" applyFont="1" applyNumberFormat="1">
      <alignment horizontal="right" readingOrder="0" shrinkToFit="0" vertical="bottom" wrapText="0"/>
    </xf>
    <xf borderId="0" fillId="2" fontId="9" numFmtId="49" xfId="0" applyAlignment="1" applyFill="1" applyFont="1" applyNumberFormat="1">
      <alignment horizontal="center" readingOrder="0" shrinkToFit="0" vertical="bottom" wrapText="0"/>
    </xf>
    <xf borderId="0" fillId="2" fontId="15" numFmtId="165" xfId="0" applyAlignment="1" applyFill="1" applyFont="1" applyNumberFormat="1">
      <alignment horizontal="right" readingOrder="0" shrinkToFit="0" vertical="bottom" wrapText="0"/>
    </xf>
    <xf borderId="0" fillId="2" fontId="15" numFmtId="4" xfId="0" applyAlignment="1" applyFill="1" applyFont="1" applyNumberFormat="1">
      <alignment horizontal="righ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borderId="0" fillId="0" fontId="1" numFmtId="167" xfId="0" applyAlignment="1" applyFont="1" applyNumberFormat="1">
      <alignment readingOrder="0" shrinkToFit="0" vertical="center" wrapText="0"/>
    </xf>
    <xf borderId="13" fillId="0" fontId="7" numFmtId="0" xfId="0" applyAlignment="1" applyBorder="1" applyFont="1">
      <alignment readingOrder="0" shrinkToFit="0" vertical="center" wrapText="0"/>
    </xf>
    <xf borderId="13" fillId="0" fontId="1" numFmtId="165" xfId="0" applyAlignment="1" applyBorder="1" applyFont="1" applyNumberFormat="1">
      <alignment readingOrder="0" shrinkToFit="0" vertical="center" wrapText="0"/>
    </xf>
    <xf borderId="0" fillId="2" fontId="9" numFmtId="165" xfId="0" applyAlignment="1" applyFill="1" applyFont="1" applyNumberFormat="1">
      <alignment shrinkToFit="0" vertical="bottom" wrapText="0"/>
    </xf>
    <xf borderId="0" fillId="2" fontId="15" numFmtId="14" xfId="0" applyAlignment="1" applyFill="1" applyFont="1" applyNumberFormat="1">
      <alignment horizontal="center" shrinkToFit="0" vertical="bottom" wrapText="0"/>
    </xf>
    <xf borderId="0" fillId="0" fontId="9" numFmtId="14" xfId="0" applyAlignment="1" applyFont="1" applyNumberFormat="1">
      <alignment horizontal="right" shrinkToFit="0" vertical="bottom" wrapText="0"/>
    </xf>
    <xf borderId="0" fillId="0" fontId="9" numFmtId="165" xfId="0" applyAlignment="1" applyFont="1" applyNumberFormat="1">
      <alignment shrinkToFit="0" vertical="bottom" wrapText="0"/>
    </xf>
    <xf borderId="0" fillId="0" fontId="9" numFmtId="0" xfId="0" applyAlignment="1" applyFont="1">
      <alignment horizontal="right" shrinkToFit="0" vertical="bottom" wrapText="0"/>
    </xf>
    <xf borderId="0" fillId="4" fontId="9" numFmtId="165" xfId="0" applyAlignment="1" applyFill="1" applyFont="1" applyNumberFormat="1">
      <alignment horizontal="right" shrinkToFit="0" vertical="bottom" wrapText="0"/>
    </xf>
    <xf borderId="13" fillId="2" fontId="9" numFmtId="14" xfId="0" applyAlignment="1" applyBorder="1" applyFill="1" applyFont="1" applyNumberFormat="1">
      <alignment horizontal="right" shrinkToFit="0" vertical="bottom" wrapText="0"/>
    </xf>
    <xf borderId="13" fillId="0" fontId="9" numFmtId="0" xfId="0" applyAlignment="1" applyBorder="1" applyFont="1">
      <alignment shrinkToFit="0" vertical="bottom" wrapText="0"/>
    </xf>
    <xf borderId="13" fillId="2" fontId="9" numFmtId="0" xfId="0" applyAlignment="1" applyBorder="1" applyFill="1" applyFont="1">
      <alignment shrinkToFit="0" vertical="bottom" wrapText="0"/>
    </xf>
    <xf borderId="13" fillId="2" fontId="9" numFmtId="165" xfId="0" applyAlignment="1" applyBorder="1" applyFill="1" applyFont="1" applyNumberFormat="1">
      <alignment shrinkToFit="0" vertical="bottom" wrapText="0"/>
    </xf>
    <xf borderId="13" fillId="2" fontId="9" numFmtId="0" xfId="0" applyAlignment="1" applyBorder="1" applyFill="1" applyFont="1">
      <alignment horizontal="right" shrinkToFit="0" vertical="bottom" wrapText="0"/>
    </xf>
    <xf borderId="13" fillId="2" fontId="15" numFmtId="14" xfId="0" applyAlignment="1" applyBorder="1" applyFill="1" applyFont="1" applyNumberFormat="1">
      <alignment horizontal="center" shrinkToFit="0" vertical="bottom" wrapText="0"/>
    </xf>
    <xf borderId="13" fillId="2" fontId="9" numFmtId="14" xfId="0" applyAlignment="1" applyBorder="1" applyFill="1" applyFont="1" applyNumberFormat="1">
      <alignment horizontal="right" shrinkToFit="0" vertical="bottom" wrapText="0"/>
    </xf>
    <xf borderId="13" fillId="2" fontId="9" numFmtId="0" xfId="0" applyAlignment="1" applyBorder="1" applyFill="1" applyFont="1">
      <alignment shrinkToFit="0" vertical="bottom" wrapText="0"/>
    </xf>
    <xf borderId="33" fillId="2" fontId="9" numFmtId="0" xfId="0" applyAlignment="1" applyBorder="1" applyFill="1" applyFont="1">
      <alignment shrinkToFit="0" vertical="bottom" wrapText="0"/>
    </xf>
    <xf borderId="33" fillId="2" fontId="9" numFmtId="165" xfId="0" applyAlignment="1" applyBorder="1" applyFill="1" applyFont="1" applyNumberFormat="1">
      <alignment shrinkToFit="0" vertical="bottom" wrapText="0"/>
    </xf>
    <xf borderId="33" fillId="2" fontId="9" numFmtId="0" xfId="0" applyAlignment="1" applyBorder="1" applyFill="1" applyFont="1">
      <alignment horizontal="right" shrinkToFit="0" vertical="bottom" wrapText="0"/>
    </xf>
    <xf borderId="13" fillId="2" fontId="9" numFmtId="165" xfId="0" applyAlignment="1" applyBorder="1" applyFill="1" applyFont="1" applyNumberFormat="1">
      <alignment horizontal="right" shrinkToFit="0" vertical="bottom" wrapText="0"/>
    </xf>
    <xf borderId="33" fillId="2" fontId="9" numFmtId="165" xfId="0" applyAlignment="1" applyBorder="1" applyFill="1" applyFont="1" applyNumberFormat="1">
      <alignment horizontal="right" shrinkToFit="0" vertical="bottom" wrapText="0"/>
    </xf>
    <xf borderId="31" fillId="2" fontId="9" numFmtId="0" xfId="0" applyAlignment="1" applyBorder="1" applyFill="1" applyFont="1">
      <alignment shrinkToFit="0" vertical="bottom" wrapText="0"/>
    </xf>
    <xf borderId="31" fillId="2" fontId="9" numFmtId="165" xfId="0" applyAlignment="1" applyBorder="1" applyFill="1" applyFont="1" applyNumberFormat="1">
      <alignment shrinkToFit="0" vertical="bottom" wrapText="0"/>
    </xf>
    <xf borderId="31" fillId="2" fontId="9" numFmtId="0" xfId="0" applyAlignment="1" applyBorder="1" applyFill="1" applyFont="1">
      <alignment horizontal="right" shrinkToFit="0" vertical="bottom" wrapText="0"/>
    </xf>
    <xf borderId="31" fillId="2" fontId="15" numFmtId="165" xfId="0" applyAlignment="1" applyBorder="1" applyFill="1" applyFont="1" applyNumberFormat="1">
      <alignment horizontal="right" shrinkToFit="0" vertical="bottom" wrapText="0"/>
    </xf>
    <xf borderId="13" fillId="0" fontId="9" numFmtId="14" xfId="0" applyAlignment="1" applyBorder="1" applyFont="1" applyNumberFormat="1">
      <alignment horizontal="right" shrinkToFit="0" vertical="bottom" wrapText="0"/>
    </xf>
    <xf borderId="72" fillId="4" fontId="9" numFmtId="0" xfId="0" applyAlignment="1" applyBorder="1" applyFill="1" applyFont="1">
      <alignment shrinkToFit="0" vertical="bottom" wrapText="0"/>
    </xf>
    <xf borderId="72" fillId="4" fontId="9" numFmtId="165" xfId="0" applyAlignment="1" applyBorder="1" applyFill="1" applyFont="1" applyNumberFormat="1">
      <alignment shrinkToFit="0" vertical="bottom" wrapText="0"/>
    </xf>
    <xf borderId="13" fillId="4" fontId="9" numFmtId="0" xfId="0" applyAlignment="1" applyBorder="1" applyFill="1" applyFont="1">
      <alignment horizontal="right" shrinkToFit="0" vertical="bottom" wrapText="0"/>
    </xf>
    <xf borderId="13" fillId="2" fontId="15" numFmtId="165" xfId="0" applyAlignment="1" applyBorder="1" applyFill="1" applyFont="1" applyNumberFormat="1">
      <alignment horizontal="right" readingOrder="0" shrinkToFit="0" vertical="bottom" wrapText="0"/>
    </xf>
    <xf borderId="0" fillId="4" fontId="9" numFmtId="0" xfId="0" applyAlignment="1" applyFill="1" applyFont="1">
      <alignment shrinkToFit="0" vertical="bottom" wrapText="0"/>
    </xf>
    <xf borderId="0" fillId="4" fontId="9" numFmtId="165" xfId="0" applyAlignment="1" applyFill="1" applyFont="1" applyNumberFormat="1">
      <alignment shrinkToFit="0" vertical="bottom" wrapText="0"/>
    </xf>
    <xf borderId="0" fillId="4" fontId="9" numFmtId="0" xfId="0" applyAlignment="1" applyFill="1" applyFont="1">
      <alignment horizontal="right" shrinkToFit="0" vertical="bottom" wrapText="0"/>
    </xf>
    <xf borderId="13" fillId="4" fontId="9" numFmtId="0" xfId="0" applyAlignment="1" applyBorder="1" applyFill="1" applyFont="1">
      <alignment shrinkToFit="0" vertical="bottom" wrapText="0"/>
    </xf>
    <xf borderId="13" fillId="4" fontId="9" numFmtId="165" xfId="0" applyAlignment="1" applyBorder="1" applyFill="1" applyFont="1" applyNumberFormat="1">
      <alignment shrinkToFit="0" vertical="bottom" wrapText="0"/>
    </xf>
    <xf borderId="13" fillId="4" fontId="9" numFmtId="165" xfId="0" applyAlignment="1" applyBorder="1" applyFill="1" applyFont="1" applyNumberFormat="1">
      <alignment horizontal="right" shrinkToFit="0" vertical="bottom" wrapText="0"/>
    </xf>
    <xf borderId="13" fillId="4" fontId="9" numFmtId="14" xfId="0" applyAlignment="1" applyBorder="1" applyFill="1" applyFont="1" applyNumberFormat="1">
      <alignment horizontal="right" shrinkToFit="0" vertical="bottom" wrapText="0"/>
    </xf>
    <xf borderId="13" fillId="2" fontId="9" numFmtId="0" xfId="0" applyAlignment="1" applyBorder="1" applyFill="1" applyFont="1">
      <alignment readingOrder="0" shrinkToFit="0" vertical="bottom" wrapText="0"/>
    </xf>
    <xf borderId="13" fillId="0" fontId="1" numFmtId="164" xfId="0" applyAlignment="1" applyBorder="1" applyFont="1" applyNumberFormat="1">
      <alignment readingOrder="0" shrinkToFit="0" vertical="center" wrapText="0"/>
    </xf>
    <xf borderId="13" fillId="0" fontId="1" numFmtId="0" xfId="0" applyAlignment="1" applyBorder="1" applyFont="1">
      <alignment readingOrder="0" shrinkToFit="0" vertical="center" wrapText="0"/>
    </xf>
    <xf borderId="13" fillId="0" fontId="1" numFmtId="14" xfId="0" applyAlignment="1" applyBorder="1" applyFont="1" applyNumberFormat="1">
      <alignment readingOrder="0" shrinkToFit="0" vertical="center" wrapText="0"/>
    </xf>
    <xf borderId="13" fillId="4" fontId="9" numFmtId="165" xfId="0" applyAlignment="1" applyBorder="1" applyFill="1" applyFont="1" applyNumberFormat="1">
      <alignment readingOrder="0" shrinkToFit="0" vertical="bottom" wrapText="0"/>
    </xf>
    <xf borderId="0" fillId="2" fontId="9" numFmtId="0" xfId="0" applyAlignment="1" applyFill="1" applyFont="1">
      <alignment shrinkToFit="0" vertical="bottom" wrapText="0"/>
    </xf>
    <xf borderId="13" fillId="0" fontId="1" numFmtId="0" xfId="0" applyAlignment="1" applyBorder="1" applyFont="1">
      <alignment readingOrder="0" shrinkToFit="0" vertical="center" wrapText="0"/>
    </xf>
    <xf borderId="13" fillId="0" fontId="1" numFmtId="4" xfId="0" applyAlignment="1" applyBorder="1" applyFont="1" applyNumberFormat="1">
      <alignment readingOrder="0" shrinkToFit="0" vertical="center" wrapText="0"/>
    </xf>
    <xf borderId="0" fillId="4" fontId="9" numFmtId="0" xfId="0" applyAlignment="1" applyFill="1" applyFont="1">
      <alignment readingOrder="0" shrinkToFit="0" vertical="bottom" wrapText="0"/>
    </xf>
    <xf borderId="0" fillId="4" fontId="9" numFmtId="0" xfId="0" applyAlignment="1" applyFill="1" applyFont="1">
      <alignment horizontal="right" readingOrder="0" shrinkToFit="0" vertical="bottom" wrapText="0"/>
    </xf>
    <xf borderId="0" fillId="2" fontId="15" numFmtId="14" xfId="0" applyAlignment="1" applyFill="1" applyFont="1" applyNumberFormat="1">
      <alignment horizontal="center" readingOrder="0" shrinkToFit="0" vertical="bottom" wrapText="0"/>
    </xf>
    <xf borderId="0" fillId="4" fontId="12" numFmtId="164" xfId="0" applyAlignment="1" applyFill="1" applyFont="1" applyNumberFormat="1">
      <alignment horizontal="right" readingOrder="0" shrinkToFit="0" vertical="center" wrapText="0"/>
    </xf>
    <xf borderId="0" fillId="4" fontId="9" numFmtId="0" xfId="0" applyAlignment="1" applyFill="1" applyFont="1">
      <alignment readingOrder="0" shrinkToFit="0" vertical="center" wrapText="0"/>
    </xf>
    <xf borderId="0" fillId="4" fontId="12" numFmtId="165" xfId="0" applyAlignment="1" applyFill="1" applyFont="1" applyNumberFormat="1">
      <alignment readingOrder="0" shrinkToFit="0" vertical="center" wrapText="0"/>
    </xf>
    <xf borderId="0" fillId="4" fontId="12" numFmtId="0" xfId="0" applyAlignment="1" applyFill="1" applyFont="1">
      <alignment horizontal="right" readingOrder="0" shrinkToFit="0" vertical="center" wrapText="0"/>
    </xf>
    <xf borderId="32" fillId="0" fontId="1" numFmtId="164" xfId="0" applyAlignment="1" applyBorder="1" applyFont="1" applyNumberFormat="1">
      <alignment readingOrder="0" shrinkToFit="0" vertical="center" wrapText="0"/>
    </xf>
    <xf borderId="33" fillId="0" fontId="1" numFmtId="165" xfId="0" applyAlignment="1" applyBorder="1" applyFont="1" applyNumberFormat="1">
      <alignment readingOrder="0" shrinkToFit="0" vertical="center" wrapText="0"/>
    </xf>
    <xf borderId="33" fillId="0" fontId="1" numFmtId="0" xfId="0" applyAlignment="1" applyBorder="1" applyFont="1">
      <alignment readingOrder="0" shrinkToFit="0" vertical="center" wrapText="0"/>
    </xf>
    <xf borderId="31" fillId="2" fontId="12" numFmtId="165" xfId="0" applyAlignment="1" applyBorder="1" applyFill="1" applyFont="1" applyNumberFormat="1">
      <alignment shrinkToFit="0" vertical="center" wrapText="0"/>
    </xf>
    <xf borderId="31" fillId="2" fontId="12" numFmtId="4" xfId="0" applyAlignment="1" applyBorder="1" applyFill="1" applyFont="1" applyNumberFormat="1">
      <alignment horizontal="right" readingOrder="0" shrinkToFit="0" vertical="center" wrapText="0"/>
    </xf>
    <xf borderId="31" fillId="2" fontId="12" numFmtId="165" xfId="0" applyAlignment="1" applyBorder="1" applyFill="1" applyFont="1" applyNumberFormat="1">
      <alignment horizontal="right" shrinkToFit="0" vertical="center" wrapText="0"/>
    </xf>
    <xf borderId="33" fillId="4" fontId="12" numFmtId="165" xfId="0" applyAlignment="1" applyBorder="1" applyFill="1" applyFont="1" applyNumberFormat="1">
      <alignment shrinkToFit="0" vertical="center" wrapText="0"/>
    </xf>
    <xf borderId="33" fillId="4" fontId="12" numFmtId="4" xfId="0" applyAlignment="1" applyBorder="1" applyFill="1" applyFont="1" applyNumberFormat="1">
      <alignment horizontal="right" readingOrder="0" shrinkToFit="0" vertical="center" wrapText="0"/>
    </xf>
    <xf borderId="33" fillId="4" fontId="12" numFmtId="165" xfId="0" applyAlignment="1" applyBorder="1" applyFill="1" applyFont="1" applyNumberFormat="1">
      <alignment horizontal="right" shrinkToFit="0" vertical="center" wrapText="0"/>
    </xf>
    <xf borderId="31" fillId="2" fontId="12" numFmtId="4" xfId="0" applyAlignment="1" applyBorder="1" applyFill="1" applyFont="1" applyNumberFormat="1">
      <alignment horizontal="right" shrinkToFit="0" vertical="center" wrapText="0"/>
    </xf>
    <xf borderId="13" fillId="0" fontId="1" numFmtId="164" xfId="0" applyBorder="1" applyFont="1" applyNumberFormat="1"/>
    <xf borderId="13" fillId="0" fontId="1" numFmtId="164" xfId="0" applyAlignment="1" applyBorder="1" applyFont="1" applyNumberFormat="1">
      <alignment horizontal="center"/>
    </xf>
    <xf borderId="13" fillId="0" fontId="1" numFmtId="49" xfId="0" applyBorder="1" applyFont="1" applyNumberFormat="1"/>
    <xf borderId="13" fillId="0" fontId="1" numFmtId="166" xfId="0" applyAlignment="1" applyBorder="1" applyFont="1" applyNumberFormat="1">
      <alignment readingOrder="0" shrinkToFit="0" vertical="center" wrapText="0"/>
    </xf>
    <xf borderId="13" fillId="2" fontId="9" numFmtId="165" xfId="0" applyAlignment="1" applyBorder="1" applyFill="1" applyFont="1" applyNumberFormat="1">
      <alignment readingOrder="0" shrinkToFit="0" vertical="bottom" wrapText="0"/>
    </xf>
    <xf borderId="13" fillId="0" fontId="1" numFmtId="165" xfId="0" applyAlignment="1" applyBorder="1" applyFont="1" applyNumberFormat="1">
      <alignment readingOrder="0" shrinkToFit="0" vertical="center" wrapText="0"/>
    </xf>
    <xf borderId="13" fillId="0" fontId="3" numFmtId="164" xfId="0" applyBorder="1" applyFont="1" applyNumberFormat="1"/>
    <xf borderId="13" fillId="0" fontId="3" numFmtId="164" xfId="0" applyAlignment="1" applyBorder="1" applyFont="1" applyNumberFormat="1">
      <alignment horizontal="center"/>
    </xf>
    <xf borderId="13" fillId="0" fontId="3" numFmtId="49" xfId="0" applyBorder="1" applyFont="1" applyNumberFormat="1"/>
    <xf borderId="13" fillId="0" fontId="24" numFmtId="14" xfId="0" applyBorder="1" applyFont="1" applyNumberFormat="1"/>
    <xf borderId="13" fillId="0" fontId="3" numFmtId="165" xfId="0" applyBorder="1" applyFont="1" applyNumberFormat="1"/>
    <xf borderId="13" fillId="0" fontId="3" numFmtId="0" xfId="0" applyBorder="1" applyFont="1"/>
    <xf borderId="13" fillId="2" fontId="3" numFmtId="165" xfId="0" applyAlignment="1" applyBorder="1" applyFill="1" applyFont="1" applyNumberFormat="1">
      <alignment readingOrder="0"/>
    </xf>
    <xf borderId="13" fillId="0" fontId="1" numFmtId="164" xfId="0" applyAlignment="1" applyBorder="1" applyFont="1" applyNumberFormat="1">
      <alignment shrinkToFit="0" vertical="center" wrapText="0"/>
    </xf>
    <xf borderId="13" fillId="2" fontId="12" numFmtId="164" xfId="0" applyAlignment="1" applyBorder="1" applyFill="1" applyFont="1" applyNumberFormat="1">
      <alignment horizontal="right" shrinkToFit="0" vertical="center" wrapText="0"/>
    </xf>
    <xf borderId="13" fillId="2" fontId="12" numFmtId="0" xfId="0" applyAlignment="1" applyBorder="1" applyFill="1" applyFont="1">
      <alignment shrinkToFit="0" vertical="center" wrapText="0"/>
    </xf>
    <xf borderId="13" fillId="0" fontId="1" numFmtId="166" xfId="0" applyAlignment="1" applyBorder="1" applyFont="1" applyNumberFormat="1">
      <alignment shrinkToFit="0" vertical="center" wrapText="0"/>
    </xf>
    <xf borderId="13" fillId="2" fontId="12" numFmtId="0" xfId="0" applyAlignment="1" applyBorder="1" applyFill="1" applyFont="1">
      <alignment shrinkToFit="0" vertical="center" wrapText="0"/>
    </xf>
    <xf borderId="13" fillId="0" fontId="1" numFmtId="14" xfId="0" applyAlignment="1" applyBorder="1" applyFont="1" applyNumberFormat="1">
      <alignment shrinkToFit="0" vertical="center" wrapText="0"/>
    </xf>
    <xf borderId="13" fillId="4" fontId="12" numFmtId="164" xfId="0" applyAlignment="1" applyBorder="1" applyFill="1" applyFont="1" applyNumberFormat="1">
      <alignment horizontal="right" shrinkToFit="0" vertical="center" wrapText="0"/>
    </xf>
    <xf borderId="13" fillId="4" fontId="12" numFmtId="0" xfId="0" applyAlignment="1" applyBorder="1" applyFill="1" applyFont="1">
      <alignment shrinkToFit="0" vertical="center" wrapText="0"/>
    </xf>
    <xf borderId="13" fillId="4" fontId="12" numFmtId="0" xfId="0" applyAlignment="1" applyBorder="1" applyFill="1" applyFont="1">
      <alignment shrinkToFit="0" vertical="center" wrapText="0"/>
    </xf>
    <xf borderId="13" fillId="2" fontId="12" numFmtId="165" xfId="0" applyAlignment="1" applyBorder="1" applyFill="1" applyFont="1" applyNumberFormat="1">
      <alignment readingOrder="0" shrinkToFit="0" vertical="center" wrapText="0"/>
    </xf>
    <xf borderId="13" fillId="4" fontId="12" numFmtId="164" xfId="0" applyAlignment="1" applyBorder="1" applyFill="1" applyFont="1" applyNumberFormat="1">
      <alignment horizontal="right" readingOrder="0" shrinkToFit="0" vertical="center" wrapText="0"/>
    </xf>
    <xf borderId="13" fillId="0" fontId="1" numFmtId="165" xfId="0" applyAlignment="1" applyBorder="1" applyFont="1" applyNumberFormat="1">
      <alignment shrinkToFit="0" vertical="center" wrapText="0"/>
    </xf>
    <xf borderId="13" fillId="2" fontId="12" numFmtId="0" xfId="0" applyAlignment="1" applyBorder="1" applyFill="1" applyFont="1">
      <alignment readingOrder="0" shrinkToFit="0" vertical="center" wrapText="0"/>
    </xf>
    <xf borderId="13" fillId="4" fontId="12" numFmtId="165" xfId="0" applyAlignment="1" applyBorder="1" applyFill="1" applyFont="1" applyNumberFormat="1">
      <alignment readingOrder="0" shrinkToFit="0" vertical="center" wrapText="0"/>
    </xf>
    <xf borderId="13" fillId="0" fontId="1" numFmtId="169" xfId="0" applyAlignment="1" applyBorder="1" applyFont="1" applyNumberFormat="1">
      <alignment readingOrder="0" shrinkToFit="0" vertical="center" wrapText="0"/>
    </xf>
    <xf borderId="13" fillId="4" fontId="12" numFmtId="0" xfId="0" applyAlignment="1" applyBorder="1" applyFill="1" applyFont="1">
      <alignment readingOrder="0" shrinkToFit="0" vertical="center" wrapText="0"/>
    </xf>
    <xf borderId="13" fillId="0" fontId="9" numFmtId="14" xfId="0" applyAlignment="1" applyBorder="1" applyFont="1" applyNumberFormat="1">
      <alignment horizontal="right" readingOrder="0" shrinkToFit="0" vertical="bottom" wrapText="0"/>
    </xf>
    <xf borderId="13" fillId="0" fontId="9" numFmtId="0" xfId="0" applyAlignment="1" applyBorder="1" applyFont="1">
      <alignment shrinkToFit="0" vertical="bottom" wrapText="0"/>
    </xf>
    <xf borderId="13" fillId="0" fontId="9" numFmtId="165" xfId="0" applyAlignment="1" applyBorder="1" applyFont="1" applyNumberFormat="1">
      <alignment readingOrder="0" shrinkToFit="0" vertical="bottom" wrapText="0"/>
    </xf>
    <xf borderId="13" fillId="0" fontId="9" numFmtId="165" xfId="0" applyAlignment="1" applyBorder="1" applyFont="1" applyNumberFormat="1">
      <alignment shrinkToFit="0" vertical="bottom" wrapText="0"/>
    </xf>
    <xf borderId="13" fillId="0" fontId="9" numFmtId="14" xfId="0" applyAlignment="1" applyBorder="1" applyFont="1" applyNumberFormat="1">
      <alignment shrinkToFit="0" vertical="bottom" wrapText="0"/>
    </xf>
    <xf borderId="13" fillId="2" fontId="9" numFmtId="0" xfId="0" applyAlignment="1" applyBorder="1" applyFill="1" applyFont="1">
      <alignment shrinkToFit="0" vertical="bottom" wrapText="0"/>
    </xf>
    <xf borderId="13" fillId="0" fontId="26" numFmtId="0" xfId="0" applyAlignment="1" applyBorder="1" applyFont="1">
      <alignment shrinkToFit="0" vertical="bottom" wrapText="0"/>
    </xf>
    <xf borderId="13" fillId="2" fontId="9" numFmtId="169" xfId="0" applyAlignment="1" applyBorder="1" applyFill="1" applyFont="1" applyNumberFormat="1">
      <alignment horizontal="right" shrinkToFit="0" vertical="bottom" wrapText="0"/>
    </xf>
    <xf borderId="13" fillId="0" fontId="26" numFmtId="0" xfId="0" applyAlignment="1" applyBorder="1" applyFont="1">
      <alignment shrinkToFit="0" vertical="bottom" wrapText="0"/>
    </xf>
    <xf borderId="13" fillId="2" fontId="9" numFmtId="165" xfId="0" applyAlignment="1" applyBorder="1" applyFill="1" applyFont="1" applyNumberFormat="1">
      <alignment shrinkToFit="0" vertical="bottom" wrapText="0"/>
    </xf>
    <xf borderId="13" fillId="0" fontId="9" numFmtId="14" xfId="0" applyAlignment="1" applyBorder="1" applyFont="1" applyNumberFormat="1">
      <alignment readingOrder="0" shrinkToFit="0" vertical="bottom" wrapText="0"/>
    </xf>
    <xf borderId="13" fillId="0" fontId="9" numFmtId="0" xfId="0" applyAlignment="1" applyBorder="1" applyFont="1">
      <alignment readingOrder="0" shrinkToFit="0" vertical="bottom" wrapText="0"/>
    </xf>
    <xf borderId="13" fillId="2" fontId="12" numFmtId="164" xfId="0" applyAlignment="1" applyBorder="1" applyFill="1" applyFont="1" applyNumberFormat="1">
      <alignment horizontal="right" readingOrder="0" shrinkToFit="0" vertical="center" wrapText="0"/>
    </xf>
    <xf borderId="13" fillId="4" fontId="12" numFmtId="14" xfId="0" applyAlignment="1" applyBorder="1" applyFill="1" applyFont="1" applyNumberFormat="1">
      <alignment horizontal="right" readingOrder="0" shrinkToFit="0" vertical="center" wrapText="0"/>
    </xf>
    <xf borderId="13" fillId="4" fontId="12" numFmtId="165" xfId="0" applyAlignment="1" applyBorder="1" applyFill="1" applyFont="1" applyNumberFormat="1">
      <alignment horizontal="right" readingOrder="0" shrinkToFit="0" vertical="center" wrapText="0"/>
    </xf>
    <xf borderId="0" fillId="0" fontId="1" numFmtId="0" xfId="0" applyAlignment="1" applyFont="1">
      <alignment horizontal="center" readingOrder="0"/>
    </xf>
    <xf borderId="0" fillId="0" fontId="1" numFmtId="0" xfId="0" applyAlignment="1" applyFont="1">
      <alignment horizontal="right" readingOrder="0"/>
    </xf>
    <xf borderId="13" fillId="0" fontId="7" numFmtId="0" xfId="0" applyAlignment="1" applyBorder="1" applyFont="1">
      <alignment readingOrder="0" shrinkToFit="0" vertical="center" wrapText="0"/>
    </xf>
    <xf borderId="0" fillId="0" fontId="1" numFmtId="0" xfId="0" applyAlignment="1" applyFont="1">
      <alignment readingOrder="0" shrinkToFit="0" vertical="center" wrapText="0"/>
    </xf>
    <xf borderId="13" fillId="0" fontId="1" numFmtId="0" xfId="0" applyAlignment="1" applyBorder="1" applyFont="1">
      <alignment shrinkToFit="0" vertical="center" wrapText="0"/>
    </xf>
    <xf borderId="0" fillId="0" fontId="7" numFmtId="0" xfId="0" applyAlignment="1" applyFont="1">
      <alignment readingOrder="0" shrinkToFit="0" vertical="center" wrapText="0"/>
    </xf>
    <xf borderId="13" fillId="4" fontId="12" numFmtId="164" xfId="0" applyAlignment="1" applyBorder="1" applyFill="1" applyFont="1" applyNumberFormat="1">
      <alignment horizontal="right" shrinkToFit="0" vertical="bottom" wrapText="0"/>
    </xf>
    <xf borderId="13" fillId="4" fontId="12" numFmtId="0" xfId="0" applyAlignment="1" applyBorder="1" applyFill="1" applyFont="1">
      <alignment horizontal="center" shrinkToFit="0" vertical="bottom" wrapText="0"/>
    </xf>
    <xf borderId="13" fillId="4" fontId="12" numFmtId="0" xfId="0" applyAlignment="1" applyBorder="1" applyFill="1" applyFont="1">
      <alignment shrinkToFit="0" vertical="bottom" wrapText="0"/>
    </xf>
    <xf borderId="13" fillId="2" fontId="9" numFmtId="4" xfId="0" applyAlignment="1" applyBorder="1" applyFill="1" applyFont="1" applyNumberFormat="1">
      <alignment horizontal="right" shrinkToFit="0" vertical="bottom" wrapText="0"/>
    </xf>
    <xf borderId="13" fillId="4" fontId="12" numFmtId="165" xfId="0" applyAlignment="1" applyBorder="1" applyFill="1" applyFont="1" applyNumberFormat="1">
      <alignment horizontal="right" shrinkToFit="0" vertical="bottom" wrapText="0"/>
    </xf>
    <xf borderId="13" fillId="2" fontId="12" numFmtId="164" xfId="0" applyAlignment="1" applyBorder="1" applyFill="1" applyFont="1" applyNumberFormat="1">
      <alignment horizontal="right" shrinkToFit="0" vertical="bottom" wrapText="0"/>
    </xf>
    <xf borderId="13" fillId="2" fontId="12" numFmtId="0" xfId="0" applyAlignment="1" applyBorder="1" applyFill="1" applyFont="1">
      <alignment horizontal="center" shrinkToFit="0" vertical="bottom" wrapText="0"/>
    </xf>
    <xf borderId="13" fillId="2" fontId="12" numFmtId="0" xfId="0" applyAlignment="1" applyBorder="1" applyFill="1" applyFont="1">
      <alignment shrinkToFit="0" vertical="bottom" wrapText="0"/>
    </xf>
    <xf borderId="13" fillId="2" fontId="12" numFmtId="165" xfId="0" applyAlignment="1" applyBorder="1" applyFill="1" applyFont="1" applyNumberFormat="1">
      <alignment horizontal="right" shrinkToFit="0" vertical="bottom" wrapText="0"/>
    </xf>
    <xf borderId="13" fillId="0" fontId="9" numFmtId="4" xfId="0" applyAlignment="1" applyBorder="1" applyFont="1" applyNumberFormat="1">
      <alignment horizontal="right" shrinkToFit="0" vertical="bottom" wrapText="0"/>
    </xf>
    <xf borderId="13" fillId="4" fontId="12" numFmtId="0" xfId="0" applyAlignment="1" applyBorder="1" applyFill="1" applyFont="1">
      <alignment readingOrder="0" shrinkToFit="0" vertical="bottom" wrapText="0"/>
    </xf>
    <xf borderId="13" fillId="2" fontId="12" numFmtId="0" xfId="0" applyAlignment="1" applyBorder="1" applyFill="1" applyFont="1">
      <alignment shrinkToFit="0" vertical="bottom" wrapText="0"/>
    </xf>
    <xf borderId="13" fillId="2" fontId="9" numFmtId="0" xfId="0" applyAlignment="1" applyBorder="1" applyFill="1" applyFont="1">
      <alignment horizontal="center" shrinkToFit="0" vertical="bottom" wrapText="0"/>
    </xf>
    <xf borderId="13" fillId="2" fontId="12" numFmtId="164" xfId="0" applyAlignment="1" applyBorder="1" applyFill="1" applyFont="1" applyNumberFormat="1">
      <alignment horizontal="right" shrinkToFit="0" vertical="bottom" wrapText="0"/>
    </xf>
    <xf borderId="13" fillId="2" fontId="9" numFmtId="164" xfId="0" applyAlignment="1" applyBorder="1" applyFill="1" applyFont="1" applyNumberFormat="1">
      <alignment horizontal="right" shrinkToFit="0" vertical="bottom" wrapText="0"/>
    </xf>
    <xf borderId="13" fillId="2" fontId="9" numFmtId="0" xfId="0" applyAlignment="1" applyBorder="1" applyFill="1" applyFont="1">
      <alignment shrinkToFit="0" vertical="bottom" wrapText="0"/>
    </xf>
    <xf borderId="13" fillId="2" fontId="9" numFmtId="165" xfId="0" applyAlignment="1" applyBorder="1" applyFill="1" applyFont="1" applyNumberFormat="1">
      <alignment horizontal="right" shrinkToFit="0" vertical="bottom" wrapText="0"/>
    </xf>
    <xf borderId="13" fillId="4" fontId="12" numFmtId="14" xfId="0" applyAlignment="1" applyBorder="1" applyFill="1" applyFont="1" applyNumberFormat="1">
      <alignment horizontal="right" shrinkToFit="0" vertical="bottom" wrapText="0"/>
    </xf>
    <xf borderId="13" fillId="0" fontId="9" numFmtId="0" xfId="0" applyAlignment="1" applyBorder="1" applyFont="1">
      <alignment horizontal="right" shrinkToFit="0" vertical="bottom" wrapText="0"/>
    </xf>
    <xf borderId="13" fillId="0" fontId="9" numFmtId="0" xfId="0" applyAlignment="1" applyBorder="1" applyFont="1">
      <alignment shrinkToFit="0" vertical="bottom" wrapText="0"/>
    </xf>
    <xf borderId="13" fillId="0" fontId="9" numFmtId="165" xfId="0" applyAlignment="1" applyBorder="1" applyFont="1" applyNumberFormat="1">
      <alignment horizontal="right" shrinkToFit="0" vertical="bottom" wrapText="0"/>
    </xf>
    <xf borderId="13" fillId="0" fontId="9" numFmtId="0" xfId="0" applyAlignment="1" applyBorder="1" applyFont="1">
      <alignment horizontal="center" shrinkToFit="0" vertical="bottom" wrapText="0"/>
    </xf>
    <xf borderId="13" fillId="0" fontId="9" numFmtId="164" xfId="0" applyAlignment="1" applyBorder="1" applyFont="1" applyNumberFormat="1">
      <alignment horizontal="right" shrinkToFit="0" vertical="bottom" wrapText="0"/>
    </xf>
    <xf borderId="35" fillId="2" fontId="12" numFmtId="164" xfId="0" applyAlignment="1" applyBorder="1" applyFill="1" applyFont="1" applyNumberFormat="1">
      <alignment horizontal="right" shrinkToFit="0" vertical="center" wrapText="0"/>
    </xf>
    <xf borderId="31" fillId="2" fontId="12" numFmtId="0" xfId="0" applyAlignment="1" applyBorder="1" applyFill="1" applyFont="1">
      <alignment horizontal="right" shrinkToFit="0" vertical="center" wrapText="0"/>
    </xf>
    <xf borderId="31" fillId="2" fontId="12" numFmtId="0" xfId="0" applyAlignment="1" applyBorder="1" applyFill="1" applyFont="1">
      <alignment shrinkToFit="0" vertical="center" wrapText="0"/>
    </xf>
    <xf borderId="31" fillId="2" fontId="9" numFmtId="165" xfId="0" applyAlignment="1" applyBorder="1" applyFill="1" applyFont="1" applyNumberFormat="1">
      <alignment shrinkToFit="0" vertical="center" wrapText="0"/>
    </xf>
    <xf borderId="32" fillId="4" fontId="12" numFmtId="164" xfId="0" applyAlignment="1" applyBorder="1" applyFill="1" applyFont="1" applyNumberFormat="1">
      <alignment horizontal="right" shrinkToFit="0" vertical="center" wrapText="0"/>
    </xf>
    <xf borderId="33" fillId="4" fontId="12" numFmtId="0" xfId="0" applyAlignment="1" applyBorder="1" applyFill="1" applyFont="1">
      <alignment horizontal="right" shrinkToFit="0" vertical="center" wrapText="0"/>
    </xf>
    <xf borderId="33" fillId="4" fontId="12" numFmtId="0" xfId="0" applyAlignment="1" applyBorder="1" applyFill="1" applyFont="1">
      <alignment shrinkToFit="0" vertical="center" wrapText="0"/>
    </xf>
    <xf borderId="33" fillId="4" fontId="12" numFmtId="4" xfId="0" applyAlignment="1" applyBorder="1" applyFill="1" applyFont="1" applyNumberFormat="1">
      <alignment horizontal="right" shrinkToFit="0" vertical="center" wrapText="0"/>
    </xf>
    <xf borderId="33" fillId="4" fontId="9" numFmtId="165" xfId="0" applyAlignment="1" applyBorder="1" applyFill="1" applyFont="1" applyNumberFormat="1">
      <alignment shrinkToFit="0" vertical="center" wrapText="0"/>
    </xf>
  </cellXfs>
  <cellStyles count="1">
    <cellStyle xfId="0" name="Normal" builtinId="0"/>
  </cellStyles>
  <dxfs count="8">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CDD9D4"/>
          <bgColor rgb="FFCDD9D4"/>
        </patternFill>
      </fill>
      <border/>
    </dxf>
    <dxf>
      <border>
        <left style="thin">
          <color rgb="FF356854"/>
        </left>
        <right style="thin">
          <color rgb="FF356854"/>
        </right>
        <top style="thin">
          <color rgb="FF356854"/>
        </top>
        <bottom style="thin">
          <color rgb="FF356854"/>
        </bottom>
      </border>
    </dxf>
    <dxf>
      <font/>
      <fill>
        <patternFill patternType="solid">
          <fgColor rgb="FFC9DAF8"/>
          <bgColor rgb="FFC9DAF8"/>
        </patternFill>
      </fill>
      <border/>
    </dxf>
    <dxf>
      <font/>
      <fill>
        <patternFill patternType="solid">
          <fgColor rgb="FFD9D2E9"/>
          <bgColor rgb="FFD9D2E9"/>
        </patternFill>
      </fill>
      <border/>
    </dxf>
  </dxfs>
  <tableStyles count="13">
    <tableStyle count="5" pivot="0" name="DATABASE-style">
      <tableStyleElement dxfId="1" type="headerRow"/>
      <tableStyleElement dxfId="2" type="firstRowStripe"/>
      <tableStyleElement dxfId="3" type="secondRowStripe"/>
      <tableStyleElement dxfId="4" type="totalRow"/>
      <tableStyleElement dxfId="5" size="0" type="wholeTable"/>
    </tableStyle>
    <tableStyle count="4" pivot="0" name="EXPENSES-style">
      <tableStyleElement dxfId="1" type="headerRow"/>
      <tableStyleElement dxfId="2" type="firstRowStripe"/>
      <tableStyleElement dxfId="3" type="secondRowStripe"/>
      <tableStyleElement dxfId="5" size="0" type="wholeTable"/>
    </tableStyle>
    <tableStyle count="4" pivot="0" name="EXPENSES-style 2">
      <tableStyleElement dxfId="1" type="headerRow"/>
      <tableStyleElement dxfId="2" type="firstRowStripe"/>
      <tableStyleElement dxfId="3" type="secondRowStripe"/>
      <tableStyleElement dxfId="5" size="0" type="wholeTable"/>
    </tableStyle>
    <tableStyle count="4" pivot="0" name="DATABASE-style 2">
      <tableStyleElement dxfId="1" type="headerRow"/>
      <tableStyleElement dxfId="2" type="firstRowStripe"/>
      <tableStyleElement dxfId="3" type="secondRowStripe"/>
      <tableStyleElement dxfId="5" size="0" type="wholeTable"/>
    </tableStyle>
    <tableStyle count="4" pivot="0" name="DATABASE-style 3">
      <tableStyleElement dxfId="1" type="headerRow"/>
      <tableStyleElement dxfId="2" type="firstRowStripe"/>
      <tableStyleElement dxfId="3" type="secondRowStripe"/>
      <tableStyleElement dxfId="5" size="0" type="wholeTable"/>
    </tableStyle>
    <tableStyle count="5" pivot="0" name="PURCHASE-style">
      <tableStyleElement dxfId="1" type="headerRow"/>
      <tableStyleElement dxfId="2" type="firstRowStripe"/>
      <tableStyleElement dxfId="3" type="secondRowStripe"/>
      <tableStyleElement dxfId="4" type="totalRow"/>
      <tableStyleElement dxfId="5" size="0" type="wholeTable"/>
    </tableStyle>
    <tableStyle count="4" pivot="0" name="SELLING CASH-style">
      <tableStyleElement dxfId="1" type="headerRow"/>
      <tableStyleElement dxfId="2" type="firstRowStripe"/>
      <tableStyleElement dxfId="3" type="secondRowStripe"/>
      <tableStyleElement dxfId="5" size="0" type="wholeTable"/>
    </tableStyle>
    <tableStyle count="4" pivot="0" name="PAYMENT SUPPLIER-style">
      <tableStyleElement dxfId="1" type="headerRow"/>
      <tableStyleElement dxfId="2" type="firstRowStripe"/>
      <tableStyleElement dxfId="3" type="secondRowStripe"/>
      <tableStyleElement dxfId="5" size="0" type="wholeTable"/>
    </tableStyle>
    <tableStyle count="4" pivot="0" name="PAYMENT SUPPLIER-style 2">
      <tableStyleElement dxfId="1" type="headerRow"/>
      <tableStyleElement dxfId="2" type="firstRowStripe"/>
      <tableStyleElement dxfId="3" type="secondRowStripe"/>
      <tableStyleElement dxfId="5" size="0" type="wholeTable"/>
    </tableStyle>
    <tableStyle count="2" pivot="0" name="PAYMENT SUPPLIER-style 3">
      <tableStyleElement dxfId="2" type="firstRowStripe"/>
      <tableStyleElement dxfId="3" type="secondRowStripe"/>
    </tableStyle>
    <tableStyle count="4" pivot="0" name="SELLING CREDIT-style">
      <tableStyleElement dxfId="1" type="headerRow"/>
      <tableStyleElement dxfId="2" type="firstRowStripe"/>
      <tableStyleElement dxfId="3" type="secondRowStripe"/>
      <tableStyleElement dxfId="5" size="0" type="wholeTable"/>
    </tableStyle>
    <tableStyle count="4" pivot="0" name="TRANSFER-style">
      <tableStyleElement dxfId="1" type="headerRow"/>
      <tableStyleElement dxfId="2" type="firstRowStripe"/>
      <tableStyleElement dxfId="3" type="secondRowStripe"/>
      <tableStyleElement dxfId="5" size="0" type="wholeTable"/>
    </tableStyle>
    <tableStyle count="4" pivot="0" name="PAYMENT CREDIT-style">
      <tableStyleElement dxfId="1" type="headerRow"/>
      <tableStyleElement dxfId="2" type="firstRowStripe"/>
      <tableStyleElement dxfId="3" type="secondRowStripe"/>
      <tableStyleElement dxfId="5"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pivotCacheDefinition" Target="pivotCache/pivotCacheDefinition2.xml"/><Relationship Id="rId11" Type="http://schemas.openxmlformats.org/officeDocument/2006/relationships/worksheet" Target="worksheets/sheet7.xml"/><Relationship Id="rId22" Type="http://schemas.openxmlformats.org/officeDocument/2006/relationships/pivotCacheDefinition" Target="pivotCache/pivotCacheDefinition4.xml"/><Relationship Id="rId10" Type="http://schemas.openxmlformats.org/officeDocument/2006/relationships/worksheet" Target="worksheets/sheet6.xml"/><Relationship Id="rId21" Type="http://schemas.openxmlformats.org/officeDocument/2006/relationships/pivotCacheDefinition" Target="pivotCache/pivotCacheDefinition3.xml"/><Relationship Id="rId13" Type="http://schemas.openxmlformats.org/officeDocument/2006/relationships/worksheet" Target="worksheets/sheet9.xml"/><Relationship Id="rId24" Type="http://schemas.openxmlformats.org/officeDocument/2006/relationships/pivotCacheDefinition" Target="pivotCache/pivotCacheDefinition6.xml"/><Relationship Id="rId12" Type="http://schemas.openxmlformats.org/officeDocument/2006/relationships/worksheet" Target="worksheets/sheet8.xml"/><Relationship Id="rId23" Type="http://schemas.openxmlformats.org/officeDocument/2006/relationships/pivotCacheDefinition" Target="pivotCache/pivotCacheDefinition5.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pivotCacheDefinition" Target="pivotCache/pivotCacheDefinition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TOP Barang terjual/Item</a:t>
            </a:r>
          </a:p>
        </c:rich>
      </c:tx>
      <c:overlay val="0"/>
    </c:title>
    <c:plotArea>
      <c:layout/>
      <c:barChart>
        <c:barDir val="bar"/>
        <c:ser>
          <c:idx val="0"/>
          <c:order val="0"/>
          <c:tx>
            <c:strRef>
              <c:f>DATA_PIVOT!$B$2:$B$3</c:f>
            </c:strRef>
          </c:tx>
          <c:spPr>
            <a:solidFill>
              <a:schemeClr val="accent1"/>
            </a:solidFill>
            <a:ln cmpd="sng">
              <a:noFill/>
            </a:ln>
          </c:spPr>
          <c:invertIfNegative val="0"/>
          <c:dLbls>
            <c:numFmt formatCode="General" sourceLinked="1"/>
            <c:txPr>
              <a:bodyPr/>
              <a:lstStyle/>
              <a:p>
                <a:pPr lvl="0">
                  <a:defRPr/>
                </a:pPr>
              </a:p>
            </c:txPr>
            <c:showLegendKey val="0"/>
            <c:showVal val="1"/>
            <c:showCatName val="0"/>
            <c:showSerName val="0"/>
            <c:showPercent val="0"/>
            <c:showBubbleSize val="0"/>
          </c:dLbls>
          <c:cat>
            <c:strRef>
              <c:f>DATA_PIVOT!$A$4:$A$18</c:f>
            </c:strRef>
          </c:cat>
          <c:val>
            <c:numRef>
              <c:f>DATA_PIVOT!$B$4:$B$18</c:f>
              <c:numCache/>
            </c:numRef>
          </c:val>
        </c:ser>
        <c:axId val="2037939910"/>
        <c:axId val="571284922"/>
      </c:barChart>
      <c:catAx>
        <c:axId val="2037939910"/>
        <c:scaling>
          <c:orientation val="maxMin"/>
        </c:scaling>
        <c:delete val="0"/>
        <c:axPos val="l"/>
        <c:title>
          <c:tx>
            <c:rich>
              <a:bodyPr/>
              <a:lstStyle/>
              <a:p>
                <a:pPr lvl="0">
                  <a:defRPr b="0">
                    <a:solidFill>
                      <a:srgbClr val="000000"/>
                    </a:solidFill>
                    <a:latin typeface="+mn-lt"/>
                  </a:defRPr>
                </a:pPr>
                <a:r>
                  <a:rPr b="0">
                    <a:solidFill>
                      <a:srgbClr val="000000"/>
                    </a:solidFill>
                    <a:latin typeface="+mn-lt"/>
                  </a:rPr>
                  <a:t>TOP Barang terjual/Item</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571284922"/>
      </c:catAx>
      <c:valAx>
        <c:axId val="57128492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sum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37939910"/>
        <c:crosses val="max"/>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66675</xdr:colOff>
      <xdr:row>6</xdr:row>
      <xdr:rowOff>76200</xdr:rowOff>
    </xdr:from>
    <xdr:ext cx="9829800" cy="31432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400050</xdr:rowOff>
    </xdr:from>
    <xdr:ext cx="1171575" cy="361950"/>
    <xdr:grpSp>
      <xdr:nvGrpSpPr>
        <xdr:cNvPr id="2" name="Shape 2" title="Drawing"/>
        <xdr:cNvGrpSpPr/>
      </xdr:nvGrpSpPr>
      <xdr:grpSpPr>
        <a:xfrm>
          <a:off x="365475" y="359650"/>
          <a:ext cx="2879100" cy="902100"/>
          <a:chOff x="365475" y="359650"/>
          <a:chExt cx="2879100" cy="902100"/>
        </a:xfrm>
      </xdr:grpSpPr>
      <xdr:sp>
        <xdr:nvSpPr>
          <xdr:cNvPr id="3" name="Shape 3"/>
          <xdr:cNvSpPr/>
        </xdr:nvSpPr>
        <xdr:spPr>
          <a:xfrm>
            <a:off x="365475" y="359650"/>
            <a:ext cx="2879100" cy="902100"/>
          </a:xfrm>
          <a:prstGeom prst="roundRect">
            <a:avLst>
              <a:gd fmla="val 16667" name="adj"/>
            </a:avLst>
          </a:prstGeom>
          <a:solidFill>
            <a:srgbClr val="274E1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4" name="Shape 4"/>
          <xdr:cNvSpPr txBox="1"/>
        </xdr:nvSpPr>
        <xdr:spPr>
          <a:xfrm>
            <a:off x="739875" y="572200"/>
            <a:ext cx="2130300" cy="4770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1900">
                <a:solidFill>
                  <a:srgbClr val="D9EAD3"/>
                </a:solidFill>
                <a:latin typeface="Lexend"/>
                <a:ea typeface="Lexend"/>
                <a:cs typeface="Lexend"/>
                <a:sym typeface="Lexend"/>
              </a:rPr>
              <a:t>Transaction</a:t>
            </a:r>
            <a:endParaRPr sz="1900">
              <a:solidFill>
                <a:srgbClr val="D9EAD3"/>
              </a:solidFill>
              <a:latin typeface="Lexend"/>
              <a:ea typeface="Lexend"/>
              <a:cs typeface="Lexend"/>
              <a:sym typeface="Lexend"/>
            </a:endParaRPr>
          </a:p>
        </xdr:txBody>
      </xdr:sp>
    </xdr:grpSp>
    <xdr:clientData fLocksWithSheet="0"/>
  </xdr:oneCellAnchor>
  <xdr:oneCellAnchor>
    <xdr:from>
      <xdr:col>0</xdr:col>
      <xdr:colOff>28575</xdr:colOff>
      <xdr:row>3</xdr:row>
      <xdr:rowOff>19050</xdr:rowOff>
    </xdr:from>
    <xdr:ext cx="1171575" cy="361950"/>
    <xdr:grpSp>
      <xdr:nvGrpSpPr>
        <xdr:cNvPr id="2" name="Shape 2" title="Drawing"/>
        <xdr:cNvGrpSpPr/>
      </xdr:nvGrpSpPr>
      <xdr:grpSpPr>
        <a:xfrm>
          <a:off x="363125" y="359650"/>
          <a:ext cx="2881500" cy="912300"/>
          <a:chOff x="363125" y="359650"/>
          <a:chExt cx="2881500" cy="912300"/>
        </a:xfrm>
      </xdr:grpSpPr>
      <xdr:sp>
        <xdr:nvSpPr>
          <xdr:cNvPr id="5" name="Shape 5"/>
          <xdr:cNvSpPr/>
        </xdr:nvSpPr>
        <xdr:spPr>
          <a:xfrm>
            <a:off x="363125" y="359650"/>
            <a:ext cx="2881500" cy="912300"/>
          </a:xfrm>
          <a:prstGeom prst="roundRect">
            <a:avLst>
              <a:gd fmla="val 16667" name="adj"/>
            </a:avLst>
          </a:prstGeom>
          <a:solidFill>
            <a:srgbClr val="274E1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6" name="Shape 6"/>
          <xdr:cNvSpPr txBox="1"/>
        </xdr:nvSpPr>
        <xdr:spPr>
          <a:xfrm>
            <a:off x="572973" y="569500"/>
            <a:ext cx="2461800" cy="4926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2000">
                <a:solidFill>
                  <a:srgbClr val="D9EAD3"/>
                </a:solidFill>
                <a:latin typeface="Lexend"/>
                <a:ea typeface="Lexend"/>
                <a:cs typeface="Lexend"/>
                <a:sym typeface="Lexend"/>
              </a:rPr>
              <a:t>Database</a:t>
            </a:r>
            <a:endParaRPr sz="2000">
              <a:solidFill>
                <a:srgbClr val="D9EAD3"/>
              </a:solidFill>
              <a:latin typeface="Lexend"/>
              <a:ea typeface="Lexend"/>
              <a:cs typeface="Lexend"/>
              <a:sym typeface="Lexend"/>
            </a:endParaRPr>
          </a:p>
        </xdr:txBody>
      </xdr:sp>
    </xdr:grpSp>
    <xdr:clientData fLocksWithSheet="0"/>
  </xdr:oneCellAnchor>
  <xdr:oneCellAnchor>
    <xdr:from>
      <xdr:col>0</xdr:col>
      <xdr:colOff>28575</xdr:colOff>
      <xdr:row>5</xdr:row>
      <xdr:rowOff>38100</xdr:rowOff>
    </xdr:from>
    <xdr:ext cx="1171575" cy="361950"/>
    <xdr:grpSp>
      <xdr:nvGrpSpPr>
        <xdr:cNvPr id="2" name="Shape 2" title="Drawing"/>
        <xdr:cNvGrpSpPr/>
      </xdr:nvGrpSpPr>
      <xdr:grpSpPr>
        <a:xfrm>
          <a:off x="365475" y="359650"/>
          <a:ext cx="2871300" cy="905100"/>
          <a:chOff x="365475" y="359650"/>
          <a:chExt cx="2871300" cy="905100"/>
        </a:xfrm>
      </xdr:grpSpPr>
      <xdr:sp>
        <xdr:nvSpPr>
          <xdr:cNvPr id="7" name="Shape 7"/>
          <xdr:cNvSpPr/>
        </xdr:nvSpPr>
        <xdr:spPr>
          <a:xfrm>
            <a:off x="365475" y="359650"/>
            <a:ext cx="2871300" cy="905100"/>
          </a:xfrm>
          <a:prstGeom prst="roundRect">
            <a:avLst>
              <a:gd fmla="val 16667" name="adj"/>
            </a:avLst>
          </a:prstGeom>
          <a:solidFill>
            <a:srgbClr val="274E1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8" name="Shape 8"/>
          <xdr:cNvSpPr txBox="1"/>
        </xdr:nvSpPr>
        <xdr:spPr>
          <a:xfrm>
            <a:off x="847276" y="565900"/>
            <a:ext cx="1915500" cy="4926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2000">
                <a:solidFill>
                  <a:srgbClr val="D9EAD3"/>
                </a:solidFill>
                <a:latin typeface="Lexend"/>
                <a:ea typeface="Lexend"/>
                <a:cs typeface="Lexend"/>
                <a:sym typeface="Lexend"/>
              </a:rPr>
              <a:t>Selling</a:t>
            </a:r>
            <a:r>
              <a:rPr lang="en-US" sz="2000">
                <a:solidFill>
                  <a:srgbClr val="D9EAD3"/>
                </a:solidFill>
                <a:latin typeface="Lexend"/>
                <a:ea typeface="Lexend"/>
                <a:cs typeface="Lexend"/>
                <a:sym typeface="Lexend"/>
              </a:rPr>
              <a:t> Cash</a:t>
            </a:r>
            <a:endParaRPr sz="2000">
              <a:solidFill>
                <a:srgbClr val="D9EAD3"/>
              </a:solidFill>
              <a:latin typeface="Lexend"/>
              <a:ea typeface="Lexend"/>
              <a:cs typeface="Lexend"/>
              <a:sym typeface="Lexend"/>
            </a:endParaRPr>
          </a:p>
        </xdr:txBody>
      </xdr:sp>
    </xdr:grpSp>
    <xdr:clientData fLocksWithSheet="0"/>
  </xdr:oneCellAnchor>
  <xdr:oneCellAnchor>
    <xdr:from>
      <xdr:col>0</xdr:col>
      <xdr:colOff>28575</xdr:colOff>
      <xdr:row>7</xdr:row>
      <xdr:rowOff>85725</xdr:rowOff>
    </xdr:from>
    <xdr:ext cx="1171575" cy="361950"/>
    <xdr:grpSp>
      <xdr:nvGrpSpPr>
        <xdr:cNvPr id="2" name="Shape 2" title="Drawing"/>
        <xdr:cNvGrpSpPr/>
      </xdr:nvGrpSpPr>
      <xdr:grpSpPr>
        <a:xfrm>
          <a:off x="360025" y="367450"/>
          <a:ext cx="2884500" cy="905100"/>
          <a:chOff x="360025" y="367450"/>
          <a:chExt cx="2884500" cy="905100"/>
        </a:xfrm>
      </xdr:grpSpPr>
      <xdr:sp>
        <xdr:nvSpPr>
          <xdr:cNvPr id="9" name="Shape 9"/>
          <xdr:cNvSpPr/>
        </xdr:nvSpPr>
        <xdr:spPr>
          <a:xfrm>
            <a:off x="360025" y="367450"/>
            <a:ext cx="2884500" cy="905100"/>
          </a:xfrm>
          <a:prstGeom prst="roundRect">
            <a:avLst>
              <a:gd fmla="val 16667" name="adj"/>
            </a:avLst>
          </a:prstGeom>
          <a:solidFill>
            <a:srgbClr val="274E1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0" name="Shape 10"/>
          <xdr:cNvSpPr txBox="1"/>
        </xdr:nvSpPr>
        <xdr:spPr>
          <a:xfrm>
            <a:off x="800575" y="573700"/>
            <a:ext cx="2003400" cy="4926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2000">
                <a:solidFill>
                  <a:srgbClr val="D9EAD3"/>
                </a:solidFill>
                <a:latin typeface="Lexend"/>
                <a:ea typeface="Lexend"/>
                <a:cs typeface="Lexend"/>
                <a:sym typeface="Lexend"/>
              </a:rPr>
              <a:t>Selling Credit</a:t>
            </a:r>
            <a:endParaRPr sz="2000">
              <a:solidFill>
                <a:srgbClr val="D9EAD3"/>
              </a:solidFill>
              <a:latin typeface="Lexend"/>
              <a:ea typeface="Lexend"/>
              <a:cs typeface="Lexend"/>
              <a:sym typeface="Lexend"/>
            </a:endParaRPr>
          </a:p>
        </xdr:txBody>
      </xdr:sp>
    </xdr:grpSp>
    <xdr:clientData fLocksWithSheet="0"/>
  </xdr:oneCellAnchor>
  <xdr:oneCellAnchor>
    <xdr:from>
      <xdr:col>0</xdr:col>
      <xdr:colOff>28575</xdr:colOff>
      <xdr:row>11</xdr:row>
      <xdr:rowOff>180975</xdr:rowOff>
    </xdr:from>
    <xdr:ext cx="1171575" cy="361950"/>
    <xdr:grpSp>
      <xdr:nvGrpSpPr>
        <xdr:cNvPr id="2" name="Shape 2" title="Drawing"/>
        <xdr:cNvGrpSpPr/>
      </xdr:nvGrpSpPr>
      <xdr:grpSpPr>
        <a:xfrm>
          <a:off x="371625" y="370800"/>
          <a:ext cx="2874300" cy="863400"/>
          <a:chOff x="371625" y="370800"/>
          <a:chExt cx="2874300" cy="863400"/>
        </a:xfrm>
      </xdr:grpSpPr>
      <xdr:sp>
        <xdr:nvSpPr>
          <xdr:cNvPr id="11" name="Shape 11"/>
          <xdr:cNvSpPr/>
        </xdr:nvSpPr>
        <xdr:spPr>
          <a:xfrm>
            <a:off x="371625" y="370800"/>
            <a:ext cx="2874300" cy="863400"/>
          </a:xfrm>
          <a:prstGeom prst="roundRect">
            <a:avLst>
              <a:gd fmla="val 16667" name="adj"/>
            </a:avLst>
          </a:prstGeom>
          <a:solidFill>
            <a:srgbClr val="274E1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2" name="Shape 12"/>
          <xdr:cNvSpPr txBox="1"/>
        </xdr:nvSpPr>
        <xdr:spPr>
          <a:xfrm>
            <a:off x="804675" y="556200"/>
            <a:ext cx="2008200" cy="4926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2000">
                <a:solidFill>
                  <a:srgbClr val="D9EAD3"/>
                </a:solidFill>
                <a:latin typeface="Lexend"/>
                <a:ea typeface="Lexend"/>
                <a:cs typeface="Lexend"/>
                <a:sym typeface="Lexend"/>
              </a:rPr>
              <a:t>Puchase</a:t>
            </a:r>
            <a:endParaRPr sz="2000">
              <a:solidFill>
                <a:srgbClr val="D9EAD3"/>
              </a:solidFill>
              <a:latin typeface="Lexend"/>
              <a:ea typeface="Lexend"/>
              <a:cs typeface="Lexend"/>
              <a:sym typeface="Lexend"/>
            </a:endParaRPr>
          </a:p>
        </xdr:txBody>
      </xdr:sp>
    </xdr:grpSp>
    <xdr:clientData fLocksWithSheet="0"/>
  </xdr:oneCellAnchor>
  <xdr:oneCellAnchor>
    <xdr:from>
      <xdr:col>0</xdr:col>
      <xdr:colOff>28575</xdr:colOff>
      <xdr:row>14</xdr:row>
      <xdr:rowOff>38100</xdr:rowOff>
    </xdr:from>
    <xdr:ext cx="1171575" cy="361950"/>
    <xdr:grpSp>
      <xdr:nvGrpSpPr>
        <xdr:cNvPr id="2" name="Shape 2" title="Drawing"/>
        <xdr:cNvGrpSpPr/>
      </xdr:nvGrpSpPr>
      <xdr:grpSpPr>
        <a:xfrm>
          <a:off x="335200" y="360250"/>
          <a:ext cx="2942100" cy="910500"/>
          <a:chOff x="335200" y="360250"/>
          <a:chExt cx="2942100" cy="910500"/>
        </a:xfrm>
      </xdr:grpSpPr>
      <xdr:sp>
        <xdr:nvSpPr>
          <xdr:cNvPr id="13" name="Shape 13"/>
          <xdr:cNvSpPr/>
        </xdr:nvSpPr>
        <xdr:spPr>
          <a:xfrm>
            <a:off x="360250" y="360250"/>
            <a:ext cx="2892000" cy="910500"/>
          </a:xfrm>
          <a:prstGeom prst="roundRect">
            <a:avLst>
              <a:gd fmla="val 16667" name="adj"/>
            </a:avLst>
          </a:prstGeom>
          <a:solidFill>
            <a:srgbClr val="274E1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4" name="Shape 14"/>
          <xdr:cNvSpPr txBox="1"/>
        </xdr:nvSpPr>
        <xdr:spPr>
          <a:xfrm>
            <a:off x="335200" y="446050"/>
            <a:ext cx="2942100" cy="7389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1800">
                <a:solidFill>
                  <a:srgbClr val="D9EAD3"/>
                </a:solidFill>
                <a:latin typeface="Lexend"/>
                <a:ea typeface="Lexend"/>
                <a:cs typeface="Lexend"/>
                <a:sym typeface="Lexend"/>
              </a:rPr>
              <a:t>Payment of receivables via cashier</a:t>
            </a:r>
            <a:endParaRPr sz="1800">
              <a:solidFill>
                <a:srgbClr val="D9EAD3"/>
              </a:solidFill>
              <a:latin typeface="Lexend"/>
              <a:ea typeface="Lexend"/>
              <a:cs typeface="Lexend"/>
              <a:sym typeface="Lexend"/>
            </a:endParaRPr>
          </a:p>
        </xdr:txBody>
      </xdr:sp>
    </xdr:grpSp>
    <xdr:clientData fLocksWithSheet="0"/>
  </xdr:oneCellAnchor>
  <xdr:oneCellAnchor>
    <xdr:from>
      <xdr:col>0</xdr:col>
      <xdr:colOff>28575</xdr:colOff>
      <xdr:row>16</xdr:row>
      <xdr:rowOff>85725</xdr:rowOff>
    </xdr:from>
    <xdr:ext cx="1171575" cy="361950"/>
    <xdr:grpSp>
      <xdr:nvGrpSpPr>
        <xdr:cNvPr id="2" name="Shape 2" title="Drawing"/>
        <xdr:cNvGrpSpPr/>
      </xdr:nvGrpSpPr>
      <xdr:grpSpPr>
        <a:xfrm>
          <a:off x="300200" y="360250"/>
          <a:ext cx="2942100" cy="890700"/>
          <a:chOff x="300200" y="360250"/>
          <a:chExt cx="2942100" cy="890700"/>
        </a:xfrm>
      </xdr:grpSpPr>
      <xdr:sp>
        <xdr:nvSpPr>
          <xdr:cNvPr id="15" name="Shape 15"/>
          <xdr:cNvSpPr/>
        </xdr:nvSpPr>
        <xdr:spPr>
          <a:xfrm>
            <a:off x="300200" y="360250"/>
            <a:ext cx="2942100" cy="890700"/>
          </a:xfrm>
          <a:prstGeom prst="roundRect">
            <a:avLst>
              <a:gd fmla="val 16667" name="adj"/>
            </a:avLst>
          </a:prstGeom>
          <a:solidFill>
            <a:srgbClr val="274E1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6" name="Shape 16"/>
          <xdr:cNvSpPr txBox="1"/>
        </xdr:nvSpPr>
        <xdr:spPr>
          <a:xfrm>
            <a:off x="950750" y="559300"/>
            <a:ext cx="1641000" cy="4926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2000">
                <a:solidFill>
                  <a:srgbClr val="D9EAD3"/>
                </a:solidFill>
                <a:latin typeface="Lexend"/>
                <a:ea typeface="Lexend"/>
                <a:cs typeface="Lexend"/>
                <a:sym typeface="Lexend"/>
              </a:rPr>
              <a:t>EXPENSES</a:t>
            </a:r>
            <a:endParaRPr sz="2000">
              <a:solidFill>
                <a:srgbClr val="D9EAD3"/>
              </a:solidFill>
              <a:latin typeface="Lexend"/>
              <a:ea typeface="Lexend"/>
              <a:cs typeface="Lexend"/>
              <a:sym typeface="Lexend"/>
            </a:endParaRPr>
          </a:p>
        </xdr:txBody>
      </xdr:sp>
    </xdr:grpSp>
    <xdr:clientData fLocksWithSheet="0"/>
  </xdr:oneCellAnchor>
  <xdr:oneCellAnchor>
    <xdr:from>
      <xdr:col>0</xdr:col>
      <xdr:colOff>28575</xdr:colOff>
      <xdr:row>9</xdr:row>
      <xdr:rowOff>133350</xdr:rowOff>
    </xdr:from>
    <xdr:ext cx="1171575" cy="361950"/>
    <xdr:grpSp>
      <xdr:nvGrpSpPr>
        <xdr:cNvPr id="2" name="Shape 2" title="Drawing"/>
        <xdr:cNvGrpSpPr/>
      </xdr:nvGrpSpPr>
      <xdr:grpSpPr>
        <a:xfrm>
          <a:off x="350250" y="360250"/>
          <a:ext cx="2892000" cy="900600"/>
          <a:chOff x="350250" y="360250"/>
          <a:chExt cx="2892000" cy="900600"/>
        </a:xfrm>
      </xdr:grpSpPr>
      <xdr:sp>
        <xdr:nvSpPr>
          <xdr:cNvPr id="17" name="Shape 17"/>
          <xdr:cNvSpPr/>
        </xdr:nvSpPr>
        <xdr:spPr>
          <a:xfrm>
            <a:off x="350250" y="360250"/>
            <a:ext cx="2892000" cy="900600"/>
          </a:xfrm>
          <a:prstGeom prst="roundRect">
            <a:avLst>
              <a:gd fmla="val 16667" name="adj"/>
            </a:avLst>
          </a:prstGeom>
          <a:solidFill>
            <a:srgbClr val="274E1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8" name="Shape 18"/>
          <xdr:cNvSpPr txBox="1"/>
        </xdr:nvSpPr>
        <xdr:spPr>
          <a:xfrm>
            <a:off x="1000650" y="564250"/>
            <a:ext cx="1591200" cy="4926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2000">
                <a:solidFill>
                  <a:srgbClr val="D9EAD3"/>
                </a:solidFill>
                <a:latin typeface="Lexend"/>
                <a:ea typeface="Lexend"/>
                <a:cs typeface="Lexend"/>
                <a:sym typeface="Lexend"/>
              </a:rPr>
              <a:t>Selling Oil</a:t>
            </a:r>
            <a:endParaRPr sz="2000">
              <a:solidFill>
                <a:srgbClr val="D9EAD3"/>
              </a:solidFill>
              <a:latin typeface="Lexend"/>
              <a:ea typeface="Lexend"/>
              <a:cs typeface="Lexend"/>
              <a:sym typeface="Lexend"/>
            </a:endParaRPr>
          </a:p>
        </xdr:txBody>
      </xdr:sp>
    </xdr:grpSp>
    <xdr:clientData fLocksWithSheet="0"/>
  </xdr:oneCellAnchor>
  <xdr:oneCellAnchor>
    <xdr:from>
      <xdr:col>0</xdr:col>
      <xdr:colOff>28575</xdr:colOff>
      <xdr:row>18</xdr:row>
      <xdr:rowOff>133350</xdr:rowOff>
    </xdr:from>
    <xdr:ext cx="1171575" cy="361950"/>
    <xdr:grpSp>
      <xdr:nvGrpSpPr>
        <xdr:cNvPr id="2" name="Shape 2" title="Drawing"/>
        <xdr:cNvGrpSpPr/>
      </xdr:nvGrpSpPr>
      <xdr:grpSpPr>
        <a:xfrm>
          <a:off x="340250" y="350250"/>
          <a:ext cx="2521800" cy="910500"/>
          <a:chOff x="340250" y="350250"/>
          <a:chExt cx="2521800" cy="910500"/>
        </a:xfrm>
      </xdr:grpSpPr>
      <xdr:sp>
        <xdr:nvSpPr>
          <xdr:cNvPr id="19" name="Shape 19"/>
          <xdr:cNvSpPr/>
        </xdr:nvSpPr>
        <xdr:spPr>
          <a:xfrm>
            <a:off x="340250" y="350250"/>
            <a:ext cx="2521800" cy="910500"/>
          </a:xfrm>
          <a:prstGeom prst="roundRect">
            <a:avLst>
              <a:gd fmla="val 16667" name="adj"/>
            </a:avLst>
          </a:prstGeom>
          <a:solidFill>
            <a:srgbClr val="274E13"/>
          </a:solidFill>
          <a:ln cap="flat" cmpd="sng" w="9525">
            <a:solidFill>
              <a:srgbClr val="38761D"/>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20" name="Shape 20"/>
          <xdr:cNvSpPr txBox="1"/>
        </xdr:nvSpPr>
        <xdr:spPr>
          <a:xfrm>
            <a:off x="625475" y="559200"/>
            <a:ext cx="1851300" cy="4926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2000">
                <a:solidFill>
                  <a:srgbClr val="D9EAD3"/>
                </a:solidFill>
                <a:latin typeface="Lexend"/>
                <a:ea typeface="Lexend"/>
                <a:cs typeface="Lexend"/>
                <a:sym typeface="Lexend"/>
              </a:rPr>
              <a:t>Report</a:t>
            </a:r>
            <a:endParaRPr sz="2000">
              <a:solidFill>
                <a:srgbClr val="D9EAD3"/>
              </a:solidFill>
              <a:latin typeface="Lexend"/>
              <a:ea typeface="Lexend"/>
              <a:cs typeface="Lexend"/>
              <a:sym typeface="Lexend"/>
            </a:endParaRPr>
          </a:p>
        </xdr:txBody>
      </xdr:sp>
    </xdr:grp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400050</xdr:rowOff>
    </xdr:from>
    <xdr:ext cx="1171575" cy="361950"/>
    <xdr:grpSp>
      <xdr:nvGrpSpPr>
        <xdr:cNvPr id="2" name="Shape 2" title="Drawing"/>
        <xdr:cNvGrpSpPr/>
      </xdr:nvGrpSpPr>
      <xdr:grpSpPr>
        <a:xfrm>
          <a:off x="365475" y="359650"/>
          <a:ext cx="2879100" cy="902100"/>
          <a:chOff x="365475" y="359650"/>
          <a:chExt cx="2879100" cy="902100"/>
        </a:xfrm>
      </xdr:grpSpPr>
      <xdr:sp>
        <xdr:nvSpPr>
          <xdr:cNvPr id="3" name="Shape 3"/>
          <xdr:cNvSpPr/>
        </xdr:nvSpPr>
        <xdr:spPr>
          <a:xfrm>
            <a:off x="365475" y="359650"/>
            <a:ext cx="2879100" cy="902100"/>
          </a:xfrm>
          <a:prstGeom prst="roundRect">
            <a:avLst>
              <a:gd fmla="val 16667" name="adj"/>
            </a:avLst>
          </a:prstGeom>
          <a:solidFill>
            <a:srgbClr val="274E1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4" name="Shape 4"/>
          <xdr:cNvSpPr txBox="1"/>
        </xdr:nvSpPr>
        <xdr:spPr>
          <a:xfrm>
            <a:off x="739875" y="572200"/>
            <a:ext cx="2130300" cy="4770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1900">
                <a:solidFill>
                  <a:srgbClr val="D9EAD3"/>
                </a:solidFill>
                <a:latin typeface="Lexend"/>
                <a:ea typeface="Lexend"/>
                <a:cs typeface="Lexend"/>
                <a:sym typeface="Lexend"/>
              </a:rPr>
              <a:t>Transaction</a:t>
            </a:r>
            <a:endParaRPr sz="1900">
              <a:solidFill>
                <a:srgbClr val="D9EAD3"/>
              </a:solidFill>
              <a:latin typeface="Lexend"/>
              <a:ea typeface="Lexend"/>
              <a:cs typeface="Lexend"/>
              <a:sym typeface="Lexend"/>
            </a:endParaRPr>
          </a:p>
        </xdr:txBody>
      </xdr:sp>
    </xdr:grpSp>
    <xdr:clientData fLocksWithSheet="0"/>
  </xdr:oneCellAnchor>
  <xdr:oneCellAnchor>
    <xdr:from>
      <xdr:col>0</xdr:col>
      <xdr:colOff>28575</xdr:colOff>
      <xdr:row>3</xdr:row>
      <xdr:rowOff>19050</xdr:rowOff>
    </xdr:from>
    <xdr:ext cx="1171575" cy="361950"/>
    <xdr:grpSp>
      <xdr:nvGrpSpPr>
        <xdr:cNvPr id="2" name="Shape 2" title="Drawing"/>
        <xdr:cNvGrpSpPr/>
      </xdr:nvGrpSpPr>
      <xdr:grpSpPr>
        <a:xfrm>
          <a:off x="363125" y="359650"/>
          <a:ext cx="2881500" cy="912300"/>
          <a:chOff x="363125" y="359650"/>
          <a:chExt cx="2881500" cy="912300"/>
        </a:xfrm>
      </xdr:grpSpPr>
      <xdr:sp>
        <xdr:nvSpPr>
          <xdr:cNvPr id="5" name="Shape 5"/>
          <xdr:cNvSpPr/>
        </xdr:nvSpPr>
        <xdr:spPr>
          <a:xfrm>
            <a:off x="363125" y="359650"/>
            <a:ext cx="2881500" cy="912300"/>
          </a:xfrm>
          <a:prstGeom prst="roundRect">
            <a:avLst>
              <a:gd fmla="val 16667" name="adj"/>
            </a:avLst>
          </a:prstGeom>
          <a:solidFill>
            <a:srgbClr val="274E1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6" name="Shape 6"/>
          <xdr:cNvSpPr txBox="1"/>
        </xdr:nvSpPr>
        <xdr:spPr>
          <a:xfrm>
            <a:off x="572973" y="569500"/>
            <a:ext cx="2461800" cy="4926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2000">
                <a:solidFill>
                  <a:srgbClr val="D9EAD3"/>
                </a:solidFill>
                <a:latin typeface="Lexend"/>
                <a:ea typeface="Lexend"/>
                <a:cs typeface="Lexend"/>
                <a:sym typeface="Lexend"/>
              </a:rPr>
              <a:t>Database</a:t>
            </a:r>
            <a:endParaRPr sz="2000">
              <a:solidFill>
                <a:srgbClr val="D9EAD3"/>
              </a:solidFill>
              <a:latin typeface="Lexend"/>
              <a:ea typeface="Lexend"/>
              <a:cs typeface="Lexend"/>
              <a:sym typeface="Lexend"/>
            </a:endParaRPr>
          </a:p>
        </xdr:txBody>
      </xdr:sp>
    </xdr:grpSp>
    <xdr:clientData fLocksWithSheet="0"/>
  </xdr:oneCellAnchor>
  <xdr:oneCellAnchor>
    <xdr:from>
      <xdr:col>0</xdr:col>
      <xdr:colOff>28575</xdr:colOff>
      <xdr:row>5</xdr:row>
      <xdr:rowOff>38100</xdr:rowOff>
    </xdr:from>
    <xdr:ext cx="1171575" cy="361950"/>
    <xdr:grpSp>
      <xdr:nvGrpSpPr>
        <xdr:cNvPr id="2" name="Shape 2" title="Drawing"/>
        <xdr:cNvGrpSpPr/>
      </xdr:nvGrpSpPr>
      <xdr:grpSpPr>
        <a:xfrm>
          <a:off x="365475" y="359650"/>
          <a:ext cx="2871300" cy="905100"/>
          <a:chOff x="365475" y="359650"/>
          <a:chExt cx="2871300" cy="905100"/>
        </a:xfrm>
      </xdr:grpSpPr>
      <xdr:sp>
        <xdr:nvSpPr>
          <xdr:cNvPr id="7" name="Shape 7"/>
          <xdr:cNvSpPr/>
        </xdr:nvSpPr>
        <xdr:spPr>
          <a:xfrm>
            <a:off x="365475" y="359650"/>
            <a:ext cx="2871300" cy="905100"/>
          </a:xfrm>
          <a:prstGeom prst="roundRect">
            <a:avLst>
              <a:gd fmla="val 16667" name="adj"/>
            </a:avLst>
          </a:prstGeom>
          <a:solidFill>
            <a:srgbClr val="274E1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8" name="Shape 8"/>
          <xdr:cNvSpPr txBox="1"/>
        </xdr:nvSpPr>
        <xdr:spPr>
          <a:xfrm>
            <a:off x="847276" y="565900"/>
            <a:ext cx="1915500" cy="4926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2000">
                <a:solidFill>
                  <a:srgbClr val="D9EAD3"/>
                </a:solidFill>
                <a:latin typeface="Lexend"/>
                <a:ea typeface="Lexend"/>
                <a:cs typeface="Lexend"/>
                <a:sym typeface="Lexend"/>
              </a:rPr>
              <a:t>Selling</a:t>
            </a:r>
            <a:r>
              <a:rPr lang="en-US" sz="2000">
                <a:solidFill>
                  <a:srgbClr val="D9EAD3"/>
                </a:solidFill>
                <a:latin typeface="Lexend"/>
                <a:ea typeface="Lexend"/>
                <a:cs typeface="Lexend"/>
                <a:sym typeface="Lexend"/>
              </a:rPr>
              <a:t> Cash</a:t>
            </a:r>
            <a:endParaRPr sz="2000">
              <a:solidFill>
                <a:srgbClr val="D9EAD3"/>
              </a:solidFill>
              <a:latin typeface="Lexend"/>
              <a:ea typeface="Lexend"/>
              <a:cs typeface="Lexend"/>
              <a:sym typeface="Lexend"/>
            </a:endParaRPr>
          </a:p>
        </xdr:txBody>
      </xdr:sp>
    </xdr:grpSp>
    <xdr:clientData fLocksWithSheet="0"/>
  </xdr:oneCellAnchor>
  <xdr:oneCellAnchor>
    <xdr:from>
      <xdr:col>0</xdr:col>
      <xdr:colOff>28575</xdr:colOff>
      <xdr:row>7</xdr:row>
      <xdr:rowOff>85725</xdr:rowOff>
    </xdr:from>
    <xdr:ext cx="1171575" cy="361950"/>
    <xdr:grpSp>
      <xdr:nvGrpSpPr>
        <xdr:cNvPr id="2" name="Shape 2" title="Drawing"/>
        <xdr:cNvGrpSpPr/>
      </xdr:nvGrpSpPr>
      <xdr:grpSpPr>
        <a:xfrm>
          <a:off x="360025" y="367450"/>
          <a:ext cx="2884500" cy="905100"/>
          <a:chOff x="360025" y="367450"/>
          <a:chExt cx="2884500" cy="905100"/>
        </a:xfrm>
      </xdr:grpSpPr>
      <xdr:sp>
        <xdr:nvSpPr>
          <xdr:cNvPr id="9" name="Shape 9"/>
          <xdr:cNvSpPr/>
        </xdr:nvSpPr>
        <xdr:spPr>
          <a:xfrm>
            <a:off x="360025" y="367450"/>
            <a:ext cx="2884500" cy="905100"/>
          </a:xfrm>
          <a:prstGeom prst="roundRect">
            <a:avLst>
              <a:gd fmla="val 16667" name="adj"/>
            </a:avLst>
          </a:prstGeom>
          <a:solidFill>
            <a:srgbClr val="274E1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0" name="Shape 10"/>
          <xdr:cNvSpPr txBox="1"/>
        </xdr:nvSpPr>
        <xdr:spPr>
          <a:xfrm>
            <a:off x="800575" y="573700"/>
            <a:ext cx="2003400" cy="4926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2000">
                <a:solidFill>
                  <a:srgbClr val="D9EAD3"/>
                </a:solidFill>
                <a:latin typeface="Lexend"/>
                <a:ea typeface="Lexend"/>
                <a:cs typeface="Lexend"/>
                <a:sym typeface="Lexend"/>
              </a:rPr>
              <a:t>Selling Credit</a:t>
            </a:r>
            <a:endParaRPr sz="2000">
              <a:solidFill>
                <a:srgbClr val="D9EAD3"/>
              </a:solidFill>
              <a:latin typeface="Lexend"/>
              <a:ea typeface="Lexend"/>
              <a:cs typeface="Lexend"/>
              <a:sym typeface="Lexend"/>
            </a:endParaRPr>
          </a:p>
        </xdr:txBody>
      </xdr:sp>
    </xdr:grpSp>
    <xdr:clientData fLocksWithSheet="0"/>
  </xdr:oneCellAnchor>
  <xdr:oneCellAnchor>
    <xdr:from>
      <xdr:col>0</xdr:col>
      <xdr:colOff>28575</xdr:colOff>
      <xdr:row>11</xdr:row>
      <xdr:rowOff>180975</xdr:rowOff>
    </xdr:from>
    <xdr:ext cx="1171575" cy="361950"/>
    <xdr:grpSp>
      <xdr:nvGrpSpPr>
        <xdr:cNvPr id="2" name="Shape 2" title="Drawing"/>
        <xdr:cNvGrpSpPr/>
      </xdr:nvGrpSpPr>
      <xdr:grpSpPr>
        <a:xfrm>
          <a:off x="371625" y="370800"/>
          <a:ext cx="2874300" cy="863400"/>
          <a:chOff x="371625" y="370800"/>
          <a:chExt cx="2874300" cy="863400"/>
        </a:xfrm>
      </xdr:grpSpPr>
      <xdr:sp>
        <xdr:nvSpPr>
          <xdr:cNvPr id="11" name="Shape 11"/>
          <xdr:cNvSpPr/>
        </xdr:nvSpPr>
        <xdr:spPr>
          <a:xfrm>
            <a:off x="371625" y="370800"/>
            <a:ext cx="2874300" cy="863400"/>
          </a:xfrm>
          <a:prstGeom prst="roundRect">
            <a:avLst>
              <a:gd fmla="val 16667" name="adj"/>
            </a:avLst>
          </a:prstGeom>
          <a:solidFill>
            <a:srgbClr val="274E1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2" name="Shape 12"/>
          <xdr:cNvSpPr txBox="1"/>
        </xdr:nvSpPr>
        <xdr:spPr>
          <a:xfrm>
            <a:off x="804675" y="556200"/>
            <a:ext cx="2008200" cy="4926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2000">
                <a:solidFill>
                  <a:srgbClr val="D9EAD3"/>
                </a:solidFill>
                <a:latin typeface="Lexend"/>
                <a:ea typeface="Lexend"/>
                <a:cs typeface="Lexend"/>
                <a:sym typeface="Lexend"/>
              </a:rPr>
              <a:t>Puchase</a:t>
            </a:r>
            <a:endParaRPr sz="2000">
              <a:solidFill>
                <a:srgbClr val="D9EAD3"/>
              </a:solidFill>
              <a:latin typeface="Lexend"/>
              <a:ea typeface="Lexend"/>
              <a:cs typeface="Lexend"/>
              <a:sym typeface="Lexend"/>
            </a:endParaRPr>
          </a:p>
        </xdr:txBody>
      </xdr:sp>
    </xdr:grpSp>
    <xdr:clientData fLocksWithSheet="0"/>
  </xdr:oneCellAnchor>
  <xdr:oneCellAnchor>
    <xdr:from>
      <xdr:col>0</xdr:col>
      <xdr:colOff>28575</xdr:colOff>
      <xdr:row>14</xdr:row>
      <xdr:rowOff>38100</xdr:rowOff>
    </xdr:from>
    <xdr:ext cx="1171575" cy="361950"/>
    <xdr:grpSp>
      <xdr:nvGrpSpPr>
        <xdr:cNvPr id="2" name="Shape 2" title="Drawing"/>
        <xdr:cNvGrpSpPr/>
      </xdr:nvGrpSpPr>
      <xdr:grpSpPr>
        <a:xfrm>
          <a:off x="335200" y="360250"/>
          <a:ext cx="2942100" cy="910500"/>
          <a:chOff x="335200" y="360250"/>
          <a:chExt cx="2942100" cy="910500"/>
        </a:xfrm>
      </xdr:grpSpPr>
      <xdr:sp>
        <xdr:nvSpPr>
          <xdr:cNvPr id="13" name="Shape 13"/>
          <xdr:cNvSpPr/>
        </xdr:nvSpPr>
        <xdr:spPr>
          <a:xfrm>
            <a:off x="360250" y="360250"/>
            <a:ext cx="2892000" cy="910500"/>
          </a:xfrm>
          <a:prstGeom prst="roundRect">
            <a:avLst>
              <a:gd fmla="val 16667" name="adj"/>
            </a:avLst>
          </a:prstGeom>
          <a:solidFill>
            <a:srgbClr val="274E1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4" name="Shape 14"/>
          <xdr:cNvSpPr txBox="1"/>
        </xdr:nvSpPr>
        <xdr:spPr>
          <a:xfrm>
            <a:off x="335200" y="446050"/>
            <a:ext cx="2942100" cy="7389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1800">
                <a:solidFill>
                  <a:srgbClr val="D9EAD3"/>
                </a:solidFill>
                <a:latin typeface="Lexend"/>
                <a:ea typeface="Lexend"/>
                <a:cs typeface="Lexend"/>
                <a:sym typeface="Lexend"/>
              </a:rPr>
              <a:t>Payment of receivables via cashier</a:t>
            </a:r>
            <a:endParaRPr sz="1800">
              <a:solidFill>
                <a:srgbClr val="D9EAD3"/>
              </a:solidFill>
              <a:latin typeface="Lexend"/>
              <a:ea typeface="Lexend"/>
              <a:cs typeface="Lexend"/>
              <a:sym typeface="Lexend"/>
            </a:endParaRPr>
          </a:p>
        </xdr:txBody>
      </xdr:sp>
    </xdr:grpSp>
    <xdr:clientData fLocksWithSheet="0"/>
  </xdr:oneCellAnchor>
  <xdr:oneCellAnchor>
    <xdr:from>
      <xdr:col>0</xdr:col>
      <xdr:colOff>28575</xdr:colOff>
      <xdr:row>16</xdr:row>
      <xdr:rowOff>85725</xdr:rowOff>
    </xdr:from>
    <xdr:ext cx="1171575" cy="361950"/>
    <xdr:grpSp>
      <xdr:nvGrpSpPr>
        <xdr:cNvPr id="2" name="Shape 2" title="Drawing"/>
        <xdr:cNvGrpSpPr/>
      </xdr:nvGrpSpPr>
      <xdr:grpSpPr>
        <a:xfrm>
          <a:off x="300200" y="360250"/>
          <a:ext cx="2942100" cy="890700"/>
          <a:chOff x="300200" y="360250"/>
          <a:chExt cx="2942100" cy="890700"/>
        </a:xfrm>
      </xdr:grpSpPr>
      <xdr:sp>
        <xdr:nvSpPr>
          <xdr:cNvPr id="15" name="Shape 15"/>
          <xdr:cNvSpPr/>
        </xdr:nvSpPr>
        <xdr:spPr>
          <a:xfrm>
            <a:off x="300200" y="360250"/>
            <a:ext cx="2942100" cy="890700"/>
          </a:xfrm>
          <a:prstGeom prst="roundRect">
            <a:avLst>
              <a:gd fmla="val 16667" name="adj"/>
            </a:avLst>
          </a:prstGeom>
          <a:solidFill>
            <a:srgbClr val="274E1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6" name="Shape 16"/>
          <xdr:cNvSpPr txBox="1"/>
        </xdr:nvSpPr>
        <xdr:spPr>
          <a:xfrm>
            <a:off x="950750" y="559300"/>
            <a:ext cx="1641000" cy="4926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2000">
                <a:solidFill>
                  <a:srgbClr val="D9EAD3"/>
                </a:solidFill>
                <a:latin typeface="Lexend"/>
                <a:ea typeface="Lexend"/>
                <a:cs typeface="Lexend"/>
                <a:sym typeface="Lexend"/>
              </a:rPr>
              <a:t>EXPENSES</a:t>
            </a:r>
            <a:endParaRPr sz="2000">
              <a:solidFill>
                <a:srgbClr val="D9EAD3"/>
              </a:solidFill>
              <a:latin typeface="Lexend"/>
              <a:ea typeface="Lexend"/>
              <a:cs typeface="Lexend"/>
              <a:sym typeface="Lexend"/>
            </a:endParaRPr>
          </a:p>
        </xdr:txBody>
      </xdr:sp>
    </xdr:grpSp>
    <xdr:clientData fLocksWithSheet="0"/>
  </xdr:oneCellAnchor>
  <xdr:oneCellAnchor>
    <xdr:from>
      <xdr:col>0</xdr:col>
      <xdr:colOff>28575</xdr:colOff>
      <xdr:row>9</xdr:row>
      <xdr:rowOff>133350</xdr:rowOff>
    </xdr:from>
    <xdr:ext cx="1171575" cy="361950"/>
    <xdr:grpSp>
      <xdr:nvGrpSpPr>
        <xdr:cNvPr id="2" name="Shape 2" title="Drawing"/>
        <xdr:cNvGrpSpPr/>
      </xdr:nvGrpSpPr>
      <xdr:grpSpPr>
        <a:xfrm>
          <a:off x="350250" y="360250"/>
          <a:ext cx="2892000" cy="900600"/>
          <a:chOff x="350250" y="360250"/>
          <a:chExt cx="2892000" cy="900600"/>
        </a:xfrm>
      </xdr:grpSpPr>
      <xdr:sp>
        <xdr:nvSpPr>
          <xdr:cNvPr id="17" name="Shape 17"/>
          <xdr:cNvSpPr/>
        </xdr:nvSpPr>
        <xdr:spPr>
          <a:xfrm>
            <a:off x="350250" y="360250"/>
            <a:ext cx="2892000" cy="900600"/>
          </a:xfrm>
          <a:prstGeom prst="roundRect">
            <a:avLst>
              <a:gd fmla="val 16667" name="adj"/>
            </a:avLst>
          </a:prstGeom>
          <a:solidFill>
            <a:srgbClr val="274E1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8" name="Shape 18"/>
          <xdr:cNvSpPr txBox="1"/>
        </xdr:nvSpPr>
        <xdr:spPr>
          <a:xfrm>
            <a:off x="1000650" y="564250"/>
            <a:ext cx="1591200" cy="4926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2000">
                <a:solidFill>
                  <a:srgbClr val="D9EAD3"/>
                </a:solidFill>
                <a:latin typeface="Lexend"/>
                <a:ea typeface="Lexend"/>
                <a:cs typeface="Lexend"/>
                <a:sym typeface="Lexend"/>
              </a:rPr>
              <a:t>Selling Oil</a:t>
            </a:r>
            <a:endParaRPr sz="2000">
              <a:solidFill>
                <a:srgbClr val="D9EAD3"/>
              </a:solidFill>
              <a:latin typeface="Lexend"/>
              <a:ea typeface="Lexend"/>
              <a:cs typeface="Lexend"/>
              <a:sym typeface="Lexend"/>
            </a:endParaRPr>
          </a:p>
        </xdr:txBody>
      </xdr:sp>
    </xdr:grpSp>
    <xdr:clientData fLocksWithSheet="0"/>
  </xdr:oneCellAnchor>
  <xdr:oneCellAnchor>
    <xdr:from>
      <xdr:col>0</xdr:col>
      <xdr:colOff>28575</xdr:colOff>
      <xdr:row>18</xdr:row>
      <xdr:rowOff>133350</xdr:rowOff>
    </xdr:from>
    <xdr:ext cx="1171575" cy="361950"/>
    <xdr:grpSp>
      <xdr:nvGrpSpPr>
        <xdr:cNvPr id="2" name="Shape 2" title="Drawing"/>
        <xdr:cNvGrpSpPr/>
      </xdr:nvGrpSpPr>
      <xdr:grpSpPr>
        <a:xfrm>
          <a:off x="340250" y="350250"/>
          <a:ext cx="2521800" cy="910500"/>
          <a:chOff x="340250" y="350250"/>
          <a:chExt cx="2521800" cy="910500"/>
        </a:xfrm>
      </xdr:grpSpPr>
      <xdr:sp>
        <xdr:nvSpPr>
          <xdr:cNvPr id="19" name="Shape 19"/>
          <xdr:cNvSpPr/>
        </xdr:nvSpPr>
        <xdr:spPr>
          <a:xfrm>
            <a:off x="340250" y="350250"/>
            <a:ext cx="2521800" cy="910500"/>
          </a:xfrm>
          <a:prstGeom prst="roundRect">
            <a:avLst>
              <a:gd fmla="val 16667" name="adj"/>
            </a:avLst>
          </a:prstGeom>
          <a:solidFill>
            <a:srgbClr val="274E13"/>
          </a:solidFill>
          <a:ln cap="flat" cmpd="sng" w="9525">
            <a:solidFill>
              <a:srgbClr val="38761D"/>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20" name="Shape 20"/>
          <xdr:cNvSpPr txBox="1"/>
        </xdr:nvSpPr>
        <xdr:spPr>
          <a:xfrm>
            <a:off x="625475" y="559200"/>
            <a:ext cx="1851300" cy="4926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2000">
                <a:solidFill>
                  <a:srgbClr val="D9EAD3"/>
                </a:solidFill>
                <a:latin typeface="Lexend"/>
                <a:ea typeface="Lexend"/>
                <a:cs typeface="Lexend"/>
                <a:sym typeface="Lexend"/>
              </a:rPr>
              <a:t>Report</a:t>
            </a:r>
            <a:endParaRPr sz="2000">
              <a:solidFill>
                <a:srgbClr val="D9EAD3"/>
              </a:solidFill>
              <a:latin typeface="Lexend"/>
              <a:ea typeface="Lexend"/>
              <a:cs typeface="Lexend"/>
              <a:sym typeface="Lexend"/>
            </a:endParaRPr>
          </a:p>
        </xdr:txBody>
      </xdr:sp>
    </xdr:grp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xdr:colOff>
      <xdr:row>0</xdr:row>
      <xdr:rowOff>352425</xdr:rowOff>
    </xdr:from>
    <xdr:ext cx="1171575" cy="361950"/>
    <xdr:grpSp>
      <xdr:nvGrpSpPr>
        <xdr:cNvPr id="2" name="Shape 2" title="Drawing"/>
        <xdr:cNvGrpSpPr/>
      </xdr:nvGrpSpPr>
      <xdr:grpSpPr>
        <a:xfrm>
          <a:off x="365475" y="359650"/>
          <a:ext cx="2879100" cy="902100"/>
          <a:chOff x="365475" y="359650"/>
          <a:chExt cx="2879100" cy="902100"/>
        </a:xfrm>
      </xdr:grpSpPr>
      <xdr:sp>
        <xdr:nvSpPr>
          <xdr:cNvPr id="3" name="Shape 3"/>
          <xdr:cNvSpPr/>
        </xdr:nvSpPr>
        <xdr:spPr>
          <a:xfrm>
            <a:off x="365475" y="359650"/>
            <a:ext cx="2879100" cy="902100"/>
          </a:xfrm>
          <a:prstGeom prst="roundRect">
            <a:avLst>
              <a:gd fmla="val 16667" name="adj"/>
            </a:avLst>
          </a:prstGeom>
          <a:solidFill>
            <a:srgbClr val="274E1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4" name="Shape 4"/>
          <xdr:cNvSpPr txBox="1"/>
        </xdr:nvSpPr>
        <xdr:spPr>
          <a:xfrm>
            <a:off x="739875" y="572200"/>
            <a:ext cx="2130300" cy="4770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1900">
                <a:solidFill>
                  <a:srgbClr val="D9EAD3"/>
                </a:solidFill>
                <a:latin typeface="Lexend"/>
                <a:ea typeface="Lexend"/>
                <a:cs typeface="Lexend"/>
                <a:sym typeface="Lexend"/>
              </a:rPr>
              <a:t>Transaction</a:t>
            </a:r>
            <a:endParaRPr sz="1900">
              <a:solidFill>
                <a:srgbClr val="D9EAD3"/>
              </a:solidFill>
              <a:latin typeface="Lexend"/>
              <a:ea typeface="Lexend"/>
              <a:cs typeface="Lexend"/>
              <a:sym typeface="Lexend"/>
            </a:endParaRPr>
          </a:p>
        </xdr:txBody>
      </xdr:sp>
    </xdr:grpSp>
    <xdr:clientData fLocksWithSheet="0"/>
  </xdr:oneCellAnchor>
  <xdr:oneCellAnchor>
    <xdr:from>
      <xdr:col>0</xdr:col>
      <xdr:colOff>28575</xdr:colOff>
      <xdr:row>3</xdr:row>
      <xdr:rowOff>19050</xdr:rowOff>
    </xdr:from>
    <xdr:ext cx="1171575" cy="361950"/>
    <xdr:grpSp>
      <xdr:nvGrpSpPr>
        <xdr:cNvPr id="2" name="Shape 2" title="Drawing"/>
        <xdr:cNvGrpSpPr/>
      </xdr:nvGrpSpPr>
      <xdr:grpSpPr>
        <a:xfrm>
          <a:off x="363125" y="359650"/>
          <a:ext cx="2881500" cy="912300"/>
          <a:chOff x="363125" y="359650"/>
          <a:chExt cx="2881500" cy="912300"/>
        </a:xfrm>
      </xdr:grpSpPr>
      <xdr:sp>
        <xdr:nvSpPr>
          <xdr:cNvPr id="5" name="Shape 5"/>
          <xdr:cNvSpPr/>
        </xdr:nvSpPr>
        <xdr:spPr>
          <a:xfrm>
            <a:off x="363125" y="359650"/>
            <a:ext cx="2881500" cy="912300"/>
          </a:xfrm>
          <a:prstGeom prst="roundRect">
            <a:avLst>
              <a:gd fmla="val 16667" name="adj"/>
            </a:avLst>
          </a:prstGeom>
          <a:solidFill>
            <a:srgbClr val="274E1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6" name="Shape 6"/>
          <xdr:cNvSpPr txBox="1"/>
        </xdr:nvSpPr>
        <xdr:spPr>
          <a:xfrm>
            <a:off x="572973" y="569500"/>
            <a:ext cx="2461800" cy="4926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2000">
                <a:solidFill>
                  <a:srgbClr val="D9EAD3"/>
                </a:solidFill>
                <a:latin typeface="Lexend"/>
                <a:ea typeface="Lexend"/>
                <a:cs typeface="Lexend"/>
                <a:sym typeface="Lexend"/>
              </a:rPr>
              <a:t>Database</a:t>
            </a:r>
            <a:endParaRPr sz="2000">
              <a:solidFill>
                <a:srgbClr val="D9EAD3"/>
              </a:solidFill>
              <a:latin typeface="Lexend"/>
              <a:ea typeface="Lexend"/>
              <a:cs typeface="Lexend"/>
              <a:sym typeface="Lexend"/>
            </a:endParaRPr>
          </a:p>
        </xdr:txBody>
      </xdr:sp>
    </xdr:grpSp>
    <xdr:clientData fLocksWithSheet="0"/>
  </xdr:oneCellAnchor>
  <xdr:oneCellAnchor>
    <xdr:from>
      <xdr:col>0</xdr:col>
      <xdr:colOff>28575</xdr:colOff>
      <xdr:row>5</xdr:row>
      <xdr:rowOff>38100</xdr:rowOff>
    </xdr:from>
    <xdr:ext cx="1171575" cy="361950"/>
    <xdr:grpSp>
      <xdr:nvGrpSpPr>
        <xdr:cNvPr id="2" name="Shape 2" title="Drawing"/>
        <xdr:cNvGrpSpPr/>
      </xdr:nvGrpSpPr>
      <xdr:grpSpPr>
        <a:xfrm>
          <a:off x="365475" y="359650"/>
          <a:ext cx="2871300" cy="905100"/>
          <a:chOff x="365475" y="359650"/>
          <a:chExt cx="2871300" cy="905100"/>
        </a:xfrm>
      </xdr:grpSpPr>
      <xdr:sp>
        <xdr:nvSpPr>
          <xdr:cNvPr id="7" name="Shape 7"/>
          <xdr:cNvSpPr/>
        </xdr:nvSpPr>
        <xdr:spPr>
          <a:xfrm>
            <a:off x="365475" y="359650"/>
            <a:ext cx="2871300" cy="905100"/>
          </a:xfrm>
          <a:prstGeom prst="roundRect">
            <a:avLst>
              <a:gd fmla="val 16667" name="adj"/>
            </a:avLst>
          </a:prstGeom>
          <a:solidFill>
            <a:srgbClr val="274E1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8" name="Shape 8"/>
          <xdr:cNvSpPr txBox="1"/>
        </xdr:nvSpPr>
        <xdr:spPr>
          <a:xfrm>
            <a:off x="847276" y="565900"/>
            <a:ext cx="1915500" cy="4926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2000">
                <a:solidFill>
                  <a:srgbClr val="D9EAD3"/>
                </a:solidFill>
                <a:latin typeface="Lexend"/>
                <a:ea typeface="Lexend"/>
                <a:cs typeface="Lexend"/>
                <a:sym typeface="Lexend"/>
              </a:rPr>
              <a:t>Selling</a:t>
            </a:r>
            <a:r>
              <a:rPr lang="en-US" sz="2000">
                <a:solidFill>
                  <a:srgbClr val="D9EAD3"/>
                </a:solidFill>
                <a:latin typeface="Lexend"/>
                <a:ea typeface="Lexend"/>
                <a:cs typeface="Lexend"/>
                <a:sym typeface="Lexend"/>
              </a:rPr>
              <a:t> Cash</a:t>
            </a:r>
            <a:endParaRPr sz="2000">
              <a:solidFill>
                <a:srgbClr val="D9EAD3"/>
              </a:solidFill>
              <a:latin typeface="Lexend"/>
              <a:ea typeface="Lexend"/>
              <a:cs typeface="Lexend"/>
              <a:sym typeface="Lexend"/>
            </a:endParaRPr>
          </a:p>
        </xdr:txBody>
      </xdr:sp>
    </xdr:grpSp>
    <xdr:clientData fLocksWithSheet="0"/>
  </xdr:oneCellAnchor>
  <xdr:oneCellAnchor>
    <xdr:from>
      <xdr:col>0</xdr:col>
      <xdr:colOff>28575</xdr:colOff>
      <xdr:row>7</xdr:row>
      <xdr:rowOff>85725</xdr:rowOff>
    </xdr:from>
    <xdr:ext cx="1171575" cy="361950"/>
    <xdr:grpSp>
      <xdr:nvGrpSpPr>
        <xdr:cNvPr id="2" name="Shape 2" title="Drawing"/>
        <xdr:cNvGrpSpPr/>
      </xdr:nvGrpSpPr>
      <xdr:grpSpPr>
        <a:xfrm>
          <a:off x="360025" y="367450"/>
          <a:ext cx="2884500" cy="905100"/>
          <a:chOff x="360025" y="367450"/>
          <a:chExt cx="2884500" cy="905100"/>
        </a:xfrm>
      </xdr:grpSpPr>
      <xdr:sp>
        <xdr:nvSpPr>
          <xdr:cNvPr id="9" name="Shape 9"/>
          <xdr:cNvSpPr/>
        </xdr:nvSpPr>
        <xdr:spPr>
          <a:xfrm>
            <a:off x="360025" y="367450"/>
            <a:ext cx="2884500" cy="905100"/>
          </a:xfrm>
          <a:prstGeom prst="roundRect">
            <a:avLst>
              <a:gd fmla="val 16667" name="adj"/>
            </a:avLst>
          </a:prstGeom>
          <a:solidFill>
            <a:srgbClr val="274E1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0" name="Shape 10"/>
          <xdr:cNvSpPr txBox="1"/>
        </xdr:nvSpPr>
        <xdr:spPr>
          <a:xfrm>
            <a:off x="800575" y="573700"/>
            <a:ext cx="2003400" cy="4926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2000">
                <a:solidFill>
                  <a:srgbClr val="D9EAD3"/>
                </a:solidFill>
                <a:latin typeface="Lexend"/>
                <a:ea typeface="Lexend"/>
                <a:cs typeface="Lexend"/>
                <a:sym typeface="Lexend"/>
              </a:rPr>
              <a:t>Selling Credit</a:t>
            </a:r>
            <a:endParaRPr sz="2000">
              <a:solidFill>
                <a:srgbClr val="D9EAD3"/>
              </a:solidFill>
              <a:latin typeface="Lexend"/>
              <a:ea typeface="Lexend"/>
              <a:cs typeface="Lexend"/>
              <a:sym typeface="Lexend"/>
            </a:endParaRPr>
          </a:p>
        </xdr:txBody>
      </xdr:sp>
    </xdr:grpSp>
    <xdr:clientData fLocksWithSheet="0"/>
  </xdr:oneCellAnchor>
  <xdr:oneCellAnchor>
    <xdr:from>
      <xdr:col>0</xdr:col>
      <xdr:colOff>28575</xdr:colOff>
      <xdr:row>11</xdr:row>
      <xdr:rowOff>180975</xdr:rowOff>
    </xdr:from>
    <xdr:ext cx="1171575" cy="361950"/>
    <xdr:grpSp>
      <xdr:nvGrpSpPr>
        <xdr:cNvPr id="2" name="Shape 2" title="Drawing"/>
        <xdr:cNvGrpSpPr/>
      </xdr:nvGrpSpPr>
      <xdr:grpSpPr>
        <a:xfrm>
          <a:off x="371625" y="370800"/>
          <a:ext cx="2874300" cy="863400"/>
          <a:chOff x="371625" y="370800"/>
          <a:chExt cx="2874300" cy="863400"/>
        </a:xfrm>
      </xdr:grpSpPr>
      <xdr:sp>
        <xdr:nvSpPr>
          <xdr:cNvPr id="11" name="Shape 11"/>
          <xdr:cNvSpPr/>
        </xdr:nvSpPr>
        <xdr:spPr>
          <a:xfrm>
            <a:off x="371625" y="370800"/>
            <a:ext cx="2874300" cy="863400"/>
          </a:xfrm>
          <a:prstGeom prst="roundRect">
            <a:avLst>
              <a:gd fmla="val 16667" name="adj"/>
            </a:avLst>
          </a:prstGeom>
          <a:solidFill>
            <a:srgbClr val="274E1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2" name="Shape 12"/>
          <xdr:cNvSpPr txBox="1"/>
        </xdr:nvSpPr>
        <xdr:spPr>
          <a:xfrm>
            <a:off x="804675" y="556200"/>
            <a:ext cx="2008200" cy="4926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2000">
                <a:solidFill>
                  <a:srgbClr val="D9EAD3"/>
                </a:solidFill>
                <a:latin typeface="Lexend"/>
                <a:ea typeface="Lexend"/>
                <a:cs typeface="Lexend"/>
                <a:sym typeface="Lexend"/>
              </a:rPr>
              <a:t>Puchase</a:t>
            </a:r>
            <a:endParaRPr sz="2000">
              <a:solidFill>
                <a:srgbClr val="D9EAD3"/>
              </a:solidFill>
              <a:latin typeface="Lexend"/>
              <a:ea typeface="Lexend"/>
              <a:cs typeface="Lexend"/>
              <a:sym typeface="Lexend"/>
            </a:endParaRPr>
          </a:p>
        </xdr:txBody>
      </xdr:sp>
    </xdr:grpSp>
    <xdr:clientData fLocksWithSheet="0"/>
  </xdr:oneCellAnchor>
  <xdr:oneCellAnchor>
    <xdr:from>
      <xdr:col>0</xdr:col>
      <xdr:colOff>28575</xdr:colOff>
      <xdr:row>14</xdr:row>
      <xdr:rowOff>38100</xdr:rowOff>
    </xdr:from>
    <xdr:ext cx="1171575" cy="361950"/>
    <xdr:grpSp>
      <xdr:nvGrpSpPr>
        <xdr:cNvPr id="2" name="Shape 2" title="Drawing"/>
        <xdr:cNvGrpSpPr/>
      </xdr:nvGrpSpPr>
      <xdr:grpSpPr>
        <a:xfrm>
          <a:off x="335200" y="360250"/>
          <a:ext cx="2942100" cy="910500"/>
          <a:chOff x="335200" y="360250"/>
          <a:chExt cx="2942100" cy="910500"/>
        </a:xfrm>
      </xdr:grpSpPr>
      <xdr:sp>
        <xdr:nvSpPr>
          <xdr:cNvPr id="13" name="Shape 13"/>
          <xdr:cNvSpPr/>
        </xdr:nvSpPr>
        <xdr:spPr>
          <a:xfrm>
            <a:off x="360250" y="360250"/>
            <a:ext cx="2892000" cy="910500"/>
          </a:xfrm>
          <a:prstGeom prst="roundRect">
            <a:avLst>
              <a:gd fmla="val 16667" name="adj"/>
            </a:avLst>
          </a:prstGeom>
          <a:solidFill>
            <a:srgbClr val="274E1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4" name="Shape 14"/>
          <xdr:cNvSpPr txBox="1"/>
        </xdr:nvSpPr>
        <xdr:spPr>
          <a:xfrm>
            <a:off x="335200" y="446050"/>
            <a:ext cx="2942100" cy="7389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1800">
                <a:solidFill>
                  <a:srgbClr val="D9EAD3"/>
                </a:solidFill>
                <a:latin typeface="Lexend"/>
                <a:ea typeface="Lexend"/>
                <a:cs typeface="Lexend"/>
                <a:sym typeface="Lexend"/>
              </a:rPr>
              <a:t>Payment of receivables via cashier</a:t>
            </a:r>
            <a:endParaRPr sz="1800">
              <a:solidFill>
                <a:srgbClr val="D9EAD3"/>
              </a:solidFill>
              <a:latin typeface="Lexend"/>
              <a:ea typeface="Lexend"/>
              <a:cs typeface="Lexend"/>
              <a:sym typeface="Lexend"/>
            </a:endParaRPr>
          </a:p>
        </xdr:txBody>
      </xdr:sp>
    </xdr:grpSp>
    <xdr:clientData fLocksWithSheet="0"/>
  </xdr:oneCellAnchor>
  <xdr:oneCellAnchor>
    <xdr:from>
      <xdr:col>0</xdr:col>
      <xdr:colOff>28575</xdr:colOff>
      <xdr:row>16</xdr:row>
      <xdr:rowOff>85725</xdr:rowOff>
    </xdr:from>
    <xdr:ext cx="1171575" cy="361950"/>
    <xdr:grpSp>
      <xdr:nvGrpSpPr>
        <xdr:cNvPr id="2" name="Shape 2" title="Drawing"/>
        <xdr:cNvGrpSpPr/>
      </xdr:nvGrpSpPr>
      <xdr:grpSpPr>
        <a:xfrm>
          <a:off x="300200" y="360250"/>
          <a:ext cx="2942100" cy="890700"/>
          <a:chOff x="300200" y="360250"/>
          <a:chExt cx="2942100" cy="890700"/>
        </a:xfrm>
      </xdr:grpSpPr>
      <xdr:sp>
        <xdr:nvSpPr>
          <xdr:cNvPr id="15" name="Shape 15"/>
          <xdr:cNvSpPr/>
        </xdr:nvSpPr>
        <xdr:spPr>
          <a:xfrm>
            <a:off x="300200" y="360250"/>
            <a:ext cx="2942100" cy="890700"/>
          </a:xfrm>
          <a:prstGeom prst="roundRect">
            <a:avLst>
              <a:gd fmla="val 16667" name="adj"/>
            </a:avLst>
          </a:prstGeom>
          <a:solidFill>
            <a:srgbClr val="274E1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6" name="Shape 16"/>
          <xdr:cNvSpPr txBox="1"/>
        </xdr:nvSpPr>
        <xdr:spPr>
          <a:xfrm>
            <a:off x="950750" y="559300"/>
            <a:ext cx="1641000" cy="4926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2000">
                <a:solidFill>
                  <a:srgbClr val="D9EAD3"/>
                </a:solidFill>
                <a:latin typeface="Lexend"/>
                <a:ea typeface="Lexend"/>
                <a:cs typeface="Lexend"/>
                <a:sym typeface="Lexend"/>
              </a:rPr>
              <a:t>EXPENSES</a:t>
            </a:r>
            <a:endParaRPr sz="2000">
              <a:solidFill>
                <a:srgbClr val="D9EAD3"/>
              </a:solidFill>
              <a:latin typeface="Lexend"/>
              <a:ea typeface="Lexend"/>
              <a:cs typeface="Lexend"/>
              <a:sym typeface="Lexend"/>
            </a:endParaRPr>
          </a:p>
        </xdr:txBody>
      </xdr:sp>
    </xdr:grpSp>
    <xdr:clientData fLocksWithSheet="0"/>
  </xdr:oneCellAnchor>
  <xdr:oneCellAnchor>
    <xdr:from>
      <xdr:col>0</xdr:col>
      <xdr:colOff>28575</xdr:colOff>
      <xdr:row>9</xdr:row>
      <xdr:rowOff>133350</xdr:rowOff>
    </xdr:from>
    <xdr:ext cx="1171575" cy="361950"/>
    <xdr:grpSp>
      <xdr:nvGrpSpPr>
        <xdr:cNvPr id="2" name="Shape 2" title="Drawing"/>
        <xdr:cNvGrpSpPr/>
      </xdr:nvGrpSpPr>
      <xdr:grpSpPr>
        <a:xfrm>
          <a:off x="350250" y="360250"/>
          <a:ext cx="2892000" cy="900600"/>
          <a:chOff x="350250" y="360250"/>
          <a:chExt cx="2892000" cy="900600"/>
        </a:xfrm>
      </xdr:grpSpPr>
      <xdr:sp>
        <xdr:nvSpPr>
          <xdr:cNvPr id="17" name="Shape 17"/>
          <xdr:cNvSpPr/>
        </xdr:nvSpPr>
        <xdr:spPr>
          <a:xfrm>
            <a:off x="350250" y="360250"/>
            <a:ext cx="2892000" cy="900600"/>
          </a:xfrm>
          <a:prstGeom prst="roundRect">
            <a:avLst>
              <a:gd fmla="val 16667" name="adj"/>
            </a:avLst>
          </a:prstGeom>
          <a:solidFill>
            <a:srgbClr val="274E1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8" name="Shape 18"/>
          <xdr:cNvSpPr txBox="1"/>
        </xdr:nvSpPr>
        <xdr:spPr>
          <a:xfrm>
            <a:off x="1000650" y="564250"/>
            <a:ext cx="1591200" cy="4926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2000">
                <a:solidFill>
                  <a:srgbClr val="D9EAD3"/>
                </a:solidFill>
                <a:latin typeface="Lexend"/>
                <a:ea typeface="Lexend"/>
                <a:cs typeface="Lexend"/>
                <a:sym typeface="Lexend"/>
              </a:rPr>
              <a:t>Selling Oil</a:t>
            </a:r>
            <a:endParaRPr sz="2000">
              <a:solidFill>
                <a:srgbClr val="D9EAD3"/>
              </a:solidFill>
              <a:latin typeface="Lexend"/>
              <a:ea typeface="Lexend"/>
              <a:cs typeface="Lexend"/>
              <a:sym typeface="Lexend"/>
            </a:endParaRPr>
          </a:p>
        </xdr:txBody>
      </xdr:sp>
    </xdr:grpSp>
    <xdr:clientData fLocksWithSheet="0"/>
  </xdr:oneCellAnchor>
  <xdr:oneCellAnchor>
    <xdr:from>
      <xdr:col>0</xdr:col>
      <xdr:colOff>28575</xdr:colOff>
      <xdr:row>18</xdr:row>
      <xdr:rowOff>133350</xdr:rowOff>
    </xdr:from>
    <xdr:ext cx="1171575" cy="361950"/>
    <xdr:grpSp>
      <xdr:nvGrpSpPr>
        <xdr:cNvPr id="2" name="Shape 2" title="Drawing"/>
        <xdr:cNvGrpSpPr/>
      </xdr:nvGrpSpPr>
      <xdr:grpSpPr>
        <a:xfrm>
          <a:off x="340250" y="350250"/>
          <a:ext cx="2521800" cy="910500"/>
          <a:chOff x="340250" y="350250"/>
          <a:chExt cx="2521800" cy="910500"/>
        </a:xfrm>
      </xdr:grpSpPr>
      <xdr:sp>
        <xdr:nvSpPr>
          <xdr:cNvPr id="19" name="Shape 19"/>
          <xdr:cNvSpPr/>
        </xdr:nvSpPr>
        <xdr:spPr>
          <a:xfrm>
            <a:off x="340250" y="350250"/>
            <a:ext cx="2521800" cy="910500"/>
          </a:xfrm>
          <a:prstGeom prst="roundRect">
            <a:avLst>
              <a:gd fmla="val 16667" name="adj"/>
            </a:avLst>
          </a:prstGeom>
          <a:solidFill>
            <a:srgbClr val="274E13"/>
          </a:solidFill>
          <a:ln cap="flat" cmpd="sng" w="9525">
            <a:solidFill>
              <a:srgbClr val="38761D"/>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20" name="Shape 20"/>
          <xdr:cNvSpPr txBox="1"/>
        </xdr:nvSpPr>
        <xdr:spPr>
          <a:xfrm>
            <a:off x="625475" y="559200"/>
            <a:ext cx="1851300" cy="4926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2000">
                <a:solidFill>
                  <a:srgbClr val="D9EAD3"/>
                </a:solidFill>
                <a:latin typeface="Lexend"/>
                <a:ea typeface="Lexend"/>
                <a:cs typeface="Lexend"/>
                <a:sym typeface="Lexend"/>
              </a:rPr>
              <a:t>Report</a:t>
            </a:r>
            <a:endParaRPr sz="2000">
              <a:solidFill>
                <a:srgbClr val="D9EAD3"/>
              </a:solidFill>
              <a:latin typeface="Lexend"/>
              <a:ea typeface="Lexend"/>
              <a:cs typeface="Lexend"/>
              <a:sym typeface="Lexend"/>
            </a:endParaRPr>
          </a:p>
        </xdr:txBody>
      </xdr:sp>
    </xdr:grpSp>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400050</xdr:rowOff>
    </xdr:from>
    <xdr:ext cx="1171575" cy="361950"/>
    <xdr:grpSp>
      <xdr:nvGrpSpPr>
        <xdr:cNvPr id="2" name="Shape 2" title="Drawing"/>
        <xdr:cNvGrpSpPr/>
      </xdr:nvGrpSpPr>
      <xdr:grpSpPr>
        <a:xfrm>
          <a:off x="365475" y="359650"/>
          <a:ext cx="2879100" cy="902100"/>
          <a:chOff x="365475" y="359650"/>
          <a:chExt cx="2879100" cy="902100"/>
        </a:xfrm>
      </xdr:grpSpPr>
      <xdr:sp>
        <xdr:nvSpPr>
          <xdr:cNvPr id="3" name="Shape 3"/>
          <xdr:cNvSpPr/>
        </xdr:nvSpPr>
        <xdr:spPr>
          <a:xfrm>
            <a:off x="365475" y="359650"/>
            <a:ext cx="2879100" cy="902100"/>
          </a:xfrm>
          <a:prstGeom prst="roundRect">
            <a:avLst>
              <a:gd fmla="val 16667" name="adj"/>
            </a:avLst>
          </a:prstGeom>
          <a:solidFill>
            <a:srgbClr val="274E1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4" name="Shape 4"/>
          <xdr:cNvSpPr txBox="1"/>
        </xdr:nvSpPr>
        <xdr:spPr>
          <a:xfrm>
            <a:off x="739875" y="572200"/>
            <a:ext cx="2130300" cy="4770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1900">
                <a:solidFill>
                  <a:srgbClr val="D9EAD3"/>
                </a:solidFill>
                <a:latin typeface="Lexend"/>
                <a:ea typeface="Lexend"/>
                <a:cs typeface="Lexend"/>
                <a:sym typeface="Lexend"/>
              </a:rPr>
              <a:t>Transaction</a:t>
            </a:r>
            <a:endParaRPr sz="1900">
              <a:solidFill>
                <a:srgbClr val="D9EAD3"/>
              </a:solidFill>
              <a:latin typeface="Lexend"/>
              <a:ea typeface="Lexend"/>
              <a:cs typeface="Lexend"/>
              <a:sym typeface="Lexend"/>
            </a:endParaRPr>
          </a:p>
        </xdr:txBody>
      </xdr:sp>
    </xdr:grpSp>
    <xdr:clientData fLocksWithSheet="0"/>
  </xdr:oneCellAnchor>
  <xdr:oneCellAnchor>
    <xdr:from>
      <xdr:col>0</xdr:col>
      <xdr:colOff>28575</xdr:colOff>
      <xdr:row>3</xdr:row>
      <xdr:rowOff>19050</xdr:rowOff>
    </xdr:from>
    <xdr:ext cx="1171575" cy="361950"/>
    <xdr:grpSp>
      <xdr:nvGrpSpPr>
        <xdr:cNvPr id="2" name="Shape 2" title="Drawing"/>
        <xdr:cNvGrpSpPr/>
      </xdr:nvGrpSpPr>
      <xdr:grpSpPr>
        <a:xfrm>
          <a:off x="363125" y="359650"/>
          <a:ext cx="2881500" cy="912300"/>
          <a:chOff x="363125" y="359650"/>
          <a:chExt cx="2881500" cy="912300"/>
        </a:xfrm>
      </xdr:grpSpPr>
      <xdr:sp>
        <xdr:nvSpPr>
          <xdr:cNvPr id="5" name="Shape 5"/>
          <xdr:cNvSpPr/>
        </xdr:nvSpPr>
        <xdr:spPr>
          <a:xfrm>
            <a:off x="363125" y="359650"/>
            <a:ext cx="2881500" cy="912300"/>
          </a:xfrm>
          <a:prstGeom prst="roundRect">
            <a:avLst>
              <a:gd fmla="val 16667" name="adj"/>
            </a:avLst>
          </a:prstGeom>
          <a:solidFill>
            <a:srgbClr val="274E1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6" name="Shape 6"/>
          <xdr:cNvSpPr txBox="1"/>
        </xdr:nvSpPr>
        <xdr:spPr>
          <a:xfrm>
            <a:off x="572973" y="569500"/>
            <a:ext cx="2461800" cy="4926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2000">
                <a:solidFill>
                  <a:srgbClr val="D9EAD3"/>
                </a:solidFill>
                <a:latin typeface="Lexend"/>
                <a:ea typeface="Lexend"/>
                <a:cs typeface="Lexend"/>
                <a:sym typeface="Lexend"/>
              </a:rPr>
              <a:t>Database</a:t>
            </a:r>
            <a:endParaRPr sz="2000">
              <a:solidFill>
                <a:srgbClr val="D9EAD3"/>
              </a:solidFill>
              <a:latin typeface="Lexend"/>
              <a:ea typeface="Lexend"/>
              <a:cs typeface="Lexend"/>
              <a:sym typeface="Lexend"/>
            </a:endParaRPr>
          </a:p>
        </xdr:txBody>
      </xdr:sp>
    </xdr:grpSp>
    <xdr:clientData fLocksWithSheet="0"/>
  </xdr:oneCellAnchor>
  <xdr:oneCellAnchor>
    <xdr:from>
      <xdr:col>0</xdr:col>
      <xdr:colOff>28575</xdr:colOff>
      <xdr:row>5</xdr:row>
      <xdr:rowOff>38100</xdr:rowOff>
    </xdr:from>
    <xdr:ext cx="1171575" cy="361950"/>
    <xdr:grpSp>
      <xdr:nvGrpSpPr>
        <xdr:cNvPr id="2" name="Shape 2" title="Drawing"/>
        <xdr:cNvGrpSpPr/>
      </xdr:nvGrpSpPr>
      <xdr:grpSpPr>
        <a:xfrm>
          <a:off x="365475" y="359650"/>
          <a:ext cx="2871300" cy="905100"/>
          <a:chOff x="365475" y="359650"/>
          <a:chExt cx="2871300" cy="905100"/>
        </a:xfrm>
      </xdr:grpSpPr>
      <xdr:sp>
        <xdr:nvSpPr>
          <xdr:cNvPr id="7" name="Shape 7"/>
          <xdr:cNvSpPr/>
        </xdr:nvSpPr>
        <xdr:spPr>
          <a:xfrm>
            <a:off x="365475" y="359650"/>
            <a:ext cx="2871300" cy="905100"/>
          </a:xfrm>
          <a:prstGeom prst="roundRect">
            <a:avLst>
              <a:gd fmla="val 16667" name="adj"/>
            </a:avLst>
          </a:prstGeom>
          <a:solidFill>
            <a:srgbClr val="274E1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8" name="Shape 8"/>
          <xdr:cNvSpPr txBox="1"/>
        </xdr:nvSpPr>
        <xdr:spPr>
          <a:xfrm>
            <a:off x="847276" y="565900"/>
            <a:ext cx="1915500" cy="4926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2000">
                <a:solidFill>
                  <a:srgbClr val="D9EAD3"/>
                </a:solidFill>
                <a:latin typeface="Lexend"/>
                <a:ea typeface="Lexend"/>
                <a:cs typeface="Lexend"/>
                <a:sym typeface="Lexend"/>
              </a:rPr>
              <a:t>Selling</a:t>
            </a:r>
            <a:r>
              <a:rPr lang="en-US" sz="2000">
                <a:solidFill>
                  <a:srgbClr val="D9EAD3"/>
                </a:solidFill>
                <a:latin typeface="Lexend"/>
                <a:ea typeface="Lexend"/>
                <a:cs typeface="Lexend"/>
                <a:sym typeface="Lexend"/>
              </a:rPr>
              <a:t> Cash</a:t>
            </a:r>
            <a:endParaRPr sz="2000">
              <a:solidFill>
                <a:srgbClr val="D9EAD3"/>
              </a:solidFill>
              <a:latin typeface="Lexend"/>
              <a:ea typeface="Lexend"/>
              <a:cs typeface="Lexend"/>
              <a:sym typeface="Lexend"/>
            </a:endParaRPr>
          </a:p>
        </xdr:txBody>
      </xdr:sp>
    </xdr:grpSp>
    <xdr:clientData fLocksWithSheet="0"/>
  </xdr:oneCellAnchor>
  <xdr:oneCellAnchor>
    <xdr:from>
      <xdr:col>0</xdr:col>
      <xdr:colOff>28575</xdr:colOff>
      <xdr:row>7</xdr:row>
      <xdr:rowOff>85725</xdr:rowOff>
    </xdr:from>
    <xdr:ext cx="1171575" cy="361950"/>
    <xdr:grpSp>
      <xdr:nvGrpSpPr>
        <xdr:cNvPr id="2" name="Shape 2" title="Drawing"/>
        <xdr:cNvGrpSpPr/>
      </xdr:nvGrpSpPr>
      <xdr:grpSpPr>
        <a:xfrm>
          <a:off x="360025" y="367450"/>
          <a:ext cx="2884500" cy="905100"/>
          <a:chOff x="360025" y="367450"/>
          <a:chExt cx="2884500" cy="905100"/>
        </a:xfrm>
      </xdr:grpSpPr>
      <xdr:sp>
        <xdr:nvSpPr>
          <xdr:cNvPr id="9" name="Shape 9"/>
          <xdr:cNvSpPr/>
        </xdr:nvSpPr>
        <xdr:spPr>
          <a:xfrm>
            <a:off x="360025" y="367450"/>
            <a:ext cx="2884500" cy="905100"/>
          </a:xfrm>
          <a:prstGeom prst="roundRect">
            <a:avLst>
              <a:gd fmla="val 16667" name="adj"/>
            </a:avLst>
          </a:prstGeom>
          <a:solidFill>
            <a:srgbClr val="274E1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0" name="Shape 10"/>
          <xdr:cNvSpPr txBox="1"/>
        </xdr:nvSpPr>
        <xdr:spPr>
          <a:xfrm>
            <a:off x="800575" y="573700"/>
            <a:ext cx="2003400" cy="4926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2000">
                <a:solidFill>
                  <a:srgbClr val="D9EAD3"/>
                </a:solidFill>
                <a:latin typeface="Lexend"/>
                <a:ea typeface="Lexend"/>
                <a:cs typeface="Lexend"/>
                <a:sym typeface="Lexend"/>
              </a:rPr>
              <a:t>Selling Credit</a:t>
            </a:r>
            <a:endParaRPr sz="2000">
              <a:solidFill>
                <a:srgbClr val="D9EAD3"/>
              </a:solidFill>
              <a:latin typeface="Lexend"/>
              <a:ea typeface="Lexend"/>
              <a:cs typeface="Lexend"/>
              <a:sym typeface="Lexend"/>
            </a:endParaRPr>
          </a:p>
        </xdr:txBody>
      </xdr:sp>
    </xdr:grpSp>
    <xdr:clientData fLocksWithSheet="0"/>
  </xdr:oneCellAnchor>
  <xdr:oneCellAnchor>
    <xdr:from>
      <xdr:col>0</xdr:col>
      <xdr:colOff>28575</xdr:colOff>
      <xdr:row>11</xdr:row>
      <xdr:rowOff>180975</xdr:rowOff>
    </xdr:from>
    <xdr:ext cx="1171575" cy="361950"/>
    <xdr:grpSp>
      <xdr:nvGrpSpPr>
        <xdr:cNvPr id="2" name="Shape 2" title="Drawing"/>
        <xdr:cNvGrpSpPr/>
      </xdr:nvGrpSpPr>
      <xdr:grpSpPr>
        <a:xfrm>
          <a:off x="371625" y="370800"/>
          <a:ext cx="2874300" cy="863400"/>
          <a:chOff x="371625" y="370800"/>
          <a:chExt cx="2874300" cy="863400"/>
        </a:xfrm>
      </xdr:grpSpPr>
      <xdr:sp>
        <xdr:nvSpPr>
          <xdr:cNvPr id="11" name="Shape 11"/>
          <xdr:cNvSpPr/>
        </xdr:nvSpPr>
        <xdr:spPr>
          <a:xfrm>
            <a:off x="371625" y="370800"/>
            <a:ext cx="2874300" cy="863400"/>
          </a:xfrm>
          <a:prstGeom prst="roundRect">
            <a:avLst>
              <a:gd fmla="val 16667" name="adj"/>
            </a:avLst>
          </a:prstGeom>
          <a:solidFill>
            <a:srgbClr val="274E1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2" name="Shape 12"/>
          <xdr:cNvSpPr txBox="1"/>
        </xdr:nvSpPr>
        <xdr:spPr>
          <a:xfrm>
            <a:off x="804675" y="556200"/>
            <a:ext cx="2008200" cy="4926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2000">
                <a:solidFill>
                  <a:srgbClr val="D9EAD3"/>
                </a:solidFill>
                <a:latin typeface="Lexend"/>
                <a:ea typeface="Lexend"/>
                <a:cs typeface="Lexend"/>
                <a:sym typeface="Lexend"/>
              </a:rPr>
              <a:t>Puchase</a:t>
            </a:r>
            <a:endParaRPr sz="2000">
              <a:solidFill>
                <a:srgbClr val="D9EAD3"/>
              </a:solidFill>
              <a:latin typeface="Lexend"/>
              <a:ea typeface="Lexend"/>
              <a:cs typeface="Lexend"/>
              <a:sym typeface="Lexend"/>
            </a:endParaRPr>
          </a:p>
        </xdr:txBody>
      </xdr:sp>
    </xdr:grpSp>
    <xdr:clientData fLocksWithSheet="0"/>
  </xdr:oneCellAnchor>
  <xdr:oneCellAnchor>
    <xdr:from>
      <xdr:col>0</xdr:col>
      <xdr:colOff>28575</xdr:colOff>
      <xdr:row>14</xdr:row>
      <xdr:rowOff>38100</xdr:rowOff>
    </xdr:from>
    <xdr:ext cx="1171575" cy="361950"/>
    <xdr:grpSp>
      <xdr:nvGrpSpPr>
        <xdr:cNvPr id="2" name="Shape 2" title="Drawing"/>
        <xdr:cNvGrpSpPr/>
      </xdr:nvGrpSpPr>
      <xdr:grpSpPr>
        <a:xfrm>
          <a:off x="335200" y="360250"/>
          <a:ext cx="2942100" cy="910500"/>
          <a:chOff x="335200" y="360250"/>
          <a:chExt cx="2942100" cy="910500"/>
        </a:xfrm>
      </xdr:grpSpPr>
      <xdr:sp>
        <xdr:nvSpPr>
          <xdr:cNvPr id="13" name="Shape 13"/>
          <xdr:cNvSpPr/>
        </xdr:nvSpPr>
        <xdr:spPr>
          <a:xfrm>
            <a:off x="360250" y="360250"/>
            <a:ext cx="2892000" cy="910500"/>
          </a:xfrm>
          <a:prstGeom prst="roundRect">
            <a:avLst>
              <a:gd fmla="val 16667" name="adj"/>
            </a:avLst>
          </a:prstGeom>
          <a:solidFill>
            <a:srgbClr val="274E1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4" name="Shape 14"/>
          <xdr:cNvSpPr txBox="1"/>
        </xdr:nvSpPr>
        <xdr:spPr>
          <a:xfrm>
            <a:off x="335200" y="446050"/>
            <a:ext cx="2942100" cy="7389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1800">
                <a:solidFill>
                  <a:srgbClr val="D9EAD3"/>
                </a:solidFill>
                <a:latin typeface="Lexend"/>
                <a:ea typeface="Lexend"/>
                <a:cs typeface="Lexend"/>
                <a:sym typeface="Lexend"/>
              </a:rPr>
              <a:t>Payment of receivables via cashier</a:t>
            </a:r>
            <a:endParaRPr sz="1800">
              <a:solidFill>
                <a:srgbClr val="D9EAD3"/>
              </a:solidFill>
              <a:latin typeface="Lexend"/>
              <a:ea typeface="Lexend"/>
              <a:cs typeface="Lexend"/>
              <a:sym typeface="Lexend"/>
            </a:endParaRPr>
          </a:p>
        </xdr:txBody>
      </xdr:sp>
    </xdr:grpSp>
    <xdr:clientData fLocksWithSheet="0"/>
  </xdr:oneCellAnchor>
  <xdr:oneCellAnchor>
    <xdr:from>
      <xdr:col>0</xdr:col>
      <xdr:colOff>28575</xdr:colOff>
      <xdr:row>16</xdr:row>
      <xdr:rowOff>85725</xdr:rowOff>
    </xdr:from>
    <xdr:ext cx="1171575" cy="361950"/>
    <xdr:grpSp>
      <xdr:nvGrpSpPr>
        <xdr:cNvPr id="2" name="Shape 2" title="Drawing"/>
        <xdr:cNvGrpSpPr/>
      </xdr:nvGrpSpPr>
      <xdr:grpSpPr>
        <a:xfrm>
          <a:off x="300200" y="360250"/>
          <a:ext cx="2942100" cy="890700"/>
          <a:chOff x="300200" y="360250"/>
          <a:chExt cx="2942100" cy="890700"/>
        </a:xfrm>
      </xdr:grpSpPr>
      <xdr:sp>
        <xdr:nvSpPr>
          <xdr:cNvPr id="15" name="Shape 15"/>
          <xdr:cNvSpPr/>
        </xdr:nvSpPr>
        <xdr:spPr>
          <a:xfrm>
            <a:off x="300200" y="360250"/>
            <a:ext cx="2942100" cy="890700"/>
          </a:xfrm>
          <a:prstGeom prst="roundRect">
            <a:avLst>
              <a:gd fmla="val 16667" name="adj"/>
            </a:avLst>
          </a:prstGeom>
          <a:solidFill>
            <a:srgbClr val="274E1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6" name="Shape 16"/>
          <xdr:cNvSpPr txBox="1"/>
        </xdr:nvSpPr>
        <xdr:spPr>
          <a:xfrm>
            <a:off x="950750" y="559300"/>
            <a:ext cx="1641000" cy="4926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2000">
                <a:solidFill>
                  <a:srgbClr val="D9EAD3"/>
                </a:solidFill>
                <a:latin typeface="Lexend"/>
                <a:ea typeface="Lexend"/>
                <a:cs typeface="Lexend"/>
                <a:sym typeface="Lexend"/>
              </a:rPr>
              <a:t>EXPENSES</a:t>
            </a:r>
            <a:endParaRPr sz="2000">
              <a:solidFill>
                <a:srgbClr val="D9EAD3"/>
              </a:solidFill>
              <a:latin typeface="Lexend"/>
              <a:ea typeface="Lexend"/>
              <a:cs typeface="Lexend"/>
              <a:sym typeface="Lexend"/>
            </a:endParaRPr>
          </a:p>
        </xdr:txBody>
      </xdr:sp>
    </xdr:grpSp>
    <xdr:clientData fLocksWithSheet="0"/>
  </xdr:oneCellAnchor>
  <xdr:oneCellAnchor>
    <xdr:from>
      <xdr:col>0</xdr:col>
      <xdr:colOff>28575</xdr:colOff>
      <xdr:row>9</xdr:row>
      <xdr:rowOff>133350</xdr:rowOff>
    </xdr:from>
    <xdr:ext cx="1171575" cy="361950"/>
    <xdr:grpSp>
      <xdr:nvGrpSpPr>
        <xdr:cNvPr id="2" name="Shape 2" title="Drawing"/>
        <xdr:cNvGrpSpPr/>
      </xdr:nvGrpSpPr>
      <xdr:grpSpPr>
        <a:xfrm>
          <a:off x="350250" y="360250"/>
          <a:ext cx="2892000" cy="900600"/>
          <a:chOff x="350250" y="360250"/>
          <a:chExt cx="2892000" cy="900600"/>
        </a:xfrm>
      </xdr:grpSpPr>
      <xdr:sp>
        <xdr:nvSpPr>
          <xdr:cNvPr id="17" name="Shape 17"/>
          <xdr:cNvSpPr/>
        </xdr:nvSpPr>
        <xdr:spPr>
          <a:xfrm>
            <a:off x="350250" y="360250"/>
            <a:ext cx="2892000" cy="900600"/>
          </a:xfrm>
          <a:prstGeom prst="roundRect">
            <a:avLst>
              <a:gd fmla="val 16667" name="adj"/>
            </a:avLst>
          </a:prstGeom>
          <a:solidFill>
            <a:srgbClr val="274E1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8" name="Shape 18"/>
          <xdr:cNvSpPr txBox="1"/>
        </xdr:nvSpPr>
        <xdr:spPr>
          <a:xfrm>
            <a:off x="1000650" y="564250"/>
            <a:ext cx="1591200" cy="4926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2000">
                <a:solidFill>
                  <a:srgbClr val="D9EAD3"/>
                </a:solidFill>
                <a:latin typeface="Lexend"/>
                <a:ea typeface="Lexend"/>
                <a:cs typeface="Lexend"/>
                <a:sym typeface="Lexend"/>
              </a:rPr>
              <a:t>Selling Oil</a:t>
            </a:r>
            <a:endParaRPr sz="2000">
              <a:solidFill>
                <a:srgbClr val="D9EAD3"/>
              </a:solidFill>
              <a:latin typeface="Lexend"/>
              <a:ea typeface="Lexend"/>
              <a:cs typeface="Lexend"/>
              <a:sym typeface="Lexend"/>
            </a:endParaRPr>
          </a:p>
        </xdr:txBody>
      </xdr:sp>
    </xdr:grpSp>
    <xdr:clientData fLocksWithSheet="0"/>
  </xdr:oneCellAnchor>
  <xdr:oneCellAnchor>
    <xdr:from>
      <xdr:col>0</xdr:col>
      <xdr:colOff>28575</xdr:colOff>
      <xdr:row>18</xdr:row>
      <xdr:rowOff>133350</xdr:rowOff>
    </xdr:from>
    <xdr:ext cx="1171575" cy="361950"/>
    <xdr:grpSp>
      <xdr:nvGrpSpPr>
        <xdr:cNvPr id="2" name="Shape 2" title="Drawing"/>
        <xdr:cNvGrpSpPr/>
      </xdr:nvGrpSpPr>
      <xdr:grpSpPr>
        <a:xfrm>
          <a:off x="340250" y="350250"/>
          <a:ext cx="2521800" cy="910500"/>
          <a:chOff x="340250" y="350250"/>
          <a:chExt cx="2521800" cy="910500"/>
        </a:xfrm>
      </xdr:grpSpPr>
      <xdr:sp>
        <xdr:nvSpPr>
          <xdr:cNvPr id="19" name="Shape 19"/>
          <xdr:cNvSpPr/>
        </xdr:nvSpPr>
        <xdr:spPr>
          <a:xfrm>
            <a:off x="340250" y="350250"/>
            <a:ext cx="2521800" cy="910500"/>
          </a:xfrm>
          <a:prstGeom prst="roundRect">
            <a:avLst>
              <a:gd fmla="val 16667" name="adj"/>
            </a:avLst>
          </a:prstGeom>
          <a:solidFill>
            <a:srgbClr val="274E13"/>
          </a:solidFill>
          <a:ln cap="flat" cmpd="sng" w="9525">
            <a:solidFill>
              <a:srgbClr val="38761D"/>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20" name="Shape 20"/>
          <xdr:cNvSpPr txBox="1"/>
        </xdr:nvSpPr>
        <xdr:spPr>
          <a:xfrm>
            <a:off x="625475" y="559200"/>
            <a:ext cx="1851300" cy="4926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2000">
                <a:solidFill>
                  <a:srgbClr val="D9EAD3"/>
                </a:solidFill>
                <a:latin typeface="Lexend"/>
                <a:ea typeface="Lexend"/>
                <a:cs typeface="Lexend"/>
                <a:sym typeface="Lexend"/>
              </a:rPr>
              <a:t>Report</a:t>
            </a:r>
            <a:endParaRPr sz="2000">
              <a:solidFill>
                <a:srgbClr val="D9EAD3"/>
              </a:solidFill>
              <a:latin typeface="Lexend"/>
              <a:ea typeface="Lexend"/>
              <a:cs typeface="Lexend"/>
              <a:sym typeface="Lexend"/>
            </a:endParaRPr>
          </a:p>
        </xdr:txBody>
      </xdr:sp>
    </xdr:grpSp>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xdr:colOff>
      <xdr:row>2</xdr:row>
      <xdr:rowOff>228600</xdr:rowOff>
    </xdr:from>
    <xdr:ext cx="1171575" cy="361950"/>
    <xdr:grpSp>
      <xdr:nvGrpSpPr>
        <xdr:cNvPr id="2" name="Shape 2" title="Drawing"/>
        <xdr:cNvGrpSpPr/>
      </xdr:nvGrpSpPr>
      <xdr:grpSpPr>
        <a:xfrm>
          <a:off x="365475" y="359650"/>
          <a:ext cx="2879100" cy="902100"/>
          <a:chOff x="365475" y="359650"/>
          <a:chExt cx="2879100" cy="902100"/>
        </a:xfrm>
      </xdr:grpSpPr>
      <xdr:sp>
        <xdr:nvSpPr>
          <xdr:cNvPr id="3" name="Shape 3"/>
          <xdr:cNvSpPr/>
        </xdr:nvSpPr>
        <xdr:spPr>
          <a:xfrm>
            <a:off x="365475" y="359650"/>
            <a:ext cx="2879100" cy="902100"/>
          </a:xfrm>
          <a:prstGeom prst="roundRect">
            <a:avLst>
              <a:gd fmla="val 16667" name="adj"/>
            </a:avLst>
          </a:prstGeom>
          <a:solidFill>
            <a:srgbClr val="274E1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4" name="Shape 4"/>
          <xdr:cNvSpPr txBox="1"/>
        </xdr:nvSpPr>
        <xdr:spPr>
          <a:xfrm>
            <a:off x="739875" y="572200"/>
            <a:ext cx="2130300" cy="4770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1900">
                <a:solidFill>
                  <a:srgbClr val="D9EAD3"/>
                </a:solidFill>
                <a:latin typeface="Lexend"/>
                <a:ea typeface="Lexend"/>
                <a:cs typeface="Lexend"/>
                <a:sym typeface="Lexend"/>
              </a:rPr>
              <a:t>Transaction</a:t>
            </a:r>
            <a:endParaRPr sz="1900">
              <a:solidFill>
                <a:srgbClr val="D9EAD3"/>
              </a:solidFill>
              <a:latin typeface="Lexend"/>
              <a:ea typeface="Lexend"/>
              <a:cs typeface="Lexend"/>
              <a:sym typeface="Lexend"/>
            </a:endParaRPr>
          </a:p>
        </xdr:txBody>
      </xdr:sp>
    </xdr:grpSp>
    <xdr:clientData fLocksWithSheet="0"/>
  </xdr:oneCellAnchor>
  <xdr:oneCellAnchor>
    <xdr:from>
      <xdr:col>0</xdr:col>
      <xdr:colOff>28575</xdr:colOff>
      <xdr:row>4</xdr:row>
      <xdr:rowOff>66675</xdr:rowOff>
    </xdr:from>
    <xdr:ext cx="1171575" cy="361950"/>
    <xdr:grpSp>
      <xdr:nvGrpSpPr>
        <xdr:cNvPr id="2" name="Shape 2" title="Drawing"/>
        <xdr:cNvGrpSpPr/>
      </xdr:nvGrpSpPr>
      <xdr:grpSpPr>
        <a:xfrm>
          <a:off x="363125" y="359650"/>
          <a:ext cx="2881500" cy="912300"/>
          <a:chOff x="363125" y="359650"/>
          <a:chExt cx="2881500" cy="912300"/>
        </a:xfrm>
      </xdr:grpSpPr>
      <xdr:sp>
        <xdr:nvSpPr>
          <xdr:cNvPr id="5" name="Shape 5"/>
          <xdr:cNvSpPr/>
        </xdr:nvSpPr>
        <xdr:spPr>
          <a:xfrm>
            <a:off x="363125" y="359650"/>
            <a:ext cx="2881500" cy="912300"/>
          </a:xfrm>
          <a:prstGeom prst="roundRect">
            <a:avLst>
              <a:gd fmla="val 16667" name="adj"/>
            </a:avLst>
          </a:prstGeom>
          <a:solidFill>
            <a:srgbClr val="274E1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6" name="Shape 6"/>
          <xdr:cNvSpPr txBox="1"/>
        </xdr:nvSpPr>
        <xdr:spPr>
          <a:xfrm>
            <a:off x="572973" y="569500"/>
            <a:ext cx="2461800" cy="4926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2000">
                <a:solidFill>
                  <a:srgbClr val="D9EAD3"/>
                </a:solidFill>
                <a:latin typeface="Lexend"/>
                <a:ea typeface="Lexend"/>
                <a:cs typeface="Lexend"/>
                <a:sym typeface="Lexend"/>
              </a:rPr>
              <a:t>Database</a:t>
            </a:r>
            <a:endParaRPr sz="2000">
              <a:solidFill>
                <a:srgbClr val="D9EAD3"/>
              </a:solidFill>
              <a:latin typeface="Lexend"/>
              <a:ea typeface="Lexend"/>
              <a:cs typeface="Lexend"/>
              <a:sym typeface="Lexend"/>
            </a:endParaRPr>
          </a:p>
        </xdr:txBody>
      </xdr:sp>
    </xdr:grpSp>
    <xdr:clientData fLocksWithSheet="0"/>
  </xdr:oneCellAnchor>
  <xdr:oneCellAnchor>
    <xdr:from>
      <xdr:col>0</xdr:col>
      <xdr:colOff>28575</xdr:colOff>
      <xdr:row>7</xdr:row>
      <xdr:rowOff>66675</xdr:rowOff>
    </xdr:from>
    <xdr:ext cx="1171575" cy="361950"/>
    <xdr:grpSp>
      <xdr:nvGrpSpPr>
        <xdr:cNvPr id="2" name="Shape 2" title="Drawing"/>
        <xdr:cNvGrpSpPr/>
      </xdr:nvGrpSpPr>
      <xdr:grpSpPr>
        <a:xfrm>
          <a:off x="365475" y="359650"/>
          <a:ext cx="2871300" cy="905100"/>
          <a:chOff x="365475" y="359650"/>
          <a:chExt cx="2871300" cy="905100"/>
        </a:xfrm>
      </xdr:grpSpPr>
      <xdr:sp>
        <xdr:nvSpPr>
          <xdr:cNvPr id="7" name="Shape 7"/>
          <xdr:cNvSpPr/>
        </xdr:nvSpPr>
        <xdr:spPr>
          <a:xfrm>
            <a:off x="365475" y="359650"/>
            <a:ext cx="2871300" cy="905100"/>
          </a:xfrm>
          <a:prstGeom prst="roundRect">
            <a:avLst>
              <a:gd fmla="val 16667" name="adj"/>
            </a:avLst>
          </a:prstGeom>
          <a:solidFill>
            <a:srgbClr val="274E1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8" name="Shape 8"/>
          <xdr:cNvSpPr txBox="1"/>
        </xdr:nvSpPr>
        <xdr:spPr>
          <a:xfrm>
            <a:off x="847276" y="565900"/>
            <a:ext cx="1915500" cy="4926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2000">
                <a:solidFill>
                  <a:srgbClr val="D9EAD3"/>
                </a:solidFill>
                <a:latin typeface="Lexend"/>
                <a:ea typeface="Lexend"/>
                <a:cs typeface="Lexend"/>
                <a:sym typeface="Lexend"/>
              </a:rPr>
              <a:t>Selling</a:t>
            </a:r>
            <a:r>
              <a:rPr lang="en-US" sz="2000">
                <a:solidFill>
                  <a:srgbClr val="D9EAD3"/>
                </a:solidFill>
                <a:latin typeface="Lexend"/>
                <a:ea typeface="Lexend"/>
                <a:cs typeface="Lexend"/>
                <a:sym typeface="Lexend"/>
              </a:rPr>
              <a:t> Cash</a:t>
            </a:r>
            <a:endParaRPr sz="2000">
              <a:solidFill>
                <a:srgbClr val="D9EAD3"/>
              </a:solidFill>
              <a:latin typeface="Lexend"/>
              <a:ea typeface="Lexend"/>
              <a:cs typeface="Lexend"/>
              <a:sym typeface="Lexend"/>
            </a:endParaRPr>
          </a:p>
        </xdr:txBody>
      </xdr:sp>
    </xdr:grpSp>
    <xdr:clientData fLocksWithSheet="0"/>
  </xdr:oneCellAnchor>
  <xdr:oneCellAnchor>
    <xdr:from>
      <xdr:col>0</xdr:col>
      <xdr:colOff>28575</xdr:colOff>
      <xdr:row>10</xdr:row>
      <xdr:rowOff>28575</xdr:rowOff>
    </xdr:from>
    <xdr:ext cx="1171575" cy="361950"/>
    <xdr:grpSp>
      <xdr:nvGrpSpPr>
        <xdr:cNvPr id="2" name="Shape 2" title="Drawing"/>
        <xdr:cNvGrpSpPr/>
      </xdr:nvGrpSpPr>
      <xdr:grpSpPr>
        <a:xfrm>
          <a:off x="360025" y="367450"/>
          <a:ext cx="2884500" cy="905100"/>
          <a:chOff x="360025" y="367450"/>
          <a:chExt cx="2884500" cy="905100"/>
        </a:xfrm>
      </xdr:grpSpPr>
      <xdr:sp>
        <xdr:nvSpPr>
          <xdr:cNvPr id="9" name="Shape 9"/>
          <xdr:cNvSpPr/>
        </xdr:nvSpPr>
        <xdr:spPr>
          <a:xfrm>
            <a:off x="360025" y="367450"/>
            <a:ext cx="2884500" cy="905100"/>
          </a:xfrm>
          <a:prstGeom prst="roundRect">
            <a:avLst>
              <a:gd fmla="val 16667" name="adj"/>
            </a:avLst>
          </a:prstGeom>
          <a:solidFill>
            <a:srgbClr val="274E1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0" name="Shape 10"/>
          <xdr:cNvSpPr txBox="1"/>
        </xdr:nvSpPr>
        <xdr:spPr>
          <a:xfrm>
            <a:off x="800575" y="573700"/>
            <a:ext cx="2003400" cy="4926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2000">
                <a:solidFill>
                  <a:srgbClr val="D9EAD3"/>
                </a:solidFill>
                <a:latin typeface="Lexend"/>
                <a:ea typeface="Lexend"/>
                <a:cs typeface="Lexend"/>
                <a:sym typeface="Lexend"/>
              </a:rPr>
              <a:t>Selling Credit</a:t>
            </a:r>
            <a:endParaRPr sz="2000">
              <a:solidFill>
                <a:srgbClr val="D9EAD3"/>
              </a:solidFill>
              <a:latin typeface="Lexend"/>
              <a:ea typeface="Lexend"/>
              <a:cs typeface="Lexend"/>
              <a:sym typeface="Lexend"/>
            </a:endParaRPr>
          </a:p>
        </xdr:txBody>
      </xdr:sp>
    </xdr:grpSp>
    <xdr:clientData fLocksWithSheet="0"/>
  </xdr:oneCellAnchor>
  <xdr:oneCellAnchor>
    <xdr:from>
      <xdr:col>0</xdr:col>
      <xdr:colOff>28575</xdr:colOff>
      <xdr:row>17</xdr:row>
      <xdr:rowOff>152400</xdr:rowOff>
    </xdr:from>
    <xdr:ext cx="1171575" cy="361950"/>
    <xdr:grpSp>
      <xdr:nvGrpSpPr>
        <xdr:cNvPr id="2" name="Shape 2" title="Drawing"/>
        <xdr:cNvGrpSpPr/>
      </xdr:nvGrpSpPr>
      <xdr:grpSpPr>
        <a:xfrm>
          <a:off x="371625" y="370800"/>
          <a:ext cx="2874300" cy="863400"/>
          <a:chOff x="371625" y="370800"/>
          <a:chExt cx="2874300" cy="863400"/>
        </a:xfrm>
      </xdr:grpSpPr>
      <xdr:sp>
        <xdr:nvSpPr>
          <xdr:cNvPr id="11" name="Shape 11"/>
          <xdr:cNvSpPr/>
        </xdr:nvSpPr>
        <xdr:spPr>
          <a:xfrm>
            <a:off x="371625" y="370800"/>
            <a:ext cx="2874300" cy="863400"/>
          </a:xfrm>
          <a:prstGeom prst="roundRect">
            <a:avLst>
              <a:gd fmla="val 16667" name="adj"/>
            </a:avLst>
          </a:prstGeom>
          <a:solidFill>
            <a:srgbClr val="274E1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2" name="Shape 12"/>
          <xdr:cNvSpPr txBox="1"/>
        </xdr:nvSpPr>
        <xdr:spPr>
          <a:xfrm>
            <a:off x="804675" y="556200"/>
            <a:ext cx="2008200" cy="4926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2000">
                <a:solidFill>
                  <a:srgbClr val="D9EAD3"/>
                </a:solidFill>
                <a:latin typeface="Lexend"/>
                <a:ea typeface="Lexend"/>
                <a:cs typeface="Lexend"/>
                <a:sym typeface="Lexend"/>
              </a:rPr>
              <a:t>Puchase</a:t>
            </a:r>
            <a:endParaRPr sz="2000">
              <a:solidFill>
                <a:srgbClr val="D9EAD3"/>
              </a:solidFill>
              <a:latin typeface="Lexend"/>
              <a:ea typeface="Lexend"/>
              <a:cs typeface="Lexend"/>
              <a:sym typeface="Lexend"/>
            </a:endParaRPr>
          </a:p>
        </xdr:txBody>
      </xdr:sp>
    </xdr:grpSp>
    <xdr:clientData fLocksWithSheet="0"/>
  </xdr:oneCellAnchor>
  <xdr:oneCellAnchor>
    <xdr:from>
      <xdr:col>0</xdr:col>
      <xdr:colOff>28575</xdr:colOff>
      <xdr:row>21</xdr:row>
      <xdr:rowOff>114300</xdr:rowOff>
    </xdr:from>
    <xdr:ext cx="1171575" cy="361950"/>
    <xdr:grpSp>
      <xdr:nvGrpSpPr>
        <xdr:cNvPr id="2" name="Shape 2" title="Drawing"/>
        <xdr:cNvGrpSpPr/>
      </xdr:nvGrpSpPr>
      <xdr:grpSpPr>
        <a:xfrm>
          <a:off x="335200" y="360250"/>
          <a:ext cx="2942100" cy="910500"/>
          <a:chOff x="335200" y="360250"/>
          <a:chExt cx="2942100" cy="910500"/>
        </a:xfrm>
      </xdr:grpSpPr>
      <xdr:sp>
        <xdr:nvSpPr>
          <xdr:cNvPr id="13" name="Shape 13"/>
          <xdr:cNvSpPr/>
        </xdr:nvSpPr>
        <xdr:spPr>
          <a:xfrm>
            <a:off x="360250" y="360250"/>
            <a:ext cx="2892000" cy="910500"/>
          </a:xfrm>
          <a:prstGeom prst="roundRect">
            <a:avLst>
              <a:gd fmla="val 16667" name="adj"/>
            </a:avLst>
          </a:prstGeom>
          <a:solidFill>
            <a:srgbClr val="274E1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4" name="Shape 14"/>
          <xdr:cNvSpPr txBox="1"/>
        </xdr:nvSpPr>
        <xdr:spPr>
          <a:xfrm>
            <a:off x="335200" y="446050"/>
            <a:ext cx="2942100" cy="7389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1800">
                <a:solidFill>
                  <a:srgbClr val="D9EAD3"/>
                </a:solidFill>
                <a:latin typeface="Lexend"/>
                <a:ea typeface="Lexend"/>
                <a:cs typeface="Lexend"/>
                <a:sym typeface="Lexend"/>
              </a:rPr>
              <a:t>Payment of receivables via cashier</a:t>
            </a:r>
            <a:endParaRPr sz="1800">
              <a:solidFill>
                <a:srgbClr val="D9EAD3"/>
              </a:solidFill>
              <a:latin typeface="Lexend"/>
              <a:ea typeface="Lexend"/>
              <a:cs typeface="Lexend"/>
              <a:sym typeface="Lexend"/>
            </a:endParaRPr>
          </a:p>
        </xdr:txBody>
      </xdr:sp>
    </xdr:grpSp>
    <xdr:clientData fLocksWithSheet="0"/>
  </xdr:oneCellAnchor>
  <xdr:oneCellAnchor>
    <xdr:from>
      <xdr:col>0</xdr:col>
      <xdr:colOff>28575</xdr:colOff>
      <xdr:row>25</xdr:row>
      <xdr:rowOff>76200</xdr:rowOff>
    </xdr:from>
    <xdr:ext cx="1171575" cy="361950"/>
    <xdr:grpSp>
      <xdr:nvGrpSpPr>
        <xdr:cNvPr id="2" name="Shape 2" title="Drawing"/>
        <xdr:cNvGrpSpPr/>
      </xdr:nvGrpSpPr>
      <xdr:grpSpPr>
        <a:xfrm>
          <a:off x="300200" y="360250"/>
          <a:ext cx="2942100" cy="890700"/>
          <a:chOff x="300200" y="360250"/>
          <a:chExt cx="2942100" cy="890700"/>
        </a:xfrm>
      </xdr:grpSpPr>
      <xdr:sp>
        <xdr:nvSpPr>
          <xdr:cNvPr id="15" name="Shape 15"/>
          <xdr:cNvSpPr/>
        </xdr:nvSpPr>
        <xdr:spPr>
          <a:xfrm>
            <a:off x="300200" y="360250"/>
            <a:ext cx="2942100" cy="890700"/>
          </a:xfrm>
          <a:prstGeom prst="roundRect">
            <a:avLst>
              <a:gd fmla="val 16667" name="adj"/>
            </a:avLst>
          </a:prstGeom>
          <a:solidFill>
            <a:srgbClr val="274E1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6" name="Shape 16"/>
          <xdr:cNvSpPr txBox="1"/>
        </xdr:nvSpPr>
        <xdr:spPr>
          <a:xfrm>
            <a:off x="950750" y="559300"/>
            <a:ext cx="1641000" cy="4926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2000">
                <a:solidFill>
                  <a:srgbClr val="D9EAD3"/>
                </a:solidFill>
                <a:latin typeface="Lexend"/>
                <a:ea typeface="Lexend"/>
                <a:cs typeface="Lexend"/>
                <a:sym typeface="Lexend"/>
              </a:rPr>
              <a:t>EXPENSES</a:t>
            </a:r>
            <a:endParaRPr sz="2000">
              <a:solidFill>
                <a:srgbClr val="D9EAD3"/>
              </a:solidFill>
              <a:latin typeface="Lexend"/>
              <a:ea typeface="Lexend"/>
              <a:cs typeface="Lexend"/>
              <a:sym typeface="Lexend"/>
            </a:endParaRPr>
          </a:p>
        </xdr:txBody>
      </xdr:sp>
    </xdr:grpSp>
    <xdr:clientData fLocksWithSheet="0"/>
  </xdr:oneCellAnchor>
  <xdr:oneCellAnchor>
    <xdr:from>
      <xdr:col>0</xdr:col>
      <xdr:colOff>28575</xdr:colOff>
      <xdr:row>13</xdr:row>
      <xdr:rowOff>190500</xdr:rowOff>
    </xdr:from>
    <xdr:ext cx="1171575" cy="361950"/>
    <xdr:grpSp>
      <xdr:nvGrpSpPr>
        <xdr:cNvPr id="2" name="Shape 2" title="Drawing"/>
        <xdr:cNvGrpSpPr/>
      </xdr:nvGrpSpPr>
      <xdr:grpSpPr>
        <a:xfrm>
          <a:off x="350250" y="360250"/>
          <a:ext cx="2892000" cy="900600"/>
          <a:chOff x="350250" y="360250"/>
          <a:chExt cx="2892000" cy="900600"/>
        </a:xfrm>
      </xdr:grpSpPr>
      <xdr:sp>
        <xdr:nvSpPr>
          <xdr:cNvPr id="17" name="Shape 17"/>
          <xdr:cNvSpPr/>
        </xdr:nvSpPr>
        <xdr:spPr>
          <a:xfrm>
            <a:off x="350250" y="360250"/>
            <a:ext cx="2892000" cy="900600"/>
          </a:xfrm>
          <a:prstGeom prst="roundRect">
            <a:avLst>
              <a:gd fmla="val 16667" name="adj"/>
            </a:avLst>
          </a:prstGeom>
          <a:solidFill>
            <a:srgbClr val="274E1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8" name="Shape 18"/>
          <xdr:cNvSpPr txBox="1"/>
        </xdr:nvSpPr>
        <xdr:spPr>
          <a:xfrm>
            <a:off x="1000650" y="564250"/>
            <a:ext cx="1591200" cy="4926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2000">
                <a:solidFill>
                  <a:srgbClr val="D9EAD3"/>
                </a:solidFill>
                <a:latin typeface="Lexend"/>
                <a:ea typeface="Lexend"/>
                <a:cs typeface="Lexend"/>
                <a:sym typeface="Lexend"/>
              </a:rPr>
              <a:t>Selling Oil</a:t>
            </a:r>
            <a:endParaRPr sz="2000">
              <a:solidFill>
                <a:srgbClr val="D9EAD3"/>
              </a:solidFill>
              <a:latin typeface="Lexend"/>
              <a:ea typeface="Lexend"/>
              <a:cs typeface="Lexend"/>
              <a:sym typeface="Lexend"/>
            </a:endParaRPr>
          </a:p>
        </xdr:txBody>
      </xdr:sp>
    </xdr:grpSp>
    <xdr:clientData fLocksWithSheet="0"/>
  </xdr:oneCellAnchor>
  <xdr:oneCellAnchor>
    <xdr:from>
      <xdr:col>0</xdr:col>
      <xdr:colOff>28575</xdr:colOff>
      <xdr:row>28</xdr:row>
      <xdr:rowOff>76200</xdr:rowOff>
    </xdr:from>
    <xdr:ext cx="1171575" cy="361950"/>
    <xdr:grpSp>
      <xdr:nvGrpSpPr>
        <xdr:cNvPr id="2" name="Shape 2" title="Drawing"/>
        <xdr:cNvGrpSpPr/>
      </xdr:nvGrpSpPr>
      <xdr:grpSpPr>
        <a:xfrm>
          <a:off x="340250" y="350250"/>
          <a:ext cx="2521800" cy="910500"/>
          <a:chOff x="340250" y="350250"/>
          <a:chExt cx="2521800" cy="910500"/>
        </a:xfrm>
      </xdr:grpSpPr>
      <xdr:sp>
        <xdr:nvSpPr>
          <xdr:cNvPr id="19" name="Shape 19"/>
          <xdr:cNvSpPr/>
        </xdr:nvSpPr>
        <xdr:spPr>
          <a:xfrm>
            <a:off x="340250" y="350250"/>
            <a:ext cx="2521800" cy="910500"/>
          </a:xfrm>
          <a:prstGeom prst="roundRect">
            <a:avLst>
              <a:gd fmla="val 16667" name="adj"/>
            </a:avLst>
          </a:prstGeom>
          <a:solidFill>
            <a:srgbClr val="274E13"/>
          </a:solidFill>
          <a:ln cap="flat" cmpd="sng" w="9525">
            <a:solidFill>
              <a:srgbClr val="38761D"/>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20" name="Shape 20"/>
          <xdr:cNvSpPr txBox="1"/>
        </xdr:nvSpPr>
        <xdr:spPr>
          <a:xfrm>
            <a:off x="625475" y="559200"/>
            <a:ext cx="1851300" cy="4926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2000">
                <a:solidFill>
                  <a:srgbClr val="D9EAD3"/>
                </a:solidFill>
                <a:latin typeface="Lexend"/>
                <a:ea typeface="Lexend"/>
                <a:cs typeface="Lexend"/>
                <a:sym typeface="Lexend"/>
              </a:rPr>
              <a:t>Report</a:t>
            </a:r>
            <a:endParaRPr sz="2000">
              <a:solidFill>
                <a:srgbClr val="D9EAD3"/>
              </a:solidFill>
              <a:latin typeface="Lexend"/>
              <a:ea typeface="Lexend"/>
              <a:cs typeface="Lexend"/>
              <a:sym typeface="Lexend"/>
            </a:endParaRPr>
          </a:p>
        </xdr:txBody>
      </xdr:sp>
    </xdr:grpSp>
    <xdr:clientData fLocksWithSheet="0"/>
  </xdr:oneCellAnchor>
  <xdr:oneCellAnchor>
    <xdr:from>
      <xdr:col>10</xdr:col>
      <xdr:colOff>466725</xdr:colOff>
      <xdr:row>55</xdr:row>
      <xdr:rowOff>38100</xdr:rowOff>
    </xdr:from>
    <xdr:ext cx="542925" cy="5334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1095375</xdr:colOff>
      <xdr:row>43</xdr:row>
      <xdr:rowOff>38100</xdr:rowOff>
    </xdr:from>
    <xdr:ext cx="962025" cy="44767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1095375</xdr:colOff>
      <xdr:row>55</xdr:row>
      <xdr:rowOff>76200</xdr:rowOff>
    </xdr:from>
    <xdr:ext cx="962025" cy="44767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1095375</xdr:colOff>
      <xdr:row>21</xdr:row>
      <xdr:rowOff>76200</xdr:rowOff>
    </xdr:from>
    <xdr:ext cx="962025" cy="44767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16</xdr:col>
      <xdr:colOff>1066800</xdr:colOff>
      <xdr:row>29</xdr:row>
      <xdr:rowOff>57150</xdr:rowOff>
    </xdr:from>
    <xdr:ext cx="962025" cy="44767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22</xdr:col>
      <xdr:colOff>1095375</xdr:colOff>
      <xdr:row>49</xdr:row>
      <xdr:rowOff>66675</xdr:rowOff>
    </xdr:from>
    <xdr:ext cx="962025" cy="44767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22</xdr:col>
      <xdr:colOff>1095375</xdr:colOff>
      <xdr:row>17</xdr:row>
      <xdr:rowOff>76200</xdr:rowOff>
    </xdr:from>
    <xdr:ext cx="962025" cy="44767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1162050</xdr:colOff>
      <xdr:row>72</xdr:row>
      <xdr:rowOff>76200</xdr:rowOff>
    </xdr:from>
    <xdr:ext cx="962025" cy="44767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466725</xdr:colOff>
      <xdr:row>21</xdr:row>
      <xdr:rowOff>28575</xdr:rowOff>
    </xdr:from>
    <xdr:ext cx="542925" cy="5334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16</xdr:col>
      <xdr:colOff>438150</xdr:colOff>
      <xdr:row>29</xdr:row>
      <xdr:rowOff>9525</xdr:rowOff>
    </xdr:from>
    <xdr:ext cx="542925" cy="5334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16</xdr:col>
      <xdr:colOff>1066800</xdr:colOff>
      <xdr:row>45</xdr:row>
      <xdr:rowOff>85725</xdr:rowOff>
    </xdr:from>
    <xdr:ext cx="962025" cy="44767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1162050</xdr:colOff>
      <xdr:row>27</xdr:row>
      <xdr:rowOff>95250</xdr:rowOff>
    </xdr:from>
    <xdr:ext cx="962025" cy="44767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1209675</xdr:colOff>
      <xdr:row>74</xdr:row>
      <xdr:rowOff>104775</xdr:rowOff>
    </xdr:from>
    <xdr:ext cx="962025" cy="44767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22</xdr:col>
      <xdr:colOff>409575</xdr:colOff>
      <xdr:row>17</xdr:row>
      <xdr:rowOff>38100</xdr:rowOff>
    </xdr:from>
    <xdr:ext cx="542925" cy="5334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xdr:colOff>
      <xdr:row>1</xdr:row>
      <xdr:rowOff>-19050</xdr:rowOff>
    </xdr:from>
    <xdr:ext cx="1171575" cy="361950"/>
    <xdr:grpSp>
      <xdr:nvGrpSpPr>
        <xdr:cNvPr id="2" name="Shape 2" title="Drawing"/>
        <xdr:cNvGrpSpPr/>
      </xdr:nvGrpSpPr>
      <xdr:grpSpPr>
        <a:xfrm>
          <a:off x="365475" y="359650"/>
          <a:ext cx="2879100" cy="902100"/>
          <a:chOff x="365475" y="359650"/>
          <a:chExt cx="2879100" cy="902100"/>
        </a:xfrm>
      </xdr:grpSpPr>
      <xdr:sp>
        <xdr:nvSpPr>
          <xdr:cNvPr id="3" name="Shape 3"/>
          <xdr:cNvSpPr/>
        </xdr:nvSpPr>
        <xdr:spPr>
          <a:xfrm>
            <a:off x="365475" y="359650"/>
            <a:ext cx="2879100" cy="902100"/>
          </a:xfrm>
          <a:prstGeom prst="roundRect">
            <a:avLst>
              <a:gd fmla="val 16667" name="adj"/>
            </a:avLst>
          </a:prstGeom>
          <a:solidFill>
            <a:srgbClr val="274E1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4" name="Shape 4"/>
          <xdr:cNvSpPr txBox="1"/>
        </xdr:nvSpPr>
        <xdr:spPr>
          <a:xfrm>
            <a:off x="739875" y="572200"/>
            <a:ext cx="2130300" cy="4770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1900">
                <a:solidFill>
                  <a:srgbClr val="D9EAD3"/>
                </a:solidFill>
                <a:latin typeface="Lexend"/>
                <a:ea typeface="Lexend"/>
                <a:cs typeface="Lexend"/>
                <a:sym typeface="Lexend"/>
              </a:rPr>
              <a:t>Transaction</a:t>
            </a:r>
            <a:endParaRPr sz="1900">
              <a:solidFill>
                <a:srgbClr val="D9EAD3"/>
              </a:solidFill>
              <a:latin typeface="Lexend"/>
              <a:ea typeface="Lexend"/>
              <a:cs typeface="Lexend"/>
              <a:sym typeface="Lexend"/>
            </a:endParaRPr>
          </a:p>
        </xdr:txBody>
      </xdr:sp>
    </xdr:grpSp>
    <xdr:clientData fLocksWithSheet="0"/>
  </xdr:oneCellAnchor>
  <xdr:oneCellAnchor>
    <xdr:from>
      <xdr:col>0</xdr:col>
      <xdr:colOff>28575</xdr:colOff>
      <xdr:row>3</xdr:row>
      <xdr:rowOff>19050</xdr:rowOff>
    </xdr:from>
    <xdr:ext cx="1171575" cy="361950"/>
    <xdr:grpSp>
      <xdr:nvGrpSpPr>
        <xdr:cNvPr id="2" name="Shape 2" title="Drawing"/>
        <xdr:cNvGrpSpPr/>
      </xdr:nvGrpSpPr>
      <xdr:grpSpPr>
        <a:xfrm>
          <a:off x="363125" y="359650"/>
          <a:ext cx="2881500" cy="912300"/>
          <a:chOff x="363125" y="359650"/>
          <a:chExt cx="2881500" cy="912300"/>
        </a:xfrm>
      </xdr:grpSpPr>
      <xdr:sp>
        <xdr:nvSpPr>
          <xdr:cNvPr id="5" name="Shape 5"/>
          <xdr:cNvSpPr/>
        </xdr:nvSpPr>
        <xdr:spPr>
          <a:xfrm>
            <a:off x="363125" y="359650"/>
            <a:ext cx="2881500" cy="912300"/>
          </a:xfrm>
          <a:prstGeom prst="roundRect">
            <a:avLst>
              <a:gd fmla="val 16667" name="adj"/>
            </a:avLst>
          </a:prstGeom>
          <a:solidFill>
            <a:srgbClr val="274E1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6" name="Shape 6"/>
          <xdr:cNvSpPr txBox="1"/>
        </xdr:nvSpPr>
        <xdr:spPr>
          <a:xfrm>
            <a:off x="572973" y="569500"/>
            <a:ext cx="2461800" cy="4926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2000">
                <a:solidFill>
                  <a:srgbClr val="D9EAD3"/>
                </a:solidFill>
                <a:latin typeface="Lexend"/>
                <a:ea typeface="Lexend"/>
                <a:cs typeface="Lexend"/>
                <a:sym typeface="Lexend"/>
              </a:rPr>
              <a:t>Database</a:t>
            </a:r>
            <a:endParaRPr sz="2000">
              <a:solidFill>
                <a:srgbClr val="D9EAD3"/>
              </a:solidFill>
              <a:latin typeface="Lexend"/>
              <a:ea typeface="Lexend"/>
              <a:cs typeface="Lexend"/>
              <a:sym typeface="Lexend"/>
            </a:endParaRPr>
          </a:p>
        </xdr:txBody>
      </xdr:sp>
    </xdr:grpSp>
    <xdr:clientData fLocksWithSheet="0"/>
  </xdr:oneCellAnchor>
  <xdr:oneCellAnchor>
    <xdr:from>
      <xdr:col>0</xdr:col>
      <xdr:colOff>28575</xdr:colOff>
      <xdr:row>5</xdr:row>
      <xdr:rowOff>38100</xdr:rowOff>
    </xdr:from>
    <xdr:ext cx="1171575" cy="361950"/>
    <xdr:grpSp>
      <xdr:nvGrpSpPr>
        <xdr:cNvPr id="2" name="Shape 2" title="Drawing"/>
        <xdr:cNvGrpSpPr/>
      </xdr:nvGrpSpPr>
      <xdr:grpSpPr>
        <a:xfrm>
          <a:off x="365475" y="359650"/>
          <a:ext cx="2871300" cy="905100"/>
          <a:chOff x="365475" y="359650"/>
          <a:chExt cx="2871300" cy="905100"/>
        </a:xfrm>
      </xdr:grpSpPr>
      <xdr:sp>
        <xdr:nvSpPr>
          <xdr:cNvPr id="7" name="Shape 7"/>
          <xdr:cNvSpPr/>
        </xdr:nvSpPr>
        <xdr:spPr>
          <a:xfrm>
            <a:off x="365475" y="359650"/>
            <a:ext cx="2871300" cy="905100"/>
          </a:xfrm>
          <a:prstGeom prst="roundRect">
            <a:avLst>
              <a:gd fmla="val 16667" name="adj"/>
            </a:avLst>
          </a:prstGeom>
          <a:solidFill>
            <a:srgbClr val="274E1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8" name="Shape 8"/>
          <xdr:cNvSpPr txBox="1"/>
        </xdr:nvSpPr>
        <xdr:spPr>
          <a:xfrm>
            <a:off x="847276" y="565900"/>
            <a:ext cx="1915500" cy="4926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2000">
                <a:solidFill>
                  <a:srgbClr val="D9EAD3"/>
                </a:solidFill>
                <a:latin typeface="Lexend"/>
                <a:ea typeface="Lexend"/>
                <a:cs typeface="Lexend"/>
                <a:sym typeface="Lexend"/>
              </a:rPr>
              <a:t>Selling</a:t>
            </a:r>
            <a:r>
              <a:rPr lang="en-US" sz="2000">
                <a:solidFill>
                  <a:srgbClr val="D9EAD3"/>
                </a:solidFill>
                <a:latin typeface="Lexend"/>
                <a:ea typeface="Lexend"/>
                <a:cs typeface="Lexend"/>
                <a:sym typeface="Lexend"/>
              </a:rPr>
              <a:t> Cash</a:t>
            </a:r>
            <a:endParaRPr sz="2000">
              <a:solidFill>
                <a:srgbClr val="D9EAD3"/>
              </a:solidFill>
              <a:latin typeface="Lexend"/>
              <a:ea typeface="Lexend"/>
              <a:cs typeface="Lexend"/>
              <a:sym typeface="Lexend"/>
            </a:endParaRPr>
          </a:p>
        </xdr:txBody>
      </xdr:sp>
    </xdr:grpSp>
    <xdr:clientData fLocksWithSheet="0"/>
  </xdr:oneCellAnchor>
  <xdr:oneCellAnchor>
    <xdr:from>
      <xdr:col>0</xdr:col>
      <xdr:colOff>28575</xdr:colOff>
      <xdr:row>7</xdr:row>
      <xdr:rowOff>85725</xdr:rowOff>
    </xdr:from>
    <xdr:ext cx="1171575" cy="361950"/>
    <xdr:grpSp>
      <xdr:nvGrpSpPr>
        <xdr:cNvPr id="2" name="Shape 2" title="Drawing"/>
        <xdr:cNvGrpSpPr/>
      </xdr:nvGrpSpPr>
      <xdr:grpSpPr>
        <a:xfrm>
          <a:off x="360025" y="367450"/>
          <a:ext cx="2884500" cy="905100"/>
          <a:chOff x="360025" y="367450"/>
          <a:chExt cx="2884500" cy="905100"/>
        </a:xfrm>
      </xdr:grpSpPr>
      <xdr:sp>
        <xdr:nvSpPr>
          <xdr:cNvPr id="9" name="Shape 9"/>
          <xdr:cNvSpPr/>
        </xdr:nvSpPr>
        <xdr:spPr>
          <a:xfrm>
            <a:off x="360025" y="367450"/>
            <a:ext cx="2884500" cy="905100"/>
          </a:xfrm>
          <a:prstGeom prst="roundRect">
            <a:avLst>
              <a:gd fmla="val 16667" name="adj"/>
            </a:avLst>
          </a:prstGeom>
          <a:solidFill>
            <a:srgbClr val="274E1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0" name="Shape 10"/>
          <xdr:cNvSpPr txBox="1"/>
        </xdr:nvSpPr>
        <xdr:spPr>
          <a:xfrm>
            <a:off x="800575" y="573700"/>
            <a:ext cx="2003400" cy="4926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2000">
                <a:solidFill>
                  <a:srgbClr val="D9EAD3"/>
                </a:solidFill>
                <a:latin typeface="Lexend"/>
                <a:ea typeface="Lexend"/>
                <a:cs typeface="Lexend"/>
                <a:sym typeface="Lexend"/>
              </a:rPr>
              <a:t>Selling Credit</a:t>
            </a:r>
            <a:endParaRPr sz="2000">
              <a:solidFill>
                <a:srgbClr val="D9EAD3"/>
              </a:solidFill>
              <a:latin typeface="Lexend"/>
              <a:ea typeface="Lexend"/>
              <a:cs typeface="Lexend"/>
              <a:sym typeface="Lexend"/>
            </a:endParaRPr>
          </a:p>
        </xdr:txBody>
      </xdr:sp>
    </xdr:grpSp>
    <xdr:clientData fLocksWithSheet="0"/>
  </xdr:oneCellAnchor>
  <xdr:oneCellAnchor>
    <xdr:from>
      <xdr:col>0</xdr:col>
      <xdr:colOff>28575</xdr:colOff>
      <xdr:row>11</xdr:row>
      <xdr:rowOff>180975</xdr:rowOff>
    </xdr:from>
    <xdr:ext cx="1171575" cy="361950"/>
    <xdr:grpSp>
      <xdr:nvGrpSpPr>
        <xdr:cNvPr id="2" name="Shape 2" title="Drawing"/>
        <xdr:cNvGrpSpPr/>
      </xdr:nvGrpSpPr>
      <xdr:grpSpPr>
        <a:xfrm>
          <a:off x="371625" y="370800"/>
          <a:ext cx="2874300" cy="863400"/>
          <a:chOff x="371625" y="370800"/>
          <a:chExt cx="2874300" cy="863400"/>
        </a:xfrm>
      </xdr:grpSpPr>
      <xdr:sp>
        <xdr:nvSpPr>
          <xdr:cNvPr id="11" name="Shape 11"/>
          <xdr:cNvSpPr/>
        </xdr:nvSpPr>
        <xdr:spPr>
          <a:xfrm>
            <a:off x="371625" y="370800"/>
            <a:ext cx="2874300" cy="863400"/>
          </a:xfrm>
          <a:prstGeom prst="roundRect">
            <a:avLst>
              <a:gd fmla="val 16667" name="adj"/>
            </a:avLst>
          </a:prstGeom>
          <a:solidFill>
            <a:srgbClr val="274E1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2" name="Shape 12"/>
          <xdr:cNvSpPr txBox="1"/>
        </xdr:nvSpPr>
        <xdr:spPr>
          <a:xfrm>
            <a:off x="804675" y="556200"/>
            <a:ext cx="2008200" cy="4926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2000">
                <a:solidFill>
                  <a:srgbClr val="D9EAD3"/>
                </a:solidFill>
                <a:latin typeface="Lexend"/>
                <a:ea typeface="Lexend"/>
                <a:cs typeface="Lexend"/>
                <a:sym typeface="Lexend"/>
              </a:rPr>
              <a:t>Puchase</a:t>
            </a:r>
            <a:endParaRPr sz="2000">
              <a:solidFill>
                <a:srgbClr val="D9EAD3"/>
              </a:solidFill>
              <a:latin typeface="Lexend"/>
              <a:ea typeface="Lexend"/>
              <a:cs typeface="Lexend"/>
              <a:sym typeface="Lexend"/>
            </a:endParaRPr>
          </a:p>
        </xdr:txBody>
      </xdr:sp>
    </xdr:grpSp>
    <xdr:clientData fLocksWithSheet="0"/>
  </xdr:oneCellAnchor>
  <xdr:oneCellAnchor>
    <xdr:from>
      <xdr:col>0</xdr:col>
      <xdr:colOff>28575</xdr:colOff>
      <xdr:row>14</xdr:row>
      <xdr:rowOff>38100</xdr:rowOff>
    </xdr:from>
    <xdr:ext cx="1171575" cy="361950"/>
    <xdr:grpSp>
      <xdr:nvGrpSpPr>
        <xdr:cNvPr id="2" name="Shape 2" title="Drawing"/>
        <xdr:cNvGrpSpPr/>
      </xdr:nvGrpSpPr>
      <xdr:grpSpPr>
        <a:xfrm>
          <a:off x="335200" y="360250"/>
          <a:ext cx="2942100" cy="910500"/>
          <a:chOff x="335200" y="360250"/>
          <a:chExt cx="2942100" cy="910500"/>
        </a:xfrm>
      </xdr:grpSpPr>
      <xdr:sp>
        <xdr:nvSpPr>
          <xdr:cNvPr id="13" name="Shape 13"/>
          <xdr:cNvSpPr/>
        </xdr:nvSpPr>
        <xdr:spPr>
          <a:xfrm>
            <a:off x="360250" y="360250"/>
            <a:ext cx="2892000" cy="910500"/>
          </a:xfrm>
          <a:prstGeom prst="roundRect">
            <a:avLst>
              <a:gd fmla="val 16667" name="adj"/>
            </a:avLst>
          </a:prstGeom>
          <a:solidFill>
            <a:srgbClr val="274E1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4" name="Shape 14"/>
          <xdr:cNvSpPr txBox="1"/>
        </xdr:nvSpPr>
        <xdr:spPr>
          <a:xfrm>
            <a:off x="335200" y="446050"/>
            <a:ext cx="2942100" cy="7389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1800">
                <a:solidFill>
                  <a:srgbClr val="D9EAD3"/>
                </a:solidFill>
                <a:latin typeface="Lexend"/>
                <a:ea typeface="Lexend"/>
                <a:cs typeface="Lexend"/>
                <a:sym typeface="Lexend"/>
              </a:rPr>
              <a:t>Payment of receivables via cashier</a:t>
            </a:r>
            <a:endParaRPr sz="1800">
              <a:solidFill>
                <a:srgbClr val="D9EAD3"/>
              </a:solidFill>
              <a:latin typeface="Lexend"/>
              <a:ea typeface="Lexend"/>
              <a:cs typeface="Lexend"/>
              <a:sym typeface="Lexend"/>
            </a:endParaRPr>
          </a:p>
        </xdr:txBody>
      </xdr:sp>
    </xdr:grpSp>
    <xdr:clientData fLocksWithSheet="0"/>
  </xdr:oneCellAnchor>
  <xdr:oneCellAnchor>
    <xdr:from>
      <xdr:col>0</xdr:col>
      <xdr:colOff>28575</xdr:colOff>
      <xdr:row>16</xdr:row>
      <xdr:rowOff>85725</xdr:rowOff>
    </xdr:from>
    <xdr:ext cx="1171575" cy="361950"/>
    <xdr:grpSp>
      <xdr:nvGrpSpPr>
        <xdr:cNvPr id="2" name="Shape 2" title="Drawing"/>
        <xdr:cNvGrpSpPr/>
      </xdr:nvGrpSpPr>
      <xdr:grpSpPr>
        <a:xfrm>
          <a:off x="300200" y="360250"/>
          <a:ext cx="2942100" cy="890700"/>
          <a:chOff x="300200" y="360250"/>
          <a:chExt cx="2942100" cy="890700"/>
        </a:xfrm>
      </xdr:grpSpPr>
      <xdr:sp>
        <xdr:nvSpPr>
          <xdr:cNvPr id="15" name="Shape 15"/>
          <xdr:cNvSpPr/>
        </xdr:nvSpPr>
        <xdr:spPr>
          <a:xfrm>
            <a:off x="300200" y="360250"/>
            <a:ext cx="2942100" cy="890700"/>
          </a:xfrm>
          <a:prstGeom prst="roundRect">
            <a:avLst>
              <a:gd fmla="val 16667" name="adj"/>
            </a:avLst>
          </a:prstGeom>
          <a:solidFill>
            <a:srgbClr val="274E1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6" name="Shape 16"/>
          <xdr:cNvSpPr txBox="1"/>
        </xdr:nvSpPr>
        <xdr:spPr>
          <a:xfrm>
            <a:off x="950750" y="559300"/>
            <a:ext cx="1641000" cy="4926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2000">
                <a:solidFill>
                  <a:srgbClr val="D9EAD3"/>
                </a:solidFill>
                <a:latin typeface="Lexend"/>
                <a:ea typeface="Lexend"/>
                <a:cs typeface="Lexend"/>
                <a:sym typeface="Lexend"/>
              </a:rPr>
              <a:t>EXPENSES</a:t>
            </a:r>
            <a:endParaRPr sz="2000">
              <a:solidFill>
                <a:srgbClr val="D9EAD3"/>
              </a:solidFill>
              <a:latin typeface="Lexend"/>
              <a:ea typeface="Lexend"/>
              <a:cs typeface="Lexend"/>
              <a:sym typeface="Lexend"/>
            </a:endParaRPr>
          </a:p>
        </xdr:txBody>
      </xdr:sp>
    </xdr:grpSp>
    <xdr:clientData fLocksWithSheet="0"/>
  </xdr:oneCellAnchor>
  <xdr:oneCellAnchor>
    <xdr:from>
      <xdr:col>0</xdr:col>
      <xdr:colOff>28575</xdr:colOff>
      <xdr:row>9</xdr:row>
      <xdr:rowOff>133350</xdr:rowOff>
    </xdr:from>
    <xdr:ext cx="1171575" cy="361950"/>
    <xdr:grpSp>
      <xdr:nvGrpSpPr>
        <xdr:cNvPr id="2" name="Shape 2" title="Drawing"/>
        <xdr:cNvGrpSpPr/>
      </xdr:nvGrpSpPr>
      <xdr:grpSpPr>
        <a:xfrm>
          <a:off x="350250" y="360250"/>
          <a:ext cx="2892000" cy="900600"/>
          <a:chOff x="350250" y="360250"/>
          <a:chExt cx="2892000" cy="900600"/>
        </a:xfrm>
      </xdr:grpSpPr>
      <xdr:sp>
        <xdr:nvSpPr>
          <xdr:cNvPr id="17" name="Shape 17"/>
          <xdr:cNvSpPr/>
        </xdr:nvSpPr>
        <xdr:spPr>
          <a:xfrm>
            <a:off x="350250" y="360250"/>
            <a:ext cx="2892000" cy="900600"/>
          </a:xfrm>
          <a:prstGeom prst="roundRect">
            <a:avLst>
              <a:gd fmla="val 16667" name="adj"/>
            </a:avLst>
          </a:prstGeom>
          <a:solidFill>
            <a:srgbClr val="274E1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8" name="Shape 18"/>
          <xdr:cNvSpPr txBox="1"/>
        </xdr:nvSpPr>
        <xdr:spPr>
          <a:xfrm>
            <a:off x="1000650" y="564250"/>
            <a:ext cx="1591200" cy="4926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2000">
                <a:solidFill>
                  <a:srgbClr val="D9EAD3"/>
                </a:solidFill>
                <a:latin typeface="Lexend"/>
                <a:ea typeface="Lexend"/>
                <a:cs typeface="Lexend"/>
                <a:sym typeface="Lexend"/>
              </a:rPr>
              <a:t>Selling Oil</a:t>
            </a:r>
            <a:endParaRPr sz="2000">
              <a:solidFill>
                <a:srgbClr val="D9EAD3"/>
              </a:solidFill>
              <a:latin typeface="Lexend"/>
              <a:ea typeface="Lexend"/>
              <a:cs typeface="Lexend"/>
              <a:sym typeface="Lexend"/>
            </a:endParaRPr>
          </a:p>
        </xdr:txBody>
      </xdr:sp>
    </xdr:grpSp>
    <xdr:clientData fLocksWithSheet="0"/>
  </xdr:oneCellAnchor>
  <xdr:oneCellAnchor>
    <xdr:from>
      <xdr:col>0</xdr:col>
      <xdr:colOff>28575</xdr:colOff>
      <xdr:row>18</xdr:row>
      <xdr:rowOff>133350</xdr:rowOff>
    </xdr:from>
    <xdr:ext cx="1171575" cy="361950"/>
    <xdr:grpSp>
      <xdr:nvGrpSpPr>
        <xdr:cNvPr id="2" name="Shape 2" title="Drawing"/>
        <xdr:cNvGrpSpPr/>
      </xdr:nvGrpSpPr>
      <xdr:grpSpPr>
        <a:xfrm>
          <a:off x="340250" y="350250"/>
          <a:ext cx="2521800" cy="910500"/>
          <a:chOff x="340250" y="350250"/>
          <a:chExt cx="2521800" cy="910500"/>
        </a:xfrm>
      </xdr:grpSpPr>
      <xdr:sp>
        <xdr:nvSpPr>
          <xdr:cNvPr id="19" name="Shape 19"/>
          <xdr:cNvSpPr/>
        </xdr:nvSpPr>
        <xdr:spPr>
          <a:xfrm>
            <a:off x="340250" y="350250"/>
            <a:ext cx="2521800" cy="910500"/>
          </a:xfrm>
          <a:prstGeom prst="roundRect">
            <a:avLst>
              <a:gd fmla="val 16667" name="adj"/>
            </a:avLst>
          </a:prstGeom>
          <a:solidFill>
            <a:srgbClr val="274E13"/>
          </a:solidFill>
          <a:ln cap="flat" cmpd="sng" w="9525">
            <a:solidFill>
              <a:srgbClr val="38761D"/>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20" name="Shape 20"/>
          <xdr:cNvSpPr txBox="1"/>
        </xdr:nvSpPr>
        <xdr:spPr>
          <a:xfrm>
            <a:off x="625475" y="559200"/>
            <a:ext cx="1851300" cy="4926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2000">
                <a:solidFill>
                  <a:srgbClr val="D9EAD3"/>
                </a:solidFill>
                <a:latin typeface="Lexend"/>
                <a:ea typeface="Lexend"/>
                <a:cs typeface="Lexend"/>
                <a:sym typeface="Lexend"/>
              </a:rPr>
              <a:t>Report</a:t>
            </a:r>
            <a:endParaRPr sz="2000">
              <a:solidFill>
                <a:srgbClr val="D9EAD3"/>
              </a:solidFill>
              <a:latin typeface="Lexend"/>
              <a:ea typeface="Lexend"/>
              <a:cs typeface="Lexend"/>
              <a:sym typeface="Lexend"/>
            </a:endParaRPr>
          </a:p>
        </xdr:txBody>
      </xdr:sp>
    </xdr:grpSp>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400050</xdr:rowOff>
    </xdr:from>
    <xdr:ext cx="1171575" cy="361950"/>
    <xdr:grpSp>
      <xdr:nvGrpSpPr>
        <xdr:cNvPr id="2" name="Shape 2" title="Drawing"/>
        <xdr:cNvGrpSpPr/>
      </xdr:nvGrpSpPr>
      <xdr:grpSpPr>
        <a:xfrm>
          <a:off x="365475" y="359650"/>
          <a:ext cx="2879100" cy="902100"/>
          <a:chOff x="365475" y="359650"/>
          <a:chExt cx="2879100" cy="902100"/>
        </a:xfrm>
      </xdr:grpSpPr>
      <xdr:sp>
        <xdr:nvSpPr>
          <xdr:cNvPr id="3" name="Shape 3"/>
          <xdr:cNvSpPr/>
        </xdr:nvSpPr>
        <xdr:spPr>
          <a:xfrm>
            <a:off x="365475" y="359650"/>
            <a:ext cx="2879100" cy="902100"/>
          </a:xfrm>
          <a:prstGeom prst="roundRect">
            <a:avLst>
              <a:gd fmla="val 16667" name="adj"/>
            </a:avLst>
          </a:prstGeom>
          <a:solidFill>
            <a:srgbClr val="274E1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4" name="Shape 4"/>
          <xdr:cNvSpPr txBox="1"/>
        </xdr:nvSpPr>
        <xdr:spPr>
          <a:xfrm>
            <a:off x="739875" y="572200"/>
            <a:ext cx="2130300" cy="4770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1900">
                <a:solidFill>
                  <a:srgbClr val="D9EAD3"/>
                </a:solidFill>
                <a:latin typeface="Lexend"/>
                <a:ea typeface="Lexend"/>
                <a:cs typeface="Lexend"/>
                <a:sym typeface="Lexend"/>
              </a:rPr>
              <a:t>Transaction</a:t>
            </a:r>
            <a:endParaRPr sz="1900">
              <a:solidFill>
                <a:srgbClr val="D9EAD3"/>
              </a:solidFill>
              <a:latin typeface="Lexend"/>
              <a:ea typeface="Lexend"/>
              <a:cs typeface="Lexend"/>
              <a:sym typeface="Lexend"/>
            </a:endParaRPr>
          </a:p>
        </xdr:txBody>
      </xdr:sp>
    </xdr:grpSp>
    <xdr:clientData fLocksWithSheet="0"/>
  </xdr:oneCellAnchor>
  <xdr:oneCellAnchor>
    <xdr:from>
      <xdr:col>0</xdr:col>
      <xdr:colOff>28575</xdr:colOff>
      <xdr:row>3</xdr:row>
      <xdr:rowOff>19050</xdr:rowOff>
    </xdr:from>
    <xdr:ext cx="1171575" cy="361950"/>
    <xdr:grpSp>
      <xdr:nvGrpSpPr>
        <xdr:cNvPr id="2" name="Shape 2" title="Drawing"/>
        <xdr:cNvGrpSpPr/>
      </xdr:nvGrpSpPr>
      <xdr:grpSpPr>
        <a:xfrm>
          <a:off x="363125" y="359650"/>
          <a:ext cx="2881500" cy="912300"/>
          <a:chOff x="363125" y="359650"/>
          <a:chExt cx="2881500" cy="912300"/>
        </a:xfrm>
      </xdr:grpSpPr>
      <xdr:sp>
        <xdr:nvSpPr>
          <xdr:cNvPr id="5" name="Shape 5"/>
          <xdr:cNvSpPr/>
        </xdr:nvSpPr>
        <xdr:spPr>
          <a:xfrm>
            <a:off x="363125" y="359650"/>
            <a:ext cx="2881500" cy="912300"/>
          </a:xfrm>
          <a:prstGeom prst="roundRect">
            <a:avLst>
              <a:gd fmla="val 16667" name="adj"/>
            </a:avLst>
          </a:prstGeom>
          <a:solidFill>
            <a:srgbClr val="274E1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6" name="Shape 6"/>
          <xdr:cNvSpPr txBox="1"/>
        </xdr:nvSpPr>
        <xdr:spPr>
          <a:xfrm>
            <a:off x="572973" y="569500"/>
            <a:ext cx="2461800" cy="4926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2000">
                <a:solidFill>
                  <a:srgbClr val="D9EAD3"/>
                </a:solidFill>
                <a:latin typeface="Lexend"/>
                <a:ea typeface="Lexend"/>
                <a:cs typeface="Lexend"/>
                <a:sym typeface="Lexend"/>
              </a:rPr>
              <a:t>Database</a:t>
            </a:r>
            <a:endParaRPr sz="2000">
              <a:solidFill>
                <a:srgbClr val="D9EAD3"/>
              </a:solidFill>
              <a:latin typeface="Lexend"/>
              <a:ea typeface="Lexend"/>
              <a:cs typeface="Lexend"/>
              <a:sym typeface="Lexend"/>
            </a:endParaRPr>
          </a:p>
        </xdr:txBody>
      </xdr:sp>
    </xdr:grpSp>
    <xdr:clientData fLocksWithSheet="0"/>
  </xdr:oneCellAnchor>
  <xdr:oneCellAnchor>
    <xdr:from>
      <xdr:col>0</xdr:col>
      <xdr:colOff>28575</xdr:colOff>
      <xdr:row>5</xdr:row>
      <xdr:rowOff>38100</xdr:rowOff>
    </xdr:from>
    <xdr:ext cx="1171575" cy="361950"/>
    <xdr:grpSp>
      <xdr:nvGrpSpPr>
        <xdr:cNvPr id="2" name="Shape 2" title="Drawing"/>
        <xdr:cNvGrpSpPr/>
      </xdr:nvGrpSpPr>
      <xdr:grpSpPr>
        <a:xfrm>
          <a:off x="365475" y="359650"/>
          <a:ext cx="2871300" cy="905100"/>
          <a:chOff x="365475" y="359650"/>
          <a:chExt cx="2871300" cy="905100"/>
        </a:xfrm>
      </xdr:grpSpPr>
      <xdr:sp>
        <xdr:nvSpPr>
          <xdr:cNvPr id="7" name="Shape 7"/>
          <xdr:cNvSpPr/>
        </xdr:nvSpPr>
        <xdr:spPr>
          <a:xfrm>
            <a:off x="365475" y="359650"/>
            <a:ext cx="2871300" cy="905100"/>
          </a:xfrm>
          <a:prstGeom prst="roundRect">
            <a:avLst>
              <a:gd fmla="val 16667" name="adj"/>
            </a:avLst>
          </a:prstGeom>
          <a:solidFill>
            <a:srgbClr val="274E1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8" name="Shape 8"/>
          <xdr:cNvSpPr txBox="1"/>
        </xdr:nvSpPr>
        <xdr:spPr>
          <a:xfrm>
            <a:off x="847276" y="565900"/>
            <a:ext cx="1915500" cy="4926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2000">
                <a:solidFill>
                  <a:srgbClr val="D9EAD3"/>
                </a:solidFill>
                <a:latin typeface="Lexend"/>
                <a:ea typeface="Lexend"/>
                <a:cs typeface="Lexend"/>
                <a:sym typeface="Lexend"/>
              </a:rPr>
              <a:t>Selling</a:t>
            </a:r>
            <a:r>
              <a:rPr lang="en-US" sz="2000">
                <a:solidFill>
                  <a:srgbClr val="D9EAD3"/>
                </a:solidFill>
                <a:latin typeface="Lexend"/>
                <a:ea typeface="Lexend"/>
                <a:cs typeface="Lexend"/>
                <a:sym typeface="Lexend"/>
              </a:rPr>
              <a:t> Cash</a:t>
            </a:r>
            <a:endParaRPr sz="2000">
              <a:solidFill>
                <a:srgbClr val="D9EAD3"/>
              </a:solidFill>
              <a:latin typeface="Lexend"/>
              <a:ea typeface="Lexend"/>
              <a:cs typeface="Lexend"/>
              <a:sym typeface="Lexend"/>
            </a:endParaRPr>
          </a:p>
        </xdr:txBody>
      </xdr:sp>
    </xdr:grpSp>
    <xdr:clientData fLocksWithSheet="0"/>
  </xdr:oneCellAnchor>
  <xdr:oneCellAnchor>
    <xdr:from>
      <xdr:col>0</xdr:col>
      <xdr:colOff>28575</xdr:colOff>
      <xdr:row>7</xdr:row>
      <xdr:rowOff>85725</xdr:rowOff>
    </xdr:from>
    <xdr:ext cx="1171575" cy="361950"/>
    <xdr:grpSp>
      <xdr:nvGrpSpPr>
        <xdr:cNvPr id="2" name="Shape 2" title="Drawing"/>
        <xdr:cNvGrpSpPr/>
      </xdr:nvGrpSpPr>
      <xdr:grpSpPr>
        <a:xfrm>
          <a:off x="360025" y="367450"/>
          <a:ext cx="2884500" cy="905100"/>
          <a:chOff x="360025" y="367450"/>
          <a:chExt cx="2884500" cy="905100"/>
        </a:xfrm>
      </xdr:grpSpPr>
      <xdr:sp>
        <xdr:nvSpPr>
          <xdr:cNvPr id="9" name="Shape 9"/>
          <xdr:cNvSpPr/>
        </xdr:nvSpPr>
        <xdr:spPr>
          <a:xfrm>
            <a:off x="360025" y="367450"/>
            <a:ext cx="2884500" cy="905100"/>
          </a:xfrm>
          <a:prstGeom prst="roundRect">
            <a:avLst>
              <a:gd fmla="val 16667" name="adj"/>
            </a:avLst>
          </a:prstGeom>
          <a:solidFill>
            <a:srgbClr val="274E1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0" name="Shape 10"/>
          <xdr:cNvSpPr txBox="1"/>
        </xdr:nvSpPr>
        <xdr:spPr>
          <a:xfrm>
            <a:off x="800575" y="573700"/>
            <a:ext cx="2003400" cy="4926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2000">
                <a:solidFill>
                  <a:srgbClr val="D9EAD3"/>
                </a:solidFill>
                <a:latin typeface="Lexend"/>
                <a:ea typeface="Lexend"/>
                <a:cs typeface="Lexend"/>
                <a:sym typeface="Lexend"/>
              </a:rPr>
              <a:t>Selling Credit</a:t>
            </a:r>
            <a:endParaRPr sz="2000">
              <a:solidFill>
                <a:srgbClr val="D9EAD3"/>
              </a:solidFill>
              <a:latin typeface="Lexend"/>
              <a:ea typeface="Lexend"/>
              <a:cs typeface="Lexend"/>
              <a:sym typeface="Lexend"/>
            </a:endParaRPr>
          </a:p>
        </xdr:txBody>
      </xdr:sp>
    </xdr:grpSp>
    <xdr:clientData fLocksWithSheet="0"/>
  </xdr:oneCellAnchor>
  <xdr:oneCellAnchor>
    <xdr:from>
      <xdr:col>0</xdr:col>
      <xdr:colOff>28575</xdr:colOff>
      <xdr:row>11</xdr:row>
      <xdr:rowOff>180975</xdr:rowOff>
    </xdr:from>
    <xdr:ext cx="1171575" cy="361950"/>
    <xdr:grpSp>
      <xdr:nvGrpSpPr>
        <xdr:cNvPr id="2" name="Shape 2" title="Drawing"/>
        <xdr:cNvGrpSpPr/>
      </xdr:nvGrpSpPr>
      <xdr:grpSpPr>
        <a:xfrm>
          <a:off x="371625" y="370800"/>
          <a:ext cx="2874300" cy="863400"/>
          <a:chOff x="371625" y="370800"/>
          <a:chExt cx="2874300" cy="863400"/>
        </a:xfrm>
      </xdr:grpSpPr>
      <xdr:sp>
        <xdr:nvSpPr>
          <xdr:cNvPr id="11" name="Shape 11"/>
          <xdr:cNvSpPr/>
        </xdr:nvSpPr>
        <xdr:spPr>
          <a:xfrm>
            <a:off x="371625" y="370800"/>
            <a:ext cx="2874300" cy="863400"/>
          </a:xfrm>
          <a:prstGeom prst="roundRect">
            <a:avLst>
              <a:gd fmla="val 16667" name="adj"/>
            </a:avLst>
          </a:prstGeom>
          <a:solidFill>
            <a:srgbClr val="274E1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2" name="Shape 12"/>
          <xdr:cNvSpPr txBox="1"/>
        </xdr:nvSpPr>
        <xdr:spPr>
          <a:xfrm>
            <a:off x="804675" y="556200"/>
            <a:ext cx="2008200" cy="4926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2000">
                <a:solidFill>
                  <a:srgbClr val="D9EAD3"/>
                </a:solidFill>
                <a:latin typeface="Lexend"/>
                <a:ea typeface="Lexend"/>
                <a:cs typeface="Lexend"/>
                <a:sym typeface="Lexend"/>
              </a:rPr>
              <a:t>Puchase</a:t>
            </a:r>
            <a:endParaRPr sz="2000">
              <a:solidFill>
                <a:srgbClr val="D9EAD3"/>
              </a:solidFill>
              <a:latin typeface="Lexend"/>
              <a:ea typeface="Lexend"/>
              <a:cs typeface="Lexend"/>
              <a:sym typeface="Lexend"/>
            </a:endParaRPr>
          </a:p>
        </xdr:txBody>
      </xdr:sp>
    </xdr:grpSp>
    <xdr:clientData fLocksWithSheet="0"/>
  </xdr:oneCellAnchor>
  <xdr:oneCellAnchor>
    <xdr:from>
      <xdr:col>0</xdr:col>
      <xdr:colOff>28575</xdr:colOff>
      <xdr:row>14</xdr:row>
      <xdr:rowOff>38100</xdr:rowOff>
    </xdr:from>
    <xdr:ext cx="1171575" cy="361950"/>
    <xdr:grpSp>
      <xdr:nvGrpSpPr>
        <xdr:cNvPr id="2" name="Shape 2" title="Drawing"/>
        <xdr:cNvGrpSpPr/>
      </xdr:nvGrpSpPr>
      <xdr:grpSpPr>
        <a:xfrm>
          <a:off x="335200" y="360250"/>
          <a:ext cx="2942100" cy="910500"/>
          <a:chOff x="335200" y="360250"/>
          <a:chExt cx="2942100" cy="910500"/>
        </a:xfrm>
      </xdr:grpSpPr>
      <xdr:sp>
        <xdr:nvSpPr>
          <xdr:cNvPr id="13" name="Shape 13"/>
          <xdr:cNvSpPr/>
        </xdr:nvSpPr>
        <xdr:spPr>
          <a:xfrm>
            <a:off x="360250" y="360250"/>
            <a:ext cx="2892000" cy="910500"/>
          </a:xfrm>
          <a:prstGeom prst="roundRect">
            <a:avLst>
              <a:gd fmla="val 16667" name="adj"/>
            </a:avLst>
          </a:prstGeom>
          <a:solidFill>
            <a:srgbClr val="274E1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4" name="Shape 14"/>
          <xdr:cNvSpPr txBox="1"/>
        </xdr:nvSpPr>
        <xdr:spPr>
          <a:xfrm>
            <a:off x="335200" y="446050"/>
            <a:ext cx="2942100" cy="7389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1800">
                <a:solidFill>
                  <a:srgbClr val="D9EAD3"/>
                </a:solidFill>
                <a:latin typeface="Lexend"/>
                <a:ea typeface="Lexend"/>
                <a:cs typeface="Lexend"/>
                <a:sym typeface="Lexend"/>
              </a:rPr>
              <a:t>Payment of receivables via cashier</a:t>
            </a:r>
            <a:endParaRPr sz="1800">
              <a:solidFill>
                <a:srgbClr val="D9EAD3"/>
              </a:solidFill>
              <a:latin typeface="Lexend"/>
              <a:ea typeface="Lexend"/>
              <a:cs typeface="Lexend"/>
              <a:sym typeface="Lexend"/>
            </a:endParaRPr>
          </a:p>
        </xdr:txBody>
      </xdr:sp>
    </xdr:grpSp>
    <xdr:clientData fLocksWithSheet="0"/>
  </xdr:oneCellAnchor>
  <xdr:oneCellAnchor>
    <xdr:from>
      <xdr:col>0</xdr:col>
      <xdr:colOff>28575</xdr:colOff>
      <xdr:row>16</xdr:row>
      <xdr:rowOff>85725</xdr:rowOff>
    </xdr:from>
    <xdr:ext cx="1171575" cy="361950"/>
    <xdr:grpSp>
      <xdr:nvGrpSpPr>
        <xdr:cNvPr id="2" name="Shape 2" title="Drawing"/>
        <xdr:cNvGrpSpPr/>
      </xdr:nvGrpSpPr>
      <xdr:grpSpPr>
        <a:xfrm>
          <a:off x="300200" y="360250"/>
          <a:ext cx="2942100" cy="890700"/>
          <a:chOff x="300200" y="360250"/>
          <a:chExt cx="2942100" cy="890700"/>
        </a:xfrm>
      </xdr:grpSpPr>
      <xdr:sp>
        <xdr:nvSpPr>
          <xdr:cNvPr id="15" name="Shape 15"/>
          <xdr:cNvSpPr/>
        </xdr:nvSpPr>
        <xdr:spPr>
          <a:xfrm>
            <a:off x="300200" y="360250"/>
            <a:ext cx="2942100" cy="890700"/>
          </a:xfrm>
          <a:prstGeom prst="roundRect">
            <a:avLst>
              <a:gd fmla="val 16667" name="adj"/>
            </a:avLst>
          </a:prstGeom>
          <a:solidFill>
            <a:srgbClr val="274E1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6" name="Shape 16"/>
          <xdr:cNvSpPr txBox="1"/>
        </xdr:nvSpPr>
        <xdr:spPr>
          <a:xfrm>
            <a:off x="950750" y="559300"/>
            <a:ext cx="1641000" cy="4926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2000">
                <a:solidFill>
                  <a:srgbClr val="D9EAD3"/>
                </a:solidFill>
                <a:latin typeface="Lexend"/>
                <a:ea typeface="Lexend"/>
                <a:cs typeface="Lexend"/>
                <a:sym typeface="Lexend"/>
              </a:rPr>
              <a:t>EXPENSES</a:t>
            </a:r>
            <a:endParaRPr sz="2000">
              <a:solidFill>
                <a:srgbClr val="D9EAD3"/>
              </a:solidFill>
              <a:latin typeface="Lexend"/>
              <a:ea typeface="Lexend"/>
              <a:cs typeface="Lexend"/>
              <a:sym typeface="Lexend"/>
            </a:endParaRPr>
          </a:p>
        </xdr:txBody>
      </xdr:sp>
    </xdr:grpSp>
    <xdr:clientData fLocksWithSheet="0"/>
  </xdr:oneCellAnchor>
  <xdr:oneCellAnchor>
    <xdr:from>
      <xdr:col>0</xdr:col>
      <xdr:colOff>28575</xdr:colOff>
      <xdr:row>9</xdr:row>
      <xdr:rowOff>133350</xdr:rowOff>
    </xdr:from>
    <xdr:ext cx="1171575" cy="361950"/>
    <xdr:grpSp>
      <xdr:nvGrpSpPr>
        <xdr:cNvPr id="2" name="Shape 2" title="Drawing"/>
        <xdr:cNvGrpSpPr/>
      </xdr:nvGrpSpPr>
      <xdr:grpSpPr>
        <a:xfrm>
          <a:off x="350250" y="360250"/>
          <a:ext cx="2892000" cy="900600"/>
          <a:chOff x="350250" y="360250"/>
          <a:chExt cx="2892000" cy="900600"/>
        </a:xfrm>
      </xdr:grpSpPr>
      <xdr:sp>
        <xdr:nvSpPr>
          <xdr:cNvPr id="17" name="Shape 17"/>
          <xdr:cNvSpPr/>
        </xdr:nvSpPr>
        <xdr:spPr>
          <a:xfrm>
            <a:off x="350250" y="360250"/>
            <a:ext cx="2892000" cy="900600"/>
          </a:xfrm>
          <a:prstGeom prst="roundRect">
            <a:avLst>
              <a:gd fmla="val 16667" name="adj"/>
            </a:avLst>
          </a:prstGeom>
          <a:solidFill>
            <a:srgbClr val="274E1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8" name="Shape 18"/>
          <xdr:cNvSpPr txBox="1"/>
        </xdr:nvSpPr>
        <xdr:spPr>
          <a:xfrm>
            <a:off x="1000650" y="564250"/>
            <a:ext cx="1591200" cy="4926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2000">
                <a:solidFill>
                  <a:srgbClr val="D9EAD3"/>
                </a:solidFill>
                <a:latin typeface="Lexend"/>
                <a:ea typeface="Lexend"/>
                <a:cs typeface="Lexend"/>
                <a:sym typeface="Lexend"/>
              </a:rPr>
              <a:t>Selling Oil</a:t>
            </a:r>
            <a:endParaRPr sz="2000">
              <a:solidFill>
                <a:srgbClr val="D9EAD3"/>
              </a:solidFill>
              <a:latin typeface="Lexend"/>
              <a:ea typeface="Lexend"/>
              <a:cs typeface="Lexend"/>
              <a:sym typeface="Lexend"/>
            </a:endParaRPr>
          </a:p>
        </xdr:txBody>
      </xdr:sp>
    </xdr:grpSp>
    <xdr:clientData fLocksWithSheet="0"/>
  </xdr:oneCellAnchor>
  <xdr:oneCellAnchor>
    <xdr:from>
      <xdr:col>0</xdr:col>
      <xdr:colOff>28575</xdr:colOff>
      <xdr:row>18</xdr:row>
      <xdr:rowOff>133350</xdr:rowOff>
    </xdr:from>
    <xdr:ext cx="1171575" cy="361950"/>
    <xdr:grpSp>
      <xdr:nvGrpSpPr>
        <xdr:cNvPr id="2" name="Shape 2" title="Drawing"/>
        <xdr:cNvGrpSpPr/>
      </xdr:nvGrpSpPr>
      <xdr:grpSpPr>
        <a:xfrm>
          <a:off x="340250" y="350250"/>
          <a:ext cx="2521800" cy="910500"/>
          <a:chOff x="340250" y="350250"/>
          <a:chExt cx="2521800" cy="910500"/>
        </a:xfrm>
      </xdr:grpSpPr>
      <xdr:sp>
        <xdr:nvSpPr>
          <xdr:cNvPr id="19" name="Shape 19"/>
          <xdr:cNvSpPr/>
        </xdr:nvSpPr>
        <xdr:spPr>
          <a:xfrm>
            <a:off x="340250" y="350250"/>
            <a:ext cx="2521800" cy="910500"/>
          </a:xfrm>
          <a:prstGeom prst="roundRect">
            <a:avLst>
              <a:gd fmla="val 16667" name="adj"/>
            </a:avLst>
          </a:prstGeom>
          <a:solidFill>
            <a:srgbClr val="274E13"/>
          </a:solidFill>
          <a:ln cap="flat" cmpd="sng" w="9525">
            <a:solidFill>
              <a:srgbClr val="38761D"/>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20" name="Shape 20"/>
          <xdr:cNvSpPr txBox="1"/>
        </xdr:nvSpPr>
        <xdr:spPr>
          <a:xfrm>
            <a:off x="625475" y="559200"/>
            <a:ext cx="1851300" cy="4926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2000">
                <a:solidFill>
                  <a:srgbClr val="D9EAD3"/>
                </a:solidFill>
                <a:latin typeface="Lexend"/>
                <a:ea typeface="Lexend"/>
                <a:cs typeface="Lexend"/>
                <a:sym typeface="Lexend"/>
              </a:rPr>
              <a:t>Report</a:t>
            </a:r>
            <a:endParaRPr sz="2000">
              <a:solidFill>
                <a:srgbClr val="D9EAD3"/>
              </a:solidFill>
              <a:latin typeface="Lexend"/>
              <a:ea typeface="Lexend"/>
              <a:cs typeface="Lexend"/>
              <a:sym typeface="Lexend"/>
            </a:endParaRPr>
          </a:p>
        </xdr:txBody>
      </xdr:sp>
    </xdr:grpSp>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400050</xdr:rowOff>
    </xdr:from>
    <xdr:ext cx="1171575" cy="361950"/>
    <xdr:grpSp>
      <xdr:nvGrpSpPr>
        <xdr:cNvPr id="2" name="Shape 2" title="Drawing"/>
        <xdr:cNvGrpSpPr/>
      </xdr:nvGrpSpPr>
      <xdr:grpSpPr>
        <a:xfrm>
          <a:off x="365475" y="359650"/>
          <a:ext cx="2879100" cy="902100"/>
          <a:chOff x="365475" y="359650"/>
          <a:chExt cx="2879100" cy="902100"/>
        </a:xfrm>
      </xdr:grpSpPr>
      <xdr:sp>
        <xdr:nvSpPr>
          <xdr:cNvPr id="3" name="Shape 3"/>
          <xdr:cNvSpPr/>
        </xdr:nvSpPr>
        <xdr:spPr>
          <a:xfrm>
            <a:off x="365475" y="359650"/>
            <a:ext cx="2879100" cy="902100"/>
          </a:xfrm>
          <a:prstGeom prst="roundRect">
            <a:avLst>
              <a:gd fmla="val 16667" name="adj"/>
            </a:avLst>
          </a:prstGeom>
          <a:solidFill>
            <a:srgbClr val="274E1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4" name="Shape 4"/>
          <xdr:cNvSpPr txBox="1"/>
        </xdr:nvSpPr>
        <xdr:spPr>
          <a:xfrm>
            <a:off x="739875" y="572200"/>
            <a:ext cx="2130300" cy="4770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1900">
                <a:solidFill>
                  <a:srgbClr val="D9EAD3"/>
                </a:solidFill>
                <a:latin typeface="Lexend"/>
                <a:ea typeface="Lexend"/>
                <a:cs typeface="Lexend"/>
                <a:sym typeface="Lexend"/>
              </a:rPr>
              <a:t>Transaction</a:t>
            </a:r>
            <a:endParaRPr sz="1900">
              <a:solidFill>
                <a:srgbClr val="D9EAD3"/>
              </a:solidFill>
              <a:latin typeface="Lexend"/>
              <a:ea typeface="Lexend"/>
              <a:cs typeface="Lexend"/>
              <a:sym typeface="Lexend"/>
            </a:endParaRPr>
          </a:p>
        </xdr:txBody>
      </xdr:sp>
    </xdr:grpSp>
    <xdr:clientData fLocksWithSheet="0"/>
  </xdr:oneCellAnchor>
  <xdr:oneCellAnchor>
    <xdr:from>
      <xdr:col>0</xdr:col>
      <xdr:colOff>28575</xdr:colOff>
      <xdr:row>3</xdr:row>
      <xdr:rowOff>19050</xdr:rowOff>
    </xdr:from>
    <xdr:ext cx="1171575" cy="361950"/>
    <xdr:grpSp>
      <xdr:nvGrpSpPr>
        <xdr:cNvPr id="2" name="Shape 2" title="Drawing"/>
        <xdr:cNvGrpSpPr/>
      </xdr:nvGrpSpPr>
      <xdr:grpSpPr>
        <a:xfrm>
          <a:off x="363125" y="359650"/>
          <a:ext cx="2881500" cy="912300"/>
          <a:chOff x="363125" y="359650"/>
          <a:chExt cx="2881500" cy="912300"/>
        </a:xfrm>
      </xdr:grpSpPr>
      <xdr:sp>
        <xdr:nvSpPr>
          <xdr:cNvPr id="5" name="Shape 5"/>
          <xdr:cNvSpPr/>
        </xdr:nvSpPr>
        <xdr:spPr>
          <a:xfrm>
            <a:off x="363125" y="359650"/>
            <a:ext cx="2881500" cy="912300"/>
          </a:xfrm>
          <a:prstGeom prst="roundRect">
            <a:avLst>
              <a:gd fmla="val 16667" name="adj"/>
            </a:avLst>
          </a:prstGeom>
          <a:solidFill>
            <a:srgbClr val="274E1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6" name="Shape 6"/>
          <xdr:cNvSpPr txBox="1"/>
        </xdr:nvSpPr>
        <xdr:spPr>
          <a:xfrm>
            <a:off x="572973" y="569500"/>
            <a:ext cx="2461800" cy="4926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2000">
                <a:solidFill>
                  <a:srgbClr val="D9EAD3"/>
                </a:solidFill>
                <a:latin typeface="Lexend"/>
                <a:ea typeface="Lexend"/>
                <a:cs typeface="Lexend"/>
                <a:sym typeface="Lexend"/>
              </a:rPr>
              <a:t>Database</a:t>
            </a:r>
            <a:endParaRPr sz="2000">
              <a:solidFill>
                <a:srgbClr val="D9EAD3"/>
              </a:solidFill>
              <a:latin typeface="Lexend"/>
              <a:ea typeface="Lexend"/>
              <a:cs typeface="Lexend"/>
              <a:sym typeface="Lexend"/>
            </a:endParaRPr>
          </a:p>
        </xdr:txBody>
      </xdr:sp>
    </xdr:grpSp>
    <xdr:clientData fLocksWithSheet="0"/>
  </xdr:oneCellAnchor>
  <xdr:oneCellAnchor>
    <xdr:from>
      <xdr:col>0</xdr:col>
      <xdr:colOff>28575</xdr:colOff>
      <xdr:row>5</xdr:row>
      <xdr:rowOff>38100</xdr:rowOff>
    </xdr:from>
    <xdr:ext cx="1171575" cy="361950"/>
    <xdr:grpSp>
      <xdr:nvGrpSpPr>
        <xdr:cNvPr id="2" name="Shape 2" title="Drawing"/>
        <xdr:cNvGrpSpPr/>
      </xdr:nvGrpSpPr>
      <xdr:grpSpPr>
        <a:xfrm>
          <a:off x="365475" y="359650"/>
          <a:ext cx="2871300" cy="905100"/>
          <a:chOff x="365475" y="359650"/>
          <a:chExt cx="2871300" cy="905100"/>
        </a:xfrm>
      </xdr:grpSpPr>
      <xdr:sp>
        <xdr:nvSpPr>
          <xdr:cNvPr id="7" name="Shape 7"/>
          <xdr:cNvSpPr/>
        </xdr:nvSpPr>
        <xdr:spPr>
          <a:xfrm>
            <a:off x="365475" y="359650"/>
            <a:ext cx="2871300" cy="905100"/>
          </a:xfrm>
          <a:prstGeom prst="roundRect">
            <a:avLst>
              <a:gd fmla="val 16667" name="adj"/>
            </a:avLst>
          </a:prstGeom>
          <a:solidFill>
            <a:srgbClr val="274E1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8" name="Shape 8"/>
          <xdr:cNvSpPr txBox="1"/>
        </xdr:nvSpPr>
        <xdr:spPr>
          <a:xfrm>
            <a:off x="847276" y="565900"/>
            <a:ext cx="1915500" cy="4926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2000">
                <a:solidFill>
                  <a:srgbClr val="D9EAD3"/>
                </a:solidFill>
                <a:latin typeface="Lexend"/>
                <a:ea typeface="Lexend"/>
                <a:cs typeface="Lexend"/>
                <a:sym typeface="Lexend"/>
              </a:rPr>
              <a:t>Selling</a:t>
            </a:r>
            <a:r>
              <a:rPr lang="en-US" sz="2000">
                <a:solidFill>
                  <a:srgbClr val="D9EAD3"/>
                </a:solidFill>
                <a:latin typeface="Lexend"/>
                <a:ea typeface="Lexend"/>
                <a:cs typeface="Lexend"/>
                <a:sym typeface="Lexend"/>
              </a:rPr>
              <a:t> Cash</a:t>
            </a:r>
            <a:endParaRPr sz="2000">
              <a:solidFill>
                <a:srgbClr val="D9EAD3"/>
              </a:solidFill>
              <a:latin typeface="Lexend"/>
              <a:ea typeface="Lexend"/>
              <a:cs typeface="Lexend"/>
              <a:sym typeface="Lexend"/>
            </a:endParaRPr>
          </a:p>
        </xdr:txBody>
      </xdr:sp>
    </xdr:grpSp>
    <xdr:clientData fLocksWithSheet="0"/>
  </xdr:oneCellAnchor>
  <xdr:oneCellAnchor>
    <xdr:from>
      <xdr:col>0</xdr:col>
      <xdr:colOff>28575</xdr:colOff>
      <xdr:row>7</xdr:row>
      <xdr:rowOff>85725</xdr:rowOff>
    </xdr:from>
    <xdr:ext cx="1171575" cy="361950"/>
    <xdr:grpSp>
      <xdr:nvGrpSpPr>
        <xdr:cNvPr id="2" name="Shape 2" title="Drawing"/>
        <xdr:cNvGrpSpPr/>
      </xdr:nvGrpSpPr>
      <xdr:grpSpPr>
        <a:xfrm>
          <a:off x="360025" y="367450"/>
          <a:ext cx="2884500" cy="905100"/>
          <a:chOff x="360025" y="367450"/>
          <a:chExt cx="2884500" cy="905100"/>
        </a:xfrm>
      </xdr:grpSpPr>
      <xdr:sp>
        <xdr:nvSpPr>
          <xdr:cNvPr id="9" name="Shape 9"/>
          <xdr:cNvSpPr/>
        </xdr:nvSpPr>
        <xdr:spPr>
          <a:xfrm>
            <a:off x="360025" y="367450"/>
            <a:ext cx="2884500" cy="905100"/>
          </a:xfrm>
          <a:prstGeom prst="roundRect">
            <a:avLst>
              <a:gd fmla="val 16667" name="adj"/>
            </a:avLst>
          </a:prstGeom>
          <a:solidFill>
            <a:srgbClr val="274E1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0" name="Shape 10"/>
          <xdr:cNvSpPr txBox="1"/>
        </xdr:nvSpPr>
        <xdr:spPr>
          <a:xfrm>
            <a:off x="800575" y="573700"/>
            <a:ext cx="2003400" cy="4926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2000">
                <a:solidFill>
                  <a:srgbClr val="D9EAD3"/>
                </a:solidFill>
                <a:latin typeface="Lexend"/>
                <a:ea typeface="Lexend"/>
                <a:cs typeface="Lexend"/>
                <a:sym typeface="Lexend"/>
              </a:rPr>
              <a:t>Selling Credit</a:t>
            </a:r>
            <a:endParaRPr sz="2000">
              <a:solidFill>
                <a:srgbClr val="D9EAD3"/>
              </a:solidFill>
              <a:latin typeface="Lexend"/>
              <a:ea typeface="Lexend"/>
              <a:cs typeface="Lexend"/>
              <a:sym typeface="Lexend"/>
            </a:endParaRPr>
          </a:p>
        </xdr:txBody>
      </xdr:sp>
    </xdr:grpSp>
    <xdr:clientData fLocksWithSheet="0"/>
  </xdr:oneCellAnchor>
  <xdr:oneCellAnchor>
    <xdr:from>
      <xdr:col>0</xdr:col>
      <xdr:colOff>28575</xdr:colOff>
      <xdr:row>11</xdr:row>
      <xdr:rowOff>180975</xdr:rowOff>
    </xdr:from>
    <xdr:ext cx="1171575" cy="361950"/>
    <xdr:grpSp>
      <xdr:nvGrpSpPr>
        <xdr:cNvPr id="2" name="Shape 2" title="Drawing"/>
        <xdr:cNvGrpSpPr/>
      </xdr:nvGrpSpPr>
      <xdr:grpSpPr>
        <a:xfrm>
          <a:off x="371625" y="370800"/>
          <a:ext cx="2874300" cy="863400"/>
          <a:chOff x="371625" y="370800"/>
          <a:chExt cx="2874300" cy="863400"/>
        </a:xfrm>
      </xdr:grpSpPr>
      <xdr:sp>
        <xdr:nvSpPr>
          <xdr:cNvPr id="11" name="Shape 11"/>
          <xdr:cNvSpPr/>
        </xdr:nvSpPr>
        <xdr:spPr>
          <a:xfrm>
            <a:off x="371625" y="370800"/>
            <a:ext cx="2874300" cy="863400"/>
          </a:xfrm>
          <a:prstGeom prst="roundRect">
            <a:avLst>
              <a:gd fmla="val 16667" name="adj"/>
            </a:avLst>
          </a:prstGeom>
          <a:solidFill>
            <a:srgbClr val="274E1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2" name="Shape 12"/>
          <xdr:cNvSpPr txBox="1"/>
        </xdr:nvSpPr>
        <xdr:spPr>
          <a:xfrm>
            <a:off x="804675" y="556200"/>
            <a:ext cx="2008200" cy="4926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2000">
                <a:solidFill>
                  <a:srgbClr val="D9EAD3"/>
                </a:solidFill>
                <a:latin typeface="Lexend"/>
                <a:ea typeface="Lexend"/>
                <a:cs typeface="Lexend"/>
                <a:sym typeface="Lexend"/>
              </a:rPr>
              <a:t>Puchase</a:t>
            </a:r>
            <a:endParaRPr sz="2000">
              <a:solidFill>
                <a:srgbClr val="D9EAD3"/>
              </a:solidFill>
              <a:latin typeface="Lexend"/>
              <a:ea typeface="Lexend"/>
              <a:cs typeface="Lexend"/>
              <a:sym typeface="Lexend"/>
            </a:endParaRPr>
          </a:p>
        </xdr:txBody>
      </xdr:sp>
    </xdr:grpSp>
    <xdr:clientData fLocksWithSheet="0"/>
  </xdr:oneCellAnchor>
  <xdr:oneCellAnchor>
    <xdr:from>
      <xdr:col>0</xdr:col>
      <xdr:colOff>28575</xdr:colOff>
      <xdr:row>14</xdr:row>
      <xdr:rowOff>38100</xdr:rowOff>
    </xdr:from>
    <xdr:ext cx="1171575" cy="361950"/>
    <xdr:grpSp>
      <xdr:nvGrpSpPr>
        <xdr:cNvPr id="2" name="Shape 2" title="Drawing"/>
        <xdr:cNvGrpSpPr/>
      </xdr:nvGrpSpPr>
      <xdr:grpSpPr>
        <a:xfrm>
          <a:off x="335200" y="360250"/>
          <a:ext cx="2942100" cy="910500"/>
          <a:chOff x="335200" y="360250"/>
          <a:chExt cx="2942100" cy="910500"/>
        </a:xfrm>
      </xdr:grpSpPr>
      <xdr:sp>
        <xdr:nvSpPr>
          <xdr:cNvPr id="13" name="Shape 13"/>
          <xdr:cNvSpPr/>
        </xdr:nvSpPr>
        <xdr:spPr>
          <a:xfrm>
            <a:off x="360250" y="360250"/>
            <a:ext cx="2892000" cy="910500"/>
          </a:xfrm>
          <a:prstGeom prst="roundRect">
            <a:avLst>
              <a:gd fmla="val 16667" name="adj"/>
            </a:avLst>
          </a:prstGeom>
          <a:solidFill>
            <a:srgbClr val="274E1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4" name="Shape 14"/>
          <xdr:cNvSpPr txBox="1"/>
        </xdr:nvSpPr>
        <xdr:spPr>
          <a:xfrm>
            <a:off x="335200" y="446050"/>
            <a:ext cx="2942100" cy="7389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1800">
                <a:solidFill>
                  <a:srgbClr val="D9EAD3"/>
                </a:solidFill>
                <a:latin typeface="Lexend"/>
                <a:ea typeface="Lexend"/>
                <a:cs typeface="Lexend"/>
                <a:sym typeface="Lexend"/>
              </a:rPr>
              <a:t>Payment of receivables via cashier</a:t>
            </a:r>
            <a:endParaRPr sz="1800">
              <a:solidFill>
                <a:srgbClr val="D9EAD3"/>
              </a:solidFill>
              <a:latin typeface="Lexend"/>
              <a:ea typeface="Lexend"/>
              <a:cs typeface="Lexend"/>
              <a:sym typeface="Lexend"/>
            </a:endParaRPr>
          </a:p>
        </xdr:txBody>
      </xdr:sp>
    </xdr:grpSp>
    <xdr:clientData fLocksWithSheet="0"/>
  </xdr:oneCellAnchor>
  <xdr:oneCellAnchor>
    <xdr:from>
      <xdr:col>0</xdr:col>
      <xdr:colOff>28575</xdr:colOff>
      <xdr:row>16</xdr:row>
      <xdr:rowOff>85725</xdr:rowOff>
    </xdr:from>
    <xdr:ext cx="1171575" cy="361950"/>
    <xdr:grpSp>
      <xdr:nvGrpSpPr>
        <xdr:cNvPr id="2" name="Shape 2" title="Drawing"/>
        <xdr:cNvGrpSpPr/>
      </xdr:nvGrpSpPr>
      <xdr:grpSpPr>
        <a:xfrm>
          <a:off x="300200" y="360250"/>
          <a:ext cx="2942100" cy="890700"/>
          <a:chOff x="300200" y="360250"/>
          <a:chExt cx="2942100" cy="890700"/>
        </a:xfrm>
      </xdr:grpSpPr>
      <xdr:sp>
        <xdr:nvSpPr>
          <xdr:cNvPr id="15" name="Shape 15"/>
          <xdr:cNvSpPr/>
        </xdr:nvSpPr>
        <xdr:spPr>
          <a:xfrm>
            <a:off x="300200" y="360250"/>
            <a:ext cx="2942100" cy="890700"/>
          </a:xfrm>
          <a:prstGeom prst="roundRect">
            <a:avLst>
              <a:gd fmla="val 16667" name="adj"/>
            </a:avLst>
          </a:prstGeom>
          <a:solidFill>
            <a:srgbClr val="274E1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6" name="Shape 16"/>
          <xdr:cNvSpPr txBox="1"/>
        </xdr:nvSpPr>
        <xdr:spPr>
          <a:xfrm>
            <a:off x="950750" y="559300"/>
            <a:ext cx="1641000" cy="4926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2000">
                <a:solidFill>
                  <a:srgbClr val="D9EAD3"/>
                </a:solidFill>
                <a:latin typeface="Lexend"/>
                <a:ea typeface="Lexend"/>
                <a:cs typeface="Lexend"/>
                <a:sym typeface="Lexend"/>
              </a:rPr>
              <a:t>EXPENSES</a:t>
            </a:r>
            <a:endParaRPr sz="2000">
              <a:solidFill>
                <a:srgbClr val="D9EAD3"/>
              </a:solidFill>
              <a:latin typeface="Lexend"/>
              <a:ea typeface="Lexend"/>
              <a:cs typeface="Lexend"/>
              <a:sym typeface="Lexend"/>
            </a:endParaRPr>
          </a:p>
        </xdr:txBody>
      </xdr:sp>
    </xdr:grpSp>
    <xdr:clientData fLocksWithSheet="0"/>
  </xdr:oneCellAnchor>
  <xdr:oneCellAnchor>
    <xdr:from>
      <xdr:col>0</xdr:col>
      <xdr:colOff>28575</xdr:colOff>
      <xdr:row>9</xdr:row>
      <xdr:rowOff>133350</xdr:rowOff>
    </xdr:from>
    <xdr:ext cx="1171575" cy="361950"/>
    <xdr:grpSp>
      <xdr:nvGrpSpPr>
        <xdr:cNvPr id="2" name="Shape 2" title="Drawing"/>
        <xdr:cNvGrpSpPr/>
      </xdr:nvGrpSpPr>
      <xdr:grpSpPr>
        <a:xfrm>
          <a:off x="350250" y="360250"/>
          <a:ext cx="2892000" cy="900600"/>
          <a:chOff x="350250" y="360250"/>
          <a:chExt cx="2892000" cy="900600"/>
        </a:xfrm>
      </xdr:grpSpPr>
      <xdr:sp>
        <xdr:nvSpPr>
          <xdr:cNvPr id="17" name="Shape 17"/>
          <xdr:cNvSpPr/>
        </xdr:nvSpPr>
        <xdr:spPr>
          <a:xfrm>
            <a:off x="350250" y="360250"/>
            <a:ext cx="2892000" cy="900600"/>
          </a:xfrm>
          <a:prstGeom prst="roundRect">
            <a:avLst>
              <a:gd fmla="val 16667" name="adj"/>
            </a:avLst>
          </a:prstGeom>
          <a:solidFill>
            <a:srgbClr val="274E1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8" name="Shape 18"/>
          <xdr:cNvSpPr txBox="1"/>
        </xdr:nvSpPr>
        <xdr:spPr>
          <a:xfrm>
            <a:off x="1000650" y="564250"/>
            <a:ext cx="1591200" cy="4926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2000">
                <a:solidFill>
                  <a:srgbClr val="D9EAD3"/>
                </a:solidFill>
                <a:latin typeface="Lexend"/>
                <a:ea typeface="Lexend"/>
                <a:cs typeface="Lexend"/>
                <a:sym typeface="Lexend"/>
              </a:rPr>
              <a:t>Selling Oil</a:t>
            </a:r>
            <a:endParaRPr sz="2000">
              <a:solidFill>
                <a:srgbClr val="D9EAD3"/>
              </a:solidFill>
              <a:latin typeface="Lexend"/>
              <a:ea typeface="Lexend"/>
              <a:cs typeface="Lexend"/>
              <a:sym typeface="Lexend"/>
            </a:endParaRPr>
          </a:p>
        </xdr:txBody>
      </xdr:sp>
    </xdr:grpSp>
    <xdr:clientData fLocksWithSheet="0"/>
  </xdr:oneCellAnchor>
  <xdr:oneCellAnchor>
    <xdr:from>
      <xdr:col>0</xdr:col>
      <xdr:colOff>28575</xdr:colOff>
      <xdr:row>18</xdr:row>
      <xdr:rowOff>133350</xdr:rowOff>
    </xdr:from>
    <xdr:ext cx="1171575" cy="361950"/>
    <xdr:grpSp>
      <xdr:nvGrpSpPr>
        <xdr:cNvPr id="2" name="Shape 2" title="Drawing"/>
        <xdr:cNvGrpSpPr/>
      </xdr:nvGrpSpPr>
      <xdr:grpSpPr>
        <a:xfrm>
          <a:off x="340250" y="350250"/>
          <a:ext cx="2521800" cy="910500"/>
          <a:chOff x="340250" y="350250"/>
          <a:chExt cx="2521800" cy="910500"/>
        </a:xfrm>
      </xdr:grpSpPr>
      <xdr:sp>
        <xdr:nvSpPr>
          <xdr:cNvPr id="19" name="Shape 19"/>
          <xdr:cNvSpPr/>
        </xdr:nvSpPr>
        <xdr:spPr>
          <a:xfrm>
            <a:off x="340250" y="350250"/>
            <a:ext cx="2521800" cy="910500"/>
          </a:xfrm>
          <a:prstGeom prst="roundRect">
            <a:avLst>
              <a:gd fmla="val 16667" name="adj"/>
            </a:avLst>
          </a:prstGeom>
          <a:solidFill>
            <a:srgbClr val="274E13"/>
          </a:solidFill>
          <a:ln cap="flat" cmpd="sng" w="9525">
            <a:solidFill>
              <a:srgbClr val="38761D"/>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20" name="Shape 20"/>
          <xdr:cNvSpPr txBox="1"/>
        </xdr:nvSpPr>
        <xdr:spPr>
          <a:xfrm>
            <a:off x="625475" y="559200"/>
            <a:ext cx="1851300" cy="4926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2000">
                <a:solidFill>
                  <a:srgbClr val="D9EAD3"/>
                </a:solidFill>
                <a:latin typeface="Lexend"/>
                <a:ea typeface="Lexend"/>
                <a:cs typeface="Lexend"/>
                <a:sym typeface="Lexend"/>
              </a:rPr>
              <a:t>Report</a:t>
            </a:r>
            <a:endParaRPr sz="2000">
              <a:solidFill>
                <a:srgbClr val="D9EAD3"/>
              </a:solidFill>
              <a:latin typeface="Lexend"/>
              <a:ea typeface="Lexend"/>
              <a:cs typeface="Lexend"/>
              <a:sym typeface="Lexend"/>
            </a:endParaRPr>
          </a:p>
        </xdr:txBody>
      </xdr:sp>
    </xdr:grpSp>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400050</xdr:rowOff>
    </xdr:from>
    <xdr:ext cx="1171575" cy="361950"/>
    <xdr:grpSp>
      <xdr:nvGrpSpPr>
        <xdr:cNvPr id="2" name="Shape 2" title="Drawing"/>
        <xdr:cNvGrpSpPr/>
      </xdr:nvGrpSpPr>
      <xdr:grpSpPr>
        <a:xfrm>
          <a:off x="365475" y="359650"/>
          <a:ext cx="2879100" cy="902100"/>
          <a:chOff x="365475" y="359650"/>
          <a:chExt cx="2879100" cy="902100"/>
        </a:xfrm>
      </xdr:grpSpPr>
      <xdr:sp>
        <xdr:nvSpPr>
          <xdr:cNvPr id="3" name="Shape 3"/>
          <xdr:cNvSpPr/>
        </xdr:nvSpPr>
        <xdr:spPr>
          <a:xfrm>
            <a:off x="365475" y="359650"/>
            <a:ext cx="2879100" cy="902100"/>
          </a:xfrm>
          <a:prstGeom prst="roundRect">
            <a:avLst>
              <a:gd fmla="val 16667" name="adj"/>
            </a:avLst>
          </a:prstGeom>
          <a:solidFill>
            <a:srgbClr val="274E1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4" name="Shape 4"/>
          <xdr:cNvSpPr txBox="1"/>
        </xdr:nvSpPr>
        <xdr:spPr>
          <a:xfrm>
            <a:off x="739875" y="572200"/>
            <a:ext cx="2130300" cy="4770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1900">
                <a:solidFill>
                  <a:srgbClr val="D9EAD3"/>
                </a:solidFill>
                <a:latin typeface="Lexend"/>
                <a:ea typeface="Lexend"/>
                <a:cs typeface="Lexend"/>
                <a:sym typeface="Lexend"/>
              </a:rPr>
              <a:t>Transaction</a:t>
            </a:r>
            <a:endParaRPr sz="1900">
              <a:solidFill>
                <a:srgbClr val="D9EAD3"/>
              </a:solidFill>
              <a:latin typeface="Lexend"/>
              <a:ea typeface="Lexend"/>
              <a:cs typeface="Lexend"/>
              <a:sym typeface="Lexend"/>
            </a:endParaRPr>
          </a:p>
        </xdr:txBody>
      </xdr:sp>
    </xdr:grpSp>
    <xdr:clientData fLocksWithSheet="0"/>
  </xdr:oneCellAnchor>
  <xdr:oneCellAnchor>
    <xdr:from>
      <xdr:col>0</xdr:col>
      <xdr:colOff>28575</xdr:colOff>
      <xdr:row>3</xdr:row>
      <xdr:rowOff>19050</xdr:rowOff>
    </xdr:from>
    <xdr:ext cx="1171575" cy="361950"/>
    <xdr:grpSp>
      <xdr:nvGrpSpPr>
        <xdr:cNvPr id="2" name="Shape 2" title="Drawing"/>
        <xdr:cNvGrpSpPr/>
      </xdr:nvGrpSpPr>
      <xdr:grpSpPr>
        <a:xfrm>
          <a:off x="363125" y="359650"/>
          <a:ext cx="2881500" cy="912300"/>
          <a:chOff x="363125" y="359650"/>
          <a:chExt cx="2881500" cy="912300"/>
        </a:xfrm>
      </xdr:grpSpPr>
      <xdr:sp>
        <xdr:nvSpPr>
          <xdr:cNvPr id="5" name="Shape 5"/>
          <xdr:cNvSpPr/>
        </xdr:nvSpPr>
        <xdr:spPr>
          <a:xfrm>
            <a:off x="363125" y="359650"/>
            <a:ext cx="2881500" cy="912300"/>
          </a:xfrm>
          <a:prstGeom prst="roundRect">
            <a:avLst>
              <a:gd fmla="val 16667" name="adj"/>
            </a:avLst>
          </a:prstGeom>
          <a:solidFill>
            <a:srgbClr val="274E1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6" name="Shape 6"/>
          <xdr:cNvSpPr txBox="1"/>
        </xdr:nvSpPr>
        <xdr:spPr>
          <a:xfrm>
            <a:off x="572973" y="569500"/>
            <a:ext cx="2461800" cy="4926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2000">
                <a:solidFill>
                  <a:srgbClr val="D9EAD3"/>
                </a:solidFill>
                <a:latin typeface="Lexend"/>
                <a:ea typeface="Lexend"/>
                <a:cs typeface="Lexend"/>
                <a:sym typeface="Lexend"/>
              </a:rPr>
              <a:t>Database</a:t>
            </a:r>
            <a:endParaRPr sz="2000">
              <a:solidFill>
                <a:srgbClr val="D9EAD3"/>
              </a:solidFill>
              <a:latin typeface="Lexend"/>
              <a:ea typeface="Lexend"/>
              <a:cs typeface="Lexend"/>
              <a:sym typeface="Lexend"/>
            </a:endParaRPr>
          </a:p>
        </xdr:txBody>
      </xdr:sp>
    </xdr:grpSp>
    <xdr:clientData fLocksWithSheet="0"/>
  </xdr:oneCellAnchor>
  <xdr:oneCellAnchor>
    <xdr:from>
      <xdr:col>0</xdr:col>
      <xdr:colOff>28575</xdr:colOff>
      <xdr:row>5</xdr:row>
      <xdr:rowOff>38100</xdr:rowOff>
    </xdr:from>
    <xdr:ext cx="1171575" cy="361950"/>
    <xdr:grpSp>
      <xdr:nvGrpSpPr>
        <xdr:cNvPr id="2" name="Shape 2" title="Drawing"/>
        <xdr:cNvGrpSpPr/>
      </xdr:nvGrpSpPr>
      <xdr:grpSpPr>
        <a:xfrm>
          <a:off x="365475" y="359650"/>
          <a:ext cx="2871300" cy="905100"/>
          <a:chOff x="365475" y="359650"/>
          <a:chExt cx="2871300" cy="905100"/>
        </a:xfrm>
      </xdr:grpSpPr>
      <xdr:sp>
        <xdr:nvSpPr>
          <xdr:cNvPr id="7" name="Shape 7"/>
          <xdr:cNvSpPr/>
        </xdr:nvSpPr>
        <xdr:spPr>
          <a:xfrm>
            <a:off x="365475" y="359650"/>
            <a:ext cx="2871300" cy="905100"/>
          </a:xfrm>
          <a:prstGeom prst="roundRect">
            <a:avLst>
              <a:gd fmla="val 16667" name="adj"/>
            </a:avLst>
          </a:prstGeom>
          <a:solidFill>
            <a:srgbClr val="274E1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8" name="Shape 8"/>
          <xdr:cNvSpPr txBox="1"/>
        </xdr:nvSpPr>
        <xdr:spPr>
          <a:xfrm>
            <a:off x="847276" y="565900"/>
            <a:ext cx="1915500" cy="4926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2000">
                <a:solidFill>
                  <a:srgbClr val="D9EAD3"/>
                </a:solidFill>
                <a:latin typeface="Lexend"/>
                <a:ea typeface="Lexend"/>
                <a:cs typeface="Lexend"/>
                <a:sym typeface="Lexend"/>
              </a:rPr>
              <a:t>Selling</a:t>
            </a:r>
            <a:r>
              <a:rPr lang="en-US" sz="2000">
                <a:solidFill>
                  <a:srgbClr val="D9EAD3"/>
                </a:solidFill>
                <a:latin typeface="Lexend"/>
                <a:ea typeface="Lexend"/>
                <a:cs typeface="Lexend"/>
                <a:sym typeface="Lexend"/>
              </a:rPr>
              <a:t> Cash</a:t>
            </a:r>
            <a:endParaRPr sz="2000">
              <a:solidFill>
                <a:srgbClr val="D9EAD3"/>
              </a:solidFill>
              <a:latin typeface="Lexend"/>
              <a:ea typeface="Lexend"/>
              <a:cs typeface="Lexend"/>
              <a:sym typeface="Lexend"/>
            </a:endParaRPr>
          </a:p>
        </xdr:txBody>
      </xdr:sp>
    </xdr:grpSp>
    <xdr:clientData fLocksWithSheet="0"/>
  </xdr:oneCellAnchor>
  <xdr:oneCellAnchor>
    <xdr:from>
      <xdr:col>0</xdr:col>
      <xdr:colOff>28575</xdr:colOff>
      <xdr:row>7</xdr:row>
      <xdr:rowOff>85725</xdr:rowOff>
    </xdr:from>
    <xdr:ext cx="1171575" cy="361950"/>
    <xdr:grpSp>
      <xdr:nvGrpSpPr>
        <xdr:cNvPr id="2" name="Shape 2" title="Drawing"/>
        <xdr:cNvGrpSpPr/>
      </xdr:nvGrpSpPr>
      <xdr:grpSpPr>
        <a:xfrm>
          <a:off x="360025" y="367450"/>
          <a:ext cx="2884500" cy="905100"/>
          <a:chOff x="360025" y="367450"/>
          <a:chExt cx="2884500" cy="905100"/>
        </a:xfrm>
      </xdr:grpSpPr>
      <xdr:sp>
        <xdr:nvSpPr>
          <xdr:cNvPr id="9" name="Shape 9"/>
          <xdr:cNvSpPr/>
        </xdr:nvSpPr>
        <xdr:spPr>
          <a:xfrm>
            <a:off x="360025" y="367450"/>
            <a:ext cx="2884500" cy="905100"/>
          </a:xfrm>
          <a:prstGeom prst="roundRect">
            <a:avLst>
              <a:gd fmla="val 16667" name="adj"/>
            </a:avLst>
          </a:prstGeom>
          <a:solidFill>
            <a:srgbClr val="274E1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0" name="Shape 10"/>
          <xdr:cNvSpPr txBox="1"/>
        </xdr:nvSpPr>
        <xdr:spPr>
          <a:xfrm>
            <a:off x="800575" y="573700"/>
            <a:ext cx="2003400" cy="4926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2000">
                <a:solidFill>
                  <a:srgbClr val="D9EAD3"/>
                </a:solidFill>
                <a:latin typeface="Lexend"/>
                <a:ea typeface="Lexend"/>
                <a:cs typeface="Lexend"/>
                <a:sym typeface="Lexend"/>
              </a:rPr>
              <a:t>Selling Credit</a:t>
            </a:r>
            <a:endParaRPr sz="2000">
              <a:solidFill>
                <a:srgbClr val="D9EAD3"/>
              </a:solidFill>
              <a:latin typeface="Lexend"/>
              <a:ea typeface="Lexend"/>
              <a:cs typeface="Lexend"/>
              <a:sym typeface="Lexend"/>
            </a:endParaRPr>
          </a:p>
        </xdr:txBody>
      </xdr:sp>
    </xdr:grpSp>
    <xdr:clientData fLocksWithSheet="0"/>
  </xdr:oneCellAnchor>
  <xdr:oneCellAnchor>
    <xdr:from>
      <xdr:col>0</xdr:col>
      <xdr:colOff>28575</xdr:colOff>
      <xdr:row>11</xdr:row>
      <xdr:rowOff>180975</xdr:rowOff>
    </xdr:from>
    <xdr:ext cx="1171575" cy="361950"/>
    <xdr:grpSp>
      <xdr:nvGrpSpPr>
        <xdr:cNvPr id="2" name="Shape 2" title="Drawing"/>
        <xdr:cNvGrpSpPr/>
      </xdr:nvGrpSpPr>
      <xdr:grpSpPr>
        <a:xfrm>
          <a:off x="371625" y="370800"/>
          <a:ext cx="2874300" cy="863400"/>
          <a:chOff x="371625" y="370800"/>
          <a:chExt cx="2874300" cy="863400"/>
        </a:xfrm>
      </xdr:grpSpPr>
      <xdr:sp>
        <xdr:nvSpPr>
          <xdr:cNvPr id="11" name="Shape 11"/>
          <xdr:cNvSpPr/>
        </xdr:nvSpPr>
        <xdr:spPr>
          <a:xfrm>
            <a:off x="371625" y="370800"/>
            <a:ext cx="2874300" cy="863400"/>
          </a:xfrm>
          <a:prstGeom prst="roundRect">
            <a:avLst>
              <a:gd fmla="val 16667" name="adj"/>
            </a:avLst>
          </a:prstGeom>
          <a:solidFill>
            <a:srgbClr val="274E1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2" name="Shape 12"/>
          <xdr:cNvSpPr txBox="1"/>
        </xdr:nvSpPr>
        <xdr:spPr>
          <a:xfrm>
            <a:off x="804675" y="556200"/>
            <a:ext cx="2008200" cy="4926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2000">
                <a:solidFill>
                  <a:srgbClr val="D9EAD3"/>
                </a:solidFill>
                <a:latin typeface="Lexend"/>
                <a:ea typeface="Lexend"/>
                <a:cs typeface="Lexend"/>
                <a:sym typeface="Lexend"/>
              </a:rPr>
              <a:t>Puchase</a:t>
            </a:r>
            <a:endParaRPr sz="2000">
              <a:solidFill>
                <a:srgbClr val="D9EAD3"/>
              </a:solidFill>
              <a:latin typeface="Lexend"/>
              <a:ea typeface="Lexend"/>
              <a:cs typeface="Lexend"/>
              <a:sym typeface="Lexend"/>
            </a:endParaRPr>
          </a:p>
        </xdr:txBody>
      </xdr:sp>
    </xdr:grpSp>
    <xdr:clientData fLocksWithSheet="0"/>
  </xdr:oneCellAnchor>
  <xdr:oneCellAnchor>
    <xdr:from>
      <xdr:col>0</xdr:col>
      <xdr:colOff>28575</xdr:colOff>
      <xdr:row>14</xdr:row>
      <xdr:rowOff>38100</xdr:rowOff>
    </xdr:from>
    <xdr:ext cx="1171575" cy="361950"/>
    <xdr:grpSp>
      <xdr:nvGrpSpPr>
        <xdr:cNvPr id="2" name="Shape 2" title="Drawing"/>
        <xdr:cNvGrpSpPr/>
      </xdr:nvGrpSpPr>
      <xdr:grpSpPr>
        <a:xfrm>
          <a:off x="335200" y="360250"/>
          <a:ext cx="2942100" cy="910500"/>
          <a:chOff x="335200" y="360250"/>
          <a:chExt cx="2942100" cy="910500"/>
        </a:xfrm>
      </xdr:grpSpPr>
      <xdr:sp>
        <xdr:nvSpPr>
          <xdr:cNvPr id="13" name="Shape 13"/>
          <xdr:cNvSpPr/>
        </xdr:nvSpPr>
        <xdr:spPr>
          <a:xfrm>
            <a:off x="360250" y="360250"/>
            <a:ext cx="2892000" cy="910500"/>
          </a:xfrm>
          <a:prstGeom prst="roundRect">
            <a:avLst>
              <a:gd fmla="val 16667" name="adj"/>
            </a:avLst>
          </a:prstGeom>
          <a:solidFill>
            <a:srgbClr val="274E1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4" name="Shape 14"/>
          <xdr:cNvSpPr txBox="1"/>
        </xdr:nvSpPr>
        <xdr:spPr>
          <a:xfrm>
            <a:off x="335200" y="446050"/>
            <a:ext cx="2942100" cy="7389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1800">
                <a:solidFill>
                  <a:srgbClr val="D9EAD3"/>
                </a:solidFill>
                <a:latin typeface="Lexend"/>
                <a:ea typeface="Lexend"/>
                <a:cs typeface="Lexend"/>
                <a:sym typeface="Lexend"/>
              </a:rPr>
              <a:t>Payment of receivables via cashier</a:t>
            </a:r>
            <a:endParaRPr sz="1800">
              <a:solidFill>
                <a:srgbClr val="D9EAD3"/>
              </a:solidFill>
              <a:latin typeface="Lexend"/>
              <a:ea typeface="Lexend"/>
              <a:cs typeface="Lexend"/>
              <a:sym typeface="Lexend"/>
            </a:endParaRPr>
          </a:p>
        </xdr:txBody>
      </xdr:sp>
    </xdr:grpSp>
    <xdr:clientData fLocksWithSheet="0"/>
  </xdr:oneCellAnchor>
  <xdr:oneCellAnchor>
    <xdr:from>
      <xdr:col>0</xdr:col>
      <xdr:colOff>28575</xdr:colOff>
      <xdr:row>16</xdr:row>
      <xdr:rowOff>85725</xdr:rowOff>
    </xdr:from>
    <xdr:ext cx="1171575" cy="361950"/>
    <xdr:grpSp>
      <xdr:nvGrpSpPr>
        <xdr:cNvPr id="2" name="Shape 2" title="Drawing"/>
        <xdr:cNvGrpSpPr/>
      </xdr:nvGrpSpPr>
      <xdr:grpSpPr>
        <a:xfrm>
          <a:off x="300200" y="360250"/>
          <a:ext cx="2942100" cy="890700"/>
          <a:chOff x="300200" y="360250"/>
          <a:chExt cx="2942100" cy="890700"/>
        </a:xfrm>
      </xdr:grpSpPr>
      <xdr:sp>
        <xdr:nvSpPr>
          <xdr:cNvPr id="15" name="Shape 15"/>
          <xdr:cNvSpPr/>
        </xdr:nvSpPr>
        <xdr:spPr>
          <a:xfrm>
            <a:off x="300200" y="360250"/>
            <a:ext cx="2942100" cy="890700"/>
          </a:xfrm>
          <a:prstGeom prst="roundRect">
            <a:avLst>
              <a:gd fmla="val 16667" name="adj"/>
            </a:avLst>
          </a:prstGeom>
          <a:solidFill>
            <a:srgbClr val="274E1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6" name="Shape 16"/>
          <xdr:cNvSpPr txBox="1"/>
        </xdr:nvSpPr>
        <xdr:spPr>
          <a:xfrm>
            <a:off x="950750" y="559300"/>
            <a:ext cx="1641000" cy="4926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2000">
                <a:solidFill>
                  <a:srgbClr val="D9EAD3"/>
                </a:solidFill>
                <a:latin typeface="Lexend"/>
                <a:ea typeface="Lexend"/>
                <a:cs typeface="Lexend"/>
                <a:sym typeface="Lexend"/>
              </a:rPr>
              <a:t>EXPENSES</a:t>
            </a:r>
            <a:endParaRPr sz="2000">
              <a:solidFill>
                <a:srgbClr val="D9EAD3"/>
              </a:solidFill>
              <a:latin typeface="Lexend"/>
              <a:ea typeface="Lexend"/>
              <a:cs typeface="Lexend"/>
              <a:sym typeface="Lexend"/>
            </a:endParaRPr>
          </a:p>
        </xdr:txBody>
      </xdr:sp>
    </xdr:grpSp>
    <xdr:clientData fLocksWithSheet="0"/>
  </xdr:oneCellAnchor>
  <xdr:oneCellAnchor>
    <xdr:from>
      <xdr:col>0</xdr:col>
      <xdr:colOff>28575</xdr:colOff>
      <xdr:row>9</xdr:row>
      <xdr:rowOff>133350</xdr:rowOff>
    </xdr:from>
    <xdr:ext cx="1171575" cy="361950"/>
    <xdr:grpSp>
      <xdr:nvGrpSpPr>
        <xdr:cNvPr id="2" name="Shape 2" title="Drawing"/>
        <xdr:cNvGrpSpPr/>
      </xdr:nvGrpSpPr>
      <xdr:grpSpPr>
        <a:xfrm>
          <a:off x="350250" y="360250"/>
          <a:ext cx="2892000" cy="900600"/>
          <a:chOff x="350250" y="360250"/>
          <a:chExt cx="2892000" cy="900600"/>
        </a:xfrm>
      </xdr:grpSpPr>
      <xdr:sp>
        <xdr:nvSpPr>
          <xdr:cNvPr id="17" name="Shape 17"/>
          <xdr:cNvSpPr/>
        </xdr:nvSpPr>
        <xdr:spPr>
          <a:xfrm>
            <a:off x="350250" y="360250"/>
            <a:ext cx="2892000" cy="900600"/>
          </a:xfrm>
          <a:prstGeom prst="roundRect">
            <a:avLst>
              <a:gd fmla="val 16667" name="adj"/>
            </a:avLst>
          </a:prstGeom>
          <a:solidFill>
            <a:srgbClr val="274E1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8" name="Shape 18"/>
          <xdr:cNvSpPr txBox="1"/>
        </xdr:nvSpPr>
        <xdr:spPr>
          <a:xfrm>
            <a:off x="1000650" y="564250"/>
            <a:ext cx="1591200" cy="4926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2000">
                <a:solidFill>
                  <a:srgbClr val="D9EAD3"/>
                </a:solidFill>
                <a:latin typeface="Lexend"/>
                <a:ea typeface="Lexend"/>
                <a:cs typeface="Lexend"/>
                <a:sym typeface="Lexend"/>
              </a:rPr>
              <a:t>Selling Oil</a:t>
            </a:r>
            <a:endParaRPr sz="2000">
              <a:solidFill>
                <a:srgbClr val="D9EAD3"/>
              </a:solidFill>
              <a:latin typeface="Lexend"/>
              <a:ea typeface="Lexend"/>
              <a:cs typeface="Lexend"/>
              <a:sym typeface="Lexend"/>
            </a:endParaRPr>
          </a:p>
        </xdr:txBody>
      </xdr:sp>
    </xdr:grpSp>
    <xdr:clientData fLocksWithSheet="0"/>
  </xdr:oneCellAnchor>
  <xdr:oneCellAnchor>
    <xdr:from>
      <xdr:col>0</xdr:col>
      <xdr:colOff>28575</xdr:colOff>
      <xdr:row>18</xdr:row>
      <xdr:rowOff>133350</xdr:rowOff>
    </xdr:from>
    <xdr:ext cx="1171575" cy="361950"/>
    <xdr:grpSp>
      <xdr:nvGrpSpPr>
        <xdr:cNvPr id="2" name="Shape 2" title="Drawing"/>
        <xdr:cNvGrpSpPr/>
      </xdr:nvGrpSpPr>
      <xdr:grpSpPr>
        <a:xfrm>
          <a:off x="340250" y="350250"/>
          <a:ext cx="2521800" cy="910500"/>
          <a:chOff x="340250" y="350250"/>
          <a:chExt cx="2521800" cy="910500"/>
        </a:xfrm>
      </xdr:grpSpPr>
      <xdr:sp>
        <xdr:nvSpPr>
          <xdr:cNvPr id="19" name="Shape 19"/>
          <xdr:cNvSpPr/>
        </xdr:nvSpPr>
        <xdr:spPr>
          <a:xfrm>
            <a:off x="340250" y="350250"/>
            <a:ext cx="2521800" cy="910500"/>
          </a:xfrm>
          <a:prstGeom prst="roundRect">
            <a:avLst>
              <a:gd fmla="val 16667" name="adj"/>
            </a:avLst>
          </a:prstGeom>
          <a:solidFill>
            <a:srgbClr val="274E13"/>
          </a:solidFill>
          <a:ln cap="flat" cmpd="sng" w="9525">
            <a:solidFill>
              <a:srgbClr val="38761D"/>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20" name="Shape 20"/>
          <xdr:cNvSpPr txBox="1"/>
        </xdr:nvSpPr>
        <xdr:spPr>
          <a:xfrm>
            <a:off x="625475" y="559200"/>
            <a:ext cx="1851300" cy="4926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2000">
                <a:solidFill>
                  <a:srgbClr val="D9EAD3"/>
                </a:solidFill>
                <a:latin typeface="Lexend"/>
                <a:ea typeface="Lexend"/>
                <a:cs typeface="Lexend"/>
                <a:sym typeface="Lexend"/>
              </a:rPr>
              <a:t>Report</a:t>
            </a:r>
            <a:endParaRPr sz="2000">
              <a:solidFill>
                <a:srgbClr val="D9EAD3"/>
              </a:solidFill>
              <a:latin typeface="Lexend"/>
              <a:ea typeface="Lexend"/>
              <a:cs typeface="Lexend"/>
              <a:sym typeface="Lexend"/>
            </a:endParaRPr>
          </a:p>
        </xdr:txBody>
      </xdr:sp>
    </xdr:grpSp>
    <xdr:clientData fLocksWithSheet="0"/>
  </xdr:oneCellAnchor>
  <xdr:oneCellAnchor>
    <xdr:from>
      <xdr:col>20</xdr:col>
      <xdr:colOff>657225</xdr:colOff>
      <xdr:row>0</xdr:row>
      <xdr:rowOff>409575</xdr:rowOff>
    </xdr:from>
    <xdr:ext cx="1009650" cy="361950"/>
    <xdr:grpSp>
      <xdr:nvGrpSpPr>
        <xdr:cNvPr id="2" name="Shape 2" title="Drawing"/>
        <xdr:cNvGrpSpPr/>
      </xdr:nvGrpSpPr>
      <xdr:grpSpPr>
        <a:xfrm>
          <a:off x="933900" y="1025250"/>
          <a:ext cx="1857600" cy="585900"/>
          <a:chOff x="933900" y="1025250"/>
          <a:chExt cx="1857600" cy="585900"/>
        </a:xfrm>
      </xdr:grpSpPr>
      <xdr:sp>
        <xdr:nvSpPr>
          <xdr:cNvPr id="21" name="Shape 21"/>
          <xdr:cNvSpPr/>
        </xdr:nvSpPr>
        <xdr:spPr>
          <a:xfrm>
            <a:off x="933900" y="1025250"/>
            <a:ext cx="1857600" cy="585900"/>
          </a:xfrm>
          <a:prstGeom prst="roundRect">
            <a:avLst>
              <a:gd fmla="val 16667" name="adj"/>
            </a:avLst>
          </a:prstGeom>
          <a:solidFill>
            <a:srgbClr val="6AA84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22" name="Shape 22"/>
          <xdr:cNvSpPr txBox="1"/>
        </xdr:nvSpPr>
        <xdr:spPr>
          <a:xfrm>
            <a:off x="1324650" y="1118100"/>
            <a:ext cx="1076100" cy="4002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400"/>
              <a:t>GET DATA</a:t>
            </a:r>
            <a:endParaRPr sz="1400"/>
          </a:p>
        </xdr:txBody>
      </xdr:sp>
    </xdr:grpSp>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400050</xdr:rowOff>
    </xdr:from>
    <xdr:ext cx="1171575" cy="361950"/>
    <xdr:grpSp>
      <xdr:nvGrpSpPr>
        <xdr:cNvPr id="2" name="Shape 2" title="Drawing"/>
        <xdr:cNvGrpSpPr/>
      </xdr:nvGrpSpPr>
      <xdr:grpSpPr>
        <a:xfrm>
          <a:off x="365475" y="359650"/>
          <a:ext cx="2879100" cy="902100"/>
          <a:chOff x="365475" y="359650"/>
          <a:chExt cx="2879100" cy="902100"/>
        </a:xfrm>
      </xdr:grpSpPr>
      <xdr:sp>
        <xdr:nvSpPr>
          <xdr:cNvPr id="3" name="Shape 3"/>
          <xdr:cNvSpPr/>
        </xdr:nvSpPr>
        <xdr:spPr>
          <a:xfrm>
            <a:off x="365475" y="359650"/>
            <a:ext cx="2879100" cy="902100"/>
          </a:xfrm>
          <a:prstGeom prst="roundRect">
            <a:avLst>
              <a:gd fmla="val 16667" name="adj"/>
            </a:avLst>
          </a:prstGeom>
          <a:solidFill>
            <a:srgbClr val="274E1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4" name="Shape 4"/>
          <xdr:cNvSpPr txBox="1"/>
        </xdr:nvSpPr>
        <xdr:spPr>
          <a:xfrm>
            <a:off x="739875" y="572200"/>
            <a:ext cx="2130300" cy="4770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1900">
                <a:solidFill>
                  <a:srgbClr val="D9EAD3"/>
                </a:solidFill>
                <a:latin typeface="Lexend"/>
                <a:ea typeface="Lexend"/>
                <a:cs typeface="Lexend"/>
                <a:sym typeface="Lexend"/>
              </a:rPr>
              <a:t>Transaction</a:t>
            </a:r>
            <a:endParaRPr sz="1900">
              <a:solidFill>
                <a:srgbClr val="D9EAD3"/>
              </a:solidFill>
              <a:latin typeface="Lexend"/>
              <a:ea typeface="Lexend"/>
              <a:cs typeface="Lexend"/>
              <a:sym typeface="Lexend"/>
            </a:endParaRPr>
          </a:p>
        </xdr:txBody>
      </xdr:sp>
    </xdr:grpSp>
    <xdr:clientData fLocksWithSheet="0"/>
  </xdr:oneCellAnchor>
  <xdr:oneCellAnchor>
    <xdr:from>
      <xdr:col>0</xdr:col>
      <xdr:colOff>28575</xdr:colOff>
      <xdr:row>3</xdr:row>
      <xdr:rowOff>19050</xdr:rowOff>
    </xdr:from>
    <xdr:ext cx="1171575" cy="361950"/>
    <xdr:grpSp>
      <xdr:nvGrpSpPr>
        <xdr:cNvPr id="2" name="Shape 2" title="Drawing"/>
        <xdr:cNvGrpSpPr/>
      </xdr:nvGrpSpPr>
      <xdr:grpSpPr>
        <a:xfrm>
          <a:off x="363125" y="359650"/>
          <a:ext cx="2881500" cy="912300"/>
          <a:chOff x="363125" y="359650"/>
          <a:chExt cx="2881500" cy="912300"/>
        </a:xfrm>
      </xdr:grpSpPr>
      <xdr:sp>
        <xdr:nvSpPr>
          <xdr:cNvPr id="5" name="Shape 5"/>
          <xdr:cNvSpPr/>
        </xdr:nvSpPr>
        <xdr:spPr>
          <a:xfrm>
            <a:off x="363125" y="359650"/>
            <a:ext cx="2881500" cy="912300"/>
          </a:xfrm>
          <a:prstGeom prst="roundRect">
            <a:avLst>
              <a:gd fmla="val 16667" name="adj"/>
            </a:avLst>
          </a:prstGeom>
          <a:solidFill>
            <a:srgbClr val="274E1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6" name="Shape 6"/>
          <xdr:cNvSpPr txBox="1"/>
        </xdr:nvSpPr>
        <xdr:spPr>
          <a:xfrm>
            <a:off x="572973" y="569500"/>
            <a:ext cx="2461800" cy="4926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2000">
                <a:solidFill>
                  <a:srgbClr val="D9EAD3"/>
                </a:solidFill>
                <a:latin typeface="Lexend"/>
                <a:ea typeface="Lexend"/>
                <a:cs typeface="Lexend"/>
                <a:sym typeface="Lexend"/>
              </a:rPr>
              <a:t>Database</a:t>
            </a:r>
            <a:endParaRPr sz="2000">
              <a:solidFill>
                <a:srgbClr val="D9EAD3"/>
              </a:solidFill>
              <a:latin typeface="Lexend"/>
              <a:ea typeface="Lexend"/>
              <a:cs typeface="Lexend"/>
              <a:sym typeface="Lexend"/>
            </a:endParaRPr>
          </a:p>
        </xdr:txBody>
      </xdr:sp>
    </xdr:grpSp>
    <xdr:clientData fLocksWithSheet="0"/>
  </xdr:oneCellAnchor>
  <xdr:oneCellAnchor>
    <xdr:from>
      <xdr:col>0</xdr:col>
      <xdr:colOff>28575</xdr:colOff>
      <xdr:row>5</xdr:row>
      <xdr:rowOff>38100</xdr:rowOff>
    </xdr:from>
    <xdr:ext cx="1171575" cy="361950"/>
    <xdr:grpSp>
      <xdr:nvGrpSpPr>
        <xdr:cNvPr id="2" name="Shape 2" title="Drawing"/>
        <xdr:cNvGrpSpPr/>
      </xdr:nvGrpSpPr>
      <xdr:grpSpPr>
        <a:xfrm>
          <a:off x="365475" y="359650"/>
          <a:ext cx="2871300" cy="905100"/>
          <a:chOff x="365475" y="359650"/>
          <a:chExt cx="2871300" cy="905100"/>
        </a:xfrm>
      </xdr:grpSpPr>
      <xdr:sp>
        <xdr:nvSpPr>
          <xdr:cNvPr id="7" name="Shape 7"/>
          <xdr:cNvSpPr/>
        </xdr:nvSpPr>
        <xdr:spPr>
          <a:xfrm>
            <a:off x="365475" y="359650"/>
            <a:ext cx="2871300" cy="905100"/>
          </a:xfrm>
          <a:prstGeom prst="roundRect">
            <a:avLst>
              <a:gd fmla="val 16667" name="adj"/>
            </a:avLst>
          </a:prstGeom>
          <a:solidFill>
            <a:srgbClr val="274E1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8" name="Shape 8"/>
          <xdr:cNvSpPr txBox="1"/>
        </xdr:nvSpPr>
        <xdr:spPr>
          <a:xfrm>
            <a:off x="847276" y="565900"/>
            <a:ext cx="1915500" cy="4926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2000">
                <a:solidFill>
                  <a:srgbClr val="D9EAD3"/>
                </a:solidFill>
                <a:latin typeface="Lexend"/>
                <a:ea typeface="Lexend"/>
                <a:cs typeface="Lexend"/>
                <a:sym typeface="Lexend"/>
              </a:rPr>
              <a:t>Selling</a:t>
            </a:r>
            <a:r>
              <a:rPr lang="en-US" sz="2000">
                <a:solidFill>
                  <a:srgbClr val="D9EAD3"/>
                </a:solidFill>
                <a:latin typeface="Lexend"/>
                <a:ea typeface="Lexend"/>
                <a:cs typeface="Lexend"/>
                <a:sym typeface="Lexend"/>
              </a:rPr>
              <a:t> Cash</a:t>
            </a:r>
            <a:endParaRPr sz="2000">
              <a:solidFill>
                <a:srgbClr val="D9EAD3"/>
              </a:solidFill>
              <a:latin typeface="Lexend"/>
              <a:ea typeface="Lexend"/>
              <a:cs typeface="Lexend"/>
              <a:sym typeface="Lexend"/>
            </a:endParaRPr>
          </a:p>
        </xdr:txBody>
      </xdr:sp>
    </xdr:grpSp>
    <xdr:clientData fLocksWithSheet="0"/>
  </xdr:oneCellAnchor>
  <xdr:oneCellAnchor>
    <xdr:from>
      <xdr:col>0</xdr:col>
      <xdr:colOff>28575</xdr:colOff>
      <xdr:row>7</xdr:row>
      <xdr:rowOff>85725</xdr:rowOff>
    </xdr:from>
    <xdr:ext cx="1171575" cy="361950"/>
    <xdr:grpSp>
      <xdr:nvGrpSpPr>
        <xdr:cNvPr id="2" name="Shape 2" title="Drawing"/>
        <xdr:cNvGrpSpPr/>
      </xdr:nvGrpSpPr>
      <xdr:grpSpPr>
        <a:xfrm>
          <a:off x="360025" y="367450"/>
          <a:ext cx="2884500" cy="905100"/>
          <a:chOff x="360025" y="367450"/>
          <a:chExt cx="2884500" cy="905100"/>
        </a:xfrm>
      </xdr:grpSpPr>
      <xdr:sp>
        <xdr:nvSpPr>
          <xdr:cNvPr id="9" name="Shape 9"/>
          <xdr:cNvSpPr/>
        </xdr:nvSpPr>
        <xdr:spPr>
          <a:xfrm>
            <a:off x="360025" y="367450"/>
            <a:ext cx="2884500" cy="905100"/>
          </a:xfrm>
          <a:prstGeom prst="roundRect">
            <a:avLst>
              <a:gd fmla="val 16667" name="adj"/>
            </a:avLst>
          </a:prstGeom>
          <a:solidFill>
            <a:srgbClr val="274E1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0" name="Shape 10"/>
          <xdr:cNvSpPr txBox="1"/>
        </xdr:nvSpPr>
        <xdr:spPr>
          <a:xfrm>
            <a:off x="800575" y="573700"/>
            <a:ext cx="2003400" cy="4926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2000">
                <a:solidFill>
                  <a:srgbClr val="D9EAD3"/>
                </a:solidFill>
                <a:latin typeface="Lexend"/>
                <a:ea typeface="Lexend"/>
                <a:cs typeface="Lexend"/>
                <a:sym typeface="Lexend"/>
              </a:rPr>
              <a:t>Selling Credit</a:t>
            </a:r>
            <a:endParaRPr sz="2000">
              <a:solidFill>
                <a:srgbClr val="D9EAD3"/>
              </a:solidFill>
              <a:latin typeface="Lexend"/>
              <a:ea typeface="Lexend"/>
              <a:cs typeface="Lexend"/>
              <a:sym typeface="Lexend"/>
            </a:endParaRPr>
          </a:p>
        </xdr:txBody>
      </xdr:sp>
    </xdr:grpSp>
    <xdr:clientData fLocksWithSheet="0"/>
  </xdr:oneCellAnchor>
  <xdr:oneCellAnchor>
    <xdr:from>
      <xdr:col>0</xdr:col>
      <xdr:colOff>28575</xdr:colOff>
      <xdr:row>11</xdr:row>
      <xdr:rowOff>180975</xdr:rowOff>
    </xdr:from>
    <xdr:ext cx="1171575" cy="361950"/>
    <xdr:grpSp>
      <xdr:nvGrpSpPr>
        <xdr:cNvPr id="2" name="Shape 2" title="Drawing"/>
        <xdr:cNvGrpSpPr/>
      </xdr:nvGrpSpPr>
      <xdr:grpSpPr>
        <a:xfrm>
          <a:off x="371625" y="370800"/>
          <a:ext cx="2874300" cy="863400"/>
          <a:chOff x="371625" y="370800"/>
          <a:chExt cx="2874300" cy="863400"/>
        </a:xfrm>
      </xdr:grpSpPr>
      <xdr:sp>
        <xdr:nvSpPr>
          <xdr:cNvPr id="11" name="Shape 11"/>
          <xdr:cNvSpPr/>
        </xdr:nvSpPr>
        <xdr:spPr>
          <a:xfrm>
            <a:off x="371625" y="370800"/>
            <a:ext cx="2874300" cy="863400"/>
          </a:xfrm>
          <a:prstGeom prst="roundRect">
            <a:avLst>
              <a:gd fmla="val 16667" name="adj"/>
            </a:avLst>
          </a:prstGeom>
          <a:solidFill>
            <a:srgbClr val="274E1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2" name="Shape 12"/>
          <xdr:cNvSpPr txBox="1"/>
        </xdr:nvSpPr>
        <xdr:spPr>
          <a:xfrm>
            <a:off x="804675" y="556200"/>
            <a:ext cx="2008200" cy="4926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2000">
                <a:solidFill>
                  <a:srgbClr val="D9EAD3"/>
                </a:solidFill>
                <a:latin typeface="Lexend"/>
                <a:ea typeface="Lexend"/>
                <a:cs typeface="Lexend"/>
                <a:sym typeface="Lexend"/>
              </a:rPr>
              <a:t>Puchase</a:t>
            </a:r>
            <a:endParaRPr sz="2000">
              <a:solidFill>
                <a:srgbClr val="D9EAD3"/>
              </a:solidFill>
              <a:latin typeface="Lexend"/>
              <a:ea typeface="Lexend"/>
              <a:cs typeface="Lexend"/>
              <a:sym typeface="Lexend"/>
            </a:endParaRPr>
          </a:p>
        </xdr:txBody>
      </xdr:sp>
    </xdr:grpSp>
    <xdr:clientData fLocksWithSheet="0"/>
  </xdr:oneCellAnchor>
  <xdr:oneCellAnchor>
    <xdr:from>
      <xdr:col>0</xdr:col>
      <xdr:colOff>28575</xdr:colOff>
      <xdr:row>14</xdr:row>
      <xdr:rowOff>38100</xdr:rowOff>
    </xdr:from>
    <xdr:ext cx="1171575" cy="361950"/>
    <xdr:grpSp>
      <xdr:nvGrpSpPr>
        <xdr:cNvPr id="2" name="Shape 2" title="Drawing"/>
        <xdr:cNvGrpSpPr/>
      </xdr:nvGrpSpPr>
      <xdr:grpSpPr>
        <a:xfrm>
          <a:off x="335200" y="360250"/>
          <a:ext cx="2942100" cy="910500"/>
          <a:chOff x="335200" y="360250"/>
          <a:chExt cx="2942100" cy="910500"/>
        </a:xfrm>
      </xdr:grpSpPr>
      <xdr:sp>
        <xdr:nvSpPr>
          <xdr:cNvPr id="13" name="Shape 13"/>
          <xdr:cNvSpPr/>
        </xdr:nvSpPr>
        <xdr:spPr>
          <a:xfrm>
            <a:off x="360250" y="360250"/>
            <a:ext cx="2892000" cy="910500"/>
          </a:xfrm>
          <a:prstGeom prst="roundRect">
            <a:avLst>
              <a:gd fmla="val 16667" name="adj"/>
            </a:avLst>
          </a:prstGeom>
          <a:solidFill>
            <a:srgbClr val="274E1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4" name="Shape 14"/>
          <xdr:cNvSpPr txBox="1"/>
        </xdr:nvSpPr>
        <xdr:spPr>
          <a:xfrm>
            <a:off x="335200" y="446050"/>
            <a:ext cx="2942100" cy="7389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1800">
                <a:solidFill>
                  <a:srgbClr val="D9EAD3"/>
                </a:solidFill>
                <a:latin typeface="Lexend"/>
                <a:ea typeface="Lexend"/>
                <a:cs typeface="Lexend"/>
                <a:sym typeface="Lexend"/>
              </a:rPr>
              <a:t>Payment of receivables via cashier</a:t>
            </a:r>
            <a:endParaRPr sz="1800">
              <a:solidFill>
                <a:srgbClr val="D9EAD3"/>
              </a:solidFill>
              <a:latin typeface="Lexend"/>
              <a:ea typeface="Lexend"/>
              <a:cs typeface="Lexend"/>
              <a:sym typeface="Lexend"/>
            </a:endParaRPr>
          </a:p>
        </xdr:txBody>
      </xdr:sp>
    </xdr:grpSp>
    <xdr:clientData fLocksWithSheet="0"/>
  </xdr:oneCellAnchor>
  <xdr:oneCellAnchor>
    <xdr:from>
      <xdr:col>0</xdr:col>
      <xdr:colOff>28575</xdr:colOff>
      <xdr:row>16</xdr:row>
      <xdr:rowOff>85725</xdr:rowOff>
    </xdr:from>
    <xdr:ext cx="1171575" cy="361950"/>
    <xdr:grpSp>
      <xdr:nvGrpSpPr>
        <xdr:cNvPr id="2" name="Shape 2" title="Drawing"/>
        <xdr:cNvGrpSpPr/>
      </xdr:nvGrpSpPr>
      <xdr:grpSpPr>
        <a:xfrm>
          <a:off x="300200" y="360250"/>
          <a:ext cx="2942100" cy="890700"/>
          <a:chOff x="300200" y="360250"/>
          <a:chExt cx="2942100" cy="890700"/>
        </a:xfrm>
      </xdr:grpSpPr>
      <xdr:sp>
        <xdr:nvSpPr>
          <xdr:cNvPr id="15" name="Shape 15"/>
          <xdr:cNvSpPr/>
        </xdr:nvSpPr>
        <xdr:spPr>
          <a:xfrm>
            <a:off x="300200" y="360250"/>
            <a:ext cx="2942100" cy="890700"/>
          </a:xfrm>
          <a:prstGeom prst="roundRect">
            <a:avLst>
              <a:gd fmla="val 16667" name="adj"/>
            </a:avLst>
          </a:prstGeom>
          <a:solidFill>
            <a:srgbClr val="274E1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6" name="Shape 16"/>
          <xdr:cNvSpPr txBox="1"/>
        </xdr:nvSpPr>
        <xdr:spPr>
          <a:xfrm>
            <a:off x="950750" y="559300"/>
            <a:ext cx="1641000" cy="4926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2000">
                <a:solidFill>
                  <a:srgbClr val="D9EAD3"/>
                </a:solidFill>
                <a:latin typeface="Lexend"/>
                <a:ea typeface="Lexend"/>
                <a:cs typeface="Lexend"/>
                <a:sym typeface="Lexend"/>
              </a:rPr>
              <a:t>EXPENSES</a:t>
            </a:r>
            <a:endParaRPr sz="2000">
              <a:solidFill>
                <a:srgbClr val="D9EAD3"/>
              </a:solidFill>
              <a:latin typeface="Lexend"/>
              <a:ea typeface="Lexend"/>
              <a:cs typeface="Lexend"/>
              <a:sym typeface="Lexend"/>
            </a:endParaRPr>
          </a:p>
        </xdr:txBody>
      </xdr:sp>
    </xdr:grpSp>
    <xdr:clientData fLocksWithSheet="0"/>
  </xdr:oneCellAnchor>
  <xdr:oneCellAnchor>
    <xdr:from>
      <xdr:col>0</xdr:col>
      <xdr:colOff>28575</xdr:colOff>
      <xdr:row>9</xdr:row>
      <xdr:rowOff>133350</xdr:rowOff>
    </xdr:from>
    <xdr:ext cx="1171575" cy="361950"/>
    <xdr:grpSp>
      <xdr:nvGrpSpPr>
        <xdr:cNvPr id="2" name="Shape 2" title="Drawing"/>
        <xdr:cNvGrpSpPr/>
      </xdr:nvGrpSpPr>
      <xdr:grpSpPr>
        <a:xfrm>
          <a:off x="350250" y="360250"/>
          <a:ext cx="2892000" cy="900600"/>
          <a:chOff x="350250" y="360250"/>
          <a:chExt cx="2892000" cy="900600"/>
        </a:xfrm>
      </xdr:grpSpPr>
      <xdr:sp>
        <xdr:nvSpPr>
          <xdr:cNvPr id="17" name="Shape 17"/>
          <xdr:cNvSpPr/>
        </xdr:nvSpPr>
        <xdr:spPr>
          <a:xfrm>
            <a:off x="350250" y="360250"/>
            <a:ext cx="2892000" cy="900600"/>
          </a:xfrm>
          <a:prstGeom prst="roundRect">
            <a:avLst>
              <a:gd fmla="val 16667" name="adj"/>
            </a:avLst>
          </a:prstGeom>
          <a:solidFill>
            <a:srgbClr val="274E1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8" name="Shape 18"/>
          <xdr:cNvSpPr txBox="1"/>
        </xdr:nvSpPr>
        <xdr:spPr>
          <a:xfrm>
            <a:off x="1000650" y="564250"/>
            <a:ext cx="1591200" cy="4926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2000">
                <a:solidFill>
                  <a:srgbClr val="D9EAD3"/>
                </a:solidFill>
                <a:latin typeface="Lexend"/>
                <a:ea typeface="Lexend"/>
                <a:cs typeface="Lexend"/>
                <a:sym typeface="Lexend"/>
              </a:rPr>
              <a:t>Selling Oil</a:t>
            </a:r>
            <a:endParaRPr sz="2000">
              <a:solidFill>
                <a:srgbClr val="D9EAD3"/>
              </a:solidFill>
              <a:latin typeface="Lexend"/>
              <a:ea typeface="Lexend"/>
              <a:cs typeface="Lexend"/>
              <a:sym typeface="Lexend"/>
            </a:endParaRPr>
          </a:p>
        </xdr:txBody>
      </xdr:sp>
    </xdr:grpSp>
    <xdr:clientData fLocksWithSheet="0"/>
  </xdr:oneCellAnchor>
  <xdr:oneCellAnchor>
    <xdr:from>
      <xdr:col>0</xdr:col>
      <xdr:colOff>28575</xdr:colOff>
      <xdr:row>18</xdr:row>
      <xdr:rowOff>133350</xdr:rowOff>
    </xdr:from>
    <xdr:ext cx="1171575" cy="361950"/>
    <xdr:grpSp>
      <xdr:nvGrpSpPr>
        <xdr:cNvPr id="2" name="Shape 2" title="Drawing"/>
        <xdr:cNvGrpSpPr/>
      </xdr:nvGrpSpPr>
      <xdr:grpSpPr>
        <a:xfrm>
          <a:off x="340250" y="350250"/>
          <a:ext cx="2521800" cy="910500"/>
          <a:chOff x="340250" y="350250"/>
          <a:chExt cx="2521800" cy="910500"/>
        </a:xfrm>
      </xdr:grpSpPr>
      <xdr:sp>
        <xdr:nvSpPr>
          <xdr:cNvPr id="19" name="Shape 19"/>
          <xdr:cNvSpPr/>
        </xdr:nvSpPr>
        <xdr:spPr>
          <a:xfrm>
            <a:off x="340250" y="350250"/>
            <a:ext cx="2521800" cy="910500"/>
          </a:xfrm>
          <a:prstGeom prst="roundRect">
            <a:avLst>
              <a:gd fmla="val 16667" name="adj"/>
            </a:avLst>
          </a:prstGeom>
          <a:solidFill>
            <a:srgbClr val="274E13"/>
          </a:solidFill>
          <a:ln cap="flat" cmpd="sng" w="9525">
            <a:solidFill>
              <a:srgbClr val="38761D"/>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20" name="Shape 20"/>
          <xdr:cNvSpPr txBox="1"/>
        </xdr:nvSpPr>
        <xdr:spPr>
          <a:xfrm>
            <a:off x="625475" y="559200"/>
            <a:ext cx="1851300" cy="4926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2000">
                <a:solidFill>
                  <a:srgbClr val="D9EAD3"/>
                </a:solidFill>
                <a:latin typeface="Lexend"/>
                <a:ea typeface="Lexend"/>
                <a:cs typeface="Lexend"/>
                <a:sym typeface="Lexend"/>
              </a:rPr>
              <a:t>Report</a:t>
            </a:r>
            <a:endParaRPr sz="2000">
              <a:solidFill>
                <a:srgbClr val="D9EAD3"/>
              </a:solidFill>
              <a:latin typeface="Lexend"/>
              <a:ea typeface="Lexend"/>
              <a:cs typeface="Lexend"/>
              <a:sym typeface="Lexend"/>
            </a:endParaRPr>
          </a:p>
        </xdr:txBody>
      </xdr:sp>
    </xdr:grpSp>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xdr:colOff>
      <xdr:row>1</xdr:row>
      <xdr:rowOff>-19050</xdr:rowOff>
    </xdr:from>
    <xdr:ext cx="1171575" cy="361950"/>
    <xdr:grpSp>
      <xdr:nvGrpSpPr>
        <xdr:cNvPr id="2" name="Shape 2" title="Drawing"/>
        <xdr:cNvGrpSpPr/>
      </xdr:nvGrpSpPr>
      <xdr:grpSpPr>
        <a:xfrm>
          <a:off x="365475" y="359650"/>
          <a:ext cx="2879100" cy="902100"/>
          <a:chOff x="365475" y="359650"/>
          <a:chExt cx="2879100" cy="902100"/>
        </a:xfrm>
      </xdr:grpSpPr>
      <xdr:sp>
        <xdr:nvSpPr>
          <xdr:cNvPr id="3" name="Shape 3"/>
          <xdr:cNvSpPr/>
        </xdr:nvSpPr>
        <xdr:spPr>
          <a:xfrm>
            <a:off x="365475" y="359650"/>
            <a:ext cx="2879100" cy="902100"/>
          </a:xfrm>
          <a:prstGeom prst="roundRect">
            <a:avLst>
              <a:gd fmla="val 16667" name="adj"/>
            </a:avLst>
          </a:prstGeom>
          <a:solidFill>
            <a:srgbClr val="274E1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4" name="Shape 4"/>
          <xdr:cNvSpPr txBox="1"/>
        </xdr:nvSpPr>
        <xdr:spPr>
          <a:xfrm>
            <a:off x="739875" y="572200"/>
            <a:ext cx="2130300" cy="4770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1900">
                <a:solidFill>
                  <a:srgbClr val="D9EAD3"/>
                </a:solidFill>
                <a:latin typeface="Lexend"/>
                <a:ea typeface="Lexend"/>
                <a:cs typeface="Lexend"/>
                <a:sym typeface="Lexend"/>
              </a:rPr>
              <a:t>Transaction</a:t>
            </a:r>
            <a:endParaRPr sz="1900">
              <a:solidFill>
                <a:srgbClr val="D9EAD3"/>
              </a:solidFill>
              <a:latin typeface="Lexend"/>
              <a:ea typeface="Lexend"/>
              <a:cs typeface="Lexend"/>
              <a:sym typeface="Lexend"/>
            </a:endParaRPr>
          </a:p>
        </xdr:txBody>
      </xdr:sp>
    </xdr:grpSp>
    <xdr:clientData fLocksWithSheet="0"/>
  </xdr:oneCellAnchor>
  <xdr:oneCellAnchor>
    <xdr:from>
      <xdr:col>0</xdr:col>
      <xdr:colOff>28575</xdr:colOff>
      <xdr:row>3</xdr:row>
      <xdr:rowOff>19050</xdr:rowOff>
    </xdr:from>
    <xdr:ext cx="1171575" cy="361950"/>
    <xdr:grpSp>
      <xdr:nvGrpSpPr>
        <xdr:cNvPr id="2" name="Shape 2" title="Drawing"/>
        <xdr:cNvGrpSpPr/>
      </xdr:nvGrpSpPr>
      <xdr:grpSpPr>
        <a:xfrm>
          <a:off x="363125" y="359650"/>
          <a:ext cx="2881500" cy="912300"/>
          <a:chOff x="363125" y="359650"/>
          <a:chExt cx="2881500" cy="912300"/>
        </a:xfrm>
      </xdr:grpSpPr>
      <xdr:sp>
        <xdr:nvSpPr>
          <xdr:cNvPr id="5" name="Shape 5"/>
          <xdr:cNvSpPr/>
        </xdr:nvSpPr>
        <xdr:spPr>
          <a:xfrm>
            <a:off x="363125" y="359650"/>
            <a:ext cx="2881500" cy="912300"/>
          </a:xfrm>
          <a:prstGeom prst="roundRect">
            <a:avLst>
              <a:gd fmla="val 16667" name="adj"/>
            </a:avLst>
          </a:prstGeom>
          <a:solidFill>
            <a:srgbClr val="274E1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6" name="Shape 6"/>
          <xdr:cNvSpPr txBox="1"/>
        </xdr:nvSpPr>
        <xdr:spPr>
          <a:xfrm>
            <a:off x="572973" y="569500"/>
            <a:ext cx="2461800" cy="4926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2000">
                <a:solidFill>
                  <a:srgbClr val="D9EAD3"/>
                </a:solidFill>
                <a:latin typeface="Lexend"/>
                <a:ea typeface="Lexend"/>
                <a:cs typeface="Lexend"/>
                <a:sym typeface="Lexend"/>
              </a:rPr>
              <a:t>Database</a:t>
            </a:r>
            <a:endParaRPr sz="2000">
              <a:solidFill>
                <a:srgbClr val="D9EAD3"/>
              </a:solidFill>
              <a:latin typeface="Lexend"/>
              <a:ea typeface="Lexend"/>
              <a:cs typeface="Lexend"/>
              <a:sym typeface="Lexend"/>
            </a:endParaRPr>
          </a:p>
        </xdr:txBody>
      </xdr:sp>
    </xdr:grpSp>
    <xdr:clientData fLocksWithSheet="0"/>
  </xdr:oneCellAnchor>
  <xdr:oneCellAnchor>
    <xdr:from>
      <xdr:col>0</xdr:col>
      <xdr:colOff>28575</xdr:colOff>
      <xdr:row>5</xdr:row>
      <xdr:rowOff>38100</xdr:rowOff>
    </xdr:from>
    <xdr:ext cx="1171575" cy="361950"/>
    <xdr:grpSp>
      <xdr:nvGrpSpPr>
        <xdr:cNvPr id="2" name="Shape 2" title="Drawing"/>
        <xdr:cNvGrpSpPr/>
      </xdr:nvGrpSpPr>
      <xdr:grpSpPr>
        <a:xfrm>
          <a:off x="365475" y="359650"/>
          <a:ext cx="2871300" cy="905100"/>
          <a:chOff x="365475" y="359650"/>
          <a:chExt cx="2871300" cy="905100"/>
        </a:xfrm>
      </xdr:grpSpPr>
      <xdr:sp>
        <xdr:nvSpPr>
          <xdr:cNvPr id="7" name="Shape 7"/>
          <xdr:cNvSpPr/>
        </xdr:nvSpPr>
        <xdr:spPr>
          <a:xfrm>
            <a:off x="365475" y="359650"/>
            <a:ext cx="2871300" cy="905100"/>
          </a:xfrm>
          <a:prstGeom prst="roundRect">
            <a:avLst>
              <a:gd fmla="val 16667" name="adj"/>
            </a:avLst>
          </a:prstGeom>
          <a:solidFill>
            <a:srgbClr val="274E1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8" name="Shape 8"/>
          <xdr:cNvSpPr txBox="1"/>
        </xdr:nvSpPr>
        <xdr:spPr>
          <a:xfrm>
            <a:off x="847276" y="565900"/>
            <a:ext cx="1915500" cy="4926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2000">
                <a:solidFill>
                  <a:srgbClr val="D9EAD3"/>
                </a:solidFill>
                <a:latin typeface="Lexend"/>
                <a:ea typeface="Lexend"/>
                <a:cs typeface="Lexend"/>
                <a:sym typeface="Lexend"/>
              </a:rPr>
              <a:t>Selling</a:t>
            </a:r>
            <a:r>
              <a:rPr lang="en-US" sz="2000">
                <a:solidFill>
                  <a:srgbClr val="D9EAD3"/>
                </a:solidFill>
                <a:latin typeface="Lexend"/>
                <a:ea typeface="Lexend"/>
                <a:cs typeface="Lexend"/>
                <a:sym typeface="Lexend"/>
              </a:rPr>
              <a:t> Cash</a:t>
            </a:r>
            <a:endParaRPr sz="2000">
              <a:solidFill>
                <a:srgbClr val="D9EAD3"/>
              </a:solidFill>
              <a:latin typeface="Lexend"/>
              <a:ea typeface="Lexend"/>
              <a:cs typeface="Lexend"/>
              <a:sym typeface="Lexend"/>
            </a:endParaRPr>
          </a:p>
        </xdr:txBody>
      </xdr:sp>
    </xdr:grpSp>
    <xdr:clientData fLocksWithSheet="0"/>
  </xdr:oneCellAnchor>
  <xdr:oneCellAnchor>
    <xdr:from>
      <xdr:col>0</xdr:col>
      <xdr:colOff>28575</xdr:colOff>
      <xdr:row>7</xdr:row>
      <xdr:rowOff>85725</xdr:rowOff>
    </xdr:from>
    <xdr:ext cx="1171575" cy="361950"/>
    <xdr:grpSp>
      <xdr:nvGrpSpPr>
        <xdr:cNvPr id="2" name="Shape 2" title="Drawing"/>
        <xdr:cNvGrpSpPr/>
      </xdr:nvGrpSpPr>
      <xdr:grpSpPr>
        <a:xfrm>
          <a:off x="360025" y="367450"/>
          <a:ext cx="2884500" cy="905100"/>
          <a:chOff x="360025" y="367450"/>
          <a:chExt cx="2884500" cy="905100"/>
        </a:xfrm>
      </xdr:grpSpPr>
      <xdr:sp>
        <xdr:nvSpPr>
          <xdr:cNvPr id="9" name="Shape 9"/>
          <xdr:cNvSpPr/>
        </xdr:nvSpPr>
        <xdr:spPr>
          <a:xfrm>
            <a:off x="360025" y="367450"/>
            <a:ext cx="2884500" cy="905100"/>
          </a:xfrm>
          <a:prstGeom prst="roundRect">
            <a:avLst>
              <a:gd fmla="val 16667" name="adj"/>
            </a:avLst>
          </a:prstGeom>
          <a:solidFill>
            <a:srgbClr val="274E1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0" name="Shape 10"/>
          <xdr:cNvSpPr txBox="1"/>
        </xdr:nvSpPr>
        <xdr:spPr>
          <a:xfrm>
            <a:off x="800575" y="573700"/>
            <a:ext cx="2003400" cy="4926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2000">
                <a:solidFill>
                  <a:srgbClr val="D9EAD3"/>
                </a:solidFill>
                <a:latin typeface="Lexend"/>
                <a:ea typeface="Lexend"/>
                <a:cs typeface="Lexend"/>
                <a:sym typeface="Lexend"/>
              </a:rPr>
              <a:t>Selling Credit</a:t>
            </a:r>
            <a:endParaRPr sz="2000">
              <a:solidFill>
                <a:srgbClr val="D9EAD3"/>
              </a:solidFill>
              <a:latin typeface="Lexend"/>
              <a:ea typeface="Lexend"/>
              <a:cs typeface="Lexend"/>
              <a:sym typeface="Lexend"/>
            </a:endParaRPr>
          </a:p>
        </xdr:txBody>
      </xdr:sp>
    </xdr:grpSp>
    <xdr:clientData fLocksWithSheet="0"/>
  </xdr:oneCellAnchor>
  <xdr:oneCellAnchor>
    <xdr:from>
      <xdr:col>0</xdr:col>
      <xdr:colOff>28575</xdr:colOff>
      <xdr:row>11</xdr:row>
      <xdr:rowOff>180975</xdr:rowOff>
    </xdr:from>
    <xdr:ext cx="1171575" cy="361950"/>
    <xdr:grpSp>
      <xdr:nvGrpSpPr>
        <xdr:cNvPr id="2" name="Shape 2" title="Drawing"/>
        <xdr:cNvGrpSpPr/>
      </xdr:nvGrpSpPr>
      <xdr:grpSpPr>
        <a:xfrm>
          <a:off x="371625" y="370800"/>
          <a:ext cx="2874300" cy="863400"/>
          <a:chOff x="371625" y="370800"/>
          <a:chExt cx="2874300" cy="863400"/>
        </a:xfrm>
      </xdr:grpSpPr>
      <xdr:sp>
        <xdr:nvSpPr>
          <xdr:cNvPr id="11" name="Shape 11"/>
          <xdr:cNvSpPr/>
        </xdr:nvSpPr>
        <xdr:spPr>
          <a:xfrm>
            <a:off x="371625" y="370800"/>
            <a:ext cx="2874300" cy="863400"/>
          </a:xfrm>
          <a:prstGeom prst="roundRect">
            <a:avLst>
              <a:gd fmla="val 16667" name="adj"/>
            </a:avLst>
          </a:prstGeom>
          <a:solidFill>
            <a:srgbClr val="274E1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2" name="Shape 12"/>
          <xdr:cNvSpPr txBox="1"/>
        </xdr:nvSpPr>
        <xdr:spPr>
          <a:xfrm>
            <a:off x="804675" y="556200"/>
            <a:ext cx="2008200" cy="4926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2000">
                <a:solidFill>
                  <a:srgbClr val="D9EAD3"/>
                </a:solidFill>
                <a:latin typeface="Lexend"/>
                <a:ea typeface="Lexend"/>
                <a:cs typeface="Lexend"/>
                <a:sym typeface="Lexend"/>
              </a:rPr>
              <a:t>Puchase</a:t>
            </a:r>
            <a:endParaRPr sz="2000">
              <a:solidFill>
                <a:srgbClr val="D9EAD3"/>
              </a:solidFill>
              <a:latin typeface="Lexend"/>
              <a:ea typeface="Lexend"/>
              <a:cs typeface="Lexend"/>
              <a:sym typeface="Lexend"/>
            </a:endParaRPr>
          </a:p>
        </xdr:txBody>
      </xdr:sp>
    </xdr:grpSp>
    <xdr:clientData fLocksWithSheet="0"/>
  </xdr:oneCellAnchor>
  <xdr:oneCellAnchor>
    <xdr:from>
      <xdr:col>0</xdr:col>
      <xdr:colOff>28575</xdr:colOff>
      <xdr:row>14</xdr:row>
      <xdr:rowOff>38100</xdr:rowOff>
    </xdr:from>
    <xdr:ext cx="1171575" cy="361950"/>
    <xdr:grpSp>
      <xdr:nvGrpSpPr>
        <xdr:cNvPr id="2" name="Shape 2" title="Drawing"/>
        <xdr:cNvGrpSpPr/>
      </xdr:nvGrpSpPr>
      <xdr:grpSpPr>
        <a:xfrm>
          <a:off x="335200" y="360250"/>
          <a:ext cx="2942100" cy="910500"/>
          <a:chOff x="335200" y="360250"/>
          <a:chExt cx="2942100" cy="910500"/>
        </a:xfrm>
      </xdr:grpSpPr>
      <xdr:sp>
        <xdr:nvSpPr>
          <xdr:cNvPr id="13" name="Shape 13"/>
          <xdr:cNvSpPr/>
        </xdr:nvSpPr>
        <xdr:spPr>
          <a:xfrm>
            <a:off x="360250" y="360250"/>
            <a:ext cx="2892000" cy="910500"/>
          </a:xfrm>
          <a:prstGeom prst="roundRect">
            <a:avLst>
              <a:gd fmla="val 16667" name="adj"/>
            </a:avLst>
          </a:prstGeom>
          <a:solidFill>
            <a:srgbClr val="274E1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4" name="Shape 14"/>
          <xdr:cNvSpPr txBox="1"/>
        </xdr:nvSpPr>
        <xdr:spPr>
          <a:xfrm>
            <a:off x="335200" y="446050"/>
            <a:ext cx="2942100" cy="7389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1800">
                <a:solidFill>
                  <a:srgbClr val="D9EAD3"/>
                </a:solidFill>
                <a:latin typeface="Lexend"/>
                <a:ea typeface="Lexend"/>
                <a:cs typeface="Lexend"/>
                <a:sym typeface="Lexend"/>
              </a:rPr>
              <a:t>Payment of receivables via cashier</a:t>
            </a:r>
            <a:endParaRPr sz="1800">
              <a:solidFill>
                <a:srgbClr val="D9EAD3"/>
              </a:solidFill>
              <a:latin typeface="Lexend"/>
              <a:ea typeface="Lexend"/>
              <a:cs typeface="Lexend"/>
              <a:sym typeface="Lexend"/>
            </a:endParaRPr>
          </a:p>
        </xdr:txBody>
      </xdr:sp>
    </xdr:grpSp>
    <xdr:clientData fLocksWithSheet="0"/>
  </xdr:oneCellAnchor>
  <xdr:oneCellAnchor>
    <xdr:from>
      <xdr:col>0</xdr:col>
      <xdr:colOff>28575</xdr:colOff>
      <xdr:row>16</xdr:row>
      <xdr:rowOff>85725</xdr:rowOff>
    </xdr:from>
    <xdr:ext cx="1171575" cy="361950"/>
    <xdr:grpSp>
      <xdr:nvGrpSpPr>
        <xdr:cNvPr id="2" name="Shape 2" title="Drawing"/>
        <xdr:cNvGrpSpPr/>
      </xdr:nvGrpSpPr>
      <xdr:grpSpPr>
        <a:xfrm>
          <a:off x="300200" y="360250"/>
          <a:ext cx="2942100" cy="890700"/>
          <a:chOff x="300200" y="360250"/>
          <a:chExt cx="2942100" cy="890700"/>
        </a:xfrm>
      </xdr:grpSpPr>
      <xdr:sp>
        <xdr:nvSpPr>
          <xdr:cNvPr id="15" name="Shape 15"/>
          <xdr:cNvSpPr/>
        </xdr:nvSpPr>
        <xdr:spPr>
          <a:xfrm>
            <a:off x="300200" y="360250"/>
            <a:ext cx="2942100" cy="890700"/>
          </a:xfrm>
          <a:prstGeom prst="roundRect">
            <a:avLst>
              <a:gd fmla="val 16667" name="adj"/>
            </a:avLst>
          </a:prstGeom>
          <a:solidFill>
            <a:srgbClr val="274E1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6" name="Shape 16"/>
          <xdr:cNvSpPr txBox="1"/>
        </xdr:nvSpPr>
        <xdr:spPr>
          <a:xfrm>
            <a:off x="950750" y="559300"/>
            <a:ext cx="1641000" cy="4926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2000">
                <a:solidFill>
                  <a:srgbClr val="D9EAD3"/>
                </a:solidFill>
                <a:latin typeface="Lexend"/>
                <a:ea typeface="Lexend"/>
                <a:cs typeface="Lexend"/>
                <a:sym typeface="Lexend"/>
              </a:rPr>
              <a:t>EXPENSES</a:t>
            </a:r>
            <a:endParaRPr sz="2000">
              <a:solidFill>
                <a:srgbClr val="D9EAD3"/>
              </a:solidFill>
              <a:latin typeface="Lexend"/>
              <a:ea typeface="Lexend"/>
              <a:cs typeface="Lexend"/>
              <a:sym typeface="Lexend"/>
            </a:endParaRPr>
          </a:p>
        </xdr:txBody>
      </xdr:sp>
    </xdr:grpSp>
    <xdr:clientData fLocksWithSheet="0"/>
  </xdr:oneCellAnchor>
  <xdr:oneCellAnchor>
    <xdr:from>
      <xdr:col>0</xdr:col>
      <xdr:colOff>28575</xdr:colOff>
      <xdr:row>9</xdr:row>
      <xdr:rowOff>133350</xdr:rowOff>
    </xdr:from>
    <xdr:ext cx="1171575" cy="361950"/>
    <xdr:grpSp>
      <xdr:nvGrpSpPr>
        <xdr:cNvPr id="2" name="Shape 2" title="Drawing"/>
        <xdr:cNvGrpSpPr/>
      </xdr:nvGrpSpPr>
      <xdr:grpSpPr>
        <a:xfrm>
          <a:off x="350250" y="360250"/>
          <a:ext cx="2892000" cy="900600"/>
          <a:chOff x="350250" y="360250"/>
          <a:chExt cx="2892000" cy="900600"/>
        </a:xfrm>
      </xdr:grpSpPr>
      <xdr:sp>
        <xdr:nvSpPr>
          <xdr:cNvPr id="17" name="Shape 17"/>
          <xdr:cNvSpPr/>
        </xdr:nvSpPr>
        <xdr:spPr>
          <a:xfrm>
            <a:off x="350250" y="360250"/>
            <a:ext cx="2892000" cy="900600"/>
          </a:xfrm>
          <a:prstGeom prst="roundRect">
            <a:avLst>
              <a:gd fmla="val 16667" name="adj"/>
            </a:avLst>
          </a:prstGeom>
          <a:solidFill>
            <a:srgbClr val="274E1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8" name="Shape 18"/>
          <xdr:cNvSpPr txBox="1"/>
        </xdr:nvSpPr>
        <xdr:spPr>
          <a:xfrm>
            <a:off x="1000650" y="564250"/>
            <a:ext cx="1591200" cy="4926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2000">
                <a:solidFill>
                  <a:srgbClr val="D9EAD3"/>
                </a:solidFill>
                <a:latin typeface="Lexend"/>
                <a:ea typeface="Lexend"/>
                <a:cs typeface="Lexend"/>
                <a:sym typeface="Lexend"/>
              </a:rPr>
              <a:t>Selling Oil</a:t>
            </a:r>
            <a:endParaRPr sz="2000">
              <a:solidFill>
                <a:srgbClr val="D9EAD3"/>
              </a:solidFill>
              <a:latin typeface="Lexend"/>
              <a:ea typeface="Lexend"/>
              <a:cs typeface="Lexend"/>
              <a:sym typeface="Lexend"/>
            </a:endParaRPr>
          </a:p>
        </xdr:txBody>
      </xdr:sp>
    </xdr:grpSp>
    <xdr:clientData fLocksWithSheet="0"/>
  </xdr:oneCellAnchor>
  <xdr:oneCellAnchor>
    <xdr:from>
      <xdr:col>0</xdr:col>
      <xdr:colOff>28575</xdr:colOff>
      <xdr:row>18</xdr:row>
      <xdr:rowOff>133350</xdr:rowOff>
    </xdr:from>
    <xdr:ext cx="1171575" cy="361950"/>
    <xdr:grpSp>
      <xdr:nvGrpSpPr>
        <xdr:cNvPr id="2" name="Shape 2" title="Drawing"/>
        <xdr:cNvGrpSpPr/>
      </xdr:nvGrpSpPr>
      <xdr:grpSpPr>
        <a:xfrm>
          <a:off x="340250" y="350250"/>
          <a:ext cx="2521800" cy="910500"/>
          <a:chOff x="340250" y="350250"/>
          <a:chExt cx="2521800" cy="910500"/>
        </a:xfrm>
      </xdr:grpSpPr>
      <xdr:sp>
        <xdr:nvSpPr>
          <xdr:cNvPr id="19" name="Shape 19"/>
          <xdr:cNvSpPr/>
        </xdr:nvSpPr>
        <xdr:spPr>
          <a:xfrm>
            <a:off x="340250" y="350250"/>
            <a:ext cx="2521800" cy="910500"/>
          </a:xfrm>
          <a:prstGeom prst="roundRect">
            <a:avLst>
              <a:gd fmla="val 16667" name="adj"/>
            </a:avLst>
          </a:prstGeom>
          <a:solidFill>
            <a:srgbClr val="274E13"/>
          </a:solidFill>
          <a:ln cap="flat" cmpd="sng" w="9525">
            <a:solidFill>
              <a:srgbClr val="38761D"/>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20" name="Shape 20"/>
          <xdr:cNvSpPr txBox="1"/>
        </xdr:nvSpPr>
        <xdr:spPr>
          <a:xfrm>
            <a:off x="625475" y="559200"/>
            <a:ext cx="1851300" cy="4926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2000">
                <a:solidFill>
                  <a:srgbClr val="D9EAD3"/>
                </a:solidFill>
                <a:latin typeface="Lexend"/>
                <a:ea typeface="Lexend"/>
                <a:cs typeface="Lexend"/>
                <a:sym typeface="Lexend"/>
              </a:rPr>
              <a:t>Report</a:t>
            </a:r>
            <a:endParaRPr sz="2000">
              <a:solidFill>
                <a:srgbClr val="D9EAD3"/>
              </a:solidFill>
              <a:latin typeface="Lexend"/>
              <a:ea typeface="Lexend"/>
              <a:cs typeface="Lexend"/>
              <a:sym typeface="Lexend"/>
            </a:endParaRPr>
          </a:p>
        </xdr:txBody>
      </xdr:sp>
    </xdr:grpSp>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5.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6.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C1:R11236" sheet="SELLING CASH"/>
  </cacheSource>
  <cacheFields>
    <cacheField name="Date" numFmtId="164">
      <sharedItems containsDate="1" containsString="0" containsBlank="1">
        <d v="2025-01-01T00:00:00Z"/>
        <d v="2025-01-02T00:00:00Z"/>
        <d v="2025-01-03T00:00:00Z"/>
        <d v="2025-01-04T00:00:00Z"/>
        <d v="2025-01-06T00:00:00Z"/>
        <d v="2025-01-07T00:00:00Z"/>
        <d v="2025-01-08T00:00:00Z"/>
        <d v="2025-01-09T00:00:00Z"/>
        <d v="2025-01-10T00:00:00Z"/>
        <d v="2025-01-11T00:00:00Z"/>
        <d v="2025-01-13T00:00:00Z"/>
        <d v="2025-01-14T00:00:00Z"/>
        <d v="2025-01-15T00:00:00Z"/>
        <d v="2025-01-16T00:00:00Z"/>
        <d v="2025-01-17T00:00:00Z"/>
        <d v="2025-01-18T00:00:00Z"/>
        <d v="2025-01-20T00:00:00Z"/>
        <d v="2025-01-21T00:00:00Z"/>
        <d v="2025-01-22T00:00:00Z"/>
        <d v="2025-01-23T00:00:00Z"/>
        <d v="2025-01-24T00:00:00Z"/>
        <d v="2025-01-25T00:00:00Z"/>
        <d v="2025-01-27T00:00:00Z"/>
        <d v="2025-01-28T00:00:00Z"/>
        <d v="2025-01-29T00:00:00Z"/>
        <d v="2025-01-30T00:00:00Z"/>
        <d v="2025-01-31T00:00:00Z"/>
        <d v="2025-02-01T00:00:00Z"/>
        <d v="2025-02-02T00:00:00Z"/>
        <d v="2025-02-03T00:00:00Z"/>
        <d v="2025-02-04T00:00:00Z"/>
        <d v="2025-02-05T00:00:00Z"/>
        <d v="2025-02-06T00:00:00Z"/>
        <d v="2025-02-07T00:00:00Z"/>
        <d v="2025-02-08T00:00:00Z"/>
        <d v="2025-02-10T00:00:00Z"/>
        <d v="2025-02-11T00:00:00Z"/>
        <d v="2025-02-12T00:00:00Z"/>
        <d v="2025-02-13T00:00:00Z"/>
        <d v="2025-02-14T00:00:00Z"/>
        <d v="2025-02-15T00:00:00Z"/>
        <d v="2025-02-17T00:00:00Z"/>
        <d v="2025-02-18T00:00:00Z"/>
        <d v="2025-02-19T00:00:00Z"/>
        <d v="2025-02-20T00:00:00Z"/>
        <d v="2025-02-21T00:00:00Z"/>
        <d v="2025-02-22T00:00:00Z"/>
        <d v="2025-02-23T00:00:00Z"/>
        <d v="2025-02-24T00:00:00Z"/>
        <d v="2025-02-25T00:00:00Z"/>
        <d v="2025-02-26T00:00:00Z"/>
        <d v="2025-02-27T00:00:00Z"/>
        <d v="2025-02-28T00:00:00Z"/>
        <d v="2025-03-01T00:00:00Z"/>
        <d v="2025-03-02T00:00:00Z"/>
        <d v="2025-03-03T00:00:00Z"/>
        <d v="2025-03-04T00:00:00Z"/>
        <d v="2025-03-05T00:00:00Z"/>
        <d v="2025-03-06T00:00:00Z"/>
        <d v="2025-03-07T00:00:00Z"/>
        <d v="2025-03-08T00:00:00Z"/>
        <d v="2025-03-09T00:00:00Z"/>
        <d v="2025-03-10T00:00:00Z"/>
        <d v="2025-03-11T00:00:00Z"/>
        <d v="2025-03-12T00:00:00Z"/>
        <d v="2025-03-13T00:00:00Z"/>
        <d v="2025-03-14T00:00:00Z"/>
        <d v="2025-03-15T00:00:00Z"/>
        <d v="2025-03-16T00:00:00Z"/>
        <d v="2025-03-17T00:00:00Z"/>
        <d v="2025-03-18T00:00:00Z"/>
        <d v="2025-03-19T00:00:00Z"/>
        <d v="2025-03-20T00:00:00Z"/>
        <d v="2025-03-21T00:00:00Z"/>
        <d v="2025-03-22T00:00:00Z"/>
        <d v="2025-03-23T00:00:00Z"/>
        <d v="2025-03-24T00:00:00Z"/>
        <d v="2025-03-25T00:00:00Z"/>
        <d v="2025-03-26T00:00:00Z"/>
        <d v="2025-03-27T00:00:00Z"/>
        <d v="2025-03-28T00:00:00Z"/>
        <d v="2025-03-29T00:00:00Z"/>
        <d v="2025-03-30T00:00:00Z"/>
        <d v="2025-04-04T00:00:00Z"/>
        <d v="2025-04-05T00:00:00Z"/>
        <d v="2025-04-06T00:00:00Z"/>
        <d v="2025-04-07T00:00:00Z"/>
        <d v="2025-04-08T00:00:00Z"/>
        <d v="2025-04-09T00:00:00Z"/>
        <d v="2025-04-10T00:00:00Z"/>
        <d v="2025-04-11T00:00:00Z"/>
        <d v="2025-04-12T00:00:00Z"/>
        <d v="2025-04-13T00:00:00Z"/>
        <d v="2025-04-14T00:00:00Z"/>
        <d v="2025-04-15T00:00:00Z"/>
        <d v="2025-04-16T00:00:00Z"/>
        <d v="2025-04-17T00:00:00Z"/>
        <d v="2025-04-18T00:00:00Z"/>
        <d v="2025-04-19T00:00:00Z"/>
        <d v="2025-04-20T00:00:00Z"/>
        <d v="2025-04-21T00:00:00Z"/>
        <d v="2025-04-22T00:00:00Z"/>
        <d v="2025-04-23T00:00:00Z"/>
        <d v="2025-04-24T00:00:00Z"/>
        <d v="2025-04-25T00:00:00Z"/>
        <d v="2025-04-26T00:00:00Z"/>
        <d v="2025-04-27T00:00:00Z"/>
        <d v="2025-04-28T00:00:00Z"/>
        <d v="2025-04-29T00:00:00Z"/>
        <d v="2025-04-30T00:00:00Z"/>
        <d v="2025-05-01T00:00:00Z"/>
        <d v="2025-05-02T00:00:00Z"/>
        <d v="2025-05-03T00:00:00Z"/>
        <d v="2025-05-04T00:00:00Z"/>
        <d v="2025-05-05T00:00:00Z"/>
        <d v="2025-05-06T00:00:00Z"/>
        <d v="2025-05-07T00:00:00Z"/>
        <d v="2025-05-08T00:00:00Z"/>
        <d v="2025-05-09T00:00:00Z"/>
        <d v="2025-05-10T00:00:00Z"/>
        <d v="2025-05-11T00:00:00Z"/>
        <d v="2025-05-12T00:00:00Z"/>
        <d v="2025-05-13T00:00:00Z"/>
        <d v="2025-05-14T00:00:00Z"/>
        <d v="2025-05-15T00:00:00Z"/>
        <d v="2025-05-16T00:00:00Z"/>
        <d v="2025-05-17T00:00:00Z"/>
        <d v="2025-05-18T00:00:00Z"/>
        <d v="2025-05-19T00:00:00Z"/>
        <d v="2025-05-20T00:00:00Z"/>
        <d v="2025-05-21T00:00:00Z"/>
        <d v="2025-05-22T00:00:00Z"/>
        <d v="2025-05-23T00:00:00Z"/>
        <d v="2025-05-24T00:00:00Z"/>
        <d v="2025-05-25T00:00:00Z"/>
        <d v="2025-05-26T00:00:00Z"/>
        <d v="2025-05-27T00:00:00Z"/>
        <d v="2025-05-28T00:00:00Z"/>
        <d v="2025-05-29T00:00:00Z"/>
        <d v="2025-05-30T00:00:00Z"/>
        <d v="2025-05-31T00:00:00Z"/>
        <d v="2025-06-01T00:00:00Z"/>
        <d v="2025-06-02T00:00:00Z"/>
        <d v="2025-06-03T00:00:00Z"/>
        <d v="2025-06-04T00:00:00Z"/>
        <d v="2025-06-05T00:00:00Z"/>
        <d v="2025-06-07T00:00:00Z"/>
        <d v="2025-06-08T00:00:00Z"/>
        <d v="2025-06-09T00:00:00Z"/>
        <d v="2025-06-10T00:00:00Z"/>
        <d v="2025-06-11T00:00:00Z"/>
        <d v="2025-06-12T00:00:00Z"/>
        <d v="2025-06-13T00:00:00Z"/>
        <d v="2025-06-14T00:00:00Z"/>
        <d v="2025-06-15T00:00:00Z"/>
        <d v="2025-06-16T00:00:00Z"/>
        <d v="2025-06-17T00:00:00Z"/>
        <d v="2025-06-18T00:00:00Z"/>
        <d v="2025-06-19T00:00:00Z"/>
        <d v="2025-06-20T00:00:00Z"/>
        <d v="2025-06-21T00:00:00Z"/>
        <d v="2025-06-22T00:00:00Z"/>
        <d v="2025-06-23T00:00:00Z"/>
        <d v="2025-06-24T00:00:00Z"/>
        <d v="2025-06-25T00:00:00Z"/>
        <d v="2025-06-26T00:00:00Z"/>
        <d v="2025-06-30T00:00:00Z"/>
        <d v="2025-07-01T00:00:00Z"/>
        <d v="2025-07-02T00:00:00Z"/>
        <d v="2025-07-03T00:00:00Z"/>
        <d v="2025-07-04T00:00:00Z"/>
        <d v="2025-07-05T00:00:00Z"/>
        <d v="2025-07-06T00:00:00Z"/>
        <d v="2025-07-07T00:00:00Z"/>
        <d v="2025-07-08T00:00:00Z"/>
        <d v="2025-07-09T00:00:00Z"/>
        <d v="2025-07-10T00:00:00Z"/>
        <d v="2025-07-11T00:00:00Z"/>
        <d v="2025-07-12T00:00:00Z"/>
        <d v="2025-07-13T00:00:00Z"/>
        <d v="2025-07-14T00:00:00Z"/>
        <d v="2025-07-15T00:00:00Z"/>
        <d v="2025-07-16T00:00:00Z"/>
        <d v="2025-07-17T00:00:00Z"/>
        <d v="2025-07-18T00:00:00Z"/>
        <d v="2025-07-19T00:00:00Z"/>
        <d v="2025-07-20T00:00:00Z"/>
        <d v="2025-07-21T00:00:00Z"/>
        <d v="2025-07-22T00:00:00Z"/>
        <d v="2025-07-23T00:00:00Z"/>
        <d v="2025-07-24T00:00:00Z"/>
        <d v="2025-07-25T00:00:00Z"/>
        <d v="2025-07-26T00:00:00Z"/>
        <d v="2025-07-27T00:00:00Z"/>
        <d v="2025-07-28T00:00:00Z"/>
        <d v="2025-07-29T00:00:00Z"/>
        <d v="2025-07-30T00:00:00Z"/>
        <d v="2025-07-31T00:00:00Z"/>
        <d v="2025-08-01T00:00:00Z"/>
        <d v="2025-08-02T00:00:00Z"/>
        <d v="2025-08-03T00:00:00Z"/>
        <d v="2025-08-04T00:00:00Z"/>
        <d v="2025-08-05T00:00:00Z"/>
        <d v="2025-08-06T00:00:00Z"/>
        <d v="2025-08-07T00:00:00Z"/>
        <d v="2025-08-08T00:00:00Z"/>
        <d v="2025-08-09T00:00:00Z"/>
        <d v="2025-08-10T00:00:00Z"/>
        <d v="2025-08-11T00:00:00Z"/>
        <d v="2025-08-12T00:00:00Z"/>
        <d v="2025-08-13T00:00:00Z"/>
        <d v="2025-08-14T00:00:00Z"/>
        <d v="2025-08-15T00:00:00Z"/>
        <d v="2025-08-16T00:00:00Z"/>
        <d v="2025-08-18T00:00:00Z"/>
        <d v="2025-08-19T00:00:00Z"/>
        <d v="2025-08-20T00:00:00Z"/>
        <d v="2025-08-21T00:00:00Z"/>
        <d v="2025-08-22T00:00:00Z"/>
        <d v="2025-08-23T00:00:00Z"/>
        <d v="2025-08-24T00:00:00Z"/>
        <d v="2025-08-25T00:00:00Z"/>
        <d v="2025-08-26T00:00:00Z"/>
        <d v="2025-08-27T00:00:00Z"/>
        <d v="2025-08-28T00:00:00Z"/>
        <d v="2025-08-29T00:00:00Z"/>
        <d v="2025-08-30T00:00:00Z"/>
        <d v="2025-08-31T00:00:00Z"/>
        <d v="2025-09-01T00:00:00Z"/>
        <d v="2025-09-02T00:00:00Z"/>
        <d v="2025-09-03T00:00:00Z"/>
        <d v="2025-09-04T00:00:00Z"/>
        <d v="2025-09-05T00:00:00Z"/>
        <d v="2025-09-06T00:00:00Z"/>
        <d v="2025-09-07T00:00:00Z"/>
        <d v="2025-09-08T00:00:00Z"/>
        <d v="2025-09-09T00:00:00Z"/>
        <d v="2025-09-10T00:00:00Z"/>
        <d v="2025-09-11T00:00:00Z"/>
        <d v="2025-09-12T00:00:00Z"/>
        <d v="2025-09-13T00:00:00Z"/>
        <d v="2025-09-15T00:00:00Z"/>
        <d v="2025-09-16T00:00:00Z"/>
        <d v="2025-09-17T00:00:00Z"/>
        <d v="2025-09-18T00:00:00Z"/>
        <d v="2025-09-19T00:00:00Z"/>
        <d v="2025-09-20T00:00:00Z"/>
        <d v="2025-09-21T00:00:00Z"/>
        <d v="2025-09-22T00:00:00Z"/>
        <d v="2025-09-23T00:00:00Z"/>
        <d v="2025-09-24T00:00:00Z"/>
        <d v="2025-09-25T00:00:00Z"/>
        <d v="2025-09-26T00:00:00Z"/>
        <d v="2025-09-27T00:00:00Z"/>
        <d v="2025-09-28T00:00:00Z"/>
        <d v="2025-09-29T00:00:00Z"/>
        <d v="2025-09-30T00:00:00Z"/>
        <d v="2025-10-01T00:00:00Z"/>
        <d v="2025-10-02T00:00:00Z"/>
        <d v="2025-10-03T00:00:00Z"/>
        <d v="2025-10-04T00:00:00Z"/>
        <d v="2025-10-05T00:00:00Z"/>
        <d v="2025-10-06T00:00:00Z"/>
        <d v="2025-10-07T00:00:00Z"/>
        <d v="2025-10-08T00:00:00Z"/>
        <d v="2025-10-09T00:00:00Z"/>
        <d v="2025-10-10T00:00:00Z"/>
        <d v="2025-10-11T00:00:00Z"/>
        <d v="2025-10-12T00:00:00Z"/>
        <d v="2025-10-13T00:00:00Z"/>
        <d v="2025-10-14T00:00:00Z"/>
        <d v="2025-10-15T00:00:00Z"/>
        <d v="2025-10-16T00:00:00Z"/>
        <d v="2025-10-17T00:00:00Z"/>
        <d v="2025-10-18T00:00:00Z"/>
        <d v="2025-10-19T00:00:00Z"/>
        <d v="2025-10-20T00:00:00Z"/>
        <d v="2025-10-21T00:00:00Z"/>
        <d v="2025-10-22T00:00:00Z"/>
        <d v="2025-10-23T00:00:00Z"/>
        <d v="2025-10-24T00:00:00Z"/>
        <d v="2025-10-25T00:00:00Z"/>
        <d v="2025-10-26T00:00:00Z"/>
        <d v="2025-10-27T00:00:00Z"/>
        <d v="2025-10-28T00:00:00Z"/>
        <d v="2025-10-29T00:00:00Z"/>
        <d v="2025-10-30T00:00:00Z"/>
        <d v="2025-10-31T00:00:00Z"/>
        <d v="2025-11-01T00:00:00Z"/>
        <d v="2025-11-02T00:00:00Z"/>
        <d v="2025-11-03T00:00:00Z"/>
        <d v="2025-11-04T00:00:00Z"/>
        <d v="2025-11-05T00:00:00Z"/>
        <d v="2025-11-06T00:00:00Z"/>
        <d v="2025-11-07T00:00:00Z"/>
        <d v="2025-11-08T00:00:00Z"/>
        <d v="2025-11-09T00:00:00Z"/>
        <d v="2025-11-10T00:00:00Z"/>
        <d v="2025-11-11T00:00:00Z"/>
        <d v="2025-11-12T00:00:00Z"/>
        <d v="2025-11-13T00:00:00Z"/>
        <d v="2025-11-14T00:00:00Z"/>
        <d v="2025-11-15T00:00:00Z"/>
        <d v="2025-11-16T00:00:00Z"/>
        <d v="2025-11-17T00:00:00Z"/>
        <d v="2025-11-18T00:00:00Z"/>
        <d v="2025-11-19T00:00:00Z"/>
        <d v="2025-11-20T00:00:00Z"/>
        <d v="2025-11-21T00:00:00Z"/>
        <d v="2025-11-22T00:00:00Z"/>
        <d v="2025-11-23T00:00:00Z"/>
        <d v="2025-11-24T00:00:00Z"/>
        <d v="2025-11-25T00:00:00Z"/>
        <d v="2025-11-26T00:00:00Z"/>
        <d v="2025-11-27T00:00:00Z"/>
        <d v="2025-11-28T00:00:00Z"/>
        <d v="2025-11-29T00:00:00Z"/>
        <d v="2025-11-30T00:00:00Z"/>
        <d v="2025-12-01T00:00:00Z"/>
        <d v="2025-12-02T00:00:00Z"/>
        <d v="2025-12-03T00:00:00Z"/>
        <d v="2025-12-04T00:00:00Z"/>
        <d v="2025-12-05T00:00:00Z"/>
        <d v="2025-12-06T00:00:00Z"/>
        <d v="2025-12-07T00:00:00Z"/>
        <d v="2025-12-08T00:00:00Z"/>
        <d v="2025-12-09T00:00:00Z"/>
        <d v="2025-12-10T00:00:00Z"/>
        <d v="2025-12-11T00:00:00Z"/>
        <d v="2025-12-12T00:00:00Z"/>
        <d v="2025-12-13T00:00:00Z"/>
        <d v="2025-12-14T00:00:00Z"/>
        <d v="2025-12-15T00:00:00Z"/>
        <d v="2025-12-16T00:00:00Z"/>
        <d v="2025-12-17T00:00:00Z"/>
        <d v="2025-12-18T00:00:00Z"/>
        <d v="2025-12-19T00:00:00Z"/>
        <d v="2025-12-20T00:00:00Z"/>
        <d v="2025-12-22T00:00:00Z"/>
        <d v="2025-12-23T00:00:00Z"/>
        <d v="2025-12-24T00:00:00Z"/>
        <d v="2025-12-25T00:00:00Z"/>
        <d v="2025-12-26T00:00:00Z"/>
        <d v="2025-12-27T00:00:00Z"/>
        <d v="2025-12-28T00:00:00Z"/>
        <d v="2025-12-29T00:00:00Z"/>
        <d v="2025-12-30T00:00:00Z"/>
        <d v="2025-12-31T00:00:00Z"/>
        <d v="2026-01-01T00:00:00Z"/>
        <d v="2026-01-02T00:00:00Z"/>
        <d v="2026-01-03T00:00:00Z"/>
        <d v="2026-01-04T00:00:00Z"/>
        <d v="2026-01-05T00:00:00Z"/>
        <d v="2026-01-06T00:00:00Z"/>
        <d v="2026-01-07T00:00:00Z"/>
        <d v="2026-01-08T00:00:00Z"/>
        <d v="2026-01-09T00:00:00Z"/>
        <d v="2026-01-10T00:00:00Z"/>
        <d v="2026-01-11T00:00:00Z"/>
        <d v="2026-01-12T00:00:00Z"/>
        <d v="2026-01-13T00:00:00Z"/>
        <d v="2026-01-14T00:00:00Z"/>
        <d v="2026-01-15T00:00:00Z"/>
        <d v="2026-01-16T00:00:00Z"/>
        <d v="2026-01-17T00:00:00Z"/>
        <d v="2026-01-18T00:00:00Z"/>
        <d v="2026-01-19T00:00:00Z"/>
        <d v="2026-01-20T00:00:00Z"/>
        <d v="2026-01-21T00:00:00Z"/>
        <d v="2026-01-22T00:00:00Z"/>
        <d v="2026-01-23T00:00:00Z"/>
        <d v="2026-01-24T00:00:00Z"/>
        <d v="2026-01-25T00:00:00Z"/>
        <d v="2026-01-26T00:00:00Z"/>
        <d v="2026-01-27T00:00:00Z"/>
        <d v="2026-01-28T00:00:00Z"/>
        <d v="2026-01-29T00:00:00Z"/>
        <d v="2026-01-30T00:00:00Z"/>
        <d v="2026-01-31T00:00:00Z"/>
        <d v="2026-02-01T00:00:00Z"/>
        <d v="2026-02-02T00:00:00Z"/>
        <d v="2026-02-03T00:00:00Z"/>
        <d v="2026-02-04T00:00:00Z"/>
        <d v="2026-02-05T00:00:00Z"/>
        <d v="2026-02-06T00:00:00Z"/>
        <d v="2026-02-07T00:00:00Z"/>
        <d v="2026-02-08T00:00:00Z"/>
        <d v="2026-02-09T00:00:00Z"/>
        <d v="2026-02-10T00:00:00Z"/>
        <d v="2026-02-11T00:00:00Z"/>
        <d v="2026-02-12T00:00:00Z"/>
        <d v="2026-02-13T00:00:00Z"/>
        <d v="2026-02-14T00:00:00Z"/>
        <d v="2026-02-15T00:00:00Z"/>
        <d v="2026-02-16T00:00:00Z"/>
        <d v="2026-02-17T00:00:00Z"/>
        <d v="2026-02-18T00:00:00Z"/>
        <d v="2026-02-19T00:00:00Z"/>
        <d v="2026-02-20T00:00:00Z"/>
        <d v="2026-02-21T00:00:00Z"/>
        <d v="2026-02-22T00:00:00Z"/>
        <d v="2026-02-23T00:00:00Z"/>
        <d v="2026-02-24T00:00:00Z"/>
        <d v="2026-02-25T00:00:00Z"/>
        <d v="2026-02-26T00:00:00Z"/>
        <d v="2026-02-27T00:00:00Z"/>
        <d v="2026-02-28T00:00:00Z"/>
        <d v="2026-03-01T00:00:00Z"/>
        <d v="2026-03-02T00:00:00Z"/>
        <d v="2026-03-03T00:00:00Z"/>
        <d v="2026-03-04T00:00:00Z"/>
        <d v="2026-03-05T00:00:00Z"/>
        <d v="2026-03-06T00:00:00Z"/>
        <d v="2026-03-07T00:00:00Z"/>
        <d v="2026-03-08T00:00:00Z"/>
        <d v="2026-03-09T00:00:00Z"/>
        <d v="2026-03-10T00:00:00Z"/>
        <d v="2026-03-11T00:00:00Z"/>
        <d v="2026-03-12T00:00:00Z"/>
        <d v="2026-03-13T00:00:00Z"/>
        <d v="2026-03-14T00:00:00Z"/>
        <d v="2026-03-15T00:00:00Z"/>
        <d v="2026-03-16T00:00:00Z"/>
        <d v="2026-03-17T00:00:00Z"/>
        <d v="2026-03-18T00:00:00Z"/>
        <d v="2026-03-19T00:00:00Z"/>
        <d v="2026-03-20T00:00:00Z"/>
        <d v="2026-03-23T00:00:00Z"/>
        <d v="2026-03-24T00:00:00Z"/>
        <d v="2026-03-25T00:00:00Z"/>
        <d v="2026-03-26T00:00:00Z"/>
        <d v="2026-03-27T00:00:00Z"/>
        <d v="2026-03-28T00:00:00Z"/>
        <d v="2026-03-29T00:00:00Z"/>
        <d v="2026-03-30T00:00:00Z"/>
        <d v="2026-03-31T00:00:00Z"/>
        <d v="2026-04-01T00:00:00Z"/>
        <d v="2026-04-02T00:00:00Z"/>
        <d v="2026-04-03T00:00:00Z"/>
        <d v="2026-04-04T00:00:00Z"/>
        <d v="2026-04-05T00:00:00Z"/>
        <d v="2026-04-06T00:00:00Z"/>
        <d v="2026-04-07T00:00:00Z"/>
        <d v="2026-04-08T00:00:00Z"/>
        <d v="2026-04-09T00:00:00Z"/>
        <d v="2026-04-10T00:00:00Z"/>
        <d v="2026-04-11T00:00:00Z"/>
        <d v="2026-04-12T00:00:00Z"/>
        <d v="2026-04-13T00:00:00Z"/>
        <d v="2026-04-14T00:00:00Z"/>
        <d v="2026-04-15T00:00:00Z"/>
        <d v="2026-04-16T00:00:00Z"/>
        <d v="2026-04-17T00:00:00Z"/>
        <d v="2026-04-18T00:00:00Z"/>
        <d v="2026-04-19T00:00:00Z"/>
        <d v="2026-04-20T00:00:00Z"/>
        <d v="2026-04-21T00:00:00Z"/>
        <d v="2026-04-22T00:00:00Z"/>
        <d v="2026-04-23T00:00:00Z"/>
        <d v="2026-04-24T00:00:00Z"/>
        <d v="2026-04-25T00:00:00Z"/>
        <d v="2026-04-26T00:00:00Z"/>
        <d v="2026-04-27T00:00:00Z"/>
        <d v="2026-04-28T00:00:00Z"/>
        <d v="2026-04-29T00:00:00Z"/>
        <d v="2026-04-30T00:00:00Z"/>
        <d v="2026-05-01T00:00:00Z"/>
        <d v="2026-05-02T00:00:00Z"/>
        <d v="2026-05-03T00:00:00Z"/>
        <d v="2026-05-04T00:00:00Z"/>
        <d v="2026-05-05T00:00:00Z"/>
        <d v="2026-05-06T00:00:00Z"/>
        <d v="2026-05-07T00:00:00Z"/>
        <d v="2026-05-08T00:00:00Z"/>
        <d v="2026-05-09T00:00:00Z"/>
        <d v="2026-05-10T00:00:00Z"/>
        <d v="2026-05-11T00:00:00Z"/>
        <d v="2026-05-12T00:00:00Z"/>
        <d v="2026-05-13T00:00:00Z"/>
        <d v="2026-05-14T00:00:00Z"/>
        <d v="2026-05-15T00:00:00Z"/>
        <d v="2026-05-16T00:00:00Z"/>
        <d v="2026-05-17T00:00:00Z"/>
        <d v="2026-05-18T00:00:00Z"/>
        <d v="2026-05-19T00:00:00Z"/>
        <d v="2026-05-20T00:00:00Z"/>
        <d v="2026-05-21T00:00:00Z"/>
        <d v="2026-05-22T00:00:00Z"/>
        <d v="2026-05-23T00:00:00Z"/>
        <d v="2026-05-24T00:00:00Z"/>
        <d v="2026-05-25T00:00:00Z"/>
        <d v="2026-05-26T00:00:00Z"/>
        <d v="2026-05-28T00:00:00Z"/>
        <d v="2026-05-29T00:00:00Z"/>
        <d v="2026-05-30T00:00:00Z"/>
        <d v="2026-05-31T00:00:00Z"/>
        <d v="2026-06-01T00:00:00Z"/>
        <d v="2026-06-02T00:00:00Z"/>
        <d v="2026-06-03T00:00:00Z"/>
        <d v="2026-06-04T00:00:00Z"/>
        <d v="2026-06-05T00:00:00Z"/>
        <d v="2026-06-06T00:00:00Z"/>
        <d v="2026-06-07T00:00:00Z"/>
        <d v="2026-06-08T00:00:00Z"/>
        <d v="2026-06-09T00:00:00Z"/>
        <d v="2026-06-10T00:00:00Z"/>
        <d v="2026-06-11T00:00:00Z"/>
        <d v="2026-06-12T00:00:00Z"/>
        <d v="2026-06-13T00:00:00Z"/>
        <d v="2026-06-15T00:00:00Z"/>
        <d v="2026-06-16T00:00:00Z"/>
        <d v="2026-06-17T00:00:00Z"/>
        <d v="2026-06-18T00:00:00Z"/>
        <d v="2026-06-19T00:00:00Z"/>
        <d v="2026-06-20T00:00:00Z"/>
        <d v="2026-06-21T00:00:00Z"/>
        <d v="2026-06-22T00:00:00Z"/>
        <d v="2026-06-23T00:00:00Z"/>
        <d v="2026-06-24T00:00:00Z"/>
        <d v="2026-06-25T00:00:00Z"/>
        <d v="2026-06-26T00:00:00Z"/>
        <d v="2026-06-27T00:00:00Z"/>
        <d v="2026-06-28T00:00:00Z"/>
        <d v="2026-06-29T00:00:00Z"/>
        <d v="2026-06-30T00:00:00Z"/>
        <d v="2026-07-01T00:00:00Z"/>
        <d v="2026-07-02T00:00:00Z"/>
        <d v="2026-07-03T00:00:00Z"/>
        <d v="2026-07-04T00:00:00Z"/>
        <d v="2026-07-05T00:00:00Z"/>
        <d v="2026-07-06T00:00:00Z"/>
        <d v="2026-07-07T00:00:00Z"/>
        <d v="2026-07-08T00:00:00Z"/>
        <d v="2026-07-09T00:00:00Z"/>
        <d v="2026-07-10T00:00:00Z"/>
        <d v="2026-07-11T00:00:00Z"/>
        <d v="2026-07-12T00:00:00Z"/>
        <d v="2026-07-13T00:00:00Z"/>
        <d v="2026-07-14T00:00:00Z"/>
        <d v="2026-07-15T00:00:00Z"/>
        <d v="2026-07-16T00:00:00Z"/>
        <d v="2026-07-17T00:00:00Z"/>
        <d v="2026-07-18T00:00:00Z"/>
        <d v="2026-07-22T00:00:00Z"/>
        <d v="2026-07-23T00:00:00Z"/>
        <d v="2026-07-24T00:00:00Z"/>
        <d v="2026-07-25T00:00:00Z"/>
        <d v="2026-07-26T00:00:00Z"/>
        <d v="2026-07-27T00:00:00Z"/>
        <d v="2026-07-28T00:00:00Z"/>
        <d v="2026-07-29T00:00:00Z"/>
        <d v="2026-07-30T00:00:00Z"/>
        <d v="2026-07-31T00:00:00Z"/>
        <d v="2026-08-01T00:00:00Z"/>
        <d v="2026-08-02T00:00:00Z"/>
        <d v="2026-08-03T00:00:00Z"/>
        <d v="2026-08-04T00:00:00Z"/>
        <d v="2026-08-05T00:00:00Z"/>
        <d v="2026-08-06T00:00:00Z"/>
        <d v="2026-08-07T00:00:00Z"/>
        <d v="2026-08-08T00:00:00Z"/>
        <d v="2026-08-09T00:00:00Z"/>
        <d v="2026-08-10T00:00:00Z"/>
        <d v="2026-08-11T00:00:00Z"/>
        <d v="2026-08-12T00:00:00Z"/>
        <d v="2026-08-13T00:00:00Z"/>
        <d v="2026-08-14T00:00:00Z"/>
        <d v="2026-08-15T00:00:00Z"/>
        <d v="2026-08-18T00:00:00Z"/>
        <d v="2026-08-19T00:00:00Z"/>
        <d v="2026-08-20T00:00:00Z"/>
        <d v="2026-08-21T00:00:00Z"/>
        <d v="2026-08-22T00:00:00Z"/>
        <d v="2026-08-23T00:00:00Z"/>
        <d v="2026-08-24T00:00:00Z"/>
        <d v="2026-08-25T00:00:00Z"/>
        <d v="2026-08-26T00:00:00Z"/>
        <d v="2026-08-27T00:00:00Z"/>
        <d v="2026-08-28T00:00:00Z"/>
        <d v="2026-08-29T00:00:00Z"/>
        <d v="2026-08-30T00:00:00Z"/>
        <d v="2026-08-31T00:00:00Z"/>
        <d v="2026-09-01T00:00:00Z"/>
        <d v="2026-09-02T00:00:00Z"/>
        <d v="2026-09-03T00:00:00Z"/>
        <d v="2026-09-04T00:00:00Z"/>
        <d v="2026-09-05T00:00:00Z"/>
        <d v="2026-09-06T00:00:00Z"/>
        <d v="2026-09-07T00:00:00Z"/>
        <d v="2026-09-08T00:00:00Z"/>
        <d v="2026-09-09T00:00:00Z"/>
        <d v="2026-09-10T00:00:00Z"/>
        <d v="2026-09-11T00:00:00Z"/>
        <d v="2026-09-12T00:00:00Z"/>
        <d v="2026-09-14T00:00:00Z"/>
        <d v="2026-09-15T00:00:00Z"/>
        <d v="2026-09-16T00:00:00Z"/>
        <d v="2026-09-17T00:00:00Z"/>
        <d v="2026-09-18T00:00:00Z"/>
        <d v="2026-09-19T00:00:00Z"/>
        <d v="2026-09-20T00:00:00Z"/>
        <d v="2026-09-21T00:00:00Z"/>
        <d v="2026-09-22T00:00:00Z"/>
        <d v="2026-09-23T00:00:00Z"/>
        <d v="2026-09-24T00:00:00Z"/>
        <d v="2026-09-25T00:00:00Z"/>
        <m/>
      </sharedItems>
    </cacheField>
    <cacheField name="Invoice">
      <sharedItems containsDate="1" containsBlank="1" containsMixedTypes="1">
        <n v="3761.0"/>
        <n v="3762.0"/>
        <n v="3764.0"/>
        <n v="3765.0"/>
        <n v="3766.0"/>
        <n v="3768.0"/>
        <n v="3769.0"/>
        <n v="3770.0"/>
        <n v="3771.0"/>
        <n v="3772.0"/>
        <n v="3773.0"/>
        <n v="3774.0"/>
        <n v="3775.0"/>
        <n v="3776.0"/>
        <n v="3777.0"/>
        <n v="3778.0"/>
        <n v="3780.0"/>
        <n v="3781.0"/>
        <n v="3782.0"/>
        <n v="3783.0"/>
        <n v="3784.0"/>
        <n v="3785.0"/>
        <n v="3786.0"/>
        <n v="3788.0"/>
        <n v="3789.0"/>
        <n v="3790.0"/>
        <n v="3791.0"/>
        <n v="3792.0"/>
        <n v="3794.0"/>
        <n v="3795.0"/>
        <n v="3796.0"/>
        <n v="3797.0"/>
        <n v="3798.0"/>
        <n v="3799.0"/>
        <n v="3800.0"/>
        <n v="3801.0"/>
        <n v="3802.0"/>
        <n v="3803.0"/>
        <n v="3804.0"/>
        <n v="3805.0"/>
        <n v="3807.0"/>
        <n v="3808.0"/>
        <n v="3809.0"/>
        <n v="3810.0"/>
        <n v="3811.0"/>
        <n v="3812.0"/>
        <n v="3813.0"/>
        <n v="3814.0"/>
        <n v="3815.0"/>
        <n v="3816.0"/>
        <n v="3817.0"/>
        <n v="3818.0"/>
        <n v="3819.0"/>
        <n v="3820.0"/>
        <n v="3821.0"/>
        <n v="3822.0"/>
        <n v="3823.0"/>
        <n v="3824.0"/>
        <n v="3826.0"/>
        <n v="3827.0"/>
        <n v="3828.0"/>
        <n v="3829.0"/>
        <n v="3830.0"/>
        <n v="3831.0"/>
        <n v="3832.0"/>
        <n v="3833.0"/>
        <n v="3835.0"/>
        <n v="3836.0"/>
        <n v="3837.0"/>
        <n v="3838.0"/>
        <n v="3839.0"/>
        <n v="3840.0"/>
        <n v="3841.0"/>
        <n v="3842.0"/>
        <n v="3843.0"/>
        <n v="3844.0"/>
        <n v="3846.0"/>
        <n v="3847.0"/>
        <n v="3848.0"/>
        <n v="3849.0"/>
        <n v="3850.0"/>
        <n v="3851.0"/>
        <n v="3852.0"/>
        <n v="3853.0"/>
        <n v="3854.0"/>
        <n v="3855.0"/>
        <n v="3856.0"/>
        <n v="3857.0"/>
        <n v="3858.0"/>
        <n v="3859.0"/>
        <n v="3861.0"/>
        <n v="3862.0"/>
        <n v="3863.0"/>
        <n v="3864.0"/>
        <n v="3865.0"/>
        <n v="3866.0"/>
        <n v="3867.0"/>
        <n v="3868.0"/>
        <n v="3870.0"/>
        <n v="3871.0"/>
        <n v="3872.0"/>
        <n v="3873.0"/>
        <n v="3874.0"/>
        <n v="3875.0"/>
        <n v="3876.0"/>
        <n v="3877.0"/>
        <n v="3878.0"/>
        <n v="3879.0"/>
        <n v="3881.0"/>
        <n v="3884.0"/>
        <n v="3887.0"/>
        <n v="3888.0"/>
        <n v="3889.0"/>
        <n v="3890.0"/>
        <n v="3892.0"/>
        <n v="3893.0"/>
        <n v="3894.0"/>
        <n v="3895.0"/>
        <n v="3896.0"/>
        <n v="3897.0"/>
        <n v="3898.0"/>
        <n v="3899.0"/>
        <n v="3900.0"/>
        <n v="3901.0"/>
        <n v="3902.0"/>
        <n v="3903.0"/>
        <n v="3904.0"/>
        <n v="3905.0"/>
        <n v="3907.0"/>
        <n v="3908.0"/>
        <n v="3910.0"/>
        <n v="3912.0"/>
        <n v="3913.0"/>
        <n v="3914.0"/>
        <n v="3915.0"/>
        <n v="3916.0"/>
        <n v="3918.0"/>
        <n v="3919.0"/>
        <n v="3920.0"/>
        <n v="3921.0"/>
        <n v="3922.0"/>
        <n v="3923.0"/>
        <n v="3924.0"/>
        <n v="3925.0"/>
        <n v="3926.0"/>
        <n v="3928.0"/>
        <n v="3929.0"/>
        <n v="3930.0"/>
        <n v="3931.0"/>
        <n v="3933.0"/>
        <n v="3934.0"/>
        <n v="3935.0"/>
        <n v="3936.0"/>
        <n v="3937.0"/>
        <n v="3939.0"/>
        <n v="3940.0"/>
        <n v="3992.0"/>
        <n v="3942.0"/>
        <n v="3943.0"/>
        <n v="3945.0"/>
        <n v="3946.0"/>
        <n v="3947.0"/>
        <n v="3948.0"/>
        <n v="3949.0"/>
        <n v="3950.0"/>
        <n v="3951.0"/>
        <n v="3952.0"/>
        <n v="3953.0"/>
        <n v="3954.0"/>
        <n v="3955.0"/>
        <n v="3956.0"/>
        <n v="3957.0"/>
        <n v="3958.0"/>
        <n v="3960.0"/>
        <n v="3961.0"/>
        <n v="3963.0"/>
        <n v="3964.0"/>
        <n v="3965.0"/>
        <n v="3966.0"/>
        <n v="3967.0"/>
        <n v="3968.0"/>
        <n v="3969.0"/>
        <n v="3970.0"/>
        <n v="3972.0"/>
        <n v="3973.0"/>
        <n v="3974.0"/>
        <n v="3975.0"/>
        <n v="3976.0"/>
        <n v="3977.0"/>
        <n v="3978.0"/>
        <n v="3979.0"/>
        <n v="3980.0"/>
        <n v="3981.0"/>
        <n v="3982.0"/>
        <n v="3983.0"/>
        <n v="3984.0"/>
        <n v="3985.0"/>
        <n v="3986.0"/>
        <n v="3987.0"/>
        <n v="3988.0"/>
        <n v="3989.0"/>
        <n v="3990.0"/>
        <n v="3991.0"/>
        <n v="3993.0"/>
        <n v="3995.0"/>
        <n v="3996.0"/>
        <n v="3997.0"/>
        <n v="3998.0"/>
        <n v="4000.0"/>
        <n v="4001.0"/>
        <n v="4002.0"/>
        <n v="4004.0"/>
        <n v="4005.0"/>
        <n v="4006.0"/>
        <n v="4007.0"/>
        <n v="4009.0"/>
        <n v="4010.0"/>
        <n v="4011.0"/>
        <n v="4012.0"/>
        <n v="4013.0"/>
        <n v="4014.0"/>
        <n v="4015.0"/>
        <n v="4016.0"/>
        <n v="4017.0"/>
        <n v="4018.0"/>
        <n v="4019.0"/>
        <n v="4020.0"/>
        <n v="4021.0"/>
        <n v="4022.0"/>
        <n v="4023.0"/>
        <n v="4024.0"/>
        <n v="4025.0"/>
        <n v="4026.0"/>
        <n v="4027.0"/>
        <s v="4022b"/>
        <n v="4028.0"/>
        <n v="4029.0"/>
        <n v="4030.0"/>
        <n v="4031.0"/>
        <n v="4032.0"/>
        <n v="4033.0"/>
        <n v="4034.0"/>
        <n v="4035.0"/>
        <n v="4036.0"/>
        <n v="4037.0"/>
        <n v="4038.0"/>
        <n v="4039.0"/>
        <n v="4040.0"/>
        <n v="4041.0"/>
        <n v="4042.0"/>
        <n v="4043.0"/>
        <n v="4044.0"/>
        <n v="4046.0"/>
        <n v="4047.0"/>
        <n v="4048.0"/>
        <n v="4050.0"/>
        <n v="4051.0"/>
        <n v="4052.0"/>
        <n v="4053.0"/>
        <n v="4054.0"/>
        <n v="4056.0"/>
        <n v="4057.0"/>
        <n v="4058.0"/>
        <n v="4059.0"/>
        <n v="4060.0"/>
        <n v="4061.0"/>
        <n v="4062.0"/>
        <n v="4063.0"/>
        <n v="4064.0"/>
        <n v="4065.0"/>
        <n v="4066.0"/>
        <n v="4067.0"/>
        <n v="4068.0"/>
        <n v="4069.0"/>
        <n v="4070.0"/>
        <n v="4071.0"/>
        <n v="4072.0"/>
        <n v="4073.0"/>
        <n v="4074.0"/>
        <n v="4075.0"/>
        <n v="4076.0"/>
        <n v="4077.0"/>
        <n v="4078.0"/>
        <n v="4079.0"/>
        <n v="4080.0"/>
        <n v="4081.0"/>
        <n v="4082.0"/>
        <n v="4083.0"/>
        <n v="4084.0"/>
        <n v="4085.0"/>
        <n v="4088.0"/>
        <n v="4089.0"/>
        <n v="4091.0"/>
        <n v="4092.0"/>
        <n v="4093.0"/>
        <n v="4094.0"/>
        <n v="4095.0"/>
        <n v="4096.0"/>
        <n v="4097.0"/>
        <n v="4098.0"/>
        <n v="4099.0"/>
        <n v="4100.0"/>
        <n v="4102.0"/>
        <n v="4104.0"/>
        <n v="4105.0"/>
        <n v="4106.0"/>
        <n v="4107.0"/>
        <n v="4108.0"/>
        <n v="4109.0"/>
        <n v="4110.0"/>
        <n v="4111.0"/>
        <n v="4112.0"/>
        <n v="4113.0"/>
        <n v="4114.0"/>
        <n v="4115.0"/>
        <n v="4116.0"/>
        <n v="4117.0"/>
        <n v="4118.0"/>
        <n v="4119.0"/>
        <n v="4122.0"/>
        <n v="4123.0"/>
        <n v="4124.0"/>
        <n v="4125.0"/>
        <n v="4126.0"/>
        <n v="4127.0"/>
        <n v="4128.0"/>
        <n v="4130.0"/>
        <n v="4133.0"/>
        <n v="4134.0"/>
        <n v="4135.0"/>
        <n v="4137.0"/>
        <n v="4138.0"/>
        <n v="4139.0"/>
        <n v="4140.0"/>
        <n v="4141.0"/>
        <n v="4142.0"/>
        <n v="4143.0"/>
        <n v="4145.0"/>
        <n v="4146.0"/>
        <n v="4147.0"/>
        <n v="4148.0"/>
        <n v="4149.0"/>
        <n v="4150.0"/>
        <n v="4154.0"/>
        <n v="4155.0"/>
        <n v="4156.0"/>
        <n v="4157.0"/>
        <n v="4158.0"/>
        <n v="4159.0"/>
        <n v="4160.0"/>
        <n v="4161.0"/>
        <n v="4162.0"/>
        <n v="4165.0"/>
        <n v="4166.0"/>
        <n v="4167.0"/>
        <n v="4169.0"/>
        <n v="4170.0"/>
        <n v="4171.0"/>
        <n v="4172.0"/>
        <n v="4174.0"/>
        <n v="4175.0"/>
        <n v="4176.0"/>
        <n v="4177.0"/>
        <n v="4178.0"/>
        <n v="4181.0"/>
        <n v="4182.0"/>
        <n v="4183.0"/>
        <n v="4184.0"/>
        <n v="4185.0"/>
        <n v="4186.0"/>
        <n v="4187.0"/>
        <n v="4188.0"/>
        <n v="4189.0"/>
        <n v="4190.0"/>
        <n v="4191.0"/>
        <n v="4192.0"/>
        <n v="4193.0"/>
        <n v="4194.0"/>
        <n v="2404.0"/>
        <n v="4195.0"/>
        <n v="4196.0"/>
        <n v="4197.0"/>
        <n v="4199.0"/>
        <n v="4200.0"/>
        <n v="4201.0"/>
        <n v="4202.0"/>
        <n v="4203.0"/>
        <n v="4206.0"/>
        <n v="4207.0"/>
        <n v="4208.0"/>
        <n v="4209.0"/>
        <n v="4210.0"/>
        <n v="4211.0"/>
        <n v="4212.0"/>
        <n v="4213.0"/>
        <n v="4214.0"/>
        <n v="4215.0"/>
        <n v="4216.0"/>
        <n v="4217.0"/>
        <n v="4218.0"/>
        <n v="4219.0"/>
        <n v="4221.0"/>
        <n v="4222.0"/>
        <n v="4223.0"/>
        <n v="4224.0"/>
        <n v="4225.0"/>
        <n v="4226.0"/>
        <n v="4228.0"/>
        <n v="4229.0"/>
        <n v="4230.0"/>
        <n v="4231.0"/>
        <n v="4233.0"/>
        <n v="4234.0"/>
        <n v="4235.0"/>
        <n v="4236.0"/>
        <n v="4237.0"/>
        <n v="4238.0"/>
        <n v="4239.0"/>
        <n v="4240.0"/>
        <n v="4241.0"/>
        <n v="4242.0"/>
        <n v="4243.0"/>
        <n v="4244.0"/>
        <n v="4245.0"/>
        <n v="4246.0"/>
        <n v="4247.0"/>
        <n v="4248.0"/>
        <n v="4249.0"/>
        <n v="4250.0"/>
        <n v="4253.0"/>
        <n v="4254.0"/>
        <n v="4255.0"/>
        <n v="4256.0"/>
        <n v="4257.0"/>
        <n v="4258.0"/>
        <n v="4259.0"/>
        <n v="4260.0"/>
        <n v="4261.0"/>
        <n v="4262.0"/>
        <n v="4264.0"/>
        <n v="4265.0"/>
        <n v="4266.0"/>
        <n v="4267.0"/>
        <n v="4268.0"/>
        <n v="4269.0"/>
        <n v="4270.0"/>
        <n v="4271.0"/>
        <n v="4272.0"/>
        <n v="4273.0"/>
        <n v="4274.0"/>
        <n v="4275.0"/>
        <n v="4276.0"/>
        <n v="4277.0"/>
        <n v="4278.0"/>
        <n v="4279.0"/>
        <n v="4280.0"/>
        <n v="4281.0"/>
        <n v="4282.0"/>
        <n v="4283.0"/>
        <n v="4285.0"/>
        <n v="4286.0"/>
        <n v="4287.0"/>
        <n v="4288.0"/>
        <n v="4289.0"/>
        <n v="4290.0"/>
        <n v="4291.0"/>
        <n v="4292.0"/>
        <n v="4294.0"/>
        <n v="4295.0"/>
        <n v="4297.0"/>
        <n v="4298.0"/>
        <n v="4299.0"/>
        <n v="4300.0"/>
        <n v="4302.0"/>
        <n v="4303.0"/>
        <n v="4304.0"/>
        <n v="4305.0"/>
        <n v="4306.0"/>
        <n v="4307.0"/>
        <n v="4308.0"/>
        <n v="4309.0"/>
        <n v="4311.0"/>
        <n v="4312.0"/>
        <n v="4313.0"/>
        <n v="4315.0"/>
        <n v="4316.0"/>
        <n v="4317.0"/>
        <n v="4318.0"/>
        <n v="4319.0"/>
        <n v="4321.0"/>
        <n v="4322.0"/>
        <n v="4324.0"/>
        <n v="4325.0"/>
        <n v="4326.0"/>
        <n v="4327.0"/>
        <n v="4328.0"/>
        <n v="4330.0"/>
        <n v="4331.0"/>
        <n v="4332.0"/>
        <n v="4333.0"/>
        <n v="43334.0"/>
        <n v="4335.0"/>
        <n v="4336.0"/>
        <n v="4338.0"/>
        <n v="4339.0"/>
        <n v="4340.0"/>
        <n v="4342.0"/>
        <n v="4344.0"/>
        <n v="4345.0"/>
        <n v="4346.0"/>
        <n v="4347.0"/>
        <n v="4348.0"/>
        <n v="4349.0"/>
        <n v="4350.0"/>
        <n v="4352.0"/>
        <n v="4353.0"/>
        <n v="4354.0"/>
        <n v="4355.0"/>
        <n v="4356.0"/>
        <n v="4357.0"/>
        <n v="4358.0"/>
        <n v="4359.0"/>
        <n v="4360.0"/>
        <n v="4361.0"/>
        <n v="4362.0"/>
        <n v="4363.0"/>
        <n v="4364.0"/>
        <n v="4367.0"/>
        <n v="4368.0"/>
        <n v="4369.0"/>
        <n v="4370.0"/>
        <n v="4371.0"/>
        <n v="4372.0"/>
        <n v="4373.0"/>
        <n v="4374.0"/>
        <n v="4375.0"/>
        <n v="4376.0"/>
        <n v="4377.0"/>
        <n v="4378.0"/>
        <n v="4379.0"/>
        <n v="4381.0"/>
        <n v="4382.0"/>
        <n v="4383.0"/>
        <n v="4384.0"/>
        <n v="4385.0"/>
        <n v="4386.0"/>
        <n v="4387.0"/>
        <n v="4389.0"/>
        <n v="4391.0"/>
        <n v="4392.0"/>
        <n v="4393.0"/>
        <n v="4394.0"/>
        <n v="4395.0"/>
        <n v="4396.0"/>
        <n v="4397.0"/>
        <n v="4398.0"/>
        <n v="4399.0"/>
        <n v="4400.0"/>
        <n v="4402.0"/>
        <n v="4403.0"/>
        <n v="4404.0"/>
        <n v="4406.0"/>
        <n v="4407.0"/>
        <n v="4408.0"/>
        <n v="4409.0"/>
        <n v="4411.0"/>
        <n v="4412.0"/>
        <n v="4414.0"/>
        <n v="4415.0"/>
        <n v="4416.0"/>
        <n v="4417.0"/>
        <n v="4418.0"/>
        <n v="4420.0"/>
        <n v="4421.0"/>
        <n v="4422.0"/>
        <n v="4423.0"/>
        <n v="4424.0"/>
        <n v="4425.0"/>
        <n v="4426.0"/>
        <n v="4427.0"/>
        <n v="4429.0"/>
        <n v="4430.0"/>
        <n v="4431.0"/>
        <n v="4432.0"/>
        <n v="44333.0"/>
        <n v="4434.0"/>
        <n v="4435.0"/>
        <n v="4436.0"/>
        <n v="4438.0"/>
        <n v="4439.0"/>
        <n v="4440.0"/>
        <n v="4442.0"/>
        <n v="4444.0"/>
        <n v="4445.0"/>
        <n v="4447.0"/>
        <n v="4448.0"/>
        <n v="4449.0"/>
        <n v="4450.0"/>
        <n v="4451.0"/>
        <n v="4452.0"/>
        <n v="4453.0"/>
        <n v="4455.0"/>
        <n v="4458.0"/>
        <n v="4459.0"/>
        <n v="4461.0"/>
        <n v="4462.0"/>
        <n v="4463.0"/>
        <n v="4464.0"/>
        <n v="4465.0"/>
        <n v="4466.0"/>
        <n v="4467.0"/>
        <n v="4469.0"/>
        <n v="4470.0"/>
        <n v="4471.0"/>
        <n v="4472.0"/>
        <n v="4473.0"/>
        <n v="4474.0"/>
        <n v="4475.0"/>
        <n v="4476.0"/>
        <n v="4477.0"/>
        <n v="4478.0"/>
        <n v="4479.0"/>
        <n v="4480.0"/>
        <n v="4481.0"/>
        <n v="4482.0"/>
        <n v="4483.0"/>
        <n v="4484.0"/>
        <n v="4485.0"/>
        <n v="4486.0"/>
        <n v="4487.0"/>
        <n v="4488.0"/>
        <n v="4489.0"/>
        <n v="4490.0"/>
        <n v="4491.0"/>
        <n v="4492.0"/>
        <n v="4493.0"/>
        <n v="4494.0"/>
        <n v="4495.0"/>
        <n v="4496.0"/>
        <n v="4498.0"/>
        <n v="4499.0"/>
        <n v="4500.0"/>
        <n v="4501.0"/>
        <n v="4503.0"/>
        <n v="4504.0"/>
        <n v="4505.0"/>
        <n v="4506.0"/>
        <n v="4507.0"/>
        <n v="4508.0"/>
        <n v="4509.0"/>
        <n v="4510.0"/>
        <n v="4511.0"/>
        <n v="4512.0"/>
        <n v="4513.0"/>
        <n v="4514.0"/>
        <n v="4516.0"/>
        <n v="4517.0"/>
        <n v="4518.0"/>
        <n v="4519.0"/>
        <n v="4520.0"/>
        <n v="4521.0"/>
        <n v="4523.0"/>
        <n v="4524.0"/>
        <n v="4527.0"/>
        <n v="4528.0"/>
        <n v="4529.0"/>
        <n v="4530.0"/>
        <n v="4531.0"/>
        <n v="4532.0"/>
        <n v="4533.0"/>
        <n v="4534.0"/>
        <n v="4535.0"/>
        <n v="4536.0"/>
        <n v="4537.0"/>
        <n v="4538.0"/>
        <n v="4539.0"/>
        <n v="4540.0"/>
        <n v="4541.0"/>
        <n v="4542.0"/>
        <n v="4543.0"/>
        <n v="4544.0"/>
        <n v="4546.0"/>
        <n v="4547.0"/>
        <n v="4549.0"/>
        <n v="4550.0"/>
        <n v="4551.0"/>
        <n v="4552.0"/>
        <n v="4553.0"/>
        <n v="4554.0"/>
        <n v="4555.0"/>
        <n v="4558.0"/>
        <n v="4559.0"/>
        <n v="4560.0"/>
        <n v="4561.0"/>
        <n v="4562.0"/>
        <n v="4563.0"/>
        <n v="4565.0"/>
        <n v="4566.0"/>
        <n v="4567.0"/>
        <n v="4568.0"/>
        <n v="4570.0"/>
        <n v="4572.0"/>
        <n v="4573.0"/>
        <n v="4574.0"/>
        <n v="4576.0"/>
        <n v="4577.0"/>
        <n v="4579.0"/>
        <n v="4580.0"/>
        <n v="4581.0"/>
        <n v="4582.0"/>
        <n v="4584.0"/>
        <n v="4585.0"/>
        <n v="4586.0"/>
        <n v="4587.0"/>
        <n v="4588.0"/>
        <n v="4589.0"/>
        <n v="4590.0"/>
        <n v="4591.0"/>
        <n v="4592.0"/>
        <n v="4593.0"/>
        <n v="4594.0"/>
        <n v="4596.0"/>
        <n v="4598.0"/>
        <n v="4599.0"/>
        <n v="4600.0"/>
        <n v="4601.0"/>
        <n v="4603.0"/>
        <n v="4604.0"/>
        <n v="4605.0"/>
        <n v="4606.0"/>
        <n v="4607.0"/>
        <n v="4608.0"/>
        <n v="4609.0"/>
        <n v="4610.0"/>
        <n v="4611.0"/>
        <n v="4612.0"/>
        <n v="4613.0"/>
        <n v="4614.0"/>
        <n v="4615.0"/>
        <n v="4616.0"/>
        <n v="4617.0"/>
        <n v="4618.0"/>
        <n v="4619.0"/>
        <n v="4620.0"/>
        <n v="4621.0"/>
        <n v="4623.0"/>
        <n v="4624.0"/>
        <n v="4625.0"/>
        <n v="4627.0"/>
        <n v="4628.0"/>
        <n v="4630.0"/>
        <n v="4631.0"/>
        <n v="4632.0"/>
        <n v="4634.0"/>
        <n v="4636.0"/>
        <n v="4637.0"/>
        <n v="4638.0"/>
        <n v="4643.0"/>
        <n v="4644.0"/>
        <n v="4645.0"/>
        <n v="4646.0"/>
        <n v="4647.0"/>
        <n v="4649.0"/>
        <n v="4650.0"/>
        <n v="4651.0"/>
        <n v="4652.0"/>
        <n v="4653.0"/>
        <n v="4654.0"/>
        <n v="4655.0"/>
        <n v="4656.0"/>
        <n v="4657.0"/>
        <n v="4659.0"/>
        <n v="4658.0"/>
        <n v="4660.0"/>
        <n v="4661.0"/>
        <n v="4662.0"/>
        <n v="4663.0"/>
        <n v="4664.0"/>
        <n v="4666.0"/>
        <n v="4668.0"/>
        <n v="4669.0"/>
        <n v="4670.0"/>
        <n v="4671.0"/>
        <n v="4672.0"/>
        <n v="4673.0"/>
        <n v="4674.0"/>
        <n v="4675.0"/>
        <n v="4676.0"/>
        <n v="4677.0"/>
        <n v="4678.0"/>
        <n v="4679.0"/>
        <n v="4680.0"/>
        <n v="4681.0"/>
        <n v="4682.0"/>
        <n v="4683.0"/>
        <n v="4684.0"/>
        <n v="4685.0"/>
        <n v="4686.0"/>
        <n v="4688.0"/>
        <n v="4690.0"/>
        <n v="4691.0"/>
        <n v="4693.0"/>
        <n v="4694.0"/>
        <n v="4695.0"/>
        <n v="4696.0"/>
        <n v="4697.0"/>
        <n v="4698.0"/>
        <n v="4699.0"/>
        <n v="4700.0"/>
        <n v="4701.0"/>
        <n v="4702.0"/>
        <n v="4703.0"/>
        <n v="4705.0"/>
        <n v="4706.0"/>
        <n v="4707.0"/>
        <n v="4708.0"/>
        <n v="4709.0"/>
        <n v="4711.0"/>
        <n v="4712.0"/>
        <n v="4714.0"/>
        <n v="4715.0"/>
        <n v="4716.0"/>
        <n v="4717.0"/>
        <n v="4719.0"/>
        <n v="4721.0"/>
        <n v="4722.0"/>
        <n v="4724.0"/>
        <n v="4725.0"/>
        <n v="4726.0"/>
        <n v="4727.0"/>
        <n v="4728.0"/>
        <n v="4729.0"/>
        <n v="4730.0"/>
        <n v="4731.0"/>
        <n v="4733.0"/>
        <n v="4734.0"/>
        <n v="4735.0"/>
        <n v="4736.0"/>
        <n v="4737.0"/>
        <n v="4739.0"/>
        <n v="4740.0"/>
        <n v="4741.0"/>
        <n v="4742.0"/>
        <n v="4743.0"/>
        <n v="4744.0"/>
        <n v="4745.0"/>
        <n v="4746.0"/>
        <n v="4747.0"/>
        <n v="4748.0"/>
        <n v="4749.0"/>
        <n v="4750.0"/>
        <n v="4751.0"/>
        <n v="4753.0"/>
        <n v="4754.0"/>
        <n v="4755.0"/>
        <n v="4756.0"/>
        <n v="4757.0"/>
        <n v="4758.0"/>
        <n v="4759.0"/>
        <n v="4760.0"/>
        <n v="4761.0"/>
        <n v="4762.0"/>
        <n v="4763.0"/>
        <n v="4764.0"/>
        <n v="4766.0"/>
        <n v="4768.0"/>
        <n v="4769.0"/>
        <n v="4770.0"/>
        <n v="4771.0"/>
        <n v="4772.0"/>
        <n v="4773.0"/>
        <n v="4774.0"/>
        <n v="4775.0"/>
        <n v="4776.0"/>
        <n v="4777.0"/>
        <n v="4778.0"/>
        <n v="4779.0"/>
        <n v="4780.0"/>
        <n v="4781.0"/>
        <n v="4782.0"/>
        <n v="4785.0"/>
        <n v="4786.0"/>
        <n v="4787.0"/>
        <n v="4788.0"/>
        <n v="4789.0"/>
        <n v="4790.0"/>
        <n v="4791.0"/>
        <n v="4792.0"/>
        <n v="4793.0"/>
        <n v="4794.0"/>
        <n v="4795.0"/>
        <n v="4796.0"/>
        <n v="4797.0"/>
        <n v="4798.0"/>
        <n v="4800.0"/>
        <n v="4801.0"/>
        <n v="4802.0"/>
        <n v="4803.0"/>
        <n v="4804.0"/>
        <n v="4805.0"/>
        <n v="4806.0"/>
        <n v="4807.0"/>
        <n v="4808.0"/>
        <n v="4809.0"/>
        <n v="4810.0"/>
        <n v="4811.0"/>
        <n v="4812.0"/>
        <n v="4813.0"/>
        <n v="4814.0"/>
        <n v="4815.0"/>
        <n v="4816.0"/>
        <n v="4817.0"/>
        <n v="4818.0"/>
        <n v="4819.0"/>
        <n v="4820.0"/>
        <n v="4821.0"/>
        <n v="4822.0"/>
        <n v="4823.0"/>
        <n v="4824.0"/>
        <n v="4827.0"/>
        <n v="4828.0"/>
        <n v="4829.0"/>
        <n v="4830.0"/>
        <n v="4831.0"/>
        <n v="4833.0"/>
        <n v="4834.0"/>
        <n v="4835.0"/>
        <n v="4836.0"/>
        <n v="4837.0"/>
        <n v="4838.0"/>
        <n v="4839.0"/>
        <n v="4840.0"/>
        <n v="4841.0"/>
        <n v="4842.0"/>
        <n v="4843.0"/>
        <n v="4844.0"/>
        <n v="4845.0"/>
        <n v="4846.0"/>
        <n v="4847.0"/>
        <n v="4848.0"/>
        <n v="4849.0"/>
        <n v="4850.0"/>
        <n v="4851.0"/>
        <n v="4852.0"/>
        <n v="4853.0"/>
        <n v="4855.0"/>
        <n v="4856.0"/>
        <n v="4857.0"/>
        <n v="4858.0"/>
        <n v="4859.0"/>
        <n v="4861.0"/>
        <n v="4862.0"/>
        <n v="4863.0"/>
        <n v="4864.0"/>
        <n v="4865.0"/>
        <n v="4866.0"/>
        <n v="4867.0"/>
        <n v="4868.0"/>
        <n v="4869.0"/>
        <n v="4872.0"/>
        <n v="4873.0"/>
        <n v="4874.0"/>
        <n v="4875.0"/>
        <n v="4876.0"/>
        <n v="4877.0"/>
        <n v="4878.0"/>
        <n v="4879.0"/>
        <n v="4880.0"/>
        <n v="4882.0"/>
        <n v="4881.0"/>
        <n v="4883.0"/>
        <n v="4885.0"/>
        <n v="4886.0"/>
        <n v="4887.0"/>
        <n v="4888.0"/>
        <n v="4889.0"/>
        <n v="4890.0"/>
        <n v="4891.0"/>
        <n v="4892.0"/>
        <n v="4893.0"/>
        <n v="4894.0"/>
        <n v="4895.0"/>
        <n v="4896.0"/>
        <n v="4897.0"/>
        <n v="4898.0"/>
        <n v="4900.0"/>
        <n v="4902.0"/>
        <n v="4903.0"/>
        <n v="4904.0"/>
        <n v="4905.0"/>
        <n v="4906.0"/>
        <n v="4907.0"/>
        <n v="4908.0"/>
        <n v="4909.0"/>
        <n v="4910.0"/>
        <n v="4911.0"/>
        <n v="4912.0"/>
        <n v="4913.0"/>
        <n v="4914.0"/>
        <n v="4915.0"/>
        <n v="4916.0"/>
        <n v="4917.0"/>
        <n v="4918.0"/>
        <n v="4919.0"/>
        <n v="4920.0"/>
        <n v="4921.0"/>
        <n v="4922.0"/>
        <n v="4923.0"/>
        <n v="4924.0"/>
        <n v="4925.0"/>
        <n v="4926.0"/>
        <n v="4927.0"/>
        <n v="4928.0"/>
        <n v="4929.0"/>
        <n v="4930.0"/>
        <n v="4931.0"/>
        <n v="4932.0"/>
        <n v="4933.0"/>
        <n v="4934.0"/>
        <n v="4935.0"/>
        <n v="4936.0"/>
        <n v="4937.0"/>
        <n v="4938.0"/>
        <n v="4939.0"/>
        <n v="4940.0"/>
        <n v="4941.0"/>
        <n v="4942.0"/>
        <n v="4943.0"/>
        <n v="4944.0"/>
        <n v="4945.0"/>
        <n v="4946.0"/>
        <n v="4947.0"/>
        <n v="4949.0"/>
        <n v="4950.0"/>
        <n v="4951.0"/>
        <n v="4952.0"/>
        <n v="4953.0"/>
        <n v="4954.0"/>
        <n v="4955.0"/>
        <n v="4956.0"/>
        <n v="4957.0"/>
        <n v="4958.0"/>
        <n v="4959.0"/>
        <n v="4960.0"/>
        <n v="4961.0"/>
        <n v="4962.0"/>
        <n v="4963.0"/>
        <n v="4964.0"/>
        <n v="4965.0"/>
        <n v="4966.0"/>
        <n v="4967.0"/>
        <n v="4968.0"/>
        <n v="4969.0"/>
        <n v="4970.0"/>
        <n v="4972.0"/>
        <n v="4971.0"/>
        <n v="4973.0"/>
        <n v="4974.0"/>
        <n v="4975.0"/>
        <n v="4976.0"/>
        <n v="4977.0"/>
        <n v="4978.0"/>
        <n v="4979.0"/>
        <n v="4980.0"/>
        <n v="4981.0"/>
        <n v="4982.0"/>
        <n v="4983.0"/>
        <n v="4984.0"/>
        <n v="4985.0"/>
        <n v="4986.0"/>
        <n v="4987.0"/>
        <n v="4988.0"/>
        <n v="4989.0"/>
        <n v="4990.0"/>
        <n v="4991.0"/>
        <n v="4992.0"/>
        <n v="4993.0"/>
        <n v="4994.0"/>
        <n v="4995.0"/>
        <n v="4996.0"/>
        <n v="4997.0"/>
        <n v="4998.0"/>
        <n v="4999.0"/>
        <n v="5001.0"/>
        <n v="5002.0"/>
        <n v="5003.0"/>
        <n v="5004.0"/>
        <n v="5005.0"/>
        <n v="5006.0"/>
        <n v="5007.0"/>
        <n v="5008.0"/>
        <n v="5009.0"/>
        <n v="5010.0"/>
        <n v="5011.0"/>
        <n v="5012.0"/>
        <n v="5013.0"/>
        <n v="5014.0"/>
        <n v="5015.0"/>
        <n v="5016.0"/>
        <n v="5017.0"/>
        <n v="5018.0"/>
        <n v="5019.0"/>
        <n v="5020.0"/>
        <n v="5021.0"/>
        <n v="50000.0"/>
        <n v="5023.0"/>
        <n v="5024.0"/>
        <n v="5025.0"/>
        <n v="5026.0"/>
        <n v="5027.0"/>
        <n v="5028.0"/>
        <n v="5029.0"/>
        <n v="5030.0"/>
        <n v="5031.0"/>
        <n v="5032.0"/>
        <n v="5033.0"/>
        <n v="5034.0"/>
        <n v="5035.0"/>
        <n v="5036.0"/>
        <n v="5057.0"/>
        <n v="5037.0"/>
        <n v="5038.0"/>
        <n v="5039.0"/>
        <n v="5040.0"/>
        <n v="5043.0"/>
        <n v="5044.0"/>
        <n v="5045.0"/>
        <n v="5046.0"/>
        <n v="5047.0"/>
        <n v="5048.0"/>
        <n v="5049.0"/>
        <n v="5050.0"/>
        <n v="5051.0"/>
        <n v="5052.0"/>
        <n v="5053.0"/>
        <n v="5054.0"/>
        <n v="5055.0"/>
        <n v="5056.0"/>
        <n v="5058.0"/>
        <n v="5059.0"/>
        <n v="5060.0"/>
        <n v="5061.0"/>
        <n v="5062.0"/>
        <n v="5063.0"/>
        <n v="5064.0"/>
        <n v="5065.0"/>
        <n v="5066.0"/>
        <n v="5067.0"/>
        <n v="5068.0"/>
        <n v="5069.0"/>
        <n v="5070.0"/>
        <n v="5071.0"/>
        <n v="5072.0"/>
        <n v="5073.0"/>
        <n v="5074.0"/>
        <n v="5075.0"/>
        <n v="5076.0"/>
        <n v="5077.0"/>
        <n v="5078.0"/>
        <n v="5080.0"/>
        <n v="5082.0"/>
        <n v="5083.0"/>
        <n v="5084.0"/>
        <n v="5085.0"/>
        <n v="5086.0"/>
        <n v="5087.0"/>
        <n v="5088.0"/>
        <n v="5089.0"/>
        <n v="5090.0"/>
        <n v="5092.0"/>
        <n v="5093.0"/>
        <n v="5095.0"/>
        <n v="5096.0"/>
        <n v="5097.0"/>
        <n v="5098.0"/>
        <n v="5099.0"/>
        <n v="5101.0"/>
        <n v="5102.0"/>
        <n v="5103.0"/>
        <n v="5104.0"/>
        <n v="5105.0"/>
        <n v="5106.0"/>
        <n v="5107.0"/>
        <n v="5108.0"/>
        <n v="5109.0"/>
        <n v="5110.0"/>
        <n v="5111.0"/>
        <n v="5112.0"/>
        <n v="5113.0"/>
        <n v="5115.0"/>
        <n v="5116.0"/>
        <n v="5117.0"/>
        <n v="5118.0"/>
        <n v="5119.0"/>
        <n v="5120.0"/>
        <n v="5122.0"/>
        <n v="5123.0"/>
        <n v="5125.0"/>
        <n v="5126.0"/>
        <n v="5127.0"/>
        <n v="5128.0"/>
        <n v="5129.0"/>
        <n v="5130.0"/>
        <n v="5131.0"/>
        <n v="5132.0"/>
        <n v="5133.0"/>
        <n v="5134.0"/>
        <n v="5135.0"/>
        <n v="5136.0"/>
        <n v="5137.0"/>
        <n v="5138.0"/>
        <n v="5139.0"/>
        <n v="5140.0"/>
        <n v="5141.0"/>
        <n v="5142.0"/>
        <n v="5144.0"/>
        <n v="5145.0"/>
        <n v="5146.0"/>
        <n v="5147.0"/>
        <n v="5148.0"/>
        <n v="5243.0"/>
        <n v="5149.0"/>
        <n v="5150.0"/>
        <n v="5151.0"/>
        <n v="5152.0"/>
        <n v="5153.0"/>
        <n v="5154.0"/>
        <n v="5155.0"/>
        <n v="5156.0"/>
        <n v="5157.0"/>
        <n v="5158.0"/>
        <n v="5159.0"/>
        <n v="5160.0"/>
        <n v="5161.0"/>
        <n v="5163.0"/>
        <n v="5165.0"/>
        <n v="5166.0"/>
        <n v="5167.0"/>
        <n v="5168.0"/>
        <n v="5169.0"/>
        <n v="5170.0"/>
        <n v="5171.0"/>
        <n v="5172.0"/>
        <n v="5174.0"/>
        <n v="5175.0"/>
        <n v="5176.0"/>
        <n v="5177.0"/>
        <n v="5178.0"/>
        <n v="5179.0"/>
        <n v="5180.0"/>
        <n v="5181.0"/>
        <n v="5182.0"/>
        <n v="5183.0"/>
        <n v="5184.0"/>
        <n v="5185.0"/>
        <n v="5186.0"/>
        <n v="5187.0"/>
        <n v="5188.0"/>
        <n v="5189.0"/>
        <n v="5190.0"/>
        <n v="5192.0"/>
        <n v="5193.0"/>
        <n v="5194.0"/>
        <n v="5195.0"/>
        <n v="5196.0"/>
        <n v="5197.0"/>
        <n v="5198.0"/>
        <n v="5199.0"/>
        <n v="5200.0"/>
        <n v="5201.0"/>
        <n v="5202.0"/>
        <n v="5203.0"/>
        <n v="5204.0"/>
        <n v="5205.0"/>
        <n v="5206.0"/>
        <n v="5207.0"/>
        <n v="5208.0"/>
        <n v="5209.0"/>
        <n v="5210.0"/>
        <n v="5211.0"/>
        <n v="5212.0"/>
        <n v="5213.0"/>
        <n v="5214.0"/>
        <n v="5215.0"/>
        <n v="5216.0"/>
        <n v="5217.0"/>
        <n v="5218.0"/>
        <n v="5219.0"/>
        <n v="5220.0"/>
        <n v="5221.0"/>
        <n v="5222.0"/>
        <n v="5224.0"/>
        <n v="5225.0"/>
        <n v="5226.0"/>
        <n v="5227.0"/>
        <n v="5228.0"/>
        <n v="5229.0"/>
        <n v="5230.0"/>
        <n v="5231.0"/>
        <n v="5232.0"/>
        <n v="5233.0"/>
        <n v="5234.0"/>
        <n v="5235.0"/>
        <n v="5238.0"/>
        <n v="5239.0"/>
        <n v="5240.0"/>
        <n v="5241.0"/>
        <n v="5242.0"/>
        <n v="5244.0"/>
        <n v="5245.0"/>
        <n v="5246.0"/>
        <n v="5247.0"/>
        <n v="5248.0"/>
        <n v="5249.0"/>
        <n v="5250.0"/>
        <n v="5251.0"/>
        <n v="5252.0"/>
        <n v="5253.0"/>
        <n v="5256.0"/>
        <n v="5257.0"/>
        <n v="5258.0"/>
        <n v="5259.0"/>
        <n v="5260.0"/>
        <n v="5261.0"/>
        <n v="5263.0"/>
        <n v="5264.0"/>
        <n v="5265.0"/>
        <n v="5266.0"/>
        <n v="5267.0"/>
        <n v="5268.0"/>
        <n v="5270.0"/>
        <n v="5271.0"/>
        <n v="5272.0"/>
        <n v="5273.0"/>
        <n v="5274.0"/>
        <n v="5275.0"/>
        <n v="5276.0"/>
        <n v="5277.0"/>
        <n v="5278.0"/>
        <n v="5280.0"/>
        <n v="5283.0"/>
        <n v="5284.0"/>
        <n v="5285.0"/>
        <n v="5286.0"/>
        <n v="5288.0"/>
        <n v="5289.0"/>
        <n v="5290.0"/>
        <n v="5291.0"/>
        <n v="5292.0"/>
        <n v="5293.0"/>
        <n v="5294.0"/>
        <n v="5295.0"/>
        <n v="5296.0"/>
        <n v="5299.0"/>
        <n v="5300.0"/>
        <n v="5301.0"/>
        <n v="5302.0"/>
        <n v="5303.0"/>
        <n v="5305.0"/>
        <n v="5306.0"/>
        <n v="5307.0"/>
        <n v="5310.0"/>
        <n v="5311.0"/>
        <n v="5314.0"/>
        <n v="5315.0"/>
        <n v="5317.0"/>
        <n v="5318.0"/>
        <n v="5319.0"/>
        <n v="5320.0"/>
        <n v="5321.0"/>
        <n v="5322.0"/>
        <n v="5323.0"/>
        <n v="5324.0"/>
        <n v="5325.0"/>
        <n v="5326.0"/>
        <n v="5327.0"/>
        <n v="5328.0"/>
        <n v="5329.0"/>
        <n v="5330.0"/>
        <n v="5331.0"/>
        <n v="5332.0"/>
        <n v="5333.0"/>
        <n v="5334.0"/>
        <n v="5335.0"/>
        <n v="5336.0"/>
        <n v="5337.0"/>
        <n v="5339.0"/>
        <n v="5340.0"/>
        <n v="5342.0"/>
        <n v="5343.0"/>
        <n v="5344.0"/>
        <n v="5345.0"/>
        <n v="5346.0"/>
        <n v="5347.0"/>
        <n v="5348.0"/>
        <n v="5349.0"/>
        <n v="5350.0"/>
        <n v="5351.0"/>
        <n v="5352.0"/>
        <n v="5353.0"/>
        <n v="5354.0"/>
        <n v="5355.0"/>
        <n v="5356.0"/>
        <n v="5357.0"/>
        <n v="5358.0"/>
        <n v="5359.0"/>
        <n v="5360.0"/>
        <n v="5361.0"/>
        <n v="5362.0"/>
        <n v="5363.0"/>
        <n v="5364.0"/>
        <n v="5365.0"/>
        <n v="5367.0"/>
        <n v="5368.0"/>
        <n v="5369.0"/>
        <n v="5371.0"/>
        <n v="5372.0"/>
        <n v="5373.0"/>
        <n v="5374.0"/>
        <n v="5375.0"/>
        <n v="5376.0"/>
        <n v="5377.0"/>
        <n v="5379.0"/>
        <n v="5380.0"/>
        <n v="5381.0"/>
        <n v="5382.0"/>
        <n v="5383.0"/>
        <n v="5384.0"/>
        <n v="5385.0"/>
        <n v="5386.0"/>
        <n v="5387.0"/>
        <n v="5388.0"/>
        <n v="5389.0"/>
        <n v="53900.0"/>
        <n v="5391.0"/>
        <n v="5392.0"/>
        <n v="5393.0"/>
        <n v="5395.0"/>
        <n v="5396.0"/>
        <n v="5397.0"/>
        <n v="5398.0"/>
        <n v="5399.0"/>
        <n v="5400.0"/>
        <n v="5401.0"/>
        <n v="5402.0"/>
        <n v="5403.0"/>
        <n v="5404.0"/>
        <n v="5405.0"/>
        <n v="5406.0"/>
        <n v="5408.0"/>
        <n v="5409.0"/>
        <n v="5410.0"/>
        <n v="5411.0"/>
        <n v="5412.0"/>
        <n v="5413.0"/>
        <n v="5414.0"/>
        <n v="5415.0"/>
        <n v="5416.0"/>
        <n v="5417.0"/>
        <n v="5418.0"/>
        <n v="5419.0"/>
        <n v="5420.0"/>
        <n v="5421.0"/>
        <n v="5422.0"/>
        <n v="5425.0"/>
        <n v="5426.0"/>
        <n v="5427.0"/>
        <n v="5428.0"/>
        <n v="5429.0"/>
        <n v="5431.0"/>
        <n v="5432.0"/>
        <n v="5433.0"/>
        <n v="5434.0"/>
        <n v="5435.0"/>
        <n v="5436.0"/>
        <n v="5437.0"/>
        <n v="5438.0"/>
        <n v="5439.0"/>
        <n v="5440.0"/>
        <n v="5441.0"/>
        <n v="5442.0"/>
        <n v="5443.0"/>
        <n v="5444.0"/>
        <n v="5445.0"/>
        <n v="5446.0"/>
        <n v="5447.0"/>
        <n v="5448.0"/>
        <n v="5450.0"/>
        <n v="5451.0"/>
        <n v="5452.0"/>
        <n v="5453.0"/>
        <n v="5454.0"/>
        <n v="5455.0"/>
        <n v="5456.0"/>
        <n v="5457.0"/>
        <n v="5458.0"/>
        <n v="5459.0"/>
        <n v="5460.0"/>
        <n v="5461.0"/>
        <n v="5462.0"/>
        <n v="5463.0"/>
        <n v="5464.0"/>
        <n v="5466.0"/>
        <n v="5467.0"/>
        <n v="5468.0"/>
        <n v="5469.0"/>
        <n v="5470.0"/>
        <n v="5471.0"/>
        <n v="5472.0"/>
        <n v="5473.0"/>
        <n v="5474.0"/>
        <n v="5475.0"/>
        <n v="5476.0"/>
        <n v="5477.0"/>
        <n v="5479.0"/>
        <n v="5480.0"/>
        <n v="5481.0"/>
        <n v="5483.0"/>
        <n v="5484.0"/>
        <n v="5486.0"/>
        <n v="5487.0"/>
        <n v="5489.0"/>
        <n v="5490.0"/>
        <n v="5491.0"/>
        <n v="5492.0"/>
        <n v="5493.0"/>
        <n v="5494.0"/>
        <n v="5495.0"/>
        <n v="5496.0"/>
        <n v="5497.0"/>
        <n v="5498.0"/>
        <n v="5499.0"/>
        <n v="5501.0"/>
        <n v="5503.0"/>
        <n v="5504.0"/>
        <n v="5505.0"/>
        <n v="5506.0"/>
        <n v="5507.0"/>
        <n v="5508.0"/>
        <n v="5509.0"/>
        <n v="5510.0"/>
        <n v="5511.0"/>
        <n v="5512.0"/>
        <n v="5513.0"/>
        <n v="5514.0"/>
        <n v="5515.0"/>
        <n v="5516.0"/>
        <n v="5517.0"/>
        <n v="5519.0"/>
        <n v="5520.0"/>
        <n v="5521.0"/>
        <n v="5522.0"/>
        <n v="5523.0"/>
        <n v="5524.0"/>
        <n v="5525.0"/>
        <n v="5526.0"/>
        <n v="5527.0"/>
        <n v="5528.0"/>
        <n v="5529.0"/>
        <n v="5530.0"/>
        <n v="5532.0"/>
        <n v="5533.0"/>
        <n v="5534.0"/>
        <n v="5535.0"/>
        <n v="5536.0"/>
        <n v="5537.0"/>
        <n v="5538.0"/>
        <n v="5539.0"/>
        <n v="5540.0"/>
        <n v="5541.0"/>
        <n v="5542.0"/>
        <n v="5543.0"/>
        <n v="5545.0"/>
        <n v="5546.0"/>
        <n v="5547.0"/>
        <n v="5548.0"/>
        <n v="5549.0"/>
        <n v="5550.0"/>
        <n v="5551.0"/>
        <n v="5552.0"/>
        <n v="5554.0"/>
        <n v="5556.0"/>
        <n v="5557.0"/>
        <n v="5558.0"/>
        <n v="5559.0"/>
        <n v="5560.0"/>
        <n v="5561.0"/>
        <n v="5562.0"/>
        <n v="5563.0"/>
        <n v="5564.0"/>
        <n v="5565.0"/>
        <n v="5566.0"/>
        <n v="5567.0"/>
        <n v="5568.0"/>
        <n v="5569.0"/>
        <n v="5570.0"/>
        <n v="5571.0"/>
        <n v="5572.0"/>
        <n v="5573.0"/>
        <n v="5574.0"/>
        <n v="5575.0"/>
        <n v="5577.0"/>
        <n v="5578.0"/>
        <n v="5579.0"/>
        <n v="5580.0"/>
        <n v="5582.0"/>
        <n v="5583.0"/>
        <n v="5584.0"/>
        <n v="5585.0"/>
        <n v="5586.0"/>
        <n v="5589.0"/>
        <n v="5590.0"/>
        <n v="5591.0"/>
        <n v="5592.0"/>
        <n v="5593.0"/>
        <n v="5594.0"/>
        <n v="5595.0"/>
        <n v="5596.0"/>
        <n v="5597.0"/>
        <n v="5598.0"/>
        <n v="5599.0"/>
        <n v="5601.0"/>
        <n v="5602.0"/>
        <n v="5604.0"/>
        <n v="5605.0"/>
        <n v="5606.0"/>
        <n v="5607.0"/>
        <n v="5608.0"/>
        <n v="5609.0"/>
        <n v="5610.0"/>
        <n v="5611.0"/>
        <n v="5612.0"/>
        <n v="5613.0"/>
        <n v="5614.0"/>
        <n v="5615.0"/>
        <n v="5616.0"/>
        <n v="5617.0"/>
        <n v="5618.0"/>
        <n v="5619.0"/>
        <n v="5620.0"/>
        <n v="5621.0"/>
        <n v="5622.0"/>
        <n v="5623.0"/>
        <n v="5624.0"/>
        <n v="5625.0"/>
        <n v="5626.0"/>
        <n v="5627.0"/>
        <n v="5628.0"/>
        <n v="5630.0"/>
        <n v="5631.0"/>
        <n v="5632.0"/>
        <n v="5633.0"/>
        <n v="5634.0"/>
        <n v="5635.0"/>
        <n v="5636.0"/>
        <n v="5637.0"/>
        <n v="5638.0"/>
        <n v="5639.0"/>
        <n v="5640.0"/>
        <n v="5641.0"/>
        <n v="5643.0"/>
        <n v="5644.0"/>
        <n v="5645.0"/>
        <n v="5647.0"/>
        <n v="5648.0"/>
        <n v="5649.0"/>
        <n v="5650.0"/>
        <n v="5651.0"/>
        <n v="5652.0"/>
        <n v="5653.0"/>
        <n v="5654.0"/>
        <n v="5655.0"/>
        <n v="5656.0"/>
        <n v="5657.0"/>
        <n v="5660.0"/>
        <n v="5661.0"/>
        <n v="5662.0"/>
        <n v="5664.0"/>
        <n v="5665.0"/>
        <n v="5666.0"/>
        <n v="5668.0"/>
        <n v="5669.0"/>
        <n v="5670.0"/>
        <n v="5671.0"/>
        <n v="5672.0"/>
        <n v="5673.0"/>
        <n v="5674.0"/>
        <n v="5675.0"/>
        <n v="5676.0"/>
        <n v="5677.0"/>
        <n v="5678.0"/>
        <n v="5679.0"/>
        <n v="5680.0"/>
        <n v="5681.0"/>
        <n v="5682.0"/>
        <n v="5683.0"/>
        <n v="5684.0"/>
        <n v="5687.0"/>
        <n v="5688.0"/>
        <n v="5689.0"/>
        <n v="5690.0"/>
        <n v="5691.0"/>
        <n v="5693.0"/>
        <n v="5694.0"/>
        <n v="5695.0"/>
        <n v="5696.0"/>
        <n v="5697.0"/>
        <n v="5698.0"/>
        <n v="5699.0"/>
        <n v="5700.0"/>
        <n v="5702.0"/>
        <n v="5704.0"/>
        <n v="5705.0"/>
        <n v="5706.0"/>
        <n v="5707.0"/>
        <n v="5708.0"/>
        <n v="5709.0"/>
        <n v="5711.0"/>
        <n v="5710.0"/>
        <n v="5712.0"/>
        <n v="5713.0"/>
        <n v="5714.0"/>
        <n v="5715.0"/>
        <n v="5716.0"/>
        <n v="5717.0"/>
        <n v="5718.0"/>
        <n v="5719.0"/>
        <n v="5720.0"/>
        <n v="5721.0"/>
        <n v="5722.0"/>
        <n v="5724.0"/>
        <n v="5725.0"/>
        <n v="5726.0"/>
        <n v="5727.0"/>
        <n v="5728.0"/>
        <n v="5729.0"/>
        <n v="5730.0"/>
        <n v="5731.0"/>
        <n v="5732.0"/>
        <n v="5733.0"/>
        <n v="5734.0"/>
        <n v="5735.0"/>
        <n v="5736.0"/>
        <n v="5737.0"/>
        <n v="5738.0"/>
        <n v="5739.0"/>
        <n v="5740.0"/>
        <n v="5741.0"/>
        <n v="5742.0"/>
        <n v="5743.0"/>
        <n v="5744.0"/>
        <n v="5745.0"/>
        <n v="5746.0"/>
        <n v="5748.0"/>
        <n v="5749.0"/>
        <n v="5750.0"/>
        <n v="5751.0"/>
        <n v="5752.0"/>
        <n v="5753.0"/>
        <n v="5754.0"/>
        <n v="5755.0"/>
        <n v="5756.0"/>
        <n v="5757.0"/>
        <n v="5758.0"/>
        <n v="5759.0"/>
        <n v="5760.0"/>
        <n v="5761.0"/>
        <n v="5762.0"/>
        <n v="5763.0"/>
        <n v="5765.0"/>
        <n v="5766.0"/>
        <n v="5767.0"/>
        <n v="5768.0"/>
        <n v="5769.0"/>
        <n v="5770.0"/>
        <n v="5771.0"/>
        <n v="5772.0"/>
        <n v="5774.0"/>
        <n v="5775.0"/>
        <n v="5776.0"/>
        <n v="5777.0"/>
        <n v="5778.0"/>
        <n v="5779.0"/>
        <n v="5783.0"/>
        <n v="5784.0"/>
        <n v="5785.0"/>
        <n v="5786.0"/>
        <n v="5787.0"/>
        <n v="5788.0"/>
        <n v="5789.0"/>
        <n v="5790.0"/>
        <n v="5791.0"/>
        <n v="5792.0"/>
        <n v="5793.0"/>
        <n v="5794.0"/>
        <n v="5796.0"/>
        <n v="5797.0"/>
        <n v="5800.0"/>
        <n v="5801.0"/>
        <n v="5804.0"/>
        <n v="5806.0"/>
        <n v="5807.0"/>
        <n v="5808.0"/>
        <n v="5811.0"/>
        <n v="5812.0"/>
        <n v="5813.0"/>
        <n v="5814.0"/>
        <n v="5815.0"/>
        <n v="5816.0"/>
        <n v="5817.0"/>
        <n v="5818.0"/>
        <n v="5819.0"/>
        <n v="5820.0"/>
        <n v="5822.0"/>
        <n v="5823.0"/>
        <n v="5824.0"/>
        <n v="5826.0"/>
        <n v="5827.0"/>
        <n v="5828.0"/>
        <n v="5829.0"/>
        <n v="5831.0"/>
        <n v="5832.0"/>
        <n v="5833.0"/>
        <n v="5834.0"/>
        <n v="5835.0"/>
        <n v="5836.0"/>
        <n v="5837.0"/>
        <n v="5838.0"/>
        <n v="5840.0"/>
        <n v="5841.0"/>
        <n v="5842.0"/>
        <n v="5843.0"/>
        <n v="5844.0"/>
        <n v="5845.0"/>
        <n v="5846.0"/>
        <n v="5847.0"/>
        <n v="5848.0"/>
        <n v="5849.0"/>
        <n v="5850.0"/>
        <n v="5851.0"/>
        <n v="5852.0"/>
        <n v="5853.0"/>
        <n v="5855.0"/>
        <n v="5856.0"/>
        <n v="5857.0"/>
        <n v="5858.0"/>
        <n v="5859.0"/>
        <n v="5860.0"/>
        <n v="5861.0"/>
        <n v="5862.0"/>
        <n v="5863.0"/>
        <n v="5864.0"/>
        <n v="5867.0"/>
        <n v="5868.0"/>
        <n v="5869.0"/>
        <n v="5871.0"/>
        <n v="5872.0"/>
        <n v="5873.0"/>
        <n v="5874.0"/>
        <n v="5875.0"/>
        <n v="5876.0"/>
        <n v="5877.0"/>
        <n v="5879.0"/>
        <n v="5880.0"/>
        <n v="5881.0"/>
        <n v="5882.0"/>
        <n v="5883.0"/>
        <n v="5884.0"/>
        <n v="5885.0"/>
        <n v="5886.0"/>
        <n v="5887.0"/>
        <n v="5888.0"/>
        <n v="5889.0"/>
        <n v="5891.0"/>
        <n v="5892.0"/>
        <n v="5893.0"/>
        <n v="5894.0"/>
        <n v="5896.0"/>
        <n v="5897.0"/>
        <n v="5898.0"/>
        <n v="5899.0"/>
        <n v="5900.0"/>
        <n v="5901.0"/>
        <n v="5902.0"/>
        <n v="5903.0"/>
        <n v="5904.0"/>
        <n v="5905.0"/>
        <n v="5906.0"/>
        <n v="5907.0"/>
        <n v="5908.0"/>
        <n v="5910.0"/>
        <n v="5911.0"/>
        <n v="5912.0"/>
        <n v="5913.0"/>
        <n v="5915.0"/>
        <n v="5916.0"/>
        <n v="5917.0"/>
        <n v="5918.0"/>
        <n v="5919.0"/>
        <n v="5920.0"/>
        <n v="5921.0"/>
        <n v="5922.0"/>
        <n v="5923.0"/>
        <n v="5924.0"/>
        <n v="5925.0"/>
        <n v="5926.0"/>
        <n v="5927.0"/>
        <n v="5929.0"/>
        <n v="5930.0"/>
        <n v="5931.0"/>
        <n v="5932.0"/>
        <n v="5933.0"/>
        <n v="5934.0"/>
        <n v="5935.0"/>
        <n v="5936.0"/>
        <n v="5937.0"/>
        <n v="5938.0"/>
        <n v="5940.0"/>
        <n v="5941.0"/>
        <n v="5942.0"/>
        <n v="5943.0"/>
        <n v="5944.0"/>
        <n v="5945.0"/>
        <n v="5946.0"/>
        <n v="5947.0"/>
        <n v="5948.0"/>
        <n v="5949.0"/>
        <n v="5950.0"/>
        <n v="5951.0"/>
        <n v="5952.0"/>
        <n v="5953.0"/>
        <n v="5954.0"/>
        <n v="5955.0"/>
        <n v="5957.0"/>
        <n v="5958.0"/>
        <n v="5959.0"/>
        <n v="5960.0"/>
        <n v="5870.0"/>
        <n v="5961.0"/>
        <n v="5962.0"/>
        <n v="5963.0"/>
        <n v="5965.0"/>
        <n v="5966.0"/>
        <n v="5967.0"/>
        <n v="5968.0"/>
        <n v="5969.0"/>
        <n v="5971.0"/>
        <n v="5972.0"/>
        <n v="5973.0"/>
        <n v="5974.0"/>
        <n v="5975.0"/>
        <n v="5976.0"/>
        <n v="5978.0"/>
        <n v="5981.0"/>
        <n v="5982.0"/>
        <n v="5983.0"/>
        <n v="591.0"/>
        <n v="5984.0"/>
        <n v="5985.0"/>
        <n v="5986.0"/>
        <n v="5987.0"/>
        <n v="5989.0"/>
        <n v="5990.0"/>
        <n v="5992.0"/>
        <n v="5993.0"/>
        <n v="5994.0"/>
        <n v="5995.0"/>
        <n v="5996.0"/>
        <n v="5997.0"/>
        <n v="5998.0"/>
        <n v="5999.0"/>
        <n v="6001.0"/>
        <n v="6002.0"/>
        <n v="6003.0"/>
        <n v="6004.0"/>
        <n v="6006.0"/>
        <n v="6007.0"/>
        <n v="6008.0"/>
        <n v="6009.0"/>
        <n v="6010.0"/>
        <n v="6011.0"/>
        <n v="6012.0"/>
        <n v="6013.0"/>
        <n v="6014.0"/>
        <n v="6015.0"/>
        <n v="6016.0"/>
        <n v="6017.0"/>
        <n v="6018.0"/>
        <n v="6019.0"/>
        <n v="6020.0"/>
        <n v="6021.0"/>
        <n v="6022.0"/>
        <n v="6023.0"/>
        <n v="6024.0"/>
        <n v="6025.0"/>
        <n v="6026.0"/>
        <n v="6027.0"/>
        <n v="6028.0"/>
        <n v="6029.0"/>
        <n v="6030.0"/>
        <n v="6832.0"/>
        <n v="6833.0"/>
        <n v="6835.0"/>
        <n v="6836.0"/>
        <n v="6837.0"/>
        <n v="6838.0"/>
        <n v="6039.0"/>
        <n v="6040.0"/>
        <n v="6041.0"/>
        <n v="6042.0"/>
        <n v="6043.0"/>
        <n v="6044.0"/>
        <n v="6045.0"/>
        <n v="6046.0"/>
        <n v="6047.0"/>
        <n v="6048.0"/>
        <n v="6049.0"/>
        <n v="6050.0"/>
        <n v="6051.0"/>
        <n v="6052.0"/>
        <n v="6053.0"/>
        <n v="6054.0"/>
        <n v="6057.0"/>
        <n v="6058.0"/>
        <n v="6059.0"/>
        <n v="6061.0"/>
        <n v="6062.0"/>
        <n v="6063.0"/>
        <n v="6065.0"/>
        <n v="6066.0"/>
        <n v="6068.0"/>
        <n v="6069.0"/>
        <n v="6070.0"/>
        <n v="6071.0"/>
        <n v="6072.0"/>
        <n v="6074.0"/>
        <n v="6075.0"/>
        <n v="6076.0"/>
        <n v="6077.0"/>
        <n v="6078.0"/>
        <n v="6080.0"/>
        <n v="6081.0"/>
        <n v="6082.0"/>
        <n v="6083.0"/>
        <n v="6084.0"/>
        <n v="6085.0"/>
        <n v="6086.0"/>
        <n v="6087.0"/>
        <n v="6088.0"/>
        <n v="6089.0"/>
        <n v="6091.0"/>
        <n v="6092.0"/>
        <n v="6093.0"/>
        <n v="6094.0"/>
        <n v="6095.0"/>
        <n v="6096.0"/>
        <n v="6097.0"/>
        <n v="6098.0"/>
        <n v="6100.0"/>
        <n v="6101.0"/>
        <n v="6102.0"/>
        <n v="6103.0"/>
        <n v="6104.0"/>
        <n v="6105.0"/>
        <n v="6106.0"/>
        <n v="6108.0"/>
        <n v="6109.0"/>
        <n v="6110.0"/>
        <n v="6111.0"/>
        <n v="6112.0"/>
        <n v="6113.0"/>
        <n v="6114.0"/>
        <n v="6115.0"/>
        <n v="6116.0"/>
        <n v="6117.0"/>
        <n v="6118.0"/>
        <n v="6119.0"/>
        <n v="6120.0"/>
        <n v="6121.0"/>
        <n v="6122.0"/>
        <n v="6123.0"/>
        <n v="6125.0"/>
        <n v="6126.0"/>
        <n v="6127.0"/>
        <n v="6128.0"/>
        <n v="6129.0"/>
        <n v="6130.0"/>
        <n v="6131.0"/>
        <n v="6132.0"/>
        <n v="6133.0"/>
        <n v="6136.0"/>
        <n v="6137.0"/>
        <n v="6138.0"/>
        <n v="6141.0"/>
        <n v="6142.0"/>
        <n v="6143.0"/>
        <n v="6144.0"/>
        <n v="6145.0"/>
        <n v="6146.0"/>
        <n v="6147.0"/>
        <n v="6148.0"/>
        <n v="6149.0"/>
        <n v="6150.0"/>
        <n v="6151.0"/>
        <n v="6152.0"/>
        <n v="6155.0"/>
        <n v="6156.0"/>
        <n v="6157.0"/>
        <n v="6158.0"/>
        <n v="6159.0"/>
        <n v="6160.0"/>
        <n v="6161.0"/>
        <n v="6162.0"/>
        <n v="6163.0"/>
        <n v="6164.0"/>
        <n v="6165.0"/>
        <n v="6166.0"/>
        <n v="6167.0"/>
        <n v="6168.0"/>
        <n v="6169.0"/>
        <n v="6170.0"/>
        <n v="6171.0"/>
        <n v="6172.0"/>
        <n v="6173.0"/>
        <n v="6174.0"/>
        <n v="6175.0"/>
        <n v="6176.0"/>
        <n v="6177.0"/>
        <n v="6178.0"/>
        <n v="6182.0"/>
        <n v="6184.0"/>
        <n v="6185.0"/>
        <n v="6186.0"/>
        <n v="6189.0"/>
        <n v="6191.0"/>
        <n v="6192.0"/>
        <n v="6193.0"/>
        <n v="6194.0"/>
        <n v="6195.0"/>
        <n v="6196.0"/>
        <n v="6197.0"/>
        <n v="6198.0"/>
        <n v="6199.0"/>
        <n v="6200.0"/>
        <n v="6202.0"/>
        <n v="6203.0"/>
        <n v="6204.0"/>
        <n v="6205.0"/>
        <n v="6206.0"/>
        <n v="6207.0"/>
        <n v="6208.0"/>
        <n v="6213.0"/>
        <n v="6214.0"/>
        <n v="6215.0"/>
        <n v="6216.0"/>
        <n v="6217.0"/>
        <n v="6218.0"/>
        <n v="6219.0"/>
        <n v="6220.0"/>
        <n v="6221.0"/>
        <n v="6222.0"/>
        <n v="6223.0"/>
        <n v="6224.0"/>
        <n v="6225.0"/>
        <n v="6226.0"/>
        <n v="6227.0"/>
        <n v="6228.0"/>
        <n v="6229.0"/>
        <n v="6230.0"/>
        <n v="6231.0"/>
        <n v="6232.0"/>
        <n v="6234.0"/>
        <n v="6236.0"/>
        <n v="6237.0"/>
        <n v="6238.0"/>
        <n v="6239.0"/>
        <n v="6240.0"/>
        <n v="6241.0"/>
        <n v="6243.0"/>
        <n v="6244.0"/>
        <n v="6245.0"/>
        <n v="6246.0"/>
        <n v="6247.0"/>
        <n v="6248.0"/>
        <n v="6249.0"/>
        <n v="6250.0"/>
        <n v="6251.0"/>
        <n v="6252.0"/>
        <n v="6255.0"/>
        <n v="6256.0"/>
        <n v="6257.0"/>
        <n v="6258.0"/>
        <n v="6259.0"/>
        <n v="6263.0"/>
        <n v="6265.0"/>
        <n v="6266.0"/>
        <n v="6267.0"/>
        <n v="6268.0"/>
        <n v="6269.0"/>
        <n v="6270.0"/>
        <n v="6271.0"/>
        <n v="6272.0"/>
        <n v="6273.0"/>
        <n v="6274.0"/>
        <n v="6275.0"/>
        <n v="6276.0"/>
        <n v="6277.0"/>
        <n v="6278.0"/>
        <n v="6279.0"/>
        <n v="6280.0"/>
        <n v="6281.0"/>
        <n v="6282.0"/>
        <n v="6283.0"/>
        <n v="6284.0"/>
        <n v="6285.0"/>
        <n v="6286.0"/>
        <n v="6287.0"/>
        <n v="6288.0"/>
        <n v="6290.0"/>
        <n v="6291.0"/>
        <n v="6292.0"/>
        <n v="6293.0"/>
        <n v="6294.0"/>
        <n v="6295.0"/>
        <n v="6296.0"/>
        <n v="6298.0"/>
        <n v="6299.0"/>
        <n v="6300.0"/>
        <n v="6301.0"/>
        <n v="6302.0"/>
        <n v="6304.0"/>
        <n v="6305.0"/>
        <n v="6306.0"/>
        <n v="6307.0"/>
        <n v="6308.0"/>
        <n v="6309.0"/>
        <n v="6310.0"/>
        <n v="6312.0"/>
        <n v="6313.0"/>
        <n v="6314.0"/>
        <n v="6315.0"/>
        <n v="6316.0"/>
        <n v="6317.0"/>
        <n v="6318.0"/>
        <n v="6319.0"/>
        <n v="6320.0"/>
        <n v="6321.0"/>
        <n v="6322.0"/>
        <n v="6323.0"/>
        <n v="6324.0"/>
        <n v="6325.0"/>
        <n v="6326.0"/>
        <n v="6327.0"/>
        <n v="6328.0"/>
        <n v="6329.0"/>
        <n v="6330.0"/>
        <n v="6331.0"/>
        <n v="6332.0"/>
        <n v="6333.0"/>
        <n v="6335.0"/>
        <n v="6336.0"/>
        <n v="6337.0"/>
        <n v="6338.0"/>
        <n v="6339.0"/>
        <n v="6341.0"/>
        <n v="6344.0"/>
        <n v="6345.0"/>
        <n v="6348.0"/>
        <n v="6349.0"/>
        <n v="6350.0"/>
        <n v="6351.0"/>
        <n v="6352.0"/>
        <n v="6353.0"/>
        <n v="6354.0"/>
        <n v="6355.0"/>
        <n v="6356.0"/>
        <n v="6357.0"/>
        <n v="6358.0"/>
        <n v="6359.0"/>
        <n v="6360.0"/>
        <n v="6361.0"/>
        <n v="6362.0"/>
        <n v="6340.0"/>
        <n v="6363.0"/>
        <n v="6364.0"/>
        <n v="6365.0"/>
        <n v="6366.0"/>
        <n v="6367.0"/>
        <n v="6368.0"/>
        <n v="6369.0"/>
        <n v="6371.0"/>
        <n v="6372.0"/>
        <n v="6373.0"/>
        <n v="6374.0"/>
        <n v="6375.0"/>
        <n v="6376.0"/>
        <n v="6378.0"/>
        <n v="6379.0"/>
        <n v="6380.0"/>
        <n v="6382.0"/>
        <n v="6383.0"/>
        <n v="6384.0"/>
        <n v="6386.0"/>
        <n v="6387.0"/>
        <n v="6388.0"/>
        <n v="6389.0"/>
        <n v="6390.0"/>
        <n v="6391.0"/>
        <n v="6392.0"/>
        <n v="6393.0"/>
        <n v="6394.0"/>
        <n v="6395.0"/>
        <n v="6396.0"/>
        <n v="6397.0"/>
        <n v="6398.0"/>
        <n v="6399.0"/>
        <n v="6400.0"/>
        <n v="6402.0"/>
        <n v="6403.0"/>
        <n v="6404.0"/>
        <n v="6405.0"/>
        <n v="6406.0"/>
        <n v="6407.0"/>
        <n v="6408.0"/>
        <n v="6409.0"/>
        <n v="6410.0"/>
        <n v="6491.0"/>
        <n v="6411.0"/>
        <n v="6412.0"/>
        <n v="6413.0"/>
        <n v="6414.0"/>
        <n v="6415.0"/>
        <n v="6416.0"/>
        <n v="6417.0"/>
        <n v="6418.0"/>
        <n v="6419.0"/>
        <n v="6420.0"/>
        <n v="6421.0"/>
        <n v="6422.0"/>
        <n v="6423.0"/>
        <n v="6425.0"/>
        <n v="6426.0"/>
        <n v="6427.0"/>
        <n v="6428.0"/>
        <n v="6429.0"/>
        <n v="6430.0"/>
        <n v="6431.0"/>
        <n v="6432.0"/>
        <n v="6433.0"/>
        <n v="6435.0"/>
        <n v="6436.0"/>
        <n v="6437.0"/>
        <n v="6438.0"/>
        <n v="6439.0"/>
        <n v="6440.0"/>
        <n v="6441.0"/>
        <n v="6442.0"/>
        <n v="6443.0"/>
        <n v="6444.0"/>
        <n v="6445.0"/>
        <n v="6446.0"/>
        <n v="6447.0"/>
        <n v="6448.0"/>
        <n v="6449.0"/>
        <n v="6450.0"/>
        <n v="6451.0"/>
        <n v="6452.0"/>
        <n v="6453.0"/>
        <n v="6455.0"/>
        <n v="6456.0"/>
        <n v="6457.0"/>
        <n v="6458.0"/>
        <n v="6460.0"/>
        <n v="6461.0"/>
        <n v="6462.0"/>
        <n v="6463.0"/>
        <n v="6464.0"/>
        <n v="6465.0"/>
        <n v="6466.0"/>
        <n v="6467.0"/>
        <n v="6468.0"/>
        <n v="6469.0"/>
        <n v="6470.0"/>
        <n v="6472.0"/>
        <n v="6474.0"/>
        <n v="6475.0"/>
        <n v="6476.0"/>
        <n v="6477.0"/>
        <n v="6479.0"/>
        <n v="6480.0"/>
        <n v="6481.0"/>
        <n v="6482.0"/>
        <n v="6483.0"/>
        <n v="6484.0"/>
        <n v="6486.0"/>
        <n v="6487.0"/>
        <n v="6488.0"/>
        <n v="6578.0"/>
        <n v="6490.0"/>
        <n v="6492.0"/>
        <n v="6493.0"/>
        <n v="6495.0"/>
        <n v="6496.0"/>
        <n v="6497.0"/>
        <n v="6499.0"/>
        <n v="6500.0"/>
        <n v="6501.0"/>
        <n v="6502.0"/>
        <n v="6503.0"/>
        <n v="6504.0"/>
        <n v="6505.0"/>
        <n v="6506.0"/>
        <n v="6507.0"/>
        <n v="6508.0"/>
        <n v="6509.0"/>
        <n v="6510.0"/>
        <n v="6511.0"/>
        <n v="6513.0"/>
        <n v="6514.0"/>
        <n v="6515.0"/>
        <n v="6516.0"/>
        <n v="6517.0"/>
        <n v="6518.0"/>
        <n v="6521.0"/>
        <n v="6522.0"/>
        <n v="6523.0"/>
        <n v="6524.0"/>
        <n v="6525.0"/>
        <n v="6526.0"/>
        <n v="6527.0"/>
        <n v="6528.0"/>
        <n v="6529.0"/>
        <n v="6531.0"/>
        <n v="6533.0"/>
        <n v="6534.0"/>
        <n v="6535.0"/>
        <n v="6536.0"/>
        <n v="6538.0"/>
        <n v="6539.0"/>
        <n v="6540.0"/>
        <n v="6541.0"/>
        <n v="6542.0"/>
        <n v="6543.0"/>
        <n v="6545.0"/>
        <n v="6546.0"/>
        <n v="6547.0"/>
        <n v="6549.0"/>
        <n v="6550.0"/>
        <n v="6552.0"/>
        <n v="6553.0"/>
        <n v="6554.0"/>
        <n v="6555.0"/>
        <n v="6556.0"/>
        <n v="6557.0"/>
        <n v="6558.0"/>
        <n v="6559.0"/>
        <n v="6561.0"/>
        <n v="6562.0"/>
        <n v="6563.0"/>
        <n v="6564.0"/>
        <n v="6566.0"/>
        <n v="6568.0"/>
        <n v="6569.0"/>
        <n v="6570.0"/>
        <n v="6571.0"/>
        <n v="6572.0"/>
        <n v="6573.0"/>
        <n v="6574.0"/>
        <n v="6575.0"/>
        <n v="6576.0"/>
        <n v="6577.0"/>
        <n v="6579.0"/>
        <n v="6581.0"/>
        <n v="6582.0"/>
        <n v="6583.0"/>
        <n v="6585.0"/>
        <n v="6586.0"/>
        <n v="6587.0"/>
        <n v="6590.0"/>
        <n v="6591.0"/>
        <n v="6592.0"/>
        <n v="6593.0"/>
        <n v="6594.0"/>
        <n v="6595.0"/>
        <n v="6596.0"/>
        <n v="6597.0"/>
        <n v="6598.0"/>
        <n v="6599.0"/>
        <n v="6600.0"/>
        <n v="6601.0"/>
        <n v="6602.0"/>
        <n v="6603.0"/>
        <n v="6604.0"/>
        <n v="6605.0"/>
        <n v="6606.0"/>
        <n v="6607.0"/>
        <n v="6608.0"/>
        <n v="6609.0"/>
        <n v="6610.0"/>
        <n v="6611.0"/>
        <n v="6612.0"/>
        <n v="6613.0"/>
        <n v="6615.0"/>
        <n v="6616.0"/>
        <n v="6617.0"/>
        <n v="6618.0"/>
        <n v="6619.0"/>
        <n v="6620.0"/>
        <n v="6621.0"/>
        <n v="6622.0"/>
        <n v="6623.0"/>
        <n v="6624.0"/>
        <n v="6625.0"/>
        <n v="6626.0"/>
        <n v="6627.0"/>
        <n v="6628.0"/>
        <n v="6630.0"/>
        <n v="6631.0"/>
        <n v="6632.0"/>
        <n v="6634.0"/>
        <n v="6635.0"/>
        <n v="6636.0"/>
        <n v="6637.0"/>
        <n v="6638.0"/>
        <n v="6639.0"/>
        <n v="6641.0"/>
        <n v="6642.0"/>
        <n v="6643.0"/>
        <n v="6644.0"/>
        <n v="6645.0"/>
        <n v="6646.0"/>
        <n v="6647.0"/>
        <n v="6649.0"/>
        <n v="6650.0"/>
        <n v="6651.0"/>
        <n v="6652.0"/>
        <n v="6653.0"/>
        <n v="6654.0"/>
        <n v="6655.0"/>
        <n v="6656.0"/>
        <n v="6657.0"/>
        <n v="6658.0"/>
        <n v="6660.0"/>
        <n v="6661.0"/>
        <n v="6662.0"/>
        <n v="6663.0"/>
        <n v="6664.0"/>
        <n v="6665.0"/>
        <n v="6666.0"/>
        <n v="6667.0"/>
        <n v="6668.0"/>
        <n v="6669.0"/>
        <n v="6670.0"/>
        <n v="6671.0"/>
        <n v="6672.0"/>
        <n v="6673.0"/>
        <n v="6674.0"/>
        <n v="6675.0"/>
        <n v="6676.0"/>
        <n v="6677.0"/>
        <n v="6678.0"/>
        <n v="6679.0"/>
        <n v="6680.0"/>
        <n v="6681.0"/>
        <n v="6682.0"/>
        <n v="6683.0"/>
        <n v="6684.0"/>
        <n v="6685.0"/>
        <n v="6686.0"/>
        <n v="6687.0"/>
        <n v="6688.0"/>
        <n v="6690.0"/>
        <n v="6691.0"/>
        <n v="6692.0"/>
        <n v="6693.0"/>
        <n v="6694.0"/>
        <n v="6695.0"/>
        <n v="6696.0"/>
        <n v="6697.0"/>
        <n v="6698.0"/>
        <n v="6699.0"/>
        <n v="6700.0"/>
        <n v="6701.0"/>
        <n v="6702.0"/>
        <n v="6703.0"/>
        <n v="6705.0"/>
        <n v="6706.0"/>
        <n v="6707.0"/>
        <n v="6708.0"/>
        <n v="6709.0"/>
        <n v="6710.0"/>
        <n v="6711.0"/>
        <n v="6712.0"/>
        <n v="6713.0"/>
        <n v="6715.0"/>
        <n v="6716.0"/>
        <n v="6717.0"/>
        <n v="6719.0"/>
        <n v="6720.0"/>
        <n v="6721.0"/>
        <n v="6722.0"/>
        <n v="6723.0"/>
        <n v="6725.0"/>
        <n v="6727.0"/>
        <n v="6728.0"/>
        <n v="6729.0"/>
        <n v="6731.0"/>
        <n v="6732.0"/>
        <n v="6733.0"/>
        <n v="6735.0"/>
        <n v="6736.0"/>
        <n v="6737.0"/>
        <n v="6738.0"/>
        <n v="6739.0"/>
        <n v="6741.0"/>
        <n v="6742.0"/>
        <n v="6743.0"/>
        <n v="6744.0"/>
        <n v="6745.0"/>
        <n v="6746.0"/>
        <n v="6747.0"/>
        <n v="6748.0"/>
        <n v="6749.0"/>
        <n v="6750.0"/>
        <n v="6751.0"/>
        <n v="6752.0"/>
        <n v="6754.0"/>
        <n v="6756.0"/>
        <n v="6757.0"/>
        <n v="6758.0"/>
        <n v="6759.0"/>
        <n v="6760.0"/>
        <n v="6761.0"/>
        <n v="6763.0"/>
        <n v="6764.0"/>
        <n v="6766.0"/>
        <n v="6767.0"/>
        <n v="6768.0"/>
        <n v="6769.0"/>
        <n v="6771.0"/>
        <n v="6772.0"/>
        <n v="6773.0"/>
        <n v="6774.0"/>
        <n v="6775.0"/>
        <n v="6776.0"/>
        <n v="6777.0"/>
        <n v="6778.0"/>
        <n v="6779.0"/>
        <n v="6780.0"/>
        <n v="6781.0"/>
        <n v="6782.0"/>
        <n v="6783.0"/>
        <n v="6784.0"/>
        <n v="6786.0"/>
        <n v="6787.0"/>
        <n v="6788.0"/>
        <n v="6790.0"/>
        <n v="6791.0"/>
        <n v="6792.0"/>
        <n v="6793.0"/>
        <n v="6794.0"/>
        <n v="6795.0"/>
        <n v="6796.0"/>
        <n v="6797.0"/>
        <n v="6798.0"/>
        <n v="6799.0"/>
        <n v="6800.0"/>
        <n v="6801.0"/>
        <n v="6802.0"/>
        <n v="6803.0"/>
        <n v="6804.0"/>
        <n v="6805.0"/>
        <n v="6806.0"/>
        <n v="6807.0"/>
        <n v="6808.0"/>
        <n v="6809.0"/>
        <n v="6810.0"/>
        <n v="6811.0"/>
        <n v="6812.0"/>
        <n v="6813.0"/>
        <n v="6814.0"/>
        <n v="6816.0"/>
        <n v="6817.0"/>
        <n v="6818.0"/>
        <n v="6819.0"/>
        <n v="6820.0"/>
        <n v="6821.0"/>
        <n v="6823.0"/>
        <n v="6825.0"/>
        <n v="6826.0"/>
        <n v="6828.0"/>
        <n v="6829.0"/>
        <n v="6830.0"/>
        <n v="6831.0"/>
        <n v="6834.0"/>
        <n v="6839.0"/>
        <n v="6840.0"/>
        <n v="6841.0"/>
        <n v="6842.0"/>
        <n v="6843.0"/>
        <n v="6844.0"/>
        <n v="6845.0"/>
        <n v="6846.0"/>
        <n v="6847.0"/>
        <n v="6848.0"/>
        <n v="6849.0"/>
        <n v="6850.0"/>
        <n v="6851.0"/>
        <n v="6852.0"/>
        <n v="6853.0"/>
        <n v="6855.0"/>
        <n v="6857.0"/>
        <n v="6858.0"/>
        <n v="6859.0"/>
        <n v="6860.0"/>
        <n v="6861.0"/>
        <n v="6862.0"/>
        <n v="6863.0"/>
        <n v="6866.0"/>
        <n v="6867.0"/>
        <n v="6868.0"/>
        <n v="6869.0"/>
        <n v="6870.0"/>
        <n v="6871.0"/>
        <n v="6872.0"/>
        <n v="6873.0"/>
        <n v="6874.0"/>
        <n v="6875.0"/>
        <n v="6876.0"/>
        <n v="6877.0"/>
        <n v="6878.0"/>
        <n v="6879.0"/>
        <n v="6880.0"/>
        <n v="6881.0"/>
        <n v="6882.0"/>
        <n v="6883.0"/>
        <n v="6886.0"/>
        <n v="6887.0"/>
        <n v="6889.0"/>
        <n v="6890.0"/>
        <n v="6891.0"/>
        <n v="6892.0"/>
        <n v="6893.0"/>
        <n v="6894.0"/>
        <n v="6895.0"/>
        <n v="6896.0"/>
        <n v="6897.0"/>
        <n v="6898.0"/>
        <n v="6900.0"/>
        <n v="6901.0"/>
        <n v="6902.0"/>
        <n v="6903.0"/>
        <n v="6904.0"/>
        <n v="6905.0"/>
        <n v="6906.0"/>
        <n v="6907.0"/>
        <n v="6908.0"/>
        <n v="6909.0"/>
        <n v="6910.0"/>
        <n v="6913.0"/>
        <n v="6914.0"/>
        <n v="6915.0"/>
        <n v="6916.0"/>
        <n v="6917.0"/>
        <n v="6918.0"/>
        <n v="6919.0"/>
        <n v="6920.0"/>
        <n v="6921.0"/>
        <n v="6922.0"/>
        <n v="6923.0"/>
        <n v="6925.0"/>
        <n v="6926.0"/>
        <n v="6927.0"/>
        <n v="6928.0"/>
        <n v="6929.0"/>
        <n v="6930.0"/>
        <n v="6931.0"/>
        <n v="6932.0"/>
        <n v="6933.0"/>
        <n v="6934.0"/>
        <n v="6935.0"/>
        <n v="6936.0"/>
        <n v="6937.0"/>
        <n v="6938.0"/>
        <n v="6939.0"/>
        <n v="6940.0"/>
        <n v="6941.0"/>
        <n v="6942.0"/>
        <n v="6943.0"/>
        <n v="6944.0"/>
        <n v="6945.0"/>
        <n v="6946.0"/>
        <n v="6949.0"/>
        <n v="6950.0"/>
        <n v="6951.0"/>
        <n v="6952.0"/>
        <n v="6953.0"/>
        <n v="6956.0"/>
        <n v="6957.0"/>
        <n v="6958.0"/>
        <n v="6960.0"/>
        <n v="6961.0"/>
        <n v="6962.0"/>
        <n v="6963.0"/>
        <n v="6965.0"/>
        <n v="6966.0"/>
        <n v="6967.0"/>
        <n v="6968.0"/>
        <n v="6969.0"/>
        <n v="6970.0"/>
        <n v="6971.0"/>
        <n v="6972.0"/>
        <n v="6974.0"/>
        <n v="6975.0"/>
        <n v="6976.0"/>
        <n v="6977.0"/>
        <n v="6978.0"/>
        <n v="6979.0"/>
        <n v="6980.0"/>
        <n v="6981.0"/>
        <n v="6982.0"/>
        <n v="6983.0"/>
        <n v="6985.0"/>
        <n v="69821.0"/>
        <n v="6986.0"/>
        <n v="6987.0"/>
        <n v="6988.0"/>
        <n v="6989.0"/>
        <n v="6990.0"/>
        <n v="6991.0"/>
        <n v="6992.0"/>
        <n v="6993.0"/>
        <n v="6994.0"/>
        <n v="6995.0"/>
        <n v="6997.0"/>
        <n v="6998.0"/>
        <n v="6999.0"/>
        <n v="7000.0"/>
        <n v="7001.0"/>
        <n v="7002.0"/>
        <n v="7003.0"/>
        <n v="7004.0"/>
        <n v="7006.0"/>
        <n v="7008.0"/>
        <n v="7009.0"/>
        <n v="7010.0"/>
        <n v="7011.0"/>
        <n v="7012.0"/>
        <n v="7013.0"/>
        <n v="7014.0"/>
        <n v="7016.0"/>
        <n v="7017.0"/>
        <n v="7018.0"/>
        <n v="7019.0"/>
        <n v="7020.0"/>
        <n v="7023.0"/>
        <n v="7024.0"/>
        <n v="7025.0"/>
        <n v="7026.0"/>
        <n v="7029.0"/>
        <n v="7030.0"/>
        <n v="7032.0"/>
        <n v="7034.0"/>
        <n v="7035.0"/>
        <n v="7036.0"/>
        <n v="7037.0"/>
        <n v="7040.0"/>
        <n v="7041.0"/>
        <n v="7042.0"/>
        <n v="7043.0"/>
        <n v="7044.0"/>
        <n v="7045.0"/>
        <n v="7046.0"/>
        <n v="7047.0"/>
        <n v="7048.0"/>
        <n v="7049.0"/>
        <n v="7050.0"/>
        <n v="7051.0"/>
        <n v="7052.0"/>
        <n v="7054.0"/>
        <n v="7056.0"/>
        <n v="7057.0"/>
        <n v="7058.0"/>
        <n v="7059.0"/>
        <n v="7060.0"/>
        <n v="7061.0"/>
        <n v="7063.0"/>
        <n v="7064.0"/>
        <n v="7065.0"/>
        <n v="7066.0"/>
        <n v="7067.0"/>
        <n v="7068.0"/>
        <n v="7069.0"/>
        <n v="7070.0"/>
        <n v="7071.0"/>
        <n v="7072.0"/>
        <n v="7073.0"/>
        <n v="7074.0"/>
        <n v="7075.0"/>
        <n v="7076.0"/>
        <n v="7078.0"/>
        <n v="7079.0"/>
        <n v="7080.0"/>
        <n v="7081.0"/>
        <n v="7082.0"/>
        <n v="7083.0"/>
        <n v="7084.0"/>
        <n v="7085.0"/>
        <n v="7086.0"/>
        <n v="7087.0"/>
        <n v="7088.0"/>
        <n v="7089.0"/>
        <n v="7091.0"/>
        <n v="7093.0"/>
        <n v="7094.0"/>
        <n v="7096.0"/>
        <n v="7097.0"/>
        <n v="7099.0"/>
        <n v="7101.0"/>
        <n v="7102.0"/>
        <n v="7103.0"/>
        <n v="7104.0"/>
        <n v="7106.0"/>
        <n v="7108.0"/>
        <n v="7109.0"/>
        <n v="7110.0"/>
        <n v="7111.0"/>
        <n v="7112.0"/>
        <n v="7113.0"/>
        <n v="7114.0"/>
        <n v="7115.0"/>
        <n v="7116.0"/>
        <n v="7117.0"/>
        <n v="7118.0"/>
        <n v="7119.0"/>
        <n v="7120.0"/>
        <n v="7121.0"/>
        <n v="7122.0"/>
        <n v="7124.0"/>
        <n v="7125.0"/>
        <n v="7126.0"/>
        <n v="7127.0"/>
        <n v="7128.0"/>
        <n v="7131.0"/>
        <n v="7133.0"/>
        <n v="7134.0"/>
        <n v="7136.0"/>
        <n v="7137.0"/>
        <n v="7138.0"/>
        <n v="7139.0"/>
        <n v="7140.0"/>
        <n v="7142.0"/>
        <n v="7143.0"/>
        <n v="7144.0"/>
        <n v="7145.0"/>
        <n v="7147.0"/>
        <n v="7148.0"/>
        <n v="7149.0"/>
        <n v="7150.0"/>
        <n v="7151.0"/>
        <n v="7152.0"/>
        <n v="7153.0"/>
        <n v="7155.0"/>
        <n v="7156.0"/>
        <n v="7157.0"/>
        <n v="7159.0"/>
        <n v="7161.0"/>
        <n v="7162.0"/>
        <n v="7163.0"/>
        <n v="7164.0"/>
        <n v="7165.0"/>
        <n v="7166.0"/>
        <n v="7167.0"/>
        <n v="7168.0"/>
        <n v="7169.0"/>
        <n v="7170.0"/>
        <n v="7171.0"/>
        <n v="7174.0"/>
        <n v="7175.0"/>
        <n v="7176.0"/>
        <n v="7177.0"/>
        <n v="7178.0"/>
        <n v="7179.0"/>
        <n v="7180.0"/>
        <n v="7181.0"/>
        <n v="7182.0"/>
        <n v="7183.0"/>
        <n v="7184.0"/>
        <n v="7185.0"/>
        <n v="7186.0"/>
        <n v="7187.0"/>
        <n v="7189.0"/>
        <n v="7191.0"/>
        <n v="7192.0"/>
        <n v="7193.0"/>
        <n v="7194.0"/>
        <n v="7195.0"/>
        <n v="1123.0"/>
        <n v="7196.0"/>
        <n v="7198.0"/>
        <n v="7199.0"/>
        <n v="7202.0"/>
        <n v="7203.0"/>
        <n v="7204.0"/>
        <n v="7205.0"/>
        <n v="7206.0"/>
        <n v="7207.0"/>
        <n v="7209.0"/>
        <n v="7213.0"/>
        <n v="7214.0"/>
        <n v="7215.0"/>
        <n v="7216.0"/>
        <n v="7217.0"/>
        <n v="7218.0"/>
        <n v="7219.0"/>
        <n v="7710.0"/>
        <n v="7711.0"/>
        <n v="7712.0"/>
        <n v="7220.0"/>
        <n v="7221.0"/>
        <n v="7222.0"/>
        <n v="7223.0"/>
        <n v="7224.0"/>
        <n v="7225.0"/>
        <n v="7226.0"/>
        <n v="7227.0"/>
        <n v="7231.0"/>
        <n v="7232.0"/>
        <n v="7233.0"/>
        <n v="7234.0"/>
        <n v="7235.0"/>
        <n v="7236.0"/>
        <n v="7237.0"/>
        <n v="7238.0"/>
        <n v="7239.0"/>
        <n v="7242.0"/>
        <n v="7729.0"/>
        <n v="7245.0"/>
        <n v="7246.0"/>
        <n v="7247.0"/>
        <n v="7248.0"/>
        <n v="7249.0"/>
        <n v="7250.0"/>
        <n v="7251.0"/>
        <n v="7253.0"/>
        <n v="7254.0"/>
        <n v="7255.0"/>
        <n v="7256.0"/>
        <n v="7257.0"/>
        <n v="7258.0"/>
        <n v="7260.0"/>
        <n v="7261.0"/>
        <n v="7262.0"/>
        <n v="7263.0"/>
        <n v="7264.0"/>
        <n v="7265.0"/>
        <n v="7266.0"/>
        <n v="7268.0"/>
        <n v="7269.0"/>
        <n v="7270.0"/>
        <n v="7271.0"/>
        <n v="7272.0"/>
        <n v="7273.0"/>
        <n v="7276.0"/>
        <n v="7278.0"/>
        <n v="7279.0"/>
        <n v="7280.0"/>
        <n v="7281.0"/>
        <n v="7282.0"/>
        <n v="7283.0"/>
        <n v="7284.0"/>
        <n v="7285.0"/>
        <n v="7286.0"/>
        <n v="7287.0"/>
        <n v="7288.0"/>
        <n v="7290.0"/>
        <n v="7291.0"/>
        <n v="7292.0"/>
        <n v="7293.0"/>
        <n v="7294.0"/>
        <n v="7296.0"/>
        <n v="7297.0"/>
        <n v="7298.0"/>
        <n v="7302.0"/>
        <n v="7303.0"/>
        <n v="7304.0"/>
        <n v="7305.0"/>
        <n v="7306.0"/>
        <n v="7307.0"/>
        <n v="7308.0"/>
        <n v="7309.0"/>
        <n v="7310.0"/>
        <n v="7311.0"/>
        <n v="77312.0"/>
        <n v="7313.0"/>
        <n v="7314.0"/>
        <n v="7315.0"/>
        <n v="7316.0"/>
        <n v="7317.0"/>
        <n v="7318.0"/>
        <n v="7320.0"/>
        <n v="7321.0"/>
        <n v="7322.0"/>
        <n v="7323.0"/>
        <n v="7324.0"/>
        <n v="7325.0"/>
        <n v="7326.0"/>
        <n v="7327.0"/>
        <n v="7329.0"/>
        <n v="7330.0"/>
        <n v="7331.0"/>
        <n v="7332.0"/>
        <n v="7333.0"/>
        <n v="7335.0"/>
        <n v="7336.0"/>
        <n v="7337.0"/>
        <n v="7338.0"/>
        <n v="7339.0"/>
        <n v="7340.0"/>
        <n v="7341.0"/>
        <n v="7342.0"/>
        <n v="7343.0"/>
        <n v="7344.0"/>
        <n v="7345.0"/>
        <n v="7346.0"/>
        <n v="7347.0"/>
        <n v="7348.0"/>
        <n v="7349.0"/>
        <n v="7350.0"/>
        <n v="7351.0"/>
        <n v="7352.0"/>
        <n v="7353.0"/>
        <n v="7354.0"/>
        <n v="7355.0"/>
        <n v="7356.0"/>
        <n v="7357.0"/>
        <n v="7358.0"/>
        <n v="7360.0"/>
        <n v="7361.0"/>
        <n v="7362.0"/>
        <n v="7363.0"/>
        <n v="7364.0"/>
        <n v="7365.0"/>
        <n v="7366.0"/>
        <n v="7367.0"/>
        <n v="7368.0"/>
        <n v="7369.0"/>
        <n v="7370.0"/>
        <n v="7371.0"/>
        <n v="7372.0"/>
        <n v="7373.0"/>
        <n v="7374.0"/>
        <n v="7375.0"/>
        <n v="7376.0"/>
        <n v="7377.0"/>
        <n v="7378.0"/>
        <n v="7379.0"/>
        <n v="7380.0"/>
        <n v="7381.0"/>
        <n v="7382.0"/>
        <n v="7383.0"/>
        <n v="7384.0"/>
        <n v="7385.0"/>
        <n v="7387.0"/>
        <n v="7388.0"/>
        <n v="7389.0"/>
        <n v="7390.0"/>
        <n v="7391.0"/>
        <n v="7392.0"/>
        <n v="7393.0"/>
        <n v="7394.0"/>
        <n v="7395.0"/>
        <n v="7396.0"/>
        <n v="7397.0"/>
        <n v="7398.0"/>
        <n v="7399.0"/>
        <n v="7400.0"/>
        <n v="7401.0"/>
        <n v="7402.0"/>
        <n v="7403.0"/>
        <n v="7404.0"/>
        <n v="7405.0"/>
        <n v="7406.0"/>
        <n v="7408.0"/>
        <n v="7409.0"/>
        <n v="7410.0"/>
        <n v="7411.0"/>
        <n v="7412.0"/>
        <n v="7413.0"/>
        <n v="7414.0"/>
        <n v="7415.0"/>
        <n v="7416.0"/>
        <n v="7417.0"/>
        <n v="7418.0"/>
        <n v="7419.0"/>
        <n v="7420.0"/>
        <n v="7421.0"/>
        <n v="7422.0"/>
        <n v="7423.0"/>
        <n v="7424.0"/>
        <n v="7427.0"/>
        <n v="7428.0"/>
        <n v="7429.0"/>
        <n v="7430.0"/>
        <n v="7431.0"/>
        <n v="7432.0"/>
        <n v="7433.0"/>
        <n v="7434.0"/>
        <n v="7435.0"/>
        <n v="7437.0"/>
        <n v="7438.0"/>
        <n v="7440.0"/>
        <n v="7441.0"/>
        <n v="7442.0"/>
        <n v="7443.0"/>
        <n v="7445.0"/>
        <n v="7446.0"/>
        <n v="7447.0"/>
        <n v="7448.0"/>
        <n v="7449.0"/>
        <n v="7450.0"/>
        <n v="7451.0"/>
        <n v="7452.0"/>
        <n v="7453.0"/>
        <n v="7454.0"/>
        <n v="7455.0"/>
        <n v="7456.0"/>
        <n v="7459.0"/>
        <n v="7460.0"/>
        <n v="7462.0"/>
        <n v="7463.0"/>
        <n v="7464.0"/>
        <n v="7465.0"/>
        <n v="7466.0"/>
        <n v="7467.0"/>
        <n v="7468.0"/>
        <n v="7469.0"/>
        <n v="7470.0"/>
        <n v="7471.0"/>
        <n v="7472.0"/>
        <n v="7474.0"/>
        <n v="7475.0"/>
        <n v="7477.0"/>
        <n v="7478.0"/>
        <n v="7479.0"/>
        <n v="7480.0"/>
        <n v="7481.0"/>
        <n v="7482.0"/>
        <n v="7483.0"/>
        <n v="7484.0"/>
        <n v="7485.0"/>
        <n v="7486.0"/>
        <n v="7487.0"/>
        <n v="7488.0"/>
        <n v="7491.0"/>
        <n v="7492.0"/>
        <n v="7493.0"/>
        <n v="7494.0"/>
        <n v="7495.0"/>
        <n v="7496.0"/>
        <n v="7498.0"/>
        <n v="7500.0"/>
        <n v="7501.0"/>
        <n v="7502.0"/>
        <n v="7503.0"/>
        <n v="7504.0"/>
        <n v="7505.0"/>
        <n v="7506.0"/>
        <n v="7507.0"/>
        <n v="7509.0"/>
        <n v="7510.0"/>
        <n v="7511.0"/>
        <n v="7512.0"/>
        <n v="7513.0"/>
        <n v="7516.0"/>
        <n v="7517.0"/>
        <n v="7518.0"/>
        <n v="7519.0"/>
        <n v="7520.0"/>
        <n v="7521.0"/>
        <n v="7522.0"/>
        <n v="7523.0"/>
        <n v="7524.0"/>
        <n v="7525.0"/>
        <n v="7526.0"/>
        <n v="7527.0"/>
        <n v="7528.0"/>
        <n v="7529.0"/>
        <n v="7530.0"/>
        <n v="7531.0"/>
        <n v="7532.0"/>
        <n v="7533.0"/>
        <n v="7534.0"/>
        <n v="7535.0"/>
        <n v="7536.0"/>
        <n v="7537.0"/>
        <n v="7541.0"/>
        <n v="7542.0"/>
        <n v="7543.0"/>
        <n v="7544.0"/>
        <n v="7545.0"/>
        <n v="7546.0"/>
        <n v="7547.0"/>
        <n v="7548.0"/>
        <n v="7549.0"/>
        <n v="7550.0"/>
        <n v="7551.0"/>
        <n v="7552.0"/>
        <n v="7553.0"/>
        <n v="7554.0"/>
        <n v="7555.0"/>
        <n v="7556.0"/>
        <n v="7557.0"/>
        <n v="7558.0"/>
        <n v="7559.0"/>
        <n v="7560.0"/>
        <n v="7563.0"/>
        <n v="7564.0"/>
        <n v="7565.0"/>
        <n v="7566.0"/>
        <n v="7567.0"/>
        <n v="7569.0"/>
        <n v="7570.0"/>
        <n v="7571.0"/>
        <n v="7573.0"/>
        <n v="7574.0"/>
        <n v="7575.0"/>
        <n v="7576.0"/>
        <n v="7578.0"/>
        <n v="7579.0"/>
        <n v="7580.0"/>
        <n v="7581.0"/>
        <n v="7582.0"/>
        <n v="7583.0"/>
        <n v="7584.0"/>
        <n v="7585.0"/>
        <n v="7586.0"/>
        <n v="7587.0"/>
        <n v="7588.0"/>
        <n v="7590.0"/>
        <n v="7591.0"/>
        <n v="7592.0"/>
        <n v="7594.0"/>
        <n v="7595.0"/>
        <n v="7596.0"/>
        <n v="7597.0"/>
        <n v="7598.0"/>
        <n v="7599.0"/>
        <n v="7600.0"/>
        <n v="7601.0"/>
        <n v="7602.0"/>
        <n v="7604.0"/>
        <n v="7683.0"/>
        <n v="7606.0"/>
        <n v="7607.0"/>
        <n v="7608.0"/>
        <n v="7698.0"/>
        <n v="7609.0"/>
        <n v="7610.0"/>
        <n v="7611.0"/>
        <n v="7612.0"/>
        <n v="7613.0"/>
        <n v="7614.0"/>
        <n v="7615.0"/>
        <n v="7616.0"/>
        <n v="7617.0"/>
        <n v="7619.0"/>
        <n v="7620.0"/>
        <n v="7622.0"/>
        <n v="7623.0"/>
        <n v="7624.0"/>
        <n v="7625.0"/>
        <n v="7626.0"/>
        <n v="7627.0"/>
        <n v="7628.0"/>
        <n v="7629.0"/>
        <n v="7631.0"/>
        <n v="7632.0"/>
        <n v="7633.0"/>
        <n v="7634.0"/>
        <n v="7635.0"/>
        <n v="7636.0"/>
        <n v="7637.0"/>
        <n v="7638.0"/>
        <n v="7639.0"/>
        <n v="7640.0"/>
        <n v="7641.0"/>
        <n v="7642.0"/>
        <n v="7643.0"/>
        <n v="7645.0"/>
        <n v="7646.0"/>
        <n v="7647.0"/>
        <n v="7649.0"/>
        <n v="7650.0"/>
        <n v="7651.0"/>
        <n v="7652.0"/>
        <n v="7653.0"/>
        <n v="7654.0"/>
        <n v="7655.0"/>
        <n v="7656.0"/>
        <n v="7657.0"/>
        <n v="7658.0"/>
        <n v="7659.0"/>
        <n v="7660.0"/>
        <n v="7661.0"/>
        <n v="7662.0"/>
        <n v="7663.0"/>
        <n v="7664.0"/>
        <n v="7665.0"/>
        <n v="7666.0"/>
        <n v="7667.0"/>
        <n v="7669.0"/>
        <n v="7670.0"/>
        <n v="7671.0"/>
        <n v="7672.0"/>
        <n v="7673.0"/>
        <n v="7674.0"/>
        <n v="7675.0"/>
        <n v="7676.0"/>
        <n v="7677.0"/>
        <n v="7678.0"/>
        <n v="7679.0"/>
        <n v="7681.0"/>
        <n v="7682.0"/>
        <n v="7684.0"/>
        <n v="7685.0"/>
        <n v="7686.0"/>
        <n v="7687.0"/>
        <n v="7688.0"/>
        <n v="7689.0"/>
        <n v="7690.0"/>
        <n v="7691.0"/>
        <n v="7692.0"/>
        <n v="7693.0"/>
        <n v="7694.0"/>
        <n v="7695.0"/>
        <n v="7696.0"/>
        <n v="7697.0"/>
        <n v="7699.0"/>
        <n v="7701.0"/>
        <n v="7702.0"/>
        <n v="7703.0"/>
        <n v="7704.0"/>
        <n v="7705.0"/>
        <n v="7706.0"/>
        <n v="7707.0"/>
        <n v="7708.0"/>
        <n v="7709.0"/>
        <n v="7714.0"/>
        <n v="7715.0"/>
        <n v="7716.0"/>
        <n v="7717.0"/>
        <n v="7718.0"/>
        <n v="7719.0"/>
        <n v="7721.0"/>
        <n v="7722.0"/>
        <n v="7723.0"/>
        <n v="7724.0"/>
        <n v="7725.0"/>
        <n v="7726.0"/>
        <n v="7727.0"/>
        <n v="7728.0"/>
        <s v="-"/>
        <n v="7730.0"/>
        <n v="7732.0"/>
        <n v="7733.0"/>
        <n v="7735.0"/>
        <n v="7736.0"/>
        <n v="7738.0"/>
        <n v="7739.0"/>
        <n v="7740.0"/>
        <n v="7741.0"/>
        <n v="7742.0"/>
        <n v="7744.0"/>
        <n v="7745.0"/>
        <n v="7746.0"/>
        <n v="7747.0"/>
        <n v="7748.0"/>
        <m/>
        <n v="7750.0"/>
        <n v="7751.0"/>
        <n v="7752.0"/>
        <n v="7753.0"/>
        <n v="7754.0"/>
        <n v="7755.0"/>
        <n v="7756.0"/>
        <n v="7757.0"/>
        <n v="7758.0"/>
        <n v="7760.0"/>
        <n v="7761.0"/>
        <n v="7762.0"/>
        <n v="7765.0"/>
        <n v="7766.0"/>
        <n v="7767.0"/>
        <n v="7768.0"/>
        <n v="7769.0"/>
        <n v="7770.0"/>
        <n v="7771.0"/>
        <n v="7772.0"/>
        <n v="7773.0"/>
        <n v="7774.0"/>
        <n v="7775.0"/>
        <n v="7776.0"/>
        <n v="7777.0"/>
        <n v="7778.0"/>
        <n v="7779.0"/>
        <n v="7780.0"/>
        <n v="7782.0"/>
        <n v="7783.0"/>
        <n v="7784.0"/>
        <n v="7785.0"/>
        <n v="7786.0"/>
        <n v="7787.0"/>
        <n v="7789.0"/>
        <n v="7790.0"/>
        <n v="7791.0"/>
        <n v="7792.0"/>
        <n v="7793.0"/>
        <n v="7794.0"/>
        <n v="7795.0"/>
        <n v="7796.0"/>
        <n v="7797.0"/>
        <n v="7798.0"/>
        <n v="7800.0"/>
        <n v="7801.0"/>
        <n v="7802.0"/>
        <n v="7803.0"/>
        <n v="7804.0"/>
        <n v="7805.0"/>
        <n v="7806.0"/>
        <n v="7808.0"/>
        <n v="7809.0"/>
        <n v="7810.0"/>
        <n v="7811.0"/>
        <n v="7813.0"/>
        <n v="7814.0"/>
        <n v="7815.0"/>
        <n v="7816.0"/>
        <n v="7817.0"/>
        <n v="7818.0"/>
        <n v="7819.0"/>
        <n v="7820.0"/>
        <n v="7821.0"/>
        <n v="7822.0"/>
        <n v="7823.0"/>
        <n v="7824.0"/>
        <n v="784.0"/>
        <n v="7826.0"/>
        <n v="7831.0"/>
        <n v="7832.0"/>
        <n v="7833.0"/>
        <n v="7834.0"/>
        <n v="7835.0"/>
        <n v="7837.0"/>
        <n v="7838.0"/>
        <n v="7839.0"/>
        <n v="7840.0"/>
        <n v="7841.0"/>
        <n v="7842.0"/>
        <n v="7843.0"/>
        <n v="7844.0"/>
        <n v="7845.0"/>
        <n v="7846.0"/>
        <n v="7847.0"/>
        <n v="7849.0"/>
        <n v="7850.0"/>
        <n v="7851.0"/>
        <n v="7852.0"/>
        <n v="7853.0"/>
        <n v="7855.0"/>
        <n v="7856.0"/>
        <n v="7857.0"/>
        <n v="7858.0"/>
        <n v="7859.0"/>
        <n v="7860.0"/>
        <n v="7861.0"/>
        <n v="7862.0"/>
        <n v="7863.0"/>
        <n v="7864.0"/>
        <n v="7865.0"/>
        <n v="7866.0"/>
        <n v="7867.0"/>
        <n v="7868.0"/>
        <n v="7869.0"/>
        <n v="7870.0"/>
        <n v="7871.0"/>
        <n v="7872.0"/>
        <n v="7873.0"/>
        <n v="7874.0"/>
        <n v="7875.0"/>
        <n v="7876.0"/>
        <n v="7878.0"/>
        <n v="7879.0"/>
        <n v="7880.0"/>
        <n v="7881.0"/>
        <n v="7882.0"/>
        <n v="7883.0"/>
        <n v="7884.0"/>
        <n v="7885.0"/>
        <n v="7887.0"/>
        <n v="7888.0"/>
        <n v="7889.0"/>
        <n v="7890.0"/>
        <n v="7891.0"/>
        <n v="7892.0"/>
        <n v="7893.0"/>
        <n v="7894.0"/>
        <n v="7896.0"/>
        <n v="7897.0"/>
        <n v="7898.0"/>
        <n v="7899.0"/>
        <n v="7901.0"/>
        <n v="7903.0"/>
        <n v="7904.0"/>
        <n v="7905.0"/>
        <n v="7908.0"/>
        <n v="7909.0"/>
        <n v="7910.0"/>
        <n v="7953.0"/>
        <n v="0.0"/>
        <n v="7912.0"/>
        <n v="7915.0"/>
        <n v="7916.0"/>
        <n v="7917.0"/>
        <n v="7918.0"/>
        <n v="7920.0"/>
        <n v="7921.0"/>
        <n v="7922.0"/>
        <n v="7923.0"/>
        <n v="7924.0"/>
        <n v="7925.0"/>
        <n v="7926.0"/>
        <n v="7927.0"/>
        <n v="7928.0"/>
        <n v="7929.0"/>
        <n v="7930.0"/>
        <n v="7931.0"/>
        <n v="7933.0"/>
        <n v="7934.0"/>
        <n v="7935.0"/>
        <n v="7936.0"/>
        <n v="7937.0"/>
        <n v="7938.0"/>
        <n v="7939.0"/>
        <n v="7940.0"/>
        <n v="7941.0"/>
        <n v="7942.0"/>
        <n v="7943.0"/>
        <n v="7944.0"/>
        <n v="7945.0"/>
        <n v="7946.0"/>
        <n v="7948.0"/>
        <n v="7949.0"/>
        <n v="7950.0"/>
        <n v="7952.0"/>
        <n v="7954.0"/>
        <n v="7955.0"/>
        <n v="7956.0"/>
        <n v="7957.0"/>
        <n v="7958.0"/>
        <n v="7959.0"/>
        <n v="7960.0"/>
        <n v="7961.0"/>
        <n v="7962.0"/>
        <n v="7963.0"/>
        <n v="7964.0"/>
        <n v="7965.0"/>
        <n v="7966.0"/>
        <n v="7967.0"/>
        <n v="7968.0"/>
        <n v="7969.0"/>
        <n v="7970.0"/>
        <n v="7971.0"/>
        <n v="7972.0"/>
        <n v="7973.0"/>
        <n v="7974.0"/>
        <n v="7975.0"/>
        <n v="7976.0"/>
        <n v="7977.0"/>
        <n v="7978.0"/>
        <n v="7979.0"/>
        <n v="7981.0"/>
        <n v="7982.0"/>
        <n v="7983.0"/>
        <n v="7984.0"/>
        <n v="7985.0"/>
        <n v="7987.0"/>
        <n v="7988.0"/>
        <n v="7989.0"/>
        <n v="7990.0"/>
        <n v="7991.0"/>
        <n v="7992.0"/>
        <n v="7995.0"/>
        <n v="7996.0"/>
        <n v="7997.0"/>
        <n v="7998.0"/>
        <n v="7999.0"/>
        <n v="8001.0"/>
        <n v="8002.0"/>
        <n v="8003.0"/>
        <n v="8004.0"/>
        <n v="8005.0"/>
        <n v="8006.0"/>
        <n v="8007.0"/>
        <n v="8008.0"/>
        <n v="8009.0"/>
        <n v="8010.0"/>
        <n v="8011.0"/>
        <n v="8012.0"/>
        <n v="8013.0"/>
        <n v="8014.0"/>
        <n v="8015.0"/>
        <n v="8016.0"/>
        <n v="8018.0"/>
        <n v="8019.0"/>
        <n v="1.0"/>
        <n v="8020.0"/>
        <n v="8021.0"/>
        <n v="8023.0"/>
        <n v="8024.0"/>
        <n v="8025.0"/>
        <n v="8026.0"/>
        <n v="8027.0"/>
        <n v="8028.0"/>
        <n v="8029.0"/>
        <n v="8030.0"/>
        <n v="8031.0"/>
        <n v="8032.0"/>
        <n v="8034.0"/>
        <n v="8035.0"/>
        <n v="8036.0"/>
        <n v="8037.0"/>
        <n v="8038.0"/>
        <n v="8039.0"/>
        <n v="8040.0"/>
        <n v="8041.0"/>
        <n v="8043.0"/>
        <n v="8045.0"/>
        <n v="8046.0"/>
        <n v="8047.0"/>
        <n v="8049.0"/>
        <n v="8050.0"/>
        <n v="8051.0"/>
        <n v="8052.0"/>
        <n v="8053.0"/>
        <n v="8054.0"/>
        <n v="8055.0"/>
        <n v="8056.0"/>
        <n v="8057.0"/>
        <n v="8058.0"/>
        <n v="8059.0"/>
        <n v="8060.0"/>
        <n v="8061.0"/>
        <n v="8062.0"/>
        <n v="8063.0"/>
        <n v="8064.0"/>
        <n v="8065.0"/>
        <n v="8066.0"/>
        <n v="8067.0"/>
        <n v="8068.0"/>
        <n v="8069.0"/>
        <n v="8070.0"/>
        <n v="8071.0"/>
        <n v="8072.0"/>
        <n v="8073.0"/>
        <n v="8074.0"/>
        <n v="8075.0"/>
        <n v="8076.0"/>
        <n v="8077.0"/>
        <n v="8078.0"/>
        <n v="8079.0"/>
        <n v="8080.0"/>
        <n v="8081.0"/>
        <n v="8082.0"/>
        <n v="8083.0"/>
        <n v="8084.0"/>
        <n v="8085.0"/>
        <n v="8086.0"/>
        <n v="8087.0"/>
        <n v="8088.0"/>
        <n v="8089.0"/>
        <n v="8092.0"/>
        <n v="8093.0"/>
        <n v="8094.0"/>
        <n v="8095.0"/>
        <n v="8096.0"/>
        <n v="8097.0"/>
        <n v="8098.0"/>
        <n v="8099.0"/>
        <n v="8100.0"/>
        <n v="8101.0"/>
        <n v="8102.0"/>
        <n v="8103.0"/>
        <n v="8104.0"/>
        <n v="8107.0"/>
        <n v="8108.0"/>
        <n v="8110.0"/>
        <n v="8111.0"/>
        <n v="8112.0"/>
        <n v="8114.0"/>
        <n v="8115.0"/>
        <n v="8117.0"/>
        <n v="8118.0"/>
        <n v="8813.0"/>
        <n v="8119.0"/>
        <n v="8120.0"/>
        <n v="8121.0"/>
        <n v="2.0"/>
        <n v="8122.0"/>
        <n v="8123.0"/>
        <n v="8125.0"/>
        <n v="8126.0"/>
        <n v="8127.0"/>
        <n v="8128.0"/>
        <n v="8129.0"/>
        <n v="8131.0"/>
        <n v="8132.0"/>
        <n v="8133.0"/>
        <n v="8134.0"/>
        <n v="8135.0"/>
        <n v="8136.0"/>
        <n v="8137.0"/>
        <n v="8138.0"/>
        <n v="8139.0"/>
        <n v="8140.0"/>
        <n v="8141.0"/>
        <n v="8142.0"/>
        <n v="8143.0"/>
        <n v="8144.0"/>
        <n v="8145.0"/>
        <n v="8146.0"/>
        <n v="8148.0"/>
        <n v="8149.0"/>
        <n v="8150.0"/>
        <n v="8152.0"/>
        <n v="8153.0"/>
        <n v="8154.0"/>
        <n v="8155.0"/>
        <n v="8156.0"/>
        <n v="8157.0"/>
        <n v="8159.0"/>
        <n v="8160.0"/>
        <n v="8351.0"/>
        <s v="OLI-10.1"/>
        <n v="8162.0"/>
        <n v="8163.0"/>
        <n v="8164.0"/>
        <n v="8166.0"/>
        <n v="8167.0"/>
        <n v="8168.0"/>
        <n v="8169.0"/>
        <n v="8170.0"/>
        <n v="8171.0"/>
        <n v="8172.0"/>
        <n v="8173.0"/>
        <n v="8174.0"/>
        <n v="8175.0"/>
        <n v="8176.0"/>
        <s v="oli-111201"/>
        <n v="8177.0"/>
        <n v="8178.0"/>
        <n v="8179.0"/>
        <n v="8180.0"/>
        <n v="8181.0"/>
        <n v="8183.0"/>
        <n v="8184.0"/>
        <n v="8185.0"/>
        <n v="8186.0"/>
        <n v="8187.0"/>
        <n v="8188.0"/>
        <n v="8191.0"/>
        <n v="8194.0"/>
        <n v="8195.0"/>
        <n v="8196.0"/>
        <n v="8197.0"/>
        <n v="8198.0"/>
        <n v="8199.0"/>
        <n v="8200.0"/>
        <n v="8201.0"/>
        <n v="8202.0"/>
        <n v="8203.0"/>
        <n v="8204.0"/>
        <s v="oli1312-01"/>
        <s v="oli1312-02"/>
        <n v="8205.0"/>
        <n v="8206.0"/>
        <n v="8207.0"/>
        <n v="8208.0"/>
        <n v="8209.0"/>
        <n v="8212.0"/>
        <n v="8213.0"/>
        <n v="8214.0"/>
        <s v="oli1412-01"/>
        <n v="8217.0"/>
        <n v="8218.0"/>
        <n v="8219.0"/>
        <n v="8220.0"/>
        <n v="8221.0"/>
        <n v="8222.0"/>
        <n v="8223.0"/>
        <n v="8224.0"/>
        <n v="8225.0"/>
        <n v="8226.0"/>
        <n v="8227.0"/>
        <n v="8228.0"/>
        <n v="8230.0"/>
        <n v="8715.0"/>
        <n v="8716.0"/>
        <s v="oli-151225-01"/>
        <s v="oli-151225-02"/>
        <s v="oli-151225-03"/>
        <s v="oli-151225-04"/>
        <s v="oli-151225-05"/>
        <n v="8231.0"/>
        <n v="8232.0"/>
        <n v="8233.0"/>
        <n v="8236.0"/>
        <n v="8237.0"/>
        <n v="8238.0"/>
        <n v="8240.0"/>
        <n v="8241.0"/>
        <n v="8242.0"/>
        <n v="8243.0"/>
        <n v="8244.0"/>
        <n v="8245.0"/>
        <n v="8246.0"/>
        <s v="oli-161225-01"/>
        <n v="8248.0"/>
        <n v="8249.0"/>
        <n v="8250.0"/>
        <n v="8251.0"/>
        <n v="8253.0"/>
        <n v="8254.0"/>
        <n v="8255.0"/>
        <n v="8256.0"/>
        <n v="8258.0"/>
        <n v="8259.0"/>
        <n v="8260.0"/>
        <n v="8261.0"/>
        <n v="8262.0"/>
        <n v="8263.0"/>
        <n v="8264.0"/>
        <n v="8265.0"/>
        <n v="8266.0"/>
        <n v="8267.0"/>
        <n v="8268.0"/>
        <n v="8269.0"/>
        <s v="oli-181225-01"/>
        <n v="8270.0"/>
        <n v="8271.0"/>
        <n v="8272.0"/>
        <n v="8273.0"/>
        <n v="8274.0"/>
        <n v="8275.0"/>
        <n v="8276.0"/>
        <n v="8277.0"/>
        <n v="8279.0"/>
        <n v="8280.0"/>
        <n v="8281.0"/>
        <s v="oli-191225-01"/>
        <s v="oli-191225-02"/>
        <n v="8283.0"/>
        <n v="8284.0"/>
        <n v="8285.0"/>
        <n v="8286.0"/>
        <n v="8287.0"/>
        <n v="8288.0"/>
        <n v="8290.0"/>
        <n v="8291.0"/>
        <n v="8292.0"/>
        <n v="8293.0"/>
        <n v="8294.0"/>
        <n v="8295.0"/>
        <n v="8297.0"/>
        <n v="8298.0"/>
        <n v="8300.0"/>
        <n v="8301.0"/>
        <n v="8302.0"/>
        <n v="8304.0"/>
        <n v="8305.0"/>
        <n v="8306.0"/>
        <n v="8308.0"/>
        <n v="8309.0"/>
        <n v="8310.0"/>
        <n v="8311.0"/>
        <n v="8312.0"/>
        <n v="8314.0"/>
        <s v="oli-23122501"/>
        <n v="8315.0"/>
        <n v="8316.0"/>
        <n v="8317.0"/>
        <n v="8318.0"/>
        <n v="8319.0"/>
        <n v="8320.0"/>
        <n v="8321.0"/>
        <n v="8322.0"/>
        <n v="8323.0"/>
        <n v="8324.0"/>
        <n v="8325.0"/>
        <n v="8326.0"/>
        <n v="8327.0"/>
        <n v="8329.0"/>
        <n v="8330.0"/>
        <n v="8331.0"/>
        <n v="8332.0"/>
        <s v="oli-24122501"/>
        <n v="8334.0"/>
        <n v="8335.0"/>
        <n v="8336.0"/>
        <n v="8337.0"/>
        <n v="8338.0"/>
        <n v="8340.0"/>
        <n v="8341.0"/>
        <n v="8342.0"/>
        <n v="8343.0"/>
        <n v="8344.0"/>
        <n v="8345.0"/>
        <n v="8346.0"/>
        <n v="8347.0"/>
        <n v="8348.0"/>
        <n v="8349.0"/>
        <n v="8350.0"/>
        <n v="8352.0"/>
        <n v="8353.0"/>
        <n v="8354.0"/>
        <n v="8355.0"/>
        <n v="8356.0"/>
        <n v="8358.0"/>
        <n v="8359.0"/>
        <n v="8360.0"/>
        <n v="8361.0"/>
        <s v="0li26122501"/>
        <s v="oli-26122502"/>
        <n v="8363.0"/>
        <n v="8364.0"/>
        <n v="8366.0"/>
        <n v="8367.0"/>
        <n v="8368.0"/>
        <n v="8369.0"/>
        <n v="8370.0"/>
        <n v="8371.0"/>
        <n v="8373.0"/>
        <n v="8374.0"/>
        <n v="8375.0"/>
        <n v="8376.0"/>
        <n v="8377.0"/>
        <s v="OLI-27122501"/>
        <n v="8378.0"/>
        <n v="8379.0"/>
        <n v="8380.0"/>
        <n v="8381.0"/>
        <n v="8382.0"/>
        <n v="8383.0"/>
        <n v="8385.0"/>
        <n v="8388.0"/>
        <n v="8389.0"/>
        <n v="8391.0"/>
        <n v="8392.0"/>
        <n v="8393.0"/>
        <n v="8396.0"/>
        <n v="8397.0"/>
        <n v="8398.0"/>
        <n v="8399.0"/>
        <n v="8400.0"/>
        <s v="oli-29122501"/>
        <n v="8401.0"/>
        <n v="8402.0"/>
        <n v="8404.0"/>
        <n v="8405.0"/>
        <n v="8406.0"/>
        <n v="8407.0"/>
        <n v="8408.0"/>
        <n v="8409.0"/>
        <n v="8410.0"/>
        <n v="8411.0"/>
        <n v="8412.0"/>
        <n v="8413.0"/>
        <n v="8414.0"/>
        <n v="8415.0"/>
        <n v="8416.0"/>
        <n v="8417.0"/>
        <n v="8418.0"/>
        <n v="8419.0"/>
        <n v="8420.0"/>
        <n v="8421.0"/>
        <n v="8422.0"/>
        <n v="8423.0"/>
        <n v="8424.0"/>
        <n v="8425.0"/>
        <n v="8426.0"/>
        <n v="8427.0"/>
        <n v="8428.0"/>
        <n v="8429.0"/>
        <n v="8430.0"/>
        <n v="8431.0"/>
        <n v="88432.0"/>
        <n v="8433.0"/>
        <n v="8434.0"/>
        <n v="8435.0"/>
        <n v="8436.0"/>
        <n v="8437.0"/>
        <n v="8438.0"/>
        <n v="8439.0"/>
        <n v="8440.0"/>
        <n v="8441.0"/>
        <n v="8442.0"/>
        <n v="8443.0"/>
        <n v="8444.0"/>
        <n v="8445.0"/>
        <n v="8446.0"/>
        <n v="8447.0"/>
        <s v="OLI-020126-01"/>
        <n v="8448.0"/>
        <n v="8449.0"/>
        <n v="8450.0"/>
        <n v="8451.0"/>
        <n v="8452.0"/>
        <n v="8454.0"/>
        <n v="8455.0"/>
        <n v="8456.0"/>
        <n v="8457.0"/>
        <n v="8458.0"/>
        <n v="8459.0"/>
        <n v="8460.0"/>
        <n v="8461.0"/>
        <n v="8462.0"/>
        <n v="8463.0"/>
        <n v="8464.0"/>
        <n v="8465.0"/>
        <n v="8466.0"/>
        <s v="OLI-030126021"/>
        <n v="8467.0"/>
        <n v="8468.0"/>
        <n v="8469.0"/>
        <n v="8470.0"/>
        <n v="8471.0"/>
        <n v="8472.0"/>
        <s v="OLI-04012601"/>
        <s v="OLI-04012602"/>
        <s v="OLI-04012603"/>
        <n v="8453.0"/>
        <n v="8473.0"/>
        <n v="8474.0"/>
        <n v="8475.0"/>
        <n v="8476.0"/>
        <n v="8477.0"/>
        <n v="8479.0"/>
        <n v="8480.0"/>
        <n v="8481.0"/>
        <n v="8482.0"/>
        <n v="8483.0"/>
        <n v="8484.0"/>
        <n v="8485.0"/>
        <n v="8486.0"/>
        <n v="8487.0"/>
        <n v="8488.0"/>
        <n v="8491.0"/>
        <n v="8492.0"/>
        <n v="8493.0"/>
        <n v="8494.0"/>
        <n v="8495.0"/>
        <n v="8496.0"/>
        <n v="8497.0"/>
        <n v="8499.0"/>
        <n v="8500.0"/>
        <n v="8501.0"/>
        <n v="8503.0"/>
        <s v="OLI-06012501"/>
        <n v="8498.0"/>
        <n v="8502.0"/>
        <n v="8504.0"/>
        <n v="8505.0"/>
        <n v="8506.0"/>
        <n v="8509.0"/>
        <n v="8510.0"/>
        <n v="8511.0"/>
        <n v="8513.0"/>
        <n v="8514.0"/>
        <n v="8515.0"/>
        <n v="8516.0"/>
        <n v="8517.0"/>
        <n v="8518.0"/>
        <n v="8520.0"/>
        <n v="8523.0"/>
        <n v="8524.0"/>
        <n v="8525.0"/>
        <n v="8526.0"/>
        <n v="8530.0"/>
        <n v="8532.0"/>
        <n v="8533.0"/>
        <n v="8534.0"/>
        <n v="8577.0"/>
        <n v="8578.0"/>
        <n v="8579.0"/>
        <s v="OLI09012601"/>
        <n v="8539.0"/>
        <n v="8541.0"/>
        <n v="8542.0"/>
        <n v="8543.0"/>
        <n v="8544.0"/>
        <n v="8545.0"/>
        <n v="8546.0"/>
        <n v="8547.0"/>
        <n v="8548.0"/>
        <n v="8549.0"/>
        <n v="8550.0"/>
        <n v="8551.0"/>
        <n v="8552.0"/>
        <n v="8553.0"/>
        <n v="8554.0"/>
        <n v="8555.0"/>
        <n v="8556.0"/>
        <n v="8557.0"/>
        <n v="8558.0"/>
        <n v="8561.0"/>
        <n v="8562.0"/>
        <n v="8563.0"/>
        <n v="8564.0"/>
        <n v="8565.0"/>
        <n v="8566.0"/>
        <n v="8568.0"/>
        <n v="8569.0"/>
        <n v="8570.0"/>
        <n v="8572.0"/>
        <n v="8573.0"/>
        <n v="8574.0"/>
        <n v="8575.0"/>
        <n v="8576.0"/>
        <s v="OLI-12012601"/>
        <s v="OLI-12012602"/>
        <s v="OLI-12012603"/>
        <s v="OLI-12012604"/>
        <s v="OLI-12012605"/>
        <n v="8580.0"/>
        <n v="8581.0"/>
        <n v="8583.0"/>
        <s v="858 7"/>
        <n v="3.0"/>
        <n v="4.0"/>
        <n v="5.0"/>
        <n v="6.0"/>
        <n v="8386.0"/>
        <n v="8387.0"/>
        <n v="8588.0"/>
        <n v="8589.0"/>
        <n v="8590.0"/>
        <s v="OLI-14012601"/>
        <n v="7.0"/>
        <n v="8.0"/>
        <n v="9.0"/>
        <n v="10.0"/>
        <n v="11.0"/>
        <n v="12.0"/>
        <n v="13.0"/>
        <n v="14.0"/>
        <n v="15.0"/>
        <s v="OLI-15012601"/>
        <s v="OLI-15012602"/>
        <n v="16.0"/>
        <n v="17.0"/>
        <n v="18.0"/>
        <n v="19.0"/>
        <n v="20.0"/>
        <n v="21.0"/>
        <n v="22.0"/>
        <n v="24.0"/>
        <n v="25.0"/>
        <n v="26.0"/>
        <n v="28.0"/>
        <n v="29.0"/>
        <n v="30.0"/>
        <n v="31.0"/>
        <n v="32.0"/>
        <n v="33.0"/>
        <n v="35.0"/>
        <n v="36.0"/>
        <n v="37.0"/>
        <n v="38.0"/>
        <n v="39.0"/>
        <n v="41.0"/>
        <n v="42.0"/>
        <n v="43.0"/>
        <n v="45.0"/>
        <s v="OLI-170125"/>
        <s v="OLI-17012502"/>
        <n v="47.0"/>
        <n v="48.0"/>
        <n v="49.0"/>
        <n v="50.0"/>
        <n v="52.0"/>
        <n v="53.0"/>
        <n v="54.0"/>
        <n v="55.0"/>
        <n v="57.0"/>
        <n v="58.0"/>
        <n v="59.0"/>
        <n v="60.0"/>
        <n v="61.0"/>
        <n v="62.0"/>
        <n v="63.0"/>
        <n v="66.0"/>
        <n v="67.0"/>
        <n v="68.0"/>
        <s v="OLI-20012601"/>
        <n v="70.0"/>
        <n v="71.0"/>
        <n v="72.0"/>
        <n v="73.0"/>
        <n v="74.0"/>
        <n v="75.0"/>
        <n v="76.0"/>
        <n v="78.0"/>
        <n v="79.0"/>
        <n v="80.0"/>
        <n v="81.0"/>
        <n v="82.0"/>
        <s v="OLI-21012601"/>
        <n v="83.0"/>
        <n v="84.0"/>
        <n v="85.0"/>
        <n v="86.0"/>
        <n v="87.0"/>
        <n v="88.0"/>
        <n v="89.0"/>
        <n v="90.0"/>
        <n v="91.0"/>
        <n v="92.0"/>
        <n v="93.0"/>
        <n v="94.0"/>
        <n v="95.0"/>
        <n v="96.0"/>
        <n v="97.0"/>
        <n v="98.0"/>
        <s v="OLI-23012601"/>
        <n v="100.0"/>
        <n v="101.0"/>
        <n v="102.0"/>
        <n v="103.0"/>
        <n v="104.0"/>
        <n v="105.0"/>
        <n v="106.0"/>
        <n v="107.0"/>
        <n v="109.0"/>
        <n v="110.0"/>
        <n v="111.0"/>
        <n v="112.0"/>
        <n v="113.0"/>
        <n v="114.0"/>
        <n v="115.0"/>
        <n v="116.0"/>
        <n v="117.0"/>
        <n v="118.0"/>
        <n v="119.0"/>
        <s v="OLI-25012601"/>
        <n v="120.0"/>
        <n v="121.0"/>
        <n v="122.0"/>
        <n v="123.0"/>
        <n v="124.0"/>
        <n v="125.0"/>
        <n v="126.0"/>
        <n v="127.0"/>
        <n v="128.0"/>
        <n v="130.0"/>
        <n v="131.0"/>
        <n v="132.0"/>
        <n v="133.0"/>
        <n v="134.0"/>
        <n v="136.0"/>
        <n v="137.0"/>
        <n v="138.0"/>
        <n v="139.0"/>
        <n v="140.0"/>
        <n v="141.0"/>
        <n v="142.0"/>
        <n v="143.0"/>
        <n v="144.0"/>
        <n v="145.0"/>
        <n v="146.0"/>
        <n v="147.0"/>
        <n v="149.0"/>
        <n v="150.0"/>
        <n v="151.0"/>
        <n v="152.0"/>
        <n v="153.0"/>
        <n v="154.0"/>
        <s v="OLI-2801202601"/>
        <n v="155.0"/>
        <n v="156.0"/>
        <n v="157.0"/>
        <n v="160.0"/>
        <n v="161.0"/>
        <n v="162.0"/>
        <n v="163.0"/>
        <n v="164.0"/>
        <n v="165.0"/>
        <n v="166.0"/>
        <n v="167.0"/>
        <s v="OLI-29012601"/>
        <n v="168.0"/>
        <n v="169.0"/>
        <n v="170.0"/>
        <n v="171.0"/>
        <n v="172.0"/>
        <n v="174.0"/>
        <n v="175.0"/>
        <n v="176.0"/>
        <n v="177.0"/>
        <n v="178.0"/>
        <n v="179.0"/>
        <n v="180.0"/>
        <n v="181.0"/>
        <n v="182.0"/>
        <n v="183.0"/>
        <n v="184.0"/>
        <n v="185.0"/>
        <n v="186.0"/>
        <n v="187.0"/>
        <n v="188.0"/>
        <n v="189.0"/>
        <n v="190.0"/>
        <n v="191.0"/>
        <n v="192.0"/>
        <n v="193.0"/>
        <n v="194.0"/>
        <n v="195.0"/>
        <n v="196.0"/>
        <n v="199.0"/>
        <n v="200.0"/>
        <n v="201.0"/>
        <n v="202.0"/>
        <n v="203.0"/>
        <n v="204.0"/>
        <n v="205.0"/>
        <n v="206.0"/>
        <n v="207.0"/>
        <n v="208.0"/>
        <n v="209.0"/>
        <n v="210.0"/>
        <n v="211.0"/>
        <n v="212.0"/>
        <n v="214.0"/>
        <n v="215.0"/>
        <n v="216.0"/>
        <n v="217.0"/>
        <n v="218.0"/>
        <n v="219.0"/>
        <n v="221.0"/>
        <s v="OLI-03022601"/>
        <n v="223.0"/>
        <n v="224.0"/>
        <n v="225.0"/>
        <n v="226.0"/>
        <n v="228.0"/>
        <n v="229.0"/>
        <n v="231.0"/>
        <n v="232.0"/>
        <n v="233.0"/>
        <n v="234.0"/>
        <n v="235.0"/>
        <n v="236.0"/>
        <n v="237.0"/>
        <n v="238.0"/>
        <n v="240.0"/>
        <n v="241.0"/>
        <n v="242.0"/>
        <n v="243.0"/>
        <n v="244.0"/>
        <n v="245.0"/>
        <n v="246.0"/>
        <s v="OLI-05022601"/>
        <n v="247.0"/>
        <n v="248.0"/>
        <n v="249.0"/>
        <n v="250.0"/>
        <n v="251.0"/>
        <n v="252.0"/>
        <n v="253.0"/>
        <n v="254.0"/>
        <n v="255.0"/>
        <n v="256.0"/>
        <n v="257.0"/>
        <s v="OLI-06022601"/>
        <n v="258.0"/>
        <n v="259.0"/>
        <n v="260.0"/>
        <n v="261.0"/>
        <n v="263.0"/>
        <n v="264.0"/>
        <n v="265.0"/>
        <n v="266.0"/>
        <n v="267.0"/>
        <n v="268.0"/>
        <n v="269.0"/>
        <s v="OLI-07022601"/>
        <n v="270.0"/>
        <n v="271.0"/>
        <n v="273.0"/>
        <n v="274.0"/>
        <n v="275.0"/>
        <n v="277.0"/>
        <n v="279.0"/>
        <s v="oli-08022601"/>
        <s v="oli-08022602"/>
        <n v="281.0"/>
        <n v="282.0"/>
        <n v="283.0"/>
        <n v="284.0"/>
        <n v="285.0"/>
        <n v="286.0"/>
        <n v="287.0"/>
        <n v="288.0"/>
        <n v="289.0"/>
        <s v="OLI-09022601"/>
        <n v="291.0"/>
        <n v="292.0"/>
        <n v="293.0"/>
        <n v="295.0"/>
        <n v="296.0"/>
        <n v="297.0"/>
        <n v="298.0"/>
        <s v="OLI-1022601"/>
        <n v="300.0"/>
        <n v="301.0"/>
        <n v="303.0"/>
        <n v="304.0"/>
        <n v="305.0"/>
        <n v="306.0"/>
        <n v="307.0"/>
        <n v="308.0"/>
        <n v="309.0"/>
        <n v="310.0"/>
        <n v="311.0"/>
        <n v="312.0"/>
        <n v="313.0"/>
        <s v="OLI-11022601"/>
        <n v="314.0"/>
        <n v="315.0"/>
        <n v="316.0"/>
        <n v="317.0"/>
        <n v="318.0"/>
        <n v="319.0"/>
        <n v="320.0"/>
        <n v="322.0"/>
        <n v="323.0"/>
        <n v="324.0"/>
        <n v="325.0"/>
        <n v="326.0"/>
        <n v="327.0"/>
        <n v="328.0"/>
        <n v="329.0"/>
        <n v="330.0"/>
        <n v="331.0"/>
        <n v="332.0"/>
        <n v="333.0"/>
        <n v="334.0"/>
        <n v="335.0"/>
        <n v="336.0"/>
        <n v="337.0"/>
        <n v="338.0"/>
        <n v="339.0"/>
        <n v="340.0"/>
        <n v="341.0"/>
        <n v="342.0"/>
        <n v="343.0"/>
        <s v="OLI-13022601"/>
        <n v="346.0"/>
        <n v="347.0"/>
        <n v="348.0"/>
        <n v="349.0"/>
        <n v="350.0"/>
        <n v="352.0"/>
        <s v="OLI-14022601"/>
        <n v="353.0"/>
        <n v="354.0"/>
        <n v="355.0"/>
        <n v="356.0"/>
        <n v="357.0"/>
        <n v="358.0"/>
        <s v="OLI-150226"/>
        <s v="OLI-15022602"/>
        <n v="359.0"/>
        <n v="360.0"/>
        <n v="361.0"/>
        <n v="362.0"/>
        <n v="363.0"/>
        <n v="365.0"/>
        <n v="366.0"/>
        <n v="367.0"/>
        <n v="368.0"/>
        <n v="369.0"/>
        <n v="370.0"/>
        <n v="371.0"/>
        <n v="372.0"/>
        <n v="373.0"/>
        <n v="374.0"/>
        <n v="375.0"/>
        <n v="376.0"/>
        <n v="377.0"/>
        <s v="OLI-17022601"/>
        <n v="378.0"/>
        <n v="380.0"/>
        <n v="381.0"/>
        <n v="382.0"/>
        <n v="383.0"/>
        <n v="385.0"/>
        <s v="OLI-18022601"/>
        <n v="386.0"/>
        <n v="387.0"/>
        <n v="388.0"/>
        <n v="389.0"/>
        <n v="390.0"/>
        <n v="391.0"/>
        <n v="392.0"/>
        <n v="393.0"/>
        <n v="394.0"/>
        <n v="395.0"/>
        <n v="396.0"/>
        <n v="397.0"/>
        <n v="398.0"/>
        <n v="399.0"/>
        <n v="400.0"/>
        <n v="401.0"/>
        <n v="402.0"/>
        <n v="404.0"/>
        <n v="405.0"/>
        <n v="406.0"/>
        <n v="407.0"/>
        <n v="498.0"/>
        <n v="409.0"/>
        <n v="410.0"/>
        <n v="411.0"/>
        <n v="412.0"/>
        <n v="413.0"/>
        <n v="414.0"/>
        <n v="415.0"/>
        <n v="416.0"/>
        <s v="OLI-22022601"/>
        <s v="OLI-2202261"/>
        <n v="417.0"/>
        <n v="418.0"/>
        <n v="419.0"/>
        <n v="420.0"/>
        <n v="421.0"/>
        <n v="425.0"/>
        <n v="426.0"/>
        <n v="427.0"/>
        <n v="428.0"/>
        <n v="429.0"/>
        <n v="431.0"/>
        <n v="432.0"/>
        <n v="433.0"/>
        <n v="434.0"/>
        <n v="435.0"/>
        <n v="436.0"/>
        <n v="437.0"/>
        <n v="438.0"/>
        <n v="439.0"/>
        <n v="441.0"/>
        <n v="442.0"/>
        <n v="443.0"/>
        <n v="445.0"/>
        <n v="446.0"/>
        <n v="447.0"/>
        <n v="448.0"/>
        <n v="449.0"/>
        <n v="450.0"/>
        <s v="OLI-26022601"/>
        <n v="451.0"/>
        <n v="452.0"/>
        <n v="453.0"/>
        <n v="454.0"/>
        <n v="456.0"/>
        <n v="457.0"/>
        <n v="458.0"/>
        <n v="459.0"/>
        <n v="460.0"/>
        <n v="461.0"/>
        <n v="462.0"/>
        <n v="463.0"/>
        <s v="OLI-27022601"/>
        <n v="464.0"/>
        <n v="465.0"/>
        <n v="467.0"/>
        <n v="468.0"/>
        <n v="469.0"/>
        <n v="470.0"/>
        <n v="471.0"/>
        <n v="472.0"/>
        <n v="473.0"/>
        <n v="474.0"/>
        <n v="475.0"/>
        <s v="OLI-28022601"/>
        <s v="OLI-28022602"/>
        <n v="466.0"/>
        <n v="476.0"/>
        <n v="477.0"/>
        <n v="478.0"/>
        <n v="480.0"/>
        <s v="OLI-01032601"/>
        <n v="481.0"/>
        <n v="482.0"/>
        <n v="483.0"/>
        <n v="484.0"/>
        <n v="485.0"/>
        <n v="487.0"/>
        <n v="488.0"/>
        <n v="489.0"/>
        <n v="490.0"/>
        <n v="491.0"/>
        <n v="492.0"/>
        <n v="493.0"/>
        <n v="494.0"/>
        <n v="495.0"/>
        <n v="496.0"/>
        <n v="499.0"/>
        <n v="500.0"/>
        <n v="501.0"/>
        <n v="502.0"/>
        <s v="OLI-0303202601"/>
        <n v="503.0"/>
        <n v="504.0"/>
        <n v="505.0"/>
        <n v="506.0"/>
        <n v="507.0"/>
        <n v="508.0"/>
        <n v="509.0"/>
        <n v="511.0"/>
        <n v="512.0"/>
        <n v="513.0"/>
        <n v="514.0"/>
        <n v="515.0"/>
        <n v="516.0"/>
        <n v="517.0"/>
        <s v="OLI-04032026"/>
        <s v="OLI-04032601"/>
        <n v="518.0"/>
        <n v="519.0"/>
        <n v="520.0"/>
        <n v="521.0"/>
        <n v="523.0"/>
        <n v="524.0"/>
        <n v="525.0"/>
        <n v="526.0"/>
        <s v="OLI-05032601"/>
        <n v="528.0"/>
        <n v="529.0"/>
        <n v="530.0"/>
        <n v="531.0"/>
        <n v="532.0"/>
        <n v="533.0"/>
        <n v="535.0"/>
        <s v="OLI-06032601"/>
        <n v="536.0"/>
        <n v="537.0"/>
        <n v="538.0"/>
        <n v="539.0"/>
        <n v="540.0"/>
        <n v="541.0"/>
        <n v="542.0"/>
        <n v="543.0"/>
        <n v="544.0"/>
        <n v="545.0"/>
        <s v="OLI-07032601"/>
        <n v="547.0"/>
        <n v="548.0"/>
        <n v="549.0"/>
        <n v="550.0"/>
        <n v="551.0"/>
        <n v="552.0"/>
        <n v="553.0"/>
        <s v="OLI-08032601"/>
        <n v="554.0"/>
        <n v="555.0"/>
        <n v="556.0"/>
        <n v="557.0"/>
        <n v="558.0"/>
        <n v="559.0"/>
        <n v="560.0"/>
        <n v="561.0"/>
        <n v="562.0"/>
        <n v="563.0"/>
        <n v="564.0"/>
        <n v="565.0"/>
        <n v="566.0"/>
        <s v="OLI-09032601"/>
        <s v="OLI-09032602"/>
        <n v="567.0"/>
        <n v="569.0"/>
        <n v="570.0"/>
        <n v="571.0"/>
        <n v="572.0"/>
        <n v="573.0"/>
        <n v="574.0"/>
        <n v="575.0"/>
        <n v="576.0"/>
        <n v="577.0"/>
        <n v="578.0"/>
        <n v="579.0"/>
        <n v="580.0"/>
        <n v="581.0"/>
        <n v="582.0"/>
        <n v="583.0"/>
        <n v="584.0"/>
        <n v="585.0"/>
        <n v="586.0"/>
        <n v="587.0"/>
        <n v="588.0"/>
        <n v="589.0"/>
        <s v="OLI-10032601"/>
        <s v="OLI-10032602"/>
        <s v="OLI-10032603"/>
        <n v="592.0"/>
        <n v="593.0"/>
        <n v="594.0"/>
        <n v="595.0"/>
        <n v="596.0"/>
        <n v="597.0"/>
        <n v="598.0"/>
        <n v="599.0"/>
        <n v="600.0"/>
        <n v="601.0"/>
        <n v="602.0"/>
        <n v="604.0"/>
        <n v="605.0"/>
        <n v="606.0"/>
        <n v="607.0"/>
        <n v="608.0"/>
        <n v="609.0"/>
        <n v="610.0"/>
        <n v="611.0"/>
        <n v="612.0"/>
        <n v="613.0"/>
        <n v="614.0"/>
        <n v="615.0"/>
        <n v="616.0"/>
        <n v="618.0"/>
        <n v="619.0"/>
        <n v="621.0"/>
        <n v="622.0"/>
        <n v="623.0"/>
        <n v="624.0"/>
        <n v="625.0"/>
        <n v="628.0"/>
        <n v="629.0"/>
        <n v="630.0"/>
        <s v="OLI-12032601"/>
        <n v="631.0"/>
        <n v="632.0"/>
        <n v="633.0"/>
        <n v="634.0"/>
        <n v="635.0"/>
        <n v="636.0"/>
        <n v="637.0"/>
        <n v="638.0"/>
        <n v="639.0"/>
        <n v="640.0"/>
        <n v="641.0"/>
        <n v="642.0"/>
        <s v="OLI-13032601"/>
        <s v="OLI-13032602"/>
        <n v="643.0"/>
        <n v="644.0"/>
        <n v="645.0"/>
        <n v="646.0"/>
        <n v="647.0"/>
        <n v="648.0"/>
        <n v="649.0"/>
        <n v="650.0"/>
        <n v="651.0"/>
        <n v="652.0"/>
        <n v="653.0"/>
        <n v="654.0"/>
        <n v="655.0"/>
        <n v="656.0"/>
        <n v="657.0"/>
        <n v="658.0"/>
        <n v="659.0"/>
        <s v="OLI-14032601"/>
        <s v="OLI-14032602"/>
        <n v="660.0"/>
        <n v="661.0"/>
        <n v="662.0"/>
        <n v="663.0"/>
        <n v="664.0"/>
        <n v="665.0"/>
        <n v="666.0"/>
        <n v="667.0"/>
        <n v="668.0"/>
        <s v="OLI-15033601"/>
        <s v="OLI-15033602"/>
        <n v="669.0"/>
        <n v="670.0"/>
        <n v="672.0"/>
        <n v="674.0"/>
        <n v="675.0"/>
        <n v="676.0"/>
        <n v="677.0"/>
        <n v="678.0"/>
        <n v="679.0"/>
        <n v="680.0"/>
        <n v="681.0"/>
        <n v="682.0"/>
        <n v="683.0"/>
        <n v="684.0"/>
        <n v="685.0"/>
        <n v="686.0"/>
        <n v="687.0"/>
        <n v="691.0"/>
        <n v="693.0"/>
        <n v="694.0"/>
        <n v="695.0"/>
        <n v="696.0"/>
        <n v="697.0"/>
        <n v="698.0"/>
        <n v="699.0"/>
        <n v="700.0"/>
        <n v="701.0"/>
        <n v="702.0"/>
        <n v="703.0"/>
        <n v="704.0"/>
        <n v="706.0"/>
        <n v="707.0"/>
        <n v="708.0"/>
        <n v="709.0"/>
        <n v="710.0"/>
        <n v="711.0"/>
        <n v="712.0"/>
        <n v="714.0"/>
        <n v="715.0"/>
        <s v="OLI-17032601"/>
        <s v="OLI-17032603"/>
        <n v="716.0"/>
        <n v="717.0"/>
        <n v="718.0"/>
        <n v="719.0"/>
        <n v="720.0"/>
        <n v="721.0"/>
        <n v="722.0"/>
        <n v="723.0"/>
        <n v="724.0"/>
        <n v="725.0"/>
        <n v="726.0"/>
        <n v="727.0"/>
        <n v="728.0"/>
        <n v="729.0"/>
        <n v="730.0"/>
        <n v="731.0"/>
        <n v="732.0"/>
        <n v="733.0"/>
        <n v="734.0"/>
        <n v="736.0"/>
        <n v="738.0"/>
        <n v="739.0"/>
        <n v="740.0"/>
        <n v="741.0"/>
        <n v="742.0"/>
        <n v="743.0"/>
        <n v="744.0"/>
        <n v="745.0"/>
        <n v="747.0"/>
        <n v="748.0"/>
        <n v="749.0"/>
        <n v="750.0"/>
        <n v="751.0"/>
        <n v="752.0"/>
        <n v="753.0"/>
        <n v="754.0"/>
        <n v="755.0"/>
        <n v="756.0"/>
        <n v="757.0"/>
        <n v="758.0"/>
        <n v="759.0"/>
        <n v="760.0"/>
        <n v="761.0"/>
        <s v="OLI-19032601"/>
        <s v="OLI-19032602"/>
        <n v="762.0"/>
        <n v="764.0"/>
        <n v="765.0"/>
        <n v="766.0"/>
        <n v="767.0"/>
        <s v="OLI-20032601"/>
        <n v="768.0"/>
        <n v="770.0"/>
        <n v="771.0"/>
        <n v="772.0"/>
        <s v="OLI-23032601"/>
        <s v="OLI-23032602"/>
        <s v="OLI-23032603"/>
        <n v="773.0"/>
        <n v="774.0"/>
        <n v="775.0"/>
        <n v="776.0"/>
        <n v="777.0"/>
        <n v="778.0"/>
        <n v="779.0"/>
        <n v="780.0"/>
        <n v="781.0"/>
        <n v="782.0"/>
        <s v="OLI-24032601"/>
        <s v="OLI-24032602"/>
        <s v="OLI-24032603"/>
        <n v="783.0"/>
        <n v="786.0"/>
        <n v="787.0"/>
        <n v="788.0"/>
        <n v="789.0"/>
        <n v="790.0"/>
        <n v="791.0"/>
        <n v="792.0"/>
        <n v="793.0"/>
        <n v="794.0"/>
        <n v="795.0"/>
        <n v="796.0"/>
        <n v="797.0"/>
        <s v="OLI-25032601"/>
        <s v="OLI-25032602"/>
        <s v="OLI-25032603"/>
        <s v="OLI-25032604"/>
        <s v="OLI-25032605"/>
        <s v="OLI-25032606"/>
        <n v="798.0"/>
        <n v="799.0"/>
        <n v="800.0"/>
        <n v="801.0"/>
        <n v="802.0"/>
        <n v="803.0"/>
        <n v="805.0"/>
        <n v="806.0"/>
        <n v="807.0"/>
        <n v="808.0"/>
        <n v="809.0"/>
        <n v="811.0"/>
        <n v="812.0"/>
        <n v="813.0"/>
        <n v="814.0"/>
        <s v="OLI-26032601"/>
        <s v="OLI-26032602"/>
        <n v="815.0"/>
        <n v="816.0"/>
        <n v="817.0"/>
        <n v="818.0"/>
        <n v="819.0"/>
        <n v="820.0"/>
        <n v="821.0"/>
        <n v="822.0"/>
        <n v="823.0"/>
        <n v="824.0"/>
        <n v="825.0"/>
        <n v="826.0"/>
        <n v="827.0"/>
        <n v="828.0"/>
        <n v="829.0"/>
        <n v="830.0"/>
        <n v="831.0"/>
        <n v="832.0"/>
        <n v="833.0"/>
        <n v="834.0"/>
        <s v="OLI-27032601"/>
        <s v="OLI-27032602"/>
        <s v="OLI-27032603"/>
        <n v="835.0"/>
        <n v="837.0"/>
        <n v="838.0"/>
        <n v="839.0"/>
        <n v="841.0"/>
        <n v="842.0"/>
        <n v="843.0"/>
        <n v="844.0"/>
        <n v="845.0"/>
        <n v="846.0"/>
        <n v="847.0"/>
        <n v="848.0"/>
        <n v="849.0"/>
        <n v="850.0"/>
        <n v="852.0"/>
        <s v="OLI-280326"/>
        <n v="853.0"/>
        <n v="854.0"/>
        <n v="856.0"/>
        <n v="857.0"/>
        <n v="858.0"/>
        <n v="859.0"/>
        <n v="860.0"/>
        <s v="OLI-290326"/>
        <n v="861.0"/>
        <n v="863.0"/>
        <n v="864.0"/>
        <n v="865.0"/>
        <n v="866.0"/>
        <n v="867.0"/>
        <n v="868.0"/>
        <n v="869.0"/>
        <n v="870.0"/>
        <n v="872.0"/>
        <n v="873.0"/>
        <s v="OLI-30032601"/>
        <s v="OLI-30032602"/>
        <n v="874.0"/>
        <n v="875.0"/>
        <n v="876.0"/>
        <n v="877.0"/>
        <n v="878.0"/>
        <n v="879.0"/>
        <n v="880.0"/>
        <n v="881.0"/>
        <n v="882.0"/>
        <n v="883.0"/>
        <n v="884.0"/>
        <n v="885.0"/>
        <n v="886.0"/>
        <n v="887.0"/>
        <s v="OLI-310326"/>
        <n v="888.0"/>
        <n v="889.0"/>
        <n v="890.0"/>
        <n v="891.0"/>
        <n v="892.0"/>
        <n v="893.0"/>
        <n v="894.0"/>
        <n v="895.0"/>
        <n v="896.0"/>
        <n v="897.0"/>
        <n v="899.0"/>
        <n v="900.0"/>
        <n v="901.0"/>
        <s v="OLI-01042601"/>
        <s v="OLI-01042602"/>
        <n v="902.0"/>
        <n v="903.0"/>
        <n v="904.0"/>
        <n v="905.0"/>
        <n v="906.0"/>
        <n v="907.0"/>
        <n v="908.0"/>
        <n v="909.0"/>
        <s v="OLI-02032601"/>
        <s v="OLI-02032602"/>
        <s v="OLI-02032603"/>
        <s v="OLI-02042603"/>
        <n v="912.0"/>
        <n v="914.0"/>
        <n v="915.0"/>
        <n v="916.0"/>
        <n v="917.0"/>
        <n v="918.0"/>
        <n v="919.0"/>
        <s v="OLI-03032601"/>
        <n v="920.0"/>
        <n v="921.0"/>
        <n v="922.0"/>
        <n v="923.0"/>
        <n v="924.0"/>
        <n v="925.0"/>
        <n v="926.0"/>
        <n v="928.0"/>
        <n v="929.0"/>
        <n v="930.0"/>
        <n v="931.0"/>
        <n v="932.0"/>
        <s v="OLI-04042601"/>
        <n v="933.0"/>
        <n v="934.0"/>
        <n v="935.0"/>
        <n v="936.0"/>
        <n v="937.0"/>
        <n v="938.0"/>
        <n v="939.0"/>
        <s v="OLI-05042601"/>
        <s v="OLI-05042602"/>
        <n v="940.0"/>
        <n v="941.0"/>
        <n v="942.0"/>
        <n v="943.0"/>
        <n v="944.0"/>
        <n v="945.0"/>
        <n v="946.0"/>
        <n v="947.0"/>
        <n v="948.0"/>
        <n v="949.0"/>
        <n v="950.0"/>
        <n v="951.0"/>
        <n v="952.0"/>
        <n v="953.0"/>
        <n v="954.0"/>
        <n v="955.0"/>
        <n v="956.0"/>
        <n v="957.0"/>
        <s v="OLI-06042601"/>
        <s v="OLI-06042602"/>
        <s v="OLI-06042603"/>
        <n v="958.0"/>
        <n v="960.0"/>
        <n v="961.0"/>
        <n v="962.0"/>
        <n v="963.0"/>
        <n v="964.0"/>
        <n v="965.0"/>
        <n v="966.0"/>
        <n v="967.0"/>
        <n v="968.0"/>
        <s v="OLI-070426"/>
        <n v="970.0"/>
        <n v="971.0"/>
        <n v="972.0"/>
        <n v="973.0"/>
        <n v="974.0"/>
        <n v="975.0"/>
        <n v="976.0"/>
        <n v="978.0"/>
        <n v="979.0"/>
        <n v="980.0"/>
        <n v="983.0"/>
        <n v="984.0"/>
        <n v="985.0"/>
        <s v="OLI-08042601"/>
        <n v="986.0"/>
        <n v="987.0"/>
        <n v="988.0"/>
        <n v="989.0"/>
        <n v="990.0"/>
        <n v="991.0"/>
        <n v="992.0"/>
        <n v="993.0"/>
        <n v="994.0"/>
        <n v="995.0"/>
        <n v="996.0"/>
        <n v="997.0"/>
        <n v="998.0"/>
        <n v="999.0"/>
        <n v="1000.0"/>
        <n v="1001.0"/>
        <n v="1002.0"/>
        <n v="1004.0"/>
        <n v="1005.0"/>
        <n v="1006.0"/>
        <n v="1007.0"/>
        <n v="1008.0"/>
        <n v="1009.0"/>
        <n v="1010.0"/>
        <n v="1011.0"/>
        <n v="1012.0"/>
        <n v="1013.0"/>
        <n v="1014.0"/>
        <n v="1015.0"/>
        <n v="1016.0"/>
        <n v="1017.0"/>
        <n v="1018.0"/>
        <n v="1019.0"/>
        <n v="1020.0"/>
        <n v="1021.0"/>
        <n v="1022.0"/>
        <n v="1023.0"/>
        <n v="1024.0"/>
        <n v="1025.0"/>
        <n v="1026.0"/>
        <n v="1027.0"/>
        <n v="1028.0"/>
        <n v="1029.0"/>
        <n v="1030.0"/>
        <n v="1031.0"/>
        <n v="1032.0"/>
        <n v="1033.0"/>
        <n v="1034.0"/>
        <n v="1035.0"/>
        <n v="1036.0"/>
        <n v="1038.0"/>
        <n v="1039.0"/>
        <n v="1040.0"/>
        <n v="1041.0"/>
        <n v="1042.0"/>
        <s v="OLI-14042601"/>
        <n v="1043.0"/>
        <n v="1044.0"/>
        <n v="1045.0"/>
        <n v="1046.0"/>
        <n v="1047.0"/>
        <s v="OLI-15042601"/>
        <n v="1048.0"/>
        <n v="1050.0"/>
        <n v="1051.0"/>
        <n v="1052.0"/>
        <n v="1053.0"/>
        <n v="1054.0"/>
        <n v="1056.0"/>
        <n v="1057.0"/>
        <n v="1058.0"/>
        <n v="1059.0"/>
        <n v="1060.0"/>
        <n v="1061.0"/>
        <n v="1062.0"/>
        <n v="1063.0"/>
        <n v="1066.0"/>
        <s v="OLI-17042601"/>
        <n v="1067.0"/>
        <n v="1068.0"/>
        <n v="1069.0"/>
        <n v="1070.0"/>
        <n v="1071.0"/>
        <n v="1072.0"/>
        <n v="1073.0"/>
        <n v="1074.0"/>
        <n v="1075.0"/>
        <n v="1076.0"/>
        <n v="1077.0"/>
        <n v="1079.0"/>
        <s v="OLI-18042601"/>
        <n v="1081.0"/>
        <n v="1082.0"/>
        <n v="1083.0"/>
        <n v="1084.0"/>
        <n v="1085.0"/>
        <s v="OLI-19042601"/>
        <n v="1086.0"/>
        <n v="1087.0"/>
        <n v="1088.0"/>
        <n v="1090.0"/>
        <n v="1092.0"/>
        <n v="1094.0"/>
        <n v="1096.0"/>
        <n v="1097.0"/>
        <n v="1098.0"/>
        <n v="1099.0"/>
        <n v="1100.0"/>
        <n v="1101.0"/>
        <n v="1102.0"/>
        <n v="1103.0"/>
        <n v="1104.0"/>
        <n v="1105.0"/>
        <n v="1106.0"/>
        <s v="OLI-20042602"/>
        <n v="1107.0"/>
        <n v="1108.0"/>
        <n v="1109.0"/>
        <n v="1110.0"/>
        <n v="1111.0"/>
        <n v="1112.0"/>
        <n v="1113.0"/>
        <n v="1114.0"/>
        <n v="1115.0"/>
        <n v="1116.0"/>
        <n v="1117.0"/>
        <n v="1118.0"/>
        <n v="1119.0"/>
        <n v="1121.0"/>
        <n v="1122.0"/>
        <n v="1124.0"/>
        <n v="1125.0"/>
        <n v="1127.0"/>
        <n v="1129.0"/>
        <n v="1130.0"/>
        <n v="1131.0"/>
        <n v="1132.0"/>
        <n v="1133.0"/>
        <n v="1134.0"/>
        <n v="1135.0"/>
        <n v="1136.0"/>
        <n v="1137.0"/>
        <n v="1138.0"/>
        <n v="1140.0"/>
        <n v="1141.0"/>
        <n v="1142.0"/>
        <n v="1143.0"/>
        <n v="1144.0"/>
        <n v="1145.0"/>
        <n v="1146.0"/>
        <n v="1147.0"/>
        <n v="1148.0"/>
        <n v="1149.0"/>
        <n v="1150.0"/>
        <n v="1153.0"/>
        <n v="1154.0"/>
        <n v="1155.0"/>
        <n v="1156.0"/>
        <n v="1157.0"/>
        <n v="1159.0"/>
        <n v="1160.0"/>
        <n v="1161.0"/>
        <n v="1162.0"/>
        <n v="1163.0"/>
        <n v="1164.0"/>
        <n v="1165.0"/>
        <n v="1166.0"/>
        <n v="1167.0"/>
        <s v="OLI-26042601"/>
        <s v="OLI-26042602"/>
        <n v="1168.0"/>
        <n v="1169.0"/>
        <n v="1170.0"/>
        <n v="1171.0"/>
        <n v="1172.0"/>
        <n v="1173.0"/>
        <n v="1174.0"/>
        <n v="1175.0"/>
        <n v="1176.0"/>
        <n v="1177.0"/>
        <n v="1178.0"/>
        <n v="1179.0"/>
        <n v="1180.0"/>
        <n v="1181.0"/>
        <n v="1182.0"/>
        <n v="1183.0"/>
        <n v="1184.0"/>
        <n v="1186.0"/>
        <n v="1187.0"/>
        <n v="1188.0"/>
        <s v="OLI-27042601"/>
        <s v="OLI-27042602"/>
        <s v="OLI-27042603"/>
        <s v="OLI-27042604"/>
        <n v="1189.0"/>
        <n v="1190.0"/>
        <n v="1191.0"/>
        <n v="1192.0"/>
        <n v="1194.0"/>
        <n v="1196.0"/>
        <n v="1197.0"/>
        <n v="1198.0"/>
        <n v="1199.0"/>
        <n v="1200.0"/>
        <n v="1201.0"/>
        <n v="1202.0"/>
        <n v="1203.0"/>
        <n v="1204.0"/>
        <n v="1205.0"/>
        <n v="1206.0"/>
        <n v="1207.0"/>
        <n v="1208.0"/>
        <n v="1209.0"/>
        <n v="1210.0"/>
        <n v="1211.0"/>
        <n v="1212.0"/>
        <n v="1213.0"/>
        <n v="1215.0"/>
        <n v="1216.0"/>
        <n v="1217.0"/>
        <s v="OLI-30042601"/>
        <s v="OLI-30042602"/>
        <n v="1218.0"/>
        <n v="1220.0"/>
        <n v="1221.0"/>
        <n v="1222.0"/>
        <n v="1223.0"/>
        <n v="1224.0"/>
        <n v="1225.0"/>
        <n v="1226.0"/>
        <n v="1227.0"/>
        <n v="1228.0"/>
        <n v="1229.0"/>
        <n v="1231.0"/>
        <n v="1232.0"/>
        <n v="1233.0"/>
        <n v="1234.0"/>
        <n v="1235.0"/>
        <n v="1236.0"/>
        <n v="1237.0"/>
        <n v="1238.0"/>
        <n v="1239.0"/>
        <n v="1240.0"/>
        <n v="1241.0"/>
        <s v="OLI-02052601"/>
        <n v="1242.0"/>
        <n v="1243.0"/>
        <n v="1244.0"/>
        <n v="1245.0"/>
        <s v="OLI-03052601"/>
        <n v="1246.0"/>
        <n v="1247.0"/>
        <n v="1248.0"/>
        <n v="1249.0"/>
        <n v="1250.0"/>
        <n v="1251.0"/>
        <n v="1252.0"/>
        <n v="1253.0"/>
        <n v="1254.0"/>
        <n v="1255.0"/>
        <n v="1256.0"/>
        <n v="1257.0"/>
        <n v="1259.0"/>
        <n v="1260.0"/>
        <n v="1262.0"/>
        <n v="1263.0"/>
        <n v="1265.0"/>
        <n v="1267.0"/>
        <n v="1268.0"/>
        <n v="1269.0"/>
        <n v="1270.0"/>
        <n v="1272.0"/>
        <n v="1273.0"/>
        <n v="1274.0"/>
        <n v="1275.0"/>
        <s v="OLI-06052601"/>
        <s v="OLI-06052602"/>
        <n v="1276.0"/>
        <n v="1277.0"/>
        <n v="1278.0"/>
        <n v="1279.0"/>
        <n v="1280.0"/>
        <n v="1282.0"/>
        <n v="1283.0"/>
        <n v="1284.0"/>
        <n v="1286.0"/>
        <n v="1288.0"/>
        <n v="1289.0"/>
        <s v="OLI-07052601"/>
        <s v="OLI-07052602"/>
        <s v="OLI-07052603"/>
        <n v="1290.0"/>
        <n v="1291.0"/>
        <n v="1292.0"/>
        <n v="1293.0"/>
        <n v="1294.0"/>
        <n v="1295.0"/>
        <n v="1296.0"/>
        <n v="1298.0"/>
        <n v="1299.0"/>
        <n v="1300.0"/>
        <n v="1301.0"/>
        <n v="1302.0"/>
        <n v="1303.0"/>
        <n v="1304.0"/>
        <n v="1305.0"/>
        <n v="1306.0"/>
        <n v="1307.0"/>
        <n v="1308.0"/>
        <n v="1309.0"/>
        <n v="1310.0"/>
        <n v="1311.0"/>
        <n v="1312.0"/>
        <n v="1313.0"/>
        <n v="1314.0"/>
        <n v="1315.0"/>
        <n v="1316.0"/>
        <n v="1317.0"/>
        <n v="1318.0"/>
        <s v="OLI-09052602"/>
        <s v="OLI-09062601"/>
        <n v="1319.0"/>
        <n v="1321.0"/>
        <n v="1322.0"/>
        <s v="OLI-10052601"/>
        <n v="1325.0"/>
        <n v="1326.0"/>
        <n v="1328.0"/>
        <n v="1329.0"/>
        <n v="1330.0"/>
        <n v="1331.0"/>
        <n v="1332.0"/>
        <n v="1333.0"/>
        <n v="1334.0"/>
        <n v="1335.0"/>
        <n v="1336.0"/>
        <n v="1337.0"/>
        <n v="1338.0"/>
        <n v="1339.0"/>
        <n v="1340.0"/>
        <n v="1341.0"/>
        <n v="1342.0"/>
        <n v="1343.0"/>
        <n v="1344.0"/>
        <s v="OLI-12052601"/>
        <n v="1346.0"/>
        <n v="1347.0"/>
        <n v="1348.0"/>
        <n v="1349.0"/>
        <n v="1350.0"/>
        <n v="1351.0"/>
        <n v="1352.0"/>
        <n v="1353.0"/>
        <n v="1354.0"/>
        <n v="1357.0"/>
        <n v="1358.0"/>
        <n v="1359.0"/>
        <n v="1360.0"/>
        <n v="1362.0"/>
        <n v="1363.0"/>
        <n v="1364.0"/>
        <n v="1365.0"/>
        <n v="1366.0"/>
        <n v="1367.0"/>
        <n v="1368.0"/>
        <n v="1369.0"/>
        <n v="1370.0"/>
        <n v="1371.0"/>
        <s v="OLI-14052601"/>
        <n v="1372.0"/>
        <n v="1373.0"/>
        <n v="1374.0"/>
        <n v="1375.0"/>
        <n v="1376.0"/>
        <n v="1377.0"/>
        <n v="1378.0"/>
        <s v="OLI-15052601"/>
        <s v="OLI-15052602"/>
        <n v="1379.0"/>
        <n v="1380.0"/>
        <n v="1381.0"/>
        <n v="1382.0"/>
        <n v="1383.0"/>
        <n v="1384.0"/>
        <n v="1385.0"/>
        <n v="1386.0"/>
        <n v="1387.0"/>
        <n v="1389.0"/>
        <n v="1390.0"/>
        <n v="1391.0"/>
        <s v="OLI-16052601"/>
        <n v="1393.0"/>
        <n v="1395.0"/>
        <n v="1396.0"/>
        <n v="1398.0"/>
        <n v="1399.0"/>
        <n v="1400.0"/>
        <n v="1401.0"/>
        <n v="1402.0"/>
        <s v="OLI-18052601"/>
        <s v="OLI-18052602"/>
        <s v="OLI-18052603"/>
        <n v="1403.0"/>
        <n v="1404.0"/>
        <n v="1405.0"/>
        <n v="1406.0"/>
        <n v="1407.0"/>
        <n v="1410.0"/>
        <n v="1411.0"/>
        <n v="1412.0"/>
        <n v="1413.0"/>
        <n v="1414.0"/>
        <n v="1415.0"/>
        <n v="1416.0"/>
        <n v="1417.0"/>
        <n v="1419.0"/>
        <n v="1420.0"/>
        <n v="1421.0"/>
        <n v="1422.0"/>
        <n v="1423.0"/>
        <n v="1424.0"/>
        <n v="1425.0"/>
        <n v="1426.0"/>
        <n v="1427.0"/>
        <n v="1428.0"/>
        <n v="1429.0"/>
        <n v="1430.0"/>
        <n v="1432.0"/>
        <n v="1433.0"/>
        <n v="1434.0"/>
        <n v="1435.0"/>
        <n v="1436.0"/>
        <n v="1438.0"/>
        <s v="OLI-20052601"/>
        <n v="1440.0"/>
        <n v="1442.0"/>
        <n v="1443.0"/>
        <n v="1444.0"/>
        <n v="1445.0"/>
        <n v="1446.0"/>
        <n v="1447.0"/>
        <n v="1448.0"/>
        <n v="1449.0"/>
        <n v="1450.0"/>
        <s v="OLI-21052601"/>
        <s v="OLI-21052602"/>
        <s v="OLI-21052603"/>
        <n v="1451.0"/>
        <n v="1452.0"/>
        <n v="1453.0"/>
        <n v="1454.0"/>
        <n v="1455.0"/>
        <n v="1456.0"/>
        <n v="1457.0"/>
        <n v="1458.0"/>
        <n v="1459.0"/>
        <n v="1460.0"/>
        <n v="1461.0"/>
        <n v="1464.0"/>
        <n v="1465.0"/>
        <n v="1466.0"/>
        <n v="1467.0"/>
        <n v="1468.0"/>
        <n v="1469.0"/>
        <n v="1470.0"/>
        <n v="1471.0"/>
        <n v="1472.0"/>
        <n v="1473.0"/>
        <s v="OLI-23052601"/>
        <n v="1474.0"/>
        <n v="1475.0"/>
        <n v="1476.0"/>
        <s v="OLI-24052601"/>
        <s v="OLI-24052602"/>
        <n v="1477.0"/>
        <n v="1478.0"/>
        <n v="1480.0"/>
        <n v="1481.0"/>
        <n v="1482.0"/>
        <n v="1483.0"/>
        <n v="1484.0"/>
        <n v="1485.0"/>
        <n v="1486.0"/>
        <n v="1487.0"/>
        <n v="1488.0"/>
        <n v="1489.0"/>
        <n v="1490.0"/>
        <n v="1491.0"/>
        <n v="1492.0"/>
        <n v="1493.0"/>
        <n v="1494.0"/>
        <n v="1495.0"/>
        <n v="1496.0"/>
        <n v="1497.0"/>
        <n v="1499.0"/>
        <n v="1501.0"/>
        <n v="1502.0"/>
        <n v="1583.0"/>
        <n v="1505.0"/>
        <n v="1506.0"/>
        <n v="1507.0"/>
        <n v="1508.0"/>
        <n v="1509.0"/>
        <n v="1510.0"/>
        <n v="1511.0"/>
        <n v="1513.0"/>
        <n v="1514.0"/>
        <n v="1515.0"/>
        <n v="1516.0"/>
        <n v="1517.0"/>
        <s v="OLI-28012601"/>
        <n v="1518.0"/>
        <n v="1519.0"/>
        <n v="1520.0"/>
        <n v="1521.0"/>
        <n v="1522.0"/>
        <n v="1523.0"/>
        <n v="1525.0"/>
        <n v="1526.0"/>
        <n v="1527.0"/>
        <n v="1531.0"/>
        <n v="1532.0"/>
        <n v="1533.0"/>
        <n v="1534.0"/>
        <s v="OLI-29052601"/>
        <n v="1535.0"/>
        <n v="1536.0"/>
        <n v="1537.0"/>
        <n v="1540.0"/>
        <n v="1541.0"/>
        <n v="1542.0"/>
        <n v="1544.0"/>
        <n v="1545.0"/>
        <n v="1546.0"/>
        <n v="1547.0"/>
        <n v="1548.0"/>
        <n v="1549.0"/>
        <n v="1550.0"/>
        <n v="1551.0"/>
        <n v="1552.0"/>
        <s v="OLI-3106202601"/>
        <n v="1553.0"/>
        <n v="1555.0"/>
        <n v="1556.0"/>
        <n v="1557.0"/>
        <n v="1558.0"/>
        <n v="1559.0"/>
        <n v="1560.0"/>
        <n v="1561.0"/>
        <n v="1563.0"/>
        <n v="1564.0"/>
        <n v="1566.0"/>
        <s v="OLI-0106202601"/>
        <s v="OLI-0106202602"/>
        <s v="OLI-0106202603"/>
        <n v="1567.0"/>
        <n v="1568.0"/>
        <n v="1569.0"/>
        <n v="1570.0"/>
        <n v="1571.0"/>
        <n v="1572.0"/>
        <n v="1573.0"/>
        <n v="1574.0"/>
        <n v="1575.0"/>
        <n v="1576.0"/>
        <n v="1577.0"/>
        <n v="1578.0"/>
        <n v="1579.0"/>
        <s v="OLI-0206202601"/>
        <s v="OLI-0206202602"/>
        <n v="1581.0"/>
        <n v="1582.0"/>
        <n v="1584.0"/>
        <n v="1585.0"/>
        <n v="1586.0"/>
        <n v="1587.0"/>
        <n v="1588.0"/>
        <n v="1589.0"/>
        <n v="14590.0"/>
        <n v="1591.0"/>
        <n v="1592.0"/>
        <n v="1593.0"/>
        <n v="1594.0"/>
        <n v="1596.0"/>
        <n v="1597.0"/>
        <n v="1598.0"/>
        <n v="1599.0"/>
        <n v="1600.0"/>
        <n v="1602.0"/>
        <n v="1603.0"/>
        <n v="1604.0"/>
        <n v="1605.0"/>
        <n v="1606.0"/>
        <n v="1607.0"/>
        <n v="1608.0"/>
        <n v="1609.0"/>
        <n v="1610.0"/>
        <n v="1611.0"/>
        <s v="OLI-0506202601"/>
        <s v="OLI-0506202602"/>
        <n v="1612.0"/>
        <n v="1613.0"/>
        <n v="1614.0"/>
        <n v="1615.0"/>
        <n v="1616.0"/>
        <n v="1617.0"/>
        <n v="1618.0"/>
        <n v="1619.0"/>
        <n v="1620.0"/>
        <n v="1621.0"/>
        <n v="1622.0"/>
        <n v="1623.0"/>
        <s v="OLI-0606202601"/>
        <s v="OLI-06062602"/>
        <n v="1624.0"/>
        <n v="1625.0"/>
        <n v="1626.0"/>
        <n v="1627.0"/>
        <n v="1628.0"/>
        <n v="1629.0"/>
        <n v="1630.0"/>
        <n v="1631.0"/>
        <n v="1632.0"/>
        <s v="OLI-0706202601"/>
        <s v="OLI-0706202602"/>
        <n v="1633.0"/>
        <n v="1634.0"/>
        <n v="1636.0"/>
        <n v="1637.0"/>
        <n v="1638.0"/>
        <n v="1639.0"/>
        <n v="1640.0"/>
        <n v="1641.0"/>
        <n v="1642.0"/>
        <n v="1643.0"/>
        <n v="1644.0"/>
        <n v="1645.0"/>
        <n v="1646.0"/>
        <s v="OLI-0806202601"/>
        <n v="1648.0"/>
        <n v="1649.0"/>
        <n v="1650.0"/>
        <n v="1651.0"/>
        <n v="1652.0"/>
        <n v="1653.0"/>
        <n v="1655.0"/>
        <n v="1658.0"/>
        <n v="1662.0"/>
        <n v="1663.0"/>
        <n v="1664.0"/>
        <n v="1665.0"/>
        <n v="1666.0"/>
        <s v="OLI-0906202601"/>
        <n v="1667.0"/>
        <n v="1668.0"/>
        <n v="1669.0"/>
        <n v="1670.0"/>
        <n v="1671.0"/>
        <n v="1672.0"/>
        <n v="1673.0"/>
        <n v="1674.0"/>
        <n v="1675.0"/>
        <s v="OLI-1006202601"/>
        <s v="OLI-1006202602"/>
        <n v="1676.0"/>
        <n v="1677.0"/>
        <n v="1678.0"/>
        <n v="1679.0"/>
        <n v="1680.0"/>
        <n v="1681.0"/>
        <s v="OLI-1106202601"/>
        <s v="OLI-11062602"/>
        <s v="OLI-12062601"/>
        <s v="OLI-12062602"/>
        <n v="23.0"/>
        <n v="27.0"/>
        <s v="OLI-1306202601"/>
        <s v="OLI-1306202602"/>
        <n v="34.0"/>
        <n v="40.0"/>
        <n v="44.0"/>
        <n v="46.0"/>
        <s v="OLI-1606202601"/>
        <n v="51.0"/>
        <n v="69.0"/>
        <s v="OLI-18062601"/>
        <s v="OLI-18062602"/>
        <n v="77.0"/>
        <s v="OLI-21062601"/>
        <s v="OLI-21062602"/>
        <n v="99.0"/>
        <n v="108.0"/>
        <n v="135.0"/>
        <s v="OLI-2406202601"/>
        <s v="OLI-25062601"/>
        <n v="158.0"/>
        <n v="159.0"/>
        <s v="OLI-26062601"/>
        <n v="173.0"/>
        <s v="OLI-2706202601"/>
        <s v="OLI-2706202602"/>
        <s v="OLI-2906202601"/>
        <s v="OLI-2906202602"/>
        <n v="197.0"/>
        <n v="198.0"/>
        <s v="OLI-3006202601"/>
        <n v="213.0"/>
        <n v="220.0"/>
        <n v="222.0"/>
        <n v="227.0"/>
        <n v="230.0"/>
        <n v="239.0"/>
        <s v="OLI-05072026"/>
        <s v="OLI-0607202601"/>
        <s v="OLI-0607202602"/>
        <s v="OLI-0607202603"/>
        <s v="OLI-0607202604"/>
        <n v="262.0"/>
        <s v="OLI-0707202602"/>
        <s v="OLI-07072601"/>
        <n v="276.0"/>
        <n v="278.0"/>
        <n v="280.0"/>
        <s v="OLI-0807202601"/>
        <s v="OLI-08072602"/>
        <n v="290.0"/>
        <n v="294.0"/>
        <n v="299.0"/>
        <n v="302.0"/>
        <s v="OLI-1007202601"/>
        <s v="OLI-1007202602"/>
        <s v="OLI-1107202601"/>
        <s v="OLI-1107202602"/>
        <n v="321.0"/>
        <s v="OLI-1207202601"/>
        <s v="OLI-1307202601"/>
        <s v="OLI-1407202601"/>
        <s v="OLI-1407202602"/>
        <s v="OLI-1407202603"/>
        <n v="344.0"/>
        <n v="345.0"/>
        <n v="351.0"/>
        <s v="OLI-1607202601"/>
        <s v="OLI-1707202601"/>
        <s v="OLI-1807202601"/>
        <s v="OLI-1807202602"/>
        <s v="OLI-1807202603"/>
        <s v="OLI-1807202605"/>
        <s v="OLI-22072026"/>
        <n v="403.0"/>
        <s v="OLI-2307202601"/>
        <s v="OLI-2307202602"/>
        <s v="OLI-2307202603"/>
        <n v="408.0"/>
        <n v="422.0"/>
        <s v="OLI-2507202601"/>
        <n v="424.0"/>
        <n v="430.0"/>
        <s v="OLI-26072026"/>
        <n v="440.0"/>
        <n v="444.0"/>
        <n v="455.0"/>
        <s v="OLI-3007202601"/>
        <s v="OLI-3007202602"/>
        <s v="OLI-3101202601"/>
        <s v="OLI-3101202602"/>
        <s v="OLI-0108202601"/>
        <s v="OLI-0108202602"/>
        <n v="479.0"/>
        <n v="486.0"/>
        <n v="497.0"/>
        <s v="OLI-0308202601"/>
        <s v="OLI-0308202602"/>
        <s v="OLI-0308202603"/>
        <s v="OLI-0308202604"/>
        <n v="510.0"/>
        <n v="522.0"/>
        <s v="OLI-0508202601"/>
        <n v="534.0"/>
        <s v="OLI-0708202601"/>
        <n v="546.0"/>
        <s v="OLI-0808202601"/>
        <s v="OLI-0808202602"/>
        <s v="OLI-0808202603"/>
        <n v="568.0"/>
        <s v="OLI-1108202601"/>
        <n v="590.0"/>
        <n v="603.0"/>
        <n v="617.0"/>
        <n v="620.0"/>
        <n v="626.0"/>
        <n v="627.0"/>
        <s v="OLI-1408202601"/>
        <s v="OLI-1408202602"/>
        <s v="OLI-1508202601"/>
        <s v="OLI-1908202601"/>
        <s v="OLI-2008202601"/>
        <s v="OLI-2008202602"/>
        <n v="671.0"/>
        <n v="673.0"/>
        <d v="2026-07-25T00:00:00Z"/>
        <s v="OLI-2208202602"/>
        <s v="OLI-2308202602"/>
        <s v="OLI-2408202601"/>
        <n v="688.0"/>
        <n v="689.0"/>
        <s v="OLI-2508202601"/>
        <s v="OLI-2508202602"/>
        <s v="OLI-2508202603"/>
        <s v="OLI-2608202601"/>
        <n v="713.0"/>
        <n v="746.0"/>
        <s v="OLI-2908202601"/>
        <s v="OLI-3008202601"/>
        <n v="763.0"/>
        <n v="769.0"/>
        <s v="OLI-0109202601"/>
        <s v="OLI-0109202602"/>
        <s v="OLI-0109202603"/>
        <n v="785.0"/>
        <s v="OLI-0209202601"/>
        <s v="OLI-0309202601"/>
        <s v="OLI-0309202602"/>
        <s v="OLI-0409202601"/>
        <s v="OLI-0609202601"/>
        <s v="OLI-0609202602"/>
        <n v="836.0"/>
        <n v="840.0"/>
        <s v="OLI-0809202601"/>
        <n v="851.0"/>
        <s v="oli.09/09/2601"/>
        <n v="855.0"/>
        <n v="862.0"/>
        <s v="Oli-12092602"/>
        <s v="oli/12/09/26/1"/>
        <s v="OLI-1409202602"/>
        <s v="oli/14/09/2601"/>
        <n v="898.0"/>
        <s v="oli/15/09/2601"/>
        <n v="910.0"/>
        <s v="oli/16/09/2601"/>
        <n v="911.0"/>
        <n v="913.0"/>
        <s v="OLI-1709202601"/>
        <n v="927.0"/>
        <s v="OLI-1909202604"/>
        <s v="OLI-19092601"/>
        <s v="oli/19/09/2601"/>
        <s v="oli/20/09/2601"/>
        <s v="OLI/22/09/2601"/>
        <s v="OLI/23/09/2601"/>
        <n v="977.0"/>
        <n v="981.0"/>
        <n v="982.0"/>
      </sharedItems>
    </cacheField>
    <cacheField name="Item" numFmtId="0">
      <sharedItems containsBlank="1">
        <s v="GT 185/65 15 ECOTEC"/>
        <s v="Balancing 30"/>
        <s v="Bongkar Pasang"/>
        <s v="SPOORING"/>
        <s v="HANKOOK 185/70 14"/>
        <s v="Dunlop 205/65 15 SP SPORT"/>
        <s v="Dunlop 175/13 LT5"/>
        <s v="Dunlop 185/14 LT5"/>
        <s v="Baut Camber"/>
        <s v="Advance 750/16 GL672D"/>
        <s v="GT 175/13 MAXMILLER"/>
        <s v="Bridgestone 185/14 Duravis"/>
        <s v="GT 215/55 17 CHAMPIRO GTX PRO"/>
        <s v="Flap 15 GT"/>
        <s v="Dunlop 165/13 LT5"/>
        <s v="SERVICE"/>
        <s v="SPOORING SS/CARRY LOS BAK"/>
        <s v="Bridgestone 175/13 Duravis"/>
        <s v="GT 165/80 13 ECOTEC"/>
        <s v="Baut Camber ss-carry"/>
        <s v="Dunlop 185/70 14 SP10"/>
        <s v="Bridgestone 235/75 15 Dueler H/T 689"/>
        <s v="NITROGEN"/>
        <s v="G. YEAR 195/70 14 ADP2"/>
        <s v="Dunlop 175/70 13 TOURING"/>
        <s v="Bongkar Pasang 17"/>
        <s v="Balancing 60"/>
        <s v="Dunlop 215/65 16 ST20"/>
        <s v="BD 14 Truckoor"/>
        <s v="BD 13 Truckoor"/>
        <s v="GT 195/50 16 GTX PRO"/>
        <s v="Dunlop 205/65 16 EC300"/>
        <s v="GT 175/70 13 ECOTEC"/>
        <s v="Dunlop 175/65 14 EC300"/>
        <s v="GT 600/13 8PR"/>
        <s v="Bridgestone 185/65 15 Ecopia"/>
        <s v="GT 500/12 8PR"/>
        <s v="GT 165/13 MAXMILLER"/>
        <s v="Bridgestone 185/70 14 Ecopia"/>
        <s v="Dunlop 225/65 17 ST30"/>
        <s v="GT 550/13 8PR"/>
        <s v="Dunlop 185/65 15 EC300"/>
        <s v="ACCELERA 215/35 18 SIGMA"/>
        <s v="G. YEAR 155/80 12 DP"/>
        <s v="Lower Arm (Sayap)"/>
        <s v="HANKOOK 255/45 20 K127A"/>
        <s v="Dunlop 185/80 14 SP TOURING"/>
        <s v="BD 16 GT"/>
        <s v="Flap 16 Truckoor"/>
        <s v="GT 205/65 16 ECOTEC"/>
        <s v="HANKOOK 175/65 14"/>
        <s v="Accelera 185/70 14"/>
        <s v="Bridgestone 175/65 14 Ecopia"/>
        <s v="Bridgestone 750/15 MRD"/>
        <s v="BD 15 GT"/>
        <s v="Bridgestone 165/13 Duravis"/>
        <s v="Dunlop 205/45 17 DIREZA"/>
        <s v="Bridgestone 205/65 15 Turanza"/>
        <s v="Aspira 750/16 Kasar"/>
        <s v="GT 750/15 12PR"/>
        <s v="Bridgestone 750/16 MRN"/>
        <s v="Advance 750/16 GLG71A+"/>
        <s v="Dunlop 205/55 17 ENASEV"/>
        <s v="Bridgestone 195/70 14 Ecopia"/>
        <s v="Dunlop 195/70 14 TOURING"/>
        <s v="GT 195/65 15 ECOTEC"/>
        <s v="SAILUN 175/13 8PR"/>
        <s v="Flap 16 GT"/>
        <s v="GT 700/14 8PR"/>
        <s v="GT 175/65 14 CHAMPIRO ECOTEC"/>
        <s v="Bridgestone 205/45 17 Techno Sport"/>
        <s v="TAMBAL TUBLES"/>
        <s v="Bridgestone 185/80 14 Techno"/>
        <s v="BD 15 GT P. Pendek"/>
        <s v="BD 15 Bridgestone"/>
        <s v="Forceum 175/13"/>
        <s v="Dunlop 165/80 13 HIMEX"/>
        <s v="GT 215/65 16 ECOTEC"/>
        <s v="GT 750/16 HAPPY DUTY"/>
        <s v="Dunlop 185/55 15 EC300"/>
        <s v="Dunlop 195/65 15 EC300"/>
        <s v="GT 185/14 MAXMILLER"/>
        <s v="Bridgestone 195/65 15 Ecopia"/>
        <s v="Bridgestone 185/80 14 Ecopia"/>
        <s v="BD 14 GT"/>
        <s v="PENTIL + PASANG"/>
        <s v="GT 195/60 16 ECOTEC"/>
        <s v="BD 13 GT"/>
        <s v="Bridgestone 205/65 16 Ecopia"/>
        <s v="GT 215/45 17 GTX PRO"/>
        <s v="Dunlop 215/60 17 EC300"/>
        <s v="BD 16 Truckoor"/>
        <s v="GT 185/70 14 ECOTEC"/>
        <s v="Bridgestone 185/55 15 Techno"/>
        <s v="Bridgestone 195/60 16 Ecopia"/>
        <s v="Accelera 235/75 15 at omicron"/>
        <s v="Dunlop 205/60 16 EC300"/>
        <s v="Dunlop 195/14 LT5"/>
        <s v="Duratun 750/15 G51"/>
        <s v="G. YEAR 750/16 2020 HD"/>
        <s v="BD 13 IBK"/>
        <s v="GT 31X10.50 R15 MT"/>
        <s v="Dunlop 750/16 12PR"/>
        <s v="Dunlop 155/80 12 SP10"/>
        <s v="BD 12 NYB"/>
        <s v="GT 640/13 8PR"/>
        <s v="BD 15 Indotube P. Pendek"/>
        <s v="Dunlop 235/60 16 ST20"/>
        <s v="Bridgestone 205/65 15 Ecopia"/>
        <s v="GT 205/65 15 CHAMPIRO ECOTEC"/>
        <s v="G. YEAR 205/65 16 ADP2"/>
        <s v="Bridgestone 185/80 14 Techno 248"/>
        <s v="GT 175/70 12 BXT PLUS"/>
        <s v="Accelera 175/65 14"/>
        <s v="BD 16 KCN"/>
        <s v="BD 15 Truckoor"/>
        <s v="GT 205/50 16 Champiro SX2"/>
        <s v="PENTIL"/>
        <s v="Dunlop 205/65 15 EC300"/>
        <s v="Dunlop 215/55 17 SPORTMAXX"/>
        <s v="Dunlop 185/55 16 EC300"/>
        <s v="BD 16 Bridgestone"/>
        <s v="Dunlop 215/45 17 DIREZA"/>
        <s v="GT 205/65 16 CHAMPIRO LUXE"/>
        <s v="BD 14 NYB"/>
        <s v="Bridgestone 900*20"/>
        <s v="BD 900*20 Bridgestone"/>
        <s v="Flap 900 Bridgestone"/>
        <s v="Sailun 185/14 8PR"/>
        <s v="TIEROD 48810/20"/>
        <s v="GT 205/70 15 SAVERO SUV"/>
        <s v="Dunlop 165/65 13 SP TOURING"/>
        <s v="Flap 15 INDOTUBE"/>
        <s v="GT 185/60 14 GTX PRO"/>
        <s v="GT 165/65 13 ECOTEC"/>
        <s v="MAXXIS 285/60 18 AT"/>
        <s v="Laufen 185/70 14"/>
        <s v="Dunlop 265/60 18 GRANDTREK"/>
        <s v="Bridgestone 235/60 18"/>
        <s v="Bridgestone 215/60 17 Alenza"/>
        <s v="Flap 16 NYB"/>
        <s v="GT 235/60 16 SAVERO SUV"/>
        <s v="Bridgestone 185/60 15 Ecopia"/>
        <s v="Michelin 205/75 14"/>
        <s v="GT 185/55 15 ECOTEC"/>
        <s v="Dunlop 185/60 15 EC300"/>
        <s v="Bridgestone 185/65 15 Techno"/>
        <s v="GT 195/55 15 GTX PRO"/>
        <s v="Laufen 175/65 14"/>
        <s v="GT 700/12 12PR GRIP"/>
        <s v="BD 700/12 Powerclip GT"/>
        <s v="Flap 12 Forklift GT"/>
        <s v="ADVANCE 750/16 GL279A+ CACING"/>
        <s v="GT 195/60 15 CHAMPIRO GTX"/>
        <s v="Bridgestone 195/55 16 Techno Sport"/>
        <s v="Bridgestone 165/80 13 Ecopia"/>
        <s v="Bridgestone 205/55 16 Ecopia"/>
        <s v="GT 195/70 14 ECOTEC"/>
        <s v="GT 185/80 14 ECOTEC"/>
        <s v="Bridgestone 205/55 16 Techno Sport"/>
        <s v="Dunlop 205/55 16 EC300"/>
        <s v="Bridgestone 175/70 13 Ecopia"/>
        <s v="Dunlop 195/60 15 SP TOURING"/>
        <s v="Micelin 175/80 13 XCD2"/>
        <s v="GT 185/55 16 GTX"/>
        <s v="GT 195/55 16 GTX PRO"/>
        <s v="Long Tierod APV"/>
        <s v="Dunlop 185/70 14 ENASEV"/>
        <s v="GT 205/45 17 GTX PRO"/>
        <s v="Bridgestone 185/55 16 Techno Sport"/>
        <s v="Bridgestone 235/60 16 D687"/>
        <s v="GT 225/65 17 SAVERO"/>
        <s v="GT 205/50 17 CHAMPIRO ECOTEC"/>
        <s v="GT 225/75 16 MAXMILLER"/>
        <s v="Dunlop 195/65 15 SPRILL Z"/>
        <s v="Dunlop 195/55 16 EC300"/>
        <s v="GT 195/60 15 ECOTEC"/>
        <s v="GT 205/55 16 GTX PRO"/>
        <s v="GT 215/65 16 SAVERO SUV"/>
        <s v="DUNLOP 225/60 18 SPORTMAXX"/>
        <s v="GiTi 750/16 GAR"/>
        <s v="Bridgestone 1000*20"/>
        <s v="BD 1000 Bridgestone"/>
        <s v="Flap 1000*20 Bridgestone"/>
        <s v="Dunlop 195/60 16 EC300"/>
        <s v="Advance 750/16 k. tahu GL909A"/>
        <s v="TIRON 750/16"/>
        <s v="Flap 15 Truckoor"/>
        <s v="GiTi 750/16 GAZ"/>
        <s v="G. YEAR 185/60 15 ADP2"/>
        <s v="TIRON 750/15 12PR"/>
        <s v="Laufen 205/65 15"/>
        <s v="BD 14 Aspira"/>
        <s v="Bridgestone 265/65 17 Dueler 684"/>
        <s v="Flap 16 Aspira"/>
        <s v="Bridgestone 185/60 15 TECHNO"/>
        <s v="GT 205/70 15 ECOTEC"/>
        <s v="Baut Roda 12x1.5"/>
        <s v="Michellin 195/75 14 XCD2"/>
        <s v="BD 15 Aspira P. Pendek"/>
        <s v="Michelin 175/13 XCD2"/>
        <s v="Bridgestone 225/65 17 Dueler HT 470"/>
        <s v="VELG 16 ORISINIL TOPY"/>
        <s v="Flap 16 Bridgestone"/>
        <s v="Bridgestone 195/70 14 Turanza T005A"/>
        <s v="Hankook 185/65 15"/>
        <s v="Advance 750/15 radial fullset"/>
        <s v="Dunlop 215/50 17 LM705"/>
        <s v="GT 185/60 15 ECOTEC"/>
        <s v="Hankook 27*8.50 14"/>
        <s v="GT 11.00 * 20 SUPER"/>
        <s v="Flap 20 INDOTUBE"/>
        <s v="Press BOS stir"/>
        <s v="Dunlop 205/70 15 LM"/>
        <s v="BD 14 IBK"/>
        <s v="Bridgestone 195/55 15 Techno"/>
        <s v="GT 215/60 17 SAVERO SUV"/>
        <s v="Velg 16  XM LB6  12 ML"/>
        <s v="BD 15 NYB"/>
        <s v="Bridgestone 215/55 17 Turanza E33"/>
        <s v="GT 265/65 17 SAV AT+"/>
        <s v="GT 235/50 18 Champiro HPY"/>
        <s v="BD 16 SJ"/>
        <s v="BD 15 KCN"/>
        <s v="Flap 16 Plus Plat"/>
        <s v="Hankook 195/65 15"/>
        <s v="GT 600/9 10 PR GRIP"/>
        <s v="BD 600/9 D GT"/>
        <s v="Flap Forklift 600*9 GT"/>
        <s v="Dunlop 185/60 15 TOURING"/>
        <s v="GT 185/55 15 CHAMPIRO BTX"/>
        <s v="hankook 225/55 19"/>
        <s v="Accelera 215/55 17"/>
        <s v="Dunlop 265/65 17 AT25"/>
        <s v="Velg 14*15J Kosei'"/>
        <s v="HANKOOK 175/13"/>
        <s v="VELG 16 ROBAHAN CANTER"/>
        <s v="HANKOOK 225/60 18 "/>
        <s v="GT 185/60 15 GTX"/>
        <s v="GT 265/60 18 SAV A/T+"/>
        <s v="Laufen 185/65 15 G FIT AS"/>
        <s v="Bridgestone 215/45 17 Techno Sport"/>
        <s v="Bridgestone 195/60 15 Techno"/>
        <s v="BD 16 Bestone"/>
        <s v="Dunlop 185/65 15 SP300"/>
        <s v="TIRON 750/16 HD"/>
        <s v="GT 185/60 14 ECOTEC"/>
        <s v="Bridgestone 195/50 16 Techno"/>
        <s v="Shell Helix HX3 20W-50 4 Liter"/>
        <s v="Pertamina Prima XP 20W-50 1 Liter"/>
        <s v="Shell Helix HX6 4 Liter"/>
        <s v="Bridgestone 195/15"/>
        <s v="Shell Helix HX5 15W-40 4 Liter"/>
        <s v="Castrol Magnetic Stop-Star 5W-30  4 Liter"/>
        <s v="Shell Helix HX6 10W-40 1 Liter"/>
        <s v="Pertamina Prima XP 20W-50 4 Liter"/>
        <s v="Shell Helix HX7 4 Liter"/>
        <s v="Shell Rimula R4 5 Liter"/>
        <s v="Pertamina Meditran SX 10 Liter"/>
        <s v="Tierod Grandmax + Pasang"/>
        <s v="GT 1000*20"/>
        <s v="Sakura  filter oli SS/Tayo"/>
        <s v="Aspira  Filter Oli Avaza-Agya"/>
        <s v="Karet Support + Pasang  "/>
        <s v="Laufen 215/55 17 S FIT AS"/>
        <s v="Goodride 750/16 "/>
        <s v="HANKOOK 195/55 16"/>
        <s v="Shell Rimula R4 1 Liter"/>
        <s v="Laufen 195/65 15 G Fit AS"/>
        <s v="Dunlop 195/50 16 EC300"/>
        <s v="Denso  Filter Oli Innova Solar"/>
        <s v="GT 28 X 9 - 15  Forklift Specta Grip"/>
        <s v="BD 28X9 15 GT"/>
        <s v="DUNLOP 195/65 16 EC300"/>
        <s v="Laufen 175/13  X FIT VA"/>
        <s v="GT 900*20"/>
        <s v="Velg 16  XM LB6  10 ML"/>
        <s v="Sakura  filter oli Carry"/>
        <s v="GT 650/10 10PR"/>
        <s v="Bridgestone 205/65 15 Turanza T6"/>
        <s v="BD IBK 15 Pentil Pendek"/>
        <s v="BD 650/10 GT"/>
        <s v="Shell Helix HX5 15W-40 1 Liter"/>
        <s v="Advance 1000/20 GL662A+"/>
        <s v="GT 265/70 17 Komodo MT"/>
        <s v="GT 185/55 15 Champiro GTX"/>
        <s v="Duratun 750/16 LT Y601"/>
        <s v="BD 16 NYB"/>
        <s v="Castrol Magnetic Stop-Star 5W-30  1 Liter"/>
        <s v="IBK light 16 BD"/>
        <s v="IBK 15 BD"/>
        <s v="GT 225/60 17 Savero SUV"/>
        <s v="G. YEAR 750/15 SET"/>
        <s v="Sailun 195/65 15 Atrezzo"/>
        <s v="Dunlop 215/50 17 DZ102"/>
        <s v="Castrol Magnetic 10W-40  4 Liter"/>
        <s v="GT 235/75 15 Savero MT"/>
        <s v="Aspira  Filter Oli Innova Bensin"/>
        <s v="GT 215/55 17 SAVERO SUV"/>
        <s v="Shell Helix HX7 1 Liter"/>
        <s v="Sailun 185/65 15 Artezzo"/>
        <s v="Dunlop 165/80 13 TOURING"/>
        <s v="Denso  Filter Oli Innova Bensin"/>
        <s v="DUNLOP 185/65 14 EC300 ENASAVE"/>
        <s v="BD 8.25 TRUCKOOR"/>
        <s v="HanKOOK 165/80 13 k435"/>
        <s v="GT 700/16 Super 88"/>
        <s v="DUNLOP 205/70 15 Blue Response"/>
        <s v="Filter oli ORI KW  "/>
        <s v="JF  KARET SUPPORT"/>
        <s v="Aspira  Filter Oli Colt diesel"/>
        <s v="ICOSON Filter Oli APV/FUTURA"/>
        <s v="ICOSON Filter Oli Avanza"/>
        <s v="Velg 16 CEMAX 750-20 14"/>
        <s v="Flap 15 Cleon"/>
        <s v="Pertamina 4 Liter FASTRON GOLD 5W-40"/>
        <s v="Stabil link avanza  JF"/>
        <s v="RACK END Avanza JF"/>
        <s v="Suzuki  Lonceng"/>
        <m/>
      </sharedItems>
    </cacheField>
    <cacheField name="QTY" numFmtId="4">
      <sharedItems containsString="0" containsBlank="1" containsNumber="1" containsInteger="1">
        <n v="2.0"/>
        <n v="1.0"/>
        <n v="4.0"/>
        <n v="7.0"/>
        <n v="3.0"/>
        <n v="5.0"/>
        <n v="13.0"/>
        <n v="15.0"/>
        <n v="16.0"/>
        <n v="12.0"/>
        <n v="8.0"/>
        <n v="10.0"/>
        <n v="11.0"/>
        <n v="20.0"/>
        <n v="14.0"/>
        <n v="6.0"/>
        <n v="9.0"/>
        <m/>
      </sharedItems>
    </cacheField>
    <cacheField name="Price" numFmtId="165">
      <sharedItems containsString="0" containsBlank="1" containsNumber="1" containsInteger="1">
        <n v="670000.0"/>
        <n v="30000.0"/>
        <n v="130000.0"/>
        <n v="625000.0"/>
        <n v="900000.0"/>
        <n v="700000.0"/>
        <n v="830000.0"/>
        <n v="250000.0"/>
        <n v="2050000.0"/>
        <n v="640000.0"/>
        <n v="1020000.0"/>
        <n v="60000.0"/>
        <n v="150000.0"/>
        <n v="110000.0"/>
        <n v="790000.0"/>
        <n v="530000.0"/>
        <n v="890000.0"/>
        <n v="200000.0"/>
        <n v="660000.0"/>
        <n v="1285000.0"/>
        <n v="15000.0"/>
        <n v="1230000.0"/>
        <n v="645000.0"/>
        <n v="560000.0"/>
        <n v="50000.0"/>
        <n v="45000.0"/>
        <n v="1035000.0"/>
        <n v="115000.0"/>
        <n v="95000.0"/>
        <n v="730000.0"/>
        <n v="880000.0"/>
        <n v="520000.0"/>
        <n v="635000.0"/>
        <n v="585000.0"/>
        <n v="860000.0"/>
        <n v="820000.0"/>
        <n v="400000.0"/>
        <n v="90000.0"/>
        <n v="775000.0"/>
        <n v="1050000.0"/>
        <n v="525000.0"/>
        <n v="780000.0"/>
        <n v="870000.0"/>
        <n v="630000.0"/>
        <n v="550000.0"/>
        <n v="750000.0"/>
        <n v="10000.0"/>
        <n v="20000.0"/>
        <n v="25000.0"/>
        <n v="825000.0"/>
        <n v="225000.0"/>
        <n v="1950000.0"/>
        <n v="620000.0"/>
        <n v="230000.0"/>
        <n v="755000.0"/>
        <n v="760000.0"/>
        <n v="650000.0"/>
        <n v="120000.0"/>
        <n v="740000.0"/>
        <n v="680000.0"/>
        <n v="80000.0"/>
        <n v="1385000.0"/>
        <n v="540000.0"/>
        <n v="1185000.0"/>
        <n v="1825000.0"/>
        <n v="675000.0"/>
        <n v="1250000.0"/>
        <n v="1670000.0"/>
        <n v="65000.0"/>
        <n v="70000.0"/>
        <n v="770000.0"/>
        <n v="1125000.0"/>
        <n v="785000.0"/>
        <n v="685000.0"/>
        <n v="835000.0"/>
        <n v="40000.0"/>
        <n v="800000.0"/>
        <n v="100000.0"/>
        <n v="570000.0"/>
        <n v="1260000.0"/>
        <n v="260000.0"/>
        <n v="190000.0"/>
        <n v="765000.0"/>
        <n v="220000.0"/>
        <n v="580000.0"/>
        <n v="840000.0"/>
        <n v="1585000.0"/>
        <n v="885000.0"/>
        <n v="1580000.0"/>
        <n v="565000.0"/>
        <n v="1225000.0"/>
        <n v="627500.0"/>
        <n v="160000.0"/>
        <n v="690000.0"/>
        <n v="590000.0"/>
        <n v="135000.0"/>
        <n v="35000.0"/>
        <n v="985000.0"/>
        <n v="665000.0"/>
        <n v="1005000.0"/>
        <n v="180000.0"/>
        <n v="815000.0"/>
        <n v="1045000.0"/>
        <n v="1600000.0"/>
        <n v="75000.0"/>
        <n v="545000.0"/>
        <n v="1100000.0"/>
        <n v="1040000.0"/>
        <n v="745000.0"/>
        <n v="655000.0"/>
        <n v="1280000.0"/>
        <n v="970000.0"/>
        <n v="500000.0"/>
        <n v="1695000.0"/>
        <n v="1460000.0"/>
        <n v="1400000.0"/>
        <n v="1530000.0"/>
        <n v="12500.0"/>
        <n v="62500.0"/>
        <n v="1265000.0"/>
        <n v="415000.0"/>
        <n v="1200000.0"/>
        <n v="695000.0"/>
        <n v="1120000.0"/>
        <n v="1010000.0"/>
        <n v="235000.0"/>
        <n v="1680000.0"/>
        <n v="140000.0"/>
        <n v="960000.0"/>
        <n v="720000.0"/>
        <n v="1425000.0"/>
        <n v="270000.0"/>
        <n v="725000.0"/>
        <n v="935000.0"/>
        <n v="1270000.0"/>
        <n v="515000.0"/>
        <n v="1370000.0"/>
        <n v="980000.0"/>
        <n v="1665000.0"/>
        <n v="2800000.0"/>
        <n v="915000.0"/>
        <n v="55000.0"/>
        <n v="600000.0"/>
        <n v="950000.0"/>
        <n v="510000.0"/>
        <n v="2410000.0"/>
        <n v="575000.0"/>
        <n v="1850000.0"/>
        <n v="1790000.0"/>
        <n v="1410000.0"/>
        <n v="810000.0"/>
        <n v="1960000.0"/>
        <n v="965000.0"/>
        <n v="1650000.0"/>
        <n v="170000.0"/>
        <n v="1170000.0"/>
        <n v="85000.0"/>
        <n v="850000.0"/>
        <n v="1275000.0"/>
        <n v="1470000.0"/>
        <n v="1130000.0"/>
        <n v="925000.0"/>
        <n v="920000.0"/>
        <n v="1220000.0"/>
        <n v="710000.0"/>
        <n v="1565000.0"/>
        <n v="350000.0"/>
        <n v="1240000.0"/>
        <n v="837500.0"/>
        <n v="1000000.0"/>
        <n v="940000.0"/>
        <n v="610000.0"/>
        <n v="1450000.0"/>
        <n v="2155000.0"/>
        <n v="3560000.0"/>
        <n v="300000.0"/>
        <n v="105000.0"/>
        <n v="2260000.0"/>
        <n v="1750000.0"/>
        <n v="637500.0"/>
        <n v="2125000.0"/>
        <n v="1525000.0"/>
        <n v="1235000.0"/>
        <n v="2100000.0"/>
        <n v="2115000.0"/>
        <n v="535000.0"/>
        <n v="910000.0"/>
        <n v="1610000.0"/>
        <n v="145000.0"/>
        <n v="1290000.0"/>
        <n v="1320000.0"/>
        <n v="1430000.0"/>
        <n v="1500000.0"/>
        <n v="995000.0"/>
        <n v="555000.0"/>
        <n v="4000000.0"/>
        <n v="205000.0"/>
        <n v="1350000.0"/>
        <n v="1060000.0"/>
        <n v="2150000.0"/>
        <n v="865000.0"/>
        <n v="1620000.0"/>
        <n v="1325000.0"/>
        <n v="1300000.0"/>
        <n v="1150000.0"/>
        <n v="2112500.0"/>
        <n v="175000.0"/>
        <n v="712500.0"/>
        <n v="1345000.0"/>
        <n v="1215000.0"/>
        <n v="1365000.0"/>
        <n v="1900000.0"/>
        <n v="930000.0"/>
        <n v="715000.0"/>
        <n v="1575000.0"/>
        <n v="1700000.0"/>
        <n v="125000.0"/>
        <n v="875000.0"/>
        <n v="1630000.0"/>
        <n v="990000.0"/>
        <n v="945000.0"/>
        <n v="1645000.0"/>
        <n v="1180000.0"/>
        <n v="1635000.0"/>
        <n v="1570000.0"/>
        <n v="1520000.0"/>
        <n v="1660000.0"/>
        <n v="2130000.0"/>
        <n v="735000.0"/>
        <n v="215000.0"/>
        <n v="320000.0"/>
        <n v="705000.0"/>
        <n v="1075000.0"/>
        <n v="762500.0"/>
        <n v="280000.0"/>
        <n v="3350000.0"/>
        <n v="682500.0"/>
        <n v="1710000.0"/>
        <n v="855000.0"/>
        <n v="2200000.0"/>
        <n v="895000.0"/>
        <n v="2500000.0"/>
        <n v="977000.0"/>
        <n v="707000.0"/>
        <n v="738500.0"/>
        <n v="868000.0"/>
        <n v="809000.0"/>
        <n v="480000.0"/>
        <n v="909000.0"/>
        <n v="2625000.0"/>
        <n v="789000.0"/>
        <n v="912000.0"/>
        <n v="4350000.0"/>
        <n v="1810000.0"/>
        <n v="1390000.0"/>
        <n v="2070000.0"/>
        <n v="1025000.0"/>
        <n v="390000.0"/>
        <n v="1210000.0"/>
        <n v="28000.0"/>
        <n v="1875000.0"/>
        <n v="1085000.0"/>
        <n v="345000.0"/>
        <n v="430000.0"/>
        <n v="325000.0"/>
        <n v="210000.0"/>
        <n v="1135000.0"/>
        <n v="1625000.0"/>
        <n v="23000.0"/>
        <n v="2040000.0"/>
        <n v="240000.0"/>
        <n v="360000.0"/>
        <n v="450000.0"/>
        <n v="185000.0"/>
        <n v="340000.0"/>
        <n v="1985000.0"/>
        <n v="385000.0"/>
        <n v="475000.0"/>
        <n v="370000.0"/>
        <n v="2650000.0"/>
        <n v="380000.0"/>
        <n v="2080000.0"/>
        <n v="2750000.0"/>
        <n v="702000.0"/>
        <n v="1725000.0"/>
        <n v="4450000.0"/>
        <n v="470000.0"/>
        <n v="845000.0"/>
        <n v="2180000.0"/>
        <n v="275000.0"/>
        <m/>
      </sharedItems>
    </cacheField>
    <cacheField name="Discon" numFmtId="165">
      <sharedItems containsString="0" containsBlank="1" containsNumber="1" containsInteger="1">
        <n v="0.0"/>
        <m/>
        <n v="15000.0"/>
        <n v="20000.0"/>
        <n v="50000.0"/>
        <n v="35000.0"/>
        <n v="25000.0"/>
        <n v="7500.0"/>
        <n v="5000.0"/>
        <n v="250000.0"/>
        <n v="10000.0"/>
        <n v="200000.0"/>
        <n v="230000.0"/>
        <n v="40000.0"/>
        <n v="270000.0"/>
        <n v="30000.0"/>
        <n v="7000.0"/>
        <n v="8500.0"/>
        <n v="8000.0"/>
        <n v="9000.0"/>
        <n v="85000.0"/>
        <n v="90000.0"/>
        <n v="45000.0"/>
        <n v="12500.0"/>
        <n v="150000.0"/>
        <n v="210000.0"/>
        <n v="100000.0"/>
        <n v="300000.0"/>
        <n v="2000.0"/>
        <n v="65000.0"/>
        <n v="60000.0"/>
        <n v="220000.0"/>
        <n v="70000.0"/>
        <n v="75000.0"/>
        <n v="55000.0"/>
        <n v="290000.0"/>
        <n v="6000.0"/>
        <n v="2500.0"/>
        <n v="110000.0"/>
        <n v="120000.0"/>
        <n v="140000.0"/>
        <n v="280000.0"/>
        <n v="125000.0"/>
        <n v="12000.0"/>
      </sharedItems>
    </cacheField>
    <cacheField name="Total" numFmtId="165">
      <sharedItems containsSemiMixedTypes="0" containsString="0" containsNumber="1" containsInteger="1">
        <n v="1340000.0"/>
        <n v="60000.0"/>
        <n v="30000.0"/>
        <n v="130000.0"/>
        <n v="1250000.0"/>
        <n v="900000.0"/>
        <n v="1400000.0"/>
        <n v="830000.0"/>
        <n v="250000.0"/>
        <n v="8200000.0"/>
        <n v="640000.0"/>
        <n v="1800000.0"/>
        <n v="700000.0"/>
        <n v="2040000.0"/>
        <n v="670000.0"/>
        <n v="150000.0"/>
        <n v="110000.0"/>
        <n v="1580000.0"/>
        <n v="3710000.0"/>
        <n v="1660000.0"/>
        <n v="890000.0"/>
        <n v="200000.0"/>
        <n v="2560000.0"/>
        <n v="1320000.0"/>
        <n v="2800000.0"/>
        <n v="2570000.0"/>
        <n v="1230000.0"/>
        <n v="790000.0"/>
        <n v="1290000.0"/>
        <n v="15000.0"/>
        <n v="1120000.0"/>
        <n v="90000.0"/>
        <n v="1035000.0"/>
        <n v="115000.0"/>
        <n v="95000.0"/>
        <n v="1460000.0"/>
        <n v="1760000.0"/>
        <n v="520000.0"/>
        <n v="1270000.0"/>
        <n v="1170000.0"/>
        <n v="1720000.0"/>
        <n v="1640000.0"/>
        <n v="1780000.0"/>
        <n v="660000.0"/>
        <n v="400000.0"/>
        <n v="625000.0"/>
        <n v="1550000.0"/>
        <n v="635000.0"/>
        <n v="1050000.0"/>
        <n v="780000.0"/>
        <n v="870000.0"/>
        <n v="2100000.0"/>
        <n v="1260000.0"/>
        <n v="550000.0"/>
        <n v="750000.0"/>
        <n v="3320000.0"/>
        <n v="40000.0"/>
        <n v="460000.0"/>
        <n v="50000.0"/>
        <n v="1650000.0"/>
        <n v="225000.0"/>
        <n v="3900000.0"/>
        <n v="1240000.0"/>
        <n v="530000.0"/>
        <n v="230000.0"/>
        <n v="755000.0"/>
        <n v="760000.0"/>
        <n v="1300000.0"/>
        <n v="2340000.0"/>
        <n v="120000.0"/>
        <n v="1100000.0"/>
        <n v="10000.0"/>
        <n v="740000.0"/>
        <n v="1360000.0"/>
        <n v="80000.0"/>
        <n v="1385000.0"/>
        <n v="2160000.0"/>
        <n v="1480000.0"/>
        <n v="2370000.0"/>
        <n v="1825000.0"/>
        <n v="1520000.0"/>
        <n v="1350000.0"/>
        <n v="2500000.0"/>
        <n v="2600000.0"/>
        <n v="25000.0"/>
        <n v="3340000.0"/>
        <n v="2025000.0"/>
        <n v="680000.0"/>
        <n v="2680000.0"/>
        <n v="450000.0"/>
        <n v="70000.0"/>
        <n v="3080000.0"/>
        <n v="1280000.0"/>
        <n v="2250000.0"/>
        <n v="1740000.0"/>
        <n v="1570000.0"/>
        <n v="65000.0"/>
        <n v="1370000.0"/>
        <n v="3350000.0"/>
        <n v="160000.0"/>
        <n v="3200000.0"/>
        <n v="820000.0"/>
        <n v="100000.0"/>
        <n v="2480000.0"/>
        <n v="675000.0"/>
        <n v="620000.0"/>
        <n v="180000.0"/>
        <n v="685000.0"/>
        <n v="570000.0"/>
        <n v="540000.0"/>
        <n v="1020000.0"/>
        <n v="730000.0"/>
        <n v="2520000.0"/>
        <n v="260000.0"/>
        <n v="1040000.0"/>
        <n v="190000.0"/>
        <n v="3060000.0"/>
        <n v="220000.0"/>
        <n v="2770000.0"/>
        <n v="560000.0"/>
        <n v="7540000.0"/>
        <n v="630000.0"/>
        <n v="1670000.0"/>
        <n v="1680000.0"/>
        <n v="2070000.0"/>
        <n v="1585000.0"/>
        <n v="885000.0"/>
        <n v="1560000.0"/>
        <n v="1950000.0"/>
        <n v="585000.0"/>
        <n v="1130000.0"/>
        <n v="1600000.0"/>
        <n v="1530000.0"/>
        <n v="1540000.0"/>
        <n v="2450000.0"/>
        <n v="2510000.0"/>
        <n v="1380000.0"/>
        <n v="590000.0"/>
        <n v="135000.0"/>
        <n v="35000.0"/>
        <n v="1970000.0"/>
        <n v="665000.0"/>
        <n v="2010000.0"/>
        <n v="3170000.0"/>
        <n v="825000.0"/>
        <n v="1630000.0"/>
        <n v="320000.0"/>
        <n v="270000.0"/>
        <n v="1045000.0"/>
        <n v="8175000.0"/>
        <n v="775000.0"/>
        <n v="2200000.0"/>
        <n v="1490000.0"/>
        <n v="8720000.0"/>
        <n v="2640000.0"/>
        <n v="1310000.0"/>
        <n v="1980000.0"/>
        <n v="1940000.0"/>
        <n v="500000.0"/>
        <n v="3390000.0"/>
        <n v="2920000.0"/>
        <n v="880000.0"/>
        <n v="2740000.0"/>
        <n v="75000.0"/>
        <n v="5840000.0"/>
        <n v="920000.0"/>
        <n v="3280000.0"/>
        <n v="140000.0"/>
        <n v="5060000.0"/>
        <n v="2400000.0"/>
        <n v="1265000.0"/>
        <n v="1390000.0"/>
        <n v="2240000.0"/>
        <n v="1010000.0"/>
        <n v="235000.0"/>
        <n v="3000000.0"/>
        <n v="3360000.0"/>
        <n v="2720000.0"/>
        <n v="525000.0"/>
        <n v="280000.0"/>
        <n v="3840000.0"/>
        <n v="860000.0"/>
        <n v="1440000.0"/>
        <n v="1425000.0"/>
        <n v="3600000.0"/>
        <n v="800000.0"/>
        <n v="2900000.0"/>
        <n v="1870000.0"/>
        <n v="380000.0"/>
        <n v="2540000.0"/>
        <n v="1590000.0"/>
        <n v="3450000.0"/>
        <n v="2850000.0"/>
        <n v="2090000.0"/>
        <n v="470000.0"/>
        <n v="1500000.0"/>
        <n v="515000.0"/>
        <n v="330000.0"/>
        <n v="980000.0"/>
        <n v="3330000.0"/>
        <n v="1770000.0"/>
        <n v="3660000.0"/>
        <n v="565000.0"/>
        <n v="7800000.0"/>
        <n v="55000.0"/>
        <n v="1140000.0"/>
        <n v="600000.0"/>
        <n v="1060000.0"/>
        <n v="4200000.0"/>
        <n v="950000.0"/>
        <n v="510000.0"/>
        <n v="9640000.0"/>
        <n v="2300000.0"/>
        <n v="1850000.0"/>
        <n v="7160000.0"/>
        <n v="1410000.0"/>
        <n v="1620000.0"/>
        <n v="1960000.0"/>
        <n v="3800000.0"/>
        <n v="720000.0"/>
        <n v="1930000.0"/>
        <n v="3300000.0"/>
        <n v="3040000.0"/>
        <n v="1200000.0"/>
        <n v="170000.0"/>
        <n v="965000.0"/>
        <n v="1700000.0"/>
        <n v="1330000.0"/>
        <n v="725000.0"/>
        <n v="2550000.0"/>
        <n v="1470000.0"/>
        <n v="45000.0"/>
        <n v="770000.0"/>
        <n v="85000.0"/>
        <n v="1900000.0"/>
        <n v="650000.0"/>
        <n v="1225000.0"/>
        <n v="20000.0"/>
        <n v="5500000.0"/>
        <n v="925000.0"/>
        <n v="3440000.0"/>
        <n v="2440000.0"/>
        <n v="2840000.0"/>
        <n v="2660000.0"/>
        <n v="1000000.0"/>
        <n v="3400000.0"/>
        <n v="6260000.0"/>
        <n v="350000.0"/>
        <n v="2000000.0"/>
        <n v="915000.0"/>
        <n v="940000.0"/>
        <n v="415000.0"/>
        <n v="2080000.0"/>
        <n v="1220000.0"/>
        <n v="690000.0"/>
        <n v="440000.0"/>
        <n v="4310000.0"/>
        <n v="2805000.0"/>
        <n v="935000.0"/>
        <n v="7120000.0"/>
        <n v="3740000.0"/>
        <n v="105000.0"/>
        <n v="1830000.0"/>
        <n v="1840000.0"/>
        <n v="2260000.0"/>
        <n v="1750000.0"/>
        <n v="3500000.0"/>
        <n v="4250000.0"/>
        <n v="3100000.0"/>
        <n v="3050000.0"/>
        <n v="1235000.0"/>
        <n v="4740000.0"/>
        <n v="5080000.0"/>
        <n v="3880000.0"/>
        <n v="6680000.0"/>
        <n v="240000.0"/>
        <n v="4230000.0"/>
        <n v="6050000.0"/>
        <n v="850000.0"/>
        <n v="1890000.0"/>
        <n v="535000.0"/>
        <n v="970000.0"/>
        <n v="7400000.0"/>
        <n v="1820000.0"/>
        <n v="3220000.0"/>
        <n v="290000.0"/>
        <n v="2580000.0"/>
        <n v="1090000.0"/>
        <n v="985000.0"/>
        <n v="545000.0"/>
        <n v="2050000.0"/>
        <n v="2125000.0"/>
        <n v="580000.0"/>
        <n v="2860000.0"/>
        <n v="785000.0"/>
        <n v="1990000.0"/>
        <n v="6600000.0"/>
        <n v="3700000.0"/>
        <n v="2120000.0"/>
        <n v="1420000.0"/>
        <n v="4000000.0"/>
        <n v="1110000.0"/>
        <n v="2700000.0"/>
        <n v="2880000.0"/>
        <n v="645000.0"/>
        <n v="1160000.0"/>
        <n v="205000.0"/>
        <n v="1180000.0"/>
        <n v="910000.0"/>
        <n v="7700000.0"/>
        <n v="3520000.0"/>
        <n v="1920000.0"/>
        <n v="1710000.0"/>
        <n v="4300000.0"/>
        <n v="1730000.0"/>
        <n v="2960000.0"/>
        <n v="2470000.0"/>
        <n v="2730000.0"/>
        <n v="4520000.0"/>
        <n v="2150000.0"/>
        <n v="1525000.0"/>
        <n v="4240000.0"/>
        <n v="7150000.0"/>
        <n v="2820000.0"/>
        <n v="2650000.0"/>
        <n v="5200000.0"/>
        <n v="195000.0"/>
        <n v="375000.0"/>
        <n v="2760000.0"/>
        <n v="8250000.0"/>
        <n v="8450000.0"/>
        <n v="1695000.0"/>
        <n v="3375000.0"/>
        <n v="145000.0"/>
        <n v="2690000.0"/>
        <n v="4140000.0"/>
        <n v="3120000.0"/>
        <n v="6075000.0"/>
        <n v="1365000.0"/>
        <n v="1080000.0"/>
        <n v="3480000.0"/>
        <n v="1430000.0"/>
        <n v="7600000.0"/>
        <n v="2055000.0"/>
        <n v="930000.0"/>
        <n v="3150000.0"/>
        <n v="405000.0"/>
        <n v="125000.0"/>
        <n v="710000.0"/>
        <n v="8600000.0"/>
        <n v="1635000.0"/>
        <n v="840000.0"/>
        <n v="875000.0"/>
        <n v="1860000.0"/>
        <n v="960000.0"/>
        <n v="6520000.0"/>
        <n v="3960000.0"/>
        <n v="765000.0"/>
        <n v="3290000.0"/>
        <n v="2360000.0"/>
        <n v="6540000.0"/>
        <n v="3920000.0"/>
        <n v="3140000.0"/>
        <n v="4600000.0"/>
        <n v="1880000.0"/>
        <n v="4400000.0"/>
        <n v="2295000.0"/>
        <n v="4260000.0"/>
        <n v="735000.0"/>
        <n v="300000.0"/>
        <n v="215000.0"/>
        <n v="2750000.0"/>
        <n v="8520000.0"/>
        <n v="865000.0"/>
        <n v="255000.0"/>
        <n v="4950000.0"/>
        <n v="1070000.0"/>
        <n v="3680000.0"/>
        <n v="2490000.0"/>
        <n v="3160000.0"/>
        <n v="5400000.0"/>
        <n v="360000.0"/>
        <n v="480000.0"/>
        <n v="9030000.0"/>
        <n v="5320000.0"/>
        <n v="340000.0"/>
        <n v="5140000.0"/>
        <n v="2940000.0"/>
        <n v="4160000.0"/>
        <n v="3580000.0"/>
        <n v="2130000.0"/>
        <n v="895000.0"/>
        <n v="6280000.0"/>
        <n v="1505000.0"/>
        <n v="3010000.0"/>
        <n v="3260000.0"/>
        <n v="5210000.0"/>
        <n v="1.042E7"/>
        <n v="1150000.0"/>
        <n v="1285000.0"/>
        <n v="6020000.0"/>
        <n v="810000.0"/>
        <n v="7525000.0"/>
        <n v="2310000.0"/>
        <n v="3780000.0"/>
        <n v="6320000.0"/>
        <n v="8150000.0"/>
        <n v="1.74E7"/>
        <n v="1190000.0"/>
        <n v="4350000.0"/>
        <n v="4280000.0"/>
        <n v="4050000.0"/>
        <n v="610000.0"/>
        <n v="3760000.0"/>
        <n v="1025000.0"/>
        <n v="4515000.0"/>
        <n v="4840000.0"/>
        <n v="390000.0"/>
        <n v="28000.0"/>
        <n v="1810000.0"/>
        <n v="23000.0"/>
        <n v="905000.0"/>
        <n v="3640000.0"/>
        <n v="7500000.0"/>
        <n v="2170000.0"/>
        <n v="2715000.0"/>
        <n v="575000.0"/>
        <n v="345000.0"/>
        <n v="4100000.0"/>
        <n v="325000.0"/>
        <n v="430000.0"/>
        <n v="210000.0"/>
        <n v="835000.0"/>
        <n v="695000.0"/>
        <n v="465000.0"/>
        <n v="315000.0"/>
        <n v="335000.0"/>
        <n v="2625000.0"/>
        <n v="1625000.0"/>
        <n v="3250000.0"/>
        <n v="72000.0"/>
        <n v="4080000.0"/>
        <n v="3285000.0"/>
        <n v="1935000.0"/>
        <n v="4500000.0"/>
        <n v="715000.0"/>
        <n v="2420000.0"/>
        <n v="175000.0"/>
        <n v="6500000.0"/>
        <n v="1985000.0"/>
        <n v="385000.0"/>
        <n v="6560000.0"/>
        <n v="605000.0"/>
        <n v="475000.0"/>
        <n v="3970000.0"/>
        <n v="6240000.0"/>
        <n v="1085000.0"/>
        <n v="370000.0"/>
        <n v="5260000.0"/>
        <n v="4680000.0"/>
        <n v="3940000.0"/>
        <n v="4560000.0"/>
        <n v="365000.0"/>
        <n v="1450000.0"/>
        <n v="5700000.0"/>
        <n v="2955000.0"/>
        <n v="7410000.0"/>
        <n v="2780000.0"/>
        <n v="8550000.0"/>
        <n v="6840000.0"/>
        <n v="1725000.0"/>
        <n v="4450000.0"/>
        <n v="7980000.0"/>
        <n v="1690000.0"/>
        <n v="9360000.0"/>
        <n v="4360000.0"/>
        <n v="2180000.0"/>
        <n v="0.0"/>
        <n v="1325000.0"/>
        <n v="5460000.0"/>
        <n v="275000.0"/>
        <n v="185000.0"/>
      </sharedItems>
    </cacheField>
    <cacheField name="Service Fee">
      <sharedItems containsMixedTypes="1" containsNumber="1" containsInteger="1">
        <n v="0.0"/>
        <n v="10000.0"/>
        <n v="75000.0"/>
        <n v="5000.0"/>
        <n v="25000.0"/>
        <n v="45000.0"/>
        <n v="40000.0"/>
        <n v="80000.0"/>
        <n v="35000.0"/>
        <n v="50000.0"/>
        <n v="130000.0"/>
        <n v="125000.0"/>
        <n v="60000.0"/>
        <n v="30000.0"/>
        <n v="135000.0"/>
        <n v="20000.0"/>
        <n v="115000.0"/>
        <n v="100000.0"/>
        <n v="15000.0"/>
        <n v="110000.0"/>
        <n v="175000.0"/>
        <n v="65000.0"/>
        <n v="150000.0"/>
        <n v="70000.0"/>
        <n v="140000.0"/>
        <n v="105000.0"/>
        <e v="#N/A"/>
      </sharedItems>
    </cacheField>
    <cacheField name="Cost Price VLOOKUP">
      <sharedItems containsMixedTypes="1" containsNumber="1">
        <n v="582500.0"/>
        <n v="0.0"/>
        <n v="517000.0"/>
        <n v="805000.0"/>
        <n v="613000.0"/>
        <n v="735000.0"/>
        <n v="75000.0"/>
        <n v="1950000.0"/>
        <n v="560000.0"/>
        <n v="825000.0"/>
        <n v="904050.0"/>
        <n v="39440.0"/>
        <n v="590000.0"/>
        <n v="710000.0"/>
        <n v="441450.0"/>
        <n v="818000.0"/>
        <n v="575000.0"/>
        <n v="1136064.0"/>
        <n v="595000.0"/>
        <n v="501500.0"/>
        <n v="959000.0"/>
        <n v="81200.0"/>
        <n v="61600.0"/>
        <n v="643230.0"/>
        <n v="809000.0"/>
        <n v="458600.0"/>
        <n v="609800.0"/>
        <n v="570000.0"/>
        <n v="540000.0"/>
        <n v="754660.6"/>
        <n v="326700.0"/>
        <n v="556800.0"/>
        <n v="676728.0"/>
        <n v="930000.0"/>
        <n v="470000.0"/>
        <n v="712000.0"/>
        <n v="760239.0"/>
        <n v="473000.0"/>
        <n v="158530.2"/>
        <n v="1830000.0"/>
        <n v="582000.0"/>
        <n v="182200.0"/>
        <n v="40350.0"/>
        <n v="694300.0"/>
        <n v="506000.0"/>
        <n v="473970.0"/>
        <n v="655200.0"/>
        <n v="1270000.0"/>
        <n v="161840.0"/>
        <n v="670000.0"/>
        <n v="812000.0"/>
        <n v="1085500.0"/>
        <n v="1725000.0"/>
        <n v="1210000.0"/>
        <n v="1570000.0"/>
        <n v="1885000.0"/>
        <n v="1040000.0"/>
        <n v="759539.2"/>
        <n v="628100.0"/>
        <n v="555000.0"/>
        <n v="43500.0"/>
        <n v="620000.0"/>
        <n v="512640.0"/>
        <n v="799425.0"/>
        <n v="5000.0"/>
        <n v="680512.0"/>
        <n v="160000.0"/>
        <n v="231268.0"/>
        <n v="530580.0"/>
        <n v="485000.0"/>
        <n v="727260.0"/>
        <n v="1560000.0"/>
        <n v="696500.0"/>
        <n v="716500.0"/>
        <n v="711000.0"/>
        <n v="851110.375"/>
        <n v="683020.8"/>
        <n v="1170353.16"/>
        <n v="124000.0"/>
        <n v="739600.0"/>
        <n v="102000.0"/>
        <n v="943430.5"/>
        <n v="757300.0"/>
        <n v="908000.0"/>
        <n v="145180.0"/>
        <n v="565760.0"/>
        <n v="704346.0"/>
        <n v="488320.0"/>
        <n v="980542.4"/>
        <n v="920000.0"/>
        <n v="698000.0"/>
        <n v="895000.0"/>
        <n v="1595500.0"/>
        <n v="1420000.0"/>
        <n v="615300.0"/>
        <n v="45439.582"/>
        <n v="1285000.0"/>
        <n v="1447000.0"/>
        <n v="415000.0"/>
        <n v="47000.0"/>
        <n v="505000.0"/>
        <n v="91000.0"/>
        <n v="1194000.0"/>
        <n v="879567.0"/>
        <n v="666540.0"/>
        <n v="700000.0"/>
        <n v="550000.0"/>
        <n v="404900.0"/>
        <n v="435000.0"/>
        <n v="140000.0"/>
        <n v="120960.0"/>
        <n v="860000.0"/>
        <n v="779500.0"/>
        <n v="1292000.0"/>
        <n v="849000.0"/>
        <n v="241001.6"/>
        <n v="844000.0"/>
        <n v="1980000.0"/>
        <n v="690000.0"/>
        <n v="60500.0"/>
        <n v="2535000.0"/>
        <n v="228000.0"/>
        <n v="678000.0"/>
        <n v="95450.0"/>
        <n v="790700.0"/>
        <n v="465000.0"/>
        <n v="34000.0"/>
        <n v="516500.0"/>
        <n v="411100.0"/>
        <n v="633035.16"/>
        <n v="2300000.0"/>
        <n v="467000.0"/>
        <n v="1762000.0"/>
        <n v="1698000.0"/>
        <n v="50000.0"/>
        <n v="861200.0"/>
        <n v="865000.0"/>
        <n v="1550000.0"/>
        <n v="1050000.0"/>
        <n v="611109.16"/>
        <n v="762500.0"/>
        <n v="648900.0"/>
        <n v="450000.0"/>
        <n v="1003000.0"/>
        <n v="157500.0"/>
        <n v="76000.0"/>
        <n v="1840000.0"/>
        <n v="844838.5"/>
        <n v="542528.0"/>
        <n v="1120000.0"/>
        <n v="560700.0"/>
        <n v="575200.0"/>
        <n v="889369.5"/>
        <n v="880000.0"/>
        <n v="634099.2"/>
        <n v="609000.0"/>
        <n v="1325000.0"/>
        <n v="672800.0"/>
        <n v="718080.0"/>
        <n v="70000.0"/>
        <n v="623000.0"/>
        <n v="787500.0"/>
        <n v="773337.5"/>
        <n v="432345.0"/>
        <n v="1466393.5"/>
        <n v="813300.0"/>
        <n v="671600.0"/>
        <n v="1221100.0"/>
        <n v="638500.0"/>
        <n v="888000.0"/>
        <n v="589700.0"/>
        <n v="775500.0"/>
        <n v="1028000.0"/>
        <n v="739000.0"/>
        <n v="1346000.0"/>
        <n v="2030000.0"/>
        <n v="3365000.0"/>
        <n v="535000.0"/>
        <n v="253000.0"/>
        <n v="881000.0"/>
        <n v="2160000.0"/>
        <n v="36630.0"/>
        <n v="2080000.0"/>
        <n v="600000.0"/>
        <n v="1475000.0"/>
        <n v="599000.0"/>
        <n v="83000.0"/>
        <n v="1723000.0"/>
        <n v="45000.0"/>
        <n v="671104.0"/>
        <n v="689900.0"/>
        <n v="10000.0"/>
        <n v="1600000.0"/>
        <n v="111800.0"/>
        <n v="1198000.0"/>
        <n v="628000.0"/>
        <n v="653000.0"/>
        <n v="601000.0"/>
        <n v="775000.0"/>
        <n v="782000.0"/>
        <n v="873689.5"/>
        <n v="565000.0"/>
        <n v="1765000.0"/>
        <n v="1135000.0"/>
        <n v="636300.0"/>
        <n v="896000.0"/>
        <n v="3750000.0"/>
        <n v="90000.0"/>
        <n v="778000.0"/>
        <n v="58371.2695"/>
        <n v="834000.0"/>
        <n v="808300.0"/>
        <n v="680000.0"/>
        <n v="117000.0"/>
        <n v="1501164.0"/>
        <n v="1280000.0"/>
        <n v="1108560.0"/>
        <n v="145000.0"/>
        <n v="100000.0"/>
        <n v="608000.0"/>
        <n v="547000.0"/>
        <n v="92250.0"/>
        <n v="55000.0"/>
        <n v="1265000.0"/>
        <n v="1565000.0"/>
        <n v="1740000.0"/>
        <n v="1635000.0"/>
        <n v="615000.0"/>
        <n v="960000.0"/>
        <n v="1090000.0"/>
        <n v="587200.0"/>
        <n v="1290000.0"/>
        <n v="520000.0"/>
        <n v="1004147.0"/>
        <n v="715000.0"/>
        <n v="135000.0"/>
        <n v="682000.0"/>
        <n v="1650000.0"/>
        <n v="515000.0"/>
        <n v="675000.0"/>
        <n v="784000.0"/>
        <n v="225314.0"/>
        <n v="40000.0"/>
        <n v="334916.0"/>
        <n v="980000.0"/>
        <n v="317518.0"/>
        <n v="480000.0"/>
        <n v="74700.0"/>
        <n v="209816.66"/>
        <n v="422900.0"/>
        <n v="329877.0"/>
        <n v="432500.0"/>
        <n v="200000.0"/>
        <n v="3190000.0"/>
        <n v="21500.0"/>
        <n v="19200.0"/>
        <n v="150000.0"/>
        <n v="802000.0"/>
        <n v="1250000.0"/>
        <n v="59705.0"/>
        <n v="548000.0"/>
        <n v="814000.0"/>
        <n v="160833.0"/>
        <n v="26000.0"/>
        <n v="2200000.0"/>
        <n v="204000.0"/>
        <n v="768000.0"/>
        <n v="605000.0"/>
        <n v="2575000.0"/>
        <n v="15000.0"/>
        <n v="650000.0"/>
        <n v="2450000.0"/>
        <n v="774000.0"/>
        <n v="1027000.0"/>
        <n v="81000.0"/>
        <n v="123000.0"/>
        <n v="80931.0"/>
        <n v="4200000.0"/>
        <n v="1481800.0"/>
        <n v="640700.0"/>
        <n v="1926858.75"/>
        <n v="130000.0"/>
        <n v="141160.0"/>
        <n v="85695.0"/>
        <n v="855500.0"/>
        <n v="745000.0"/>
        <n v="532400.0"/>
        <n v="921750.0"/>
        <n v="370000.0"/>
        <n v="1097400.0"/>
        <n v="22000.0"/>
        <n v="726400.0"/>
        <n v="96400.0"/>
        <n v="530000.0"/>
        <n v="184150.0"/>
        <n v="439000.0"/>
        <n v="1175000.0"/>
        <n v="795000.0"/>
        <n v="52000.0"/>
        <n v="27375.0"/>
        <n v="85000.0"/>
        <n v="18900.0"/>
        <n v="1170000.0"/>
        <n v="587850.5"/>
        <n v="174000.0"/>
        <n v="194400.0"/>
        <n v="22500.0"/>
        <e v="#N/A"/>
      </sharedItems>
    </cacheField>
    <cacheField name="Coist Price Absolute" numFmtId="165">
      <sharedItems containsString="0" containsBlank="1" containsNumber="1">
        <n v="582500.0"/>
        <n v="0.0"/>
        <n v="517000.0"/>
        <n v="805000.0"/>
        <n v="613000.0"/>
        <n v="735000.0"/>
        <n v="75000.0"/>
        <n v="1950000.0"/>
        <n v="560000.0"/>
        <n v="790000.0"/>
        <n v="904050.0"/>
        <n v="39440.0"/>
        <n v="590000.0"/>
        <n v="680000.0"/>
        <n v="441450.0"/>
        <n v="818000.0"/>
        <n v="575000.0"/>
        <n v="1136064.0"/>
        <n v="595000.0"/>
        <n v="491000.0"/>
        <n v="949000.0"/>
        <n v="81200.0"/>
        <n v="61600.0"/>
        <n v="643230.0"/>
        <n v="809000.0"/>
        <n v="445400.0"/>
        <n v="592200.0"/>
        <n v="539000.0"/>
        <n v="507000.0"/>
        <n v="766438.4"/>
        <n v="326700.0"/>
        <n v="540800.0"/>
        <n v="676728.0"/>
        <n v="940000.0"/>
        <n v="442500.0"/>
        <n v="674000.0"/>
        <n v="760239.0"/>
        <n v="473000.0"/>
        <n v="151890.0"/>
        <n v="1830000.0"/>
        <n v="570000.0"/>
        <n v="199920.0"/>
        <n v="40350.0"/>
        <n v="670000.0"/>
        <n v="506000.0"/>
        <n v="473970.0"/>
        <n v="655200.0"/>
        <n v="1270000.0"/>
        <n v="161840.0"/>
        <n v="812000.0"/>
        <n v="1085500.0"/>
        <n v="1725000.0"/>
        <n v="1180000.0"/>
        <n v="1570000.0"/>
        <n v="1840000.0"/>
        <n v="1040000.0"/>
        <n v="715635.0"/>
        <n v="609804.0"/>
        <n v="555000.0"/>
        <n v="43520.0"/>
        <n v="585000.0"/>
        <n v="475700.0"/>
        <n v="799425.0"/>
        <n v="660000.0"/>
        <n v="160000.0"/>
        <n v="227850.0"/>
        <n v="530580.0"/>
        <n v="485000.0"/>
        <n v="727260.0"/>
        <n v="1500000.0"/>
        <n v="689000.0"/>
        <n v="709000.0"/>
        <n v="690600.0"/>
        <n v="810342.44"/>
        <n v="683020.8"/>
        <n v="1113907.2"/>
        <n v="124000.0"/>
        <n v="700000.0"/>
        <n v="102000.0"/>
        <n v="945190.375"/>
        <n v="757300.0"/>
        <n v="897000.0"/>
        <n v="145180.0"/>
        <n v="524800.0"/>
        <n v="680512.0"/>
        <n v="452970.0"/>
        <n v="990539.0"/>
        <n v="920000.0"/>
        <n v="698000.0"/>
        <n v="895000.0"/>
        <n v="1595500.0"/>
        <n v="1420000.0"/>
        <n v="581120.0"/>
        <n v="45309.6"/>
        <n v="1285000.0"/>
        <n v="1447000.0"/>
        <n v="415000.0"/>
        <n v="47000.0"/>
        <n v="490000.0"/>
        <n v="91000.0"/>
        <n v="1182000.0"/>
        <n v="884979.0"/>
        <n v="666540.0"/>
        <n v="550000.0"/>
        <n v="404900.0"/>
        <n v="435000.0"/>
        <n v="140000.0"/>
        <n v="120960.0"/>
        <n v="860000.0"/>
        <n v="771000.0"/>
        <n v="1320000.0"/>
        <n v="849000.0"/>
        <n v="237440.0"/>
        <n v="853000.0"/>
        <n v="1850000.0"/>
        <n v="690000.0"/>
        <n v="60500.0"/>
        <n v="2535000.0"/>
        <n v="228000.0"/>
        <n v="678000.0"/>
        <n v="61000.0"/>
        <n v="790700.0"/>
        <n v="455000.0"/>
        <n v="34000.0"/>
        <n v="516500.0"/>
        <n v="411100.0"/>
        <n v="593488.4"/>
        <n v="2300000.0"/>
        <n v="454000.0"/>
        <n v="1762000.0"/>
        <n v="1698000.0"/>
        <n v="50000.0"/>
        <n v="836000.0"/>
        <n v="865000.0"/>
        <n v="1550000.0"/>
        <n v="1050000.0"/>
        <n v="572900.0"/>
        <n v="572762.4"/>
        <n v="762500.0"/>
        <n v="638600.0"/>
        <n v="437000.0"/>
        <n v="1003000.0"/>
        <n v="157500.0"/>
        <n v="76000.0"/>
        <n v="808945.0"/>
        <n v="577500.0"/>
        <n v="1120000.0"/>
        <n v="544300.0"/>
        <n v="558200.0"/>
        <n v="846720.0"/>
        <n v="880000.0"/>
        <n v="634099.2"/>
        <n v="609000.0"/>
        <n v="1170000.0"/>
        <n v="659610.0"/>
        <n v="672210.0"/>
        <n v="70000.0"/>
        <n v="602000.0"/>
        <n v="695000.0"/>
        <n v="762048.0"/>
        <n v="432345.0"/>
        <n v="1466393.5"/>
        <n v="750000.0"/>
        <n v="671600.0"/>
        <n v="1150700.0"/>
        <n v="638500.0"/>
        <n v="877000.0"/>
        <n v="572700.0"/>
        <n v="716940.0"/>
        <n v="1028000.0"/>
        <n v="739000.0"/>
        <n v="1346000.0"/>
        <n v="2025000.0"/>
        <n v="3365000.0"/>
        <n v="535000.0"/>
        <n v="253000.0"/>
        <n v="881000.0"/>
        <n v="2160000.0"/>
        <n v="1545000.0"/>
        <n v="36630.0"/>
        <n v="2050000.0"/>
        <n v="760000.0"/>
        <n v="1425000.0"/>
        <n v="573000.0"/>
        <n v="83000.0"/>
        <n v="1723000.0"/>
        <n v="45000.0"/>
        <n v="671104.0"/>
        <n v="672100.0"/>
        <n v="10000.0"/>
        <n v="111800.0"/>
        <n v="1198000.0"/>
        <n v="610000.0"/>
        <n v="622000.0"/>
        <n v="775000.0"/>
        <n v="745000.0"/>
        <n v="873689.5"/>
        <n v="565000.0"/>
        <n v="1765000.0"/>
        <n v="1135000.0"/>
        <n v="636300.0"/>
        <n v="896000.0"/>
        <n v="3750000.0"/>
        <n v="90000.0"/>
        <n v="65000.0"/>
        <n v="795000.0"/>
        <n v="55000.0"/>
        <n v="834000.0"/>
        <n v="808300.0"/>
        <n v="650000.0"/>
        <n v="117000.0"/>
        <n v="1501164.0"/>
        <n v="1280000.0"/>
        <n v="1108560.0"/>
        <n v="145000.0"/>
        <n v="100000.0"/>
        <n v="608000.0"/>
        <n v="547000.0"/>
        <n v="92250.0"/>
        <n v="1245000.0"/>
        <n v="607000.0"/>
        <n v="1740000.0"/>
        <n v="1635000.0"/>
        <n v="450000.0"/>
        <n v="615000.0"/>
        <n v="960000.0"/>
        <n v="1090000.0"/>
        <n v="1290000.0"/>
        <n v="520000.0"/>
        <n v="1062000.0"/>
        <n v="738500.0"/>
        <n v="135000.0"/>
        <n v="682000.0"/>
        <n v="1650000.0"/>
        <n v="515000.0"/>
        <n v="5000.0"/>
        <n v="784000.0"/>
        <n v="179445.0"/>
        <n v="40000.0"/>
        <n v="287688.0"/>
        <n v="980000.0"/>
        <n v="271778.0"/>
        <n v="480000.0"/>
        <n v="73424.0"/>
        <n v="160833.0"/>
        <n v="377951.0"/>
        <n v="282805.0"/>
        <n v="432500.0"/>
        <n v="200000.0"/>
        <n v="3160000.0"/>
        <n v="600000.0"/>
        <n v="21500.0"/>
        <n v="19200.0"/>
        <n v="150000.0"/>
        <n v="802000.0"/>
        <n v="80000.0"/>
        <n v="720000.0"/>
        <n v="1250000.0"/>
        <n v="623000.0"/>
        <n v="58114.0"/>
        <n v="644205.6"/>
        <n v="596694.4"/>
        <n v="2030000.0"/>
        <n v="830273.6"/>
        <n v="570500.0"/>
        <n v="780000.0"/>
        <n v="26000.0"/>
        <n v="2200000.0"/>
        <n v="204000.0"/>
        <n v="840000.0"/>
        <n v="768000.0"/>
        <n v="1480000.0"/>
        <n v="1029000.0"/>
        <n v="605000.0"/>
        <n v="531715.5"/>
        <n v="712256.0"/>
        <n v="599000.0"/>
        <n v="863000.0"/>
        <n v="575780.8"/>
        <n v="805872.0"/>
        <n v="711000.0"/>
        <n v="467000.0"/>
        <n v="2475000.0"/>
        <n v="2450000.0"/>
        <n v="945000.0"/>
        <n v="719199.0"/>
        <n v="570200.0"/>
        <n v="620000.0"/>
        <n v="1017000.0"/>
        <n v="1007000.0"/>
        <n v="792000.0"/>
        <n v="908000.0"/>
        <n v="628100.0"/>
        <n v="1035858.0"/>
        <n v="844000.0"/>
        <n v="81000.0"/>
        <n v="109200.0"/>
        <n v="1160000.0"/>
        <n v="694300.0"/>
        <n v="69272.0"/>
        <n v="4100000.0"/>
        <n v="930000.0"/>
        <n v="1481800.0"/>
        <n v="627400.0"/>
        <n v="588505.8"/>
        <n v="705000.0"/>
        <n v="815000.0"/>
        <n v="1292000.0"/>
        <n v="716500.0"/>
        <n v="596000.0"/>
        <n v="675000.0"/>
        <n v="130137.0"/>
        <n v="85695.0"/>
        <n v="727756.0"/>
        <n v="855500.0"/>
        <n v="609844.4"/>
        <n v="15000.0"/>
        <n v="711900.0"/>
        <n v="716900.0"/>
        <n v="778000.0"/>
        <n v="532400.0"/>
        <n v="921750.0"/>
        <n v="859264.0"/>
        <n v="779500.0"/>
        <n v="657305.6"/>
        <n v="813300.0"/>
        <n v="370000.0"/>
        <n v="689900.0"/>
        <n v="548000.0"/>
        <n v="1097400.0"/>
        <n v="601000.0"/>
        <n v="1130842.0"/>
        <n v="22000.0"/>
        <n v="726400.0"/>
        <n v="733824.0"/>
        <n v="95718.0"/>
        <n v="888000.0"/>
        <n v="980542.4"/>
        <n v="609844.375"/>
        <n v="130000.0"/>
        <n v="822259.2"/>
        <n v="588505.75"/>
        <n v="582000.0"/>
        <n v="505000.0"/>
        <n v="292600.0"/>
        <n v="1940000.0"/>
        <n v="275500.0"/>
        <n v="465000.0"/>
        <n v="501500.0"/>
        <n v="696500.0"/>
        <n v="380400.0"/>
        <n v="96400.0"/>
        <n v="542528.0"/>
        <n v="634500.0"/>
        <n v="815987.25"/>
        <n v="530000.0"/>
        <n v="184150.0"/>
        <n v="45439.582"/>
        <n v="759500.0"/>
        <n v="434000.0"/>
        <n v="604200.0"/>
        <n v="460000.0"/>
        <n v="1525000.0"/>
        <n v="182200.0"/>
        <n v="43500.0"/>
        <n v="560700.0"/>
        <n v="182600.0"/>
        <n v="672800.0"/>
        <n v="556800.0"/>
        <n v="540500.0"/>
        <n v="58371.2695"/>
        <n v="575200.0"/>
        <n v="609800.0"/>
        <n v="71439.0"/>
        <n v="158530.2"/>
        <n v="909585.0"/>
        <n v="307676.0"/>
        <n v="459420.0"/>
        <n v="587200.0"/>
        <n v="185000.0"/>
        <n v="141160.0"/>
        <n v="289857.0"/>
        <n v="294418.0"/>
        <n v="95450.0"/>
        <n v="1885000.0"/>
        <n v="959000.0"/>
        <n v="52000.0"/>
        <n v="209816.66"/>
        <n v="773337.5"/>
        <n v="787500.0"/>
        <n v="334916.0"/>
        <n v="74700.0"/>
        <n v="1555000.0"/>
        <n v="422900.0"/>
        <n v="2100000.0"/>
        <n v="1475000.0"/>
        <n v="317518.0"/>
        <n v="589700.0"/>
        <n v="688000.0"/>
        <n v="1194000.0"/>
        <n v="329877.0"/>
        <n v="890000.0"/>
        <n v="1004147.0"/>
        <n v="750700.0"/>
        <n v="120000.0"/>
        <n v="775500.0"/>
        <n v="1560000.0"/>
        <n v="474240.0"/>
        <n v="1035000.0"/>
        <n v="1980000.0"/>
        <n v="482300.0"/>
        <n v="490100.0"/>
        <n v="648900.0"/>
        <n v="27375.0"/>
        <n v="615300.0"/>
        <n v="2575000.0"/>
        <n v="861200.0"/>
        <n v="480700.0"/>
        <n v="488320.0"/>
        <n v="640700.0"/>
        <n v="470000.0"/>
        <n v="739600.0"/>
        <n v="1210000.0"/>
        <n v="1325000.0"/>
        <n v="1600000.0"/>
        <n v="85000.0"/>
        <n v="540000.0"/>
        <n v="80931.0"/>
        <n v="18900.0"/>
        <n v="4200000.0"/>
        <n v="548100.0"/>
        <n v="814000.0"/>
        <n v="1565000.0"/>
        <n v="241001.6"/>
        <n v="754660.6"/>
        <n v="1265000.0"/>
        <n v="633035.16"/>
        <n v="879567.0"/>
        <n v="587850.5"/>
        <n v="458600.0"/>
        <n v="231268.0"/>
        <n v="844838.5"/>
        <n v="2080000.0"/>
        <n v="715000.0"/>
        <n v="1221100.0"/>
        <n v="889369.5"/>
        <n v="710000.0"/>
        <n v="611109.16"/>
        <n v="774000.0"/>
        <n v="123000.0"/>
        <n v="174000.0"/>
        <n v="825000.0"/>
        <n v="512640.0"/>
        <n v="194400.0"/>
        <n v="225314.0"/>
        <n v="1027000.0"/>
        <n v="653000.0"/>
        <n v="782000.0"/>
        <n v="628000.0"/>
        <n v="22500.0"/>
        <n v="712000.0"/>
        <n v="439000.0"/>
        <n v="565760.0"/>
        <m/>
      </sharedItems>
    </cacheField>
    <cacheField name="Cost Price Fixed" numFmtId="165">
      <sharedItems containsSemiMixedTypes="0" containsString="0" containsNumber="1" containsInteger="1">
        <n v="585000.0"/>
        <n v="0.0"/>
        <n v="520000.0"/>
        <n v="805000.0"/>
        <n v="615000.0"/>
        <n v="735000.0"/>
        <n v="75000.0"/>
        <n v="1950000.0"/>
        <n v="560000.0"/>
        <n v="790000.0"/>
        <n v="905000.0"/>
        <n v="40000.0"/>
        <n v="590000.0"/>
        <n v="680000.0"/>
        <n v="445000.0"/>
        <n v="820000.0"/>
        <n v="575000.0"/>
        <n v="1140000.0"/>
        <n v="595000.0"/>
        <n v="495000.0"/>
        <n v="950000.0"/>
        <n v="85000.0"/>
        <n v="65000.0"/>
        <n v="645000.0"/>
        <n v="810000.0"/>
        <n v="450000.0"/>
        <n v="540000.0"/>
        <n v="510000.0"/>
        <n v="770000.0"/>
        <n v="330000.0"/>
        <n v="545000.0"/>
        <n v="940000.0"/>
        <n v="675000.0"/>
        <n v="765000.0"/>
        <n v="475000.0"/>
        <n v="155000.0"/>
        <n v="1830000.0"/>
        <n v="570000.0"/>
        <n v="200000.0"/>
        <n v="45000.0"/>
        <n v="670000.0"/>
        <n v="660000.0"/>
        <n v="1270000.0"/>
        <n v="165000.0"/>
        <n v="815000.0"/>
        <n v="1090000.0"/>
        <n v="1725000.0"/>
        <n v="1180000.0"/>
        <n v="1570000.0"/>
        <n v="1840000.0"/>
        <n v="1040000.0"/>
        <n v="720000.0"/>
        <n v="610000.0"/>
        <n v="555000.0"/>
        <n v="480000.0"/>
        <n v="800000.0"/>
        <n v="160000.0"/>
        <n v="230000.0"/>
        <n v="535000.0"/>
        <n v="485000.0"/>
        <n v="730000.0"/>
        <n v="1500000.0"/>
        <n v="690000.0"/>
        <n v="710000.0"/>
        <n v="695000.0"/>
        <n v="685000.0"/>
        <n v="1115000.0"/>
        <n v="125000.0"/>
        <n v="700000.0"/>
        <n v="105000.0"/>
        <n v="760000.0"/>
        <n v="900000.0"/>
        <n v="150000.0"/>
        <n v="525000.0"/>
        <n v="455000.0"/>
        <n v="995000.0"/>
        <n v="920000.0"/>
        <n v="895000.0"/>
        <n v="1600000.0"/>
        <n v="1420000.0"/>
        <n v="50000.0"/>
        <n v="1285000.0"/>
        <n v="1450000.0"/>
        <n v="415000.0"/>
        <n v="490000.0"/>
        <n v="95000.0"/>
        <n v="1185000.0"/>
        <n v="885000.0"/>
        <n v="550000.0"/>
        <n v="405000.0"/>
        <n v="435000.0"/>
        <n v="140000.0"/>
        <n v="860000.0"/>
        <n v="775000.0"/>
        <n v="1320000.0"/>
        <n v="850000.0"/>
        <n v="240000.0"/>
        <n v="855000.0"/>
        <n v="1850000.0"/>
        <n v="2535000.0"/>
        <n v="795000.0"/>
        <n v="35000.0"/>
        <n v="2300000.0"/>
        <n v="1765000.0"/>
        <n v="1700000.0"/>
        <n v="840000.0"/>
        <n v="865000.0"/>
        <n v="1550000.0"/>
        <n v="1050000.0"/>
        <n v="640000.0"/>
        <n v="440000.0"/>
        <n v="1005000.0"/>
        <n v="80000.0"/>
        <n v="580000.0"/>
        <n v="1120000.0"/>
        <n v="880000.0"/>
        <n v="635000.0"/>
        <n v="1170000.0"/>
        <n v="70000.0"/>
        <n v="605000.0"/>
        <n v="1470000.0"/>
        <n v="750000.0"/>
        <n v="1155000.0"/>
        <n v="1030000.0"/>
        <n v="740000.0"/>
        <n v="1350000.0"/>
        <n v="2025000.0"/>
        <n v="3365000.0"/>
        <n v="255000.0"/>
        <n v="2160000.0"/>
        <n v="1545000.0"/>
        <n v="2050000.0"/>
        <n v="1425000.0"/>
        <n v="10000.0"/>
        <n v="115000.0"/>
        <n v="1200000.0"/>
        <n v="625000.0"/>
        <n v="745000.0"/>
        <n v="875000.0"/>
        <n v="565000.0"/>
        <n v="1135000.0"/>
        <n v="3750000.0"/>
        <n v="90000.0"/>
        <n v="55000.0"/>
        <n v="835000.0"/>
        <n v="650000.0"/>
        <n v="120000.0"/>
        <n v="1505000.0"/>
        <n v="1280000.0"/>
        <n v="1110000.0"/>
        <n v="145000.0"/>
        <n v="100000.0"/>
        <n v="1245000.0"/>
        <n v="1740000.0"/>
        <n v="1635000.0"/>
        <n v="960000.0"/>
        <n v="1290000.0"/>
        <n v="1065000.0"/>
        <n v="135000.0"/>
        <n v="1650000.0"/>
        <n v="515000.0"/>
        <n v="5000.0"/>
        <n v="785000.0"/>
        <n v="180000.0"/>
        <n v="290000.0"/>
        <n v="980000.0"/>
        <n v="275000.0"/>
        <n v="380000.0"/>
        <n v="285000.0"/>
        <n v="3160000.0"/>
        <n v="600000.0"/>
        <n v="25000.0"/>
        <n v="20000.0"/>
        <n v="1250000.0"/>
        <n v="60000.0"/>
        <n v="2030000.0"/>
        <n v="780000.0"/>
        <n v="30000.0"/>
        <n v="2200000.0"/>
        <n v="205000.0"/>
        <n v="1480000.0"/>
        <n v="715000.0"/>
        <n v="470000.0"/>
        <n v="2475000.0"/>
        <n v="2450000.0"/>
        <n v="945000.0"/>
        <n v="620000.0"/>
        <n v="1020000.0"/>
        <n v="1010000.0"/>
        <n v="910000.0"/>
        <n v="630000.0"/>
        <n v="845000.0"/>
        <n v="110000.0"/>
        <n v="1160000.0"/>
        <n v="4100000.0"/>
        <n v="930000.0"/>
        <n v="1485000.0"/>
        <n v="705000.0"/>
        <n v="1295000.0"/>
        <n v="15000.0"/>
        <n v="925000.0"/>
        <n v="370000.0"/>
        <n v="1100000.0"/>
        <n v="1460000.0"/>
        <n v="890000.0"/>
        <n v="985000.0"/>
        <n v="130000.0"/>
        <n v="825000.0"/>
        <n v="505000.0"/>
        <n v="295000.0"/>
        <n v="1940000.0"/>
        <n v="280000.0"/>
        <n v="465000.0"/>
        <n v="385000.0"/>
        <n v="530000.0"/>
        <n v="185000.0"/>
        <n v="460000.0"/>
        <n v="1525000.0"/>
        <n v="310000.0"/>
        <n v="1885000.0"/>
        <n v="210000.0"/>
        <n v="335000.0"/>
        <n v="1555000.0"/>
        <n v="425000.0"/>
        <n v="2100000.0"/>
        <n v="1475000.0"/>
        <n v="320000.0"/>
        <n v="1195000.0"/>
        <n v="755000.0"/>
        <n v="1560000.0"/>
        <n v="1035000.0"/>
        <n v="1980000.0"/>
        <n v="2575000.0"/>
        <n v="1210000.0"/>
        <n v="1325000.0"/>
        <n v="4200000.0"/>
        <n v="1565000.0"/>
        <n v="245000.0"/>
        <n v="1265000.0"/>
        <n v="235000.0"/>
        <n v="2080000.0"/>
        <n v="1225000.0"/>
        <n v="175000.0"/>
        <n v="195000.0"/>
        <n v="655000.0"/>
      </sharedItems>
    </cacheField>
    <cacheField name="Profit">
      <sharedItems containsMixedTypes="1" containsNumber="1" containsInteger="1">
        <n v="170000.0"/>
        <n v="60000.0"/>
        <n v="30000.0"/>
        <n v="120000.0"/>
        <n v="210000.0"/>
        <n v="95000.0"/>
        <n v="100000.0"/>
        <n v="400000.0"/>
        <n v="80000.0"/>
        <n v="220000.0"/>
        <n v="85000.0"/>
        <n v="230000.0"/>
        <n v="20000.0"/>
        <n v="75000.0"/>
        <n v="105000.0"/>
        <n v="595000.0"/>
        <n v="190000.0"/>
        <n v="70000.0"/>
        <n v="320000.0"/>
        <n v="340000.0"/>
        <n v="290000.0"/>
        <n v="90000.0"/>
        <n v="110000.0"/>
        <n v="15000.0"/>
        <n v="130000.0"/>
        <n v="200000.0"/>
        <n v="140000.0"/>
        <n v="150000.0"/>
        <n v="180000.0"/>
        <n v="45000.0"/>
        <n v="160000.0"/>
        <n v="255000.0"/>
        <n v="40000.0"/>
        <n v="50000.0"/>
        <n v="240000.0"/>
        <n v="35000.0"/>
        <n v="300000.0"/>
        <n v="10000.0"/>
        <n v="115000.0"/>
        <n v="260000.0"/>
        <n v="25000.0"/>
        <n v="65000.0"/>
        <n v="55000.0"/>
        <n v="275000.0"/>
        <n v="1235000.0"/>
        <n v="125000.0"/>
        <n v="165000.0"/>
        <n v="465000.0"/>
        <n v="135000.0"/>
        <n v="1350000.0"/>
        <n v="1440000.0"/>
        <n v="280000.0"/>
        <n v="380000.0"/>
        <n v="475000.0"/>
        <n v="175000.0"/>
        <n v="225000.0"/>
        <n v="360000.0"/>
        <n v="375000.0"/>
        <n v="265000.0"/>
        <n v="330000.0"/>
        <n v="440000.0"/>
        <n v="145000.0"/>
        <n v="0.0"/>
        <n v="950000.0"/>
        <n v="350000.0"/>
        <n v="310000.0"/>
        <n v="390000.0"/>
        <n v="420000.0"/>
        <n v="205000.0"/>
        <n v="370000.0"/>
        <n v="410000.0"/>
        <n v="425000.0"/>
        <n v="1045000.0"/>
        <n v="620000.0"/>
        <n v="1140000.0"/>
        <n v="270000.0"/>
        <n v="250000.0"/>
        <n v="460000.0"/>
        <n v="630000.0"/>
        <n v="1330000.0"/>
        <n v="285000.0"/>
        <n v="1425000.0"/>
        <n v="525000.0"/>
        <n v="500000.0"/>
        <n v="960000.0"/>
        <n v="640000.0"/>
        <n v="-50000.0"/>
        <n v="570000.0"/>
        <n v="760000.0"/>
        <n v="315000.0"/>
        <n v="5000.0"/>
        <n v="855000.0"/>
        <n v="480000.0"/>
        <n v="-425000.0"/>
        <n v="1000000.0"/>
        <n v="580000.0"/>
        <n v="245000.0"/>
        <n v="3000.0"/>
        <n v="-125000.0"/>
        <n v="-90000.0"/>
        <n v="510000.0"/>
        <n v="450000.0"/>
        <n v="-2000.0"/>
        <n v="-8000.0"/>
        <n v="195000.0"/>
        <n v="-120000.0"/>
        <n v="1260000.0"/>
        <n v="385000.0"/>
        <n v="615000.0"/>
        <n v="155000.0"/>
        <n v="1105000.0"/>
        <n v="1200000.0"/>
        <n v="1120000.0"/>
        <e v="#N/A"/>
      </sharedItems>
    </cacheField>
    <cacheField name="Owned by" numFmtId="0">
      <sharedItems>
        <s v="BIAN"/>
        <s v="IBU"/>
        <s v="NON"/>
        <s v="NON VPT"/>
        <e v="#N/A"/>
      </sharedItems>
    </cacheField>
    <cacheField name="Tax">
      <sharedItems containsMixedTypes="1" containsNumber="1" containsInteger="1">
        <n v="1.0"/>
        <n v="0.0"/>
        <e v="#N/A"/>
      </sharedItems>
    </cacheField>
    <cacheField name="Brand" numFmtId="0">
      <sharedItems>
        <s v="GT"/>
        <s v="Balancing"/>
        <s v="Bongkar Pasang"/>
        <s v="SPOORING"/>
        <s v="HANKOOK"/>
        <s v="Dunlop"/>
        <s v="Baut Camber"/>
        <s v="Advance"/>
        <s v="Bridgestone"/>
        <s v="Flap"/>
        <s v="SERVICE"/>
        <s v="SPOORING SS/CARRY LOS BAK"/>
        <s v="Baut Camber ss-carry"/>
        <s v="NITROGEN"/>
        <s v="G. YEAR"/>
        <s v="Bongkar Pasang 17"/>
        <s v="BD"/>
        <s v="ACCELERA"/>
        <s v="Lower Arm"/>
        <s v="Aspira"/>
        <s v="SAILUN"/>
        <s v="TAMBAL TUBLES"/>
        <s v="Forceum"/>
        <s v="PENTIL + PASANG"/>
        <s v="DURATUN"/>
        <s v="PENTIL"/>
        <s v="TIEROD"/>
        <s v="MAXXIS"/>
        <s v="Laufen"/>
        <s v="Michelin"/>
        <s v="Michellin"/>
        <s v="GiTi"/>
        <s v="TIRON"/>
        <s v="Baut"/>
        <s v="VELG"/>
        <s v="Shell"/>
        <s v="Pertamina"/>
        <s v="Castrol"/>
        <s v="Sakura"/>
        <s v="Karet Support + Pasang"/>
        <s v="Goodride"/>
        <s v="Denso"/>
        <s v="BD IBK"/>
        <s v="IBK light"/>
        <s v="IBK"/>
        <s v="Filter oli ORI KW"/>
        <s v="JF"/>
        <s v="ICOSON"/>
        <s v="Stabil link avanza"/>
        <s v="RACK END"/>
        <s v="Suzuki"/>
        <e v="#N/A"/>
      </sharedItems>
    </cacheField>
    <cacheField name="Category" numFmtId="0">
      <sharedItems>
        <s v="Tire"/>
        <s v="COMPLEMENTARY"/>
        <s v="SERVICE"/>
        <s v="OIL"/>
        <e v="#N/A"/>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C1:G1002" sheet="PAYMENT CREDIT"/>
  </cacheSource>
  <cacheFields>
    <cacheField name="DATE" numFmtId="14">
      <sharedItems containsDate="1" containsString="0" containsBlank="1">
        <d v="2025-01-22T00:00:00Z"/>
        <d v="2025-01-28T00:00:00Z"/>
        <d v="2025-02-01T00:00:00Z"/>
        <d v="2025-02-02T00:00:00Z"/>
        <d v="2025-02-06T00:00:00Z"/>
        <d v="2025-02-07T00:00:00Z"/>
        <d v="2025-02-08T00:00:00Z"/>
        <d v="2025-02-09T00:00:00Z"/>
        <d v="2025-02-10T00:00:00Z"/>
        <d v="2025-02-12T00:00:00Z"/>
        <d v="2025-02-15T00:00:00Z"/>
        <d v="2025-02-17T00:00:00Z"/>
        <d v="2025-02-19T00:00:00Z"/>
        <d v="2025-02-22T00:00:00Z"/>
        <d v="2025-02-24T00:00:00Z"/>
        <d v="2025-02-25T00:00:00Z"/>
        <d v="2025-02-26T00:00:00Z"/>
        <d v="2025-02-27T00:00:00Z"/>
        <d v="2025-02-28T00:00:00Z"/>
        <d v="2025-03-01T00:00:00Z"/>
        <d v="2025-03-03T00:00:00Z"/>
        <d v="2025-03-06T00:00:00Z"/>
        <d v="2025-03-07T00:00:00Z"/>
        <d v="2025-03-08T00:00:00Z"/>
        <d v="2025-03-09T00:00:00Z"/>
        <d v="2025-03-13T00:00:00Z"/>
        <d v="2025-03-14T00:00:00Z"/>
        <d v="2025-03-16T00:00:00Z"/>
        <d v="2025-03-17T00:00:00Z"/>
        <d v="2025-03-19T00:00:00Z"/>
        <d v="2025-03-20T00:00:00Z"/>
        <d v="2025-03-21T00:00:00Z"/>
        <d v="2025-03-22T00:00:00Z"/>
        <d v="2025-03-23T00:00:00Z"/>
        <d v="2025-03-24T00:00:00Z"/>
        <d v="2025-03-26T00:00:00Z"/>
        <d v="2025-03-28T00:00:00Z"/>
        <d v="2025-03-29T00:00:00Z"/>
        <d v="2025-03-30T00:00:00Z"/>
        <d v="2025-04-01T00:00:00Z"/>
        <d v="2025-04-02T00:00:00Z"/>
        <d v="2025-04-03T00:00:00Z"/>
        <d v="2025-04-04T00:00:00Z"/>
        <d v="2025-04-06T00:00:00Z"/>
        <d v="2025-04-07T00:00:00Z"/>
        <d v="2025-04-09T00:00:00Z"/>
        <d v="2025-04-11T00:00:00Z"/>
        <d v="2025-04-12T00:00:00Z"/>
        <d v="2025-04-13T00:00:00Z"/>
        <d v="2025-04-14T00:00:00Z"/>
        <d v="2025-04-15T00:00:00Z"/>
        <d v="2025-04-16T00:00:00Z"/>
        <d v="2025-04-17T00:00:00Z"/>
        <d v="2025-04-18T00:00:00Z"/>
        <d v="2025-04-19T00:00:00Z"/>
        <d v="2025-04-20T00:00:00Z"/>
        <d v="2025-04-21T00:00:00Z"/>
        <d v="2025-04-24T00:00:00Z"/>
        <d v="2025-04-26T00:00:00Z"/>
        <d v="2025-04-29T00:00:00Z"/>
        <d v="2025-05-07T00:00:00Z"/>
        <d v="2025-05-08T00:00:00Z"/>
        <d v="2025-05-09T00:00:00Z"/>
        <d v="2025-05-11T00:00:00Z"/>
        <d v="2025-05-12T00:00:00Z"/>
        <d v="2025-05-14T00:00:00Z"/>
        <d v="2025-05-15T00:00:00Z"/>
        <d v="2025-05-16T00:00:00Z"/>
        <d v="2025-05-17T00:00:00Z"/>
        <d v="2025-05-18T00:00:00Z"/>
        <d v="2025-05-19T00:00:00Z"/>
        <d v="2025-05-22T00:00:00Z"/>
        <d v="2025-05-24T00:00:00Z"/>
        <d v="2025-05-25T00:00:00Z"/>
        <d v="2025-05-26T00:00:00Z"/>
        <d v="2025-05-28T00:00:00Z"/>
        <d v="2025-05-29T00:00:00Z"/>
        <d v="2025-05-30T00:00:00Z"/>
        <d v="2025-06-01T00:00:00Z"/>
        <d v="2025-06-02T00:00:00Z"/>
        <d v="2025-06-04T00:00:00Z"/>
        <d v="2025-06-05T00:00:00Z"/>
        <d v="2025-06-06T00:00:00Z"/>
        <d v="2025-06-07T00:00:00Z"/>
        <d v="2025-06-08T00:00:00Z"/>
        <d v="2025-06-09T00:00:00Z"/>
        <d v="2025-06-13T00:00:00Z"/>
        <d v="2025-06-14T00:00:00Z"/>
        <d v="2025-06-16T00:00:00Z"/>
        <d v="2025-06-17T00:00:00Z"/>
        <d v="2025-06-19T00:00:00Z"/>
        <d v="2025-06-20T00:00:00Z"/>
        <d v="2025-06-22T00:00:00Z"/>
        <d v="2025-06-23T00:00:00Z"/>
        <d v="2025-06-24T00:00:00Z"/>
        <d v="2025-06-25T00:00:00Z"/>
        <d v="2025-06-26T00:00:00Z"/>
        <d v="2025-06-28T00:00:00Z"/>
        <d v="2025-06-29T00:00:00Z"/>
        <d v="2025-06-30T00:00:00Z"/>
        <d v="2025-07-02T00:00:00Z"/>
        <d v="2025-07-04T00:00:00Z"/>
        <d v="2025-07-05T00:00:00Z"/>
        <d v="2025-07-07T00:00:00Z"/>
        <d v="2025-07-08T00:00:00Z"/>
        <d v="2025-07-09T00:00:00Z"/>
        <d v="2025-07-11T00:00:00Z"/>
        <d v="2025-07-12T00:00:00Z"/>
        <d v="2025-07-13T00:00:00Z"/>
        <d v="2025-07-14T00:00:00Z"/>
        <d v="2025-07-16T00:00:00Z"/>
        <d v="2025-07-20T00:00:00Z"/>
        <d v="2025-07-23T00:00:00Z"/>
        <d v="2025-07-24T00:00:00Z"/>
        <d v="2025-07-25T00:00:00Z"/>
        <d v="2025-07-26T00:00:00Z"/>
        <d v="2025-07-30T00:00:00Z"/>
        <d v="2025-08-01T00:00:00Z"/>
        <d v="2025-08-03T00:00:00Z"/>
        <d v="2025-08-04T00:00:00Z"/>
        <d v="2025-08-05T00:00:00Z"/>
        <d v="2025-08-06T00:00:00Z"/>
        <d v="2025-08-07T00:00:00Z"/>
        <d v="2025-08-08T00:00:00Z"/>
        <d v="2025-08-11T00:00:00Z"/>
        <d v="2025-08-13T00:00:00Z"/>
        <d v="2025-08-14T00:00:00Z"/>
        <d v="2025-08-15T00:00:00Z"/>
        <d v="2025-08-16T00:00:00Z"/>
        <d v="2025-08-17T00:00:00Z"/>
        <d v="2025-08-18T00:00:00Z"/>
        <d v="2025-08-20T00:00:00Z"/>
        <d v="2025-08-21T00:00:00Z"/>
        <d v="2025-08-22T00:00:00Z"/>
        <d v="2025-08-24T00:00:00Z"/>
        <d v="2025-08-25T00:00:00Z"/>
        <d v="2025-08-27T00:00:00Z"/>
        <d v="2025-08-28T00:00:00Z"/>
        <d v="2025-08-30T00:00:00Z"/>
        <d v="2025-08-31T00:00:00Z"/>
        <d v="2025-09-03T00:00:00Z"/>
        <d v="2025-09-05T00:00:00Z"/>
        <d v="2025-09-07T00:00:00Z"/>
        <d v="2025-09-08T00:00:00Z"/>
        <d v="2025-09-09T00:00:00Z"/>
        <d v="2025-09-10T00:00:00Z"/>
        <d v="2025-09-12T00:00:00Z"/>
        <d v="2025-09-13T00:00:00Z"/>
        <d v="2025-09-14T00:00:00Z"/>
        <d v="2025-09-15T00:00:00Z"/>
        <d v="2025-09-17T00:00:00Z"/>
        <d v="2025-09-19T00:00:00Z"/>
        <d v="2025-09-22T00:00:00Z"/>
        <d v="2025-09-25T00:00:00Z"/>
        <d v="2025-09-27T00:00:00Z"/>
        <d v="2025-09-28T00:00:00Z"/>
        <d v="2025-09-29T00:00:00Z"/>
        <d v="2025-10-01T00:00:00Z"/>
        <d v="2025-10-03T00:00:00Z"/>
        <d v="2025-10-04T00:00:00Z"/>
        <d v="2025-10-05T00:00:00Z"/>
        <d v="2025-10-08T00:00:00Z"/>
        <d v="2025-10-09T00:00:00Z"/>
        <d v="2025-10-10T00:00:00Z"/>
        <d v="2025-10-12T00:00:00Z"/>
        <d v="2025-10-13T00:00:00Z"/>
        <d v="2025-10-15T00:00:00Z"/>
        <d v="2025-10-16T00:00:00Z"/>
        <d v="2025-10-17T00:00:00Z"/>
        <d v="2025-10-19T00:00:00Z"/>
        <d v="2025-10-22T00:00:00Z"/>
        <d v="2025-10-24T00:00:00Z"/>
        <d v="2025-10-25T00:00:00Z"/>
        <d v="2025-10-27T00:00:00Z"/>
        <d v="2025-10-28T00:00:00Z"/>
        <d v="2025-10-29T00:00:00Z"/>
        <d v="2025-11-01T00:00:00Z"/>
        <d v="2025-11-03T00:00:00Z"/>
        <d v="2025-11-04T00:00:00Z"/>
        <d v="2025-11-05T00:00:00Z"/>
        <d v="2025-11-06T00:00:00Z"/>
        <d v="2025-11-07T00:00:00Z"/>
        <d v="2025-11-09T00:00:00Z"/>
        <d v="2025-11-10T00:00:00Z"/>
        <d v="2025-11-11T00:00:00Z"/>
        <d v="2025-11-12T00:00:00Z"/>
        <d v="2025-11-13T00:00:00Z"/>
        <d v="2025-11-14T00:00:00Z"/>
        <d v="2025-11-15T00:00:00Z"/>
        <d v="2025-11-16T00:00:00Z"/>
        <d v="2025-11-17T00:00:00Z"/>
        <d v="2025-11-18T00:00:00Z"/>
        <d v="2025-11-19T00:00:00Z"/>
        <d v="2025-11-20T00:00:00Z"/>
        <d v="2025-11-21T00:00:00Z"/>
        <d v="2025-11-22T00:00:00Z"/>
        <d v="2025-11-24T00:00:00Z"/>
        <d v="2025-11-25T00:00:00Z"/>
        <d v="2025-11-26T00:00:00Z"/>
        <d v="2025-11-27T00:00:00Z"/>
        <d v="2025-11-30T00:00:00Z"/>
        <d v="2025-12-01T00:00:00Z"/>
        <d v="2025-12-02T00:00:00Z"/>
        <d v="2025-12-04T00:00:00Z"/>
        <d v="2025-12-06T00:00:00Z"/>
        <d v="2025-12-07T00:00:00Z"/>
        <d v="2025-12-08T00:00:00Z"/>
        <d v="2025-12-09T00:00:00Z"/>
        <d v="2025-12-10T00:00:00Z"/>
        <d v="2025-12-11T00:00:00Z"/>
        <d v="2025-12-13T00:00:00Z"/>
        <d v="2025-12-14T00:00:00Z"/>
        <d v="2025-12-15T00:00:00Z"/>
        <d v="2025-12-16T00:00:00Z"/>
        <d v="2025-12-17T00:00:00Z"/>
        <d v="2025-12-18T00:00:00Z"/>
        <d v="2025-12-21T00:00:00Z"/>
        <d v="2025-12-22T00:00:00Z"/>
        <d v="2025-12-23T00:00:00Z"/>
        <d v="2025-12-25T00:00:00Z"/>
        <d v="2025-12-27T00:00:00Z"/>
        <d v="2025-12-29T00:00:00Z"/>
        <d v="2026-01-02T00:00:00Z"/>
        <d v="2026-01-04T00:00:00Z"/>
        <d v="2026-01-05T00:00:00Z"/>
        <d v="2026-01-06T00:00:00Z"/>
        <d v="2026-01-07T00:00:00Z"/>
        <d v="2026-01-11T00:00:00Z"/>
        <d v="2026-01-13T00:00:00Z"/>
        <d v="2026-01-16T00:00:00Z"/>
        <d v="2026-01-17T00:00:00Z"/>
        <d v="2026-01-18T00:00:00Z"/>
        <d v="2026-01-19T00:00:00Z"/>
        <d v="2026-01-20T00:00:00Z"/>
        <d v="2026-01-21T00:00:00Z"/>
        <d v="2026-01-22T00:00:00Z"/>
        <d v="2026-01-23T00:00:00Z"/>
        <d v="2026-01-24T00:00:00Z"/>
        <d v="2026-01-26T00:00:00Z"/>
        <d v="2026-01-28T00:00:00Z"/>
        <d v="2026-01-29T00:00:00Z"/>
        <d v="2026-01-30T00:00:00Z"/>
        <d v="2026-01-31T00:00:00Z"/>
        <d v="2026-02-01T00:00:00Z"/>
        <d v="2026-02-02T00:00:00Z"/>
        <d v="2026-02-07T00:00:00Z"/>
        <d v="2026-02-10T00:00:00Z"/>
        <d v="2026-02-11T00:00:00Z"/>
        <d v="2026-02-12T00:00:00Z"/>
        <d v="2026-02-13T00:00:00Z"/>
        <d v="2026-02-14T00:00:00Z"/>
        <d v="2026-02-16T00:00:00Z"/>
        <d v="2026-02-17T00:00:00Z"/>
        <d v="2026-02-19T00:00:00Z"/>
        <d v="2026-02-23T00:00:00Z"/>
        <d v="2026-02-25T00:00:00Z"/>
        <d v="2026-02-26T00:00:00Z"/>
        <d v="2026-02-28T00:00:00Z"/>
        <d v="2026-03-01T00:00:00Z"/>
        <d v="2026-03-03T00:00:00Z"/>
        <d v="2026-03-04T00:00:00Z"/>
        <d v="2026-03-05T00:00:00Z"/>
        <d v="2026-03-06T00:00:00Z"/>
        <d v="2026-03-08T00:00:00Z"/>
        <d v="2026-03-09T00:00:00Z"/>
        <d v="2026-03-10T00:00:00Z"/>
        <d v="2026-03-11T00:00:00Z"/>
        <d v="2026-03-12T00:00:00Z"/>
        <d v="2026-03-13T00:00:00Z"/>
        <d v="2026-03-14T00:00:00Z"/>
        <d v="2026-03-19T00:00:00Z"/>
        <d v="2026-03-20T00:00:00Z"/>
        <d v="2026-03-25T00:00:00Z"/>
        <d v="2026-04-01T00:00:00Z"/>
        <d v="2026-04-05T00:00:00Z"/>
        <d v="2026-04-06T00:00:00Z"/>
        <d v="2026-04-07T00:00:00Z"/>
        <d v="2026-04-08T00:00:00Z"/>
        <d v="2026-04-13T00:00:00Z"/>
        <d v="2026-04-16T00:00:00Z"/>
        <d v="2026-04-17T00:00:00Z"/>
        <d v="2026-04-20T00:00:00Z"/>
        <d v="2026-04-21T00:00:00Z"/>
        <d v="2026-04-22T00:00:00Z"/>
        <d v="2026-04-23T00:00:00Z"/>
        <d v="2026-04-26T00:00:00Z"/>
        <d v="2026-04-27T00:00:00Z"/>
        <d v="2026-04-28T00:00:00Z"/>
        <d v="2026-05-01T00:00:00Z"/>
        <d v="2026-05-02T00:00:00Z"/>
        <d v="2026-05-04T00:00:00Z"/>
        <d v="2026-05-05T00:00:00Z"/>
        <d v="2026-05-07T00:00:00Z"/>
        <d v="2026-05-10T00:00:00Z"/>
        <d v="2026-05-15T00:00:00Z"/>
        <d v="2026-05-16T00:00:00Z"/>
        <d v="2026-05-18T00:00:00Z"/>
        <d v="2026-05-20T00:00:00Z"/>
        <d v="2026-05-21T00:00:00Z"/>
        <d v="2026-05-22T00:00:00Z"/>
        <d v="2026-05-08T00:00:00Z"/>
        <d v="2026-05-23T00:00:00Z"/>
        <d v="2026-05-26T00:00:00Z"/>
        <d v="2026-05-29T00:00:00Z"/>
        <d v="2026-06-01T00:00:00Z"/>
        <d v="2026-06-02T00:00:00Z"/>
        <d v="2026-06-06T00:00:00Z"/>
        <d v="2026-06-08T00:00:00Z"/>
        <d v="2026-06-09T00:00:00Z"/>
        <d v="2026-06-12T00:00:00Z"/>
        <d v="2026-06-13T00:00:00Z"/>
        <d v="2026-06-17T00:00:00Z"/>
        <d v="2026-06-18T00:00:00Z"/>
        <d v="2026-06-19T00:00:00Z"/>
        <d v="2026-06-22T00:00:00Z"/>
        <d v="2026-06-23T00:00:00Z"/>
        <d v="2026-06-24T00:00:00Z"/>
        <d v="2026-06-25T00:00:00Z"/>
        <d v="2026-06-26T00:00:00Z"/>
        <d v="2026-06-20T00:00:00Z"/>
        <d v="2026-07-01T00:00:00Z"/>
        <d v="2026-07-02T00:00:00Z"/>
        <d v="2026-07-03T00:00:00Z"/>
        <d v="2026-07-04T00:00:00Z"/>
        <d v="2026-07-06T00:00:00Z"/>
        <d v="2026-07-07T00:00:00Z"/>
        <d v="2026-07-09T00:00:00Z"/>
        <d v="2026-07-10T00:00:00Z"/>
        <d v="2026-07-11T00:00:00Z"/>
        <d v="2026-07-12T00:00:00Z"/>
        <d v="2026-07-14T00:00:00Z"/>
        <d v="2026-07-15T00:00:00Z"/>
        <d v="2026-07-16T00:00:00Z"/>
        <d v="2026-07-18T00:00:00Z"/>
        <d v="2026-07-22T00:00:00Z"/>
        <d v="2026-07-23T00:00:00Z"/>
        <d v="2026-07-24T00:00:00Z"/>
        <d v="2026-07-26T00:00:00Z"/>
        <d v="2026-07-27T00:00:00Z"/>
        <d v="2026-07-30T00:00:00Z"/>
        <d v="2026-08-01T00:00:00Z"/>
        <d v="2026-08-03T00:00:00Z"/>
        <d v="2026-08-05T00:00:00Z"/>
        <d v="2026-08-08T00:00:00Z"/>
        <d v="2026-08-10T00:00:00Z"/>
        <d v="2026-08-15T00:00:00Z"/>
        <d v="2026-08-18T00:00:00Z"/>
        <d v="2026-08-11T00:00:00Z"/>
        <d v="2026-08-22T00:00:00Z"/>
        <d v="2026-08-24T00:00:00Z"/>
        <d v="2026-08-25T00:00:00Z"/>
        <d v="2026-08-26T00:00:00Z"/>
        <d v="2026-08-27T00:00:00Z"/>
        <d v="2026-08-29T00:00:00Z"/>
        <d v="2026-08-31T00:00:00Z"/>
        <d v="2026-09-01T00:00:00Z"/>
        <d v="2026-09-02T00:00:00Z"/>
        <d v="2026-09-03T00:00:00Z"/>
        <d v="2026-09-04T00:00:00Z"/>
        <d v="2026-09-05T00:00:00Z"/>
        <d v="2026-09-07T00:00:00Z"/>
        <d v="2026-09-08T00:00:00Z"/>
        <d v="2026-09-09T00:00:00Z"/>
        <d v="2026-09-10T00:00:00Z"/>
        <d v="2026-09-12T00:00:00Z"/>
        <d v="2026-09-19T00:00:00Z"/>
        <d v="2026-09-24T00:00:00Z"/>
        <m/>
      </sharedItems>
    </cacheField>
    <cacheField name="DATE OF INVOICE" numFmtId="166">
      <sharedItems containsDate="1" containsString="0" containsBlank="1">
        <d v="2025-01-08T00:00:00Z"/>
        <d v="2025-01-14T00:00:00Z"/>
        <d v="2025-01-02T00:00:00Z"/>
        <d v="2025-01-03T00:00:00Z"/>
        <d v="2025-01-07T00:00:00Z"/>
        <d v="2025-01-09T00:00:00Z"/>
        <d v="2025-01-10T00:00:00Z"/>
        <d v="2025-01-11T00:00:00Z"/>
        <d v="2025-01-29T00:00:00Z"/>
        <d v="2025-01-13T00:00:00Z"/>
        <d v="2025-01-16T00:00:00Z"/>
        <d v="2025-01-18T00:00:00Z"/>
        <d v="2025-01-20T00:00:00Z"/>
        <d v="2025-01-23T00:00:00Z"/>
        <d v="2025-01-25T00:00:00Z"/>
        <d v="2025-02-11T00:00:00Z"/>
        <d v="2025-01-26T00:00:00Z"/>
        <d v="2025-01-27T00:00:00Z"/>
        <d v="2025-01-28T00:00:00Z"/>
        <d v="2025-01-30T00:00:00Z"/>
        <d v="2025-02-01T00:00:00Z"/>
        <d v="2025-02-04T00:00:00Z"/>
        <d v="2025-02-05T00:00:00Z"/>
        <d v="2025-02-06T00:00:00Z"/>
        <d v="2025-02-07T00:00:00Z"/>
        <d v="2025-02-12T00:00:00Z"/>
        <d v="2025-02-14T00:00:00Z"/>
        <d v="2025-02-15T00:00:00Z"/>
        <d v="2025-02-17T00:00:00Z"/>
        <d v="2025-02-18T00:00:00Z"/>
        <d v="2025-02-19T00:00:00Z"/>
        <d v="2025-03-14T00:00:00Z"/>
        <d v="2025-02-20T00:00:00Z"/>
        <d v="2025-02-21T00:00:00Z"/>
        <d v="2025-03-10T00:00:00Z"/>
        <d v="2025-02-22T00:00:00Z"/>
        <d v="2025-02-24T00:00:00Z"/>
        <d v="2025-02-26T00:00:00Z"/>
        <d v="2025-02-27T00:00:00Z"/>
        <d v="2025-02-28T00:00:00Z"/>
        <d v="2025-03-02T00:00:00Z"/>
        <d v="2025-03-03T00:00:00Z"/>
        <d v="2025-03-04T00:00:00Z"/>
        <d v="2025-03-05T00:00:00Z"/>
        <d v="2025-03-07T00:00:00Z"/>
        <d v="2025-03-12T00:00:00Z"/>
        <d v="2025-03-13T00:00:00Z"/>
        <d v="2025-03-15T00:00:00Z"/>
        <d v="2025-03-16T00:00:00Z"/>
        <d v="2025-03-17T00:00:00Z"/>
        <d v="2025-03-18T00:00:00Z"/>
        <d v="2025-03-19T00:00:00Z"/>
        <d v="2025-03-20T00:00:00Z"/>
        <d v="2025-03-21T00:00:00Z"/>
        <d v="2025-03-22T00:00:00Z"/>
        <d v="2025-03-25T00:00:00Z"/>
        <d v="2025-03-27T00:00:00Z"/>
        <d v="2025-03-30T00:00:00Z"/>
        <d v="2025-04-07T00:00:00Z"/>
        <d v="2025-04-08T00:00:00Z"/>
        <d v="2025-04-09T00:00:00Z"/>
        <d v="2025-04-11T00:00:00Z"/>
        <d v="2025-04-12T00:00:00Z"/>
        <d v="2025-04-22T00:00:00Z"/>
        <d v="2025-04-14T00:00:00Z"/>
        <d v="2025-05-01T00:00:00Z"/>
        <d v="2025-04-15T00:00:00Z"/>
        <d v="2025-04-16T00:00:00Z"/>
        <d v="2025-04-17T00:00:00Z"/>
        <d v="2025-04-18T00:00:00Z"/>
        <d v="2025-04-19T00:00:00Z"/>
        <d v="2025-04-24T00:00:00Z"/>
        <d v="2025-04-25T00:00:00Z"/>
        <d v="2025-04-26T00:00:00Z"/>
        <d v="2025-04-28T00:00:00Z"/>
        <d v="2025-05-15T00:00:00Z"/>
        <d v="2025-04-29T00:00:00Z"/>
        <d v="2025-05-16T00:00:00Z"/>
        <d v="2025-05-02T00:00:00Z"/>
        <d v="2025-05-03T00:00:00Z"/>
        <d v="2025-05-05T00:00:00Z"/>
        <d v="2025-05-06T00:00:00Z"/>
        <d v="2025-05-07T00:00:00Z"/>
        <d v="2025-05-08T00:00:00Z"/>
        <d v="2025-05-09T00:00:00Z"/>
        <d v="2025-05-10T00:00:00Z"/>
        <d v="2025-05-14T00:00:00Z"/>
        <d v="2025-05-17T00:00:00Z"/>
        <d v="2025-05-18T00:00:00Z"/>
        <d v="2025-05-20T00:00:00Z"/>
        <d v="2025-05-21T00:00:00Z"/>
        <d v="2025-05-23T00:00:00Z"/>
        <d v="2025-05-24T00:00:00Z"/>
        <d v="2025-05-25T00:00:00Z"/>
        <d v="2025-05-26T00:00:00Z"/>
        <d v="2025-05-27T00:00:00Z"/>
        <d v="2025-05-29T00:00:00Z"/>
        <d v="2025-05-30T00:00:00Z"/>
        <d v="2025-05-31T00:00:00Z"/>
        <d v="2025-06-02T00:00:00Z"/>
        <d v="2025-06-04T00:00:00Z"/>
        <d v="2025-06-05T00:00:00Z"/>
        <d v="2025-06-07T00:00:00Z"/>
        <d v="2025-06-24T00:00:00Z"/>
        <d v="2025-06-09T00:00:00Z"/>
        <d v="2025-06-11T00:00:00Z"/>
        <d v="2025-06-13T00:00:00Z"/>
        <d v="2025-06-14T00:00:00Z"/>
        <d v="2025-06-16T00:00:00Z"/>
        <d v="2025-06-20T00:00:00Z"/>
        <d v="2025-06-23T00:00:00Z"/>
        <d v="2025-07-11T00:00:00Z"/>
        <d v="2025-06-26T00:00:00Z"/>
        <d v="2025-06-30T00:00:00Z"/>
        <d v="2025-07-02T00:00:00Z"/>
        <d v="2025-07-04T00:00:00Z"/>
        <d v="2025-07-05T00:00:00Z"/>
        <d v="2025-07-06T00:00:00Z"/>
        <d v="2025-07-07T00:00:00Z"/>
        <d v="2025-07-12T00:00:00Z"/>
        <d v="2025-07-14T00:00:00Z"/>
        <d v="2025-07-15T00:00:00Z"/>
        <d v="2025-07-16T00:00:00Z"/>
        <d v="2025-07-17T00:00:00Z"/>
        <d v="2025-07-18T00:00:00Z"/>
        <d v="2025-07-19T00:00:00Z"/>
        <d v="2025-07-21T00:00:00Z"/>
        <d v="2025-07-22T00:00:00Z"/>
        <d v="2025-07-23T00:00:00Z"/>
        <d v="2025-07-25T00:00:00Z"/>
        <d v="2025-07-26T00:00:00Z"/>
        <d v="2025-07-28T00:00:00Z"/>
        <d v="2025-07-29T00:00:00Z"/>
        <d v="2025-07-31T00:00:00Z"/>
        <d v="2025-08-01T00:00:00Z"/>
        <d v="2025-08-04T00:00:00Z"/>
        <d v="2025-08-06T00:00:00Z"/>
        <d v="2025-08-08T00:00:00Z"/>
        <d v="2025-08-09T00:00:00Z"/>
        <d v="2025-08-05T00:00:00Z"/>
        <d v="2025-09-09T00:00:00Z"/>
        <d v="2025-08-11T00:00:00Z"/>
        <d v="2025-08-13T00:00:00Z"/>
        <d v="2025-08-14T00:00:00Z"/>
        <d v="2025-08-15T00:00:00Z"/>
        <d v="2025-08-16T00:00:00Z"/>
        <d v="2025-08-18T00:00:00Z"/>
        <d v="2025-08-20T00:00:00Z"/>
        <d v="2025-09-08T00:00:00Z"/>
        <d v="2025-08-23T00:00:00Z"/>
        <d v="2025-08-26T00:00:00Z"/>
        <d v="2025-08-28T00:00:00Z"/>
        <d v="2025-08-29T00:00:00Z"/>
        <d v="2025-08-30T00:00:00Z"/>
        <d v="2025-09-01T00:00:00Z"/>
        <d v="2025-09-03T00:00:00Z"/>
        <d v="2025-09-04T00:00:00Z"/>
        <d v="2025-09-05T00:00:00Z"/>
        <d v="2025-10-09T00:00:00Z"/>
        <d v="2025-09-10T00:00:00Z"/>
        <d v="2025-09-12T00:00:00Z"/>
        <d v="2025-09-13T00:00:00Z"/>
        <d v="2025-09-15T00:00:00Z"/>
        <d v="2025-10-03T00:00:00Z"/>
        <d v="2025-09-19T00:00:00Z"/>
        <d v="2025-09-22T00:00:00Z"/>
        <d v="2025-09-24T00:00:00Z"/>
        <d v="2025-09-25T00:00:00Z"/>
        <d v="2025-09-27T00:00:00Z"/>
        <d v="2025-09-28T00:00:00Z"/>
        <d v="2025-09-29T00:00:00Z"/>
        <d v="2025-10-27T00:00:00Z"/>
        <m/>
        <d v="2025-10-02T00:00:00Z"/>
        <d v="2025-10-05T00:00:00Z"/>
        <d v="2025-11-03T00:00:00Z"/>
        <d v="2025-11-06T00:00:00Z"/>
        <d v="2025-10-07T00:00:00Z"/>
        <d v="2025-09-23T00:00:00Z"/>
        <d v="2025-10-11T00:00:00Z"/>
        <d v="2025-11-07T00:00:00Z"/>
        <d v="2025-10-13T00:00:00Z"/>
        <d v="2025-11-14T00:00:00Z"/>
        <d v="2025-10-15T00:00:00Z"/>
        <d v="2025-11-15T00:00:00Z"/>
        <d v="2025-10-17T00:00:00Z"/>
        <d v="2025-10-18T00:00:00Z"/>
        <d v="2025-10-22T00:00:00Z"/>
        <d v="2025-11-19T00:00:00Z"/>
        <d v="2025-10-20T00:00:00Z"/>
        <d v="2025-10-16T00:00:00Z"/>
        <d v="2025-11-26T00:00:00Z"/>
        <d v="2025-10-23T00:00:00Z"/>
        <d v="2025-10-29T00:00:00Z"/>
        <d v="2025-10-28T00:00:00Z"/>
        <d v="2025-11-05T00:00:00Z"/>
        <d v="2025-12-06T00:00:00Z"/>
        <d v="2025-11-01T00:00:00Z"/>
        <d v="2025-11-11T00:00:00Z"/>
        <d v="2025-12-11T00:00:00Z"/>
        <d v="2025-11-09T00:00:00Z"/>
        <d v="2025-12-05T00:00:00Z"/>
        <d v="2025-11-29T00:00:00Z"/>
        <d v="2025-12-01T00:00:00Z"/>
        <d v="2025-11-18T00:00:00Z"/>
        <d v="2025-11-12T00:00:00Z"/>
        <d v="2025-11-21T00:00:00Z"/>
        <d v="2025-11-22T00:00:00Z"/>
        <d v="2025-12-25T00:00:00Z"/>
        <d v="2025-11-27T00:00:00Z"/>
        <d v="2025-11-28T00:00:00Z"/>
        <d v="2025-12-27T00:00:00Z"/>
        <d v="2025-11-20T00:00:00Z"/>
        <d v="2025-12-09T00:00:00Z"/>
        <d v="2026-01-11T00:00:00Z"/>
        <d v="2025-12-07T00:00:00Z"/>
        <d v="2025-12-13T00:00:00Z"/>
        <d v="2025-12-16T00:00:00Z"/>
        <d v="2026-01-17T00:00:00Z"/>
        <d v="2025-12-15T00:00:00Z"/>
        <d v="2026-01-19T00:00:00Z"/>
        <d v="2025-12-29T00:00:00Z"/>
        <d v="2025-12-08T00:00:00Z"/>
        <d v="2026-01-07T00:00:00Z"/>
        <d v="2025-12-17T00:00:00Z"/>
        <d v="2026-01-08T00:00:00Z"/>
        <d v="2025-12-22T00:00:00Z"/>
        <d v="2025-12-23T00:00:00Z"/>
        <d v="2025-12-24T00:00:00Z"/>
        <d v="2025-12-28T00:00:00Z"/>
        <d v="2025-12-26T00:00:00Z"/>
        <d v="2026-01-12T00:00:00Z"/>
        <d v="2026-01-30T00:00:00Z"/>
        <d v="2025-12-21T00:00:00Z"/>
        <d v="2026-02-02T00:00:00Z"/>
        <d v="2026-01-13T00:00:00Z"/>
        <d v="2026-02-10T00:00:00Z"/>
        <d v="2026-01-16T00:00:00Z"/>
        <d v="2026-01-27T00:00:00Z"/>
        <d v="2026-02-14T00:00:00Z"/>
        <d v="2026-02-16T00:00:00Z"/>
        <d v="2026-01-10T00:00:00Z"/>
        <d v="2026-01-20T00:00:00Z"/>
        <d v="2026-01-26T00:00:00Z"/>
        <d v="2025-12-30T00:00:00Z"/>
        <d v="2026-01-28T00:00:00Z"/>
        <d v="2026-01-29T00:00:00Z"/>
        <d v="2026-01-24T00:00:00Z"/>
        <d v="2026-02-07T00:00:00Z"/>
        <d v="2026-01-23T00:00:00Z"/>
        <d v="2026-02-03T00:00:00Z"/>
        <d v="2026-02-11T00:00:00Z"/>
        <d v="2026-02-26T00:00:00Z"/>
        <d v="2026-01-21T00:00:00Z"/>
        <d v="2026-02-08T00:00:00Z"/>
        <d v="2026-02-18T00:00:00Z"/>
        <d v="2026-02-23T00:00:00Z"/>
        <d v="2026-02-04T00:00:00Z"/>
        <d v="2026-03-16T00:00:00Z"/>
        <d v="2026-02-25T00:00:00Z"/>
        <d v="2026-04-08T00:00:00Z"/>
        <d v="2026-03-04T00:00:00Z"/>
        <d v="2026-03-12T00:00:00Z"/>
        <d v="2026-03-26T00:00:00Z"/>
        <d v="2026-03-05T00:00:00Z"/>
        <d v="2026-03-11T00:00:00Z"/>
        <d v="2026-03-17T00:00:00Z"/>
        <d v="2026-03-23T00:00:00Z"/>
        <d v="2026-03-02T00:00:00Z"/>
        <d v="2026-03-10T00:00:00Z"/>
        <d v="2026-04-22T00:00:00Z"/>
        <d v="2026-04-02T00:00:00Z"/>
        <d v="2026-03-28T00:00:00Z"/>
        <d v="2026-04-04T00:00:00Z"/>
        <d v="2026-05-07T00:00:00Z"/>
        <d v="2026-04-07T00:00:00Z"/>
        <d v="2026-05-16T00:00:00Z"/>
        <d v="2026-04-16T00:00:00Z"/>
        <d v="2026-04-20T00:00:00Z"/>
        <d v="2026-04-14T00:00:00Z"/>
        <d v="2026-04-10T00:00:00Z"/>
        <d v="2026-04-17T00:00:00Z"/>
        <d v="2026-04-25T00:00:00Z"/>
        <d v="2026-04-28T00:00:00Z"/>
        <d v="2026-05-28T00:00:00Z"/>
        <d v="2026-04-27T00:00:00Z"/>
        <d v="2026-04-30T00:00:00Z"/>
        <d v="2026-04-18T00:00:00Z"/>
        <d v="2026-05-06T00:00:00Z"/>
        <d v="2026-05-12T00:00:00Z"/>
        <d v="2026-05-02T00:00:00Z"/>
        <d v="2026-05-08T00:00:00Z"/>
        <d v="2026-06-17T00:00:00Z"/>
        <d v="2026-05-14T00:00:00Z"/>
        <d v="2026-05-05T00:00:00Z"/>
        <d v="2026-05-11T00:00:00Z"/>
        <d v="2026-05-20T00:00:00Z"/>
        <d v="2026-06-20T00:00:00Z"/>
        <d v="2026-05-25T00:00:00Z"/>
        <d v="2026-05-23T00:00:00Z"/>
        <d v="2026-06-05T00:00:00Z"/>
        <d v="2026-05-30T00:00:00Z"/>
        <d v="2026-05-26T00:00:00Z"/>
        <d v="2026-06-01T00:00:00Z"/>
        <d v="2026-05-17T00:00:00Z"/>
        <d v="2026-06-09T00:00:00Z"/>
        <d v="2026-05-29T00:00:00Z"/>
        <d v="2026-06-03T00:00:00Z"/>
        <d v="2026-05-18T00:00:00Z"/>
        <d v="2026-06-12T00:00:00Z"/>
        <d v="2026-07-03T00:00:00Z"/>
        <d v="2026-06-27T00:00:00Z"/>
        <d v="2026-07-07T00:00:00Z"/>
        <d v="2026-06-18T00:00:00Z"/>
        <d v="2026-06-08T00:00:00Z"/>
        <d v="2026-06-19T00:00:00Z"/>
        <d v="2026-06-24T00:00:00Z"/>
        <d v="2026-06-25T00:00:00Z"/>
        <d v="2026-06-29T00:00:00Z"/>
        <d v="2026-07-01T00:00:00Z"/>
        <d v="2026-07-14T00:00:00Z"/>
        <d v="2026-07-25T00:00:00Z"/>
        <d v="2026-07-17T00:00:00Z"/>
        <d v="2026-07-22T00:00:00Z"/>
        <d v="2026-07-23T00:00:00Z"/>
        <d v="2026-07-24T00:00:00Z"/>
        <d v="2026-08-26T00:00:00Z"/>
        <d v="2026-08-11T00:00:00Z"/>
        <d v="2026-07-27T00:00:00Z"/>
        <d v="2026-08-31T00:00:00Z"/>
        <d v="2026-07-29T00:00:00Z"/>
        <d v="2026-08-04T00:00:00Z"/>
        <d v="2026-08-18T00:00:00Z"/>
        <d v="2026-08-20T00:00:00Z"/>
        <d v="2026-08-03T00:00:00Z"/>
        <d v="2026-08-27T00:00:00Z"/>
        <d v="2026-08-07T00:00:00Z"/>
        <d v="2026-08-01T00:00:00Z"/>
        <d v="2026-08-22T00:00:00Z"/>
      </sharedItems>
    </cacheField>
    <cacheField name="NAMA CUSTOMER" numFmtId="0">
      <sharedItems containsBlank="1">
        <s v="Aartijaya Velvet"/>
        <s v="Bpk. Bram"/>
        <s v="Bpk. Ujang Damai/Rancakole"/>
        <s v="Bpk. Usep Isma/Balekambang"/>
        <s v="Bpk. Agus Antasalam"/>
        <s v="Bpk. Felis "/>
        <s v="Bpk. Rian Papandayan"/>
        <s v="Ibu Dede/Maruyung"/>
        <s v="Bpk. Dinar Sudi"/>
        <s v="Bpk. Aden Fahri/Cibeureum"/>
        <s v="Bpk. Hadi Cikitu"/>
        <s v="Bpk. Tobi Cikitu"/>
        <s v="Ibu Dede/Sundawangi"/>
        <s v="Bpk. Opang CIheulang"/>
        <s v="Bpk. H. Syukur/Ikhsan CIbeurreum"/>
        <s v="Bpk. Agus Jogor"/>
        <s v="Bpk. Wisnu Pangauban"/>
        <s v="Bpk. Dudung Cikoneng"/>
        <s v="Bpk. Jajang/Sapan"/>
        <s v="Ibu. Amanah"/>
        <s v="Bpk. Endut"/>
        <s v="Bpk. Cuing/Leles"/>
        <s v="Bpk. Ujang Baduy Wadat"/>
        <s v="Bpk. Ate Paseh"/>
        <s v="Bpk. Endang RSJ Sudi"/>
        <s v="Bpk. H. Anang/Ciparay barujati"/>
        <s v="Bpk. H. Ikhsan/Cibeureum"/>
        <s v="Bpk. Dani Jembar Mukti"/>
        <s v="Bpk. Deden Putra Walahir"/>
        <s v="Bpk. Dedi CRW"/>
        <s v="Ibu Yayah Pandex/Ciheulang"/>
        <s v="Bpk. H Entang"/>
        <s v="Bpk. Koko"/>
        <s v="Bpk. Cuplis"/>
        <s v="Bpk. Dani Darmawan/Garduh Jaya"/>
        <s v="Family Sejati"/>
        <s v="Bpk. Fajar Kurnia"/>
        <s v="PT. SANTOSA KURNIA JAYA"/>
        <s v="Bpk. Yayat Dojer Sapan"/>
        <s v="Bpk. H. Alit Cibeureum"/>
        <s v="Bpk. Uus"/>
        <s v="Bpk. Iwan Pajaten"/>
        <s v="Bpk. Iyep/Butul"/>
        <s v="Bpk. H Odang Pelered"/>
        <s v="Bpk. Hasyim Pacet"/>
        <s v="Bpk. Dede DP/Pasanggrahan"/>
        <s v="Bpk. H. Syahro Dangdang"/>
        <s v="Bpk. Koko Cibeet"/>
        <s v="Bpk. H. Wido"/>
        <s v="Bpk. H. Nundang"/>
        <s v="Bpk. H. Amin Cibeureum"/>
        <s v="Bpk. Usep Sri Rahayu"/>
        <s v="Bpk. Dodi Polsek Soljer"/>
        <s v="Bpk. Udo Kebum Tiwu"/>
        <s v="Ibu Komala/Munjul"/>
        <s v="Bpk. Kohar CIbereum"/>
        <s v="Bpk. Rohman Loa"/>
        <s v="Bpk. Pandu/Sapan"/>
        <s v="Bpk. Adin Texas/Balekambang"/>
        <s v="Ibu. HJ. Eti"/>
        <s v="Bpk. Eye"/>
        <s v="Bpk. Egi/Ganjar Pasirkukun"/>
        <s v="Bpk. H. Toni/ Jalan anyar"/>
        <s v="Bpk. Robi Balekambang"/>
        <s v="Anita Jaya/Sapan"/>
        <s v="Bpk. H. Iwan"/>
        <s v="Ko Aris/Leuwidulang"/>
        <s v="Bpk. H. tarlan Cibeureum"/>
        <s v="Bpk. agus kenalpot"/>
        <s v="Bpk. H. Deni Dandang"/>
        <s v="Bpk. Novi ciparay"/>
        <s v="Pak Pandu"/>
        <s v="Bpk. Suyut"/>
        <s v="Bpk. Khairul Magung"/>
        <s v="Bpk. Soni Majalaya"/>
        <s v="Bpk. H Makmun KSM ELf"/>
        <s v="Bpk Nana Rancajigang"/>
        <s v="BPK EPUL/BPK A ADE"/>
        <s v="Bapak Velg"/>
        <s v="Bpk. H. Aep BCP Patrol"/>
        <s v="Bpk. Pian Pakacangan"/>
        <s v="Bpk. SS"/>
        <s v="Ujang Samsu Sudi"/>
        <s v="Ibu Lilis Hayam"/>
        <s v="Bpk. Amal Cikawao"/>
        <s v="Bpk. Iman Rohiman/baru jati"/>
        <s v="Bpk. Oman Majalaya"/>
        <m/>
      </sharedItems>
    </cacheField>
    <cacheField name="AMOUNT" numFmtId="165">
      <sharedItems containsString="0" containsBlank="1" containsNumber="1" containsInteger="1">
        <n v="3320000.0"/>
        <n v="360000.0"/>
        <n v="3260000.0"/>
        <n v="1685000.0"/>
        <n v="3000000.0"/>
        <n v="4300000.0"/>
        <n v="250000.0"/>
        <n v="85000.0"/>
        <n v="1770000.0"/>
        <n v="3800000.0"/>
        <n v="1920000.0"/>
        <n v="3420000.0"/>
        <n v="4100000.0"/>
        <n v="1800000.0"/>
        <n v="1925000.0"/>
        <n v="2050000.0"/>
        <n v="1500000.0"/>
        <n v="1795000.0"/>
        <n v="1300000.0"/>
        <n v="9600000.0"/>
        <n v="1400000.0"/>
        <n v="130000.0"/>
        <n v="2150000.0"/>
        <n v="750000.0"/>
        <n v="3720000.0"/>
        <n v="5795000.0"/>
        <n v="400000.0"/>
        <n v="180000.0"/>
        <n v="1340000.0"/>
        <n v="7660000.0"/>
        <n v="2400000.0"/>
        <n v="4720000.0"/>
        <n v="7920000.0"/>
        <n v="760000.0"/>
        <n v="380000.0"/>
        <n v="1700000.0"/>
        <n v="1670000.0"/>
        <n v="230000.0"/>
        <n v="150000.0"/>
        <n v="1835000.0"/>
        <n v="420000.0"/>
        <n v="1230000.0"/>
        <n v="2000000.0"/>
        <n v="1475000.0"/>
        <n v="2820000.0"/>
        <n v="160000.0"/>
        <n v="3060000.0"/>
        <n v="5840000.0"/>
        <n v="1080000.0"/>
        <n v="450000.0"/>
        <n v="1780000.0"/>
        <n v="95000.0"/>
        <n v="3900000.0"/>
        <n v="1950000.0"/>
        <n v="1280000.0"/>
        <n v="7800000.0"/>
        <n v="1.56E7"/>
        <n v="3200000.0"/>
        <n v="3160000.0"/>
        <n v="1980000.0"/>
        <n v="1.14E7"/>
        <n v="1040000.0"/>
        <n v="3600000.0"/>
        <n v="2470000.0"/>
        <n v="1.274E7"/>
        <n v="280000.0"/>
        <n v="3540000.0"/>
        <n v="1.72E7"/>
        <n v="2060000.0"/>
        <n v="3370000.0"/>
        <n v="1625000.0"/>
        <n v="830000.0"/>
        <n v="1630000.0"/>
        <n v="4750000.0"/>
        <n v="880000.0"/>
        <n v="3.006E7"/>
        <n v="3400000.0"/>
        <n v="4710000.0"/>
        <n v="1250000.0"/>
        <n v="500000.0"/>
        <n v="3140000.0"/>
        <n v="2890000.0"/>
        <n v="2465000.0"/>
        <n v="100000.0"/>
        <n v="1470000.0"/>
        <n v="290000.0"/>
        <n v="2020000.0"/>
        <n v="4470000.0"/>
        <n v="3090000.0"/>
        <n v="200000.0"/>
        <n v="4120000.0"/>
        <n v="2360000.0"/>
        <n v="2530000.0"/>
        <n v="3550000.0"/>
        <n v="6740000.0"/>
        <n v="1000000.0"/>
        <n v="1315000.0"/>
        <n v="2240000.0"/>
        <n v="3110000.0"/>
        <n v="1600000.0"/>
        <n v="1380000.0"/>
        <n v="220000.0"/>
        <n v="1260000.0"/>
        <n v="8300000.0"/>
        <n v="1200000.0"/>
        <n v="320000.0"/>
        <n v="675000.0"/>
        <n v="1560000.0"/>
        <n v="5785000.0"/>
        <n v="1265000.0"/>
        <n v="4450000.0"/>
        <n v="4430000.0"/>
        <n v="8690000.0"/>
        <n v="2660000.0"/>
        <n v="1.788E7"/>
        <n v="1900000.0"/>
        <n v="4220000.0"/>
        <n v="3700000.0"/>
        <n v="2235000.0"/>
        <n v="2485000.0"/>
        <n v="870000.0"/>
        <n v="4500000.0"/>
        <n v="3995000.0"/>
        <n v="6800000.0"/>
        <n v="2760000.0"/>
        <n v="440000.0"/>
        <n v="170000.0"/>
        <n v="6000000.0"/>
        <n v="1820000.0"/>
        <n v="850000.0"/>
        <n v="1290000.0"/>
        <n v="700000.0"/>
        <n v="2225000.0"/>
        <n v="1850000.0"/>
        <n v="3180000.0"/>
        <n v="2560000.0"/>
        <n v="3500000.0"/>
        <n v="2355000.0"/>
        <n v="8200000.0"/>
        <n v="4800000.0"/>
        <n v="1750000.0"/>
        <n v="5695000.0"/>
        <n v="1570000.0"/>
        <n v="930000.0"/>
        <n v="2250000.0"/>
        <n v="9000000.0"/>
        <n v="2085000.0"/>
        <n v="3250000.0"/>
        <n v="8000000.0"/>
        <n v="350000.0"/>
        <n v="1480000.0"/>
        <n v="120000.0"/>
        <n v="2630000.0"/>
        <n v="8670000.0"/>
        <n v="-2670000.0"/>
        <n v="625000.0"/>
        <n v="875000.0"/>
        <n v="3730000.0"/>
        <n v="780000.0"/>
        <n v="9440000.0"/>
        <n v="1665000.0"/>
        <n v="4320000.0"/>
        <n v="5000000.0"/>
        <n v="4200000.0"/>
        <n v="3240000.0"/>
        <n v="3150000.0"/>
        <n v="1330000.0"/>
        <n v="2100000.0"/>
        <n v="3970000.0"/>
        <n v="3220000.0"/>
        <n v="4440000.0"/>
        <n v="270000.0"/>
        <n v="1060000.0"/>
        <n v="7845000.0"/>
        <n v="1.5E7"/>
        <m/>
        <n v="1990000.0"/>
        <n v="235000.0"/>
        <n v="1440000.0"/>
        <n v="1160000.0"/>
        <n v="3040000.0"/>
        <n v="6500000.0"/>
        <n v="2120000.0"/>
        <n v="900000.0"/>
        <n v="3300000.0"/>
        <n v="3960000.0"/>
        <n v="4400000.0"/>
        <n v="300000.0"/>
        <n v="6265000.0"/>
        <n v="6570000.0"/>
        <n v="1050000.0"/>
        <n v="4000000.0"/>
        <n v="1.416E7"/>
        <n v="4240000.0"/>
        <n v="4460000.0"/>
        <n v="3880000.0"/>
        <n v="3170000.0"/>
        <n v="910000.0"/>
        <n v="1100000.0"/>
        <n v="5150000.0"/>
        <n v="6700000.0"/>
        <n v="5300000.0"/>
        <n v="1520000.0"/>
        <n v="1790000.0"/>
        <n v="2700000.0"/>
        <n v="1.1E7"/>
        <n v="2230000.0"/>
        <n v="940000.0"/>
        <n v="720000.0"/>
        <n v="3380000.0"/>
        <n v="1620000.0"/>
        <n v="6120000.0"/>
        <n v="1540000.0"/>
        <n v="340000.0"/>
        <n v="4630000.0"/>
        <n v="370000.0"/>
        <n v="550000.0"/>
        <n v="5800000.0"/>
        <n v="4350000.0"/>
        <n v="950000.0"/>
        <n v="3850000.0"/>
        <n v="135000.0"/>
        <n v="2600000.0"/>
        <n v="5350000.0"/>
        <n v="840000.0"/>
        <n v="2180000.0"/>
        <n v="600000.0"/>
        <n v="2350000.0"/>
        <n v="2620000.0"/>
        <n v="925000.0"/>
        <n v="6400000.0"/>
        <n v="3620000.0"/>
        <n v="1120000.0"/>
        <n v="1590000.0"/>
        <n v="8180000.0"/>
        <n v="335000.0"/>
        <n v="80000.0"/>
        <n v="435000.0"/>
        <n v="3480000.0"/>
        <n v="7970000.0"/>
        <n v="6920000.0"/>
        <n v="5950000.0"/>
        <n v="1420000.0"/>
        <n v="1.0E7"/>
        <n v="8600000.0"/>
        <n v="1720000.0"/>
        <n v="7000000.0"/>
        <n v="2570000.0"/>
        <n v="2200000.0"/>
        <n v="6780000.0"/>
        <n v="3230000.0"/>
        <n v="2500000.0"/>
        <n v="4560000.0"/>
        <n v="4060000.0"/>
        <n v="1825000.0"/>
        <n v="2280000.0"/>
        <n v="1450000.0"/>
        <n v="6470000.0"/>
        <n v="2440000.0"/>
        <n v="3360000.0"/>
        <n v="3335000.0"/>
        <n v="800000.0"/>
        <n v="4600000.0"/>
        <n v="1320000.0"/>
        <n v="1.145E7"/>
        <n v="1760000.0"/>
        <n v="1740000.0"/>
        <n v="8720000.0"/>
        <n v="655000.0"/>
        <n v="670000.0"/>
        <n v="75000.0"/>
        <n v="4370000.0"/>
        <n v="4170000.0"/>
        <n v="1725000.0"/>
        <n v="1020000.0"/>
        <n v="1.088E7"/>
        <n v="3520000.0"/>
      </sharedItems>
    </cacheField>
    <cacheField name="PROFIT" numFmtId="165">
      <sharedItems containsString="0" containsBlank="1" containsNumber="1" containsInteger="1">
        <n v="450000.0"/>
        <n v="115000.0"/>
        <n v="360000.0"/>
        <n v="185000.0"/>
        <n v="205000.0"/>
        <n v="550000.0"/>
        <n v="400000.0"/>
        <n v="50000.0"/>
        <n v="40000.0"/>
        <n v="200000.0"/>
        <n v="500000.0"/>
        <n v="255000.0"/>
        <n v="460000.0"/>
        <n v="420000.0"/>
        <n v="190000.0"/>
        <n v="210000.0"/>
        <n v="310000.0"/>
        <n v="250000.0"/>
        <n v="960000.0"/>
        <n v="150000.0"/>
        <n v="125000.0"/>
        <n v="470000.0"/>
        <n v="155000.0"/>
        <n v="520000.0"/>
        <n v="80000.0"/>
        <n v="90000.0"/>
        <n v="320000.0"/>
        <n v="990000.0"/>
        <n v="480000.0"/>
        <n v="120000.0"/>
        <n v="100000.0"/>
        <n v="65000.0"/>
        <n v="70000.0"/>
        <n v="140000.0"/>
        <n v="235000.0"/>
        <n v="180000.0"/>
        <n v="280000.0"/>
        <n v="160000.0"/>
        <n v="220000.0"/>
        <n v="0.0"/>
        <n v="800000.0"/>
        <n v="390000.0"/>
        <n v="165000.0"/>
        <m/>
        <n v="510000.0"/>
        <n v="30000.0"/>
        <n v="1670000.0"/>
        <n v="2000000.0"/>
        <n v="600000.0"/>
        <n v="430000.0"/>
        <n v="105000.0"/>
        <n v="2330000.0"/>
        <n v="275000.0"/>
        <n v="300000.0"/>
        <n v="455000.0"/>
        <n v="55000.0"/>
        <n v="60000.0"/>
        <n v="45000.0"/>
        <n v="370000.0"/>
        <n v="110000.0"/>
        <n v="1200000.0"/>
        <n v="35000.0"/>
        <n v="225000.0"/>
        <n v="290000.0"/>
        <n v="380000.0"/>
        <n v="350000.0"/>
        <n v="785000.0"/>
        <n v="130000.0"/>
        <n v="710000.0"/>
        <n v="1050000.0"/>
        <n v="305000.0"/>
        <n v="620000.0"/>
        <n v="615000.0"/>
        <n v="355000.0"/>
        <n v="610000.0"/>
        <n v="475000.0"/>
        <n v="170000.0"/>
        <n v="700000.0"/>
        <n v="570000.0"/>
        <n v="1850000.0"/>
        <n v="810000.0"/>
        <n v="240000.0"/>
        <n v="195000.0"/>
        <n v="410000.0"/>
        <n v="950000.0"/>
        <n v="85000.0"/>
        <n v="295000.0"/>
        <n v="260000.0"/>
        <n v="75000.0"/>
        <n v="175000.0"/>
        <n v="440000.0"/>
        <n v="230000.0"/>
        <n v="1085000.0"/>
        <n v="790000.0"/>
        <n v="660000.0"/>
        <n v="285000.0"/>
        <n v="1410000.0"/>
        <n v="2400000.0"/>
        <n v="1500000.0"/>
        <n v="1000000.0"/>
        <n v="330000.0"/>
        <n v="1160000.0"/>
        <n v="730000.0"/>
        <n v="505000.0"/>
        <n v="1610000.0"/>
        <n v="555000.0"/>
        <n v="605000.0"/>
        <n v="750000.0"/>
        <n v="515000.0"/>
        <n v="1015000.0"/>
        <n v="695000.0"/>
        <n v="590000.0"/>
        <n v="880000.0"/>
        <n v="1240000.0"/>
        <n v="815000.0"/>
        <n v="640000.0"/>
        <n v="580000.0"/>
        <n v="340000.0"/>
        <n v="2580000.0"/>
        <n v="935000.0"/>
        <n v="820000.0"/>
        <n v="405000.0"/>
        <n v="425000.0"/>
        <n v="465000.0"/>
        <n v="540000.0"/>
        <n v="565000.0"/>
        <n v="860000.0"/>
        <n v="560000.0"/>
        <n v="325000.0"/>
        <n v="270000.0"/>
        <n v="1400000.0"/>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C1:Q3003" sheet="PURCHASE"/>
  </cacheSource>
  <cacheFields>
    <cacheField name="Date In" numFmtId="167">
      <sharedItems containsDate="1" containsString="0" containsBlank="1">
        <d v="2025-01-02T00:00:00Z"/>
        <d v="2025-01-03T00:00:00Z"/>
        <d v="2025-01-04T00:00:00Z"/>
        <d v="2025-01-06T00:00:00Z"/>
        <d v="2025-01-07T00:00:00Z"/>
        <d v="2025-01-08T00:00:00Z"/>
        <d v="2025-01-14T00:00:00Z"/>
        <d v="2025-01-16T00:00:00Z"/>
        <d v="2025-01-18T00:00:00Z"/>
        <d v="2025-01-20T00:00:00Z"/>
        <d v="2025-01-21T00:00:00Z"/>
        <d v="2025-01-22T00:00:00Z"/>
        <d v="2025-01-24T00:00:00Z"/>
        <d v="2025-01-30T00:00:00Z"/>
        <d v="2025-01-31T00:00:00Z"/>
        <d v="2025-02-01T00:00:00Z"/>
        <d v="2025-02-03T00:00:00Z"/>
        <d v="2025-02-04T00:00:00Z"/>
        <d v="2025-02-06T00:00:00Z"/>
        <d v="2025-02-12T00:00:00Z"/>
        <d v="2025-02-13T00:00:00Z"/>
        <d v="2025-02-15T00:00:00Z"/>
        <d v="2025-02-18T00:00:00Z"/>
        <d v="2025-02-19T00:00:00Z"/>
        <d v="2025-02-20T00:00:00Z"/>
        <d v="2025-02-21T00:00:00Z"/>
        <d v="2025-02-22T00:00:00Z"/>
        <d v="2025-02-24T00:00:00Z"/>
        <d v="2025-02-25T00:00:00Z"/>
        <d v="2025-02-26T00:00:00Z"/>
        <d v="2025-02-27T00:00:00Z"/>
        <d v="2025-03-01T00:00:00Z"/>
        <d v="2025-03-03T00:00:00Z"/>
        <d v="2025-03-04T00:00:00Z"/>
        <d v="2025-03-05T00:00:00Z"/>
        <d v="2025-03-06T00:00:00Z"/>
        <d v="2025-03-08T00:00:00Z"/>
        <d v="2025-03-10T00:00:00Z"/>
        <d v="2025-03-12T00:00:00Z"/>
        <d v="2025-03-13T00:00:00Z"/>
        <d v="2025-03-14T00:00:00Z"/>
        <d v="2025-03-15T00:00:00Z"/>
        <d v="2025-03-17T00:00:00Z"/>
        <d v="2025-03-18T00:00:00Z"/>
        <d v="2025-03-19T00:00:00Z"/>
        <d v="2025-03-21T00:00:00Z"/>
        <d v="2025-03-22T00:00:00Z"/>
        <d v="2025-03-24T00:00:00Z"/>
        <d v="2025-03-25T00:00:00Z"/>
        <d v="2025-03-26T00:00:00Z"/>
        <d v="2025-03-27T00:00:00Z"/>
        <d v="2025-04-07T00:00:00Z"/>
        <d v="2025-04-09T00:00:00Z"/>
        <d v="2025-04-10T00:00:00Z"/>
        <d v="2025-04-12T00:00:00Z"/>
        <d v="2025-04-14T00:00:00Z"/>
        <d v="2025-04-15T00:00:00Z"/>
        <d v="2025-04-16T00:00:00Z"/>
        <d v="2025-04-17T00:00:00Z"/>
        <d v="2025-04-19T00:00:00Z"/>
        <d v="2025-04-22T00:00:00Z"/>
        <d v="2025-04-23T00:00:00Z"/>
        <d v="2025-04-24T00:00:00Z"/>
        <d v="2025-04-28T00:00:00Z"/>
        <d v="2025-04-30T00:00:00Z"/>
        <d v="2025-05-02T00:00:00Z"/>
        <d v="2025-05-09T00:00:00Z"/>
        <d v="2025-05-10T00:00:00Z"/>
        <d v="2025-05-13T00:00:00Z"/>
        <d v="2025-05-16T00:00:00Z"/>
        <d v="2025-05-17T00:00:00Z"/>
        <d v="2025-05-20T00:00:00Z"/>
        <d v="2025-05-21T00:00:00Z"/>
        <d v="2025-05-22T00:00:00Z"/>
        <d v="2025-05-23T00:00:00Z"/>
        <d v="2025-05-26T00:00:00Z"/>
        <d v="2025-06-04T00:00:00Z"/>
        <d v="2025-06-09T00:00:00Z"/>
        <d v="2025-06-10T00:00:00Z"/>
        <d v="2025-06-11T00:00:00Z"/>
        <d v="2025-06-12T00:00:00Z"/>
        <d v="2025-06-13T00:00:00Z"/>
        <d v="2025-06-17T00:00:00Z"/>
        <d v="2025-06-18T00:00:00Z"/>
        <d v="2025-06-21T00:00:00Z"/>
        <d v="2025-06-23T00:00:00Z"/>
        <d v="2025-06-26T00:00:00Z"/>
        <d v="2025-07-02T00:00:00Z"/>
        <d v="2025-07-03T00:00:00Z"/>
        <d v="2025-07-04T00:00:00Z"/>
        <d v="2025-07-08T00:00:00Z"/>
        <d v="2025-07-09T00:00:00Z"/>
        <d v="2025-07-12T00:00:00Z"/>
        <d v="2025-07-14T00:00:00Z"/>
        <d v="2025-07-15T00:00:00Z"/>
        <d v="2025-07-21T00:00:00Z"/>
        <d v="2025-07-22T00:00:00Z"/>
        <d v="2025-07-23T00:00:00Z"/>
        <d v="2025-07-24T00:00:00Z"/>
        <d v="2025-07-25T00:00:00Z"/>
        <d v="2025-07-28T00:00:00Z"/>
        <d v="2025-07-31T00:00:00Z"/>
        <d v="2025-08-01T00:00:00Z"/>
        <d v="2025-08-07T00:00:00Z"/>
        <d v="2025-08-08T00:00:00Z"/>
        <d v="2025-08-09T00:00:00Z"/>
        <d v="2025-08-12T00:00:00Z"/>
        <d v="2025-08-13T00:00:00Z"/>
        <d v="2025-08-14T00:00:00Z"/>
        <d v="2025-08-21T00:00:00Z"/>
        <d v="2025-08-25T00:00:00Z"/>
        <d v="2025-08-28T00:00:00Z"/>
        <d v="2025-09-01T00:00:00Z"/>
        <d v="2025-09-02T00:00:00Z"/>
        <d v="2025-09-03T00:00:00Z"/>
        <d v="2025-09-06T00:00:00Z"/>
        <d v="2025-09-08T00:00:00Z"/>
        <d v="2025-09-09T00:00:00Z"/>
        <d v="2025-09-10T00:00:00Z"/>
        <d v="2025-09-13T00:00:00Z"/>
        <d v="2025-09-20T00:00:00Z"/>
        <d v="2025-09-22T00:00:00Z"/>
        <d v="2025-09-23T00:00:00Z"/>
        <d v="2025-09-24T00:00:00Z"/>
        <d v="2025-09-26T00:00:00Z"/>
        <d v="2025-09-27T00:00:00Z"/>
        <d v="2025-09-29T00:00:00Z"/>
        <d v="2025-09-30T00:00:00Z"/>
        <d v="2025-10-01T00:00:00Z"/>
        <d v="2025-10-03T00:00:00Z"/>
        <d v="2025-10-06T00:00:00Z"/>
        <d v="2025-10-09T00:00:00Z"/>
        <d v="2025-10-14T00:00:00Z"/>
        <d v="2025-10-15T00:00:00Z"/>
        <d v="2025-10-16T00:00:00Z"/>
        <d v="2025-10-17T00:00:00Z"/>
        <d v="2025-10-20T00:00:00Z"/>
        <d v="2025-10-21T00:00:00Z"/>
        <d v="2025-10-28T00:00:00Z"/>
        <d v="2025-10-29T00:00:00Z"/>
        <d v="2025-10-31T00:00:00Z"/>
        <d v="2025-11-01T00:00:00Z"/>
        <d v="2025-11-05T00:00:00Z"/>
        <d v="2025-11-06T00:00:00Z"/>
        <d v="2025-11-10T00:00:00Z"/>
        <d v="2025-11-11T00:00:00Z"/>
        <d v="2025-11-12T00:00:00Z"/>
        <d v="2025-11-13T00:00:00Z"/>
        <d v="2025-11-14T00:00:00Z"/>
        <d v="2025-11-17T00:00:00Z"/>
        <d v="2025-11-19T00:00:00Z"/>
        <d v="2025-11-20T00:00:00Z"/>
        <d v="2025-11-21T00:00:00Z"/>
        <d v="2025-11-25T00:00:00Z"/>
        <d v="2025-11-26T00:00:00Z"/>
        <d v="2025-11-27T00:00:00Z"/>
        <d v="2025-11-28T00:00:00Z"/>
        <d v="2025-11-29T00:00:00Z"/>
        <d v="2025-12-02T00:00:00Z"/>
        <d v="2025-12-03T00:00:00Z"/>
        <d v="2025-12-05T00:00:00Z"/>
        <d v="2025-12-06T00:00:00Z"/>
        <d v="2025-12-08T00:00:00Z"/>
        <d v="2025-12-10T00:00:00Z"/>
        <d v="2025-12-11T00:00:00Z"/>
        <d v="2025-12-12T00:00:00Z"/>
        <d v="2025-12-13T00:00:00Z"/>
        <d v="2025-12-15T00:00:00Z"/>
        <d v="2025-12-16T00:00:00Z"/>
        <d v="2025-12-19T00:00:00Z"/>
        <d v="2025-12-23T00:00:00Z"/>
        <d v="2025-12-24T00:00:00Z"/>
        <d v="2025-12-25T00:00:00Z"/>
        <d v="2025-12-27T00:00:00Z"/>
        <d v="2025-12-30T00:00:00Z"/>
        <d v="2025-12-31T00:00:00Z"/>
        <d v="2026-01-02T00:00:00Z"/>
        <d v="2026-01-05T00:00:00Z"/>
        <d v="2026-01-06T00:00:00Z"/>
        <d v="2026-01-09T00:00:00Z"/>
        <d v="2026-01-10T00:00:00Z"/>
        <d v="2026-01-12T00:00:00Z"/>
        <d v="2026-01-13T00:00:00Z"/>
        <d v="2026-01-14T00:00:00Z"/>
        <d v="2026-01-19T00:00:00Z"/>
        <d v="2026-01-20T00:00:00Z"/>
        <d v="2026-01-21T00:00:00Z"/>
        <d v="2026-01-22T00:00:00Z"/>
        <d v="2026-01-23T00:00:00Z"/>
        <d v="2026-01-27T00:00:00Z"/>
        <d v="2026-01-28T00:00:00Z"/>
        <d v="2026-01-30T00:00:00Z"/>
        <d v="2026-01-31T00:00:00Z"/>
        <d v="2026-02-02T00:00:00Z"/>
        <d v="2026-02-03T00:00:00Z"/>
        <d v="2026-02-06T00:00:00Z"/>
        <d v="2026-02-12T00:00:00Z"/>
        <d v="2026-02-16T00:00:00Z"/>
        <d v="2026-02-17T00:00:00Z"/>
        <d v="2026-02-18T00:00:00Z"/>
        <d v="2026-02-19T00:00:00Z"/>
        <d v="2026-02-27T00:00:00Z"/>
        <d v="2026-02-28T00:00:00Z"/>
        <d v="2026-03-03T00:00:00Z"/>
        <d v="2026-03-04T00:00:00Z"/>
        <d v="2026-03-05T00:00:00Z"/>
        <d v="2026-03-09T00:00:00Z"/>
        <d v="2026-03-10T00:00:00Z"/>
        <d v="2026-03-11T00:00:00Z"/>
        <d v="2026-03-12T00:00:00Z"/>
        <d v="2026-03-14T00:00:00Z"/>
        <d v="2026-03-16T00:00:00Z"/>
        <d v="2026-03-17T00:00:00Z"/>
        <d v="2026-03-19T00:00:00Z"/>
        <d v="2026-03-25T00:00:00Z"/>
        <d v="2026-03-27T00:00:00Z"/>
        <d v="2026-03-28T00:00:00Z"/>
        <d v="2026-03-30T00:00:00Z"/>
        <d v="2026-04-06T00:00:00Z"/>
        <d v="2026-04-07T00:00:00Z"/>
        <d v="2026-04-08T00:00:00Z"/>
        <d v="2026-04-11T00:00:00Z"/>
        <d v="2026-04-17T00:00:00Z"/>
        <d v="2026-04-18T00:00:00Z"/>
        <d v="2026-04-20T00:00:00Z"/>
        <d v="2026-04-23T00:00:00Z"/>
        <d v="2026-04-28T00:00:00Z"/>
        <d v="2026-05-02T00:00:00Z"/>
        <d v="2026-05-04T00:00:00Z"/>
        <d v="2026-05-06T00:00:00Z"/>
        <d v="2026-05-07T00:00:00Z"/>
        <d v="2026-05-11T00:00:00Z"/>
        <d v="2026-05-12T00:00:00Z"/>
        <d v="2026-05-13T00:00:00Z"/>
        <d v="2026-05-16T00:00:00Z"/>
        <d v="2026-05-19T00:00:00Z"/>
        <d v="2026-05-21T00:00:00Z"/>
        <d v="2026-05-22T00:00:00Z"/>
        <d v="2026-05-23T00:00:00Z"/>
        <d v="2026-05-26T00:00:00Z"/>
        <d v="2026-05-29T00:00:00Z"/>
        <d v="2026-05-30T00:00:00Z"/>
        <d v="2026-06-01T00:00:00Z"/>
        <d v="2026-06-02T00:00:00Z"/>
        <d v="2026-06-03T00:00:00Z"/>
        <d v="2026-06-06T00:00:00Z"/>
        <d v="2026-06-08T00:00:00Z"/>
        <d v="2026-06-10T00:00:00Z"/>
        <d v="2026-06-11T00:00:00Z"/>
        <d v="2026-06-13T00:00:00Z"/>
        <d v="2026-06-15T00:00:00Z"/>
        <d v="2026-06-19T00:00:00Z"/>
        <d v="2026-06-22T00:00:00Z"/>
        <d v="2026-06-25T00:00:00Z"/>
        <d v="2026-06-26T00:00:00Z"/>
        <d v="2026-07-01T00:00:00Z"/>
        <d v="2026-07-02T00:00:00Z"/>
        <d v="2026-07-06T00:00:00Z"/>
        <d v="2026-07-08T00:00:00Z"/>
        <d v="2026-07-09T00:00:00Z"/>
        <d v="2026-07-13T00:00:00Z"/>
        <d v="2026-07-14T00:00:00Z"/>
        <d v="2026-07-16T00:00:00Z"/>
        <d v="2026-07-17T00:00:00Z"/>
        <d v="2026-07-24T00:00:00Z"/>
        <d v="2026-07-28T00:00:00Z"/>
        <d v="2026-08-01T00:00:00Z"/>
        <d v="2026-08-03T00:00:00Z"/>
        <d v="2026-08-04T00:00:00Z"/>
        <d v="2026-08-06T00:00:00Z"/>
        <d v="2026-08-07T00:00:00Z"/>
        <d v="2026-08-11T00:00:00Z"/>
        <d v="2026-08-13T00:00:00Z"/>
        <d v="2026-08-14T00:00:00Z"/>
        <d v="2026-08-21T00:00:00Z"/>
        <d v="2026-08-22T00:00:00Z"/>
        <d v="2026-08-24T00:00:00Z"/>
        <d v="2026-08-26T00:00:00Z"/>
        <d v="2026-08-27T00:00:00Z"/>
        <d v="2026-08-29T00:00:00Z"/>
        <d v="2026-09-01T00:00:00Z"/>
        <d v="2026-09-03T00:00:00Z"/>
        <d v="2026-09-04T00:00:00Z"/>
        <d v="2026-09-10T00:00:00Z"/>
        <d v="2026-09-11T00:00:00Z"/>
        <d v="2026-09-12T00:00:00Z"/>
        <d v="2026-09-14T00:00:00Z"/>
        <d v="2026-09-16T00:00:00Z"/>
        <d v="2026-09-17T00:00:00Z"/>
        <d v="2026-09-19T00:00:00Z"/>
        <d v="2026-09-21T00:00:00Z"/>
        <d v="2026-09-22T00:00:00Z"/>
        <d v="2026-09-24T00:00:00Z"/>
        <m/>
      </sharedItems>
    </cacheField>
    <cacheField name="Date Invoice" numFmtId="167">
      <sharedItems containsDate="1" containsString="0" containsBlank="1">
        <d v="2025-01-02T00:00:00Z"/>
        <d v="2025-01-03T00:00:00Z"/>
        <d v="2025-01-04T00:00:00Z"/>
        <d v="2025-01-06T00:00:00Z"/>
        <d v="2025-01-07T00:00:00Z"/>
        <d v="2025-01-08T00:00:00Z"/>
        <d v="2025-01-14T00:00:00Z"/>
        <d v="2025-01-16T00:00:00Z"/>
        <d v="2025-01-18T00:00:00Z"/>
        <d v="2025-01-20T00:00:00Z"/>
        <d v="2025-01-21T00:00:00Z"/>
        <d v="2025-01-22T00:00:00Z"/>
        <d v="2025-01-24T00:00:00Z"/>
        <d v="2025-01-30T00:00:00Z"/>
        <d v="2025-01-31T00:00:00Z"/>
        <d v="2025-02-01T00:00:00Z"/>
        <d v="2025-02-03T00:00:00Z"/>
        <d v="2025-02-04T00:00:00Z"/>
        <d v="2025-02-06T00:00:00Z"/>
        <d v="2025-02-12T00:00:00Z"/>
        <d v="2025-02-13T00:00:00Z"/>
        <d v="2025-02-15T00:00:00Z"/>
        <d v="2025-02-18T00:00:00Z"/>
        <d v="2025-02-19T00:00:00Z"/>
        <d v="2025-02-20T00:00:00Z"/>
        <d v="2025-02-21T00:00:00Z"/>
        <d v="2025-02-22T00:00:00Z"/>
        <d v="2025-02-24T00:00:00Z"/>
        <d v="2025-02-25T00:00:00Z"/>
        <d v="2025-02-26T00:00:00Z"/>
        <d v="2025-02-27T00:00:00Z"/>
        <d v="2025-03-01T00:00:00Z"/>
        <d v="2025-03-03T00:00:00Z"/>
        <d v="2025-03-04T00:00:00Z"/>
        <d v="2025-03-05T00:00:00Z"/>
        <d v="2025-03-06T00:00:00Z"/>
        <d v="2025-03-08T00:00:00Z"/>
        <d v="2025-03-10T00:00:00Z"/>
        <d v="2025-03-12T00:00:00Z"/>
        <d v="2025-03-13T00:00:00Z"/>
        <d v="2025-03-14T00:00:00Z"/>
        <d v="2025-03-15T00:00:00Z"/>
        <d v="2025-03-17T00:00:00Z"/>
        <d v="2025-03-18T00:00:00Z"/>
        <d v="2025-03-19T00:00:00Z"/>
        <d v="2025-03-21T00:00:00Z"/>
        <d v="2025-03-22T00:00:00Z"/>
        <d v="2025-03-24T00:00:00Z"/>
        <d v="2025-03-25T00:00:00Z"/>
        <d v="2025-03-26T00:00:00Z"/>
        <d v="2025-03-27T00:00:00Z"/>
        <d v="2025-04-07T00:00:00Z"/>
        <d v="2025-04-09T00:00:00Z"/>
        <d v="2025-04-10T00:00:00Z"/>
        <d v="2025-04-12T00:00:00Z"/>
        <d v="2025-04-14T00:00:00Z"/>
        <d v="2025-04-15T00:00:00Z"/>
        <d v="2025-04-16T00:00:00Z"/>
        <d v="2025-04-17T00:00:00Z"/>
        <d v="2025-04-19T00:00:00Z"/>
        <d v="2025-04-22T00:00:00Z"/>
        <d v="2025-04-23T00:00:00Z"/>
        <d v="2025-04-24T00:00:00Z"/>
        <d v="2025-04-28T00:00:00Z"/>
        <d v="2025-04-30T00:00:00Z"/>
        <d v="2025-05-02T00:00:00Z"/>
        <d v="2025-05-09T00:00:00Z"/>
        <d v="2025-05-10T00:00:00Z"/>
        <d v="2025-05-13T00:00:00Z"/>
        <d v="2025-05-16T00:00:00Z"/>
        <d v="2025-05-17T00:00:00Z"/>
        <d v="2025-05-20T00:00:00Z"/>
        <d v="2025-05-21T00:00:00Z"/>
        <d v="2025-05-22T00:00:00Z"/>
        <d v="2025-05-23T00:00:00Z"/>
        <d v="2025-05-26T00:00:00Z"/>
        <d v="2025-06-04T00:00:00Z"/>
        <d v="2025-06-09T00:00:00Z"/>
        <d v="2025-06-10T00:00:00Z"/>
        <d v="2025-06-11T00:00:00Z"/>
        <d v="2025-06-12T00:00:00Z"/>
        <d v="2025-06-13T00:00:00Z"/>
        <d v="2025-06-17T00:00:00Z"/>
        <d v="2025-06-18T00:00:00Z"/>
        <d v="2025-06-21T00:00:00Z"/>
        <d v="2025-06-23T00:00:00Z"/>
        <d v="2025-06-26T00:00:00Z"/>
        <d v="2025-07-02T00:00:00Z"/>
        <d v="2025-07-03T00:00:00Z"/>
        <d v="2025-07-04T00:00:00Z"/>
        <d v="2025-07-08T00:00:00Z"/>
        <d v="2025-07-09T00:00:00Z"/>
        <d v="2025-07-12T00:00:00Z"/>
        <d v="2025-07-14T00:00:00Z"/>
        <d v="2025-07-15T00:00:00Z"/>
        <d v="2025-07-21T00:00:00Z"/>
        <d v="2025-07-22T00:00:00Z"/>
        <d v="2025-07-23T00:00:00Z"/>
        <d v="2025-07-24T00:00:00Z"/>
        <d v="2025-07-25T00:00:00Z"/>
        <d v="2025-07-28T00:00:00Z"/>
        <d v="2025-07-31T00:00:00Z"/>
        <d v="2025-08-01T00:00:00Z"/>
        <d v="2025-08-07T00:00:00Z"/>
        <d v="2025-08-08T00:00:00Z"/>
        <d v="2025-08-09T00:00:00Z"/>
        <d v="2025-08-12T00:00:00Z"/>
        <d v="2025-08-13T00:00:00Z"/>
        <d v="2025-08-14T00:00:00Z"/>
        <d v="2025-08-21T00:00:00Z"/>
        <d v="2025-08-25T00:00:00Z"/>
        <d v="2025-08-28T00:00:00Z"/>
        <d v="2025-09-01T00:00:00Z"/>
        <d v="2025-09-02T00:00:00Z"/>
        <d v="2025-09-03T00:00:00Z"/>
        <d v="2025-09-06T00:00:00Z"/>
        <d v="2025-09-08T00:00:00Z"/>
        <d v="2025-09-09T00:00:00Z"/>
        <d v="2025-09-10T00:00:00Z"/>
        <d v="2025-09-13T00:00:00Z"/>
        <d v="2025-09-20T00:00:00Z"/>
        <d v="2025-09-22T00:00:00Z"/>
        <d v="2025-09-23T00:00:00Z"/>
        <d v="2025-09-24T00:00:00Z"/>
        <d v="2025-09-26T00:00:00Z"/>
        <d v="2025-09-27T00:00:00Z"/>
        <d v="2025-09-29T00:00:00Z"/>
        <d v="2025-09-30T00:00:00Z"/>
        <d v="2025-10-01T00:00:00Z"/>
        <d v="2025-10-03T00:00:00Z"/>
        <d v="2025-10-06T00:00:00Z"/>
        <d v="2025-10-09T00:00:00Z"/>
        <d v="2025-10-14T00:00:00Z"/>
        <d v="2025-10-15T00:00:00Z"/>
        <d v="2025-10-16T00:00:00Z"/>
        <d v="2025-10-17T00:00:00Z"/>
        <d v="2025-10-20T00:00:00Z"/>
        <d v="2025-10-21T00:00:00Z"/>
        <d v="2025-10-28T00:00:00Z"/>
        <d v="2025-10-29T00:00:00Z"/>
        <d v="2025-10-31T00:00:00Z"/>
        <d v="2025-10-30T00:00:00Z"/>
        <d v="2025-11-05T00:00:00Z"/>
        <d v="2025-11-06T00:00:00Z"/>
        <d v="2025-11-11T00:00:00Z"/>
        <d v="2025-11-12T00:00:00Z"/>
        <d v="2025-11-13T00:00:00Z"/>
        <d v="2025-11-17T00:00:00Z"/>
        <d v="2025-11-18T00:00:00Z"/>
        <d v="2025-11-19T00:00:00Z"/>
        <d v="2025-11-25T00:00:00Z"/>
        <d v="2025-11-26T00:00:00Z"/>
        <d v="2025-11-27T00:00:00Z"/>
        <d v="2025-11-29T00:00:00Z"/>
        <d v="2025-11-28T00:00:00Z"/>
        <d v="2025-12-03T00:00:00Z"/>
        <d v="2025-12-05T00:00:00Z"/>
        <d v="2025-12-08T00:00:00Z"/>
        <d v="2025-12-10T00:00:00Z"/>
        <d v="2025-12-09T00:00:00Z"/>
        <d v="2025-12-11T00:00:00Z"/>
        <d v="2025-12-15T00:00:00Z"/>
        <d v="2025-12-16T00:00:00Z"/>
        <d v="2025-12-18T00:00:00Z"/>
        <d v="2025-12-22T00:00:00Z"/>
        <d v="2025-12-23T00:00:00Z"/>
        <d v="2025-12-24T00:00:00Z"/>
        <d v="2025-12-27T00:00:00Z"/>
        <d v="2025-12-29T00:00:00Z"/>
        <d v="2025-12-30T00:00:00Z"/>
        <d v="2026-01-02T00:00:00Z"/>
        <d v="2025-12-31T00:00:00Z"/>
        <d v="2026-01-05T00:00:00Z"/>
        <d v="2026-01-06T00:00:00Z"/>
        <d v="2026-01-09T00:00:00Z"/>
        <d v="2026-01-13T00:00:00Z"/>
        <d v="2026-01-14T00:00:00Z"/>
        <d v="2026-01-17T00:00:00Z"/>
        <d v="2026-01-19T00:00:00Z"/>
        <d v="2026-01-21T00:00:00Z"/>
        <d v="2026-01-22T00:00:00Z"/>
        <d v="2026-01-27T00:00:00Z"/>
        <d v="2026-01-28T00:00:00Z"/>
        <d v="2026-01-30T00:00:00Z"/>
        <d v="2026-01-31T00:00:00Z"/>
        <d v="2026-02-02T00:00:00Z"/>
        <d v="2026-02-03T00:00:00Z"/>
        <d v="2026-02-05T00:00:00Z"/>
        <d v="2026-02-06T00:00:00Z"/>
        <d v="2026-02-12T00:00:00Z"/>
        <d v="2026-02-16T00:00:00Z"/>
        <d v="2026-02-14T00:00:00Z"/>
        <d v="2026-02-25T00:00:00Z"/>
        <d v="2026-02-28T00:00:00Z"/>
        <d v="2026-03-02T00:00:00Z"/>
        <d v="2026-03-03T00:00:00Z"/>
        <d v="2026-03-05T00:00:00Z"/>
        <d v="2026-03-09T00:00:00Z"/>
        <d v="2026-03-11T00:00:00Z"/>
        <d v="2026-03-10T00:00:00Z"/>
        <d v="2026-03-14T00:00:00Z"/>
        <d v="2026-03-16T00:00:00Z"/>
        <d v="2026-03-17T00:00:00Z"/>
        <d v="2026-03-18T00:00:00Z"/>
        <d v="2026-03-25T00:00:00Z"/>
        <d v="2026-03-27T00:00:00Z"/>
        <d v="2026-03-26T00:00:00Z"/>
        <d v="2026-03-30T00:00:00Z"/>
        <d v="2026-04-06T00:00:00Z"/>
        <d v="2026-04-07T00:00:00Z"/>
        <d v="2026-04-08T00:00:00Z"/>
        <d v="2026-04-17T00:00:00Z"/>
        <d v="2026-04-20T00:00:00Z"/>
        <d v="2026-04-23T00:00:00Z"/>
        <d v="2026-04-28T00:00:00Z"/>
        <d v="2026-05-02T00:00:00Z"/>
        <d v="2026-04-27T00:00:00Z"/>
        <d v="2026-05-01T00:00:00Z"/>
        <d v="2026-05-05T00:00:00Z"/>
        <d v="2026-05-06T00:00:00Z"/>
        <d v="2026-05-07T00:00:00Z"/>
        <d v="2026-05-11T00:00:00Z"/>
        <d v="2026-05-12T00:00:00Z"/>
        <d v="2026-05-13T00:00:00Z"/>
        <d v="2026-05-16T00:00:00Z"/>
        <d v="2026-05-19T00:00:00Z"/>
        <d v="2026-05-21T00:00:00Z"/>
        <d v="2026-05-23T00:00:00Z"/>
        <d v="2026-05-25T00:00:00Z"/>
        <d v="2026-05-28T00:00:00Z"/>
        <d v="2026-05-30T00:00:00Z"/>
        <d v="2026-06-01T00:00:00Z"/>
        <d v="2026-06-03T00:00:00Z"/>
        <d v="2026-06-05T00:00:00Z"/>
        <d v="2026-06-06T00:00:00Z"/>
        <d v="2026-06-08T00:00:00Z"/>
        <d v="2026-06-09T00:00:00Z"/>
        <d v="2026-06-10T00:00:00Z"/>
        <d v="2026-06-12T00:00:00Z"/>
        <d v="2026-06-13T00:00:00Z"/>
        <d v="2026-07-15T00:00:00Z"/>
        <d v="2026-06-18T00:00:00Z"/>
        <d v="2026-06-22T00:00:00Z"/>
        <d v="2026-06-25T00:00:00Z"/>
        <d v="2026-06-26T00:00:00Z"/>
        <d v="2026-06-30T00:00:00Z"/>
        <d v="2026-07-01T00:00:00Z"/>
        <d v="2026-07-04T00:00:00Z"/>
        <d v="2026-07-08T00:00:00Z"/>
        <d v="2026-07-13T00:00:00Z"/>
        <d v="2026-07-09T00:00:00Z"/>
        <d v="2026-07-16T00:00:00Z"/>
        <d v="2026-07-17T00:00:00Z"/>
        <d v="2026-07-14T00:00:00Z"/>
        <d v="2026-07-21T00:00:00Z"/>
        <d v="2026-07-23T00:00:00Z"/>
        <d v="2026-07-28T00:00:00Z"/>
        <d v="2026-08-01T00:00:00Z"/>
        <d v="2026-08-03T00:00:00Z"/>
        <d v="2026-08-04T00:00:00Z"/>
        <d v="2026-08-06T00:00:00Z"/>
        <d v="2026-08-07T00:00:00Z"/>
        <d v="2026-08-10T00:00:00Z"/>
        <d v="2026-08-13T00:00:00Z"/>
        <d v="2026-08-21T00:00:00Z"/>
        <d v="2026-08-22T00:00:00Z"/>
        <d v="2026-08-24T00:00:00Z"/>
        <d v="2026-08-26T00:00:00Z"/>
        <d v="2026-08-27T00:00:00Z"/>
        <d v="2026-08-29T00:00:00Z"/>
        <d v="2026-09-01T00:00:00Z"/>
        <d v="2026-09-03T00:00:00Z"/>
        <d v="2026-09-02T00:00:00Z"/>
        <d v="2026-09-04T00:00:00Z"/>
        <d v="2026-09-09T00:00:00Z"/>
        <d v="2026-09-10T00:00:00Z"/>
        <d v="2026-09-11T00:00:00Z"/>
        <d v="2026-09-12T00:00:00Z"/>
        <d v="2026-09-14T00:00:00Z"/>
        <d v="2026-09-16T00:00:00Z"/>
        <d v="2026-09-17T00:00:00Z"/>
        <d v="2026-09-19T00:00:00Z"/>
        <d v="2026-09-22T00:00:00Z"/>
        <d v="2026-09-23T00:00:00Z"/>
        <m/>
      </sharedItems>
    </cacheField>
    <cacheField name="Distributor" numFmtId="0">
      <sharedItems containsBlank="1">
        <s v="TS. SUDIRMAN/NAUFAL"/>
        <s v="CV. MULTIPRIMA INTI NUSANTARA"/>
        <s v="KHARISMA MAKMUR ABADI/PAK DADI"/>
        <s v="PT. INDOTYRE MANDIRI SENTOSA"/>
        <s v="PT. RODA GAMA"/>
        <s v="PT. Astra Otoparts Tbk"/>
        <s v="PT. RODA ARTHA"/>
        <s v="CV. MEKAR BARU/CI NOVI"/>
        <s v="SAMUDERA GEMILANG/PAK KEMAN"/>
        <s v="PT. VETRON SAILUN"/>
        <s v="MAJU BERSAMA MOTOR/ANDRI"/>
        <s v="PT. DIRGAPUTRA EKAPRATAMA"/>
        <s v="CV. KHARISMA TIARA ABADI/DICKY"/>
        <s v="PT BANCORE SENTRAL UTAMA"/>
        <s v="PT. DAYTECH TETRA SINDO"/>
        <s v="PT. Prestasi Pelumasindo Unggul"/>
        <s v="PT. Limas Raga Inti"/>
        <s v="PT. Arta Batrindo"/>
        <s v="Pak Wang Pentil"/>
        <s v="SURYA LESTARI/PAK IWAN"/>
        <m/>
      </sharedItems>
    </cacheField>
    <cacheField name="TAX">
      <sharedItems containsBlank="1" containsMixedTypes="1" containsNumber="1" containsInteger="1">
        <s v="1"/>
        <s v="0"/>
        <n v="1.0"/>
        <n v="0.0"/>
        <m/>
        <s v="-"/>
      </sharedItems>
    </cacheField>
    <cacheField name="Invoice">
      <sharedItems containsDate="1" containsBlank="1" containsMixedTypes="1">
        <s v="SLS-SDR-2500012"/>
        <s v="SLS-SDR-2500006"/>
        <s v="SLS-SDR-2500007"/>
        <s v="SLS-SDR-2500014"/>
        <s v="SLS-SDR-2500054"/>
        <s v="25A03380"/>
        <s v="FJ/PST/BDG/25/01/0021"/>
        <s v="FKB250100037"/>
        <s v="33"/>
        <s v="FJ/PST/BDG/25/01/0047"/>
        <s v="FJ/PST/BDG/25/01/0107"/>
        <s v="4009578301"/>
        <s v="SI/BDG/01/2025/00033"/>
        <s v="25000847"/>
        <s v="25000849"/>
        <s v="FJ/PST/BDG/25/01/0175"/>
        <s v="25000989"/>
        <s v="FJ/HO/01/25/00373"/>
        <s v="10781-250008"/>
        <s v="menyusl"/>
        <s v="SI/BDG/01/2025/00052"/>
        <s v="FJ/PST/BDG/25/01/0249"/>
        <s v="FJ/PST/BDG/25/01/0274"/>
        <s v="25001443"/>
        <s v="FKB250200006"/>
        <s v="R43-030225001"/>
        <s v="03-FJ2501000779"/>
        <s v="FJ/PST/BDG/25/02/0012"/>
        <s v="FJ/PST/BDG/25/02/0023"/>
        <s v="0"/>
        <s v="SLS-SDR-2501079"/>
        <s v="SLS-SDR-2501337"/>
        <s v="FJ/HO/02/25/00211"/>
        <s v="SLS-SDR-2501371"/>
        <s v="25B03562"/>
        <s v="FJ/PST/BDG/25/02/0124"/>
        <s v="25002133"/>
        <s v="SI/BDG/02/2025/00025"/>
        <s v="SI/BDG/02/2025/00026"/>
        <s v="SLS-SDR-2501524"/>
        <s v="SLS-SDR-2501523"/>
        <s v="FJ/PST/BDG/25/02/0190"/>
        <s v="FJ/PST/BDG/25/02/0194"/>
        <s v="02/2025/000333"/>
        <s v="25002483"/>
        <s v="FJ/HO/02/25/00414"/>
        <s v="SLS-SDR-2501721"/>
        <s v="FJ/PST/BDG/25/02/0243"/>
        <s v="FJ/PST/BDG/25/02/0255"/>
        <s v="FJ/PST/BDG/25/02/0259"/>
        <s v="SLS-SDR-2501959"/>
        <s v="FJ/HO/03/25/00028"/>
        <s v="FJ/HO/03/25/00029"/>
        <s v="SI/BDG/02/2025/00041"/>
        <s v="2500000525"/>
        <s v="03-FJ2502002809"/>
        <s v="M000985"/>
        <s v="FJ/PST/BDG/25/03/0043"/>
        <s v="SLS-SDR-2502147"/>
        <s v="M000240"/>
        <s v="25003323"/>
        <s v="SLS-SDR-2502392"/>
        <s v="25003412"/>
        <s v="FJ/PST/BDG/2503/0126"/>
        <s v="25003486"/>
        <s v="FJ/PST/BDG/2503/0134"/>
        <s v="FJ/PST/BDG/25/03/0147"/>
        <s v="25003523"/>
        <s v="SLS-SDR-25002558"/>
        <s v="SLS-SDR-25002559"/>
        <s v="SLS-SDR-25002560"/>
        <s v="4009773492"/>
        <s v="25003737"/>
        <s v="25003774"/>
        <s v="03-FJ2503003845"/>
        <s v="178-0001965"/>
        <s v="2500000709"/>
        <s v="25003975"/>
        <s v="M000278"/>
        <s v="25004051"/>
        <s v="SLS-SDR-2502904"/>
        <s v="SLS-SDR-2502905"/>
        <s v="SLS-SDR-2502916"/>
        <s v="FJ/25/03/0331"/>
        <s v="FJ/25/03/0332"/>
        <s v="25c03745"/>
        <s v="FJ/PST/BDG/25/03/0358"/>
        <s v="-"/>
        <s v="25004499"/>
        <s v="SI/BDG/04/2025/00005"/>
        <s v="FJ/PST/BDG/25/04/0058"/>
        <s v="M001150"/>
        <s v="FJ/HO/04/25/00134"/>
        <s v="SLS-SDR-2503406"/>
        <s v="SI/BDG/04/2025/00016"/>
        <s v="SLS-SDR-2503486"/>
        <s v="1"/>
        <s v="2"/>
        <s v="1992"/>
        <s v="2043"/>
        <s v="3"/>
        <s v="4"/>
        <s v="5"/>
        <s v="SLS-SDR-2503707"/>
        <s v="SLS-SDR-2503708"/>
        <s v="SLS-SDR-2503709"/>
        <s v="FJ/PST/BDG/25/04/0280"/>
        <s v="FJ/PST/BDG/25/04/0281"/>
        <s v="10781250041"/>
        <s v="SI/BDG/05/22025/00004"/>
        <s v="FJ/HO/05/25/00003"/>
        <s v="FJ/HO/05/25/00004"/>
        <d v="2025-05-09T00:00:00Z"/>
        <s v="M000337"/>
        <s v="SLS-SDR-2504247"/>
        <s v="SLS-SDR-2504248"/>
        <s v="0094/HK/05/25"/>
        <s v="M000342"/>
        <s v="FJ/PST/BDG/25/05/0078"/>
        <s v="SI/BDG/05/2025/00046"/>
        <s v="FJ/PST/BDG/25/05/0081"/>
        <n v="2.5006625E7"/>
        <n v="2.5006628E7"/>
        <s v="FJ/HO/05/25/00360"/>
        <s v="FJ/HO/05/25/00361"/>
        <s v="FJ2505006885"/>
        <s v="SLS-SDR-2504651"/>
        <s v="SLS-SDR-2504715"/>
        <s v="SLS-SDR-2504717"/>
        <s v="SLS-SDR-2504718"/>
        <s v="25006928"/>
        <n v="2.5006929E7"/>
        <s v="FJ/PST/BDG/25/05/139"/>
        <s v="0023/HK/06/25"/>
        <s v="SI/BDG/06/2025/00013"/>
        <s v="10183-250322"/>
        <n v="0.0"/>
        <s v="03-FJ2506008075"/>
        <n v="2.5007588E7"/>
        <n v="2.5007589E7"/>
        <m/>
        <s v="FJ/HO/06/25/00267"/>
        <s v="FJ/HO/06/25/00294"/>
        <s v="FJ/HO/06/25/00295"/>
        <s v="FJ/PST/BDG/25/06/0150"/>
        <s v="FJ/PST/BDG/25/06/0159"/>
        <s v="FJ/PST/BDG/25/06/0160"/>
        <s v="25F4027"/>
        <s v="FJ/PST/BDG/25/06/0191"/>
        <s v="SLS-SDR-2505642"/>
        <s v="M001506"/>
        <s v="FJ/PST/BDG/25/06/0203"/>
        <s v="SI/BDG/06/2025/00054"/>
        <s v="FJ/PST/BDG/25/06/0245"/>
        <s v="---"/>
        <s v="FJ/HO/07/25/00056"/>
        <s v="FJ/HO/07/25/00055"/>
        <s v="SLS-SDR-2506005"/>
        <s v="SLS-SDR-2506006"/>
        <s v="SI/BDG/07/2025/00008"/>
        <s v="SI/BDG/07/2025/00010"/>
        <n v="8072025.0"/>
        <n v="2.5009007E7"/>
        <s v="SLS-SDR-2506204"/>
        <s v="M001609"/>
        <n v="2.5009216E7"/>
        <s v="FJ/PST/BDG/25/07/0118"/>
        <n v="2.5009357E7"/>
        <s v="FJ/HO/07/25/00438"/>
        <s v="FJ/HO/07/25/00439"/>
        <d v="2025-07-22T00:00:00Z"/>
        <d v="2025-07-23T00:00:00Z"/>
        <s v="FJ/PST/BDG/25/07/0205"/>
        <s v="FJ/PST/BDG/25/07/0206"/>
        <s v="SLS-SDR-2506704"/>
        <n v="2.500009403E9"/>
        <n v="2.500009404E9"/>
        <s v="SLS-SDR-2506742"/>
        <n v="2.5010034E7"/>
        <s v="FJ/PST/BDG/15/07/0248"/>
        <s v="FJ/PST/BDG/25/07/0269"/>
        <s v="SLS-SDR-2506941"/>
        <s v="SI/BDG/08/2025/00004"/>
        <s v="0040/HK/08/25"/>
        <s v="SLS=SDR=2507152"/>
        <s v="FJ/HO/08/25/00120"/>
        <s v="FJ/HO/08/25/00121"/>
        <s v="0072/HK/08/25"/>
        <s v="0074/HK/08/25"/>
        <s v="SLS-SDR-2507303"/>
        <n v="2.5010708E7"/>
        <s v="FKB250800087"/>
        <s v="SLS-SDR-2507334"/>
        <s v="SLS-SDR-2507554"/>
        <n v="2.5082025E7"/>
        <n v="2.5011245E7"/>
        <s v="SLS-SDR-2507799"/>
        <s v="FJ/PST/BDG/25/09/0001"/>
        <s v="FJ/PST/BDG/25/09/0002"/>
        <s v="SLS-SDR-2507894"/>
        <s v="SLS-SDR-2507895"/>
        <s v="FJ/PST/BDG/25/09/0006"/>
        <n v="2.5011573E7"/>
        <s v="SLS=SDR-2507993"/>
        <s v="SLS=SDR-2507994"/>
        <s v="SLS=SDR-2507995"/>
        <d v="2025-09-03T00:00:00Z"/>
        <s v="SLS-SDR-2508088"/>
        <n v="2.5011814E7"/>
        <n v="2.5011815E7"/>
        <n v="2.5011856E7"/>
        <s v="SI/BDG/09/2025/00037"/>
        <n v="2.5012075E7"/>
        <s v="SLS-SDR-2508619"/>
        <n v="2.5012435E7"/>
        <s v="FJ/PST/BDG/25/09/0134"/>
        <s v="SLS-SDR-2508721"/>
        <s v="FJ/PST/BDG/25/09/0149"/>
        <s v="FJ/PST/BDG/25/09/0162"/>
        <s v="M002003"/>
        <n v="1.0"/>
        <n v="2.0"/>
        <s v="FJ/HO/09/25/00641"/>
        <s v="FJ/HO/09/25/00642"/>
        <s v="FJ/PST/BDG/25/10/006"/>
        <s v="SLS-SDR-2509129"/>
        <s v="IV2510000306"/>
        <s v="FJ/PST/BDG/25/10/0061"/>
        <n v="2.5013589E7"/>
        <s v="SLS-SDR-2509521"/>
        <s v="SLS-SDR-2509529"/>
        <s v="SLS-SDR-2509530"/>
        <s v="SLS-SDR-2509531"/>
        <s v="SLS-SDR-2509532"/>
        <s v="SLS-SDR-2509540"/>
        <s v="03-FJ2510016200"/>
        <s v="FJ/HO/10/25/00337"/>
        <s v="FJ/HO/10/25/00338"/>
        <s v="IV2510001190"/>
        <s v="FJ/HO/10/25/00355"/>
        <s v="FJ/PST/BDG/25/10/0138"/>
        <s v="SI/BDG/01/2025/00054"/>
        <s v="FJ/PST/BDG/25/10/0209"/>
        <s v="FJ/PST/BDG/25/10/0210"/>
        <s v="FJ/PST/BDG/25/10/0231"/>
        <s v="IV2510002473"/>
        <s v="SI/BDG/10/2025/00076"/>
        <s v="ARINV/2025/005011"/>
        <d v="2025-11-05T00:00:00Z"/>
        <s v="25K94838"/>
        <s v="FJ/HO/11/25/00204"/>
        <s v="FJ/PST/BDG/25/11/0091"/>
        <s v="IV2511000826"/>
        <s v="SI/BDG/11/2025/0035"/>
        <s v="10781=250087"/>
        <s v="FJ/PST/BDG/25/11/0118"/>
        <s v="03-FJ2511018035"/>
        <s v="FJ/PST/BDG/25/11/0136"/>
        <s v="FJ/HO/11/25/00380"/>
        <s v="FJ/HO/11/25/00381"/>
        <s v="SLS-SDR-2510845"/>
        <s v="SLS-SDR-2510846"/>
        <s v="10183-250683"/>
        <n v="2.5015498E7"/>
        <s v="SI/BDG/11/2025/00060"/>
        <s v="FJ/PST/BDG/25/11/0220"/>
        <s v="51C0039742"/>
        <n v="2.1112025E7"/>
        <s v="FJ/HO/11/25/00747"/>
        <s v="FJ/HO/11/25/00746"/>
        <d v="2025-11-29T00:00:00Z"/>
        <s v="IV2511002467"/>
        <s v="ARINV/2025/005691"/>
        <s v="M002356"/>
        <s v="FJ/PST/BDG/25/12/0028"/>
        <s v="25l04996"/>
        <s v="SLS-SDR-2511582"/>
        <s v="SLS-SDR-2511583"/>
        <s v="M002379"/>
        <s v="FJ/PST/BDG/25/12/0065"/>
        <s v="SLS-SDR-2511663"/>
        <s v="SLS-SDR-2511664"/>
        <s v="SLS-SDR-2511665"/>
        <s v="SLS-SDR-2511693"/>
        <s v="SI/BDG/12/2025/00024"/>
        <s v="03-FJ2512020086"/>
        <s v="SLS-SDR-2511916"/>
        <n v="2.5016704E7"/>
        <n v="2.5016802E7"/>
        <s v="SLS-SDR-2511983"/>
        <s v="SLS-SDR-2511982"/>
        <s v="IV2512001584"/>
        <n v="2.5017128E7"/>
        <n v="2.5017145E7"/>
        <s v="FJ/PST/BDG/25/12/0193"/>
        <s v="FJ/HO/12/25/00687"/>
        <s v="FJ/HO/12/25/00688"/>
        <s v="SI/BDG/12/2025/00054"/>
        <s v="SLS-SDR-2512487"/>
        <s v="M002504"/>
        <s v="M002514"/>
        <s v="FJ/PST/BDG/26/01/0001"/>
        <s v="IV2512003015"/>
        <s v="FJ/PST/BDG/26/01/0027"/>
        <s v="FJ/HO/01/26/00102"/>
        <n v="9.01202501E8"/>
        <n v="9.01202502E8"/>
        <s v="FJ/PST/BDG/26/01/0079"/>
        <s v="SLS-SDR-2600358"/>
        <s v="26A05155"/>
        <s v="FJ/PST/BDG/26/01/0087"/>
        <n v="1.3012026E7"/>
        <s v="SI/BDG/01/2026/00015"/>
        <s v="SLS-SDR-2600578"/>
        <s v="SLS-SDR-2600698"/>
        <s v="SLS-SDR-2600699"/>
        <s v="SLS-SDR-2600700"/>
        <s v="SLS-SDR-2600753"/>
        <s v="FJ/HO/01/26/00422"/>
        <s v="FJ/HO/01/26/00432"/>
        <s v="SI/BDG/01/2026/0035"/>
        <s v="SI/BDG/01/2026/00521"/>
        <s v="FJ/PST/BDG/26/01/0207"/>
        <s v="FJ/PST/BDG/26/01/0208"/>
        <s v="FJ/PST/BDG/26/01/0209"/>
        <n v="2.6001365E7"/>
        <n v="2.6001441E7"/>
        <s v="FJ/HO/01/26/00720"/>
        <s v="iv2601002183"/>
        <s v="FJ/PST/BDG/26/01/0267"/>
        <s v="FJ/PST/BDG/26/02/0004"/>
        <s v="FJ/PST/BDG/26/02/0010"/>
        <s v="SI/BDG/02/2026/00001"/>
        <s v="SLS-SDR-2601498"/>
        <s v="FJ/HO/02/26/00114"/>
        <s v="FJ/HO/02/26/00115"/>
        <s v="FJ/HO/02/26/00158"/>
        <s v="SI/BDG/02/2026/00088"/>
        <s v="SI/BDG/"/>
        <s v="FJ/PST/BDG/26/02/151"/>
        <n v="2.6002529E7"/>
        <s v="SLS-SDR-2602118"/>
        <s v="M002788"/>
        <s v="03-FJ2602002521"/>
        <s v="03-FJ2602002520"/>
        <s v="SLS-SDR-2602124"/>
        <s v="SLS-SDR-2602125"/>
        <s v="SLS-SDR-2602126"/>
        <s v="IV2602000960"/>
        <s v="03-FJ2602003084"/>
        <s v="FJ/HO/02/26/00684"/>
        <s v="10181-260021"/>
        <s v="FJ/26/03/03/0013"/>
        <s v="FJ/HO/03/26/00133"/>
        <s v="FJ/HO/03/26/00134"/>
        <s v="SLS-SDR-2603216"/>
        <s v="SLS-SDR-2603129"/>
        <s v="SLS-SDR-2603130"/>
        <s v="M002939"/>
        <s v="IV2603000894"/>
        <s v="SI/BDG/03/2026/00154"/>
        <s v="M002972"/>
        <s v="bian"/>
        <s v="ibu"/>
        <s v="FJ/HO/03/26/00488"/>
        <s v="FJ/PST/BDG/26/03/0231"/>
        <n v="2.6004314E7"/>
        <n v="4.011376857E9"/>
        <s v="FJ/PST/BDG/26/03/0251"/>
        <n v="2.6004476E7"/>
        <s v="FJ/HO/03/26/00554"/>
        <s v="FJ/PST/BDG/26/03/0276"/>
        <s v="SLS-SDR-2604141"/>
        <s v="SLS-SDR-2604142"/>
        <s v="SLS-SDR-2604143"/>
        <s v="SLS-SDR-2604144"/>
        <s v="DO/BDG/04/2026/194"/>
        <n v="2.6001305E7"/>
        <s v="IV2604000147"/>
        <s v="FJ/PST/BDG/26/04/0109"/>
        <s v="FJ/PST/BDG/26/04/0110"/>
        <s v="FJ/PST/BDG/26/04/0112"/>
        <s v="FJ/PST/BDG/26/04/0114"/>
        <s v="FJ/PST/BDG/26/04/0147"/>
        <s v="FJ/PST/BDG/26/04/0178"/>
        <s v="FJ/PST/BDG/26/04/0180"/>
        <s v="SI/BDG/04/2026/00233"/>
        <s v="10781-260038"/>
        <s v="SLS-SDR-2605007"/>
        <n v="2.6005922E7"/>
        <s v="03-FJ2604006917"/>
        <s v="03-FJ2604007033"/>
        <s v="FJ/PST/BDG/26/05/0041"/>
        <s v="FJ/HO/05/26/00075"/>
        <s v="FJ/HO/05/26/00076"/>
        <s v="FJ/HO/05/26/0076"/>
        <s v="0049/hk/05/26"/>
        <s v="SLS-SDR-2605513"/>
        <s v="SLS-SDR-2605512"/>
        <s v="FJ/PST/BDG/26/05/0116"/>
        <s v="26E06067"/>
        <n v="4.011699289E9"/>
        <s v="SI/BDG/05/2026/00287"/>
        <s v="FJ/HO/05/26/00521"/>
        <s v="FJ/HO/05/26/00608"/>
        <s v="FJ/PST/BDG/26/05/0202"/>
        <s v="FJ/HO/05/26/00621"/>
        <n v="4.011778892E9"/>
        <s v="03-FJ2605008886"/>
        <s v="SLS-SDR-2606187"/>
        <s v="SLS-SDR-2606188"/>
        <s v="SI/BDG/06/2026/00311"/>
        <s v="FJ/HO/06/26/00148"/>
        <n v="2.6002469E7"/>
        <n v="2.6007799E7"/>
        <s v="FJ/PST/BDG/26/06/0076"/>
        <s v="ARINV/2026/002887"/>
        <s v="10183-260700"/>
        <s v="SLS-SDR-2606444"/>
        <s v="SLS-SDR-2606445"/>
        <n v="4.011843273E9"/>
        <s v="FJ/PST/BDG/26/06/0159"/>
        <n v="2.6008397E7"/>
        <n v="2.6008569E7"/>
        <s v="FJ/PST/BDG/26/06/0170"/>
        <s v="FJ/PST/BDG/26/06/0203"/>
        <s v="FJ/PST/BDG/26/06/0226"/>
        <s v="IV2606001887"/>
        <n v="2.600884E7"/>
        <s v="SI/BDG/07/2026/00383"/>
        <n v="2.600916E7"/>
        <n v="2.6009201E7"/>
        <n v="2.6009404E7"/>
        <n v="2.6009397E7"/>
        <s v="FJ/PST/BDG/26/07/0103"/>
        <s v="SI/BDG/07/2026/00396"/>
        <s v="IV2607001155"/>
        <s v="FJLS.260700432"/>
        <s v="FJ/HO/07/26/00533"/>
        <s v="FJ/HO/07/26/00532"/>
        <s v="SI/BDG/07/2026/00409"/>
        <s v="FJ.PST/BDG/26/08/0015"/>
        <s v="FJ/PST/BDG/26/08/0019"/>
        <s v="FJ/HO/08/26/00100"/>
        <s v="FJ/PST/BDG/26/08/036"/>
        <n v="2.6010514E7"/>
        <s v="IV2606000530"/>
        <s v="SI./BDG/08/2026/00443"/>
        <n v="2.6010659E7"/>
        <n v="2.60107E7"/>
        <s v="SI/BDG/08/2026/00460"/>
        <n v="2.6003623E7"/>
        <s v="01-240826"/>
        <s v="02-240826"/>
        <s v="10183-261087"/>
        <s v="FJ/HO/08/26/00417"/>
        <s v="FJ/HO/08/26/00416"/>
        <s v="FJSL.260800619"/>
        <s v="IV2608002320"/>
        <s v="FJ/PST/BDG/26/08/0186"/>
        <s v="FJ/HO/08/26/00471"/>
        <s v="FJ/PST/BDG/26/09/0002"/>
        <n v="2.6011463E7"/>
        <n v="2.6011504E7"/>
        <s v="SLS-SDR-2608990"/>
        <s v="SLS-SDR-2609006"/>
        <s v="SLS-SDR-2609007"/>
        <s v="SLS-SDR-2609008"/>
        <n v="2.6011759E7"/>
        <s v="FJ/HO/09/26/00205"/>
        <n v="2.6011859E7"/>
        <n v="4.012364192E9"/>
        <s v="IV2609001391"/>
        <n v="2.6012013E7"/>
        <s v="FJ/PST/BDG/26/09/0068"/>
        <s v="SLS-SDR-2609530"/>
        <s v="SLS-SDR-2609531"/>
        <s v="0213/HK/09/26"/>
        <s v="03-SO2609015231"/>
      </sharedItems>
    </cacheField>
    <cacheField name="Owned by">
      <sharedItems containsBlank="1" containsMixedTypes="1" containsNumber="1" containsInteger="1">
        <s v="IBU"/>
        <s v="BIAN"/>
        <n v="0.0"/>
        <s v="POLOSAN"/>
        <m/>
        <s v="non VAT"/>
      </sharedItems>
    </cacheField>
    <cacheField name="Column 7" numFmtId="165">
      <sharedItems containsBlank="1">
        <s v="Bridgestone 205/65 15 Turanza"/>
        <s v="Bridgestone 175/13 Duravis"/>
        <s v="Bridgestone 750/16 MRN"/>
        <s v="Bridgestone 750/15 MRD"/>
        <s v="Bridgestone 165/80 13 Ecopia"/>
        <s v="Bridgestone 185/70 14 Ecopia"/>
        <s v="Bridgestone 175/65 14 Ecopia"/>
        <s v="Bridgestone 165/13 Duravis"/>
        <s v="Bridgestone 185/65 15 Ecopia"/>
        <s v="Bridgestone 195/65 15 Ecopia"/>
        <s v="Bridgestone 205/65 15 Ecopia"/>
        <s v="Bridgestone 235/70 15 Dueler"/>
        <s v="G. YEAR 750/16 2020 HD"/>
        <s v="Dunlop 185/14 LT5"/>
        <s v="ACCELERA 215/35 18 SIGMA"/>
        <s v="Dunlop 215/65 16 ST20"/>
        <s v="Dunlop 185/80 14 SP TOURING"/>
        <s v="Dunlop 175/65 14 EC300"/>
        <s v="Dunlop 165/80 13 HIMEX"/>
        <s v="Dunlop 175/13 LT5"/>
        <s v="Aspira 750/16 Halus"/>
        <s v="Advance 750/16 GLG71A+"/>
        <s v="Advance 750/16 GL672D"/>
        <s v="Advance 750/16 k. tahu GL909A"/>
        <s v="BD 14 NYB"/>
        <s v="BD 16 GT"/>
        <s v="BD 15 GT"/>
        <s v="BD 14 GT"/>
        <s v="BD 13 GT"/>
        <s v="GT 600/13 8PR"/>
        <s v="GT 550/13 8PR"/>
        <s v="GT 750/15 12PR"/>
        <s v="GT 165/80 13 ECOTEC"/>
        <s v="Flap 15 GT"/>
        <s v="Flap 16 GT"/>
        <s v="GT 185/70 14 ECOTEC"/>
        <s v="GT 175/65 14 CHAMPIRO ECOTEC"/>
        <s v="GT 195/55 16 GTX PRO"/>
        <s v="GT 175/13 MAXMILLER"/>
        <s v="GT 185/14 MAXMILLER"/>
        <s v="GT 235/60 16 SAVERO SUV"/>
        <s v="Sailun 185/14 8PR"/>
        <s v="GT 750/16 HAPPY DUTY"/>
        <s v="TIRON 750/16"/>
        <s v="Dunlop 185/70 14 SP10"/>
        <s v="Dunlop 195/65 15 EC300"/>
        <s v="Dunlop 205/65 16 EC300"/>
        <s v="Dunlop 185/65 15 EC300"/>
        <s v="Dunlop 205/60 16 EC300"/>
        <s v="Dunlop 195/70 14 TOURING"/>
        <s v="Dunlop 175/70 13 TOURING"/>
        <s v="Dunlop 165/13 LT5"/>
        <s v="Dunlop 750/16 12PR"/>
        <s v="GT 185/65 15 ECOTEC"/>
        <s v="Accelera 235/75 15 at omicron"/>
        <s v="Lower Arm (Sayap)"/>
        <s v="BD 13 IBK"/>
        <s v="Dunlop 205/65 15 EC300"/>
        <s v="Dunlop 195/14 LT5"/>
        <s v="Bridgestone 185/80 14 Techno 248"/>
        <s v="GT 195/65 15 ECOTEC"/>
        <s v="GT 205/65 15 CHAMPIRO ECOTEC"/>
        <s v="GT 31X10.50 R15 MT"/>
        <s v="Bridgestone 185/14 Duravis"/>
        <s v="GT 640/13 8PR"/>
        <s v="GT 205/50 16 Champiro SX2"/>
        <s v="Advance 750/15 radial fullset"/>
        <s v="TIRON 750/15 12PR"/>
        <s v="Flap 16 NYB"/>
        <s v="Bridgestone 235/75 15 Dueler H/T 689"/>
        <s v="Bridgestone 195/70 14 Ecopia"/>
        <s v="Bridgestone 185/55 16 Techno Sport"/>
        <s v="Bridgestone 205/65 16 Ecopia"/>
        <s v="Bridgestone 195/60 16 Ecopia"/>
        <s v="Dunlop 235/60 16 ST20"/>
        <s v="BD 900* 20 GT"/>
        <s v="Bridgestone 900*20"/>
        <s v="BD 900*20 Bridgestone"/>
        <s v="Dunlop 195/60 16 EC300"/>
        <s v="Dunlop 205/55 17 ENASEV"/>
        <s v="Dunlop 215/45 17 DIREZA"/>
        <s v="Dunlop 205/45 17 DIREZA"/>
        <s v="Dunlop 215/60 17 EC300"/>
        <s v="GT 205/50 17 CHAMPIRO ECOTEC"/>
        <s v="GT 185/55 16 GTX"/>
        <s v="GT 215/55 17 CHAMPIRO GTX PRO"/>
        <s v="GT 165/13 MAXMILLER"/>
        <s v="BD 16 Truckoor"/>
        <s v="BD 8.25 TRUCKOOR"/>
        <s v="MAXXIS 285/60 18 AT"/>
        <s v="Duratun 750/16 LT Y601"/>
        <s v="Laufen 175/65 14"/>
        <s v="Laufen 185/70 14"/>
        <s v="Laufen 205/65 15"/>
        <s v="Bridgestone 235/60 18"/>
        <s v="Bridgestone 215/60 17 Alenza"/>
        <s v="Michelin 205/75 14"/>
        <s v="GiTi 11R 22.5 GRS225"/>
        <s v="GT 195/70 14 ECOTEC"/>
        <s v="GT 215/65 16 SAVERO SUV"/>
        <s v="Dunlop 265/60 18 GRANDTREK"/>
        <s v="DUNLOP 225/60 18 SPORTMAXX"/>
        <s v="Dunlop 215/55 17 SPORTMAXX"/>
        <s v="GT 205/45 17 GTX PRO"/>
        <s v="Dunlop 185/70 14 ENASEV"/>
        <s v="Dunlop 185/55 16 EC300"/>
        <s v="GT 185/55 15 ECOTEC"/>
        <s v="Bridgestone 205/45 17 Techno Sport"/>
        <s v="Bridgestone 185/60 15 TECHNO"/>
        <s v="Bridgestone 185/55 15 Techno"/>
        <s v="BD 15 Aspira P. Pendek"/>
        <s v="GT 700/12 12PR GRIP"/>
        <s v="BD 700/12 Powerclip GT"/>
        <s v="Flap 12 Forklift GT"/>
        <s v="GT 185/80 14 ECOTEC"/>
        <s v="GT 195/55 15 GTX PRO"/>
        <s v="G. YEAR 750/16 S501"/>
        <s v="GT 195/60 16 ECOTEC"/>
        <s v="Micelin 175/80 13 XCD2"/>
        <s v="Bridgestone 205/55 16 Techno Sport"/>
        <s v="Bridgestone 175/70 13 Ecopia"/>
        <s v="Dunlop 195/65 15 SPRILL Z"/>
        <s v="Dunlop 185/55 15 EC300"/>
        <s v="GiTi 750/16 GAR"/>
        <s v="GiTi 750/16 GAZ"/>
        <s v="Bridgestone 1000*20"/>
        <s v="Flap 1000*20 Bridgestone"/>
        <s v="Bridgestone 235/60 16 D687"/>
        <s v="Dunlop 205/55 16 EC300"/>
        <s v="GT 175/70 13 ECOTEC"/>
        <s v="GT 195/60 15 ECOTEC"/>
        <s v="GT 225/75 16 MAXMILLER"/>
        <s v="GT 700/14 8PR"/>
        <s v="Michellin 195/75 14 XCD2"/>
        <s v="HANKOOK 185/70 14"/>
        <s v="Hankook 185/65 15"/>
        <s v="GT 900*20"/>
        <s v="GT 1000*20"/>
        <s v="GT 11.00 * 20 SUPER"/>
        <s v="GT 215/45 17 GTX PRO"/>
        <s v="Bridgestone 205/65 15 Turanza T6"/>
        <s v="Bridgestone 195/50 16 Techno"/>
        <s v="Bridgestone 195/70 14 Turanza T005A"/>
        <s v="Bridgestone 185/80 14 Ecopia"/>
        <s v="Hankook 27*8.50 14"/>
        <s v="Velg 16  XM LB6  12 ML"/>
        <s v="BD 14 IBK"/>
        <s v="GT 195/50 16 GTX PRO"/>
        <s v="GT 205/55 16 GTX PRO"/>
        <s v="Laufen 175/13  X FIT VA"/>
        <s v="GT 215/60 17 SAVERO SUV"/>
        <s v="BD 16 SJ"/>
        <s v="Flap 16 Plus Plat"/>
        <s v="Bridgestone 215/55 17 Turanza E33"/>
        <s v="GT 700/16 Super 88"/>
        <s v="GT 235/50 18 Champiro HPY"/>
        <s v="Hankook 195/65 15"/>
        <s v="HANKOOK 175/13"/>
        <s v="Hankook 225/55 17"/>
        <s v="Dunlop 205/70 15 LM"/>
        <s v="GT 600/9 10 PR GRIP"/>
        <s v="BD 600/9 D GT"/>
        <s v="Flap Forklift 600*9 GT"/>
        <s v="Dunlop 155/80 12 SP10"/>
        <s v="Dunlop 185/60 15 TOURING"/>
        <s v="GT 185/60 15 ECOTEC"/>
        <s v="hankook 225/55 19"/>
        <s v="Accelera 215/55 17"/>
        <s v="Velg 14*15J Kosei'"/>
        <s v="BD 16 Bridgestone"/>
        <s v="BD 15 Bridgestone"/>
        <s v="Aspira  Filter Oli Avaza-Agya"/>
        <s v="Sakura  F/AC KW1"/>
        <s v="Sakura  filter oli Carry"/>
        <s v="Filter oli ORI KW  "/>
        <s v="Denso  Filter Oli Innova Solar"/>
        <s v="Denso  Filter Oli Innova Bensin"/>
        <s v="HANKOOK 225/60 18 "/>
        <s v="Laufen 185/65 15 G FIT AS"/>
        <s v="Shell Rimula R4 5 Liter"/>
        <s v="Shell Helix HX5 15W-40 4 Liter"/>
        <s v="Shell Helix HX6 4 Liter"/>
        <s v="TIRON 750/16 HD"/>
        <s v="Dunlop 195/55 16 EC300"/>
        <s v="Shell Helix HX7 4 Liter"/>
        <s v="Pertamina Meditran SX 10 Liter"/>
        <s v="WD  "/>
        <s v="Press BOS stir"/>
        <s v="TIEROD 48810/20"/>
        <s v="GT 185/60 15 GTX"/>
        <s v="Velg 16  XM LB6  10 ML"/>
        <s v="Goodride 750/16 "/>
        <s v="Baut Camber"/>
        <s v="Sakura  filter oli SS/Tayo"/>
        <s v="Pertamina Prima XP 20W-50 4 Liter"/>
        <s v="Laufen 215/55 17 S FIT AS"/>
        <s v="Bridgestone 185/80 14 Techno"/>
        <s v="BD IBK 15 Pentil Pendek"/>
        <s v="GT 28 X 9 - 15  Forklift Specta Grip"/>
        <s v="BD 28X9 15 GT"/>
        <s v="Shell Rimula R4 1 Liter"/>
        <s v="Shell Helix HX3 20W-50 4 Liter"/>
        <s v="WESTLAKE 750/16 14PR"/>
        <s v="Balancing 30"/>
        <s v="GT 205/65 16 ECOTEC"/>
        <s v="Dunlop 225/65 17 ST30"/>
        <s v="GT 650/10 10PR"/>
        <s v="Dunlop 195/60 15 SPTR1"/>
        <s v="Dunlop 215/50 17 DZ102"/>
        <s v="GT 185/55 15 Champiro GTX"/>
        <s v="GT 215/55 17 SAVERO SUV"/>
        <s v="BD 650/10 GT"/>
        <s v="Advance 1000/20 GL662A+"/>
        <s v="GT 265/70 17 Komodo MT"/>
        <s v="IBK 16 BD"/>
        <s v="IBK 16 FLAP"/>
        <s v="IBK light 16 BD"/>
        <s v="IBK 15 BD"/>
        <s v="GT 225/60 17 Savero SUV"/>
        <s v="Sailun 185/65 15 Artezzo"/>
        <s v="Sailun 195/65 15 Atrezzo"/>
        <s v="GT 205/70 15 ECOTEC"/>
        <s v="GT 225/65 17 SAVERO"/>
        <s v="Bridgestone 215/45 17 Techno Sport"/>
        <s v="Laufen 195/65 15 G Fit AS"/>
        <s v="GT 235/75 15 Savero MT"/>
        <s v="Bridgestone 195/55 16 Techno Sport"/>
        <s v="Shell Helix HX6 10W-40 1 Liter"/>
        <s v="Shell Helix HX7 1 Liter"/>
        <s v="Dunlop 165/80 13 TOURING"/>
        <s v="Dunlop 195/60 15 SP TOURING"/>
        <s v="DUNLOP 185/65 14 EC300 ENASAVE"/>
        <s v="HanKOOK 165/80 13 k435"/>
        <s v="TAMBAL TUBLES"/>
        <s v="DUNLOP 205/70 15 Blue Response"/>
        <s v="BD 1000 GT"/>
        <s v="Flap 1000*20 GT"/>
        <s v="Shell Helix HX5 15W-40 1 Liter"/>
        <s v="JF  KARET SUPPORT"/>
        <s v="ICOSON Filter Oli Avanza"/>
        <s v="ICOSON Filter Oli APV/FUTURA"/>
        <s v="ICOSON Filter Oli PAJERO"/>
        <s v="ICOSON Filter Oli INOVA/HILUX"/>
        <s v="ICOSON Filter Oli INOVA DIESEL"/>
        <s v="Honda Filter Oli HRV"/>
        <s v="Sakura Filter Oli SS"/>
        <s v="Suzuki  Lonceng"/>
        <s v="Dunlop 195/50 16 EC300"/>
        <s v="ADM PART Filter Oli Agya Avanza baru"/>
        <s v="Velg 16 CEMAX 750-20 14"/>
        <s v="Stabil link avanza  JF"/>
        <s v="Stabil link Grandmax  JF"/>
        <s v="RACK END Avanza JF"/>
        <s v="TIEROD SS JF"/>
        <s v="Bridgestone 195/60 15 Techno"/>
        <s v="Pertamina 1 liter FASTRON GOLD 5W-40"/>
        <s v="Shell 4 Liter Rimula R5"/>
        <m/>
      </sharedItems>
    </cacheField>
    <cacheField name="Quantity" numFmtId="4">
      <sharedItems containsString="0" containsBlank="1" containsNumber="1" containsInteger="1">
        <n v="5.0"/>
        <n v="10.0"/>
        <n v="4.0"/>
        <n v="6.0"/>
        <n v="8.0"/>
        <n v="2.0"/>
        <n v="1.0"/>
        <n v="20.0"/>
        <n v="15.0"/>
        <n v="50.0"/>
        <n v="12.0"/>
        <n v="25.0"/>
        <n v="7.0"/>
        <n v="3.0"/>
        <n v="9.0"/>
        <n v="16.0"/>
        <n v="60.0"/>
        <n v="30.0"/>
        <n v="28.0"/>
        <n v="14.0"/>
        <n v="125.0"/>
        <n v="13.0"/>
        <n v="11.0"/>
        <n v="45.0"/>
        <n v="22.0"/>
        <n v="58.0"/>
        <n v="40.0"/>
        <n v="24.0"/>
        <n v="38.0"/>
        <n v="19.0"/>
        <n v="36.0"/>
        <n v="26.0"/>
        <n v="32.0"/>
        <m/>
        <n v="12149.0"/>
      </sharedItems>
    </cacheField>
    <cacheField name="Price">
      <sharedItems containsBlank="1" containsMixedTypes="1" containsNumber="1">
        <s v="Rp1.085.500"/>
        <s v="Rp700.000"/>
        <s v="Rp1.570.000"/>
        <s v="Rp1.285.000"/>
        <s v="Rp577.500"/>
        <s v="Rp676.728"/>
        <s v="Rp655.500"/>
        <s v="Rp670.000"/>
        <s v="Rp765.916"/>
        <s v="Rp810.174"/>
        <s v="Rp902.500"/>
        <s v="Rp1.170.500"/>
        <s v="Rp1.360.000"/>
        <s v="Rp735.000"/>
        <s v="Rp760.239"/>
        <s v="Rp1.830.000"/>
        <s v="Rp915.000"/>
        <s v="Rp530.000"/>
        <s v="Rp468.000"/>
        <s v="Rp613.000"/>
        <s v="Rp1.607.040"/>
        <s v="Rp1.695.000"/>
        <s v="Rp1.805.000"/>
        <s v="Rp2.015.000"/>
        <s v="Rp75.000"/>
        <s v="Rp199.920"/>
        <s v="Rp161.840"/>
        <s v="Rp125.120"/>
        <s v="Rp102.000"/>
        <s v="Rp507.000"/>
        <s v="Rp442.500"/>
        <s v="Rp1.180.000"/>
        <s v="Rp441.450"/>
        <s v="Rp38.760"/>
        <s v="Rp42.840"/>
        <s v="Rp452.900"/>
        <s v="Rp524.800"/>
        <s v="Rp475.700"/>
        <s v="Rp672.200"/>
        <s v="Rp581.100"/>
        <s v="Rp690.600"/>
        <s v="Rp836.000"/>
        <s v="Rp39.440"/>
        <s v="Rp43.520"/>
        <s v="Rp1.500.000"/>
        <s v="Rp1.840.000"/>
        <s v="Rp1.950.000"/>
        <s v="Rp2.160.000"/>
        <s v="Rp1.645.000"/>
        <s v="Rp575.000"/>
        <s v="Rp704.500"/>
        <s v="Rp779.000"/>
        <s v="Rp645.000"/>
        <s v="Rp623.000"/>
        <s v="Rp550.500"/>
        <s v="Rp470.000"/>
        <s v="Rp590.000"/>
        <s v="Rp717.785"/>
        <s v="Rp570.000"/>
        <s v="Rp1.430.000"/>
        <s v="Rp582.800"/>
        <s v="Rp445.800"/>
        <s v="Rp893.661"/>
        <n v="151890.0"/>
        <s v="Rp45.310"/>
        <s v="Rp745.000"/>
        <s v="Rp870.000"/>
        <s v="Rp550.000"/>
        <s v="Rp600.860"/>
        <s v="Rp655.960"/>
        <s v="Rp1.585.000"/>
        <s v="Rp810.000"/>
        <s v="Rp440.000"/>
        <s v="Rp505.000"/>
        <s v="Rp490.000"/>
        <s v="Rp1.365.000"/>
        <s v="Rp860.000"/>
        <s v="Rp1.765.000"/>
        <s v="Rp1.970.000"/>
        <s v="Rp1.425.000"/>
        <s v="Rp45.000"/>
        <s v="Rp1.620.000"/>
        <s v="Rp1.270.000"/>
        <s v="Rp1.088.301"/>
        <s v="Rp785.133"/>
        <s v="Rp766.000"/>
        <s v="Rp944.794"/>
        <s v="Rp990.539"/>
        <s v="Rp1.170.000"/>
        <s v="Rp347.480"/>
        <s v="Rp347.500"/>
        <s v="Rp2.665.000"/>
        <s v="Rp510.000"/>
        <n v="613000.0"/>
        <s v="Rp794.000"/>
        <s v="Rp519.500"/>
        <s v="Rp985.000"/>
        <s v="Rp785.000"/>
        <s v="Rp765.000"/>
        <s v="Rp865.500"/>
        <s v="Rp945.190"/>
        <s v="Rp475.650"/>
        <s v="Rp592.200"/>
        <s v="Rp609.800"/>
        <s v="Rp666.500"/>
        <s v="Rp671.590"/>
        <s v="Rp672.230"/>
        <s v="Rp659.620"/>
        <s v="Rp904.050"/>
        <s v="Rp540.800"/>
        <s v="Rp690.560"/>
        <s v="Rp39.400"/>
        <s v="Rp43.500"/>
        <s v="Rp199.900"/>
        <s v="Rp1.490.000"/>
        <s v="Rp145.000"/>
        <s v="Rp195.000"/>
        <s v="Rp2.300.000"/>
        <s v="Rp1.698.000"/>
        <s v="Rp437.000"/>
        <s v="Rp454.000"/>
        <s v="Rp573.000"/>
        <s v="Rp591.500"/>
        <s v="Rp1.663.962"/>
        <s v="Rp1.283.251"/>
        <s v="Rp1.550.000"/>
        <s v="Rp3.775.000"/>
        <s v="Rp1.281.000"/>
        <s v="Rp535.680"/>
        <s v="Rp516.460"/>
        <s v="Rp727.260"/>
        <s v="Rp715.000"/>
        <s v="Rp742.000"/>
        <s v="Rp762.000"/>
        <s v="Rp540.000"/>
        <s v="Rp1.400.000"/>
        <s v="Rp1.747.000"/>
        <s v="Rp1.305.000"/>
        <n v="1305000.0"/>
        <s v="Rp935.000"/>
        <s v="Rp557.000"/>
        <s v="Rp700.600"/>
        <s v="Rp760.000"/>
        <s v="Rp562.000"/>
        <s v="Rp1.000.000"/>
        <s v="Rp740.000"/>
        <s v="Rp602.000"/>
        <s v="Rp578.460"/>
        <s v="Rp799.425"/>
        <s v="Rp572.762"/>
        <s v="Rp810.342"/>
        <s v="Rp671.104"/>
        <s v="Rp680.512"/>
        <s v="Rp564.181"/>
        <s v="Rp111.800"/>
        <s v="Rp1.003.000"/>
        <s v="Rp157.500"/>
        <s v="Rp76.000"/>
        <s v="Rp549.320"/>
        <s v="Rp822.740"/>
        <s v="Rp638.600"/>
        <s v="Rp184.150"/>
        <s v="Rp2.074.000"/>
        <n v="715635.0"/>
        <n v="834889.0"/>
        <s v="Rp846.720"/>
        <s v="Rp766.438"/>
        <s v="Rp634.099"/>
        <s v="Rp580.000"/>
        <s v="Rp770.000"/>
        <s v="Rp690.000"/>
        <s v="Rp462.500"/>
        <s v="Rp465.000"/>
        <n v="575000.0"/>
        <s v="Rp2.045.000"/>
        <s v="Rp1.650.000"/>
        <s v="Rp2.025.000"/>
        <s v="Rp435.000"/>
        <s v="Rp671.600"/>
        <s v="Rp3.365.000"/>
        <s v="Rp252.140"/>
        <s v="Rp668.000"/>
        <s v="Rp1.113.907"/>
        <s v="Rp727.000"/>
        <s v="Rp592.000"/>
        <s v="Rp1.466.394"/>
        <s v="Rp930.000"/>
        <s v="Rp515.000"/>
        <s v="Rp539.000"/>
        <s v="Rp678.000"/>
        <s v="Rp445.400"/>
        <s v="Rp572.700"/>
        <s v="Rp666.540"/>
        <s v="Rp739.000"/>
        <s v="Rp1.150.700"/>
        <s v="Rp585.000"/>
        <s v="Rp1.150.000"/>
        <s v="Rp123.300"/>
        <s v="Rp485.000"/>
        <n v="593438.0"/>
        <s v="Rp884.979"/>
        <s v="Rp517.000"/>
        <s v="Rp565.000"/>
        <s v="Rp610.000"/>
        <s v="Rp634.500"/>
        <s v="Rp759.500"/>
        <s v="Rp601.000"/>
        <s v="Rp2.475.000"/>
        <s v="Rp3.160.000"/>
        <s v="Rp3.750.000"/>
        <s v="Rp544.300"/>
        <s v="Rp757.300"/>
        <n v="1697722.0"/>
        <n v="1035858.0"/>
        <n v="1545000.0"/>
        <n v="1245000.0"/>
        <n v="1466394.0"/>
        <n v="572762.0"/>
        <n v="810000.0"/>
        <n v="762048.0"/>
        <n v="784000.0"/>
        <n v="846720.0"/>
        <n v="873690.0"/>
        <n v="683021.0"/>
        <n v="810342.0"/>
        <s v="Rp2.050.000"/>
        <s v="Rp821.000"/>
        <s v="Rp779.500"/>
        <s v="Rp582.500"/>
        <s v="Rp1.447.000"/>
        <s v="Rp896.000"/>
        <s v="Rp1.820.000"/>
        <s v="Rp650.000"/>
        <n v="752000.0"/>
        <s v="Rp42.170"/>
        <s v="Rp54.171"/>
        <s v="Rp581.120"/>
        <s v="Rp659.600"/>
        <s v="Rp643.200"/>
        <s v="Rp716.900"/>
        <s v="Rp161.800"/>
        <s v="Rp199.910"/>
        <s v="Rp752.000"/>
        <s v="Rp949.500"/>
        <s v="Rp1.419.500"/>
        <s v="Rp593.541"/>
        <s v="Rp688.000"/>
        <s v="Rp809.000"/>
        <s v="Rp908.000"/>
        <s v="Rp501.500"/>
        <s v="Rp582.000"/>
        <s v="Rp959.000"/>
        <s v="Rp1.545.000"/>
        <s v="Rp1.320.000"/>
        <s v="Rp1.245.000"/>
        <s v="Rp452.970"/>
        <s v="Rp788.000"/>
        <s v="Rp593.438"/>
        <s v="Rp1.501.164"/>
        <s v="Rp1.175.000"/>
        <s v="Rp638.500"/>
        <s v="Rp1.108.560"/>
        <s v="Rp609.804"/>
        <s v="Rp425.000"/>
        <s v="Rp608.000"/>
        <s v="Rp615.000"/>
        <s v="Rp1.026.000"/>
        <s v="Rp849.000"/>
        <s v="Rp1.194.000"/>
        <s v="Rp795.000"/>
        <s v="Rp1.040.000"/>
        <s v="Rp920.000"/>
        <s v="Rp89.780"/>
        <s v="Rp140.700"/>
        <s v="Rp36.850"/>
        <s v="Rp50.920"/>
        <n v="593541.0"/>
        <s v="Rp421.000"/>
        <s v="Rp620.000"/>
        <s v="Rp593.000"/>
        <s v="Rp558.200"/>
        <s v="Rp808.300"/>
        <s v="Rp636.300"/>
        <s v="Rp100.500"/>
        <s v="Rp159.500"/>
        <s v="Rp197.000"/>
        <s v="Rp38.900"/>
        <s v="Rp42.900"/>
        <s v="Rp1.740.000"/>
        <s v="Rp803.640"/>
        <s v="Rp450.000"/>
        <s v="Rp593.488"/>
        <s v="Rp881.000"/>
        <s v="Rp638.525"/>
        <s v="Rp895.000"/>
        <s v="1466393,5"/>
        <s v="Rp237.440"/>
        <s v="Rp227.850"/>
        <n v="19200.0"/>
        <n v="40000.0"/>
        <n v="21500.0"/>
        <n v="52000.0"/>
        <n v="26000.0"/>
        <s v="Rp715.635"/>
        <s v="Rp438.400"/>
        <s v="Rp790.000"/>
        <s v="Rp1.090.000"/>
        <s v="Rp604.000"/>
        <s v="Rp762.048"/>
        <s v="Rp628.500"/>
        <s v="Rp467.000"/>
        <s v="Rp599.000"/>
        <s v="Rp520.000"/>
        <s v="Rp708.000"/>
        <s v="Rp453.000"/>
        <s v="Rp595.000"/>
        <s v="Rp1.160.000"/>
        <s v="Rp2.030.000"/>
        <s v="Rp805.872"/>
        <n v="282805.0"/>
        <s v="Rp661.550"/>
        <s v="Rp572.763"/>
        <s v="Rp680.000"/>
        <s v="Rp716.459"/>
        <s v="Rp835.030"/>
        <s v="Rp1.680.745"/>
        <s v="Rp1.480.000"/>
        <s v="Rp711.900"/>
        <n v="271778.0"/>
        <n v="287688.0"/>
        <s v="Rp1.442.000"/>
        <s v="Rp600.000"/>
        <s v="Rp622.000"/>
        <s v="Rp415.000"/>
        <s v="Rp949.000"/>
        <s v="Rp1.182.000"/>
        <s v="Rp689.000"/>
        <s v="Rp771.000"/>
        <s v="Rp674.000"/>
        <s v="Rp709.000"/>
        <s v="Rp863.000"/>
        <s v="Rp897.000"/>
        <s v="Rp877.000"/>
        <s v="Rp812.000"/>
        <s v="Rp491.000"/>
        <s v="Rp607.000"/>
        <n v="1442000.0"/>
        <n v="377951.0"/>
        <n v="432500.0"/>
        <n v="25000.0"/>
        <n v="80000.0"/>
        <n v="61000.0"/>
        <n v="2000000.0"/>
        <n v="452970.0"/>
        <n v="622000.0"/>
        <n v="745000.0"/>
        <n v="491000.0"/>
        <n v="582500.0"/>
        <n v="539000.0"/>
        <n v="1850000.0"/>
        <n v="1840000.0"/>
        <n v="650000.0"/>
        <n v="897000.0"/>
        <n v="45309.6"/>
        <n v="1320000.0"/>
        <n v="475700.0"/>
        <n v="524800.0"/>
        <n v="544300.0"/>
        <n v="592200.0"/>
        <n v="609800.0"/>
        <n v="666540.0"/>
        <n v="570200.0"/>
        <n v="836000.0"/>
        <n v="739000.0"/>
        <n v="540800.0"/>
        <n v="581100.0"/>
        <n v="690600.0"/>
        <n v="1180000.0"/>
        <n v="442500.0"/>
        <n v="490000.0"/>
        <n v="593500.0"/>
        <n v="572762.4"/>
        <n v="670000.0"/>
        <n v="790000.0"/>
        <n v="620000.0"/>
        <n v="1175000.0"/>
        <n v="600000.0"/>
        <n v="674000.0"/>
        <n v="415000.0"/>
        <n v="595000.0"/>
        <n v="570000.0"/>
        <n v="812000.0"/>
        <n v="949000.0"/>
        <n v="1250000.0"/>
        <n v="75000.0"/>
        <n v="2025000.0"/>
        <n v="2050000.0"/>
        <n v="1500000.0"/>
        <n v="507000.0"/>
        <n v="102000.0"/>
        <n v="124000.0"/>
        <n v="160833.33333333334"/>
        <n v="802000.0"/>
        <n v="1420000.0"/>
        <n v="450000.0"/>
        <n v="607000.0"/>
        <n v="840000.0"/>
        <n v="877000.0"/>
        <n v="1028000.0"/>
        <n v="1040000.0"/>
        <n v="1292000.0"/>
        <n v="570500.0"/>
        <n v="531715.5"/>
        <n v="596694.4"/>
        <n v="575880.8"/>
        <n v="680000.0"/>
        <n v="664205.6"/>
        <n v="830273.6"/>
        <n v="1113907.2"/>
        <n v="2160000.0"/>
        <n v="81000.0"/>
        <n v="2200000.0"/>
        <n v="204000.0"/>
        <n v="58114.0"/>
        <n v="179445.0"/>
        <n v="1480000.0"/>
        <n v="581120.0"/>
        <n v="558200.0"/>
        <n v="672210.0"/>
        <n v="3160000.0"/>
        <n v="1425000.0"/>
        <n v="1466393.5"/>
        <n v="720000.0"/>
        <n v="810342.44"/>
        <n v="945190.375"/>
        <n v="467000.0"/>
        <n v="520000.0"/>
        <n v="771000.0"/>
        <n v="2475000.0"/>
        <n v="1700000.0"/>
        <n v="945000.0"/>
        <n v="5000.0"/>
        <n v="805872.0"/>
        <n v="680512.0"/>
        <n v="712256.0"/>
        <n v="575780.8"/>
        <n v="694300.0"/>
        <n v="628100.0"/>
        <n v="757300.0"/>
        <n v="863000.0"/>
        <n v="1007000.0"/>
        <n v="792000.0"/>
        <n v="689000.0"/>
        <n v="709000.0"/>
        <n v="908000.0"/>
        <n v="853000.0"/>
        <n v="795000.0"/>
        <n v="940000.0"/>
        <n v="1182000.0"/>
        <n v="1108560.0"/>
        <n v="700000.0"/>
        <n v="844000.0"/>
        <n v="1029000.0"/>
        <n v="596000.0"/>
        <n v="921750.0"/>
        <n v="445400.0"/>
        <n v="627400.0"/>
        <n v="659610.0"/>
        <n v="716940.0"/>
        <n v="711900.0"/>
        <n v="808300.0"/>
        <n v="726400.0"/>
        <n v="109200.0"/>
        <n v="4100000.0"/>
        <n v="1481800.0"/>
        <n v="1130842.0"/>
        <n v="1698000.0"/>
        <n v="153665.7804"/>
        <n v="40438.4211"/>
        <n v="609844.4"/>
        <n v="588505.8"/>
        <n v="815000.0"/>
        <n v="727756.0"/>
        <n v="909585.0"/>
        <n v="675000.0"/>
        <n v="705000.0"/>
        <n v="1127705.6"/>
        <n v="130137.0"/>
        <n v="85695.0"/>
        <n v="609804.0"/>
        <n v="855500.0"/>
        <n v="517000.0"/>
        <n v="532400.0"/>
        <n v="696500.0"/>
        <n v="779500.0"/>
        <n v="809000.0"/>
        <n v="1762000.0"/>
        <n v="888000.0"/>
        <n v="689900.0"/>
        <n v="648900.0"/>
        <n v="813300.0"/>
        <n v="10000.0"/>
        <n v="1062000.0"/>
        <n v="733824.0"/>
        <n v="657305.6"/>
        <n v="859264.0"/>
        <n v="980542.4"/>
        <n v="1940000.0"/>
        <n v="548000.0"/>
        <n v="572700.0"/>
        <n v="716900.0"/>
        <n v="1097400.0"/>
        <n v="2030000.0"/>
        <n v="161840.0"/>
        <n v="199920.0"/>
        <n v="43520.0"/>
        <n v="601000.0"/>
        <n v="815987.25"/>
        <n v="822259.2"/>
        <n v="609844.375"/>
        <n v="588505.75"/>
        <n v="542528.0"/>
        <n v="1750000.0"/>
        <n v="292600.0"/>
        <n v="275500.0"/>
        <n v="380400.0"/>
        <n v="182600.0"/>
        <n v="289857.0"/>
        <n v="74700.0"/>
        <n v="96400.0"/>
        <n v="660000.0"/>
        <n v="550000.0"/>
        <n v="465000.0"/>
        <n v="582000.0"/>
        <n v="501500.0"/>
        <n v="609000.0"/>
        <n v="530000.0"/>
        <n v="881000.0"/>
        <n v="716500.0"/>
        <n v="610000.0"/>
        <n v="55000.0"/>
        <n v="1926858.75"/>
        <n v="634500.0"/>
        <n v="759500.0"/>
        <n v="460000.0"/>
        <n v="505000.0"/>
        <n v="1525000.0"/>
        <n v="182200.0"/>
        <n v="43500.0"/>
        <n v="556800.0"/>
        <n v="604200.0"/>
        <n v="711000.0"/>
        <n v="540500.0"/>
        <n v="575200.0"/>
        <n v="560700.0"/>
        <n v="589700.0"/>
        <n v="587200.0"/>
        <n v="672800.0"/>
        <n v="775500.0"/>
        <n v="787500.0"/>
        <n v="434000.0"/>
        <n v="2020000.0"/>
        <n v="90000.0"/>
        <n v="459420.0"/>
        <n v="185000.0"/>
        <n v="2080000.0"/>
        <n v="95450.0"/>
        <n v="1885000.0"/>
        <n v="1980000.0"/>
        <n v="1555000.0"/>
        <n v="1475000.0"/>
        <n v="209816.66"/>
        <n v="158530.2"/>
        <n v="307676.0"/>
        <n v="294418.0"/>
        <n v="3190000.0"/>
        <n v="405000.0"/>
        <n v="100500.0"/>
        <n v="688000.0"/>
        <n v="1194000.0"/>
        <n v="329877.0"/>
        <n v="80931.0"/>
        <n v="1560000.0"/>
        <n v="474240.0"/>
        <n v="750700.0"/>
        <n v="120000.0"/>
        <n v="334916.0"/>
        <n v="27375.0"/>
        <n v="18900.0"/>
        <n v="56025.0"/>
        <n v="25575.0"/>
        <n v="22500.0"/>
        <n v="490100.0"/>
        <n v="458600.0"/>
        <n v="861200.0"/>
        <n v="615300.0"/>
        <n v="640700.0"/>
        <n v="25500.0"/>
        <n v="26500.0"/>
        <n v="780000.0"/>
        <n v="602000.0"/>
        <n v="480700.0"/>
        <n v="488320.0"/>
        <n v="317518.0"/>
        <n v="1210000.0"/>
        <n v="470000.0"/>
        <n v="540000.0"/>
        <n v="4200000.0"/>
        <n v="1170000.0"/>
        <n v="23500.0"/>
        <n v="1150700.0"/>
        <n v="548100.0"/>
        <n v="174000.0"/>
        <n v="194400.0"/>
        <n v="133650.0"/>
        <n v="225314.0"/>
        <n v="814000.0"/>
        <n v="1565000.0"/>
        <n v="1265000.0"/>
        <n v="1170353.16"/>
        <n v="633035.16"/>
        <n v="611109.16"/>
        <n v="710000.0"/>
        <n v="825000.0"/>
        <n v="711872.0"/>
        <n v="844838.5"/>
        <n v="889369.5"/>
        <n v="754660.6"/>
        <n v="879567.0"/>
        <n v="851110.375"/>
        <n v="943430.5"/>
        <n v="231268.0"/>
        <n v="241001.6"/>
        <n v="759539.2"/>
        <n v="704346.0"/>
        <n v="149500.0"/>
        <n v="1221100.0"/>
        <n v="774000.0"/>
        <n v="123000.0"/>
        <n v="357999.0"/>
        <n v="2575000.0"/>
        <n v="439000.0"/>
        <n v="141160.0"/>
        <m/>
        <n v="6.248085908998334E8"/>
      </sharedItems>
    </cacheField>
    <cacheField name="Price Fixed" numFmtId="165">
      <sharedItems containsString="0" containsBlank="1" containsNumber="1">
        <n v="1085500.0"/>
        <n v="700000.0"/>
        <n v="1570000.0"/>
        <n v="1285000.0"/>
        <n v="577500.0"/>
        <n v="676728.0"/>
        <n v="655500.0"/>
        <n v="670000.0"/>
        <n v="765916.0"/>
        <n v="810174.0"/>
        <n v="902500.0"/>
        <n v="1170500.0"/>
        <n v="1360000.0"/>
        <n v="735000.0"/>
        <n v="760239.0"/>
        <n v="1830000.0"/>
        <n v="915000.0"/>
        <n v="530000.0"/>
        <n v="468000.0"/>
        <n v="613000.0"/>
        <n v="1607040.0"/>
        <n v="1695000.0"/>
        <n v="1805000.0"/>
        <n v="2015000.0"/>
        <n v="75000.0"/>
        <n v="199920.0"/>
        <n v="161840.0"/>
        <n v="125120.0"/>
        <n v="102000.0"/>
        <n v="507000.0"/>
        <n v="442500.0"/>
        <n v="1180000.0"/>
        <n v="441450.0"/>
        <n v="38760.0"/>
        <n v="42840.0"/>
        <n v="452900.0"/>
        <n v="524800.0"/>
        <n v="475700.0"/>
        <n v="672200.0"/>
        <n v="581100.0"/>
        <n v="690600.0"/>
        <n v="836000.0"/>
        <n v="39440.0"/>
        <n v="43520.0"/>
        <n v="1500000.0"/>
        <n v="1840000.0"/>
        <n v="1950000.0"/>
        <n v="2160000.0"/>
        <n v="1645000.0"/>
        <n v="575000.0"/>
        <n v="704500.0"/>
        <n v="779000.0"/>
        <n v="645000.0"/>
        <n v="623000.0"/>
        <n v="550500.0"/>
        <n v="470000.0"/>
        <n v="590000.0"/>
        <n v="717785.0"/>
        <n v="570000.0"/>
        <n v="1430000.0"/>
        <n v="582800.0"/>
        <n v="445800.0"/>
        <n v="893661.0"/>
        <n v="151890.0"/>
        <n v="45309.6"/>
        <n v="745000.0"/>
        <n v="870000.0"/>
        <n v="550000.0"/>
        <n v="600860.0"/>
        <n v="655960.0"/>
        <n v="1585000.0"/>
        <n v="810000.0"/>
        <n v="440000.0"/>
        <n v="505000.0"/>
        <n v="490000.0"/>
        <n v="1365000.0"/>
        <n v="860000.0"/>
        <n v="1765000.0"/>
        <n v="1970000.0"/>
        <n v="1425000.0"/>
        <n v="45000.0"/>
        <n v="1620000.0"/>
        <n v="1270000.0"/>
        <n v="1088301.0"/>
        <n v="785133.0"/>
        <n v="766000.0"/>
        <n v="944794.0"/>
        <n v="990539.0"/>
        <n v="1170000.0"/>
        <n v="347480.0"/>
        <n v="347500.0"/>
        <n v="2665000.0"/>
        <n v="510000.0"/>
        <n v="794000.0"/>
        <n v="519500.0"/>
        <n v="985000.0"/>
        <n v="785000.0"/>
        <n v="765000.0"/>
        <n v="865500.0"/>
        <n v="945190.333"/>
        <n v="475650.0"/>
        <n v="592200.0"/>
        <n v="609800.0"/>
        <n v="666500.0"/>
        <n v="671590.0"/>
        <n v="672230.0"/>
        <n v="659620.0"/>
        <n v="904050.0"/>
        <n v="540800.0"/>
        <n v="690560.0"/>
        <n v="39400.0"/>
        <n v="43500.0"/>
        <n v="199900.0"/>
        <n v="1490000.0"/>
        <n v="145000.0"/>
        <n v="195000.0"/>
        <n v="2300000.0"/>
        <n v="1698000.0"/>
        <n v="437000.0"/>
        <n v="454000.0"/>
        <n v="573000.0"/>
        <n v="591500.0"/>
        <n v="1663962.0"/>
        <n v="1283251.0"/>
        <n v="1550000.0"/>
        <n v="3775000.0"/>
        <n v="1281000.0"/>
        <n v="535680.0"/>
        <n v="516460.0"/>
        <n v="727260.0"/>
        <n v="715000.0"/>
        <n v="742000.0"/>
        <n v="762000.0"/>
        <n v="540000.0"/>
        <n v="1400000.0"/>
        <n v="1747000.0"/>
        <n v="1305000.0"/>
        <n v="935000.0"/>
        <n v="557000.0"/>
        <n v="700600.0"/>
        <n v="760000.0"/>
        <n v="562000.0"/>
        <n v="1000000.0"/>
        <n v="740000.0"/>
        <n v="602000.0"/>
        <n v="578460.0"/>
        <n v="945190.375"/>
        <n v="799425.0"/>
        <n v="572762.4"/>
        <n v="810342.44"/>
        <n v="671104.0"/>
        <n v="680512.0"/>
        <n v="564181.0"/>
        <n v="111800.0"/>
        <n v="1003000.0"/>
        <n v="157500.0"/>
        <n v="76000.0"/>
        <n v="549320.0"/>
        <n v="822740.0"/>
        <n v="638600.0"/>
        <n v="184150.0"/>
        <n v="2074000.0"/>
        <n v="715635.0"/>
        <n v="834889.0"/>
        <n v="846720.0"/>
        <n v="766438.4"/>
        <n v="634099.2"/>
        <n v="580000.0"/>
        <n v="770000.0"/>
        <n v="690000.0"/>
        <n v="462500.0"/>
        <n v="465000.0"/>
        <n v="2045000.0"/>
        <n v="1650000.0"/>
        <n v="2025000.0"/>
        <n v="435000.0"/>
        <n v="671600.0"/>
        <n v="3365000.0"/>
        <n v="252140.0"/>
        <n v="668000.0"/>
        <n v="1113907.0"/>
        <n v="727000.0"/>
        <n v="592000.0"/>
        <n v="1466393.5"/>
        <n v="1113907.2"/>
        <n v="930000.0"/>
        <n v="515000.0"/>
        <n v="539000.0"/>
        <n v="678000.0"/>
        <n v="445400.0"/>
        <n v="572700.0"/>
        <n v="666540.0"/>
        <n v="739000.0"/>
        <n v="1150700.0"/>
        <n v="585000.0"/>
        <n v="1150000.0"/>
        <n v="123300.0"/>
        <n v="485000.0"/>
        <n v="593438.0"/>
        <n v="884979.0"/>
        <n v="517000.0"/>
        <n v="565000.0"/>
        <n v="610000.0"/>
        <n v="634500.0"/>
        <n v="759500.0"/>
        <n v="601000.0"/>
        <n v="2475000.0"/>
        <n v="3160000.0"/>
        <n v="3750000.0"/>
        <n v="544300.0"/>
        <n v="757300.0"/>
        <n v="1697722.0"/>
        <n v="2071716.0"/>
        <n v="1545000.0"/>
        <n v="1245000.0"/>
        <n v="1466394.0"/>
        <n v="572762.0"/>
        <n v="762048.0"/>
        <n v="784000.0"/>
        <n v="873690.0"/>
        <n v="683021.0"/>
        <n v="810342.0"/>
        <n v="2050000.0"/>
        <n v="821000.0"/>
        <n v="779500.0"/>
        <n v="582500.0"/>
        <n v="1447000.0"/>
        <n v="896000.0"/>
        <n v="1820000.0"/>
        <n v="650000.0"/>
        <n v="752000.0"/>
        <n v="42169.6"/>
        <n v="54170.7"/>
        <n v="581120.0"/>
        <n v="659600.0"/>
        <n v="643200.0"/>
        <n v="716900.0"/>
        <n v="161800.0"/>
        <n v="199910.0"/>
        <n v="949500.0"/>
        <n v="1419500.0"/>
        <n v="593541.0"/>
        <n v="688000.0"/>
        <n v="809000.0"/>
        <n v="908000.0"/>
        <n v="501500.0"/>
        <n v="582000.0"/>
        <n v="959000.0"/>
        <n v="1320000.0"/>
        <n v="452970.0"/>
        <n v="788000.0"/>
        <n v="593438.4"/>
        <n v="1501164.0"/>
        <n v="1175000.0"/>
        <n v="638500.0"/>
        <n v="1108560.0"/>
        <n v="609804.0"/>
        <n v="425000.0"/>
        <n v="608000.0"/>
        <n v="615000.0"/>
        <n v="1026000.0"/>
        <n v="849000.0"/>
        <n v="1194000.0"/>
        <n v="795000.0"/>
        <n v="1040000.0"/>
        <n v="920000.0"/>
        <n v="89780.0"/>
        <n v="140700.0"/>
        <n v="36850.0"/>
        <n v="50920.0"/>
        <n v="421000.0"/>
        <n v="620000.0"/>
        <n v="593000.0"/>
        <n v="558200.0"/>
        <n v="808300.0"/>
        <n v="636300.0"/>
        <n v="100500.0"/>
        <n v="159500.0"/>
        <n v="197000.0"/>
        <n v="38900.0"/>
        <n v="42900.0"/>
        <n v="1740000.0"/>
        <n v="803640.0"/>
        <n v="450000.0"/>
        <n v="593488.4"/>
        <n v="628500.0"/>
        <n v="881000.0"/>
        <n v="638525.0"/>
        <n v="895000.0"/>
        <n v="237440.0"/>
        <n v="227850.0"/>
        <n v="147050.0"/>
        <n v="19200.0"/>
        <n v="40000.0"/>
        <n v="21500.0"/>
        <n v="52000.0"/>
        <n v="26000.0"/>
        <n v="438400.0"/>
        <n v="1090000.0"/>
        <n v="604000.0"/>
        <n v="467000.0"/>
        <n v="599000.0"/>
        <n v="520000.0"/>
        <n v="708000.0"/>
        <n v="453000.0"/>
        <n v="595000.0"/>
        <n v="1160000.0"/>
        <n v="2030000.0"/>
        <n v="276700.0"/>
        <n v="661550.0"/>
        <n v="790000.0"/>
        <n v="835029.75"/>
        <n v="1680744.5"/>
        <n v="1480000.0"/>
        <n v="711900.0"/>
        <n v="260100.0"/>
        <n v="277600.0"/>
        <n v="273000.0"/>
        <n v="1442000.0"/>
        <n v="600000.0"/>
        <n v="622000.0"/>
        <n v="415000.0"/>
        <n v="949000.0"/>
        <n v="1182000.0"/>
        <n v="689000.0"/>
        <n v="771000.0"/>
        <n v="674000.0"/>
        <n v="709000.0"/>
        <n v="863000.0"/>
        <n v="897000.0"/>
        <n v="877000.0"/>
        <n v="812000.0"/>
        <n v="491000.0"/>
        <n v="607000.0"/>
        <n v="361700.0"/>
        <n v="423250.0"/>
        <n v="25000.0"/>
        <n v="58300.0"/>
        <n v="49500.0"/>
        <n v="2000000.0"/>
        <n v="570500.0"/>
        <n v="1292000.0"/>
        <n v="570200.0"/>
        <n v="593500.0"/>
        <n v="680000.0"/>
        <n v="1250000.0"/>
        <n v="50000.0"/>
        <n v="47500.0"/>
        <n v="160833.0"/>
        <n v="802000.0"/>
        <n v="840000.0"/>
        <n v="1017000.0"/>
        <n v="1029000.0"/>
        <n v="531715.5"/>
        <n v="596694.4"/>
        <n v="575780.8"/>
        <n v="644205.6"/>
        <n v="830273.6"/>
        <n v="80957.6"/>
        <n v="2200000.0"/>
        <n v="204000.0"/>
        <n v="256600.0"/>
        <n v="273900.0"/>
        <n v="356800.0"/>
        <n v="269300.0"/>
        <n v="55400.0"/>
        <n v="169400.0"/>
        <n v="1458683.0"/>
        <n v="719199.0"/>
        <n v="712256.0"/>
        <n v="805872.0"/>
        <n v="890460.0"/>
        <n v="2450000.0"/>
        <n v="27000.0"/>
        <n v="53000.0"/>
        <n v="1750000.0"/>
        <n v="945000.0"/>
        <n v="48000.0"/>
        <n v="5000.0"/>
        <n v="596694.0"/>
        <n v="694300.0"/>
        <n v="628100.0"/>
        <n v="672210.0"/>
        <n v="1007000.0"/>
        <n v="792000.0"/>
        <n v="844000.0"/>
        <n v="778000.0"/>
        <n v="693700.0"/>
        <n v="596000.0"/>
        <n v="921750.0"/>
        <n v="1130842.0"/>
        <n v="453178.0"/>
        <n v="627400.0"/>
        <n v="659610.0"/>
        <n v="716940.0"/>
        <n v="726400.0"/>
        <n v="109200.0"/>
        <n v="4100000.0"/>
        <n v="716500.0"/>
        <n v="1481800.0"/>
        <n v="40438.4211"/>
        <n v="153665.7804"/>
        <n v="1130841.6"/>
        <n v="609844.4"/>
        <n v="588505.8"/>
        <n v="815000.0"/>
        <n v="727756.0"/>
        <n v="909585.0"/>
        <n v="675000.0"/>
        <n v="705000.0"/>
        <n v="1127705.6"/>
        <n v="130137.0"/>
        <n v="44143.0"/>
        <n v="85695.0"/>
        <n v="855500.0"/>
        <n v="532400.0"/>
        <n v="696500.0"/>
        <n v="1762000.0"/>
        <n v="888000.0"/>
        <n v="689900.0"/>
        <n v="648900.0"/>
        <n v="813300.0"/>
        <n v="10000.0"/>
        <n v="542528.0"/>
        <n v="1004147.2"/>
        <n v="733824.0"/>
        <n v="657305.6"/>
        <n v="859264.0"/>
        <n v="980542.4"/>
        <n v="1940000.0"/>
        <n v="548000.0"/>
        <n v="1097400.0"/>
        <n v="143589.6"/>
        <n v="815987.25"/>
        <n v="822259.2"/>
        <n v="609844.375"/>
        <n v="588505.75"/>
        <n v="292600.0"/>
        <n v="275500.0"/>
        <n v="380400.0"/>
        <n v="182600.0"/>
        <n v="289857.0"/>
        <n v="74700.0"/>
        <n v="96400.0"/>
        <n v="595400.0"/>
        <n v="480000.0"/>
        <n v="609000.0"/>
        <n v="1028000.0"/>
        <n v="660000.0"/>
        <n v="45439.582"/>
        <n v="58371.2695"/>
        <n v="1926858.75"/>
        <n v="460000.0"/>
        <n v="1525000.0"/>
        <n v="182200.0"/>
        <n v="556800.0"/>
        <n v="604200.0"/>
        <n v="711000.0"/>
        <n v="540500.0"/>
        <n v="575200.0"/>
        <n v="560700.0"/>
        <n v="589700.0"/>
        <n v="587200.0"/>
        <n v="672800.0"/>
        <n v="775500.0"/>
        <n v="787500.0"/>
        <n v="434000.0"/>
        <n v="2019000.0"/>
        <n v="48139.6"/>
        <n v="459420.0"/>
        <n v="294418.0"/>
        <n v="307676.0"/>
        <n v="158530.2"/>
        <n v="184666.6"/>
        <n v="2080000.0"/>
        <n v="3190000.0"/>
        <n v="48500.0"/>
        <n v="95450.0"/>
        <n v="141160.0"/>
        <n v="1885000.0"/>
        <n v="1980000.0"/>
        <n v="2100000.0"/>
        <n v="1555000.0"/>
        <n v="1475000.0"/>
        <n v="739600.0"/>
        <n v="1800000.0"/>
        <n v="495000.0"/>
        <n v="209816.66"/>
        <n v="44000.0"/>
        <n v="625000.0"/>
        <n v="773337.5"/>
        <n v="46500.0"/>
        <n v="422900.0"/>
        <n v="334916.0"/>
        <n v="317518.0"/>
        <n v="405000.0"/>
        <n v="329877.0"/>
        <n v="80931.0"/>
        <n v="1560000.0"/>
        <n v="474240.0"/>
        <n v="750750.0"/>
        <n v="120000.0"/>
        <n v="51500.0"/>
        <n v="54000.0"/>
        <n v="482300.0"/>
        <n v="2060000.0"/>
        <n v="27375.0"/>
        <n v="18900.0"/>
        <n v="56025.0"/>
        <n v="25575.0"/>
        <n v="22500.0"/>
        <n v="466800.0"/>
        <n v="490100.0"/>
        <n v="458600.0"/>
        <n v="861200.0"/>
        <n v="615300.0"/>
        <n v="640700.0"/>
        <n v="25500.0"/>
        <n v="26500.0"/>
        <n v="2575000.0"/>
        <n v="628000.0"/>
        <n v="780000.0"/>
        <n v="480700.0"/>
        <n v="488320.0"/>
        <n v="52500.0"/>
        <n v="1210000.0"/>
        <n v="4200000.0"/>
        <n v="1325000.0"/>
        <n v="1600000.0"/>
        <n v="23500.0"/>
        <n v="1221100.0"/>
        <n v="548100.0"/>
        <n v="174000.0"/>
        <n v="194400.0"/>
        <n v="133650.0"/>
        <n v="225314.0"/>
        <n v="603000.0"/>
        <n v="701800.0"/>
        <n v="814000.0"/>
        <n v="1565000.0"/>
        <n v="1265000.0"/>
        <n v="1170353.16"/>
        <n v="633035.16"/>
        <n v="611109.16"/>
        <n v="710000.0"/>
        <n v="825000.0"/>
        <n v="711872.0"/>
        <n v="844838.5"/>
        <n v="889369.5"/>
        <n v="754660.6"/>
        <n v="879567.0"/>
        <n v="851110.375"/>
        <n v="943430.5"/>
        <n v="231268.0"/>
        <n v="241001.6"/>
        <n v="703539.0"/>
        <n v="704346.0"/>
        <n v="512640.0"/>
        <n v="565760.0"/>
        <n v="718080.0"/>
        <n v="207677.0"/>
        <n v="149500.0"/>
        <n v="774000.0"/>
        <n v="123000.0"/>
        <n v="158530.0"/>
        <n v="357999.0"/>
        <n v="653000.0"/>
        <n v="782000.0"/>
        <n v="712000.0"/>
        <n v="439000.0"/>
        <m/>
        <n v="1.1866181244859998E9"/>
      </sharedItems>
    </cacheField>
    <cacheField name="Payment">
      <sharedItems containsBlank="1" containsMixedTypes="1" containsNumber="1" containsInteger="1">
        <s v="Tempo 2 Month"/>
        <s v="Tempo DUNLOP"/>
        <s v="Tempo 30 Days"/>
        <s v="Cash"/>
        <s v="Tempo 14 Days"/>
        <m/>
        <n v="0.0"/>
      </sharedItems>
    </cacheField>
    <cacheField name="SUM" numFmtId="165">
      <sharedItems containsString="0" containsBlank="1" containsNumber="1">
        <n v="5427500.0"/>
        <n v="7000000.0"/>
        <n v="6280000.0"/>
        <n v="1.285E7"/>
        <n v="3465000.0"/>
        <n v="6767280.0"/>
        <n v="6555000.0"/>
        <n v="5360000.0"/>
        <n v="4595496.0"/>
        <n v="4861044.0"/>
        <n v="1805000.0"/>
        <n v="2341000.0"/>
        <n v="1.36E7"/>
        <n v="2940000.0"/>
        <n v="760239.0"/>
        <n v="3660000.0"/>
        <n v="1.47E7"/>
        <n v="5490000.0"/>
        <n v="5300000.0"/>
        <n v="7020000.0"/>
        <n v="3.065E7"/>
        <n v="3214080.0"/>
        <n v="2.034E7"/>
        <n v="1.083E7"/>
        <n v="8060000.0"/>
        <n v="1500000.0"/>
        <n v="1999200.0"/>
        <n v="1618400.0"/>
        <n v="3128000.0"/>
        <n v="2550000.0"/>
        <n v="5070000.0"/>
        <n v="6637500.0"/>
        <n v="1.18E7"/>
        <n v="7350000.0"/>
        <n v="8829000.0"/>
        <n v="969000.0"/>
        <n v="1071000.0"/>
        <n v="6793500.0"/>
        <n v="5248000.0"/>
        <n v="4757000.0"/>
        <n v="2688800.0"/>
        <n v="5811000.0"/>
        <n v="6906000.0"/>
        <n v="3344000.0"/>
        <n v="986000.0"/>
        <n v="1088000.0"/>
        <n v="1.5E7"/>
        <n v="1.288E7"/>
        <n v="5850000.0"/>
        <n v="8640000.0"/>
        <n v="6580000.0"/>
        <n v="2300000.0"/>
        <n v="1.05675E7"/>
        <n v="7790000.0"/>
        <n v="1.6125E7"/>
        <n v="1246000.0"/>
        <n v="4954500.0"/>
        <n v="2820000.0"/>
        <n v="1.43557E7"/>
        <n v="1.425E7"/>
        <n v="5720000.0"/>
        <n v="5828000.0"/>
        <n v="7132800.0"/>
        <n v="893661.0"/>
        <n v="1518900.0"/>
        <n v="2718576.0"/>
        <n v="2980000.0"/>
        <n v="1740000.0"/>
        <n v="2750000.0"/>
        <n v="2403440.0"/>
        <n v="2623840.0"/>
        <n v="1285000.0"/>
        <n v="1.585E7"/>
        <n v="8100000.0"/>
        <n v="902500.0"/>
        <n v="4400000.0"/>
        <n v="5050000.0"/>
        <n v="2450000.0"/>
        <n v="3063664.0"/>
        <n v="1.365E7"/>
        <n v="1430000.0"/>
        <n v="1720000.0"/>
        <n v="9750000.0"/>
        <n v="7360000.0"/>
        <n v="3530000.0"/>
        <n v="7880000.0"/>
        <n v="5700000.0"/>
        <n v="1350000.0"/>
        <n v="2.43E7"/>
        <n v="4710000.0"/>
        <n v="5080000.0"/>
        <n v="5441505.0"/>
        <n v="3925665.0"/>
        <n v="4596000.0"/>
        <n v="3829580.0"/>
        <n v="5415000.0"/>
        <n v="5668764.0"/>
        <n v="5943234.0"/>
        <n v="2235000.0"/>
        <n v="3510000.0"/>
        <n v="4.536E7"/>
        <n v="1737400.0"/>
        <n v="2674800.0"/>
        <n v="1737500.0"/>
        <n v="2665000.0"/>
        <n v="510000.0"/>
        <n v="2452000.0"/>
        <n v="3176000.0"/>
        <n v="5195000.0"/>
        <n v="2955000.0"/>
        <n v="1570000.0"/>
        <n v="765000.0"/>
        <n v="1731000.0"/>
        <n v="3780761.332"/>
        <n v="7134750.0"/>
        <n v="8290800.0"/>
        <n v="6098000.0"/>
        <n v="2666000.0"/>
        <n v="2014770.0"/>
        <n v="2688920.0"/>
        <n v="2638480.0"/>
        <n v="5424300.0"/>
        <n v="5408000.0"/>
        <n v="5524480.0"/>
        <n v="4855200.0"/>
        <n v="1970000.0"/>
        <n v="5437500.0"/>
        <n v="9995000.0"/>
        <n v="4470000.0"/>
        <n v="2.392E7"/>
        <n v="4350000.0"/>
        <n v="3900000.0"/>
        <n v="9200000.0"/>
        <n v="6792000.0"/>
        <n v="1748000.0"/>
        <n v="1816000.0"/>
        <n v="2292000.0"/>
        <n v="2957500.0"/>
        <n v="2875000.0"/>
        <n v="6655848.0"/>
        <n v="1283251.0"/>
        <n v="3100000.0"/>
        <n v="4425000.0"/>
        <n v="1.51E7"/>
        <n v="1281000.0"/>
        <n v="2010000.0"/>
        <n v="5356800.0"/>
        <n v="1783200.0"/>
        <n v="1.03292E7"/>
        <n v="2909040.0"/>
        <n v="3540000.0"/>
        <n v="5730000.0"/>
        <n v="7150000.0"/>
        <n v="2968000.0"/>
        <n v="762000.0"/>
        <n v="4320000.0"/>
        <n v="1400000.0"/>
        <n v="5241000.0"/>
        <n v="2610000.0"/>
        <n v="6525000.0"/>
        <n v="2805000.0"/>
        <n v="4680000.0"/>
        <n v="5570000.0"/>
        <n v="2802400.0"/>
        <n v="8360000.0"/>
        <n v="5220000.0"/>
        <n v="5620000.0"/>
        <n v="4860000.0"/>
        <n v="1.06E7"/>
        <n v="3000000.0"/>
        <n v="1480000.0"/>
        <n v="2430000.0"/>
        <n v="6020000.0"/>
        <n v="9000000.0"/>
        <n v="2313840.0"/>
        <n v="7561523.0"/>
        <n v="799425.0"/>
        <n v="1.57E7"/>
        <n v="1.27E7"/>
        <n v="8591436.0"/>
        <n v="5600000.0"/>
        <n v="7293081.959999999"/>
        <n v="2684416.0"/>
        <n v="4083072.0"/>
        <n v="810342.44"/>
        <n v="8462715.0"/>
        <n v="1118000.0"/>
        <n v="1003000.0"/>
        <n v="157500.0"/>
        <n v="76000.0"/>
        <n v="3295920.0"/>
        <n v="6581920.0"/>
        <n v="2554400.0"/>
        <n v="3683000.0"/>
        <n v="2.074E7"/>
        <n v="5349600.0"/>
        <n v="3500000.0"/>
        <n v="2340000.0"/>
        <n v="1431270.0"/>
        <n v="8348890.0"/>
        <n v="2540160.0"/>
        <n v="7664384.0"/>
        <n v="2536396.8"/>
        <n v="8700000.0"/>
        <n v="3080000.0"/>
        <n v="4140000.0"/>
        <n v="3.01E7"/>
        <n v="9168000.0"/>
        <n v="1.806E7"/>
        <n v="1.144E7"/>
        <n v="8625000.0"/>
        <n v="1620000.0"/>
        <n v="2730000.0"/>
        <n v="6937500.0"/>
        <n v="4650000.0"/>
        <n v="4214000.0"/>
        <n v="575000.0"/>
        <n v="4090000.0"/>
        <n v="1.65E7"/>
        <n v="1.104E7"/>
        <n v="5750000.0"/>
        <n v="2865000.0"/>
        <n v="2860000.0"/>
        <n v="1470000.0"/>
        <n v="2.015E7"/>
        <n v="2.025E7"/>
        <n v="2014800.0"/>
        <n v="6730000.0"/>
        <n v="504280.0"/>
        <n v="6480000.0"/>
        <n v="1114000.0"/>
        <n v="1336000.0"/>
        <n v="2227814.0"/>
        <n v="2914000.0"/>
        <n v="5164600.0"/>
        <n v="1719000.0"/>
        <n v="1454000.0"/>
        <n v="1184000.0"/>
        <n v="5865574.0"/>
        <n v="6700000.0"/>
        <n v="1692543.0"/>
        <n v="1.1139072E7"/>
        <n v="3385086.0"/>
        <n v="1.146E7"/>
        <n v="2.709E7"/>
        <n v="1.43E7"/>
        <n v="1.15E7"/>
        <n v="4560000.0"/>
        <n v="5580000.0"/>
        <n v="5150000.0"/>
        <n v="6680000.0"/>
        <n v="3480000.0"/>
        <n v="2156000.0"/>
        <n v="2800000.0"/>
        <n v="6102000.0"/>
        <n v="4454000.0"/>
        <n v="5329800.0"/>
        <n v="5727000.0"/>
        <n v="2666160.0"/>
        <n v="2956000.0"/>
        <n v="3452100.0"/>
        <n v="4030000.0"/>
        <n v="1.215E7"/>
        <n v="3082500.0"/>
        <n v="4850000.0"/>
        <n v="6905600.0"/>
        <n v="5934380.0"/>
        <n v="8849790.0"/>
        <n v="5170000.0"/>
        <n v="5650000.0"/>
        <n v="2440000.0"/>
        <n v="1.728E7"/>
        <n v="1.155E7"/>
        <n v="2850000.0"/>
        <n v="9150000.0"/>
        <n v="3.1725E7"/>
        <n v="1.13925E7"/>
        <n v="9015000.0"/>
        <n v="9807600.0"/>
        <n v="3236800.0"/>
        <n v="4950000.0"/>
        <n v="6320000.0"/>
        <n v="7500000.0"/>
        <n v="7080000.0"/>
        <n v="1.0496E7"/>
        <n v="3810100.0"/>
        <n v="3029200.0"/>
        <n v="2368800.0"/>
        <n v="6790888.0"/>
        <n v="2071716.0"/>
        <n v="1.0815E7"/>
        <n v="6225000.0"/>
        <n v="4399182.0"/>
        <n v="5727620.0"/>
        <n v="3048192.0"/>
        <n v="3136000.0"/>
        <n v="1747380.0"/>
        <n v="6830210.0"/>
        <n v="8103420.0"/>
        <n v="7605000.0"/>
        <n v="1.845E7"/>
        <n v="3284000.0"/>
        <n v="3897500.0"/>
        <n v="3495000.0"/>
        <n v="3050000.0"/>
        <n v="3606000.0"/>
        <n v="1447000.0"/>
        <n v="3584000.0"/>
        <n v="2.16E7"/>
        <n v="1.472E7"/>
        <n v="1.456E7"/>
        <n v="8250000.0"/>
        <n v="2256000.0"/>
        <n v="421696.0"/>
        <n v="2708535.0"/>
        <n v="2538000.0"/>
        <n v="2704000.0"/>
        <n v="5811200.0"/>
        <n v="4756500.0"/>
        <n v="4878400.0"/>
        <n v="2638400.0"/>
        <n v="2572800.0"/>
        <n v="2867600.0"/>
        <n v="3236000.0"/>
        <n v="5997300.0"/>
        <n v="2217000.0"/>
        <n v="1.0125E7"/>
        <n v="1504000.0"/>
        <n v="1899000.0"/>
        <n v="1.4195E7"/>
        <n v="1.22E7"/>
        <n v="1.519E7"/>
        <n v="1.202E7"/>
        <n v="2374164.0"/>
        <n v="2622000.0"/>
        <n v="4540000.0"/>
        <n v="2760000.0"/>
        <n v="3440000.0"/>
        <n v="4045000.0"/>
        <n v="908000.0"/>
        <n v="2507500.0"/>
        <n v="2910000.0"/>
        <n v="2912500.0"/>
        <n v="3836000.0"/>
        <n v="1.82E7"/>
        <n v="9270000.0"/>
        <n v="8540000.0"/>
        <n v="3.6801E7"/>
        <n v="6050000.0"/>
        <n v="4816000.0"/>
        <n v="9354000.0"/>
        <n v="2427000.0"/>
        <n v="1320000.0"/>
        <n v="2490000.0"/>
        <n v="4900000.0"/>
        <n v="1.8225E7"/>
        <n v="5922000.0"/>
        <n v="6665400.0"/>
        <n v="4529700.0"/>
        <n v="1576000.0"/>
        <n v="7797350.399999999"/>
        <n v="5934384.0"/>
        <n v="5727624.0"/>
        <n v="2.3175E7"/>
        <n v="1.8675E7"/>
        <n v="7725000.0"/>
        <n v="1.274E7"/>
        <n v="1.3374E7"/>
        <n v="2562000.0"/>
        <n v="1501164.0"/>
        <n v="5244000.0"/>
        <n v="4700000.0"/>
        <n v="638500.0"/>
        <n v="1108560.0"/>
        <n v="2439216.0"/>
        <n v="1275000.0"/>
        <n v="6080000.0"/>
        <n v="6150000.0"/>
        <n v="4104000.0"/>
        <n v="2.05E7"/>
        <n v="5500000.0"/>
        <n v="4128000.0"/>
        <n v="2547000.0"/>
        <n v="4776000.0"/>
        <n v="1.9035E7"/>
        <n v="1.803E7"/>
        <n v="3180000.0"/>
        <n v="1747500.0"/>
        <n v="3632000.0"/>
        <n v="2080000.0"/>
        <n v="1186876.8"/>
        <n v="2175000.0"/>
        <n v="1080000.0"/>
        <n v="1840000.0"/>
        <n v="179560.0"/>
        <n v="281400.0"/>
        <n v="73700.0"/>
        <n v="101840.0"/>
        <n v="1187082.0"/>
        <n v="2331200.0"/>
        <n v="3368000.0"/>
        <n v="2554000.0"/>
        <n v="2480000.0"/>
        <n v="593541.0"/>
        <n v="7125000.0"/>
        <n v="1.296E7"/>
        <n v="1186000.0"/>
        <n v="4281300.0"/>
        <n v="3673600.0"/>
        <n v="2232800.0"/>
        <n v="3553200.0"/>
        <n v="1336200.0"/>
        <n v="2016600.0"/>
        <n v="3233200.0"/>
        <n v="1672000.0"/>
        <n v="3244800.0"/>
        <n v="5524800.0"/>
        <n v="4454100.0"/>
        <n v="3430000.0"/>
        <n v="6900000.0"/>
        <n v="2512500.0"/>
        <n v="6380000.0"/>
        <n v="1945000.0"/>
        <n v="2145000.0"/>
        <n v="6960000.0"/>
        <n v="2372000.0"/>
        <n v="1811880.0"/>
        <n v="803640.0"/>
        <n v="2227814.4"/>
        <n v="3140000.0"/>
        <n v="900000.0"/>
        <n v="1.435E7"/>
        <n v="2360000.0"/>
        <n v="593488.4"/>
        <n v="680512.0"/>
        <n v="3142500.0"/>
        <n v="1504500.0"/>
        <n v="3300000.0"/>
        <n v="6880000.0"/>
        <n v="881000.0"/>
        <n v="849000.0"/>
        <n v="2724000.0"/>
        <n v="2554100.0"/>
        <n v="4207000.0"/>
        <n v="1.58625E7"/>
        <n v="2291049.6"/>
        <n v="3341721.5999999996"/>
        <n v="1790000.0"/>
        <n v="1.2E7"/>
        <n v="1.545E7"/>
        <n v="1.245E7"/>
        <n v="4399180.5"/>
        <n v="5934884.0"/>
        <n v="3832192.0"/>
        <n v="3539916.0"/>
        <n v="3561600.0"/>
        <n v="3417750.0"/>
        <n v="1470500.0"/>
        <n v="384000.0"/>
        <n v="80000.0"/>
        <n v="107500.0"/>
        <n v="260000.0"/>
        <n v="130000.0"/>
        <n v="1145524.8"/>
        <n v="1.23E7"/>
        <n v="438400.0"/>
        <n v="2264850.0"/>
        <n v="2180000.0"/>
        <n v="1812000.0"/>
        <n v="572762.4"/>
        <n v="2514000.0"/>
        <n v="4670000.0"/>
        <n v="599000.0"/>
        <n v="708000.0"/>
        <n v="3453000.0"/>
        <n v="9060000.0"/>
        <n v="4354400.0"/>
        <n v="1960000.0"/>
        <n v="2020000.0"/>
        <n v="1785000.0"/>
        <n v="8120000.0"/>
        <n v="1.421E7"/>
        <n v="1.83E7"/>
        <n v="1915500.0"/>
        <n v="4077500.0"/>
        <n v="1660200.0"/>
        <n v="2646200.0"/>
        <n v="5569535.0"/>
        <n v="4862054.64"/>
        <n v="7900000.0"/>
        <n v="8350297.5"/>
        <n v="2932787.0"/>
        <n v="1620684.88"/>
        <n v="1.0084467E7"/>
        <n v="2525000.0"/>
        <n v="2380000.0"/>
        <n v="1.48E7"/>
        <n v="3785600.0"/>
        <n v="2905500.0"/>
        <n v="4143600.0"/>
        <n v="3171000.0"/>
        <n v="2847600.0"/>
        <n v="1040400.0"/>
        <n v="1110400.0"/>
        <n v="1638000.0"/>
        <n v="8200000.0"/>
        <n v="2884000.0"/>
        <n v="6000000.0"/>
        <n v="3.11E7"/>
        <n v="1.49E7"/>
        <n v="1.19E7"/>
        <n v="830000.0"/>
        <n v="3796000.0"/>
        <n v="2364000.0"/>
        <n v="2756000.0"/>
        <n v="2313000.0"/>
        <n v="5390000.0"/>
        <n v="6740000.0"/>
        <n v="4963000.0"/>
        <n v="3084000.0"/>
        <n v="4315000.0"/>
        <n v="2691000.0"/>
        <n v="877000.0"/>
        <n v="1624000.0"/>
        <n v="1964000.0"/>
        <n v="3420000.0"/>
        <n v="2428000.0"/>
        <n v="1446800.0"/>
        <n v="2.592E7"/>
        <n v="1693000.0"/>
        <n v="250000.0"/>
        <n v="233200.0"/>
        <n v="247500.0"/>
        <n v="2.0E7"/>
        <n v="2265000.0"/>
        <n v="6220000.0"/>
        <n v="2852500.0"/>
        <n v="2220800.0"/>
        <n v="2600000.0"/>
        <n v="1794000.0"/>
        <n v="2584000.0"/>
        <n v="2378500.0"/>
        <n v="2624000.0"/>
        <n v="2177200.0"/>
        <n v="2961000.0"/>
        <n v="2439200.0"/>
        <n v="3332500.0"/>
        <n v="2280800.0"/>
        <n v="2324400.0"/>
        <n v="2967500.0"/>
        <n v="2863812.0"/>
        <n v="6800000.0"/>
        <n v="7800000.0"/>
        <n v="1860000.0"/>
        <n v="2320000.0"/>
        <n v="3640000.0"/>
        <n v="1.866E7"/>
        <n v="4312000.0"/>
        <n v="5392000.0"/>
        <n v="2075000.0"/>
        <n v="8330000.0"/>
        <n v="2280000.0"/>
        <n v="5000000.0"/>
        <n v="400000.0"/>
        <n v="570000.0"/>
        <n v="2099200.0"/>
        <n v="2508000.0"/>
        <n v="4326400.0"/>
        <n v="1.624E7"/>
        <n v="7400000.0"/>
        <n v="9280000.0"/>
        <n v="2640000.0"/>
        <n v="1930000.0"/>
        <n v="5614000.0"/>
        <n v="1.1356E7"/>
        <n v="790000.0"/>
        <n v="2370000.0"/>
        <n v="450000.0"/>
        <n v="7450000.0"/>
        <n v="9952000.0"/>
        <n v="1660000.0"/>
        <n v="4718000.0"/>
        <n v="1680000.0"/>
        <n v="3508000.0"/>
        <n v="4068000.0"/>
        <n v="4116000.0"/>
        <n v="3588000.0"/>
        <n v="5168000.0"/>
        <n v="1711500.0"/>
        <n v="5317155.0"/>
        <n v="5966944.0"/>
        <n v="5757808.0"/>
        <n v="6500000.0"/>
        <n v="3865233.5999999996"/>
        <n v="4980000.0"/>
        <n v="8302736.0"/>
        <n v="4455628.8"/>
        <n v="2428728.0"/>
        <n v="200000.0"/>
        <n v="300000.0"/>
        <n v="3090000.0"/>
        <n v="4100000.0"/>
        <n v="2200000.0"/>
        <n v="204000.0"/>
        <n v="7470000.0"/>
        <n v="2052800.0"/>
        <n v="1095600.0"/>
        <n v="1427200.0"/>
        <n v="807900.0"/>
        <n v="664800.0"/>
        <n v="677600.0"/>
        <n v="1.244E7"/>
        <n v="5950000.0"/>
        <n v="8550000.0"/>
        <n v="5834732.0"/>
        <n v="4315194.0"/>
        <n v="5698048.0"/>
        <n v="4835232.0"/>
        <n v="2671380.0"/>
        <n v="475000.0"/>
        <n v="1800000.0"/>
        <n v="1868000.0"/>
        <n v="3208000.0"/>
        <n v="897000.0"/>
        <n v="2854400.0"/>
        <n v="771000.0"/>
        <n v="9800000.0"/>
        <n v="648000.0"/>
        <n v="318000.0"/>
        <n v="2655000.0"/>
        <n v="1190000.0"/>
        <n v="945000.0"/>
        <n v="190000.0"/>
        <n v="5520000.0"/>
        <n v="1820000.0"/>
        <n v="5966940.0"/>
        <n v="4550000.0"/>
        <n v="5530000.0"/>
        <n v="6446976.0"/>
        <n v="4635000.0"/>
        <n v="2658577.5"/>
        <n v="3400000.0"/>
        <n v="3160000.0"/>
        <n v="1361024.0"/>
        <n v="1524096.0"/>
        <n v="7122560.0"/>
        <n v="2303123.2"/>
        <n v="1743300.0"/>
        <n v="2791000.0"/>
        <n v="2082900.0"/>
        <n v="1256200.0"/>
        <n v="1344420.0"/>
        <n v="2271900.0"/>
        <n v="4640000.0"/>
        <n v="1.184E7"/>
        <n v="3570000.0"/>
        <n v="1.944E7"/>
        <n v="1.236E7"/>
        <n v="1.1325E7"/>
        <n v="6168000.0"/>
        <n v="3452000.0"/>
        <n v="3021000.0"/>
        <n v="3168000.0"/>
        <n v="1378000.0"/>
        <n v="1418000.0"/>
        <n v="6066000.0"/>
        <n v="2.488E7"/>
        <n v="1245000.0"/>
        <n v="8925000.0"/>
        <n v="3248000.0"/>
        <n v="844000.0"/>
        <n v="5446000.0"/>
        <n v="3546000.0"/>
        <n v="2217120.0"/>
        <n v="1387400.0"/>
        <n v="1615800.0"/>
        <n v="3376000.0"/>
        <n v="5672000.0"/>
        <n v="2631000.0"/>
        <n v="1710000.0"/>
        <n v="596000.0"/>
        <n v="3687000.0"/>
        <n v="9975000.0"/>
        <n v="95000.0"/>
        <n v="1130842.0"/>
        <n v="5800000.0"/>
        <n v="3486720.0"/>
        <n v="4834200.0"/>
        <n v="4531780.0"/>
        <n v="2672400.0"/>
        <n v="1882200.0"/>
        <n v="2638440.0"/>
        <n v="2867760.0"/>
        <n v="2905600.0"/>
        <n v="109200.0"/>
        <n v="1.64E7"/>
        <n v="2695000.0"/>
        <n v="5732000.0"/>
        <n v="5927200.0"/>
        <n v="2335000.0"/>
        <n v="6722978.0"/>
        <n v="161753.6844"/>
        <n v="614663.1216"/>
        <n v="6785049.600000001"/>
        <n v="6098444.0"/>
        <n v="5885058.0"/>
        <n v="8150000.0"/>
        <n v="2041536.0"/>
        <n v="5094292.0"/>
        <n v="3638340.0"/>
        <n v="5400000.0"/>
        <n v="7050000.0"/>
        <n v="3383116.8000000003"/>
        <n v="8715000.0"/>
        <n v="2191200.0"/>
        <n v="1952055.0"/>
        <n v="662145.0"/>
        <n v="1285425.0"/>
        <n v="2854200.0"/>
        <n v="3148800.0"/>
        <n v="3422000.0"/>
        <n v="3102000.0"/>
        <n v="3194400.0"/>
        <n v="2455000.0"/>
        <n v="1393000.0"/>
        <n v="3118000.0"/>
        <n v="1754000.0"/>
        <n v="2589000.0"/>
        <n v="4854000.0"/>
        <n v="7048000.0"/>
        <n v="1776000.0"/>
        <n v="951400.0"/>
        <n v="1088600.0"/>
        <n v="1333000.0"/>
        <n v="2069700.0"/>
        <n v="4165800.0"/>
        <n v="1884300.0"/>
        <n v="2595600.0"/>
        <n v="2439900.0"/>
        <n v="1760000.0"/>
        <n v="2960000.0"/>
        <n v="100000.0"/>
        <n v="380000.0"/>
        <n v="1085056.0"/>
        <n v="4050000.0"/>
        <n v="4016588.8"/>
        <n v="5822048.0"/>
        <n v="4402944.0"/>
        <n v="2722048.0"/>
        <n v="3943833.5999999996"/>
        <n v="3437056.0"/>
        <n v="3922169.6"/>
        <n v="4382400.0"/>
        <n v="3079200.0"/>
        <n v="1.94E7"/>
        <n v="4384000.0"/>
        <n v="1604000.0"/>
        <n v="6795000.0"/>
        <n v="4145400.0"/>
        <n v="1049600.0"/>
        <n v="2512400.0"/>
        <n v="1145400.0"/>
        <n v="1344400.0"/>
        <n v="3584500.0"/>
        <n v="2135700.0"/>
        <n v="1514600.0"/>
        <n v="2404000.0"/>
        <n v="4389600.0"/>
        <n v="1435896.0"/>
        <n v="3030000.0"/>
        <n v="2975000.0"/>
        <n v="1.218E7"/>
        <n v="3190000.0"/>
        <n v="3940000.0"/>
        <n v="1287000.0"/>
        <n v="2488000.0"/>
        <n v="5640000.0"/>
        <n v="3263949.0"/>
        <n v="8222592.0"/>
        <n v="4878755.0"/>
        <n v="4708046.0"/>
        <n v="2170112.0"/>
        <n v="2328000.0"/>
        <n v="1.84E7"/>
        <n v="3511200.0"/>
        <n v="3306000.0"/>
        <n v="3043200.0"/>
        <n v="730400.0"/>
        <n v="2318856.0"/>
        <n v="896400.0"/>
        <n v="1156800.0"/>
        <n v="2696000.0"/>
        <n v="2836000.0"/>
        <n v="5954000.0"/>
        <n v="6010000.0"/>
        <n v="3720000.0"/>
        <n v="1746000.0"/>
        <n v="4660000.0"/>
        <n v="960000.0"/>
        <n v="1218000.0"/>
        <n v="1060000.0"/>
        <n v="1559000.0"/>
        <n v="2664000.0"/>
        <n v="1762000.0"/>
        <n v="3582500.0"/>
        <n v="3960000.0"/>
        <n v="2790000.0"/>
        <n v="4270000.0"/>
        <n v="8248500.0"/>
        <n v="4012000.0"/>
        <n v="1980000.0"/>
        <n v="1244000.0"/>
        <n v="1.164E7"/>
        <n v="6180000.0"/>
        <n v="1.034E7"/>
        <n v="1545000.0"/>
        <n v="2271979.1"/>
        <n v="1459281.7375"/>
        <n v="7707435.0"/>
        <n v="9760000.0"/>
        <n v="2.2842E7"/>
        <n v="1.2152E7"/>
        <n v="8414000.0"/>
        <n v="2149500.0"/>
        <n v="4677000.0"/>
        <n v="6600000.0"/>
        <n v="1.525E7"/>
        <n v="1822000.0"/>
        <n v="1305000.0"/>
        <n v="5568000.0"/>
        <n v="6042000.0"/>
        <n v="7110000.0"/>
        <n v="5405000.0"/>
        <n v="2876000.0"/>
        <n v="3364200.0"/>
        <n v="6281000.0"/>
        <n v="2948500.0"/>
        <n v="3523200.0"/>
        <n v="2691200.0"/>
        <n v="3150000.0"/>
        <n v="4340000.0"/>
        <n v="500000.0"/>
        <n v="50000.0"/>
        <n v="2.019E7"/>
        <n v="240698.0"/>
        <n v="9188400.0"/>
        <n v="2355344.0"/>
        <n v="1230704.0"/>
        <n v="1585302.0"/>
        <n v="2215999.2"/>
        <n v="2.08E7"/>
        <n v="3680000.0"/>
        <n v="3920000.0"/>
        <n v="1.0633E7"/>
        <n v="485000.0"/>
        <n v="572700.0"/>
        <n v="4234800.0"/>
        <n v="5885057.5"/>
        <n v="3375000.0"/>
        <n v="7277560.0"/>
        <n v="6345000.0"/>
        <n v="7540000.0"/>
        <n v="7920000.0"/>
        <n v="8400000.0"/>
        <n v="9330000.0"/>
        <n v="5900000.0"/>
        <n v="3140500.0"/>
        <n v="4454400.0"/>
        <n v="4229400.0"/>
        <n v="2844000.0"/>
        <n v="2958400.0"/>
        <n v="3600000.0"/>
        <n v="2060000.0"/>
        <n v="4500000.0"/>
        <n v="5200000.0"/>
        <n v="1918000.0"/>
        <n v="2517799.92"/>
        <n v="440000.0"/>
        <n v="3750000.0"/>
        <n v="3659066.25"/>
        <n v="3669120.0"/>
        <n v="3093350.0"/>
        <n v="2941627.2"/>
        <n v="372000.0"/>
        <n v="3383200.0"/>
        <n v="2679328.0"/>
        <n v="2540144.0"/>
        <n v="1.6497E7"/>
        <n v="9114000.0"/>
        <n v="7212000.0"/>
        <n v="3009000.0"/>
        <n v="3492000.0"/>
        <n v="9480000.0"/>
        <n v="810000.0"/>
        <n v="201000.0"/>
        <n v="1.269E7"/>
        <n v="2338500.0"/>
        <n v="4808000.0"/>
        <n v="1.89875E7"/>
        <n v="2388000.0"/>
        <n v="1979262.0"/>
        <n v="971172.0"/>
        <n v="9900000.0"/>
        <n v="2297100.0"/>
        <n v="2.1E7"/>
        <n v="5655000.0"/>
        <n v="8850000.0"/>
        <n v="1.56E7"/>
        <n v="9484800.0"/>
        <n v="1501500.0"/>
        <n v="120000.0"/>
        <n v="515000.0"/>
        <n v="216000.0"/>
        <n v="1929200.0"/>
        <n v="1339664.0"/>
        <n v="989631.0"/>
        <n v="1028000.0"/>
        <n v="1.0325E7"/>
        <n v="547500.0"/>
        <n v="189000.0"/>
        <n v="280125.0"/>
        <n v="127875.0"/>
        <n v="112500.0"/>
        <n v="1.015E7"/>
        <n v="4668000.0"/>
        <n v="4901000.0"/>
        <n v="1834400.0"/>
        <n v="1722400.0"/>
        <n v="6153000.0"/>
        <n v="1281400.0"/>
        <n v="1345600.0"/>
        <n v="1551000.0"/>
        <n v="1.0885E7"/>
        <n v="255000.0"/>
        <n v="265000.0"/>
        <n v="225000.0"/>
        <n v="2575000.0"/>
        <n v="2.512E7"/>
        <n v="1.6544E7"/>
        <n v="2786000.0"/>
        <n v="3396000.0"/>
        <n v="2056000.0"/>
        <n v="1040000.0"/>
        <n v="2006000.0"/>
        <n v="1560000.0"/>
        <n v="1618000.0"/>
        <n v="5456500.0"/>
        <n v="3582000.0"/>
        <n v="4807000.0"/>
        <n v="9766400.0"/>
        <n v="315000.0"/>
        <n v="1.475E7"/>
        <n v="1.3995E7"/>
        <n v="1.584E7"/>
        <n v="9680000.0"/>
        <n v="2350000.0"/>
        <n v="2700000.0"/>
        <n v="4883200.0"/>
        <n v="4200000.0"/>
        <n v="2650000.0"/>
        <n v="1600000.0"/>
        <n v="600000.0"/>
        <n v="210000.0"/>
        <n v="352500.0"/>
        <n v="1950000.0"/>
        <n v="2040000.0"/>
        <n v="1170000.0"/>
        <n v="2442200.0"/>
        <n v="2192400.0"/>
        <n v="348000.0"/>
        <n v="388800.0"/>
        <n v="194400.0"/>
        <n v="1336500.0"/>
        <n v="901256.0"/>
        <n v="1270072.0"/>
        <n v="6030000.0"/>
        <n v="1.9904E7"/>
        <n v="8940000.0"/>
        <n v="8428000.0"/>
        <n v="2866000.0"/>
        <n v="1403600.0"/>
        <n v="814000.0"/>
        <n v="1.46496E7"/>
        <n v="1.252E7"/>
        <n v="1.265E7"/>
        <n v="7022118.959999999"/>
        <n v="7596421.92"/>
        <n v="7333309.92"/>
        <n v="6750000.0"/>
        <n v="8520000.0"/>
        <n v="2847488.0"/>
        <n v="3379354.0"/>
        <n v="3557478.0"/>
        <n v="7546606.0"/>
        <n v="3518268.0"/>
        <n v="6808883.0"/>
        <n v="1886861.0"/>
        <n v="3469020.0"/>
        <n v="3615024.0"/>
        <n v="3517695.0"/>
        <n v="2113038.0"/>
        <n v="5126400.0"/>
        <n v="4526080.0"/>
        <n v="2872320.0"/>
        <n v="2492124.0"/>
        <n v="1221100.0"/>
        <n v="1548000.0"/>
        <n v="123000.0"/>
        <n v="1585300.0"/>
        <n v="1431996.0"/>
        <n v="7536000.0"/>
        <n v="1.959E7"/>
        <n v="1.173E7"/>
        <n v="7476000.0"/>
        <n v="2136000.0"/>
        <n v="1.565E7"/>
        <n v="1.012E7"/>
        <n v="1756000.0"/>
        <n v="2117400.0"/>
        <n v="0.0"/>
        <n v="7.950801740865503E9"/>
        <m/>
      </sharedItems>
    </cacheField>
    <cacheField name="Due Date">
      <sharedItems containsDate="1" containsBlank="1" containsMixedTypes="1">
        <d v="2025-03-03T00:00:00Z"/>
        <d v="2025-03-04T00:00:00Z"/>
        <d v="2025-03-05T00:00:00Z"/>
        <d v="2025-03-22T00:00:00Z"/>
        <d v="2025-03-07T00:00:00Z"/>
        <d v="2025-03-08T00:00:00Z"/>
        <d v="2025-03-24T00:00:00Z"/>
        <d v="2025-03-30T00:00:00Z"/>
        <d v="2025-03-17T00:00:00Z"/>
        <d v="2025-03-19T00:00:00Z"/>
        <d v="2025-02-19T00:00:00Z"/>
        <d v="2025-04-06T00:00:00Z"/>
        <d v="2025-02-21T00:00:00Z"/>
        <d v="2025-02-23T00:00:00Z"/>
        <d v="2025-03-25T00:00:00Z"/>
        <d v="2025-03-01T00:00:00Z"/>
        <d v="2025-03-31T00:00:00Z"/>
        <d v="2025-04-15T00:00:00Z"/>
        <d v="2025-04-16T00:00:00Z"/>
        <s v="LUNAS"/>
        <d v="2025-04-04T00:00:00Z"/>
        <d v="2025-04-19T00:00:00Z"/>
        <d v="2025-04-20T00:00:00Z"/>
        <d v="2025-04-07T00:00:00Z"/>
        <d v="2025-04-13T00:00:00Z"/>
        <d v="2025-03-14T00:00:00Z"/>
        <d v="2025-04-14T00:00:00Z"/>
        <d v="2025-04-29T00:00:00Z"/>
        <d v="2025-05-05T00:00:00Z"/>
        <d v="2025-04-22T00:00:00Z"/>
        <d v="2025-03-26T00:00:00Z"/>
        <d v="2025-04-25T00:00:00Z"/>
        <d v="2025-05-11T00:00:00Z"/>
        <d v="2025-05-12T00:00:00Z"/>
        <d v="2025-05-13T00:00:00Z"/>
        <d v="2025-04-30T00:00:00Z"/>
        <d v="2025-04-02T00:00:00Z"/>
        <d v="2025-05-02T00:00:00Z"/>
        <d v="2025-04-03T00:00:00Z"/>
        <d v="2025-05-03T00:00:00Z"/>
        <d v="2025-05-04T00:00:00Z"/>
        <d v="2025-05-19T00:00:00Z"/>
        <d v="2025-05-07T00:00:00Z"/>
        <d v="2025-04-09T00:00:00Z"/>
        <d v="2025-04-11T00:00:00Z"/>
        <d v="2025-04-12T00:00:00Z"/>
        <d v="2025-05-27T00:00:00Z"/>
        <d v="2025-05-28T00:00:00Z"/>
        <d v="2025-05-16T00:00:00Z"/>
        <d v="2025-05-17T00:00:00Z"/>
        <d v="2025-04-18T00:00:00Z"/>
        <d v="2025-05-20T00:00:00Z"/>
        <d v="2025-04-21T00:00:00Z"/>
        <d v="2025-05-23T00:00:00Z"/>
        <d v="2025-04-23T00:00:00Z"/>
        <d v="2025-05-24T00:00:00Z"/>
        <d v="2025-06-09T00:00:00Z"/>
        <d v="2025-05-26T00:00:00Z"/>
        <d v="2025-06-10T00:00:00Z"/>
        <d v="2025-06-21T00:00:00Z"/>
        <d v="2025-05-09T00:00:00Z"/>
        <d v="2025-06-24T00:00:00Z"/>
        <d v="2025-06-11T00:00:00Z"/>
        <d v="2025-06-28T00:00:00Z"/>
        <d v="2025-05-14T00:00:00Z"/>
        <d v="2025-06-14T00:00:00Z"/>
        <d v="2025-06-15T00:00:00Z"/>
        <d v="2025-06-30T00:00:00Z"/>
        <d v="2025-06-16T00:00:00Z"/>
        <d v="2025-07-01T00:00:00Z"/>
        <d v="2025-07-03T00:00:00Z"/>
        <d v="2025-07-06T00:00:00Z"/>
        <d v="2025-07-07T00:00:00Z"/>
        <d v="2025-07-08T00:00:00Z"/>
        <d v="2025-06-23T00:00:00Z"/>
        <d v="2025-07-12T00:00:00Z"/>
        <d v="2025-06-29T00:00:00Z"/>
        <d v="2025-06-01T00:00:00Z"/>
        <d v="2025-06-08T00:00:00Z"/>
        <d v="2025-07-09T00:00:00Z"/>
        <d v="2025-07-30T00:00:00Z"/>
        <d v="2025-07-16T00:00:00Z"/>
        <d v="2025-07-31T00:00:00Z"/>
        <d v="2025-06-19T00:00:00Z"/>
        <d v="2025-06-20T00:00:00Z"/>
        <d v="2025-07-21T00:00:00Z"/>
        <d v="2025-07-22T00:00:00Z"/>
        <d v="2025-07-25T00:00:00Z"/>
        <d v="2025-06-25T00:00:00Z"/>
        <d v="2025-08-09T00:00:00Z"/>
        <d v="2025-06-18T00:00:00Z"/>
        <d v="2025-08-08T00:00:00Z"/>
        <d v="2025-08-25T00:00:00Z"/>
        <d v="2025-08-10T00:00:00Z"/>
        <d v="2025-08-26T00:00:00Z"/>
        <d v="2025-07-13T00:00:00Z"/>
        <d v="2025-08-31T00:00:00Z"/>
        <d v="2025-09-01T00:00:00Z"/>
        <d v="2025-08-17T00:00:00Z"/>
        <d v="2025-09-04T00:00:00Z"/>
        <d v="2025-08-22T00:00:00Z"/>
        <d v="2025-09-06T00:00:00Z"/>
        <d v="2025-09-15T00:00:00Z"/>
        <d v="2025-08-02T00:00:00Z"/>
        <d v="2025-09-02T00:00:00Z"/>
        <d v="2025-08-07T00:00:00Z"/>
        <d v="2025-09-07T00:00:00Z"/>
        <d v="2025-09-10T00:00:00Z"/>
        <d v="2025-08-11T00:00:00Z"/>
        <d v="2025-09-27T00:00:00Z"/>
        <d v="2025-08-14T00:00:00Z"/>
        <d v="2025-08-20T00:00:00Z"/>
        <d v="2025-08-05T00:00:00Z"/>
        <d v="2025-10-07T00:00:00Z"/>
        <d v="2025-09-23T00:00:00Z"/>
        <d v="2025-08-24T00:00:00Z"/>
        <d v="2025-09-26T00:00:00Z"/>
        <d v="2025-08-27T00:00:00Z"/>
        <d v="2025-10-11T00:00:00Z"/>
        <d v="2025-10-14T00:00:00Z"/>
        <d v="2025-09-30T00:00:00Z"/>
        <d v="2025-10-06T00:00:00Z"/>
        <d v="2025-09-08T00:00:00Z"/>
        <d v="2025-09-11T00:00:00Z"/>
        <d v="2025-10-12T00:00:00Z"/>
        <d v="2025-10-13T00:00:00Z"/>
        <d v="2025-10-20T00:00:00Z"/>
        <d v="2025-10-24T00:00:00Z"/>
        <d v="2025-09-24T00:00:00Z"/>
        <d v="2025-10-27T00:00:00Z"/>
        <d v="2025-11-15T00:00:00Z"/>
        <d v="2025-10-31T00:00:00Z"/>
        <d v="2025-11-16T00:00:00Z"/>
        <d v="2025-10-02T00:00:00Z"/>
        <d v="2025-11-02T00:00:00Z"/>
        <d v="2025-10-03T00:00:00Z"/>
        <d v="2025-11-05T00:00:00Z"/>
        <d v="2025-10-08T00:00:00Z"/>
        <d v="2025-10-09T00:00:00Z"/>
        <d v="2025-11-09T00:00:00Z"/>
        <d v="2025-11-19T00:00:00Z"/>
        <d v="2025-12-06T00:00:00Z"/>
        <d v="2025-11-22T00:00:00Z"/>
        <d v="2025-12-08T00:00:00Z"/>
        <d v="2025-12-10T00:00:00Z"/>
        <d v="2025-11-26T00:00:00Z"/>
        <d v="2025-12-13T00:00:00Z"/>
        <d v="2025-10-30T00:00:00Z"/>
        <d v="2025-12-15T00:00:00Z"/>
        <d v="2025-12-02T00:00:00Z"/>
        <d v="2025-12-23T00:00:00Z"/>
        <d v="2025-11-13T00:00:00Z"/>
        <d v="2025-12-14T00:00:00Z"/>
        <d v="2026-01-03T00:00:00Z"/>
        <d v="2025-12-20T00:00:00Z"/>
        <d v="2026-01-11T00:00:00Z"/>
        <d v="2026-01-12T00:00:00Z"/>
        <d v="2025-11-28T00:00:00Z"/>
        <d v="2025-12-30T00:00:00Z"/>
        <d v="2025-12-05T00:00:00Z"/>
        <d v="2026-01-05T00:00:00Z"/>
        <d v="2025-12-11T00:00:00Z"/>
        <d v="2026-01-25T00:00:00Z"/>
        <d v="2025-12-12T00:00:00Z"/>
        <d v="2026-01-10T00:00:00Z"/>
        <d v="2026-01-27T00:00:00Z"/>
        <d v="2025-12-17T00:00:00Z"/>
        <d v="2025-12-01T00:00:00Z"/>
        <d v="2025-12-18T00:00:00Z"/>
        <d v="2026-01-17T00:00:00Z"/>
        <d v="2026-01-18T00:00:00Z"/>
        <d v="2026-01-24T00:00:00Z"/>
        <d v="2026-02-08T00:00:00Z"/>
        <d v="2025-12-26T00:00:00Z"/>
        <d v="2025-12-27T00:00:00Z"/>
        <d v="2025-12-29T00:00:00Z"/>
        <d v="2025-12-28T00:00:00Z"/>
        <d v="2026-01-02T00:00:00Z"/>
        <d v="2026-02-01T00:00:00Z"/>
        <d v="2026-02-18T00:00:00Z"/>
        <d v="2026-02-03T00:00:00Z"/>
        <d v="2026-02-06T00:00:00Z"/>
        <d v="2026-02-23T00:00:00Z"/>
        <d v="2026-02-07T00:00:00Z"/>
        <d v="2026-02-09T00:00:00Z"/>
        <d v="2026-01-14T00:00:00Z"/>
        <d v="2026-01-15T00:00:00Z"/>
        <d v="2026-01-21T00:00:00Z"/>
        <d v="2026-03-08T00:00:00Z"/>
        <d v="2026-01-22T00:00:00Z"/>
        <d v="2026-01-06T00:00:00Z"/>
        <d v="2026-01-23T00:00:00Z"/>
        <d v="2026-02-21T00:00:00Z"/>
        <d v="2026-02-25T00:00:00Z"/>
        <d v="2026-02-27T00:00:00Z"/>
        <d v="2026-02-28T00:00:00Z"/>
        <d v="2026-03-18T00:00:00Z"/>
        <d v="2026-01-30T00:00:00Z"/>
        <d v="2026-03-21T00:00:00Z"/>
        <d v="2026-02-05T00:00:00Z"/>
        <d v="2026-03-25T00:00:00Z"/>
        <d v="2026-03-10T00:00:00Z"/>
        <d v="2026-03-15T00:00:00Z"/>
        <d v="2026-02-16T00:00:00Z"/>
        <d v="2026-03-20T00:00:00Z"/>
        <d v="2026-02-02T00:00:00Z"/>
        <d v="2026-03-22T00:00:00Z"/>
        <d v="2026-04-07T00:00:00Z"/>
        <d v="2026-02-26T00:00:00Z"/>
        <d v="2026-02-13T00:00:00Z"/>
        <d v="2026-02-11T00:00:00Z"/>
        <d v="2026-04-16T00:00:00Z"/>
        <d v="2026-04-18T00:00:00Z"/>
        <d v="2026-04-03T00:00:00Z"/>
        <d v="2026-04-04T00:00:00Z"/>
        <d v="2026-02-19T00:00:00Z"/>
        <d v="2026-03-07T00:00:00Z"/>
        <d v="2026-04-13T00:00:00Z"/>
        <d v="2026-04-17T00:00:00Z"/>
        <d v="2026-05-02T00:00:00Z"/>
        <d v="2026-03-02T00:00:00Z"/>
        <d v="2026-04-15T00:00:00Z"/>
        <d v="2026-03-14T00:00:00Z"/>
        <d v="2026-04-26T00:00:00Z"/>
        <d v="2026-03-30T00:00:00Z"/>
        <d v="2026-05-01T00:00:00Z"/>
        <d v="2026-05-17T00:00:00Z"/>
        <d v="2026-03-19T00:00:00Z"/>
        <d v="2026-03-23T00:00:00Z"/>
        <d v="2026-05-08T00:00:00Z"/>
        <d v="2026-04-08T00:00:00Z"/>
        <d v="2026-04-09T00:00:00Z"/>
        <d v="2026-05-13T00:00:00Z"/>
        <d v="2026-04-24T00:00:00Z"/>
        <d v="2026-04-25T00:00:00Z"/>
        <d v="2026-04-10T00:00:00Z"/>
        <d v="2026-06-13T00:00:00Z"/>
        <d v="2026-05-06T00:00:00Z"/>
        <d v="2026-06-05T00:00:00Z"/>
        <d v="2026-05-07T00:00:00Z"/>
        <d v="2026-06-06T00:00:00Z"/>
        <d v="2026-07-01T00:00:00Z"/>
        <d v="2026-05-20T00:00:00Z"/>
        <d v="2026-07-07T00:00:00Z"/>
        <d v="2026-06-22T00:00:00Z"/>
        <d v="2026-07-12T00:00:00Z"/>
        <d v="2026-05-28T00:00:00Z"/>
        <d v="2026-06-01T00:00:00Z"/>
        <d v="2026-06-26T00:00:00Z"/>
        <d v="2026-06-30T00:00:00Z"/>
        <d v="2026-07-19T00:00:00Z"/>
        <d v="2026-06-10T00:00:00Z"/>
        <d v="2026-06-11T00:00:00Z"/>
        <d v="2026-07-11T00:00:00Z"/>
        <d v="2026-07-27T00:00:00Z"/>
        <d v="2026-07-15T00:00:00Z"/>
        <d v="2026-06-18T00:00:00Z"/>
        <d v="2026-07-20T00:00:00Z"/>
        <d v="2026-06-20T00:00:00Z"/>
        <d v="2026-06-24T00:00:00Z"/>
        <d v="2026-06-27T00:00:00Z"/>
        <d v="2026-08-11T00:00:00Z"/>
        <d v="2026-06-15T00:00:00Z"/>
        <d v="2026-06-29T00:00:00Z"/>
        <d v="2026-08-02T00:00:00Z"/>
        <d v="2026-07-03T00:00:00Z"/>
        <d v="2026-08-04T00:00:00Z"/>
        <d v="2026-07-06T00:00:00Z"/>
        <d v="2026-07-09T00:00:00Z"/>
        <d v="2026-08-24T00:00:00Z"/>
        <d v="2026-07-13T00:00:00Z"/>
        <d v="2026-08-12T00:00:00Z"/>
        <d v="2026-08-14T00:00:00Z"/>
        <d v="2026-07-02T00:00:00Z"/>
        <d v="2026-09-05T00:00:00Z"/>
        <d v="2026-09-08T00:00:00Z"/>
        <d v="2026-07-10T00:00:00Z"/>
        <d v="2026-09-13T00:00:00Z"/>
        <d v="2026-07-30T00:00:00Z"/>
        <d v="2026-08-03T00:00:00Z"/>
        <d v="2026-09-06T00:00:00Z"/>
        <d v="2026-08-07T00:00:00Z"/>
        <d v="2026-08-08T00:00:00Z"/>
        <d v="2026-09-15T00:00:00Z"/>
        <d v="2026-08-13T00:00:00Z"/>
        <d v="2026-08-20T00:00:00Z"/>
        <d v="2026-08-22T00:00:00Z"/>
        <d v="2026-09-26T00:00:00Z"/>
        <d v="2026-08-31T00:00:00Z"/>
        <d v="2026-08-15T00:00:00Z"/>
        <d v="2026-08-17T00:00:00Z"/>
        <d v="2026-10-18T00:00:00Z"/>
        <d v="2026-10-21T00:00:00Z"/>
        <d v="2026-09-09T00:00:00Z"/>
        <d v="2026-10-12T00:00:00Z"/>
        <d v="2026-09-12T00:00:00Z"/>
        <d v="2026-10-20T00:00:00Z"/>
        <d v="2026-09-07T00:00:00Z"/>
        <d v="2026-09-25T00:00:00Z"/>
        <d v="2026-10-25T00:00:00Z"/>
        <d v="2026-11-12T00:00:00Z"/>
        <d v="2026-11-17T00:00:00Z"/>
        <d v="2026-10-02T00:00:00Z"/>
        <d v="2026-10-03T00:00:00Z"/>
        <d v="2026-10-04T00:00:00Z"/>
        <d v="2026-10-09T00:00:00Z"/>
        <d v="2026-09-24T00:00:00Z"/>
        <d v="2026-10-11T00:00:00Z"/>
        <d v="2026-10-14T00:00:00Z"/>
        <d v="2026-10-16T00:00:00Z"/>
        <d v="2026-12-01T00:00:00Z"/>
        <d v="2026-10-19T00:00:00Z"/>
        <d v="2026-11-18T00:00:00Z"/>
        <d v="2026-11-22T00:00:00Z"/>
        <d v="1899-12-30T00:00:00Z"/>
        <m/>
      </sharedItems>
    </cacheField>
    <cacheField name="Category" numFmtId="0">
      <sharedItems containsBlank="1">
        <s v="Tire"/>
        <s v="COMPLEMENTARY"/>
        <s v="OIL"/>
        <m/>
        <e v="#N/A"/>
      </sharedItems>
    </cacheField>
    <cacheField name="Brand" numFmtId="0">
      <sharedItems containsBlank="1">
        <s v="Bridgestone"/>
        <s v="G. YEAR"/>
        <s v="Dunlop"/>
        <s v="ACCELERA"/>
        <s v="Aspira"/>
        <s v="Advance"/>
        <s v="BD"/>
        <s v="GT"/>
        <s v="Flap"/>
        <s v="Sailun"/>
        <s v="TIRON"/>
        <s v="Lower Arm"/>
        <s v="MAXXIS"/>
        <s v="DURATUN"/>
        <s v="Laufen"/>
        <s v="Michelin"/>
        <s v="GiTi"/>
        <s v="Michellin"/>
        <s v="HANKOOK"/>
        <s v="Velg"/>
        <s v="Sakura"/>
        <s v="Filter oli ORI KW"/>
        <s v="Denso"/>
        <s v="Shell"/>
        <s v="Pertamina"/>
        <s v="WD"/>
        <s v="SERVICE"/>
        <s v="TIEROD"/>
        <s v="Goodride"/>
        <s v="Baut Camber"/>
        <s v="BD IBK"/>
        <s v="WESTLAKE"/>
        <s v="Balancing"/>
        <s v="IBK"/>
        <s v="IBK light"/>
        <s v="TAMBAL TUBLES"/>
        <s v="JF"/>
        <s v="ICOSON"/>
        <s v="Honda"/>
        <s v="Suzuki"/>
        <s v="ADM PART"/>
        <s v="Stabil link avanza"/>
        <s v="Stabil link Grandmax"/>
        <s v="RACK END"/>
        <e v="#N/A"/>
        <m/>
      </sharedItems>
    </cacheField>
  </cacheFields>
</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C1:T2002" sheet="SELLING CREDIT"/>
  </cacheSource>
  <cacheFields>
    <cacheField name="Date" numFmtId="164">
      <sharedItems containsDate="1" containsString="0" containsBlank="1">
        <d v="2025-01-02T00:00:00Z"/>
        <d v="2025-01-03T00:00:00Z"/>
        <d v="2025-01-07T00:00:00Z"/>
        <d v="2025-01-08T00:00:00Z"/>
        <d v="2025-01-09T00:00:00Z"/>
        <d v="2025-01-10T00:00:00Z"/>
        <d v="2025-01-11T00:00:00Z"/>
        <d v="2025-01-13T00:00:00Z"/>
        <d v="2025-01-14T00:00:00Z"/>
        <d v="2025-01-16T00:00:00Z"/>
        <d v="2025-01-18T00:00:00Z"/>
        <d v="2025-01-20T00:00:00Z"/>
        <d v="2025-01-23T00:00:00Z"/>
        <d v="2025-01-25T00:00:00Z"/>
        <d v="2025-01-26T00:00:00Z"/>
        <d v="2025-01-27T00:00:00Z"/>
        <d v="2025-01-28T00:00:00Z"/>
        <d v="2025-01-29T00:00:00Z"/>
        <d v="2025-01-30T00:00:00Z"/>
        <d v="2025-02-01T00:00:00Z"/>
        <d v="2025-02-04T00:00:00Z"/>
        <d v="2025-02-05T00:00:00Z"/>
        <d v="2025-02-06T00:00:00Z"/>
        <d v="2025-02-07T00:00:00Z"/>
        <d v="2025-02-11T00:00:00Z"/>
        <d v="2025-02-12T00:00:00Z"/>
        <d v="2025-02-14T00:00:00Z"/>
        <d v="2025-02-15T00:00:00Z"/>
        <d v="2025-02-17T00:00:00Z"/>
        <d v="2025-02-18T00:00:00Z"/>
        <d v="2025-02-19T00:00:00Z"/>
        <d v="2025-02-20T00:00:00Z"/>
        <d v="2025-02-21T00:00:00Z"/>
        <d v="2025-02-22T00:00:00Z"/>
        <d v="2025-02-24T00:00:00Z"/>
        <d v="2025-02-26T00:00:00Z"/>
        <d v="2025-02-27T00:00:00Z"/>
        <d v="2025-02-28T00:00:00Z"/>
        <d v="2025-03-02T00:00:00Z"/>
        <d v="2025-03-03T00:00:00Z"/>
        <d v="2025-03-04T00:00:00Z"/>
        <d v="2025-03-05T00:00:00Z"/>
        <d v="2025-03-07T00:00:00Z"/>
        <d v="2025-03-10T00:00:00Z"/>
        <d v="2025-03-12T00:00:00Z"/>
        <d v="2025-03-13T00:00:00Z"/>
        <d v="2025-03-14T00:00:00Z"/>
        <d v="2025-03-15T00:00:00Z"/>
        <d v="2025-03-16T00:00:00Z"/>
        <d v="2025-03-17T00:00:00Z"/>
        <d v="2025-03-18T00:00:00Z"/>
        <d v="2025-03-19T00:00:00Z"/>
        <d v="2025-03-20T00:00:00Z"/>
        <d v="2025-03-21T00:00:00Z"/>
        <d v="2025-03-22T00:00:00Z"/>
        <d v="2025-03-25T00:00:00Z"/>
        <d v="2025-03-27T00:00:00Z"/>
        <d v="2025-03-30T00:00:00Z"/>
        <d v="2025-04-07T00:00:00Z"/>
        <d v="2025-04-08T00:00:00Z"/>
        <d v="2025-04-09T00:00:00Z"/>
        <d v="2025-04-11T00:00:00Z"/>
        <d v="2025-04-12T00:00:00Z"/>
        <d v="2025-04-14T00:00:00Z"/>
        <d v="2025-04-15T00:00:00Z"/>
        <d v="2025-04-16T00:00:00Z"/>
        <d v="2025-04-17T00:00:00Z"/>
        <d v="2025-04-18T00:00:00Z"/>
        <d v="2025-04-19T00:00:00Z"/>
        <d v="2025-04-22T00:00:00Z"/>
        <d v="2025-04-24T00:00:00Z"/>
        <d v="2025-04-25T00:00:00Z"/>
        <d v="2025-04-26T00:00:00Z"/>
        <d v="2025-04-28T00:00:00Z"/>
        <d v="2025-04-29T00:00:00Z"/>
        <d v="2025-05-01T00:00:00Z"/>
        <d v="2025-05-02T00:00:00Z"/>
        <d v="2025-05-03T00:00:00Z"/>
        <d v="2025-05-05T00:00:00Z"/>
        <d v="2025-05-06T00:00:00Z"/>
        <d v="2025-05-07T00:00:00Z"/>
        <d v="2025-05-08T00:00:00Z"/>
        <d v="2025-05-09T00:00:00Z"/>
        <d v="2025-05-10T00:00:00Z"/>
        <d v="2025-05-14T00:00:00Z"/>
        <d v="2025-05-15T00:00:00Z"/>
        <d v="2025-05-16T00:00:00Z"/>
        <d v="2025-05-17T00:00:00Z"/>
        <d v="2025-05-18T00:00:00Z"/>
        <d v="2025-05-20T00:00:00Z"/>
        <d v="2025-05-21T00:00:00Z"/>
        <d v="2025-05-22T00:00:00Z"/>
        <d v="2025-05-23T00:00:00Z"/>
        <d v="2025-05-24T00:00:00Z"/>
        <d v="2025-05-25T00:00:00Z"/>
        <d v="2025-05-26T00:00:00Z"/>
        <d v="2025-05-27T00:00:00Z"/>
        <d v="2025-05-29T00:00:00Z"/>
        <d v="2025-05-30T00:00:00Z"/>
        <d v="2025-05-31T00:00:00Z"/>
        <d v="2025-06-02T00:00:00Z"/>
        <d v="2025-06-04T00:00:00Z"/>
        <d v="2025-06-05T00:00:00Z"/>
        <d v="2025-06-07T00:00:00Z"/>
        <d v="2025-06-09T00:00:00Z"/>
        <d v="2025-06-11T00:00:00Z"/>
        <d v="2025-06-13T00:00:00Z"/>
        <d v="2025-06-14T00:00:00Z"/>
        <d v="2025-06-16T00:00:00Z"/>
        <d v="2025-06-20T00:00:00Z"/>
        <d v="2025-06-23T00:00:00Z"/>
        <d v="2025-06-24T00:00:00Z"/>
        <d v="2025-06-26T00:00:00Z"/>
        <d v="2025-06-30T00:00:00Z"/>
        <d v="2025-07-02T00:00:00Z"/>
        <d v="2025-07-04T00:00:00Z"/>
        <d v="2025-07-05T00:00:00Z"/>
        <d v="2025-07-06T00:00:00Z"/>
        <d v="2025-07-07T00:00:00Z"/>
        <d v="2025-07-11T00:00:00Z"/>
        <d v="2025-07-12T00:00:00Z"/>
        <d v="2025-07-14T00:00:00Z"/>
        <d v="2025-07-15T00:00:00Z"/>
        <d v="2025-07-16T00:00:00Z"/>
        <d v="2025-07-17T00:00:00Z"/>
        <d v="2025-07-18T00:00:00Z"/>
        <d v="2025-07-19T00:00:00Z"/>
        <d v="2025-07-21T00:00:00Z"/>
        <d v="2025-07-22T00:00:00Z"/>
        <d v="2025-07-23T00:00:00Z"/>
        <d v="2025-07-25T00:00:00Z"/>
        <d v="2025-07-26T00:00:00Z"/>
        <d v="2025-07-28T00:00:00Z"/>
        <d v="2025-07-29T00:00:00Z"/>
        <d v="2025-07-31T00:00:00Z"/>
        <d v="2025-08-01T00:00:00Z"/>
        <d v="2025-08-04T00:00:00Z"/>
        <d v="2025-08-05T00:00:00Z"/>
        <d v="2025-08-06T00:00:00Z"/>
        <d v="2025-08-08T00:00:00Z"/>
        <d v="2025-08-09T00:00:00Z"/>
        <d v="2025-08-11T00:00:00Z"/>
        <d v="2025-08-13T00:00:00Z"/>
        <d v="2025-08-14T00:00:00Z"/>
        <d v="2025-08-15T00:00:00Z"/>
        <d v="2025-08-16T00:00:00Z"/>
        <d v="2025-08-18T00:00:00Z"/>
        <d v="2025-08-20T00:00:00Z"/>
        <d v="2025-08-21T00:00:00Z"/>
        <d v="2025-08-23T00:00:00Z"/>
        <d v="2025-08-26T00:00:00Z"/>
        <d v="2025-08-28T00:00:00Z"/>
        <d v="2025-08-29T00:00:00Z"/>
        <d v="2025-08-30T00:00:00Z"/>
        <d v="2025-09-01T00:00:00Z"/>
        <d v="2025-09-03T00:00:00Z"/>
        <d v="2025-09-04T00:00:00Z"/>
        <d v="2025-09-05T00:00:00Z"/>
        <d v="2025-09-08T00:00:00Z"/>
        <d v="2025-09-09T00:00:00Z"/>
        <d v="2025-09-10T00:00:00Z"/>
        <d v="2025-09-12T00:00:00Z"/>
        <d v="2025-09-13T00:00:00Z"/>
        <d v="2025-09-15T00:00:00Z"/>
        <d v="2025-09-18T00:00:00Z"/>
        <d v="2025-09-19T00:00:00Z"/>
        <d v="2025-09-22T00:00:00Z"/>
        <d v="2025-09-23T00:00:00Z"/>
        <d v="2025-09-24T00:00:00Z"/>
        <d v="2025-09-25T00:00:00Z"/>
        <d v="2025-09-27T00:00:00Z"/>
        <d v="2025-09-28T00:00:00Z"/>
        <d v="2025-09-29T00:00:00Z"/>
        <d v="2025-10-02T00:00:00Z"/>
        <d v="2025-10-03T00:00:00Z"/>
        <d v="2025-10-05T00:00:00Z"/>
        <d v="2025-10-07T00:00:00Z"/>
        <d v="2025-10-09T00:00:00Z"/>
        <d v="2025-10-11T00:00:00Z"/>
        <d v="2025-10-13T00:00:00Z"/>
        <d v="2025-10-15T00:00:00Z"/>
        <d v="2025-10-16T00:00:00Z"/>
        <d v="2025-10-17T00:00:00Z"/>
        <d v="2025-10-18T00:00:00Z"/>
        <d v="2025-10-20T00:00:00Z"/>
        <d v="2025-10-22T00:00:00Z"/>
        <d v="2025-10-23T00:00:00Z"/>
        <d v="2025-10-25T00:00:00Z"/>
        <d v="2025-10-27T00:00:00Z"/>
        <d v="2025-10-28T00:00:00Z"/>
        <d v="2025-10-29T00:00:00Z"/>
        <d v="2025-11-01T00:00:00Z"/>
        <d v="2025-11-03T00:00:00Z"/>
        <d v="2025-11-05T00:00:00Z"/>
        <d v="2025-11-06T00:00:00Z"/>
        <d v="2025-11-07T00:00:00Z"/>
        <d v="2025-11-09T00:00:00Z"/>
        <d v="2025-11-11T00:00:00Z"/>
        <d v="2025-11-12T00:00:00Z"/>
        <d v="2025-11-14T00:00:00Z"/>
        <d v="2025-11-15T00:00:00Z"/>
        <d v="2025-11-17T00:00:00Z"/>
        <d v="2025-11-18T00:00:00Z"/>
        <d v="2025-11-19T00:00:00Z"/>
        <d v="2025-11-20T00:00:00Z"/>
        <d v="2025-11-21T00:00:00Z"/>
        <d v="2025-11-22T00:00:00Z"/>
        <d v="2025-11-26T00:00:00Z"/>
        <d v="2025-11-27T00:00:00Z"/>
        <d v="2025-11-28T00:00:00Z"/>
        <d v="2025-11-29T00:00:00Z"/>
        <d v="2025-12-01T00:00:00Z"/>
        <d v="2025-12-05T00:00:00Z"/>
        <d v="2025-12-06T00:00:00Z"/>
        <d v="2025-12-07T00:00:00Z"/>
        <d v="2025-12-08T00:00:00Z"/>
        <d v="2025-12-09T00:00:00Z"/>
        <d v="2025-12-11T00:00:00Z"/>
        <d v="2025-12-13T00:00:00Z"/>
        <d v="2025-12-15T00:00:00Z"/>
        <d v="2025-12-16T00:00:00Z"/>
        <d v="2025-12-17T00:00:00Z"/>
        <d v="2025-12-22T00:00:00Z"/>
        <d v="2025-12-23T00:00:00Z"/>
        <d v="2025-12-24T00:00:00Z"/>
        <d v="2025-12-25T00:00:00Z"/>
        <d v="2025-12-26T00:00:00Z"/>
        <d v="2025-12-27T00:00:00Z"/>
        <d v="2025-12-29T00:00:00Z"/>
        <d v="2025-12-30T00:00:00Z"/>
        <d v="2026-01-07T00:00:00Z"/>
        <d v="2026-01-08T00:00:00Z"/>
        <d v="2026-01-09T00:00:00Z"/>
        <d v="2026-01-10T00:00:00Z"/>
        <d v="2026-01-11T00:00:00Z"/>
        <d v="2026-01-12T00:00:00Z"/>
        <d v="2026-01-13T00:00:00Z"/>
        <d v="2026-01-16T00:00:00Z"/>
        <d v="2026-01-17T00:00:00Z"/>
        <d v="2026-01-19T00:00:00Z"/>
        <d v="2026-01-20T00:00:00Z"/>
        <d v="2026-01-21T00:00:00Z"/>
        <d v="2026-01-23T00:00:00Z"/>
        <d v="2026-01-24T00:00:00Z"/>
        <d v="2026-01-26T00:00:00Z"/>
        <d v="2026-01-27T00:00:00Z"/>
        <d v="2026-01-28T00:00:00Z"/>
        <d v="2026-01-29T00:00:00Z"/>
        <d v="2026-01-30T00:00:00Z"/>
        <d v="2026-02-02T00:00:00Z"/>
        <d v="2026-02-03T00:00:00Z"/>
        <d v="2026-02-04T00:00:00Z"/>
        <d v="2026-02-07T00:00:00Z"/>
        <d v="2026-02-08T00:00:00Z"/>
        <d v="2026-02-09T00:00:00Z"/>
        <d v="2026-02-10T00:00:00Z"/>
        <d v="2026-02-11T00:00:00Z"/>
        <d v="2026-02-12T00:00:00Z"/>
        <d v="2026-02-14T00:00:00Z"/>
        <d v="2026-02-16T00:00:00Z"/>
        <d v="2026-02-18T00:00:00Z"/>
        <d v="2026-02-23T00:00:00Z"/>
        <d v="2026-02-25T00:00:00Z"/>
        <d v="2026-02-26T00:00:00Z"/>
        <d v="2026-03-02T00:00:00Z"/>
        <d v="2026-03-04T00:00:00Z"/>
        <d v="2026-03-05T00:00:00Z"/>
        <d v="2026-03-10T00:00:00Z"/>
        <d v="2026-03-11T00:00:00Z"/>
        <d v="2026-03-12T00:00:00Z"/>
        <d v="2026-03-16T00:00:00Z"/>
        <d v="2026-03-17T00:00:00Z"/>
        <d v="2026-03-23T00:00:00Z"/>
        <d v="2026-03-26T00:00:00Z"/>
        <d v="2026-03-28T00:00:00Z"/>
        <d v="2026-04-01T00:00:00Z"/>
        <d v="2026-04-02T00:00:00Z"/>
        <d v="2026-04-03T00:00:00Z"/>
        <d v="2026-04-04T00:00:00Z"/>
        <d v="2026-04-07T00:00:00Z"/>
        <d v="2026-04-08T00:00:00Z"/>
        <d v="2026-04-10T00:00:00Z"/>
        <d v="2026-04-14T00:00:00Z"/>
        <d v="2026-04-16T00:00:00Z"/>
        <d v="2026-04-17T00:00:00Z"/>
        <d v="2026-04-18T00:00:00Z"/>
        <d v="2026-04-20T00:00:00Z"/>
        <d v="2026-04-22T00:00:00Z"/>
        <d v="2026-04-24T00:00:00Z"/>
        <d v="2026-04-25T00:00:00Z"/>
        <d v="2026-04-27T00:00:00Z"/>
        <d v="2026-04-28T00:00:00Z"/>
        <d v="2026-04-30T00:00:00Z"/>
        <d v="2026-05-02T00:00:00Z"/>
        <d v="2026-05-05T00:00:00Z"/>
        <d v="2026-05-06T00:00:00Z"/>
        <d v="2026-05-07T00:00:00Z"/>
        <d v="2026-05-08T00:00:00Z"/>
        <d v="2026-05-11T00:00:00Z"/>
        <d v="2026-05-12T00:00:00Z"/>
        <d v="2026-05-14T00:00:00Z"/>
        <d v="2026-05-16T00:00:00Z"/>
        <d v="2026-05-17T00:00:00Z"/>
        <d v="2026-05-18T00:00:00Z"/>
        <d v="2026-05-20T00:00:00Z"/>
        <d v="2026-05-23T00:00:00Z"/>
        <d v="2026-05-25T00:00:00Z"/>
        <d v="2026-05-26T00:00:00Z"/>
        <d v="2026-05-28T00:00:00Z"/>
        <d v="2026-05-29T00:00:00Z"/>
        <d v="2026-05-30T00:00:00Z"/>
        <d v="2026-06-01T00:00:00Z"/>
        <d v="2026-06-03T00:00:00Z"/>
        <d v="2026-06-05T00:00:00Z"/>
        <d v="2026-06-08T00:00:00Z"/>
        <d v="2026-06-09T00:00:00Z"/>
        <d v="2026-06-12T00:00:00Z"/>
        <d v="2026-06-17T00:00:00Z"/>
        <d v="2026-06-18T00:00:00Z"/>
        <d v="2026-06-19T00:00:00Z"/>
        <d v="2026-06-20T00:00:00Z"/>
        <d v="2026-06-24T00:00:00Z"/>
        <d v="2026-06-25T00:00:00Z"/>
        <d v="2026-06-27T00:00:00Z"/>
        <d v="2026-06-29T00:00:00Z"/>
        <d v="2026-07-01T00:00:00Z"/>
        <d v="2026-07-03T00:00:00Z"/>
        <d v="2026-07-07T00:00:00Z"/>
        <d v="2026-07-14T00:00:00Z"/>
        <d v="2026-07-17T00:00:00Z"/>
        <d v="2026-07-22T00:00:00Z"/>
        <d v="2026-07-23T00:00:00Z"/>
        <d v="2026-07-24T00:00:00Z"/>
        <d v="2026-07-25T00:00:00Z"/>
        <d v="2026-07-27T00:00:00Z"/>
        <d v="2026-07-29T00:00:00Z"/>
        <d v="2026-08-01T00:00:00Z"/>
        <d v="2026-08-03T00:00:00Z"/>
        <d v="2026-08-04T00:00:00Z"/>
        <d v="2026-08-07T00:00:00Z"/>
        <d v="2026-08-11T00:00:00Z"/>
        <d v="2026-08-18T00:00:00Z"/>
        <d v="2026-08-20T00:00:00Z"/>
        <d v="2026-08-22T00:00:00Z"/>
        <d v="2026-08-25T00:00:00Z"/>
        <d v="2026-08-26T00:00:00Z"/>
        <d v="2026-08-27T00:00:00Z"/>
        <d v="2026-08-31T00:00:00Z"/>
        <d v="2026-09-01T00:00:00Z"/>
        <d v="2026-09-05T00:00:00Z"/>
        <d v="2026-09-07T00:00:00Z"/>
        <d v="2026-09-11T00:00:00Z"/>
        <d v="2026-09-12T00:00:00Z"/>
        <m/>
        <d v="2026-09-24T00:00:00Z"/>
      </sharedItems>
    </cacheField>
    <cacheField name="Invoice">
      <sharedItems containsBlank="1" containsMixedTypes="1" containsNumber="1" containsInteger="1">
        <n v="45659.0"/>
        <n v="45660.0"/>
        <n v="45664.0"/>
        <n v="45665.0"/>
        <n v="45666.0"/>
        <n v="45667.0"/>
        <n v="45668.0"/>
        <n v="45670.0"/>
        <n v="45671.0"/>
        <n v="45673.0"/>
        <n v="45675.0"/>
        <n v="45677.0"/>
        <n v="45680.0"/>
        <n v="45682.0"/>
        <n v="45683.0"/>
        <n v="45684.0"/>
        <n v="45685.0"/>
        <n v="45686.0"/>
        <n v="45687.0"/>
        <n v="45689.0"/>
        <n v="45692.0"/>
        <n v="45693.0"/>
        <n v="45694.0"/>
        <n v="45695.0"/>
        <n v="45699.0"/>
        <n v="45700.0"/>
        <n v="45702.0"/>
        <n v="45703.0"/>
        <n v="45705.0"/>
        <n v="45706.0"/>
        <n v="45707.0"/>
        <n v="45708.0"/>
        <n v="45709.0"/>
        <n v="45710.0"/>
        <n v="45712.0"/>
        <n v="45714.0"/>
        <n v="45715.0"/>
        <n v="45716.0"/>
        <n v="45718.0"/>
        <n v="45719.0"/>
        <n v="45720.0"/>
        <n v="45721.0"/>
        <n v="45723.0"/>
        <n v="45726.0"/>
        <n v="45728.0"/>
        <n v="45729.0"/>
        <n v="45730.0"/>
        <n v="45731.0"/>
        <n v="45732.0"/>
        <n v="45733.0"/>
        <n v="45734.0"/>
        <n v="45735.0"/>
        <n v="45736.0"/>
        <n v="45737.0"/>
        <n v="45738.0"/>
        <n v="45741.0"/>
        <n v="45743.0"/>
        <n v="45746.0"/>
        <n v="45754.0"/>
        <n v="45755.0"/>
        <n v="45756.0"/>
        <n v="45758.0"/>
        <n v="45759.0"/>
        <n v="45761.0"/>
        <n v="45762.0"/>
        <n v="45763.0"/>
        <n v="45764.0"/>
        <n v="45765.0"/>
        <n v="45766.0"/>
        <n v="45769.0"/>
        <n v="45771.0"/>
        <n v="45772.0"/>
        <n v="45773.0"/>
        <n v="45775.0"/>
        <n v="45776.0"/>
        <n v="45778.0"/>
        <n v="45779.0"/>
        <n v="45780.0"/>
        <n v="45782.0"/>
        <n v="45783.0"/>
        <n v="45784.0"/>
        <n v="45785.0"/>
        <n v="45786.0"/>
        <n v="45787.0"/>
        <n v="45791.0"/>
        <n v="45792.0"/>
        <n v="45793.0"/>
        <n v="45794.0"/>
        <n v="45795.0"/>
        <n v="45797.0"/>
        <n v="45798.0"/>
        <n v="45799.0"/>
        <n v="45800.0"/>
        <n v="45801.0"/>
        <n v="45802.0"/>
        <n v="45803.0"/>
        <n v="45804.0"/>
        <n v="45806.0"/>
        <n v="45807.0"/>
        <n v="45808.0"/>
        <n v="45810.0"/>
        <n v="45812.0"/>
        <n v="45813.0"/>
        <n v="45815.0"/>
        <n v="45817.0"/>
        <n v="45819.0"/>
        <n v="45821.0"/>
        <n v="45822.0"/>
        <n v="45824.0"/>
        <n v="45828.0"/>
        <n v="45831.0"/>
        <n v="45832.0"/>
        <n v="45834.0"/>
        <n v="45838.0"/>
        <n v="45840.0"/>
        <n v="45842.0"/>
        <n v="45843.0"/>
        <n v="45844.0"/>
        <n v="45845.0"/>
        <n v="45849.0"/>
        <n v="45850.0"/>
        <n v="45852.0"/>
        <n v="45853.0"/>
        <n v="45854.0"/>
        <n v="45855.0"/>
        <n v="45856.0"/>
        <n v="45857.0"/>
        <n v="45859.0"/>
        <n v="45860.0"/>
        <n v="45861.0"/>
        <n v="45863.0"/>
        <n v="45864.0"/>
        <n v="45866.0"/>
        <n v="45867.0"/>
        <n v="45869.0"/>
        <n v="45870.0"/>
        <n v="45873.0"/>
        <n v="45874.0"/>
        <n v="45875.0"/>
        <n v="45877.0"/>
        <n v="45878.0"/>
        <n v="45880.0"/>
        <n v="45882.0"/>
        <n v="45883.0"/>
        <n v="45884.0"/>
        <n v="45885.0"/>
        <n v="45887.0"/>
        <n v="45889.0"/>
        <n v="45890.0"/>
        <n v="45892.0"/>
        <n v="45895.0"/>
        <n v="45897.0"/>
        <n v="45898.0"/>
        <n v="45899.0"/>
        <n v="45901.0"/>
        <n v="45903.0"/>
        <n v="45904.0"/>
        <n v="45905.0"/>
        <n v="45908.0"/>
        <n v="45909.0"/>
        <n v="45910.0"/>
        <n v="45912.0"/>
        <n v="45913.0"/>
        <n v="45915.0"/>
        <n v="45918.0"/>
        <n v="45919.0"/>
        <s v="b19/09/2025"/>
        <n v="45922.0"/>
        <n v="45923.0"/>
        <n v="45924.0"/>
        <n v="45925.0"/>
        <n v="45927.0"/>
        <n v="45928.0"/>
        <n v="45929.0"/>
        <n v="45932.0"/>
        <n v="45933.0"/>
        <n v="45935.0"/>
        <n v="45937.0"/>
        <n v="45939.0"/>
        <n v="45941.0"/>
        <n v="45943.0"/>
        <n v="45945.0"/>
        <n v="45946.0"/>
        <n v="45947.0"/>
        <n v="45948.0"/>
        <n v="45950.0"/>
        <n v="45952.0"/>
        <n v="45953.0"/>
        <n v="45955.0"/>
        <n v="7621.0"/>
        <n v="45958.0"/>
        <n v="45959.0"/>
        <n v="7668.0"/>
        <n v="7700.0"/>
        <n v="7713.0"/>
        <n v="7726.0"/>
        <n v="7743.0"/>
        <n v="7748.0"/>
        <n v="7763.0"/>
        <n v="7781.0"/>
        <n v="7788.0"/>
        <n v="7799.0"/>
        <n v="7728.0"/>
        <n v="7829.0"/>
        <n v="7836.0"/>
        <n v="7854.0"/>
        <n v="8042.0"/>
        <n v="7886.0"/>
        <n v="7900.0"/>
        <n v="7895.0"/>
        <n v="7902.0"/>
        <n v="7906.0"/>
        <n v="7907.0"/>
        <n v="7911.0"/>
        <n v="7913.0"/>
        <n v="7932.0"/>
        <n v="7986.0"/>
        <n v="7993.0"/>
        <n v="8016.0"/>
        <n v="8033.0"/>
        <n v="8090.0"/>
        <n v="8091.0"/>
        <n v="8106.0"/>
        <n v="8105.0"/>
        <n v="8109.0"/>
        <n v="8116.0"/>
        <n v="8124.0"/>
        <n v="8130.0"/>
        <n v="8147.0"/>
        <n v="8165.0"/>
        <n v="8198.0"/>
        <n v="8189.0"/>
        <n v="8192.0"/>
        <n v="8229.0"/>
        <n v="8224.0"/>
        <n v="8225.0"/>
        <n v="8239.0"/>
        <n v="8251.0"/>
        <n v="8236.0"/>
        <n v="8299.0"/>
        <n v="8303.0"/>
        <n v="8307.0"/>
        <n v="8333.0"/>
        <n v="8339.0"/>
        <n v="8357.0"/>
        <n v="8362.0"/>
        <n v="8365.0"/>
        <n v="8372.0"/>
        <n v="8387.0"/>
        <n v="8394.0"/>
        <n v="8403.0"/>
        <n v="8507.0"/>
        <n v="8512.0"/>
        <n v="8552.0"/>
        <n v="8531.0"/>
        <n v="8535.0"/>
        <n v="8540.0"/>
        <n v="8567.0"/>
        <n v="8571.0"/>
        <n v="8584.0"/>
        <n v="23.0"/>
        <n v="40.0"/>
        <n v="44.0"/>
        <n v="51.0"/>
        <n v="56.0"/>
        <n v="64.0"/>
        <n v="65.0"/>
        <n v="69.0"/>
        <n v="99.0"/>
        <n v="108.0"/>
        <n v="129.0"/>
        <n v="135.0"/>
        <n v="148.0"/>
        <n v="159.0"/>
        <n v="173.0"/>
        <n v="197.0"/>
        <n v="198.0"/>
        <n v="220.0"/>
        <n v="230.0"/>
        <n v="262.0"/>
        <n v="280.0"/>
        <n v="272.0"/>
        <n v="294.0"/>
        <n v="302.0"/>
        <m/>
        <n v="344.0"/>
        <n v="345.0"/>
        <n v="351.0"/>
        <n v="364.0"/>
        <n v="379.0"/>
        <n v="384.0"/>
        <n v="423.0"/>
        <n v="424.0"/>
        <n v="440.0"/>
        <n v="444.0"/>
        <n v="486.0"/>
        <n v="510.0"/>
        <n v="527.0"/>
        <n v="590.0"/>
        <n v="603.0"/>
        <n v="620.0"/>
        <n v="626.0"/>
        <n v="627.0"/>
        <n v="671.0"/>
        <n v="673.0"/>
        <n v="713.0"/>
        <n v="769.0"/>
        <n v="810.0"/>
        <n v="836.0"/>
        <n v="851.0"/>
        <n v="898.0"/>
        <n v="910.0"/>
        <n v="911.0"/>
        <n v="913.0"/>
        <n v="927.0"/>
        <n v="959.0"/>
        <n v="969.0"/>
        <n v="977.0"/>
        <n v="982.0"/>
        <n v="1003.0"/>
        <n v="1037.0"/>
        <n v="1049.0"/>
        <n v="1055.0"/>
        <n v="1080.0"/>
        <n v="1089.0"/>
        <n v="1093.0"/>
        <n v="1120.0"/>
        <n v="1126.0"/>
        <n v="1151.0"/>
        <n v="1152.0"/>
        <n v="1158.0"/>
        <n v="1185.0"/>
        <n v="1195.0"/>
        <n v="1214.0"/>
        <n v="1230.0"/>
        <n v="1261.0"/>
        <n v="1271.0"/>
        <n v="1285.0"/>
        <n v="1297.0"/>
        <n v="1323.0"/>
        <n v="1345.0"/>
        <n v="1361.0"/>
        <n v="1388.0"/>
        <n v="1394.0"/>
        <n v="1409.0"/>
        <n v="1437.0"/>
        <n v="1431.0"/>
        <n v="1462.0"/>
        <n v="1463.0"/>
        <n v="1479.0"/>
        <n v="1498.0"/>
        <n v="1500.0"/>
        <n v="1530.0"/>
        <n v="1529.0"/>
        <n v="1528.0"/>
        <n v="1538.0"/>
        <n v="1539.0"/>
        <n v="1562.0"/>
        <n v="1554.0"/>
        <n v="1565.0"/>
        <n v="1580.0"/>
        <n v="1601.0"/>
        <n v="1635.0"/>
        <n v="1659.0"/>
        <n v="1654.0"/>
        <n v="14.0"/>
        <n v="16.0"/>
        <n v="17.0"/>
        <n v="67.0"/>
        <n v="78.0"/>
        <n v="87.0"/>
        <n v="132.0"/>
        <n v="142.0"/>
        <n v="164.0"/>
        <n v="177.0"/>
        <n v="181.0"/>
        <n v="209.0"/>
        <n v="207.0"/>
        <n v="226.0"/>
        <n v="218.0"/>
        <n v="260.0"/>
        <n v="268.0"/>
        <n v="331.0"/>
        <n v="335.0"/>
        <n v="358.0"/>
        <n v="380.0"/>
        <n v="393.0"/>
        <n v="391.0"/>
        <n v="401.0"/>
        <n v="410.0"/>
        <n v="414.0"/>
        <n v="413.0"/>
        <n v="427.0"/>
        <n v="432.0"/>
        <n v="435.0"/>
        <n v="442.0"/>
        <n v="454.0"/>
        <n v="475.0"/>
        <n v="493.0"/>
        <n v="502.0"/>
        <n v="536.0"/>
        <n v="571.0"/>
        <n v="637.0"/>
        <n v="636.0"/>
        <n v="641.0"/>
        <n v="651.0"/>
        <n v="677.0"/>
        <n v="687.0"/>
        <n v="705.0"/>
        <n v="714.0"/>
        <n v="707.0"/>
        <n v="753.0"/>
        <n v="767.0"/>
        <n v="776.0"/>
        <n v="806.0"/>
        <n v="804.0"/>
        <n v="827.0"/>
        <n v="871.0"/>
        <n v="880.0"/>
        <n v="985.0"/>
      </sharedItems>
    </cacheField>
    <cacheField name="Name" numFmtId="0">
      <sharedItems containsBlank="1">
        <s v="Bpk. Bram"/>
        <s v="Bpk. Ujang Damai/Rancakole"/>
        <s v="Bpk. Usep Isma/Balekambang"/>
        <s v="Bpk. Agus Antasalam"/>
        <s v="Bpk. Felis "/>
        <s v="Bpk. Rian Papandayan"/>
        <s v="Bpk. Jajang/Sapan"/>
        <s v="Ibu Dede/Maruyung"/>
        <s v="Aartijaya Velvet"/>
        <s v="Bpk. Dinar Sudi"/>
        <s v="Bpk. Aden Fahri/Cibeureum"/>
        <s v="Bpk. Hadi Cikitu"/>
        <s v="Bpk. Opang CIheulang"/>
        <s v="Ibu Dede/Sundawangi"/>
        <s v="Bpk. Tobi Cikitu"/>
        <s v="Bpk. H. Syukur/Ikhsan CIbeurreum"/>
        <s v="Bpk. Agus Jogor"/>
        <s v="Bpk. Wisnu Pangauban"/>
        <s v="Ibu. Amanah"/>
        <s v="Bpk. Dudung Cikoneng"/>
        <s v="Bpk. Endut"/>
        <s v="Bpk. Cuing/Leles"/>
        <s v="Bpk. Ujang Baduy Wadat"/>
        <s v="Bpk. Ate Paseh"/>
        <s v="Bpk. Endang RSJ Sudi"/>
        <s v="Bpk. H. Anang/Ciparay barujati"/>
        <s v="Bpk. H. Ikhsan/Cibeureum"/>
        <s v="Bpk. Dani Jembar Mukti"/>
        <s v="Bpk. Deden Putra Walahir"/>
        <s v="Bpk. Dedi CRW"/>
        <s v="Ibu Yayah Pandex/Ciheulang"/>
        <s v="Bpk. Koko"/>
        <s v="Bpk. H Entang"/>
        <s v="Bpk. Dani Darmawan/Garduh Jaya"/>
        <s v="Bpk. Cuplis"/>
        <s v="Family Sejati"/>
        <s v="Bpk. Fajar Kurnia"/>
        <s v="Bpk. Yayat Dojer Sapan"/>
        <s v="Bpk. Uus"/>
        <s v="Bpk. H. Alit Cibeureum"/>
        <s v="Bpk. Iwan Pajaten"/>
        <s v="Bpk. Iyep/Butul"/>
        <s v="Bpk. H Odang Pelered"/>
        <s v="Bpk. Hasyim Pacet"/>
        <s v="Bpk. Dede DP/Pasanggrahan"/>
        <s v="Bpk. H. Syahro Dangdang"/>
        <s v="Bpk. Koko Cibeet"/>
        <s v="Bpk. H. Wido"/>
        <s v="PT. SANTOSA KURNIA JAYA"/>
        <s v="Bpk. H. Nundang"/>
        <s v="Bpk. H. Amin Cibeureum"/>
        <s v="Bpk. Usep Sri Rahayu"/>
        <s v="Bpk. Dodi Polsek Soljer"/>
        <s v="Ibu Komala/Munjul"/>
        <s v="Bpk. Udo Kebum Tiwu"/>
        <s v="Bpk. Rohman Loa"/>
        <s v="Bpk. Kohar CIbereum"/>
        <s v="Bpk. Pandu/Sapan"/>
        <s v="Bpk. Adin Texas/Balekambang"/>
        <s v="Ibu. HJ. Eti"/>
        <s v="Bpk. Eye"/>
        <s v="Bpk. Egi/Ganjar Pasirkukun"/>
        <s v="Bpk. H. Toni/ Jalan anyar"/>
        <s v="Faliza"/>
        <s v="Bpk. Robi Balekambang"/>
        <s v="Anita Jaya/Sapan"/>
        <s v="Bpk. H. Iwan"/>
        <s v="Ko Aris/Leuwidulang"/>
        <s v="Bpk. Soni Majalaya"/>
        <s v="Bpk. H. tarlan Cibeureum"/>
        <s v="Bpk. H. Deni Dandang"/>
        <s v="Bpk. agus kenalpot"/>
        <s v="Bpk. Novi ciparay"/>
        <s v="Bpk. Ujang Sp"/>
        <s v="Bpk. Yana Wasnan/Pacet"/>
        <s v="Bpk. Suyut"/>
        <s v="Bpk Nana Rancajigang"/>
        <s v="Bpk. Khairul Magung"/>
        <s v="BPK EPUL/BPK A ADE"/>
        <s v="Bpk. H Makmun KSM ELf"/>
        <s v="Bpk. H. Aep BCP Patrol"/>
        <s v="Bapak Velg"/>
        <s v="Bpk. Pian Pakacangan"/>
        <s v="Bpk. SS"/>
        <s v="Ujang Samsu Sudi"/>
        <s v="Bpk. Amal Cikawao"/>
        <s v="Ibu Lilis Hayam"/>
        <s v="Fajar travel"/>
        <s v="Bpk. Iman Rohiman/baru jati"/>
        <s v="Bpk. Oman Majalaya"/>
        <m/>
      </sharedItems>
    </cacheField>
    <cacheField name="Column 4" numFmtId="165">
      <sharedItems containsBlank="1">
        <s v="BD 16 GT"/>
        <s v="Flap 16 GT"/>
        <s v="Dunlop 750/16 12PR"/>
        <s v="GT 750/16 HAPPY DUTY"/>
        <s v="Bridgestone 205/65 15 Turanza"/>
        <s v="Advance 750/16 GL672D"/>
        <s v="Advance 750/16 k. tahu GL909A"/>
        <s v="Flap 16 Truckoor"/>
        <s v="Bridgestone 750/15 MRD"/>
        <s v="BD 15 Truckoor"/>
        <s v="Flap 15 Truckoor"/>
        <s v="Bridgestone 750/16 MRN"/>
        <s v="TIRON 750/16"/>
        <s v="G. YEAR 750/16 2020 HD"/>
        <s v="Aspira 750/16 Kasar"/>
        <s v="Aspira 750/16 Halus"/>
        <s v="Advance 750/16 GLG71A+"/>
        <s v="Dunlop 185/70 14 SP10"/>
        <s v="Dunlop 175/13 LT5"/>
        <s v="SPOORING"/>
        <s v="Bridgestone 235/75 15 Dueler H/T 689"/>
        <s v="G. YEAR 195/70 14 ADP2"/>
        <s v="TECKING 750/16 LEMES"/>
        <s v="BD 15 GT"/>
        <s v="Flap 15 GT"/>
        <s v="Duratun 750/16 LT Y601"/>
        <s v="BD 8.25 Bestone"/>
        <s v="GT 600/13 8PR"/>
        <s v="VELG 16 ROBAHAN CANTER"/>
        <s v="GT 750/15 12PR"/>
        <s v="Advance 750/15 radial fullset"/>
        <s v="BD 13 GT"/>
        <s v="BD 16 Truckoor"/>
        <s v="BD 900* 20 GT"/>
        <s v="Flap 900*20 GT"/>
        <s v="BD 8.25 TRUCKOOR"/>
        <s v="Flap 16 NYB"/>
        <s v="Dunlop 185/14 LT5"/>
        <s v="BD 15 Bridgestone"/>
        <s v="GiTi 11R 22.5 GRS225"/>
        <s v="GT 165/13 MAXMILLER"/>
        <s v="TIRON 750/15 12PR"/>
        <s v="Sailun 185/14 8PR"/>
        <s v="Dunlop 205/65 15 EC300"/>
        <s v="G. YEAR 750/16 S501"/>
        <s v="GT 265/65 17 SAV AT+"/>
        <s v="NITROGEN"/>
        <s v="Balancing 60"/>
        <s v="GiTi 750/16 GAZ"/>
        <s v="VELG 16 ORISINIL TOPY"/>
        <s v="Bridgestone 205/65 15 Ecopia"/>
        <s v="BD 16 Bridgestone"/>
        <s v="Flap 16 Bridgestone"/>
        <s v="Dunlop 165/65 13 SP TOURING"/>
        <s v="GT 11.00 * 20 SUPER"/>
        <s v="BD 1000*20"/>
        <s v="Flap 1000*20 GT"/>
        <s v="Bridgestone 175/65 14 Ecopia"/>
        <s v="Dunlop 165/13 LT5"/>
        <s v="SERVICE"/>
        <s v="GiTi 750/16 GAR"/>
        <s v="Baut Camber ss-carry"/>
        <s v="Lower Arm (Sayap)"/>
        <s v="GT 195/60 16 ECOTEC"/>
        <s v="GT 225/75 16 MAXMILLER"/>
        <s v="GT 185/70 14 ECOTEC"/>
        <s v="MRF 750/16"/>
        <s v="GT 700/16 Super 88"/>
        <s v="Flap 16 Plus Plat"/>
        <s v="Bridgestone 195/15"/>
        <s v="BD 16 SJ"/>
        <s v="BD 15 Indotube P. Pendek"/>
        <s v="GT 265/60 18 SAV A/T+"/>
        <s v="Bridgestone 175/13 Duravis"/>
        <s v="BD 15 Aspira P. Pendek"/>
        <s v="Hankook 195/65 15"/>
        <s v="SPOORING SS/CARRY LOS BAK"/>
        <s v="GT 175/70 13 ECOTEC"/>
        <s v="Velg 16  XM LB6  12 ML"/>
        <s v="GT 185/60 15 ECOTEC"/>
        <s v="Balancing 30"/>
        <s v="Baut Camber"/>
        <s v="Dunlop 185/60 15 TOURING"/>
        <s v="Dunlop 185/65 15 EC300"/>
        <s v="Dunlop 195/60 16 EC300"/>
        <s v="Bridgestone 185/14 Duravis"/>
        <s v="GT 640/13 8PR"/>
        <s v="Dunlop 195/14 LT5"/>
        <s v="GT 215/55 17 CHAMPIRO GTX PRO"/>
        <s v="Dunlop 205/55 17 ENASEV"/>
        <s v="Flap 15 INDOTUBE"/>
        <s v="BD 14 GT"/>
        <s v="Dunlop 175/65 14 EC300"/>
        <s v="Bridgestone 195/65 15 Ecopia"/>
        <s v="TIRON 750/16 HD"/>
        <s v="Dunlop 215/55 17 SPORTMAXX"/>
        <s v="GT 1000*20"/>
        <s v="Velg 14*15J Kosei'"/>
        <s v="Laufen 175/65 14"/>
        <s v="WESTLAKE 750/16 14PR"/>
        <s v="GT 235/50 18 Champiro HPY"/>
        <s v="Bongkar Pasang"/>
        <s v="Dunlop 195/65 15 EC300"/>
        <s v="BD 13 IBK"/>
        <s v="GT 550/13 8PR"/>
        <s v="IBK 16 BD"/>
        <s v="IBK 16 FLAP"/>
        <s v="Sailun 195/65 15 Atrezzo"/>
        <s v="GT 900*20"/>
        <s v="Bridgestone 195/14 Duravis"/>
        <s v="Dunlop 205/45 17 DIREZA"/>
        <s v="Velg 16  XM LB6  10 ML"/>
        <s v="GT 175/65 14 CHAMPIRO ECOTEC"/>
        <s v="GT 175/13 MAXMILLER"/>
        <s v="Dunlop 195/70 14 TOURING"/>
        <s v="Bridgestone 195/60 16 Ecopia"/>
        <s v="BD 1000 GT"/>
        <s v="GT 165/80 13 ECOTEC"/>
        <m/>
      </sharedItems>
    </cacheField>
    <cacheField name="QTY" numFmtId="4">
      <sharedItems containsString="0" containsBlank="1" containsNumber="1" containsInteger="1">
        <n v="1.0"/>
        <n v="2.0"/>
        <n v="5.0"/>
        <n v="4.0"/>
        <n v="6.0"/>
        <n v="8.0"/>
        <n v="10.0"/>
        <n v="3.0"/>
        <m/>
      </sharedItems>
    </cacheField>
    <cacheField name="Cash Price" numFmtId="165">
      <sharedItems containsString="0" containsBlank="1" containsNumber="1" containsInteger="1">
        <n v="240000.0"/>
        <n v="65000.0"/>
        <n v="1547000.0"/>
        <n v="1600000.0"/>
        <n v="1200000.0"/>
        <n v="2050000.0"/>
        <n v="2360000.0"/>
        <n v="80000.0"/>
        <n v="1370000.0"/>
        <n v="170000.0"/>
        <n v="1710000.0"/>
        <n v="1750000.0"/>
        <n v="1520000.0"/>
        <n v="1850000.0"/>
        <n v="1730000.0"/>
        <n v="1950000.0"/>
        <n v="701000.0"/>
        <n v="734500.0"/>
        <n v="150000.0"/>
        <n v="1300000.0"/>
        <n v="645000.0"/>
        <n v="2100000.0"/>
        <n v="210000.0"/>
        <n v="90000.0"/>
        <n v="1810000.0"/>
        <n v="200000.0"/>
        <n v="600000.0"/>
        <n v="1280000.0"/>
        <n v="1865000.0"/>
        <n v="145000.0"/>
        <n v="398000.0"/>
        <n v="120000.0"/>
        <n v="1700000.0"/>
        <n v="1460000.0"/>
        <n v="230000.0"/>
        <n v="859500.0"/>
        <n v="270000.0"/>
        <n v="60000.0"/>
        <n v="4050000.0"/>
        <n v="1960000.0"/>
        <n v="630000.0"/>
        <n v="1525000.0"/>
        <n v="780000.0"/>
        <n v="1530000.0"/>
        <n v="2275000.0"/>
        <n v="860000.0"/>
        <n v="2200000.0"/>
        <n v="1470000.0"/>
        <n v="1800000.0"/>
        <n v="1250000.0"/>
        <n v="20000.0"/>
        <n v="40000.0"/>
        <n v="700000.0"/>
        <n v="670000.0"/>
        <n v="1670000.0"/>
        <n v="260000.0"/>
        <n v="2125000.0"/>
        <n v="2260000.0"/>
        <n v="1215000.0"/>
        <n v="900000.0"/>
        <n v="935000.0"/>
        <n v="1235000.0"/>
        <n v="160000.0"/>
        <n v="70000.0"/>
        <n v="550000.0"/>
        <n v="3850000.0"/>
        <n v="135000.0"/>
        <n v="675000.0"/>
        <n v="2060000.0"/>
        <n v="85000.0"/>
        <n v="735000.0"/>
        <n v="1225000.0"/>
        <n v="2115000.0"/>
        <n v="110000.0"/>
        <n v="235000.0"/>
        <n v="585000.0"/>
        <n v="720000.0"/>
        <n v="820000.0"/>
        <n v="2150000.0"/>
        <n v="1260000.0"/>
        <n v="540000.0"/>
        <n v="620000.0"/>
        <n v="650000.0"/>
        <n v="1650000.0"/>
        <n v="220000.0"/>
        <n v="75000.0"/>
        <n v="1080000.0"/>
        <n v="180000.0"/>
        <n v="870000.0"/>
        <n v="1770000.0"/>
        <n v="1440000.0"/>
        <n v="50000.0"/>
        <n v="800000.0"/>
        <n v="545000.0"/>
        <n v="775000.0"/>
        <n v="30000.0"/>
        <n v="130000.0"/>
        <n v="250000.0"/>
        <n v="785000.0"/>
        <n v="1550000.0"/>
        <n v="750000.0"/>
        <n v="980000.0"/>
        <n v="875000.0"/>
        <n v="570000.0"/>
        <n v="1000000.0"/>
        <n v="995000.0"/>
        <n v="640000.0"/>
        <n v="2130000.0"/>
        <n v="910000.0"/>
        <n v="830000.0"/>
        <n v="680000.0"/>
        <n v="1430000.0"/>
        <n v="3300000.0"/>
        <n v="710000.0"/>
        <n v="685000.0"/>
        <n v="1210000.0"/>
        <n v="1350000.0"/>
        <n v="530000.0"/>
        <n v="625000.0"/>
        <n v="3350000.0"/>
        <n v="2625000.0"/>
        <n v="880000.0"/>
        <n v="2120000.0"/>
        <n v="1625000.0"/>
        <n v="2180000.0"/>
        <n v="580000.0"/>
        <n v="690000.0"/>
        <n v="3390000.0"/>
        <n v="1900000.0"/>
        <n v="2080000.0"/>
        <n v="380000.0"/>
        <n v="460000.0"/>
        <n v="55000.0"/>
        <n v="1660000.0"/>
        <n v="1985000.0"/>
        <n v="590000.0"/>
        <n v="2085000.0"/>
        <n v="1320000.0"/>
        <n v="1325000.0"/>
        <n v="1580000.0"/>
        <m/>
      </sharedItems>
    </cacheField>
    <cacheField name="Credit Price" numFmtId="165">
      <sharedItems containsString="0" containsBlank="1" containsNumber="1" containsInteger="1">
        <n v="250000.0"/>
        <n v="110000.0"/>
        <n v="1630000.0"/>
        <n v="1685000.0"/>
        <n v="1200000.0"/>
        <n v="2150000.0"/>
        <n v="2400000.0"/>
        <n v="85000.0"/>
        <n v="1410000.0"/>
        <n v="170000.0"/>
        <n v="80000.0"/>
        <n v="1770000.0"/>
        <n v="1900000.0"/>
        <n v="1560000.0"/>
        <n v="1925000.0"/>
        <n v="1800000.0"/>
        <n v="2050000.0"/>
        <n v="750000.0"/>
        <n v="700000.0"/>
        <n v="130000.0"/>
        <n v="1300000.0"/>
        <n v="1860000.0"/>
        <n v="2000000.0"/>
        <n v="1485000.0"/>
        <n v="230000.0"/>
        <n v="200000.0"/>
        <n v="90000.0"/>
        <n v="220000.0"/>
        <n v="670000.0"/>
        <n v="1380000.0"/>
        <n v="2360000.0"/>
        <n v="1980000.0"/>
        <n v="190000.0"/>
        <n v="95000.0"/>
        <n v="1700000.0"/>
        <n v="1670000.0"/>
        <n v="75000.0"/>
        <n v="210000.0"/>
        <n v="1530000.0"/>
        <n v="1230000.0"/>
        <n v="135000.0"/>
        <n v="1460000.0"/>
        <n v="180000.0"/>
        <n v="1780000.0"/>
        <n v="1950000.0"/>
        <n v="1600000.0"/>
        <n v="2200000.0"/>
        <n v="380000.0"/>
        <n v="140000.0"/>
        <n v="2470000.0"/>
        <n v="900000.0"/>
        <n v="280000.0"/>
        <n v="70000.0"/>
        <n v="4300000.0"/>
        <n v="2060000.0"/>
        <n v="640000.0"/>
        <n v="1625000.0"/>
        <n v="830000.0"/>
        <n v="2375000.0"/>
        <n v="880000.0"/>
        <n v="2230000.0"/>
        <n v="1570000.0"/>
        <n v="100000.0"/>
        <n v="1320000.0"/>
        <n v="20000.0"/>
        <n v="30000.0"/>
        <n v="150000.0"/>
        <n v="780000.0"/>
        <n v="1470000.0"/>
        <n v="290000.0"/>
        <n v="2235000.0"/>
        <n v="1265000.0"/>
        <n v="1000000.0"/>
        <n v="1010000.0"/>
        <n v="1315000.0"/>
        <n v="630000.0"/>
        <n v="4150000.0"/>
        <n v="600000.0"/>
        <n v="160000.0"/>
        <n v="675000.0"/>
        <n v="2110000.0"/>
        <n v="735000.0"/>
        <n v="2225000.0"/>
        <n v="2215000.0"/>
        <n v="235000.0"/>
        <n v="665000.0"/>
        <n v="1850000.0"/>
        <n v="800000.0"/>
        <n v="870000.0"/>
        <n v="2250000.0"/>
        <n v="1340000.0"/>
        <n v="2100000.0"/>
        <n v="850000.0"/>
        <n v="645000.0"/>
        <n v="1750000.0"/>
        <n v="1280000.0"/>
        <n v="1400000.0"/>
        <n v="1160000.0"/>
        <n v="930000.0"/>
        <n v="1550000.0"/>
        <n v="50000.0"/>
        <n v="1235000.0"/>
        <n v="740000.0"/>
        <n v="120000.0"/>
        <n v="625000.0"/>
        <n v="875000.0"/>
        <n v="820000.0"/>
        <n v="35000.0"/>
        <n v="835000.0"/>
        <n v="1650000.0"/>
        <n v="1620000.0"/>
        <n v="955000.0"/>
        <n v="650000.0"/>
        <n v="1050000.0"/>
        <n v="1060000.0"/>
        <n v="65000.0"/>
        <n v="995000.0"/>
        <n v="720000.0"/>
        <n v="1520000.0"/>
        <n v="990000.0"/>
        <n v="270000.0"/>
        <n v="910000.0"/>
        <n v="1330000.0"/>
        <n v="1480000.0"/>
        <n v="40000.0"/>
        <n v="3350000.0"/>
        <n v="550000.0"/>
        <n v="790000.0"/>
        <n v="620000.0"/>
        <n v="950000.0"/>
        <n v="685000.0"/>
        <n v="1310000.0"/>
        <n v="1450000.0"/>
        <n v="610000.0"/>
        <n v="1335000.0"/>
        <n v="760000.0"/>
        <n v="710000.0"/>
        <n v="2600000.0"/>
        <n v="1170000.0"/>
        <n v="960000.0"/>
        <n v="2170000.0"/>
        <n v="1675000.0"/>
        <n v="2280000.0"/>
        <n v="145000.0"/>
        <n v="770000.0"/>
        <n v="755000.0"/>
        <n v="1725000.0"/>
        <n v="3390000.0"/>
        <n v="1100000.0"/>
        <n v="2180000.0"/>
        <n v="400000.0"/>
        <n v="480000.0"/>
        <n v="55000.0"/>
        <n v="1760000.0"/>
        <n v="2300000.0"/>
        <n v="655000.0"/>
        <n v="2085000.0"/>
        <n v="2185000.0"/>
        <n v="1350000.0"/>
        <n v="1425000.0"/>
        <n v="660000.0"/>
        <n v="1680000.0"/>
        <m/>
      </sharedItems>
    </cacheField>
    <cacheField name="Due Date" numFmtId="14">
      <sharedItems containsDate="1" containsString="0" containsBlank="1">
        <d v="2025-02-01T00:00:00Z"/>
        <d v="2025-02-02T00:00:00Z"/>
        <d v="2025-02-06T00:00:00Z"/>
        <d v="2025-02-07T00:00:00Z"/>
        <d v="2025-02-08T00:00:00Z"/>
        <d v="2025-02-09T00:00:00Z"/>
        <d v="2025-02-10T00:00:00Z"/>
        <d v="2025-02-12T00:00:00Z"/>
        <d v="2025-02-13T00:00:00Z"/>
        <d v="2025-02-15T00:00:00Z"/>
        <d v="2025-02-17T00:00:00Z"/>
        <d v="2025-02-19T00:00:00Z"/>
        <d v="2025-02-22T00:00:00Z"/>
        <d v="2025-02-24T00:00:00Z"/>
        <d v="2025-02-25T00:00:00Z"/>
        <d v="2025-02-26T00:00:00Z"/>
        <d v="2025-02-27T00:00:00Z"/>
        <d v="2025-02-28T00:00:00Z"/>
        <d v="2025-03-01T00:00:00Z"/>
        <d v="2025-03-03T00:00:00Z"/>
        <d v="2025-03-06T00:00:00Z"/>
        <d v="2025-03-07T00:00:00Z"/>
        <d v="2025-03-08T00:00:00Z"/>
        <d v="2025-03-09T00:00:00Z"/>
        <d v="2025-03-13T00:00:00Z"/>
        <d v="2025-03-14T00:00:00Z"/>
        <d v="2025-03-16T00:00:00Z"/>
        <d v="2025-03-17T00:00:00Z"/>
        <d v="2025-03-19T00:00:00Z"/>
        <d v="2025-03-20T00:00:00Z"/>
        <d v="2025-03-21T00:00:00Z"/>
        <d v="2025-03-22T00:00:00Z"/>
        <d v="2025-03-23T00:00:00Z"/>
        <d v="2025-03-24T00:00:00Z"/>
        <d v="2025-03-26T00:00:00Z"/>
        <d v="2025-03-28T00:00:00Z"/>
        <d v="2025-03-29T00:00:00Z"/>
        <d v="2025-03-30T00:00:00Z"/>
        <d v="2025-04-01T00:00:00Z"/>
        <d v="2025-04-02T00:00:00Z"/>
        <d v="2025-04-03T00:00:00Z"/>
        <d v="2025-04-04T00:00:00Z"/>
        <d v="2025-04-06T00:00:00Z"/>
        <d v="2025-04-09T00:00:00Z"/>
        <d v="2025-04-11T00:00:00Z"/>
        <d v="2025-04-12T00:00:00Z"/>
        <d v="2025-04-13T00:00:00Z"/>
        <d v="2025-04-14T00:00:00Z"/>
        <d v="2025-04-15T00:00:00Z"/>
        <d v="2025-04-16T00:00:00Z"/>
        <d v="2025-04-17T00:00:00Z"/>
        <d v="2025-04-18T00:00:00Z"/>
        <d v="2025-04-19T00:00:00Z"/>
        <d v="2025-04-20T00:00:00Z"/>
        <d v="2025-04-21T00:00:00Z"/>
        <d v="2025-04-24T00:00:00Z"/>
        <d v="2025-04-26T00:00:00Z"/>
        <d v="2025-04-29T00:00:00Z"/>
        <d v="2025-05-07T00:00:00Z"/>
        <d v="2025-05-08T00:00:00Z"/>
        <d v="2025-05-09T00:00:00Z"/>
        <d v="2025-05-11T00:00:00Z"/>
        <d v="2025-05-12T00:00:00Z"/>
        <d v="2025-05-14T00:00:00Z"/>
        <d v="2025-05-15T00:00:00Z"/>
        <d v="2025-05-16T00:00:00Z"/>
        <d v="2025-05-17T00:00:00Z"/>
        <d v="2025-05-18T00:00:00Z"/>
        <d v="2025-05-19T00:00:00Z"/>
        <d v="2025-05-22T00:00:00Z"/>
        <d v="2025-05-24T00:00:00Z"/>
        <d v="2025-05-25T00:00:00Z"/>
        <d v="2025-05-26T00:00:00Z"/>
        <d v="2025-05-28T00:00:00Z"/>
        <d v="2025-05-29T00:00:00Z"/>
        <d v="2025-05-31T00:00:00Z"/>
        <d v="2025-06-01T00:00:00Z"/>
        <d v="2025-06-02T00:00:00Z"/>
        <d v="2025-06-04T00:00:00Z"/>
        <d v="2025-06-05T00:00:00Z"/>
        <d v="2025-06-06T00:00:00Z"/>
        <d v="2025-06-07T00:00:00Z"/>
        <d v="2025-06-08T00:00:00Z"/>
        <d v="2025-06-09T00:00:00Z"/>
        <d v="2025-06-13T00:00:00Z"/>
        <d v="2025-06-14T00:00:00Z"/>
        <d v="2025-06-15T00:00:00Z"/>
        <d v="2025-06-16T00:00:00Z"/>
        <d v="2025-06-17T00:00:00Z"/>
        <d v="2025-06-19T00:00:00Z"/>
        <d v="2025-06-20T00:00:00Z"/>
        <d v="2025-06-21T00:00:00Z"/>
        <d v="2025-06-22T00:00:00Z"/>
        <d v="2025-06-23T00:00:00Z"/>
        <d v="2025-06-24T00:00:00Z"/>
        <d v="2025-06-25T00:00:00Z"/>
        <d v="2025-06-26T00:00:00Z"/>
        <d v="2025-06-28T00:00:00Z"/>
        <d v="2025-06-29T00:00:00Z"/>
        <d v="2025-06-30T00:00:00Z"/>
        <d v="2025-07-02T00:00:00Z"/>
        <d v="2025-07-04T00:00:00Z"/>
        <d v="2025-07-05T00:00:00Z"/>
        <d v="2025-07-07T00:00:00Z"/>
        <d v="2025-07-09T00:00:00Z"/>
        <d v="2025-07-11T00:00:00Z"/>
        <d v="2025-07-13T00:00:00Z"/>
        <d v="2025-07-14T00:00:00Z"/>
        <d v="2025-07-16T00:00:00Z"/>
        <d v="2025-07-20T00:00:00Z"/>
        <d v="2025-07-23T00:00:00Z"/>
        <d v="2025-07-24T00:00:00Z"/>
        <d v="2025-07-26T00:00:00Z"/>
        <d v="2025-07-30T00:00:00Z"/>
        <d v="2025-08-01T00:00:00Z"/>
        <d v="2025-08-03T00:00:00Z"/>
        <d v="2025-08-04T00:00:00Z"/>
        <d v="2025-08-05T00:00:00Z"/>
        <d v="2025-08-06T00:00:00Z"/>
        <d v="2025-08-10T00:00:00Z"/>
        <d v="2025-08-11T00:00:00Z"/>
        <d v="2025-08-13T00:00:00Z"/>
        <d v="2025-08-14T00:00:00Z"/>
        <d v="2025-08-15T00:00:00Z"/>
        <d v="2025-08-16T00:00:00Z"/>
        <d v="2025-08-17T00:00:00Z"/>
        <d v="2025-08-18T00:00:00Z"/>
        <d v="2025-08-20T00:00:00Z"/>
        <d v="2025-08-21T00:00:00Z"/>
        <d v="2025-08-22T00:00:00Z"/>
        <d v="2025-08-24T00:00:00Z"/>
        <d v="2025-08-25T00:00:00Z"/>
        <d v="2025-08-27T00:00:00Z"/>
        <d v="2025-08-28T00:00:00Z"/>
        <d v="2025-08-30T00:00:00Z"/>
        <d v="2025-08-31T00:00:00Z"/>
        <d v="2025-09-03T00:00:00Z"/>
        <d v="2025-09-04T00:00:00Z"/>
        <d v="2025-09-05T00:00:00Z"/>
        <d v="2025-09-07T00:00:00Z"/>
        <d v="2025-09-08T00:00:00Z"/>
        <d v="2025-09-10T00:00:00Z"/>
        <d v="2025-09-12T00:00:00Z"/>
        <d v="2025-09-13T00:00:00Z"/>
        <d v="2025-09-14T00:00:00Z"/>
        <d v="2025-09-15T00:00:00Z"/>
        <d v="2025-09-17T00:00:00Z"/>
        <d v="2025-09-19T00:00:00Z"/>
        <d v="2025-09-20T00:00:00Z"/>
        <d v="2025-09-22T00:00:00Z"/>
        <d v="2025-09-25T00:00:00Z"/>
        <d v="2025-09-27T00:00:00Z"/>
        <d v="2025-09-28T00:00:00Z"/>
        <d v="2025-09-29T00:00:00Z"/>
        <d v="2025-10-01T00:00:00Z"/>
        <d v="2025-10-03T00:00:00Z"/>
        <d v="2025-10-04T00:00:00Z"/>
        <d v="2025-10-05T00:00:00Z"/>
        <d v="2025-10-08T00:00:00Z"/>
        <d v="2025-10-09T00:00:00Z"/>
        <d v="2025-10-10T00:00:00Z"/>
        <d v="2025-10-12T00:00:00Z"/>
        <d v="2025-10-13T00:00:00Z"/>
        <d v="2025-10-15T00:00:00Z"/>
        <d v="2025-10-18T00:00:00Z"/>
        <d v="2025-10-19T00:00:00Z"/>
        <d v="2025-10-22T00:00:00Z"/>
        <d v="2025-10-23T00:00:00Z"/>
        <d v="2025-10-24T00:00:00Z"/>
        <d v="2025-10-25T00:00:00Z"/>
        <d v="2025-10-27T00:00:00Z"/>
        <d v="2025-10-28T00:00:00Z"/>
        <d v="2025-10-29T00:00:00Z"/>
        <d v="2025-11-01T00:00:00Z"/>
        <d v="2025-11-02T00:00:00Z"/>
        <d v="2025-11-04T00:00:00Z"/>
        <d v="2025-11-06T00:00:00Z"/>
        <d v="2025-11-08T00:00:00Z"/>
        <d v="2025-11-10T00:00:00Z"/>
        <d v="2025-11-12T00:00:00Z"/>
        <d v="2025-11-14T00:00:00Z"/>
        <d v="2025-11-15T00:00:00Z"/>
        <d v="2025-11-16T00:00:00Z"/>
        <d v="2025-11-17T00:00:00Z"/>
        <d v="2025-11-19T00:00:00Z"/>
        <d v="2025-11-21T00:00:00Z"/>
        <d v="2025-11-22T00:00:00Z"/>
        <d v="2025-11-24T00:00:00Z"/>
        <d v="2026-01-03T00:00:00Z"/>
        <d v="2025-11-27T00:00:00Z"/>
        <d v="2025-11-28T00:00:00Z"/>
        <d v="2025-12-01T00:00:00Z"/>
        <d v="2025-12-03T00:00:00Z"/>
        <d v="2025-12-05T00:00:00Z"/>
        <d v="2025-12-06T00:00:00Z"/>
        <d v="2025-12-07T00:00:00Z"/>
        <d v="2025-12-10T00:00:00Z"/>
        <d v="2025-12-11T00:00:00Z"/>
        <d v="2025-12-12T00:00:00Z"/>
        <d v="2025-12-14T00:00:00Z"/>
        <d v="2025-12-15T00:00:00Z"/>
        <d v="2025-12-31T00:00:00Z"/>
        <d v="2025-12-18T00:00:00Z"/>
        <d v="2025-12-19T00:00:00Z"/>
        <d v="2025-12-20T00:00:00Z"/>
        <d v="2025-12-21T00:00:00Z"/>
        <d v="2025-12-22T00:00:00Z"/>
        <d v="2025-12-26T00:00:00Z"/>
        <d v="2025-12-27T00:00:00Z"/>
        <d v="2025-12-28T00:00:00Z"/>
        <d v="2025-12-13T00:00:00Z"/>
        <d v="2026-01-04T00:00:00Z"/>
        <d v="2026-01-05T00:00:00Z"/>
        <d v="2026-01-06T00:00:00Z"/>
        <d v="2026-01-07T00:00:00Z"/>
        <d v="2026-01-08T00:00:00Z"/>
        <d v="2026-01-10T00:00:00Z"/>
        <d v="2026-01-11T00:00:00Z"/>
        <d v="2026-01-12T00:00:00Z"/>
        <d v="2026-01-14T00:00:00Z"/>
        <d v="2026-01-30T00:00:00Z"/>
        <d v="2026-01-15T00:00:00Z"/>
        <d v="2026-01-16T00:00:00Z"/>
        <d v="2026-01-21T00:00:00Z"/>
        <d v="2026-01-22T00:00:00Z"/>
        <d v="2026-01-23T00:00:00Z"/>
        <d v="2026-01-24T00:00:00Z"/>
        <d v="2026-01-25T00:00:00Z"/>
        <d v="2026-01-26T00:00:00Z"/>
        <d v="2026-01-28T00:00:00Z"/>
        <d v="2026-01-29T00:00:00Z"/>
        <d v="2026-02-06T00:00:00Z"/>
        <d v="2026-02-07T00:00:00Z"/>
        <d v="2026-02-08T00:00:00Z"/>
        <d v="2026-02-09T00:00:00Z"/>
        <d v="2026-02-11T00:00:00Z"/>
        <d v="2026-02-12T00:00:00Z"/>
        <d v="2026-02-15T00:00:00Z"/>
        <d v="2026-02-16T00:00:00Z"/>
        <d v="2026-02-18T00:00:00Z"/>
        <d v="2026-02-19T00:00:00Z"/>
        <d v="2026-02-20T00:00:00Z"/>
        <d v="2026-02-22T00:00:00Z"/>
        <d v="2026-02-23T00:00:00Z"/>
        <d v="2026-02-25T00:00:00Z"/>
        <d v="2026-02-26T00:00:00Z"/>
        <d v="2026-02-27T00:00:00Z"/>
        <d v="2026-02-28T00:00:00Z"/>
        <d v="2026-03-01T00:00:00Z"/>
        <d v="2026-03-04T00:00:00Z"/>
        <d v="2026-03-05T00:00:00Z"/>
        <d v="2026-03-06T00:00:00Z"/>
        <d v="2026-03-09T00:00:00Z"/>
        <d v="2026-03-11T00:00:00Z"/>
        <d v="2026-03-12T00:00:00Z"/>
        <d v="2026-03-13T00:00:00Z"/>
        <d v="2026-03-31T00:00:00Z"/>
        <d v="2026-03-16T00:00:00Z"/>
        <d v="2026-03-18T00:00:00Z"/>
        <d v="2026-03-20T00:00:00Z"/>
        <d v="2026-03-25T00:00:00Z"/>
        <d v="2026-03-27T00:00:00Z"/>
        <d v="2026-03-28T00:00:00Z"/>
        <d v="2026-04-01T00:00:00Z"/>
        <d v="2026-04-03T00:00:00Z"/>
        <d v="2026-04-04T00:00:00Z"/>
        <d v="2026-04-10T00:00:00Z"/>
        <d v="2026-04-11T00:00:00Z"/>
        <d v="2026-04-15T00:00:00Z"/>
        <d v="2026-04-16T00:00:00Z"/>
        <d v="2026-04-24T00:00:00Z"/>
        <d v="2026-04-25T00:00:00Z"/>
        <d v="2026-04-27T00:00:00Z"/>
        <d v="2026-05-01T00:00:00Z"/>
        <d v="2026-05-02T00:00:00Z"/>
        <d v="2026-05-03T00:00:00Z"/>
        <d v="2026-05-04T00:00:00Z"/>
        <d v="2026-05-07T00:00:00Z"/>
        <d v="2026-05-08T00:00:00Z"/>
        <d v="2026-05-10T00:00:00Z"/>
        <d v="2026-05-14T00:00:00Z"/>
        <d v="2026-05-16T00:00:00Z"/>
        <d v="2026-05-17T00:00:00Z"/>
        <d v="2026-05-18T00:00:00Z"/>
        <d v="2026-05-20T00:00:00Z"/>
        <d v="2026-05-22T00:00:00Z"/>
        <d v="2026-05-24T00:00:00Z"/>
        <d v="2026-05-25T00:00:00Z"/>
        <d v="2026-05-27T00:00:00Z"/>
        <d v="2026-05-28T00:00:00Z"/>
        <d v="2026-05-30T00:00:00Z"/>
        <d v="2026-06-01T00:00:00Z"/>
        <d v="2026-06-04T00:00:00Z"/>
        <d v="2026-06-05T00:00:00Z"/>
        <d v="2026-06-06T00:00:00Z"/>
        <d v="2026-06-07T00:00:00Z"/>
        <d v="2026-06-10T00:00:00Z"/>
        <d v="2026-06-11T00:00:00Z"/>
        <d v="2026-06-13T00:00:00Z"/>
        <d v="2026-06-15T00:00:00Z"/>
        <d v="2026-06-17T00:00:00Z"/>
        <d v="2026-06-19T00:00:00Z"/>
        <d v="2026-06-22T00:00:00Z"/>
        <d v="2026-06-24T00:00:00Z"/>
        <d v="2026-06-25T00:00:00Z"/>
        <d v="2026-06-27T00:00:00Z"/>
        <d v="2026-06-28T00:00:00Z"/>
        <d v="2026-06-29T00:00:00Z"/>
        <d v="2026-07-01T00:00:00Z"/>
        <d v="2026-07-03T00:00:00Z"/>
        <d v="2026-07-05T00:00:00Z"/>
        <d v="2026-07-08T00:00:00Z"/>
        <d v="2026-07-09T00:00:00Z"/>
        <d v="2026-07-12T00:00:00Z"/>
        <d v="2026-07-17T00:00:00Z"/>
        <d v="2026-07-18T00:00:00Z"/>
        <d v="2026-07-19T00:00:00Z"/>
        <d v="2026-07-20T00:00:00Z"/>
        <d v="2026-07-24T00:00:00Z"/>
        <d v="2026-07-25T00:00:00Z"/>
        <d v="2026-07-27T00:00:00Z"/>
        <d v="2026-07-28T00:00:00Z"/>
        <d v="2026-07-29T00:00:00Z"/>
        <d v="2026-07-31T00:00:00Z"/>
        <d v="2026-08-02T00:00:00Z"/>
        <d v="2026-08-06T00:00:00Z"/>
        <d v="2026-08-13T00:00:00Z"/>
        <d v="2026-08-16T00:00:00Z"/>
        <d v="2026-08-21T00:00:00Z"/>
        <d v="2026-08-22T00:00:00Z"/>
        <d v="2026-08-23T00:00:00Z"/>
        <d v="2026-08-24T00:00:00Z"/>
        <d v="2026-08-26T00:00:00Z"/>
        <d v="2026-08-28T00:00:00Z"/>
        <d v="2026-08-31T00:00:00Z"/>
        <d v="2026-09-02T00:00:00Z"/>
        <d v="2026-09-03T00:00:00Z"/>
        <d v="2026-09-06T00:00:00Z"/>
        <d v="2026-09-10T00:00:00Z"/>
        <d v="2026-09-17T00:00:00Z"/>
        <d v="2026-09-19T00:00:00Z"/>
        <d v="2026-09-21T00:00:00Z"/>
        <d v="2026-09-24T00:00:00Z"/>
        <d v="2026-09-25T00:00:00Z"/>
        <d v="2026-09-26T00:00:00Z"/>
        <d v="2026-09-30T00:00:00Z"/>
        <d v="2026-10-01T00:00:00Z"/>
        <d v="2026-10-05T00:00:00Z"/>
        <d v="2026-10-07T00:00:00Z"/>
        <d v="2026-10-11T00:00:00Z"/>
        <d v="2026-10-12T00:00:00Z"/>
        <m/>
        <d v="2026-10-24T00:00:00Z"/>
      </sharedItems>
    </cacheField>
    <cacheField name="Service Fee">
      <sharedItems containsBlank="1" containsMixedTypes="1" containsNumber="1" containsInteger="1">
        <n v="0.0"/>
        <n v="10000.0"/>
        <n v="75000.0"/>
        <n v="25000.0"/>
        <n v="40000.0"/>
        <n v="5000.0"/>
        <m/>
        <e v="#N/A"/>
      </sharedItems>
    </cacheField>
    <cacheField name="Cost price VLOOKUP">
      <sharedItems containsMixedTypes="1" containsNumber="1">
        <n v="182200.0"/>
        <n v="43500.0"/>
        <n v="1447000.0"/>
        <n v="1560000.0"/>
        <n v="1085500.0"/>
        <n v="1980000.0"/>
        <n v="2160000.0"/>
        <n v="40350.0"/>
        <n v="1265000.0"/>
        <n v="120960.0"/>
        <n v="36630.0"/>
        <n v="1565000.0"/>
        <n v="1420000.0"/>
        <n v="1725000.0"/>
        <n v="1610000.0"/>
        <n v="1885000.0"/>
        <n v="601000.0"/>
        <n v="653000.0"/>
        <n v="0.0"/>
        <n v="1170353.16"/>
        <n v="595000.0"/>
        <n v="1900000.0"/>
        <n v="161840.0"/>
        <n v="39440.0"/>
        <n v="1926858.75"/>
        <n v="160000.0"/>
        <n v="540000.0"/>
        <n v="960000.0"/>
        <n v="1210000.0"/>
        <n v="1765000.0"/>
        <n v="102000.0"/>
        <n v="145180.0"/>
        <n v="348000.0"/>
        <n v="91500.0"/>
        <n v="184150.0"/>
        <n v="50000.0"/>
        <n v="782000.0"/>
        <n v="231268.0"/>
        <n v="3800000.0"/>
        <n v="556800.0"/>
        <n v="1475000.0"/>
        <n v="678000.0"/>
        <n v="779500.0"/>
        <n v="2020000.0"/>
        <n v="1280000.0"/>
        <n v="15000.0"/>
        <n v="2080000.0"/>
        <n v="775000.0"/>
        <n v="879567.0"/>
        <n v="241001.6"/>
        <n v="140000.0"/>
        <n v="465000.0"/>
        <n v="3750000.0"/>
        <n v="100500.0"/>
        <n v="611109.16"/>
        <n v="628000.0"/>
        <n v="2030000.0"/>
        <n v="75000.0"/>
        <n v="158530.2"/>
        <n v="739600.0"/>
        <n v="1221100.0"/>
        <n v="565760.0"/>
        <n v="2050000.0"/>
        <n v="1175000.0"/>
        <n v="45000.0"/>
        <n v="980000.0"/>
        <n v="145000.0"/>
        <n v="91000.0"/>
        <n v="1290000.0"/>
        <n v="710000.0"/>
        <n v="111800.0"/>
        <n v="608000.0"/>
        <n v="458600.0"/>
        <n v="680000.0"/>
        <n v="636300.0"/>
        <n v="10000.0"/>
        <n v="620000.0"/>
        <n v="712000.0"/>
        <n v="881000.0"/>
        <n v="825000.0"/>
        <n v="505000.0"/>
        <n v="895000.0"/>
        <n v="904050.0"/>
        <n v="1040000.0"/>
        <n v="34000.0"/>
        <n v="124000.0"/>
        <n v="570000.0"/>
        <n v="851110.375"/>
        <n v="1650000.0"/>
        <n v="1292000.0"/>
        <n v="3190000.0"/>
        <n v="450000.0"/>
        <n v="1800000.0"/>
        <n v="1108560.0"/>
        <n v="716500.0"/>
        <n v="45439.582"/>
        <n v="470000.0"/>
        <n v="153665.7804"/>
        <n v="40438.4211"/>
        <n v="532400.0"/>
        <n v="2575000.0"/>
        <n v="930000.0"/>
        <n v="812000.0"/>
        <n v="650000.0"/>
        <n v="512640.0"/>
        <n v="615300.0"/>
        <n v="582500.0"/>
        <n v="980542.4"/>
        <n v="405000.0"/>
        <n v="488320.0"/>
        <e v="#N/A"/>
      </sharedItems>
    </cacheField>
    <cacheField name="Cost price Absolute" numFmtId="165">
      <sharedItems containsString="0" containsBlank="1" containsNumber="1">
        <n v="199920.0"/>
        <n v="43520.0"/>
        <n v="1447000.0"/>
        <n v="1500000.0"/>
        <n v="1480000.0"/>
        <n v="1085500.0"/>
        <n v="1950000.0"/>
        <n v="2160000.0"/>
        <n v="40350.0"/>
        <n v="1270000.0"/>
        <n v="120960.0"/>
        <n v="36630.0"/>
        <n v="1570000.0"/>
        <n v="1650000.0"/>
        <n v="1420000.0"/>
        <n v="1725000.0"/>
        <n v="1610000.0"/>
        <n v="1840000.0"/>
        <n v="595000.0"/>
        <n v="622000.0"/>
        <n v="0.0"/>
        <n v="1113907.2"/>
        <n v="1900000.0"/>
        <n v="161840.0"/>
        <n v="39440.0"/>
        <n v="1698000.0"/>
        <n v="160000.0"/>
        <n v="507000.0"/>
        <n v="960000.0"/>
        <n v="1180000.0"/>
        <n v="1765000.0"/>
        <n v="102000.0"/>
        <n v="145180.0"/>
        <n v="1850000.0"/>
        <n v="348000.0"/>
        <n v="91500.0"/>
        <n v="1545000.0"/>
        <n v="184150.0"/>
        <n v="50000.0"/>
        <n v="745000.0"/>
        <n v="227850.0"/>
        <n v="3800000.0"/>
        <n v="540800.0"/>
        <n v="1425000.0"/>
        <n v="678000.0"/>
        <n v="771000.0"/>
        <n v="2075000.0"/>
        <n v="1700000.0"/>
        <n v="1280000.0"/>
        <n v="10000.0"/>
        <n v="2050000.0"/>
        <n v="775000.0"/>
        <n v="884979.0"/>
        <n v="237440.0"/>
        <n v="140000.0"/>
        <n v="455000.0"/>
        <n v="3750000.0"/>
        <n v="100000.0"/>
        <n v="572762.4"/>
        <n v="610000.0"/>
        <n v="2030000.0"/>
        <n v="75000.0"/>
        <n v="151890.0"/>
        <n v="700000.0"/>
        <n v="1150700.0"/>
        <n v="524800.0"/>
        <n v="1175000.0"/>
        <n v="45000.0"/>
        <n v="980000.0"/>
        <n v="145000.0"/>
        <n v="91000.0"/>
        <n v="1290000.0"/>
        <n v="680000.0"/>
        <n v="111800.0"/>
        <n v="608000.0"/>
        <n v="445400.0"/>
        <n v="650000.0"/>
        <n v="636300.0"/>
        <n v="5000.0"/>
        <n v="607000.0"/>
        <n v="674000.0"/>
        <n v="881000.0"/>
        <n v="790000.0"/>
        <n v="490000.0"/>
        <n v="895000.0"/>
        <n v="904050.0"/>
        <n v="1040000.0"/>
        <n v="34000.0"/>
        <n v="124000.0"/>
        <n v="539000.0"/>
        <n v="810342.44"/>
        <n v="1245000.0"/>
        <n v="1320000.0"/>
        <n v="3160000.0"/>
        <n v="450000.0"/>
        <n v="437000.0"/>
        <n v="1750000.0"/>
        <n v="600000.0"/>
        <n v="1108560.0"/>
        <n v="1130842.0"/>
        <n v="709000.0"/>
        <n v="45309.6"/>
        <n v="442500.0"/>
        <n v="153665.7804"/>
        <n v="40438.4211"/>
        <n v="1940000.0"/>
        <n v="532400.0"/>
        <n v="2475000.0"/>
        <n v="930000.0"/>
        <n v="812000.0"/>
        <n v="779500.0"/>
        <n v="620000.0"/>
        <n v="1926858.75"/>
        <n v="2020000.0"/>
        <n v="1525000.0"/>
        <n v="182200.0"/>
        <n v="43500.0"/>
        <n v="2080000.0"/>
        <n v="3190000.0"/>
        <n v="604200.0"/>
        <n v="582500.0"/>
        <n v="634500.0"/>
        <n v="980542.4"/>
        <n v="1800000.0"/>
        <n v="1980000.0"/>
        <n v="405000.0"/>
        <n v="100500.0"/>
        <n v="1555000.0"/>
        <n v="2100000.0"/>
        <n v="1560000.0"/>
        <n v="1885000.0"/>
        <n v="505000.0"/>
        <n v="1210000.0"/>
        <n v="1221100.0"/>
        <n v="488320.0"/>
        <m/>
      </sharedItems>
    </cacheField>
    <cacheField name="Cost Price Fixed" numFmtId="165">
      <sharedItems containsSemiMixedTypes="0" containsString="0" containsNumber="1" containsInteger="1">
        <n v="200000.0"/>
        <n v="45000.0"/>
        <n v="1450000.0"/>
        <n v="1500000.0"/>
        <n v="1480000.0"/>
        <n v="1090000.0"/>
        <n v="1950000.0"/>
        <n v="2160000.0"/>
        <n v="1270000.0"/>
        <n v="125000.0"/>
        <n v="40000.0"/>
        <n v="1570000.0"/>
        <n v="1650000.0"/>
        <n v="1420000.0"/>
        <n v="1725000.0"/>
        <n v="1610000.0"/>
        <n v="1840000.0"/>
        <n v="595000.0"/>
        <n v="625000.0"/>
        <n v="0.0"/>
        <n v="1115000.0"/>
        <n v="1900000.0"/>
        <n v="165000.0"/>
        <n v="1700000.0"/>
        <n v="160000.0"/>
        <n v="510000.0"/>
        <n v="960000.0"/>
        <n v="1180000.0"/>
        <n v="1765000.0"/>
        <n v="105000.0"/>
        <n v="150000.0"/>
        <n v="1850000.0"/>
        <n v="350000.0"/>
        <n v="95000.0"/>
        <n v="1545000.0"/>
        <n v="185000.0"/>
        <n v="50000.0"/>
        <n v="745000.0"/>
        <n v="230000.0"/>
        <n v="3800000.0"/>
        <n v="545000.0"/>
        <n v="1425000.0"/>
        <n v="680000.0"/>
        <n v="775000.0"/>
        <n v="2075000.0"/>
        <n v="1280000.0"/>
        <n v="10000.0"/>
        <n v="2050000.0"/>
        <n v="885000.0"/>
        <n v="240000.0"/>
        <n v="140000.0"/>
        <n v="455000.0"/>
        <n v="3750000.0"/>
        <n v="100000.0"/>
        <n v="575000.0"/>
        <n v="610000.0"/>
        <n v="2030000.0"/>
        <n v="75000.0"/>
        <n v="155000.0"/>
        <n v="700000.0"/>
        <n v="1155000.0"/>
        <n v="525000.0"/>
        <n v="1175000.0"/>
        <n v="980000.0"/>
        <n v="145000.0"/>
        <n v="1290000.0"/>
        <n v="115000.0"/>
        <n v="450000.0"/>
        <n v="650000.0"/>
        <n v="640000.0"/>
        <n v="5000.0"/>
        <n v="675000.0"/>
        <n v="790000.0"/>
        <n v="490000.0"/>
        <n v="895000.0"/>
        <n v="905000.0"/>
        <n v="1040000.0"/>
        <n v="35000.0"/>
        <n v="540000.0"/>
        <n v="815000.0"/>
        <n v="1245000.0"/>
        <n v="1320000.0"/>
        <n v="3160000.0"/>
        <n v="440000.0"/>
        <n v="1750000.0"/>
        <n v="600000.0"/>
        <n v="1110000.0"/>
        <n v="1135000.0"/>
        <n v="710000.0"/>
        <n v="445000.0"/>
        <n v="1940000.0"/>
        <n v="535000.0"/>
        <n v="2475000.0"/>
        <n v="930000.0"/>
        <n v="780000.0"/>
        <n v="620000.0"/>
        <n v="1930000.0"/>
        <n v="2020000.0"/>
        <n v="1525000.0"/>
        <n v="2080000.0"/>
        <n v="605000.0"/>
        <n v="585000.0"/>
        <n v="3190000.0"/>
        <n v="635000.0"/>
        <n v="985000.0"/>
        <n v="1800000.0"/>
        <n v="1980000.0"/>
        <n v="405000.0"/>
        <n v="1555000.0"/>
        <n v="2100000.0"/>
        <n v="1560000.0"/>
        <n v="1885000.0"/>
        <n v="505000.0"/>
        <n v="1210000.0"/>
        <n v="1225000.0"/>
      </sharedItems>
    </cacheField>
    <cacheField name="Total Cash" numFmtId="165">
      <sharedItems containsSemiMixedTypes="0" containsString="0" containsNumber="1" containsInteger="1">
        <n v="240000.0"/>
        <n v="65000.0"/>
        <n v="3094000.0"/>
        <n v="1600000.0"/>
        <n v="6000000.0"/>
        <n v="4100000.0"/>
        <n v="9440000.0"/>
        <n v="80000.0"/>
        <n v="2740000.0"/>
        <n v="340000.0"/>
        <n v="130000.0"/>
        <n v="1710000.0"/>
        <n v="3500000.0"/>
        <n v="1520000.0"/>
        <n v="1850000.0"/>
        <n v="1730000.0"/>
        <n v="3900000.0"/>
        <n v="1950000.0"/>
        <n v="1402000.0"/>
        <n v="1469000.0"/>
        <n v="150000.0"/>
        <n v="1300000.0"/>
        <n v="2050000.0"/>
        <n v="645000.0"/>
        <n v="3460000.0"/>
        <n v="4200000.0"/>
        <n v="1370000.0"/>
        <n v="210000.0"/>
        <n v="90000.0"/>
        <n v="3620000.0"/>
        <n v="400000.0"/>
        <n v="420000.0"/>
        <n v="1200000.0"/>
        <n v="2400000.0"/>
        <n v="2560000.0"/>
        <n v="180000.0"/>
        <n v="4720000.0"/>
        <n v="8200000.0"/>
        <n v="800000.0"/>
        <n v="260000.0"/>
        <n v="1547000.0"/>
        <n v="1865000.0"/>
        <n v="145000.0"/>
        <n v="6080000.0"/>
        <n v="390000.0"/>
        <n v="1.64E7"/>
        <n v="3200000.0"/>
        <n v="9750000.0"/>
        <n v="796000.0"/>
        <n v="3400000.0"/>
        <n v="2360000.0"/>
        <n v="2920000.0"/>
        <n v="480000.0"/>
        <n v="7240000.0"/>
        <n v="920000.0"/>
        <n v="320000.0"/>
        <n v="1719000.0"/>
        <n v="3420000.0"/>
        <n v="270000.0"/>
        <n v="120000.0"/>
        <n v="1.62E7"/>
        <n v="1960000.0"/>
        <n v="1260000.0"/>
        <n v="1525000.0"/>
        <n v="780000.0"/>
        <n v="1530000.0"/>
        <n v="3920000.0"/>
        <n v="4550000.0"/>
        <n v="860000.0"/>
        <n v="2.2E7"/>
        <n v="6400000.0"/>
        <n v="4410000.0"/>
        <n v="1150000.0"/>
        <n v="3600000.0"/>
        <n v="2940000.0"/>
        <n v="2500000.0"/>
        <n v="40000.0"/>
        <n v="1280000.0"/>
        <n v="200000.0"/>
        <n v="700000.0"/>
        <n v="670000.0"/>
        <n v="3340000.0"/>
        <n v="460000.0"/>
        <n v="4250000.0"/>
        <n v="160000.0"/>
        <n v="2260000.0"/>
        <n v="2430000.0"/>
        <n v="5120000.0"/>
        <n v="900000.0"/>
        <n v="1870000.0"/>
        <n v="1235000.0"/>
        <n v="1670000.0"/>
        <n v="4520000.0"/>
        <n v="2600000.0"/>
        <n v="70000.0"/>
        <n v="1100000.0"/>
        <n v="7700000.0"/>
        <n v="230000.0"/>
        <n v="675000.0"/>
        <n v="1750000.0"/>
        <n v="4120000.0"/>
        <n v="1400000.0"/>
        <n v="170000.0"/>
        <n v="2125000.0"/>
        <n v="9040000.0"/>
        <n v="1470000.0"/>
        <n v="140000.0"/>
        <n v="1225000.0"/>
        <n v="4230000.0"/>
        <n v="110000.0"/>
        <n v="235000.0"/>
        <n v="7200000.0"/>
        <n v="2340000.0"/>
        <n v="85000.0"/>
        <n v="1.7E7"/>
        <n v="720000.0"/>
        <n v="820000.0"/>
        <n v="1440000.0"/>
        <n v="2880000.0"/>
        <n v="4300000.0"/>
        <n v="2520000.0"/>
        <n v="1080000.0"/>
        <n v="1240000.0"/>
        <n v="3300000.0"/>
        <n v="7800000.0"/>
        <n v="440000.0"/>
        <n v="5200000.0"/>
        <n v="75000.0"/>
        <n v="1650000.0"/>
        <n v="870000.0"/>
        <n v="2150000.0"/>
        <n v="8600000.0"/>
        <n v="1770000.0"/>
        <n v="3050000.0"/>
        <n v="100000.0"/>
        <n v="2470000.0"/>
        <n v="20000.0"/>
        <n v="545000.0"/>
        <n v="775000.0"/>
        <n v="60000.0"/>
        <n v="250000.0"/>
        <n v="540000.0"/>
        <n v="785000.0"/>
        <n v="1550000.0"/>
        <n v="1500000.0"/>
        <n v="3040000.0"/>
        <n v="360000.0"/>
        <n v="875000.0"/>
        <n v="1170000.0"/>
        <n v="1140000.0"/>
        <n v="2000000.0"/>
        <n v="1000000.0"/>
        <n v="2160000.0"/>
        <n v="1990000.0"/>
        <n v="4260000.0"/>
        <n v="3640000.0"/>
        <n v="3100000.0"/>
        <n v="1.356E7"/>
        <n v="2.1E7"/>
        <n v="830000.0"/>
        <n v="680000.0"/>
        <n v="2860000.0"/>
        <n v="750000.0"/>
        <n v="6600000.0"/>
        <n v="1360000.0"/>
        <n v="550000.0"/>
        <n v="2840000.0"/>
        <n v="2130000.0"/>
        <n v="3000000.0"/>
        <n v="710000.0"/>
        <n v="7400000.0"/>
        <n v="1660000.0"/>
        <n v="685000.0"/>
        <n v="2420000.0"/>
        <n v="2700000.0"/>
        <n v="520000.0"/>
        <n v="1060000.0"/>
        <n v="1800000.0"/>
        <n v="1250000.0"/>
        <n v="3350000.0"/>
        <n v="5250000.0"/>
        <n v="1820000.0"/>
        <n v="1420000.0"/>
        <n v="1350000.0"/>
        <n v="1760000.0"/>
        <n v="2.12E7"/>
        <n v="6500000.0"/>
        <n v="4360000.0"/>
        <n v="1160000.0"/>
        <n v="135000.0"/>
        <n v="1380000.0"/>
        <n v="1625000.0"/>
        <n v="6780000.0"/>
        <n v="2180000.0"/>
        <n v="3800000.0"/>
        <n v="4160000.0"/>
        <n v="1560000.0"/>
        <n v="760000.0"/>
        <n v="1.017E7"/>
        <n v="300000.0"/>
        <n v="55000.0"/>
        <n v="4400000.0"/>
        <n v="585000.0"/>
        <n v="1985000.0"/>
        <n v="590000.0"/>
        <n v="4170000.0"/>
        <n v="3250000.0"/>
        <n v="3320000.0"/>
        <n v="3970000.0"/>
        <n v="2640000.0"/>
        <n v="2080000.0"/>
        <n v="2650000.0"/>
        <n v="580000.0"/>
        <n v="3160000.0"/>
        <n v="0.0"/>
      </sharedItems>
    </cacheField>
    <cacheField name="Total Credit">
      <sharedItems containsMixedTypes="1" containsNumber="1" containsInteger="1">
        <n v="250000.0"/>
        <n v="110000.0"/>
        <n v="3260000.0"/>
        <n v="1685000.0"/>
        <n v="6000000.0"/>
        <n v="4300000.0"/>
        <n v="9600000.0"/>
        <n v="85000.0"/>
        <n v="2820000.0"/>
        <n v="340000.0"/>
        <n v="160000.0"/>
        <n v="1770000.0"/>
        <n v="3800000.0"/>
        <n v="1560000.0"/>
        <n v="1925000.0"/>
        <n v="1800000.0"/>
        <n v="4100000.0"/>
        <n v="2050000.0"/>
        <n v="1500000.0"/>
        <n v="1400000.0"/>
        <n v="130000.0"/>
        <n v="1300000.0"/>
        <n v="2150000.0"/>
        <n v="750000.0"/>
        <n v="3720000.0"/>
        <n v="4000000.0"/>
        <n v="1485000.0"/>
        <n v="230000.0"/>
        <n v="80000.0"/>
        <n v="400000.0"/>
        <n v="180000.0"/>
        <n v="440000.0"/>
        <n v="1340000.0"/>
        <n v="2400000.0"/>
        <n v="2760000.0"/>
        <n v="4720000.0"/>
        <n v="7920000.0"/>
        <n v="760000.0"/>
        <n v="380000.0"/>
        <n v="1700000.0"/>
        <n v="1670000.0"/>
        <n v="150000.0"/>
        <n v="420000.0"/>
        <n v="1530000.0"/>
        <n v="75000.0"/>
        <n v="2000000.0"/>
        <n v="1230000.0"/>
        <n v="135000.0"/>
        <n v="3060000.0"/>
        <n v="5840000.0"/>
        <n v="1080000.0"/>
        <n v="450000.0"/>
        <n v="1780000.0"/>
        <n v="95000.0"/>
        <n v="3900000.0"/>
        <n v="1950000.0"/>
        <n v="7800000.0"/>
        <n v="1.56E7"/>
        <n v="3200000.0"/>
        <n v="1.1E7"/>
        <n v="1630000.0"/>
        <n v="90000.0"/>
        <n v="280000.0"/>
        <n v="3600000.0"/>
        <n v="2470000.0"/>
        <n v="3120000.0"/>
        <n v="500000.0"/>
        <n v="7600000.0"/>
        <n v="1000000.0"/>
        <n v="3540000.0"/>
        <n v="2600000.0"/>
        <n v="140000.0"/>
        <n v="1.72E7"/>
        <n v="2060000.0"/>
        <n v="170000.0"/>
        <n v="1280000.0"/>
        <n v="1625000.0"/>
        <n v="830000.0"/>
        <n v="4750000.0"/>
        <n v="880000.0"/>
        <n v="2.23E7"/>
        <n v="6520000.0"/>
        <n v="920000.0"/>
        <n v="320000.0"/>
        <n v="3400000.0"/>
        <n v="4710000.0"/>
        <n v="1250000.0"/>
        <n v="3140000.0"/>
        <n v="2640000.0"/>
        <n v="40000.0"/>
        <n v="60000.0"/>
        <n v="1380000.0"/>
        <n v="220000.0"/>
        <n v="780000.0"/>
        <n v="1470000.0"/>
        <n v="290000.0"/>
        <n v="100000.0"/>
        <n v="4470000.0"/>
        <n v="4120000.0"/>
        <n v="200000.0"/>
        <n v="2360000.0"/>
        <n v="2530000.0"/>
        <n v="2940000.0"/>
        <n v="5520000.0"/>
        <n v="2020000.0"/>
        <n v="1315000.0"/>
        <n v="70000.0"/>
        <n v="1260000.0"/>
        <n v="8300000.0"/>
        <n v="1200000.0"/>
        <n v="675000.0"/>
        <n v="1900000.0"/>
        <n v="4220000.0"/>
        <n v="2235000.0"/>
        <n v="210000.0"/>
        <n v="1265000.0"/>
        <n v="4450000.0"/>
        <n v="4430000.0"/>
        <n v="235000.0"/>
        <n v="2660000.0"/>
        <n v="3700000.0"/>
        <n v="1.788E7"/>
        <n v="800000.0"/>
        <n v="870000.0"/>
        <n v="1600000.0"/>
        <n v="4500000.0"/>
        <n v="2680000.0"/>
        <n v="6800000.0"/>
        <n v="4200000.0"/>
        <n v="850000.0"/>
        <n v="1290000.0"/>
        <n v="2225000.0"/>
        <n v="700000.0"/>
        <n v="4800000.0"/>
        <n v="1850000.0"/>
        <n v="1750000.0"/>
        <n v="2560000.0"/>
        <n v="3500000.0"/>
        <n v="8200000.0"/>
        <n v="5600000.0"/>
        <n v="1570000.0"/>
        <n v="1160000.0"/>
        <n v="930000.0"/>
        <n v="2250000.0"/>
        <n v="9000000.0"/>
        <n v="3250000.0"/>
        <n v="3100000.0"/>
        <n v="9440000.0"/>
        <n v="1480000.0"/>
        <n v="120000.0"/>
        <n v="2630000.0"/>
        <n v="625000.0"/>
        <n v="875000.0"/>
        <n v="3280000.0"/>
        <n v="580000.0"/>
        <n v="1650000.0"/>
        <n v="3240000.0"/>
        <n v="360000.0"/>
        <n v="955000.0"/>
        <n v="3300000.0"/>
        <n v="1330000.0"/>
        <n v="2100000.0"/>
        <n v="1060000.0"/>
        <n v="2320000.0"/>
        <n v="1990000.0"/>
        <n v="1440000.0"/>
        <n v="3040000.0"/>
        <n v="4460000.0"/>
        <n v="3960000.0"/>
        <n v="2800000.0"/>
        <n v="270000.0"/>
        <n v="1.416E7"/>
        <n v="2.15E7"/>
        <n v="910000.0"/>
        <n v="5320000.0"/>
        <n v="2960000.0"/>
        <n v="6700000.0"/>
        <n v="550000.0"/>
        <n v="3160000.0"/>
        <n v="2230000.0"/>
        <n v="1240000.0"/>
        <n v="790000.0"/>
        <n v="950000.0"/>
        <n v="300000.0"/>
        <n v="1820000.0"/>
        <n v="685000.0"/>
        <n v="2620000.0"/>
        <n v="2900000.0"/>
        <n v="560000.0"/>
        <n v="1220000.0"/>
        <n v="1335000.0"/>
        <n v="1520000.0"/>
        <n v="1420000.0"/>
        <n v="3350000.0"/>
        <n v="5200000.0"/>
        <n v="1170000.0"/>
        <n v="1980000.0"/>
        <n v="1580000.0"/>
        <n v="1450000.0"/>
        <n v="7000000.0"/>
        <n v="8600000.0"/>
        <n v="1920000.0"/>
        <n v="2.17E7"/>
        <n v="4560000.0"/>
        <n v="820000.0"/>
        <n v="145000.0"/>
        <n v="1540000.0"/>
        <n v="755000.0"/>
        <n v="1725000.0"/>
        <n v="6780000.0"/>
        <n v="2280000.0"/>
        <n v="2200000.0"/>
        <n v="4360000.0"/>
        <n v="1760000.0"/>
        <n v="1.017E7"/>
        <n v="960000.0"/>
        <n v="55000.0"/>
        <n v="4600000.0"/>
        <n v="655000.0"/>
        <n v="2085000.0"/>
        <n v="670000.0"/>
        <n v="4370000.0"/>
        <n v="3450000.0"/>
        <n v="3520000.0"/>
        <n v="4170000.0"/>
        <n v="2700000.0"/>
        <n v="540000.0"/>
        <n v="2180000.0"/>
        <n v="6900000.0"/>
        <n v="2850000.0"/>
        <n v="660000.0"/>
        <n v="3360000.0"/>
        <e v="#REF!"/>
        <n v="0.0"/>
      </sharedItems>
    </cacheField>
    <cacheField name="Profit">
      <sharedItems containsMixedTypes="1" containsNumber="1" containsInteger="1">
        <n v="50000.0"/>
        <n v="65000.0"/>
        <n v="360000.0"/>
        <n v="185000.0"/>
        <n v="205000.0"/>
        <n v="550000.0"/>
        <n v="400000.0"/>
        <n v="960000.0"/>
        <n v="40000.0"/>
        <n v="280000.0"/>
        <n v="90000.0"/>
        <n v="80000.0"/>
        <n v="200000.0"/>
        <n v="500000.0"/>
        <n v="140000.0"/>
        <n v="190000.0"/>
        <n v="420000.0"/>
        <n v="210000.0"/>
        <n v="310000.0"/>
        <n v="150000.0"/>
        <n v="120000.0"/>
        <n v="155000.0"/>
        <n v="215000.0"/>
        <n v="110000.0"/>
        <n v="70000.0"/>
        <n v="320000.0"/>
        <n v="480000.0"/>
        <n v="100000.0"/>
        <n v="30000.0"/>
        <n v="235000.0"/>
        <n v="115000.0"/>
        <n v="160000.0"/>
        <n v="180000.0"/>
        <n v="220000.0"/>
        <n v="0.0"/>
        <n v="800000.0"/>
        <n v="1800000.0"/>
        <n v="45000.0"/>
        <n v="35000.0"/>
        <n v="60000.0"/>
        <n v="510000.0"/>
        <n v="260000.0"/>
        <n v="240000.0"/>
        <n v="2000000.0"/>
        <n v="430000.0"/>
        <n v="105000.0"/>
        <n v="1550000.0"/>
        <n v="520000.0"/>
        <n v="450000.0"/>
        <n v="250000.0"/>
        <n v="275000.0"/>
        <n v="300000.0"/>
        <n v="55000.0"/>
        <n v="370000.0"/>
        <n v="225000.0"/>
        <n v="350000.0"/>
        <n v="1200000.0"/>
        <n v="355000.0"/>
        <n v="130000.0"/>
        <n v="710000.0"/>
        <n v="75000.0"/>
        <n v="620000.0"/>
        <n v="610000.0"/>
        <n v="1480000.0"/>
        <n v="175000.0"/>
        <n v="170000.0"/>
        <n v="700000.0"/>
        <n v="850000.0"/>
        <n v="600000.0"/>
        <n v="390000.0"/>
        <n v="810000.0"/>
        <n v="195000.0"/>
        <n v="305000.0"/>
        <n v="410000.0"/>
        <n v="900000.0"/>
        <n v="85000.0"/>
        <n v="440000.0"/>
        <n v="720000.0"/>
        <n v="380000.0"/>
        <n v="230000.0"/>
        <n v="165000.0"/>
        <n v="750000.0"/>
        <n v="125000.0"/>
        <n v="660000.0"/>
        <n v="330000.0"/>
        <n v="340000.0"/>
        <n v="820000.0"/>
        <n v="880000.0"/>
        <n v="1500000.0"/>
        <n v="20000.0"/>
        <n v="505000.0"/>
        <s v=" "/>
        <n v="270000.0"/>
        <n v="2280000.0"/>
        <n v="4560000.0"/>
        <n v="1760000.0"/>
        <n v="3360000.0"/>
        <n v="780000.0"/>
        <n v="3520000.0"/>
        <e v="#N/A"/>
        <n v="1700000.0"/>
      </sharedItems>
    </cacheField>
    <cacheField name="Brand" numFmtId="0">
      <sharedItems>
        <s v="BD"/>
        <s v="Flap"/>
        <s v="Dunlop"/>
        <s v="GT"/>
        <s v="Bridgestone"/>
        <s v="Advance"/>
        <s v="TIRON"/>
        <s v="G. YEAR"/>
        <s v="Aspira"/>
        <s v="SPOORING"/>
        <s v="TECKING"/>
        <s v="DURATUN"/>
        <s v="VELG"/>
        <s v="GiTi"/>
        <s v="Sailun"/>
        <s v="NITROGEN"/>
        <s v="Balancing"/>
        <s v="SERVICE"/>
        <s v="Baut Camber ss-carry"/>
        <s v="Lower Arm"/>
        <s v="MRF"/>
        <s v="Hankook"/>
        <s v="SPOORING SS/CARRY LOS BAK"/>
        <s v="Baut Camber"/>
        <s v="Laufen"/>
        <s v="WESTLAKE"/>
        <s v="Bongkar Pasang"/>
        <s v="IBK"/>
        <e v="#N/A"/>
      </sharedItems>
    </cacheField>
    <cacheField name="Category" numFmtId="0">
      <sharedItems>
        <s v="Tire"/>
        <s v="SERVICE"/>
        <s v="COMPLEMENTARY"/>
        <e v="#N/A"/>
      </sharedItems>
    </cacheField>
    <cacheField name="Owned by" numFmtId="0">
      <sharedItems>
        <s v="BIAN"/>
        <s v="IBU"/>
        <s v="non"/>
        <e v="#N/A"/>
      </sharedItems>
    </cacheField>
  </cacheFields>
</pivotCacheDefinition>
</file>

<file path=xl/pivotCache/pivotCacheDefinition5.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C1:Q3003" sheet="PURCHASE"/>
  </cacheSource>
  <cacheFields>
    <cacheField name="Date In" numFmtId="167">
      <sharedItems containsDate="1" containsString="0" containsBlank="1">
        <d v="2025-01-02T00:00:00Z"/>
        <d v="2025-01-03T00:00:00Z"/>
        <d v="2025-01-04T00:00:00Z"/>
        <d v="2025-01-06T00:00:00Z"/>
        <d v="2025-01-07T00:00:00Z"/>
        <d v="2025-01-08T00:00:00Z"/>
        <d v="2025-01-14T00:00:00Z"/>
        <d v="2025-01-16T00:00:00Z"/>
        <d v="2025-01-18T00:00:00Z"/>
        <d v="2025-01-20T00:00:00Z"/>
        <d v="2025-01-21T00:00:00Z"/>
        <d v="2025-01-22T00:00:00Z"/>
        <d v="2025-01-24T00:00:00Z"/>
        <d v="2025-01-30T00:00:00Z"/>
        <d v="2025-01-31T00:00:00Z"/>
        <d v="2025-02-01T00:00:00Z"/>
        <d v="2025-02-03T00:00:00Z"/>
        <d v="2025-02-04T00:00:00Z"/>
        <d v="2025-02-06T00:00:00Z"/>
        <d v="2025-02-12T00:00:00Z"/>
        <d v="2025-02-13T00:00:00Z"/>
        <d v="2025-02-15T00:00:00Z"/>
        <d v="2025-02-18T00:00:00Z"/>
        <d v="2025-02-19T00:00:00Z"/>
        <d v="2025-02-20T00:00:00Z"/>
        <d v="2025-02-21T00:00:00Z"/>
        <d v="2025-02-22T00:00:00Z"/>
        <d v="2025-02-24T00:00:00Z"/>
        <d v="2025-02-25T00:00:00Z"/>
        <d v="2025-02-26T00:00:00Z"/>
        <d v="2025-02-27T00:00:00Z"/>
        <d v="2025-03-01T00:00:00Z"/>
        <d v="2025-03-03T00:00:00Z"/>
        <d v="2025-03-04T00:00:00Z"/>
        <d v="2025-03-05T00:00:00Z"/>
        <d v="2025-03-06T00:00:00Z"/>
        <d v="2025-03-08T00:00:00Z"/>
        <d v="2025-03-10T00:00:00Z"/>
        <d v="2025-03-12T00:00:00Z"/>
        <d v="2025-03-13T00:00:00Z"/>
        <d v="2025-03-14T00:00:00Z"/>
        <d v="2025-03-15T00:00:00Z"/>
        <d v="2025-03-17T00:00:00Z"/>
        <d v="2025-03-18T00:00:00Z"/>
        <d v="2025-03-19T00:00:00Z"/>
        <d v="2025-03-21T00:00:00Z"/>
        <d v="2025-03-22T00:00:00Z"/>
        <d v="2025-03-24T00:00:00Z"/>
        <d v="2025-03-25T00:00:00Z"/>
        <d v="2025-03-26T00:00:00Z"/>
        <d v="2025-03-27T00:00:00Z"/>
        <d v="2025-04-07T00:00:00Z"/>
        <d v="2025-04-09T00:00:00Z"/>
        <d v="2025-04-10T00:00:00Z"/>
        <d v="2025-04-12T00:00:00Z"/>
        <d v="2025-04-14T00:00:00Z"/>
        <d v="2025-04-15T00:00:00Z"/>
        <d v="2025-04-16T00:00:00Z"/>
        <d v="2025-04-17T00:00:00Z"/>
        <d v="2025-04-19T00:00:00Z"/>
        <d v="2025-04-22T00:00:00Z"/>
        <d v="2025-04-23T00:00:00Z"/>
        <d v="2025-04-24T00:00:00Z"/>
        <d v="2025-04-28T00:00:00Z"/>
        <d v="2025-04-30T00:00:00Z"/>
        <d v="2025-05-02T00:00:00Z"/>
        <d v="2025-05-09T00:00:00Z"/>
        <d v="2025-05-10T00:00:00Z"/>
        <d v="2025-05-13T00:00:00Z"/>
        <d v="2025-05-16T00:00:00Z"/>
        <d v="2025-05-17T00:00:00Z"/>
        <d v="2025-05-20T00:00:00Z"/>
        <d v="2025-05-21T00:00:00Z"/>
        <d v="2025-05-22T00:00:00Z"/>
        <d v="2025-05-23T00:00:00Z"/>
        <d v="2025-05-26T00:00:00Z"/>
        <d v="2025-06-04T00:00:00Z"/>
        <d v="2025-06-09T00:00:00Z"/>
        <d v="2025-06-10T00:00:00Z"/>
        <d v="2025-06-11T00:00:00Z"/>
        <d v="2025-06-12T00:00:00Z"/>
        <d v="2025-06-13T00:00:00Z"/>
        <d v="2025-06-17T00:00:00Z"/>
        <d v="2025-06-18T00:00:00Z"/>
        <d v="2025-06-21T00:00:00Z"/>
        <d v="2025-06-23T00:00:00Z"/>
        <d v="2025-06-26T00:00:00Z"/>
        <d v="2025-07-02T00:00:00Z"/>
        <d v="2025-07-03T00:00:00Z"/>
        <d v="2025-07-04T00:00:00Z"/>
        <d v="2025-07-08T00:00:00Z"/>
        <d v="2025-07-09T00:00:00Z"/>
        <d v="2025-07-12T00:00:00Z"/>
        <d v="2025-07-14T00:00:00Z"/>
        <d v="2025-07-15T00:00:00Z"/>
        <d v="2025-07-21T00:00:00Z"/>
        <d v="2025-07-22T00:00:00Z"/>
        <d v="2025-07-23T00:00:00Z"/>
        <d v="2025-07-24T00:00:00Z"/>
        <d v="2025-07-25T00:00:00Z"/>
        <d v="2025-07-28T00:00:00Z"/>
        <d v="2025-07-31T00:00:00Z"/>
        <d v="2025-08-01T00:00:00Z"/>
        <d v="2025-08-07T00:00:00Z"/>
        <d v="2025-08-08T00:00:00Z"/>
        <d v="2025-08-09T00:00:00Z"/>
        <d v="2025-08-12T00:00:00Z"/>
        <d v="2025-08-13T00:00:00Z"/>
        <d v="2025-08-14T00:00:00Z"/>
        <d v="2025-08-21T00:00:00Z"/>
        <d v="2025-08-25T00:00:00Z"/>
        <d v="2025-08-28T00:00:00Z"/>
        <d v="2025-09-01T00:00:00Z"/>
        <d v="2025-09-02T00:00:00Z"/>
        <d v="2025-09-03T00:00:00Z"/>
        <d v="2025-09-06T00:00:00Z"/>
        <d v="2025-09-08T00:00:00Z"/>
        <d v="2025-09-09T00:00:00Z"/>
        <d v="2025-09-10T00:00:00Z"/>
        <d v="2025-09-13T00:00:00Z"/>
        <d v="2025-09-20T00:00:00Z"/>
        <d v="2025-09-22T00:00:00Z"/>
        <d v="2025-09-23T00:00:00Z"/>
        <d v="2025-09-24T00:00:00Z"/>
        <d v="2025-09-26T00:00:00Z"/>
        <d v="2025-09-27T00:00:00Z"/>
        <d v="2025-09-29T00:00:00Z"/>
        <d v="2025-09-30T00:00:00Z"/>
        <d v="2025-10-01T00:00:00Z"/>
        <d v="2025-10-03T00:00:00Z"/>
        <d v="2025-10-06T00:00:00Z"/>
        <d v="2025-10-09T00:00:00Z"/>
        <d v="2025-10-14T00:00:00Z"/>
        <d v="2025-10-15T00:00:00Z"/>
        <d v="2025-10-16T00:00:00Z"/>
        <d v="2025-10-17T00:00:00Z"/>
        <d v="2025-10-20T00:00:00Z"/>
        <d v="2025-10-21T00:00:00Z"/>
        <d v="2025-10-28T00:00:00Z"/>
        <d v="2025-10-29T00:00:00Z"/>
        <d v="2025-10-31T00:00:00Z"/>
        <d v="2025-11-01T00:00:00Z"/>
        <d v="2025-11-05T00:00:00Z"/>
        <d v="2025-11-06T00:00:00Z"/>
        <d v="2025-11-10T00:00:00Z"/>
        <d v="2025-11-11T00:00:00Z"/>
        <d v="2025-11-12T00:00:00Z"/>
        <d v="2025-11-13T00:00:00Z"/>
        <d v="2025-11-14T00:00:00Z"/>
        <d v="2025-11-17T00:00:00Z"/>
        <d v="2025-11-19T00:00:00Z"/>
        <d v="2025-11-20T00:00:00Z"/>
        <d v="2025-11-21T00:00:00Z"/>
        <d v="2025-11-25T00:00:00Z"/>
        <d v="2025-11-26T00:00:00Z"/>
        <d v="2025-11-27T00:00:00Z"/>
        <d v="2025-11-28T00:00:00Z"/>
        <d v="2025-11-29T00:00:00Z"/>
        <d v="2025-12-02T00:00:00Z"/>
        <d v="2025-12-03T00:00:00Z"/>
        <d v="2025-12-05T00:00:00Z"/>
        <d v="2025-12-06T00:00:00Z"/>
        <d v="2025-12-08T00:00:00Z"/>
        <d v="2025-12-10T00:00:00Z"/>
        <d v="2025-12-11T00:00:00Z"/>
        <d v="2025-12-12T00:00:00Z"/>
        <d v="2025-12-13T00:00:00Z"/>
        <d v="2025-12-15T00:00:00Z"/>
        <d v="2025-12-16T00:00:00Z"/>
        <d v="2025-12-19T00:00:00Z"/>
        <d v="2025-12-23T00:00:00Z"/>
        <d v="2025-12-24T00:00:00Z"/>
        <d v="2025-12-25T00:00:00Z"/>
        <d v="2025-12-27T00:00:00Z"/>
        <d v="2025-12-30T00:00:00Z"/>
        <d v="2025-12-31T00:00:00Z"/>
        <d v="2026-01-02T00:00:00Z"/>
        <d v="2026-01-05T00:00:00Z"/>
        <d v="2026-01-06T00:00:00Z"/>
        <d v="2026-01-09T00:00:00Z"/>
        <d v="2026-01-10T00:00:00Z"/>
        <d v="2026-01-12T00:00:00Z"/>
        <d v="2026-01-13T00:00:00Z"/>
        <d v="2026-01-14T00:00:00Z"/>
        <d v="2026-01-19T00:00:00Z"/>
        <d v="2026-01-20T00:00:00Z"/>
        <d v="2026-01-21T00:00:00Z"/>
        <d v="2026-01-22T00:00:00Z"/>
        <d v="2026-01-23T00:00:00Z"/>
        <d v="2026-01-27T00:00:00Z"/>
        <d v="2026-01-28T00:00:00Z"/>
        <d v="2026-01-30T00:00:00Z"/>
        <d v="2026-01-31T00:00:00Z"/>
        <d v="2026-02-02T00:00:00Z"/>
        <d v="2026-02-03T00:00:00Z"/>
        <d v="2026-02-06T00:00:00Z"/>
        <d v="2026-02-12T00:00:00Z"/>
        <d v="2026-02-16T00:00:00Z"/>
        <d v="2026-02-17T00:00:00Z"/>
        <d v="2026-02-18T00:00:00Z"/>
        <d v="2026-02-19T00:00:00Z"/>
        <d v="2026-02-27T00:00:00Z"/>
        <d v="2026-02-28T00:00:00Z"/>
        <d v="2026-03-03T00:00:00Z"/>
        <d v="2026-03-04T00:00:00Z"/>
        <d v="2026-03-05T00:00:00Z"/>
        <d v="2026-03-09T00:00:00Z"/>
        <d v="2026-03-10T00:00:00Z"/>
        <d v="2026-03-11T00:00:00Z"/>
        <d v="2026-03-12T00:00:00Z"/>
        <d v="2026-03-14T00:00:00Z"/>
        <d v="2026-03-16T00:00:00Z"/>
        <d v="2026-03-17T00:00:00Z"/>
        <d v="2026-03-19T00:00:00Z"/>
        <d v="2026-03-25T00:00:00Z"/>
        <d v="2026-03-27T00:00:00Z"/>
        <d v="2026-03-28T00:00:00Z"/>
        <d v="2026-03-30T00:00:00Z"/>
        <d v="2026-04-06T00:00:00Z"/>
        <d v="2026-04-07T00:00:00Z"/>
        <d v="2026-04-08T00:00:00Z"/>
        <d v="2026-04-11T00:00:00Z"/>
        <d v="2026-04-17T00:00:00Z"/>
        <d v="2026-04-18T00:00:00Z"/>
        <d v="2026-04-20T00:00:00Z"/>
        <d v="2026-04-23T00:00:00Z"/>
        <d v="2026-04-28T00:00:00Z"/>
        <d v="2026-05-02T00:00:00Z"/>
        <d v="2026-05-04T00:00:00Z"/>
        <d v="2026-05-06T00:00:00Z"/>
        <d v="2026-05-07T00:00:00Z"/>
        <d v="2026-05-11T00:00:00Z"/>
        <d v="2026-05-12T00:00:00Z"/>
        <d v="2026-05-13T00:00:00Z"/>
        <d v="2026-05-16T00:00:00Z"/>
        <d v="2026-05-19T00:00:00Z"/>
        <d v="2026-05-21T00:00:00Z"/>
        <d v="2026-05-22T00:00:00Z"/>
        <d v="2026-05-23T00:00:00Z"/>
        <d v="2026-05-26T00:00:00Z"/>
        <d v="2026-05-29T00:00:00Z"/>
        <d v="2026-05-30T00:00:00Z"/>
        <d v="2026-06-01T00:00:00Z"/>
        <d v="2026-06-02T00:00:00Z"/>
        <d v="2026-06-03T00:00:00Z"/>
        <d v="2026-06-06T00:00:00Z"/>
        <d v="2026-06-08T00:00:00Z"/>
        <d v="2026-06-10T00:00:00Z"/>
        <d v="2026-06-11T00:00:00Z"/>
        <d v="2026-06-13T00:00:00Z"/>
        <d v="2026-06-15T00:00:00Z"/>
        <d v="2026-06-19T00:00:00Z"/>
        <d v="2026-06-22T00:00:00Z"/>
        <d v="2026-06-25T00:00:00Z"/>
        <d v="2026-06-26T00:00:00Z"/>
        <d v="2026-07-01T00:00:00Z"/>
        <d v="2026-07-02T00:00:00Z"/>
        <d v="2026-07-06T00:00:00Z"/>
        <d v="2026-07-08T00:00:00Z"/>
        <d v="2026-07-09T00:00:00Z"/>
        <d v="2026-07-13T00:00:00Z"/>
        <d v="2026-07-14T00:00:00Z"/>
        <d v="2026-07-16T00:00:00Z"/>
        <d v="2026-07-17T00:00:00Z"/>
        <d v="2026-07-24T00:00:00Z"/>
        <d v="2026-07-28T00:00:00Z"/>
        <d v="2026-08-01T00:00:00Z"/>
        <d v="2026-08-03T00:00:00Z"/>
        <d v="2026-08-04T00:00:00Z"/>
        <d v="2026-08-06T00:00:00Z"/>
        <d v="2026-08-07T00:00:00Z"/>
        <d v="2026-08-11T00:00:00Z"/>
        <d v="2026-08-13T00:00:00Z"/>
        <d v="2026-08-14T00:00:00Z"/>
        <d v="2026-08-21T00:00:00Z"/>
        <d v="2026-08-22T00:00:00Z"/>
        <d v="2026-08-24T00:00:00Z"/>
        <d v="2026-08-26T00:00:00Z"/>
        <d v="2026-08-27T00:00:00Z"/>
        <d v="2026-08-29T00:00:00Z"/>
        <d v="2026-09-01T00:00:00Z"/>
        <d v="2026-09-03T00:00:00Z"/>
        <d v="2026-09-04T00:00:00Z"/>
        <d v="2026-09-10T00:00:00Z"/>
        <d v="2026-09-11T00:00:00Z"/>
        <d v="2026-09-12T00:00:00Z"/>
        <d v="2026-09-14T00:00:00Z"/>
        <d v="2026-09-16T00:00:00Z"/>
        <d v="2026-09-17T00:00:00Z"/>
        <d v="2026-09-19T00:00:00Z"/>
        <d v="2026-09-21T00:00:00Z"/>
        <d v="2026-09-22T00:00:00Z"/>
        <d v="2026-09-24T00:00:00Z"/>
        <m/>
      </sharedItems>
    </cacheField>
    <cacheField name="Date Invoice" numFmtId="167">
      <sharedItems containsNonDate="0" containsDate="1" containsString="0" containsBlank="1">
        <d v="2025-01-02T00:00:00Z"/>
        <d v="2025-01-03T00:00:00Z"/>
        <d v="2025-01-04T00:00:00Z"/>
        <d v="2025-01-06T00:00:00Z"/>
        <d v="2025-01-07T00:00:00Z"/>
        <d v="2025-01-08T00:00:00Z"/>
        <d v="2025-01-14T00:00:00Z"/>
        <d v="2025-01-16T00:00:00Z"/>
        <d v="2025-01-18T00:00:00Z"/>
        <d v="2025-01-20T00:00:00Z"/>
        <d v="2025-01-21T00:00:00Z"/>
        <d v="2025-01-22T00:00:00Z"/>
        <d v="2025-01-24T00:00:00Z"/>
        <d v="2025-01-30T00:00:00Z"/>
        <d v="2025-01-31T00:00:00Z"/>
        <d v="2025-02-01T00:00:00Z"/>
        <d v="2025-02-03T00:00:00Z"/>
        <d v="2025-02-04T00:00:00Z"/>
        <d v="2025-02-06T00:00:00Z"/>
        <d v="2025-02-12T00:00:00Z"/>
        <d v="2025-02-13T00:00:00Z"/>
        <d v="2025-02-15T00:00:00Z"/>
        <d v="2025-02-18T00:00:00Z"/>
        <d v="2025-02-19T00:00:00Z"/>
        <d v="2025-02-20T00:00:00Z"/>
        <d v="2025-02-21T00:00:00Z"/>
        <d v="2025-02-22T00:00:00Z"/>
        <d v="2025-02-24T00:00:00Z"/>
        <d v="2025-02-25T00:00:00Z"/>
        <d v="2025-02-26T00:00:00Z"/>
        <d v="2025-02-27T00:00:00Z"/>
        <d v="2025-03-01T00:00:00Z"/>
        <d v="2025-03-03T00:00:00Z"/>
        <d v="2025-03-04T00:00:00Z"/>
        <d v="2025-03-05T00:00:00Z"/>
        <d v="2025-03-06T00:00:00Z"/>
        <d v="2025-03-08T00:00:00Z"/>
        <d v="2025-03-10T00:00:00Z"/>
        <d v="2025-03-12T00:00:00Z"/>
        <d v="2025-03-13T00:00:00Z"/>
        <d v="2025-03-14T00:00:00Z"/>
        <d v="2025-03-15T00:00:00Z"/>
        <d v="2025-03-17T00:00:00Z"/>
        <d v="2025-03-18T00:00:00Z"/>
        <d v="2025-03-19T00:00:00Z"/>
        <d v="2025-03-21T00:00:00Z"/>
        <d v="2025-03-22T00:00:00Z"/>
        <d v="2025-03-24T00:00:00Z"/>
        <d v="2025-03-25T00:00:00Z"/>
        <d v="2025-03-26T00:00:00Z"/>
        <d v="2025-03-27T00:00:00Z"/>
        <d v="2025-04-07T00:00:00Z"/>
        <d v="2025-04-09T00:00:00Z"/>
        <d v="2025-04-10T00:00:00Z"/>
        <d v="2025-04-12T00:00:00Z"/>
        <d v="2025-04-14T00:00:00Z"/>
        <d v="2025-04-15T00:00:00Z"/>
        <d v="2025-04-16T00:00:00Z"/>
        <d v="2025-04-17T00:00:00Z"/>
        <d v="2025-04-19T00:00:00Z"/>
        <d v="2025-04-22T00:00:00Z"/>
        <d v="2025-04-23T00:00:00Z"/>
        <d v="2025-04-24T00:00:00Z"/>
        <d v="2025-04-28T00:00:00Z"/>
        <d v="2025-04-30T00:00:00Z"/>
        <d v="2025-05-02T00:00:00Z"/>
        <d v="2025-05-09T00:00:00Z"/>
        <d v="2025-05-10T00:00:00Z"/>
        <d v="2025-05-13T00:00:00Z"/>
        <d v="2025-05-16T00:00:00Z"/>
        <d v="2025-05-17T00:00:00Z"/>
        <d v="2025-05-20T00:00:00Z"/>
        <d v="2025-05-21T00:00:00Z"/>
        <d v="2025-05-22T00:00:00Z"/>
        <d v="2025-05-23T00:00:00Z"/>
        <d v="2025-05-26T00:00:00Z"/>
        <d v="2025-06-04T00:00:00Z"/>
        <d v="2025-06-09T00:00:00Z"/>
        <d v="2025-06-10T00:00:00Z"/>
        <d v="2025-06-11T00:00:00Z"/>
        <d v="2025-06-12T00:00:00Z"/>
        <d v="2025-06-13T00:00:00Z"/>
        <d v="2025-06-17T00:00:00Z"/>
        <d v="2025-06-18T00:00:00Z"/>
        <d v="2025-06-21T00:00:00Z"/>
        <d v="2025-06-23T00:00:00Z"/>
        <d v="2025-06-26T00:00:00Z"/>
        <d v="2025-07-02T00:00:00Z"/>
        <d v="2025-07-03T00:00:00Z"/>
        <d v="2025-07-04T00:00:00Z"/>
        <d v="2025-07-08T00:00:00Z"/>
        <d v="2025-07-09T00:00:00Z"/>
        <d v="2025-07-12T00:00:00Z"/>
        <d v="2025-07-14T00:00:00Z"/>
        <d v="2025-07-15T00:00:00Z"/>
        <d v="2025-07-21T00:00:00Z"/>
        <d v="2025-07-22T00:00:00Z"/>
        <d v="2025-07-23T00:00:00Z"/>
        <d v="2025-07-24T00:00:00Z"/>
        <d v="2025-07-25T00:00:00Z"/>
        <d v="2025-07-28T00:00:00Z"/>
        <d v="2025-07-31T00:00:00Z"/>
        <d v="2025-08-01T00:00:00Z"/>
        <d v="2025-08-07T00:00:00Z"/>
        <d v="2025-08-08T00:00:00Z"/>
        <d v="2025-08-09T00:00:00Z"/>
        <d v="2025-08-12T00:00:00Z"/>
        <d v="2025-08-13T00:00:00Z"/>
        <d v="2025-08-14T00:00:00Z"/>
        <d v="2025-08-21T00:00:00Z"/>
        <d v="2025-08-25T00:00:00Z"/>
        <d v="2025-08-28T00:00:00Z"/>
        <d v="2025-09-01T00:00:00Z"/>
        <d v="2025-09-02T00:00:00Z"/>
        <d v="2025-09-03T00:00:00Z"/>
        <d v="2025-09-06T00:00:00Z"/>
        <d v="2025-09-08T00:00:00Z"/>
        <d v="2025-09-09T00:00:00Z"/>
        <d v="2025-09-10T00:00:00Z"/>
        <d v="2025-09-13T00:00:00Z"/>
        <d v="2025-09-20T00:00:00Z"/>
        <d v="2025-09-22T00:00:00Z"/>
        <d v="2025-09-23T00:00:00Z"/>
        <d v="2025-09-24T00:00:00Z"/>
        <d v="2025-09-26T00:00:00Z"/>
        <d v="2025-09-27T00:00:00Z"/>
        <d v="2025-09-29T00:00:00Z"/>
        <d v="2025-09-30T00:00:00Z"/>
        <d v="2025-10-01T00:00:00Z"/>
        <d v="2025-10-03T00:00:00Z"/>
        <d v="2025-10-06T00:00:00Z"/>
        <d v="2025-10-09T00:00:00Z"/>
        <d v="2025-10-14T00:00:00Z"/>
        <d v="2025-10-15T00:00:00Z"/>
        <d v="2025-10-16T00:00:00Z"/>
        <d v="2025-10-17T00:00:00Z"/>
        <d v="2025-10-20T00:00:00Z"/>
        <d v="2025-10-21T00:00:00Z"/>
        <d v="2025-10-28T00:00:00Z"/>
        <d v="2025-10-29T00:00:00Z"/>
        <d v="2025-10-31T00:00:00Z"/>
        <d v="2025-10-30T00:00:00Z"/>
        <d v="2025-11-05T00:00:00Z"/>
        <d v="2025-11-06T00:00:00Z"/>
        <d v="2025-11-11T00:00:00Z"/>
        <d v="2025-11-12T00:00:00Z"/>
        <d v="2025-11-13T00:00:00Z"/>
        <d v="2025-11-17T00:00:00Z"/>
        <d v="2025-11-18T00:00:00Z"/>
        <d v="2025-11-19T00:00:00Z"/>
        <d v="2025-11-25T00:00:00Z"/>
        <d v="2025-11-26T00:00:00Z"/>
        <d v="2025-11-27T00:00:00Z"/>
        <d v="2025-11-29T00:00:00Z"/>
        <d v="2025-11-28T00:00:00Z"/>
        <d v="2025-12-03T00:00:00Z"/>
        <d v="2025-12-05T00:00:00Z"/>
        <d v="2025-12-08T00:00:00Z"/>
        <d v="2025-12-10T00:00:00Z"/>
        <d v="2025-12-09T00:00:00Z"/>
        <d v="2025-12-11T00:00:00Z"/>
        <d v="2025-12-15T00:00:00Z"/>
        <d v="2025-12-16T00:00:00Z"/>
        <d v="2025-12-18T00:00:00Z"/>
        <d v="2025-12-22T00:00:00Z"/>
        <d v="2025-12-23T00:00:00Z"/>
        <d v="2025-12-24T00:00:00Z"/>
        <d v="2025-12-27T00:00:00Z"/>
        <d v="2025-12-29T00:00:00Z"/>
        <d v="2025-12-30T00:00:00Z"/>
        <d v="2026-01-02T00:00:00Z"/>
        <d v="2025-12-31T00:00:00Z"/>
        <d v="2026-01-05T00:00:00Z"/>
        <d v="2026-01-06T00:00:00Z"/>
        <d v="2026-01-09T00:00:00Z"/>
        <d v="2026-01-13T00:00:00Z"/>
        <d v="2026-01-14T00:00:00Z"/>
        <d v="2026-01-17T00:00:00Z"/>
        <d v="2026-01-19T00:00:00Z"/>
        <d v="2026-01-21T00:00:00Z"/>
        <d v="2026-01-22T00:00:00Z"/>
        <d v="2026-01-27T00:00:00Z"/>
        <d v="2026-01-28T00:00:00Z"/>
        <d v="2026-01-30T00:00:00Z"/>
        <d v="2026-01-31T00:00:00Z"/>
        <d v="2026-02-02T00:00:00Z"/>
        <d v="2026-02-03T00:00:00Z"/>
        <d v="2026-02-05T00:00:00Z"/>
        <d v="2026-02-06T00:00:00Z"/>
        <d v="2026-02-12T00:00:00Z"/>
        <d v="2026-02-16T00:00:00Z"/>
        <d v="2026-02-14T00:00:00Z"/>
        <d v="2026-02-25T00:00:00Z"/>
        <d v="2026-02-28T00:00:00Z"/>
        <d v="2026-03-02T00:00:00Z"/>
        <d v="2026-03-03T00:00:00Z"/>
        <d v="2026-03-05T00:00:00Z"/>
        <d v="2026-03-09T00:00:00Z"/>
        <d v="2026-03-11T00:00:00Z"/>
        <d v="2026-03-10T00:00:00Z"/>
        <d v="2026-03-14T00:00:00Z"/>
        <d v="2026-03-16T00:00:00Z"/>
        <d v="2026-03-17T00:00:00Z"/>
        <d v="2026-03-18T00:00:00Z"/>
        <d v="2026-03-25T00:00:00Z"/>
        <d v="2026-03-27T00:00:00Z"/>
        <d v="2026-03-26T00:00:00Z"/>
        <d v="2026-03-30T00:00:00Z"/>
        <d v="2026-04-06T00:00:00Z"/>
        <d v="2026-04-07T00:00:00Z"/>
        <d v="2026-04-08T00:00:00Z"/>
        <d v="2026-04-17T00:00:00Z"/>
        <d v="2026-04-20T00:00:00Z"/>
        <d v="2026-04-23T00:00:00Z"/>
        <d v="2026-04-28T00:00:00Z"/>
        <d v="2026-05-02T00:00:00Z"/>
        <d v="2026-04-27T00:00:00Z"/>
        <d v="2026-05-01T00:00:00Z"/>
        <d v="2026-05-05T00:00:00Z"/>
        <d v="2026-05-06T00:00:00Z"/>
        <d v="2026-05-07T00:00:00Z"/>
        <d v="2026-05-11T00:00:00Z"/>
        <d v="2026-05-12T00:00:00Z"/>
        <d v="2026-05-13T00:00:00Z"/>
        <d v="2026-05-16T00:00:00Z"/>
        <d v="2026-05-19T00:00:00Z"/>
        <d v="2026-05-21T00:00:00Z"/>
        <d v="2026-05-23T00:00:00Z"/>
        <d v="2026-05-25T00:00:00Z"/>
        <d v="2026-05-28T00:00:00Z"/>
        <d v="2026-05-30T00:00:00Z"/>
        <d v="2026-06-01T00:00:00Z"/>
        <d v="2026-06-03T00:00:00Z"/>
        <d v="2026-06-05T00:00:00Z"/>
        <d v="2026-06-06T00:00:00Z"/>
        <d v="2026-06-08T00:00:00Z"/>
        <d v="2026-06-09T00:00:00Z"/>
        <d v="2026-06-10T00:00:00Z"/>
        <d v="2026-06-12T00:00:00Z"/>
        <d v="2026-06-13T00:00:00Z"/>
        <d v="2026-07-15T00:00:00Z"/>
        <d v="2026-06-18T00:00:00Z"/>
        <d v="2026-06-22T00:00:00Z"/>
        <d v="2026-06-25T00:00:00Z"/>
        <d v="2026-06-26T00:00:00Z"/>
        <d v="2026-06-30T00:00:00Z"/>
        <d v="2026-07-01T00:00:00Z"/>
        <d v="2026-07-04T00:00:00Z"/>
        <d v="2026-07-08T00:00:00Z"/>
        <d v="2026-07-13T00:00:00Z"/>
        <d v="2026-07-09T00:00:00Z"/>
        <d v="2026-07-16T00:00:00Z"/>
        <d v="2026-07-17T00:00:00Z"/>
        <d v="2026-07-14T00:00:00Z"/>
        <d v="2026-07-21T00:00:00Z"/>
        <d v="2026-07-23T00:00:00Z"/>
        <d v="2026-07-28T00:00:00Z"/>
        <d v="2026-08-01T00:00:00Z"/>
        <d v="2026-08-03T00:00:00Z"/>
        <d v="2026-08-04T00:00:00Z"/>
        <d v="2026-08-06T00:00:00Z"/>
        <d v="2026-08-07T00:00:00Z"/>
        <d v="2026-08-10T00:00:00Z"/>
        <d v="2026-08-13T00:00:00Z"/>
        <d v="2026-08-21T00:00:00Z"/>
        <d v="2026-08-22T00:00:00Z"/>
        <d v="2026-08-24T00:00:00Z"/>
        <d v="2026-08-26T00:00:00Z"/>
        <d v="2026-08-27T00:00:00Z"/>
        <d v="2026-08-29T00:00:00Z"/>
        <d v="2026-09-01T00:00:00Z"/>
        <d v="2026-09-03T00:00:00Z"/>
        <d v="2026-09-02T00:00:00Z"/>
        <d v="2026-09-04T00:00:00Z"/>
        <d v="2026-09-09T00:00:00Z"/>
        <d v="2026-09-10T00:00:00Z"/>
        <d v="2026-09-11T00:00:00Z"/>
        <d v="2026-09-12T00:00:00Z"/>
        <d v="2026-09-14T00:00:00Z"/>
        <d v="2026-09-16T00:00:00Z"/>
        <d v="2026-09-17T00:00:00Z"/>
        <d v="2026-09-19T00:00:00Z"/>
        <d v="2026-09-22T00:00:00Z"/>
        <d v="2026-09-23T00:00:00Z"/>
        <m/>
      </sharedItems>
      <fieldGroup par="15"/>
    </cacheField>
    <cacheField name="Distributor" numFmtId="0">
      <sharedItems containsBlank="1">
        <s v="TS. SUDIRMAN/NAUFAL"/>
        <s v="CV. MULTIPRIMA INTI NUSANTARA"/>
        <s v="KHARISMA MAKMUR ABADI/PAK DADI"/>
        <s v="PT. INDOTYRE MANDIRI SENTOSA"/>
        <s v="PT. RODA GAMA"/>
        <s v="PT. Astra Otoparts Tbk"/>
        <s v="PT. RODA ARTHA"/>
        <s v="CV. MEKAR BARU/CI NOVI"/>
        <s v="SAMUDERA GEMILANG/PAK KEMAN"/>
        <s v="PT. VETRON SAILUN"/>
        <s v="MAJU BERSAMA MOTOR/ANDRI"/>
        <s v="PT. DIRGAPUTRA EKAPRATAMA"/>
        <s v="CV. KHARISMA TIARA ABADI/DICKY"/>
        <s v="PT BANCORE SENTRAL UTAMA"/>
        <s v="PT. DAYTECH TETRA SINDO"/>
        <s v="PT. Prestasi Pelumasindo Unggul"/>
        <s v="PT. Limas Raga Inti"/>
        <s v="PT. Arta Batrindo"/>
        <s v="Pak Wang Pentil"/>
        <s v="SURYA LESTARI/PAK IWAN"/>
        <m/>
      </sharedItems>
    </cacheField>
    <cacheField name="TAX">
      <sharedItems containsBlank="1" containsMixedTypes="1" containsNumber="1" containsInteger="1">
        <s v="1"/>
        <s v="0"/>
        <n v="1.0"/>
        <n v="0.0"/>
        <m/>
        <s v="-"/>
      </sharedItems>
    </cacheField>
    <cacheField name="Invoice">
      <sharedItems containsDate="1" containsBlank="1" containsMixedTypes="1">
        <s v="SLS-SDR-2500012"/>
        <s v="SLS-SDR-2500006"/>
        <s v="SLS-SDR-2500007"/>
        <s v="SLS-SDR-2500014"/>
        <s v="SLS-SDR-2500054"/>
        <s v="25A03380"/>
        <s v="FJ/PST/BDG/25/01/0021"/>
        <s v="FKB250100037"/>
        <s v="33"/>
        <s v="FJ/PST/BDG/25/01/0047"/>
        <s v="FJ/PST/BDG/25/01/0107"/>
        <s v="4009578301"/>
        <s v="SI/BDG/01/2025/00033"/>
        <s v="25000847"/>
        <s v="25000849"/>
        <s v="FJ/PST/BDG/25/01/0175"/>
        <s v="25000989"/>
        <s v="FJ/HO/01/25/00373"/>
        <s v="10781-250008"/>
        <s v="menyusl"/>
        <s v="SI/BDG/01/2025/00052"/>
        <s v="FJ/PST/BDG/25/01/0249"/>
        <s v="FJ/PST/BDG/25/01/0274"/>
        <s v="25001443"/>
        <s v="FKB250200006"/>
        <s v="R43-030225001"/>
        <s v="03-FJ2501000779"/>
        <s v="FJ/PST/BDG/25/02/0012"/>
        <s v="FJ/PST/BDG/25/02/0023"/>
        <s v="0"/>
        <s v="SLS-SDR-2501079"/>
        <s v="SLS-SDR-2501337"/>
        <s v="FJ/HO/02/25/00211"/>
        <s v="SLS-SDR-2501371"/>
        <s v="25B03562"/>
        <s v="FJ/PST/BDG/25/02/0124"/>
        <s v="25002133"/>
        <s v="SI/BDG/02/2025/00025"/>
        <s v="SI/BDG/02/2025/00026"/>
        <s v="SLS-SDR-2501524"/>
        <s v="SLS-SDR-2501523"/>
        <s v="FJ/PST/BDG/25/02/0190"/>
        <s v="FJ/PST/BDG/25/02/0194"/>
        <s v="02/2025/000333"/>
        <s v="25002483"/>
        <s v="FJ/HO/02/25/00414"/>
        <s v="SLS-SDR-2501721"/>
        <s v="FJ/PST/BDG/25/02/0243"/>
        <s v="FJ/PST/BDG/25/02/0255"/>
        <s v="FJ/PST/BDG/25/02/0259"/>
        <s v="SLS-SDR-2501959"/>
        <s v="FJ/HO/03/25/00028"/>
        <s v="FJ/HO/03/25/00029"/>
        <s v="SI/BDG/02/2025/00041"/>
        <s v="2500000525"/>
        <s v="03-FJ2502002809"/>
        <s v="M000985"/>
        <s v="FJ/PST/BDG/25/03/0043"/>
        <s v="SLS-SDR-2502147"/>
        <s v="M000240"/>
        <s v="25003323"/>
        <s v="SLS-SDR-2502392"/>
        <s v="25003412"/>
        <s v="FJ/PST/BDG/2503/0126"/>
        <s v="25003486"/>
        <s v="FJ/PST/BDG/2503/0134"/>
        <s v="FJ/PST/BDG/25/03/0147"/>
        <s v="25003523"/>
        <s v="SLS-SDR-25002558"/>
        <s v="SLS-SDR-25002559"/>
        <s v="SLS-SDR-25002560"/>
        <s v="4009773492"/>
        <s v="25003737"/>
        <s v="25003774"/>
        <s v="03-FJ2503003845"/>
        <s v="178-0001965"/>
        <s v="2500000709"/>
        <s v="25003975"/>
        <s v="M000278"/>
        <s v="25004051"/>
        <s v="SLS-SDR-2502904"/>
        <s v="SLS-SDR-2502905"/>
        <s v="SLS-SDR-2502916"/>
        <s v="FJ/25/03/0331"/>
        <s v="FJ/25/03/0332"/>
        <s v="25c03745"/>
        <s v="FJ/PST/BDG/25/03/0358"/>
        <s v="-"/>
        <s v="25004499"/>
        <s v="SI/BDG/04/2025/00005"/>
        <s v="FJ/PST/BDG/25/04/0058"/>
        <s v="M001150"/>
        <s v="FJ/HO/04/25/00134"/>
        <s v="SLS-SDR-2503406"/>
        <s v="SI/BDG/04/2025/00016"/>
        <s v="SLS-SDR-2503486"/>
        <s v="1"/>
        <s v="2"/>
        <s v="1992"/>
        <s v="2043"/>
        <s v="3"/>
        <s v="4"/>
        <s v="5"/>
        <s v="SLS-SDR-2503707"/>
        <s v="SLS-SDR-2503708"/>
        <s v="SLS-SDR-2503709"/>
        <s v="FJ/PST/BDG/25/04/0280"/>
        <s v="FJ/PST/BDG/25/04/0281"/>
        <s v="10781250041"/>
        <s v="SI/BDG/05/22025/00004"/>
        <s v="FJ/HO/05/25/00003"/>
        <s v="FJ/HO/05/25/00004"/>
        <d v="2025-05-09T00:00:00Z"/>
        <s v="M000337"/>
        <s v="SLS-SDR-2504247"/>
        <s v="SLS-SDR-2504248"/>
        <s v="0094/HK/05/25"/>
        <s v="M000342"/>
        <s v="FJ/PST/BDG/25/05/0078"/>
        <s v="SI/BDG/05/2025/00046"/>
        <s v="FJ/PST/BDG/25/05/0081"/>
        <n v="2.5006625E7"/>
        <n v="2.5006628E7"/>
        <s v="FJ/HO/05/25/00360"/>
        <s v="FJ/HO/05/25/00361"/>
        <s v="FJ2505006885"/>
        <s v="SLS-SDR-2504651"/>
        <s v="SLS-SDR-2504715"/>
        <s v="SLS-SDR-2504717"/>
        <s v="SLS-SDR-2504718"/>
        <s v="25006928"/>
        <n v="2.5006929E7"/>
        <s v="FJ/PST/BDG/25/05/139"/>
        <s v="0023/HK/06/25"/>
        <s v="SI/BDG/06/2025/00013"/>
        <s v="10183-250322"/>
        <n v="0.0"/>
        <s v="03-FJ2506008075"/>
        <n v="2.5007588E7"/>
        <n v="2.5007589E7"/>
        <m/>
        <s v="FJ/HO/06/25/00267"/>
        <s v="FJ/HO/06/25/00294"/>
        <s v="FJ/HO/06/25/00295"/>
        <s v="FJ/PST/BDG/25/06/0150"/>
        <s v="FJ/PST/BDG/25/06/0159"/>
        <s v="FJ/PST/BDG/25/06/0160"/>
        <s v="25F4027"/>
        <s v="FJ/PST/BDG/25/06/0191"/>
        <s v="SLS-SDR-2505642"/>
        <s v="M001506"/>
        <s v="FJ/PST/BDG/25/06/0203"/>
        <s v="SI/BDG/06/2025/00054"/>
        <s v="FJ/PST/BDG/25/06/0245"/>
        <s v="---"/>
        <s v="FJ/HO/07/25/00056"/>
        <s v="FJ/HO/07/25/00055"/>
        <s v="SLS-SDR-2506005"/>
        <s v="SLS-SDR-2506006"/>
        <s v="SI/BDG/07/2025/00008"/>
        <s v="SI/BDG/07/2025/00010"/>
        <n v="8072025.0"/>
        <n v="2.5009007E7"/>
        <s v="SLS-SDR-2506204"/>
        <s v="M001609"/>
        <n v="2.5009216E7"/>
        <s v="FJ/PST/BDG/25/07/0118"/>
        <n v="2.5009357E7"/>
        <s v="FJ/HO/07/25/00438"/>
        <s v="FJ/HO/07/25/00439"/>
        <d v="2025-07-22T00:00:00Z"/>
        <d v="2025-07-23T00:00:00Z"/>
        <s v="FJ/PST/BDG/25/07/0205"/>
        <s v="FJ/PST/BDG/25/07/0206"/>
        <s v="SLS-SDR-2506704"/>
        <n v="2.500009403E9"/>
        <n v="2.500009404E9"/>
        <s v="SLS-SDR-2506742"/>
        <n v="2.5010034E7"/>
        <s v="FJ/PST/BDG/15/07/0248"/>
        <s v="FJ/PST/BDG/25/07/0269"/>
        <s v="SLS-SDR-2506941"/>
        <s v="SI/BDG/08/2025/00004"/>
        <s v="0040/HK/08/25"/>
        <s v="SLS=SDR=2507152"/>
        <s v="FJ/HO/08/25/00120"/>
        <s v="FJ/HO/08/25/00121"/>
        <s v="0072/HK/08/25"/>
        <s v="0074/HK/08/25"/>
        <s v="SLS-SDR-2507303"/>
        <n v="2.5010708E7"/>
        <s v="FKB250800087"/>
        <s v="SLS-SDR-2507334"/>
        <s v="SLS-SDR-2507554"/>
        <n v="2.5082025E7"/>
        <n v="2.5011245E7"/>
        <s v="SLS-SDR-2507799"/>
        <s v="FJ/PST/BDG/25/09/0001"/>
        <s v="FJ/PST/BDG/25/09/0002"/>
        <s v="SLS-SDR-2507894"/>
        <s v="SLS-SDR-2507895"/>
        <s v="FJ/PST/BDG/25/09/0006"/>
        <n v="2.5011573E7"/>
        <s v="SLS=SDR-2507993"/>
        <s v="SLS=SDR-2507994"/>
        <s v="SLS=SDR-2507995"/>
        <d v="2025-09-03T00:00:00Z"/>
        <s v="SLS-SDR-2508088"/>
        <n v="2.5011814E7"/>
        <n v="2.5011815E7"/>
        <n v="2.5011856E7"/>
        <s v="SI/BDG/09/2025/00037"/>
        <n v="2.5012075E7"/>
        <s v="SLS-SDR-2508619"/>
        <n v="2.5012435E7"/>
        <s v="FJ/PST/BDG/25/09/0134"/>
        <s v="SLS-SDR-2508721"/>
        <s v="FJ/PST/BDG/25/09/0149"/>
        <s v="FJ/PST/BDG/25/09/0162"/>
        <s v="M002003"/>
        <n v="1.0"/>
        <n v="2.0"/>
        <s v="FJ/HO/09/25/00641"/>
        <s v="FJ/HO/09/25/00642"/>
        <s v="FJ/PST/BDG/25/10/006"/>
        <s v="SLS-SDR-2509129"/>
        <s v="IV2510000306"/>
        <s v="FJ/PST/BDG/25/10/0061"/>
        <n v="2.5013589E7"/>
        <s v="SLS-SDR-2509521"/>
        <s v="SLS-SDR-2509529"/>
        <s v="SLS-SDR-2509530"/>
        <s v="SLS-SDR-2509531"/>
        <s v="SLS-SDR-2509532"/>
        <s v="SLS-SDR-2509540"/>
        <s v="03-FJ2510016200"/>
        <s v="FJ/HO/10/25/00337"/>
        <s v="FJ/HO/10/25/00338"/>
        <s v="IV2510001190"/>
        <s v="FJ/HO/10/25/00355"/>
        <s v="FJ/PST/BDG/25/10/0138"/>
        <s v="SI/BDG/01/2025/00054"/>
        <s v="FJ/PST/BDG/25/10/0209"/>
        <s v="FJ/PST/BDG/25/10/0210"/>
        <s v="FJ/PST/BDG/25/10/0231"/>
        <s v="IV2510002473"/>
        <s v="SI/BDG/10/2025/00076"/>
        <s v="ARINV/2025/005011"/>
        <d v="2025-11-05T00:00:00Z"/>
        <s v="25K94838"/>
        <s v="FJ/HO/11/25/00204"/>
        <s v="FJ/PST/BDG/25/11/0091"/>
        <s v="IV2511000826"/>
        <s v="SI/BDG/11/2025/0035"/>
        <s v="10781=250087"/>
        <s v="FJ/PST/BDG/25/11/0118"/>
        <s v="03-FJ2511018035"/>
        <s v="FJ/PST/BDG/25/11/0136"/>
        <s v="FJ/HO/11/25/00380"/>
        <s v="FJ/HO/11/25/00381"/>
        <s v="SLS-SDR-2510845"/>
        <s v="SLS-SDR-2510846"/>
        <s v="10183-250683"/>
        <n v="2.5015498E7"/>
        <s v="SI/BDG/11/2025/00060"/>
        <s v="FJ/PST/BDG/25/11/0220"/>
        <s v="51C0039742"/>
        <n v="2.1112025E7"/>
        <s v="FJ/HO/11/25/00747"/>
        <s v="FJ/HO/11/25/00746"/>
        <d v="2025-11-29T00:00:00Z"/>
        <s v="IV2511002467"/>
        <s v="ARINV/2025/005691"/>
        <s v="M002356"/>
        <s v="FJ/PST/BDG/25/12/0028"/>
        <s v="25l04996"/>
        <s v="SLS-SDR-2511582"/>
        <s v="SLS-SDR-2511583"/>
        <s v="M002379"/>
        <s v="FJ/PST/BDG/25/12/0065"/>
        <s v="SLS-SDR-2511663"/>
        <s v="SLS-SDR-2511664"/>
        <s v="SLS-SDR-2511665"/>
        <s v="SLS-SDR-2511693"/>
        <s v="SI/BDG/12/2025/00024"/>
        <s v="03-FJ2512020086"/>
        <s v="SLS-SDR-2511916"/>
        <n v="2.5016704E7"/>
        <n v="2.5016802E7"/>
        <s v="SLS-SDR-2511983"/>
        <s v="SLS-SDR-2511982"/>
        <s v="IV2512001584"/>
        <n v="2.5017128E7"/>
        <n v="2.5017145E7"/>
        <s v="FJ/PST/BDG/25/12/0193"/>
        <s v="FJ/HO/12/25/00687"/>
        <s v="FJ/HO/12/25/00688"/>
        <s v="SI/BDG/12/2025/00054"/>
        <s v="SLS-SDR-2512487"/>
        <s v="M002504"/>
        <s v="M002514"/>
        <s v="FJ/PST/BDG/26/01/0001"/>
        <s v="IV2512003015"/>
        <s v="FJ/PST/BDG/26/01/0027"/>
        <s v="FJ/HO/01/26/00102"/>
        <n v="9.01202501E8"/>
        <n v="9.01202502E8"/>
        <s v="FJ/PST/BDG/26/01/0079"/>
        <s v="SLS-SDR-2600358"/>
        <s v="26A05155"/>
        <s v="FJ/PST/BDG/26/01/0087"/>
        <n v="1.3012026E7"/>
        <s v="SI/BDG/01/2026/00015"/>
        <s v="SLS-SDR-2600578"/>
        <s v="SLS-SDR-2600698"/>
        <s v="SLS-SDR-2600699"/>
        <s v="SLS-SDR-2600700"/>
        <s v="SLS-SDR-2600753"/>
        <s v="FJ/HO/01/26/00422"/>
        <s v="FJ/HO/01/26/00432"/>
        <s v="SI/BDG/01/2026/0035"/>
        <s v="SI/BDG/01/2026/00521"/>
        <s v="FJ/PST/BDG/26/01/0207"/>
        <s v="FJ/PST/BDG/26/01/0208"/>
        <s v="FJ/PST/BDG/26/01/0209"/>
        <n v="2.6001365E7"/>
        <n v="2.6001441E7"/>
        <s v="FJ/HO/01/26/00720"/>
        <s v="iv2601002183"/>
        <s v="FJ/PST/BDG/26/01/0267"/>
        <s v="FJ/PST/BDG/26/02/0004"/>
        <s v="FJ/PST/BDG/26/02/0010"/>
        <s v="SI/BDG/02/2026/00001"/>
        <s v="SLS-SDR-2601498"/>
        <s v="FJ/HO/02/26/00114"/>
        <s v="FJ/HO/02/26/00115"/>
        <s v="FJ/HO/02/26/00158"/>
        <s v="SI/BDG/02/2026/00088"/>
        <s v="SI/BDG/"/>
        <s v="FJ/PST/BDG/26/02/151"/>
        <n v="2.6002529E7"/>
        <s v="SLS-SDR-2602118"/>
        <s v="M002788"/>
        <s v="03-FJ2602002521"/>
        <s v="03-FJ2602002520"/>
        <s v="SLS-SDR-2602124"/>
        <s v="SLS-SDR-2602125"/>
        <s v="SLS-SDR-2602126"/>
        <s v="IV2602000960"/>
        <s v="03-FJ2602003084"/>
        <s v="FJ/HO/02/26/00684"/>
        <s v="10181-260021"/>
        <s v="FJ/26/03/03/0013"/>
        <s v="FJ/HO/03/26/00133"/>
        <s v="FJ/HO/03/26/00134"/>
        <s v="SLS-SDR-2603216"/>
        <s v="SLS-SDR-2603129"/>
        <s v="SLS-SDR-2603130"/>
        <s v="M002939"/>
        <s v="IV2603000894"/>
        <s v="SI/BDG/03/2026/00154"/>
        <s v="M002972"/>
        <s v="bian"/>
        <s v="ibu"/>
        <s v="FJ/HO/03/26/00488"/>
        <s v="FJ/PST/BDG/26/03/0231"/>
        <n v="2.6004314E7"/>
        <n v="4.011376857E9"/>
        <s v="FJ/PST/BDG/26/03/0251"/>
        <n v="2.6004476E7"/>
        <s v="FJ/HO/03/26/00554"/>
        <s v="FJ/PST/BDG/26/03/0276"/>
        <s v="SLS-SDR-2604141"/>
        <s v="SLS-SDR-2604142"/>
        <s v="SLS-SDR-2604143"/>
        <s v="SLS-SDR-2604144"/>
        <s v="DO/BDG/04/2026/194"/>
        <n v="2.6001305E7"/>
        <s v="IV2604000147"/>
        <s v="FJ/PST/BDG/26/04/0109"/>
        <s v="FJ/PST/BDG/26/04/0110"/>
        <s v="FJ/PST/BDG/26/04/0112"/>
        <s v="FJ/PST/BDG/26/04/0114"/>
        <s v="FJ/PST/BDG/26/04/0147"/>
        <s v="FJ/PST/BDG/26/04/0178"/>
        <s v="FJ/PST/BDG/26/04/0180"/>
        <s v="SI/BDG/04/2026/00233"/>
        <s v="10781-260038"/>
        <s v="SLS-SDR-2605007"/>
        <n v="2.6005922E7"/>
        <s v="03-FJ2604006917"/>
        <s v="03-FJ2604007033"/>
        <s v="FJ/PST/BDG/26/05/0041"/>
        <s v="FJ/HO/05/26/00075"/>
        <s v="FJ/HO/05/26/00076"/>
        <s v="FJ/HO/05/26/0076"/>
        <s v="0049/hk/05/26"/>
        <s v="SLS-SDR-2605513"/>
        <s v="SLS-SDR-2605512"/>
        <s v="FJ/PST/BDG/26/05/0116"/>
        <s v="26E06067"/>
        <n v="4.011699289E9"/>
        <s v="SI/BDG/05/2026/00287"/>
        <s v="FJ/HO/05/26/00521"/>
        <s v="FJ/HO/05/26/00608"/>
        <s v="FJ/PST/BDG/26/05/0202"/>
        <s v="FJ/HO/05/26/00621"/>
        <n v="4.011778892E9"/>
        <s v="03-FJ2605008886"/>
        <s v="SLS-SDR-2606187"/>
        <s v="SLS-SDR-2606188"/>
        <s v="SI/BDG/06/2026/00311"/>
        <s v="FJ/HO/06/26/00148"/>
        <n v="2.6002469E7"/>
        <n v="2.6007799E7"/>
        <s v="FJ/PST/BDG/26/06/0076"/>
        <s v="ARINV/2026/002887"/>
        <s v="10183-260700"/>
        <s v="SLS-SDR-2606444"/>
        <s v="SLS-SDR-2606445"/>
        <n v="4.011843273E9"/>
        <s v="FJ/PST/BDG/26/06/0159"/>
        <n v="2.6008397E7"/>
        <n v="2.6008569E7"/>
        <s v="FJ/PST/BDG/26/06/0170"/>
        <s v="FJ/PST/BDG/26/06/0203"/>
        <s v="FJ/PST/BDG/26/06/0226"/>
        <s v="IV2606001887"/>
        <n v="2.600884E7"/>
        <s v="SI/BDG/07/2026/00383"/>
        <n v="2.600916E7"/>
        <n v="2.6009201E7"/>
        <n v="2.6009404E7"/>
        <n v="2.6009397E7"/>
        <s v="FJ/PST/BDG/26/07/0103"/>
        <s v="SI/BDG/07/2026/00396"/>
        <s v="IV2607001155"/>
        <s v="FJLS.260700432"/>
        <s v="FJ/HO/07/26/00533"/>
        <s v="FJ/HO/07/26/00532"/>
        <s v="SI/BDG/07/2026/00409"/>
        <s v="FJ.PST/BDG/26/08/0015"/>
        <s v="FJ/PST/BDG/26/08/0019"/>
        <s v="FJ/HO/08/26/00100"/>
        <s v="FJ/PST/BDG/26/08/036"/>
        <n v="2.6010514E7"/>
        <s v="IV2606000530"/>
        <s v="SI./BDG/08/2026/00443"/>
        <n v="2.6010659E7"/>
        <n v="2.60107E7"/>
        <s v="SI/BDG/08/2026/00460"/>
        <n v="2.6003623E7"/>
        <s v="01-240826"/>
        <s v="02-240826"/>
        <s v="10183-261087"/>
        <s v="FJ/HO/08/26/00417"/>
        <s v="FJ/HO/08/26/00416"/>
        <s v="FJSL.260800619"/>
        <s v="IV2608002320"/>
        <s v="FJ/PST/BDG/26/08/0186"/>
        <s v="FJ/HO/08/26/00471"/>
        <s v="FJ/PST/BDG/26/09/0002"/>
        <n v="2.6011463E7"/>
        <n v="2.6011504E7"/>
        <s v="SLS-SDR-2608990"/>
        <s v="SLS-SDR-2609006"/>
        <s v="SLS-SDR-2609007"/>
        <s v="SLS-SDR-2609008"/>
        <n v="2.6011759E7"/>
        <s v="FJ/HO/09/26/00205"/>
        <n v="2.6011859E7"/>
        <n v="4.012364192E9"/>
        <s v="IV2609001391"/>
        <n v="2.6012013E7"/>
        <s v="FJ/PST/BDG/26/09/0068"/>
        <s v="SLS-SDR-2609530"/>
        <s v="SLS-SDR-2609531"/>
        <s v="0213/HK/09/26"/>
        <s v="03-SO2609015231"/>
      </sharedItems>
    </cacheField>
    <cacheField name="Owned by">
      <sharedItems containsBlank="1" containsMixedTypes="1" containsNumber="1" containsInteger="1">
        <s v="IBU"/>
        <s v="BIAN"/>
        <n v="0.0"/>
        <s v="POLOSAN"/>
        <m/>
        <s v="non VAT"/>
      </sharedItems>
    </cacheField>
    <cacheField name="Column 7" numFmtId="165">
      <sharedItems containsBlank="1">
        <s v="Bridgestone 205/65 15 Turanza"/>
        <s v="Bridgestone 175/13 Duravis"/>
        <s v="Bridgestone 750/16 MRN"/>
        <s v="Bridgestone 750/15 MRD"/>
        <s v="Bridgestone 165/80 13 Ecopia"/>
        <s v="Bridgestone 185/70 14 Ecopia"/>
        <s v="Bridgestone 175/65 14 Ecopia"/>
        <s v="Bridgestone 165/13 Duravis"/>
        <s v="Bridgestone 185/65 15 Ecopia"/>
        <s v="Bridgestone 195/65 15 Ecopia"/>
        <s v="Bridgestone 205/65 15 Ecopia"/>
        <s v="Bridgestone 235/70 15 Dueler"/>
        <s v="G. YEAR 750/16 2020 HD"/>
        <s v="Dunlop 185/14 LT5"/>
        <s v="ACCELERA 215/35 18 SIGMA"/>
        <s v="Dunlop 215/65 16 ST20"/>
        <s v="Dunlop 185/80 14 SP TOURING"/>
        <s v="Dunlop 175/65 14 EC300"/>
        <s v="Dunlop 165/80 13 HIMEX"/>
        <s v="Dunlop 175/13 LT5"/>
        <s v="Aspira 750/16 Halus"/>
        <s v="Advance 750/16 GLG71A+"/>
        <s v="Advance 750/16 GL672D"/>
        <s v="Advance 750/16 k. tahu GL909A"/>
        <s v="BD 14 NYB"/>
        <s v="BD 16 GT"/>
        <s v="BD 15 GT"/>
        <s v="BD 14 GT"/>
        <s v="BD 13 GT"/>
        <s v="GT 600/13 8PR"/>
        <s v="GT 550/13 8PR"/>
        <s v="GT 750/15 12PR"/>
        <s v="GT 165/80 13 ECOTEC"/>
        <s v="Flap 15 GT"/>
        <s v="Flap 16 GT"/>
        <s v="GT 185/70 14 ECOTEC"/>
        <s v="GT 175/65 14 CHAMPIRO ECOTEC"/>
        <s v="GT 195/55 16 GTX PRO"/>
        <s v="GT 175/13 MAXMILLER"/>
        <s v="GT 185/14 MAXMILLER"/>
        <s v="GT 235/60 16 SAVERO SUV"/>
        <s v="Sailun 185/14 8PR"/>
        <s v="GT 750/16 HAPPY DUTY"/>
        <s v="TIRON 750/16"/>
        <s v="Dunlop 185/70 14 SP10"/>
        <s v="Dunlop 195/65 15 EC300"/>
        <s v="Dunlop 205/65 16 EC300"/>
        <s v="Dunlop 185/65 15 EC300"/>
        <s v="Dunlop 205/60 16 EC300"/>
        <s v="Dunlop 195/70 14 TOURING"/>
        <s v="Dunlop 175/70 13 TOURING"/>
        <s v="Dunlop 165/13 LT5"/>
        <s v="Dunlop 750/16 12PR"/>
        <s v="GT 185/65 15 ECOTEC"/>
        <s v="Accelera 235/75 15 at omicron"/>
        <s v="Lower Arm (Sayap)"/>
        <s v="BD 13 IBK"/>
        <s v="Dunlop 205/65 15 EC300"/>
        <s v="Dunlop 195/14 LT5"/>
        <s v="Bridgestone 185/80 14 Techno 248"/>
        <s v="GT 195/65 15 ECOTEC"/>
        <s v="GT 205/65 15 CHAMPIRO ECOTEC"/>
        <s v="GT 31X10.50 R15 MT"/>
        <s v="Bridgestone 185/14 Duravis"/>
        <s v="GT 640/13 8PR"/>
        <s v="GT 205/50 16 Champiro SX2"/>
        <s v="Advance 750/15 radial fullset"/>
        <s v="TIRON 750/15 12PR"/>
        <s v="Flap 16 NYB"/>
        <s v="Bridgestone 235/75 15 Dueler H/T 689"/>
        <s v="Bridgestone 195/70 14 Ecopia"/>
        <s v="Bridgestone 185/55 16 Techno Sport"/>
        <s v="Bridgestone 205/65 16 Ecopia"/>
        <s v="Bridgestone 195/60 16 Ecopia"/>
        <s v="Dunlop 235/60 16 ST20"/>
        <s v="BD 900* 20 GT"/>
        <s v="Bridgestone 900*20"/>
        <s v="BD 900*20 Bridgestone"/>
        <s v="Dunlop 195/60 16 EC300"/>
        <s v="Dunlop 205/55 17 ENASEV"/>
        <s v="Dunlop 215/45 17 DIREZA"/>
        <s v="Dunlop 205/45 17 DIREZA"/>
        <s v="Dunlop 215/60 17 EC300"/>
        <s v="GT 205/50 17 CHAMPIRO ECOTEC"/>
        <s v="GT 185/55 16 GTX"/>
        <s v="GT 215/55 17 CHAMPIRO GTX PRO"/>
        <s v="GT 165/13 MAXMILLER"/>
        <s v="BD 16 Truckoor"/>
        <s v="BD 8.25 TRUCKOOR"/>
        <s v="MAXXIS 285/60 18 AT"/>
        <s v="Duratun 750/16 LT Y601"/>
        <s v="Laufen 175/65 14"/>
        <s v="Laufen 185/70 14"/>
        <s v="Laufen 205/65 15"/>
        <s v="Bridgestone 235/60 18"/>
        <s v="Bridgestone 215/60 17 Alenza"/>
        <s v="Michelin 205/75 14"/>
        <s v="GiTi 11R 22.5 GRS225"/>
        <s v="GT 195/70 14 ECOTEC"/>
        <s v="GT 215/65 16 SAVERO SUV"/>
        <s v="Dunlop 265/60 18 GRANDTREK"/>
        <s v="DUNLOP 225/60 18 SPORTMAXX"/>
        <s v="Dunlop 215/55 17 SPORTMAXX"/>
        <s v="GT 205/45 17 GTX PRO"/>
        <s v="Dunlop 185/70 14 ENASEV"/>
        <s v="Dunlop 185/55 16 EC300"/>
        <s v="GT 185/55 15 ECOTEC"/>
        <s v="Bridgestone 205/45 17 Techno Sport"/>
        <s v="Bridgestone 185/60 15 TECHNO"/>
        <s v="Bridgestone 185/55 15 Techno"/>
        <s v="BD 15 Aspira P. Pendek"/>
        <s v="GT 700/12 12PR GRIP"/>
        <s v="BD 700/12 Powerclip GT"/>
        <s v="Flap 12 Forklift GT"/>
        <s v="GT 185/80 14 ECOTEC"/>
        <s v="GT 195/55 15 GTX PRO"/>
        <s v="G. YEAR 750/16 S501"/>
        <s v="GT 195/60 16 ECOTEC"/>
        <s v="Micelin 175/80 13 XCD2"/>
        <s v="Bridgestone 205/55 16 Techno Sport"/>
        <s v="Bridgestone 175/70 13 Ecopia"/>
        <s v="Dunlop 195/65 15 SPRILL Z"/>
        <s v="Dunlop 185/55 15 EC300"/>
        <s v="GiTi 750/16 GAR"/>
        <s v="GiTi 750/16 GAZ"/>
        <s v="Bridgestone 1000*20"/>
        <s v="Flap 1000*20 Bridgestone"/>
        <s v="Bridgestone 235/60 16 D687"/>
        <s v="Dunlop 205/55 16 EC300"/>
        <s v="GT 175/70 13 ECOTEC"/>
        <s v="GT 195/60 15 ECOTEC"/>
        <s v="GT 225/75 16 MAXMILLER"/>
        <s v="GT 700/14 8PR"/>
        <s v="Michellin 195/75 14 XCD2"/>
        <s v="HANKOOK 185/70 14"/>
        <s v="Hankook 185/65 15"/>
        <s v="GT 900*20"/>
        <s v="GT 1000*20"/>
        <s v="GT 11.00 * 20 SUPER"/>
        <s v="GT 215/45 17 GTX PRO"/>
        <s v="Bridgestone 205/65 15 Turanza T6"/>
        <s v="Bridgestone 195/50 16 Techno"/>
        <s v="Bridgestone 195/70 14 Turanza T005A"/>
        <s v="Bridgestone 185/80 14 Ecopia"/>
        <s v="Hankook 27*8.50 14"/>
        <s v="Velg 16  XM LB6  12 ML"/>
        <s v="BD 14 IBK"/>
        <s v="GT 195/50 16 GTX PRO"/>
        <s v="GT 205/55 16 GTX PRO"/>
        <s v="Laufen 175/13  X FIT VA"/>
        <s v="GT 215/60 17 SAVERO SUV"/>
        <s v="BD 16 SJ"/>
        <s v="Flap 16 Plus Plat"/>
        <s v="Bridgestone 215/55 17 Turanza E33"/>
        <s v="GT 700/16 Super 88"/>
        <s v="GT 235/50 18 Champiro HPY"/>
        <s v="Hankook 195/65 15"/>
        <s v="HANKOOK 175/13"/>
        <s v="Hankook 225/55 17"/>
        <s v="Dunlop 205/70 15 LM"/>
        <s v="GT 600/9 10 PR GRIP"/>
        <s v="BD 600/9 D GT"/>
        <s v="Flap Forklift 600*9 GT"/>
        <s v="Dunlop 155/80 12 SP10"/>
        <s v="Dunlop 185/60 15 TOURING"/>
        <s v="GT 185/60 15 ECOTEC"/>
        <s v="hankook 225/55 19"/>
        <s v="Accelera 215/55 17"/>
        <s v="Velg 14*15J Kosei'"/>
        <s v="BD 16 Bridgestone"/>
        <s v="BD 15 Bridgestone"/>
        <s v="Aspira  Filter Oli Avaza-Agya"/>
        <s v="Sakura  F/AC KW1"/>
        <s v="Sakura  filter oli Carry"/>
        <s v="Filter oli ORI KW  "/>
        <s v="Denso  Filter Oli Innova Solar"/>
        <s v="Denso  Filter Oli Innova Bensin"/>
        <s v="HANKOOK 225/60 18 "/>
        <s v="Laufen 185/65 15 G FIT AS"/>
        <s v="Shell Rimula R4 5 Liter"/>
        <s v="Shell Helix HX5 15W-40 4 Liter"/>
        <s v="Shell Helix HX6 4 Liter"/>
        <s v="TIRON 750/16 HD"/>
        <s v="Dunlop 195/55 16 EC300"/>
        <s v="Shell Helix HX7 4 Liter"/>
        <s v="Pertamina Meditran SX 10 Liter"/>
        <s v="WD  "/>
        <s v="Press BOS stir"/>
        <s v="TIEROD 48810/20"/>
        <s v="GT 185/60 15 GTX"/>
        <s v="Velg 16  XM LB6  10 ML"/>
        <s v="Goodride 750/16 "/>
        <s v="Baut Camber"/>
        <s v="Sakura  filter oli SS/Tayo"/>
        <s v="Pertamina Prima XP 20W-50 4 Liter"/>
        <s v="Laufen 215/55 17 S FIT AS"/>
        <s v="Bridgestone 185/80 14 Techno"/>
        <s v="BD IBK 15 Pentil Pendek"/>
        <s v="GT 28 X 9 - 15  Forklift Specta Grip"/>
        <s v="BD 28X9 15 GT"/>
        <s v="Shell Rimula R4 1 Liter"/>
        <s v="Shell Helix HX3 20W-50 4 Liter"/>
        <s v="WESTLAKE 750/16 14PR"/>
        <s v="Balancing 30"/>
        <s v="GT 205/65 16 ECOTEC"/>
        <s v="Dunlop 225/65 17 ST30"/>
        <s v="GT 650/10 10PR"/>
        <s v="Dunlop 195/60 15 SPTR1"/>
        <s v="Dunlop 215/50 17 DZ102"/>
        <s v="GT 185/55 15 Champiro GTX"/>
        <s v="GT 215/55 17 SAVERO SUV"/>
        <s v="BD 650/10 GT"/>
        <s v="Advance 1000/20 GL662A+"/>
        <s v="GT 265/70 17 Komodo MT"/>
        <s v="IBK 16 BD"/>
        <s v="IBK 16 FLAP"/>
        <s v="IBK light 16 BD"/>
        <s v="IBK 15 BD"/>
        <s v="GT 225/60 17 Savero SUV"/>
        <s v="Sailun 185/65 15 Artezzo"/>
        <s v="Sailun 195/65 15 Atrezzo"/>
        <s v="GT 205/70 15 ECOTEC"/>
        <s v="GT 225/65 17 SAVERO"/>
        <s v="Bridgestone 215/45 17 Techno Sport"/>
        <s v="Laufen 195/65 15 G Fit AS"/>
        <s v="GT 235/75 15 Savero MT"/>
        <s v="Bridgestone 195/55 16 Techno Sport"/>
        <s v="Shell Helix HX6 10W-40 1 Liter"/>
        <s v="Shell Helix HX7 1 Liter"/>
        <s v="Dunlop 165/80 13 TOURING"/>
        <s v="Dunlop 195/60 15 SP TOURING"/>
        <s v="DUNLOP 185/65 14 EC300 ENASAVE"/>
        <s v="HanKOOK 165/80 13 k435"/>
        <s v="TAMBAL TUBLES"/>
        <s v="DUNLOP 205/70 15 Blue Response"/>
        <s v="BD 1000 GT"/>
        <s v="Flap 1000*20 GT"/>
        <s v="Shell Helix HX5 15W-40 1 Liter"/>
        <s v="JF  KARET SUPPORT"/>
        <s v="ICOSON Filter Oli Avanza"/>
        <s v="ICOSON Filter Oli APV/FUTURA"/>
        <s v="ICOSON Filter Oli PAJERO"/>
        <s v="ICOSON Filter Oli INOVA/HILUX"/>
        <s v="ICOSON Filter Oli INOVA DIESEL"/>
        <s v="Honda Filter Oli HRV"/>
        <s v="Sakura Filter Oli SS"/>
        <s v="Suzuki  Lonceng"/>
        <s v="Dunlop 195/50 16 EC300"/>
        <s v="ADM PART Filter Oli Agya Avanza baru"/>
        <s v="Velg 16 CEMAX 750-20 14"/>
        <s v="Stabil link avanza  JF"/>
        <s v="Stabil link Grandmax  JF"/>
        <s v="RACK END Avanza JF"/>
        <s v="TIEROD SS JF"/>
        <s v="Bridgestone 195/60 15 Techno"/>
        <s v="Pertamina 1 liter FASTRON GOLD 5W-40"/>
        <s v="Shell 4 Liter Rimula R5"/>
        <m/>
      </sharedItems>
    </cacheField>
    <cacheField name="Quantity" numFmtId="4">
      <sharedItems containsString="0" containsBlank="1" containsNumber="1" containsInteger="1">
        <n v="5.0"/>
        <n v="10.0"/>
        <n v="4.0"/>
        <n v="6.0"/>
        <n v="8.0"/>
        <n v="2.0"/>
        <n v="1.0"/>
        <n v="20.0"/>
        <n v="15.0"/>
        <n v="50.0"/>
        <n v="12.0"/>
        <n v="25.0"/>
        <n v="7.0"/>
        <n v="3.0"/>
        <n v="9.0"/>
        <n v="16.0"/>
        <n v="60.0"/>
        <n v="30.0"/>
        <n v="28.0"/>
        <n v="14.0"/>
        <n v="125.0"/>
        <n v="13.0"/>
        <n v="11.0"/>
        <n v="45.0"/>
        <n v="22.0"/>
        <n v="58.0"/>
        <n v="40.0"/>
        <n v="24.0"/>
        <n v="38.0"/>
        <n v="19.0"/>
        <n v="36.0"/>
        <n v="26.0"/>
        <n v="32.0"/>
        <m/>
        <n v="12149.0"/>
      </sharedItems>
    </cacheField>
    <cacheField name="Price">
      <sharedItems containsBlank="1" containsMixedTypes="1" containsNumber="1">
        <s v="Rp1.085.500"/>
        <s v="Rp700.000"/>
        <s v="Rp1.570.000"/>
        <s v="Rp1.285.000"/>
        <s v="Rp577.500"/>
        <s v="Rp676.728"/>
        <s v="Rp655.500"/>
        <s v="Rp670.000"/>
        <s v="Rp765.916"/>
        <s v="Rp810.174"/>
        <s v="Rp902.500"/>
        <s v="Rp1.170.500"/>
        <s v="Rp1.360.000"/>
        <s v="Rp735.000"/>
        <s v="Rp760.239"/>
        <s v="Rp1.830.000"/>
        <s v="Rp915.000"/>
        <s v="Rp530.000"/>
        <s v="Rp468.000"/>
        <s v="Rp613.000"/>
        <s v="Rp1.607.040"/>
        <s v="Rp1.695.000"/>
        <s v="Rp1.805.000"/>
        <s v="Rp2.015.000"/>
        <s v="Rp75.000"/>
        <s v="Rp199.920"/>
        <s v="Rp161.840"/>
        <s v="Rp125.120"/>
        <s v="Rp102.000"/>
        <s v="Rp507.000"/>
        <s v="Rp442.500"/>
        <s v="Rp1.180.000"/>
        <s v="Rp441.450"/>
        <s v="Rp38.760"/>
        <s v="Rp42.840"/>
        <s v="Rp452.900"/>
        <s v="Rp524.800"/>
        <s v="Rp475.700"/>
        <s v="Rp672.200"/>
        <s v="Rp581.100"/>
        <s v="Rp690.600"/>
        <s v="Rp836.000"/>
        <s v="Rp39.440"/>
        <s v="Rp43.520"/>
        <s v="Rp1.500.000"/>
        <s v="Rp1.840.000"/>
        <s v="Rp1.950.000"/>
        <s v="Rp2.160.000"/>
        <s v="Rp1.645.000"/>
        <s v="Rp575.000"/>
        <s v="Rp704.500"/>
        <s v="Rp779.000"/>
        <s v="Rp645.000"/>
        <s v="Rp623.000"/>
        <s v="Rp550.500"/>
        <s v="Rp470.000"/>
        <s v="Rp590.000"/>
        <s v="Rp717.785"/>
        <s v="Rp570.000"/>
        <s v="Rp1.430.000"/>
        <s v="Rp582.800"/>
        <s v="Rp445.800"/>
        <s v="Rp893.661"/>
        <n v="151890.0"/>
        <s v="Rp45.310"/>
        <s v="Rp745.000"/>
        <s v="Rp870.000"/>
        <s v="Rp550.000"/>
        <s v="Rp600.860"/>
        <s v="Rp655.960"/>
        <s v="Rp1.585.000"/>
        <s v="Rp810.000"/>
        <s v="Rp440.000"/>
        <s v="Rp505.000"/>
        <s v="Rp490.000"/>
        <s v="Rp1.365.000"/>
        <s v="Rp860.000"/>
        <s v="Rp1.765.000"/>
        <s v="Rp1.970.000"/>
        <s v="Rp1.425.000"/>
        <s v="Rp45.000"/>
        <s v="Rp1.620.000"/>
        <s v="Rp1.270.000"/>
        <s v="Rp1.088.301"/>
        <s v="Rp785.133"/>
        <s v="Rp766.000"/>
        <s v="Rp944.794"/>
        <s v="Rp990.539"/>
        <s v="Rp1.170.000"/>
        <s v="Rp347.480"/>
        <s v="Rp347.500"/>
        <s v="Rp2.665.000"/>
        <s v="Rp510.000"/>
        <n v="613000.0"/>
        <s v="Rp794.000"/>
        <s v="Rp519.500"/>
        <s v="Rp985.000"/>
        <s v="Rp785.000"/>
        <s v="Rp765.000"/>
        <s v="Rp865.500"/>
        <s v="Rp945.190"/>
        <s v="Rp475.650"/>
        <s v="Rp592.200"/>
        <s v="Rp609.800"/>
        <s v="Rp666.500"/>
        <s v="Rp671.590"/>
        <s v="Rp672.230"/>
        <s v="Rp659.620"/>
        <s v="Rp904.050"/>
        <s v="Rp540.800"/>
        <s v="Rp690.560"/>
        <s v="Rp39.400"/>
        <s v="Rp43.500"/>
        <s v="Rp199.900"/>
        <s v="Rp1.490.000"/>
        <s v="Rp145.000"/>
        <s v="Rp195.000"/>
        <s v="Rp2.300.000"/>
        <s v="Rp1.698.000"/>
        <s v="Rp437.000"/>
        <s v="Rp454.000"/>
        <s v="Rp573.000"/>
        <s v="Rp591.500"/>
        <s v="Rp1.663.962"/>
        <s v="Rp1.283.251"/>
        <s v="Rp1.550.000"/>
        <s v="Rp3.775.000"/>
        <s v="Rp1.281.000"/>
        <s v="Rp535.680"/>
        <s v="Rp516.460"/>
        <s v="Rp727.260"/>
        <s v="Rp715.000"/>
        <s v="Rp742.000"/>
        <s v="Rp762.000"/>
        <s v="Rp540.000"/>
        <s v="Rp1.400.000"/>
        <s v="Rp1.747.000"/>
        <s v="Rp1.305.000"/>
        <n v="1305000.0"/>
        <s v="Rp935.000"/>
        <s v="Rp557.000"/>
        <s v="Rp700.600"/>
        <s v="Rp760.000"/>
        <s v="Rp562.000"/>
        <s v="Rp1.000.000"/>
        <s v="Rp740.000"/>
        <s v="Rp602.000"/>
        <s v="Rp578.460"/>
        <s v="Rp799.425"/>
        <s v="Rp572.762"/>
        <s v="Rp810.342"/>
        <s v="Rp671.104"/>
        <s v="Rp680.512"/>
        <s v="Rp564.181"/>
        <s v="Rp111.800"/>
        <s v="Rp1.003.000"/>
        <s v="Rp157.500"/>
        <s v="Rp76.000"/>
        <s v="Rp549.320"/>
        <s v="Rp822.740"/>
        <s v="Rp638.600"/>
        <s v="Rp184.150"/>
        <s v="Rp2.074.000"/>
        <n v="715635.0"/>
        <n v="834889.0"/>
        <s v="Rp846.720"/>
        <s v="Rp766.438"/>
        <s v="Rp634.099"/>
        <s v="Rp580.000"/>
        <s v="Rp770.000"/>
        <s v="Rp690.000"/>
        <s v="Rp462.500"/>
        <s v="Rp465.000"/>
        <n v="575000.0"/>
        <s v="Rp2.045.000"/>
        <s v="Rp1.650.000"/>
        <s v="Rp2.025.000"/>
        <s v="Rp435.000"/>
        <s v="Rp671.600"/>
        <s v="Rp3.365.000"/>
        <s v="Rp252.140"/>
        <s v="Rp668.000"/>
        <s v="Rp1.113.907"/>
        <s v="Rp727.000"/>
        <s v="Rp592.000"/>
        <s v="Rp1.466.394"/>
        <s v="Rp930.000"/>
        <s v="Rp515.000"/>
        <s v="Rp539.000"/>
        <s v="Rp678.000"/>
        <s v="Rp445.400"/>
        <s v="Rp572.700"/>
        <s v="Rp666.540"/>
        <s v="Rp739.000"/>
        <s v="Rp1.150.700"/>
        <s v="Rp585.000"/>
        <s v="Rp1.150.000"/>
        <s v="Rp123.300"/>
        <s v="Rp485.000"/>
        <n v="593438.0"/>
        <s v="Rp884.979"/>
        <s v="Rp517.000"/>
        <s v="Rp565.000"/>
        <s v="Rp610.000"/>
        <s v="Rp634.500"/>
        <s v="Rp759.500"/>
        <s v="Rp601.000"/>
        <s v="Rp2.475.000"/>
        <s v="Rp3.160.000"/>
        <s v="Rp3.750.000"/>
        <s v="Rp544.300"/>
        <s v="Rp757.300"/>
        <n v="1697722.0"/>
        <n v="1035858.0"/>
        <n v="1545000.0"/>
        <n v="1245000.0"/>
        <n v="1466394.0"/>
        <n v="572762.0"/>
        <n v="810000.0"/>
        <n v="762048.0"/>
        <n v="784000.0"/>
        <n v="846720.0"/>
        <n v="873690.0"/>
        <n v="683021.0"/>
        <n v="810342.0"/>
        <s v="Rp2.050.000"/>
        <s v="Rp821.000"/>
        <s v="Rp779.500"/>
        <s v="Rp582.500"/>
        <s v="Rp1.447.000"/>
        <s v="Rp896.000"/>
        <s v="Rp1.820.000"/>
        <s v="Rp650.000"/>
        <n v="752000.0"/>
        <s v="Rp42.170"/>
        <s v="Rp54.171"/>
        <s v="Rp581.120"/>
        <s v="Rp659.600"/>
        <s v="Rp643.200"/>
        <s v="Rp716.900"/>
        <s v="Rp161.800"/>
        <s v="Rp199.910"/>
        <s v="Rp752.000"/>
        <s v="Rp949.500"/>
        <s v="Rp1.419.500"/>
        <s v="Rp593.541"/>
        <s v="Rp688.000"/>
        <s v="Rp809.000"/>
        <s v="Rp908.000"/>
        <s v="Rp501.500"/>
        <s v="Rp582.000"/>
        <s v="Rp959.000"/>
        <s v="Rp1.545.000"/>
        <s v="Rp1.320.000"/>
        <s v="Rp1.245.000"/>
        <s v="Rp452.970"/>
        <s v="Rp788.000"/>
        <s v="Rp593.438"/>
        <s v="Rp1.501.164"/>
        <s v="Rp1.175.000"/>
        <s v="Rp638.500"/>
        <s v="Rp1.108.560"/>
        <s v="Rp609.804"/>
        <s v="Rp425.000"/>
        <s v="Rp608.000"/>
        <s v="Rp615.000"/>
        <s v="Rp1.026.000"/>
        <s v="Rp849.000"/>
        <s v="Rp1.194.000"/>
        <s v="Rp795.000"/>
        <s v="Rp1.040.000"/>
        <s v="Rp920.000"/>
        <s v="Rp89.780"/>
        <s v="Rp140.700"/>
        <s v="Rp36.850"/>
        <s v="Rp50.920"/>
        <n v="593541.0"/>
        <s v="Rp421.000"/>
        <s v="Rp620.000"/>
        <s v="Rp593.000"/>
        <s v="Rp558.200"/>
        <s v="Rp808.300"/>
        <s v="Rp636.300"/>
        <s v="Rp100.500"/>
        <s v="Rp159.500"/>
        <s v="Rp197.000"/>
        <s v="Rp38.900"/>
        <s v="Rp42.900"/>
        <s v="Rp1.740.000"/>
        <s v="Rp803.640"/>
        <s v="Rp450.000"/>
        <s v="Rp593.488"/>
        <s v="Rp881.000"/>
        <s v="Rp638.525"/>
        <s v="Rp895.000"/>
        <s v="1466393,5"/>
        <s v="Rp237.440"/>
        <s v="Rp227.850"/>
        <n v="19200.0"/>
        <n v="40000.0"/>
        <n v="21500.0"/>
        <n v="52000.0"/>
        <n v="26000.0"/>
        <s v="Rp715.635"/>
        <s v="Rp438.400"/>
        <s v="Rp790.000"/>
        <s v="Rp1.090.000"/>
        <s v="Rp604.000"/>
        <s v="Rp762.048"/>
        <s v="Rp628.500"/>
        <s v="Rp467.000"/>
        <s v="Rp599.000"/>
        <s v="Rp520.000"/>
        <s v="Rp708.000"/>
        <s v="Rp453.000"/>
        <s v="Rp595.000"/>
        <s v="Rp1.160.000"/>
        <s v="Rp2.030.000"/>
        <s v="Rp805.872"/>
        <n v="282805.0"/>
        <s v="Rp661.550"/>
        <s v="Rp572.763"/>
        <s v="Rp680.000"/>
        <s v="Rp716.459"/>
        <s v="Rp835.030"/>
        <s v="Rp1.680.745"/>
        <s v="Rp1.480.000"/>
        <s v="Rp711.900"/>
        <n v="271778.0"/>
        <n v="287688.0"/>
        <s v="Rp1.442.000"/>
        <s v="Rp600.000"/>
        <s v="Rp622.000"/>
        <s v="Rp415.000"/>
        <s v="Rp949.000"/>
        <s v="Rp1.182.000"/>
        <s v="Rp689.000"/>
        <s v="Rp771.000"/>
        <s v="Rp674.000"/>
        <s v="Rp709.000"/>
        <s v="Rp863.000"/>
        <s v="Rp897.000"/>
        <s v="Rp877.000"/>
        <s v="Rp812.000"/>
        <s v="Rp491.000"/>
        <s v="Rp607.000"/>
        <n v="1442000.0"/>
        <n v="377951.0"/>
        <n v="432500.0"/>
        <n v="25000.0"/>
        <n v="80000.0"/>
        <n v="61000.0"/>
        <n v="2000000.0"/>
        <n v="452970.0"/>
        <n v="622000.0"/>
        <n v="745000.0"/>
        <n v="491000.0"/>
        <n v="582500.0"/>
        <n v="539000.0"/>
        <n v="1850000.0"/>
        <n v="1840000.0"/>
        <n v="650000.0"/>
        <n v="897000.0"/>
        <n v="45309.6"/>
        <n v="1320000.0"/>
        <n v="475700.0"/>
        <n v="524800.0"/>
        <n v="544300.0"/>
        <n v="592200.0"/>
        <n v="609800.0"/>
        <n v="666540.0"/>
        <n v="570200.0"/>
        <n v="836000.0"/>
        <n v="739000.0"/>
        <n v="540800.0"/>
        <n v="581100.0"/>
        <n v="690600.0"/>
        <n v="1180000.0"/>
        <n v="442500.0"/>
        <n v="490000.0"/>
        <n v="593500.0"/>
        <n v="572762.4"/>
        <n v="670000.0"/>
        <n v="790000.0"/>
        <n v="620000.0"/>
        <n v="1175000.0"/>
        <n v="600000.0"/>
        <n v="674000.0"/>
        <n v="415000.0"/>
        <n v="595000.0"/>
        <n v="570000.0"/>
        <n v="812000.0"/>
        <n v="949000.0"/>
        <n v="1250000.0"/>
        <n v="75000.0"/>
        <n v="2025000.0"/>
        <n v="2050000.0"/>
        <n v="1500000.0"/>
        <n v="507000.0"/>
        <n v="102000.0"/>
        <n v="124000.0"/>
        <n v="160833.33333333334"/>
        <n v="802000.0"/>
        <n v="1420000.0"/>
        <n v="450000.0"/>
        <n v="607000.0"/>
        <n v="840000.0"/>
        <n v="877000.0"/>
        <n v="1028000.0"/>
        <n v="1040000.0"/>
        <n v="1292000.0"/>
        <n v="570500.0"/>
        <n v="531715.5"/>
        <n v="596694.4"/>
        <n v="575880.8"/>
        <n v="680000.0"/>
        <n v="664205.6"/>
        <n v="830273.6"/>
        <n v="1113907.2"/>
        <n v="2160000.0"/>
        <n v="81000.0"/>
        <n v="2200000.0"/>
        <n v="204000.0"/>
        <n v="58114.0"/>
        <n v="179445.0"/>
        <n v="1480000.0"/>
        <n v="581120.0"/>
        <n v="558200.0"/>
        <n v="672210.0"/>
        <n v="3160000.0"/>
        <n v="1425000.0"/>
        <n v="1466393.5"/>
        <n v="720000.0"/>
        <n v="810342.44"/>
        <n v="945190.375"/>
        <n v="467000.0"/>
        <n v="520000.0"/>
        <n v="771000.0"/>
        <n v="2475000.0"/>
        <n v="1700000.0"/>
        <n v="945000.0"/>
        <n v="5000.0"/>
        <n v="805872.0"/>
        <n v="680512.0"/>
        <n v="712256.0"/>
        <n v="575780.8"/>
        <n v="694300.0"/>
        <n v="628100.0"/>
        <n v="757300.0"/>
        <n v="863000.0"/>
        <n v="1007000.0"/>
        <n v="792000.0"/>
        <n v="689000.0"/>
        <n v="709000.0"/>
        <n v="908000.0"/>
        <n v="853000.0"/>
        <n v="795000.0"/>
        <n v="940000.0"/>
        <n v="1182000.0"/>
        <n v="1108560.0"/>
        <n v="700000.0"/>
        <n v="844000.0"/>
        <n v="1029000.0"/>
        <n v="596000.0"/>
        <n v="921750.0"/>
        <n v="445400.0"/>
        <n v="627400.0"/>
        <n v="659610.0"/>
        <n v="716940.0"/>
        <n v="711900.0"/>
        <n v="808300.0"/>
        <n v="726400.0"/>
        <n v="109200.0"/>
        <n v="4100000.0"/>
        <n v="1481800.0"/>
        <n v="1130842.0"/>
        <n v="1698000.0"/>
        <n v="153665.7804"/>
        <n v="40438.4211"/>
        <n v="609844.4"/>
        <n v="588505.8"/>
        <n v="815000.0"/>
        <n v="727756.0"/>
        <n v="909585.0"/>
        <n v="675000.0"/>
        <n v="705000.0"/>
        <n v="1127705.6"/>
        <n v="130137.0"/>
        <n v="85695.0"/>
        <n v="609804.0"/>
        <n v="855500.0"/>
        <n v="517000.0"/>
        <n v="532400.0"/>
        <n v="696500.0"/>
        <n v="779500.0"/>
        <n v="809000.0"/>
        <n v="1762000.0"/>
        <n v="888000.0"/>
        <n v="689900.0"/>
        <n v="648900.0"/>
        <n v="813300.0"/>
        <n v="10000.0"/>
        <n v="1062000.0"/>
        <n v="733824.0"/>
        <n v="657305.6"/>
        <n v="859264.0"/>
        <n v="980542.4"/>
        <n v="1940000.0"/>
        <n v="548000.0"/>
        <n v="572700.0"/>
        <n v="716900.0"/>
        <n v="1097400.0"/>
        <n v="2030000.0"/>
        <n v="161840.0"/>
        <n v="199920.0"/>
        <n v="43520.0"/>
        <n v="601000.0"/>
        <n v="815987.25"/>
        <n v="822259.2"/>
        <n v="609844.375"/>
        <n v="588505.75"/>
        <n v="542528.0"/>
        <n v="1750000.0"/>
        <n v="292600.0"/>
        <n v="275500.0"/>
        <n v="380400.0"/>
        <n v="182600.0"/>
        <n v="289857.0"/>
        <n v="74700.0"/>
        <n v="96400.0"/>
        <n v="660000.0"/>
        <n v="550000.0"/>
        <n v="465000.0"/>
        <n v="582000.0"/>
        <n v="501500.0"/>
        <n v="609000.0"/>
        <n v="530000.0"/>
        <n v="881000.0"/>
        <n v="716500.0"/>
        <n v="610000.0"/>
        <n v="55000.0"/>
        <n v="1926858.75"/>
        <n v="634500.0"/>
        <n v="759500.0"/>
        <n v="460000.0"/>
        <n v="505000.0"/>
        <n v="1525000.0"/>
        <n v="182200.0"/>
        <n v="43500.0"/>
        <n v="556800.0"/>
        <n v="604200.0"/>
        <n v="711000.0"/>
        <n v="540500.0"/>
        <n v="575200.0"/>
        <n v="560700.0"/>
        <n v="589700.0"/>
        <n v="587200.0"/>
        <n v="672800.0"/>
        <n v="775500.0"/>
        <n v="787500.0"/>
        <n v="434000.0"/>
        <n v="2020000.0"/>
        <n v="90000.0"/>
        <n v="459420.0"/>
        <n v="185000.0"/>
        <n v="2080000.0"/>
        <n v="95450.0"/>
        <n v="1885000.0"/>
        <n v="1980000.0"/>
        <n v="1555000.0"/>
        <n v="1475000.0"/>
        <n v="209816.66"/>
        <n v="158530.2"/>
        <n v="307676.0"/>
        <n v="294418.0"/>
        <n v="3190000.0"/>
        <n v="405000.0"/>
        <n v="100500.0"/>
        <n v="688000.0"/>
        <n v="1194000.0"/>
        <n v="329877.0"/>
        <n v="80931.0"/>
        <n v="1560000.0"/>
        <n v="474240.0"/>
        <n v="750700.0"/>
        <n v="120000.0"/>
        <n v="334916.0"/>
        <n v="27375.0"/>
        <n v="18900.0"/>
        <n v="56025.0"/>
        <n v="25575.0"/>
        <n v="22500.0"/>
        <n v="490100.0"/>
        <n v="458600.0"/>
        <n v="861200.0"/>
        <n v="615300.0"/>
        <n v="640700.0"/>
        <n v="25500.0"/>
        <n v="26500.0"/>
        <n v="780000.0"/>
        <n v="602000.0"/>
        <n v="480700.0"/>
        <n v="488320.0"/>
        <n v="317518.0"/>
        <n v="1210000.0"/>
        <n v="470000.0"/>
        <n v="540000.0"/>
        <n v="4200000.0"/>
        <n v="1170000.0"/>
        <n v="23500.0"/>
        <n v="1150700.0"/>
        <n v="548100.0"/>
        <n v="174000.0"/>
        <n v="194400.0"/>
        <n v="133650.0"/>
        <n v="225314.0"/>
        <n v="814000.0"/>
        <n v="1565000.0"/>
        <n v="1265000.0"/>
        <n v="1170353.16"/>
        <n v="633035.16"/>
        <n v="611109.16"/>
        <n v="710000.0"/>
        <n v="825000.0"/>
        <n v="711872.0"/>
        <n v="844838.5"/>
        <n v="889369.5"/>
        <n v="754660.6"/>
        <n v="879567.0"/>
        <n v="851110.375"/>
        <n v="943430.5"/>
        <n v="231268.0"/>
        <n v="241001.6"/>
        <n v="759539.2"/>
        <n v="704346.0"/>
        <n v="149500.0"/>
        <n v="1221100.0"/>
        <n v="774000.0"/>
        <n v="123000.0"/>
        <n v="357999.0"/>
        <n v="2575000.0"/>
        <n v="439000.0"/>
        <n v="141160.0"/>
        <m/>
        <n v="6.248085908998334E8"/>
      </sharedItems>
    </cacheField>
    <cacheField name="Price Fixed" numFmtId="165">
      <sharedItems containsString="0" containsBlank="1" containsNumber="1">
        <n v="1085500.0"/>
        <n v="700000.0"/>
        <n v="1570000.0"/>
        <n v="1285000.0"/>
        <n v="577500.0"/>
        <n v="676728.0"/>
        <n v="655500.0"/>
        <n v="670000.0"/>
        <n v="765916.0"/>
        <n v="810174.0"/>
        <n v="902500.0"/>
        <n v="1170500.0"/>
        <n v="1360000.0"/>
        <n v="735000.0"/>
        <n v="760239.0"/>
        <n v="1830000.0"/>
        <n v="915000.0"/>
        <n v="530000.0"/>
        <n v="468000.0"/>
        <n v="613000.0"/>
        <n v="1607040.0"/>
        <n v="1695000.0"/>
        <n v="1805000.0"/>
        <n v="2015000.0"/>
        <n v="75000.0"/>
        <n v="199920.0"/>
        <n v="161840.0"/>
        <n v="125120.0"/>
        <n v="102000.0"/>
        <n v="507000.0"/>
        <n v="442500.0"/>
        <n v="1180000.0"/>
        <n v="441450.0"/>
        <n v="38760.0"/>
        <n v="42840.0"/>
        <n v="452900.0"/>
        <n v="524800.0"/>
        <n v="475700.0"/>
        <n v="672200.0"/>
        <n v="581100.0"/>
        <n v="690600.0"/>
        <n v="836000.0"/>
        <n v="39440.0"/>
        <n v="43520.0"/>
        <n v="1500000.0"/>
        <n v="1840000.0"/>
        <n v="1950000.0"/>
        <n v="2160000.0"/>
        <n v="1645000.0"/>
        <n v="575000.0"/>
        <n v="704500.0"/>
        <n v="779000.0"/>
        <n v="645000.0"/>
        <n v="623000.0"/>
        <n v="550500.0"/>
        <n v="470000.0"/>
        <n v="590000.0"/>
        <n v="717785.0"/>
        <n v="570000.0"/>
        <n v="1430000.0"/>
        <n v="582800.0"/>
        <n v="445800.0"/>
        <n v="893661.0"/>
        <n v="151890.0"/>
        <n v="45309.6"/>
        <n v="745000.0"/>
        <n v="870000.0"/>
        <n v="550000.0"/>
        <n v="600860.0"/>
        <n v="655960.0"/>
        <n v="1585000.0"/>
        <n v="810000.0"/>
        <n v="440000.0"/>
        <n v="505000.0"/>
        <n v="490000.0"/>
        <n v="1365000.0"/>
        <n v="860000.0"/>
        <n v="1765000.0"/>
        <n v="1970000.0"/>
        <n v="1425000.0"/>
        <n v="45000.0"/>
        <n v="1620000.0"/>
        <n v="1270000.0"/>
        <n v="1088301.0"/>
        <n v="785133.0"/>
        <n v="766000.0"/>
        <n v="944794.0"/>
        <n v="990539.0"/>
        <n v="1170000.0"/>
        <n v="347480.0"/>
        <n v="347500.0"/>
        <n v="2665000.0"/>
        <n v="510000.0"/>
        <n v="794000.0"/>
        <n v="519500.0"/>
        <n v="985000.0"/>
        <n v="785000.0"/>
        <n v="765000.0"/>
        <n v="865500.0"/>
        <n v="945190.333"/>
        <n v="475650.0"/>
        <n v="592200.0"/>
        <n v="609800.0"/>
        <n v="666500.0"/>
        <n v="671590.0"/>
        <n v="672230.0"/>
        <n v="659620.0"/>
        <n v="904050.0"/>
        <n v="540800.0"/>
        <n v="690560.0"/>
        <n v="39400.0"/>
        <n v="43500.0"/>
        <n v="199900.0"/>
        <n v="1490000.0"/>
        <n v="145000.0"/>
        <n v="195000.0"/>
        <n v="2300000.0"/>
        <n v="1698000.0"/>
        <n v="437000.0"/>
        <n v="454000.0"/>
        <n v="573000.0"/>
        <n v="591500.0"/>
        <n v="1663962.0"/>
        <n v="1283251.0"/>
        <n v="1550000.0"/>
        <n v="3775000.0"/>
        <n v="1281000.0"/>
        <n v="535680.0"/>
        <n v="516460.0"/>
        <n v="727260.0"/>
        <n v="715000.0"/>
        <n v="742000.0"/>
        <n v="762000.0"/>
        <n v="540000.0"/>
        <n v="1400000.0"/>
        <n v="1747000.0"/>
        <n v="1305000.0"/>
        <n v="935000.0"/>
        <n v="557000.0"/>
        <n v="700600.0"/>
        <n v="760000.0"/>
        <n v="562000.0"/>
        <n v="1000000.0"/>
        <n v="740000.0"/>
        <n v="602000.0"/>
        <n v="578460.0"/>
        <n v="945190.375"/>
        <n v="799425.0"/>
        <n v="572762.4"/>
        <n v="810342.44"/>
        <n v="671104.0"/>
        <n v="680512.0"/>
        <n v="564181.0"/>
        <n v="111800.0"/>
        <n v="1003000.0"/>
        <n v="157500.0"/>
        <n v="76000.0"/>
        <n v="549320.0"/>
        <n v="822740.0"/>
        <n v="638600.0"/>
        <n v="184150.0"/>
        <n v="2074000.0"/>
        <n v="715635.0"/>
        <n v="834889.0"/>
        <n v="846720.0"/>
        <n v="766438.4"/>
        <n v="634099.2"/>
        <n v="580000.0"/>
        <n v="770000.0"/>
        <n v="690000.0"/>
        <n v="462500.0"/>
        <n v="465000.0"/>
        <n v="2045000.0"/>
        <n v="1650000.0"/>
        <n v="2025000.0"/>
        <n v="435000.0"/>
        <n v="671600.0"/>
        <n v="3365000.0"/>
        <n v="252140.0"/>
        <n v="668000.0"/>
        <n v="1113907.0"/>
        <n v="727000.0"/>
        <n v="592000.0"/>
        <n v="1466393.5"/>
        <n v="1113907.2"/>
        <n v="930000.0"/>
        <n v="515000.0"/>
        <n v="539000.0"/>
        <n v="678000.0"/>
        <n v="445400.0"/>
        <n v="572700.0"/>
        <n v="666540.0"/>
        <n v="739000.0"/>
        <n v="1150700.0"/>
        <n v="585000.0"/>
        <n v="1150000.0"/>
        <n v="123300.0"/>
        <n v="485000.0"/>
        <n v="593438.0"/>
        <n v="884979.0"/>
        <n v="517000.0"/>
        <n v="565000.0"/>
        <n v="610000.0"/>
        <n v="634500.0"/>
        <n v="759500.0"/>
        <n v="601000.0"/>
        <n v="2475000.0"/>
        <n v="3160000.0"/>
        <n v="3750000.0"/>
        <n v="544300.0"/>
        <n v="757300.0"/>
        <n v="1697722.0"/>
        <n v="2071716.0"/>
        <n v="1545000.0"/>
        <n v="1245000.0"/>
        <n v="1466394.0"/>
        <n v="572762.0"/>
        <n v="762048.0"/>
        <n v="784000.0"/>
        <n v="873690.0"/>
        <n v="683021.0"/>
        <n v="810342.0"/>
        <n v="2050000.0"/>
        <n v="821000.0"/>
        <n v="779500.0"/>
        <n v="582500.0"/>
        <n v="1447000.0"/>
        <n v="896000.0"/>
        <n v="1820000.0"/>
        <n v="650000.0"/>
        <n v="752000.0"/>
        <n v="42169.6"/>
        <n v="54170.7"/>
        <n v="581120.0"/>
        <n v="659600.0"/>
        <n v="643200.0"/>
        <n v="716900.0"/>
        <n v="161800.0"/>
        <n v="199910.0"/>
        <n v="949500.0"/>
        <n v="1419500.0"/>
        <n v="593541.0"/>
        <n v="688000.0"/>
        <n v="809000.0"/>
        <n v="908000.0"/>
        <n v="501500.0"/>
        <n v="582000.0"/>
        <n v="959000.0"/>
        <n v="1320000.0"/>
        <n v="452970.0"/>
        <n v="788000.0"/>
        <n v="593438.4"/>
        <n v="1501164.0"/>
        <n v="1175000.0"/>
        <n v="638500.0"/>
        <n v="1108560.0"/>
        <n v="609804.0"/>
        <n v="425000.0"/>
        <n v="608000.0"/>
        <n v="615000.0"/>
        <n v="1026000.0"/>
        <n v="849000.0"/>
        <n v="1194000.0"/>
        <n v="795000.0"/>
        <n v="1040000.0"/>
        <n v="920000.0"/>
        <n v="89780.0"/>
        <n v="140700.0"/>
        <n v="36850.0"/>
        <n v="50920.0"/>
        <n v="421000.0"/>
        <n v="620000.0"/>
        <n v="593000.0"/>
        <n v="558200.0"/>
        <n v="808300.0"/>
        <n v="636300.0"/>
        <n v="100500.0"/>
        <n v="159500.0"/>
        <n v="197000.0"/>
        <n v="38900.0"/>
        <n v="42900.0"/>
        <n v="1740000.0"/>
        <n v="803640.0"/>
        <n v="450000.0"/>
        <n v="593488.4"/>
        <n v="628500.0"/>
        <n v="881000.0"/>
        <n v="638525.0"/>
        <n v="895000.0"/>
        <n v="237440.0"/>
        <n v="227850.0"/>
        <n v="147050.0"/>
        <n v="19200.0"/>
        <n v="40000.0"/>
        <n v="21500.0"/>
        <n v="52000.0"/>
        <n v="26000.0"/>
        <n v="438400.0"/>
        <n v="1090000.0"/>
        <n v="604000.0"/>
        <n v="467000.0"/>
        <n v="599000.0"/>
        <n v="520000.0"/>
        <n v="708000.0"/>
        <n v="453000.0"/>
        <n v="595000.0"/>
        <n v="1160000.0"/>
        <n v="2030000.0"/>
        <n v="276700.0"/>
        <n v="661550.0"/>
        <n v="790000.0"/>
        <n v="835029.75"/>
        <n v="1680744.5"/>
        <n v="1480000.0"/>
        <n v="711900.0"/>
        <n v="260100.0"/>
        <n v="277600.0"/>
        <n v="273000.0"/>
        <n v="1442000.0"/>
        <n v="600000.0"/>
        <n v="622000.0"/>
        <n v="415000.0"/>
        <n v="949000.0"/>
        <n v="1182000.0"/>
        <n v="689000.0"/>
        <n v="771000.0"/>
        <n v="674000.0"/>
        <n v="709000.0"/>
        <n v="863000.0"/>
        <n v="897000.0"/>
        <n v="877000.0"/>
        <n v="812000.0"/>
        <n v="491000.0"/>
        <n v="607000.0"/>
        <n v="361700.0"/>
        <n v="423250.0"/>
        <n v="25000.0"/>
        <n v="58300.0"/>
        <n v="49500.0"/>
        <n v="2000000.0"/>
        <n v="570500.0"/>
        <n v="1292000.0"/>
        <n v="570200.0"/>
        <n v="593500.0"/>
        <n v="680000.0"/>
        <n v="1250000.0"/>
        <n v="50000.0"/>
        <n v="47500.0"/>
        <n v="160833.0"/>
        <n v="802000.0"/>
        <n v="840000.0"/>
        <n v="1017000.0"/>
        <n v="1029000.0"/>
        <n v="531715.5"/>
        <n v="596694.4"/>
        <n v="575780.8"/>
        <n v="644205.6"/>
        <n v="830273.6"/>
        <n v="80957.6"/>
        <n v="2200000.0"/>
        <n v="204000.0"/>
        <n v="256600.0"/>
        <n v="273900.0"/>
        <n v="356800.0"/>
        <n v="269300.0"/>
        <n v="55400.0"/>
        <n v="169400.0"/>
        <n v="1458683.0"/>
        <n v="719199.0"/>
        <n v="712256.0"/>
        <n v="805872.0"/>
        <n v="890460.0"/>
        <n v="2450000.0"/>
        <n v="27000.0"/>
        <n v="53000.0"/>
        <n v="1750000.0"/>
        <n v="945000.0"/>
        <n v="48000.0"/>
        <n v="5000.0"/>
        <n v="596694.0"/>
        <n v="694300.0"/>
        <n v="628100.0"/>
        <n v="672210.0"/>
        <n v="1007000.0"/>
        <n v="792000.0"/>
        <n v="844000.0"/>
        <n v="778000.0"/>
        <n v="693700.0"/>
        <n v="596000.0"/>
        <n v="921750.0"/>
        <n v="1130842.0"/>
        <n v="453178.0"/>
        <n v="627400.0"/>
        <n v="659610.0"/>
        <n v="716940.0"/>
        <n v="726400.0"/>
        <n v="109200.0"/>
        <n v="4100000.0"/>
        <n v="716500.0"/>
        <n v="1481800.0"/>
        <n v="40438.4211"/>
        <n v="153665.7804"/>
        <n v="1130841.6"/>
        <n v="609844.4"/>
        <n v="588505.8"/>
        <n v="815000.0"/>
        <n v="727756.0"/>
        <n v="909585.0"/>
        <n v="675000.0"/>
        <n v="705000.0"/>
        <n v="1127705.6"/>
        <n v="130137.0"/>
        <n v="44143.0"/>
        <n v="85695.0"/>
        <n v="855500.0"/>
        <n v="532400.0"/>
        <n v="696500.0"/>
        <n v="1762000.0"/>
        <n v="888000.0"/>
        <n v="689900.0"/>
        <n v="648900.0"/>
        <n v="813300.0"/>
        <n v="10000.0"/>
        <n v="542528.0"/>
        <n v="1004147.2"/>
        <n v="733824.0"/>
        <n v="657305.6"/>
        <n v="859264.0"/>
        <n v="980542.4"/>
        <n v="1940000.0"/>
        <n v="548000.0"/>
        <n v="1097400.0"/>
        <n v="143589.6"/>
        <n v="815987.25"/>
        <n v="822259.2"/>
        <n v="609844.375"/>
        <n v="588505.75"/>
        <n v="292600.0"/>
        <n v="275500.0"/>
        <n v="380400.0"/>
        <n v="182600.0"/>
        <n v="289857.0"/>
        <n v="74700.0"/>
        <n v="96400.0"/>
        <n v="595400.0"/>
        <n v="480000.0"/>
        <n v="609000.0"/>
        <n v="1028000.0"/>
        <n v="660000.0"/>
        <n v="45439.582"/>
        <n v="58371.2695"/>
        <n v="1926858.75"/>
        <n v="460000.0"/>
        <n v="1525000.0"/>
        <n v="182200.0"/>
        <n v="556800.0"/>
        <n v="604200.0"/>
        <n v="711000.0"/>
        <n v="540500.0"/>
        <n v="575200.0"/>
        <n v="560700.0"/>
        <n v="589700.0"/>
        <n v="587200.0"/>
        <n v="672800.0"/>
        <n v="775500.0"/>
        <n v="787500.0"/>
        <n v="434000.0"/>
        <n v="2019000.0"/>
        <n v="48139.6"/>
        <n v="459420.0"/>
        <n v="294418.0"/>
        <n v="307676.0"/>
        <n v="158530.2"/>
        <n v="184666.6"/>
        <n v="2080000.0"/>
        <n v="3190000.0"/>
        <n v="48500.0"/>
        <n v="95450.0"/>
        <n v="141160.0"/>
        <n v="1885000.0"/>
        <n v="1980000.0"/>
        <n v="2100000.0"/>
        <n v="1555000.0"/>
        <n v="1475000.0"/>
        <n v="739600.0"/>
        <n v="1800000.0"/>
        <n v="495000.0"/>
        <n v="209816.66"/>
        <n v="44000.0"/>
        <n v="625000.0"/>
        <n v="773337.5"/>
        <n v="46500.0"/>
        <n v="422900.0"/>
        <n v="334916.0"/>
        <n v="317518.0"/>
        <n v="405000.0"/>
        <n v="329877.0"/>
        <n v="80931.0"/>
        <n v="1560000.0"/>
        <n v="474240.0"/>
        <n v="750750.0"/>
        <n v="120000.0"/>
        <n v="51500.0"/>
        <n v="54000.0"/>
        <n v="482300.0"/>
        <n v="2060000.0"/>
        <n v="27375.0"/>
        <n v="18900.0"/>
        <n v="56025.0"/>
        <n v="25575.0"/>
        <n v="22500.0"/>
        <n v="466800.0"/>
        <n v="490100.0"/>
        <n v="458600.0"/>
        <n v="861200.0"/>
        <n v="615300.0"/>
        <n v="640700.0"/>
        <n v="25500.0"/>
        <n v="26500.0"/>
        <n v="2575000.0"/>
        <n v="628000.0"/>
        <n v="780000.0"/>
        <n v="480700.0"/>
        <n v="488320.0"/>
        <n v="52500.0"/>
        <n v="1210000.0"/>
        <n v="4200000.0"/>
        <n v="1325000.0"/>
        <n v="1600000.0"/>
        <n v="23500.0"/>
        <n v="1221100.0"/>
        <n v="548100.0"/>
        <n v="174000.0"/>
        <n v="194400.0"/>
        <n v="133650.0"/>
        <n v="225314.0"/>
        <n v="603000.0"/>
        <n v="701800.0"/>
        <n v="814000.0"/>
        <n v="1565000.0"/>
        <n v="1265000.0"/>
        <n v="1170353.16"/>
        <n v="633035.16"/>
        <n v="611109.16"/>
        <n v="710000.0"/>
        <n v="825000.0"/>
        <n v="711872.0"/>
        <n v="844838.5"/>
        <n v="889369.5"/>
        <n v="754660.6"/>
        <n v="879567.0"/>
        <n v="851110.375"/>
        <n v="943430.5"/>
        <n v="231268.0"/>
        <n v="241001.6"/>
        <n v="703539.0"/>
        <n v="704346.0"/>
        <n v="512640.0"/>
        <n v="565760.0"/>
        <n v="718080.0"/>
        <n v="207677.0"/>
        <n v="149500.0"/>
        <n v="774000.0"/>
        <n v="123000.0"/>
        <n v="158530.0"/>
        <n v="357999.0"/>
        <n v="653000.0"/>
        <n v="782000.0"/>
        <n v="712000.0"/>
        <n v="439000.0"/>
        <m/>
        <n v="1.1866181244859998E9"/>
      </sharedItems>
    </cacheField>
    <cacheField name="Payment">
      <sharedItems containsBlank="1" containsMixedTypes="1" containsNumber="1" containsInteger="1">
        <s v="Tempo 2 Month"/>
        <s v="Tempo DUNLOP"/>
        <s v="Tempo 30 Days"/>
        <s v="Cash"/>
        <s v="Tempo 14 Days"/>
        <m/>
        <n v="0.0"/>
      </sharedItems>
    </cacheField>
    <cacheField name="SUM" numFmtId="165">
      <sharedItems containsString="0" containsBlank="1" containsNumber="1">
        <n v="5427500.0"/>
        <n v="7000000.0"/>
        <n v="6280000.0"/>
        <n v="1.285E7"/>
        <n v="3465000.0"/>
        <n v="6767280.0"/>
        <n v="6555000.0"/>
        <n v="5360000.0"/>
        <n v="4595496.0"/>
        <n v="4861044.0"/>
        <n v="1805000.0"/>
        <n v="2341000.0"/>
        <n v="1.36E7"/>
        <n v="2940000.0"/>
        <n v="760239.0"/>
        <n v="3660000.0"/>
        <n v="1.47E7"/>
        <n v="5490000.0"/>
        <n v="5300000.0"/>
        <n v="7020000.0"/>
        <n v="3.065E7"/>
        <n v="3214080.0"/>
        <n v="2.034E7"/>
        <n v="1.083E7"/>
        <n v="8060000.0"/>
        <n v="1500000.0"/>
        <n v="1999200.0"/>
        <n v="1618400.0"/>
        <n v="3128000.0"/>
        <n v="2550000.0"/>
        <n v="5070000.0"/>
        <n v="6637500.0"/>
        <n v="1.18E7"/>
        <n v="7350000.0"/>
        <n v="8829000.0"/>
        <n v="969000.0"/>
        <n v="1071000.0"/>
        <n v="6793500.0"/>
        <n v="5248000.0"/>
        <n v="4757000.0"/>
        <n v="2688800.0"/>
        <n v="5811000.0"/>
        <n v="6906000.0"/>
        <n v="3344000.0"/>
        <n v="986000.0"/>
        <n v="1088000.0"/>
        <n v="1.5E7"/>
        <n v="1.288E7"/>
        <n v="5850000.0"/>
        <n v="8640000.0"/>
        <n v="6580000.0"/>
        <n v="2300000.0"/>
        <n v="1.05675E7"/>
        <n v="7790000.0"/>
        <n v="1.6125E7"/>
        <n v="1246000.0"/>
        <n v="4954500.0"/>
        <n v="2820000.0"/>
        <n v="1.43557E7"/>
        <n v="1.425E7"/>
        <n v="5720000.0"/>
        <n v="5828000.0"/>
        <n v="7132800.0"/>
        <n v="893661.0"/>
        <n v="1518900.0"/>
        <n v="2718576.0"/>
        <n v="2980000.0"/>
        <n v="1740000.0"/>
        <n v="2750000.0"/>
        <n v="2403440.0"/>
        <n v="2623840.0"/>
        <n v="1285000.0"/>
        <n v="1.585E7"/>
        <n v="8100000.0"/>
        <n v="902500.0"/>
        <n v="4400000.0"/>
        <n v="5050000.0"/>
        <n v="2450000.0"/>
        <n v="3063664.0"/>
        <n v="1.365E7"/>
        <n v="1430000.0"/>
        <n v="1720000.0"/>
        <n v="9750000.0"/>
        <n v="7360000.0"/>
        <n v="3530000.0"/>
        <n v="7880000.0"/>
        <n v="5700000.0"/>
        <n v="1350000.0"/>
        <n v="2.43E7"/>
        <n v="4710000.0"/>
        <n v="5080000.0"/>
        <n v="5441505.0"/>
        <n v="3925665.0"/>
        <n v="4596000.0"/>
        <n v="3829580.0"/>
        <n v="5415000.0"/>
        <n v="5668764.0"/>
        <n v="5943234.0"/>
        <n v="2235000.0"/>
        <n v="3510000.0"/>
        <n v="4.536E7"/>
        <n v="1737400.0"/>
        <n v="2674800.0"/>
        <n v="1737500.0"/>
        <n v="2665000.0"/>
        <n v="510000.0"/>
        <n v="2452000.0"/>
        <n v="3176000.0"/>
        <n v="5195000.0"/>
        <n v="2955000.0"/>
        <n v="1570000.0"/>
        <n v="765000.0"/>
        <n v="1731000.0"/>
        <n v="3780761.332"/>
        <n v="7134750.0"/>
        <n v="8290800.0"/>
        <n v="6098000.0"/>
        <n v="2666000.0"/>
        <n v="2014770.0"/>
        <n v="2688920.0"/>
        <n v="2638480.0"/>
        <n v="5424300.0"/>
        <n v="5408000.0"/>
        <n v="5524480.0"/>
        <n v="4855200.0"/>
        <n v="1970000.0"/>
        <n v="5437500.0"/>
        <n v="9995000.0"/>
        <n v="4470000.0"/>
        <n v="2.392E7"/>
        <n v="4350000.0"/>
        <n v="3900000.0"/>
        <n v="9200000.0"/>
        <n v="6792000.0"/>
        <n v="1748000.0"/>
        <n v="1816000.0"/>
        <n v="2292000.0"/>
        <n v="2957500.0"/>
        <n v="2875000.0"/>
        <n v="6655848.0"/>
        <n v="1283251.0"/>
        <n v="3100000.0"/>
        <n v="4425000.0"/>
        <n v="1.51E7"/>
        <n v="1281000.0"/>
        <n v="2010000.0"/>
        <n v="5356800.0"/>
        <n v="1783200.0"/>
        <n v="1.03292E7"/>
        <n v="2909040.0"/>
        <n v="3540000.0"/>
        <n v="5730000.0"/>
        <n v="7150000.0"/>
        <n v="2968000.0"/>
        <n v="762000.0"/>
        <n v="4320000.0"/>
        <n v="1400000.0"/>
        <n v="5241000.0"/>
        <n v="2610000.0"/>
        <n v="6525000.0"/>
        <n v="2805000.0"/>
        <n v="4680000.0"/>
        <n v="5570000.0"/>
        <n v="2802400.0"/>
        <n v="8360000.0"/>
        <n v="5220000.0"/>
        <n v="5620000.0"/>
        <n v="4860000.0"/>
        <n v="1.06E7"/>
        <n v="3000000.0"/>
        <n v="1480000.0"/>
        <n v="2430000.0"/>
        <n v="6020000.0"/>
        <n v="9000000.0"/>
        <n v="2313840.0"/>
        <n v="7561523.0"/>
        <n v="799425.0"/>
        <n v="1.57E7"/>
        <n v="1.27E7"/>
        <n v="8591436.0"/>
        <n v="5600000.0"/>
        <n v="7293081.959999999"/>
        <n v="2684416.0"/>
        <n v="4083072.0"/>
        <n v="810342.44"/>
        <n v="8462715.0"/>
        <n v="1118000.0"/>
        <n v="1003000.0"/>
        <n v="157500.0"/>
        <n v="76000.0"/>
        <n v="3295920.0"/>
        <n v="6581920.0"/>
        <n v="2554400.0"/>
        <n v="3683000.0"/>
        <n v="2.074E7"/>
        <n v="5349600.0"/>
        <n v="3500000.0"/>
        <n v="2340000.0"/>
        <n v="1431270.0"/>
        <n v="8348890.0"/>
        <n v="2540160.0"/>
        <n v="7664384.0"/>
        <n v="2536396.8"/>
        <n v="8700000.0"/>
        <n v="3080000.0"/>
        <n v="4140000.0"/>
        <n v="3.01E7"/>
        <n v="9168000.0"/>
        <n v="1.806E7"/>
        <n v="1.144E7"/>
        <n v="8625000.0"/>
        <n v="1620000.0"/>
        <n v="2730000.0"/>
        <n v="6937500.0"/>
        <n v="4650000.0"/>
        <n v="4214000.0"/>
        <n v="575000.0"/>
        <n v="4090000.0"/>
        <n v="1.65E7"/>
        <n v="1.104E7"/>
        <n v="5750000.0"/>
        <n v="2865000.0"/>
        <n v="2860000.0"/>
        <n v="1470000.0"/>
        <n v="2.015E7"/>
        <n v="2.025E7"/>
        <n v="2014800.0"/>
        <n v="6730000.0"/>
        <n v="504280.0"/>
        <n v="6480000.0"/>
        <n v="1114000.0"/>
        <n v="1336000.0"/>
        <n v="2227814.0"/>
        <n v="2914000.0"/>
        <n v="5164600.0"/>
        <n v="1719000.0"/>
        <n v="1454000.0"/>
        <n v="1184000.0"/>
        <n v="5865574.0"/>
        <n v="6700000.0"/>
        <n v="1692543.0"/>
        <n v="1.1139072E7"/>
        <n v="3385086.0"/>
        <n v="1.146E7"/>
        <n v="2.709E7"/>
        <n v="1.43E7"/>
        <n v="1.15E7"/>
        <n v="4560000.0"/>
        <n v="5580000.0"/>
        <n v="5150000.0"/>
        <n v="6680000.0"/>
        <n v="3480000.0"/>
        <n v="2156000.0"/>
        <n v="2800000.0"/>
        <n v="6102000.0"/>
        <n v="4454000.0"/>
        <n v="5329800.0"/>
        <n v="5727000.0"/>
        <n v="2666160.0"/>
        <n v="2956000.0"/>
        <n v="3452100.0"/>
        <n v="4030000.0"/>
        <n v="1.215E7"/>
        <n v="3082500.0"/>
        <n v="4850000.0"/>
        <n v="6905600.0"/>
        <n v="5934380.0"/>
        <n v="8849790.0"/>
        <n v="5170000.0"/>
        <n v="5650000.0"/>
        <n v="2440000.0"/>
        <n v="1.728E7"/>
        <n v="1.155E7"/>
        <n v="2850000.0"/>
        <n v="9150000.0"/>
        <n v="3.1725E7"/>
        <n v="1.13925E7"/>
        <n v="9015000.0"/>
        <n v="9807600.0"/>
        <n v="3236800.0"/>
        <n v="4950000.0"/>
        <n v="6320000.0"/>
        <n v="7500000.0"/>
        <n v="7080000.0"/>
        <n v="1.0496E7"/>
        <n v="3810100.0"/>
        <n v="3029200.0"/>
        <n v="2368800.0"/>
        <n v="6790888.0"/>
        <n v="2071716.0"/>
        <n v="1.0815E7"/>
        <n v="6225000.0"/>
        <n v="4399182.0"/>
        <n v="5727620.0"/>
        <n v="3048192.0"/>
        <n v="3136000.0"/>
        <n v="1747380.0"/>
        <n v="6830210.0"/>
        <n v="8103420.0"/>
        <n v="7605000.0"/>
        <n v="1.845E7"/>
        <n v="3284000.0"/>
        <n v="3897500.0"/>
        <n v="3495000.0"/>
        <n v="3050000.0"/>
        <n v="3606000.0"/>
        <n v="1447000.0"/>
        <n v="3584000.0"/>
        <n v="2.16E7"/>
        <n v="1.472E7"/>
        <n v="1.456E7"/>
        <n v="8250000.0"/>
        <n v="2256000.0"/>
        <n v="421696.0"/>
        <n v="2708535.0"/>
        <n v="2538000.0"/>
        <n v="2704000.0"/>
        <n v="5811200.0"/>
        <n v="4756500.0"/>
        <n v="4878400.0"/>
        <n v="2638400.0"/>
        <n v="2572800.0"/>
        <n v="2867600.0"/>
        <n v="3236000.0"/>
        <n v="5997300.0"/>
        <n v="2217000.0"/>
        <n v="1.0125E7"/>
        <n v="1504000.0"/>
        <n v="1899000.0"/>
        <n v="1.4195E7"/>
        <n v="1.22E7"/>
        <n v="1.519E7"/>
        <n v="1.202E7"/>
        <n v="2374164.0"/>
        <n v="2622000.0"/>
        <n v="4540000.0"/>
        <n v="2760000.0"/>
        <n v="3440000.0"/>
        <n v="4045000.0"/>
        <n v="908000.0"/>
        <n v="2507500.0"/>
        <n v="2910000.0"/>
        <n v="2912500.0"/>
        <n v="3836000.0"/>
        <n v="1.82E7"/>
        <n v="9270000.0"/>
        <n v="8540000.0"/>
        <n v="3.6801E7"/>
        <n v="6050000.0"/>
        <n v="4816000.0"/>
        <n v="9354000.0"/>
        <n v="2427000.0"/>
        <n v="1320000.0"/>
        <n v="2490000.0"/>
        <n v="4900000.0"/>
        <n v="1.8225E7"/>
        <n v="5922000.0"/>
        <n v="6665400.0"/>
        <n v="4529700.0"/>
        <n v="1576000.0"/>
        <n v="7797350.399999999"/>
        <n v="5934384.0"/>
        <n v="5727624.0"/>
        <n v="2.3175E7"/>
        <n v="1.8675E7"/>
        <n v="7725000.0"/>
        <n v="1.274E7"/>
        <n v="1.3374E7"/>
        <n v="2562000.0"/>
        <n v="1501164.0"/>
        <n v="5244000.0"/>
        <n v="4700000.0"/>
        <n v="638500.0"/>
        <n v="1108560.0"/>
        <n v="2439216.0"/>
        <n v="1275000.0"/>
        <n v="6080000.0"/>
        <n v="6150000.0"/>
        <n v="4104000.0"/>
        <n v="2.05E7"/>
        <n v="5500000.0"/>
        <n v="4128000.0"/>
        <n v="2547000.0"/>
        <n v="4776000.0"/>
        <n v="1.9035E7"/>
        <n v="1.803E7"/>
        <n v="3180000.0"/>
        <n v="1747500.0"/>
        <n v="3632000.0"/>
        <n v="2080000.0"/>
        <n v="1186876.8"/>
        <n v="2175000.0"/>
        <n v="1080000.0"/>
        <n v="1840000.0"/>
        <n v="179560.0"/>
        <n v="281400.0"/>
        <n v="73700.0"/>
        <n v="101840.0"/>
        <n v="1187082.0"/>
        <n v="2331200.0"/>
        <n v="3368000.0"/>
        <n v="2554000.0"/>
        <n v="2480000.0"/>
        <n v="593541.0"/>
        <n v="7125000.0"/>
        <n v="1.296E7"/>
        <n v="1186000.0"/>
        <n v="4281300.0"/>
        <n v="3673600.0"/>
        <n v="2232800.0"/>
        <n v="3553200.0"/>
        <n v="1336200.0"/>
        <n v="2016600.0"/>
        <n v="3233200.0"/>
        <n v="1672000.0"/>
        <n v="3244800.0"/>
        <n v="5524800.0"/>
        <n v="4454100.0"/>
        <n v="3430000.0"/>
        <n v="6900000.0"/>
        <n v="2512500.0"/>
        <n v="6380000.0"/>
        <n v="1945000.0"/>
        <n v="2145000.0"/>
        <n v="6960000.0"/>
        <n v="2372000.0"/>
        <n v="1811880.0"/>
        <n v="803640.0"/>
        <n v="2227814.4"/>
        <n v="3140000.0"/>
        <n v="900000.0"/>
        <n v="1.435E7"/>
        <n v="2360000.0"/>
        <n v="593488.4"/>
        <n v="680512.0"/>
        <n v="3142500.0"/>
        <n v="1504500.0"/>
        <n v="3300000.0"/>
        <n v="6880000.0"/>
        <n v="881000.0"/>
        <n v="849000.0"/>
        <n v="2724000.0"/>
        <n v="2554100.0"/>
        <n v="4207000.0"/>
        <n v="1.58625E7"/>
        <n v="2291049.6"/>
        <n v="3341721.5999999996"/>
        <n v="1790000.0"/>
        <n v="1.2E7"/>
        <n v="1.545E7"/>
        <n v="1.245E7"/>
        <n v="4399180.5"/>
        <n v="5934884.0"/>
        <n v="3832192.0"/>
        <n v="3539916.0"/>
        <n v="3561600.0"/>
        <n v="3417750.0"/>
        <n v="1470500.0"/>
        <n v="384000.0"/>
        <n v="80000.0"/>
        <n v="107500.0"/>
        <n v="260000.0"/>
        <n v="130000.0"/>
        <n v="1145524.8"/>
        <n v="1.23E7"/>
        <n v="438400.0"/>
        <n v="2264850.0"/>
        <n v="2180000.0"/>
        <n v="1812000.0"/>
        <n v="572762.4"/>
        <n v="2514000.0"/>
        <n v="4670000.0"/>
        <n v="599000.0"/>
        <n v="708000.0"/>
        <n v="3453000.0"/>
        <n v="9060000.0"/>
        <n v="4354400.0"/>
        <n v="1960000.0"/>
        <n v="2020000.0"/>
        <n v="1785000.0"/>
        <n v="8120000.0"/>
        <n v="1.421E7"/>
        <n v="1.83E7"/>
        <n v="1915500.0"/>
        <n v="4077500.0"/>
        <n v="1660200.0"/>
        <n v="2646200.0"/>
        <n v="5569535.0"/>
        <n v="4862054.64"/>
        <n v="7900000.0"/>
        <n v="8350297.5"/>
        <n v="2932787.0"/>
        <n v="1620684.88"/>
        <n v="1.0084467E7"/>
        <n v="2525000.0"/>
        <n v="2380000.0"/>
        <n v="1.48E7"/>
        <n v="3785600.0"/>
        <n v="2905500.0"/>
        <n v="4143600.0"/>
        <n v="3171000.0"/>
        <n v="2847600.0"/>
        <n v="1040400.0"/>
        <n v="1110400.0"/>
        <n v="1638000.0"/>
        <n v="8200000.0"/>
        <n v="2884000.0"/>
        <n v="6000000.0"/>
        <n v="3.11E7"/>
        <n v="1.49E7"/>
        <n v="1.19E7"/>
        <n v="830000.0"/>
        <n v="3796000.0"/>
        <n v="2364000.0"/>
        <n v="2756000.0"/>
        <n v="2313000.0"/>
        <n v="5390000.0"/>
        <n v="6740000.0"/>
        <n v="4963000.0"/>
        <n v="3084000.0"/>
        <n v="4315000.0"/>
        <n v="2691000.0"/>
        <n v="877000.0"/>
        <n v="1624000.0"/>
        <n v="1964000.0"/>
        <n v="3420000.0"/>
        <n v="2428000.0"/>
        <n v="1446800.0"/>
        <n v="2.592E7"/>
        <n v="1693000.0"/>
        <n v="250000.0"/>
        <n v="233200.0"/>
        <n v="247500.0"/>
        <n v="2.0E7"/>
        <n v="2265000.0"/>
        <n v="6220000.0"/>
        <n v="2852500.0"/>
        <n v="2220800.0"/>
        <n v="2600000.0"/>
        <n v="1794000.0"/>
        <n v="2584000.0"/>
        <n v="2378500.0"/>
        <n v="2624000.0"/>
        <n v="2177200.0"/>
        <n v="2961000.0"/>
        <n v="2439200.0"/>
        <n v="3332500.0"/>
        <n v="2280800.0"/>
        <n v="2324400.0"/>
        <n v="2967500.0"/>
        <n v="2863812.0"/>
        <n v="6800000.0"/>
        <n v="7800000.0"/>
        <n v="1860000.0"/>
        <n v="2320000.0"/>
        <n v="3640000.0"/>
        <n v="1.866E7"/>
        <n v="4312000.0"/>
        <n v="5392000.0"/>
        <n v="2075000.0"/>
        <n v="8330000.0"/>
        <n v="2280000.0"/>
        <n v="5000000.0"/>
        <n v="400000.0"/>
        <n v="570000.0"/>
        <n v="2099200.0"/>
        <n v="2508000.0"/>
        <n v="4326400.0"/>
        <n v="1.624E7"/>
        <n v="7400000.0"/>
        <n v="9280000.0"/>
        <n v="2640000.0"/>
        <n v="1930000.0"/>
        <n v="5614000.0"/>
        <n v="1.1356E7"/>
        <n v="790000.0"/>
        <n v="2370000.0"/>
        <n v="450000.0"/>
        <n v="7450000.0"/>
        <n v="9952000.0"/>
        <n v="1660000.0"/>
        <n v="4718000.0"/>
        <n v="1680000.0"/>
        <n v="3508000.0"/>
        <n v="4068000.0"/>
        <n v="4116000.0"/>
        <n v="3588000.0"/>
        <n v="5168000.0"/>
        <n v="1711500.0"/>
        <n v="5317155.0"/>
        <n v="5966944.0"/>
        <n v="5757808.0"/>
        <n v="6500000.0"/>
        <n v="3865233.5999999996"/>
        <n v="4980000.0"/>
        <n v="8302736.0"/>
        <n v="4455628.8"/>
        <n v="2428728.0"/>
        <n v="200000.0"/>
        <n v="300000.0"/>
        <n v="3090000.0"/>
        <n v="4100000.0"/>
        <n v="2200000.0"/>
        <n v="204000.0"/>
        <n v="7470000.0"/>
        <n v="2052800.0"/>
        <n v="1095600.0"/>
        <n v="1427200.0"/>
        <n v="807900.0"/>
        <n v="664800.0"/>
        <n v="677600.0"/>
        <n v="1.244E7"/>
        <n v="5950000.0"/>
        <n v="8550000.0"/>
        <n v="5834732.0"/>
        <n v="4315194.0"/>
        <n v="5698048.0"/>
        <n v="4835232.0"/>
        <n v="2671380.0"/>
        <n v="475000.0"/>
        <n v="1800000.0"/>
        <n v="1868000.0"/>
        <n v="3208000.0"/>
        <n v="897000.0"/>
        <n v="2854400.0"/>
        <n v="771000.0"/>
        <n v="9800000.0"/>
        <n v="648000.0"/>
        <n v="318000.0"/>
        <n v="2655000.0"/>
        <n v="1190000.0"/>
        <n v="945000.0"/>
        <n v="190000.0"/>
        <n v="5520000.0"/>
        <n v="1820000.0"/>
        <n v="5966940.0"/>
        <n v="4550000.0"/>
        <n v="5530000.0"/>
        <n v="6446976.0"/>
        <n v="4635000.0"/>
        <n v="2658577.5"/>
        <n v="3400000.0"/>
        <n v="3160000.0"/>
        <n v="1361024.0"/>
        <n v="1524096.0"/>
        <n v="7122560.0"/>
        <n v="2303123.2"/>
        <n v="1743300.0"/>
        <n v="2791000.0"/>
        <n v="2082900.0"/>
        <n v="1256200.0"/>
        <n v="1344420.0"/>
        <n v="2271900.0"/>
        <n v="4640000.0"/>
        <n v="1.184E7"/>
        <n v="3570000.0"/>
        <n v="1.944E7"/>
        <n v="1.236E7"/>
        <n v="1.1325E7"/>
        <n v="6168000.0"/>
        <n v="3452000.0"/>
        <n v="3021000.0"/>
        <n v="3168000.0"/>
        <n v="1378000.0"/>
        <n v="1418000.0"/>
        <n v="6066000.0"/>
        <n v="2.488E7"/>
        <n v="1245000.0"/>
        <n v="8925000.0"/>
        <n v="3248000.0"/>
        <n v="844000.0"/>
        <n v="5446000.0"/>
        <n v="3546000.0"/>
        <n v="2217120.0"/>
        <n v="1387400.0"/>
        <n v="1615800.0"/>
        <n v="3376000.0"/>
        <n v="5672000.0"/>
        <n v="2631000.0"/>
        <n v="1710000.0"/>
        <n v="596000.0"/>
        <n v="3687000.0"/>
        <n v="9975000.0"/>
        <n v="95000.0"/>
        <n v="1130842.0"/>
        <n v="5800000.0"/>
        <n v="3486720.0"/>
        <n v="4834200.0"/>
        <n v="4531780.0"/>
        <n v="2672400.0"/>
        <n v="1882200.0"/>
        <n v="2638440.0"/>
        <n v="2867760.0"/>
        <n v="2905600.0"/>
        <n v="109200.0"/>
        <n v="1.64E7"/>
        <n v="2695000.0"/>
        <n v="5732000.0"/>
        <n v="5927200.0"/>
        <n v="2335000.0"/>
        <n v="6722978.0"/>
        <n v="161753.6844"/>
        <n v="614663.1216"/>
        <n v="6785049.600000001"/>
        <n v="6098444.0"/>
        <n v="5885058.0"/>
        <n v="8150000.0"/>
        <n v="2041536.0"/>
        <n v="5094292.0"/>
        <n v="3638340.0"/>
        <n v="5400000.0"/>
        <n v="7050000.0"/>
        <n v="3383116.8000000003"/>
        <n v="8715000.0"/>
        <n v="2191200.0"/>
        <n v="1952055.0"/>
        <n v="662145.0"/>
        <n v="1285425.0"/>
        <n v="2854200.0"/>
        <n v="3148800.0"/>
        <n v="3422000.0"/>
        <n v="3102000.0"/>
        <n v="3194400.0"/>
        <n v="2455000.0"/>
        <n v="1393000.0"/>
        <n v="3118000.0"/>
        <n v="1754000.0"/>
        <n v="2589000.0"/>
        <n v="4854000.0"/>
        <n v="7048000.0"/>
        <n v="1776000.0"/>
        <n v="951400.0"/>
        <n v="1088600.0"/>
        <n v="1333000.0"/>
        <n v="2069700.0"/>
        <n v="4165800.0"/>
        <n v="1884300.0"/>
        <n v="2595600.0"/>
        <n v="2439900.0"/>
        <n v="1760000.0"/>
        <n v="2960000.0"/>
        <n v="100000.0"/>
        <n v="380000.0"/>
        <n v="1085056.0"/>
        <n v="4050000.0"/>
        <n v="4016588.8"/>
        <n v="5822048.0"/>
        <n v="4402944.0"/>
        <n v="2722048.0"/>
        <n v="3943833.5999999996"/>
        <n v="3437056.0"/>
        <n v="3922169.6"/>
        <n v="4382400.0"/>
        <n v="3079200.0"/>
        <n v="1.94E7"/>
        <n v="4384000.0"/>
        <n v="1604000.0"/>
        <n v="6795000.0"/>
        <n v="4145400.0"/>
        <n v="1049600.0"/>
        <n v="2512400.0"/>
        <n v="1145400.0"/>
        <n v="1344400.0"/>
        <n v="3584500.0"/>
        <n v="2135700.0"/>
        <n v="1514600.0"/>
        <n v="2404000.0"/>
        <n v="4389600.0"/>
        <n v="1435896.0"/>
        <n v="3030000.0"/>
        <n v="2975000.0"/>
        <n v="1.218E7"/>
        <n v="3190000.0"/>
        <n v="3940000.0"/>
        <n v="1287000.0"/>
        <n v="2488000.0"/>
        <n v="5640000.0"/>
        <n v="3263949.0"/>
        <n v="8222592.0"/>
        <n v="4878755.0"/>
        <n v="4708046.0"/>
        <n v="2170112.0"/>
        <n v="2328000.0"/>
        <n v="1.84E7"/>
        <n v="3511200.0"/>
        <n v="3306000.0"/>
        <n v="3043200.0"/>
        <n v="730400.0"/>
        <n v="2318856.0"/>
        <n v="896400.0"/>
        <n v="1156800.0"/>
        <n v="2696000.0"/>
        <n v="2836000.0"/>
        <n v="5954000.0"/>
        <n v="6010000.0"/>
        <n v="3720000.0"/>
        <n v="1746000.0"/>
        <n v="4660000.0"/>
        <n v="960000.0"/>
        <n v="1218000.0"/>
        <n v="1060000.0"/>
        <n v="1559000.0"/>
        <n v="2664000.0"/>
        <n v="1762000.0"/>
        <n v="3582500.0"/>
        <n v="3960000.0"/>
        <n v="2790000.0"/>
        <n v="4270000.0"/>
        <n v="8248500.0"/>
        <n v="4012000.0"/>
        <n v="1980000.0"/>
        <n v="1244000.0"/>
        <n v="1.164E7"/>
        <n v="6180000.0"/>
        <n v="1.034E7"/>
        <n v="1545000.0"/>
        <n v="2271979.1"/>
        <n v="1459281.7375"/>
        <n v="7707435.0"/>
        <n v="9760000.0"/>
        <n v="2.2842E7"/>
        <n v="1.2152E7"/>
        <n v="8414000.0"/>
        <n v="2149500.0"/>
        <n v="4677000.0"/>
        <n v="6600000.0"/>
        <n v="1.525E7"/>
        <n v="1822000.0"/>
        <n v="1305000.0"/>
        <n v="5568000.0"/>
        <n v="6042000.0"/>
        <n v="7110000.0"/>
        <n v="5405000.0"/>
        <n v="2876000.0"/>
        <n v="3364200.0"/>
        <n v="6281000.0"/>
        <n v="2948500.0"/>
        <n v="3523200.0"/>
        <n v="2691200.0"/>
        <n v="3150000.0"/>
        <n v="4340000.0"/>
        <n v="500000.0"/>
        <n v="50000.0"/>
        <n v="2.019E7"/>
        <n v="240698.0"/>
        <n v="9188400.0"/>
        <n v="2355344.0"/>
        <n v="1230704.0"/>
        <n v="1585302.0"/>
        <n v="2215999.2"/>
        <n v="2.08E7"/>
        <n v="3680000.0"/>
        <n v="3920000.0"/>
        <n v="1.0633E7"/>
        <n v="485000.0"/>
        <n v="572700.0"/>
        <n v="4234800.0"/>
        <n v="5885057.5"/>
        <n v="3375000.0"/>
        <n v="7277560.0"/>
        <n v="6345000.0"/>
        <n v="7540000.0"/>
        <n v="7920000.0"/>
        <n v="8400000.0"/>
        <n v="9330000.0"/>
        <n v="5900000.0"/>
        <n v="3140500.0"/>
        <n v="4454400.0"/>
        <n v="4229400.0"/>
        <n v="2844000.0"/>
        <n v="2958400.0"/>
        <n v="3600000.0"/>
        <n v="2060000.0"/>
        <n v="4500000.0"/>
        <n v="5200000.0"/>
        <n v="1918000.0"/>
        <n v="2517799.92"/>
        <n v="440000.0"/>
        <n v="3750000.0"/>
        <n v="3659066.25"/>
        <n v="3669120.0"/>
        <n v="3093350.0"/>
        <n v="2941627.2"/>
        <n v="372000.0"/>
        <n v="3383200.0"/>
        <n v="2679328.0"/>
        <n v="2540144.0"/>
        <n v="1.6497E7"/>
        <n v="9114000.0"/>
        <n v="7212000.0"/>
        <n v="3009000.0"/>
        <n v="3492000.0"/>
        <n v="9480000.0"/>
        <n v="810000.0"/>
        <n v="201000.0"/>
        <n v="1.269E7"/>
        <n v="2338500.0"/>
        <n v="4808000.0"/>
        <n v="1.89875E7"/>
        <n v="2388000.0"/>
        <n v="1979262.0"/>
        <n v="971172.0"/>
        <n v="9900000.0"/>
        <n v="2297100.0"/>
        <n v="2.1E7"/>
        <n v="5655000.0"/>
        <n v="8850000.0"/>
        <n v="1.56E7"/>
        <n v="9484800.0"/>
        <n v="1501500.0"/>
        <n v="120000.0"/>
        <n v="515000.0"/>
        <n v="216000.0"/>
        <n v="1929200.0"/>
        <n v="1339664.0"/>
        <n v="989631.0"/>
        <n v="1028000.0"/>
        <n v="1.0325E7"/>
        <n v="547500.0"/>
        <n v="189000.0"/>
        <n v="280125.0"/>
        <n v="127875.0"/>
        <n v="112500.0"/>
        <n v="1.015E7"/>
        <n v="4668000.0"/>
        <n v="4901000.0"/>
        <n v="1834400.0"/>
        <n v="1722400.0"/>
        <n v="6153000.0"/>
        <n v="1281400.0"/>
        <n v="1345600.0"/>
        <n v="1551000.0"/>
        <n v="1.0885E7"/>
        <n v="255000.0"/>
        <n v="265000.0"/>
        <n v="225000.0"/>
        <n v="2575000.0"/>
        <n v="2.512E7"/>
        <n v="1.6544E7"/>
        <n v="2786000.0"/>
        <n v="3396000.0"/>
        <n v="2056000.0"/>
        <n v="1040000.0"/>
        <n v="2006000.0"/>
        <n v="1560000.0"/>
        <n v="1618000.0"/>
        <n v="5456500.0"/>
        <n v="3582000.0"/>
        <n v="4807000.0"/>
        <n v="9766400.0"/>
        <n v="315000.0"/>
        <n v="1.475E7"/>
        <n v="1.3995E7"/>
        <n v="1.584E7"/>
        <n v="9680000.0"/>
        <n v="2350000.0"/>
        <n v="2700000.0"/>
        <n v="4883200.0"/>
        <n v="4200000.0"/>
        <n v="2650000.0"/>
        <n v="1600000.0"/>
        <n v="600000.0"/>
        <n v="210000.0"/>
        <n v="352500.0"/>
        <n v="1950000.0"/>
        <n v="2040000.0"/>
        <n v="1170000.0"/>
        <n v="2442200.0"/>
        <n v="2192400.0"/>
        <n v="348000.0"/>
        <n v="388800.0"/>
        <n v="194400.0"/>
        <n v="1336500.0"/>
        <n v="901256.0"/>
        <n v="1270072.0"/>
        <n v="6030000.0"/>
        <n v="1.9904E7"/>
        <n v="8940000.0"/>
        <n v="8428000.0"/>
        <n v="2866000.0"/>
        <n v="1403600.0"/>
        <n v="814000.0"/>
        <n v="1.46496E7"/>
        <n v="1.252E7"/>
        <n v="1.265E7"/>
        <n v="7022118.959999999"/>
        <n v="7596421.92"/>
        <n v="7333309.92"/>
        <n v="6750000.0"/>
        <n v="8520000.0"/>
        <n v="2847488.0"/>
        <n v="3379354.0"/>
        <n v="3557478.0"/>
        <n v="7546606.0"/>
        <n v="3518268.0"/>
        <n v="6808883.0"/>
        <n v="1886861.0"/>
        <n v="3469020.0"/>
        <n v="3615024.0"/>
        <n v="3517695.0"/>
        <n v="2113038.0"/>
        <n v="5126400.0"/>
        <n v="4526080.0"/>
        <n v="2872320.0"/>
        <n v="2492124.0"/>
        <n v="1221100.0"/>
        <n v="1548000.0"/>
        <n v="123000.0"/>
        <n v="1585300.0"/>
        <n v="1431996.0"/>
        <n v="7536000.0"/>
        <n v="1.959E7"/>
        <n v="1.173E7"/>
        <n v="7476000.0"/>
        <n v="2136000.0"/>
        <n v="1.565E7"/>
        <n v="1.012E7"/>
        <n v="1756000.0"/>
        <n v="2117400.0"/>
        <n v="0.0"/>
        <n v="7.950801740865503E9"/>
        <m/>
      </sharedItems>
    </cacheField>
    <cacheField name="Due Date">
      <sharedItems containsDate="1" containsBlank="1" containsMixedTypes="1">
        <d v="2025-03-03T00:00:00Z"/>
        <d v="2025-03-04T00:00:00Z"/>
        <d v="2025-03-05T00:00:00Z"/>
        <d v="2025-03-22T00:00:00Z"/>
        <d v="2025-03-07T00:00:00Z"/>
        <d v="2025-03-08T00:00:00Z"/>
        <d v="2025-03-24T00:00:00Z"/>
        <d v="2025-03-30T00:00:00Z"/>
        <d v="2025-03-17T00:00:00Z"/>
        <d v="2025-03-19T00:00:00Z"/>
        <d v="2025-02-19T00:00:00Z"/>
        <d v="2025-04-06T00:00:00Z"/>
        <d v="2025-02-21T00:00:00Z"/>
        <d v="2025-02-23T00:00:00Z"/>
        <d v="2025-03-25T00:00:00Z"/>
        <d v="2025-03-01T00:00:00Z"/>
        <d v="2025-03-31T00:00:00Z"/>
        <d v="2025-04-15T00:00:00Z"/>
        <d v="2025-04-16T00:00:00Z"/>
        <s v="LUNAS"/>
        <d v="2025-04-04T00:00:00Z"/>
        <d v="2025-04-19T00:00:00Z"/>
        <d v="2025-04-20T00:00:00Z"/>
        <d v="2025-04-07T00:00:00Z"/>
        <d v="2025-04-13T00:00:00Z"/>
        <d v="2025-03-14T00:00:00Z"/>
        <d v="2025-04-14T00:00:00Z"/>
        <d v="2025-04-29T00:00:00Z"/>
        <d v="2025-05-05T00:00:00Z"/>
        <d v="2025-04-22T00:00:00Z"/>
        <d v="2025-03-26T00:00:00Z"/>
        <d v="2025-04-25T00:00:00Z"/>
        <d v="2025-05-11T00:00:00Z"/>
        <d v="2025-05-12T00:00:00Z"/>
        <d v="2025-05-13T00:00:00Z"/>
        <d v="2025-04-30T00:00:00Z"/>
        <d v="2025-04-02T00:00:00Z"/>
        <d v="2025-05-02T00:00:00Z"/>
        <d v="2025-04-03T00:00:00Z"/>
        <d v="2025-05-03T00:00:00Z"/>
        <d v="2025-05-04T00:00:00Z"/>
        <d v="2025-05-19T00:00:00Z"/>
        <d v="2025-05-07T00:00:00Z"/>
        <d v="2025-04-09T00:00:00Z"/>
        <d v="2025-04-11T00:00:00Z"/>
        <d v="2025-04-12T00:00:00Z"/>
        <d v="2025-05-27T00:00:00Z"/>
        <d v="2025-05-28T00:00:00Z"/>
        <d v="2025-05-16T00:00:00Z"/>
        <d v="2025-05-17T00:00:00Z"/>
        <d v="2025-04-18T00:00:00Z"/>
        <d v="2025-05-20T00:00:00Z"/>
        <d v="2025-04-21T00:00:00Z"/>
        <d v="2025-05-23T00:00:00Z"/>
        <d v="2025-04-23T00:00:00Z"/>
        <d v="2025-05-24T00:00:00Z"/>
        <d v="2025-06-09T00:00:00Z"/>
        <d v="2025-05-26T00:00:00Z"/>
        <d v="2025-06-10T00:00:00Z"/>
        <d v="2025-06-21T00:00:00Z"/>
        <d v="2025-05-09T00:00:00Z"/>
        <d v="2025-06-24T00:00:00Z"/>
        <d v="2025-06-11T00:00:00Z"/>
        <d v="2025-06-28T00:00:00Z"/>
        <d v="2025-05-14T00:00:00Z"/>
        <d v="2025-06-14T00:00:00Z"/>
        <d v="2025-06-15T00:00:00Z"/>
        <d v="2025-06-30T00:00:00Z"/>
        <d v="2025-06-16T00:00:00Z"/>
        <d v="2025-07-01T00:00:00Z"/>
        <d v="2025-07-03T00:00:00Z"/>
        <d v="2025-07-06T00:00:00Z"/>
        <d v="2025-07-07T00:00:00Z"/>
        <d v="2025-07-08T00:00:00Z"/>
        <d v="2025-06-23T00:00:00Z"/>
        <d v="2025-07-12T00:00:00Z"/>
        <d v="2025-06-29T00:00:00Z"/>
        <d v="2025-06-01T00:00:00Z"/>
        <d v="2025-06-08T00:00:00Z"/>
        <d v="2025-07-09T00:00:00Z"/>
        <d v="2025-07-30T00:00:00Z"/>
        <d v="2025-07-16T00:00:00Z"/>
        <d v="2025-07-31T00:00:00Z"/>
        <d v="2025-06-19T00:00:00Z"/>
        <d v="2025-06-20T00:00:00Z"/>
        <d v="2025-07-21T00:00:00Z"/>
        <d v="2025-07-22T00:00:00Z"/>
        <d v="2025-07-25T00:00:00Z"/>
        <d v="2025-06-25T00:00:00Z"/>
        <d v="2025-08-09T00:00:00Z"/>
        <d v="2025-06-18T00:00:00Z"/>
        <d v="2025-08-08T00:00:00Z"/>
        <d v="2025-08-25T00:00:00Z"/>
        <d v="2025-08-10T00:00:00Z"/>
        <d v="2025-08-26T00:00:00Z"/>
        <d v="2025-07-13T00:00:00Z"/>
        <d v="2025-08-31T00:00:00Z"/>
        <d v="2025-09-01T00:00:00Z"/>
        <d v="2025-08-17T00:00:00Z"/>
        <d v="2025-09-04T00:00:00Z"/>
        <d v="2025-08-22T00:00:00Z"/>
        <d v="2025-09-06T00:00:00Z"/>
        <d v="2025-09-15T00:00:00Z"/>
        <d v="2025-08-02T00:00:00Z"/>
        <d v="2025-09-02T00:00:00Z"/>
        <d v="2025-08-07T00:00:00Z"/>
        <d v="2025-09-07T00:00:00Z"/>
        <d v="2025-09-10T00:00:00Z"/>
        <d v="2025-08-11T00:00:00Z"/>
        <d v="2025-09-27T00:00:00Z"/>
        <d v="2025-08-14T00:00:00Z"/>
        <d v="2025-08-20T00:00:00Z"/>
        <d v="2025-08-05T00:00:00Z"/>
        <d v="2025-10-07T00:00:00Z"/>
        <d v="2025-09-23T00:00:00Z"/>
        <d v="2025-08-24T00:00:00Z"/>
        <d v="2025-09-26T00:00:00Z"/>
        <d v="2025-08-27T00:00:00Z"/>
        <d v="2025-10-11T00:00:00Z"/>
        <d v="2025-10-14T00:00:00Z"/>
        <d v="2025-09-30T00:00:00Z"/>
        <d v="2025-10-06T00:00:00Z"/>
        <d v="2025-09-08T00:00:00Z"/>
        <d v="2025-09-11T00:00:00Z"/>
        <d v="2025-10-12T00:00:00Z"/>
        <d v="2025-10-13T00:00:00Z"/>
        <d v="2025-10-20T00:00:00Z"/>
        <d v="2025-10-24T00:00:00Z"/>
        <d v="2025-09-24T00:00:00Z"/>
        <d v="2025-10-27T00:00:00Z"/>
        <d v="2025-11-15T00:00:00Z"/>
        <d v="2025-10-31T00:00:00Z"/>
        <d v="2025-11-16T00:00:00Z"/>
        <d v="2025-10-02T00:00:00Z"/>
        <d v="2025-11-02T00:00:00Z"/>
        <d v="2025-10-03T00:00:00Z"/>
        <d v="2025-11-05T00:00:00Z"/>
        <d v="2025-10-08T00:00:00Z"/>
        <d v="2025-10-09T00:00:00Z"/>
        <d v="2025-11-09T00:00:00Z"/>
        <d v="2025-11-19T00:00:00Z"/>
        <d v="2025-12-06T00:00:00Z"/>
        <d v="2025-11-22T00:00:00Z"/>
        <d v="2025-12-08T00:00:00Z"/>
        <d v="2025-12-10T00:00:00Z"/>
        <d v="2025-11-26T00:00:00Z"/>
        <d v="2025-12-13T00:00:00Z"/>
        <d v="2025-10-30T00:00:00Z"/>
        <d v="2025-12-15T00:00:00Z"/>
        <d v="2025-12-02T00:00:00Z"/>
        <d v="2025-12-23T00:00:00Z"/>
        <d v="2025-11-13T00:00:00Z"/>
        <d v="2025-12-14T00:00:00Z"/>
        <d v="2026-01-03T00:00:00Z"/>
        <d v="2025-12-20T00:00:00Z"/>
        <d v="2026-01-11T00:00:00Z"/>
        <d v="2026-01-12T00:00:00Z"/>
        <d v="2025-11-28T00:00:00Z"/>
        <d v="2025-12-30T00:00:00Z"/>
        <d v="2025-12-05T00:00:00Z"/>
        <d v="2026-01-05T00:00:00Z"/>
        <d v="2025-12-11T00:00:00Z"/>
        <d v="2026-01-25T00:00:00Z"/>
        <d v="2025-12-12T00:00:00Z"/>
        <d v="2026-01-10T00:00:00Z"/>
        <d v="2026-01-27T00:00:00Z"/>
        <d v="2025-12-17T00:00:00Z"/>
        <d v="2025-12-01T00:00:00Z"/>
        <d v="2025-12-18T00:00:00Z"/>
        <d v="2026-01-17T00:00:00Z"/>
        <d v="2026-01-18T00:00:00Z"/>
        <d v="2026-01-24T00:00:00Z"/>
        <d v="2026-02-08T00:00:00Z"/>
        <d v="2025-12-26T00:00:00Z"/>
        <d v="2025-12-27T00:00:00Z"/>
        <d v="2025-12-29T00:00:00Z"/>
        <d v="2025-12-28T00:00:00Z"/>
        <d v="2026-01-02T00:00:00Z"/>
        <d v="2026-02-01T00:00:00Z"/>
        <d v="2026-02-18T00:00:00Z"/>
        <d v="2026-02-03T00:00:00Z"/>
        <d v="2026-02-06T00:00:00Z"/>
        <d v="2026-02-23T00:00:00Z"/>
        <d v="2026-02-07T00:00:00Z"/>
        <d v="2026-02-09T00:00:00Z"/>
        <d v="2026-01-14T00:00:00Z"/>
        <d v="2026-01-15T00:00:00Z"/>
        <d v="2026-01-21T00:00:00Z"/>
        <d v="2026-03-08T00:00:00Z"/>
        <d v="2026-01-22T00:00:00Z"/>
        <d v="2026-01-06T00:00:00Z"/>
        <d v="2026-01-23T00:00:00Z"/>
        <d v="2026-02-21T00:00:00Z"/>
        <d v="2026-02-25T00:00:00Z"/>
        <d v="2026-02-27T00:00:00Z"/>
        <d v="2026-02-28T00:00:00Z"/>
        <d v="2026-03-18T00:00:00Z"/>
        <d v="2026-01-30T00:00:00Z"/>
        <d v="2026-03-21T00:00:00Z"/>
        <d v="2026-02-05T00:00:00Z"/>
        <d v="2026-03-25T00:00:00Z"/>
        <d v="2026-03-10T00:00:00Z"/>
        <d v="2026-03-15T00:00:00Z"/>
        <d v="2026-02-16T00:00:00Z"/>
        <d v="2026-03-20T00:00:00Z"/>
        <d v="2026-02-02T00:00:00Z"/>
        <d v="2026-03-22T00:00:00Z"/>
        <d v="2026-04-07T00:00:00Z"/>
        <d v="2026-02-26T00:00:00Z"/>
        <d v="2026-02-13T00:00:00Z"/>
        <d v="2026-02-11T00:00:00Z"/>
        <d v="2026-04-16T00:00:00Z"/>
        <d v="2026-04-18T00:00:00Z"/>
        <d v="2026-04-03T00:00:00Z"/>
        <d v="2026-04-04T00:00:00Z"/>
        <d v="2026-02-19T00:00:00Z"/>
        <d v="2026-03-07T00:00:00Z"/>
        <d v="2026-04-13T00:00:00Z"/>
        <d v="2026-04-17T00:00:00Z"/>
        <d v="2026-05-02T00:00:00Z"/>
        <d v="2026-03-02T00:00:00Z"/>
        <d v="2026-04-15T00:00:00Z"/>
        <d v="2026-03-14T00:00:00Z"/>
        <d v="2026-04-26T00:00:00Z"/>
        <d v="2026-03-30T00:00:00Z"/>
        <d v="2026-05-01T00:00:00Z"/>
        <d v="2026-05-17T00:00:00Z"/>
        <d v="2026-03-19T00:00:00Z"/>
        <d v="2026-03-23T00:00:00Z"/>
        <d v="2026-05-08T00:00:00Z"/>
        <d v="2026-04-08T00:00:00Z"/>
        <d v="2026-04-09T00:00:00Z"/>
        <d v="2026-05-13T00:00:00Z"/>
        <d v="2026-04-24T00:00:00Z"/>
        <d v="2026-04-25T00:00:00Z"/>
        <d v="2026-04-10T00:00:00Z"/>
        <d v="2026-06-13T00:00:00Z"/>
        <d v="2026-05-06T00:00:00Z"/>
        <d v="2026-06-05T00:00:00Z"/>
        <d v="2026-05-07T00:00:00Z"/>
        <d v="2026-06-06T00:00:00Z"/>
        <d v="2026-07-01T00:00:00Z"/>
        <d v="2026-05-20T00:00:00Z"/>
        <d v="2026-07-07T00:00:00Z"/>
        <d v="2026-06-22T00:00:00Z"/>
        <d v="2026-07-12T00:00:00Z"/>
        <d v="2026-05-28T00:00:00Z"/>
        <d v="2026-06-01T00:00:00Z"/>
        <d v="2026-06-26T00:00:00Z"/>
        <d v="2026-06-30T00:00:00Z"/>
        <d v="2026-07-19T00:00:00Z"/>
        <d v="2026-06-10T00:00:00Z"/>
        <d v="2026-06-11T00:00:00Z"/>
        <d v="2026-07-11T00:00:00Z"/>
        <d v="2026-07-27T00:00:00Z"/>
        <d v="2026-07-15T00:00:00Z"/>
        <d v="2026-06-18T00:00:00Z"/>
        <d v="2026-07-20T00:00:00Z"/>
        <d v="2026-06-20T00:00:00Z"/>
        <d v="2026-06-24T00:00:00Z"/>
        <d v="2026-06-27T00:00:00Z"/>
        <d v="2026-08-11T00:00:00Z"/>
        <d v="2026-06-15T00:00:00Z"/>
        <d v="2026-06-29T00:00:00Z"/>
        <d v="2026-08-02T00:00:00Z"/>
        <d v="2026-07-03T00:00:00Z"/>
        <d v="2026-08-04T00:00:00Z"/>
        <d v="2026-07-06T00:00:00Z"/>
        <d v="2026-07-09T00:00:00Z"/>
        <d v="2026-08-24T00:00:00Z"/>
        <d v="2026-07-13T00:00:00Z"/>
        <d v="2026-08-12T00:00:00Z"/>
        <d v="2026-08-14T00:00:00Z"/>
        <d v="2026-07-02T00:00:00Z"/>
        <d v="2026-09-05T00:00:00Z"/>
        <d v="2026-09-08T00:00:00Z"/>
        <d v="2026-07-10T00:00:00Z"/>
        <d v="2026-09-13T00:00:00Z"/>
        <d v="2026-07-30T00:00:00Z"/>
        <d v="2026-08-03T00:00:00Z"/>
        <d v="2026-09-06T00:00:00Z"/>
        <d v="2026-08-07T00:00:00Z"/>
        <d v="2026-08-08T00:00:00Z"/>
        <d v="2026-09-15T00:00:00Z"/>
        <d v="2026-08-13T00:00:00Z"/>
        <d v="2026-08-20T00:00:00Z"/>
        <d v="2026-08-22T00:00:00Z"/>
        <d v="2026-09-26T00:00:00Z"/>
        <d v="2026-08-31T00:00:00Z"/>
        <d v="2026-08-15T00:00:00Z"/>
        <d v="2026-08-17T00:00:00Z"/>
        <d v="2026-10-18T00:00:00Z"/>
        <d v="2026-10-21T00:00:00Z"/>
        <d v="2026-09-09T00:00:00Z"/>
        <d v="2026-10-12T00:00:00Z"/>
        <d v="2026-09-12T00:00:00Z"/>
        <d v="2026-10-20T00:00:00Z"/>
        <d v="2026-09-07T00:00:00Z"/>
        <d v="2026-09-25T00:00:00Z"/>
        <d v="2026-10-25T00:00:00Z"/>
        <d v="2026-11-12T00:00:00Z"/>
        <d v="2026-11-17T00:00:00Z"/>
        <d v="2026-10-02T00:00:00Z"/>
        <d v="2026-10-03T00:00:00Z"/>
        <d v="2026-10-04T00:00:00Z"/>
        <d v="2026-10-09T00:00:00Z"/>
        <d v="2026-09-24T00:00:00Z"/>
        <d v="2026-10-11T00:00:00Z"/>
        <d v="2026-10-14T00:00:00Z"/>
        <d v="2026-10-16T00:00:00Z"/>
        <d v="2026-12-01T00:00:00Z"/>
        <d v="2026-10-19T00:00:00Z"/>
        <d v="2026-11-18T00:00:00Z"/>
        <d v="2026-11-22T00:00:00Z"/>
        <d v="1899-12-30T00:00:00Z"/>
        <m/>
      </sharedItems>
    </cacheField>
    <cacheField name="Category" numFmtId="0">
      <sharedItems containsBlank="1">
        <s v="Tire"/>
        <s v="COMPLEMENTARY"/>
        <s v="OIL"/>
        <m/>
        <e v="#N/A"/>
      </sharedItems>
    </cacheField>
    <cacheField name="Brand" numFmtId="0">
      <sharedItems containsBlank="1">
        <s v="Bridgestone"/>
        <s v="G. YEAR"/>
        <s v="Dunlop"/>
        <s v="ACCELERA"/>
        <s v="Aspira"/>
        <s v="Advance"/>
        <s v="BD"/>
        <s v="GT"/>
        <s v="Flap"/>
        <s v="Sailun"/>
        <s v="TIRON"/>
        <s v="Lower Arm"/>
        <s v="MAXXIS"/>
        <s v="DURATUN"/>
        <s v="Laufen"/>
        <s v="Michelin"/>
        <s v="GiTi"/>
        <s v="Michellin"/>
        <s v="HANKOOK"/>
        <s v="Velg"/>
        <s v="Sakura"/>
        <s v="Filter oli ORI KW"/>
        <s v="Denso"/>
        <s v="Shell"/>
        <s v="Pertamina"/>
        <s v="WD"/>
        <s v="SERVICE"/>
        <s v="TIEROD"/>
        <s v="Goodride"/>
        <s v="Baut Camber"/>
        <s v="BD IBK"/>
        <s v="WESTLAKE"/>
        <s v="Balancing"/>
        <s v="IBK"/>
        <s v="IBK light"/>
        <s v="TAMBAL TUBLES"/>
        <s v="JF"/>
        <s v="ICOSON"/>
        <s v="Honda"/>
        <s v="Suzuki"/>
        <s v="ADM PART"/>
        <s v="Stabil link avanza"/>
        <s v="Stabil link Grandmax"/>
        <s v="RACK END"/>
        <e v="#N/A"/>
        <m/>
      </sharedItems>
    </cacheField>
    <cacheField name="date invoice2" databaseField="0">
      <fieldGroup base="1">
        <rangePr autoStart="0" autoEnd="0" groupBy="years" startDate="2025-01-02T00:00:00Z" endDate="2026-09-24T00:00:00Z"/>
        <groupItems>
          <s v="&lt;01/02/25"/>
          <s v="125"/>
          <s v="126"/>
          <s v="&gt;09/24/26"/>
        </groupItems>
      </fieldGroup>
    </cacheField>
  </cacheFields>
</pivotCacheDefinition>
</file>

<file path=xl/pivotCache/pivotCacheDefinition6.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C1:E2002" sheet="PAYMENT SUPPLIER"/>
  </cacheSource>
  <cacheFields>
    <cacheField name="DATE" numFmtId="164">
      <sharedItems containsNonDate="0" containsDate="1" containsString="0" containsBlank="1">
        <d v="2025-01-21T00:00:00Z"/>
        <d v="2025-02-03T00:00:00Z"/>
        <d v="2025-02-19T00:00:00Z"/>
        <d v="2025-02-21T00:00:00Z"/>
        <d v="2025-02-23T00:00:00Z"/>
        <d v="2025-03-01T00:00:00Z"/>
        <d v="2025-03-03T00:00:00Z"/>
        <d v="2025-03-04T00:00:00Z"/>
        <d v="2025-03-05T00:00:00Z"/>
        <d v="2025-03-07T00:00:00Z"/>
        <d v="2025-03-08T00:00:00Z"/>
        <d v="2025-03-14T00:00:00Z"/>
        <d v="2025-03-15T00:00:00Z"/>
        <d v="2025-03-16T00:00:00Z"/>
        <d v="2025-03-17T00:00:00Z"/>
        <d v="2025-03-19T00:00:00Z"/>
        <d v="2025-03-22T00:00:00Z"/>
        <d v="2025-03-24T00:00:00Z"/>
        <d v="2025-03-25T00:00:00Z"/>
        <d v="2025-03-26T00:00:00Z"/>
        <d v="2025-03-30T00:00:00Z"/>
        <d v="2025-03-31T00:00:00Z"/>
        <d v="2025-04-02T00:00:00Z"/>
        <d v="2025-04-04T00:00:00Z"/>
        <d v="2025-04-06T00:00:00Z"/>
        <d v="2025-04-07T00:00:00Z"/>
        <d v="2025-04-09T00:00:00Z"/>
        <d v="2025-04-11T00:00:00Z"/>
        <d v="2025-04-12T00:00:00Z"/>
        <d v="2025-04-13T00:00:00Z"/>
        <d v="2025-04-14T00:00:00Z"/>
        <d v="2025-04-15T00:00:00Z"/>
        <d v="2025-04-16T00:00:00Z"/>
        <d v="2025-04-18T00:00:00Z"/>
        <d v="2025-04-19T00:00:00Z"/>
        <d v="2025-04-20T00:00:00Z"/>
        <d v="2025-04-21T00:00:00Z"/>
        <d v="2025-04-22T00:00:00Z"/>
        <d v="2025-04-23T00:00:00Z"/>
        <d v="2025-04-25T00:00:00Z"/>
        <d v="2025-04-26T00:00:00Z"/>
        <d v="2025-04-27T00:00:00Z"/>
        <d v="2025-04-28T00:00:00Z"/>
        <d v="2025-04-29T00:00:00Z"/>
        <d v="2025-04-30T00:00:00Z"/>
        <d v="2025-05-02T00:00:00Z"/>
        <d v="2025-05-03T00:00:00Z"/>
        <d v="2025-05-05T00:00:00Z"/>
        <d v="2025-05-06T00:00:00Z"/>
        <d v="2025-05-09T00:00:00Z"/>
        <d v="2025-05-10T00:00:00Z"/>
        <d v="2025-05-11T00:00:00Z"/>
        <d v="2025-05-12T00:00:00Z"/>
        <d v="2025-05-13T00:00:00Z"/>
        <d v="2025-05-14T00:00:00Z"/>
        <d v="2025-05-16T00:00:00Z"/>
        <d v="2025-05-18T00:00:00Z"/>
        <d v="2025-05-19T00:00:00Z"/>
        <d v="2025-05-20T00:00:00Z"/>
        <d v="2025-05-21T00:00:00Z"/>
        <d v="2025-05-24T00:00:00Z"/>
        <d v="2025-05-28T00:00:00Z"/>
        <d v="2025-06-01T00:00:00Z"/>
        <d v="2025-06-08T00:00:00Z"/>
        <d v="2025-06-09T00:00:00Z"/>
        <d v="2025-06-10T00:00:00Z"/>
        <d v="2025-06-14T00:00:00Z"/>
        <d v="2025-06-15T00:00:00Z"/>
        <d v="2025-06-16T00:00:00Z"/>
        <d v="2025-06-19T00:00:00Z"/>
        <d v="2025-06-20T00:00:00Z"/>
        <d v="2025-06-21T00:00:00Z"/>
        <d v="2025-06-23T00:00:00Z"/>
        <d v="2025-06-24T00:00:00Z"/>
        <d v="2025-06-25T00:00:00Z"/>
        <d v="2025-06-28T00:00:00Z"/>
        <d v="2025-06-29T00:00:00Z"/>
        <d v="2025-06-30T00:00:00Z"/>
        <d v="2025-07-01T00:00:00Z"/>
        <d v="2025-07-03T00:00:00Z"/>
        <d v="2025-07-06T00:00:00Z"/>
        <d v="2025-07-07T00:00:00Z"/>
        <d v="2025-07-08T00:00:00Z"/>
        <d v="2025-07-09T00:00:00Z"/>
        <d v="2025-07-12T00:00:00Z"/>
        <d v="2025-07-13T00:00:00Z"/>
        <d v="2025-07-16T00:00:00Z"/>
        <d v="2025-07-18T00:00:00Z"/>
        <d v="2025-07-21T00:00:00Z"/>
        <d v="2025-07-22T00:00:00Z"/>
        <d v="2025-07-25T00:00:00Z"/>
        <d v="2025-07-30T00:00:00Z"/>
        <d v="2025-07-31T00:00:00Z"/>
        <d v="2025-08-02T00:00:00Z"/>
        <d v="2025-08-03T00:00:00Z"/>
        <d v="2025-08-07T00:00:00Z"/>
        <d v="2025-08-08T00:00:00Z"/>
        <d v="2025-08-09T00:00:00Z"/>
        <d v="2025-08-10T00:00:00Z"/>
        <d v="2025-08-11T00:00:00Z"/>
        <d v="2025-08-14T00:00:00Z"/>
        <d v="2025-08-20T00:00:00Z"/>
        <d v="2025-08-22T00:00:00Z"/>
        <d v="2025-08-25T00:00:00Z"/>
        <d v="2025-08-26T00:00:00Z"/>
        <d v="2025-08-27T00:00:00Z"/>
        <d v="2025-08-31T00:00:00Z"/>
        <d v="2025-09-01T00:00:00Z"/>
        <d v="2025-09-04T00:00:00Z"/>
        <d v="2025-09-06T00:00:00Z"/>
        <d v="2025-09-07T00:00:00Z"/>
        <d v="2025-09-11T00:00:00Z"/>
        <d v="2025-09-15T00:00:00Z"/>
        <d v="2025-09-20T00:00:00Z"/>
        <d v="2025-09-22T00:00:00Z"/>
        <d v="2025-09-23T00:00:00Z"/>
        <d v="2025-09-24T00:00:00Z"/>
        <d v="2025-09-25T00:00:00Z"/>
        <d v="2025-09-26T00:00:00Z"/>
        <d v="2025-09-27T00:00:00Z"/>
        <d v="2025-09-28T00:00:00Z"/>
        <d v="2025-09-30T00:00:00Z"/>
        <d v="2025-10-02T00:00:00Z"/>
        <d v="2025-10-06T00:00:00Z"/>
        <d v="2025-10-07T00:00:00Z"/>
        <d v="2025-10-08T00:00:00Z"/>
        <d v="2025-10-09T00:00:00Z"/>
        <d v="2025-10-11T00:00:00Z"/>
        <d v="2025-10-12T00:00:00Z"/>
        <d v="2025-10-13T00:00:00Z"/>
        <d v="2025-10-14T00:00:00Z"/>
        <d v="2025-10-18T00:00:00Z"/>
        <d v="2025-10-20T00:00:00Z"/>
        <d v="2025-10-27T00:00:00Z"/>
        <d v="2025-10-30T00:00:00Z"/>
        <d v="2025-10-31T00:00:00Z"/>
        <d v="2025-11-01T00:00:00Z"/>
        <d v="2025-11-04T00:00:00Z"/>
        <d v="2025-11-05T00:00:00Z"/>
        <d v="2025-11-06T00:00:00Z"/>
        <d v="2025-11-07T00:00:00Z"/>
        <d v="2025-11-08T00:00:00Z"/>
        <d v="2025-11-11T00:00:00Z"/>
        <d v="2025-11-12T00:00:00Z"/>
        <d v="2025-11-13T00:00:00Z"/>
        <d v="2025-11-14T00:00:00Z"/>
        <d v="2025-11-15T00:00:00Z"/>
        <d v="2025-11-17T00:00:00Z"/>
        <d v="2025-11-18T00:00:00Z"/>
        <d v="2025-11-19T00:00:00Z"/>
        <d v="2025-11-20T00:00:00Z"/>
        <d v="2025-11-21T00:00:00Z"/>
        <d v="2025-11-24T00:00:00Z"/>
        <d v="2025-11-25T00:00:00Z"/>
        <d v="2025-11-26T00:00:00Z"/>
        <d v="2025-11-27T00:00:00Z"/>
        <d v="2025-11-28T00:00:00Z"/>
        <d v="2025-12-03T00:00:00Z"/>
        <d v="2025-12-06T00:00:00Z"/>
        <d v="2025-12-09T00:00:00Z"/>
        <d v="2025-12-10T00:00:00Z"/>
        <d v="2025-12-11T00:00:00Z"/>
        <d v="2025-12-15T00:00:00Z"/>
        <d v="2025-12-18T00:00:00Z"/>
        <d v="2025-12-23T00:00:00Z"/>
        <d v="2025-12-31T00:00:00Z"/>
        <d v="2026-01-05T00:00:00Z"/>
        <d v="2026-01-06T00:00:00Z"/>
        <d v="2026-01-12T00:00:00Z"/>
        <d v="2026-01-13T00:00:00Z"/>
        <d v="2026-01-14T00:00:00Z"/>
        <d v="2026-01-16T00:00:00Z"/>
        <d v="2026-01-17T00:00:00Z"/>
        <d v="2026-01-19T00:00:00Z"/>
        <d v="2026-01-21T00:00:00Z"/>
        <d v="2026-01-24T00:00:00Z"/>
        <d v="2026-01-26T00:00:00Z"/>
        <d v="2026-01-27T00:00:00Z"/>
        <d v="2026-01-28T00:00:00Z"/>
        <d v="2026-01-29T00:00:00Z"/>
        <d v="2026-01-30T00:00:00Z"/>
        <d v="2026-01-31T00:00:00Z"/>
        <d v="2026-02-01T00:00:00Z"/>
        <d v="2026-02-02T00:00:00Z"/>
        <d v="2026-02-03T00:00:00Z"/>
        <d v="2026-02-04T00:00:00Z"/>
        <d v="2026-02-05T00:00:00Z"/>
        <d v="2026-02-06T00:00:00Z"/>
        <d v="2026-02-10T00:00:00Z"/>
        <d v="2026-02-11T00:00:00Z"/>
        <d v="2026-02-13T00:00:00Z"/>
        <d v="2026-02-14T00:00:00Z"/>
        <d v="2026-02-16T00:00:00Z"/>
        <d v="2026-02-20T00:00:00Z"/>
        <d v="2026-02-24T00:00:00Z"/>
        <d v="2026-02-26T00:00:00Z"/>
        <d v="2026-02-27T00:00:00Z"/>
        <d v="2026-03-01T00:00:00Z"/>
        <d v="2026-03-02T00:00:00Z"/>
        <d v="2026-03-04T00:00:00Z"/>
        <d v="2026-03-07T00:00:00Z"/>
        <d v="2026-03-08T00:00:00Z"/>
        <d v="2026-03-09T00:00:00Z"/>
        <d v="2026-03-11T00:00:00Z"/>
        <d v="2026-03-12T00:00:00Z"/>
        <d v="2026-03-13T00:00:00Z"/>
        <d v="2026-03-14T00:00:00Z"/>
        <d v="2026-03-16T00:00:00Z"/>
        <d v="2026-03-18T00:00:00Z"/>
        <d v="2026-03-19T00:00:00Z"/>
        <d v="2026-03-24T00:00:00Z"/>
        <d v="2026-03-26T00:00:00Z"/>
        <d v="2026-03-27T00:00:00Z"/>
        <d v="2026-03-28T00:00:00Z"/>
        <d v="2026-04-01T00:00:00Z"/>
        <d v="2026-04-04T00:00:00Z"/>
        <d v="2026-04-05T00:00:00Z"/>
        <d v="2026-04-06T00:00:00Z"/>
        <d v="2026-04-07T00:00:00Z"/>
        <d v="2026-04-08T00:00:00Z"/>
        <d v="2026-04-10T00:00:00Z"/>
        <d v="2026-04-09T00:00:00Z"/>
        <d v="2026-04-14T00:00:00Z"/>
        <d v="2026-04-15T00:00:00Z"/>
        <d v="2026-04-18T00:00:00Z"/>
        <d v="2026-04-20T00:00:00Z"/>
        <d v="2026-04-21T00:00:00Z"/>
        <d v="2026-04-23T00:00:00Z"/>
        <d v="2026-04-27T00:00:00Z"/>
        <d v="2026-04-28T00:00:00Z"/>
        <d v="2026-04-30T00:00:00Z"/>
        <d v="2026-05-01T00:00:00Z"/>
        <d v="2026-05-02T00:00:00Z"/>
        <d v="2026-05-05T00:00:00Z"/>
        <d v="2026-05-06T00:00:00Z"/>
        <d v="2026-05-07T00:00:00Z"/>
        <d v="2026-05-11T00:00:00Z"/>
        <d v="2026-05-13T00:00:00Z"/>
        <d v="2026-05-18T00:00:00Z"/>
        <d v="2026-05-21T00:00:00Z"/>
        <d v="2026-05-22T00:00:00Z"/>
        <d v="2026-05-26T00:00:00Z"/>
        <d v="2026-05-30T00:00:00Z"/>
        <d v="2026-06-01T00:00:00Z"/>
        <d v="2026-06-03T00:00:00Z"/>
        <d v="2026-06-04T00:00:00Z"/>
        <d v="2026-06-08T00:00:00Z"/>
        <d v="2026-06-13T00:00:00Z"/>
        <d v="2026-06-19T00:00:00Z"/>
        <d v="2026-06-20T00:00:00Z"/>
        <d v="2026-06-22T00:00:00Z"/>
        <d v="2026-06-25T00:00:00Z"/>
        <d v="2026-06-26T00:00:00Z"/>
        <d v="2026-06-30T00:00:00Z"/>
        <d v="2026-07-01T00:00:00Z"/>
        <d v="2026-07-02T00:00:00Z"/>
        <d v="2026-07-08T00:00:00Z"/>
        <d v="2026-07-11T00:00:00Z"/>
        <d v="2026-07-13T00:00:00Z"/>
        <d v="2026-07-16T00:00:00Z"/>
        <d v="2026-07-14T00:00:00Z"/>
        <d v="2026-07-15T00:00:00Z"/>
        <d v="2026-07-22T00:00:00Z"/>
        <d v="2026-07-23T00:00:00Z"/>
        <d v="2026-07-24T00:00:00Z"/>
        <d v="2026-07-27T00:00:00Z"/>
        <d v="2026-07-28T00:00:00Z"/>
        <d v="2026-08-01T00:00:00Z"/>
        <d v="2026-08-03T00:00:00Z"/>
        <d v="2026-08-04T00:00:00Z"/>
        <d v="2026-08-06T00:00:00Z"/>
        <d v="2026-08-08T00:00:00Z"/>
        <d v="2026-08-12T00:00:00Z"/>
        <d v="2026-08-13T00:00:00Z"/>
        <d v="2026-08-14T00:00:00Z"/>
        <d v="2026-08-20T00:00:00Z"/>
        <d v="2026-08-22T00:00:00Z"/>
        <d v="2026-08-24T00:00:00Z"/>
        <d v="2026-08-28T00:00:00Z"/>
        <d v="2026-09-01T00:00:00Z"/>
        <d v="2026-09-02T00:00:00Z"/>
        <d v="2026-09-03T00:00:00Z"/>
        <d v="2026-09-05T00:00:00Z"/>
        <d v="2026-09-10T00:00:00Z"/>
        <d v="2026-09-08T00:00:00Z"/>
        <d v="2026-09-15T00:00:00Z"/>
        <d v="2026-09-16T00:00:00Z"/>
        <d v="2026-09-22T00:00:00Z"/>
        <d v="2026-09-24T00:00:00Z"/>
        <m/>
      </sharedItems>
      <fieldGroup par="3"/>
    </cacheField>
    <cacheField name="Column 2" numFmtId="0">
      <sharedItems containsBlank="1">
        <s v="PT. RODA GAMA"/>
        <s v="CV. MULTIPRIMA INTI NUSANTARA"/>
        <s v="CV. MEKAR BARU/CI NOVI"/>
        <s v="SAMUDERA GEMILANG/PAK KEMAN"/>
        <s v="TS. SUDIRMAN/NAUFAL"/>
        <s v="PT BANCORE SENTRAL UTAMA"/>
        <s v="PT. INDOTYRE MANDIRI SENTOSA"/>
        <s v="PT. Astra Otoparts Tbk"/>
        <s v="PT. RODA ARTHA"/>
        <s v="KHARISMA MAKMUR ABADI/PAK DADI"/>
        <s v="PT. VETRON SAILUN"/>
        <s v="MAJU BERSAMA MOTOR/ANDRI"/>
        <s v="PT. DIRGAPUTRA EKAPRATAMA"/>
        <s v="CV. KHARISMA TIARA ABADI/DICKY"/>
        <s v="PT. DAYTECH TETRA SINDO"/>
        <s v="Baut chamber"/>
        <s v="PT. Limas Raga Inti"/>
        <s v="PT. Prestasi Pelumasindo Unggul"/>
        <s v="PT. RODA ARTHA "/>
        <s v="Pak Wang Pentil"/>
        <s v="PT. Arta Batrindo"/>
        <s v="Pak Dadi"/>
        <s v="MUSTIKA ADI SEJAHTERA/PAK TEDDY"/>
        <s v="Pak Wang Pentil/Bian"/>
        <s v="SURYA LESTARI/PAK IWAN"/>
        <m/>
      </sharedItems>
    </cacheField>
    <cacheField name="AMOUNT" numFmtId="165">
      <sharedItems containsString="0" containsBlank="1" containsNumber="1">
        <n v="3660000.0"/>
        <n v="1.36E7"/>
        <n v="1.43656E7"/>
        <n v="1.84375E7"/>
        <n v="1.0869E7"/>
        <n v="3.76223E7"/>
        <n v="2.68E7"/>
        <n v="1.29608E7"/>
        <n v="7000000.0"/>
        <n v="2.3991044E7"/>
        <n v="5427500.0"/>
        <n v="2.8547776E7"/>
        <n v="2341000.0"/>
        <n v="5856000.0"/>
        <n v="760239.0"/>
        <n v="6312280.0"/>
        <n v="3100000.0"/>
        <n v="1.19E7"/>
        <n v="1.365E7"/>
        <n v="3214080.0"/>
        <n v="1720000.0"/>
        <n v="4.073E7"/>
        <n v="2940000.0"/>
        <n v="6411400.0"/>
        <n v="1.47E7"/>
        <n v="2340000.0"/>
        <n v="1518900.0"/>
        <n v="1737500.0"/>
        <n v="5.376E7"/>
        <n v="3.395E7"/>
        <n v="7.85072E7"/>
        <n v="4470000.0"/>
        <n v="2718576.0"/>
        <n v="7350000.0"/>
        <n v="4.38E7"/>
        <n v="1.9525E7"/>
        <n v="1281000.0"/>
        <n v="2.391824E7"/>
        <n v="1816000.0"/>
        <n v="2802400.0"/>
        <n v="902500.0"/>
        <n v="1.131384E7"/>
        <n v="3063664.0"/>
        <n v="2300000.0"/>
        <n v="8.96287E7"/>
        <n v="1236500.0"/>
        <n v="1.243224E7"/>
        <n v="2980000.0"/>
        <n v="4.1587028E7"/>
        <n v="9790000.0"/>
        <n v="3.557E7"/>
        <n v="2.43E7"/>
        <n v="2750000.0"/>
        <n v="1740000.0"/>
        <n v="8849600.0"/>
        <n v="4.536E7"/>
        <n v="1.5E7"/>
        <n v="3175000.0"/>
        <n v="2730000.0"/>
        <n v="4.9761E7"/>
        <n v="4.759E7"/>
        <n v="1430000.0"/>
        <n v="3780761.332"/>
        <n v="9200000.0"/>
        <n v="3.352E7"/>
        <n v="6792000.0"/>
        <n v="2235000.0"/>
        <n v="1.0638822E7"/>
        <n v="3510000.0"/>
        <n v="4090000.0"/>
        <n v="3000000.0"/>
        <n v="2452000.0"/>
        <n v="2010000.0"/>
        <n v="4.6042E7"/>
        <n v="1731000.0"/>
        <n v="4.89398E7"/>
        <n v="2.84E7"/>
        <n v="1.604054544E7"/>
        <n v="1118000.0"/>
        <n v="2914000.0"/>
        <n v="1.7208E7"/>
        <n v="2.01646E7"/>
        <n v="1.31825E7"/>
        <n v="2.074E7"/>
        <n v="3683000.0"/>
        <n v="9780160.0"/>
        <n v="1.0204544E7"/>
        <n v="2536396.8"/>
        <n v="1.082E7"/>
        <n v="4680000.0"/>
        <n v="2.458506E7"/>
        <n v="3.08625E7"/>
        <n v="3.29756E7"/>
        <n v="5.447E7"/>
        <n v="4.8913E7"/>
        <n v="2.754E7"/>
        <n v="1.58015E7"/>
        <n v="7234280.0"/>
        <n v="6480000.0"/>
        <n v="2227814.0"/>
        <n v="1.30444E7"/>
        <n v="2.585E7"/>
        <n v="3.32131E7"/>
        <n v="2.456E7"/>
        <n v="575000.0"/>
        <n v="1.2214E7"/>
        <n v="2.9358117E7"/>
        <n v="1.4524158E7"/>
        <n v="1.1475E7"/>
        <n v="1.5705E7"/>
        <n v="1.845E7"/>
        <n v="1470000.0"/>
        <n v="6102000.0"/>
        <n v="2450000.0"/>
        <n v="2544000.0"/>
        <n v="3.585E7"/>
        <n v="1719000.0"/>
        <n v="1454000.0"/>
        <n v="1184000.0"/>
        <n v="1114000.0"/>
        <n v="3.7548554E7"/>
        <n v="6.669E7"/>
        <n v="3.0406E7"/>
        <n v="5244000.0"/>
        <n v="3.54622E7"/>
        <n v="7465000.0"/>
        <n v="1.4155E7"/>
        <n v="4.272E7"/>
        <n v="1.4195E7"/>
        <n v="6790888.0"/>
        <n v="4143432.0"/>
        <n v="1.704E7"/>
        <n v="3.4632914E7"/>
        <n v="1.493363E7"/>
        <n v="2440000.0"/>
        <n v="6.12825E7"/>
        <n v="4.28733E7"/>
        <n v="2.8175E7"/>
        <n v="3584000.0"/>
        <n v="2562000.0"/>
        <n v="2.9599E7"/>
        <n v="5.913E7"/>
        <n v="1.87795E7"/>
        <n v="3900000.0"/>
        <n v="3130231.0"/>
        <n v="4700000.0"/>
        <n v="1108560.0"/>
        <n v="2439216.0"/>
        <n v="1275000.0"/>
        <n v="3.55E7"/>
        <n v="5174164.0"/>
        <n v="2256000.0"/>
        <n v="900000.0"/>
        <n v="5076000.0"/>
        <n v="2331200.0"/>
        <n v="2538000.0"/>
        <n v="4920000.0"/>
        <n v="1504000.0"/>
        <n v="1899000.0"/>
        <n v="4.89237424E7"/>
        <n v="4.185E7"/>
        <n v="7.1135E7"/>
        <n v="2.72065E7"/>
        <n v="1501164.0"/>
        <n v="4.3305E7"/>
        <n v="1811880.0"/>
        <n v="1.023405E8"/>
        <n v="1.6334E7"/>
        <n v="1812000.0"/>
        <n v="1186876.8"/>
        <n v="2514000.0"/>
        <n v="3.4935E7"/>
        <n v="7435000.0"/>
        <n v="636500.0"/>
        <n v="1187082.0"/>
        <n v="638500.0"/>
        <n v="4.1289677E7"/>
        <n v="593541.0"/>
        <n v="1.2E7"/>
        <n v="1186000.0"/>
        <n v="9.3288E7"/>
        <n v="2080000.0"/>
        <n v="2674800.0"/>
        <n v="1.23E7"/>
        <n v="6960000.0"/>
        <n v="2372000.0"/>
        <n v="1790000.0"/>
        <n v="438400.0"/>
        <n v="5922000.0"/>
        <n v="803640.0"/>
        <n v="2264850.0"/>
        <n v="2227814.4"/>
        <n v="6608000.0"/>
        <n v="5471500.0"/>
        <n v="2884000.0"/>
        <n v="5349600.0"/>
        <n v="3140000.0"/>
        <n v="1274000.4"/>
        <n v="4.67286E7"/>
        <n v="2291049.6"/>
        <n v="3341721.5999999996"/>
        <n v="5000000.0"/>
        <n v="1.0E7"/>
        <n v="500000.0"/>
        <n v="4850000.0"/>
        <n v="1470500.0"/>
        <n v="1693000.0"/>
        <n v="1660200.0"/>
        <n v="1.7E7"/>
        <n v="3.0127814E7"/>
        <n v="5.0E7"/>
        <n v="8000000.0"/>
        <n v="1000000.0"/>
        <n v="2646200.0"/>
        <n v="4.13206E7"/>
        <n v="2584000.0"/>
        <n v="2180000.0"/>
        <n v="2788800.0"/>
        <n v="6.86321E7"/>
        <n v="1091500.0"/>
        <n v="4349000.0"/>
        <n v="3597600.0"/>
        <n v="7985000.0"/>
        <n v="2.767E7"/>
        <n v="1.68533E7"/>
        <n v="2.212E7"/>
        <n v="8.0E7"/>
        <n v="1.0084467E7"/>
        <n v="3261200.0"/>
        <n v="418000.0"/>
        <n v="5.1676993E7"/>
        <n v="1930000.0"/>
        <n v="7.9445E7"/>
        <n v="5.081E7"/>
        <n v="2308700.0"/>
        <n v="9800000.0"/>
        <n v="2600000.0"/>
        <n v="970000.0"/>
        <n v="2.1675E7"/>
        <n v="3.0E7"/>
        <n v="1.532E7"/>
        <n v="4000000.0"/>
        <n v="6.6339E7"/>
        <n v="5660000.0"/>
        <n v="6000000.0"/>
        <n v="2217120.0"/>
        <n v="3374000.0"/>
        <n v="6320000.0"/>
        <n v="2.0E7"/>
        <n v="1387400.0"/>
        <n v="2.898949E7"/>
        <n v="9655000.0"/>
        <n v="820000.0"/>
        <n v="1130842.0"/>
        <n v="1.77331E7"/>
        <n v="5748000.0"/>
        <n v="2.592E7"/>
        <n v="1.8885E7"/>
        <n v="109200.0"/>
        <n v="4.3369E7"/>
        <n v="2.1992E7"/>
        <n v="570000.0"/>
        <n v="5927200.0"/>
        <n v="1.0562376E7"/>
        <n v="400000.0"/>
        <n v="1.1356E7"/>
        <n v="6.7009E7"/>
        <n v="2428730.0"/>
        <n v="2.0858E7"/>
        <n v="6.48575E7"/>
        <n v="3.143E7"/>
        <n v="390000.0"/>
        <n v="380000.0"/>
        <n v="8822000.0"/>
        <n v="1199200.0"/>
        <n v="1490000.0"/>
        <n v="295000.0"/>
        <n v="2404000.0"/>
        <n v="4389600.0"/>
        <n v="4.68947E7"/>
        <n v="6082000.0"/>
        <n v="3.2555E7"/>
        <n v="5610000.0"/>
        <n v="6.9946E7"/>
        <n v="4454622.0"/>
        <n v="9583388.0"/>
        <n v="4165000.0"/>
        <n v="5468000.0"/>
        <n v="662500.0"/>
        <n v="2328000.0"/>
        <n v="475000.0"/>
        <n v="1590000.0"/>
        <n v="6.8636E7"/>
        <n v="2790000.0"/>
        <n v="2.66055E7"/>
        <n v="4650000.0"/>
        <n v="2335000.0"/>
        <n v="2622138.0"/>
        <n v="1545000.0"/>
        <n v="9.40801E7"/>
        <n v="6.7141E7"/>
        <n v="6296400.0"/>
        <n v="7499395.0"/>
        <n v="4340000.0"/>
        <n v="5.9751837E7"/>
        <n v="1025000.0"/>
        <n v="4.4962E7"/>
        <n v="9188400.0"/>
        <n v="4.091E7"/>
        <n v="5.8621E7"/>
        <n v="6380000.0"/>
        <n v="885000.0"/>
        <n v="5.6355246E7"/>
        <n v="3.4845E7"/>
        <n v="3600000.0"/>
        <n v="2060000.0"/>
        <n v="5.8708455E7"/>
        <n v="430000.0"/>
        <n v="372000.0"/>
        <n v="1.0491E7"/>
        <n v="6.30601E7"/>
        <n v="485000.0"/>
        <n v="2398700.0"/>
        <n v="1.21971E7"/>
        <n v="5.485E7"/>
        <n v="1.465E7"/>
        <n v="3.77065E7"/>
        <n v="931000.0"/>
        <n v="1929200.0"/>
        <n v="1028000.0"/>
        <n v="2438696.0"/>
        <n v="6.0E7"/>
        <n v="1585302.0"/>
        <n v="1.034E7"/>
        <n v="2.34145E7"/>
        <n v="1.1E7"/>
        <n v="1.76278E7"/>
        <n v="2575000.0"/>
        <n v="2724000.0"/>
        <n v="777595.0"/>
        <n v="7.67745E7"/>
        <n v="4190000.0"/>
        <n v="2.79E7"/>
        <n v="1621500.0"/>
        <n v="5544800.0"/>
        <n v="4234822.0"/>
        <n v="572700.0"/>
        <n v="6.783E7"/>
        <n v="3950000.0"/>
        <n v="315000.0"/>
        <n v="1.155E7"/>
        <n v="2.86257E7"/>
        <n v="4250000.0"/>
        <n v="310000.0"/>
        <n v="600000.0"/>
        <n v="4.4838313E7"/>
        <n v="1403600.0"/>
        <n v="3880000.0"/>
        <n v="9.3095E7"/>
        <n v="6137000.0"/>
        <n v="510000.0"/>
        <n v="1446000.0"/>
        <n v="1015000.0"/>
        <n v="7379600.0"/>
        <n v="9.36705E7"/>
        <n v="1756000.0"/>
        <n v="710000.0"/>
        <n v="1352500.0"/>
        <m/>
      </sharedItems>
    </cacheField>
    <cacheField name="date2" databaseField="0">
      <fieldGroup base="0">
        <rangePr autoStart="0" autoEnd="0" groupBy="years" startDate="2025-01-21T00:00:00Z" endDate="2026-09-25T00:00:00Z"/>
        <groupItems>
          <s v="&lt;01/21/25"/>
          <s v="125"/>
          <s v="126"/>
          <s v="&gt;09/25/26"/>
        </groupItems>
      </fieldGroup>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Sheet21" cacheId="0" dataCaption="" createdVersion="6" compact="0" compactData="0">
  <location ref="N6:R12" firstHeaderRow="0" firstDataRow="2" firstDataCol="0" rowPageCount="2" colPageCount="1"/>
  <pivotFields>
    <pivotField name="Date" axis="axisPag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t="default"/>
      </items>
    </pivotField>
    <pivotField name="Invo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t="default"/>
      </items>
    </pivotField>
    <pivotField name="Item" axis="axisRow" compact="0" outline="0" multipleItemSelectionAllowed="1" showAll="0" sortType="ascending">
      <items>
        <item x="319"/>
        <item x="113"/>
        <item x="51"/>
        <item x="42"/>
        <item x="232"/>
        <item x="95"/>
        <item x="283"/>
        <item x="206"/>
        <item x="152"/>
        <item x="9"/>
        <item x="61"/>
        <item x="185"/>
        <item x="262"/>
        <item x="310"/>
        <item x="297"/>
        <item x="58"/>
        <item x="1"/>
        <item x="26"/>
        <item x="8"/>
        <item x="19"/>
        <item x="197"/>
        <item x="182"/>
        <item x="104"/>
        <item x="87"/>
        <item x="100"/>
        <item x="29"/>
        <item x="192"/>
        <item x="84"/>
        <item x="214"/>
        <item x="124"/>
        <item x="28"/>
        <item x="199"/>
        <item x="74"/>
        <item x="54"/>
        <item x="73"/>
        <item x="106"/>
        <item x="223"/>
        <item x="218"/>
        <item x="115"/>
        <item x="243"/>
        <item x="121"/>
        <item x="47"/>
        <item x="114"/>
        <item x="287"/>
        <item x="222"/>
        <item x="91"/>
        <item x="272"/>
        <item x="227"/>
        <item x="281"/>
        <item x="150"/>
        <item x="304"/>
        <item x="126"/>
        <item x="280"/>
        <item x="2"/>
        <item x="25"/>
        <item x="181"/>
        <item x="55"/>
        <item x="155"/>
        <item x="17"/>
        <item x="52"/>
        <item x="161"/>
        <item x="11"/>
        <item x="93"/>
        <item x="169"/>
        <item x="142"/>
        <item x="195"/>
        <item x="35"/>
        <item x="146"/>
        <item x="38"/>
        <item x="83"/>
        <item x="72"/>
        <item x="111"/>
        <item x="251"/>
        <item x="247"/>
        <item x="215"/>
        <item x="154"/>
        <item x="242"/>
        <item x="94"/>
        <item x="82"/>
        <item x="63"/>
        <item x="204"/>
        <item x="70"/>
        <item x="156"/>
        <item x="159"/>
        <item x="108"/>
        <item x="57"/>
        <item x="279"/>
        <item x="88"/>
        <item x="241"/>
        <item x="219"/>
        <item x="139"/>
        <item x="201"/>
        <item x="170"/>
        <item x="138"/>
        <item x="21"/>
        <item x="193"/>
        <item x="53"/>
        <item x="60"/>
        <item x="125"/>
        <item x="295"/>
        <item x="288"/>
        <item x="253"/>
        <item x="302"/>
        <item x="270"/>
        <item x="103"/>
        <item x="14"/>
        <item x="131"/>
        <item x="76"/>
        <item x="301"/>
        <item x="6"/>
        <item x="33"/>
        <item x="24"/>
        <item x="7"/>
        <item x="79"/>
        <item x="120"/>
        <item x="145"/>
        <item x="229"/>
        <item x="303"/>
        <item x="41"/>
        <item x="244"/>
        <item x="167"/>
        <item x="20"/>
        <item x="46"/>
        <item x="97"/>
        <item x="269"/>
        <item x="175"/>
        <item x="162"/>
        <item x="184"/>
        <item x="80"/>
        <item x="174"/>
        <item x="273"/>
        <item x="64"/>
        <item x="56"/>
        <item x="160"/>
        <item x="62"/>
        <item x="96"/>
        <item x="118"/>
        <item x="5"/>
        <item x="31"/>
        <item x="307"/>
        <item x="213"/>
        <item x="122"/>
        <item x="294"/>
        <item x="207"/>
        <item x="119"/>
        <item x="90"/>
        <item x="27"/>
        <item x="179"/>
        <item x="39"/>
        <item x="107"/>
        <item x="137"/>
        <item x="233"/>
        <item x="102"/>
        <item x="98"/>
        <item x="286"/>
        <item x="308"/>
        <item x="183"/>
        <item x="151"/>
        <item x="314"/>
        <item x="13"/>
        <item x="132"/>
        <item x="187"/>
        <item x="194"/>
        <item x="203"/>
        <item x="67"/>
        <item x="140"/>
        <item x="224"/>
        <item x="48"/>
        <item x="211"/>
        <item x="127"/>
        <item x="228"/>
        <item x="75"/>
        <item x="43"/>
        <item x="189"/>
        <item x="23"/>
        <item x="110"/>
        <item x="292"/>
        <item x="99"/>
        <item x="180"/>
        <item x="188"/>
        <item x="265"/>
        <item x="260"/>
        <item x="210"/>
        <item x="37"/>
        <item x="134"/>
        <item x="18"/>
        <item x="10"/>
        <item x="69"/>
        <item x="112"/>
        <item x="32"/>
        <item x="81"/>
        <item x="230"/>
        <item x="285"/>
        <item x="144"/>
        <item x="164"/>
        <item x="246"/>
        <item x="133"/>
        <item x="208"/>
        <item x="238"/>
        <item x="0"/>
        <item x="92"/>
        <item x="158"/>
        <item x="30"/>
        <item x="147"/>
        <item x="165"/>
        <item x="153"/>
        <item x="176"/>
        <item x="86"/>
        <item x="65"/>
        <item x="157"/>
        <item x="168"/>
        <item x="116"/>
        <item x="172"/>
        <item x="177"/>
        <item x="109"/>
        <item x="123"/>
        <item x="49"/>
        <item x="196"/>
        <item x="130"/>
        <item x="89"/>
        <item x="12"/>
        <item x="298"/>
        <item x="216"/>
        <item x="77"/>
        <item x="178"/>
        <item x="291"/>
        <item x="171"/>
        <item x="173"/>
        <item x="221"/>
        <item x="141"/>
        <item x="296"/>
        <item x="239"/>
        <item x="220"/>
        <item x="284"/>
        <item x="271"/>
        <item x="101"/>
        <item x="36"/>
        <item x="40"/>
        <item x="34"/>
        <item x="226"/>
        <item x="105"/>
        <item x="278"/>
        <item x="149"/>
        <item x="68"/>
        <item x="306"/>
        <item x="59"/>
        <item x="78"/>
        <item x="275"/>
        <item x="305"/>
        <item x="235"/>
        <item x="50"/>
        <item x="205"/>
        <item x="4"/>
        <item x="266"/>
        <item x="225"/>
        <item x="231"/>
        <item x="237"/>
        <item x="45"/>
        <item x="209"/>
        <item x="290"/>
        <item x="289"/>
        <item x="311"/>
        <item x="312"/>
        <item x="309"/>
        <item x="263"/>
        <item x="274"/>
        <item x="148"/>
        <item x="240"/>
        <item x="136"/>
        <item x="268"/>
        <item x="191"/>
        <item x="264"/>
        <item x="166"/>
        <item x="44"/>
        <item x="135"/>
        <item x="163"/>
        <item x="200"/>
        <item x="143"/>
        <item x="198"/>
        <item x="22"/>
        <item x="117"/>
        <item x="85"/>
        <item x="315"/>
        <item x="258"/>
        <item x="249"/>
        <item x="255"/>
        <item x="212"/>
        <item x="317"/>
        <item x="66"/>
        <item x="128"/>
        <item x="300"/>
        <item x="293"/>
        <item x="277"/>
        <item x="261"/>
        <item x="15"/>
        <item x="248"/>
        <item x="282"/>
        <item x="252"/>
        <item x="254"/>
        <item x="250"/>
        <item x="299"/>
        <item x="256"/>
        <item x="267"/>
        <item x="257"/>
        <item x="3"/>
        <item x="16"/>
        <item x="316"/>
        <item x="318"/>
        <item x="71"/>
        <item x="129"/>
        <item x="259"/>
        <item x="190"/>
        <item x="186"/>
        <item x="245"/>
        <item x="234"/>
        <item x="276"/>
        <item x="217"/>
        <item x="313"/>
        <item x="202"/>
        <item x="236"/>
        <item t="default"/>
      </items>
    </pivotField>
    <pivotField name="QTY" dataField="1" compact="0" numFmtId="4" outline="0" multipleItemSelectionAllowed="1" showAll="0">
      <items>
        <item x="0"/>
        <item x="1"/>
        <item x="2"/>
        <item x="3"/>
        <item x="4"/>
        <item x="5"/>
        <item x="6"/>
        <item x="7"/>
        <item x="8"/>
        <item x="9"/>
        <item x="10"/>
        <item x="11"/>
        <item x="12"/>
        <item x="13"/>
        <item x="14"/>
        <item x="15"/>
        <item x="16"/>
        <item x="17"/>
        <item t="default"/>
      </items>
    </pivotField>
    <pivotField name="Pric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t="default"/>
      </items>
    </pivotField>
    <pivotField name="Discon"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pivotField>
    <pivotField name="Total"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t="default"/>
      </items>
    </pivotField>
    <pivotField name="Service Fe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Cost Price VLOOKUP"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t="default"/>
      </items>
    </pivotField>
    <pivotField name="Coist Price Absolute"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t="default"/>
      </items>
    </pivotField>
    <pivotField name="Cost Price Fixed"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t="default"/>
      </items>
    </pivotField>
    <pivotField name="Profi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t="default"/>
      </items>
    </pivotField>
    <pivotField name="Owned by" compact="0" outline="0" multipleItemSelectionAllowed="1" showAll="0">
      <items>
        <item x="0"/>
        <item x="1"/>
        <item x="2"/>
        <item x="3"/>
        <item x="4"/>
        <item t="default"/>
      </items>
    </pivotField>
    <pivotField name="Tax" compact="0" outline="0" multipleItemSelectionAllowed="1" showAll="0">
      <items>
        <item x="0"/>
        <item x="1"/>
        <item x="2"/>
        <item t="default"/>
      </items>
    </pivotField>
    <pivotField name="Bran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t="default"/>
      </items>
    </pivotField>
    <pivotField name="Category" axis="axisPage" compact="0" outline="0" multipleItemSelectionAllowed="1" showAll="0">
      <items>
        <item h="1" x="0"/>
        <item h="1" x="1"/>
        <item h="1" x="2"/>
        <item x="3"/>
        <item h="1" x="4"/>
        <item t="default"/>
      </items>
    </pivotField>
  </pivotFields>
  <rowFields>
    <field x="2"/>
  </rowFields>
  <colFields>
    <field x="-2"/>
  </colFields>
  <pageFields>
    <pageField fld="0"/>
    <pageField fld="15"/>
  </pageFields>
  <dataFields>
    <dataField name="SUM of QTY" fld="3" baseField="0"/>
    <dataField name="SUM of Coist Price Absolute" fld="9" baseField="0"/>
    <dataField name="SUM of Total" fld="6" baseField="0"/>
    <dataField name="SUM of Profit" fld="11" baseField="0"/>
  </dataFields>
  <filters>
    <filter fld="0" type="captionBetween" evalOrder="-1" id="1" stringValue1="31/08/2026" stringValue2="05/09/2026">
      <autoFilter ref="A1">
        <filterColumn colId="0">
          <customFilters and="1">
            <customFilter operator="greaterThanOrEqual" val="31/08/2026"/>
            <customFilter operator="lessThanOrEqual" val="05/09/2026"/>
          </customFilters>
        </filterColumn>
      </autoFilter>
    </filter>
  </filters>
</pivotTableDefinition>
</file>

<file path=xl/pivotTables/pivotTable2.xml><?xml version="1.0" encoding="utf-8"?>
<pivotTableDefinition xmlns="http://schemas.openxmlformats.org/spreadsheetml/2006/main" name="Sheet21 2" cacheId="1" dataCaption="" createdVersion="6" compact="0" compactData="0">
  <location ref="T3:W12" firstHeaderRow="0" firstDataRow="3" firstDataCol="0"/>
  <pivotFields>
    <pivotField name="DATE" axis="axisRow" compact="0" numFmtId="14" outline="0" multipleItemSelectionAllowed="1" showAll="0" sortType="ascending">
      <items>
        <item x="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300"/>
        <item x="293"/>
        <item x="294"/>
        <item x="295"/>
        <item x="296"/>
        <item x="297"/>
        <item x="298"/>
        <item x="299"/>
        <item x="301"/>
        <item x="302"/>
        <item x="303"/>
        <item x="304"/>
        <item x="305"/>
        <item x="306"/>
        <item x="307"/>
        <item x="308"/>
        <item x="309"/>
        <item x="310"/>
        <item x="311"/>
        <item x="312"/>
        <item x="313"/>
        <item x="319"/>
        <item x="314"/>
        <item x="315"/>
        <item x="316"/>
        <item x="317"/>
        <item x="318"/>
        <item x="320"/>
        <item x="321"/>
        <item x="322"/>
        <item x="323"/>
        <item x="324"/>
        <item x="325"/>
        <item x="326"/>
        <item x="327"/>
        <item x="328"/>
        <item x="329"/>
        <item x="330"/>
        <item x="331"/>
        <item x="332"/>
        <item x="333"/>
        <item x="334"/>
        <item x="335"/>
        <item x="336"/>
        <item x="337"/>
        <item x="338"/>
        <item x="339"/>
        <item x="340"/>
        <item x="341"/>
        <item x="342"/>
        <item x="343"/>
        <item x="344"/>
        <item x="347"/>
        <item x="345"/>
        <item x="346"/>
        <item x="348"/>
        <item x="349"/>
        <item x="350"/>
        <item x="351"/>
        <item x="352"/>
        <item x="353"/>
        <item x="354"/>
        <item x="355"/>
        <item x="356"/>
        <item x="357"/>
        <item x="358"/>
        <item x="359"/>
        <item x="360"/>
        <item x="361"/>
        <item x="362"/>
        <item x="363"/>
        <item x="364"/>
        <item x="365"/>
        <item x="366"/>
        <item t="default"/>
      </items>
    </pivotField>
    <pivotField name="DATE OF INVOICE" compact="0" numFmtId="166"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t="default"/>
      </items>
    </pivotField>
    <pivotField name="NAMA CUSTOMER" axis="axisRow" compact="0" outline="0" multipleItemSelectionAllowed="1" showAll="0" sortType="ascending" defaultSubtotal="0">
      <items>
        <item x="87"/>
        <item x="0"/>
        <item x="64"/>
        <item x="78"/>
        <item x="77"/>
        <item x="76"/>
        <item x="9"/>
        <item x="58"/>
        <item x="4"/>
        <item x="15"/>
        <item x="68"/>
        <item x="84"/>
        <item x="23"/>
        <item x="1"/>
        <item x="21"/>
        <item x="33"/>
        <item x="34"/>
        <item x="27"/>
        <item x="45"/>
        <item x="28"/>
        <item x="29"/>
        <item x="8"/>
        <item x="52"/>
        <item x="17"/>
        <item x="61"/>
        <item x="24"/>
        <item x="20"/>
        <item x="60"/>
        <item x="36"/>
        <item x="5"/>
        <item x="31"/>
        <item x="75"/>
        <item x="43"/>
        <item x="79"/>
        <item x="39"/>
        <item x="50"/>
        <item x="25"/>
        <item x="69"/>
        <item x="26"/>
        <item x="65"/>
        <item x="49"/>
        <item x="46"/>
        <item x="14"/>
        <item x="67"/>
        <item x="62"/>
        <item x="48"/>
        <item x="10"/>
        <item x="44"/>
        <item x="85"/>
        <item x="41"/>
        <item x="42"/>
        <item x="18"/>
        <item x="73"/>
        <item x="55"/>
        <item x="32"/>
        <item x="47"/>
        <item x="70"/>
        <item x="86"/>
        <item x="13"/>
        <item x="57"/>
        <item x="80"/>
        <item x="6"/>
        <item x="63"/>
        <item x="56"/>
        <item x="74"/>
        <item x="81"/>
        <item x="72"/>
        <item x="11"/>
        <item x="53"/>
        <item x="22"/>
        <item x="2"/>
        <item x="3"/>
        <item x="51"/>
        <item x="40"/>
        <item x="16"/>
        <item x="38"/>
        <item x="35"/>
        <item x="7"/>
        <item x="12"/>
        <item x="54"/>
        <item x="83"/>
        <item x="30"/>
        <item x="19"/>
        <item x="59"/>
        <item x="66"/>
        <item x="71"/>
        <item x="37"/>
        <item x="82"/>
      </items>
    </pivotField>
    <pivotField name="AMOUNT"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t="default"/>
      </items>
    </pivotField>
    <pivotField name="PROFIT"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t="default"/>
      </items>
    </pivotField>
  </pivotFields>
  <rowFields>
    <field x="2"/>
    <field x="0"/>
  </rowFields>
  <colFields>
    <field x="-2"/>
  </colFields>
  <dataFields>
    <dataField name="SUM of AMOUNT" fld="3" baseField="0"/>
    <dataField name="SUM of PROFIT" fld="4" baseField="0"/>
  </dataFields>
  <filters>
    <filter fld="0" type="captionBetween" evalOrder="-1" id="1" stringValue1="30/08/2026" stringValue2="05/09/2026">
      <autoFilter ref="A1">
        <filterColumn colId="0">
          <customFilters and="1">
            <customFilter operator="greaterThanOrEqual" val="30/08/2026"/>
            <customFilter operator="lessThanOrEqual" val="05/09/2026"/>
          </customFilters>
        </filterColumn>
      </autoFilter>
    </filter>
  </filters>
</pivotTableDefinition>
</file>

<file path=xl/pivotTables/pivotTable3.xml><?xml version="1.0" encoding="utf-8"?>
<pivotTableDefinition xmlns="http://schemas.openxmlformats.org/spreadsheetml/2006/main" name="PURCHASE" cacheId="2" dataCaption="" compact="0" compactData="0">
  <location ref="T2:W530" firstHeaderRow="0" firstDataRow="3" firstDataCol="0"/>
  <pivotFields>
    <pivotField name="Date In"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t="default"/>
      </items>
    </pivotField>
    <pivotField name="Date Invoice" axis="axisRow" compact="0" numFmtId="167" outline="0" multipleItemSelectionAllowed="1" showAll="0" sortType="ascending">
      <items>
        <item x="2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1"/>
        <item x="140"/>
        <item x="142"/>
        <item x="143"/>
        <item x="144"/>
        <item x="145"/>
        <item x="146"/>
        <item x="147"/>
        <item x="148"/>
        <item x="149"/>
        <item x="150"/>
        <item x="151"/>
        <item x="152"/>
        <item x="154"/>
        <item x="153"/>
        <item x="155"/>
        <item x="156"/>
        <item x="157"/>
        <item x="159"/>
        <item x="158"/>
        <item x="160"/>
        <item x="161"/>
        <item x="162"/>
        <item x="163"/>
        <item x="164"/>
        <item x="165"/>
        <item x="166"/>
        <item x="167"/>
        <item x="168"/>
        <item x="169"/>
        <item x="171"/>
        <item x="170"/>
        <item x="172"/>
        <item x="173"/>
        <item x="174"/>
        <item x="175"/>
        <item x="176"/>
        <item x="177"/>
        <item x="178"/>
        <item x="179"/>
        <item x="180"/>
        <item x="181"/>
        <item x="182"/>
        <item x="183"/>
        <item x="184"/>
        <item x="185"/>
        <item x="186"/>
        <item x="187"/>
        <item x="188"/>
        <item x="189"/>
        <item x="191"/>
        <item x="190"/>
        <item x="192"/>
        <item x="193"/>
        <item x="194"/>
        <item x="195"/>
        <item x="196"/>
        <item x="197"/>
        <item x="199"/>
        <item x="198"/>
        <item x="200"/>
        <item x="201"/>
        <item x="202"/>
        <item x="203"/>
        <item x="204"/>
        <item x="206"/>
        <item x="205"/>
        <item x="207"/>
        <item x="208"/>
        <item x="209"/>
        <item x="210"/>
        <item x="211"/>
        <item x="212"/>
        <item x="213"/>
        <item x="216"/>
        <item x="214"/>
        <item x="217"/>
        <item x="215"/>
        <item x="218"/>
        <item x="219"/>
        <item x="220"/>
        <item x="221"/>
        <item x="222"/>
        <item x="223"/>
        <item x="224"/>
        <item x="225"/>
        <item x="226"/>
        <item x="227"/>
        <item x="228"/>
        <item x="229"/>
        <item x="230"/>
        <item x="231"/>
        <item x="232"/>
        <item x="233"/>
        <item x="234"/>
        <item x="235"/>
        <item x="236"/>
        <item x="237"/>
        <item x="238"/>
        <item x="239"/>
        <item x="241"/>
        <item x="242"/>
        <item x="243"/>
        <item x="244"/>
        <item x="245"/>
        <item x="246"/>
        <item x="247"/>
        <item x="248"/>
        <item x="250"/>
        <item x="249"/>
        <item x="253"/>
        <item x="240"/>
        <item x="251"/>
        <item x="252"/>
        <item x="254"/>
        <item x="255"/>
        <item x="256"/>
        <item x="257"/>
        <item x="258"/>
        <item x="259"/>
        <item x="260"/>
        <item x="261"/>
        <item x="262"/>
        <item x="263"/>
        <item x="264"/>
        <item x="265"/>
        <item x="266"/>
        <item x="267"/>
        <item x="268"/>
        <item x="269"/>
        <item x="270"/>
        <item x="272"/>
        <item x="271"/>
        <item x="273"/>
        <item x="274"/>
        <item x="275"/>
        <item x="276"/>
        <item x="277"/>
        <item x="278"/>
        <item x="279"/>
        <item x="280"/>
        <item x="281"/>
        <item x="282"/>
        <item x="283"/>
        <item t="default"/>
      </items>
    </pivotField>
    <pivotField name="Distributor" axis="axisRow" compact="0" outline="0" multipleItemSelectionAllowed="1" showAll="0" sortType="ascending" defaultSubtotal="0">
      <items>
        <item x="20"/>
        <item x="12"/>
        <item x="7"/>
        <item x="1"/>
        <item x="2"/>
        <item x="10"/>
        <item x="18"/>
        <item x="13"/>
        <item x="17"/>
        <item x="5"/>
        <item x="14"/>
        <item x="11"/>
        <item x="3"/>
        <item x="16"/>
        <item x="15"/>
        <item x="6"/>
        <item x="4"/>
        <item x="9"/>
        <item x="8"/>
        <item x="19"/>
        <item x="0"/>
      </items>
    </pivotField>
    <pivotField name="TAX" compact="0" outline="0" multipleItemSelectionAllowed="1" showAll="0">
      <items>
        <item x="0"/>
        <item x="1"/>
        <item x="2"/>
        <item x="3"/>
        <item x="4"/>
        <item x="5"/>
        <item t="default"/>
      </items>
    </pivotField>
    <pivotField name="Invoice" axis="axisRow" compact="0" outline="0" multipleItemSelectionAllowed="1" showAll="0" sortType="ascending" defaultSubtotal="0">
      <items>
        <item x="140"/>
        <item x="136"/>
        <item x="220"/>
        <item x="221"/>
        <item x="112"/>
        <item x="170"/>
        <item x="171"/>
        <item x="206"/>
        <item x="248"/>
        <item x="270"/>
        <item x="161"/>
        <item x="311"/>
        <item x="267"/>
        <item x="121"/>
        <item x="122"/>
        <item x="131"/>
        <item x="138"/>
        <item x="139"/>
        <item x="162"/>
        <item x="165"/>
        <item x="167"/>
        <item x="178"/>
        <item x="190"/>
        <item x="195"/>
        <item x="202"/>
        <item x="208"/>
        <item x="209"/>
        <item x="210"/>
        <item x="212"/>
        <item x="214"/>
        <item x="228"/>
        <item x="263"/>
        <item x="287"/>
        <item x="288"/>
        <item x="292"/>
        <item x="293"/>
        <item x="194"/>
        <item x="377"/>
        <item x="325"/>
        <item x="326"/>
        <item x="413"/>
        <item x="340"/>
        <item x="451"/>
        <item x="366"/>
        <item x="369"/>
        <item x="389"/>
        <item x="414"/>
        <item x="422"/>
        <item x="423"/>
        <item x="428"/>
        <item x="430"/>
        <item x="431"/>
        <item x="433"/>
        <item x="432"/>
        <item x="445"/>
        <item x="448"/>
        <item x="449"/>
        <item x="462"/>
        <item x="463"/>
        <item x="468"/>
        <item x="470"/>
        <item x="473"/>
        <item x="305"/>
        <item x="306"/>
        <item x="175"/>
        <item x="176"/>
        <item x="367"/>
        <item x="401"/>
        <item x="407"/>
        <item x="420"/>
        <item x="471"/>
        <item x="87"/>
        <item x="154"/>
        <item x="29"/>
        <item x="133"/>
        <item x="183"/>
        <item x="396"/>
        <item x="187"/>
        <item x="188"/>
        <item x="116"/>
        <item x="452"/>
        <item x="453"/>
        <item x="43"/>
        <item x="477"/>
        <item x="26"/>
        <item x="55"/>
        <item x="74"/>
        <item x="137"/>
        <item x="235"/>
        <item x="256"/>
        <item x="285"/>
        <item x="344"/>
        <item x="343"/>
        <item x="349"/>
        <item x="390"/>
        <item x="391"/>
        <item x="408"/>
        <item x="478"/>
        <item x="96"/>
        <item x="351"/>
        <item x="135"/>
        <item x="262"/>
        <item x="417"/>
        <item x="454"/>
        <item x="18"/>
        <item x="387"/>
        <item x="254"/>
        <item x="108"/>
        <item x="75"/>
        <item x="98"/>
        <item x="97"/>
        <item x="99"/>
        <item x="54"/>
        <item x="76"/>
        <item x="13"/>
        <item x="14"/>
        <item x="16"/>
        <item x="23"/>
        <item x="36"/>
        <item x="44"/>
        <item x="60"/>
        <item x="62"/>
        <item x="64"/>
        <item x="67"/>
        <item x="72"/>
        <item x="73"/>
        <item x="77"/>
        <item x="79"/>
        <item x="88"/>
        <item x="130"/>
        <item x="5"/>
        <item x="34"/>
        <item x="85"/>
        <item x="147"/>
        <item x="249"/>
        <item x="275"/>
        <item x="309"/>
        <item x="400"/>
        <item x="100"/>
        <item x="8"/>
        <item x="101"/>
        <item x="11"/>
        <item x="71"/>
        <item x="102"/>
        <item x="266"/>
        <item x="247"/>
        <item x="272"/>
        <item x="416"/>
        <item x="362"/>
        <item x="376"/>
        <item x="441"/>
        <item x="83"/>
        <item x="84"/>
        <item x="352"/>
        <item x="17"/>
        <item x="304"/>
        <item x="318"/>
        <item x="319"/>
        <item x="327"/>
        <item x="32"/>
        <item x="45"/>
        <item x="334"/>
        <item x="335"/>
        <item x="336"/>
        <item x="350"/>
        <item x="51"/>
        <item x="52"/>
        <item x="353"/>
        <item x="354"/>
        <item x="364"/>
        <item x="370"/>
        <item x="92"/>
        <item x="110"/>
        <item x="111"/>
        <item x="123"/>
        <item x="124"/>
        <item x="393"/>
        <item x="394"/>
        <item x="403"/>
        <item x="404"/>
        <item x="406"/>
        <item x="395"/>
        <item x="141"/>
        <item x="142"/>
        <item x="143"/>
        <item x="412"/>
        <item x="156"/>
        <item x="155"/>
        <item x="168"/>
        <item x="169"/>
        <item x="439"/>
        <item x="438"/>
        <item x="185"/>
        <item x="186"/>
        <item x="443"/>
        <item x="456"/>
        <item x="455"/>
        <item x="460"/>
        <item x="222"/>
        <item x="223"/>
        <item x="469"/>
        <item x="236"/>
        <item x="237"/>
        <item x="239"/>
        <item x="250"/>
        <item x="258"/>
        <item x="259"/>
        <item x="269"/>
        <item x="268"/>
        <item x="295"/>
        <item x="296"/>
        <item x="179"/>
        <item x="6"/>
        <item x="9"/>
        <item x="10"/>
        <item x="15"/>
        <item x="21"/>
        <item x="22"/>
        <item x="27"/>
        <item x="28"/>
        <item x="35"/>
        <item x="41"/>
        <item x="42"/>
        <item x="47"/>
        <item x="48"/>
        <item x="49"/>
        <item x="57"/>
        <item x="66"/>
        <item x="86"/>
        <item x="90"/>
        <item x="106"/>
        <item x="107"/>
        <item x="118"/>
        <item x="120"/>
        <item x="132"/>
        <item x="144"/>
        <item x="145"/>
        <item x="146"/>
        <item x="148"/>
        <item x="151"/>
        <item x="153"/>
        <item x="166"/>
        <item x="172"/>
        <item x="173"/>
        <item x="180"/>
        <item x="197"/>
        <item x="198"/>
        <item x="201"/>
        <item x="215"/>
        <item x="217"/>
        <item x="218"/>
        <item x="224"/>
        <item x="227"/>
        <item x="240"/>
        <item x="242"/>
        <item x="243"/>
        <item x="244"/>
        <item x="251"/>
        <item x="255"/>
        <item x="257"/>
        <item x="265"/>
        <item x="274"/>
        <item x="279"/>
        <item x="294"/>
        <item x="63"/>
        <item x="65"/>
        <item x="301"/>
        <item x="303"/>
        <item x="307"/>
        <item x="310"/>
        <item x="322"/>
        <item x="323"/>
        <item x="324"/>
        <item x="329"/>
        <item x="330"/>
        <item x="331"/>
        <item x="339"/>
        <item x="365"/>
        <item x="368"/>
        <item x="371"/>
        <item x="379"/>
        <item x="380"/>
        <item x="381"/>
        <item x="382"/>
        <item x="383"/>
        <item x="384"/>
        <item x="385"/>
        <item x="392"/>
        <item x="399"/>
        <item x="405"/>
        <item x="415"/>
        <item x="421"/>
        <item x="424"/>
        <item x="425"/>
        <item x="426"/>
        <item x="434"/>
        <item x="442"/>
        <item x="459"/>
        <item x="444"/>
        <item x="461"/>
        <item x="474"/>
        <item x="125"/>
        <item x="437"/>
        <item x="457"/>
        <item x="7"/>
        <item x="24"/>
        <item x="191"/>
        <item x="363"/>
        <item x="226"/>
        <item x="238"/>
        <item x="245"/>
        <item x="252"/>
        <item x="271"/>
        <item x="291"/>
        <item x="302"/>
        <item x="328"/>
        <item x="348"/>
        <item x="359"/>
        <item x="378"/>
        <item x="446"/>
        <item x="427"/>
        <item x="436"/>
        <item x="458"/>
        <item x="472"/>
        <item x="59"/>
        <item x="78"/>
        <item x="113"/>
        <item x="117"/>
        <item x="56"/>
        <item x="91"/>
        <item x="150"/>
        <item x="164"/>
        <item x="219"/>
        <item x="273"/>
        <item x="278"/>
        <item x="299"/>
        <item x="300"/>
        <item x="342"/>
        <item x="358"/>
        <item x="361"/>
        <item x="19"/>
        <item x="25"/>
        <item x="447"/>
        <item x="338"/>
        <item x="12"/>
        <item x="20"/>
        <item x="241"/>
        <item x="312"/>
        <item x="320"/>
        <item x="321"/>
        <item x="37"/>
        <item x="38"/>
        <item x="53"/>
        <item x="332"/>
        <item x="337"/>
        <item x="360"/>
        <item x="89"/>
        <item x="94"/>
        <item x="386"/>
        <item x="119"/>
        <item x="402"/>
        <item x="109"/>
        <item x="134"/>
        <item x="152"/>
        <item x="411"/>
        <item x="159"/>
        <item x="160"/>
        <item x="429"/>
        <item x="435"/>
        <item x="440"/>
        <item x="182"/>
        <item x="450"/>
        <item x="211"/>
        <item x="246"/>
        <item x="264"/>
        <item x="253"/>
        <item x="284"/>
        <item x="297"/>
        <item x="1"/>
        <item x="2"/>
        <item x="0"/>
        <item x="3"/>
        <item x="4"/>
        <item x="68"/>
        <item x="69"/>
        <item x="70"/>
        <item x="30"/>
        <item x="31"/>
        <item x="33"/>
        <item x="40"/>
        <item x="39"/>
        <item x="46"/>
        <item x="50"/>
        <item x="58"/>
        <item x="61"/>
        <item x="80"/>
        <item x="81"/>
        <item x="82"/>
        <item x="93"/>
        <item x="95"/>
        <item x="103"/>
        <item x="104"/>
        <item x="105"/>
        <item x="114"/>
        <item x="115"/>
        <item x="126"/>
        <item x="127"/>
        <item x="128"/>
        <item x="129"/>
        <item x="149"/>
        <item x="157"/>
        <item x="158"/>
        <item x="163"/>
        <item x="174"/>
        <item x="177"/>
        <item x="181"/>
        <item x="189"/>
        <item x="192"/>
        <item x="193"/>
        <item x="196"/>
        <item x="199"/>
        <item x="200"/>
        <item x="207"/>
        <item x="213"/>
        <item x="216"/>
        <item x="225"/>
        <item x="229"/>
        <item x="230"/>
        <item x="231"/>
        <item x="232"/>
        <item x="233"/>
        <item x="234"/>
        <item x="260"/>
        <item x="261"/>
        <item x="276"/>
        <item x="277"/>
        <item x="280"/>
        <item x="281"/>
        <item x="282"/>
        <item x="283"/>
        <item x="286"/>
        <item x="290"/>
        <item x="289"/>
        <item x="298"/>
        <item x="308"/>
        <item x="313"/>
        <item x="314"/>
        <item x="315"/>
        <item x="316"/>
        <item x="317"/>
        <item x="333"/>
        <item x="341"/>
        <item x="345"/>
        <item x="346"/>
        <item x="347"/>
        <item x="356"/>
        <item x="357"/>
        <item x="355"/>
        <item x="372"/>
        <item x="373"/>
        <item x="374"/>
        <item x="375"/>
        <item x="388"/>
        <item x="398"/>
        <item x="397"/>
        <item x="409"/>
        <item x="410"/>
        <item x="418"/>
        <item x="419"/>
        <item x="464"/>
        <item x="465"/>
        <item x="466"/>
        <item x="467"/>
        <item x="475"/>
        <item x="476"/>
        <item x="203"/>
        <item x="204"/>
        <item x="205"/>
        <item x="184"/>
      </items>
    </pivotField>
    <pivotField name="Owned by" compact="0" outline="0" multipleItemSelectionAllowed="1" showAll="0">
      <items>
        <item x="0"/>
        <item x="1"/>
        <item x="2"/>
        <item x="3"/>
        <item x="4"/>
        <item x="5"/>
        <item t="default"/>
      </items>
    </pivotField>
    <pivotField name="Column 7"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t="default"/>
      </items>
    </pivotField>
    <pivotField name="Quantity"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t="default"/>
      </items>
    </pivotField>
    <pivotField name="Price Fixed"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t="default"/>
      </items>
    </pivotField>
    <pivotField name="Payment" compact="0" outline="0" multipleItemSelectionAllowed="1" showAll="0">
      <items>
        <item x="0"/>
        <item x="1"/>
        <item x="2"/>
        <item x="3"/>
        <item x="4"/>
        <item x="5"/>
        <item x="6"/>
        <item t="default"/>
      </items>
    </pivotField>
    <pivotField name="SUM"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t="default"/>
      </items>
    </pivotField>
    <pivotField name="Due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t="default"/>
      </items>
    </pivotField>
    <pivotField name="Category" compact="0" outline="0" multipleItemSelectionAllowed="1" showAll="0">
      <items>
        <item x="0"/>
        <item x="1"/>
        <item x="2"/>
        <item x="3"/>
        <item x="4"/>
        <item t="default"/>
      </items>
    </pivotField>
    <pivotField name="Bran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s>
  <rowFields>
    <field x="2"/>
    <field x="4"/>
    <field x="1"/>
  </rowFields>
  <dataFields>
    <dataField name="SUM of SUM" fld="11" baseField="0"/>
  </dataFields>
</pivotTableDefinition>
</file>

<file path=xl/pivotTables/pivotTable4.xml><?xml version="1.0" encoding="utf-8"?>
<pivotTableDefinition xmlns="http://schemas.openxmlformats.org/spreadsheetml/2006/main" name="DATA_PIVOT" cacheId="4" dataCaption="" compact="0" compactData="0">
  <location ref="F1:H15" firstHeaderRow="0" firstDataRow="2" firstDataCol="0"/>
  <pivotFields>
    <pivotField name="Date In"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t="default"/>
      </items>
    </pivotField>
    <pivotField name="Date Invoice"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t="default"/>
      </items>
    </pivotField>
    <pivotField name="Distributor"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TAX" compact="0" outline="0" multipleItemSelectionAllowed="1" showAll="0">
      <items>
        <item x="0"/>
        <item x="1"/>
        <item x="2"/>
        <item x="3"/>
        <item x="4"/>
        <item x="5"/>
        <item t="default"/>
      </items>
    </pivotField>
    <pivotField name="Invo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t="default"/>
      </items>
    </pivotField>
    <pivotField name="Owned by" axis="axisRow" compact="0" outline="0" multipleItemSelectionAllowed="1" showAll="0" sortType="ascending">
      <items>
        <item x="4"/>
        <item x="2"/>
        <item x="1"/>
        <item x="0"/>
        <item x="5"/>
        <item x="3"/>
        <item t="default"/>
      </items>
    </pivotField>
    <pivotField name="Column 7"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t="default"/>
      </items>
    </pivotField>
    <pivotField name="Quantity" compact="0" numFmtId="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Pr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t="default"/>
      </items>
    </pivotField>
    <pivotField name="Price Fixed"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t="default"/>
      </items>
    </pivotField>
    <pivotField name="Payment" compact="0" outline="0" multipleItemSelectionAllowed="1" showAll="0">
      <items>
        <item x="0"/>
        <item x="1"/>
        <item x="2"/>
        <item x="3"/>
        <item x="4"/>
        <item x="5"/>
        <item x="6"/>
        <item t="default"/>
      </items>
    </pivotField>
    <pivotField name="SUM"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t="default"/>
      </items>
    </pivotField>
    <pivotField name="Due D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t="default"/>
      </items>
    </pivotField>
    <pivotField name="Category" compact="0" outline="0" multipleItemSelectionAllowed="1" showAll="0">
      <items>
        <item x="0"/>
        <item x="1"/>
        <item x="2"/>
        <item x="3"/>
        <item x="4"/>
        <item t="default"/>
      </items>
    </pivotField>
    <pivotField name="Bran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t="default"/>
      </items>
    </pivotField>
    <pivotField name="date invoice2" axis="axisRow" compact="0" outline="0" multipleItemSelectionAllowed="1" showAll="0" sortType="ascending">
      <items>
        <item x="0"/>
        <item x="1"/>
        <item x="2"/>
        <item x="3"/>
        <item t="default"/>
      </items>
    </pivotField>
  </pivotFields>
  <rowFields>
    <field x="15"/>
    <field x="5"/>
  </rowFields>
  <dataFields>
    <dataField name="SUM of SUM" fld="11" baseField="0"/>
  </dataFields>
</pivotTableDefinition>
</file>

<file path=xl/pivotTables/pivotTable5.xml><?xml version="1.0" encoding="utf-8"?>
<pivotTableDefinition xmlns="http://schemas.openxmlformats.org/spreadsheetml/2006/main" name="PAYMENT SUPPLIER" cacheId="5" dataCaption="" rowGrandTotals="0" compact="0" compactData="0">
  <location ref="G2:I45" firstHeaderRow="0" firstDataRow="2" firstDataCol="0"/>
  <pivotFields>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t="default"/>
      </items>
    </pivotField>
    <pivotField name="Column 2" axis="axisRow" compact="0" outline="0" multipleItemSelectionAllowed="1" showAll="0" sortType="ascending">
      <items>
        <item x="25"/>
        <item x="15"/>
        <item x="13"/>
        <item x="2"/>
        <item x="1"/>
        <item x="9"/>
        <item x="11"/>
        <item x="22"/>
        <item x="21"/>
        <item x="19"/>
        <item x="23"/>
        <item x="5"/>
        <item x="20"/>
        <item x="7"/>
        <item x="14"/>
        <item x="12"/>
        <item x="6"/>
        <item x="16"/>
        <item x="17"/>
        <item x="8"/>
        <item x="18"/>
        <item x="0"/>
        <item x="10"/>
        <item x="3"/>
        <item x="24"/>
        <item x="4"/>
        <item t="default"/>
      </items>
    </pivotField>
    <pivotField name="AMOUNT"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t="default"/>
      </items>
    </pivotField>
    <pivotField name="       " axis="axisRow" compact="0" outline="0" multipleItemSelectionAllowed="1" showAll="0" sortType="ascending">
      <items>
        <item x="0"/>
        <item x="1"/>
        <item x="2"/>
        <item x="3"/>
        <item t="default"/>
      </items>
    </pivotField>
  </pivotFields>
  <rowFields>
    <field x="3"/>
    <field x="1"/>
  </rowFields>
  <dataFields>
    <dataField name="SUM of AMOUNT" fld="2" baseField="0"/>
  </dataFields>
</pivotTableDefinition>
</file>

<file path=xl/pivotTables/pivotTable6.xml><?xml version="1.0" encoding="utf-8"?>
<pivotTableDefinition xmlns="http://schemas.openxmlformats.org/spreadsheetml/2006/main" name="SELLING CREDIT" cacheId="3" dataCaption="" compact="0" compactData="0">
  <location ref="W2:X526" firstHeaderRow="0" firstDataRow="2" firstDataCol="0"/>
  <pivotFields>
    <pivotField name="Date" axis="axisRow" compact="0" numFmtId="164" outline="0" multipleItemSelectionAllowed="1" showAll="0" sortType="ascending">
      <items>
        <item x="3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4"/>
        <item t="default"/>
      </items>
    </pivotField>
    <pivotField name="Invoic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t="default"/>
      </items>
    </pivotField>
    <pivotField name="Name" axis="axisRow" compact="0" outline="0" multipleItemSelectionAllowed="1" showAll="0" sortType="ascending">
      <items>
        <item x="90"/>
        <item x="8"/>
        <item x="65"/>
        <item x="81"/>
        <item x="78"/>
        <item x="76"/>
        <item x="10"/>
        <item x="58"/>
        <item x="3"/>
        <item x="16"/>
        <item x="71"/>
        <item x="85"/>
        <item x="23"/>
        <item x="0"/>
        <item x="21"/>
        <item x="34"/>
        <item x="33"/>
        <item x="27"/>
        <item x="44"/>
        <item x="28"/>
        <item x="29"/>
        <item x="9"/>
        <item x="52"/>
        <item x="19"/>
        <item x="61"/>
        <item x="24"/>
        <item x="20"/>
        <item x="60"/>
        <item x="36"/>
        <item x="4"/>
        <item x="32"/>
        <item x="79"/>
        <item x="42"/>
        <item x="80"/>
        <item x="39"/>
        <item x="50"/>
        <item x="25"/>
        <item x="70"/>
        <item x="26"/>
        <item x="66"/>
        <item x="49"/>
        <item x="45"/>
        <item x="15"/>
        <item x="69"/>
        <item x="62"/>
        <item x="47"/>
        <item x="11"/>
        <item x="43"/>
        <item x="88"/>
        <item x="40"/>
        <item x="41"/>
        <item x="6"/>
        <item x="77"/>
        <item x="56"/>
        <item x="31"/>
        <item x="46"/>
        <item x="72"/>
        <item x="89"/>
        <item x="12"/>
        <item x="57"/>
        <item x="82"/>
        <item x="5"/>
        <item x="64"/>
        <item x="55"/>
        <item x="68"/>
        <item x="83"/>
        <item x="75"/>
        <item x="14"/>
        <item x="54"/>
        <item x="22"/>
        <item x="1"/>
        <item x="73"/>
        <item x="2"/>
        <item x="51"/>
        <item x="38"/>
        <item x="17"/>
        <item x="74"/>
        <item x="37"/>
        <item x="87"/>
        <item x="63"/>
        <item x="35"/>
        <item x="7"/>
        <item x="13"/>
        <item x="53"/>
        <item x="86"/>
        <item x="30"/>
        <item x="18"/>
        <item x="59"/>
        <item x="67"/>
        <item x="48"/>
        <item x="84"/>
        <item t="default"/>
      </items>
    </pivotField>
    <pivotField name="Column 4"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t="default"/>
      </items>
    </pivotField>
    <pivotField name="QTY" compact="0" numFmtId="4" outline="0" multipleItemSelectionAllowed="1" showAll="0">
      <items>
        <item x="0"/>
        <item x="1"/>
        <item x="2"/>
        <item x="3"/>
        <item x="4"/>
        <item x="5"/>
        <item x="6"/>
        <item x="7"/>
        <item x="8"/>
        <item t="default"/>
      </items>
    </pivotField>
    <pivotField name="Cash Pric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t="default"/>
      </items>
    </pivotField>
    <pivotField name="Credit Pric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t="default"/>
      </items>
    </pivotField>
    <pivotField name="Due Date"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t="default"/>
      </items>
    </pivotField>
    <pivotField name="Service Fee" compact="0" outline="0" multipleItemSelectionAllowed="1" showAll="0">
      <items>
        <item x="0"/>
        <item x="1"/>
        <item x="2"/>
        <item x="3"/>
        <item x="4"/>
        <item x="5"/>
        <item x="6"/>
        <item x="7"/>
        <item t="default"/>
      </items>
    </pivotField>
    <pivotField name="Cost price VLOOKUP"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t="default"/>
      </items>
    </pivotField>
    <pivotField name="Cost price Absolu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t="default"/>
      </items>
    </pivotField>
    <pivotField name="Cost Price Fixed"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t="default"/>
      </items>
    </pivotField>
    <pivotField name="Total Cash"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t="default"/>
      </items>
    </pivotField>
    <pivotField name="Total Credi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t="default"/>
      </items>
    </pivotField>
    <pivotField name="Prof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t="default"/>
      </items>
    </pivotField>
    <pivotField name="Bran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Category" compact="0" outline="0" multipleItemSelectionAllowed="1" showAll="0">
      <items>
        <item x="0"/>
        <item x="1"/>
        <item x="2"/>
        <item x="3"/>
        <item t="default"/>
      </items>
    </pivotField>
    <pivotField name="Owned by" compact="0" outline="0" multipleItemSelectionAllowed="1" showAll="0">
      <items>
        <item x="0"/>
        <item x="1"/>
        <item x="2"/>
        <item x="3"/>
        <item t="default"/>
      </items>
    </pivotField>
  </pivotFields>
  <rowFields>
    <field x="2"/>
    <field x="0"/>
  </rowFields>
  <dataFields>
    <dataField name="SUM of Total Credit" fld="13" baseField="0"/>
  </dataFields>
</pivotTableDefinition>
</file>

<file path=xl/pivotTables/pivotTable7.xml><?xml version="1.0" encoding="utf-8"?>
<pivotTableDefinition xmlns="http://schemas.openxmlformats.org/spreadsheetml/2006/main" name="PAYMENT CREDIT" cacheId="3" dataCaption="" rowGrandTotals="0" compact="0" compactData="0">
  <location ref="K2:N574" firstHeaderRow="0" firstDataRow="3" firstDataCol="0"/>
  <pivotFields>
    <pivotField name="Date" axis="axisRow" compact="0" numFmtId="164" outline="0" multipleItemSelectionAllowed="1" showAll="0" sortType="ascending" defaultSubtotal="0">
      <items>
        <item x="3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4"/>
      </items>
    </pivotField>
    <pivotField name="Invoice" axis="axisRow" compact="0" outline="0" multipleItemSelectionAllowed="1" showAll="0" sortType="ascending">
      <items>
        <item x="284"/>
        <item x="365"/>
        <item x="366"/>
        <item x="367"/>
        <item x="260"/>
        <item x="261"/>
        <item x="262"/>
        <item x="263"/>
        <item x="264"/>
        <item x="265"/>
        <item x="266"/>
        <item x="368"/>
        <item x="267"/>
        <item x="369"/>
        <item x="370"/>
        <item x="268"/>
        <item x="269"/>
        <item x="270"/>
        <item x="371"/>
        <item x="271"/>
        <item x="372"/>
        <item x="272"/>
        <item x="273"/>
        <item x="373"/>
        <item x="274"/>
        <item x="374"/>
        <item x="375"/>
        <item x="275"/>
        <item x="276"/>
        <item x="377"/>
        <item x="376"/>
        <item x="379"/>
        <item x="277"/>
        <item x="378"/>
        <item x="278"/>
        <item x="380"/>
        <item x="279"/>
        <item x="381"/>
        <item x="281"/>
        <item x="280"/>
        <item x="282"/>
        <item x="283"/>
        <item x="382"/>
        <item x="383"/>
        <item x="285"/>
        <item x="286"/>
        <item x="287"/>
        <item x="384"/>
        <item x="288"/>
        <item x="289"/>
        <item x="385"/>
        <item x="290"/>
        <item x="387"/>
        <item x="386"/>
        <item x="388"/>
        <item x="389"/>
        <item x="391"/>
        <item x="390"/>
        <item x="291"/>
        <item x="292"/>
        <item x="392"/>
        <item x="393"/>
        <item x="394"/>
        <item x="293"/>
        <item x="395"/>
        <item x="294"/>
        <item x="396"/>
        <item x="397"/>
        <item x="295"/>
        <item x="398"/>
        <item x="399"/>
        <item x="296"/>
        <item x="297"/>
        <item x="400"/>
        <item x="401"/>
        <item x="298"/>
        <item x="299"/>
        <item x="300"/>
        <item x="301"/>
        <item x="302"/>
        <item x="403"/>
        <item x="402"/>
        <item x="404"/>
        <item x="405"/>
        <item x="303"/>
        <item x="304"/>
        <item x="406"/>
        <item x="407"/>
        <item x="408"/>
        <item x="410"/>
        <item x="305"/>
        <item x="409"/>
        <item x="411"/>
        <item x="412"/>
        <item x="306"/>
        <item x="413"/>
        <item x="415"/>
        <item x="414"/>
        <item x="307"/>
        <item x="416"/>
        <item x="308"/>
        <item x="309"/>
        <item x="417"/>
        <item x="418"/>
        <item x="310"/>
        <item x="311"/>
        <item x="312"/>
        <item x="313"/>
        <item x="314"/>
        <item x="315"/>
        <item x="316"/>
        <item x="317"/>
        <item x="318"/>
        <item x="419"/>
        <item x="319"/>
        <item x="320"/>
        <item x="321"/>
        <item x="322"/>
        <item x="323"/>
        <item x="324"/>
        <item x="325"/>
        <item x="326"/>
        <item x="327"/>
        <item x="328"/>
        <item x="329"/>
        <item x="330"/>
        <item x="331"/>
        <item x="332"/>
        <item x="333"/>
        <item x="334"/>
        <item x="335"/>
        <item x="336"/>
        <item x="337"/>
        <item x="338"/>
        <item x="339"/>
        <item x="340"/>
        <item x="341"/>
        <item x="342"/>
        <item x="343"/>
        <item x="344"/>
        <item x="346"/>
        <item x="345"/>
        <item x="347"/>
        <item x="348"/>
        <item x="349"/>
        <item x="350"/>
        <item x="351"/>
        <item x="354"/>
        <item x="353"/>
        <item x="352"/>
        <item x="355"/>
        <item x="356"/>
        <item x="358"/>
        <item x="357"/>
        <item x="359"/>
        <item x="360"/>
        <item x="361"/>
        <item x="362"/>
        <item x="364"/>
        <item x="363"/>
        <item x="189"/>
        <item x="192"/>
        <item x="193"/>
        <item x="194"/>
        <item x="195"/>
        <item x="202"/>
        <item x="196"/>
        <item x="197"/>
        <item x="198"/>
        <item x="199"/>
        <item x="200"/>
        <item x="201"/>
        <item x="203"/>
        <item x="204"/>
        <item x="205"/>
        <item x="207"/>
        <item x="209"/>
        <item x="208"/>
        <item x="210"/>
        <item x="211"/>
        <item x="212"/>
        <item x="213"/>
        <item x="214"/>
        <item x="215"/>
        <item x="216"/>
        <item x="217"/>
        <item x="218"/>
        <item x="219"/>
        <item x="206"/>
        <item x="220"/>
        <item x="221"/>
        <item x="223"/>
        <item x="222"/>
        <item x="224"/>
        <item x="225"/>
        <item x="226"/>
        <item x="227"/>
        <item x="228"/>
        <item x="229"/>
        <item x="231"/>
        <item x="232"/>
        <item x="230"/>
        <item x="234"/>
        <item x="235"/>
        <item x="233"/>
        <item x="238"/>
        <item x="236"/>
        <item x="237"/>
        <item x="239"/>
        <item x="240"/>
        <item x="241"/>
        <item x="242"/>
        <item x="243"/>
        <item x="244"/>
        <item x="245"/>
        <item x="246"/>
        <item x="247"/>
        <item x="248"/>
        <item x="249"/>
        <item x="250"/>
        <item x="251"/>
        <item x="252"/>
        <item x="254"/>
        <item x="255"/>
        <item x="256"/>
        <item x="253"/>
        <item x="257"/>
        <item x="258"/>
        <item x="2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7"/>
        <item x="168"/>
        <item x="169"/>
        <item x="170"/>
        <item x="171"/>
        <item x="172"/>
        <item x="173"/>
        <item x="174"/>
        <item x="175"/>
        <item x="176"/>
        <item x="177"/>
        <item x="178"/>
        <item x="179"/>
        <item x="180"/>
        <item x="181"/>
        <item x="182"/>
        <item x="183"/>
        <item x="184"/>
        <item x="185"/>
        <item x="186"/>
        <item x="187"/>
        <item x="188"/>
        <item x="190"/>
        <item x="191"/>
        <item x="166"/>
        <item t="default"/>
      </items>
    </pivotField>
    <pivotField name="Name" axis="axisRow" compact="0" outline="0" multipleItemSelectionAllowed="1" showAll="0" sortType="ascending" defaultSubtotal="0">
      <items>
        <item x="90"/>
        <item x="8"/>
        <item x="65"/>
        <item x="81"/>
        <item x="78"/>
        <item x="76"/>
        <item x="10"/>
        <item x="58"/>
        <item x="3"/>
        <item x="16"/>
        <item x="71"/>
        <item x="85"/>
        <item x="23"/>
        <item x="0"/>
        <item x="21"/>
        <item x="34"/>
        <item x="33"/>
        <item x="27"/>
        <item x="44"/>
        <item x="28"/>
        <item x="29"/>
        <item x="9"/>
        <item x="52"/>
        <item x="19"/>
        <item x="61"/>
        <item x="24"/>
        <item x="20"/>
        <item x="60"/>
        <item x="36"/>
        <item x="4"/>
        <item x="32"/>
        <item x="79"/>
        <item x="42"/>
        <item x="80"/>
        <item x="39"/>
        <item x="50"/>
        <item x="25"/>
        <item x="70"/>
        <item x="26"/>
        <item x="66"/>
        <item x="49"/>
        <item x="45"/>
        <item x="15"/>
        <item x="69"/>
        <item x="62"/>
        <item x="47"/>
        <item x="11"/>
        <item x="43"/>
        <item x="88"/>
        <item x="40"/>
        <item x="41"/>
        <item x="6"/>
        <item x="77"/>
        <item x="56"/>
        <item x="31"/>
        <item x="46"/>
        <item x="72"/>
        <item x="89"/>
        <item x="12"/>
        <item x="57"/>
        <item x="82"/>
        <item x="5"/>
        <item x="64"/>
        <item x="55"/>
        <item x="68"/>
        <item x="83"/>
        <item x="75"/>
        <item x="14"/>
        <item x="54"/>
        <item x="22"/>
        <item x="1"/>
        <item x="73"/>
        <item x="2"/>
        <item x="51"/>
        <item x="38"/>
        <item x="17"/>
        <item x="74"/>
        <item x="37"/>
        <item x="87"/>
        <item x="63"/>
        <item x="35"/>
        <item x="7"/>
        <item x="13"/>
        <item x="53"/>
        <item x="86"/>
        <item x="30"/>
        <item x="18"/>
        <item x="59"/>
        <item x="67"/>
        <item x="48"/>
        <item x="84"/>
      </items>
    </pivotField>
    <pivotField name="Column 4"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t="default"/>
      </items>
    </pivotField>
    <pivotField name="QTY" compact="0" numFmtId="4" outline="0" multipleItemSelectionAllowed="1" showAll="0">
      <items>
        <item x="0"/>
        <item x="1"/>
        <item x="2"/>
        <item x="3"/>
        <item x="4"/>
        <item x="5"/>
        <item x="6"/>
        <item x="7"/>
        <item x="8"/>
        <item t="default"/>
      </items>
    </pivotField>
    <pivotField name="Cash Pric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t="default"/>
      </items>
    </pivotField>
    <pivotField name="Credit Pric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t="default"/>
      </items>
    </pivotField>
    <pivotField name="Due Date" compact="0" numFmtId="1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t="default"/>
      </items>
    </pivotField>
    <pivotField name="Service Fee" compact="0" outline="0" multipleItemSelectionAllowed="1" showAll="0">
      <items>
        <item x="0"/>
        <item x="1"/>
        <item x="2"/>
        <item x="3"/>
        <item x="4"/>
        <item x="5"/>
        <item x="6"/>
        <item x="7"/>
        <item t="default"/>
      </items>
    </pivotField>
    <pivotField name="Cost price VLOOKUP"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t="default"/>
      </items>
    </pivotField>
    <pivotField name="Cost price Absolute"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t="default"/>
      </items>
    </pivotField>
    <pivotField name="Cost Price Fixed"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t="default"/>
      </items>
    </pivotField>
    <pivotField name="Total Cash"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t="default"/>
      </items>
    </pivotField>
    <pivotField name="Total Credit"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t="default"/>
      </items>
    </pivotField>
    <pivotField name="Profi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t="default"/>
      </items>
    </pivotField>
    <pivotField name="Bran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Category" compact="0" outline="0" multipleItemSelectionAllowed="1" showAll="0">
      <items>
        <item x="0"/>
        <item x="1"/>
        <item x="2"/>
        <item x="3"/>
        <item t="default"/>
      </items>
    </pivotField>
    <pivotField name="Owned by" compact="0" outline="0" multipleItemSelectionAllowed="1" showAll="0">
      <items>
        <item x="0"/>
        <item x="1"/>
        <item x="2"/>
        <item x="3"/>
        <item t="default"/>
      </items>
    </pivotField>
  </pivotFields>
  <rowFields>
    <field x="2"/>
    <field x="0"/>
    <field x="1"/>
  </rowFields>
  <dataFields>
    <dataField name="CREDIT" fld="13" baseField="0"/>
  </dataFields>
</pivotTableDefinition>
</file>

<file path=xl/tables/table1.xml><?xml version="1.0" encoding="utf-8"?>
<table xmlns="http://schemas.openxmlformats.org/spreadsheetml/2006/main" totalsRowCount="1" ref="C1:Q501" displayName="Table_Item" name="Table_Item" id="2">
  <autoFilter ref="$C$1:$Q$501"/>
  <tableColumns count="15">
    <tableColumn totalsRowFunction="custom" name="Item" id="1"/>
    <tableColumn totalsRowLabel="195/65 15" name="Size" id="2"/>
    <tableColumn totalsRowLabel="G Fit AS" name="Tipe" id="3"/>
    <tableColumn totalsRowLabel="Laufen" name="Brand" id="4"/>
    <tableColumn name="Stock" id="5"/>
    <tableColumn totalsRowLabel="Rp640,000" name="Selling Price" id="6"/>
    <tableColumn totalsRowLabel="Rp548,000.00" name="Cost Price" id="7"/>
    <tableColumn totalsRowLabel="Bian" name="Owned by" id="8"/>
    <tableColumn totalsRowLabel="1" name="TAX" id="9"/>
    <tableColumn totalsRowLabel="0" name="Service Fee" id="10"/>
    <tableColumn totalsRowLabel="Tire" name="Category" id="11"/>
    <tableColumn totalsRowFunction="custom" name="IN" id="12"/>
    <tableColumn totalsRowFunction="custom" name="CASH" id="13"/>
    <tableColumn totalsRowFunction="custom" name="Credit" id="14"/>
    <tableColumn totalsRowFunction="custom" name="FINAL" id="15"/>
  </tableColumns>
  <tableStyleInfo name="DATABASE-style" showColumnStripes="0" showFirstColumn="1" showLastColumn="1" showRowStripes="1"/>
</table>
</file>

<file path=xl/tables/table2.xml><?xml version="1.0" encoding="utf-8"?>
<table xmlns="http://schemas.openxmlformats.org/spreadsheetml/2006/main" ref="V1:Z113" displayName="Table_Customer" name="Table_Customer" id="4">
  <tableColumns count="5">
    <tableColumn name="code" id="1"/>
    <tableColumn name="Customer Name" id="2"/>
    <tableColumn name="Credit" id="3"/>
    <tableColumn name="Payment" id="4"/>
    <tableColumn name="Out Standing Balance" id="5"/>
  </tableColumns>
  <tableStyleInfo name="DATABASE-style 2" showColumnStripes="0" showFirstColumn="1" showLastColumn="1" showRowStripes="1"/>
</table>
</file>

<file path=xl/tables/table3.xml><?xml version="1.0" encoding="utf-8"?>
<table xmlns="http://schemas.openxmlformats.org/spreadsheetml/2006/main" ref="AD1:AH23" displayName="Table_Distributor" name="Table_Distributor" id="5">
  <tableColumns count="5">
    <tableColumn name="D-0022" id="1"/>
    <tableColumn name="Bapak Velg" id="2"/>
    <tableColumn name="Purchase" id="3"/>
    <tableColumn name="Payment" id="4"/>
    <tableColumn name="Out Standing Balance" id="5"/>
  </tableColumns>
  <tableStyleInfo name="DATABASE-style 3" showColumnStripes="0" showFirstColumn="1" showLastColumn="1" showRowStripes="1"/>
</table>
</file>

<file path=xl/tables/table4.xml><?xml version="1.0" encoding="utf-8"?>
<table xmlns="http://schemas.openxmlformats.org/spreadsheetml/2006/main" ref="C1:G2005" displayName="Table3" name="Table3" id="1">
  <autoFilter ref="$C$1:$G$2005"/>
  <tableColumns count="5">
    <tableColumn name="Date" id="1"/>
    <tableColumn name="Amount" id="2"/>
    <tableColumn name="Explain" id="3"/>
    <tableColumn name="Category" id="4"/>
    <tableColumn name="Payment" id="5"/>
  </tableColumns>
  <tableStyleInfo name="EXPENSES-style" showColumnStripes="0" showFirstColumn="1" showLastColumn="1" showRowStripes="1"/>
</table>
</file>

<file path=xl/tables/table5.xml><?xml version="1.0" encoding="utf-8"?>
<table xmlns="http://schemas.openxmlformats.org/spreadsheetml/2006/main" ref="K1:N45" displayName="Table4" name="Table4" id="3">
  <tableColumns count="4">
    <tableColumn name="Date" id="1"/>
    <tableColumn name="Amount" id="2"/>
    <tableColumn name="Explain" id="3"/>
    <tableColumn name="Category" id="4"/>
  </tableColumns>
  <tableStyleInfo name="EXPENSES-style 2" showColumnStripes="0" showFirstColumn="1" showLastColumn="1" showRowStripes="1"/>
</table>
</file>

<file path=xl/tables/table6.xml><?xml version="1.0" encoding="utf-8"?>
<table xmlns="http://schemas.openxmlformats.org/spreadsheetml/2006/main" totalsRowCount="1" ref="C1:Q2003" displayName="Table_Purchase" name="Table_Purchase" id="6">
  <autoFilter ref="$C$1:$Q$2003"/>
  <tableColumns count="15">
    <tableColumn name="Date In" id="1"/>
    <tableColumn name="Date Invoice" id="2"/>
    <tableColumn name="Distributor" id="3"/>
    <tableColumn name="TAX" id="4"/>
    <tableColumn name="Invoice" id="5"/>
    <tableColumn name="Owned by" id="6"/>
    <tableColumn name="Column 7" id="7"/>
    <tableColumn totalsRowFunction="custom" name="Quantity" id="8"/>
    <tableColumn totalsRowFunction="custom" name="Price" id="9"/>
    <tableColumn totalsRowFunction="custom" name="Price Fixed" id="10"/>
    <tableColumn totalsRowFunction="custom" name="Payment" id="11"/>
    <tableColumn totalsRowFunction="custom" name="SUM" id="12"/>
    <tableColumn name="Due Date" id="13"/>
    <tableColumn name="Category" id="14"/>
    <tableColumn name="Brand" id="15"/>
  </tableColumns>
  <tableStyleInfo name="PURCHASE-style" showColumnStripes="0" showFirstColumn="1" showLastColumn="1" showRowStripes="1"/>
</table>
</file>

<file path=xl/tables/table7.xml><?xml version="1.0" encoding="utf-8"?>
<table xmlns="http://schemas.openxmlformats.org/spreadsheetml/2006/main" ref="C1:R11236" displayName="Table_Cash_Sales" name="Table_Cash_Sales" id="7">
  <autoFilter ref="$C$1:$R$11236"/>
  <tableColumns count="16">
    <tableColumn name="Date" id="1"/>
    <tableColumn name="Invoice" id="2"/>
    <tableColumn name="Item" id="3"/>
    <tableColumn name="QTY" id="4"/>
    <tableColumn name="Price" id="5"/>
    <tableColumn name="Discon" id="6"/>
    <tableColumn name="Total" id="7"/>
    <tableColumn name="Service Fee" id="8"/>
    <tableColumn name="Cost Price VLOOKUP" id="9"/>
    <tableColumn name="Coist Price Absolute" id="10"/>
    <tableColumn name="Cost Price Fixed" id="11"/>
    <tableColumn name="Profit" id="12"/>
    <tableColumn name="Owned by" id="13"/>
    <tableColumn name="Tax" id="14"/>
    <tableColumn name="Brand" id="15"/>
    <tableColumn name="Category" id="16"/>
  </tableColumns>
  <tableStyleInfo name="SELLING CASH-style" showColumnStripes="0" showFirstColumn="1" showLastColumn="1" showRowStripes="1"/>
</table>
</file>

<file path=xl/tables/table8.xml><?xml version="1.0" encoding="utf-8"?>
<table xmlns="http://schemas.openxmlformats.org/spreadsheetml/2006/main" ref="C1:E2002" displayName="Table1" name="Table1" id="8">
  <autoFilter ref="$C$1:$E$2002"/>
  <tableColumns count="3">
    <tableColumn name="DATE" id="1"/>
    <tableColumn name="Column 2" id="2"/>
    <tableColumn name="AMOUNT" id="3"/>
  </tableColumns>
  <tableStyleInfo name="PAYMENT SUPPLIER-style" showColumnStripes="0" showFirstColumn="1" showLastColumn="1" showRowStripes="1"/>
</table>
</file>

<file path=xl/tables/table9.xml><?xml version="1.0" encoding="utf-8"?>
<table xmlns="http://schemas.openxmlformats.org/spreadsheetml/2006/main" headerRowCount="0" ref="I1:K1" displayName="Table5" name="Table5" id="9">
  <tableColumns count="3">
    <tableColumn name="Column1" id="1"/>
    <tableColumn name="Column2" id="2"/>
    <tableColumn name="Column3" id="3"/>
  </tableColumns>
  <tableStyleInfo name="PAYMENT SUPPLIER-style 2" showColumnStripes="0" showFirstColumn="1" showLastColumn="1" showRowStripes="1"/>
  <extLst>
    <ext uri="GoogleSheetsCustomDataVersion1">
      <go:sheetsCustomData xmlns:go="http://customooxmlschemas.google.com/" headerRowCount="1"/>
    </ext>
  </extLst>
</table>
</file>

<file path=xl/tables/table10.xml><?xml version="1.0" encoding="utf-8"?>
<table xmlns="http://schemas.openxmlformats.org/spreadsheetml/2006/main" headerRowCount="0" ref="F2:O400" displayName="Table_1" name="Table_1" id="10">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PAYMENT SUPPLIER-style 3" showColumnStripes="0" showFirstColumn="1" showLastColumn="1" showRowStripes="1"/>
</table>
</file>

<file path=xl/tables/table11.xml><?xml version="1.0" encoding="utf-8"?>
<table xmlns="http://schemas.openxmlformats.org/spreadsheetml/2006/main" ref="C1:T2002" displayName="Table_Credit_Sales" name="Table_Credit_Sales" id="11">
  <autoFilter ref="$C$1:$T$2002"/>
  <tableColumns count="18">
    <tableColumn name="Date" id="1"/>
    <tableColumn name="Invoice" id="2"/>
    <tableColumn name="Name" id="3"/>
    <tableColumn name="Column 4" id="4"/>
    <tableColumn name="QTY" id="5"/>
    <tableColumn name="Cash Price" id="6"/>
    <tableColumn name="Credit Price" id="7"/>
    <tableColumn name="Due Date" id="8"/>
    <tableColumn name="Service Fee" id="9"/>
    <tableColumn name="Cost price VLOOKUP" id="10"/>
    <tableColumn name="Cost price Absolute" id="11"/>
    <tableColumn name="Cost Price Fixed" id="12"/>
    <tableColumn name="Total Cash" id="13"/>
    <tableColumn name="Total Credit" id="14"/>
    <tableColumn name="Profit" id="15"/>
    <tableColumn name="Brand" id="16"/>
    <tableColumn name="Category" id="17"/>
    <tableColumn name="Owned by" id="18"/>
  </tableColumns>
  <tableStyleInfo name="SELLING CREDIT-style" showColumnStripes="0" showFirstColumn="1" showLastColumn="1" showRowStripes="1"/>
</table>
</file>

<file path=xl/tables/table12.xml><?xml version="1.0" encoding="utf-8"?>
<table xmlns="http://schemas.openxmlformats.org/spreadsheetml/2006/main" ref="C1:F2016" displayName="Table_Transfer" name="Table_Transfer" id="12">
  <autoFilter ref="$C$1:$F$2016"/>
  <tableColumns count="4">
    <tableColumn name="Date" id="1"/>
    <tableColumn name="Amount" id="2"/>
    <tableColumn name="BANK" id="3"/>
    <tableColumn name="COUNTA" id="4"/>
  </tableColumns>
  <tableStyleInfo name="TRANSFER-style" showColumnStripes="0" showFirstColumn="1" showLastColumn="1" showRowStripes="1"/>
</table>
</file>

<file path=xl/tables/table13.xml><?xml version="1.0" encoding="utf-8"?>
<table xmlns="http://schemas.openxmlformats.org/spreadsheetml/2006/main" ref="C1:G1002" displayName="Table2" name="Table2" id="13">
  <autoFilter ref="$C$1:$G$1002"/>
  <tableColumns count="5">
    <tableColumn name="DATE" id="1"/>
    <tableColumn name="DATE OF INVOICE" id="2"/>
    <tableColumn name="NAMA CUSTOMER" id="3"/>
    <tableColumn name="AMOUNT" id="4"/>
    <tableColumn name="PROFIT" id="5"/>
  </tableColumns>
  <tableStyleInfo name="PAYMENT CREDI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5" Type="http://schemas.openxmlformats.org/officeDocument/2006/relationships/table" Target="../tables/table1.xml"/><Relationship Id="rId6" Type="http://schemas.openxmlformats.org/officeDocument/2006/relationships/table" Target="../tables/table2.xml"/><Relationship Id="rId7"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1" Type="http://schemas.openxmlformats.org/officeDocument/2006/relationships/drawing" Target="../drawings/drawing4.xml"/><Relationship Id="rId10" Type="http://schemas.openxmlformats.org/officeDocument/2006/relationships/hyperlink" Target="https://drive.google.com/file/d/1P8M3_fY0w5jV10i6nPhf9vn7OGW3FDoq/view?usp=drive_link" TargetMode="External"/><Relationship Id="rId1" Type="http://schemas.openxmlformats.org/officeDocument/2006/relationships/hyperlink" Target="https://drive.google.com/file/d/1cynmqTG3nV-n5x0fWm98o4gFAfjWt8VK/view?usp=drive_link" TargetMode="External"/><Relationship Id="rId2" Type="http://schemas.openxmlformats.org/officeDocument/2006/relationships/hyperlink" Target="https://drive.google.com/file/d/13igRjAz20XfnH-TBI91y0ORYuXxr4QE5/view?usp=drive_link" TargetMode="External"/><Relationship Id="rId3" Type="http://schemas.openxmlformats.org/officeDocument/2006/relationships/hyperlink" Target="https://drive.google.com/file/d/1hpPYir6LU1o2Gk0mXj_Spc_GDuCKIa_t/view?usp=drive_link" TargetMode="External"/><Relationship Id="rId4" Type="http://schemas.openxmlformats.org/officeDocument/2006/relationships/hyperlink" Target="https://drive.google.com/file/d/11RPl17kh7LpNy5f28DRZS8YM1A4oEHHd/view?usp=drive_link" TargetMode="External"/><Relationship Id="rId9" Type="http://schemas.openxmlformats.org/officeDocument/2006/relationships/hyperlink" Target="https://drive.google.com/file/d/1hlrlohJ4t1EP6_Gy8iGvbLh75iaNOOcr/view?usp=sharing" TargetMode="External"/><Relationship Id="rId15" Type="http://schemas.openxmlformats.org/officeDocument/2006/relationships/table" Target="../tables/table5.xml"/><Relationship Id="rId14" Type="http://schemas.openxmlformats.org/officeDocument/2006/relationships/table" Target="../tables/table4.xml"/><Relationship Id="rId5" Type="http://schemas.openxmlformats.org/officeDocument/2006/relationships/hyperlink" Target="https://drive.google.com/file/d/1nuDKlN1da0G-eBI6BqAeYVd3aj32SsEX/view?usp=drive_link" TargetMode="External"/><Relationship Id="rId6" Type="http://schemas.openxmlformats.org/officeDocument/2006/relationships/hyperlink" Target="https://drive.google.com/file/d/1Ruq7pon_7XsrXIR-0lRRIJh7NvbHPFKV/view?usp=sharing" TargetMode="External"/><Relationship Id="rId7" Type="http://schemas.openxmlformats.org/officeDocument/2006/relationships/hyperlink" Target="https://drive.google.com/file/d/1r5fMx2KbvbtYd8ICCtnTqfn6C932ACtc/view?usp=sharing" TargetMode="External"/><Relationship Id="rId8" Type="http://schemas.openxmlformats.org/officeDocument/2006/relationships/hyperlink" Target="https://drive.google.com/file/d/1JzJQNvcpaM-WQs250PoGZMrcoLH0NO19/view?usp=sharing" TargetMode="Externa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6.xml"/><Relationship Id="rId4"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5.xml"/><Relationship Id="rId2" Type="http://schemas.openxmlformats.org/officeDocument/2006/relationships/drawing" Target="../drawings/drawing10.xml"/><Relationship Id="rId6" Type="http://schemas.openxmlformats.org/officeDocument/2006/relationships/table" Target="../tables/table8.xml"/><Relationship Id="rId7" Type="http://schemas.openxmlformats.org/officeDocument/2006/relationships/table" Target="../tables/table9.xml"/><Relationship Id="rId8"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6.xml"/><Relationship Id="rId2" Type="http://schemas.openxmlformats.org/officeDocument/2006/relationships/drawing" Target="../drawings/drawing11.xml"/><Relationship Id="rId4"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7.xml"/><Relationship Id="rId2" Type="http://schemas.openxmlformats.org/officeDocument/2006/relationships/drawing" Target="../drawings/drawing14.xml"/><Relationship Id="rId4"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63"/>
    <col customWidth="1" min="2" max="2" width="19.88"/>
    <col customWidth="1" min="3" max="3" width="2.75"/>
    <col customWidth="1" min="4" max="4" width="16.63"/>
    <col customWidth="1" min="5" max="5" width="14.75"/>
    <col customWidth="1" min="6" max="6" width="4.38"/>
    <col customWidth="1" min="7" max="7" width="16.88"/>
    <col customWidth="1" min="8" max="8" width="14.75"/>
    <col customWidth="1" min="9" max="9" width="2.0"/>
    <col customWidth="1" min="10" max="10" width="13.88"/>
    <col customWidth="1" min="11" max="11" width="12.13"/>
    <col customWidth="1" min="13" max="13" width="3.88"/>
    <col customWidth="1" min="16" max="16" width="23.38"/>
  </cols>
  <sheetData>
    <row r="1">
      <c r="A1" s="98"/>
      <c r="B1" s="98"/>
      <c r="C1" s="98"/>
      <c r="D1" s="98"/>
      <c r="E1" s="100"/>
      <c r="F1" s="98"/>
      <c r="G1" s="98"/>
      <c r="H1" s="98"/>
      <c r="I1" s="98"/>
      <c r="J1" s="98"/>
      <c r="K1" s="98"/>
      <c r="L1" s="98"/>
    </row>
    <row r="2">
      <c r="A2" s="98"/>
      <c r="B2" s="98"/>
      <c r="C2" s="98"/>
      <c r="D2" s="98"/>
      <c r="E2" s="100"/>
      <c r="F2" s="98"/>
      <c r="G2" s="98"/>
      <c r="H2" s="98"/>
      <c r="I2" s="98"/>
      <c r="J2" s="98"/>
      <c r="K2" s="98"/>
      <c r="L2" s="98"/>
    </row>
    <row r="3" ht="25.5" customHeight="1">
      <c r="A3" s="98"/>
      <c r="B3" s="103" t="s">
        <v>63</v>
      </c>
      <c r="C3" s="104"/>
      <c r="D3" s="105" t="s">
        <v>65</v>
      </c>
      <c r="E3" s="105" t="s">
        <v>66</v>
      </c>
      <c r="F3" s="104"/>
      <c r="G3" s="106" t="s">
        <v>67</v>
      </c>
      <c r="H3" s="106" t="s">
        <v>68</v>
      </c>
      <c r="I3" s="98"/>
      <c r="J3" s="106" t="s">
        <v>69</v>
      </c>
      <c r="K3" s="107" t="s">
        <v>70</v>
      </c>
      <c r="L3" s="106" t="s">
        <v>71</v>
      </c>
    </row>
    <row r="4" ht="31.5" customHeight="1">
      <c r="A4" s="98"/>
      <c r="B4" s="108">
        <v>2026.0</v>
      </c>
      <c r="C4" s="109"/>
      <c r="D4" s="115">
        <f>SUMIFS('SELLING CASH'!$I:$I,
  'SELLING CASH'!$C:$C, "&gt;=" &amp; DATE($B$4, 1, 1),
  'SELLING CASH'!$C:$C, "&lt;=" &amp; DATE($B$4, 12, 31),
  'SELLING CASH'!$R:$R, "&lt;&gt;OIL")
+
SUMIFS('SELLING CREDIT'!$P:$P,
  'SELLING CREDIT'!$C:$C, "&gt;=" &amp; DATE($B$4, 1, 1),
  'SELLING CREDIT'!$C:$C, "&lt;=" &amp; DATE($B$4, 12, 31),
  'SELLING CREDIT'!$S:$S, "&lt;&gt;OIL")</f>
        <v>3771168000</v>
      </c>
      <c r="E4" s="119">
        <f>SUMIFS('SELLING CASH'!$F:$F,
  'SELLING CASH'!$C:$C, "&gt;=" &amp; DATE($B$4, 1, 1),
  'SELLING CASH'!$C:$C, "&lt;=" &amp; DATE($B$4, 12, 31),
  'SELLING CASH'!$R:$R, "TIRE")
+
SUMIFS('SELLING CREDIT'!$G:$G,
  'SELLING CREDIT'!$C:$C, "&gt;=" &amp; DATE($B$4, 1, 1),
  'SELLING CREDIT'!$C:$C, "&lt;=" &amp; DATE($B$4, 12, 31),
  'SELLING CREDIT'!$S:$S, "TIRE")</f>
        <v>4341</v>
      </c>
      <c r="F4" s="109"/>
      <c r="G4" s="122">
        <f>SUMIFS(PURCHASE!$N:$N,
  PURCHASE!$C:$C, "&gt;=" &amp; DATE($B$4, 1, 1),
  PURCHASE!$C:$C, "&lt;=" &amp; DATE($B$4, 12, 31),
  PURCHASE!$P:$P, "TIRE")</f>
        <v>2908967163</v>
      </c>
      <c r="H4" s="125">
        <f>SUMIFS(PURCHASE!$J:$J,
  PURCHASE!$C:$C, "&gt;=" &amp; DATE($B$4, 1, 1),
  PURCHASE!$C:$C, "&lt;=" &amp; DATE($B$4, 12, 31),
  PURCHASE!$P:$P, "TIRE")</f>
        <v>3875</v>
      </c>
      <c r="I4" s="98"/>
      <c r="J4" s="122">
        <f>SUMIFS('SELLING CASH'!$N:$N,
  'SELLING CASH'!$C:$C, "&gt;=" &amp; DATE($B$4, 1, 1),
  'SELLING CASH'!$C:$C, "&lt;=" &amp; DATE($B$4, 12, 31),
  'SELLING CASH'!$R:$R, "&lt;&gt;OIL", 'SELLING CASH'!$R:$R, "&lt;&gt;SERVICE")
+
SUMIFS('PAYMENT CREDIT'!$G:$G,
  'PAYMENT CREDIT'!$C:$C, "&gt;=" &amp; DATE($B$4, 1, 1),
  'PAYMENT CREDIT'!$C:$C, "&lt;=" &amp; DATE($B$4, 12, 31))</f>
        <v>447263000</v>
      </c>
      <c r="K4" s="122">
        <f>SUMIFS(EXPENSES!$D:$D,
  EXPENSES!$C:$C, "&gt;=" &amp; DATE($B$4, 1, 1),
  EXPENSES!$C:$C, "&lt;=" &amp; DATE($B$4, 12, 31))</f>
        <v>435942091</v>
      </c>
      <c r="L4" s="122">
        <f>J4-K4</f>
        <v>11320909</v>
      </c>
    </row>
    <row r="5">
      <c r="A5" s="98"/>
      <c r="B5" s="98"/>
      <c r="C5" s="98"/>
      <c r="D5" s="98"/>
      <c r="E5" s="100"/>
      <c r="F5" s="98"/>
      <c r="G5" s="98"/>
      <c r="H5" s="98"/>
      <c r="I5" s="98"/>
      <c r="J5" s="98"/>
      <c r="K5" s="98"/>
      <c r="L5" s="98"/>
    </row>
    <row r="6">
      <c r="A6" s="98"/>
      <c r="B6" s="98"/>
      <c r="C6" s="98"/>
      <c r="D6" s="98"/>
      <c r="E6" s="100"/>
      <c r="F6" s="98"/>
      <c r="G6" s="98"/>
      <c r="H6" s="98"/>
      <c r="I6" s="98"/>
      <c r="J6" s="98"/>
      <c r="K6" s="98"/>
      <c r="L6" s="98"/>
    </row>
    <row r="7">
      <c r="A7" s="98"/>
      <c r="B7" s="98"/>
      <c r="C7" s="98"/>
      <c r="D7" s="98"/>
      <c r="E7" s="100"/>
      <c r="F7" s="98"/>
      <c r="G7" s="98"/>
      <c r="H7" s="98"/>
      <c r="I7" s="98"/>
      <c r="J7" s="98"/>
      <c r="K7" s="98"/>
      <c r="L7" s="98"/>
    </row>
    <row r="8">
      <c r="A8" s="98"/>
      <c r="B8" s="98"/>
      <c r="C8" s="98"/>
      <c r="D8" s="98"/>
      <c r="E8" s="100"/>
      <c r="F8" s="98"/>
      <c r="G8" s="98"/>
      <c r="H8" s="98"/>
      <c r="I8" s="98"/>
      <c r="J8" s="98"/>
      <c r="K8" s="98"/>
      <c r="L8" s="98"/>
    </row>
    <row r="9">
      <c r="A9" s="98"/>
      <c r="B9" s="98"/>
      <c r="C9" s="98"/>
      <c r="D9" s="98"/>
      <c r="E9" s="100"/>
      <c r="F9" s="98"/>
      <c r="G9" s="98"/>
      <c r="H9" s="98"/>
      <c r="I9" s="98"/>
      <c r="J9" s="98"/>
      <c r="K9" s="98"/>
      <c r="L9" s="98"/>
    </row>
    <row r="10">
      <c r="A10" s="98"/>
      <c r="B10" s="98"/>
      <c r="C10" s="98"/>
      <c r="D10" s="98"/>
      <c r="E10" s="100"/>
      <c r="F10" s="98"/>
      <c r="G10" s="98"/>
      <c r="H10" s="98"/>
      <c r="I10" s="98"/>
      <c r="J10" s="98"/>
      <c r="K10" s="98"/>
      <c r="L10" s="132" t="s">
        <v>94</v>
      </c>
    </row>
  </sheetData>
  <dataValidations>
    <dataValidation type="list" allowBlank="1" showErrorMessage="1" sqref="B4">
      <formula1>"2025,2026,2027"</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0"/>
    <col customWidth="1" min="2" max="2" width="2.13"/>
    <col customWidth="1" min="3" max="3" width="3.63"/>
    <col customWidth="1" min="4" max="4" width="19.38"/>
    <col customWidth="1" min="5" max="5" width="12.63"/>
    <col customWidth="1" min="6" max="6" width="3.75"/>
    <col customWidth="1" min="7" max="7" width="12.5"/>
    <col customWidth="1" min="8" max="8" width="15.0"/>
    <col customWidth="1" min="9" max="9" width="3.63"/>
    <col customWidth="1" min="10" max="10" width="3.38"/>
    <col customWidth="1" min="11" max="11" width="6.25"/>
    <col customWidth="1" min="12" max="12" width="15.5"/>
    <col customWidth="1" min="13" max="13" width="20.13"/>
    <col customWidth="1" min="14" max="14" width="12.0"/>
    <col customWidth="1" min="15" max="15" width="11.88"/>
    <col customWidth="1" min="16" max="16" width="10.5"/>
    <col customWidth="1" min="17" max="17" width="15.0"/>
    <col customWidth="1" min="18" max="18" width="13.75"/>
    <col customWidth="1" min="19" max="19" width="13.5"/>
    <col customWidth="1" min="20" max="20" width="11.63"/>
    <col customWidth="1" min="21" max="21" width="11.38"/>
    <col customWidth="1" min="23" max="23" width="12.63"/>
  </cols>
  <sheetData>
    <row r="1" ht="33.0" customHeight="1">
      <c r="A1" s="1" t="s">
        <v>0</v>
      </c>
      <c r="B1" s="2"/>
      <c r="C1" s="3"/>
      <c r="D1" s="4"/>
      <c r="E1" s="4"/>
      <c r="F1" s="5"/>
      <c r="G1" s="6"/>
      <c r="H1" s="7" t="s">
        <v>1</v>
      </c>
      <c r="J1" s="8"/>
      <c r="K1" s="9"/>
      <c r="L1" s="10"/>
      <c r="M1" s="9"/>
      <c r="N1" s="9"/>
      <c r="O1" s="9"/>
      <c r="P1" s="9"/>
      <c r="Q1" s="9"/>
      <c r="R1" s="4"/>
      <c r="S1" s="4"/>
      <c r="T1" s="4"/>
      <c r="U1" s="9"/>
      <c r="V1" s="9"/>
      <c r="W1" s="11"/>
      <c r="X1" s="2"/>
    </row>
    <row r="2" ht="16.5" customHeight="1">
      <c r="A2" s="12">
        <v>27375.0</v>
      </c>
      <c r="D2" s="13" t="s">
        <v>2</v>
      </c>
      <c r="E2" s="14">
        <v>46290.0</v>
      </c>
      <c r="G2" s="15"/>
      <c r="H2" s="12"/>
      <c r="I2" s="12"/>
      <c r="J2" s="16"/>
      <c r="K2" s="12"/>
      <c r="L2" s="17" t="s">
        <v>3</v>
      </c>
      <c r="M2" s="1" t="s">
        <v>4</v>
      </c>
      <c r="N2" s="12"/>
      <c r="O2" s="12"/>
      <c r="P2" s="12"/>
      <c r="Q2" s="12"/>
      <c r="R2" s="12"/>
      <c r="S2" s="12"/>
      <c r="T2" s="12"/>
      <c r="U2" s="12"/>
      <c r="V2" s="18"/>
      <c r="W2" s="19"/>
      <c r="X2" s="20"/>
    </row>
    <row r="3" ht="14.25" customHeight="1">
      <c r="A3" s="12">
        <v>22500.0</v>
      </c>
      <c r="E3" s="7" t="s">
        <v>2</v>
      </c>
      <c r="H3" s="21"/>
      <c r="I3" s="21"/>
      <c r="J3" s="22"/>
      <c r="K3" s="21"/>
      <c r="L3" s="23"/>
      <c r="M3" s="21"/>
      <c r="N3" s="21"/>
      <c r="O3" s="21"/>
      <c r="P3" s="21">
        <f>SUM(P6:P36)</f>
        <v>3810000</v>
      </c>
      <c r="Q3" s="24" t="s">
        <v>5</v>
      </c>
      <c r="R3" s="25"/>
      <c r="S3" s="26">
        <f t="shared" ref="S3:W3" si="1">SUM(S6:S40)</f>
        <v>290510000</v>
      </c>
      <c r="T3" s="26">
        <f t="shared" si="1"/>
        <v>38538000</v>
      </c>
      <c r="U3" s="26">
        <f t="shared" si="1"/>
        <v>10160000</v>
      </c>
      <c r="V3" s="26">
        <f t="shared" si="1"/>
        <v>339208000</v>
      </c>
      <c r="W3" s="27">
        <f t="shared" si="1"/>
        <v>12645000</v>
      </c>
      <c r="X3" s="28"/>
      <c r="Y3" s="30" t="s">
        <v>7</v>
      </c>
    </row>
    <row r="4" ht="17.25" customHeight="1">
      <c r="A4" s="12">
        <v>0.0</v>
      </c>
      <c r="C4" s="31"/>
      <c r="D4" s="32"/>
      <c r="E4" s="33"/>
      <c r="F4" s="31"/>
      <c r="G4" s="34"/>
      <c r="H4" s="35"/>
      <c r="I4" s="35"/>
      <c r="J4" s="36"/>
      <c r="K4" s="12"/>
      <c r="L4" s="38" t="s">
        <v>9</v>
      </c>
      <c r="M4" s="40" t="s">
        <v>11</v>
      </c>
      <c r="N4" s="42"/>
      <c r="O4" s="42"/>
      <c r="P4" s="43"/>
      <c r="Q4" s="40" t="s">
        <v>14</v>
      </c>
      <c r="R4" s="43"/>
      <c r="S4" s="40" t="s">
        <v>16</v>
      </c>
      <c r="T4" s="42"/>
      <c r="U4" s="43"/>
      <c r="V4" s="44" t="s">
        <v>19</v>
      </c>
      <c r="W4" s="45" t="s">
        <v>22</v>
      </c>
      <c r="X4" s="46"/>
      <c r="Y4" s="12">
        <f t="shared" ref="Y4:Z4" si="2">sum(Y7:Y37)</f>
        <v>2075000</v>
      </c>
      <c r="Z4" s="12">
        <f t="shared" si="2"/>
        <v>1480000</v>
      </c>
    </row>
    <row r="5" ht="15.0" customHeight="1">
      <c r="A5" s="49"/>
      <c r="C5" s="31"/>
      <c r="D5" s="50" t="s">
        <v>30</v>
      </c>
      <c r="E5" s="51">
        <f>E2</f>
        <v>46290</v>
      </c>
      <c r="F5" s="52"/>
      <c r="G5" s="53" t="s">
        <v>33</v>
      </c>
      <c r="H5" s="54"/>
      <c r="I5" s="55"/>
      <c r="J5" s="36"/>
      <c r="K5" s="21"/>
      <c r="L5" s="56"/>
      <c r="M5" s="57" t="s">
        <v>35</v>
      </c>
      <c r="N5" s="59" t="s">
        <v>36</v>
      </c>
      <c r="O5" s="59" t="s">
        <v>37</v>
      </c>
      <c r="P5" s="61" t="s">
        <v>39</v>
      </c>
      <c r="Q5" s="57" t="s">
        <v>35</v>
      </c>
      <c r="R5" s="64" t="s">
        <v>36</v>
      </c>
      <c r="S5" s="67" t="s">
        <v>35</v>
      </c>
      <c r="T5" s="68" t="s">
        <v>36</v>
      </c>
      <c r="U5" s="70" t="s">
        <v>37</v>
      </c>
      <c r="V5" s="56"/>
      <c r="W5" s="56"/>
      <c r="X5" s="72"/>
      <c r="Y5" s="73" t="s">
        <v>35</v>
      </c>
      <c r="Z5" s="73" t="s">
        <v>36</v>
      </c>
      <c r="AA5" s="21"/>
    </row>
    <row r="6" ht="15.0" customHeight="1">
      <c r="A6" s="49"/>
      <c r="C6" s="31"/>
      <c r="D6" s="76" t="s">
        <v>46</v>
      </c>
      <c r="E6" s="84">
        <f>sumifs('SELLING CASH'!I:I,'SELLING CASH'!C:C,E5,'SELLING CASH'!R:R,"&lt;&gt;OIL")</f>
        <v>15025000</v>
      </c>
      <c r="F6" s="85"/>
      <c r="G6" s="87" t="s">
        <v>52</v>
      </c>
      <c r="H6" s="89">
        <f>E15-(H7+H8)</f>
        <v>7623000</v>
      </c>
      <c r="I6" s="90"/>
      <c r="J6" s="36"/>
      <c r="K6" s="12"/>
      <c r="L6" s="92">
        <v>46266.0</v>
      </c>
      <c r="M6" s="95">
        <f>sumifs('SELLING CASH'!I:I,'SELLING CASH'!C:C,L6,'SELLING CASH'!R:R,"&lt;&gt;OIL")-(N6+O6+P6)
</f>
        <v>12555000</v>
      </c>
      <c r="N6" s="97">
        <f>sumifs('SELLING CASH'!N:N,'SELLING CASH'!C:C,L6,'SELLING CASH'!R:R,"&lt;&gt;SERVICE",'SELLING CASH'!R:R, "&lt;&gt;OIL")</f>
        <v>1445000</v>
      </c>
      <c r="O6" s="97">
        <f>sumifs('SELLING CASH'!N:N,'SELLING CASH'!C:C,L6,'SELLING CASH'!R:R,"SERVICE")</f>
        <v>490000</v>
      </c>
      <c r="P6" s="102">
        <f>sumif('SELLING CASH'!C:C,L6,'SELLING CASH'!J:J)</f>
        <v>95000</v>
      </c>
      <c r="Q6" s="97">
        <f>SUMIF('PAYMENT CREDIT'!C:C,L6,'PAYMENT CREDIT'!F:F)-R6</f>
        <v>4400000</v>
      </c>
      <c r="R6" s="97">
        <f>SUMIF('PAYMENT CREDIT'!C:C,L6,'PAYMENT CREDIT'!G:G)</f>
        <v>600000</v>
      </c>
      <c r="S6" s="97">
        <f t="shared" ref="S6:T6" si="3">M6+Q6</f>
        <v>16955000</v>
      </c>
      <c r="T6" s="97">
        <f t="shared" si="3"/>
        <v>2045000</v>
      </c>
      <c r="U6" s="97">
        <f t="shared" ref="U6:U36" si="5">O6</f>
        <v>490000</v>
      </c>
      <c r="V6" s="112">
        <f t="shared" ref="V6:V36" si="6">SUM(S6:U6)</f>
        <v>19490000</v>
      </c>
      <c r="W6" s="114">
        <f>SUMIFS('SELLING CASH'!I:I,'SELLING CASH'!C:C,L6,'SELLING CASH'!R:R,"OIL")</f>
        <v>885000</v>
      </c>
      <c r="X6" s="49"/>
      <c r="AA6" s="12"/>
    </row>
    <row r="7" ht="15.0" customHeight="1">
      <c r="A7" s="49"/>
      <c r="C7" s="31"/>
      <c r="D7" s="76" t="s">
        <v>76</v>
      </c>
      <c r="E7" s="89">
        <f>sumif('PAYMENT CREDIT'!C:C,E5,'PAYMENT CREDIT'!F:F)</f>
        <v>0</v>
      </c>
      <c r="F7" s="85"/>
      <c r="G7" s="87" t="s">
        <v>78</v>
      </c>
      <c r="H7" s="84">
        <f>SUMIFS('SELLING CASH'!N:N, 'SELLING CASH'!C:C, E5, 'SELLING CASH'!R:R, "&lt;&gt;SERVICE", 'SELLING CASH'!R:R, "&lt;&gt;OIL") + 
SUMIF('PAYMENT CREDIT'!C:C, E5, 'PAYMENT CREDIT'!G:G)-
E10-E14-SUMIF('SELLING CREDIT'!C:C,E5,'SELLING CREDIT'!K:K)</f>
        <v>1380000</v>
      </c>
      <c r="I7" s="90"/>
      <c r="J7" s="36"/>
      <c r="K7" s="21"/>
      <c r="L7" s="118">
        <v>46267.0</v>
      </c>
      <c r="M7" s="120">
        <f>sumifs('SELLING CASH'!I:I,'SELLING CASH'!C:C,L7,'SELLING CASH'!R:R,"&lt;&gt;OIL")-(N7+O7+P7)
</f>
        <v>7760000</v>
      </c>
      <c r="N7" s="121">
        <f>sumifs('SELLING CASH'!N:N,'SELLING CASH'!C:C,L7,'SELLING CASH'!R:R,"&lt;&gt;SERVICE",'SELLING CASH'!R:R, "&lt;&gt;OIL")</f>
        <v>1365000</v>
      </c>
      <c r="O7" s="123">
        <f>sumifs('SELLING CASH'!N:N,'SELLING CASH'!C:C,L7,'SELLING CASH'!R:R,"SERVICE")</f>
        <v>355000</v>
      </c>
      <c r="P7" s="124">
        <f>sumif('SELLING CASH'!C:C,L7,'SELLING CASH'!J:J)</f>
        <v>95000</v>
      </c>
      <c r="Q7" s="123">
        <f>SUMIF('PAYMENT CREDIT'!C:C,L7,'PAYMENT CREDIT'!F:F)-R7</f>
        <v>9545000</v>
      </c>
      <c r="R7" s="123">
        <f>SUMIF('PAYMENT CREDIT'!C:C,L7,'PAYMENT CREDIT'!G:G)</f>
        <v>670000</v>
      </c>
      <c r="S7" s="121">
        <f t="shared" ref="S7:T7" si="4">M7+Q7</f>
        <v>17305000</v>
      </c>
      <c r="T7" s="121">
        <f t="shared" si="4"/>
        <v>2035000</v>
      </c>
      <c r="U7" s="123">
        <f t="shared" si="5"/>
        <v>355000</v>
      </c>
      <c r="V7" s="126">
        <f t="shared" si="6"/>
        <v>19695000</v>
      </c>
      <c r="W7" s="128">
        <f>SUMIFS('SELLING CASH'!I:I,'SELLING CASH'!C:C,L7,'SELLING CASH'!R:R,"OIL")</f>
        <v>385000</v>
      </c>
      <c r="X7" s="129"/>
      <c r="Y7" s="73">
        <v>1100000.0</v>
      </c>
      <c r="Z7" s="73">
        <v>180000.0</v>
      </c>
      <c r="AA7" s="21"/>
    </row>
    <row r="8" ht="15.0" customHeight="1">
      <c r="A8" s="49"/>
      <c r="C8" s="31"/>
      <c r="D8" s="76" t="s">
        <v>90</v>
      </c>
      <c r="E8" s="89">
        <f>E6+E7</f>
        <v>15025000</v>
      </c>
      <c r="F8" s="85"/>
      <c r="G8" s="87" t="s">
        <v>37</v>
      </c>
      <c r="H8" s="89">
        <f>sumifs('SELLING CASH'!N:N,'SELLING CASH'!C:C,E5,'SELLING CASH'!R:R,"SERVICE")+SUMIF('SELLING CREDIT'!C:C,E5,'SELLING CREDIT'!K:K)</f>
        <v>775000</v>
      </c>
      <c r="I8" s="90"/>
      <c r="J8" s="36"/>
      <c r="K8" s="12"/>
      <c r="L8" s="92">
        <v>46268.0</v>
      </c>
      <c r="M8" s="95">
        <f>sumifs('SELLING CASH'!I:I,'SELLING CASH'!C:C,L8,'SELLING CASH'!R:R,"&lt;&gt;OIL")-(N8+O8+P8)
</f>
        <v>5465000</v>
      </c>
      <c r="N8" s="97">
        <f>sumifs('SELLING CASH'!N:N,'SELLING CASH'!C:C,L8,'SELLING CASH'!R:R,"&lt;&gt;SERVICE",'SELLING CASH'!R:R, "&lt;&gt;OIL")</f>
        <v>830000</v>
      </c>
      <c r="O8" s="135">
        <f>sumifs('SELLING CASH'!N:N,'SELLING CASH'!C:C,L8,'SELLING CASH'!R:R,"SERVICE")</f>
        <v>365000</v>
      </c>
      <c r="P8" s="124">
        <f>sumif('SELLING CASH'!C:C,L8,'SELLING CASH'!J:J)</f>
        <v>130000</v>
      </c>
      <c r="Q8" s="135">
        <f>SUMIF('PAYMENT CREDIT'!C:C,L8,'PAYMENT CREDIT'!F:F)-R8</f>
        <v>900000</v>
      </c>
      <c r="R8" s="135">
        <f>SUMIF('PAYMENT CREDIT'!C:C,L8,'PAYMENT CREDIT'!G:G)</f>
        <v>0</v>
      </c>
      <c r="S8" s="97">
        <f t="shared" ref="S8:T8" si="7">M8+Q8</f>
        <v>6365000</v>
      </c>
      <c r="T8" s="97">
        <f t="shared" si="7"/>
        <v>830000</v>
      </c>
      <c r="U8" s="135">
        <f t="shared" si="5"/>
        <v>365000</v>
      </c>
      <c r="V8" s="112">
        <f t="shared" si="6"/>
        <v>7560000</v>
      </c>
      <c r="W8" s="114">
        <f>SUMIFS('SELLING CASH'!I:I,'SELLING CASH'!C:C,L8,'SELLING CASH'!R:R,"OIL")</f>
        <v>750000</v>
      </c>
      <c r="X8" s="49"/>
      <c r="Y8" s="12"/>
      <c r="Z8" s="1"/>
      <c r="AA8" s="12"/>
    </row>
    <row r="9" ht="15.0" customHeight="1">
      <c r="A9" s="49"/>
      <c r="C9" s="31"/>
      <c r="D9" s="137" t="s">
        <v>100</v>
      </c>
      <c r="E9" s="139">
        <f>SUMif(TRANSFER!C:C,E2,TRANSFER!D:D)</f>
        <v>4447000</v>
      </c>
      <c r="F9" s="85"/>
      <c r="G9" s="87" t="s">
        <v>101</v>
      </c>
      <c r="H9" s="84">
        <f>SUMIFS('SELLING CASH'!I:I,'SELLING CASH'!C:C,E5,'SELLING CASH'!R:R,"OIL")</f>
        <v>0</v>
      </c>
      <c r="I9" s="90"/>
      <c r="J9" s="36"/>
      <c r="K9" s="21"/>
      <c r="L9" s="118">
        <v>46269.0</v>
      </c>
      <c r="M9" s="120">
        <f>sumifs('SELLING CASH'!I:I,'SELLING CASH'!C:C,L9,'SELLING CASH'!R:R,"&lt;&gt;OIL")-(N9+O9+P9)
</f>
        <v>11725000</v>
      </c>
      <c r="N9" s="121">
        <f>sumifs('SELLING CASH'!N:N,'SELLING CASH'!C:C,L9,'SELLING CASH'!R:R,"&lt;&gt;SERVICE",'SELLING CASH'!R:R, "&lt;&gt;OIL")</f>
        <v>1750000</v>
      </c>
      <c r="O9" s="123">
        <f>sumifs('SELLING CASH'!N:N,'SELLING CASH'!C:C,L9,'SELLING CASH'!R:R,"SERVICE")</f>
        <v>280000</v>
      </c>
      <c r="P9" s="124">
        <f>sumif('SELLING CASH'!C:C,L9,'SELLING CASH'!J:J)</f>
        <v>20000</v>
      </c>
      <c r="Q9" s="123">
        <f>SUMIF('PAYMENT CREDIT'!C:C,L9,'PAYMENT CREDIT'!F:F)-R9</f>
        <v>4320000</v>
      </c>
      <c r="R9" s="123">
        <f>SUMIF('PAYMENT CREDIT'!C:C,L9,'PAYMENT CREDIT'!G:G)</f>
        <v>400000</v>
      </c>
      <c r="S9" s="121">
        <f t="shared" ref="S9:T9" si="8">M9+Q9</f>
        <v>16045000</v>
      </c>
      <c r="T9" s="121">
        <f t="shared" si="8"/>
        <v>2150000</v>
      </c>
      <c r="U9" s="123">
        <f t="shared" si="5"/>
        <v>280000</v>
      </c>
      <c r="V9" s="126">
        <f t="shared" si="6"/>
        <v>18475000</v>
      </c>
      <c r="W9" s="128">
        <f>SUMIFS('SELLING CASH'!I:I,'SELLING CASH'!C:C,L9,'SELLING CASH'!R:R,"OIL")</f>
        <v>370000</v>
      </c>
      <c r="X9" s="129"/>
      <c r="Y9" s="21"/>
      <c r="Z9" s="21"/>
      <c r="AA9" s="21"/>
    </row>
    <row r="10" ht="16.5" customHeight="1">
      <c r="A10" s="49"/>
      <c r="C10" s="31"/>
      <c r="D10" s="137" t="s">
        <v>111</v>
      </c>
      <c r="E10" s="139">
        <f>sumifS(EXPENSES!D:D,EXPENSES!C:C,E5,EXPENSES!G:G,"Cashier")</f>
        <v>15000</v>
      </c>
      <c r="F10" s="141" t="s">
        <v>113</v>
      </c>
      <c r="G10" s="141"/>
      <c r="H10" s="142"/>
      <c r="I10" s="90"/>
      <c r="J10" s="36"/>
      <c r="K10" s="12"/>
      <c r="L10" s="92">
        <v>46270.0</v>
      </c>
      <c r="M10" s="95">
        <f>sumifs('SELLING CASH'!I:I,'SELLING CASH'!C:C,L10,'SELLING CASH'!R:R,"&lt;&gt;OIL")-(N10+O10+P10)
</f>
        <v>9135000</v>
      </c>
      <c r="N10" s="97">
        <f>sumifs('SELLING CASH'!N:N,'SELLING CASH'!C:C,L10,'SELLING CASH'!R:R,"&lt;&gt;SERVICE",'SELLING CASH'!R:R, "&lt;&gt;OIL")</f>
        <v>835000</v>
      </c>
      <c r="O10" s="135">
        <f>sumifs('SELLING CASH'!N:N,'SELLING CASH'!C:C,L10,'SELLING CASH'!R:R,"SERVICE")</f>
        <v>0</v>
      </c>
      <c r="P10" s="124">
        <f>sumif('SELLING CASH'!C:C,L10,'SELLING CASH'!J:J)</f>
        <v>0</v>
      </c>
      <c r="Q10" s="135">
        <f>SUMIF('PAYMENT CREDIT'!C:C,L10,'PAYMENT CREDIT'!F:F)-R10</f>
        <v>4420000</v>
      </c>
      <c r="R10" s="135">
        <f>SUMIF('PAYMENT CREDIT'!C:C,L10,'PAYMENT CREDIT'!G:G)</f>
        <v>600000</v>
      </c>
      <c r="S10" s="97">
        <f t="shared" ref="S10:T10" si="9">M10+Q10</f>
        <v>13555000</v>
      </c>
      <c r="T10" s="97">
        <f t="shared" si="9"/>
        <v>1435000</v>
      </c>
      <c r="U10" s="135">
        <f t="shared" si="5"/>
        <v>0</v>
      </c>
      <c r="V10" s="112">
        <f t="shared" si="6"/>
        <v>14990000</v>
      </c>
      <c r="W10" s="114">
        <f>SUMIFS('SELLING CASH'!I:I,'SELLING CASH'!C:C,L10,'SELLING CASH'!R:R,"OIL")</f>
        <v>0</v>
      </c>
      <c r="X10" s="49"/>
      <c r="Y10" s="1"/>
      <c r="Z10" s="1"/>
      <c r="AA10" s="12"/>
    </row>
    <row r="11" ht="15.0" customHeight="1">
      <c r="A11" s="49"/>
      <c r="C11" s="31"/>
      <c r="D11" s="137" t="s">
        <v>28</v>
      </c>
      <c r="E11" s="139">
        <f>sumif('SELLING CASH'!C:C,E5,'SELLING CASH'!J:J)+sumif('SELLING CREDIT'!C:C,E5,'SELLING CREDIT'!K:K)</f>
        <v>125000</v>
      </c>
      <c r="F11" s="85"/>
      <c r="G11" s="148" t="s">
        <v>122</v>
      </c>
      <c r="I11" s="90"/>
      <c r="J11" s="36"/>
      <c r="K11" s="21"/>
      <c r="L11" s="118">
        <v>46271.0</v>
      </c>
      <c r="M11" s="120">
        <f>sumifs('SELLING CASH'!I:I,'SELLING CASH'!C:C,L11,'SELLING CASH'!R:R,"&lt;&gt;OIL")-(N11+O11+P11)
</f>
        <v>8520000</v>
      </c>
      <c r="N11" s="121">
        <f>sumifs('SELLING CASH'!N:N,'SELLING CASH'!C:C,L11,'SELLING CASH'!R:R,"&lt;&gt;SERVICE",'SELLING CASH'!R:R, "&lt;&gt;OIL")</f>
        <v>1420000</v>
      </c>
      <c r="O11" s="123">
        <f>sumifs('SELLING CASH'!N:N,'SELLING CASH'!C:C,L11,'SELLING CASH'!R:R,"SERVICE")</f>
        <v>480000</v>
      </c>
      <c r="P11" s="124">
        <f>sumif('SELLING CASH'!C:C,L11,'SELLING CASH'!J:J)</f>
        <v>125000</v>
      </c>
      <c r="Q11" s="123">
        <f>SUMIF('PAYMENT CREDIT'!C:C,L11,'PAYMENT CREDIT'!F:F)-R11</f>
        <v>0</v>
      </c>
      <c r="R11" s="123">
        <f>SUMIF('PAYMENT CREDIT'!C:C,L11,'PAYMENT CREDIT'!G:G)</f>
        <v>0</v>
      </c>
      <c r="S11" s="121">
        <f t="shared" ref="S11:T11" si="10">M11+Q11</f>
        <v>8520000</v>
      </c>
      <c r="T11" s="121">
        <f t="shared" si="10"/>
        <v>1420000</v>
      </c>
      <c r="U11" s="123">
        <f t="shared" si="5"/>
        <v>480000</v>
      </c>
      <c r="V11" s="126">
        <f t="shared" si="6"/>
        <v>10420000</v>
      </c>
      <c r="W11" s="128">
        <f>SUMIFS('SELLING CASH'!I:I,'SELLING CASH'!C:C,L11,'SELLING CASH'!R:R,"OIL")</f>
        <v>1150000</v>
      </c>
      <c r="X11" s="129"/>
      <c r="Y11" s="73">
        <v>75000.0</v>
      </c>
      <c r="Z11" s="73">
        <v>100000.0</v>
      </c>
      <c r="AA11" s="21"/>
    </row>
    <row r="12" ht="15.0" customHeight="1">
      <c r="A12" s="49"/>
      <c r="C12" s="31"/>
      <c r="D12" s="150" t="s">
        <v>130</v>
      </c>
      <c r="E12" s="151">
        <f>E8-(E9+E10+E11)</f>
        <v>10438000</v>
      </c>
      <c r="F12" s="85"/>
      <c r="G12" s="87" t="s">
        <v>133</v>
      </c>
      <c r="H12" s="89">
        <f>SUMIFS(TRANSFER!D:D,TRANSFER!C:C,$E$5,TRANSFER!E:E,G12)</f>
        <v>3240000</v>
      </c>
      <c r="I12" s="90"/>
      <c r="J12" s="36"/>
      <c r="K12" s="12"/>
      <c r="L12" s="92">
        <v>46272.0</v>
      </c>
      <c r="M12" s="95">
        <f>sumifs('SELLING CASH'!I:I,'SELLING CASH'!C:C,L12,'SELLING CASH'!R:R,"&lt;&gt;OIL")-(N12+O12+P12)
</f>
        <v>21520000</v>
      </c>
      <c r="N12" s="97">
        <f>sumifs('SELLING CASH'!N:N,'SELLING CASH'!C:C,L12,'SELLING CASH'!R:R,"&lt;&gt;SERVICE",'SELLING CASH'!R:R, "&lt;&gt;OIL")</f>
        <v>1985000</v>
      </c>
      <c r="O12" s="135">
        <f>sumifs('SELLING CASH'!N:N,'SELLING CASH'!C:C,L12,'SELLING CASH'!R:R,"SERVICE")</f>
        <v>0</v>
      </c>
      <c r="P12" s="124">
        <f>sumif('SELLING CASH'!C:C,L12,'SELLING CASH'!J:J)</f>
        <v>0</v>
      </c>
      <c r="Q12" s="135">
        <f>SUMIF('PAYMENT CREDIT'!C:C,L12,'PAYMENT CREDIT'!F:F)-R12</f>
        <v>1525000</v>
      </c>
      <c r="R12" s="135">
        <f>SUMIF('PAYMENT CREDIT'!C:C,L12,'PAYMENT CREDIT'!G:G)</f>
        <v>200000</v>
      </c>
      <c r="S12" s="97">
        <f t="shared" ref="S12:T12" si="11">M12+Q12</f>
        <v>23045000</v>
      </c>
      <c r="T12" s="135">
        <f t="shared" si="11"/>
        <v>2185000</v>
      </c>
      <c r="U12" s="135">
        <f t="shared" si="5"/>
        <v>0</v>
      </c>
      <c r="V12" s="112">
        <f t="shared" si="6"/>
        <v>25230000</v>
      </c>
      <c r="W12" s="114">
        <f>SUMIFS('SELLING CASH'!I:I,'SELLING CASH'!C:C,L12,'SELLING CASH'!R:R,"OIL")</f>
        <v>0</v>
      </c>
      <c r="X12" s="49"/>
      <c r="Y12" s="1"/>
      <c r="Z12" s="1"/>
      <c r="AA12" s="12"/>
    </row>
    <row r="13" ht="15.0" customHeight="1">
      <c r="A13" s="49"/>
      <c r="C13" s="31"/>
      <c r="D13" s="157" t="s">
        <v>141</v>
      </c>
      <c r="E13" s="158">
        <v>570000.0</v>
      </c>
      <c r="F13" s="85"/>
      <c r="G13" s="87" t="s">
        <v>142</v>
      </c>
      <c r="H13" s="89">
        <f>SUMIFS(TRANSFER!D:D,TRANSFER!C:C,$E$5,TRANSFER!E:E,G13)</f>
        <v>0</v>
      </c>
      <c r="I13" s="90"/>
      <c r="J13" s="36"/>
      <c r="K13" s="21"/>
      <c r="L13" s="118">
        <v>46273.0</v>
      </c>
      <c r="M13" s="120">
        <f>sumifs('SELLING CASH'!I:I,'SELLING CASH'!C:C,L13,'SELLING CASH'!R:R,"&lt;&gt;OIL")-(N13+O13+P13)
</f>
        <v>14835000</v>
      </c>
      <c r="N13" s="121">
        <f>sumifs('SELLING CASH'!N:N,'SELLING CASH'!C:C,L13,'SELLING CASH'!R:R,"&lt;&gt;SERVICE",'SELLING CASH'!R:R, "&lt;&gt;OIL")</f>
        <v>1370000</v>
      </c>
      <c r="O13" s="123">
        <f>sumifs('SELLING CASH'!N:N,'SELLING CASH'!C:C,L13,'SELLING CASH'!R:R,"SERVICE")</f>
        <v>520000</v>
      </c>
      <c r="P13" s="124">
        <f>sumif('SELLING CASH'!C:C,L13,'SELLING CASH'!J:J)</f>
        <v>165000</v>
      </c>
      <c r="Q13" s="123">
        <f>SUMIF('PAYMENT CREDIT'!C:C,L13,'PAYMENT CREDIT'!F:F)-R13</f>
        <v>2960000</v>
      </c>
      <c r="R13" s="123">
        <f>SUMIF('PAYMENT CREDIT'!C:C,L13,'PAYMENT CREDIT'!G:G)</f>
        <v>420000</v>
      </c>
      <c r="S13" s="121">
        <f t="shared" ref="S13:T13" si="12">M13+Q13</f>
        <v>17795000</v>
      </c>
      <c r="T13" s="123">
        <f t="shared" si="12"/>
        <v>1790000</v>
      </c>
      <c r="U13" s="123">
        <f t="shared" si="5"/>
        <v>520000</v>
      </c>
      <c r="V13" s="126">
        <f t="shared" si="6"/>
        <v>20105000</v>
      </c>
      <c r="W13" s="128">
        <f>SUMIFS('SELLING CASH'!I:I,'SELLING CASH'!C:C,L13,'SELLING CASH'!R:R,"OIL")</f>
        <v>250000</v>
      </c>
      <c r="X13" s="129"/>
      <c r="Y13" s="21"/>
      <c r="Z13" s="21"/>
      <c r="AA13" s="21"/>
    </row>
    <row r="14" ht="15.0" customHeight="1">
      <c r="A14" s="49"/>
      <c r="C14" s="31"/>
      <c r="D14" s="157" t="s">
        <v>152</v>
      </c>
      <c r="E14" s="158">
        <v>90000.0</v>
      </c>
      <c r="F14" s="85"/>
      <c r="G14" s="87" t="s">
        <v>154</v>
      </c>
      <c r="H14" s="89">
        <f>SUMIFS(TRANSFER!D:D,TRANSFER!C:C,$E$5,TRANSFER!E:E,G14)</f>
        <v>0</v>
      </c>
      <c r="I14" s="90"/>
      <c r="J14" s="36"/>
      <c r="K14" s="12"/>
      <c r="L14" s="92">
        <v>46274.0</v>
      </c>
      <c r="M14" s="95">
        <f>sumifs('SELLING CASH'!I:I,'SELLING CASH'!C:C,L14,'SELLING CASH'!R:R,"&lt;&gt;OIL")-(N14+O14+P14)
</f>
        <v>14030000</v>
      </c>
      <c r="N14" s="97">
        <f>sumifs('SELLING CASH'!N:N,'SELLING CASH'!C:C,L14,'SELLING CASH'!R:R,"&lt;&gt;SERVICE",'SELLING CASH'!R:R, "&lt;&gt;OIL")</f>
        <v>1790000</v>
      </c>
      <c r="O14" s="135">
        <f>sumifs('SELLING CASH'!N:N,'SELLING CASH'!C:C,L14,'SELLING CASH'!R:R,"SERVICE")</f>
        <v>555000</v>
      </c>
      <c r="P14" s="124">
        <f>sumif('SELLING CASH'!C:C,L14,'SELLING CASH'!J:J)</f>
        <v>250000</v>
      </c>
      <c r="Q14" s="135">
        <f>SUMIF('PAYMENT CREDIT'!C:C,L14,'PAYMENT CREDIT'!F:F)-R14</f>
        <v>1415000</v>
      </c>
      <c r="R14" s="135">
        <f>SUMIF('PAYMENT CREDIT'!C:C,L14,'PAYMENT CREDIT'!G:G)</f>
        <v>565000</v>
      </c>
      <c r="S14" s="135">
        <f t="shared" ref="S14:T14" si="13">M14+Q14</f>
        <v>15445000</v>
      </c>
      <c r="T14" s="135">
        <f t="shared" si="13"/>
        <v>2355000</v>
      </c>
      <c r="U14" s="135">
        <f t="shared" si="5"/>
        <v>555000</v>
      </c>
      <c r="V14" s="112">
        <f t="shared" si="6"/>
        <v>18355000</v>
      </c>
      <c r="W14" s="114">
        <f>SUMIFS('SELLING CASH'!I:I,'SELLING CASH'!C:C,L14,'SELLING CASH'!R:R,"OIL")</f>
        <v>490000</v>
      </c>
      <c r="X14" s="49"/>
      <c r="Y14" s="1">
        <v>75000.0</v>
      </c>
      <c r="Z14" s="1">
        <v>100000.0</v>
      </c>
      <c r="AA14" s="12"/>
    </row>
    <row r="15" ht="15.0" customHeight="1">
      <c r="A15" s="49"/>
      <c r="C15" s="31"/>
      <c r="D15" s="150" t="s">
        <v>130</v>
      </c>
      <c r="E15" s="151">
        <f>E12-(E13+E14)</f>
        <v>9778000</v>
      </c>
      <c r="F15" s="85"/>
      <c r="G15" s="87" t="s">
        <v>162</v>
      </c>
      <c r="H15" s="89">
        <f>SUMIFS(TRANSFER!D:D,TRANSFER!C:C,$E$5,TRANSFER!E:E,G15)</f>
        <v>0</v>
      </c>
      <c r="I15" s="90"/>
      <c r="J15" s="36"/>
      <c r="K15" s="21"/>
      <c r="L15" s="118">
        <v>46275.0</v>
      </c>
      <c r="M15" s="120">
        <f>sumifs('SELLING CASH'!I:I,'SELLING CASH'!C:C,L15,'SELLING CASH'!R:R,"&lt;&gt;OIL")-(N15+O15+P15)
</f>
        <v>21410000</v>
      </c>
      <c r="N15" s="121">
        <f>sumifs('SELLING CASH'!N:N,'SELLING CASH'!C:C,L15,'SELLING CASH'!R:R,"&lt;&gt;SERVICE",'SELLING CASH'!R:R, "&lt;&gt;OIL")</f>
        <v>3755000</v>
      </c>
      <c r="O15" s="123">
        <f>sumifs('SELLING CASH'!N:N,'SELLING CASH'!C:C,L15,'SELLING CASH'!R:R,"SERVICE")</f>
        <v>895000</v>
      </c>
      <c r="P15" s="124">
        <f>sumif('SELLING CASH'!C:C,L15,'SELLING CASH'!J:J)</f>
        <v>405000</v>
      </c>
      <c r="Q15" s="123">
        <f>SUMIF('PAYMENT CREDIT'!C:C,L15,'PAYMENT CREDIT'!F:F)-R15</f>
        <v>2830000</v>
      </c>
      <c r="R15" s="123">
        <f>SUMIF('PAYMENT CREDIT'!C:C,L15,'PAYMENT CREDIT'!G:G)</f>
        <v>430000</v>
      </c>
      <c r="S15" s="123">
        <f t="shared" ref="S15:T15" si="14">M15+Q15</f>
        <v>24240000</v>
      </c>
      <c r="T15" s="123">
        <f t="shared" si="14"/>
        <v>4185000</v>
      </c>
      <c r="U15" s="123">
        <f t="shared" si="5"/>
        <v>895000</v>
      </c>
      <c r="V15" s="126">
        <f t="shared" si="6"/>
        <v>29320000</v>
      </c>
      <c r="W15" s="128">
        <f>SUMIFS('SELLING CASH'!I:I,'SELLING CASH'!C:C,L15,'SELLING CASH'!R:R,"OIL")+210000</f>
        <v>210000</v>
      </c>
      <c r="X15" s="129"/>
      <c r="Y15" s="21"/>
      <c r="Z15" s="21"/>
      <c r="AA15" s="21"/>
    </row>
    <row r="16" ht="15.0" customHeight="1">
      <c r="A16" s="49"/>
      <c r="C16" s="31"/>
      <c r="D16" s="162"/>
      <c r="E16" s="163"/>
      <c r="F16" s="164"/>
      <c r="G16" s="87" t="s">
        <v>173</v>
      </c>
      <c r="H16" s="89">
        <f>SUMIFS(TRANSFER!D:D,TRANSFER!C:C,$E$5,TRANSFER!E:E,G16)</f>
        <v>1207000</v>
      </c>
      <c r="I16" s="165"/>
      <c r="J16" s="36"/>
      <c r="K16" s="12"/>
      <c r="L16" s="92">
        <v>46276.0</v>
      </c>
      <c r="M16" s="95">
        <f>sumifs('SELLING CASH'!I:I,'SELLING CASH'!C:C,L16,'SELLING CASH'!R:R,"&lt;&gt;OIL")-(N16+O16+P16)
</f>
        <v>10600000</v>
      </c>
      <c r="N16" s="97">
        <f>sumifs('SELLING CASH'!N:N,'SELLING CASH'!C:C,L16,'SELLING CASH'!R:R,"&lt;&gt;SERVICE",'SELLING CASH'!R:R, "&lt;&gt;OIL")</f>
        <v>1240000</v>
      </c>
      <c r="O16" s="135">
        <f>sumifs('SELLING CASH'!N:N,'SELLING CASH'!C:C,L16,'SELLING CASH'!R:R,"SERVICE")</f>
        <v>190000</v>
      </c>
      <c r="P16" s="124">
        <f>sumif('SELLING CASH'!C:C,L16,'SELLING CASH'!J:J)</f>
        <v>85000</v>
      </c>
      <c r="Q16" s="135">
        <f>SUMIF('PAYMENT CREDIT'!C:C,L16,'PAYMENT CREDIT'!F:F)-R16</f>
        <v>0</v>
      </c>
      <c r="R16" s="135">
        <f>SUMIF('PAYMENT CREDIT'!C:C,L16,'PAYMENT CREDIT'!G:G)</f>
        <v>0</v>
      </c>
      <c r="S16" s="135">
        <f t="shared" ref="S16:T16" si="15">M16+Q16</f>
        <v>10600000</v>
      </c>
      <c r="T16" s="135">
        <f t="shared" si="15"/>
        <v>1240000</v>
      </c>
      <c r="U16" s="135">
        <f t="shared" si="5"/>
        <v>190000</v>
      </c>
      <c r="V16" s="112">
        <f t="shared" si="6"/>
        <v>12030000</v>
      </c>
      <c r="W16" s="114">
        <f>SUMIFS('SELLING CASH'!I:I,'SELLING CASH'!C:C,L16,'SELLING CASH'!R:R,"OIL")+360000</f>
        <v>360000</v>
      </c>
      <c r="X16" s="49"/>
      <c r="Y16" s="12"/>
      <c r="Z16" s="12"/>
      <c r="AA16" s="12"/>
    </row>
    <row r="17" ht="15.0" customHeight="1">
      <c r="A17" s="49"/>
      <c r="C17" s="31"/>
      <c r="D17" s="166"/>
      <c r="E17" s="167" t="s">
        <v>2</v>
      </c>
      <c r="F17" s="168"/>
      <c r="G17" s="169" t="s">
        <v>182</v>
      </c>
      <c r="H17" s="170">
        <f>SUMIFS(TRANSFER!D:D,TRANSFER!C:C,$E$5,TRANSFER!E:E,G17)</f>
        <v>0</v>
      </c>
      <c r="I17" s="171"/>
      <c r="J17" s="36"/>
      <c r="K17" s="21"/>
      <c r="L17" s="118">
        <v>46277.0</v>
      </c>
      <c r="M17" s="120">
        <f>sumifs('SELLING CASH'!I:I,'SELLING CASH'!C:C,L17,'SELLING CASH'!R:R,"&lt;&gt;OIL")-(N17+O17+P17)
</f>
        <v>5530000</v>
      </c>
      <c r="N17" s="121">
        <f>sumifs('SELLING CASH'!N:N,'SELLING CASH'!C:C,L17,'SELLING CASH'!R:R,"&lt;&gt;SERVICE",'SELLING CASH'!R:R, "&lt;&gt;OIL")</f>
        <v>735000</v>
      </c>
      <c r="O17" s="123">
        <f>sumifs('SELLING CASH'!N:N,'SELLING CASH'!C:C,L17,'SELLING CASH'!R:R,"SERVICE")</f>
        <v>140000</v>
      </c>
      <c r="P17" s="124">
        <f>sumif('SELLING CASH'!C:C,L17,'SELLING CASH'!J:J)</f>
        <v>10000</v>
      </c>
      <c r="Q17" s="123">
        <f>SUMIF('PAYMENT CREDIT'!C:C,L17,'PAYMENT CREDIT'!F:F)-R17</f>
        <v>1560000</v>
      </c>
      <c r="R17" s="123">
        <f>SUMIF('PAYMENT CREDIT'!C:C,L17,'PAYMENT CREDIT'!G:G)</f>
        <v>200000</v>
      </c>
      <c r="S17" s="123">
        <f t="shared" ref="S17:T17" si="16">M17+Q17</f>
        <v>7090000</v>
      </c>
      <c r="T17" s="123">
        <f t="shared" si="16"/>
        <v>935000</v>
      </c>
      <c r="U17" s="123">
        <f t="shared" si="5"/>
        <v>140000</v>
      </c>
      <c r="V17" s="126">
        <f t="shared" si="6"/>
        <v>8165000</v>
      </c>
      <c r="W17" s="128">
        <f>SUMIFS('SELLING CASH'!I:I,'SELLING CASH'!C:C,L17,'SELLING CASH'!R:R,"OIL")</f>
        <v>885000</v>
      </c>
      <c r="X17" s="129"/>
      <c r="Y17" s="73"/>
      <c r="Z17" s="21"/>
      <c r="AA17" s="21"/>
    </row>
    <row r="18" ht="15.0" customHeight="1">
      <c r="A18" s="49"/>
      <c r="C18" s="31"/>
      <c r="D18" s="31"/>
      <c r="E18" s="35"/>
      <c r="F18" s="172"/>
      <c r="G18" s="35"/>
      <c r="H18" s="35"/>
      <c r="I18" s="35"/>
      <c r="J18" s="36"/>
      <c r="K18" s="12"/>
      <c r="L18" s="92">
        <v>46278.0</v>
      </c>
      <c r="M18" s="95">
        <f>sumifs('SELLING CASH'!I:I,'SELLING CASH'!C:C,L18,'SELLING CASH'!R:R,"&lt;&gt;OIL")-(N18+O18+P18)
</f>
        <v>0</v>
      </c>
      <c r="N18" s="97">
        <f>sumifs('SELLING CASH'!N:N,'SELLING CASH'!C:C,L18,'SELLING CASH'!R:R,"&lt;&gt;SERVICE",'SELLING CASH'!R:R, "&lt;&gt;OIL")</f>
        <v>0</v>
      </c>
      <c r="O18" s="135">
        <f>sumifs('SELLING CASH'!N:N,'SELLING CASH'!C:C,L18,'SELLING CASH'!R:R,"SERVICE")</f>
        <v>0</v>
      </c>
      <c r="P18" s="124">
        <f>sumif('SELLING CASH'!C:C,L18,'SELLING CASH'!J:J)</f>
        <v>0</v>
      </c>
      <c r="Q18" s="135">
        <f>SUMIF('PAYMENT CREDIT'!C:C,L18,'PAYMENT CREDIT'!F:F)-R18</f>
        <v>0</v>
      </c>
      <c r="R18" s="135">
        <f>SUMIF('PAYMENT CREDIT'!C:C,L18,'PAYMENT CREDIT'!G:G)</f>
        <v>0</v>
      </c>
      <c r="S18" s="135">
        <f t="shared" ref="S18:T18" si="17">M18+Q18</f>
        <v>0</v>
      </c>
      <c r="T18" s="135">
        <f t="shared" si="17"/>
        <v>0</v>
      </c>
      <c r="U18" s="135">
        <f t="shared" si="5"/>
        <v>0</v>
      </c>
      <c r="V18" s="112">
        <f t="shared" si="6"/>
        <v>0</v>
      </c>
      <c r="W18" s="114">
        <f>SUMIFS('SELLING CASH'!I:I,'SELLING CASH'!C:C,L18,'SELLING CASH'!R:R,"OIL")</f>
        <v>0</v>
      </c>
      <c r="X18" s="49"/>
      <c r="Y18" s="1"/>
      <c r="Z18" s="1"/>
      <c r="AA18" s="12"/>
    </row>
    <row r="19" ht="15.0" customHeight="1">
      <c r="A19" s="49"/>
      <c r="E19" s="9"/>
      <c r="F19" s="173"/>
      <c r="G19" s="9"/>
      <c r="H19" s="21"/>
      <c r="I19" s="21"/>
      <c r="J19" s="22"/>
      <c r="K19" s="21"/>
      <c r="L19" s="118">
        <v>46279.0</v>
      </c>
      <c r="M19" s="120">
        <f>sumifs('SELLING CASH'!I:I,'SELLING CASH'!C:C,L19,'SELLING CASH'!R:R,"&lt;&gt;OIL")-(N19+O19+P19)
</f>
        <v>3620000</v>
      </c>
      <c r="N19" s="121">
        <f>sumifs('SELLING CASH'!N:N,'SELLING CASH'!C:C,L19,'SELLING CASH'!R:R,"&lt;&gt;SERVICE",'SELLING CASH'!R:R, "&lt;&gt;OIL")</f>
        <v>690000</v>
      </c>
      <c r="O19" s="123">
        <f>sumifs('SELLING CASH'!N:N,'SELLING CASH'!C:C,L19,'SELLING CASH'!R:R,"SERVICE")</f>
        <v>470000</v>
      </c>
      <c r="P19" s="124">
        <f>sumif('SELLING CASH'!C:C,L19,'SELLING CASH'!J:J)</f>
        <v>315000</v>
      </c>
      <c r="Q19" s="123">
        <f>SUMIF('PAYMENT CREDIT'!C:C,L19,'PAYMENT CREDIT'!F:F)-R19</f>
        <v>0</v>
      </c>
      <c r="R19" s="123">
        <f>SUMIF('PAYMENT CREDIT'!C:C,L19,'PAYMENT CREDIT'!G:G)</f>
        <v>0</v>
      </c>
      <c r="S19" s="123">
        <f t="shared" ref="S19:T19" si="18">M19+Q19</f>
        <v>3620000</v>
      </c>
      <c r="T19" s="123">
        <f t="shared" si="18"/>
        <v>690000</v>
      </c>
      <c r="U19" s="123">
        <f t="shared" si="5"/>
        <v>470000</v>
      </c>
      <c r="V19" s="126">
        <f t="shared" si="6"/>
        <v>4780000</v>
      </c>
      <c r="W19" s="128">
        <f>SUMIFS('SELLING CASH'!I:I,'SELLING CASH'!C:C,L19,'SELLING CASH'!R:R,"OIL")</f>
        <v>875000</v>
      </c>
      <c r="X19" s="129"/>
      <c r="Y19" s="73">
        <v>150000.0</v>
      </c>
      <c r="Z19" s="73">
        <v>200000.0</v>
      </c>
      <c r="AA19" s="21"/>
    </row>
    <row r="20" ht="15.0" customHeight="1">
      <c r="A20" s="49"/>
      <c r="E20" s="9"/>
      <c r="F20" s="173"/>
      <c r="G20" s="9"/>
      <c r="H20" s="12"/>
      <c r="I20" s="12"/>
      <c r="J20" s="16"/>
      <c r="K20" s="12"/>
      <c r="L20" s="92">
        <v>46280.0</v>
      </c>
      <c r="M20" s="95">
        <f>sumifs('SELLING CASH'!I:I,'SELLING CASH'!C:C,L20,'SELLING CASH'!R:R,"&lt;&gt;OIL")-(N20+O20+P20)
</f>
        <v>16095000</v>
      </c>
      <c r="N20" s="97">
        <f>sumifs('SELLING CASH'!N:N,'SELLING CASH'!C:C,L20,'SELLING CASH'!R:R,"&lt;&gt;SERVICE",'SELLING CASH'!R:R, "&lt;&gt;OIL")</f>
        <v>2330000</v>
      </c>
      <c r="O20" s="135">
        <f>sumifs('SELLING CASH'!N:N,'SELLING CASH'!C:C,L20,'SELLING CASH'!R:R,"SERVICE")</f>
        <v>340000</v>
      </c>
      <c r="P20" s="124">
        <f>sumif('SELLING CASH'!C:C,L20,'SELLING CASH'!J:J)</f>
        <v>165000</v>
      </c>
      <c r="Q20" s="135">
        <f>SUMIF('PAYMENT CREDIT'!C:C,L20,'PAYMENT CREDIT'!F:F)-R20</f>
        <v>0</v>
      </c>
      <c r="R20" s="135">
        <f>SUMIF('PAYMENT CREDIT'!C:C,L20,'PAYMENT CREDIT'!G:G)</f>
        <v>0</v>
      </c>
      <c r="S20" s="135">
        <f t="shared" ref="S20:T20" si="19">M20+Q20</f>
        <v>16095000</v>
      </c>
      <c r="T20" s="135">
        <f t="shared" si="19"/>
        <v>2330000</v>
      </c>
      <c r="U20" s="135">
        <f t="shared" si="5"/>
        <v>340000</v>
      </c>
      <c r="V20" s="112">
        <f t="shared" si="6"/>
        <v>18765000</v>
      </c>
      <c r="W20" s="114">
        <f>SUMIFS('SELLING CASH'!I:I,'SELLING CASH'!C:C,L20,'SELLING CASH'!R:R,"OIL")</f>
        <v>385000</v>
      </c>
      <c r="X20" s="49"/>
      <c r="Y20" s="1"/>
      <c r="Z20" s="1"/>
      <c r="AA20" s="12"/>
    </row>
    <row r="21" ht="15.0" customHeight="1">
      <c r="A21" s="49"/>
      <c r="D21" s="174" t="s">
        <v>225</v>
      </c>
      <c r="E21" s="175" t="s">
        <v>16</v>
      </c>
      <c r="F21" s="176"/>
      <c r="G21" s="177" t="s">
        <v>35</v>
      </c>
      <c r="H21" s="178" t="s">
        <v>36</v>
      </c>
      <c r="I21" s="21"/>
      <c r="J21" s="22"/>
      <c r="K21" s="21"/>
      <c r="L21" s="118">
        <v>46281.0</v>
      </c>
      <c r="M21" s="120">
        <f>sumifs('SELLING CASH'!I:I,'SELLING CASH'!C:C,L21,'SELLING CASH'!R:R,"&lt;&gt;OIL")-(N21+O21+P21)
</f>
        <v>4965000</v>
      </c>
      <c r="N21" s="121">
        <f>sumifs('SELLING CASH'!N:N,'SELLING CASH'!C:C,L21,'SELLING CASH'!R:R,"&lt;&gt;SERVICE",'SELLING CASH'!R:R, "&lt;&gt;OIL")</f>
        <v>943000</v>
      </c>
      <c r="O21" s="123">
        <f>sumifs('SELLING CASH'!N:N,'SELLING CASH'!C:C,L21,'SELLING CASH'!R:R,"SERVICE")</f>
        <v>555000</v>
      </c>
      <c r="P21" s="124">
        <f>sumif('SELLING CASH'!C:C,L21,'SELLING CASH'!J:J)</f>
        <v>310000</v>
      </c>
      <c r="Q21" s="123">
        <f>SUMIF('PAYMENT CREDIT'!C:C,L21,'PAYMENT CREDIT'!F:F)-R21</f>
        <v>0</v>
      </c>
      <c r="R21" s="123">
        <f>SUMIF('PAYMENT CREDIT'!C:C,L21,'PAYMENT CREDIT'!G:G)</f>
        <v>0</v>
      </c>
      <c r="S21" s="123">
        <f t="shared" ref="S21:T21" si="20">M21+Q21</f>
        <v>4965000</v>
      </c>
      <c r="T21" s="123">
        <f t="shared" si="20"/>
        <v>943000</v>
      </c>
      <c r="U21" s="123">
        <f t="shared" si="5"/>
        <v>555000</v>
      </c>
      <c r="V21" s="126">
        <f t="shared" si="6"/>
        <v>6463000</v>
      </c>
      <c r="W21" s="128">
        <f>SUMIFS('SELLING CASH'!I:I,'SELLING CASH'!C:C,L21,'SELLING CASH'!R:R,"OIL")</f>
        <v>525000</v>
      </c>
      <c r="X21" s="129"/>
      <c r="Y21" s="73">
        <v>75000.0</v>
      </c>
      <c r="Z21" s="73">
        <v>100000.0</v>
      </c>
      <c r="AA21" s="21"/>
    </row>
    <row r="22" ht="15.0" customHeight="1">
      <c r="A22" s="49"/>
      <c r="D22" s="179">
        <v>45964.0</v>
      </c>
      <c r="E22" s="180" t="s">
        <v>2</v>
      </c>
      <c r="F22" s="176"/>
      <c r="G22" s="181">
        <f t="shared" ref="G22:G24" si="22">J22*75000</f>
        <v>150000</v>
      </c>
      <c r="H22" s="182">
        <f t="shared" ref="H22:H30" si="23">J22*100000</f>
        <v>200000</v>
      </c>
      <c r="J22" s="184" t="s">
        <v>247</v>
      </c>
      <c r="K22" s="12"/>
      <c r="L22" s="92">
        <v>46282.0</v>
      </c>
      <c r="M22" s="95">
        <f>sumifs('SELLING CASH'!I:I,'SELLING CASH'!C:C,L22,'SELLING CASH'!R:R,"&lt;&gt;OIL")-(N22+O22+P22)
</f>
        <v>14335000</v>
      </c>
      <c r="N22" s="97">
        <f>sumifs('SELLING CASH'!N:N,'SELLING CASH'!C:C,L22,'SELLING CASH'!R:R,"&lt;&gt;SERVICE",'SELLING CASH'!R:R, "&lt;&gt;OIL")</f>
        <v>1740000</v>
      </c>
      <c r="O22" s="135">
        <f>sumifs('SELLING CASH'!N:N,'SELLING CASH'!C:C,L22,'SELLING CASH'!R:R,"SERVICE")</f>
        <v>325000</v>
      </c>
      <c r="P22" s="124">
        <f>sumif('SELLING CASH'!C:C,L22,'SELLING CASH'!J:J)</f>
        <v>150000</v>
      </c>
      <c r="Q22" s="135">
        <f>SUMIF('PAYMENT CREDIT'!C:C,L22,'PAYMENT CREDIT'!F:F)-R22</f>
        <v>0</v>
      </c>
      <c r="R22" s="135">
        <f>SUMIF('PAYMENT CREDIT'!C:C,L22,'PAYMENT CREDIT'!G:G)</f>
        <v>0</v>
      </c>
      <c r="S22" s="135">
        <f t="shared" ref="S22:T22" si="21">M22+Q22</f>
        <v>14335000</v>
      </c>
      <c r="T22" s="135">
        <f t="shared" si="21"/>
        <v>1740000</v>
      </c>
      <c r="U22" s="135">
        <f t="shared" si="5"/>
        <v>325000</v>
      </c>
      <c r="V22" s="112">
        <f t="shared" si="6"/>
        <v>16400000</v>
      </c>
      <c r="W22" s="114">
        <f>SUMIFS('SELLING CASH'!I:I,'SELLING CASH'!C:C,L22,'SELLING CASH'!R:R,"OIL")</f>
        <v>385000</v>
      </c>
      <c r="X22" s="49"/>
      <c r="Y22" s="1">
        <v>75000.0</v>
      </c>
      <c r="Z22" s="1">
        <v>100000.0</v>
      </c>
      <c r="AA22" s="12"/>
    </row>
    <row r="23" ht="15.0" customHeight="1">
      <c r="A23" s="49"/>
      <c r="D23" s="179">
        <v>45965.0</v>
      </c>
      <c r="E23" s="181">
        <v>350000.0</v>
      </c>
      <c r="F23" s="176"/>
      <c r="G23" s="181">
        <f t="shared" si="22"/>
        <v>150000</v>
      </c>
      <c r="H23" s="188">
        <f t="shared" si="23"/>
        <v>200000</v>
      </c>
      <c r="J23" s="189" t="s">
        <v>247</v>
      </c>
      <c r="K23" s="21"/>
      <c r="L23" s="118">
        <v>46283.0</v>
      </c>
      <c r="M23" s="120">
        <f>sumifs('SELLING CASH'!I:I,'SELLING CASH'!C:C,L23,'SELLING CASH'!R:R,"&lt;&gt;OIL")-(N23+O23+P23)
</f>
        <v>10310000</v>
      </c>
      <c r="N23" s="121">
        <f>sumifs('SELLING CASH'!N:N,'SELLING CASH'!C:C,L23,'SELLING CASH'!R:R,"&lt;&gt;SERVICE",'SELLING CASH'!R:R, "&lt;&gt;OIL")</f>
        <v>1250000</v>
      </c>
      <c r="O23" s="123">
        <f>sumifs('SELLING CASH'!N:N,'SELLING CASH'!C:C,L23,'SELLING CASH'!R:R,"SERVICE")</f>
        <v>440000</v>
      </c>
      <c r="P23" s="124">
        <f>sumif('SELLING CASH'!C:C,L23,'SELLING CASH'!J:J)</f>
        <v>255000</v>
      </c>
      <c r="Q23" s="123">
        <f>SUMIF('PAYMENT CREDIT'!C:C,L23,'PAYMENT CREDIT'!F:F)-R23</f>
        <v>0</v>
      </c>
      <c r="R23" s="123">
        <f>SUMIF('PAYMENT CREDIT'!C:C,L23,'PAYMENT CREDIT'!G:G)</f>
        <v>0</v>
      </c>
      <c r="S23" s="123">
        <f t="shared" ref="S23:T23" si="24">M23+Q23</f>
        <v>10310000</v>
      </c>
      <c r="T23" s="123">
        <f t="shared" si="24"/>
        <v>1250000</v>
      </c>
      <c r="U23" s="123">
        <f t="shared" si="5"/>
        <v>440000</v>
      </c>
      <c r="V23" s="126">
        <f t="shared" si="6"/>
        <v>12000000</v>
      </c>
      <c r="W23" s="128">
        <f>SUMIFS('SELLING CASH'!I:I,'SELLING CASH'!C:C,L23,'SELLING CASH'!R:R,"OIL")</f>
        <v>0</v>
      </c>
      <c r="X23" s="190" t="s">
        <v>2</v>
      </c>
      <c r="Y23" s="73">
        <v>150000.0</v>
      </c>
      <c r="Z23" s="73">
        <v>200000.0</v>
      </c>
      <c r="AA23" s="21"/>
    </row>
    <row r="24" ht="15.0" customHeight="1">
      <c r="A24" s="49"/>
      <c r="D24" s="191" t="s">
        <v>2</v>
      </c>
      <c r="E24" s="181">
        <v>350000.0</v>
      </c>
      <c r="F24" s="176"/>
      <c r="G24" s="181">
        <f t="shared" si="22"/>
        <v>150000</v>
      </c>
      <c r="H24" s="182">
        <f t="shared" si="23"/>
        <v>200000</v>
      </c>
      <c r="J24" s="184" t="s">
        <v>247</v>
      </c>
      <c r="K24" s="12"/>
      <c r="L24" s="92">
        <v>46284.0</v>
      </c>
      <c r="M24" s="95">
        <f>sumifs('SELLING CASH'!I:I,'SELLING CASH'!C:C,L24,'SELLING CASH'!R:R,"&lt;&gt;OIL")-(N24+O24+P24)
</f>
        <v>3615000</v>
      </c>
      <c r="N24" s="97">
        <f>sumifs('SELLING CASH'!N:N,'SELLING CASH'!C:C,L24,'SELLING CASH'!R:R,"&lt;&gt;SERVICE",'SELLING CASH'!R:R, "&lt;&gt;OIL")</f>
        <v>810000</v>
      </c>
      <c r="O24" s="135">
        <f>sumifs('SELLING CASH'!N:N,'SELLING CASH'!C:C,L24,'SELLING CASH'!R:R,"SERVICE")</f>
        <v>465000</v>
      </c>
      <c r="P24" s="124">
        <f>sumif('SELLING CASH'!C:C,L24,'SELLING CASH'!J:J)</f>
        <v>225000</v>
      </c>
      <c r="Q24" s="135">
        <f>SUMIF('PAYMENT CREDIT'!C:C,L24,'PAYMENT CREDIT'!F:F)-R24</f>
        <v>13620000</v>
      </c>
      <c r="R24" s="135">
        <f>SUMIF('PAYMENT CREDIT'!C:C,L24,'PAYMENT CREDIT'!G:G)</f>
        <v>1800000</v>
      </c>
      <c r="S24" s="135">
        <f t="shared" ref="S24:T24" si="25">M24+Q24</f>
        <v>17235000</v>
      </c>
      <c r="T24" s="135">
        <f t="shared" si="25"/>
        <v>2610000</v>
      </c>
      <c r="U24" s="135">
        <f t="shared" si="5"/>
        <v>465000</v>
      </c>
      <c r="V24" s="112">
        <f t="shared" si="6"/>
        <v>20310000</v>
      </c>
      <c r="W24" s="114">
        <f>SUMIFS('SELLING CASH'!I:I,'SELLING CASH'!C:C,L24,'SELLING CASH'!R:R,"OIL")+210000</f>
        <v>1435000</v>
      </c>
      <c r="X24" s="49"/>
      <c r="Y24" s="1">
        <v>150000.0</v>
      </c>
      <c r="Z24" s="1">
        <v>200000.0</v>
      </c>
      <c r="AA24" s="12"/>
    </row>
    <row r="25" ht="15.0" customHeight="1">
      <c r="A25" s="49"/>
      <c r="D25" s="191" t="s">
        <v>2</v>
      </c>
      <c r="E25" s="181">
        <v>350000.0</v>
      </c>
      <c r="F25" s="176"/>
      <c r="G25" s="180" t="s">
        <v>2</v>
      </c>
      <c r="H25" s="188">
        <f t="shared" si="23"/>
        <v>200000</v>
      </c>
      <c r="J25" s="189" t="s">
        <v>247</v>
      </c>
      <c r="K25" s="21"/>
      <c r="L25" s="118">
        <v>46285.0</v>
      </c>
      <c r="M25" s="120">
        <f>sumifs('SELLING CASH'!I:I,'SELLING CASH'!C:C,L25,'SELLING CASH'!R:R,"&lt;&gt;OIL")-(N25+O25+P25)
</f>
        <v>2425000</v>
      </c>
      <c r="N25" s="121">
        <f>sumifs('SELLING CASH'!N:N,'SELLING CASH'!C:C,L25,'SELLING CASH'!R:R,"&lt;&gt;SERVICE",'SELLING CASH'!R:R, "&lt;&gt;OIL")</f>
        <v>375000</v>
      </c>
      <c r="O25" s="123">
        <f>sumifs('SELLING CASH'!N:N,'SELLING CASH'!C:C,L25,'SELLING CASH'!R:R,"SERVICE")</f>
        <v>0</v>
      </c>
      <c r="P25" s="124">
        <f>sumif('SELLING CASH'!C:C,L25,'SELLING CASH'!J:J)</f>
        <v>0</v>
      </c>
      <c r="Q25" s="123">
        <f>SUMIF('PAYMENT CREDIT'!C:C,L25,'PAYMENT CREDIT'!F:F)-R25</f>
        <v>0</v>
      </c>
      <c r="R25" s="123">
        <f>SUMIF('PAYMENT CREDIT'!C:C,L25,'PAYMENT CREDIT'!G:G)</f>
        <v>0</v>
      </c>
      <c r="S25" s="123">
        <f t="shared" ref="S25:T25" si="26">M25+Q25</f>
        <v>2425000</v>
      </c>
      <c r="T25" s="123">
        <f t="shared" si="26"/>
        <v>375000</v>
      </c>
      <c r="U25" s="123">
        <f t="shared" si="5"/>
        <v>0</v>
      </c>
      <c r="V25" s="126">
        <f t="shared" si="6"/>
        <v>2800000</v>
      </c>
      <c r="W25" s="128">
        <f>SUMIFS('SELLING CASH'!I:I,'SELLING CASH'!C:C,L25,'SELLING CASH'!R:R,"OIL")</f>
        <v>1020000</v>
      </c>
      <c r="X25" s="129"/>
      <c r="Y25" s="73"/>
      <c r="Z25" s="73"/>
      <c r="AA25" s="21"/>
    </row>
    <row r="26" ht="15.0" customHeight="1">
      <c r="A26" s="49"/>
      <c r="D26" s="179">
        <v>45970.0</v>
      </c>
      <c r="E26" s="181">
        <v>175000.0</v>
      </c>
      <c r="F26" s="176"/>
      <c r="G26" s="181">
        <f>J26*75000</f>
        <v>75000</v>
      </c>
      <c r="H26" s="182">
        <f t="shared" si="23"/>
        <v>100000</v>
      </c>
      <c r="J26" s="184" t="s">
        <v>343</v>
      </c>
      <c r="K26" s="12"/>
      <c r="L26" s="92">
        <v>46286.0</v>
      </c>
      <c r="M26" s="95">
        <f>sumifs('SELLING CASH'!I:I,'SELLING CASH'!C:C,L26,'SELLING CASH'!R:R,"&lt;&gt;OIL")-(N26+O26+P26)
</f>
        <v>5000000</v>
      </c>
      <c r="N26" s="97">
        <f>sumifs('SELLING CASH'!N:N,'SELLING CASH'!C:C,L26,'SELLING CASH'!R:R,"&lt;&gt;SERVICE",'SELLING CASH'!R:R, "&lt;&gt;OIL")</f>
        <v>715000</v>
      </c>
      <c r="O26" s="135">
        <f>sumifs('SELLING CASH'!N:N,'SELLING CASH'!C:C,L26,'SELLING CASH'!R:R,"SERVICE")</f>
        <v>555000</v>
      </c>
      <c r="P26" s="124">
        <f>sumif('SELLING CASH'!C:C,L26,'SELLING CASH'!J:J)</f>
        <v>175000</v>
      </c>
      <c r="Q26" s="135">
        <f>SUMIF('PAYMENT CREDIT'!C:C,L26,'PAYMENT CREDIT'!F:F)-R26</f>
        <v>0</v>
      </c>
      <c r="R26" s="135">
        <f>SUMIF('PAYMENT CREDIT'!C:C,L26,'PAYMENT CREDIT'!G:G)</f>
        <v>0</v>
      </c>
      <c r="S26" s="135">
        <f t="shared" ref="S26:T26" si="27">M26+Q26</f>
        <v>5000000</v>
      </c>
      <c r="T26" s="135">
        <f t="shared" si="27"/>
        <v>715000</v>
      </c>
      <c r="U26" s="135">
        <f t="shared" si="5"/>
        <v>555000</v>
      </c>
      <c r="V26" s="112">
        <f t="shared" si="6"/>
        <v>6270000</v>
      </c>
      <c r="W26" s="114">
        <f>SUMIFS('SELLING CASH'!I:I,'SELLING CASH'!C:C,L26,'SELLING CASH'!R:R,"OIL")+600000</f>
        <v>600000</v>
      </c>
      <c r="X26" s="49"/>
      <c r="Y26" s="1">
        <v>150000.0</v>
      </c>
      <c r="Z26" s="1">
        <v>200000.0</v>
      </c>
      <c r="AA26" s="12"/>
    </row>
    <row r="27" ht="15.0" customHeight="1">
      <c r="A27" s="49"/>
      <c r="D27" s="179">
        <v>45972.0</v>
      </c>
      <c r="E27" s="181">
        <v>350000.0</v>
      </c>
      <c r="F27" s="194" t="s">
        <v>2</v>
      </c>
      <c r="G27" s="181">
        <f>J27*75000+G28</f>
        <v>225000</v>
      </c>
      <c r="H27" s="188">
        <f t="shared" si="23"/>
        <v>200000</v>
      </c>
      <c r="J27" s="189" t="s">
        <v>247</v>
      </c>
      <c r="K27" s="73" t="s">
        <v>351</v>
      </c>
      <c r="L27" s="118">
        <v>46287.0</v>
      </c>
      <c r="M27" s="120">
        <f>sumifs('SELLING CASH'!I:I,'SELLING CASH'!C:C,L27,'SELLING CASH'!R:R,"&lt;&gt;OIL")-(N27+O27+P27)
</f>
        <v>3980000</v>
      </c>
      <c r="N27" s="121">
        <f>sumifs('SELLING CASH'!N:N,'SELLING CASH'!C:C,L27,'SELLING CASH'!R:R,"&lt;&gt;SERVICE",'SELLING CASH'!R:R, "&lt;&gt;OIL")</f>
        <v>715000</v>
      </c>
      <c r="O27" s="123">
        <f>sumifs('SELLING CASH'!N:N,'SELLING CASH'!C:C,L27,'SELLING CASH'!R:R,"SERVICE")</f>
        <v>590000</v>
      </c>
      <c r="P27" s="124">
        <f>sumif('SELLING CASH'!C:C,L27,'SELLING CASH'!J:J)</f>
        <v>165000</v>
      </c>
      <c r="Q27" s="123">
        <f>SUMIF('PAYMENT CREDIT'!C:C,L27,'PAYMENT CREDIT'!F:F)-R27</f>
        <v>0</v>
      </c>
      <c r="R27" s="123">
        <f>SUMIF('PAYMENT CREDIT'!C:C,L27,'PAYMENT CREDIT'!G:G)</f>
        <v>0</v>
      </c>
      <c r="S27" s="123">
        <f t="shared" ref="S27:T27" si="28">M27+Q27</f>
        <v>3980000</v>
      </c>
      <c r="T27" s="123">
        <f t="shared" si="28"/>
        <v>715000</v>
      </c>
      <c r="U27" s="123">
        <f t="shared" si="5"/>
        <v>590000</v>
      </c>
      <c r="V27" s="126">
        <f t="shared" si="6"/>
        <v>5285000</v>
      </c>
      <c r="W27" s="128">
        <f>SUMIFS('SELLING CASH'!I:I,'SELLING CASH'!C:C,L27,'SELLING CASH'!R:R,"OIL")+120000</f>
        <v>390000</v>
      </c>
      <c r="X27" s="129"/>
      <c r="Y27" s="73"/>
      <c r="Z27" s="73"/>
      <c r="AA27" s="21"/>
    </row>
    <row r="28" ht="15.0" customHeight="1">
      <c r="A28" s="49"/>
      <c r="C28" s="196"/>
      <c r="D28" s="179">
        <v>45973.0</v>
      </c>
      <c r="E28" s="181">
        <v>175000.0</v>
      </c>
      <c r="F28" s="176"/>
      <c r="G28" s="181">
        <f t="shared" ref="G28:G34" si="30">J28*75000</f>
        <v>75000</v>
      </c>
      <c r="H28" s="182">
        <f t="shared" si="23"/>
        <v>100000</v>
      </c>
      <c r="J28" s="197" t="s">
        <v>343</v>
      </c>
      <c r="K28" s="198"/>
      <c r="L28" s="92">
        <v>46288.0</v>
      </c>
      <c r="M28" s="95">
        <f>sumifs('SELLING CASH'!I:I,'SELLING CASH'!C:C,L28,'SELLING CASH'!R:R,"&lt;&gt;OIL")-(N28+O28+P28)
</f>
        <v>10125000</v>
      </c>
      <c r="N28" s="97">
        <f>sumifs('SELLING CASH'!N:N,'SELLING CASH'!C:C,L28,'SELLING CASH'!R:R,"&lt;&gt;SERVICE",'SELLING CASH'!R:R, "&lt;&gt;OIL")</f>
        <v>1345000</v>
      </c>
      <c r="O28" s="135">
        <f>sumifs('SELLING CASH'!N:N,'SELLING CASH'!C:C,L28,'SELLING CASH'!R:R,"SERVICE")</f>
        <v>835000</v>
      </c>
      <c r="P28" s="124">
        <f>sumif('SELLING CASH'!C:C,L28,'SELLING CASH'!J:J)</f>
        <v>345000</v>
      </c>
      <c r="Q28" s="135">
        <f>SUMIF('PAYMENT CREDIT'!C:C,L28,'PAYMENT CREDIT'!F:F)-R28</f>
        <v>0</v>
      </c>
      <c r="R28" s="135">
        <f>SUMIF('PAYMENT CREDIT'!C:C,L28,'PAYMENT CREDIT'!G:G)</f>
        <v>0</v>
      </c>
      <c r="S28" s="135">
        <f t="shared" ref="S28:T28" si="29">M28+Q28</f>
        <v>10125000</v>
      </c>
      <c r="T28" s="135">
        <f t="shared" si="29"/>
        <v>1345000</v>
      </c>
      <c r="U28" s="135">
        <f t="shared" si="5"/>
        <v>835000</v>
      </c>
      <c r="V28" s="112">
        <f t="shared" si="6"/>
        <v>12305000</v>
      </c>
      <c r="W28" s="114">
        <f>SUMIFS('SELLING CASH'!I:I,'SELLING CASH'!C:C,L28,'SELLING CASH'!R:R,"OIL")</f>
        <v>1295000</v>
      </c>
      <c r="X28" s="49"/>
      <c r="Y28" s="1">
        <v>75000.0</v>
      </c>
      <c r="Z28" s="1">
        <v>100000.0</v>
      </c>
      <c r="AA28" s="12"/>
    </row>
    <row r="29" ht="15.0" customHeight="1">
      <c r="A29" s="49"/>
      <c r="C29" s="196"/>
      <c r="D29" s="179">
        <v>45975.0</v>
      </c>
      <c r="E29" s="181">
        <v>350000.0</v>
      </c>
      <c r="F29" s="176"/>
      <c r="G29" s="181">
        <f t="shared" si="30"/>
        <v>150000</v>
      </c>
      <c r="H29" s="188">
        <f t="shared" si="23"/>
        <v>200000</v>
      </c>
      <c r="J29" s="201" t="s">
        <v>247</v>
      </c>
      <c r="K29" s="198"/>
      <c r="L29" s="118">
        <v>46289.0</v>
      </c>
      <c r="M29" s="120">
        <f>sumifs('SELLING CASH'!I:I,'SELLING CASH'!C:C,L29,'SELLING CASH'!R:R,"&lt;&gt;OIL")-(N29+O29+P29)
</f>
        <v>10840000</v>
      </c>
      <c r="N29" s="121">
        <f>sumifs('SELLING CASH'!N:N,'SELLING CASH'!C:C,L29,'SELLING CASH'!R:R,"&lt;&gt;SERVICE",'SELLING CASH'!R:R, "&lt;&gt;OIL")</f>
        <v>1535000</v>
      </c>
      <c r="O29" s="123">
        <f>sumifs('SELLING CASH'!N:N,'SELLING CASH'!C:C,L29,'SELLING CASH'!R:R,"SERVICE")</f>
        <v>540000</v>
      </c>
      <c r="P29" s="124">
        <f>sumif('SELLING CASH'!C:C,L29,'SELLING CASH'!J:J)</f>
        <v>200000</v>
      </c>
      <c r="Q29" s="123">
        <f>SUMIF('PAYMENT CREDIT'!C:C,L29,'PAYMENT CREDIT'!F:F)-R29</f>
        <v>1980000</v>
      </c>
      <c r="R29" s="123">
        <f>SUMIF('PAYMENT CREDIT'!C:C,L29,'PAYMENT CREDIT'!G:G)</f>
        <v>200000</v>
      </c>
      <c r="S29" s="123">
        <f t="shared" ref="S29:T29" si="31">M29+Q29</f>
        <v>12820000</v>
      </c>
      <c r="T29" s="123">
        <f t="shared" si="31"/>
        <v>1735000</v>
      </c>
      <c r="U29" s="123">
        <f t="shared" si="5"/>
        <v>540000</v>
      </c>
      <c r="V29" s="126">
        <f t="shared" si="6"/>
        <v>15095000</v>
      </c>
      <c r="W29" s="128">
        <f>SUMIFS('SELLING CASH'!I:I,'SELLING CASH'!C:C,L29,'SELLING CASH'!R:R,"OIL")</f>
        <v>0</v>
      </c>
      <c r="X29" s="129"/>
      <c r="Y29" s="21"/>
      <c r="Z29" s="21"/>
      <c r="AA29" s="21"/>
    </row>
    <row r="30" ht="15.0" customHeight="1">
      <c r="A30" s="49"/>
      <c r="C30" s="196"/>
      <c r="D30" s="179">
        <v>45978.0</v>
      </c>
      <c r="E30" s="181">
        <f>3*175000</f>
        <v>525000</v>
      </c>
      <c r="F30" s="176"/>
      <c r="G30" s="181">
        <f t="shared" si="30"/>
        <v>225000</v>
      </c>
      <c r="H30" s="182">
        <f t="shared" si="23"/>
        <v>300000</v>
      </c>
      <c r="J30" s="197" t="s">
        <v>381</v>
      </c>
      <c r="K30" s="198"/>
      <c r="L30" s="92">
        <v>46290.0</v>
      </c>
      <c r="M30" s="95">
        <f>sumifs('SELLING CASH'!I:I,'SELLING CASH'!C:C,L30,'SELLING CASH'!R:R,"&lt;&gt;OIL")-(N30+O30+P30)
</f>
        <v>12640000</v>
      </c>
      <c r="N30" s="97">
        <f>sumifs('SELLING CASH'!N:N,'SELLING CASH'!C:C,L30,'SELLING CASH'!R:R,"&lt;&gt;SERVICE",'SELLING CASH'!R:R, "&lt;&gt;OIL")</f>
        <v>1485000</v>
      </c>
      <c r="O30" s="135">
        <f>sumifs('SELLING CASH'!N:N,'SELLING CASH'!C:C,L30,'SELLING CASH'!R:R,"SERVICE")</f>
        <v>775000</v>
      </c>
      <c r="P30" s="124">
        <f>sumif('SELLING CASH'!C:C,L30,'SELLING CASH'!J:J)</f>
        <v>125000</v>
      </c>
      <c r="Q30" s="135">
        <f>SUMIF('PAYMENT CREDIT'!C:C,L30,'PAYMENT CREDIT'!F:F)-R30</f>
        <v>0</v>
      </c>
      <c r="R30" s="135">
        <f>SUMIF('PAYMENT CREDIT'!C:C,L30,'PAYMENT CREDIT'!G:G)</f>
        <v>0</v>
      </c>
      <c r="S30" s="135">
        <f t="shared" ref="S30:T30" si="32">M30+Q30</f>
        <v>12640000</v>
      </c>
      <c r="T30" s="135">
        <f t="shared" si="32"/>
        <v>1485000</v>
      </c>
      <c r="U30" s="135">
        <f t="shared" si="5"/>
        <v>775000</v>
      </c>
      <c r="V30" s="112">
        <f t="shared" si="6"/>
        <v>14900000</v>
      </c>
      <c r="W30" s="114">
        <f>SUMIFS('SELLING CASH'!I:I,'SELLING CASH'!C:C,L30,'SELLING CASH'!R:R,"OIL")</f>
        <v>0</v>
      </c>
      <c r="X30" s="49"/>
      <c r="Y30" s="1" t="s">
        <v>388</v>
      </c>
      <c r="Z30" s="12"/>
      <c r="AA30" s="12"/>
    </row>
    <row r="31" ht="15.0" customHeight="1">
      <c r="A31" s="49"/>
      <c r="C31" s="196"/>
      <c r="D31" s="179">
        <v>45978.0</v>
      </c>
      <c r="E31" s="181">
        <v>175000.0</v>
      </c>
      <c r="F31" s="176"/>
      <c r="G31" s="181">
        <f t="shared" si="30"/>
        <v>75000</v>
      </c>
      <c r="H31" s="202" t="s">
        <v>389</v>
      </c>
      <c r="J31" s="201" t="s">
        <v>343</v>
      </c>
      <c r="K31" s="198"/>
      <c r="L31" s="118">
        <v>46291.0</v>
      </c>
      <c r="M31" s="120">
        <f>sumifs('SELLING CASH'!I:I,'SELLING CASH'!C:C,L31,'SELLING CASH'!R:R,"&lt;&gt;OIL")-(N31+O31+P31)
</f>
        <v>0</v>
      </c>
      <c r="N31" s="121">
        <f>sumifs('SELLING CASH'!N:N,'SELLING CASH'!C:C,L31,'SELLING CASH'!R:R,"&lt;&gt;SERVICE",'SELLING CASH'!R:R, "&lt;&gt;OIL")</f>
        <v>0</v>
      </c>
      <c r="O31" s="123">
        <f>sumifs('SELLING CASH'!N:N,'SELLING CASH'!C:C,L31,'SELLING CASH'!R:R,"SERVICE")</f>
        <v>0</v>
      </c>
      <c r="P31" s="124">
        <f>sumif('SELLING CASH'!C:C,L31,'SELLING CASH'!J:J)</f>
        <v>0</v>
      </c>
      <c r="Q31" s="123">
        <f>SUMIF('PAYMENT CREDIT'!C:C,L31,'PAYMENT CREDIT'!F:F)-R31</f>
        <v>0</v>
      </c>
      <c r="R31" s="123">
        <f>SUMIF('PAYMENT CREDIT'!C:C,L31,'PAYMENT CREDIT'!G:G)</f>
        <v>0</v>
      </c>
      <c r="S31" s="123">
        <f t="shared" ref="S31:T31" si="33">M31+Q31</f>
        <v>0</v>
      </c>
      <c r="T31" s="123">
        <f t="shared" si="33"/>
        <v>0</v>
      </c>
      <c r="U31" s="123">
        <f t="shared" si="5"/>
        <v>0</v>
      </c>
      <c r="V31" s="126">
        <f t="shared" si="6"/>
        <v>0</v>
      </c>
      <c r="W31" s="128">
        <f>SUMIFS('SELLING CASH'!I:I,'SELLING CASH'!C:C,L31,'SELLING CASH'!R:R,"OIL")</f>
        <v>0</v>
      </c>
      <c r="X31" s="129"/>
      <c r="Y31" s="21"/>
      <c r="Z31" s="21"/>
      <c r="AA31" s="21"/>
    </row>
    <row r="32" ht="15.0" customHeight="1">
      <c r="A32" s="49"/>
      <c r="C32" s="196"/>
      <c r="D32" s="179">
        <v>45982.0</v>
      </c>
      <c r="E32" s="181">
        <v>175000.0</v>
      </c>
      <c r="F32" s="176"/>
      <c r="G32" s="181">
        <f t="shared" si="30"/>
        <v>75000</v>
      </c>
      <c r="H32" s="182">
        <f t="shared" ref="H32:H38" si="35">J32*100000</f>
        <v>100000</v>
      </c>
      <c r="I32" s="29" t="s">
        <v>397</v>
      </c>
      <c r="J32" s="197" t="s">
        <v>343</v>
      </c>
      <c r="K32" s="198"/>
      <c r="L32" s="92">
        <v>46292.0</v>
      </c>
      <c r="M32" s="95">
        <f>sumifs('SELLING CASH'!I:I,'SELLING CASH'!C:C,L32,'SELLING CASH'!R:R,"&lt;&gt;OIL")-(N32+O32+P32)
</f>
        <v>0</v>
      </c>
      <c r="N32" s="97">
        <f>sumifs('SELLING CASH'!N:N,'SELLING CASH'!C:C,L32,'SELLING CASH'!R:R,"&lt;&gt;SERVICE",'SELLING CASH'!R:R, "&lt;&gt;OIL")</f>
        <v>0</v>
      </c>
      <c r="O32" s="135">
        <f>sumifs('SELLING CASH'!N:N,'SELLING CASH'!C:C,L32,'SELLING CASH'!R:R,"SERVICE")</f>
        <v>0</v>
      </c>
      <c r="P32" s="124">
        <f>sumif('SELLING CASH'!C:C,L32,'SELLING CASH'!J:J)</f>
        <v>0</v>
      </c>
      <c r="Q32" s="135">
        <f>SUMIF('PAYMENT CREDIT'!C:C,L32,'PAYMENT CREDIT'!F:F)-R32</f>
        <v>0</v>
      </c>
      <c r="R32" s="135">
        <f>SUMIF('PAYMENT CREDIT'!C:C,L32,'PAYMENT CREDIT'!G:G)</f>
        <v>0</v>
      </c>
      <c r="S32" s="135">
        <f t="shared" ref="S32:T32" si="34">M32+Q32</f>
        <v>0</v>
      </c>
      <c r="T32" s="135">
        <f t="shared" si="34"/>
        <v>0</v>
      </c>
      <c r="U32" s="135">
        <f t="shared" si="5"/>
        <v>0</v>
      </c>
      <c r="V32" s="112">
        <f t="shared" si="6"/>
        <v>0</v>
      </c>
      <c r="W32" s="114">
        <f>SUMIFS('SELLING CASH'!I:I,'SELLING CASH'!C:C,L32,'SELLING CASH'!R:R,"OIL")</f>
        <v>0</v>
      </c>
      <c r="X32" s="49"/>
      <c r="Y32" s="1"/>
      <c r="Z32" s="1"/>
      <c r="AA32" s="12"/>
    </row>
    <row r="33" ht="15.0" customHeight="1">
      <c r="A33" s="49"/>
      <c r="C33" s="196"/>
      <c r="D33" s="179">
        <v>45983.0</v>
      </c>
      <c r="E33" s="181">
        <v>175000.0</v>
      </c>
      <c r="F33" s="176"/>
      <c r="G33" s="181">
        <f t="shared" si="30"/>
        <v>75000</v>
      </c>
      <c r="H33" s="188">
        <f t="shared" si="35"/>
        <v>100000</v>
      </c>
      <c r="J33" s="201" t="s">
        <v>343</v>
      </c>
      <c r="K33" s="198"/>
      <c r="L33" s="118">
        <v>46293.0</v>
      </c>
      <c r="M33" s="120">
        <f>sumifs('SELLING CASH'!I:I,'SELLING CASH'!C:C,L33,'SELLING CASH'!R:R,"&lt;&gt;OIL")-(N33+O33+P33)
</f>
        <v>0</v>
      </c>
      <c r="N33" s="121">
        <f>sumifs('SELLING CASH'!N:N,'SELLING CASH'!C:C,L33,'SELLING CASH'!R:R,"&lt;&gt;SERVICE",'SELLING CASH'!R:R, "&lt;&gt;OIL")</f>
        <v>0</v>
      </c>
      <c r="O33" s="123">
        <f>sumifs('SELLING CASH'!N:N,'SELLING CASH'!C:C,L33,'SELLING CASH'!R:R,"SERVICE")</f>
        <v>0</v>
      </c>
      <c r="P33" s="124">
        <f>sumif('SELLING CASH'!C:C,L33,'SELLING CASH'!J:J)</f>
        <v>0</v>
      </c>
      <c r="Q33" s="123">
        <f>SUMIF('PAYMENT CREDIT'!C:C,L33,'PAYMENT CREDIT'!F:F)-R33</f>
        <v>0</v>
      </c>
      <c r="R33" s="123">
        <f>SUMIF('PAYMENT CREDIT'!C:C,L33,'PAYMENT CREDIT'!G:G)</f>
        <v>0</v>
      </c>
      <c r="S33" s="123">
        <f t="shared" ref="S33:T33" si="36">M33+Q33</f>
        <v>0</v>
      </c>
      <c r="T33" s="123">
        <f t="shared" si="36"/>
        <v>0</v>
      </c>
      <c r="U33" s="123">
        <f t="shared" si="5"/>
        <v>0</v>
      </c>
      <c r="V33" s="126">
        <f t="shared" si="6"/>
        <v>0</v>
      </c>
      <c r="W33" s="128">
        <f>SUMIFS('SELLING CASH'!I:I,'SELLING CASH'!C:C,L33,'SELLING CASH'!R:R,"OIL")</f>
        <v>0</v>
      </c>
      <c r="X33" s="129"/>
      <c r="Y33" s="73"/>
      <c r="Z33" s="73"/>
      <c r="AA33" s="21"/>
    </row>
    <row r="34" ht="15.0" customHeight="1">
      <c r="A34" s="49"/>
      <c r="C34" s="196"/>
      <c r="D34" s="179">
        <v>45985.0</v>
      </c>
      <c r="E34" s="181">
        <v>200000.0</v>
      </c>
      <c r="F34" s="176"/>
      <c r="G34" s="181">
        <f t="shared" si="30"/>
        <v>150000</v>
      </c>
      <c r="H34" s="182">
        <f t="shared" si="35"/>
        <v>200000</v>
      </c>
      <c r="J34" s="197" t="s">
        <v>247</v>
      </c>
      <c r="K34" s="198"/>
      <c r="L34" s="92">
        <v>46294.0</v>
      </c>
      <c r="M34" s="95">
        <f>sumifs('SELLING CASH'!I:I,'SELLING CASH'!C:C,L34,'SELLING CASH'!R:R,"&lt;&gt;OIL")-(N34+O34+P34)
</f>
        <v>0</v>
      </c>
      <c r="N34" s="97">
        <f>sumifs('SELLING CASH'!N:N,'SELLING CASH'!C:C,L34,'SELLING CASH'!R:R,"&lt;&gt;SERVICE",'SELLING CASH'!R:R, "&lt;&gt;OIL")</f>
        <v>0</v>
      </c>
      <c r="O34" s="135">
        <f>sumifs('SELLING CASH'!N:N,'SELLING CASH'!C:C,L34,'SELLING CASH'!R:R,"SERVICE")</f>
        <v>0</v>
      </c>
      <c r="P34" s="124">
        <f>sumif('SELLING CASH'!C:C,L34,'SELLING CASH'!J:J)</f>
        <v>0</v>
      </c>
      <c r="Q34" s="135">
        <f>SUMIF('PAYMENT CREDIT'!C:C,L34,'PAYMENT CREDIT'!F:F)-R34</f>
        <v>0</v>
      </c>
      <c r="R34" s="135">
        <f>SUMIF('PAYMENT CREDIT'!C:C,L34,'PAYMENT CREDIT'!G:G)</f>
        <v>0</v>
      </c>
      <c r="S34" s="135">
        <f t="shared" ref="S34:T34" si="37">M34+Q34</f>
        <v>0</v>
      </c>
      <c r="T34" s="135">
        <f t="shared" si="37"/>
        <v>0</v>
      </c>
      <c r="U34" s="135">
        <f t="shared" si="5"/>
        <v>0</v>
      </c>
      <c r="V34" s="112">
        <f t="shared" si="6"/>
        <v>0</v>
      </c>
      <c r="W34" s="114">
        <f>SUMIFS('SELLING CASH'!I:I,'SELLING CASH'!C:C,L34,'SELLING CASH'!R:R,"OIL")</f>
        <v>0</v>
      </c>
      <c r="X34" s="49"/>
      <c r="Y34" s="1"/>
      <c r="Z34" s="1"/>
      <c r="AA34" s="12"/>
    </row>
    <row r="35" ht="15.0" customHeight="1">
      <c r="A35" s="49"/>
      <c r="C35" s="196"/>
      <c r="D35" s="203">
        <v>45986.0</v>
      </c>
      <c r="E35" s="182">
        <v>330000.0</v>
      </c>
      <c r="F35" s="204"/>
      <c r="G35" s="180">
        <v>230000.0</v>
      </c>
      <c r="H35" s="188">
        <f t="shared" si="35"/>
        <v>100000</v>
      </c>
      <c r="J35" s="201" t="s">
        <v>343</v>
      </c>
      <c r="K35" s="198"/>
      <c r="L35" s="118">
        <v>46295.0</v>
      </c>
      <c r="M35" s="120">
        <f>sumifs('SELLING CASH'!I:I,'SELLING CASH'!C:C,L35,'SELLING CASH'!R:R,"&lt;&gt;OIL")-(N35+O35+P35)
</f>
        <v>0</v>
      </c>
      <c r="N35" s="121">
        <f>sumifs('SELLING CASH'!N:N,'SELLING CASH'!C:C,L35,'SELLING CASH'!R:R,"&lt;&gt;SERVICE",'SELLING CASH'!R:R, "&lt;&gt;OIL")</f>
        <v>0</v>
      </c>
      <c r="O35" s="123">
        <f>sumifs('SELLING CASH'!N:N,'SELLING CASH'!C:C,L35,'SELLING CASH'!R:R,"SERVICE")</f>
        <v>0</v>
      </c>
      <c r="P35" s="124">
        <f>sumif('SELLING CASH'!C:C,L35,'SELLING CASH'!J:J)</f>
        <v>0</v>
      </c>
      <c r="Q35" s="123">
        <f>SUMIF('PAYMENT CREDIT'!C:C,L35,'PAYMENT CREDIT'!F:F)-R35</f>
        <v>0</v>
      </c>
      <c r="R35" s="123">
        <f>SUMIF('PAYMENT CREDIT'!C:C,L35,'PAYMENT CREDIT'!G:G)</f>
        <v>0</v>
      </c>
      <c r="S35" s="123">
        <f t="shared" ref="S35:T35" si="38">M35+Q35</f>
        <v>0</v>
      </c>
      <c r="T35" s="123">
        <f t="shared" si="38"/>
        <v>0</v>
      </c>
      <c r="U35" s="123">
        <f t="shared" si="5"/>
        <v>0</v>
      </c>
      <c r="V35" s="126">
        <f t="shared" si="6"/>
        <v>0</v>
      </c>
      <c r="W35" s="128">
        <f>SUMIFS('SELLING CASH'!I:I,'SELLING CASH'!C:C,L35,'SELLING CASH'!R:R,"OIL")</f>
        <v>0</v>
      </c>
      <c r="X35" s="129"/>
      <c r="Y35" s="21"/>
      <c r="Z35" s="21"/>
      <c r="AA35" s="21"/>
    </row>
    <row r="36" ht="15.0" customHeight="1">
      <c r="A36" s="49"/>
      <c r="C36" s="196"/>
      <c r="D36" s="203">
        <v>45987.0</v>
      </c>
      <c r="E36" s="181">
        <v>350000.0</v>
      </c>
      <c r="F36" s="176"/>
      <c r="G36" s="181">
        <f t="shared" ref="G36:G38" si="40">J36*75000</f>
        <v>150000</v>
      </c>
      <c r="H36" s="182">
        <f t="shared" si="35"/>
        <v>200000</v>
      </c>
      <c r="J36" s="207" t="s">
        <v>247</v>
      </c>
      <c r="K36" s="198"/>
      <c r="L36" s="92"/>
      <c r="M36" s="95">
        <f>sumifs('SELLING CASH'!I:I,'SELLING CASH'!C:C,L36,'SELLING CASH'!R:R,"&lt;&gt;OIL")-(N36+O36+P36)
</f>
        <v>0</v>
      </c>
      <c r="N36" s="97">
        <f>sumifs('SELLING CASH'!N:N,'SELLING CASH'!C:C,L36,'SELLING CASH'!R:R,"&lt;&gt;SERVICE",'SELLING CASH'!R:R, "&lt;&gt;OIL")</f>
        <v>0</v>
      </c>
      <c r="O36" s="135">
        <f>sumifs('SELLING CASH'!N:N,'SELLING CASH'!C:C,L36,'SELLING CASH'!R:R,"SERVICE")</f>
        <v>0</v>
      </c>
      <c r="P36" s="124">
        <f>sumif('SELLING CASH'!C:C,L36,'SELLING CASH'!J:J)</f>
        <v>0</v>
      </c>
      <c r="Q36" s="135">
        <f>SUMIF('PAYMENT CREDIT'!C:C,L36,'PAYMENT CREDIT'!F:F)-R36</f>
        <v>0</v>
      </c>
      <c r="R36" s="135">
        <f>SUMIF('PAYMENT CREDIT'!C:C,L36,'PAYMENT CREDIT'!G:G)</f>
        <v>0</v>
      </c>
      <c r="S36" s="135">
        <f t="shared" ref="S36:T36" si="39">M36+Q36</f>
        <v>0</v>
      </c>
      <c r="T36" s="135">
        <f t="shared" si="39"/>
        <v>0</v>
      </c>
      <c r="U36" s="135">
        <f t="shared" si="5"/>
        <v>0</v>
      </c>
      <c r="V36" s="112">
        <f t="shared" si="6"/>
        <v>0</v>
      </c>
      <c r="W36" s="114">
        <f>SUMIFS('SELLING CASH'!I:I,'SELLING CASH'!C:C,L36,'SELLING CASH'!R:R,"OIL")</f>
        <v>0</v>
      </c>
      <c r="X36" s="49"/>
      <c r="Y36" s="1"/>
      <c r="Z36" s="1"/>
      <c r="AA36" s="12"/>
    </row>
    <row r="37" ht="15.0" customHeight="1">
      <c r="A37" s="49"/>
      <c r="C37" s="196"/>
      <c r="D37" s="203">
        <v>45988.0</v>
      </c>
      <c r="E37" s="182">
        <v>325000.0</v>
      </c>
      <c r="F37" s="204"/>
      <c r="G37" s="181">
        <f t="shared" si="40"/>
        <v>75000</v>
      </c>
      <c r="H37" s="188">
        <f t="shared" si="35"/>
        <v>100000</v>
      </c>
      <c r="I37" s="198"/>
      <c r="J37" s="209" t="s">
        <v>343</v>
      </c>
      <c r="K37" s="198"/>
      <c r="L37" s="210"/>
      <c r="M37" s="211"/>
      <c r="N37" s="211"/>
      <c r="O37" s="211"/>
      <c r="P37" s="211"/>
      <c r="Q37" s="211"/>
      <c r="R37" s="212"/>
      <c r="S37" s="211"/>
      <c r="T37" s="211"/>
      <c r="U37" s="211"/>
      <c r="V37" s="211"/>
      <c r="W37" s="213"/>
      <c r="X37" s="23"/>
    </row>
    <row r="38" ht="15.0" customHeight="1">
      <c r="A38" s="49"/>
      <c r="C38" s="196"/>
      <c r="D38" s="214">
        <v>45989.0</v>
      </c>
      <c r="E38" s="215">
        <v>350000.0</v>
      </c>
      <c r="F38" s="216"/>
      <c r="G38" s="181">
        <f t="shared" si="40"/>
        <v>150000</v>
      </c>
      <c r="H38" s="182">
        <f t="shared" si="35"/>
        <v>200000</v>
      </c>
      <c r="I38" s="198"/>
      <c r="J38" s="209" t="s">
        <v>247</v>
      </c>
      <c r="K38" s="198"/>
      <c r="L38" s="217"/>
      <c r="M38" s="218"/>
      <c r="N38" s="218"/>
      <c r="O38" s="218"/>
      <c r="P38" s="218"/>
      <c r="Q38" s="218"/>
      <c r="R38" s="218"/>
      <c r="S38" s="218"/>
      <c r="T38" s="218"/>
      <c r="U38" s="218"/>
      <c r="V38" s="218"/>
      <c r="W38" s="219"/>
      <c r="X38" s="220"/>
    </row>
    <row r="39" ht="15.0" customHeight="1">
      <c r="A39" s="49"/>
      <c r="C39" s="196"/>
      <c r="D39" s="214">
        <v>45990.0</v>
      </c>
      <c r="E39" s="215">
        <v>330000.0</v>
      </c>
      <c r="F39" s="216"/>
      <c r="G39" s="215">
        <v>230000.0</v>
      </c>
      <c r="H39" s="221">
        <v>100000.0</v>
      </c>
      <c r="I39" s="198"/>
      <c r="J39" s="209" t="s">
        <v>343</v>
      </c>
      <c r="K39" s="198"/>
      <c r="L39" s="210"/>
      <c r="M39" s="211"/>
      <c r="N39" s="211"/>
      <c r="O39" s="211"/>
      <c r="P39" s="211"/>
      <c r="Q39" s="211"/>
      <c r="R39" s="211"/>
      <c r="S39" s="211"/>
      <c r="T39" s="211"/>
      <c r="U39" s="211"/>
      <c r="V39" s="211"/>
      <c r="W39" s="213"/>
      <c r="X39" s="23"/>
    </row>
    <row r="40" ht="15.0" customHeight="1">
      <c r="A40" s="49"/>
      <c r="C40" s="196"/>
      <c r="D40" s="214">
        <v>45991.0</v>
      </c>
      <c r="E40" s="181">
        <v>175000.0</v>
      </c>
      <c r="F40" s="176"/>
      <c r="G40" s="181">
        <f>J40*75000</f>
        <v>75000</v>
      </c>
      <c r="H40" s="182">
        <f>J40*100000</f>
        <v>100000</v>
      </c>
      <c r="J40" s="197" t="s">
        <v>343</v>
      </c>
      <c r="K40" s="198"/>
      <c r="L40" s="222"/>
      <c r="M40" s="223"/>
      <c r="N40" s="223"/>
      <c r="O40" s="223"/>
      <c r="P40" s="223"/>
      <c r="Q40" s="223"/>
      <c r="R40" s="223"/>
      <c r="S40" s="223"/>
      <c r="T40" s="223"/>
      <c r="U40" s="223"/>
      <c r="V40" s="223"/>
      <c r="W40" s="224"/>
      <c r="X40" s="225"/>
    </row>
    <row r="41" ht="15.0" customHeight="1">
      <c r="A41" s="49"/>
      <c r="C41" s="196"/>
      <c r="D41" s="214">
        <v>45992.0</v>
      </c>
      <c r="E41" s="215">
        <v>820000.0</v>
      </c>
      <c r="F41" s="216"/>
      <c r="G41" s="215">
        <f t="shared" ref="G41:G42" si="41">E41-H41</f>
        <v>440000</v>
      </c>
      <c r="H41" s="198">
        <f>300000+80000</f>
        <v>380000</v>
      </c>
      <c r="I41" s="198"/>
      <c r="J41" s="209" t="s">
        <v>381</v>
      </c>
      <c r="K41" s="198"/>
      <c r="L41" s="222"/>
      <c r="M41" s="223"/>
      <c r="N41" s="226"/>
      <c r="O41" s="226"/>
      <c r="P41" s="226"/>
      <c r="Q41" s="226"/>
      <c r="R41" s="226"/>
      <c r="S41" s="226"/>
      <c r="T41" s="226"/>
      <c r="U41" s="226"/>
      <c r="V41" s="226"/>
      <c r="W41" s="227"/>
      <c r="X41" s="228"/>
    </row>
    <row r="42" ht="15.0" customHeight="1">
      <c r="A42" s="49"/>
      <c r="C42" s="196"/>
      <c r="D42" s="214">
        <v>45993.0</v>
      </c>
      <c r="E42" s="215">
        <v>1145000.0</v>
      </c>
      <c r="F42" s="216"/>
      <c r="G42" s="215">
        <f t="shared" si="41"/>
        <v>910000</v>
      </c>
      <c r="H42" s="221">
        <v>235000.0</v>
      </c>
      <c r="I42" s="198"/>
      <c r="J42" s="229"/>
      <c r="K42" s="198"/>
      <c r="L42" s="222"/>
      <c r="M42" s="223"/>
      <c r="N42" s="223"/>
      <c r="O42" s="223"/>
      <c r="P42" s="223"/>
      <c r="Q42" s="223"/>
      <c r="R42" s="223"/>
      <c r="S42" s="223"/>
      <c r="T42" s="223"/>
      <c r="U42" s="223"/>
      <c r="V42" s="223"/>
      <c r="W42" s="224"/>
      <c r="X42" s="225"/>
    </row>
    <row r="43" ht="15.0" customHeight="1">
      <c r="C43" s="196"/>
      <c r="D43" s="214">
        <v>45995.0</v>
      </c>
      <c r="E43" s="215">
        <v>175000.0</v>
      </c>
      <c r="F43" s="216"/>
      <c r="G43" s="215">
        <v>75000.0</v>
      </c>
      <c r="H43" s="221">
        <v>100000.0</v>
      </c>
      <c r="I43" s="198"/>
      <c r="J43" s="209" t="s">
        <v>343</v>
      </c>
      <c r="K43" s="230" t="s">
        <v>452</v>
      </c>
      <c r="N43" s="226"/>
      <c r="O43" s="226"/>
      <c r="P43" s="226"/>
      <c r="Q43" s="226"/>
      <c r="R43" s="226"/>
      <c r="S43" s="226"/>
      <c r="T43" s="226"/>
      <c r="U43" s="226"/>
      <c r="V43" s="226"/>
      <c r="W43" s="227"/>
      <c r="X43" s="228"/>
    </row>
    <row r="44" ht="15.0" customHeight="1">
      <c r="A44" s="49"/>
      <c r="C44" s="196"/>
      <c r="D44" s="214">
        <v>45996.0</v>
      </c>
      <c r="E44" s="215">
        <v>175000.0</v>
      </c>
      <c r="F44" s="216"/>
      <c r="G44" s="215">
        <v>75000.0</v>
      </c>
      <c r="H44" s="221">
        <v>100000.0</v>
      </c>
      <c r="I44" s="198"/>
      <c r="J44" s="209" t="s">
        <v>343</v>
      </c>
      <c r="K44" s="198"/>
      <c r="L44" s="222"/>
      <c r="M44" s="223"/>
      <c r="N44" s="223"/>
      <c r="O44" s="223"/>
      <c r="P44" s="223"/>
      <c r="Q44" s="223"/>
      <c r="R44" s="223"/>
      <c r="S44" s="223"/>
      <c r="T44" s="223"/>
      <c r="U44" s="223"/>
      <c r="V44" s="223"/>
      <c r="W44" s="224"/>
      <c r="X44" s="225"/>
    </row>
    <row r="45" ht="15.0" customHeight="1">
      <c r="A45" s="49"/>
      <c r="C45" s="196"/>
      <c r="D45" s="214">
        <v>45997.0</v>
      </c>
      <c r="E45" s="182">
        <v>325000.0</v>
      </c>
      <c r="F45" s="204"/>
      <c r="G45" s="181">
        <f>J45*75000</f>
        <v>75000</v>
      </c>
      <c r="H45" s="188">
        <f>J45*100000</f>
        <v>100000</v>
      </c>
      <c r="I45" s="198"/>
      <c r="J45" s="209" t="s">
        <v>343</v>
      </c>
      <c r="K45" s="198"/>
      <c r="L45" s="222"/>
      <c r="M45" s="223"/>
      <c r="N45" s="226"/>
      <c r="O45" s="226"/>
      <c r="P45" s="226"/>
      <c r="Q45" s="226"/>
      <c r="R45" s="226"/>
      <c r="S45" s="226"/>
      <c r="T45" s="226"/>
      <c r="U45" s="226"/>
      <c r="V45" s="226"/>
      <c r="W45" s="227"/>
      <c r="X45" s="228"/>
    </row>
    <row r="46" ht="15.0" customHeight="1">
      <c r="A46" s="49"/>
      <c r="C46" s="196"/>
      <c r="D46" s="214">
        <v>45999.0</v>
      </c>
      <c r="E46" s="231">
        <v>800000.0</v>
      </c>
      <c r="F46" s="204"/>
      <c r="G46" s="181">
        <f>E46-H46</f>
        <v>660000</v>
      </c>
      <c r="H46" s="231">
        <v>140000.0</v>
      </c>
      <c r="I46" s="198"/>
      <c r="J46" s="209" t="s">
        <v>457</v>
      </c>
      <c r="K46" s="198"/>
      <c r="L46" s="222"/>
      <c r="M46" s="223"/>
      <c r="N46" s="223"/>
      <c r="O46" s="223"/>
      <c r="P46" s="223"/>
      <c r="Q46" s="223"/>
      <c r="R46" s="223"/>
      <c r="S46" s="223"/>
      <c r="T46" s="223"/>
      <c r="U46" s="223"/>
      <c r="V46" s="223"/>
      <c r="W46" s="224"/>
      <c r="X46" s="225"/>
    </row>
    <row r="47" ht="15.0" customHeight="1">
      <c r="A47" s="49"/>
      <c r="C47" s="196"/>
      <c r="D47" s="214">
        <v>46001.0</v>
      </c>
      <c r="E47" s="215">
        <v>175000.0</v>
      </c>
      <c r="F47" s="216"/>
      <c r="G47" s="215">
        <v>75000.0</v>
      </c>
      <c r="H47" s="221">
        <v>100000.0</v>
      </c>
      <c r="I47" s="198"/>
      <c r="J47" s="209" t="s">
        <v>343</v>
      </c>
      <c r="K47" s="198"/>
      <c r="L47" s="222"/>
      <c r="M47" s="223"/>
      <c r="N47" s="226"/>
      <c r="O47" s="226"/>
      <c r="P47" s="226"/>
      <c r="Q47" s="226"/>
      <c r="R47" s="226"/>
      <c r="S47" s="226"/>
      <c r="T47" s="226"/>
      <c r="U47" s="226"/>
      <c r="V47" s="226"/>
      <c r="W47" s="227"/>
      <c r="X47" s="228"/>
    </row>
    <row r="48" ht="15.0" customHeight="1">
      <c r="A48" s="49"/>
      <c r="C48" s="196"/>
      <c r="D48" s="214">
        <v>46002.0</v>
      </c>
      <c r="E48" s="215">
        <v>175000.0</v>
      </c>
      <c r="F48" s="216"/>
      <c r="G48" s="215">
        <v>75000.0</v>
      </c>
      <c r="H48" s="221">
        <v>100000.0</v>
      </c>
      <c r="I48" s="198"/>
      <c r="J48" s="209" t="s">
        <v>343</v>
      </c>
      <c r="K48" s="198"/>
      <c r="L48" s="222"/>
      <c r="M48" s="223"/>
      <c r="N48" s="223"/>
      <c r="O48" s="223"/>
      <c r="P48" s="223"/>
      <c r="Q48" s="223"/>
      <c r="R48" s="223"/>
      <c r="S48" s="223"/>
      <c r="T48" s="223"/>
      <c r="U48" s="223"/>
      <c r="V48" s="223"/>
      <c r="W48" s="224"/>
      <c r="X48" s="225"/>
    </row>
    <row r="49" ht="15.0" customHeight="1">
      <c r="A49" s="49"/>
      <c r="C49" s="196"/>
      <c r="D49" s="214">
        <v>46003.0</v>
      </c>
      <c r="E49" s="231">
        <v>800000.0</v>
      </c>
      <c r="F49" s="204"/>
      <c r="G49" s="180">
        <v>300000.0</v>
      </c>
      <c r="H49" s="202">
        <v>140000.0</v>
      </c>
      <c r="I49" s="198"/>
      <c r="J49" s="229"/>
      <c r="K49" s="198"/>
      <c r="L49" s="222"/>
      <c r="M49" s="223"/>
      <c r="N49" s="226"/>
      <c r="O49" s="226"/>
      <c r="P49" s="226"/>
      <c r="Q49" s="226"/>
      <c r="R49" s="226"/>
      <c r="S49" s="226"/>
      <c r="T49" s="226"/>
      <c r="U49" s="226"/>
      <c r="V49" s="226"/>
      <c r="W49" s="227"/>
      <c r="X49" s="228"/>
    </row>
    <row r="50" ht="15.0" customHeight="1">
      <c r="A50" s="49"/>
      <c r="C50" s="196"/>
      <c r="D50" s="214">
        <v>46004.0</v>
      </c>
      <c r="E50" s="215">
        <v>175000.0</v>
      </c>
      <c r="F50" s="216"/>
      <c r="G50" s="215">
        <v>75000.0</v>
      </c>
      <c r="H50" s="221">
        <v>100000.0</v>
      </c>
      <c r="I50" s="198"/>
      <c r="J50" s="209" t="s">
        <v>343</v>
      </c>
      <c r="K50" s="198"/>
      <c r="L50" s="222"/>
      <c r="M50" s="223"/>
      <c r="N50" s="223"/>
      <c r="O50" s="223"/>
      <c r="P50" s="223"/>
      <c r="Q50" s="223"/>
      <c r="R50" s="223"/>
      <c r="S50" s="223"/>
      <c r="T50" s="223"/>
      <c r="U50" s="223"/>
      <c r="V50" s="223"/>
      <c r="W50" s="224"/>
      <c r="X50" s="225"/>
    </row>
    <row r="51" ht="15.0" customHeight="1">
      <c r="A51" s="49"/>
      <c r="C51" s="196"/>
      <c r="D51" s="214">
        <v>46006.0</v>
      </c>
      <c r="E51" s="215">
        <v>175000.0</v>
      </c>
      <c r="F51" s="216"/>
      <c r="G51" s="215">
        <v>75000.0</v>
      </c>
      <c r="H51" s="221">
        <v>100000.0</v>
      </c>
      <c r="I51" s="198"/>
      <c r="J51" s="209" t="s">
        <v>343</v>
      </c>
      <c r="K51" s="198"/>
      <c r="L51" s="222"/>
      <c r="M51" s="223"/>
      <c r="N51" s="226"/>
      <c r="O51" s="226"/>
      <c r="P51" s="226"/>
      <c r="Q51" s="226"/>
      <c r="R51" s="226"/>
      <c r="S51" s="226"/>
      <c r="T51" s="226"/>
      <c r="U51" s="226"/>
      <c r="V51" s="226"/>
      <c r="W51" s="227"/>
      <c r="X51" s="228"/>
    </row>
    <row r="52" ht="15.0" customHeight="1">
      <c r="A52" s="49"/>
      <c r="C52" s="196"/>
      <c r="D52" s="214">
        <v>46014.0</v>
      </c>
      <c r="E52" s="215">
        <v>175000.0</v>
      </c>
      <c r="F52" s="216"/>
      <c r="G52" s="215">
        <v>75000.0</v>
      </c>
      <c r="H52" s="221">
        <v>100000.0</v>
      </c>
      <c r="I52" s="198"/>
      <c r="J52" s="209" t="s">
        <v>343</v>
      </c>
      <c r="K52" s="198"/>
      <c r="L52" s="222"/>
      <c r="M52" s="223"/>
      <c r="N52" s="223"/>
      <c r="O52" s="223"/>
      <c r="P52" s="223"/>
      <c r="Q52" s="223"/>
      <c r="R52" s="223"/>
      <c r="S52" s="223"/>
      <c r="T52" s="223"/>
      <c r="U52" s="223"/>
      <c r="V52" s="223"/>
      <c r="W52" s="224"/>
      <c r="X52" s="225"/>
    </row>
    <row r="53" ht="15.0" customHeight="1">
      <c r="A53" s="49"/>
      <c r="C53" s="196"/>
      <c r="D53" s="214">
        <v>46013.0</v>
      </c>
      <c r="E53" s="215">
        <v>175000.0</v>
      </c>
      <c r="F53" s="216"/>
      <c r="G53" s="215">
        <v>75000.0</v>
      </c>
      <c r="H53" s="221">
        <v>100000.0</v>
      </c>
      <c r="I53" s="198"/>
      <c r="J53" s="209" t="s">
        <v>343</v>
      </c>
      <c r="K53" s="198"/>
      <c r="L53" s="222"/>
      <c r="M53" s="223"/>
      <c r="N53" s="226"/>
      <c r="O53" s="226"/>
      <c r="P53" s="226"/>
      <c r="Q53" s="226"/>
      <c r="R53" s="226"/>
      <c r="S53" s="226"/>
      <c r="T53" s="226"/>
      <c r="U53" s="226"/>
      <c r="V53" s="226"/>
      <c r="W53" s="227"/>
      <c r="X53" s="228"/>
    </row>
    <row r="54" ht="15.0" customHeight="1">
      <c r="A54" s="49"/>
      <c r="C54" s="196"/>
      <c r="D54" s="214">
        <v>46011.0</v>
      </c>
      <c r="E54" s="215">
        <v>200000.0</v>
      </c>
      <c r="F54" s="216"/>
      <c r="G54" s="215">
        <v>145000.0</v>
      </c>
      <c r="H54" s="221">
        <v>55000.0</v>
      </c>
      <c r="I54" s="198"/>
      <c r="J54" s="209" t="s">
        <v>343</v>
      </c>
      <c r="K54" s="198"/>
      <c r="L54" s="222"/>
      <c r="M54" s="223"/>
      <c r="N54" s="223"/>
      <c r="O54" s="223"/>
      <c r="P54" s="223"/>
      <c r="Q54" s="223"/>
      <c r="R54" s="223"/>
      <c r="S54" s="223"/>
      <c r="T54" s="223"/>
      <c r="U54" s="223"/>
      <c r="V54" s="223"/>
      <c r="W54" s="224"/>
      <c r="X54" s="225"/>
    </row>
    <row r="55" ht="15.0" customHeight="1">
      <c r="A55" s="49"/>
      <c r="C55" s="196"/>
      <c r="D55" s="214">
        <v>46009.0</v>
      </c>
      <c r="E55" s="215">
        <v>150000.0</v>
      </c>
      <c r="F55" s="216"/>
      <c r="G55" s="215">
        <v>150000.0</v>
      </c>
      <c r="H55" s="221"/>
      <c r="I55" s="198"/>
      <c r="J55" s="229"/>
      <c r="K55" s="198"/>
      <c r="L55" s="222"/>
      <c r="M55" s="223"/>
      <c r="N55" s="226"/>
      <c r="O55" s="226"/>
      <c r="P55" s="226"/>
      <c r="Q55" s="226"/>
      <c r="R55" s="226"/>
      <c r="S55" s="226"/>
      <c r="T55" s="226"/>
      <c r="U55" s="226"/>
      <c r="V55" s="226"/>
      <c r="W55" s="227"/>
      <c r="X55" s="228"/>
    </row>
    <row r="56" ht="15.0" customHeight="1">
      <c r="A56" s="49"/>
      <c r="C56" s="196"/>
      <c r="D56" s="214">
        <v>46008.0</v>
      </c>
      <c r="E56" s="215">
        <v>175000.0</v>
      </c>
      <c r="F56" s="216"/>
      <c r="G56" s="215">
        <v>75000.0</v>
      </c>
      <c r="H56" s="221">
        <v>100000.0</v>
      </c>
      <c r="I56" s="198"/>
      <c r="J56" s="209" t="s">
        <v>343</v>
      </c>
      <c r="K56" s="198"/>
      <c r="L56" s="222"/>
      <c r="M56" s="223"/>
      <c r="N56" s="223"/>
      <c r="O56" s="223"/>
      <c r="P56" s="223"/>
      <c r="Q56" s="223"/>
      <c r="R56" s="223"/>
      <c r="S56" s="223"/>
      <c r="T56" s="223"/>
      <c r="U56" s="223"/>
      <c r="V56" s="223"/>
      <c r="W56" s="224"/>
      <c r="X56" s="225"/>
    </row>
    <row r="57" ht="15.0" customHeight="1">
      <c r="A57" s="49"/>
      <c r="C57" s="196"/>
      <c r="D57" s="214">
        <v>46007.0</v>
      </c>
      <c r="E57" s="215">
        <v>350000.0</v>
      </c>
      <c r="F57" s="216"/>
      <c r="G57" s="181">
        <f>J57*75000</f>
        <v>150000</v>
      </c>
      <c r="H57" s="188">
        <f>J57*100000</f>
        <v>200000</v>
      </c>
      <c r="I57" s="198"/>
      <c r="J57" s="209" t="s">
        <v>247</v>
      </c>
      <c r="K57" s="198"/>
      <c r="L57" s="222"/>
      <c r="M57" s="223"/>
      <c r="N57" s="226"/>
      <c r="O57" s="226"/>
      <c r="P57" s="226"/>
      <c r="Q57" s="226"/>
      <c r="R57" s="226"/>
      <c r="S57" s="226"/>
      <c r="T57" s="226"/>
      <c r="U57" s="226"/>
      <c r="V57" s="226"/>
      <c r="W57" s="227"/>
      <c r="X57" s="228"/>
    </row>
    <row r="58" ht="15.0" customHeight="1">
      <c r="A58" s="49"/>
      <c r="C58" s="196"/>
      <c r="D58" s="214">
        <v>46015.0</v>
      </c>
      <c r="E58" s="215">
        <v>200000.0</v>
      </c>
      <c r="F58" s="216"/>
      <c r="G58" s="215">
        <v>145000.0</v>
      </c>
      <c r="H58" s="221">
        <v>55000.0</v>
      </c>
      <c r="I58" s="198"/>
      <c r="J58" s="209" t="s">
        <v>343</v>
      </c>
      <c r="K58" s="198"/>
      <c r="L58" s="222"/>
      <c r="M58" s="223"/>
      <c r="N58" s="223"/>
      <c r="O58" s="223"/>
      <c r="P58" s="223"/>
      <c r="Q58" s="223"/>
      <c r="R58" s="223"/>
      <c r="S58" s="223"/>
      <c r="T58" s="223"/>
      <c r="U58" s="223"/>
      <c r="V58" s="223"/>
      <c r="W58" s="224"/>
      <c r="X58" s="225"/>
    </row>
    <row r="59" ht="15.0" customHeight="1">
      <c r="A59" s="49"/>
      <c r="C59" s="196"/>
      <c r="D59" s="214">
        <v>46018.0</v>
      </c>
      <c r="E59" s="215">
        <v>175000.0</v>
      </c>
      <c r="F59" s="216"/>
      <c r="G59" s="215">
        <v>150000.0</v>
      </c>
      <c r="H59" s="221">
        <v>200000.0</v>
      </c>
      <c r="I59" s="198"/>
      <c r="J59" s="209" t="s">
        <v>247</v>
      </c>
      <c r="K59" s="198"/>
      <c r="L59" s="222"/>
      <c r="M59" s="223"/>
      <c r="N59" s="226"/>
      <c r="O59" s="226"/>
      <c r="P59" s="226"/>
      <c r="Q59" s="226"/>
      <c r="R59" s="226"/>
      <c r="S59" s="226"/>
      <c r="T59" s="226"/>
      <c r="U59" s="226"/>
      <c r="V59" s="226"/>
      <c r="W59" s="227"/>
      <c r="X59" s="228"/>
    </row>
    <row r="60" ht="15.0" customHeight="1">
      <c r="A60" s="49"/>
      <c r="C60" s="196"/>
      <c r="D60" s="214">
        <v>46020.0</v>
      </c>
      <c r="E60" s="215">
        <v>350000.0</v>
      </c>
      <c r="F60" s="216"/>
      <c r="G60" s="215">
        <v>150000.0</v>
      </c>
      <c r="H60" s="221">
        <v>200000.0</v>
      </c>
      <c r="I60" s="198"/>
      <c r="J60" s="209" t="s">
        <v>247</v>
      </c>
      <c r="K60" s="198"/>
      <c r="L60" s="222"/>
      <c r="M60" s="223"/>
      <c r="N60" s="223"/>
      <c r="O60" s="223"/>
      <c r="P60" s="223"/>
      <c r="Q60" s="223"/>
      <c r="R60" s="223"/>
      <c r="S60" s="223"/>
      <c r="T60" s="223"/>
      <c r="U60" s="223"/>
      <c r="V60" s="223"/>
      <c r="W60" s="224"/>
      <c r="X60" s="225"/>
    </row>
    <row r="61" ht="15.0" customHeight="1">
      <c r="A61" s="49"/>
      <c r="C61" s="196"/>
      <c r="D61" s="214">
        <v>46021.0</v>
      </c>
      <c r="E61" s="215">
        <v>175000.0</v>
      </c>
      <c r="F61" s="216"/>
      <c r="G61" s="215">
        <v>75000.0</v>
      </c>
      <c r="H61" s="221">
        <v>100000.0</v>
      </c>
      <c r="I61" s="198"/>
      <c r="J61" s="209" t="s">
        <v>343</v>
      </c>
      <c r="K61" s="198"/>
      <c r="L61" s="222"/>
      <c r="M61" s="223"/>
      <c r="N61" s="226"/>
      <c r="O61" s="226"/>
      <c r="P61" s="226"/>
      <c r="Q61" s="226"/>
      <c r="R61" s="226"/>
      <c r="S61" s="226"/>
      <c r="T61" s="226"/>
      <c r="U61" s="226"/>
      <c r="V61" s="226"/>
      <c r="W61" s="227"/>
      <c r="X61" s="228"/>
    </row>
    <row r="62" ht="15.0" customHeight="1">
      <c r="A62" s="49"/>
      <c r="C62" s="196"/>
      <c r="D62" s="214">
        <v>46025.0</v>
      </c>
      <c r="E62" s="215">
        <v>175000.0</v>
      </c>
      <c r="F62" s="216"/>
      <c r="G62" s="215">
        <v>75000.0</v>
      </c>
      <c r="H62" s="221">
        <v>100000.0</v>
      </c>
      <c r="I62" s="198"/>
      <c r="J62" s="209" t="s">
        <v>343</v>
      </c>
      <c r="K62" s="198"/>
      <c r="L62" s="222"/>
      <c r="M62" s="223"/>
      <c r="N62" s="223"/>
      <c r="O62" s="223"/>
      <c r="P62" s="223"/>
      <c r="Q62" s="223"/>
      <c r="R62" s="223"/>
      <c r="S62" s="223"/>
      <c r="T62" s="223"/>
      <c r="U62" s="223"/>
      <c r="V62" s="223"/>
      <c r="W62" s="224"/>
      <c r="X62" s="225"/>
    </row>
    <row r="63" ht="15.0" customHeight="1">
      <c r="A63" s="49"/>
      <c r="C63" s="196"/>
      <c r="D63" s="214">
        <v>46026.0</v>
      </c>
      <c r="E63" s="215">
        <v>350000.0</v>
      </c>
      <c r="F63" s="216"/>
      <c r="G63" s="215">
        <v>150000.0</v>
      </c>
      <c r="H63" s="221">
        <v>200000.0</v>
      </c>
      <c r="I63" s="198"/>
      <c r="J63" s="209" t="s">
        <v>247</v>
      </c>
      <c r="K63" s="198"/>
      <c r="L63" s="222"/>
      <c r="M63" s="223"/>
      <c r="N63" s="226"/>
      <c r="O63" s="226"/>
      <c r="P63" s="226"/>
      <c r="Q63" s="226"/>
      <c r="R63" s="226"/>
      <c r="S63" s="226"/>
      <c r="T63" s="226"/>
      <c r="U63" s="226"/>
      <c r="V63" s="226"/>
      <c r="W63" s="227"/>
      <c r="X63" s="228"/>
    </row>
    <row r="64" ht="15.0" customHeight="1">
      <c r="A64" s="49"/>
      <c r="C64" s="196"/>
      <c r="D64" s="214">
        <v>46027.0</v>
      </c>
      <c r="E64" s="215">
        <v>175000.0</v>
      </c>
      <c r="F64" s="216"/>
      <c r="G64" s="215">
        <v>75000.0</v>
      </c>
      <c r="H64" s="221">
        <v>100000.0</v>
      </c>
      <c r="I64" s="198"/>
      <c r="J64" s="209" t="s">
        <v>343</v>
      </c>
      <c r="K64" s="198"/>
      <c r="L64" s="222"/>
      <c r="M64" s="223"/>
      <c r="N64" s="223"/>
      <c r="O64" s="223"/>
      <c r="P64" s="223"/>
      <c r="Q64" s="223"/>
      <c r="R64" s="223"/>
      <c r="S64" s="223"/>
      <c r="T64" s="223"/>
      <c r="U64" s="223"/>
      <c r="V64" s="223"/>
      <c r="W64" s="224"/>
      <c r="X64" s="225"/>
    </row>
    <row r="65" ht="15.0" customHeight="1">
      <c r="A65" s="49"/>
      <c r="C65" s="196"/>
      <c r="D65" s="214">
        <v>46028.0</v>
      </c>
      <c r="E65" s="215">
        <v>175000.0</v>
      </c>
      <c r="F65" s="216"/>
      <c r="G65" s="215">
        <v>75000.0</v>
      </c>
      <c r="H65" s="221">
        <v>100000.0</v>
      </c>
      <c r="I65" s="198"/>
      <c r="J65" s="209" t="s">
        <v>343</v>
      </c>
      <c r="K65" s="198"/>
      <c r="L65" s="222"/>
      <c r="M65" s="223"/>
      <c r="N65" s="226"/>
      <c r="O65" s="226"/>
      <c r="P65" s="226"/>
      <c r="Q65" s="226"/>
      <c r="R65" s="226"/>
      <c r="S65" s="226"/>
      <c r="T65" s="226"/>
      <c r="U65" s="226"/>
      <c r="V65" s="226"/>
      <c r="W65" s="227"/>
      <c r="X65" s="228"/>
    </row>
    <row r="66" ht="15.0" customHeight="1">
      <c r="A66" s="49"/>
      <c r="C66" s="196"/>
      <c r="D66" s="214">
        <v>46036.0</v>
      </c>
      <c r="E66" s="215">
        <v>175000.0</v>
      </c>
      <c r="F66" s="216"/>
      <c r="G66" s="215">
        <v>75000.0</v>
      </c>
      <c r="H66" s="221">
        <v>100000.0</v>
      </c>
      <c r="I66" s="198"/>
      <c r="J66" s="229"/>
      <c r="K66" s="198"/>
      <c r="L66" s="222"/>
      <c r="M66" s="223"/>
      <c r="N66" s="223"/>
      <c r="O66" s="223"/>
      <c r="P66" s="223"/>
      <c r="Q66" s="223"/>
      <c r="R66" s="223"/>
      <c r="S66" s="223"/>
      <c r="T66" s="223"/>
      <c r="U66" s="223"/>
      <c r="V66" s="223"/>
      <c r="W66" s="224"/>
      <c r="X66" s="225"/>
    </row>
    <row r="67" ht="15.0" customHeight="1">
      <c r="A67" s="49"/>
      <c r="C67" s="196"/>
      <c r="D67" s="214">
        <v>46037.0</v>
      </c>
      <c r="E67" s="215">
        <v>175000.0</v>
      </c>
      <c r="F67" s="216"/>
      <c r="G67" s="215">
        <v>75000.0</v>
      </c>
      <c r="H67" s="221">
        <v>100000.0</v>
      </c>
      <c r="I67" s="198"/>
      <c r="J67" s="229"/>
      <c r="K67" s="198"/>
      <c r="L67" s="222"/>
      <c r="M67" s="223"/>
      <c r="N67" s="226"/>
      <c r="O67" s="226"/>
      <c r="P67" s="226"/>
      <c r="Q67" s="226"/>
      <c r="R67" s="226"/>
      <c r="S67" s="226"/>
      <c r="T67" s="226"/>
      <c r="U67" s="226"/>
      <c r="V67" s="226"/>
      <c r="W67" s="227"/>
      <c r="X67" s="228"/>
    </row>
    <row r="68" ht="15.0" customHeight="1">
      <c r="A68" s="49"/>
      <c r="C68" s="196"/>
      <c r="D68" s="214">
        <v>46038.0</v>
      </c>
      <c r="E68" s="215">
        <v>175000.0</v>
      </c>
      <c r="F68" s="216"/>
      <c r="G68" s="215">
        <v>75000.0</v>
      </c>
      <c r="H68" s="221">
        <v>100000.0</v>
      </c>
      <c r="I68" s="198"/>
      <c r="J68" s="229"/>
      <c r="K68" s="198"/>
      <c r="L68" s="222"/>
      <c r="M68" s="223"/>
      <c r="N68" s="223"/>
      <c r="O68" s="223"/>
      <c r="P68" s="223"/>
      <c r="Q68" s="223"/>
      <c r="R68" s="223"/>
      <c r="S68" s="223"/>
      <c r="T68" s="223"/>
      <c r="U68" s="223"/>
      <c r="V68" s="223"/>
      <c r="W68" s="224"/>
      <c r="X68" s="225"/>
    </row>
    <row r="69" ht="15.0" customHeight="1">
      <c r="A69" s="49"/>
      <c r="C69" s="196"/>
      <c r="D69" s="214">
        <v>46039.0</v>
      </c>
      <c r="E69" s="215">
        <v>175000.0</v>
      </c>
      <c r="F69" s="216"/>
      <c r="G69" s="215">
        <v>75000.0</v>
      </c>
      <c r="H69" s="221">
        <v>100000.0</v>
      </c>
      <c r="I69" s="198"/>
      <c r="J69" s="229"/>
      <c r="K69" s="198"/>
      <c r="L69" s="222"/>
      <c r="M69" s="223"/>
      <c r="N69" s="226"/>
      <c r="O69" s="226"/>
      <c r="P69" s="226"/>
      <c r="Q69" s="226"/>
      <c r="R69" s="226"/>
      <c r="S69" s="226"/>
      <c r="T69" s="226"/>
      <c r="U69" s="226"/>
      <c r="V69" s="226"/>
      <c r="W69" s="227"/>
      <c r="X69" s="228"/>
    </row>
    <row r="70" ht="15.0" customHeight="1">
      <c r="A70" s="49"/>
      <c r="C70" s="196"/>
      <c r="D70" s="214">
        <v>46043.0</v>
      </c>
      <c r="E70" s="215">
        <v>175000.0</v>
      </c>
      <c r="F70" s="216"/>
      <c r="G70" s="215">
        <v>75000.0</v>
      </c>
      <c r="H70" s="221">
        <v>100000.0</v>
      </c>
      <c r="I70" s="198"/>
      <c r="J70" s="229"/>
      <c r="K70" s="198"/>
      <c r="L70" s="222"/>
      <c r="M70" s="223"/>
      <c r="N70" s="223"/>
      <c r="O70" s="223"/>
      <c r="P70" s="223"/>
      <c r="Q70" s="223"/>
      <c r="R70" s="223"/>
      <c r="S70" s="223"/>
      <c r="T70" s="223"/>
      <c r="U70" s="223"/>
      <c r="V70" s="223"/>
      <c r="W70" s="224"/>
      <c r="X70" s="225"/>
    </row>
  </sheetData>
  <autoFilter ref="$L$2:$W$37"/>
  <mergeCells count="12">
    <mergeCell ref="W4:W5"/>
    <mergeCell ref="AC4:AC5"/>
    <mergeCell ref="G5:H5"/>
    <mergeCell ref="G11:H11"/>
    <mergeCell ref="K43:M43"/>
    <mergeCell ref="Q3:R3"/>
    <mergeCell ref="Y3:AA3"/>
    <mergeCell ref="L4:L5"/>
    <mergeCell ref="M4:P4"/>
    <mergeCell ref="Q4:R4"/>
    <mergeCell ref="S4:U4"/>
    <mergeCell ref="V4:V5"/>
  </mergeCells>
  <dataValidations>
    <dataValidation type="list" allowBlank="1" showErrorMessage="1" sqref="M2">
      <formula1>"Januari,Februari,Maret,April,Mei,Juni,Juli,Agustus,September,Oktober,November,Desember"</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0"/>
    <col customWidth="1" min="2" max="2" width="2.13"/>
    <col customWidth="1" min="3" max="3" width="29.63"/>
    <col customWidth="1" min="4" max="4" width="12.75"/>
    <col customWidth="1" min="5" max="5" width="21.13"/>
    <col customWidth="1" min="6" max="6" width="19.13"/>
    <col customWidth="1" min="7" max="7" width="9.63"/>
    <col customWidth="1" min="8" max="8" width="14.63"/>
    <col customWidth="1" min="9" max="9" width="16.38"/>
    <col customWidth="1" min="10" max="10" width="12.75"/>
    <col customWidth="1" min="11" max="11" width="8.5"/>
    <col customWidth="1" min="12" max="12" width="14.0"/>
    <col customWidth="1" min="13" max="13" width="15.13"/>
    <col customWidth="1" min="14" max="14" width="7.38"/>
    <col customWidth="1" min="15" max="16" width="9.88"/>
    <col customWidth="1" min="17" max="17" width="10.0"/>
    <col customWidth="1" min="18" max="18" width="3.13"/>
    <col customWidth="1" min="19" max="20" width="2.5"/>
    <col customWidth="1" min="21" max="21" width="3.25"/>
    <col customWidth="1" min="23" max="23" width="27.63"/>
    <col customWidth="1" min="24" max="24" width="13.13"/>
    <col customWidth="1" min="25" max="25" width="15.25"/>
    <col customWidth="1" min="26" max="26" width="24.63"/>
    <col customWidth="1" min="27" max="27" width="3.13"/>
    <col customWidth="1" min="28" max="28" width="3.25"/>
    <col customWidth="1" min="29" max="29" width="3.38"/>
    <col customWidth="1" min="31" max="31" width="33.0"/>
    <col customWidth="1" min="32" max="32" width="13.13"/>
    <col customWidth="1" min="33" max="34" width="15.25"/>
    <col customWidth="1" min="35" max="42" width="5.25"/>
  </cols>
  <sheetData>
    <row r="1" ht="33.0" customHeight="1">
      <c r="A1" s="39"/>
      <c r="B1" s="2"/>
      <c r="C1" s="37" t="s">
        <v>12</v>
      </c>
      <c r="D1" s="37" t="s">
        <v>18</v>
      </c>
      <c r="E1" s="37" t="s">
        <v>20</v>
      </c>
      <c r="F1" s="37" t="s">
        <v>21</v>
      </c>
      <c r="G1" s="37" t="s">
        <v>23</v>
      </c>
      <c r="H1" s="41" t="s">
        <v>24</v>
      </c>
      <c r="I1" s="37" t="s">
        <v>25</v>
      </c>
      <c r="J1" s="37" t="s">
        <v>26</v>
      </c>
      <c r="K1" s="37" t="s">
        <v>27</v>
      </c>
      <c r="L1" s="41" t="s">
        <v>28</v>
      </c>
      <c r="M1" s="37" t="s">
        <v>15</v>
      </c>
      <c r="N1" s="37" t="s">
        <v>29</v>
      </c>
      <c r="O1" s="37" t="s">
        <v>11</v>
      </c>
      <c r="P1" s="37" t="s">
        <v>31</v>
      </c>
      <c r="Q1" s="37" t="s">
        <v>32</v>
      </c>
      <c r="R1" s="2">
        <f>counta(F:F)</f>
        <v>474</v>
      </c>
      <c r="S1" s="2"/>
      <c r="T1" s="2"/>
      <c r="U1" s="2"/>
      <c r="V1" s="58" t="s">
        <v>34</v>
      </c>
      <c r="W1" s="62" t="s">
        <v>38</v>
      </c>
      <c r="X1" s="66" t="s">
        <v>31</v>
      </c>
      <c r="Y1" s="66" t="s">
        <v>17</v>
      </c>
      <c r="Z1" s="66" t="s">
        <v>43</v>
      </c>
      <c r="AA1" s="81">
        <f>counta(V:V)</f>
        <v>113</v>
      </c>
      <c r="AC1" s="13"/>
      <c r="AD1" s="82" t="s">
        <v>48</v>
      </c>
      <c r="AE1" s="82" t="s">
        <v>49</v>
      </c>
      <c r="AF1" s="83" t="s">
        <v>50</v>
      </c>
      <c r="AG1" s="83" t="s">
        <v>17</v>
      </c>
      <c r="AH1" s="86" t="s">
        <v>43</v>
      </c>
      <c r="AI1" s="47">
        <f>counta(AD:AD)</f>
        <v>23</v>
      </c>
      <c r="AJ1" s="47"/>
      <c r="AK1" s="88"/>
      <c r="AL1" s="88"/>
      <c r="AM1" s="88"/>
      <c r="AN1" s="88"/>
      <c r="AO1" s="88"/>
      <c r="AP1" s="91"/>
    </row>
    <row r="2" ht="16.5" customHeight="1">
      <c r="A2" s="39"/>
      <c r="B2" s="2"/>
      <c r="C2" s="93" t="s">
        <v>55</v>
      </c>
      <c r="D2" s="93" t="s">
        <v>56</v>
      </c>
      <c r="E2" s="93" t="s">
        <v>57</v>
      </c>
      <c r="F2" s="93" t="s">
        <v>58</v>
      </c>
      <c r="G2" s="93">
        <v>0.0</v>
      </c>
      <c r="H2" s="74">
        <v>535000.0</v>
      </c>
      <c r="I2" s="96">
        <v>431000.0</v>
      </c>
      <c r="J2" s="65" t="s">
        <v>7</v>
      </c>
      <c r="K2" s="65">
        <v>1.0</v>
      </c>
      <c r="L2" s="74">
        <v>0.0</v>
      </c>
      <c r="M2" s="93" t="s">
        <v>61</v>
      </c>
      <c r="N2" s="65">
        <f>sumif(PURCHASE!I:I,C2,PURCHASE!J:J)</f>
        <v>0</v>
      </c>
      <c r="O2" s="65">
        <f>sumif('SELLING CASH'!E:E,C2,'SELLING CASH'!F:F)</f>
        <v>0</v>
      </c>
      <c r="P2" s="65">
        <f>sumif('SELLING CREDIT'!F:F,C2,'SELLING CREDIT'!G:G)</f>
        <v>0</v>
      </c>
      <c r="Q2" s="65">
        <f t="shared" ref="Q2:Q472" si="1">(N2+G2)-(O2+P2)</f>
        <v>0</v>
      </c>
      <c r="R2" s="2"/>
      <c r="S2" s="2"/>
      <c r="T2" s="2"/>
      <c r="U2" s="2"/>
      <c r="V2" s="110" t="s">
        <v>72</v>
      </c>
      <c r="W2" s="111" t="s">
        <v>74</v>
      </c>
      <c r="X2" s="113">
        <f>sumif('SELLING CREDIT'!E:E,W2,'SELLING CREDIT'!P:P)</f>
        <v>60160000</v>
      </c>
      <c r="Y2" s="113">
        <f>sumif('PAYMENT CREDIT'!E:E,W2,'PAYMENT CREDIT'!F:F)</f>
        <v>60220000</v>
      </c>
      <c r="Z2" s="113">
        <f t="shared" ref="Z2:Z113" si="2">X2-Y2</f>
        <v>-60000</v>
      </c>
      <c r="AC2" s="13">
        <v>1.0</v>
      </c>
      <c r="AD2" s="116" t="s">
        <v>79</v>
      </c>
      <c r="AE2" s="117" t="s">
        <v>81</v>
      </c>
      <c r="AF2" s="113">
        <f>sumif(PURCHASE!E:E,AE2,PURCHASE!N:N)</f>
        <v>2476950800</v>
      </c>
      <c r="AG2" s="113">
        <f>sumif('PAYMENT SUPPLIER'!D:D,AE2,'PAYMENT SUPPLIER'!E:E)+sumifs(PURCHASE!N:N,PURCHASE!E:E,AE2,PURCHASE!M:M,"Cash")</f>
        <v>2207165603</v>
      </c>
      <c r="AH2" s="113">
        <f t="shared" ref="AH2:AH23" si="3">AF2-AG2</f>
        <v>269785197</v>
      </c>
    </row>
    <row r="3" ht="14.25" customHeight="1">
      <c r="A3" s="49"/>
      <c r="C3" s="93" t="s">
        <v>84</v>
      </c>
      <c r="D3" s="93" t="s">
        <v>85</v>
      </c>
      <c r="F3" s="93" t="s">
        <v>58</v>
      </c>
      <c r="G3" s="93">
        <v>0.0</v>
      </c>
      <c r="H3" s="74">
        <v>455000.0</v>
      </c>
      <c r="I3" s="96">
        <v>375000.0</v>
      </c>
      <c r="J3" s="65" t="s">
        <v>7</v>
      </c>
      <c r="K3" s="65">
        <v>1.0</v>
      </c>
      <c r="L3" s="74">
        <v>0.0</v>
      </c>
      <c r="M3" s="93" t="s">
        <v>61</v>
      </c>
      <c r="N3" s="65">
        <f>sumif(PURCHASE!I:I,C3,PURCHASE!J:J)</f>
        <v>0</v>
      </c>
      <c r="O3" s="65">
        <f>sumif('SELLING CASH'!E:E,C3,'SELLING CASH'!F:F)</f>
        <v>0</v>
      </c>
      <c r="P3" s="65">
        <f>sumif('SELLING CREDIT'!F:F,C3,'SELLING CREDIT'!G:G)</f>
        <v>0</v>
      </c>
      <c r="Q3" s="65">
        <f t="shared" si="1"/>
        <v>0</v>
      </c>
      <c r="V3" s="110" t="s">
        <v>92</v>
      </c>
      <c r="W3" s="131" t="s">
        <v>93</v>
      </c>
      <c r="X3" s="113">
        <f>sumif('SELLING CREDIT'!E:E,W3,'SELLING CREDIT'!P:P)</f>
        <v>0</v>
      </c>
      <c r="Y3" s="113">
        <f>sumif('PAYMENT CREDIT'!E:E,W3,'PAYMENT CREDIT'!F:F)</f>
        <v>0</v>
      </c>
      <c r="Z3" s="113">
        <f t="shared" si="2"/>
        <v>0</v>
      </c>
      <c r="AC3" s="13">
        <v>1.0</v>
      </c>
      <c r="AD3" s="116" t="s">
        <v>95</v>
      </c>
      <c r="AE3" s="136" t="s">
        <v>97</v>
      </c>
      <c r="AF3" s="113">
        <f>sumif(PURCHASE!E:E,AE3,PURCHASE!N:N)</f>
        <v>1496642952</v>
      </c>
      <c r="AG3" s="113">
        <f>sumif('PAYMENT SUPPLIER'!D:D,AE3,'PAYMENT SUPPLIER'!E:E)+sumifs(PURCHASE!N:N,PURCHASE!E:E,AE3,PURCHASE!M:M,"Cash")</f>
        <v>1350798512</v>
      </c>
      <c r="AH3" s="113">
        <f t="shared" si="3"/>
        <v>145844440.3</v>
      </c>
    </row>
    <row r="4" ht="17.25" customHeight="1">
      <c r="A4" s="49"/>
      <c r="C4" s="93" t="s">
        <v>102</v>
      </c>
      <c r="D4" s="93" t="s">
        <v>103</v>
      </c>
      <c r="F4" s="93" t="s">
        <v>58</v>
      </c>
      <c r="G4" s="93">
        <v>0.0</v>
      </c>
      <c r="H4" s="74">
        <v>480000.0</v>
      </c>
      <c r="I4" s="96">
        <v>400000.0</v>
      </c>
      <c r="J4" s="65" t="s">
        <v>7</v>
      </c>
      <c r="K4" s="65">
        <v>1.0</v>
      </c>
      <c r="L4" s="74">
        <v>0.0</v>
      </c>
      <c r="M4" s="93" t="s">
        <v>61</v>
      </c>
      <c r="N4" s="65">
        <f>sumif(PURCHASE!I:I,C4,PURCHASE!J:J)</f>
        <v>0</v>
      </c>
      <c r="O4" s="65">
        <f>sumif('SELLING CASH'!E:E,C4,'SELLING CASH'!F:F)</f>
        <v>0</v>
      </c>
      <c r="P4" s="65">
        <f>sumif('SELLING CREDIT'!F:F,C4,'SELLING CREDIT'!G:G)</f>
        <v>0</v>
      </c>
      <c r="Q4" s="65">
        <f t="shared" si="1"/>
        <v>0</v>
      </c>
      <c r="R4" s="2"/>
      <c r="U4" s="2"/>
      <c r="V4" s="110" t="s">
        <v>105</v>
      </c>
      <c r="W4" s="131" t="s">
        <v>106</v>
      </c>
      <c r="X4" s="113">
        <f>sumif('SELLING CREDIT'!E:E,W4,'SELLING CREDIT'!P:P)</f>
        <v>0</v>
      </c>
      <c r="Y4" s="113">
        <f>sumif('PAYMENT CREDIT'!E:E,W4,'PAYMENT CREDIT'!F:F)</f>
        <v>0</v>
      </c>
      <c r="Z4" s="113">
        <f t="shared" si="2"/>
        <v>0</v>
      </c>
      <c r="AC4" s="13">
        <v>1.0</v>
      </c>
      <c r="AD4" s="116" t="s">
        <v>108</v>
      </c>
      <c r="AE4" s="117" t="s">
        <v>110</v>
      </c>
      <c r="AF4" s="113">
        <f>sumif(PURCHASE!E:E,AE4,PURCHASE!N:N)</f>
        <v>783659910</v>
      </c>
      <c r="AG4" s="113">
        <f>sumif('PAYMENT SUPPLIER'!D:D,AE4,'PAYMENT SUPPLIER'!E:E)+sumifs(PURCHASE!N:N,PURCHASE!E:E,AE4,PURCHASE!M:M,"Cash")</f>
        <v>746139510</v>
      </c>
      <c r="AH4" s="113">
        <f t="shared" si="3"/>
        <v>37520400</v>
      </c>
    </row>
    <row r="5" ht="15.0" customHeight="1">
      <c r="A5" s="49"/>
      <c r="C5" s="93" t="s">
        <v>115</v>
      </c>
      <c r="D5" s="93" t="s">
        <v>116</v>
      </c>
      <c r="F5" s="93" t="s">
        <v>58</v>
      </c>
      <c r="G5" s="93">
        <v>1.0</v>
      </c>
      <c r="H5" s="74">
        <v>640000.0</v>
      </c>
      <c r="I5" s="96">
        <v>531000.0</v>
      </c>
      <c r="J5" s="65" t="s">
        <v>7</v>
      </c>
      <c r="K5" s="65">
        <v>1.0</v>
      </c>
      <c r="L5" s="74">
        <v>0.0</v>
      </c>
      <c r="M5" s="93" t="s">
        <v>61</v>
      </c>
      <c r="N5" s="65">
        <f>sumif(PURCHASE!I:I,C5,PURCHASE!J:J)</f>
        <v>0</v>
      </c>
      <c r="O5" s="65">
        <f>sumif('SELLING CASH'!E:E,C5,'SELLING CASH'!F:F)</f>
        <v>0</v>
      </c>
      <c r="P5" s="65">
        <f>sumif('SELLING CREDIT'!F:F,C5,'SELLING CREDIT'!G:G)</f>
        <v>0</v>
      </c>
      <c r="Q5" s="65">
        <f t="shared" si="1"/>
        <v>1</v>
      </c>
      <c r="V5" s="110" t="s">
        <v>118</v>
      </c>
      <c r="W5" s="131" t="s">
        <v>119</v>
      </c>
      <c r="X5" s="113">
        <f>sumif('SELLING CREDIT'!E:E,W5,'SELLING CREDIT'!P:P)</f>
        <v>43810000</v>
      </c>
      <c r="Y5" s="113">
        <f>sumif('PAYMENT CREDIT'!E:E,W5,'PAYMENT CREDIT'!F:F)</f>
        <v>42070000</v>
      </c>
      <c r="Z5" s="113">
        <f t="shared" si="2"/>
        <v>1740000</v>
      </c>
      <c r="AC5" s="13">
        <v>1.0</v>
      </c>
      <c r="AD5" s="116" t="s">
        <v>121</v>
      </c>
      <c r="AE5" s="117" t="s">
        <v>123</v>
      </c>
      <c r="AF5" s="113">
        <f>sumif(PURCHASE!E:E,AE5,PURCHASE!N:N)</f>
        <v>1460388496</v>
      </c>
      <c r="AG5" s="113">
        <f>sumif('PAYMENT SUPPLIER'!D:D,AE5,'PAYMENT SUPPLIER'!E:E)+sumifs(PURCHASE!N:N,PURCHASE!E:E,AE5,PURCHASE!M:M,"Cash")</f>
        <v>1323087976</v>
      </c>
      <c r="AH5" s="113">
        <f t="shared" si="3"/>
        <v>137300520</v>
      </c>
    </row>
    <row r="6" ht="15.0" customHeight="1">
      <c r="A6" s="49"/>
      <c r="C6" s="93" t="s">
        <v>126</v>
      </c>
      <c r="D6" s="93" t="s">
        <v>127</v>
      </c>
      <c r="F6" s="93" t="s">
        <v>58</v>
      </c>
      <c r="G6" s="93">
        <v>0.0</v>
      </c>
      <c r="H6" s="74">
        <v>520000.0</v>
      </c>
      <c r="I6" s="96">
        <v>435000.0</v>
      </c>
      <c r="J6" s="65" t="s">
        <v>7</v>
      </c>
      <c r="K6" s="65">
        <v>1.0</v>
      </c>
      <c r="L6" s="74">
        <v>0.0</v>
      </c>
      <c r="M6" s="93" t="s">
        <v>61</v>
      </c>
      <c r="N6" s="65">
        <f>sumif(PURCHASE!I:I,C6,PURCHASE!J:J)</f>
        <v>0</v>
      </c>
      <c r="O6" s="65">
        <f>sumif('SELLING CASH'!E:E,C6,'SELLING CASH'!F:F)</f>
        <v>6</v>
      </c>
      <c r="P6" s="65">
        <f>sumif('SELLING CREDIT'!F:F,C6,'SELLING CREDIT'!G:G)</f>
        <v>0</v>
      </c>
      <c r="Q6" s="65">
        <f t="shared" si="1"/>
        <v>-6</v>
      </c>
      <c r="V6" s="110" t="s">
        <v>131</v>
      </c>
      <c r="W6" s="131" t="s">
        <v>132</v>
      </c>
      <c r="X6" s="113">
        <f>sumif('SELLING CREDIT'!E:E,W6,'SELLING CREDIT'!P:P)</f>
        <v>57435000</v>
      </c>
      <c r="Y6" s="113">
        <f>sumif('PAYMENT CREDIT'!E:E,W6,'PAYMENT CREDIT'!F:F)</f>
        <v>57665000</v>
      </c>
      <c r="Z6" s="113">
        <f t="shared" si="2"/>
        <v>-230000</v>
      </c>
      <c r="AC6" s="13">
        <v>1.0</v>
      </c>
      <c r="AD6" s="116" t="s">
        <v>135</v>
      </c>
      <c r="AE6" s="117" t="s">
        <v>136</v>
      </c>
      <c r="AF6" s="113">
        <f>sumif(PURCHASE!E:E,AE6,PURCHASE!N:N)</f>
        <v>7588800</v>
      </c>
      <c r="AG6" s="113">
        <f>sumif('PAYMENT SUPPLIER'!D:D,AE6,'PAYMENT SUPPLIER'!E:E)+sumifs(PURCHASE!N:N,PURCHASE!E:E,AE6,PURCHASE!M:M,"Cash")</f>
        <v>7588800</v>
      </c>
      <c r="AH6" s="113">
        <f t="shared" si="3"/>
        <v>0</v>
      </c>
    </row>
    <row r="7" ht="15.0" customHeight="1">
      <c r="A7" s="49"/>
      <c r="C7" s="93" t="s">
        <v>139</v>
      </c>
      <c r="D7" s="93" t="s">
        <v>140</v>
      </c>
      <c r="F7" s="93" t="s">
        <v>58</v>
      </c>
      <c r="G7" s="93">
        <v>0.0</v>
      </c>
      <c r="H7" s="74">
        <v>475000.0</v>
      </c>
      <c r="I7" s="96">
        <v>395000.0</v>
      </c>
      <c r="J7" s="65" t="s">
        <v>7</v>
      </c>
      <c r="K7" s="65">
        <v>1.0</v>
      </c>
      <c r="L7" s="74">
        <v>0.0</v>
      </c>
      <c r="M7" s="93" t="s">
        <v>61</v>
      </c>
      <c r="N7" s="65">
        <f>sumif(PURCHASE!I:I,C7,PURCHASE!J:J)</f>
        <v>0</v>
      </c>
      <c r="O7" s="65">
        <f>sumif('SELLING CASH'!E:E,C7,'SELLING CASH'!F:F)</f>
        <v>0</v>
      </c>
      <c r="P7" s="65">
        <f>sumif('SELLING CREDIT'!F:F,C7,'SELLING CREDIT'!G:G)</f>
        <v>0</v>
      </c>
      <c r="Q7" s="65">
        <f t="shared" si="1"/>
        <v>0</v>
      </c>
      <c r="V7" s="110" t="s">
        <v>143</v>
      </c>
      <c r="W7" s="131" t="s">
        <v>144</v>
      </c>
      <c r="X7" s="113">
        <f>sumif('SELLING CREDIT'!E:E,W7,'SELLING CREDIT'!P:P)</f>
        <v>22030000</v>
      </c>
      <c r="Y7" s="113">
        <f>sumif('PAYMENT CREDIT'!E:E,W7,'PAYMENT CREDIT'!F:F)</f>
        <v>22030000</v>
      </c>
      <c r="Z7" s="113">
        <f t="shared" si="2"/>
        <v>0</v>
      </c>
      <c r="AC7" s="13">
        <v>1.0</v>
      </c>
      <c r="AD7" s="116" t="s">
        <v>146</v>
      </c>
      <c r="AE7" s="117" t="s">
        <v>147</v>
      </c>
      <c r="AF7" s="113">
        <f>sumif(PURCHASE!E:E,AE7,PURCHASE!N:N)</f>
        <v>0</v>
      </c>
      <c r="AG7" s="113">
        <f>sumif('PAYMENT SUPPLIER'!D:D,AE7,'PAYMENT SUPPLIER'!E:E)+sumifs(PURCHASE!N:N,PURCHASE!E:E,AE7,PURCHASE!M:M,"Cash")</f>
        <v>34845000</v>
      </c>
      <c r="AH7" s="113">
        <f t="shared" si="3"/>
        <v>-34845000</v>
      </c>
    </row>
    <row r="8" ht="15.0" customHeight="1">
      <c r="A8" s="49"/>
      <c r="C8" s="93" t="s">
        <v>150</v>
      </c>
      <c r="D8" s="93" t="s">
        <v>151</v>
      </c>
      <c r="F8" s="93" t="s">
        <v>58</v>
      </c>
      <c r="G8" s="93">
        <v>0.0</v>
      </c>
      <c r="H8" s="74">
        <v>700000.0</v>
      </c>
      <c r="I8" s="96">
        <v>600000.0</v>
      </c>
      <c r="J8" s="65" t="s">
        <v>7</v>
      </c>
      <c r="K8" s="65">
        <v>1.0</v>
      </c>
      <c r="L8" s="74">
        <v>0.0</v>
      </c>
      <c r="M8" s="93" t="s">
        <v>61</v>
      </c>
      <c r="N8" s="65">
        <f>sumif(PURCHASE!I:I,C8,PURCHASE!J:J)</f>
        <v>0</v>
      </c>
      <c r="O8" s="65">
        <f>sumif('SELLING CASH'!E:E,C8,'SELLING CASH'!F:F)</f>
        <v>0</v>
      </c>
      <c r="P8" s="65">
        <f>sumif('SELLING CREDIT'!F:F,C8,'SELLING CREDIT'!G:G)</f>
        <v>0</v>
      </c>
      <c r="Q8" s="65">
        <f t="shared" si="1"/>
        <v>0</v>
      </c>
      <c r="V8" s="110" t="s">
        <v>156</v>
      </c>
      <c r="W8" s="131" t="s">
        <v>157</v>
      </c>
      <c r="X8" s="113">
        <f>sumif('SELLING CREDIT'!E:E,W8,'SELLING CREDIT'!P:P)</f>
        <v>0</v>
      </c>
      <c r="Y8" s="113">
        <f>sumif('PAYMENT CREDIT'!E:E,W8,'PAYMENT CREDIT'!F:F)</f>
        <v>0</v>
      </c>
      <c r="Z8" s="113">
        <f t="shared" si="2"/>
        <v>0</v>
      </c>
      <c r="AC8" s="13">
        <v>1.0</v>
      </c>
      <c r="AD8" s="116" t="s">
        <v>159</v>
      </c>
      <c r="AE8" s="117" t="s">
        <v>160</v>
      </c>
      <c r="AF8" s="113">
        <f>sumif(PURCHASE!E:E,AE8,PURCHASE!N:N)</f>
        <v>38011500</v>
      </c>
      <c r="AG8" s="113">
        <f>sumif('PAYMENT SUPPLIER'!D:D,AE8,'PAYMENT SUPPLIER'!E:E)+sumifs(PURCHASE!N:N,PURCHASE!E:E,AE8,PURCHASE!M:M,"Cash")</f>
        <v>38011500</v>
      </c>
      <c r="AH8" s="113">
        <f t="shared" si="3"/>
        <v>0</v>
      </c>
    </row>
    <row r="9" ht="15.0" customHeight="1">
      <c r="A9" s="49"/>
      <c r="C9" s="93" t="s">
        <v>163</v>
      </c>
      <c r="D9" s="93" t="s">
        <v>164</v>
      </c>
      <c r="F9" s="93" t="s">
        <v>58</v>
      </c>
      <c r="G9" s="93">
        <v>10.0</v>
      </c>
      <c r="H9" s="74">
        <v>600000.0</v>
      </c>
      <c r="I9" s="96">
        <v>483960.0</v>
      </c>
      <c r="J9" s="65" t="s">
        <v>7</v>
      </c>
      <c r="K9" s="65">
        <v>1.0</v>
      </c>
      <c r="L9" s="74">
        <v>0.0</v>
      </c>
      <c r="M9" s="93" t="s">
        <v>61</v>
      </c>
      <c r="N9" s="65">
        <f>sumif(PURCHASE!I:I,C9,PURCHASE!J:J)</f>
        <v>0</v>
      </c>
      <c r="O9" s="65">
        <f>sumif('SELLING CASH'!E:E,C9,'SELLING CASH'!F:F)</f>
        <v>10</v>
      </c>
      <c r="P9" s="65">
        <f>sumif('SELLING CREDIT'!F:F,C9,'SELLING CREDIT'!G:G)</f>
        <v>0</v>
      </c>
      <c r="Q9" s="65">
        <f t="shared" si="1"/>
        <v>0</v>
      </c>
      <c r="V9" s="110" t="s">
        <v>167</v>
      </c>
      <c r="W9" s="131" t="s">
        <v>168</v>
      </c>
      <c r="X9" s="113">
        <f>sumif('SELLING CREDIT'!E:E,W9,'SELLING CREDIT'!P:P)</f>
        <v>4500000</v>
      </c>
      <c r="Y9" s="113">
        <f>sumif('PAYMENT CREDIT'!E:E,W9,'PAYMENT CREDIT'!F:F)</f>
        <v>4500000</v>
      </c>
      <c r="Z9" s="113">
        <f t="shared" si="2"/>
        <v>0</v>
      </c>
      <c r="AC9" s="13">
        <v>1.0</v>
      </c>
      <c r="AD9" s="116" t="s">
        <v>171</v>
      </c>
      <c r="AE9" s="117" t="s">
        <v>174</v>
      </c>
      <c r="AF9" s="113">
        <f>sumif(PURCHASE!E:E,AE9,PURCHASE!N:N)</f>
        <v>2457540</v>
      </c>
      <c r="AG9" s="113">
        <f>sumif('PAYMENT SUPPLIER'!D:D,AE9,'PAYMENT SUPPLIER'!E:E)+sumifs(PURCHASE!N:N,PURCHASE!E:E,AE9,PURCHASE!M:M,"Cash")</f>
        <v>2457540</v>
      </c>
      <c r="AH9" s="113">
        <f t="shared" si="3"/>
        <v>0</v>
      </c>
    </row>
    <row r="10" ht="15.0" customHeight="1">
      <c r="A10" s="49"/>
      <c r="C10" s="93" t="s">
        <v>177</v>
      </c>
      <c r="D10" s="93" t="s">
        <v>178</v>
      </c>
      <c r="F10" s="93" t="s">
        <v>58</v>
      </c>
      <c r="G10" s="93">
        <v>3.0</v>
      </c>
      <c r="H10" s="74">
        <v>820000.0</v>
      </c>
      <c r="I10" s="96">
        <v>730000.0</v>
      </c>
      <c r="J10" s="65" t="s">
        <v>7</v>
      </c>
      <c r="K10" s="65">
        <v>1.0</v>
      </c>
      <c r="L10" s="74">
        <v>0.0</v>
      </c>
      <c r="M10" s="93" t="s">
        <v>61</v>
      </c>
      <c r="N10" s="65">
        <f>sumif(PURCHASE!I:I,C10,PURCHASE!J:J)</f>
        <v>0</v>
      </c>
      <c r="O10" s="65">
        <f>sumif('SELLING CASH'!E:E,C10,'SELLING CASH'!F:F)</f>
        <v>0</v>
      </c>
      <c r="P10" s="65">
        <f>sumif('SELLING CREDIT'!F:F,C10,'SELLING CREDIT'!G:G)</f>
        <v>0</v>
      </c>
      <c r="Q10" s="65">
        <f t="shared" si="1"/>
        <v>3</v>
      </c>
      <c r="V10" s="110" t="s">
        <v>180</v>
      </c>
      <c r="W10" s="131" t="s">
        <v>181</v>
      </c>
      <c r="X10" s="113">
        <f>sumif('SELLING CREDIT'!E:E,W10,'SELLING CREDIT'!P:P)</f>
        <v>0</v>
      </c>
      <c r="Y10" s="113">
        <f>sumif('PAYMENT CREDIT'!E:E,W10,'PAYMENT CREDIT'!F:F)</f>
        <v>0</v>
      </c>
      <c r="Z10" s="113">
        <f t="shared" si="2"/>
        <v>0</v>
      </c>
      <c r="AC10" s="13">
        <v>1.0</v>
      </c>
      <c r="AD10" s="116" t="s">
        <v>184</v>
      </c>
      <c r="AE10" s="117" t="s">
        <v>185</v>
      </c>
      <c r="AF10" s="113">
        <f>sumif(PURCHASE!E:E,AE10,PURCHASE!N:N)</f>
        <v>107077000</v>
      </c>
      <c r="AG10" s="113">
        <f>sumif('PAYMENT SUPPLIER'!D:D,AE10,'PAYMENT SUPPLIER'!E:E)+sumifs(PURCHASE!N:N,PURCHASE!E:E,AE10,PURCHASE!M:M,"Cash")</f>
        <v>107077000</v>
      </c>
      <c r="AH10" s="113">
        <f t="shared" si="3"/>
        <v>0</v>
      </c>
    </row>
    <row r="11" ht="15.0" customHeight="1">
      <c r="A11" s="49"/>
      <c r="C11" s="93" t="s">
        <v>188</v>
      </c>
      <c r="D11" s="93" t="s">
        <v>189</v>
      </c>
      <c r="F11" s="93" t="s">
        <v>58</v>
      </c>
      <c r="G11" s="93">
        <v>0.0</v>
      </c>
      <c r="H11" s="74">
        <v>820000.0</v>
      </c>
      <c r="I11" s="96">
        <v>690000.0</v>
      </c>
      <c r="J11" s="65" t="s">
        <v>7</v>
      </c>
      <c r="K11" s="65">
        <v>1.0</v>
      </c>
      <c r="L11" s="74">
        <v>0.0</v>
      </c>
      <c r="M11" s="93" t="s">
        <v>61</v>
      </c>
      <c r="N11" s="65">
        <f>sumif(PURCHASE!I:I,C11,PURCHASE!J:J)</f>
        <v>0</v>
      </c>
      <c r="O11" s="65">
        <f>sumif('SELLING CASH'!E:E,C11,'SELLING CASH'!F:F)</f>
        <v>0</v>
      </c>
      <c r="P11" s="65">
        <f>sumif('SELLING CREDIT'!F:F,C11,'SELLING CREDIT'!G:G)</f>
        <v>0</v>
      </c>
      <c r="Q11" s="65">
        <f t="shared" si="1"/>
        <v>0</v>
      </c>
      <c r="V11" s="110" t="s">
        <v>192</v>
      </c>
      <c r="W11" s="113" t="s">
        <v>193</v>
      </c>
      <c r="X11" s="113">
        <f>sumif('SELLING CREDIT'!E:E,W11,'SELLING CREDIT'!P:P)</f>
        <v>37170000</v>
      </c>
      <c r="Y11" s="113">
        <f>sumif('PAYMENT CREDIT'!E:E,W11,'PAYMENT CREDIT'!F:F)</f>
        <v>37270000</v>
      </c>
      <c r="Z11" s="113">
        <f t="shared" si="2"/>
        <v>-100000</v>
      </c>
      <c r="AC11" s="13">
        <v>1.0</v>
      </c>
      <c r="AD11" s="116" t="s">
        <v>196</v>
      </c>
      <c r="AE11" s="117" t="s">
        <v>198</v>
      </c>
      <c r="AF11" s="113">
        <f>sumif(PURCHASE!E:E,AE11,PURCHASE!N:N)</f>
        <v>68524012.64</v>
      </c>
      <c r="AG11" s="113">
        <f>sumif('PAYMENT SUPPLIER'!D:D,AE11,'PAYMENT SUPPLIER'!E:E)+sumifs(PURCHASE!N:N,PURCHASE!E:E,AE11,PURCHASE!M:M,"Cash")</f>
        <v>57836381</v>
      </c>
      <c r="AH11" s="113">
        <f t="shared" si="3"/>
        <v>10687631.64</v>
      </c>
    </row>
    <row r="12" ht="15.0" customHeight="1">
      <c r="A12" s="49"/>
      <c r="C12" s="93" t="s">
        <v>201</v>
      </c>
      <c r="D12" s="93" t="s">
        <v>202</v>
      </c>
      <c r="E12" s="93" t="s">
        <v>203</v>
      </c>
      <c r="F12" s="93" t="s">
        <v>204</v>
      </c>
      <c r="G12" s="93">
        <v>0.0</v>
      </c>
      <c r="H12" s="74">
        <v>870000.0</v>
      </c>
      <c r="I12" s="96">
        <v>760239.0</v>
      </c>
      <c r="J12" s="65" t="s">
        <v>7</v>
      </c>
      <c r="K12" s="65">
        <v>1.0</v>
      </c>
      <c r="L12" s="74">
        <v>0.0</v>
      </c>
      <c r="M12" s="93" t="s">
        <v>61</v>
      </c>
      <c r="N12" s="65">
        <f>sumif(PURCHASE!I:I,C12,PURCHASE!J:J)</f>
        <v>1</v>
      </c>
      <c r="O12" s="65">
        <f>sumif('SELLING CASH'!E:E,C12,'SELLING CASH'!F:F)</f>
        <v>1</v>
      </c>
      <c r="P12" s="65">
        <f>sumif('SELLING CREDIT'!F:F,C12,'SELLING CREDIT'!G:G)</f>
        <v>0</v>
      </c>
      <c r="Q12" s="65">
        <f t="shared" si="1"/>
        <v>0</v>
      </c>
      <c r="V12" s="110" t="s">
        <v>207</v>
      </c>
      <c r="W12" s="131" t="s">
        <v>208</v>
      </c>
      <c r="X12" s="113">
        <f>sumif('SELLING CREDIT'!E:E,W12,'SELLING CREDIT'!P:P)</f>
        <v>26690000</v>
      </c>
      <c r="Y12" s="113">
        <f>sumif('PAYMENT CREDIT'!E:E,W12,'PAYMENT CREDIT'!F:F)</f>
        <v>23840000</v>
      </c>
      <c r="Z12" s="113">
        <f t="shared" si="2"/>
        <v>2850000</v>
      </c>
      <c r="AC12" s="13">
        <v>1.0</v>
      </c>
      <c r="AD12" s="116" t="s">
        <v>212</v>
      </c>
      <c r="AE12" s="117" t="s">
        <v>213</v>
      </c>
      <c r="AF12" s="113">
        <f>sumif(PURCHASE!E:E,AE12,PURCHASE!N:N)</f>
        <v>0</v>
      </c>
      <c r="AG12" s="113">
        <f>sumif('PAYMENT SUPPLIER'!D:D,AE12,'PAYMENT SUPPLIER'!E:E)+sumifs(PURCHASE!N:N,PURCHASE!E:E,AE12,PURCHASE!M:M,"Cash")</f>
        <v>0</v>
      </c>
      <c r="AH12" s="113">
        <f t="shared" si="3"/>
        <v>0</v>
      </c>
    </row>
    <row r="13" ht="15.0" customHeight="1">
      <c r="A13" s="49"/>
      <c r="C13" s="93" t="s">
        <v>222</v>
      </c>
      <c r="D13" s="93" t="s">
        <v>223</v>
      </c>
      <c r="F13" s="93" t="s">
        <v>58</v>
      </c>
      <c r="G13" s="93">
        <v>0.0</v>
      </c>
      <c r="H13" s="74">
        <v>930000.0</v>
      </c>
      <c r="I13" s="96">
        <v>805000.0</v>
      </c>
      <c r="J13" s="65" t="s">
        <v>7</v>
      </c>
      <c r="K13" s="65">
        <v>1.0</v>
      </c>
      <c r="L13" s="74">
        <v>0.0</v>
      </c>
      <c r="M13" s="93" t="s">
        <v>61</v>
      </c>
      <c r="N13" s="65">
        <f>sumif(PURCHASE!I:I,C13,PURCHASE!J:J)</f>
        <v>1</v>
      </c>
      <c r="O13" s="65">
        <f>sumif('SELLING CASH'!E:E,C13,'SELLING CASH'!F:F)</f>
        <v>1</v>
      </c>
      <c r="P13" s="65">
        <f>sumif('SELLING CREDIT'!F:F,C13,'SELLING CREDIT'!G:G)</f>
        <v>0</v>
      </c>
      <c r="Q13" s="65">
        <f t="shared" si="1"/>
        <v>0</v>
      </c>
      <c r="V13" s="110" t="s">
        <v>231</v>
      </c>
      <c r="W13" s="113" t="s">
        <v>234</v>
      </c>
      <c r="X13" s="113">
        <f>sumif('SELLING CREDIT'!E:E,W13,'SELLING CREDIT'!P:P)</f>
        <v>33145000</v>
      </c>
      <c r="Y13" s="113">
        <f>sumif('PAYMENT CREDIT'!E:E,W13,'PAYMENT CREDIT'!F:F)</f>
        <v>33145000</v>
      </c>
      <c r="Z13" s="113">
        <f t="shared" si="2"/>
        <v>0</v>
      </c>
      <c r="AC13" s="13">
        <v>1.0</v>
      </c>
      <c r="AD13" s="116" t="s">
        <v>253</v>
      </c>
      <c r="AE13" s="117" t="s">
        <v>257</v>
      </c>
      <c r="AF13" s="113">
        <f>sumif(PURCHASE!E:E,AE13,PURCHASE!N:N)</f>
        <v>11909978</v>
      </c>
      <c r="AG13" s="113">
        <f>sumif('PAYMENT SUPPLIER'!D:D,AE13,'PAYMENT SUPPLIER'!E:E)+sumifs(PURCHASE!N:N,PURCHASE!E:E,AE13,PURCHASE!M:M,"Cash")</f>
        <v>12288515</v>
      </c>
      <c r="AH13" s="113">
        <f t="shared" si="3"/>
        <v>-378537</v>
      </c>
    </row>
    <row r="14" ht="15.0" customHeight="1">
      <c r="A14" s="49"/>
      <c r="C14" s="93" t="s">
        <v>278</v>
      </c>
      <c r="D14" s="93" t="s">
        <v>280</v>
      </c>
      <c r="F14" s="93" t="s">
        <v>58</v>
      </c>
      <c r="G14" s="93">
        <v>0.0</v>
      </c>
      <c r="H14" s="74">
        <v>1270000.0</v>
      </c>
      <c r="I14" s="96">
        <v>1117000.0</v>
      </c>
      <c r="J14" s="65" t="s">
        <v>7</v>
      </c>
      <c r="K14" s="65">
        <v>1.0</v>
      </c>
      <c r="L14" s="74">
        <v>0.0</v>
      </c>
      <c r="M14" s="93" t="s">
        <v>61</v>
      </c>
      <c r="N14" s="65">
        <f>sumif(PURCHASE!I:I,C14,PURCHASE!J:J)</f>
        <v>0</v>
      </c>
      <c r="O14" s="65">
        <f>sumif('SELLING CASH'!E:E,C14,'SELLING CASH'!F:F)</f>
        <v>0</v>
      </c>
      <c r="P14" s="65">
        <f>sumif('SELLING CREDIT'!F:F,C14,'SELLING CREDIT'!G:G)</f>
        <v>0</v>
      </c>
      <c r="Q14" s="65">
        <f t="shared" si="1"/>
        <v>0</v>
      </c>
      <c r="V14" s="110" t="s">
        <v>300</v>
      </c>
      <c r="W14" s="131" t="s">
        <v>303</v>
      </c>
      <c r="X14" s="113">
        <f>sumif('SELLING CREDIT'!E:E,W14,'SELLING CREDIT'!P:P)</f>
        <v>18830000</v>
      </c>
      <c r="Y14" s="113">
        <f>sumif('PAYMENT CREDIT'!E:E,W14,'PAYMENT CREDIT'!F:F)</f>
        <v>18830000</v>
      </c>
      <c r="Z14" s="113">
        <f t="shared" si="2"/>
        <v>0</v>
      </c>
      <c r="AC14" s="13">
        <v>1.0</v>
      </c>
      <c r="AD14" s="116" t="s">
        <v>315</v>
      </c>
      <c r="AE14" s="117" t="s">
        <v>318</v>
      </c>
      <c r="AF14" s="113">
        <f>sumif(PURCHASE!E:E,AE14,PURCHASE!N:N)</f>
        <v>3683000</v>
      </c>
      <c r="AG14" s="113">
        <f>sumif('PAYMENT SUPPLIER'!D:D,AE14,'PAYMENT SUPPLIER'!E:E)+sumifs(PURCHASE!N:N,PURCHASE!E:E,AE14,PURCHASE!M:M,"Cash")</f>
        <v>3683000</v>
      </c>
      <c r="AH14" s="113">
        <f t="shared" si="3"/>
        <v>0</v>
      </c>
    </row>
    <row r="15" ht="15.0" customHeight="1">
      <c r="A15" s="49"/>
      <c r="C15" s="93" t="s">
        <v>323</v>
      </c>
      <c r="D15" s="93" t="s">
        <v>324</v>
      </c>
      <c r="E15" s="93" t="s">
        <v>325</v>
      </c>
      <c r="F15" s="93" t="s">
        <v>58</v>
      </c>
      <c r="G15" s="93">
        <v>0.0</v>
      </c>
      <c r="H15" s="74">
        <v>1040000.0</v>
      </c>
      <c r="I15" s="96">
        <v>920000.0</v>
      </c>
      <c r="J15" s="65" t="s">
        <v>7</v>
      </c>
      <c r="K15" s="65">
        <v>1.0</v>
      </c>
      <c r="L15" s="74">
        <v>0.0</v>
      </c>
      <c r="M15" s="93" t="s">
        <v>61</v>
      </c>
      <c r="N15" s="65">
        <f>sumif(PURCHASE!I:I,C15,PURCHASE!J:J)</f>
        <v>1</v>
      </c>
      <c r="O15" s="65">
        <f>sumif('SELLING CASH'!E:E,C15,'SELLING CASH'!F:F)</f>
        <v>1</v>
      </c>
      <c r="P15" s="65">
        <f>sumif('SELLING CREDIT'!F:F,C15,'SELLING CREDIT'!G:G)</f>
        <v>0</v>
      </c>
      <c r="Q15" s="65">
        <f t="shared" si="1"/>
        <v>0</v>
      </c>
      <c r="V15" s="110" t="s">
        <v>330</v>
      </c>
      <c r="W15" s="131" t="s">
        <v>331</v>
      </c>
      <c r="X15" s="113">
        <f>sumif('SELLING CREDIT'!E:E,W15,'SELLING CREDIT'!P:P)</f>
        <v>10180000</v>
      </c>
      <c r="Y15" s="113">
        <f>sumif('PAYMENT CREDIT'!E:E,W15,'PAYMENT CREDIT'!F:F)</f>
        <v>10180000</v>
      </c>
      <c r="Z15" s="113">
        <f t="shared" si="2"/>
        <v>0</v>
      </c>
      <c r="AC15" s="13">
        <v>1.0</v>
      </c>
      <c r="AD15" s="116" t="s">
        <v>333</v>
      </c>
      <c r="AE15" s="117" t="s">
        <v>335</v>
      </c>
      <c r="AF15" s="113">
        <f>sumif(PURCHASE!E:E,AE15,PURCHASE!N:N)</f>
        <v>1181180000</v>
      </c>
      <c r="AG15" s="113">
        <f>sumif('PAYMENT SUPPLIER'!D:D,AE15,'PAYMENT SUPPLIER'!E:E)+sumifs(PURCHASE!N:N,PURCHASE!E:E,AE15,PURCHASE!M:M,"Cash")</f>
        <v>977975000</v>
      </c>
      <c r="AH15" s="113">
        <f t="shared" si="3"/>
        <v>203205000</v>
      </c>
    </row>
    <row r="16" ht="15.0" customHeight="1">
      <c r="A16" s="49"/>
      <c r="C16" s="93" t="str">
        <f>F16&amp;" "&amp;D16&amp;" "&amp;E16</f>
        <v>Advance 1000/20 GL662A+</v>
      </c>
      <c r="D16" s="93" t="s">
        <v>340</v>
      </c>
      <c r="E16" s="93" t="s">
        <v>341</v>
      </c>
      <c r="F16" s="93" t="s">
        <v>342</v>
      </c>
      <c r="G16" s="93">
        <v>0.0</v>
      </c>
      <c r="H16" s="140">
        <v>4450000.0</v>
      </c>
      <c r="I16" s="193">
        <v>4200000.0</v>
      </c>
      <c r="J16" s="93" t="s">
        <v>7</v>
      </c>
      <c r="K16" s="93">
        <v>1.0</v>
      </c>
      <c r="L16" s="74">
        <v>0.0</v>
      </c>
      <c r="M16" s="93" t="s">
        <v>61</v>
      </c>
      <c r="N16" s="65">
        <f>sumif(PURCHASE!I:I,C16,PURCHASE!J:J)</f>
        <v>5</v>
      </c>
      <c r="O16" s="65">
        <f>sumif('SELLING CASH'!E:E,C16,'SELLING CASH'!F:F)</f>
        <v>6</v>
      </c>
      <c r="P16" s="65">
        <f>sumif('SELLING CREDIT'!F:F,C16,'SELLING CREDIT'!G:G)</f>
        <v>0</v>
      </c>
      <c r="Q16" s="65">
        <f t="shared" si="1"/>
        <v>-1</v>
      </c>
      <c r="V16" s="110" t="s">
        <v>344</v>
      </c>
      <c r="W16" s="131" t="s">
        <v>346</v>
      </c>
      <c r="X16" s="113">
        <f>sumif('SELLING CREDIT'!E:E,W16,'SELLING CREDIT'!P:P)</f>
        <v>77230000</v>
      </c>
      <c r="Y16" s="113">
        <f>sumif('PAYMENT CREDIT'!E:E,W16,'PAYMENT CREDIT'!F:F)</f>
        <v>74690000</v>
      </c>
      <c r="Z16" s="113">
        <f t="shared" si="2"/>
        <v>2540000</v>
      </c>
      <c r="AC16" s="13">
        <v>1.0</v>
      </c>
      <c r="AD16" s="116" t="s">
        <v>348</v>
      </c>
      <c r="AE16" s="117" t="s">
        <v>349</v>
      </c>
      <c r="AF16" s="113">
        <f>sumif(PURCHASE!E:E,AE16,PURCHASE!N:N)</f>
        <v>53192000</v>
      </c>
      <c r="AG16" s="113">
        <f>sumif('PAYMENT SUPPLIER'!D:D,AE16,'PAYMENT SUPPLIER'!E:E)+sumifs(PURCHASE!N:N,PURCHASE!E:E,AE16,PURCHASE!M:M,"Cash")</f>
        <v>54948000</v>
      </c>
      <c r="AH16" s="113">
        <f t="shared" si="3"/>
        <v>-1756000</v>
      </c>
    </row>
    <row r="17" ht="15.0" customHeight="1">
      <c r="A17" s="49"/>
      <c r="C17" s="93" t="s">
        <v>353</v>
      </c>
      <c r="D17" s="93" t="s">
        <v>354</v>
      </c>
      <c r="E17" s="93" t="s">
        <v>355</v>
      </c>
      <c r="F17" s="93" t="s">
        <v>342</v>
      </c>
      <c r="G17" s="93">
        <v>0.0</v>
      </c>
      <c r="H17" s="74">
        <v>1865000.0</v>
      </c>
      <c r="I17" s="96">
        <v>1765000.0</v>
      </c>
      <c r="J17" s="65" t="s">
        <v>7</v>
      </c>
      <c r="K17" s="65">
        <v>1.0</v>
      </c>
      <c r="L17" s="74">
        <v>0.0</v>
      </c>
      <c r="M17" s="93" t="s">
        <v>61</v>
      </c>
      <c r="N17" s="65">
        <f>sumif(PURCHASE!I:I,C17,PURCHASE!J:J)</f>
        <v>2</v>
      </c>
      <c r="O17" s="65">
        <f>sumif('SELLING CASH'!E:E,C17,'SELLING CASH'!F:F)</f>
        <v>2</v>
      </c>
      <c r="P17" s="65">
        <f>sumif('SELLING CREDIT'!F:F,C17,'SELLING CREDIT'!G:G)</f>
        <v>1</v>
      </c>
      <c r="Q17" s="65">
        <f t="shared" si="1"/>
        <v>-1</v>
      </c>
      <c r="V17" s="110" t="s">
        <v>359</v>
      </c>
      <c r="W17" s="131" t="s">
        <v>346</v>
      </c>
      <c r="X17" s="113">
        <f>sumif('SELLING CREDIT'!E:E,W17,'SELLING CREDIT'!P:P)</f>
        <v>77230000</v>
      </c>
      <c r="Y17" s="113">
        <f>sumif('PAYMENT CREDIT'!E:E,W17,'PAYMENT CREDIT'!F:F)</f>
        <v>74690000</v>
      </c>
      <c r="Z17" s="113">
        <f t="shared" si="2"/>
        <v>2540000</v>
      </c>
      <c r="AC17" s="13">
        <v>1.0</v>
      </c>
      <c r="AD17" s="116" t="s">
        <v>360</v>
      </c>
      <c r="AE17" s="117" t="s">
        <v>361</v>
      </c>
      <c r="AF17" s="113">
        <f>sumif(PURCHASE!E:E,AE17,PURCHASE!N:N)</f>
        <v>61608400</v>
      </c>
      <c r="AG17" s="113">
        <f>sumif('PAYMENT SUPPLIER'!D:D,AE17,'PAYMENT SUPPLIER'!E:E)+sumifs(PURCHASE!N:N,PURCHASE!E:E,AE17,PURCHASE!M:M,"Cash")</f>
        <v>57448400</v>
      </c>
      <c r="AH17" s="113">
        <f t="shared" si="3"/>
        <v>4160000</v>
      </c>
    </row>
    <row r="18" ht="15.0" customHeight="1">
      <c r="A18" s="49"/>
      <c r="C18" s="93" t="s">
        <v>363</v>
      </c>
      <c r="D18" s="93" t="s">
        <v>364</v>
      </c>
      <c r="E18" s="93" t="s">
        <v>365</v>
      </c>
      <c r="F18" s="93" t="s">
        <v>366</v>
      </c>
      <c r="G18" s="93">
        <v>1.0</v>
      </c>
      <c r="H18" s="74">
        <v>1950000.0</v>
      </c>
      <c r="I18" s="96">
        <v>1840000.0</v>
      </c>
      <c r="J18" s="65" t="s">
        <v>7</v>
      </c>
      <c r="K18" s="65">
        <v>1.0</v>
      </c>
      <c r="L18" s="74">
        <v>0.0</v>
      </c>
      <c r="M18" s="93" t="s">
        <v>61</v>
      </c>
      <c r="N18" s="65">
        <f>sumif(PURCHASE!I:I,C18,PURCHASE!J:J)</f>
        <v>0</v>
      </c>
      <c r="O18" s="65">
        <f>sumif('SELLING CASH'!E:E,C18,'SELLING CASH'!F:F)</f>
        <v>1</v>
      </c>
      <c r="P18" s="65">
        <f>sumif('SELLING CREDIT'!F:F,C18,'SELLING CREDIT'!G:G)</f>
        <v>0</v>
      </c>
      <c r="Q18" s="65">
        <f t="shared" si="1"/>
        <v>0</v>
      </c>
      <c r="V18" s="110" t="s">
        <v>369</v>
      </c>
      <c r="W18" s="131" t="s">
        <v>370</v>
      </c>
      <c r="X18" s="113">
        <f>sumif('SELLING CREDIT'!E:E,W18,'SELLING CREDIT'!P:P)</f>
        <v>6170000</v>
      </c>
      <c r="Y18" s="113">
        <f>sumif('PAYMENT CREDIT'!E:E,W18,'PAYMENT CREDIT'!F:F)</f>
        <v>6170000</v>
      </c>
      <c r="Z18" s="113">
        <f t="shared" si="2"/>
        <v>0</v>
      </c>
      <c r="AC18" s="13">
        <v>1.0</v>
      </c>
      <c r="AD18" s="116" t="s">
        <v>371</v>
      </c>
      <c r="AE18" s="117" t="s">
        <v>372</v>
      </c>
      <c r="AF18" s="113">
        <f>sumif(PURCHASE!E:E,AE18,PURCHASE!N:N)</f>
        <v>71382000</v>
      </c>
      <c r="AG18" s="113">
        <f>sumif('PAYMENT SUPPLIER'!D:D,AE18,'PAYMENT SUPPLIER'!E:E)+sumifs(PURCHASE!N:N,PURCHASE!E:E,AE18,PURCHASE!M:M,"Cash")</f>
        <v>62414000</v>
      </c>
      <c r="AH18" s="113">
        <f t="shared" si="3"/>
        <v>8968000</v>
      </c>
    </row>
    <row r="19" ht="15.0" customHeight="1">
      <c r="A19" s="49"/>
      <c r="C19" s="93" t="s">
        <v>374</v>
      </c>
      <c r="D19" s="93" t="s">
        <v>364</v>
      </c>
      <c r="E19" s="93" t="s">
        <v>375</v>
      </c>
      <c r="F19" s="93" t="s">
        <v>342</v>
      </c>
      <c r="G19" s="93">
        <v>4.0</v>
      </c>
      <c r="H19" s="74">
        <v>2080000.0</v>
      </c>
      <c r="I19" s="96">
        <v>1980000.0</v>
      </c>
      <c r="J19" s="65" t="s">
        <v>7</v>
      </c>
      <c r="K19" s="65">
        <v>1.0</v>
      </c>
      <c r="L19" s="74">
        <v>0.0</v>
      </c>
      <c r="M19" s="93" t="s">
        <v>61</v>
      </c>
      <c r="N19" s="65">
        <f>sumif(PURCHASE!I:I,C19,PURCHASE!J:J)</f>
        <v>135</v>
      </c>
      <c r="O19" s="65">
        <f>sumif('SELLING CASH'!E:E,C19,'SELLING CASH'!F:F)</f>
        <v>31</v>
      </c>
      <c r="P19" s="65">
        <f>sumif('SELLING CREDIT'!F:F,C19,'SELLING CREDIT'!G:G)</f>
        <v>115</v>
      </c>
      <c r="Q19" s="65">
        <f t="shared" si="1"/>
        <v>-7</v>
      </c>
      <c r="V19" s="110" t="s">
        <v>382</v>
      </c>
      <c r="W19" s="131" t="s">
        <v>383</v>
      </c>
      <c r="X19" s="113">
        <f>sumif('SELLING CREDIT'!E:E,W19,'SELLING CREDIT'!P:P)</f>
        <v>31250000</v>
      </c>
      <c r="Y19" s="113">
        <f>sumif('PAYMENT CREDIT'!E:E,W19,'PAYMENT CREDIT'!F:F)</f>
        <v>31250000</v>
      </c>
      <c r="Z19" s="113">
        <f t="shared" si="2"/>
        <v>0</v>
      </c>
      <c r="AC19" s="13">
        <v>1.0</v>
      </c>
      <c r="AD19" s="116" t="s">
        <v>385</v>
      </c>
      <c r="AE19" s="136" t="s">
        <v>386</v>
      </c>
      <c r="AF19" s="113">
        <f>sumif(PURCHASE!E:E,AE19,PURCHASE!N:N)</f>
        <v>90698229</v>
      </c>
      <c r="AG19" s="113">
        <f>sumif('PAYMENT SUPPLIER'!D:D,AE19,'PAYMENT SUPPLIER'!E:E)+sumifs(PURCHASE!N:N,PURCHASE!E:E,AE19,PURCHASE!M:M,"Cash")</f>
        <v>20137800</v>
      </c>
      <c r="AH19" s="113">
        <f t="shared" si="3"/>
        <v>70560429</v>
      </c>
    </row>
    <row r="20" ht="15.0" customHeight="1">
      <c r="A20" s="49"/>
      <c r="C20" s="93" t="s">
        <v>391</v>
      </c>
      <c r="D20" s="93" t="s">
        <v>364</v>
      </c>
      <c r="E20" s="93" t="s">
        <v>392</v>
      </c>
      <c r="F20" s="93" t="s">
        <v>342</v>
      </c>
      <c r="G20" s="93">
        <v>8.0</v>
      </c>
      <c r="H20" s="74">
        <v>1985000.0</v>
      </c>
      <c r="I20" s="96">
        <v>1885000.0</v>
      </c>
      <c r="J20" s="65" t="s">
        <v>7</v>
      </c>
      <c r="K20" s="65">
        <v>1.0</v>
      </c>
      <c r="L20" s="74">
        <v>0.0</v>
      </c>
      <c r="M20" s="93" t="s">
        <v>61</v>
      </c>
      <c r="N20" s="65">
        <f>sumif(PURCHASE!I:I,C20,PURCHASE!J:J)</f>
        <v>113</v>
      </c>
      <c r="O20" s="65">
        <f>sumif('SELLING CASH'!E:E,C20,'SELLING CASH'!F:F)</f>
        <v>40</v>
      </c>
      <c r="P20" s="65">
        <f>sumif('SELLING CREDIT'!F:F,C20,'SELLING CREDIT'!G:G)</f>
        <v>81</v>
      </c>
      <c r="Q20" s="65">
        <f t="shared" si="1"/>
        <v>0</v>
      </c>
      <c r="V20" s="110" t="s">
        <v>394</v>
      </c>
      <c r="W20" s="131" t="s">
        <v>396</v>
      </c>
      <c r="X20" s="113">
        <f>sumif('SELLING CREDIT'!E:E,W20,'SELLING CREDIT'!P:P)</f>
        <v>10195000</v>
      </c>
      <c r="Y20" s="113">
        <f>sumif('PAYMENT CREDIT'!E:E,W20,'PAYMENT CREDIT'!F:F)</f>
        <v>10195000</v>
      </c>
      <c r="Z20" s="113">
        <f t="shared" si="2"/>
        <v>0</v>
      </c>
      <c r="AC20" s="13">
        <v>1.0</v>
      </c>
      <c r="AD20" s="116" t="s">
        <v>399</v>
      </c>
      <c r="AE20" s="136" t="s">
        <v>400</v>
      </c>
      <c r="AF20" s="113">
        <f>sumif(PURCHASE!E:E,AE20,PURCHASE!N:N)</f>
        <v>11745923.12</v>
      </c>
      <c r="AG20" s="113">
        <f>sumif('PAYMENT SUPPLIER'!D:D,AE20,'PAYMENT SUPPLIER'!E:E)+sumifs(PURCHASE!N:N,PURCHASE!E:E,AE20,PURCHASE!M:M,"Cash")</f>
        <v>9760000</v>
      </c>
      <c r="AH20" s="113">
        <f t="shared" si="3"/>
        <v>1985923.12</v>
      </c>
    </row>
    <row r="21" ht="15.0" customHeight="1">
      <c r="A21" s="49"/>
      <c r="C21" s="93" t="s">
        <v>403</v>
      </c>
      <c r="D21" s="93" t="s">
        <v>364</v>
      </c>
      <c r="E21" s="93" t="s">
        <v>405</v>
      </c>
      <c r="F21" s="93" t="s">
        <v>342</v>
      </c>
      <c r="G21" s="93">
        <v>12.0</v>
      </c>
      <c r="H21" s="74">
        <v>2260000.0</v>
      </c>
      <c r="I21" s="96">
        <v>2160000.0</v>
      </c>
      <c r="J21" s="65" t="s">
        <v>7</v>
      </c>
      <c r="K21" s="65">
        <v>1.0</v>
      </c>
      <c r="L21" s="74">
        <v>0.0</v>
      </c>
      <c r="M21" s="93" t="s">
        <v>61</v>
      </c>
      <c r="N21" s="65">
        <f>sumif(PURCHASE!I:I,C21,PURCHASE!J:J)</f>
        <v>152</v>
      </c>
      <c r="O21" s="65">
        <f>sumif('SELLING CASH'!E:E,C21,'SELLING CASH'!F:F)</f>
        <v>28</v>
      </c>
      <c r="P21" s="65">
        <f>sumif('SELLING CREDIT'!F:F,C21,'SELLING CREDIT'!G:G)</f>
        <v>126</v>
      </c>
      <c r="Q21" s="65">
        <f t="shared" si="1"/>
        <v>10</v>
      </c>
      <c r="V21" s="110" t="s">
        <v>409</v>
      </c>
      <c r="W21" s="131" t="s">
        <v>410</v>
      </c>
      <c r="X21" s="113">
        <f>sumif('SELLING CREDIT'!E:E,W21,'SELLING CREDIT'!P:P)</f>
        <v>7750000</v>
      </c>
      <c r="Y21" s="113">
        <f>sumif('PAYMENT CREDIT'!E:E,W21,'PAYMENT CREDIT'!F:F)</f>
        <v>5950000</v>
      </c>
      <c r="Z21" s="113">
        <f t="shared" si="2"/>
        <v>1800000</v>
      </c>
      <c r="AC21" s="13">
        <v>1.0</v>
      </c>
      <c r="AD21" s="116" t="s">
        <v>411</v>
      </c>
      <c r="AE21" s="136" t="s">
        <v>412</v>
      </c>
      <c r="AF21" s="113">
        <f>sumif(PURCHASE!E:E,AE21,PURCHASE!N:N)</f>
        <v>13942000</v>
      </c>
      <c r="AG21" s="113">
        <f>sumif('PAYMENT SUPPLIER'!D:D,AE21,'PAYMENT SUPPLIER'!E:E)+sumifs(PURCHASE!N:N,PURCHASE!E:E,AE21,PURCHASE!M:M,"Cash")</f>
        <v>18149500</v>
      </c>
      <c r="AH21" s="113">
        <f t="shared" si="3"/>
        <v>-4207500</v>
      </c>
    </row>
    <row r="22" ht="15.0" customHeight="1">
      <c r="A22" s="49"/>
      <c r="C22" s="93" t="s">
        <v>415</v>
      </c>
      <c r="D22" s="93" t="s">
        <v>364</v>
      </c>
      <c r="F22" s="93" t="s">
        <v>416</v>
      </c>
      <c r="G22" s="93">
        <v>0.0</v>
      </c>
      <c r="H22" s="74">
        <v>2200000.0</v>
      </c>
      <c r="I22" s="96">
        <v>2050000.0</v>
      </c>
      <c r="J22" s="65" t="s">
        <v>7</v>
      </c>
      <c r="K22" s="65">
        <v>0.0</v>
      </c>
      <c r="L22" s="74">
        <v>0.0</v>
      </c>
      <c r="M22" s="93" t="s">
        <v>61</v>
      </c>
      <c r="N22" s="65">
        <f>sumif(PURCHASE!I:I,C22,PURCHASE!J:J)</f>
        <v>0</v>
      </c>
      <c r="O22" s="65">
        <f>sumif('SELLING CASH'!E:E,C22,'SELLING CASH'!F:F)</f>
        <v>0</v>
      </c>
      <c r="P22" s="65">
        <f>sumif('SELLING CREDIT'!F:F,C22,'SELLING CREDIT'!G:G)</f>
        <v>0</v>
      </c>
      <c r="Q22" s="65">
        <f t="shared" si="1"/>
        <v>0</v>
      </c>
      <c r="V22" s="110" t="s">
        <v>421</v>
      </c>
      <c r="W22" s="131" t="s">
        <v>422</v>
      </c>
      <c r="X22" s="113">
        <f>sumif('SELLING CREDIT'!E:E,W22,'SELLING CREDIT'!P:P)</f>
        <v>62285000</v>
      </c>
      <c r="Y22" s="113">
        <f>sumif('PAYMENT CREDIT'!E:E,W22,'PAYMENT CREDIT'!F:F)</f>
        <v>64055000</v>
      </c>
      <c r="Z22" s="113">
        <f t="shared" si="2"/>
        <v>-1770000</v>
      </c>
      <c r="AC22" s="13">
        <v>1.0</v>
      </c>
      <c r="AD22" s="116" t="s">
        <v>424</v>
      </c>
      <c r="AE22" s="205" t="s">
        <v>425</v>
      </c>
      <c r="AF22" s="113">
        <f>sumif(PURCHASE!E:E,AE22,PURCHASE!N:N)</f>
        <v>5000000</v>
      </c>
      <c r="AG22" s="113">
        <f>sumif('PAYMENT SUPPLIER'!D:D,AE22,'PAYMENT SUPPLIER'!E:E)+sumifs(PURCHASE!N:N,PURCHASE!E:E,AE22,PURCHASE!M:M,"Cash")</f>
        <v>5000000</v>
      </c>
      <c r="AH22" s="206">
        <f t="shared" si="3"/>
        <v>0</v>
      </c>
    </row>
    <row r="23" ht="15.0" customHeight="1">
      <c r="A23" s="49"/>
      <c r="C23" s="93" t="str">
        <f>F23&amp;" "&amp;D23&amp;" "&amp;E23</f>
        <v>Aspira  Filter Oli Avaza-Agya</v>
      </c>
      <c r="D23" s="93"/>
      <c r="E23" s="93" t="s">
        <v>427</v>
      </c>
      <c r="F23" s="93" t="s">
        <v>429</v>
      </c>
      <c r="G23" s="93">
        <v>0.0</v>
      </c>
      <c r="H23" s="74">
        <v>25000.0</v>
      </c>
      <c r="I23" s="96">
        <v>19200.0</v>
      </c>
      <c r="J23" s="93" t="s">
        <v>7</v>
      </c>
      <c r="K23" s="93">
        <v>0.0</v>
      </c>
      <c r="L23" s="74">
        <v>0.0</v>
      </c>
      <c r="M23" s="93" t="s">
        <v>431</v>
      </c>
      <c r="N23" s="65">
        <f>sumif(PURCHASE!I:I,C23,PURCHASE!J:J)</f>
        <v>20</v>
      </c>
      <c r="O23" s="65">
        <f>sumif('SELLING CASH'!E:E,C23,'SELLING CASH'!F:F)</f>
        <v>56</v>
      </c>
      <c r="P23" s="65">
        <f>sumif('SELLING CREDIT'!F:F,C23,'SELLING CREDIT'!G:G)</f>
        <v>0</v>
      </c>
      <c r="Q23" s="65">
        <f t="shared" si="1"/>
        <v>-36</v>
      </c>
      <c r="V23" s="110" t="s">
        <v>434</v>
      </c>
      <c r="W23" s="131" t="s">
        <v>249</v>
      </c>
      <c r="X23" s="113">
        <f>sumif('SELLING CREDIT'!E:E,W23,'SELLING CREDIT'!P:P)</f>
        <v>3495000</v>
      </c>
      <c r="Y23" s="113">
        <f>sumif('PAYMENT CREDIT'!E:E,W23,'PAYMENT CREDIT'!F:F)</f>
        <v>2985000</v>
      </c>
      <c r="Z23" s="113">
        <f t="shared" si="2"/>
        <v>510000</v>
      </c>
      <c r="AD23" s="116" t="s">
        <v>48</v>
      </c>
      <c r="AE23" s="208" t="s">
        <v>436</v>
      </c>
      <c r="AF23" s="113">
        <f>sumif(PURCHASE!E:E,AE23,PURCHASE!N:N)</f>
        <v>5159200</v>
      </c>
      <c r="AG23" s="113">
        <f>sumif('PAYMENT SUPPLIER'!D:D,AE23,'PAYMENT SUPPLIER'!E:E)+sumifs(PURCHASE!N:N,PURCHASE!E:E,AE23,PURCHASE!O:O,"LUNAS")</f>
        <v>3813500</v>
      </c>
      <c r="AH23" s="206">
        <f t="shared" si="3"/>
        <v>1345700</v>
      </c>
    </row>
    <row r="24" ht="15.0" customHeight="1">
      <c r="A24" s="49"/>
      <c r="C24" s="93" t="s">
        <v>437</v>
      </c>
      <c r="D24" s="93" t="s">
        <v>364</v>
      </c>
      <c r="E24" s="93" t="s">
        <v>438</v>
      </c>
      <c r="F24" s="93" t="s">
        <v>429</v>
      </c>
      <c r="G24" s="93">
        <v>0.0</v>
      </c>
      <c r="H24" s="74">
        <v>1730000.0</v>
      </c>
      <c r="I24" s="96">
        <v>1610000.0</v>
      </c>
      <c r="J24" s="65" t="s">
        <v>7</v>
      </c>
      <c r="K24" s="65">
        <v>0.0</v>
      </c>
      <c r="L24" s="74">
        <v>0.0</v>
      </c>
      <c r="M24" s="93" t="s">
        <v>61</v>
      </c>
      <c r="N24" s="65">
        <f>sumif(PURCHASE!I:I,C24,PURCHASE!J:J)</f>
        <v>2</v>
      </c>
      <c r="O24" s="65">
        <f>sumif('SELLING CASH'!E:E,C24,'SELLING CASH'!F:F)</f>
        <v>0</v>
      </c>
      <c r="P24" s="65">
        <f>sumif('SELLING CREDIT'!F:F,C24,'SELLING CREDIT'!G:G)</f>
        <v>3</v>
      </c>
      <c r="Q24" s="65">
        <f t="shared" si="1"/>
        <v>-1</v>
      </c>
      <c r="V24" s="110" t="s">
        <v>442</v>
      </c>
      <c r="W24" s="131" t="s">
        <v>443</v>
      </c>
      <c r="X24" s="113">
        <f>sumif('SELLING CREDIT'!E:E,W24,'SELLING CREDIT'!P:P)</f>
        <v>0</v>
      </c>
      <c r="Y24" s="113">
        <f>sumif('PAYMENT CREDIT'!E:E,W24,'PAYMENT CREDIT'!F:F)</f>
        <v>0</v>
      </c>
      <c r="Z24" s="113">
        <f t="shared" si="2"/>
        <v>0</v>
      </c>
      <c r="AD24" s="101"/>
      <c r="AF24" s="9"/>
      <c r="AG24" s="9"/>
      <c r="AH24" s="9"/>
    </row>
    <row r="25" ht="15.0" customHeight="1">
      <c r="A25" s="49"/>
      <c r="C25" s="93" t="s">
        <v>447</v>
      </c>
      <c r="D25" s="93" t="s">
        <v>364</v>
      </c>
      <c r="E25" s="93" t="s">
        <v>448</v>
      </c>
      <c r="F25" s="93" t="s">
        <v>429</v>
      </c>
      <c r="G25" s="93">
        <v>0.0</v>
      </c>
      <c r="H25" s="74">
        <v>1850000.0</v>
      </c>
      <c r="I25" s="96">
        <v>1725000.0</v>
      </c>
      <c r="J25" s="65" t="s">
        <v>7</v>
      </c>
      <c r="K25" s="65">
        <v>0.0</v>
      </c>
      <c r="L25" s="74">
        <v>0.0</v>
      </c>
      <c r="M25" s="93" t="s">
        <v>61</v>
      </c>
      <c r="N25" s="65">
        <f>sumif(PURCHASE!I:I,C25,PURCHASE!J:J)</f>
        <v>0</v>
      </c>
      <c r="O25" s="65">
        <f>sumif('SELLING CASH'!E:E,C25,'SELLING CASH'!F:F)</f>
        <v>1</v>
      </c>
      <c r="P25" s="65">
        <f>sumif('SELLING CREDIT'!F:F,C25,'SELLING CREDIT'!G:G)</f>
        <v>1</v>
      </c>
      <c r="Q25" s="65">
        <f t="shared" si="1"/>
        <v>-2</v>
      </c>
      <c r="V25" s="110" t="s">
        <v>453</v>
      </c>
      <c r="W25" s="131" t="s">
        <v>254</v>
      </c>
      <c r="X25" s="113">
        <f>sumif('SELLING CREDIT'!E:E,W25,'SELLING CREDIT'!P:P)</f>
        <v>70800000</v>
      </c>
      <c r="Y25" s="113">
        <f>sumif('PAYMENT CREDIT'!E:E,W25,'PAYMENT CREDIT'!F:F)</f>
        <v>68210000</v>
      </c>
      <c r="Z25" s="113">
        <f t="shared" si="2"/>
        <v>2590000</v>
      </c>
      <c r="AD25" s="101"/>
      <c r="AF25" s="9"/>
      <c r="AG25" s="9"/>
      <c r="AH25" s="9"/>
    </row>
    <row r="26" ht="15.0" customHeight="1">
      <c r="A26" s="49"/>
      <c r="C26" s="93" t="s">
        <v>299</v>
      </c>
      <c r="D26" s="93" t="s">
        <v>0</v>
      </c>
      <c r="F26" s="93" t="s">
        <v>455</v>
      </c>
      <c r="G26" s="93">
        <v>100000.0</v>
      </c>
      <c r="H26" s="74">
        <v>30000.0</v>
      </c>
      <c r="I26" s="96">
        <v>10000.0</v>
      </c>
      <c r="J26" s="65" t="s">
        <v>7</v>
      </c>
      <c r="K26" s="65">
        <v>0.0</v>
      </c>
      <c r="L26" s="74">
        <v>0.0</v>
      </c>
      <c r="M26" s="93" t="s">
        <v>431</v>
      </c>
      <c r="N26" s="65">
        <f>sumif(PURCHASE!I:I,C26,PURCHASE!J:J)</f>
        <v>205</v>
      </c>
      <c r="O26" s="65">
        <f>sumif('SELLING CASH'!E:E,C26,'SELLING CASH'!F:F)</f>
        <v>1858</v>
      </c>
      <c r="P26" s="65">
        <f>sumif('SELLING CREDIT'!F:F,C26,'SELLING CREDIT'!G:G)</f>
        <v>12</v>
      </c>
      <c r="Q26" s="65">
        <f t="shared" si="1"/>
        <v>98335</v>
      </c>
      <c r="V26" s="110" t="s">
        <v>458</v>
      </c>
      <c r="W26" s="131" t="s">
        <v>259</v>
      </c>
      <c r="X26" s="113">
        <f>sumif('SELLING CREDIT'!E:E,W26,'SELLING CREDIT'!P:P)</f>
        <v>6855000</v>
      </c>
      <c r="Y26" s="113">
        <f>sumif('PAYMENT CREDIT'!E:E,W26,'PAYMENT CREDIT'!F:F)</f>
        <v>5975000</v>
      </c>
      <c r="Z26" s="113">
        <f t="shared" si="2"/>
        <v>880000</v>
      </c>
      <c r="AD26" s="101"/>
      <c r="AF26" s="9"/>
      <c r="AG26" s="9"/>
      <c r="AH26" s="9"/>
    </row>
    <row r="27" ht="15.0" customHeight="1">
      <c r="A27" s="49"/>
      <c r="C27" s="93" t="s">
        <v>461</v>
      </c>
      <c r="D27" s="93" t="s">
        <v>462</v>
      </c>
      <c r="F27" s="93" t="s">
        <v>455</v>
      </c>
      <c r="G27" s="93">
        <v>9997344.0</v>
      </c>
      <c r="H27" s="74">
        <v>60000.0</v>
      </c>
      <c r="I27" s="96">
        <v>15000.0</v>
      </c>
      <c r="J27" s="65" t="s">
        <v>7</v>
      </c>
      <c r="K27" s="65">
        <v>0.0</v>
      </c>
      <c r="L27" s="74">
        <v>0.0</v>
      </c>
      <c r="M27" s="93" t="s">
        <v>431</v>
      </c>
      <c r="N27" s="65">
        <f>sumif(PURCHASE!I:I,C27,PURCHASE!J:J)</f>
        <v>0</v>
      </c>
      <c r="O27" s="65">
        <f>sumif('SELLING CASH'!E:E,C27,'SELLING CASH'!F:F)</f>
        <v>21</v>
      </c>
      <c r="P27" s="65">
        <f>sumif('SELLING CREDIT'!F:F,C27,'SELLING CREDIT'!G:G)</f>
        <v>4</v>
      </c>
      <c r="Q27" s="65">
        <f t="shared" si="1"/>
        <v>9997319</v>
      </c>
      <c r="V27" s="110" t="s">
        <v>464</v>
      </c>
      <c r="W27" s="131" t="s">
        <v>465</v>
      </c>
      <c r="X27" s="113">
        <f>sumif('SELLING CREDIT'!E:E,W27,'SELLING CREDIT'!P:P)</f>
        <v>10980000</v>
      </c>
      <c r="Y27" s="113">
        <f>sumif('PAYMENT CREDIT'!E:E,W27,'PAYMENT CREDIT'!F:F)</f>
        <v>10980000</v>
      </c>
      <c r="Z27" s="113">
        <f t="shared" si="2"/>
        <v>0</v>
      </c>
      <c r="AD27" s="101"/>
      <c r="AF27" s="9"/>
      <c r="AG27" s="9"/>
      <c r="AH27" s="9"/>
    </row>
    <row r="28" ht="15.0" customHeight="1">
      <c r="A28" s="49"/>
      <c r="C28" s="93" t="s">
        <v>301</v>
      </c>
      <c r="D28" s="93" t="s">
        <v>0</v>
      </c>
      <c r="F28" s="93" t="s">
        <v>301</v>
      </c>
      <c r="G28" s="93">
        <v>360.0</v>
      </c>
      <c r="H28" s="74">
        <v>250000.0</v>
      </c>
      <c r="I28" s="96">
        <v>75000.0</v>
      </c>
      <c r="J28" s="65" t="s">
        <v>7</v>
      </c>
      <c r="K28" s="65">
        <v>0.0</v>
      </c>
      <c r="L28" s="74">
        <v>75000.0</v>
      </c>
      <c r="M28" s="93" t="s">
        <v>431</v>
      </c>
      <c r="N28" s="65">
        <f>sumif(PURCHASE!I:I,C28,PURCHASE!J:J)</f>
        <v>259</v>
      </c>
      <c r="O28" s="65">
        <f>sumif('SELLING CASH'!E:E,C28,'SELLING CASH'!F:F)</f>
        <v>585</v>
      </c>
      <c r="P28" s="65">
        <f>sumif('SELLING CREDIT'!F:F,C28,'SELLING CREDIT'!G:G)</f>
        <v>2</v>
      </c>
      <c r="Q28" s="65">
        <f t="shared" si="1"/>
        <v>32</v>
      </c>
      <c r="V28" s="110" t="s">
        <v>469</v>
      </c>
      <c r="W28" s="131" t="s">
        <v>470</v>
      </c>
      <c r="X28" s="113">
        <f>sumif('SELLING CREDIT'!E:E,W28,'SELLING CREDIT'!P:P)</f>
        <v>99660000</v>
      </c>
      <c r="Y28" s="113">
        <f>sumif('PAYMENT CREDIT'!E:E,W28,'PAYMENT CREDIT'!F:F)</f>
        <v>99660000</v>
      </c>
      <c r="Z28" s="113">
        <f t="shared" si="2"/>
        <v>0</v>
      </c>
      <c r="AD28" s="101"/>
      <c r="AF28" s="9"/>
      <c r="AG28" s="9"/>
      <c r="AH28" s="9"/>
    </row>
    <row r="29" ht="15.0" customHeight="1">
      <c r="A29" s="49"/>
      <c r="C29" s="93" t="s">
        <v>473</v>
      </c>
      <c r="D29" s="93" t="s">
        <v>0</v>
      </c>
      <c r="F29" s="93" t="s">
        <v>473</v>
      </c>
      <c r="G29" s="93">
        <v>999285.0</v>
      </c>
      <c r="H29" s="74">
        <v>250000.0</v>
      </c>
      <c r="I29" s="96">
        <v>75000.0</v>
      </c>
      <c r="J29" s="65" t="s">
        <v>7</v>
      </c>
      <c r="K29" s="65">
        <v>0.0</v>
      </c>
      <c r="L29" s="74">
        <v>75000.0</v>
      </c>
      <c r="M29" s="93" t="s">
        <v>431</v>
      </c>
      <c r="N29" s="65">
        <f>sumif(PURCHASE!I:I,C29,PURCHASE!J:J)</f>
        <v>0</v>
      </c>
      <c r="O29" s="65">
        <f>sumif('SELLING CASH'!E:E,C29,'SELLING CASH'!F:F)</f>
        <v>0</v>
      </c>
      <c r="P29" s="65">
        <f>sumif('SELLING CREDIT'!F:F,C29,'SELLING CREDIT'!G:G)</f>
        <v>0</v>
      </c>
      <c r="Q29" s="65">
        <f t="shared" si="1"/>
        <v>999285</v>
      </c>
      <c r="V29" s="110" t="s">
        <v>475</v>
      </c>
      <c r="W29" s="131" t="s">
        <v>476</v>
      </c>
      <c r="X29" s="113">
        <f>sumif('SELLING CREDIT'!E:E,W29,'SELLING CREDIT'!P:P)</f>
        <v>2010000</v>
      </c>
      <c r="Y29" s="113">
        <f>sumif('PAYMENT CREDIT'!E:E,W29,'PAYMENT CREDIT'!F:F)</f>
        <v>2010000</v>
      </c>
      <c r="Z29" s="113">
        <f t="shared" si="2"/>
        <v>0</v>
      </c>
      <c r="AD29" s="101"/>
      <c r="AF29" s="9"/>
      <c r="AG29" s="9"/>
      <c r="AH29" s="9"/>
    </row>
    <row r="30" ht="15.0" customHeight="1">
      <c r="A30" s="49"/>
      <c r="C30" s="93" t="s">
        <v>478</v>
      </c>
      <c r="D30" s="93" t="s">
        <v>0</v>
      </c>
      <c r="F30" s="93" t="s">
        <v>478</v>
      </c>
      <c r="G30" s="93">
        <v>10000.0</v>
      </c>
      <c r="H30" s="74">
        <v>200000.0</v>
      </c>
      <c r="I30" s="96">
        <v>75000.0</v>
      </c>
      <c r="J30" s="65" t="s">
        <v>7</v>
      </c>
      <c r="K30" s="65">
        <v>0.0</v>
      </c>
      <c r="L30" s="74">
        <v>25000.0</v>
      </c>
      <c r="M30" s="93" t="s">
        <v>431</v>
      </c>
      <c r="N30" s="65">
        <f>sumif(PURCHASE!I:I,C30,PURCHASE!J:J)</f>
        <v>0</v>
      </c>
      <c r="O30" s="65">
        <f>sumif('SELLING CASH'!E:E,C30,'SELLING CASH'!F:F)</f>
        <v>156</v>
      </c>
      <c r="P30" s="65">
        <f>sumif('SELLING CREDIT'!F:F,C30,'SELLING CREDIT'!G:G)</f>
        <v>1</v>
      </c>
      <c r="Q30" s="65">
        <f t="shared" si="1"/>
        <v>9843</v>
      </c>
      <c r="V30" s="110" t="s">
        <v>480</v>
      </c>
      <c r="W30" s="131" t="s">
        <v>264</v>
      </c>
      <c r="X30" s="113">
        <f>sumif('SELLING CREDIT'!E:E,W30,'SELLING CREDIT'!P:P)</f>
        <v>77200000</v>
      </c>
      <c r="Y30" s="113">
        <f>sumif('PAYMENT CREDIT'!E:E,W30,'PAYMENT CREDIT'!F:F)</f>
        <v>68980000</v>
      </c>
      <c r="Z30" s="113">
        <f t="shared" si="2"/>
        <v>8220000</v>
      </c>
      <c r="AD30" s="101"/>
      <c r="AF30" s="9"/>
      <c r="AG30" s="9"/>
      <c r="AH30" s="9"/>
    </row>
    <row r="31" ht="15.0" customHeight="1">
      <c r="A31" s="49"/>
      <c r="C31" s="93" t="s">
        <v>483</v>
      </c>
      <c r="D31" s="93" t="s">
        <v>0</v>
      </c>
      <c r="F31" s="93" t="s">
        <v>484</v>
      </c>
      <c r="G31" s="93">
        <v>0.0</v>
      </c>
      <c r="H31" s="74">
        <v>15000.0</v>
      </c>
      <c r="I31" s="96">
        <v>10000.0</v>
      </c>
      <c r="J31" s="65" t="s">
        <v>87</v>
      </c>
      <c r="K31" s="65">
        <v>0.0</v>
      </c>
      <c r="L31" s="74">
        <v>0.0</v>
      </c>
      <c r="M31" s="93" t="s">
        <v>431</v>
      </c>
      <c r="N31" s="65">
        <f>sumif(PURCHASE!I:I,C31,PURCHASE!J:J)</f>
        <v>0</v>
      </c>
      <c r="O31" s="65">
        <f>sumif('SELLING CASH'!E:E,C31,'SELLING CASH'!F:F)</f>
        <v>49</v>
      </c>
      <c r="P31" s="65">
        <f>sumif('SELLING CREDIT'!F:F,C31,'SELLING CREDIT'!G:G)</f>
        <v>0</v>
      </c>
      <c r="Q31" s="65">
        <f t="shared" si="1"/>
        <v>-49</v>
      </c>
      <c r="V31" s="110" t="s">
        <v>485</v>
      </c>
      <c r="W31" s="131" t="s">
        <v>486</v>
      </c>
      <c r="X31" s="113">
        <f>sumif('SELLING CREDIT'!E:E,W31,'SELLING CREDIT'!P:P)</f>
        <v>4300000</v>
      </c>
      <c r="Y31" s="113">
        <f>sumif('PAYMENT CREDIT'!E:E,W31,'PAYMENT CREDIT'!F:F)</f>
        <v>4300000</v>
      </c>
      <c r="Z31" s="113">
        <f t="shared" si="2"/>
        <v>0</v>
      </c>
      <c r="AD31" s="101"/>
      <c r="AF31" s="9"/>
      <c r="AG31" s="9"/>
      <c r="AH31" s="9"/>
    </row>
    <row r="32" ht="15.0" customHeight="1">
      <c r="A32" s="49"/>
      <c r="C32" s="93" t="s">
        <v>487</v>
      </c>
      <c r="D32" s="93">
        <v>1000.0</v>
      </c>
      <c r="E32" s="93" t="s">
        <v>488</v>
      </c>
      <c r="F32" s="93" t="s">
        <v>489</v>
      </c>
      <c r="G32" s="93">
        <v>2.0</v>
      </c>
      <c r="H32" s="74">
        <v>600000.0</v>
      </c>
      <c r="I32" s="96">
        <v>535000.0</v>
      </c>
      <c r="J32" s="65" t="s">
        <v>87</v>
      </c>
      <c r="K32" s="65">
        <v>1.0</v>
      </c>
      <c r="L32" s="74">
        <v>0.0</v>
      </c>
      <c r="M32" s="93" t="s">
        <v>61</v>
      </c>
      <c r="N32" s="65">
        <f>sumif(PURCHASE!I:I,C32,PURCHASE!J:J)</f>
        <v>0</v>
      </c>
      <c r="O32" s="65">
        <f>sumif('SELLING CASH'!E:E,C32,'SELLING CASH'!F:F)</f>
        <v>3</v>
      </c>
      <c r="P32" s="65">
        <f>sumif('SELLING CREDIT'!F:F,C32,'SELLING CREDIT'!G:G)</f>
        <v>0</v>
      </c>
      <c r="Q32" s="65">
        <f t="shared" si="1"/>
        <v>-1</v>
      </c>
      <c r="V32" s="110" t="s">
        <v>490</v>
      </c>
      <c r="W32" s="131" t="s">
        <v>491</v>
      </c>
      <c r="X32" s="113">
        <f>sumif('SELLING CREDIT'!E:E,W32,'SELLING CREDIT'!P:P)</f>
        <v>0</v>
      </c>
      <c r="Y32" s="113">
        <f>sumif('PAYMENT CREDIT'!E:E,W32,'PAYMENT CREDIT'!F:F)</f>
        <v>0</v>
      </c>
      <c r="Z32" s="113">
        <f t="shared" si="2"/>
        <v>0</v>
      </c>
      <c r="AD32" s="101"/>
      <c r="AF32" s="9"/>
      <c r="AG32" s="9"/>
      <c r="AH32" s="9"/>
    </row>
    <row r="33" ht="15.0" customHeight="1">
      <c r="A33" s="49"/>
      <c r="C33" s="93" t="s">
        <v>492</v>
      </c>
      <c r="D33" s="93">
        <v>1000.0</v>
      </c>
      <c r="E33" s="93" t="s">
        <v>493</v>
      </c>
      <c r="F33" s="93" t="s">
        <v>489</v>
      </c>
      <c r="G33" s="93">
        <v>0.0</v>
      </c>
      <c r="H33" s="74">
        <v>460000.0</v>
      </c>
      <c r="I33" s="96">
        <v>405000.0</v>
      </c>
      <c r="J33" s="65" t="s">
        <v>7</v>
      </c>
      <c r="K33" s="65">
        <v>1.0</v>
      </c>
      <c r="L33" s="74">
        <v>0.0</v>
      </c>
      <c r="M33" s="93" t="s">
        <v>61</v>
      </c>
      <c r="N33" s="65">
        <f>sumif(PURCHASE!I:I,C33,PURCHASE!J:J)</f>
        <v>2</v>
      </c>
      <c r="O33" s="65">
        <f>sumif('SELLING CASH'!E:E,C33,'SELLING CASH'!F:F)</f>
        <v>0</v>
      </c>
      <c r="P33" s="65">
        <f>sumif('SELLING CREDIT'!F:F,C33,'SELLING CREDIT'!G:G)</f>
        <v>2</v>
      </c>
      <c r="Q33" s="65">
        <f t="shared" si="1"/>
        <v>0</v>
      </c>
      <c r="V33" s="110" t="s">
        <v>497</v>
      </c>
      <c r="W33" s="131" t="s">
        <v>498</v>
      </c>
      <c r="X33" s="113">
        <f>sumif('SELLING CREDIT'!E:E,W33,'SELLING CREDIT'!P:P)</f>
        <v>0</v>
      </c>
      <c r="Y33" s="113">
        <f>sumif('PAYMENT CREDIT'!E:E,W33,'PAYMENT CREDIT'!F:F)</f>
        <v>0</v>
      </c>
      <c r="Z33" s="113">
        <f t="shared" si="2"/>
        <v>0</v>
      </c>
      <c r="AD33" s="101"/>
      <c r="AF33" s="9"/>
      <c r="AG33" s="9"/>
      <c r="AH33" s="9"/>
    </row>
    <row r="34" ht="15.0" customHeight="1">
      <c r="A34" s="49"/>
      <c r="C34" s="93" t="s">
        <v>508</v>
      </c>
      <c r="D34" s="93" t="s">
        <v>509</v>
      </c>
      <c r="F34" s="93" t="s">
        <v>489</v>
      </c>
      <c r="G34" s="93">
        <v>0.0</v>
      </c>
      <c r="H34" s="74">
        <v>0.0</v>
      </c>
      <c r="I34" s="96">
        <v>0.0</v>
      </c>
      <c r="J34" s="65" t="s">
        <v>7</v>
      </c>
      <c r="K34" s="65">
        <v>1.0</v>
      </c>
      <c r="L34" s="74">
        <v>0.0</v>
      </c>
      <c r="M34" s="93" t="s">
        <v>61</v>
      </c>
      <c r="N34" s="65">
        <f>sumif(PURCHASE!I:I,C34,PURCHASE!J:J)</f>
        <v>0</v>
      </c>
      <c r="O34" s="65">
        <f>sumif('SELLING CASH'!E:E,C34,'SELLING CASH'!F:F)</f>
        <v>0</v>
      </c>
      <c r="P34" s="65">
        <f>sumif('SELLING CREDIT'!F:F,C34,'SELLING CREDIT'!G:G)</f>
        <v>2</v>
      </c>
      <c r="Q34" s="65">
        <f t="shared" si="1"/>
        <v>-2</v>
      </c>
      <c r="V34" s="110" t="s">
        <v>514</v>
      </c>
      <c r="W34" s="111" t="s">
        <v>515</v>
      </c>
      <c r="X34" s="113">
        <f>sumif('SELLING CREDIT'!E:E,W34,'SELLING CREDIT'!P:P)</f>
        <v>18550000</v>
      </c>
      <c r="Y34" s="113">
        <f>sumif('PAYMENT CREDIT'!E:E,W34,'PAYMENT CREDIT'!F:F)</f>
        <v>18550000</v>
      </c>
      <c r="Z34" s="113">
        <f t="shared" si="2"/>
        <v>0</v>
      </c>
      <c r="AD34" s="101"/>
      <c r="AF34" s="9"/>
      <c r="AG34" s="9"/>
      <c r="AH34" s="9"/>
    </row>
    <row r="35" ht="15.0" customHeight="1">
      <c r="A35" s="49"/>
      <c r="C35" s="93" t="s">
        <v>522</v>
      </c>
      <c r="D35" s="93">
        <v>12.0</v>
      </c>
      <c r="E35" s="93" t="s">
        <v>429</v>
      </c>
      <c r="F35" s="93" t="s">
        <v>489</v>
      </c>
      <c r="G35" s="93">
        <v>3.0</v>
      </c>
      <c r="H35" s="74">
        <v>100000.0</v>
      </c>
      <c r="I35" s="96">
        <v>51000.0</v>
      </c>
      <c r="J35" s="65" t="s">
        <v>7</v>
      </c>
      <c r="K35" s="65">
        <v>1.0</v>
      </c>
      <c r="L35" s="74">
        <v>0.0</v>
      </c>
      <c r="M35" s="93" t="s">
        <v>61</v>
      </c>
      <c r="N35" s="65">
        <f>sumif(PURCHASE!I:I,C35,PURCHASE!J:J)</f>
        <v>0</v>
      </c>
      <c r="O35" s="65">
        <f>sumif('SELLING CASH'!E:E,C35,'SELLING CASH'!F:F)</f>
        <v>0</v>
      </c>
      <c r="P35" s="65">
        <f>sumif('SELLING CREDIT'!F:F,C35,'SELLING CREDIT'!G:G)</f>
        <v>0</v>
      </c>
      <c r="Q35" s="65">
        <f t="shared" si="1"/>
        <v>3</v>
      </c>
      <c r="R35" s="2"/>
      <c r="U35" s="2"/>
      <c r="V35" s="110" t="s">
        <v>526</v>
      </c>
      <c r="W35" s="131" t="s">
        <v>528</v>
      </c>
      <c r="X35" s="113">
        <f>sumif('SELLING CREDIT'!E:E,W35,'SELLING CREDIT'!P:P)</f>
        <v>3250000</v>
      </c>
      <c r="Y35" s="113">
        <f>sumif('PAYMENT CREDIT'!E:E,W35,'PAYMENT CREDIT'!F:F)</f>
        <v>3250000</v>
      </c>
      <c r="Z35" s="113">
        <f t="shared" si="2"/>
        <v>0</v>
      </c>
      <c r="AD35" s="101"/>
      <c r="AF35" s="9"/>
      <c r="AG35" s="9"/>
      <c r="AH35" s="9"/>
    </row>
    <row r="36" ht="15.0" customHeight="1">
      <c r="A36" s="49"/>
      <c r="C36" s="93" t="s">
        <v>531</v>
      </c>
      <c r="D36" s="93">
        <v>12.0</v>
      </c>
      <c r="E36" s="93" t="s">
        <v>532</v>
      </c>
      <c r="F36" s="93" t="s">
        <v>489</v>
      </c>
      <c r="G36" s="93">
        <v>13.0</v>
      </c>
      <c r="H36" s="74">
        <v>100000.0</v>
      </c>
      <c r="I36" s="96">
        <v>47000.0</v>
      </c>
      <c r="J36" s="65" t="s">
        <v>7</v>
      </c>
      <c r="K36" s="65">
        <v>1.0</v>
      </c>
      <c r="L36" s="74">
        <v>0.0</v>
      </c>
      <c r="M36" s="93" t="s">
        <v>61</v>
      </c>
      <c r="N36" s="65">
        <f>sumif(PURCHASE!I:I,C36,PURCHASE!J:J)</f>
        <v>0</v>
      </c>
      <c r="O36" s="65">
        <f>sumif('SELLING CASH'!E:E,C36,'SELLING CASH'!F:F)</f>
        <v>18</v>
      </c>
      <c r="P36" s="65">
        <f>sumif('SELLING CREDIT'!F:F,C36,'SELLING CREDIT'!G:G)</f>
        <v>0</v>
      </c>
      <c r="Q36" s="65">
        <f t="shared" si="1"/>
        <v>-5</v>
      </c>
      <c r="V36" s="110" t="s">
        <v>535</v>
      </c>
      <c r="W36" s="131" t="s">
        <v>536</v>
      </c>
      <c r="X36" s="113">
        <f>sumif('SELLING CREDIT'!E:E,W36,'SELLING CREDIT'!P:P)</f>
        <v>28610000</v>
      </c>
      <c r="Y36" s="113">
        <f>sumif('PAYMENT CREDIT'!E:E,W36,'PAYMENT CREDIT'!F:F)</f>
        <v>33010000</v>
      </c>
      <c r="Z36" s="113">
        <f t="shared" si="2"/>
        <v>-4400000</v>
      </c>
      <c r="AD36" s="101"/>
      <c r="AF36" s="9"/>
      <c r="AG36" s="9"/>
      <c r="AH36" s="9"/>
    </row>
    <row r="37" ht="15.0" customHeight="1">
      <c r="A37" s="49"/>
      <c r="C37" s="93" t="s">
        <v>538</v>
      </c>
      <c r="D37" s="93">
        <v>13.0</v>
      </c>
      <c r="E37" s="93" t="s">
        <v>429</v>
      </c>
      <c r="F37" s="93" t="s">
        <v>489</v>
      </c>
      <c r="G37" s="93">
        <v>0.0</v>
      </c>
      <c r="H37" s="74">
        <v>90000.0</v>
      </c>
      <c r="I37" s="96">
        <v>57000.0</v>
      </c>
      <c r="J37" s="65" t="s">
        <v>7</v>
      </c>
      <c r="K37" s="65">
        <v>1.0</v>
      </c>
      <c r="L37" s="74">
        <v>0.0</v>
      </c>
      <c r="M37" s="93" t="s">
        <v>61</v>
      </c>
      <c r="N37" s="65">
        <f>sumif(PURCHASE!I:I,C37,PURCHASE!J:J)</f>
        <v>0</v>
      </c>
      <c r="O37" s="65">
        <f>sumif('SELLING CASH'!E:E,C37,'SELLING CASH'!F:F)</f>
        <v>0</v>
      </c>
      <c r="P37" s="65">
        <f>sumif('SELLING CREDIT'!F:F,C37,'SELLING CREDIT'!G:G)</f>
        <v>0</v>
      </c>
      <c r="Q37" s="65">
        <f t="shared" si="1"/>
        <v>0</v>
      </c>
      <c r="V37" s="110" t="s">
        <v>542</v>
      </c>
      <c r="W37" s="131" t="s">
        <v>544</v>
      </c>
      <c r="X37" s="113">
        <f>sumif('SELLING CREDIT'!E:E,W37,'SELLING CREDIT'!P:P)</f>
        <v>19790000</v>
      </c>
      <c r="Y37" s="113">
        <f>sumif('PAYMENT CREDIT'!E:E,W37,'PAYMENT CREDIT'!F:F)</f>
        <v>15040000</v>
      </c>
      <c r="Z37" s="113">
        <f t="shared" si="2"/>
        <v>4750000</v>
      </c>
      <c r="AD37" s="101"/>
      <c r="AF37" s="9"/>
      <c r="AG37" s="9"/>
      <c r="AH37" s="9"/>
    </row>
    <row r="38" ht="15.0" customHeight="1">
      <c r="A38" s="49"/>
      <c r="C38" s="93" t="s">
        <v>546</v>
      </c>
      <c r="D38" s="93">
        <v>13.0</v>
      </c>
      <c r="E38" s="93" t="s">
        <v>547</v>
      </c>
      <c r="F38" s="93" t="s">
        <v>489</v>
      </c>
      <c r="G38" s="93">
        <v>0.0</v>
      </c>
      <c r="H38" s="74">
        <v>120000.0</v>
      </c>
      <c r="I38" s="96">
        <v>72000.0</v>
      </c>
      <c r="J38" s="65" t="s">
        <v>7</v>
      </c>
      <c r="K38" s="65">
        <v>1.0</v>
      </c>
      <c r="L38" s="74">
        <v>0.0</v>
      </c>
      <c r="M38" s="93" t="s">
        <v>61</v>
      </c>
      <c r="N38" s="65">
        <f>sumif(PURCHASE!I:I,C38,PURCHASE!J:J)</f>
        <v>0</v>
      </c>
      <c r="O38" s="65">
        <f>sumif('SELLING CASH'!E:E,C38,'SELLING CASH'!F:F)</f>
        <v>0</v>
      </c>
      <c r="P38" s="65">
        <f>sumif('SELLING CREDIT'!F:F,C38,'SELLING CREDIT'!G:G)</f>
        <v>0</v>
      </c>
      <c r="Q38" s="65">
        <f t="shared" si="1"/>
        <v>0</v>
      </c>
      <c r="V38" s="110" t="s">
        <v>553</v>
      </c>
      <c r="W38" s="113" t="s">
        <v>555</v>
      </c>
      <c r="X38" s="113">
        <f>sumif('SELLING CREDIT'!E:E,W38,'SELLING CREDIT'!P:P)</f>
        <v>35270000</v>
      </c>
      <c r="Y38" s="113">
        <f>sumif('PAYMENT CREDIT'!E:E,W38,'PAYMENT CREDIT'!F:F)</f>
        <v>35270000</v>
      </c>
      <c r="Z38" s="113">
        <f t="shared" si="2"/>
        <v>0</v>
      </c>
      <c r="AD38" s="101"/>
      <c r="AF38" s="9"/>
      <c r="AG38" s="9"/>
      <c r="AH38" s="9"/>
    </row>
    <row r="39" ht="15.0" customHeight="1">
      <c r="A39" s="49"/>
      <c r="C39" s="93" t="s">
        <v>250</v>
      </c>
      <c r="D39" s="93">
        <v>13.0</v>
      </c>
      <c r="E39" s="93" t="s">
        <v>493</v>
      </c>
      <c r="F39" s="93" t="s">
        <v>489</v>
      </c>
      <c r="G39" s="93">
        <v>10.0</v>
      </c>
      <c r="H39" s="74">
        <v>135000.0</v>
      </c>
      <c r="I39" s="96">
        <v>102000.0</v>
      </c>
      <c r="J39" s="65" t="s">
        <v>7</v>
      </c>
      <c r="K39" s="65">
        <v>1.0</v>
      </c>
      <c r="L39" s="74">
        <v>0.0</v>
      </c>
      <c r="M39" s="93" t="s">
        <v>61</v>
      </c>
      <c r="N39" s="65">
        <f>sumif(PURCHASE!I:I,C39,PURCHASE!J:J)</f>
        <v>125</v>
      </c>
      <c r="O39" s="65">
        <f>sumif('SELLING CASH'!E:E,C39,'SELLING CASH'!F:F)</f>
        <v>122</v>
      </c>
      <c r="P39" s="65">
        <f>sumif('SELLING CREDIT'!F:F,C39,'SELLING CREDIT'!G:G)</f>
        <v>2</v>
      </c>
      <c r="Q39" s="65">
        <f t="shared" si="1"/>
        <v>11</v>
      </c>
      <c r="V39" s="110" t="s">
        <v>564</v>
      </c>
      <c r="W39" s="131" t="s">
        <v>565</v>
      </c>
      <c r="X39" s="113">
        <f>sumif('SELLING CREDIT'!E:E,W39,'SELLING CREDIT'!P:P)</f>
        <v>0</v>
      </c>
      <c r="Y39" s="113">
        <f>sumif('PAYMENT CREDIT'!E:E,W39,'PAYMENT CREDIT'!F:F)</f>
        <v>0</v>
      </c>
      <c r="Z39" s="113">
        <f t="shared" si="2"/>
        <v>0</v>
      </c>
      <c r="AD39" s="101"/>
      <c r="AF39" s="9"/>
      <c r="AG39" s="9"/>
      <c r="AH39" s="9"/>
    </row>
    <row r="40" ht="15.0" customHeight="1">
      <c r="A40" s="49"/>
      <c r="C40" s="93" t="s">
        <v>569</v>
      </c>
      <c r="D40" s="93">
        <v>13.0</v>
      </c>
      <c r="E40" s="93" t="s">
        <v>570</v>
      </c>
      <c r="F40" s="93" t="s">
        <v>489</v>
      </c>
      <c r="G40" s="93">
        <v>3.0</v>
      </c>
      <c r="H40" s="140">
        <v>85000.0</v>
      </c>
      <c r="I40" s="96">
        <v>45439.582</v>
      </c>
      <c r="J40" s="65" t="s">
        <v>7</v>
      </c>
      <c r="K40" s="65">
        <v>1.0</v>
      </c>
      <c r="L40" s="74">
        <v>0.0</v>
      </c>
      <c r="M40" s="93" t="s">
        <v>61</v>
      </c>
      <c r="N40" s="65">
        <f>sumif(PURCHASE!I:I,C40,PURCHASE!J:J)</f>
        <v>255</v>
      </c>
      <c r="O40" s="65">
        <f>sumif('SELLING CASH'!E:E,C40,'SELLING CASH'!F:F)</f>
        <v>229</v>
      </c>
      <c r="P40" s="65">
        <f>sumif('SELLING CREDIT'!F:F,C40,'SELLING CREDIT'!G:G)</f>
        <v>1</v>
      </c>
      <c r="Q40" s="65">
        <f t="shared" si="1"/>
        <v>28</v>
      </c>
      <c r="V40" s="110" t="s">
        <v>571</v>
      </c>
      <c r="W40" s="131" t="s">
        <v>573</v>
      </c>
      <c r="X40" s="113">
        <f>sumif('SELLING CREDIT'!E:E,W40,'SELLING CREDIT'!P:P)</f>
        <v>11200000</v>
      </c>
      <c r="Y40" s="113">
        <f>sumif('PAYMENT CREDIT'!E:E,W40,'PAYMENT CREDIT'!F:F)</f>
        <v>11200000</v>
      </c>
      <c r="Z40" s="113">
        <f t="shared" si="2"/>
        <v>0</v>
      </c>
      <c r="AD40" s="101"/>
      <c r="AF40" s="9"/>
      <c r="AG40" s="9"/>
      <c r="AH40" s="9"/>
    </row>
    <row r="41" ht="15.0" customHeight="1">
      <c r="A41" s="49"/>
      <c r="C41" s="93" t="s">
        <v>577</v>
      </c>
      <c r="D41" s="93">
        <v>13.0</v>
      </c>
      <c r="E41" s="93" t="s">
        <v>532</v>
      </c>
      <c r="F41" s="93" t="s">
        <v>489</v>
      </c>
      <c r="G41" s="93">
        <v>32.0</v>
      </c>
      <c r="H41" s="74">
        <v>110000.0</v>
      </c>
      <c r="I41" s="96">
        <v>50000.0</v>
      </c>
      <c r="J41" s="65" t="s">
        <v>7</v>
      </c>
      <c r="K41" s="65">
        <v>1.0</v>
      </c>
      <c r="L41" s="74">
        <v>0.0</v>
      </c>
      <c r="M41" s="93" t="s">
        <v>61</v>
      </c>
      <c r="N41" s="65">
        <f>sumif(PURCHASE!I:I,C41,PURCHASE!J:J)</f>
        <v>0</v>
      </c>
      <c r="O41" s="65">
        <f>sumif('SELLING CASH'!E:E,C41,'SELLING CASH'!F:F)</f>
        <v>0</v>
      </c>
      <c r="P41" s="65">
        <f>sumif('SELLING CREDIT'!F:F,C41,'SELLING CREDIT'!G:G)</f>
        <v>0</v>
      </c>
      <c r="Q41" s="65">
        <f t="shared" si="1"/>
        <v>32</v>
      </c>
      <c r="V41" s="110" t="s">
        <v>582</v>
      </c>
      <c r="W41" s="131" t="s">
        <v>583</v>
      </c>
      <c r="X41" s="113">
        <f>sumif('SELLING CREDIT'!E:E,W41,'SELLING CREDIT'!P:P)</f>
        <v>18510000</v>
      </c>
      <c r="Y41" s="113">
        <f>sumif('PAYMENT CREDIT'!E:E,W41,'PAYMENT CREDIT'!F:F)</f>
        <v>17380000</v>
      </c>
      <c r="Z41" s="113">
        <f t="shared" si="2"/>
        <v>1130000</v>
      </c>
      <c r="AD41" s="101"/>
      <c r="AF41" s="9"/>
      <c r="AG41" s="9"/>
      <c r="AH41" s="9"/>
    </row>
    <row r="42" ht="15.0" customHeight="1">
      <c r="A42" s="49"/>
      <c r="C42" s="93" t="s">
        <v>585</v>
      </c>
      <c r="D42" s="93">
        <v>13.0</v>
      </c>
      <c r="E42" s="93" t="s">
        <v>587</v>
      </c>
      <c r="F42" s="93" t="s">
        <v>489</v>
      </c>
      <c r="G42" s="93">
        <v>2.0</v>
      </c>
      <c r="H42" s="74">
        <v>120000.0</v>
      </c>
      <c r="I42" s="96">
        <v>61600.0</v>
      </c>
      <c r="J42" s="65" t="s">
        <v>7</v>
      </c>
      <c r="K42" s="65">
        <v>1.0</v>
      </c>
      <c r="L42" s="74">
        <v>0.0</v>
      </c>
      <c r="M42" s="93" t="s">
        <v>61</v>
      </c>
      <c r="N42" s="65">
        <f>sumif(PURCHASE!I:I,C42,PURCHASE!J:J)</f>
        <v>0</v>
      </c>
      <c r="O42" s="65">
        <f>sumif('SELLING CASH'!E:E,C42,'SELLING CASH'!F:F)</f>
        <v>12</v>
      </c>
      <c r="P42" s="65">
        <f>sumif('SELLING CREDIT'!F:F,C42,'SELLING CREDIT'!G:G)</f>
        <v>0</v>
      </c>
      <c r="Q42" s="65">
        <f t="shared" si="1"/>
        <v>-10</v>
      </c>
      <c r="V42" s="110" t="s">
        <v>593</v>
      </c>
      <c r="W42" s="131" t="s">
        <v>595</v>
      </c>
      <c r="X42" s="113">
        <f>sumif('SELLING CREDIT'!E:E,W42,'SELLING CREDIT'!P:P)</f>
        <v>111690000</v>
      </c>
      <c r="Y42" s="113">
        <f>sumif('PAYMENT CREDIT'!E:E,W42,'PAYMENT CREDIT'!F:F)</f>
        <v>110830000</v>
      </c>
      <c r="Z42" s="113">
        <f t="shared" si="2"/>
        <v>860000</v>
      </c>
      <c r="AD42" s="101"/>
      <c r="AF42" s="9"/>
      <c r="AG42" s="9"/>
      <c r="AH42" s="9"/>
    </row>
    <row r="43" ht="15.0" customHeight="1">
      <c r="A43" s="49"/>
      <c r="C43" s="93" t="s">
        <v>597</v>
      </c>
      <c r="D43" s="93">
        <v>14.0</v>
      </c>
      <c r="E43" s="93" t="s">
        <v>429</v>
      </c>
      <c r="F43" s="93" t="s">
        <v>489</v>
      </c>
      <c r="G43" s="93">
        <v>2.0</v>
      </c>
      <c r="H43" s="74">
        <v>135000.0</v>
      </c>
      <c r="I43" s="96">
        <v>83000.0</v>
      </c>
      <c r="J43" s="65" t="s">
        <v>7</v>
      </c>
      <c r="K43" s="65">
        <v>1.0</v>
      </c>
      <c r="L43" s="74">
        <v>0.0</v>
      </c>
      <c r="M43" s="93" t="s">
        <v>61</v>
      </c>
      <c r="N43" s="65">
        <f>sumif(PURCHASE!I:I,C43,PURCHASE!J:J)</f>
        <v>0</v>
      </c>
      <c r="O43" s="65">
        <f>sumif('SELLING CASH'!E:E,C43,'SELLING CASH'!F:F)</f>
        <v>2</v>
      </c>
      <c r="P43" s="65">
        <f>sumif('SELLING CREDIT'!F:F,C43,'SELLING CREDIT'!G:G)</f>
        <v>0</v>
      </c>
      <c r="Q43" s="65">
        <f t="shared" si="1"/>
        <v>0</v>
      </c>
      <c r="V43" s="110" t="s">
        <v>602</v>
      </c>
      <c r="W43" s="131" t="s">
        <v>603</v>
      </c>
      <c r="X43" s="113">
        <f>sumif('SELLING CREDIT'!E:E,W43,'SELLING CREDIT'!P:P)</f>
        <v>0</v>
      </c>
      <c r="Y43" s="113">
        <f>sumif('PAYMENT CREDIT'!E:E,W43,'PAYMENT CREDIT'!F:F)</f>
        <v>0</v>
      </c>
      <c r="Z43" s="113">
        <f t="shared" si="2"/>
        <v>0</v>
      </c>
      <c r="AD43" s="101"/>
      <c r="AF43" s="9"/>
      <c r="AG43" s="9"/>
      <c r="AH43" s="9"/>
    </row>
    <row r="44" ht="15.0" customHeight="1">
      <c r="A44" s="49"/>
      <c r="C44" s="93" t="s">
        <v>604</v>
      </c>
      <c r="D44" s="93">
        <v>14.0</v>
      </c>
      <c r="E44" s="93" t="s">
        <v>493</v>
      </c>
      <c r="F44" s="93" t="s">
        <v>489</v>
      </c>
      <c r="G44" s="93">
        <v>17.0</v>
      </c>
      <c r="H44" s="74">
        <v>170000.0</v>
      </c>
      <c r="I44" s="96">
        <v>124000.0</v>
      </c>
      <c r="J44" s="65" t="s">
        <v>7</v>
      </c>
      <c r="K44" s="65">
        <v>1.0</v>
      </c>
      <c r="L44" s="74">
        <v>0.0</v>
      </c>
      <c r="M44" s="93" t="s">
        <v>61</v>
      </c>
      <c r="N44" s="65">
        <f>sumif(PURCHASE!I:I,C44,PURCHASE!J:J)</f>
        <v>100</v>
      </c>
      <c r="O44" s="65">
        <f>sumif('SELLING CASH'!E:E,C44,'SELLING CASH'!F:F)</f>
        <v>87</v>
      </c>
      <c r="P44" s="65">
        <f>sumif('SELLING CREDIT'!F:F,C44,'SELLING CREDIT'!G:G)</f>
        <v>6</v>
      </c>
      <c r="Q44" s="65">
        <f t="shared" si="1"/>
        <v>24</v>
      </c>
      <c r="V44" s="110" t="s">
        <v>609</v>
      </c>
      <c r="W44" s="131" t="s">
        <v>610</v>
      </c>
      <c r="X44" s="113">
        <f>sumif('SELLING CREDIT'!E:E,W44,'SELLING CREDIT'!P:P)</f>
        <v>30960000</v>
      </c>
      <c r="Y44" s="113">
        <f>sumif('PAYMENT CREDIT'!E:E,W44,'PAYMENT CREDIT'!F:F)</f>
        <v>29760000</v>
      </c>
      <c r="Z44" s="113">
        <f t="shared" si="2"/>
        <v>1200000</v>
      </c>
      <c r="AD44" s="101"/>
      <c r="AF44" s="9"/>
      <c r="AG44" s="9"/>
      <c r="AH44" s="9"/>
    </row>
    <row r="45" ht="15.0" customHeight="1">
      <c r="A45" s="49"/>
      <c r="C45" s="93" t="s">
        <v>613</v>
      </c>
      <c r="D45" s="93">
        <v>14.0</v>
      </c>
      <c r="E45" s="93" t="s">
        <v>570</v>
      </c>
      <c r="F45" s="93" t="s">
        <v>489</v>
      </c>
      <c r="G45" s="93">
        <v>26.0</v>
      </c>
      <c r="H45" s="74">
        <v>100000.0</v>
      </c>
      <c r="I45" s="96">
        <v>58371.2695</v>
      </c>
      <c r="J45" s="65" t="s">
        <v>7</v>
      </c>
      <c r="K45" s="65">
        <v>1.0</v>
      </c>
      <c r="L45" s="74">
        <v>0.0</v>
      </c>
      <c r="M45" s="93" t="s">
        <v>61</v>
      </c>
      <c r="N45" s="65">
        <f>sumif(PURCHASE!I:I,C45,PURCHASE!J:J)</f>
        <v>75</v>
      </c>
      <c r="O45" s="65">
        <f>sumif('SELLING CASH'!E:E,C45,'SELLING CASH'!F:F)</f>
        <v>65</v>
      </c>
      <c r="P45" s="65">
        <f>sumif('SELLING CREDIT'!F:F,C45,'SELLING CREDIT'!G:G)</f>
        <v>0</v>
      </c>
      <c r="Q45" s="65">
        <f t="shared" si="1"/>
        <v>36</v>
      </c>
      <c r="V45" s="110" t="s">
        <v>619</v>
      </c>
      <c r="W45" s="131" t="s">
        <v>621</v>
      </c>
      <c r="X45" s="113">
        <f>sumif('SELLING CREDIT'!E:E,W45,'SELLING CREDIT'!P:P)</f>
        <v>0</v>
      </c>
      <c r="Y45" s="113">
        <f>sumif('PAYMENT CREDIT'!E:E,W45,'PAYMENT CREDIT'!F:F)</f>
        <v>0</v>
      </c>
      <c r="Z45" s="113">
        <f t="shared" si="2"/>
        <v>0</v>
      </c>
      <c r="AD45" s="101"/>
      <c r="AF45" s="9"/>
      <c r="AG45" s="9"/>
      <c r="AH45" s="9"/>
    </row>
    <row r="46" ht="15.0" customHeight="1">
      <c r="A46" s="49"/>
      <c r="C46" s="93" t="s">
        <v>624</v>
      </c>
      <c r="D46" s="93">
        <v>14.0</v>
      </c>
      <c r="E46" s="93" t="s">
        <v>532</v>
      </c>
      <c r="F46" s="93" t="s">
        <v>489</v>
      </c>
      <c r="G46" s="93">
        <v>15.0</v>
      </c>
      <c r="H46" s="74">
        <v>120000.0</v>
      </c>
      <c r="I46" s="96">
        <v>60500.0</v>
      </c>
      <c r="J46" s="65" t="s">
        <v>7</v>
      </c>
      <c r="K46" s="65">
        <v>1.0</v>
      </c>
      <c r="L46" s="74">
        <v>0.0</v>
      </c>
      <c r="M46" s="93" t="s">
        <v>61</v>
      </c>
      <c r="N46" s="65">
        <f>sumif(PURCHASE!I:I,C46,PURCHASE!J:J)</f>
        <v>20</v>
      </c>
      <c r="O46" s="65">
        <f>sumif('SELLING CASH'!E:E,C46,'SELLING CASH'!F:F)</f>
        <v>22</v>
      </c>
      <c r="P46" s="65">
        <f>sumif('SELLING CREDIT'!F:F,C46,'SELLING CREDIT'!G:G)</f>
        <v>0</v>
      </c>
      <c r="Q46" s="65">
        <f t="shared" si="1"/>
        <v>13</v>
      </c>
      <c r="V46" s="110" t="s">
        <v>630</v>
      </c>
      <c r="W46" s="131" t="s">
        <v>631</v>
      </c>
      <c r="X46" s="113">
        <f>sumif('SELLING CREDIT'!E:E,W46,'SELLING CREDIT'!P:P)</f>
        <v>2900000</v>
      </c>
      <c r="Y46" s="113">
        <f>sumif('PAYMENT CREDIT'!E:E,W46,'PAYMENT CREDIT'!F:F)</f>
        <v>3490000</v>
      </c>
      <c r="Z46" s="113">
        <f t="shared" si="2"/>
        <v>-590000</v>
      </c>
      <c r="AD46" s="101"/>
      <c r="AF46" s="9"/>
      <c r="AG46" s="9"/>
      <c r="AH46" s="9"/>
    </row>
    <row r="47" ht="15.0" customHeight="1">
      <c r="A47" s="49"/>
      <c r="C47" s="93" t="s">
        <v>633</v>
      </c>
      <c r="D47" s="93">
        <v>14.0</v>
      </c>
      <c r="E47" s="93" t="s">
        <v>587</v>
      </c>
      <c r="F47" s="93" t="s">
        <v>489</v>
      </c>
      <c r="G47" s="93">
        <v>22.0</v>
      </c>
      <c r="H47" s="74">
        <v>135000.0</v>
      </c>
      <c r="I47" s="96">
        <v>81200.0</v>
      </c>
      <c r="J47" s="65" t="s">
        <v>7</v>
      </c>
      <c r="K47" s="65">
        <v>1.0</v>
      </c>
      <c r="L47" s="74">
        <v>0.0</v>
      </c>
      <c r="M47" s="93" t="s">
        <v>61</v>
      </c>
      <c r="N47" s="65">
        <f>sumif(PURCHASE!I:I,C47,PURCHASE!J:J)</f>
        <v>0</v>
      </c>
      <c r="O47" s="65">
        <f>sumif('SELLING CASH'!E:E,C47,'SELLING CASH'!F:F)</f>
        <v>10</v>
      </c>
      <c r="P47" s="65">
        <f>sumif('SELLING CREDIT'!F:F,C47,'SELLING CREDIT'!G:G)</f>
        <v>0</v>
      </c>
      <c r="Q47" s="65">
        <f t="shared" si="1"/>
        <v>12</v>
      </c>
      <c r="V47" s="110" t="s">
        <v>640</v>
      </c>
      <c r="W47" s="131" t="s">
        <v>641</v>
      </c>
      <c r="X47" s="113">
        <f>sumif('SELLING CREDIT'!E:E,W47,'SELLING CREDIT'!P:P)</f>
        <v>12200000</v>
      </c>
      <c r="Y47" s="113">
        <f>sumif('PAYMENT CREDIT'!E:E,W47,'PAYMENT CREDIT'!F:F)</f>
        <v>12200000</v>
      </c>
      <c r="Z47" s="113">
        <f t="shared" si="2"/>
        <v>0</v>
      </c>
      <c r="AD47" s="101"/>
      <c r="AF47" s="9"/>
      <c r="AG47" s="9"/>
      <c r="AH47" s="9"/>
    </row>
    <row r="48" ht="15.0" customHeight="1">
      <c r="A48" s="49"/>
      <c r="C48" s="93" t="s">
        <v>643</v>
      </c>
      <c r="D48" s="93">
        <v>15.0</v>
      </c>
      <c r="E48" s="93" t="s">
        <v>644</v>
      </c>
      <c r="F48" s="93" t="s">
        <v>489</v>
      </c>
      <c r="G48" s="93">
        <v>6.0</v>
      </c>
      <c r="H48" s="74">
        <v>150000.0</v>
      </c>
      <c r="I48" s="96">
        <v>111800.0</v>
      </c>
      <c r="J48" s="65" t="s">
        <v>7</v>
      </c>
      <c r="K48" s="65">
        <v>1.0</v>
      </c>
      <c r="L48" s="74">
        <v>0.0</v>
      </c>
      <c r="M48" s="93" t="s">
        <v>61</v>
      </c>
      <c r="N48" s="65">
        <f>sumif(PURCHASE!I:I,C48,PURCHASE!J:J)</f>
        <v>10</v>
      </c>
      <c r="O48" s="65">
        <f>sumif('SELLING CASH'!E:E,C48,'SELLING CASH'!F:F)</f>
        <v>11</v>
      </c>
      <c r="P48" s="65">
        <f>sumif('SELLING CREDIT'!F:F,C48,'SELLING CREDIT'!G:G)</f>
        <v>1</v>
      </c>
      <c r="Q48" s="65">
        <f t="shared" si="1"/>
        <v>4</v>
      </c>
      <c r="V48" s="110" t="s">
        <v>650</v>
      </c>
      <c r="W48" s="131" t="s">
        <v>651</v>
      </c>
      <c r="X48" s="113">
        <f>sumif('SELLING CREDIT'!E:E,W48,'SELLING CREDIT'!P:P)</f>
        <v>8520000</v>
      </c>
      <c r="Y48" s="113">
        <f>sumif('PAYMENT CREDIT'!E:E,W48,'PAYMENT CREDIT'!F:F)</f>
        <v>8520000</v>
      </c>
      <c r="Z48" s="113">
        <f t="shared" si="2"/>
        <v>0</v>
      </c>
      <c r="AD48" s="101"/>
      <c r="AF48" s="9"/>
      <c r="AG48" s="9"/>
      <c r="AH48" s="9"/>
    </row>
    <row r="49" ht="15.0" customHeight="1">
      <c r="A49" s="49"/>
      <c r="C49" s="93" t="s">
        <v>652</v>
      </c>
      <c r="D49" s="93">
        <v>15.0</v>
      </c>
      <c r="E49" s="93" t="s">
        <v>488</v>
      </c>
      <c r="F49" s="93" t="s">
        <v>489</v>
      </c>
      <c r="G49" s="93">
        <v>8.0</v>
      </c>
      <c r="H49" s="140">
        <v>270000.0</v>
      </c>
      <c r="I49" s="193">
        <v>231268.0</v>
      </c>
      <c r="J49" s="65" t="s">
        <v>87</v>
      </c>
      <c r="K49" s="65">
        <v>1.0</v>
      </c>
      <c r="L49" s="74">
        <v>0.0</v>
      </c>
      <c r="M49" s="93" t="s">
        <v>61</v>
      </c>
      <c r="N49" s="65">
        <f>sumif(PURCHASE!I:I,C49,PURCHASE!J:J)</f>
        <v>30</v>
      </c>
      <c r="O49" s="65">
        <f>sumif('SELLING CASH'!E:E,C49,'SELLING CASH'!F:F)</f>
        <v>17</v>
      </c>
      <c r="P49" s="65">
        <f>sumif('SELLING CREDIT'!F:F,C49,'SELLING CREDIT'!G:G)</f>
        <v>7</v>
      </c>
      <c r="Q49" s="65">
        <f t="shared" si="1"/>
        <v>14</v>
      </c>
      <c r="V49" s="110" t="s">
        <v>659</v>
      </c>
      <c r="W49" s="131" t="s">
        <v>661</v>
      </c>
      <c r="X49" s="113">
        <f>sumif('SELLING CREDIT'!E:E,W49,'SELLING CREDIT'!P:P)</f>
        <v>19175000</v>
      </c>
      <c r="Y49" s="113">
        <f>sumif('PAYMENT CREDIT'!E:E,W49,'PAYMENT CREDIT'!F:F)</f>
        <v>16895000</v>
      </c>
      <c r="Z49" s="113">
        <f t="shared" si="2"/>
        <v>2280000</v>
      </c>
      <c r="AD49" s="101"/>
      <c r="AF49" s="9"/>
      <c r="AG49" s="9"/>
      <c r="AH49" s="9"/>
    </row>
    <row r="50" ht="15.0" customHeight="1">
      <c r="A50" s="49"/>
      <c r="C50" s="93" t="s">
        <v>255</v>
      </c>
      <c r="D50" s="93">
        <v>15.0</v>
      </c>
      <c r="E50" s="93" t="s">
        <v>493</v>
      </c>
      <c r="F50" s="93" t="s">
        <v>489</v>
      </c>
      <c r="G50" s="93">
        <v>42.0</v>
      </c>
      <c r="H50" s="74">
        <v>200000.0</v>
      </c>
      <c r="I50" s="96">
        <v>161840.0</v>
      </c>
      <c r="J50" s="65" t="s">
        <v>7</v>
      </c>
      <c r="K50" s="65">
        <v>1.0</v>
      </c>
      <c r="L50" s="74">
        <v>0.0</v>
      </c>
      <c r="M50" s="93" t="s">
        <v>61</v>
      </c>
      <c r="N50" s="65">
        <f>sumif(PURCHASE!I:I,C50,PURCHASE!J:J)</f>
        <v>140</v>
      </c>
      <c r="O50" s="65">
        <f>sumif('SELLING CASH'!E:E,C50,'SELLING CASH'!F:F)</f>
        <v>84</v>
      </c>
      <c r="P50" s="65">
        <f>sumif('SELLING CREDIT'!F:F,C50,'SELLING CREDIT'!G:G)</f>
        <v>81</v>
      </c>
      <c r="Q50" s="65">
        <f t="shared" si="1"/>
        <v>17</v>
      </c>
      <c r="V50" s="110" t="s">
        <v>667</v>
      </c>
      <c r="W50" s="131" t="s">
        <v>668</v>
      </c>
      <c r="X50" s="113">
        <f>sumif('SELLING CREDIT'!E:E,W50,'SELLING CREDIT'!P:P)</f>
        <v>4360000</v>
      </c>
      <c r="Y50" s="113">
        <f>sumif('PAYMENT CREDIT'!E:E,W50,'PAYMENT CREDIT'!F:F)</f>
        <v>3060000</v>
      </c>
      <c r="Z50" s="113">
        <f t="shared" si="2"/>
        <v>1300000</v>
      </c>
      <c r="AD50" s="101"/>
      <c r="AF50" s="9"/>
      <c r="AG50" s="9"/>
      <c r="AH50" s="9"/>
    </row>
    <row r="51" ht="15.0" customHeight="1">
      <c r="A51" s="49"/>
      <c r="C51" s="93" t="s">
        <v>671</v>
      </c>
      <c r="D51" s="93">
        <v>15.0</v>
      </c>
      <c r="E51" s="93" t="s">
        <v>672</v>
      </c>
      <c r="F51" s="93" t="s">
        <v>489</v>
      </c>
      <c r="G51" s="93">
        <v>44.0</v>
      </c>
      <c r="H51" s="74">
        <v>200000.0</v>
      </c>
      <c r="I51" s="96">
        <v>160000.0</v>
      </c>
      <c r="J51" s="65" t="s">
        <v>7</v>
      </c>
      <c r="K51" s="65">
        <v>1.0</v>
      </c>
      <c r="L51" s="74">
        <v>0.0</v>
      </c>
      <c r="M51" s="93" t="s">
        <v>61</v>
      </c>
      <c r="N51" s="65">
        <f>sumif(PURCHASE!I:I,C51,PURCHASE!J:J)</f>
        <v>0</v>
      </c>
      <c r="O51" s="65">
        <f>sumif('SELLING CASH'!E:E,C51,'SELLING CASH'!F:F)</f>
        <v>4</v>
      </c>
      <c r="P51" s="65">
        <f>sumif('SELLING CREDIT'!F:F,C51,'SELLING CREDIT'!G:G)</f>
        <v>0</v>
      </c>
      <c r="Q51" s="65">
        <f t="shared" si="1"/>
        <v>40</v>
      </c>
      <c r="V51" s="110" t="s">
        <v>677</v>
      </c>
      <c r="W51" s="131" t="s">
        <v>678</v>
      </c>
      <c r="X51" s="113">
        <f>sumif('SELLING CREDIT'!E:E,W51,'SELLING CREDIT'!P:P)</f>
        <v>0</v>
      </c>
      <c r="Y51" s="113">
        <f>sumif('PAYMENT CREDIT'!E:E,W51,'PAYMENT CREDIT'!F:F)</f>
        <v>0</v>
      </c>
      <c r="Z51" s="113">
        <f t="shared" si="2"/>
        <v>0</v>
      </c>
      <c r="AD51" s="101"/>
      <c r="AF51" s="9"/>
      <c r="AG51" s="9"/>
      <c r="AH51" s="9"/>
    </row>
    <row r="52" ht="15.0" customHeight="1">
      <c r="A52" s="49"/>
      <c r="C52" s="93" t="s">
        <v>681</v>
      </c>
      <c r="D52" s="93">
        <v>15.0</v>
      </c>
      <c r="E52" s="93" t="s">
        <v>682</v>
      </c>
      <c r="F52" s="93" t="s">
        <v>489</v>
      </c>
      <c r="G52" s="93">
        <v>0.0</v>
      </c>
      <c r="H52" s="74">
        <v>125000.0</v>
      </c>
      <c r="I52" s="96">
        <v>91000.0</v>
      </c>
      <c r="J52" s="65" t="s">
        <v>7</v>
      </c>
      <c r="K52" s="65">
        <v>1.0</v>
      </c>
      <c r="L52" s="74">
        <v>0.0</v>
      </c>
      <c r="M52" s="93" t="s">
        <v>61</v>
      </c>
      <c r="N52" s="65">
        <f>sumif(PURCHASE!I:I,C52,PURCHASE!J:J)</f>
        <v>0</v>
      </c>
      <c r="O52" s="65">
        <f>sumif('SELLING CASH'!E:E,C52,'SELLING CASH'!F:F)</f>
        <v>9</v>
      </c>
      <c r="P52" s="65">
        <f>sumif('SELLING CREDIT'!F:F,C52,'SELLING CREDIT'!G:G)</f>
        <v>1</v>
      </c>
      <c r="Q52" s="65">
        <f t="shared" si="1"/>
        <v>-10</v>
      </c>
      <c r="V52" s="110" t="s">
        <v>685</v>
      </c>
      <c r="W52" s="131" t="s">
        <v>267</v>
      </c>
      <c r="X52" s="113">
        <f>sumif('SELLING CREDIT'!E:E,W52,'SELLING CREDIT'!P:P)</f>
        <v>239350000</v>
      </c>
      <c r="Y52" s="113">
        <f>sumif('PAYMENT CREDIT'!E:E,W52,'PAYMENT CREDIT'!F:F)</f>
        <v>242920000</v>
      </c>
      <c r="Z52" s="113">
        <f t="shared" si="2"/>
        <v>-3570000</v>
      </c>
      <c r="AD52" s="101"/>
      <c r="AF52" s="9"/>
      <c r="AG52" s="9"/>
      <c r="AH52" s="9"/>
    </row>
    <row r="53" ht="15.0" customHeight="1">
      <c r="A53" s="49"/>
      <c r="C53" s="93" t="s">
        <v>688</v>
      </c>
      <c r="D53" s="93">
        <v>15.0</v>
      </c>
      <c r="E53" s="93" t="s">
        <v>689</v>
      </c>
      <c r="F53" s="93" t="s">
        <v>489</v>
      </c>
      <c r="G53" s="93">
        <v>0.0</v>
      </c>
      <c r="H53" s="74">
        <v>150000.0</v>
      </c>
      <c r="I53" s="96">
        <v>100000.0</v>
      </c>
      <c r="J53" s="65" t="s">
        <v>7</v>
      </c>
      <c r="K53" s="65">
        <v>1.0</v>
      </c>
      <c r="L53" s="74">
        <v>0.0</v>
      </c>
      <c r="M53" s="93" t="s">
        <v>61</v>
      </c>
      <c r="N53" s="65">
        <f>sumif(PURCHASE!I:I,C53,PURCHASE!J:J)</f>
        <v>0</v>
      </c>
      <c r="O53" s="65">
        <f>sumif('SELLING CASH'!E:E,C53,'SELLING CASH'!F:F)</f>
        <v>41</v>
      </c>
      <c r="P53" s="65">
        <f>sumif('SELLING CREDIT'!F:F,C53,'SELLING CREDIT'!G:G)</f>
        <v>0</v>
      </c>
      <c r="Q53" s="65">
        <f t="shared" si="1"/>
        <v>-41</v>
      </c>
      <c r="V53" s="110" t="s">
        <v>692</v>
      </c>
      <c r="W53" s="131" t="s">
        <v>693</v>
      </c>
      <c r="X53" s="113">
        <f>sumif('SELLING CREDIT'!E:E,W53,'SELLING CREDIT'!P:P)</f>
        <v>3830000</v>
      </c>
      <c r="Y53" s="113">
        <f>sumif('PAYMENT CREDIT'!E:E,W53,'PAYMENT CREDIT'!F:F)</f>
        <v>3770000</v>
      </c>
      <c r="Z53" s="113">
        <f t="shared" si="2"/>
        <v>60000</v>
      </c>
      <c r="AD53" s="101"/>
      <c r="AF53" s="9"/>
      <c r="AG53" s="9"/>
      <c r="AH53" s="9"/>
    </row>
    <row r="54" ht="15.0" customHeight="1">
      <c r="A54" s="49"/>
      <c r="C54" s="93" t="s">
        <v>698</v>
      </c>
      <c r="D54" s="93">
        <v>15.0</v>
      </c>
      <c r="E54" s="93" t="s">
        <v>532</v>
      </c>
      <c r="F54" s="93" t="s">
        <v>489</v>
      </c>
      <c r="G54" s="93">
        <v>24.0</v>
      </c>
      <c r="H54" s="74">
        <v>185000.0</v>
      </c>
      <c r="I54" s="96">
        <v>117000.0</v>
      </c>
      <c r="J54" s="65" t="s">
        <v>7</v>
      </c>
      <c r="K54" s="65">
        <v>1.0</v>
      </c>
      <c r="L54" s="74">
        <v>0.0</v>
      </c>
      <c r="M54" s="93" t="s">
        <v>61</v>
      </c>
      <c r="N54" s="65">
        <f>sumif(PURCHASE!I:I,C54,PURCHASE!J:J)</f>
        <v>0</v>
      </c>
      <c r="O54" s="65">
        <f>sumif('SELLING CASH'!E:E,C54,'SELLING CASH'!F:F)</f>
        <v>1</v>
      </c>
      <c r="P54" s="65">
        <f>sumif('SELLING CREDIT'!F:F,C54,'SELLING CREDIT'!G:G)</f>
        <v>0</v>
      </c>
      <c r="Q54" s="65">
        <f t="shared" si="1"/>
        <v>23</v>
      </c>
      <c r="V54" s="110" t="s">
        <v>700</v>
      </c>
      <c r="W54" s="131" t="s">
        <v>270</v>
      </c>
      <c r="X54" s="113">
        <f>sumif('SELLING CREDIT'!E:E,W54,'SELLING CREDIT'!P:P)</f>
        <v>64800000</v>
      </c>
      <c r="Y54" s="113">
        <f>sumif('PAYMENT CREDIT'!E:E,W54,'PAYMENT CREDIT'!F:F)</f>
        <v>56200000</v>
      </c>
      <c r="Z54" s="113">
        <f t="shared" si="2"/>
        <v>8600000</v>
      </c>
      <c r="AD54" s="101"/>
      <c r="AF54" s="9"/>
      <c r="AG54" s="9"/>
      <c r="AH54" s="9"/>
    </row>
    <row r="55" ht="15.0" customHeight="1">
      <c r="A55" s="49"/>
      <c r="C55" s="93" t="s">
        <v>701</v>
      </c>
      <c r="D55" s="93">
        <v>15.0</v>
      </c>
      <c r="E55" s="93" t="s">
        <v>702</v>
      </c>
      <c r="F55" s="93" t="s">
        <v>489</v>
      </c>
      <c r="G55" s="93">
        <v>5.0</v>
      </c>
      <c r="H55" s="74">
        <v>130000.0</v>
      </c>
      <c r="I55" s="96">
        <v>80000.0</v>
      </c>
      <c r="J55" s="65" t="s">
        <v>7</v>
      </c>
      <c r="K55" s="65">
        <v>1.0</v>
      </c>
      <c r="L55" s="74">
        <v>0.0</v>
      </c>
      <c r="M55" s="93" t="s">
        <v>61</v>
      </c>
      <c r="N55" s="65">
        <f>sumif(PURCHASE!I:I,C55,PURCHASE!J:J)</f>
        <v>0</v>
      </c>
      <c r="O55" s="65">
        <f>sumif('SELLING CASH'!E:E,C55,'SELLING CASH'!F:F)</f>
        <v>0</v>
      </c>
      <c r="P55" s="65">
        <f>sumif('SELLING CREDIT'!F:F,C55,'SELLING CREDIT'!G:G)</f>
        <v>0</v>
      </c>
      <c r="Q55" s="65">
        <f t="shared" si="1"/>
        <v>5</v>
      </c>
      <c r="V55" s="110" t="s">
        <v>707</v>
      </c>
      <c r="W55" s="131" t="s">
        <v>709</v>
      </c>
      <c r="X55" s="113">
        <f>sumif('SELLING CREDIT'!E:E,W55,'SELLING CREDIT'!P:P)</f>
        <v>12080000</v>
      </c>
      <c r="Y55" s="113">
        <f>sumif('PAYMENT CREDIT'!E:E,W55,'PAYMENT CREDIT'!F:F)</f>
        <v>12080000</v>
      </c>
      <c r="Z55" s="113">
        <f t="shared" si="2"/>
        <v>0</v>
      </c>
      <c r="AD55" s="101"/>
      <c r="AF55" s="9"/>
      <c r="AG55" s="9"/>
      <c r="AH55" s="9"/>
    </row>
    <row r="56" ht="15.0" customHeight="1">
      <c r="A56" s="49"/>
      <c r="C56" s="93" t="s">
        <v>712</v>
      </c>
      <c r="D56" s="93">
        <v>15.0</v>
      </c>
      <c r="E56" s="93" t="s">
        <v>587</v>
      </c>
      <c r="F56" s="93" t="s">
        <v>489</v>
      </c>
      <c r="G56" s="93">
        <v>0.0</v>
      </c>
      <c r="H56" s="74">
        <v>170000.0</v>
      </c>
      <c r="I56" s="96">
        <v>120960.0</v>
      </c>
      <c r="J56" s="65" t="s">
        <v>7</v>
      </c>
      <c r="K56" s="65">
        <v>1.0</v>
      </c>
      <c r="L56" s="74">
        <v>0.0</v>
      </c>
      <c r="M56" s="93" t="s">
        <v>61</v>
      </c>
      <c r="N56" s="65">
        <f>sumif(PURCHASE!I:I,C56,PURCHASE!J:J)</f>
        <v>0</v>
      </c>
      <c r="O56" s="65">
        <f>sumif('SELLING CASH'!E:E,C56,'SELLING CASH'!F:F)</f>
        <v>32</v>
      </c>
      <c r="P56" s="65">
        <f>sumif('SELLING CREDIT'!F:F,C56,'SELLING CREDIT'!G:G)</f>
        <v>5</v>
      </c>
      <c r="Q56" s="65">
        <f t="shared" si="1"/>
        <v>-37</v>
      </c>
      <c r="V56" s="110" t="s">
        <v>717</v>
      </c>
      <c r="W56" s="131" t="s">
        <v>718</v>
      </c>
      <c r="X56" s="113">
        <f>sumif('SELLING CREDIT'!E:E,W56,'SELLING CREDIT'!P:P)</f>
        <v>0</v>
      </c>
      <c r="Y56" s="113">
        <f>sumif('PAYMENT CREDIT'!E:E,W56,'PAYMENT CREDIT'!F:F)</f>
        <v>0</v>
      </c>
      <c r="Z56" s="113">
        <f t="shared" si="2"/>
        <v>0</v>
      </c>
      <c r="AD56" s="101"/>
      <c r="AF56" s="9"/>
      <c r="AG56" s="9"/>
      <c r="AH56" s="9"/>
    </row>
    <row r="57" ht="15.0" customHeight="1">
      <c r="A57" s="49"/>
      <c r="C57" s="93" t="s">
        <v>719</v>
      </c>
      <c r="D57" s="93">
        <v>16.0</v>
      </c>
      <c r="F57" s="93" t="s">
        <v>489</v>
      </c>
      <c r="G57" s="93">
        <v>0.0</v>
      </c>
      <c r="H57" s="74">
        <v>180000.0</v>
      </c>
      <c r="I57" s="96">
        <v>141000.0</v>
      </c>
      <c r="J57" s="65" t="s">
        <v>7</v>
      </c>
      <c r="K57" s="65">
        <v>1.0</v>
      </c>
      <c r="L57" s="74">
        <v>0.0</v>
      </c>
      <c r="M57" s="93" t="s">
        <v>61</v>
      </c>
      <c r="N57" s="65">
        <f>sumif(PURCHASE!I:I,C57,PURCHASE!J:J)</f>
        <v>0</v>
      </c>
      <c r="O57" s="65">
        <f>sumif('SELLING CASH'!E:E,C57,'SELLING CASH'!F:F)</f>
        <v>0</v>
      </c>
      <c r="P57" s="65">
        <f>sumif('SELLING CREDIT'!F:F,C57,'SELLING CREDIT'!G:G)</f>
        <v>0</v>
      </c>
      <c r="Q57" s="65">
        <f t="shared" si="1"/>
        <v>0</v>
      </c>
      <c r="V57" s="110" t="s">
        <v>724</v>
      </c>
      <c r="W57" s="131" t="s">
        <v>725</v>
      </c>
      <c r="X57" s="113">
        <f>sumif('SELLING CREDIT'!E:E,W57,'SELLING CREDIT'!P:P)</f>
        <v>0</v>
      </c>
      <c r="Y57" s="113">
        <f>sumif('PAYMENT CREDIT'!E:E,W57,'PAYMENT CREDIT'!F:F)</f>
        <v>0</v>
      </c>
      <c r="Z57" s="113">
        <f t="shared" si="2"/>
        <v>0</v>
      </c>
      <c r="AD57" s="101"/>
      <c r="AF57" s="9"/>
      <c r="AG57" s="9"/>
      <c r="AH57" s="9"/>
    </row>
    <row r="58" ht="15.0" customHeight="1">
      <c r="A58" s="49"/>
      <c r="C58" s="93" t="s">
        <v>727</v>
      </c>
      <c r="D58" s="93">
        <v>16.0</v>
      </c>
      <c r="E58" s="93" t="s">
        <v>728</v>
      </c>
      <c r="F58" s="93" t="s">
        <v>489</v>
      </c>
      <c r="G58" s="93">
        <v>0.0</v>
      </c>
      <c r="H58" s="74">
        <v>185000.0</v>
      </c>
      <c r="I58" s="96">
        <v>135000.0</v>
      </c>
      <c r="J58" s="65" t="s">
        <v>7</v>
      </c>
      <c r="K58" s="65">
        <v>1.0</v>
      </c>
      <c r="L58" s="74">
        <v>0.0</v>
      </c>
      <c r="M58" s="93" t="s">
        <v>61</v>
      </c>
      <c r="N58" s="65">
        <f>sumif(PURCHASE!I:I,C58,PURCHASE!J:J)</f>
        <v>0</v>
      </c>
      <c r="O58" s="65">
        <f>sumif('SELLING CASH'!E:E,C58,'SELLING CASH'!F:F)</f>
        <v>1</v>
      </c>
      <c r="P58" s="65">
        <f>sumif('SELLING CREDIT'!F:F,C58,'SELLING CREDIT'!G:G)</f>
        <v>0</v>
      </c>
      <c r="Q58" s="65">
        <f t="shared" si="1"/>
        <v>-1</v>
      </c>
      <c r="V58" s="110" t="s">
        <v>734</v>
      </c>
      <c r="W58" s="131" t="s">
        <v>735</v>
      </c>
      <c r="X58" s="113">
        <f>sumif('SELLING CREDIT'!E:E,W58,'SELLING CREDIT'!P:P)</f>
        <v>67770000</v>
      </c>
      <c r="Y58" s="113">
        <f>sumif('PAYMENT CREDIT'!E:E,W58,'PAYMENT CREDIT'!F:F)</f>
        <v>60870000</v>
      </c>
      <c r="Z58" s="113">
        <f t="shared" si="2"/>
        <v>6900000</v>
      </c>
      <c r="AD58" s="101"/>
      <c r="AF58" s="9"/>
      <c r="AG58" s="9"/>
      <c r="AH58" s="9"/>
    </row>
    <row r="59" ht="15.0" customHeight="1">
      <c r="A59" s="49"/>
      <c r="C59" s="93" t="s">
        <v>737</v>
      </c>
      <c r="D59" s="93">
        <v>16.0</v>
      </c>
      <c r="E59" s="93" t="s">
        <v>488</v>
      </c>
      <c r="F59" s="93" t="s">
        <v>489</v>
      </c>
      <c r="G59" s="93">
        <v>27.0</v>
      </c>
      <c r="H59" s="140">
        <v>280000.0</v>
      </c>
      <c r="I59" s="193">
        <v>241001.6</v>
      </c>
      <c r="J59" s="65" t="s">
        <v>87</v>
      </c>
      <c r="K59" s="65">
        <v>1.0</v>
      </c>
      <c r="L59" s="74">
        <v>0.0</v>
      </c>
      <c r="M59" s="93" t="s">
        <v>61</v>
      </c>
      <c r="N59" s="65">
        <f>sumif(PURCHASE!I:I,C59,PURCHASE!J:J)</f>
        <v>30</v>
      </c>
      <c r="O59" s="65">
        <f>sumif('SELLING CASH'!E:E,C59,'SELLING CASH'!F:F)</f>
        <v>33</v>
      </c>
      <c r="P59" s="65">
        <f>sumif('SELLING CREDIT'!F:F,C59,'SELLING CREDIT'!G:G)</f>
        <v>3</v>
      </c>
      <c r="Q59" s="65">
        <f t="shared" si="1"/>
        <v>21</v>
      </c>
      <c r="V59" s="110" t="s">
        <v>740</v>
      </c>
      <c r="W59" s="131" t="s">
        <v>741</v>
      </c>
      <c r="X59" s="113">
        <f>sumif('SELLING CREDIT'!E:E,W59,'SELLING CREDIT'!P:P)</f>
        <v>8820000</v>
      </c>
      <c r="Y59" s="113">
        <f>sumif('PAYMENT CREDIT'!E:E,W59,'PAYMENT CREDIT'!F:F)</f>
        <v>8820000</v>
      </c>
      <c r="Z59" s="113">
        <f t="shared" si="2"/>
        <v>0</v>
      </c>
      <c r="AD59" s="101"/>
      <c r="AF59" s="9"/>
      <c r="AG59" s="9"/>
      <c r="AH59" s="9"/>
    </row>
    <row r="60" ht="15.0" customHeight="1">
      <c r="A60" s="49"/>
      <c r="C60" s="93" t="s">
        <v>744</v>
      </c>
      <c r="D60" s="93">
        <v>16.0</v>
      </c>
      <c r="E60" s="93" t="s">
        <v>493</v>
      </c>
      <c r="F60" s="93" t="s">
        <v>489</v>
      </c>
      <c r="G60" s="93">
        <v>48.0</v>
      </c>
      <c r="H60" s="74">
        <v>230000.0</v>
      </c>
      <c r="I60" s="96">
        <v>182200.0</v>
      </c>
      <c r="J60" s="65" t="s">
        <v>7</v>
      </c>
      <c r="K60" s="65">
        <v>1.0</v>
      </c>
      <c r="L60" s="74">
        <v>0.0</v>
      </c>
      <c r="M60" s="93" t="s">
        <v>61</v>
      </c>
      <c r="N60" s="65">
        <f>sumif(PURCHASE!I:I,C60,PURCHASE!J:J)</f>
        <v>170</v>
      </c>
      <c r="O60" s="65">
        <f>sumif('SELLING CASH'!E:E,C60,'SELLING CASH'!F:F)</f>
        <v>107</v>
      </c>
      <c r="P60" s="65">
        <f>sumif('SELLING CREDIT'!F:F,C60,'SELLING CREDIT'!G:G)</f>
        <v>69</v>
      </c>
      <c r="Q60" s="65">
        <f t="shared" si="1"/>
        <v>42</v>
      </c>
      <c r="V60" s="110" t="s">
        <v>746</v>
      </c>
      <c r="W60" s="131" t="s">
        <v>747</v>
      </c>
      <c r="X60" s="113">
        <f>sumif('SELLING CREDIT'!E:E,W60,'SELLING CREDIT'!P:P)</f>
        <v>12970000</v>
      </c>
      <c r="Y60" s="113">
        <f>sumif('PAYMENT CREDIT'!E:E,W60,'PAYMENT CREDIT'!F:F)</f>
        <v>11400000</v>
      </c>
      <c r="Z60" s="113">
        <f t="shared" si="2"/>
        <v>1570000</v>
      </c>
      <c r="AD60" s="101"/>
      <c r="AF60" s="9"/>
      <c r="AG60" s="9"/>
      <c r="AH60" s="9"/>
    </row>
    <row r="61" ht="15.0" customHeight="1">
      <c r="A61" s="49"/>
      <c r="C61" s="93" t="s">
        <v>749</v>
      </c>
      <c r="D61" s="93">
        <v>16.0</v>
      </c>
      <c r="E61" s="93" t="s">
        <v>689</v>
      </c>
      <c r="F61" s="93" t="s">
        <v>489</v>
      </c>
      <c r="G61" s="93">
        <v>16.0</v>
      </c>
      <c r="H61" s="74">
        <v>200000.0</v>
      </c>
      <c r="I61" s="96">
        <v>140000.0</v>
      </c>
      <c r="J61" s="65" t="s">
        <v>7</v>
      </c>
      <c r="K61" s="65">
        <v>1.0</v>
      </c>
      <c r="L61" s="74">
        <v>0.0</v>
      </c>
      <c r="M61" s="93" t="s">
        <v>61</v>
      </c>
      <c r="N61" s="65">
        <f>sumif(PURCHASE!I:I,C61,PURCHASE!J:J)</f>
        <v>0</v>
      </c>
      <c r="O61" s="65">
        <f>sumif('SELLING CASH'!E:E,C61,'SELLING CASH'!F:F)</f>
        <v>18</v>
      </c>
      <c r="P61" s="65">
        <f>sumif('SELLING CREDIT'!F:F,C61,'SELLING CREDIT'!G:G)</f>
        <v>0</v>
      </c>
      <c r="Q61" s="65">
        <f t="shared" si="1"/>
        <v>-2</v>
      </c>
      <c r="V61" s="110" t="s">
        <v>753</v>
      </c>
      <c r="W61" s="131" t="s">
        <v>274</v>
      </c>
      <c r="X61" s="113">
        <f>sumif('SELLING CREDIT'!E:E,W61,'SELLING CREDIT'!P:P)</f>
        <v>30840000</v>
      </c>
      <c r="Y61" s="113">
        <f>sumif('PAYMENT CREDIT'!E:E,W61,'PAYMENT CREDIT'!F:F)</f>
        <v>28570000</v>
      </c>
      <c r="Z61" s="113">
        <f t="shared" si="2"/>
        <v>2270000</v>
      </c>
      <c r="AD61" s="101"/>
      <c r="AF61" s="9"/>
      <c r="AG61" s="9"/>
      <c r="AH61" s="9"/>
    </row>
    <row r="62" ht="15.0" customHeight="1">
      <c r="A62" s="49"/>
      <c r="C62" s="93" t="s">
        <v>757</v>
      </c>
      <c r="D62" s="93">
        <v>16.0</v>
      </c>
      <c r="E62" s="93" t="s">
        <v>532</v>
      </c>
      <c r="F62" s="93" t="s">
        <v>489</v>
      </c>
      <c r="G62" s="93">
        <v>3.0</v>
      </c>
      <c r="H62" s="74">
        <v>200000.0</v>
      </c>
      <c r="I62" s="96">
        <v>140000.0</v>
      </c>
      <c r="J62" s="65" t="s">
        <v>7</v>
      </c>
      <c r="K62" s="65">
        <v>1.0</v>
      </c>
      <c r="L62" s="74">
        <v>0.0</v>
      </c>
      <c r="M62" s="93" t="s">
        <v>61</v>
      </c>
      <c r="N62" s="65">
        <f>sumif(PURCHASE!I:I,C62,PURCHASE!J:J)</f>
        <v>0</v>
      </c>
      <c r="O62" s="65">
        <f>sumif('SELLING CASH'!E:E,C62,'SELLING CASH'!F:F)</f>
        <v>3</v>
      </c>
      <c r="P62" s="65">
        <f>sumif('SELLING CREDIT'!F:F,C62,'SELLING CREDIT'!G:G)</f>
        <v>0</v>
      </c>
      <c r="Q62" s="65">
        <f t="shared" si="1"/>
        <v>0</v>
      </c>
      <c r="V62" s="110" t="s">
        <v>760</v>
      </c>
      <c r="W62" s="131" t="s">
        <v>761</v>
      </c>
      <c r="X62" s="113">
        <f>sumif('SELLING CREDIT'!E:E,W62,'SELLING CREDIT'!P:P)</f>
        <v>955000</v>
      </c>
      <c r="Y62" s="113">
        <f>sumif('PAYMENT CREDIT'!E:E,W62,'PAYMENT CREDIT'!F:F)</f>
        <v>0</v>
      </c>
      <c r="Z62" s="113">
        <f t="shared" si="2"/>
        <v>955000</v>
      </c>
      <c r="AD62" s="101"/>
      <c r="AF62" s="9"/>
      <c r="AG62" s="9"/>
      <c r="AH62" s="9"/>
    </row>
    <row r="63" ht="15.0" customHeight="1">
      <c r="A63" s="49"/>
      <c r="C63" s="93" t="s">
        <v>764</v>
      </c>
      <c r="D63" s="93">
        <v>16.0</v>
      </c>
      <c r="F63" s="93" t="s">
        <v>489</v>
      </c>
      <c r="G63" s="93">
        <v>12.0</v>
      </c>
      <c r="H63" s="74">
        <v>200000.0</v>
      </c>
      <c r="I63" s="96">
        <v>145000.0</v>
      </c>
      <c r="J63" s="65" t="s">
        <v>7</v>
      </c>
      <c r="K63" s="65">
        <v>1.0</v>
      </c>
      <c r="L63" s="74">
        <v>0.0</v>
      </c>
      <c r="M63" s="93" t="s">
        <v>61</v>
      </c>
      <c r="N63" s="65">
        <f>sumif(PURCHASE!I:I,C63,PURCHASE!J:J)</f>
        <v>30</v>
      </c>
      <c r="O63" s="65">
        <f>sumif('SELLING CASH'!E:E,C63,'SELLING CASH'!F:F)</f>
        <v>27</v>
      </c>
      <c r="P63" s="65">
        <f>sumif('SELLING CREDIT'!F:F,C63,'SELLING CREDIT'!G:G)</f>
        <v>3</v>
      </c>
      <c r="Q63" s="65">
        <f t="shared" si="1"/>
        <v>12</v>
      </c>
      <c r="V63" s="110" t="s">
        <v>767</v>
      </c>
      <c r="W63" s="131" t="s">
        <v>768</v>
      </c>
      <c r="X63" s="113">
        <f>sumif('SELLING CREDIT'!E:E,W63,'SELLING CREDIT'!P:P)</f>
        <v>0</v>
      </c>
      <c r="Y63" s="113">
        <f>sumif('PAYMENT CREDIT'!E:E,W63,'PAYMENT CREDIT'!F:F)</f>
        <v>0</v>
      </c>
      <c r="Z63" s="113">
        <f t="shared" si="2"/>
        <v>0</v>
      </c>
      <c r="AD63" s="101"/>
      <c r="AF63" s="9"/>
      <c r="AG63" s="9"/>
      <c r="AH63" s="9"/>
    </row>
    <row r="64" ht="15.0" customHeight="1">
      <c r="A64" s="49"/>
      <c r="C64" s="93" t="s">
        <v>770</v>
      </c>
      <c r="D64" s="93">
        <v>16.0</v>
      </c>
      <c r="E64" s="93" t="s">
        <v>587</v>
      </c>
      <c r="F64" s="93" t="s">
        <v>489</v>
      </c>
      <c r="G64" s="93">
        <v>11.0</v>
      </c>
      <c r="H64" s="74">
        <v>200000.0</v>
      </c>
      <c r="I64" s="96">
        <v>145180.0</v>
      </c>
      <c r="J64" s="65" t="s">
        <v>7</v>
      </c>
      <c r="K64" s="65">
        <v>1.0</v>
      </c>
      <c r="L64" s="74">
        <v>0.0</v>
      </c>
      <c r="M64" s="93" t="s">
        <v>61</v>
      </c>
      <c r="N64" s="65">
        <f>sumif(PURCHASE!I:I,C64,PURCHASE!J:J)</f>
        <v>30</v>
      </c>
      <c r="O64" s="65">
        <f>sumif('SELLING CASH'!E:E,C64,'SELLING CASH'!F:F)</f>
        <v>32</v>
      </c>
      <c r="P64" s="65">
        <f>sumif('SELLING CREDIT'!F:F,C64,'SELLING CREDIT'!G:G)</f>
        <v>8</v>
      </c>
      <c r="Q64" s="65">
        <f t="shared" si="1"/>
        <v>1</v>
      </c>
      <c r="V64" s="110" t="s">
        <v>774</v>
      </c>
      <c r="W64" s="131" t="s">
        <v>775</v>
      </c>
      <c r="X64" s="113">
        <f>sumif('SELLING CREDIT'!E:E,W64,'SELLING CREDIT'!P:P)</f>
        <v>45040000</v>
      </c>
      <c r="Y64" s="113">
        <f>sumif('PAYMENT CREDIT'!E:E,W64,'PAYMENT CREDIT'!F:F)</f>
        <v>45040000</v>
      </c>
      <c r="Z64" s="113">
        <f t="shared" si="2"/>
        <v>0</v>
      </c>
      <c r="AD64" s="101"/>
      <c r="AF64" s="9"/>
      <c r="AG64" s="9"/>
      <c r="AH64" s="9"/>
    </row>
    <row r="65" ht="15.0" customHeight="1">
      <c r="A65" s="49"/>
      <c r="C65" s="93" t="str">
        <f>F65&amp;" "&amp;D65&amp;" "&amp;E65</f>
        <v>BD 28X9 15 GT</v>
      </c>
      <c r="D65" s="93" t="s">
        <v>779</v>
      </c>
      <c r="E65" s="93" t="s">
        <v>493</v>
      </c>
      <c r="F65" s="93" t="s">
        <v>489</v>
      </c>
      <c r="G65" s="93">
        <v>0.0</v>
      </c>
      <c r="H65" s="74">
        <v>250000.0</v>
      </c>
      <c r="I65" s="96">
        <v>204000.0</v>
      </c>
      <c r="J65" s="93" t="s">
        <v>7</v>
      </c>
      <c r="K65" s="93">
        <v>1.0</v>
      </c>
      <c r="L65" s="74">
        <v>0.0</v>
      </c>
      <c r="M65" s="93" t="s">
        <v>61</v>
      </c>
      <c r="N65" s="65">
        <f>sumif(PURCHASE!I:I,C65,PURCHASE!J:J)</f>
        <v>1</v>
      </c>
      <c r="O65" s="65">
        <f>sumif('SELLING CASH'!E:E,C65,'SELLING CASH'!F:F)</f>
        <v>1</v>
      </c>
      <c r="P65" s="65">
        <f>sumif('SELLING CREDIT'!F:F,C65,'SELLING CREDIT'!G:G)</f>
        <v>0</v>
      </c>
      <c r="Q65" s="65">
        <f t="shared" si="1"/>
        <v>0</v>
      </c>
      <c r="V65" s="110" t="s">
        <v>782</v>
      </c>
      <c r="W65" s="131" t="s">
        <v>783</v>
      </c>
      <c r="X65" s="113">
        <f>sumif('SELLING CREDIT'!E:E,W65,'SELLING CREDIT'!P:P)</f>
        <v>0</v>
      </c>
      <c r="Y65" s="113">
        <f>sumif('PAYMENT CREDIT'!E:E,W65,'PAYMENT CREDIT'!F:F)</f>
        <v>0</v>
      </c>
      <c r="Z65" s="113">
        <f t="shared" si="2"/>
        <v>0</v>
      </c>
      <c r="AD65" s="101"/>
      <c r="AF65" s="9"/>
      <c r="AG65" s="9"/>
      <c r="AH65" s="9"/>
    </row>
    <row r="66" ht="15.0" customHeight="1">
      <c r="A66" s="49"/>
      <c r="C66" s="93" t="s">
        <v>786</v>
      </c>
      <c r="D66" s="93" t="s">
        <v>788</v>
      </c>
      <c r="E66" s="93" t="s">
        <v>789</v>
      </c>
      <c r="F66" s="93" t="s">
        <v>489</v>
      </c>
      <c r="G66" s="93">
        <v>0.0</v>
      </c>
      <c r="H66" s="74">
        <v>135000.0</v>
      </c>
      <c r="I66" s="96">
        <v>92250.0</v>
      </c>
      <c r="J66" s="65" t="s">
        <v>7</v>
      </c>
      <c r="K66" s="65">
        <v>1.0</v>
      </c>
      <c r="L66" s="74">
        <v>0.0</v>
      </c>
      <c r="M66" s="93" t="s">
        <v>61</v>
      </c>
      <c r="N66" s="65">
        <f>sumif(PURCHASE!I:I,C66,PURCHASE!J:J)</f>
        <v>2</v>
      </c>
      <c r="O66" s="65">
        <f>sumif('SELLING CASH'!E:E,C66,'SELLING CASH'!F:F)</f>
        <v>2</v>
      </c>
      <c r="P66" s="65">
        <f>sumif('SELLING CREDIT'!F:F,C66,'SELLING CREDIT'!G:G)</f>
        <v>0</v>
      </c>
      <c r="Q66" s="65">
        <f t="shared" si="1"/>
        <v>0</v>
      </c>
      <c r="V66" s="110" t="s">
        <v>793</v>
      </c>
      <c r="W66" s="131" t="s">
        <v>794</v>
      </c>
      <c r="X66" s="113">
        <f>sumif('SELLING CREDIT'!E:E,W66,'SELLING CREDIT'!P:P)</f>
        <v>1945000</v>
      </c>
      <c r="Y66" s="113">
        <f>sumif('PAYMENT CREDIT'!E:E,W66,'PAYMENT CREDIT'!F:F)</f>
        <v>0</v>
      </c>
      <c r="Z66" s="113">
        <f t="shared" si="2"/>
        <v>1945000</v>
      </c>
      <c r="AD66" s="101"/>
      <c r="AF66" s="9"/>
      <c r="AG66" s="9"/>
      <c r="AH66" s="9"/>
    </row>
    <row r="67" ht="15.0" customHeight="1">
      <c r="A67" s="49"/>
      <c r="C67" s="93" t="s">
        <v>795</v>
      </c>
      <c r="D67" s="93" t="s">
        <v>796</v>
      </c>
      <c r="E67" s="93" t="s">
        <v>493</v>
      </c>
      <c r="F67" s="93" t="s">
        <v>489</v>
      </c>
      <c r="G67" s="93">
        <v>0.0</v>
      </c>
      <c r="H67" s="140">
        <v>175000.0</v>
      </c>
      <c r="I67" s="193">
        <v>123000.0</v>
      </c>
      <c r="J67" s="65" t="s">
        <v>7</v>
      </c>
      <c r="K67" s="65">
        <v>1.0</v>
      </c>
      <c r="L67" s="74">
        <v>0.0</v>
      </c>
      <c r="M67" s="93" t="s">
        <v>61</v>
      </c>
      <c r="N67" s="65">
        <f>sumif(PURCHASE!I:I,C67,PURCHASE!J:J)</f>
        <v>3</v>
      </c>
      <c r="O67" s="65">
        <f>sumif('SELLING CASH'!E:E,C67,'SELLING CASH'!F:F)</f>
        <v>3</v>
      </c>
      <c r="P67" s="65">
        <f>sumif('SELLING CREDIT'!F:F,C67,'SELLING CREDIT'!G:G)</f>
        <v>0</v>
      </c>
      <c r="Q67" s="65">
        <f t="shared" si="1"/>
        <v>0</v>
      </c>
      <c r="V67" s="110" t="s">
        <v>800</v>
      </c>
      <c r="W67" s="131" t="s">
        <v>801</v>
      </c>
      <c r="X67" s="113">
        <f>sumif('SELLING CREDIT'!E:E,W67,'SELLING CREDIT'!P:P)</f>
        <v>38310000</v>
      </c>
      <c r="Y67" s="113">
        <f>sumif('PAYMENT CREDIT'!E:E,W67,'PAYMENT CREDIT'!F:F)</f>
        <v>38310000</v>
      </c>
      <c r="Z67" s="113">
        <f t="shared" si="2"/>
        <v>0</v>
      </c>
      <c r="AD67" s="101"/>
      <c r="AF67" s="9"/>
      <c r="AG67" s="9"/>
      <c r="AH67" s="9"/>
    </row>
    <row r="68" ht="15.0" customHeight="1">
      <c r="A68" s="49"/>
      <c r="C68" s="93" t="s">
        <v>803</v>
      </c>
      <c r="D68" s="93" t="s">
        <v>804</v>
      </c>
      <c r="E68" s="93" t="s">
        <v>488</v>
      </c>
      <c r="F68" s="93" t="s">
        <v>489</v>
      </c>
      <c r="G68" s="93">
        <v>0.0</v>
      </c>
      <c r="H68" s="74">
        <v>260000.0</v>
      </c>
      <c r="I68" s="96">
        <v>230000.0</v>
      </c>
      <c r="J68" s="65" t="s">
        <v>87</v>
      </c>
      <c r="K68" s="65">
        <v>1.0</v>
      </c>
      <c r="L68" s="74">
        <v>0.0</v>
      </c>
      <c r="M68" s="93" t="s">
        <v>61</v>
      </c>
      <c r="N68" s="65">
        <f>sumif(PURCHASE!I:I,C68,PURCHASE!J:J)</f>
        <v>0</v>
      </c>
      <c r="O68" s="65">
        <f>sumif('SELLING CASH'!E:E,C68,'SELLING CASH'!F:F)</f>
        <v>0</v>
      </c>
      <c r="P68" s="65">
        <f>sumif('SELLING CREDIT'!F:F,C68,'SELLING CREDIT'!G:G)</f>
        <v>0</v>
      </c>
      <c r="Q68" s="65">
        <f t="shared" si="1"/>
        <v>0</v>
      </c>
      <c r="V68" s="110" t="s">
        <v>809</v>
      </c>
      <c r="W68" s="131" t="s">
        <v>810</v>
      </c>
      <c r="X68" s="113">
        <f>sumif('SELLING CREDIT'!E:E,W68,'SELLING CREDIT'!P:P)</f>
        <v>25005000</v>
      </c>
      <c r="Y68" s="113">
        <f>sumif('PAYMENT CREDIT'!E:E,W68,'PAYMENT CREDIT'!F:F)</f>
        <v>25005000</v>
      </c>
      <c r="Z68" s="113">
        <f t="shared" si="2"/>
        <v>0</v>
      </c>
      <c r="AD68" s="101"/>
      <c r="AF68" s="9"/>
      <c r="AG68" s="9"/>
      <c r="AH68" s="9"/>
    </row>
    <row r="69" ht="15.0" customHeight="1">
      <c r="A69" s="49"/>
      <c r="C69" s="93" t="s">
        <v>812</v>
      </c>
      <c r="D69" s="93" t="s">
        <v>813</v>
      </c>
      <c r="E69" s="93" t="s">
        <v>789</v>
      </c>
      <c r="F69" s="93" t="s">
        <v>489</v>
      </c>
      <c r="G69" s="93">
        <v>0.0</v>
      </c>
      <c r="H69" s="74">
        <v>200000.0</v>
      </c>
      <c r="I69" s="96">
        <v>157500.0</v>
      </c>
      <c r="J69" s="65" t="s">
        <v>7</v>
      </c>
      <c r="K69" s="65">
        <v>1.0</v>
      </c>
      <c r="L69" s="74">
        <v>0.0</v>
      </c>
      <c r="M69" s="93" t="s">
        <v>61</v>
      </c>
      <c r="N69" s="65">
        <f>sumif(PURCHASE!I:I,C69,PURCHASE!J:J)</f>
        <v>3</v>
      </c>
      <c r="O69" s="65">
        <f>sumif('SELLING CASH'!E:E,C69,'SELLING CASH'!F:F)</f>
        <v>3</v>
      </c>
      <c r="P69" s="65">
        <f>sumif('SELLING CREDIT'!F:F,C69,'SELLING CREDIT'!G:G)</f>
        <v>0</v>
      </c>
      <c r="Q69" s="65">
        <f t="shared" si="1"/>
        <v>0</v>
      </c>
      <c r="V69" s="110" t="s">
        <v>818</v>
      </c>
      <c r="W69" s="131" t="s">
        <v>819</v>
      </c>
      <c r="X69" s="113">
        <f>sumif('SELLING CREDIT'!E:E,W69,'SELLING CREDIT'!P:P)</f>
        <v>27570000</v>
      </c>
      <c r="Y69" s="113">
        <f>sumif('PAYMENT CREDIT'!E:E,W69,'PAYMENT CREDIT'!F:F)</f>
        <v>25460000</v>
      </c>
      <c r="Z69" s="113">
        <f t="shared" si="2"/>
        <v>2110000</v>
      </c>
      <c r="AD69" s="101"/>
      <c r="AF69" s="9"/>
      <c r="AG69" s="9"/>
      <c r="AH69" s="9"/>
    </row>
    <row r="70" ht="15.0" customHeight="1">
      <c r="A70" s="49"/>
      <c r="C70" s="93" t="str">
        <f>F70&amp;" "&amp;D70&amp;" "&amp;E70</f>
        <v>BD 8.25 Bestone</v>
      </c>
      <c r="D70" s="93">
        <v>8.25</v>
      </c>
      <c r="E70" s="93" t="s">
        <v>728</v>
      </c>
      <c r="F70" s="93" t="s">
        <v>489</v>
      </c>
      <c r="G70" s="93">
        <v>8.0</v>
      </c>
      <c r="H70" s="74">
        <v>190000.0</v>
      </c>
      <c r="I70" s="96">
        <v>160000.0</v>
      </c>
      <c r="J70" s="93" t="s">
        <v>7</v>
      </c>
      <c r="K70" s="93">
        <v>1.0</v>
      </c>
      <c r="L70" s="74">
        <v>0.0</v>
      </c>
      <c r="M70" s="93" t="s">
        <v>61</v>
      </c>
      <c r="N70" s="65">
        <f>sumif(PURCHASE!I:I,C70,PURCHASE!J:J)</f>
        <v>0</v>
      </c>
      <c r="O70" s="65">
        <f>sumif('SELLING CASH'!E:E,C70,'SELLING CASH'!F:F)</f>
        <v>0</v>
      </c>
      <c r="P70" s="65">
        <f>sumif('SELLING CREDIT'!F:F,C70,'SELLING CREDIT'!G:G)</f>
        <v>8</v>
      </c>
      <c r="Q70" s="65">
        <f t="shared" si="1"/>
        <v>0</v>
      </c>
      <c r="V70" s="110" t="s">
        <v>828</v>
      </c>
      <c r="W70" s="131" t="s">
        <v>829</v>
      </c>
      <c r="X70" s="113">
        <f>sumif('SELLING CREDIT'!E:E,W70,'SELLING CREDIT'!P:P)</f>
        <v>0</v>
      </c>
      <c r="Y70" s="113">
        <f>sumif('PAYMENT CREDIT'!E:E,W70,'PAYMENT CREDIT'!F:F)</f>
        <v>0</v>
      </c>
      <c r="Z70" s="113">
        <f t="shared" si="2"/>
        <v>0</v>
      </c>
      <c r="AD70" s="101"/>
      <c r="AF70" s="9"/>
      <c r="AG70" s="9"/>
      <c r="AH70" s="9"/>
    </row>
    <row r="71" ht="15.0" customHeight="1">
      <c r="A71" s="49"/>
      <c r="C71" s="93" t="s">
        <v>830</v>
      </c>
      <c r="D71" s="93">
        <v>8.25</v>
      </c>
      <c r="E71" s="93" t="s">
        <v>587</v>
      </c>
      <c r="F71" s="93" t="s">
        <v>489</v>
      </c>
      <c r="G71" s="93">
        <v>10.0</v>
      </c>
      <c r="H71" s="74">
        <v>220000.0</v>
      </c>
      <c r="I71" s="96">
        <v>184150.0</v>
      </c>
      <c r="J71" s="65" t="s">
        <v>7</v>
      </c>
      <c r="K71" s="65">
        <v>1.0</v>
      </c>
      <c r="L71" s="74">
        <v>0.0</v>
      </c>
      <c r="M71" s="93" t="s">
        <v>61</v>
      </c>
      <c r="N71" s="65">
        <f>sumif(PURCHASE!I:I,C71,PURCHASE!J:J)</f>
        <v>40</v>
      </c>
      <c r="O71" s="65">
        <f>sumif('SELLING CASH'!E:E,C71,'SELLING CASH'!F:F)</f>
        <v>1</v>
      </c>
      <c r="P71" s="65">
        <f>sumif('SELLING CREDIT'!F:F,C71,'SELLING CREDIT'!G:G)</f>
        <v>13</v>
      </c>
      <c r="Q71" s="65">
        <f t="shared" si="1"/>
        <v>36</v>
      </c>
      <c r="V71" s="110" t="s">
        <v>832</v>
      </c>
      <c r="W71" s="131" t="s">
        <v>833</v>
      </c>
      <c r="X71" s="113">
        <f>sumif('SELLING CREDIT'!E:E,W71,'SELLING CREDIT'!P:P)</f>
        <v>0</v>
      </c>
      <c r="Y71" s="113">
        <f>sumif('PAYMENT CREDIT'!E:E,W71,'PAYMENT CREDIT'!F:F)</f>
        <v>0</v>
      </c>
      <c r="Z71" s="113">
        <f t="shared" si="2"/>
        <v>0</v>
      </c>
      <c r="AD71" s="101"/>
      <c r="AF71" s="9"/>
      <c r="AG71" s="9"/>
      <c r="AH71" s="9"/>
    </row>
    <row r="72" ht="15.0" customHeight="1">
      <c r="A72" s="49"/>
      <c r="C72" s="93" t="s">
        <v>836</v>
      </c>
      <c r="D72" s="93" t="s">
        <v>837</v>
      </c>
      <c r="E72" s="93" t="s">
        <v>493</v>
      </c>
      <c r="F72" s="93" t="s">
        <v>489</v>
      </c>
      <c r="G72" s="93">
        <v>8.0</v>
      </c>
      <c r="H72" s="74">
        <v>398000.0</v>
      </c>
      <c r="I72" s="96">
        <v>348000.0</v>
      </c>
      <c r="J72" s="65" t="s">
        <v>7</v>
      </c>
      <c r="K72" s="65">
        <v>1.0</v>
      </c>
      <c r="L72" s="74">
        <v>0.0</v>
      </c>
      <c r="M72" s="93" t="s">
        <v>61</v>
      </c>
      <c r="N72" s="65">
        <f>sumif(PURCHASE!I:I,C72,PURCHASE!J:J)</f>
        <v>10</v>
      </c>
      <c r="O72" s="65">
        <f>sumif('SELLING CASH'!E:E,C72,'SELLING CASH'!F:F)</f>
        <v>0</v>
      </c>
      <c r="P72" s="65">
        <f>sumif('SELLING CREDIT'!F:F,C72,'SELLING CREDIT'!G:G)</f>
        <v>4</v>
      </c>
      <c r="Q72" s="65">
        <f t="shared" si="1"/>
        <v>14</v>
      </c>
      <c r="V72" s="110" t="s">
        <v>842</v>
      </c>
      <c r="W72" s="131" t="s">
        <v>843</v>
      </c>
      <c r="X72" s="113">
        <f>sumif('SELLING CREDIT'!E:E,W72,'SELLING CREDIT'!P:P)</f>
        <v>16820000</v>
      </c>
      <c r="Y72" s="113">
        <f>sumif('PAYMENT CREDIT'!E:E,W72,'PAYMENT CREDIT'!F:F)</f>
        <v>16320000</v>
      </c>
      <c r="Z72" s="113">
        <f t="shared" si="2"/>
        <v>500000</v>
      </c>
      <c r="AD72" s="101"/>
      <c r="AF72" s="9"/>
      <c r="AG72" s="9"/>
      <c r="AH72" s="9"/>
    </row>
    <row r="73" ht="15.0" customHeight="1">
      <c r="A73" s="49"/>
      <c r="C73" s="93" t="s">
        <v>846</v>
      </c>
      <c r="D73" s="93" t="s">
        <v>848</v>
      </c>
      <c r="E73" s="93" t="s">
        <v>488</v>
      </c>
      <c r="F73" s="93" t="s">
        <v>489</v>
      </c>
      <c r="G73" s="93">
        <v>0.0</v>
      </c>
      <c r="H73" s="74">
        <v>525000.0</v>
      </c>
      <c r="I73" s="96">
        <v>415000.0</v>
      </c>
      <c r="J73" s="65" t="s">
        <v>87</v>
      </c>
      <c r="K73" s="65">
        <v>1.0</v>
      </c>
      <c r="L73" s="74">
        <v>0.0</v>
      </c>
      <c r="M73" s="93" t="s">
        <v>61</v>
      </c>
      <c r="N73" s="65">
        <f>sumif(PURCHASE!I:I,C73,PURCHASE!J:J)</f>
        <v>1</v>
      </c>
      <c r="O73" s="65">
        <f>sumif('SELLING CASH'!E:E,C73,'SELLING CASH'!F:F)</f>
        <v>1</v>
      </c>
      <c r="P73" s="65">
        <f>sumif('SELLING CREDIT'!F:F,C73,'SELLING CREDIT'!G:G)</f>
        <v>0</v>
      </c>
      <c r="Q73" s="65">
        <f t="shared" si="1"/>
        <v>0</v>
      </c>
      <c r="V73" s="110" t="s">
        <v>853</v>
      </c>
      <c r="W73" s="131" t="s">
        <v>854</v>
      </c>
      <c r="X73" s="113">
        <f>sumif('SELLING CREDIT'!E:E,W73,'SELLING CREDIT'!P:P)</f>
        <v>1700000</v>
      </c>
      <c r="Y73" s="113">
        <f>sumif('PAYMENT CREDIT'!E:E,W73,'PAYMENT CREDIT'!F:F)</f>
        <v>1700000</v>
      </c>
      <c r="Z73" s="113">
        <f t="shared" si="2"/>
        <v>0</v>
      </c>
      <c r="AD73" s="101"/>
      <c r="AF73" s="9"/>
      <c r="AG73" s="9"/>
      <c r="AH73" s="9"/>
    </row>
    <row r="74" ht="15.0" customHeight="1">
      <c r="A74" s="49"/>
      <c r="C74" s="93" t="s">
        <v>846</v>
      </c>
      <c r="D74" s="93" t="s">
        <v>848</v>
      </c>
      <c r="E74" s="93" t="s">
        <v>488</v>
      </c>
      <c r="F74" s="93" t="s">
        <v>489</v>
      </c>
      <c r="G74" s="93">
        <v>0.0</v>
      </c>
      <c r="H74" s="74">
        <v>525000.0</v>
      </c>
      <c r="I74" s="96">
        <v>436500.0</v>
      </c>
      <c r="J74" s="65" t="s">
        <v>87</v>
      </c>
      <c r="K74" s="65">
        <v>1.0</v>
      </c>
      <c r="L74" s="74">
        <v>0.0</v>
      </c>
      <c r="M74" s="93" t="s">
        <v>61</v>
      </c>
      <c r="N74" s="65">
        <f>sumif(PURCHASE!I:I,C74,PURCHASE!J:J)</f>
        <v>1</v>
      </c>
      <c r="O74" s="65">
        <f>sumif('SELLING CASH'!E:E,C74,'SELLING CASH'!F:F)</f>
        <v>1</v>
      </c>
      <c r="P74" s="65">
        <f>sumif('SELLING CREDIT'!F:F,C74,'SELLING CREDIT'!G:G)</f>
        <v>0</v>
      </c>
      <c r="Q74" s="65">
        <f t="shared" si="1"/>
        <v>0</v>
      </c>
      <c r="V74" s="110" t="s">
        <v>859</v>
      </c>
      <c r="W74" s="281" t="s">
        <v>860</v>
      </c>
      <c r="X74" s="113">
        <f>sumif('SELLING CREDIT'!E:E,W74,'SELLING CREDIT'!P:P)</f>
        <v>0</v>
      </c>
      <c r="Y74" s="113">
        <f>sumif('PAYMENT CREDIT'!E:E,W74,'PAYMENT CREDIT'!F:F)</f>
        <v>0</v>
      </c>
      <c r="Z74" s="113">
        <f t="shared" si="2"/>
        <v>0</v>
      </c>
      <c r="AD74" s="101"/>
      <c r="AF74" s="9"/>
      <c r="AG74" s="9"/>
      <c r="AH74" s="9"/>
    </row>
    <row r="75" ht="15.0" customHeight="1">
      <c r="A75" s="49"/>
      <c r="C75" s="93" t="str">
        <f>F75&amp;" "&amp;D75&amp;" "&amp;E75</f>
        <v>BD IBK 15 Pentil Pendek</v>
      </c>
      <c r="D75" s="93">
        <v>15.0</v>
      </c>
      <c r="E75" s="93" t="s">
        <v>863</v>
      </c>
      <c r="F75" s="93" t="s">
        <v>864</v>
      </c>
      <c r="G75" s="93">
        <v>0.0</v>
      </c>
      <c r="H75" s="74">
        <v>115000.0</v>
      </c>
      <c r="I75" s="96">
        <v>81000.0</v>
      </c>
      <c r="J75" s="93" t="s">
        <v>7</v>
      </c>
      <c r="K75" s="93">
        <v>1.0</v>
      </c>
      <c r="L75" s="74">
        <v>0.0</v>
      </c>
      <c r="M75" s="93" t="s">
        <v>61</v>
      </c>
      <c r="N75" s="65">
        <f>sumif(PURCHASE!I:I,C75,PURCHASE!J:J)</f>
        <v>30</v>
      </c>
      <c r="O75" s="65">
        <f>sumif('SELLING CASH'!E:E,C75,'SELLING CASH'!F:F)</f>
        <v>18</v>
      </c>
      <c r="P75" s="65">
        <f>sumif('SELLING CREDIT'!F:F,C75,'SELLING CREDIT'!G:G)</f>
        <v>0</v>
      </c>
      <c r="Q75" s="65">
        <f t="shared" si="1"/>
        <v>12</v>
      </c>
      <c r="V75" s="110" t="s">
        <v>866</v>
      </c>
      <c r="W75" s="131" t="s">
        <v>867</v>
      </c>
      <c r="X75" s="113">
        <f>sumif('SELLING CREDIT'!E:E,W75,'SELLING CREDIT'!P:P)</f>
        <v>34280000</v>
      </c>
      <c r="Y75" s="113">
        <f>sumif('PAYMENT CREDIT'!E:E,W75,'PAYMENT CREDIT'!F:F)</f>
        <v>34380000</v>
      </c>
      <c r="Z75" s="113">
        <f t="shared" si="2"/>
        <v>-100000</v>
      </c>
      <c r="AD75" s="101"/>
      <c r="AF75" s="9"/>
      <c r="AG75" s="9"/>
      <c r="AH75" s="9"/>
    </row>
    <row r="76" ht="15.0" customHeight="1">
      <c r="A76" s="49"/>
      <c r="C76" s="93" t="s">
        <v>246</v>
      </c>
      <c r="D76" s="93" t="s">
        <v>0</v>
      </c>
      <c r="F76" s="93" t="s">
        <v>246</v>
      </c>
      <c r="G76" s="93">
        <v>0.0</v>
      </c>
      <c r="H76" s="74">
        <v>35000.0</v>
      </c>
      <c r="I76" s="96">
        <v>0.0</v>
      </c>
      <c r="J76" s="65" t="s">
        <v>87</v>
      </c>
      <c r="K76" s="65">
        <v>0.0</v>
      </c>
      <c r="L76" s="74">
        <v>0.0</v>
      </c>
      <c r="M76" s="65" t="s">
        <v>251</v>
      </c>
      <c r="N76" s="65">
        <f>sumif(PURCHASE!I:I,C76,PURCHASE!J:J)</f>
        <v>0</v>
      </c>
      <c r="O76" s="65">
        <f>sumif('SELLING CASH'!E:E,C76,'SELLING CASH'!F:F)</f>
        <v>448</v>
      </c>
      <c r="P76" s="65">
        <f>sumif('SELLING CREDIT'!F:F,C76,'SELLING CREDIT'!G:G)</f>
        <v>4</v>
      </c>
      <c r="Q76" s="65">
        <f t="shared" si="1"/>
        <v>-452</v>
      </c>
      <c r="V76" s="110" t="s">
        <v>873</v>
      </c>
      <c r="W76" s="131" t="s">
        <v>874</v>
      </c>
      <c r="X76" s="113">
        <f>sumif('SELLING CREDIT'!E:E,W76,'SELLING CREDIT'!P:P)</f>
        <v>13035000</v>
      </c>
      <c r="Y76" s="113">
        <f>sumif('PAYMENT CREDIT'!E:E,W76,'PAYMENT CREDIT'!F:F)</f>
        <v>13035000</v>
      </c>
      <c r="Z76" s="113">
        <f t="shared" si="2"/>
        <v>0</v>
      </c>
      <c r="AD76" s="101"/>
      <c r="AF76" s="9"/>
      <c r="AG76" s="9"/>
      <c r="AH76" s="9"/>
    </row>
    <row r="77" ht="15.0" customHeight="1">
      <c r="A77" s="49"/>
      <c r="C77" s="93" t="s">
        <v>878</v>
      </c>
      <c r="D77" s="93" t="s">
        <v>0</v>
      </c>
      <c r="F77" s="93" t="s">
        <v>878</v>
      </c>
      <c r="G77" s="93">
        <v>9.9999296E7</v>
      </c>
      <c r="H77" s="74">
        <v>50000.0</v>
      </c>
      <c r="I77" s="96">
        <v>0.0</v>
      </c>
      <c r="J77" s="65" t="s">
        <v>87</v>
      </c>
      <c r="K77" s="65">
        <v>0.0</v>
      </c>
      <c r="L77" s="74">
        <v>0.0</v>
      </c>
      <c r="M77" s="65" t="s">
        <v>251</v>
      </c>
      <c r="N77" s="65">
        <f>sumif(PURCHASE!I:I,C77,PURCHASE!J:J)</f>
        <v>0</v>
      </c>
      <c r="O77" s="65">
        <f>sumif('SELLING CASH'!E:E,C77,'SELLING CASH'!F:F)</f>
        <v>75</v>
      </c>
      <c r="P77" s="65">
        <f>sumif('SELLING CREDIT'!F:F,C77,'SELLING CREDIT'!G:G)</f>
        <v>0</v>
      </c>
      <c r="Q77" s="65">
        <f t="shared" si="1"/>
        <v>99999221</v>
      </c>
      <c r="V77" s="110" t="s">
        <v>881</v>
      </c>
      <c r="W77" s="131" t="s">
        <v>882</v>
      </c>
      <c r="X77" s="113">
        <f>sumif('SELLING CREDIT'!E:E,W77,'SELLING CREDIT'!P:P)</f>
        <v>0</v>
      </c>
      <c r="Y77" s="113">
        <f>sumif('PAYMENT CREDIT'!E:E,W77,'PAYMENT CREDIT'!F:F)</f>
        <v>0</v>
      </c>
      <c r="Z77" s="113">
        <f t="shared" si="2"/>
        <v>0</v>
      </c>
      <c r="AD77" s="101"/>
      <c r="AF77" s="9"/>
      <c r="AG77" s="9"/>
      <c r="AH77" s="9"/>
    </row>
    <row r="78" ht="15.0" customHeight="1">
      <c r="A78" s="49"/>
      <c r="C78" s="93" t="s">
        <v>884</v>
      </c>
      <c r="D78" s="93" t="s">
        <v>509</v>
      </c>
      <c r="F78" s="93" t="s">
        <v>488</v>
      </c>
      <c r="G78" s="93">
        <v>4873.0</v>
      </c>
      <c r="H78" s="74">
        <v>3520000.0</v>
      </c>
      <c r="I78" s="96">
        <v>3365000.0</v>
      </c>
      <c r="J78" s="65" t="s">
        <v>87</v>
      </c>
      <c r="K78" s="65">
        <v>1.0</v>
      </c>
      <c r="L78" s="74">
        <v>0.0</v>
      </c>
      <c r="M78" s="93" t="s">
        <v>61</v>
      </c>
      <c r="N78" s="65">
        <f>sumif(PURCHASE!I:I,C78,PURCHASE!J:J)</f>
        <v>2</v>
      </c>
      <c r="O78" s="65">
        <f>sumif('SELLING CASH'!E:E,C78,'SELLING CASH'!F:F)</f>
        <v>2</v>
      </c>
      <c r="P78" s="65">
        <f>sumif('SELLING CREDIT'!F:F,C78,'SELLING CREDIT'!G:G)</f>
        <v>0</v>
      </c>
      <c r="Q78" s="65">
        <f t="shared" si="1"/>
        <v>4873</v>
      </c>
      <c r="V78" s="110" t="s">
        <v>890</v>
      </c>
      <c r="W78" s="131" t="s">
        <v>891</v>
      </c>
      <c r="X78" s="113">
        <f>sumif('SELLING CREDIT'!E:E,W78,'SELLING CREDIT'!P:P)</f>
        <v>4500000</v>
      </c>
      <c r="Y78" s="113">
        <f>sumif('PAYMENT CREDIT'!E:E,W78,'PAYMENT CREDIT'!F:F)</f>
        <v>4500000</v>
      </c>
      <c r="Z78" s="113">
        <f t="shared" si="2"/>
        <v>0</v>
      </c>
      <c r="AD78" s="101"/>
      <c r="AF78" s="9"/>
      <c r="AG78" s="9"/>
      <c r="AH78" s="9"/>
    </row>
    <row r="79" ht="15.0" customHeight="1">
      <c r="A79" s="49"/>
      <c r="C79" s="93" t="s">
        <v>605</v>
      </c>
      <c r="D79" s="93" t="s">
        <v>892</v>
      </c>
      <c r="E79" s="93" t="s">
        <v>894</v>
      </c>
      <c r="F79" s="93" t="s">
        <v>488</v>
      </c>
      <c r="G79" s="93">
        <v>0.0</v>
      </c>
      <c r="H79" s="74">
        <v>765000.0</v>
      </c>
      <c r="I79" s="96">
        <v>675000.0</v>
      </c>
      <c r="J79" s="65" t="s">
        <v>87</v>
      </c>
      <c r="K79" s="65">
        <v>1.0</v>
      </c>
      <c r="L79" s="74">
        <v>0.0</v>
      </c>
      <c r="M79" s="93" t="s">
        <v>61</v>
      </c>
      <c r="N79" s="65">
        <f>sumif(PURCHASE!I:I,C79,PURCHASE!J:J)</f>
        <v>105</v>
      </c>
      <c r="O79" s="65">
        <f>sumif('SELLING CASH'!E:E,C79,'SELLING CASH'!F:F)</f>
        <v>95</v>
      </c>
      <c r="P79" s="65">
        <f>sumif('SELLING CREDIT'!F:F,C79,'SELLING CREDIT'!G:G)</f>
        <v>0</v>
      </c>
      <c r="Q79" s="65">
        <f t="shared" si="1"/>
        <v>10</v>
      </c>
      <c r="V79" s="110" t="s">
        <v>900</v>
      </c>
      <c r="W79" s="131" t="s">
        <v>901</v>
      </c>
      <c r="X79" s="113">
        <f>sumif('SELLING CREDIT'!E:E,W79,'SELLING CREDIT'!P:P)</f>
        <v>22800000</v>
      </c>
      <c r="Y79" s="113">
        <f>sumif('PAYMENT CREDIT'!E:E,W79,'PAYMENT CREDIT'!F:F)</f>
        <v>24800000</v>
      </c>
      <c r="Z79" s="113">
        <f t="shared" si="2"/>
        <v>-2000000</v>
      </c>
      <c r="AD79" s="101"/>
      <c r="AF79" s="9"/>
      <c r="AG79" s="9"/>
      <c r="AH79" s="9"/>
    </row>
    <row r="80" ht="15.0" customHeight="1">
      <c r="A80" s="49"/>
      <c r="C80" s="93" t="s">
        <v>581</v>
      </c>
      <c r="D80" s="93" t="s">
        <v>103</v>
      </c>
      <c r="E80" s="93" t="s">
        <v>902</v>
      </c>
      <c r="F80" s="93" t="s">
        <v>488</v>
      </c>
      <c r="G80" s="93">
        <v>0.0</v>
      </c>
      <c r="H80" s="74">
        <v>645000.0</v>
      </c>
      <c r="I80" s="96">
        <v>542528.0</v>
      </c>
      <c r="J80" s="65" t="s">
        <v>87</v>
      </c>
      <c r="K80" s="65">
        <v>1.0</v>
      </c>
      <c r="L80" s="74">
        <v>0.0</v>
      </c>
      <c r="M80" s="93" t="s">
        <v>61</v>
      </c>
      <c r="N80" s="65">
        <f>sumif(PURCHASE!I:I,C80,PURCHASE!J:J)</f>
        <v>27</v>
      </c>
      <c r="O80" s="65">
        <f>sumif('SELLING CASH'!E:E,C80,'SELLING CASH'!F:F)</f>
        <v>26</v>
      </c>
      <c r="P80" s="65">
        <f>sumif('SELLING CREDIT'!F:F,C80,'SELLING CREDIT'!G:G)</f>
        <v>0</v>
      </c>
      <c r="Q80" s="65">
        <f t="shared" si="1"/>
        <v>1</v>
      </c>
      <c r="V80" s="110" t="s">
        <v>904</v>
      </c>
      <c r="W80" s="131" t="s">
        <v>905</v>
      </c>
      <c r="X80" s="113">
        <f>sumif('SELLING CREDIT'!E:E,W80,'SELLING CREDIT'!P:P)</f>
        <v>0</v>
      </c>
      <c r="Y80" s="113">
        <f>sumif('PAYMENT CREDIT'!E:E,W80,'PAYMENT CREDIT'!F:F)</f>
        <v>0</v>
      </c>
      <c r="Z80" s="113">
        <f t="shared" si="2"/>
        <v>0</v>
      </c>
      <c r="AD80" s="101"/>
      <c r="AF80" s="9"/>
      <c r="AG80" s="9"/>
      <c r="AH80" s="9"/>
    </row>
    <row r="81" ht="15.0" customHeight="1">
      <c r="A81" s="49"/>
      <c r="C81" s="93" t="s">
        <v>554</v>
      </c>
      <c r="D81" s="93" t="s">
        <v>116</v>
      </c>
      <c r="E81" s="93" t="s">
        <v>894</v>
      </c>
      <c r="F81" s="93" t="s">
        <v>488</v>
      </c>
      <c r="G81" s="93">
        <v>0.0</v>
      </c>
      <c r="H81" s="140">
        <v>800000.0</v>
      </c>
      <c r="I81" s="193">
        <v>710000.0</v>
      </c>
      <c r="J81" s="65" t="s">
        <v>87</v>
      </c>
      <c r="K81" s="65">
        <v>1.0</v>
      </c>
      <c r="L81" s="74">
        <v>0.0</v>
      </c>
      <c r="M81" s="93" t="s">
        <v>61</v>
      </c>
      <c r="N81" s="65">
        <f>sumif(PURCHASE!I:I,C81,PURCHASE!J:J)</f>
        <v>160</v>
      </c>
      <c r="O81" s="65">
        <f>sumif('SELLING CASH'!E:E,C81,'SELLING CASH'!F:F)</f>
        <v>157</v>
      </c>
      <c r="P81" s="65">
        <f>sumif('SELLING CREDIT'!F:F,C81,'SELLING CREDIT'!G:G)</f>
        <v>4</v>
      </c>
      <c r="Q81" s="65">
        <f t="shared" si="1"/>
        <v>-1</v>
      </c>
      <c r="V81" s="110" t="s">
        <v>909</v>
      </c>
      <c r="W81" s="131" t="s">
        <v>911</v>
      </c>
      <c r="X81" s="113">
        <f>sumif('SELLING CREDIT'!E:E,W81,'SELLING CREDIT'!P:P)</f>
        <v>14530000</v>
      </c>
      <c r="Y81" s="113">
        <f>sumif('PAYMENT CREDIT'!E:E,W81,'PAYMENT CREDIT'!F:F)</f>
        <v>12250000</v>
      </c>
      <c r="Z81" s="113">
        <f t="shared" si="2"/>
        <v>2280000</v>
      </c>
      <c r="AD81" s="101"/>
      <c r="AF81" s="9"/>
      <c r="AG81" s="9"/>
      <c r="AH81" s="9"/>
    </row>
    <row r="82" ht="15.0" customHeight="1">
      <c r="A82" s="49"/>
      <c r="C82" s="93" t="s">
        <v>600</v>
      </c>
      <c r="D82" s="93" t="s">
        <v>127</v>
      </c>
      <c r="E82" s="93" t="s">
        <v>902</v>
      </c>
      <c r="F82" s="93" t="s">
        <v>488</v>
      </c>
      <c r="G82" s="93">
        <v>8.0</v>
      </c>
      <c r="H82" s="140">
        <v>700000.0</v>
      </c>
      <c r="I82" s="193">
        <v>611109.16</v>
      </c>
      <c r="J82" s="65" t="s">
        <v>87</v>
      </c>
      <c r="K82" s="65">
        <v>1.0</v>
      </c>
      <c r="L82" s="74">
        <v>0.0</v>
      </c>
      <c r="M82" s="93" t="s">
        <v>61</v>
      </c>
      <c r="N82" s="65">
        <f>sumif(PURCHASE!I:I,C82,PURCHASE!J:J)</f>
        <v>130</v>
      </c>
      <c r="O82" s="65">
        <f>sumif('SELLING CASH'!E:E,C82,'SELLING CASH'!F:F)</f>
        <v>124</v>
      </c>
      <c r="P82" s="65">
        <f>sumif('SELLING CREDIT'!F:F,C82,'SELLING CREDIT'!G:G)</f>
        <v>1</v>
      </c>
      <c r="Q82" s="65">
        <f t="shared" si="1"/>
        <v>13</v>
      </c>
      <c r="V82" s="110" t="s">
        <v>918</v>
      </c>
      <c r="W82" s="131" t="s">
        <v>919</v>
      </c>
      <c r="X82" s="113">
        <f>sumif('SELLING CREDIT'!E:E,W82,'SELLING CREDIT'!P:P)</f>
        <v>6000000</v>
      </c>
      <c r="Y82" s="113">
        <f>sumif('PAYMENT CREDIT'!E:E,W82,'PAYMENT CREDIT'!F:F)</f>
        <v>3000000</v>
      </c>
      <c r="Z82" s="113">
        <f t="shared" si="2"/>
        <v>3000000</v>
      </c>
      <c r="AD82" s="101"/>
      <c r="AF82" s="9"/>
      <c r="AG82" s="9"/>
      <c r="AH82" s="9"/>
    </row>
    <row r="83" ht="22.5" customHeight="1">
      <c r="A83" s="49"/>
      <c r="C83" s="93" t="s">
        <v>921</v>
      </c>
      <c r="D83" s="93" t="s">
        <v>127</v>
      </c>
      <c r="E83" s="93" t="s">
        <v>922</v>
      </c>
      <c r="F83" s="93" t="s">
        <v>488</v>
      </c>
      <c r="G83" s="93">
        <v>0.0</v>
      </c>
      <c r="H83" s="74">
        <v>670000.0</v>
      </c>
      <c r="I83" s="96">
        <v>571000.0</v>
      </c>
      <c r="J83" s="65" t="s">
        <v>87</v>
      </c>
      <c r="K83" s="65">
        <v>1.0</v>
      </c>
      <c r="L83" s="74">
        <v>0.0</v>
      </c>
      <c r="M83" s="93" t="s">
        <v>61</v>
      </c>
      <c r="N83" s="65">
        <f>sumif(PURCHASE!I:I,C83,PURCHASE!J:J)</f>
        <v>0</v>
      </c>
      <c r="O83" s="65">
        <f>sumif('SELLING CASH'!E:E,C83,'SELLING CASH'!F:F)</f>
        <v>0</v>
      </c>
      <c r="P83" s="65">
        <f>sumif('SELLING CREDIT'!F:F,C83,'SELLING CREDIT'!G:G)</f>
        <v>0</v>
      </c>
      <c r="Q83" s="65">
        <f t="shared" si="1"/>
        <v>0</v>
      </c>
      <c r="V83" s="110" t="s">
        <v>925</v>
      </c>
      <c r="W83" s="131" t="s">
        <v>927</v>
      </c>
      <c r="X83" s="113">
        <f>sumif('SELLING CREDIT'!E:E,W83,'SELLING CREDIT'!P:P)</f>
        <v>34960000</v>
      </c>
      <c r="Y83" s="113">
        <f>sumif('PAYMENT CREDIT'!E:E,W83,'PAYMENT CREDIT'!F:F)</f>
        <v>34960000</v>
      </c>
      <c r="Z83" s="113">
        <f t="shared" si="2"/>
        <v>0</v>
      </c>
      <c r="AD83" s="101"/>
      <c r="AF83" s="9"/>
      <c r="AG83" s="9"/>
      <c r="AH83" s="9"/>
    </row>
    <row r="84" ht="22.5" customHeight="1">
      <c r="A84" s="49"/>
      <c r="C84" s="93" t="s">
        <v>930</v>
      </c>
      <c r="D84" s="93" t="s">
        <v>140</v>
      </c>
      <c r="E84" s="93" t="s">
        <v>902</v>
      </c>
      <c r="F84" s="93" t="s">
        <v>488</v>
      </c>
      <c r="G84" s="93">
        <v>3.0</v>
      </c>
      <c r="H84" s="74">
        <v>750000.0</v>
      </c>
      <c r="I84" s="96">
        <v>634099.2</v>
      </c>
      <c r="J84" s="65" t="s">
        <v>87</v>
      </c>
      <c r="K84" s="65">
        <v>1.0</v>
      </c>
      <c r="L84" s="74">
        <v>0.0</v>
      </c>
      <c r="M84" s="93" t="s">
        <v>61</v>
      </c>
      <c r="N84" s="65">
        <f>sumif(PURCHASE!I:I,C84,PURCHASE!J:J)</f>
        <v>4</v>
      </c>
      <c r="O84" s="65">
        <f>sumif('SELLING CASH'!E:E,C84,'SELLING CASH'!F:F)</f>
        <v>7</v>
      </c>
      <c r="P84" s="65">
        <f>sumif('SELLING CREDIT'!F:F,C84,'SELLING CREDIT'!G:G)</f>
        <v>0</v>
      </c>
      <c r="Q84" s="65">
        <f t="shared" si="1"/>
        <v>0</v>
      </c>
      <c r="V84" s="110" t="s">
        <v>934</v>
      </c>
      <c r="W84" s="131" t="s">
        <v>935</v>
      </c>
      <c r="X84" s="113">
        <f>sumif('SELLING CREDIT'!E:E,W84,'SELLING CREDIT'!P:P)</f>
        <v>5960000</v>
      </c>
      <c r="Y84" s="113">
        <f>sumif('PAYMENT CREDIT'!E:E,W84,'PAYMENT CREDIT'!F:F)</f>
        <v>5960000</v>
      </c>
      <c r="Z84" s="113">
        <f t="shared" si="2"/>
        <v>0</v>
      </c>
      <c r="AD84" s="101"/>
      <c r="AF84" s="9"/>
      <c r="AG84" s="9"/>
      <c r="AH84" s="9"/>
    </row>
    <row r="85" ht="22.5" customHeight="1">
      <c r="A85" s="49"/>
      <c r="C85" s="93" t="s">
        <v>937</v>
      </c>
      <c r="D85" s="93" t="s">
        <v>151</v>
      </c>
      <c r="E85" s="93" t="s">
        <v>894</v>
      </c>
      <c r="F85" s="93" t="s">
        <v>488</v>
      </c>
      <c r="G85" s="93">
        <v>1.0</v>
      </c>
      <c r="H85" s="140">
        <v>920000.0</v>
      </c>
      <c r="I85" s="193">
        <v>825000.0</v>
      </c>
      <c r="J85" s="65" t="s">
        <v>87</v>
      </c>
      <c r="K85" s="65">
        <v>1.0</v>
      </c>
      <c r="L85" s="74">
        <v>0.0</v>
      </c>
      <c r="M85" s="93" t="s">
        <v>61</v>
      </c>
      <c r="N85" s="65">
        <f>sumif(PURCHASE!I:I,C85,PURCHASE!J:J)</f>
        <v>172</v>
      </c>
      <c r="O85" s="65">
        <f>sumif('SELLING CASH'!E:E,C85,'SELLING CASH'!F:F)</f>
        <v>167</v>
      </c>
      <c r="P85" s="65">
        <f>sumif('SELLING CREDIT'!F:F,C85,'SELLING CREDIT'!G:G)</f>
        <v>1</v>
      </c>
      <c r="Q85" s="65">
        <f t="shared" si="1"/>
        <v>5</v>
      </c>
      <c r="V85" s="110" t="s">
        <v>943</v>
      </c>
      <c r="W85" s="131" t="s">
        <v>944</v>
      </c>
      <c r="X85" s="113">
        <f>sumif('SELLING CREDIT'!E:E,W85,'SELLING CREDIT'!P:P)</f>
        <v>1530000</v>
      </c>
      <c r="Y85" s="113">
        <f>sumif('PAYMENT CREDIT'!E:E,W85,'PAYMENT CREDIT'!F:F)</f>
        <v>1530000</v>
      </c>
      <c r="Z85" s="113">
        <f t="shared" si="2"/>
        <v>0</v>
      </c>
      <c r="AD85" s="101"/>
      <c r="AF85" s="9"/>
      <c r="AG85" s="9"/>
      <c r="AH85" s="9"/>
    </row>
    <row r="86" ht="22.5" customHeight="1">
      <c r="A86" s="49"/>
      <c r="C86" s="93" t="s">
        <v>947</v>
      </c>
      <c r="D86" s="93" t="s">
        <v>948</v>
      </c>
      <c r="E86" s="93" t="s">
        <v>922</v>
      </c>
      <c r="F86" s="93" t="s">
        <v>488</v>
      </c>
      <c r="G86" s="93">
        <v>0.0</v>
      </c>
      <c r="H86" s="140">
        <v>800000.0</v>
      </c>
      <c r="I86" s="193">
        <v>704346.0</v>
      </c>
      <c r="J86" s="65" t="s">
        <v>87</v>
      </c>
      <c r="K86" s="65">
        <v>1.0</v>
      </c>
      <c r="L86" s="74">
        <v>0.0</v>
      </c>
      <c r="M86" s="93" t="s">
        <v>61</v>
      </c>
      <c r="N86" s="65">
        <f>sumif(PURCHASE!I:I,C86,PURCHASE!J:J)</f>
        <v>23</v>
      </c>
      <c r="O86" s="65">
        <f>sumif('SELLING CASH'!E:E,C86,'SELLING CASH'!F:F)</f>
        <v>20</v>
      </c>
      <c r="P86" s="65">
        <f>sumif('SELLING CREDIT'!F:F,C86,'SELLING CREDIT'!G:G)</f>
        <v>0</v>
      </c>
      <c r="Q86" s="65">
        <f t="shared" si="1"/>
        <v>3</v>
      </c>
      <c r="V86" s="110" t="s">
        <v>952</v>
      </c>
      <c r="W86" s="131" t="s">
        <v>953</v>
      </c>
      <c r="X86" s="113">
        <f>sumif('SELLING CREDIT'!E:E,W86,'SELLING CREDIT'!P:P)</f>
        <v>6050000</v>
      </c>
      <c r="Y86" s="113">
        <f>sumif('PAYMENT CREDIT'!E:E,W86,'PAYMENT CREDIT'!F:F)</f>
        <v>6050000</v>
      </c>
      <c r="Z86" s="113">
        <f t="shared" si="2"/>
        <v>0</v>
      </c>
      <c r="AD86" s="101"/>
      <c r="AF86" s="9"/>
      <c r="AG86" s="9"/>
      <c r="AH86" s="9"/>
    </row>
    <row r="87" ht="22.5" customHeight="1">
      <c r="A87" s="49"/>
      <c r="C87" s="93" t="s">
        <v>957</v>
      </c>
      <c r="D87" s="93" t="s">
        <v>958</v>
      </c>
      <c r="E87" s="93" t="s">
        <v>959</v>
      </c>
      <c r="F87" s="93" t="s">
        <v>488</v>
      </c>
      <c r="G87" s="93">
        <v>0.0</v>
      </c>
      <c r="H87" s="74">
        <v>875000.0</v>
      </c>
      <c r="I87" s="96">
        <v>773337.5</v>
      </c>
      <c r="J87" s="65" t="s">
        <v>87</v>
      </c>
      <c r="K87" s="65">
        <v>1.0</v>
      </c>
      <c r="L87" s="74">
        <v>0.0</v>
      </c>
      <c r="M87" s="93" t="s">
        <v>61</v>
      </c>
      <c r="N87" s="65">
        <f>sumif(PURCHASE!I:I,C87,PURCHASE!J:J)</f>
        <v>17</v>
      </c>
      <c r="O87" s="65">
        <f>sumif('SELLING CASH'!E:E,C87,'SELLING CASH'!F:F)</f>
        <v>17</v>
      </c>
      <c r="P87" s="65">
        <f>sumif('SELLING CREDIT'!F:F,C87,'SELLING CREDIT'!G:G)</f>
        <v>0</v>
      </c>
      <c r="Q87" s="65">
        <f t="shared" si="1"/>
        <v>0</v>
      </c>
      <c r="V87" s="110" t="s">
        <v>961</v>
      </c>
      <c r="W87" s="131" t="s">
        <v>962</v>
      </c>
      <c r="X87" s="113">
        <f>sumif('SELLING CREDIT'!E:E,W87,'SELLING CREDIT'!P:P)</f>
        <v>9225000</v>
      </c>
      <c r="Y87" s="113">
        <f>sumif('PAYMENT CREDIT'!E:E,W87,'PAYMENT CREDIT'!F:F)</f>
        <v>9195000</v>
      </c>
      <c r="Z87" s="113">
        <f t="shared" si="2"/>
        <v>30000</v>
      </c>
      <c r="AD87" s="101"/>
      <c r="AF87" s="9"/>
      <c r="AG87" s="9"/>
      <c r="AH87" s="9"/>
    </row>
    <row r="88" ht="22.5" customHeight="1">
      <c r="A88" s="49"/>
      <c r="C88" s="93" t="s">
        <v>966</v>
      </c>
      <c r="D88" s="93" t="s">
        <v>967</v>
      </c>
      <c r="E88" s="93" t="s">
        <v>902</v>
      </c>
      <c r="F88" s="93" t="s">
        <v>488</v>
      </c>
      <c r="G88" s="93">
        <v>6.0</v>
      </c>
      <c r="H88" s="74">
        <v>975000.0</v>
      </c>
      <c r="I88" s="96">
        <v>865000.0</v>
      </c>
      <c r="J88" s="65" t="s">
        <v>87</v>
      </c>
      <c r="K88" s="65">
        <v>1.0</v>
      </c>
      <c r="L88" s="74">
        <v>0.0</v>
      </c>
      <c r="M88" s="93" t="s">
        <v>61</v>
      </c>
      <c r="N88" s="65">
        <f>sumif(PURCHASE!I:I,C88,PURCHASE!J:J)</f>
        <v>0</v>
      </c>
      <c r="O88" s="65">
        <f>sumif('SELLING CASH'!E:E,C88,'SELLING CASH'!F:F)</f>
        <v>5</v>
      </c>
      <c r="P88" s="65">
        <f>sumif('SELLING CREDIT'!F:F,C88,'SELLING CREDIT'!G:G)</f>
        <v>0</v>
      </c>
      <c r="Q88" s="65">
        <f t="shared" si="1"/>
        <v>1</v>
      </c>
      <c r="V88" s="110" t="s">
        <v>970</v>
      </c>
      <c r="W88" s="131" t="s">
        <v>971</v>
      </c>
      <c r="X88" s="113">
        <f>sumif('SELLING CREDIT'!E:E,W88,'SELLING CREDIT'!P:P)</f>
        <v>10000000</v>
      </c>
      <c r="Y88" s="113">
        <f>sumif('PAYMENT CREDIT'!E:E,W88,'PAYMENT CREDIT'!F:F)</f>
        <v>9000000</v>
      </c>
      <c r="Z88" s="113">
        <f t="shared" si="2"/>
        <v>1000000</v>
      </c>
      <c r="AD88" s="101"/>
      <c r="AF88" s="9"/>
      <c r="AG88" s="9"/>
      <c r="AH88" s="9"/>
    </row>
    <row r="89" ht="22.5" customHeight="1">
      <c r="A89" s="49"/>
      <c r="C89" s="93" t="s">
        <v>972</v>
      </c>
      <c r="D89" s="93" t="s">
        <v>967</v>
      </c>
      <c r="E89" s="93" t="s">
        <v>973</v>
      </c>
      <c r="F89" s="93" t="s">
        <v>488</v>
      </c>
      <c r="G89" s="93">
        <v>0.0</v>
      </c>
      <c r="H89" s="74">
        <v>775000.0</v>
      </c>
      <c r="I89" s="96">
        <v>671104.0</v>
      </c>
      <c r="J89" s="65" t="s">
        <v>87</v>
      </c>
      <c r="K89" s="65">
        <v>1.0</v>
      </c>
      <c r="L89" s="74">
        <v>0.0</v>
      </c>
      <c r="M89" s="93" t="s">
        <v>61</v>
      </c>
      <c r="N89" s="65">
        <f>sumif(PURCHASE!I:I,C89,PURCHASE!J:J)</f>
        <v>4</v>
      </c>
      <c r="O89" s="65">
        <f>sumif('SELLING CASH'!E:E,C89,'SELLING CASH'!F:F)</f>
        <v>4</v>
      </c>
      <c r="P89" s="65">
        <f>sumif('SELLING CREDIT'!F:F,C89,'SELLING CREDIT'!G:G)</f>
        <v>0</v>
      </c>
      <c r="Q89" s="65">
        <f t="shared" si="1"/>
        <v>0</v>
      </c>
      <c r="V89" s="110" t="s">
        <v>978</v>
      </c>
      <c r="W89" s="131" t="s">
        <v>979</v>
      </c>
      <c r="X89" s="113">
        <f>sumif('SELLING CREDIT'!E:E,W89,'SELLING CREDIT'!P:P)</f>
        <v>10250000</v>
      </c>
      <c r="Y89" s="113">
        <f>sumif('PAYMENT CREDIT'!E:E,W89,'PAYMENT CREDIT'!F:F)</f>
        <v>10250000</v>
      </c>
      <c r="Z89" s="113">
        <f t="shared" si="2"/>
        <v>0</v>
      </c>
      <c r="AD89" s="101"/>
      <c r="AF89" s="9"/>
      <c r="AG89" s="9"/>
      <c r="AH89" s="9"/>
    </row>
    <row r="90" ht="22.5" customHeight="1">
      <c r="A90" s="49"/>
      <c r="C90" s="93" t="s">
        <v>614</v>
      </c>
      <c r="D90" s="93" t="s">
        <v>981</v>
      </c>
      <c r="E90" s="93" t="s">
        <v>902</v>
      </c>
      <c r="F90" s="93" t="s">
        <v>488</v>
      </c>
      <c r="G90" s="93">
        <v>10.0</v>
      </c>
      <c r="H90" s="140">
        <v>845000.0</v>
      </c>
      <c r="I90" s="193">
        <v>754660.6</v>
      </c>
      <c r="J90" s="65" t="s">
        <v>87</v>
      </c>
      <c r="K90" s="65">
        <v>1.0</v>
      </c>
      <c r="L90" s="74">
        <v>0.0</v>
      </c>
      <c r="M90" s="93" t="s">
        <v>61</v>
      </c>
      <c r="N90" s="65">
        <f>sumif(PURCHASE!I:I,C90,PURCHASE!J:J)</f>
        <v>113</v>
      </c>
      <c r="O90" s="65">
        <f>sumif('SELLING CASH'!E:E,C90,'SELLING CASH'!F:F)</f>
        <v>109</v>
      </c>
      <c r="P90" s="65">
        <f>sumif('SELLING CREDIT'!F:F,C90,'SELLING CREDIT'!G:G)</f>
        <v>0</v>
      </c>
      <c r="Q90" s="65">
        <f t="shared" si="1"/>
        <v>14</v>
      </c>
      <c r="V90" s="110" t="s">
        <v>984</v>
      </c>
      <c r="W90" s="131" t="s">
        <v>985</v>
      </c>
      <c r="X90" s="113">
        <f>sumif('SELLING CREDIT'!E:E,W90,'SELLING CREDIT'!P:P)</f>
        <v>1580000</v>
      </c>
      <c r="Y90" s="113">
        <f>sumif('PAYMENT CREDIT'!E:E,W90,'PAYMENT CREDIT'!F:F)</f>
        <v>1580000</v>
      </c>
      <c r="Z90" s="113">
        <f t="shared" si="2"/>
        <v>0</v>
      </c>
      <c r="AD90" s="101"/>
      <c r="AF90" s="9"/>
      <c r="AG90" s="9"/>
      <c r="AH90" s="9"/>
    </row>
    <row r="91" ht="22.5" customHeight="1">
      <c r="A91" s="49"/>
      <c r="C91" s="93" t="s">
        <v>987</v>
      </c>
      <c r="D91" s="93" t="s">
        <v>981</v>
      </c>
      <c r="E91" s="93" t="s">
        <v>922</v>
      </c>
      <c r="F91" s="93" t="s">
        <v>488</v>
      </c>
      <c r="G91" s="93">
        <v>2.0</v>
      </c>
      <c r="H91" s="74">
        <v>770000.0</v>
      </c>
      <c r="I91" s="96">
        <v>670000.0</v>
      </c>
      <c r="J91" s="65" t="s">
        <v>87</v>
      </c>
      <c r="K91" s="65">
        <v>1.0</v>
      </c>
      <c r="L91" s="74">
        <v>0.0</v>
      </c>
      <c r="M91" s="93" t="s">
        <v>61</v>
      </c>
      <c r="N91" s="65">
        <f>sumif(PURCHASE!I:I,C91,PURCHASE!J:J)</f>
        <v>0</v>
      </c>
      <c r="O91" s="65">
        <f>sumif('SELLING CASH'!E:E,C91,'SELLING CASH'!F:F)</f>
        <v>2</v>
      </c>
      <c r="P91" s="65">
        <f>sumif('SELLING CREDIT'!F:F,C91,'SELLING CREDIT'!G:G)</f>
        <v>0</v>
      </c>
      <c r="Q91" s="65">
        <f t="shared" si="1"/>
        <v>0</v>
      </c>
      <c r="V91" s="110" t="s">
        <v>990</v>
      </c>
      <c r="W91" s="131" t="s">
        <v>991</v>
      </c>
      <c r="X91" s="113">
        <f>sumif('SELLING CREDIT'!E:E,W91,'SELLING CREDIT'!P:P)</f>
        <v>6860000</v>
      </c>
      <c r="Y91" s="113">
        <f>sumif('PAYMENT CREDIT'!E:E,W91,'PAYMENT CREDIT'!F:F)</f>
        <v>6860000</v>
      </c>
      <c r="Z91" s="113">
        <f t="shared" si="2"/>
        <v>0</v>
      </c>
      <c r="AD91" s="101"/>
      <c r="AF91" s="9"/>
      <c r="AG91" s="9"/>
      <c r="AH91" s="9"/>
    </row>
    <row r="92" ht="22.5" customHeight="1">
      <c r="A92" s="49"/>
      <c r="C92" s="93" t="s">
        <v>993</v>
      </c>
      <c r="D92" s="93" t="s">
        <v>994</v>
      </c>
      <c r="E92" s="93" t="s">
        <v>922</v>
      </c>
      <c r="F92" s="93" t="s">
        <v>488</v>
      </c>
      <c r="G92" s="93">
        <v>0.0</v>
      </c>
      <c r="H92" s="74">
        <v>765000.0</v>
      </c>
      <c r="I92" s="96">
        <v>665000.0</v>
      </c>
      <c r="J92" s="65" t="s">
        <v>87</v>
      </c>
      <c r="K92" s="65">
        <v>1.0</v>
      </c>
      <c r="L92" s="74">
        <v>0.0</v>
      </c>
      <c r="M92" s="93" t="s">
        <v>61</v>
      </c>
      <c r="N92" s="65">
        <f>sumif(PURCHASE!I:I,C92,PURCHASE!J:J)</f>
        <v>0</v>
      </c>
      <c r="O92" s="65">
        <f>sumif('SELLING CASH'!E:E,C92,'SELLING CASH'!F:F)</f>
        <v>0</v>
      </c>
      <c r="P92" s="65">
        <f>sumif('SELLING CREDIT'!F:F,C92,'SELLING CREDIT'!G:G)</f>
        <v>0</v>
      </c>
      <c r="Q92" s="65">
        <f t="shared" si="1"/>
        <v>0</v>
      </c>
      <c r="V92" s="110" t="s">
        <v>997</v>
      </c>
      <c r="W92" s="131" t="s">
        <v>999</v>
      </c>
      <c r="X92" s="113">
        <f>sumif('SELLING CREDIT'!E:E,W92,'SELLING CREDIT'!P:P)</f>
        <v>2360000</v>
      </c>
      <c r="Y92" s="113">
        <f>sumif('PAYMENT CREDIT'!E:E,W92,'PAYMENT CREDIT'!F:F)</f>
        <v>2360000</v>
      </c>
      <c r="Z92" s="113">
        <f t="shared" si="2"/>
        <v>0</v>
      </c>
      <c r="AD92" s="101"/>
      <c r="AF92" s="9"/>
      <c r="AG92" s="9"/>
      <c r="AH92" s="9"/>
    </row>
    <row r="93" ht="22.5" customHeight="1">
      <c r="A93" s="49"/>
      <c r="C93" s="93" t="s">
        <v>1003</v>
      </c>
      <c r="D93" s="93" t="s">
        <v>164</v>
      </c>
      <c r="E93" s="93" t="s">
        <v>1005</v>
      </c>
      <c r="F93" s="93" t="s">
        <v>488</v>
      </c>
      <c r="G93" s="93">
        <v>0.0</v>
      </c>
      <c r="H93" s="74">
        <v>1025000.0</v>
      </c>
      <c r="I93" s="96">
        <v>905000.0</v>
      </c>
      <c r="J93" s="65" t="s">
        <v>87</v>
      </c>
      <c r="K93" s="65">
        <v>1.0</v>
      </c>
      <c r="L93" s="74">
        <v>0.0</v>
      </c>
      <c r="M93" s="93" t="s">
        <v>61</v>
      </c>
      <c r="N93" s="65">
        <f>sumif(PURCHASE!I:I,C93,PURCHASE!J:J)</f>
        <v>0</v>
      </c>
      <c r="O93" s="65">
        <f>sumif('SELLING CASH'!E:E,C93,'SELLING CASH'!F:F)</f>
        <v>0</v>
      </c>
      <c r="P93" s="65">
        <f>sumif('SELLING CREDIT'!F:F,C93,'SELLING CREDIT'!G:G)</f>
        <v>0</v>
      </c>
      <c r="Q93" s="65">
        <f t="shared" si="1"/>
        <v>0</v>
      </c>
      <c r="V93" s="110" t="s">
        <v>1006</v>
      </c>
      <c r="W93" s="131" t="s">
        <v>1007</v>
      </c>
      <c r="X93" s="113">
        <f>sumif('SELLING CREDIT'!E:E,W93,'SELLING CREDIT'!P:P)</f>
        <v>3940000</v>
      </c>
      <c r="Y93" s="113">
        <f>sumif('PAYMENT CREDIT'!E:E,W93,'PAYMENT CREDIT'!F:F)</f>
        <v>3940000</v>
      </c>
      <c r="Z93" s="113">
        <f t="shared" si="2"/>
        <v>0</v>
      </c>
      <c r="AD93" s="101"/>
      <c r="AF93" s="9"/>
      <c r="AG93" s="9"/>
      <c r="AH93" s="9"/>
    </row>
    <row r="94" ht="22.5" customHeight="1">
      <c r="A94" s="49"/>
      <c r="C94" s="93" t="s">
        <v>591</v>
      </c>
      <c r="D94" s="93" t="s">
        <v>164</v>
      </c>
      <c r="E94" s="93" t="s">
        <v>902</v>
      </c>
      <c r="F94" s="93" t="s">
        <v>488</v>
      </c>
      <c r="G94" s="93">
        <v>7.0</v>
      </c>
      <c r="H94" s="140">
        <v>725000.0</v>
      </c>
      <c r="I94" s="193">
        <v>633035.16</v>
      </c>
      <c r="J94" s="65" t="s">
        <v>87</v>
      </c>
      <c r="K94" s="65">
        <v>1.0</v>
      </c>
      <c r="L94" s="74">
        <v>0.0</v>
      </c>
      <c r="M94" s="93" t="s">
        <v>61</v>
      </c>
      <c r="N94" s="65">
        <f>sumif(PURCHASE!I:I,C94,PURCHASE!J:J)</f>
        <v>198</v>
      </c>
      <c r="O94" s="65">
        <f>sumif('SELLING CASH'!E:E,C94,'SELLING CASH'!F:F)</f>
        <v>190</v>
      </c>
      <c r="P94" s="65">
        <f>sumif('SELLING CREDIT'!F:F,C94,'SELLING CREDIT'!G:G)</f>
        <v>0</v>
      </c>
      <c r="Q94" s="65">
        <f t="shared" si="1"/>
        <v>15</v>
      </c>
      <c r="V94" s="110" t="s">
        <v>1012</v>
      </c>
      <c r="W94" s="131" t="s">
        <v>1013</v>
      </c>
      <c r="X94" s="113">
        <f>sumif('SELLING CREDIT'!E:E,W94,'SELLING CREDIT'!P:P)</f>
        <v>61125000</v>
      </c>
      <c r="Y94" s="113">
        <f>sumif('PAYMENT CREDIT'!E:E,W94,'PAYMENT CREDIT'!F:F)</f>
        <v>61125000</v>
      </c>
      <c r="Z94" s="113">
        <f t="shared" si="2"/>
        <v>0</v>
      </c>
      <c r="AD94" s="101"/>
      <c r="AF94" s="9"/>
      <c r="AG94" s="9"/>
      <c r="AH94" s="9"/>
    </row>
    <row r="95" ht="22.5" customHeight="1">
      <c r="A95" s="49"/>
      <c r="C95" s="93" t="s">
        <v>1015</v>
      </c>
      <c r="D95" s="93" t="s">
        <v>164</v>
      </c>
      <c r="E95" s="93" t="s">
        <v>922</v>
      </c>
      <c r="F95" s="93" t="s">
        <v>488</v>
      </c>
      <c r="G95" s="93">
        <v>0.0</v>
      </c>
      <c r="H95" s="140">
        <v>725000.0</v>
      </c>
      <c r="I95" s="96">
        <v>600000.0</v>
      </c>
      <c r="J95" s="65" t="s">
        <v>87</v>
      </c>
      <c r="K95" s="65">
        <v>1.0</v>
      </c>
      <c r="L95" s="74">
        <v>0.0</v>
      </c>
      <c r="M95" s="93" t="s">
        <v>61</v>
      </c>
      <c r="N95" s="65">
        <f>sumif(PURCHASE!I:I,C95,PURCHASE!J:J)</f>
        <v>0</v>
      </c>
      <c r="O95" s="65">
        <f>sumif('SELLING CASH'!E:E,C95,'SELLING CASH'!F:F)</f>
        <v>0</v>
      </c>
      <c r="P95" s="65">
        <f>sumif('SELLING CREDIT'!F:F,C95,'SELLING CREDIT'!G:G)</f>
        <v>0</v>
      </c>
      <c r="Q95" s="65">
        <f t="shared" si="1"/>
        <v>0</v>
      </c>
      <c r="V95" s="110" t="s">
        <v>1020</v>
      </c>
      <c r="W95" s="131" t="s">
        <v>1021</v>
      </c>
      <c r="X95" s="113">
        <f>sumif('SELLING CREDIT'!E:E,W95,'SELLING CREDIT'!P:P)</f>
        <v>6010000</v>
      </c>
      <c r="Y95" s="113">
        <f>sumif('PAYMENT CREDIT'!E:E,W95,'PAYMENT CREDIT'!F:F)</f>
        <v>6010000</v>
      </c>
      <c r="Z95" s="113">
        <f t="shared" si="2"/>
        <v>0</v>
      </c>
      <c r="AD95" s="101"/>
      <c r="AF95" s="9"/>
      <c r="AG95" s="9"/>
      <c r="AH95" s="9"/>
    </row>
    <row r="96" ht="22.5" customHeight="1">
      <c r="A96" s="49"/>
      <c r="C96" s="93" t="s">
        <v>1025</v>
      </c>
      <c r="D96" s="93" t="s">
        <v>1026</v>
      </c>
      <c r="E96" s="93" t="s">
        <v>902</v>
      </c>
      <c r="F96" s="93" t="s">
        <v>488</v>
      </c>
      <c r="G96" s="93">
        <v>8.0</v>
      </c>
      <c r="H96" s="74">
        <v>850000.0</v>
      </c>
      <c r="I96" s="96">
        <v>683020.8</v>
      </c>
      <c r="J96" s="65" t="s">
        <v>87</v>
      </c>
      <c r="K96" s="65">
        <v>1.0</v>
      </c>
      <c r="L96" s="74">
        <v>0.0</v>
      </c>
      <c r="M96" s="93" t="s">
        <v>61</v>
      </c>
      <c r="N96" s="65">
        <f>sumif(PURCHASE!I:I,C96,PURCHASE!J:J)</f>
        <v>10</v>
      </c>
      <c r="O96" s="65">
        <f>sumif('SELLING CASH'!E:E,C96,'SELLING CASH'!F:F)</f>
        <v>18</v>
      </c>
      <c r="P96" s="65">
        <f>sumif('SELLING CREDIT'!F:F,C96,'SELLING CREDIT'!G:G)</f>
        <v>0</v>
      </c>
      <c r="Q96" s="65">
        <f t="shared" si="1"/>
        <v>0</v>
      </c>
      <c r="V96" s="110" t="s">
        <v>1030</v>
      </c>
      <c r="W96" s="131" t="s">
        <v>1031</v>
      </c>
      <c r="X96" s="113">
        <f>sumif('SELLING CREDIT'!E:E,W96,'SELLING CREDIT'!P:P)</f>
        <v>5600000</v>
      </c>
      <c r="Y96" s="113">
        <f>sumif('PAYMENT CREDIT'!E:E,W96,'PAYMENT CREDIT'!F:F)</f>
        <v>5600000</v>
      </c>
      <c r="Z96" s="113">
        <f t="shared" si="2"/>
        <v>0</v>
      </c>
      <c r="AD96" s="101"/>
      <c r="AF96" s="9"/>
      <c r="AG96" s="9"/>
      <c r="AH96" s="9"/>
    </row>
    <row r="97" ht="22.5" customHeight="1">
      <c r="A97" s="49"/>
      <c r="C97" s="93" t="s">
        <v>1033</v>
      </c>
      <c r="D97" s="93" t="s">
        <v>1026</v>
      </c>
      <c r="E97" s="93" t="s">
        <v>922</v>
      </c>
      <c r="F97" s="93" t="s">
        <v>488</v>
      </c>
      <c r="G97" s="93">
        <v>4.0</v>
      </c>
      <c r="H97" s="74">
        <v>750000.0</v>
      </c>
      <c r="I97" s="193">
        <v>680512.0</v>
      </c>
      <c r="J97" s="65" t="s">
        <v>87</v>
      </c>
      <c r="K97" s="65">
        <v>1.0</v>
      </c>
      <c r="L97" s="74">
        <v>0.0</v>
      </c>
      <c r="M97" s="93" t="s">
        <v>61</v>
      </c>
      <c r="N97" s="65">
        <f>sumif(PURCHASE!I:I,C97,PURCHASE!J:J)</f>
        <v>16</v>
      </c>
      <c r="O97" s="65">
        <f>sumif('SELLING CASH'!E:E,C97,'SELLING CASH'!F:F)</f>
        <v>17</v>
      </c>
      <c r="P97" s="65">
        <f>sumif('SELLING CREDIT'!F:F,C97,'SELLING CREDIT'!G:G)</f>
        <v>0</v>
      </c>
      <c r="Q97" s="65">
        <f t="shared" si="1"/>
        <v>3</v>
      </c>
      <c r="V97" s="110" t="s">
        <v>1039</v>
      </c>
      <c r="W97" s="131" t="s">
        <v>1040</v>
      </c>
      <c r="X97" s="113">
        <f>sumif('SELLING CREDIT'!E:E,W97,'SELLING CREDIT'!P:P)</f>
        <v>8600000</v>
      </c>
      <c r="Y97" s="113">
        <f>sumif('PAYMENT CREDIT'!E:E,W97,'PAYMENT CREDIT'!F:F)</f>
        <v>6250000</v>
      </c>
      <c r="Z97" s="113">
        <f t="shared" si="2"/>
        <v>2350000</v>
      </c>
      <c r="AD97" s="101"/>
      <c r="AF97" s="9"/>
      <c r="AG97" s="9"/>
      <c r="AH97" s="9"/>
    </row>
    <row r="98" ht="22.5" customHeight="1">
      <c r="A98" s="49"/>
      <c r="C98" s="93" t="s">
        <v>1041</v>
      </c>
      <c r="D98" s="93" t="s">
        <v>1026</v>
      </c>
      <c r="E98" s="93" t="s">
        <v>1042</v>
      </c>
      <c r="F98" s="93" t="s">
        <v>488</v>
      </c>
      <c r="G98" s="93">
        <v>0.0</v>
      </c>
      <c r="H98" s="140">
        <v>770000.0</v>
      </c>
      <c r="I98" s="96">
        <v>550000.0</v>
      </c>
      <c r="J98" s="65" t="s">
        <v>87</v>
      </c>
      <c r="K98" s="65">
        <v>0.0</v>
      </c>
      <c r="L98" s="74">
        <v>0.0</v>
      </c>
      <c r="M98" s="93" t="s">
        <v>61</v>
      </c>
      <c r="N98" s="65">
        <f>sumif(PURCHASE!I:I,C98,PURCHASE!J:J)</f>
        <v>5</v>
      </c>
      <c r="O98" s="65">
        <f>sumif('SELLING CASH'!E:E,C98,'SELLING CASH'!F:F)</f>
        <v>5</v>
      </c>
      <c r="P98" s="65">
        <f>sumif('SELLING CREDIT'!F:F,C98,'SELLING CREDIT'!G:G)</f>
        <v>0</v>
      </c>
      <c r="Q98" s="65">
        <f t="shared" si="1"/>
        <v>0</v>
      </c>
      <c r="V98" s="110" t="s">
        <v>1046</v>
      </c>
      <c r="W98" s="131" t="s">
        <v>1047</v>
      </c>
      <c r="X98" s="113">
        <f>sumif('SELLING CREDIT'!E:E,W98,'SELLING CREDIT'!P:P)</f>
        <v>1480000</v>
      </c>
      <c r="Y98" s="113">
        <f>sumif('PAYMENT CREDIT'!E:E,W98,'PAYMENT CREDIT'!F:F)</f>
        <v>1480000</v>
      </c>
      <c r="Z98" s="113">
        <f t="shared" si="2"/>
        <v>0</v>
      </c>
      <c r="AD98" s="101"/>
      <c r="AF98" s="9"/>
      <c r="AG98" s="9"/>
      <c r="AH98" s="9"/>
    </row>
    <row r="99" ht="22.5" customHeight="1">
      <c r="A99" s="49"/>
      <c r="C99" s="93" t="s">
        <v>1048</v>
      </c>
      <c r="D99" s="93" t="s">
        <v>1049</v>
      </c>
      <c r="E99" s="93" t="s">
        <v>894</v>
      </c>
      <c r="F99" s="93" t="s">
        <v>488</v>
      </c>
      <c r="G99" s="93">
        <v>1.0</v>
      </c>
      <c r="H99" s="74">
        <v>1030000.0</v>
      </c>
      <c r="I99" s="96">
        <v>930000.0</v>
      </c>
      <c r="J99" s="65" t="s">
        <v>87</v>
      </c>
      <c r="K99" s="65">
        <v>1.0</v>
      </c>
      <c r="L99" s="74">
        <v>0.0</v>
      </c>
      <c r="M99" s="93" t="s">
        <v>61</v>
      </c>
      <c r="N99" s="65">
        <f>sumif(PURCHASE!I:I,C99,PURCHASE!J:J)</f>
        <v>0</v>
      </c>
      <c r="O99" s="65">
        <f>sumif('SELLING CASH'!E:E,C99,'SELLING CASH'!F:F)</f>
        <v>0</v>
      </c>
      <c r="P99" s="65">
        <f>sumif('SELLING CREDIT'!F:F,C99,'SELLING CREDIT'!G:G)</f>
        <v>1</v>
      </c>
      <c r="Q99" s="65">
        <f t="shared" si="1"/>
        <v>0</v>
      </c>
      <c r="V99" s="110" t="s">
        <v>1053</v>
      </c>
      <c r="W99" s="131" t="s">
        <v>1054</v>
      </c>
      <c r="X99" s="113">
        <f>sumif('SELLING CREDIT'!E:E,W99,'SELLING CREDIT'!P:P)</f>
        <v>3500000</v>
      </c>
      <c r="Y99" s="113">
        <f>sumif('PAYMENT CREDIT'!E:E,W99,'PAYMENT CREDIT'!F:F)</f>
        <v>0</v>
      </c>
      <c r="Z99" s="113">
        <f t="shared" si="2"/>
        <v>3500000</v>
      </c>
      <c r="AD99" s="101"/>
      <c r="AF99" s="9"/>
      <c r="AG99" s="9"/>
      <c r="AH99" s="9"/>
    </row>
    <row r="100" ht="22.5" customHeight="1">
      <c r="A100" s="49"/>
      <c r="C100" s="93" t="s">
        <v>1056</v>
      </c>
      <c r="D100" s="93" t="s">
        <v>178</v>
      </c>
      <c r="F100" s="93" t="s">
        <v>488</v>
      </c>
      <c r="G100" s="93">
        <v>3.0</v>
      </c>
      <c r="H100" s="74">
        <v>1100000.0</v>
      </c>
      <c r="I100" s="96">
        <v>980000.0</v>
      </c>
      <c r="J100" s="65" t="s">
        <v>87</v>
      </c>
      <c r="K100" s="65">
        <v>1.0</v>
      </c>
      <c r="L100" s="74">
        <v>0.0</v>
      </c>
      <c r="M100" s="93" t="s">
        <v>61</v>
      </c>
      <c r="N100" s="65">
        <f>sumif(PURCHASE!I:I,C100,PURCHASE!J:J)</f>
        <v>0</v>
      </c>
      <c r="O100" s="65">
        <f>sumif('SELLING CASH'!E:E,C100,'SELLING CASH'!F:F)</f>
        <v>2</v>
      </c>
      <c r="P100" s="65">
        <f>sumif('SELLING CREDIT'!F:F,C100,'SELLING CREDIT'!G:G)</f>
        <v>1</v>
      </c>
      <c r="Q100" s="65">
        <f t="shared" si="1"/>
        <v>0</v>
      </c>
      <c r="V100" s="110" t="s">
        <v>1060</v>
      </c>
      <c r="W100" s="131" t="s">
        <v>1061</v>
      </c>
      <c r="X100" s="113">
        <f>sumif('SELLING CREDIT'!E:E,W100,'SELLING CREDIT'!P:P)</f>
        <v>2150000</v>
      </c>
      <c r="Y100" s="113">
        <f>sumif('PAYMENT CREDIT'!E:E,W100,'PAYMENT CREDIT'!F:F)</f>
        <v>3200000</v>
      </c>
      <c r="Z100" s="113">
        <f t="shared" si="2"/>
        <v>-1050000</v>
      </c>
      <c r="AD100" s="101"/>
      <c r="AF100" s="9"/>
      <c r="AG100" s="9"/>
      <c r="AH100" s="9"/>
    </row>
    <row r="101" ht="22.5" customHeight="1">
      <c r="A101" s="49"/>
      <c r="C101" s="93" t="s">
        <v>1065</v>
      </c>
      <c r="D101" s="93" t="s">
        <v>1066</v>
      </c>
      <c r="E101" s="93" t="s">
        <v>922</v>
      </c>
      <c r="F101" s="93" t="s">
        <v>488</v>
      </c>
      <c r="G101" s="93">
        <v>4.0</v>
      </c>
      <c r="H101" s="74">
        <v>885000.0</v>
      </c>
      <c r="I101" s="96">
        <v>784000.0</v>
      </c>
      <c r="J101" s="65" t="s">
        <v>87</v>
      </c>
      <c r="K101" s="65">
        <v>1.0</v>
      </c>
      <c r="L101" s="74">
        <v>0.0</v>
      </c>
      <c r="M101" s="93" t="s">
        <v>61</v>
      </c>
      <c r="N101" s="65">
        <f>sumif(PURCHASE!I:I,C101,PURCHASE!J:J)</f>
        <v>4</v>
      </c>
      <c r="O101" s="65">
        <f>sumif('SELLING CASH'!E:E,C101,'SELLING CASH'!F:F)</f>
        <v>4</v>
      </c>
      <c r="P101" s="65">
        <f>sumif('SELLING CREDIT'!F:F,C101,'SELLING CREDIT'!G:G)</f>
        <v>0</v>
      </c>
      <c r="Q101" s="65">
        <f t="shared" si="1"/>
        <v>4</v>
      </c>
      <c r="V101" s="110" t="s">
        <v>1072</v>
      </c>
      <c r="W101" s="131" t="s">
        <v>1073</v>
      </c>
      <c r="X101" s="113">
        <f>sumif('SELLING CREDIT'!E:E,W101,'SELLING CREDIT'!P:P)</f>
        <v>3960000</v>
      </c>
      <c r="Y101" s="113">
        <f>sumif('PAYMENT CREDIT'!E:E,W101,'PAYMENT CREDIT'!F:F)</f>
        <v>3960000</v>
      </c>
      <c r="Z101" s="113">
        <f t="shared" si="2"/>
        <v>0</v>
      </c>
      <c r="AD101" s="101"/>
      <c r="AF101" s="9"/>
      <c r="AG101" s="9"/>
      <c r="AH101" s="9"/>
    </row>
    <row r="102" ht="22.5" customHeight="1">
      <c r="A102" s="49"/>
      <c r="C102" s="93" t="s">
        <v>1078</v>
      </c>
      <c r="D102" s="93" t="s">
        <v>1079</v>
      </c>
      <c r="E102" s="93" t="s">
        <v>922</v>
      </c>
      <c r="F102" s="93" t="s">
        <v>488</v>
      </c>
      <c r="G102" s="93">
        <v>6.0</v>
      </c>
      <c r="H102" s="74">
        <v>920000.0</v>
      </c>
      <c r="I102" s="96">
        <v>834000.0</v>
      </c>
      <c r="J102" s="65" t="s">
        <v>87</v>
      </c>
      <c r="K102" s="65">
        <v>1.0</v>
      </c>
      <c r="L102" s="74">
        <v>0.0</v>
      </c>
      <c r="M102" s="93" t="s">
        <v>61</v>
      </c>
      <c r="N102" s="65">
        <f>sumif(PURCHASE!I:I,C102,PURCHASE!J:J)</f>
        <v>0</v>
      </c>
      <c r="O102" s="65">
        <f>sumif('SELLING CASH'!E:E,C102,'SELLING CASH'!F:F)</f>
        <v>6</v>
      </c>
      <c r="P102" s="65">
        <f>sumif('SELLING CREDIT'!F:F,C102,'SELLING CREDIT'!G:G)</f>
        <v>0</v>
      </c>
      <c r="Q102" s="65">
        <f t="shared" si="1"/>
        <v>0</v>
      </c>
      <c r="V102" s="110" t="s">
        <v>1083</v>
      </c>
      <c r="W102" s="111" t="s">
        <v>1085</v>
      </c>
      <c r="X102" s="113">
        <f>sumif('SELLING CREDIT'!E:E,W102,'SELLING CREDIT'!P:P)</f>
        <v>2305000</v>
      </c>
      <c r="Y102" s="113">
        <f>sumif('PAYMENT CREDIT'!E:E,W102,'PAYMENT CREDIT'!F:F)</f>
        <v>2305000</v>
      </c>
      <c r="Z102" s="113">
        <f t="shared" si="2"/>
        <v>0</v>
      </c>
      <c r="AD102" s="101"/>
      <c r="AF102" s="9"/>
      <c r="AG102" s="9"/>
      <c r="AH102" s="9"/>
    </row>
    <row r="103" ht="22.5" customHeight="1">
      <c r="A103" s="49"/>
      <c r="C103" s="93" t="s">
        <v>1086</v>
      </c>
      <c r="D103" s="93" t="s">
        <v>1087</v>
      </c>
      <c r="E103" s="93" t="s">
        <v>902</v>
      </c>
      <c r="F103" s="93" t="s">
        <v>488</v>
      </c>
      <c r="G103" s="93">
        <v>0.0</v>
      </c>
      <c r="H103" s="74">
        <v>1050000.0</v>
      </c>
      <c r="I103" s="96">
        <v>960000.0</v>
      </c>
      <c r="J103" s="65" t="s">
        <v>87</v>
      </c>
      <c r="K103" s="65">
        <v>1.0</v>
      </c>
      <c r="L103" s="74">
        <v>0.0</v>
      </c>
      <c r="M103" s="93" t="s">
        <v>61</v>
      </c>
      <c r="N103" s="65">
        <f>sumif(PURCHASE!I:I,C103,PURCHASE!J:J)</f>
        <v>0</v>
      </c>
      <c r="O103" s="65">
        <f>sumif('SELLING CASH'!E:E,C103,'SELLING CASH'!F:F)</f>
        <v>0</v>
      </c>
      <c r="P103" s="65">
        <f>sumif('SELLING CREDIT'!F:F,C103,'SELLING CREDIT'!G:G)</f>
        <v>0</v>
      </c>
      <c r="Q103" s="65">
        <f t="shared" si="1"/>
        <v>0</v>
      </c>
      <c r="V103" s="110" t="s">
        <v>1093</v>
      </c>
      <c r="W103" s="111" t="s">
        <v>1094</v>
      </c>
      <c r="X103" s="113">
        <f>sumif('SELLING CREDIT'!E:E,W103,'SELLING CREDIT'!P:P)</f>
        <v>8370000</v>
      </c>
      <c r="Y103" s="113">
        <f>sumif('PAYMENT CREDIT'!E:E,W103,'PAYMENT CREDIT'!F:F)</f>
        <v>4620000</v>
      </c>
      <c r="Z103" s="113">
        <f t="shared" si="2"/>
        <v>3750000</v>
      </c>
      <c r="AD103" s="101"/>
      <c r="AF103" s="9"/>
      <c r="AG103" s="9"/>
      <c r="AH103" s="9"/>
    </row>
    <row r="104" ht="22.5" customHeight="1">
      <c r="A104" s="49"/>
      <c r="C104" s="93" t="s">
        <v>1097</v>
      </c>
      <c r="D104" s="93" t="s">
        <v>1087</v>
      </c>
      <c r="E104" s="93" t="s">
        <v>959</v>
      </c>
      <c r="F104" s="93" t="s">
        <v>488</v>
      </c>
      <c r="G104" s="93">
        <v>6.0</v>
      </c>
      <c r="H104" s="140">
        <v>940000.0</v>
      </c>
      <c r="I104" s="193">
        <v>844838.5</v>
      </c>
      <c r="J104" s="65" t="s">
        <v>87</v>
      </c>
      <c r="K104" s="65">
        <v>1.0</v>
      </c>
      <c r="L104" s="74">
        <v>0.0</v>
      </c>
      <c r="M104" s="93" t="s">
        <v>61</v>
      </c>
      <c r="N104" s="65">
        <f>sumif(PURCHASE!I:I,C104,PURCHASE!J:J)</f>
        <v>12</v>
      </c>
      <c r="O104" s="65">
        <f>sumif('SELLING CASH'!E:E,C104,'SELLING CASH'!F:F)</f>
        <v>20</v>
      </c>
      <c r="P104" s="65">
        <f>sumif('SELLING CREDIT'!F:F,C104,'SELLING CREDIT'!G:G)</f>
        <v>0</v>
      </c>
      <c r="Q104" s="65">
        <f t="shared" si="1"/>
        <v>-2</v>
      </c>
      <c r="V104" s="285" t="s">
        <v>1099</v>
      </c>
      <c r="W104" s="69" t="s">
        <v>1100</v>
      </c>
      <c r="X104" s="286">
        <f>sumif('SELLING CREDIT'!E:E,W104,'SELLING CREDIT'!P:P)</f>
        <v>53580000</v>
      </c>
      <c r="Y104" s="206">
        <f>SUMIF('PAYMENT CREDIT'!E:E,W104,'PAYMENT CREDIT'!F:F)</f>
        <v>50980000</v>
      </c>
      <c r="Z104" s="113">
        <f t="shared" si="2"/>
        <v>2600000</v>
      </c>
      <c r="AD104" s="101"/>
      <c r="AF104" s="9"/>
      <c r="AG104" s="9"/>
      <c r="AH104" s="9"/>
    </row>
    <row r="105" ht="22.5" customHeight="1">
      <c r="A105" s="49"/>
      <c r="C105" s="93" t="s">
        <v>1104</v>
      </c>
      <c r="D105" s="93" t="s">
        <v>1105</v>
      </c>
      <c r="E105" s="93" t="s">
        <v>922</v>
      </c>
      <c r="F105" s="93" t="s">
        <v>488</v>
      </c>
      <c r="G105" s="93">
        <v>6.0</v>
      </c>
      <c r="H105" s="140">
        <v>810000.0</v>
      </c>
      <c r="I105" s="193">
        <v>715000.0</v>
      </c>
      <c r="J105" s="65" t="s">
        <v>87</v>
      </c>
      <c r="K105" s="65">
        <v>0.0</v>
      </c>
      <c r="L105" s="74">
        <v>0.0</v>
      </c>
      <c r="M105" s="93" t="s">
        <v>61</v>
      </c>
      <c r="N105" s="65">
        <f>sumif(PURCHASE!I:I,C105,PURCHASE!J:J)</f>
        <v>4</v>
      </c>
      <c r="O105" s="65">
        <f>sumif('SELLING CASH'!E:E,C105,'SELLING CASH'!F:F)</f>
        <v>9</v>
      </c>
      <c r="P105" s="65">
        <f>sumif('SELLING CREDIT'!F:F,C105,'SELLING CREDIT'!G:G)</f>
        <v>0</v>
      </c>
      <c r="Q105" s="65">
        <f t="shared" si="1"/>
        <v>1</v>
      </c>
      <c r="V105" s="287" t="s">
        <v>1109</v>
      </c>
      <c r="W105" s="288" t="s">
        <v>49</v>
      </c>
      <c r="X105" s="286">
        <f>sumif('SELLING CREDIT'!E:E,W105,'SELLING CREDIT'!P:P)</f>
        <v>1380000</v>
      </c>
      <c r="Y105" s="206">
        <f>SUMIF('PAYMENT CREDIT'!E:E,W105,'PAYMENT CREDIT'!F:F)</f>
        <v>1380000</v>
      </c>
      <c r="Z105" s="113">
        <f t="shared" si="2"/>
        <v>0</v>
      </c>
      <c r="AD105" s="101"/>
      <c r="AF105" s="9"/>
      <c r="AG105" s="9"/>
      <c r="AH105" s="9"/>
    </row>
    <row r="106" ht="22.5" customHeight="1">
      <c r="A106" s="49"/>
      <c r="C106" s="93" t="s">
        <v>1112</v>
      </c>
      <c r="D106" s="93" t="s">
        <v>1114</v>
      </c>
      <c r="E106" s="93" t="s">
        <v>902</v>
      </c>
      <c r="F106" s="93" t="s">
        <v>488</v>
      </c>
      <c r="G106" s="93">
        <v>4.0</v>
      </c>
      <c r="H106" s="74">
        <v>1085000.0</v>
      </c>
      <c r="I106" s="96">
        <v>980542.4</v>
      </c>
      <c r="J106" s="65" t="s">
        <v>87</v>
      </c>
      <c r="K106" s="65">
        <v>1.0</v>
      </c>
      <c r="L106" s="74">
        <v>0.0</v>
      </c>
      <c r="M106" s="93" t="s">
        <v>61</v>
      </c>
      <c r="N106" s="65">
        <f>sumif(PURCHASE!I:I,C106,PURCHASE!J:J)</f>
        <v>13</v>
      </c>
      <c r="O106" s="65">
        <f>sumif('SELLING CASH'!E:E,C106,'SELLING CASH'!F:F)</f>
        <v>14</v>
      </c>
      <c r="P106" s="65">
        <f>sumif('SELLING CREDIT'!F:F,C106,'SELLING CREDIT'!G:G)</f>
        <v>2</v>
      </c>
      <c r="Q106" s="65">
        <f t="shared" si="1"/>
        <v>1</v>
      </c>
      <c r="V106" s="287" t="s">
        <v>1119</v>
      </c>
      <c r="W106" s="288" t="s">
        <v>1120</v>
      </c>
      <c r="X106" s="74">
        <f>sumif('SELLING CREDIT'!E:E,W106,'SELLING CREDIT'!P:P)</f>
        <v>1820000</v>
      </c>
      <c r="Y106" s="206">
        <f>SUMIF('PAYMENT CREDIT'!E:E,W106,'PAYMENT CREDIT'!F:F)</f>
        <v>1825000</v>
      </c>
      <c r="Z106" s="206">
        <f t="shared" si="2"/>
        <v>-5000</v>
      </c>
      <c r="AD106" s="101"/>
      <c r="AF106" s="9"/>
      <c r="AG106" s="9"/>
      <c r="AH106" s="9"/>
    </row>
    <row r="107" ht="22.5" customHeight="1">
      <c r="A107" s="49"/>
      <c r="C107" s="93" t="s">
        <v>622</v>
      </c>
      <c r="D107" s="93" t="s">
        <v>1123</v>
      </c>
      <c r="E107" s="93" t="s">
        <v>902</v>
      </c>
      <c r="F107" s="93" t="s">
        <v>488</v>
      </c>
      <c r="G107" s="93">
        <v>4.0</v>
      </c>
      <c r="H107" s="140">
        <v>940000.0</v>
      </c>
      <c r="I107" s="193">
        <v>851110.375</v>
      </c>
      <c r="J107" s="65" t="s">
        <v>87</v>
      </c>
      <c r="K107" s="65">
        <v>1.0</v>
      </c>
      <c r="L107" s="74">
        <v>0.0</v>
      </c>
      <c r="M107" s="93" t="s">
        <v>61</v>
      </c>
      <c r="N107" s="65">
        <f>sumif(PURCHASE!I:I,C107,PURCHASE!J:J)</f>
        <v>68</v>
      </c>
      <c r="O107" s="65">
        <f>sumif('SELLING CASH'!E:E,C107,'SELLING CASH'!F:F)</f>
        <v>55</v>
      </c>
      <c r="P107" s="65">
        <f>sumif('SELLING CREDIT'!F:F,C107,'SELLING CREDIT'!G:G)</f>
        <v>4</v>
      </c>
      <c r="Q107" s="65">
        <f t="shared" si="1"/>
        <v>13</v>
      </c>
      <c r="V107" s="289" t="s">
        <v>1128</v>
      </c>
      <c r="W107" s="288" t="s">
        <v>1130</v>
      </c>
      <c r="X107" s="206">
        <f>sumif('SELLING CREDIT'!E:E,W107,'SELLING CREDIT'!P:P)</f>
        <v>150000</v>
      </c>
      <c r="Y107" s="206">
        <f>SUMIF('PAYMENT CREDIT'!E:E,W107,'PAYMENT CREDIT'!F:F)</f>
        <v>150000</v>
      </c>
      <c r="Z107" s="206">
        <f t="shared" si="2"/>
        <v>0</v>
      </c>
      <c r="AD107" s="101"/>
      <c r="AF107" s="9"/>
      <c r="AG107" s="9"/>
      <c r="AH107" s="9"/>
    </row>
    <row r="108" ht="22.5" customHeight="1">
      <c r="A108" s="49"/>
      <c r="C108" s="93" t="s">
        <v>1133</v>
      </c>
      <c r="D108" s="93" t="s">
        <v>1134</v>
      </c>
      <c r="E108" s="93" t="s">
        <v>902</v>
      </c>
      <c r="F108" s="93" t="s">
        <v>488</v>
      </c>
      <c r="G108" s="93">
        <v>4.0</v>
      </c>
      <c r="H108" s="140">
        <v>850000.0</v>
      </c>
      <c r="I108" s="193">
        <v>759539.2</v>
      </c>
      <c r="J108" s="65" t="s">
        <v>87</v>
      </c>
      <c r="K108" s="65">
        <v>1.0</v>
      </c>
      <c r="L108" s="74">
        <v>0.0</v>
      </c>
      <c r="M108" s="93" t="s">
        <v>61</v>
      </c>
      <c r="N108" s="65">
        <f>sumif(PURCHASE!I:I,C108,PURCHASE!J:J)</f>
        <v>35</v>
      </c>
      <c r="O108" s="65">
        <f>sumif('SELLING CASH'!E:E,C108,'SELLING CASH'!F:F)</f>
        <v>34</v>
      </c>
      <c r="P108" s="65">
        <f>sumif('SELLING CREDIT'!F:F,C108,'SELLING CREDIT'!G:G)</f>
        <v>0</v>
      </c>
      <c r="Q108" s="65">
        <f t="shared" si="1"/>
        <v>5</v>
      </c>
      <c r="V108" s="289" t="s">
        <v>1138</v>
      </c>
      <c r="W108" s="288" t="s">
        <v>1139</v>
      </c>
      <c r="X108" s="206">
        <f>sumif('SELLING CREDIT'!E:E,W108,'SELLING CREDIT'!P:P)</f>
        <v>2635000</v>
      </c>
      <c r="Y108" s="206">
        <f>SUMIF('PAYMENT CREDIT'!E:E,W108,'PAYMENT CREDIT'!F:F)</f>
        <v>2635000</v>
      </c>
      <c r="Z108" s="206">
        <f t="shared" si="2"/>
        <v>0</v>
      </c>
      <c r="AD108" s="101"/>
      <c r="AF108" s="9"/>
      <c r="AG108" s="9"/>
      <c r="AH108" s="9"/>
    </row>
    <row r="109" ht="22.5" customHeight="1">
      <c r="A109" s="49"/>
      <c r="C109" s="93" t="s">
        <v>1142</v>
      </c>
      <c r="D109" s="93" t="s">
        <v>1134</v>
      </c>
      <c r="E109" s="93" t="s">
        <v>922</v>
      </c>
      <c r="F109" s="93" t="s">
        <v>488</v>
      </c>
      <c r="G109" s="93">
        <v>0.0</v>
      </c>
      <c r="H109" s="74">
        <v>760000.0</v>
      </c>
      <c r="I109" s="96">
        <v>660000.0</v>
      </c>
      <c r="J109" s="65" t="s">
        <v>87</v>
      </c>
      <c r="K109" s="65">
        <v>1.0</v>
      </c>
      <c r="L109" s="74">
        <v>0.0</v>
      </c>
      <c r="M109" s="93" t="s">
        <v>61</v>
      </c>
      <c r="N109" s="65">
        <f>sumif(PURCHASE!I:I,C109,PURCHASE!J:J)</f>
        <v>0</v>
      </c>
      <c r="O109" s="65">
        <f>sumif('SELLING CASH'!E:E,C109,'SELLING CASH'!F:F)</f>
        <v>0</v>
      </c>
      <c r="P109" s="65">
        <f>sumif('SELLING CREDIT'!F:F,C109,'SELLING CREDIT'!G:G)</f>
        <v>0</v>
      </c>
      <c r="Q109" s="65">
        <f t="shared" si="1"/>
        <v>0</v>
      </c>
      <c r="V109" s="289" t="s">
        <v>1146</v>
      </c>
      <c r="W109" s="288"/>
      <c r="X109" s="206">
        <f>sumif('SELLING CREDIT'!E:E,W109,'SELLING CREDIT'!P:P)</f>
        <v>0</v>
      </c>
      <c r="Y109" s="206">
        <f>SUMIF('PAYMENT CREDIT'!E:E,W109,'PAYMENT CREDIT'!F:F)</f>
        <v>0</v>
      </c>
      <c r="Z109" s="206">
        <f t="shared" si="2"/>
        <v>0</v>
      </c>
      <c r="AD109" s="101"/>
      <c r="AF109" s="9"/>
      <c r="AG109" s="9"/>
      <c r="AH109" s="9"/>
    </row>
    <row r="110" ht="22.5" customHeight="1">
      <c r="A110" s="29">
        <v>1.0</v>
      </c>
      <c r="C110" s="93" t="s">
        <v>1150</v>
      </c>
      <c r="D110" s="93" t="s">
        <v>1134</v>
      </c>
      <c r="E110" s="93" t="s">
        <v>1151</v>
      </c>
      <c r="F110" s="93" t="s">
        <v>488</v>
      </c>
      <c r="G110" s="93">
        <v>0.0</v>
      </c>
      <c r="H110" s="74">
        <v>995000.0</v>
      </c>
      <c r="I110" s="96">
        <v>873689.5</v>
      </c>
      <c r="J110" s="65" t="s">
        <v>87</v>
      </c>
      <c r="K110" s="65">
        <v>1.0</v>
      </c>
      <c r="L110" s="74">
        <v>0.0</v>
      </c>
      <c r="M110" s="93" t="s">
        <v>61</v>
      </c>
      <c r="N110" s="65">
        <f>sumif(PURCHASE!I:I,C110,PURCHASE!J:J)</f>
        <v>2</v>
      </c>
      <c r="O110" s="65">
        <f>sumif('SELLING CASH'!E:E,C110,'SELLING CASH'!F:F)</f>
        <v>2</v>
      </c>
      <c r="P110" s="65">
        <f>sumif('SELLING CREDIT'!F:F,C110,'SELLING CREDIT'!G:G)</f>
        <v>0</v>
      </c>
      <c r="Q110" s="65">
        <f t="shared" si="1"/>
        <v>0</v>
      </c>
      <c r="V110" s="289" t="s">
        <v>1155</v>
      </c>
      <c r="W110" s="288" t="s">
        <v>1156</v>
      </c>
      <c r="X110" s="206">
        <f>sumif('SELLING CREDIT'!E:E,W110,'SELLING CREDIT'!P:P)</f>
        <v>1820000</v>
      </c>
      <c r="Y110" s="206">
        <f>SUMIF('PAYMENT CREDIT'!E:E,W110,'PAYMENT CREDIT'!F:F)</f>
        <v>1820000</v>
      </c>
      <c r="Z110" s="206">
        <f t="shared" si="2"/>
        <v>0</v>
      </c>
      <c r="AD110" s="101"/>
      <c r="AF110" s="9"/>
      <c r="AG110" s="9"/>
      <c r="AH110" s="9"/>
    </row>
    <row r="111" ht="22.5" customHeight="1">
      <c r="A111" s="49"/>
      <c r="C111" s="93" t="s">
        <v>1160</v>
      </c>
      <c r="D111" s="93" t="s">
        <v>1161</v>
      </c>
      <c r="E111" s="93" t="s">
        <v>959</v>
      </c>
      <c r="F111" s="93" t="s">
        <v>488</v>
      </c>
      <c r="G111" s="93">
        <v>4.0</v>
      </c>
      <c r="H111" s="74">
        <v>1000000.0</v>
      </c>
      <c r="I111" s="96">
        <v>799425.0</v>
      </c>
      <c r="J111" s="65" t="s">
        <v>87</v>
      </c>
      <c r="K111" s="65">
        <v>1.0</v>
      </c>
      <c r="L111" s="74">
        <v>0.0</v>
      </c>
      <c r="M111" s="93" t="s">
        <v>61</v>
      </c>
      <c r="N111" s="65">
        <f>sumif(PURCHASE!I:I,C111,PURCHASE!J:J)</f>
        <v>1</v>
      </c>
      <c r="O111" s="65">
        <f>sumif('SELLING CASH'!E:E,C111,'SELLING CASH'!F:F)</f>
        <v>5</v>
      </c>
      <c r="P111" s="65">
        <f>sumif('SELLING CREDIT'!F:F,C111,'SELLING CREDIT'!G:G)</f>
        <v>0</v>
      </c>
      <c r="Q111" s="65">
        <f t="shared" si="1"/>
        <v>0</v>
      </c>
      <c r="V111" s="289" t="s">
        <v>1163</v>
      </c>
      <c r="W111" s="288" t="s">
        <v>1164</v>
      </c>
      <c r="X111" s="206">
        <f>sumif('SELLING CREDIT'!E:E,W111,'SELLING CREDIT'!P:P)</f>
        <v>3150000</v>
      </c>
      <c r="Y111" s="206">
        <f>SUMIF('PAYMENT CREDIT'!E:E,W111,'PAYMENT CREDIT'!F:F)</f>
        <v>0</v>
      </c>
      <c r="Z111" s="206">
        <f t="shared" si="2"/>
        <v>3150000</v>
      </c>
      <c r="AD111" s="101"/>
      <c r="AF111" s="9"/>
      <c r="AG111" s="9"/>
      <c r="AH111" s="9"/>
    </row>
    <row r="112" ht="22.5" customHeight="1">
      <c r="A112" s="49"/>
      <c r="C112" s="93" t="s">
        <v>1167</v>
      </c>
      <c r="D112" s="93" t="s">
        <v>1168</v>
      </c>
      <c r="E112" s="93" t="s">
        <v>902</v>
      </c>
      <c r="F112" s="93" t="s">
        <v>488</v>
      </c>
      <c r="G112" s="93">
        <v>0.0</v>
      </c>
      <c r="H112" s="74">
        <v>1250000.0</v>
      </c>
      <c r="I112" s="96">
        <v>1120000.0</v>
      </c>
      <c r="J112" s="65" t="s">
        <v>87</v>
      </c>
      <c r="K112" s="65">
        <v>1.0</v>
      </c>
      <c r="L112" s="74">
        <v>0.0</v>
      </c>
      <c r="M112" s="93" t="s">
        <v>61</v>
      </c>
      <c r="N112" s="65">
        <f>sumif(PURCHASE!I:I,C112,PURCHASE!J:J)</f>
        <v>0</v>
      </c>
      <c r="O112" s="65">
        <f>sumif('SELLING CASH'!E:E,C112,'SELLING CASH'!F:F)</f>
        <v>2</v>
      </c>
      <c r="P112" s="65">
        <f>sumif('SELLING CREDIT'!F:F,C112,'SELLING CREDIT'!G:G)</f>
        <v>0</v>
      </c>
      <c r="Q112" s="65">
        <f t="shared" si="1"/>
        <v>-2</v>
      </c>
      <c r="V112" s="289" t="s">
        <v>1169</v>
      </c>
      <c r="W112" s="288" t="s">
        <v>1170</v>
      </c>
      <c r="X112" s="206">
        <f>sumif('SELLING CREDIT'!E:E,W112,'SELLING CREDIT'!P:P)</f>
        <v>1580000</v>
      </c>
      <c r="Y112" s="206">
        <f>SUMIF('PAYMENT CREDIT'!E:E,W112,'PAYMENT CREDIT'!F:F)</f>
        <v>1580000</v>
      </c>
      <c r="Z112" s="206">
        <f t="shared" si="2"/>
        <v>0</v>
      </c>
      <c r="AD112" s="101"/>
      <c r="AF112" s="9"/>
      <c r="AG112" s="9"/>
      <c r="AH112" s="9"/>
    </row>
    <row r="113" ht="22.5" customHeight="1">
      <c r="A113" s="49"/>
      <c r="C113" s="93" t="s">
        <v>1175</v>
      </c>
      <c r="D113" s="93" t="s">
        <v>1168</v>
      </c>
      <c r="E113" s="93" t="s">
        <v>959</v>
      </c>
      <c r="F113" s="93" t="s">
        <v>488</v>
      </c>
      <c r="G113" s="93">
        <v>2.0</v>
      </c>
      <c r="H113" s="140">
        <v>980000.0</v>
      </c>
      <c r="I113" s="193">
        <v>889369.5</v>
      </c>
      <c r="J113" s="65" t="s">
        <v>87</v>
      </c>
      <c r="K113" s="65">
        <v>1.0</v>
      </c>
      <c r="L113" s="74">
        <v>0.0</v>
      </c>
      <c r="M113" s="93" t="s">
        <v>61</v>
      </c>
      <c r="N113" s="65">
        <f>sumif(PURCHASE!I:I,C113,PURCHASE!J:J)</f>
        <v>14</v>
      </c>
      <c r="O113" s="65">
        <f>sumif('SELLING CASH'!E:E,C113,'SELLING CASH'!F:F)</f>
        <v>15</v>
      </c>
      <c r="P113" s="65">
        <f>sumif('SELLING CREDIT'!F:F,C113,'SELLING CREDIT'!G:G)</f>
        <v>0</v>
      </c>
      <c r="Q113" s="65">
        <f t="shared" si="1"/>
        <v>1</v>
      </c>
      <c r="V113" s="289" t="s">
        <v>1178</v>
      </c>
      <c r="W113" s="288" t="s">
        <v>1179</v>
      </c>
      <c r="X113" s="206">
        <f>sumif('SELLING CREDIT'!E:E,W113,'SELLING CREDIT'!P:P)</f>
        <v>3230000</v>
      </c>
      <c r="Y113" s="206">
        <f>SUMIF('PAYMENT CREDIT'!E:E,W113,'PAYMENT CREDIT'!F:F)</f>
        <v>3230000</v>
      </c>
      <c r="Z113" s="206">
        <f t="shared" si="2"/>
        <v>0</v>
      </c>
      <c r="AD113" s="101"/>
      <c r="AF113" s="9"/>
      <c r="AG113" s="9"/>
      <c r="AH113" s="9"/>
    </row>
    <row r="114" ht="22.5" customHeight="1">
      <c r="A114" s="49"/>
      <c r="C114" s="93" t="s">
        <v>627</v>
      </c>
      <c r="D114" s="93" t="s">
        <v>1182</v>
      </c>
      <c r="E114" s="93" t="s">
        <v>902</v>
      </c>
      <c r="F114" s="93" t="s">
        <v>488</v>
      </c>
      <c r="G114" s="93">
        <v>4.0</v>
      </c>
      <c r="H114" s="140">
        <v>1030000.0</v>
      </c>
      <c r="I114" s="193">
        <v>879567.0</v>
      </c>
      <c r="J114" s="65" t="s">
        <v>87</v>
      </c>
      <c r="K114" s="65">
        <v>1.0</v>
      </c>
      <c r="L114" s="74">
        <v>0.0</v>
      </c>
      <c r="M114" s="93" t="s">
        <v>61</v>
      </c>
      <c r="N114" s="65">
        <f>sumif(PURCHASE!I:I,C114,PURCHASE!J:J)</f>
        <v>63</v>
      </c>
      <c r="O114" s="65">
        <f>sumif('SELLING CASH'!E:E,C114,'SELLING CASH'!F:F)</f>
        <v>47</v>
      </c>
      <c r="P114" s="65">
        <f>sumif('SELLING CREDIT'!F:F,C114,'SELLING CREDIT'!G:G)</f>
        <v>2</v>
      </c>
      <c r="Q114" s="65">
        <f t="shared" si="1"/>
        <v>18</v>
      </c>
      <c r="V114" s="255"/>
      <c r="X114" s="9"/>
      <c r="Y114" s="9"/>
      <c r="Z114" s="9"/>
      <c r="AD114" s="101"/>
      <c r="AF114" s="9"/>
      <c r="AG114" s="9"/>
      <c r="AH114" s="9"/>
    </row>
    <row r="115" ht="22.5" customHeight="1">
      <c r="A115" s="49"/>
      <c r="C115" s="93" t="s">
        <v>518</v>
      </c>
      <c r="D115" s="93" t="s">
        <v>1182</v>
      </c>
      <c r="E115" s="93" t="s">
        <v>1186</v>
      </c>
      <c r="F115" s="93" t="s">
        <v>488</v>
      </c>
      <c r="G115" s="93">
        <v>1.0</v>
      </c>
      <c r="H115" s="74">
        <v>1200000.0</v>
      </c>
      <c r="I115" s="96">
        <v>1085500.0</v>
      </c>
      <c r="J115" s="65" t="s">
        <v>87</v>
      </c>
      <c r="K115" s="65">
        <v>1.0</v>
      </c>
      <c r="L115" s="74">
        <v>0.0</v>
      </c>
      <c r="M115" s="93" t="s">
        <v>61</v>
      </c>
      <c r="N115" s="65">
        <f>sumif(PURCHASE!I:I,C115,PURCHASE!J:J)</f>
        <v>5</v>
      </c>
      <c r="O115" s="65">
        <f>sumif('SELLING CASH'!E:E,C115,'SELLING CASH'!F:F)</f>
        <v>4</v>
      </c>
      <c r="P115" s="65">
        <f>sumif('SELLING CREDIT'!F:F,C115,'SELLING CREDIT'!G:G)</f>
        <v>5</v>
      </c>
      <c r="Q115" s="65">
        <f t="shared" si="1"/>
        <v>-3</v>
      </c>
      <c r="V115" s="255"/>
      <c r="X115" s="9"/>
      <c r="Y115" s="9"/>
      <c r="Z115" s="9"/>
      <c r="AD115" s="101"/>
      <c r="AF115" s="9"/>
      <c r="AG115" s="9"/>
      <c r="AH115" s="9"/>
    </row>
    <row r="116" ht="22.5" customHeight="1">
      <c r="A116" s="49"/>
      <c r="C116" s="93" t="s">
        <v>1192</v>
      </c>
      <c r="D116" s="93" t="s">
        <v>1182</v>
      </c>
      <c r="E116" s="93" t="s">
        <v>1186</v>
      </c>
      <c r="F116" s="93" t="s">
        <v>488</v>
      </c>
      <c r="G116" s="93">
        <v>4.0</v>
      </c>
      <c r="H116" s="140">
        <v>1120000.0</v>
      </c>
      <c r="I116" s="193">
        <v>1027000.0</v>
      </c>
      <c r="J116" s="65" t="s">
        <v>87</v>
      </c>
      <c r="K116" s="65">
        <v>1.0</v>
      </c>
      <c r="L116" s="74">
        <v>0.0</v>
      </c>
      <c r="M116" s="93" t="s">
        <v>61</v>
      </c>
      <c r="N116" s="65">
        <f>sumif(PURCHASE!I:I,C116,PURCHASE!J:J)</f>
        <v>5</v>
      </c>
      <c r="O116" s="65">
        <f>sumif('SELLING CASH'!E:E,C116,'SELLING CASH'!F:F)</f>
        <v>6</v>
      </c>
      <c r="P116" s="65">
        <f>sumif('SELLING CREDIT'!F:F,C116,'SELLING CREDIT'!G:G)</f>
        <v>0</v>
      </c>
      <c r="Q116" s="65">
        <f t="shared" si="1"/>
        <v>3</v>
      </c>
      <c r="V116" s="255"/>
      <c r="X116" s="9"/>
      <c r="Y116" s="9"/>
      <c r="Z116" s="9"/>
      <c r="AD116" s="101"/>
      <c r="AF116" s="9"/>
      <c r="AG116" s="9"/>
      <c r="AH116" s="9"/>
    </row>
    <row r="117" ht="22.5" customHeight="1">
      <c r="A117" s="49"/>
      <c r="C117" s="93" t="s">
        <v>1196</v>
      </c>
      <c r="D117" s="93" t="s">
        <v>1197</v>
      </c>
      <c r="E117" s="93" t="s">
        <v>902</v>
      </c>
      <c r="F117" s="93" t="s">
        <v>488</v>
      </c>
      <c r="G117" s="93">
        <v>2.0</v>
      </c>
      <c r="H117" s="74">
        <v>1020000.0</v>
      </c>
      <c r="I117" s="193">
        <v>943430.5</v>
      </c>
      <c r="J117" s="65" t="s">
        <v>87</v>
      </c>
      <c r="K117" s="65">
        <v>1.0</v>
      </c>
      <c r="L117" s="74">
        <v>0.0</v>
      </c>
      <c r="M117" s="93" t="s">
        <v>61</v>
      </c>
      <c r="N117" s="65">
        <f>sumif(PURCHASE!I:I,C117,PURCHASE!J:J)</f>
        <v>28</v>
      </c>
      <c r="O117" s="65">
        <f>sumif('SELLING CASH'!E:E,C117,'SELLING CASH'!F:F)</f>
        <v>30</v>
      </c>
      <c r="P117" s="65">
        <f>sumif('SELLING CREDIT'!F:F,C117,'SELLING CREDIT'!G:G)</f>
        <v>0</v>
      </c>
      <c r="Q117" s="65">
        <f t="shared" si="1"/>
        <v>0</v>
      </c>
      <c r="V117" s="255"/>
      <c r="X117" s="9"/>
      <c r="Y117" s="9"/>
      <c r="Z117" s="9"/>
      <c r="AD117" s="101"/>
      <c r="AF117" s="9"/>
      <c r="AG117" s="9"/>
      <c r="AH117" s="9"/>
    </row>
    <row r="118" ht="22.5" customHeight="1">
      <c r="A118" s="49"/>
      <c r="C118" s="93" t="s">
        <v>1202</v>
      </c>
      <c r="D118" s="93" t="s">
        <v>1203</v>
      </c>
      <c r="F118" s="93" t="s">
        <v>488</v>
      </c>
      <c r="G118" s="93">
        <v>2.0</v>
      </c>
      <c r="H118" s="74">
        <v>900000.0</v>
      </c>
      <c r="I118" s="96">
        <v>795000.0</v>
      </c>
      <c r="J118" s="65" t="s">
        <v>87</v>
      </c>
      <c r="K118" s="65">
        <v>1.0</v>
      </c>
      <c r="L118" s="74">
        <v>0.0</v>
      </c>
      <c r="M118" s="93" t="s">
        <v>61</v>
      </c>
      <c r="N118" s="65">
        <f>sumif(PURCHASE!I:I,C118,PURCHASE!J:J)</f>
        <v>0</v>
      </c>
      <c r="O118" s="65">
        <f>sumif('SELLING CASH'!E:E,C118,'SELLING CASH'!F:F)</f>
        <v>0</v>
      </c>
      <c r="P118" s="65">
        <f>sumif('SELLING CREDIT'!F:F,C118,'SELLING CREDIT'!G:G)</f>
        <v>0</v>
      </c>
      <c r="Q118" s="65">
        <f t="shared" si="1"/>
        <v>2</v>
      </c>
      <c r="V118" s="255"/>
      <c r="X118" s="9"/>
      <c r="Y118" s="9"/>
      <c r="Z118" s="9"/>
      <c r="AD118" s="101"/>
      <c r="AF118" s="9"/>
      <c r="AG118" s="9"/>
      <c r="AH118" s="9"/>
    </row>
    <row r="119" ht="22.5" customHeight="1">
      <c r="A119" s="49"/>
      <c r="C119" s="93" t="s">
        <v>1206</v>
      </c>
      <c r="D119" s="93" t="s">
        <v>1207</v>
      </c>
      <c r="E119" s="93" t="s">
        <v>959</v>
      </c>
      <c r="F119" s="93" t="s">
        <v>488</v>
      </c>
      <c r="G119" s="93">
        <v>0.0</v>
      </c>
      <c r="H119" s="74">
        <v>1120000.0</v>
      </c>
      <c r="I119" s="96">
        <v>1004147.0</v>
      </c>
      <c r="J119" s="65" t="s">
        <v>87</v>
      </c>
      <c r="K119" s="65">
        <v>1.0</v>
      </c>
      <c r="L119" s="74">
        <v>0.0</v>
      </c>
      <c r="M119" s="93" t="s">
        <v>61</v>
      </c>
      <c r="N119" s="65">
        <f>sumif(PURCHASE!I:I,C119,PURCHASE!J:J)</f>
        <v>4</v>
      </c>
      <c r="O119" s="65">
        <f>sumif('SELLING CASH'!E:E,C119,'SELLING CASH'!F:F)</f>
        <v>6</v>
      </c>
      <c r="P119" s="65">
        <f>sumif('SELLING CREDIT'!F:F,C119,'SELLING CREDIT'!G:G)</f>
        <v>0</v>
      </c>
      <c r="Q119" s="65">
        <f t="shared" si="1"/>
        <v>-2</v>
      </c>
      <c r="V119" s="255"/>
      <c r="X119" s="9"/>
      <c r="Y119" s="9"/>
      <c r="Z119" s="9"/>
      <c r="AD119" s="101"/>
      <c r="AF119" s="9"/>
      <c r="AG119" s="9"/>
      <c r="AH119" s="9"/>
    </row>
    <row r="120" ht="22.5" customHeight="1">
      <c r="A120" s="49"/>
      <c r="C120" s="93" t="s">
        <v>1212</v>
      </c>
      <c r="D120" s="93" t="s">
        <v>1213</v>
      </c>
      <c r="E120" s="93" t="s">
        <v>922</v>
      </c>
      <c r="F120" s="93" t="s">
        <v>488</v>
      </c>
      <c r="G120" s="93">
        <v>0.0</v>
      </c>
      <c r="H120" s="74">
        <v>1130000.0</v>
      </c>
      <c r="I120" s="96">
        <v>1008000.0</v>
      </c>
      <c r="J120" s="65" t="s">
        <v>87</v>
      </c>
      <c r="K120" s="65">
        <v>1.0</v>
      </c>
      <c r="L120" s="74">
        <v>0.0</v>
      </c>
      <c r="M120" s="93" t="s">
        <v>61</v>
      </c>
      <c r="N120" s="65">
        <f>sumif(PURCHASE!I:I,C120,PURCHASE!J:J)</f>
        <v>0</v>
      </c>
      <c r="O120" s="65">
        <f>sumif('SELLING CASH'!E:E,C120,'SELLING CASH'!F:F)</f>
        <v>0</v>
      </c>
      <c r="P120" s="65">
        <f>sumif('SELLING CREDIT'!F:F,C120,'SELLING CREDIT'!G:G)</f>
        <v>0</v>
      </c>
      <c r="Q120" s="65">
        <f t="shared" si="1"/>
        <v>0</v>
      </c>
      <c r="V120" s="255"/>
      <c r="X120" s="9"/>
      <c r="Y120" s="9"/>
      <c r="Z120" s="9"/>
      <c r="AD120" s="101"/>
      <c r="AF120" s="9"/>
      <c r="AG120" s="9"/>
      <c r="AH120" s="9"/>
    </row>
    <row r="121" ht="22.5" customHeight="1">
      <c r="A121" s="49"/>
      <c r="C121" s="93" t="s">
        <v>1216</v>
      </c>
      <c r="D121" s="93" t="s">
        <v>1213</v>
      </c>
      <c r="E121" s="93" t="s">
        <v>1151</v>
      </c>
      <c r="F121" s="93" t="s">
        <v>488</v>
      </c>
      <c r="G121" s="93">
        <v>0.0</v>
      </c>
      <c r="H121" s="74">
        <v>1500000.0</v>
      </c>
      <c r="I121" s="96">
        <v>1347000.0</v>
      </c>
      <c r="J121" s="65" t="s">
        <v>87</v>
      </c>
      <c r="K121" s="65">
        <v>1.0</v>
      </c>
      <c r="L121" s="74">
        <v>0.0</v>
      </c>
      <c r="M121" s="93" t="s">
        <v>61</v>
      </c>
      <c r="N121" s="65">
        <f>sumif(PURCHASE!I:I,C121,PURCHASE!J:J)</f>
        <v>0</v>
      </c>
      <c r="O121" s="65">
        <f>sumif('SELLING CASH'!E:E,C121,'SELLING CASH'!F:F)</f>
        <v>0</v>
      </c>
      <c r="P121" s="65">
        <f>sumif('SELLING CREDIT'!F:F,C121,'SELLING CREDIT'!G:G)</f>
        <v>0</v>
      </c>
      <c r="Q121" s="65">
        <f t="shared" si="1"/>
        <v>0</v>
      </c>
      <c r="V121" s="255"/>
      <c r="X121" s="9"/>
      <c r="Y121" s="9"/>
      <c r="Z121" s="9"/>
      <c r="AD121" s="101"/>
      <c r="AF121" s="9"/>
      <c r="AG121" s="9"/>
      <c r="AH121" s="9"/>
    </row>
    <row r="122" ht="22.5" customHeight="1">
      <c r="A122" s="49"/>
      <c r="C122" s="93" t="s">
        <v>1224</v>
      </c>
      <c r="D122" s="93" t="s">
        <v>223</v>
      </c>
      <c r="E122" s="93" t="s">
        <v>1225</v>
      </c>
      <c r="F122" s="93" t="s">
        <v>488</v>
      </c>
      <c r="G122" s="93">
        <v>0.0</v>
      </c>
      <c r="H122" s="74">
        <v>1620000.0</v>
      </c>
      <c r="I122" s="96">
        <v>1501164.0</v>
      </c>
      <c r="J122" s="65" t="s">
        <v>87</v>
      </c>
      <c r="K122" s="65">
        <v>1.0</v>
      </c>
      <c r="L122" s="74">
        <v>0.0</v>
      </c>
      <c r="M122" s="93" t="s">
        <v>61</v>
      </c>
      <c r="N122" s="65">
        <f>sumif(PURCHASE!I:I,C122,PURCHASE!J:J)</f>
        <v>1</v>
      </c>
      <c r="O122" s="65">
        <f>sumif('SELLING CASH'!E:E,C122,'SELLING CASH'!F:F)</f>
        <v>1</v>
      </c>
      <c r="P122" s="65">
        <f>sumif('SELLING CREDIT'!F:F,C122,'SELLING CREDIT'!G:G)</f>
        <v>0</v>
      </c>
      <c r="Q122" s="65">
        <f t="shared" si="1"/>
        <v>0</v>
      </c>
      <c r="V122" s="255"/>
      <c r="X122" s="9"/>
      <c r="Y122" s="9"/>
      <c r="Z122" s="9"/>
      <c r="AD122" s="101"/>
      <c r="AF122" s="9"/>
      <c r="AG122" s="9"/>
      <c r="AH122" s="9"/>
    </row>
    <row r="123" ht="22.5" customHeight="1">
      <c r="A123" s="49"/>
      <c r="C123" s="93" t="s">
        <v>1228</v>
      </c>
      <c r="D123" s="93" t="s">
        <v>223</v>
      </c>
      <c r="E123" s="93" t="s">
        <v>1151</v>
      </c>
      <c r="F123" s="93" t="s">
        <v>488</v>
      </c>
      <c r="G123" s="93">
        <v>0.0</v>
      </c>
      <c r="H123" s="74">
        <v>1.43E7</v>
      </c>
      <c r="I123" s="96">
        <v>1277000.0</v>
      </c>
      <c r="J123" s="65" t="s">
        <v>87</v>
      </c>
      <c r="K123" s="65">
        <v>1.0</v>
      </c>
      <c r="L123" s="74">
        <v>0.0</v>
      </c>
      <c r="M123" s="93" t="s">
        <v>61</v>
      </c>
      <c r="N123" s="65">
        <f>sumif(PURCHASE!I:I,C123,PURCHASE!J:J)</f>
        <v>0</v>
      </c>
      <c r="O123" s="65">
        <f>sumif('SELLING CASH'!E:E,C123,'SELLING CASH'!F:F)</f>
        <v>0</v>
      </c>
      <c r="P123" s="65">
        <f>sumif('SELLING CREDIT'!F:F,C123,'SELLING CREDIT'!G:G)</f>
        <v>0</v>
      </c>
      <c r="Q123" s="65">
        <f t="shared" si="1"/>
        <v>0</v>
      </c>
      <c r="V123" s="255"/>
      <c r="X123" s="9"/>
      <c r="Y123" s="9"/>
      <c r="Z123" s="9"/>
      <c r="AD123" s="101"/>
      <c r="AF123" s="9"/>
      <c r="AG123" s="9"/>
      <c r="AH123" s="9"/>
    </row>
    <row r="124" ht="22.5" customHeight="1">
      <c r="A124" s="49"/>
      <c r="C124" s="93" t="s">
        <v>1233</v>
      </c>
      <c r="D124" s="93" t="s">
        <v>1234</v>
      </c>
      <c r="E124" s="93" t="s">
        <v>1235</v>
      </c>
      <c r="F124" s="93" t="s">
        <v>488</v>
      </c>
      <c r="G124" s="93">
        <v>0.0</v>
      </c>
      <c r="H124" s="74">
        <v>1420000.0</v>
      </c>
      <c r="I124" s="96">
        <v>1285000.0</v>
      </c>
      <c r="J124" s="65" t="s">
        <v>87</v>
      </c>
      <c r="K124" s="65">
        <v>1.0</v>
      </c>
      <c r="L124" s="74">
        <v>0.0</v>
      </c>
      <c r="M124" s="93" t="s">
        <v>61</v>
      </c>
      <c r="N124" s="65">
        <f>sumif(PURCHASE!I:I,C124,PURCHASE!J:J)</f>
        <v>1</v>
      </c>
      <c r="O124" s="65">
        <f>sumif('SELLING CASH'!E:E,C124,'SELLING CASH'!F:F)</f>
        <v>1</v>
      </c>
      <c r="P124" s="65">
        <f>sumif('SELLING CREDIT'!F:F,C124,'SELLING CREDIT'!G:G)</f>
        <v>0</v>
      </c>
      <c r="Q124" s="65">
        <f t="shared" si="1"/>
        <v>0</v>
      </c>
      <c r="V124" s="255"/>
      <c r="X124" s="9"/>
      <c r="Y124" s="9"/>
      <c r="Z124" s="9"/>
      <c r="AD124" s="101"/>
      <c r="AF124" s="9"/>
      <c r="AG124" s="9"/>
      <c r="AH124" s="9"/>
    </row>
    <row r="125" ht="22.5" customHeight="1">
      <c r="A125" s="49"/>
      <c r="C125" s="93" t="s">
        <v>1241</v>
      </c>
      <c r="D125" s="93" t="s">
        <v>1234</v>
      </c>
      <c r="E125" s="93" t="s">
        <v>1242</v>
      </c>
      <c r="F125" s="93" t="s">
        <v>488</v>
      </c>
      <c r="G125" s="93">
        <v>0.0</v>
      </c>
      <c r="H125" s="74">
        <v>1270000.0</v>
      </c>
      <c r="I125" s="96">
        <v>1142982.0</v>
      </c>
      <c r="J125" s="65" t="s">
        <v>87</v>
      </c>
      <c r="K125" s="65">
        <v>1.0</v>
      </c>
      <c r="L125" s="74">
        <v>0.0</v>
      </c>
      <c r="M125" s="93" t="s">
        <v>61</v>
      </c>
      <c r="N125" s="65">
        <f>sumif(PURCHASE!I:I,C125,PURCHASE!J:J)</f>
        <v>0</v>
      </c>
      <c r="O125" s="65">
        <f>sumif('SELLING CASH'!E:E,C125,'SELLING CASH'!F:F)</f>
        <v>0</v>
      </c>
      <c r="P125" s="65">
        <f>sumif('SELLING CREDIT'!F:F,C125,'SELLING CREDIT'!G:G)</f>
        <v>0</v>
      </c>
      <c r="Q125" s="65">
        <f t="shared" si="1"/>
        <v>0</v>
      </c>
      <c r="V125" s="255"/>
      <c r="X125" s="9"/>
      <c r="Y125" s="9"/>
      <c r="Z125" s="9"/>
      <c r="AD125" s="101"/>
      <c r="AF125" s="9"/>
      <c r="AG125" s="9"/>
      <c r="AH125" s="9"/>
    </row>
    <row r="126" ht="22.5" customHeight="1">
      <c r="A126" s="49"/>
      <c r="C126" s="93" t="s">
        <v>1246</v>
      </c>
      <c r="D126" s="93" t="s">
        <v>1248</v>
      </c>
      <c r="E126" s="93" t="s">
        <v>1249</v>
      </c>
      <c r="F126" s="93" t="s">
        <v>488</v>
      </c>
      <c r="G126" s="93">
        <v>0.0</v>
      </c>
      <c r="H126" s="74">
        <v>1200000.0</v>
      </c>
      <c r="I126" s="96">
        <v>1085000.0</v>
      </c>
      <c r="J126" s="65" t="s">
        <v>87</v>
      </c>
      <c r="K126" s="65">
        <v>1.0</v>
      </c>
      <c r="L126" s="74">
        <v>0.0</v>
      </c>
      <c r="M126" s="93" t="s">
        <v>61</v>
      </c>
      <c r="N126" s="65">
        <f>sumif(PURCHASE!I:I,C126,PURCHASE!J:J)</f>
        <v>0</v>
      </c>
      <c r="O126" s="65">
        <f>sumif('SELLING CASH'!E:E,C126,'SELLING CASH'!F:F)</f>
        <v>0</v>
      </c>
      <c r="P126" s="65">
        <f>sumif('SELLING CREDIT'!F:F,C126,'SELLING CREDIT'!G:G)</f>
        <v>0</v>
      </c>
      <c r="Q126" s="65">
        <f t="shared" si="1"/>
        <v>0</v>
      </c>
      <c r="V126" s="255"/>
      <c r="X126" s="9"/>
      <c r="Y126" s="9"/>
      <c r="Z126" s="9"/>
      <c r="AD126" s="101"/>
      <c r="AF126" s="9"/>
      <c r="AG126" s="9"/>
      <c r="AH126" s="9"/>
    </row>
    <row r="127" ht="22.5" customHeight="1">
      <c r="A127" s="49"/>
      <c r="C127" s="93" t="s">
        <v>1252</v>
      </c>
      <c r="D127" s="93" t="s">
        <v>1253</v>
      </c>
      <c r="E127" s="93" t="s">
        <v>1235</v>
      </c>
      <c r="F127" s="93" t="s">
        <v>488</v>
      </c>
      <c r="G127" s="93">
        <v>0.0</v>
      </c>
      <c r="H127" s="74">
        <v>1750000.0</v>
      </c>
      <c r="I127" s="96">
        <v>1600000.0</v>
      </c>
      <c r="J127" s="65" t="s">
        <v>87</v>
      </c>
      <c r="K127" s="65">
        <v>1.0</v>
      </c>
      <c r="L127" s="74">
        <v>0.0</v>
      </c>
      <c r="M127" s="93" t="s">
        <v>61</v>
      </c>
      <c r="N127" s="65">
        <f>sumif(PURCHASE!I:I,C127,PURCHASE!J:J)</f>
        <v>0</v>
      </c>
      <c r="O127" s="65">
        <f>sumif('SELLING CASH'!E:E,C127,'SELLING CASH'!F:F)</f>
        <v>0</v>
      </c>
      <c r="P127" s="65">
        <f>sumif('SELLING CREDIT'!F:F,C127,'SELLING CREDIT'!G:G)</f>
        <v>0</v>
      </c>
      <c r="Q127" s="65">
        <f t="shared" si="1"/>
        <v>0</v>
      </c>
      <c r="V127" s="255"/>
      <c r="X127" s="9"/>
      <c r="Y127" s="9"/>
      <c r="Z127" s="9"/>
      <c r="AD127" s="101"/>
      <c r="AF127" s="9"/>
      <c r="AG127" s="9"/>
      <c r="AH127" s="9"/>
    </row>
    <row r="128" ht="22.5" customHeight="1">
      <c r="A128" s="49"/>
      <c r="C128" s="93" t="s">
        <v>1258</v>
      </c>
      <c r="D128" s="93" t="s">
        <v>1259</v>
      </c>
      <c r="E128" s="93" t="s">
        <v>1260</v>
      </c>
      <c r="F128" s="93" t="s">
        <v>488</v>
      </c>
      <c r="G128" s="93">
        <v>1.0</v>
      </c>
      <c r="H128" s="74">
        <v>1280000.0</v>
      </c>
      <c r="I128" s="96">
        <v>1198000.0</v>
      </c>
      <c r="J128" s="65" t="s">
        <v>87</v>
      </c>
      <c r="K128" s="65">
        <v>1.0</v>
      </c>
      <c r="L128" s="74">
        <v>0.0</v>
      </c>
      <c r="M128" s="93" t="s">
        <v>61</v>
      </c>
      <c r="N128" s="65">
        <f>sumif(PURCHASE!I:I,C128,PURCHASE!J:J)</f>
        <v>0</v>
      </c>
      <c r="O128" s="65">
        <f>sumif('SELLING CASH'!E:E,C128,'SELLING CASH'!F:F)</f>
        <v>3</v>
      </c>
      <c r="P128" s="65">
        <f>sumif('SELLING CREDIT'!F:F,C128,'SELLING CREDIT'!G:G)</f>
        <v>0</v>
      </c>
      <c r="Q128" s="65">
        <f t="shared" si="1"/>
        <v>-2</v>
      </c>
      <c r="V128" s="255"/>
      <c r="X128" s="9"/>
      <c r="Y128" s="9"/>
      <c r="Z128" s="9"/>
      <c r="AD128" s="101"/>
      <c r="AF128" s="9"/>
      <c r="AG128" s="9"/>
      <c r="AH128" s="9"/>
    </row>
    <row r="129" ht="22.5" customHeight="1">
      <c r="A129" s="49"/>
      <c r="C129" s="93" t="s">
        <v>1264</v>
      </c>
      <c r="D129" s="93" t="s">
        <v>1265</v>
      </c>
      <c r="F129" s="93" t="s">
        <v>1266</v>
      </c>
      <c r="G129" s="93">
        <v>0.0</v>
      </c>
      <c r="H129" s="74">
        <v>1400000.0</v>
      </c>
      <c r="I129" s="96">
        <v>1260000.0</v>
      </c>
      <c r="J129" s="65" t="s">
        <v>87</v>
      </c>
      <c r="K129" s="65">
        <v>1.0</v>
      </c>
      <c r="L129" s="74">
        <v>0.0</v>
      </c>
      <c r="M129" s="93" t="s">
        <v>61</v>
      </c>
      <c r="N129" s="65">
        <f>sumif(PURCHASE!I:I,C129,PURCHASE!J:J)</f>
        <v>0</v>
      </c>
      <c r="O129" s="65">
        <f>sumif('SELLING CASH'!E:E,C129,'SELLING CASH'!F:F)</f>
        <v>0</v>
      </c>
      <c r="P129" s="65">
        <f>sumif('SELLING CREDIT'!F:F,C129,'SELLING CREDIT'!G:G)</f>
        <v>0</v>
      </c>
      <c r="Q129" s="65">
        <f t="shared" si="1"/>
        <v>0</v>
      </c>
      <c r="V129" s="255"/>
      <c r="X129" s="9"/>
      <c r="Y129" s="9"/>
      <c r="Z129" s="9"/>
      <c r="AD129" s="101"/>
      <c r="AF129" s="9"/>
      <c r="AG129" s="9"/>
      <c r="AH129" s="9"/>
    </row>
    <row r="130" ht="22.5" customHeight="1">
      <c r="A130" s="49"/>
      <c r="C130" s="93" t="s">
        <v>1270</v>
      </c>
      <c r="D130" s="93" t="s">
        <v>1271</v>
      </c>
      <c r="E130" s="93" t="s">
        <v>1186</v>
      </c>
      <c r="F130" s="93" t="s">
        <v>488</v>
      </c>
      <c r="G130" s="93">
        <v>0.0</v>
      </c>
      <c r="H130" s="74">
        <v>1420000.0</v>
      </c>
      <c r="I130" s="96">
        <v>1290000.0</v>
      </c>
      <c r="J130" s="65" t="s">
        <v>87</v>
      </c>
      <c r="K130" s="65">
        <v>1.0</v>
      </c>
      <c r="L130" s="74">
        <v>0.0</v>
      </c>
      <c r="M130" s="93" t="s">
        <v>61</v>
      </c>
      <c r="N130" s="65">
        <f>sumif(PURCHASE!I:I,C130,PURCHASE!J:J)</f>
        <v>0</v>
      </c>
      <c r="O130" s="65">
        <f>sumif('SELLING CASH'!E:E,C130,'SELLING CASH'!F:F)</f>
        <v>0</v>
      </c>
      <c r="P130" s="65">
        <f>sumif('SELLING CREDIT'!F:F,C130,'SELLING CREDIT'!G:G)</f>
        <v>0</v>
      </c>
      <c r="Q130" s="65">
        <f t="shared" si="1"/>
        <v>0</v>
      </c>
      <c r="V130" s="255"/>
      <c r="X130" s="9"/>
      <c r="Y130" s="9"/>
      <c r="Z130" s="9"/>
      <c r="AD130" s="101"/>
      <c r="AF130" s="9"/>
      <c r="AG130" s="9"/>
      <c r="AH130" s="9"/>
    </row>
    <row r="131" ht="22.5" customHeight="1">
      <c r="A131" s="49"/>
      <c r="C131" s="93" t="s">
        <v>1270</v>
      </c>
      <c r="D131" s="93" t="s">
        <v>1271</v>
      </c>
      <c r="E131" s="93" t="s">
        <v>1186</v>
      </c>
      <c r="F131" s="93" t="s">
        <v>488</v>
      </c>
      <c r="G131" s="93">
        <v>0.0</v>
      </c>
      <c r="H131" s="74">
        <v>1550000.0</v>
      </c>
      <c r="I131" s="96">
        <v>1430821.0</v>
      </c>
      <c r="J131" s="65" t="s">
        <v>87</v>
      </c>
      <c r="K131" s="65">
        <v>1.0</v>
      </c>
      <c r="L131" s="74">
        <v>0.0</v>
      </c>
      <c r="M131" s="93" t="s">
        <v>61</v>
      </c>
      <c r="N131" s="65">
        <f>sumif(PURCHASE!I:I,C131,PURCHASE!J:J)</f>
        <v>0</v>
      </c>
      <c r="O131" s="65">
        <f>sumif('SELLING CASH'!E:E,C131,'SELLING CASH'!F:F)</f>
        <v>0</v>
      </c>
      <c r="P131" s="65">
        <f>sumif('SELLING CREDIT'!F:F,C131,'SELLING CREDIT'!G:G)</f>
        <v>0</v>
      </c>
      <c r="Q131" s="65">
        <f t="shared" si="1"/>
        <v>0</v>
      </c>
      <c r="V131" s="255"/>
      <c r="X131" s="9"/>
      <c r="Y131" s="9"/>
      <c r="Z131" s="9"/>
      <c r="AD131" s="101"/>
      <c r="AF131" s="9"/>
      <c r="AG131" s="9"/>
      <c r="AH131" s="9"/>
    </row>
    <row r="132" ht="22.5" customHeight="1">
      <c r="A132" s="49"/>
      <c r="C132" s="93" t="s">
        <v>1278</v>
      </c>
      <c r="D132" s="93" t="s">
        <v>1279</v>
      </c>
      <c r="E132" s="93" t="s">
        <v>1242</v>
      </c>
      <c r="F132" s="93" t="s">
        <v>488</v>
      </c>
      <c r="G132" s="93">
        <v>0.0</v>
      </c>
      <c r="H132" s="74">
        <v>1580000.0</v>
      </c>
      <c r="I132" s="96">
        <v>1466393.5</v>
      </c>
      <c r="J132" s="65" t="s">
        <v>87</v>
      </c>
      <c r="K132" s="65">
        <v>1.0</v>
      </c>
      <c r="L132" s="74">
        <v>0.0</v>
      </c>
      <c r="M132" s="93" t="s">
        <v>61</v>
      </c>
      <c r="N132" s="65">
        <f>sumif(PURCHASE!I:I,C132,PURCHASE!J:J)</f>
        <v>16</v>
      </c>
      <c r="O132" s="65">
        <f>sumif('SELLING CASH'!E:E,C132,'SELLING CASH'!F:F)</f>
        <v>20</v>
      </c>
      <c r="P132" s="65">
        <f>sumif('SELLING CREDIT'!F:F,C132,'SELLING CREDIT'!G:G)</f>
        <v>0</v>
      </c>
      <c r="Q132" s="65">
        <f t="shared" si="1"/>
        <v>-4</v>
      </c>
      <c r="V132" s="255"/>
      <c r="X132" s="9"/>
      <c r="Y132" s="9"/>
      <c r="Z132" s="9"/>
      <c r="AD132" s="101"/>
      <c r="AF132" s="9"/>
      <c r="AG132" s="9"/>
      <c r="AH132" s="9"/>
    </row>
    <row r="133" ht="22.5" customHeight="1">
      <c r="A133" s="49"/>
      <c r="C133" s="93" t="s">
        <v>1281</v>
      </c>
      <c r="D133" s="93" t="s">
        <v>1282</v>
      </c>
      <c r="F133" s="93" t="s">
        <v>488</v>
      </c>
      <c r="G133" s="93">
        <v>0.0</v>
      </c>
      <c r="H133" s="74">
        <v>1885000.0</v>
      </c>
      <c r="I133" s="96">
        <v>1698000.0</v>
      </c>
      <c r="J133" s="65" t="s">
        <v>87</v>
      </c>
      <c r="K133" s="65">
        <v>1.0</v>
      </c>
      <c r="L133" s="74">
        <v>0.0</v>
      </c>
      <c r="M133" s="93" t="s">
        <v>61</v>
      </c>
      <c r="N133" s="65">
        <f>sumif(PURCHASE!I:I,C133,PURCHASE!J:J)</f>
        <v>4</v>
      </c>
      <c r="O133" s="65">
        <f>sumif('SELLING CASH'!E:E,C133,'SELLING CASH'!F:F)</f>
        <v>4</v>
      </c>
      <c r="P133" s="65">
        <f>sumif('SELLING CREDIT'!F:F,C133,'SELLING CREDIT'!G:G)</f>
        <v>0</v>
      </c>
      <c r="Q133" s="65">
        <f t="shared" si="1"/>
        <v>0</v>
      </c>
      <c r="V133" s="255"/>
      <c r="X133" s="9"/>
      <c r="Y133" s="9"/>
      <c r="Z133" s="9"/>
      <c r="AD133" s="101"/>
      <c r="AF133" s="9"/>
      <c r="AG133" s="9"/>
      <c r="AH133" s="9"/>
    </row>
    <row r="134" ht="22.5" customHeight="1">
      <c r="A134" s="49"/>
      <c r="C134" s="93" t="s">
        <v>637</v>
      </c>
      <c r="D134" s="93" t="s">
        <v>1286</v>
      </c>
      <c r="E134" s="93" t="s">
        <v>1288</v>
      </c>
      <c r="F134" s="93" t="s">
        <v>488</v>
      </c>
      <c r="G134" s="93">
        <v>0.0</v>
      </c>
      <c r="H134" s="140">
        <v>1280000.0</v>
      </c>
      <c r="I134" s="96">
        <v>1170500.0</v>
      </c>
      <c r="J134" s="65" t="s">
        <v>87</v>
      </c>
      <c r="K134" s="65">
        <v>1.0</v>
      </c>
      <c r="L134" s="74">
        <v>0.0</v>
      </c>
      <c r="M134" s="93" t="s">
        <v>61</v>
      </c>
      <c r="N134" s="65">
        <f>sumif(PURCHASE!I:I,C134,PURCHASE!J:J)</f>
        <v>2</v>
      </c>
      <c r="O134" s="65">
        <f>sumif('SELLING CASH'!E:E,C134,'SELLING CASH'!F:F)</f>
        <v>0</v>
      </c>
      <c r="P134" s="65">
        <f>sumif('SELLING CREDIT'!F:F,C134,'SELLING CREDIT'!G:G)</f>
        <v>0</v>
      </c>
      <c r="Q134" s="65">
        <f t="shared" si="1"/>
        <v>2</v>
      </c>
      <c r="V134" s="255"/>
      <c r="X134" s="9"/>
      <c r="Y134" s="9"/>
      <c r="Z134" s="9"/>
      <c r="AD134" s="101"/>
      <c r="AF134" s="9"/>
      <c r="AG134" s="9"/>
      <c r="AH134" s="9"/>
    </row>
    <row r="135" ht="22.5" customHeight="1">
      <c r="A135" s="49"/>
      <c r="C135" s="93" t="s">
        <v>1237</v>
      </c>
      <c r="D135" s="93" t="s">
        <v>324</v>
      </c>
      <c r="E135" s="93" t="s">
        <v>1294</v>
      </c>
      <c r="F135" s="93" t="s">
        <v>488</v>
      </c>
      <c r="G135" s="93">
        <v>5.0</v>
      </c>
      <c r="H135" s="74">
        <v>1235000.0</v>
      </c>
      <c r="I135" s="193">
        <v>1170353.16</v>
      </c>
      <c r="J135" s="65" t="s">
        <v>87</v>
      </c>
      <c r="K135" s="65">
        <v>1.0</v>
      </c>
      <c r="L135" s="74">
        <v>0.0</v>
      </c>
      <c r="M135" s="93" t="s">
        <v>61</v>
      </c>
      <c r="N135" s="65">
        <f>sumif(PURCHASE!I:I,C135,PURCHASE!J:J)</f>
        <v>55</v>
      </c>
      <c r="O135" s="65">
        <f>sumif('SELLING CASH'!E:E,C135,'SELLING CASH'!F:F)</f>
        <v>36</v>
      </c>
      <c r="P135" s="65">
        <f>sumif('SELLING CREDIT'!F:F,C135,'SELLING CREDIT'!G:G)</f>
        <v>24</v>
      </c>
      <c r="Q135" s="65">
        <f t="shared" si="1"/>
        <v>0</v>
      </c>
      <c r="V135" s="255"/>
      <c r="X135" s="9"/>
      <c r="Y135" s="9"/>
      <c r="Z135" s="9"/>
      <c r="AD135" s="101"/>
      <c r="AF135" s="9"/>
      <c r="AG135" s="9"/>
      <c r="AH135" s="9"/>
    </row>
    <row r="136" ht="22.5" customHeight="1">
      <c r="A136" s="49"/>
      <c r="C136" s="93" t="s">
        <v>1296</v>
      </c>
      <c r="D136" s="93" t="s">
        <v>1299</v>
      </c>
      <c r="E136" s="93" t="s">
        <v>1300</v>
      </c>
      <c r="F136" s="93" t="s">
        <v>488</v>
      </c>
      <c r="G136" s="93">
        <v>0.0</v>
      </c>
      <c r="H136" s="74">
        <v>3650000.0</v>
      </c>
      <c r="I136" s="96">
        <v>3482000.0</v>
      </c>
      <c r="J136" s="65" t="s">
        <v>87</v>
      </c>
      <c r="K136" s="65">
        <v>1.0</v>
      </c>
      <c r="L136" s="74">
        <v>0.0</v>
      </c>
      <c r="M136" s="93" t="s">
        <v>61</v>
      </c>
      <c r="N136" s="65">
        <f>sumif(PURCHASE!I:I,C136,PURCHASE!J:J)</f>
        <v>0</v>
      </c>
      <c r="O136" s="65">
        <f>sumif('SELLING CASH'!E:E,C136,'SELLING CASH'!F:F)</f>
        <v>0</v>
      </c>
      <c r="P136" s="65">
        <f>sumif('SELLING CREDIT'!F:F,C136,'SELLING CREDIT'!G:G)</f>
        <v>0</v>
      </c>
      <c r="Q136" s="65">
        <f t="shared" si="1"/>
        <v>0</v>
      </c>
      <c r="V136" s="255"/>
      <c r="X136" s="9"/>
      <c r="Y136" s="9"/>
      <c r="Z136" s="9"/>
      <c r="AD136" s="101"/>
      <c r="AF136" s="9"/>
      <c r="AG136" s="9"/>
      <c r="AH136" s="9"/>
    </row>
    <row r="137" ht="22.5" customHeight="1">
      <c r="A137" s="49"/>
      <c r="C137" s="93" t="s">
        <v>1305</v>
      </c>
      <c r="D137" s="93" t="s">
        <v>1307</v>
      </c>
      <c r="E137" s="93" t="s">
        <v>1308</v>
      </c>
      <c r="F137" s="93" t="s">
        <v>488</v>
      </c>
      <c r="G137" s="93">
        <v>0.0</v>
      </c>
      <c r="H137" s="74">
        <v>1850000.0</v>
      </c>
      <c r="I137" s="96">
        <v>1723000.0</v>
      </c>
      <c r="J137" s="65" t="s">
        <v>87</v>
      </c>
      <c r="K137" s="65">
        <v>1.0</v>
      </c>
      <c r="L137" s="74">
        <v>0.0</v>
      </c>
      <c r="M137" s="93" t="s">
        <v>61</v>
      </c>
      <c r="N137" s="65">
        <f>sumif(PURCHASE!I:I,C137,PURCHASE!J:J)</f>
        <v>0</v>
      </c>
      <c r="O137" s="65">
        <f>sumif('SELLING CASH'!E:E,C137,'SELLING CASH'!F:F)</f>
        <v>4</v>
      </c>
      <c r="P137" s="65">
        <f>sumif('SELLING CREDIT'!F:F,C137,'SELLING CREDIT'!G:G)</f>
        <v>0</v>
      </c>
      <c r="Q137" s="65">
        <f t="shared" si="1"/>
        <v>-4</v>
      </c>
      <c r="V137" s="255"/>
      <c r="X137" s="9"/>
      <c r="Y137" s="9"/>
      <c r="Z137" s="9"/>
      <c r="AD137" s="101"/>
      <c r="AF137" s="9"/>
      <c r="AG137" s="9"/>
      <c r="AH137" s="9"/>
    </row>
    <row r="138" ht="22.5" customHeight="1">
      <c r="A138" s="49"/>
      <c r="C138" s="93" t="s">
        <v>1313</v>
      </c>
      <c r="D138" s="93" t="s">
        <v>796</v>
      </c>
      <c r="E138" s="93" t="s">
        <v>1314</v>
      </c>
      <c r="F138" s="93" t="s">
        <v>488</v>
      </c>
      <c r="G138" s="93">
        <v>0.0</v>
      </c>
      <c r="H138" s="74">
        <v>1650000.0</v>
      </c>
      <c r="I138" s="96">
        <v>1400000.0</v>
      </c>
      <c r="J138" s="65" t="s">
        <v>87</v>
      </c>
      <c r="K138" s="65">
        <v>1.0</v>
      </c>
      <c r="L138" s="74">
        <v>0.0</v>
      </c>
      <c r="M138" s="93" t="s">
        <v>61</v>
      </c>
      <c r="N138" s="65">
        <f>sumif(PURCHASE!I:I,C138,PURCHASE!J:J)</f>
        <v>0</v>
      </c>
      <c r="O138" s="65">
        <f>sumif('SELLING CASH'!E:E,C138,'SELLING CASH'!F:F)</f>
        <v>0</v>
      </c>
      <c r="P138" s="65">
        <f>sumif('SELLING CREDIT'!F:F,C138,'SELLING CREDIT'!G:G)</f>
        <v>0</v>
      </c>
      <c r="Q138" s="65">
        <f t="shared" si="1"/>
        <v>0</v>
      </c>
      <c r="V138" s="255"/>
      <c r="X138" s="9"/>
      <c r="Y138" s="9"/>
      <c r="Z138" s="9"/>
      <c r="AD138" s="101"/>
      <c r="AF138" s="9"/>
      <c r="AG138" s="9"/>
      <c r="AH138" s="9"/>
    </row>
    <row r="139" ht="22.5" customHeight="1">
      <c r="A139" s="49"/>
      <c r="C139" s="93" t="s">
        <v>572</v>
      </c>
      <c r="D139" s="93" t="s">
        <v>354</v>
      </c>
      <c r="E139" s="93" t="s">
        <v>1318</v>
      </c>
      <c r="F139" s="93" t="s">
        <v>488</v>
      </c>
      <c r="G139" s="93">
        <v>7.0</v>
      </c>
      <c r="H139" s="74">
        <v>1370000.0</v>
      </c>
      <c r="I139" s="193">
        <v>1265000.0</v>
      </c>
      <c r="J139" s="65" t="s">
        <v>87</v>
      </c>
      <c r="K139" s="65">
        <v>1.0</v>
      </c>
      <c r="L139" s="74">
        <v>0.0</v>
      </c>
      <c r="M139" s="93" t="s">
        <v>61</v>
      </c>
      <c r="N139" s="65">
        <f>sumif(PURCHASE!I:I,C139,PURCHASE!J:J)</f>
        <v>169</v>
      </c>
      <c r="O139" s="65">
        <f>sumif('SELLING CASH'!E:E,C139,'SELLING CASH'!F:F)</f>
        <v>126</v>
      </c>
      <c r="P139" s="65">
        <f>sumif('SELLING CREDIT'!F:F,C139,'SELLING CREDIT'!G:G)</f>
        <v>38</v>
      </c>
      <c r="Q139" s="65">
        <f t="shared" si="1"/>
        <v>12</v>
      </c>
      <c r="V139" s="255"/>
      <c r="X139" s="9"/>
      <c r="Y139" s="9"/>
      <c r="Z139" s="9"/>
      <c r="AD139" s="101"/>
      <c r="AF139" s="9"/>
      <c r="AG139" s="9"/>
      <c r="AH139" s="9"/>
    </row>
    <row r="140" ht="22.5" customHeight="1">
      <c r="A140" s="49"/>
      <c r="C140" s="93" t="s">
        <v>566</v>
      </c>
      <c r="D140" s="93" t="s">
        <v>364</v>
      </c>
      <c r="E140" s="93" t="s">
        <v>1321</v>
      </c>
      <c r="F140" s="93" t="s">
        <v>488</v>
      </c>
      <c r="G140" s="93">
        <v>3.0</v>
      </c>
      <c r="H140" s="74">
        <v>1670000.0</v>
      </c>
      <c r="I140" s="193">
        <v>1565000.0</v>
      </c>
      <c r="J140" s="65" t="s">
        <v>87</v>
      </c>
      <c r="K140" s="65">
        <v>1.0</v>
      </c>
      <c r="L140" s="74">
        <v>0.0</v>
      </c>
      <c r="M140" s="93" t="s">
        <v>61</v>
      </c>
      <c r="N140" s="65">
        <f>sumif(PURCHASE!I:I,C140,PURCHASE!J:J)</f>
        <v>183</v>
      </c>
      <c r="O140" s="65">
        <f>sumif('SELLING CASH'!E:E,C140,'SELLING CASH'!F:F)</f>
        <v>110</v>
      </c>
      <c r="P140" s="65">
        <f>sumif('SELLING CREDIT'!F:F,C140,'SELLING CREDIT'!G:G)</f>
        <v>64</v>
      </c>
      <c r="Q140" s="65">
        <f t="shared" si="1"/>
        <v>12</v>
      </c>
      <c r="V140" s="255"/>
      <c r="X140" s="9"/>
      <c r="Y140" s="9"/>
      <c r="Z140" s="9"/>
      <c r="AD140" s="101"/>
      <c r="AF140" s="9"/>
      <c r="AG140" s="9"/>
      <c r="AH140" s="9"/>
    </row>
    <row r="141" ht="22.5" customHeight="1">
      <c r="A141" s="49"/>
      <c r="C141" s="93" t="s">
        <v>1324</v>
      </c>
      <c r="D141" s="93" t="s">
        <v>848</v>
      </c>
      <c r="F141" s="93" t="s">
        <v>488</v>
      </c>
      <c r="G141" s="93">
        <v>0.0</v>
      </c>
      <c r="H141" s="74">
        <v>2685000.0</v>
      </c>
      <c r="I141" s="96">
        <v>2535000.0</v>
      </c>
      <c r="J141" s="65" t="s">
        <v>87</v>
      </c>
      <c r="K141" s="65">
        <v>1.0</v>
      </c>
      <c r="L141" s="74">
        <v>0.0</v>
      </c>
      <c r="M141" s="93" t="s">
        <v>61</v>
      </c>
      <c r="N141" s="65">
        <f>sumif(PURCHASE!I:I,C141,PURCHASE!J:J)</f>
        <v>1</v>
      </c>
      <c r="O141" s="65">
        <f>sumif('SELLING CASH'!E:E,C141,'SELLING CASH'!F:F)</f>
        <v>1</v>
      </c>
      <c r="P141" s="65">
        <f>sumif('SELLING CREDIT'!F:F,C141,'SELLING CREDIT'!G:G)</f>
        <v>0</v>
      </c>
      <c r="Q141" s="65">
        <f t="shared" si="1"/>
        <v>0</v>
      </c>
      <c r="V141" s="255"/>
      <c r="X141" s="9"/>
      <c r="Y141" s="9"/>
      <c r="Z141" s="9"/>
      <c r="AD141" s="101"/>
      <c r="AF141" s="9"/>
      <c r="AG141" s="9"/>
      <c r="AH141" s="9"/>
    </row>
    <row r="142" ht="22.5" customHeight="1">
      <c r="A142" s="49"/>
      <c r="C142" s="93" t="s">
        <v>1325</v>
      </c>
      <c r="D142" s="93" t="s">
        <v>1326</v>
      </c>
      <c r="E142" s="93" t="s">
        <v>1327</v>
      </c>
      <c r="F142" s="93" t="s">
        <v>1328</v>
      </c>
      <c r="G142" s="93">
        <v>10.0</v>
      </c>
      <c r="H142" s="74">
        <v>75000.0</v>
      </c>
      <c r="I142" s="96">
        <v>60000.0</v>
      </c>
      <c r="J142" s="93" t="s">
        <v>1329</v>
      </c>
      <c r="K142" s="93">
        <v>0.0</v>
      </c>
      <c r="L142" s="74">
        <v>0.0</v>
      </c>
      <c r="M142" s="93" t="s">
        <v>1330</v>
      </c>
      <c r="N142" s="65">
        <f>sumif(PURCHASE!I:I,C142,PURCHASE!J:J)</f>
        <v>0</v>
      </c>
      <c r="O142" s="65">
        <f>sumif('SELLING CASH'!E:E,C142,'SELLING CASH'!F:F)</f>
        <v>0</v>
      </c>
      <c r="P142" s="65">
        <f>sumif('SELLING CREDIT'!F:F,C142,'SELLING CREDIT'!G:G)</f>
        <v>0</v>
      </c>
      <c r="Q142" s="65">
        <f t="shared" si="1"/>
        <v>10</v>
      </c>
      <c r="V142" s="255"/>
      <c r="X142" s="9"/>
      <c r="Y142" s="9"/>
      <c r="Z142" s="9"/>
      <c r="AD142" s="101"/>
      <c r="AF142" s="9"/>
      <c r="AG142" s="9"/>
      <c r="AH142" s="9"/>
    </row>
    <row r="143" ht="22.5" customHeight="1">
      <c r="A143" s="49"/>
      <c r="C143" s="93" t="s">
        <v>1336</v>
      </c>
      <c r="D143" s="93" t="s">
        <v>1326</v>
      </c>
      <c r="E143" s="93" t="s">
        <v>1337</v>
      </c>
      <c r="F143" s="93" t="s">
        <v>1328</v>
      </c>
      <c r="G143" s="93">
        <v>10.0</v>
      </c>
      <c r="H143" s="74">
        <v>105000.0</v>
      </c>
      <c r="I143" s="96">
        <f>H143-10000</f>
        <v>95000</v>
      </c>
      <c r="J143" s="93" t="s">
        <v>1329</v>
      </c>
      <c r="K143" s="93">
        <v>0.0</v>
      </c>
      <c r="L143" s="74">
        <v>0.0</v>
      </c>
      <c r="M143" s="93" t="s">
        <v>1330</v>
      </c>
      <c r="N143" s="65">
        <f>sumif(PURCHASE!I:I,C143,PURCHASE!J:J)</f>
        <v>0</v>
      </c>
      <c r="O143" s="65">
        <f>sumif('SELLING CASH'!E:E,C143,'SELLING CASH'!F:F)</f>
        <v>0</v>
      </c>
      <c r="P143" s="65">
        <f>sumif('SELLING CREDIT'!F:F,C143,'SELLING CREDIT'!G:G)</f>
        <v>0</v>
      </c>
      <c r="Q143" s="65">
        <f t="shared" si="1"/>
        <v>10</v>
      </c>
      <c r="V143" s="255"/>
      <c r="X143" s="9"/>
      <c r="Y143" s="9"/>
      <c r="Z143" s="9"/>
      <c r="AD143" s="101"/>
      <c r="AF143" s="9"/>
      <c r="AG143" s="9"/>
      <c r="AH143" s="9"/>
    </row>
    <row r="144" ht="22.5" customHeight="1">
      <c r="A144" s="49"/>
      <c r="C144" s="93" t="s">
        <v>1342</v>
      </c>
      <c r="D144" s="93" t="s">
        <v>1343</v>
      </c>
      <c r="E144" s="93" t="s">
        <v>1337</v>
      </c>
      <c r="F144" s="93" t="s">
        <v>1328</v>
      </c>
      <c r="G144" s="93">
        <v>10.0</v>
      </c>
      <c r="H144" s="74">
        <v>390000.0</v>
      </c>
      <c r="I144" s="96">
        <f>H144-20000</f>
        <v>370000</v>
      </c>
      <c r="J144" s="93" t="s">
        <v>1329</v>
      </c>
      <c r="K144" s="93">
        <v>0.0</v>
      </c>
      <c r="L144" s="74">
        <v>0.0</v>
      </c>
      <c r="M144" s="93" t="s">
        <v>1330</v>
      </c>
      <c r="N144" s="65">
        <f>sumif(PURCHASE!I:I,C144,PURCHASE!J:J)</f>
        <v>0</v>
      </c>
      <c r="O144" s="65">
        <f>sumif('SELLING CASH'!E:E,C144,'SELLING CASH'!F:F)</f>
        <v>4</v>
      </c>
      <c r="P144" s="65">
        <f>sumif('SELLING CREDIT'!F:F,C144,'SELLING CREDIT'!G:G)</f>
        <v>0</v>
      </c>
      <c r="Q144" s="65">
        <f t="shared" si="1"/>
        <v>6</v>
      </c>
      <c r="V144" s="255"/>
      <c r="X144" s="9"/>
      <c r="Y144" s="9"/>
      <c r="Z144" s="9"/>
      <c r="AD144" s="101"/>
      <c r="AF144" s="9"/>
      <c r="AG144" s="9"/>
      <c r="AH144" s="9"/>
    </row>
    <row r="145" ht="22.5" customHeight="1">
      <c r="A145" s="49"/>
      <c r="C145" s="93" t="s">
        <v>1348</v>
      </c>
      <c r="D145" s="93" t="s">
        <v>1326</v>
      </c>
      <c r="E145" s="93" t="s">
        <v>1349</v>
      </c>
      <c r="F145" s="93" t="s">
        <v>1328</v>
      </c>
      <c r="G145" s="93">
        <v>10.0</v>
      </c>
      <c r="H145" s="74">
        <v>100000.0</v>
      </c>
      <c r="I145" s="96">
        <v>90000.0</v>
      </c>
      <c r="J145" s="93" t="s">
        <v>1329</v>
      </c>
      <c r="K145" s="93">
        <v>0.0</v>
      </c>
      <c r="L145" s="74">
        <v>0.0</v>
      </c>
      <c r="M145" s="93" t="s">
        <v>1330</v>
      </c>
      <c r="N145" s="65">
        <f>sumif(PURCHASE!I:I,C145,PURCHASE!J:J)</f>
        <v>0</v>
      </c>
      <c r="O145" s="65">
        <f>sumif('SELLING CASH'!E:E,C145,'SELLING CASH'!F:F)</f>
        <v>0</v>
      </c>
      <c r="P145" s="65">
        <f>sumif('SELLING CREDIT'!F:F,C145,'SELLING CREDIT'!G:G)</f>
        <v>0</v>
      </c>
      <c r="Q145" s="65">
        <f t="shared" si="1"/>
        <v>10</v>
      </c>
      <c r="V145" s="255"/>
      <c r="X145" s="9"/>
      <c r="Y145" s="9"/>
      <c r="Z145" s="9"/>
      <c r="AD145" s="101"/>
      <c r="AF145" s="9"/>
      <c r="AG145" s="9"/>
      <c r="AH145" s="9"/>
    </row>
    <row r="146" ht="22.5" customHeight="1">
      <c r="A146" s="49"/>
      <c r="C146" s="93" t="s">
        <v>1355</v>
      </c>
      <c r="D146" s="93" t="s">
        <v>1343</v>
      </c>
      <c r="E146" s="93" t="s">
        <v>1349</v>
      </c>
      <c r="F146" s="93" t="s">
        <v>1328</v>
      </c>
      <c r="G146" s="93">
        <v>10.0</v>
      </c>
      <c r="H146" s="74">
        <v>370000.0</v>
      </c>
      <c r="I146" s="96">
        <f>H146-20000</f>
        <v>350000</v>
      </c>
      <c r="J146" s="93" t="s">
        <v>1329</v>
      </c>
      <c r="K146" s="93">
        <v>0.0</v>
      </c>
      <c r="L146" s="74">
        <v>0.0</v>
      </c>
      <c r="M146" s="93" t="s">
        <v>1330</v>
      </c>
      <c r="N146" s="65">
        <f>sumif(PURCHASE!I:I,C146,PURCHASE!J:J)</f>
        <v>0</v>
      </c>
      <c r="O146" s="65">
        <f>sumif('SELLING CASH'!E:E,C146,'SELLING CASH'!F:F)</f>
        <v>0</v>
      </c>
      <c r="P146" s="65">
        <f>sumif('SELLING CREDIT'!F:F,C146,'SELLING CREDIT'!G:G)</f>
        <v>0</v>
      </c>
      <c r="Q146" s="65">
        <f t="shared" si="1"/>
        <v>10</v>
      </c>
      <c r="V146" s="255"/>
      <c r="X146" s="9"/>
      <c r="Y146" s="9"/>
      <c r="Z146" s="9"/>
      <c r="AD146" s="101"/>
      <c r="AF146" s="9"/>
      <c r="AG146" s="9"/>
      <c r="AH146" s="9"/>
    </row>
    <row r="147" ht="22.5" customHeight="1">
      <c r="A147" s="49"/>
      <c r="C147" s="93" t="s">
        <v>1358</v>
      </c>
      <c r="D147" s="93" t="s">
        <v>1343</v>
      </c>
      <c r="E147" s="93" t="s">
        <v>1359</v>
      </c>
      <c r="F147" s="93" t="s">
        <v>1328</v>
      </c>
      <c r="G147" s="93">
        <v>10.0</v>
      </c>
      <c r="H147" s="74">
        <v>450000.0</v>
      </c>
      <c r="I147" s="96">
        <v>415000.0</v>
      </c>
      <c r="J147" s="93" t="s">
        <v>1329</v>
      </c>
      <c r="K147" s="93">
        <v>0.0</v>
      </c>
      <c r="L147" s="74">
        <v>0.0</v>
      </c>
      <c r="M147" s="93" t="s">
        <v>1330</v>
      </c>
      <c r="N147" s="65">
        <f>sumif(PURCHASE!I:I,C147,PURCHASE!J:J)</f>
        <v>0</v>
      </c>
      <c r="O147" s="65">
        <f>sumif('SELLING CASH'!E:E,C147,'SELLING CASH'!F:F)</f>
        <v>0</v>
      </c>
      <c r="P147" s="65">
        <f>sumif('SELLING CREDIT'!F:F,C147,'SELLING CREDIT'!G:G)</f>
        <v>0</v>
      </c>
      <c r="Q147" s="65">
        <f t="shared" si="1"/>
        <v>10</v>
      </c>
      <c r="V147" s="255"/>
      <c r="X147" s="9"/>
      <c r="Y147" s="9"/>
      <c r="Z147" s="9"/>
      <c r="AD147" s="101"/>
      <c r="AF147" s="9"/>
      <c r="AG147" s="9"/>
      <c r="AH147" s="9"/>
    </row>
    <row r="148" ht="22.5" customHeight="1">
      <c r="A148" s="49"/>
      <c r="C148" s="93" t="s">
        <v>1364</v>
      </c>
      <c r="D148" s="93" t="s">
        <v>1326</v>
      </c>
      <c r="E148" s="93" t="s">
        <v>1365</v>
      </c>
      <c r="F148" s="93" t="s">
        <v>1328</v>
      </c>
      <c r="G148" s="93">
        <v>10.0</v>
      </c>
      <c r="H148" s="74">
        <v>140000.0</v>
      </c>
      <c r="I148" s="96">
        <f>H148-10000</f>
        <v>130000</v>
      </c>
      <c r="J148" s="93" t="s">
        <v>1329</v>
      </c>
      <c r="K148" s="93">
        <v>0.0</v>
      </c>
      <c r="L148" s="74">
        <v>0.0</v>
      </c>
      <c r="M148" s="93" t="s">
        <v>1330</v>
      </c>
      <c r="N148" s="65">
        <f>sumif(PURCHASE!I:I,C148,PURCHASE!J:J)</f>
        <v>0</v>
      </c>
      <c r="O148" s="65">
        <f>sumif('SELLING CASH'!E:E,C148,'SELLING CASH'!F:F)</f>
        <v>10</v>
      </c>
      <c r="P148" s="65">
        <f>sumif('SELLING CREDIT'!F:F,C148,'SELLING CREDIT'!G:G)</f>
        <v>0</v>
      </c>
      <c r="Q148" s="65">
        <f t="shared" si="1"/>
        <v>0</v>
      </c>
      <c r="V148" s="255"/>
      <c r="X148" s="9"/>
      <c r="Y148" s="9"/>
      <c r="Z148" s="9"/>
      <c r="AD148" s="101"/>
      <c r="AF148" s="9"/>
      <c r="AG148" s="9"/>
      <c r="AH148" s="9"/>
    </row>
    <row r="149" ht="22.5" customHeight="1">
      <c r="A149" s="49"/>
      <c r="C149" s="93" t="s">
        <v>1369</v>
      </c>
      <c r="D149" s="93" t="s">
        <v>1343</v>
      </c>
      <c r="E149" s="93" t="s">
        <v>1365</v>
      </c>
      <c r="F149" s="93" t="s">
        <v>1328</v>
      </c>
      <c r="G149" s="93">
        <v>10.0</v>
      </c>
      <c r="H149" s="74">
        <v>500000.0</v>
      </c>
      <c r="I149" s="96">
        <f>H149-20000</f>
        <v>480000</v>
      </c>
      <c r="J149" s="93" t="s">
        <v>1329</v>
      </c>
      <c r="K149" s="93">
        <v>0.0</v>
      </c>
      <c r="L149" s="74">
        <v>0.0</v>
      </c>
      <c r="M149" s="93" t="s">
        <v>1330</v>
      </c>
      <c r="N149" s="65">
        <f>sumif(PURCHASE!I:I,C149,PURCHASE!J:J)</f>
        <v>0</v>
      </c>
      <c r="O149" s="65">
        <f>sumif('SELLING CASH'!E:E,C149,'SELLING CASH'!F:F)</f>
        <v>2</v>
      </c>
      <c r="P149" s="65">
        <f>sumif('SELLING CREDIT'!F:F,C149,'SELLING CREDIT'!G:G)</f>
        <v>0</v>
      </c>
      <c r="Q149" s="65">
        <f t="shared" si="1"/>
        <v>8</v>
      </c>
      <c r="V149" s="255"/>
      <c r="X149" s="9"/>
      <c r="Y149" s="9"/>
      <c r="Z149" s="9"/>
      <c r="AD149" s="101"/>
      <c r="AF149" s="9"/>
      <c r="AG149" s="9"/>
      <c r="AH149" s="9"/>
    </row>
    <row r="150" ht="22.5" customHeight="1">
      <c r="A150" s="49"/>
      <c r="C150" s="93" t="str">
        <f t="shared" ref="C150:C151" si="4">F150&amp;" "&amp;D150&amp;" "&amp;E150</f>
        <v>Denso  Filter Oli Innova Bensin</v>
      </c>
      <c r="D150" s="93"/>
      <c r="E150" s="93" t="s">
        <v>1374</v>
      </c>
      <c r="F150" s="93" t="s">
        <v>1375</v>
      </c>
      <c r="G150" s="93">
        <v>0.0</v>
      </c>
      <c r="H150" s="74">
        <v>35000.0</v>
      </c>
      <c r="I150" s="96">
        <v>26000.0</v>
      </c>
      <c r="J150" s="93" t="s">
        <v>7</v>
      </c>
      <c r="K150" s="93">
        <v>0.0</v>
      </c>
      <c r="L150" s="74">
        <v>0.0</v>
      </c>
      <c r="M150" s="93" t="s">
        <v>431</v>
      </c>
      <c r="N150" s="65">
        <f>sumif(PURCHASE!I:I,C150,PURCHASE!J:J)</f>
        <v>5</v>
      </c>
      <c r="O150" s="65">
        <f>sumif('SELLING CASH'!E:E,C150,'SELLING CASH'!F:F)</f>
        <v>1</v>
      </c>
      <c r="P150" s="65">
        <f>sumif('SELLING CREDIT'!F:F,C150,'SELLING CREDIT'!G:G)</f>
        <v>0</v>
      </c>
      <c r="Q150" s="65">
        <f t="shared" si="1"/>
        <v>4</v>
      </c>
      <c r="V150" s="255"/>
      <c r="X150" s="9"/>
      <c r="Y150" s="9"/>
      <c r="Z150" s="9"/>
      <c r="AD150" s="101"/>
      <c r="AF150" s="9"/>
      <c r="AG150" s="9"/>
      <c r="AH150" s="9"/>
    </row>
    <row r="151" ht="22.5" customHeight="1">
      <c r="A151" s="49"/>
      <c r="C151" s="93" t="str">
        <f t="shared" si="4"/>
        <v>Denso  Filter Oli Innova Solar</v>
      </c>
      <c r="D151" s="93"/>
      <c r="E151" s="93" t="s">
        <v>1379</v>
      </c>
      <c r="F151" s="93" t="s">
        <v>1375</v>
      </c>
      <c r="G151" s="93">
        <v>0.0</v>
      </c>
      <c r="H151" s="74">
        <v>35000.0</v>
      </c>
      <c r="I151" s="96">
        <v>26000.0</v>
      </c>
      <c r="J151" s="93" t="s">
        <v>7</v>
      </c>
      <c r="K151" s="93">
        <v>0.0</v>
      </c>
      <c r="L151" s="74">
        <v>0.0</v>
      </c>
      <c r="M151" s="93" t="s">
        <v>431</v>
      </c>
      <c r="N151" s="65">
        <f>sumif(PURCHASE!I:I,C151,PURCHASE!J:J)</f>
        <v>5</v>
      </c>
      <c r="O151" s="65">
        <f>sumif('SELLING CASH'!E:E,C151,'SELLING CASH'!F:F)</f>
        <v>1</v>
      </c>
      <c r="P151" s="65">
        <f>sumif('SELLING CREDIT'!F:F,C151,'SELLING CREDIT'!G:G)</f>
        <v>0</v>
      </c>
      <c r="Q151" s="65">
        <f t="shared" si="1"/>
        <v>4</v>
      </c>
      <c r="V151" s="255"/>
      <c r="X151" s="9"/>
      <c r="Y151" s="9"/>
      <c r="Z151" s="9"/>
      <c r="AD151" s="101"/>
      <c r="AF151" s="9"/>
      <c r="AG151" s="9"/>
      <c r="AH151" s="9"/>
    </row>
    <row r="152" ht="22.5" customHeight="1">
      <c r="A152" s="49"/>
      <c r="C152" s="93" t="s">
        <v>261</v>
      </c>
      <c r="D152" s="93" t="s">
        <v>1384</v>
      </c>
      <c r="E152" s="93" t="s">
        <v>1385</v>
      </c>
      <c r="F152" s="93" t="s">
        <v>1387</v>
      </c>
      <c r="G152" s="93">
        <v>2.0</v>
      </c>
      <c r="H152" s="74">
        <f>I152+100000</f>
        <v>515000</v>
      </c>
      <c r="I152" s="96">
        <v>415000.0</v>
      </c>
      <c r="J152" s="65" t="s">
        <v>87</v>
      </c>
      <c r="K152" s="65">
        <v>1.0</v>
      </c>
      <c r="L152" s="74">
        <v>0.0</v>
      </c>
      <c r="M152" s="93" t="s">
        <v>61</v>
      </c>
      <c r="N152" s="65">
        <f>sumif(PURCHASE!I:I,C152,PURCHASE!J:J)</f>
        <v>22</v>
      </c>
      <c r="O152" s="65">
        <f>sumif('SELLING CASH'!E:E,C152,'SELLING CASH'!F:F)</f>
        <v>22</v>
      </c>
      <c r="P152" s="65">
        <f>sumif('SELLING CREDIT'!F:F,C152,'SELLING CREDIT'!G:G)</f>
        <v>0</v>
      </c>
      <c r="Q152" s="65">
        <f t="shared" si="1"/>
        <v>2</v>
      </c>
      <c r="V152" s="255"/>
      <c r="X152" s="9"/>
      <c r="Y152" s="9"/>
      <c r="Z152" s="9"/>
      <c r="AD152" s="101"/>
      <c r="AF152" s="9"/>
      <c r="AG152" s="9"/>
      <c r="AH152" s="9"/>
    </row>
    <row r="153" ht="22.5" customHeight="1">
      <c r="A153" s="49"/>
      <c r="C153" s="93" t="s">
        <v>265</v>
      </c>
      <c r="D153" s="93" t="s">
        <v>892</v>
      </c>
      <c r="E153" s="93" t="s">
        <v>1390</v>
      </c>
      <c r="F153" s="93" t="s">
        <v>1387</v>
      </c>
      <c r="G153" s="93">
        <v>24.0</v>
      </c>
      <c r="H153" s="140">
        <v>715000.0</v>
      </c>
      <c r="I153" s="193">
        <v>628000.0</v>
      </c>
      <c r="J153" s="65" t="s">
        <v>87</v>
      </c>
      <c r="K153" s="65">
        <v>1.0</v>
      </c>
      <c r="L153" s="74">
        <v>0.0</v>
      </c>
      <c r="M153" s="93" t="s">
        <v>61</v>
      </c>
      <c r="N153" s="65">
        <f>sumif(PURCHASE!I:I,C153,PURCHASE!J:J)</f>
        <v>372</v>
      </c>
      <c r="O153" s="65">
        <f>sumif('SELLING CASH'!E:E,C153,'SELLING CASH'!F:F)</f>
        <v>395</v>
      </c>
      <c r="P153" s="65">
        <f>sumif('SELLING CREDIT'!F:F,C153,'SELLING CREDIT'!G:G)</f>
        <v>7</v>
      </c>
      <c r="Q153" s="65">
        <f t="shared" si="1"/>
        <v>-6</v>
      </c>
      <c r="V153" s="255"/>
      <c r="X153" s="9"/>
      <c r="Y153" s="9"/>
      <c r="Z153" s="9"/>
      <c r="AD153" s="101"/>
      <c r="AF153" s="9"/>
      <c r="AG153" s="9"/>
      <c r="AH153" s="9"/>
    </row>
    <row r="154" ht="22.5" customHeight="1">
      <c r="A154" s="49"/>
      <c r="C154" s="93" t="s">
        <v>1394</v>
      </c>
      <c r="D154" s="93" t="s">
        <v>85</v>
      </c>
      <c r="E154" s="93" t="s">
        <v>1395</v>
      </c>
      <c r="F154" s="93" t="s">
        <v>1387</v>
      </c>
      <c r="G154" s="93">
        <v>0.0</v>
      </c>
      <c r="H154" s="74">
        <f t="shared" ref="H154:H156" si="5">I154+100000</f>
        <v>565000</v>
      </c>
      <c r="I154" s="96">
        <v>465000.0</v>
      </c>
      <c r="J154" s="65" t="s">
        <v>87</v>
      </c>
      <c r="K154" s="65">
        <v>1.0</v>
      </c>
      <c r="L154" s="74">
        <v>0.0</v>
      </c>
      <c r="M154" s="93" t="s">
        <v>61</v>
      </c>
      <c r="N154" s="65">
        <f>sumif(PURCHASE!I:I,C154,PURCHASE!J:J)</f>
        <v>0</v>
      </c>
      <c r="O154" s="65">
        <f>sumif('SELLING CASH'!E:E,C154,'SELLING CASH'!F:F)</f>
        <v>11</v>
      </c>
      <c r="P154" s="65">
        <f>sumif('SELLING CREDIT'!F:F,C154,'SELLING CREDIT'!G:G)</f>
        <v>4</v>
      </c>
      <c r="Q154" s="65">
        <f t="shared" si="1"/>
        <v>-15</v>
      </c>
      <c r="V154" s="255"/>
      <c r="X154" s="9"/>
      <c r="Y154" s="9"/>
      <c r="Z154" s="9"/>
      <c r="AD154" s="101"/>
      <c r="AF154" s="9"/>
      <c r="AG154" s="9"/>
      <c r="AH154" s="9"/>
    </row>
    <row r="155" ht="22.5" customHeight="1">
      <c r="A155" s="49"/>
      <c r="C155" s="93" t="s">
        <v>706</v>
      </c>
      <c r="D155" s="93" t="s">
        <v>103</v>
      </c>
      <c r="E155" s="93" t="s">
        <v>1396</v>
      </c>
      <c r="F155" s="93" t="s">
        <v>1387</v>
      </c>
      <c r="G155" s="93">
        <v>0.0</v>
      </c>
      <c r="H155" s="74">
        <f t="shared" si="5"/>
        <v>585000</v>
      </c>
      <c r="I155" s="96">
        <v>485000.0</v>
      </c>
      <c r="J155" s="65" t="s">
        <v>87</v>
      </c>
      <c r="K155" s="65">
        <v>1.0</v>
      </c>
      <c r="L155" s="74">
        <v>0.0</v>
      </c>
      <c r="M155" s="93" t="s">
        <v>61</v>
      </c>
      <c r="N155" s="65">
        <f>sumif(PURCHASE!I:I,C155,PURCHASE!J:J)</f>
        <v>30</v>
      </c>
      <c r="O155" s="65">
        <f>sumif('SELLING CASH'!E:E,C155,'SELLING CASH'!F:F)</f>
        <v>30</v>
      </c>
      <c r="P155" s="65">
        <f>sumif('SELLING CREDIT'!F:F,C155,'SELLING CREDIT'!G:G)</f>
        <v>0</v>
      </c>
      <c r="Q155" s="65">
        <f t="shared" si="1"/>
        <v>0</v>
      </c>
      <c r="V155" s="255"/>
      <c r="X155" s="9"/>
      <c r="Y155" s="9"/>
      <c r="Z155" s="9"/>
      <c r="AD155" s="101"/>
      <c r="AF155" s="9"/>
      <c r="AG155" s="9"/>
      <c r="AH155" s="9"/>
    </row>
    <row r="156" ht="22.5" customHeight="1">
      <c r="A156" s="49"/>
      <c r="C156" s="93" t="s">
        <v>1400</v>
      </c>
      <c r="D156" s="93" t="s">
        <v>103</v>
      </c>
      <c r="E156" s="93" t="s">
        <v>1401</v>
      </c>
      <c r="F156" s="93" t="s">
        <v>1387</v>
      </c>
      <c r="G156" s="93">
        <v>0.0</v>
      </c>
      <c r="H156" s="74">
        <f t="shared" si="5"/>
        <v>565000</v>
      </c>
      <c r="I156" s="96">
        <v>465000.0</v>
      </c>
      <c r="J156" s="65" t="s">
        <v>87</v>
      </c>
      <c r="K156" s="65">
        <v>1.0</v>
      </c>
      <c r="L156" s="74">
        <v>0.0</v>
      </c>
      <c r="M156" s="93" t="s">
        <v>61</v>
      </c>
      <c r="N156" s="65">
        <f>sumif(PURCHASE!I:I,C156,PURCHASE!J:J)</f>
        <v>34</v>
      </c>
      <c r="O156" s="65">
        <f>sumif('SELLING CASH'!E:E,C156,'SELLING CASH'!F:F)</f>
        <v>31</v>
      </c>
      <c r="P156" s="65">
        <f>sumif('SELLING CREDIT'!F:F,C156,'SELLING CREDIT'!G:G)</f>
        <v>0</v>
      </c>
      <c r="Q156" s="65">
        <f t="shared" si="1"/>
        <v>3</v>
      </c>
      <c r="V156" s="255"/>
      <c r="X156" s="9"/>
      <c r="Y156" s="9"/>
      <c r="Z156" s="9"/>
      <c r="AD156" s="101"/>
      <c r="AF156" s="9"/>
      <c r="AG156" s="9"/>
      <c r="AH156" s="9"/>
    </row>
    <row r="157" ht="22.5" customHeight="1">
      <c r="A157" s="49"/>
      <c r="C157" s="93" t="s">
        <v>268</v>
      </c>
      <c r="D157" s="93" t="s">
        <v>116</v>
      </c>
      <c r="E157" s="93" t="s">
        <v>1390</v>
      </c>
      <c r="F157" s="93" t="s">
        <v>1387</v>
      </c>
      <c r="G157" s="93">
        <v>52.0</v>
      </c>
      <c r="H157" s="140">
        <v>740000.0</v>
      </c>
      <c r="I157" s="193">
        <v>653000.0</v>
      </c>
      <c r="J157" s="65" t="s">
        <v>87</v>
      </c>
      <c r="K157" s="65">
        <v>1.0</v>
      </c>
      <c r="L157" s="74">
        <v>0.0</v>
      </c>
      <c r="M157" s="93" t="s">
        <v>61</v>
      </c>
      <c r="N157" s="65">
        <f>sumif(PURCHASE!I:I,C157,PURCHASE!J:J)</f>
        <v>1107</v>
      </c>
      <c r="O157" s="65">
        <f>sumif('SELLING CASH'!E:E,C157,'SELLING CASH'!F:F)</f>
        <v>1155</v>
      </c>
      <c r="P157" s="65">
        <f>sumif('SELLING CREDIT'!F:F,C157,'SELLING CREDIT'!G:G)</f>
        <v>32</v>
      </c>
      <c r="Q157" s="65">
        <f t="shared" si="1"/>
        <v>-28</v>
      </c>
      <c r="V157" s="255"/>
      <c r="X157" s="9"/>
      <c r="Y157" s="9"/>
      <c r="Z157" s="9"/>
      <c r="AD157" s="101"/>
      <c r="AF157" s="9"/>
      <c r="AG157" s="9"/>
      <c r="AH157" s="9"/>
    </row>
    <row r="158" ht="22.5" customHeight="1">
      <c r="A158" s="49"/>
      <c r="C158" s="93" t="s">
        <v>1409</v>
      </c>
      <c r="D158" s="93" t="s">
        <v>1410</v>
      </c>
      <c r="E158" s="93" t="s">
        <v>1395</v>
      </c>
      <c r="F158" s="93" t="s">
        <v>1387</v>
      </c>
      <c r="G158" s="93">
        <v>0.0</v>
      </c>
      <c r="H158" s="74">
        <f>I158+100000</f>
        <v>676500</v>
      </c>
      <c r="I158" s="96">
        <v>576500.0</v>
      </c>
      <c r="J158" s="65" t="s">
        <v>87</v>
      </c>
      <c r="K158" s="65">
        <v>1.0</v>
      </c>
      <c r="L158" s="74">
        <v>0.0</v>
      </c>
      <c r="M158" s="93" t="s">
        <v>61</v>
      </c>
      <c r="N158" s="65">
        <f>sumif(PURCHASE!I:I,C158,PURCHASE!J:J)</f>
        <v>0</v>
      </c>
      <c r="O158" s="65">
        <f>sumif('SELLING CASH'!E:E,C158,'SELLING CASH'!F:F)</f>
        <v>0</v>
      </c>
      <c r="P158" s="65">
        <f>sumif('SELLING CREDIT'!F:F,C158,'SELLING CREDIT'!G:G)</f>
        <v>0</v>
      </c>
      <c r="Q158" s="65">
        <f t="shared" si="1"/>
        <v>0</v>
      </c>
      <c r="V158" s="255"/>
      <c r="X158" s="9"/>
      <c r="Y158" s="9"/>
      <c r="Z158" s="9"/>
      <c r="AD158" s="101"/>
      <c r="AF158" s="9"/>
      <c r="AG158" s="9"/>
      <c r="AH158" s="9"/>
    </row>
    <row r="159" ht="22.5" customHeight="1">
      <c r="A159" s="49"/>
      <c r="C159" s="93" t="s">
        <v>271</v>
      </c>
      <c r="D159" s="93" t="s">
        <v>127</v>
      </c>
      <c r="E159" s="93" t="s">
        <v>1413</v>
      </c>
      <c r="F159" s="93" t="s">
        <v>1387</v>
      </c>
      <c r="G159" s="93">
        <v>11.0</v>
      </c>
      <c r="H159" s="140">
        <v>660000.0</v>
      </c>
      <c r="I159" s="193">
        <v>570000.0</v>
      </c>
      <c r="J159" s="65" t="s">
        <v>87</v>
      </c>
      <c r="K159" s="65">
        <v>1.0</v>
      </c>
      <c r="L159" s="74">
        <v>0.0</v>
      </c>
      <c r="M159" s="93" t="s">
        <v>61</v>
      </c>
      <c r="N159" s="65">
        <f>sumif(PURCHASE!I:I,C159,PURCHASE!J:J)</f>
        <v>215</v>
      </c>
      <c r="O159" s="65">
        <f>sumif('SELLING CASH'!E:E,C159,'SELLING CASH'!F:F)</f>
        <v>217</v>
      </c>
      <c r="P159" s="65">
        <f>sumif('SELLING CREDIT'!F:F,C159,'SELLING CREDIT'!G:G)</f>
        <v>2</v>
      </c>
      <c r="Q159" s="65">
        <f t="shared" si="1"/>
        <v>7</v>
      </c>
      <c r="V159" s="255"/>
      <c r="X159" s="9"/>
      <c r="Y159" s="9"/>
      <c r="Z159" s="9"/>
      <c r="AD159" s="101"/>
      <c r="AF159" s="9"/>
      <c r="AG159" s="9"/>
      <c r="AH159" s="9"/>
    </row>
    <row r="160" ht="22.5" customHeight="1">
      <c r="A160" s="49"/>
      <c r="C160" s="93" t="s">
        <v>1416</v>
      </c>
      <c r="D160" s="93" t="s">
        <v>127</v>
      </c>
      <c r="E160" s="93" t="s">
        <v>1401</v>
      </c>
      <c r="F160" s="93" t="s">
        <v>1387</v>
      </c>
      <c r="G160" s="93">
        <v>0.0</v>
      </c>
      <c r="H160" s="74">
        <f t="shared" ref="H160:H161" si="6">I160+100000</f>
        <v>625000</v>
      </c>
      <c r="I160" s="96">
        <v>525000.0</v>
      </c>
      <c r="J160" s="65" t="s">
        <v>87</v>
      </c>
      <c r="K160" s="65">
        <v>1.0</v>
      </c>
      <c r="L160" s="74">
        <v>0.0</v>
      </c>
      <c r="M160" s="93" t="s">
        <v>61</v>
      </c>
      <c r="N160" s="65">
        <f>sumif(PURCHASE!I:I,C160,PURCHASE!J:J)</f>
        <v>0</v>
      </c>
      <c r="O160" s="65">
        <f>sumif('SELLING CASH'!E:E,C160,'SELLING CASH'!F:F)</f>
        <v>0</v>
      </c>
      <c r="P160" s="65">
        <f>sumif('SELLING CREDIT'!F:F,C160,'SELLING CREDIT'!G:G)</f>
        <v>0</v>
      </c>
      <c r="Q160" s="65">
        <f t="shared" si="1"/>
        <v>0</v>
      </c>
      <c r="V160" s="255"/>
      <c r="X160" s="9"/>
      <c r="Y160" s="9"/>
      <c r="Z160" s="9"/>
      <c r="AD160" s="101"/>
      <c r="AF160" s="9"/>
      <c r="AG160" s="9"/>
      <c r="AH160" s="9"/>
    </row>
    <row r="161" ht="22.5" customHeight="1">
      <c r="A161" s="49"/>
      <c r="C161" s="93" t="s">
        <v>1418</v>
      </c>
      <c r="D161" s="93" t="s">
        <v>1419</v>
      </c>
      <c r="E161" s="93" t="s">
        <v>1420</v>
      </c>
      <c r="F161" s="93" t="s">
        <v>1387</v>
      </c>
      <c r="G161" s="93">
        <v>0.0</v>
      </c>
      <c r="H161" s="74">
        <f t="shared" si="6"/>
        <v>537000</v>
      </c>
      <c r="I161" s="96">
        <v>437000.0</v>
      </c>
      <c r="J161" s="65" t="s">
        <v>87</v>
      </c>
      <c r="K161" s="65">
        <v>1.0</v>
      </c>
      <c r="L161" s="74">
        <v>0.0</v>
      </c>
      <c r="M161" s="93" t="s">
        <v>61</v>
      </c>
      <c r="N161" s="65">
        <f>sumif(PURCHASE!I:I,C161,PURCHASE!J:J)</f>
        <v>0</v>
      </c>
      <c r="O161" s="65">
        <f>sumif('SELLING CASH'!E:E,C161,'SELLING CASH'!F:F)</f>
        <v>0</v>
      </c>
      <c r="P161" s="65">
        <f>sumif('SELLING CREDIT'!F:F,C161,'SELLING CREDIT'!G:G)</f>
        <v>0</v>
      </c>
      <c r="Q161" s="65">
        <f t="shared" si="1"/>
        <v>0</v>
      </c>
      <c r="V161" s="255"/>
      <c r="X161" s="9"/>
      <c r="Y161" s="9"/>
      <c r="Z161" s="9"/>
      <c r="AD161" s="101"/>
      <c r="AF161" s="9"/>
      <c r="AG161" s="9"/>
      <c r="AH161" s="9"/>
    </row>
    <row r="162" ht="22.5" customHeight="1">
      <c r="A162" s="49"/>
      <c r="C162" s="93" t="s">
        <v>974</v>
      </c>
      <c r="D162" s="93" t="s">
        <v>140</v>
      </c>
      <c r="E162" s="93" t="s">
        <v>1401</v>
      </c>
      <c r="F162" s="93" t="s">
        <v>1387</v>
      </c>
      <c r="G162" s="93">
        <v>6.0</v>
      </c>
      <c r="H162" s="74">
        <v>590000.0</v>
      </c>
      <c r="I162" s="96">
        <v>501500.0</v>
      </c>
      <c r="J162" s="65" t="s">
        <v>87</v>
      </c>
      <c r="K162" s="65">
        <v>1.0</v>
      </c>
      <c r="L162" s="74">
        <v>0.0</v>
      </c>
      <c r="M162" s="93" t="s">
        <v>61</v>
      </c>
      <c r="N162" s="65">
        <f>sumif(PURCHASE!I:I,C162,PURCHASE!J:J)</f>
        <v>66</v>
      </c>
      <c r="O162" s="65">
        <f>sumif('SELLING CASH'!E:E,C162,'SELLING CASH'!F:F)</f>
        <v>65</v>
      </c>
      <c r="P162" s="65">
        <f>sumif('SELLING CREDIT'!F:F,C162,'SELLING CREDIT'!G:G)</f>
        <v>0</v>
      </c>
      <c r="Q162" s="65">
        <f t="shared" si="1"/>
        <v>7</v>
      </c>
      <c r="V162" s="255"/>
      <c r="X162" s="9"/>
      <c r="Y162" s="9"/>
      <c r="Z162" s="9"/>
      <c r="AD162" s="101"/>
      <c r="AF162" s="9"/>
      <c r="AG162" s="9"/>
      <c r="AH162" s="9"/>
    </row>
    <row r="163" ht="22.5" customHeight="1">
      <c r="A163" s="49"/>
      <c r="C163" s="93" t="s">
        <v>275</v>
      </c>
      <c r="D163" s="93" t="s">
        <v>151</v>
      </c>
      <c r="E163" s="93" t="s">
        <v>1390</v>
      </c>
      <c r="F163" s="93" t="s">
        <v>1387</v>
      </c>
      <c r="G163" s="93">
        <v>2.0</v>
      </c>
      <c r="H163" s="140">
        <v>870000.0</v>
      </c>
      <c r="I163" s="193">
        <v>782000.0</v>
      </c>
      <c r="J163" s="65" t="s">
        <v>87</v>
      </c>
      <c r="K163" s="65">
        <v>1.0</v>
      </c>
      <c r="L163" s="74">
        <v>0.0</v>
      </c>
      <c r="M163" s="93" t="s">
        <v>61</v>
      </c>
      <c r="N163" s="65">
        <f>sumif(PURCHASE!I:I,C163,PURCHASE!J:J)</f>
        <v>531</v>
      </c>
      <c r="O163" s="65">
        <f>sumif('SELLING CASH'!E:E,C163,'SELLING CASH'!F:F)</f>
        <v>511</v>
      </c>
      <c r="P163" s="65">
        <f>sumif('SELLING CREDIT'!F:F,C163,'SELLING CREDIT'!G:G)</f>
        <v>15</v>
      </c>
      <c r="Q163" s="65">
        <f t="shared" si="1"/>
        <v>7</v>
      </c>
      <c r="V163" s="255"/>
      <c r="X163" s="9"/>
      <c r="Y163" s="9"/>
      <c r="Z163" s="9"/>
      <c r="AD163" s="101"/>
      <c r="AF163" s="9"/>
      <c r="AG163" s="9"/>
      <c r="AH163" s="9"/>
    </row>
    <row r="164" ht="22.5" customHeight="1">
      <c r="A164" s="49"/>
      <c r="C164" s="93" t="s">
        <v>1427</v>
      </c>
      <c r="D164" s="93" t="s">
        <v>948</v>
      </c>
      <c r="E164" s="93" t="s">
        <v>1413</v>
      </c>
      <c r="F164" s="93" t="s">
        <v>1387</v>
      </c>
      <c r="G164" s="93">
        <v>3.0</v>
      </c>
      <c r="H164" s="74">
        <v>780000.0</v>
      </c>
      <c r="I164" s="96">
        <v>696500.0</v>
      </c>
      <c r="J164" s="65" t="s">
        <v>87</v>
      </c>
      <c r="K164" s="65">
        <v>1.0</v>
      </c>
      <c r="L164" s="74">
        <v>0.0</v>
      </c>
      <c r="M164" s="93" t="s">
        <v>61</v>
      </c>
      <c r="N164" s="65">
        <f>sumif(PURCHASE!I:I,C164,PURCHASE!J:J)</f>
        <v>18</v>
      </c>
      <c r="O164" s="65">
        <f>sumif('SELLING CASH'!E:E,C164,'SELLING CASH'!F:F)</f>
        <v>23</v>
      </c>
      <c r="P164" s="65">
        <f>sumif('SELLING CREDIT'!F:F,C164,'SELLING CREDIT'!G:G)</f>
        <v>0</v>
      </c>
      <c r="Q164" s="65">
        <f t="shared" si="1"/>
        <v>-2</v>
      </c>
      <c r="V164" s="255"/>
      <c r="X164" s="9"/>
      <c r="Y164" s="9"/>
      <c r="Z164" s="9"/>
      <c r="AD164" s="101"/>
      <c r="AF164" s="9"/>
      <c r="AG164" s="9"/>
      <c r="AH164" s="9"/>
    </row>
    <row r="165" ht="22.5" customHeight="1">
      <c r="A165" s="49"/>
      <c r="C165" s="93" t="s">
        <v>1429</v>
      </c>
      <c r="D165" s="93" t="s">
        <v>958</v>
      </c>
      <c r="E165" s="93" t="s">
        <v>1413</v>
      </c>
      <c r="F165" s="93" t="s">
        <v>1387</v>
      </c>
      <c r="G165" s="93">
        <v>3.0</v>
      </c>
      <c r="H165" s="74">
        <f t="shared" ref="H165:H167" si="7">I165+100000</f>
        <v>949000</v>
      </c>
      <c r="I165" s="193">
        <v>849000.0</v>
      </c>
      <c r="J165" s="65" t="s">
        <v>87</v>
      </c>
      <c r="K165" s="65">
        <v>1.0</v>
      </c>
      <c r="L165" s="74">
        <v>0.0</v>
      </c>
      <c r="M165" s="93" t="s">
        <v>61</v>
      </c>
      <c r="N165" s="65">
        <f>sumif(PURCHASE!I:I,C165,PURCHASE!J:J)</f>
        <v>13</v>
      </c>
      <c r="O165" s="65">
        <f>sumif('SELLING CASH'!E:E,C165,'SELLING CASH'!F:F)</f>
        <v>14</v>
      </c>
      <c r="P165" s="65">
        <f>sumif('SELLING CREDIT'!F:F,C165,'SELLING CREDIT'!G:G)</f>
        <v>0</v>
      </c>
      <c r="Q165" s="65">
        <f t="shared" si="1"/>
        <v>2</v>
      </c>
      <c r="V165" s="255"/>
      <c r="X165" s="9"/>
      <c r="Y165" s="9"/>
      <c r="Z165" s="9"/>
      <c r="AD165" s="101"/>
      <c r="AF165" s="9"/>
      <c r="AG165" s="9"/>
      <c r="AH165" s="9"/>
    </row>
    <row r="166" ht="22.5" customHeight="1">
      <c r="A166" s="49"/>
      <c r="C166" s="93" t="s">
        <v>1433</v>
      </c>
      <c r="D166" s="93" t="s">
        <v>967</v>
      </c>
      <c r="E166" s="93" t="s">
        <v>1413</v>
      </c>
      <c r="F166" s="93" t="s">
        <v>1387</v>
      </c>
      <c r="G166" s="93">
        <v>0.0</v>
      </c>
      <c r="H166" s="74">
        <f t="shared" si="7"/>
        <v>862500</v>
      </c>
      <c r="I166" s="96">
        <v>762500.0</v>
      </c>
      <c r="J166" s="65" t="s">
        <v>87</v>
      </c>
      <c r="K166" s="65">
        <v>1.0</v>
      </c>
      <c r="L166" s="74">
        <v>0.0</v>
      </c>
      <c r="M166" s="93" t="s">
        <v>61</v>
      </c>
      <c r="N166" s="65">
        <f>sumif(PURCHASE!I:I,C166,PURCHASE!J:J)</f>
        <v>0</v>
      </c>
      <c r="O166" s="65">
        <f>sumif('SELLING CASH'!E:E,C166,'SELLING CASH'!F:F)</f>
        <v>8</v>
      </c>
      <c r="P166" s="65">
        <f>sumif('SELLING CREDIT'!F:F,C166,'SELLING CREDIT'!G:G)</f>
        <v>0</v>
      </c>
      <c r="Q166" s="65">
        <f t="shared" si="1"/>
        <v>-8</v>
      </c>
      <c r="V166" s="255"/>
      <c r="X166" s="9"/>
      <c r="Y166" s="9"/>
      <c r="Z166" s="9"/>
      <c r="AD166" s="101"/>
      <c r="AF166" s="9"/>
      <c r="AG166" s="9"/>
      <c r="AH166" s="9"/>
    </row>
    <row r="167" ht="22.5" customHeight="1">
      <c r="A167" s="49"/>
      <c r="C167" s="93" t="s">
        <v>276</v>
      </c>
      <c r="D167" s="93" t="s">
        <v>967</v>
      </c>
      <c r="E167" s="93" t="s">
        <v>1401</v>
      </c>
      <c r="F167" s="93" t="s">
        <v>1387</v>
      </c>
      <c r="G167" s="93">
        <v>2.0</v>
      </c>
      <c r="H167" s="74">
        <f t="shared" si="7"/>
        <v>720000</v>
      </c>
      <c r="I167" s="96">
        <v>620000.0</v>
      </c>
      <c r="J167" s="65" t="s">
        <v>87</v>
      </c>
      <c r="K167" s="65">
        <v>1.0</v>
      </c>
      <c r="L167" s="74">
        <v>0.0</v>
      </c>
      <c r="M167" s="93" t="s">
        <v>61</v>
      </c>
      <c r="N167" s="65">
        <f>sumif(PURCHASE!I:I,C167,PURCHASE!J:J)</f>
        <v>29</v>
      </c>
      <c r="O167" s="65">
        <f>sumif('SELLING CASH'!E:E,C167,'SELLING CASH'!F:F)</f>
        <v>26</v>
      </c>
      <c r="P167" s="65">
        <f>sumif('SELLING CREDIT'!F:F,C167,'SELLING CREDIT'!G:G)</f>
        <v>4</v>
      </c>
      <c r="Q167" s="65">
        <f t="shared" si="1"/>
        <v>1</v>
      </c>
      <c r="V167" s="255"/>
      <c r="X167" s="9"/>
      <c r="Y167" s="9"/>
      <c r="Z167" s="9"/>
      <c r="AD167" s="101"/>
      <c r="AF167" s="9"/>
      <c r="AG167" s="9"/>
      <c r="AH167" s="9"/>
    </row>
    <row r="168" ht="22.5" customHeight="1">
      <c r="A168" s="49"/>
      <c r="C168" s="93" t="s">
        <v>955</v>
      </c>
      <c r="D168" s="93" t="s">
        <v>981</v>
      </c>
      <c r="E168" s="93" t="s">
        <v>1413</v>
      </c>
      <c r="F168" s="93" t="s">
        <v>1387</v>
      </c>
      <c r="G168" s="93">
        <v>10.0</v>
      </c>
      <c r="H168" s="140">
        <v>810000.0</v>
      </c>
      <c r="I168" s="193">
        <v>712000.0</v>
      </c>
      <c r="J168" s="65" t="s">
        <v>87</v>
      </c>
      <c r="K168" s="65">
        <v>1.0</v>
      </c>
      <c r="L168" s="74">
        <v>0.0</v>
      </c>
      <c r="M168" s="93" t="s">
        <v>61</v>
      </c>
      <c r="N168" s="65">
        <f>sumif(PURCHASE!I:I,C168,PURCHASE!J:J)</f>
        <v>185</v>
      </c>
      <c r="O168" s="65">
        <f>sumif('SELLING CASH'!E:E,C168,'SELLING CASH'!F:F)</f>
        <v>182</v>
      </c>
      <c r="P168" s="65">
        <f>sumif('SELLING CREDIT'!F:F,C168,'SELLING CREDIT'!G:G)</f>
        <v>2</v>
      </c>
      <c r="Q168" s="65">
        <f t="shared" si="1"/>
        <v>11</v>
      </c>
      <c r="V168" s="255"/>
      <c r="X168" s="9"/>
      <c r="Y168" s="9"/>
      <c r="Z168" s="9"/>
      <c r="AD168" s="101"/>
      <c r="AF168" s="9"/>
      <c r="AG168" s="9"/>
      <c r="AH168" s="9"/>
    </row>
    <row r="169" ht="22.5" customHeight="1">
      <c r="A169" s="49"/>
      <c r="C169" s="93" t="s">
        <v>1444</v>
      </c>
      <c r="D169" s="93" t="s">
        <v>981</v>
      </c>
      <c r="E169" s="93" t="s">
        <v>1395</v>
      </c>
      <c r="F169" s="93" t="s">
        <v>1445</v>
      </c>
      <c r="G169" s="93">
        <v>0.0</v>
      </c>
      <c r="H169" s="74">
        <f t="shared" ref="H169:H170" si="8">I169+100000</f>
        <v>706000</v>
      </c>
      <c r="I169" s="96">
        <v>606000.0</v>
      </c>
      <c r="J169" s="65" t="s">
        <v>87</v>
      </c>
      <c r="K169" s="65">
        <v>1.0</v>
      </c>
      <c r="L169" s="74">
        <v>0.0</v>
      </c>
      <c r="M169" s="93" t="s">
        <v>61</v>
      </c>
      <c r="N169" s="65">
        <f>sumif(PURCHASE!I:I,C169,PURCHASE!J:J)</f>
        <v>0</v>
      </c>
      <c r="O169" s="65">
        <f>sumif('SELLING CASH'!E:E,C169,'SELLING CASH'!F:F)</f>
        <v>0</v>
      </c>
      <c r="P169" s="65">
        <f>sumif('SELLING CREDIT'!F:F,C169,'SELLING CREDIT'!G:G)</f>
        <v>0</v>
      </c>
      <c r="Q169" s="65">
        <f t="shared" si="1"/>
        <v>0</v>
      </c>
      <c r="V169" s="255"/>
      <c r="X169" s="9"/>
      <c r="Y169" s="9"/>
      <c r="Z169" s="9"/>
      <c r="AD169" s="101"/>
      <c r="AF169" s="9"/>
      <c r="AG169" s="9"/>
      <c r="AH169" s="9"/>
    </row>
    <row r="170" ht="22.5" customHeight="1">
      <c r="A170" s="49"/>
      <c r="C170" s="93" t="s">
        <v>1449</v>
      </c>
      <c r="D170" s="93" t="s">
        <v>981</v>
      </c>
      <c r="E170" s="93" t="s">
        <v>1450</v>
      </c>
      <c r="F170" s="93" t="s">
        <v>1387</v>
      </c>
      <c r="G170" s="93">
        <v>0.0</v>
      </c>
      <c r="H170" s="74">
        <f t="shared" si="8"/>
        <v>782000</v>
      </c>
      <c r="I170" s="96">
        <v>682000.0</v>
      </c>
      <c r="J170" s="65" t="s">
        <v>87</v>
      </c>
      <c r="K170" s="65">
        <v>1.0</v>
      </c>
      <c r="L170" s="74">
        <v>0.0</v>
      </c>
      <c r="M170" s="93" t="s">
        <v>61</v>
      </c>
      <c r="N170" s="65">
        <f>sumif(PURCHASE!I:I,C170,PURCHASE!J:J)</f>
        <v>0</v>
      </c>
      <c r="O170" s="65">
        <f>sumif('SELLING CASH'!E:E,C170,'SELLING CASH'!F:F)</f>
        <v>2</v>
      </c>
      <c r="P170" s="65">
        <f>sumif('SELLING CREDIT'!F:F,C170,'SELLING CREDIT'!G:G)</f>
        <v>0</v>
      </c>
      <c r="Q170" s="65">
        <f t="shared" si="1"/>
        <v>-2</v>
      </c>
      <c r="V170" s="255"/>
      <c r="X170" s="9"/>
      <c r="Y170" s="9"/>
      <c r="Z170" s="9"/>
      <c r="AD170" s="101"/>
      <c r="AF170" s="9"/>
      <c r="AG170" s="9"/>
      <c r="AH170" s="9"/>
    </row>
    <row r="171" ht="22.5" customHeight="1">
      <c r="A171" s="49"/>
      <c r="C171" s="93" t="s">
        <v>279</v>
      </c>
      <c r="D171" s="93" t="s">
        <v>164</v>
      </c>
      <c r="E171" s="93" t="s">
        <v>1456</v>
      </c>
      <c r="F171" s="93" t="s">
        <v>1387</v>
      </c>
      <c r="G171" s="93">
        <v>0.0</v>
      </c>
      <c r="H171" s="140">
        <v>715000.0</v>
      </c>
      <c r="I171" s="193">
        <v>623000.0</v>
      </c>
      <c r="J171" s="65" t="s">
        <v>87</v>
      </c>
      <c r="K171" s="65">
        <v>1.0</v>
      </c>
      <c r="L171" s="74">
        <v>0.0</v>
      </c>
      <c r="M171" s="93" t="s">
        <v>61</v>
      </c>
      <c r="N171" s="65">
        <f>sumif(PURCHASE!I:I,C171,PURCHASE!J:J)</f>
        <v>46</v>
      </c>
      <c r="O171" s="65">
        <f>sumif('SELLING CASH'!E:E,C171,'SELLING CASH'!F:F)</f>
        <v>40</v>
      </c>
      <c r="P171" s="65">
        <f>sumif('SELLING CREDIT'!F:F,C171,'SELLING CREDIT'!G:G)</f>
        <v>0</v>
      </c>
      <c r="Q171" s="65">
        <f t="shared" si="1"/>
        <v>6</v>
      </c>
      <c r="V171" s="255"/>
      <c r="X171" s="9"/>
      <c r="Y171" s="9"/>
      <c r="Z171" s="9"/>
      <c r="AD171" s="101"/>
      <c r="AF171" s="9"/>
      <c r="AG171" s="9"/>
      <c r="AH171" s="9"/>
    </row>
    <row r="172" ht="22.5" customHeight="1">
      <c r="A172" s="49"/>
      <c r="C172" s="93" t="s">
        <v>932</v>
      </c>
      <c r="D172" s="93" t="s">
        <v>164</v>
      </c>
      <c r="E172" s="93" t="s">
        <v>1385</v>
      </c>
      <c r="F172" s="93" t="s">
        <v>1387</v>
      </c>
      <c r="G172" s="93">
        <v>21.0</v>
      </c>
      <c r="H172" s="74">
        <v>690000.0</v>
      </c>
      <c r="I172" s="96">
        <v>601000.0</v>
      </c>
      <c r="J172" s="65" t="s">
        <v>87</v>
      </c>
      <c r="K172" s="65">
        <v>1.0</v>
      </c>
      <c r="L172" s="74">
        <v>0.0</v>
      </c>
      <c r="M172" s="93" t="s">
        <v>61</v>
      </c>
      <c r="N172" s="65">
        <f>sumif(PURCHASE!I:I,C172,PURCHASE!J:J)</f>
        <v>417</v>
      </c>
      <c r="O172" s="65">
        <f>sumif('SELLING CASH'!E:E,C172,'SELLING CASH'!F:F)</f>
        <v>428</v>
      </c>
      <c r="P172" s="65">
        <f>sumif('SELLING CREDIT'!F:F,C172,'SELLING CREDIT'!G:G)</f>
        <v>10</v>
      </c>
      <c r="Q172" s="65">
        <f t="shared" si="1"/>
        <v>0</v>
      </c>
      <c r="V172" s="255"/>
      <c r="X172" s="9"/>
      <c r="Y172" s="9"/>
      <c r="Z172" s="9"/>
      <c r="AD172" s="101"/>
      <c r="AF172" s="9"/>
      <c r="AG172" s="9"/>
      <c r="AH172" s="9"/>
    </row>
    <row r="173" ht="22.5" customHeight="1">
      <c r="A173" s="49"/>
      <c r="C173" s="93" t="s">
        <v>1461</v>
      </c>
      <c r="D173" s="93" t="s">
        <v>164</v>
      </c>
      <c r="E173" s="93" t="s">
        <v>1462</v>
      </c>
      <c r="F173" s="93" t="s">
        <v>1387</v>
      </c>
      <c r="G173" s="93">
        <v>0.0</v>
      </c>
      <c r="H173" s="74">
        <f>I173+100000</f>
        <v>654000</v>
      </c>
      <c r="I173" s="96">
        <v>554000.0</v>
      </c>
      <c r="J173" s="65" t="s">
        <v>87</v>
      </c>
      <c r="K173" s="65">
        <v>1.0</v>
      </c>
      <c r="L173" s="74">
        <v>0.0</v>
      </c>
      <c r="M173" s="93" t="s">
        <v>61</v>
      </c>
      <c r="N173" s="65">
        <f>sumif(PURCHASE!I:I,C173,PURCHASE!J:J)</f>
        <v>0</v>
      </c>
      <c r="O173" s="65">
        <f>sumif('SELLING CASH'!E:E,C173,'SELLING CASH'!F:F)</f>
        <v>0</v>
      </c>
      <c r="P173" s="65">
        <f>sumif('SELLING CREDIT'!F:F,C173,'SELLING CREDIT'!G:G)</f>
        <v>0</v>
      </c>
      <c r="Q173" s="65">
        <f t="shared" si="1"/>
        <v>0</v>
      </c>
      <c r="V173" s="255"/>
      <c r="X173" s="9"/>
      <c r="Y173" s="9"/>
      <c r="Z173" s="9"/>
      <c r="AD173" s="101"/>
      <c r="AF173" s="9"/>
      <c r="AG173" s="9"/>
      <c r="AH173" s="9"/>
    </row>
    <row r="174" ht="22.5" customHeight="1">
      <c r="A174" s="49"/>
      <c r="C174" s="93" t="s">
        <v>695</v>
      </c>
      <c r="D174" s="93" t="s">
        <v>1026</v>
      </c>
      <c r="E174" s="93" t="s">
        <v>1395</v>
      </c>
      <c r="F174" s="93" t="s">
        <v>1387</v>
      </c>
      <c r="G174" s="93">
        <v>6.0</v>
      </c>
      <c r="H174" s="74">
        <v>675000.0</v>
      </c>
      <c r="I174" s="96">
        <v>582000.0</v>
      </c>
      <c r="J174" s="65" t="s">
        <v>87</v>
      </c>
      <c r="K174" s="65">
        <v>1.0</v>
      </c>
      <c r="L174" s="74">
        <v>0.0</v>
      </c>
      <c r="M174" s="93" t="s">
        <v>61</v>
      </c>
      <c r="N174" s="65">
        <f>sumif(PURCHASE!I:I,C174,PURCHASE!J:J)</f>
        <v>74</v>
      </c>
      <c r="O174" s="65">
        <f>sumif('SELLING CASH'!E:E,C174,'SELLING CASH'!F:F)</f>
        <v>80</v>
      </c>
      <c r="P174" s="65">
        <f>sumif('SELLING CREDIT'!F:F,C174,'SELLING CREDIT'!G:G)</f>
        <v>0</v>
      </c>
      <c r="Q174" s="65">
        <f t="shared" si="1"/>
        <v>0</v>
      </c>
      <c r="V174" s="255"/>
      <c r="X174" s="9"/>
      <c r="Y174" s="9"/>
      <c r="Z174" s="9"/>
      <c r="AD174" s="101"/>
      <c r="AF174" s="9"/>
      <c r="AG174" s="9"/>
      <c r="AH174" s="9"/>
    </row>
    <row r="175" ht="22.5" customHeight="1">
      <c r="A175" s="49"/>
      <c r="C175" s="93" t="s">
        <v>1051</v>
      </c>
      <c r="D175" s="93" t="s">
        <v>1049</v>
      </c>
      <c r="E175" s="93" t="s">
        <v>1390</v>
      </c>
      <c r="F175" s="93" t="s">
        <v>1387</v>
      </c>
      <c r="G175" s="93">
        <v>0.0</v>
      </c>
      <c r="H175" s="74">
        <f t="shared" ref="H175:H177" si="9">I175+100000</f>
        <v>995000</v>
      </c>
      <c r="I175" s="96">
        <v>895000.0</v>
      </c>
      <c r="J175" s="65" t="s">
        <v>87</v>
      </c>
      <c r="K175" s="65">
        <v>1.0</v>
      </c>
      <c r="L175" s="74">
        <v>0.0</v>
      </c>
      <c r="M175" s="93" t="s">
        <v>61</v>
      </c>
      <c r="N175" s="65">
        <f>sumif(PURCHASE!I:I,C175,PURCHASE!J:J)</f>
        <v>6</v>
      </c>
      <c r="O175" s="65">
        <f>sumif('SELLING CASH'!E:E,C175,'SELLING CASH'!F:F)</f>
        <v>2</v>
      </c>
      <c r="P175" s="65">
        <f>sumif('SELLING CREDIT'!F:F,C175,'SELLING CREDIT'!G:G)</f>
        <v>4</v>
      </c>
      <c r="Q175" s="65">
        <f t="shared" si="1"/>
        <v>0</v>
      </c>
      <c r="V175" s="255"/>
      <c r="X175" s="9"/>
      <c r="Y175" s="9"/>
      <c r="Z175" s="9"/>
      <c r="AD175" s="101"/>
      <c r="AF175" s="9"/>
      <c r="AG175" s="9"/>
      <c r="AH175" s="9"/>
    </row>
    <row r="176" ht="22.5" customHeight="1">
      <c r="A176" s="49"/>
      <c r="C176" s="93" t="s">
        <v>1051</v>
      </c>
      <c r="D176" s="93" t="s">
        <v>1049</v>
      </c>
      <c r="E176" s="93" t="s">
        <v>1390</v>
      </c>
      <c r="F176" s="93" t="s">
        <v>1387</v>
      </c>
      <c r="G176" s="93">
        <v>0.0</v>
      </c>
      <c r="H176" s="74">
        <f t="shared" si="9"/>
        <v>1026500</v>
      </c>
      <c r="I176" s="96">
        <v>926500.0</v>
      </c>
      <c r="J176" s="65" t="s">
        <v>87</v>
      </c>
      <c r="K176" s="65">
        <v>1.0</v>
      </c>
      <c r="L176" s="74">
        <v>0.0</v>
      </c>
      <c r="M176" s="93" t="s">
        <v>61</v>
      </c>
      <c r="N176" s="65">
        <f>sumif(PURCHASE!I:I,C176,PURCHASE!J:J)</f>
        <v>6</v>
      </c>
      <c r="O176" s="65">
        <f>sumif('SELLING CASH'!E:E,C176,'SELLING CASH'!F:F)</f>
        <v>2</v>
      </c>
      <c r="P176" s="65">
        <f>sumif('SELLING CREDIT'!F:F,C176,'SELLING CREDIT'!G:G)</f>
        <v>4</v>
      </c>
      <c r="Q176" s="65">
        <f t="shared" si="1"/>
        <v>0</v>
      </c>
      <c r="V176" s="255"/>
      <c r="X176" s="9"/>
      <c r="Y176" s="9"/>
      <c r="Z176" s="9"/>
      <c r="AD176" s="101"/>
      <c r="AF176" s="9"/>
      <c r="AG176" s="9"/>
      <c r="AH176" s="9"/>
    </row>
    <row r="177" ht="22.5" customHeight="1">
      <c r="A177" s="49"/>
      <c r="C177" s="93" t="s">
        <v>1474</v>
      </c>
      <c r="D177" s="93" t="s">
        <v>1066</v>
      </c>
      <c r="E177" s="93" t="s">
        <v>1475</v>
      </c>
      <c r="F177" s="93" t="s">
        <v>1445</v>
      </c>
      <c r="G177" s="93">
        <v>0.0</v>
      </c>
      <c r="H177" s="74">
        <f t="shared" si="9"/>
        <v>895000</v>
      </c>
      <c r="I177" s="96">
        <v>795000.0</v>
      </c>
      <c r="J177" s="65" t="s">
        <v>87</v>
      </c>
      <c r="K177" s="65">
        <v>1.0</v>
      </c>
      <c r="L177" s="74">
        <v>0.0</v>
      </c>
      <c r="M177" s="93" t="s">
        <v>61</v>
      </c>
      <c r="N177" s="65">
        <f>sumif(PURCHASE!I:I,C177,PURCHASE!J:J)</f>
        <v>0</v>
      </c>
      <c r="O177" s="65">
        <f>sumif('SELLING CASH'!E:E,C177,'SELLING CASH'!F:F)</f>
        <v>0</v>
      </c>
      <c r="P177" s="65">
        <f>sumif('SELLING CREDIT'!F:F,C177,'SELLING CREDIT'!G:G)</f>
        <v>0</v>
      </c>
      <c r="Q177" s="65">
        <f t="shared" si="1"/>
        <v>0</v>
      </c>
      <c r="V177" s="255"/>
      <c r="X177" s="9"/>
      <c r="Y177" s="9"/>
      <c r="Z177" s="9"/>
      <c r="AD177" s="101"/>
      <c r="AF177" s="9"/>
      <c r="AG177" s="9"/>
      <c r="AH177" s="9"/>
    </row>
    <row r="178" ht="22.5" customHeight="1">
      <c r="A178" s="49"/>
      <c r="C178" s="93" t="s">
        <v>281</v>
      </c>
      <c r="D178" s="93" t="s">
        <v>1066</v>
      </c>
      <c r="E178" s="93" t="s">
        <v>1413</v>
      </c>
      <c r="F178" s="93" t="s">
        <v>1387</v>
      </c>
      <c r="G178" s="93">
        <v>1.0</v>
      </c>
      <c r="H178" s="140">
        <v>920000.0</v>
      </c>
      <c r="I178" s="193">
        <v>814000.0</v>
      </c>
      <c r="J178" s="65" t="s">
        <v>87</v>
      </c>
      <c r="K178" s="65">
        <v>1.0</v>
      </c>
      <c r="L178" s="74">
        <v>0.0</v>
      </c>
      <c r="M178" s="93" t="s">
        <v>61</v>
      </c>
      <c r="N178" s="65">
        <f>sumif(PURCHASE!I:I,C178,PURCHASE!J:J)</f>
        <v>3</v>
      </c>
      <c r="O178" s="65">
        <f>sumif('SELLING CASH'!E:E,C178,'SELLING CASH'!F:F)</f>
        <v>4</v>
      </c>
      <c r="P178" s="65">
        <f>sumif('SELLING CREDIT'!F:F,C178,'SELLING CREDIT'!G:G)</f>
        <v>0</v>
      </c>
      <c r="Q178" s="65">
        <f t="shared" si="1"/>
        <v>0</v>
      </c>
      <c r="V178" s="255"/>
      <c r="X178" s="9"/>
      <c r="Y178" s="9"/>
      <c r="Z178" s="9"/>
      <c r="AD178" s="101"/>
      <c r="AF178" s="9"/>
      <c r="AG178" s="9"/>
      <c r="AH178" s="9"/>
    </row>
    <row r="179" ht="22.5" customHeight="1">
      <c r="A179" s="49"/>
      <c r="C179" s="93" t="s">
        <v>1486</v>
      </c>
      <c r="D179" s="93" t="s">
        <v>1087</v>
      </c>
      <c r="E179" s="93" t="s">
        <v>1413</v>
      </c>
      <c r="F179" s="93" t="s">
        <v>1387</v>
      </c>
      <c r="G179" s="93">
        <v>4.0</v>
      </c>
      <c r="H179" s="74">
        <v>980000.0</v>
      </c>
      <c r="I179" s="96">
        <v>888000.0</v>
      </c>
      <c r="J179" s="65" t="s">
        <v>87</v>
      </c>
      <c r="K179" s="65">
        <v>1.0</v>
      </c>
      <c r="L179" s="74">
        <v>0.0</v>
      </c>
      <c r="M179" s="93" t="s">
        <v>61</v>
      </c>
      <c r="N179" s="65">
        <f>sumif(PURCHASE!I:I,C179,PURCHASE!J:J)</f>
        <v>16</v>
      </c>
      <c r="O179" s="65">
        <f>sumif('SELLING CASH'!E:E,C179,'SELLING CASH'!F:F)</f>
        <v>21</v>
      </c>
      <c r="P179" s="65">
        <f>sumif('SELLING CREDIT'!F:F,C179,'SELLING CREDIT'!G:G)</f>
        <v>0</v>
      </c>
      <c r="Q179" s="65">
        <f t="shared" si="1"/>
        <v>-1</v>
      </c>
      <c r="V179" s="255"/>
      <c r="X179" s="9"/>
      <c r="Y179" s="9"/>
      <c r="Z179" s="9"/>
      <c r="AD179" s="101"/>
      <c r="AF179" s="9"/>
      <c r="AG179" s="9"/>
      <c r="AH179" s="9"/>
    </row>
    <row r="180" ht="22.5" customHeight="1">
      <c r="A180" s="49"/>
      <c r="C180" s="93" t="s">
        <v>1489</v>
      </c>
      <c r="D180" s="93" t="s">
        <v>1105</v>
      </c>
      <c r="E180" s="93" t="s">
        <v>1395</v>
      </c>
      <c r="F180" s="93" t="s">
        <v>1387</v>
      </c>
      <c r="G180" s="93">
        <v>0.0</v>
      </c>
      <c r="H180" s="74">
        <v>700000.0</v>
      </c>
      <c r="I180" s="96">
        <v>609000.0</v>
      </c>
      <c r="J180" s="65" t="s">
        <v>87</v>
      </c>
      <c r="K180" s="65">
        <v>1.0</v>
      </c>
      <c r="L180" s="74">
        <v>0.0</v>
      </c>
      <c r="M180" s="93" t="s">
        <v>61</v>
      </c>
      <c r="N180" s="65">
        <f>sumif(PURCHASE!I:I,C180,PURCHASE!J:J)</f>
        <v>2</v>
      </c>
      <c r="O180" s="65">
        <f>sumif('SELLING CASH'!E:E,C180,'SELLING CASH'!F:F)</f>
        <v>9</v>
      </c>
      <c r="P180" s="65">
        <f>sumif('SELLING CREDIT'!F:F,C180,'SELLING CREDIT'!G:G)</f>
        <v>0</v>
      </c>
      <c r="Q180" s="65">
        <f t="shared" si="1"/>
        <v>-7</v>
      </c>
      <c r="V180" s="255"/>
      <c r="X180" s="9"/>
      <c r="Y180" s="9"/>
      <c r="Z180" s="9"/>
      <c r="AD180" s="101"/>
      <c r="AF180" s="9"/>
      <c r="AG180" s="9"/>
      <c r="AH180" s="9"/>
    </row>
    <row r="181" ht="22.5" customHeight="1">
      <c r="A181" s="49"/>
      <c r="C181" s="93" t="s">
        <v>1494</v>
      </c>
      <c r="D181" s="93" t="s">
        <v>1105</v>
      </c>
      <c r="E181" s="93" t="s">
        <v>1495</v>
      </c>
      <c r="F181" s="93" t="s">
        <v>1387</v>
      </c>
      <c r="G181" s="93">
        <v>0.0</v>
      </c>
      <c r="H181" s="74">
        <f>I181+100000</f>
        <v>696000</v>
      </c>
      <c r="I181" s="96">
        <v>596000.0</v>
      </c>
      <c r="J181" s="65" t="s">
        <v>87</v>
      </c>
      <c r="K181" s="65">
        <v>1.0</v>
      </c>
      <c r="L181" s="74">
        <v>0.0</v>
      </c>
      <c r="M181" s="93" t="s">
        <v>61</v>
      </c>
      <c r="N181" s="65">
        <f>sumif(PURCHASE!I:I,C181,PURCHASE!J:J)</f>
        <v>1</v>
      </c>
      <c r="O181" s="65">
        <f>sumif('SELLING CASH'!E:E,C181,'SELLING CASH'!F:F)</f>
        <v>0</v>
      </c>
      <c r="P181" s="65">
        <f>sumif('SELLING CREDIT'!F:F,C181,'SELLING CREDIT'!G:G)</f>
        <v>0</v>
      </c>
      <c r="Q181" s="65">
        <f t="shared" si="1"/>
        <v>1</v>
      </c>
      <c r="V181" s="255"/>
      <c r="X181" s="9"/>
      <c r="Y181" s="9"/>
      <c r="Z181" s="9"/>
      <c r="AD181" s="101"/>
      <c r="AF181" s="9"/>
      <c r="AG181" s="9"/>
      <c r="AH181" s="9"/>
    </row>
    <row r="182" ht="22.5" customHeight="1">
      <c r="A182" s="49"/>
      <c r="C182" s="93" t="s">
        <v>1361</v>
      </c>
      <c r="D182" s="93" t="s">
        <v>1114</v>
      </c>
      <c r="E182" s="93" t="s">
        <v>1413</v>
      </c>
      <c r="F182" s="93" t="s">
        <v>1387</v>
      </c>
      <c r="G182" s="93">
        <v>0.0</v>
      </c>
      <c r="H182" s="74">
        <v>985000.0</v>
      </c>
      <c r="I182" s="96">
        <v>881000.0</v>
      </c>
      <c r="J182" s="65" t="s">
        <v>87</v>
      </c>
      <c r="K182" s="65">
        <v>1.0</v>
      </c>
      <c r="L182" s="74">
        <v>0.0</v>
      </c>
      <c r="M182" s="93" t="s">
        <v>61</v>
      </c>
      <c r="N182" s="65">
        <f>sumif(PURCHASE!I:I,C182,PURCHASE!J:J)</f>
        <v>25</v>
      </c>
      <c r="O182" s="65">
        <f>sumif('SELLING CASH'!E:E,C182,'SELLING CASH'!F:F)</f>
        <v>23</v>
      </c>
      <c r="P182" s="65">
        <f>sumif('SELLING CREDIT'!F:F,C182,'SELLING CREDIT'!G:G)</f>
        <v>2</v>
      </c>
      <c r="Q182" s="65">
        <f t="shared" si="1"/>
        <v>0</v>
      </c>
      <c r="V182" s="255"/>
      <c r="X182" s="9"/>
      <c r="Y182" s="9"/>
      <c r="Z182" s="9"/>
      <c r="AD182" s="101"/>
      <c r="AF182" s="9"/>
      <c r="AG182" s="9"/>
      <c r="AH182" s="9"/>
    </row>
    <row r="183" ht="22.5" customHeight="1">
      <c r="A183" s="49"/>
      <c r="C183" s="93" t="s">
        <v>940</v>
      </c>
      <c r="D183" s="93" t="s">
        <v>1123</v>
      </c>
      <c r="E183" s="93" t="s">
        <v>1413</v>
      </c>
      <c r="F183" s="93" t="s">
        <v>1387</v>
      </c>
      <c r="G183" s="93">
        <v>5.0</v>
      </c>
      <c r="H183" s="74">
        <v>820000.0</v>
      </c>
      <c r="I183" s="96">
        <v>716500.0</v>
      </c>
      <c r="J183" s="65" t="s">
        <v>87</v>
      </c>
      <c r="K183" s="65">
        <v>1.0</v>
      </c>
      <c r="L183" s="74">
        <v>0.0</v>
      </c>
      <c r="M183" s="93" t="s">
        <v>61</v>
      </c>
      <c r="N183" s="65">
        <f>sumif(PURCHASE!I:I,C183,PURCHASE!J:J)</f>
        <v>75</v>
      </c>
      <c r="O183" s="65">
        <f>sumif('SELLING CASH'!E:E,C183,'SELLING CASH'!F:F)</f>
        <v>71</v>
      </c>
      <c r="P183" s="65">
        <f>sumif('SELLING CREDIT'!F:F,C183,'SELLING CREDIT'!G:G)</f>
        <v>1</v>
      </c>
      <c r="Q183" s="65">
        <f t="shared" si="1"/>
        <v>8</v>
      </c>
      <c r="V183" s="255"/>
      <c r="X183" s="9"/>
      <c r="Y183" s="9"/>
      <c r="Z183" s="9"/>
      <c r="AD183" s="101"/>
      <c r="AF183" s="9"/>
      <c r="AG183" s="9"/>
      <c r="AH183" s="9"/>
    </row>
    <row r="184" ht="22.5" customHeight="1">
      <c r="A184" s="49"/>
      <c r="C184" s="93" t="s">
        <v>1507</v>
      </c>
      <c r="D184" s="93" t="s">
        <v>1123</v>
      </c>
      <c r="E184" s="93" t="s">
        <v>1462</v>
      </c>
      <c r="F184" s="93" t="s">
        <v>1387</v>
      </c>
      <c r="G184" s="93">
        <v>2.0</v>
      </c>
      <c r="H184" s="74">
        <f t="shared" ref="H184:H185" si="10">I184+100000</f>
        <v>738500</v>
      </c>
      <c r="I184" s="96">
        <v>638500.0</v>
      </c>
      <c r="J184" s="65" t="s">
        <v>87</v>
      </c>
      <c r="K184" s="65">
        <v>1.0</v>
      </c>
      <c r="L184" s="74">
        <v>0.0</v>
      </c>
      <c r="M184" s="93" t="s">
        <v>61</v>
      </c>
      <c r="N184" s="65">
        <f>sumif(PURCHASE!I:I,C184,PURCHASE!J:J)</f>
        <v>29</v>
      </c>
      <c r="O184" s="65">
        <f>sumif('SELLING CASH'!E:E,C184,'SELLING CASH'!F:F)</f>
        <v>29</v>
      </c>
      <c r="P184" s="65">
        <f>sumif('SELLING CREDIT'!F:F,C184,'SELLING CREDIT'!G:G)</f>
        <v>0</v>
      </c>
      <c r="Q184" s="65">
        <f t="shared" si="1"/>
        <v>2</v>
      </c>
      <c r="V184" s="255"/>
      <c r="X184" s="9"/>
      <c r="Y184" s="9"/>
      <c r="Z184" s="9"/>
      <c r="AD184" s="101"/>
      <c r="AF184" s="9"/>
      <c r="AG184" s="9"/>
      <c r="AH184" s="9"/>
    </row>
    <row r="185" ht="22.5" customHeight="1">
      <c r="A185" s="49"/>
      <c r="C185" s="93" t="s">
        <v>1511</v>
      </c>
      <c r="D185" s="93" t="s">
        <v>1512</v>
      </c>
      <c r="E185" s="93" t="s">
        <v>1513</v>
      </c>
      <c r="F185" s="93" t="s">
        <v>1445</v>
      </c>
      <c r="G185" s="93">
        <v>2.0</v>
      </c>
      <c r="H185" s="74">
        <f t="shared" si="10"/>
        <v>868000</v>
      </c>
      <c r="I185" s="96">
        <v>768000.0</v>
      </c>
      <c r="J185" s="65" t="s">
        <v>87</v>
      </c>
      <c r="K185" s="65">
        <v>1.0</v>
      </c>
      <c r="L185" s="74">
        <v>0.0</v>
      </c>
      <c r="M185" s="93" t="s">
        <v>61</v>
      </c>
      <c r="N185" s="65">
        <f>sumif(PURCHASE!I:I,C185,PURCHASE!J:J)</f>
        <v>0</v>
      </c>
      <c r="O185" s="65">
        <f>sumif('SELLING CASH'!E:E,C185,'SELLING CASH'!F:F)</f>
        <v>1</v>
      </c>
      <c r="P185" s="65">
        <f>sumif('SELLING CREDIT'!F:F,C185,'SELLING CREDIT'!G:G)</f>
        <v>0</v>
      </c>
      <c r="Q185" s="65">
        <f t="shared" si="1"/>
        <v>1</v>
      </c>
      <c r="V185" s="255"/>
      <c r="X185" s="9"/>
      <c r="Y185" s="9"/>
      <c r="Z185" s="9"/>
      <c r="AD185" s="101"/>
      <c r="AF185" s="9"/>
      <c r="AG185" s="9"/>
      <c r="AH185" s="9"/>
    </row>
    <row r="186" ht="22.5" customHeight="1">
      <c r="A186" s="49"/>
      <c r="C186" s="93" t="s">
        <v>968</v>
      </c>
      <c r="D186" s="93" t="s">
        <v>1134</v>
      </c>
      <c r="E186" s="93" t="s">
        <v>1401</v>
      </c>
      <c r="F186" s="93" t="s">
        <v>1387</v>
      </c>
      <c r="G186" s="93">
        <v>7.0</v>
      </c>
      <c r="H186" s="74">
        <v>675000.0</v>
      </c>
      <c r="I186" s="96">
        <v>582500.0</v>
      </c>
      <c r="J186" s="65" t="s">
        <v>87</v>
      </c>
      <c r="K186" s="65">
        <v>1.0</v>
      </c>
      <c r="L186" s="74">
        <v>0.0</v>
      </c>
      <c r="M186" s="93" t="s">
        <v>61</v>
      </c>
      <c r="N186" s="65">
        <f>sumif(PURCHASE!I:I,C186,PURCHASE!J:J)</f>
        <v>75</v>
      </c>
      <c r="O186" s="65">
        <f>sumif('SELLING CASH'!E:E,C186,'SELLING CASH'!F:F)</f>
        <v>76</v>
      </c>
      <c r="P186" s="65">
        <f>sumif('SELLING CREDIT'!F:F,C186,'SELLING CREDIT'!G:G)</f>
        <v>1</v>
      </c>
      <c r="Q186" s="65">
        <f t="shared" si="1"/>
        <v>5</v>
      </c>
      <c r="V186" s="255"/>
      <c r="X186" s="9"/>
      <c r="Y186" s="9"/>
      <c r="Z186" s="9"/>
      <c r="AD186" s="101"/>
      <c r="AF186" s="9"/>
      <c r="AG186" s="9"/>
      <c r="AH186" s="9"/>
    </row>
    <row r="187" ht="22.5" customHeight="1">
      <c r="A187" s="49"/>
      <c r="C187" s="93" t="s">
        <v>1383</v>
      </c>
      <c r="D187" s="93" t="s">
        <v>1161</v>
      </c>
      <c r="E187" s="93" t="s">
        <v>1475</v>
      </c>
      <c r="F187" s="93" t="s">
        <v>1387</v>
      </c>
      <c r="G187" s="93">
        <v>2.0</v>
      </c>
      <c r="H187" s="140">
        <v>910000.0</v>
      </c>
      <c r="I187" s="96">
        <v>812000.0</v>
      </c>
      <c r="J187" s="65" t="s">
        <v>87</v>
      </c>
      <c r="K187" s="65">
        <v>1.0</v>
      </c>
      <c r="L187" s="74">
        <v>0.0</v>
      </c>
      <c r="M187" s="93" t="s">
        <v>61</v>
      </c>
      <c r="N187" s="65">
        <f>sumif(PURCHASE!I:I,C187,PURCHASE!J:J)</f>
        <v>21</v>
      </c>
      <c r="O187" s="65">
        <f>sumif('SELLING CASH'!E:E,C187,'SELLING CASH'!F:F)</f>
        <v>22</v>
      </c>
      <c r="P187" s="65">
        <f>sumif('SELLING CREDIT'!F:F,C187,'SELLING CREDIT'!G:G)</f>
        <v>2</v>
      </c>
      <c r="Q187" s="65">
        <f t="shared" si="1"/>
        <v>-1</v>
      </c>
      <c r="V187" s="255"/>
      <c r="X187" s="9"/>
      <c r="Y187" s="9"/>
      <c r="Z187" s="9"/>
      <c r="AD187" s="101"/>
      <c r="AF187" s="9"/>
      <c r="AG187" s="9"/>
      <c r="AH187" s="9"/>
    </row>
    <row r="188" ht="22.5" customHeight="1">
      <c r="A188" s="49"/>
      <c r="C188" s="93" t="s">
        <v>1524</v>
      </c>
      <c r="D188" s="93" t="s">
        <v>1168</v>
      </c>
      <c r="E188" s="93" t="s">
        <v>1413</v>
      </c>
      <c r="F188" s="93" t="s">
        <v>1387</v>
      </c>
      <c r="G188" s="93">
        <v>4.0</v>
      </c>
      <c r="H188" s="74">
        <v>1135000.0</v>
      </c>
      <c r="I188" s="96">
        <v>1028000.0</v>
      </c>
      <c r="J188" s="65" t="s">
        <v>87</v>
      </c>
      <c r="K188" s="65">
        <v>1.0</v>
      </c>
      <c r="L188" s="74">
        <v>0.0</v>
      </c>
      <c r="M188" s="93" t="s">
        <v>61</v>
      </c>
      <c r="N188" s="65">
        <f>sumif(PURCHASE!I:I,C188,PURCHASE!J:J)</f>
        <v>21</v>
      </c>
      <c r="O188" s="65">
        <f>sumif('SELLING CASH'!E:E,C188,'SELLING CASH'!F:F)</f>
        <v>24</v>
      </c>
      <c r="P188" s="65">
        <f>sumif('SELLING CREDIT'!F:F,C188,'SELLING CREDIT'!G:G)</f>
        <v>0</v>
      </c>
      <c r="Q188" s="65">
        <f t="shared" si="1"/>
        <v>1</v>
      </c>
      <c r="V188" s="255"/>
      <c r="X188" s="9"/>
      <c r="Y188" s="9"/>
      <c r="Z188" s="9"/>
      <c r="AD188" s="101"/>
      <c r="AF188" s="9"/>
      <c r="AG188" s="9"/>
      <c r="AH188" s="9"/>
    </row>
    <row r="189" ht="22.5" customHeight="1">
      <c r="A189" s="49"/>
      <c r="C189" s="93" t="s">
        <v>1372</v>
      </c>
      <c r="D189" s="93" t="s">
        <v>1528</v>
      </c>
      <c r="E189" s="93" t="s">
        <v>1456</v>
      </c>
      <c r="F189" s="93" t="s">
        <v>1387</v>
      </c>
      <c r="G189" s="93">
        <v>0.0</v>
      </c>
      <c r="H189" s="74">
        <v>1150000.0</v>
      </c>
      <c r="I189" s="96">
        <v>1040000.0</v>
      </c>
      <c r="J189" s="65" t="s">
        <v>87</v>
      </c>
      <c r="K189" s="65">
        <v>1.0</v>
      </c>
      <c r="L189" s="74">
        <v>0.0</v>
      </c>
      <c r="M189" s="93" t="s">
        <v>61</v>
      </c>
      <c r="N189" s="65">
        <f>sumif(PURCHASE!I:I,C189,PURCHASE!J:J)</f>
        <v>19</v>
      </c>
      <c r="O189" s="65">
        <f>sumif('SELLING CASH'!E:E,C189,'SELLING CASH'!F:F)</f>
        <v>20</v>
      </c>
      <c r="P189" s="65">
        <f>sumif('SELLING CREDIT'!F:F,C189,'SELLING CREDIT'!G:G)</f>
        <v>2</v>
      </c>
      <c r="Q189" s="65">
        <f t="shared" si="1"/>
        <v>-3</v>
      </c>
      <c r="V189" s="255"/>
      <c r="X189" s="9"/>
      <c r="Y189" s="9"/>
      <c r="Z189" s="9"/>
      <c r="AD189" s="101"/>
      <c r="AF189" s="9"/>
      <c r="AG189" s="9"/>
      <c r="AH189" s="9"/>
    </row>
    <row r="190" ht="22.5" customHeight="1">
      <c r="A190" s="49"/>
      <c r="C190" s="93" t="s">
        <v>963</v>
      </c>
      <c r="D190" s="93" t="s">
        <v>1533</v>
      </c>
      <c r="E190" s="93" t="s">
        <v>1401</v>
      </c>
      <c r="F190" s="93" t="s">
        <v>1387</v>
      </c>
      <c r="G190" s="93">
        <v>0.0</v>
      </c>
      <c r="H190" s="74">
        <v>800000.0</v>
      </c>
      <c r="I190" s="96">
        <v>698000.0</v>
      </c>
      <c r="J190" s="65" t="s">
        <v>87</v>
      </c>
      <c r="K190" s="65">
        <v>1.0</v>
      </c>
      <c r="L190" s="74">
        <v>0.0</v>
      </c>
      <c r="M190" s="93" t="s">
        <v>61</v>
      </c>
      <c r="N190" s="65">
        <f>sumif(PURCHASE!I:I,C190,PURCHASE!J:J)</f>
        <v>2</v>
      </c>
      <c r="O190" s="65">
        <f>sumif('SELLING CASH'!E:E,C190,'SELLING CASH'!F:F)</f>
        <v>3</v>
      </c>
      <c r="P190" s="65">
        <f>sumif('SELLING CREDIT'!F:F,C190,'SELLING CREDIT'!G:G)</f>
        <v>0</v>
      </c>
      <c r="Q190" s="65">
        <f t="shared" si="1"/>
        <v>-1</v>
      </c>
      <c r="V190" s="255"/>
      <c r="X190" s="9"/>
      <c r="Y190" s="9"/>
      <c r="Z190" s="9"/>
      <c r="AD190" s="101"/>
      <c r="AF190" s="9"/>
      <c r="AG190" s="9"/>
      <c r="AH190" s="9"/>
    </row>
    <row r="191" ht="22.5" customHeight="1">
      <c r="A191" s="49"/>
      <c r="C191" s="93" t="s">
        <v>282</v>
      </c>
      <c r="D191" s="93" t="s">
        <v>1182</v>
      </c>
      <c r="E191" s="93" t="s">
        <v>1413</v>
      </c>
      <c r="F191" s="93" t="s">
        <v>1387</v>
      </c>
      <c r="G191" s="93">
        <v>8.0</v>
      </c>
      <c r="H191" s="74">
        <v>880000.0</v>
      </c>
      <c r="I191" s="96">
        <v>779500.0</v>
      </c>
      <c r="J191" s="65" t="s">
        <v>87</v>
      </c>
      <c r="K191" s="65">
        <v>1.0</v>
      </c>
      <c r="L191" s="74">
        <v>0.0</v>
      </c>
      <c r="M191" s="93" t="s">
        <v>61</v>
      </c>
      <c r="N191" s="65">
        <f>sumif(PURCHASE!I:I,C191,PURCHASE!J:J)</f>
        <v>84</v>
      </c>
      <c r="O191" s="65">
        <f>sumif('SELLING CASH'!E:E,C191,'SELLING CASH'!F:F)</f>
        <v>78</v>
      </c>
      <c r="P191" s="65">
        <f>sumif('SELLING CREDIT'!F:F,C191,'SELLING CREDIT'!G:G)</f>
        <v>5</v>
      </c>
      <c r="Q191" s="65">
        <f t="shared" si="1"/>
        <v>9</v>
      </c>
      <c r="V191" s="255"/>
      <c r="X191" s="9"/>
      <c r="Y191" s="9"/>
      <c r="Z191" s="9"/>
      <c r="AD191" s="101"/>
      <c r="AF191" s="9"/>
      <c r="AG191" s="9"/>
      <c r="AH191" s="9"/>
    </row>
    <row r="192" ht="22.5" customHeight="1">
      <c r="A192" s="49"/>
      <c r="C192" s="93" t="s">
        <v>1541</v>
      </c>
      <c r="D192" s="93" t="s">
        <v>1182</v>
      </c>
      <c r="E192" s="93" t="s">
        <v>1543</v>
      </c>
      <c r="F192" s="93" t="s">
        <v>1387</v>
      </c>
      <c r="G192" s="93">
        <v>0.0</v>
      </c>
      <c r="H192" s="74">
        <f>I192+100000</f>
        <v>918000</v>
      </c>
      <c r="I192" s="96">
        <v>818000.0</v>
      </c>
      <c r="J192" s="65" t="s">
        <v>87</v>
      </c>
      <c r="K192" s="65">
        <v>1.0</v>
      </c>
      <c r="L192" s="74">
        <v>0.0</v>
      </c>
      <c r="M192" s="93" t="s">
        <v>61</v>
      </c>
      <c r="N192" s="65">
        <f>sumif(PURCHASE!I:I,C192,PURCHASE!J:J)</f>
        <v>0</v>
      </c>
      <c r="O192" s="65">
        <f>sumif('SELLING CASH'!E:E,C192,'SELLING CASH'!F:F)</f>
        <v>10</v>
      </c>
      <c r="P192" s="65">
        <f>sumif('SELLING CREDIT'!F:F,C192,'SELLING CREDIT'!G:G)</f>
        <v>0</v>
      </c>
      <c r="Q192" s="65">
        <f t="shared" si="1"/>
        <v>-10</v>
      </c>
      <c r="V192" s="255"/>
      <c r="X192" s="9"/>
      <c r="Y192" s="9"/>
      <c r="Z192" s="9"/>
      <c r="AD192" s="101"/>
      <c r="AF192" s="9"/>
      <c r="AG192" s="9"/>
      <c r="AH192" s="9"/>
    </row>
    <row r="193" ht="22.5" customHeight="1">
      <c r="A193" s="49"/>
      <c r="C193" s="93" t="s">
        <v>946</v>
      </c>
      <c r="D193" s="93" t="s">
        <v>1197</v>
      </c>
      <c r="E193" s="93" t="s">
        <v>1413</v>
      </c>
      <c r="F193" s="93" t="s">
        <v>1387</v>
      </c>
      <c r="G193" s="93">
        <v>0.0</v>
      </c>
      <c r="H193" s="74">
        <v>910000.0</v>
      </c>
      <c r="I193" s="96">
        <v>809000.0</v>
      </c>
      <c r="J193" s="65" t="s">
        <v>87</v>
      </c>
      <c r="K193" s="65">
        <v>1.0</v>
      </c>
      <c r="L193" s="74">
        <v>0.0</v>
      </c>
      <c r="M193" s="93" t="s">
        <v>61</v>
      </c>
      <c r="N193" s="65">
        <f>sumif(PURCHASE!I:I,C193,PURCHASE!J:J)</f>
        <v>34</v>
      </c>
      <c r="O193" s="65">
        <f>sumif('SELLING CASH'!E:E,C193,'SELLING CASH'!F:F)</f>
        <v>36</v>
      </c>
      <c r="P193" s="65">
        <f>sumif('SELLING CREDIT'!F:F,C193,'SELLING CREDIT'!G:G)</f>
        <v>0</v>
      </c>
      <c r="Q193" s="65">
        <f t="shared" si="1"/>
        <v>-2</v>
      </c>
      <c r="V193" s="255"/>
      <c r="X193" s="9"/>
      <c r="Y193" s="9"/>
      <c r="Z193" s="9"/>
      <c r="AD193" s="101"/>
      <c r="AF193" s="9"/>
      <c r="AG193" s="9"/>
      <c r="AH193" s="9"/>
    </row>
    <row r="194" ht="22.5" customHeight="1">
      <c r="A194" s="49"/>
      <c r="C194" s="93" t="s">
        <v>1548</v>
      </c>
      <c r="D194" s="93" t="s">
        <v>1203</v>
      </c>
      <c r="E194" s="93" t="s">
        <v>1549</v>
      </c>
      <c r="F194" s="93" t="s">
        <v>1387</v>
      </c>
      <c r="G194" s="93">
        <v>5.0</v>
      </c>
      <c r="H194" s="74">
        <v>880000.0</v>
      </c>
      <c r="I194" s="96">
        <v>778000.0</v>
      </c>
      <c r="J194" s="65" t="s">
        <v>87</v>
      </c>
      <c r="K194" s="65">
        <v>1.0</v>
      </c>
      <c r="L194" s="74">
        <v>0.0</v>
      </c>
      <c r="M194" s="93" t="s">
        <v>61</v>
      </c>
      <c r="N194" s="65">
        <f>sumif(PURCHASE!I:I,C194,PURCHASE!J:J)</f>
        <v>11</v>
      </c>
      <c r="O194" s="65">
        <f>sumif('SELLING CASH'!E:E,C194,'SELLING CASH'!F:F)</f>
        <v>13</v>
      </c>
      <c r="P194" s="65">
        <f>sumif('SELLING CREDIT'!F:F,C194,'SELLING CREDIT'!G:G)</f>
        <v>0</v>
      </c>
      <c r="Q194" s="65">
        <f t="shared" si="1"/>
        <v>3</v>
      </c>
      <c r="V194" s="255"/>
      <c r="X194" s="9"/>
      <c r="Y194" s="9"/>
      <c r="Z194" s="9"/>
      <c r="AD194" s="101"/>
      <c r="AF194" s="9"/>
      <c r="AG194" s="9"/>
      <c r="AH194" s="9"/>
    </row>
    <row r="195" ht="22.5" customHeight="1">
      <c r="A195" s="49"/>
      <c r="C195" s="93" t="s">
        <v>1377</v>
      </c>
      <c r="D195" s="93" t="s">
        <v>1207</v>
      </c>
      <c r="E195" s="93" t="s">
        <v>1475</v>
      </c>
      <c r="F195" s="93" t="s">
        <v>1387</v>
      </c>
      <c r="G195" s="93">
        <v>0.0</v>
      </c>
      <c r="H195" s="74">
        <v>950000.0</v>
      </c>
      <c r="I195" s="96">
        <v>844000.0</v>
      </c>
      <c r="J195" s="65" t="s">
        <v>87</v>
      </c>
      <c r="K195" s="65">
        <v>1.0</v>
      </c>
      <c r="L195" s="74">
        <v>0.0</v>
      </c>
      <c r="M195" s="93" t="s">
        <v>61</v>
      </c>
      <c r="N195" s="65">
        <f>sumif(PURCHASE!I:I,C195,PURCHASE!J:J)</f>
        <v>9</v>
      </c>
      <c r="O195" s="65">
        <f>sumif('SELLING CASH'!E:E,C195,'SELLING CASH'!F:F)</f>
        <v>10</v>
      </c>
      <c r="P195" s="65">
        <f>sumif('SELLING CREDIT'!F:F,C195,'SELLING CREDIT'!G:G)</f>
        <v>0</v>
      </c>
      <c r="Q195" s="65">
        <f t="shared" si="1"/>
        <v>-1</v>
      </c>
      <c r="V195" s="255"/>
      <c r="X195" s="9"/>
      <c r="Y195" s="9"/>
      <c r="Z195" s="9"/>
      <c r="AD195" s="101"/>
      <c r="AF195" s="9"/>
      <c r="AG195" s="9"/>
      <c r="AH195" s="9"/>
    </row>
    <row r="196" ht="22.5" customHeight="1">
      <c r="A196" s="49"/>
      <c r="C196" s="93" t="s">
        <v>1555</v>
      </c>
      <c r="D196" s="93" t="s">
        <v>1213</v>
      </c>
      <c r="E196" s="93" t="s">
        <v>1556</v>
      </c>
      <c r="F196" s="93" t="s">
        <v>1387</v>
      </c>
      <c r="G196" s="93">
        <v>0.0</v>
      </c>
      <c r="H196" s="74">
        <v>1025000.0</v>
      </c>
      <c r="I196" s="96">
        <v>921750.0</v>
      </c>
      <c r="J196" s="65" t="s">
        <v>87</v>
      </c>
      <c r="K196" s="65">
        <v>1.0</v>
      </c>
      <c r="L196" s="74">
        <v>0.0</v>
      </c>
      <c r="M196" s="93" t="s">
        <v>61</v>
      </c>
      <c r="N196" s="65">
        <f>sumif(PURCHASE!I:I,C196,PURCHASE!J:J)</f>
        <v>4</v>
      </c>
      <c r="O196" s="65">
        <f>sumif('SELLING CASH'!E:E,C196,'SELLING CASH'!F:F)</f>
        <v>3</v>
      </c>
      <c r="P196" s="65">
        <f>sumif('SELLING CREDIT'!F:F,C196,'SELLING CREDIT'!G:G)</f>
        <v>0</v>
      </c>
      <c r="Q196" s="65">
        <f t="shared" si="1"/>
        <v>1</v>
      </c>
      <c r="V196" s="255"/>
      <c r="X196" s="9"/>
      <c r="Y196" s="9"/>
      <c r="Z196" s="9"/>
      <c r="AD196" s="101"/>
      <c r="AF196" s="9"/>
      <c r="AG196" s="9"/>
      <c r="AH196" s="9"/>
    </row>
    <row r="197" ht="22.5" customHeight="1">
      <c r="A197" s="49"/>
      <c r="C197" s="93" t="s">
        <v>1560</v>
      </c>
      <c r="D197" s="93" t="s">
        <v>1213</v>
      </c>
      <c r="E197" s="93" t="s">
        <v>1562</v>
      </c>
      <c r="F197" s="93" t="s">
        <v>1387</v>
      </c>
      <c r="G197" s="93">
        <v>1.0</v>
      </c>
      <c r="H197" s="74">
        <f>I197+100000</f>
        <v>1235000</v>
      </c>
      <c r="I197" s="96">
        <v>1135000.0</v>
      </c>
      <c r="J197" s="65" t="s">
        <v>87</v>
      </c>
      <c r="K197" s="65">
        <v>0.0</v>
      </c>
      <c r="L197" s="74">
        <v>0.0</v>
      </c>
      <c r="M197" s="93" t="s">
        <v>61</v>
      </c>
      <c r="N197" s="65">
        <f>sumif(PURCHASE!I:I,C197,PURCHASE!J:J)</f>
        <v>0</v>
      </c>
      <c r="O197" s="65">
        <f>sumif('SELLING CASH'!E:E,C197,'SELLING CASH'!F:F)</f>
        <v>2</v>
      </c>
      <c r="P197" s="65">
        <f>sumif('SELLING CREDIT'!F:F,C197,'SELLING CREDIT'!G:G)</f>
        <v>0</v>
      </c>
      <c r="Q197" s="65">
        <f t="shared" si="1"/>
        <v>-1</v>
      </c>
      <c r="V197" s="255"/>
      <c r="X197" s="9"/>
      <c r="Y197" s="9"/>
      <c r="Z197" s="9"/>
      <c r="AD197" s="101"/>
      <c r="AF197" s="9"/>
      <c r="AG197" s="9"/>
      <c r="AH197" s="9"/>
    </row>
    <row r="198" ht="22.5" customHeight="1">
      <c r="A198" s="49"/>
      <c r="C198" s="93" t="s">
        <v>1565</v>
      </c>
      <c r="D198" s="93" t="s">
        <v>223</v>
      </c>
      <c r="E198" s="93" t="s">
        <v>1566</v>
      </c>
      <c r="F198" s="93" t="s">
        <v>1387</v>
      </c>
      <c r="G198" s="93">
        <v>0.0</v>
      </c>
      <c r="H198" s="74">
        <v>1400000.0</v>
      </c>
      <c r="I198" s="96">
        <v>1292000.0</v>
      </c>
      <c r="J198" s="65" t="s">
        <v>87</v>
      </c>
      <c r="K198" s="65">
        <v>1.0</v>
      </c>
      <c r="L198" s="74">
        <v>0.0</v>
      </c>
      <c r="M198" s="93" t="s">
        <v>61</v>
      </c>
      <c r="N198" s="65">
        <f>sumif(PURCHASE!I:I,C198,PURCHASE!J:J)</f>
        <v>12</v>
      </c>
      <c r="O198" s="65">
        <f>sumif('SELLING CASH'!E:E,C198,'SELLING CASH'!F:F)</f>
        <v>14</v>
      </c>
      <c r="P198" s="65">
        <f>sumif('SELLING CREDIT'!F:F,C198,'SELLING CREDIT'!G:G)</f>
        <v>2</v>
      </c>
      <c r="Q198" s="65">
        <f t="shared" si="1"/>
        <v>-4</v>
      </c>
      <c r="V198" s="255"/>
      <c r="X198" s="9"/>
      <c r="Y198" s="9"/>
      <c r="Z198" s="9"/>
      <c r="AD198" s="101"/>
      <c r="AF198" s="9"/>
      <c r="AG198" s="9"/>
      <c r="AH198" s="9"/>
    </row>
    <row r="199" ht="22.5" customHeight="1">
      <c r="A199" s="49"/>
      <c r="C199" s="93" t="s">
        <v>1389</v>
      </c>
      <c r="D199" s="93" t="s">
        <v>1234</v>
      </c>
      <c r="E199" s="93" t="s">
        <v>1413</v>
      </c>
      <c r="F199" s="93" t="s">
        <v>1387</v>
      </c>
      <c r="G199" s="93">
        <v>4.0</v>
      </c>
      <c r="H199" s="74">
        <v>1020000.0</v>
      </c>
      <c r="I199" s="96">
        <v>908000.0</v>
      </c>
      <c r="J199" s="65" t="s">
        <v>87</v>
      </c>
      <c r="K199" s="65">
        <v>1.0</v>
      </c>
      <c r="L199" s="74">
        <v>0.0</v>
      </c>
      <c r="M199" s="93" t="s">
        <v>61</v>
      </c>
      <c r="N199" s="65">
        <f>sumif(PURCHASE!I:I,C199,PURCHASE!J:J)</f>
        <v>44</v>
      </c>
      <c r="O199" s="65">
        <f>sumif('SELLING CASH'!E:E,C199,'SELLING CASH'!F:F)</f>
        <v>46</v>
      </c>
      <c r="P199" s="65">
        <f>sumif('SELLING CREDIT'!F:F,C199,'SELLING CREDIT'!G:G)</f>
        <v>0</v>
      </c>
      <c r="Q199" s="65">
        <f t="shared" si="1"/>
        <v>2</v>
      </c>
      <c r="V199" s="255"/>
      <c r="X199" s="9"/>
      <c r="Y199" s="9"/>
      <c r="Z199" s="9"/>
      <c r="AD199" s="101"/>
      <c r="AF199" s="9"/>
      <c r="AG199" s="9"/>
      <c r="AH199" s="9"/>
    </row>
    <row r="200" ht="22.5" customHeight="1">
      <c r="A200" s="49"/>
      <c r="C200" s="93" t="s">
        <v>687</v>
      </c>
      <c r="D200" s="93" t="s">
        <v>1575</v>
      </c>
      <c r="E200" s="93" t="s">
        <v>1576</v>
      </c>
      <c r="F200" s="93" t="s">
        <v>1387</v>
      </c>
      <c r="G200" s="93">
        <v>4.0</v>
      </c>
      <c r="H200" s="74">
        <v>1060000.0</v>
      </c>
      <c r="I200" s="96">
        <v>959000.0</v>
      </c>
      <c r="J200" s="65" t="s">
        <v>87</v>
      </c>
      <c r="K200" s="65">
        <v>1.0</v>
      </c>
      <c r="L200" s="74">
        <v>0.0</v>
      </c>
      <c r="M200" s="93" t="s">
        <v>61</v>
      </c>
      <c r="N200" s="65">
        <f>sumif(PURCHASE!I:I,C200,PURCHASE!J:J)</f>
        <v>33</v>
      </c>
      <c r="O200" s="65">
        <f>sumif('SELLING CASH'!E:E,C200,'SELLING CASH'!F:F)</f>
        <v>34</v>
      </c>
      <c r="P200" s="65">
        <f>sumif('SELLING CREDIT'!F:F,C200,'SELLING CREDIT'!G:G)</f>
        <v>0</v>
      </c>
      <c r="Q200" s="65">
        <f t="shared" si="1"/>
        <v>3</v>
      </c>
      <c r="V200" s="255"/>
      <c r="X200" s="9"/>
      <c r="Y200" s="9"/>
      <c r="Z200" s="9"/>
      <c r="AD200" s="101"/>
      <c r="AF200" s="9"/>
      <c r="AG200" s="9"/>
      <c r="AH200" s="9"/>
    </row>
    <row r="201" ht="22.5" customHeight="1">
      <c r="A201" s="49"/>
      <c r="C201" s="93" t="s">
        <v>1581</v>
      </c>
      <c r="D201" s="93" t="s">
        <v>1248</v>
      </c>
      <c r="E201" s="93" t="s">
        <v>1549</v>
      </c>
      <c r="F201" s="93" t="s">
        <v>1387</v>
      </c>
      <c r="G201" s="93">
        <v>0.0</v>
      </c>
      <c r="H201" s="74" t="s">
        <v>2</v>
      </c>
      <c r="I201" s="96">
        <v>841000.0</v>
      </c>
      <c r="J201" s="65" t="s">
        <v>87</v>
      </c>
      <c r="K201" s="65">
        <v>1.0</v>
      </c>
      <c r="L201" s="74">
        <v>0.0</v>
      </c>
      <c r="M201" s="93" t="s">
        <v>61</v>
      </c>
      <c r="N201" s="65">
        <f>sumif(PURCHASE!I:I,C201,PURCHASE!J:J)</f>
        <v>0</v>
      </c>
      <c r="O201" s="65">
        <f>sumif('SELLING CASH'!E:E,C201,'SELLING CASH'!F:F)</f>
        <v>0</v>
      </c>
      <c r="P201" s="65">
        <f>sumif('SELLING CREDIT'!F:F,C201,'SELLING CREDIT'!G:G)</f>
        <v>0</v>
      </c>
      <c r="Q201" s="65">
        <f t="shared" si="1"/>
        <v>0</v>
      </c>
      <c r="V201" s="255"/>
      <c r="X201" s="9"/>
      <c r="Y201" s="9"/>
      <c r="Z201" s="9"/>
      <c r="AD201" s="101"/>
      <c r="AF201" s="9"/>
      <c r="AG201" s="9"/>
      <c r="AH201" s="9"/>
    </row>
    <row r="202" ht="22.5" customHeight="1">
      <c r="A202" s="49"/>
      <c r="C202" s="93" t="s">
        <v>1584</v>
      </c>
      <c r="D202" s="93" t="s">
        <v>1585</v>
      </c>
      <c r="E202" s="93" t="s">
        <v>1566</v>
      </c>
      <c r="F202" s="93" t="s">
        <v>1445</v>
      </c>
      <c r="G202" s="93">
        <v>0.0</v>
      </c>
      <c r="H202" s="74">
        <f>I202+100000</f>
        <v>1446000</v>
      </c>
      <c r="I202" s="96">
        <v>1346000.0</v>
      </c>
      <c r="J202" s="65" t="s">
        <v>87</v>
      </c>
      <c r="K202" s="65">
        <v>1.0</v>
      </c>
      <c r="L202" s="74">
        <v>0.0</v>
      </c>
      <c r="M202" s="93" t="s">
        <v>61</v>
      </c>
      <c r="N202" s="65">
        <f>sumif(PURCHASE!I:I,C202,PURCHASE!J:J)</f>
        <v>2</v>
      </c>
      <c r="O202" s="65">
        <f>sumif('SELLING CASH'!E:E,C202,'SELLING CASH'!F:F)</f>
        <v>2</v>
      </c>
      <c r="P202" s="65">
        <f>sumif('SELLING CREDIT'!F:F,C202,'SELLING CREDIT'!G:G)</f>
        <v>0</v>
      </c>
      <c r="Q202" s="65">
        <f t="shared" si="1"/>
        <v>0</v>
      </c>
      <c r="V202" s="255"/>
      <c r="X202" s="9"/>
      <c r="Y202" s="9"/>
      <c r="Z202" s="9"/>
      <c r="AD202" s="101"/>
      <c r="AF202" s="9"/>
      <c r="AG202" s="9"/>
      <c r="AH202" s="9"/>
    </row>
    <row r="203" ht="22.5" customHeight="1">
      <c r="A203" s="49"/>
      <c r="C203" s="93" t="s">
        <v>1588</v>
      </c>
      <c r="D203" s="93" t="s">
        <v>1259</v>
      </c>
      <c r="E203" s="93" t="s">
        <v>1589</v>
      </c>
      <c r="F203" s="93" t="s">
        <v>1387</v>
      </c>
      <c r="G203" s="93">
        <v>6.0</v>
      </c>
      <c r="H203" s="74">
        <v>1050000.0</v>
      </c>
      <c r="I203" s="96">
        <v>930000.0</v>
      </c>
      <c r="J203" s="65" t="s">
        <v>87</v>
      </c>
      <c r="K203" s="65">
        <v>1.0</v>
      </c>
      <c r="L203" s="74">
        <v>0.0</v>
      </c>
      <c r="M203" s="93" t="s">
        <v>61</v>
      </c>
      <c r="N203" s="65">
        <f>sumif(PURCHASE!I:I,C203,PURCHASE!J:J)</f>
        <v>2</v>
      </c>
      <c r="O203" s="65">
        <f>sumif('SELLING CASH'!E:E,C203,'SELLING CASH'!F:F)</f>
        <v>11</v>
      </c>
      <c r="P203" s="65">
        <f>sumif('SELLING CREDIT'!F:F,C203,'SELLING CREDIT'!G:G)</f>
        <v>0</v>
      </c>
      <c r="Q203" s="65">
        <f t="shared" si="1"/>
        <v>-3</v>
      </c>
      <c r="V203" s="255"/>
      <c r="X203" s="9"/>
      <c r="Y203" s="9"/>
      <c r="Z203" s="9"/>
      <c r="AD203" s="101"/>
      <c r="AF203" s="9"/>
      <c r="AG203" s="9"/>
      <c r="AH203" s="9"/>
    </row>
    <row r="204" ht="22.5" customHeight="1">
      <c r="A204" s="49"/>
      <c r="C204" s="93" t="s">
        <v>1593</v>
      </c>
      <c r="D204" s="93" t="s">
        <v>1271</v>
      </c>
      <c r="E204" s="93" t="s">
        <v>1556</v>
      </c>
      <c r="F204" s="93" t="s">
        <v>1387</v>
      </c>
      <c r="G204" s="93">
        <v>0.0</v>
      </c>
      <c r="H204" s="74">
        <f>I204+100000</f>
        <v>1146000</v>
      </c>
      <c r="I204" s="96">
        <v>1046000.0</v>
      </c>
      <c r="J204" s="65" t="s">
        <v>87</v>
      </c>
      <c r="K204" s="65">
        <v>1.0</v>
      </c>
      <c r="L204" s="74">
        <v>0.0</v>
      </c>
      <c r="M204" s="93" t="s">
        <v>61</v>
      </c>
      <c r="N204" s="65">
        <f>sumif(PURCHASE!I:I,C204,PURCHASE!J:J)</f>
        <v>0</v>
      </c>
      <c r="O204" s="65">
        <f>sumif('SELLING CASH'!E:E,C204,'SELLING CASH'!F:F)</f>
        <v>0</v>
      </c>
      <c r="P204" s="65">
        <f>sumif('SELLING CREDIT'!F:F,C204,'SELLING CREDIT'!G:G)</f>
        <v>0</v>
      </c>
      <c r="Q204" s="65">
        <f t="shared" si="1"/>
        <v>0</v>
      </c>
      <c r="V204" s="255"/>
      <c r="X204" s="9"/>
      <c r="Y204" s="9"/>
      <c r="Z204" s="9"/>
      <c r="AD204" s="101"/>
      <c r="AF204" s="9"/>
      <c r="AG204" s="9"/>
      <c r="AH204" s="9"/>
    </row>
    <row r="205" ht="22.5" customHeight="1">
      <c r="A205" s="49"/>
      <c r="C205" s="93" t="s">
        <v>1301</v>
      </c>
      <c r="D205" s="93" t="s">
        <v>1279</v>
      </c>
      <c r="E205" s="93" t="s">
        <v>1576</v>
      </c>
      <c r="F205" s="93" t="s">
        <v>1387</v>
      </c>
      <c r="G205" s="93">
        <v>4.0</v>
      </c>
      <c r="H205" s="74">
        <v>1300000.0</v>
      </c>
      <c r="I205" s="96">
        <v>1194000.0</v>
      </c>
      <c r="J205" s="65" t="s">
        <v>87</v>
      </c>
      <c r="K205" s="65">
        <v>1.0</v>
      </c>
      <c r="L205" s="74">
        <v>0.0</v>
      </c>
      <c r="M205" s="93" t="s">
        <v>61</v>
      </c>
      <c r="N205" s="65">
        <f>sumif(PURCHASE!I:I,C205,PURCHASE!J:J)</f>
        <v>33</v>
      </c>
      <c r="O205" s="65">
        <f>sumif('SELLING CASH'!E:E,C205,'SELLING CASH'!F:F)</f>
        <v>42</v>
      </c>
      <c r="P205" s="65">
        <f>sumif('SELLING CREDIT'!F:F,C205,'SELLING CREDIT'!G:G)</f>
        <v>0</v>
      </c>
      <c r="Q205" s="65">
        <f t="shared" si="1"/>
        <v>-5</v>
      </c>
      <c r="V205" s="255"/>
      <c r="X205" s="9"/>
      <c r="Y205" s="9"/>
      <c r="Z205" s="9"/>
      <c r="AD205" s="101"/>
      <c r="AF205" s="9"/>
      <c r="AG205" s="9"/>
      <c r="AH205" s="9"/>
    </row>
    <row r="206" ht="22.5" customHeight="1">
      <c r="A206" s="49"/>
      <c r="C206" s="93" t="s">
        <v>1602</v>
      </c>
      <c r="D206" s="93" t="s">
        <v>1603</v>
      </c>
      <c r="E206" s="93" t="s">
        <v>1604</v>
      </c>
      <c r="F206" s="93" t="s">
        <v>1387</v>
      </c>
      <c r="G206" s="93">
        <v>0.0</v>
      </c>
      <c r="H206" s="74">
        <v>1875000.0</v>
      </c>
      <c r="I206" s="96">
        <v>1762000.0</v>
      </c>
      <c r="J206" s="65" t="s">
        <v>87</v>
      </c>
      <c r="K206" s="65">
        <v>1.0</v>
      </c>
      <c r="L206" s="74">
        <v>0.0</v>
      </c>
      <c r="M206" s="93" t="s">
        <v>61</v>
      </c>
      <c r="N206" s="65">
        <f>sumif(PURCHASE!I:I,C206,PURCHASE!J:J)</f>
        <v>7</v>
      </c>
      <c r="O206" s="65">
        <f>sumif('SELLING CASH'!E:E,C206,'SELLING CASH'!F:F)</f>
        <v>9</v>
      </c>
      <c r="P206" s="65">
        <f>sumif('SELLING CREDIT'!F:F,C206,'SELLING CREDIT'!G:G)</f>
        <v>0</v>
      </c>
      <c r="Q206" s="65">
        <f t="shared" si="1"/>
        <v>-2</v>
      </c>
      <c r="V206" s="255"/>
      <c r="X206" s="9"/>
      <c r="Y206" s="9"/>
      <c r="Z206" s="9"/>
      <c r="AD206" s="101"/>
      <c r="AF206" s="9"/>
      <c r="AG206" s="9"/>
      <c r="AH206" s="9"/>
    </row>
    <row r="207" ht="22.5" customHeight="1">
      <c r="A207" s="49"/>
      <c r="C207" s="93" t="s">
        <v>1606</v>
      </c>
      <c r="D207" s="93" t="s">
        <v>1307</v>
      </c>
      <c r="E207" s="93" t="s">
        <v>1609</v>
      </c>
      <c r="F207" s="93" t="s">
        <v>1387</v>
      </c>
      <c r="G207" s="93">
        <v>3.0</v>
      </c>
      <c r="H207" s="74">
        <f t="shared" ref="H207:H209" si="11">I207+100000</f>
        <v>1735000</v>
      </c>
      <c r="I207" s="96">
        <v>1635000.0</v>
      </c>
      <c r="J207" s="65" t="s">
        <v>87</v>
      </c>
      <c r="K207" s="65">
        <v>0.0</v>
      </c>
      <c r="L207" s="74">
        <v>0.0</v>
      </c>
      <c r="M207" s="93" t="s">
        <v>61</v>
      </c>
      <c r="N207" s="65">
        <f>sumif(PURCHASE!I:I,C207,PURCHASE!J:J)</f>
        <v>0</v>
      </c>
      <c r="O207" s="65">
        <f>sumif('SELLING CASH'!E:E,C207,'SELLING CASH'!F:F)</f>
        <v>2</v>
      </c>
      <c r="P207" s="65">
        <f>sumif('SELLING CREDIT'!F:F,C207,'SELLING CREDIT'!G:G)</f>
        <v>0</v>
      </c>
      <c r="Q207" s="65">
        <f t="shared" si="1"/>
        <v>1</v>
      </c>
      <c r="V207" s="255"/>
      <c r="X207" s="9"/>
      <c r="Y207" s="9"/>
      <c r="Z207" s="9"/>
      <c r="AD207" s="101"/>
      <c r="AF207" s="9"/>
      <c r="AG207" s="9"/>
      <c r="AH207" s="9"/>
    </row>
    <row r="208" ht="22.5" customHeight="1">
      <c r="A208" s="49"/>
      <c r="C208" s="93" t="s">
        <v>1002</v>
      </c>
      <c r="D208" s="93" t="s">
        <v>364</v>
      </c>
      <c r="E208" s="93" t="s">
        <v>1614</v>
      </c>
      <c r="F208" s="93" t="s">
        <v>1387</v>
      </c>
      <c r="G208" s="93">
        <v>0.0</v>
      </c>
      <c r="H208" s="74">
        <f t="shared" si="11"/>
        <v>1547000</v>
      </c>
      <c r="I208" s="96">
        <v>1447000.0</v>
      </c>
      <c r="J208" s="65" t="s">
        <v>87</v>
      </c>
      <c r="K208" s="65">
        <v>1.0</v>
      </c>
      <c r="L208" s="74">
        <v>0.0</v>
      </c>
      <c r="M208" s="93" t="s">
        <v>61</v>
      </c>
      <c r="N208" s="65">
        <f>sumif(PURCHASE!I:I,C208,PURCHASE!J:J)</f>
        <v>12</v>
      </c>
      <c r="O208" s="65">
        <f>sumif('SELLING CASH'!E:E,C208,'SELLING CASH'!F:F)</f>
        <v>3</v>
      </c>
      <c r="P208" s="65">
        <f>sumif('SELLING CREDIT'!F:F,C208,'SELLING CREDIT'!G:G)</f>
        <v>12</v>
      </c>
      <c r="Q208" s="65">
        <f t="shared" si="1"/>
        <v>-3</v>
      </c>
      <c r="V208" s="255"/>
      <c r="X208" s="9"/>
      <c r="Y208" s="9"/>
      <c r="Z208" s="9"/>
      <c r="AD208" s="101"/>
      <c r="AF208" s="9"/>
      <c r="AG208" s="9"/>
      <c r="AH208" s="9"/>
    </row>
    <row r="209" ht="22.5" customHeight="1">
      <c r="A209" s="49"/>
      <c r="C209" s="93" t="s">
        <v>1618</v>
      </c>
      <c r="D209" s="93" t="s">
        <v>848</v>
      </c>
      <c r="F209" s="93" t="s">
        <v>1387</v>
      </c>
      <c r="G209" s="93">
        <v>0.0</v>
      </c>
      <c r="H209" s="74">
        <f t="shared" si="11"/>
        <v>2380000</v>
      </c>
      <c r="I209" s="96">
        <v>2280000.0</v>
      </c>
      <c r="J209" s="65" t="s">
        <v>87</v>
      </c>
      <c r="K209" s="65">
        <v>1.0</v>
      </c>
      <c r="L209" s="74">
        <v>0.0</v>
      </c>
      <c r="M209" s="93" t="s">
        <v>61</v>
      </c>
      <c r="N209" s="65">
        <f>sumif(PURCHASE!I:I,C209,PURCHASE!J:J)</f>
        <v>0</v>
      </c>
      <c r="O209" s="65">
        <f>sumif('SELLING CASH'!E:E,C209,'SELLING CASH'!F:F)</f>
        <v>0</v>
      </c>
      <c r="P209" s="65">
        <f>sumif('SELLING CREDIT'!F:F,C209,'SELLING CREDIT'!G:G)</f>
        <v>0</v>
      </c>
      <c r="Q209" s="65">
        <f t="shared" si="1"/>
        <v>0</v>
      </c>
      <c r="V209" s="255"/>
      <c r="X209" s="9"/>
      <c r="Y209" s="9"/>
      <c r="Z209" s="9"/>
      <c r="AD209" s="101"/>
      <c r="AF209" s="9"/>
      <c r="AG209" s="9"/>
      <c r="AH209" s="9"/>
    </row>
    <row r="210" ht="22.5" customHeight="1">
      <c r="A210" s="49"/>
      <c r="C210" s="93" t="s">
        <v>1623</v>
      </c>
      <c r="D210" s="93" t="s">
        <v>0</v>
      </c>
      <c r="E210" s="93" t="s">
        <v>1625</v>
      </c>
      <c r="F210" s="93" t="s">
        <v>1626</v>
      </c>
      <c r="G210" s="93">
        <v>0.0</v>
      </c>
      <c r="H210" s="74">
        <v>0.0</v>
      </c>
      <c r="I210" s="96">
        <v>3220000.0</v>
      </c>
      <c r="J210" s="65" t="s">
        <v>7</v>
      </c>
      <c r="K210" s="65">
        <v>1.0</v>
      </c>
      <c r="L210" s="74">
        <v>0.0</v>
      </c>
      <c r="M210" s="93" t="s">
        <v>61</v>
      </c>
      <c r="N210" s="65">
        <f>sumif(PURCHASE!I:I,C210,PURCHASE!J:J)</f>
        <v>0</v>
      </c>
      <c r="O210" s="65">
        <f>sumif('SELLING CASH'!E:E,C210,'SELLING CASH'!F:F)</f>
        <v>0</v>
      </c>
      <c r="P210" s="65">
        <f>sumif('SELLING CREDIT'!F:F,C210,'SELLING CREDIT'!G:G)</f>
        <v>0</v>
      </c>
      <c r="Q210" s="65">
        <f t="shared" si="1"/>
        <v>0</v>
      </c>
      <c r="V210" s="255"/>
      <c r="X210" s="9"/>
      <c r="Y210" s="9"/>
      <c r="Z210" s="9"/>
      <c r="AD210" s="101"/>
      <c r="AF210" s="9"/>
      <c r="AG210" s="9"/>
      <c r="AH210" s="9"/>
    </row>
    <row r="211" ht="22.5" customHeight="1">
      <c r="A211" s="49"/>
      <c r="C211" s="93" t="s">
        <v>1630</v>
      </c>
      <c r="D211" s="93" t="s">
        <v>354</v>
      </c>
      <c r="E211" s="93" t="s">
        <v>1632</v>
      </c>
      <c r="F211" s="93" t="s">
        <v>1633</v>
      </c>
      <c r="G211" s="93">
        <v>0.0</v>
      </c>
      <c r="H211" s="74">
        <v>1710000.0</v>
      </c>
      <c r="I211" s="96">
        <v>1595500.0</v>
      </c>
      <c r="J211" s="65" t="s">
        <v>7</v>
      </c>
      <c r="K211" s="65">
        <v>1.0</v>
      </c>
      <c r="L211" s="74">
        <v>0.0</v>
      </c>
      <c r="M211" s="93" t="s">
        <v>61</v>
      </c>
      <c r="N211" s="65">
        <f>sumif(PURCHASE!I:I,C211,PURCHASE!J:J)</f>
        <v>0</v>
      </c>
      <c r="O211" s="65">
        <f>sumif('SELLING CASH'!E:E,C211,'SELLING CASH'!F:F)</f>
        <v>4</v>
      </c>
      <c r="P211" s="65">
        <f>sumif('SELLING CREDIT'!F:F,C211,'SELLING CREDIT'!G:G)</f>
        <v>0</v>
      </c>
      <c r="Q211" s="65">
        <f t="shared" si="1"/>
        <v>-4</v>
      </c>
      <c r="V211" s="255"/>
      <c r="X211" s="9"/>
      <c r="Y211" s="9"/>
      <c r="Z211" s="9"/>
      <c r="AD211" s="101"/>
      <c r="AF211" s="9"/>
      <c r="AG211" s="9"/>
      <c r="AH211" s="9"/>
    </row>
    <row r="212" ht="22.5" customHeight="1">
      <c r="A212" s="49"/>
      <c r="C212" s="93" t="s">
        <v>1636</v>
      </c>
      <c r="D212" s="93" t="s">
        <v>364</v>
      </c>
      <c r="E212" s="93" t="s">
        <v>1637</v>
      </c>
      <c r="F212" s="93" t="s">
        <v>1626</v>
      </c>
      <c r="G212" s="93">
        <v>0.0</v>
      </c>
      <c r="H212" s="74">
        <v>1800000.0</v>
      </c>
      <c r="I212" s="96">
        <v>1670000.0</v>
      </c>
      <c r="J212" s="65" t="s">
        <v>7</v>
      </c>
      <c r="K212" s="65">
        <v>1.0</v>
      </c>
      <c r="L212" s="74">
        <v>0.0</v>
      </c>
      <c r="M212" s="93" t="s">
        <v>61</v>
      </c>
      <c r="N212" s="65">
        <f>sumif(PURCHASE!I:I,C212,PURCHASE!J:J)</f>
        <v>0</v>
      </c>
      <c r="O212" s="65">
        <f>sumif('SELLING CASH'!E:E,C212,'SELLING CASH'!F:F)</f>
        <v>0</v>
      </c>
      <c r="P212" s="65">
        <f>sumif('SELLING CREDIT'!F:F,C212,'SELLING CREDIT'!G:G)</f>
        <v>0</v>
      </c>
      <c r="Q212" s="65">
        <f t="shared" si="1"/>
        <v>0</v>
      </c>
      <c r="V212" s="255"/>
      <c r="X212" s="9"/>
      <c r="Y212" s="9"/>
      <c r="Z212" s="9"/>
      <c r="AD212" s="101"/>
      <c r="AF212" s="9"/>
      <c r="AG212" s="9"/>
      <c r="AH212" s="9"/>
    </row>
    <row r="213" ht="22.5" customHeight="1">
      <c r="A213" s="49"/>
      <c r="C213" s="93" t="s">
        <v>1641</v>
      </c>
      <c r="D213" s="93" t="s">
        <v>364</v>
      </c>
      <c r="E213" s="93" t="s">
        <v>1642</v>
      </c>
      <c r="F213" s="93" t="s">
        <v>1626</v>
      </c>
      <c r="G213" s="93">
        <v>0.0</v>
      </c>
      <c r="H213" s="74">
        <v>1915000.0</v>
      </c>
      <c r="I213" s="96">
        <v>1765000.0</v>
      </c>
      <c r="J213" s="65" t="s">
        <v>7</v>
      </c>
      <c r="K213" s="65">
        <v>1.0</v>
      </c>
      <c r="L213" s="74">
        <v>0.0</v>
      </c>
      <c r="M213" s="93" t="s">
        <v>61</v>
      </c>
      <c r="N213" s="65">
        <f>sumif(PURCHASE!I:I,C213,PURCHASE!J:J)</f>
        <v>0</v>
      </c>
      <c r="O213" s="65">
        <f>sumif('SELLING CASH'!E:E,C213,'SELLING CASH'!F:F)</f>
        <v>0</v>
      </c>
      <c r="P213" s="65">
        <f>sumif('SELLING CREDIT'!F:F,C213,'SELLING CREDIT'!G:G)</f>
        <v>0</v>
      </c>
      <c r="Q213" s="65">
        <f t="shared" si="1"/>
        <v>0</v>
      </c>
      <c r="V213" s="255"/>
      <c r="X213" s="9"/>
      <c r="Y213" s="9"/>
      <c r="Z213" s="9"/>
      <c r="AD213" s="101"/>
      <c r="AF213" s="9"/>
      <c r="AG213" s="9"/>
      <c r="AH213" s="9"/>
    </row>
    <row r="214" ht="22.5" customHeight="1">
      <c r="A214" s="49"/>
      <c r="C214" s="93" t="s">
        <v>1520</v>
      </c>
      <c r="D214" s="93" t="s">
        <v>364</v>
      </c>
      <c r="E214" s="93" t="s">
        <v>1645</v>
      </c>
      <c r="F214" s="93" t="s">
        <v>1633</v>
      </c>
      <c r="G214" s="93">
        <v>4.0</v>
      </c>
      <c r="H214" s="74">
        <v>2050000.0</v>
      </c>
      <c r="I214" s="96">
        <v>1926858.75</v>
      </c>
      <c r="J214" s="65" t="s">
        <v>7</v>
      </c>
      <c r="K214" s="65">
        <v>1.0</v>
      </c>
      <c r="L214" s="74">
        <v>0.0</v>
      </c>
      <c r="M214" s="93" t="s">
        <v>61</v>
      </c>
      <c r="N214" s="65">
        <f>sumif(PURCHASE!I:I,C214,PURCHASE!J:J)</f>
        <v>22</v>
      </c>
      <c r="O214" s="65">
        <f>sumif('SELLING CASH'!E:E,C214,'SELLING CASH'!F:F)</f>
        <v>3</v>
      </c>
      <c r="P214" s="65">
        <f>sumif('SELLING CREDIT'!F:F,C214,'SELLING CREDIT'!G:G)</f>
        <v>19</v>
      </c>
      <c r="Q214" s="65">
        <f t="shared" si="1"/>
        <v>4</v>
      </c>
      <c r="V214" s="255"/>
      <c r="X214" s="9"/>
      <c r="Y214" s="9"/>
      <c r="Z214" s="9"/>
      <c r="AD214" s="101"/>
      <c r="AF214" s="9"/>
      <c r="AG214" s="9"/>
      <c r="AH214" s="9"/>
    </row>
    <row r="215" ht="22.5" customHeight="1">
      <c r="A215" s="49"/>
      <c r="C215" s="93" t="s">
        <v>1648</v>
      </c>
      <c r="D215" s="93" t="s">
        <v>364</v>
      </c>
      <c r="E215" s="93" t="s">
        <v>1650</v>
      </c>
      <c r="F215" s="93" t="s">
        <v>1626</v>
      </c>
      <c r="G215" s="93">
        <v>0.0</v>
      </c>
      <c r="H215" s="74">
        <v>2200000.0</v>
      </c>
      <c r="I215" s="96">
        <v>0.0</v>
      </c>
      <c r="J215" s="65" t="s">
        <v>7</v>
      </c>
      <c r="K215" s="65">
        <v>1.0</v>
      </c>
      <c r="L215" s="74">
        <v>0.0</v>
      </c>
      <c r="M215" s="93" t="s">
        <v>61</v>
      </c>
      <c r="N215" s="65">
        <f>sumif(PURCHASE!I:I,C215,PURCHASE!J:J)</f>
        <v>0</v>
      </c>
      <c r="O215" s="65">
        <f>sumif('SELLING CASH'!E:E,C215,'SELLING CASH'!F:F)</f>
        <v>0</v>
      </c>
      <c r="P215" s="65">
        <f>sumif('SELLING CREDIT'!F:F,C215,'SELLING CREDIT'!G:G)</f>
        <v>0</v>
      </c>
      <c r="Q215" s="65">
        <f t="shared" si="1"/>
        <v>0</v>
      </c>
      <c r="V215" s="255"/>
      <c r="X215" s="9"/>
      <c r="Y215" s="9"/>
      <c r="Z215" s="9"/>
      <c r="AD215" s="101"/>
      <c r="AF215" s="9"/>
      <c r="AG215" s="9"/>
      <c r="AH215" s="9"/>
    </row>
    <row r="216" ht="22.5" customHeight="1">
      <c r="A216" s="49"/>
      <c r="C216" s="93" t="s">
        <v>1654</v>
      </c>
      <c r="D216" s="93" t="s">
        <v>364</v>
      </c>
      <c r="E216" s="93" t="s">
        <v>1655</v>
      </c>
      <c r="F216" s="93" t="s">
        <v>1626</v>
      </c>
      <c r="G216" s="93">
        <v>0.0</v>
      </c>
      <c r="H216" s="74">
        <v>1775000.0</v>
      </c>
      <c r="I216" s="96">
        <v>1650000.0</v>
      </c>
      <c r="J216" s="65" t="s">
        <v>7</v>
      </c>
      <c r="K216" s="65">
        <v>1.0</v>
      </c>
      <c r="L216" s="74">
        <v>0.0</v>
      </c>
      <c r="M216" s="93" t="s">
        <v>61</v>
      </c>
      <c r="N216" s="65">
        <f>sumif(PURCHASE!I:I,C216,PURCHASE!J:J)</f>
        <v>0</v>
      </c>
      <c r="O216" s="65">
        <f>sumif('SELLING CASH'!E:E,C216,'SELLING CASH'!F:F)</f>
        <v>0</v>
      </c>
      <c r="P216" s="65">
        <f>sumif('SELLING CREDIT'!F:F,C216,'SELLING CREDIT'!G:G)</f>
        <v>0</v>
      </c>
      <c r="Q216" s="65">
        <f t="shared" si="1"/>
        <v>0</v>
      </c>
      <c r="V216" s="255"/>
      <c r="X216" s="9"/>
      <c r="Y216" s="9"/>
      <c r="Z216" s="9"/>
      <c r="AD216" s="101"/>
      <c r="AF216" s="9"/>
      <c r="AG216" s="9"/>
      <c r="AH216" s="9"/>
    </row>
    <row r="217" ht="22.5" customHeight="1">
      <c r="A217" s="49"/>
      <c r="C217" s="93" t="str">
        <f>F217&amp;" "&amp;D217&amp;" "&amp;E217</f>
        <v>Filter oli ORI KW  </v>
      </c>
      <c r="D217" s="93"/>
      <c r="E217" s="93"/>
      <c r="F217" s="93" t="s">
        <v>1661</v>
      </c>
      <c r="G217" s="93" t="s">
        <v>1662</v>
      </c>
      <c r="H217" s="74">
        <v>60000.0</v>
      </c>
      <c r="I217" s="96">
        <v>52000.0</v>
      </c>
      <c r="J217" s="93" t="s">
        <v>7</v>
      </c>
      <c r="K217" s="93">
        <v>0.0</v>
      </c>
      <c r="L217" s="74">
        <v>0.0</v>
      </c>
      <c r="M217" s="93" t="s">
        <v>431</v>
      </c>
      <c r="N217" s="65">
        <f>sumif(PURCHASE!I:I,C217,PURCHASE!J:J)</f>
        <v>5</v>
      </c>
      <c r="O217" s="65">
        <f>sumif('SELLING CASH'!E:E,C217,'SELLING CASH'!F:F)</f>
        <v>1</v>
      </c>
      <c r="P217" s="65">
        <f>sumif('SELLING CREDIT'!F:F,C217,'SELLING CREDIT'!G:G)</f>
        <v>0</v>
      </c>
      <c r="Q217" s="65" t="str">
        <f t="shared" si="1"/>
        <v>#VALUE!</v>
      </c>
      <c r="V217" s="255"/>
      <c r="X217" s="9"/>
      <c r="Y217" s="9"/>
      <c r="Z217" s="9"/>
      <c r="AD217" s="101"/>
      <c r="AF217" s="9"/>
      <c r="AG217" s="9"/>
      <c r="AH217" s="9"/>
    </row>
    <row r="218" ht="22.5" customHeight="1">
      <c r="A218" s="49"/>
      <c r="C218" s="93" t="s">
        <v>1665</v>
      </c>
      <c r="D218" s="93">
        <v>10.0</v>
      </c>
      <c r="E218" s="93" t="s">
        <v>493</v>
      </c>
      <c r="F218" s="93" t="s">
        <v>1666</v>
      </c>
      <c r="G218" s="93">
        <v>0.0</v>
      </c>
      <c r="H218" s="74">
        <v>85000.0</v>
      </c>
      <c r="I218" s="96">
        <v>47000.0</v>
      </c>
      <c r="J218" s="65" t="s">
        <v>7</v>
      </c>
      <c r="K218" s="65">
        <v>1.0</v>
      </c>
      <c r="L218" s="74">
        <v>0.0</v>
      </c>
      <c r="M218" s="93" t="s">
        <v>61</v>
      </c>
      <c r="N218" s="65">
        <f>sumif(PURCHASE!I:I,C218,PURCHASE!J:J)</f>
        <v>0</v>
      </c>
      <c r="O218" s="65">
        <f>sumif('SELLING CASH'!E:E,C218,'SELLING CASH'!F:F)</f>
        <v>0</v>
      </c>
      <c r="P218" s="65">
        <f>sumif('SELLING CREDIT'!F:F,C218,'SELLING CREDIT'!G:G)</f>
        <v>0</v>
      </c>
      <c r="Q218" s="65">
        <f t="shared" si="1"/>
        <v>0</v>
      </c>
      <c r="V218" s="255"/>
      <c r="X218" s="9"/>
      <c r="Y218" s="9"/>
      <c r="Z218" s="9"/>
      <c r="AD218" s="101"/>
      <c r="AF218" s="9"/>
      <c r="AG218" s="9"/>
      <c r="AH218" s="9"/>
    </row>
    <row r="219" ht="22.5" customHeight="1">
      <c r="A219" s="49"/>
      <c r="C219" s="93" t="s">
        <v>1669</v>
      </c>
      <c r="D219" s="93" t="s">
        <v>509</v>
      </c>
      <c r="E219" s="93" t="s">
        <v>488</v>
      </c>
      <c r="F219" s="93" t="s">
        <v>1666</v>
      </c>
      <c r="G219" s="93">
        <v>0.0</v>
      </c>
      <c r="H219" s="74">
        <v>300000.0</v>
      </c>
      <c r="I219" s="96">
        <v>253000.0</v>
      </c>
      <c r="J219" s="65" t="s">
        <v>87</v>
      </c>
      <c r="K219" s="65">
        <v>1.0</v>
      </c>
      <c r="L219" s="74">
        <v>0.0</v>
      </c>
      <c r="M219" s="93" t="s">
        <v>61</v>
      </c>
      <c r="N219" s="65">
        <f>sumif(PURCHASE!I:I,C219,PURCHASE!J:J)</f>
        <v>2</v>
      </c>
      <c r="O219" s="65">
        <f>sumif('SELLING CASH'!E:E,C219,'SELLING CASH'!F:F)</f>
        <v>2</v>
      </c>
      <c r="P219" s="65">
        <f>sumif('SELLING CREDIT'!F:F,C219,'SELLING CREDIT'!G:G)</f>
        <v>0</v>
      </c>
      <c r="Q219" s="65">
        <f t="shared" si="1"/>
        <v>0</v>
      </c>
      <c r="V219" s="255"/>
      <c r="X219" s="9"/>
      <c r="Y219" s="9"/>
      <c r="Z219" s="9"/>
      <c r="AD219" s="101"/>
      <c r="AF219" s="9"/>
      <c r="AG219" s="9"/>
      <c r="AH219" s="9"/>
    </row>
    <row r="220" ht="22.5" customHeight="1">
      <c r="A220" s="49"/>
      <c r="C220" s="93" t="s">
        <v>1673</v>
      </c>
      <c r="D220" s="93" t="s">
        <v>509</v>
      </c>
      <c r="E220" s="93" t="s">
        <v>493</v>
      </c>
      <c r="F220" s="93" t="s">
        <v>1666</v>
      </c>
      <c r="G220" s="93">
        <v>0.0</v>
      </c>
      <c r="H220" s="74">
        <v>150000.0</v>
      </c>
      <c r="I220" s="96">
        <v>100500.0</v>
      </c>
      <c r="J220" s="65" t="s">
        <v>7</v>
      </c>
      <c r="K220" s="65">
        <v>1.0</v>
      </c>
      <c r="L220" s="74">
        <v>0.0</v>
      </c>
      <c r="M220" s="93" t="s">
        <v>61</v>
      </c>
      <c r="N220" s="65">
        <f>sumif(PURCHASE!I:I,C220,PURCHASE!J:J)</f>
        <v>2</v>
      </c>
      <c r="O220" s="65">
        <f>sumif('SELLING CASH'!E:E,C220,'SELLING CASH'!F:F)</f>
        <v>0</v>
      </c>
      <c r="P220" s="65">
        <f>sumif('SELLING CREDIT'!F:F,C220,'SELLING CREDIT'!G:G)</f>
        <v>4</v>
      </c>
      <c r="Q220" s="65">
        <f t="shared" si="1"/>
        <v>-2</v>
      </c>
      <c r="V220" s="255"/>
      <c r="X220" s="9"/>
      <c r="Y220" s="9"/>
      <c r="Z220" s="9"/>
      <c r="AD220" s="101"/>
      <c r="AF220" s="9"/>
      <c r="AG220" s="9"/>
      <c r="AH220" s="9"/>
    </row>
    <row r="221" ht="22.5" customHeight="1">
      <c r="A221" s="49"/>
      <c r="C221" s="74" t="s">
        <v>1677</v>
      </c>
      <c r="D221" s="93">
        <v>12.0</v>
      </c>
      <c r="E221" s="93" t="s">
        <v>789</v>
      </c>
      <c r="F221" s="93" t="s">
        <v>1666</v>
      </c>
      <c r="G221" s="93">
        <v>0.0</v>
      </c>
      <c r="H221" s="74">
        <v>100000.0</v>
      </c>
      <c r="I221" s="96">
        <v>76000.0</v>
      </c>
      <c r="J221" s="65" t="s">
        <v>7</v>
      </c>
      <c r="K221" s="65">
        <v>1.0</v>
      </c>
      <c r="L221" s="74">
        <v>0.0</v>
      </c>
      <c r="M221" s="93" t="s">
        <v>61</v>
      </c>
      <c r="N221" s="65">
        <f>sumif(PURCHASE!I:I,C221,PURCHASE!J:J)</f>
        <v>3</v>
      </c>
      <c r="O221" s="65">
        <f>sumif('SELLING CASH'!E:E,C221,'SELLING CASH'!F:F)</f>
        <v>3</v>
      </c>
      <c r="P221" s="65">
        <f>sumif('SELLING CREDIT'!F:F,C221,'SELLING CREDIT'!G:G)</f>
        <v>0</v>
      </c>
      <c r="Q221" s="65">
        <f t="shared" si="1"/>
        <v>0</v>
      </c>
      <c r="V221" s="255"/>
      <c r="X221" s="9"/>
      <c r="Y221" s="9"/>
      <c r="Z221" s="9"/>
      <c r="AD221" s="101"/>
      <c r="AF221" s="9"/>
      <c r="AG221" s="9"/>
      <c r="AH221" s="9"/>
    </row>
    <row r="222" ht="22.5" customHeight="1">
      <c r="A222" s="49"/>
      <c r="C222" s="93" t="s">
        <v>1680</v>
      </c>
      <c r="D222" s="93">
        <v>15.0</v>
      </c>
      <c r="E222" s="93" t="s">
        <v>488</v>
      </c>
      <c r="F222" s="93" t="s">
        <v>1666</v>
      </c>
      <c r="G222" s="93">
        <v>0.0</v>
      </c>
      <c r="H222" s="74">
        <v>140000.0</v>
      </c>
      <c r="I222" s="96">
        <v>110000.0</v>
      </c>
      <c r="J222" s="65" t="s">
        <v>87</v>
      </c>
      <c r="K222" s="65">
        <v>1.0</v>
      </c>
      <c r="L222" s="74">
        <v>0.0</v>
      </c>
      <c r="M222" s="93" t="s">
        <v>61</v>
      </c>
      <c r="N222" s="65">
        <f>sumif(PURCHASE!I:I,C222,PURCHASE!J:J)</f>
        <v>0</v>
      </c>
      <c r="O222" s="65">
        <f>sumif('SELLING CASH'!E:E,C222,'SELLING CASH'!F:F)</f>
        <v>0</v>
      </c>
      <c r="P222" s="65">
        <f>sumif('SELLING CREDIT'!F:F,C222,'SELLING CREDIT'!G:G)</f>
        <v>0</v>
      </c>
      <c r="Q222" s="65">
        <f t="shared" si="1"/>
        <v>0</v>
      </c>
      <c r="V222" s="255"/>
      <c r="X222" s="9"/>
      <c r="Y222" s="9"/>
      <c r="Z222" s="9"/>
      <c r="AD222" s="101"/>
      <c r="AF222" s="9"/>
      <c r="AG222" s="9"/>
      <c r="AH222" s="9"/>
    </row>
    <row r="223" ht="22.5" customHeight="1">
      <c r="A223" s="49"/>
      <c r="C223" s="93" t="s">
        <v>1680</v>
      </c>
      <c r="D223" s="93">
        <v>15.0</v>
      </c>
      <c r="E223" s="93" t="s">
        <v>488</v>
      </c>
      <c r="F223" s="93" t="s">
        <v>1666</v>
      </c>
      <c r="G223" s="93">
        <v>0.0</v>
      </c>
      <c r="H223" s="74">
        <v>140000.0</v>
      </c>
      <c r="I223" s="96">
        <v>110000.0</v>
      </c>
      <c r="J223" s="65" t="s">
        <v>87</v>
      </c>
      <c r="K223" s="65">
        <v>1.0</v>
      </c>
      <c r="L223" s="74">
        <v>0.0</v>
      </c>
      <c r="M223" s="93" t="s">
        <v>61</v>
      </c>
      <c r="N223" s="65">
        <f>sumif(PURCHASE!I:I,C223,PURCHASE!J:J)</f>
        <v>0</v>
      </c>
      <c r="O223" s="65">
        <f>sumif('SELLING CASH'!E:E,C223,'SELLING CASH'!F:F)</f>
        <v>0</v>
      </c>
      <c r="P223" s="65">
        <f>sumif('SELLING CREDIT'!F:F,C223,'SELLING CREDIT'!G:G)</f>
        <v>0</v>
      </c>
      <c r="Q223" s="65">
        <f t="shared" si="1"/>
        <v>0</v>
      </c>
      <c r="V223" s="255"/>
      <c r="X223" s="9"/>
      <c r="Y223" s="9"/>
      <c r="Z223" s="9"/>
      <c r="AD223" s="101"/>
      <c r="AF223" s="9"/>
      <c r="AG223" s="9"/>
      <c r="AH223" s="9"/>
    </row>
    <row r="224" ht="22.5" customHeight="1">
      <c r="A224" s="49"/>
      <c r="C224" s="93" t="s">
        <v>1686</v>
      </c>
      <c r="D224" s="93">
        <v>15.0</v>
      </c>
      <c r="E224" s="93" t="s">
        <v>1688</v>
      </c>
      <c r="F224" s="93" t="s">
        <v>1666</v>
      </c>
      <c r="G224" s="93">
        <v>0.0</v>
      </c>
      <c r="H224" s="74">
        <v>85000.0</v>
      </c>
      <c r="I224" s="96">
        <v>50000.0</v>
      </c>
      <c r="J224" s="65" t="s">
        <v>7</v>
      </c>
      <c r="K224" s="65">
        <v>1.0</v>
      </c>
      <c r="L224" s="74">
        <v>0.0</v>
      </c>
      <c r="M224" s="93" t="s">
        <v>61</v>
      </c>
      <c r="N224" s="65">
        <f>sumif(PURCHASE!I:I,C224,PURCHASE!J:J)</f>
        <v>0</v>
      </c>
      <c r="O224" s="65">
        <f>sumif('SELLING CASH'!E:E,C224,'SELLING CASH'!F:F)</f>
        <v>1</v>
      </c>
      <c r="P224" s="65">
        <f>sumif('SELLING CREDIT'!F:F,C224,'SELLING CREDIT'!G:G)</f>
        <v>0</v>
      </c>
      <c r="Q224" s="65">
        <f t="shared" si="1"/>
        <v>-1</v>
      </c>
      <c r="V224" s="255"/>
      <c r="X224" s="9"/>
      <c r="Y224" s="9"/>
      <c r="Z224" s="9"/>
      <c r="AD224" s="101"/>
      <c r="AF224" s="9"/>
      <c r="AG224" s="9"/>
      <c r="AH224" s="9"/>
    </row>
    <row r="225" ht="22.5" customHeight="1">
      <c r="A225" s="49"/>
      <c r="C225" s="93" t="s">
        <v>814</v>
      </c>
      <c r="D225" s="93">
        <v>15.0</v>
      </c>
      <c r="E225" s="93" t="s">
        <v>493</v>
      </c>
      <c r="F225" s="93" t="s">
        <v>1666</v>
      </c>
      <c r="G225" s="93">
        <v>46.0</v>
      </c>
      <c r="H225" s="74">
        <v>70000.0</v>
      </c>
      <c r="I225" s="96">
        <v>39440.0</v>
      </c>
      <c r="J225" s="65" t="s">
        <v>7</v>
      </c>
      <c r="K225" s="65">
        <v>1.0</v>
      </c>
      <c r="L225" s="74">
        <v>0.0</v>
      </c>
      <c r="M225" s="93" t="s">
        <v>61</v>
      </c>
      <c r="N225" s="65">
        <f>sumif(PURCHASE!I:I,C225,PURCHASE!J:J)</f>
        <v>150</v>
      </c>
      <c r="O225" s="65">
        <f>sumif('SELLING CASH'!E:E,C225,'SELLING CASH'!F:F)</f>
        <v>88</v>
      </c>
      <c r="P225" s="65">
        <f>sumif('SELLING CREDIT'!F:F,C225,'SELLING CREDIT'!G:G)</f>
        <v>67</v>
      </c>
      <c r="Q225" s="65">
        <f t="shared" si="1"/>
        <v>41</v>
      </c>
      <c r="V225" s="255"/>
      <c r="X225" s="9"/>
      <c r="Y225" s="9"/>
      <c r="Z225" s="9"/>
      <c r="AD225" s="101"/>
      <c r="AF225" s="9"/>
      <c r="AG225" s="9"/>
      <c r="AH225" s="9"/>
    </row>
    <row r="226" ht="22.5" customHeight="1">
      <c r="A226" s="49"/>
      <c r="C226" s="93" t="s">
        <v>1695</v>
      </c>
      <c r="D226" s="93">
        <v>15.0</v>
      </c>
      <c r="E226" s="93" t="s">
        <v>1697</v>
      </c>
      <c r="F226" s="93" t="s">
        <v>1666</v>
      </c>
      <c r="G226" s="93">
        <v>6.0</v>
      </c>
      <c r="H226" s="74">
        <v>80000.0</v>
      </c>
      <c r="I226" s="96">
        <v>34000.0</v>
      </c>
      <c r="J226" s="65" t="s">
        <v>7</v>
      </c>
      <c r="K226" s="65">
        <v>1.0</v>
      </c>
      <c r="L226" s="74">
        <v>0.0</v>
      </c>
      <c r="M226" s="93" t="s">
        <v>61</v>
      </c>
      <c r="N226" s="65">
        <f>sumif(PURCHASE!I:I,C226,PURCHASE!J:J)</f>
        <v>0</v>
      </c>
      <c r="O226" s="65">
        <f>sumif('SELLING CASH'!E:E,C226,'SELLING CASH'!F:F)</f>
        <v>3</v>
      </c>
      <c r="P226" s="65">
        <f>sumif('SELLING CREDIT'!F:F,C226,'SELLING CREDIT'!G:G)</f>
        <v>4</v>
      </c>
      <c r="Q226" s="65">
        <f t="shared" si="1"/>
        <v>-1</v>
      </c>
      <c r="V226" s="255"/>
      <c r="X226" s="9"/>
      <c r="Y226" s="9"/>
      <c r="Z226" s="9"/>
      <c r="AD226" s="101"/>
      <c r="AF226" s="9"/>
      <c r="AG226" s="9"/>
      <c r="AH226" s="9"/>
    </row>
    <row r="227" ht="22.5" customHeight="1">
      <c r="A227" s="49"/>
      <c r="C227" s="93" t="s">
        <v>1701</v>
      </c>
      <c r="D227" s="93">
        <v>15.0</v>
      </c>
      <c r="E227" s="93" t="s">
        <v>1702</v>
      </c>
      <c r="F227" s="93" t="s">
        <v>1666</v>
      </c>
      <c r="G227" s="93">
        <v>0.0</v>
      </c>
      <c r="H227" s="74">
        <v>85000.0</v>
      </c>
      <c r="I227" s="96">
        <v>55000.0</v>
      </c>
      <c r="J227" s="65" t="s">
        <v>7</v>
      </c>
      <c r="K227" s="65">
        <v>1.0</v>
      </c>
      <c r="L227" s="74">
        <v>0.0</v>
      </c>
      <c r="M227" s="93" t="s">
        <v>61</v>
      </c>
      <c r="N227" s="65">
        <f>sumif(PURCHASE!I:I,C227,PURCHASE!J:J)</f>
        <v>0</v>
      </c>
      <c r="O227" s="65">
        <f>sumif('SELLING CASH'!E:E,C227,'SELLING CASH'!F:F)</f>
        <v>0</v>
      </c>
      <c r="P227" s="65">
        <f>sumif('SELLING CREDIT'!F:F,C227,'SELLING CREDIT'!G:G)</f>
        <v>0</v>
      </c>
      <c r="Q227" s="65">
        <f t="shared" si="1"/>
        <v>0</v>
      </c>
      <c r="V227" s="255"/>
      <c r="X227" s="9"/>
      <c r="Y227" s="9"/>
      <c r="Z227" s="9"/>
      <c r="AD227" s="101"/>
      <c r="AF227" s="9"/>
      <c r="AG227" s="9"/>
      <c r="AH227" s="9"/>
    </row>
    <row r="228" ht="22.5" customHeight="1">
      <c r="A228" s="49"/>
      <c r="C228" s="93" t="s">
        <v>284</v>
      </c>
      <c r="D228" s="93">
        <v>15.0</v>
      </c>
      <c r="E228" s="93" t="s">
        <v>587</v>
      </c>
      <c r="F228" s="93" t="s">
        <v>1666</v>
      </c>
      <c r="G228" s="93">
        <v>40.0</v>
      </c>
      <c r="H228" s="74">
        <v>65000.0</v>
      </c>
      <c r="I228" s="96">
        <v>36630.0</v>
      </c>
      <c r="J228" s="65" t="s">
        <v>7</v>
      </c>
      <c r="K228" s="65">
        <v>1.0</v>
      </c>
      <c r="L228" s="74">
        <v>0.0</v>
      </c>
      <c r="M228" s="93" t="s">
        <v>61</v>
      </c>
      <c r="N228" s="65">
        <f>sumif(PURCHASE!I:I,C228,PURCHASE!J:J)</f>
        <v>0</v>
      </c>
      <c r="O228" s="65">
        <f>sumif('SELLING CASH'!E:E,C228,'SELLING CASH'!F:F)</f>
        <v>44</v>
      </c>
      <c r="P228" s="65">
        <f>sumif('SELLING CREDIT'!F:F,C228,'SELLING CREDIT'!G:G)</f>
        <v>18</v>
      </c>
      <c r="Q228" s="65">
        <f t="shared" si="1"/>
        <v>-22</v>
      </c>
      <c r="V228" s="255"/>
      <c r="X228" s="9"/>
      <c r="Y228" s="9"/>
      <c r="Z228" s="9"/>
      <c r="AD228" s="101"/>
      <c r="AF228" s="9"/>
      <c r="AG228" s="9"/>
      <c r="AH228" s="9"/>
    </row>
    <row r="229" ht="22.5" customHeight="1">
      <c r="A229" s="49"/>
      <c r="C229" s="93" t="s">
        <v>1709</v>
      </c>
      <c r="D229" s="93">
        <v>16.0</v>
      </c>
      <c r="E229" s="93" t="s">
        <v>429</v>
      </c>
      <c r="F229" s="93" t="s">
        <v>1666</v>
      </c>
      <c r="G229" s="93">
        <v>0.0</v>
      </c>
      <c r="H229" s="74">
        <v>80000.0</v>
      </c>
      <c r="I229" s="96">
        <v>45000.0</v>
      </c>
      <c r="J229" s="65" t="s">
        <v>7</v>
      </c>
      <c r="K229" s="65">
        <v>1.0</v>
      </c>
      <c r="L229" s="74">
        <v>0.0</v>
      </c>
      <c r="M229" s="93" t="s">
        <v>61</v>
      </c>
      <c r="N229" s="65">
        <f>sumif(PURCHASE!I:I,C229,PURCHASE!J:J)</f>
        <v>0</v>
      </c>
      <c r="O229" s="65">
        <f>sumif('SELLING CASH'!E:E,C229,'SELLING CASH'!F:F)</f>
        <v>3</v>
      </c>
      <c r="P229" s="65">
        <f>sumif('SELLING CREDIT'!F:F,C229,'SELLING CREDIT'!G:G)</f>
        <v>0</v>
      </c>
      <c r="Q229" s="65">
        <f t="shared" si="1"/>
        <v>-3</v>
      </c>
      <c r="V229" s="255"/>
      <c r="X229" s="9"/>
      <c r="Y229" s="9"/>
      <c r="Z229" s="9"/>
      <c r="AD229" s="101"/>
      <c r="AF229" s="9"/>
      <c r="AG229" s="9"/>
      <c r="AH229" s="9"/>
    </row>
    <row r="230" ht="22.5" customHeight="1">
      <c r="A230" s="49"/>
      <c r="C230" s="93" t="s">
        <v>1714</v>
      </c>
      <c r="D230" s="93">
        <v>16.0</v>
      </c>
      <c r="E230" s="93" t="s">
        <v>488</v>
      </c>
      <c r="F230" s="93" t="s">
        <v>1666</v>
      </c>
      <c r="G230" s="93">
        <v>1.0</v>
      </c>
      <c r="H230" s="74">
        <v>170000.0</v>
      </c>
      <c r="I230" s="96">
        <v>140000.0</v>
      </c>
      <c r="J230" s="65" t="s">
        <v>87</v>
      </c>
      <c r="K230" s="65">
        <v>1.0</v>
      </c>
      <c r="L230" s="74">
        <v>0.0</v>
      </c>
      <c r="M230" s="93" t="s">
        <v>61</v>
      </c>
      <c r="N230" s="65">
        <f>sumif(PURCHASE!I:I,C230,PURCHASE!J:J)</f>
        <v>0</v>
      </c>
      <c r="O230" s="65">
        <f>sumif('SELLING CASH'!E:E,C230,'SELLING CASH'!F:F)</f>
        <v>6</v>
      </c>
      <c r="P230" s="65">
        <f>sumif('SELLING CREDIT'!F:F,C230,'SELLING CREDIT'!G:G)</f>
        <v>1</v>
      </c>
      <c r="Q230" s="65">
        <f t="shared" si="1"/>
        <v>-6</v>
      </c>
      <c r="V230" s="255"/>
      <c r="X230" s="9"/>
      <c r="Y230" s="9"/>
      <c r="Z230" s="9"/>
      <c r="AD230" s="101"/>
      <c r="AF230" s="9"/>
      <c r="AG230" s="9"/>
      <c r="AH230" s="9"/>
    </row>
    <row r="231" ht="22.5" customHeight="1">
      <c r="A231" s="49"/>
      <c r="C231" s="93" t="s">
        <v>1717</v>
      </c>
      <c r="D231" s="93">
        <v>16.0</v>
      </c>
      <c r="E231" s="93" t="s">
        <v>1688</v>
      </c>
      <c r="F231" s="93" t="s">
        <v>1666</v>
      </c>
      <c r="G231" s="93">
        <v>0.0</v>
      </c>
      <c r="H231" s="74">
        <v>80000.0</v>
      </c>
      <c r="I231" s="96">
        <v>45000.0</v>
      </c>
      <c r="J231" s="65" t="s">
        <v>7</v>
      </c>
      <c r="K231" s="65">
        <v>1.0</v>
      </c>
      <c r="L231" s="74">
        <v>0.0</v>
      </c>
      <c r="M231" s="93" t="s">
        <v>61</v>
      </c>
      <c r="N231" s="65">
        <f>sumif(PURCHASE!I:I,C231,PURCHASE!J:J)</f>
        <v>0</v>
      </c>
      <c r="O231" s="65">
        <f>sumif('SELLING CASH'!E:E,C231,'SELLING CASH'!F:F)</f>
        <v>0</v>
      </c>
      <c r="P231" s="65">
        <f>sumif('SELLING CREDIT'!F:F,C231,'SELLING CREDIT'!G:G)</f>
        <v>0</v>
      </c>
      <c r="Q231" s="65">
        <f t="shared" si="1"/>
        <v>0</v>
      </c>
      <c r="V231" s="255"/>
      <c r="X231" s="9"/>
      <c r="Y231" s="9"/>
      <c r="Z231" s="9"/>
      <c r="AD231" s="101"/>
      <c r="AF231" s="9"/>
      <c r="AG231" s="9"/>
      <c r="AH231" s="9"/>
    </row>
    <row r="232" ht="22.5" customHeight="1">
      <c r="A232" s="49"/>
      <c r="C232" s="93" t="s">
        <v>1723</v>
      </c>
      <c r="D232" s="93">
        <v>16.0</v>
      </c>
      <c r="E232" s="93" t="s">
        <v>1724</v>
      </c>
      <c r="F232" s="93" t="s">
        <v>1666</v>
      </c>
      <c r="G232" s="93">
        <v>0.0</v>
      </c>
      <c r="H232" s="74">
        <v>100000.0</v>
      </c>
      <c r="I232" s="96">
        <v>30000.0</v>
      </c>
      <c r="J232" s="65" t="s">
        <v>7</v>
      </c>
      <c r="K232" s="65">
        <v>1.0</v>
      </c>
      <c r="L232" s="74">
        <v>0.0</v>
      </c>
      <c r="M232" s="93" t="s">
        <v>61</v>
      </c>
      <c r="N232" s="65">
        <f>sumif(PURCHASE!I:I,C232,PURCHASE!J:J)</f>
        <v>0</v>
      </c>
      <c r="O232" s="65">
        <f>sumif('SELLING CASH'!E:E,C232,'SELLING CASH'!F:F)</f>
        <v>0</v>
      </c>
      <c r="P232" s="65">
        <f>sumif('SELLING CREDIT'!F:F,C232,'SELLING CREDIT'!G:G)</f>
        <v>0</v>
      </c>
      <c r="Q232" s="65">
        <f t="shared" si="1"/>
        <v>0</v>
      </c>
      <c r="V232" s="255"/>
      <c r="X232" s="9"/>
      <c r="Y232" s="9"/>
      <c r="Z232" s="9"/>
      <c r="AD232" s="101"/>
      <c r="AF232" s="9"/>
      <c r="AG232" s="9"/>
      <c r="AH232" s="9"/>
    </row>
    <row r="233" ht="22.5" customHeight="1">
      <c r="A233" s="49"/>
      <c r="C233" s="93" t="s">
        <v>821</v>
      </c>
      <c r="D233" s="93">
        <v>16.0</v>
      </c>
      <c r="E233" s="93" t="s">
        <v>493</v>
      </c>
      <c r="F233" s="93" t="s">
        <v>1666</v>
      </c>
      <c r="G233" s="93">
        <v>81.0</v>
      </c>
      <c r="H233" s="74">
        <v>90000.0</v>
      </c>
      <c r="I233" s="96">
        <v>43500.0</v>
      </c>
      <c r="J233" s="65" t="s">
        <v>7</v>
      </c>
      <c r="K233" s="65">
        <v>1.0</v>
      </c>
      <c r="L233" s="74">
        <v>0.0</v>
      </c>
      <c r="M233" s="93" t="s">
        <v>61</v>
      </c>
      <c r="N233" s="65">
        <f>sumif(PURCHASE!I:I,C233,PURCHASE!J:J)</f>
        <v>285</v>
      </c>
      <c r="O233" s="65">
        <f>sumif('SELLING CASH'!E:E,C233,'SELLING CASH'!F:F)</f>
        <v>180</v>
      </c>
      <c r="P233" s="65">
        <f>sumif('SELLING CREDIT'!F:F,C233,'SELLING CREDIT'!G:G)</f>
        <v>97</v>
      </c>
      <c r="Q233" s="65">
        <f t="shared" si="1"/>
        <v>89</v>
      </c>
      <c r="V233" s="255"/>
      <c r="X233" s="9"/>
      <c r="Y233" s="9"/>
      <c r="Z233" s="9"/>
      <c r="AD233" s="101"/>
      <c r="AF233" s="9"/>
      <c r="AG233" s="9"/>
      <c r="AH233" s="9"/>
    </row>
    <row r="234" ht="22.5" customHeight="1">
      <c r="A234" s="49"/>
      <c r="C234" s="93" t="s">
        <v>1733</v>
      </c>
      <c r="D234" s="93">
        <v>16.0</v>
      </c>
      <c r="E234" s="93" t="s">
        <v>1697</v>
      </c>
      <c r="F234" s="93" t="s">
        <v>1666</v>
      </c>
      <c r="G234" s="93">
        <v>1.0</v>
      </c>
      <c r="H234" s="74">
        <v>90000.0</v>
      </c>
      <c r="I234" s="96">
        <v>35000.0</v>
      </c>
      <c r="J234" s="65" t="s">
        <v>7</v>
      </c>
      <c r="K234" s="65">
        <v>1.0</v>
      </c>
      <c r="L234" s="74">
        <v>0.0</v>
      </c>
      <c r="M234" s="93" t="s">
        <v>61</v>
      </c>
      <c r="N234" s="65">
        <f>sumif(PURCHASE!I:I,C234,PURCHASE!J:J)</f>
        <v>0</v>
      </c>
      <c r="O234" s="65">
        <f>sumif('SELLING CASH'!E:E,C234,'SELLING CASH'!F:F)</f>
        <v>0</v>
      </c>
      <c r="P234" s="65">
        <f>sumif('SELLING CREDIT'!F:F,C234,'SELLING CREDIT'!G:G)</f>
        <v>0</v>
      </c>
      <c r="Q234" s="65">
        <f t="shared" si="1"/>
        <v>1</v>
      </c>
      <c r="V234" s="255"/>
      <c r="X234" s="9"/>
      <c r="Y234" s="9"/>
      <c r="Z234" s="9"/>
      <c r="AD234" s="101"/>
      <c r="AF234" s="9"/>
      <c r="AG234" s="9"/>
      <c r="AH234" s="9"/>
    </row>
    <row r="235" ht="22.5" customHeight="1">
      <c r="A235" s="49"/>
      <c r="C235" s="93" t="s">
        <v>1735</v>
      </c>
      <c r="D235" s="93">
        <v>16.0</v>
      </c>
      <c r="E235" s="93" t="s">
        <v>1702</v>
      </c>
      <c r="F235" s="93" t="s">
        <v>1666</v>
      </c>
      <c r="G235" s="93">
        <v>0.0</v>
      </c>
      <c r="H235" s="74">
        <v>100000.0</v>
      </c>
      <c r="I235" s="96">
        <v>60000.0</v>
      </c>
      <c r="J235" s="65" t="s">
        <v>7</v>
      </c>
      <c r="K235" s="65">
        <v>1.0</v>
      </c>
      <c r="L235" s="74">
        <v>0.0</v>
      </c>
      <c r="M235" s="93" t="s">
        <v>61</v>
      </c>
      <c r="N235" s="65">
        <f>sumif(PURCHASE!I:I,C235,PURCHASE!J:J)</f>
        <v>0</v>
      </c>
      <c r="O235" s="65">
        <f>sumif('SELLING CASH'!E:E,C235,'SELLING CASH'!F:F)</f>
        <v>0</v>
      </c>
      <c r="P235" s="65">
        <f>sumif('SELLING CREDIT'!F:F,C235,'SELLING CREDIT'!G:G)</f>
        <v>0</v>
      </c>
      <c r="Q235" s="65">
        <f t="shared" si="1"/>
        <v>0</v>
      </c>
      <c r="V235" s="255"/>
      <c r="X235" s="9"/>
      <c r="Y235" s="9"/>
      <c r="Z235" s="9"/>
      <c r="AD235" s="101"/>
      <c r="AF235" s="9"/>
      <c r="AG235" s="9"/>
      <c r="AH235" s="9"/>
    </row>
    <row r="236" ht="22.5" customHeight="1">
      <c r="A236" s="49"/>
      <c r="C236" s="93" t="s">
        <v>1209</v>
      </c>
      <c r="D236" s="93">
        <v>16.0</v>
      </c>
      <c r="E236" s="93" t="s">
        <v>532</v>
      </c>
      <c r="F236" s="93" t="s">
        <v>1666</v>
      </c>
      <c r="G236" s="93">
        <v>0.0</v>
      </c>
      <c r="H236" s="74">
        <v>80000.0</v>
      </c>
      <c r="I236" s="96">
        <v>50000.0</v>
      </c>
      <c r="J236" s="65" t="s">
        <v>7</v>
      </c>
      <c r="K236" s="65">
        <v>1.0</v>
      </c>
      <c r="L236" s="74">
        <v>0.0</v>
      </c>
      <c r="M236" s="93" t="s">
        <v>61</v>
      </c>
      <c r="N236" s="65">
        <f>sumif(PURCHASE!I:I,C236,PURCHASE!J:J)</f>
        <v>60</v>
      </c>
      <c r="O236" s="65">
        <f>sumif('SELLING CASH'!E:E,C236,'SELLING CASH'!F:F)</f>
        <v>2</v>
      </c>
      <c r="P236" s="65">
        <f>sumif('SELLING CREDIT'!F:F,C236,'SELLING CREDIT'!G:G)</f>
        <v>7</v>
      </c>
      <c r="Q236" s="65">
        <f t="shared" si="1"/>
        <v>51</v>
      </c>
      <c r="V236" s="255"/>
      <c r="X236" s="9"/>
      <c r="Y236" s="9"/>
      <c r="Z236" s="9"/>
      <c r="AD236" s="101"/>
      <c r="AF236" s="9"/>
      <c r="AG236" s="9"/>
      <c r="AH236" s="9"/>
    </row>
    <row r="237" ht="22.5" customHeight="1">
      <c r="A237" s="49"/>
      <c r="C237" s="93" t="s">
        <v>1743</v>
      </c>
      <c r="D237" s="93">
        <v>16.0</v>
      </c>
      <c r="F237" s="93" t="s">
        <v>1744</v>
      </c>
      <c r="G237" s="93">
        <v>0.0</v>
      </c>
      <c r="H237" s="74">
        <v>65000.0</v>
      </c>
      <c r="I237" s="96">
        <v>45000.0</v>
      </c>
      <c r="J237" s="65" t="s">
        <v>7</v>
      </c>
      <c r="K237" s="65">
        <v>1.0</v>
      </c>
      <c r="L237" s="74">
        <v>0.0</v>
      </c>
      <c r="M237" s="93" t="s">
        <v>61</v>
      </c>
      <c r="N237" s="65">
        <f>sumif(PURCHASE!I:I,C237,PURCHASE!J:J)</f>
        <v>30</v>
      </c>
      <c r="O237" s="65">
        <f>sumif('SELLING CASH'!E:E,C237,'SELLING CASH'!F:F)</f>
        <v>22</v>
      </c>
      <c r="P237" s="65">
        <f>sumif('SELLING CREDIT'!F:F,C237,'SELLING CREDIT'!G:G)</f>
        <v>6</v>
      </c>
      <c r="Q237" s="65">
        <f t="shared" si="1"/>
        <v>2</v>
      </c>
      <c r="V237" s="255"/>
      <c r="X237" s="9"/>
      <c r="Y237" s="9"/>
      <c r="Z237" s="9"/>
      <c r="AD237" s="101"/>
      <c r="AF237" s="9"/>
      <c r="AG237" s="9"/>
      <c r="AH237" s="9"/>
    </row>
    <row r="238" ht="22.5" customHeight="1">
      <c r="A238" s="49"/>
      <c r="C238" s="93" t="s">
        <v>1749</v>
      </c>
      <c r="D238" s="93">
        <v>16.0</v>
      </c>
      <c r="E238" s="93" t="s">
        <v>587</v>
      </c>
      <c r="F238" s="93" t="s">
        <v>1666</v>
      </c>
      <c r="G238" s="93">
        <v>0.0</v>
      </c>
      <c r="H238" s="74">
        <v>80000.0</v>
      </c>
      <c r="I238" s="96">
        <v>40350.0</v>
      </c>
      <c r="J238" s="65" t="s">
        <v>7</v>
      </c>
      <c r="K238" s="65">
        <v>1.0</v>
      </c>
      <c r="L238" s="74">
        <v>0.0</v>
      </c>
      <c r="M238" s="93" t="s">
        <v>61</v>
      </c>
      <c r="N238" s="65">
        <f>sumif(PURCHASE!I:I,C238,PURCHASE!J:J)</f>
        <v>0</v>
      </c>
      <c r="O238" s="65">
        <f>sumif('SELLING CASH'!E:E,C238,'SELLING CASH'!F:F)</f>
        <v>4</v>
      </c>
      <c r="P238" s="65">
        <f>sumif('SELLING CREDIT'!F:F,C238,'SELLING CREDIT'!G:G)</f>
        <v>3</v>
      </c>
      <c r="Q238" s="65">
        <f t="shared" si="1"/>
        <v>-7</v>
      </c>
      <c r="V238" s="255"/>
      <c r="X238" s="9"/>
      <c r="Y238" s="9"/>
      <c r="Z238" s="9"/>
      <c r="AD238" s="101"/>
      <c r="AF238" s="9"/>
      <c r="AG238" s="9"/>
      <c r="AH238" s="9"/>
    </row>
    <row r="239" ht="22.5" customHeight="1">
      <c r="A239" s="49"/>
      <c r="C239" s="93" t="s">
        <v>1755</v>
      </c>
      <c r="D239" s="93">
        <v>20.0</v>
      </c>
      <c r="E239" s="93" t="s">
        <v>1697</v>
      </c>
      <c r="F239" s="93" t="s">
        <v>1666</v>
      </c>
      <c r="G239" s="93">
        <v>6.0</v>
      </c>
      <c r="H239" s="74">
        <v>120000.0</v>
      </c>
      <c r="I239" s="96">
        <v>90000.0</v>
      </c>
      <c r="J239" s="65" t="s">
        <v>7</v>
      </c>
      <c r="K239" s="65">
        <v>1.0</v>
      </c>
      <c r="L239" s="74">
        <v>0.0</v>
      </c>
      <c r="M239" s="93" t="s">
        <v>61</v>
      </c>
      <c r="N239" s="65">
        <f>sumif(PURCHASE!I:I,C239,PURCHASE!J:J)</f>
        <v>0</v>
      </c>
      <c r="O239" s="65">
        <f>sumif('SELLING CASH'!E:E,C239,'SELLING CASH'!F:F)</f>
        <v>1</v>
      </c>
      <c r="P239" s="65">
        <f>sumif('SELLING CREDIT'!F:F,C239,'SELLING CREDIT'!G:G)</f>
        <v>0</v>
      </c>
      <c r="Q239" s="65">
        <f t="shared" si="1"/>
        <v>5</v>
      </c>
      <c r="V239" s="255"/>
      <c r="X239" s="9"/>
      <c r="Y239" s="9"/>
      <c r="Z239" s="9"/>
      <c r="AD239" s="101"/>
      <c r="AF239" s="9"/>
      <c r="AG239" s="9"/>
      <c r="AH239" s="9"/>
    </row>
    <row r="240" ht="22.5" customHeight="1">
      <c r="A240" s="49"/>
      <c r="C240" s="93" t="s">
        <v>1760</v>
      </c>
      <c r="D240" s="93">
        <v>900.0</v>
      </c>
      <c r="E240" s="93" t="s">
        <v>488</v>
      </c>
      <c r="F240" s="93" t="s">
        <v>1666</v>
      </c>
      <c r="G240" s="93">
        <v>1.0</v>
      </c>
      <c r="H240" s="74">
        <v>270000.0</v>
      </c>
      <c r="I240" s="96">
        <v>228000.0</v>
      </c>
      <c r="J240" s="65" t="s">
        <v>87</v>
      </c>
      <c r="K240" s="65">
        <v>1.0</v>
      </c>
      <c r="L240" s="74">
        <v>0.0</v>
      </c>
      <c r="M240" s="93" t="s">
        <v>61</v>
      </c>
      <c r="N240" s="65">
        <f>sumif(PURCHASE!I:I,C240,PURCHASE!J:J)</f>
        <v>0</v>
      </c>
      <c r="O240" s="65">
        <f>sumif('SELLING CASH'!E:E,C240,'SELLING CASH'!F:F)</f>
        <v>1</v>
      </c>
      <c r="P240" s="65">
        <f>sumif('SELLING CREDIT'!F:F,C240,'SELLING CREDIT'!G:G)</f>
        <v>0</v>
      </c>
      <c r="Q240" s="65">
        <f t="shared" si="1"/>
        <v>0</v>
      </c>
      <c r="V240" s="255"/>
      <c r="X240" s="9"/>
      <c r="Y240" s="9"/>
      <c r="Z240" s="9"/>
      <c r="AD240" s="101"/>
      <c r="AF240" s="9"/>
      <c r="AG240" s="9"/>
      <c r="AH240" s="9"/>
    </row>
    <row r="241" ht="22.5" customHeight="1">
      <c r="A241" s="49"/>
      <c r="C241" s="93" t="s">
        <v>1766</v>
      </c>
      <c r="D241" s="93" t="s">
        <v>848</v>
      </c>
      <c r="E241" s="93" t="s">
        <v>493</v>
      </c>
      <c r="F241" s="93" t="s">
        <v>1666</v>
      </c>
      <c r="G241" s="93">
        <v>1.0</v>
      </c>
      <c r="H241" s="74">
        <v>120000.0</v>
      </c>
      <c r="I241" s="96">
        <v>91500.0</v>
      </c>
      <c r="J241" s="65" t="s">
        <v>7</v>
      </c>
      <c r="K241" s="65">
        <v>1.0</v>
      </c>
      <c r="L241" s="74">
        <v>0.0</v>
      </c>
      <c r="M241" s="93" t="s">
        <v>61</v>
      </c>
      <c r="N241" s="65">
        <f>sumif(PURCHASE!I:I,C241,PURCHASE!J:J)</f>
        <v>0</v>
      </c>
      <c r="O241" s="65">
        <f>sumif('SELLING CASH'!E:E,C241,'SELLING CASH'!F:F)</f>
        <v>0</v>
      </c>
      <c r="P241" s="65">
        <f>sumif('SELLING CREDIT'!F:F,C241,'SELLING CREDIT'!G:G)</f>
        <v>2</v>
      </c>
      <c r="Q241" s="65">
        <f t="shared" si="1"/>
        <v>-1</v>
      </c>
      <c r="V241" s="255"/>
      <c r="X241" s="9"/>
      <c r="Y241" s="9"/>
      <c r="Z241" s="9"/>
      <c r="AD241" s="101"/>
      <c r="AF241" s="9"/>
      <c r="AG241" s="9"/>
      <c r="AH241" s="9"/>
    </row>
    <row r="242" ht="22.5" customHeight="1">
      <c r="A242" s="49"/>
      <c r="C242" s="93" t="s">
        <v>1770</v>
      </c>
      <c r="D242" s="93" t="s">
        <v>1772</v>
      </c>
      <c r="E242" s="93" t="s">
        <v>493</v>
      </c>
      <c r="F242" s="93" t="s">
        <v>1666</v>
      </c>
      <c r="G242" s="93">
        <v>0.0</v>
      </c>
      <c r="H242" s="74">
        <v>95000.0</v>
      </c>
      <c r="I242" s="96">
        <v>55000.0</v>
      </c>
      <c r="J242" s="65" t="s">
        <v>7</v>
      </c>
      <c r="K242" s="65">
        <v>1.0</v>
      </c>
      <c r="L242" s="74">
        <v>0.0</v>
      </c>
      <c r="M242" s="93" t="s">
        <v>61</v>
      </c>
      <c r="N242" s="65">
        <f>sumif(PURCHASE!I:I,C242,PURCHASE!J:J)</f>
        <v>2</v>
      </c>
      <c r="O242" s="65">
        <f>sumif('SELLING CASH'!E:E,C242,'SELLING CASH'!F:F)</f>
        <v>2</v>
      </c>
      <c r="P242" s="65">
        <f>sumif('SELLING CREDIT'!F:F,C242,'SELLING CREDIT'!G:G)</f>
        <v>0</v>
      </c>
      <c r="Q242" s="65">
        <f t="shared" si="1"/>
        <v>0</v>
      </c>
      <c r="V242" s="255"/>
      <c r="X242" s="9"/>
      <c r="Y242" s="9"/>
      <c r="Z242" s="9"/>
      <c r="AD242" s="101"/>
      <c r="AF242" s="9"/>
      <c r="AG242" s="9"/>
      <c r="AH242" s="9"/>
    </row>
    <row r="243" ht="22.5" customHeight="1">
      <c r="A243" s="49"/>
      <c r="C243" s="93" t="s">
        <v>1776</v>
      </c>
      <c r="D243" s="93" t="s">
        <v>103</v>
      </c>
      <c r="E243" s="93" t="s">
        <v>1777</v>
      </c>
      <c r="F243" s="93" t="s">
        <v>1778</v>
      </c>
      <c r="G243" s="93">
        <v>0.0</v>
      </c>
      <c r="H243" s="74">
        <v>700000.0</v>
      </c>
      <c r="I243" s="96">
        <v>573315.0</v>
      </c>
      <c r="J243" s="65" t="s">
        <v>7</v>
      </c>
      <c r="K243" s="65">
        <v>1.0</v>
      </c>
      <c r="L243" s="74">
        <v>0.0</v>
      </c>
      <c r="M243" s="93" t="s">
        <v>61</v>
      </c>
      <c r="N243" s="65">
        <f>sumif(PURCHASE!I:I,C243,PURCHASE!J:J)</f>
        <v>0</v>
      </c>
      <c r="O243" s="65">
        <f>sumif('SELLING CASH'!E:E,C243,'SELLING CASH'!F:F)</f>
        <v>0</v>
      </c>
      <c r="P243" s="65">
        <f>sumif('SELLING CREDIT'!F:F,C243,'SELLING CREDIT'!G:G)</f>
        <v>0</v>
      </c>
      <c r="Q243" s="65">
        <f t="shared" si="1"/>
        <v>0</v>
      </c>
      <c r="V243" s="255"/>
      <c r="X243" s="9"/>
      <c r="Y243" s="9"/>
      <c r="Z243" s="9"/>
      <c r="AD243" s="101"/>
      <c r="AF243" s="9"/>
      <c r="AG243" s="9"/>
      <c r="AH243" s="9"/>
    </row>
    <row r="244" ht="22.5" customHeight="1">
      <c r="A244" s="49"/>
      <c r="C244" s="93" t="s">
        <v>1784</v>
      </c>
      <c r="D244" s="93" t="s">
        <v>116</v>
      </c>
      <c r="F244" s="93" t="s">
        <v>1778</v>
      </c>
      <c r="G244" s="93">
        <v>0.0</v>
      </c>
      <c r="H244" s="74">
        <v>640000.0</v>
      </c>
      <c r="I244" s="96">
        <v>530580.0</v>
      </c>
      <c r="J244" s="65" t="s">
        <v>7</v>
      </c>
      <c r="K244" s="65">
        <v>1.0</v>
      </c>
      <c r="L244" s="74">
        <v>0.0</v>
      </c>
      <c r="M244" s="93" t="s">
        <v>61</v>
      </c>
      <c r="N244" s="65">
        <f>sumif(PURCHASE!I:I,C244,PURCHASE!J:J)</f>
        <v>0</v>
      </c>
      <c r="O244" s="65">
        <f>sumif('SELLING CASH'!E:E,C244,'SELLING CASH'!F:F)</f>
        <v>10</v>
      </c>
      <c r="P244" s="65">
        <f>sumif('SELLING CREDIT'!F:F,C244,'SELLING CREDIT'!G:G)</f>
        <v>0</v>
      </c>
      <c r="Q244" s="65">
        <f t="shared" si="1"/>
        <v>-10</v>
      </c>
      <c r="V244" s="255"/>
      <c r="X244" s="9"/>
      <c r="Y244" s="9"/>
      <c r="Z244" s="9"/>
      <c r="AD244" s="101"/>
      <c r="AF244" s="9"/>
      <c r="AG244" s="9"/>
      <c r="AH244" s="9"/>
    </row>
    <row r="245" ht="22.5" customHeight="1">
      <c r="A245" s="49"/>
      <c r="C245" s="93" t="s">
        <v>1791</v>
      </c>
      <c r="D245" s="93" t="s">
        <v>127</v>
      </c>
      <c r="F245" s="93" t="s">
        <v>1778</v>
      </c>
      <c r="G245" s="93">
        <v>0.0</v>
      </c>
      <c r="H245" s="74">
        <v>520000.0</v>
      </c>
      <c r="I245" s="96">
        <v>435000.0</v>
      </c>
      <c r="J245" s="65" t="s">
        <v>7</v>
      </c>
      <c r="K245" s="65">
        <v>1.0</v>
      </c>
      <c r="L245" s="74">
        <v>0.0</v>
      </c>
      <c r="M245" s="93" t="s">
        <v>61</v>
      </c>
      <c r="N245" s="65">
        <f>sumif(PURCHASE!I:I,C245,PURCHASE!J:J)</f>
        <v>0</v>
      </c>
      <c r="O245" s="65">
        <f>sumif('SELLING CASH'!E:E,C245,'SELLING CASH'!F:F)</f>
        <v>0</v>
      </c>
      <c r="P245" s="65">
        <f>sumif('SELLING CREDIT'!F:F,C245,'SELLING CREDIT'!G:G)</f>
        <v>0</v>
      </c>
      <c r="Q245" s="65">
        <f t="shared" si="1"/>
        <v>0</v>
      </c>
      <c r="V245" s="255"/>
      <c r="X245" s="9"/>
      <c r="Y245" s="9"/>
      <c r="Z245" s="9"/>
      <c r="AD245" s="101"/>
      <c r="AF245" s="9"/>
      <c r="AG245" s="9"/>
      <c r="AH245" s="9"/>
    </row>
    <row r="246" ht="22.5" customHeight="1">
      <c r="A246" s="49"/>
      <c r="C246" s="93" t="s">
        <v>1795</v>
      </c>
      <c r="D246" s="93" t="s">
        <v>151</v>
      </c>
      <c r="F246" s="93" t="s">
        <v>1778</v>
      </c>
      <c r="G246" s="93">
        <v>0.0</v>
      </c>
      <c r="H246" s="74">
        <v>700000.0</v>
      </c>
      <c r="I246" s="96">
        <v>600000.0</v>
      </c>
      <c r="J246" s="65" t="s">
        <v>7</v>
      </c>
      <c r="K246" s="65">
        <v>1.0</v>
      </c>
      <c r="L246" s="74">
        <v>0.0</v>
      </c>
      <c r="M246" s="93" t="s">
        <v>61</v>
      </c>
      <c r="N246" s="65">
        <f>sumif(PURCHASE!I:I,C246,PURCHASE!J:J)</f>
        <v>0</v>
      </c>
      <c r="O246" s="65">
        <f>sumif('SELLING CASH'!E:E,C246,'SELLING CASH'!F:F)</f>
        <v>0</v>
      </c>
      <c r="P246" s="65">
        <f>sumif('SELLING CREDIT'!F:F,C246,'SELLING CREDIT'!G:G)</f>
        <v>0</v>
      </c>
      <c r="Q246" s="65">
        <f t="shared" si="1"/>
        <v>0</v>
      </c>
      <c r="V246" s="255"/>
      <c r="X246" s="9"/>
      <c r="Y246" s="9"/>
      <c r="Z246" s="9"/>
      <c r="AD246" s="101"/>
      <c r="AF246" s="9"/>
      <c r="AG246" s="9"/>
      <c r="AH246" s="9"/>
    </row>
    <row r="247" ht="22.5" customHeight="1">
      <c r="A247" s="49"/>
      <c r="C247" s="93" t="s">
        <v>1801</v>
      </c>
      <c r="D247" s="93" t="s">
        <v>981</v>
      </c>
      <c r="F247" s="93" t="s">
        <v>1778</v>
      </c>
      <c r="G247" s="93">
        <v>0.0</v>
      </c>
      <c r="H247" s="74">
        <v>600000.0</v>
      </c>
      <c r="I247" s="96">
        <v>500000.0</v>
      </c>
      <c r="J247" s="65" t="s">
        <v>7</v>
      </c>
      <c r="K247" s="65">
        <v>1.0</v>
      </c>
      <c r="L247" s="74">
        <v>0.0</v>
      </c>
      <c r="M247" s="93" t="s">
        <v>61</v>
      </c>
      <c r="N247" s="65">
        <f>sumif(PURCHASE!I:I,C247,PURCHASE!J:J)</f>
        <v>0</v>
      </c>
      <c r="O247" s="65">
        <f>sumif('SELLING CASH'!E:E,C247,'SELLING CASH'!F:F)</f>
        <v>0</v>
      </c>
      <c r="P247" s="65">
        <f>sumif('SELLING CREDIT'!F:F,C247,'SELLING CREDIT'!G:G)</f>
        <v>0</v>
      </c>
      <c r="Q247" s="65">
        <f t="shared" si="1"/>
        <v>0</v>
      </c>
      <c r="V247" s="255"/>
      <c r="X247" s="9"/>
      <c r="Y247" s="9"/>
      <c r="Z247" s="9"/>
      <c r="AD247" s="101"/>
      <c r="AF247" s="9"/>
      <c r="AG247" s="9"/>
      <c r="AH247" s="9"/>
    </row>
    <row r="248" ht="22.5" customHeight="1">
      <c r="A248" s="49"/>
      <c r="C248" s="93" t="s">
        <v>1803</v>
      </c>
      <c r="D248" s="93" t="s">
        <v>164</v>
      </c>
      <c r="F248" s="93" t="s">
        <v>1778</v>
      </c>
      <c r="G248" s="93">
        <v>0.0</v>
      </c>
      <c r="H248" s="74">
        <v>550000.0</v>
      </c>
      <c r="I248" s="96">
        <v>451000.0</v>
      </c>
      <c r="J248" s="65" t="s">
        <v>7</v>
      </c>
      <c r="K248" s="65">
        <v>1.0</v>
      </c>
      <c r="L248" s="74">
        <v>0.0</v>
      </c>
      <c r="M248" s="93" t="s">
        <v>61</v>
      </c>
      <c r="N248" s="65">
        <f>sumif(PURCHASE!I:I,C248,PURCHASE!J:J)</f>
        <v>0</v>
      </c>
      <c r="O248" s="65">
        <f>sumif('SELLING CASH'!E:E,C248,'SELLING CASH'!F:F)</f>
        <v>0</v>
      </c>
      <c r="P248" s="65">
        <f>sumif('SELLING CREDIT'!F:F,C248,'SELLING CREDIT'!G:G)</f>
        <v>0</v>
      </c>
      <c r="Q248" s="65">
        <f t="shared" si="1"/>
        <v>0</v>
      </c>
      <c r="V248" s="255"/>
      <c r="X248" s="9"/>
      <c r="Y248" s="9"/>
      <c r="Z248" s="9"/>
      <c r="AD248" s="101"/>
      <c r="AF248" s="9"/>
      <c r="AG248" s="9"/>
      <c r="AH248" s="9"/>
    </row>
    <row r="249" ht="22.5" customHeight="1">
      <c r="A249" s="49"/>
      <c r="C249" s="93" t="s">
        <v>1805</v>
      </c>
      <c r="D249" s="93" t="s">
        <v>1123</v>
      </c>
      <c r="F249" s="93" t="s">
        <v>1778</v>
      </c>
      <c r="G249" s="93">
        <v>0.0</v>
      </c>
      <c r="H249" s="74">
        <v>625000.0</v>
      </c>
      <c r="I249" s="96">
        <v>525000.0</v>
      </c>
      <c r="J249" s="65" t="s">
        <v>7</v>
      </c>
      <c r="K249" s="65">
        <v>1.0</v>
      </c>
      <c r="L249" s="74">
        <v>0.0</v>
      </c>
      <c r="M249" s="93" t="s">
        <v>61</v>
      </c>
      <c r="N249" s="65">
        <f>sumif(PURCHASE!I:I,C249,PURCHASE!J:J)</f>
        <v>0</v>
      </c>
      <c r="O249" s="65">
        <f>sumif('SELLING CASH'!E:E,C249,'SELLING CASH'!F:F)</f>
        <v>0</v>
      </c>
      <c r="P249" s="65">
        <f>sumif('SELLING CREDIT'!F:F,C249,'SELLING CREDIT'!G:G)</f>
        <v>0</v>
      </c>
      <c r="Q249" s="65">
        <f t="shared" si="1"/>
        <v>0</v>
      </c>
      <c r="V249" s="255"/>
      <c r="X249" s="9"/>
      <c r="Y249" s="9"/>
      <c r="Z249" s="9"/>
      <c r="AD249" s="101"/>
      <c r="AF249" s="9"/>
      <c r="AG249" s="9"/>
      <c r="AH249" s="9"/>
    </row>
    <row r="250" ht="22.5" customHeight="1">
      <c r="A250" s="49"/>
      <c r="C250" s="93" t="s">
        <v>1807</v>
      </c>
      <c r="D250" s="93" t="s">
        <v>1384</v>
      </c>
      <c r="E250" s="93" t="s">
        <v>1808</v>
      </c>
      <c r="F250" s="93" t="s">
        <v>1809</v>
      </c>
      <c r="G250" s="93">
        <v>2.0</v>
      </c>
      <c r="H250" s="74">
        <v>585000.0</v>
      </c>
      <c r="I250" s="96">
        <v>473000.0</v>
      </c>
      <c r="J250" s="65" t="s">
        <v>7</v>
      </c>
      <c r="K250" s="65">
        <v>1.0</v>
      </c>
      <c r="L250" s="74">
        <v>0.0</v>
      </c>
      <c r="M250" s="93" t="s">
        <v>61</v>
      </c>
      <c r="N250" s="65">
        <f>sumif(PURCHASE!I:I,C250,PURCHASE!J:J)</f>
        <v>0</v>
      </c>
      <c r="O250" s="65">
        <f>sumif('SELLING CASH'!E:E,C250,'SELLING CASH'!F:F)</f>
        <v>15</v>
      </c>
      <c r="P250" s="65">
        <f>sumif('SELLING CREDIT'!F:F,C250,'SELLING CREDIT'!G:G)</f>
        <v>0</v>
      </c>
      <c r="Q250" s="65">
        <f t="shared" si="1"/>
        <v>-13</v>
      </c>
      <c r="V250" s="255"/>
      <c r="X250" s="9"/>
      <c r="Y250" s="9"/>
      <c r="Z250" s="9"/>
      <c r="AD250" s="101"/>
      <c r="AF250" s="9"/>
      <c r="AG250" s="9"/>
      <c r="AH250" s="9"/>
    </row>
    <row r="251" ht="22.5" customHeight="1">
      <c r="A251" s="49"/>
      <c r="C251" s="93" t="s">
        <v>1811</v>
      </c>
      <c r="D251" s="93" t="s">
        <v>103</v>
      </c>
      <c r="E251" s="93" t="s">
        <v>1808</v>
      </c>
      <c r="F251" s="93" t="s">
        <v>1809</v>
      </c>
      <c r="G251" s="93">
        <v>0.0</v>
      </c>
      <c r="H251" s="74">
        <v>580000.0</v>
      </c>
      <c r="I251" s="96">
        <v>487500.0</v>
      </c>
      <c r="J251" s="65" t="s">
        <v>7</v>
      </c>
      <c r="K251" s="65">
        <v>1.0</v>
      </c>
      <c r="L251" s="74">
        <v>0.0</v>
      </c>
      <c r="M251" s="93" t="s">
        <v>61</v>
      </c>
      <c r="N251" s="65">
        <f>sumif(PURCHASE!I:I,C251,PURCHASE!J:J)</f>
        <v>0</v>
      </c>
      <c r="O251" s="65">
        <f>sumif('SELLING CASH'!E:E,C251,'SELLING CASH'!F:F)</f>
        <v>0</v>
      </c>
      <c r="P251" s="65">
        <f>sumif('SELLING CREDIT'!F:F,C251,'SELLING CREDIT'!G:G)</f>
        <v>0</v>
      </c>
      <c r="Q251" s="65">
        <f t="shared" si="1"/>
        <v>0</v>
      </c>
      <c r="V251" s="255"/>
      <c r="X251" s="9"/>
      <c r="Y251" s="9"/>
      <c r="Z251" s="9"/>
      <c r="AD251" s="101"/>
      <c r="AF251" s="9"/>
      <c r="AG251" s="9"/>
      <c r="AH251" s="9"/>
    </row>
    <row r="252" ht="22.5" customHeight="1">
      <c r="A252" s="49"/>
      <c r="C252" s="93" t="s">
        <v>1813</v>
      </c>
      <c r="D252" s="93" t="s">
        <v>116</v>
      </c>
      <c r="E252" s="93" t="s">
        <v>1814</v>
      </c>
      <c r="F252" s="93" t="s">
        <v>1809</v>
      </c>
      <c r="G252" s="93">
        <v>0.0</v>
      </c>
      <c r="H252" s="74">
        <v>700000.0</v>
      </c>
      <c r="I252" s="96">
        <v>635000.0</v>
      </c>
      <c r="J252" s="65" t="s">
        <v>7</v>
      </c>
      <c r="K252" s="65">
        <v>1.0</v>
      </c>
      <c r="L252" s="74">
        <v>0.0</v>
      </c>
      <c r="M252" s="93" t="s">
        <v>61</v>
      </c>
      <c r="N252" s="65">
        <f>sumif(PURCHASE!I:I,C252,PURCHASE!J:J)</f>
        <v>0</v>
      </c>
      <c r="O252" s="65">
        <f>sumif('SELLING CASH'!E:E,C252,'SELLING CASH'!F:F)</f>
        <v>0</v>
      </c>
      <c r="P252" s="65">
        <f>sumif('SELLING CREDIT'!F:F,C252,'SELLING CREDIT'!G:G)</f>
        <v>0</v>
      </c>
      <c r="Q252" s="65">
        <f t="shared" si="1"/>
        <v>0</v>
      </c>
      <c r="V252" s="255"/>
      <c r="X252" s="9"/>
      <c r="Y252" s="9"/>
      <c r="Z252" s="9"/>
      <c r="AD252" s="101"/>
      <c r="AF252" s="9"/>
      <c r="AG252" s="9"/>
      <c r="AH252" s="9"/>
    </row>
    <row r="253" ht="22.5" customHeight="1">
      <c r="A253" s="49"/>
      <c r="C253" s="93" t="s">
        <v>1816</v>
      </c>
      <c r="D253" s="93" t="s">
        <v>127</v>
      </c>
      <c r="E253" s="93" t="s">
        <v>1817</v>
      </c>
      <c r="F253" s="93" t="s">
        <v>1809</v>
      </c>
      <c r="G253" s="93">
        <v>0.0</v>
      </c>
      <c r="H253" s="74">
        <v>565000.0</v>
      </c>
      <c r="I253" s="96">
        <v>475000.0</v>
      </c>
      <c r="J253" s="65" t="s">
        <v>7</v>
      </c>
      <c r="K253" s="65">
        <v>1.0</v>
      </c>
      <c r="L253" s="74">
        <v>0.0</v>
      </c>
      <c r="M253" s="93" t="s">
        <v>61</v>
      </c>
      <c r="N253" s="65">
        <f>sumif(PURCHASE!I:I,C253,PURCHASE!J:J)</f>
        <v>0</v>
      </c>
      <c r="O253" s="65">
        <f>sumif('SELLING CASH'!E:E,C253,'SELLING CASH'!F:F)</f>
        <v>0</v>
      </c>
      <c r="P253" s="65">
        <f>sumif('SELLING CREDIT'!F:F,C253,'SELLING CREDIT'!G:G)</f>
        <v>0</v>
      </c>
      <c r="Q253" s="65">
        <f t="shared" si="1"/>
        <v>0</v>
      </c>
      <c r="V253" s="255"/>
      <c r="X253" s="9"/>
      <c r="Y253" s="9"/>
      <c r="Z253" s="9"/>
      <c r="AD253" s="101"/>
      <c r="AF253" s="9"/>
      <c r="AG253" s="9"/>
      <c r="AH253" s="9"/>
    </row>
    <row r="254" ht="22.5" customHeight="1">
      <c r="A254" s="49"/>
      <c r="C254" s="93" t="s">
        <v>1819</v>
      </c>
      <c r="D254" s="93" t="s">
        <v>948</v>
      </c>
      <c r="E254" s="93" t="s">
        <v>1820</v>
      </c>
      <c r="F254" s="93" t="s">
        <v>1809</v>
      </c>
      <c r="G254" s="93">
        <v>0.0</v>
      </c>
      <c r="H254" s="74">
        <v>650000.0</v>
      </c>
      <c r="I254" s="96">
        <v>550000.0</v>
      </c>
      <c r="J254" s="65" t="s">
        <v>7</v>
      </c>
      <c r="K254" s="65">
        <v>1.0</v>
      </c>
      <c r="L254" s="74">
        <v>0.0</v>
      </c>
      <c r="M254" s="93" t="s">
        <v>61</v>
      </c>
      <c r="N254" s="65">
        <f>sumif(PURCHASE!I:I,C254,PURCHASE!J:J)</f>
        <v>0</v>
      </c>
      <c r="O254" s="65">
        <f>sumif('SELLING CASH'!E:E,C254,'SELLING CASH'!F:F)</f>
        <v>0</v>
      </c>
      <c r="P254" s="65">
        <f>sumif('SELLING CREDIT'!F:F,C254,'SELLING CREDIT'!G:G)</f>
        <v>0</v>
      </c>
      <c r="Q254" s="65">
        <f t="shared" si="1"/>
        <v>0</v>
      </c>
      <c r="V254" s="255"/>
      <c r="X254" s="9"/>
      <c r="Y254" s="9"/>
      <c r="Z254" s="9"/>
      <c r="AD254" s="101"/>
      <c r="AF254" s="9"/>
      <c r="AG254" s="9"/>
      <c r="AH254" s="9"/>
    </row>
    <row r="255" ht="22.5" customHeight="1">
      <c r="A255" s="49"/>
      <c r="C255" s="93" t="s">
        <v>1821</v>
      </c>
      <c r="D255" s="93" t="s">
        <v>967</v>
      </c>
      <c r="E255" s="93" t="s">
        <v>1817</v>
      </c>
      <c r="F255" s="93" t="s">
        <v>1809</v>
      </c>
      <c r="G255" s="69">
        <v>10.0</v>
      </c>
      <c r="H255" s="74">
        <v>820000.0</v>
      </c>
      <c r="I255" s="193">
        <v>600000.0</v>
      </c>
      <c r="J255" s="65" t="s">
        <v>7</v>
      </c>
      <c r="K255" s="65">
        <v>1.0</v>
      </c>
      <c r="L255" s="74">
        <v>0.0</v>
      </c>
      <c r="M255" s="93" t="s">
        <v>61</v>
      </c>
      <c r="N255" s="65">
        <f>sumif(PURCHASE!I:I,C255,PURCHASE!J:J)</f>
        <v>0</v>
      </c>
      <c r="O255" s="65">
        <f>sumif('SELLING CASH'!E:E,C255,'SELLING CASH'!F:F)</f>
        <v>10</v>
      </c>
      <c r="P255" s="65">
        <f>sumif('SELLING CREDIT'!F:F,C255,'SELLING CREDIT'!G:G)</f>
        <v>0</v>
      </c>
      <c r="Q255" s="65">
        <f t="shared" si="1"/>
        <v>0</v>
      </c>
      <c r="V255" s="255"/>
      <c r="X255" s="9"/>
      <c r="Y255" s="9"/>
      <c r="Z255" s="9"/>
      <c r="AD255" s="101"/>
      <c r="AF255" s="9"/>
      <c r="AG255" s="9"/>
      <c r="AH255" s="9"/>
    </row>
    <row r="256" ht="22.5" customHeight="1">
      <c r="A256" s="49"/>
      <c r="C256" s="93" t="s">
        <v>1823</v>
      </c>
      <c r="D256" s="93" t="s">
        <v>981</v>
      </c>
      <c r="E256" s="93" t="s">
        <v>1817</v>
      </c>
      <c r="F256" s="93" t="s">
        <v>1809</v>
      </c>
      <c r="G256" s="93">
        <v>0.0</v>
      </c>
      <c r="H256" s="74">
        <v>635000.0</v>
      </c>
      <c r="I256" s="96">
        <v>535000.0</v>
      </c>
      <c r="J256" s="65" t="s">
        <v>7</v>
      </c>
      <c r="K256" s="65">
        <v>1.0</v>
      </c>
      <c r="L256" s="74">
        <v>0.0</v>
      </c>
      <c r="M256" s="93" t="s">
        <v>61</v>
      </c>
      <c r="N256" s="65">
        <f>sumif(PURCHASE!I:I,C256,PURCHASE!J:J)</f>
        <v>0</v>
      </c>
      <c r="O256" s="65">
        <f>sumif('SELLING CASH'!E:E,C256,'SELLING CASH'!F:F)</f>
        <v>0</v>
      </c>
      <c r="P256" s="65">
        <f>sumif('SELLING CREDIT'!F:F,C256,'SELLING CREDIT'!G:G)</f>
        <v>0</v>
      </c>
      <c r="Q256" s="65">
        <f t="shared" si="1"/>
        <v>0</v>
      </c>
      <c r="V256" s="255"/>
      <c r="X256" s="9"/>
      <c r="Y256" s="9"/>
      <c r="Z256" s="9"/>
      <c r="AD256" s="101"/>
      <c r="AF256" s="9"/>
      <c r="AG256" s="9"/>
      <c r="AH256" s="9"/>
    </row>
    <row r="257" ht="22.5" customHeight="1">
      <c r="A257" s="49"/>
      <c r="C257" s="93" t="s">
        <v>1825</v>
      </c>
      <c r="D257" s="93" t="s">
        <v>164</v>
      </c>
      <c r="E257" s="93" t="s">
        <v>1817</v>
      </c>
      <c r="F257" s="93" t="s">
        <v>1809</v>
      </c>
      <c r="G257" s="93">
        <v>0.0</v>
      </c>
      <c r="H257" s="74">
        <v>600000.0</v>
      </c>
      <c r="I257" s="96">
        <v>510000.0</v>
      </c>
      <c r="J257" s="65" t="s">
        <v>7</v>
      </c>
      <c r="K257" s="65">
        <v>1.0</v>
      </c>
      <c r="L257" s="74">
        <v>0.0</v>
      </c>
      <c r="M257" s="93" t="s">
        <v>61</v>
      </c>
      <c r="N257" s="65">
        <f>sumif(PURCHASE!I:I,C257,PURCHASE!J:J)</f>
        <v>0</v>
      </c>
      <c r="O257" s="65">
        <f>sumif('SELLING CASH'!E:E,C257,'SELLING CASH'!F:F)</f>
        <v>0</v>
      </c>
      <c r="P257" s="65">
        <f>sumif('SELLING CREDIT'!F:F,C257,'SELLING CREDIT'!G:G)</f>
        <v>0</v>
      </c>
      <c r="Q257" s="65">
        <f t="shared" si="1"/>
        <v>0</v>
      </c>
      <c r="V257" s="255"/>
      <c r="X257" s="9"/>
      <c r="Y257" s="9"/>
      <c r="Z257" s="9"/>
      <c r="AD257" s="101"/>
      <c r="AF257" s="9"/>
      <c r="AG257" s="9"/>
      <c r="AH257" s="9"/>
    </row>
    <row r="258" ht="22.5" customHeight="1">
      <c r="A258" s="49"/>
      <c r="C258" s="93" t="s">
        <v>1827</v>
      </c>
      <c r="D258" s="93" t="s">
        <v>1123</v>
      </c>
      <c r="E258" s="93" t="s">
        <v>1817</v>
      </c>
      <c r="F258" s="93" t="s">
        <v>1809</v>
      </c>
      <c r="G258" s="93">
        <v>0.0</v>
      </c>
      <c r="H258" s="74">
        <v>685000.0</v>
      </c>
      <c r="I258" s="96">
        <v>585000.0</v>
      </c>
      <c r="J258" s="65" t="s">
        <v>7</v>
      </c>
      <c r="K258" s="65">
        <v>1.0</v>
      </c>
      <c r="L258" s="74">
        <v>0.0</v>
      </c>
      <c r="M258" s="93" t="s">
        <v>61</v>
      </c>
      <c r="N258" s="65">
        <f>sumif(PURCHASE!I:I,C258,PURCHASE!J:J)</f>
        <v>0</v>
      </c>
      <c r="O258" s="65">
        <f>sumif('SELLING CASH'!E:E,C258,'SELLING CASH'!F:F)</f>
        <v>0</v>
      </c>
      <c r="P258" s="65">
        <f>sumif('SELLING CREDIT'!F:F,C258,'SELLING CREDIT'!G:G)</f>
        <v>0</v>
      </c>
      <c r="Q258" s="65">
        <f t="shared" si="1"/>
        <v>0</v>
      </c>
      <c r="V258" s="255"/>
      <c r="X258" s="9"/>
      <c r="Y258" s="9"/>
      <c r="Z258" s="9"/>
      <c r="AD258" s="101"/>
      <c r="AF258" s="9"/>
      <c r="AG258" s="9"/>
      <c r="AH258" s="9"/>
    </row>
    <row r="259" ht="22.5" customHeight="1">
      <c r="A259" s="49"/>
      <c r="C259" s="93" t="s">
        <v>1831</v>
      </c>
      <c r="D259" s="93" t="s">
        <v>1134</v>
      </c>
      <c r="E259" s="93" t="s">
        <v>1817</v>
      </c>
      <c r="F259" s="93" t="s">
        <v>1809</v>
      </c>
      <c r="G259" s="93">
        <v>0.0</v>
      </c>
      <c r="H259" s="74">
        <v>645000.0</v>
      </c>
      <c r="I259" s="96">
        <v>595000.0</v>
      </c>
      <c r="J259" s="65" t="s">
        <v>7</v>
      </c>
      <c r="K259" s="65">
        <v>1.0</v>
      </c>
      <c r="L259" s="74">
        <v>0.0</v>
      </c>
      <c r="M259" s="93" t="s">
        <v>61</v>
      </c>
      <c r="N259" s="65">
        <f>sumif(PURCHASE!I:I,C259,PURCHASE!J:J)</f>
        <v>0</v>
      </c>
      <c r="O259" s="65">
        <f>sumif('SELLING CASH'!E:E,C259,'SELLING CASH'!F:F)</f>
        <v>5</v>
      </c>
      <c r="P259" s="65">
        <f>sumif('SELLING CREDIT'!F:F,C259,'SELLING CREDIT'!G:G)</f>
        <v>1</v>
      </c>
      <c r="Q259" s="65">
        <f t="shared" si="1"/>
        <v>-6</v>
      </c>
      <c r="V259" s="255"/>
      <c r="X259" s="9"/>
      <c r="Y259" s="9"/>
      <c r="Z259" s="9"/>
      <c r="AD259" s="101"/>
      <c r="AF259" s="9"/>
      <c r="AG259" s="9"/>
      <c r="AH259" s="9"/>
    </row>
    <row r="260" ht="22.5" customHeight="1">
      <c r="A260" s="49"/>
      <c r="C260" s="93" t="s">
        <v>1831</v>
      </c>
      <c r="D260" s="93" t="s">
        <v>1134</v>
      </c>
      <c r="E260" s="93" t="s">
        <v>1817</v>
      </c>
      <c r="F260" s="93" t="s">
        <v>1809</v>
      </c>
      <c r="G260" s="93">
        <v>0.0</v>
      </c>
      <c r="H260" s="74">
        <v>700000.0</v>
      </c>
      <c r="I260" s="96">
        <v>595000.0</v>
      </c>
      <c r="J260" s="65" t="s">
        <v>7</v>
      </c>
      <c r="K260" s="65">
        <v>1.0</v>
      </c>
      <c r="L260" s="74">
        <v>0.0</v>
      </c>
      <c r="M260" s="93" t="s">
        <v>61</v>
      </c>
      <c r="N260" s="65">
        <f>sumif(PURCHASE!I:I,C260,PURCHASE!J:J)</f>
        <v>0</v>
      </c>
      <c r="O260" s="65">
        <f>sumif('SELLING CASH'!E:E,C260,'SELLING CASH'!F:F)</f>
        <v>5</v>
      </c>
      <c r="P260" s="65">
        <f>sumif('SELLING CREDIT'!F:F,C260,'SELLING CREDIT'!G:G)</f>
        <v>1</v>
      </c>
      <c r="Q260" s="65">
        <f t="shared" si="1"/>
        <v>-6</v>
      </c>
      <c r="V260" s="255"/>
      <c r="X260" s="9"/>
      <c r="Y260" s="9"/>
      <c r="Z260" s="9"/>
      <c r="AD260" s="101"/>
      <c r="AF260" s="9"/>
      <c r="AG260" s="9"/>
      <c r="AH260" s="9"/>
    </row>
    <row r="261" ht="22.5" customHeight="1">
      <c r="A261" s="49"/>
      <c r="C261" s="93" t="s">
        <v>1834</v>
      </c>
      <c r="D261" s="93" t="s">
        <v>1168</v>
      </c>
      <c r="E261" s="93" t="s">
        <v>1835</v>
      </c>
      <c r="F261" s="93" t="s">
        <v>1809</v>
      </c>
      <c r="G261" s="93">
        <v>0.0</v>
      </c>
      <c r="H261" s="74">
        <v>775000.0</v>
      </c>
      <c r="I261" s="96">
        <v>675000.0</v>
      </c>
      <c r="J261" s="65" t="s">
        <v>7</v>
      </c>
      <c r="K261" s="65">
        <v>1.0</v>
      </c>
      <c r="L261" s="74">
        <v>0.0</v>
      </c>
      <c r="M261" s="93" t="s">
        <v>61</v>
      </c>
      <c r="N261" s="65">
        <f>sumif(PURCHASE!I:I,C261,PURCHASE!J:J)</f>
        <v>0</v>
      </c>
      <c r="O261" s="65">
        <f>sumif('SELLING CASH'!E:E,C261,'SELLING CASH'!F:F)</f>
        <v>0</v>
      </c>
      <c r="P261" s="65">
        <f>sumif('SELLING CREDIT'!F:F,C261,'SELLING CREDIT'!G:G)</f>
        <v>0</v>
      </c>
      <c r="Q261" s="65">
        <f t="shared" si="1"/>
        <v>0</v>
      </c>
      <c r="V261" s="255"/>
      <c r="X261" s="9"/>
      <c r="Y261" s="9"/>
      <c r="Z261" s="9"/>
      <c r="AD261" s="101"/>
      <c r="AF261" s="9"/>
      <c r="AG261" s="9"/>
      <c r="AH261" s="9"/>
    </row>
    <row r="262" ht="22.5" customHeight="1">
      <c r="A262" s="49"/>
      <c r="C262" s="93" t="s">
        <v>1837</v>
      </c>
      <c r="D262" s="93" t="s">
        <v>1182</v>
      </c>
      <c r="E262" s="93" t="s">
        <v>1817</v>
      </c>
      <c r="F262" s="93" t="s">
        <v>1809</v>
      </c>
      <c r="G262" s="93">
        <v>0.0</v>
      </c>
      <c r="H262" s="74">
        <v>725000.0</v>
      </c>
      <c r="I262" s="96">
        <v>625000.0</v>
      </c>
      <c r="J262" s="65" t="s">
        <v>7</v>
      </c>
      <c r="K262" s="65">
        <v>1.0</v>
      </c>
      <c r="L262" s="74">
        <v>0.0</v>
      </c>
      <c r="M262" s="93" t="s">
        <v>61</v>
      </c>
      <c r="N262" s="65">
        <f>sumif(PURCHASE!I:I,C262,PURCHASE!J:J)</f>
        <v>0</v>
      </c>
      <c r="O262" s="65">
        <f>sumif('SELLING CASH'!E:E,C262,'SELLING CASH'!F:F)</f>
        <v>0</v>
      </c>
      <c r="P262" s="65">
        <f>sumif('SELLING CREDIT'!F:F,C262,'SELLING CREDIT'!G:G)</f>
        <v>0</v>
      </c>
      <c r="Q262" s="65">
        <f t="shared" si="1"/>
        <v>0</v>
      </c>
      <c r="V262" s="255"/>
      <c r="X262" s="9"/>
      <c r="Y262" s="9"/>
      <c r="Z262" s="9"/>
      <c r="AD262" s="101"/>
      <c r="AF262" s="9"/>
      <c r="AG262" s="9"/>
      <c r="AH262" s="9"/>
    </row>
    <row r="263" ht="22.5" customHeight="1">
      <c r="A263" s="49"/>
      <c r="C263" s="93" t="s">
        <v>1839</v>
      </c>
      <c r="D263" s="93" t="s">
        <v>1197</v>
      </c>
      <c r="E263" s="93" t="s">
        <v>1817</v>
      </c>
      <c r="F263" s="93" t="s">
        <v>1809</v>
      </c>
      <c r="G263" s="93">
        <v>11.0</v>
      </c>
      <c r="H263" s="74">
        <v>800000.0</v>
      </c>
      <c r="I263" s="96">
        <v>700000.0</v>
      </c>
      <c r="J263" s="65" t="s">
        <v>7</v>
      </c>
      <c r="K263" s="65">
        <v>1.0</v>
      </c>
      <c r="L263" s="74">
        <v>0.0</v>
      </c>
      <c r="M263" s="93" t="s">
        <v>61</v>
      </c>
      <c r="N263" s="65">
        <f>sumif(PURCHASE!I:I,C263,PURCHASE!J:J)</f>
        <v>0</v>
      </c>
      <c r="O263" s="65">
        <f>sumif('SELLING CASH'!E:E,C263,'SELLING CASH'!F:F)</f>
        <v>7</v>
      </c>
      <c r="P263" s="65">
        <f>sumif('SELLING CREDIT'!F:F,C263,'SELLING CREDIT'!G:G)</f>
        <v>0</v>
      </c>
      <c r="Q263" s="65">
        <f t="shared" si="1"/>
        <v>4</v>
      </c>
      <c r="V263" s="255"/>
      <c r="X263" s="9"/>
      <c r="Y263" s="9"/>
      <c r="Z263" s="9"/>
      <c r="AD263" s="101"/>
      <c r="AF263" s="9"/>
      <c r="AG263" s="9"/>
      <c r="AH263" s="9"/>
    </row>
    <row r="264" ht="22.5" customHeight="1">
      <c r="A264" s="49"/>
      <c r="C264" s="93" t="s">
        <v>1843</v>
      </c>
      <c r="D264" s="93" t="s">
        <v>354</v>
      </c>
      <c r="E264" s="93" t="s">
        <v>1844</v>
      </c>
      <c r="F264" s="93" t="s">
        <v>1809</v>
      </c>
      <c r="G264" s="93">
        <v>1.0</v>
      </c>
      <c r="H264" s="74">
        <v>2070000.0</v>
      </c>
      <c r="I264" s="96">
        <v>1950000.0</v>
      </c>
      <c r="J264" s="65" t="s">
        <v>7</v>
      </c>
      <c r="K264" s="65">
        <v>1.0</v>
      </c>
      <c r="L264" s="74">
        <v>0.0</v>
      </c>
      <c r="M264" s="93" t="s">
        <v>61</v>
      </c>
      <c r="N264" s="65">
        <f>sumif(PURCHASE!I:I,C264,PURCHASE!J:J)</f>
        <v>0</v>
      </c>
      <c r="O264" s="65">
        <f>sumif('SELLING CASH'!E:E,C264,'SELLING CASH'!F:F)</f>
        <v>1</v>
      </c>
      <c r="P264" s="65">
        <f>sumif('SELLING CREDIT'!F:F,C264,'SELLING CREDIT'!G:G)</f>
        <v>0</v>
      </c>
      <c r="Q264" s="65">
        <f t="shared" si="1"/>
        <v>0</v>
      </c>
      <c r="V264" s="255"/>
      <c r="X264" s="9"/>
      <c r="Y264" s="9"/>
      <c r="Z264" s="9"/>
      <c r="AD264" s="101"/>
      <c r="AF264" s="9"/>
      <c r="AG264" s="9"/>
      <c r="AH264" s="9"/>
    </row>
    <row r="265" ht="22.5" customHeight="1">
      <c r="A265" s="49"/>
      <c r="C265" s="93" t="s">
        <v>647</v>
      </c>
      <c r="D265" s="93" t="s">
        <v>364</v>
      </c>
      <c r="E265" s="93" t="s">
        <v>1847</v>
      </c>
      <c r="F265" s="93" t="s">
        <v>1809</v>
      </c>
      <c r="G265" s="93">
        <v>0.0</v>
      </c>
      <c r="H265" s="74">
        <v>1520000.0</v>
      </c>
      <c r="I265" s="96">
        <v>1420000.0</v>
      </c>
      <c r="J265" s="65" t="s">
        <v>7</v>
      </c>
      <c r="K265" s="65">
        <v>1.0</v>
      </c>
      <c r="L265" s="74">
        <v>0.0</v>
      </c>
      <c r="M265" s="93" t="s">
        <v>61</v>
      </c>
      <c r="N265" s="65">
        <f>sumif(PURCHASE!I:I,C265,PURCHASE!J:J)</f>
        <v>48</v>
      </c>
      <c r="O265" s="65">
        <f>sumif('SELLING CASH'!E:E,C265,'SELLING CASH'!F:F)</f>
        <v>29</v>
      </c>
      <c r="P265" s="65">
        <f>sumif('SELLING CREDIT'!F:F,C265,'SELLING CREDIT'!G:G)</f>
        <v>31</v>
      </c>
      <c r="Q265" s="65">
        <f t="shared" si="1"/>
        <v>-12</v>
      </c>
      <c r="V265" s="255"/>
      <c r="X265" s="9"/>
      <c r="Y265" s="9"/>
      <c r="Z265" s="9"/>
      <c r="AD265" s="101"/>
      <c r="AF265" s="9"/>
      <c r="AG265" s="9"/>
      <c r="AH265" s="9"/>
    </row>
    <row r="266" ht="22.5" customHeight="1">
      <c r="A266" s="49"/>
      <c r="C266" s="93" t="s">
        <v>1851</v>
      </c>
      <c r="D266" s="93" t="s">
        <v>364</v>
      </c>
      <c r="E266" s="93" t="s">
        <v>1852</v>
      </c>
      <c r="F266" s="93" t="s">
        <v>1809</v>
      </c>
      <c r="G266" s="93">
        <v>0.0</v>
      </c>
      <c r="H266" s="74">
        <v>2120000.0</v>
      </c>
      <c r="I266" s="96">
        <v>2020000.0</v>
      </c>
      <c r="J266" s="65" t="s">
        <v>7</v>
      </c>
      <c r="K266" s="65">
        <v>1.0</v>
      </c>
      <c r="L266" s="74">
        <v>0.0</v>
      </c>
      <c r="M266" s="93" t="s">
        <v>61</v>
      </c>
      <c r="N266" s="65">
        <f>sumif(PURCHASE!I:I,C266,PURCHASE!J:J)</f>
        <v>30</v>
      </c>
      <c r="O266" s="65">
        <f>sumif('SELLING CASH'!E:E,C266,'SELLING CASH'!F:F)</f>
        <v>0</v>
      </c>
      <c r="P266" s="65">
        <f>sumif('SELLING CREDIT'!F:F,C266,'SELLING CREDIT'!G:G)</f>
        <v>30</v>
      </c>
      <c r="Q266" s="65">
        <f t="shared" si="1"/>
        <v>0</v>
      </c>
      <c r="V266" s="255"/>
      <c r="X266" s="9"/>
      <c r="Y266" s="9"/>
      <c r="Z266" s="9"/>
      <c r="AD266" s="101"/>
      <c r="AF266" s="9"/>
      <c r="AG266" s="9"/>
      <c r="AH266" s="9"/>
    </row>
    <row r="267" ht="22.5" customHeight="1">
      <c r="A267" s="49"/>
      <c r="C267" s="93" t="s">
        <v>1582</v>
      </c>
      <c r="D267" s="93" t="s">
        <v>1854</v>
      </c>
      <c r="E267" s="93" t="s">
        <v>1855</v>
      </c>
      <c r="F267" s="93" t="s">
        <v>1856</v>
      </c>
      <c r="G267" s="93">
        <v>0.0</v>
      </c>
      <c r="H267" s="74">
        <v>4050000.0</v>
      </c>
      <c r="I267" s="96">
        <v>3800000.0</v>
      </c>
      <c r="J267" s="65" t="s">
        <v>7</v>
      </c>
      <c r="K267" s="65">
        <v>1.0</v>
      </c>
      <c r="L267" s="74">
        <v>0.0</v>
      </c>
      <c r="M267" s="93" t="s">
        <v>61</v>
      </c>
      <c r="N267" s="65">
        <f>sumif(PURCHASE!I:I,C267,PURCHASE!J:J)</f>
        <v>4</v>
      </c>
      <c r="O267" s="65">
        <f>sumif('SELLING CASH'!E:E,C267,'SELLING CASH'!F:F)</f>
        <v>0</v>
      </c>
      <c r="P267" s="65">
        <f>sumif('SELLING CREDIT'!F:F,C267,'SELLING CREDIT'!G:G)</f>
        <v>4</v>
      </c>
      <c r="Q267" s="65">
        <f t="shared" si="1"/>
        <v>0</v>
      </c>
      <c r="V267" s="255"/>
      <c r="X267" s="9"/>
      <c r="Y267" s="9"/>
      <c r="Z267" s="9"/>
      <c r="AD267" s="101"/>
      <c r="AF267" s="9"/>
      <c r="AG267" s="9"/>
      <c r="AH267" s="9"/>
    </row>
    <row r="268" ht="22.5" customHeight="1">
      <c r="A268" s="49"/>
      <c r="C268" s="93" t="s">
        <v>1858</v>
      </c>
      <c r="D268" s="93" t="s">
        <v>364</v>
      </c>
      <c r="E268" s="93" t="s">
        <v>1859</v>
      </c>
      <c r="F268" s="93" t="s">
        <v>1856</v>
      </c>
      <c r="G268" s="93">
        <v>8.0</v>
      </c>
      <c r="H268" s="74">
        <v>2130000.0</v>
      </c>
      <c r="I268" s="96">
        <v>2030000.0</v>
      </c>
      <c r="J268" s="65" t="s">
        <v>7</v>
      </c>
      <c r="K268" s="65">
        <v>1.0</v>
      </c>
      <c r="L268" s="74">
        <v>0.0</v>
      </c>
      <c r="M268" s="93" t="s">
        <v>61</v>
      </c>
      <c r="N268" s="65">
        <f>sumif(PURCHASE!I:I,C268,PURCHASE!J:J)</f>
        <v>63</v>
      </c>
      <c r="O268" s="65">
        <f>sumif('SELLING CASH'!E:E,C268,'SELLING CASH'!F:F)</f>
        <v>37</v>
      </c>
      <c r="P268" s="65">
        <f>sumif('SELLING CREDIT'!F:F,C268,'SELLING CREDIT'!G:G)</f>
        <v>25</v>
      </c>
      <c r="Q268" s="65">
        <f t="shared" si="1"/>
        <v>9</v>
      </c>
      <c r="V268" s="255"/>
      <c r="X268" s="9"/>
      <c r="Y268" s="9"/>
      <c r="Z268" s="9"/>
      <c r="AD268" s="101"/>
      <c r="AF268" s="9"/>
      <c r="AG268" s="9"/>
      <c r="AH268" s="9"/>
    </row>
    <row r="269" ht="22.5" customHeight="1">
      <c r="A269" s="49"/>
      <c r="C269" s="93" t="s">
        <v>1862</v>
      </c>
      <c r="D269" s="93" t="s">
        <v>364</v>
      </c>
      <c r="E269" s="93" t="s">
        <v>1863</v>
      </c>
      <c r="F269" s="93" t="s">
        <v>1856</v>
      </c>
      <c r="G269" s="93">
        <v>3.0</v>
      </c>
      <c r="H269" s="74">
        <v>2180000.0</v>
      </c>
      <c r="I269" s="96">
        <v>2080000.0</v>
      </c>
      <c r="J269" s="65" t="s">
        <v>7</v>
      </c>
      <c r="K269" s="65">
        <v>1.0</v>
      </c>
      <c r="L269" s="74">
        <v>0.0</v>
      </c>
      <c r="M269" s="93" t="s">
        <v>61</v>
      </c>
      <c r="N269" s="65">
        <f>sumif(PURCHASE!I:I,C269,PURCHASE!J:J)</f>
        <v>135</v>
      </c>
      <c r="O269" s="65">
        <f>sumif('SELLING CASH'!E:E,C269,'SELLING CASH'!F:F)</f>
        <v>46</v>
      </c>
      <c r="P269" s="65">
        <f>sumif('SELLING CREDIT'!F:F,C269,'SELLING CREDIT'!G:G)</f>
        <v>88</v>
      </c>
      <c r="Q269" s="65">
        <f t="shared" si="1"/>
        <v>4</v>
      </c>
      <c r="V269" s="255"/>
      <c r="X269" s="9"/>
      <c r="Y269" s="9"/>
      <c r="Z269" s="9"/>
      <c r="AD269" s="101"/>
      <c r="AF269" s="9"/>
      <c r="AG269" s="9"/>
      <c r="AH269" s="9"/>
    </row>
    <row r="270" ht="22.5" customHeight="1">
      <c r="A270" s="49"/>
      <c r="C270" s="93" t="s">
        <v>1864</v>
      </c>
      <c r="D270" s="93" t="s">
        <v>364</v>
      </c>
      <c r="E270" s="93" t="s">
        <v>1865</v>
      </c>
      <c r="F270" s="93" t="s">
        <v>1866</v>
      </c>
      <c r="G270" s="93">
        <v>0.0</v>
      </c>
      <c r="H270" s="74">
        <v>1920000.0</v>
      </c>
      <c r="I270" s="96">
        <v>1800000.0</v>
      </c>
      <c r="J270" s="65" t="s">
        <v>7</v>
      </c>
      <c r="K270" s="65">
        <v>1.0</v>
      </c>
      <c r="L270" s="74">
        <v>0.0</v>
      </c>
      <c r="M270" s="93" t="s">
        <v>61</v>
      </c>
      <c r="N270" s="65">
        <f>sumif(PURCHASE!I:I,C270,PURCHASE!J:J)</f>
        <v>0</v>
      </c>
      <c r="O270" s="65">
        <f>sumif('SELLING CASH'!E:E,C270,'SELLING CASH'!F:F)</f>
        <v>0</v>
      </c>
      <c r="P270" s="65">
        <f>sumif('SELLING CREDIT'!F:F,C270,'SELLING CREDIT'!G:G)</f>
        <v>0</v>
      </c>
      <c r="Q270" s="65">
        <f t="shared" si="1"/>
        <v>0</v>
      </c>
      <c r="V270" s="255"/>
      <c r="X270" s="9"/>
      <c r="Y270" s="9"/>
      <c r="Z270" s="9"/>
      <c r="AD270" s="101"/>
      <c r="AF270" s="9"/>
      <c r="AG270" s="9"/>
      <c r="AH270" s="9"/>
    </row>
    <row r="271" ht="22.5" customHeight="1">
      <c r="A271" s="49"/>
      <c r="C271" s="93" t="str">
        <f>F271&amp;" "&amp;D271&amp;" "&amp;E271</f>
        <v>Goodride 750/16 </v>
      </c>
      <c r="D271" s="93" t="s">
        <v>364</v>
      </c>
      <c r="E271" s="93"/>
      <c r="F271" s="93" t="s">
        <v>1869</v>
      </c>
      <c r="G271" s="93">
        <v>0.0</v>
      </c>
      <c r="H271" s="74">
        <v>1350000.0</v>
      </c>
      <c r="I271" s="96">
        <v>1250000.0</v>
      </c>
      <c r="J271" s="93" t="s">
        <v>7</v>
      </c>
      <c r="K271" s="93">
        <v>1.0</v>
      </c>
      <c r="L271" s="74">
        <v>0.0</v>
      </c>
      <c r="M271" s="93" t="s">
        <v>61</v>
      </c>
      <c r="N271" s="65">
        <f>sumif(PURCHASE!I:I,C271,PURCHASE!J:J)</f>
        <v>4</v>
      </c>
      <c r="O271" s="65">
        <f>sumif('SELLING CASH'!E:E,C271,'SELLING CASH'!F:F)</f>
        <v>4</v>
      </c>
      <c r="P271" s="65">
        <f>sumif('SELLING CREDIT'!F:F,C271,'SELLING CREDIT'!G:G)</f>
        <v>0</v>
      </c>
      <c r="Q271" s="65">
        <f t="shared" si="1"/>
        <v>0</v>
      </c>
      <c r="V271" s="255"/>
      <c r="X271" s="9"/>
      <c r="Y271" s="9"/>
      <c r="Z271" s="9"/>
      <c r="AD271" s="101"/>
      <c r="AF271" s="9"/>
      <c r="AG271" s="9"/>
      <c r="AH271" s="9"/>
    </row>
    <row r="272" ht="22.5" customHeight="1">
      <c r="A272" s="49"/>
      <c r="C272" s="93" t="s">
        <v>1871</v>
      </c>
      <c r="D272" s="93" t="s">
        <v>509</v>
      </c>
      <c r="F272" s="93" t="s">
        <v>493</v>
      </c>
      <c r="G272" s="93">
        <v>3.0</v>
      </c>
      <c r="H272" s="74">
        <v>3340000.0</v>
      </c>
      <c r="I272" s="96">
        <v>3190000.0</v>
      </c>
      <c r="J272" s="65" t="s">
        <v>7</v>
      </c>
      <c r="K272" s="65">
        <v>1.0</v>
      </c>
      <c r="L272" s="74">
        <v>0.0</v>
      </c>
      <c r="M272" s="93" t="s">
        <v>61</v>
      </c>
      <c r="N272" s="65">
        <f>sumif(PURCHASE!I:I,C272,PURCHASE!J:J)</f>
        <v>14</v>
      </c>
      <c r="O272" s="65">
        <f>sumif('SELLING CASH'!E:E,C272,'SELLING CASH'!F:F)</f>
        <v>1</v>
      </c>
      <c r="P272" s="65">
        <f>sumif('SELLING CREDIT'!F:F,C272,'SELLING CREDIT'!G:G)</f>
        <v>14</v>
      </c>
      <c r="Q272" s="65">
        <f t="shared" si="1"/>
        <v>2</v>
      </c>
      <c r="V272" s="255"/>
      <c r="X272" s="9"/>
      <c r="Y272" s="9"/>
      <c r="Z272" s="9"/>
      <c r="AD272" s="101"/>
      <c r="AF272" s="9"/>
      <c r="AG272" s="9"/>
      <c r="AH272" s="9"/>
    </row>
    <row r="273" ht="22.5" customHeight="1">
      <c r="A273" s="49"/>
      <c r="C273" s="93" t="s">
        <v>1873</v>
      </c>
      <c r="D273" s="93" t="s">
        <v>1874</v>
      </c>
      <c r="E273" s="93" t="s">
        <v>1876</v>
      </c>
      <c r="F273" s="93" t="s">
        <v>493</v>
      </c>
      <c r="G273" s="93">
        <v>1.0</v>
      </c>
      <c r="H273" s="74">
        <v>4000000.0</v>
      </c>
      <c r="I273" s="96">
        <v>3750000.0</v>
      </c>
      <c r="J273" s="65" t="s">
        <v>7</v>
      </c>
      <c r="K273" s="65">
        <v>1.0</v>
      </c>
      <c r="L273" s="74">
        <v>0.0</v>
      </c>
      <c r="M273" s="93" t="s">
        <v>61</v>
      </c>
      <c r="N273" s="65">
        <f>sumif(PURCHASE!I:I,C273,PURCHASE!J:J)</f>
        <v>2</v>
      </c>
      <c r="O273" s="65">
        <f>sumif('SELLING CASH'!E:E,C273,'SELLING CASH'!F:F)</f>
        <v>1</v>
      </c>
      <c r="P273" s="65">
        <f>sumif('SELLING CREDIT'!F:F,C273,'SELLING CREDIT'!G:G)</f>
        <v>2</v>
      </c>
      <c r="Q273" s="65">
        <f t="shared" si="1"/>
        <v>0</v>
      </c>
      <c r="V273" s="255"/>
      <c r="X273" s="9"/>
      <c r="Y273" s="9"/>
      <c r="Z273" s="9"/>
      <c r="AD273" s="101"/>
      <c r="AF273" s="9"/>
      <c r="AG273" s="9"/>
      <c r="AH273" s="9"/>
    </row>
    <row r="274" ht="22.5" customHeight="1">
      <c r="A274" s="49"/>
      <c r="C274" s="93" t="s">
        <v>1877</v>
      </c>
      <c r="D274" s="93" t="s">
        <v>1879</v>
      </c>
      <c r="E274" s="93" t="s">
        <v>1880</v>
      </c>
      <c r="F274" s="93" t="s">
        <v>493</v>
      </c>
      <c r="G274" s="93">
        <v>0.0</v>
      </c>
      <c r="H274" s="74">
        <v>500000.0</v>
      </c>
      <c r="I274" s="96">
        <v>375000.0</v>
      </c>
      <c r="J274" s="65" t="s">
        <v>7</v>
      </c>
      <c r="K274" s="65">
        <v>1.0</v>
      </c>
      <c r="L274" s="74">
        <v>0.0</v>
      </c>
      <c r="M274" s="93" t="s">
        <v>61</v>
      </c>
      <c r="N274" s="65">
        <f>sumif(PURCHASE!I:I,C274,PURCHASE!J:J)</f>
        <v>0</v>
      </c>
      <c r="O274" s="65">
        <f>sumif('SELLING CASH'!E:E,C274,'SELLING CASH'!F:F)</f>
        <v>0</v>
      </c>
      <c r="P274" s="65">
        <f>sumif('SELLING CREDIT'!F:F,C274,'SELLING CREDIT'!G:G)</f>
        <v>0</v>
      </c>
      <c r="Q274" s="65">
        <f t="shared" si="1"/>
        <v>0</v>
      </c>
      <c r="V274" s="255"/>
      <c r="X274" s="9"/>
      <c r="Y274" s="9"/>
      <c r="Z274" s="9"/>
      <c r="AD274" s="101"/>
      <c r="AF274" s="9"/>
      <c r="AG274" s="9"/>
      <c r="AH274" s="9"/>
    </row>
    <row r="275" ht="22.5" customHeight="1">
      <c r="A275" s="49"/>
      <c r="C275" s="93" t="s">
        <v>1881</v>
      </c>
      <c r="D275" s="93" t="s">
        <v>1384</v>
      </c>
      <c r="E275" s="93" t="s">
        <v>1882</v>
      </c>
      <c r="F275" s="93" t="s">
        <v>493</v>
      </c>
      <c r="G275" s="93">
        <v>0.0</v>
      </c>
      <c r="H275" s="74">
        <v>460000.0</v>
      </c>
      <c r="I275" s="96">
        <v>361000.0</v>
      </c>
      <c r="J275" s="65" t="s">
        <v>7</v>
      </c>
      <c r="K275" s="65">
        <v>1.0</v>
      </c>
      <c r="L275" s="74">
        <v>0.0</v>
      </c>
      <c r="M275" s="93" t="s">
        <v>61</v>
      </c>
      <c r="N275" s="65">
        <f>sumif(PURCHASE!I:I,C275,PURCHASE!J:J)</f>
        <v>0</v>
      </c>
      <c r="O275" s="65">
        <f>sumif('SELLING CASH'!E:E,C275,'SELLING CASH'!F:F)</f>
        <v>0</v>
      </c>
      <c r="P275" s="65">
        <f>sumif('SELLING CREDIT'!F:F,C275,'SELLING CREDIT'!G:G)</f>
        <v>0</v>
      </c>
      <c r="Q275" s="65">
        <f t="shared" si="1"/>
        <v>0</v>
      </c>
      <c r="V275" s="255"/>
      <c r="X275" s="9"/>
      <c r="Y275" s="9"/>
      <c r="Z275" s="9"/>
      <c r="AD275" s="101"/>
      <c r="AF275" s="9"/>
      <c r="AG275" s="9"/>
      <c r="AH275" s="9"/>
    </row>
    <row r="276" ht="22.5" customHeight="1">
      <c r="A276" s="49"/>
      <c r="C276" s="93" t="s">
        <v>1439</v>
      </c>
      <c r="D276" s="93" t="s">
        <v>892</v>
      </c>
      <c r="E276" s="93" t="s">
        <v>1885</v>
      </c>
      <c r="F276" s="93" t="s">
        <v>493</v>
      </c>
      <c r="G276" s="93">
        <v>5.0</v>
      </c>
      <c r="H276" s="74">
        <v>645000.0</v>
      </c>
      <c r="I276" s="96">
        <v>556800.0</v>
      </c>
      <c r="J276" s="65" t="s">
        <v>7</v>
      </c>
      <c r="K276" s="65">
        <v>1.0</v>
      </c>
      <c r="L276" s="74">
        <v>0.0</v>
      </c>
      <c r="M276" s="93" t="s">
        <v>61</v>
      </c>
      <c r="N276" s="65">
        <f>sumif(PURCHASE!I:I,C276,PURCHASE!J:J)</f>
        <v>133</v>
      </c>
      <c r="O276" s="65">
        <f>sumif('SELLING CASH'!E:E,C276,'SELLING CASH'!F:F)</f>
        <v>135</v>
      </c>
      <c r="P276" s="65">
        <f>sumif('SELLING CREDIT'!F:F,C276,'SELLING CREDIT'!G:G)</f>
        <v>2</v>
      </c>
      <c r="Q276" s="65">
        <f t="shared" si="1"/>
        <v>1</v>
      </c>
      <c r="V276" s="255"/>
      <c r="X276" s="9"/>
      <c r="Y276" s="9"/>
      <c r="Z276" s="9"/>
      <c r="AD276" s="101"/>
      <c r="AF276" s="9"/>
      <c r="AG276" s="9"/>
      <c r="AH276" s="9"/>
    </row>
    <row r="277" ht="22.5" customHeight="1">
      <c r="A277" s="49"/>
      <c r="C277" s="93" t="s">
        <v>1886</v>
      </c>
      <c r="D277" s="93" t="s">
        <v>85</v>
      </c>
      <c r="E277" s="93" t="s">
        <v>1880</v>
      </c>
      <c r="F277" s="93" t="s">
        <v>493</v>
      </c>
      <c r="G277" s="93">
        <v>1.0</v>
      </c>
      <c r="H277" s="74">
        <v>520000.0</v>
      </c>
      <c r="I277" s="96">
        <v>411100.0</v>
      </c>
      <c r="J277" s="65" t="s">
        <v>7</v>
      </c>
      <c r="K277" s="65">
        <v>1.0</v>
      </c>
      <c r="L277" s="74">
        <v>0.0</v>
      </c>
      <c r="M277" s="93" t="s">
        <v>61</v>
      </c>
      <c r="N277" s="65">
        <f>sumif(PURCHASE!I:I,C277,PURCHASE!J:J)</f>
        <v>0</v>
      </c>
      <c r="O277" s="65">
        <f>sumif('SELLING CASH'!E:E,C277,'SELLING CASH'!F:F)</f>
        <v>6</v>
      </c>
      <c r="P277" s="65">
        <f>sumif('SELLING CREDIT'!F:F,C277,'SELLING CREDIT'!G:G)</f>
        <v>0</v>
      </c>
      <c r="Q277" s="65">
        <f t="shared" si="1"/>
        <v>-5</v>
      </c>
      <c r="V277" s="255"/>
      <c r="X277" s="9"/>
      <c r="Y277" s="9"/>
      <c r="Z277" s="9"/>
      <c r="AD277" s="101"/>
      <c r="AF277" s="9"/>
      <c r="AG277" s="9"/>
      <c r="AH277" s="9"/>
    </row>
    <row r="278" ht="22.5" customHeight="1">
      <c r="A278" s="49"/>
      <c r="C278" s="93" t="s">
        <v>1888</v>
      </c>
      <c r="D278" s="93" t="s">
        <v>1889</v>
      </c>
      <c r="E278" s="93" t="s">
        <v>1880</v>
      </c>
      <c r="F278" s="93" t="s">
        <v>493</v>
      </c>
      <c r="G278" s="93">
        <v>0.0</v>
      </c>
      <c r="H278" s="74">
        <v>500000.0</v>
      </c>
      <c r="I278" s="96">
        <v>400000.0</v>
      </c>
      <c r="J278" s="65" t="s">
        <v>7</v>
      </c>
      <c r="K278" s="65">
        <v>1.0</v>
      </c>
      <c r="L278" s="74">
        <v>0.0</v>
      </c>
      <c r="M278" s="93" t="s">
        <v>61</v>
      </c>
      <c r="N278" s="65">
        <f>sumif(PURCHASE!I:I,C278,PURCHASE!J:J)</f>
        <v>0</v>
      </c>
      <c r="O278" s="65">
        <f>sumif('SELLING CASH'!E:E,C278,'SELLING CASH'!F:F)</f>
        <v>0</v>
      </c>
      <c r="P278" s="65">
        <f>sumif('SELLING CREDIT'!F:F,C278,'SELLING CREDIT'!G:G)</f>
        <v>0</v>
      </c>
      <c r="Q278" s="65">
        <f t="shared" si="1"/>
        <v>0</v>
      </c>
      <c r="V278" s="255"/>
      <c r="X278" s="9"/>
      <c r="Y278" s="9"/>
      <c r="Z278" s="9"/>
      <c r="AD278" s="101"/>
      <c r="AF278" s="9"/>
      <c r="AG278" s="9"/>
      <c r="AH278" s="9"/>
    </row>
    <row r="279" ht="22.5" customHeight="1">
      <c r="A279" s="49"/>
      <c r="C279" s="93" t="s">
        <v>286</v>
      </c>
      <c r="D279" s="93" t="s">
        <v>103</v>
      </c>
      <c r="E279" s="93" t="s">
        <v>1880</v>
      </c>
      <c r="F279" s="93" t="s">
        <v>493</v>
      </c>
      <c r="G279" s="93">
        <v>0.0</v>
      </c>
      <c r="H279" s="74">
        <v>580000.0</v>
      </c>
      <c r="I279" s="193">
        <v>488320.0</v>
      </c>
      <c r="J279" s="65" t="s">
        <v>7</v>
      </c>
      <c r="K279" s="65">
        <v>1.0</v>
      </c>
      <c r="L279" s="74">
        <v>0.0</v>
      </c>
      <c r="M279" s="93" t="s">
        <v>61</v>
      </c>
      <c r="N279" s="65">
        <f>sumif(PURCHASE!I:I,C279,PURCHASE!J:J)</f>
        <v>419</v>
      </c>
      <c r="O279" s="65">
        <f>sumif('SELLING CASH'!E:E,C279,'SELLING CASH'!F:F)</f>
        <v>427</v>
      </c>
      <c r="P279" s="65">
        <f>sumif('SELLING CREDIT'!F:F,C279,'SELLING CREDIT'!G:G)</f>
        <v>1</v>
      </c>
      <c r="Q279" s="65">
        <f t="shared" si="1"/>
        <v>-9</v>
      </c>
      <c r="V279" s="255"/>
      <c r="X279" s="9"/>
      <c r="Y279" s="9"/>
      <c r="Z279" s="9"/>
      <c r="AD279" s="101"/>
      <c r="AF279" s="9"/>
      <c r="AG279" s="9"/>
      <c r="AH279" s="9"/>
    </row>
    <row r="280" ht="22.5" customHeight="1">
      <c r="A280" s="49"/>
      <c r="C280" s="93" t="s">
        <v>856</v>
      </c>
      <c r="D280" s="93" t="s">
        <v>116</v>
      </c>
      <c r="E280" s="93" t="s">
        <v>1885</v>
      </c>
      <c r="F280" s="93" t="s">
        <v>493</v>
      </c>
      <c r="G280" s="93">
        <v>8.0</v>
      </c>
      <c r="H280" s="140">
        <v>700000.0</v>
      </c>
      <c r="I280" s="193">
        <v>615300.0</v>
      </c>
      <c r="J280" s="65" t="s">
        <v>7</v>
      </c>
      <c r="K280" s="65">
        <v>1.0</v>
      </c>
      <c r="L280" s="74">
        <v>0.0</v>
      </c>
      <c r="M280" s="93" t="s">
        <v>61</v>
      </c>
      <c r="N280" s="65">
        <f>sumif(PURCHASE!I:I,C280,PURCHASE!J:J)</f>
        <v>109</v>
      </c>
      <c r="O280" s="65">
        <f>sumif('SELLING CASH'!E:E,C280,'SELLING CASH'!F:F)</f>
        <v>116</v>
      </c>
      <c r="P280" s="65">
        <f>sumif('SELLING CREDIT'!F:F,C280,'SELLING CREDIT'!G:G)</f>
        <v>2</v>
      </c>
      <c r="Q280" s="65">
        <f t="shared" si="1"/>
        <v>-1</v>
      </c>
      <c r="V280" s="255"/>
      <c r="X280" s="9"/>
      <c r="Y280" s="9"/>
      <c r="Z280" s="9"/>
      <c r="AD280" s="101"/>
      <c r="AF280" s="9"/>
      <c r="AG280" s="9"/>
      <c r="AH280" s="9"/>
    </row>
    <row r="281" ht="22.5" customHeight="1">
      <c r="A281" s="49"/>
      <c r="C281" s="93" t="s">
        <v>839</v>
      </c>
      <c r="D281" s="93" t="s">
        <v>127</v>
      </c>
      <c r="E281" s="93" t="s">
        <v>1880</v>
      </c>
      <c r="F281" s="93" t="s">
        <v>493</v>
      </c>
      <c r="G281" s="93">
        <v>6.0</v>
      </c>
      <c r="H281" s="140">
        <v>600000.0</v>
      </c>
      <c r="I281" s="193">
        <v>512640.0</v>
      </c>
      <c r="J281" s="65" t="s">
        <v>7</v>
      </c>
      <c r="K281" s="65">
        <v>1.0</v>
      </c>
      <c r="L281" s="74">
        <v>0.0</v>
      </c>
      <c r="M281" s="93" t="s">
        <v>61</v>
      </c>
      <c r="N281" s="65">
        <f>sumif(PURCHASE!I:I,C281,PURCHASE!J:J)</f>
        <v>154</v>
      </c>
      <c r="O281" s="65">
        <f>sumif('SELLING CASH'!E:E,C281,'SELLING CASH'!F:F)</f>
        <v>146</v>
      </c>
      <c r="P281" s="65">
        <f>sumif('SELLING CREDIT'!F:F,C281,'SELLING CREDIT'!G:G)</f>
        <v>3</v>
      </c>
      <c r="Q281" s="65">
        <f t="shared" si="1"/>
        <v>11</v>
      </c>
      <c r="V281" s="255"/>
      <c r="X281" s="9"/>
      <c r="Y281" s="9"/>
      <c r="Z281" s="9"/>
      <c r="AD281" s="101"/>
      <c r="AF281" s="9"/>
      <c r="AG281" s="9"/>
      <c r="AH281" s="9"/>
    </row>
    <row r="282" ht="22.5" customHeight="1">
      <c r="A282" s="49"/>
      <c r="C282" s="93" t="s">
        <v>1893</v>
      </c>
      <c r="D282" s="93" t="s">
        <v>1419</v>
      </c>
      <c r="E282" s="93" t="s">
        <v>1882</v>
      </c>
      <c r="F282" s="93" t="s">
        <v>493</v>
      </c>
      <c r="G282" s="93">
        <v>0.0</v>
      </c>
      <c r="H282" s="74">
        <v>500000.0</v>
      </c>
      <c r="I282" s="96">
        <v>404900.0</v>
      </c>
      <c r="J282" s="65" t="s">
        <v>7</v>
      </c>
      <c r="K282" s="65">
        <v>1.0</v>
      </c>
      <c r="L282" s="74">
        <v>0.0</v>
      </c>
      <c r="M282" s="93" t="s">
        <v>61</v>
      </c>
      <c r="N282" s="65">
        <f>sumif(PURCHASE!I:I,C282,PURCHASE!J:J)</f>
        <v>0</v>
      </c>
      <c r="O282" s="65">
        <f>sumif('SELLING CASH'!E:E,C282,'SELLING CASH'!F:F)</f>
        <v>10</v>
      </c>
      <c r="P282" s="65">
        <f>sumif('SELLING CREDIT'!F:F,C282,'SELLING CREDIT'!G:G)</f>
        <v>0</v>
      </c>
      <c r="Q282" s="65">
        <f t="shared" si="1"/>
        <v>-10</v>
      </c>
      <c r="V282" s="255"/>
      <c r="X282" s="9"/>
      <c r="Y282" s="9"/>
      <c r="Z282" s="9"/>
      <c r="AD282" s="101"/>
      <c r="AF282" s="9"/>
      <c r="AG282" s="9"/>
      <c r="AH282" s="9"/>
    </row>
    <row r="283" ht="22.5" customHeight="1">
      <c r="A283" s="49"/>
      <c r="C283" s="93" t="s">
        <v>1894</v>
      </c>
      <c r="D283" s="93" t="s">
        <v>140</v>
      </c>
      <c r="E283" s="93" t="s">
        <v>1880</v>
      </c>
      <c r="F283" s="93" t="s">
        <v>493</v>
      </c>
      <c r="G283" s="93">
        <v>0.0</v>
      </c>
      <c r="H283" s="74">
        <v>545000.0</v>
      </c>
      <c r="I283" s="193">
        <v>458600.0</v>
      </c>
      <c r="J283" s="65" t="s">
        <v>7</v>
      </c>
      <c r="K283" s="65">
        <v>1.0</v>
      </c>
      <c r="L283" s="74">
        <v>0.0</v>
      </c>
      <c r="M283" s="93" t="s">
        <v>61</v>
      </c>
      <c r="N283" s="65">
        <f>sumif(PURCHASE!I:I,C283,PURCHASE!J:J)</f>
        <v>24</v>
      </c>
      <c r="O283" s="65">
        <f>sumif('SELLING CASH'!E:E,C283,'SELLING CASH'!F:F)</f>
        <v>22</v>
      </c>
      <c r="P283" s="65">
        <f>sumif('SELLING CREDIT'!F:F,C283,'SELLING CREDIT'!G:G)</f>
        <v>1</v>
      </c>
      <c r="Q283" s="65">
        <f t="shared" si="1"/>
        <v>1</v>
      </c>
      <c r="V283" s="255"/>
      <c r="X283" s="9"/>
      <c r="Y283" s="9"/>
      <c r="Z283" s="9"/>
      <c r="AD283" s="101"/>
      <c r="AF283" s="9"/>
      <c r="AG283" s="9"/>
      <c r="AH283" s="9"/>
    </row>
    <row r="284" ht="22.5" customHeight="1">
      <c r="A284" s="49"/>
      <c r="C284" s="93" t="s">
        <v>287</v>
      </c>
      <c r="D284" s="93" t="s">
        <v>151</v>
      </c>
      <c r="E284" s="93" t="s">
        <v>1885</v>
      </c>
      <c r="F284" s="93" t="s">
        <v>493</v>
      </c>
      <c r="G284" s="93">
        <v>8.0</v>
      </c>
      <c r="H284" s="74">
        <v>800000.0</v>
      </c>
      <c r="I284" s="96">
        <v>711000.0</v>
      </c>
      <c r="J284" s="65" t="s">
        <v>7</v>
      </c>
      <c r="K284" s="65">
        <v>1.0</v>
      </c>
      <c r="L284" s="74">
        <v>0.0</v>
      </c>
      <c r="M284" s="93" t="s">
        <v>61</v>
      </c>
      <c r="N284" s="65">
        <f>sumif(PURCHASE!I:I,C284,PURCHASE!J:J)</f>
        <v>93</v>
      </c>
      <c r="O284" s="65">
        <f>sumif('SELLING CASH'!E:E,C284,'SELLING CASH'!F:F)</f>
        <v>87</v>
      </c>
      <c r="P284" s="65">
        <f>sumif('SELLING CREDIT'!F:F,C284,'SELLING CREDIT'!G:G)</f>
        <v>0</v>
      </c>
      <c r="Q284" s="65">
        <f t="shared" si="1"/>
        <v>14</v>
      </c>
      <c r="V284" s="255"/>
      <c r="X284" s="9"/>
      <c r="Y284" s="9"/>
      <c r="Z284" s="9"/>
      <c r="AD284" s="101"/>
      <c r="AF284" s="9"/>
      <c r="AG284" s="9"/>
      <c r="AH284" s="9"/>
    </row>
    <row r="285" ht="22.5" customHeight="1">
      <c r="A285" s="49"/>
      <c r="C285" s="93" t="s">
        <v>1896</v>
      </c>
      <c r="D285" s="93" t="s">
        <v>948</v>
      </c>
      <c r="E285" s="93" t="s">
        <v>1897</v>
      </c>
      <c r="F285" s="93" t="s">
        <v>493</v>
      </c>
      <c r="G285" s="93">
        <v>0.0</v>
      </c>
      <c r="H285" s="74">
        <v>675000.0</v>
      </c>
      <c r="I285" s="96">
        <v>575000.0</v>
      </c>
      <c r="J285" s="65" t="s">
        <v>7</v>
      </c>
      <c r="K285" s="65">
        <v>1.0</v>
      </c>
      <c r="L285" s="74">
        <v>0.0</v>
      </c>
      <c r="M285" s="93" t="s">
        <v>61</v>
      </c>
      <c r="N285" s="65">
        <f>sumif(PURCHASE!I:I,C285,PURCHASE!J:J)</f>
        <v>0</v>
      </c>
      <c r="O285" s="65">
        <f>sumif('SELLING CASH'!E:E,C285,'SELLING CASH'!F:F)</f>
        <v>1</v>
      </c>
      <c r="P285" s="65">
        <f>sumif('SELLING CREDIT'!F:F,C285,'SELLING CREDIT'!G:G)</f>
        <v>0</v>
      </c>
      <c r="Q285" s="65">
        <f t="shared" si="1"/>
        <v>-1</v>
      </c>
      <c r="V285" s="255"/>
      <c r="X285" s="9"/>
      <c r="Y285" s="9"/>
      <c r="Z285" s="9"/>
      <c r="AD285" s="101"/>
      <c r="AF285" s="9"/>
      <c r="AG285" s="9"/>
      <c r="AH285" s="9"/>
    </row>
    <row r="286" ht="22.5" customHeight="1">
      <c r="A286" s="49"/>
      <c r="C286" s="93" t="s">
        <v>1898</v>
      </c>
      <c r="D286" s="93" t="s">
        <v>948</v>
      </c>
      <c r="E286" s="93" t="s">
        <v>1899</v>
      </c>
      <c r="F286" s="93" t="s">
        <v>493</v>
      </c>
      <c r="G286" s="93">
        <v>1.0</v>
      </c>
      <c r="H286" s="74">
        <v>720000.0</v>
      </c>
      <c r="I286" s="193">
        <v>640700.0</v>
      </c>
      <c r="J286" s="65" t="s">
        <v>7</v>
      </c>
      <c r="K286" s="65">
        <v>1.0</v>
      </c>
      <c r="L286" s="74">
        <v>0.0</v>
      </c>
      <c r="M286" s="93" t="s">
        <v>61</v>
      </c>
      <c r="N286" s="65">
        <f>sumif(PURCHASE!I:I,C286,PURCHASE!J:J)</f>
        <v>12</v>
      </c>
      <c r="O286" s="65">
        <f>sumif('SELLING CASH'!E:E,C286,'SELLING CASH'!F:F)</f>
        <v>13</v>
      </c>
      <c r="P286" s="65">
        <f>sumif('SELLING CREDIT'!F:F,C286,'SELLING CREDIT'!G:G)</f>
        <v>0</v>
      </c>
      <c r="Q286" s="65">
        <f t="shared" si="1"/>
        <v>0</v>
      </c>
      <c r="V286" s="255"/>
      <c r="X286" s="9"/>
      <c r="Y286" s="9"/>
      <c r="Z286" s="9"/>
      <c r="AD286" s="101"/>
      <c r="AF286" s="9"/>
      <c r="AG286" s="9"/>
      <c r="AH286" s="9"/>
    </row>
    <row r="287" ht="22.5" customHeight="1">
      <c r="A287" s="49"/>
      <c r="C287" s="93" t="s">
        <v>1783</v>
      </c>
      <c r="D287" s="93" t="s">
        <v>948</v>
      </c>
      <c r="E287" s="93" t="s">
        <v>1880</v>
      </c>
      <c r="F287" s="93" t="s">
        <v>493</v>
      </c>
      <c r="G287" s="93">
        <v>0.0</v>
      </c>
      <c r="H287" s="74">
        <v>730000.0</v>
      </c>
      <c r="I287" s="96">
        <v>628100.0</v>
      </c>
      <c r="J287" s="65" t="s">
        <v>7</v>
      </c>
      <c r="K287" s="65">
        <v>1.0</v>
      </c>
      <c r="L287" s="74">
        <v>0.0</v>
      </c>
      <c r="M287" s="93" t="s">
        <v>61</v>
      </c>
      <c r="N287" s="65">
        <f>sumif(PURCHASE!I:I,C287,PURCHASE!J:J)</f>
        <v>6</v>
      </c>
      <c r="O287" s="65">
        <f>sumif('SELLING CASH'!E:E,C287,'SELLING CASH'!F:F)</f>
        <v>6</v>
      </c>
      <c r="P287" s="65">
        <f>sumif('SELLING CREDIT'!F:F,C287,'SELLING CREDIT'!G:G)</f>
        <v>0</v>
      </c>
      <c r="Q287" s="65">
        <f t="shared" si="1"/>
        <v>0</v>
      </c>
      <c r="V287" s="255"/>
      <c r="X287" s="9"/>
      <c r="Y287" s="9"/>
      <c r="Z287" s="9"/>
      <c r="AD287" s="101"/>
      <c r="AF287" s="9"/>
      <c r="AG287" s="9"/>
      <c r="AH287" s="9"/>
    </row>
    <row r="288" ht="22.5" customHeight="1">
      <c r="A288" s="49"/>
      <c r="C288" s="93" t="s">
        <v>1902</v>
      </c>
      <c r="D288" s="93" t="s">
        <v>958</v>
      </c>
      <c r="E288" s="93" t="s">
        <v>1880</v>
      </c>
      <c r="F288" s="93" t="s">
        <v>493</v>
      </c>
      <c r="G288" s="93">
        <v>0.0</v>
      </c>
      <c r="H288" s="74">
        <v>750000.0</v>
      </c>
      <c r="I288" s="96">
        <v>662000.0</v>
      </c>
      <c r="J288" s="65" t="s">
        <v>7</v>
      </c>
      <c r="K288" s="65">
        <v>1.0</v>
      </c>
      <c r="L288" s="74">
        <v>0.0</v>
      </c>
      <c r="M288" s="93" t="s">
        <v>61</v>
      </c>
      <c r="N288" s="65">
        <f>sumif(PURCHASE!I:I,C288,PURCHASE!J:J)</f>
        <v>0</v>
      </c>
      <c r="O288" s="65">
        <f>sumif('SELLING CASH'!E:E,C288,'SELLING CASH'!F:F)</f>
        <v>0</v>
      </c>
      <c r="P288" s="65">
        <f>sumif('SELLING CREDIT'!F:F,C288,'SELLING CREDIT'!G:G)</f>
        <v>0</v>
      </c>
      <c r="Q288" s="65">
        <f t="shared" si="1"/>
        <v>0</v>
      </c>
      <c r="V288" s="255"/>
      <c r="X288" s="9"/>
      <c r="Y288" s="9"/>
      <c r="Z288" s="9"/>
      <c r="AD288" s="101"/>
      <c r="AF288" s="9"/>
      <c r="AG288" s="9"/>
      <c r="AH288" s="9"/>
    </row>
    <row r="289" ht="22.5" customHeight="1">
      <c r="A289" s="49"/>
      <c r="C289" s="93" t="s">
        <v>1430</v>
      </c>
      <c r="D289" s="93" t="s">
        <v>958</v>
      </c>
      <c r="E289" s="93" t="s">
        <v>1904</v>
      </c>
      <c r="F289" s="93" t="s">
        <v>493</v>
      </c>
      <c r="G289" s="93">
        <v>3.0</v>
      </c>
      <c r="H289" s="74">
        <v>775000.0</v>
      </c>
      <c r="I289" s="96">
        <v>672800.0</v>
      </c>
      <c r="J289" s="65" t="s">
        <v>7</v>
      </c>
      <c r="K289" s="65">
        <v>1.0</v>
      </c>
      <c r="L289" s="74">
        <v>0.0</v>
      </c>
      <c r="M289" s="93" t="s">
        <v>61</v>
      </c>
      <c r="N289" s="65">
        <f>sumif(PURCHASE!I:I,C289,PURCHASE!J:J)</f>
        <v>22</v>
      </c>
      <c r="O289" s="65">
        <f>sumif('SELLING CASH'!E:E,C289,'SELLING CASH'!F:F)</f>
        <v>22</v>
      </c>
      <c r="P289" s="65">
        <f>sumif('SELLING CREDIT'!F:F,C289,'SELLING CREDIT'!G:G)</f>
        <v>0</v>
      </c>
      <c r="Q289" s="65">
        <f t="shared" si="1"/>
        <v>3</v>
      </c>
      <c r="V289" s="255"/>
      <c r="X289" s="9"/>
      <c r="Y289" s="9"/>
      <c r="Z289" s="9"/>
      <c r="AD289" s="101"/>
      <c r="AF289" s="9"/>
      <c r="AG289" s="9"/>
      <c r="AH289" s="9"/>
    </row>
    <row r="290" ht="22.5" customHeight="1">
      <c r="A290" s="49"/>
      <c r="C290" s="93" t="s">
        <v>1907</v>
      </c>
      <c r="D290" s="93" t="s">
        <v>1908</v>
      </c>
      <c r="E290" s="93" t="s">
        <v>1880</v>
      </c>
      <c r="F290" s="93" t="s">
        <v>493</v>
      </c>
      <c r="G290" s="93">
        <v>2.0</v>
      </c>
      <c r="H290" s="74">
        <v>630000.0</v>
      </c>
      <c r="I290" s="96">
        <v>515000.0</v>
      </c>
      <c r="J290" s="65" t="s">
        <v>7</v>
      </c>
      <c r="K290" s="65">
        <v>1.0</v>
      </c>
      <c r="L290" s="74">
        <v>0.0</v>
      </c>
      <c r="M290" s="93" t="s">
        <v>61</v>
      </c>
      <c r="N290" s="65">
        <f>sumif(PURCHASE!I:I,C290,PURCHASE!J:J)</f>
        <v>0</v>
      </c>
      <c r="O290" s="65">
        <f>sumif('SELLING CASH'!E:E,C290,'SELLING CASH'!F:F)</f>
        <v>4</v>
      </c>
      <c r="P290" s="65">
        <f>sumif('SELLING CREDIT'!F:F,C290,'SELLING CREDIT'!G:G)</f>
        <v>0</v>
      </c>
      <c r="Q290" s="65">
        <f t="shared" si="1"/>
        <v>-2</v>
      </c>
      <c r="V290" s="255"/>
      <c r="X290" s="9"/>
      <c r="Y290" s="9"/>
      <c r="Z290" s="9"/>
      <c r="AD290" s="101"/>
      <c r="AF290" s="9"/>
      <c r="AG290" s="9"/>
      <c r="AH290" s="9"/>
    </row>
    <row r="291" ht="22.5" customHeight="1">
      <c r="A291" s="49"/>
      <c r="C291" s="93" t="s">
        <v>1909</v>
      </c>
      <c r="D291" s="93" t="s">
        <v>1908</v>
      </c>
      <c r="E291" s="93" t="s">
        <v>1911</v>
      </c>
      <c r="F291" s="93" t="s">
        <v>493</v>
      </c>
      <c r="G291" s="93">
        <v>0.0</v>
      </c>
      <c r="H291" s="74">
        <v>615000.0</v>
      </c>
      <c r="I291" s="96">
        <v>516500.0</v>
      </c>
      <c r="J291" s="65" t="s">
        <v>7</v>
      </c>
      <c r="K291" s="65">
        <v>1.0</v>
      </c>
      <c r="L291" s="74">
        <v>0.0</v>
      </c>
      <c r="M291" s="93" t="s">
        <v>61</v>
      </c>
      <c r="N291" s="65">
        <f>sumif(PURCHASE!I:I,C291,PURCHASE!J:J)</f>
        <v>0</v>
      </c>
      <c r="O291" s="65">
        <f>sumif('SELLING CASH'!E:E,C291,'SELLING CASH'!F:F)</f>
        <v>4</v>
      </c>
      <c r="P291" s="65">
        <f>sumif('SELLING CREDIT'!F:F,C291,'SELLING CREDIT'!G:G)</f>
        <v>0</v>
      </c>
      <c r="Q291" s="65">
        <f t="shared" si="1"/>
        <v>-4</v>
      </c>
      <c r="V291" s="255"/>
      <c r="X291" s="9"/>
      <c r="Y291" s="9"/>
      <c r="Z291" s="9"/>
      <c r="AD291" s="101"/>
      <c r="AF291" s="9"/>
      <c r="AG291" s="9"/>
      <c r="AH291" s="9"/>
    </row>
    <row r="292" ht="22.5" customHeight="1">
      <c r="A292" s="49"/>
      <c r="C292" s="93" t="s">
        <v>1912</v>
      </c>
      <c r="D292" s="93" t="s">
        <v>967</v>
      </c>
      <c r="E292" s="93" t="s">
        <v>1880</v>
      </c>
      <c r="F292" s="93" t="s">
        <v>493</v>
      </c>
      <c r="G292" s="93">
        <v>0.0</v>
      </c>
      <c r="H292" s="74">
        <v>720000.0</v>
      </c>
      <c r="I292" s="96">
        <v>636300.0</v>
      </c>
      <c r="J292" s="65" t="s">
        <v>7</v>
      </c>
      <c r="K292" s="65">
        <v>1.0</v>
      </c>
      <c r="L292" s="74">
        <v>0.0</v>
      </c>
      <c r="M292" s="93" t="s">
        <v>61</v>
      </c>
      <c r="N292" s="65">
        <f>sumif(PURCHASE!I:I,C292,PURCHASE!J:J)</f>
        <v>7</v>
      </c>
      <c r="O292" s="65">
        <f>sumif('SELLING CASH'!E:E,C292,'SELLING CASH'!F:F)</f>
        <v>11</v>
      </c>
      <c r="P292" s="65">
        <f>sumif('SELLING CREDIT'!F:F,C292,'SELLING CREDIT'!G:G)</f>
        <v>4</v>
      </c>
      <c r="Q292" s="65">
        <f t="shared" si="1"/>
        <v>-8</v>
      </c>
      <c r="V292" s="255"/>
      <c r="X292" s="9"/>
      <c r="Y292" s="9"/>
      <c r="Z292" s="9"/>
      <c r="AD292" s="101"/>
      <c r="AF292" s="9"/>
      <c r="AG292" s="9"/>
      <c r="AH292" s="9"/>
    </row>
    <row r="293" ht="22.5" customHeight="1">
      <c r="A293" s="49"/>
      <c r="C293" s="93" t="s">
        <v>1913</v>
      </c>
      <c r="D293" s="93" t="s">
        <v>967</v>
      </c>
      <c r="E293" s="93" t="s">
        <v>1327</v>
      </c>
      <c r="F293" s="93" t="s">
        <v>493</v>
      </c>
      <c r="G293" s="93">
        <v>1.0</v>
      </c>
      <c r="H293" s="74">
        <v>680000.0</v>
      </c>
      <c r="I293" s="96">
        <v>587200.0</v>
      </c>
      <c r="J293" s="65" t="s">
        <v>7</v>
      </c>
      <c r="K293" s="65">
        <v>1.0</v>
      </c>
      <c r="L293" s="74">
        <v>0.0</v>
      </c>
      <c r="M293" s="93" t="s">
        <v>61</v>
      </c>
      <c r="N293" s="65">
        <f>sumif(PURCHASE!I:I,C293,PURCHASE!J:J)</f>
        <v>20</v>
      </c>
      <c r="O293" s="65">
        <f>sumif('SELLING CASH'!E:E,C293,'SELLING CASH'!F:F)</f>
        <v>16</v>
      </c>
      <c r="P293" s="65">
        <f>sumif('SELLING CREDIT'!F:F,C293,'SELLING CREDIT'!G:G)</f>
        <v>0</v>
      </c>
      <c r="Q293" s="65">
        <f t="shared" si="1"/>
        <v>5</v>
      </c>
      <c r="V293" s="255"/>
      <c r="X293" s="9"/>
      <c r="Y293" s="9"/>
      <c r="Z293" s="9"/>
      <c r="AD293" s="101"/>
      <c r="AF293" s="9"/>
      <c r="AG293" s="9"/>
      <c r="AH293" s="9"/>
    </row>
    <row r="294" ht="22.5" customHeight="1">
      <c r="A294" s="49"/>
      <c r="C294" s="93" t="s">
        <v>1914</v>
      </c>
      <c r="D294" s="93" t="s">
        <v>1915</v>
      </c>
      <c r="F294" s="93" t="s">
        <v>493</v>
      </c>
      <c r="G294" s="93">
        <v>0.0</v>
      </c>
      <c r="H294" s="74">
        <v>610000.0</v>
      </c>
      <c r="I294" s="96">
        <v>505300.0</v>
      </c>
      <c r="J294" s="65" t="s">
        <v>7</v>
      </c>
      <c r="K294" s="65">
        <v>1.0</v>
      </c>
      <c r="L294" s="74">
        <v>0.0</v>
      </c>
      <c r="M294" s="93" t="s">
        <v>61</v>
      </c>
      <c r="N294" s="65">
        <f>sumif(PURCHASE!I:I,C294,PURCHASE!J:J)</f>
        <v>0</v>
      </c>
      <c r="O294" s="65">
        <f>sumif('SELLING CASH'!E:E,C294,'SELLING CASH'!F:F)</f>
        <v>0</v>
      </c>
      <c r="P294" s="65">
        <f>sumif('SELLING CREDIT'!F:F,C294,'SELLING CREDIT'!G:G)</f>
        <v>0</v>
      </c>
      <c r="Q294" s="65">
        <f t="shared" si="1"/>
        <v>0</v>
      </c>
      <c r="V294" s="255"/>
      <c r="X294" s="9"/>
      <c r="Y294" s="9"/>
      <c r="Z294" s="9"/>
      <c r="AD294" s="101"/>
      <c r="AF294" s="9"/>
      <c r="AG294" s="9"/>
      <c r="AH294" s="9"/>
    </row>
    <row r="295" ht="22.5" customHeight="1">
      <c r="A295" s="49"/>
      <c r="C295" s="93" t="s">
        <v>1916</v>
      </c>
      <c r="D295" s="93" t="s">
        <v>981</v>
      </c>
      <c r="E295" s="93" t="s">
        <v>1917</v>
      </c>
      <c r="F295" s="93" t="s">
        <v>493</v>
      </c>
      <c r="G295" s="93">
        <v>0.0</v>
      </c>
      <c r="H295" s="74">
        <v>650000.0</v>
      </c>
      <c r="I295" s="96">
        <v>0.0</v>
      </c>
      <c r="J295" s="65" t="s">
        <v>7</v>
      </c>
      <c r="K295" s="65">
        <v>1.0</v>
      </c>
      <c r="L295" s="74">
        <v>0.0</v>
      </c>
      <c r="M295" s="93" t="s">
        <v>61</v>
      </c>
      <c r="N295" s="65">
        <f>sumif(PURCHASE!I:I,C295,PURCHASE!J:J)</f>
        <v>0</v>
      </c>
      <c r="O295" s="65">
        <f>sumif('SELLING CASH'!E:E,C295,'SELLING CASH'!F:F)</f>
        <v>0</v>
      </c>
      <c r="P295" s="65">
        <f>sumif('SELLING CREDIT'!F:F,C295,'SELLING CREDIT'!G:G)</f>
        <v>0</v>
      </c>
      <c r="Q295" s="65">
        <f t="shared" si="1"/>
        <v>0</v>
      </c>
      <c r="V295" s="255"/>
      <c r="X295" s="9"/>
      <c r="Y295" s="9"/>
      <c r="Z295" s="9"/>
      <c r="AD295" s="101"/>
      <c r="AF295" s="9"/>
      <c r="AG295" s="9"/>
      <c r="AH295" s="9"/>
    </row>
    <row r="296" ht="22.5" customHeight="1">
      <c r="A296" s="49"/>
      <c r="C296" s="93" t="s">
        <v>1919</v>
      </c>
      <c r="D296" s="93" t="s">
        <v>981</v>
      </c>
      <c r="E296" s="93" t="s">
        <v>1899</v>
      </c>
      <c r="F296" s="93" t="s">
        <v>493</v>
      </c>
      <c r="G296" s="93">
        <v>0.0</v>
      </c>
      <c r="H296" s="74">
        <v>650000.0</v>
      </c>
      <c r="I296" s="96">
        <v>550000.0</v>
      </c>
      <c r="J296" s="65" t="s">
        <v>7</v>
      </c>
      <c r="K296" s="65">
        <v>1.0</v>
      </c>
      <c r="L296" s="74">
        <v>0.0</v>
      </c>
      <c r="M296" s="93" t="s">
        <v>61</v>
      </c>
      <c r="N296" s="65">
        <f>sumif(PURCHASE!I:I,C296,PURCHASE!J:J)</f>
        <v>0</v>
      </c>
      <c r="O296" s="65">
        <f>sumif('SELLING CASH'!E:E,C296,'SELLING CASH'!F:F)</f>
        <v>0</v>
      </c>
      <c r="P296" s="65">
        <f>sumif('SELLING CREDIT'!F:F,C296,'SELLING CREDIT'!G:G)</f>
        <v>0</v>
      </c>
      <c r="Q296" s="65">
        <f t="shared" si="1"/>
        <v>0</v>
      </c>
      <c r="V296" s="255"/>
      <c r="X296" s="9"/>
      <c r="Y296" s="9"/>
      <c r="Z296" s="9"/>
      <c r="AD296" s="101"/>
      <c r="AF296" s="9"/>
      <c r="AG296" s="9"/>
      <c r="AH296" s="9"/>
    </row>
    <row r="297" ht="22.5" customHeight="1">
      <c r="A297" s="49"/>
      <c r="C297" s="93" t="s">
        <v>1009</v>
      </c>
      <c r="D297" s="93" t="s">
        <v>981</v>
      </c>
      <c r="E297" s="93" t="s">
        <v>1880</v>
      </c>
      <c r="F297" s="93" t="s">
        <v>493</v>
      </c>
      <c r="G297" s="93">
        <v>6.0</v>
      </c>
      <c r="H297" s="74">
        <v>700000.0</v>
      </c>
      <c r="I297" s="96">
        <v>609800.0</v>
      </c>
      <c r="J297" s="65" t="s">
        <v>7</v>
      </c>
      <c r="K297" s="65">
        <v>1.0</v>
      </c>
      <c r="L297" s="74">
        <v>0.0</v>
      </c>
      <c r="M297" s="93" t="s">
        <v>61</v>
      </c>
      <c r="N297" s="65">
        <f>sumif(PURCHASE!I:I,C297,PURCHASE!J:J)</f>
        <v>143</v>
      </c>
      <c r="O297" s="65">
        <f>sumif('SELLING CASH'!E:E,C297,'SELLING CASH'!F:F)</f>
        <v>152</v>
      </c>
      <c r="P297" s="65">
        <f>sumif('SELLING CREDIT'!F:F,C297,'SELLING CREDIT'!G:G)</f>
        <v>0</v>
      </c>
      <c r="Q297" s="65">
        <f t="shared" si="1"/>
        <v>-3</v>
      </c>
      <c r="V297" s="255"/>
      <c r="X297" s="9"/>
      <c r="Y297" s="9"/>
      <c r="Z297" s="9"/>
      <c r="AD297" s="101"/>
      <c r="AF297" s="9"/>
      <c r="AG297" s="9"/>
      <c r="AH297" s="9"/>
    </row>
    <row r="298" ht="22.5" customHeight="1">
      <c r="A298" s="49"/>
      <c r="C298" s="93" t="s">
        <v>1921</v>
      </c>
      <c r="D298" s="93" t="s">
        <v>164</v>
      </c>
      <c r="E298" s="93" t="s">
        <v>1882</v>
      </c>
      <c r="F298" s="93" t="s">
        <v>493</v>
      </c>
      <c r="G298" s="93">
        <v>0.0</v>
      </c>
      <c r="H298" s="74">
        <v>600000.0</v>
      </c>
      <c r="I298" s="96">
        <v>507000.0</v>
      </c>
      <c r="J298" s="65" t="s">
        <v>7</v>
      </c>
      <c r="K298" s="65">
        <v>1.0</v>
      </c>
      <c r="L298" s="74">
        <v>0.0</v>
      </c>
      <c r="M298" s="93" t="s">
        <v>61</v>
      </c>
      <c r="N298" s="65">
        <f>sumif(PURCHASE!I:I,C298,PURCHASE!J:J)</f>
        <v>0</v>
      </c>
      <c r="O298" s="65">
        <f>sumif('SELLING CASH'!E:E,C298,'SELLING CASH'!F:F)</f>
        <v>0</v>
      </c>
      <c r="P298" s="65">
        <f>sumif('SELLING CREDIT'!F:F,C298,'SELLING CREDIT'!G:G)</f>
        <v>0</v>
      </c>
      <c r="Q298" s="65">
        <f t="shared" si="1"/>
        <v>0</v>
      </c>
      <c r="V298" s="255"/>
      <c r="X298" s="9"/>
      <c r="Y298" s="9"/>
      <c r="Z298" s="9"/>
      <c r="AD298" s="101"/>
      <c r="AF298" s="9"/>
      <c r="AG298" s="9"/>
      <c r="AH298" s="9"/>
    </row>
    <row r="299" ht="22.5" customHeight="1">
      <c r="A299" s="49"/>
      <c r="C299" s="93" t="s">
        <v>288</v>
      </c>
      <c r="D299" s="93" t="s">
        <v>164</v>
      </c>
      <c r="E299" s="93" t="s">
        <v>1880</v>
      </c>
      <c r="F299" s="93" t="s">
        <v>493</v>
      </c>
      <c r="G299" s="93">
        <v>10.0</v>
      </c>
      <c r="H299" s="140">
        <v>660000.0</v>
      </c>
      <c r="I299" s="193">
        <v>565760.0</v>
      </c>
      <c r="J299" s="65" t="s">
        <v>7</v>
      </c>
      <c r="K299" s="65">
        <v>1.0</v>
      </c>
      <c r="L299" s="74">
        <v>0.0</v>
      </c>
      <c r="M299" s="93" t="s">
        <v>61</v>
      </c>
      <c r="N299" s="65">
        <f>sumif(PURCHASE!I:I,C299,PURCHASE!J:J)</f>
        <v>178</v>
      </c>
      <c r="O299" s="65">
        <f>sumif('SELLING CASH'!E:E,C299,'SELLING CASH'!F:F)</f>
        <v>162</v>
      </c>
      <c r="P299" s="65">
        <f>sumif('SELLING CREDIT'!F:F,C299,'SELLING CREDIT'!G:G)</f>
        <v>2</v>
      </c>
      <c r="Q299" s="65">
        <f t="shared" si="1"/>
        <v>24</v>
      </c>
      <c r="V299" s="255"/>
      <c r="X299" s="9"/>
      <c r="Y299" s="9"/>
      <c r="Z299" s="9"/>
      <c r="AD299" s="101"/>
      <c r="AF299" s="9"/>
      <c r="AG299" s="9"/>
      <c r="AH299" s="9"/>
    </row>
    <row r="300" ht="22.5" customHeight="1">
      <c r="A300" s="49"/>
      <c r="C300" s="93" t="s">
        <v>1867</v>
      </c>
      <c r="D300" s="93" t="s">
        <v>1026</v>
      </c>
      <c r="E300" s="93" t="s">
        <v>1880</v>
      </c>
      <c r="F300" s="93" t="s">
        <v>493</v>
      </c>
      <c r="G300" s="93">
        <v>0.0</v>
      </c>
      <c r="H300" s="74">
        <v>665000.0</v>
      </c>
      <c r="I300" s="96">
        <v>575200.0</v>
      </c>
      <c r="J300" s="65" t="s">
        <v>7</v>
      </c>
      <c r="K300" s="65">
        <v>1.0</v>
      </c>
      <c r="L300" s="74">
        <v>0.0</v>
      </c>
      <c r="M300" s="93" t="s">
        <v>61</v>
      </c>
      <c r="N300" s="65">
        <f>sumif(PURCHASE!I:I,C300,PURCHASE!J:J)</f>
        <v>29</v>
      </c>
      <c r="O300" s="65">
        <f>sumif('SELLING CASH'!E:E,C300,'SELLING CASH'!F:F)</f>
        <v>25</v>
      </c>
      <c r="P300" s="65">
        <f>sumif('SELLING CREDIT'!F:F,C300,'SELLING CREDIT'!G:G)</f>
        <v>0</v>
      </c>
      <c r="Q300" s="65">
        <f t="shared" si="1"/>
        <v>4</v>
      </c>
      <c r="V300" s="255"/>
      <c r="X300" s="9"/>
      <c r="Y300" s="9"/>
      <c r="Z300" s="9"/>
      <c r="AD300" s="101"/>
      <c r="AF300" s="9"/>
      <c r="AG300" s="9"/>
      <c r="AH300" s="9"/>
    </row>
    <row r="301" ht="22.5" customHeight="1">
      <c r="A301" s="49"/>
      <c r="C301" s="93" t="s">
        <v>1922</v>
      </c>
      <c r="D301" s="93" t="s">
        <v>1049</v>
      </c>
      <c r="E301" s="93" t="s">
        <v>1885</v>
      </c>
      <c r="F301" s="93" t="s">
        <v>493</v>
      </c>
      <c r="G301" s="93">
        <v>0.0</v>
      </c>
      <c r="H301" s="74">
        <v>850000.0</v>
      </c>
      <c r="I301" s="96">
        <v>742000.0</v>
      </c>
      <c r="J301" s="65" t="s">
        <v>7</v>
      </c>
      <c r="K301" s="65">
        <v>1.0</v>
      </c>
      <c r="L301" s="74">
        <v>0.0</v>
      </c>
      <c r="M301" s="93" t="s">
        <v>61</v>
      </c>
      <c r="N301" s="65">
        <f>sumif(PURCHASE!I:I,C301,PURCHASE!J:J)</f>
        <v>0</v>
      </c>
      <c r="O301" s="65">
        <f>sumif('SELLING CASH'!E:E,C301,'SELLING CASH'!F:F)</f>
        <v>0</v>
      </c>
      <c r="P301" s="65">
        <f>sumif('SELLING CREDIT'!F:F,C301,'SELLING CREDIT'!G:G)</f>
        <v>0</v>
      </c>
      <c r="Q301" s="65">
        <f t="shared" si="1"/>
        <v>0</v>
      </c>
      <c r="V301" s="255"/>
      <c r="X301" s="9"/>
      <c r="Y301" s="9"/>
      <c r="Z301" s="9"/>
      <c r="AD301" s="101"/>
      <c r="AF301" s="9"/>
      <c r="AG301" s="9"/>
      <c r="AH301" s="9"/>
    </row>
    <row r="302" ht="22.5" customHeight="1">
      <c r="A302" s="49"/>
      <c r="C302" s="93" t="s">
        <v>1923</v>
      </c>
      <c r="D302" s="93" t="s">
        <v>1924</v>
      </c>
      <c r="E302" s="93" t="s">
        <v>1925</v>
      </c>
      <c r="F302" s="93" t="s">
        <v>493</v>
      </c>
      <c r="G302" s="93">
        <v>2.0</v>
      </c>
      <c r="H302" s="74">
        <v>720000.0</v>
      </c>
      <c r="I302" s="96">
        <v>616000.0</v>
      </c>
      <c r="J302" s="65" t="s">
        <v>7</v>
      </c>
      <c r="K302" s="65">
        <v>1.0</v>
      </c>
      <c r="L302" s="74">
        <v>0.0</v>
      </c>
      <c r="M302" s="93" t="s">
        <v>61</v>
      </c>
      <c r="N302" s="65">
        <f>sumif(PURCHASE!I:I,C302,PURCHASE!J:J)</f>
        <v>0</v>
      </c>
      <c r="O302" s="65">
        <f>sumif('SELLING CASH'!E:E,C302,'SELLING CASH'!F:F)</f>
        <v>0</v>
      </c>
      <c r="P302" s="65">
        <f>sumif('SELLING CREDIT'!F:F,C302,'SELLING CREDIT'!G:G)</f>
        <v>0</v>
      </c>
      <c r="Q302" s="65">
        <f t="shared" si="1"/>
        <v>2</v>
      </c>
      <c r="V302" s="255"/>
      <c r="X302" s="9"/>
      <c r="Y302" s="9"/>
      <c r="Z302" s="9"/>
      <c r="AD302" s="101"/>
      <c r="AF302" s="9"/>
      <c r="AG302" s="9"/>
      <c r="AH302" s="9"/>
    </row>
    <row r="303" ht="22.5" customHeight="1">
      <c r="A303" s="49"/>
      <c r="C303" s="93" t="s">
        <v>1926</v>
      </c>
      <c r="D303" s="93" t="s">
        <v>1066</v>
      </c>
      <c r="E303" s="93" t="s">
        <v>1911</v>
      </c>
      <c r="F303" s="93" t="s">
        <v>493</v>
      </c>
      <c r="G303" s="93">
        <v>0.0</v>
      </c>
      <c r="H303" s="74">
        <v>750000.0</v>
      </c>
      <c r="I303" s="96">
        <v>643230.0</v>
      </c>
      <c r="J303" s="65" t="s">
        <v>7</v>
      </c>
      <c r="K303" s="65">
        <v>1.0</v>
      </c>
      <c r="L303" s="74">
        <v>0.0</v>
      </c>
      <c r="M303" s="93" t="s">
        <v>61</v>
      </c>
      <c r="N303" s="65">
        <f>sumif(PURCHASE!I:I,C303,PURCHASE!J:J)</f>
        <v>4</v>
      </c>
      <c r="O303" s="65">
        <f>sumif('SELLING CASH'!E:E,C303,'SELLING CASH'!F:F)</f>
        <v>8</v>
      </c>
      <c r="P303" s="65">
        <f>sumif('SELLING CREDIT'!F:F,C303,'SELLING CREDIT'!G:G)</f>
        <v>0</v>
      </c>
      <c r="Q303" s="65">
        <f t="shared" si="1"/>
        <v>-4</v>
      </c>
      <c r="V303" s="255"/>
      <c r="X303" s="9"/>
      <c r="Y303" s="9"/>
      <c r="Z303" s="9"/>
      <c r="AD303" s="101"/>
      <c r="AF303" s="9"/>
      <c r="AG303" s="9"/>
      <c r="AH303" s="9"/>
    </row>
    <row r="304" ht="22.5" customHeight="1">
      <c r="A304" s="49"/>
      <c r="C304" s="93" t="s">
        <v>1872</v>
      </c>
      <c r="D304" s="93" t="s">
        <v>1079</v>
      </c>
      <c r="E304" s="93" t="s">
        <v>1911</v>
      </c>
      <c r="F304" s="93" t="s">
        <v>493</v>
      </c>
      <c r="G304" s="93">
        <v>1.0</v>
      </c>
      <c r="H304" s="74">
        <v>740000.0</v>
      </c>
      <c r="I304" s="96">
        <v>648900.0</v>
      </c>
      <c r="J304" s="65" t="s">
        <v>7</v>
      </c>
      <c r="K304" s="65">
        <v>1.0</v>
      </c>
      <c r="L304" s="74">
        <v>0.0</v>
      </c>
      <c r="M304" s="93" t="s">
        <v>61</v>
      </c>
      <c r="N304" s="65">
        <f>sumif(PURCHASE!I:I,C304,PURCHASE!J:J)</f>
        <v>8</v>
      </c>
      <c r="O304" s="65">
        <f>sumif('SELLING CASH'!E:E,C304,'SELLING CASH'!F:F)</f>
        <v>8</v>
      </c>
      <c r="P304" s="65">
        <f>sumif('SELLING CREDIT'!F:F,C304,'SELLING CREDIT'!G:G)</f>
        <v>0</v>
      </c>
      <c r="Q304" s="65">
        <f t="shared" si="1"/>
        <v>1</v>
      </c>
      <c r="V304" s="255"/>
      <c r="X304" s="9"/>
      <c r="Y304" s="9"/>
      <c r="Z304" s="9"/>
      <c r="AD304" s="101"/>
      <c r="AF304" s="9"/>
      <c r="AG304" s="9"/>
      <c r="AH304" s="9"/>
    </row>
    <row r="305" ht="22.5" customHeight="1">
      <c r="A305" s="49"/>
      <c r="C305" s="93" t="s">
        <v>847</v>
      </c>
      <c r="D305" s="93" t="s">
        <v>1087</v>
      </c>
      <c r="E305" s="93" t="s">
        <v>1911</v>
      </c>
      <c r="F305" s="93" t="s">
        <v>493</v>
      </c>
      <c r="G305" s="93">
        <v>1.0</v>
      </c>
      <c r="H305" s="140">
        <v>820000.0</v>
      </c>
      <c r="I305" s="193">
        <v>718080.0</v>
      </c>
      <c r="J305" s="65" t="s">
        <v>7</v>
      </c>
      <c r="K305" s="65">
        <v>1.0</v>
      </c>
      <c r="L305" s="74">
        <v>0.0</v>
      </c>
      <c r="M305" s="93" t="s">
        <v>61</v>
      </c>
      <c r="N305" s="65">
        <f>sumif(PURCHASE!I:I,C305,PURCHASE!J:J)</f>
        <v>30</v>
      </c>
      <c r="O305" s="65">
        <f>sumif('SELLING CASH'!E:E,C305,'SELLING CASH'!F:F)</f>
        <v>28</v>
      </c>
      <c r="P305" s="65">
        <f>sumif('SELLING CREDIT'!F:F,C305,'SELLING CREDIT'!G:G)</f>
        <v>0</v>
      </c>
      <c r="Q305" s="65">
        <f t="shared" si="1"/>
        <v>3</v>
      </c>
      <c r="V305" s="255"/>
      <c r="X305" s="9"/>
      <c r="Y305" s="9"/>
      <c r="Z305" s="9"/>
      <c r="AD305" s="101"/>
      <c r="AF305" s="9"/>
      <c r="AG305" s="9"/>
      <c r="AH305" s="9"/>
    </row>
    <row r="306" ht="22.5" customHeight="1">
      <c r="A306" s="49"/>
      <c r="C306" s="93" t="s">
        <v>1927</v>
      </c>
      <c r="D306" s="93" t="s">
        <v>1105</v>
      </c>
      <c r="E306" s="93" t="s">
        <v>1899</v>
      </c>
      <c r="F306" s="93" t="s">
        <v>493</v>
      </c>
      <c r="G306" s="93">
        <v>0.0</v>
      </c>
      <c r="H306" s="74">
        <v>690000.0</v>
      </c>
      <c r="I306" s="96">
        <v>590000.0</v>
      </c>
      <c r="J306" s="65" t="s">
        <v>7</v>
      </c>
      <c r="K306" s="65">
        <v>1.0</v>
      </c>
      <c r="L306" s="74">
        <v>0.0</v>
      </c>
      <c r="M306" s="93" t="s">
        <v>61</v>
      </c>
      <c r="N306" s="65">
        <f>sumif(PURCHASE!I:I,C306,PURCHASE!J:J)</f>
        <v>0</v>
      </c>
      <c r="O306" s="65">
        <f>sumif('SELLING CASH'!E:E,C306,'SELLING CASH'!F:F)</f>
        <v>4</v>
      </c>
      <c r="P306" s="65">
        <f>sumif('SELLING CREDIT'!F:F,C306,'SELLING CREDIT'!G:G)</f>
        <v>0</v>
      </c>
      <c r="Q306" s="65">
        <f t="shared" si="1"/>
        <v>-4</v>
      </c>
      <c r="V306" s="255"/>
      <c r="X306" s="9"/>
      <c r="Y306" s="9"/>
      <c r="Z306" s="9"/>
      <c r="AD306" s="101"/>
      <c r="AF306" s="9"/>
      <c r="AG306" s="9"/>
      <c r="AH306" s="9"/>
    </row>
    <row r="307" ht="22.5" customHeight="1">
      <c r="A307" s="49"/>
      <c r="C307" s="93" t="s">
        <v>1928</v>
      </c>
      <c r="D307" s="93" t="s">
        <v>1105</v>
      </c>
      <c r="E307" s="93" t="s">
        <v>1880</v>
      </c>
      <c r="F307" s="93" t="s">
        <v>493</v>
      </c>
      <c r="G307" s="93">
        <v>0.0</v>
      </c>
      <c r="H307" s="74">
        <v>680000.0</v>
      </c>
      <c r="I307" s="96">
        <v>589700.0</v>
      </c>
      <c r="J307" s="65" t="s">
        <v>7</v>
      </c>
      <c r="K307" s="65">
        <v>1.0</v>
      </c>
      <c r="L307" s="74">
        <v>0.0</v>
      </c>
      <c r="M307" s="93" t="s">
        <v>61</v>
      </c>
      <c r="N307" s="65">
        <f>sumif(PURCHASE!I:I,C307,PURCHASE!J:J)</f>
        <v>17</v>
      </c>
      <c r="O307" s="65">
        <f>sumif('SELLING CASH'!E:E,C307,'SELLING CASH'!F:F)</f>
        <v>19</v>
      </c>
      <c r="P307" s="65">
        <f>sumif('SELLING CREDIT'!F:F,C307,'SELLING CREDIT'!G:G)</f>
        <v>0</v>
      </c>
      <c r="Q307" s="65">
        <f t="shared" si="1"/>
        <v>-2</v>
      </c>
      <c r="V307" s="255"/>
      <c r="X307" s="9"/>
      <c r="Y307" s="9"/>
      <c r="Z307" s="9"/>
      <c r="AD307" s="101"/>
      <c r="AF307" s="9"/>
      <c r="AG307" s="9"/>
      <c r="AH307" s="9"/>
    </row>
    <row r="308" ht="22.5" customHeight="1">
      <c r="A308" s="49"/>
      <c r="C308" s="93" t="s">
        <v>1890</v>
      </c>
      <c r="D308" s="93" t="s">
        <v>1114</v>
      </c>
      <c r="E308" s="93" t="s">
        <v>1880</v>
      </c>
      <c r="F308" s="93" t="s">
        <v>493</v>
      </c>
      <c r="G308" s="93">
        <v>0.0</v>
      </c>
      <c r="H308" s="74">
        <v>840000.0</v>
      </c>
      <c r="I308" s="96">
        <v>739600.0</v>
      </c>
      <c r="J308" s="65" t="s">
        <v>7</v>
      </c>
      <c r="K308" s="65">
        <v>1.0</v>
      </c>
      <c r="L308" s="74">
        <v>0.0</v>
      </c>
      <c r="M308" s="93" t="s">
        <v>61</v>
      </c>
      <c r="N308" s="65">
        <f>sumif(PURCHASE!I:I,C308,PURCHASE!J:J)</f>
        <v>9</v>
      </c>
      <c r="O308" s="65">
        <f>sumif('SELLING CASH'!E:E,C308,'SELLING CASH'!F:F)</f>
        <v>9</v>
      </c>
      <c r="P308" s="65">
        <f>sumif('SELLING CREDIT'!F:F,C308,'SELLING CREDIT'!G:G)</f>
        <v>1</v>
      </c>
      <c r="Q308" s="65">
        <f t="shared" si="1"/>
        <v>-1</v>
      </c>
      <c r="V308" s="255"/>
      <c r="X308" s="9"/>
      <c r="Y308" s="9"/>
      <c r="Z308" s="9"/>
      <c r="AD308" s="101"/>
      <c r="AF308" s="9"/>
      <c r="AG308" s="9"/>
      <c r="AH308" s="9"/>
    </row>
    <row r="309" ht="22.5" customHeight="1">
      <c r="A309" s="49"/>
      <c r="C309" s="93" t="s">
        <v>290</v>
      </c>
      <c r="D309" s="93" t="s">
        <v>1123</v>
      </c>
      <c r="E309" s="93" t="s">
        <v>1880</v>
      </c>
      <c r="F309" s="93" t="s">
        <v>493</v>
      </c>
      <c r="G309" s="93">
        <v>6.0</v>
      </c>
      <c r="H309" s="74">
        <v>720000.0</v>
      </c>
      <c r="I309" s="96">
        <v>628100.0</v>
      </c>
      <c r="J309" s="65" t="s">
        <v>7</v>
      </c>
      <c r="K309" s="65">
        <v>1.0</v>
      </c>
      <c r="L309" s="74">
        <v>0.0</v>
      </c>
      <c r="M309" s="93" t="s">
        <v>61</v>
      </c>
      <c r="N309" s="65">
        <f>sumif(PURCHASE!I:I,C309,PURCHASE!J:J)</f>
        <v>81</v>
      </c>
      <c r="O309" s="65">
        <f>sumif('SELLING CASH'!E:E,C309,'SELLING CASH'!F:F)</f>
        <v>77</v>
      </c>
      <c r="P309" s="65">
        <f>sumif('SELLING CREDIT'!F:F,C309,'SELLING CREDIT'!G:G)</f>
        <v>0</v>
      </c>
      <c r="Q309" s="65">
        <f t="shared" si="1"/>
        <v>10</v>
      </c>
      <c r="V309" s="255"/>
      <c r="X309" s="9"/>
      <c r="Y309" s="9"/>
      <c r="Z309" s="9"/>
      <c r="AD309" s="101"/>
      <c r="AF309" s="9"/>
      <c r="AG309" s="9"/>
      <c r="AH309" s="9"/>
    </row>
    <row r="310" ht="22.5" customHeight="1">
      <c r="A310" s="49"/>
      <c r="C310" s="93" t="s">
        <v>1597</v>
      </c>
      <c r="D310" s="93" t="s">
        <v>1134</v>
      </c>
      <c r="E310" s="93" t="s">
        <v>1880</v>
      </c>
      <c r="F310" s="93" t="s">
        <v>493</v>
      </c>
      <c r="G310" s="93">
        <v>7.0</v>
      </c>
      <c r="H310" s="74">
        <v>650000.0</v>
      </c>
      <c r="I310" s="96">
        <v>560700.0</v>
      </c>
      <c r="J310" s="65" t="s">
        <v>7</v>
      </c>
      <c r="K310" s="65">
        <v>1.0</v>
      </c>
      <c r="L310" s="74">
        <v>0.0</v>
      </c>
      <c r="M310" s="93" t="s">
        <v>61</v>
      </c>
      <c r="N310" s="65">
        <f>sumif(PURCHASE!I:I,C310,PURCHASE!J:J)</f>
        <v>49</v>
      </c>
      <c r="O310" s="65">
        <f>sumif('SELLING CASH'!E:E,C310,'SELLING CASH'!F:F)</f>
        <v>43</v>
      </c>
      <c r="P310" s="65">
        <f>sumif('SELLING CREDIT'!F:F,C310,'SELLING CREDIT'!G:G)</f>
        <v>0</v>
      </c>
      <c r="Q310" s="65">
        <f t="shared" si="1"/>
        <v>13</v>
      </c>
      <c r="V310" s="255"/>
      <c r="X310" s="9"/>
      <c r="Y310" s="9"/>
      <c r="Z310" s="9"/>
      <c r="AD310" s="101"/>
      <c r="AF310" s="9"/>
      <c r="AG310" s="9"/>
      <c r="AH310" s="9"/>
    </row>
    <row r="311" ht="22.5" customHeight="1">
      <c r="A311" s="49"/>
      <c r="C311" s="93" t="s">
        <v>1704</v>
      </c>
      <c r="D311" s="93" t="s">
        <v>1161</v>
      </c>
      <c r="E311" s="93" t="s">
        <v>1911</v>
      </c>
      <c r="F311" s="93" t="s">
        <v>493</v>
      </c>
      <c r="G311" s="93">
        <v>4.0</v>
      </c>
      <c r="H311" s="74">
        <v>890000.0</v>
      </c>
      <c r="I311" s="96">
        <v>787500.0</v>
      </c>
      <c r="J311" s="65" t="s">
        <v>7</v>
      </c>
      <c r="K311" s="65">
        <v>1.0</v>
      </c>
      <c r="L311" s="74">
        <v>0.0</v>
      </c>
      <c r="M311" s="93" t="s">
        <v>61</v>
      </c>
      <c r="N311" s="65">
        <f>sumif(PURCHASE!I:I,C311,PURCHASE!J:J)</f>
        <v>23</v>
      </c>
      <c r="O311" s="65">
        <f>sumif('SELLING CASH'!E:E,C311,'SELLING CASH'!F:F)</f>
        <v>17</v>
      </c>
      <c r="P311" s="65">
        <f>sumif('SELLING CREDIT'!F:F,C311,'SELLING CREDIT'!G:G)</f>
        <v>0</v>
      </c>
      <c r="Q311" s="65">
        <f t="shared" si="1"/>
        <v>10</v>
      </c>
      <c r="V311" s="255"/>
      <c r="X311" s="9"/>
      <c r="Y311" s="9"/>
      <c r="Z311" s="9"/>
      <c r="AD311" s="101"/>
      <c r="AF311" s="9"/>
      <c r="AG311" s="9"/>
      <c r="AH311" s="9"/>
    </row>
    <row r="312" ht="22.5" customHeight="1">
      <c r="A312" s="49"/>
      <c r="C312" s="93" t="s">
        <v>1172</v>
      </c>
      <c r="D312" s="93" t="s">
        <v>1934</v>
      </c>
      <c r="E312" s="93" t="s">
        <v>1935</v>
      </c>
      <c r="F312" s="93" t="s">
        <v>493</v>
      </c>
      <c r="G312" s="93">
        <v>0.0</v>
      </c>
      <c r="H312" s="74">
        <v>975000.0</v>
      </c>
      <c r="I312" s="96">
        <v>860000.0</v>
      </c>
      <c r="J312" s="65" t="s">
        <v>7</v>
      </c>
      <c r="K312" s="65">
        <v>1.0</v>
      </c>
      <c r="L312" s="74">
        <v>0.0</v>
      </c>
      <c r="M312" s="93" t="s">
        <v>61</v>
      </c>
      <c r="N312" s="65">
        <f>sumif(PURCHASE!I:I,C312,PURCHASE!J:J)</f>
        <v>2</v>
      </c>
      <c r="O312" s="65">
        <f>sumif('SELLING CASH'!E:E,C312,'SELLING CASH'!F:F)</f>
        <v>4</v>
      </c>
      <c r="P312" s="65">
        <f>sumif('SELLING CREDIT'!F:F,C312,'SELLING CREDIT'!G:G)</f>
        <v>0</v>
      </c>
      <c r="Q312" s="65">
        <f t="shared" si="1"/>
        <v>-2</v>
      </c>
      <c r="V312" s="255"/>
      <c r="X312" s="9"/>
      <c r="Y312" s="9"/>
      <c r="Z312" s="9"/>
      <c r="AD312" s="101"/>
      <c r="AF312" s="9"/>
      <c r="AG312" s="9"/>
      <c r="AH312" s="9"/>
    </row>
    <row r="313" ht="22.5" customHeight="1">
      <c r="A313" s="49"/>
      <c r="C313" s="93" t="s">
        <v>1424</v>
      </c>
      <c r="D313" s="93" t="s">
        <v>1937</v>
      </c>
      <c r="E313" s="93" t="s">
        <v>1938</v>
      </c>
      <c r="F313" s="93" t="s">
        <v>493</v>
      </c>
      <c r="G313" s="93">
        <v>2.0</v>
      </c>
      <c r="H313" s="74">
        <v>780000.0</v>
      </c>
      <c r="I313" s="96">
        <v>671600.0</v>
      </c>
      <c r="J313" s="65" t="s">
        <v>7</v>
      </c>
      <c r="K313" s="65">
        <v>1.0</v>
      </c>
      <c r="L313" s="74">
        <v>0.0</v>
      </c>
      <c r="M313" s="93" t="s">
        <v>61</v>
      </c>
      <c r="N313" s="65">
        <f>sumif(PURCHASE!I:I,C313,PURCHASE!J:J)</f>
        <v>6</v>
      </c>
      <c r="O313" s="65">
        <f>sumif('SELLING CASH'!E:E,C313,'SELLING CASH'!F:F)</f>
        <v>7</v>
      </c>
      <c r="P313" s="65">
        <f>sumif('SELLING CREDIT'!F:F,C313,'SELLING CREDIT'!G:G)</f>
        <v>0</v>
      </c>
      <c r="Q313" s="65">
        <f t="shared" si="1"/>
        <v>1</v>
      </c>
      <c r="V313" s="255"/>
      <c r="X313" s="9"/>
      <c r="Y313" s="9"/>
      <c r="Z313" s="9"/>
      <c r="AD313" s="101"/>
      <c r="AF313" s="9"/>
      <c r="AG313" s="9"/>
      <c r="AH313" s="9"/>
    </row>
    <row r="314" ht="22.5" customHeight="1">
      <c r="A314" s="49"/>
      <c r="C314" s="93" t="s">
        <v>1940</v>
      </c>
      <c r="D314" s="93" t="s">
        <v>1168</v>
      </c>
      <c r="E314" s="93" t="s">
        <v>1911</v>
      </c>
      <c r="F314" s="93" t="s">
        <v>493</v>
      </c>
      <c r="G314" s="93">
        <v>5.0</v>
      </c>
      <c r="H314" s="74">
        <v>875000.0</v>
      </c>
      <c r="I314" s="96">
        <v>775500.0</v>
      </c>
      <c r="J314" s="65" t="s">
        <v>7</v>
      </c>
      <c r="K314" s="65">
        <v>1.0</v>
      </c>
      <c r="L314" s="74">
        <v>0.0</v>
      </c>
      <c r="M314" s="93" t="s">
        <v>61</v>
      </c>
      <c r="N314" s="65">
        <f>sumif(PURCHASE!I:I,C314,PURCHASE!J:J)</f>
        <v>19</v>
      </c>
      <c r="O314" s="65">
        <f>sumif('SELLING CASH'!E:E,C314,'SELLING CASH'!F:F)</f>
        <v>27</v>
      </c>
      <c r="P314" s="65">
        <f>sumif('SELLING CREDIT'!F:F,C314,'SELLING CREDIT'!G:G)</f>
        <v>0</v>
      </c>
      <c r="Q314" s="65">
        <f t="shared" si="1"/>
        <v>-3</v>
      </c>
      <c r="V314" s="255"/>
      <c r="X314" s="9"/>
      <c r="Y314" s="9"/>
      <c r="Z314" s="9"/>
      <c r="AD314" s="101"/>
      <c r="AF314" s="9"/>
      <c r="AG314" s="9"/>
      <c r="AH314" s="9"/>
    </row>
    <row r="315" ht="22.5" customHeight="1">
      <c r="A315" s="49"/>
      <c r="C315" s="93" t="s">
        <v>1942</v>
      </c>
      <c r="D315" s="93" t="s">
        <v>1533</v>
      </c>
      <c r="E315" s="93" t="s">
        <v>1911</v>
      </c>
      <c r="F315" s="93" t="s">
        <v>493</v>
      </c>
      <c r="G315" s="93">
        <v>0.0</v>
      </c>
      <c r="H315" s="74">
        <v>800000.0</v>
      </c>
      <c r="I315" s="96">
        <v>695000.0</v>
      </c>
      <c r="J315" s="65" t="s">
        <v>7</v>
      </c>
      <c r="K315" s="65">
        <v>1.0</v>
      </c>
      <c r="L315" s="74">
        <v>0.0</v>
      </c>
      <c r="M315" s="93" t="s">
        <v>61</v>
      </c>
      <c r="N315" s="65">
        <f>sumif(PURCHASE!I:I,C315,PURCHASE!J:J)</f>
        <v>0</v>
      </c>
      <c r="O315" s="65">
        <f>sumif('SELLING CASH'!E:E,C315,'SELLING CASH'!F:F)</f>
        <v>0</v>
      </c>
      <c r="P315" s="65">
        <f>sumif('SELLING CREDIT'!F:F,C315,'SELLING CREDIT'!G:G)</f>
        <v>0</v>
      </c>
      <c r="Q315" s="65">
        <f t="shared" si="1"/>
        <v>0</v>
      </c>
      <c r="V315" s="255"/>
      <c r="X315" s="9"/>
      <c r="Y315" s="9"/>
      <c r="Z315" s="9"/>
      <c r="AD315" s="101"/>
      <c r="AF315" s="9"/>
      <c r="AG315" s="9"/>
      <c r="AH315" s="9"/>
    </row>
    <row r="316" ht="22.5" customHeight="1">
      <c r="A316" s="49"/>
      <c r="C316" s="93" t="s">
        <v>1076</v>
      </c>
      <c r="D316" s="93" t="s">
        <v>1182</v>
      </c>
      <c r="E316" s="93" t="s">
        <v>1938</v>
      </c>
      <c r="F316" s="93" t="s">
        <v>493</v>
      </c>
      <c r="G316" s="93">
        <v>6.0</v>
      </c>
      <c r="H316" s="74">
        <v>770000.0</v>
      </c>
      <c r="I316" s="96">
        <v>666540.0</v>
      </c>
      <c r="J316" s="65" t="s">
        <v>7</v>
      </c>
      <c r="K316" s="65">
        <v>1.0</v>
      </c>
      <c r="L316" s="74">
        <v>0.0</v>
      </c>
      <c r="M316" s="93" t="s">
        <v>61</v>
      </c>
      <c r="N316" s="65">
        <f>sumif(PURCHASE!I:I,C316,PURCHASE!J:J)</f>
        <v>34</v>
      </c>
      <c r="O316" s="65">
        <f>sumif('SELLING CASH'!E:E,C316,'SELLING CASH'!F:F)</f>
        <v>34</v>
      </c>
      <c r="P316" s="65">
        <f>sumif('SELLING CREDIT'!F:F,C316,'SELLING CREDIT'!G:G)</f>
        <v>0</v>
      </c>
      <c r="Q316" s="65">
        <f t="shared" si="1"/>
        <v>6</v>
      </c>
      <c r="V316" s="255"/>
      <c r="X316" s="9"/>
      <c r="Y316" s="9"/>
      <c r="Z316" s="9"/>
      <c r="AD316" s="101"/>
      <c r="AF316" s="9"/>
      <c r="AG316" s="9"/>
      <c r="AH316" s="9"/>
    </row>
    <row r="317" ht="22.5" customHeight="1">
      <c r="A317" s="49"/>
      <c r="C317" s="93" t="s">
        <v>1944</v>
      </c>
      <c r="D317" s="93" t="s">
        <v>1197</v>
      </c>
      <c r="E317" s="93" t="s">
        <v>1945</v>
      </c>
      <c r="F317" s="93" t="s">
        <v>493</v>
      </c>
      <c r="G317" s="93">
        <v>1.0</v>
      </c>
      <c r="H317" s="74">
        <v>810000.0</v>
      </c>
      <c r="I317" s="96">
        <v>690000.0</v>
      </c>
      <c r="J317" s="65" t="s">
        <v>7</v>
      </c>
      <c r="K317" s="65">
        <v>1.0</v>
      </c>
      <c r="L317" s="74">
        <v>0.0</v>
      </c>
      <c r="M317" s="93" t="s">
        <v>61</v>
      </c>
      <c r="N317" s="65">
        <f>sumif(PURCHASE!I:I,C317,PURCHASE!J:J)</f>
        <v>0</v>
      </c>
      <c r="O317" s="65">
        <f>sumif('SELLING CASH'!E:E,C317,'SELLING CASH'!F:F)</f>
        <v>4</v>
      </c>
      <c r="P317" s="65">
        <f>sumif('SELLING CREDIT'!F:F,C317,'SELLING CREDIT'!G:G)</f>
        <v>0</v>
      </c>
      <c r="Q317" s="65">
        <f t="shared" si="1"/>
        <v>-3</v>
      </c>
      <c r="V317" s="255"/>
      <c r="X317" s="9"/>
      <c r="Y317" s="9"/>
      <c r="Z317" s="9"/>
      <c r="AD317" s="101"/>
      <c r="AF317" s="9"/>
      <c r="AG317" s="9"/>
      <c r="AH317" s="9"/>
    </row>
    <row r="318" ht="22.5" customHeight="1">
      <c r="A318" s="49"/>
      <c r="C318" s="93" t="s">
        <v>1947</v>
      </c>
      <c r="D318" s="93" t="s">
        <v>1197</v>
      </c>
      <c r="E318" s="93" t="s">
        <v>1880</v>
      </c>
      <c r="F318" s="93" t="s">
        <v>493</v>
      </c>
      <c r="G318" s="93">
        <v>4.0</v>
      </c>
      <c r="H318" s="74">
        <v>790000.0</v>
      </c>
      <c r="I318" s="96">
        <v>694300.0</v>
      </c>
      <c r="J318" s="65" t="s">
        <v>7</v>
      </c>
      <c r="K318" s="65">
        <v>1.0</v>
      </c>
      <c r="L318" s="74">
        <v>0.0</v>
      </c>
      <c r="M318" s="93" t="s">
        <v>61</v>
      </c>
      <c r="N318" s="65">
        <f>sumif(PURCHASE!I:I,C318,PURCHASE!J:J)</f>
        <v>9</v>
      </c>
      <c r="O318" s="65">
        <f>sumif('SELLING CASH'!E:E,C318,'SELLING CASH'!F:F)</f>
        <v>25</v>
      </c>
      <c r="P318" s="65">
        <f>sumif('SELLING CREDIT'!F:F,C318,'SELLING CREDIT'!G:G)</f>
        <v>0</v>
      </c>
      <c r="Q318" s="65">
        <f t="shared" si="1"/>
        <v>-12</v>
      </c>
      <c r="V318" s="255"/>
      <c r="X318" s="9"/>
      <c r="Y318" s="9"/>
      <c r="Z318" s="9"/>
      <c r="AD318" s="101"/>
      <c r="AF318" s="9"/>
      <c r="AG318" s="9"/>
      <c r="AH318" s="9"/>
    </row>
    <row r="319" ht="22.5" customHeight="1">
      <c r="A319" s="49"/>
      <c r="C319" s="93" t="s">
        <v>291</v>
      </c>
      <c r="D319" s="93" t="s">
        <v>1203</v>
      </c>
      <c r="E319" s="93" t="s">
        <v>1880</v>
      </c>
      <c r="F319" s="93" t="s">
        <v>493</v>
      </c>
      <c r="G319" s="93">
        <v>1.0</v>
      </c>
      <c r="H319" s="74">
        <v>780000.0</v>
      </c>
      <c r="I319" s="96">
        <v>689900.0</v>
      </c>
      <c r="J319" s="65" t="s">
        <v>7</v>
      </c>
      <c r="K319" s="65">
        <v>1.0</v>
      </c>
      <c r="L319" s="74">
        <v>0.0</v>
      </c>
      <c r="M319" s="93" t="s">
        <v>61</v>
      </c>
      <c r="N319" s="65">
        <f>sumif(PURCHASE!I:I,C319,PURCHASE!J:J)</f>
        <v>3</v>
      </c>
      <c r="O319" s="65">
        <f>sumif('SELLING CASH'!E:E,C319,'SELLING CASH'!F:F)</f>
        <v>7</v>
      </c>
      <c r="P319" s="65">
        <f>sumif('SELLING CREDIT'!F:F,C319,'SELLING CREDIT'!G:G)</f>
        <v>0</v>
      </c>
      <c r="Q319" s="65">
        <f t="shared" si="1"/>
        <v>-3</v>
      </c>
      <c r="V319" s="255"/>
      <c r="X319" s="9"/>
      <c r="Y319" s="9"/>
      <c r="Z319" s="9"/>
      <c r="AD319" s="101"/>
      <c r="AF319" s="9"/>
      <c r="AG319" s="9"/>
      <c r="AH319" s="9"/>
    </row>
    <row r="320" ht="22.5" customHeight="1">
      <c r="A320" s="49"/>
      <c r="C320" s="93" t="s">
        <v>1948</v>
      </c>
      <c r="D320" s="93" t="s">
        <v>1203</v>
      </c>
      <c r="E320" s="93" t="s">
        <v>1950</v>
      </c>
      <c r="F320" s="93" t="s">
        <v>493</v>
      </c>
      <c r="G320" s="93">
        <v>0.0</v>
      </c>
      <c r="H320" s="74">
        <v>820000.0</v>
      </c>
      <c r="I320" s="96">
        <v>790700.0</v>
      </c>
      <c r="J320" s="65" t="s">
        <v>7</v>
      </c>
      <c r="K320" s="65">
        <v>1.0</v>
      </c>
      <c r="L320" s="74">
        <v>0.0</v>
      </c>
      <c r="M320" s="93" t="s">
        <v>61</v>
      </c>
      <c r="N320" s="65">
        <f>sumif(PURCHASE!I:I,C320,PURCHASE!J:J)</f>
        <v>0</v>
      </c>
      <c r="O320" s="65">
        <f>sumif('SELLING CASH'!E:E,C320,'SELLING CASH'!F:F)</f>
        <v>6</v>
      </c>
      <c r="P320" s="65">
        <f>sumif('SELLING CREDIT'!F:F,C320,'SELLING CREDIT'!G:G)</f>
        <v>0</v>
      </c>
      <c r="Q320" s="65">
        <f t="shared" si="1"/>
        <v>-6</v>
      </c>
      <c r="V320" s="255"/>
      <c r="X320" s="9"/>
      <c r="Y320" s="9"/>
      <c r="Z320" s="9"/>
      <c r="AD320" s="101"/>
      <c r="AF320" s="9"/>
      <c r="AG320" s="9"/>
      <c r="AH320" s="9"/>
    </row>
    <row r="321" ht="22.5" customHeight="1">
      <c r="A321" s="49"/>
      <c r="C321" s="93" t="s">
        <v>1951</v>
      </c>
      <c r="D321" s="93" t="s">
        <v>1207</v>
      </c>
      <c r="E321" s="93" t="s">
        <v>1911</v>
      </c>
      <c r="F321" s="93" t="s">
        <v>493</v>
      </c>
      <c r="G321" s="93">
        <v>4.0</v>
      </c>
      <c r="H321" s="74">
        <v>860000.0</v>
      </c>
      <c r="I321" s="96">
        <v>757300.0</v>
      </c>
      <c r="J321" s="65" t="s">
        <v>7</v>
      </c>
      <c r="K321" s="65">
        <v>1.0</v>
      </c>
      <c r="L321" s="74">
        <v>0.0</v>
      </c>
      <c r="M321" s="93" t="s">
        <v>61</v>
      </c>
      <c r="N321" s="65">
        <f>sumif(PURCHASE!I:I,C321,PURCHASE!J:J)</f>
        <v>9</v>
      </c>
      <c r="O321" s="65">
        <f>sumif('SELLING CASH'!E:E,C321,'SELLING CASH'!F:F)</f>
        <v>19</v>
      </c>
      <c r="P321" s="65">
        <f>sumif('SELLING CREDIT'!F:F,C321,'SELLING CREDIT'!G:G)</f>
        <v>0</v>
      </c>
      <c r="Q321" s="65">
        <f t="shared" si="1"/>
        <v>-6</v>
      </c>
      <c r="V321" s="255"/>
      <c r="X321" s="9"/>
      <c r="Y321" s="9"/>
      <c r="Z321" s="9"/>
      <c r="AD321" s="101"/>
      <c r="AF321" s="9"/>
      <c r="AG321" s="9"/>
      <c r="AH321" s="9"/>
    </row>
    <row r="322" ht="22.5" customHeight="1">
      <c r="A322" s="49"/>
      <c r="C322" s="93" t="s">
        <v>1954</v>
      </c>
      <c r="D322" s="93" t="s">
        <v>1213</v>
      </c>
      <c r="E322" s="93" t="s">
        <v>1911</v>
      </c>
      <c r="F322" s="93" t="s">
        <v>493</v>
      </c>
      <c r="G322" s="93">
        <v>0.0</v>
      </c>
      <c r="H322" s="74">
        <v>920000.0</v>
      </c>
      <c r="I322" s="96">
        <v>793000.0</v>
      </c>
      <c r="J322" s="65" t="s">
        <v>7</v>
      </c>
      <c r="K322" s="65">
        <v>1.0</v>
      </c>
      <c r="L322" s="74">
        <v>0.0</v>
      </c>
      <c r="M322" s="93" t="s">
        <v>61</v>
      </c>
      <c r="N322" s="65">
        <f>sumif(PURCHASE!I:I,C322,PURCHASE!J:J)</f>
        <v>0</v>
      </c>
      <c r="O322" s="65">
        <f>sumif('SELLING CASH'!E:E,C322,'SELLING CASH'!F:F)</f>
        <v>0</v>
      </c>
      <c r="P322" s="65">
        <f>sumif('SELLING CREDIT'!F:F,C322,'SELLING CREDIT'!G:G)</f>
        <v>0</v>
      </c>
      <c r="Q322" s="65">
        <f t="shared" si="1"/>
        <v>0</v>
      </c>
      <c r="V322" s="255"/>
      <c r="X322" s="9"/>
      <c r="Y322" s="9"/>
      <c r="Z322" s="9"/>
      <c r="AD322" s="101"/>
      <c r="AF322" s="9"/>
      <c r="AG322" s="9"/>
      <c r="AH322" s="9"/>
    </row>
    <row r="323" ht="22.5" customHeight="1">
      <c r="A323" s="49"/>
      <c r="C323" s="93" t="s">
        <v>1434</v>
      </c>
      <c r="D323" s="93" t="s">
        <v>223</v>
      </c>
      <c r="E323" s="93" t="s">
        <v>1925</v>
      </c>
      <c r="F323" s="93" t="s">
        <v>493</v>
      </c>
      <c r="G323" s="93">
        <v>0.0</v>
      </c>
      <c r="H323" s="74">
        <v>1020000.0</v>
      </c>
      <c r="I323" s="96">
        <v>904050.0</v>
      </c>
      <c r="J323" s="65" t="s">
        <v>7</v>
      </c>
      <c r="K323" s="65">
        <v>1.0</v>
      </c>
      <c r="L323" s="74">
        <v>0.0</v>
      </c>
      <c r="M323" s="93" t="s">
        <v>61</v>
      </c>
      <c r="N323" s="65">
        <f>sumif(PURCHASE!I:I,C323,PURCHASE!J:J)</f>
        <v>6</v>
      </c>
      <c r="O323" s="65">
        <f>sumif('SELLING CASH'!E:E,C323,'SELLING CASH'!F:F)</f>
        <v>9</v>
      </c>
      <c r="P323" s="65">
        <f>sumif('SELLING CREDIT'!F:F,C323,'SELLING CREDIT'!G:G)</f>
        <v>1</v>
      </c>
      <c r="Q323" s="65">
        <f t="shared" si="1"/>
        <v>-4</v>
      </c>
      <c r="V323" s="255"/>
      <c r="X323" s="9"/>
      <c r="Y323" s="9"/>
      <c r="Z323" s="9"/>
      <c r="AD323" s="101"/>
      <c r="AF323" s="9"/>
      <c r="AG323" s="9"/>
      <c r="AH323" s="9"/>
    </row>
    <row r="324" ht="22.5" customHeight="1">
      <c r="A324" s="49"/>
      <c r="C324" s="93" t="s">
        <v>1957</v>
      </c>
      <c r="D324" s="93" t="s">
        <v>223</v>
      </c>
      <c r="E324" s="93" t="s">
        <v>1950</v>
      </c>
      <c r="F324" s="93" t="s">
        <v>493</v>
      </c>
      <c r="G324" s="93">
        <v>0.0</v>
      </c>
      <c r="H324" s="74">
        <v>830000.0</v>
      </c>
      <c r="I324" s="96">
        <v>726400.0</v>
      </c>
      <c r="J324" s="65" t="s">
        <v>7</v>
      </c>
      <c r="K324" s="65">
        <v>1.0</v>
      </c>
      <c r="L324" s="74">
        <v>0.0</v>
      </c>
      <c r="M324" s="93" t="s">
        <v>61</v>
      </c>
      <c r="N324" s="65">
        <f>sumif(PURCHASE!I:I,C324,PURCHASE!J:J)</f>
        <v>4</v>
      </c>
      <c r="O324" s="65">
        <f>sumif('SELLING CASH'!E:E,C324,'SELLING CASH'!F:F)</f>
        <v>4</v>
      </c>
      <c r="P324" s="65">
        <f>sumif('SELLING CREDIT'!F:F,C324,'SELLING CREDIT'!G:G)</f>
        <v>0</v>
      </c>
      <c r="Q324" s="65">
        <f t="shared" si="1"/>
        <v>0</v>
      </c>
      <c r="V324" s="255"/>
      <c r="X324" s="9"/>
      <c r="Y324" s="9"/>
      <c r="Z324" s="9"/>
      <c r="AD324" s="101"/>
      <c r="AF324" s="9"/>
      <c r="AG324" s="9"/>
      <c r="AH324" s="9"/>
    </row>
    <row r="325" ht="22.5" customHeight="1">
      <c r="A325" s="49"/>
      <c r="C325" s="93" t="s">
        <v>1960</v>
      </c>
      <c r="D325" s="93" t="s">
        <v>1234</v>
      </c>
      <c r="E325" s="93" t="s">
        <v>1950</v>
      </c>
      <c r="F325" s="93" t="s">
        <v>493</v>
      </c>
      <c r="G325" s="93">
        <v>0.0</v>
      </c>
      <c r="H325" s="74">
        <v>910000.0</v>
      </c>
      <c r="I325" s="96">
        <v>808300.0</v>
      </c>
      <c r="J325" s="65" t="s">
        <v>7</v>
      </c>
      <c r="K325" s="65">
        <v>1.0</v>
      </c>
      <c r="L325" s="74">
        <v>0.0</v>
      </c>
      <c r="M325" s="93" t="s">
        <v>61</v>
      </c>
      <c r="N325" s="65">
        <f>sumif(PURCHASE!I:I,C325,PURCHASE!J:J)</f>
        <v>10</v>
      </c>
      <c r="O325" s="65">
        <f>sumif('SELLING CASH'!E:E,C325,'SELLING CASH'!F:F)</f>
        <v>12</v>
      </c>
      <c r="P325" s="65">
        <f>sumif('SELLING CREDIT'!F:F,C325,'SELLING CREDIT'!G:G)</f>
        <v>0</v>
      </c>
      <c r="Q325" s="65">
        <f t="shared" si="1"/>
        <v>-2</v>
      </c>
      <c r="V325" s="255"/>
      <c r="X325" s="9"/>
      <c r="Y325" s="9"/>
      <c r="Z325" s="9"/>
      <c r="AD325" s="101"/>
      <c r="AF325" s="9"/>
      <c r="AG325" s="9"/>
      <c r="AH325" s="9"/>
    </row>
    <row r="326" ht="22.5" customHeight="1">
      <c r="A326" s="49"/>
      <c r="C326" s="93" t="s">
        <v>1962</v>
      </c>
      <c r="D326" s="93" t="s">
        <v>1575</v>
      </c>
      <c r="E326" s="93" t="s">
        <v>1880</v>
      </c>
      <c r="F326" s="93" t="s">
        <v>493</v>
      </c>
      <c r="G326" s="93">
        <v>0.0</v>
      </c>
      <c r="H326" s="74">
        <v>850000.0</v>
      </c>
      <c r="I326" s="96">
        <v>727260.0</v>
      </c>
      <c r="J326" s="65" t="s">
        <v>7</v>
      </c>
      <c r="K326" s="65">
        <v>1.0</v>
      </c>
      <c r="L326" s="74">
        <v>0.0</v>
      </c>
      <c r="M326" s="93" t="s">
        <v>61</v>
      </c>
      <c r="N326" s="65">
        <f>sumif(PURCHASE!I:I,C326,PURCHASE!J:J)</f>
        <v>0</v>
      </c>
      <c r="O326" s="65">
        <f>sumif('SELLING CASH'!E:E,C326,'SELLING CASH'!F:F)</f>
        <v>3</v>
      </c>
      <c r="P326" s="65">
        <f>sumif('SELLING CREDIT'!F:F,C326,'SELLING CREDIT'!G:G)</f>
        <v>0</v>
      </c>
      <c r="Q326" s="65">
        <f t="shared" si="1"/>
        <v>-3</v>
      </c>
      <c r="V326" s="255"/>
      <c r="X326" s="9"/>
      <c r="Y326" s="9"/>
      <c r="Z326" s="9"/>
      <c r="AD326" s="101"/>
      <c r="AF326" s="9"/>
      <c r="AG326" s="9"/>
      <c r="AH326" s="9"/>
    </row>
    <row r="327" ht="22.5" customHeight="1">
      <c r="A327" s="49"/>
      <c r="C327" s="93" t="s">
        <v>1617</v>
      </c>
      <c r="D327" s="93" t="s">
        <v>1575</v>
      </c>
      <c r="E327" s="93" t="s">
        <v>1950</v>
      </c>
      <c r="F327" s="93" t="s">
        <v>493</v>
      </c>
      <c r="G327" s="93">
        <v>4.0</v>
      </c>
      <c r="H327" s="74">
        <v>850000.0</v>
      </c>
      <c r="I327" s="96">
        <v>739000.0</v>
      </c>
      <c r="J327" s="65" t="s">
        <v>7</v>
      </c>
      <c r="K327" s="65">
        <v>1.0</v>
      </c>
      <c r="L327" s="74">
        <v>0.0</v>
      </c>
      <c r="M327" s="93" t="s">
        <v>61</v>
      </c>
      <c r="N327" s="65">
        <f>sumif(PURCHASE!I:I,C327,PURCHASE!J:J)</f>
        <v>23</v>
      </c>
      <c r="O327" s="65">
        <f>sumif('SELLING CASH'!E:E,C327,'SELLING CASH'!F:F)</f>
        <v>22</v>
      </c>
      <c r="P327" s="65">
        <f>sumif('SELLING CREDIT'!F:F,C327,'SELLING CREDIT'!G:G)</f>
        <v>0</v>
      </c>
      <c r="Q327" s="65">
        <f t="shared" si="1"/>
        <v>5</v>
      </c>
      <c r="V327" s="255"/>
      <c r="X327" s="9"/>
      <c r="Y327" s="9"/>
      <c r="Z327" s="9"/>
      <c r="AD327" s="101"/>
      <c r="AF327" s="9"/>
      <c r="AG327" s="9"/>
      <c r="AH327" s="9"/>
    </row>
    <row r="328" ht="22.5" customHeight="1">
      <c r="A328" s="49"/>
      <c r="C328" s="93" t="str">
        <f>F328&amp;" "&amp;D328&amp;" "&amp;E328</f>
        <v>GT 225/60 17 Savero SUV</v>
      </c>
      <c r="D328" s="93" t="s">
        <v>1966</v>
      </c>
      <c r="E328" s="93" t="s">
        <v>1967</v>
      </c>
      <c r="F328" s="93" t="s">
        <v>493</v>
      </c>
      <c r="G328" s="93">
        <v>0.0</v>
      </c>
      <c r="H328" s="74">
        <v>960000.0</v>
      </c>
      <c r="I328" s="96">
        <v>855500.0</v>
      </c>
      <c r="J328" s="93" t="s">
        <v>7</v>
      </c>
      <c r="K328" s="93">
        <v>1.0</v>
      </c>
      <c r="L328" s="74">
        <v>0.0</v>
      </c>
      <c r="M328" s="93" t="s">
        <v>61</v>
      </c>
      <c r="N328" s="65">
        <f>sumif(PURCHASE!I:I,C328,PURCHASE!J:J)</f>
        <v>4</v>
      </c>
      <c r="O328" s="65">
        <f>sumif('SELLING CASH'!E:E,C328,'SELLING CASH'!F:F)</f>
        <v>4</v>
      </c>
      <c r="P328" s="65">
        <f>sumif('SELLING CREDIT'!F:F,C328,'SELLING CREDIT'!G:G)</f>
        <v>0</v>
      </c>
      <c r="Q328" s="65">
        <f t="shared" si="1"/>
        <v>0</v>
      </c>
      <c r="V328" s="255"/>
      <c r="X328" s="9"/>
      <c r="Y328" s="9"/>
      <c r="Z328" s="9"/>
      <c r="AD328" s="101"/>
      <c r="AF328" s="9"/>
      <c r="AG328" s="9"/>
      <c r="AH328" s="9"/>
    </row>
    <row r="329" ht="22.5" customHeight="1">
      <c r="A329" s="49"/>
      <c r="C329" s="93" t="s">
        <v>1970</v>
      </c>
      <c r="D329" s="93" t="s">
        <v>1259</v>
      </c>
      <c r="E329" s="93" t="s">
        <v>1971</v>
      </c>
      <c r="F329" s="93" t="s">
        <v>493</v>
      </c>
      <c r="G329" s="93">
        <v>1.0</v>
      </c>
      <c r="H329" s="74">
        <v>915000.0</v>
      </c>
      <c r="I329" s="96">
        <v>813300.0</v>
      </c>
      <c r="J329" s="65" t="s">
        <v>7</v>
      </c>
      <c r="K329" s="65">
        <v>1.0</v>
      </c>
      <c r="L329" s="74">
        <v>0.0</v>
      </c>
      <c r="M329" s="93" t="s">
        <v>61</v>
      </c>
      <c r="N329" s="65">
        <f>sumif(PURCHASE!I:I,C329,PURCHASE!J:J)</f>
        <v>3</v>
      </c>
      <c r="O329" s="65">
        <f>sumif('SELLING CASH'!E:E,C329,'SELLING CASH'!F:F)</f>
        <v>6</v>
      </c>
      <c r="P329" s="65">
        <f>sumif('SELLING CREDIT'!F:F,C329,'SELLING CREDIT'!G:G)</f>
        <v>0</v>
      </c>
      <c r="Q329" s="65">
        <f t="shared" si="1"/>
        <v>-2</v>
      </c>
      <c r="V329" s="255"/>
      <c r="X329" s="9"/>
      <c r="Y329" s="9"/>
      <c r="Z329" s="9"/>
      <c r="AD329" s="101"/>
      <c r="AF329" s="9"/>
      <c r="AG329" s="9"/>
      <c r="AH329" s="9"/>
    </row>
    <row r="330" ht="22.5" customHeight="1">
      <c r="A330" s="49"/>
      <c r="C330" s="93" t="s">
        <v>1974</v>
      </c>
      <c r="D330" s="93" t="s">
        <v>1265</v>
      </c>
      <c r="E330" s="93" t="s">
        <v>1885</v>
      </c>
      <c r="F330" s="93" t="s">
        <v>493</v>
      </c>
      <c r="G330" s="93">
        <v>1.0</v>
      </c>
      <c r="H330" s="140">
        <v>1325000.0</v>
      </c>
      <c r="I330" s="193">
        <v>1221100.0</v>
      </c>
      <c r="J330" s="65" t="s">
        <v>7</v>
      </c>
      <c r="K330" s="65">
        <v>1.0</v>
      </c>
      <c r="L330" s="74">
        <v>0.0</v>
      </c>
      <c r="M330" s="93" t="s">
        <v>61</v>
      </c>
      <c r="N330" s="65">
        <f>sumif(PURCHASE!I:I,C330,PURCHASE!J:J)</f>
        <v>6</v>
      </c>
      <c r="O330" s="65">
        <f>sumif('SELLING CASH'!E:E,C330,'SELLING CASH'!F:F)</f>
        <v>6</v>
      </c>
      <c r="P330" s="65">
        <f>sumif('SELLING CREDIT'!F:F,C330,'SELLING CREDIT'!G:G)</f>
        <v>4</v>
      </c>
      <c r="Q330" s="65">
        <f t="shared" si="1"/>
        <v>-3</v>
      </c>
      <c r="V330" s="255"/>
      <c r="X330" s="9"/>
      <c r="Y330" s="9"/>
      <c r="Z330" s="9"/>
      <c r="AD330" s="101"/>
      <c r="AF330" s="9"/>
      <c r="AG330" s="9"/>
      <c r="AH330" s="9"/>
    </row>
    <row r="331" ht="22.5" customHeight="1">
      <c r="A331" s="49"/>
      <c r="C331" s="93" t="s">
        <v>1976</v>
      </c>
      <c r="D331" s="93" t="s">
        <v>1271</v>
      </c>
      <c r="E331" s="93" t="s">
        <v>1977</v>
      </c>
      <c r="F331" s="93" t="s">
        <v>493</v>
      </c>
      <c r="G331" s="93">
        <v>0.0</v>
      </c>
      <c r="H331" s="74">
        <v>1240000.0</v>
      </c>
      <c r="I331" s="96">
        <v>1108560.0</v>
      </c>
      <c r="J331" s="65" t="s">
        <v>7</v>
      </c>
      <c r="K331" s="65">
        <v>1.0</v>
      </c>
      <c r="L331" s="74">
        <v>0.0</v>
      </c>
      <c r="M331" s="93" t="s">
        <v>61</v>
      </c>
      <c r="N331" s="65">
        <f>sumif(PURCHASE!I:I,C331,PURCHASE!J:J)</f>
        <v>3</v>
      </c>
      <c r="O331" s="65">
        <f>sumif('SELLING CASH'!E:E,C331,'SELLING CASH'!F:F)</f>
        <v>1</v>
      </c>
      <c r="P331" s="65">
        <f>sumif('SELLING CREDIT'!F:F,C331,'SELLING CREDIT'!G:G)</f>
        <v>2</v>
      </c>
      <c r="Q331" s="65">
        <f t="shared" si="1"/>
        <v>0</v>
      </c>
      <c r="V331" s="255"/>
      <c r="X331" s="9"/>
      <c r="Y331" s="9"/>
      <c r="Z331" s="9"/>
      <c r="AD331" s="101"/>
      <c r="AF331" s="9"/>
      <c r="AG331" s="9"/>
      <c r="AH331" s="9"/>
    </row>
    <row r="332" ht="22.5" customHeight="1">
      <c r="A332" s="49"/>
      <c r="C332" s="93" t="s">
        <v>868</v>
      </c>
      <c r="D332" s="93" t="s">
        <v>1279</v>
      </c>
      <c r="E332" s="93" t="s">
        <v>1950</v>
      </c>
      <c r="F332" s="93" t="s">
        <v>493</v>
      </c>
      <c r="G332" s="93">
        <v>2.0</v>
      </c>
      <c r="H332" s="140">
        <v>965000.0</v>
      </c>
      <c r="I332" s="193">
        <v>861200.0</v>
      </c>
      <c r="J332" s="65" t="s">
        <v>7</v>
      </c>
      <c r="K332" s="65">
        <v>1.0</v>
      </c>
      <c r="L332" s="74">
        <v>0.0</v>
      </c>
      <c r="M332" s="93" t="s">
        <v>61</v>
      </c>
      <c r="N332" s="65">
        <f>sumif(PURCHASE!I:I,C332,PURCHASE!J:J)</f>
        <v>37</v>
      </c>
      <c r="O332" s="65">
        <f>sumif('SELLING CASH'!E:E,C332,'SELLING CASH'!F:F)</f>
        <v>33</v>
      </c>
      <c r="P332" s="65">
        <f>sumif('SELLING CREDIT'!F:F,C332,'SELLING CREDIT'!G:G)</f>
        <v>0</v>
      </c>
      <c r="Q332" s="65">
        <f t="shared" si="1"/>
        <v>6</v>
      </c>
      <c r="V332" s="255"/>
      <c r="X332" s="9"/>
      <c r="Y332" s="9"/>
      <c r="Z332" s="9"/>
      <c r="AD332" s="101"/>
      <c r="AF332" s="9"/>
      <c r="AG332" s="9"/>
      <c r="AH332" s="9"/>
    </row>
    <row r="333" ht="22.5" customHeight="1">
      <c r="A333" s="49"/>
      <c r="C333" s="93" t="s">
        <v>1981</v>
      </c>
      <c r="D333" s="93" t="s">
        <v>1286</v>
      </c>
      <c r="E333" s="93" t="s">
        <v>1971</v>
      </c>
      <c r="F333" s="93" t="s">
        <v>493</v>
      </c>
      <c r="G333" s="93">
        <v>0.0</v>
      </c>
      <c r="H333" s="74">
        <v>1100000.0</v>
      </c>
      <c r="I333" s="96">
        <v>973500.0</v>
      </c>
      <c r="J333" s="65" t="s">
        <v>7</v>
      </c>
      <c r="K333" s="65">
        <v>1.0</v>
      </c>
      <c r="L333" s="74">
        <v>0.0</v>
      </c>
      <c r="M333" s="93" t="s">
        <v>61</v>
      </c>
      <c r="N333" s="65">
        <f>sumif(PURCHASE!I:I,C333,PURCHASE!J:J)</f>
        <v>0</v>
      </c>
      <c r="O333" s="65">
        <f>sumif('SELLING CASH'!E:E,C333,'SELLING CASH'!F:F)</f>
        <v>0</v>
      </c>
      <c r="P333" s="65">
        <f>sumif('SELLING CREDIT'!F:F,C333,'SELLING CREDIT'!G:G)</f>
        <v>0</v>
      </c>
      <c r="Q333" s="65">
        <f t="shared" si="1"/>
        <v>0</v>
      </c>
      <c r="V333" s="255"/>
      <c r="X333" s="9"/>
      <c r="Y333" s="9"/>
      <c r="Z333" s="9"/>
      <c r="AD333" s="101"/>
      <c r="AF333" s="9"/>
      <c r="AG333" s="9"/>
      <c r="AH333" s="9"/>
    </row>
    <row r="334" ht="22.5" customHeight="1">
      <c r="A334" s="49"/>
      <c r="C334" s="93" t="s">
        <v>1983</v>
      </c>
      <c r="D334" s="93" t="s">
        <v>324</v>
      </c>
      <c r="F334" s="93" t="s">
        <v>493</v>
      </c>
      <c r="G334" s="93">
        <v>0.0</v>
      </c>
      <c r="H334" s="74">
        <v>1170000.0</v>
      </c>
      <c r="I334" s="96">
        <v>1050000.0</v>
      </c>
      <c r="J334" s="65" t="s">
        <v>7</v>
      </c>
      <c r="K334" s="65">
        <v>1.0</v>
      </c>
      <c r="L334" s="74">
        <v>0.0</v>
      </c>
      <c r="M334" s="93" t="s">
        <v>61</v>
      </c>
      <c r="N334" s="65">
        <f>sumif(PURCHASE!I:I,C334,PURCHASE!J:J)</f>
        <v>0</v>
      </c>
      <c r="O334" s="65">
        <f>sumif('SELLING CASH'!E:E,C334,'SELLING CASH'!F:F)</f>
        <v>0</v>
      </c>
      <c r="P334" s="65">
        <f>sumif('SELLING CREDIT'!F:F,C334,'SELLING CREDIT'!G:G)</f>
        <v>0</v>
      </c>
      <c r="Q334" s="65">
        <f t="shared" si="1"/>
        <v>0</v>
      </c>
      <c r="V334" s="255"/>
      <c r="X334" s="9"/>
      <c r="Y334" s="9"/>
      <c r="Z334" s="9"/>
      <c r="AD334" s="101"/>
      <c r="AF334" s="9"/>
      <c r="AG334" s="9"/>
      <c r="AH334" s="9"/>
    </row>
    <row r="335" ht="22.5" customHeight="1">
      <c r="A335" s="49"/>
      <c r="C335" s="93" t="s">
        <v>1985</v>
      </c>
      <c r="D335" s="93" t="s">
        <v>324</v>
      </c>
      <c r="E335" s="93" t="s">
        <v>1986</v>
      </c>
      <c r="F335" s="93" t="s">
        <v>493</v>
      </c>
      <c r="G335" s="93">
        <v>0.0</v>
      </c>
      <c r="H335" s="74">
        <v>1000000.0</v>
      </c>
      <c r="I335" s="96">
        <v>887900.0</v>
      </c>
      <c r="J335" s="65" t="s">
        <v>7</v>
      </c>
      <c r="K335" s="65">
        <v>1.0</v>
      </c>
      <c r="L335" s="74">
        <v>0.0</v>
      </c>
      <c r="M335" s="93" t="s">
        <v>61</v>
      </c>
      <c r="N335" s="65">
        <f>sumif(PURCHASE!I:I,C335,PURCHASE!J:J)</f>
        <v>0</v>
      </c>
      <c r="O335" s="65">
        <f>sumif('SELLING CASH'!E:E,C335,'SELLING CASH'!F:F)</f>
        <v>0</v>
      </c>
      <c r="P335" s="65">
        <f>sumif('SELLING CREDIT'!F:F,C335,'SELLING CREDIT'!G:G)</f>
        <v>0</v>
      </c>
      <c r="Q335" s="65">
        <f t="shared" si="1"/>
        <v>0</v>
      </c>
      <c r="V335" s="255"/>
      <c r="X335" s="9"/>
      <c r="Y335" s="9"/>
      <c r="Z335" s="9"/>
      <c r="AD335" s="101"/>
      <c r="AF335" s="9"/>
      <c r="AG335" s="9"/>
      <c r="AH335" s="9"/>
    </row>
    <row r="336" ht="22.5" customHeight="1">
      <c r="A336" s="49"/>
      <c r="C336" s="93" t="s">
        <v>1988</v>
      </c>
      <c r="D336" s="93" t="s">
        <v>1990</v>
      </c>
      <c r="E336" s="93" t="s">
        <v>1991</v>
      </c>
      <c r="F336" s="93" t="s">
        <v>493</v>
      </c>
      <c r="G336" s="93">
        <v>0.0</v>
      </c>
      <c r="H336" s="74">
        <v>1485000.0</v>
      </c>
      <c r="I336" s="96">
        <v>1373500.0</v>
      </c>
      <c r="J336" s="65" t="s">
        <v>7</v>
      </c>
      <c r="K336" s="65">
        <v>1.0</v>
      </c>
      <c r="L336" s="74">
        <v>0.0</v>
      </c>
      <c r="M336" s="93" t="s">
        <v>61</v>
      </c>
      <c r="N336" s="65">
        <f>sumif(PURCHASE!I:I,C336,PURCHASE!J:J)</f>
        <v>0</v>
      </c>
      <c r="O336" s="65">
        <f>sumif('SELLING CASH'!E:E,C336,'SELLING CASH'!F:F)</f>
        <v>0</v>
      </c>
      <c r="P336" s="65">
        <f>sumif('SELLING CREDIT'!F:F,C336,'SELLING CREDIT'!G:G)</f>
        <v>0</v>
      </c>
      <c r="Q336" s="65">
        <f t="shared" si="1"/>
        <v>0</v>
      </c>
      <c r="V336" s="255"/>
      <c r="X336" s="9"/>
      <c r="Y336" s="9"/>
      <c r="Z336" s="9"/>
      <c r="AD336" s="101"/>
      <c r="AF336" s="9"/>
      <c r="AG336" s="9"/>
      <c r="AH336" s="9"/>
    </row>
    <row r="337" ht="22.5" customHeight="1">
      <c r="A337" s="49"/>
      <c r="C337" s="93" t="s">
        <v>1993</v>
      </c>
      <c r="D337" s="93" t="s">
        <v>1603</v>
      </c>
      <c r="E337" s="93" t="s">
        <v>1994</v>
      </c>
      <c r="F337" s="93" t="s">
        <v>493</v>
      </c>
      <c r="G337" s="93">
        <v>0.0</v>
      </c>
      <c r="H337" s="74">
        <v>1410000.0</v>
      </c>
      <c r="I337" s="96">
        <v>1290000.0</v>
      </c>
      <c r="J337" s="65" t="s">
        <v>7</v>
      </c>
      <c r="K337" s="65">
        <v>1.0</v>
      </c>
      <c r="L337" s="74">
        <v>0.0</v>
      </c>
      <c r="M337" s="93" t="s">
        <v>61</v>
      </c>
      <c r="N337" s="65">
        <f>sumif(PURCHASE!I:I,C337,PURCHASE!J:J)</f>
        <v>0</v>
      </c>
      <c r="O337" s="65">
        <f>sumif('SELLING CASH'!E:E,C337,'SELLING CASH'!F:F)</f>
        <v>2</v>
      </c>
      <c r="P337" s="65">
        <f>sumif('SELLING CREDIT'!F:F,C337,'SELLING CREDIT'!G:G)</f>
        <v>2</v>
      </c>
      <c r="Q337" s="65">
        <f t="shared" si="1"/>
        <v>-4</v>
      </c>
      <c r="V337" s="255"/>
      <c r="X337" s="9"/>
      <c r="Y337" s="9"/>
      <c r="Z337" s="9"/>
      <c r="AD337" s="101"/>
      <c r="AF337" s="9"/>
      <c r="AG337" s="9"/>
      <c r="AH337" s="9"/>
    </row>
    <row r="338" ht="22.5" customHeight="1">
      <c r="A338" s="49"/>
      <c r="C338" s="93" t="s">
        <v>1995</v>
      </c>
      <c r="D338" s="93" t="s">
        <v>1307</v>
      </c>
      <c r="E338" s="93" t="s">
        <v>1986</v>
      </c>
      <c r="F338" s="93" t="s">
        <v>493</v>
      </c>
      <c r="G338" s="93">
        <v>0.0</v>
      </c>
      <c r="H338" s="74"/>
      <c r="I338" s="96">
        <v>1280000.0</v>
      </c>
      <c r="J338" s="65" t="s">
        <v>7</v>
      </c>
      <c r="K338" s="65">
        <v>1.0</v>
      </c>
      <c r="L338" s="74">
        <v>0.0</v>
      </c>
      <c r="M338" s="93" t="s">
        <v>61</v>
      </c>
      <c r="N338" s="65">
        <f>sumif(PURCHASE!I:I,C338,PURCHASE!J:J)</f>
        <v>0</v>
      </c>
      <c r="O338" s="65">
        <f>sumif('SELLING CASH'!E:E,C338,'SELLING CASH'!F:F)</f>
        <v>2</v>
      </c>
      <c r="P338" s="65">
        <f>sumif('SELLING CREDIT'!F:F,C338,'SELLING CREDIT'!G:G)</f>
        <v>2</v>
      </c>
      <c r="Q338" s="65">
        <f t="shared" si="1"/>
        <v>-4</v>
      </c>
      <c r="V338" s="255"/>
      <c r="X338" s="9"/>
      <c r="Y338" s="9"/>
      <c r="Z338" s="9"/>
      <c r="AD338" s="101"/>
      <c r="AF338" s="9"/>
      <c r="AG338" s="9"/>
      <c r="AH338" s="9"/>
    </row>
    <row r="339" ht="22.5" customHeight="1">
      <c r="A339" s="49"/>
      <c r="C339" s="93" t="str">
        <f>F339&amp;" "&amp;D339&amp;" "&amp;E339</f>
        <v>GT 265/70 17 Komodo MT</v>
      </c>
      <c r="D339" s="93" t="s">
        <v>1996</v>
      </c>
      <c r="E339" s="93" t="s">
        <v>1997</v>
      </c>
      <c r="F339" s="93" t="s">
        <v>493</v>
      </c>
      <c r="G339" s="93">
        <v>0.0</v>
      </c>
      <c r="H339" s="74">
        <v>1630000.0</v>
      </c>
      <c r="I339" s="96">
        <v>1481800.0</v>
      </c>
      <c r="J339" s="93" t="s">
        <v>7</v>
      </c>
      <c r="K339" s="93">
        <v>1.0</v>
      </c>
      <c r="L339" s="74">
        <v>0.0</v>
      </c>
      <c r="M339" s="93" t="s">
        <v>61</v>
      </c>
      <c r="N339" s="65">
        <f>sumif(PURCHASE!I:I,C339,PURCHASE!J:J)</f>
        <v>4</v>
      </c>
      <c r="O339" s="65">
        <f>sumif('SELLING CASH'!E:E,C339,'SELLING CASH'!F:F)</f>
        <v>4</v>
      </c>
      <c r="P339" s="65">
        <f>sumif('SELLING CREDIT'!F:F,C339,'SELLING CREDIT'!G:G)</f>
        <v>0</v>
      </c>
      <c r="Q339" s="65">
        <f t="shared" si="1"/>
        <v>0</v>
      </c>
      <c r="V339" s="255"/>
      <c r="X339" s="9"/>
      <c r="Y339" s="9"/>
      <c r="Z339" s="9"/>
      <c r="AD339" s="101"/>
      <c r="AF339" s="9"/>
      <c r="AG339" s="9"/>
      <c r="AH339" s="9"/>
    </row>
    <row r="340" ht="22.5" customHeight="1">
      <c r="A340" s="49"/>
      <c r="C340" s="93" t="s">
        <v>1998</v>
      </c>
      <c r="D340" s="93" t="s">
        <v>1999</v>
      </c>
      <c r="E340" s="93" t="s">
        <v>2000</v>
      </c>
      <c r="F340" s="93" t="s">
        <v>493</v>
      </c>
      <c r="G340" s="93">
        <v>0.0</v>
      </c>
      <c r="H340" s="74">
        <v>950000.0</v>
      </c>
      <c r="I340" s="96">
        <v>803000.0</v>
      </c>
      <c r="J340" s="65" t="s">
        <v>7</v>
      </c>
      <c r="K340" s="65">
        <v>1.0</v>
      </c>
      <c r="L340" s="74">
        <v>0.0</v>
      </c>
      <c r="M340" s="93" t="s">
        <v>61</v>
      </c>
      <c r="N340" s="65">
        <f>sumif(PURCHASE!I:I,C340,PURCHASE!J:J)</f>
        <v>0</v>
      </c>
      <c r="O340" s="65">
        <f>sumif('SELLING CASH'!E:E,C340,'SELLING CASH'!F:F)</f>
        <v>0</v>
      </c>
      <c r="P340" s="65">
        <f>sumif('SELLING CREDIT'!F:F,C340,'SELLING CREDIT'!G:G)</f>
        <v>0</v>
      </c>
      <c r="Q340" s="65">
        <f t="shared" si="1"/>
        <v>0</v>
      </c>
      <c r="V340" s="255"/>
      <c r="X340" s="9"/>
      <c r="Y340" s="9"/>
      <c r="Z340" s="9"/>
      <c r="AD340" s="101"/>
      <c r="AF340" s="9"/>
      <c r="AG340" s="9"/>
      <c r="AH340" s="9"/>
    </row>
    <row r="341" ht="22.5" customHeight="1">
      <c r="A341" s="49"/>
      <c r="C341" s="93" t="str">
        <f>F341&amp;" "&amp;D341&amp;" "&amp;E341</f>
        <v>GT 28 X 9 - 15  Forklift Specta Grip</v>
      </c>
      <c r="D341" s="93" t="s">
        <v>2001</v>
      </c>
      <c r="E341" s="93" t="s">
        <v>2002</v>
      </c>
      <c r="F341" s="93" t="s">
        <v>493</v>
      </c>
      <c r="G341" s="93">
        <v>0.0</v>
      </c>
      <c r="H341" s="74">
        <v>2500000.0</v>
      </c>
      <c r="I341" s="96">
        <v>2200000.0</v>
      </c>
      <c r="J341" s="93" t="s">
        <v>7</v>
      </c>
      <c r="K341" s="93">
        <v>1.0</v>
      </c>
      <c r="L341" s="74">
        <v>0.0</v>
      </c>
      <c r="M341" s="93" t="s">
        <v>61</v>
      </c>
      <c r="N341" s="65">
        <f>sumif(PURCHASE!I:I,C341,PURCHASE!J:J)</f>
        <v>1</v>
      </c>
      <c r="O341" s="65">
        <f>sumif('SELLING CASH'!E:E,C341,'SELLING CASH'!F:F)</f>
        <v>1</v>
      </c>
      <c r="P341" s="65">
        <f>sumif('SELLING CREDIT'!F:F,C341,'SELLING CREDIT'!G:G)</f>
        <v>0</v>
      </c>
      <c r="Q341" s="65">
        <f t="shared" si="1"/>
        <v>0</v>
      </c>
      <c r="V341" s="255"/>
      <c r="X341" s="9"/>
      <c r="Y341" s="9"/>
      <c r="Z341" s="9"/>
      <c r="AD341" s="101"/>
      <c r="AF341" s="9"/>
      <c r="AG341" s="9"/>
      <c r="AH341" s="9"/>
    </row>
    <row r="342" ht="22.5" customHeight="1">
      <c r="A342" s="49"/>
      <c r="C342" s="93" t="s">
        <v>2003</v>
      </c>
      <c r="D342" s="93" t="s">
        <v>2004</v>
      </c>
      <c r="E342" s="93" t="s">
        <v>2005</v>
      </c>
      <c r="F342" s="93" t="s">
        <v>493</v>
      </c>
      <c r="G342" s="93">
        <v>0.0</v>
      </c>
      <c r="H342" s="74">
        <v>1255000.0</v>
      </c>
      <c r="I342" s="96">
        <v>1132800.0</v>
      </c>
      <c r="J342" s="65" t="s">
        <v>7</v>
      </c>
      <c r="K342" s="65">
        <v>1.0</v>
      </c>
      <c r="L342" s="74">
        <v>0.0</v>
      </c>
      <c r="M342" s="93" t="s">
        <v>61</v>
      </c>
      <c r="N342" s="65">
        <f>sumif(PURCHASE!I:I,C342,PURCHASE!J:J)</f>
        <v>0</v>
      </c>
      <c r="O342" s="65">
        <f>sumif('SELLING CASH'!E:E,C342,'SELLING CASH'!F:F)</f>
        <v>0</v>
      </c>
      <c r="P342" s="65">
        <f>sumif('SELLING CREDIT'!F:F,C342,'SELLING CREDIT'!G:G)</f>
        <v>0</v>
      </c>
      <c r="Q342" s="65">
        <f t="shared" si="1"/>
        <v>0</v>
      </c>
      <c r="V342" s="255"/>
      <c r="X342" s="9"/>
      <c r="Y342" s="9"/>
      <c r="Z342" s="9"/>
      <c r="AD342" s="101"/>
      <c r="AF342" s="9"/>
      <c r="AG342" s="9"/>
      <c r="AH342" s="9"/>
    </row>
    <row r="343" ht="22.5" customHeight="1">
      <c r="A343" s="49"/>
      <c r="C343" s="93" t="s">
        <v>1084</v>
      </c>
      <c r="D343" s="93" t="s">
        <v>2006</v>
      </c>
      <c r="E343" s="93" t="s">
        <v>2005</v>
      </c>
      <c r="F343" s="93" t="s">
        <v>493</v>
      </c>
      <c r="G343" s="93">
        <v>0.0</v>
      </c>
      <c r="H343" s="74">
        <v>1400000.0</v>
      </c>
      <c r="I343" s="96">
        <v>1285000.0</v>
      </c>
      <c r="J343" s="65" t="s">
        <v>7</v>
      </c>
      <c r="K343" s="65">
        <v>1.0</v>
      </c>
      <c r="L343" s="74">
        <v>0.0</v>
      </c>
      <c r="M343" s="93" t="s">
        <v>61</v>
      </c>
      <c r="N343" s="65">
        <f>sumif(PURCHASE!I:I,C343,PURCHASE!J:J)</f>
        <v>4</v>
      </c>
      <c r="O343" s="65">
        <f>sumif('SELLING CASH'!E:E,C343,'SELLING CASH'!F:F)</f>
        <v>4</v>
      </c>
      <c r="P343" s="65">
        <f>sumif('SELLING CREDIT'!F:F,C343,'SELLING CREDIT'!G:G)</f>
        <v>0</v>
      </c>
      <c r="Q343" s="65">
        <f t="shared" si="1"/>
        <v>0</v>
      </c>
      <c r="V343" s="255"/>
      <c r="X343" s="9"/>
      <c r="Y343" s="9"/>
      <c r="Z343" s="9"/>
      <c r="AD343" s="101"/>
      <c r="AF343" s="9"/>
      <c r="AG343" s="9"/>
      <c r="AH343" s="9"/>
    </row>
    <row r="344" ht="22.5" customHeight="1">
      <c r="A344" s="49"/>
      <c r="C344" s="93" t="s">
        <v>292</v>
      </c>
      <c r="D344" s="93" t="s">
        <v>2007</v>
      </c>
      <c r="E344" s="93" t="s">
        <v>2008</v>
      </c>
      <c r="F344" s="93" t="s">
        <v>493</v>
      </c>
      <c r="G344" s="93">
        <v>4.0</v>
      </c>
      <c r="H344" s="74">
        <v>430000.0</v>
      </c>
      <c r="I344" s="96">
        <v>326700.0</v>
      </c>
      <c r="J344" s="65" t="s">
        <v>7</v>
      </c>
      <c r="K344" s="65">
        <v>1.0</v>
      </c>
      <c r="L344" s="74">
        <v>0.0</v>
      </c>
      <c r="M344" s="93" t="s">
        <v>61</v>
      </c>
      <c r="N344" s="65">
        <f>sumif(PURCHASE!I:I,C344,PURCHASE!J:J)</f>
        <v>0</v>
      </c>
      <c r="O344" s="65">
        <f>sumif('SELLING CASH'!E:E,C344,'SELLING CASH'!F:F)</f>
        <v>9</v>
      </c>
      <c r="P344" s="65">
        <f>sumif('SELLING CREDIT'!F:F,C344,'SELLING CREDIT'!G:G)</f>
        <v>0</v>
      </c>
      <c r="Q344" s="65">
        <f t="shared" si="1"/>
        <v>-5</v>
      </c>
      <c r="V344" s="255"/>
      <c r="X344" s="9"/>
      <c r="Y344" s="9"/>
      <c r="Z344" s="9"/>
      <c r="AD344" s="101"/>
      <c r="AF344" s="9"/>
      <c r="AG344" s="9"/>
      <c r="AH344" s="9"/>
    </row>
    <row r="345" ht="22.5" customHeight="1">
      <c r="A345" s="49"/>
      <c r="C345" s="93" t="s">
        <v>781</v>
      </c>
      <c r="D345" s="93" t="s">
        <v>2009</v>
      </c>
      <c r="E345" s="93" t="s">
        <v>2008</v>
      </c>
      <c r="F345" s="93" t="s">
        <v>493</v>
      </c>
      <c r="G345" s="93">
        <v>4.0</v>
      </c>
      <c r="H345" s="140">
        <v>560000.0</v>
      </c>
      <c r="I345" s="193">
        <v>470000.0</v>
      </c>
      <c r="J345" s="65" t="s">
        <v>7</v>
      </c>
      <c r="K345" s="65">
        <v>1.0</v>
      </c>
      <c r="L345" s="74">
        <v>0.0</v>
      </c>
      <c r="M345" s="93" t="s">
        <v>61</v>
      </c>
      <c r="N345" s="65">
        <f>sumif(PURCHASE!I:I,C345,PURCHASE!J:J)</f>
        <v>217</v>
      </c>
      <c r="O345" s="65">
        <f>sumif('SELLING CASH'!E:E,C345,'SELLING CASH'!F:F)</f>
        <v>211</v>
      </c>
      <c r="P345" s="65">
        <f>sumif('SELLING CREDIT'!F:F,C345,'SELLING CREDIT'!G:G)</f>
        <v>2</v>
      </c>
      <c r="Q345" s="65">
        <f t="shared" si="1"/>
        <v>8</v>
      </c>
      <c r="V345" s="255"/>
      <c r="X345" s="9"/>
      <c r="Y345" s="9"/>
      <c r="Z345" s="9"/>
      <c r="AD345" s="101"/>
      <c r="AF345" s="9"/>
      <c r="AG345" s="9"/>
      <c r="AH345" s="9"/>
    </row>
    <row r="346" ht="22.5" customHeight="1">
      <c r="A346" s="49"/>
      <c r="C346" s="93" t="s">
        <v>777</v>
      </c>
      <c r="D346" s="93" t="s">
        <v>2010</v>
      </c>
      <c r="E346" s="93" t="s">
        <v>2008</v>
      </c>
      <c r="F346" s="93" t="s">
        <v>493</v>
      </c>
      <c r="G346" s="93">
        <v>8.0</v>
      </c>
      <c r="H346" s="140">
        <v>625000.0</v>
      </c>
      <c r="I346" s="193">
        <v>540000.0</v>
      </c>
      <c r="J346" s="65" t="s">
        <v>7</v>
      </c>
      <c r="K346" s="65">
        <v>1.0</v>
      </c>
      <c r="L346" s="74">
        <v>0.0</v>
      </c>
      <c r="M346" s="93" t="s">
        <v>61</v>
      </c>
      <c r="N346" s="65">
        <f>sumif(PURCHASE!I:I,C346,PURCHASE!J:J)</f>
        <v>108</v>
      </c>
      <c r="O346" s="65">
        <f>sumif('SELLING CASH'!E:E,C346,'SELLING CASH'!F:F)</f>
        <v>101</v>
      </c>
      <c r="P346" s="65">
        <f>sumif('SELLING CREDIT'!F:F,C346,'SELLING CREDIT'!G:G)</f>
        <v>8</v>
      </c>
      <c r="Q346" s="65">
        <f t="shared" si="1"/>
        <v>7</v>
      </c>
      <c r="V346" s="255"/>
      <c r="X346" s="9"/>
      <c r="Y346" s="9"/>
      <c r="Z346" s="9"/>
      <c r="AD346" s="101"/>
      <c r="AF346" s="9"/>
      <c r="AG346" s="9"/>
      <c r="AH346" s="9"/>
    </row>
    <row r="347" ht="22.5" customHeight="1">
      <c r="A347" s="49"/>
      <c r="C347" s="93" t="s">
        <v>2011</v>
      </c>
      <c r="D347" s="93" t="s">
        <v>2012</v>
      </c>
      <c r="E347" s="93" t="s">
        <v>2013</v>
      </c>
      <c r="F347" s="93" t="s">
        <v>493</v>
      </c>
      <c r="G347" s="93">
        <v>0.0</v>
      </c>
      <c r="H347" s="74">
        <v>650000.0</v>
      </c>
      <c r="I347" s="96">
        <v>547000.0</v>
      </c>
      <c r="J347" s="65" t="s">
        <v>7</v>
      </c>
      <c r="K347" s="65">
        <v>1.0</v>
      </c>
      <c r="L347" s="74">
        <v>0.0</v>
      </c>
      <c r="M347" s="93" t="s">
        <v>61</v>
      </c>
      <c r="N347" s="65">
        <f>sumif(PURCHASE!I:I,C347,PURCHASE!J:J)</f>
        <v>2</v>
      </c>
      <c r="O347" s="65">
        <f>sumif('SELLING CASH'!E:E,C347,'SELLING CASH'!F:F)</f>
        <v>2</v>
      </c>
      <c r="P347" s="65">
        <f>sumif('SELLING CREDIT'!F:F,C347,'SELLING CREDIT'!G:G)</f>
        <v>0</v>
      </c>
      <c r="Q347" s="65">
        <f t="shared" si="1"/>
        <v>0</v>
      </c>
      <c r="V347" s="255"/>
      <c r="X347" s="9"/>
      <c r="Y347" s="9"/>
      <c r="Z347" s="9"/>
      <c r="AD347" s="101"/>
      <c r="AF347" s="9"/>
      <c r="AG347" s="9"/>
      <c r="AH347" s="9"/>
    </row>
    <row r="348" ht="22.5" customHeight="1">
      <c r="A348" s="49"/>
      <c r="C348" s="93" t="s">
        <v>294</v>
      </c>
      <c r="D348" s="93" t="s">
        <v>2014</v>
      </c>
      <c r="E348" s="93" t="s">
        <v>2008</v>
      </c>
      <c r="F348" s="93" t="s">
        <v>493</v>
      </c>
      <c r="G348" s="93">
        <v>5.0</v>
      </c>
      <c r="H348" s="74">
        <v>590000.0</v>
      </c>
      <c r="I348" s="96">
        <v>505000.0</v>
      </c>
      <c r="J348" s="65" t="s">
        <v>7</v>
      </c>
      <c r="K348" s="65">
        <v>1.0</v>
      </c>
      <c r="L348" s="74">
        <v>0.0</v>
      </c>
      <c r="M348" s="93" t="s">
        <v>61</v>
      </c>
      <c r="N348" s="65">
        <f>sumif(PURCHASE!I:I,C348,PURCHASE!J:J)</f>
        <v>79</v>
      </c>
      <c r="O348" s="65">
        <f>sumif('SELLING CASH'!E:E,C348,'SELLING CASH'!F:F)</f>
        <v>77</v>
      </c>
      <c r="P348" s="65">
        <f>sumif('SELLING CREDIT'!F:F,C348,'SELLING CREDIT'!G:G)</f>
        <v>5</v>
      </c>
      <c r="Q348" s="65">
        <f t="shared" si="1"/>
        <v>2</v>
      </c>
      <c r="V348" s="255"/>
      <c r="X348" s="9"/>
      <c r="Y348" s="9"/>
      <c r="Z348" s="9"/>
      <c r="AD348" s="101"/>
      <c r="AF348" s="9"/>
      <c r="AG348" s="9"/>
      <c r="AH348" s="9"/>
    </row>
    <row r="349" ht="22.5" customHeight="1">
      <c r="A349" s="49"/>
      <c r="C349" s="93" t="s">
        <v>2015</v>
      </c>
      <c r="D349" s="93" t="s">
        <v>796</v>
      </c>
      <c r="E349" s="93" t="s">
        <v>2016</v>
      </c>
      <c r="F349" s="93" t="s">
        <v>493</v>
      </c>
      <c r="G349" s="93">
        <v>0.0</v>
      </c>
      <c r="H349" s="140">
        <v>925000.0</v>
      </c>
      <c r="I349" s="193">
        <v>774000.0</v>
      </c>
      <c r="J349" s="65" t="s">
        <v>7</v>
      </c>
      <c r="K349" s="65">
        <v>1.0</v>
      </c>
      <c r="L349" s="74">
        <v>0.0</v>
      </c>
      <c r="M349" s="93" t="s">
        <v>61</v>
      </c>
      <c r="N349" s="65">
        <f>sumif(PURCHASE!I:I,C349,PURCHASE!J:J)</f>
        <v>8</v>
      </c>
      <c r="O349" s="65">
        <f>sumif('SELLING CASH'!E:E,C349,'SELLING CASH'!F:F)</f>
        <v>8</v>
      </c>
      <c r="P349" s="65">
        <f>sumif('SELLING CREDIT'!F:F,C349,'SELLING CREDIT'!G:G)</f>
        <v>0</v>
      </c>
      <c r="Q349" s="65">
        <f t="shared" si="1"/>
        <v>0</v>
      </c>
      <c r="V349" s="255"/>
      <c r="X349" s="9"/>
      <c r="Y349" s="9"/>
      <c r="Z349" s="9"/>
      <c r="AD349" s="101"/>
      <c r="AF349" s="9"/>
      <c r="AG349" s="9"/>
      <c r="AH349" s="9"/>
    </row>
    <row r="350" ht="22.5" customHeight="1">
      <c r="A350" s="49"/>
      <c r="C350" s="93" t="s">
        <v>1849</v>
      </c>
      <c r="D350" s="93" t="s">
        <v>813</v>
      </c>
      <c r="E350" s="93" t="s">
        <v>2018</v>
      </c>
      <c r="F350" s="93" t="s">
        <v>493</v>
      </c>
      <c r="G350" s="93">
        <v>0.0</v>
      </c>
      <c r="H350" s="74">
        <v>1130000.0</v>
      </c>
      <c r="I350" s="96">
        <v>1003000.0</v>
      </c>
      <c r="J350" s="65" t="s">
        <v>7</v>
      </c>
      <c r="K350" s="65">
        <v>1.0</v>
      </c>
      <c r="L350" s="74">
        <v>0.0</v>
      </c>
      <c r="M350" s="93" t="s">
        <v>61</v>
      </c>
      <c r="N350" s="65">
        <f>sumif(PURCHASE!I:I,C350,PURCHASE!J:J)</f>
        <v>3</v>
      </c>
      <c r="O350" s="65">
        <f>sumif('SELLING CASH'!E:E,C350,'SELLING CASH'!F:F)</f>
        <v>3</v>
      </c>
      <c r="P350" s="65">
        <f>sumif('SELLING CREDIT'!F:F,C350,'SELLING CREDIT'!G:G)</f>
        <v>0</v>
      </c>
      <c r="Q350" s="65">
        <f t="shared" si="1"/>
        <v>0</v>
      </c>
      <c r="V350" s="255"/>
      <c r="X350" s="9"/>
      <c r="Y350" s="9"/>
      <c r="Z350" s="9"/>
      <c r="AD350" s="101"/>
      <c r="AF350" s="9"/>
      <c r="AG350" s="9"/>
      <c r="AH350" s="9"/>
    </row>
    <row r="351" ht="22.5" customHeight="1">
      <c r="A351" s="49"/>
      <c r="C351" s="93" t="s">
        <v>2019</v>
      </c>
      <c r="D351" s="93" t="s">
        <v>2020</v>
      </c>
      <c r="E351" s="93" t="s">
        <v>2008</v>
      </c>
      <c r="F351" s="93" t="s">
        <v>493</v>
      </c>
      <c r="G351" s="93">
        <v>7.0</v>
      </c>
      <c r="H351" s="74">
        <v>710000.0</v>
      </c>
      <c r="I351" s="96">
        <v>620000.0</v>
      </c>
      <c r="J351" s="65" t="s">
        <v>7</v>
      </c>
      <c r="K351" s="65">
        <v>1.0</v>
      </c>
      <c r="L351" s="74">
        <v>0.0</v>
      </c>
      <c r="M351" s="93" t="s">
        <v>61</v>
      </c>
      <c r="N351" s="65">
        <f>sumif(PURCHASE!I:I,C351,PURCHASE!J:J)</f>
        <v>49</v>
      </c>
      <c r="O351" s="65">
        <f>sumif('SELLING CASH'!E:E,C351,'SELLING CASH'!F:F)</f>
        <v>58</v>
      </c>
      <c r="P351" s="65">
        <f>sumif('SELLING CREDIT'!F:F,C351,'SELLING CREDIT'!G:G)</f>
        <v>0</v>
      </c>
      <c r="Q351" s="65">
        <f t="shared" si="1"/>
        <v>-2</v>
      </c>
      <c r="V351" s="255"/>
      <c r="X351" s="9"/>
      <c r="Y351" s="9"/>
      <c r="Z351" s="9"/>
      <c r="AD351" s="101"/>
      <c r="AF351" s="9"/>
      <c r="AG351" s="9"/>
      <c r="AH351" s="9"/>
    </row>
    <row r="352" ht="22.5" customHeight="1">
      <c r="A352" s="49"/>
      <c r="C352" s="93" t="s">
        <v>2022</v>
      </c>
      <c r="D352" s="93" t="s">
        <v>2023</v>
      </c>
      <c r="E352" s="93" t="s">
        <v>2024</v>
      </c>
      <c r="F352" s="93" t="s">
        <v>493</v>
      </c>
      <c r="G352" s="93">
        <v>0.0</v>
      </c>
      <c r="H352" s="74">
        <v>1300000.0</v>
      </c>
      <c r="I352" s="96">
        <v>1175000.0</v>
      </c>
      <c r="J352" s="65" t="s">
        <v>7</v>
      </c>
      <c r="K352" s="65">
        <v>1.0</v>
      </c>
      <c r="L352" s="74">
        <v>0.0</v>
      </c>
      <c r="M352" s="93" t="s">
        <v>61</v>
      </c>
      <c r="N352" s="65">
        <f>sumif(PURCHASE!I:I,C352,PURCHASE!J:J)</f>
        <v>6</v>
      </c>
      <c r="O352" s="65">
        <f>sumif('SELLING CASH'!E:E,C352,'SELLING CASH'!F:F)</f>
        <v>2</v>
      </c>
      <c r="P352" s="65">
        <f>sumif('SELLING CREDIT'!F:F,C352,'SELLING CREDIT'!G:G)</f>
        <v>4</v>
      </c>
      <c r="Q352" s="65">
        <f t="shared" si="1"/>
        <v>0</v>
      </c>
      <c r="V352" s="255"/>
      <c r="X352" s="9"/>
      <c r="Y352" s="9"/>
      <c r="Z352" s="9"/>
      <c r="AD352" s="101"/>
      <c r="AF352" s="9"/>
      <c r="AG352" s="9"/>
      <c r="AH352" s="9"/>
    </row>
    <row r="353" ht="22.5" customHeight="1">
      <c r="A353" s="49"/>
      <c r="C353" s="93" t="s">
        <v>791</v>
      </c>
      <c r="D353" s="93" t="s">
        <v>354</v>
      </c>
      <c r="E353" s="93" t="s">
        <v>1614</v>
      </c>
      <c r="F353" s="93" t="s">
        <v>493</v>
      </c>
      <c r="G353" s="93">
        <v>7.0</v>
      </c>
      <c r="H353" s="140">
        <v>1320000.0</v>
      </c>
      <c r="I353" s="193">
        <v>1210000.0</v>
      </c>
      <c r="J353" s="65" t="s">
        <v>7</v>
      </c>
      <c r="K353" s="65">
        <v>1.0</v>
      </c>
      <c r="L353" s="74">
        <v>0.0</v>
      </c>
      <c r="M353" s="93" t="s">
        <v>61</v>
      </c>
      <c r="N353" s="65">
        <f>sumif(PURCHASE!I:I,C353,PURCHASE!J:J)</f>
        <v>133</v>
      </c>
      <c r="O353" s="65">
        <f>sumif('SELLING CASH'!E:E,C353,'SELLING CASH'!F:F)</f>
        <v>75</v>
      </c>
      <c r="P353" s="65">
        <f>sumif('SELLING CREDIT'!F:F,C353,'SELLING CREDIT'!G:G)</f>
        <v>61</v>
      </c>
      <c r="Q353" s="65">
        <f t="shared" si="1"/>
        <v>4</v>
      </c>
      <c r="V353" s="255"/>
      <c r="X353" s="9"/>
      <c r="Y353" s="9"/>
      <c r="Z353" s="9"/>
      <c r="AD353" s="101"/>
      <c r="AF353" s="9"/>
      <c r="AG353" s="9"/>
      <c r="AH353" s="9"/>
    </row>
    <row r="354" ht="22.5" customHeight="1">
      <c r="A354" s="49"/>
      <c r="C354" s="93" t="s">
        <v>2026</v>
      </c>
      <c r="D354" s="93" t="s">
        <v>354</v>
      </c>
      <c r="E354" s="93" t="s">
        <v>1844</v>
      </c>
      <c r="F354" s="93" t="s">
        <v>493</v>
      </c>
      <c r="G354" s="93">
        <v>0.0</v>
      </c>
      <c r="H354" s="74">
        <v>1600000.0</v>
      </c>
      <c r="I354" s="96">
        <v>0.0</v>
      </c>
      <c r="J354" s="65" t="s">
        <v>7</v>
      </c>
      <c r="K354" s="65">
        <v>1.0</v>
      </c>
      <c r="L354" s="74">
        <v>0.0</v>
      </c>
      <c r="M354" s="93" t="s">
        <v>61</v>
      </c>
      <c r="N354" s="65">
        <f>sumif(PURCHASE!I:I,C354,PURCHASE!J:J)</f>
        <v>0</v>
      </c>
      <c r="O354" s="65">
        <f>sumif('SELLING CASH'!E:E,C354,'SELLING CASH'!F:F)</f>
        <v>0</v>
      </c>
      <c r="P354" s="65">
        <f>sumif('SELLING CREDIT'!F:F,C354,'SELLING CREDIT'!G:G)</f>
        <v>0</v>
      </c>
      <c r="Q354" s="65">
        <f t="shared" si="1"/>
        <v>0</v>
      </c>
      <c r="V354" s="255"/>
      <c r="X354" s="9"/>
      <c r="Y354" s="9"/>
      <c r="Z354" s="9"/>
      <c r="AD354" s="101"/>
      <c r="AF354" s="9"/>
      <c r="AG354" s="9"/>
      <c r="AH354" s="9"/>
    </row>
    <row r="355" ht="22.5" customHeight="1">
      <c r="A355" s="49"/>
      <c r="C355" s="93" t="s">
        <v>2028</v>
      </c>
      <c r="D355" s="93" t="s">
        <v>364</v>
      </c>
      <c r="E355" s="93" t="s">
        <v>2029</v>
      </c>
      <c r="F355" s="93" t="s">
        <v>493</v>
      </c>
      <c r="G355" s="93">
        <v>0.0</v>
      </c>
      <c r="H355" s="74">
        <v>1520000.0</v>
      </c>
      <c r="I355" s="96">
        <v>1395000.0</v>
      </c>
      <c r="J355" s="65" t="s">
        <v>7</v>
      </c>
      <c r="K355" s="65">
        <v>1.0</v>
      </c>
      <c r="L355" s="74">
        <v>0.0</v>
      </c>
      <c r="M355" s="93" t="s">
        <v>61</v>
      </c>
      <c r="N355" s="65">
        <f>sumif(PURCHASE!I:I,C355,PURCHASE!J:J)</f>
        <v>0</v>
      </c>
      <c r="O355" s="65">
        <f>sumif('SELLING CASH'!E:E,C355,'SELLING CASH'!F:F)</f>
        <v>0</v>
      </c>
      <c r="P355" s="65">
        <f>sumif('SELLING CREDIT'!F:F,C355,'SELLING CREDIT'!G:G)</f>
        <v>0</v>
      </c>
      <c r="Q355" s="65">
        <f t="shared" si="1"/>
        <v>0</v>
      </c>
      <c r="V355" s="255"/>
      <c r="X355" s="9"/>
      <c r="Y355" s="9"/>
      <c r="Z355" s="9"/>
      <c r="AD355" s="101"/>
      <c r="AF355" s="9"/>
      <c r="AG355" s="9"/>
      <c r="AH355" s="9"/>
    </row>
    <row r="356" ht="22.5" customHeight="1">
      <c r="A356" s="49"/>
      <c r="C356" s="93" t="s">
        <v>897</v>
      </c>
      <c r="D356" s="93" t="s">
        <v>364</v>
      </c>
      <c r="E356" s="93" t="s">
        <v>2031</v>
      </c>
      <c r="F356" s="93" t="s">
        <v>493</v>
      </c>
      <c r="G356" s="93">
        <v>11.0</v>
      </c>
      <c r="H356" s="140">
        <v>1660000.0</v>
      </c>
      <c r="I356" s="193">
        <v>1560000.0</v>
      </c>
      <c r="J356" s="65" t="s">
        <v>7</v>
      </c>
      <c r="K356" s="65">
        <v>1.0</v>
      </c>
      <c r="L356" s="74">
        <v>0.0</v>
      </c>
      <c r="M356" s="93" t="s">
        <v>61</v>
      </c>
      <c r="N356" s="65">
        <f>sumif(PURCHASE!I:I,C356,PURCHASE!J:J)</f>
        <v>133</v>
      </c>
      <c r="O356" s="65">
        <f>sumif('SELLING CASH'!E:E,C356,'SELLING CASH'!F:F)</f>
        <v>89</v>
      </c>
      <c r="P356" s="65">
        <f>sumif('SELLING CREDIT'!F:F,C356,'SELLING CREDIT'!G:G)</f>
        <v>61</v>
      </c>
      <c r="Q356" s="65">
        <f t="shared" si="1"/>
        <v>-6</v>
      </c>
      <c r="V356" s="255"/>
      <c r="X356" s="9"/>
      <c r="Y356" s="9"/>
      <c r="Z356" s="9"/>
      <c r="AD356" s="101"/>
      <c r="AF356" s="9"/>
      <c r="AG356" s="9"/>
      <c r="AH356" s="9"/>
    </row>
    <row r="357" ht="22.5" customHeight="1">
      <c r="A357" s="49"/>
      <c r="C357" s="93" t="s">
        <v>2034</v>
      </c>
      <c r="D357" s="93" t="s">
        <v>364</v>
      </c>
      <c r="E357" s="93" t="s">
        <v>2035</v>
      </c>
      <c r="F357" s="93" t="s">
        <v>493</v>
      </c>
      <c r="G357" s="93">
        <v>0.0</v>
      </c>
      <c r="H357" s="74">
        <v>1820000.0</v>
      </c>
      <c r="I357" s="96">
        <v>1700000.0</v>
      </c>
      <c r="J357" s="65" t="s">
        <v>7</v>
      </c>
      <c r="K357" s="65">
        <v>1.0</v>
      </c>
      <c r="L357" s="74">
        <v>0.0</v>
      </c>
      <c r="M357" s="93" t="s">
        <v>61</v>
      </c>
      <c r="N357" s="65">
        <f>sumif(PURCHASE!I:I,C357,PURCHASE!J:J)</f>
        <v>0</v>
      </c>
      <c r="O357" s="65">
        <f>sumif('SELLING CASH'!E:E,C357,'SELLING CASH'!F:F)</f>
        <v>0</v>
      </c>
      <c r="P357" s="65">
        <f>sumif('SELLING CREDIT'!F:F,C357,'SELLING CREDIT'!G:G)</f>
        <v>0</v>
      </c>
      <c r="Q357" s="65">
        <f t="shared" si="1"/>
        <v>0</v>
      </c>
      <c r="V357" s="255"/>
      <c r="X357" s="9"/>
      <c r="Y357" s="9"/>
      <c r="Z357" s="9"/>
      <c r="AD357" s="101"/>
      <c r="AF357" s="9"/>
      <c r="AG357" s="9"/>
      <c r="AH357" s="9"/>
    </row>
    <row r="358" ht="22.5" customHeight="1">
      <c r="A358" s="49"/>
      <c r="C358" s="93" t="s">
        <v>2037</v>
      </c>
      <c r="D358" s="93" t="s">
        <v>848</v>
      </c>
      <c r="E358" s="93" t="s">
        <v>2038</v>
      </c>
      <c r="F358" s="93" t="s">
        <v>493</v>
      </c>
      <c r="G358" s="93">
        <v>2.0</v>
      </c>
      <c r="H358" s="140">
        <v>2750000.0</v>
      </c>
      <c r="I358" s="193">
        <v>2575000.0</v>
      </c>
      <c r="J358" s="65" t="s">
        <v>7</v>
      </c>
      <c r="K358" s="65">
        <v>1.0</v>
      </c>
      <c r="L358" s="74">
        <v>0.0</v>
      </c>
      <c r="M358" s="93" t="s">
        <v>61</v>
      </c>
      <c r="N358" s="65">
        <f>sumif(PURCHASE!I:I,C358,PURCHASE!J:J)</f>
        <v>23</v>
      </c>
      <c r="O358" s="65">
        <f>sumif('SELLING CASH'!E:E,C358,'SELLING CASH'!F:F)</f>
        <v>21</v>
      </c>
      <c r="P358" s="65">
        <f>sumif('SELLING CREDIT'!F:F,C358,'SELLING CREDIT'!G:G)</f>
        <v>2</v>
      </c>
      <c r="Q358" s="65">
        <f t="shared" si="1"/>
        <v>2</v>
      </c>
      <c r="V358" s="255"/>
      <c r="X358" s="9"/>
      <c r="Y358" s="9"/>
      <c r="Z358" s="9"/>
      <c r="AD358" s="101"/>
      <c r="AF358" s="9"/>
      <c r="AG358" s="9"/>
      <c r="AH358" s="9"/>
    </row>
    <row r="359" ht="22.5" customHeight="1">
      <c r="A359" s="49"/>
      <c r="C359" s="93" t="s">
        <v>2040</v>
      </c>
      <c r="D359" s="93" t="s">
        <v>2041</v>
      </c>
      <c r="E359" s="93" t="s">
        <v>2042</v>
      </c>
      <c r="F359" s="93" t="s">
        <v>2043</v>
      </c>
      <c r="G359" s="93">
        <v>0.0</v>
      </c>
      <c r="H359" s="74">
        <v>4050000.0</v>
      </c>
      <c r="I359" s="96">
        <v>3750000.0</v>
      </c>
      <c r="J359" s="65" t="s">
        <v>7</v>
      </c>
      <c r="K359" s="65">
        <v>1.0</v>
      </c>
      <c r="L359" s="74">
        <v>0.0</v>
      </c>
      <c r="M359" s="93" t="s">
        <v>61</v>
      </c>
      <c r="N359" s="65">
        <f>sumif(PURCHASE!I:I,C359,PURCHASE!J:J)</f>
        <v>0</v>
      </c>
      <c r="O359" s="65">
        <f>sumif('SELLING CASH'!E:E,C359,'SELLING CASH'!F:F)</f>
        <v>0</v>
      </c>
      <c r="P359" s="65">
        <f>sumif('SELLING CREDIT'!F:F,C359,'SELLING CREDIT'!G:G)</f>
        <v>0</v>
      </c>
      <c r="Q359" s="65">
        <f t="shared" si="1"/>
        <v>0</v>
      </c>
      <c r="V359" s="255"/>
      <c r="X359" s="9"/>
      <c r="Y359" s="9"/>
      <c r="Z359" s="9"/>
      <c r="AD359" s="101"/>
      <c r="AF359" s="9"/>
      <c r="AG359" s="9"/>
      <c r="AH359" s="9"/>
    </row>
    <row r="360" ht="22.5" customHeight="1">
      <c r="A360" s="49"/>
      <c r="C360" s="69" t="s">
        <v>2044</v>
      </c>
      <c r="D360" s="93" t="s">
        <v>892</v>
      </c>
      <c r="F360" s="93" t="s">
        <v>2043</v>
      </c>
      <c r="G360" s="93">
        <v>0.0</v>
      </c>
      <c r="H360" s="74">
        <v>650000.0</v>
      </c>
      <c r="I360" s="96">
        <v>550000.0</v>
      </c>
      <c r="J360" s="65" t="s">
        <v>7</v>
      </c>
      <c r="K360" s="65">
        <v>1.0</v>
      </c>
      <c r="L360" s="74">
        <v>0.0</v>
      </c>
      <c r="M360" s="93" t="s">
        <v>61</v>
      </c>
      <c r="N360" s="65">
        <f>sumif(PURCHASE!I:I,C360,PURCHASE!J:J)</f>
        <v>0</v>
      </c>
      <c r="O360" s="65">
        <f>sumif('SELLING CASH'!E:E,C360,'SELLING CASH'!F:F)</f>
        <v>0</v>
      </c>
      <c r="P360" s="65">
        <f>sumif('SELLING CREDIT'!F:F,C360,'SELLING CREDIT'!G:G)</f>
        <v>0</v>
      </c>
      <c r="Q360" s="65">
        <f t="shared" si="1"/>
        <v>0</v>
      </c>
      <c r="V360" s="255"/>
      <c r="X360" s="9"/>
      <c r="Y360" s="9"/>
      <c r="Z360" s="9"/>
      <c r="AD360" s="101"/>
      <c r="AF360" s="9"/>
      <c r="AG360" s="9"/>
      <c r="AH360" s="9"/>
    </row>
    <row r="361" ht="22.5" customHeight="1">
      <c r="A361" s="49"/>
      <c r="C361" s="93" t="s">
        <v>2046</v>
      </c>
      <c r="D361" s="93" t="s">
        <v>892</v>
      </c>
      <c r="E361" s="93" t="s">
        <v>2008</v>
      </c>
      <c r="F361" s="93" t="s">
        <v>2043</v>
      </c>
      <c r="G361" s="93">
        <v>0.0</v>
      </c>
      <c r="H361" s="74">
        <v>660000.0</v>
      </c>
      <c r="I361" s="96">
        <v>550000.0</v>
      </c>
      <c r="J361" s="65" t="s">
        <v>7</v>
      </c>
      <c r="K361" s="65">
        <v>1.0</v>
      </c>
      <c r="L361" s="74">
        <v>0.0</v>
      </c>
      <c r="M361" s="93" t="s">
        <v>61</v>
      </c>
      <c r="N361" s="65">
        <f>sumif(PURCHASE!I:I,C361,PURCHASE!J:J)</f>
        <v>0</v>
      </c>
      <c r="O361" s="65">
        <f>sumif('SELLING CASH'!E:E,C361,'SELLING CASH'!F:F)</f>
        <v>0</v>
      </c>
      <c r="P361" s="65">
        <f>sumif('SELLING CREDIT'!F:F,C361,'SELLING CREDIT'!G:G)</f>
        <v>0</v>
      </c>
      <c r="Q361" s="65">
        <f t="shared" si="1"/>
        <v>0</v>
      </c>
      <c r="V361" s="255"/>
      <c r="X361" s="9"/>
      <c r="Y361" s="9"/>
      <c r="Z361" s="9"/>
      <c r="AD361" s="101"/>
      <c r="AF361" s="9"/>
      <c r="AG361" s="9"/>
      <c r="AH361" s="9"/>
    </row>
    <row r="362" ht="22.5" customHeight="1">
      <c r="A362" s="49"/>
      <c r="C362" s="93" t="s">
        <v>2048</v>
      </c>
      <c r="D362" s="93" t="s">
        <v>116</v>
      </c>
      <c r="F362" s="93" t="s">
        <v>2043</v>
      </c>
      <c r="G362" s="93">
        <v>4.0</v>
      </c>
      <c r="H362" s="74">
        <v>700000.0</v>
      </c>
      <c r="I362" s="96">
        <v>615000.0</v>
      </c>
      <c r="J362" s="65" t="s">
        <v>7</v>
      </c>
      <c r="K362" s="65">
        <v>1.0</v>
      </c>
      <c r="L362" s="74">
        <v>0.0</v>
      </c>
      <c r="M362" s="93" t="s">
        <v>61</v>
      </c>
      <c r="N362" s="65">
        <f>sumif(PURCHASE!I:I,C362,PURCHASE!J:J)</f>
        <v>10</v>
      </c>
      <c r="O362" s="65">
        <f>sumif('SELLING CASH'!E:E,C362,'SELLING CASH'!F:F)</f>
        <v>10</v>
      </c>
      <c r="P362" s="65">
        <f>sumif('SELLING CREDIT'!F:F,C362,'SELLING CREDIT'!G:G)</f>
        <v>0</v>
      </c>
      <c r="Q362" s="65">
        <f t="shared" si="1"/>
        <v>4</v>
      </c>
      <c r="V362" s="255"/>
      <c r="X362" s="9"/>
      <c r="Y362" s="9"/>
      <c r="Z362" s="9"/>
      <c r="AD362" s="101"/>
      <c r="AF362" s="9"/>
      <c r="AG362" s="9"/>
      <c r="AH362" s="9"/>
    </row>
    <row r="363" ht="22.5" customHeight="1">
      <c r="A363" s="49"/>
      <c r="C363" s="93" t="s">
        <v>2050</v>
      </c>
      <c r="D363" s="93" t="s">
        <v>127</v>
      </c>
      <c r="F363" s="93" t="s">
        <v>2043</v>
      </c>
      <c r="G363" s="93">
        <v>0.0</v>
      </c>
      <c r="H363" s="74">
        <v>600000.0</v>
      </c>
      <c r="I363" s="96">
        <v>506000.0</v>
      </c>
      <c r="J363" s="65" t="s">
        <v>7</v>
      </c>
      <c r="K363" s="65">
        <v>1.0</v>
      </c>
      <c r="L363" s="74">
        <v>0.0</v>
      </c>
      <c r="M363" s="93" t="s">
        <v>61</v>
      </c>
      <c r="N363" s="65">
        <f>sumif(PURCHASE!I:I,C363,PURCHASE!J:J)</f>
        <v>0</v>
      </c>
      <c r="O363" s="65">
        <f>sumif('SELLING CASH'!E:E,C363,'SELLING CASH'!F:F)</f>
        <v>14</v>
      </c>
      <c r="P363" s="65">
        <f>sumif('SELLING CREDIT'!F:F,C363,'SELLING CREDIT'!G:G)</f>
        <v>0</v>
      </c>
      <c r="Q363" s="65">
        <f t="shared" si="1"/>
        <v>-14</v>
      </c>
      <c r="V363" s="255"/>
      <c r="X363" s="9"/>
      <c r="Y363" s="9"/>
      <c r="Z363" s="9"/>
      <c r="AD363" s="101"/>
      <c r="AF363" s="9"/>
      <c r="AG363" s="9"/>
      <c r="AH363" s="9"/>
    </row>
    <row r="364" ht="22.5" customHeight="1">
      <c r="A364" s="49"/>
      <c r="C364" s="93" t="s">
        <v>2052</v>
      </c>
      <c r="D364" s="93" t="s">
        <v>151</v>
      </c>
      <c r="F364" s="93" t="s">
        <v>2043</v>
      </c>
      <c r="G364" s="93">
        <v>0.0</v>
      </c>
      <c r="H364" s="74">
        <v>780000.0</v>
      </c>
      <c r="I364" s="96">
        <v>690000.0</v>
      </c>
      <c r="J364" s="65" t="s">
        <v>7</v>
      </c>
      <c r="K364" s="65">
        <v>1.0</v>
      </c>
      <c r="L364" s="74">
        <v>0.0</v>
      </c>
      <c r="M364" s="93" t="s">
        <v>61</v>
      </c>
      <c r="N364" s="65">
        <f>sumif(PURCHASE!I:I,C364,PURCHASE!J:J)</f>
        <v>0</v>
      </c>
      <c r="O364" s="65">
        <f>sumif('SELLING CASH'!E:E,C364,'SELLING CASH'!F:F)</f>
        <v>0</v>
      </c>
      <c r="P364" s="65">
        <f>sumif('SELLING CREDIT'!F:F,C364,'SELLING CREDIT'!G:G)</f>
        <v>0</v>
      </c>
      <c r="Q364" s="65">
        <f t="shared" si="1"/>
        <v>0</v>
      </c>
      <c r="V364" s="255"/>
      <c r="X364" s="9"/>
      <c r="Y364" s="9"/>
      <c r="Z364" s="9"/>
      <c r="AD364" s="101"/>
      <c r="AF364" s="9"/>
      <c r="AG364" s="9"/>
      <c r="AH364" s="9"/>
    </row>
    <row r="365" ht="22.5" customHeight="1">
      <c r="A365" s="49"/>
      <c r="C365" s="93" t="s">
        <v>2054</v>
      </c>
      <c r="D365" s="93" t="s">
        <v>958</v>
      </c>
      <c r="F365" s="93" t="s">
        <v>2043</v>
      </c>
      <c r="G365" s="93">
        <v>0.0</v>
      </c>
      <c r="H365" s="74">
        <v>660000.0</v>
      </c>
      <c r="I365" s="96">
        <v>560000.0</v>
      </c>
      <c r="J365" s="65" t="s">
        <v>7</v>
      </c>
      <c r="K365" s="65">
        <v>1.0</v>
      </c>
      <c r="L365" s="74">
        <v>0.0</v>
      </c>
      <c r="M365" s="93" t="s">
        <v>61</v>
      </c>
      <c r="N365" s="65">
        <f>sumif(PURCHASE!I:I,C365,PURCHASE!J:J)</f>
        <v>0</v>
      </c>
      <c r="O365" s="65">
        <f>sumif('SELLING CASH'!E:E,C365,'SELLING CASH'!F:F)</f>
        <v>0</v>
      </c>
      <c r="P365" s="65">
        <f>sumif('SELLING CREDIT'!F:F,C365,'SELLING CREDIT'!G:G)</f>
        <v>0</v>
      </c>
      <c r="Q365" s="65">
        <f t="shared" si="1"/>
        <v>0</v>
      </c>
      <c r="V365" s="255"/>
      <c r="X365" s="9"/>
      <c r="Y365" s="9"/>
      <c r="Z365" s="9"/>
      <c r="AD365" s="101"/>
      <c r="AF365" s="9"/>
      <c r="AG365" s="9"/>
      <c r="AH365" s="9"/>
    </row>
    <row r="366" ht="22.5" customHeight="1">
      <c r="A366" s="49"/>
      <c r="C366" s="93" t="s">
        <v>2057</v>
      </c>
      <c r="D366" s="93" t="s">
        <v>981</v>
      </c>
      <c r="F366" s="93" t="s">
        <v>2058</v>
      </c>
      <c r="G366" s="93">
        <v>0.0</v>
      </c>
      <c r="H366" s="74">
        <v>665000.0</v>
      </c>
      <c r="I366" s="96">
        <v>565000.0</v>
      </c>
      <c r="J366" s="65" t="s">
        <v>7</v>
      </c>
      <c r="K366" s="65">
        <v>1.0</v>
      </c>
      <c r="L366" s="74">
        <v>0.0</v>
      </c>
      <c r="M366" s="93" t="s">
        <v>61</v>
      </c>
      <c r="N366" s="65">
        <f>sumif(PURCHASE!I:I,C366,PURCHASE!J:J)</f>
        <v>10</v>
      </c>
      <c r="O366" s="65">
        <f>sumif('SELLING CASH'!E:E,C366,'SELLING CASH'!F:F)</f>
        <v>10</v>
      </c>
      <c r="P366" s="65">
        <f>sumif('SELLING CREDIT'!F:F,C366,'SELLING CREDIT'!G:G)</f>
        <v>0</v>
      </c>
      <c r="Q366" s="65">
        <f t="shared" si="1"/>
        <v>0</v>
      </c>
      <c r="V366" s="255"/>
      <c r="X366" s="9"/>
      <c r="Y366" s="9"/>
      <c r="Z366" s="9"/>
      <c r="AD366" s="101"/>
      <c r="AF366" s="9"/>
      <c r="AG366" s="9"/>
      <c r="AH366" s="9"/>
    </row>
    <row r="367" ht="22.5" customHeight="1">
      <c r="A367" s="49"/>
      <c r="C367" s="93" t="s">
        <v>2060</v>
      </c>
      <c r="D367" s="93" t="s">
        <v>164</v>
      </c>
      <c r="F367" s="93" t="s">
        <v>2043</v>
      </c>
      <c r="G367" s="93">
        <v>0.0</v>
      </c>
      <c r="H367" s="74">
        <v>620000.0</v>
      </c>
      <c r="I367" s="96">
        <v>517000.0</v>
      </c>
      <c r="J367" s="65" t="s">
        <v>7</v>
      </c>
      <c r="K367" s="65">
        <v>1.0</v>
      </c>
      <c r="L367" s="74">
        <v>0.0</v>
      </c>
      <c r="M367" s="93" t="s">
        <v>61</v>
      </c>
      <c r="N367" s="65">
        <f>sumif(PURCHASE!I:I,C367,PURCHASE!J:J)</f>
        <v>10</v>
      </c>
      <c r="O367" s="65">
        <f>sumif('SELLING CASH'!E:E,C367,'SELLING CASH'!F:F)</f>
        <v>12</v>
      </c>
      <c r="P367" s="65">
        <f>sumif('SELLING CREDIT'!F:F,C367,'SELLING CREDIT'!G:G)</f>
        <v>0</v>
      </c>
      <c r="Q367" s="65">
        <f t="shared" si="1"/>
        <v>-2</v>
      </c>
      <c r="V367" s="255"/>
      <c r="X367" s="9"/>
      <c r="Y367" s="9"/>
      <c r="Z367" s="9"/>
      <c r="AD367" s="101"/>
      <c r="AF367" s="9"/>
      <c r="AG367" s="9"/>
      <c r="AH367" s="9"/>
    </row>
    <row r="368" ht="22.5" customHeight="1">
      <c r="A368" s="49"/>
      <c r="C368" s="93" t="s">
        <v>2062</v>
      </c>
      <c r="D368" s="93" t="s">
        <v>1087</v>
      </c>
      <c r="F368" s="93" t="s">
        <v>2043</v>
      </c>
      <c r="G368" s="93">
        <v>1.0</v>
      </c>
      <c r="H368" s="74">
        <v>725000.0</v>
      </c>
      <c r="I368" s="96">
        <v>623000.0</v>
      </c>
      <c r="J368" s="65" t="s">
        <v>7</v>
      </c>
      <c r="K368" s="65">
        <v>1.0</v>
      </c>
      <c r="L368" s="74">
        <v>0.0</v>
      </c>
      <c r="M368" s="93" t="s">
        <v>61</v>
      </c>
      <c r="N368" s="65">
        <f>sumif(PURCHASE!I:I,C368,PURCHASE!J:J)</f>
        <v>0</v>
      </c>
      <c r="O368" s="65">
        <f>sumif('SELLING CASH'!E:E,C368,'SELLING CASH'!F:F)</f>
        <v>1</v>
      </c>
      <c r="P368" s="65">
        <f>sumif('SELLING CREDIT'!F:F,C368,'SELLING CREDIT'!G:G)</f>
        <v>0</v>
      </c>
      <c r="Q368" s="65">
        <f t="shared" si="1"/>
        <v>0</v>
      </c>
      <c r="V368" s="255"/>
      <c r="X368" s="9"/>
      <c r="Y368" s="9"/>
      <c r="Z368" s="9"/>
      <c r="AD368" s="101"/>
      <c r="AF368" s="9"/>
      <c r="AG368" s="9"/>
      <c r="AH368" s="9"/>
    </row>
    <row r="369" ht="22.5" customHeight="1">
      <c r="A369" s="49"/>
      <c r="C369" s="93" t="s">
        <v>2064</v>
      </c>
      <c r="D369" s="93" t="s">
        <v>1123</v>
      </c>
      <c r="F369" s="93" t="s">
        <v>2058</v>
      </c>
      <c r="G369" s="93">
        <v>1.0</v>
      </c>
      <c r="H369" s="74">
        <v>700000.0</v>
      </c>
      <c r="I369" s="96">
        <v>608000.0</v>
      </c>
      <c r="J369" s="65" t="s">
        <v>7</v>
      </c>
      <c r="K369" s="65">
        <v>1.0</v>
      </c>
      <c r="L369" s="74">
        <v>0.0</v>
      </c>
      <c r="M369" s="93" t="s">
        <v>61</v>
      </c>
      <c r="N369" s="65">
        <f>sumif(PURCHASE!I:I,C369,PURCHASE!J:J)</f>
        <v>16</v>
      </c>
      <c r="O369" s="65">
        <f>sumif('SELLING CASH'!E:E,C369,'SELLING CASH'!F:F)</f>
        <v>13</v>
      </c>
      <c r="P369" s="65">
        <f>sumif('SELLING CREDIT'!F:F,C369,'SELLING CREDIT'!G:G)</f>
        <v>3</v>
      </c>
      <c r="Q369" s="65">
        <f t="shared" si="1"/>
        <v>1</v>
      </c>
      <c r="V369" s="255"/>
      <c r="X369" s="9"/>
      <c r="Y369" s="9"/>
      <c r="Z369" s="9"/>
      <c r="AD369" s="101"/>
      <c r="AF369" s="9"/>
      <c r="AG369" s="9"/>
      <c r="AH369" s="9"/>
    </row>
    <row r="370" ht="22.5" customHeight="1">
      <c r="A370" s="49"/>
      <c r="C370" s="93" t="s">
        <v>2065</v>
      </c>
      <c r="D370" s="93" t="s">
        <v>1134</v>
      </c>
      <c r="F370" s="93" t="s">
        <v>2043</v>
      </c>
      <c r="G370" s="93">
        <v>0.0</v>
      </c>
      <c r="H370" s="74">
        <v>650000.0</v>
      </c>
      <c r="I370" s="96">
        <v>555000.0</v>
      </c>
      <c r="J370" s="65" t="s">
        <v>7</v>
      </c>
      <c r="K370" s="65">
        <v>1.0</v>
      </c>
      <c r="L370" s="74">
        <v>0.0</v>
      </c>
      <c r="M370" s="93" t="s">
        <v>61</v>
      </c>
      <c r="N370" s="65">
        <f>sumif(PURCHASE!I:I,C370,PURCHASE!J:J)</f>
        <v>0</v>
      </c>
      <c r="O370" s="65">
        <f>sumif('SELLING CASH'!E:E,C370,'SELLING CASH'!F:F)</f>
        <v>0</v>
      </c>
      <c r="P370" s="65">
        <f>sumif('SELLING CREDIT'!F:F,C370,'SELLING CREDIT'!G:G)</f>
        <v>0</v>
      </c>
      <c r="Q370" s="65">
        <f t="shared" si="1"/>
        <v>0</v>
      </c>
      <c r="V370" s="255"/>
      <c r="X370" s="9"/>
      <c r="Y370" s="9"/>
      <c r="Z370" s="9"/>
      <c r="AD370" s="101"/>
      <c r="AF370" s="9"/>
      <c r="AG370" s="9"/>
      <c r="AH370" s="9"/>
    </row>
    <row r="371" ht="22.5" customHeight="1">
      <c r="A371" s="49"/>
      <c r="C371" s="93" t="s">
        <v>2066</v>
      </c>
      <c r="D371" s="93" t="s">
        <v>1168</v>
      </c>
      <c r="F371" s="93" t="s">
        <v>2043</v>
      </c>
      <c r="G371" s="93">
        <v>0.0</v>
      </c>
      <c r="H371" s="74">
        <v>800000.0</v>
      </c>
      <c r="I371" s="96">
        <v>685000.0</v>
      </c>
      <c r="J371" s="65" t="s">
        <v>7</v>
      </c>
      <c r="K371" s="65">
        <v>1.0</v>
      </c>
      <c r="L371" s="74">
        <v>0.0</v>
      </c>
      <c r="M371" s="93" t="s">
        <v>61</v>
      </c>
      <c r="N371" s="65">
        <f>sumif(PURCHASE!I:I,C371,PURCHASE!J:J)</f>
        <v>0</v>
      </c>
      <c r="O371" s="65">
        <f>sumif('SELLING CASH'!E:E,C371,'SELLING CASH'!F:F)</f>
        <v>0</v>
      </c>
      <c r="P371" s="65">
        <f>sumif('SELLING CREDIT'!F:F,C371,'SELLING CREDIT'!G:G)</f>
        <v>0</v>
      </c>
      <c r="Q371" s="65">
        <f t="shared" si="1"/>
        <v>0</v>
      </c>
      <c r="V371" s="255"/>
      <c r="X371" s="9"/>
      <c r="Y371" s="9"/>
      <c r="Z371" s="9"/>
      <c r="AD371" s="101"/>
      <c r="AF371" s="9"/>
      <c r="AG371" s="9"/>
      <c r="AH371" s="9"/>
    </row>
    <row r="372" ht="22.5" customHeight="1">
      <c r="A372" s="49"/>
      <c r="C372" s="93" t="s">
        <v>2067</v>
      </c>
      <c r="D372" s="93" t="s">
        <v>2068</v>
      </c>
      <c r="F372" s="93" t="s">
        <v>2043</v>
      </c>
      <c r="G372" s="93">
        <v>0.0</v>
      </c>
      <c r="H372" s="74">
        <v>1070000.0</v>
      </c>
      <c r="I372" s="96">
        <v>945000.0</v>
      </c>
      <c r="J372" s="65" t="s">
        <v>7</v>
      </c>
      <c r="K372" s="65">
        <v>1.0</v>
      </c>
      <c r="L372" s="74">
        <v>0.0</v>
      </c>
      <c r="M372" s="93" t="s">
        <v>61</v>
      </c>
      <c r="N372" s="65">
        <f>sumif(PURCHASE!I:I,C372,PURCHASE!J:J)</f>
        <v>0</v>
      </c>
      <c r="O372" s="65">
        <f>sumif('SELLING CASH'!E:E,C372,'SELLING CASH'!F:F)</f>
        <v>0</v>
      </c>
      <c r="P372" s="65">
        <f>sumif('SELLING CREDIT'!F:F,C372,'SELLING CREDIT'!G:G)</f>
        <v>0</v>
      </c>
      <c r="Q372" s="65">
        <f t="shared" si="1"/>
        <v>0</v>
      </c>
      <c r="V372" s="255"/>
      <c r="X372" s="9"/>
      <c r="Y372" s="9"/>
      <c r="Z372" s="9"/>
      <c r="AD372" s="101"/>
      <c r="AF372" s="9"/>
      <c r="AG372" s="9"/>
      <c r="AH372" s="9"/>
    </row>
    <row r="373" ht="22.5" customHeight="1">
      <c r="A373" s="49"/>
      <c r="C373" s="93" t="s">
        <v>2070</v>
      </c>
      <c r="D373" s="93" t="s">
        <v>2071</v>
      </c>
      <c r="F373" s="93" t="s">
        <v>2058</v>
      </c>
      <c r="G373" s="93">
        <v>0.0</v>
      </c>
      <c r="H373" s="74">
        <v>1100000.0</v>
      </c>
      <c r="I373" s="96">
        <v>1026000.0</v>
      </c>
      <c r="J373" s="65" t="s">
        <v>7</v>
      </c>
      <c r="K373" s="65">
        <v>1.0</v>
      </c>
      <c r="L373" s="74">
        <v>0.0</v>
      </c>
      <c r="M373" s="93" t="s">
        <v>61</v>
      </c>
      <c r="N373" s="65">
        <f>sumif(PURCHASE!I:I,C373,PURCHASE!J:J)</f>
        <v>4</v>
      </c>
      <c r="O373" s="65">
        <f>sumif('SELLING CASH'!E:E,C373,'SELLING CASH'!F:F)</f>
        <v>0</v>
      </c>
      <c r="P373" s="65">
        <f>sumif('SELLING CREDIT'!F:F,C373,'SELLING CREDIT'!G:G)</f>
        <v>0</v>
      </c>
      <c r="Q373" s="65">
        <f t="shared" si="1"/>
        <v>4</v>
      </c>
      <c r="V373" s="255"/>
      <c r="X373" s="9"/>
      <c r="Y373" s="9"/>
      <c r="Z373" s="9"/>
      <c r="AD373" s="101"/>
      <c r="AF373" s="9"/>
      <c r="AG373" s="9"/>
      <c r="AH373" s="9"/>
    </row>
    <row r="374" ht="22.5" customHeight="1">
      <c r="A374" s="49"/>
      <c r="C374" s="93" t="s">
        <v>2072</v>
      </c>
      <c r="D374" s="93" t="s">
        <v>2073</v>
      </c>
      <c r="F374" s="93" t="s">
        <v>2074</v>
      </c>
      <c r="G374" s="93">
        <v>0.0</v>
      </c>
      <c r="H374" s="74">
        <v>2000000.0</v>
      </c>
      <c r="I374" s="96">
        <v>1740000.0</v>
      </c>
      <c r="J374" s="65" t="s">
        <v>7</v>
      </c>
      <c r="K374" s="65">
        <v>1.0</v>
      </c>
      <c r="L374" s="74">
        <v>0.0</v>
      </c>
      <c r="M374" s="93" t="s">
        <v>61</v>
      </c>
      <c r="N374" s="65">
        <f>sumif(PURCHASE!I:I,C374,PURCHASE!J:J)</f>
        <v>4</v>
      </c>
      <c r="O374" s="65">
        <f>sumif('SELLING CASH'!E:E,C374,'SELLING CASH'!F:F)</f>
        <v>4</v>
      </c>
      <c r="P374" s="65">
        <f>sumif('SELLING CREDIT'!F:F,C374,'SELLING CREDIT'!G:G)</f>
        <v>0</v>
      </c>
      <c r="Q374" s="65">
        <f t="shared" si="1"/>
        <v>0</v>
      </c>
      <c r="V374" s="255"/>
      <c r="X374" s="9"/>
      <c r="Y374" s="9"/>
      <c r="Z374" s="9"/>
      <c r="AD374" s="101"/>
      <c r="AF374" s="9"/>
      <c r="AG374" s="9"/>
      <c r="AH374" s="9"/>
    </row>
    <row r="375" ht="22.5" customHeight="1">
      <c r="A375" s="49"/>
      <c r="C375" s="93" t="str">
        <f>F375&amp;" "&amp;D375&amp;" "&amp;E375</f>
        <v>HANKOOK 225/60 18 </v>
      </c>
      <c r="D375" s="93" t="s">
        <v>1585</v>
      </c>
      <c r="E375" s="93"/>
      <c r="F375" s="93" t="s">
        <v>2043</v>
      </c>
      <c r="G375" s="93">
        <v>0.0</v>
      </c>
      <c r="H375" s="74">
        <v>1180000.0</v>
      </c>
      <c r="I375" s="96">
        <v>1090000.0</v>
      </c>
      <c r="J375" s="93" t="s">
        <v>7</v>
      </c>
      <c r="K375" s="93">
        <v>1.0</v>
      </c>
      <c r="L375" s="74">
        <v>0.0</v>
      </c>
      <c r="M375" s="93" t="s">
        <v>61</v>
      </c>
      <c r="N375" s="65">
        <f>sumif(PURCHASE!I:I,C375,PURCHASE!J:J)</f>
        <v>2</v>
      </c>
      <c r="O375" s="65">
        <f>sumif('SELLING CASH'!E:E,C375,'SELLING CASH'!F:F)</f>
        <v>2</v>
      </c>
      <c r="P375" s="65">
        <f>sumif('SELLING CREDIT'!F:F,C375,'SELLING CREDIT'!G:G)</f>
        <v>0</v>
      </c>
      <c r="Q375" s="65">
        <f t="shared" si="1"/>
        <v>0</v>
      </c>
      <c r="V375" s="255"/>
      <c r="X375" s="9"/>
      <c r="Y375" s="9"/>
      <c r="Z375" s="9"/>
      <c r="AD375" s="101"/>
      <c r="AF375" s="9"/>
      <c r="AG375" s="9"/>
      <c r="AH375" s="9"/>
    </row>
    <row r="376" ht="22.5" customHeight="1">
      <c r="A376" s="49"/>
      <c r="C376" s="93" t="s">
        <v>2076</v>
      </c>
      <c r="D376" s="93" t="s">
        <v>2077</v>
      </c>
      <c r="E376" s="93" t="s">
        <v>2078</v>
      </c>
      <c r="F376" s="93" t="s">
        <v>2043</v>
      </c>
      <c r="G376" s="93">
        <v>0.0</v>
      </c>
      <c r="H376" s="74">
        <v>1950000.0</v>
      </c>
      <c r="I376" s="96">
        <v>1830000.0</v>
      </c>
      <c r="J376" s="65" t="s">
        <v>7</v>
      </c>
      <c r="K376" s="65">
        <v>1.0</v>
      </c>
      <c r="L376" s="74">
        <v>0.0</v>
      </c>
      <c r="M376" s="93" t="s">
        <v>61</v>
      </c>
      <c r="N376" s="65">
        <f>sumif(PURCHASE!I:I,C376,PURCHASE!J:J)</f>
        <v>0</v>
      </c>
      <c r="O376" s="65">
        <f>sumif('SELLING CASH'!E:E,C376,'SELLING CASH'!F:F)</f>
        <v>2</v>
      </c>
      <c r="P376" s="65">
        <f>sumif('SELLING CREDIT'!F:F,C376,'SELLING CREDIT'!G:G)</f>
        <v>0</v>
      </c>
      <c r="Q376" s="65">
        <f t="shared" si="1"/>
        <v>-2</v>
      </c>
      <c r="V376" s="255"/>
      <c r="X376" s="9"/>
      <c r="Y376" s="9"/>
      <c r="Z376" s="9"/>
      <c r="AD376" s="101"/>
      <c r="AF376" s="9"/>
      <c r="AG376" s="9"/>
      <c r="AH376" s="9"/>
    </row>
    <row r="377" ht="22.5" customHeight="1">
      <c r="A377" s="49"/>
      <c r="C377" s="93" t="s">
        <v>2080</v>
      </c>
      <c r="D377" s="93" t="s">
        <v>1999</v>
      </c>
      <c r="E377" s="93" t="s">
        <v>2081</v>
      </c>
      <c r="F377" s="93" t="s">
        <v>2058</v>
      </c>
      <c r="G377" s="93">
        <v>0.0</v>
      </c>
      <c r="H377" s="74">
        <v>1000000.0</v>
      </c>
      <c r="I377" s="96">
        <v>896000.0</v>
      </c>
      <c r="J377" s="65" t="s">
        <v>7</v>
      </c>
      <c r="K377" s="65">
        <v>1.0</v>
      </c>
      <c r="L377" s="74">
        <v>0.0</v>
      </c>
      <c r="M377" s="93" t="s">
        <v>61</v>
      </c>
      <c r="N377" s="65">
        <f>sumif(PURCHASE!I:I,C377,PURCHASE!J:J)</f>
        <v>4</v>
      </c>
      <c r="O377" s="65">
        <f>sumif('SELLING CASH'!E:E,C377,'SELLING CASH'!F:F)</f>
        <v>4</v>
      </c>
      <c r="P377" s="65">
        <f>sumif('SELLING CREDIT'!F:F,C377,'SELLING CREDIT'!G:G)</f>
        <v>0</v>
      </c>
      <c r="Q377" s="65">
        <f t="shared" si="1"/>
        <v>0</v>
      </c>
      <c r="V377" s="255"/>
      <c r="X377" s="9"/>
      <c r="Y377" s="9"/>
      <c r="Z377" s="9"/>
      <c r="AD377" s="101"/>
      <c r="AF377" s="9"/>
      <c r="AG377" s="9"/>
      <c r="AH377" s="9"/>
    </row>
    <row r="378" ht="22.5" customHeight="1">
      <c r="A378" s="49"/>
      <c r="C378" s="93" t="s">
        <v>2083</v>
      </c>
      <c r="D378" s="93" t="s">
        <v>2084</v>
      </c>
      <c r="F378" s="93" t="s">
        <v>2043</v>
      </c>
      <c r="G378" s="93">
        <v>0.0</v>
      </c>
      <c r="H378" s="74">
        <v>1600000.0</v>
      </c>
      <c r="I378" s="96">
        <v>1410000.0</v>
      </c>
      <c r="J378" s="65" t="s">
        <v>7</v>
      </c>
      <c r="K378" s="65">
        <v>1.0</v>
      </c>
      <c r="L378" s="74">
        <v>0.0</v>
      </c>
      <c r="M378" s="93" t="s">
        <v>61</v>
      </c>
      <c r="N378" s="65">
        <f>sumif(PURCHASE!I:I,C378,PURCHASE!J:J)</f>
        <v>0</v>
      </c>
      <c r="O378" s="65">
        <f>sumif('SELLING CASH'!E:E,C378,'SELLING CASH'!F:F)</f>
        <v>0</v>
      </c>
      <c r="P378" s="65">
        <f>sumif('SELLING CREDIT'!F:F,C378,'SELLING CREDIT'!G:G)</f>
        <v>0</v>
      </c>
      <c r="Q378" s="65">
        <f t="shared" si="1"/>
        <v>0</v>
      </c>
      <c r="V378" s="255"/>
      <c r="X378" s="9"/>
      <c r="Y378" s="9"/>
      <c r="Z378" s="9"/>
      <c r="AD378" s="101"/>
      <c r="AF378" s="9"/>
      <c r="AG378" s="9"/>
      <c r="AH378" s="9"/>
    </row>
    <row r="379" ht="22.5" customHeight="1">
      <c r="A379" s="49"/>
      <c r="C379" s="93" t="str">
        <f t="shared" ref="C379:C383" si="12">F379&amp;" "&amp;D379&amp;" "&amp;E379</f>
        <v>IBK 15 BD</v>
      </c>
      <c r="D379" s="93">
        <v>15.0</v>
      </c>
      <c r="E379" s="93" t="s">
        <v>489</v>
      </c>
      <c r="F379" s="93" t="s">
        <v>570</v>
      </c>
      <c r="G379" s="93">
        <v>0.0</v>
      </c>
      <c r="H379" s="74">
        <v>150000.0</v>
      </c>
      <c r="I379" s="96">
        <v>85695.0</v>
      </c>
      <c r="J379" s="93" t="s">
        <v>7</v>
      </c>
      <c r="K379" s="93">
        <v>1.0</v>
      </c>
      <c r="L379" s="74">
        <v>0.0</v>
      </c>
      <c r="M379" s="93" t="s">
        <v>61</v>
      </c>
      <c r="N379" s="65">
        <f>sumif(PURCHASE!I:I,C379,PURCHASE!J:J)</f>
        <v>15</v>
      </c>
      <c r="O379" s="65">
        <f>sumif('SELLING CASH'!E:E,C379,'SELLING CASH'!F:F)</f>
        <v>11</v>
      </c>
      <c r="P379" s="65">
        <f>sumif('SELLING CREDIT'!F:F,C379,'SELLING CREDIT'!G:G)</f>
        <v>0</v>
      </c>
      <c r="Q379" s="65">
        <f t="shared" si="1"/>
        <v>4</v>
      </c>
      <c r="V379" s="255"/>
      <c r="X379" s="9"/>
      <c r="Y379" s="9"/>
      <c r="Z379" s="9"/>
      <c r="AD379" s="101"/>
      <c r="AF379" s="9"/>
      <c r="AG379" s="9"/>
      <c r="AH379" s="9"/>
    </row>
    <row r="380" ht="22.5" customHeight="1">
      <c r="A380" s="49"/>
      <c r="C380" s="93" t="str">
        <f t="shared" si="12"/>
        <v>IBK 16 BD</v>
      </c>
      <c r="D380" s="93">
        <v>16.0</v>
      </c>
      <c r="E380" s="93" t="s">
        <v>489</v>
      </c>
      <c r="F380" s="93" t="s">
        <v>570</v>
      </c>
      <c r="G380" s="93">
        <v>0.0</v>
      </c>
      <c r="H380" s="74">
        <v>200000.0</v>
      </c>
      <c r="I380" s="96">
        <v>153665.7804</v>
      </c>
      <c r="J380" s="93" t="s">
        <v>7</v>
      </c>
      <c r="K380" s="93">
        <v>1.0</v>
      </c>
      <c r="L380" s="74">
        <v>0.0</v>
      </c>
      <c r="M380" s="93" t="s">
        <v>61</v>
      </c>
      <c r="N380" s="65">
        <f>sumif(PURCHASE!I:I,C380,PURCHASE!J:J)</f>
        <v>4</v>
      </c>
      <c r="O380" s="65">
        <f>sumif('SELLING CASH'!E:E,C380,'SELLING CASH'!F:F)</f>
        <v>0</v>
      </c>
      <c r="P380" s="65">
        <f>sumif('SELLING CREDIT'!F:F,C380,'SELLING CREDIT'!G:G)</f>
        <v>4</v>
      </c>
      <c r="Q380" s="65">
        <f t="shared" si="1"/>
        <v>0</v>
      </c>
      <c r="V380" s="255"/>
      <c r="X380" s="9"/>
      <c r="Y380" s="9"/>
      <c r="Z380" s="9"/>
      <c r="AD380" s="101"/>
      <c r="AF380" s="9"/>
      <c r="AG380" s="9"/>
      <c r="AH380" s="9"/>
    </row>
    <row r="381" ht="22.5" customHeight="1">
      <c r="A381" s="49"/>
      <c r="C381" s="93" t="str">
        <f t="shared" si="12"/>
        <v>IBK 16 FLAP</v>
      </c>
      <c r="D381" s="93">
        <v>16.0</v>
      </c>
      <c r="E381" s="93" t="s">
        <v>1744</v>
      </c>
      <c r="F381" s="93" t="s">
        <v>570</v>
      </c>
      <c r="G381" s="93">
        <v>0.0</v>
      </c>
      <c r="H381" s="74">
        <v>80000.0</v>
      </c>
      <c r="I381" s="96">
        <v>40438.4211</v>
      </c>
      <c r="J381" s="93" t="s">
        <v>7</v>
      </c>
      <c r="K381" s="93">
        <v>1.0</v>
      </c>
      <c r="L381" s="74">
        <v>0.0</v>
      </c>
      <c r="M381" s="93" t="s">
        <v>61</v>
      </c>
      <c r="N381" s="65">
        <f>sumif(PURCHASE!I:I,C381,PURCHASE!J:J)</f>
        <v>4</v>
      </c>
      <c r="O381" s="65">
        <f>sumif('SELLING CASH'!E:E,C381,'SELLING CASH'!F:F)</f>
        <v>0</v>
      </c>
      <c r="P381" s="65">
        <f>sumif('SELLING CREDIT'!F:F,C381,'SELLING CREDIT'!G:G)</f>
        <v>4</v>
      </c>
      <c r="Q381" s="65">
        <f t="shared" si="1"/>
        <v>0</v>
      </c>
      <c r="V381" s="255"/>
      <c r="X381" s="9"/>
      <c r="Y381" s="9"/>
      <c r="Z381" s="9"/>
      <c r="AD381" s="101"/>
      <c r="AF381" s="9"/>
      <c r="AG381" s="9"/>
      <c r="AH381" s="9"/>
    </row>
    <row r="382" ht="22.5" customHeight="1">
      <c r="A382" s="49"/>
      <c r="C382" s="93" t="str">
        <f t="shared" si="12"/>
        <v>IBK light 16 BD</v>
      </c>
      <c r="D382" s="93">
        <v>16.0</v>
      </c>
      <c r="E382" s="93" t="s">
        <v>489</v>
      </c>
      <c r="F382" s="93" t="s">
        <v>2088</v>
      </c>
      <c r="G382" s="93">
        <v>0.0</v>
      </c>
      <c r="H382" s="74">
        <v>185000.0</v>
      </c>
      <c r="I382" s="96">
        <v>141160.0</v>
      </c>
      <c r="J382" s="93" t="s">
        <v>7</v>
      </c>
      <c r="K382" s="93">
        <v>1.0</v>
      </c>
      <c r="L382" s="74">
        <v>0.0</v>
      </c>
      <c r="M382" s="93" t="s">
        <v>61</v>
      </c>
      <c r="N382" s="65">
        <f>sumif(PURCHASE!I:I,C382,PURCHASE!J:J)</f>
        <v>75</v>
      </c>
      <c r="O382" s="65">
        <f>sumif('SELLING CASH'!E:E,C382,'SELLING CASH'!F:F)</f>
        <v>39</v>
      </c>
      <c r="P382" s="65">
        <f>sumif('SELLING CREDIT'!F:F,C382,'SELLING CREDIT'!G:G)</f>
        <v>0</v>
      </c>
      <c r="Q382" s="65">
        <f t="shared" si="1"/>
        <v>36</v>
      </c>
      <c r="V382" s="255"/>
      <c r="X382" s="9"/>
      <c r="Y382" s="9"/>
      <c r="Z382" s="9"/>
      <c r="AD382" s="101"/>
      <c r="AF382" s="9"/>
      <c r="AG382" s="9"/>
      <c r="AH382" s="9"/>
    </row>
    <row r="383" ht="22.5" customHeight="1">
      <c r="A383" s="49"/>
      <c r="C383" s="93" t="str">
        <f t="shared" si="12"/>
        <v>Karet Support + Pasang  </v>
      </c>
      <c r="D383" s="93"/>
      <c r="E383" s="93"/>
      <c r="F383" s="93" t="s">
        <v>2089</v>
      </c>
      <c r="G383" s="93">
        <v>5.0</v>
      </c>
      <c r="H383" s="74">
        <v>300000.0</v>
      </c>
      <c r="I383" s="96">
        <v>150000.0</v>
      </c>
      <c r="J383" s="93" t="s">
        <v>7</v>
      </c>
      <c r="K383" s="93">
        <v>0.0</v>
      </c>
      <c r="L383" s="74">
        <v>75000.0</v>
      </c>
      <c r="M383" s="93" t="s">
        <v>431</v>
      </c>
      <c r="N383" s="65">
        <f>sumif(PURCHASE!I:I,C383,PURCHASE!J:J)</f>
        <v>0</v>
      </c>
      <c r="O383" s="65">
        <f>sumif('SELLING CASH'!E:E,C383,'SELLING CASH'!F:F)</f>
        <v>9</v>
      </c>
      <c r="P383" s="65">
        <f>sumif('SELLING CREDIT'!F:F,C383,'SELLING CREDIT'!G:G)</f>
        <v>0</v>
      </c>
      <c r="Q383" s="65">
        <f t="shared" si="1"/>
        <v>-4</v>
      </c>
      <c r="V383" s="255"/>
      <c r="X383" s="9"/>
      <c r="Y383" s="9"/>
      <c r="Z383" s="9"/>
      <c r="AD383" s="101"/>
      <c r="AF383" s="9"/>
      <c r="AG383" s="9"/>
      <c r="AH383" s="9"/>
    </row>
    <row r="384" ht="22.5" customHeight="1">
      <c r="A384" s="49"/>
      <c r="C384" s="93" t="s">
        <v>2090</v>
      </c>
      <c r="D384" s="93" t="s">
        <v>116</v>
      </c>
      <c r="E384" s="93" t="s">
        <v>2091</v>
      </c>
      <c r="F384" s="93" t="s">
        <v>2092</v>
      </c>
      <c r="G384" s="93">
        <v>4.0</v>
      </c>
      <c r="H384" s="74">
        <v>690000.0</v>
      </c>
      <c r="I384" s="96">
        <v>605000.0</v>
      </c>
      <c r="J384" s="65" t="s">
        <v>7</v>
      </c>
      <c r="K384" s="65">
        <v>1.0</v>
      </c>
      <c r="L384" s="74">
        <v>0.0</v>
      </c>
      <c r="M384" s="93" t="s">
        <v>61</v>
      </c>
      <c r="N384" s="65">
        <f>sumif(PURCHASE!I:I,C384,PURCHASE!J:J)</f>
        <v>4</v>
      </c>
      <c r="O384" s="65">
        <f>sumif('SELLING CASH'!E:E,C384,'SELLING CASH'!F:F)</f>
        <v>4</v>
      </c>
      <c r="P384" s="65">
        <f>sumif('SELLING CREDIT'!F:F,C384,'SELLING CREDIT'!G:G)</f>
        <v>0</v>
      </c>
      <c r="Q384" s="65">
        <f t="shared" si="1"/>
        <v>4</v>
      </c>
      <c r="V384" s="255"/>
      <c r="X384" s="9"/>
      <c r="Y384" s="9"/>
      <c r="Z384" s="9"/>
      <c r="AD384" s="101"/>
      <c r="AF384" s="9"/>
      <c r="AG384" s="9"/>
      <c r="AH384" s="9"/>
    </row>
    <row r="385" ht="22.5" customHeight="1">
      <c r="A385" s="49"/>
      <c r="C385" s="93" t="s">
        <v>1526</v>
      </c>
      <c r="D385" s="93" t="s">
        <v>127</v>
      </c>
      <c r="F385" s="93" t="s">
        <v>2092</v>
      </c>
      <c r="G385" s="93">
        <v>7.0</v>
      </c>
      <c r="H385" s="74">
        <v>540000.0</v>
      </c>
      <c r="I385" s="96">
        <v>450000.0</v>
      </c>
      <c r="J385" s="65" t="s">
        <v>7</v>
      </c>
      <c r="K385" s="65">
        <v>1.0</v>
      </c>
      <c r="L385" s="74">
        <v>0.0</v>
      </c>
      <c r="M385" s="93" t="s">
        <v>61</v>
      </c>
      <c r="N385" s="65">
        <f>sumif(PURCHASE!I:I,C385,PURCHASE!J:J)</f>
        <v>28</v>
      </c>
      <c r="O385" s="65">
        <f>sumif('SELLING CASH'!E:E,C385,'SELLING CASH'!F:F)</f>
        <v>28</v>
      </c>
      <c r="P385" s="65">
        <f>sumif('SELLING CREDIT'!F:F,C385,'SELLING CREDIT'!G:G)</f>
        <v>2</v>
      </c>
      <c r="Q385" s="65">
        <f t="shared" si="1"/>
        <v>5</v>
      </c>
      <c r="V385" s="255"/>
      <c r="X385" s="9"/>
      <c r="Y385" s="9"/>
      <c r="Z385" s="9"/>
      <c r="AD385" s="101"/>
      <c r="AF385" s="9"/>
      <c r="AG385" s="9"/>
      <c r="AH385" s="9"/>
    </row>
    <row r="386" ht="22.5" customHeight="1">
      <c r="A386" s="49"/>
      <c r="C386" s="93" t="s">
        <v>2097</v>
      </c>
      <c r="D386" s="93" t="s">
        <v>981</v>
      </c>
      <c r="E386" s="93"/>
      <c r="F386" s="65" t="s">
        <v>2092</v>
      </c>
      <c r="G386" s="93">
        <v>2.0</v>
      </c>
      <c r="H386" s="74">
        <v>610000.0</v>
      </c>
      <c r="I386" s="96">
        <v>520000.0</v>
      </c>
      <c r="J386" s="65" t="s">
        <v>7</v>
      </c>
      <c r="K386" s="65">
        <v>1.0</v>
      </c>
      <c r="L386" s="74">
        <v>0.0</v>
      </c>
      <c r="M386" s="65" t="s">
        <v>61</v>
      </c>
      <c r="N386" s="65">
        <f>sumif(PURCHASE!I:I,C386,PURCHASE!J:J)</f>
        <v>0</v>
      </c>
      <c r="O386" s="65">
        <f>sumif('SELLING CASH'!E:E,C386,'SELLING CASH'!F:F)</f>
        <v>0</v>
      </c>
      <c r="P386" s="65">
        <f>sumif('SELLING CREDIT'!F:F,C386,'SELLING CREDIT'!G:G)</f>
        <v>0</v>
      </c>
      <c r="Q386" s="65">
        <f t="shared" si="1"/>
        <v>2</v>
      </c>
      <c r="V386" s="255"/>
      <c r="X386" s="9"/>
      <c r="Y386" s="9"/>
      <c r="Z386" s="9"/>
      <c r="AD386" s="101"/>
      <c r="AF386" s="9"/>
      <c r="AG386" s="9"/>
      <c r="AH386" s="9"/>
    </row>
    <row r="387" ht="22.5" customHeight="1">
      <c r="A387" s="49"/>
      <c r="C387" s="93" t="str">
        <f>F387&amp;" "&amp;D387&amp;" "&amp;E387</f>
        <v>Laufen 185/65 15 G FIT AS</v>
      </c>
      <c r="D387" s="93" t="s">
        <v>981</v>
      </c>
      <c r="E387" s="93" t="s">
        <v>2099</v>
      </c>
      <c r="F387" s="93" t="s">
        <v>2092</v>
      </c>
      <c r="G387" s="93">
        <v>0.0</v>
      </c>
      <c r="H387" s="74">
        <v>610000.0</v>
      </c>
      <c r="I387" s="96">
        <v>520000.0</v>
      </c>
      <c r="J387" s="93" t="s">
        <v>7</v>
      </c>
      <c r="K387" s="93">
        <v>1.0</v>
      </c>
      <c r="L387" s="74">
        <v>0.0</v>
      </c>
      <c r="M387" s="93" t="s">
        <v>61</v>
      </c>
      <c r="N387" s="65">
        <f>sumif(PURCHASE!I:I,C387,PURCHASE!J:J)</f>
        <v>12</v>
      </c>
      <c r="O387" s="65">
        <f>sumif('SELLING CASH'!E:E,C387,'SELLING CASH'!F:F)</f>
        <v>12</v>
      </c>
      <c r="P387" s="65">
        <f>sumif('SELLING CREDIT'!F:F,C387,'SELLING CREDIT'!G:G)</f>
        <v>0</v>
      </c>
      <c r="Q387" s="65">
        <f t="shared" si="1"/>
        <v>0</v>
      </c>
      <c r="V387" s="255"/>
      <c r="X387" s="9"/>
      <c r="Y387" s="9"/>
      <c r="Z387" s="9"/>
      <c r="AD387" s="101"/>
      <c r="AF387" s="9"/>
      <c r="AG387" s="9"/>
      <c r="AH387" s="9"/>
    </row>
    <row r="388" ht="22.5" customHeight="1">
      <c r="A388" s="49"/>
      <c r="C388" s="93" t="s">
        <v>1530</v>
      </c>
      <c r="D388" s="93" t="s">
        <v>164</v>
      </c>
      <c r="F388" s="93" t="s">
        <v>2092</v>
      </c>
      <c r="G388" s="93">
        <v>0.0</v>
      </c>
      <c r="H388" s="74">
        <v>560000.0</v>
      </c>
      <c r="I388" s="96">
        <v>467000.0</v>
      </c>
      <c r="J388" s="65" t="s">
        <v>7</v>
      </c>
      <c r="K388" s="65">
        <v>1.0</v>
      </c>
      <c r="L388" s="74">
        <v>0.0</v>
      </c>
      <c r="M388" s="93" t="s">
        <v>61</v>
      </c>
      <c r="N388" s="65">
        <f>sumif(PURCHASE!I:I,C388,PURCHASE!J:J)</f>
        <v>37</v>
      </c>
      <c r="O388" s="65">
        <f>sumif('SELLING CASH'!E:E,C388,'SELLING CASH'!F:F)</f>
        <v>36</v>
      </c>
      <c r="P388" s="65">
        <f>sumif('SELLING CREDIT'!F:F,C388,'SELLING CREDIT'!G:G)</f>
        <v>0</v>
      </c>
      <c r="Q388" s="65">
        <f t="shared" si="1"/>
        <v>1</v>
      </c>
      <c r="V388" s="255"/>
      <c r="X388" s="9"/>
      <c r="Y388" s="9"/>
      <c r="Z388" s="9"/>
      <c r="AD388" s="101"/>
      <c r="AF388" s="9"/>
      <c r="AG388" s="9"/>
      <c r="AH388" s="9"/>
    </row>
    <row r="389" ht="22.5" customHeight="1">
      <c r="A389" s="49"/>
      <c r="C389" s="93" t="s">
        <v>1536</v>
      </c>
      <c r="D389" s="93" t="s">
        <v>1182</v>
      </c>
      <c r="F389" s="93" t="s">
        <v>2092</v>
      </c>
      <c r="G389" s="93">
        <v>3.0</v>
      </c>
      <c r="H389" s="74">
        <v>685000.0</v>
      </c>
      <c r="I389" s="96">
        <v>599000.0</v>
      </c>
      <c r="J389" s="65" t="s">
        <v>7</v>
      </c>
      <c r="K389" s="65">
        <v>1.0</v>
      </c>
      <c r="L389" s="74">
        <v>0.0</v>
      </c>
      <c r="M389" s="93" t="s">
        <v>61</v>
      </c>
      <c r="N389" s="65">
        <f>sumif(PURCHASE!I:I,C389,PURCHASE!J:J)</f>
        <v>9</v>
      </c>
      <c r="O389" s="65">
        <f>sumif('SELLING CASH'!E:E,C389,'SELLING CASH'!F:F)</f>
        <v>9</v>
      </c>
      <c r="P389" s="65">
        <f>sumif('SELLING CREDIT'!F:F,C389,'SELLING CREDIT'!G:G)</f>
        <v>0</v>
      </c>
      <c r="Q389" s="65">
        <f t="shared" si="1"/>
        <v>3</v>
      </c>
      <c r="V389" s="255"/>
      <c r="X389" s="9"/>
      <c r="Y389" s="9"/>
      <c r="Z389" s="9"/>
      <c r="AD389" s="101"/>
      <c r="AF389" s="9"/>
      <c r="AG389" s="9"/>
      <c r="AH389" s="9"/>
    </row>
    <row r="390" ht="22.5" customHeight="1">
      <c r="A390" s="49"/>
      <c r="C390" s="93" t="str">
        <f>F390&amp;" "&amp;D390&amp;" "&amp;E390</f>
        <v>Laufen 215/55 17 S FIT AS</v>
      </c>
      <c r="D390" s="93" t="s">
        <v>223</v>
      </c>
      <c r="E390" s="93" t="s">
        <v>2104</v>
      </c>
      <c r="F390" s="93" t="s">
        <v>2092</v>
      </c>
      <c r="G390" s="93">
        <v>0.0</v>
      </c>
      <c r="H390" s="74">
        <v>920000.0</v>
      </c>
      <c r="I390" s="96">
        <v>802000.0</v>
      </c>
      <c r="J390" s="93" t="s">
        <v>7</v>
      </c>
      <c r="K390" s="93">
        <v>1.0</v>
      </c>
      <c r="L390" s="74">
        <v>0.0</v>
      </c>
      <c r="M390" s="93" t="s">
        <v>61</v>
      </c>
      <c r="N390" s="65">
        <f>sumif(PURCHASE!I:I,C390,PURCHASE!J:J)</f>
        <v>13</v>
      </c>
      <c r="O390" s="65">
        <f>sumif('SELLING CASH'!E:E,C390,'SELLING CASH'!F:F)</f>
        <v>13</v>
      </c>
      <c r="P390" s="65">
        <f>sumif('SELLING CREDIT'!F:F,C390,'SELLING CREDIT'!G:G)</f>
        <v>0</v>
      </c>
      <c r="Q390" s="65">
        <f t="shared" si="1"/>
        <v>0</v>
      </c>
      <c r="V390" s="255"/>
      <c r="X390" s="9"/>
      <c r="Y390" s="9"/>
      <c r="Z390" s="9"/>
      <c r="AD390" s="101"/>
      <c r="AF390" s="9"/>
      <c r="AG390" s="9"/>
      <c r="AH390" s="9"/>
    </row>
    <row r="391" ht="22.5" customHeight="1">
      <c r="A391" s="49"/>
      <c r="C391" s="93" t="s">
        <v>2105</v>
      </c>
      <c r="D391" s="93" t="s">
        <v>0</v>
      </c>
      <c r="F391" s="93" t="s">
        <v>169</v>
      </c>
      <c r="G391" s="93">
        <v>0.0</v>
      </c>
      <c r="H391" s="74">
        <v>150000.0</v>
      </c>
      <c r="I391" s="96">
        <v>70000.0</v>
      </c>
      <c r="J391" s="65" t="s">
        <v>7</v>
      </c>
      <c r="K391" s="65">
        <v>0.0</v>
      </c>
      <c r="L391" s="74">
        <v>40000.0</v>
      </c>
      <c r="M391" s="93" t="s">
        <v>431</v>
      </c>
      <c r="N391" s="65">
        <f>sumif(PURCHASE!I:I,C391,PURCHASE!J:J)</f>
        <v>0</v>
      </c>
      <c r="O391" s="65">
        <f>sumif('SELLING CASH'!E:E,C391,'SELLING CASH'!F:F)</f>
        <v>1</v>
      </c>
      <c r="P391" s="65">
        <f>sumif('SELLING CREDIT'!F:F,C391,'SELLING CREDIT'!G:G)</f>
        <v>0</v>
      </c>
      <c r="Q391" s="65">
        <f t="shared" si="1"/>
        <v>-1</v>
      </c>
      <c r="V391" s="255"/>
      <c r="X391" s="9"/>
      <c r="Y391" s="9"/>
      <c r="Z391" s="9"/>
      <c r="AD391" s="101"/>
      <c r="AF391" s="9"/>
      <c r="AG391" s="9"/>
      <c r="AH391" s="9"/>
    </row>
    <row r="392" ht="22.5" customHeight="1">
      <c r="A392" s="49"/>
      <c r="C392" s="93" t="s">
        <v>305</v>
      </c>
      <c r="D392" s="93" t="s">
        <v>0</v>
      </c>
      <c r="F392" s="93" t="s">
        <v>2107</v>
      </c>
      <c r="G392" s="93">
        <v>35.0</v>
      </c>
      <c r="H392" s="74">
        <v>240000.0</v>
      </c>
      <c r="I392" s="96">
        <v>158530.2</v>
      </c>
      <c r="J392" s="65" t="s">
        <v>7</v>
      </c>
      <c r="K392" s="69">
        <v>1.0</v>
      </c>
      <c r="L392" s="74">
        <v>40000.0</v>
      </c>
      <c r="M392" s="93" t="s">
        <v>431</v>
      </c>
      <c r="N392" s="65">
        <f>sumif(PURCHASE!I:I,C392,PURCHASE!J:J)</f>
        <v>70</v>
      </c>
      <c r="O392" s="65">
        <f>sumif('SELLING CASH'!E:E,C392,'SELLING CASH'!F:F)</f>
        <v>91</v>
      </c>
      <c r="P392" s="65">
        <f>sumif('SELLING CREDIT'!F:F,C392,'SELLING CREDIT'!G:G)</f>
        <v>2</v>
      </c>
      <c r="Q392" s="65">
        <f t="shared" si="1"/>
        <v>12</v>
      </c>
      <c r="V392" s="255"/>
      <c r="X392" s="9"/>
      <c r="Y392" s="9"/>
      <c r="Z392" s="9"/>
      <c r="AD392" s="101"/>
      <c r="AF392" s="9"/>
      <c r="AG392" s="9"/>
      <c r="AH392" s="9"/>
    </row>
    <row r="393" ht="22.5" customHeight="1">
      <c r="A393" s="49"/>
      <c r="C393" s="93" t="s">
        <v>2109</v>
      </c>
      <c r="D393" s="93" t="s">
        <v>2110</v>
      </c>
      <c r="E393" s="93" t="s">
        <v>2111</v>
      </c>
      <c r="F393" s="93" t="s">
        <v>2112</v>
      </c>
      <c r="G393" s="93">
        <v>0.0</v>
      </c>
      <c r="H393" s="74">
        <v>2860000.0</v>
      </c>
      <c r="I393" s="96">
        <v>2725000.0</v>
      </c>
      <c r="J393" s="65" t="s">
        <v>7</v>
      </c>
      <c r="K393" s="65">
        <v>1.0</v>
      </c>
      <c r="L393" s="74">
        <v>0.0</v>
      </c>
      <c r="M393" s="93" t="s">
        <v>61</v>
      </c>
      <c r="N393" s="65">
        <f>sumif(PURCHASE!I:I,C393,PURCHASE!J:J)</f>
        <v>0</v>
      </c>
      <c r="O393" s="65">
        <f>sumif('SELLING CASH'!E:E,C393,'SELLING CASH'!F:F)</f>
        <v>0</v>
      </c>
      <c r="P393" s="65">
        <f>sumif('SELLING CREDIT'!F:F,C393,'SELLING CREDIT'!G:G)</f>
        <v>0</v>
      </c>
      <c r="Q393" s="65">
        <f t="shared" si="1"/>
        <v>0</v>
      </c>
      <c r="V393" s="255"/>
      <c r="X393" s="9"/>
      <c r="Y393" s="9"/>
      <c r="Z393" s="9"/>
      <c r="AD393" s="101"/>
      <c r="AF393" s="9"/>
      <c r="AG393" s="9"/>
      <c r="AH393" s="9"/>
    </row>
    <row r="394" ht="22.5" customHeight="1">
      <c r="A394" s="49"/>
      <c r="C394" s="93" t="s">
        <v>1514</v>
      </c>
      <c r="D394" s="93" t="s">
        <v>2114</v>
      </c>
      <c r="E394" s="93" t="s">
        <v>2115</v>
      </c>
      <c r="F394" s="93" t="s">
        <v>2112</v>
      </c>
      <c r="G394" s="93">
        <v>0.0</v>
      </c>
      <c r="H394" s="74">
        <v>2410000.0</v>
      </c>
      <c r="I394" s="96">
        <v>2300000.0</v>
      </c>
      <c r="J394" s="65" t="s">
        <v>7</v>
      </c>
      <c r="K394" s="65">
        <v>1.0</v>
      </c>
      <c r="L394" s="74">
        <v>0.0</v>
      </c>
      <c r="M394" s="93" t="s">
        <v>61</v>
      </c>
      <c r="N394" s="65">
        <f>sumif(PURCHASE!I:I,C394,PURCHASE!J:J)</f>
        <v>4</v>
      </c>
      <c r="O394" s="65">
        <f>sumif('SELLING CASH'!E:E,C394,'SELLING CASH'!F:F)</f>
        <v>4</v>
      </c>
      <c r="P394" s="65">
        <f>sumif('SELLING CREDIT'!F:F,C394,'SELLING CREDIT'!G:G)</f>
        <v>0</v>
      </c>
      <c r="Q394" s="65">
        <f t="shared" si="1"/>
        <v>0</v>
      </c>
      <c r="V394" s="255"/>
      <c r="X394" s="9"/>
      <c r="Y394" s="9"/>
      <c r="Z394" s="9"/>
      <c r="AD394" s="101"/>
      <c r="AF394" s="9"/>
      <c r="AG394" s="9"/>
      <c r="AH394" s="9"/>
    </row>
    <row r="395" ht="22.5" customHeight="1">
      <c r="A395" s="49"/>
      <c r="C395" s="93" t="s">
        <v>1892</v>
      </c>
      <c r="D395" s="93" t="s">
        <v>2117</v>
      </c>
      <c r="E395" s="93" t="s">
        <v>2118</v>
      </c>
      <c r="F395" s="93" t="s">
        <v>2119</v>
      </c>
      <c r="G395" s="69">
        <v>0.0</v>
      </c>
      <c r="H395" s="140">
        <v>1450000.0</v>
      </c>
      <c r="I395" s="193">
        <v>1325000.0</v>
      </c>
      <c r="J395" s="65" t="s">
        <v>7</v>
      </c>
      <c r="K395" s="65">
        <v>1.0</v>
      </c>
      <c r="L395" s="74">
        <v>0.0</v>
      </c>
      <c r="M395" s="93" t="s">
        <v>61</v>
      </c>
      <c r="N395" s="65">
        <f>sumif(PURCHASE!I:I,C395,PURCHASE!J:J)</f>
        <v>6</v>
      </c>
      <c r="O395" s="65">
        <f>sumif('SELLING CASH'!E:E,C395,'SELLING CASH'!F:F)</f>
        <v>2</v>
      </c>
      <c r="P395" s="65">
        <f>sumif('SELLING CREDIT'!F:F,C395,'SELLING CREDIT'!G:G)</f>
        <v>0</v>
      </c>
      <c r="Q395" s="65">
        <f t="shared" si="1"/>
        <v>4</v>
      </c>
      <c r="V395" s="255"/>
      <c r="X395" s="9"/>
      <c r="Y395" s="9"/>
      <c r="Z395" s="9"/>
      <c r="AD395" s="101"/>
      <c r="AF395" s="9"/>
      <c r="AG395" s="9"/>
      <c r="AH395" s="9"/>
    </row>
    <row r="396" ht="22.5" customHeight="1">
      <c r="A396" s="49"/>
      <c r="C396" s="93" t="s">
        <v>2122</v>
      </c>
      <c r="D396" s="93" t="s">
        <v>116</v>
      </c>
      <c r="E396" s="93" t="s">
        <v>2118</v>
      </c>
      <c r="F396" s="93" t="s">
        <v>2123</v>
      </c>
      <c r="G396" s="69">
        <v>0.0</v>
      </c>
      <c r="H396" s="140">
        <v>1450000.0</v>
      </c>
      <c r="I396" s="193">
        <v>1325000.0</v>
      </c>
      <c r="J396" s="65" t="s">
        <v>7</v>
      </c>
      <c r="K396" s="65">
        <v>1.0</v>
      </c>
      <c r="L396" s="74">
        <v>0.0</v>
      </c>
      <c r="M396" s="93" t="s">
        <v>61</v>
      </c>
      <c r="N396" s="65">
        <f>sumif(PURCHASE!I:I,C396,PURCHASE!J:J)</f>
        <v>0</v>
      </c>
      <c r="O396" s="65">
        <f>sumif('SELLING CASH'!E:E,C396,'SELLING CASH'!F:F)</f>
        <v>4</v>
      </c>
      <c r="P396" s="65">
        <f>sumif('SELLING CREDIT'!F:F,C396,'SELLING CREDIT'!G:G)</f>
        <v>0</v>
      </c>
      <c r="Q396" s="65">
        <f t="shared" si="1"/>
        <v>-4</v>
      </c>
      <c r="V396" s="255"/>
      <c r="X396" s="9"/>
      <c r="Y396" s="9"/>
      <c r="Z396" s="9"/>
      <c r="AD396" s="101"/>
      <c r="AF396" s="9"/>
      <c r="AG396" s="9"/>
      <c r="AH396" s="9"/>
    </row>
    <row r="397" ht="22.5" customHeight="1">
      <c r="A397" s="49"/>
      <c r="C397" s="93" t="s">
        <v>1570</v>
      </c>
      <c r="D397" s="93" t="s">
        <v>2125</v>
      </c>
      <c r="E397" s="93" t="s">
        <v>2118</v>
      </c>
      <c r="F397" s="93" t="s">
        <v>2123</v>
      </c>
      <c r="G397" s="93">
        <v>0.0</v>
      </c>
      <c r="H397" s="74">
        <v>1650000.0</v>
      </c>
      <c r="I397" s="96">
        <v>1550000.0</v>
      </c>
      <c r="J397" s="65" t="s">
        <v>7</v>
      </c>
      <c r="K397" s="65">
        <v>1.0</v>
      </c>
      <c r="L397" s="74">
        <v>0.0</v>
      </c>
      <c r="M397" s="93" t="s">
        <v>61</v>
      </c>
      <c r="N397" s="65">
        <f>sumif(PURCHASE!I:I,C397,PURCHASE!J:J)</f>
        <v>2</v>
      </c>
      <c r="O397" s="65">
        <f>sumif('SELLING CASH'!E:E,C397,'SELLING CASH'!F:F)</f>
        <v>2</v>
      </c>
      <c r="P397" s="65">
        <f>sumif('SELLING CREDIT'!F:F,C397,'SELLING CREDIT'!G:G)</f>
        <v>0</v>
      </c>
      <c r="Q397" s="65">
        <f t="shared" si="1"/>
        <v>0</v>
      </c>
      <c r="V397" s="255"/>
      <c r="X397" s="9"/>
      <c r="Y397" s="9"/>
      <c r="Z397" s="9"/>
      <c r="AD397" s="101"/>
      <c r="AF397" s="9"/>
      <c r="AG397" s="9"/>
      <c r="AH397" s="9"/>
    </row>
    <row r="398" ht="22.5" customHeight="1">
      <c r="A398" s="49"/>
      <c r="C398" s="93" t="s">
        <v>2128</v>
      </c>
      <c r="D398" s="93" t="s">
        <v>2129</v>
      </c>
      <c r="E398" s="93" t="s">
        <v>2118</v>
      </c>
      <c r="F398" s="93" t="s">
        <v>2119</v>
      </c>
      <c r="G398" s="93">
        <v>0.0</v>
      </c>
      <c r="H398" s="140">
        <v>1725000.0</v>
      </c>
      <c r="I398" s="193">
        <v>1600000.0</v>
      </c>
      <c r="J398" s="65" t="s">
        <v>7</v>
      </c>
      <c r="K398" s="65">
        <v>1.0</v>
      </c>
      <c r="L398" s="74">
        <v>0.0</v>
      </c>
      <c r="M398" s="93" t="s">
        <v>61</v>
      </c>
      <c r="N398" s="65">
        <f>sumif(PURCHASE!I:I,C398,PURCHASE!J:J)</f>
        <v>3</v>
      </c>
      <c r="O398" s="65">
        <f>sumif('SELLING CASH'!E:E,C398,'SELLING CASH'!F:F)</f>
        <v>3</v>
      </c>
      <c r="P398" s="65">
        <f>sumif('SELLING CREDIT'!F:F,C398,'SELLING CREDIT'!G:G)</f>
        <v>0</v>
      </c>
      <c r="Q398" s="65">
        <f t="shared" si="1"/>
        <v>0</v>
      </c>
      <c r="V398" s="255"/>
      <c r="X398" s="9"/>
      <c r="Y398" s="9"/>
      <c r="Z398" s="9"/>
      <c r="AD398" s="101"/>
      <c r="AF398" s="9"/>
      <c r="AG398" s="9"/>
      <c r="AH398" s="9"/>
    </row>
    <row r="399" ht="22.5" customHeight="1">
      <c r="A399" s="49"/>
      <c r="C399" s="93" t="s">
        <v>2132</v>
      </c>
      <c r="D399" s="93" t="s">
        <v>364</v>
      </c>
      <c r="F399" s="93" t="s">
        <v>2133</v>
      </c>
      <c r="G399" s="93">
        <v>3.0</v>
      </c>
      <c r="H399" s="74">
        <v>2100000.0</v>
      </c>
      <c r="I399" s="96">
        <v>2050000.0</v>
      </c>
      <c r="J399" s="65" t="s">
        <v>7</v>
      </c>
      <c r="K399" s="65">
        <v>0.0</v>
      </c>
      <c r="L399" s="74">
        <v>0.0</v>
      </c>
      <c r="M399" s="93" t="s">
        <v>61</v>
      </c>
      <c r="N399" s="65">
        <f>sumif(PURCHASE!I:I,C399,PURCHASE!J:J)</f>
        <v>0</v>
      </c>
      <c r="O399" s="65">
        <f>sumif('SELLING CASH'!E:E,C399,'SELLING CASH'!F:F)</f>
        <v>0</v>
      </c>
      <c r="P399" s="65">
        <f>sumif('SELLING CREDIT'!F:F,C399,'SELLING CREDIT'!G:G)</f>
        <v>6</v>
      </c>
      <c r="Q399" s="65">
        <f t="shared" si="1"/>
        <v>-3</v>
      </c>
      <c r="V399" s="255"/>
      <c r="X399" s="9"/>
      <c r="Y399" s="9"/>
      <c r="Z399" s="9"/>
      <c r="AD399" s="101"/>
      <c r="AF399" s="9"/>
      <c r="AG399" s="9"/>
      <c r="AH399" s="9"/>
    </row>
    <row r="400" ht="22.5" customHeight="1">
      <c r="A400" s="49"/>
      <c r="C400" s="93" t="s">
        <v>2135</v>
      </c>
      <c r="D400" s="93" t="s">
        <v>0</v>
      </c>
      <c r="F400" s="93" t="s">
        <v>2135</v>
      </c>
      <c r="G400" s="93">
        <v>99423.0</v>
      </c>
      <c r="H400" s="74">
        <v>20000.0</v>
      </c>
      <c r="I400" s="96">
        <v>0.0</v>
      </c>
      <c r="J400" s="65" t="s">
        <v>87</v>
      </c>
      <c r="K400" s="65">
        <v>0.0</v>
      </c>
      <c r="L400" s="74">
        <v>0.0</v>
      </c>
      <c r="M400" s="93" t="s">
        <v>431</v>
      </c>
      <c r="N400" s="65">
        <f>sumif(PURCHASE!I:I,C400,PURCHASE!J:J)</f>
        <v>0</v>
      </c>
      <c r="O400" s="65">
        <f>sumif('SELLING CASH'!E:E,C400,'SELLING CASH'!F:F)</f>
        <v>142</v>
      </c>
      <c r="P400" s="65">
        <f>sumif('SELLING CREDIT'!F:F,C400,'SELLING CREDIT'!G:G)</f>
        <v>2</v>
      </c>
      <c r="Q400" s="65">
        <f t="shared" si="1"/>
        <v>99279</v>
      </c>
      <c r="V400" s="255"/>
      <c r="X400" s="9"/>
      <c r="Y400" s="9"/>
      <c r="Z400" s="9"/>
      <c r="AD400" s="101"/>
      <c r="AF400" s="9"/>
      <c r="AG400" s="9"/>
      <c r="AH400" s="9"/>
    </row>
    <row r="401" ht="22.5" customHeight="1">
      <c r="A401" s="49"/>
      <c r="C401" s="93" t="s">
        <v>2137</v>
      </c>
      <c r="D401" s="93" t="s">
        <v>0</v>
      </c>
      <c r="F401" s="93" t="s">
        <v>2137</v>
      </c>
      <c r="G401" s="93">
        <v>100.0</v>
      </c>
      <c r="H401" s="74">
        <v>200000.0</v>
      </c>
      <c r="I401" s="96">
        <v>150000.0</v>
      </c>
      <c r="J401" s="65" t="s">
        <v>7</v>
      </c>
      <c r="K401" s="65">
        <v>0.0</v>
      </c>
      <c r="L401" s="74">
        <v>0.0</v>
      </c>
      <c r="M401" s="93" t="s">
        <v>431</v>
      </c>
      <c r="N401" s="65">
        <f>sumif(PURCHASE!I:I,C401,PURCHASE!J:J)</f>
        <v>0</v>
      </c>
      <c r="O401" s="65">
        <f>sumif('SELLING CASH'!E:E,C401,'SELLING CASH'!F:F)</f>
        <v>0</v>
      </c>
      <c r="P401" s="65">
        <f>sumif('SELLING CREDIT'!F:F,C401,'SELLING CREDIT'!G:G)</f>
        <v>0</v>
      </c>
      <c r="Q401" s="65">
        <f t="shared" si="1"/>
        <v>100</v>
      </c>
      <c r="V401" s="255"/>
      <c r="X401" s="9"/>
      <c r="Y401" s="9"/>
      <c r="Z401" s="9"/>
      <c r="AD401" s="101"/>
      <c r="AF401" s="9"/>
      <c r="AG401" s="9"/>
      <c r="AH401" s="9"/>
    </row>
    <row r="402" ht="22.5" customHeight="1">
      <c r="A402" s="49"/>
      <c r="C402" s="93" t="s">
        <v>2139</v>
      </c>
      <c r="D402" s="93" t="s">
        <v>0</v>
      </c>
      <c r="F402" s="93" t="s">
        <v>2139</v>
      </c>
      <c r="G402" s="93">
        <v>98504.0</v>
      </c>
      <c r="H402" s="74">
        <v>10000.0</v>
      </c>
      <c r="I402" s="96">
        <v>0.0</v>
      </c>
      <c r="J402" s="65" t="s">
        <v>87</v>
      </c>
      <c r="K402" s="65">
        <v>0.0</v>
      </c>
      <c r="L402" s="74">
        <v>0.0</v>
      </c>
      <c r="M402" s="93" t="s">
        <v>431</v>
      </c>
      <c r="N402" s="65">
        <f>sumif(PURCHASE!I:I,C402,PURCHASE!J:J)</f>
        <v>0</v>
      </c>
      <c r="O402" s="65">
        <f>sumif('SELLING CASH'!E:E,C402,'SELLING CASH'!F:F)</f>
        <v>22</v>
      </c>
      <c r="P402" s="65">
        <f>sumif('SELLING CREDIT'!F:F,C402,'SELLING CREDIT'!G:G)</f>
        <v>0</v>
      </c>
      <c r="Q402" s="65">
        <f t="shared" si="1"/>
        <v>98482</v>
      </c>
      <c r="V402" s="255"/>
      <c r="X402" s="9"/>
      <c r="Y402" s="9"/>
      <c r="Z402" s="9"/>
      <c r="AD402" s="101"/>
      <c r="AF402" s="9"/>
      <c r="AG402" s="9"/>
      <c r="AH402" s="9"/>
    </row>
    <row r="403" ht="22.5" customHeight="1">
      <c r="A403" s="49"/>
      <c r="C403" s="93" t="s">
        <v>2140</v>
      </c>
      <c r="D403" s="93" t="s">
        <v>0</v>
      </c>
      <c r="F403" s="93" t="s">
        <v>2140</v>
      </c>
      <c r="G403" s="93">
        <v>9999928.0</v>
      </c>
      <c r="H403" s="74">
        <v>35000.0</v>
      </c>
      <c r="I403" s="193">
        <v>5000.0</v>
      </c>
      <c r="J403" s="65" t="s">
        <v>87</v>
      </c>
      <c r="K403" s="65">
        <v>0.0</v>
      </c>
      <c r="L403" s="74">
        <v>0.0</v>
      </c>
      <c r="M403" s="93" t="s">
        <v>431</v>
      </c>
      <c r="N403" s="65">
        <f>sumif(PURCHASE!I:I,C403,PURCHASE!J:J)</f>
        <v>0</v>
      </c>
      <c r="O403" s="65">
        <f>sumif('SELLING CASH'!E:E,C403,'SELLING CASH'!F:F)</f>
        <v>69</v>
      </c>
      <c r="P403" s="65">
        <f>sumif('SELLING CREDIT'!F:F,C403,'SELLING CREDIT'!G:G)</f>
        <v>0</v>
      </c>
      <c r="Q403" s="65">
        <f t="shared" si="1"/>
        <v>9999859</v>
      </c>
      <c r="V403" s="255"/>
      <c r="X403" s="9"/>
      <c r="Y403" s="9"/>
      <c r="Z403" s="9"/>
      <c r="AD403" s="101"/>
      <c r="AF403" s="9"/>
      <c r="AG403" s="9"/>
      <c r="AH403" s="9"/>
    </row>
    <row r="404" ht="22.5" customHeight="1">
      <c r="A404" s="49"/>
      <c r="C404" s="93" t="s">
        <v>243</v>
      </c>
      <c r="D404" s="93" t="s">
        <v>2142</v>
      </c>
      <c r="E404" s="93" t="s">
        <v>2143</v>
      </c>
      <c r="F404" s="93" t="s">
        <v>2144</v>
      </c>
      <c r="G404" s="93">
        <v>10.0</v>
      </c>
      <c r="H404" s="74">
        <v>480000.0</v>
      </c>
      <c r="I404" s="96">
        <v>432500.0</v>
      </c>
      <c r="J404" s="93" t="s">
        <v>1329</v>
      </c>
      <c r="K404" s="93">
        <v>0.0</v>
      </c>
      <c r="L404" s="74">
        <v>0.0</v>
      </c>
      <c r="M404" s="93" t="s">
        <v>1330</v>
      </c>
      <c r="N404" s="65">
        <f>sumif(PURCHASE!I:I,C404,PURCHASE!J:J)</f>
        <v>4</v>
      </c>
      <c r="O404" s="65">
        <f>sumif('SELLING CASH'!E:E,C404,'SELLING CASH'!F:F)</f>
        <v>7</v>
      </c>
      <c r="P404" s="65">
        <f>sumif('SELLING CREDIT'!F:F,C404,'SELLING CREDIT'!G:G)</f>
        <v>0</v>
      </c>
      <c r="Q404" s="65">
        <f t="shared" si="1"/>
        <v>7</v>
      </c>
      <c r="V404" s="255"/>
      <c r="X404" s="9"/>
      <c r="Y404" s="9"/>
      <c r="Z404" s="9"/>
      <c r="AD404" s="101"/>
      <c r="AF404" s="9"/>
      <c r="AG404" s="9"/>
      <c r="AH404" s="9"/>
    </row>
    <row r="405" ht="22.5" customHeight="1">
      <c r="A405" s="49"/>
      <c r="C405" s="93" t="s">
        <v>2146</v>
      </c>
      <c r="D405" s="93" t="s">
        <v>1326</v>
      </c>
      <c r="E405" s="93" t="s">
        <v>2147</v>
      </c>
      <c r="F405" s="93" t="s">
        <v>2144</v>
      </c>
      <c r="G405" s="93">
        <v>10.0</v>
      </c>
      <c r="H405" s="74">
        <v>65000.0</v>
      </c>
      <c r="I405" s="96">
        <v>40000.0</v>
      </c>
      <c r="J405" s="93" t="s">
        <v>1329</v>
      </c>
      <c r="K405" s="93">
        <v>0.0</v>
      </c>
      <c r="L405" s="74">
        <v>0.0</v>
      </c>
      <c r="M405" s="93" t="s">
        <v>1330</v>
      </c>
      <c r="N405" s="65">
        <f>sumif(PURCHASE!I:I,C405,PURCHASE!J:J)</f>
        <v>0</v>
      </c>
      <c r="O405" s="65">
        <f>sumif('SELLING CASH'!E:E,C405,'SELLING CASH'!F:F)</f>
        <v>9</v>
      </c>
      <c r="P405" s="65">
        <f>sumif('SELLING CREDIT'!F:F,C405,'SELLING CREDIT'!G:G)</f>
        <v>0</v>
      </c>
      <c r="Q405" s="65">
        <f t="shared" si="1"/>
        <v>1</v>
      </c>
      <c r="V405" s="255"/>
      <c r="X405" s="9"/>
      <c r="Y405" s="9"/>
      <c r="Z405" s="9"/>
      <c r="AD405" s="101"/>
      <c r="AF405" s="9"/>
      <c r="AG405" s="9"/>
      <c r="AH405" s="9"/>
    </row>
    <row r="406" ht="22.5" customHeight="1">
      <c r="A406" s="49"/>
      <c r="C406" s="93" t="s">
        <v>248</v>
      </c>
      <c r="D406" s="93" t="s">
        <v>1343</v>
      </c>
      <c r="E406" s="93" t="s">
        <v>2147</v>
      </c>
      <c r="F406" s="93" t="s">
        <v>2144</v>
      </c>
      <c r="G406" s="93">
        <v>10.0</v>
      </c>
      <c r="H406" s="74">
        <v>250000.0</v>
      </c>
      <c r="I406" s="96">
        <v>209816.66</v>
      </c>
      <c r="J406" s="93" t="s">
        <v>1329</v>
      </c>
      <c r="K406" s="93">
        <v>0.0</v>
      </c>
      <c r="L406" s="74">
        <v>0.0</v>
      </c>
      <c r="M406" s="93" t="s">
        <v>1330</v>
      </c>
      <c r="N406" s="65">
        <f>sumif(PURCHASE!I:I,C406,PURCHASE!J:J)</f>
        <v>48</v>
      </c>
      <c r="O406" s="65">
        <f>sumif('SELLING CASH'!E:E,C406,'SELLING CASH'!F:F)</f>
        <v>62</v>
      </c>
      <c r="P406" s="65">
        <f>sumif('SELLING CREDIT'!F:F,C406,'SELLING CREDIT'!G:G)</f>
        <v>0</v>
      </c>
      <c r="Q406" s="65">
        <f t="shared" si="1"/>
        <v>-4</v>
      </c>
      <c r="V406" s="255"/>
      <c r="X406" s="9"/>
      <c r="Y406" s="9"/>
      <c r="Z406" s="9"/>
      <c r="AD406" s="101"/>
      <c r="AF406" s="9"/>
      <c r="AG406" s="9"/>
      <c r="AH406" s="9"/>
    </row>
    <row r="407" ht="22.5" customHeight="1">
      <c r="A407" s="49"/>
      <c r="C407" s="93" t="s">
        <v>2154</v>
      </c>
      <c r="D407" s="93" t="s">
        <v>0</v>
      </c>
      <c r="F407" s="93" t="s">
        <v>251</v>
      </c>
      <c r="G407" s="93">
        <v>5.0</v>
      </c>
      <c r="H407" s="74">
        <v>250000.0</v>
      </c>
      <c r="I407" s="96">
        <v>90000.0</v>
      </c>
      <c r="J407" s="65" t="s">
        <v>87</v>
      </c>
      <c r="K407" s="93">
        <v>0.0</v>
      </c>
      <c r="L407" s="74">
        <v>80000.0</v>
      </c>
      <c r="M407" s="93" t="s">
        <v>431</v>
      </c>
      <c r="N407" s="65">
        <f>sumif(PURCHASE!I:I,C407,PURCHASE!J:J)</f>
        <v>13</v>
      </c>
      <c r="O407" s="65">
        <f>sumif('SELLING CASH'!E:E,C407,'SELLING CASH'!F:F)</f>
        <v>17</v>
      </c>
      <c r="P407" s="65">
        <f>sumif('SELLING CREDIT'!F:F,C407,'SELLING CREDIT'!G:G)</f>
        <v>0</v>
      </c>
      <c r="Q407" s="65">
        <f t="shared" si="1"/>
        <v>1</v>
      </c>
      <c r="V407" s="255"/>
      <c r="X407" s="9"/>
      <c r="Y407" s="9"/>
      <c r="Z407" s="9"/>
      <c r="AD407" s="101"/>
      <c r="AF407" s="9"/>
      <c r="AG407" s="9"/>
      <c r="AH407" s="9"/>
    </row>
    <row r="408" ht="22.5" customHeight="1">
      <c r="A408" s="49"/>
      <c r="C408" s="93" t="s">
        <v>2155</v>
      </c>
      <c r="D408" s="93" t="s">
        <v>116</v>
      </c>
      <c r="E408" s="93" t="s">
        <v>2008</v>
      </c>
      <c r="F408" s="93" t="s">
        <v>2156</v>
      </c>
      <c r="G408" s="93">
        <v>3.0</v>
      </c>
      <c r="H408" s="74">
        <v>650000.0</v>
      </c>
      <c r="I408" s="96">
        <v>555000.0</v>
      </c>
      <c r="J408" s="65" t="s">
        <v>7</v>
      </c>
      <c r="K408" s="65">
        <v>1.0</v>
      </c>
      <c r="L408" s="74">
        <v>0.0</v>
      </c>
      <c r="M408" s="93" t="s">
        <v>61</v>
      </c>
      <c r="N408" s="65">
        <f>sumif(PURCHASE!I:I,C408,PURCHASE!J:J)</f>
        <v>0</v>
      </c>
      <c r="O408" s="65">
        <f>sumif('SELLING CASH'!E:E,C408,'SELLING CASH'!F:F)</f>
        <v>20</v>
      </c>
      <c r="P408" s="65">
        <f>sumif('SELLING CREDIT'!F:F,C408,'SELLING CREDIT'!G:G)</f>
        <v>0</v>
      </c>
      <c r="Q408" s="65">
        <f t="shared" si="1"/>
        <v>-17</v>
      </c>
      <c r="V408" s="255"/>
      <c r="X408" s="9"/>
      <c r="Y408" s="9"/>
      <c r="Z408" s="9"/>
      <c r="AD408" s="101"/>
      <c r="AF408" s="9"/>
      <c r="AG408" s="9"/>
      <c r="AH408" s="9"/>
    </row>
    <row r="409" ht="22.5" customHeight="1">
      <c r="A409" s="49"/>
      <c r="C409" s="93" t="s">
        <v>889</v>
      </c>
      <c r="D409" s="93" t="s">
        <v>151</v>
      </c>
      <c r="F409" s="93" t="s">
        <v>2159</v>
      </c>
      <c r="G409" s="93">
        <v>0.0</v>
      </c>
      <c r="H409" s="74">
        <v>800000.0</v>
      </c>
      <c r="I409" s="96">
        <v>678000.0</v>
      </c>
      <c r="J409" s="65" t="s">
        <v>7</v>
      </c>
      <c r="K409" s="65">
        <v>1.0</v>
      </c>
      <c r="L409" s="74">
        <v>0.0</v>
      </c>
      <c r="M409" s="93" t="s">
        <v>61</v>
      </c>
      <c r="N409" s="65">
        <f>sumif(PURCHASE!I:I,C409,PURCHASE!J:J)</f>
        <v>19</v>
      </c>
      <c r="O409" s="65">
        <f>sumif('SELLING CASH'!E:E,C409,'SELLING CASH'!F:F)</f>
        <v>18</v>
      </c>
      <c r="P409" s="65">
        <f>sumif('SELLING CREDIT'!F:F,C409,'SELLING CREDIT'!G:G)</f>
        <v>1</v>
      </c>
      <c r="Q409" s="65">
        <f t="shared" si="1"/>
        <v>0</v>
      </c>
      <c r="V409" s="255"/>
      <c r="X409" s="9"/>
      <c r="Y409" s="9"/>
      <c r="Z409" s="9"/>
      <c r="AD409" s="101"/>
      <c r="AF409" s="9"/>
      <c r="AG409" s="9"/>
      <c r="AH409" s="9"/>
    </row>
    <row r="410" ht="22.5" customHeight="1">
      <c r="A410" s="49"/>
      <c r="C410" s="93" t="str">
        <f t="shared" ref="C410:C411" si="13">F410&amp;" "&amp;D410&amp;" "&amp;E410</f>
        <v>Sailun 185/65 15 Artezzo</v>
      </c>
      <c r="D410" s="93" t="s">
        <v>981</v>
      </c>
      <c r="E410" s="93" t="s">
        <v>2161</v>
      </c>
      <c r="F410" s="93" t="s">
        <v>2159</v>
      </c>
      <c r="G410" s="93">
        <v>0.0</v>
      </c>
      <c r="H410" s="74">
        <v>610000.0</v>
      </c>
      <c r="I410" s="96">
        <v>517000.0</v>
      </c>
      <c r="J410" s="93" t="s">
        <v>7</v>
      </c>
      <c r="K410" s="93">
        <v>1.0</v>
      </c>
      <c r="L410" s="74">
        <v>0.0</v>
      </c>
      <c r="M410" s="93" t="s">
        <v>61</v>
      </c>
      <c r="N410" s="65">
        <f>sumif(PURCHASE!I:I,C410,PURCHASE!J:J)</f>
        <v>26</v>
      </c>
      <c r="O410" s="65">
        <f>sumif('SELLING CASH'!E:E,C410,'SELLING CASH'!F:F)</f>
        <v>26</v>
      </c>
      <c r="P410" s="65">
        <f>sumif('SELLING CREDIT'!F:F,C410,'SELLING CREDIT'!G:G)</f>
        <v>0</v>
      </c>
      <c r="Q410" s="65">
        <f t="shared" si="1"/>
        <v>0</v>
      </c>
      <c r="V410" s="255"/>
      <c r="X410" s="9"/>
      <c r="Y410" s="9"/>
      <c r="Z410" s="9"/>
      <c r="AD410" s="101"/>
      <c r="AF410" s="9"/>
      <c r="AG410" s="9"/>
      <c r="AH410" s="9"/>
    </row>
    <row r="411" ht="22.5" customHeight="1">
      <c r="A411" s="49"/>
      <c r="C411" s="93" t="str">
        <f t="shared" si="13"/>
        <v>Sailun 195/65 15 Atrezzo</v>
      </c>
      <c r="D411" s="93" t="s">
        <v>1123</v>
      </c>
      <c r="E411" s="93" t="s">
        <v>2162</v>
      </c>
      <c r="F411" s="93" t="s">
        <v>2159</v>
      </c>
      <c r="G411" s="93">
        <v>0.0</v>
      </c>
      <c r="H411" s="74">
        <v>625000.0</v>
      </c>
      <c r="I411" s="96">
        <v>532400.0</v>
      </c>
      <c r="J411" s="93" t="s">
        <v>7</v>
      </c>
      <c r="K411" s="93">
        <v>1.0</v>
      </c>
      <c r="L411" s="74">
        <v>0.0</v>
      </c>
      <c r="M411" s="93" t="s">
        <v>61</v>
      </c>
      <c r="N411" s="65">
        <f>sumif(PURCHASE!I:I,C411,PURCHASE!J:J)</f>
        <v>6</v>
      </c>
      <c r="O411" s="65">
        <f>sumif('SELLING CASH'!E:E,C411,'SELLING CASH'!F:F)</f>
        <v>4</v>
      </c>
      <c r="P411" s="65">
        <f>sumif('SELLING CREDIT'!F:F,C411,'SELLING CREDIT'!G:G)</f>
        <v>2</v>
      </c>
      <c r="Q411" s="65">
        <f t="shared" si="1"/>
        <v>0</v>
      </c>
      <c r="V411" s="255"/>
      <c r="X411" s="9"/>
      <c r="Y411" s="9"/>
      <c r="Z411" s="9"/>
      <c r="AD411" s="101"/>
      <c r="AF411" s="9"/>
      <c r="AG411" s="9"/>
      <c r="AH411" s="9"/>
    </row>
    <row r="412" ht="22.5" customHeight="1">
      <c r="A412" s="49"/>
      <c r="C412" s="93" t="s">
        <v>2164</v>
      </c>
      <c r="D412" s="93" t="s">
        <v>364</v>
      </c>
      <c r="E412" s="93" t="s">
        <v>2165</v>
      </c>
      <c r="F412" s="93" t="s">
        <v>2156</v>
      </c>
      <c r="G412" s="93">
        <v>0.0</v>
      </c>
      <c r="H412" s="74">
        <v>2200000.0</v>
      </c>
      <c r="I412" s="96">
        <v>1983570.0</v>
      </c>
      <c r="J412" s="65" t="s">
        <v>7</v>
      </c>
      <c r="K412" s="65">
        <v>0.0</v>
      </c>
      <c r="L412" s="74">
        <v>0.0</v>
      </c>
      <c r="M412" s="93" t="s">
        <v>61</v>
      </c>
      <c r="N412" s="65">
        <f>sumif(PURCHASE!I:I,C412,PURCHASE!J:J)</f>
        <v>0</v>
      </c>
      <c r="O412" s="65">
        <f>sumif('SELLING CASH'!E:E,C412,'SELLING CASH'!F:F)</f>
        <v>0</v>
      </c>
      <c r="P412" s="65">
        <f>sumif('SELLING CREDIT'!F:F,C412,'SELLING CREDIT'!G:G)</f>
        <v>0</v>
      </c>
      <c r="Q412" s="65">
        <f t="shared" si="1"/>
        <v>0</v>
      </c>
      <c r="V412" s="255"/>
      <c r="X412" s="9"/>
      <c r="Y412" s="9"/>
      <c r="Z412" s="9"/>
      <c r="AD412" s="101"/>
      <c r="AF412" s="9"/>
      <c r="AG412" s="9"/>
      <c r="AH412" s="9"/>
    </row>
    <row r="413" ht="22.5" customHeight="1">
      <c r="A413" s="49"/>
      <c r="C413" s="93" t="s">
        <v>2166</v>
      </c>
      <c r="D413" s="93" t="s">
        <v>364</v>
      </c>
      <c r="E413" s="93" t="s">
        <v>2167</v>
      </c>
      <c r="F413" s="93" t="s">
        <v>2156</v>
      </c>
      <c r="G413" s="93">
        <v>0.0</v>
      </c>
      <c r="H413" s="74">
        <v>2200000.0</v>
      </c>
      <c r="I413" s="96">
        <v>2050000.0</v>
      </c>
      <c r="J413" s="65" t="s">
        <v>7</v>
      </c>
      <c r="K413" s="65">
        <v>0.0</v>
      </c>
      <c r="L413" s="74">
        <v>0.0</v>
      </c>
      <c r="M413" s="93" t="s">
        <v>61</v>
      </c>
      <c r="N413" s="65">
        <f>sumif(PURCHASE!I:I,C413,PURCHASE!J:J)</f>
        <v>0</v>
      </c>
      <c r="O413" s="65">
        <f>sumif('SELLING CASH'!E:E,C413,'SELLING CASH'!F:F)</f>
        <v>0</v>
      </c>
      <c r="P413" s="65">
        <f>sumif('SELLING CREDIT'!F:F,C413,'SELLING CREDIT'!G:G)</f>
        <v>0</v>
      </c>
      <c r="Q413" s="65">
        <f t="shared" si="1"/>
        <v>0</v>
      </c>
      <c r="V413" s="255"/>
      <c r="X413" s="9"/>
      <c r="Y413" s="9"/>
      <c r="Z413" s="9"/>
      <c r="AD413" s="101"/>
      <c r="AF413" s="9"/>
      <c r="AG413" s="9"/>
      <c r="AH413" s="9"/>
    </row>
    <row r="414" ht="22.5" customHeight="1">
      <c r="A414" s="49"/>
      <c r="C414" s="93" t="str">
        <f t="shared" ref="C414:C416" si="14">F414&amp;" "&amp;D414&amp;" "&amp;E414</f>
        <v>Sakura  F/AC KW1</v>
      </c>
      <c r="D414" s="93"/>
      <c r="E414" s="93" t="s">
        <v>2170</v>
      </c>
      <c r="F414" s="93" t="s">
        <v>1662</v>
      </c>
      <c r="G414" s="93">
        <v>0.0</v>
      </c>
      <c r="H414" s="74">
        <v>50000.0</v>
      </c>
      <c r="I414" s="96">
        <v>40000.0</v>
      </c>
      <c r="J414" s="93" t="s">
        <v>7</v>
      </c>
      <c r="K414" s="93">
        <v>0.0</v>
      </c>
      <c r="L414" s="74">
        <v>0.0</v>
      </c>
      <c r="M414" s="93" t="s">
        <v>431</v>
      </c>
      <c r="N414" s="65">
        <f>sumif(PURCHASE!I:I,C414,PURCHASE!J:J)</f>
        <v>2</v>
      </c>
      <c r="O414" s="65">
        <f>sumif('SELLING CASH'!E:E,C414,'SELLING CASH'!F:F)</f>
        <v>0</v>
      </c>
      <c r="P414" s="65">
        <f>sumif('SELLING CREDIT'!F:F,C414,'SELLING CREDIT'!G:G)</f>
        <v>0</v>
      </c>
      <c r="Q414" s="65">
        <f t="shared" si="1"/>
        <v>2</v>
      </c>
      <c r="V414" s="255"/>
      <c r="X414" s="9"/>
      <c r="Y414" s="9"/>
      <c r="Z414" s="9"/>
      <c r="AD414" s="101"/>
      <c r="AF414" s="9"/>
      <c r="AG414" s="9"/>
      <c r="AH414" s="9"/>
    </row>
    <row r="415" ht="22.5" customHeight="1">
      <c r="A415" s="49"/>
      <c r="C415" s="93" t="str">
        <f t="shared" si="14"/>
        <v>Sakura  filter oli Carry</v>
      </c>
      <c r="D415" s="93"/>
      <c r="E415" s="93" t="s">
        <v>2172</v>
      </c>
      <c r="F415" s="93" t="s">
        <v>1662</v>
      </c>
      <c r="G415" s="93">
        <v>0.0</v>
      </c>
      <c r="H415" s="74">
        <v>25000.0</v>
      </c>
      <c r="I415" s="96">
        <v>21500.0</v>
      </c>
      <c r="J415" s="93" t="s">
        <v>7</v>
      </c>
      <c r="K415" s="93">
        <v>0.0</v>
      </c>
      <c r="L415" s="74"/>
      <c r="M415" s="93" t="s">
        <v>431</v>
      </c>
      <c r="N415" s="65">
        <f>sumif(PURCHASE!I:I,C415,PURCHASE!J:J)</f>
        <v>5</v>
      </c>
      <c r="O415" s="65">
        <f>sumif('SELLING CASH'!E:E,C415,'SELLING CASH'!F:F)</f>
        <v>2</v>
      </c>
      <c r="P415" s="65">
        <f>sumif('SELLING CREDIT'!F:F,C415,'SELLING CREDIT'!G:G)</f>
        <v>0</v>
      </c>
      <c r="Q415" s="65">
        <f t="shared" si="1"/>
        <v>3</v>
      </c>
      <c r="V415" s="255"/>
      <c r="X415" s="9"/>
      <c r="Y415" s="9"/>
      <c r="Z415" s="9"/>
      <c r="AD415" s="101"/>
      <c r="AF415" s="9"/>
      <c r="AG415" s="9"/>
      <c r="AH415" s="9"/>
    </row>
    <row r="416" ht="22.5" customHeight="1">
      <c r="A416" s="49"/>
      <c r="C416" s="93" t="str">
        <f t="shared" si="14"/>
        <v>Sakura  filter oli SS/Tayo</v>
      </c>
      <c r="D416" s="93"/>
      <c r="E416" s="93" t="s">
        <v>2173</v>
      </c>
      <c r="F416" s="93" t="s">
        <v>1662</v>
      </c>
      <c r="G416" s="93">
        <v>0.0</v>
      </c>
      <c r="H416" s="74">
        <v>30000.0</v>
      </c>
      <c r="I416" s="96">
        <v>21500.0</v>
      </c>
      <c r="J416" s="93" t="s">
        <v>7</v>
      </c>
      <c r="K416" s="93">
        <v>0.0</v>
      </c>
      <c r="L416" s="74">
        <v>0.0</v>
      </c>
      <c r="M416" s="93" t="s">
        <v>431</v>
      </c>
      <c r="N416" s="65">
        <f>sumif(PURCHASE!I:I,C416,PURCHASE!J:J)</f>
        <v>5</v>
      </c>
      <c r="O416" s="65">
        <f>sumif('SELLING CASH'!E:E,C416,'SELLING CASH'!F:F)</f>
        <v>4</v>
      </c>
      <c r="P416" s="65">
        <f>sumif('SELLING CREDIT'!F:F,C416,'SELLING CREDIT'!G:G)</f>
        <v>0</v>
      </c>
      <c r="Q416" s="65">
        <f t="shared" si="1"/>
        <v>1</v>
      </c>
      <c r="V416" s="255"/>
      <c r="X416" s="9"/>
      <c r="Y416" s="9"/>
      <c r="Z416" s="9"/>
      <c r="AD416" s="101"/>
      <c r="AF416" s="9"/>
      <c r="AG416" s="9"/>
      <c r="AH416" s="9"/>
    </row>
    <row r="417" ht="22.5" customHeight="1">
      <c r="A417" s="49"/>
      <c r="C417" s="93" t="s">
        <v>251</v>
      </c>
      <c r="D417" s="93" t="s">
        <v>0</v>
      </c>
      <c r="F417" s="93" t="s">
        <v>251</v>
      </c>
      <c r="G417" s="93">
        <v>999539.0</v>
      </c>
      <c r="H417" s="74">
        <v>350000.0</v>
      </c>
      <c r="I417" s="96">
        <v>0.0</v>
      </c>
      <c r="J417" s="65" t="s">
        <v>87</v>
      </c>
      <c r="K417" s="65">
        <v>0.0</v>
      </c>
      <c r="L417" s="74">
        <v>0.0</v>
      </c>
      <c r="M417" s="65" t="s">
        <v>251</v>
      </c>
      <c r="N417" s="65">
        <f>sumif(PURCHASE!I:I,C417,PURCHASE!J:J)</f>
        <v>0</v>
      </c>
      <c r="O417" s="65">
        <f>sumif('SELLING CASH'!E:E,C417,'SELLING CASH'!F:F)</f>
        <v>599</v>
      </c>
      <c r="P417" s="65">
        <f>sumif('SELLING CREDIT'!F:F,C417,'SELLING CREDIT'!G:G)</f>
        <v>5</v>
      </c>
      <c r="Q417" s="65">
        <f t="shared" si="1"/>
        <v>998935</v>
      </c>
      <c r="V417" s="8"/>
      <c r="X417" s="9"/>
      <c r="Y417" s="9"/>
      <c r="Z417" s="9"/>
      <c r="AF417" s="9"/>
      <c r="AG417" s="9"/>
      <c r="AH417" s="9"/>
    </row>
    <row r="418" ht="22.5" customHeight="1">
      <c r="A418" s="49"/>
      <c r="C418" s="93" t="s">
        <v>2174</v>
      </c>
      <c r="D418" s="93" t="s">
        <v>1343</v>
      </c>
      <c r="E418" s="93" t="s">
        <v>2175</v>
      </c>
      <c r="F418" s="93" t="s">
        <v>2176</v>
      </c>
      <c r="G418" s="93">
        <v>0.0</v>
      </c>
      <c r="H418" s="140">
        <v>275000.0</v>
      </c>
      <c r="I418" s="193">
        <v>225314.0</v>
      </c>
      <c r="J418" s="93" t="s">
        <v>1329</v>
      </c>
      <c r="K418" s="93">
        <v>0.0</v>
      </c>
      <c r="L418" s="74">
        <v>0.0</v>
      </c>
      <c r="M418" s="93" t="s">
        <v>1330</v>
      </c>
      <c r="N418" s="65">
        <f>sumif(PURCHASE!I:I,C418,PURCHASE!J:J)</f>
        <v>16</v>
      </c>
      <c r="O418" s="65">
        <f>sumif('SELLING CASH'!E:E,C418,'SELLING CASH'!F:F)</f>
        <v>17</v>
      </c>
      <c r="P418" s="65">
        <f>sumif('SELLING CREDIT'!F:F,C418,'SELLING CREDIT'!G:G)</f>
        <v>0</v>
      </c>
      <c r="Q418" s="65">
        <f t="shared" si="1"/>
        <v>-1</v>
      </c>
      <c r="V418" s="8"/>
      <c r="X418" s="9"/>
      <c r="Y418" s="9"/>
      <c r="Z418" s="9"/>
      <c r="AF418" s="9"/>
      <c r="AG418" s="9"/>
      <c r="AH418" s="9"/>
    </row>
    <row r="419" ht="22.5" customHeight="1">
      <c r="A419" s="49"/>
      <c r="C419" s="93" t="s">
        <v>2178</v>
      </c>
      <c r="D419" s="93" t="s">
        <v>1326</v>
      </c>
      <c r="E419" s="93" t="s">
        <v>2179</v>
      </c>
      <c r="F419" s="93" t="s">
        <v>2176</v>
      </c>
      <c r="G419" s="93">
        <v>1.0</v>
      </c>
      <c r="H419" s="74">
        <v>105000.0</v>
      </c>
      <c r="I419" s="96">
        <v>80931.0</v>
      </c>
      <c r="J419" s="93" t="s">
        <v>1329</v>
      </c>
      <c r="K419" s="93">
        <v>0.0</v>
      </c>
      <c r="L419" s="74">
        <v>0.0</v>
      </c>
      <c r="M419" s="93" t="s">
        <v>1330</v>
      </c>
      <c r="N419" s="65">
        <f>sumif(PURCHASE!I:I,C419,PURCHASE!J:J)</f>
        <v>12</v>
      </c>
      <c r="O419" s="65">
        <f>sumif('SELLING CASH'!E:E,C419,'SELLING CASH'!F:F)</f>
        <v>17</v>
      </c>
      <c r="P419" s="65">
        <f>sumif('SELLING CREDIT'!F:F,C419,'SELLING CREDIT'!G:G)</f>
        <v>0</v>
      </c>
      <c r="Q419" s="65">
        <f t="shared" si="1"/>
        <v>-4</v>
      </c>
      <c r="V419" s="8"/>
      <c r="X419" s="9"/>
      <c r="Y419" s="9"/>
      <c r="Z419" s="9"/>
      <c r="AF419" s="9"/>
      <c r="AG419" s="9"/>
      <c r="AH419" s="9"/>
    </row>
    <row r="420" ht="22.5" customHeight="1">
      <c r="A420" s="49"/>
      <c r="C420" s="93" t="s">
        <v>252</v>
      </c>
      <c r="D420" s="93" t="s">
        <v>1343</v>
      </c>
      <c r="E420" s="93" t="s">
        <v>2179</v>
      </c>
      <c r="F420" s="93" t="s">
        <v>2176</v>
      </c>
      <c r="G420" s="93">
        <v>0.0</v>
      </c>
      <c r="H420" s="74">
        <v>370000.0</v>
      </c>
      <c r="I420" s="96">
        <v>317518.0</v>
      </c>
      <c r="J420" s="93" t="s">
        <v>1329</v>
      </c>
      <c r="K420" s="93">
        <v>0.0</v>
      </c>
      <c r="L420" s="74">
        <v>0.0</v>
      </c>
      <c r="M420" s="93" t="s">
        <v>1330</v>
      </c>
      <c r="N420" s="65">
        <f>sumif(PURCHASE!I:I,C420,PURCHASE!J:J)</f>
        <v>88</v>
      </c>
      <c r="O420" s="65">
        <f>sumif('SELLING CASH'!E:E,C420,'SELLING CASH'!F:F)</f>
        <v>81</v>
      </c>
      <c r="P420" s="65">
        <f>sumif('SELLING CREDIT'!F:F,C420,'SELLING CREDIT'!G:G)</f>
        <v>0</v>
      </c>
      <c r="Q420" s="65">
        <f t="shared" si="1"/>
        <v>7</v>
      </c>
      <c r="V420" s="8"/>
      <c r="X420" s="9"/>
      <c r="Y420" s="9"/>
      <c r="Z420" s="9"/>
      <c r="AF420" s="9"/>
      <c r="AG420" s="9"/>
      <c r="AH420" s="9"/>
    </row>
    <row r="421" ht="22.5" customHeight="1">
      <c r="A421" s="49"/>
      <c r="C421" s="93" t="s">
        <v>258</v>
      </c>
      <c r="D421" s="93" t="s">
        <v>1326</v>
      </c>
      <c r="E421" s="93" t="s">
        <v>2183</v>
      </c>
      <c r="F421" s="93" t="s">
        <v>2176</v>
      </c>
      <c r="G421" s="93">
        <v>0.0</v>
      </c>
      <c r="H421" s="74">
        <v>105000.0</v>
      </c>
      <c r="I421" s="96">
        <v>74700.0</v>
      </c>
      <c r="J421" s="93" t="s">
        <v>1329</v>
      </c>
      <c r="K421" s="93">
        <v>0.0</v>
      </c>
      <c r="L421" s="74">
        <v>0.0</v>
      </c>
      <c r="M421" s="93" t="s">
        <v>1330</v>
      </c>
      <c r="N421" s="65">
        <f>sumif(PURCHASE!I:I,C421,PURCHASE!J:J)</f>
        <v>12</v>
      </c>
      <c r="O421" s="65">
        <f>sumif('SELLING CASH'!E:E,C421,'SELLING CASH'!F:F)</f>
        <v>17</v>
      </c>
      <c r="P421" s="65">
        <f>sumif('SELLING CREDIT'!F:F,C421,'SELLING CREDIT'!G:G)</f>
        <v>0</v>
      </c>
      <c r="Q421" s="65">
        <f t="shared" si="1"/>
        <v>-5</v>
      </c>
      <c r="V421" s="8"/>
      <c r="X421" s="9"/>
      <c r="Y421" s="9"/>
      <c r="Z421" s="9"/>
      <c r="AF421" s="9"/>
      <c r="AG421" s="9"/>
      <c r="AH421" s="9"/>
    </row>
    <row r="422" ht="22.5" customHeight="1">
      <c r="A422" s="49"/>
      <c r="C422" s="93" t="s">
        <v>263</v>
      </c>
      <c r="D422" s="93" t="s">
        <v>1343</v>
      </c>
      <c r="E422" s="93" t="s">
        <v>2185</v>
      </c>
      <c r="F422" s="93" t="s">
        <v>2176</v>
      </c>
      <c r="G422" s="93">
        <v>0.0</v>
      </c>
      <c r="H422" s="74">
        <v>385000.0</v>
      </c>
      <c r="I422" s="96">
        <v>334916.0</v>
      </c>
      <c r="J422" s="93" t="s">
        <v>1329</v>
      </c>
      <c r="K422" s="93">
        <v>0.0</v>
      </c>
      <c r="L422" s="74">
        <v>0.0</v>
      </c>
      <c r="M422" s="93" t="s">
        <v>1330</v>
      </c>
      <c r="N422" s="65">
        <f>sumif(PURCHASE!I:I,C422,PURCHASE!J:J)</f>
        <v>104</v>
      </c>
      <c r="O422" s="65">
        <f>sumif('SELLING CASH'!E:E,C422,'SELLING CASH'!F:F)</f>
        <v>98</v>
      </c>
      <c r="P422" s="65">
        <f>sumif('SELLING CREDIT'!F:F,C422,'SELLING CREDIT'!G:G)</f>
        <v>0</v>
      </c>
      <c r="Q422" s="65">
        <f t="shared" si="1"/>
        <v>6</v>
      </c>
      <c r="V422" s="8"/>
      <c r="X422" s="9"/>
      <c r="Y422" s="9"/>
      <c r="Z422" s="9"/>
      <c r="AF422" s="9"/>
      <c r="AG422" s="9"/>
      <c r="AH422" s="9"/>
    </row>
    <row r="423" ht="22.5" customHeight="1">
      <c r="A423" s="49"/>
      <c r="C423" s="93" t="s">
        <v>2186</v>
      </c>
      <c r="D423" s="93" t="s">
        <v>1326</v>
      </c>
      <c r="E423" s="93" t="s">
        <v>2187</v>
      </c>
      <c r="F423" s="93" t="s">
        <v>2176</v>
      </c>
      <c r="G423" s="93">
        <v>0.0</v>
      </c>
      <c r="H423" s="74">
        <v>125000.0</v>
      </c>
      <c r="I423" s="96">
        <v>96400.0</v>
      </c>
      <c r="J423" s="93" t="s">
        <v>1329</v>
      </c>
      <c r="K423" s="93">
        <v>0.0</v>
      </c>
      <c r="L423" s="74">
        <v>0.0</v>
      </c>
      <c r="M423" s="93" t="s">
        <v>1330</v>
      </c>
      <c r="N423" s="65">
        <f>sumif(PURCHASE!I:I,C423,PURCHASE!J:J)</f>
        <v>12</v>
      </c>
      <c r="O423" s="65">
        <f>sumif('SELLING CASH'!E:E,C423,'SELLING CASH'!F:F)</f>
        <v>22</v>
      </c>
      <c r="P423" s="65">
        <f>sumif('SELLING CREDIT'!F:F,C423,'SELLING CREDIT'!G:G)</f>
        <v>0</v>
      </c>
      <c r="Q423" s="65">
        <f t="shared" si="1"/>
        <v>-10</v>
      </c>
      <c r="V423" s="8"/>
      <c r="X423" s="9"/>
      <c r="Y423" s="9"/>
      <c r="Z423" s="9"/>
      <c r="AF423" s="9"/>
      <c r="AG423" s="9"/>
      <c r="AH423" s="9"/>
    </row>
    <row r="424" ht="22.5" customHeight="1">
      <c r="A424" s="49"/>
      <c r="C424" s="93" t="s">
        <v>2191</v>
      </c>
      <c r="D424" s="93" t="s">
        <v>1343</v>
      </c>
      <c r="E424" s="93" t="s">
        <v>2187</v>
      </c>
      <c r="F424" s="93" t="s">
        <v>2176</v>
      </c>
      <c r="G424" s="93">
        <v>2.0</v>
      </c>
      <c r="H424" s="74">
        <v>475000.0</v>
      </c>
      <c r="I424" s="96">
        <v>422900.0</v>
      </c>
      <c r="J424" s="93" t="s">
        <v>1329</v>
      </c>
      <c r="K424" s="93">
        <v>0.0</v>
      </c>
      <c r="L424" s="74">
        <v>0.0</v>
      </c>
      <c r="M424" s="93" t="s">
        <v>1330</v>
      </c>
      <c r="N424" s="65">
        <f>sumif(PURCHASE!I:I,C424,PURCHASE!J:J)</f>
        <v>40</v>
      </c>
      <c r="O424" s="65">
        <f>sumif('SELLING CASH'!E:E,C424,'SELLING CASH'!F:F)</f>
        <v>42</v>
      </c>
      <c r="P424" s="65">
        <f>sumif('SELLING CREDIT'!F:F,C424,'SELLING CREDIT'!G:G)</f>
        <v>0</v>
      </c>
      <c r="Q424" s="65">
        <f t="shared" si="1"/>
        <v>0</v>
      </c>
      <c r="V424" s="8"/>
      <c r="X424" s="9"/>
      <c r="Y424" s="9"/>
      <c r="Z424" s="9"/>
      <c r="AF424" s="9"/>
      <c r="AG424" s="9"/>
      <c r="AH424" s="9"/>
    </row>
    <row r="425" ht="22.5" customHeight="1">
      <c r="A425" s="49"/>
      <c r="C425" s="93" t="s">
        <v>2192</v>
      </c>
      <c r="D425" s="93" t="s">
        <v>1326</v>
      </c>
      <c r="E425" s="93" t="s">
        <v>2193</v>
      </c>
      <c r="F425" s="93" t="s">
        <v>2176</v>
      </c>
      <c r="G425" s="93">
        <v>10.0</v>
      </c>
      <c r="H425" s="74">
        <v>90000.0</v>
      </c>
      <c r="I425" s="96">
        <v>59705.0</v>
      </c>
      <c r="J425" s="93" t="s">
        <v>1329</v>
      </c>
      <c r="K425" s="93">
        <v>0.0</v>
      </c>
      <c r="L425" s="74">
        <v>0.0</v>
      </c>
      <c r="M425" s="93" t="s">
        <v>1330</v>
      </c>
      <c r="N425" s="65">
        <f>sumif(PURCHASE!I:I,C425,PURCHASE!J:J)</f>
        <v>12</v>
      </c>
      <c r="O425" s="65">
        <f>sumif('SELLING CASH'!E:E,C425,'SELLING CASH'!F:F)</f>
        <v>5</v>
      </c>
      <c r="P425" s="65">
        <f>sumif('SELLING CREDIT'!F:F,C425,'SELLING CREDIT'!G:G)</f>
        <v>0</v>
      </c>
      <c r="Q425" s="65">
        <f t="shared" si="1"/>
        <v>17</v>
      </c>
      <c r="V425" s="8"/>
      <c r="X425" s="9"/>
      <c r="Y425" s="9"/>
      <c r="Z425" s="9"/>
      <c r="AF425" s="9"/>
      <c r="AG425" s="9"/>
      <c r="AH425" s="9"/>
    </row>
    <row r="426" ht="22.5" customHeight="1">
      <c r="A426" s="49"/>
      <c r="C426" s="93" t="s">
        <v>2195</v>
      </c>
      <c r="D426" s="93" t="s">
        <v>2196</v>
      </c>
      <c r="E426" s="93" t="s">
        <v>2193</v>
      </c>
      <c r="F426" s="93" t="s">
        <v>2176</v>
      </c>
      <c r="G426" s="93">
        <v>10.0</v>
      </c>
      <c r="H426" s="74">
        <v>380000.0</v>
      </c>
      <c r="I426" s="96">
        <v>329877.0</v>
      </c>
      <c r="J426" s="93" t="s">
        <v>1329</v>
      </c>
      <c r="K426" s="93">
        <v>0.0</v>
      </c>
      <c r="L426" s="74">
        <v>0.0</v>
      </c>
      <c r="M426" s="93" t="s">
        <v>1330</v>
      </c>
      <c r="N426" s="65">
        <f>sumif(PURCHASE!I:I,C426,PURCHASE!J:J)</f>
        <v>41</v>
      </c>
      <c r="O426" s="65">
        <f>sumif('SELLING CASH'!E:E,C426,'SELLING CASH'!F:F)</f>
        <v>30</v>
      </c>
      <c r="P426" s="65">
        <f>sumif('SELLING CREDIT'!F:F,C426,'SELLING CREDIT'!G:G)</f>
        <v>0</v>
      </c>
      <c r="Q426" s="65">
        <f t="shared" si="1"/>
        <v>21</v>
      </c>
      <c r="V426" s="8"/>
      <c r="X426" s="9"/>
      <c r="Y426" s="9"/>
      <c r="Z426" s="9"/>
      <c r="AF426" s="9"/>
      <c r="AG426" s="9"/>
      <c r="AH426" s="9"/>
    </row>
    <row r="427" ht="22.5" customHeight="1">
      <c r="A427" s="49"/>
      <c r="C427" s="93" t="s">
        <v>256</v>
      </c>
      <c r="D427" s="93" t="s">
        <v>0</v>
      </c>
      <c r="F427" s="93" t="s">
        <v>256</v>
      </c>
      <c r="G427" s="93">
        <v>998567.0</v>
      </c>
      <c r="H427" s="74">
        <v>175000.0</v>
      </c>
      <c r="I427" s="96">
        <v>0.0</v>
      </c>
      <c r="J427" s="65" t="s">
        <v>87</v>
      </c>
      <c r="K427" s="65">
        <v>0.0</v>
      </c>
      <c r="L427" s="74">
        <v>10000.0</v>
      </c>
      <c r="M427" s="65" t="s">
        <v>251</v>
      </c>
      <c r="N427" s="65">
        <f>sumif(PURCHASE!I:I,C427,PURCHASE!J:J)</f>
        <v>0</v>
      </c>
      <c r="O427" s="65">
        <f>sumif('SELLING CASH'!E:E,C427,'SELLING CASH'!F:F)</f>
        <v>1190</v>
      </c>
      <c r="P427" s="65">
        <f>sumif('SELLING CREDIT'!F:F,C427,'SELLING CREDIT'!G:G)</f>
        <v>8</v>
      </c>
      <c r="Q427" s="65">
        <f t="shared" si="1"/>
        <v>997369</v>
      </c>
      <c r="V427" s="8"/>
      <c r="X427" s="9"/>
      <c r="Y427" s="9"/>
      <c r="Z427" s="9"/>
      <c r="AF427" s="9"/>
      <c r="AG427" s="9"/>
      <c r="AH427" s="9"/>
    </row>
    <row r="428" ht="22.5" customHeight="1">
      <c r="A428" s="49"/>
      <c r="C428" s="93" t="s">
        <v>262</v>
      </c>
      <c r="D428" s="93" t="s">
        <v>0</v>
      </c>
      <c r="F428" s="93" t="s">
        <v>262</v>
      </c>
      <c r="G428" s="93">
        <v>99527.0</v>
      </c>
      <c r="H428" s="74">
        <v>130000.0</v>
      </c>
      <c r="I428" s="96">
        <v>0.0</v>
      </c>
      <c r="J428" s="65" t="s">
        <v>87</v>
      </c>
      <c r="K428" s="65">
        <v>0.0</v>
      </c>
      <c r="L428" s="74">
        <v>5000.0</v>
      </c>
      <c r="M428" s="65" t="s">
        <v>251</v>
      </c>
      <c r="N428" s="65">
        <f>sumif(PURCHASE!I:I,C428,PURCHASE!J:J)</f>
        <v>0</v>
      </c>
      <c r="O428" s="65">
        <f>sumif('SELLING CASH'!E:E,C428,'SELLING CASH'!F:F)</f>
        <v>458</v>
      </c>
      <c r="P428" s="65">
        <f>sumif('SELLING CREDIT'!F:F,C428,'SELLING CREDIT'!G:G)</f>
        <v>2</v>
      </c>
      <c r="Q428" s="65">
        <f t="shared" si="1"/>
        <v>99067</v>
      </c>
      <c r="V428" s="8"/>
      <c r="X428" s="9"/>
      <c r="Y428" s="9"/>
      <c r="Z428" s="9"/>
      <c r="AF428" s="9"/>
      <c r="AG428" s="9"/>
      <c r="AH428" s="9"/>
    </row>
    <row r="429" ht="22.5" customHeight="1">
      <c r="A429" s="49"/>
      <c r="C429" s="93" t="s">
        <v>2199</v>
      </c>
      <c r="D429" s="93" t="s">
        <v>0</v>
      </c>
      <c r="F429" s="93" t="s">
        <v>2199</v>
      </c>
      <c r="G429" s="93">
        <v>99911.0</v>
      </c>
      <c r="H429" s="74">
        <v>20000.0</v>
      </c>
      <c r="I429" s="96">
        <v>5000.0</v>
      </c>
      <c r="J429" s="65" t="s">
        <v>7</v>
      </c>
      <c r="K429" s="65">
        <v>0.0</v>
      </c>
      <c r="L429" s="74">
        <v>0.0</v>
      </c>
      <c r="M429" s="93" t="s">
        <v>431</v>
      </c>
      <c r="N429" s="65">
        <f>sumif(PURCHASE!I:I,C429,PURCHASE!J:J)</f>
        <v>10</v>
      </c>
      <c r="O429" s="65">
        <f>sumif('SELLING CASH'!E:E,C429,'SELLING CASH'!F:F)</f>
        <v>64</v>
      </c>
      <c r="P429" s="65">
        <f>sumif('SELLING CREDIT'!F:F,C429,'SELLING CREDIT'!G:G)</f>
        <v>0</v>
      </c>
      <c r="Q429" s="65">
        <f t="shared" si="1"/>
        <v>99857</v>
      </c>
      <c r="V429" s="8"/>
      <c r="X429" s="9"/>
      <c r="Y429" s="9"/>
      <c r="Z429" s="9"/>
      <c r="AF429" s="9"/>
      <c r="AG429" s="9"/>
      <c r="AH429" s="9"/>
    </row>
    <row r="430" ht="22.5" customHeight="1">
      <c r="A430" s="49"/>
      <c r="C430" s="93" t="s">
        <v>2202</v>
      </c>
      <c r="D430" s="93" t="s">
        <v>364</v>
      </c>
      <c r="E430" s="93" t="s">
        <v>2203</v>
      </c>
      <c r="F430" s="93" t="s">
        <v>2204</v>
      </c>
      <c r="G430" s="93">
        <v>0.0</v>
      </c>
      <c r="H430" s="74">
        <v>2100000.0</v>
      </c>
      <c r="I430" s="96">
        <v>1900000.0</v>
      </c>
      <c r="J430" s="65" t="s">
        <v>7</v>
      </c>
      <c r="K430" s="65">
        <v>0.0</v>
      </c>
      <c r="L430" s="74">
        <v>0.0</v>
      </c>
      <c r="M430" s="93" t="s">
        <v>61</v>
      </c>
      <c r="N430" s="65">
        <f>sumif(PURCHASE!I:I,C430,PURCHASE!J:J)</f>
        <v>0</v>
      </c>
      <c r="O430" s="65">
        <f>sumif('SELLING CASH'!E:E,C430,'SELLING CASH'!F:F)</f>
        <v>0</v>
      </c>
      <c r="P430" s="65">
        <f>sumif('SELLING CREDIT'!F:F,C430,'SELLING CREDIT'!G:G)</f>
        <v>2</v>
      </c>
      <c r="Q430" s="65">
        <f t="shared" si="1"/>
        <v>-2</v>
      </c>
      <c r="V430" s="8"/>
      <c r="X430" s="9"/>
      <c r="Y430" s="9"/>
      <c r="Z430" s="9"/>
      <c r="AF430" s="9"/>
      <c r="AG430" s="9"/>
      <c r="AH430" s="9"/>
    </row>
    <row r="431" ht="22.5" customHeight="1">
      <c r="A431" s="49"/>
      <c r="C431" s="93" t="s">
        <v>2206</v>
      </c>
      <c r="D431" s="93" t="s">
        <v>2207</v>
      </c>
      <c r="F431" s="93" t="s">
        <v>2208</v>
      </c>
      <c r="G431" s="93">
        <v>10.0</v>
      </c>
      <c r="H431" s="74">
        <v>200000.0</v>
      </c>
      <c r="I431" s="96">
        <v>95450.0</v>
      </c>
      <c r="J431" s="65" t="s">
        <v>87</v>
      </c>
      <c r="K431" s="69">
        <v>1.0</v>
      </c>
      <c r="L431" s="74">
        <v>40000.0</v>
      </c>
      <c r="M431" s="93" t="s">
        <v>431</v>
      </c>
      <c r="N431" s="65">
        <f>sumif(PURCHASE!I:I,C431,PURCHASE!J:J)</f>
        <v>23</v>
      </c>
      <c r="O431" s="65">
        <f>sumif('SELLING CASH'!E:E,C431,'SELLING CASH'!F:F)</f>
        <v>43</v>
      </c>
      <c r="P431" s="65">
        <f>sumif('SELLING CREDIT'!F:F,C431,'SELLING CREDIT'!G:G)</f>
        <v>0</v>
      </c>
      <c r="Q431" s="65">
        <f t="shared" si="1"/>
        <v>-10</v>
      </c>
      <c r="V431" s="8"/>
      <c r="X431" s="9"/>
      <c r="Y431" s="9"/>
      <c r="Z431" s="9"/>
      <c r="AF431" s="9"/>
      <c r="AG431" s="9"/>
      <c r="AH431" s="9"/>
    </row>
    <row r="432" ht="22.5" customHeight="1">
      <c r="A432" s="49"/>
      <c r="C432" s="93" t="s">
        <v>2209</v>
      </c>
      <c r="D432" s="93"/>
      <c r="E432" s="93"/>
      <c r="F432" s="93" t="s">
        <v>2210</v>
      </c>
      <c r="G432" s="93">
        <v>10.0</v>
      </c>
      <c r="H432" s="74">
        <v>280000.0</v>
      </c>
      <c r="I432" s="96">
        <v>200000.0</v>
      </c>
      <c r="J432" s="93" t="s">
        <v>7</v>
      </c>
      <c r="K432" s="93">
        <v>0.0</v>
      </c>
      <c r="L432" s="74">
        <v>40000.0</v>
      </c>
      <c r="M432" s="93" t="s">
        <v>431</v>
      </c>
      <c r="N432" s="65">
        <f>sumif(PURCHASE!I:I,C432,PURCHASE!J:J)</f>
        <v>0</v>
      </c>
      <c r="O432" s="65">
        <f>sumif('SELLING CASH'!E:E,C432,'SELLING CASH'!F:F)</f>
        <v>1</v>
      </c>
      <c r="P432" s="65">
        <f>sumif('SELLING CREDIT'!F:F,C432,'SELLING CREDIT'!G:G)</f>
        <v>0</v>
      </c>
      <c r="Q432" s="65">
        <f t="shared" si="1"/>
        <v>9</v>
      </c>
      <c r="V432" s="8"/>
      <c r="X432" s="9"/>
      <c r="Y432" s="9"/>
      <c r="Z432" s="9"/>
      <c r="AF432" s="9"/>
      <c r="AG432" s="9"/>
      <c r="AH432" s="9"/>
    </row>
    <row r="433" ht="22.5" customHeight="1">
      <c r="A433" s="49"/>
      <c r="C433" s="93" t="s">
        <v>2211</v>
      </c>
      <c r="D433" s="93" t="s">
        <v>0</v>
      </c>
      <c r="E433" s="93" t="s">
        <v>2212</v>
      </c>
      <c r="F433" s="93" t="s">
        <v>2208</v>
      </c>
      <c r="G433" s="93">
        <v>2.0</v>
      </c>
      <c r="H433" s="74">
        <v>235000.0</v>
      </c>
      <c r="I433" s="96">
        <v>185500.0</v>
      </c>
      <c r="J433" s="65" t="s">
        <v>87</v>
      </c>
      <c r="K433" s="65">
        <v>0.0</v>
      </c>
      <c r="L433" s="74">
        <v>40000.0</v>
      </c>
      <c r="M433" s="93" t="s">
        <v>431</v>
      </c>
      <c r="N433" s="65">
        <f>sumif(PURCHASE!I:I,C433,PURCHASE!J:J)</f>
        <v>0</v>
      </c>
      <c r="O433" s="65">
        <f>sumif('SELLING CASH'!E:E,C433,'SELLING CASH'!F:F)</f>
        <v>0</v>
      </c>
      <c r="P433" s="65">
        <f>sumif('SELLING CREDIT'!F:F,C433,'SELLING CREDIT'!G:G)</f>
        <v>0</v>
      </c>
      <c r="Q433" s="65">
        <f t="shared" si="1"/>
        <v>2</v>
      </c>
      <c r="V433" s="8"/>
      <c r="X433" s="9"/>
      <c r="Y433" s="9"/>
      <c r="Z433" s="9"/>
      <c r="AF433" s="9"/>
      <c r="AG433" s="9"/>
      <c r="AH433" s="9"/>
    </row>
    <row r="434" ht="22.5" customHeight="1">
      <c r="A434" s="49"/>
      <c r="C434" s="93" t="s">
        <v>295</v>
      </c>
      <c r="D434" s="93" t="s">
        <v>354</v>
      </c>
      <c r="E434" s="93" t="s">
        <v>1614</v>
      </c>
      <c r="F434" s="93" t="s">
        <v>2213</v>
      </c>
      <c r="G434" s="93">
        <v>6.0</v>
      </c>
      <c r="H434" s="74">
        <v>1580000.0</v>
      </c>
      <c r="I434" s="96">
        <v>1475000.0</v>
      </c>
      <c r="J434" s="65" t="s">
        <v>7</v>
      </c>
      <c r="K434" s="65">
        <v>1.0</v>
      </c>
      <c r="L434" s="74">
        <v>0.0</v>
      </c>
      <c r="M434" s="93" t="s">
        <v>61</v>
      </c>
      <c r="N434" s="65">
        <f>sumif(PURCHASE!I:I,C434,PURCHASE!J:J)</f>
        <v>87</v>
      </c>
      <c r="O434" s="65">
        <f>sumif('SELLING CASH'!E:E,C434,'SELLING CASH'!F:F)</f>
        <v>79</v>
      </c>
      <c r="P434" s="65">
        <f>sumif('SELLING CREDIT'!F:F,C434,'SELLING CREDIT'!G:G)</f>
        <v>14</v>
      </c>
      <c r="Q434" s="65">
        <f t="shared" si="1"/>
        <v>0</v>
      </c>
      <c r="V434" s="8"/>
      <c r="X434" s="9"/>
      <c r="Y434" s="9"/>
      <c r="Z434" s="9"/>
      <c r="AF434" s="9"/>
      <c r="AG434" s="9"/>
      <c r="AH434" s="9"/>
    </row>
    <row r="435" ht="22.5" customHeight="1">
      <c r="A435" s="49"/>
      <c r="C435" s="93" t="s">
        <v>924</v>
      </c>
      <c r="D435" s="93" t="s">
        <v>364</v>
      </c>
      <c r="F435" s="93" t="s">
        <v>2213</v>
      </c>
      <c r="G435" s="93">
        <v>7.0</v>
      </c>
      <c r="H435" s="74">
        <v>1660000.0</v>
      </c>
      <c r="I435" s="96">
        <v>1560000.0</v>
      </c>
      <c r="J435" s="65" t="s">
        <v>7</v>
      </c>
      <c r="K435" s="65">
        <v>1.0</v>
      </c>
      <c r="L435" s="74">
        <v>0.0</v>
      </c>
      <c r="M435" s="93" t="s">
        <v>61</v>
      </c>
      <c r="N435" s="65">
        <f>sumif(PURCHASE!I:I,C435,PURCHASE!J:J)</f>
        <v>142</v>
      </c>
      <c r="O435" s="65">
        <f>sumif('SELLING CASH'!E:E,C435,'SELLING CASH'!F:F)</f>
        <v>70</v>
      </c>
      <c r="P435" s="65">
        <f>sumif('SELLING CREDIT'!F:F,C435,'SELLING CREDIT'!G:G)</f>
        <v>84</v>
      </c>
      <c r="Q435" s="65">
        <f t="shared" si="1"/>
        <v>-5</v>
      </c>
      <c r="V435" s="8"/>
      <c r="X435" s="9"/>
      <c r="Y435" s="9"/>
      <c r="Z435" s="9"/>
      <c r="AF435" s="9"/>
      <c r="AG435" s="9"/>
      <c r="AH435" s="9"/>
    </row>
    <row r="436" ht="22.5" customHeight="1">
      <c r="A436" s="49"/>
      <c r="C436" s="93" t="s">
        <v>2215</v>
      </c>
      <c r="D436" s="93" t="s">
        <v>364</v>
      </c>
      <c r="F436" s="93" t="s">
        <v>2213</v>
      </c>
      <c r="G436" s="93">
        <v>7.0</v>
      </c>
      <c r="H436" s="74">
        <v>1750000.0</v>
      </c>
      <c r="I436" s="96">
        <v>1650000.0</v>
      </c>
      <c r="J436" s="65" t="s">
        <v>7</v>
      </c>
      <c r="K436" s="65">
        <v>1.0</v>
      </c>
      <c r="L436" s="74">
        <v>0.0</v>
      </c>
      <c r="M436" s="93" t="s">
        <v>61</v>
      </c>
      <c r="N436" s="65">
        <f>sumif(PURCHASE!I:I,C436,PURCHASE!J:J)</f>
        <v>10</v>
      </c>
      <c r="O436" s="65">
        <f>sumif('SELLING CASH'!E:E,C436,'SELLING CASH'!F:F)</f>
        <v>1</v>
      </c>
      <c r="P436" s="65">
        <f>sumif('SELLING CREDIT'!F:F,C436,'SELLING CREDIT'!G:G)</f>
        <v>3</v>
      </c>
      <c r="Q436" s="65">
        <f t="shared" si="1"/>
        <v>13</v>
      </c>
      <c r="V436" s="8"/>
      <c r="X436" s="9"/>
      <c r="Y436" s="9"/>
      <c r="Z436" s="9"/>
      <c r="AF436" s="9"/>
      <c r="AG436" s="9"/>
      <c r="AH436" s="9"/>
    </row>
    <row r="437" ht="22.5" customHeight="1">
      <c r="A437" s="49"/>
      <c r="C437" s="93" t="s">
        <v>2217</v>
      </c>
      <c r="D437" s="93">
        <v>13.0</v>
      </c>
      <c r="E437" s="93" t="s">
        <v>2218</v>
      </c>
      <c r="F437" s="93" t="s">
        <v>2219</v>
      </c>
      <c r="G437" s="93">
        <v>0.0</v>
      </c>
      <c r="H437" s="74">
        <v>250000.0</v>
      </c>
      <c r="I437" s="96">
        <v>0.0</v>
      </c>
      <c r="J437" s="65" t="s">
        <v>7</v>
      </c>
      <c r="K437" s="65">
        <v>0.0</v>
      </c>
      <c r="L437" s="74">
        <v>0.0</v>
      </c>
      <c r="M437" s="93" t="s">
        <v>431</v>
      </c>
      <c r="N437" s="65">
        <f>sumif(PURCHASE!I:I,C437,PURCHASE!J:J)</f>
        <v>0</v>
      </c>
      <c r="O437" s="65">
        <f>sumif('SELLING CASH'!E:E,C437,'SELLING CASH'!F:F)</f>
        <v>0</v>
      </c>
      <c r="P437" s="65">
        <f>sumif('SELLING CREDIT'!F:F,C437,'SELLING CREDIT'!G:G)</f>
        <v>0</v>
      </c>
      <c r="Q437" s="65">
        <f t="shared" si="1"/>
        <v>0</v>
      </c>
      <c r="V437" s="8"/>
      <c r="X437" s="9"/>
      <c r="Y437" s="9"/>
      <c r="Z437" s="9"/>
      <c r="AF437" s="9"/>
      <c r="AG437" s="9"/>
      <c r="AH437" s="9"/>
    </row>
    <row r="438" ht="22.5" customHeight="1">
      <c r="A438" s="49"/>
      <c r="C438" s="93" t="s">
        <v>2221</v>
      </c>
      <c r="D438" s="93" t="s">
        <v>2222</v>
      </c>
      <c r="E438" s="93" t="s">
        <v>2223</v>
      </c>
      <c r="F438" s="93" t="s">
        <v>2224</v>
      </c>
      <c r="G438" s="93">
        <v>0.0</v>
      </c>
      <c r="H438" s="74">
        <v>550000.0</v>
      </c>
      <c r="I438" s="96">
        <v>450000.0</v>
      </c>
      <c r="J438" s="65" t="s">
        <v>7</v>
      </c>
      <c r="K438" s="65">
        <v>1.0</v>
      </c>
      <c r="L438" s="74">
        <v>0.0</v>
      </c>
      <c r="M438" s="93" t="s">
        <v>61</v>
      </c>
      <c r="N438" s="65">
        <f>sumif(PURCHASE!I:I,C438,PURCHASE!J:J)</f>
        <v>5</v>
      </c>
      <c r="O438" s="65">
        <f>sumif('SELLING CASH'!E:E,C438,'SELLING CASH'!F:F)</f>
        <v>4</v>
      </c>
      <c r="P438" s="65">
        <f>sumif('SELLING CREDIT'!F:F,C438,'SELLING CREDIT'!G:G)</f>
        <v>1</v>
      </c>
      <c r="Q438" s="65">
        <f t="shared" si="1"/>
        <v>0</v>
      </c>
      <c r="V438" s="8"/>
      <c r="X438" s="9"/>
      <c r="Y438" s="9"/>
      <c r="Z438" s="9"/>
      <c r="AF438" s="9"/>
      <c r="AG438" s="9"/>
      <c r="AH438" s="9"/>
    </row>
    <row r="439" ht="22.5" customHeight="1">
      <c r="A439" s="49"/>
      <c r="C439" s="93" t="s">
        <v>2226</v>
      </c>
      <c r="D439" s="93">
        <v>15.0</v>
      </c>
      <c r="E439" s="93" t="s">
        <v>2227</v>
      </c>
      <c r="F439" s="93" t="s">
        <v>2219</v>
      </c>
      <c r="G439" s="93">
        <v>1.0</v>
      </c>
      <c r="H439" s="74">
        <v>870000.0</v>
      </c>
      <c r="I439" s="96">
        <v>750000.0</v>
      </c>
      <c r="J439" s="65" t="s">
        <v>7</v>
      </c>
      <c r="K439" s="65">
        <v>0.0</v>
      </c>
      <c r="L439" s="74">
        <v>0.0</v>
      </c>
      <c r="M439" s="93" t="s">
        <v>431</v>
      </c>
      <c r="N439" s="65">
        <f>sumif(PURCHASE!I:I,C439,PURCHASE!J:J)</f>
        <v>0</v>
      </c>
      <c r="O439" s="65">
        <f>sumif('SELLING CASH'!E:E,C439,'SELLING CASH'!F:F)</f>
        <v>0</v>
      </c>
      <c r="P439" s="65">
        <f>sumif('SELLING CREDIT'!F:F,C439,'SELLING CREDIT'!G:G)</f>
        <v>0</v>
      </c>
      <c r="Q439" s="65">
        <f t="shared" si="1"/>
        <v>1</v>
      </c>
      <c r="V439" s="8"/>
      <c r="X439" s="9"/>
      <c r="Y439" s="9"/>
      <c r="Z439" s="9"/>
      <c r="AF439" s="9"/>
      <c r="AG439" s="9"/>
      <c r="AH439" s="9"/>
    </row>
    <row r="440" ht="22.5" customHeight="1">
      <c r="A440" s="49"/>
      <c r="C440" s="93" t="s">
        <v>2229</v>
      </c>
      <c r="D440" s="93" t="s">
        <v>2230</v>
      </c>
      <c r="E440" s="93" t="s">
        <v>2231</v>
      </c>
      <c r="F440" s="93" t="s">
        <v>2219</v>
      </c>
      <c r="G440" s="93">
        <v>2.0</v>
      </c>
      <c r="H440" s="74">
        <v>840000.0</v>
      </c>
      <c r="I440" s="96">
        <v>740000.0</v>
      </c>
      <c r="J440" s="65" t="s">
        <v>7</v>
      </c>
      <c r="K440" s="65">
        <v>1.0</v>
      </c>
      <c r="L440" s="74">
        <v>0.0</v>
      </c>
      <c r="M440" s="93" t="s">
        <v>431</v>
      </c>
      <c r="N440" s="65">
        <f>sumif(PURCHASE!I:I,C440,PURCHASE!J:J)</f>
        <v>0</v>
      </c>
      <c r="O440" s="65">
        <f>sumif('SELLING CASH'!E:E,C440,'SELLING CASH'!F:F)</f>
        <v>0</v>
      </c>
      <c r="P440" s="65">
        <f>sumif('SELLING CREDIT'!F:F,C440,'SELLING CREDIT'!G:G)</f>
        <v>0</v>
      </c>
      <c r="Q440" s="65">
        <f t="shared" si="1"/>
        <v>2</v>
      </c>
      <c r="V440" s="8"/>
      <c r="X440" s="9"/>
      <c r="Y440" s="9"/>
      <c r="Z440" s="9"/>
      <c r="AF440" s="9"/>
      <c r="AG440" s="9"/>
      <c r="AH440" s="9"/>
    </row>
    <row r="441" ht="22.5" customHeight="1">
      <c r="A441" s="49"/>
      <c r="C441" s="93" t="str">
        <f t="shared" ref="C441:C442" si="15">F441&amp;" "&amp;D441&amp;" "&amp;E441</f>
        <v>Velg 16  XM LB6  10 ML</v>
      </c>
      <c r="D441" s="93">
        <v>16.0</v>
      </c>
      <c r="E441" s="93" t="s">
        <v>2233</v>
      </c>
      <c r="F441" s="93" t="s">
        <v>2224</v>
      </c>
      <c r="G441" s="93">
        <v>0.0</v>
      </c>
      <c r="H441" s="74">
        <v>750000.0</v>
      </c>
      <c r="I441" s="96">
        <v>650000.0</v>
      </c>
      <c r="J441" s="93" t="s">
        <v>7</v>
      </c>
      <c r="K441" s="93">
        <v>1.0</v>
      </c>
      <c r="L441" s="74">
        <v>0.0</v>
      </c>
      <c r="M441" s="93" t="s">
        <v>61</v>
      </c>
      <c r="N441" s="65">
        <f>sumif(PURCHASE!I:I,C441,PURCHASE!J:J)</f>
        <v>13</v>
      </c>
      <c r="O441" s="65">
        <f>sumif('SELLING CASH'!E:E,C441,'SELLING CASH'!F:F)</f>
        <v>4</v>
      </c>
      <c r="P441" s="65">
        <f>sumif('SELLING CREDIT'!F:F,C441,'SELLING CREDIT'!G:G)</f>
        <v>6</v>
      </c>
      <c r="Q441" s="65">
        <f t="shared" si="1"/>
        <v>3</v>
      </c>
      <c r="V441" s="8"/>
      <c r="X441" s="9"/>
      <c r="Y441" s="9"/>
      <c r="Z441" s="9"/>
      <c r="AF441" s="9"/>
      <c r="AG441" s="9"/>
      <c r="AH441" s="9"/>
    </row>
    <row r="442" ht="22.5" customHeight="1">
      <c r="A442" s="49"/>
      <c r="C442" s="93" t="str">
        <f t="shared" si="15"/>
        <v>Velg 16  XM LB6  12 ML</v>
      </c>
      <c r="D442" s="93">
        <v>16.0</v>
      </c>
      <c r="E442" s="93" t="s">
        <v>2235</v>
      </c>
      <c r="F442" s="93" t="s">
        <v>2224</v>
      </c>
      <c r="G442" s="93">
        <v>0.0</v>
      </c>
      <c r="H442" s="74">
        <v>780000.0</v>
      </c>
      <c r="I442" s="96">
        <v>680000.0</v>
      </c>
      <c r="J442" s="93" t="s">
        <v>7</v>
      </c>
      <c r="K442" s="93">
        <v>1.0</v>
      </c>
      <c r="L442" s="74">
        <v>0.0</v>
      </c>
      <c r="M442" s="93" t="s">
        <v>61</v>
      </c>
      <c r="N442" s="65">
        <f>sumif(PURCHASE!I:I,C442,PURCHASE!J:J)</f>
        <v>35</v>
      </c>
      <c r="O442" s="65">
        <f>sumif('SELLING CASH'!E:E,C442,'SELLING CASH'!F:F)</f>
        <v>10</v>
      </c>
      <c r="P442" s="65">
        <f>sumif('SELLING CREDIT'!F:F,C442,'SELLING CREDIT'!G:G)</f>
        <v>24</v>
      </c>
      <c r="Q442" s="65">
        <f t="shared" si="1"/>
        <v>1</v>
      </c>
      <c r="V442" s="8"/>
      <c r="X442" s="9"/>
      <c r="Y442" s="9"/>
      <c r="Z442" s="9"/>
      <c r="AF442" s="9"/>
      <c r="AG442" s="9"/>
      <c r="AH442" s="9"/>
    </row>
    <row r="443" ht="22.5" customHeight="1">
      <c r="A443" s="49"/>
      <c r="C443" s="93" t="s">
        <v>2236</v>
      </c>
      <c r="D443" s="93">
        <v>16.0</v>
      </c>
      <c r="E443" s="93" t="s">
        <v>2237</v>
      </c>
      <c r="F443" s="93" t="s">
        <v>2219</v>
      </c>
      <c r="G443" s="93">
        <v>2.0</v>
      </c>
      <c r="H443" s="74">
        <v>900000.0</v>
      </c>
      <c r="I443" s="96">
        <v>775000.0</v>
      </c>
      <c r="J443" s="65" t="s">
        <v>7</v>
      </c>
      <c r="K443" s="65">
        <v>0.0</v>
      </c>
      <c r="L443" s="74">
        <v>0.0</v>
      </c>
      <c r="M443" s="93" t="s">
        <v>431</v>
      </c>
      <c r="N443" s="65">
        <f>sumif(PURCHASE!I:I,C443,PURCHASE!J:J)</f>
        <v>0</v>
      </c>
      <c r="O443" s="65">
        <f>sumif('SELLING CASH'!E:E,C443,'SELLING CASH'!F:F)</f>
        <v>4</v>
      </c>
      <c r="P443" s="65">
        <f>sumif('SELLING CREDIT'!F:F,C443,'SELLING CREDIT'!G:G)</f>
        <v>2</v>
      </c>
      <c r="Q443" s="65">
        <f t="shared" si="1"/>
        <v>-4</v>
      </c>
      <c r="V443" s="8"/>
      <c r="X443" s="9"/>
      <c r="Y443" s="9"/>
      <c r="Z443" s="9"/>
      <c r="AF443" s="9"/>
      <c r="AG443" s="9"/>
      <c r="AH443" s="9"/>
    </row>
    <row r="444" ht="22.5" customHeight="1">
      <c r="A444" s="49"/>
      <c r="C444" s="93" t="str">
        <f t="shared" ref="C444:C445" si="16">F444&amp;" "&amp;D444&amp;" "&amp;E444</f>
        <v>VELG 16 Robahan Canter</v>
      </c>
      <c r="D444" s="93">
        <v>16.0</v>
      </c>
      <c r="E444" s="93" t="s">
        <v>2240</v>
      </c>
      <c r="F444" s="93" t="s">
        <v>2219</v>
      </c>
      <c r="G444" s="93">
        <v>2.0</v>
      </c>
      <c r="H444" s="74">
        <v>1100000.0</v>
      </c>
      <c r="I444" s="96">
        <v>960000.0</v>
      </c>
      <c r="J444" s="93" t="s">
        <v>7</v>
      </c>
      <c r="K444" s="93">
        <v>1.0</v>
      </c>
      <c r="L444" s="74">
        <v>0.0</v>
      </c>
      <c r="M444" s="93" t="s">
        <v>61</v>
      </c>
      <c r="N444" s="65">
        <f>sumif(PURCHASE!I:I,C444,PURCHASE!J:J)</f>
        <v>0</v>
      </c>
      <c r="O444" s="65">
        <f>sumif('SELLING CASH'!E:E,C444,'SELLING CASH'!F:F)</f>
        <v>1</v>
      </c>
      <c r="P444" s="65">
        <f>sumif('SELLING CREDIT'!F:F,C444,'SELLING CREDIT'!G:G)</f>
        <v>2</v>
      </c>
      <c r="Q444" s="65">
        <f t="shared" si="1"/>
        <v>-1</v>
      </c>
      <c r="V444" s="8"/>
      <c r="X444" s="9"/>
      <c r="Y444" s="9"/>
      <c r="Z444" s="9"/>
      <c r="AF444" s="9"/>
      <c r="AG444" s="9"/>
      <c r="AH444" s="9"/>
    </row>
    <row r="445" ht="22.5" customHeight="1">
      <c r="A445" s="49"/>
      <c r="C445" s="93" t="str">
        <f t="shared" si="16"/>
        <v>WD  </v>
      </c>
      <c r="D445" s="93"/>
      <c r="E445" s="93"/>
      <c r="F445" s="93" t="s">
        <v>471</v>
      </c>
      <c r="G445" s="93">
        <v>0.0</v>
      </c>
      <c r="H445" s="74" t="s">
        <v>2243</v>
      </c>
      <c r="I445" s="96">
        <v>25000.0</v>
      </c>
      <c r="J445" s="93" t="s">
        <v>1953</v>
      </c>
      <c r="K445" s="93">
        <v>0.0</v>
      </c>
      <c r="L445" s="74">
        <v>0.0</v>
      </c>
      <c r="M445" s="93" t="s">
        <v>431</v>
      </c>
      <c r="N445" s="65">
        <f>sumif(PURCHASE!I:I,C445,PURCHASE!J:J)</f>
        <v>34</v>
      </c>
      <c r="O445" s="65">
        <f>sumif('SELLING CASH'!E:E,C445,'SELLING CASH'!F:F)</f>
        <v>0</v>
      </c>
      <c r="P445" s="65">
        <f>sumif('SELLING CREDIT'!F:F,C445,'SELLING CREDIT'!G:G)</f>
        <v>0</v>
      </c>
      <c r="Q445" s="65">
        <f t="shared" si="1"/>
        <v>34</v>
      </c>
      <c r="V445" s="8"/>
      <c r="X445" s="9"/>
      <c r="Y445" s="9"/>
      <c r="Z445" s="9"/>
      <c r="AF445" s="9"/>
      <c r="AG445" s="9"/>
      <c r="AH445" s="9"/>
    </row>
    <row r="446" ht="22.5" customHeight="1">
      <c r="A446" s="49"/>
      <c r="C446" s="93" t="s">
        <v>2245</v>
      </c>
      <c r="D446" s="93" t="s">
        <v>2246</v>
      </c>
      <c r="F446" s="93" t="s">
        <v>2247</v>
      </c>
      <c r="G446" s="93">
        <v>0.0</v>
      </c>
      <c r="H446" s="74">
        <v>3750000.0</v>
      </c>
      <c r="I446" s="96">
        <v>3500000.0</v>
      </c>
      <c r="J446" s="65" t="s">
        <v>7</v>
      </c>
      <c r="K446" s="65">
        <v>1.0</v>
      </c>
      <c r="L446" s="74">
        <v>0.0</v>
      </c>
      <c r="M446" s="93" t="s">
        <v>61</v>
      </c>
      <c r="N446" s="65">
        <f>sumif(PURCHASE!I:I,C446,PURCHASE!J:J)</f>
        <v>0</v>
      </c>
      <c r="O446" s="65">
        <f>sumif('SELLING CASH'!E:E,C446,'SELLING CASH'!F:F)</f>
        <v>0</v>
      </c>
      <c r="P446" s="65">
        <f>sumif('SELLING CREDIT'!F:F,C446,'SELLING CREDIT'!G:G)</f>
        <v>0</v>
      </c>
      <c r="Q446" s="65">
        <f t="shared" si="1"/>
        <v>0</v>
      </c>
      <c r="V446" s="8"/>
      <c r="X446" s="9"/>
      <c r="Y446" s="9"/>
      <c r="Z446" s="9"/>
      <c r="AF446" s="9"/>
      <c r="AG446" s="9"/>
      <c r="AH446" s="9"/>
    </row>
    <row r="447" ht="22.5" customHeight="1">
      <c r="A447" s="49"/>
      <c r="C447" s="93" t="s">
        <v>2249</v>
      </c>
      <c r="D447" s="93" t="s">
        <v>364</v>
      </c>
      <c r="E447" s="93" t="s">
        <v>2250</v>
      </c>
      <c r="F447" s="93" t="s">
        <v>2247</v>
      </c>
      <c r="G447" s="93">
        <v>0.0</v>
      </c>
      <c r="H447" s="74">
        <v>1900000.0</v>
      </c>
      <c r="I447" s="96">
        <v>1800000.0</v>
      </c>
      <c r="J447" s="65" t="s">
        <v>7</v>
      </c>
      <c r="K447" s="65">
        <v>1.0</v>
      </c>
      <c r="L447" s="74">
        <v>0.0</v>
      </c>
      <c r="M447" s="93" t="s">
        <v>61</v>
      </c>
      <c r="N447" s="65">
        <f>sumif(PURCHASE!I:I,C447,PURCHASE!J:J)</f>
        <v>10</v>
      </c>
      <c r="O447" s="65">
        <f>sumif('SELLING CASH'!E:E,C447,'SELLING CASH'!F:F)</f>
        <v>0</v>
      </c>
      <c r="P447" s="65">
        <f>sumif('SELLING CREDIT'!F:F,C447,'SELLING CREDIT'!G:G)</f>
        <v>10</v>
      </c>
      <c r="Q447" s="65">
        <f t="shared" si="1"/>
        <v>0</v>
      </c>
      <c r="V447" s="8"/>
      <c r="X447" s="9"/>
      <c r="Y447" s="9"/>
      <c r="Z447" s="9"/>
      <c r="AF447" s="9"/>
      <c r="AG447" s="9"/>
      <c r="AH447" s="9"/>
    </row>
    <row r="448" ht="22.5" customHeight="1">
      <c r="A448" s="49"/>
      <c r="C448" s="93" t="str">
        <f t="shared" ref="C448:C473" si="17">F448&amp;" "&amp;D448&amp;" "&amp;E448</f>
        <v>GT 235/75 15 Savero MT</v>
      </c>
      <c r="D448" s="93" t="s">
        <v>324</v>
      </c>
      <c r="E448" s="93" t="s">
        <v>2252</v>
      </c>
      <c r="F448" s="93" t="s">
        <v>493</v>
      </c>
      <c r="G448" s="65">
        <v>0.0</v>
      </c>
      <c r="H448" s="74">
        <v>1210000.0</v>
      </c>
      <c r="I448" s="96">
        <v>1097400.0</v>
      </c>
      <c r="J448" s="93" t="s">
        <v>7</v>
      </c>
      <c r="K448" s="93">
        <v>1.0</v>
      </c>
      <c r="L448" s="74">
        <v>0.0</v>
      </c>
      <c r="M448" s="93" t="s">
        <v>61</v>
      </c>
      <c r="N448" s="65">
        <f>sumif(PURCHASE!I:I,C448,PURCHASE!J:J)</f>
        <v>4</v>
      </c>
      <c r="O448" s="65">
        <f>sumif('SELLING CASH'!E:E,C448,'SELLING CASH'!F:F)</f>
        <v>4</v>
      </c>
      <c r="P448" s="65">
        <f>sumif('SELLING CREDIT'!F:F,C448,'SELLING CREDIT'!G:G)</f>
        <v>0</v>
      </c>
      <c r="Q448" s="65">
        <f t="shared" si="1"/>
        <v>0</v>
      </c>
      <c r="V448" s="8"/>
      <c r="X448" s="9"/>
      <c r="Y448" s="9"/>
      <c r="Z448" s="9"/>
      <c r="AF448" s="9"/>
      <c r="AG448" s="9"/>
      <c r="AH448" s="9"/>
    </row>
    <row r="449" ht="22.5" customHeight="1">
      <c r="A449" s="49"/>
      <c r="C449" s="93" t="str">
        <f t="shared" si="17"/>
        <v>Aspira  Filter Oli Innova Bensin</v>
      </c>
      <c r="D449" s="93"/>
      <c r="E449" s="93" t="s">
        <v>1374</v>
      </c>
      <c r="F449" s="93" t="s">
        <v>429</v>
      </c>
      <c r="G449" s="93">
        <v>0.0</v>
      </c>
      <c r="H449" s="74">
        <v>28000.0</v>
      </c>
      <c r="I449" s="96">
        <v>22000.0</v>
      </c>
      <c r="J449" s="93" t="s">
        <v>7</v>
      </c>
      <c r="K449" s="93">
        <v>0.0</v>
      </c>
      <c r="L449" s="74">
        <v>0.0</v>
      </c>
      <c r="M449" s="93" t="s">
        <v>431</v>
      </c>
      <c r="N449" s="65">
        <f>sumif(PURCHASE!I:I,C449,PURCHASE!J:J)</f>
        <v>0</v>
      </c>
      <c r="O449" s="65">
        <f>sumif('SELLING CASH'!E:E,C449,'SELLING CASH'!F:F)</f>
        <v>1</v>
      </c>
      <c r="P449" s="65">
        <f>sumif('SELLING CREDIT'!F:F,C449,'SELLING CREDIT'!G:G)</f>
        <v>0</v>
      </c>
      <c r="Q449" s="65">
        <f t="shared" si="1"/>
        <v>-1</v>
      </c>
      <c r="V449" s="8"/>
      <c r="X449" s="9"/>
      <c r="Y449" s="9"/>
      <c r="Z449" s="9"/>
      <c r="AF449" s="9"/>
      <c r="AG449" s="9"/>
      <c r="AH449" s="9"/>
    </row>
    <row r="450" ht="22.5" customHeight="1">
      <c r="A450" s="49"/>
      <c r="C450" s="93" t="str">
        <f t="shared" si="17"/>
        <v>DUNLOP 185/65 14 EC300 ENASAVE</v>
      </c>
      <c r="D450" s="93" t="s">
        <v>1915</v>
      </c>
      <c r="E450" s="93" t="s">
        <v>2256</v>
      </c>
      <c r="F450" s="93" t="s">
        <v>1445</v>
      </c>
      <c r="G450" s="93">
        <v>0.0</v>
      </c>
      <c r="H450" s="74">
        <v>620000.0</v>
      </c>
      <c r="I450" s="96">
        <v>530000.0</v>
      </c>
      <c r="J450" s="93" t="s">
        <v>87</v>
      </c>
      <c r="K450" s="93">
        <v>1.0</v>
      </c>
      <c r="L450" s="74">
        <v>0.0</v>
      </c>
      <c r="M450" s="93" t="s">
        <v>61</v>
      </c>
      <c r="N450" s="65">
        <f>sumif(PURCHASE!I:I,C450,PURCHASE!J:J)</f>
        <v>2</v>
      </c>
      <c r="O450" s="65">
        <f>sumif('SELLING CASH'!E:E,C450,'SELLING CASH'!F:F)</f>
        <v>1</v>
      </c>
      <c r="P450" s="65">
        <f>sumif('SELLING CREDIT'!F:F,C450,'SELLING CREDIT'!G:G)</f>
        <v>0</v>
      </c>
      <c r="Q450" s="65">
        <f t="shared" si="1"/>
        <v>1</v>
      </c>
      <c r="V450" s="8"/>
      <c r="X450" s="9"/>
      <c r="Y450" s="9"/>
      <c r="Z450" s="9"/>
      <c r="AF450" s="9"/>
      <c r="AG450" s="9"/>
      <c r="AH450" s="9"/>
    </row>
    <row r="451" ht="22.5" customHeight="1">
      <c r="A451" s="49"/>
      <c r="C451" s="93" t="str">
        <f t="shared" si="17"/>
        <v>HanKOOK 165/80 13 k435</v>
      </c>
      <c r="D451" s="93" t="s">
        <v>103</v>
      </c>
      <c r="E451" s="93" t="s">
        <v>2258</v>
      </c>
      <c r="F451" s="93" t="s">
        <v>2259</v>
      </c>
      <c r="G451" s="93">
        <v>0.0</v>
      </c>
      <c r="H451" s="140">
        <v>540000.0</v>
      </c>
      <c r="I451" s="193">
        <v>439000.0</v>
      </c>
      <c r="J451" s="93" t="s">
        <v>7</v>
      </c>
      <c r="K451" s="93">
        <v>1.0</v>
      </c>
      <c r="L451" s="74">
        <v>0.0</v>
      </c>
      <c r="M451" s="93" t="s">
        <v>61</v>
      </c>
      <c r="N451" s="65">
        <f>sumif(PURCHASE!I:I,C451,PURCHASE!J:J)</f>
        <v>14</v>
      </c>
      <c r="O451" s="65">
        <f>sumif('SELLING CASH'!E:E,C451,'SELLING CASH'!F:F)</f>
        <v>12</v>
      </c>
      <c r="P451" s="65">
        <f>sumif('SELLING CREDIT'!F:F,C451,'SELLING CREDIT'!G:G)</f>
        <v>0</v>
      </c>
      <c r="Q451" s="65">
        <f t="shared" si="1"/>
        <v>2</v>
      </c>
      <c r="V451" s="8"/>
      <c r="X451" s="9"/>
      <c r="Y451" s="9"/>
      <c r="Z451" s="9"/>
      <c r="AF451" s="9"/>
      <c r="AG451" s="9"/>
      <c r="AH451" s="9"/>
    </row>
    <row r="452" ht="22.5" customHeight="1">
      <c r="A452" s="49"/>
      <c r="C452" s="93" t="str">
        <f t="shared" si="17"/>
        <v>DUNLOP 205/70 15 Blue Response</v>
      </c>
      <c r="D452" s="93" t="s">
        <v>1203</v>
      </c>
      <c r="E452" s="93" t="s">
        <v>2260</v>
      </c>
      <c r="F452" s="93" t="s">
        <v>1445</v>
      </c>
      <c r="G452" s="93">
        <v>0.0</v>
      </c>
      <c r="H452" s="74">
        <v>900000.0</v>
      </c>
      <c r="I452" s="96">
        <v>795000.0</v>
      </c>
      <c r="J452" s="93" t="s">
        <v>87</v>
      </c>
      <c r="K452" s="93">
        <v>1.0</v>
      </c>
      <c r="L452" s="74">
        <v>0.0</v>
      </c>
      <c r="M452" s="93" t="s">
        <v>61</v>
      </c>
      <c r="N452" s="65">
        <f>sumif(PURCHASE!I:I,C452,PURCHASE!J:J)</f>
        <v>4</v>
      </c>
      <c r="O452" s="65">
        <f>sumif('SELLING CASH'!E:E,C452,'SELLING CASH'!F:F)</f>
        <v>3</v>
      </c>
      <c r="P452" s="65">
        <f>sumif('SELLING CREDIT'!F:F,C452,'SELLING CREDIT'!G:G)</f>
        <v>0</v>
      </c>
      <c r="Q452" s="65">
        <f t="shared" si="1"/>
        <v>1</v>
      </c>
      <c r="V452" s="8"/>
      <c r="X452" s="9"/>
      <c r="Y452" s="9"/>
      <c r="Z452" s="9"/>
      <c r="AF452" s="9"/>
      <c r="AG452" s="9"/>
      <c r="AH452" s="9"/>
    </row>
    <row r="453" ht="22.5" customHeight="1">
      <c r="A453" s="49"/>
      <c r="C453" s="93" t="str">
        <f t="shared" si="17"/>
        <v>ICOSON Filter Oli Avanza</v>
      </c>
      <c r="D453" s="69" t="s">
        <v>2263</v>
      </c>
      <c r="E453" s="69" t="s">
        <v>2264</v>
      </c>
      <c r="F453" s="69" t="s">
        <v>2265</v>
      </c>
      <c r="G453" s="69">
        <v>0.0</v>
      </c>
      <c r="H453" s="193">
        <v>25000.0</v>
      </c>
      <c r="I453" s="193">
        <v>18900.0</v>
      </c>
      <c r="J453" s="69" t="s">
        <v>2266</v>
      </c>
      <c r="K453" s="69">
        <v>0.0</v>
      </c>
      <c r="L453" s="69">
        <v>0.0</v>
      </c>
      <c r="M453" s="93" t="s">
        <v>431</v>
      </c>
      <c r="N453" s="65">
        <f>sumif(PURCHASE!I:I,C453,PURCHASE!J:J)</f>
        <v>10</v>
      </c>
      <c r="O453" s="65">
        <f>sumif('SELLING CASH'!E:E,C453,'SELLING CASH'!F:F)</f>
        <v>5</v>
      </c>
      <c r="P453" s="65">
        <f>sumif('SELLING CREDIT'!F:F,C453,'SELLING CREDIT'!G:G)</f>
        <v>0</v>
      </c>
      <c r="Q453" s="65">
        <f t="shared" si="1"/>
        <v>5</v>
      </c>
      <c r="V453" s="8"/>
      <c r="X453" s="9"/>
      <c r="Y453" s="9"/>
      <c r="Z453" s="9"/>
      <c r="AF453" s="9"/>
      <c r="AG453" s="9"/>
      <c r="AH453" s="9"/>
    </row>
    <row r="454" ht="22.5" customHeight="1">
      <c r="A454" s="49"/>
      <c r="C454" s="93" t="str">
        <f t="shared" si="17"/>
        <v>ICOSON Filter Oli APV/FUTURA</v>
      </c>
      <c r="D454" s="69" t="s">
        <v>2263</v>
      </c>
      <c r="E454" s="69" t="s">
        <v>2268</v>
      </c>
      <c r="F454" s="69" t="s">
        <v>2265</v>
      </c>
      <c r="G454" s="93">
        <v>0.0</v>
      </c>
      <c r="H454" s="193">
        <v>25000.0</v>
      </c>
      <c r="I454" s="193">
        <v>18900.0</v>
      </c>
      <c r="J454" s="69" t="s">
        <v>2266</v>
      </c>
      <c r="K454" s="69">
        <v>0.0</v>
      </c>
      <c r="L454" s="69">
        <v>0.0</v>
      </c>
      <c r="M454" s="93" t="s">
        <v>431</v>
      </c>
      <c r="N454" s="65">
        <f>sumif(PURCHASE!I:I,C454,PURCHASE!J:J)</f>
        <v>10</v>
      </c>
      <c r="O454" s="65">
        <f>sumif('SELLING CASH'!E:E,C454,'SELLING CASH'!F:F)</f>
        <v>3</v>
      </c>
      <c r="P454" s="65">
        <f>sumif('SELLING CREDIT'!F:F,C454,'SELLING CREDIT'!G:G)</f>
        <v>0</v>
      </c>
      <c r="Q454" s="65">
        <f t="shared" si="1"/>
        <v>7</v>
      </c>
      <c r="V454" s="8"/>
      <c r="X454" s="9"/>
      <c r="Y454" s="9"/>
      <c r="Z454" s="9"/>
      <c r="AF454" s="9"/>
      <c r="AG454" s="9"/>
      <c r="AH454" s="9"/>
    </row>
    <row r="455" ht="22.5" customHeight="1">
      <c r="A455" s="49"/>
      <c r="C455" s="93" t="str">
        <f t="shared" si="17"/>
        <v>ICOSON Filter Oli PAJERO</v>
      </c>
      <c r="D455" s="69" t="s">
        <v>2263</v>
      </c>
      <c r="E455" s="69" t="s">
        <v>2270</v>
      </c>
      <c r="F455" s="69" t="s">
        <v>2265</v>
      </c>
      <c r="G455" s="93">
        <v>0.0</v>
      </c>
      <c r="H455" s="193">
        <v>70000.0</v>
      </c>
      <c r="I455" s="193">
        <v>56025.0</v>
      </c>
      <c r="J455" s="69" t="s">
        <v>2266</v>
      </c>
      <c r="K455" s="69">
        <v>0.0</v>
      </c>
      <c r="L455" s="69">
        <v>0.0</v>
      </c>
      <c r="M455" s="93" t="s">
        <v>431</v>
      </c>
      <c r="N455" s="65">
        <f>sumif(PURCHASE!I:I,C455,PURCHASE!J:J)</f>
        <v>5</v>
      </c>
      <c r="O455" s="65">
        <f>sumif('SELLING CASH'!E:E,C455,'SELLING CASH'!F:F)</f>
        <v>0</v>
      </c>
      <c r="P455" s="65">
        <f>sumif('SELLING CREDIT'!F:F,C455,'SELLING CREDIT'!G:G)</f>
        <v>0</v>
      </c>
      <c r="Q455" s="65">
        <f t="shared" si="1"/>
        <v>5</v>
      </c>
      <c r="V455" s="8"/>
      <c r="X455" s="9"/>
      <c r="Y455" s="9"/>
      <c r="Z455" s="9"/>
      <c r="AF455" s="9"/>
      <c r="AG455" s="9"/>
      <c r="AH455" s="9"/>
    </row>
    <row r="456" ht="22.5" customHeight="1">
      <c r="A456" s="49"/>
      <c r="C456" s="93" t="str">
        <f t="shared" si="17"/>
        <v>ICOSON Filter Oli INOVA/HILUX</v>
      </c>
      <c r="D456" s="69" t="s">
        <v>2263</v>
      </c>
      <c r="E456" s="69" t="s">
        <v>2273</v>
      </c>
      <c r="F456" s="69" t="s">
        <v>2265</v>
      </c>
      <c r="G456" s="93">
        <v>0.0</v>
      </c>
      <c r="H456" s="193">
        <v>35000.0</v>
      </c>
      <c r="I456" s="193">
        <v>25575.0</v>
      </c>
      <c r="J456" s="69" t="s">
        <v>2266</v>
      </c>
      <c r="K456" s="69">
        <v>0.0</v>
      </c>
      <c r="L456" s="69">
        <v>0.0</v>
      </c>
      <c r="M456" s="93" t="s">
        <v>431</v>
      </c>
      <c r="N456" s="65">
        <f>sumif(PURCHASE!I:I,C456,PURCHASE!J:J)</f>
        <v>5</v>
      </c>
      <c r="O456" s="65">
        <f>sumif('SELLING CASH'!E:E,C456,'SELLING CASH'!F:F)</f>
        <v>0</v>
      </c>
      <c r="P456" s="65">
        <f>sumif('SELLING CREDIT'!F:F,C456,'SELLING CREDIT'!G:G)</f>
        <v>0</v>
      </c>
      <c r="Q456" s="65">
        <f t="shared" si="1"/>
        <v>5</v>
      </c>
      <c r="V456" s="8"/>
      <c r="X456" s="9"/>
      <c r="Y456" s="9"/>
      <c r="Z456" s="9"/>
      <c r="AF456" s="9"/>
      <c r="AG456" s="9"/>
      <c r="AH456" s="9"/>
    </row>
    <row r="457" ht="22.5" customHeight="1">
      <c r="A457" s="49"/>
      <c r="C457" s="93" t="str">
        <f t="shared" si="17"/>
        <v>ICOSON Filter Oli INOVA DIESEL</v>
      </c>
      <c r="D457" s="69" t="s">
        <v>2263</v>
      </c>
      <c r="E457" s="69" t="s">
        <v>2274</v>
      </c>
      <c r="F457" s="69" t="s">
        <v>2265</v>
      </c>
      <c r="G457" s="69">
        <v>0.0</v>
      </c>
      <c r="H457" s="193">
        <v>30000.0</v>
      </c>
      <c r="I457" s="193">
        <v>22500.0</v>
      </c>
      <c r="J457" s="69" t="s">
        <v>2266</v>
      </c>
      <c r="K457" s="69">
        <v>0.0</v>
      </c>
      <c r="L457" s="69">
        <v>0.0</v>
      </c>
      <c r="M457" s="93" t="s">
        <v>431</v>
      </c>
      <c r="N457" s="65">
        <f>sumif(PURCHASE!I:I,C457,PURCHASE!J:J)</f>
        <v>5</v>
      </c>
      <c r="O457" s="65">
        <f>sumif('SELLING CASH'!E:E,C457,'SELLING CASH'!F:F)</f>
        <v>0</v>
      </c>
      <c r="P457" s="65">
        <f>sumif('SELLING CREDIT'!F:F,C457,'SELLING CREDIT'!G:G)</f>
        <v>0</v>
      </c>
      <c r="Q457" s="65">
        <f t="shared" si="1"/>
        <v>5</v>
      </c>
      <c r="V457" s="8"/>
      <c r="X457" s="9"/>
      <c r="Y457" s="9"/>
      <c r="Z457" s="9"/>
      <c r="AF457" s="9"/>
      <c r="AG457" s="9"/>
      <c r="AH457" s="9"/>
    </row>
    <row r="458" ht="22.5" customHeight="1">
      <c r="A458" s="49"/>
      <c r="C458" s="93" t="str">
        <f t="shared" si="17"/>
        <v>JF  KARET SUPPORT</v>
      </c>
      <c r="E458" s="69" t="s">
        <v>2277</v>
      </c>
      <c r="F458" s="69" t="s">
        <v>2278</v>
      </c>
      <c r="G458" s="69">
        <v>0.0</v>
      </c>
      <c r="H458" s="193">
        <v>50000.0</v>
      </c>
      <c r="I458" s="193">
        <v>27375.0</v>
      </c>
      <c r="J458" s="69" t="s">
        <v>2266</v>
      </c>
      <c r="K458" s="69">
        <v>0.0</v>
      </c>
      <c r="L458" s="69">
        <v>0.0</v>
      </c>
      <c r="M458" s="93" t="s">
        <v>431</v>
      </c>
      <c r="N458" s="65">
        <f>sumif(PURCHASE!I:I,C458,PURCHASE!J:J)</f>
        <v>20</v>
      </c>
      <c r="O458" s="65">
        <f>sumif('SELLING CASH'!E:E,C458,'SELLING CASH'!F:F)</f>
        <v>16</v>
      </c>
      <c r="P458" s="65">
        <f>sumif('SELLING CREDIT'!F:F,C458,'SELLING CREDIT'!G:G)</f>
        <v>0</v>
      </c>
      <c r="Q458" s="65">
        <f t="shared" si="1"/>
        <v>4</v>
      </c>
      <c r="V458" s="8"/>
      <c r="X458" s="9"/>
      <c r="Y458" s="9"/>
      <c r="Z458" s="9"/>
      <c r="AF458" s="9"/>
      <c r="AG458" s="9"/>
      <c r="AH458" s="9"/>
    </row>
    <row r="459" ht="22.5" customHeight="1">
      <c r="A459" s="49"/>
      <c r="C459" s="93" t="str">
        <f t="shared" si="17"/>
        <v>Honda Filter Oli HRV</v>
      </c>
      <c r="D459" s="69" t="s">
        <v>2263</v>
      </c>
      <c r="E459" s="69" t="s">
        <v>2280</v>
      </c>
      <c r="F459" s="69" t="s">
        <v>2281</v>
      </c>
      <c r="G459" s="69">
        <v>0.0</v>
      </c>
      <c r="H459" s="69">
        <v>35000.0</v>
      </c>
      <c r="I459" s="193">
        <v>25500.0</v>
      </c>
      <c r="J459" s="69" t="s">
        <v>2266</v>
      </c>
      <c r="K459" s="69">
        <v>0.0</v>
      </c>
      <c r="L459" s="140">
        <v>0.0</v>
      </c>
      <c r="M459" s="93" t="s">
        <v>431</v>
      </c>
      <c r="N459" s="65">
        <f>sumif(PURCHASE!I:I,C459,PURCHASE!J:J)</f>
        <v>10</v>
      </c>
      <c r="O459" s="65">
        <f>sumif('SELLING CASH'!E:E,C459,'SELLING CASH'!F:F)</f>
        <v>0</v>
      </c>
      <c r="P459" s="65">
        <f>sumif('SELLING CREDIT'!F:F,C459,'SELLING CREDIT'!G:G)</f>
        <v>0</v>
      </c>
      <c r="Q459" s="65">
        <f t="shared" si="1"/>
        <v>10</v>
      </c>
      <c r="V459" s="8"/>
      <c r="X459" s="9"/>
      <c r="Y459" s="9"/>
      <c r="Z459" s="9"/>
      <c r="AF459" s="9"/>
      <c r="AG459" s="9"/>
      <c r="AH459" s="9"/>
    </row>
    <row r="460" ht="22.5" customHeight="1">
      <c r="A460" s="49"/>
      <c r="C460" s="93" t="str">
        <f t="shared" si="17"/>
        <v>Sakura Filter Oli SS</v>
      </c>
      <c r="D460" s="69" t="s">
        <v>2263</v>
      </c>
      <c r="E460" s="69" t="s">
        <v>2218</v>
      </c>
      <c r="F460" s="69" t="s">
        <v>1662</v>
      </c>
      <c r="G460" s="69">
        <v>0.0</v>
      </c>
      <c r="H460" s="69">
        <v>35000.0</v>
      </c>
      <c r="I460" s="193">
        <v>26500.0</v>
      </c>
      <c r="J460" s="69" t="s">
        <v>2266</v>
      </c>
      <c r="K460" s="69">
        <v>0.0</v>
      </c>
      <c r="L460" s="140">
        <v>0.0</v>
      </c>
      <c r="M460" s="93" t="s">
        <v>431</v>
      </c>
      <c r="N460" s="65">
        <f>sumif(PURCHASE!I:I,C460,PURCHASE!J:J)</f>
        <v>10</v>
      </c>
      <c r="O460" s="65">
        <f>sumif('SELLING CASH'!E:E,C460,'SELLING CASH'!F:F)</f>
        <v>0</v>
      </c>
      <c r="P460" s="65">
        <f>sumif('SELLING CREDIT'!F:F,C460,'SELLING CREDIT'!G:G)</f>
        <v>0</v>
      </c>
      <c r="Q460" s="65">
        <f t="shared" si="1"/>
        <v>10</v>
      </c>
      <c r="V460" s="8"/>
      <c r="X460" s="9"/>
      <c r="Y460" s="9"/>
      <c r="Z460" s="9"/>
      <c r="AF460" s="9"/>
      <c r="AG460" s="9"/>
      <c r="AH460" s="9"/>
    </row>
    <row r="461" ht="22.5" customHeight="1">
      <c r="A461" s="49"/>
      <c r="C461" s="93" t="str">
        <f t="shared" si="17"/>
        <v>Aspira  Filter Oli Colt diesel</v>
      </c>
      <c r="D461" s="93"/>
      <c r="E461" s="69" t="s">
        <v>2283</v>
      </c>
      <c r="F461" s="93" t="s">
        <v>429</v>
      </c>
      <c r="G461" s="93">
        <v>0.0</v>
      </c>
      <c r="H461" s="140">
        <v>100000.0</v>
      </c>
      <c r="I461" s="193">
        <v>85000.0</v>
      </c>
      <c r="J461" s="93" t="s">
        <v>7</v>
      </c>
      <c r="K461" s="93">
        <v>0.0</v>
      </c>
      <c r="L461" s="74">
        <v>0.0</v>
      </c>
      <c r="M461" s="93" t="s">
        <v>431</v>
      </c>
      <c r="N461" s="65">
        <f>sumif(PURCHASE!I:I,C461,PURCHASE!J:J)</f>
        <v>0</v>
      </c>
      <c r="O461" s="65">
        <f>sumif('SELLING CASH'!E:E,C461,'SELLING CASH'!F:F)</f>
        <v>1</v>
      </c>
      <c r="P461" s="65">
        <f>sumif('SELLING CREDIT'!F:F,C461,'SELLING CREDIT'!G:G)</f>
        <v>0</v>
      </c>
      <c r="Q461" s="65">
        <f t="shared" si="1"/>
        <v>-1</v>
      </c>
      <c r="V461" s="8"/>
      <c r="X461" s="9"/>
      <c r="Y461" s="9"/>
      <c r="Z461" s="9"/>
      <c r="AF461" s="9"/>
      <c r="AG461" s="9"/>
      <c r="AH461" s="9"/>
    </row>
    <row r="462" ht="22.5" customHeight="1">
      <c r="A462" s="49"/>
      <c r="C462" s="93" t="str">
        <f t="shared" si="17"/>
        <v>Suzuki  Lonceng</v>
      </c>
      <c r="E462" s="69" t="s">
        <v>2284</v>
      </c>
      <c r="F462" s="69" t="s">
        <v>2285</v>
      </c>
      <c r="G462" s="69">
        <v>0.0</v>
      </c>
      <c r="H462" s="69">
        <v>35000.0</v>
      </c>
      <c r="I462" s="193">
        <v>22500.0</v>
      </c>
      <c r="J462" s="69" t="s">
        <v>2266</v>
      </c>
      <c r="K462" s="69">
        <v>0.0</v>
      </c>
      <c r="L462" s="140">
        <v>0.0</v>
      </c>
      <c r="M462" s="93" t="s">
        <v>431</v>
      </c>
      <c r="N462" s="65">
        <f>sumif(PURCHASE!I:I,C462,PURCHASE!J:J)</f>
        <v>10</v>
      </c>
      <c r="O462" s="65">
        <f>sumif('SELLING CASH'!E:E,C462,'SELLING CASH'!F:F)</f>
        <v>1</v>
      </c>
      <c r="P462" s="65">
        <f>sumif('SELLING CREDIT'!F:F,C462,'SELLING CREDIT'!G:G)</f>
        <v>0</v>
      </c>
      <c r="Q462" s="65">
        <f t="shared" si="1"/>
        <v>9</v>
      </c>
      <c r="V462" s="8"/>
      <c r="X462" s="9"/>
      <c r="Y462" s="9"/>
      <c r="Z462" s="9"/>
      <c r="AF462" s="9"/>
      <c r="AG462" s="9"/>
      <c r="AH462" s="9"/>
    </row>
    <row r="463" ht="22.5" customHeight="1">
      <c r="A463" s="49"/>
      <c r="C463" s="93" t="str">
        <f t="shared" si="17"/>
        <v>Pertamina 3,5 Liter FASTRON ECO 5W-30</v>
      </c>
      <c r="D463" s="69" t="s">
        <v>2286</v>
      </c>
      <c r="E463" s="69" t="s">
        <v>2287</v>
      </c>
      <c r="F463" s="69" t="s">
        <v>2144</v>
      </c>
      <c r="G463" s="69">
        <v>0.0</v>
      </c>
      <c r="H463" s="69">
        <v>280000.0</v>
      </c>
      <c r="I463" s="193">
        <v>227335.0</v>
      </c>
      <c r="J463" s="69" t="s">
        <v>2266</v>
      </c>
      <c r="K463" s="69">
        <v>0.0</v>
      </c>
      <c r="L463" s="140">
        <v>0.0</v>
      </c>
      <c r="M463" s="93" t="s">
        <v>1330</v>
      </c>
      <c r="N463" s="65">
        <f>sumif(PURCHASE!I:I,C463,PURCHASE!J:J)</f>
        <v>0</v>
      </c>
      <c r="O463" s="65">
        <f>sumif('SELLING CASH'!E:E,C463,'SELLING CASH'!F:F)</f>
        <v>0</v>
      </c>
      <c r="P463" s="65">
        <f>sumif('SELLING CREDIT'!F:F,C463,'SELLING CREDIT'!G:G)</f>
        <v>0</v>
      </c>
      <c r="Q463" s="65">
        <f t="shared" si="1"/>
        <v>0</v>
      </c>
      <c r="V463" s="8"/>
      <c r="X463" s="9"/>
      <c r="Y463" s="9"/>
      <c r="Z463" s="9"/>
      <c r="AF463" s="9"/>
      <c r="AG463" s="9"/>
      <c r="AH463" s="9"/>
    </row>
    <row r="464" ht="22.5" customHeight="1">
      <c r="A464" s="49"/>
      <c r="C464" s="93" t="str">
        <f t="shared" si="17"/>
        <v>Pertamina 4 Liter FASTRON GOLD 5W-40</v>
      </c>
      <c r="D464" s="69" t="s">
        <v>1343</v>
      </c>
      <c r="E464" s="69" t="s">
        <v>2288</v>
      </c>
      <c r="F464" s="69" t="s">
        <v>2144</v>
      </c>
      <c r="G464" s="69">
        <v>0.0</v>
      </c>
      <c r="H464" s="69">
        <v>640000.0</v>
      </c>
      <c r="I464" s="193">
        <v>587850.5</v>
      </c>
      <c r="J464" s="69" t="s">
        <v>2266</v>
      </c>
      <c r="K464" s="69">
        <v>0.0</v>
      </c>
      <c r="L464" s="140">
        <v>0.0</v>
      </c>
      <c r="M464" s="93" t="s">
        <v>1330</v>
      </c>
      <c r="N464" s="65">
        <f>sumif(PURCHASE!I:I,C464,PURCHASE!J:J)</f>
        <v>0</v>
      </c>
      <c r="O464" s="65">
        <f>sumif('SELLING CASH'!E:E,C464,'SELLING CASH'!F:F)</f>
        <v>1</v>
      </c>
      <c r="P464" s="65">
        <f>sumif('SELLING CREDIT'!F:F,C464,'SELLING CREDIT'!G:G)</f>
        <v>0</v>
      </c>
      <c r="Q464" s="65">
        <f t="shared" si="1"/>
        <v>-1</v>
      </c>
      <c r="V464" s="8"/>
      <c r="X464" s="9"/>
      <c r="Y464" s="9"/>
      <c r="Z464" s="9"/>
      <c r="AF464" s="9"/>
      <c r="AG464" s="9"/>
      <c r="AH464" s="9"/>
    </row>
    <row r="465" ht="22.5" customHeight="1">
      <c r="A465" s="49"/>
      <c r="C465" s="93" t="str">
        <f t="shared" si="17"/>
        <v>ADM PART Filter Oli Agya Avanza baru</v>
      </c>
      <c r="D465" s="69" t="s">
        <v>2263</v>
      </c>
      <c r="E465" s="69" t="s">
        <v>2290</v>
      </c>
      <c r="F465" s="69" t="s">
        <v>2291</v>
      </c>
      <c r="G465" s="69">
        <v>0.0</v>
      </c>
      <c r="H465" s="69">
        <v>30000.0</v>
      </c>
      <c r="I465" s="193">
        <v>23500.0</v>
      </c>
      <c r="J465" s="69" t="s">
        <v>2266</v>
      </c>
      <c r="K465" s="69">
        <v>0.0</v>
      </c>
      <c r="L465" s="140">
        <v>0.0</v>
      </c>
      <c r="M465" s="93" t="s">
        <v>431</v>
      </c>
      <c r="N465" s="65">
        <f>sumif(PURCHASE!I:I,C465,PURCHASE!J:J)</f>
        <v>15</v>
      </c>
      <c r="O465" s="65">
        <f>sumif('SELLING CASH'!E:E,C465,'SELLING CASH'!F:F)</f>
        <v>0</v>
      </c>
      <c r="P465" s="65">
        <f>sumif('SELLING CREDIT'!F:F,C465,'SELLING CREDIT'!G:G)</f>
        <v>0</v>
      </c>
      <c r="Q465" s="65">
        <f t="shared" si="1"/>
        <v>15</v>
      </c>
      <c r="V465" s="8"/>
      <c r="X465" s="9"/>
      <c r="Y465" s="9"/>
      <c r="Z465" s="9"/>
      <c r="AF465" s="9"/>
      <c r="AG465" s="9"/>
      <c r="AH465" s="9"/>
    </row>
    <row r="466" ht="22.5" customHeight="1">
      <c r="A466" s="49"/>
      <c r="C466" s="93" t="str">
        <f t="shared" si="17"/>
        <v>Velg 16 CEMAX 750-20 14</v>
      </c>
      <c r="D466" s="93">
        <v>16.0</v>
      </c>
      <c r="E466" s="69" t="s">
        <v>2294</v>
      </c>
      <c r="F466" s="93" t="s">
        <v>2224</v>
      </c>
      <c r="G466" s="93">
        <v>0.0</v>
      </c>
      <c r="H466" s="140">
        <v>1270000.0</v>
      </c>
      <c r="I466" s="193">
        <v>1170000.0</v>
      </c>
      <c r="J466" s="93" t="s">
        <v>7</v>
      </c>
      <c r="K466" s="93">
        <v>1.0</v>
      </c>
      <c r="L466" s="74">
        <v>0.0</v>
      </c>
      <c r="M466" s="93" t="s">
        <v>61</v>
      </c>
      <c r="N466" s="65">
        <f>sumif(PURCHASE!I:I,C466,PURCHASE!J:J)</f>
        <v>1</v>
      </c>
      <c r="O466" s="65">
        <f>sumif('SELLING CASH'!E:E,C466,'SELLING CASH'!F:F)</f>
        <v>1</v>
      </c>
      <c r="P466" s="65">
        <f>sumif('SELLING CREDIT'!F:F,C466,'SELLING CREDIT'!G:G)</f>
        <v>0</v>
      </c>
      <c r="Q466" s="65">
        <f t="shared" si="1"/>
        <v>0</v>
      </c>
      <c r="V466" s="8"/>
      <c r="X466" s="9"/>
      <c r="Y466" s="9"/>
      <c r="Z466" s="9"/>
      <c r="AF466" s="9"/>
      <c r="AG466" s="9"/>
      <c r="AH466" s="9"/>
    </row>
    <row r="467" ht="22.5" customHeight="1">
      <c r="A467" s="49"/>
      <c r="C467" s="93" t="str">
        <f t="shared" si="17"/>
        <v>TIEROD SS JF</v>
      </c>
      <c r="D467" s="69" t="s">
        <v>2218</v>
      </c>
      <c r="E467" s="69" t="s">
        <v>2278</v>
      </c>
      <c r="F467" s="93" t="s">
        <v>2208</v>
      </c>
      <c r="G467" s="69">
        <v>0.0</v>
      </c>
      <c r="H467" s="140">
        <v>230000.0</v>
      </c>
      <c r="I467" s="193">
        <v>133650.0</v>
      </c>
      <c r="J467" s="69" t="s">
        <v>7</v>
      </c>
      <c r="K467" s="65">
        <v>0.0</v>
      </c>
      <c r="L467" s="74">
        <v>40000.0</v>
      </c>
      <c r="M467" s="93" t="s">
        <v>431</v>
      </c>
      <c r="N467" s="65">
        <f>sumif(PURCHASE!I:I,C467,PURCHASE!J:J)</f>
        <v>10</v>
      </c>
      <c r="O467" s="65">
        <f>sumif('SELLING CASH'!E:E,C467,'SELLING CASH'!F:F)</f>
        <v>0</v>
      </c>
      <c r="P467" s="65">
        <f>sumif('SELLING CREDIT'!F:F,C467,'SELLING CREDIT'!G:G)</f>
        <v>0</v>
      </c>
      <c r="Q467" s="65">
        <f t="shared" si="1"/>
        <v>10</v>
      </c>
      <c r="V467" s="8"/>
      <c r="X467" s="9"/>
      <c r="Y467" s="9"/>
      <c r="Z467" s="9"/>
      <c r="AF467" s="9"/>
      <c r="AG467" s="9"/>
      <c r="AH467" s="9"/>
    </row>
    <row r="468" ht="22.5" customHeight="1">
      <c r="A468" s="49"/>
      <c r="C468" s="93" t="str">
        <f t="shared" si="17"/>
        <v>RACK END Avanza JF</v>
      </c>
      <c r="D468" s="69" t="s">
        <v>2264</v>
      </c>
      <c r="E468" s="69" t="s">
        <v>2278</v>
      </c>
      <c r="F468" s="69" t="s">
        <v>2298</v>
      </c>
      <c r="G468" s="69">
        <v>0.0</v>
      </c>
      <c r="H468" s="140">
        <v>380000.0</v>
      </c>
      <c r="I468" s="193">
        <v>194400.0</v>
      </c>
      <c r="J468" s="69" t="s">
        <v>7</v>
      </c>
      <c r="K468" s="65">
        <v>0.0</v>
      </c>
      <c r="L468" s="140">
        <v>80000.0</v>
      </c>
      <c r="M468" s="93" t="s">
        <v>431</v>
      </c>
      <c r="N468" s="65">
        <f>sumif(PURCHASE!I:I,C468,PURCHASE!J:J)</f>
        <v>3</v>
      </c>
      <c r="O468" s="65">
        <f>sumif('SELLING CASH'!E:E,C468,'SELLING CASH'!F:F)</f>
        <v>1</v>
      </c>
      <c r="P468" s="65">
        <f>sumif('SELLING CREDIT'!F:F,C468,'SELLING CREDIT'!G:G)</f>
        <v>0</v>
      </c>
      <c r="Q468" s="65">
        <f t="shared" si="1"/>
        <v>2</v>
      </c>
      <c r="V468" s="8"/>
      <c r="X468" s="9"/>
      <c r="Y468" s="9"/>
      <c r="Z468" s="9"/>
      <c r="AF468" s="9"/>
      <c r="AG468" s="9"/>
      <c r="AH468" s="9"/>
    </row>
    <row r="469" ht="22.5" customHeight="1">
      <c r="A469" s="49"/>
      <c r="C469" s="93" t="str">
        <f t="shared" si="17"/>
        <v>Stabil link avanza  JF</v>
      </c>
      <c r="E469" s="69" t="s">
        <v>2278</v>
      </c>
      <c r="F469" s="69" t="s">
        <v>2300</v>
      </c>
      <c r="G469" s="69">
        <v>0.0</v>
      </c>
      <c r="H469" s="140">
        <v>300000.0</v>
      </c>
      <c r="I469" s="193">
        <v>174000.0</v>
      </c>
      <c r="J469" s="69" t="s">
        <v>7</v>
      </c>
      <c r="K469" s="65">
        <v>0.0</v>
      </c>
      <c r="L469" s="140">
        <v>60000.0</v>
      </c>
      <c r="M469" s="93" t="s">
        <v>431</v>
      </c>
      <c r="N469" s="65">
        <f>sumif(PURCHASE!I:I,C469,PURCHASE!J:J)</f>
        <v>2</v>
      </c>
      <c r="O469" s="65">
        <f>sumif('SELLING CASH'!E:E,C469,'SELLING CASH'!F:F)</f>
        <v>2</v>
      </c>
      <c r="P469" s="65">
        <f>sumif('SELLING CREDIT'!F:F,C469,'SELLING CREDIT'!G:G)</f>
        <v>0</v>
      </c>
      <c r="Q469" s="65">
        <f t="shared" si="1"/>
        <v>0</v>
      </c>
      <c r="V469" s="8"/>
      <c r="X469" s="9"/>
      <c r="Y469" s="9"/>
      <c r="Z469" s="9"/>
      <c r="AF469" s="9"/>
      <c r="AG469" s="9"/>
      <c r="AH469" s="9"/>
    </row>
    <row r="470" ht="22.5" customHeight="1">
      <c r="A470" s="49"/>
      <c r="C470" s="93" t="str">
        <f t="shared" si="17"/>
        <v>Stabil link Grandmax  JF</v>
      </c>
      <c r="E470" s="69" t="s">
        <v>2278</v>
      </c>
      <c r="F470" s="69" t="s">
        <v>2302</v>
      </c>
      <c r="G470" s="69">
        <v>0.0</v>
      </c>
      <c r="H470" s="140">
        <v>300000.0</v>
      </c>
      <c r="I470" s="193">
        <v>174000.0</v>
      </c>
      <c r="J470" s="69" t="s">
        <v>7</v>
      </c>
      <c r="K470" s="65">
        <v>0.0</v>
      </c>
      <c r="L470" s="140">
        <v>60000.0</v>
      </c>
      <c r="M470" s="93" t="s">
        <v>431</v>
      </c>
      <c r="N470" s="65">
        <f>sumif(PURCHASE!I:I,C470,PURCHASE!J:J)</f>
        <v>2</v>
      </c>
      <c r="O470" s="65">
        <f>sumif('SELLING CASH'!E:E,C470,'SELLING CASH'!F:F)</f>
        <v>0</v>
      </c>
      <c r="P470" s="65">
        <f>sumif('SELLING CREDIT'!F:F,C470,'SELLING CREDIT'!G:G)</f>
        <v>0</v>
      </c>
      <c r="Q470" s="65">
        <f t="shared" si="1"/>
        <v>2</v>
      </c>
      <c r="V470" s="8"/>
      <c r="X470" s="9"/>
      <c r="Y470" s="9"/>
      <c r="Z470" s="9"/>
      <c r="AF470" s="9"/>
      <c r="AG470" s="9"/>
      <c r="AH470" s="9"/>
    </row>
    <row r="471" ht="22.5" customHeight="1">
      <c r="A471" s="49"/>
      <c r="C471" s="93" t="str">
        <f t="shared" si="17"/>
        <v>Suzuki  KARET SUPPORT</v>
      </c>
      <c r="E471" s="69" t="s">
        <v>2277</v>
      </c>
      <c r="F471" s="69" t="s">
        <v>2285</v>
      </c>
      <c r="G471" s="69">
        <v>0.0</v>
      </c>
      <c r="H471" s="140">
        <v>100000.0</v>
      </c>
      <c r="I471" s="193">
        <v>80000.0</v>
      </c>
      <c r="J471" s="69" t="s">
        <v>7</v>
      </c>
      <c r="K471" s="69">
        <v>0.0</v>
      </c>
      <c r="L471" s="140">
        <v>0.0</v>
      </c>
      <c r="M471" s="93" t="s">
        <v>431</v>
      </c>
      <c r="N471" s="65">
        <f>sumif(PURCHASE!I:I,C471,PURCHASE!J:J)</f>
        <v>0</v>
      </c>
      <c r="O471" s="65">
        <f>sumif('SELLING CASH'!E:E,C471,'SELLING CASH'!F:F)</f>
        <v>0</v>
      </c>
      <c r="P471" s="65">
        <f>sumif('SELLING CREDIT'!F:F,C471,'SELLING CREDIT'!G:G)</f>
        <v>0</v>
      </c>
      <c r="Q471" s="65">
        <f t="shared" si="1"/>
        <v>0</v>
      </c>
      <c r="V471" s="8"/>
      <c r="X471" s="9"/>
      <c r="Y471" s="9"/>
      <c r="Z471" s="9"/>
      <c r="AF471" s="9"/>
      <c r="AG471" s="9"/>
      <c r="AH471" s="9"/>
    </row>
    <row r="472" ht="22.5" customHeight="1">
      <c r="A472" s="49"/>
      <c r="C472" s="93" t="str">
        <f t="shared" si="17"/>
        <v>Pertamina 1 liter FASTRON GOLD 5W-40</v>
      </c>
      <c r="D472" s="69" t="s">
        <v>2304</v>
      </c>
      <c r="E472" s="388" t="s">
        <v>2288</v>
      </c>
      <c r="F472" s="388" t="s">
        <v>2144</v>
      </c>
      <c r="G472" s="69">
        <v>0.0</v>
      </c>
      <c r="H472" s="140">
        <v>180000.0</v>
      </c>
      <c r="I472" s="193">
        <v>149500.0</v>
      </c>
      <c r="J472" s="69" t="s">
        <v>2305</v>
      </c>
      <c r="K472" s="69">
        <v>0.0</v>
      </c>
      <c r="L472" s="140">
        <v>0.0</v>
      </c>
      <c r="M472" s="69" t="s">
        <v>1330</v>
      </c>
      <c r="N472" s="65">
        <f>sumif(PURCHASE!I:I,C472,PURCHASE!J:J)</f>
        <v>6</v>
      </c>
      <c r="O472" s="65">
        <f>sumif('SELLING CASH'!E:E,C472,'SELLING CASH'!F:F)</f>
        <v>0</v>
      </c>
      <c r="P472" s="65">
        <f>sumif('SELLING CREDIT'!F:F,C472,'SELLING CREDIT'!G:G)</f>
        <v>0</v>
      </c>
      <c r="Q472" s="65">
        <f t="shared" si="1"/>
        <v>6</v>
      </c>
      <c r="V472" s="8"/>
      <c r="X472" s="9"/>
      <c r="Y472" s="9"/>
      <c r="Z472" s="9"/>
      <c r="AF472" s="9"/>
      <c r="AG472" s="9"/>
      <c r="AH472" s="9"/>
    </row>
    <row r="473" ht="22.5" customHeight="1">
      <c r="A473" s="49"/>
      <c r="C473" s="93" t="str">
        <f t="shared" si="17"/>
        <v>Shell 4 Liter Rimula R5</v>
      </c>
      <c r="D473" s="69" t="s">
        <v>1343</v>
      </c>
      <c r="E473" s="69" t="s">
        <v>2306</v>
      </c>
      <c r="F473" s="93" t="s">
        <v>2176</v>
      </c>
      <c r="G473" s="69">
        <v>0.0</v>
      </c>
      <c r="H473" s="140">
        <v>410000.0</v>
      </c>
      <c r="I473" s="193">
        <v>357999.0</v>
      </c>
      <c r="L473" s="74"/>
      <c r="V473" s="8"/>
      <c r="X473" s="9"/>
      <c r="Y473" s="9"/>
      <c r="Z473" s="9"/>
      <c r="AF473" s="9"/>
      <c r="AG473" s="9"/>
      <c r="AH473" s="9"/>
    </row>
    <row r="474" ht="22.5" customHeight="1">
      <c r="A474" s="49"/>
      <c r="H474" s="74"/>
      <c r="I474" s="96"/>
      <c r="L474" s="74"/>
      <c r="V474" s="8"/>
      <c r="X474" s="9"/>
      <c r="Y474" s="9"/>
      <c r="Z474" s="9"/>
      <c r="AF474" s="9"/>
      <c r="AG474" s="9"/>
      <c r="AH474" s="9"/>
    </row>
    <row r="475" ht="22.5" customHeight="1">
      <c r="A475" s="49"/>
      <c r="H475" s="74"/>
      <c r="I475" s="96"/>
      <c r="L475" s="74"/>
      <c r="V475" s="8"/>
      <c r="X475" s="9"/>
      <c r="Y475" s="9"/>
      <c r="Z475" s="9"/>
      <c r="AF475" s="9"/>
      <c r="AG475" s="9"/>
      <c r="AH475" s="9"/>
    </row>
    <row r="476" ht="22.5" customHeight="1">
      <c r="A476" s="49"/>
      <c r="H476" s="74"/>
      <c r="I476" s="96"/>
      <c r="L476" s="74"/>
      <c r="V476" s="8"/>
      <c r="X476" s="9"/>
      <c r="Y476" s="9"/>
      <c r="Z476" s="9"/>
      <c r="AF476" s="9"/>
      <c r="AG476" s="9"/>
      <c r="AH476" s="9"/>
    </row>
    <row r="477" ht="22.5" customHeight="1">
      <c r="A477" s="49"/>
      <c r="H477" s="74"/>
      <c r="I477" s="96"/>
      <c r="L477" s="74"/>
      <c r="V477" s="8"/>
      <c r="X477" s="9"/>
      <c r="Y477" s="9"/>
      <c r="Z477" s="9"/>
      <c r="AF477" s="9"/>
      <c r="AG477" s="9"/>
      <c r="AH477" s="9"/>
    </row>
    <row r="478" ht="22.5" customHeight="1">
      <c r="A478" s="49"/>
      <c r="H478" s="74"/>
      <c r="I478" s="96"/>
      <c r="L478" s="74"/>
      <c r="V478" s="8"/>
      <c r="X478" s="9"/>
      <c r="Y478" s="9"/>
      <c r="Z478" s="9"/>
      <c r="AF478" s="9"/>
      <c r="AG478" s="9"/>
      <c r="AH478" s="9"/>
    </row>
    <row r="479" ht="22.5" customHeight="1">
      <c r="A479" s="49"/>
      <c r="H479" s="74"/>
      <c r="I479" s="96"/>
      <c r="L479" s="74"/>
      <c r="V479" s="8"/>
      <c r="X479" s="9"/>
      <c r="Y479" s="9"/>
      <c r="Z479" s="9"/>
      <c r="AF479" s="9"/>
      <c r="AG479" s="9"/>
      <c r="AH479" s="9"/>
    </row>
    <row r="480" ht="22.5" customHeight="1">
      <c r="A480" s="49"/>
      <c r="H480" s="74"/>
      <c r="I480" s="96"/>
      <c r="L480" s="74"/>
      <c r="V480" s="8"/>
      <c r="X480" s="9"/>
      <c r="Y480" s="9"/>
      <c r="Z480" s="9"/>
      <c r="AF480" s="9"/>
      <c r="AG480" s="9"/>
      <c r="AH480" s="9"/>
    </row>
    <row r="481" ht="22.5" customHeight="1">
      <c r="A481" s="49"/>
      <c r="H481" s="74"/>
      <c r="I481" s="96"/>
      <c r="L481" s="74"/>
      <c r="V481" s="8"/>
      <c r="X481" s="9"/>
      <c r="Y481" s="9"/>
      <c r="Z481" s="9"/>
      <c r="AF481" s="9"/>
      <c r="AG481" s="9"/>
      <c r="AH481" s="9"/>
    </row>
    <row r="482" ht="22.5" customHeight="1">
      <c r="A482" s="49"/>
      <c r="H482" s="74"/>
      <c r="I482" s="96"/>
      <c r="L482" s="74"/>
      <c r="V482" s="8"/>
      <c r="X482" s="9"/>
      <c r="Y482" s="9"/>
      <c r="Z482" s="9"/>
      <c r="AF482" s="9"/>
      <c r="AG482" s="9"/>
      <c r="AH482" s="9"/>
    </row>
    <row r="483" ht="22.5" customHeight="1">
      <c r="A483" s="49"/>
      <c r="H483" s="74"/>
      <c r="I483" s="96"/>
      <c r="L483" s="74"/>
      <c r="V483" s="8"/>
      <c r="X483" s="9"/>
      <c r="Y483" s="9"/>
      <c r="Z483" s="9"/>
      <c r="AF483" s="9"/>
      <c r="AG483" s="9"/>
      <c r="AH483" s="9"/>
    </row>
    <row r="484" ht="22.5" customHeight="1">
      <c r="A484" s="49"/>
      <c r="H484" s="74"/>
      <c r="I484" s="96"/>
      <c r="L484" s="74"/>
      <c r="V484" s="8"/>
      <c r="X484" s="9"/>
      <c r="Y484" s="9"/>
      <c r="Z484" s="9"/>
      <c r="AF484" s="9"/>
      <c r="AG484" s="9"/>
      <c r="AH484" s="9"/>
    </row>
    <row r="485" ht="22.5" customHeight="1">
      <c r="A485" s="49"/>
      <c r="H485" s="74"/>
      <c r="I485" s="96"/>
      <c r="L485" s="74"/>
      <c r="V485" s="8"/>
      <c r="X485" s="9"/>
      <c r="Y485" s="9"/>
      <c r="Z485" s="9"/>
      <c r="AF485" s="9"/>
      <c r="AG485" s="9"/>
      <c r="AH485" s="9"/>
    </row>
    <row r="486" ht="22.5" customHeight="1">
      <c r="A486" s="49"/>
      <c r="H486" s="74"/>
      <c r="I486" s="96"/>
      <c r="L486" s="74"/>
      <c r="V486" s="8"/>
      <c r="X486" s="9"/>
      <c r="Y486" s="9"/>
      <c r="Z486" s="9"/>
      <c r="AF486" s="9"/>
      <c r="AG486" s="9"/>
      <c r="AH486" s="9"/>
    </row>
    <row r="487" ht="22.5" customHeight="1">
      <c r="A487" s="49"/>
      <c r="H487" s="74"/>
      <c r="I487" s="96"/>
      <c r="L487" s="74"/>
      <c r="V487" s="8"/>
      <c r="X487" s="9"/>
      <c r="Y487" s="9"/>
      <c r="Z487" s="9"/>
      <c r="AF487" s="9"/>
      <c r="AG487" s="9"/>
      <c r="AH487" s="9"/>
    </row>
    <row r="488" ht="22.5" customHeight="1">
      <c r="A488" s="49"/>
      <c r="H488" s="74"/>
      <c r="I488" s="96"/>
      <c r="L488" s="74"/>
      <c r="V488" s="8"/>
      <c r="X488" s="9"/>
      <c r="Y488" s="9"/>
      <c r="Z488" s="9"/>
      <c r="AF488" s="9"/>
      <c r="AG488" s="9"/>
      <c r="AH488" s="9"/>
    </row>
    <row r="489" ht="22.5" customHeight="1">
      <c r="A489" s="49"/>
      <c r="H489" s="74"/>
      <c r="I489" s="96"/>
      <c r="L489" s="74"/>
      <c r="V489" s="8"/>
      <c r="X489" s="9"/>
      <c r="Y489" s="9"/>
      <c r="Z489" s="9"/>
      <c r="AF489" s="9"/>
      <c r="AG489" s="9"/>
      <c r="AH489" s="9"/>
    </row>
    <row r="490" ht="22.5" customHeight="1">
      <c r="A490" s="49"/>
      <c r="H490" s="74"/>
      <c r="I490" s="96"/>
      <c r="L490" s="74"/>
      <c r="V490" s="8"/>
      <c r="X490" s="9"/>
      <c r="Y490" s="9"/>
      <c r="Z490" s="9"/>
      <c r="AF490" s="9"/>
      <c r="AG490" s="9"/>
      <c r="AH490" s="9"/>
    </row>
    <row r="491" ht="22.5" customHeight="1">
      <c r="A491" s="49"/>
      <c r="H491" s="74"/>
      <c r="I491" s="96"/>
      <c r="L491" s="74"/>
      <c r="V491" s="8"/>
      <c r="X491" s="9"/>
      <c r="Y491" s="9"/>
      <c r="Z491" s="9"/>
      <c r="AF491" s="9"/>
      <c r="AG491" s="9"/>
      <c r="AH491" s="9"/>
    </row>
    <row r="492" ht="22.5" customHeight="1">
      <c r="A492" s="49"/>
      <c r="H492" s="74"/>
      <c r="I492" s="96"/>
      <c r="L492" s="74"/>
      <c r="V492" s="8"/>
      <c r="X492" s="9"/>
      <c r="Y492" s="9"/>
      <c r="Z492" s="9"/>
      <c r="AF492" s="9"/>
      <c r="AG492" s="9"/>
      <c r="AH492" s="9"/>
    </row>
    <row r="493" ht="22.5" customHeight="1">
      <c r="A493" s="49"/>
      <c r="H493" s="74"/>
      <c r="I493" s="96"/>
      <c r="L493" s="74"/>
      <c r="V493" s="8"/>
      <c r="X493" s="9"/>
      <c r="Y493" s="9"/>
      <c r="Z493" s="9"/>
      <c r="AF493" s="9"/>
      <c r="AG493" s="9"/>
      <c r="AH493" s="9"/>
    </row>
    <row r="494" ht="22.5" customHeight="1">
      <c r="A494" s="49"/>
      <c r="H494" s="74"/>
      <c r="I494" s="96"/>
      <c r="L494" s="74"/>
      <c r="V494" s="8"/>
      <c r="X494" s="9"/>
      <c r="Y494" s="9"/>
      <c r="Z494" s="9"/>
      <c r="AF494" s="9"/>
      <c r="AG494" s="9"/>
      <c r="AH494" s="9"/>
    </row>
    <row r="495" ht="22.5" customHeight="1">
      <c r="A495" s="49"/>
      <c r="H495" s="74"/>
      <c r="I495" s="96"/>
      <c r="L495" s="74"/>
      <c r="V495" s="8"/>
      <c r="X495" s="9"/>
      <c r="Y495" s="9"/>
      <c r="Z495" s="9"/>
      <c r="AF495" s="9"/>
      <c r="AG495" s="9"/>
      <c r="AH495" s="9"/>
    </row>
    <row r="496" ht="22.5" customHeight="1">
      <c r="A496" s="49"/>
      <c r="H496" s="74"/>
      <c r="I496" s="96"/>
      <c r="L496" s="74"/>
      <c r="V496" s="8"/>
      <c r="X496" s="9"/>
      <c r="Y496" s="9"/>
      <c r="Z496" s="9"/>
      <c r="AF496" s="9"/>
      <c r="AG496" s="9"/>
      <c r="AH496" s="9"/>
    </row>
    <row r="497" ht="22.5" customHeight="1">
      <c r="A497" s="49"/>
      <c r="H497" s="74"/>
      <c r="I497" s="96"/>
      <c r="L497" s="74"/>
      <c r="V497" s="8"/>
      <c r="X497" s="9"/>
      <c r="Y497" s="9"/>
      <c r="Z497" s="9"/>
      <c r="AF497" s="9"/>
      <c r="AG497" s="9"/>
      <c r="AH497" s="9"/>
    </row>
    <row r="498" ht="22.5" customHeight="1">
      <c r="A498" s="49"/>
      <c r="H498" s="74"/>
      <c r="I498" s="96"/>
      <c r="L498" s="74"/>
      <c r="V498" s="8"/>
      <c r="X498" s="9"/>
      <c r="Y498" s="9"/>
      <c r="Z498" s="9"/>
      <c r="AF498" s="9"/>
      <c r="AG498" s="9"/>
      <c r="AH498" s="9"/>
    </row>
    <row r="499" ht="22.5" customHeight="1">
      <c r="A499" s="49"/>
      <c r="H499" s="74"/>
      <c r="I499" s="96"/>
      <c r="L499" s="74"/>
      <c r="V499" s="8"/>
      <c r="X499" s="9"/>
      <c r="Y499" s="9"/>
      <c r="Z499" s="9"/>
      <c r="AF499" s="9"/>
      <c r="AG499" s="9"/>
      <c r="AH499" s="9"/>
    </row>
    <row r="500" ht="22.5" customHeight="1">
      <c r="A500" s="49"/>
      <c r="H500" s="74"/>
      <c r="I500" s="96"/>
      <c r="L500" s="74"/>
      <c r="V500" s="8"/>
      <c r="X500" s="9"/>
      <c r="Y500" s="9"/>
      <c r="Z500" s="9"/>
      <c r="AF500" s="9"/>
      <c r="AG500" s="9"/>
      <c r="AH500" s="9"/>
    </row>
    <row r="501" ht="22.5" customHeight="1">
      <c r="A501" s="49"/>
      <c r="C501" s="93" t="str">
        <f>F501&amp;" "&amp;D501&amp;" "&amp;E501</f>
        <v>Laufen 195/65 15 G Fit AS</v>
      </c>
      <c r="D501" s="93" t="s">
        <v>1123</v>
      </c>
      <c r="E501" s="93" t="s">
        <v>2315</v>
      </c>
      <c r="F501" s="93" t="s">
        <v>2092</v>
      </c>
      <c r="G501" s="93"/>
      <c r="H501" s="74" t="s">
        <v>2318</v>
      </c>
      <c r="I501" s="96" t="s">
        <v>2320</v>
      </c>
      <c r="J501" s="93" t="s">
        <v>338</v>
      </c>
      <c r="K501" s="93" t="s">
        <v>343</v>
      </c>
      <c r="L501" s="93" t="s">
        <v>998</v>
      </c>
      <c r="M501" s="93" t="s">
        <v>61</v>
      </c>
      <c r="N501" s="65">
        <f>sumif(PURCHASE!I:I,C501,PURCHASE!J:J)</f>
        <v>8</v>
      </c>
      <c r="O501" s="65">
        <f>sumif('SELLING CASH'!E:E,C501,'SELLING CASH'!F:F)</f>
        <v>9</v>
      </c>
      <c r="P501" s="65">
        <f>sumif('SELLING CREDIT'!F:F,C501,'SELLING CREDIT'!G:G)</f>
        <v>0</v>
      </c>
      <c r="Q501" s="65">
        <f>(N501+G501)-(O501+P501)</f>
        <v>-1</v>
      </c>
      <c r="V501" s="8"/>
      <c r="X501" s="9"/>
      <c r="Y501" s="9"/>
      <c r="Z501" s="9"/>
      <c r="AF501" s="9"/>
      <c r="AG501" s="9"/>
      <c r="AH501" s="9"/>
    </row>
    <row r="502">
      <c r="A502" s="49"/>
      <c r="H502" s="9"/>
      <c r="I502" s="391"/>
      <c r="L502" s="9"/>
      <c r="V502" s="8"/>
      <c r="X502" s="9"/>
      <c r="Y502" s="9"/>
      <c r="Z502" s="9"/>
      <c r="AF502" s="9"/>
      <c r="AG502" s="9"/>
      <c r="AH502" s="9"/>
    </row>
    <row r="503">
      <c r="A503" s="49"/>
      <c r="H503" s="9"/>
      <c r="I503" s="391"/>
      <c r="L503" s="9"/>
      <c r="V503" s="8"/>
      <c r="X503" s="9"/>
      <c r="Y503" s="9"/>
      <c r="Z503" s="9"/>
      <c r="AF503" s="9"/>
      <c r="AG503" s="9"/>
      <c r="AH503" s="9"/>
    </row>
    <row r="504">
      <c r="A504" s="49"/>
      <c r="H504" s="9"/>
      <c r="I504" s="391"/>
      <c r="L504" s="9"/>
      <c r="V504" s="8"/>
      <c r="X504" s="9"/>
      <c r="Y504" s="9"/>
      <c r="Z504" s="9"/>
      <c r="AF504" s="9"/>
      <c r="AG504" s="9"/>
      <c r="AH504" s="9"/>
    </row>
    <row r="505">
      <c r="A505" s="49"/>
      <c r="H505" s="9"/>
      <c r="I505" s="391"/>
      <c r="L505" s="9"/>
      <c r="V505" s="8"/>
      <c r="X505" s="9"/>
      <c r="Y505" s="9"/>
      <c r="Z505" s="9"/>
      <c r="AF505" s="9"/>
      <c r="AG505" s="9"/>
      <c r="AH505" s="9"/>
    </row>
    <row r="506">
      <c r="A506" s="49"/>
      <c r="H506" s="9"/>
      <c r="I506" s="391"/>
      <c r="L506" s="9"/>
      <c r="V506" s="8"/>
      <c r="X506" s="9"/>
      <c r="Y506" s="9"/>
      <c r="Z506" s="9"/>
      <c r="AF506" s="9"/>
      <c r="AG506" s="9"/>
      <c r="AH506" s="9"/>
    </row>
    <row r="507">
      <c r="A507" s="49"/>
      <c r="H507" s="9"/>
      <c r="I507" s="391"/>
      <c r="L507" s="9"/>
      <c r="V507" s="8"/>
      <c r="X507" s="9"/>
      <c r="Y507" s="9"/>
      <c r="Z507" s="9"/>
      <c r="AF507" s="9"/>
      <c r="AG507" s="9"/>
      <c r="AH507" s="9"/>
    </row>
    <row r="508">
      <c r="A508" s="49"/>
      <c r="H508" s="9"/>
      <c r="I508" s="391"/>
      <c r="L508" s="9"/>
      <c r="V508" s="8"/>
      <c r="X508" s="9"/>
      <c r="Y508" s="9"/>
      <c r="Z508" s="9"/>
      <c r="AF508" s="9"/>
      <c r="AG508" s="9"/>
      <c r="AH508" s="9"/>
    </row>
    <row r="509">
      <c r="A509" s="49"/>
      <c r="H509" s="9"/>
      <c r="I509" s="391"/>
      <c r="L509" s="9"/>
      <c r="V509" s="8"/>
      <c r="X509" s="9"/>
      <c r="Y509" s="9"/>
      <c r="Z509" s="9"/>
      <c r="AF509" s="9"/>
      <c r="AG509" s="9"/>
      <c r="AH509" s="9"/>
    </row>
    <row r="510">
      <c r="A510" s="49"/>
      <c r="H510" s="9"/>
      <c r="I510" s="391"/>
      <c r="L510" s="9"/>
      <c r="V510" s="8"/>
      <c r="X510" s="9"/>
      <c r="Y510" s="9"/>
      <c r="Z510" s="9"/>
      <c r="AF510" s="9"/>
      <c r="AG510" s="9"/>
      <c r="AH510" s="9"/>
    </row>
    <row r="511">
      <c r="A511" s="49"/>
      <c r="H511" s="9"/>
      <c r="I511" s="391"/>
      <c r="L511" s="9"/>
      <c r="V511" s="8"/>
      <c r="X511" s="9"/>
      <c r="Y511" s="9"/>
      <c r="Z511" s="9"/>
      <c r="AF511" s="9"/>
      <c r="AG511" s="9"/>
      <c r="AH511" s="9"/>
    </row>
    <row r="512">
      <c r="A512" s="49"/>
      <c r="H512" s="9"/>
      <c r="I512" s="391"/>
      <c r="L512" s="9"/>
      <c r="V512" s="8"/>
      <c r="X512" s="9"/>
      <c r="Y512" s="9"/>
      <c r="Z512" s="9"/>
      <c r="AF512" s="9"/>
      <c r="AG512" s="9"/>
      <c r="AH512" s="9"/>
    </row>
    <row r="513">
      <c r="A513" s="49"/>
      <c r="H513" s="9"/>
      <c r="I513" s="391"/>
      <c r="L513" s="9"/>
      <c r="V513" s="8"/>
      <c r="X513" s="9"/>
      <c r="Y513" s="9"/>
      <c r="Z513" s="9"/>
      <c r="AF513" s="9"/>
      <c r="AG513" s="9"/>
      <c r="AH513" s="9"/>
    </row>
    <row r="514">
      <c r="A514" s="49"/>
      <c r="H514" s="9"/>
      <c r="I514" s="391"/>
      <c r="L514" s="9"/>
      <c r="V514" s="8"/>
      <c r="X514" s="9"/>
      <c r="Y514" s="9"/>
      <c r="Z514" s="9"/>
      <c r="AF514" s="9"/>
      <c r="AG514" s="9"/>
      <c r="AH514" s="9"/>
    </row>
    <row r="515">
      <c r="A515" s="49"/>
      <c r="H515" s="9"/>
      <c r="I515" s="391"/>
      <c r="L515" s="9"/>
      <c r="V515" s="8"/>
      <c r="X515" s="9"/>
      <c r="Y515" s="9"/>
      <c r="Z515" s="9"/>
      <c r="AF515" s="9"/>
      <c r="AG515" s="9"/>
      <c r="AH515" s="9"/>
    </row>
    <row r="516">
      <c r="A516" s="49"/>
      <c r="H516" s="9"/>
      <c r="I516" s="391"/>
      <c r="L516" s="9"/>
      <c r="V516" s="8"/>
      <c r="X516" s="9"/>
      <c r="Y516" s="9"/>
      <c r="Z516" s="9"/>
      <c r="AF516" s="9"/>
      <c r="AG516" s="9"/>
      <c r="AH516" s="9"/>
    </row>
    <row r="517">
      <c r="A517" s="49"/>
      <c r="H517" s="9"/>
      <c r="I517" s="391"/>
      <c r="L517" s="9"/>
      <c r="V517" s="8"/>
      <c r="X517" s="9"/>
      <c r="Y517" s="9"/>
      <c r="Z517" s="9"/>
      <c r="AF517" s="9"/>
      <c r="AG517" s="9"/>
      <c r="AH517" s="9"/>
    </row>
    <row r="518">
      <c r="A518" s="49"/>
      <c r="H518" s="9"/>
      <c r="I518" s="391"/>
      <c r="L518" s="9"/>
      <c r="V518" s="8"/>
      <c r="X518" s="9"/>
      <c r="Y518" s="9"/>
      <c r="Z518" s="9"/>
      <c r="AF518" s="9"/>
      <c r="AG518" s="9"/>
      <c r="AH518" s="9"/>
    </row>
    <row r="519">
      <c r="A519" s="49"/>
      <c r="H519" s="9"/>
      <c r="I519" s="391"/>
      <c r="L519" s="9"/>
      <c r="V519" s="8"/>
      <c r="X519" s="9"/>
      <c r="Y519" s="9"/>
      <c r="Z519" s="9"/>
      <c r="AF519" s="9"/>
      <c r="AG519" s="9"/>
      <c r="AH519" s="9"/>
    </row>
    <row r="520">
      <c r="A520" s="49"/>
      <c r="H520" s="9"/>
      <c r="I520" s="391"/>
      <c r="L520" s="9"/>
      <c r="V520" s="8"/>
      <c r="X520" s="9"/>
      <c r="Y520" s="9"/>
      <c r="Z520" s="9"/>
      <c r="AF520" s="9"/>
      <c r="AG520" s="9"/>
      <c r="AH520" s="9"/>
    </row>
    <row r="521">
      <c r="A521" s="49"/>
      <c r="H521" s="9"/>
      <c r="I521" s="391"/>
      <c r="L521" s="9"/>
      <c r="V521" s="8"/>
      <c r="X521" s="9"/>
      <c r="Y521" s="9"/>
      <c r="Z521" s="9"/>
      <c r="AF521" s="9"/>
      <c r="AG521" s="9"/>
      <c r="AH521" s="9"/>
    </row>
    <row r="522">
      <c r="A522" s="49"/>
      <c r="H522" s="9"/>
      <c r="I522" s="391"/>
      <c r="L522" s="9"/>
      <c r="V522" s="8"/>
      <c r="X522" s="9"/>
      <c r="Y522" s="9"/>
      <c r="Z522" s="9"/>
      <c r="AF522" s="9"/>
      <c r="AG522" s="9"/>
      <c r="AH522" s="9"/>
    </row>
    <row r="523">
      <c r="A523" s="49"/>
      <c r="H523" s="9"/>
      <c r="I523" s="391"/>
      <c r="L523" s="9"/>
      <c r="V523" s="8"/>
      <c r="X523" s="9"/>
      <c r="Y523" s="9"/>
      <c r="Z523" s="9"/>
      <c r="AF523" s="9"/>
      <c r="AG523" s="9"/>
      <c r="AH523" s="9"/>
    </row>
    <row r="524">
      <c r="A524" s="49"/>
      <c r="H524" s="9"/>
      <c r="I524" s="391"/>
      <c r="L524" s="9"/>
      <c r="V524" s="8"/>
      <c r="X524" s="9"/>
      <c r="Y524" s="9"/>
      <c r="Z524" s="9"/>
      <c r="AF524" s="9"/>
      <c r="AG524" s="9"/>
      <c r="AH524" s="9"/>
    </row>
    <row r="525">
      <c r="A525" s="49"/>
      <c r="H525" s="9"/>
      <c r="I525" s="391"/>
      <c r="L525" s="9"/>
      <c r="V525" s="8"/>
      <c r="X525" s="9"/>
      <c r="Y525" s="9"/>
      <c r="Z525" s="9"/>
      <c r="AF525" s="9"/>
      <c r="AG525" s="9"/>
      <c r="AH525" s="9"/>
    </row>
    <row r="526">
      <c r="A526" s="49"/>
      <c r="H526" s="9"/>
      <c r="I526" s="391"/>
      <c r="L526" s="9"/>
      <c r="V526" s="8"/>
      <c r="X526" s="9"/>
      <c r="Y526" s="9"/>
      <c r="Z526" s="9"/>
      <c r="AF526" s="9"/>
      <c r="AG526" s="9"/>
      <c r="AH526" s="9"/>
    </row>
    <row r="527">
      <c r="A527" s="49"/>
      <c r="H527" s="9"/>
      <c r="I527" s="391"/>
      <c r="L527" s="9"/>
      <c r="V527" s="8"/>
      <c r="X527" s="9"/>
      <c r="Y527" s="9"/>
      <c r="Z527" s="9"/>
      <c r="AF527" s="9"/>
      <c r="AG527" s="9"/>
      <c r="AH527" s="9"/>
    </row>
    <row r="528">
      <c r="A528" s="49"/>
      <c r="H528" s="9"/>
      <c r="I528" s="391"/>
      <c r="L528" s="9"/>
      <c r="V528" s="8"/>
      <c r="X528" s="9"/>
      <c r="Y528" s="9"/>
      <c r="Z528" s="9"/>
      <c r="AF528" s="9"/>
      <c r="AG528" s="9"/>
      <c r="AH528" s="9"/>
    </row>
    <row r="529">
      <c r="A529" s="49"/>
      <c r="H529" s="9"/>
      <c r="I529" s="391"/>
      <c r="L529" s="9"/>
      <c r="V529" s="8"/>
      <c r="X529" s="9"/>
      <c r="Y529" s="9"/>
      <c r="Z529" s="9"/>
      <c r="AF529" s="9"/>
      <c r="AG529" s="9"/>
      <c r="AH529" s="9"/>
    </row>
    <row r="530">
      <c r="A530" s="49"/>
      <c r="H530" s="9"/>
      <c r="I530" s="391"/>
      <c r="L530" s="9"/>
      <c r="V530" s="8"/>
      <c r="X530" s="9"/>
      <c r="Y530" s="9"/>
      <c r="Z530" s="9"/>
      <c r="AF530" s="9"/>
      <c r="AG530" s="9"/>
      <c r="AH530" s="9"/>
    </row>
    <row r="531">
      <c r="A531" s="49"/>
      <c r="H531" s="9"/>
      <c r="I531" s="391"/>
      <c r="L531" s="9"/>
      <c r="V531" s="8"/>
      <c r="X531" s="9"/>
      <c r="Y531" s="9"/>
      <c r="Z531" s="9"/>
      <c r="AF531" s="9"/>
      <c r="AG531" s="9"/>
      <c r="AH531" s="9"/>
    </row>
    <row r="532">
      <c r="A532" s="49"/>
      <c r="H532" s="9"/>
      <c r="I532" s="391"/>
      <c r="L532" s="9"/>
      <c r="V532" s="8"/>
      <c r="X532" s="9"/>
      <c r="Y532" s="9"/>
      <c r="Z532" s="9"/>
      <c r="AF532" s="9"/>
      <c r="AG532" s="9"/>
      <c r="AH532" s="9"/>
    </row>
    <row r="533">
      <c r="A533" s="49"/>
      <c r="H533" s="9"/>
      <c r="I533" s="391"/>
      <c r="L533" s="9"/>
      <c r="V533" s="8"/>
      <c r="X533" s="9"/>
      <c r="Y533" s="9"/>
      <c r="Z533" s="9"/>
      <c r="AF533" s="9"/>
      <c r="AG533" s="9"/>
      <c r="AH533" s="9"/>
    </row>
    <row r="534">
      <c r="A534" s="49"/>
      <c r="H534" s="9"/>
      <c r="I534" s="391"/>
      <c r="L534" s="9"/>
      <c r="V534" s="8"/>
      <c r="X534" s="9"/>
      <c r="Y534" s="9"/>
      <c r="Z534" s="9"/>
      <c r="AF534" s="9"/>
      <c r="AG534" s="9"/>
      <c r="AH534" s="9"/>
    </row>
    <row r="535">
      <c r="A535" s="49"/>
      <c r="H535" s="9"/>
      <c r="I535" s="391"/>
      <c r="L535" s="9"/>
      <c r="V535" s="8"/>
      <c r="X535" s="9"/>
      <c r="Y535" s="9"/>
      <c r="Z535" s="9"/>
      <c r="AF535" s="9"/>
      <c r="AG535" s="9"/>
      <c r="AH535" s="9"/>
    </row>
    <row r="536">
      <c r="A536" s="49"/>
      <c r="H536" s="9"/>
      <c r="I536" s="391"/>
      <c r="L536" s="9"/>
      <c r="V536" s="8"/>
      <c r="X536" s="9"/>
      <c r="Y536" s="9"/>
      <c r="Z536" s="9"/>
      <c r="AF536" s="9"/>
      <c r="AG536" s="9"/>
      <c r="AH536" s="9"/>
    </row>
    <row r="537">
      <c r="A537" s="49"/>
      <c r="H537" s="9"/>
      <c r="I537" s="391"/>
      <c r="L537" s="9"/>
      <c r="V537" s="8"/>
      <c r="X537" s="9"/>
      <c r="Y537" s="9"/>
      <c r="Z537" s="9"/>
      <c r="AF537" s="9"/>
      <c r="AG537" s="9"/>
      <c r="AH537" s="9"/>
    </row>
    <row r="538">
      <c r="A538" s="49"/>
      <c r="H538" s="9"/>
      <c r="I538" s="391"/>
      <c r="L538" s="9"/>
      <c r="V538" s="8"/>
      <c r="X538" s="9"/>
      <c r="Y538" s="9"/>
      <c r="Z538" s="9"/>
      <c r="AF538" s="9"/>
      <c r="AG538" s="9"/>
      <c r="AH538" s="9"/>
    </row>
    <row r="539">
      <c r="A539" s="49"/>
      <c r="H539" s="9"/>
      <c r="I539" s="391"/>
      <c r="L539" s="9"/>
      <c r="V539" s="8"/>
      <c r="X539" s="9"/>
      <c r="Y539" s="9"/>
      <c r="Z539" s="9"/>
      <c r="AF539" s="9"/>
      <c r="AG539" s="9"/>
      <c r="AH539" s="9"/>
    </row>
    <row r="540">
      <c r="A540" s="49"/>
      <c r="H540" s="9"/>
      <c r="I540" s="391"/>
      <c r="L540" s="9"/>
      <c r="V540" s="8"/>
      <c r="X540" s="9"/>
      <c r="Y540" s="9"/>
      <c r="Z540" s="9"/>
      <c r="AF540" s="9"/>
      <c r="AG540" s="9"/>
      <c r="AH540" s="9"/>
    </row>
    <row r="541">
      <c r="A541" s="49"/>
      <c r="H541" s="9"/>
      <c r="I541" s="391"/>
      <c r="L541" s="9"/>
      <c r="V541" s="8"/>
      <c r="X541" s="9"/>
      <c r="Y541" s="9"/>
      <c r="Z541" s="9"/>
      <c r="AF541" s="9"/>
      <c r="AG541" s="9"/>
      <c r="AH541" s="9"/>
    </row>
    <row r="542">
      <c r="A542" s="49"/>
      <c r="H542" s="9"/>
      <c r="I542" s="391"/>
      <c r="L542" s="9"/>
      <c r="V542" s="8"/>
      <c r="X542" s="9"/>
      <c r="Y542" s="9"/>
      <c r="Z542" s="9"/>
      <c r="AF542" s="9"/>
      <c r="AG542" s="9"/>
      <c r="AH542" s="9"/>
    </row>
    <row r="543">
      <c r="A543" s="49"/>
      <c r="H543" s="9"/>
      <c r="I543" s="391"/>
      <c r="L543" s="9"/>
      <c r="V543" s="8"/>
      <c r="X543" s="9"/>
      <c r="Y543" s="9"/>
      <c r="Z543" s="9"/>
      <c r="AF543" s="9"/>
      <c r="AG543" s="9"/>
      <c r="AH543" s="9"/>
    </row>
    <row r="544">
      <c r="A544" s="49"/>
      <c r="H544" s="9"/>
      <c r="I544" s="391"/>
      <c r="L544" s="9"/>
      <c r="V544" s="8"/>
      <c r="X544" s="9"/>
      <c r="Y544" s="9"/>
      <c r="Z544" s="9"/>
      <c r="AF544" s="9"/>
      <c r="AG544" s="9"/>
      <c r="AH544" s="9"/>
    </row>
    <row r="545">
      <c r="A545" s="49"/>
      <c r="H545" s="9"/>
      <c r="I545" s="391"/>
      <c r="L545" s="9"/>
      <c r="V545" s="8"/>
      <c r="X545" s="9"/>
      <c r="Y545" s="9"/>
      <c r="Z545" s="9"/>
      <c r="AF545" s="9"/>
      <c r="AG545" s="9"/>
      <c r="AH545" s="9"/>
    </row>
    <row r="546">
      <c r="A546" s="49"/>
      <c r="H546" s="9"/>
      <c r="I546" s="391"/>
      <c r="L546" s="9"/>
      <c r="V546" s="8"/>
      <c r="X546" s="9"/>
      <c r="Y546" s="9"/>
      <c r="Z546" s="9"/>
      <c r="AF546" s="9"/>
      <c r="AG546" s="9"/>
      <c r="AH546" s="9"/>
    </row>
    <row r="547">
      <c r="A547" s="49"/>
      <c r="H547" s="9"/>
      <c r="I547" s="391"/>
      <c r="L547" s="9"/>
      <c r="V547" s="8"/>
      <c r="X547" s="9"/>
      <c r="Y547" s="9"/>
      <c r="Z547" s="9"/>
      <c r="AF547" s="9"/>
      <c r="AG547" s="9"/>
      <c r="AH547" s="9"/>
    </row>
    <row r="548">
      <c r="A548" s="49"/>
      <c r="H548" s="9"/>
      <c r="I548" s="391"/>
      <c r="L548" s="9"/>
      <c r="V548" s="8"/>
      <c r="X548" s="9"/>
      <c r="Y548" s="9"/>
      <c r="Z548" s="9"/>
      <c r="AF548" s="9"/>
      <c r="AG548" s="9"/>
      <c r="AH548" s="9"/>
    </row>
    <row r="549">
      <c r="A549" s="49"/>
      <c r="H549" s="9"/>
      <c r="I549" s="391"/>
      <c r="L549" s="9"/>
      <c r="V549" s="8"/>
      <c r="X549" s="9"/>
      <c r="Y549" s="9"/>
      <c r="Z549" s="9"/>
      <c r="AF549" s="9"/>
      <c r="AG549" s="9"/>
      <c r="AH549" s="9"/>
    </row>
    <row r="550">
      <c r="A550" s="49"/>
      <c r="H550" s="9"/>
      <c r="I550" s="391"/>
      <c r="L550" s="9"/>
      <c r="V550" s="8"/>
      <c r="X550" s="9"/>
      <c r="Y550" s="9"/>
      <c r="Z550" s="9"/>
      <c r="AF550" s="9"/>
      <c r="AG550" s="9"/>
      <c r="AH550" s="9"/>
    </row>
    <row r="551">
      <c r="A551" s="49"/>
      <c r="H551" s="9"/>
      <c r="I551" s="391"/>
      <c r="L551" s="9"/>
      <c r="V551" s="8"/>
      <c r="X551" s="9"/>
      <c r="Y551" s="9"/>
      <c r="Z551" s="9"/>
      <c r="AF551" s="9"/>
      <c r="AG551" s="9"/>
      <c r="AH551" s="9"/>
    </row>
    <row r="552">
      <c r="A552" s="49"/>
      <c r="H552" s="9"/>
      <c r="I552" s="391"/>
      <c r="L552" s="9"/>
      <c r="V552" s="8"/>
      <c r="X552" s="9"/>
      <c r="Y552" s="9"/>
      <c r="Z552" s="9"/>
      <c r="AF552" s="9"/>
      <c r="AG552" s="9"/>
      <c r="AH552" s="9"/>
    </row>
    <row r="553">
      <c r="A553" s="49"/>
      <c r="H553" s="9"/>
      <c r="I553" s="391"/>
      <c r="L553" s="9"/>
      <c r="V553" s="8"/>
      <c r="X553" s="9"/>
      <c r="Y553" s="9"/>
      <c r="Z553" s="9"/>
      <c r="AF553" s="9"/>
      <c r="AG553" s="9"/>
      <c r="AH553" s="9"/>
    </row>
    <row r="554">
      <c r="A554" s="49"/>
      <c r="H554" s="9"/>
      <c r="I554" s="391"/>
      <c r="L554" s="9"/>
      <c r="V554" s="8"/>
      <c r="X554" s="9"/>
      <c r="Y554" s="9"/>
      <c r="Z554" s="9"/>
      <c r="AF554" s="9"/>
      <c r="AG554" s="9"/>
      <c r="AH554" s="9"/>
    </row>
    <row r="555">
      <c r="A555" s="49"/>
      <c r="H555" s="9"/>
      <c r="I555" s="391"/>
      <c r="L555" s="9"/>
      <c r="V555" s="8"/>
      <c r="X555" s="9"/>
      <c r="Y555" s="9"/>
      <c r="Z555" s="9"/>
      <c r="AF555" s="9"/>
      <c r="AG555" s="9"/>
      <c r="AH555" s="9"/>
    </row>
    <row r="556">
      <c r="A556" s="49"/>
      <c r="H556" s="9"/>
      <c r="I556" s="391"/>
      <c r="L556" s="9"/>
      <c r="V556" s="8"/>
      <c r="X556" s="9"/>
      <c r="Y556" s="9"/>
      <c r="Z556" s="9"/>
      <c r="AF556" s="9"/>
      <c r="AG556" s="9"/>
      <c r="AH556" s="9"/>
    </row>
    <row r="557">
      <c r="A557" s="49"/>
      <c r="H557" s="9"/>
      <c r="I557" s="391"/>
      <c r="L557" s="9"/>
      <c r="V557" s="8"/>
      <c r="X557" s="9"/>
      <c r="Y557" s="9"/>
      <c r="Z557" s="9"/>
      <c r="AF557" s="9"/>
      <c r="AG557" s="9"/>
      <c r="AH557" s="9"/>
    </row>
    <row r="558">
      <c r="A558" s="49"/>
      <c r="H558" s="9"/>
      <c r="I558" s="391"/>
      <c r="L558" s="9"/>
      <c r="V558" s="8"/>
      <c r="X558" s="9"/>
      <c r="Y558" s="9"/>
      <c r="Z558" s="9"/>
      <c r="AF558" s="9"/>
      <c r="AG558" s="9"/>
      <c r="AH558" s="9"/>
    </row>
    <row r="559">
      <c r="A559" s="49"/>
      <c r="H559" s="9"/>
      <c r="I559" s="391"/>
      <c r="L559" s="9"/>
      <c r="V559" s="8"/>
      <c r="X559" s="9"/>
      <c r="Y559" s="9"/>
      <c r="Z559" s="9"/>
      <c r="AF559" s="9"/>
      <c r="AG559" s="9"/>
      <c r="AH559" s="9"/>
    </row>
    <row r="560">
      <c r="A560" s="49"/>
      <c r="H560" s="9"/>
      <c r="I560" s="391"/>
      <c r="L560" s="9"/>
      <c r="V560" s="8"/>
      <c r="X560" s="9"/>
      <c r="Y560" s="9"/>
      <c r="Z560" s="9"/>
      <c r="AF560" s="9"/>
      <c r="AG560" s="9"/>
      <c r="AH560" s="9"/>
    </row>
    <row r="561">
      <c r="A561" s="49"/>
      <c r="H561" s="9"/>
      <c r="I561" s="391"/>
      <c r="L561" s="9"/>
      <c r="V561" s="8"/>
      <c r="X561" s="9"/>
      <c r="Y561" s="9"/>
      <c r="Z561" s="9"/>
      <c r="AF561" s="9"/>
      <c r="AG561" s="9"/>
      <c r="AH561" s="9"/>
    </row>
    <row r="562">
      <c r="A562" s="49"/>
      <c r="H562" s="9"/>
      <c r="I562" s="391"/>
      <c r="L562" s="9"/>
      <c r="V562" s="8"/>
      <c r="X562" s="9"/>
      <c r="Y562" s="9"/>
      <c r="Z562" s="9"/>
      <c r="AF562" s="9"/>
      <c r="AG562" s="9"/>
      <c r="AH562" s="9"/>
    </row>
    <row r="563">
      <c r="A563" s="49"/>
      <c r="H563" s="9"/>
      <c r="I563" s="391"/>
      <c r="L563" s="9"/>
      <c r="V563" s="8"/>
      <c r="X563" s="9"/>
      <c r="Y563" s="9"/>
      <c r="Z563" s="9"/>
      <c r="AF563" s="9"/>
      <c r="AG563" s="9"/>
      <c r="AH563" s="9"/>
    </row>
    <row r="564">
      <c r="A564" s="49"/>
      <c r="H564" s="9"/>
      <c r="I564" s="391"/>
      <c r="L564" s="9"/>
      <c r="V564" s="8"/>
      <c r="X564" s="9"/>
      <c r="Y564" s="9"/>
      <c r="Z564" s="9"/>
      <c r="AF564" s="9"/>
      <c r="AG564" s="9"/>
      <c r="AH564" s="9"/>
    </row>
    <row r="565">
      <c r="A565" s="49"/>
      <c r="H565" s="9"/>
      <c r="I565" s="391"/>
      <c r="L565" s="9"/>
      <c r="V565" s="8"/>
      <c r="X565" s="9"/>
      <c r="Y565" s="9"/>
      <c r="Z565" s="9"/>
      <c r="AF565" s="9"/>
      <c r="AG565" s="9"/>
      <c r="AH565" s="9"/>
    </row>
    <row r="566">
      <c r="A566" s="49"/>
      <c r="H566" s="9"/>
      <c r="I566" s="391"/>
      <c r="L566" s="9"/>
      <c r="V566" s="8"/>
      <c r="X566" s="9"/>
      <c r="Y566" s="9"/>
      <c r="Z566" s="9"/>
      <c r="AF566" s="9"/>
      <c r="AG566" s="9"/>
      <c r="AH566" s="9"/>
    </row>
    <row r="567">
      <c r="A567" s="49"/>
      <c r="H567" s="9"/>
      <c r="I567" s="391"/>
      <c r="L567" s="9"/>
      <c r="V567" s="8"/>
      <c r="X567" s="9"/>
      <c r="Y567" s="9"/>
      <c r="Z567" s="9"/>
      <c r="AF567" s="9"/>
      <c r="AG567" s="9"/>
      <c r="AH567" s="9"/>
    </row>
    <row r="568">
      <c r="A568" s="49"/>
      <c r="H568" s="9"/>
      <c r="I568" s="391"/>
      <c r="L568" s="9"/>
      <c r="V568" s="8"/>
      <c r="X568" s="9"/>
      <c r="Y568" s="9"/>
      <c r="Z568" s="9"/>
      <c r="AF568" s="9"/>
      <c r="AG568" s="9"/>
      <c r="AH568" s="9"/>
    </row>
    <row r="569">
      <c r="A569" s="49"/>
      <c r="H569" s="9"/>
      <c r="I569" s="391"/>
      <c r="L569" s="9"/>
      <c r="V569" s="8"/>
      <c r="X569" s="9"/>
      <c r="Y569" s="9"/>
      <c r="Z569" s="9"/>
      <c r="AF569" s="9"/>
      <c r="AG569" s="9"/>
      <c r="AH569" s="9"/>
    </row>
    <row r="570">
      <c r="A570" s="49"/>
      <c r="H570" s="9"/>
      <c r="I570" s="391"/>
      <c r="L570" s="9"/>
      <c r="V570" s="8"/>
      <c r="X570" s="9"/>
      <c r="Y570" s="9"/>
      <c r="Z570" s="9"/>
      <c r="AF570" s="9"/>
      <c r="AG570" s="9"/>
      <c r="AH570" s="9"/>
    </row>
    <row r="571">
      <c r="A571" s="49"/>
      <c r="H571" s="9"/>
      <c r="I571" s="391"/>
      <c r="L571" s="9"/>
      <c r="V571" s="8"/>
      <c r="X571" s="9"/>
      <c r="Y571" s="9"/>
      <c r="Z571" s="9"/>
      <c r="AF571" s="9"/>
      <c r="AG571" s="9"/>
      <c r="AH571" s="9"/>
    </row>
    <row r="572">
      <c r="A572" s="49"/>
      <c r="H572" s="9"/>
      <c r="I572" s="391"/>
      <c r="L572" s="9"/>
      <c r="V572" s="8"/>
      <c r="X572" s="9"/>
      <c r="Y572" s="9"/>
      <c r="Z572" s="9"/>
      <c r="AF572" s="9"/>
      <c r="AG572" s="9"/>
      <c r="AH572" s="9"/>
    </row>
    <row r="573">
      <c r="A573" s="49"/>
      <c r="H573" s="9"/>
      <c r="I573" s="391"/>
      <c r="L573" s="9"/>
      <c r="V573" s="8"/>
      <c r="X573" s="9"/>
      <c r="Y573" s="9"/>
      <c r="Z573" s="9"/>
      <c r="AF573" s="9"/>
      <c r="AG573" s="9"/>
      <c r="AH573" s="9"/>
    </row>
    <row r="574">
      <c r="A574" s="49"/>
      <c r="H574" s="9"/>
      <c r="I574" s="391"/>
      <c r="L574" s="9"/>
      <c r="V574" s="8"/>
      <c r="X574" s="9"/>
      <c r="Y574" s="9"/>
      <c r="Z574" s="9"/>
      <c r="AF574" s="9"/>
      <c r="AG574" s="9"/>
      <c r="AH574" s="9"/>
    </row>
    <row r="575">
      <c r="A575" s="49"/>
      <c r="H575" s="9"/>
      <c r="I575" s="391"/>
      <c r="L575" s="9"/>
      <c r="V575" s="8"/>
      <c r="X575" s="9"/>
      <c r="Y575" s="9"/>
      <c r="Z575" s="9"/>
      <c r="AF575" s="9"/>
      <c r="AG575" s="9"/>
      <c r="AH575" s="9"/>
    </row>
    <row r="576">
      <c r="A576" s="49"/>
      <c r="H576" s="9"/>
      <c r="I576" s="391"/>
      <c r="L576" s="9"/>
      <c r="V576" s="8"/>
      <c r="X576" s="9"/>
      <c r="Y576" s="9"/>
      <c r="Z576" s="9"/>
      <c r="AF576" s="9"/>
      <c r="AG576" s="9"/>
      <c r="AH576" s="9"/>
    </row>
    <row r="577">
      <c r="A577" s="49"/>
      <c r="H577" s="9"/>
      <c r="I577" s="391"/>
      <c r="L577" s="9"/>
      <c r="V577" s="8"/>
      <c r="X577" s="9"/>
      <c r="Y577" s="9"/>
      <c r="Z577" s="9"/>
      <c r="AF577" s="9"/>
      <c r="AG577" s="9"/>
      <c r="AH577" s="9"/>
    </row>
    <row r="578">
      <c r="A578" s="49"/>
      <c r="H578" s="9"/>
      <c r="I578" s="391"/>
      <c r="L578" s="9"/>
      <c r="V578" s="8"/>
      <c r="X578" s="9"/>
      <c r="Y578" s="9"/>
      <c r="Z578" s="9"/>
      <c r="AF578" s="9"/>
      <c r="AG578" s="9"/>
      <c r="AH578" s="9"/>
    </row>
    <row r="579">
      <c r="A579" s="49"/>
      <c r="H579" s="9"/>
      <c r="I579" s="391"/>
      <c r="L579" s="9"/>
      <c r="V579" s="8"/>
      <c r="X579" s="9"/>
      <c r="Y579" s="9"/>
      <c r="Z579" s="9"/>
      <c r="AF579" s="9"/>
      <c r="AG579" s="9"/>
      <c r="AH579" s="9"/>
    </row>
    <row r="580">
      <c r="A580" s="49"/>
      <c r="H580" s="9"/>
      <c r="I580" s="391"/>
      <c r="L580" s="9"/>
      <c r="V580" s="8"/>
      <c r="X580" s="9"/>
      <c r="Y580" s="9"/>
      <c r="Z580" s="9"/>
      <c r="AF580" s="9"/>
      <c r="AG580" s="9"/>
      <c r="AH580" s="9"/>
    </row>
    <row r="581">
      <c r="A581" s="49"/>
      <c r="H581" s="9"/>
      <c r="I581" s="391"/>
      <c r="L581" s="9"/>
      <c r="V581" s="8"/>
      <c r="X581" s="9"/>
      <c r="Y581" s="9"/>
      <c r="Z581" s="9"/>
      <c r="AF581" s="9"/>
      <c r="AG581" s="9"/>
      <c r="AH581" s="9"/>
    </row>
    <row r="582">
      <c r="A582" s="49"/>
      <c r="H582" s="9"/>
      <c r="I582" s="391"/>
      <c r="L582" s="9"/>
      <c r="V582" s="8"/>
      <c r="X582" s="9"/>
      <c r="Y582" s="9"/>
      <c r="Z582" s="9"/>
      <c r="AF582" s="9"/>
      <c r="AG582" s="9"/>
      <c r="AH582" s="9"/>
    </row>
    <row r="583">
      <c r="A583" s="49"/>
      <c r="H583" s="9"/>
      <c r="I583" s="391"/>
      <c r="L583" s="9"/>
      <c r="V583" s="8"/>
      <c r="X583" s="9"/>
      <c r="Y583" s="9"/>
      <c r="Z583" s="9"/>
      <c r="AF583" s="9"/>
      <c r="AG583" s="9"/>
      <c r="AH583" s="9"/>
    </row>
    <row r="584">
      <c r="A584" s="49"/>
      <c r="H584" s="9"/>
      <c r="I584" s="391"/>
      <c r="L584" s="9"/>
      <c r="V584" s="8"/>
      <c r="X584" s="9"/>
      <c r="Y584" s="9"/>
      <c r="Z584" s="9"/>
      <c r="AF584" s="9"/>
      <c r="AG584" s="9"/>
      <c r="AH584" s="9"/>
    </row>
    <row r="585">
      <c r="A585" s="49"/>
      <c r="H585" s="9"/>
      <c r="I585" s="391"/>
      <c r="L585" s="9"/>
      <c r="V585" s="8"/>
      <c r="X585" s="9"/>
      <c r="Y585" s="9"/>
      <c r="Z585" s="9"/>
      <c r="AF585" s="9"/>
      <c r="AG585" s="9"/>
      <c r="AH585" s="9"/>
    </row>
    <row r="586">
      <c r="A586" s="49"/>
      <c r="H586" s="9"/>
      <c r="I586" s="391"/>
      <c r="L586" s="9"/>
      <c r="V586" s="8"/>
      <c r="X586" s="9"/>
      <c r="Y586" s="9"/>
      <c r="Z586" s="9"/>
      <c r="AF586" s="9"/>
      <c r="AG586" s="9"/>
      <c r="AH586" s="9"/>
    </row>
    <row r="587">
      <c r="A587" s="49"/>
      <c r="H587" s="9"/>
      <c r="I587" s="391"/>
      <c r="L587" s="9"/>
      <c r="V587" s="8"/>
      <c r="X587" s="9"/>
      <c r="Y587" s="9"/>
      <c r="Z587" s="9"/>
      <c r="AF587" s="9"/>
      <c r="AG587" s="9"/>
      <c r="AH587" s="9"/>
    </row>
    <row r="588">
      <c r="A588" s="49"/>
      <c r="H588" s="9"/>
      <c r="I588" s="391"/>
      <c r="L588" s="9"/>
      <c r="V588" s="8"/>
      <c r="X588" s="9"/>
      <c r="Y588" s="9"/>
      <c r="Z588" s="9"/>
      <c r="AF588" s="9"/>
      <c r="AG588" s="9"/>
      <c r="AH588" s="9"/>
    </row>
    <row r="589">
      <c r="A589" s="49"/>
      <c r="H589" s="9"/>
      <c r="I589" s="391"/>
      <c r="L589" s="9"/>
      <c r="V589" s="8"/>
      <c r="X589" s="9"/>
      <c r="Y589" s="9"/>
      <c r="Z589" s="9"/>
      <c r="AF589" s="9"/>
      <c r="AG589" s="9"/>
      <c r="AH589" s="9"/>
    </row>
    <row r="590">
      <c r="A590" s="49"/>
      <c r="H590" s="9"/>
      <c r="I590" s="391"/>
      <c r="L590" s="9"/>
      <c r="V590" s="8"/>
      <c r="X590" s="9"/>
      <c r="Y590" s="9"/>
      <c r="Z590" s="9"/>
      <c r="AF590" s="9"/>
      <c r="AG590" s="9"/>
      <c r="AH590" s="9"/>
    </row>
    <row r="591">
      <c r="A591" s="49"/>
      <c r="H591" s="9"/>
      <c r="I591" s="391"/>
      <c r="L591" s="9"/>
      <c r="V591" s="8"/>
      <c r="X591" s="9"/>
      <c r="Y591" s="9"/>
      <c r="Z591" s="9"/>
      <c r="AF591" s="9"/>
      <c r="AG591" s="9"/>
      <c r="AH591" s="9"/>
    </row>
    <row r="592">
      <c r="A592" s="49"/>
      <c r="H592" s="9"/>
      <c r="I592" s="391"/>
      <c r="L592" s="9"/>
      <c r="V592" s="8"/>
      <c r="X592" s="9"/>
      <c r="Y592" s="9"/>
      <c r="Z592" s="9"/>
      <c r="AF592" s="9"/>
      <c r="AG592" s="9"/>
      <c r="AH592" s="9"/>
    </row>
    <row r="593">
      <c r="A593" s="49"/>
      <c r="H593" s="9"/>
      <c r="I593" s="391"/>
      <c r="L593" s="9"/>
      <c r="V593" s="8"/>
      <c r="X593" s="9"/>
      <c r="Y593" s="9"/>
      <c r="Z593" s="9"/>
      <c r="AF593" s="9"/>
      <c r="AG593" s="9"/>
      <c r="AH593" s="9"/>
    </row>
    <row r="594">
      <c r="A594" s="49"/>
      <c r="H594" s="9"/>
      <c r="I594" s="391"/>
      <c r="L594" s="9"/>
      <c r="V594" s="8"/>
      <c r="X594" s="9"/>
      <c r="Y594" s="9"/>
      <c r="Z594" s="9"/>
      <c r="AF594" s="9"/>
      <c r="AG594" s="9"/>
      <c r="AH594" s="9"/>
    </row>
    <row r="595">
      <c r="A595" s="49"/>
      <c r="H595" s="9"/>
      <c r="I595" s="391"/>
      <c r="L595" s="9"/>
      <c r="V595" s="8"/>
      <c r="X595" s="9"/>
      <c r="Y595" s="9"/>
      <c r="Z595" s="9"/>
      <c r="AF595" s="9"/>
      <c r="AG595" s="9"/>
      <c r="AH595" s="9"/>
    </row>
    <row r="596">
      <c r="A596" s="49"/>
      <c r="H596" s="9"/>
      <c r="I596" s="391"/>
      <c r="L596" s="9"/>
      <c r="V596" s="8"/>
      <c r="X596" s="9"/>
      <c r="Y596" s="9"/>
      <c r="Z596" s="9"/>
      <c r="AF596" s="9"/>
      <c r="AG596" s="9"/>
      <c r="AH596" s="9"/>
    </row>
    <row r="597">
      <c r="A597" s="49"/>
      <c r="H597" s="9"/>
      <c r="I597" s="391"/>
      <c r="L597" s="9"/>
      <c r="V597" s="8"/>
      <c r="X597" s="9"/>
      <c r="Y597" s="9"/>
      <c r="Z597" s="9"/>
      <c r="AF597" s="9"/>
      <c r="AG597" s="9"/>
      <c r="AH597" s="9"/>
    </row>
    <row r="598">
      <c r="A598" s="49"/>
      <c r="H598" s="9"/>
      <c r="I598" s="391"/>
      <c r="L598" s="9"/>
      <c r="V598" s="8"/>
      <c r="X598" s="9"/>
      <c r="Y598" s="9"/>
      <c r="Z598" s="9"/>
      <c r="AF598" s="9"/>
      <c r="AG598" s="9"/>
      <c r="AH598" s="9"/>
    </row>
    <row r="599">
      <c r="A599" s="49"/>
      <c r="H599" s="9"/>
      <c r="I599" s="391"/>
      <c r="L599" s="9"/>
      <c r="V599" s="8"/>
      <c r="X599" s="9"/>
      <c r="Y599" s="9"/>
      <c r="Z599" s="9"/>
      <c r="AF599" s="9"/>
      <c r="AG599" s="9"/>
      <c r="AH599" s="9"/>
    </row>
    <row r="600">
      <c r="A600" s="49"/>
      <c r="H600" s="9"/>
      <c r="I600" s="391"/>
      <c r="L600" s="9"/>
      <c r="V600" s="8"/>
      <c r="X600" s="9"/>
      <c r="Y600" s="9"/>
      <c r="Z600" s="9"/>
      <c r="AF600" s="9"/>
      <c r="AG600" s="9"/>
      <c r="AH600" s="9"/>
    </row>
    <row r="601">
      <c r="A601" s="49"/>
      <c r="H601" s="9"/>
      <c r="I601" s="391"/>
      <c r="L601" s="9"/>
      <c r="V601" s="8"/>
      <c r="X601" s="9"/>
      <c r="Y601" s="9"/>
      <c r="Z601" s="9"/>
      <c r="AF601" s="9"/>
      <c r="AG601" s="9"/>
      <c r="AH601" s="9"/>
    </row>
    <row r="602">
      <c r="A602" s="49"/>
      <c r="H602" s="9"/>
      <c r="I602" s="391"/>
      <c r="L602" s="9"/>
      <c r="V602" s="8"/>
      <c r="X602" s="9"/>
      <c r="Y602" s="9"/>
      <c r="Z602" s="9"/>
      <c r="AF602" s="9"/>
      <c r="AG602" s="9"/>
      <c r="AH602" s="9"/>
    </row>
    <row r="603">
      <c r="A603" s="49"/>
      <c r="H603" s="9"/>
      <c r="I603" s="391"/>
      <c r="L603" s="9"/>
      <c r="V603" s="8"/>
      <c r="X603" s="9"/>
      <c r="Y603" s="9"/>
      <c r="Z603" s="9"/>
      <c r="AF603" s="9"/>
      <c r="AG603" s="9"/>
      <c r="AH603" s="9"/>
    </row>
    <row r="604">
      <c r="A604" s="49"/>
      <c r="H604" s="9"/>
      <c r="I604" s="391"/>
      <c r="L604" s="9"/>
      <c r="V604" s="8"/>
      <c r="X604" s="9"/>
      <c r="Y604" s="9"/>
      <c r="Z604" s="9"/>
      <c r="AF604" s="9"/>
      <c r="AG604" s="9"/>
      <c r="AH604" s="9"/>
    </row>
    <row r="605">
      <c r="A605" s="49"/>
      <c r="H605" s="9"/>
      <c r="I605" s="391"/>
      <c r="L605" s="9"/>
      <c r="V605" s="8"/>
      <c r="X605" s="9"/>
      <c r="Y605" s="9"/>
      <c r="Z605" s="9"/>
      <c r="AF605" s="9"/>
      <c r="AG605" s="9"/>
      <c r="AH605" s="9"/>
    </row>
    <row r="606">
      <c r="A606" s="49"/>
      <c r="H606" s="9"/>
      <c r="I606" s="391"/>
      <c r="L606" s="9"/>
      <c r="V606" s="8"/>
      <c r="X606" s="9"/>
      <c r="Y606" s="9"/>
      <c r="Z606" s="9"/>
      <c r="AF606" s="9"/>
      <c r="AG606" s="9"/>
      <c r="AH606" s="9"/>
    </row>
    <row r="607">
      <c r="A607" s="49"/>
      <c r="H607" s="9"/>
      <c r="I607" s="391"/>
      <c r="L607" s="9"/>
      <c r="V607" s="8"/>
      <c r="X607" s="9"/>
      <c r="Y607" s="9"/>
      <c r="Z607" s="9"/>
      <c r="AF607" s="9"/>
      <c r="AG607" s="9"/>
      <c r="AH607" s="9"/>
    </row>
    <row r="608">
      <c r="A608" s="49"/>
      <c r="H608" s="9"/>
      <c r="I608" s="391"/>
      <c r="L608" s="9"/>
      <c r="V608" s="8"/>
      <c r="X608" s="9"/>
      <c r="Y608" s="9"/>
      <c r="Z608" s="9"/>
      <c r="AF608" s="9"/>
      <c r="AG608" s="9"/>
      <c r="AH608" s="9"/>
    </row>
    <row r="609">
      <c r="A609" s="49"/>
      <c r="H609" s="9"/>
      <c r="I609" s="391"/>
      <c r="L609" s="9"/>
      <c r="V609" s="8"/>
      <c r="X609" s="9"/>
      <c r="Y609" s="9"/>
      <c r="Z609" s="9"/>
      <c r="AF609" s="9"/>
      <c r="AG609" s="9"/>
      <c r="AH609" s="9"/>
    </row>
    <row r="610">
      <c r="A610" s="49"/>
      <c r="H610" s="9"/>
      <c r="I610" s="391"/>
      <c r="L610" s="9"/>
      <c r="V610" s="8"/>
      <c r="X610" s="9"/>
      <c r="Y610" s="9"/>
      <c r="Z610" s="9"/>
      <c r="AF610" s="9"/>
      <c r="AG610" s="9"/>
      <c r="AH610" s="9"/>
    </row>
    <row r="611">
      <c r="A611" s="49"/>
      <c r="H611" s="9"/>
      <c r="I611" s="391"/>
      <c r="L611" s="9"/>
      <c r="V611" s="8"/>
      <c r="X611" s="9"/>
      <c r="Y611" s="9"/>
      <c r="Z611" s="9"/>
      <c r="AF611" s="9"/>
      <c r="AG611" s="9"/>
      <c r="AH611" s="9"/>
    </row>
    <row r="612">
      <c r="A612" s="49"/>
      <c r="H612" s="9"/>
      <c r="I612" s="391"/>
      <c r="L612" s="9"/>
      <c r="V612" s="8"/>
      <c r="X612" s="9"/>
      <c r="Y612" s="9"/>
      <c r="Z612" s="9"/>
      <c r="AF612" s="9"/>
      <c r="AG612" s="9"/>
      <c r="AH612" s="9"/>
    </row>
    <row r="613">
      <c r="A613" s="49"/>
      <c r="H613" s="9"/>
      <c r="I613" s="391"/>
      <c r="L613" s="9"/>
      <c r="V613" s="8"/>
      <c r="X613" s="9"/>
      <c r="Y613" s="9"/>
      <c r="Z613" s="9"/>
      <c r="AF613" s="9"/>
      <c r="AG613" s="9"/>
      <c r="AH613" s="9"/>
    </row>
    <row r="614">
      <c r="A614" s="49"/>
      <c r="H614" s="9"/>
      <c r="I614" s="391"/>
      <c r="L614" s="9"/>
      <c r="V614" s="8"/>
      <c r="X614" s="9"/>
      <c r="Y614" s="9"/>
      <c r="Z614" s="9"/>
      <c r="AF614" s="9"/>
      <c r="AG614" s="9"/>
      <c r="AH614" s="9"/>
    </row>
    <row r="615">
      <c r="A615" s="49"/>
      <c r="H615" s="9"/>
      <c r="I615" s="391"/>
      <c r="L615" s="9"/>
      <c r="V615" s="8"/>
      <c r="X615" s="9"/>
      <c r="Y615" s="9"/>
      <c r="Z615" s="9"/>
      <c r="AF615" s="9"/>
      <c r="AG615" s="9"/>
      <c r="AH615" s="9"/>
    </row>
    <row r="616">
      <c r="A616" s="49"/>
      <c r="H616" s="9"/>
      <c r="I616" s="391"/>
      <c r="L616" s="9"/>
      <c r="V616" s="8"/>
      <c r="X616" s="9"/>
      <c r="Y616" s="9"/>
      <c r="Z616" s="9"/>
      <c r="AF616" s="9"/>
      <c r="AG616" s="9"/>
      <c r="AH616" s="9"/>
    </row>
    <row r="617">
      <c r="A617" s="49"/>
      <c r="H617" s="9"/>
      <c r="I617" s="391"/>
      <c r="L617" s="9"/>
      <c r="V617" s="8"/>
      <c r="X617" s="9"/>
      <c r="Y617" s="9"/>
      <c r="Z617" s="9"/>
      <c r="AF617" s="9"/>
      <c r="AG617" s="9"/>
      <c r="AH617" s="9"/>
    </row>
    <row r="618">
      <c r="A618" s="49"/>
      <c r="H618" s="9"/>
      <c r="I618" s="391"/>
      <c r="L618" s="9"/>
      <c r="V618" s="8"/>
      <c r="X618" s="9"/>
      <c r="Y618" s="9"/>
      <c r="Z618" s="9"/>
      <c r="AF618" s="9"/>
      <c r="AG618" s="9"/>
      <c r="AH618" s="9"/>
    </row>
    <row r="619">
      <c r="A619" s="49"/>
      <c r="H619" s="9"/>
      <c r="I619" s="391"/>
      <c r="L619" s="9"/>
      <c r="V619" s="8"/>
      <c r="X619" s="9"/>
      <c r="Y619" s="9"/>
      <c r="Z619" s="9"/>
      <c r="AF619" s="9"/>
      <c r="AG619" s="9"/>
      <c r="AH619" s="9"/>
    </row>
    <row r="620">
      <c r="A620" s="49"/>
      <c r="H620" s="9"/>
      <c r="I620" s="391"/>
      <c r="L620" s="9"/>
      <c r="V620" s="8"/>
      <c r="X620" s="9"/>
      <c r="Y620" s="9"/>
      <c r="Z620" s="9"/>
      <c r="AF620" s="9"/>
      <c r="AG620" s="9"/>
      <c r="AH620" s="9"/>
    </row>
    <row r="621">
      <c r="A621" s="49"/>
      <c r="H621" s="9"/>
      <c r="I621" s="391"/>
      <c r="L621" s="9"/>
      <c r="V621" s="8"/>
      <c r="X621" s="9"/>
      <c r="Y621" s="9"/>
      <c r="Z621" s="9"/>
      <c r="AF621" s="9"/>
      <c r="AG621" s="9"/>
      <c r="AH621" s="9"/>
    </row>
    <row r="622">
      <c r="A622" s="49"/>
      <c r="H622" s="9"/>
      <c r="I622" s="391"/>
      <c r="L622" s="9"/>
      <c r="V622" s="8"/>
      <c r="X622" s="9"/>
      <c r="Y622" s="9"/>
      <c r="Z622" s="9"/>
      <c r="AF622" s="9"/>
      <c r="AG622" s="9"/>
      <c r="AH622" s="9"/>
    </row>
    <row r="623">
      <c r="A623" s="49"/>
      <c r="H623" s="9"/>
      <c r="I623" s="391"/>
      <c r="L623" s="9"/>
      <c r="V623" s="8"/>
      <c r="X623" s="9"/>
      <c r="Y623" s="9"/>
      <c r="Z623" s="9"/>
      <c r="AF623" s="9"/>
      <c r="AG623" s="9"/>
      <c r="AH623" s="9"/>
    </row>
    <row r="624">
      <c r="A624" s="49"/>
      <c r="H624" s="9"/>
      <c r="I624" s="391"/>
      <c r="L624" s="9"/>
      <c r="V624" s="8"/>
      <c r="X624" s="9"/>
      <c r="Y624" s="9"/>
      <c r="Z624" s="9"/>
      <c r="AF624" s="9"/>
      <c r="AG624" s="9"/>
      <c r="AH624" s="9"/>
    </row>
    <row r="625">
      <c r="A625" s="49"/>
      <c r="H625" s="9"/>
      <c r="I625" s="391"/>
      <c r="L625" s="9"/>
      <c r="V625" s="8"/>
      <c r="X625" s="9"/>
      <c r="Y625" s="9"/>
      <c r="Z625" s="9"/>
      <c r="AF625" s="9"/>
      <c r="AG625" s="9"/>
      <c r="AH625" s="9"/>
    </row>
    <row r="626">
      <c r="A626" s="49"/>
      <c r="H626" s="9"/>
      <c r="I626" s="391"/>
      <c r="L626" s="9"/>
      <c r="V626" s="8"/>
      <c r="X626" s="9"/>
      <c r="Y626" s="9"/>
      <c r="Z626" s="9"/>
      <c r="AF626" s="9"/>
      <c r="AG626" s="9"/>
      <c r="AH626" s="9"/>
    </row>
    <row r="627">
      <c r="A627" s="49"/>
      <c r="H627" s="9"/>
      <c r="I627" s="391"/>
      <c r="L627" s="9"/>
      <c r="V627" s="8"/>
      <c r="X627" s="9"/>
      <c r="Y627" s="9"/>
      <c r="Z627" s="9"/>
      <c r="AF627" s="9"/>
      <c r="AG627" s="9"/>
      <c r="AH627" s="9"/>
    </row>
    <row r="628">
      <c r="A628" s="49"/>
      <c r="H628" s="9"/>
      <c r="I628" s="391"/>
      <c r="L628" s="9"/>
      <c r="V628" s="8"/>
      <c r="X628" s="9"/>
      <c r="Y628" s="9"/>
      <c r="Z628" s="9"/>
      <c r="AF628" s="9"/>
      <c r="AG628" s="9"/>
      <c r="AH628" s="9"/>
    </row>
    <row r="629">
      <c r="A629" s="49"/>
      <c r="H629" s="9"/>
      <c r="I629" s="391"/>
      <c r="L629" s="9"/>
      <c r="V629" s="8"/>
      <c r="X629" s="9"/>
      <c r="Y629" s="9"/>
      <c r="Z629" s="9"/>
      <c r="AF629" s="9"/>
      <c r="AG629" s="9"/>
      <c r="AH629" s="9"/>
    </row>
    <row r="630">
      <c r="A630" s="49"/>
      <c r="H630" s="9"/>
      <c r="I630" s="391"/>
      <c r="L630" s="9"/>
      <c r="V630" s="8"/>
      <c r="X630" s="9"/>
      <c r="Y630" s="9"/>
      <c r="Z630" s="9"/>
      <c r="AF630" s="9"/>
      <c r="AG630" s="9"/>
      <c r="AH630" s="9"/>
    </row>
    <row r="631">
      <c r="A631" s="49"/>
      <c r="H631" s="9"/>
      <c r="I631" s="391"/>
      <c r="L631" s="9"/>
      <c r="V631" s="8"/>
      <c r="X631" s="9"/>
      <c r="Y631" s="9"/>
      <c r="Z631" s="9"/>
      <c r="AF631" s="9"/>
      <c r="AG631" s="9"/>
      <c r="AH631" s="9"/>
    </row>
    <row r="632">
      <c r="A632" s="49"/>
      <c r="H632" s="9"/>
      <c r="I632" s="391"/>
      <c r="L632" s="9"/>
      <c r="V632" s="8"/>
      <c r="X632" s="9"/>
      <c r="Y632" s="9"/>
      <c r="Z632" s="9"/>
      <c r="AF632" s="9"/>
      <c r="AG632" s="9"/>
      <c r="AH632" s="9"/>
    </row>
    <row r="633">
      <c r="A633" s="49"/>
      <c r="H633" s="9"/>
      <c r="I633" s="391"/>
      <c r="L633" s="9"/>
      <c r="V633" s="8"/>
      <c r="X633" s="9"/>
      <c r="Y633" s="9"/>
      <c r="Z633" s="9"/>
      <c r="AF633" s="9"/>
      <c r="AG633" s="9"/>
      <c r="AH633" s="9"/>
    </row>
    <row r="634">
      <c r="A634" s="49"/>
      <c r="H634" s="9"/>
      <c r="I634" s="391"/>
      <c r="L634" s="9"/>
      <c r="V634" s="8"/>
      <c r="X634" s="9"/>
      <c r="Y634" s="9"/>
      <c r="Z634" s="9"/>
      <c r="AF634" s="9"/>
      <c r="AG634" s="9"/>
      <c r="AH634" s="9"/>
    </row>
    <row r="635">
      <c r="A635" s="49"/>
      <c r="H635" s="9"/>
      <c r="I635" s="391"/>
      <c r="L635" s="9"/>
      <c r="V635" s="8"/>
      <c r="X635" s="9"/>
      <c r="Y635" s="9"/>
      <c r="Z635" s="9"/>
      <c r="AF635" s="9"/>
      <c r="AG635" s="9"/>
      <c r="AH635" s="9"/>
    </row>
    <row r="636">
      <c r="A636" s="49"/>
      <c r="H636" s="9"/>
      <c r="I636" s="391"/>
      <c r="L636" s="9"/>
      <c r="V636" s="8"/>
      <c r="X636" s="9"/>
      <c r="Y636" s="9"/>
      <c r="Z636" s="9"/>
      <c r="AF636" s="9"/>
      <c r="AG636" s="9"/>
      <c r="AH636" s="9"/>
    </row>
    <row r="637">
      <c r="A637" s="49"/>
      <c r="H637" s="9"/>
      <c r="I637" s="391"/>
      <c r="L637" s="9"/>
      <c r="V637" s="8"/>
      <c r="X637" s="9"/>
      <c r="Y637" s="9"/>
      <c r="Z637" s="9"/>
      <c r="AF637" s="9"/>
      <c r="AG637" s="9"/>
      <c r="AH637" s="9"/>
    </row>
    <row r="638">
      <c r="A638" s="49"/>
      <c r="H638" s="9"/>
      <c r="I638" s="391"/>
      <c r="L638" s="9"/>
      <c r="V638" s="8"/>
      <c r="X638" s="9"/>
      <c r="Y638" s="9"/>
      <c r="Z638" s="9"/>
      <c r="AF638" s="9"/>
      <c r="AG638" s="9"/>
      <c r="AH638" s="9"/>
    </row>
    <row r="639">
      <c r="A639" s="49"/>
      <c r="H639" s="9"/>
      <c r="I639" s="391"/>
      <c r="L639" s="9"/>
      <c r="V639" s="8"/>
      <c r="X639" s="9"/>
      <c r="Y639" s="9"/>
      <c r="Z639" s="9"/>
      <c r="AF639" s="9"/>
      <c r="AG639" s="9"/>
      <c r="AH639" s="9"/>
    </row>
    <row r="640">
      <c r="A640" s="49"/>
      <c r="H640" s="9"/>
      <c r="I640" s="391"/>
      <c r="L640" s="9"/>
      <c r="V640" s="8"/>
      <c r="X640" s="9"/>
      <c r="Y640" s="9"/>
      <c r="Z640" s="9"/>
      <c r="AF640" s="9"/>
      <c r="AG640" s="9"/>
      <c r="AH640" s="9"/>
    </row>
    <row r="641">
      <c r="A641" s="49"/>
      <c r="H641" s="9"/>
      <c r="I641" s="391"/>
      <c r="L641" s="9"/>
      <c r="V641" s="8"/>
      <c r="X641" s="9"/>
      <c r="Y641" s="9"/>
      <c r="Z641" s="9"/>
      <c r="AF641" s="9"/>
      <c r="AG641" s="9"/>
      <c r="AH641" s="9"/>
    </row>
    <row r="642">
      <c r="A642" s="49"/>
      <c r="H642" s="9"/>
      <c r="I642" s="391"/>
      <c r="L642" s="9"/>
      <c r="V642" s="8"/>
      <c r="X642" s="9"/>
      <c r="Y642" s="9"/>
      <c r="Z642" s="9"/>
      <c r="AF642" s="9"/>
      <c r="AG642" s="9"/>
      <c r="AH642" s="9"/>
    </row>
    <row r="643">
      <c r="A643" s="49"/>
      <c r="H643" s="9"/>
      <c r="I643" s="391"/>
      <c r="L643" s="9"/>
      <c r="V643" s="8"/>
      <c r="X643" s="9"/>
      <c r="Y643" s="9"/>
      <c r="Z643" s="9"/>
      <c r="AF643" s="9"/>
      <c r="AG643" s="9"/>
      <c r="AH643" s="9"/>
    </row>
    <row r="644">
      <c r="A644" s="49"/>
      <c r="H644" s="9"/>
      <c r="I644" s="391"/>
      <c r="L644" s="9"/>
      <c r="V644" s="8"/>
      <c r="X644" s="9"/>
      <c r="Y644" s="9"/>
      <c r="Z644" s="9"/>
      <c r="AF644" s="9"/>
      <c r="AG644" s="9"/>
      <c r="AH644" s="9"/>
    </row>
    <row r="645">
      <c r="A645" s="49"/>
      <c r="H645" s="9"/>
      <c r="I645" s="391"/>
      <c r="L645" s="9"/>
      <c r="V645" s="8"/>
      <c r="X645" s="9"/>
      <c r="Y645" s="9"/>
      <c r="Z645" s="9"/>
      <c r="AF645" s="9"/>
      <c r="AG645" s="9"/>
      <c r="AH645" s="9"/>
    </row>
    <row r="646">
      <c r="A646" s="49"/>
      <c r="H646" s="9"/>
      <c r="I646" s="391"/>
      <c r="L646" s="9"/>
      <c r="V646" s="8"/>
      <c r="X646" s="9"/>
      <c r="Y646" s="9"/>
      <c r="Z646" s="9"/>
      <c r="AF646" s="9"/>
      <c r="AG646" s="9"/>
      <c r="AH646" s="9"/>
    </row>
    <row r="647">
      <c r="A647" s="49"/>
      <c r="H647" s="9"/>
      <c r="I647" s="391"/>
      <c r="L647" s="9"/>
      <c r="V647" s="8"/>
      <c r="X647" s="9"/>
      <c r="Y647" s="9"/>
      <c r="Z647" s="9"/>
      <c r="AF647" s="9"/>
      <c r="AG647" s="9"/>
      <c r="AH647" s="9"/>
    </row>
    <row r="648">
      <c r="A648" s="49"/>
      <c r="H648" s="9"/>
      <c r="I648" s="391"/>
      <c r="L648" s="9"/>
      <c r="V648" s="8"/>
      <c r="X648" s="9"/>
      <c r="Y648" s="9"/>
      <c r="Z648" s="9"/>
      <c r="AF648" s="9"/>
      <c r="AG648" s="9"/>
      <c r="AH648" s="9"/>
    </row>
    <row r="649">
      <c r="A649" s="49"/>
      <c r="H649" s="9"/>
      <c r="I649" s="391"/>
      <c r="L649" s="9"/>
      <c r="V649" s="8"/>
      <c r="X649" s="9"/>
      <c r="Y649" s="9"/>
      <c r="Z649" s="9"/>
      <c r="AF649" s="9"/>
      <c r="AG649" s="9"/>
      <c r="AH649" s="9"/>
    </row>
    <row r="650">
      <c r="A650" s="49"/>
      <c r="H650" s="9"/>
      <c r="I650" s="391"/>
      <c r="L650" s="9"/>
      <c r="V650" s="8"/>
      <c r="X650" s="9"/>
      <c r="Y650" s="9"/>
      <c r="Z650" s="9"/>
      <c r="AF650" s="9"/>
      <c r="AG650" s="9"/>
      <c r="AH650" s="9"/>
    </row>
    <row r="651">
      <c r="A651" s="49"/>
      <c r="H651" s="9"/>
      <c r="I651" s="391"/>
      <c r="L651" s="9"/>
      <c r="V651" s="8"/>
      <c r="X651" s="9"/>
      <c r="Y651" s="9"/>
      <c r="Z651" s="9"/>
      <c r="AF651" s="9"/>
      <c r="AG651" s="9"/>
      <c r="AH651" s="9"/>
    </row>
    <row r="652">
      <c r="A652" s="49"/>
      <c r="H652" s="9"/>
      <c r="I652" s="391"/>
      <c r="L652" s="9"/>
      <c r="V652" s="8"/>
      <c r="X652" s="9"/>
      <c r="Y652" s="9"/>
      <c r="Z652" s="9"/>
      <c r="AF652" s="9"/>
      <c r="AG652" s="9"/>
      <c r="AH652" s="9"/>
    </row>
    <row r="653">
      <c r="A653" s="49"/>
      <c r="H653" s="9"/>
      <c r="I653" s="391"/>
      <c r="L653" s="9"/>
      <c r="V653" s="8"/>
      <c r="X653" s="9"/>
      <c r="Y653" s="9"/>
      <c r="Z653" s="9"/>
      <c r="AF653" s="9"/>
      <c r="AG653" s="9"/>
      <c r="AH653" s="9"/>
    </row>
    <row r="654">
      <c r="A654" s="49"/>
      <c r="H654" s="9"/>
      <c r="I654" s="391"/>
      <c r="L654" s="9"/>
      <c r="V654" s="8"/>
      <c r="X654" s="9"/>
      <c r="Y654" s="9"/>
      <c r="Z654" s="9"/>
      <c r="AF654" s="9"/>
      <c r="AG654" s="9"/>
      <c r="AH654" s="9"/>
    </row>
    <row r="655">
      <c r="A655" s="49"/>
      <c r="H655" s="9"/>
      <c r="I655" s="391"/>
      <c r="L655" s="9"/>
      <c r="V655" s="8"/>
      <c r="X655" s="9"/>
      <c r="Y655" s="9"/>
      <c r="Z655" s="9"/>
      <c r="AF655" s="9"/>
      <c r="AG655" s="9"/>
      <c r="AH655" s="9"/>
    </row>
    <row r="656">
      <c r="A656" s="49"/>
      <c r="H656" s="9"/>
      <c r="I656" s="391"/>
      <c r="L656" s="9"/>
      <c r="V656" s="8"/>
      <c r="X656" s="9"/>
      <c r="Y656" s="9"/>
      <c r="Z656" s="9"/>
      <c r="AF656" s="9"/>
      <c r="AG656" s="9"/>
      <c r="AH656" s="9"/>
    </row>
    <row r="657">
      <c r="A657" s="49"/>
      <c r="H657" s="9"/>
      <c r="I657" s="391"/>
      <c r="L657" s="9"/>
      <c r="V657" s="8"/>
      <c r="X657" s="9"/>
      <c r="Y657" s="9"/>
      <c r="Z657" s="9"/>
      <c r="AF657" s="9"/>
      <c r="AG657" s="9"/>
      <c r="AH657" s="9"/>
    </row>
    <row r="658">
      <c r="A658" s="49"/>
      <c r="H658" s="9"/>
      <c r="I658" s="391"/>
      <c r="L658" s="9"/>
      <c r="V658" s="8"/>
      <c r="X658" s="9"/>
      <c r="Y658" s="9"/>
      <c r="Z658" s="9"/>
      <c r="AF658" s="9"/>
      <c r="AG658" s="9"/>
      <c r="AH658" s="9"/>
    </row>
    <row r="659">
      <c r="A659" s="49"/>
      <c r="H659" s="9"/>
      <c r="I659" s="391"/>
      <c r="L659" s="9"/>
      <c r="V659" s="8"/>
      <c r="X659" s="9"/>
      <c r="Y659" s="9"/>
      <c r="Z659" s="9"/>
      <c r="AF659" s="9"/>
      <c r="AG659" s="9"/>
      <c r="AH659" s="9"/>
    </row>
    <row r="660">
      <c r="A660" s="49"/>
      <c r="H660" s="9"/>
      <c r="I660" s="391"/>
      <c r="L660" s="9"/>
      <c r="V660" s="8"/>
      <c r="X660" s="9"/>
      <c r="Y660" s="9"/>
      <c r="Z660" s="9"/>
      <c r="AF660" s="9"/>
      <c r="AG660" s="9"/>
      <c r="AH660" s="9"/>
    </row>
    <row r="661">
      <c r="A661" s="49"/>
      <c r="H661" s="9"/>
      <c r="I661" s="391"/>
      <c r="L661" s="9"/>
      <c r="V661" s="8"/>
      <c r="X661" s="9"/>
      <c r="Y661" s="9"/>
      <c r="Z661" s="9"/>
      <c r="AF661" s="9"/>
      <c r="AG661" s="9"/>
      <c r="AH661" s="9"/>
    </row>
    <row r="662">
      <c r="A662" s="49"/>
      <c r="H662" s="9"/>
      <c r="I662" s="391"/>
      <c r="L662" s="9"/>
      <c r="V662" s="8"/>
      <c r="X662" s="9"/>
      <c r="Y662" s="9"/>
      <c r="Z662" s="9"/>
      <c r="AF662" s="9"/>
      <c r="AG662" s="9"/>
      <c r="AH662" s="9"/>
    </row>
    <row r="663">
      <c r="A663" s="49"/>
      <c r="H663" s="9"/>
      <c r="I663" s="391"/>
      <c r="L663" s="9"/>
      <c r="V663" s="8"/>
      <c r="X663" s="9"/>
      <c r="Y663" s="9"/>
      <c r="Z663" s="9"/>
      <c r="AF663" s="9"/>
      <c r="AG663" s="9"/>
      <c r="AH663" s="9"/>
    </row>
    <row r="664">
      <c r="A664" s="49"/>
      <c r="H664" s="9"/>
      <c r="I664" s="391"/>
      <c r="L664" s="9"/>
      <c r="V664" s="8"/>
      <c r="X664" s="9"/>
      <c r="Y664" s="9"/>
      <c r="Z664" s="9"/>
      <c r="AF664" s="9"/>
      <c r="AG664" s="9"/>
      <c r="AH664" s="9"/>
    </row>
    <row r="665">
      <c r="A665" s="49"/>
      <c r="H665" s="9"/>
      <c r="I665" s="391"/>
      <c r="L665" s="9"/>
      <c r="V665" s="8"/>
      <c r="X665" s="9"/>
      <c r="Y665" s="9"/>
      <c r="Z665" s="9"/>
      <c r="AF665" s="9"/>
      <c r="AG665" s="9"/>
      <c r="AH665" s="9"/>
    </row>
    <row r="666">
      <c r="A666" s="49"/>
      <c r="H666" s="9"/>
      <c r="I666" s="391"/>
      <c r="L666" s="9"/>
      <c r="V666" s="8"/>
      <c r="X666" s="9"/>
      <c r="Y666" s="9"/>
      <c r="Z666" s="9"/>
      <c r="AF666" s="9"/>
      <c r="AG666" s="9"/>
      <c r="AH666" s="9"/>
    </row>
    <row r="667">
      <c r="A667" s="49"/>
      <c r="H667" s="9"/>
      <c r="I667" s="391"/>
      <c r="L667" s="9"/>
      <c r="V667" s="8"/>
      <c r="X667" s="9"/>
      <c r="Y667" s="9"/>
      <c r="Z667" s="9"/>
      <c r="AF667" s="9"/>
      <c r="AG667" s="9"/>
      <c r="AH667" s="9"/>
    </row>
    <row r="668">
      <c r="A668" s="49"/>
      <c r="H668" s="9"/>
      <c r="I668" s="391"/>
      <c r="L668" s="9"/>
      <c r="V668" s="8"/>
      <c r="X668" s="9"/>
      <c r="Y668" s="9"/>
      <c r="Z668" s="9"/>
      <c r="AF668" s="9"/>
      <c r="AG668" s="9"/>
      <c r="AH668" s="9"/>
    </row>
    <row r="669">
      <c r="A669" s="49"/>
      <c r="H669" s="9"/>
      <c r="I669" s="391"/>
      <c r="L669" s="9"/>
      <c r="V669" s="8"/>
      <c r="X669" s="9"/>
      <c r="Y669" s="9"/>
      <c r="Z669" s="9"/>
      <c r="AF669" s="9"/>
      <c r="AG669" s="9"/>
      <c r="AH669" s="9"/>
    </row>
    <row r="670">
      <c r="A670" s="49"/>
      <c r="H670" s="9"/>
      <c r="I670" s="391"/>
      <c r="L670" s="9"/>
      <c r="V670" s="8"/>
      <c r="X670" s="9"/>
      <c r="Y670" s="9"/>
      <c r="Z670" s="9"/>
      <c r="AF670" s="9"/>
      <c r="AG670" s="9"/>
      <c r="AH670" s="9"/>
    </row>
    <row r="671">
      <c r="A671" s="49"/>
      <c r="H671" s="9"/>
      <c r="I671" s="391"/>
      <c r="L671" s="9"/>
      <c r="V671" s="8"/>
      <c r="X671" s="9"/>
      <c r="Y671" s="9"/>
      <c r="Z671" s="9"/>
      <c r="AF671" s="9"/>
      <c r="AG671" s="9"/>
      <c r="AH671" s="9"/>
    </row>
    <row r="672">
      <c r="A672" s="49"/>
      <c r="H672" s="9"/>
      <c r="I672" s="391"/>
      <c r="L672" s="9"/>
      <c r="V672" s="8"/>
      <c r="X672" s="9"/>
      <c r="Y672" s="9"/>
      <c r="Z672" s="9"/>
      <c r="AF672" s="9"/>
      <c r="AG672" s="9"/>
      <c r="AH672" s="9"/>
    </row>
    <row r="673">
      <c r="A673" s="49"/>
      <c r="H673" s="9"/>
      <c r="I673" s="391"/>
      <c r="L673" s="9"/>
      <c r="V673" s="8"/>
      <c r="X673" s="9"/>
      <c r="Y673" s="9"/>
      <c r="Z673" s="9"/>
      <c r="AF673" s="9"/>
      <c r="AG673" s="9"/>
      <c r="AH673" s="9"/>
    </row>
    <row r="674">
      <c r="A674" s="49"/>
      <c r="H674" s="9"/>
      <c r="I674" s="391"/>
      <c r="L674" s="9"/>
      <c r="V674" s="8"/>
      <c r="X674" s="9"/>
      <c r="Y674" s="9"/>
      <c r="Z674" s="9"/>
      <c r="AF674" s="9"/>
      <c r="AG674" s="9"/>
      <c r="AH674" s="9"/>
    </row>
    <row r="675">
      <c r="A675" s="49"/>
      <c r="H675" s="9"/>
      <c r="I675" s="391"/>
      <c r="L675" s="9"/>
      <c r="V675" s="8"/>
      <c r="X675" s="9"/>
      <c r="Y675" s="9"/>
      <c r="Z675" s="9"/>
      <c r="AF675" s="9"/>
      <c r="AG675" s="9"/>
      <c r="AH675" s="9"/>
    </row>
    <row r="676">
      <c r="A676" s="49"/>
      <c r="H676" s="9"/>
      <c r="I676" s="391"/>
      <c r="L676" s="9"/>
      <c r="V676" s="8"/>
      <c r="X676" s="9"/>
      <c r="Y676" s="9"/>
      <c r="Z676" s="9"/>
      <c r="AF676" s="9"/>
      <c r="AG676" s="9"/>
      <c r="AH676" s="9"/>
    </row>
    <row r="677">
      <c r="A677" s="49"/>
      <c r="H677" s="9"/>
      <c r="I677" s="391"/>
      <c r="L677" s="9"/>
      <c r="V677" s="8"/>
      <c r="X677" s="9"/>
      <c r="Y677" s="9"/>
      <c r="Z677" s="9"/>
      <c r="AF677" s="9"/>
      <c r="AG677" s="9"/>
      <c r="AH677" s="9"/>
    </row>
    <row r="678">
      <c r="A678" s="49"/>
      <c r="H678" s="9"/>
      <c r="I678" s="391"/>
      <c r="L678" s="9"/>
      <c r="V678" s="8"/>
      <c r="X678" s="9"/>
      <c r="Y678" s="9"/>
      <c r="Z678" s="9"/>
      <c r="AF678" s="9"/>
      <c r="AG678" s="9"/>
      <c r="AH678" s="9"/>
    </row>
    <row r="679">
      <c r="A679" s="49"/>
      <c r="H679" s="9"/>
      <c r="I679" s="391"/>
      <c r="L679" s="9"/>
      <c r="V679" s="8"/>
      <c r="X679" s="9"/>
      <c r="Y679" s="9"/>
      <c r="Z679" s="9"/>
      <c r="AF679" s="9"/>
      <c r="AG679" s="9"/>
      <c r="AH679" s="9"/>
    </row>
    <row r="680">
      <c r="A680" s="49"/>
      <c r="H680" s="9"/>
      <c r="I680" s="391"/>
      <c r="L680" s="9"/>
      <c r="V680" s="8"/>
      <c r="X680" s="9"/>
      <c r="Y680" s="9"/>
      <c r="Z680" s="9"/>
      <c r="AF680" s="9"/>
      <c r="AG680" s="9"/>
      <c r="AH680" s="9"/>
    </row>
    <row r="681">
      <c r="A681" s="49"/>
      <c r="H681" s="9"/>
      <c r="I681" s="391"/>
      <c r="L681" s="9"/>
      <c r="V681" s="8"/>
      <c r="X681" s="9"/>
      <c r="Y681" s="9"/>
      <c r="Z681" s="9"/>
      <c r="AF681" s="9"/>
      <c r="AG681" s="9"/>
      <c r="AH681" s="9"/>
    </row>
    <row r="682">
      <c r="A682" s="49"/>
      <c r="H682" s="9"/>
      <c r="I682" s="391"/>
      <c r="L682" s="9"/>
      <c r="V682" s="8"/>
      <c r="X682" s="9"/>
      <c r="Y682" s="9"/>
      <c r="Z682" s="9"/>
      <c r="AF682" s="9"/>
      <c r="AG682" s="9"/>
      <c r="AH682" s="9"/>
    </row>
    <row r="683">
      <c r="A683" s="49"/>
      <c r="H683" s="9"/>
      <c r="I683" s="391"/>
      <c r="L683" s="9"/>
      <c r="V683" s="8"/>
      <c r="X683" s="9"/>
      <c r="Y683" s="9"/>
      <c r="Z683" s="9"/>
      <c r="AF683" s="9"/>
      <c r="AG683" s="9"/>
      <c r="AH683" s="9"/>
    </row>
    <row r="684">
      <c r="A684" s="49"/>
      <c r="H684" s="9"/>
      <c r="I684" s="391"/>
      <c r="L684" s="9"/>
      <c r="V684" s="8"/>
      <c r="X684" s="9"/>
      <c r="Y684" s="9"/>
      <c r="Z684" s="9"/>
      <c r="AF684" s="9"/>
      <c r="AG684" s="9"/>
      <c r="AH684" s="9"/>
    </row>
    <row r="685">
      <c r="A685" s="49"/>
      <c r="H685" s="9"/>
      <c r="I685" s="391"/>
      <c r="L685" s="9"/>
      <c r="V685" s="8"/>
      <c r="X685" s="9"/>
      <c r="Y685" s="9"/>
      <c r="Z685" s="9"/>
      <c r="AF685" s="9"/>
      <c r="AG685" s="9"/>
      <c r="AH685" s="9"/>
    </row>
    <row r="686">
      <c r="A686" s="49"/>
      <c r="H686" s="9"/>
      <c r="I686" s="391"/>
      <c r="L686" s="9"/>
      <c r="V686" s="8"/>
      <c r="X686" s="9"/>
      <c r="Y686" s="9"/>
      <c r="Z686" s="9"/>
      <c r="AF686" s="9"/>
      <c r="AG686" s="9"/>
      <c r="AH686" s="9"/>
    </row>
    <row r="687">
      <c r="A687" s="49"/>
      <c r="H687" s="9"/>
      <c r="I687" s="391"/>
      <c r="L687" s="9"/>
      <c r="V687" s="8"/>
      <c r="X687" s="9"/>
      <c r="Y687" s="9"/>
      <c r="Z687" s="9"/>
      <c r="AF687" s="9"/>
      <c r="AG687" s="9"/>
      <c r="AH687" s="9"/>
    </row>
    <row r="688">
      <c r="A688" s="49"/>
      <c r="H688" s="9"/>
      <c r="I688" s="391"/>
      <c r="L688" s="9"/>
      <c r="V688" s="8"/>
      <c r="X688" s="9"/>
      <c r="Y688" s="9"/>
      <c r="Z688" s="9"/>
      <c r="AF688" s="9"/>
      <c r="AG688" s="9"/>
      <c r="AH688" s="9"/>
    </row>
    <row r="689">
      <c r="A689" s="49"/>
      <c r="H689" s="9"/>
      <c r="I689" s="391"/>
      <c r="L689" s="9"/>
      <c r="V689" s="8"/>
      <c r="X689" s="9"/>
      <c r="Y689" s="9"/>
      <c r="Z689" s="9"/>
      <c r="AF689" s="9"/>
      <c r="AG689" s="9"/>
      <c r="AH689" s="9"/>
    </row>
    <row r="690">
      <c r="A690" s="49"/>
      <c r="H690" s="9"/>
      <c r="I690" s="391"/>
      <c r="L690" s="9"/>
      <c r="V690" s="8"/>
      <c r="X690" s="9"/>
      <c r="Y690" s="9"/>
      <c r="Z690" s="9"/>
      <c r="AF690" s="9"/>
      <c r="AG690" s="9"/>
      <c r="AH690" s="9"/>
    </row>
    <row r="691">
      <c r="A691" s="49"/>
      <c r="H691" s="9"/>
      <c r="I691" s="391"/>
      <c r="L691" s="9"/>
      <c r="V691" s="8"/>
      <c r="X691" s="9"/>
      <c r="Y691" s="9"/>
      <c r="Z691" s="9"/>
      <c r="AF691" s="9"/>
      <c r="AG691" s="9"/>
      <c r="AH691" s="9"/>
    </row>
    <row r="692">
      <c r="A692" s="49"/>
      <c r="H692" s="9"/>
      <c r="I692" s="391"/>
      <c r="L692" s="9"/>
      <c r="V692" s="8"/>
      <c r="X692" s="9"/>
      <c r="Y692" s="9"/>
      <c r="Z692" s="9"/>
      <c r="AF692" s="9"/>
      <c r="AG692" s="9"/>
      <c r="AH692" s="9"/>
    </row>
    <row r="693">
      <c r="A693" s="49"/>
      <c r="H693" s="9"/>
      <c r="I693" s="391"/>
      <c r="L693" s="9"/>
      <c r="V693" s="8"/>
      <c r="X693" s="9"/>
      <c r="Y693" s="9"/>
      <c r="Z693" s="9"/>
      <c r="AF693" s="9"/>
      <c r="AG693" s="9"/>
      <c r="AH693" s="9"/>
    </row>
    <row r="694">
      <c r="A694" s="49"/>
      <c r="H694" s="9"/>
      <c r="I694" s="391"/>
      <c r="L694" s="9"/>
      <c r="V694" s="8"/>
      <c r="X694" s="9"/>
      <c r="Y694" s="9"/>
      <c r="Z694" s="9"/>
      <c r="AF694" s="9"/>
      <c r="AG694" s="9"/>
      <c r="AH694" s="9"/>
    </row>
    <row r="695">
      <c r="A695" s="49"/>
      <c r="H695" s="9"/>
      <c r="I695" s="391"/>
      <c r="L695" s="9"/>
      <c r="V695" s="8"/>
      <c r="X695" s="9"/>
      <c r="Y695" s="9"/>
      <c r="Z695" s="9"/>
      <c r="AF695" s="9"/>
      <c r="AG695" s="9"/>
      <c r="AH695" s="9"/>
    </row>
    <row r="696">
      <c r="A696" s="49"/>
      <c r="H696" s="9"/>
      <c r="I696" s="391"/>
      <c r="L696" s="9"/>
      <c r="V696" s="8"/>
      <c r="X696" s="9"/>
      <c r="Y696" s="9"/>
      <c r="Z696" s="9"/>
      <c r="AF696" s="9"/>
      <c r="AG696" s="9"/>
      <c r="AH696" s="9"/>
    </row>
    <row r="697">
      <c r="A697" s="49"/>
      <c r="H697" s="9"/>
      <c r="I697" s="391"/>
      <c r="L697" s="9"/>
      <c r="V697" s="8"/>
      <c r="X697" s="9"/>
      <c r="Y697" s="9"/>
      <c r="Z697" s="9"/>
      <c r="AF697" s="9"/>
      <c r="AG697" s="9"/>
      <c r="AH697" s="9"/>
    </row>
    <row r="698">
      <c r="A698" s="49"/>
      <c r="H698" s="9"/>
      <c r="I698" s="391"/>
      <c r="L698" s="9"/>
      <c r="V698" s="8"/>
      <c r="X698" s="9"/>
      <c r="Y698" s="9"/>
      <c r="Z698" s="9"/>
      <c r="AF698" s="9"/>
      <c r="AG698" s="9"/>
      <c r="AH698" s="9"/>
    </row>
    <row r="699">
      <c r="A699" s="49"/>
      <c r="H699" s="9"/>
      <c r="I699" s="391"/>
      <c r="L699" s="9"/>
      <c r="V699" s="8"/>
      <c r="X699" s="9"/>
      <c r="Y699" s="9"/>
      <c r="Z699" s="9"/>
      <c r="AF699" s="9"/>
      <c r="AG699" s="9"/>
      <c r="AH699" s="9"/>
    </row>
    <row r="700">
      <c r="A700" s="49"/>
      <c r="H700" s="9"/>
      <c r="I700" s="391"/>
      <c r="L700" s="9"/>
      <c r="V700" s="8"/>
      <c r="X700" s="9"/>
      <c r="Y700" s="9"/>
      <c r="Z700" s="9"/>
      <c r="AF700" s="9"/>
      <c r="AG700" s="9"/>
      <c r="AH700" s="9"/>
    </row>
    <row r="701">
      <c r="A701" s="49"/>
      <c r="H701" s="9"/>
      <c r="I701" s="391"/>
      <c r="L701" s="9"/>
      <c r="V701" s="8"/>
      <c r="X701" s="9"/>
      <c r="Y701" s="9"/>
      <c r="Z701" s="9"/>
      <c r="AF701" s="9"/>
      <c r="AG701" s="9"/>
      <c r="AH701" s="9"/>
    </row>
    <row r="702">
      <c r="A702" s="49"/>
      <c r="H702" s="9"/>
      <c r="I702" s="391"/>
      <c r="L702" s="9"/>
      <c r="V702" s="8"/>
      <c r="X702" s="9"/>
      <c r="Y702" s="9"/>
      <c r="Z702" s="9"/>
      <c r="AF702" s="9"/>
      <c r="AG702" s="9"/>
      <c r="AH702" s="9"/>
    </row>
    <row r="703">
      <c r="A703" s="49"/>
      <c r="H703" s="9"/>
      <c r="I703" s="391"/>
      <c r="L703" s="9"/>
      <c r="V703" s="8"/>
      <c r="X703" s="9"/>
      <c r="Y703" s="9"/>
      <c r="Z703" s="9"/>
      <c r="AF703" s="9"/>
      <c r="AG703" s="9"/>
      <c r="AH703" s="9"/>
    </row>
    <row r="704">
      <c r="A704" s="49"/>
      <c r="H704" s="9"/>
      <c r="I704" s="391"/>
      <c r="L704" s="9"/>
      <c r="V704" s="8"/>
      <c r="X704" s="9"/>
      <c r="Y704" s="9"/>
      <c r="Z704" s="9"/>
      <c r="AF704" s="9"/>
      <c r="AG704" s="9"/>
      <c r="AH704" s="9"/>
    </row>
    <row r="705">
      <c r="A705" s="49"/>
      <c r="H705" s="9"/>
      <c r="I705" s="391"/>
      <c r="L705" s="9"/>
      <c r="V705" s="8"/>
      <c r="X705" s="9"/>
      <c r="Y705" s="9"/>
      <c r="Z705" s="9"/>
      <c r="AF705" s="9"/>
      <c r="AG705" s="9"/>
      <c r="AH705" s="9"/>
    </row>
    <row r="706">
      <c r="A706" s="49"/>
      <c r="H706" s="9"/>
      <c r="I706" s="391"/>
      <c r="L706" s="9"/>
      <c r="V706" s="8"/>
      <c r="X706" s="9"/>
      <c r="Y706" s="9"/>
      <c r="Z706" s="9"/>
      <c r="AF706" s="9"/>
      <c r="AG706" s="9"/>
      <c r="AH706" s="9"/>
    </row>
    <row r="707">
      <c r="A707" s="49"/>
      <c r="H707" s="9"/>
      <c r="I707" s="391"/>
      <c r="L707" s="9"/>
      <c r="V707" s="8"/>
      <c r="X707" s="9"/>
      <c r="Y707" s="9"/>
      <c r="Z707" s="9"/>
      <c r="AF707" s="9"/>
      <c r="AG707" s="9"/>
      <c r="AH707" s="9"/>
    </row>
    <row r="708">
      <c r="A708" s="49"/>
      <c r="H708" s="9"/>
      <c r="I708" s="391"/>
      <c r="L708" s="9"/>
      <c r="V708" s="8"/>
      <c r="X708" s="9"/>
      <c r="Y708" s="9"/>
      <c r="Z708" s="9"/>
      <c r="AF708" s="9"/>
      <c r="AG708" s="9"/>
      <c r="AH708" s="9"/>
    </row>
    <row r="709">
      <c r="A709" s="49"/>
      <c r="H709" s="9"/>
      <c r="I709" s="391"/>
      <c r="L709" s="9"/>
      <c r="V709" s="8"/>
      <c r="X709" s="9"/>
      <c r="Y709" s="9"/>
      <c r="Z709" s="9"/>
      <c r="AF709" s="9"/>
      <c r="AG709" s="9"/>
      <c r="AH709" s="9"/>
    </row>
    <row r="710">
      <c r="A710" s="49"/>
      <c r="H710" s="9"/>
      <c r="I710" s="391"/>
      <c r="L710" s="9"/>
      <c r="V710" s="8"/>
      <c r="X710" s="9"/>
      <c r="Y710" s="9"/>
      <c r="Z710" s="9"/>
      <c r="AF710" s="9"/>
      <c r="AG710" s="9"/>
      <c r="AH710" s="9"/>
    </row>
    <row r="711">
      <c r="A711" s="49"/>
      <c r="H711" s="9"/>
      <c r="I711" s="391"/>
      <c r="L711" s="9"/>
      <c r="V711" s="8"/>
      <c r="X711" s="9"/>
      <c r="Y711" s="9"/>
      <c r="Z711" s="9"/>
      <c r="AF711" s="9"/>
      <c r="AG711" s="9"/>
      <c r="AH711" s="9"/>
    </row>
    <row r="712">
      <c r="A712" s="49"/>
      <c r="H712" s="9"/>
      <c r="I712" s="391"/>
      <c r="L712" s="9"/>
      <c r="V712" s="8"/>
      <c r="X712" s="9"/>
      <c r="Y712" s="9"/>
      <c r="Z712" s="9"/>
      <c r="AF712" s="9"/>
      <c r="AG712" s="9"/>
      <c r="AH712" s="9"/>
    </row>
    <row r="713">
      <c r="A713" s="49"/>
      <c r="H713" s="9"/>
      <c r="I713" s="391"/>
      <c r="L713" s="9"/>
      <c r="V713" s="8"/>
      <c r="X713" s="9"/>
      <c r="Y713" s="9"/>
      <c r="Z713" s="9"/>
      <c r="AF713" s="9"/>
      <c r="AG713" s="9"/>
      <c r="AH713" s="9"/>
    </row>
    <row r="714">
      <c r="A714" s="49"/>
      <c r="H714" s="9"/>
      <c r="I714" s="391"/>
      <c r="L714" s="9"/>
      <c r="V714" s="8"/>
      <c r="X714" s="9"/>
      <c r="Y714" s="9"/>
      <c r="Z714" s="9"/>
      <c r="AF714" s="9"/>
      <c r="AG714" s="9"/>
      <c r="AH714" s="9"/>
    </row>
    <row r="715">
      <c r="A715" s="49"/>
      <c r="H715" s="9"/>
      <c r="I715" s="391"/>
      <c r="L715" s="9"/>
      <c r="V715" s="8"/>
      <c r="X715" s="9"/>
      <c r="Y715" s="9"/>
      <c r="Z715" s="9"/>
      <c r="AF715" s="9"/>
      <c r="AG715" s="9"/>
      <c r="AH715" s="9"/>
    </row>
    <row r="716">
      <c r="A716" s="49"/>
      <c r="H716" s="9"/>
      <c r="I716" s="391"/>
      <c r="L716" s="9"/>
      <c r="V716" s="8"/>
      <c r="X716" s="9"/>
      <c r="Y716" s="9"/>
      <c r="Z716" s="9"/>
      <c r="AF716" s="9"/>
      <c r="AG716" s="9"/>
      <c r="AH716" s="9"/>
    </row>
    <row r="717">
      <c r="A717" s="49"/>
      <c r="H717" s="9"/>
      <c r="I717" s="391"/>
      <c r="L717" s="9"/>
      <c r="V717" s="8"/>
      <c r="X717" s="9"/>
      <c r="Y717" s="9"/>
      <c r="Z717" s="9"/>
      <c r="AF717" s="9"/>
      <c r="AG717" s="9"/>
      <c r="AH717" s="9"/>
    </row>
    <row r="718">
      <c r="A718" s="49"/>
      <c r="H718" s="9"/>
      <c r="I718" s="391"/>
      <c r="L718" s="9"/>
      <c r="V718" s="8"/>
      <c r="X718" s="9"/>
      <c r="Y718" s="9"/>
      <c r="Z718" s="9"/>
      <c r="AF718" s="9"/>
      <c r="AG718" s="9"/>
      <c r="AH718" s="9"/>
    </row>
    <row r="719">
      <c r="A719" s="49"/>
      <c r="H719" s="9"/>
      <c r="I719" s="391"/>
      <c r="L719" s="9"/>
      <c r="V719" s="8"/>
      <c r="X719" s="9"/>
      <c r="Y719" s="9"/>
      <c r="Z719" s="9"/>
      <c r="AF719" s="9"/>
      <c r="AG719" s="9"/>
      <c r="AH719" s="9"/>
    </row>
    <row r="720">
      <c r="A720" s="49"/>
      <c r="H720" s="9"/>
      <c r="I720" s="391"/>
      <c r="L720" s="9"/>
      <c r="V720" s="8"/>
      <c r="X720" s="9"/>
      <c r="Y720" s="9"/>
      <c r="Z720" s="9"/>
      <c r="AF720" s="9"/>
      <c r="AG720" s="9"/>
      <c r="AH720" s="9"/>
    </row>
    <row r="721">
      <c r="A721" s="49"/>
      <c r="H721" s="9"/>
      <c r="I721" s="391"/>
      <c r="L721" s="9"/>
      <c r="V721" s="8"/>
      <c r="X721" s="9"/>
      <c r="Y721" s="9"/>
      <c r="Z721" s="9"/>
      <c r="AF721" s="9"/>
      <c r="AG721" s="9"/>
      <c r="AH721" s="9"/>
    </row>
    <row r="722">
      <c r="A722" s="49"/>
      <c r="H722" s="9"/>
      <c r="I722" s="391"/>
      <c r="L722" s="9"/>
      <c r="V722" s="8"/>
      <c r="X722" s="9"/>
      <c r="Y722" s="9"/>
      <c r="Z722" s="9"/>
      <c r="AF722" s="9"/>
      <c r="AG722" s="9"/>
      <c r="AH722" s="9"/>
    </row>
    <row r="723">
      <c r="A723" s="49"/>
      <c r="H723" s="9"/>
      <c r="I723" s="391"/>
      <c r="L723" s="9"/>
      <c r="V723" s="8"/>
      <c r="X723" s="9"/>
      <c r="Y723" s="9"/>
      <c r="Z723" s="9"/>
      <c r="AF723" s="9"/>
      <c r="AG723" s="9"/>
      <c r="AH723" s="9"/>
    </row>
    <row r="724">
      <c r="A724" s="49"/>
      <c r="H724" s="9"/>
      <c r="I724" s="391"/>
      <c r="L724" s="9"/>
      <c r="V724" s="8"/>
      <c r="X724" s="9"/>
      <c r="Y724" s="9"/>
      <c r="Z724" s="9"/>
      <c r="AF724" s="9"/>
      <c r="AG724" s="9"/>
      <c r="AH724" s="9"/>
    </row>
    <row r="725">
      <c r="A725" s="49"/>
      <c r="H725" s="9"/>
      <c r="I725" s="391"/>
      <c r="L725" s="9"/>
      <c r="V725" s="8"/>
      <c r="X725" s="9"/>
      <c r="Y725" s="9"/>
      <c r="Z725" s="9"/>
      <c r="AF725" s="9"/>
      <c r="AG725" s="9"/>
      <c r="AH725" s="9"/>
    </row>
    <row r="726">
      <c r="A726" s="49"/>
      <c r="H726" s="9"/>
      <c r="I726" s="391"/>
      <c r="L726" s="9"/>
      <c r="V726" s="8"/>
      <c r="X726" s="9"/>
      <c r="Y726" s="9"/>
      <c r="Z726" s="9"/>
      <c r="AF726" s="9"/>
      <c r="AG726" s="9"/>
      <c r="AH726" s="9"/>
    </row>
    <row r="727">
      <c r="A727" s="49"/>
      <c r="H727" s="9"/>
      <c r="I727" s="391"/>
      <c r="L727" s="9"/>
      <c r="V727" s="8"/>
      <c r="X727" s="9"/>
      <c r="Y727" s="9"/>
      <c r="Z727" s="9"/>
      <c r="AF727" s="9"/>
      <c r="AG727" s="9"/>
      <c r="AH727" s="9"/>
    </row>
    <row r="728">
      <c r="A728" s="49"/>
      <c r="H728" s="9"/>
      <c r="I728" s="391"/>
      <c r="L728" s="9"/>
      <c r="V728" s="8"/>
      <c r="X728" s="9"/>
      <c r="Y728" s="9"/>
      <c r="Z728" s="9"/>
      <c r="AF728" s="9"/>
      <c r="AG728" s="9"/>
      <c r="AH728" s="9"/>
    </row>
    <row r="729">
      <c r="A729" s="49"/>
      <c r="H729" s="9"/>
      <c r="I729" s="391"/>
      <c r="L729" s="9"/>
      <c r="V729" s="8"/>
      <c r="X729" s="9"/>
      <c r="Y729" s="9"/>
      <c r="Z729" s="9"/>
      <c r="AF729" s="9"/>
      <c r="AG729" s="9"/>
      <c r="AH729" s="9"/>
    </row>
    <row r="730">
      <c r="A730" s="49"/>
      <c r="H730" s="9"/>
      <c r="I730" s="391"/>
      <c r="L730" s="9"/>
      <c r="V730" s="8"/>
      <c r="X730" s="9"/>
      <c r="Y730" s="9"/>
      <c r="Z730" s="9"/>
      <c r="AF730" s="9"/>
      <c r="AG730" s="9"/>
      <c r="AH730" s="9"/>
    </row>
    <row r="731">
      <c r="A731" s="49"/>
      <c r="H731" s="9"/>
      <c r="I731" s="391"/>
      <c r="L731" s="9"/>
      <c r="V731" s="8"/>
      <c r="X731" s="9"/>
      <c r="Y731" s="9"/>
      <c r="Z731" s="9"/>
      <c r="AF731" s="9"/>
      <c r="AG731" s="9"/>
      <c r="AH731" s="9"/>
    </row>
    <row r="732">
      <c r="A732" s="49"/>
      <c r="H732" s="9"/>
      <c r="I732" s="391"/>
      <c r="L732" s="9"/>
      <c r="V732" s="8"/>
      <c r="X732" s="9"/>
      <c r="Y732" s="9"/>
      <c r="Z732" s="9"/>
      <c r="AF732" s="9"/>
      <c r="AG732" s="9"/>
      <c r="AH732" s="9"/>
    </row>
    <row r="733">
      <c r="A733" s="49"/>
      <c r="H733" s="9"/>
      <c r="I733" s="391"/>
      <c r="L733" s="9"/>
      <c r="V733" s="8"/>
      <c r="X733" s="9"/>
      <c r="Y733" s="9"/>
      <c r="Z733" s="9"/>
      <c r="AF733" s="9"/>
      <c r="AG733" s="9"/>
      <c r="AH733" s="9"/>
    </row>
    <row r="734">
      <c r="A734" s="49"/>
      <c r="H734" s="9"/>
      <c r="I734" s="391"/>
      <c r="L734" s="9"/>
      <c r="V734" s="8"/>
      <c r="X734" s="9"/>
      <c r="Y734" s="9"/>
      <c r="Z734" s="9"/>
      <c r="AF734" s="9"/>
      <c r="AG734" s="9"/>
      <c r="AH734" s="9"/>
    </row>
    <row r="735">
      <c r="A735" s="49"/>
      <c r="H735" s="9"/>
      <c r="I735" s="391"/>
      <c r="L735" s="9"/>
      <c r="V735" s="8"/>
      <c r="X735" s="9"/>
      <c r="Y735" s="9"/>
      <c r="Z735" s="9"/>
      <c r="AF735" s="9"/>
      <c r="AG735" s="9"/>
      <c r="AH735" s="9"/>
    </row>
    <row r="736">
      <c r="A736" s="49"/>
      <c r="H736" s="9"/>
      <c r="I736" s="391"/>
      <c r="L736" s="9"/>
      <c r="V736" s="8"/>
      <c r="X736" s="9"/>
      <c r="Y736" s="9"/>
      <c r="Z736" s="9"/>
      <c r="AF736" s="9"/>
      <c r="AG736" s="9"/>
      <c r="AH736" s="9"/>
    </row>
    <row r="737">
      <c r="A737" s="49"/>
      <c r="H737" s="9"/>
      <c r="I737" s="391"/>
      <c r="L737" s="9"/>
      <c r="V737" s="8"/>
      <c r="X737" s="9"/>
      <c r="Y737" s="9"/>
      <c r="Z737" s="9"/>
      <c r="AF737" s="9"/>
      <c r="AG737" s="9"/>
      <c r="AH737" s="9"/>
    </row>
    <row r="738">
      <c r="A738" s="49"/>
      <c r="H738" s="9"/>
      <c r="I738" s="391"/>
      <c r="L738" s="9"/>
      <c r="V738" s="8"/>
      <c r="X738" s="9"/>
      <c r="Y738" s="9"/>
      <c r="Z738" s="9"/>
      <c r="AF738" s="9"/>
      <c r="AG738" s="9"/>
      <c r="AH738" s="9"/>
    </row>
    <row r="739">
      <c r="A739" s="49"/>
      <c r="H739" s="9"/>
      <c r="I739" s="391"/>
      <c r="L739" s="9"/>
      <c r="V739" s="8"/>
      <c r="X739" s="9"/>
      <c r="Y739" s="9"/>
      <c r="Z739" s="9"/>
      <c r="AF739" s="9"/>
      <c r="AG739" s="9"/>
      <c r="AH739" s="9"/>
    </row>
    <row r="740">
      <c r="A740" s="49"/>
      <c r="H740" s="9"/>
      <c r="I740" s="391"/>
      <c r="L740" s="9"/>
      <c r="V740" s="8"/>
      <c r="X740" s="9"/>
      <c r="Y740" s="9"/>
      <c r="Z740" s="9"/>
      <c r="AF740" s="9"/>
      <c r="AG740" s="9"/>
      <c r="AH740" s="9"/>
    </row>
    <row r="741">
      <c r="A741" s="49"/>
      <c r="H741" s="9"/>
      <c r="I741" s="391"/>
      <c r="L741" s="9"/>
      <c r="V741" s="8"/>
      <c r="X741" s="9"/>
      <c r="Y741" s="9"/>
      <c r="Z741" s="9"/>
      <c r="AF741" s="9"/>
      <c r="AG741" s="9"/>
      <c r="AH741" s="9"/>
    </row>
    <row r="742">
      <c r="A742" s="49"/>
      <c r="H742" s="9"/>
      <c r="I742" s="391"/>
      <c r="L742" s="9"/>
      <c r="V742" s="8"/>
      <c r="X742" s="9"/>
      <c r="Y742" s="9"/>
      <c r="Z742" s="9"/>
      <c r="AF742" s="9"/>
      <c r="AG742" s="9"/>
      <c r="AH742" s="9"/>
    </row>
    <row r="743">
      <c r="A743" s="49"/>
      <c r="H743" s="9"/>
      <c r="I743" s="391"/>
      <c r="L743" s="9"/>
      <c r="V743" s="8"/>
      <c r="X743" s="9"/>
      <c r="Y743" s="9"/>
      <c r="Z743" s="9"/>
      <c r="AF743" s="9"/>
      <c r="AG743" s="9"/>
      <c r="AH743" s="9"/>
    </row>
    <row r="744">
      <c r="A744" s="49"/>
      <c r="H744" s="9"/>
      <c r="I744" s="391"/>
      <c r="L744" s="9"/>
      <c r="V744" s="8"/>
      <c r="X744" s="9"/>
      <c r="Y744" s="9"/>
      <c r="Z744" s="9"/>
      <c r="AF744" s="9"/>
      <c r="AG744" s="9"/>
      <c r="AH744" s="9"/>
    </row>
    <row r="745">
      <c r="A745" s="49"/>
      <c r="H745" s="9"/>
      <c r="I745" s="391"/>
      <c r="L745" s="9"/>
      <c r="V745" s="8"/>
      <c r="X745" s="9"/>
      <c r="Y745" s="9"/>
      <c r="Z745" s="9"/>
      <c r="AF745" s="9"/>
      <c r="AG745" s="9"/>
      <c r="AH745" s="9"/>
    </row>
    <row r="746">
      <c r="A746" s="49"/>
      <c r="H746" s="9"/>
      <c r="I746" s="391"/>
      <c r="L746" s="9"/>
      <c r="V746" s="8"/>
      <c r="X746" s="9"/>
      <c r="Y746" s="9"/>
      <c r="Z746" s="9"/>
      <c r="AF746" s="9"/>
      <c r="AG746" s="9"/>
      <c r="AH746" s="9"/>
    </row>
    <row r="747">
      <c r="A747" s="49"/>
      <c r="H747" s="9"/>
      <c r="I747" s="391"/>
      <c r="L747" s="9"/>
      <c r="V747" s="8"/>
      <c r="X747" s="9"/>
      <c r="Y747" s="9"/>
      <c r="Z747" s="9"/>
      <c r="AF747" s="9"/>
      <c r="AG747" s="9"/>
      <c r="AH747" s="9"/>
    </row>
    <row r="748">
      <c r="A748" s="49"/>
      <c r="H748" s="9"/>
      <c r="I748" s="391"/>
      <c r="L748" s="9"/>
      <c r="V748" s="8"/>
      <c r="X748" s="9"/>
      <c r="Y748" s="9"/>
      <c r="Z748" s="9"/>
      <c r="AF748" s="9"/>
      <c r="AG748" s="9"/>
      <c r="AH748" s="9"/>
    </row>
    <row r="749">
      <c r="A749" s="49"/>
      <c r="H749" s="9"/>
      <c r="I749" s="391"/>
      <c r="L749" s="9"/>
      <c r="V749" s="8"/>
      <c r="X749" s="9"/>
      <c r="Y749" s="9"/>
      <c r="Z749" s="9"/>
      <c r="AF749" s="9"/>
      <c r="AG749" s="9"/>
      <c r="AH749" s="9"/>
    </row>
    <row r="750">
      <c r="A750" s="49"/>
      <c r="H750" s="9"/>
      <c r="I750" s="391"/>
      <c r="L750" s="9"/>
      <c r="V750" s="8"/>
      <c r="X750" s="9"/>
      <c r="Y750" s="9"/>
      <c r="Z750" s="9"/>
      <c r="AF750" s="9"/>
      <c r="AG750" s="9"/>
      <c r="AH750" s="9"/>
    </row>
    <row r="751">
      <c r="A751" s="49"/>
      <c r="H751" s="9"/>
      <c r="I751" s="391"/>
      <c r="L751" s="9"/>
      <c r="V751" s="8"/>
      <c r="X751" s="9"/>
      <c r="Y751" s="9"/>
      <c r="Z751" s="9"/>
      <c r="AF751" s="9"/>
      <c r="AG751" s="9"/>
      <c r="AH751" s="9"/>
    </row>
    <row r="752">
      <c r="A752" s="49"/>
      <c r="H752" s="9"/>
      <c r="I752" s="391"/>
      <c r="L752" s="9"/>
      <c r="V752" s="8"/>
      <c r="X752" s="9"/>
      <c r="Y752" s="9"/>
      <c r="Z752" s="9"/>
      <c r="AF752" s="9"/>
      <c r="AG752" s="9"/>
      <c r="AH752" s="9"/>
    </row>
    <row r="753">
      <c r="A753" s="49"/>
      <c r="H753" s="9"/>
      <c r="I753" s="391"/>
      <c r="L753" s="9"/>
      <c r="V753" s="8"/>
      <c r="X753" s="9"/>
      <c r="Y753" s="9"/>
      <c r="Z753" s="9"/>
      <c r="AF753" s="9"/>
      <c r="AG753" s="9"/>
      <c r="AH753" s="9"/>
    </row>
    <row r="754">
      <c r="A754" s="49"/>
      <c r="H754" s="9"/>
      <c r="I754" s="391"/>
      <c r="L754" s="9"/>
      <c r="V754" s="8"/>
      <c r="X754" s="9"/>
      <c r="Y754" s="9"/>
      <c r="Z754" s="9"/>
      <c r="AF754" s="9"/>
      <c r="AG754" s="9"/>
      <c r="AH754" s="9"/>
    </row>
    <row r="755">
      <c r="A755" s="49"/>
      <c r="H755" s="9"/>
      <c r="I755" s="391"/>
      <c r="L755" s="9"/>
      <c r="V755" s="8"/>
      <c r="X755" s="9"/>
      <c r="Y755" s="9"/>
      <c r="Z755" s="9"/>
      <c r="AF755" s="9"/>
      <c r="AG755" s="9"/>
      <c r="AH755" s="9"/>
    </row>
    <row r="756">
      <c r="A756" s="49"/>
      <c r="H756" s="9"/>
      <c r="I756" s="391"/>
      <c r="L756" s="9"/>
      <c r="V756" s="8"/>
      <c r="X756" s="9"/>
      <c r="Y756" s="9"/>
      <c r="Z756" s="9"/>
      <c r="AF756" s="9"/>
      <c r="AG756" s="9"/>
      <c r="AH756" s="9"/>
    </row>
    <row r="757">
      <c r="A757" s="49"/>
      <c r="H757" s="9"/>
      <c r="I757" s="391"/>
      <c r="L757" s="9"/>
      <c r="V757" s="8"/>
      <c r="X757" s="9"/>
      <c r="Y757" s="9"/>
      <c r="Z757" s="9"/>
      <c r="AF757" s="9"/>
      <c r="AG757" s="9"/>
      <c r="AH757" s="9"/>
    </row>
    <row r="758">
      <c r="A758" s="49"/>
      <c r="H758" s="9"/>
      <c r="I758" s="391"/>
      <c r="L758" s="9"/>
      <c r="V758" s="8"/>
      <c r="X758" s="9"/>
      <c r="Y758" s="9"/>
      <c r="Z758" s="9"/>
      <c r="AF758" s="9"/>
      <c r="AG758" s="9"/>
      <c r="AH758" s="9"/>
    </row>
    <row r="759">
      <c r="A759" s="49"/>
      <c r="H759" s="9"/>
      <c r="I759" s="391"/>
      <c r="L759" s="9"/>
      <c r="V759" s="8"/>
      <c r="X759" s="9"/>
      <c r="Y759" s="9"/>
      <c r="Z759" s="9"/>
      <c r="AF759" s="9"/>
      <c r="AG759" s="9"/>
      <c r="AH759" s="9"/>
    </row>
    <row r="760">
      <c r="A760" s="49"/>
      <c r="H760" s="9"/>
      <c r="I760" s="391"/>
      <c r="L760" s="9"/>
      <c r="V760" s="8"/>
      <c r="X760" s="9"/>
      <c r="Y760" s="9"/>
      <c r="Z760" s="9"/>
      <c r="AF760" s="9"/>
      <c r="AG760" s="9"/>
      <c r="AH760" s="9"/>
    </row>
    <row r="761">
      <c r="A761" s="49"/>
      <c r="H761" s="9"/>
      <c r="I761" s="391"/>
      <c r="L761" s="9"/>
      <c r="V761" s="8"/>
      <c r="X761" s="9"/>
      <c r="Y761" s="9"/>
      <c r="Z761" s="9"/>
      <c r="AF761" s="9"/>
      <c r="AG761" s="9"/>
      <c r="AH761" s="9"/>
    </row>
    <row r="762">
      <c r="A762" s="49"/>
      <c r="H762" s="9"/>
      <c r="I762" s="391"/>
      <c r="L762" s="9"/>
      <c r="V762" s="8"/>
      <c r="X762" s="9"/>
      <c r="Y762" s="9"/>
      <c r="Z762" s="9"/>
      <c r="AF762" s="9"/>
      <c r="AG762" s="9"/>
      <c r="AH762" s="9"/>
    </row>
    <row r="763">
      <c r="A763" s="49"/>
      <c r="H763" s="9"/>
      <c r="I763" s="391"/>
      <c r="L763" s="9"/>
      <c r="V763" s="8"/>
      <c r="X763" s="9"/>
      <c r="Y763" s="9"/>
      <c r="Z763" s="9"/>
      <c r="AF763" s="9"/>
      <c r="AG763" s="9"/>
      <c r="AH763" s="9"/>
    </row>
    <row r="764">
      <c r="A764" s="49"/>
      <c r="H764" s="9"/>
      <c r="I764" s="391"/>
      <c r="L764" s="9"/>
      <c r="V764" s="8"/>
      <c r="X764" s="9"/>
      <c r="Y764" s="9"/>
      <c r="Z764" s="9"/>
      <c r="AF764" s="9"/>
      <c r="AG764" s="9"/>
      <c r="AH764" s="9"/>
    </row>
    <row r="765">
      <c r="A765" s="49"/>
      <c r="H765" s="9"/>
      <c r="I765" s="391"/>
      <c r="L765" s="9"/>
      <c r="V765" s="8"/>
      <c r="X765" s="9"/>
      <c r="Y765" s="9"/>
      <c r="Z765" s="9"/>
      <c r="AF765" s="9"/>
      <c r="AG765" s="9"/>
      <c r="AH765" s="9"/>
    </row>
    <row r="766">
      <c r="A766" s="49"/>
      <c r="H766" s="9"/>
      <c r="I766" s="391"/>
      <c r="L766" s="9"/>
      <c r="V766" s="8"/>
      <c r="X766" s="9"/>
      <c r="Y766" s="9"/>
      <c r="Z766" s="9"/>
      <c r="AF766" s="9"/>
      <c r="AG766" s="9"/>
      <c r="AH766" s="9"/>
    </row>
    <row r="767">
      <c r="A767" s="49"/>
      <c r="H767" s="9"/>
      <c r="I767" s="391"/>
      <c r="L767" s="9"/>
      <c r="V767" s="8"/>
      <c r="X767" s="9"/>
      <c r="Y767" s="9"/>
      <c r="Z767" s="9"/>
      <c r="AF767" s="9"/>
      <c r="AG767" s="9"/>
      <c r="AH767" s="9"/>
    </row>
    <row r="768">
      <c r="A768" s="49"/>
      <c r="H768" s="9"/>
      <c r="I768" s="391"/>
      <c r="L768" s="9"/>
      <c r="V768" s="8"/>
      <c r="X768" s="9"/>
      <c r="Y768" s="9"/>
      <c r="Z768" s="9"/>
      <c r="AF768" s="9"/>
      <c r="AG768" s="9"/>
      <c r="AH768" s="9"/>
    </row>
    <row r="769">
      <c r="A769" s="49"/>
      <c r="H769" s="9"/>
      <c r="I769" s="391"/>
      <c r="L769" s="9"/>
      <c r="V769" s="8"/>
      <c r="X769" s="9"/>
      <c r="Y769" s="9"/>
      <c r="Z769" s="9"/>
      <c r="AF769" s="9"/>
      <c r="AG769" s="9"/>
      <c r="AH769" s="9"/>
    </row>
    <row r="770">
      <c r="A770" s="49"/>
      <c r="H770" s="9"/>
      <c r="I770" s="391"/>
      <c r="L770" s="9"/>
      <c r="V770" s="8"/>
      <c r="X770" s="9"/>
      <c r="Y770" s="9"/>
      <c r="Z770" s="9"/>
      <c r="AF770" s="9"/>
      <c r="AG770" s="9"/>
      <c r="AH770" s="9"/>
    </row>
    <row r="771">
      <c r="A771" s="49"/>
      <c r="H771" s="9"/>
      <c r="I771" s="391"/>
      <c r="L771" s="9"/>
      <c r="V771" s="8"/>
      <c r="X771" s="9"/>
      <c r="Y771" s="9"/>
      <c r="Z771" s="9"/>
      <c r="AF771" s="9"/>
      <c r="AG771" s="9"/>
      <c r="AH771" s="9"/>
    </row>
    <row r="772">
      <c r="A772" s="49"/>
      <c r="H772" s="9"/>
      <c r="I772" s="391"/>
      <c r="L772" s="9"/>
      <c r="V772" s="8"/>
      <c r="X772" s="9"/>
      <c r="Y772" s="9"/>
      <c r="Z772" s="9"/>
      <c r="AF772" s="9"/>
      <c r="AG772" s="9"/>
      <c r="AH772" s="9"/>
    </row>
    <row r="773">
      <c r="A773" s="49"/>
      <c r="H773" s="9"/>
      <c r="I773" s="391"/>
      <c r="L773" s="9"/>
      <c r="V773" s="8"/>
      <c r="X773" s="9"/>
      <c r="Y773" s="9"/>
      <c r="Z773" s="9"/>
      <c r="AF773" s="9"/>
      <c r="AG773" s="9"/>
      <c r="AH773" s="9"/>
    </row>
    <row r="774">
      <c r="A774" s="49"/>
      <c r="H774" s="9"/>
      <c r="I774" s="391"/>
      <c r="L774" s="9"/>
      <c r="V774" s="8"/>
      <c r="X774" s="9"/>
      <c r="Y774" s="9"/>
      <c r="Z774" s="9"/>
      <c r="AF774" s="9"/>
      <c r="AG774" s="9"/>
      <c r="AH774" s="9"/>
    </row>
    <row r="775">
      <c r="A775" s="49"/>
      <c r="H775" s="9"/>
      <c r="I775" s="391"/>
      <c r="L775" s="9"/>
      <c r="V775" s="8"/>
      <c r="X775" s="9"/>
      <c r="Y775" s="9"/>
      <c r="Z775" s="9"/>
      <c r="AF775" s="9"/>
      <c r="AG775" s="9"/>
      <c r="AH775" s="9"/>
    </row>
    <row r="776">
      <c r="A776" s="49"/>
      <c r="H776" s="9"/>
      <c r="I776" s="391"/>
      <c r="L776" s="9"/>
      <c r="V776" s="8"/>
      <c r="X776" s="9"/>
      <c r="Y776" s="9"/>
      <c r="Z776" s="9"/>
      <c r="AF776" s="9"/>
      <c r="AG776" s="9"/>
      <c r="AH776" s="9"/>
    </row>
    <row r="777">
      <c r="A777" s="49"/>
      <c r="H777" s="9"/>
      <c r="I777" s="391"/>
      <c r="L777" s="9"/>
      <c r="V777" s="8"/>
      <c r="X777" s="9"/>
      <c r="Y777" s="9"/>
      <c r="Z777" s="9"/>
      <c r="AF777" s="9"/>
      <c r="AG777" s="9"/>
      <c r="AH777" s="9"/>
    </row>
    <row r="778">
      <c r="A778" s="49"/>
      <c r="H778" s="9"/>
      <c r="I778" s="391"/>
      <c r="L778" s="9"/>
      <c r="V778" s="8"/>
      <c r="X778" s="9"/>
      <c r="Y778" s="9"/>
      <c r="Z778" s="9"/>
      <c r="AF778" s="9"/>
      <c r="AG778" s="9"/>
      <c r="AH778" s="9"/>
    </row>
    <row r="779">
      <c r="A779" s="49"/>
      <c r="H779" s="9"/>
      <c r="I779" s="391"/>
      <c r="L779" s="9"/>
      <c r="V779" s="8"/>
      <c r="X779" s="9"/>
      <c r="Y779" s="9"/>
      <c r="Z779" s="9"/>
      <c r="AF779" s="9"/>
      <c r="AG779" s="9"/>
      <c r="AH779" s="9"/>
    </row>
    <row r="780">
      <c r="A780" s="49"/>
      <c r="H780" s="9"/>
      <c r="I780" s="391"/>
      <c r="L780" s="9"/>
      <c r="V780" s="8"/>
      <c r="X780" s="9"/>
      <c r="Y780" s="9"/>
      <c r="Z780" s="9"/>
      <c r="AF780" s="9"/>
      <c r="AG780" s="9"/>
      <c r="AH780" s="9"/>
    </row>
    <row r="781">
      <c r="A781" s="49"/>
      <c r="H781" s="9"/>
      <c r="I781" s="391"/>
      <c r="L781" s="9"/>
      <c r="V781" s="8"/>
      <c r="X781" s="9"/>
      <c r="Y781" s="9"/>
      <c r="Z781" s="9"/>
      <c r="AF781" s="9"/>
      <c r="AG781" s="9"/>
      <c r="AH781" s="9"/>
    </row>
    <row r="782">
      <c r="A782" s="49"/>
      <c r="H782" s="9"/>
      <c r="I782" s="391"/>
      <c r="L782" s="9"/>
      <c r="V782" s="8"/>
      <c r="X782" s="9"/>
      <c r="Y782" s="9"/>
      <c r="Z782" s="9"/>
      <c r="AF782" s="9"/>
      <c r="AG782" s="9"/>
      <c r="AH782" s="9"/>
    </row>
    <row r="783">
      <c r="A783" s="49"/>
      <c r="H783" s="9"/>
      <c r="I783" s="391"/>
      <c r="L783" s="9"/>
      <c r="V783" s="8"/>
      <c r="X783" s="9"/>
      <c r="Y783" s="9"/>
      <c r="Z783" s="9"/>
      <c r="AF783" s="9"/>
      <c r="AG783" s="9"/>
      <c r="AH783" s="9"/>
    </row>
    <row r="784">
      <c r="A784" s="49"/>
      <c r="H784" s="9"/>
      <c r="I784" s="391"/>
      <c r="L784" s="9"/>
      <c r="V784" s="8"/>
      <c r="X784" s="9"/>
      <c r="Y784" s="9"/>
      <c r="Z784" s="9"/>
      <c r="AF784" s="9"/>
      <c r="AG784" s="9"/>
      <c r="AH784" s="9"/>
    </row>
    <row r="785">
      <c r="A785" s="49"/>
      <c r="H785" s="9"/>
      <c r="I785" s="391"/>
      <c r="L785" s="9"/>
      <c r="V785" s="8"/>
      <c r="X785" s="9"/>
      <c r="Y785" s="9"/>
      <c r="Z785" s="9"/>
      <c r="AF785" s="9"/>
      <c r="AG785" s="9"/>
      <c r="AH785" s="9"/>
    </row>
    <row r="786">
      <c r="A786" s="49"/>
      <c r="H786" s="9"/>
      <c r="I786" s="391"/>
      <c r="L786" s="9"/>
      <c r="V786" s="8"/>
      <c r="X786" s="9"/>
      <c r="Y786" s="9"/>
      <c r="Z786" s="9"/>
      <c r="AF786" s="9"/>
      <c r="AG786" s="9"/>
      <c r="AH786" s="9"/>
    </row>
    <row r="787">
      <c r="A787" s="49"/>
      <c r="H787" s="9"/>
      <c r="I787" s="391"/>
      <c r="L787" s="9"/>
      <c r="V787" s="8"/>
      <c r="X787" s="9"/>
      <c r="Y787" s="9"/>
      <c r="Z787" s="9"/>
      <c r="AF787" s="9"/>
      <c r="AG787" s="9"/>
      <c r="AH787" s="9"/>
    </row>
    <row r="788">
      <c r="A788" s="49"/>
      <c r="H788" s="9"/>
      <c r="I788" s="391"/>
      <c r="L788" s="9"/>
      <c r="V788" s="8"/>
      <c r="X788" s="9"/>
      <c r="Y788" s="9"/>
      <c r="Z788" s="9"/>
      <c r="AF788" s="9"/>
      <c r="AG788" s="9"/>
      <c r="AH788" s="9"/>
    </row>
    <row r="789">
      <c r="A789" s="49"/>
      <c r="H789" s="9"/>
      <c r="I789" s="391"/>
      <c r="L789" s="9"/>
      <c r="V789" s="8"/>
      <c r="X789" s="9"/>
      <c r="Y789" s="9"/>
      <c r="Z789" s="9"/>
      <c r="AF789" s="9"/>
      <c r="AG789" s="9"/>
      <c r="AH789" s="9"/>
    </row>
    <row r="790">
      <c r="A790" s="49"/>
      <c r="H790" s="9"/>
      <c r="I790" s="391"/>
      <c r="L790" s="9"/>
      <c r="V790" s="8"/>
      <c r="X790" s="9"/>
      <c r="Y790" s="9"/>
      <c r="Z790" s="9"/>
      <c r="AF790" s="9"/>
      <c r="AG790" s="9"/>
      <c r="AH790" s="9"/>
    </row>
    <row r="791">
      <c r="A791" s="49"/>
      <c r="H791" s="9"/>
      <c r="I791" s="391"/>
      <c r="L791" s="9"/>
      <c r="V791" s="8"/>
      <c r="X791" s="9"/>
      <c r="Y791" s="9"/>
      <c r="Z791" s="9"/>
      <c r="AF791" s="9"/>
      <c r="AG791" s="9"/>
      <c r="AH791" s="9"/>
    </row>
    <row r="792">
      <c r="A792" s="49"/>
      <c r="H792" s="9"/>
      <c r="I792" s="391"/>
      <c r="L792" s="9"/>
      <c r="V792" s="8"/>
      <c r="X792" s="9"/>
      <c r="Y792" s="9"/>
      <c r="Z792" s="9"/>
      <c r="AF792" s="9"/>
      <c r="AG792" s="9"/>
      <c r="AH792" s="9"/>
    </row>
    <row r="793">
      <c r="A793" s="49"/>
      <c r="H793" s="9"/>
      <c r="I793" s="391"/>
      <c r="L793" s="9"/>
      <c r="V793" s="8"/>
      <c r="X793" s="9"/>
      <c r="Y793" s="9"/>
      <c r="Z793" s="9"/>
      <c r="AF793" s="9"/>
      <c r="AG793" s="9"/>
      <c r="AH793" s="9"/>
    </row>
    <row r="794">
      <c r="A794" s="49"/>
      <c r="H794" s="9"/>
      <c r="I794" s="391"/>
      <c r="L794" s="9"/>
      <c r="V794" s="8"/>
      <c r="X794" s="9"/>
      <c r="Y794" s="9"/>
      <c r="Z794" s="9"/>
      <c r="AF794" s="9"/>
      <c r="AG794" s="9"/>
      <c r="AH794" s="9"/>
    </row>
    <row r="795">
      <c r="A795" s="49"/>
      <c r="H795" s="9"/>
      <c r="I795" s="391"/>
      <c r="L795" s="9"/>
      <c r="V795" s="8"/>
      <c r="X795" s="9"/>
      <c r="Y795" s="9"/>
      <c r="Z795" s="9"/>
      <c r="AF795" s="9"/>
      <c r="AG795" s="9"/>
      <c r="AH795" s="9"/>
    </row>
    <row r="796">
      <c r="A796" s="49"/>
      <c r="H796" s="9"/>
      <c r="I796" s="391"/>
      <c r="L796" s="9"/>
      <c r="V796" s="8"/>
      <c r="X796" s="9"/>
      <c r="Y796" s="9"/>
      <c r="Z796" s="9"/>
      <c r="AF796" s="9"/>
      <c r="AG796" s="9"/>
      <c r="AH796" s="9"/>
    </row>
    <row r="797">
      <c r="A797" s="49"/>
      <c r="H797" s="9"/>
      <c r="I797" s="391"/>
      <c r="L797" s="9"/>
      <c r="V797" s="8"/>
      <c r="X797" s="9"/>
      <c r="Y797" s="9"/>
      <c r="Z797" s="9"/>
      <c r="AF797" s="9"/>
      <c r="AG797" s="9"/>
      <c r="AH797" s="9"/>
    </row>
    <row r="798">
      <c r="A798" s="49"/>
      <c r="H798" s="9"/>
      <c r="I798" s="391"/>
      <c r="L798" s="9"/>
      <c r="V798" s="8"/>
      <c r="X798" s="9"/>
      <c r="Y798" s="9"/>
      <c r="Z798" s="9"/>
      <c r="AF798" s="9"/>
      <c r="AG798" s="9"/>
      <c r="AH798" s="9"/>
    </row>
    <row r="799">
      <c r="A799" s="49"/>
      <c r="H799" s="9"/>
      <c r="I799" s="391"/>
      <c r="L799" s="9"/>
      <c r="V799" s="8"/>
      <c r="X799" s="9"/>
      <c r="Y799" s="9"/>
      <c r="Z799" s="9"/>
      <c r="AF799" s="9"/>
      <c r="AG799" s="9"/>
      <c r="AH799" s="9"/>
    </row>
    <row r="800">
      <c r="A800" s="49"/>
      <c r="H800" s="9"/>
      <c r="I800" s="391"/>
      <c r="L800" s="9"/>
      <c r="V800" s="8"/>
      <c r="X800" s="9"/>
      <c r="Y800" s="9"/>
      <c r="Z800" s="9"/>
      <c r="AF800" s="9"/>
      <c r="AG800" s="9"/>
      <c r="AH800" s="9"/>
    </row>
    <row r="801">
      <c r="A801" s="49"/>
      <c r="H801" s="9"/>
      <c r="I801" s="391"/>
      <c r="L801" s="9"/>
      <c r="V801" s="8"/>
      <c r="X801" s="9"/>
      <c r="Y801" s="9"/>
      <c r="Z801" s="9"/>
      <c r="AF801" s="9"/>
      <c r="AG801" s="9"/>
      <c r="AH801" s="9"/>
    </row>
    <row r="802">
      <c r="A802" s="49"/>
      <c r="H802" s="9"/>
      <c r="I802" s="391"/>
      <c r="L802" s="9"/>
      <c r="V802" s="8"/>
      <c r="X802" s="9"/>
      <c r="Y802" s="9"/>
      <c r="Z802" s="9"/>
      <c r="AF802" s="9"/>
      <c r="AG802" s="9"/>
      <c r="AH802" s="9"/>
    </row>
    <row r="803">
      <c r="A803" s="49"/>
      <c r="H803" s="9"/>
      <c r="I803" s="391"/>
      <c r="L803" s="9"/>
      <c r="V803" s="8"/>
      <c r="X803" s="9"/>
      <c r="Y803" s="9"/>
      <c r="Z803" s="9"/>
      <c r="AF803" s="9"/>
      <c r="AG803" s="9"/>
      <c r="AH803" s="9"/>
    </row>
    <row r="804">
      <c r="A804" s="49"/>
      <c r="H804" s="9"/>
      <c r="I804" s="391"/>
      <c r="L804" s="9"/>
      <c r="V804" s="8"/>
      <c r="X804" s="9"/>
      <c r="Y804" s="9"/>
      <c r="Z804" s="9"/>
      <c r="AF804" s="9"/>
      <c r="AG804" s="9"/>
      <c r="AH804" s="9"/>
    </row>
    <row r="805">
      <c r="A805" s="49"/>
      <c r="H805" s="9"/>
      <c r="I805" s="391"/>
      <c r="L805" s="9"/>
      <c r="V805" s="8"/>
      <c r="X805" s="9"/>
      <c r="Y805" s="9"/>
      <c r="Z805" s="9"/>
      <c r="AF805" s="9"/>
      <c r="AG805" s="9"/>
      <c r="AH805" s="9"/>
    </row>
    <row r="806">
      <c r="A806" s="49"/>
      <c r="H806" s="9"/>
      <c r="I806" s="391"/>
      <c r="L806" s="9"/>
      <c r="V806" s="8"/>
      <c r="X806" s="9"/>
      <c r="Y806" s="9"/>
      <c r="Z806" s="9"/>
      <c r="AF806" s="9"/>
      <c r="AG806" s="9"/>
      <c r="AH806" s="9"/>
    </row>
    <row r="807">
      <c r="A807" s="49"/>
      <c r="H807" s="9"/>
      <c r="I807" s="391"/>
      <c r="L807" s="9"/>
      <c r="V807" s="8"/>
      <c r="X807" s="9"/>
      <c r="Y807" s="9"/>
      <c r="Z807" s="9"/>
      <c r="AF807" s="9"/>
      <c r="AG807" s="9"/>
      <c r="AH807" s="9"/>
    </row>
    <row r="808">
      <c r="A808" s="49"/>
      <c r="H808" s="9"/>
      <c r="I808" s="391"/>
      <c r="L808" s="9"/>
      <c r="V808" s="8"/>
      <c r="X808" s="9"/>
      <c r="Y808" s="9"/>
      <c r="Z808" s="9"/>
      <c r="AF808" s="9"/>
      <c r="AG808" s="9"/>
      <c r="AH808" s="9"/>
    </row>
    <row r="809">
      <c r="A809" s="49"/>
      <c r="H809" s="9"/>
      <c r="I809" s="391"/>
      <c r="L809" s="9"/>
      <c r="V809" s="8"/>
      <c r="X809" s="9"/>
      <c r="Y809" s="9"/>
      <c r="Z809" s="9"/>
      <c r="AF809" s="9"/>
      <c r="AG809" s="9"/>
      <c r="AH809" s="9"/>
    </row>
    <row r="810">
      <c r="A810" s="49"/>
      <c r="H810" s="9"/>
      <c r="I810" s="391"/>
      <c r="L810" s="9"/>
      <c r="V810" s="8"/>
      <c r="X810" s="9"/>
      <c r="Y810" s="9"/>
      <c r="Z810" s="9"/>
      <c r="AF810" s="9"/>
      <c r="AG810" s="9"/>
      <c r="AH810" s="9"/>
    </row>
    <row r="811">
      <c r="A811" s="49"/>
      <c r="H811" s="9"/>
      <c r="I811" s="391"/>
      <c r="L811" s="9"/>
      <c r="V811" s="8"/>
      <c r="X811" s="9"/>
      <c r="Y811" s="9"/>
      <c r="Z811" s="9"/>
      <c r="AF811" s="9"/>
      <c r="AG811" s="9"/>
      <c r="AH811" s="9"/>
    </row>
    <row r="812">
      <c r="A812" s="49"/>
      <c r="H812" s="9"/>
      <c r="I812" s="391"/>
      <c r="L812" s="9"/>
      <c r="V812" s="8"/>
      <c r="X812" s="9"/>
      <c r="Y812" s="9"/>
      <c r="Z812" s="9"/>
      <c r="AF812" s="9"/>
      <c r="AG812" s="9"/>
      <c r="AH812" s="9"/>
    </row>
    <row r="813">
      <c r="A813" s="49"/>
      <c r="H813" s="9"/>
      <c r="I813" s="391"/>
      <c r="L813" s="9"/>
      <c r="V813" s="8"/>
      <c r="X813" s="9"/>
      <c r="Y813" s="9"/>
      <c r="Z813" s="9"/>
      <c r="AF813" s="9"/>
      <c r="AG813" s="9"/>
      <c r="AH813" s="9"/>
    </row>
    <row r="814">
      <c r="A814" s="49"/>
      <c r="H814" s="9"/>
      <c r="I814" s="391"/>
      <c r="L814" s="9"/>
      <c r="V814" s="8"/>
      <c r="X814" s="9"/>
      <c r="Y814" s="9"/>
      <c r="Z814" s="9"/>
      <c r="AF814" s="9"/>
      <c r="AG814" s="9"/>
      <c r="AH814" s="9"/>
    </row>
    <row r="815">
      <c r="A815" s="49"/>
      <c r="H815" s="9"/>
      <c r="I815" s="391"/>
      <c r="L815" s="9"/>
      <c r="V815" s="8"/>
      <c r="X815" s="9"/>
      <c r="Y815" s="9"/>
      <c r="Z815" s="9"/>
      <c r="AF815" s="9"/>
      <c r="AG815" s="9"/>
      <c r="AH815" s="9"/>
    </row>
    <row r="816">
      <c r="A816" s="49"/>
      <c r="H816" s="9"/>
      <c r="I816" s="391"/>
      <c r="L816" s="9"/>
      <c r="V816" s="8"/>
      <c r="X816" s="9"/>
      <c r="Y816" s="9"/>
      <c r="Z816" s="9"/>
      <c r="AF816" s="9"/>
      <c r="AG816" s="9"/>
      <c r="AH816" s="9"/>
    </row>
    <row r="817">
      <c r="A817" s="49"/>
      <c r="H817" s="9"/>
      <c r="I817" s="391"/>
      <c r="L817" s="9"/>
      <c r="V817" s="8"/>
      <c r="X817" s="9"/>
      <c r="Y817" s="9"/>
      <c r="Z817" s="9"/>
      <c r="AF817" s="9"/>
      <c r="AG817" s="9"/>
      <c r="AH817" s="9"/>
    </row>
    <row r="818">
      <c r="A818" s="49"/>
      <c r="H818" s="9"/>
      <c r="I818" s="391"/>
      <c r="L818" s="9"/>
      <c r="V818" s="8"/>
      <c r="X818" s="9"/>
      <c r="Y818" s="9"/>
      <c r="Z818" s="9"/>
      <c r="AF818" s="9"/>
      <c r="AG818" s="9"/>
      <c r="AH818" s="9"/>
    </row>
    <row r="819">
      <c r="A819" s="49"/>
      <c r="H819" s="9"/>
      <c r="I819" s="391"/>
      <c r="L819" s="9"/>
      <c r="V819" s="8"/>
      <c r="X819" s="9"/>
      <c r="Y819" s="9"/>
      <c r="Z819" s="9"/>
      <c r="AF819" s="9"/>
      <c r="AG819" s="9"/>
      <c r="AH819" s="9"/>
    </row>
    <row r="820">
      <c r="A820" s="49"/>
      <c r="H820" s="9"/>
      <c r="I820" s="391"/>
      <c r="L820" s="9"/>
      <c r="V820" s="8"/>
      <c r="X820" s="9"/>
      <c r="Y820" s="9"/>
      <c r="Z820" s="9"/>
      <c r="AF820" s="9"/>
      <c r="AG820" s="9"/>
      <c r="AH820" s="9"/>
    </row>
    <row r="821">
      <c r="A821" s="49"/>
      <c r="H821" s="9"/>
      <c r="I821" s="391"/>
      <c r="L821" s="9"/>
      <c r="V821" s="8"/>
      <c r="X821" s="9"/>
      <c r="Y821" s="9"/>
      <c r="Z821" s="9"/>
      <c r="AF821" s="9"/>
      <c r="AG821" s="9"/>
      <c r="AH821" s="9"/>
    </row>
    <row r="822">
      <c r="A822" s="49"/>
      <c r="H822" s="9"/>
      <c r="I822" s="391"/>
      <c r="L822" s="9"/>
      <c r="V822" s="8"/>
      <c r="X822" s="9"/>
      <c r="Y822" s="9"/>
      <c r="Z822" s="9"/>
      <c r="AF822" s="9"/>
      <c r="AG822" s="9"/>
      <c r="AH822" s="9"/>
    </row>
    <row r="823">
      <c r="A823" s="49"/>
      <c r="H823" s="9"/>
      <c r="I823" s="391"/>
      <c r="L823" s="9"/>
      <c r="V823" s="8"/>
      <c r="X823" s="9"/>
      <c r="Y823" s="9"/>
      <c r="Z823" s="9"/>
      <c r="AF823" s="9"/>
      <c r="AG823" s="9"/>
      <c r="AH823" s="9"/>
    </row>
    <row r="824">
      <c r="A824" s="49"/>
      <c r="H824" s="9"/>
      <c r="I824" s="391"/>
      <c r="L824" s="9"/>
      <c r="V824" s="8"/>
      <c r="X824" s="9"/>
      <c r="Y824" s="9"/>
      <c r="Z824" s="9"/>
      <c r="AF824" s="9"/>
      <c r="AG824" s="9"/>
      <c r="AH824" s="9"/>
    </row>
    <row r="825">
      <c r="A825" s="49"/>
      <c r="H825" s="9"/>
      <c r="I825" s="391"/>
      <c r="L825" s="9"/>
      <c r="V825" s="8"/>
      <c r="X825" s="9"/>
      <c r="Y825" s="9"/>
      <c r="Z825" s="9"/>
      <c r="AF825" s="9"/>
      <c r="AG825" s="9"/>
      <c r="AH825" s="9"/>
    </row>
    <row r="826">
      <c r="A826" s="49"/>
      <c r="H826" s="9"/>
      <c r="I826" s="391"/>
      <c r="L826" s="9"/>
      <c r="V826" s="8"/>
      <c r="X826" s="9"/>
      <c r="Y826" s="9"/>
      <c r="Z826" s="9"/>
      <c r="AF826" s="9"/>
      <c r="AG826" s="9"/>
      <c r="AH826" s="9"/>
    </row>
    <row r="827">
      <c r="A827" s="49"/>
      <c r="H827" s="9"/>
      <c r="I827" s="391"/>
      <c r="L827" s="9"/>
      <c r="V827" s="8"/>
      <c r="X827" s="9"/>
      <c r="Y827" s="9"/>
      <c r="Z827" s="9"/>
      <c r="AF827" s="9"/>
      <c r="AG827" s="9"/>
      <c r="AH827" s="9"/>
    </row>
    <row r="828">
      <c r="A828" s="49"/>
      <c r="H828" s="9"/>
      <c r="I828" s="391"/>
      <c r="L828" s="9"/>
      <c r="V828" s="8"/>
      <c r="X828" s="9"/>
      <c r="Y828" s="9"/>
      <c r="Z828" s="9"/>
      <c r="AF828" s="9"/>
      <c r="AG828" s="9"/>
      <c r="AH828" s="9"/>
    </row>
    <row r="829">
      <c r="A829" s="49"/>
      <c r="H829" s="9"/>
      <c r="I829" s="391"/>
      <c r="L829" s="9"/>
      <c r="V829" s="8"/>
      <c r="X829" s="9"/>
      <c r="Y829" s="9"/>
      <c r="Z829" s="9"/>
      <c r="AF829" s="9"/>
      <c r="AG829" s="9"/>
      <c r="AH829" s="9"/>
    </row>
    <row r="830">
      <c r="A830" s="49"/>
      <c r="H830" s="9"/>
      <c r="I830" s="391"/>
      <c r="L830" s="9"/>
      <c r="V830" s="8"/>
      <c r="X830" s="9"/>
      <c r="Y830" s="9"/>
      <c r="Z830" s="9"/>
      <c r="AF830" s="9"/>
      <c r="AG830" s="9"/>
      <c r="AH830" s="9"/>
    </row>
    <row r="831">
      <c r="A831" s="49"/>
      <c r="H831" s="9"/>
      <c r="I831" s="391"/>
      <c r="L831" s="9"/>
      <c r="V831" s="8"/>
      <c r="X831" s="9"/>
      <c r="Y831" s="9"/>
      <c r="Z831" s="9"/>
      <c r="AF831" s="9"/>
      <c r="AG831" s="9"/>
      <c r="AH831" s="9"/>
    </row>
    <row r="832">
      <c r="A832" s="49"/>
      <c r="H832" s="9"/>
      <c r="I832" s="391"/>
      <c r="L832" s="9"/>
      <c r="V832" s="8"/>
      <c r="X832" s="9"/>
      <c r="Y832" s="9"/>
      <c r="Z832" s="9"/>
      <c r="AF832" s="9"/>
      <c r="AG832" s="9"/>
      <c r="AH832" s="9"/>
    </row>
    <row r="833">
      <c r="A833" s="49"/>
      <c r="H833" s="9"/>
      <c r="I833" s="391"/>
      <c r="L833" s="9"/>
      <c r="V833" s="8"/>
      <c r="X833" s="9"/>
      <c r="Y833" s="9"/>
      <c r="Z833" s="9"/>
      <c r="AF833" s="9"/>
      <c r="AG833" s="9"/>
      <c r="AH833" s="9"/>
    </row>
    <row r="834">
      <c r="A834" s="49"/>
      <c r="H834" s="9"/>
      <c r="I834" s="391"/>
      <c r="L834" s="9"/>
      <c r="V834" s="8"/>
      <c r="X834" s="9"/>
      <c r="Y834" s="9"/>
      <c r="Z834" s="9"/>
      <c r="AF834" s="9"/>
      <c r="AG834" s="9"/>
      <c r="AH834" s="9"/>
    </row>
    <row r="835">
      <c r="A835" s="49"/>
      <c r="H835" s="9"/>
      <c r="I835" s="391"/>
      <c r="L835" s="9"/>
      <c r="V835" s="8"/>
      <c r="X835" s="9"/>
      <c r="Y835" s="9"/>
      <c r="Z835" s="9"/>
      <c r="AF835" s="9"/>
      <c r="AG835" s="9"/>
      <c r="AH835" s="9"/>
    </row>
    <row r="836">
      <c r="A836" s="49"/>
      <c r="H836" s="9"/>
      <c r="I836" s="391"/>
      <c r="L836" s="9"/>
      <c r="V836" s="8"/>
      <c r="X836" s="9"/>
      <c r="Y836" s="9"/>
      <c r="Z836" s="9"/>
      <c r="AF836" s="9"/>
      <c r="AG836" s="9"/>
      <c r="AH836" s="9"/>
    </row>
    <row r="837">
      <c r="A837" s="49"/>
      <c r="H837" s="9"/>
      <c r="I837" s="391"/>
      <c r="L837" s="9"/>
      <c r="V837" s="8"/>
      <c r="X837" s="9"/>
      <c r="Y837" s="9"/>
      <c r="Z837" s="9"/>
      <c r="AF837" s="9"/>
      <c r="AG837" s="9"/>
      <c r="AH837" s="9"/>
    </row>
    <row r="838">
      <c r="A838" s="49"/>
      <c r="H838" s="9"/>
      <c r="I838" s="391"/>
      <c r="L838" s="9"/>
      <c r="V838" s="8"/>
      <c r="X838" s="9"/>
      <c r="Y838" s="9"/>
      <c r="Z838" s="9"/>
      <c r="AF838" s="9"/>
      <c r="AG838" s="9"/>
      <c r="AH838" s="9"/>
    </row>
    <row r="839">
      <c r="A839" s="49"/>
      <c r="H839" s="9"/>
      <c r="I839" s="391"/>
      <c r="L839" s="9"/>
      <c r="V839" s="8"/>
      <c r="X839" s="9"/>
      <c r="Y839" s="9"/>
      <c r="Z839" s="9"/>
      <c r="AF839" s="9"/>
      <c r="AG839" s="9"/>
      <c r="AH839" s="9"/>
    </row>
    <row r="840">
      <c r="A840" s="49"/>
      <c r="H840" s="9"/>
      <c r="I840" s="391"/>
      <c r="L840" s="9"/>
      <c r="V840" s="8"/>
      <c r="X840" s="9"/>
      <c r="Y840" s="9"/>
      <c r="Z840" s="9"/>
      <c r="AF840" s="9"/>
      <c r="AG840" s="9"/>
      <c r="AH840" s="9"/>
    </row>
    <row r="841">
      <c r="A841" s="49"/>
      <c r="H841" s="9"/>
      <c r="I841" s="391"/>
      <c r="L841" s="9"/>
      <c r="V841" s="8"/>
      <c r="X841" s="9"/>
      <c r="Y841" s="9"/>
      <c r="Z841" s="9"/>
      <c r="AF841" s="9"/>
      <c r="AG841" s="9"/>
      <c r="AH841" s="9"/>
    </row>
    <row r="842">
      <c r="A842" s="49"/>
      <c r="H842" s="9"/>
      <c r="I842" s="391"/>
      <c r="L842" s="9"/>
      <c r="V842" s="8"/>
      <c r="X842" s="9"/>
      <c r="Y842" s="9"/>
      <c r="Z842" s="9"/>
      <c r="AF842" s="9"/>
      <c r="AG842" s="9"/>
      <c r="AH842" s="9"/>
    </row>
    <row r="843">
      <c r="A843" s="49"/>
      <c r="H843" s="9"/>
      <c r="I843" s="391"/>
      <c r="L843" s="9"/>
      <c r="V843" s="8"/>
      <c r="X843" s="9"/>
      <c r="Y843" s="9"/>
      <c r="Z843" s="9"/>
      <c r="AF843" s="9"/>
      <c r="AG843" s="9"/>
      <c r="AH843" s="9"/>
    </row>
    <row r="844">
      <c r="A844" s="49"/>
      <c r="H844" s="9"/>
      <c r="I844" s="391"/>
      <c r="L844" s="9"/>
      <c r="V844" s="8"/>
      <c r="X844" s="9"/>
      <c r="Y844" s="9"/>
      <c r="Z844" s="9"/>
      <c r="AF844" s="9"/>
      <c r="AG844" s="9"/>
      <c r="AH844" s="9"/>
    </row>
    <row r="845">
      <c r="A845" s="49"/>
      <c r="H845" s="9"/>
      <c r="I845" s="391"/>
      <c r="L845" s="9"/>
      <c r="V845" s="8"/>
      <c r="X845" s="9"/>
      <c r="Y845" s="9"/>
      <c r="Z845" s="9"/>
      <c r="AF845" s="9"/>
      <c r="AG845" s="9"/>
      <c r="AH845" s="9"/>
    </row>
    <row r="846">
      <c r="A846" s="49"/>
      <c r="H846" s="9"/>
      <c r="I846" s="391"/>
      <c r="L846" s="9"/>
      <c r="V846" s="8"/>
      <c r="X846" s="9"/>
      <c r="Y846" s="9"/>
      <c r="Z846" s="9"/>
      <c r="AF846" s="9"/>
      <c r="AG846" s="9"/>
      <c r="AH846" s="9"/>
    </row>
    <row r="847">
      <c r="A847" s="49"/>
      <c r="H847" s="9"/>
      <c r="I847" s="391"/>
      <c r="L847" s="9"/>
      <c r="V847" s="8"/>
      <c r="X847" s="9"/>
      <c r="Y847" s="9"/>
      <c r="Z847" s="9"/>
      <c r="AF847" s="9"/>
      <c r="AG847" s="9"/>
      <c r="AH847" s="9"/>
    </row>
    <row r="848">
      <c r="A848" s="49"/>
      <c r="H848" s="9"/>
      <c r="I848" s="391"/>
      <c r="L848" s="9"/>
      <c r="V848" s="8"/>
      <c r="X848" s="9"/>
      <c r="Y848" s="9"/>
      <c r="Z848" s="9"/>
      <c r="AF848" s="9"/>
      <c r="AG848" s="9"/>
      <c r="AH848" s="9"/>
    </row>
    <row r="849">
      <c r="A849" s="49"/>
      <c r="H849" s="9"/>
      <c r="I849" s="391"/>
      <c r="L849" s="9"/>
      <c r="V849" s="8"/>
      <c r="X849" s="9"/>
      <c r="Y849" s="9"/>
      <c r="Z849" s="9"/>
      <c r="AF849" s="9"/>
      <c r="AG849" s="9"/>
      <c r="AH849" s="9"/>
    </row>
    <row r="850">
      <c r="A850" s="49"/>
      <c r="H850" s="9"/>
      <c r="I850" s="391"/>
      <c r="L850" s="9"/>
      <c r="V850" s="8"/>
      <c r="X850" s="9"/>
      <c r="Y850" s="9"/>
      <c r="Z850" s="9"/>
      <c r="AF850" s="9"/>
      <c r="AG850" s="9"/>
      <c r="AH850" s="9"/>
    </row>
    <row r="851">
      <c r="A851" s="49"/>
      <c r="H851" s="9"/>
      <c r="I851" s="391"/>
      <c r="L851" s="9"/>
      <c r="V851" s="8"/>
      <c r="X851" s="9"/>
      <c r="Y851" s="9"/>
      <c r="Z851" s="9"/>
      <c r="AF851" s="9"/>
      <c r="AG851" s="9"/>
      <c r="AH851" s="9"/>
    </row>
    <row r="852">
      <c r="A852" s="49"/>
      <c r="H852" s="9"/>
      <c r="I852" s="391"/>
      <c r="L852" s="9"/>
      <c r="V852" s="8"/>
      <c r="X852" s="9"/>
      <c r="Y852" s="9"/>
      <c r="Z852" s="9"/>
      <c r="AF852" s="9"/>
      <c r="AG852" s="9"/>
      <c r="AH852" s="9"/>
    </row>
    <row r="853">
      <c r="A853" s="49"/>
      <c r="H853" s="9"/>
      <c r="I853" s="391"/>
      <c r="L853" s="9"/>
      <c r="V853" s="8"/>
      <c r="X853" s="9"/>
      <c r="Y853" s="9"/>
      <c r="Z853" s="9"/>
      <c r="AF853" s="9"/>
      <c r="AG853" s="9"/>
      <c r="AH853" s="9"/>
    </row>
    <row r="854">
      <c r="A854" s="49"/>
      <c r="H854" s="9"/>
      <c r="I854" s="391"/>
      <c r="L854" s="9"/>
      <c r="V854" s="8"/>
      <c r="X854" s="9"/>
      <c r="Y854" s="9"/>
      <c r="Z854" s="9"/>
      <c r="AF854" s="9"/>
      <c r="AG854" s="9"/>
      <c r="AH854" s="9"/>
    </row>
    <row r="855">
      <c r="A855" s="49"/>
      <c r="H855" s="9"/>
      <c r="I855" s="391"/>
      <c r="L855" s="9"/>
      <c r="V855" s="8"/>
      <c r="X855" s="9"/>
      <c r="Y855" s="9"/>
      <c r="Z855" s="9"/>
      <c r="AF855" s="9"/>
      <c r="AG855" s="9"/>
      <c r="AH855" s="9"/>
    </row>
    <row r="856">
      <c r="A856" s="49"/>
      <c r="H856" s="9"/>
      <c r="I856" s="391"/>
      <c r="L856" s="9"/>
      <c r="V856" s="8"/>
      <c r="X856" s="9"/>
      <c r="Y856" s="9"/>
      <c r="Z856" s="9"/>
      <c r="AF856" s="9"/>
      <c r="AG856" s="9"/>
      <c r="AH856" s="9"/>
    </row>
    <row r="857">
      <c r="A857" s="49"/>
      <c r="H857" s="9"/>
      <c r="I857" s="391"/>
      <c r="L857" s="9"/>
      <c r="V857" s="8"/>
      <c r="X857" s="9"/>
      <c r="Y857" s="9"/>
      <c r="Z857" s="9"/>
      <c r="AF857" s="9"/>
      <c r="AG857" s="9"/>
      <c r="AH857" s="9"/>
    </row>
    <row r="858">
      <c r="A858" s="49"/>
      <c r="H858" s="9"/>
      <c r="I858" s="391"/>
      <c r="L858" s="9"/>
      <c r="V858" s="8"/>
      <c r="X858" s="9"/>
      <c r="Y858" s="9"/>
      <c r="Z858" s="9"/>
      <c r="AF858" s="9"/>
      <c r="AG858" s="9"/>
      <c r="AH858" s="9"/>
    </row>
    <row r="859">
      <c r="A859" s="49"/>
      <c r="H859" s="9"/>
      <c r="I859" s="391"/>
      <c r="L859" s="9"/>
      <c r="V859" s="8"/>
      <c r="X859" s="9"/>
      <c r="Y859" s="9"/>
      <c r="Z859" s="9"/>
      <c r="AF859" s="9"/>
      <c r="AG859" s="9"/>
      <c r="AH859" s="9"/>
    </row>
    <row r="860">
      <c r="A860" s="49"/>
      <c r="H860" s="9"/>
      <c r="I860" s="391"/>
      <c r="L860" s="9"/>
      <c r="V860" s="8"/>
      <c r="X860" s="9"/>
      <c r="Y860" s="9"/>
      <c r="Z860" s="9"/>
      <c r="AF860" s="9"/>
      <c r="AG860" s="9"/>
      <c r="AH860" s="9"/>
    </row>
    <row r="861">
      <c r="A861" s="49"/>
      <c r="H861" s="9"/>
      <c r="I861" s="391"/>
      <c r="L861" s="9"/>
      <c r="V861" s="8"/>
      <c r="X861" s="9"/>
      <c r="Y861" s="9"/>
      <c r="Z861" s="9"/>
      <c r="AF861" s="9"/>
      <c r="AG861" s="9"/>
      <c r="AH861" s="9"/>
    </row>
    <row r="862">
      <c r="A862" s="49"/>
      <c r="H862" s="9"/>
      <c r="I862" s="391"/>
      <c r="L862" s="9"/>
      <c r="V862" s="8"/>
      <c r="X862" s="9"/>
      <c r="Y862" s="9"/>
      <c r="Z862" s="9"/>
      <c r="AF862" s="9"/>
      <c r="AG862" s="9"/>
      <c r="AH862" s="9"/>
    </row>
    <row r="863">
      <c r="A863" s="49"/>
      <c r="H863" s="9"/>
      <c r="I863" s="391"/>
      <c r="L863" s="9"/>
      <c r="V863" s="8"/>
      <c r="X863" s="9"/>
      <c r="Y863" s="9"/>
      <c r="Z863" s="9"/>
      <c r="AF863" s="9"/>
      <c r="AG863" s="9"/>
      <c r="AH863" s="9"/>
    </row>
    <row r="864">
      <c r="A864" s="49"/>
      <c r="H864" s="9"/>
      <c r="I864" s="391"/>
      <c r="L864" s="9"/>
      <c r="V864" s="8"/>
      <c r="X864" s="9"/>
      <c r="Y864" s="9"/>
      <c r="Z864" s="9"/>
      <c r="AF864" s="9"/>
      <c r="AG864" s="9"/>
      <c r="AH864" s="9"/>
    </row>
    <row r="865">
      <c r="A865" s="49"/>
      <c r="H865" s="9"/>
      <c r="I865" s="391"/>
      <c r="L865" s="9"/>
      <c r="V865" s="8"/>
      <c r="X865" s="9"/>
      <c r="Y865" s="9"/>
      <c r="Z865" s="9"/>
      <c r="AF865" s="9"/>
      <c r="AG865" s="9"/>
      <c r="AH865" s="9"/>
    </row>
    <row r="866">
      <c r="A866" s="49"/>
      <c r="H866" s="9"/>
      <c r="I866" s="391"/>
      <c r="L866" s="9"/>
      <c r="V866" s="8"/>
      <c r="X866" s="9"/>
      <c r="Y866" s="9"/>
      <c r="Z866" s="9"/>
      <c r="AF866" s="9"/>
      <c r="AG866" s="9"/>
      <c r="AH866" s="9"/>
    </row>
    <row r="867">
      <c r="A867" s="49"/>
      <c r="H867" s="9"/>
      <c r="I867" s="391"/>
      <c r="L867" s="9"/>
      <c r="V867" s="8"/>
      <c r="X867" s="9"/>
      <c r="Y867" s="9"/>
      <c r="Z867" s="9"/>
      <c r="AF867" s="9"/>
      <c r="AG867" s="9"/>
      <c r="AH867" s="9"/>
    </row>
    <row r="868">
      <c r="A868" s="49"/>
      <c r="H868" s="9"/>
      <c r="I868" s="391"/>
      <c r="L868" s="9"/>
      <c r="V868" s="8"/>
      <c r="X868" s="9"/>
      <c r="Y868" s="9"/>
      <c r="Z868" s="9"/>
      <c r="AF868" s="9"/>
      <c r="AG868" s="9"/>
      <c r="AH868" s="9"/>
    </row>
    <row r="869">
      <c r="A869" s="49"/>
      <c r="H869" s="9"/>
      <c r="I869" s="391"/>
      <c r="L869" s="9"/>
      <c r="V869" s="8"/>
      <c r="X869" s="9"/>
      <c r="Y869" s="9"/>
      <c r="Z869" s="9"/>
      <c r="AF869" s="9"/>
      <c r="AG869" s="9"/>
      <c r="AH869" s="9"/>
    </row>
    <row r="870">
      <c r="A870" s="49"/>
      <c r="H870" s="9"/>
      <c r="I870" s="391"/>
      <c r="L870" s="9"/>
      <c r="V870" s="8"/>
      <c r="X870" s="9"/>
      <c r="Y870" s="9"/>
      <c r="Z870" s="9"/>
      <c r="AF870" s="9"/>
      <c r="AG870" s="9"/>
      <c r="AH870" s="9"/>
    </row>
    <row r="871">
      <c r="A871" s="49"/>
      <c r="H871" s="9"/>
      <c r="I871" s="391"/>
      <c r="L871" s="9"/>
      <c r="V871" s="8"/>
      <c r="X871" s="9"/>
      <c r="Y871" s="9"/>
      <c r="Z871" s="9"/>
      <c r="AF871" s="9"/>
      <c r="AG871" s="9"/>
      <c r="AH871" s="9"/>
    </row>
    <row r="872">
      <c r="A872" s="49"/>
      <c r="H872" s="9"/>
      <c r="I872" s="391"/>
      <c r="L872" s="9"/>
      <c r="V872" s="8"/>
      <c r="X872" s="9"/>
      <c r="Y872" s="9"/>
      <c r="Z872" s="9"/>
      <c r="AF872" s="9"/>
      <c r="AG872" s="9"/>
      <c r="AH872" s="9"/>
    </row>
    <row r="873">
      <c r="A873" s="49"/>
      <c r="H873" s="9"/>
      <c r="I873" s="391"/>
      <c r="L873" s="9"/>
      <c r="V873" s="8"/>
      <c r="X873" s="9"/>
      <c r="Y873" s="9"/>
      <c r="Z873" s="9"/>
      <c r="AF873" s="9"/>
      <c r="AG873" s="9"/>
      <c r="AH873" s="9"/>
    </row>
    <row r="874">
      <c r="A874" s="49"/>
      <c r="H874" s="9"/>
      <c r="I874" s="391"/>
      <c r="L874" s="9"/>
      <c r="V874" s="8"/>
      <c r="X874" s="9"/>
      <c r="Y874" s="9"/>
      <c r="Z874" s="9"/>
      <c r="AF874" s="9"/>
      <c r="AG874" s="9"/>
      <c r="AH874" s="9"/>
    </row>
    <row r="875">
      <c r="A875" s="49"/>
      <c r="H875" s="9"/>
      <c r="I875" s="391"/>
      <c r="L875" s="9"/>
      <c r="V875" s="8"/>
      <c r="X875" s="9"/>
      <c r="Y875" s="9"/>
      <c r="Z875" s="9"/>
      <c r="AF875" s="9"/>
      <c r="AG875" s="9"/>
      <c r="AH875" s="9"/>
    </row>
    <row r="876">
      <c r="A876" s="49"/>
      <c r="H876" s="9"/>
      <c r="I876" s="391"/>
      <c r="L876" s="9"/>
      <c r="V876" s="8"/>
      <c r="X876" s="9"/>
      <c r="Y876" s="9"/>
      <c r="Z876" s="9"/>
      <c r="AF876" s="9"/>
      <c r="AG876" s="9"/>
      <c r="AH876" s="9"/>
    </row>
    <row r="877">
      <c r="A877" s="49"/>
      <c r="H877" s="9"/>
      <c r="I877" s="391"/>
      <c r="L877" s="9"/>
      <c r="V877" s="8"/>
      <c r="X877" s="9"/>
      <c r="Y877" s="9"/>
      <c r="Z877" s="9"/>
      <c r="AF877" s="9"/>
      <c r="AG877" s="9"/>
      <c r="AH877" s="9"/>
    </row>
    <row r="878">
      <c r="A878" s="49"/>
      <c r="H878" s="9"/>
      <c r="I878" s="391"/>
      <c r="L878" s="9"/>
      <c r="V878" s="8"/>
      <c r="X878" s="9"/>
      <c r="Y878" s="9"/>
      <c r="Z878" s="9"/>
      <c r="AF878" s="9"/>
      <c r="AG878" s="9"/>
      <c r="AH878" s="9"/>
    </row>
    <row r="879">
      <c r="A879" s="49"/>
      <c r="H879" s="9"/>
      <c r="I879" s="391"/>
      <c r="L879" s="9"/>
      <c r="V879" s="8"/>
      <c r="X879" s="9"/>
      <c r="Y879" s="9"/>
      <c r="Z879" s="9"/>
      <c r="AF879" s="9"/>
      <c r="AG879" s="9"/>
      <c r="AH879" s="9"/>
    </row>
    <row r="880">
      <c r="A880" s="49"/>
      <c r="H880" s="9"/>
      <c r="I880" s="391"/>
      <c r="L880" s="9"/>
      <c r="V880" s="8"/>
      <c r="X880" s="9"/>
      <c r="Y880" s="9"/>
      <c r="Z880" s="9"/>
      <c r="AF880" s="9"/>
      <c r="AG880" s="9"/>
      <c r="AH880" s="9"/>
    </row>
    <row r="881">
      <c r="A881" s="49"/>
      <c r="H881" s="9"/>
      <c r="I881" s="391"/>
      <c r="L881" s="9"/>
      <c r="V881" s="8"/>
      <c r="X881" s="9"/>
      <c r="Y881" s="9"/>
      <c r="Z881" s="9"/>
      <c r="AF881" s="9"/>
      <c r="AG881" s="9"/>
      <c r="AH881" s="9"/>
    </row>
    <row r="882">
      <c r="A882" s="49"/>
      <c r="H882" s="9"/>
      <c r="I882" s="391"/>
      <c r="L882" s="9"/>
      <c r="V882" s="8"/>
      <c r="X882" s="9"/>
      <c r="Y882" s="9"/>
      <c r="Z882" s="9"/>
      <c r="AF882" s="9"/>
      <c r="AG882" s="9"/>
      <c r="AH882" s="9"/>
    </row>
    <row r="883">
      <c r="A883" s="49"/>
      <c r="H883" s="9"/>
      <c r="I883" s="391"/>
      <c r="L883" s="9"/>
      <c r="V883" s="8"/>
      <c r="X883" s="9"/>
      <c r="Y883" s="9"/>
      <c r="Z883" s="9"/>
      <c r="AF883" s="9"/>
      <c r="AG883" s="9"/>
      <c r="AH883" s="9"/>
    </row>
    <row r="884">
      <c r="A884" s="49"/>
      <c r="H884" s="9"/>
      <c r="I884" s="391"/>
      <c r="L884" s="9"/>
      <c r="V884" s="8"/>
      <c r="X884" s="9"/>
      <c r="Y884" s="9"/>
      <c r="Z884" s="9"/>
      <c r="AF884" s="9"/>
      <c r="AG884" s="9"/>
      <c r="AH884" s="9"/>
    </row>
    <row r="885">
      <c r="A885" s="49"/>
      <c r="H885" s="9"/>
      <c r="I885" s="391"/>
      <c r="L885" s="9"/>
      <c r="V885" s="8"/>
      <c r="X885" s="9"/>
      <c r="Y885" s="9"/>
      <c r="Z885" s="9"/>
      <c r="AF885" s="9"/>
      <c r="AG885" s="9"/>
      <c r="AH885" s="9"/>
    </row>
    <row r="886">
      <c r="A886" s="49"/>
      <c r="H886" s="9"/>
      <c r="I886" s="391"/>
      <c r="L886" s="9"/>
      <c r="V886" s="8"/>
      <c r="X886" s="9"/>
      <c r="Y886" s="9"/>
      <c r="Z886" s="9"/>
      <c r="AF886" s="9"/>
      <c r="AG886" s="9"/>
      <c r="AH886" s="9"/>
    </row>
    <row r="887">
      <c r="A887" s="49"/>
      <c r="H887" s="9"/>
      <c r="I887" s="391"/>
      <c r="L887" s="9"/>
      <c r="V887" s="8"/>
      <c r="X887" s="9"/>
      <c r="Y887" s="9"/>
      <c r="Z887" s="9"/>
      <c r="AF887" s="9"/>
      <c r="AG887" s="9"/>
      <c r="AH887" s="9"/>
    </row>
    <row r="888">
      <c r="A888" s="49"/>
      <c r="H888" s="9"/>
      <c r="I888" s="391"/>
      <c r="L888" s="9"/>
      <c r="V888" s="8"/>
      <c r="X888" s="9"/>
      <c r="Y888" s="9"/>
      <c r="Z888" s="9"/>
      <c r="AF888" s="9"/>
      <c r="AG888" s="9"/>
      <c r="AH888" s="9"/>
    </row>
    <row r="889">
      <c r="A889" s="49"/>
      <c r="H889" s="9"/>
      <c r="I889" s="391"/>
      <c r="L889" s="9"/>
      <c r="V889" s="8"/>
      <c r="X889" s="9"/>
      <c r="Y889" s="9"/>
      <c r="Z889" s="9"/>
      <c r="AF889" s="9"/>
      <c r="AG889" s="9"/>
      <c r="AH889" s="9"/>
    </row>
    <row r="890">
      <c r="A890" s="49"/>
      <c r="H890" s="9"/>
      <c r="I890" s="391"/>
      <c r="L890" s="9"/>
      <c r="V890" s="8"/>
      <c r="X890" s="9"/>
      <c r="Y890" s="9"/>
      <c r="Z890" s="9"/>
      <c r="AF890" s="9"/>
      <c r="AG890" s="9"/>
      <c r="AH890" s="9"/>
    </row>
    <row r="891">
      <c r="A891" s="49"/>
      <c r="H891" s="9"/>
      <c r="I891" s="391"/>
      <c r="L891" s="9"/>
      <c r="V891" s="8"/>
      <c r="X891" s="9"/>
      <c r="Y891" s="9"/>
      <c r="Z891" s="9"/>
      <c r="AF891" s="9"/>
      <c r="AG891" s="9"/>
      <c r="AH891" s="9"/>
    </row>
    <row r="892">
      <c r="A892" s="49"/>
      <c r="H892" s="9"/>
      <c r="I892" s="391"/>
      <c r="L892" s="9"/>
      <c r="V892" s="8"/>
      <c r="X892" s="9"/>
      <c r="Y892" s="9"/>
      <c r="Z892" s="9"/>
      <c r="AF892" s="9"/>
      <c r="AG892" s="9"/>
      <c r="AH892" s="9"/>
    </row>
    <row r="893">
      <c r="A893" s="49"/>
      <c r="H893" s="9"/>
      <c r="I893" s="391"/>
      <c r="L893" s="9"/>
      <c r="V893" s="8"/>
      <c r="X893" s="9"/>
      <c r="Y893" s="9"/>
      <c r="Z893" s="9"/>
      <c r="AF893" s="9"/>
      <c r="AG893" s="9"/>
      <c r="AH893" s="9"/>
    </row>
    <row r="894">
      <c r="A894" s="49"/>
      <c r="H894" s="9"/>
      <c r="I894" s="391"/>
      <c r="L894" s="9"/>
      <c r="V894" s="8"/>
      <c r="X894" s="9"/>
      <c r="Y894" s="9"/>
      <c r="Z894" s="9"/>
      <c r="AF894" s="9"/>
      <c r="AG894" s="9"/>
      <c r="AH894" s="9"/>
    </row>
    <row r="895">
      <c r="A895" s="49"/>
      <c r="H895" s="9"/>
      <c r="I895" s="391"/>
      <c r="L895" s="9"/>
      <c r="V895" s="8"/>
      <c r="X895" s="9"/>
      <c r="Y895" s="9"/>
      <c r="Z895" s="9"/>
      <c r="AF895" s="9"/>
      <c r="AG895" s="9"/>
      <c r="AH895" s="9"/>
    </row>
    <row r="896">
      <c r="A896" s="49"/>
      <c r="H896" s="9"/>
      <c r="I896" s="391"/>
      <c r="L896" s="9"/>
      <c r="V896" s="8"/>
      <c r="X896" s="9"/>
      <c r="Y896" s="9"/>
      <c r="Z896" s="9"/>
      <c r="AF896" s="9"/>
      <c r="AG896" s="9"/>
      <c r="AH896" s="9"/>
    </row>
    <row r="897">
      <c r="A897" s="49"/>
      <c r="H897" s="9"/>
      <c r="I897" s="391"/>
      <c r="L897" s="9"/>
      <c r="V897" s="8"/>
      <c r="X897" s="9"/>
      <c r="Y897" s="9"/>
      <c r="Z897" s="9"/>
      <c r="AF897" s="9"/>
      <c r="AG897" s="9"/>
      <c r="AH897" s="9"/>
    </row>
    <row r="898">
      <c r="A898" s="49"/>
      <c r="H898" s="9"/>
      <c r="I898" s="391"/>
      <c r="L898" s="9"/>
      <c r="V898" s="8"/>
      <c r="X898" s="9"/>
      <c r="Y898" s="9"/>
      <c r="Z898" s="9"/>
      <c r="AF898" s="9"/>
      <c r="AG898" s="9"/>
      <c r="AH898" s="9"/>
    </row>
    <row r="899">
      <c r="A899" s="49"/>
      <c r="H899" s="9"/>
      <c r="I899" s="391"/>
      <c r="L899" s="9"/>
      <c r="V899" s="8"/>
      <c r="X899" s="9"/>
      <c r="Y899" s="9"/>
      <c r="Z899" s="9"/>
      <c r="AF899" s="9"/>
      <c r="AG899" s="9"/>
      <c r="AH899" s="9"/>
    </row>
    <row r="900">
      <c r="A900" s="49"/>
      <c r="H900" s="9"/>
      <c r="I900" s="391"/>
      <c r="L900" s="9"/>
      <c r="V900" s="8"/>
      <c r="X900" s="9"/>
      <c r="Y900" s="9"/>
      <c r="Z900" s="9"/>
      <c r="AF900" s="9"/>
      <c r="AG900" s="9"/>
      <c r="AH900" s="9"/>
    </row>
    <row r="901">
      <c r="A901" s="49"/>
      <c r="H901" s="9"/>
      <c r="I901" s="391"/>
      <c r="L901" s="9"/>
      <c r="V901" s="8"/>
      <c r="X901" s="9"/>
      <c r="Y901" s="9"/>
      <c r="Z901" s="9"/>
      <c r="AF901" s="9"/>
      <c r="AG901" s="9"/>
      <c r="AH901" s="9"/>
    </row>
    <row r="902">
      <c r="A902" s="49"/>
      <c r="H902" s="9"/>
      <c r="I902" s="391"/>
      <c r="L902" s="9"/>
      <c r="V902" s="8"/>
      <c r="X902" s="9"/>
      <c r="Y902" s="9"/>
      <c r="Z902" s="9"/>
      <c r="AF902" s="9"/>
      <c r="AG902" s="9"/>
      <c r="AH902" s="9"/>
    </row>
    <row r="903">
      <c r="A903" s="49"/>
      <c r="H903" s="9"/>
      <c r="I903" s="391"/>
      <c r="L903" s="9"/>
      <c r="V903" s="8"/>
      <c r="X903" s="9"/>
      <c r="Y903" s="9"/>
      <c r="Z903" s="9"/>
      <c r="AF903" s="9"/>
      <c r="AG903" s="9"/>
      <c r="AH903" s="9"/>
    </row>
    <row r="904">
      <c r="A904" s="49"/>
      <c r="H904" s="9"/>
      <c r="I904" s="391"/>
      <c r="L904" s="9"/>
      <c r="V904" s="8"/>
      <c r="X904" s="9"/>
      <c r="Y904" s="9"/>
      <c r="Z904" s="9"/>
      <c r="AF904" s="9"/>
      <c r="AG904" s="9"/>
      <c r="AH904" s="9"/>
    </row>
    <row r="905">
      <c r="A905" s="49"/>
      <c r="H905" s="9"/>
      <c r="I905" s="391"/>
      <c r="L905" s="9"/>
      <c r="V905" s="8"/>
      <c r="X905" s="9"/>
      <c r="Y905" s="9"/>
      <c r="Z905" s="9"/>
      <c r="AF905" s="9"/>
      <c r="AG905" s="9"/>
      <c r="AH905" s="9"/>
    </row>
    <row r="906">
      <c r="A906" s="49"/>
      <c r="H906" s="9"/>
      <c r="I906" s="391"/>
      <c r="L906" s="9"/>
      <c r="V906" s="8"/>
      <c r="X906" s="9"/>
      <c r="Y906" s="9"/>
      <c r="Z906" s="9"/>
      <c r="AF906" s="9"/>
      <c r="AG906" s="9"/>
      <c r="AH906" s="9"/>
    </row>
    <row r="907">
      <c r="A907" s="49"/>
      <c r="H907" s="9"/>
      <c r="I907" s="391"/>
      <c r="L907" s="9"/>
      <c r="V907" s="8"/>
      <c r="X907" s="9"/>
      <c r="Y907" s="9"/>
      <c r="Z907" s="9"/>
      <c r="AF907" s="9"/>
      <c r="AG907" s="9"/>
      <c r="AH907" s="9"/>
    </row>
    <row r="908">
      <c r="A908" s="49"/>
      <c r="H908" s="9"/>
      <c r="I908" s="391"/>
      <c r="L908" s="9"/>
      <c r="V908" s="8"/>
      <c r="X908" s="9"/>
      <c r="Y908" s="9"/>
      <c r="Z908" s="9"/>
      <c r="AF908" s="9"/>
      <c r="AG908" s="9"/>
      <c r="AH908" s="9"/>
    </row>
    <row r="909">
      <c r="A909" s="49"/>
      <c r="H909" s="9"/>
      <c r="I909" s="391"/>
      <c r="L909" s="9"/>
      <c r="V909" s="8"/>
      <c r="X909" s="9"/>
      <c r="Y909" s="9"/>
      <c r="Z909" s="9"/>
      <c r="AF909" s="9"/>
      <c r="AG909" s="9"/>
      <c r="AH909" s="9"/>
    </row>
    <row r="910">
      <c r="A910" s="49"/>
      <c r="H910" s="9"/>
      <c r="I910" s="391"/>
      <c r="L910" s="9"/>
      <c r="V910" s="8"/>
      <c r="X910" s="9"/>
      <c r="Y910" s="9"/>
      <c r="Z910" s="9"/>
      <c r="AF910" s="9"/>
      <c r="AG910" s="9"/>
      <c r="AH910" s="9"/>
    </row>
    <row r="911">
      <c r="A911" s="49"/>
      <c r="H911" s="9"/>
      <c r="I911" s="391"/>
      <c r="L911" s="9"/>
      <c r="V911" s="8"/>
      <c r="X911" s="9"/>
      <c r="Y911" s="9"/>
      <c r="Z911" s="9"/>
      <c r="AF911" s="9"/>
      <c r="AG911" s="9"/>
      <c r="AH911" s="9"/>
    </row>
    <row r="912">
      <c r="A912" s="49"/>
      <c r="H912" s="9"/>
      <c r="I912" s="391"/>
      <c r="L912" s="9"/>
      <c r="V912" s="8"/>
      <c r="X912" s="9"/>
      <c r="Y912" s="9"/>
      <c r="Z912" s="9"/>
      <c r="AF912" s="9"/>
      <c r="AG912" s="9"/>
      <c r="AH912" s="9"/>
    </row>
    <row r="913">
      <c r="A913" s="49"/>
      <c r="H913" s="9"/>
      <c r="I913" s="391"/>
      <c r="L913" s="9"/>
      <c r="V913" s="8"/>
      <c r="X913" s="9"/>
      <c r="Y913" s="9"/>
      <c r="Z913" s="9"/>
      <c r="AF913" s="9"/>
      <c r="AG913" s="9"/>
      <c r="AH913" s="9"/>
    </row>
    <row r="914">
      <c r="A914" s="49"/>
      <c r="H914" s="9"/>
      <c r="I914" s="391"/>
      <c r="L914" s="9"/>
      <c r="V914" s="8"/>
      <c r="X914" s="9"/>
      <c r="Y914" s="9"/>
      <c r="Z914" s="9"/>
      <c r="AF914" s="9"/>
      <c r="AG914" s="9"/>
      <c r="AH914" s="9"/>
    </row>
    <row r="915">
      <c r="A915" s="49"/>
      <c r="H915" s="9"/>
      <c r="I915" s="391"/>
      <c r="L915" s="9"/>
      <c r="V915" s="8"/>
      <c r="X915" s="9"/>
      <c r="Y915" s="9"/>
      <c r="Z915" s="9"/>
      <c r="AF915" s="9"/>
      <c r="AG915" s="9"/>
      <c r="AH915" s="9"/>
    </row>
    <row r="916">
      <c r="A916" s="49"/>
      <c r="H916" s="9"/>
      <c r="I916" s="391"/>
      <c r="L916" s="9"/>
      <c r="V916" s="8"/>
      <c r="X916" s="9"/>
      <c r="Y916" s="9"/>
      <c r="Z916" s="9"/>
      <c r="AF916" s="9"/>
      <c r="AG916" s="9"/>
      <c r="AH916" s="9"/>
    </row>
    <row r="917">
      <c r="A917" s="49"/>
      <c r="H917" s="9"/>
      <c r="I917" s="391"/>
      <c r="L917" s="9"/>
      <c r="V917" s="8"/>
      <c r="X917" s="9"/>
      <c r="Y917" s="9"/>
      <c r="Z917" s="9"/>
      <c r="AF917" s="9"/>
      <c r="AG917" s="9"/>
      <c r="AH917" s="9"/>
    </row>
    <row r="918">
      <c r="A918" s="49"/>
      <c r="H918" s="9"/>
      <c r="I918" s="391"/>
      <c r="L918" s="9"/>
      <c r="V918" s="8"/>
      <c r="X918" s="9"/>
      <c r="Y918" s="9"/>
      <c r="Z918" s="9"/>
      <c r="AF918" s="9"/>
      <c r="AG918" s="9"/>
      <c r="AH918" s="9"/>
    </row>
    <row r="919">
      <c r="A919" s="49"/>
      <c r="H919" s="9"/>
      <c r="I919" s="391"/>
      <c r="L919" s="9"/>
      <c r="V919" s="8"/>
      <c r="X919" s="9"/>
      <c r="Y919" s="9"/>
      <c r="Z919" s="9"/>
      <c r="AF919" s="9"/>
      <c r="AG919" s="9"/>
      <c r="AH919" s="9"/>
    </row>
    <row r="920">
      <c r="A920" s="49"/>
      <c r="H920" s="9"/>
      <c r="I920" s="391"/>
      <c r="L920" s="9"/>
      <c r="V920" s="8"/>
      <c r="X920" s="9"/>
      <c r="Y920" s="9"/>
      <c r="Z920" s="9"/>
      <c r="AF920" s="9"/>
      <c r="AG920" s="9"/>
      <c r="AH920" s="9"/>
    </row>
    <row r="921">
      <c r="A921" s="49"/>
      <c r="H921" s="9"/>
      <c r="I921" s="391"/>
      <c r="L921" s="9"/>
      <c r="V921" s="8"/>
      <c r="X921" s="9"/>
      <c r="Y921" s="9"/>
      <c r="Z921" s="9"/>
      <c r="AF921" s="9"/>
      <c r="AG921" s="9"/>
      <c r="AH921" s="9"/>
    </row>
    <row r="922">
      <c r="A922" s="49"/>
      <c r="H922" s="9"/>
      <c r="I922" s="391"/>
      <c r="L922" s="9"/>
      <c r="V922" s="8"/>
      <c r="X922" s="9"/>
      <c r="Y922" s="9"/>
      <c r="Z922" s="9"/>
      <c r="AF922" s="9"/>
      <c r="AG922" s="9"/>
      <c r="AH922" s="9"/>
    </row>
    <row r="923">
      <c r="A923" s="49"/>
      <c r="H923" s="9"/>
      <c r="I923" s="391"/>
      <c r="L923" s="9"/>
      <c r="V923" s="8"/>
      <c r="X923" s="9"/>
      <c r="Y923" s="9"/>
      <c r="Z923" s="9"/>
      <c r="AF923" s="9"/>
      <c r="AG923" s="9"/>
      <c r="AH923" s="9"/>
    </row>
    <row r="924">
      <c r="A924" s="49"/>
      <c r="H924" s="9"/>
      <c r="I924" s="391"/>
      <c r="L924" s="9"/>
      <c r="V924" s="8"/>
      <c r="X924" s="9"/>
      <c r="Y924" s="9"/>
      <c r="Z924" s="9"/>
      <c r="AF924" s="9"/>
      <c r="AG924" s="9"/>
      <c r="AH924" s="9"/>
    </row>
    <row r="925">
      <c r="A925" s="49"/>
      <c r="H925" s="9"/>
      <c r="I925" s="391"/>
      <c r="L925" s="9"/>
      <c r="V925" s="8"/>
      <c r="X925" s="9"/>
      <c r="Y925" s="9"/>
      <c r="Z925" s="9"/>
      <c r="AF925" s="9"/>
      <c r="AG925" s="9"/>
      <c r="AH925" s="9"/>
    </row>
    <row r="926">
      <c r="A926" s="49"/>
      <c r="H926" s="9"/>
      <c r="I926" s="391"/>
      <c r="L926" s="9"/>
      <c r="V926" s="8"/>
      <c r="X926" s="9"/>
      <c r="Y926" s="9"/>
      <c r="Z926" s="9"/>
      <c r="AF926" s="9"/>
      <c r="AG926" s="9"/>
      <c r="AH926" s="9"/>
    </row>
    <row r="927">
      <c r="A927" s="49"/>
      <c r="H927" s="9"/>
      <c r="I927" s="391"/>
      <c r="L927" s="9"/>
      <c r="V927" s="8"/>
      <c r="X927" s="9"/>
      <c r="Y927" s="9"/>
      <c r="Z927" s="9"/>
      <c r="AF927" s="9"/>
      <c r="AG927" s="9"/>
      <c r="AH927" s="9"/>
    </row>
    <row r="928">
      <c r="A928" s="49"/>
      <c r="H928" s="9"/>
      <c r="I928" s="391"/>
      <c r="L928" s="9"/>
      <c r="V928" s="8"/>
      <c r="X928" s="9"/>
      <c r="Y928" s="9"/>
      <c r="Z928" s="9"/>
      <c r="AF928" s="9"/>
      <c r="AG928" s="9"/>
      <c r="AH928" s="9"/>
    </row>
    <row r="929">
      <c r="A929" s="49"/>
      <c r="H929" s="9"/>
      <c r="I929" s="391"/>
      <c r="L929" s="9"/>
      <c r="V929" s="8"/>
      <c r="X929" s="9"/>
      <c r="Y929" s="9"/>
      <c r="Z929" s="9"/>
      <c r="AF929" s="9"/>
      <c r="AG929" s="9"/>
      <c r="AH929" s="9"/>
    </row>
    <row r="930">
      <c r="A930" s="49"/>
      <c r="H930" s="9"/>
      <c r="I930" s="391"/>
      <c r="L930" s="9"/>
      <c r="V930" s="8"/>
      <c r="X930" s="9"/>
      <c r="Y930" s="9"/>
      <c r="Z930" s="9"/>
      <c r="AF930" s="9"/>
      <c r="AG930" s="9"/>
      <c r="AH930" s="9"/>
    </row>
    <row r="931">
      <c r="A931" s="49"/>
      <c r="H931" s="9"/>
      <c r="I931" s="391"/>
      <c r="L931" s="9"/>
      <c r="V931" s="8"/>
      <c r="X931" s="9"/>
      <c r="Y931" s="9"/>
      <c r="Z931" s="9"/>
      <c r="AF931" s="9"/>
      <c r="AG931" s="9"/>
      <c r="AH931" s="9"/>
    </row>
    <row r="932">
      <c r="A932" s="49"/>
      <c r="H932" s="9"/>
      <c r="I932" s="391"/>
      <c r="L932" s="9"/>
      <c r="V932" s="8"/>
      <c r="X932" s="9"/>
      <c r="Y932" s="9"/>
      <c r="Z932" s="9"/>
      <c r="AF932" s="9"/>
      <c r="AG932" s="9"/>
      <c r="AH932" s="9"/>
    </row>
    <row r="933">
      <c r="A933" s="49"/>
      <c r="H933" s="9"/>
      <c r="I933" s="391"/>
      <c r="L933" s="9"/>
      <c r="V933" s="8"/>
      <c r="X933" s="9"/>
      <c r="Y933" s="9"/>
      <c r="Z933" s="9"/>
      <c r="AF933" s="9"/>
      <c r="AG933" s="9"/>
      <c r="AH933" s="9"/>
    </row>
    <row r="934">
      <c r="A934" s="49"/>
      <c r="H934" s="9"/>
      <c r="I934" s="391"/>
      <c r="L934" s="9"/>
      <c r="V934" s="8"/>
      <c r="X934" s="9"/>
      <c r="Y934" s="9"/>
      <c r="Z934" s="9"/>
      <c r="AF934" s="9"/>
      <c r="AG934" s="9"/>
      <c r="AH934" s="9"/>
    </row>
    <row r="935">
      <c r="A935" s="49"/>
      <c r="H935" s="9"/>
      <c r="I935" s="391"/>
      <c r="L935" s="9"/>
      <c r="V935" s="8"/>
      <c r="X935" s="9"/>
      <c r="Y935" s="9"/>
      <c r="Z935" s="9"/>
      <c r="AF935" s="9"/>
      <c r="AG935" s="9"/>
      <c r="AH935" s="9"/>
    </row>
    <row r="936">
      <c r="A936" s="49"/>
      <c r="H936" s="9"/>
      <c r="I936" s="391"/>
      <c r="L936" s="9"/>
      <c r="V936" s="8"/>
      <c r="X936" s="9"/>
      <c r="Y936" s="9"/>
      <c r="Z936" s="9"/>
      <c r="AF936" s="9"/>
      <c r="AG936" s="9"/>
      <c r="AH936" s="9"/>
    </row>
    <row r="937">
      <c r="A937" s="49"/>
      <c r="H937" s="9"/>
      <c r="I937" s="391"/>
      <c r="L937" s="9"/>
      <c r="V937" s="8"/>
      <c r="X937" s="9"/>
      <c r="Y937" s="9"/>
      <c r="Z937" s="9"/>
      <c r="AF937" s="9"/>
      <c r="AG937" s="9"/>
      <c r="AH937" s="9"/>
    </row>
    <row r="938">
      <c r="A938" s="49"/>
      <c r="H938" s="9"/>
      <c r="I938" s="391"/>
      <c r="L938" s="9"/>
      <c r="V938" s="8"/>
      <c r="X938" s="9"/>
      <c r="Y938" s="9"/>
      <c r="Z938" s="9"/>
      <c r="AF938" s="9"/>
      <c r="AG938" s="9"/>
      <c r="AH938" s="9"/>
    </row>
    <row r="939">
      <c r="A939" s="49"/>
      <c r="H939" s="9"/>
      <c r="I939" s="391"/>
      <c r="L939" s="9"/>
      <c r="V939" s="8"/>
      <c r="X939" s="9"/>
      <c r="Y939" s="9"/>
      <c r="Z939" s="9"/>
      <c r="AF939" s="9"/>
      <c r="AG939" s="9"/>
      <c r="AH939" s="9"/>
    </row>
    <row r="940">
      <c r="A940" s="49"/>
      <c r="H940" s="9"/>
      <c r="I940" s="391"/>
      <c r="L940" s="9"/>
      <c r="V940" s="8"/>
      <c r="X940" s="9"/>
      <c r="Y940" s="9"/>
      <c r="Z940" s="9"/>
      <c r="AF940" s="9"/>
      <c r="AG940" s="9"/>
      <c r="AH940" s="9"/>
    </row>
    <row r="941">
      <c r="A941" s="49"/>
      <c r="H941" s="9"/>
      <c r="I941" s="391"/>
      <c r="L941" s="9"/>
      <c r="V941" s="8"/>
      <c r="X941" s="9"/>
      <c r="Y941" s="9"/>
      <c r="Z941" s="9"/>
      <c r="AF941" s="9"/>
      <c r="AG941" s="9"/>
      <c r="AH941" s="9"/>
    </row>
    <row r="942">
      <c r="A942" s="49"/>
      <c r="H942" s="9"/>
      <c r="I942" s="391"/>
      <c r="L942" s="9"/>
      <c r="V942" s="8"/>
      <c r="X942" s="9"/>
      <c r="Y942" s="9"/>
      <c r="Z942" s="9"/>
      <c r="AF942" s="9"/>
      <c r="AG942" s="9"/>
      <c r="AH942" s="9"/>
    </row>
    <row r="943">
      <c r="A943" s="49"/>
      <c r="H943" s="9"/>
      <c r="I943" s="391"/>
      <c r="L943" s="9"/>
      <c r="V943" s="8"/>
      <c r="X943" s="9"/>
      <c r="Y943" s="9"/>
      <c r="Z943" s="9"/>
      <c r="AF943" s="9"/>
      <c r="AG943" s="9"/>
      <c r="AH943" s="9"/>
    </row>
    <row r="944">
      <c r="A944" s="49"/>
      <c r="H944" s="9"/>
      <c r="I944" s="391"/>
      <c r="L944" s="9"/>
      <c r="V944" s="8"/>
      <c r="X944" s="9"/>
      <c r="Y944" s="9"/>
      <c r="Z944" s="9"/>
      <c r="AF944" s="9"/>
      <c r="AG944" s="9"/>
      <c r="AH944" s="9"/>
    </row>
    <row r="945">
      <c r="A945" s="49"/>
      <c r="H945" s="9"/>
      <c r="I945" s="391"/>
      <c r="L945" s="9"/>
      <c r="V945" s="8"/>
      <c r="X945" s="9"/>
      <c r="Y945" s="9"/>
      <c r="Z945" s="9"/>
      <c r="AF945" s="9"/>
      <c r="AG945" s="9"/>
      <c r="AH945" s="9"/>
    </row>
    <row r="946">
      <c r="A946" s="49"/>
      <c r="H946" s="9"/>
      <c r="I946" s="391"/>
      <c r="L946" s="9"/>
      <c r="V946" s="8"/>
      <c r="X946" s="9"/>
      <c r="Y946" s="9"/>
      <c r="Z946" s="9"/>
      <c r="AF946" s="9"/>
      <c r="AG946" s="9"/>
      <c r="AH946" s="9"/>
    </row>
    <row r="947">
      <c r="A947" s="49"/>
      <c r="H947" s="9"/>
      <c r="I947" s="391"/>
      <c r="L947" s="9"/>
      <c r="V947" s="8"/>
      <c r="X947" s="9"/>
      <c r="Y947" s="9"/>
      <c r="Z947" s="9"/>
      <c r="AF947" s="9"/>
      <c r="AG947" s="9"/>
      <c r="AH947" s="9"/>
    </row>
    <row r="948">
      <c r="A948" s="49"/>
      <c r="H948" s="9"/>
      <c r="I948" s="391"/>
      <c r="L948" s="9"/>
      <c r="V948" s="8"/>
      <c r="X948" s="9"/>
      <c r="Y948" s="9"/>
      <c r="Z948" s="9"/>
      <c r="AF948" s="9"/>
      <c r="AG948" s="9"/>
      <c r="AH948" s="9"/>
    </row>
    <row r="949">
      <c r="A949" s="49"/>
      <c r="H949" s="9"/>
      <c r="I949" s="391"/>
      <c r="L949" s="9"/>
      <c r="V949" s="8"/>
      <c r="X949" s="9"/>
      <c r="Y949" s="9"/>
      <c r="Z949" s="9"/>
      <c r="AF949" s="9"/>
      <c r="AG949" s="9"/>
      <c r="AH949" s="9"/>
    </row>
    <row r="950">
      <c r="A950" s="49"/>
      <c r="H950" s="9"/>
      <c r="I950" s="391"/>
      <c r="L950" s="9"/>
      <c r="V950" s="8"/>
      <c r="X950" s="9"/>
      <c r="Y950" s="9"/>
      <c r="Z950" s="9"/>
      <c r="AF950" s="9"/>
      <c r="AG950" s="9"/>
      <c r="AH950" s="9"/>
    </row>
    <row r="951">
      <c r="A951" s="49"/>
      <c r="H951" s="9"/>
      <c r="I951" s="391"/>
      <c r="L951" s="9"/>
      <c r="V951" s="8"/>
      <c r="X951" s="9"/>
      <c r="Y951" s="9"/>
      <c r="Z951" s="9"/>
      <c r="AF951" s="9"/>
      <c r="AG951" s="9"/>
      <c r="AH951" s="9"/>
    </row>
    <row r="952">
      <c r="A952" s="49"/>
      <c r="H952" s="9"/>
      <c r="I952" s="391"/>
      <c r="L952" s="9"/>
      <c r="V952" s="8"/>
      <c r="X952" s="9"/>
      <c r="Y952" s="9"/>
      <c r="Z952" s="9"/>
      <c r="AF952" s="9"/>
      <c r="AG952" s="9"/>
      <c r="AH952" s="9"/>
    </row>
    <row r="953">
      <c r="A953" s="49"/>
      <c r="H953" s="9"/>
      <c r="I953" s="391"/>
      <c r="L953" s="9"/>
      <c r="V953" s="8"/>
      <c r="X953" s="9"/>
      <c r="Y953" s="9"/>
      <c r="Z953" s="9"/>
      <c r="AF953" s="9"/>
      <c r="AG953" s="9"/>
      <c r="AH953" s="9"/>
    </row>
    <row r="954">
      <c r="A954" s="49"/>
      <c r="H954" s="9"/>
      <c r="I954" s="391"/>
      <c r="L954" s="9"/>
      <c r="V954" s="8"/>
      <c r="X954" s="9"/>
      <c r="Y954" s="9"/>
      <c r="Z954" s="9"/>
      <c r="AF954" s="9"/>
      <c r="AG954" s="9"/>
      <c r="AH954" s="9"/>
    </row>
    <row r="955">
      <c r="A955" s="49"/>
      <c r="H955" s="9"/>
      <c r="I955" s="391"/>
      <c r="L955" s="9"/>
      <c r="V955" s="8"/>
      <c r="X955" s="9"/>
      <c r="Y955" s="9"/>
      <c r="Z955" s="9"/>
      <c r="AF955" s="9"/>
      <c r="AG955" s="9"/>
      <c r="AH955" s="9"/>
    </row>
    <row r="956">
      <c r="A956" s="49"/>
      <c r="H956" s="9"/>
      <c r="I956" s="391"/>
      <c r="L956" s="9"/>
      <c r="V956" s="8"/>
      <c r="X956" s="9"/>
      <c r="Y956" s="9"/>
      <c r="Z956" s="9"/>
      <c r="AF956" s="9"/>
      <c r="AG956" s="9"/>
      <c r="AH956" s="9"/>
    </row>
    <row r="957">
      <c r="A957" s="49"/>
      <c r="H957" s="9"/>
      <c r="I957" s="391"/>
      <c r="L957" s="9"/>
      <c r="V957" s="8"/>
      <c r="X957" s="9"/>
      <c r="Y957" s="9"/>
      <c r="Z957" s="9"/>
      <c r="AF957" s="9"/>
      <c r="AG957" s="9"/>
      <c r="AH957" s="9"/>
    </row>
    <row r="958">
      <c r="A958" s="49"/>
      <c r="H958" s="9"/>
      <c r="I958" s="391"/>
      <c r="L958" s="9"/>
      <c r="V958" s="8"/>
      <c r="X958" s="9"/>
      <c r="Y958" s="9"/>
      <c r="Z958" s="9"/>
      <c r="AF958" s="9"/>
      <c r="AG958" s="9"/>
      <c r="AH958" s="9"/>
    </row>
    <row r="959">
      <c r="A959" s="49"/>
      <c r="H959" s="9"/>
      <c r="I959" s="391"/>
      <c r="L959" s="9"/>
      <c r="V959" s="8"/>
      <c r="X959" s="9"/>
      <c r="Y959" s="9"/>
      <c r="Z959" s="9"/>
      <c r="AF959" s="9"/>
      <c r="AG959" s="9"/>
      <c r="AH959" s="9"/>
    </row>
    <row r="960">
      <c r="A960" s="49"/>
      <c r="H960" s="9"/>
      <c r="I960" s="391"/>
      <c r="L960" s="9"/>
      <c r="V960" s="8"/>
      <c r="X960" s="9"/>
      <c r="Y960" s="9"/>
      <c r="Z960" s="9"/>
      <c r="AF960" s="9"/>
      <c r="AG960" s="9"/>
      <c r="AH960" s="9"/>
    </row>
    <row r="961">
      <c r="A961" s="49"/>
      <c r="H961" s="9"/>
      <c r="I961" s="391"/>
      <c r="L961" s="9"/>
      <c r="V961" s="8"/>
      <c r="X961" s="9"/>
      <c r="Y961" s="9"/>
      <c r="Z961" s="9"/>
      <c r="AF961" s="9"/>
      <c r="AG961" s="9"/>
      <c r="AH961" s="9"/>
    </row>
    <row r="962">
      <c r="A962" s="49"/>
      <c r="H962" s="9"/>
      <c r="I962" s="391"/>
      <c r="L962" s="9"/>
      <c r="V962" s="8"/>
      <c r="X962" s="9"/>
      <c r="Y962" s="9"/>
      <c r="Z962" s="9"/>
      <c r="AF962" s="9"/>
      <c r="AG962" s="9"/>
      <c r="AH962" s="9"/>
    </row>
    <row r="963">
      <c r="A963" s="49"/>
      <c r="H963" s="9"/>
      <c r="I963" s="391"/>
      <c r="L963" s="9"/>
      <c r="V963" s="8"/>
      <c r="X963" s="9"/>
      <c r="Y963" s="9"/>
      <c r="Z963" s="9"/>
      <c r="AF963" s="9"/>
      <c r="AG963" s="9"/>
      <c r="AH963" s="9"/>
    </row>
    <row r="964">
      <c r="A964" s="49"/>
      <c r="H964" s="9"/>
      <c r="I964" s="391"/>
      <c r="L964" s="9"/>
      <c r="V964" s="8"/>
      <c r="X964" s="9"/>
      <c r="Y964" s="9"/>
      <c r="Z964" s="9"/>
      <c r="AF964" s="9"/>
      <c r="AG964" s="9"/>
      <c r="AH964" s="9"/>
    </row>
    <row r="965">
      <c r="A965" s="49"/>
      <c r="H965" s="9"/>
      <c r="I965" s="391"/>
      <c r="L965" s="9"/>
      <c r="V965" s="8"/>
      <c r="X965" s="9"/>
      <c r="Y965" s="9"/>
      <c r="Z965" s="9"/>
      <c r="AF965" s="9"/>
      <c r="AG965" s="9"/>
      <c r="AH965" s="9"/>
    </row>
    <row r="966">
      <c r="A966" s="49"/>
      <c r="H966" s="9"/>
      <c r="I966" s="391"/>
      <c r="L966" s="9"/>
      <c r="V966" s="8"/>
      <c r="X966" s="9"/>
      <c r="Y966" s="9"/>
      <c r="Z966" s="9"/>
      <c r="AF966" s="9"/>
      <c r="AG966" s="9"/>
      <c r="AH966" s="9"/>
    </row>
    <row r="967">
      <c r="A967" s="49"/>
      <c r="H967" s="9"/>
      <c r="I967" s="391"/>
      <c r="L967" s="9"/>
      <c r="V967" s="8"/>
      <c r="X967" s="9"/>
      <c r="Y967" s="9"/>
      <c r="Z967" s="9"/>
      <c r="AF967" s="9"/>
      <c r="AG967" s="9"/>
      <c r="AH967" s="9"/>
    </row>
    <row r="968">
      <c r="A968" s="49"/>
      <c r="H968" s="9"/>
      <c r="I968" s="391"/>
      <c r="L968" s="9"/>
      <c r="V968" s="8"/>
      <c r="X968" s="9"/>
      <c r="Y968" s="9"/>
      <c r="Z968" s="9"/>
      <c r="AF968" s="9"/>
      <c r="AG968" s="9"/>
      <c r="AH968" s="9"/>
    </row>
    <row r="969">
      <c r="A969" s="49"/>
      <c r="H969" s="9"/>
      <c r="I969" s="391"/>
      <c r="L969" s="9"/>
      <c r="V969" s="8"/>
      <c r="X969" s="9"/>
      <c r="Y969" s="9"/>
      <c r="Z969" s="9"/>
      <c r="AF969" s="9"/>
      <c r="AG969" s="9"/>
      <c r="AH969" s="9"/>
    </row>
    <row r="970">
      <c r="A970" s="49"/>
      <c r="H970" s="9"/>
      <c r="I970" s="391"/>
      <c r="L970" s="9"/>
      <c r="V970" s="8"/>
      <c r="X970" s="9"/>
      <c r="Y970" s="9"/>
      <c r="Z970" s="9"/>
      <c r="AF970" s="9"/>
      <c r="AG970" s="9"/>
      <c r="AH970" s="9"/>
    </row>
    <row r="971">
      <c r="A971" s="49"/>
      <c r="H971" s="9"/>
      <c r="I971" s="391"/>
      <c r="L971" s="9"/>
      <c r="V971" s="8"/>
      <c r="X971" s="9"/>
      <c r="Y971" s="9"/>
      <c r="Z971" s="9"/>
      <c r="AF971" s="9"/>
      <c r="AG971" s="9"/>
      <c r="AH971" s="9"/>
    </row>
    <row r="972">
      <c r="A972" s="49"/>
      <c r="H972" s="9"/>
      <c r="I972" s="391"/>
      <c r="L972" s="9"/>
      <c r="V972" s="8"/>
      <c r="X972" s="9"/>
      <c r="Y972" s="9"/>
      <c r="Z972" s="9"/>
      <c r="AF972" s="9"/>
      <c r="AG972" s="9"/>
      <c r="AH972" s="9"/>
    </row>
    <row r="973">
      <c r="A973" s="49"/>
      <c r="H973" s="9"/>
      <c r="I973" s="391"/>
      <c r="L973" s="9"/>
      <c r="V973" s="8"/>
      <c r="X973" s="9"/>
      <c r="Y973" s="9"/>
      <c r="Z973" s="9"/>
      <c r="AF973" s="9"/>
      <c r="AG973" s="9"/>
      <c r="AH973" s="9"/>
    </row>
    <row r="974">
      <c r="A974" s="49"/>
      <c r="H974" s="9"/>
      <c r="I974" s="391"/>
      <c r="L974" s="9"/>
      <c r="V974" s="8"/>
      <c r="X974" s="9"/>
      <c r="Y974" s="9"/>
      <c r="Z974" s="9"/>
      <c r="AF974" s="9"/>
      <c r="AG974" s="9"/>
      <c r="AH974" s="9"/>
    </row>
    <row r="975">
      <c r="A975" s="49"/>
      <c r="H975" s="9"/>
      <c r="I975" s="391"/>
      <c r="L975" s="9"/>
      <c r="V975" s="8"/>
      <c r="X975" s="9"/>
      <c r="Y975" s="9"/>
      <c r="Z975" s="9"/>
      <c r="AF975" s="9"/>
      <c r="AG975" s="9"/>
      <c r="AH975" s="9"/>
    </row>
    <row r="976">
      <c r="A976" s="49"/>
      <c r="H976" s="9"/>
      <c r="I976" s="391"/>
      <c r="L976" s="9"/>
      <c r="V976" s="8"/>
      <c r="X976" s="9"/>
      <c r="Y976" s="9"/>
      <c r="Z976" s="9"/>
      <c r="AF976" s="9"/>
      <c r="AG976" s="9"/>
      <c r="AH976" s="9"/>
    </row>
    <row r="977">
      <c r="A977" s="49"/>
      <c r="H977" s="9"/>
      <c r="I977" s="391"/>
      <c r="L977" s="9"/>
      <c r="V977" s="8"/>
      <c r="X977" s="9"/>
      <c r="Y977" s="9"/>
      <c r="Z977" s="9"/>
      <c r="AF977" s="9"/>
      <c r="AG977" s="9"/>
      <c r="AH977" s="9"/>
    </row>
    <row r="978">
      <c r="A978" s="49"/>
      <c r="H978" s="9"/>
      <c r="I978" s="391"/>
      <c r="L978" s="9"/>
      <c r="V978" s="8"/>
      <c r="X978" s="9"/>
      <c r="Y978" s="9"/>
      <c r="Z978" s="9"/>
      <c r="AF978" s="9"/>
      <c r="AG978" s="9"/>
      <c r="AH978" s="9"/>
    </row>
    <row r="979">
      <c r="A979" s="49"/>
      <c r="H979" s="9"/>
      <c r="I979" s="391"/>
      <c r="L979" s="9"/>
      <c r="V979" s="8"/>
      <c r="X979" s="9"/>
      <c r="Y979" s="9"/>
      <c r="Z979" s="9"/>
      <c r="AF979" s="9"/>
      <c r="AG979" s="9"/>
      <c r="AH979" s="9"/>
    </row>
    <row r="980">
      <c r="A980" s="49"/>
      <c r="H980" s="9"/>
      <c r="I980" s="391"/>
      <c r="L980" s="9"/>
      <c r="V980" s="8"/>
      <c r="X980" s="9"/>
      <c r="Y980" s="9"/>
      <c r="Z980" s="9"/>
      <c r="AF980" s="9"/>
      <c r="AG980" s="9"/>
      <c r="AH980" s="9"/>
    </row>
    <row r="981">
      <c r="A981" s="49"/>
      <c r="H981" s="9"/>
      <c r="I981" s="391"/>
      <c r="L981" s="9"/>
      <c r="V981" s="8"/>
      <c r="X981" s="9"/>
      <c r="Y981" s="9"/>
      <c r="Z981" s="9"/>
      <c r="AF981" s="9"/>
      <c r="AG981" s="9"/>
      <c r="AH981" s="9"/>
    </row>
    <row r="982">
      <c r="A982" s="49"/>
      <c r="H982" s="9"/>
      <c r="I982" s="391"/>
      <c r="L982" s="9"/>
      <c r="V982" s="8"/>
      <c r="X982" s="9"/>
      <c r="Y982" s="9"/>
      <c r="Z982" s="9"/>
      <c r="AF982" s="9"/>
      <c r="AG982" s="9"/>
      <c r="AH982" s="9"/>
    </row>
    <row r="983">
      <c r="A983" s="49"/>
      <c r="H983" s="9"/>
      <c r="I983" s="391"/>
      <c r="L983" s="9"/>
      <c r="V983" s="8"/>
      <c r="X983" s="9"/>
      <c r="Y983" s="9"/>
      <c r="Z983" s="9"/>
      <c r="AF983" s="9"/>
      <c r="AG983" s="9"/>
      <c r="AH983" s="9"/>
    </row>
    <row r="984">
      <c r="A984" s="49"/>
      <c r="H984" s="9"/>
      <c r="I984" s="391"/>
      <c r="L984" s="9"/>
      <c r="V984" s="8"/>
      <c r="X984" s="9"/>
      <c r="Y984" s="9"/>
      <c r="Z984" s="9"/>
      <c r="AF984" s="9"/>
      <c r="AG984" s="9"/>
      <c r="AH984" s="9"/>
    </row>
    <row r="985">
      <c r="A985" s="49"/>
      <c r="H985" s="9"/>
      <c r="I985" s="391"/>
      <c r="L985" s="9"/>
      <c r="V985" s="8"/>
      <c r="X985" s="9"/>
      <c r="Y985" s="9"/>
      <c r="Z985" s="9"/>
      <c r="AF985" s="9"/>
      <c r="AG985" s="9"/>
      <c r="AH985" s="9"/>
    </row>
    <row r="986">
      <c r="A986" s="49"/>
      <c r="H986" s="9"/>
      <c r="I986" s="391"/>
      <c r="L986" s="9"/>
      <c r="V986" s="8"/>
      <c r="X986" s="9"/>
      <c r="Y986" s="9"/>
      <c r="Z986" s="9"/>
      <c r="AF986" s="9"/>
      <c r="AG986" s="9"/>
      <c r="AH986" s="9"/>
    </row>
    <row r="987">
      <c r="A987" s="49"/>
      <c r="H987" s="9"/>
      <c r="I987" s="391"/>
      <c r="L987" s="9"/>
      <c r="V987" s="8"/>
      <c r="X987" s="9"/>
      <c r="Y987" s="9"/>
      <c r="Z987" s="9"/>
      <c r="AF987" s="9"/>
      <c r="AG987" s="9"/>
      <c r="AH987" s="9"/>
    </row>
    <row r="988">
      <c r="A988" s="49"/>
      <c r="H988" s="9"/>
      <c r="I988" s="391"/>
      <c r="L988" s="9"/>
      <c r="V988" s="8"/>
      <c r="X988" s="9"/>
      <c r="Y988" s="9"/>
      <c r="Z988" s="9"/>
      <c r="AF988" s="9"/>
      <c r="AG988" s="9"/>
      <c r="AH988" s="9"/>
    </row>
    <row r="989">
      <c r="A989" s="49"/>
      <c r="H989" s="9"/>
      <c r="I989" s="391"/>
      <c r="L989" s="9"/>
      <c r="V989" s="8"/>
      <c r="X989" s="9"/>
      <c r="Y989" s="9"/>
      <c r="Z989" s="9"/>
      <c r="AF989" s="9"/>
      <c r="AG989" s="9"/>
      <c r="AH989" s="9"/>
    </row>
    <row r="990">
      <c r="A990" s="49"/>
      <c r="H990" s="9"/>
      <c r="I990" s="391"/>
      <c r="L990" s="9"/>
      <c r="V990" s="8"/>
      <c r="X990" s="9"/>
      <c r="Y990" s="9"/>
      <c r="Z990" s="9"/>
      <c r="AF990" s="9"/>
      <c r="AG990" s="9"/>
      <c r="AH990" s="9"/>
    </row>
    <row r="991">
      <c r="A991" s="49"/>
      <c r="H991" s="9"/>
      <c r="I991" s="391"/>
      <c r="L991" s="9"/>
      <c r="V991" s="8"/>
      <c r="X991" s="9"/>
      <c r="Y991" s="9"/>
      <c r="Z991" s="9"/>
      <c r="AF991" s="9"/>
      <c r="AG991" s="9"/>
      <c r="AH991" s="9"/>
    </row>
    <row r="992">
      <c r="A992" s="49"/>
      <c r="H992" s="9"/>
      <c r="I992" s="391"/>
      <c r="L992" s="9"/>
      <c r="V992" s="8"/>
      <c r="X992" s="9"/>
      <c r="Y992" s="9"/>
      <c r="Z992" s="9"/>
      <c r="AF992" s="9"/>
      <c r="AG992" s="9"/>
      <c r="AH992" s="9"/>
    </row>
    <row r="993">
      <c r="A993" s="49"/>
      <c r="H993" s="9"/>
      <c r="I993" s="391"/>
      <c r="L993" s="9"/>
      <c r="V993" s="8"/>
      <c r="X993" s="9"/>
      <c r="Y993" s="9"/>
      <c r="Z993" s="9"/>
      <c r="AF993" s="9"/>
      <c r="AG993" s="9"/>
      <c r="AH993" s="9"/>
    </row>
    <row r="994">
      <c r="A994" s="49"/>
      <c r="H994" s="9"/>
      <c r="I994" s="391"/>
      <c r="L994" s="9"/>
      <c r="V994" s="8"/>
      <c r="X994" s="9"/>
      <c r="Y994" s="9"/>
      <c r="Z994" s="9"/>
      <c r="AF994" s="9"/>
      <c r="AG994" s="9"/>
      <c r="AH994" s="9"/>
    </row>
    <row r="995">
      <c r="A995" s="49"/>
      <c r="H995" s="9"/>
      <c r="I995" s="391"/>
      <c r="L995" s="9"/>
      <c r="V995" s="8"/>
      <c r="X995" s="9"/>
      <c r="Y995" s="9"/>
      <c r="Z995" s="9"/>
      <c r="AF995" s="9"/>
      <c r="AG995" s="9"/>
      <c r="AH995" s="9"/>
    </row>
    <row r="996">
      <c r="A996" s="49"/>
      <c r="H996" s="9"/>
      <c r="I996" s="391"/>
      <c r="L996" s="9"/>
      <c r="V996" s="8"/>
      <c r="X996" s="9"/>
      <c r="Y996" s="9"/>
      <c r="Z996" s="9"/>
      <c r="AF996" s="9"/>
      <c r="AG996" s="9"/>
      <c r="AH996" s="9"/>
    </row>
    <row r="997">
      <c r="A997" s="49"/>
      <c r="H997" s="9"/>
      <c r="I997" s="391"/>
      <c r="L997" s="9"/>
      <c r="V997" s="8"/>
      <c r="X997" s="9"/>
      <c r="Y997" s="9"/>
      <c r="Z997" s="9"/>
      <c r="AF997" s="9"/>
      <c r="AG997" s="9"/>
      <c r="AH997" s="9"/>
    </row>
    <row r="998">
      <c r="A998" s="49"/>
      <c r="H998" s="9"/>
      <c r="I998" s="391"/>
      <c r="L998" s="9"/>
      <c r="V998" s="8"/>
      <c r="X998" s="9"/>
      <c r="Y998" s="9"/>
      <c r="Z998" s="9"/>
      <c r="AF998" s="9"/>
      <c r="AG998" s="9"/>
      <c r="AH998" s="9"/>
    </row>
    <row r="999">
      <c r="A999" s="49"/>
      <c r="H999" s="9"/>
      <c r="I999" s="391"/>
      <c r="L999" s="9"/>
      <c r="V999" s="8"/>
      <c r="X999" s="9"/>
      <c r="Y999" s="9"/>
      <c r="Z999" s="9"/>
      <c r="AF999" s="9"/>
      <c r="AG999" s="9"/>
      <c r="AH999" s="9"/>
    </row>
    <row r="1000">
      <c r="A1000" s="49"/>
      <c r="H1000" s="9"/>
      <c r="I1000" s="391"/>
      <c r="L1000" s="9"/>
      <c r="V1000" s="8"/>
      <c r="X1000" s="9"/>
      <c r="Y1000" s="9"/>
      <c r="Z1000" s="9"/>
      <c r="AF1000" s="9"/>
      <c r="AG1000" s="9"/>
      <c r="AH1000" s="9"/>
    </row>
    <row r="1001">
      <c r="A1001" s="49"/>
      <c r="H1001" s="9"/>
      <c r="I1001" s="391"/>
      <c r="L1001" s="9"/>
      <c r="V1001" s="8"/>
      <c r="X1001" s="9"/>
      <c r="Y1001" s="9"/>
      <c r="Z1001" s="9"/>
      <c r="AF1001" s="9"/>
      <c r="AG1001" s="9"/>
      <c r="AH1001" s="9"/>
    </row>
    <row r="1002">
      <c r="A1002" s="49"/>
      <c r="H1002" s="9"/>
      <c r="I1002" s="391"/>
      <c r="L1002" s="9"/>
      <c r="V1002" s="8"/>
      <c r="X1002" s="9"/>
      <c r="Y1002" s="9"/>
      <c r="Z1002" s="9"/>
      <c r="AF1002" s="9"/>
      <c r="AG1002" s="9"/>
      <c r="AH1002" s="9"/>
    </row>
    <row r="1003">
      <c r="A1003" s="49"/>
      <c r="H1003" s="9"/>
      <c r="I1003" s="391"/>
      <c r="L1003" s="9"/>
      <c r="V1003" s="8"/>
      <c r="X1003" s="9"/>
      <c r="Y1003" s="9"/>
      <c r="Z1003" s="9"/>
      <c r="AF1003" s="9"/>
      <c r="AG1003" s="9"/>
      <c r="AH1003" s="9"/>
    </row>
  </sheetData>
  <dataValidations>
    <dataValidation type="custom" allowBlank="1" showDropDown="1" sqref="AF2:AH23 X2:Z113 I2:I500">
      <formula1>AND(ISNUMBER(I2),(NOT(OR(NOT(ISERROR(DATEVALUE(I2))), AND(ISNUMBER(I2), LEFT(CELL("format", I2))="D")))))</formula1>
    </dataValidation>
    <dataValidation allowBlank="1" showDropDown="1" sqref="V2:V113"/>
  </dataValidations>
  <drawing r:id="rId1"/>
  <tableParts count="3">
    <tablePart r:id="rId5"/>
    <tablePart r:id="rId6"/>
    <tablePart r:id="rId7"/>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0"/>
    <col customWidth="1" min="2" max="2" width="2.13"/>
    <col customWidth="1" min="3" max="3" width="12.25"/>
    <col customWidth="1" min="4" max="4" width="14.63"/>
    <col customWidth="1" min="5" max="5" width="31.13"/>
    <col customWidth="1" min="6" max="7" width="14.5"/>
    <col customWidth="1" min="8" max="8" width="12.5"/>
    <col customWidth="1" min="9" max="9" width="11.5"/>
    <col customWidth="1" min="10" max="10" width="3.63"/>
    <col customWidth="1" min="11" max="11" width="11.13"/>
    <col customWidth="1" min="12" max="12" width="24.88"/>
    <col customWidth="1" min="13" max="13" width="21.25"/>
    <col customWidth="1" min="14" max="14" width="12.13"/>
    <col customWidth="1" min="15" max="15" width="12.0"/>
    <col customWidth="1" min="16" max="16" width="9.88"/>
    <col customWidth="1" min="17" max="17" width="7.38"/>
    <col customWidth="1" min="18" max="18" width="8.5"/>
    <col customWidth="1" min="19" max="19" width="8.0"/>
    <col customWidth="1" min="20" max="20" width="9.88"/>
    <col customWidth="1" min="21" max="21" width="7.75"/>
    <col customWidth="1" min="22" max="22" width="3.25"/>
    <col customWidth="1" min="24" max="24" width="23.88"/>
    <col customWidth="1" min="25" max="25" width="3.25"/>
    <col customWidth="1" min="26" max="26" width="2.5"/>
  </cols>
  <sheetData>
    <row r="1" ht="33.0" customHeight="1">
      <c r="A1" s="29" t="s">
        <v>6</v>
      </c>
      <c r="B1" s="2"/>
      <c r="C1" s="37" t="s">
        <v>8</v>
      </c>
      <c r="D1" s="41" t="s">
        <v>10</v>
      </c>
      <c r="E1" s="37" t="s">
        <v>13</v>
      </c>
      <c r="F1" s="37" t="s">
        <v>15</v>
      </c>
      <c r="G1" s="37" t="s">
        <v>17</v>
      </c>
      <c r="H1" s="47">
        <f>counta(C:C)</f>
        <v>1194</v>
      </c>
      <c r="I1" s="9">
        <f>SUM(D:D)</f>
        <v>598098018</v>
      </c>
      <c r="J1" s="2"/>
      <c r="K1" s="41" t="s">
        <v>8</v>
      </c>
      <c r="L1" s="41" t="s">
        <v>10</v>
      </c>
      <c r="M1" s="37" t="s">
        <v>13</v>
      </c>
      <c r="N1" s="37" t="s">
        <v>15</v>
      </c>
      <c r="O1" s="9">
        <f>sum(L:L)</f>
        <v>457685000</v>
      </c>
    </row>
    <row r="2" ht="16.5" customHeight="1">
      <c r="A2" s="39"/>
      <c r="C2" s="60">
        <v>45962.0</v>
      </c>
      <c r="D2" s="63">
        <v>60000.0</v>
      </c>
      <c r="E2" s="65" t="s">
        <v>40</v>
      </c>
      <c r="F2" s="65" t="s">
        <v>41</v>
      </c>
      <c r="G2" s="69" t="s">
        <v>42</v>
      </c>
      <c r="H2" s="71"/>
      <c r="I2" s="9"/>
      <c r="K2" s="60">
        <v>45965.0</v>
      </c>
      <c r="L2" s="74">
        <v>100000.0</v>
      </c>
      <c r="M2" s="65" t="s">
        <v>44</v>
      </c>
      <c r="N2" s="65" t="s">
        <v>45</v>
      </c>
      <c r="O2" s="77" t="s">
        <v>47</v>
      </c>
    </row>
    <row r="3" ht="14.25" customHeight="1">
      <c r="A3" s="49"/>
      <c r="C3" s="60">
        <v>45962.0</v>
      </c>
      <c r="D3" s="63">
        <v>200000.0</v>
      </c>
      <c r="E3" s="65" t="s">
        <v>51</v>
      </c>
      <c r="F3" s="65" t="s">
        <v>41</v>
      </c>
      <c r="G3" s="69" t="s">
        <v>42</v>
      </c>
      <c r="H3" s="71"/>
      <c r="I3" s="9"/>
      <c r="K3" s="60">
        <v>45965.0</v>
      </c>
      <c r="L3" s="74">
        <v>350000.0</v>
      </c>
      <c r="M3" s="65" t="s">
        <v>53</v>
      </c>
      <c r="N3" s="65" t="s">
        <v>41</v>
      </c>
    </row>
    <row r="4" ht="17.25" customHeight="1">
      <c r="A4" s="49"/>
      <c r="C4" s="60">
        <v>45962.0</v>
      </c>
      <c r="D4" s="63">
        <v>150000.0</v>
      </c>
      <c r="E4" s="65" t="s">
        <v>54</v>
      </c>
      <c r="F4" s="65" t="s">
        <v>41</v>
      </c>
      <c r="G4" s="69" t="s">
        <v>42</v>
      </c>
      <c r="H4" s="71"/>
      <c r="I4" s="9"/>
      <c r="K4" s="94">
        <v>45968.0</v>
      </c>
      <c r="L4" s="74">
        <v>1.7E7</v>
      </c>
      <c r="M4" s="74" t="s">
        <v>59</v>
      </c>
      <c r="N4" s="65" t="s">
        <v>45</v>
      </c>
    </row>
    <row r="5" ht="15.0" customHeight="1">
      <c r="A5" s="49"/>
      <c r="C5" s="60">
        <v>45963.0</v>
      </c>
      <c r="D5" s="63">
        <v>20000.0</v>
      </c>
      <c r="E5" s="65" t="s">
        <v>60</v>
      </c>
      <c r="F5" s="65" t="s">
        <v>41</v>
      </c>
      <c r="G5" s="69" t="s">
        <v>42</v>
      </c>
      <c r="H5" s="71"/>
      <c r="I5" s="9"/>
      <c r="K5" s="94">
        <v>45972.0</v>
      </c>
      <c r="L5" s="74">
        <v>8000000.0</v>
      </c>
      <c r="M5" s="74" t="s">
        <v>59</v>
      </c>
      <c r="N5" s="65" t="s">
        <v>45</v>
      </c>
    </row>
    <row r="6" ht="15.0" customHeight="1">
      <c r="A6" s="49"/>
      <c r="C6" s="60">
        <v>45963.0</v>
      </c>
      <c r="D6" s="63">
        <v>20000.0</v>
      </c>
      <c r="E6" s="65" t="s">
        <v>62</v>
      </c>
      <c r="F6" s="65" t="s">
        <v>41</v>
      </c>
      <c r="G6" s="69" t="s">
        <v>42</v>
      </c>
      <c r="H6" s="99"/>
      <c r="I6" s="9"/>
      <c r="K6" s="94">
        <v>45976.0</v>
      </c>
      <c r="L6" s="74">
        <v>1.2E7</v>
      </c>
      <c r="M6" s="74" t="s">
        <v>59</v>
      </c>
      <c r="N6" s="65" t="s">
        <v>45</v>
      </c>
    </row>
    <row r="7" ht="15.0" customHeight="1">
      <c r="A7" s="49"/>
      <c r="C7" s="60">
        <v>45964.0</v>
      </c>
      <c r="D7" s="63">
        <v>20000.0</v>
      </c>
      <c r="E7" s="65" t="s">
        <v>64</v>
      </c>
      <c r="F7" s="65" t="s">
        <v>41</v>
      </c>
      <c r="G7" s="69" t="s">
        <v>42</v>
      </c>
      <c r="H7" s="99"/>
      <c r="I7" s="9"/>
      <c r="K7" s="94">
        <v>45978.0</v>
      </c>
      <c r="L7" s="74">
        <v>2.0E7</v>
      </c>
      <c r="M7" s="74" t="s">
        <v>59</v>
      </c>
      <c r="N7" s="65" t="s">
        <v>45</v>
      </c>
    </row>
    <row r="8" ht="15.0" customHeight="1">
      <c r="A8" s="49"/>
      <c r="C8" s="60">
        <v>45965.0</v>
      </c>
      <c r="D8" s="63">
        <v>20000.0</v>
      </c>
      <c r="E8" s="65" t="s">
        <v>73</v>
      </c>
      <c r="F8" s="65" t="s">
        <v>41</v>
      </c>
      <c r="G8" s="69" t="s">
        <v>42</v>
      </c>
      <c r="H8" s="99"/>
      <c r="I8" s="9"/>
      <c r="K8" s="94">
        <v>45979.0</v>
      </c>
      <c r="L8" s="74">
        <v>1.5E7</v>
      </c>
      <c r="M8" s="74" t="s">
        <v>59</v>
      </c>
      <c r="N8" s="65" t="s">
        <v>45</v>
      </c>
    </row>
    <row r="9" ht="15.0" customHeight="1">
      <c r="A9" s="49"/>
      <c r="C9" s="60">
        <v>45965.0</v>
      </c>
      <c r="D9" s="63">
        <v>100000.0</v>
      </c>
      <c r="E9" s="65" t="s">
        <v>75</v>
      </c>
      <c r="F9" s="65" t="s">
        <v>41</v>
      </c>
      <c r="G9" s="69" t="s">
        <v>42</v>
      </c>
      <c r="H9" s="99"/>
      <c r="I9" s="9"/>
      <c r="K9" s="94">
        <v>45980.0</v>
      </c>
      <c r="L9" s="74">
        <v>1.0E7</v>
      </c>
      <c r="M9" s="74" t="s">
        <v>59</v>
      </c>
      <c r="N9" s="65" t="s">
        <v>45</v>
      </c>
    </row>
    <row r="10" ht="15.0" customHeight="1">
      <c r="A10" s="49"/>
      <c r="C10" s="60">
        <v>45965.0</v>
      </c>
      <c r="D10" s="63">
        <v>15000.0</v>
      </c>
      <c r="E10" s="65" t="s">
        <v>77</v>
      </c>
      <c r="F10" s="65" t="s">
        <v>41</v>
      </c>
      <c r="G10" s="69" t="s">
        <v>42</v>
      </c>
      <c r="H10" s="99"/>
      <c r="I10" s="9"/>
      <c r="K10" s="94">
        <v>45981.0</v>
      </c>
      <c r="L10" s="74">
        <v>100000.0</v>
      </c>
      <c r="M10" s="74" t="s">
        <v>59</v>
      </c>
      <c r="N10" s="65" t="s">
        <v>45</v>
      </c>
    </row>
    <row r="11" ht="15.0" customHeight="1">
      <c r="A11" s="49"/>
      <c r="C11" s="60">
        <v>45965.0</v>
      </c>
      <c r="D11" s="63">
        <v>20000.0</v>
      </c>
      <c r="E11" s="65" t="s">
        <v>80</v>
      </c>
      <c r="F11" s="65" t="s">
        <v>41</v>
      </c>
      <c r="G11" s="69" t="s">
        <v>42</v>
      </c>
      <c r="H11" s="99"/>
      <c r="I11" s="9"/>
      <c r="K11" s="94">
        <v>45981.0</v>
      </c>
      <c r="L11" s="74">
        <v>1.0E7</v>
      </c>
      <c r="M11" s="65" t="s">
        <v>59</v>
      </c>
      <c r="N11" s="65" t="s">
        <v>45</v>
      </c>
    </row>
    <row r="12" ht="15.0" customHeight="1">
      <c r="A12" s="49"/>
      <c r="C12" s="60">
        <v>45965.0</v>
      </c>
      <c r="D12" s="63">
        <v>15000.0</v>
      </c>
      <c r="E12" s="65" t="s">
        <v>82</v>
      </c>
      <c r="F12" s="65" t="s">
        <v>41</v>
      </c>
      <c r="G12" s="69" t="s">
        <v>42</v>
      </c>
      <c r="H12" s="99"/>
      <c r="I12" s="9"/>
      <c r="K12" s="94">
        <v>45982.0</v>
      </c>
      <c r="L12" s="74">
        <v>2.0E7</v>
      </c>
      <c r="M12" s="65" t="s">
        <v>59</v>
      </c>
      <c r="N12" s="65" t="s">
        <v>45</v>
      </c>
    </row>
    <row r="13" ht="15.0" customHeight="1">
      <c r="A13" s="49"/>
      <c r="C13" s="60">
        <v>45965.0</v>
      </c>
      <c r="D13" s="63">
        <v>32000.0</v>
      </c>
      <c r="E13" s="65" t="s">
        <v>83</v>
      </c>
      <c r="F13" s="65" t="s">
        <v>41</v>
      </c>
      <c r="G13" s="69" t="s">
        <v>42</v>
      </c>
      <c r="H13" s="99"/>
      <c r="I13" s="9"/>
      <c r="K13" s="94">
        <v>45985.0</v>
      </c>
      <c r="L13" s="74">
        <v>1.01E7</v>
      </c>
      <c r="M13" s="65" t="s">
        <v>59</v>
      </c>
      <c r="N13" s="65" t="s">
        <v>45</v>
      </c>
    </row>
    <row r="14" ht="15.0" customHeight="1">
      <c r="A14" s="49"/>
      <c r="C14" s="60">
        <v>45965.0</v>
      </c>
      <c r="D14" s="63">
        <v>350000.0</v>
      </c>
      <c r="E14" s="93" t="s">
        <v>86</v>
      </c>
      <c r="F14" s="93" t="s">
        <v>41</v>
      </c>
      <c r="G14" s="93" t="s">
        <v>87</v>
      </c>
      <c r="H14" s="99"/>
      <c r="I14" s="9"/>
      <c r="K14" s="94">
        <v>45986.0</v>
      </c>
      <c r="L14" s="74">
        <v>1.01E7</v>
      </c>
      <c r="M14" s="65" t="s">
        <v>59</v>
      </c>
      <c r="N14" s="65" t="s">
        <v>45</v>
      </c>
    </row>
    <row r="15" ht="15.0" customHeight="1">
      <c r="A15" s="49"/>
      <c r="C15" s="60">
        <v>45965.0</v>
      </c>
      <c r="D15" s="63">
        <v>2500000.0</v>
      </c>
      <c r="E15" s="69" t="s">
        <v>88</v>
      </c>
      <c r="F15" s="93" t="s">
        <v>41</v>
      </c>
      <c r="G15" s="93" t="s">
        <v>87</v>
      </c>
      <c r="H15" s="127" t="s">
        <v>89</v>
      </c>
      <c r="I15" s="9"/>
      <c r="K15" s="130">
        <v>45986.0</v>
      </c>
      <c r="L15" s="74">
        <v>7100000.0</v>
      </c>
      <c r="M15" s="65" t="s">
        <v>59</v>
      </c>
      <c r="N15" s="65" t="s">
        <v>45</v>
      </c>
    </row>
    <row r="16" ht="15.0" customHeight="1">
      <c r="A16" s="49"/>
      <c r="C16" s="60">
        <v>45965.0</v>
      </c>
      <c r="D16" s="63">
        <v>700000.0</v>
      </c>
      <c r="E16" s="93" t="s">
        <v>91</v>
      </c>
      <c r="F16" s="93" t="s">
        <v>41</v>
      </c>
      <c r="G16" s="93" t="s">
        <v>87</v>
      </c>
      <c r="H16" s="99"/>
      <c r="I16" s="9"/>
      <c r="K16" s="130">
        <v>45988.0</v>
      </c>
      <c r="L16" s="74">
        <v>3000000.0</v>
      </c>
      <c r="M16" s="65" t="s">
        <v>59</v>
      </c>
      <c r="N16" s="65" t="s">
        <v>45</v>
      </c>
    </row>
    <row r="17" ht="15.0" customHeight="1">
      <c r="A17" s="49"/>
      <c r="C17" s="60">
        <v>45966.0</v>
      </c>
      <c r="D17" s="63">
        <v>13000.0</v>
      </c>
      <c r="E17" s="65" t="s">
        <v>73</v>
      </c>
      <c r="F17" s="65" t="s">
        <v>41</v>
      </c>
      <c r="G17" s="69" t="s">
        <v>42</v>
      </c>
      <c r="H17" s="99"/>
      <c r="I17" s="9"/>
      <c r="K17" s="133">
        <v>45994.0</v>
      </c>
      <c r="L17" s="134">
        <v>1.01E7</v>
      </c>
      <c r="M17" s="65" t="s">
        <v>59</v>
      </c>
      <c r="N17" s="65" t="s">
        <v>45</v>
      </c>
    </row>
    <row r="18" ht="15.0" customHeight="1">
      <c r="A18" s="49"/>
      <c r="C18" s="60">
        <v>45966.0</v>
      </c>
      <c r="D18" s="63">
        <v>50000.0</v>
      </c>
      <c r="E18" s="65" t="s">
        <v>96</v>
      </c>
      <c r="F18" s="65" t="s">
        <v>45</v>
      </c>
      <c r="G18" s="69" t="s">
        <v>42</v>
      </c>
      <c r="H18" s="99"/>
      <c r="I18" s="9"/>
      <c r="K18" s="133">
        <v>45995.0</v>
      </c>
      <c r="L18" s="134">
        <v>1.1E7</v>
      </c>
      <c r="M18" s="65" t="s">
        <v>59</v>
      </c>
      <c r="N18" s="65" t="s">
        <v>45</v>
      </c>
    </row>
    <row r="19" ht="15.0" customHeight="1">
      <c r="A19" s="49"/>
      <c r="C19" s="60">
        <v>45966.0</v>
      </c>
      <c r="D19" s="63">
        <v>81000.0</v>
      </c>
      <c r="E19" s="65" t="s">
        <v>98</v>
      </c>
      <c r="F19" s="65" t="s">
        <v>41</v>
      </c>
      <c r="G19" s="69" t="s">
        <v>42</v>
      </c>
      <c r="H19" s="99"/>
      <c r="I19" s="9"/>
      <c r="K19" s="133">
        <v>45996.0</v>
      </c>
      <c r="L19" s="134">
        <v>1.515E7</v>
      </c>
      <c r="M19" s="65" t="s">
        <v>59</v>
      </c>
      <c r="N19" s="65" t="s">
        <v>45</v>
      </c>
    </row>
    <row r="20" ht="15.0" customHeight="1">
      <c r="A20" s="49"/>
      <c r="C20" s="60">
        <v>45966.0</v>
      </c>
      <c r="D20" s="63">
        <v>15000.0</v>
      </c>
      <c r="E20" s="65" t="s">
        <v>99</v>
      </c>
      <c r="F20" s="65" t="s">
        <v>41</v>
      </c>
      <c r="G20" s="69" t="s">
        <v>42</v>
      </c>
      <c r="H20" s="99"/>
      <c r="I20" s="9"/>
      <c r="K20" s="138">
        <v>45998.0</v>
      </c>
      <c r="L20" s="74">
        <v>1.0E7</v>
      </c>
      <c r="M20" s="65" t="s">
        <v>59</v>
      </c>
      <c r="N20" s="65" t="s">
        <v>45</v>
      </c>
    </row>
    <row r="21" ht="15.0" customHeight="1">
      <c r="A21" s="49"/>
      <c r="C21" s="60">
        <v>45966.0</v>
      </c>
      <c r="D21" s="63">
        <v>446600.0</v>
      </c>
      <c r="E21" s="74" t="s">
        <v>104</v>
      </c>
      <c r="F21" s="74" t="s">
        <v>41</v>
      </c>
      <c r="G21" s="93" t="s">
        <v>87</v>
      </c>
      <c r="H21" s="127" t="s">
        <v>89</v>
      </c>
      <c r="I21" s="9"/>
      <c r="K21" s="138">
        <v>45999.0</v>
      </c>
      <c r="L21" s="74">
        <v>1.0E7</v>
      </c>
      <c r="M21" s="65" t="s">
        <v>59</v>
      </c>
      <c r="N21" s="65" t="s">
        <v>45</v>
      </c>
    </row>
    <row r="22" ht="15.0" customHeight="1">
      <c r="A22" s="49"/>
      <c r="C22" s="60">
        <v>45966.0</v>
      </c>
      <c r="D22" s="63">
        <v>200000.0</v>
      </c>
      <c r="E22" s="74" t="s">
        <v>107</v>
      </c>
      <c r="F22" s="74" t="s">
        <v>41</v>
      </c>
      <c r="G22" s="93" t="s">
        <v>87</v>
      </c>
      <c r="H22" s="99"/>
      <c r="I22" s="9"/>
      <c r="K22" s="138">
        <v>46000.0</v>
      </c>
      <c r="L22" s="140">
        <v>1.01E7</v>
      </c>
      <c r="M22" s="65" t="s">
        <v>59</v>
      </c>
      <c r="N22" s="65" t="s">
        <v>45</v>
      </c>
    </row>
    <row r="23" ht="15.0" customHeight="1">
      <c r="A23" s="49"/>
      <c r="C23" s="60">
        <v>45966.0</v>
      </c>
      <c r="D23" s="63">
        <v>275000.0</v>
      </c>
      <c r="E23" s="74" t="s">
        <v>109</v>
      </c>
      <c r="F23" s="74" t="s">
        <v>41</v>
      </c>
      <c r="G23" s="93" t="s">
        <v>87</v>
      </c>
      <c r="H23" s="99"/>
      <c r="I23" s="9"/>
      <c r="J23" s="9"/>
      <c r="K23" s="138">
        <v>46001.0</v>
      </c>
      <c r="L23" s="140">
        <v>1.01E7</v>
      </c>
      <c r="M23" s="65" t="s">
        <v>59</v>
      </c>
      <c r="N23" s="65" t="s">
        <v>45</v>
      </c>
      <c r="O23" s="9"/>
    </row>
    <row r="24" ht="15.0" customHeight="1">
      <c r="A24" s="49"/>
      <c r="C24" s="60">
        <v>45966.0</v>
      </c>
      <c r="D24" s="63">
        <v>360000.0</v>
      </c>
      <c r="E24" s="93" t="s">
        <v>112</v>
      </c>
      <c r="F24" s="93" t="s">
        <v>41</v>
      </c>
      <c r="G24" s="93" t="s">
        <v>87</v>
      </c>
      <c r="H24" s="99"/>
      <c r="I24" s="9"/>
      <c r="J24" s="9"/>
      <c r="K24" s="138">
        <v>46002.0</v>
      </c>
      <c r="L24" s="140">
        <v>1.01E7</v>
      </c>
      <c r="M24" s="65" t="s">
        <v>59</v>
      </c>
      <c r="N24" s="65" t="s">
        <v>45</v>
      </c>
      <c r="O24" s="9"/>
    </row>
    <row r="25" ht="15.0" customHeight="1">
      <c r="A25" s="49"/>
      <c r="C25" s="60">
        <v>45966.0</v>
      </c>
      <c r="D25" s="63">
        <v>40000.0</v>
      </c>
      <c r="E25" s="93" t="s">
        <v>114</v>
      </c>
      <c r="F25" s="93" t="s">
        <v>41</v>
      </c>
      <c r="G25" s="93" t="s">
        <v>87</v>
      </c>
      <c r="H25" s="99"/>
      <c r="I25" s="9"/>
      <c r="J25" s="9"/>
      <c r="K25" s="143">
        <v>46003.0</v>
      </c>
      <c r="L25" s="144">
        <v>1.01E7</v>
      </c>
      <c r="M25" s="145" t="s">
        <v>59</v>
      </c>
      <c r="N25" s="146" t="s">
        <v>45</v>
      </c>
      <c r="O25" s="9"/>
    </row>
    <row r="26" ht="15.0" customHeight="1">
      <c r="A26" s="49"/>
      <c r="C26" s="138">
        <v>45966.0</v>
      </c>
      <c r="D26" s="63">
        <v>1003000.0</v>
      </c>
      <c r="E26" s="74" t="s">
        <v>117</v>
      </c>
      <c r="F26" s="93" t="s">
        <v>45</v>
      </c>
      <c r="G26" s="93" t="s">
        <v>87</v>
      </c>
      <c r="H26" s="99"/>
      <c r="I26" s="9"/>
      <c r="J26" s="9"/>
      <c r="K26" s="143">
        <v>46004.0</v>
      </c>
      <c r="L26" s="144">
        <v>1.01E7</v>
      </c>
      <c r="M26" s="145" t="s">
        <v>59</v>
      </c>
      <c r="N26" s="146" t="s">
        <v>45</v>
      </c>
      <c r="O26" s="9"/>
    </row>
    <row r="27" ht="15.0" customHeight="1">
      <c r="A27" s="49"/>
      <c r="C27" s="60">
        <v>45967.0</v>
      </c>
      <c r="D27" s="63">
        <v>20000.0</v>
      </c>
      <c r="E27" s="65" t="s">
        <v>120</v>
      </c>
      <c r="F27" s="65" t="s">
        <v>45</v>
      </c>
      <c r="G27" s="69" t="s">
        <v>42</v>
      </c>
      <c r="H27" s="99"/>
      <c r="I27" s="9"/>
      <c r="J27" s="9"/>
      <c r="K27" s="143">
        <v>46005.0</v>
      </c>
      <c r="L27" s="147">
        <v>2000000.0</v>
      </c>
      <c r="M27" s="145" t="s">
        <v>59</v>
      </c>
      <c r="N27" s="146" t="s">
        <v>45</v>
      </c>
      <c r="O27" s="9"/>
    </row>
    <row r="28" ht="15.0" customHeight="1">
      <c r="A28" s="49"/>
      <c r="C28" s="60">
        <v>45967.0</v>
      </c>
      <c r="D28" s="63">
        <v>40000.0</v>
      </c>
      <c r="E28" s="65" t="s">
        <v>124</v>
      </c>
      <c r="F28" s="65" t="s">
        <v>45</v>
      </c>
      <c r="G28" s="69" t="s">
        <v>42</v>
      </c>
      <c r="H28" s="149"/>
      <c r="I28" s="9"/>
      <c r="J28" s="9"/>
      <c r="K28" s="143">
        <v>46005.0</v>
      </c>
      <c r="L28" s="147">
        <v>8000000.0</v>
      </c>
      <c r="M28" s="145" t="s">
        <v>59</v>
      </c>
      <c r="N28" s="146" t="s">
        <v>45</v>
      </c>
      <c r="O28" s="9"/>
    </row>
    <row r="29" ht="15.0" customHeight="1">
      <c r="A29" s="49"/>
      <c r="C29" s="60">
        <v>45967.0</v>
      </c>
      <c r="D29" s="63">
        <v>10000.0</v>
      </c>
      <c r="E29" s="65" t="s">
        <v>125</v>
      </c>
      <c r="F29" s="65" t="s">
        <v>41</v>
      </c>
      <c r="G29" s="69" t="s">
        <v>42</v>
      </c>
      <c r="H29" s="149"/>
      <c r="I29" s="9"/>
      <c r="J29" s="9"/>
      <c r="K29" s="143">
        <v>46009.0</v>
      </c>
      <c r="L29" s="144">
        <v>1.01E7</v>
      </c>
      <c r="M29" s="145" t="s">
        <v>59</v>
      </c>
      <c r="N29" s="146" t="s">
        <v>45</v>
      </c>
      <c r="O29" s="9"/>
    </row>
    <row r="30" ht="15.0" customHeight="1">
      <c r="A30" s="49"/>
      <c r="C30" s="60">
        <v>45967.0</v>
      </c>
      <c r="D30" s="63">
        <v>7000.0</v>
      </c>
      <c r="E30" s="65" t="s">
        <v>128</v>
      </c>
      <c r="F30" s="65" t="s">
        <v>41</v>
      </c>
      <c r="G30" s="69" t="s">
        <v>42</v>
      </c>
      <c r="H30" s="149"/>
      <c r="I30" s="9"/>
      <c r="J30" s="9"/>
      <c r="K30" s="143">
        <v>46010.0</v>
      </c>
      <c r="L30" s="144">
        <v>1.01E7</v>
      </c>
      <c r="M30" s="145" t="s">
        <v>59</v>
      </c>
      <c r="N30" s="146" t="s">
        <v>45</v>
      </c>
      <c r="O30" s="9"/>
    </row>
    <row r="31" ht="15.0" customHeight="1">
      <c r="A31" s="49"/>
      <c r="C31" s="60">
        <v>45968.0</v>
      </c>
      <c r="D31" s="63">
        <v>10000.0</v>
      </c>
      <c r="E31" s="65" t="s">
        <v>129</v>
      </c>
      <c r="F31" s="65" t="s">
        <v>41</v>
      </c>
      <c r="G31" s="69" t="s">
        <v>42</v>
      </c>
      <c r="H31" s="149"/>
      <c r="I31" s="9"/>
      <c r="J31" s="9"/>
      <c r="K31" s="143">
        <v>46012.0</v>
      </c>
      <c r="L31" s="144">
        <v>1.01E7</v>
      </c>
      <c r="M31" s="145" t="s">
        <v>59</v>
      </c>
      <c r="N31" s="146" t="s">
        <v>45</v>
      </c>
      <c r="O31" s="9"/>
    </row>
    <row r="32" ht="15.0" customHeight="1">
      <c r="A32" s="49"/>
      <c r="C32" s="60">
        <v>45968.0</v>
      </c>
      <c r="D32" s="63">
        <v>10000.0</v>
      </c>
      <c r="E32" s="65" t="s">
        <v>134</v>
      </c>
      <c r="F32" s="65" t="s">
        <v>41</v>
      </c>
      <c r="G32" s="69" t="s">
        <v>42</v>
      </c>
      <c r="H32" s="149"/>
      <c r="I32" s="9"/>
      <c r="J32" s="9"/>
      <c r="K32" s="152">
        <v>46013.0</v>
      </c>
      <c r="L32" s="153">
        <v>1.01E7</v>
      </c>
      <c r="M32" s="154" t="s">
        <v>59</v>
      </c>
      <c r="N32" s="155" t="s">
        <v>45</v>
      </c>
      <c r="O32" s="9"/>
    </row>
    <row r="33" ht="15.0" customHeight="1">
      <c r="A33" s="49"/>
      <c r="C33" s="60">
        <v>45968.0</v>
      </c>
      <c r="D33" s="63">
        <v>36000.0</v>
      </c>
      <c r="E33" s="93" t="s">
        <v>137</v>
      </c>
      <c r="F33" s="93" t="s">
        <v>41</v>
      </c>
      <c r="G33" s="69" t="s">
        <v>42</v>
      </c>
      <c r="H33" s="149"/>
      <c r="I33" s="9"/>
      <c r="J33" s="9"/>
      <c r="K33" s="152">
        <v>46014.0</v>
      </c>
      <c r="L33" s="156">
        <v>1.1E7</v>
      </c>
      <c r="M33" s="154" t="s">
        <v>59</v>
      </c>
      <c r="N33" s="155" t="s">
        <v>45</v>
      </c>
      <c r="O33" s="9"/>
    </row>
    <row r="34" ht="15.0" customHeight="1">
      <c r="A34" s="49"/>
      <c r="C34" s="60">
        <v>45968.0</v>
      </c>
      <c r="D34" s="63">
        <v>10000.0</v>
      </c>
      <c r="E34" s="93" t="s">
        <v>138</v>
      </c>
      <c r="F34" s="93" t="s">
        <v>41</v>
      </c>
      <c r="G34" s="69" t="s">
        <v>42</v>
      </c>
      <c r="H34" s="149"/>
      <c r="I34" s="9"/>
      <c r="J34" s="9"/>
      <c r="K34" s="152">
        <v>46015.0</v>
      </c>
      <c r="L34" s="156">
        <v>2.0E7</v>
      </c>
      <c r="M34" s="154" t="s">
        <v>59</v>
      </c>
      <c r="N34" s="155" t="s">
        <v>45</v>
      </c>
      <c r="O34" s="9"/>
    </row>
    <row r="35" ht="15.0" customHeight="1">
      <c r="A35" s="49"/>
      <c r="C35" s="60">
        <v>45968.0</v>
      </c>
      <c r="D35" s="63">
        <v>10000.0</v>
      </c>
      <c r="E35" s="65" t="s">
        <v>125</v>
      </c>
      <c r="F35" s="93" t="s">
        <v>41</v>
      </c>
      <c r="G35" s="69" t="s">
        <v>42</v>
      </c>
      <c r="H35" s="159" t="s">
        <v>89</v>
      </c>
      <c r="I35" s="9"/>
      <c r="J35" s="9"/>
      <c r="K35" s="160">
        <v>46014.0</v>
      </c>
      <c r="L35" s="147">
        <v>1.01E7</v>
      </c>
      <c r="M35" s="145" t="s">
        <v>59</v>
      </c>
      <c r="N35" s="146" t="s">
        <v>45</v>
      </c>
      <c r="O35" s="9"/>
    </row>
    <row r="36" ht="15.0" customHeight="1">
      <c r="A36" s="49"/>
      <c r="C36" s="60">
        <v>45968.0</v>
      </c>
      <c r="D36" s="63">
        <v>20000.0</v>
      </c>
      <c r="E36" s="65" t="s">
        <v>145</v>
      </c>
      <c r="F36" s="93" t="s">
        <v>41</v>
      </c>
      <c r="G36" s="69" t="s">
        <v>42</v>
      </c>
      <c r="H36" s="149"/>
      <c r="I36" s="9"/>
      <c r="J36" s="9"/>
      <c r="K36" s="143">
        <v>46024.0</v>
      </c>
      <c r="L36" s="147">
        <v>5000000.0</v>
      </c>
      <c r="M36" s="145" t="s">
        <v>59</v>
      </c>
      <c r="N36" s="146" t="s">
        <v>45</v>
      </c>
      <c r="O36" s="9"/>
    </row>
    <row r="37" ht="15.0" customHeight="1">
      <c r="A37" s="49"/>
      <c r="C37" s="60">
        <v>45968.0</v>
      </c>
      <c r="D37" s="63">
        <v>455380.0</v>
      </c>
      <c r="E37" s="65" t="s">
        <v>148</v>
      </c>
      <c r="F37" s="93" t="s">
        <v>41</v>
      </c>
      <c r="G37" s="93" t="s">
        <v>87</v>
      </c>
      <c r="H37" s="99"/>
      <c r="I37" s="9"/>
      <c r="J37" s="9"/>
      <c r="K37" s="143">
        <v>46024.0</v>
      </c>
      <c r="L37" s="147">
        <v>1.01E7</v>
      </c>
      <c r="M37" s="145" t="s">
        <v>59</v>
      </c>
      <c r="N37" s="146" t="s">
        <v>45</v>
      </c>
      <c r="O37" s="9"/>
    </row>
    <row r="38" ht="15.0" customHeight="1">
      <c r="A38" s="49"/>
      <c r="C38" s="60">
        <v>45968.0</v>
      </c>
      <c r="D38" s="63">
        <v>2087900.0</v>
      </c>
      <c r="E38" s="93" t="s">
        <v>149</v>
      </c>
      <c r="F38" s="93" t="s">
        <v>41</v>
      </c>
      <c r="G38" s="93" t="s">
        <v>87</v>
      </c>
      <c r="H38" s="99"/>
      <c r="I38" s="9"/>
      <c r="J38" s="9"/>
      <c r="K38" s="143">
        <v>46026.0</v>
      </c>
      <c r="L38" s="147">
        <v>2.0E7</v>
      </c>
      <c r="M38" s="145" t="s">
        <v>59</v>
      </c>
      <c r="N38" s="146" t="s">
        <v>45</v>
      </c>
      <c r="O38" s="9"/>
    </row>
    <row r="39" ht="15.0" customHeight="1">
      <c r="A39" s="49"/>
      <c r="C39" s="60">
        <v>45968.0</v>
      </c>
      <c r="D39" s="63">
        <v>35000.0</v>
      </c>
      <c r="E39" s="93" t="s">
        <v>153</v>
      </c>
      <c r="F39" s="93" t="s">
        <v>41</v>
      </c>
      <c r="G39" s="93" t="s">
        <v>87</v>
      </c>
      <c r="H39" s="99"/>
      <c r="I39" s="9"/>
      <c r="J39" s="9"/>
      <c r="K39" s="143">
        <v>46028.0</v>
      </c>
      <c r="L39" s="147">
        <v>1.5E7</v>
      </c>
      <c r="M39" s="145" t="s">
        <v>59</v>
      </c>
      <c r="N39" s="146" t="s">
        <v>45</v>
      </c>
      <c r="O39" s="9"/>
    </row>
    <row r="40" ht="15.0" customHeight="1">
      <c r="A40" s="49"/>
      <c r="C40" s="60">
        <v>45968.0</v>
      </c>
      <c r="D40" s="63">
        <v>408000.0</v>
      </c>
      <c r="E40" s="93" t="s">
        <v>155</v>
      </c>
      <c r="F40" s="93" t="s">
        <v>41</v>
      </c>
      <c r="G40" s="93" t="s">
        <v>87</v>
      </c>
      <c r="H40" s="99"/>
      <c r="I40" s="9"/>
      <c r="J40" s="9"/>
      <c r="K40" s="143">
        <v>46030.0</v>
      </c>
      <c r="L40" s="147">
        <v>5000000.0</v>
      </c>
      <c r="M40" s="145" t="s">
        <v>59</v>
      </c>
      <c r="N40" s="146" t="s">
        <v>45</v>
      </c>
      <c r="O40" s="9"/>
    </row>
    <row r="41" ht="15.0" customHeight="1">
      <c r="A41" s="49"/>
      <c r="C41" s="60">
        <v>45968.0</v>
      </c>
      <c r="D41" s="63">
        <v>2000000.0</v>
      </c>
      <c r="E41" s="93" t="s">
        <v>158</v>
      </c>
      <c r="F41" s="93" t="s">
        <v>41</v>
      </c>
      <c r="G41" s="93" t="s">
        <v>87</v>
      </c>
      <c r="H41" s="127" t="s">
        <v>89</v>
      </c>
      <c r="I41" s="9"/>
      <c r="J41" s="9"/>
      <c r="K41" s="143">
        <v>46031.0</v>
      </c>
      <c r="L41" s="161">
        <v>1.0E7</v>
      </c>
      <c r="M41" s="145" t="s">
        <v>59</v>
      </c>
      <c r="N41" s="146" t="s">
        <v>45</v>
      </c>
      <c r="O41" s="9"/>
    </row>
    <row r="42" ht="15.0" customHeight="1">
      <c r="A42" s="49"/>
      <c r="C42" s="60">
        <v>45968.0</v>
      </c>
      <c r="D42" s="63">
        <v>1000000.0</v>
      </c>
      <c r="E42" s="93" t="s">
        <v>161</v>
      </c>
      <c r="F42" s="93" t="s">
        <v>41</v>
      </c>
      <c r="G42" s="93" t="s">
        <v>87</v>
      </c>
      <c r="H42" s="99"/>
      <c r="I42" s="9"/>
      <c r="J42" s="9"/>
      <c r="K42" s="143">
        <v>46032.0</v>
      </c>
      <c r="L42" s="161">
        <v>1.081E7</v>
      </c>
      <c r="M42" s="145" t="s">
        <v>59</v>
      </c>
      <c r="N42" s="146" t="s">
        <v>45</v>
      </c>
      <c r="O42" s="9"/>
    </row>
    <row r="43" ht="15.0" customHeight="1">
      <c r="A43" s="49"/>
      <c r="C43" s="60">
        <v>45968.0</v>
      </c>
      <c r="D43" s="63">
        <v>1000000.0</v>
      </c>
      <c r="E43" s="93" t="s">
        <v>161</v>
      </c>
      <c r="F43" s="93" t="s">
        <v>41</v>
      </c>
      <c r="G43" s="93" t="s">
        <v>87</v>
      </c>
      <c r="H43" s="99"/>
      <c r="I43" s="9"/>
      <c r="J43" s="9"/>
      <c r="K43" s="143">
        <v>46035.0</v>
      </c>
      <c r="L43" s="161">
        <v>1.5E7</v>
      </c>
      <c r="M43" s="145" t="s">
        <v>59</v>
      </c>
      <c r="N43" s="146" t="s">
        <v>45</v>
      </c>
      <c r="O43" s="9"/>
    </row>
    <row r="44" ht="15.0" customHeight="1">
      <c r="A44" s="49"/>
      <c r="C44" s="60">
        <v>45969.0</v>
      </c>
      <c r="D44" s="63">
        <v>40000.0</v>
      </c>
      <c r="E44" s="65" t="s">
        <v>165</v>
      </c>
      <c r="F44" s="93" t="s">
        <v>41</v>
      </c>
      <c r="G44" s="69" t="s">
        <v>42</v>
      </c>
      <c r="H44" s="99"/>
      <c r="I44" s="9"/>
      <c r="J44" s="9"/>
      <c r="K44" s="143">
        <v>46036.0</v>
      </c>
      <c r="L44" s="161">
        <v>1.0E7</v>
      </c>
      <c r="M44" s="145" t="s">
        <v>59</v>
      </c>
      <c r="N44" s="146" t="s">
        <v>45</v>
      </c>
      <c r="O44" s="9"/>
    </row>
    <row r="45" ht="15.0" customHeight="1">
      <c r="A45" s="49"/>
      <c r="C45" s="60">
        <v>45969.0</v>
      </c>
      <c r="D45" s="63">
        <v>10000.0</v>
      </c>
      <c r="E45" s="65" t="s">
        <v>166</v>
      </c>
      <c r="F45" s="93" t="s">
        <v>41</v>
      </c>
      <c r="G45" s="69" t="s">
        <v>42</v>
      </c>
      <c r="H45" s="99"/>
      <c r="I45" s="9"/>
      <c r="J45" s="9"/>
      <c r="K45" s="143">
        <v>46036.0</v>
      </c>
      <c r="L45" s="161">
        <v>1.5675E7</v>
      </c>
      <c r="M45" s="145" t="s">
        <v>59</v>
      </c>
      <c r="N45" s="146" t="s">
        <v>45</v>
      </c>
      <c r="O45" s="9"/>
    </row>
    <row r="46" ht="15.0" customHeight="1">
      <c r="A46" s="49"/>
      <c r="C46" s="60">
        <v>45969.0</v>
      </c>
      <c r="D46" s="63">
        <v>23000.0</v>
      </c>
      <c r="E46" s="65" t="s">
        <v>170</v>
      </c>
      <c r="F46" s="93" t="s">
        <v>41</v>
      </c>
      <c r="G46" s="69" t="s">
        <v>42</v>
      </c>
      <c r="H46" s="99"/>
      <c r="I46" s="9"/>
      <c r="J46" s="9"/>
      <c r="K46" s="9"/>
      <c r="L46" s="9"/>
      <c r="M46" s="9"/>
      <c r="N46" s="9"/>
      <c r="O46" s="9"/>
    </row>
    <row r="47" ht="15.0" customHeight="1">
      <c r="A47" s="49"/>
      <c r="C47" s="60">
        <v>45969.0</v>
      </c>
      <c r="D47" s="63">
        <v>20000.0</v>
      </c>
      <c r="E47" s="65" t="s">
        <v>172</v>
      </c>
      <c r="F47" s="93" t="s">
        <v>41</v>
      </c>
      <c r="G47" s="69" t="s">
        <v>42</v>
      </c>
      <c r="H47" s="127" t="s">
        <v>89</v>
      </c>
      <c r="I47" s="9"/>
      <c r="J47" s="9"/>
      <c r="K47" s="9"/>
      <c r="L47" s="9"/>
      <c r="M47" s="9"/>
      <c r="N47" s="9"/>
      <c r="O47" s="9"/>
    </row>
    <row r="48" ht="15.0" customHeight="1">
      <c r="A48" s="49"/>
      <c r="C48" s="60">
        <v>45969.0</v>
      </c>
      <c r="D48" s="63">
        <v>30000.0</v>
      </c>
      <c r="E48" s="65" t="s">
        <v>175</v>
      </c>
      <c r="F48" s="93" t="s">
        <v>41</v>
      </c>
      <c r="G48" s="69" t="s">
        <v>42</v>
      </c>
      <c r="H48" s="99"/>
      <c r="I48" s="9"/>
      <c r="J48" s="9"/>
      <c r="K48" s="9"/>
      <c r="L48" s="9"/>
      <c r="M48" s="9"/>
      <c r="N48" s="9"/>
      <c r="O48" s="9"/>
    </row>
    <row r="49" ht="15.0" customHeight="1">
      <c r="A49" s="49"/>
      <c r="C49" s="60">
        <v>45969.0</v>
      </c>
      <c r="D49" s="63">
        <v>50000.0</v>
      </c>
      <c r="E49" s="65" t="s">
        <v>176</v>
      </c>
      <c r="F49" s="93" t="s">
        <v>41</v>
      </c>
      <c r="G49" s="69" t="s">
        <v>42</v>
      </c>
      <c r="H49" s="127" t="s">
        <v>89</v>
      </c>
      <c r="I49" s="9"/>
      <c r="J49" s="9"/>
      <c r="K49" s="9"/>
      <c r="L49" s="9"/>
      <c r="M49" s="9"/>
      <c r="N49" s="9"/>
      <c r="O49" s="9"/>
    </row>
    <row r="50" ht="15.0" customHeight="1">
      <c r="A50" s="49"/>
      <c r="C50" s="94">
        <v>45969.0</v>
      </c>
      <c r="D50" s="63">
        <v>4050000.0</v>
      </c>
      <c r="E50" s="74" t="s">
        <v>179</v>
      </c>
      <c r="F50" s="74" t="s">
        <v>52</v>
      </c>
      <c r="G50" s="93" t="s">
        <v>87</v>
      </c>
      <c r="H50" s="127" t="s">
        <v>89</v>
      </c>
      <c r="I50" s="9"/>
      <c r="J50" s="9"/>
      <c r="K50" s="9"/>
      <c r="L50" s="9"/>
      <c r="M50" s="9"/>
      <c r="N50" s="9"/>
      <c r="O50" s="9"/>
    </row>
    <row r="51" ht="15.0" customHeight="1">
      <c r="A51" s="49"/>
      <c r="C51" s="94">
        <v>45970.0</v>
      </c>
      <c r="D51" s="63">
        <v>210000.0</v>
      </c>
      <c r="E51" s="74" t="s">
        <v>179</v>
      </c>
      <c r="F51" s="74" t="s">
        <v>52</v>
      </c>
      <c r="G51" s="93" t="s">
        <v>87</v>
      </c>
      <c r="H51" s="127" t="s">
        <v>183</v>
      </c>
      <c r="I51" s="9"/>
      <c r="J51" s="9"/>
      <c r="K51" s="9"/>
      <c r="L51" s="9"/>
      <c r="M51" s="9"/>
      <c r="N51" s="9"/>
      <c r="O51" s="9"/>
    </row>
    <row r="52" ht="15.0" customHeight="1">
      <c r="A52" s="49"/>
      <c r="C52" s="60">
        <v>45971.0</v>
      </c>
      <c r="D52" s="63">
        <v>50000.0</v>
      </c>
      <c r="E52" s="65" t="s">
        <v>186</v>
      </c>
      <c r="F52" s="93" t="s">
        <v>41</v>
      </c>
      <c r="G52" s="69" t="s">
        <v>42</v>
      </c>
      <c r="H52" s="127" t="s">
        <v>89</v>
      </c>
      <c r="I52" s="9"/>
      <c r="J52" s="9"/>
      <c r="K52" s="9"/>
      <c r="L52" s="9"/>
      <c r="M52" s="9"/>
      <c r="N52" s="9"/>
      <c r="O52" s="9"/>
    </row>
    <row r="53" ht="15.0" customHeight="1">
      <c r="A53" s="49"/>
      <c r="C53" s="60">
        <v>45971.0</v>
      </c>
      <c r="D53" s="63">
        <v>13000.0</v>
      </c>
      <c r="E53" s="65" t="s">
        <v>187</v>
      </c>
      <c r="F53" s="65" t="s">
        <v>41</v>
      </c>
      <c r="G53" s="69" t="s">
        <v>42</v>
      </c>
      <c r="H53" s="127" t="s">
        <v>89</v>
      </c>
      <c r="I53" s="9"/>
      <c r="J53" s="9"/>
      <c r="K53" s="9"/>
      <c r="L53" s="9"/>
      <c r="M53" s="9"/>
      <c r="N53" s="9"/>
      <c r="O53" s="9"/>
    </row>
    <row r="54" ht="15.0" customHeight="1">
      <c r="A54" s="49"/>
      <c r="C54" s="60">
        <v>45971.0</v>
      </c>
      <c r="D54" s="63">
        <v>50000.0</v>
      </c>
      <c r="E54" s="65" t="s">
        <v>190</v>
      </c>
      <c r="F54" s="65" t="s">
        <v>41</v>
      </c>
      <c r="G54" s="69" t="s">
        <v>42</v>
      </c>
      <c r="H54" s="99"/>
      <c r="I54" s="9"/>
      <c r="J54" s="9"/>
      <c r="K54" s="9"/>
      <c r="L54" s="9"/>
      <c r="M54" s="9"/>
      <c r="N54" s="9"/>
      <c r="O54" s="9"/>
    </row>
    <row r="55" ht="15.0" customHeight="1">
      <c r="A55" s="49"/>
      <c r="C55" s="60">
        <v>45972.0</v>
      </c>
      <c r="D55" s="63">
        <v>27000.0</v>
      </c>
      <c r="E55" s="65" t="s">
        <v>191</v>
      </c>
      <c r="F55" s="65" t="s">
        <v>41</v>
      </c>
      <c r="G55" s="69" t="s">
        <v>42</v>
      </c>
      <c r="H55" s="99"/>
      <c r="I55" s="9"/>
      <c r="J55" s="9"/>
      <c r="K55" s="9"/>
      <c r="L55" s="9"/>
      <c r="M55" s="9"/>
      <c r="N55" s="9"/>
      <c r="O55" s="9"/>
    </row>
    <row r="56" ht="15.0" customHeight="1">
      <c r="A56" s="49"/>
      <c r="C56" s="60">
        <v>45972.0</v>
      </c>
      <c r="D56" s="63">
        <v>20000.0</v>
      </c>
      <c r="E56" s="65" t="s">
        <v>194</v>
      </c>
      <c r="F56" s="65" t="s">
        <v>41</v>
      </c>
      <c r="G56" s="69" t="s">
        <v>42</v>
      </c>
      <c r="H56" s="99"/>
      <c r="I56" s="9"/>
      <c r="J56" s="9"/>
      <c r="K56" s="9"/>
      <c r="L56" s="9"/>
      <c r="M56" s="9"/>
      <c r="N56" s="9"/>
      <c r="O56" s="9"/>
    </row>
    <row r="57" ht="15.0" customHeight="1">
      <c r="A57" s="49"/>
      <c r="C57" s="60">
        <v>45972.0</v>
      </c>
      <c r="D57" s="63">
        <v>20000.0</v>
      </c>
      <c r="E57" s="74" t="s">
        <v>195</v>
      </c>
      <c r="F57" s="74" t="s">
        <v>41</v>
      </c>
      <c r="G57" s="69" t="s">
        <v>42</v>
      </c>
      <c r="H57" s="99"/>
      <c r="I57" s="9"/>
      <c r="J57" s="9"/>
      <c r="K57" s="9"/>
      <c r="L57" s="9"/>
      <c r="M57" s="9"/>
      <c r="N57" s="9"/>
      <c r="O57" s="9"/>
    </row>
    <row r="58" ht="15.0" customHeight="1">
      <c r="A58" s="49"/>
      <c r="C58" s="60">
        <v>45972.0</v>
      </c>
      <c r="D58" s="63">
        <v>900000.0</v>
      </c>
      <c r="E58" s="93" t="s">
        <v>197</v>
      </c>
      <c r="F58" s="93" t="s">
        <v>41</v>
      </c>
      <c r="G58" s="93" t="s">
        <v>87</v>
      </c>
      <c r="H58" s="149"/>
      <c r="I58" s="9"/>
      <c r="J58" s="9"/>
      <c r="K58" s="9"/>
      <c r="L58" s="9"/>
      <c r="M58" s="9"/>
      <c r="N58" s="9"/>
      <c r="O58" s="9"/>
    </row>
    <row r="59" ht="15.0" customHeight="1">
      <c r="A59" s="49"/>
      <c r="C59" s="60">
        <v>45972.0</v>
      </c>
      <c r="D59" s="63">
        <v>280000.0</v>
      </c>
      <c r="E59" s="93" t="s">
        <v>199</v>
      </c>
      <c r="F59" s="93" t="s">
        <v>41</v>
      </c>
      <c r="G59" s="93" t="s">
        <v>87</v>
      </c>
      <c r="H59" s="149"/>
      <c r="I59" s="9"/>
      <c r="J59" s="9"/>
      <c r="K59" s="9"/>
      <c r="L59" s="9"/>
      <c r="M59" s="9"/>
      <c r="N59" s="9"/>
      <c r="O59" s="9"/>
    </row>
    <row r="60" ht="15.0" customHeight="1">
      <c r="A60" s="49"/>
      <c r="C60" s="60">
        <v>45973.0</v>
      </c>
      <c r="D60" s="63">
        <v>180000.0</v>
      </c>
      <c r="E60" s="74" t="s">
        <v>200</v>
      </c>
      <c r="F60" s="74" t="s">
        <v>45</v>
      </c>
      <c r="G60" s="69" t="s">
        <v>42</v>
      </c>
      <c r="H60" s="149"/>
      <c r="I60" s="9"/>
      <c r="J60" s="9"/>
      <c r="K60" s="9"/>
      <c r="L60" s="9"/>
      <c r="M60" s="9"/>
      <c r="N60" s="9"/>
      <c r="O60" s="9"/>
    </row>
    <row r="61" ht="15.0" customHeight="1">
      <c r="A61" s="49"/>
      <c r="C61" s="60">
        <v>45973.0</v>
      </c>
      <c r="D61" s="63">
        <v>10000.0</v>
      </c>
      <c r="E61" s="74" t="s">
        <v>125</v>
      </c>
      <c r="F61" s="74" t="s">
        <v>41</v>
      </c>
      <c r="G61" s="69" t="s">
        <v>42</v>
      </c>
      <c r="H61" s="149"/>
      <c r="I61" s="9"/>
      <c r="J61" s="9"/>
      <c r="K61" s="9"/>
      <c r="L61" s="9"/>
      <c r="M61" s="9"/>
      <c r="N61" s="9"/>
      <c r="O61" s="9"/>
    </row>
    <row r="62" ht="15.0" customHeight="1">
      <c r="A62" s="49"/>
      <c r="C62" s="60">
        <v>45973.0</v>
      </c>
      <c r="D62" s="63">
        <v>40000.0</v>
      </c>
      <c r="E62" s="74" t="s">
        <v>98</v>
      </c>
      <c r="F62" s="74" t="s">
        <v>41</v>
      </c>
      <c r="G62" s="69" t="s">
        <v>42</v>
      </c>
      <c r="H62" s="149"/>
      <c r="I62" s="9"/>
      <c r="J62" s="9"/>
      <c r="K62" s="9"/>
      <c r="L62" s="9"/>
      <c r="M62" s="9"/>
      <c r="N62" s="9"/>
      <c r="O62" s="9"/>
    </row>
    <row r="63" ht="15.0" customHeight="1">
      <c r="A63" s="49"/>
      <c r="C63" s="60">
        <v>45973.0</v>
      </c>
      <c r="D63" s="63">
        <v>13000.0</v>
      </c>
      <c r="E63" s="65" t="s">
        <v>205</v>
      </c>
      <c r="F63" s="65" t="s">
        <v>41</v>
      </c>
      <c r="G63" s="69" t="s">
        <v>42</v>
      </c>
      <c r="H63" s="149"/>
      <c r="I63" s="9"/>
      <c r="J63" s="9"/>
      <c r="K63" s="9"/>
      <c r="L63" s="9"/>
      <c r="M63" s="9"/>
      <c r="N63" s="9"/>
      <c r="O63" s="9"/>
    </row>
    <row r="64" ht="15.0" customHeight="1">
      <c r="A64" s="49"/>
      <c r="C64" s="60">
        <v>45974.0</v>
      </c>
      <c r="D64" s="63">
        <v>12000.0</v>
      </c>
      <c r="E64" s="65" t="s">
        <v>206</v>
      </c>
      <c r="F64" s="65" t="s">
        <v>41</v>
      </c>
      <c r="G64" s="69" t="s">
        <v>42</v>
      </c>
      <c r="H64" s="149"/>
      <c r="I64" s="9"/>
      <c r="J64" s="9"/>
      <c r="K64" s="9"/>
      <c r="L64" s="9"/>
      <c r="M64" s="9"/>
      <c r="N64" s="9"/>
      <c r="O64" s="9"/>
    </row>
    <row r="65" ht="15.0" customHeight="1">
      <c r="A65" s="49"/>
      <c r="C65" s="60">
        <v>45974.0</v>
      </c>
      <c r="D65" s="63">
        <v>50000.0</v>
      </c>
      <c r="E65" s="65" t="s">
        <v>209</v>
      </c>
      <c r="F65" s="65" t="s">
        <v>41</v>
      </c>
      <c r="G65" s="69" t="s">
        <v>42</v>
      </c>
      <c r="H65" s="149"/>
      <c r="I65" s="9"/>
      <c r="J65" s="9"/>
      <c r="K65" s="9"/>
      <c r="L65" s="9"/>
      <c r="M65" s="9"/>
      <c r="N65" s="9"/>
      <c r="O65" s="9"/>
    </row>
    <row r="66" ht="15.0" customHeight="1">
      <c r="A66" s="49"/>
      <c r="C66" s="60">
        <v>45974.0</v>
      </c>
      <c r="D66" s="63">
        <v>20000.0</v>
      </c>
      <c r="E66" s="65" t="s">
        <v>210</v>
      </c>
      <c r="F66" s="65" t="s">
        <v>41</v>
      </c>
      <c r="G66" s="69" t="s">
        <v>42</v>
      </c>
      <c r="H66" s="149"/>
      <c r="I66" s="9"/>
      <c r="J66" s="9"/>
      <c r="K66" s="9"/>
      <c r="L66" s="9"/>
      <c r="M66" s="9"/>
      <c r="N66" s="9"/>
      <c r="O66" s="9"/>
    </row>
    <row r="67" ht="15.0" customHeight="1">
      <c r="A67" s="49"/>
      <c r="C67" s="60">
        <v>45974.0</v>
      </c>
      <c r="D67" s="63">
        <v>262000.0</v>
      </c>
      <c r="E67" s="65" t="s">
        <v>211</v>
      </c>
      <c r="F67" s="65" t="s">
        <v>41</v>
      </c>
      <c r="G67" s="69" t="s">
        <v>42</v>
      </c>
      <c r="H67" s="149"/>
      <c r="I67" s="9"/>
      <c r="J67" s="9"/>
      <c r="K67" s="9"/>
      <c r="L67" s="9"/>
      <c r="M67" s="9"/>
      <c r="N67" s="9"/>
      <c r="O67" s="9"/>
    </row>
    <row r="68" ht="15.0" customHeight="1">
      <c r="A68" s="49"/>
      <c r="C68" s="60">
        <v>45974.0</v>
      </c>
      <c r="D68" s="63">
        <v>20000.0</v>
      </c>
      <c r="E68" s="65" t="s">
        <v>214</v>
      </c>
      <c r="F68" s="65" t="s">
        <v>45</v>
      </c>
      <c r="G68" s="69" t="s">
        <v>42</v>
      </c>
      <c r="H68" s="149"/>
      <c r="I68" s="9"/>
      <c r="J68" s="9"/>
      <c r="K68" s="9"/>
      <c r="L68" s="9"/>
      <c r="M68" s="9"/>
      <c r="N68" s="9"/>
      <c r="O68" s="9"/>
    </row>
    <row r="69" ht="15.0" customHeight="1">
      <c r="A69" s="49"/>
      <c r="C69" s="60">
        <v>45974.0</v>
      </c>
      <c r="D69" s="63">
        <v>30000.0</v>
      </c>
      <c r="E69" s="65" t="s">
        <v>215</v>
      </c>
      <c r="F69" s="65" t="s">
        <v>41</v>
      </c>
      <c r="G69" s="69" t="s">
        <v>42</v>
      </c>
      <c r="H69" s="149"/>
      <c r="I69" s="9"/>
      <c r="J69" s="9"/>
      <c r="K69" s="9"/>
      <c r="L69" s="9"/>
      <c r="M69" s="9"/>
      <c r="N69" s="9"/>
      <c r="O69" s="9"/>
    </row>
    <row r="70" ht="15.0" customHeight="1">
      <c r="A70" s="49"/>
      <c r="C70" s="60">
        <v>45974.0</v>
      </c>
      <c r="D70" s="63">
        <v>28000.0</v>
      </c>
      <c r="E70" s="65" t="s">
        <v>220</v>
      </c>
      <c r="F70" s="65" t="s">
        <v>41</v>
      </c>
      <c r="G70" s="69" t="s">
        <v>42</v>
      </c>
      <c r="H70" s="149"/>
      <c r="I70" s="9"/>
      <c r="J70" s="9"/>
      <c r="K70" s="9"/>
      <c r="L70" s="9"/>
      <c r="M70" s="9"/>
      <c r="N70" s="9"/>
      <c r="O70" s="9"/>
    </row>
    <row r="71" ht="15.0" customHeight="1">
      <c r="A71" s="49"/>
      <c r="C71" s="60">
        <v>45974.0</v>
      </c>
      <c r="D71" s="63">
        <v>10000.0</v>
      </c>
      <c r="E71" s="65" t="s">
        <v>221</v>
      </c>
      <c r="F71" s="65" t="s">
        <v>41</v>
      </c>
      <c r="G71" s="69" t="s">
        <v>42</v>
      </c>
      <c r="H71" s="149"/>
      <c r="I71" s="9"/>
      <c r="J71" s="9"/>
      <c r="K71" s="9"/>
      <c r="L71" s="9"/>
      <c r="M71" s="9"/>
      <c r="N71" s="9"/>
      <c r="O71" s="9"/>
    </row>
    <row r="72" ht="15.0" customHeight="1">
      <c r="A72" s="49"/>
      <c r="C72" s="60">
        <v>45974.0</v>
      </c>
      <c r="D72" s="63">
        <v>1100000.0</v>
      </c>
      <c r="E72" s="93" t="s">
        <v>224</v>
      </c>
      <c r="F72" s="93" t="s">
        <v>41</v>
      </c>
      <c r="G72" s="93" t="s">
        <v>87</v>
      </c>
      <c r="H72" s="149"/>
      <c r="I72" s="9"/>
      <c r="J72" s="9"/>
      <c r="K72" s="9"/>
      <c r="L72" s="9"/>
      <c r="M72" s="9"/>
      <c r="N72" s="9"/>
      <c r="O72" s="9"/>
    </row>
    <row r="73" ht="15.0" customHeight="1">
      <c r="A73" s="49"/>
      <c r="C73" s="130">
        <v>45975.0</v>
      </c>
      <c r="D73" s="63">
        <v>2000247.0</v>
      </c>
      <c r="E73" s="74" t="s">
        <v>226</v>
      </c>
      <c r="F73" s="74" t="s">
        <v>45</v>
      </c>
      <c r="G73" s="93" t="s">
        <v>87</v>
      </c>
      <c r="H73" s="149"/>
      <c r="I73" s="9"/>
      <c r="J73" s="9"/>
      <c r="K73" s="9"/>
      <c r="L73" s="9"/>
      <c r="M73" s="9"/>
      <c r="N73" s="9"/>
      <c r="O73" s="9"/>
    </row>
    <row r="74" ht="15.0" customHeight="1">
      <c r="A74" s="49"/>
      <c r="C74" s="60">
        <v>45976.0</v>
      </c>
      <c r="D74" s="63">
        <v>330000.0</v>
      </c>
      <c r="E74" s="65" t="s">
        <v>227</v>
      </c>
      <c r="F74" s="65" t="s">
        <v>45</v>
      </c>
      <c r="G74" s="69" t="s">
        <v>42</v>
      </c>
      <c r="H74" s="149"/>
      <c r="I74" s="9"/>
      <c r="J74" s="9"/>
      <c r="K74" s="9"/>
      <c r="L74" s="9"/>
      <c r="M74" s="9"/>
      <c r="N74" s="9"/>
      <c r="O74" s="9"/>
    </row>
    <row r="75" ht="15.0" customHeight="1">
      <c r="A75" s="49"/>
      <c r="C75" s="60">
        <v>45976.0</v>
      </c>
      <c r="D75" s="63">
        <v>20000.0</v>
      </c>
      <c r="E75" s="65" t="s">
        <v>64</v>
      </c>
      <c r="F75" s="65" t="s">
        <v>41</v>
      </c>
      <c r="G75" s="69" t="s">
        <v>42</v>
      </c>
      <c r="H75" s="149"/>
      <c r="I75" s="9"/>
      <c r="J75" s="9"/>
      <c r="K75" s="9"/>
      <c r="L75" s="9"/>
      <c r="M75" s="9"/>
      <c r="N75" s="9"/>
      <c r="O75" s="9"/>
    </row>
    <row r="76" ht="15.0" customHeight="1">
      <c r="A76" s="49"/>
      <c r="C76" s="60">
        <v>45976.0</v>
      </c>
      <c r="D76" s="63">
        <v>100000.0</v>
      </c>
      <c r="E76" s="74" t="s">
        <v>228</v>
      </c>
      <c r="F76" s="74" t="s">
        <v>41</v>
      </c>
      <c r="G76" s="69" t="s">
        <v>42</v>
      </c>
      <c r="H76" s="149"/>
      <c r="I76" s="9"/>
      <c r="J76" s="9"/>
      <c r="K76" s="9"/>
      <c r="L76" s="9"/>
      <c r="M76" s="9"/>
      <c r="N76" s="9"/>
      <c r="O76" s="9"/>
    </row>
    <row r="77" ht="15.0" customHeight="1">
      <c r="A77" s="49"/>
      <c r="C77" s="60">
        <v>45976.0</v>
      </c>
      <c r="D77" s="63">
        <v>10000.0</v>
      </c>
      <c r="E77" s="74" t="s">
        <v>229</v>
      </c>
      <c r="F77" s="74" t="s">
        <v>45</v>
      </c>
      <c r="G77" s="69" t="s">
        <v>42</v>
      </c>
      <c r="H77" s="149"/>
      <c r="I77" s="9"/>
      <c r="J77" s="9"/>
      <c r="K77" s="9"/>
      <c r="L77" s="9"/>
      <c r="M77" s="9"/>
      <c r="N77" s="9"/>
      <c r="O77" s="9"/>
    </row>
    <row r="78" ht="15.0" customHeight="1">
      <c r="A78" s="49"/>
      <c r="C78" s="60">
        <v>45976.0</v>
      </c>
      <c r="D78" s="63">
        <v>200000.0</v>
      </c>
      <c r="E78" s="93" t="s">
        <v>230</v>
      </c>
      <c r="F78" s="93" t="s">
        <v>41</v>
      </c>
      <c r="G78" s="69" t="s">
        <v>42</v>
      </c>
      <c r="H78" s="149"/>
      <c r="I78" s="9"/>
      <c r="J78" s="9"/>
      <c r="K78" s="9"/>
      <c r="L78" s="9"/>
      <c r="M78" s="9"/>
      <c r="N78" s="9"/>
      <c r="O78" s="9"/>
    </row>
    <row r="79" ht="15.0" customHeight="1">
      <c r="A79" s="49"/>
      <c r="C79" s="60">
        <v>45976.0</v>
      </c>
      <c r="D79" s="63">
        <v>15000.0</v>
      </c>
      <c r="E79" s="93" t="s">
        <v>238</v>
      </c>
      <c r="F79" s="93" t="s">
        <v>41</v>
      </c>
      <c r="G79" s="69" t="s">
        <v>42</v>
      </c>
      <c r="H79" s="149"/>
      <c r="I79" s="9"/>
      <c r="J79" s="9"/>
      <c r="K79" s="9"/>
      <c r="L79" s="9"/>
      <c r="M79" s="9"/>
      <c r="N79" s="9"/>
      <c r="O79" s="9"/>
    </row>
    <row r="80" ht="15.0" customHeight="1">
      <c r="A80" s="49"/>
      <c r="C80" s="60">
        <v>45976.0</v>
      </c>
      <c r="D80" s="63">
        <v>110000.0</v>
      </c>
      <c r="E80" s="93" t="s">
        <v>244</v>
      </c>
      <c r="F80" s="93" t="s">
        <v>41</v>
      </c>
      <c r="G80" s="69" t="s">
        <v>42</v>
      </c>
      <c r="H80" s="149"/>
      <c r="I80" s="9"/>
      <c r="J80" s="9"/>
      <c r="K80" s="9"/>
      <c r="L80" s="9"/>
      <c r="M80" s="9"/>
      <c r="N80" s="9"/>
      <c r="O80" s="9"/>
    </row>
    <row r="81" ht="15.0" customHeight="1">
      <c r="A81" s="49"/>
      <c r="C81" s="94">
        <v>45976.0</v>
      </c>
      <c r="D81" s="63">
        <v>4050000.0</v>
      </c>
      <c r="E81" s="74" t="s">
        <v>179</v>
      </c>
      <c r="F81" s="74" t="s">
        <v>52</v>
      </c>
      <c r="G81" s="93" t="s">
        <v>87</v>
      </c>
      <c r="H81" s="149"/>
      <c r="I81" s="9"/>
      <c r="J81" s="9"/>
      <c r="K81" s="9"/>
      <c r="L81" s="9"/>
      <c r="M81" s="9"/>
      <c r="N81" s="9"/>
      <c r="O81" s="9"/>
    </row>
    <row r="82" ht="15.0" customHeight="1">
      <c r="A82" s="49"/>
      <c r="C82" s="94">
        <v>45976.0</v>
      </c>
      <c r="D82" s="63">
        <v>1000000.0</v>
      </c>
      <c r="E82" s="74" t="s">
        <v>260</v>
      </c>
      <c r="F82" s="74" t="s">
        <v>41</v>
      </c>
      <c r="G82" s="93" t="s">
        <v>87</v>
      </c>
      <c r="H82" s="149"/>
      <c r="I82" s="9"/>
      <c r="J82" s="9"/>
      <c r="K82" s="9"/>
      <c r="L82" s="9"/>
      <c r="M82" s="9"/>
      <c r="N82" s="9"/>
      <c r="O82" s="9"/>
    </row>
    <row r="83" ht="22.5" customHeight="1">
      <c r="A83" s="49"/>
      <c r="C83" s="185">
        <v>45976.0</v>
      </c>
      <c r="D83" s="186">
        <v>2500000.0</v>
      </c>
      <c r="E83" s="187" t="s">
        <v>88</v>
      </c>
      <c r="F83" s="69" t="s">
        <v>41</v>
      </c>
      <c r="G83" s="69" t="s">
        <v>87</v>
      </c>
      <c r="H83" s="149"/>
      <c r="I83" s="9"/>
      <c r="J83" s="9"/>
      <c r="K83" s="9"/>
      <c r="L83" s="9"/>
      <c r="M83" s="9"/>
      <c r="N83" s="9"/>
      <c r="O83" s="9"/>
    </row>
    <row r="84" ht="22.5" customHeight="1">
      <c r="A84" s="49"/>
      <c r="C84" s="60">
        <v>45977.0</v>
      </c>
      <c r="D84" s="63">
        <v>30000.0</v>
      </c>
      <c r="E84" s="65" t="s">
        <v>277</v>
      </c>
      <c r="F84" s="93" t="s">
        <v>41</v>
      </c>
      <c r="G84" s="69" t="s">
        <v>42</v>
      </c>
      <c r="H84" s="149"/>
      <c r="I84" s="9"/>
      <c r="J84" s="9"/>
      <c r="K84" s="9"/>
      <c r="L84" s="9"/>
      <c r="M84" s="9"/>
      <c r="N84" s="9"/>
      <c r="O84" s="9"/>
    </row>
    <row r="85" ht="22.5" customHeight="1">
      <c r="A85" s="49"/>
      <c r="C85" s="60">
        <v>45977.0</v>
      </c>
      <c r="D85" s="63">
        <v>12000.0</v>
      </c>
      <c r="E85" s="93" t="s">
        <v>283</v>
      </c>
      <c r="F85" s="93" t="s">
        <v>41</v>
      </c>
      <c r="G85" s="69" t="s">
        <v>42</v>
      </c>
      <c r="H85" s="149"/>
      <c r="I85" s="9"/>
      <c r="J85" s="9"/>
      <c r="K85" s="9"/>
      <c r="L85" s="9"/>
      <c r="M85" s="9"/>
      <c r="N85" s="9"/>
      <c r="O85" s="9"/>
    </row>
    <row r="86" ht="22.5" customHeight="1">
      <c r="A86" s="49"/>
      <c r="C86" s="60">
        <v>45977.0</v>
      </c>
      <c r="D86" s="63">
        <v>10000.0</v>
      </c>
      <c r="E86" s="93" t="s">
        <v>289</v>
      </c>
      <c r="F86" s="93" t="s">
        <v>41</v>
      </c>
      <c r="G86" s="69" t="s">
        <v>42</v>
      </c>
      <c r="H86" s="149"/>
      <c r="I86" s="9"/>
      <c r="J86" s="9"/>
      <c r="K86" s="9"/>
      <c r="L86" s="9"/>
      <c r="M86" s="9"/>
      <c r="N86" s="9"/>
      <c r="O86" s="9"/>
    </row>
    <row r="87" ht="22.5" customHeight="1">
      <c r="A87" s="49"/>
      <c r="C87" s="60">
        <v>45977.0</v>
      </c>
      <c r="D87" s="63">
        <v>150000.0</v>
      </c>
      <c r="E87" s="93" t="s">
        <v>296</v>
      </c>
      <c r="F87" s="93" t="s">
        <v>41</v>
      </c>
      <c r="G87" s="69" t="s">
        <v>42</v>
      </c>
      <c r="H87" s="149"/>
      <c r="I87" s="9"/>
      <c r="J87" s="9"/>
      <c r="K87" s="9"/>
      <c r="L87" s="9"/>
      <c r="M87" s="9"/>
      <c r="N87" s="9"/>
      <c r="O87" s="9"/>
    </row>
    <row r="88" ht="22.5" customHeight="1">
      <c r="A88" s="49"/>
      <c r="C88" s="94">
        <v>45977.0</v>
      </c>
      <c r="D88" s="63">
        <v>425000.0</v>
      </c>
      <c r="E88" s="74" t="s">
        <v>302</v>
      </c>
      <c r="F88" s="74" t="s">
        <v>52</v>
      </c>
      <c r="G88" s="93" t="s">
        <v>87</v>
      </c>
      <c r="H88" s="149"/>
      <c r="I88" s="9"/>
      <c r="J88" s="9"/>
      <c r="K88" s="9"/>
      <c r="L88" s="9"/>
      <c r="M88" s="9"/>
      <c r="N88" s="9"/>
      <c r="O88" s="9"/>
    </row>
    <row r="89" ht="22.5" customHeight="1">
      <c r="A89" s="49"/>
      <c r="C89" s="60">
        <v>45978.0</v>
      </c>
      <c r="D89" s="63">
        <v>82000.0</v>
      </c>
      <c r="E89" s="93" t="s">
        <v>307</v>
      </c>
      <c r="F89" s="93" t="s">
        <v>41</v>
      </c>
      <c r="G89" s="69" t="s">
        <v>42</v>
      </c>
      <c r="H89" s="149"/>
      <c r="I89" s="9"/>
      <c r="J89" s="9"/>
      <c r="K89" s="9"/>
      <c r="L89" s="9"/>
      <c r="M89" s="9"/>
      <c r="N89" s="9"/>
      <c r="O89" s="9"/>
    </row>
    <row r="90" ht="22.5" customHeight="1">
      <c r="A90" s="49"/>
      <c r="C90" s="60">
        <v>45978.0</v>
      </c>
      <c r="D90" s="63">
        <v>20000.0</v>
      </c>
      <c r="E90" s="93" t="s">
        <v>194</v>
      </c>
      <c r="F90" s="93" t="s">
        <v>45</v>
      </c>
      <c r="G90" s="69" t="s">
        <v>42</v>
      </c>
      <c r="H90" s="149"/>
      <c r="I90" s="9"/>
      <c r="J90" s="9"/>
      <c r="K90" s="9"/>
      <c r="L90" s="9"/>
      <c r="M90" s="9"/>
      <c r="N90" s="9"/>
      <c r="O90" s="9"/>
    </row>
    <row r="91" ht="22.5" customHeight="1">
      <c r="A91" s="49"/>
      <c r="C91" s="60">
        <v>45978.0</v>
      </c>
      <c r="D91" s="63">
        <v>196000.0</v>
      </c>
      <c r="E91" s="93" t="s">
        <v>317</v>
      </c>
      <c r="F91" s="93" t="s">
        <v>41</v>
      </c>
      <c r="G91" s="69" t="s">
        <v>42</v>
      </c>
      <c r="H91" s="149"/>
      <c r="I91" s="9"/>
      <c r="J91" s="9"/>
      <c r="K91" s="9"/>
      <c r="L91" s="9"/>
      <c r="M91" s="9"/>
      <c r="N91" s="9"/>
      <c r="O91" s="9"/>
    </row>
    <row r="92" ht="22.5" customHeight="1">
      <c r="A92" s="49"/>
      <c r="C92" s="60">
        <v>45978.0</v>
      </c>
      <c r="D92" s="63">
        <v>20000.0</v>
      </c>
      <c r="E92" s="93" t="s">
        <v>320</v>
      </c>
      <c r="F92" s="93" t="s">
        <v>45</v>
      </c>
      <c r="G92" s="69" t="s">
        <v>42</v>
      </c>
      <c r="H92" s="149"/>
      <c r="I92" s="9"/>
      <c r="J92" s="9"/>
      <c r="K92" s="9"/>
      <c r="L92" s="9"/>
      <c r="M92" s="9"/>
      <c r="N92" s="9"/>
      <c r="O92" s="9"/>
    </row>
    <row r="93" ht="22.5" customHeight="1">
      <c r="A93" s="49"/>
      <c r="C93" s="60">
        <v>45978.0</v>
      </c>
      <c r="D93" s="63">
        <v>84000.0</v>
      </c>
      <c r="E93" s="93" t="s">
        <v>321</v>
      </c>
      <c r="F93" s="93" t="s">
        <v>41</v>
      </c>
      <c r="G93" s="69" t="s">
        <v>42</v>
      </c>
      <c r="H93" s="149"/>
      <c r="I93" s="9"/>
      <c r="J93" s="9"/>
      <c r="K93" s="9"/>
      <c r="L93" s="9"/>
      <c r="M93" s="9"/>
      <c r="N93" s="9"/>
      <c r="O93" s="9"/>
    </row>
    <row r="94" ht="22.5" customHeight="1">
      <c r="A94" s="49"/>
      <c r="C94" s="94">
        <v>45978.0</v>
      </c>
      <c r="D94" s="63">
        <v>2000000.0</v>
      </c>
      <c r="E94" s="74" t="s">
        <v>322</v>
      </c>
      <c r="F94" s="74" t="s">
        <v>41</v>
      </c>
      <c r="G94" s="93" t="s">
        <v>87</v>
      </c>
      <c r="H94" s="149"/>
      <c r="I94" s="9"/>
      <c r="J94" s="9"/>
      <c r="K94" s="9"/>
      <c r="L94" s="9"/>
      <c r="M94" s="9"/>
      <c r="N94" s="9"/>
      <c r="O94" s="9"/>
    </row>
    <row r="95" ht="22.5" customHeight="1">
      <c r="A95" s="49"/>
      <c r="C95" s="94">
        <v>45979.0</v>
      </c>
      <c r="D95" s="63">
        <v>200000.0</v>
      </c>
      <c r="E95" s="74" t="s">
        <v>326</v>
      </c>
      <c r="F95" s="93" t="s">
        <v>45</v>
      </c>
      <c r="G95" s="93" t="s">
        <v>87</v>
      </c>
      <c r="H95" s="149"/>
      <c r="I95" s="9"/>
      <c r="J95" s="9"/>
      <c r="K95" s="9"/>
      <c r="L95" s="9"/>
      <c r="M95" s="9"/>
      <c r="N95" s="9"/>
      <c r="O95" s="9"/>
    </row>
    <row r="96" ht="22.5" customHeight="1">
      <c r="A96" s="49"/>
      <c r="C96" s="192">
        <v>45980.0</v>
      </c>
      <c r="D96" s="63">
        <v>1300000.0</v>
      </c>
      <c r="E96" s="93" t="s">
        <v>327</v>
      </c>
      <c r="F96" s="93" t="s">
        <v>41</v>
      </c>
      <c r="G96" s="93" t="s">
        <v>87</v>
      </c>
      <c r="H96" s="149"/>
      <c r="I96" s="9"/>
      <c r="J96" s="9"/>
      <c r="K96" s="9"/>
      <c r="L96" s="9"/>
      <c r="M96" s="9"/>
      <c r="N96" s="9"/>
      <c r="O96" s="9"/>
    </row>
    <row r="97" ht="22.5" customHeight="1">
      <c r="A97" s="49"/>
      <c r="C97" s="60">
        <v>45980.0</v>
      </c>
      <c r="D97" s="63">
        <v>50000.0</v>
      </c>
      <c r="E97" s="93" t="s">
        <v>328</v>
      </c>
      <c r="F97" s="93" t="s">
        <v>45</v>
      </c>
      <c r="G97" s="69" t="s">
        <v>42</v>
      </c>
      <c r="H97" s="149"/>
      <c r="I97" s="9"/>
      <c r="J97" s="9"/>
      <c r="K97" s="9"/>
      <c r="L97" s="9"/>
      <c r="M97" s="9"/>
      <c r="N97" s="9"/>
      <c r="O97" s="9"/>
    </row>
    <row r="98" ht="22.5" customHeight="1">
      <c r="A98" s="49"/>
      <c r="C98" s="60">
        <v>45981.0</v>
      </c>
      <c r="D98" s="63">
        <v>20000.0</v>
      </c>
      <c r="E98" s="65" t="s">
        <v>329</v>
      </c>
      <c r="F98" s="93" t="s">
        <v>45</v>
      </c>
      <c r="G98" s="69" t="s">
        <v>42</v>
      </c>
      <c r="H98" s="149"/>
      <c r="I98" s="9"/>
      <c r="J98" s="9"/>
      <c r="K98" s="9"/>
      <c r="L98" s="9"/>
      <c r="M98" s="9"/>
      <c r="N98" s="9"/>
      <c r="O98" s="9"/>
    </row>
    <row r="99" ht="22.5" customHeight="1">
      <c r="A99" s="49"/>
      <c r="C99" s="60">
        <v>45981.0</v>
      </c>
      <c r="D99" s="63">
        <v>305000.0</v>
      </c>
      <c r="E99" s="65" t="s">
        <v>211</v>
      </c>
      <c r="F99" s="93" t="s">
        <v>41</v>
      </c>
      <c r="G99" s="69" t="s">
        <v>42</v>
      </c>
      <c r="H99" s="149"/>
      <c r="I99" s="9"/>
      <c r="J99" s="9"/>
      <c r="K99" s="9"/>
      <c r="L99" s="9"/>
      <c r="M99" s="9"/>
      <c r="N99" s="9"/>
      <c r="O99" s="9"/>
    </row>
    <row r="100" ht="22.5" customHeight="1">
      <c r="A100" s="49"/>
      <c r="C100" s="94">
        <v>45981.0</v>
      </c>
      <c r="D100" s="63">
        <v>1169600.0</v>
      </c>
      <c r="E100" s="74" t="s">
        <v>332</v>
      </c>
      <c r="F100" s="93" t="s">
        <v>41</v>
      </c>
      <c r="G100" s="93" t="s">
        <v>87</v>
      </c>
      <c r="H100" s="149"/>
      <c r="I100" s="9"/>
      <c r="J100" s="9"/>
      <c r="K100" s="9"/>
      <c r="L100" s="9"/>
      <c r="M100" s="9"/>
      <c r="N100" s="9"/>
      <c r="O100" s="9"/>
    </row>
    <row r="101" ht="22.5" customHeight="1">
      <c r="A101" s="49"/>
      <c r="C101" s="60">
        <v>45982.0</v>
      </c>
      <c r="D101" s="63">
        <v>22000.0</v>
      </c>
      <c r="E101" s="65" t="s">
        <v>334</v>
      </c>
      <c r="F101" s="93" t="s">
        <v>41</v>
      </c>
      <c r="G101" s="69" t="s">
        <v>42</v>
      </c>
      <c r="H101" s="149"/>
      <c r="I101" s="9"/>
      <c r="J101" s="9"/>
      <c r="K101" s="9"/>
      <c r="L101" s="9"/>
      <c r="M101" s="9"/>
      <c r="N101" s="9"/>
      <c r="O101" s="9"/>
    </row>
    <row r="102" ht="22.5" customHeight="1">
      <c r="A102" s="49"/>
      <c r="C102" s="60">
        <v>45982.0</v>
      </c>
      <c r="D102" s="63">
        <v>20000.0</v>
      </c>
      <c r="E102" s="93" t="s">
        <v>336</v>
      </c>
      <c r="F102" s="93" t="s">
        <v>41</v>
      </c>
      <c r="G102" s="69" t="s">
        <v>42</v>
      </c>
      <c r="H102" s="149"/>
      <c r="I102" s="9"/>
      <c r="J102" s="9"/>
      <c r="K102" s="9"/>
      <c r="L102" s="9"/>
      <c r="M102" s="9"/>
      <c r="N102" s="9"/>
      <c r="O102" s="9"/>
    </row>
    <row r="103" ht="22.5" customHeight="1">
      <c r="A103" s="49"/>
      <c r="C103" s="60">
        <v>45982.0</v>
      </c>
      <c r="D103" s="63">
        <v>27000.0</v>
      </c>
      <c r="E103" s="93" t="s">
        <v>337</v>
      </c>
      <c r="F103" s="93" t="s">
        <v>41</v>
      </c>
      <c r="G103" s="69" t="s">
        <v>42</v>
      </c>
      <c r="H103" s="149"/>
      <c r="I103" s="9"/>
      <c r="J103" s="9"/>
      <c r="K103" s="9"/>
      <c r="L103" s="9"/>
      <c r="M103" s="9"/>
      <c r="N103" s="9"/>
      <c r="O103" s="9"/>
    </row>
    <row r="104" ht="22.5" customHeight="1">
      <c r="A104" s="49"/>
      <c r="C104" s="60">
        <v>45982.0</v>
      </c>
      <c r="D104" s="63">
        <v>25000.0</v>
      </c>
      <c r="E104" s="93" t="s">
        <v>338</v>
      </c>
      <c r="F104" s="93" t="s">
        <v>41</v>
      </c>
      <c r="G104" s="69" t="s">
        <v>42</v>
      </c>
      <c r="H104" s="149"/>
      <c r="I104" s="9"/>
      <c r="J104" s="9"/>
      <c r="K104" s="9"/>
      <c r="L104" s="9"/>
      <c r="M104" s="9"/>
      <c r="N104" s="9"/>
      <c r="O104" s="9"/>
    </row>
    <row r="105" ht="22.5" customHeight="1">
      <c r="A105" s="49"/>
      <c r="C105" s="60">
        <v>45982.0</v>
      </c>
      <c r="D105" s="63">
        <v>40000.0</v>
      </c>
      <c r="E105" s="93" t="s">
        <v>339</v>
      </c>
      <c r="F105" s="93" t="s">
        <v>41</v>
      </c>
      <c r="G105" s="69" t="s">
        <v>42</v>
      </c>
      <c r="H105" s="149"/>
      <c r="I105" s="9"/>
      <c r="J105" s="9"/>
      <c r="K105" s="9"/>
      <c r="L105" s="9"/>
      <c r="M105" s="9"/>
      <c r="N105" s="9"/>
      <c r="O105" s="9"/>
    </row>
    <row r="106" ht="22.5" customHeight="1">
      <c r="A106" s="49"/>
      <c r="C106" s="60">
        <v>45983.0</v>
      </c>
      <c r="D106" s="63">
        <v>50000.0</v>
      </c>
      <c r="E106" s="93" t="s">
        <v>137</v>
      </c>
      <c r="F106" s="93" t="s">
        <v>41</v>
      </c>
      <c r="G106" s="69" t="s">
        <v>42</v>
      </c>
      <c r="H106" s="149"/>
      <c r="I106" s="9"/>
      <c r="J106" s="9"/>
      <c r="K106" s="9"/>
      <c r="L106" s="9"/>
      <c r="M106" s="9"/>
      <c r="N106" s="9"/>
      <c r="O106" s="9"/>
    </row>
    <row r="107" ht="22.5" customHeight="1">
      <c r="A107" s="49"/>
      <c r="C107" s="94">
        <v>45983.0</v>
      </c>
      <c r="D107" s="63">
        <v>4050000.0</v>
      </c>
      <c r="E107" s="74" t="s">
        <v>179</v>
      </c>
      <c r="F107" s="93" t="s">
        <v>45</v>
      </c>
      <c r="G107" s="93" t="s">
        <v>87</v>
      </c>
      <c r="H107" s="149"/>
      <c r="I107" s="9"/>
      <c r="J107" s="9"/>
      <c r="K107" s="9"/>
      <c r="L107" s="9"/>
      <c r="M107" s="9"/>
      <c r="N107" s="9"/>
      <c r="O107" s="9"/>
    </row>
    <row r="108" ht="22.5" customHeight="1">
      <c r="A108" s="49"/>
      <c r="C108" s="185">
        <v>45983.0</v>
      </c>
      <c r="D108" s="186">
        <v>2500000.0</v>
      </c>
      <c r="E108" s="187" t="s">
        <v>88</v>
      </c>
      <c r="F108" s="69" t="s">
        <v>41</v>
      </c>
      <c r="G108" s="69" t="s">
        <v>87</v>
      </c>
      <c r="H108" s="149"/>
      <c r="I108" s="9"/>
      <c r="J108" s="9"/>
      <c r="K108" s="9"/>
      <c r="L108" s="9"/>
      <c r="M108" s="9"/>
      <c r="N108" s="9"/>
      <c r="O108" s="9"/>
    </row>
    <row r="109" ht="22.5" customHeight="1">
      <c r="A109" s="49"/>
      <c r="C109" s="94">
        <v>45984.0</v>
      </c>
      <c r="D109" s="63">
        <v>210000.0</v>
      </c>
      <c r="E109" s="74" t="s">
        <v>179</v>
      </c>
      <c r="F109" s="74" t="s">
        <v>45</v>
      </c>
      <c r="G109" s="93" t="s">
        <v>87</v>
      </c>
      <c r="H109" s="149"/>
      <c r="I109" s="9"/>
      <c r="J109" s="9"/>
      <c r="K109" s="9"/>
      <c r="L109" s="9"/>
      <c r="M109" s="9"/>
      <c r="N109" s="9"/>
      <c r="O109" s="9"/>
    </row>
    <row r="110" ht="22.5" customHeight="1">
      <c r="A110" s="49"/>
      <c r="C110" s="60">
        <v>45985.0</v>
      </c>
      <c r="D110" s="63">
        <v>72000.0</v>
      </c>
      <c r="E110" s="93" t="s">
        <v>345</v>
      </c>
      <c r="F110" s="93" t="s">
        <v>41</v>
      </c>
      <c r="G110" s="69" t="s">
        <v>42</v>
      </c>
      <c r="H110" s="149"/>
      <c r="I110" s="9"/>
      <c r="J110" s="9"/>
      <c r="K110" s="9"/>
      <c r="L110" s="9"/>
      <c r="M110" s="9"/>
      <c r="N110" s="9"/>
      <c r="O110" s="9"/>
    </row>
    <row r="111" ht="22.5" customHeight="1">
      <c r="A111" s="49"/>
      <c r="C111" s="60">
        <v>45986.0</v>
      </c>
      <c r="D111" s="63">
        <v>20000.0</v>
      </c>
      <c r="E111" s="93" t="s">
        <v>347</v>
      </c>
      <c r="F111" s="93" t="s">
        <v>41</v>
      </c>
      <c r="G111" s="69" t="s">
        <v>42</v>
      </c>
      <c r="H111" s="149"/>
      <c r="I111" s="9"/>
      <c r="J111" s="9"/>
      <c r="K111" s="9"/>
      <c r="L111" s="9"/>
      <c r="M111" s="9"/>
      <c r="N111" s="9"/>
      <c r="O111" s="9"/>
    </row>
    <row r="112" ht="22.5" customHeight="1">
      <c r="A112" s="49"/>
      <c r="C112" s="60">
        <v>45986.0</v>
      </c>
      <c r="D112" s="63">
        <v>26000.0</v>
      </c>
      <c r="E112" s="93" t="s">
        <v>137</v>
      </c>
      <c r="F112" s="93" t="s">
        <v>41</v>
      </c>
      <c r="G112" s="69" t="s">
        <v>42</v>
      </c>
      <c r="H112" s="149"/>
      <c r="I112" s="9"/>
      <c r="J112" s="9"/>
      <c r="K112" s="9"/>
      <c r="L112" s="9"/>
      <c r="M112" s="9"/>
      <c r="N112" s="9"/>
      <c r="O112" s="9"/>
    </row>
    <row r="113" ht="22.5" customHeight="1">
      <c r="A113" s="49"/>
      <c r="C113" s="60">
        <v>45986.0</v>
      </c>
      <c r="D113" s="63">
        <v>370000.0</v>
      </c>
      <c r="E113" s="93" t="s">
        <v>350</v>
      </c>
      <c r="F113" s="93" t="s">
        <v>41</v>
      </c>
      <c r="G113" s="69" t="s">
        <v>42</v>
      </c>
      <c r="H113" s="149"/>
      <c r="I113" s="9"/>
      <c r="J113" s="9"/>
      <c r="K113" s="9"/>
      <c r="L113" s="9"/>
      <c r="M113" s="9"/>
      <c r="N113" s="9"/>
      <c r="O113" s="9"/>
    </row>
    <row r="114" ht="22.5" customHeight="1">
      <c r="A114" s="49"/>
      <c r="C114" s="60">
        <v>45986.0</v>
      </c>
      <c r="D114" s="63">
        <v>30000.0</v>
      </c>
      <c r="E114" s="93" t="s">
        <v>352</v>
      </c>
      <c r="F114" s="93" t="s">
        <v>41</v>
      </c>
      <c r="G114" s="69" t="s">
        <v>42</v>
      </c>
      <c r="H114" s="149"/>
      <c r="I114" s="9"/>
      <c r="J114" s="9"/>
      <c r="K114" s="9"/>
      <c r="L114" s="9"/>
      <c r="M114" s="9"/>
      <c r="N114" s="9"/>
      <c r="O114" s="9"/>
    </row>
    <row r="115" ht="22.5" customHeight="1">
      <c r="A115" s="49"/>
      <c r="C115" s="60">
        <v>45987.0</v>
      </c>
      <c r="D115" s="63">
        <v>20000.0</v>
      </c>
      <c r="E115" s="93" t="s">
        <v>347</v>
      </c>
      <c r="F115" s="93" t="s">
        <v>41</v>
      </c>
      <c r="G115" s="69" t="s">
        <v>42</v>
      </c>
      <c r="H115" s="149"/>
      <c r="I115" s="9"/>
      <c r="J115" s="9"/>
      <c r="K115" s="9"/>
      <c r="L115" s="9"/>
      <c r="M115" s="9"/>
      <c r="N115" s="9"/>
      <c r="O115" s="9"/>
    </row>
    <row r="116" ht="22.5" customHeight="1">
      <c r="A116" s="49"/>
      <c r="C116" s="60">
        <v>45988.0</v>
      </c>
      <c r="D116" s="63">
        <v>80000.0</v>
      </c>
      <c r="E116" s="93" t="s">
        <v>356</v>
      </c>
      <c r="F116" s="93" t="s">
        <v>41</v>
      </c>
      <c r="G116" s="69" t="s">
        <v>42</v>
      </c>
      <c r="H116" s="149"/>
      <c r="I116" s="9"/>
      <c r="J116" s="9"/>
      <c r="K116" s="9"/>
      <c r="L116" s="9"/>
      <c r="M116" s="9"/>
      <c r="N116" s="9"/>
      <c r="O116" s="9"/>
    </row>
    <row r="117" ht="22.5" customHeight="1">
      <c r="A117" s="49"/>
      <c r="C117" s="94">
        <v>45988.0</v>
      </c>
      <c r="D117" s="63">
        <v>1.65E7</v>
      </c>
      <c r="E117" s="74" t="s">
        <v>357</v>
      </c>
      <c r="F117" s="74" t="s">
        <v>41</v>
      </c>
      <c r="G117" s="93" t="s">
        <v>87</v>
      </c>
      <c r="H117" s="149"/>
      <c r="I117" s="9"/>
      <c r="J117" s="9"/>
      <c r="K117" s="9"/>
      <c r="L117" s="9"/>
      <c r="M117" s="9"/>
      <c r="N117" s="9"/>
      <c r="O117" s="9"/>
    </row>
    <row r="118" ht="22.5" customHeight="1">
      <c r="A118" s="49"/>
      <c r="C118" s="94">
        <v>45988.0</v>
      </c>
      <c r="D118" s="195">
        <v>1.1E7</v>
      </c>
      <c r="E118" s="74" t="s">
        <v>358</v>
      </c>
      <c r="F118" s="74" t="s">
        <v>41</v>
      </c>
      <c r="G118" s="93" t="s">
        <v>87</v>
      </c>
      <c r="H118" s="149"/>
      <c r="I118" s="9"/>
      <c r="J118" s="9"/>
      <c r="K118" s="9"/>
      <c r="L118" s="9"/>
      <c r="M118" s="9"/>
      <c r="N118" s="9"/>
      <c r="O118" s="9"/>
    </row>
    <row r="119" ht="22.5" customHeight="1">
      <c r="A119" s="49"/>
      <c r="C119" s="138">
        <v>45989.0</v>
      </c>
      <c r="D119" s="195">
        <v>40000.0</v>
      </c>
      <c r="E119" s="140" t="s">
        <v>338</v>
      </c>
      <c r="F119" s="140" t="s">
        <v>41</v>
      </c>
      <c r="G119" s="69" t="s">
        <v>42</v>
      </c>
      <c r="H119" s="149"/>
      <c r="I119" s="9"/>
      <c r="J119" s="9"/>
      <c r="K119" s="9"/>
      <c r="L119" s="9"/>
      <c r="M119" s="9"/>
      <c r="N119" s="9"/>
      <c r="O119" s="9"/>
    </row>
    <row r="120" ht="22.5" customHeight="1">
      <c r="A120" s="49"/>
      <c r="C120" s="192">
        <v>45989.0</v>
      </c>
      <c r="D120" s="195">
        <v>100000.0</v>
      </c>
      <c r="E120" s="69" t="s">
        <v>338</v>
      </c>
      <c r="F120" s="69" t="s">
        <v>41</v>
      </c>
      <c r="G120" s="69" t="s">
        <v>42</v>
      </c>
      <c r="H120" s="149"/>
      <c r="I120" s="9"/>
      <c r="J120" s="9"/>
      <c r="K120" s="9"/>
      <c r="L120" s="9"/>
      <c r="M120" s="9"/>
      <c r="N120" s="9"/>
      <c r="O120" s="9"/>
    </row>
    <row r="121" ht="22.5" customHeight="1">
      <c r="A121" s="49"/>
      <c r="C121" s="192">
        <v>45990.0</v>
      </c>
      <c r="D121" s="195">
        <v>4000000.0</v>
      </c>
      <c r="E121" s="69" t="s">
        <v>308</v>
      </c>
      <c r="F121" s="69" t="s">
        <v>45</v>
      </c>
      <c r="G121" s="69" t="s">
        <v>87</v>
      </c>
      <c r="H121" s="149"/>
      <c r="I121" s="9"/>
      <c r="J121" s="9"/>
      <c r="K121" s="9"/>
      <c r="L121" s="9"/>
      <c r="M121" s="9"/>
      <c r="N121" s="9"/>
      <c r="O121" s="9"/>
    </row>
    <row r="122" ht="22.5" customHeight="1">
      <c r="A122" s="49"/>
      <c r="C122" s="192">
        <v>45990.0</v>
      </c>
      <c r="D122" s="195">
        <v>4000000.0</v>
      </c>
      <c r="E122" s="69" t="s">
        <v>362</v>
      </c>
      <c r="F122" s="69" t="s">
        <v>41</v>
      </c>
      <c r="G122" s="69" t="s">
        <v>87</v>
      </c>
      <c r="H122" s="149"/>
      <c r="I122" s="9"/>
      <c r="J122" s="9"/>
      <c r="K122" s="9"/>
      <c r="L122" s="9"/>
      <c r="M122" s="9"/>
      <c r="N122" s="9"/>
      <c r="O122" s="9"/>
    </row>
    <row r="123" ht="22.5" customHeight="1">
      <c r="A123" s="49"/>
      <c r="C123" s="192">
        <v>45990.0</v>
      </c>
      <c r="D123" s="195">
        <v>50000.0</v>
      </c>
      <c r="E123" s="69" t="s">
        <v>179</v>
      </c>
      <c r="F123" s="69" t="s">
        <v>45</v>
      </c>
      <c r="G123" s="69" t="s">
        <v>42</v>
      </c>
      <c r="H123" s="149"/>
      <c r="I123" s="9"/>
      <c r="J123" s="9"/>
      <c r="K123" s="9"/>
      <c r="L123" s="9"/>
      <c r="M123" s="9"/>
      <c r="N123" s="9"/>
      <c r="O123" s="9"/>
    </row>
    <row r="124" ht="22.5" customHeight="1">
      <c r="A124" s="49"/>
      <c r="C124" s="192">
        <v>45990.0</v>
      </c>
      <c r="D124" s="195">
        <v>20000.0</v>
      </c>
      <c r="E124" s="69" t="s">
        <v>320</v>
      </c>
      <c r="F124" s="69" t="s">
        <v>45</v>
      </c>
      <c r="G124" s="69" t="s">
        <v>42</v>
      </c>
      <c r="H124" s="149"/>
      <c r="I124" s="9"/>
      <c r="J124" s="9"/>
      <c r="K124" s="9"/>
      <c r="L124" s="9"/>
      <c r="M124" s="9"/>
      <c r="N124" s="9"/>
      <c r="O124" s="9"/>
    </row>
    <row r="125" ht="22.5" customHeight="1">
      <c r="A125" s="49"/>
      <c r="C125" s="185">
        <v>45990.0</v>
      </c>
      <c r="D125" s="186">
        <v>2500000.0</v>
      </c>
      <c r="E125" s="187" t="s">
        <v>88</v>
      </c>
      <c r="F125" s="69" t="s">
        <v>41</v>
      </c>
      <c r="G125" s="69" t="s">
        <v>87</v>
      </c>
      <c r="H125" s="149"/>
      <c r="I125" s="9"/>
      <c r="J125" s="9"/>
      <c r="K125" s="9"/>
      <c r="L125" s="9"/>
      <c r="M125" s="9"/>
      <c r="N125" s="9"/>
      <c r="O125" s="9"/>
    </row>
    <row r="126" ht="22.5" customHeight="1">
      <c r="A126" s="49"/>
      <c r="C126" s="192">
        <v>45991.0</v>
      </c>
      <c r="D126" s="195">
        <v>55000.0</v>
      </c>
      <c r="E126" s="69" t="s">
        <v>367</v>
      </c>
      <c r="F126" s="69" t="s">
        <v>41</v>
      </c>
      <c r="G126" s="69" t="s">
        <v>42</v>
      </c>
      <c r="H126" s="149"/>
      <c r="I126" s="9"/>
      <c r="J126" s="9"/>
      <c r="K126" s="9"/>
      <c r="L126" s="9"/>
      <c r="M126" s="9"/>
      <c r="N126" s="9"/>
      <c r="O126" s="9"/>
    </row>
    <row r="127" ht="22.5" customHeight="1">
      <c r="A127" s="49"/>
      <c r="C127" s="192">
        <v>45991.0</v>
      </c>
      <c r="D127" s="199">
        <v>315000.0</v>
      </c>
      <c r="E127" s="200" t="s">
        <v>368</v>
      </c>
      <c r="F127" s="69" t="s">
        <v>45</v>
      </c>
      <c r="G127" s="69" t="s">
        <v>87</v>
      </c>
      <c r="H127" s="149"/>
      <c r="I127" s="9"/>
      <c r="J127" s="9"/>
      <c r="K127" s="9"/>
      <c r="L127" s="9"/>
      <c r="M127" s="9"/>
      <c r="N127" s="9"/>
      <c r="O127" s="9"/>
    </row>
    <row r="128" ht="22.5" customHeight="1">
      <c r="A128" s="49"/>
      <c r="C128" s="192">
        <v>45992.0</v>
      </c>
      <c r="D128" s="199">
        <v>2600000.0</v>
      </c>
      <c r="E128" s="200" t="s">
        <v>362</v>
      </c>
      <c r="F128" s="69" t="s">
        <v>41</v>
      </c>
      <c r="G128" s="69" t="s">
        <v>87</v>
      </c>
      <c r="H128" s="149"/>
      <c r="I128" s="9"/>
      <c r="J128" s="9"/>
      <c r="K128" s="9"/>
      <c r="L128" s="9"/>
      <c r="M128" s="9"/>
      <c r="N128" s="9"/>
      <c r="O128" s="9"/>
    </row>
    <row r="129" ht="22.5" customHeight="1">
      <c r="A129" s="49"/>
      <c r="C129" s="192">
        <v>45993.0</v>
      </c>
      <c r="D129" s="199">
        <v>360000.0</v>
      </c>
      <c r="E129" s="200" t="s">
        <v>165</v>
      </c>
      <c r="F129" s="69" t="s">
        <v>41</v>
      </c>
      <c r="G129" s="69" t="s">
        <v>42</v>
      </c>
      <c r="H129" s="149"/>
      <c r="I129" s="9"/>
      <c r="J129" s="9"/>
      <c r="K129" s="9"/>
      <c r="L129" s="9"/>
      <c r="M129" s="9"/>
      <c r="N129" s="9"/>
      <c r="O129" s="9"/>
    </row>
    <row r="130" ht="22.5" customHeight="1">
      <c r="A130" s="49"/>
      <c r="C130" s="192">
        <v>45993.0</v>
      </c>
      <c r="D130" s="195">
        <v>20000.0</v>
      </c>
      <c r="E130" s="69" t="s">
        <v>347</v>
      </c>
      <c r="F130" s="69" t="s">
        <v>45</v>
      </c>
      <c r="G130" s="69" t="s">
        <v>42</v>
      </c>
      <c r="H130" s="149"/>
      <c r="I130" s="9"/>
      <c r="J130" s="9"/>
      <c r="K130" s="9"/>
      <c r="L130" s="9"/>
      <c r="M130" s="9"/>
      <c r="N130" s="9"/>
      <c r="O130" s="9"/>
    </row>
    <row r="131" ht="22.5" customHeight="1">
      <c r="A131" s="49"/>
      <c r="C131" s="192">
        <v>45993.0</v>
      </c>
      <c r="D131" s="195">
        <v>25000.0</v>
      </c>
      <c r="E131" s="69" t="s">
        <v>373</v>
      </c>
      <c r="F131" s="69" t="s">
        <v>41</v>
      </c>
      <c r="G131" s="69" t="s">
        <v>42</v>
      </c>
      <c r="H131" s="149"/>
      <c r="I131" s="9"/>
      <c r="J131" s="9"/>
      <c r="K131" s="9"/>
      <c r="L131" s="9"/>
      <c r="M131" s="9"/>
      <c r="N131" s="9"/>
      <c r="O131" s="9"/>
    </row>
    <row r="132" ht="22.5" customHeight="1">
      <c r="A132" s="49"/>
      <c r="C132" s="192">
        <v>45993.0</v>
      </c>
      <c r="D132" s="195">
        <v>55000.0</v>
      </c>
      <c r="E132" s="69" t="s">
        <v>137</v>
      </c>
      <c r="F132" s="69" t="s">
        <v>41</v>
      </c>
      <c r="G132" s="69" t="s">
        <v>42</v>
      </c>
      <c r="H132" s="149"/>
      <c r="I132" s="9"/>
      <c r="J132" s="9"/>
      <c r="K132" s="9"/>
      <c r="L132" s="9"/>
      <c r="M132" s="9"/>
      <c r="N132" s="9"/>
      <c r="O132" s="9"/>
    </row>
    <row r="133" ht="22.5" customHeight="1">
      <c r="A133" s="49"/>
      <c r="C133" s="192">
        <v>45993.0</v>
      </c>
      <c r="D133" s="195">
        <v>40000.0</v>
      </c>
      <c r="E133" s="69" t="s">
        <v>165</v>
      </c>
      <c r="F133" s="69" t="s">
        <v>41</v>
      </c>
      <c r="G133" s="69" t="s">
        <v>42</v>
      </c>
      <c r="H133" s="149"/>
      <c r="I133" s="9"/>
      <c r="J133" s="9"/>
      <c r="K133" s="9"/>
      <c r="L133" s="9"/>
      <c r="M133" s="9"/>
      <c r="N133" s="9"/>
      <c r="O133" s="9"/>
    </row>
    <row r="134" ht="22.5" customHeight="1">
      <c r="A134" s="49"/>
      <c r="C134" s="192">
        <v>45994.0</v>
      </c>
      <c r="D134" s="195">
        <v>5000000.0</v>
      </c>
      <c r="E134" s="69" t="s">
        <v>376</v>
      </c>
      <c r="F134" s="69" t="s">
        <v>41</v>
      </c>
      <c r="G134" s="69" t="s">
        <v>87</v>
      </c>
      <c r="H134" s="149"/>
      <c r="I134" s="9"/>
      <c r="J134" s="9"/>
      <c r="K134" s="9"/>
      <c r="L134" s="9"/>
      <c r="M134" s="9"/>
      <c r="N134" s="9"/>
      <c r="O134" s="9"/>
    </row>
    <row r="135" ht="22.5" customHeight="1">
      <c r="A135" s="49"/>
      <c r="C135" s="192">
        <v>45994.0</v>
      </c>
      <c r="D135" s="195">
        <v>35000.0</v>
      </c>
      <c r="E135" s="69" t="s">
        <v>377</v>
      </c>
      <c r="F135" s="69" t="s">
        <v>41</v>
      </c>
      <c r="G135" s="69" t="s">
        <v>42</v>
      </c>
      <c r="H135" s="149"/>
      <c r="I135" s="9"/>
      <c r="J135" s="9"/>
      <c r="K135" s="9"/>
      <c r="L135" s="9"/>
      <c r="M135" s="9"/>
      <c r="N135" s="9"/>
      <c r="O135" s="9"/>
    </row>
    <row r="136" ht="22.5" customHeight="1">
      <c r="A136" s="49"/>
      <c r="C136" s="192">
        <v>45994.0</v>
      </c>
      <c r="D136" s="195">
        <v>20000.0</v>
      </c>
      <c r="E136" s="69" t="s">
        <v>378</v>
      </c>
      <c r="F136" s="69" t="s">
        <v>45</v>
      </c>
      <c r="G136" s="69" t="s">
        <v>42</v>
      </c>
      <c r="H136" s="149"/>
      <c r="I136" s="9"/>
      <c r="J136" s="9"/>
      <c r="K136" s="9"/>
      <c r="L136" s="9"/>
      <c r="M136" s="9"/>
      <c r="N136" s="9"/>
      <c r="O136" s="9"/>
    </row>
    <row r="137" ht="22.5" customHeight="1">
      <c r="A137" s="49"/>
      <c r="C137" s="192">
        <v>45995.0</v>
      </c>
      <c r="D137" s="195">
        <v>100000.0</v>
      </c>
      <c r="E137" s="69" t="s">
        <v>379</v>
      </c>
      <c r="F137" s="69" t="s">
        <v>41</v>
      </c>
      <c r="G137" s="69" t="s">
        <v>42</v>
      </c>
      <c r="H137" s="149"/>
      <c r="I137" s="9"/>
      <c r="J137" s="9"/>
      <c r="K137" s="9"/>
      <c r="L137" s="9"/>
      <c r="M137" s="9"/>
      <c r="N137" s="9"/>
      <c r="O137" s="9"/>
    </row>
    <row r="138" ht="22.5" customHeight="1">
      <c r="A138" s="49"/>
      <c r="C138" s="192">
        <v>45995.0</v>
      </c>
      <c r="D138" s="195">
        <v>335000.0</v>
      </c>
      <c r="E138" s="69" t="s">
        <v>211</v>
      </c>
      <c r="F138" s="69" t="s">
        <v>380</v>
      </c>
      <c r="G138" s="69" t="s">
        <v>42</v>
      </c>
      <c r="H138" s="149"/>
      <c r="I138" s="9"/>
      <c r="J138" s="9"/>
      <c r="K138" s="9"/>
      <c r="L138" s="9"/>
      <c r="M138" s="9"/>
      <c r="N138" s="9"/>
      <c r="O138" s="9"/>
    </row>
    <row r="139" ht="22.5" customHeight="1">
      <c r="A139" s="49"/>
      <c r="C139" s="192">
        <v>45995.0</v>
      </c>
      <c r="D139" s="195">
        <v>20000.0</v>
      </c>
      <c r="E139" s="69" t="s">
        <v>64</v>
      </c>
      <c r="F139" s="69" t="s">
        <v>45</v>
      </c>
      <c r="G139" s="69" t="s">
        <v>42</v>
      </c>
      <c r="H139" s="149"/>
      <c r="I139" s="9"/>
      <c r="J139" s="9"/>
      <c r="K139" s="9"/>
      <c r="L139" s="9"/>
      <c r="M139" s="9"/>
      <c r="N139" s="9"/>
      <c r="O139" s="9"/>
    </row>
    <row r="140" ht="22.5" customHeight="1">
      <c r="A140" s="49"/>
      <c r="C140" s="192">
        <v>45996.0</v>
      </c>
      <c r="D140" s="195">
        <v>4000000.0</v>
      </c>
      <c r="E140" s="69" t="s">
        <v>384</v>
      </c>
      <c r="F140" s="69" t="s">
        <v>41</v>
      </c>
      <c r="G140" s="69" t="s">
        <v>87</v>
      </c>
      <c r="H140" s="149"/>
      <c r="I140" s="9"/>
      <c r="J140" s="9"/>
      <c r="K140" s="9"/>
      <c r="L140" s="9"/>
      <c r="M140" s="9"/>
      <c r="N140" s="9"/>
      <c r="O140" s="9"/>
    </row>
    <row r="141" ht="22.5" customHeight="1">
      <c r="A141" s="49"/>
      <c r="C141" s="192">
        <v>45996.0</v>
      </c>
      <c r="D141" s="195">
        <v>205000.0</v>
      </c>
      <c r="E141" s="69" t="s">
        <v>356</v>
      </c>
      <c r="F141" s="69" t="s">
        <v>41</v>
      </c>
      <c r="G141" s="69" t="s">
        <v>42</v>
      </c>
      <c r="H141" s="149"/>
      <c r="I141" s="9"/>
      <c r="J141" s="9"/>
      <c r="K141" s="9"/>
      <c r="L141" s="9"/>
      <c r="M141" s="9"/>
      <c r="N141" s="9"/>
      <c r="O141" s="9"/>
    </row>
    <row r="142" ht="22.5" customHeight="1">
      <c r="A142" s="49"/>
      <c r="C142" s="192">
        <v>45996.0</v>
      </c>
      <c r="D142" s="195">
        <v>50000.0</v>
      </c>
      <c r="E142" s="69" t="s">
        <v>387</v>
      </c>
      <c r="F142" s="69" t="s">
        <v>41</v>
      </c>
      <c r="G142" s="69" t="s">
        <v>42</v>
      </c>
      <c r="H142" s="149"/>
      <c r="I142" s="9"/>
      <c r="J142" s="9"/>
      <c r="K142" s="9"/>
      <c r="L142" s="9"/>
      <c r="M142" s="9"/>
      <c r="N142" s="9"/>
      <c r="O142" s="9"/>
    </row>
    <row r="143" ht="22.5" customHeight="1">
      <c r="A143" s="49"/>
      <c r="C143" s="192">
        <v>45997.0</v>
      </c>
      <c r="D143" s="195">
        <v>200000.0</v>
      </c>
      <c r="E143" s="69" t="s">
        <v>308</v>
      </c>
      <c r="F143" s="69" t="s">
        <v>45</v>
      </c>
      <c r="G143" s="69" t="s">
        <v>42</v>
      </c>
      <c r="H143" s="149"/>
      <c r="I143" s="9"/>
      <c r="J143" s="9"/>
      <c r="K143" s="9"/>
      <c r="L143" s="9"/>
      <c r="M143" s="9"/>
      <c r="N143" s="9"/>
      <c r="O143" s="9"/>
    </row>
    <row r="144" ht="22.5" customHeight="1">
      <c r="A144" s="49"/>
      <c r="C144" s="192">
        <v>45997.0</v>
      </c>
      <c r="D144" s="195">
        <v>3850000.0</v>
      </c>
      <c r="E144" s="69" t="s">
        <v>308</v>
      </c>
      <c r="F144" s="69" t="s">
        <v>45</v>
      </c>
      <c r="G144" s="69" t="s">
        <v>87</v>
      </c>
      <c r="H144" s="149"/>
      <c r="I144" s="9"/>
      <c r="J144" s="9"/>
      <c r="K144" s="9"/>
      <c r="L144" s="9"/>
      <c r="M144" s="9"/>
      <c r="N144" s="9"/>
      <c r="O144" s="9"/>
    </row>
    <row r="145" ht="22.5" customHeight="1">
      <c r="A145" s="49"/>
      <c r="C145" s="192">
        <v>45997.0</v>
      </c>
      <c r="D145" s="195">
        <v>20000.0</v>
      </c>
      <c r="E145" s="69" t="s">
        <v>390</v>
      </c>
      <c r="F145" s="69" t="s">
        <v>45</v>
      </c>
      <c r="G145" s="69" t="s">
        <v>42</v>
      </c>
      <c r="H145" s="149"/>
      <c r="I145" s="9"/>
      <c r="J145" s="9"/>
      <c r="K145" s="9"/>
      <c r="L145" s="9"/>
      <c r="M145" s="9"/>
      <c r="N145" s="9"/>
      <c r="O145" s="9"/>
    </row>
    <row r="146" ht="22.5" customHeight="1">
      <c r="A146" s="49"/>
      <c r="C146" s="192">
        <v>45997.0</v>
      </c>
      <c r="D146" s="195">
        <v>2500000.0</v>
      </c>
      <c r="E146" s="69" t="s">
        <v>88</v>
      </c>
      <c r="F146" s="69" t="s">
        <v>41</v>
      </c>
      <c r="G146" s="69" t="s">
        <v>87</v>
      </c>
      <c r="H146" s="149"/>
      <c r="I146" s="9"/>
      <c r="J146" s="9"/>
      <c r="K146" s="9"/>
      <c r="L146" s="9"/>
      <c r="M146" s="9"/>
      <c r="N146" s="9"/>
      <c r="O146" s="9"/>
    </row>
    <row r="147" ht="22.5" customHeight="1">
      <c r="A147" s="49"/>
      <c r="C147" s="192">
        <v>45997.0</v>
      </c>
      <c r="D147" s="199">
        <v>1340000.0</v>
      </c>
      <c r="E147" s="200" t="s">
        <v>393</v>
      </c>
      <c r="F147" s="69" t="s">
        <v>45</v>
      </c>
      <c r="G147" s="69" t="s">
        <v>87</v>
      </c>
      <c r="H147" s="149"/>
      <c r="I147" s="9"/>
      <c r="J147" s="9"/>
      <c r="K147" s="9"/>
      <c r="L147" s="9"/>
      <c r="M147" s="9"/>
      <c r="N147" s="9"/>
      <c r="O147" s="9"/>
    </row>
    <row r="148" ht="22.5" customHeight="1">
      <c r="A148" s="49"/>
      <c r="C148" s="192">
        <v>45998.0</v>
      </c>
      <c r="D148" s="195">
        <v>210000.0</v>
      </c>
      <c r="E148" s="69" t="s">
        <v>368</v>
      </c>
      <c r="F148" s="69" t="s">
        <v>45</v>
      </c>
      <c r="G148" s="69" t="s">
        <v>87</v>
      </c>
      <c r="H148" s="149"/>
      <c r="I148" s="9"/>
      <c r="J148" s="9"/>
      <c r="K148" s="9"/>
      <c r="L148" s="9"/>
      <c r="M148" s="9"/>
      <c r="N148" s="9"/>
      <c r="O148" s="9"/>
    </row>
    <row r="149" ht="22.5" customHeight="1">
      <c r="A149" s="49"/>
      <c r="C149" s="192">
        <v>45999.0</v>
      </c>
      <c r="D149" s="195">
        <v>50000.0</v>
      </c>
      <c r="E149" s="69" t="s">
        <v>395</v>
      </c>
      <c r="F149" s="69" t="s">
        <v>41</v>
      </c>
      <c r="G149" s="69" t="s">
        <v>42</v>
      </c>
      <c r="H149" s="149"/>
      <c r="I149" s="9"/>
      <c r="J149" s="9"/>
      <c r="K149" s="9"/>
      <c r="L149" s="9"/>
      <c r="M149" s="9"/>
      <c r="N149" s="9"/>
      <c r="O149" s="9"/>
    </row>
    <row r="150" ht="22.5" customHeight="1">
      <c r="A150" s="49"/>
      <c r="C150" s="192">
        <v>46000.0</v>
      </c>
      <c r="D150" s="195">
        <v>50000.0</v>
      </c>
      <c r="E150" s="69" t="s">
        <v>7</v>
      </c>
      <c r="F150" s="69" t="s">
        <v>41</v>
      </c>
      <c r="G150" s="69" t="s">
        <v>42</v>
      </c>
      <c r="H150" s="149"/>
      <c r="I150" s="9"/>
      <c r="J150" s="9"/>
      <c r="K150" s="9"/>
      <c r="L150" s="9"/>
      <c r="M150" s="9"/>
      <c r="N150" s="9"/>
      <c r="O150" s="9"/>
    </row>
    <row r="151" ht="22.5" customHeight="1">
      <c r="A151" s="49"/>
      <c r="C151" s="192">
        <v>46000.0</v>
      </c>
      <c r="D151" s="195">
        <v>105000.0</v>
      </c>
      <c r="E151" s="69" t="s">
        <v>398</v>
      </c>
      <c r="F151" s="69" t="s">
        <v>41</v>
      </c>
      <c r="G151" s="69" t="s">
        <v>42</v>
      </c>
      <c r="H151" s="149"/>
      <c r="I151" s="9"/>
      <c r="J151" s="9"/>
      <c r="K151" s="9"/>
      <c r="L151" s="9"/>
      <c r="M151" s="9"/>
      <c r="N151" s="9"/>
      <c r="O151" s="9"/>
    </row>
    <row r="152" ht="22.5" customHeight="1">
      <c r="A152" s="49"/>
      <c r="C152" s="192">
        <v>46001.0</v>
      </c>
      <c r="D152" s="195">
        <v>64000.0</v>
      </c>
      <c r="E152" s="69" t="s">
        <v>401</v>
      </c>
      <c r="F152" s="69" t="s">
        <v>41</v>
      </c>
      <c r="G152" s="69" t="s">
        <v>87</v>
      </c>
      <c r="H152" s="149"/>
      <c r="I152" s="9"/>
      <c r="J152" s="9"/>
      <c r="K152" s="9"/>
      <c r="L152" s="9"/>
      <c r="M152" s="9"/>
      <c r="N152" s="9"/>
      <c r="O152" s="9"/>
    </row>
    <row r="153" ht="22.5" customHeight="1">
      <c r="A153" s="49"/>
      <c r="C153" s="192">
        <v>46001.0</v>
      </c>
      <c r="D153" s="195">
        <v>100000.0</v>
      </c>
      <c r="E153" s="69" t="s">
        <v>402</v>
      </c>
      <c r="F153" s="69" t="s">
        <v>41</v>
      </c>
      <c r="G153" s="69" t="s">
        <v>87</v>
      </c>
      <c r="H153" s="149"/>
      <c r="I153" s="9"/>
      <c r="J153" s="9"/>
      <c r="K153" s="9"/>
      <c r="L153" s="9"/>
      <c r="M153" s="9"/>
      <c r="N153" s="9"/>
      <c r="O153" s="9"/>
    </row>
    <row r="154" ht="22.5" customHeight="1">
      <c r="A154" s="49"/>
      <c r="C154" s="192">
        <v>46001.0</v>
      </c>
      <c r="D154" s="195">
        <v>38000.0</v>
      </c>
      <c r="E154" s="69" t="s">
        <v>175</v>
      </c>
      <c r="F154" s="69" t="s">
        <v>41</v>
      </c>
      <c r="G154" s="69" t="s">
        <v>42</v>
      </c>
      <c r="H154" s="149"/>
      <c r="I154" s="9"/>
      <c r="J154" s="9"/>
      <c r="K154" s="9"/>
      <c r="L154" s="9"/>
      <c r="M154" s="9"/>
      <c r="N154" s="9"/>
      <c r="O154" s="9"/>
    </row>
    <row r="155" ht="22.5" customHeight="1">
      <c r="A155" s="49"/>
      <c r="C155" s="192">
        <v>46001.0</v>
      </c>
      <c r="D155" s="195">
        <v>20000.0</v>
      </c>
      <c r="E155" s="69" t="s">
        <v>404</v>
      </c>
      <c r="F155" s="69" t="s">
        <v>45</v>
      </c>
      <c r="G155" s="69" t="s">
        <v>42</v>
      </c>
      <c r="H155" s="149"/>
      <c r="I155" s="9"/>
      <c r="J155" s="9"/>
      <c r="K155" s="9"/>
      <c r="L155" s="9"/>
      <c r="M155" s="9"/>
      <c r="N155" s="9"/>
      <c r="O155" s="9"/>
    </row>
    <row r="156" ht="22.5" customHeight="1">
      <c r="A156" s="49"/>
      <c r="C156" s="192">
        <v>46001.0</v>
      </c>
      <c r="D156" s="195">
        <v>10000.0</v>
      </c>
      <c r="E156" s="69" t="s">
        <v>406</v>
      </c>
      <c r="F156" s="69" t="s">
        <v>41</v>
      </c>
      <c r="G156" s="69" t="s">
        <v>42</v>
      </c>
      <c r="H156" s="149"/>
      <c r="I156" s="9"/>
      <c r="J156" s="9"/>
      <c r="K156" s="9"/>
      <c r="L156" s="9"/>
      <c r="M156" s="9"/>
      <c r="N156" s="9"/>
      <c r="O156" s="9"/>
    </row>
    <row r="157" ht="22.5" customHeight="1">
      <c r="A157" s="49"/>
      <c r="C157" s="192">
        <v>46001.0</v>
      </c>
      <c r="D157" s="195">
        <v>20000.0</v>
      </c>
      <c r="E157" s="69" t="s">
        <v>407</v>
      </c>
      <c r="F157" s="69" t="s">
        <v>45</v>
      </c>
      <c r="G157" s="69" t="s">
        <v>42</v>
      </c>
      <c r="H157" s="149"/>
      <c r="I157" s="9"/>
      <c r="J157" s="9"/>
      <c r="K157" s="9"/>
      <c r="L157" s="9"/>
      <c r="M157" s="9"/>
      <c r="N157" s="9"/>
      <c r="O157" s="9"/>
    </row>
    <row r="158" ht="22.5" customHeight="1">
      <c r="A158" s="49"/>
      <c r="C158" s="192">
        <v>46001.0</v>
      </c>
      <c r="D158" s="195">
        <v>370000.0</v>
      </c>
      <c r="E158" s="69" t="s">
        <v>408</v>
      </c>
      <c r="F158" s="69" t="s">
        <v>45</v>
      </c>
      <c r="G158" s="69" t="s">
        <v>42</v>
      </c>
      <c r="H158" s="149"/>
      <c r="I158" s="9"/>
      <c r="J158" s="9"/>
      <c r="K158" s="9"/>
      <c r="L158" s="9"/>
      <c r="M158" s="9"/>
      <c r="N158" s="9"/>
      <c r="O158" s="9"/>
    </row>
    <row r="159" ht="22.5" customHeight="1">
      <c r="A159" s="49"/>
      <c r="C159" s="192">
        <v>46002.0</v>
      </c>
      <c r="D159" s="195">
        <v>50000.0</v>
      </c>
      <c r="E159" s="69" t="s">
        <v>395</v>
      </c>
      <c r="F159" s="69" t="s">
        <v>41</v>
      </c>
      <c r="G159" s="69" t="s">
        <v>42</v>
      </c>
      <c r="H159" s="149"/>
      <c r="I159" s="9"/>
      <c r="J159" s="9"/>
      <c r="K159" s="9"/>
      <c r="L159" s="9"/>
      <c r="M159" s="9"/>
      <c r="N159" s="9"/>
      <c r="O159" s="9"/>
    </row>
    <row r="160" ht="22.5" customHeight="1">
      <c r="A160" s="49"/>
      <c r="C160" s="192">
        <v>46002.0</v>
      </c>
      <c r="D160" s="195">
        <v>1.1E7</v>
      </c>
      <c r="E160" s="69" t="s">
        <v>358</v>
      </c>
      <c r="F160" s="69" t="s">
        <v>41</v>
      </c>
      <c r="G160" s="69" t="s">
        <v>87</v>
      </c>
      <c r="H160" s="149"/>
      <c r="I160" s="9"/>
      <c r="J160" s="9"/>
      <c r="K160" s="9"/>
      <c r="L160" s="9"/>
      <c r="M160" s="9"/>
      <c r="N160" s="9"/>
      <c r="O160" s="9"/>
    </row>
    <row r="161" ht="22.5" customHeight="1">
      <c r="A161" s="49"/>
      <c r="C161" s="192">
        <v>46002.0</v>
      </c>
      <c r="D161" s="195">
        <v>20000.0</v>
      </c>
      <c r="E161" s="69" t="s">
        <v>347</v>
      </c>
      <c r="F161" s="69" t="s">
        <v>41</v>
      </c>
      <c r="G161" s="69" t="s">
        <v>42</v>
      </c>
      <c r="H161" s="149"/>
      <c r="I161" s="9"/>
      <c r="J161" s="9"/>
      <c r="K161" s="9"/>
      <c r="L161" s="9"/>
      <c r="M161" s="9"/>
      <c r="N161" s="9"/>
      <c r="O161" s="9"/>
    </row>
    <row r="162" ht="22.5" customHeight="1">
      <c r="A162" s="49"/>
      <c r="C162" s="192">
        <v>46002.0</v>
      </c>
      <c r="D162" s="195">
        <v>50000.0</v>
      </c>
      <c r="E162" s="69" t="s">
        <v>413</v>
      </c>
      <c r="F162" s="69" t="s">
        <v>41</v>
      </c>
      <c r="G162" s="69" t="s">
        <v>42</v>
      </c>
      <c r="H162" s="149"/>
      <c r="I162" s="9"/>
      <c r="J162" s="9"/>
      <c r="K162" s="9"/>
      <c r="L162" s="9"/>
      <c r="M162" s="9"/>
      <c r="N162" s="9"/>
      <c r="O162" s="9"/>
    </row>
    <row r="163" ht="22.5" customHeight="1">
      <c r="A163" s="49"/>
      <c r="C163" s="192">
        <v>46002.0</v>
      </c>
      <c r="D163" s="195">
        <v>10000.0</v>
      </c>
      <c r="E163" s="69" t="s">
        <v>406</v>
      </c>
      <c r="F163" s="69" t="s">
        <v>41</v>
      </c>
      <c r="G163" s="69" t="s">
        <v>42</v>
      </c>
      <c r="H163" s="149"/>
      <c r="I163" s="9"/>
      <c r="J163" s="9"/>
      <c r="K163" s="9"/>
      <c r="L163" s="9"/>
      <c r="M163" s="9"/>
      <c r="N163" s="9"/>
      <c r="O163" s="9"/>
    </row>
    <row r="164" ht="22.5" customHeight="1">
      <c r="A164" s="49"/>
      <c r="C164" s="192">
        <v>46002.0</v>
      </c>
      <c r="D164" s="195">
        <v>500000.0</v>
      </c>
      <c r="E164" s="69" t="s">
        <v>414</v>
      </c>
      <c r="F164" s="69" t="s">
        <v>41</v>
      </c>
      <c r="G164" s="69" t="s">
        <v>42</v>
      </c>
      <c r="H164" s="149"/>
      <c r="I164" s="9"/>
      <c r="J164" s="9"/>
      <c r="K164" s="9"/>
      <c r="L164" s="9"/>
      <c r="M164" s="9"/>
      <c r="N164" s="9"/>
      <c r="O164" s="9"/>
    </row>
    <row r="165" ht="22.5" customHeight="1">
      <c r="A165" s="49"/>
      <c r="C165" s="192">
        <v>46003.0</v>
      </c>
      <c r="D165" s="195">
        <v>260000.0</v>
      </c>
      <c r="E165" s="69" t="s">
        <v>417</v>
      </c>
      <c r="F165" s="69" t="s">
        <v>45</v>
      </c>
      <c r="G165" s="69" t="s">
        <v>42</v>
      </c>
      <c r="H165" s="149"/>
      <c r="I165" s="9"/>
      <c r="J165" s="9"/>
      <c r="K165" s="9"/>
      <c r="L165" s="9"/>
      <c r="M165" s="9"/>
      <c r="N165" s="9"/>
      <c r="O165" s="9"/>
    </row>
    <row r="166" ht="22.5" customHeight="1">
      <c r="A166" s="49"/>
      <c r="C166" s="192">
        <v>46003.0</v>
      </c>
      <c r="D166" s="195">
        <v>50000.0</v>
      </c>
      <c r="E166" s="69" t="s">
        <v>418</v>
      </c>
      <c r="F166" s="69" t="s">
        <v>41</v>
      </c>
      <c r="G166" s="69" t="s">
        <v>42</v>
      </c>
      <c r="H166" s="149"/>
      <c r="I166" s="9"/>
      <c r="J166" s="9"/>
      <c r="K166" s="9"/>
      <c r="L166" s="9"/>
      <c r="M166" s="9"/>
      <c r="N166" s="9"/>
      <c r="O166" s="9"/>
    </row>
    <row r="167" ht="22.5" customHeight="1">
      <c r="A167" s="49"/>
      <c r="C167" s="192">
        <v>46003.0</v>
      </c>
      <c r="D167" s="195">
        <v>2300000.0</v>
      </c>
      <c r="E167" s="69" t="s">
        <v>419</v>
      </c>
      <c r="F167" s="69" t="s">
        <v>45</v>
      </c>
      <c r="G167" s="69" t="s">
        <v>87</v>
      </c>
      <c r="H167" s="149"/>
      <c r="I167" s="9"/>
      <c r="J167" s="9"/>
      <c r="K167" s="9"/>
      <c r="L167" s="9"/>
      <c r="M167" s="9"/>
      <c r="N167" s="9"/>
      <c r="O167" s="9"/>
    </row>
    <row r="168" ht="22.5" customHeight="1">
      <c r="A168" s="49"/>
      <c r="C168" s="192">
        <v>46003.0</v>
      </c>
      <c r="D168" s="195">
        <v>1.65E7</v>
      </c>
      <c r="E168" s="69" t="s">
        <v>420</v>
      </c>
      <c r="F168" s="69" t="s">
        <v>41</v>
      </c>
      <c r="G168" s="69" t="s">
        <v>87</v>
      </c>
      <c r="H168" s="149"/>
      <c r="I168" s="9"/>
      <c r="J168" s="9"/>
      <c r="K168" s="9"/>
      <c r="L168" s="9"/>
      <c r="M168" s="9"/>
      <c r="N168" s="9"/>
      <c r="O168" s="9"/>
    </row>
    <row r="169" ht="22.5" customHeight="1">
      <c r="A169" s="49"/>
      <c r="C169" s="192">
        <v>46003.0</v>
      </c>
      <c r="D169" s="195">
        <v>50000.0</v>
      </c>
      <c r="E169" s="69" t="s">
        <v>423</v>
      </c>
      <c r="F169" s="69" t="s">
        <v>41</v>
      </c>
      <c r="G169" s="69" t="s">
        <v>42</v>
      </c>
      <c r="H169" s="149"/>
      <c r="I169" s="9"/>
      <c r="J169" s="9"/>
      <c r="K169" s="9"/>
      <c r="L169" s="9"/>
      <c r="M169" s="9"/>
      <c r="N169" s="9"/>
      <c r="O169" s="9"/>
    </row>
    <row r="170" ht="22.5" customHeight="1">
      <c r="A170" s="49"/>
      <c r="C170" s="192">
        <v>46003.0</v>
      </c>
      <c r="D170" s="195">
        <v>342000.0</v>
      </c>
      <c r="E170" s="69" t="s">
        <v>414</v>
      </c>
      <c r="F170" s="69" t="s">
        <v>45</v>
      </c>
      <c r="G170" s="69" t="s">
        <v>87</v>
      </c>
      <c r="H170" s="149"/>
      <c r="I170" s="9"/>
      <c r="J170" s="9"/>
      <c r="K170" s="9"/>
      <c r="L170" s="9"/>
      <c r="M170" s="9"/>
      <c r="N170" s="9"/>
      <c r="O170" s="9"/>
    </row>
    <row r="171" ht="22.5" customHeight="1">
      <c r="A171" s="49"/>
      <c r="C171" s="192">
        <v>46003.0</v>
      </c>
      <c r="D171" s="195">
        <v>2500000.0</v>
      </c>
      <c r="E171" s="69" t="s">
        <v>88</v>
      </c>
      <c r="F171" s="69" t="s">
        <v>41</v>
      </c>
      <c r="G171" s="69" t="s">
        <v>87</v>
      </c>
      <c r="H171" s="149"/>
      <c r="I171" s="9"/>
      <c r="J171" s="9"/>
      <c r="K171" s="9"/>
      <c r="L171" s="9"/>
      <c r="M171" s="9"/>
      <c r="N171" s="9"/>
      <c r="O171" s="9"/>
    </row>
    <row r="172" ht="22.5" customHeight="1">
      <c r="A172" s="49"/>
      <c r="C172" s="192">
        <v>46004.0</v>
      </c>
      <c r="D172" s="195">
        <v>2000000.0</v>
      </c>
      <c r="E172" s="69" t="s">
        <v>426</v>
      </c>
      <c r="F172" s="69" t="s">
        <v>45</v>
      </c>
      <c r="G172" s="69" t="s">
        <v>87</v>
      </c>
      <c r="H172" s="149"/>
      <c r="I172" s="9"/>
      <c r="J172" s="9"/>
      <c r="K172" s="9"/>
      <c r="L172" s="9"/>
      <c r="M172" s="9"/>
      <c r="N172" s="9"/>
      <c r="O172" s="9"/>
    </row>
    <row r="173" ht="22.5" customHeight="1">
      <c r="A173" s="49"/>
      <c r="C173" s="192">
        <v>46004.0</v>
      </c>
      <c r="D173" s="195">
        <v>50000.0</v>
      </c>
      <c r="E173" s="69" t="s">
        <v>395</v>
      </c>
      <c r="F173" s="69" t="s">
        <v>41</v>
      </c>
      <c r="G173" s="69" t="s">
        <v>42</v>
      </c>
      <c r="H173" s="149"/>
      <c r="I173" s="9"/>
      <c r="J173" s="9"/>
      <c r="K173" s="9"/>
      <c r="L173" s="9"/>
      <c r="M173" s="9"/>
      <c r="N173" s="9"/>
      <c r="O173" s="9"/>
    </row>
    <row r="174" ht="22.5" customHeight="1">
      <c r="A174" s="49"/>
      <c r="C174" s="192">
        <v>46004.0</v>
      </c>
      <c r="D174" s="195">
        <v>62000.0</v>
      </c>
      <c r="E174" s="69" t="s">
        <v>428</v>
      </c>
      <c r="F174" s="69" t="s">
        <v>41</v>
      </c>
      <c r="G174" s="69" t="s">
        <v>42</v>
      </c>
      <c r="H174" s="149"/>
      <c r="I174" s="9"/>
      <c r="J174" s="9"/>
      <c r="K174" s="9"/>
      <c r="L174" s="9"/>
      <c r="M174" s="9"/>
      <c r="N174" s="9"/>
      <c r="O174" s="9"/>
    </row>
    <row r="175" ht="22.5" customHeight="1">
      <c r="A175" s="49"/>
      <c r="C175" s="192">
        <v>46004.0</v>
      </c>
      <c r="D175" s="195">
        <v>15000.0</v>
      </c>
      <c r="E175" s="69" t="s">
        <v>430</v>
      </c>
      <c r="F175" s="69" t="s">
        <v>41</v>
      </c>
      <c r="G175" s="69" t="s">
        <v>42</v>
      </c>
      <c r="H175" s="149"/>
      <c r="I175" s="9"/>
      <c r="J175" s="9"/>
      <c r="K175" s="9"/>
      <c r="L175" s="9"/>
      <c r="M175" s="9"/>
      <c r="N175" s="9"/>
      <c r="O175" s="9"/>
    </row>
    <row r="176" ht="22.5" customHeight="1">
      <c r="A176" s="49"/>
      <c r="C176" s="192">
        <v>46004.0</v>
      </c>
      <c r="D176" s="195">
        <v>10000.0</v>
      </c>
      <c r="E176" s="69" t="s">
        <v>406</v>
      </c>
      <c r="F176" s="69" t="s">
        <v>41</v>
      </c>
      <c r="G176" s="69" t="s">
        <v>42</v>
      </c>
      <c r="H176" s="149"/>
      <c r="I176" s="9"/>
      <c r="J176" s="9"/>
      <c r="K176" s="9"/>
      <c r="L176" s="9"/>
      <c r="M176" s="9"/>
      <c r="N176" s="9"/>
      <c r="O176" s="9"/>
    </row>
    <row r="177" ht="22.5" customHeight="1">
      <c r="A177" s="49"/>
      <c r="C177" s="192">
        <v>46004.0</v>
      </c>
      <c r="D177" s="195">
        <v>300000.0</v>
      </c>
      <c r="E177" s="69" t="s">
        <v>432</v>
      </c>
      <c r="F177" s="69" t="s">
        <v>41</v>
      </c>
      <c r="G177" s="69" t="s">
        <v>42</v>
      </c>
      <c r="H177" s="149"/>
      <c r="I177" s="9"/>
      <c r="J177" s="9"/>
      <c r="K177" s="9"/>
      <c r="L177" s="9"/>
      <c r="M177" s="9"/>
      <c r="N177" s="9"/>
      <c r="O177" s="9"/>
    </row>
    <row r="178" ht="22.5" customHeight="1">
      <c r="A178" s="49"/>
      <c r="C178" s="192">
        <v>46005.0</v>
      </c>
      <c r="D178" s="195">
        <v>16000.0</v>
      </c>
      <c r="E178" s="69" t="s">
        <v>433</v>
      </c>
      <c r="F178" s="69" t="s">
        <v>41</v>
      </c>
      <c r="G178" s="69" t="s">
        <v>42</v>
      </c>
      <c r="H178" s="149"/>
      <c r="I178" s="9"/>
      <c r="J178" s="9"/>
      <c r="K178" s="9"/>
      <c r="L178" s="9"/>
      <c r="M178" s="9"/>
      <c r="N178" s="9"/>
      <c r="O178" s="9"/>
    </row>
    <row r="179" ht="22.5" customHeight="1">
      <c r="A179" s="49"/>
      <c r="C179" s="192">
        <v>46005.0</v>
      </c>
      <c r="D179" s="195">
        <v>52000.0</v>
      </c>
      <c r="E179" s="69" t="s">
        <v>435</v>
      </c>
      <c r="F179" s="69" t="s">
        <v>41</v>
      </c>
      <c r="G179" s="69" t="s">
        <v>42</v>
      </c>
      <c r="H179" s="149"/>
      <c r="I179" s="9"/>
      <c r="J179" s="9"/>
      <c r="K179" s="9"/>
      <c r="L179" s="9"/>
      <c r="M179" s="9"/>
      <c r="N179" s="9"/>
      <c r="O179" s="9"/>
    </row>
    <row r="180" ht="22.5" customHeight="1">
      <c r="A180" s="49"/>
      <c r="C180" s="192">
        <v>46005.0</v>
      </c>
      <c r="D180" s="195">
        <v>175000.0</v>
      </c>
      <c r="E180" s="69" t="s">
        <v>367</v>
      </c>
      <c r="F180" s="69" t="s">
        <v>41</v>
      </c>
      <c r="G180" s="69" t="s">
        <v>42</v>
      </c>
      <c r="H180" s="149"/>
      <c r="I180" s="9"/>
      <c r="J180" s="9"/>
      <c r="K180" s="9"/>
      <c r="L180" s="9"/>
      <c r="M180" s="9"/>
      <c r="N180" s="9"/>
      <c r="O180" s="9"/>
    </row>
    <row r="181" ht="22.5" customHeight="1">
      <c r="A181" s="49"/>
      <c r="C181" s="192">
        <v>46005.0</v>
      </c>
      <c r="D181" s="195">
        <v>15000.0</v>
      </c>
      <c r="E181" s="69" t="s">
        <v>137</v>
      </c>
      <c r="F181" s="69" t="s">
        <v>41</v>
      </c>
      <c r="G181" s="69" t="s">
        <v>42</v>
      </c>
      <c r="H181" s="149"/>
      <c r="I181" s="9"/>
      <c r="J181" s="9"/>
      <c r="K181" s="9"/>
      <c r="L181" s="9"/>
      <c r="M181" s="9"/>
      <c r="N181" s="9"/>
      <c r="O181" s="9"/>
    </row>
    <row r="182" ht="22.5" customHeight="1">
      <c r="A182" s="49"/>
      <c r="C182" s="192">
        <v>46005.0</v>
      </c>
      <c r="D182" s="195">
        <v>140000.0</v>
      </c>
      <c r="E182" s="69" t="s">
        <v>368</v>
      </c>
      <c r="F182" s="69" t="s">
        <v>45</v>
      </c>
      <c r="G182" s="69" t="s">
        <v>87</v>
      </c>
      <c r="H182" s="149"/>
      <c r="I182" s="9"/>
      <c r="J182" s="9"/>
      <c r="K182" s="9"/>
      <c r="L182" s="9"/>
      <c r="M182" s="9"/>
      <c r="N182" s="9"/>
      <c r="O182" s="9"/>
    </row>
    <row r="183" ht="22.5" customHeight="1">
      <c r="A183" s="49"/>
      <c r="C183" s="192">
        <v>46005.0</v>
      </c>
      <c r="D183" s="195">
        <v>300000.0</v>
      </c>
      <c r="E183" s="69" t="s">
        <v>368</v>
      </c>
      <c r="F183" s="69" t="s">
        <v>45</v>
      </c>
      <c r="G183" s="69" t="s">
        <v>42</v>
      </c>
      <c r="H183" s="149"/>
      <c r="I183" s="9"/>
      <c r="J183" s="9"/>
      <c r="K183" s="9"/>
      <c r="L183" s="9"/>
      <c r="M183" s="9"/>
      <c r="N183" s="9"/>
      <c r="O183" s="9"/>
    </row>
    <row r="184" ht="22.5" customHeight="1">
      <c r="A184" s="49"/>
      <c r="C184" s="192">
        <v>46005.0</v>
      </c>
      <c r="D184" s="195">
        <v>10000.0</v>
      </c>
      <c r="E184" s="69" t="s">
        <v>406</v>
      </c>
      <c r="F184" s="69" t="s">
        <v>41</v>
      </c>
      <c r="G184" s="69" t="s">
        <v>42</v>
      </c>
      <c r="H184" s="149"/>
      <c r="I184" s="9"/>
      <c r="J184" s="9"/>
      <c r="K184" s="9"/>
      <c r="L184" s="9"/>
      <c r="M184" s="9"/>
      <c r="N184" s="9"/>
      <c r="O184" s="9"/>
    </row>
    <row r="185" ht="22.5" customHeight="1">
      <c r="A185" s="49"/>
      <c r="C185" s="192">
        <v>46005.0</v>
      </c>
      <c r="D185" s="195">
        <v>100000.0</v>
      </c>
      <c r="E185" s="69" t="s">
        <v>439</v>
      </c>
      <c r="F185" s="69" t="s">
        <v>41</v>
      </c>
      <c r="G185" s="69" t="s">
        <v>42</v>
      </c>
      <c r="H185" s="149"/>
      <c r="I185" s="9"/>
      <c r="J185" s="9"/>
      <c r="K185" s="9"/>
      <c r="L185" s="9"/>
      <c r="M185" s="9"/>
      <c r="N185" s="9"/>
      <c r="O185" s="9"/>
    </row>
    <row r="186" ht="22.5" customHeight="1">
      <c r="A186" s="49"/>
      <c r="C186" s="192">
        <v>46006.0</v>
      </c>
      <c r="D186" s="195">
        <v>151000.0</v>
      </c>
      <c r="E186" s="69" t="s">
        <v>440</v>
      </c>
      <c r="F186" s="69" t="s">
        <v>41</v>
      </c>
      <c r="G186" s="69" t="s">
        <v>87</v>
      </c>
      <c r="H186" s="149"/>
      <c r="I186" s="9"/>
      <c r="J186" s="9"/>
      <c r="K186" s="9"/>
      <c r="L186" s="9"/>
      <c r="M186" s="9"/>
      <c r="N186" s="9"/>
      <c r="O186" s="9"/>
    </row>
    <row r="187" ht="22.5" customHeight="1">
      <c r="A187" s="49"/>
      <c r="C187" s="192">
        <v>46006.0</v>
      </c>
      <c r="D187" s="195">
        <v>60000.0</v>
      </c>
      <c r="E187" s="69" t="s">
        <v>441</v>
      </c>
      <c r="F187" s="69" t="s">
        <v>41</v>
      </c>
      <c r="G187" s="69" t="s">
        <v>42</v>
      </c>
      <c r="H187" s="149"/>
      <c r="I187" s="9"/>
      <c r="J187" s="9"/>
      <c r="K187" s="9"/>
      <c r="L187" s="9"/>
      <c r="M187" s="9"/>
      <c r="N187" s="9"/>
      <c r="O187" s="9"/>
    </row>
    <row r="188" ht="22.5" customHeight="1">
      <c r="A188" s="49"/>
      <c r="C188" s="192">
        <v>46006.0</v>
      </c>
      <c r="D188" s="195">
        <v>45000.0</v>
      </c>
      <c r="E188" s="69" t="s">
        <v>444</v>
      </c>
      <c r="F188" s="69" t="s">
        <v>41</v>
      </c>
      <c r="G188" s="69" t="s">
        <v>42</v>
      </c>
      <c r="H188" s="149"/>
      <c r="I188" s="9"/>
      <c r="J188" s="9"/>
      <c r="K188" s="9"/>
      <c r="L188" s="9"/>
      <c r="M188" s="9"/>
      <c r="N188" s="9"/>
      <c r="O188" s="9"/>
    </row>
    <row r="189" ht="22.5" customHeight="1">
      <c r="A189" s="49"/>
      <c r="C189" s="192">
        <v>46006.0</v>
      </c>
      <c r="D189" s="195">
        <v>20000.0</v>
      </c>
      <c r="E189" s="69" t="s">
        <v>445</v>
      </c>
      <c r="F189" s="69" t="s">
        <v>41</v>
      </c>
      <c r="G189" s="69" t="s">
        <v>42</v>
      </c>
      <c r="H189" s="149"/>
      <c r="I189" s="9"/>
      <c r="J189" s="9"/>
      <c r="K189" s="9"/>
      <c r="L189" s="9"/>
      <c r="M189" s="9"/>
      <c r="N189" s="9"/>
      <c r="O189" s="9"/>
    </row>
    <row r="190" ht="22.5" customHeight="1">
      <c r="A190" s="49"/>
      <c r="C190" s="192">
        <v>46006.0</v>
      </c>
      <c r="D190" s="195">
        <v>50000.0</v>
      </c>
      <c r="E190" s="69" t="s">
        <v>446</v>
      </c>
      <c r="F190" s="69" t="s">
        <v>41</v>
      </c>
      <c r="G190" s="69" t="s">
        <v>42</v>
      </c>
      <c r="H190" s="149"/>
      <c r="I190" s="9"/>
      <c r="J190" s="9"/>
      <c r="K190" s="9"/>
      <c r="L190" s="9"/>
      <c r="M190" s="9"/>
      <c r="N190" s="9"/>
      <c r="O190" s="9"/>
    </row>
    <row r="191" ht="22.5" customHeight="1">
      <c r="A191" s="49"/>
      <c r="C191" s="192">
        <v>46006.0</v>
      </c>
      <c r="D191" s="195">
        <v>27000.0</v>
      </c>
      <c r="E191" s="69" t="s">
        <v>449</v>
      </c>
      <c r="F191" s="69" t="s">
        <v>41</v>
      </c>
      <c r="G191" s="69" t="s">
        <v>42</v>
      </c>
      <c r="H191" s="149"/>
      <c r="I191" s="9"/>
      <c r="J191" s="9"/>
      <c r="K191" s="9"/>
      <c r="L191" s="9"/>
      <c r="M191" s="9"/>
      <c r="N191" s="9"/>
      <c r="O191" s="9"/>
    </row>
    <row r="192" ht="22.5" customHeight="1">
      <c r="A192" s="49"/>
      <c r="C192" s="192">
        <v>46006.0</v>
      </c>
      <c r="D192" s="195">
        <v>200000.0</v>
      </c>
      <c r="E192" s="69" t="s">
        <v>450</v>
      </c>
      <c r="F192" s="69" t="s">
        <v>41</v>
      </c>
      <c r="G192" s="69" t="s">
        <v>87</v>
      </c>
      <c r="H192" s="149"/>
      <c r="I192" s="9"/>
      <c r="J192" s="9"/>
      <c r="K192" s="9"/>
      <c r="L192" s="9"/>
      <c r="M192" s="9"/>
      <c r="N192" s="9"/>
      <c r="O192" s="9"/>
    </row>
    <row r="193" ht="22.5" customHeight="1">
      <c r="A193" s="49"/>
      <c r="C193" s="192">
        <v>46008.0</v>
      </c>
      <c r="D193" s="195">
        <v>10000.0</v>
      </c>
      <c r="E193" s="69" t="s">
        <v>451</v>
      </c>
      <c r="F193" s="69" t="s">
        <v>41</v>
      </c>
      <c r="G193" s="69" t="s">
        <v>42</v>
      </c>
      <c r="H193" s="149"/>
      <c r="I193" s="9"/>
      <c r="J193" s="9"/>
      <c r="K193" s="9"/>
      <c r="L193" s="9"/>
      <c r="M193" s="9"/>
      <c r="N193" s="9"/>
      <c r="O193" s="9"/>
    </row>
    <row r="194" ht="22.5" customHeight="1">
      <c r="A194" s="49"/>
      <c r="C194" s="192">
        <v>46008.0</v>
      </c>
      <c r="D194" s="195">
        <v>35000.0</v>
      </c>
      <c r="E194" s="69" t="s">
        <v>454</v>
      </c>
      <c r="F194" s="69" t="s">
        <v>41</v>
      </c>
      <c r="G194" s="69" t="s">
        <v>42</v>
      </c>
      <c r="H194" s="149"/>
      <c r="I194" s="9"/>
      <c r="J194" s="9"/>
      <c r="K194" s="9"/>
      <c r="L194" s="9"/>
      <c r="M194" s="9"/>
      <c r="N194" s="9"/>
      <c r="O194" s="9"/>
    </row>
    <row r="195" ht="22.5" customHeight="1">
      <c r="A195" s="49"/>
      <c r="C195" s="192">
        <v>46008.0</v>
      </c>
      <c r="D195" s="195">
        <v>15000.0</v>
      </c>
      <c r="E195" s="69" t="s">
        <v>347</v>
      </c>
      <c r="F195" s="69" t="s">
        <v>41</v>
      </c>
      <c r="G195" s="69" t="s">
        <v>42</v>
      </c>
      <c r="H195" s="149"/>
      <c r="I195" s="9"/>
      <c r="J195" s="9"/>
      <c r="K195" s="9"/>
      <c r="L195" s="9"/>
      <c r="M195" s="9"/>
      <c r="N195" s="9"/>
      <c r="O195" s="9"/>
    </row>
    <row r="196" ht="22.5" customHeight="1">
      <c r="A196" s="49"/>
      <c r="C196" s="192">
        <v>46008.0</v>
      </c>
      <c r="D196" s="195">
        <v>20000.0</v>
      </c>
      <c r="E196" s="69" t="s">
        <v>367</v>
      </c>
      <c r="F196" s="69" t="s">
        <v>41</v>
      </c>
      <c r="G196" s="69" t="s">
        <v>42</v>
      </c>
      <c r="H196" s="149"/>
      <c r="I196" s="9"/>
      <c r="J196" s="9"/>
      <c r="K196" s="9"/>
      <c r="L196" s="9"/>
      <c r="M196" s="9"/>
      <c r="N196" s="9"/>
      <c r="O196" s="9"/>
    </row>
    <row r="197" ht="22.5" customHeight="1">
      <c r="A197" s="49"/>
      <c r="C197" s="192">
        <v>46008.0</v>
      </c>
      <c r="D197" s="195">
        <v>50000.0</v>
      </c>
      <c r="E197" s="69" t="s">
        <v>456</v>
      </c>
      <c r="F197" s="69" t="s">
        <v>41</v>
      </c>
      <c r="G197" s="69" t="s">
        <v>42</v>
      </c>
      <c r="H197" s="149"/>
      <c r="I197" s="9"/>
      <c r="J197" s="9"/>
      <c r="K197" s="9"/>
      <c r="L197" s="9"/>
      <c r="M197" s="9"/>
      <c r="N197" s="9"/>
      <c r="O197" s="9"/>
    </row>
    <row r="198" ht="22.5" customHeight="1">
      <c r="A198" s="49"/>
      <c r="C198" s="192">
        <v>46008.0</v>
      </c>
      <c r="D198" s="195">
        <v>10000.0</v>
      </c>
      <c r="E198" s="69" t="s">
        <v>406</v>
      </c>
      <c r="F198" s="69" t="s">
        <v>41</v>
      </c>
      <c r="G198" s="69" t="s">
        <v>42</v>
      </c>
      <c r="H198" s="149"/>
      <c r="I198" s="9"/>
      <c r="J198" s="9"/>
      <c r="K198" s="9"/>
      <c r="L198" s="9"/>
      <c r="M198" s="9"/>
      <c r="N198" s="9"/>
      <c r="O198" s="9"/>
    </row>
    <row r="199" ht="22.5" customHeight="1">
      <c r="A199" s="49"/>
      <c r="C199" s="192">
        <v>46009.0</v>
      </c>
      <c r="D199" s="195">
        <v>380000.0</v>
      </c>
      <c r="E199" s="69" t="s">
        <v>211</v>
      </c>
      <c r="F199" s="69" t="s">
        <v>41</v>
      </c>
      <c r="G199" s="69" t="s">
        <v>42</v>
      </c>
      <c r="H199" s="149"/>
      <c r="I199" s="9"/>
      <c r="J199" s="9"/>
      <c r="K199" s="9"/>
      <c r="L199" s="9"/>
      <c r="M199" s="9"/>
      <c r="N199" s="9"/>
      <c r="O199" s="9"/>
    </row>
    <row r="200" ht="22.5" customHeight="1">
      <c r="A200" s="49"/>
      <c r="C200" s="192">
        <v>46009.0</v>
      </c>
      <c r="D200" s="195">
        <v>10000.0</v>
      </c>
      <c r="E200" s="69" t="s">
        <v>406</v>
      </c>
      <c r="F200" s="69" t="s">
        <v>41</v>
      </c>
      <c r="G200" s="69" t="s">
        <v>42</v>
      </c>
      <c r="H200" s="149"/>
      <c r="I200" s="9"/>
      <c r="J200" s="9"/>
      <c r="K200" s="9"/>
      <c r="L200" s="9"/>
      <c r="M200" s="9"/>
      <c r="N200" s="9"/>
      <c r="O200" s="9"/>
    </row>
    <row r="201" ht="22.5" customHeight="1">
      <c r="A201" s="49"/>
      <c r="C201" s="192">
        <v>46009.0</v>
      </c>
      <c r="D201" s="195">
        <v>15000.0</v>
      </c>
      <c r="E201" s="69" t="s">
        <v>459</v>
      </c>
      <c r="F201" s="69" t="s">
        <v>41</v>
      </c>
      <c r="G201" s="69" t="s">
        <v>42</v>
      </c>
      <c r="H201" s="149"/>
      <c r="I201" s="9"/>
      <c r="J201" s="9"/>
      <c r="K201" s="9"/>
      <c r="L201" s="9"/>
      <c r="M201" s="9"/>
      <c r="N201" s="9"/>
      <c r="O201" s="9"/>
    </row>
    <row r="202" ht="22.5" customHeight="1">
      <c r="A202" s="49"/>
      <c r="C202" s="192">
        <v>46009.0</v>
      </c>
      <c r="D202" s="195">
        <v>15000.0</v>
      </c>
      <c r="E202" s="69" t="s">
        <v>460</v>
      </c>
      <c r="F202" s="69" t="s">
        <v>41</v>
      </c>
      <c r="G202" s="69" t="s">
        <v>42</v>
      </c>
      <c r="H202" s="149"/>
      <c r="I202" s="9"/>
      <c r="J202" s="9"/>
      <c r="K202" s="9"/>
      <c r="L202" s="9"/>
      <c r="M202" s="9"/>
      <c r="N202" s="9"/>
      <c r="O202" s="9"/>
    </row>
    <row r="203" ht="22.5" customHeight="1">
      <c r="A203" s="49"/>
      <c r="C203" s="192">
        <v>46009.0</v>
      </c>
      <c r="D203" s="195">
        <v>15000.0</v>
      </c>
      <c r="E203" s="69" t="s">
        <v>463</v>
      </c>
      <c r="F203" s="69" t="s">
        <v>41</v>
      </c>
      <c r="G203" s="69" t="s">
        <v>42</v>
      </c>
      <c r="H203" s="149"/>
      <c r="I203" s="9"/>
      <c r="J203" s="9"/>
      <c r="K203" s="9"/>
      <c r="L203" s="9"/>
      <c r="M203" s="9"/>
      <c r="N203" s="9"/>
      <c r="O203" s="9"/>
    </row>
    <row r="204" ht="22.5" customHeight="1">
      <c r="A204" s="49"/>
      <c r="C204" s="192">
        <v>46010.0</v>
      </c>
      <c r="D204" s="195">
        <v>600000.0</v>
      </c>
      <c r="E204" s="69" t="s">
        <v>230</v>
      </c>
      <c r="F204" s="69" t="s">
        <v>41</v>
      </c>
      <c r="G204" s="69" t="s">
        <v>87</v>
      </c>
      <c r="H204" s="149"/>
      <c r="I204" s="9"/>
      <c r="J204" s="9"/>
      <c r="K204" s="9"/>
      <c r="L204" s="9"/>
      <c r="M204" s="9"/>
      <c r="N204" s="9"/>
      <c r="O204" s="9"/>
    </row>
    <row r="205" ht="22.5" customHeight="1">
      <c r="A205" s="49"/>
      <c r="C205" s="192">
        <v>46010.0</v>
      </c>
      <c r="D205" s="195">
        <v>20000.0</v>
      </c>
      <c r="E205" s="69" t="s">
        <v>64</v>
      </c>
      <c r="F205" s="69" t="s">
        <v>41</v>
      </c>
      <c r="G205" s="69" t="s">
        <v>42</v>
      </c>
      <c r="H205" s="149"/>
      <c r="I205" s="9"/>
      <c r="J205" s="9"/>
      <c r="K205" s="9"/>
      <c r="L205" s="9"/>
      <c r="M205" s="9"/>
      <c r="N205" s="9"/>
      <c r="O205" s="9"/>
    </row>
    <row r="206" ht="22.5" customHeight="1">
      <c r="A206" s="49"/>
      <c r="C206" s="192">
        <v>46010.0</v>
      </c>
      <c r="D206" s="195">
        <v>20000.0</v>
      </c>
      <c r="E206" s="69" t="s">
        <v>229</v>
      </c>
      <c r="F206" s="69" t="s">
        <v>45</v>
      </c>
      <c r="G206" s="69" t="s">
        <v>42</v>
      </c>
      <c r="H206" s="149"/>
      <c r="I206" s="9"/>
      <c r="J206" s="9"/>
      <c r="K206" s="9"/>
      <c r="L206" s="9"/>
      <c r="M206" s="9"/>
      <c r="N206" s="9"/>
      <c r="O206" s="9"/>
    </row>
    <row r="207" ht="22.5" customHeight="1">
      <c r="A207" s="49"/>
      <c r="C207" s="192">
        <v>46010.0</v>
      </c>
      <c r="D207" s="195">
        <v>40000.0</v>
      </c>
      <c r="E207" s="69" t="s">
        <v>165</v>
      </c>
      <c r="F207" s="69" t="s">
        <v>41</v>
      </c>
      <c r="G207" s="69" t="s">
        <v>42</v>
      </c>
      <c r="H207" s="149"/>
      <c r="I207" s="9"/>
      <c r="J207" s="9"/>
      <c r="K207" s="9"/>
      <c r="L207" s="9"/>
      <c r="M207" s="9"/>
      <c r="N207" s="9"/>
      <c r="O207" s="9"/>
    </row>
    <row r="208" ht="22.5" customHeight="1">
      <c r="A208" s="49"/>
      <c r="C208" s="192">
        <v>46010.0</v>
      </c>
      <c r="D208" s="195">
        <v>15000.0</v>
      </c>
      <c r="E208" s="69" t="s">
        <v>466</v>
      </c>
      <c r="F208" s="69" t="s">
        <v>41</v>
      </c>
      <c r="G208" s="69" t="s">
        <v>42</v>
      </c>
      <c r="H208" s="149"/>
      <c r="I208" s="9"/>
      <c r="J208" s="9"/>
      <c r="K208" s="9"/>
      <c r="L208" s="9"/>
      <c r="M208" s="9"/>
      <c r="N208" s="9"/>
      <c r="O208" s="9"/>
    </row>
    <row r="209" ht="22.5" customHeight="1">
      <c r="A209" s="49"/>
      <c r="C209" s="192">
        <v>46010.0</v>
      </c>
      <c r="D209" s="195">
        <v>10000.0</v>
      </c>
      <c r="E209" s="69" t="s">
        <v>467</v>
      </c>
      <c r="F209" s="69" t="s">
        <v>41</v>
      </c>
      <c r="G209" s="69" t="s">
        <v>42</v>
      </c>
      <c r="H209" s="149"/>
      <c r="I209" s="9"/>
      <c r="J209" s="9"/>
      <c r="K209" s="9"/>
      <c r="L209" s="9"/>
      <c r="M209" s="9"/>
      <c r="N209" s="9"/>
      <c r="O209" s="9"/>
    </row>
    <row r="210" ht="22.5" customHeight="1">
      <c r="A210" s="49"/>
      <c r="C210" s="192">
        <v>46010.0</v>
      </c>
      <c r="D210" s="195">
        <v>10000.0</v>
      </c>
      <c r="E210" s="69" t="s">
        <v>468</v>
      </c>
      <c r="F210" s="69" t="s">
        <v>41</v>
      </c>
      <c r="G210" s="69" t="s">
        <v>42</v>
      </c>
      <c r="H210" s="149"/>
      <c r="I210" s="9"/>
      <c r="J210" s="9"/>
      <c r="K210" s="9"/>
      <c r="L210" s="9"/>
      <c r="M210" s="9"/>
      <c r="N210" s="9"/>
      <c r="O210" s="9"/>
    </row>
    <row r="211" ht="22.5" customHeight="1">
      <c r="A211" s="49"/>
      <c r="C211" s="192">
        <v>46010.0</v>
      </c>
      <c r="D211" s="195">
        <v>10000.0</v>
      </c>
      <c r="E211" s="69" t="s">
        <v>406</v>
      </c>
      <c r="F211" s="69" t="s">
        <v>41</v>
      </c>
      <c r="G211" s="69" t="s">
        <v>42</v>
      </c>
      <c r="H211" s="149"/>
      <c r="I211" s="9"/>
      <c r="J211" s="9"/>
      <c r="K211" s="9"/>
      <c r="L211" s="9"/>
      <c r="M211" s="9"/>
      <c r="N211" s="9"/>
      <c r="O211" s="9"/>
    </row>
    <row r="212" ht="22.5" customHeight="1">
      <c r="A212" s="49"/>
      <c r="C212" s="192">
        <v>46011.0</v>
      </c>
      <c r="D212" s="195">
        <v>4050000.0</v>
      </c>
      <c r="E212" s="69" t="s">
        <v>179</v>
      </c>
      <c r="F212" s="69" t="s">
        <v>45</v>
      </c>
      <c r="G212" s="69" t="s">
        <v>87</v>
      </c>
      <c r="H212" s="149"/>
      <c r="I212" s="9"/>
      <c r="J212" s="9"/>
      <c r="K212" s="9"/>
      <c r="L212" s="9"/>
      <c r="M212" s="9"/>
      <c r="N212" s="9"/>
      <c r="O212" s="9"/>
    </row>
    <row r="213" ht="22.5" customHeight="1">
      <c r="A213" s="49"/>
      <c r="C213" s="192">
        <v>46011.0</v>
      </c>
      <c r="D213" s="195">
        <v>25000.0</v>
      </c>
      <c r="E213" s="69" t="s">
        <v>471</v>
      </c>
      <c r="F213" s="69" t="s">
        <v>45</v>
      </c>
      <c r="G213" s="69" t="s">
        <v>42</v>
      </c>
      <c r="H213" s="149"/>
      <c r="I213" s="9"/>
      <c r="J213" s="9"/>
      <c r="K213" s="9"/>
      <c r="L213" s="9"/>
      <c r="M213" s="9"/>
      <c r="N213" s="9"/>
      <c r="O213" s="9"/>
    </row>
    <row r="214" ht="22.5" customHeight="1">
      <c r="A214" s="49"/>
      <c r="C214" s="192">
        <v>46011.0</v>
      </c>
      <c r="D214" s="195">
        <v>800000.0</v>
      </c>
      <c r="E214" s="69" t="s">
        <v>472</v>
      </c>
      <c r="F214" s="69" t="s">
        <v>41</v>
      </c>
      <c r="G214" s="69" t="s">
        <v>42</v>
      </c>
      <c r="H214" s="149"/>
      <c r="I214" s="9"/>
      <c r="J214" s="9"/>
      <c r="K214" s="9"/>
      <c r="L214" s="9"/>
      <c r="M214" s="9"/>
      <c r="N214" s="9"/>
      <c r="O214" s="9"/>
    </row>
    <row r="215" ht="22.5" customHeight="1">
      <c r="A215" s="49"/>
      <c r="C215" s="192">
        <v>46011.0</v>
      </c>
      <c r="D215" s="195">
        <v>50000.0</v>
      </c>
      <c r="E215" s="69" t="s">
        <v>471</v>
      </c>
      <c r="F215" s="69" t="s">
        <v>45</v>
      </c>
      <c r="G215" s="69" t="s">
        <v>42</v>
      </c>
      <c r="H215" s="149"/>
      <c r="I215" s="9"/>
      <c r="J215" s="9"/>
      <c r="K215" s="9"/>
      <c r="L215" s="9"/>
      <c r="M215" s="9"/>
      <c r="N215" s="9"/>
      <c r="O215" s="9"/>
    </row>
    <row r="216" ht="22.5" customHeight="1">
      <c r="A216" s="49"/>
      <c r="C216" s="192">
        <v>46011.0</v>
      </c>
      <c r="D216" s="195">
        <v>20000.0</v>
      </c>
      <c r="E216" s="69" t="s">
        <v>474</v>
      </c>
      <c r="F216" s="69" t="s">
        <v>41</v>
      </c>
      <c r="G216" s="69" t="s">
        <v>42</v>
      </c>
      <c r="H216" s="149"/>
      <c r="I216" s="9"/>
      <c r="J216" s="9"/>
      <c r="K216" s="9"/>
      <c r="L216" s="9"/>
      <c r="M216" s="9"/>
      <c r="N216" s="9"/>
      <c r="O216" s="9"/>
    </row>
    <row r="217" ht="22.5" customHeight="1">
      <c r="A217" s="49"/>
      <c r="C217" s="192">
        <v>46011.0</v>
      </c>
      <c r="D217" s="195">
        <v>20000.0</v>
      </c>
      <c r="E217" s="69" t="s">
        <v>175</v>
      </c>
      <c r="F217" s="69" t="s">
        <v>41</v>
      </c>
      <c r="G217" s="69" t="s">
        <v>42</v>
      </c>
      <c r="H217" s="149"/>
      <c r="I217" s="9"/>
      <c r="J217" s="9"/>
      <c r="K217" s="9"/>
      <c r="L217" s="9"/>
      <c r="M217" s="9"/>
      <c r="N217" s="9"/>
      <c r="O217" s="9"/>
    </row>
    <row r="218" ht="22.5" customHeight="1">
      <c r="A218" s="49"/>
      <c r="C218" s="192">
        <v>46011.0</v>
      </c>
      <c r="D218" s="195">
        <v>15000.0</v>
      </c>
      <c r="E218" s="69" t="s">
        <v>477</v>
      </c>
      <c r="F218" s="69" t="s">
        <v>41</v>
      </c>
      <c r="G218" s="69" t="s">
        <v>42</v>
      </c>
      <c r="H218" s="149"/>
      <c r="I218" s="9"/>
      <c r="J218" s="9"/>
      <c r="K218" s="9"/>
      <c r="L218" s="9"/>
      <c r="M218" s="9"/>
      <c r="N218" s="9"/>
      <c r="O218" s="9"/>
    </row>
    <row r="219" ht="22.5" customHeight="1">
      <c r="A219" s="49"/>
      <c r="C219" s="233">
        <v>46011.0</v>
      </c>
      <c r="D219" s="234">
        <v>2500000.0</v>
      </c>
      <c r="E219" s="235" t="s">
        <v>88</v>
      </c>
      <c r="F219" s="235" t="s">
        <v>41</v>
      </c>
      <c r="G219" s="235" t="s">
        <v>87</v>
      </c>
      <c r="H219" s="149"/>
      <c r="I219" s="9"/>
      <c r="J219" s="9"/>
      <c r="K219" s="9"/>
      <c r="L219" s="9"/>
      <c r="M219" s="9"/>
      <c r="N219" s="9"/>
      <c r="O219" s="9"/>
    </row>
    <row r="220" ht="22.5" customHeight="1">
      <c r="A220" s="49"/>
      <c r="C220" s="192">
        <v>46013.0</v>
      </c>
      <c r="D220" s="195">
        <v>125000.0</v>
      </c>
      <c r="E220" s="69" t="s">
        <v>479</v>
      </c>
      <c r="F220" s="69" t="s">
        <v>41</v>
      </c>
      <c r="G220" s="69" t="s">
        <v>42</v>
      </c>
      <c r="H220" s="149"/>
      <c r="I220" s="9"/>
      <c r="J220" s="9"/>
      <c r="K220" s="9"/>
      <c r="L220" s="9"/>
      <c r="M220" s="9"/>
      <c r="N220" s="9"/>
      <c r="O220" s="9"/>
    </row>
    <row r="221" ht="22.5" customHeight="1">
      <c r="A221" s="49"/>
      <c r="C221" s="192">
        <v>46013.0</v>
      </c>
      <c r="D221" s="195">
        <v>20000.0</v>
      </c>
      <c r="E221" s="69" t="s">
        <v>347</v>
      </c>
      <c r="F221" s="69" t="s">
        <v>45</v>
      </c>
      <c r="G221" s="69" t="s">
        <v>42</v>
      </c>
      <c r="H221" s="149"/>
      <c r="I221" s="9"/>
      <c r="J221" s="9"/>
      <c r="K221" s="9"/>
      <c r="L221" s="9"/>
      <c r="M221" s="9"/>
      <c r="N221" s="9"/>
      <c r="O221" s="9"/>
    </row>
    <row r="222" ht="22.5" customHeight="1">
      <c r="A222" s="49"/>
      <c r="C222" s="192">
        <v>46013.0</v>
      </c>
      <c r="D222" s="195">
        <v>50000.0</v>
      </c>
      <c r="E222" s="69" t="s">
        <v>446</v>
      </c>
      <c r="F222" s="69" t="s">
        <v>41</v>
      </c>
      <c r="G222" s="69" t="s">
        <v>42</v>
      </c>
      <c r="H222" s="149"/>
      <c r="I222" s="9"/>
      <c r="J222" s="9"/>
      <c r="K222" s="9"/>
      <c r="L222" s="9"/>
      <c r="M222" s="9"/>
      <c r="N222" s="9"/>
      <c r="O222" s="9"/>
    </row>
    <row r="223" ht="22.5" customHeight="1">
      <c r="A223" s="49"/>
      <c r="C223" s="192">
        <v>46013.0</v>
      </c>
      <c r="D223" s="195">
        <v>20000.0</v>
      </c>
      <c r="E223" s="69" t="s">
        <v>481</v>
      </c>
      <c r="F223" s="69" t="s">
        <v>41</v>
      </c>
      <c r="G223" s="69" t="s">
        <v>42</v>
      </c>
      <c r="H223" s="149"/>
      <c r="I223" s="9"/>
      <c r="J223" s="9"/>
      <c r="K223" s="9"/>
      <c r="L223" s="9"/>
      <c r="M223" s="9"/>
      <c r="N223" s="9"/>
      <c r="O223" s="9"/>
    </row>
    <row r="224" ht="22.5" customHeight="1">
      <c r="A224" s="49"/>
      <c r="C224" s="192">
        <v>46014.0</v>
      </c>
      <c r="D224" s="195">
        <v>358200.0</v>
      </c>
      <c r="E224" s="69" t="s">
        <v>482</v>
      </c>
      <c r="F224" s="69" t="s">
        <v>41</v>
      </c>
      <c r="G224" s="69" t="s">
        <v>87</v>
      </c>
      <c r="H224" s="149"/>
      <c r="I224" s="9"/>
      <c r="J224" s="9"/>
      <c r="K224" s="9"/>
      <c r="L224" s="9"/>
      <c r="M224" s="9"/>
      <c r="N224" s="9"/>
      <c r="O224" s="9"/>
    </row>
    <row r="225" ht="22.5" customHeight="1">
      <c r="A225" s="49"/>
      <c r="C225" s="236">
        <v>46014.0</v>
      </c>
      <c r="D225" s="237">
        <v>150000.0</v>
      </c>
      <c r="E225" s="238" t="s">
        <v>175</v>
      </c>
      <c r="F225" s="238" t="s">
        <v>41</v>
      </c>
      <c r="G225" s="239" t="s">
        <v>42</v>
      </c>
      <c r="H225" s="149"/>
      <c r="I225" s="9"/>
      <c r="J225" s="9"/>
      <c r="K225" s="9"/>
      <c r="L225" s="9"/>
      <c r="M225" s="9"/>
      <c r="N225" s="9"/>
      <c r="O225" s="9"/>
    </row>
    <row r="226" ht="22.5" customHeight="1">
      <c r="A226" s="49"/>
      <c r="C226" s="192">
        <v>46014.0</v>
      </c>
      <c r="D226" s="195">
        <v>10000.0</v>
      </c>
      <c r="E226" s="69" t="s">
        <v>406</v>
      </c>
      <c r="F226" s="69" t="s">
        <v>41</v>
      </c>
      <c r="G226" s="69" t="s">
        <v>42</v>
      </c>
      <c r="H226" s="149"/>
      <c r="I226" s="9"/>
      <c r="J226" s="9"/>
      <c r="K226" s="9"/>
      <c r="L226" s="9"/>
      <c r="M226" s="9"/>
      <c r="N226" s="9"/>
      <c r="O226" s="9"/>
    </row>
    <row r="227" ht="22.5" customHeight="1">
      <c r="A227" s="49"/>
      <c r="C227" s="192">
        <v>46014.0</v>
      </c>
      <c r="D227" s="195">
        <v>56000.0</v>
      </c>
      <c r="E227" s="69" t="s">
        <v>356</v>
      </c>
      <c r="F227" s="69" t="s">
        <v>41</v>
      </c>
      <c r="G227" s="69" t="s">
        <v>42</v>
      </c>
      <c r="H227" s="149"/>
      <c r="I227" s="9"/>
      <c r="J227" s="9"/>
      <c r="K227" s="9"/>
      <c r="L227" s="9"/>
      <c r="M227" s="9"/>
      <c r="N227" s="9"/>
      <c r="O227" s="9"/>
    </row>
    <row r="228" ht="22.5" customHeight="1">
      <c r="A228" s="49"/>
      <c r="C228" s="192">
        <v>46014.0</v>
      </c>
      <c r="D228" s="195">
        <v>20000.0</v>
      </c>
      <c r="E228" s="69" t="s">
        <v>320</v>
      </c>
      <c r="F228" s="69" t="s">
        <v>41</v>
      </c>
      <c r="G228" s="69" t="s">
        <v>42</v>
      </c>
      <c r="H228" s="149"/>
      <c r="I228" s="9"/>
      <c r="J228" s="9"/>
      <c r="K228" s="9"/>
      <c r="L228" s="9"/>
      <c r="M228" s="9"/>
      <c r="N228" s="9"/>
      <c r="O228" s="9"/>
    </row>
    <row r="229" ht="22.5" customHeight="1">
      <c r="A229" s="49"/>
      <c r="C229" s="192">
        <v>46015.0</v>
      </c>
      <c r="D229" s="195">
        <v>250000.0</v>
      </c>
      <c r="E229" s="69" t="s">
        <v>338</v>
      </c>
      <c r="F229" s="69" t="s">
        <v>41</v>
      </c>
      <c r="G229" s="69" t="s">
        <v>42</v>
      </c>
      <c r="H229" s="149"/>
      <c r="I229" s="9"/>
      <c r="J229" s="9"/>
      <c r="K229" s="9"/>
      <c r="L229" s="9"/>
      <c r="M229" s="9"/>
      <c r="N229" s="9"/>
      <c r="O229" s="9"/>
    </row>
    <row r="230" ht="22.5" customHeight="1">
      <c r="A230" s="49"/>
      <c r="C230" s="192">
        <v>46015.0</v>
      </c>
      <c r="D230" s="195">
        <v>50000.0</v>
      </c>
      <c r="E230" s="69" t="s">
        <v>471</v>
      </c>
      <c r="F230" s="69" t="s">
        <v>45</v>
      </c>
      <c r="G230" s="69" t="s">
        <v>42</v>
      </c>
      <c r="H230" s="149"/>
      <c r="I230" s="9"/>
      <c r="J230" s="9"/>
      <c r="K230" s="9"/>
      <c r="L230" s="9"/>
      <c r="M230" s="9"/>
      <c r="N230" s="9"/>
      <c r="O230" s="9"/>
    </row>
    <row r="231" ht="22.5" customHeight="1">
      <c r="A231" s="49"/>
      <c r="C231" s="192">
        <v>46015.0</v>
      </c>
      <c r="D231" s="195">
        <v>20000.0</v>
      </c>
      <c r="E231" s="69" t="s">
        <v>320</v>
      </c>
      <c r="F231" s="69" t="s">
        <v>45</v>
      </c>
      <c r="G231" s="69" t="s">
        <v>42</v>
      </c>
      <c r="H231" s="149"/>
      <c r="I231" s="9"/>
      <c r="J231" s="9"/>
      <c r="K231" s="9"/>
      <c r="L231" s="9"/>
      <c r="M231" s="9"/>
      <c r="N231" s="9"/>
      <c r="O231" s="9"/>
    </row>
    <row r="232" ht="22.5" customHeight="1">
      <c r="A232" s="49"/>
      <c r="C232" s="192">
        <v>46015.0</v>
      </c>
      <c r="D232" s="195">
        <v>20000.0</v>
      </c>
      <c r="E232" s="69" t="s">
        <v>404</v>
      </c>
      <c r="F232" s="69" t="s">
        <v>45</v>
      </c>
      <c r="G232" s="69" t="s">
        <v>42</v>
      </c>
      <c r="H232" s="149"/>
      <c r="I232" s="9"/>
      <c r="J232" s="9"/>
      <c r="K232" s="9"/>
      <c r="L232" s="9"/>
      <c r="M232" s="9"/>
      <c r="N232" s="9"/>
      <c r="O232" s="9"/>
    </row>
    <row r="233" ht="22.5" customHeight="1">
      <c r="A233" s="49"/>
      <c r="C233" s="192">
        <v>46015.0</v>
      </c>
      <c r="D233" s="195">
        <v>20000.0</v>
      </c>
      <c r="E233" s="69" t="s">
        <v>352</v>
      </c>
      <c r="F233" s="69" t="s">
        <v>45</v>
      </c>
      <c r="G233" s="69" t="s">
        <v>42</v>
      </c>
      <c r="H233" s="149"/>
      <c r="I233" s="9"/>
      <c r="J233" s="9"/>
      <c r="K233" s="9"/>
      <c r="L233" s="9"/>
      <c r="M233" s="9"/>
      <c r="N233" s="9"/>
      <c r="O233" s="9"/>
    </row>
    <row r="234" ht="22.5" customHeight="1">
      <c r="A234" s="49"/>
      <c r="C234" s="192">
        <v>46015.0</v>
      </c>
      <c r="D234" s="195">
        <v>10000.0</v>
      </c>
      <c r="E234" s="69" t="s">
        <v>406</v>
      </c>
      <c r="F234" s="69" t="s">
        <v>41</v>
      </c>
      <c r="G234" s="69" t="s">
        <v>42</v>
      </c>
      <c r="H234" s="149"/>
      <c r="I234" s="9"/>
      <c r="J234" s="9"/>
      <c r="K234" s="9"/>
      <c r="L234" s="9"/>
      <c r="M234" s="9"/>
      <c r="N234" s="9"/>
      <c r="O234" s="9"/>
    </row>
    <row r="235" ht="22.5" customHeight="1">
      <c r="A235" s="49"/>
      <c r="C235" s="241">
        <v>46016.0</v>
      </c>
      <c r="D235" s="186">
        <v>2500000.0</v>
      </c>
      <c r="E235" s="242" t="s">
        <v>88</v>
      </c>
      <c r="F235" s="242" t="s">
        <v>41</v>
      </c>
      <c r="G235" s="242" t="s">
        <v>87</v>
      </c>
      <c r="H235" s="149"/>
      <c r="I235" s="9"/>
      <c r="J235" s="9"/>
      <c r="K235" s="9"/>
      <c r="L235" s="9"/>
      <c r="M235" s="9"/>
      <c r="N235" s="9"/>
      <c r="O235" s="9"/>
    </row>
    <row r="236" ht="22.5" customHeight="1">
      <c r="A236" s="49"/>
      <c r="C236" s="236">
        <v>46017.0</v>
      </c>
      <c r="D236" s="237">
        <v>50000.0</v>
      </c>
      <c r="E236" s="238" t="s">
        <v>494</v>
      </c>
      <c r="F236" s="238" t="s">
        <v>45</v>
      </c>
      <c r="G236" s="239" t="s">
        <v>42</v>
      </c>
      <c r="H236" s="149"/>
      <c r="I236" s="9"/>
      <c r="J236" s="9"/>
      <c r="K236" s="9"/>
      <c r="L236" s="9"/>
      <c r="M236" s="9"/>
      <c r="N236" s="9"/>
      <c r="O236" s="9"/>
    </row>
    <row r="237" ht="22.5" customHeight="1">
      <c r="A237" s="49"/>
      <c r="C237" s="192">
        <v>46017.0</v>
      </c>
      <c r="D237" s="195">
        <v>1003000.0</v>
      </c>
      <c r="E237" s="69" t="s">
        <v>495</v>
      </c>
      <c r="F237" s="69" t="s">
        <v>45</v>
      </c>
      <c r="G237" s="69" t="s">
        <v>87</v>
      </c>
      <c r="H237" s="149"/>
      <c r="I237" s="9"/>
      <c r="J237" s="9"/>
      <c r="K237" s="9"/>
      <c r="L237" s="9"/>
      <c r="M237" s="9"/>
      <c r="N237" s="9"/>
      <c r="O237" s="9"/>
    </row>
    <row r="238" ht="22.5" customHeight="1">
      <c r="A238" s="49"/>
      <c r="C238" s="192">
        <v>46017.0</v>
      </c>
      <c r="D238" s="195">
        <v>50000.0</v>
      </c>
      <c r="E238" s="69" t="s">
        <v>494</v>
      </c>
      <c r="F238" s="69" t="s">
        <v>45</v>
      </c>
      <c r="G238" s="69" t="s">
        <v>42</v>
      </c>
      <c r="H238" s="149"/>
      <c r="I238" s="9"/>
      <c r="J238" s="9"/>
      <c r="K238" s="9"/>
      <c r="L238" s="9"/>
      <c r="M238" s="9"/>
      <c r="N238" s="9"/>
      <c r="O238" s="9"/>
    </row>
    <row r="239" ht="22.5" customHeight="1">
      <c r="A239" s="49"/>
      <c r="C239" s="192">
        <v>46017.0</v>
      </c>
      <c r="D239" s="195">
        <v>100000.0</v>
      </c>
      <c r="E239" s="69" t="s">
        <v>356</v>
      </c>
      <c r="F239" s="69" t="s">
        <v>41</v>
      </c>
      <c r="G239" s="69" t="s">
        <v>42</v>
      </c>
      <c r="H239" s="149"/>
      <c r="I239" s="9"/>
      <c r="J239" s="9"/>
      <c r="K239" s="9"/>
      <c r="L239" s="9"/>
      <c r="M239" s="9"/>
      <c r="N239" s="9"/>
      <c r="O239" s="9"/>
    </row>
    <row r="240" ht="22.5" customHeight="1">
      <c r="A240" s="49"/>
      <c r="C240" s="192">
        <v>46017.0</v>
      </c>
      <c r="D240" s="195">
        <v>20000.0</v>
      </c>
      <c r="E240" s="69" t="s">
        <v>502</v>
      </c>
      <c r="F240" s="69" t="s">
        <v>41</v>
      </c>
      <c r="G240" s="69" t="s">
        <v>42</v>
      </c>
      <c r="H240" s="149"/>
      <c r="I240" s="9"/>
      <c r="J240" s="9"/>
      <c r="K240" s="9"/>
      <c r="L240" s="9"/>
      <c r="M240" s="9"/>
      <c r="N240" s="9"/>
      <c r="O240" s="9"/>
    </row>
    <row r="241" ht="22.5" customHeight="1">
      <c r="A241" s="49"/>
      <c r="C241" s="192">
        <v>46017.0</v>
      </c>
      <c r="D241" s="195">
        <v>75000.0</v>
      </c>
      <c r="E241" s="69" t="s">
        <v>507</v>
      </c>
      <c r="F241" s="69" t="s">
        <v>41</v>
      </c>
      <c r="G241" s="69" t="s">
        <v>42</v>
      </c>
      <c r="H241" s="149"/>
      <c r="I241" s="9"/>
      <c r="J241" s="9"/>
      <c r="K241" s="9"/>
      <c r="L241" s="9"/>
      <c r="M241" s="9"/>
      <c r="N241" s="9"/>
      <c r="O241" s="9"/>
    </row>
    <row r="242" ht="22.5" customHeight="1">
      <c r="A242" s="49"/>
      <c r="C242" s="192">
        <v>46018.0</v>
      </c>
      <c r="D242" s="195">
        <v>3400000.0</v>
      </c>
      <c r="E242" s="69" t="s">
        <v>179</v>
      </c>
      <c r="F242" s="69" t="s">
        <v>45</v>
      </c>
      <c r="G242" s="69" t="s">
        <v>87</v>
      </c>
      <c r="H242" s="149"/>
      <c r="I242" s="9"/>
      <c r="J242" s="9"/>
      <c r="K242" s="9"/>
      <c r="L242" s="9"/>
      <c r="M242" s="9"/>
      <c r="N242" s="9"/>
      <c r="O242" s="9"/>
    </row>
    <row r="243" ht="22.5" customHeight="1">
      <c r="A243" s="49"/>
      <c r="C243" s="192">
        <v>46018.0</v>
      </c>
      <c r="D243" s="195">
        <v>40000.0</v>
      </c>
      <c r="E243" s="69" t="s">
        <v>512</v>
      </c>
      <c r="F243" s="69" t="s">
        <v>41</v>
      </c>
      <c r="G243" s="69" t="s">
        <v>42</v>
      </c>
      <c r="H243" s="149"/>
      <c r="I243" s="9"/>
      <c r="J243" s="9"/>
      <c r="K243" s="9"/>
      <c r="L243" s="9"/>
      <c r="M243" s="9"/>
      <c r="N243" s="9"/>
      <c r="O243" s="9"/>
    </row>
    <row r="244" ht="22.5" customHeight="1">
      <c r="A244" s="49"/>
      <c r="C244" s="192">
        <v>46018.0</v>
      </c>
      <c r="D244" s="195">
        <v>30000.0</v>
      </c>
      <c r="E244" s="69" t="s">
        <v>513</v>
      </c>
      <c r="F244" s="69" t="s">
        <v>41</v>
      </c>
      <c r="G244" s="69" t="s">
        <v>42</v>
      </c>
      <c r="H244" s="149"/>
      <c r="I244" s="9"/>
      <c r="J244" s="9"/>
      <c r="K244" s="9"/>
      <c r="L244" s="9"/>
      <c r="M244" s="9"/>
      <c r="N244" s="9"/>
      <c r="O244" s="9"/>
    </row>
    <row r="245" ht="22.5" customHeight="1">
      <c r="A245" s="49"/>
      <c r="C245" s="192">
        <v>46018.0</v>
      </c>
      <c r="D245" s="195">
        <v>30000.0</v>
      </c>
      <c r="E245" s="69" t="s">
        <v>517</v>
      </c>
      <c r="F245" s="69" t="s">
        <v>41</v>
      </c>
      <c r="G245" s="69" t="s">
        <v>42</v>
      </c>
      <c r="H245" s="149"/>
      <c r="I245" s="9"/>
      <c r="J245" s="9"/>
      <c r="K245" s="9"/>
      <c r="L245" s="9"/>
      <c r="M245" s="9"/>
      <c r="N245" s="9"/>
      <c r="O245" s="9"/>
    </row>
    <row r="246" ht="22.5" customHeight="1">
      <c r="A246" s="49"/>
      <c r="C246" s="192">
        <v>46018.0</v>
      </c>
      <c r="D246" s="195">
        <v>87000.0</v>
      </c>
      <c r="E246" s="69" t="s">
        <v>519</v>
      </c>
      <c r="F246" s="69" t="s">
        <v>41</v>
      </c>
      <c r="G246" s="69" t="s">
        <v>42</v>
      </c>
      <c r="H246" s="149"/>
      <c r="I246" s="9"/>
      <c r="J246" s="9"/>
      <c r="K246" s="9"/>
      <c r="L246" s="9"/>
      <c r="M246" s="9"/>
      <c r="N246" s="9"/>
      <c r="O246" s="9"/>
    </row>
    <row r="247" ht="22.5" customHeight="1">
      <c r="A247" s="49"/>
      <c r="C247" s="192">
        <v>46018.0</v>
      </c>
      <c r="D247" s="195">
        <v>166000.0</v>
      </c>
      <c r="E247" s="69" t="s">
        <v>523</v>
      </c>
      <c r="F247" s="69" t="s">
        <v>41</v>
      </c>
      <c r="G247" s="69" t="s">
        <v>42</v>
      </c>
      <c r="H247" s="149"/>
      <c r="I247" s="9"/>
      <c r="J247" s="9"/>
      <c r="K247" s="9"/>
      <c r="L247" s="9"/>
      <c r="M247" s="9"/>
      <c r="N247" s="9"/>
      <c r="O247" s="9"/>
    </row>
    <row r="248" ht="22.5" customHeight="1">
      <c r="A248" s="49"/>
      <c r="C248" s="192">
        <v>46018.0</v>
      </c>
      <c r="D248" s="195">
        <v>300000.0</v>
      </c>
      <c r="E248" s="69" t="s">
        <v>524</v>
      </c>
      <c r="F248" s="69" t="s">
        <v>41</v>
      </c>
      <c r="G248" s="69" t="s">
        <v>87</v>
      </c>
      <c r="H248" s="149"/>
      <c r="I248" s="9"/>
      <c r="J248" s="9"/>
      <c r="K248" s="9"/>
      <c r="L248" s="9"/>
      <c r="M248" s="9"/>
      <c r="N248" s="9"/>
      <c r="O248" s="9"/>
    </row>
    <row r="249" ht="22.5" customHeight="1">
      <c r="A249" s="49"/>
      <c r="C249" s="192">
        <v>46018.0</v>
      </c>
      <c r="D249" s="195">
        <v>40000.0</v>
      </c>
      <c r="E249" s="69" t="s">
        <v>525</v>
      </c>
      <c r="F249" s="69" t="s">
        <v>41</v>
      </c>
      <c r="G249" s="69" t="s">
        <v>42</v>
      </c>
      <c r="H249" s="149"/>
      <c r="I249" s="9"/>
      <c r="J249" s="9"/>
      <c r="K249" s="9"/>
      <c r="L249" s="9"/>
      <c r="M249" s="9"/>
      <c r="N249" s="9"/>
      <c r="O249" s="9"/>
    </row>
    <row r="250" ht="22.5" customHeight="1">
      <c r="A250" s="49"/>
      <c r="C250" s="192">
        <v>46018.0</v>
      </c>
      <c r="D250" s="195">
        <v>20000.0</v>
      </c>
      <c r="E250" s="69" t="s">
        <v>328</v>
      </c>
      <c r="F250" s="69" t="s">
        <v>41</v>
      </c>
      <c r="G250" s="69" t="s">
        <v>42</v>
      </c>
      <c r="H250" s="149"/>
      <c r="I250" s="9"/>
      <c r="J250" s="9"/>
      <c r="K250" s="9"/>
      <c r="L250" s="9"/>
      <c r="M250" s="9"/>
      <c r="N250" s="9"/>
      <c r="O250" s="9"/>
    </row>
    <row r="251" ht="22.5" customHeight="1">
      <c r="A251" s="49"/>
      <c r="C251" s="192">
        <v>46020.0</v>
      </c>
      <c r="D251" s="195">
        <v>200000.0</v>
      </c>
      <c r="E251" s="69" t="s">
        <v>527</v>
      </c>
      <c r="F251" s="69" t="s">
        <v>41</v>
      </c>
      <c r="G251" s="69" t="s">
        <v>42</v>
      </c>
      <c r="H251" s="149"/>
      <c r="I251" s="9"/>
      <c r="J251" s="9"/>
      <c r="K251" s="9"/>
      <c r="L251" s="9"/>
      <c r="M251" s="9"/>
      <c r="N251" s="9"/>
      <c r="O251" s="9"/>
    </row>
    <row r="252" ht="22.5" customHeight="1">
      <c r="A252" s="49"/>
      <c r="C252" s="192">
        <v>46020.0</v>
      </c>
      <c r="D252" s="195">
        <v>20000.0</v>
      </c>
      <c r="E252" s="69" t="s">
        <v>529</v>
      </c>
      <c r="F252" s="69" t="s">
        <v>41</v>
      </c>
      <c r="G252" s="69" t="s">
        <v>42</v>
      </c>
      <c r="H252" s="149"/>
      <c r="I252" s="9"/>
      <c r="J252" s="9"/>
      <c r="K252" s="9"/>
      <c r="L252" s="9"/>
      <c r="M252" s="9"/>
      <c r="N252" s="9"/>
      <c r="O252" s="9"/>
    </row>
    <row r="253" ht="22.5" customHeight="1">
      <c r="A253" s="49"/>
      <c r="C253" s="192">
        <v>46021.0</v>
      </c>
      <c r="D253" s="195">
        <v>50000.0</v>
      </c>
      <c r="E253" s="69" t="s">
        <v>530</v>
      </c>
      <c r="F253" s="69" t="s">
        <v>41</v>
      </c>
      <c r="G253" s="69" t="s">
        <v>42</v>
      </c>
      <c r="H253" s="149"/>
      <c r="I253" s="9"/>
      <c r="J253" s="9"/>
      <c r="K253" s="9"/>
      <c r="L253" s="9"/>
      <c r="M253" s="9"/>
      <c r="N253" s="9"/>
      <c r="O253" s="9"/>
    </row>
    <row r="254" ht="22.5" customHeight="1">
      <c r="A254" s="49"/>
      <c r="C254" s="192">
        <v>46021.0</v>
      </c>
      <c r="D254" s="195">
        <v>33500.0</v>
      </c>
      <c r="E254" s="69" t="s">
        <v>533</v>
      </c>
      <c r="F254" s="69" t="s">
        <v>41</v>
      </c>
      <c r="G254" s="69" t="s">
        <v>42</v>
      </c>
      <c r="H254" s="149"/>
      <c r="I254" s="9"/>
      <c r="J254" s="9"/>
      <c r="K254" s="9"/>
      <c r="L254" s="9"/>
      <c r="M254" s="9"/>
      <c r="N254" s="9"/>
      <c r="O254" s="9"/>
    </row>
    <row r="255" ht="22.5" customHeight="1">
      <c r="A255" s="49"/>
      <c r="C255" s="192">
        <v>46021.0</v>
      </c>
      <c r="D255" s="195">
        <v>50000.0</v>
      </c>
      <c r="E255" s="69" t="s">
        <v>471</v>
      </c>
      <c r="F255" s="69" t="s">
        <v>45</v>
      </c>
      <c r="G255" s="69" t="s">
        <v>42</v>
      </c>
      <c r="H255" s="149"/>
      <c r="I255" s="9"/>
      <c r="J255" s="9"/>
      <c r="K255" s="9"/>
      <c r="L255" s="9"/>
      <c r="M255" s="9"/>
      <c r="N255" s="9"/>
      <c r="O255" s="9"/>
    </row>
    <row r="256" ht="22.5" customHeight="1">
      <c r="A256" s="49"/>
      <c r="C256" s="192">
        <v>46021.0</v>
      </c>
      <c r="D256" s="195">
        <v>100000.0</v>
      </c>
      <c r="E256" s="69" t="s">
        <v>395</v>
      </c>
      <c r="F256" s="69" t="s">
        <v>41</v>
      </c>
      <c r="G256" s="69" t="s">
        <v>42</v>
      </c>
      <c r="H256" s="149"/>
      <c r="I256" s="9"/>
      <c r="J256" s="9"/>
      <c r="K256" s="9"/>
      <c r="L256" s="9"/>
      <c r="M256" s="9"/>
      <c r="N256" s="9"/>
      <c r="O256" s="9"/>
    </row>
    <row r="257" ht="22.5" customHeight="1">
      <c r="A257" s="49"/>
      <c r="C257" s="192">
        <v>46021.0</v>
      </c>
      <c r="D257" s="195">
        <v>50000.0</v>
      </c>
      <c r="E257" s="69" t="s">
        <v>534</v>
      </c>
      <c r="F257" s="69" t="s">
        <v>41</v>
      </c>
      <c r="G257" s="69" t="s">
        <v>42</v>
      </c>
      <c r="H257" s="149"/>
      <c r="I257" s="9"/>
      <c r="J257" s="9"/>
      <c r="K257" s="9"/>
      <c r="L257" s="9"/>
      <c r="M257" s="9"/>
      <c r="N257" s="9"/>
      <c r="O257" s="9"/>
    </row>
    <row r="258" ht="22.5" customHeight="1">
      <c r="A258" s="49"/>
      <c r="C258" s="192">
        <v>46021.0</v>
      </c>
      <c r="D258" s="195">
        <v>27500.0</v>
      </c>
      <c r="E258" s="69" t="s">
        <v>537</v>
      </c>
      <c r="F258" s="69" t="s">
        <v>41</v>
      </c>
      <c r="G258" s="69" t="s">
        <v>42</v>
      </c>
      <c r="H258" s="149"/>
      <c r="I258" s="9"/>
      <c r="J258" s="9"/>
      <c r="K258" s="9"/>
      <c r="L258" s="9"/>
      <c r="M258" s="9"/>
      <c r="N258" s="9"/>
      <c r="O258" s="9"/>
    </row>
    <row r="259" ht="22.5" customHeight="1">
      <c r="A259" s="49"/>
      <c r="C259" s="192">
        <v>46021.0</v>
      </c>
      <c r="D259" s="195">
        <v>37000.0</v>
      </c>
      <c r="E259" s="69" t="s">
        <v>337</v>
      </c>
      <c r="F259" s="69" t="s">
        <v>41</v>
      </c>
      <c r="G259" s="69" t="s">
        <v>42</v>
      </c>
      <c r="H259" s="149"/>
      <c r="I259" s="9"/>
      <c r="J259" s="9"/>
      <c r="K259" s="9"/>
      <c r="L259" s="9"/>
      <c r="M259" s="9"/>
      <c r="N259" s="9"/>
      <c r="O259" s="9"/>
    </row>
    <row r="260" ht="22.5" customHeight="1">
      <c r="A260" s="49"/>
      <c r="C260" s="192">
        <v>46021.0</v>
      </c>
      <c r="D260" s="195">
        <v>95000.0</v>
      </c>
      <c r="E260" s="69" t="s">
        <v>539</v>
      </c>
      <c r="F260" s="69" t="s">
        <v>41</v>
      </c>
      <c r="G260" s="69" t="s">
        <v>42</v>
      </c>
      <c r="H260" s="149"/>
      <c r="I260" s="9"/>
      <c r="J260" s="9"/>
      <c r="K260" s="9"/>
      <c r="L260" s="9"/>
      <c r="M260" s="9"/>
      <c r="N260" s="9"/>
      <c r="O260" s="9"/>
    </row>
    <row r="261" ht="22.5" customHeight="1">
      <c r="A261" s="49"/>
      <c r="C261" s="192">
        <v>46022.0</v>
      </c>
      <c r="D261" s="195">
        <v>10000.0</v>
      </c>
      <c r="E261" s="69" t="s">
        <v>540</v>
      </c>
      <c r="F261" s="69" t="s">
        <v>41</v>
      </c>
      <c r="G261" s="69" t="s">
        <v>42</v>
      </c>
      <c r="H261" s="149"/>
      <c r="I261" s="9"/>
      <c r="J261" s="9"/>
      <c r="K261" s="9"/>
      <c r="L261" s="9"/>
      <c r="M261" s="9"/>
      <c r="N261" s="9"/>
      <c r="O261" s="9"/>
    </row>
    <row r="262" ht="22.5" customHeight="1">
      <c r="A262" s="49"/>
      <c r="C262" s="192">
        <v>46022.0</v>
      </c>
      <c r="D262" s="195">
        <v>160000.0</v>
      </c>
      <c r="E262" s="69" t="s">
        <v>541</v>
      </c>
      <c r="F262" s="69" t="s">
        <v>41</v>
      </c>
      <c r="G262" s="69" t="s">
        <v>42</v>
      </c>
      <c r="H262" s="149"/>
      <c r="I262" s="9"/>
      <c r="J262" s="9"/>
      <c r="K262" s="9"/>
      <c r="L262" s="9"/>
      <c r="M262" s="9"/>
      <c r="N262" s="9"/>
      <c r="O262" s="9"/>
    </row>
    <row r="263" ht="22.5" customHeight="1">
      <c r="A263" s="49"/>
      <c r="C263" s="192">
        <v>46022.0</v>
      </c>
      <c r="D263" s="195">
        <v>15000.0</v>
      </c>
      <c r="E263" s="69" t="s">
        <v>543</v>
      </c>
      <c r="F263" s="69" t="s">
        <v>41</v>
      </c>
      <c r="G263" s="69" t="s">
        <v>42</v>
      </c>
      <c r="H263" s="149"/>
      <c r="I263" s="9"/>
      <c r="J263" s="9"/>
      <c r="K263" s="9"/>
      <c r="L263" s="9"/>
      <c r="M263" s="9"/>
      <c r="N263" s="9"/>
      <c r="O263" s="9"/>
    </row>
    <row r="264" ht="22.5" customHeight="1">
      <c r="A264" s="49"/>
      <c r="C264" s="192">
        <v>46022.0</v>
      </c>
      <c r="D264" s="195">
        <v>15000.0</v>
      </c>
      <c r="E264" s="69" t="s">
        <v>175</v>
      </c>
      <c r="F264" s="69" t="s">
        <v>41</v>
      </c>
      <c r="G264" s="69" t="s">
        <v>42</v>
      </c>
      <c r="H264" s="149"/>
      <c r="I264" s="9"/>
      <c r="J264" s="9"/>
      <c r="K264" s="9"/>
      <c r="L264" s="9"/>
      <c r="M264" s="9"/>
      <c r="N264" s="9"/>
      <c r="O264" s="9"/>
    </row>
    <row r="265" ht="22.5" customHeight="1">
      <c r="A265" s="49"/>
      <c r="C265" s="192">
        <v>46022.0</v>
      </c>
      <c r="D265" s="195">
        <v>40000.0</v>
      </c>
      <c r="E265" s="69" t="s">
        <v>545</v>
      </c>
      <c r="F265" s="69" t="s">
        <v>41</v>
      </c>
      <c r="G265" s="69" t="s">
        <v>42</v>
      </c>
      <c r="H265" s="149"/>
      <c r="I265" s="9"/>
      <c r="J265" s="9"/>
      <c r="K265" s="9"/>
      <c r="L265" s="9"/>
      <c r="M265" s="9"/>
      <c r="N265" s="9"/>
      <c r="O265" s="9"/>
    </row>
    <row r="266" ht="22.5" customHeight="1">
      <c r="A266" s="49"/>
      <c r="C266" s="192">
        <v>46022.0</v>
      </c>
      <c r="D266" s="195">
        <v>20000.0</v>
      </c>
      <c r="E266" s="69" t="s">
        <v>474</v>
      </c>
      <c r="F266" s="69" t="s">
        <v>41</v>
      </c>
      <c r="G266" s="69" t="s">
        <v>42</v>
      </c>
      <c r="H266" s="149"/>
      <c r="I266" s="9"/>
      <c r="J266" s="9"/>
      <c r="K266" s="9"/>
      <c r="L266" s="9"/>
      <c r="M266" s="9"/>
      <c r="N266" s="9"/>
      <c r="O266" s="9"/>
    </row>
    <row r="267" ht="22.5" customHeight="1">
      <c r="A267" s="49"/>
      <c r="C267" s="192">
        <v>46022.0</v>
      </c>
      <c r="D267" s="195">
        <v>102000.0</v>
      </c>
      <c r="E267" s="69" t="s">
        <v>549</v>
      </c>
      <c r="F267" s="69" t="s">
        <v>41</v>
      </c>
      <c r="G267" s="69" t="s">
        <v>42</v>
      </c>
      <c r="H267" s="149"/>
      <c r="I267" s="9"/>
      <c r="J267" s="9"/>
      <c r="K267" s="9"/>
      <c r="L267" s="9"/>
      <c r="M267" s="9"/>
      <c r="N267" s="9"/>
      <c r="O267" s="9"/>
    </row>
    <row r="268" ht="22.5" customHeight="1">
      <c r="A268" s="49"/>
      <c r="C268" s="192">
        <v>46022.0</v>
      </c>
      <c r="D268" s="195">
        <v>20000.0</v>
      </c>
      <c r="E268" s="69" t="s">
        <v>550</v>
      </c>
      <c r="F268" s="69" t="s">
        <v>41</v>
      </c>
      <c r="G268" s="69" t="s">
        <v>42</v>
      </c>
      <c r="H268" s="149"/>
      <c r="I268" s="9"/>
      <c r="J268" s="9"/>
      <c r="K268" s="9"/>
      <c r="L268" s="9"/>
      <c r="M268" s="9"/>
      <c r="N268" s="9"/>
      <c r="O268" s="9"/>
    </row>
    <row r="269" ht="22.5" customHeight="1">
      <c r="A269" s="49"/>
      <c r="C269" s="192">
        <v>46022.0</v>
      </c>
      <c r="D269" s="195">
        <v>15000.0</v>
      </c>
      <c r="E269" s="69" t="s">
        <v>552</v>
      </c>
      <c r="F269" s="69" t="s">
        <v>41</v>
      </c>
      <c r="G269" s="69" t="s">
        <v>42</v>
      </c>
      <c r="H269" s="149"/>
      <c r="I269" s="9"/>
      <c r="J269" s="9"/>
      <c r="K269" s="9"/>
      <c r="L269" s="9"/>
      <c r="M269" s="9"/>
      <c r="N269" s="9"/>
      <c r="O269" s="9"/>
    </row>
    <row r="270" ht="22.5" customHeight="1">
      <c r="A270" s="49"/>
      <c r="C270" s="192">
        <v>46024.0</v>
      </c>
      <c r="D270" s="195">
        <v>400000.0</v>
      </c>
      <c r="E270" s="69" t="s">
        <v>557</v>
      </c>
      <c r="F270" s="69" t="s">
        <v>41</v>
      </c>
      <c r="G270" s="69" t="s">
        <v>87</v>
      </c>
      <c r="H270" s="149"/>
      <c r="I270" s="9"/>
      <c r="J270" s="9"/>
      <c r="K270" s="9"/>
      <c r="L270" s="9"/>
      <c r="M270" s="9"/>
      <c r="N270" s="9"/>
      <c r="O270" s="9"/>
    </row>
    <row r="271" ht="22.5" customHeight="1">
      <c r="A271" s="49"/>
      <c r="C271" s="192">
        <v>46024.0</v>
      </c>
      <c r="D271" s="195">
        <v>104500.0</v>
      </c>
      <c r="E271" s="69" t="s">
        <v>558</v>
      </c>
      <c r="F271" s="69" t="s">
        <v>41</v>
      </c>
      <c r="G271" s="69" t="s">
        <v>42</v>
      </c>
      <c r="H271" s="149"/>
      <c r="I271" s="9"/>
      <c r="J271" s="9"/>
      <c r="K271" s="9"/>
      <c r="L271" s="9"/>
      <c r="M271" s="9"/>
      <c r="N271" s="9"/>
      <c r="O271" s="9"/>
    </row>
    <row r="272" ht="22.5" customHeight="1">
      <c r="A272" s="49"/>
      <c r="C272" s="192">
        <v>46024.0</v>
      </c>
      <c r="D272" s="195">
        <v>77500.0</v>
      </c>
      <c r="E272" s="69" t="s">
        <v>559</v>
      </c>
      <c r="F272" s="69" t="s">
        <v>41</v>
      </c>
      <c r="G272" s="69" t="s">
        <v>42</v>
      </c>
      <c r="H272" s="149"/>
      <c r="I272" s="9"/>
      <c r="J272" s="9"/>
      <c r="K272" s="9"/>
      <c r="L272" s="9"/>
      <c r="M272" s="9"/>
      <c r="N272" s="9"/>
      <c r="O272" s="9"/>
    </row>
    <row r="273" ht="22.5" customHeight="1">
      <c r="A273" s="49"/>
      <c r="C273" s="192">
        <v>46024.0</v>
      </c>
      <c r="D273" s="195">
        <v>52000.0</v>
      </c>
      <c r="E273" s="69" t="s">
        <v>560</v>
      </c>
      <c r="F273" s="69" t="s">
        <v>41</v>
      </c>
      <c r="G273" s="69" t="s">
        <v>42</v>
      </c>
      <c r="H273" s="149"/>
      <c r="I273" s="9"/>
      <c r="J273" s="9"/>
      <c r="K273" s="9"/>
      <c r="L273" s="9"/>
      <c r="M273" s="9"/>
      <c r="N273" s="9"/>
      <c r="O273" s="9"/>
    </row>
    <row r="274" ht="22.5" customHeight="1">
      <c r="A274" s="49"/>
      <c r="C274" s="192">
        <v>46024.0</v>
      </c>
      <c r="D274" s="195">
        <v>225000.0</v>
      </c>
      <c r="E274" s="69" t="s">
        <v>561</v>
      </c>
      <c r="F274" s="69" t="s">
        <v>41</v>
      </c>
      <c r="G274" s="69" t="s">
        <v>42</v>
      </c>
      <c r="H274" s="149"/>
      <c r="I274" s="9"/>
      <c r="J274" s="9"/>
      <c r="K274" s="9"/>
      <c r="L274" s="9"/>
      <c r="M274" s="9"/>
      <c r="N274" s="9"/>
      <c r="O274" s="9"/>
    </row>
    <row r="275" ht="22.5" customHeight="1">
      <c r="A275" s="49"/>
      <c r="C275" s="192">
        <v>46024.0</v>
      </c>
      <c r="D275" s="195">
        <v>23000.0</v>
      </c>
      <c r="E275" s="69" t="s">
        <v>562</v>
      </c>
      <c r="F275" s="69" t="s">
        <v>41</v>
      </c>
      <c r="G275" s="69" t="s">
        <v>42</v>
      </c>
      <c r="H275" s="149"/>
      <c r="I275" s="9"/>
      <c r="J275" s="9"/>
      <c r="K275" s="9"/>
      <c r="L275" s="9"/>
      <c r="M275" s="9"/>
      <c r="N275" s="9"/>
      <c r="O275" s="9"/>
    </row>
    <row r="276" ht="22.5" customHeight="1">
      <c r="A276" s="49"/>
      <c r="C276" s="192">
        <v>46025.0</v>
      </c>
      <c r="D276" s="195">
        <v>3505000.0</v>
      </c>
      <c r="E276" s="69" t="s">
        <v>179</v>
      </c>
      <c r="F276" s="69" t="s">
        <v>45</v>
      </c>
      <c r="G276" s="69" t="s">
        <v>87</v>
      </c>
      <c r="H276" s="149"/>
      <c r="I276" s="9"/>
      <c r="J276" s="9"/>
      <c r="K276" s="9"/>
      <c r="L276" s="9"/>
      <c r="M276" s="9"/>
      <c r="N276" s="9"/>
      <c r="O276" s="9"/>
    </row>
    <row r="277" ht="22.5" customHeight="1">
      <c r="A277" s="49"/>
      <c r="C277" s="241">
        <v>46026.0</v>
      </c>
      <c r="D277" s="250">
        <v>308000.0</v>
      </c>
      <c r="E277" s="251" t="s">
        <v>568</v>
      </c>
      <c r="F277" s="251" t="s">
        <v>41</v>
      </c>
      <c r="G277" s="251" t="s">
        <v>42</v>
      </c>
      <c r="H277" s="149"/>
      <c r="I277" s="9"/>
      <c r="J277" s="9"/>
      <c r="K277" s="9"/>
      <c r="L277" s="9"/>
      <c r="M277" s="9"/>
      <c r="N277" s="9"/>
      <c r="O277" s="9"/>
    </row>
    <row r="278" ht="22.5" customHeight="1">
      <c r="A278" s="49"/>
      <c r="C278" s="252">
        <v>46026.0</v>
      </c>
      <c r="D278" s="253">
        <v>50000.0</v>
      </c>
      <c r="E278" s="254" t="s">
        <v>338</v>
      </c>
      <c r="F278" s="254" t="s">
        <v>41</v>
      </c>
      <c r="G278" s="257" t="s">
        <v>42</v>
      </c>
      <c r="H278" s="149"/>
      <c r="I278" s="9"/>
      <c r="J278" s="9"/>
      <c r="K278" s="9"/>
      <c r="L278" s="9"/>
      <c r="M278" s="9"/>
      <c r="N278" s="9"/>
      <c r="O278" s="9"/>
    </row>
    <row r="279" ht="22.5" customHeight="1">
      <c r="A279" s="49"/>
      <c r="C279" s="258">
        <v>46026.0</v>
      </c>
      <c r="D279" s="259">
        <v>440000.0</v>
      </c>
      <c r="E279" s="260" t="s">
        <v>302</v>
      </c>
      <c r="F279" s="260" t="s">
        <v>45</v>
      </c>
      <c r="G279" s="261" t="s">
        <v>42</v>
      </c>
      <c r="H279" s="149"/>
      <c r="I279" s="9"/>
      <c r="J279" s="9"/>
      <c r="K279" s="9"/>
      <c r="L279" s="9"/>
      <c r="M279" s="9"/>
      <c r="N279" s="9"/>
      <c r="O279" s="9"/>
    </row>
    <row r="280" ht="22.5" customHeight="1">
      <c r="A280" s="49"/>
      <c r="C280" s="236">
        <v>46027.0</v>
      </c>
      <c r="D280" s="237">
        <v>2000247.0</v>
      </c>
      <c r="E280" s="238" t="s">
        <v>574</v>
      </c>
      <c r="F280" s="238" t="s">
        <v>45</v>
      </c>
      <c r="G280" s="239" t="s">
        <v>87</v>
      </c>
      <c r="H280" s="149"/>
      <c r="I280" s="9"/>
      <c r="J280" s="9"/>
      <c r="K280" s="9"/>
      <c r="L280" s="9"/>
      <c r="M280" s="9"/>
      <c r="N280" s="9"/>
      <c r="O280" s="9"/>
    </row>
    <row r="281" ht="22.5" customHeight="1">
      <c r="A281" s="49"/>
      <c r="C281" s="192">
        <v>46027.0</v>
      </c>
      <c r="D281" s="195">
        <v>50000.0</v>
      </c>
      <c r="E281" s="69" t="s">
        <v>576</v>
      </c>
      <c r="F281" s="69" t="s">
        <v>41</v>
      </c>
      <c r="G281" s="69" t="s">
        <v>42</v>
      </c>
      <c r="H281" s="149"/>
      <c r="I281" s="9"/>
      <c r="J281" s="9"/>
      <c r="K281" s="9"/>
      <c r="L281" s="9"/>
      <c r="M281" s="9"/>
      <c r="N281" s="9"/>
      <c r="O281" s="9"/>
    </row>
    <row r="282" ht="22.5" customHeight="1">
      <c r="A282" s="49"/>
      <c r="C282" s="192">
        <v>46027.0</v>
      </c>
      <c r="D282" s="195">
        <v>20000.0</v>
      </c>
      <c r="E282" s="69" t="s">
        <v>229</v>
      </c>
      <c r="F282" s="69" t="s">
        <v>45</v>
      </c>
      <c r="G282" s="69" t="s">
        <v>42</v>
      </c>
      <c r="H282" s="149"/>
      <c r="I282" s="9"/>
      <c r="J282" s="9"/>
      <c r="K282" s="9"/>
      <c r="L282" s="9"/>
      <c r="M282" s="9"/>
      <c r="N282" s="9"/>
      <c r="O282" s="9"/>
    </row>
    <row r="283" ht="22.5" customHeight="1">
      <c r="A283" s="49"/>
      <c r="C283" s="192">
        <v>46027.0</v>
      </c>
      <c r="D283" s="195">
        <v>20000.0</v>
      </c>
      <c r="E283" s="69" t="s">
        <v>404</v>
      </c>
      <c r="F283" s="69" t="s">
        <v>45</v>
      </c>
      <c r="G283" s="69" t="s">
        <v>42</v>
      </c>
      <c r="H283" s="149"/>
      <c r="I283" s="9"/>
      <c r="J283" s="9"/>
      <c r="K283" s="9"/>
      <c r="L283" s="9"/>
      <c r="M283" s="9"/>
      <c r="N283" s="9"/>
      <c r="O283" s="9"/>
    </row>
    <row r="284" ht="22.5" customHeight="1">
      <c r="A284" s="49"/>
      <c r="C284" s="192">
        <v>46027.0</v>
      </c>
      <c r="D284" s="195">
        <v>50000.0</v>
      </c>
      <c r="E284" s="69" t="s">
        <v>578</v>
      </c>
      <c r="F284" s="69" t="s">
        <v>41</v>
      </c>
      <c r="G284" s="69" t="s">
        <v>42</v>
      </c>
      <c r="H284" s="149"/>
      <c r="I284" s="9"/>
      <c r="J284" s="9"/>
      <c r="K284" s="9"/>
      <c r="L284" s="9"/>
      <c r="M284" s="9"/>
      <c r="N284" s="9"/>
      <c r="O284" s="9"/>
    </row>
    <row r="285" ht="22.5" customHeight="1">
      <c r="A285" s="49"/>
      <c r="C285" s="192">
        <v>46028.0</v>
      </c>
      <c r="D285" s="195">
        <v>95000.0</v>
      </c>
      <c r="E285" s="69" t="s">
        <v>580</v>
      </c>
      <c r="F285" s="69" t="s">
        <v>45</v>
      </c>
      <c r="G285" s="69" t="s">
        <v>42</v>
      </c>
      <c r="H285" s="149"/>
      <c r="I285" s="9"/>
      <c r="J285" s="9"/>
      <c r="K285" s="9"/>
      <c r="L285" s="9"/>
      <c r="M285" s="9"/>
      <c r="N285" s="9"/>
      <c r="O285" s="9"/>
    </row>
    <row r="286" ht="22.5" customHeight="1">
      <c r="A286" s="49"/>
      <c r="C286" s="236">
        <v>46028.0</v>
      </c>
      <c r="D286" s="237">
        <v>85000.0</v>
      </c>
      <c r="E286" s="238" t="s">
        <v>367</v>
      </c>
      <c r="F286" s="238" t="s">
        <v>41</v>
      </c>
      <c r="G286" s="239" t="s">
        <v>42</v>
      </c>
      <c r="H286" s="149"/>
      <c r="I286" s="9"/>
      <c r="J286" s="9"/>
      <c r="K286" s="9"/>
      <c r="L286" s="9"/>
      <c r="M286" s="9"/>
      <c r="N286" s="9"/>
      <c r="O286" s="9"/>
    </row>
    <row r="287" ht="22.5" customHeight="1">
      <c r="A287" s="49"/>
      <c r="C287" s="262">
        <v>46029.0</v>
      </c>
      <c r="D287" s="199">
        <v>60000.0</v>
      </c>
      <c r="E287" s="200" t="s">
        <v>586</v>
      </c>
      <c r="F287" s="200" t="s">
        <v>41</v>
      </c>
      <c r="G287" s="263" t="s">
        <v>42</v>
      </c>
      <c r="H287" s="149"/>
      <c r="I287" s="9"/>
      <c r="J287" s="9"/>
      <c r="K287" s="9"/>
      <c r="L287" s="9"/>
      <c r="M287" s="9"/>
      <c r="N287" s="9"/>
      <c r="O287" s="9"/>
    </row>
    <row r="288" ht="22.5" customHeight="1">
      <c r="A288" s="49"/>
      <c r="C288" s="192">
        <v>46029.0</v>
      </c>
      <c r="D288" s="195">
        <v>170000.0</v>
      </c>
      <c r="E288" s="69" t="s">
        <v>589</v>
      </c>
      <c r="F288" s="69" t="s">
        <v>41</v>
      </c>
      <c r="G288" s="69" t="s">
        <v>42</v>
      </c>
      <c r="H288" s="149"/>
      <c r="I288" s="9"/>
      <c r="J288" s="9"/>
      <c r="K288" s="9"/>
      <c r="L288" s="9"/>
      <c r="M288" s="9"/>
      <c r="N288" s="9"/>
      <c r="O288" s="9"/>
    </row>
    <row r="289" ht="22.5" customHeight="1">
      <c r="A289" s="49"/>
      <c r="C289" s="192">
        <v>46029.0</v>
      </c>
      <c r="D289" s="195">
        <v>60000.0</v>
      </c>
      <c r="E289" s="69" t="s">
        <v>590</v>
      </c>
      <c r="F289" s="69" t="s">
        <v>41</v>
      </c>
      <c r="G289" s="69" t="s">
        <v>42</v>
      </c>
      <c r="H289" s="149"/>
      <c r="I289" s="9"/>
      <c r="J289" s="9"/>
      <c r="K289" s="9"/>
      <c r="L289" s="9"/>
      <c r="M289" s="9"/>
      <c r="N289" s="9"/>
      <c r="O289" s="9"/>
    </row>
    <row r="290" ht="22.5" customHeight="1">
      <c r="A290" s="49"/>
      <c r="C290" s="192">
        <v>46030.0</v>
      </c>
      <c r="D290" s="195">
        <v>2520000.0</v>
      </c>
      <c r="E290" s="69" t="s">
        <v>592</v>
      </c>
      <c r="F290" s="69" t="s">
        <v>45</v>
      </c>
      <c r="G290" s="69" t="s">
        <v>87</v>
      </c>
      <c r="H290" s="149"/>
      <c r="I290" s="9"/>
      <c r="J290" s="9"/>
      <c r="K290" s="9"/>
      <c r="L290" s="9"/>
      <c r="M290" s="9"/>
      <c r="N290" s="9"/>
      <c r="O290" s="9"/>
    </row>
    <row r="291" ht="22.5" customHeight="1">
      <c r="A291" s="49"/>
      <c r="C291" s="192">
        <v>46030.0</v>
      </c>
      <c r="D291" s="195">
        <v>45000.0</v>
      </c>
      <c r="E291" s="69" t="s">
        <v>596</v>
      </c>
      <c r="F291" s="69" t="s">
        <v>41</v>
      </c>
      <c r="G291" s="69" t="s">
        <v>42</v>
      </c>
      <c r="H291" s="149"/>
      <c r="I291" s="9"/>
      <c r="J291" s="9"/>
      <c r="K291" s="9"/>
      <c r="L291" s="9"/>
      <c r="M291" s="9"/>
      <c r="N291" s="9"/>
      <c r="O291" s="9"/>
    </row>
    <row r="292" ht="22.5" customHeight="1">
      <c r="A292" s="49"/>
      <c r="C292" s="192">
        <v>46030.0</v>
      </c>
      <c r="D292" s="195">
        <v>160000.0</v>
      </c>
      <c r="E292" s="69" t="s">
        <v>211</v>
      </c>
      <c r="F292" s="69" t="s">
        <v>41</v>
      </c>
      <c r="G292" s="69" t="s">
        <v>42</v>
      </c>
      <c r="H292" s="149"/>
      <c r="I292" s="9"/>
      <c r="J292" s="9"/>
      <c r="K292" s="9"/>
      <c r="L292" s="9"/>
      <c r="M292" s="9"/>
      <c r="N292" s="9"/>
      <c r="O292" s="9"/>
    </row>
    <row r="293" ht="22.5" customHeight="1">
      <c r="A293" s="49"/>
      <c r="C293" s="192">
        <v>46030.0</v>
      </c>
      <c r="D293" s="195">
        <v>10000.0</v>
      </c>
      <c r="E293" s="69" t="s">
        <v>406</v>
      </c>
      <c r="F293" s="69" t="s">
        <v>41</v>
      </c>
      <c r="G293" s="69" t="s">
        <v>42</v>
      </c>
      <c r="H293" s="149"/>
      <c r="I293" s="9"/>
      <c r="J293" s="9"/>
      <c r="K293" s="9"/>
      <c r="L293" s="9"/>
      <c r="M293" s="9"/>
      <c r="N293" s="9"/>
      <c r="O293" s="9"/>
    </row>
    <row r="294" ht="22.5" customHeight="1">
      <c r="A294" s="49"/>
      <c r="C294" s="192">
        <v>46030.0</v>
      </c>
      <c r="D294" s="195">
        <v>225000.0</v>
      </c>
      <c r="E294" s="69" t="s">
        <v>599</v>
      </c>
      <c r="F294" s="69" t="s">
        <v>41</v>
      </c>
      <c r="G294" s="69" t="s">
        <v>42</v>
      </c>
      <c r="H294" s="149"/>
      <c r="I294" s="9"/>
      <c r="J294" s="9"/>
      <c r="K294" s="9"/>
      <c r="L294" s="9"/>
      <c r="M294" s="9"/>
      <c r="N294" s="9"/>
      <c r="O294" s="9"/>
    </row>
    <row r="295" ht="22.5" customHeight="1">
      <c r="A295" s="49"/>
      <c r="C295" s="192">
        <v>46030.0</v>
      </c>
      <c r="D295" s="195">
        <v>33000.0</v>
      </c>
      <c r="E295" s="69" t="s">
        <v>590</v>
      </c>
      <c r="F295" s="69" t="s">
        <v>41</v>
      </c>
      <c r="G295" s="69" t="s">
        <v>42</v>
      </c>
      <c r="H295" s="149"/>
      <c r="I295" s="9"/>
      <c r="J295" s="9"/>
      <c r="K295" s="9"/>
      <c r="L295" s="9"/>
      <c r="M295" s="9"/>
      <c r="N295" s="9"/>
      <c r="O295" s="9"/>
    </row>
    <row r="296" ht="22.5" customHeight="1">
      <c r="A296" s="49"/>
      <c r="C296" s="192">
        <v>46031.0</v>
      </c>
      <c r="D296" s="195">
        <v>20000.0</v>
      </c>
      <c r="E296" s="69" t="s">
        <v>137</v>
      </c>
      <c r="F296" s="69" t="s">
        <v>41</v>
      </c>
      <c r="G296" s="69" t="s">
        <v>42</v>
      </c>
      <c r="H296" s="149"/>
      <c r="I296" s="9"/>
      <c r="J296" s="9"/>
      <c r="K296" s="9"/>
      <c r="L296" s="9"/>
      <c r="M296" s="9"/>
      <c r="N296" s="9"/>
      <c r="O296" s="9"/>
    </row>
    <row r="297" ht="22.5" customHeight="1">
      <c r="A297" s="49"/>
      <c r="C297" s="233">
        <v>46032.0</v>
      </c>
      <c r="D297" s="264">
        <v>1.2E7</v>
      </c>
      <c r="E297" s="235" t="s">
        <v>358</v>
      </c>
      <c r="F297" s="235" t="s">
        <v>41</v>
      </c>
      <c r="G297" s="235" t="s">
        <v>87</v>
      </c>
      <c r="H297" s="149"/>
      <c r="I297" s="9"/>
      <c r="J297" s="9"/>
      <c r="K297" s="9"/>
      <c r="L297" s="9"/>
      <c r="M297" s="9"/>
      <c r="N297" s="9"/>
      <c r="O297" s="9"/>
    </row>
    <row r="298" ht="22.5" customHeight="1">
      <c r="A298" s="49"/>
      <c r="C298" s="241">
        <v>46032.0</v>
      </c>
      <c r="D298" s="186">
        <v>1.65E7</v>
      </c>
      <c r="E298" s="242" t="s">
        <v>420</v>
      </c>
      <c r="F298" s="242" t="s">
        <v>41</v>
      </c>
      <c r="G298" s="242" t="s">
        <v>87</v>
      </c>
      <c r="H298" s="149"/>
      <c r="I298" s="9"/>
      <c r="J298" s="9"/>
      <c r="K298" s="9"/>
      <c r="L298" s="9"/>
      <c r="M298" s="9"/>
      <c r="N298" s="9"/>
      <c r="O298" s="9"/>
    </row>
    <row r="299" ht="22.5" customHeight="1">
      <c r="A299" s="49"/>
      <c r="C299" s="192">
        <v>46032.0</v>
      </c>
      <c r="D299" s="195">
        <v>3500000.0</v>
      </c>
      <c r="E299" s="69" t="s">
        <v>179</v>
      </c>
      <c r="F299" s="69" t="s">
        <v>45</v>
      </c>
      <c r="G299" s="69" t="s">
        <v>87</v>
      </c>
      <c r="H299" s="149"/>
      <c r="I299" s="9"/>
      <c r="J299" s="9"/>
      <c r="K299" s="9"/>
      <c r="L299" s="9"/>
      <c r="M299" s="9"/>
      <c r="N299" s="9"/>
      <c r="O299" s="9"/>
    </row>
    <row r="300" ht="22.5" customHeight="1">
      <c r="A300" s="49"/>
      <c r="C300" s="192">
        <v>46032.0</v>
      </c>
      <c r="D300" s="195">
        <v>50000.0</v>
      </c>
      <c r="E300" s="69" t="s">
        <v>607</v>
      </c>
      <c r="F300" s="69" t="s">
        <v>41</v>
      </c>
      <c r="G300" s="69" t="s">
        <v>42</v>
      </c>
      <c r="H300" s="149"/>
      <c r="I300" s="9"/>
      <c r="J300" s="9"/>
      <c r="K300" s="9"/>
      <c r="L300" s="9"/>
      <c r="M300" s="9"/>
      <c r="N300" s="9"/>
      <c r="O300" s="9"/>
    </row>
    <row r="301" ht="22.5" customHeight="1">
      <c r="A301" s="49"/>
      <c r="C301" s="192">
        <v>46032.0</v>
      </c>
      <c r="D301" s="195">
        <v>20000.0</v>
      </c>
      <c r="E301" s="69" t="s">
        <v>608</v>
      </c>
      <c r="F301" s="69" t="s">
        <v>41</v>
      </c>
      <c r="G301" s="69" t="s">
        <v>42</v>
      </c>
      <c r="H301" s="149"/>
      <c r="I301" s="9"/>
      <c r="J301" s="9"/>
      <c r="K301" s="9"/>
      <c r="L301" s="9"/>
      <c r="M301" s="9"/>
      <c r="N301" s="9"/>
      <c r="O301" s="9"/>
    </row>
    <row r="302" ht="22.5" customHeight="1">
      <c r="A302" s="49"/>
      <c r="C302" s="192">
        <v>46032.0</v>
      </c>
      <c r="D302" s="195">
        <v>20000.0</v>
      </c>
      <c r="E302" s="69" t="s">
        <v>347</v>
      </c>
      <c r="F302" s="69" t="s">
        <v>41</v>
      </c>
      <c r="G302" s="69" t="s">
        <v>42</v>
      </c>
      <c r="H302" s="149"/>
      <c r="I302" s="9"/>
      <c r="J302" s="9"/>
      <c r="K302" s="9"/>
      <c r="L302" s="9"/>
      <c r="M302" s="9"/>
      <c r="N302" s="9"/>
      <c r="O302" s="9"/>
    </row>
    <row r="303" ht="22.5" customHeight="1">
      <c r="A303" s="49"/>
      <c r="C303" s="192">
        <v>46032.0</v>
      </c>
      <c r="D303" s="195">
        <v>100000.0</v>
      </c>
      <c r="E303" s="69" t="s">
        <v>611</v>
      </c>
      <c r="F303" s="69" t="s">
        <v>41</v>
      </c>
      <c r="G303" s="69" t="s">
        <v>42</v>
      </c>
      <c r="H303" s="149"/>
      <c r="I303" s="9"/>
      <c r="J303" s="9"/>
      <c r="K303" s="9"/>
      <c r="L303" s="9"/>
      <c r="M303" s="9"/>
      <c r="N303" s="9"/>
      <c r="O303" s="9"/>
    </row>
    <row r="304" ht="22.5" customHeight="1">
      <c r="A304" s="49"/>
      <c r="C304" s="192">
        <v>46032.0</v>
      </c>
      <c r="D304" s="195">
        <v>20000.0</v>
      </c>
      <c r="E304" s="69" t="s">
        <v>612</v>
      </c>
      <c r="F304" s="69" t="s">
        <v>41</v>
      </c>
      <c r="G304" s="69" t="s">
        <v>42</v>
      </c>
      <c r="H304" s="149"/>
      <c r="I304" s="9"/>
      <c r="J304" s="9"/>
      <c r="K304" s="9"/>
      <c r="L304" s="9"/>
      <c r="M304" s="9"/>
      <c r="N304" s="9"/>
      <c r="O304" s="9"/>
    </row>
    <row r="305" ht="22.5" customHeight="1">
      <c r="A305" s="49"/>
      <c r="C305" s="192">
        <v>46032.0</v>
      </c>
      <c r="D305" s="195">
        <v>250000.0</v>
      </c>
      <c r="E305" s="69" t="s">
        <v>616</v>
      </c>
      <c r="F305" s="69" t="s">
        <v>41</v>
      </c>
      <c r="G305" s="69" t="s">
        <v>42</v>
      </c>
      <c r="H305" s="149"/>
      <c r="I305" s="9"/>
      <c r="J305" s="9"/>
      <c r="K305" s="9"/>
      <c r="L305" s="9"/>
      <c r="M305" s="9"/>
      <c r="N305" s="9"/>
      <c r="O305" s="9"/>
    </row>
    <row r="306" ht="22.5" customHeight="1">
      <c r="A306" s="49"/>
      <c r="C306" s="192">
        <v>46032.0</v>
      </c>
      <c r="D306" s="195">
        <v>50000.0</v>
      </c>
      <c r="E306" s="69" t="s">
        <v>617</v>
      </c>
      <c r="F306" s="69" t="s">
        <v>41</v>
      </c>
      <c r="G306" s="69" t="s">
        <v>42</v>
      </c>
      <c r="H306" s="149"/>
      <c r="I306" s="9"/>
      <c r="J306" s="9"/>
      <c r="K306" s="9"/>
      <c r="L306" s="9"/>
      <c r="M306" s="9"/>
      <c r="N306" s="9"/>
      <c r="O306" s="9"/>
    </row>
    <row r="307" ht="22.5" customHeight="1">
      <c r="A307" s="49"/>
      <c r="C307" s="192">
        <v>46032.0</v>
      </c>
      <c r="D307" s="195">
        <v>50000.0</v>
      </c>
      <c r="E307" s="69" t="s">
        <v>618</v>
      </c>
      <c r="F307" s="69" t="s">
        <v>41</v>
      </c>
      <c r="G307" s="69" t="s">
        <v>42</v>
      </c>
      <c r="H307" s="149"/>
      <c r="I307" s="9"/>
      <c r="J307" s="9"/>
      <c r="K307" s="9"/>
      <c r="L307" s="9"/>
      <c r="M307" s="9"/>
      <c r="N307" s="9"/>
      <c r="O307" s="9"/>
    </row>
    <row r="308" ht="22.5" customHeight="1">
      <c r="A308" s="49"/>
      <c r="C308" s="192">
        <v>46032.0</v>
      </c>
      <c r="D308" s="195">
        <v>60000.0</v>
      </c>
      <c r="E308" s="69" t="s">
        <v>620</v>
      </c>
      <c r="F308" s="69" t="s">
        <v>41</v>
      </c>
      <c r="G308" s="69" t="s">
        <v>42</v>
      </c>
      <c r="H308" s="149"/>
      <c r="I308" s="9"/>
      <c r="J308" s="9"/>
      <c r="K308" s="9"/>
      <c r="L308" s="9"/>
      <c r="M308" s="9"/>
      <c r="N308" s="9"/>
      <c r="O308" s="9"/>
    </row>
    <row r="309" ht="22.5" customHeight="1">
      <c r="A309" s="49"/>
      <c r="C309" s="192">
        <v>46033.0</v>
      </c>
      <c r="D309" s="195">
        <v>210000.0</v>
      </c>
      <c r="E309" s="69" t="s">
        <v>368</v>
      </c>
      <c r="F309" s="69" t="s">
        <v>45</v>
      </c>
      <c r="G309" s="69" t="s">
        <v>87</v>
      </c>
      <c r="H309" s="149"/>
      <c r="I309" s="9"/>
      <c r="J309" s="9"/>
      <c r="K309" s="9"/>
      <c r="L309" s="9"/>
      <c r="M309" s="9"/>
      <c r="N309" s="9"/>
      <c r="O309" s="9"/>
    </row>
    <row r="310" ht="22.5" customHeight="1">
      <c r="A310" s="49"/>
      <c r="C310" s="192">
        <v>46034.0</v>
      </c>
      <c r="D310" s="195">
        <v>20000.0</v>
      </c>
      <c r="E310" s="69" t="s">
        <v>347</v>
      </c>
      <c r="F310" s="69" t="s">
        <v>45</v>
      </c>
      <c r="G310" s="69" t="s">
        <v>42</v>
      </c>
      <c r="H310" s="149"/>
      <c r="I310" s="9"/>
      <c r="J310" s="9"/>
      <c r="K310" s="9"/>
      <c r="L310" s="9"/>
      <c r="M310" s="9"/>
      <c r="N310" s="9"/>
      <c r="O310" s="9"/>
    </row>
    <row r="311" ht="22.5" customHeight="1">
      <c r="A311" s="49"/>
      <c r="C311" s="192">
        <v>46034.0</v>
      </c>
      <c r="D311" s="195">
        <v>75000.0</v>
      </c>
      <c r="E311" s="69" t="s">
        <v>625</v>
      </c>
      <c r="F311" s="69" t="s">
        <v>45</v>
      </c>
      <c r="G311" s="69" t="s">
        <v>42</v>
      </c>
      <c r="H311" s="149"/>
      <c r="I311" s="9"/>
      <c r="J311" s="9"/>
      <c r="K311" s="9"/>
      <c r="L311" s="9"/>
      <c r="M311" s="9"/>
      <c r="N311" s="9"/>
      <c r="O311" s="9"/>
    </row>
    <row r="312" ht="22.5" customHeight="1">
      <c r="A312" s="49"/>
      <c r="C312" s="192">
        <v>46034.0</v>
      </c>
      <c r="D312" s="195">
        <v>20000.0</v>
      </c>
      <c r="E312" s="69" t="s">
        <v>404</v>
      </c>
      <c r="F312" s="69" t="s">
        <v>45</v>
      </c>
      <c r="G312" s="69" t="s">
        <v>42</v>
      </c>
      <c r="H312" s="149"/>
      <c r="I312" s="9"/>
      <c r="J312" s="9"/>
      <c r="K312" s="9"/>
      <c r="L312" s="9"/>
      <c r="M312" s="9"/>
      <c r="N312" s="9"/>
      <c r="O312" s="9"/>
    </row>
    <row r="313" ht="22.5" customHeight="1">
      <c r="A313" s="49"/>
      <c r="C313" s="192">
        <v>46035.0</v>
      </c>
      <c r="D313" s="195">
        <v>46000.0</v>
      </c>
      <c r="E313" s="69" t="s">
        <v>626</v>
      </c>
      <c r="F313" s="69" t="s">
        <v>41</v>
      </c>
      <c r="G313" s="69" t="s">
        <v>87</v>
      </c>
      <c r="H313" s="149"/>
      <c r="I313" s="9"/>
      <c r="J313" s="9"/>
      <c r="K313" s="9"/>
      <c r="L313" s="9"/>
      <c r="M313" s="9"/>
      <c r="N313" s="9"/>
      <c r="O313" s="9"/>
    </row>
    <row r="314" ht="22.5" customHeight="1">
      <c r="A314" s="49"/>
      <c r="C314" s="192">
        <v>46035.0</v>
      </c>
      <c r="D314" s="195">
        <v>173000.0</v>
      </c>
      <c r="E314" s="69" t="s">
        <v>628</v>
      </c>
      <c r="F314" s="69" t="s">
        <v>41</v>
      </c>
      <c r="G314" s="69" t="s">
        <v>87</v>
      </c>
      <c r="H314" s="149"/>
      <c r="I314" s="9"/>
      <c r="J314" s="9"/>
      <c r="K314" s="9"/>
      <c r="L314" s="9"/>
      <c r="M314" s="9"/>
      <c r="N314" s="9"/>
      <c r="O314" s="9"/>
    </row>
    <row r="315" ht="22.5" customHeight="1">
      <c r="A315" s="49"/>
      <c r="C315" s="192">
        <v>46035.0</v>
      </c>
      <c r="D315" s="195">
        <v>125000.0</v>
      </c>
      <c r="E315" s="69" t="s">
        <v>632</v>
      </c>
      <c r="F315" s="69" t="s">
        <v>41</v>
      </c>
      <c r="G315" s="69" t="s">
        <v>87</v>
      </c>
      <c r="H315" s="149"/>
      <c r="I315" s="9"/>
      <c r="J315" s="9"/>
      <c r="K315" s="9"/>
      <c r="L315" s="9"/>
      <c r="M315" s="9"/>
      <c r="N315" s="9"/>
      <c r="O315" s="9"/>
    </row>
    <row r="316" ht="22.5" customHeight="1">
      <c r="A316" s="49"/>
      <c r="C316" s="192">
        <v>46036.0</v>
      </c>
      <c r="D316" s="195">
        <v>77000.0</v>
      </c>
      <c r="E316" s="69" t="s">
        <v>401</v>
      </c>
      <c r="F316" s="69" t="s">
        <v>41</v>
      </c>
      <c r="G316" s="69" t="s">
        <v>42</v>
      </c>
      <c r="H316" s="149"/>
      <c r="I316" s="9"/>
      <c r="J316" s="9"/>
      <c r="K316" s="9"/>
      <c r="L316" s="9"/>
      <c r="M316" s="9"/>
      <c r="N316" s="9"/>
      <c r="O316" s="9"/>
    </row>
    <row r="317" ht="22.5" customHeight="1">
      <c r="A317" s="49"/>
      <c r="C317" s="192">
        <v>46036.0</v>
      </c>
      <c r="D317" s="195">
        <v>60000.0</v>
      </c>
      <c r="E317" s="69" t="s">
        <v>634</v>
      </c>
      <c r="F317" s="69" t="s">
        <v>41</v>
      </c>
      <c r="G317" s="69" t="s">
        <v>42</v>
      </c>
      <c r="H317" s="149"/>
      <c r="I317" s="9"/>
      <c r="J317" s="9"/>
      <c r="K317" s="9"/>
      <c r="L317" s="9"/>
      <c r="M317" s="9"/>
      <c r="N317" s="9"/>
      <c r="O317" s="9"/>
    </row>
    <row r="318" ht="22.5" customHeight="1">
      <c r="A318" s="49"/>
      <c r="C318" s="192">
        <v>46036.0</v>
      </c>
      <c r="D318" s="195">
        <v>150000.0</v>
      </c>
      <c r="E318" s="69" t="s">
        <v>635</v>
      </c>
      <c r="F318" s="69" t="s">
        <v>41</v>
      </c>
      <c r="G318" s="69" t="s">
        <v>42</v>
      </c>
      <c r="H318" s="149"/>
      <c r="I318" s="9"/>
      <c r="J318" s="9"/>
      <c r="K318" s="9"/>
      <c r="L318" s="9"/>
      <c r="M318" s="9"/>
      <c r="N318" s="9"/>
      <c r="O318" s="9"/>
    </row>
    <row r="319" ht="22.5" customHeight="1">
      <c r="A319" s="49"/>
      <c r="C319" s="192">
        <v>46036.0</v>
      </c>
      <c r="D319" s="195">
        <v>195000.0</v>
      </c>
      <c r="E319" s="69" t="s">
        <v>639</v>
      </c>
      <c r="F319" s="69" t="s">
        <v>41</v>
      </c>
      <c r="G319" s="69" t="s">
        <v>87</v>
      </c>
      <c r="H319" s="149"/>
      <c r="I319" s="9"/>
      <c r="J319" s="9"/>
      <c r="K319" s="9"/>
      <c r="L319" s="9"/>
      <c r="M319" s="9"/>
      <c r="N319" s="9"/>
      <c r="O319" s="9"/>
    </row>
    <row r="320" ht="22.5" customHeight="1">
      <c r="A320" s="49"/>
      <c r="C320" s="192">
        <v>46036.0</v>
      </c>
      <c r="D320" s="195">
        <v>20000.0</v>
      </c>
      <c r="E320" s="69" t="s">
        <v>352</v>
      </c>
      <c r="F320" s="69" t="s">
        <v>45</v>
      </c>
      <c r="G320" s="69" t="s">
        <v>42</v>
      </c>
      <c r="H320" s="149"/>
      <c r="I320" s="9"/>
      <c r="J320" s="9"/>
      <c r="K320" s="9"/>
      <c r="L320" s="9"/>
      <c r="M320" s="9"/>
      <c r="N320" s="9"/>
      <c r="O320" s="9"/>
    </row>
    <row r="321" ht="22.5" customHeight="1">
      <c r="A321" s="49"/>
      <c r="C321" s="192">
        <v>46036.0</v>
      </c>
      <c r="D321" s="195">
        <v>300000.0</v>
      </c>
      <c r="E321" s="69" t="s">
        <v>642</v>
      </c>
      <c r="F321" s="69" t="s">
        <v>41</v>
      </c>
      <c r="G321" s="69" t="s">
        <v>42</v>
      </c>
      <c r="H321" s="149"/>
      <c r="I321" s="9"/>
      <c r="J321" s="9"/>
      <c r="K321" s="9"/>
      <c r="L321" s="9"/>
      <c r="M321" s="9"/>
      <c r="N321" s="9"/>
      <c r="O321" s="9"/>
    </row>
    <row r="322" ht="22.5" customHeight="1">
      <c r="A322" s="49"/>
      <c r="C322" s="192">
        <v>46036.0</v>
      </c>
      <c r="D322" s="195">
        <v>20000.0</v>
      </c>
      <c r="E322" s="69" t="s">
        <v>328</v>
      </c>
      <c r="F322" s="69" t="s">
        <v>41</v>
      </c>
      <c r="G322" s="69" t="s">
        <v>42</v>
      </c>
      <c r="H322" s="149"/>
      <c r="I322" s="9"/>
      <c r="J322" s="9"/>
      <c r="K322" s="9"/>
      <c r="L322" s="9"/>
      <c r="M322" s="9"/>
      <c r="N322" s="9"/>
      <c r="O322" s="9"/>
    </row>
    <row r="323" ht="22.5" customHeight="1">
      <c r="A323" s="49"/>
      <c r="C323" s="192">
        <v>46036.0</v>
      </c>
      <c r="D323" s="195">
        <v>50000.0</v>
      </c>
      <c r="E323" s="69" t="s">
        <v>645</v>
      </c>
      <c r="F323" s="69" t="s">
        <v>41</v>
      </c>
      <c r="G323" s="69" t="s">
        <v>42</v>
      </c>
      <c r="H323" s="149"/>
      <c r="I323" s="9"/>
      <c r="J323" s="9"/>
      <c r="K323" s="9"/>
      <c r="L323" s="9"/>
      <c r="M323" s="9"/>
      <c r="N323" s="9"/>
      <c r="O323" s="9"/>
    </row>
    <row r="324" ht="22.5" customHeight="1">
      <c r="A324" s="49"/>
      <c r="C324" s="192">
        <v>46037.0</v>
      </c>
      <c r="D324" s="195">
        <v>20000.0</v>
      </c>
      <c r="E324" s="69" t="s">
        <v>648</v>
      </c>
      <c r="F324" s="69" t="s">
        <v>41</v>
      </c>
      <c r="G324" s="69" t="s">
        <v>42</v>
      </c>
      <c r="H324" s="149"/>
      <c r="I324" s="9"/>
      <c r="J324" s="9"/>
      <c r="K324" s="9"/>
      <c r="L324" s="9"/>
      <c r="M324" s="9"/>
      <c r="N324" s="9"/>
      <c r="O324" s="9"/>
    </row>
    <row r="325" ht="22.5" customHeight="1">
      <c r="A325" s="49"/>
      <c r="C325" s="192">
        <v>46037.0</v>
      </c>
      <c r="D325" s="195">
        <v>40000.0</v>
      </c>
      <c r="E325" s="69" t="s">
        <v>165</v>
      </c>
      <c r="F325" s="69" t="s">
        <v>41</v>
      </c>
      <c r="G325" s="69" t="s">
        <v>42</v>
      </c>
      <c r="H325" s="149"/>
      <c r="I325" s="9"/>
      <c r="J325" s="9"/>
      <c r="K325" s="9"/>
      <c r="L325" s="9"/>
      <c r="M325" s="9"/>
      <c r="N325" s="9"/>
      <c r="O325" s="9"/>
    </row>
    <row r="326" ht="22.5" customHeight="1">
      <c r="A326" s="49"/>
      <c r="C326" s="192">
        <v>46037.0</v>
      </c>
      <c r="D326" s="195">
        <v>50000.0</v>
      </c>
      <c r="E326" s="69" t="s">
        <v>395</v>
      </c>
      <c r="F326" s="69" t="s">
        <v>41</v>
      </c>
      <c r="G326" s="69" t="s">
        <v>42</v>
      </c>
      <c r="H326" s="149"/>
      <c r="I326" s="9"/>
      <c r="J326" s="9"/>
      <c r="K326" s="9"/>
      <c r="L326" s="9"/>
      <c r="M326" s="9"/>
      <c r="N326" s="9"/>
      <c r="O326" s="9"/>
    </row>
    <row r="327" ht="22.5" customHeight="1">
      <c r="A327" s="49"/>
      <c r="C327" s="192">
        <v>46037.0</v>
      </c>
      <c r="D327" s="195">
        <v>425000.0</v>
      </c>
      <c r="E327" s="69" t="s">
        <v>211</v>
      </c>
      <c r="F327" s="69" t="s">
        <v>41</v>
      </c>
      <c r="G327" s="69" t="s">
        <v>42</v>
      </c>
      <c r="H327" s="149"/>
      <c r="I327" s="9"/>
      <c r="J327" s="9"/>
      <c r="K327" s="9"/>
      <c r="L327" s="9"/>
      <c r="M327" s="9"/>
      <c r="N327" s="9"/>
      <c r="O327" s="9"/>
    </row>
    <row r="328" ht="22.5" customHeight="1">
      <c r="A328" s="49"/>
      <c r="C328" s="192">
        <v>46037.0</v>
      </c>
      <c r="D328" s="195">
        <v>160000.0</v>
      </c>
      <c r="E328" s="69" t="s">
        <v>653</v>
      </c>
      <c r="F328" s="69" t="s">
        <v>41</v>
      </c>
      <c r="G328" s="69" t="s">
        <v>42</v>
      </c>
      <c r="H328" s="149"/>
      <c r="I328" s="9"/>
      <c r="J328" s="9"/>
      <c r="K328" s="9"/>
      <c r="L328" s="9"/>
      <c r="M328" s="9"/>
      <c r="N328" s="9"/>
      <c r="O328" s="9"/>
    </row>
    <row r="329" ht="22.5" customHeight="1">
      <c r="A329" s="49"/>
      <c r="C329" s="192">
        <v>46038.0</v>
      </c>
      <c r="D329" s="195">
        <v>115000.0</v>
      </c>
      <c r="E329" s="69" t="s">
        <v>655</v>
      </c>
      <c r="F329" s="69" t="s">
        <v>41</v>
      </c>
      <c r="G329" s="69" t="s">
        <v>42</v>
      </c>
      <c r="H329" s="149"/>
      <c r="I329" s="9"/>
      <c r="J329" s="9"/>
      <c r="K329" s="9"/>
      <c r="L329" s="9"/>
      <c r="M329" s="9"/>
      <c r="N329" s="9"/>
      <c r="O329" s="9"/>
    </row>
    <row r="330" ht="22.5" customHeight="1">
      <c r="A330" s="49"/>
      <c r="C330" s="192">
        <v>46038.0</v>
      </c>
      <c r="D330" s="195">
        <v>2500000.0</v>
      </c>
      <c r="E330" s="69" t="s">
        <v>658</v>
      </c>
      <c r="F330" s="69" t="s">
        <v>41</v>
      </c>
      <c r="G330" s="69" t="s">
        <v>87</v>
      </c>
      <c r="H330" s="149"/>
      <c r="I330" s="9"/>
      <c r="J330" s="9"/>
      <c r="K330" s="9"/>
      <c r="L330" s="9"/>
      <c r="M330" s="9"/>
      <c r="N330" s="9"/>
      <c r="O330" s="9"/>
    </row>
    <row r="331" ht="22.5" customHeight="1">
      <c r="A331" s="49"/>
      <c r="C331" s="192">
        <v>46039.0</v>
      </c>
      <c r="D331" s="195">
        <v>30000.0</v>
      </c>
      <c r="E331" s="69" t="s">
        <v>660</v>
      </c>
      <c r="F331" s="69" t="s">
        <v>41</v>
      </c>
      <c r="G331" s="69" t="s">
        <v>42</v>
      </c>
      <c r="H331" s="149"/>
      <c r="I331" s="9"/>
      <c r="J331" s="9"/>
      <c r="K331" s="9"/>
      <c r="L331" s="9"/>
      <c r="M331" s="9"/>
      <c r="N331" s="9"/>
      <c r="O331" s="9"/>
    </row>
    <row r="332" ht="22.5" customHeight="1">
      <c r="A332" s="49"/>
      <c r="C332" s="192">
        <v>46039.0</v>
      </c>
      <c r="D332" s="195">
        <v>200000.0</v>
      </c>
      <c r="E332" s="69" t="s">
        <v>662</v>
      </c>
      <c r="F332" s="69" t="s">
        <v>41</v>
      </c>
      <c r="G332" s="69" t="s">
        <v>42</v>
      </c>
      <c r="H332" s="149"/>
      <c r="I332" s="9"/>
      <c r="J332" s="9"/>
      <c r="K332" s="9"/>
      <c r="L332" s="9"/>
      <c r="M332" s="9"/>
      <c r="N332" s="9"/>
      <c r="O332" s="9"/>
    </row>
    <row r="333" ht="22.5" customHeight="1">
      <c r="A333" s="49"/>
      <c r="C333" s="192">
        <v>46039.0</v>
      </c>
      <c r="D333" s="195">
        <v>4000000.0</v>
      </c>
      <c r="E333" s="69" t="s">
        <v>179</v>
      </c>
      <c r="F333" s="69" t="s">
        <v>45</v>
      </c>
      <c r="G333" s="69" t="s">
        <v>87</v>
      </c>
      <c r="H333" s="149"/>
      <c r="I333" s="9"/>
      <c r="J333" s="9"/>
      <c r="K333" s="9"/>
      <c r="L333" s="9"/>
      <c r="M333" s="9"/>
      <c r="N333" s="9"/>
      <c r="O333" s="9"/>
    </row>
    <row r="334" ht="22.5" customHeight="1">
      <c r="A334" s="49"/>
      <c r="C334" s="192">
        <v>46040.0</v>
      </c>
      <c r="D334" s="195">
        <v>315000.0</v>
      </c>
      <c r="E334" s="69" t="s">
        <v>368</v>
      </c>
      <c r="F334" s="69" t="s">
        <v>45</v>
      </c>
      <c r="G334" s="69" t="s">
        <v>87</v>
      </c>
      <c r="H334" s="149"/>
      <c r="I334" s="9"/>
      <c r="J334" s="9"/>
      <c r="K334" s="9"/>
      <c r="L334" s="9"/>
      <c r="M334" s="9"/>
      <c r="N334" s="9"/>
      <c r="O334" s="9"/>
    </row>
    <row r="335" ht="22.5" customHeight="1">
      <c r="A335" s="49"/>
      <c r="C335" s="192">
        <v>46041.0</v>
      </c>
      <c r="D335" s="195">
        <v>12000.0</v>
      </c>
      <c r="E335" s="69" t="s">
        <v>665</v>
      </c>
      <c r="F335" s="69" t="s">
        <v>41</v>
      </c>
      <c r="G335" s="69" t="s">
        <v>42</v>
      </c>
      <c r="H335" s="149"/>
      <c r="I335" s="9"/>
      <c r="J335" s="9"/>
      <c r="K335" s="9"/>
      <c r="L335" s="9"/>
      <c r="M335" s="9"/>
      <c r="N335" s="9"/>
      <c r="O335" s="9"/>
    </row>
    <row r="336" ht="22.5" customHeight="1">
      <c r="A336" s="49"/>
      <c r="C336" s="192">
        <v>46041.0</v>
      </c>
      <c r="D336" s="195">
        <v>32000.0</v>
      </c>
      <c r="E336" s="69" t="s">
        <v>666</v>
      </c>
      <c r="F336" s="69" t="s">
        <v>41</v>
      </c>
      <c r="G336" s="69" t="s">
        <v>42</v>
      </c>
      <c r="H336" s="149"/>
      <c r="I336" s="9"/>
      <c r="J336" s="9"/>
      <c r="K336" s="9"/>
      <c r="L336" s="9"/>
      <c r="M336" s="9"/>
      <c r="N336" s="9"/>
      <c r="O336" s="9"/>
    </row>
    <row r="337" ht="22.5" customHeight="1">
      <c r="A337" s="49"/>
      <c r="C337" s="192">
        <v>46041.0</v>
      </c>
      <c r="D337" s="195">
        <v>15000.0</v>
      </c>
      <c r="E337" s="69" t="s">
        <v>669</v>
      </c>
      <c r="F337" s="69" t="s">
        <v>41</v>
      </c>
      <c r="G337" s="69" t="s">
        <v>42</v>
      </c>
      <c r="H337" s="149"/>
      <c r="I337" s="9"/>
      <c r="J337" s="9"/>
      <c r="K337" s="9"/>
      <c r="L337" s="9"/>
      <c r="M337" s="9"/>
      <c r="N337" s="9"/>
      <c r="O337" s="9"/>
    </row>
    <row r="338" ht="22.5" customHeight="1">
      <c r="A338" s="49"/>
      <c r="C338" s="192">
        <v>46042.0</v>
      </c>
      <c r="D338" s="195">
        <v>12000.0</v>
      </c>
      <c r="E338" s="69" t="s">
        <v>670</v>
      </c>
      <c r="F338" s="69" t="s">
        <v>45</v>
      </c>
      <c r="G338" s="69" t="s">
        <v>42</v>
      </c>
      <c r="H338" s="149"/>
      <c r="I338" s="9"/>
      <c r="J338" s="9"/>
      <c r="K338" s="9"/>
      <c r="L338" s="9"/>
      <c r="M338" s="9"/>
      <c r="N338" s="9"/>
      <c r="O338" s="9"/>
    </row>
    <row r="339" ht="22.5" customHeight="1">
      <c r="A339" s="49"/>
      <c r="C339" s="192">
        <v>46042.0</v>
      </c>
      <c r="D339" s="195">
        <v>40000.0</v>
      </c>
      <c r="E339" s="69" t="s">
        <v>165</v>
      </c>
      <c r="F339" s="69" t="s">
        <v>41</v>
      </c>
      <c r="G339" s="69" t="s">
        <v>42</v>
      </c>
      <c r="H339" s="149"/>
      <c r="I339" s="9"/>
      <c r="J339" s="9"/>
      <c r="K339" s="9"/>
      <c r="L339" s="9"/>
      <c r="M339" s="9"/>
      <c r="N339" s="9"/>
      <c r="O339" s="9"/>
    </row>
    <row r="340" ht="22.5" customHeight="1">
      <c r="A340" s="49"/>
      <c r="C340" s="192">
        <v>46042.0</v>
      </c>
      <c r="D340" s="195">
        <v>10000.0</v>
      </c>
      <c r="E340" s="69" t="s">
        <v>675</v>
      </c>
      <c r="F340" s="69" t="s">
        <v>41</v>
      </c>
      <c r="G340" s="69" t="s">
        <v>42</v>
      </c>
      <c r="H340" s="149"/>
      <c r="I340" s="9"/>
      <c r="J340" s="9"/>
      <c r="K340" s="9"/>
      <c r="L340" s="9"/>
      <c r="M340" s="9"/>
      <c r="N340" s="9"/>
      <c r="O340" s="9"/>
    </row>
    <row r="341" ht="22.5" customHeight="1">
      <c r="A341" s="49"/>
      <c r="C341" s="192">
        <v>46042.0</v>
      </c>
      <c r="D341" s="195">
        <v>20000.0</v>
      </c>
      <c r="E341" s="69" t="s">
        <v>175</v>
      </c>
      <c r="F341" s="69" t="s">
        <v>41</v>
      </c>
      <c r="G341" s="69" t="s">
        <v>42</v>
      </c>
      <c r="H341" s="149"/>
      <c r="I341" s="9"/>
      <c r="J341" s="9"/>
      <c r="K341" s="9"/>
      <c r="L341" s="9"/>
      <c r="M341" s="9"/>
      <c r="N341" s="9"/>
      <c r="O341" s="9"/>
    </row>
    <row r="342" ht="22.5" customHeight="1">
      <c r="A342" s="49"/>
      <c r="C342" s="192">
        <v>46043.0</v>
      </c>
      <c r="D342" s="195">
        <v>100000.0</v>
      </c>
      <c r="E342" s="69" t="s">
        <v>676</v>
      </c>
      <c r="F342" s="69" t="s">
        <v>41</v>
      </c>
      <c r="G342" s="69" t="s">
        <v>42</v>
      </c>
      <c r="H342" s="149"/>
      <c r="I342" s="9"/>
      <c r="J342" s="9"/>
      <c r="K342" s="9"/>
      <c r="L342" s="9"/>
      <c r="M342" s="9"/>
      <c r="N342" s="9"/>
      <c r="O342" s="9"/>
    </row>
    <row r="343" ht="22.5" customHeight="1">
      <c r="A343" s="49"/>
      <c r="C343" s="192">
        <v>46043.0</v>
      </c>
      <c r="D343" s="195">
        <v>400000.0</v>
      </c>
      <c r="E343" s="69" t="s">
        <v>679</v>
      </c>
      <c r="F343" s="69" t="s">
        <v>41</v>
      </c>
      <c r="G343" s="69" t="s">
        <v>42</v>
      </c>
      <c r="H343" s="149"/>
      <c r="I343" s="9"/>
      <c r="J343" s="9"/>
      <c r="K343" s="9"/>
      <c r="L343" s="9"/>
      <c r="M343" s="9"/>
      <c r="N343" s="9"/>
      <c r="O343" s="9"/>
    </row>
    <row r="344" ht="22.5" customHeight="1">
      <c r="A344" s="49"/>
      <c r="C344" s="192">
        <v>46043.0</v>
      </c>
      <c r="D344" s="195">
        <v>20000.0</v>
      </c>
      <c r="E344" s="69" t="s">
        <v>195</v>
      </c>
      <c r="F344" s="69" t="s">
        <v>45</v>
      </c>
      <c r="G344" s="69" t="s">
        <v>42</v>
      </c>
      <c r="H344" s="149"/>
      <c r="I344" s="9"/>
      <c r="J344" s="9"/>
      <c r="K344" s="9"/>
      <c r="L344" s="9"/>
      <c r="M344" s="9"/>
      <c r="N344" s="9"/>
      <c r="O344" s="9"/>
    </row>
    <row r="345" ht="22.5" customHeight="1">
      <c r="A345" s="49"/>
      <c r="C345" s="192">
        <v>46044.0</v>
      </c>
      <c r="D345" s="195">
        <v>75000.0</v>
      </c>
      <c r="E345" s="69" t="s">
        <v>683</v>
      </c>
      <c r="F345" s="69" t="s">
        <v>41</v>
      </c>
      <c r="G345" s="69" t="s">
        <v>42</v>
      </c>
      <c r="H345" s="149"/>
      <c r="I345" s="9"/>
      <c r="J345" s="9"/>
      <c r="K345" s="9"/>
      <c r="L345" s="9"/>
      <c r="M345" s="9"/>
      <c r="N345" s="9"/>
      <c r="O345" s="9"/>
    </row>
    <row r="346" ht="22.5" customHeight="1">
      <c r="A346" s="49"/>
      <c r="C346" s="192">
        <v>46044.0</v>
      </c>
      <c r="D346" s="195">
        <v>50000.0</v>
      </c>
      <c r="E346" s="69" t="s">
        <v>395</v>
      </c>
      <c r="F346" s="69" t="s">
        <v>41</v>
      </c>
      <c r="G346" s="69" t="s">
        <v>42</v>
      </c>
      <c r="H346" s="149"/>
      <c r="I346" s="9"/>
      <c r="J346" s="9"/>
      <c r="K346" s="9"/>
      <c r="L346" s="9"/>
      <c r="M346" s="9"/>
      <c r="N346" s="9"/>
      <c r="O346" s="9"/>
    </row>
    <row r="347" ht="22.5" customHeight="1">
      <c r="A347" s="49"/>
      <c r="C347" s="192">
        <v>46044.0</v>
      </c>
      <c r="D347" s="195">
        <v>10000.0</v>
      </c>
      <c r="E347" s="69" t="s">
        <v>684</v>
      </c>
      <c r="F347" s="69" t="s">
        <v>45</v>
      </c>
      <c r="G347" s="69" t="s">
        <v>42</v>
      </c>
      <c r="H347" s="149"/>
      <c r="I347" s="9"/>
      <c r="J347" s="9"/>
      <c r="K347" s="9"/>
      <c r="L347" s="9"/>
      <c r="M347" s="9"/>
      <c r="N347" s="9"/>
      <c r="O347" s="9"/>
    </row>
    <row r="348" ht="22.5" customHeight="1">
      <c r="A348" s="49"/>
      <c r="C348" s="192">
        <v>46044.0</v>
      </c>
      <c r="D348" s="195">
        <v>20000.0</v>
      </c>
      <c r="E348" s="69" t="s">
        <v>608</v>
      </c>
      <c r="F348" s="69" t="s">
        <v>41</v>
      </c>
      <c r="G348" s="69" t="s">
        <v>42</v>
      </c>
      <c r="H348" s="149"/>
      <c r="I348" s="9"/>
      <c r="J348" s="9"/>
      <c r="K348" s="9"/>
      <c r="L348" s="9"/>
      <c r="M348" s="9"/>
      <c r="N348" s="9"/>
      <c r="O348" s="9"/>
    </row>
    <row r="349" ht="22.5" customHeight="1">
      <c r="A349" s="49"/>
      <c r="C349" s="192">
        <v>46044.0</v>
      </c>
      <c r="D349" s="195">
        <v>20000.0</v>
      </c>
      <c r="E349" s="69" t="s">
        <v>404</v>
      </c>
      <c r="F349" s="69" t="s">
        <v>45</v>
      </c>
      <c r="G349" s="69" t="s">
        <v>42</v>
      </c>
      <c r="H349" s="149"/>
      <c r="I349" s="9"/>
      <c r="J349" s="9"/>
      <c r="K349" s="9"/>
      <c r="L349" s="9"/>
      <c r="M349" s="9"/>
      <c r="N349" s="9"/>
      <c r="O349" s="9"/>
    </row>
    <row r="350" ht="22.5" customHeight="1">
      <c r="A350" s="49"/>
      <c r="C350" s="192">
        <v>46045.0</v>
      </c>
      <c r="D350" s="195">
        <v>175000.0</v>
      </c>
      <c r="E350" s="69" t="s">
        <v>691</v>
      </c>
      <c r="F350" s="69" t="s">
        <v>45</v>
      </c>
      <c r="G350" s="69" t="s">
        <v>42</v>
      </c>
      <c r="H350" s="149"/>
      <c r="I350" s="9"/>
      <c r="J350" s="9"/>
      <c r="K350" s="9"/>
      <c r="L350" s="9"/>
      <c r="M350" s="9"/>
      <c r="N350" s="9"/>
      <c r="O350" s="9"/>
    </row>
    <row r="351" ht="22.5" customHeight="1">
      <c r="A351" s="49"/>
      <c r="C351" s="192">
        <v>46045.0</v>
      </c>
      <c r="D351" s="195">
        <v>20000.0</v>
      </c>
      <c r="F351" s="69" t="s">
        <v>41</v>
      </c>
      <c r="G351" s="69" t="s">
        <v>42</v>
      </c>
      <c r="H351" s="149"/>
      <c r="I351" s="9"/>
      <c r="J351" s="9"/>
      <c r="K351" s="9"/>
      <c r="L351" s="9"/>
      <c r="M351" s="9"/>
      <c r="N351" s="9"/>
      <c r="O351" s="9"/>
    </row>
    <row r="352" ht="22.5" customHeight="1">
      <c r="A352" s="49"/>
      <c r="C352" s="192">
        <v>46045.0</v>
      </c>
      <c r="D352" s="195">
        <v>50000.0</v>
      </c>
      <c r="E352" s="69" t="s">
        <v>423</v>
      </c>
      <c r="F352" s="69" t="s">
        <v>41</v>
      </c>
      <c r="G352" s="69" t="s">
        <v>42</v>
      </c>
      <c r="H352" s="149"/>
      <c r="I352" s="9"/>
      <c r="J352" s="9"/>
      <c r="K352" s="9"/>
      <c r="L352" s="9"/>
      <c r="M352" s="9"/>
      <c r="N352" s="9"/>
      <c r="O352" s="9"/>
    </row>
    <row r="353" ht="22.5" customHeight="1">
      <c r="A353" s="49"/>
      <c r="C353" s="192">
        <v>46046.0</v>
      </c>
      <c r="D353" s="195">
        <v>600000.0</v>
      </c>
      <c r="E353" s="69" t="s">
        <v>694</v>
      </c>
      <c r="F353" s="69" t="s">
        <v>45</v>
      </c>
      <c r="G353" s="69" t="s">
        <v>42</v>
      </c>
      <c r="H353" s="149"/>
      <c r="I353" s="9"/>
      <c r="J353" s="9"/>
      <c r="K353" s="9"/>
      <c r="L353" s="9"/>
      <c r="M353" s="9"/>
      <c r="N353" s="9"/>
      <c r="O353" s="9"/>
    </row>
    <row r="354" ht="22.5" customHeight="1">
      <c r="A354" s="49"/>
      <c r="C354" s="192">
        <v>46046.0</v>
      </c>
      <c r="D354" s="195">
        <v>50000.0</v>
      </c>
      <c r="E354" s="69" t="s">
        <v>696</v>
      </c>
      <c r="F354" s="69" t="s">
        <v>41</v>
      </c>
      <c r="G354" s="69" t="s">
        <v>42</v>
      </c>
      <c r="H354" s="149"/>
      <c r="I354" s="9"/>
      <c r="J354" s="9"/>
      <c r="K354" s="9"/>
      <c r="L354" s="9"/>
      <c r="M354" s="9"/>
      <c r="N354" s="9"/>
      <c r="O354" s="9"/>
    </row>
    <row r="355" ht="22.5" customHeight="1">
      <c r="A355" s="49"/>
      <c r="C355" s="192">
        <v>46046.0</v>
      </c>
      <c r="D355" s="195">
        <v>4100000.0</v>
      </c>
      <c r="E355" s="69" t="s">
        <v>179</v>
      </c>
      <c r="F355" s="69" t="s">
        <v>45</v>
      </c>
      <c r="G355" s="69" t="s">
        <v>87</v>
      </c>
      <c r="H355" s="149"/>
      <c r="I355" s="9"/>
      <c r="J355" s="9"/>
      <c r="K355" s="9"/>
      <c r="L355" s="9"/>
      <c r="M355" s="9"/>
      <c r="N355" s="9"/>
      <c r="O355" s="9"/>
    </row>
    <row r="356" ht="22.5" customHeight="1">
      <c r="A356" s="49"/>
      <c r="C356" s="192">
        <v>46047.0</v>
      </c>
      <c r="D356" s="195">
        <v>210000.0</v>
      </c>
      <c r="E356" s="69" t="s">
        <v>368</v>
      </c>
      <c r="F356" s="69" t="s">
        <v>45</v>
      </c>
      <c r="G356" s="69" t="s">
        <v>87</v>
      </c>
      <c r="H356" s="149"/>
      <c r="I356" s="9"/>
      <c r="J356" s="9"/>
      <c r="K356" s="9"/>
      <c r="L356" s="9"/>
      <c r="M356" s="9"/>
      <c r="N356" s="9"/>
      <c r="O356" s="9"/>
    </row>
    <row r="357" ht="22.5" customHeight="1">
      <c r="A357" s="49"/>
      <c r="C357" s="192">
        <v>46048.0</v>
      </c>
      <c r="D357" s="195">
        <v>85000.0</v>
      </c>
      <c r="E357" s="69" t="s">
        <v>699</v>
      </c>
      <c r="F357" s="69" t="s">
        <v>41</v>
      </c>
      <c r="G357" s="69" t="s">
        <v>42</v>
      </c>
      <c r="H357" s="149"/>
      <c r="I357" s="9"/>
      <c r="J357" s="9"/>
      <c r="K357" s="9"/>
      <c r="L357" s="9"/>
      <c r="M357" s="9"/>
      <c r="N357" s="9"/>
      <c r="O357" s="9"/>
    </row>
    <row r="358" ht="22.5" customHeight="1">
      <c r="A358" s="49"/>
      <c r="C358" s="192">
        <v>46048.0</v>
      </c>
      <c r="D358" s="195">
        <v>20000.0</v>
      </c>
      <c r="E358" s="69" t="s">
        <v>347</v>
      </c>
      <c r="F358" s="69" t="s">
        <v>41</v>
      </c>
      <c r="G358" s="69" t="s">
        <v>42</v>
      </c>
      <c r="H358" s="149"/>
      <c r="I358" s="9"/>
      <c r="J358" s="9"/>
      <c r="K358" s="9"/>
      <c r="L358" s="9"/>
      <c r="M358" s="9"/>
      <c r="N358" s="9"/>
      <c r="O358" s="9"/>
    </row>
    <row r="359" ht="22.5" customHeight="1">
      <c r="A359" s="49"/>
      <c r="C359" s="192">
        <v>46048.0</v>
      </c>
      <c r="D359" s="195">
        <v>65000.0</v>
      </c>
      <c r="E359" s="69" t="s">
        <v>356</v>
      </c>
      <c r="F359" s="69" t="s">
        <v>41</v>
      </c>
      <c r="G359" s="69" t="s">
        <v>42</v>
      </c>
      <c r="H359" s="149"/>
      <c r="I359" s="9"/>
      <c r="J359" s="9"/>
      <c r="K359" s="9"/>
      <c r="L359" s="9"/>
      <c r="M359" s="9"/>
      <c r="N359" s="9"/>
      <c r="O359" s="9"/>
    </row>
    <row r="360" ht="22.5" customHeight="1">
      <c r="A360" s="49"/>
      <c r="C360" s="192">
        <v>46048.0</v>
      </c>
      <c r="D360" s="195">
        <v>39000.0</v>
      </c>
      <c r="E360" s="69" t="s">
        <v>703</v>
      </c>
      <c r="F360" s="69" t="s">
        <v>41</v>
      </c>
      <c r="G360" s="69" t="s">
        <v>42</v>
      </c>
      <c r="H360" s="149"/>
      <c r="I360" s="9"/>
      <c r="J360" s="9"/>
      <c r="K360" s="9"/>
      <c r="L360" s="9"/>
      <c r="M360" s="9"/>
      <c r="N360" s="9"/>
      <c r="O360" s="9"/>
    </row>
    <row r="361" ht="22.5" customHeight="1">
      <c r="A361" s="49"/>
      <c r="C361" s="192">
        <v>46048.0</v>
      </c>
      <c r="D361" s="195">
        <v>20000.0</v>
      </c>
      <c r="E361" s="69" t="s">
        <v>704</v>
      </c>
      <c r="F361" s="69" t="s">
        <v>41</v>
      </c>
      <c r="G361" s="69" t="s">
        <v>42</v>
      </c>
      <c r="H361" s="149"/>
      <c r="I361" s="9"/>
      <c r="J361" s="9"/>
      <c r="K361" s="9"/>
      <c r="L361" s="9"/>
      <c r="M361" s="9"/>
      <c r="N361" s="9"/>
      <c r="O361" s="9"/>
    </row>
    <row r="362" ht="22.5" customHeight="1">
      <c r="A362" s="49"/>
      <c r="C362" s="192">
        <v>46049.0</v>
      </c>
      <c r="D362" s="195">
        <v>20000.0</v>
      </c>
      <c r="E362" s="69" t="s">
        <v>336</v>
      </c>
      <c r="F362" s="69" t="s">
        <v>45</v>
      </c>
      <c r="G362" s="69" t="s">
        <v>42</v>
      </c>
      <c r="H362" s="149"/>
      <c r="I362" s="9"/>
      <c r="J362" s="9"/>
      <c r="K362" s="9"/>
      <c r="L362" s="9"/>
      <c r="M362" s="9"/>
      <c r="N362" s="9"/>
      <c r="O362" s="9"/>
    </row>
    <row r="363" ht="22.5" customHeight="1">
      <c r="A363" s="49"/>
      <c r="C363" s="192">
        <v>46049.0</v>
      </c>
      <c r="D363" s="195">
        <v>100000.0</v>
      </c>
      <c r="E363" s="69" t="s">
        <v>705</v>
      </c>
      <c r="F363" s="69" t="s">
        <v>41</v>
      </c>
      <c r="G363" s="69" t="s">
        <v>42</v>
      </c>
      <c r="H363" s="149"/>
      <c r="I363" s="9"/>
      <c r="J363" s="9"/>
      <c r="K363" s="9"/>
      <c r="L363" s="9"/>
      <c r="M363" s="9"/>
      <c r="N363" s="9"/>
      <c r="O363" s="9"/>
    </row>
    <row r="364" ht="22.5" customHeight="1">
      <c r="A364" s="49"/>
      <c r="C364" s="192">
        <v>46049.0</v>
      </c>
      <c r="D364" s="195">
        <v>150000.0</v>
      </c>
      <c r="E364" s="69" t="s">
        <v>710</v>
      </c>
      <c r="F364" s="69" t="s">
        <v>41</v>
      </c>
      <c r="G364" s="69" t="s">
        <v>42</v>
      </c>
      <c r="H364" s="149"/>
      <c r="I364" s="9"/>
      <c r="J364" s="9"/>
      <c r="K364" s="9"/>
      <c r="L364" s="9"/>
      <c r="M364" s="9"/>
      <c r="N364" s="9"/>
      <c r="O364" s="9"/>
    </row>
    <row r="365" ht="22.5" customHeight="1">
      <c r="A365" s="49"/>
      <c r="C365" s="192">
        <v>46049.0</v>
      </c>
      <c r="D365" s="195">
        <v>1050000.0</v>
      </c>
      <c r="E365" s="69" t="s">
        <v>711</v>
      </c>
      <c r="F365" s="69" t="s">
        <v>41</v>
      </c>
      <c r="G365" s="69" t="s">
        <v>42</v>
      </c>
      <c r="H365" s="149"/>
      <c r="I365" s="9"/>
      <c r="J365" s="9"/>
      <c r="K365" s="9"/>
      <c r="L365" s="9"/>
      <c r="M365" s="9"/>
      <c r="N365" s="9"/>
      <c r="O365" s="9"/>
    </row>
    <row r="366" ht="22.5" customHeight="1">
      <c r="A366" s="49"/>
      <c r="C366" s="192">
        <v>46049.0</v>
      </c>
      <c r="D366" s="195">
        <v>44000.0</v>
      </c>
      <c r="E366" s="69" t="s">
        <v>713</v>
      </c>
      <c r="F366" s="69" t="s">
        <v>41</v>
      </c>
      <c r="G366" s="69" t="s">
        <v>42</v>
      </c>
      <c r="H366" s="149"/>
      <c r="I366" s="9"/>
      <c r="J366" s="9"/>
      <c r="K366" s="9"/>
      <c r="L366" s="9"/>
      <c r="M366" s="9"/>
      <c r="N366" s="9"/>
      <c r="O366" s="9"/>
    </row>
    <row r="367" ht="22.5" customHeight="1">
      <c r="A367" s="49"/>
      <c r="C367" s="192">
        <v>46050.0</v>
      </c>
      <c r="D367" s="195">
        <v>50000.0</v>
      </c>
      <c r="E367" s="69" t="s">
        <v>339</v>
      </c>
      <c r="F367" s="69" t="s">
        <v>41</v>
      </c>
      <c r="G367" s="69" t="s">
        <v>42</v>
      </c>
      <c r="H367" s="149"/>
      <c r="I367" s="9"/>
      <c r="J367" s="9"/>
      <c r="K367" s="9"/>
      <c r="L367" s="9"/>
      <c r="M367" s="9"/>
      <c r="N367" s="9"/>
      <c r="O367" s="9"/>
    </row>
    <row r="368" ht="22.5" customHeight="1">
      <c r="A368" s="49"/>
      <c r="C368" s="192">
        <v>46050.0</v>
      </c>
      <c r="D368" s="195">
        <v>20000.0</v>
      </c>
      <c r="E368" s="69" t="s">
        <v>714</v>
      </c>
      <c r="F368" s="69" t="s">
        <v>41</v>
      </c>
      <c r="G368" s="69" t="s">
        <v>42</v>
      </c>
      <c r="H368" s="149"/>
      <c r="I368" s="9"/>
      <c r="J368" s="9"/>
      <c r="K368" s="9"/>
      <c r="L368" s="9"/>
      <c r="M368" s="9"/>
      <c r="N368" s="9"/>
      <c r="O368" s="9"/>
    </row>
    <row r="369" ht="22.5" customHeight="1">
      <c r="A369" s="49"/>
      <c r="C369" s="192">
        <v>46050.0</v>
      </c>
      <c r="D369" s="195">
        <v>85000.0</v>
      </c>
      <c r="E369" s="69" t="s">
        <v>716</v>
      </c>
      <c r="F369" s="69" t="s">
        <v>41</v>
      </c>
      <c r="G369" s="69" t="s">
        <v>42</v>
      </c>
      <c r="H369" s="149"/>
      <c r="I369" s="9"/>
      <c r="J369" s="9"/>
      <c r="K369" s="9"/>
      <c r="L369" s="9"/>
      <c r="M369" s="9"/>
      <c r="N369" s="9"/>
      <c r="O369" s="9"/>
    </row>
    <row r="370" ht="22.5" customHeight="1">
      <c r="A370" s="49"/>
      <c r="C370" s="192">
        <v>46051.0</v>
      </c>
      <c r="D370" s="195">
        <v>210000.0</v>
      </c>
      <c r="E370" s="69" t="s">
        <v>211</v>
      </c>
      <c r="F370" s="69" t="s">
        <v>41</v>
      </c>
      <c r="G370" s="69" t="s">
        <v>42</v>
      </c>
      <c r="H370" s="149"/>
      <c r="I370" s="9"/>
      <c r="J370" s="9"/>
      <c r="K370" s="9"/>
      <c r="L370" s="9"/>
      <c r="M370" s="9"/>
      <c r="N370" s="9"/>
      <c r="O370" s="9"/>
    </row>
    <row r="371" ht="22.5" customHeight="1">
      <c r="A371" s="49"/>
      <c r="C371" s="192">
        <v>46051.0</v>
      </c>
      <c r="D371" s="195">
        <v>20000.0</v>
      </c>
      <c r="E371" s="69" t="s">
        <v>608</v>
      </c>
      <c r="F371" s="69" t="s">
        <v>41</v>
      </c>
      <c r="G371" s="69" t="s">
        <v>42</v>
      </c>
      <c r="H371" s="149"/>
      <c r="I371" s="9"/>
      <c r="J371" s="9"/>
      <c r="K371" s="9"/>
      <c r="L371" s="9"/>
      <c r="M371" s="9"/>
      <c r="N371" s="9"/>
      <c r="O371" s="9"/>
    </row>
    <row r="372" ht="22.5" customHeight="1">
      <c r="A372" s="49"/>
      <c r="C372" s="192">
        <v>46051.0</v>
      </c>
      <c r="D372" s="195">
        <v>70000.0</v>
      </c>
      <c r="E372" s="69" t="s">
        <v>720</v>
      </c>
      <c r="F372" s="69" t="s">
        <v>41</v>
      </c>
      <c r="G372" s="69" t="s">
        <v>42</v>
      </c>
      <c r="H372" s="149"/>
      <c r="I372" s="9"/>
      <c r="J372" s="9"/>
      <c r="K372" s="9"/>
      <c r="L372" s="9"/>
      <c r="M372" s="9"/>
      <c r="N372" s="9"/>
      <c r="O372" s="9"/>
    </row>
    <row r="373" ht="22.5" customHeight="1">
      <c r="A373" s="49"/>
      <c r="C373" s="192">
        <v>46051.0</v>
      </c>
      <c r="D373" s="195">
        <v>150000.0</v>
      </c>
      <c r="E373" s="69" t="s">
        <v>721</v>
      </c>
      <c r="F373" s="69" t="s">
        <v>41</v>
      </c>
      <c r="G373" s="69" t="s">
        <v>42</v>
      </c>
      <c r="H373" s="149"/>
      <c r="I373" s="9"/>
      <c r="J373" s="9"/>
      <c r="K373" s="9"/>
      <c r="L373" s="9"/>
      <c r="M373" s="9"/>
      <c r="N373" s="9"/>
      <c r="O373" s="9"/>
    </row>
    <row r="374" ht="22.5" customHeight="1">
      <c r="A374" s="49"/>
      <c r="C374" s="192">
        <v>46053.0</v>
      </c>
      <c r="D374" s="195">
        <v>4100000.0</v>
      </c>
      <c r="E374" s="69" t="s">
        <v>179</v>
      </c>
      <c r="F374" s="69" t="s">
        <v>45</v>
      </c>
      <c r="G374" s="69" t="s">
        <v>87</v>
      </c>
      <c r="H374" s="149"/>
      <c r="I374" s="9"/>
      <c r="J374" s="9"/>
      <c r="K374" s="9"/>
      <c r="L374" s="9"/>
      <c r="M374" s="9"/>
      <c r="N374" s="9"/>
      <c r="O374" s="9"/>
    </row>
    <row r="375" ht="22.5" customHeight="1">
      <c r="A375" s="49"/>
      <c r="C375" s="192">
        <v>46053.0</v>
      </c>
      <c r="D375" s="195">
        <v>60000.0</v>
      </c>
      <c r="E375" s="69" t="s">
        <v>367</v>
      </c>
      <c r="F375" s="69" t="s">
        <v>41</v>
      </c>
      <c r="G375" s="69" t="s">
        <v>42</v>
      </c>
      <c r="H375" s="149"/>
      <c r="I375" s="9"/>
      <c r="J375" s="9"/>
      <c r="K375" s="9"/>
      <c r="L375" s="9"/>
      <c r="M375" s="9"/>
      <c r="N375" s="9"/>
      <c r="O375" s="9"/>
    </row>
    <row r="376" ht="22.5" customHeight="1">
      <c r="A376" s="49"/>
      <c r="C376" s="192">
        <v>46053.0</v>
      </c>
      <c r="D376" s="195">
        <v>17000.0</v>
      </c>
      <c r="E376" s="69" t="s">
        <v>726</v>
      </c>
      <c r="F376" s="69" t="s">
        <v>41</v>
      </c>
      <c r="G376" s="69" t="s">
        <v>42</v>
      </c>
      <c r="H376" s="149"/>
      <c r="I376" s="9"/>
      <c r="J376" s="9"/>
      <c r="K376" s="9"/>
      <c r="L376" s="9"/>
      <c r="M376" s="9"/>
      <c r="N376" s="9"/>
      <c r="O376" s="9"/>
    </row>
    <row r="377" ht="22.5" customHeight="1">
      <c r="A377" s="49"/>
      <c r="C377" s="192">
        <v>46054.0</v>
      </c>
      <c r="D377" s="195">
        <v>50000.0</v>
      </c>
      <c r="E377" s="69" t="s">
        <v>729</v>
      </c>
      <c r="F377" s="69" t="s">
        <v>41</v>
      </c>
      <c r="G377" s="69" t="s">
        <v>42</v>
      </c>
      <c r="H377" s="149"/>
      <c r="I377" s="9"/>
      <c r="J377" s="9"/>
      <c r="K377" s="9"/>
      <c r="L377" s="9"/>
      <c r="M377" s="9"/>
      <c r="N377" s="9"/>
      <c r="O377" s="9"/>
    </row>
    <row r="378" ht="22.5" customHeight="1">
      <c r="A378" s="49"/>
      <c r="C378" s="192">
        <v>46054.0</v>
      </c>
      <c r="D378" s="195">
        <v>240000.0</v>
      </c>
      <c r="E378" s="69" t="s">
        <v>435</v>
      </c>
      <c r="F378" s="69" t="s">
        <v>41</v>
      </c>
      <c r="G378" s="69" t="s">
        <v>42</v>
      </c>
      <c r="H378" s="149"/>
      <c r="I378" s="9"/>
      <c r="J378" s="9"/>
      <c r="K378" s="9"/>
      <c r="L378" s="9"/>
      <c r="M378" s="9"/>
      <c r="N378" s="9"/>
      <c r="O378" s="9"/>
    </row>
    <row r="379" ht="22.5" customHeight="1">
      <c r="A379" s="49"/>
      <c r="C379" s="192">
        <v>46054.0</v>
      </c>
      <c r="D379" s="195">
        <v>40000.0</v>
      </c>
      <c r="E379" s="69" t="s">
        <v>337</v>
      </c>
      <c r="F379" s="69" t="s">
        <v>41</v>
      </c>
      <c r="G379" s="69" t="s">
        <v>42</v>
      </c>
      <c r="H379" s="149"/>
      <c r="I379" s="9"/>
      <c r="J379" s="9"/>
      <c r="K379" s="9"/>
      <c r="L379" s="9"/>
      <c r="M379" s="9"/>
      <c r="N379" s="9"/>
      <c r="O379" s="9"/>
    </row>
    <row r="380" ht="22.5" customHeight="1">
      <c r="A380" s="49"/>
      <c r="C380" s="192">
        <v>46054.0</v>
      </c>
      <c r="D380" s="195">
        <v>320000.0</v>
      </c>
      <c r="E380" s="69" t="s">
        <v>732</v>
      </c>
      <c r="F380" s="69" t="s">
        <v>45</v>
      </c>
      <c r="G380" s="69" t="s">
        <v>87</v>
      </c>
      <c r="H380" s="149"/>
      <c r="I380" s="9"/>
      <c r="J380" s="9"/>
      <c r="K380" s="9"/>
      <c r="L380" s="9"/>
      <c r="M380" s="9"/>
      <c r="N380" s="9"/>
      <c r="O380" s="9"/>
    </row>
    <row r="381" ht="22.5" customHeight="1">
      <c r="A381" s="49"/>
      <c r="C381" s="192">
        <v>46055.0</v>
      </c>
      <c r="D381" s="195">
        <v>275000.0</v>
      </c>
      <c r="E381" s="69" t="s">
        <v>733</v>
      </c>
      <c r="F381" s="69" t="s">
        <v>41</v>
      </c>
      <c r="G381" s="69" t="s">
        <v>87</v>
      </c>
      <c r="H381" s="149"/>
      <c r="I381" s="9"/>
      <c r="J381" s="9"/>
      <c r="K381" s="9"/>
      <c r="L381" s="9"/>
      <c r="M381" s="9"/>
      <c r="N381" s="9"/>
      <c r="O381" s="9"/>
    </row>
    <row r="382" ht="22.5" customHeight="1">
      <c r="A382" s="49"/>
      <c r="C382" s="192">
        <v>46055.0</v>
      </c>
      <c r="D382" s="195">
        <v>295000.0</v>
      </c>
      <c r="E382" s="69" t="s">
        <v>736</v>
      </c>
      <c r="F382" s="69" t="s">
        <v>41</v>
      </c>
      <c r="G382" s="69" t="s">
        <v>42</v>
      </c>
      <c r="H382" s="149"/>
      <c r="I382" s="9"/>
      <c r="J382" s="9"/>
      <c r="K382" s="9"/>
      <c r="L382" s="9"/>
      <c r="M382" s="9"/>
      <c r="N382" s="9"/>
      <c r="O382" s="9"/>
    </row>
    <row r="383" ht="22.5" customHeight="1">
      <c r="A383" s="49"/>
      <c r="C383" s="192">
        <v>46055.0</v>
      </c>
      <c r="D383" s="195">
        <v>20000.0</v>
      </c>
      <c r="E383" s="69" t="s">
        <v>404</v>
      </c>
      <c r="F383" s="69" t="s">
        <v>41</v>
      </c>
      <c r="G383" s="69" t="s">
        <v>42</v>
      </c>
      <c r="H383" s="149"/>
      <c r="I383" s="9"/>
      <c r="J383" s="9"/>
      <c r="K383" s="9"/>
      <c r="L383" s="9"/>
      <c r="M383" s="9"/>
      <c r="N383" s="9"/>
      <c r="O383" s="9"/>
    </row>
    <row r="384" ht="22.5" customHeight="1">
      <c r="A384" s="49"/>
      <c r="C384" s="192">
        <v>46055.0</v>
      </c>
      <c r="D384" s="195">
        <v>20000.0</v>
      </c>
      <c r="E384" s="69" t="s">
        <v>195</v>
      </c>
      <c r="F384" s="69" t="s">
        <v>41</v>
      </c>
      <c r="G384" s="69" t="s">
        <v>42</v>
      </c>
      <c r="H384" s="149"/>
      <c r="I384" s="9"/>
      <c r="J384" s="9"/>
      <c r="K384" s="9"/>
      <c r="L384" s="9"/>
      <c r="M384" s="9"/>
      <c r="N384" s="9"/>
      <c r="O384" s="9"/>
    </row>
    <row r="385" ht="22.5" customHeight="1">
      <c r="A385" s="49"/>
      <c r="C385" s="192">
        <v>46055.0</v>
      </c>
      <c r="D385" s="195">
        <v>50000.0</v>
      </c>
      <c r="E385" s="69" t="s">
        <v>395</v>
      </c>
      <c r="F385" s="69" t="s">
        <v>41</v>
      </c>
      <c r="G385" s="69" t="s">
        <v>42</v>
      </c>
      <c r="H385" s="149"/>
      <c r="I385" s="9"/>
      <c r="J385" s="9"/>
      <c r="K385" s="9"/>
      <c r="L385" s="9"/>
      <c r="M385" s="9"/>
      <c r="N385" s="9"/>
      <c r="O385" s="9"/>
    </row>
    <row r="386" ht="22.5" customHeight="1">
      <c r="A386" s="49"/>
      <c r="C386" s="192">
        <v>46055.0</v>
      </c>
      <c r="D386" s="195">
        <v>40000.0</v>
      </c>
      <c r="E386" s="69" t="s">
        <v>338</v>
      </c>
      <c r="F386" s="69" t="s">
        <v>41</v>
      </c>
      <c r="G386" s="69" t="s">
        <v>42</v>
      </c>
      <c r="H386" s="149"/>
      <c r="I386" s="9"/>
      <c r="J386" s="9"/>
      <c r="K386" s="9"/>
      <c r="L386" s="9"/>
      <c r="M386" s="9"/>
      <c r="N386" s="9"/>
      <c r="O386" s="9"/>
    </row>
    <row r="387" ht="22.5" customHeight="1">
      <c r="A387" s="49"/>
      <c r="C387" s="192">
        <v>46056.0</v>
      </c>
      <c r="D387" s="195">
        <v>1003000.0</v>
      </c>
      <c r="E387" s="69" t="s">
        <v>739</v>
      </c>
      <c r="F387" s="69" t="s">
        <v>45</v>
      </c>
      <c r="G387" s="69" t="s">
        <v>87</v>
      </c>
      <c r="H387" s="149"/>
      <c r="I387" s="9"/>
      <c r="J387" s="9"/>
      <c r="K387" s="9"/>
      <c r="L387" s="9"/>
      <c r="M387" s="9"/>
      <c r="N387" s="9"/>
      <c r="O387" s="9"/>
    </row>
    <row r="388" ht="22.5" customHeight="1">
      <c r="A388" s="49"/>
      <c r="C388" s="192">
        <v>46056.0</v>
      </c>
      <c r="D388" s="195">
        <v>195000.0</v>
      </c>
      <c r="E388" s="69" t="s">
        <v>175</v>
      </c>
      <c r="F388" s="69" t="s">
        <v>41</v>
      </c>
      <c r="G388" s="69" t="s">
        <v>42</v>
      </c>
      <c r="H388" s="149"/>
      <c r="I388" s="9"/>
      <c r="J388" s="9"/>
      <c r="K388" s="9"/>
      <c r="L388" s="9"/>
      <c r="M388" s="9"/>
      <c r="N388" s="9"/>
      <c r="O388" s="9"/>
    </row>
    <row r="389" ht="22.5" customHeight="1">
      <c r="A389" s="49"/>
      <c r="C389" s="192">
        <v>46056.0</v>
      </c>
      <c r="D389" s="195">
        <v>20000.0</v>
      </c>
      <c r="E389" s="69" t="s">
        <v>608</v>
      </c>
      <c r="F389" s="69" t="s">
        <v>45</v>
      </c>
      <c r="G389" s="69" t="s">
        <v>42</v>
      </c>
      <c r="H389" s="149"/>
      <c r="I389" s="9"/>
      <c r="J389" s="9"/>
      <c r="K389" s="9"/>
      <c r="L389" s="9"/>
      <c r="M389" s="9"/>
      <c r="N389" s="9"/>
      <c r="O389" s="9"/>
    </row>
    <row r="390" ht="22.5" customHeight="1">
      <c r="A390" s="49"/>
      <c r="C390" s="192">
        <v>46056.0</v>
      </c>
      <c r="D390" s="195">
        <v>100000.0</v>
      </c>
      <c r="E390" s="69" t="s">
        <v>743</v>
      </c>
      <c r="F390" s="69" t="s">
        <v>41</v>
      </c>
      <c r="G390" s="69" t="s">
        <v>42</v>
      </c>
      <c r="H390" s="149"/>
      <c r="I390" s="9"/>
      <c r="J390" s="9"/>
      <c r="K390" s="9"/>
      <c r="L390" s="9"/>
      <c r="M390" s="9"/>
      <c r="N390" s="9"/>
      <c r="O390" s="9"/>
    </row>
    <row r="391" ht="22.5" customHeight="1">
      <c r="A391" s="49"/>
      <c r="C391" s="192">
        <v>46057.0</v>
      </c>
      <c r="D391" s="195">
        <v>50000.0</v>
      </c>
      <c r="E391" s="69" t="s">
        <v>578</v>
      </c>
      <c r="F391" s="69" t="s">
        <v>41</v>
      </c>
      <c r="G391" s="69" t="s">
        <v>42</v>
      </c>
      <c r="H391" s="149"/>
      <c r="I391" s="9"/>
      <c r="J391" s="9"/>
      <c r="K391" s="9"/>
      <c r="L391" s="9"/>
      <c r="M391" s="9"/>
      <c r="N391" s="9"/>
      <c r="O391" s="9"/>
    </row>
    <row r="392" ht="22.5" customHeight="1">
      <c r="A392" s="49"/>
      <c r="C392" s="192">
        <v>46057.0</v>
      </c>
      <c r="D392" s="195">
        <v>10000.0</v>
      </c>
      <c r="E392" s="69" t="s">
        <v>745</v>
      </c>
      <c r="F392" s="69" t="s">
        <v>41</v>
      </c>
      <c r="G392" s="69" t="s">
        <v>42</v>
      </c>
      <c r="H392" s="149"/>
      <c r="I392" s="9"/>
      <c r="J392" s="9"/>
      <c r="K392" s="9"/>
      <c r="L392" s="9"/>
      <c r="M392" s="9"/>
      <c r="N392" s="9"/>
      <c r="O392" s="9"/>
    </row>
    <row r="393" ht="22.5" customHeight="1">
      <c r="A393" s="49"/>
      <c r="C393" s="192">
        <v>46058.0</v>
      </c>
      <c r="D393" s="195">
        <v>2000247.0</v>
      </c>
      <c r="E393" s="69" t="s">
        <v>226</v>
      </c>
      <c r="F393" s="69" t="s">
        <v>45</v>
      </c>
      <c r="G393" s="69" t="s">
        <v>87</v>
      </c>
      <c r="H393" s="149"/>
      <c r="I393" s="9"/>
      <c r="J393" s="9"/>
      <c r="K393" s="9"/>
      <c r="L393" s="9"/>
      <c r="M393" s="9"/>
      <c r="N393" s="9"/>
      <c r="O393" s="9"/>
    </row>
    <row r="394" ht="22.5" customHeight="1">
      <c r="A394" s="49"/>
      <c r="C394" s="192">
        <v>46058.0</v>
      </c>
      <c r="D394" s="195">
        <v>50000.0</v>
      </c>
      <c r="E394" s="69" t="s">
        <v>395</v>
      </c>
      <c r="F394" s="69" t="s">
        <v>41</v>
      </c>
      <c r="G394" s="69" t="s">
        <v>42</v>
      </c>
      <c r="H394" s="149"/>
      <c r="I394" s="9"/>
      <c r="J394" s="9"/>
      <c r="K394" s="9"/>
      <c r="L394" s="9"/>
      <c r="M394" s="9"/>
      <c r="N394" s="9"/>
      <c r="O394" s="9"/>
    </row>
    <row r="395" ht="22.5" customHeight="1">
      <c r="A395" s="49"/>
      <c r="C395" s="192">
        <v>46058.0</v>
      </c>
      <c r="D395" s="195">
        <v>20000.0</v>
      </c>
      <c r="E395" s="69" t="s">
        <v>347</v>
      </c>
      <c r="F395" s="69" t="s">
        <v>41</v>
      </c>
      <c r="G395" s="69" t="s">
        <v>42</v>
      </c>
      <c r="H395" s="149"/>
      <c r="I395" s="9"/>
      <c r="J395" s="9"/>
      <c r="K395" s="9"/>
      <c r="L395" s="9"/>
      <c r="M395" s="9"/>
      <c r="N395" s="9"/>
      <c r="O395" s="9"/>
    </row>
    <row r="396" ht="22.5" customHeight="1">
      <c r="A396" s="49"/>
      <c r="C396" s="192">
        <v>46058.0</v>
      </c>
      <c r="D396" s="195">
        <v>190000.0</v>
      </c>
      <c r="E396" s="69" t="s">
        <v>211</v>
      </c>
      <c r="F396" s="69" t="s">
        <v>41</v>
      </c>
      <c r="G396" s="69" t="s">
        <v>42</v>
      </c>
      <c r="H396" s="99"/>
      <c r="I396" s="9"/>
      <c r="J396" s="9"/>
      <c r="K396" s="9"/>
      <c r="L396" s="9"/>
      <c r="M396" s="9"/>
      <c r="N396" s="9"/>
      <c r="O396" s="9"/>
    </row>
    <row r="397" ht="22.5" customHeight="1">
      <c r="A397" s="49"/>
      <c r="C397" s="192">
        <v>46059.0</v>
      </c>
      <c r="D397" s="195">
        <v>52500.0</v>
      </c>
      <c r="E397" s="69" t="s">
        <v>750</v>
      </c>
      <c r="F397" s="69" t="s">
        <v>41</v>
      </c>
      <c r="G397" s="69" t="s">
        <v>42</v>
      </c>
      <c r="H397" s="99"/>
      <c r="I397" s="9"/>
      <c r="J397" s="9"/>
      <c r="K397" s="9"/>
      <c r="L397" s="9"/>
      <c r="M397" s="9"/>
      <c r="N397" s="9"/>
      <c r="O397" s="9"/>
    </row>
    <row r="398" ht="22.5" customHeight="1">
      <c r="A398" s="49"/>
      <c r="C398" s="192">
        <v>46059.0</v>
      </c>
      <c r="D398" s="195">
        <v>90000.0</v>
      </c>
      <c r="E398" s="69" t="s">
        <v>215</v>
      </c>
      <c r="F398" s="69" t="s">
        <v>41</v>
      </c>
      <c r="G398" s="69" t="s">
        <v>42</v>
      </c>
      <c r="H398" s="99"/>
      <c r="I398" s="9"/>
      <c r="J398" s="9"/>
      <c r="K398" s="9"/>
      <c r="L398" s="9"/>
      <c r="M398" s="9"/>
      <c r="N398" s="9"/>
      <c r="O398" s="9"/>
    </row>
    <row r="399" ht="22.5" customHeight="1">
      <c r="A399" s="49"/>
      <c r="C399" s="192">
        <v>46059.0</v>
      </c>
      <c r="D399" s="195">
        <v>20000.0</v>
      </c>
      <c r="E399" s="69" t="s">
        <v>338</v>
      </c>
      <c r="F399" s="69" t="s">
        <v>41</v>
      </c>
      <c r="G399" s="69" t="s">
        <v>42</v>
      </c>
      <c r="H399" s="99"/>
      <c r="I399" s="9"/>
      <c r="J399" s="9"/>
      <c r="K399" s="9"/>
      <c r="L399" s="9"/>
      <c r="M399" s="9"/>
      <c r="N399" s="9"/>
      <c r="O399" s="9"/>
    </row>
    <row r="400" ht="22.5" customHeight="1">
      <c r="A400" s="49"/>
      <c r="C400" s="192">
        <v>46059.0</v>
      </c>
      <c r="D400" s="195">
        <v>143000.0</v>
      </c>
      <c r="E400" s="69" t="s">
        <v>752</v>
      </c>
      <c r="F400" s="69" t="s">
        <v>41</v>
      </c>
      <c r="G400" s="69" t="s">
        <v>42</v>
      </c>
      <c r="H400" s="99"/>
      <c r="I400" s="9"/>
      <c r="J400" s="9"/>
      <c r="K400" s="9"/>
      <c r="L400" s="9"/>
      <c r="M400" s="9"/>
      <c r="N400" s="9"/>
      <c r="O400" s="9"/>
    </row>
    <row r="401" ht="22.5" customHeight="1">
      <c r="A401" s="49"/>
      <c r="C401" s="192">
        <v>46060.0</v>
      </c>
      <c r="D401" s="195">
        <v>30000.0</v>
      </c>
      <c r="E401" s="69" t="s">
        <v>756</v>
      </c>
      <c r="F401" s="69" t="s">
        <v>41</v>
      </c>
      <c r="G401" s="69" t="s">
        <v>42</v>
      </c>
      <c r="H401" s="99"/>
      <c r="I401" s="9"/>
      <c r="J401" s="9"/>
      <c r="K401" s="9"/>
      <c r="L401" s="9"/>
      <c r="M401" s="9"/>
      <c r="N401" s="9"/>
      <c r="O401" s="9"/>
    </row>
    <row r="402" ht="22.5" customHeight="1">
      <c r="A402" s="49"/>
      <c r="C402" s="192">
        <v>46060.0</v>
      </c>
      <c r="D402" s="195">
        <v>10000.0</v>
      </c>
      <c r="E402" s="69" t="s">
        <v>221</v>
      </c>
      <c r="F402" s="69" t="s">
        <v>41</v>
      </c>
      <c r="G402" s="69" t="s">
        <v>42</v>
      </c>
      <c r="H402" s="99"/>
      <c r="I402" s="9"/>
      <c r="J402" s="9"/>
      <c r="K402" s="9"/>
      <c r="L402" s="9"/>
      <c r="M402" s="9"/>
      <c r="N402" s="9"/>
      <c r="O402" s="9"/>
    </row>
    <row r="403" ht="22.5" customHeight="1">
      <c r="A403" s="49"/>
      <c r="C403" s="192">
        <v>46060.0</v>
      </c>
      <c r="D403" s="195">
        <v>50000.0</v>
      </c>
      <c r="E403" s="69" t="s">
        <v>338</v>
      </c>
      <c r="F403" s="69" t="s">
        <v>41</v>
      </c>
      <c r="G403" s="69" t="s">
        <v>42</v>
      </c>
      <c r="H403" s="99"/>
      <c r="I403" s="9"/>
      <c r="J403" s="9"/>
      <c r="K403" s="9"/>
      <c r="L403" s="9"/>
      <c r="M403" s="9"/>
      <c r="N403" s="9"/>
      <c r="O403" s="9"/>
    </row>
    <row r="404" ht="22.5" customHeight="1">
      <c r="A404" s="49"/>
      <c r="C404" s="233">
        <v>46060.0</v>
      </c>
      <c r="D404" s="234">
        <v>4100000.0</v>
      </c>
      <c r="E404" s="268" t="s">
        <v>179</v>
      </c>
      <c r="F404" s="235" t="s">
        <v>45</v>
      </c>
      <c r="G404" s="235" t="s">
        <v>758</v>
      </c>
      <c r="H404" s="99"/>
      <c r="I404" s="9"/>
      <c r="J404" s="9"/>
      <c r="K404" s="9"/>
      <c r="L404" s="9"/>
      <c r="M404" s="9"/>
      <c r="N404" s="9"/>
      <c r="O404" s="9"/>
    </row>
    <row r="405" ht="22.5" customHeight="1">
      <c r="A405" s="49"/>
      <c r="C405" s="233">
        <v>46061.0</v>
      </c>
      <c r="D405" s="264">
        <v>270000.0</v>
      </c>
      <c r="E405" s="268" t="s">
        <v>732</v>
      </c>
      <c r="F405" s="235" t="s">
        <v>45</v>
      </c>
      <c r="G405" s="235" t="s">
        <v>87</v>
      </c>
      <c r="H405" s="99"/>
      <c r="I405" s="9"/>
      <c r="J405" s="9"/>
      <c r="K405" s="9"/>
      <c r="L405" s="9"/>
      <c r="M405" s="9"/>
      <c r="N405" s="9"/>
      <c r="O405" s="9"/>
    </row>
    <row r="406" ht="22.5" customHeight="1">
      <c r="A406" s="49"/>
      <c r="C406" s="192">
        <v>46062.0</v>
      </c>
      <c r="D406" s="195">
        <v>195000.0</v>
      </c>
      <c r="E406" s="69" t="s">
        <v>762</v>
      </c>
      <c r="F406" s="69" t="s">
        <v>41</v>
      </c>
      <c r="G406" s="69" t="s">
        <v>42</v>
      </c>
      <c r="H406" s="99"/>
      <c r="I406" s="9"/>
      <c r="J406" s="9"/>
      <c r="K406" s="9"/>
      <c r="L406" s="9"/>
      <c r="M406" s="9"/>
      <c r="N406" s="9"/>
      <c r="O406" s="9"/>
    </row>
    <row r="407" ht="22.5" customHeight="1">
      <c r="A407" s="49"/>
      <c r="C407" s="192">
        <v>46062.0</v>
      </c>
      <c r="D407" s="195">
        <v>40000.0</v>
      </c>
      <c r="E407" s="69" t="s">
        <v>763</v>
      </c>
      <c r="F407" s="69" t="s">
        <v>41</v>
      </c>
      <c r="G407" s="69" t="s">
        <v>42</v>
      </c>
      <c r="H407" s="99"/>
      <c r="I407" s="9"/>
      <c r="J407" s="9"/>
      <c r="K407" s="9"/>
      <c r="L407" s="9"/>
      <c r="M407" s="9"/>
      <c r="N407" s="9"/>
      <c r="O407" s="9"/>
    </row>
    <row r="408" ht="22.5" customHeight="1">
      <c r="A408" s="49"/>
      <c r="C408" s="192">
        <v>46062.0</v>
      </c>
      <c r="D408" s="195">
        <v>100000.0</v>
      </c>
      <c r="E408" s="69" t="s">
        <v>662</v>
      </c>
      <c r="F408" s="69" t="s">
        <v>41</v>
      </c>
      <c r="G408" s="69" t="s">
        <v>42</v>
      </c>
      <c r="H408" s="99"/>
      <c r="I408" s="9"/>
      <c r="J408" s="9"/>
      <c r="K408" s="9"/>
      <c r="L408" s="9"/>
      <c r="M408" s="9"/>
      <c r="N408" s="9"/>
      <c r="O408" s="9"/>
    </row>
    <row r="409" ht="22.5" customHeight="1">
      <c r="A409" s="49"/>
      <c r="C409" s="192">
        <v>46062.0</v>
      </c>
      <c r="D409" s="195">
        <v>40000.0</v>
      </c>
      <c r="E409" s="69" t="s">
        <v>175</v>
      </c>
      <c r="F409" s="69" t="s">
        <v>41</v>
      </c>
      <c r="G409" s="69" t="s">
        <v>42</v>
      </c>
      <c r="H409" s="99"/>
      <c r="I409" s="9"/>
      <c r="J409" s="9"/>
      <c r="K409" s="9"/>
      <c r="L409" s="9"/>
      <c r="M409" s="9"/>
      <c r="N409" s="9"/>
      <c r="O409" s="9"/>
    </row>
    <row r="410" ht="22.5" customHeight="1">
      <c r="A410" s="49"/>
      <c r="C410" s="192">
        <v>46062.0</v>
      </c>
      <c r="D410" s="195">
        <v>100000.0</v>
      </c>
      <c r="E410" s="69" t="s">
        <v>766</v>
      </c>
      <c r="F410" s="69" t="s">
        <v>41</v>
      </c>
      <c r="G410" s="69" t="s">
        <v>42</v>
      </c>
      <c r="H410" s="99"/>
      <c r="I410" s="9"/>
      <c r="J410" s="9"/>
      <c r="K410" s="9"/>
      <c r="L410" s="9"/>
      <c r="M410" s="9"/>
      <c r="N410" s="9"/>
      <c r="O410" s="9"/>
    </row>
    <row r="411" ht="22.5" customHeight="1">
      <c r="A411" s="49"/>
      <c r="C411" s="192">
        <v>46062.0</v>
      </c>
      <c r="D411" s="195">
        <v>495000.0</v>
      </c>
      <c r="E411" s="69" t="s">
        <v>769</v>
      </c>
      <c r="F411" s="69" t="s">
        <v>45</v>
      </c>
      <c r="G411" s="69" t="s">
        <v>87</v>
      </c>
      <c r="H411" s="99"/>
      <c r="I411" s="9"/>
      <c r="J411" s="9"/>
      <c r="K411" s="9"/>
      <c r="L411" s="9"/>
      <c r="M411" s="9"/>
      <c r="N411" s="9"/>
      <c r="O411" s="9"/>
    </row>
    <row r="412" ht="22.5" customHeight="1">
      <c r="A412" s="49"/>
      <c r="C412" s="233">
        <v>46063.0</v>
      </c>
      <c r="D412" s="264">
        <v>1.2E7</v>
      </c>
      <c r="E412" s="235" t="s">
        <v>358</v>
      </c>
      <c r="F412" s="235" t="s">
        <v>41</v>
      </c>
      <c r="G412" s="235" t="s">
        <v>87</v>
      </c>
      <c r="H412" s="99"/>
      <c r="I412" s="9"/>
      <c r="J412" s="9"/>
      <c r="K412" s="9"/>
      <c r="L412" s="9"/>
      <c r="M412" s="9"/>
      <c r="N412" s="9"/>
      <c r="O412" s="9"/>
    </row>
    <row r="413" ht="22.5" customHeight="1">
      <c r="A413" s="49"/>
      <c r="C413" s="241">
        <v>46063.0</v>
      </c>
      <c r="D413" s="186">
        <v>1.65E7</v>
      </c>
      <c r="E413" s="242" t="s">
        <v>420</v>
      </c>
      <c r="F413" s="242" t="s">
        <v>41</v>
      </c>
      <c r="G413" s="242" t="s">
        <v>87</v>
      </c>
      <c r="H413" s="99"/>
      <c r="I413" s="9"/>
      <c r="J413" s="9"/>
      <c r="K413" s="9"/>
      <c r="L413" s="9"/>
      <c r="M413" s="9"/>
      <c r="N413" s="9"/>
      <c r="O413" s="9"/>
    </row>
    <row r="414" ht="22.5" customHeight="1">
      <c r="A414" s="49"/>
      <c r="C414" s="192">
        <v>46063.0</v>
      </c>
      <c r="D414" s="195">
        <v>100000.0</v>
      </c>
      <c r="E414" s="69" t="s">
        <v>772</v>
      </c>
      <c r="F414" s="69" t="s">
        <v>41</v>
      </c>
      <c r="G414" s="69" t="s">
        <v>42</v>
      </c>
      <c r="H414" s="99"/>
      <c r="I414" s="9"/>
      <c r="J414" s="9"/>
      <c r="K414" s="9"/>
      <c r="L414" s="9"/>
      <c r="M414" s="9"/>
      <c r="N414" s="9"/>
      <c r="O414" s="9"/>
    </row>
    <row r="415" ht="22.5" customHeight="1">
      <c r="A415" s="49"/>
      <c r="C415" s="192">
        <v>46063.0</v>
      </c>
      <c r="D415" s="195">
        <v>30000.0</v>
      </c>
      <c r="E415" s="69" t="s">
        <v>175</v>
      </c>
      <c r="F415" s="69" t="s">
        <v>41</v>
      </c>
      <c r="G415" s="69" t="s">
        <v>42</v>
      </c>
      <c r="H415" s="99"/>
      <c r="I415" s="9"/>
      <c r="J415" s="9"/>
      <c r="K415" s="9"/>
      <c r="L415" s="9"/>
      <c r="M415" s="9"/>
      <c r="N415" s="9"/>
      <c r="O415" s="9"/>
    </row>
    <row r="416" ht="22.5" customHeight="1">
      <c r="A416" s="49"/>
      <c r="C416" s="192">
        <v>46063.0</v>
      </c>
      <c r="D416" s="195">
        <v>50000.0</v>
      </c>
      <c r="E416" s="69" t="s">
        <v>773</v>
      </c>
      <c r="F416" s="69" t="s">
        <v>41</v>
      </c>
      <c r="G416" s="69" t="s">
        <v>42</v>
      </c>
      <c r="H416" s="99"/>
      <c r="I416" s="9"/>
      <c r="J416" s="9"/>
      <c r="K416" s="9"/>
      <c r="L416" s="9"/>
      <c r="M416" s="9"/>
      <c r="N416" s="9"/>
      <c r="O416" s="9"/>
    </row>
    <row r="417" ht="22.5" customHeight="1">
      <c r="A417" s="49"/>
      <c r="C417" s="192">
        <v>46064.0</v>
      </c>
      <c r="D417" s="195">
        <v>200000.0</v>
      </c>
      <c r="E417" s="69" t="s">
        <v>776</v>
      </c>
      <c r="F417" s="69" t="s">
        <v>41</v>
      </c>
      <c r="G417" s="69" t="s">
        <v>42</v>
      </c>
      <c r="H417" s="99"/>
      <c r="I417" s="9"/>
      <c r="J417" s="9"/>
      <c r="K417" s="9"/>
      <c r="L417" s="9"/>
      <c r="M417" s="9"/>
      <c r="N417" s="9"/>
      <c r="O417" s="9"/>
    </row>
    <row r="418" ht="22.5" customHeight="1">
      <c r="A418" s="49"/>
      <c r="C418" s="192">
        <v>46064.0</v>
      </c>
      <c r="D418" s="195">
        <v>15000.0</v>
      </c>
      <c r="E418" s="69" t="s">
        <v>356</v>
      </c>
      <c r="F418" s="69" t="s">
        <v>41</v>
      </c>
      <c r="G418" s="69" t="s">
        <v>42</v>
      </c>
      <c r="H418" s="99"/>
      <c r="I418" s="9"/>
      <c r="J418" s="9"/>
      <c r="K418" s="9"/>
      <c r="L418" s="9"/>
      <c r="M418" s="9"/>
      <c r="N418" s="9"/>
      <c r="O418" s="9"/>
    </row>
    <row r="419" ht="22.5" customHeight="1">
      <c r="A419" s="49"/>
      <c r="C419" s="192">
        <v>46065.0</v>
      </c>
      <c r="D419" s="195">
        <v>20000.0</v>
      </c>
      <c r="E419" s="69" t="s">
        <v>195</v>
      </c>
      <c r="F419" s="69" t="s">
        <v>41</v>
      </c>
      <c r="G419" s="69" t="s">
        <v>42</v>
      </c>
      <c r="H419" s="99"/>
      <c r="I419" s="9"/>
      <c r="J419" s="9"/>
      <c r="K419" s="9"/>
      <c r="L419" s="9"/>
      <c r="M419" s="9"/>
      <c r="N419" s="9"/>
      <c r="O419" s="9"/>
    </row>
    <row r="420" ht="22.5" customHeight="1">
      <c r="A420" s="49"/>
      <c r="C420" s="192">
        <v>46065.0</v>
      </c>
      <c r="D420" s="195">
        <v>20000.0</v>
      </c>
      <c r="E420" s="69" t="s">
        <v>336</v>
      </c>
      <c r="F420" s="69" t="s">
        <v>41</v>
      </c>
      <c r="G420" s="69" t="s">
        <v>42</v>
      </c>
      <c r="H420" s="99"/>
      <c r="I420" s="9"/>
      <c r="J420" s="9"/>
      <c r="K420" s="9"/>
      <c r="L420" s="9"/>
      <c r="M420" s="9"/>
      <c r="N420" s="9"/>
      <c r="O420" s="9"/>
    </row>
    <row r="421" ht="22.5" customHeight="1">
      <c r="A421" s="49"/>
      <c r="C421" s="192">
        <v>46065.0</v>
      </c>
      <c r="D421" s="195">
        <v>94000.0</v>
      </c>
      <c r="E421" s="69" t="s">
        <v>211</v>
      </c>
      <c r="F421" s="69" t="s">
        <v>41</v>
      </c>
      <c r="G421" s="69" t="s">
        <v>42</v>
      </c>
      <c r="H421" s="99"/>
      <c r="I421" s="9"/>
      <c r="J421" s="9"/>
      <c r="K421" s="9"/>
      <c r="L421" s="9"/>
      <c r="M421" s="9"/>
      <c r="N421" s="9"/>
      <c r="O421" s="9"/>
    </row>
    <row r="422" ht="22.5" customHeight="1">
      <c r="A422" s="49"/>
      <c r="C422" s="192">
        <v>46066.0</v>
      </c>
      <c r="D422" s="195">
        <v>466000.0</v>
      </c>
      <c r="E422" s="69" t="s">
        <v>784</v>
      </c>
      <c r="F422" s="69" t="s">
        <v>41</v>
      </c>
      <c r="G422" s="69" t="s">
        <v>42</v>
      </c>
      <c r="H422" s="99"/>
      <c r="I422" s="9"/>
      <c r="J422" s="9"/>
      <c r="K422" s="9"/>
      <c r="L422" s="9"/>
      <c r="M422" s="9"/>
      <c r="N422" s="9"/>
      <c r="O422" s="9"/>
    </row>
    <row r="423" ht="22.5" customHeight="1">
      <c r="A423" s="49"/>
      <c r="C423" s="192">
        <v>46066.0</v>
      </c>
      <c r="D423" s="195">
        <v>40000.0</v>
      </c>
      <c r="E423" s="69" t="s">
        <v>339</v>
      </c>
      <c r="F423" s="69" t="s">
        <v>41</v>
      </c>
      <c r="G423" s="69" t="s">
        <v>42</v>
      </c>
      <c r="H423" s="99"/>
      <c r="I423" s="9"/>
      <c r="J423" s="9"/>
      <c r="K423" s="9"/>
      <c r="L423" s="9"/>
      <c r="M423" s="9"/>
      <c r="N423" s="9"/>
      <c r="O423" s="9"/>
    </row>
    <row r="424" ht="22.5" customHeight="1">
      <c r="A424" s="49"/>
      <c r="C424" s="192">
        <v>46067.0</v>
      </c>
      <c r="D424" s="195">
        <v>100000.0</v>
      </c>
      <c r="E424" s="69" t="s">
        <v>787</v>
      </c>
      <c r="F424" s="69" t="s">
        <v>41</v>
      </c>
      <c r="G424" s="69" t="s">
        <v>42</v>
      </c>
      <c r="H424" s="99"/>
      <c r="I424" s="9"/>
      <c r="J424" s="9"/>
      <c r="K424" s="9"/>
      <c r="L424" s="9"/>
      <c r="M424" s="9"/>
      <c r="N424" s="9"/>
      <c r="O424" s="9"/>
    </row>
    <row r="425" ht="22.5" customHeight="1">
      <c r="A425" s="49"/>
      <c r="C425" s="192">
        <v>46067.0</v>
      </c>
      <c r="D425" s="195">
        <v>3800000.0</v>
      </c>
      <c r="E425" s="69" t="s">
        <v>179</v>
      </c>
      <c r="F425" s="69" t="s">
        <v>41</v>
      </c>
      <c r="G425" s="69" t="s">
        <v>87</v>
      </c>
      <c r="H425" s="99"/>
      <c r="I425" s="9"/>
      <c r="J425" s="9"/>
      <c r="K425" s="9"/>
      <c r="L425" s="9"/>
      <c r="M425" s="9"/>
      <c r="N425" s="9"/>
      <c r="O425" s="9"/>
    </row>
    <row r="426" ht="22.5" customHeight="1">
      <c r="A426" s="49"/>
      <c r="C426" s="192">
        <v>46068.0</v>
      </c>
      <c r="D426" s="195">
        <v>1060000.0</v>
      </c>
      <c r="E426" s="69" t="s">
        <v>790</v>
      </c>
      <c r="F426" s="69" t="s">
        <v>41</v>
      </c>
      <c r="G426" s="69" t="s">
        <v>87</v>
      </c>
      <c r="H426" s="99"/>
      <c r="I426" s="9"/>
      <c r="J426" s="9"/>
      <c r="K426" s="9"/>
      <c r="L426" s="9"/>
      <c r="M426" s="9"/>
      <c r="N426" s="9"/>
      <c r="O426" s="9"/>
    </row>
    <row r="427" ht="22.5" customHeight="1">
      <c r="A427" s="49"/>
      <c r="C427" s="233">
        <v>46068.0</v>
      </c>
      <c r="D427" s="234">
        <v>320000.0</v>
      </c>
      <c r="E427" s="268" t="s">
        <v>732</v>
      </c>
      <c r="F427" s="235" t="s">
        <v>45</v>
      </c>
      <c r="G427" s="235" t="s">
        <v>87</v>
      </c>
      <c r="H427" s="99"/>
      <c r="I427" s="9"/>
      <c r="J427" s="9"/>
      <c r="K427" s="9"/>
      <c r="L427" s="9"/>
      <c r="M427" s="9"/>
      <c r="N427" s="9"/>
      <c r="O427" s="9"/>
    </row>
    <row r="428" ht="22.5" customHeight="1">
      <c r="A428" s="49"/>
      <c r="C428" s="192">
        <v>46069.0</v>
      </c>
      <c r="D428" s="195">
        <v>750000.0</v>
      </c>
      <c r="E428" s="69" t="s">
        <v>694</v>
      </c>
      <c r="F428" s="69" t="s">
        <v>41</v>
      </c>
      <c r="G428" s="69" t="s">
        <v>87</v>
      </c>
      <c r="H428" s="99"/>
      <c r="I428" s="9"/>
      <c r="J428" s="9"/>
      <c r="K428" s="9"/>
      <c r="L428" s="9"/>
      <c r="M428" s="9"/>
      <c r="N428" s="9"/>
      <c r="O428" s="9"/>
    </row>
    <row r="429" ht="22.5" customHeight="1">
      <c r="A429" s="49"/>
      <c r="C429" s="192">
        <v>46069.0</v>
      </c>
      <c r="D429" s="195">
        <v>40000.0</v>
      </c>
      <c r="E429" s="69" t="s">
        <v>696</v>
      </c>
      <c r="F429" s="69" t="s">
        <v>41</v>
      </c>
      <c r="G429" s="69" t="s">
        <v>42</v>
      </c>
      <c r="H429" s="99"/>
      <c r="I429" s="9"/>
      <c r="J429" s="9"/>
      <c r="K429" s="9"/>
      <c r="L429" s="9"/>
      <c r="M429" s="9"/>
      <c r="N429" s="9"/>
      <c r="O429" s="9"/>
    </row>
    <row r="430" ht="22.5" customHeight="1">
      <c r="A430" s="49"/>
      <c r="C430" s="192">
        <v>46069.0</v>
      </c>
      <c r="D430" s="195">
        <v>20000.0</v>
      </c>
      <c r="E430" s="69" t="s">
        <v>404</v>
      </c>
      <c r="F430" s="69" t="s">
        <v>41</v>
      </c>
      <c r="G430" s="69" t="s">
        <v>42</v>
      </c>
      <c r="H430" s="99"/>
      <c r="I430" s="9"/>
      <c r="J430" s="9"/>
      <c r="K430" s="9"/>
      <c r="L430" s="9"/>
      <c r="M430" s="9"/>
      <c r="N430" s="9"/>
      <c r="O430" s="9"/>
    </row>
    <row r="431" ht="22.5" customHeight="1">
      <c r="A431" s="49"/>
      <c r="C431" s="192">
        <v>46069.0</v>
      </c>
      <c r="D431" s="195">
        <v>20000.0</v>
      </c>
      <c r="E431" s="69" t="s">
        <v>608</v>
      </c>
      <c r="F431" s="69" t="s">
        <v>41</v>
      </c>
      <c r="G431" s="69" t="s">
        <v>42</v>
      </c>
      <c r="H431" s="99"/>
      <c r="I431" s="9"/>
      <c r="J431" s="9"/>
      <c r="K431" s="9"/>
      <c r="L431" s="9"/>
      <c r="M431" s="9"/>
      <c r="N431" s="9"/>
      <c r="O431" s="9"/>
    </row>
    <row r="432" ht="22.5" customHeight="1">
      <c r="A432" s="49"/>
      <c r="C432" s="192">
        <v>46069.0</v>
      </c>
      <c r="D432" s="195">
        <v>45000.0</v>
      </c>
      <c r="E432" s="69" t="s">
        <v>798</v>
      </c>
      <c r="F432" s="69" t="s">
        <v>41</v>
      </c>
      <c r="G432" s="69" t="s">
        <v>42</v>
      </c>
      <c r="H432" s="99"/>
      <c r="I432" s="9"/>
      <c r="J432" s="9"/>
      <c r="K432" s="9"/>
      <c r="L432" s="9"/>
      <c r="M432" s="9"/>
      <c r="N432" s="9"/>
      <c r="O432" s="9"/>
    </row>
    <row r="433" ht="22.5" customHeight="1">
      <c r="A433" s="49"/>
      <c r="C433" s="192">
        <v>46069.0</v>
      </c>
      <c r="D433" s="195">
        <v>130000.0</v>
      </c>
      <c r="E433" s="69" t="s">
        <v>799</v>
      </c>
      <c r="F433" s="69" t="s">
        <v>41</v>
      </c>
      <c r="G433" s="69" t="s">
        <v>42</v>
      </c>
      <c r="H433" s="99"/>
      <c r="I433" s="9"/>
      <c r="J433" s="9"/>
      <c r="K433" s="9"/>
      <c r="L433" s="9"/>
      <c r="M433" s="9"/>
      <c r="N433" s="9"/>
      <c r="O433" s="9"/>
    </row>
    <row r="434" ht="22.5" customHeight="1">
      <c r="A434" s="49"/>
      <c r="C434" s="192">
        <v>46069.0</v>
      </c>
      <c r="D434" s="195">
        <v>15000.0</v>
      </c>
      <c r="E434" s="69" t="s">
        <v>356</v>
      </c>
      <c r="F434" s="69" t="s">
        <v>41</v>
      </c>
      <c r="G434" s="69" t="s">
        <v>42</v>
      </c>
      <c r="H434" s="99"/>
      <c r="I434" s="9"/>
      <c r="J434" s="9"/>
      <c r="K434" s="9"/>
      <c r="L434" s="9"/>
      <c r="M434" s="9"/>
      <c r="N434" s="9"/>
      <c r="O434" s="9"/>
    </row>
    <row r="435" ht="22.5" customHeight="1">
      <c r="A435" s="49"/>
      <c r="C435" s="192">
        <v>46070.0</v>
      </c>
      <c r="D435" s="195">
        <v>50000.0</v>
      </c>
      <c r="E435" s="69" t="s">
        <v>802</v>
      </c>
      <c r="F435" s="69" t="s">
        <v>41</v>
      </c>
      <c r="G435" s="69" t="s">
        <v>42</v>
      </c>
      <c r="H435" s="99"/>
      <c r="I435" s="9"/>
      <c r="J435" s="9"/>
      <c r="K435" s="9"/>
      <c r="L435" s="9"/>
      <c r="M435" s="9"/>
      <c r="N435" s="9"/>
      <c r="O435" s="9"/>
    </row>
    <row r="436" ht="22.5" customHeight="1">
      <c r="A436" s="49"/>
      <c r="C436" s="192">
        <v>46070.0</v>
      </c>
      <c r="D436" s="195">
        <v>65000.0</v>
      </c>
      <c r="E436" s="69" t="s">
        <v>805</v>
      </c>
      <c r="F436" s="69" t="s">
        <v>41</v>
      </c>
      <c r="G436" s="69" t="s">
        <v>42</v>
      </c>
      <c r="H436" s="99"/>
      <c r="I436" s="9"/>
      <c r="J436" s="9"/>
      <c r="K436" s="9"/>
      <c r="L436" s="9"/>
      <c r="M436" s="9"/>
      <c r="N436" s="9"/>
      <c r="O436" s="9"/>
    </row>
    <row r="437" ht="22.5" customHeight="1">
      <c r="A437" s="49"/>
      <c r="C437" s="192">
        <v>46071.0</v>
      </c>
      <c r="D437" s="195">
        <v>45000.0</v>
      </c>
      <c r="E437" s="69" t="s">
        <v>808</v>
      </c>
      <c r="F437" s="69" t="s">
        <v>41</v>
      </c>
      <c r="G437" s="69" t="s">
        <v>42</v>
      </c>
      <c r="H437" s="99"/>
      <c r="I437" s="9"/>
      <c r="J437" s="9"/>
      <c r="K437" s="9"/>
      <c r="L437" s="9"/>
      <c r="M437" s="9"/>
      <c r="N437" s="9"/>
      <c r="O437" s="9"/>
    </row>
    <row r="438" ht="22.5" customHeight="1">
      <c r="A438" s="49"/>
      <c r="C438" s="192">
        <v>46071.0</v>
      </c>
      <c r="D438" s="195">
        <v>108000.0</v>
      </c>
      <c r="E438" s="69" t="s">
        <v>752</v>
      </c>
      <c r="F438" s="69" t="s">
        <v>41</v>
      </c>
      <c r="G438" s="69" t="s">
        <v>42</v>
      </c>
      <c r="H438" s="99"/>
      <c r="I438" s="9"/>
      <c r="J438" s="9"/>
      <c r="K438" s="9"/>
      <c r="L438" s="9"/>
      <c r="M438" s="9"/>
      <c r="N438" s="9"/>
      <c r="O438" s="9"/>
    </row>
    <row r="439" ht="22.5" customHeight="1">
      <c r="A439" s="49"/>
      <c r="C439" s="192">
        <v>46071.0</v>
      </c>
      <c r="D439" s="195">
        <v>54000.0</v>
      </c>
      <c r="E439" s="69" t="s">
        <v>811</v>
      </c>
      <c r="F439" s="69" t="s">
        <v>41</v>
      </c>
      <c r="G439" s="69" t="s">
        <v>42</v>
      </c>
      <c r="H439" s="99"/>
      <c r="I439" s="9"/>
      <c r="J439" s="9"/>
      <c r="K439" s="9"/>
      <c r="L439" s="9"/>
      <c r="M439" s="9"/>
      <c r="N439" s="9"/>
      <c r="O439" s="9"/>
    </row>
    <row r="440" ht="22.5" customHeight="1">
      <c r="A440" s="49"/>
      <c r="C440" s="192">
        <v>46072.0</v>
      </c>
      <c r="D440" s="195">
        <v>30000.0</v>
      </c>
      <c r="E440" s="69" t="s">
        <v>407</v>
      </c>
      <c r="F440" s="69" t="s">
        <v>41</v>
      </c>
      <c r="G440" s="69" t="s">
        <v>42</v>
      </c>
      <c r="H440" s="99"/>
      <c r="I440" s="9"/>
      <c r="J440" s="9"/>
      <c r="K440" s="9"/>
      <c r="L440" s="9"/>
      <c r="M440" s="9"/>
      <c r="N440" s="9"/>
      <c r="O440" s="9"/>
    </row>
    <row r="441" ht="22.5" customHeight="1">
      <c r="A441" s="49"/>
      <c r="C441" s="192">
        <v>46072.0</v>
      </c>
      <c r="D441" s="195">
        <v>35000.0</v>
      </c>
      <c r="E441" s="69" t="s">
        <v>98</v>
      </c>
      <c r="F441" s="69" t="s">
        <v>41</v>
      </c>
      <c r="G441" s="69" t="s">
        <v>42</v>
      </c>
      <c r="H441" s="99"/>
      <c r="I441" s="9"/>
      <c r="J441" s="9"/>
      <c r="K441" s="9"/>
      <c r="L441" s="9"/>
      <c r="M441" s="9"/>
      <c r="N441" s="9"/>
      <c r="O441" s="9"/>
    </row>
    <row r="442" ht="22.5" customHeight="1">
      <c r="A442" s="49"/>
      <c r="C442" s="192">
        <v>46072.0</v>
      </c>
      <c r="D442" s="195">
        <v>10000.0</v>
      </c>
      <c r="E442" s="69" t="s">
        <v>816</v>
      </c>
      <c r="F442" s="69" t="s">
        <v>41</v>
      </c>
      <c r="G442" s="69" t="s">
        <v>42</v>
      </c>
      <c r="H442" s="99"/>
      <c r="I442" s="9"/>
      <c r="J442" s="9"/>
      <c r="K442" s="9"/>
      <c r="L442" s="9"/>
      <c r="M442" s="9"/>
      <c r="N442" s="9"/>
      <c r="O442" s="9"/>
    </row>
    <row r="443" ht="22.5" customHeight="1">
      <c r="A443" s="49"/>
      <c r="C443" s="192">
        <v>46073.0</v>
      </c>
      <c r="D443" s="195">
        <v>40000.0</v>
      </c>
      <c r="E443" s="69" t="s">
        <v>339</v>
      </c>
      <c r="F443" s="69" t="s">
        <v>41</v>
      </c>
      <c r="G443" s="69" t="s">
        <v>42</v>
      </c>
      <c r="H443" s="99"/>
      <c r="I443" s="9"/>
      <c r="J443" s="9"/>
      <c r="K443" s="9"/>
      <c r="L443" s="9"/>
      <c r="M443" s="9"/>
      <c r="N443" s="9"/>
      <c r="O443" s="9"/>
    </row>
    <row r="444" ht="22.5" customHeight="1">
      <c r="A444" s="49"/>
      <c r="C444" s="192">
        <v>46073.0</v>
      </c>
      <c r="D444" s="195">
        <v>190000.0</v>
      </c>
      <c r="E444" s="69" t="s">
        <v>367</v>
      </c>
      <c r="F444" s="69" t="s">
        <v>41</v>
      </c>
      <c r="G444" s="69" t="s">
        <v>42</v>
      </c>
      <c r="H444" s="99"/>
      <c r="I444" s="9"/>
      <c r="J444" s="9"/>
      <c r="K444" s="9"/>
      <c r="L444" s="9"/>
      <c r="M444" s="9"/>
      <c r="N444" s="9"/>
      <c r="O444" s="9"/>
    </row>
    <row r="445" ht="22.5" customHeight="1">
      <c r="A445" s="49"/>
      <c r="C445" s="192">
        <v>46073.0</v>
      </c>
      <c r="D445" s="195">
        <v>20000.0</v>
      </c>
      <c r="E445" s="69" t="s">
        <v>817</v>
      </c>
      <c r="F445" s="69" t="s">
        <v>41</v>
      </c>
      <c r="G445" s="69" t="s">
        <v>42</v>
      </c>
      <c r="H445" s="99"/>
      <c r="I445" s="9"/>
      <c r="J445" s="9"/>
      <c r="K445" s="9"/>
      <c r="L445" s="9"/>
      <c r="M445" s="9"/>
      <c r="N445" s="9"/>
      <c r="O445" s="9"/>
    </row>
    <row r="446" ht="22.5" customHeight="1">
      <c r="A446" s="49"/>
      <c r="C446" s="192">
        <v>46074.0</v>
      </c>
      <c r="D446" s="195">
        <v>305000.0</v>
      </c>
      <c r="E446" s="69" t="s">
        <v>820</v>
      </c>
      <c r="F446" s="69" t="s">
        <v>41</v>
      </c>
      <c r="G446" s="69" t="s">
        <v>42</v>
      </c>
      <c r="H446" s="99"/>
      <c r="I446" s="9"/>
      <c r="J446" s="9"/>
      <c r="K446" s="9"/>
      <c r="L446" s="9"/>
      <c r="M446" s="9"/>
      <c r="N446" s="9"/>
      <c r="O446" s="9"/>
    </row>
    <row r="447" ht="22.5" customHeight="1">
      <c r="A447" s="49"/>
      <c r="C447" s="192">
        <v>46074.0</v>
      </c>
      <c r="D447" s="195">
        <v>20000.0</v>
      </c>
      <c r="E447" s="69" t="s">
        <v>823</v>
      </c>
      <c r="F447" s="69" t="s">
        <v>41</v>
      </c>
      <c r="G447" s="69" t="s">
        <v>42</v>
      </c>
      <c r="H447" s="99"/>
      <c r="I447" s="9"/>
      <c r="J447" s="9"/>
      <c r="K447" s="9"/>
      <c r="L447" s="9"/>
      <c r="M447" s="9"/>
      <c r="N447" s="9"/>
      <c r="O447" s="9"/>
    </row>
    <row r="448" ht="22.5" customHeight="1">
      <c r="A448" s="49"/>
      <c r="C448" s="192">
        <v>46074.0</v>
      </c>
      <c r="D448" s="195">
        <v>345000.0</v>
      </c>
      <c r="E448" s="69" t="s">
        <v>824</v>
      </c>
      <c r="F448" s="69" t="s">
        <v>41</v>
      </c>
      <c r="G448" s="69" t="s">
        <v>42</v>
      </c>
      <c r="H448" s="99"/>
      <c r="I448" s="9"/>
      <c r="J448" s="9"/>
      <c r="K448" s="9"/>
      <c r="L448" s="9"/>
      <c r="M448" s="9"/>
      <c r="N448" s="9"/>
      <c r="O448" s="9"/>
    </row>
    <row r="449" ht="22.5" customHeight="1">
      <c r="A449" s="49"/>
      <c r="C449" s="192">
        <v>46074.0</v>
      </c>
      <c r="D449" s="195">
        <v>305000.0</v>
      </c>
      <c r="E449" s="69" t="s">
        <v>825</v>
      </c>
      <c r="F449" s="69" t="s">
        <v>41</v>
      </c>
      <c r="G449" s="69" t="s">
        <v>42</v>
      </c>
      <c r="H449" s="99"/>
      <c r="I449" s="9"/>
      <c r="J449" s="9"/>
      <c r="K449" s="9"/>
      <c r="L449" s="9"/>
      <c r="M449" s="9"/>
      <c r="N449" s="9"/>
      <c r="O449" s="9"/>
    </row>
    <row r="450" ht="22.5" customHeight="1">
      <c r="A450" s="49"/>
      <c r="C450" s="192">
        <v>46074.0</v>
      </c>
      <c r="D450" s="195">
        <v>4100000.0</v>
      </c>
      <c r="E450" s="69" t="s">
        <v>179</v>
      </c>
      <c r="F450" s="69" t="s">
        <v>45</v>
      </c>
      <c r="G450" s="69" t="s">
        <v>758</v>
      </c>
      <c r="H450" s="99"/>
      <c r="I450" s="9"/>
      <c r="J450" s="9"/>
      <c r="K450" s="9"/>
      <c r="L450" s="9"/>
      <c r="M450" s="9"/>
      <c r="N450" s="9"/>
      <c r="O450" s="9"/>
    </row>
    <row r="451" ht="22.5" customHeight="1">
      <c r="A451" s="49"/>
      <c r="C451" s="192">
        <v>46075.0</v>
      </c>
      <c r="D451" s="195">
        <v>270000.0</v>
      </c>
      <c r="E451" s="251" t="s">
        <v>302</v>
      </c>
      <c r="F451" s="235" t="s">
        <v>45</v>
      </c>
      <c r="G451" s="235" t="s">
        <v>758</v>
      </c>
      <c r="H451" s="99"/>
      <c r="I451" s="9"/>
      <c r="J451" s="9"/>
      <c r="K451" s="9"/>
      <c r="L451" s="9"/>
      <c r="M451" s="9"/>
      <c r="N451" s="9"/>
      <c r="O451" s="9"/>
    </row>
    <row r="452" ht="22.5" customHeight="1">
      <c r="A452" s="49"/>
      <c r="C452" s="192">
        <v>46076.0</v>
      </c>
      <c r="D452" s="195">
        <v>20000.0</v>
      </c>
      <c r="E452" s="69" t="s">
        <v>347</v>
      </c>
      <c r="F452" s="69" t="s">
        <v>41</v>
      </c>
      <c r="G452" s="69" t="s">
        <v>42</v>
      </c>
      <c r="H452" s="99"/>
      <c r="I452" s="9"/>
      <c r="J452" s="9"/>
      <c r="K452" s="9"/>
      <c r="L452" s="9"/>
      <c r="M452" s="9"/>
      <c r="N452" s="9"/>
      <c r="O452" s="9"/>
    </row>
    <row r="453" ht="22.5" customHeight="1">
      <c r="A453" s="49"/>
      <c r="C453" s="192">
        <v>46076.0</v>
      </c>
      <c r="D453" s="195">
        <v>40000.0</v>
      </c>
      <c r="E453" s="69" t="s">
        <v>165</v>
      </c>
      <c r="F453" s="69" t="s">
        <v>41</v>
      </c>
      <c r="G453" s="69" t="s">
        <v>42</v>
      </c>
      <c r="H453" s="99"/>
      <c r="I453" s="9"/>
      <c r="J453" s="9"/>
      <c r="K453" s="9"/>
      <c r="L453" s="9"/>
      <c r="M453" s="9"/>
      <c r="N453" s="9"/>
      <c r="O453" s="9"/>
    </row>
    <row r="454" ht="22.5" customHeight="1">
      <c r="A454" s="49"/>
      <c r="C454" s="192">
        <v>46076.0</v>
      </c>
      <c r="D454" s="195">
        <v>10000.0</v>
      </c>
      <c r="E454" s="69" t="s">
        <v>283</v>
      </c>
      <c r="F454" s="69" t="s">
        <v>41</v>
      </c>
      <c r="G454" s="69" t="s">
        <v>42</v>
      </c>
      <c r="H454" s="99"/>
      <c r="I454" s="9"/>
      <c r="J454" s="9"/>
      <c r="K454" s="9"/>
      <c r="L454" s="9"/>
      <c r="M454" s="9"/>
      <c r="N454" s="9"/>
      <c r="O454" s="9"/>
    </row>
    <row r="455" ht="22.5" customHeight="1">
      <c r="A455" s="49"/>
      <c r="C455" s="192">
        <v>46076.0</v>
      </c>
      <c r="D455" s="195">
        <v>50000.0</v>
      </c>
      <c r="E455" s="69" t="s">
        <v>395</v>
      </c>
      <c r="F455" s="69" t="s">
        <v>41</v>
      </c>
      <c r="G455" s="69" t="s">
        <v>42</v>
      </c>
      <c r="H455" s="99"/>
      <c r="I455" s="9"/>
      <c r="J455" s="9"/>
      <c r="K455" s="9"/>
      <c r="L455" s="9"/>
      <c r="M455" s="9"/>
      <c r="N455" s="9"/>
      <c r="O455" s="9"/>
    </row>
    <row r="456" ht="22.5" customHeight="1">
      <c r="A456" s="49"/>
      <c r="C456" s="192">
        <v>46076.0</v>
      </c>
      <c r="D456" s="195">
        <v>20000.0</v>
      </c>
      <c r="E456" s="69" t="s">
        <v>817</v>
      </c>
      <c r="F456" s="69" t="s">
        <v>41</v>
      </c>
      <c r="G456" s="69" t="s">
        <v>42</v>
      </c>
      <c r="H456" s="99"/>
      <c r="I456" s="9"/>
      <c r="J456" s="9"/>
      <c r="K456" s="9"/>
      <c r="L456" s="9"/>
      <c r="M456" s="9"/>
      <c r="N456" s="9"/>
      <c r="O456" s="9"/>
    </row>
    <row r="457" ht="22.5" customHeight="1">
      <c r="A457" s="49"/>
      <c r="C457" s="192">
        <v>46076.0</v>
      </c>
      <c r="D457" s="195">
        <v>50000.0</v>
      </c>
      <c r="E457" s="69" t="s">
        <v>834</v>
      </c>
      <c r="F457" s="69" t="s">
        <v>41</v>
      </c>
      <c r="G457" s="69" t="s">
        <v>42</v>
      </c>
      <c r="H457" s="99"/>
      <c r="I457" s="9"/>
      <c r="J457" s="9"/>
      <c r="K457" s="9"/>
      <c r="L457" s="9"/>
      <c r="M457" s="9"/>
      <c r="N457" s="9"/>
      <c r="O457" s="9"/>
    </row>
    <row r="458" ht="22.5" customHeight="1">
      <c r="A458" s="49"/>
      <c r="C458" s="192">
        <v>46077.0</v>
      </c>
      <c r="D458" s="195">
        <v>13000.0</v>
      </c>
      <c r="E458" s="69" t="s">
        <v>835</v>
      </c>
      <c r="F458" s="69" t="s">
        <v>41</v>
      </c>
      <c r="G458" s="69" t="s">
        <v>42</v>
      </c>
      <c r="H458" s="99"/>
      <c r="I458" s="9"/>
      <c r="J458" s="9"/>
      <c r="K458" s="9"/>
      <c r="L458" s="9"/>
      <c r="M458" s="9"/>
      <c r="N458" s="9"/>
      <c r="O458" s="9"/>
    </row>
    <row r="459" ht="22.5" customHeight="1">
      <c r="A459" s="49"/>
      <c r="C459" s="192">
        <v>46077.0</v>
      </c>
      <c r="D459" s="195">
        <v>235000.0</v>
      </c>
      <c r="E459" s="69" t="s">
        <v>838</v>
      </c>
      <c r="F459" s="69" t="s">
        <v>41</v>
      </c>
      <c r="G459" s="69" t="s">
        <v>42</v>
      </c>
      <c r="H459" s="99"/>
      <c r="I459" s="9"/>
      <c r="J459" s="9"/>
      <c r="K459" s="9"/>
      <c r="L459" s="9"/>
      <c r="M459" s="9"/>
      <c r="N459" s="9"/>
      <c r="O459" s="9"/>
    </row>
    <row r="460" ht="22.5" customHeight="1">
      <c r="A460" s="49"/>
      <c r="C460" s="236">
        <v>46077.0</v>
      </c>
      <c r="D460" s="237">
        <v>20000.0</v>
      </c>
      <c r="E460" s="238" t="s">
        <v>841</v>
      </c>
      <c r="F460" s="238" t="s">
        <v>41</v>
      </c>
      <c r="G460" s="239" t="s">
        <v>42</v>
      </c>
      <c r="H460" s="99"/>
      <c r="I460" s="9"/>
      <c r="J460" s="9"/>
      <c r="K460" s="9"/>
      <c r="L460" s="9"/>
      <c r="M460" s="9"/>
      <c r="N460" s="9"/>
      <c r="O460" s="9"/>
    </row>
    <row r="461" ht="22.5" customHeight="1">
      <c r="A461" s="49"/>
      <c r="C461" s="236">
        <v>46077.0</v>
      </c>
      <c r="D461" s="237">
        <v>161000.0</v>
      </c>
      <c r="E461" s="238" t="s">
        <v>844</v>
      </c>
      <c r="F461" s="238" t="s">
        <v>41</v>
      </c>
      <c r="G461" s="239" t="s">
        <v>42</v>
      </c>
      <c r="H461" s="99"/>
      <c r="I461" s="9"/>
      <c r="J461" s="9"/>
      <c r="K461" s="9"/>
      <c r="L461" s="9"/>
      <c r="M461" s="9"/>
      <c r="N461" s="9"/>
      <c r="O461" s="9"/>
    </row>
    <row r="462" ht="22.5" customHeight="1">
      <c r="A462" s="49"/>
      <c r="C462" s="192">
        <v>46078.0</v>
      </c>
      <c r="D462" s="195">
        <v>30000.0</v>
      </c>
      <c r="E462" s="69" t="s">
        <v>845</v>
      </c>
      <c r="F462" s="69" t="s">
        <v>41</v>
      </c>
      <c r="G462" s="69" t="s">
        <v>42</v>
      </c>
      <c r="H462" s="99"/>
      <c r="I462" s="9"/>
      <c r="J462" s="9"/>
      <c r="K462" s="9"/>
      <c r="L462" s="9"/>
      <c r="M462" s="9"/>
      <c r="N462" s="9"/>
      <c r="O462" s="9"/>
    </row>
    <row r="463" ht="22.5" customHeight="1">
      <c r="A463" s="49"/>
      <c r="C463" s="192">
        <v>46078.0</v>
      </c>
      <c r="D463" s="195">
        <v>150000.0</v>
      </c>
      <c r="E463" s="69" t="s">
        <v>849</v>
      </c>
      <c r="F463" s="69" t="s">
        <v>41</v>
      </c>
      <c r="G463" s="69" t="s">
        <v>42</v>
      </c>
      <c r="H463" s="99"/>
      <c r="I463" s="9"/>
      <c r="J463" s="9"/>
      <c r="K463" s="9"/>
      <c r="L463" s="9"/>
      <c r="M463" s="9"/>
      <c r="N463" s="9"/>
      <c r="O463" s="9"/>
    </row>
    <row r="464" ht="22.5" customHeight="1">
      <c r="A464" s="49"/>
      <c r="C464" s="192">
        <v>46078.0</v>
      </c>
      <c r="D464" s="195">
        <v>270000.0</v>
      </c>
      <c r="E464" s="69" t="s">
        <v>851</v>
      </c>
      <c r="F464" s="69" t="s">
        <v>41</v>
      </c>
      <c r="G464" s="69" t="s">
        <v>42</v>
      </c>
      <c r="H464" s="99"/>
      <c r="I464" s="9"/>
      <c r="J464" s="9"/>
      <c r="K464" s="9"/>
      <c r="L464" s="9"/>
      <c r="M464" s="9"/>
      <c r="N464" s="9"/>
      <c r="O464" s="9"/>
    </row>
    <row r="465" ht="22.5" customHeight="1">
      <c r="A465" s="49"/>
      <c r="C465" s="192">
        <v>46079.0</v>
      </c>
      <c r="D465" s="195">
        <v>30000.0</v>
      </c>
      <c r="E465" s="69" t="s">
        <v>852</v>
      </c>
      <c r="F465" s="69" t="s">
        <v>41</v>
      </c>
      <c r="G465" s="69" t="s">
        <v>42</v>
      </c>
      <c r="H465" s="99"/>
      <c r="I465" s="9"/>
      <c r="J465" s="9"/>
      <c r="K465" s="9"/>
      <c r="L465" s="9"/>
      <c r="M465" s="9"/>
      <c r="N465" s="9"/>
      <c r="O465" s="9"/>
    </row>
    <row r="466" ht="22.5" customHeight="1">
      <c r="A466" s="49"/>
      <c r="C466" s="192">
        <v>46079.0</v>
      </c>
      <c r="D466" s="195">
        <v>50000.0</v>
      </c>
      <c r="E466" s="69" t="s">
        <v>395</v>
      </c>
      <c r="F466" s="69" t="s">
        <v>41</v>
      </c>
      <c r="G466" s="69" t="s">
        <v>42</v>
      </c>
      <c r="H466" s="99"/>
      <c r="I466" s="9"/>
      <c r="J466" s="9"/>
      <c r="K466" s="9"/>
      <c r="L466" s="9"/>
      <c r="M466" s="9"/>
      <c r="N466" s="9"/>
      <c r="O466" s="9"/>
    </row>
    <row r="467" ht="22.5" customHeight="1">
      <c r="A467" s="49"/>
      <c r="C467" s="192">
        <v>46079.0</v>
      </c>
      <c r="D467" s="195">
        <v>20000.0</v>
      </c>
      <c r="E467" s="69" t="s">
        <v>221</v>
      </c>
      <c r="F467" s="69" t="s">
        <v>41</v>
      </c>
      <c r="G467" s="69" t="s">
        <v>42</v>
      </c>
      <c r="H467" s="99"/>
      <c r="I467" s="9"/>
      <c r="J467" s="9"/>
      <c r="K467" s="9"/>
      <c r="L467" s="9"/>
      <c r="M467" s="9"/>
      <c r="N467" s="9"/>
      <c r="O467" s="9"/>
    </row>
    <row r="468" ht="22.5" customHeight="1">
      <c r="A468" s="49"/>
      <c r="C468" s="192">
        <v>46079.0</v>
      </c>
      <c r="D468" s="195">
        <v>10000.0</v>
      </c>
      <c r="E468" s="69" t="s">
        <v>855</v>
      </c>
      <c r="F468" s="69" t="s">
        <v>41</v>
      </c>
      <c r="G468" s="69" t="s">
        <v>42</v>
      </c>
      <c r="H468" s="99"/>
      <c r="I468" s="9"/>
      <c r="J468" s="9"/>
      <c r="K468" s="9"/>
      <c r="L468" s="9"/>
      <c r="M468" s="9"/>
      <c r="N468" s="9"/>
      <c r="O468" s="9"/>
    </row>
    <row r="469" ht="22.5" customHeight="1">
      <c r="A469" s="49"/>
      <c r="C469" s="192">
        <v>46080.0</v>
      </c>
      <c r="D469" s="195">
        <v>40000.0</v>
      </c>
      <c r="E469" s="69" t="s">
        <v>165</v>
      </c>
      <c r="F469" s="69" t="s">
        <v>41</v>
      </c>
      <c r="G469" s="69" t="s">
        <v>42</v>
      </c>
      <c r="H469" s="99"/>
      <c r="I469" s="9"/>
      <c r="J469" s="9"/>
      <c r="K469" s="9"/>
      <c r="L469" s="9"/>
      <c r="M469" s="9"/>
      <c r="N469" s="9"/>
      <c r="O469" s="9"/>
    </row>
    <row r="470" ht="22.5" customHeight="1">
      <c r="A470" s="49"/>
      <c r="C470" s="192">
        <v>46080.0</v>
      </c>
      <c r="D470" s="195">
        <v>20000.0</v>
      </c>
      <c r="E470" s="69" t="s">
        <v>858</v>
      </c>
      <c r="F470" s="69" t="s">
        <v>41</v>
      </c>
      <c r="G470" s="69" t="s">
        <v>42</v>
      </c>
      <c r="H470" s="99"/>
      <c r="I470" s="9"/>
      <c r="J470" s="9"/>
      <c r="K470" s="9"/>
      <c r="L470" s="9"/>
      <c r="M470" s="9"/>
      <c r="N470" s="9"/>
      <c r="O470" s="9"/>
    </row>
    <row r="471" ht="22.5" customHeight="1">
      <c r="A471" s="49"/>
      <c r="C471" s="192">
        <v>46080.0</v>
      </c>
      <c r="D471" s="195">
        <v>30000.0</v>
      </c>
      <c r="E471" s="69" t="s">
        <v>175</v>
      </c>
      <c r="F471" s="69" t="s">
        <v>41</v>
      </c>
      <c r="G471" s="69" t="s">
        <v>42</v>
      </c>
      <c r="H471" s="99"/>
      <c r="I471" s="9"/>
      <c r="J471" s="9"/>
      <c r="K471" s="9"/>
      <c r="L471" s="9"/>
      <c r="M471" s="9"/>
      <c r="N471" s="9"/>
      <c r="O471" s="9"/>
    </row>
    <row r="472" ht="22.5" customHeight="1">
      <c r="A472" s="49"/>
      <c r="C472" s="192">
        <v>46081.0</v>
      </c>
      <c r="D472" s="195">
        <v>50000.0</v>
      </c>
      <c r="E472" s="69" t="s">
        <v>758</v>
      </c>
      <c r="F472" s="69" t="s">
        <v>41</v>
      </c>
      <c r="G472" s="69" t="s">
        <v>42</v>
      </c>
      <c r="H472" s="99"/>
      <c r="I472" s="9"/>
      <c r="J472" s="9"/>
      <c r="K472" s="9"/>
      <c r="L472" s="9"/>
      <c r="M472" s="9"/>
      <c r="N472" s="9"/>
      <c r="O472" s="9"/>
    </row>
    <row r="473" ht="22.5" customHeight="1">
      <c r="A473" s="49"/>
      <c r="C473" s="192">
        <v>46081.0</v>
      </c>
      <c r="D473" s="195">
        <v>100000.0</v>
      </c>
      <c r="E473" s="69" t="s">
        <v>662</v>
      </c>
      <c r="F473" s="69" t="s">
        <v>41</v>
      </c>
      <c r="G473" s="69" t="s">
        <v>42</v>
      </c>
      <c r="H473" s="99"/>
      <c r="I473" s="9"/>
      <c r="J473" s="9"/>
      <c r="K473" s="9"/>
      <c r="L473" s="9"/>
      <c r="M473" s="9"/>
      <c r="N473" s="9"/>
      <c r="O473" s="9"/>
    </row>
    <row r="474" ht="22.5" customHeight="1">
      <c r="A474" s="49"/>
      <c r="C474" s="192">
        <v>46081.0</v>
      </c>
      <c r="D474" s="195">
        <v>20000.0</v>
      </c>
      <c r="E474" s="69" t="s">
        <v>608</v>
      </c>
      <c r="F474" s="69" t="s">
        <v>41</v>
      </c>
      <c r="G474" s="69" t="s">
        <v>42</v>
      </c>
      <c r="H474" s="99"/>
      <c r="I474" s="9"/>
      <c r="J474" s="9"/>
      <c r="K474" s="9"/>
      <c r="L474" s="9"/>
      <c r="M474" s="9"/>
      <c r="N474" s="9"/>
      <c r="O474" s="9"/>
    </row>
    <row r="475" ht="22.5" customHeight="1">
      <c r="A475" s="49"/>
      <c r="C475" s="192">
        <v>46081.0</v>
      </c>
      <c r="D475" s="195">
        <v>60000.0</v>
      </c>
      <c r="E475" s="69" t="s">
        <v>862</v>
      </c>
      <c r="F475" s="69" t="s">
        <v>41</v>
      </c>
      <c r="G475" s="69" t="s">
        <v>42</v>
      </c>
      <c r="H475" s="99"/>
      <c r="I475" s="9"/>
      <c r="J475" s="9"/>
      <c r="K475" s="9"/>
      <c r="L475" s="9"/>
      <c r="M475" s="9"/>
      <c r="N475" s="9"/>
      <c r="O475" s="9"/>
    </row>
    <row r="476" ht="22.5" customHeight="1">
      <c r="A476" s="49"/>
      <c r="C476" s="192">
        <v>46081.0</v>
      </c>
      <c r="D476" s="195">
        <v>20000.0</v>
      </c>
      <c r="E476" s="69" t="s">
        <v>221</v>
      </c>
      <c r="F476" s="69" t="s">
        <v>41</v>
      </c>
      <c r="G476" s="69" t="s">
        <v>42</v>
      </c>
      <c r="H476" s="99"/>
      <c r="I476" s="9"/>
      <c r="J476" s="9"/>
      <c r="K476" s="9"/>
      <c r="L476" s="9"/>
      <c r="M476" s="9"/>
      <c r="N476" s="9"/>
      <c r="O476" s="9"/>
    </row>
    <row r="477" ht="22.5" customHeight="1">
      <c r="A477" s="49"/>
      <c r="C477" s="192">
        <v>46081.0</v>
      </c>
      <c r="D477" s="195">
        <v>27000.0</v>
      </c>
      <c r="E477" s="69" t="s">
        <v>175</v>
      </c>
      <c r="F477" s="69" t="s">
        <v>41</v>
      </c>
      <c r="G477" s="69" t="s">
        <v>42</v>
      </c>
      <c r="H477" s="99"/>
      <c r="I477" s="9"/>
      <c r="J477" s="9"/>
      <c r="K477" s="9"/>
      <c r="L477" s="9"/>
      <c r="M477" s="9"/>
      <c r="N477" s="9"/>
      <c r="O477" s="9"/>
    </row>
    <row r="478" ht="22.5" customHeight="1">
      <c r="A478" s="49"/>
      <c r="C478" s="192">
        <v>46081.0</v>
      </c>
      <c r="D478" s="195">
        <v>4100000.0</v>
      </c>
      <c r="E478" s="69" t="s">
        <v>865</v>
      </c>
      <c r="F478" s="69" t="s">
        <v>45</v>
      </c>
      <c r="G478" s="69" t="s">
        <v>758</v>
      </c>
      <c r="H478" s="99"/>
      <c r="I478" s="9"/>
      <c r="J478" s="9"/>
      <c r="K478" s="9"/>
      <c r="L478" s="9"/>
      <c r="M478" s="9"/>
      <c r="N478" s="9"/>
      <c r="O478" s="9"/>
    </row>
    <row r="479" ht="22.5" customHeight="1">
      <c r="A479" s="49"/>
      <c r="C479" s="138">
        <v>46081.0</v>
      </c>
      <c r="D479" s="63">
        <v>20000.0</v>
      </c>
      <c r="E479" s="65" t="s">
        <v>869</v>
      </c>
      <c r="F479" s="65" t="s">
        <v>41</v>
      </c>
      <c r="G479" s="69" t="s">
        <v>42</v>
      </c>
      <c r="H479" s="99"/>
      <c r="I479" s="9"/>
      <c r="J479" s="9"/>
      <c r="K479" s="9"/>
      <c r="L479" s="9"/>
      <c r="M479" s="9"/>
      <c r="N479" s="9"/>
      <c r="O479" s="9"/>
    </row>
    <row r="480" ht="22.5" customHeight="1">
      <c r="A480" s="49"/>
      <c r="C480" s="192">
        <v>46082.0</v>
      </c>
      <c r="D480" s="195">
        <v>16000.0</v>
      </c>
      <c r="E480" s="69" t="s">
        <v>871</v>
      </c>
      <c r="F480" s="69" t="s">
        <v>41</v>
      </c>
      <c r="G480" s="282" t="s">
        <v>42</v>
      </c>
      <c r="H480" s="99"/>
      <c r="I480" s="9"/>
      <c r="J480" s="9"/>
      <c r="K480" s="9"/>
      <c r="L480" s="9"/>
      <c r="M480" s="9"/>
      <c r="N480" s="9"/>
      <c r="O480" s="9"/>
    </row>
    <row r="481" ht="22.5" customHeight="1">
      <c r="A481" s="49"/>
      <c r="C481" s="192">
        <v>46082.0</v>
      </c>
      <c r="D481" s="195">
        <v>820000.0</v>
      </c>
      <c r="E481" s="69" t="s">
        <v>732</v>
      </c>
      <c r="F481" s="69" t="s">
        <v>41</v>
      </c>
      <c r="G481" s="69" t="s">
        <v>758</v>
      </c>
      <c r="H481" s="99"/>
      <c r="I481" s="9"/>
      <c r="J481" s="9"/>
      <c r="K481" s="9"/>
      <c r="L481" s="9"/>
      <c r="M481" s="9"/>
      <c r="N481" s="9"/>
      <c r="O481" s="9"/>
    </row>
    <row r="482" ht="22.5" customHeight="1">
      <c r="A482" s="49"/>
      <c r="C482" s="192">
        <v>46082.0</v>
      </c>
      <c r="D482" s="195">
        <v>250000.0</v>
      </c>
      <c r="E482" s="69" t="s">
        <v>872</v>
      </c>
      <c r="F482" s="65" t="s">
        <v>41</v>
      </c>
      <c r="G482" s="69" t="s">
        <v>42</v>
      </c>
      <c r="H482" s="99"/>
      <c r="I482" s="9"/>
      <c r="J482" s="9"/>
      <c r="K482" s="9"/>
      <c r="L482" s="9"/>
      <c r="M482" s="9"/>
      <c r="N482" s="9"/>
      <c r="O482" s="9"/>
    </row>
    <row r="483" ht="22.5" customHeight="1">
      <c r="A483" s="49"/>
      <c r="C483" s="192">
        <v>46083.0</v>
      </c>
      <c r="D483" s="195">
        <v>150000.0</v>
      </c>
      <c r="E483" s="69" t="s">
        <v>230</v>
      </c>
      <c r="F483" s="69" t="s">
        <v>41</v>
      </c>
      <c r="G483" s="69" t="s">
        <v>42</v>
      </c>
      <c r="H483" s="99"/>
      <c r="I483" s="9"/>
      <c r="J483" s="9"/>
      <c r="K483" s="9"/>
      <c r="L483" s="9"/>
      <c r="M483" s="9"/>
      <c r="N483" s="9"/>
      <c r="O483" s="9"/>
    </row>
    <row r="484" ht="22.5" customHeight="1">
      <c r="A484" s="49"/>
      <c r="C484" s="192">
        <v>46083.0</v>
      </c>
      <c r="D484" s="195">
        <v>195000.0</v>
      </c>
      <c r="E484" s="69" t="s">
        <v>875</v>
      </c>
      <c r="F484" s="69" t="s">
        <v>41</v>
      </c>
      <c r="G484" s="69" t="s">
        <v>42</v>
      </c>
      <c r="H484" s="99"/>
      <c r="I484" s="9"/>
      <c r="J484" s="9"/>
      <c r="K484" s="9"/>
      <c r="L484" s="9"/>
      <c r="M484" s="9"/>
      <c r="N484" s="9"/>
      <c r="O484" s="9"/>
    </row>
    <row r="485" ht="22.5" customHeight="1">
      <c r="A485" s="49"/>
      <c r="C485" s="192">
        <v>46083.0</v>
      </c>
      <c r="D485" s="195">
        <v>15000.0</v>
      </c>
      <c r="E485" s="69" t="s">
        <v>877</v>
      </c>
      <c r="F485" s="69" t="s">
        <v>41</v>
      </c>
      <c r="G485" s="69" t="s">
        <v>42</v>
      </c>
      <c r="H485" s="99"/>
      <c r="I485" s="9"/>
      <c r="J485" s="9"/>
      <c r="K485" s="9"/>
      <c r="L485" s="9"/>
      <c r="M485" s="9"/>
      <c r="N485" s="9"/>
      <c r="O485" s="9"/>
    </row>
    <row r="486" ht="22.5" customHeight="1">
      <c r="A486" s="49"/>
      <c r="C486" s="192">
        <v>46083.0</v>
      </c>
      <c r="D486" s="195">
        <v>20000.0</v>
      </c>
      <c r="E486" s="69" t="s">
        <v>221</v>
      </c>
      <c r="F486" s="69" t="s">
        <v>41</v>
      </c>
      <c r="G486" s="69" t="s">
        <v>42</v>
      </c>
      <c r="H486" s="99"/>
      <c r="I486" s="9"/>
      <c r="J486" s="9"/>
      <c r="K486" s="9"/>
      <c r="L486" s="9"/>
      <c r="M486" s="9"/>
      <c r="N486" s="9"/>
      <c r="O486" s="9"/>
    </row>
    <row r="487" ht="22.5" customHeight="1">
      <c r="A487" s="49"/>
      <c r="C487" s="192">
        <v>46084.0</v>
      </c>
      <c r="D487" s="195">
        <v>50000.0</v>
      </c>
      <c r="E487" s="69" t="s">
        <v>879</v>
      </c>
      <c r="F487" s="69" t="s">
        <v>41</v>
      </c>
      <c r="G487" s="69" t="s">
        <v>42</v>
      </c>
      <c r="H487" s="99"/>
      <c r="I487" s="9"/>
      <c r="J487" s="9"/>
      <c r="K487" s="9"/>
      <c r="L487" s="9"/>
      <c r="M487" s="9"/>
      <c r="N487" s="9"/>
      <c r="O487" s="9"/>
    </row>
    <row r="488" ht="22.5" customHeight="1">
      <c r="A488" s="49"/>
      <c r="C488" s="192">
        <v>46084.0</v>
      </c>
      <c r="D488" s="195">
        <v>50000.0</v>
      </c>
      <c r="E488" s="69" t="s">
        <v>880</v>
      </c>
      <c r="F488" s="69" t="s">
        <v>41</v>
      </c>
      <c r="G488" s="69" t="s">
        <v>42</v>
      </c>
      <c r="H488" s="99"/>
      <c r="I488" s="9"/>
      <c r="J488" s="9"/>
      <c r="K488" s="9"/>
      <c r="L488" s="9"/>
      <c r="M488" s="9"/>
      <c r="N488" s="9"/>
      <c r="O488" s="9"/>
    </row>
    <row r="489" ht="22.5" customHeight="1">
      <c r="A489" s="49"/>
      <c r="C489" s="192">
        <v>46085.0</v>
      </c>
      <c r="D489" s="195">
        <v>60000.0</v>
      </c>
      <c r="E489" s="69" t="s">
        <v>165</v>
      </c>
      <c r="F489" s="69" t="s">
        <v>41</v>
      </c>
      <c r="G489" s="69" t="s">
        <v>42</v>
      </c>
      <c r="H489" s="99"/>
      <c r="I489" s="9"/>
      <c r="J489" s="9"/>
      <c r="K489" s="9"/>
      <c r="L489" s="9"/>
      <c r="M489" s="9"/>
      <c r="N489" s="9"/>
      <c r="O489" s="9"/>
    </row>
    <row r="490" ht="22.5" customHeight="1">
      <c r="A490" s="49"/>
      <c r="C490" s="192">
        <v>46085.0</v>
      </c>
      <c r="D490" s="195">
        <v>70000.0</v>
      </c>
      <c r="E490" s="69" t="s">
        <v>752</v>
      </c>
      <c r="F490" s="69" t="s">
        <v>41</v>
      </c>
      <c r="G490" s="69" t="s">
        <v>42</v>
      </c>
      <c r="H490" s="99"/>
      <c r="I490" s="9"/>
      <c r="J490" s="9"/>
      <c r="K490" s="9"/>
      <c r="L490" s="9"/>
      <c r="M490" s="9"/>
      <c r="N490" s="9"/>
      <c r="O490" s="9"/>
    </row>
    <row r="491" ht="22.5" customHeight="1">
      <c r="A491" s="49"/>
      <c r="C491" s="192">
        <v>46086.0</v>
      </c>
      <c r="D491" s="195">
        <v>2005247.0</v>
      </c>
      <c r="E491" s="69" t="s">
        <v>885</v>
      </c>
      <c r="F491" s="69" t="s">
        <v>45</v>
      </c>
      <c r="G491" s="69" t="s">
        <v>87</v>
      </c>
      <c r="H491" s="99"/>
      <c r="I491" s="9"/>
      <c r="J491" s="9"/>
      <c r="K491" s="9"/>
      <c r="L491" s="9"/>
      <c r="M491" s="9"/>
      <c r="N491" s="9"/>
      <c r="O491" s="9"/>
    </row>
    <row r="492" ht="22.5" customHeight="1">
      <c r="A492" s="49"/>
      <c r="C492" s="192">
        <v>46086.0</v>
      </c>
      <c r="D492" s="195">
        <v>40000.0</v>
      </c>
      <c r="E492" s="69" t="s">
        <v>886</v>
      </c>
      <c r="F492" s="69" t="s">
        <v>45</v>
      </c>
      <c r="G492" s="69" t="s">
        <v>42</v>
      </c>
      <c r="H492" s="99"/>
      <c r="I492" s="9"/>
      <c r="J492" s="9"/>
      <c r="K492" s="9"/>
      <c r="L492" s="9"/>
      <c r="M492" s="9"/>
      <c r="N492" s="9"/>
      <c r="O492" s="9"/>
    </row>
    <row r="493" ht="22.5" customHeight="1">
      <c r="A493" s="49"/>
      <c r="C493" s="192">
        <v>46086.0</v>
      </c>
      <c r="D493" s="195">
        <v>240000.0</v>
      </c>
      <c r="E493" s="69" t="s">
        <v>887</v>
      </c>
      <c r="F493" s="69" t="s">
        <v>41</v>
      </c>
      <c r="G493" s="69" t="s">
        <v>42</v>
      </c>
      <c r="H493" s="99"/>
      <c r="I493" s="9"/>
      <c r="J493" s="9"/>
      <c r="K493" s="9"/>
      <c r="L493" s="9"/>
      <c r="M493" s="9"/>
      <c r="N493" s="9"/>
      <c r="O493" s="9"/>
    </row>
    <row r="494" ht="22.5" customHeight="1">
      <c r="A494" s="49"/>
      <c r="C494" s="192">
        <v>46086.0</v>
      </c>
      <c r="D494" s="195">
        <v>900000.0</v>
      </c>
      <c r="E494" s="69" t="s">
        <v>481</v>
      </c>
      <c r="F494" s="69" t="s">
        <v>41</v>
      </c>
      <c r="G494" s="69" t="s">
        <v>42</v>
      </c>
      <c r="H494" s="99"/>
      <c r="I494" s="9"/>
      <c r="J494" s="9"/>
      <c r="K494" s="9"/>
      <c r="L494" s="9"/>
      <c r="M494" s="9"/>
      <c r="N494" s="9"/>
      <c r="O494" s="9"/>
    </row>
    <row r="495" ht="22.5" customHeight="1">
      <c r="A495" s="49"/>
      <c r="C495" s="236">
        <v>46088.0</v>
      </c>
      <c r="D495" s="237">
        <v>4600000.0</v>
      </c>
      <c r="E495" s="238" t="s">
        <v>179</v>
      </c>
      <c r="F495" s="238" t="s">
        <v>41</v>
      </c>
      <c r="G495" s="283" t="s">
        <v>87</v>
      </c>
      <c r="H495" s="99"/>
      <c r="I495" s="9"/>
      <c r="J495" s="9"/>
      <c r="K495" s="9"/>
      <c r="L495" s="9"/>
      <c r="M495" s="9"/>
      <c r="N495" s="9"/>
      <c r="O495" s="9"/>
    </row>
    <row r="496" ht="22.5" customHeight="1">
      <c r="A496" s="49"/>
      <c r="C496" s="236">
        <v>46088.0</v>
      </c>
      <c r="D496" s="199">
        <v>31000.0</v>
      </c>
      <c r="E496" s="200" t="s">
        <v>893</v>
      </c>
      <c r="F496" s="200" t="s">
        <v>41</v>
      </c>
      <c r="G496" s="263" t="s">
        <v>42</v>
      </c>
      <c r="H496" s="99"/>
      <c r="I496" s="9"/>
      <c r="J496" s="9"/>
      <c r="K496" s="9"/>
      <c r="L496" s="9"/>
      <c r="M496" s="9"/>
      <c r="N496" s="9"/>
      <c r="O496" s="9"/>
    </row>
    <row r="497" ht="22.5" customHeight="1">
      <c r="A497" s="49"/>
      <c r="C497" s="192">
        <v>46088.0</v>
      </c>
      <c r="D497" s="195">
        <v>24000.0</v>
      </c>
      <c r="E497" s="69" t="s">
        <v>895</v>
      </c>
      <c r="F497" s="69" t="s">
        <v>41</v>
      </c>
      <c r="G497" s="69" t="s">
        <v>42</v>
      </c>
      <c r="H497" s="99"/>
      <c r="I497" s="9"/>
      <c r="J497" s="9"/>
      <c r="K497" s="9"/>
      <c r="L497" s="9"/>
      <c r="M497" s="9"/>
      <c r="N497" s="9"/>
      <c r="O497" s="9"/>
    </row>
    <row r="498" ht="22.5" customHeight="1">
      <c r="A498" s="49"/>
      <c r="C498" s="192">
        <v>46088.0</v>
      </c>
      <c r="D498" s="195">
        <v>20000.0</v>
      </c>
      <c r="E498" s="69" t="s">
        <v>898</v>
      </c>
      <c r="F498" s="69" t="s">
        <v>41</v>
      </c>
      <c r="G498" s="69" t="s">
        <v>42</v>
      </c>
      <c r="H498" s="99"/>
      <c r="I498" s="9"/>
      <c r="J498" s="9"/>
      <c r="K498" s="9"/>
      <c r="L498" s="9"/>
      <c r="M498" s="9"/>
      <c r="N498" s="9"/>
      <c r="O498" s="9"/>
    </row>
    <row r="499" ht="22.5" customHeight="1">
      <c r="A499" s="49"/>
      <c r="C499" s="192">
        <v>46090.0</v>
      </c>
      <c r="D499" s="195">
        <v>150000.0</v>
      </c>
      <c r="E499" s="69" t="s">
        <v>743</v>
      </c>
      <c r="F499" s="69" t="s">
        <v>41</v>
      </c>
      <c r="G499" s="69" t="s">
        <v>42</v>
      </c>
      <c r="H499" s="99"/>
      <c r="I499" s="9"/>
      <c r="J499" s="9"/>
      <c r="K499" s="9"/>
      <c r="L499" s="9"/>
      <c r="M499" s="9"/>
      <c r="N499" s="9"/>
      <c r="O499" s="9"/>
    </row>
    <row r="500" ht="22.5" customHeight="1">
      <c r="A500" s="49"/>
      <c r="C500" s="192">
        <v>46090.0</v>
      </c>
      <c r="D500" s="195">
        <v>20000.0</v>
      </c>
      <c r="E500" s="69" t="s">
        <v>347</v>
      </c>
      <c r="F500" s="69" t="s">
        <v>41</v>
      </c>
      <c r="G500" s="69" t="s">
        <v>42</v>
      </c>
      <c r="H500" s="99"/>
      <c r="I500" s="9"/>
      <c r="J500" s="9"/>
      <c r="K500" s="9"/>
      <c r="L500" s="9"/>
      <c r="M500" s="9"/>
      <c r="N500" s="9"/>
      <c r="O500" s="9"/>
    </row>
    <row r="501" ht="22.5" customHeight="1">
      <c r="A501" s="49"/>
      <c r="C501" s="192">
        <v>46090.0</v>
      </c>
      <c r="D501" s="195">
        <v>100000.0</v>
      </c>
      <c r="E501" s="69" t="s">
        <v>743</v>
      </c>
      <c r="F501" s="69" t="s">
        <v>41</v>
      </c>
      <c r="G501" s="69" t="s">
        <v>42</v>
      </c>
      <c r="H501" s="99"/>
      <c r="I501" s="9"/>
      <c r="J501" s="9"/>
      <c r="K501" s="9"/>
      <c r="L501" s="9"/>
      <c r="M501" s="9"/>
      <c r="N501" s="9"/>
      <c r="O501" s="9"/>
    </row>
    <row r="502" ht="22.5" customHeight="1">
      <c r="A502" s="49"/>
      <c r="C502" s="233">
        <v>46091.0</v>
      </c>
      <c r="D502" s="234">
        <v>1.2E7</v>
      </c>
      <c r="E502" s="268" t="s">
        <v>358</v>
      </c>
      <c r="F502" s="235" t="s">
        <v>41</v>
      </c>
      <c r="G502" s="235" t="s">
        <v>87</v>
      </c>
      <c r="H502" s="99"/>
      <c r="I502" s="9"/>
      <c r="J502" s="9"/>
      <c r="K502" s="9"/>
      <c r="L502" s="9"/>
      <c r="M502" s="9"/>
      <c r="N502" s="9"/>
      <c r="O502" s="9"/>
    </row>
    <row r="503" ht="22.5" customHeight="1">
      <c r="A503" s="49"/>
      <c r="C503" s="233">
        <v>46091.0</v>
      </c>
      <c r="D503" s="186">
        <v>1.65E7</v>
      </c>
      <c r="E503" s="284" t="s">
        <v>420</v>
      </c>
      <c r="F503" s="242" t="s">
        <v>41</v>
      </c>
      <c r="G503" s="242" t="s">
        <v>87</v>
      </c>
      <c r="H503" s="99"/>
      <c r="I503" s="9"/>
      <c r="J503" s="9"/>
      <c r="K503" s="9"/>
      <c r="L503" s="9"/>
      <c r="M503" s="9"/>
      <c r="N503" s="9"/>
      <c r="O503" s="9"/>
    </row>
    <row r="504" ht="22.5" customHeight="1">
      <c r="A504" s="49"/>
      <c r="C504" s="192">
        <v>46091.0</v>
      </c>
      <c r="D504" s="195">
        <v>200000.0</v>
      </c>
      <c r="E504" s="69" t="s">
        <v>903</v>
      </c>
      <c r="F504" s="69" t="s">
        <v>41</v>
      </c>
      <c r="G504" s="69" t="s">
        <v>42</v>
      </c>
      <c r="H504" s="99"/>
      <c r="I504" s="9"/>
      <c r="J504" s="9"/>
      <c r="K504" s="9"/>
      <c r="L504" s="9"/>
      <c r="M504" s="9"/>
      <c r="N504" s="9"/>
      <c r="O504" s="9"/>
    </row>
    <row r="505" ht="22.5" customHeight="1">
      <c r="A505" s="49"/>
      <c r="C505" s="192">
        <v>46091.0</v>
      </c>
      <c r="D505" s="195">
        <v>30000.0</v>
      </c>
      <c r="E505" s="69" t="s">
        <v>407</v>
      </c>
      <c r="F505" s="69" t="s">
        <v>41</v>
      </c>
      <c r="G505" s="69" t="s">
        <v>42</v>
      </c>
      <c r="H505" s="99"/>
      <c r="I505" s="9"/>
      <c r="J505" s="9"/>
      <c r="K505" s="9"/>
      <c r="L505" s="9"/>
      <c r="M505" s="9"/>
      <c r="N505" s="9"/>
      <c r="O505" s="9"/>
    </row>
    <row r="506" ht="22.5" customHeight="1">
      <c r="A506" s="49"/>
      <c r="C506" s="192">
        <v>46091.0</v>
      </c>
      <c r="D506" s="195">
        <v>20000.0</v>
      </c>
      <c r="E506" s="69" t="s">
        <v>550</v>
      </c>
      <c r="F506" s="69" t="s">
        <v>41</v>
      </c>
      <c r="G506" s="69" t="s">
        <v>42</v>
      </c>
      <c r="H506" s="99"/>
      <c r="I506" s="9"/>
      <c r="J506" s="9"/>
      <c r="K506" s="9"/>
      <c r="L506" s="9"/>
      <c r="M506" s="9"/>
      <c r="N506" s="9"/>
      <c r="O506" s="9"/>
    </row>
    <row r="507" ht="22.5" customHeight="1">
      <c r="A507" s="49"/>
      <c r="C507" s="192">
        <v>46091.0</v>
      </c>
      <c r="D507" s="195">
        <v>60000.0</v>
      </c>
      <c r="E507" s="69" t="s">
        <v>339</v>
      </c>
      <c r="F507" s="69" t="s">
        <v>41</v>
      </c>
      <c r="G507" s="69" t="s">
        <v>42</v>
      </c>
      <c r="H507" s="99"/>
      <c r="I507" s="9"/>
      <c r="J507" s="9"/>
      <c r="K507" s="9"/>
      <c r="L507" s="9"/>
      <c r="M507" s="9"/>
      <c r="N507" s="9"/>
      <c r="O507" s="9"/>
    </row>
    <row r="508" ht="22.5" customHeight="1">
      <c r="A508" s="49"/>
      <c r="C508" s="192">
        <v>46091.0</v>
      </c>
      <c r="D508" s="195">
        <v>50000.0</v>
      </c>
      <c r="E508" s="69" t="s">
        <v>423</v>
      </c>
      <c r="F508" s="69" t="s">
        <v>41</v>
      </c>
      <c r="G508" s="69" t="s">
        <v>42</v>
      </c>
      <c r="H508" s="99"/>
      <c r="I508" s="9"/>
      <c r="J508" s="9"/>
      <c r="K508" s="9"/>
      <c r="L508" s="9"/>
      <c r="M508" s="9"/>
      <c r="N508" s="9"/>
      <c r="O508" s="9"/>
    </row>
    <row r="509" ht="22.5" customHeight="1">
      <c r="A509" s="49"/>
      <c r="C509" s="192">
        <v>46092.0</v>
      </c>
      <c r="D509" s="195">
        <v>200000.0</v>
      </c>
      <c r="E509" s="69" t="s">
        <v>908</v>
      </c>
      <c r="F509" s="69" t="s">
        <v>41</v>
      </c>
      <c r="G509" s="69" t="s">
        <v>42</v>
      </c>
      <c r="H509" s="99"/>
      <c r="I509" s="9"/>
      <c r="J509" s="9"/>
      <c r="K509" s="9"/>
      <c r="L509" s="9"/>
      <c r="M509" s="9"/>
      <c r="N509" s="9"/>
      <c r="O509" s="9"/>
    </row>
    <row r="510" ht="22.5" customHeight="1">
      <c r="A510" s="49"/>
      <c r="C510" s="192">
        <v>46093.0</v>
      </c>
      <c r="D510" s="195">
        <v>1003000.0</v>
      </c>
      <c r="E510" s="69" t="s">
        <v>910</v>
      </c>
      <c r="F510" s="69" t="s">
        <v>45</v>
      </c>
      <c r="G510" s="69" t="s">
        <v>87</v>
      </c>
      <c r="H510" s="99"/>
      <c r="I510" s="9"/>
      <c r="J510" s="9"/>
      <c r="K510" s="9"/>
      <c r="L510" s="9"/>
      <c r="M510" s="9"/>
      <c r="N510" s="9"/>
      <c r="O510" s="9"/>
    </row>
    <row r="511" ht="22.5" customHeight="1">
      <c r="A511" s="49"/>
      <c r="C511" s="192">
        <v>46093.0</v>
      </c>
      <c r="D511" s="195">
        <v>100000.0</v>
      </c>
      <c r="E511" s="69" t="s">
        <v>912</v>
      </c>
      <c r="F511" s="69" t="s">
        <v>41</v>
      </c>
      <c r="G511" s="69" t="s">
        <v>42</v>
      </c>
      <c r="H511" s="99"/>
      <c r="I511" s="9"/>
      <c r="J511" s="9"/>
      <c r="K511" s="9"/>
      <c r="L511" s="9"/>
      <c r="M511" s="9"/>
      <c r="N511" s="9"/>
      <c r="O511" s="9"/>
    </row>
    <row r="512" ht="22.5" customHeight="1">
      <c r="A512" s="49"/>
      <c r="C512" s="192">
        <v>46094.0</v>
      </c>
      <c r="D512" s="195">
        <v>54000.0</v>
      </c>
      <c r="E512" s="69" t="s">
        <v>914</v>
      </c>
      <c r="F512" s="69" t="s">
        <v>41</v>
      </c>
      <c r="G512" s="69" t="s">
        <v>42</v>
      </c>
      <c r="H512" s="99"/>
      <c r="I512" s="9"/>
      <c r="J512" s="9"/>
      <c r="K512" s="9"/>
      <c r="L512" s="9"/>
      <c r="M512" s="9"/>
      <c r="N512" s="9"/>
      <c r="O512" s="9"/>
    </row>
    <row r="513" ht="22.5" customHeight="1">
      <c r="A513" s="49"/>
      <c r="C513" s="192">
        <v>46094.0</v>
      </c>
      <c r="D513" s="195">
        <v>60000.0</v>
      </c>
      <c r="E513" s="69" t="s">
        <v>915</v>
      </c>
      <c r="F513" s="69" t="s">
        <v>41</v>
      </c>
      <c r="G513" s="69" t="s">
        <v>42</v>
      </c>
      <c r="H513" s="99"/>
      <c r="I513" s="9"/>
      <c r="J513" s="9"/>
      <c r="K513" s="9"/>
      <c r="L513" s="9"/>
      <c r="M513" s="9"/>
      <c r="N513" s="9"/>
      <c r="O513" s="9"/>
    </row>
    <row r="514" ht="22.5" customHeight="1">
      <c r="A514" s="49"/>
      <c r="C514" s="192">
        <v>46095.0</v>
      </c>
      <c r="D514" s="195">
        <v>250000.0</v>
      </c>
      <c r="E514" s="69" t="s">
        <v>916</v>
      </c>
      <c r="F514" s="69" t="s">
        <v>41</v>
      </c>
      <c r="G514" s="69" t="s">
        <v>42</v>
      </c>
      <c r="H514" s="99"/>
      <c r="I514" s="9"/>
      <c r="J514" s="9"/>
      <c r="K514" s="9"/>
      <c r="L514" s="9"/>
      <c r="M514" s="9"/>
      <c r="N514" s="9"/>
      <c r="O514" s="9"/>
    </row>
    <row r="515" ht="22.5" customHeight="1">
      <c r="A515" s="49"/>
      <c r="C515" s="192">
        <v>46095.0</v>
      </c>
      <c r="D515" s="195">
        <v>15000.0</v>
      </c>
      <c r="E515" s="69" t="s">
        <v>917</v>
      </c>
      <c r="F515" s="69" t="s">
        <v>45</v>
      </c>
      <c r="G515" s="69" t="s">
        <v>42</v>
      </c>
      <c r="H515" s="99"/>
      <c r="I515" s="9"/>
      <c r="J515" s="9"/>
      <c r="K515" s="9"/>
      <c r="L515" s="9"/>
      <c r="M515" s="9"/>
      <c r="N515" s="9"/>
      <c r="O515" s="9"/>
    </row>
    <row r="516" ht="22.5" customHeight="1">
      <c r="A516" s="49"/>
      <c r="C516" s="192">
        <v>46095.0</v>
      </c>
      <c r="D516" s="195">
        <v>130000.0</v>
      </c>
      <c r="E516" s="69" t="s">
        <v>356</v>
      </c>
      <c r="F516" s="69" t="s">
        <v>41</v>
      </c>
      <c r="G516" s="69" t="s">
        <v>42</v>
      </c>
      <c r="H516" s="99"/>
      <c r="I516" s="9"/>
      <c r="J516" s="9"/>
      <c r="K516" s="9"/>
      <c r="L516" s="9"/>
      <c r="M516" s="9"/>
      <c r="N516" s="9"/>
      <c r="O516" s="9"/>
    </row>
    <row r="517" ht="22.5" customHeight="1">
      <c r="A517" s="49"/>
      <c r="C517" s="192">
        <v>46095.0</v>
      </c>
      <c r="D517" s="195">
        <v>75000.0</v>
      </c>
      <c r="E517" s="69" t="s">
        <v>367</v>
      </c>
      <c r="F517" s="69" t="s">
        <v>41</v>
      </c>
      <c r="G517" s="69" t="s">
        <v>42</v>
      </c>
      <c r="H517" s="99"/>
      <c r="I517" s="9"/>
      <c r="J517" s="9"/>
      <c r="K517" s="9"/>
      <c r="L517" s="9"/>
      <c r="M517" s="9"/>
      <c r="N517" s="9"/>
      <c r="O517" s="9"/>
    </row>
    <row r="518" ht="22.5" customHeight="1">
      <c r="A518" s="49"/>
      <c r="C518" s="241">
        <v>46095.0</v>
      </c>
      <c r="D518" s="186">
        <v>4600000.0</v>
      </c>
      <c r="E518" s="284" t="s">
        <v>179</v>
      </c>
      <c r="F518" s="242" t="s">
        <v>41</v>
      </c>
      <c r="G518" s="242" t="s">
        <v>87</v>
      </c>
      <c r="H518" s="99"/>
      <c r="I518" s="9"/>
      <c r="J518" s="9"/>
      <c r="K518" s="9"/>
      <c r="L518" s="9"/>
      <c r="M518" s="9"/>
      <c r="N518" s="9"/>
      <c r="O518" s="9"/>
    </row>
    <row r="519" ht="22.5" customHeight="1">
      <c r="A519" s="49"/>
      <c r="C519" s="192">
        <v>46096.0</v>
      </c>
      <c r="D519" s="195">
        <v>20000.0</v>
      </c>
      <c r="E519" s="69" t="s">
        <v>347</v>
      </c>
      <c r="F519" s="69" t="s">
        <v>41</v>
      </c>
      <c r="G519" s="69" t="s">
        <v>42</v>
      </c>
      <c r="H519" s="99"/>
      <c r="I519" s="9"/>
      <c r="J519" s="9"/>
      <c r="K519" s="9"/>
      <c r="L519" s="9"/>
      <c r="M519" s="9"/>
      <c r="N519" s="9"/>
      <c r="O519" s="9"/>
    </row>
    <row r="520" ht="22.5" customHeight="1">
      <c r="A520" s="49"/>
      <c r="C520" s="192">
        <v>46096.0</v>
      </c>
      <c r="D520" s="195">
        <v>160000.0</v>
      </c>
      <c r="E520" s="69" t="s">
        <v>923</v>
      </c>
      <c r="F520" s="69" t="s">
        <v>41</v>
      </c>
      <c r="G520" s="69" t="s">
        <v>42</v>
      </c>
      <c r="H520" s="99"/>
      <c r="I520" s="9"/>
      <c r="J520" s="9"/>
      <c r="K520" s="9"/>
      <c r="L520" s="9"/>
      <c r="M520" s="9"/>
      <c r="N520" s="9"/>
      <c r="O520" s="9"/>
    </row>
    <row r="521" ht="22.5" customHeight="1">
      <c r="A521" s="49"/>
      <c r="C521" s="192">
        <v>46096.0</v>
      </c>
      <c r="D521" s="195">
        <v>550000.0</v>
      </c>
      <c r="E521" s="69" t="s">
        <v>732</v>
      </c>
      <c r="F521" s="69" t="s">
        <v>45</v>
      </c>
      <c r="G521" s="69" t="s">
        <v>87</v>
      </c>
      <c r="H521" s="99"/>
      <c r="I521" s="9"/>
      <c r="J521" s="9"/>
      <c r="K521" s="9"/>
      <c r="L521" s="9"/>
      <c r="M521" s="9"/>
      <c r="N521" s="9"/>
      <c r="O521" s="9"/>
    </row>
    <row r="522" ht="22.5" customHeight="1">
      <c r="A522" s="49"/>
      <c r="C522" s="192">
        <v>46097.0</v>
      </c>
      <c r="D522" s="195">
        <v>15000.0</v>
      </c>
      <c r="E522" s="69" t="s">
        <v>338</v>
      </c>
      <c r="F522" s="69" t="s">
        <v>41</v>
      </c>
      <c r="G522" s="69" t="s">
        <v>42</v>
      </c>
      <c r="H522" s="99"/>
      <c r="I522" s="9"/>
      <c r="J522" s="9"/>
      <c r="K522" s="9"/>
      <c r="L522" s="9"/>
      <c r="M522" s="9"/>
      <c r="N522" s="9"/>
      <c r="O522" s="9"/>
    </row>
    <row r="523" ht="22.5" customHeight="1">
      <c r="A523" s="49"/>
      <c r="C523" s="192">
        <v>46097.0</v>
      </c>
      <c r="D523" s="195">
        <v>120000.0</v>
      </c>
      <c r="E523" s="69" t="s">
        <v>928</v>
      </c>
      <c r="F523" s="69" t="s">
        <v>41</v>
      </c>
      <c r="G523" s="69" t="s">
        <v>42</v>
      </c>
      <c r="H523" s="99"/>
      <c r="I523" s="9"/>
      <c r="J523" s="9"/>
      <c r="K523" s="9"/>
      <c r="L523" s="9"/>
      <c r="M523" s="9"/>
      <c r="N523" s="9"/>
      <c r="O523" s="9"/>
    </row>
    <row r="524" ht="22.5" customHeight="1">
      <c r="A524" s="49"/>
      <c r="C524" s="192">
        <v>46098.0</v>
      </c>
      <c r="D524" s="195">
        <v>22500.0</v>
      </c>
      <c r="E524" s="69" t="s">
        <v>929</v>
      </c>
      <c r="F524" s="69" t="s">
        <v>41</v>
      </c>
      <c r="G524" s="69" t="s">
        <v>42</v>
      </c>
      <c r="H524" s="99"/>
      <c r="I524" s="9"/>
      <c r="J524" s="9"/>
      <c r="K524" s="9"/>
      <c r="L524" s="9"/>
      <c r="M524" s="9"/>
      <c r="N524" s="9"/>
      <c r="O524" s="9"/>
    </row>
    <row r="525" ht="22.5" customHeight="1">
      <c r="A525" s="49"/>
      <c r="C525" s="192">
        <v>46098.0</v>
      </c>
      <c r="D525" s="195">
        <v>50000.0</v>
      </c>
      <c r="E525" s="69" t="s">
        <v>885</v>
      </c>
      <c r="F525" s="69" t="s">
        <v>45</v>
      </c>
      <c r="G525" s="69" t="s">
        <v>42</v>
      </c>
      <c r="H525" s="99"/>
      <c r="I525" s="9"/>
      <c r="J525" s="9"/>
      <c r="K525" s="9"/>
      <c r="L525" s="9"/>
      <c r="M525" s="9"/>
      <c r="N525" s="9"/>
      <c r="O525" s="9"/>
    </row>
    <row r="526" ht="22.5" customHeight="1">
      <c r="A526" s="49"/>
      <c r="C526" s="192">
        <v>46098.0</v>
      </c>
      <c r="D526" s="195">
        <v>60000.0</v>
      </c>
      <c r="E526" s="69" t="s">
        <v>549</v>
      </c>
      <c r="F526" s="69" t="s">
        <v>41</v>
      </c>
      <c r="G526" s="69" t="s">
        <v>42</v>
      </c>
      <c r="H526" s="99"/>
      <c r="I526" s="9"/>
      <c r="J526" s="9"/>
      <c r="K526" s="9"/>
      <c r="L526" s="9"/>
      <c r="M526" s="9"/>
      <c r="N526" s="9"/>
      <c r="O526" s="9"/>
    </row>
    <row r="527" ht="22.5" customHeight="1">
      <c r="A527" s="49"/>
      <c r="C527" s="192">
        <v>46098.0</v>
      </c>
      <c r="D527" s="195">
        <v>50000.0</v>
      </c>
      <c r="E527" s="69" t="s">
        <v>908</v>
      </c>
      <c r="F527" s="69" t="s">
        <v>41</v>
      </c>
      <c r="G527" s="69" t="s">
        <v>42</v>
      </c>
      <c r="H527" s="99"/>
      <c r="I527" s="9"/>
      <c r="J527" s="9"/>
      <c r="K527" s="9"/>
      <c r="L527" s="9"/>
      <c r="M527" s="9"/>
      <c r="N527" s="9"/>
      <c r="O527" s="9"/>
    </row>
    <row r="528" ht="22.5" customHeight="1">
      <c r="A528" s="49"/>
      <c r="C528" s="192">
        <v>46099.0</v>
      </c>
      <c r="D528" s="195">
        <v>40000.0</v>
      </c>
      <c r="E528" s="69" t="s">
        <v>165</v>
      </c>
      <c r="F528" s="69" t="s">
        <v>41</v>
      </c>
      <c r="G528" s="69" t="s">
        <v>42</v>
      </c>
      <c r="H528" s="99"/>
      <c r="I528" s="9"/>
      <c r="J528" s="9"/>
      <c r="K528" s="9"/>
      <c r="L528" s="9"/>
      <c r="M528" s="9"/>
      <c r="N528" s="9"/>
      <c r="O528" s="9"/>
    </row>
    <row r="529" ht="22.5" customHeight="1">
      <c r="A529" s="49"/>
      <c r="C529" s="262">
        <v>46099.0</v>
      </c>
      <c r="D529" s="199">
        <v>30000.0</v>
      </c>
      <c r="E529" s="200" t="s">
        <v>936</v>
      </c>
      <c r="F529" s="200" t="s">
        <v>41</v>
      </c>
      <c r="G529" s="263" t="s">
        <v>42</v>
      </c>
      <c r="H529" s="99"/>
      <c r="I529" s="9"/>
      <c r="J529" s="9"/>
      <c r="K529" s="9"/>
      <c r="L529" s="9"/>
      <c r="M529" s="9"/>
      <c r="N529" s="9"/>
      <c r="O529" s="9"/>
    </row>
    <row r="530" ht="22.5" customHeight="1">
      <c r="A530" s="49"/>
      <c r="C530" s="192">
        <v>46100.0</v>
      </c>
      <c r="D530" s="195">
        <v>150000.0</v>
      </c>
      <c r="E530" s="69" t="s">
        <v>939</v>
      </c>
      <c r="F530" s="69" t="s">
        <v>41</v>
      </c>
      <c r="G530" s="69" t="s">
        <v>42</v>
      </c>
      <c r="H530" s="99"/>
      <c r="I530" s="9"/>
      <c r="J530" s="9"/>
      <c r="K530" s="9"/>
      <c r="L530" s="9"/>
      <c r="M530" s="9"/>
      <c r="N530" s="9"/>
      <c r="O530" s="9"/>
    </row>
    <row r="531" ht="22.5" customHeight="1">
      <c r="A531" s="49"/>
      <c r="C531" s="192">
        <v>46101.0</v>
      </c>
      <c r="D531" s="195">
        <v>107000.0</v>
      </c>
      <c r="E531" s="69" t="s">
        <v>356</v>
      </c>
      <c r="F531" s="69" t="s">
        <v>41</v>
      </c>
      <c r="G531" s="69" t="s">
        <v>87</v>
      </c>
      <c r="H531" s="99"/>
      <c r="I531" s="9"/>
      <c r="J531" s="9"/>
      <c r="K531" s="9"/>
      <c r="L531" s="9"/>
      <c r="M531" s="9"/>
      <c r="N531" s="9"/>
      <c r="O531" s="9"/>
    </row>
    <row r="532" ht="22.5" customHeight="1">
      <c r="A532" s="49"/>
      <c r="C532" s="192">
        <v>46101.0</v>
      </c>
      <c r="D532" s="195">
        <v>150000.0</v>
      </c>
      <c r="E532" s="69" t="s">
        <v>942</v>
      </c>
      <c r="F532" s="69" t="s">
        <v>41</v>
      </c>
      <c r="G532" s="69" t="s">
        <v>42</v>
      </c>
      <c r="H532" s="99"/>
      <c r="I532" s="9"/>
      <c r="J532" s="9"/>
      <c r="K532" s="9"/>
      <c r="L532" s="9"/>
      <c r="M532" s="9"/>
      <c r="N532" s="9"/>
      <c r="O532" s="9"/>
    </row>
    <row r="533" ht="22.5" customHeight="1">
      <c r="A533" s="49"/>
      <c r="C533" s="192">
        <v>46101.0</v>
      </c>
      <c r="D533" s="195">
        <v>2920000.0</v>
      </c>
      <c r="E533" s="69" t="s">
        <v>308</v>
      </c>
      <c r="F533" s="69" t="s">
        <v>41</v>
      </c>
      <c r="G533" s="69" t="s">
        <v>87</v>
      </c>
      <c r="H533" s="99"/>
      <c r="I533" s="9"/>
      <c r="J533" s="9"/>
      <c r="K533" s="9"/>
      <c r="L533" s="9"/>
      <c r="M533" s="9"/>
      <c r="N533" s="9"/>
      <c r="O533" s="9"/>
    </row>
    <row r="534" ht="22.5" customHeight="1">
      <c r="A534" s="49"/>
      <c r="C534" s="192">
        <v>46106.0</v>
      </c>
      <c r="D534" s="195">
        <v>20000.0</v>
      </c>
      <c r="E534" s="69" t="s">
        <v>945</v>
      </c>
      <c r="F534" s="69" t="s">
        <v>41</v>
      </c>
      <c r="G534" s="69" t="s">
        <v>42</v>
      </c>
      <c r="H534" s="99"/>
      <c r="I534" s="9"/>
      <c r="J534" s="9"/>
      <c r="K534" s="9"/>
      <c r="L534" s="9"/>
      <c r="M534" s="9"/>
      <c r="N534" s="9"/>
      <c r="O534" s="9"/>
    </row>
    <row r="535" ht="22.5" customHeight="1">
      <c r="A535" s="49"/>
      <c r="C535" s="192">
        <v>46106.0</v>
      </c>
      <c r="D535" s="195">
        <v>300000.0</v>
      </c>
      <c r="E535" s="69" t="s">
        <v>903</v>
      </c>
      <c r="F535" s="69" t="s">
        <v>41</v>
      </c>
      <c r="G535" s="69" t="s">
        <v>42</v>
      </c>
      <c r="H535" s="99"/>
      <c r="I535" s="9"/>
      <c r="J535" s="9"/>
      <c r="K535" s="9"/>
      <c r="L535" s="9"/>
      <c r="M535" s="9"/>
      <c r="N535" s="9"/>
      <c r="O535" s="9"/>
    </row>
    <row r="536" ht="22.5" customHeight="1">
      <c r="A536" s="49"/>
      <c r="C536" s="192">
        <v>46106.0</v>
      </c>
      <c r="D536" s="195">
        <v>72000.0</v>
      </c>
      <c r="E536" s="69" t="s">
        <v>950</v>
      </c>
      <c r="F536" s="69" t="s">
        <v>41</v>
      </c>
      <c r="G536" s="69" t="s">
        <v>42</v>
      </c>
      <c r="H536" s="99"/>
      <c r="I536" s="9"/>
      <c r="J536" s="9"/>
      <c r="K536" s="9"/>
      <c r="L536" s="9"/>
      <c r="M536" s="9"/>
      <c r="N536" s="9"/>
      <c r="O536" s="9"/>
    </row>
    <row r="537" ht="22.5" customHeight="1">
      <c r="A537" s="49"/>
      <c r="C537" s="192">
        <v>46106.0</v>
      </c>
      <c r="D537" s="195">
        <v>71000.0</v>
      </c>
      <c r="E537" s="69" t="s">
        <v>435</v>
      </c>
      <c r="F537" s="69" t="s">
        <v>41</v>
      </c>
      <c r="G537" s="69" t="s">
        <v>42</v>
      </c>
      <c r="H537" s="99"/>
      <c r="I537" s="9"/>
      <c r="J537" s="9"/>
      <c r="K537" s="9"/>
      <c r="L537" s="9"/>
      <c r="M537" s="9"/>
      <c r="N537" s="9"/>
      <c r="O537" s="9"/>
    </row>
    <row r="538" ht="22.5" customHeight="1">
      <c r="A538" s="49"/>
      <c r="C538" s="192">
        <v>46107.0</v>
      </c>
      <c r="D538" s="195">
        <v>50000.0</v>
      </c>
      <c r="E538" s="69" t="s">
        <v>951</v>
      </c>
      <c r="F538" s="69" t="s">
        <v>41</v>
      </c>
      <c r="G538" s="69" t="s">
        <v>42</v>
      </c>
      <c r="H538" s="99"/>
      <c r="I538" s="9"/>
      <c r="J538" s="9"/>
      <c r="K538" s="9"/>
      <c r="L538" s="9"/>
      <c r="M538" s="9"/>
      <c r="N538" s="9"/>
      <c r="O538" s="9"/>
    </row>
    <row r="539" ht="22.5" customHeight="1">
      <c r="A539" s="49"/>
      <c r="C539" s="192">
        <v>46107.0</v>
      </c>
      <c r="D539" s="195">
        <v>170500.0</v>
      </c>
      <c r="E539" s="69" t="s">
        <v>954</v>
      </c>
      <c r="F539" s="69" t="s">
        <v>41</v>
      </c>
      <c r="G539" s="69" t="s">
        <v>42</v>
      </c>
      <c r="H539" s="99"/>
      <c r="I539" s="9"/>
      <c r="J539" s="9"/>
      <c r="K539" s="9"/>
      <c r="L539" s="9"/>
      <c r="M539" s="9"/>
      <c r="N539" s="9"/>
      <c r="O539" s="9"/>
    </row>
    <row r="540" ht="22.5" customHeight="1">
      <c r="A540" s="49"/>
      <c r="C540" s="192">
        <v>46108.0</v>
      </c>
      <c r="D540" s="195">
        <v>200000.0</v>
      </c>
      <c r="E540" s="69" t="s">
        <v>230</v>
      </c>
      <c r="F540" s="69" t="s">
        <v>41</v>
      </c>
      <c r="G540" s="69" t="s">
        <v>42</v>
      </c>
      <c r="H540" s="99"/>
      <c r="I540" s="9"/>
      <c r="J540" s="9"/>
      <c r="K540" s="9"/>
      <c r="L540" s="9"/>
      <c r="M540" s="9"/>
      <c r="N540" s="9"/>
      <c r="O540" s="9"/>
    </row>
    <row r="541" ht="22.5" customHeight="1">
      <c r="A541" s="49"/>
      <c r="C541" s="192">
        <v>46109.0</v>
      </c>
      <c r="D541" s="195">
        <v>150000.0</v>
      </c>
      <c r="E541" s="69" t="s">
        <v>960</v>
      </c>
      <c r="F541" s="69" t="s">
        <v>41</v>
      </c>
      <c r="G541" s="69" t="s">
        <v>42</v>
      </c>
      <c r="H541" s="99"/>
      <c r="I541" s="9"/>
      <c r="J541" s="9"/>
      <c r="K541" s="9"/>
      <c r="L541" s="9"/>
      <c r="M541" s="9"/>
      <c r="N541" s="9"/>
      <c r="O541" s="9"/>
    </row>
    <row r="542" ht="22.5" customHeight="1">
      <c r="A542" s="49"/>
      <c r="C542" s="192">
        <v>46109.0</v>
      </c>
      <c r="D542" s="195">
        <v>20000.0</v>
      </c>
      <c r="E542" s="69" t="s">
        <v>347</v>
      </c>
      <c r="F542" s="69" t="s">
        <v>41</v>
      </c>
      <c r="G542" s="69" t="s">
        <v>42</v>
      </c>
      <c r="H542" s="99"/>
      <c r="I542" s="9"/>
      <c r="J542" s="9"/>
      <c r="K542" s="9"/>
      <c r="L542" s="9"/>
      <c r="M542" s="9"/>
      <c r="N542" s="9"/>
      <c r="O542" s="9"/>
    </row>
    <row r="543" ht="22.5" customHeight="1">
      <c r="A543" s="49"/>
      <c r="C543" s="192">
        <v>46109.0</v>
      </c>
      <c r="D543" s="63">
        <f>420000+468000+625000+500000+213000+284000+300000</f>
        <v>2810000</v>
      </c>
      <c r="E543" s="69" t="s">
        <v>308</v>
      </c>
      <c r="F543" s="69" t="s">
        <v>41</v>
      </c>
      <c r="G543" s="69" t="s">
        <v>87</v>
      </c>
      <c r="H543" s="99"/>
      <c r="I543" s="9"/>
      <c r="J543" s="9"/>
      <c r="K543" s="9"/>
      <c r="L543" s="9"/>
      <c r="M543" s="9"/>
      <c r="N543" s="9"/>
      <c r="O543" s="9"/>
    </row>
    <row r="544" ht="22.5" customHeight="1">
      <c r="A544" s="49"/>
      <c r="C544" s="192">
        <v>46110.0</v>
      </c>
      <c r="D544" s="195">
        <v>270000.0</v>
      </c>
      <c r="E544" s="69" t="s">
        <v>965</v>
      </c>
      <c r="F544" s="69" t="s">
        <v>41</v>
      </c>
      <c r="G544" s="69" t="s">
        <v>87</v>
      </c>
      <c r="H544" s="99"/>
      <c r="I544" s="9"/>
      <c r="J544" s="9"/>
      <c r="K544" s="9"/>
      <c r="L544" s="9"/>
      <c r="M544" s="9"/>
      <c r="N544" s="9"/>
      <c r="O544" s="9"/>
    </row>
    <row r="545" ht="22.5" customHeight="1">
      <c r="A545" s="49"/>
      <c r="C545" s="192">
        <v>46111.0</v>
      </c>
      <c r="D545" s="195">
        <v>92000.0</v>
      </c>
      <c r="E545" s="69" t="s">
        <v>356</v>
      </c>
      <c r="F545" s="69" t="s">
        <v>41</v>
      </c>
      <c r="G545" s="69" t="s">
        <v>42</v>
      </c>
      <c r="H545" s="99"/>
      <c r="I545" s="9"/>
      <c r="J545" s="9"/>
      <c r="K545" s="9"/>
      <c r="L545" s="9"/>
      <c r="M545" s="9"/>
      <c r="N545" s="9"/>
      <c r="O545" s="9"/>
    </row>
    <row r="546" ht="22.5" customHeight="1">
      <c r="A546" s="49"/>
      <c r="C546" s="192">
        <v>46111.0</v>
      </c>
      <c r="D546" s="195">
        <v>100000.0</v>
      </c>
      <c r="E546" s="69" t="s">
        <v>758</v>
      </c>
      <c r="F546" s="69" t="s">
        <v>41</v>
      </c>
      <c r="G546" s="69" t="s">
        <v>42</v>
      </c>
      <c r="H546" s="99"/>
      <c r="I546" s="9"/>
      <c r="J546" s="9"/>
      <c r="K546" s="9"/>
      <c r="L546" s="9"/>
      <c r="M546" s="9"/>
      <c r="N546" s="9"/>
      <c r="O546" s="9"/>
    </row>
    <row r="547" ht="22.5" customHeight="1">
      <c r="A547" s="49"/>
      <c r="C547" s="192">
        <v>46111.0</v>
      </c>
      <c r="D547" s="195">
        <v>50000.0</v>
      </c>
      <c r="E547" s="69" t="s">
        <v>423</v>
      </c>
      <c r="F547" s="69" t="s">
        <v>41</v>
      </c>
      <c r="G547" s="69" t="s">
        <v>42</v>
      </c>
      <c r="H547" s="99"/>
      <c r="I547" s="9"/>
      <c r="J547" s="9"/>
      <c r="K547" s="9"/>
      <c r="L547" s="9"/>
      <c r="M547" s="9"/>
      <c r="N547" s="9"/>
      <c r="O547" s="9"/>
    </row>
    <row r="548" ht="22.5" customHeight="1">
      <c r="A548" s="49"/>
      <c r="C548" s="192">
        <v>46111.0</v>
      </c>
      <c r="D548" s="195">
        <v>20000.0</v>
      </c>
      <c r="E548" s="69" t="s">
        <v>347</v>
      </c>
      <c r="F548" s="69" t="s">
        <v>41</v>
      </c>
      <c r="G548" s="69" t="s">
        <v>42</v>
      </c>
      <c r="H548" s="99"/>
      <c r="I548" s="9"/>
      <c r="J548" s="9"/>
      <c r="K548" s="9"/>
      <c r="L548" s="9"/>
      <c r="M548" s="9"/>
      <c r="N548" s="9"/>
      <c r="O548" s="9"/>
    </row>
    <row r="549" ht="22.5" customHeight="1">
      <c r="A549" s="49"/>
      <c r="C549" s="192">
        <v>46111.0</v>
      </c>
      <c r="D549" s="195">
        <v>175000.0</v>
      </c>
      <c r="E549" s="69" t="s">
        <v>756</v>
      </c>
      <c r="F549" s="69" t="s">
        <v>41</v>
      </c>
      <c r="G549" s="69" t="s">
        <v>42</v>
      </c>
      <c r="H549" s="99"/>
      <c r="I549" s="9"/>
      <c r="J549" s="9"/>
      <c r="K549" s="9"/>
      <c r="L549" s="9"/>
      <c r="M549" s="9"/>
      <c r="N549" s="9"/>
      <c r="O549" s="9"/>
    </row>
    <row r="550" ht="22.5" customHeight="1">
      <c r="A550" s="49"/>
      <c r="C550" s="192">
        <v>46111.0</v>
      </c>
      <c r="D550" s="195">
        <v>40000.0</v>
      </c>
      <c r="E550" s="69" t="s">
        <v>165</v>
      </c>
      <c r="F550" s="69" t="s">
        <v>41</v>
      </c>
      <c r="G550" s="69" t="s">
        <v>42</v>
      </c>
      <c r="H550" s="99"/>
      <c r="I550" s="9"/>
      <c r="J550" s="9"/>
      <c r="K550" s="9"/>
      <c r="L550" s="9"/>
      <c r="M550" s="9"/>
      <c r="N550" s="9"/>
      <c r="O550" s="9"/>
    </row>
    <row r="551" ht="22.5" customHeight="1">
      <c r="A551" s="49"/>
      <c r="C551" s="192">
        <v>46111.0</v>
      </c>
      <c r="D551" s="195">
        <v>80000.0</v>
      </c>
      <c r="E551" s="69" t="s">
        <v>337</v>
      </c>
      <c r="F551" s="69" t="s">
        <v>41</v>
      </c>
      <c r="G551" s="69" t="s">
        <v>42</v>
      </c>
      <c r="H551" s="99"/>
      <c r="I551" s="9"/>
      <c r="J551" s="9"/>
      <c r="K551" s="9"/>
      <c r="L551" s="9"/>
      <c r="M551" s="9"/>
      <c r="N551" s="9"/>
      <c r="O551" s="9"/>
    </row>
    <row r="552" ht="22.5" customHeight="1">
      <c r="A552" s="49"/>
      <c r="C552" s="192">
        <v>46112.0</v>
      </c>
      <c r="D552" s="195">
        <v>145000.0</v>
      </c>
      <c r="E552" s="69" t="s">
        <v>976</v>
      </c>
      <c r="F552" s="69" t="s">
        <v>41</v>
      </c>
      <c r="G552" s="69" t="s">
        <v>42</v>
      </c>
      <c r="H552" s="99"/>
      <c r="I552" s="9"/>
      <c r="J552" s="9"/>
      <c r="K552" s="9"/>
      <c r="L552" s="9"/>
      <c r="M552" s="9"/>
      <c r="N552" s="9"/>
      <c r="O552" s="9"/>
    </row>
    <row r="553" ht="22.5" customHeight="1">
      <c r="A553" s="49"/>
      <c r="C553" s="192">
        <v>46112.0</v>
      </c>
      <c r="D553" s="195">
        <v>15000.0</v>
      </c>
      <c r="E553" s="69" t="s">
        <v>977</v>
      </c>
      <c r="F553" s="69" t="s">
        <v>41</v>
      </c>
      <c r="G553" s="69" t="s">
        <v>42</v>
      </c>
      <c r="H553" s="99"/>
      <c r="I553" s="9"/>
      <c r="J553" s="9"/>
      <c r="K553" s="9"/>
      <c r="L553" s="9"/>
      <c r="M553" s="9"/>
      <c r="N553" s="9"/>
      <c r="O553" s="9"/>
    </row>
    <row r="554" ht="22.5" customHeight="1">
      <c r="A554" s="49"/>
      <c r="C554" s="192">
        <v>46112.0</v>
      </c>
      <c r="D554" s="195">
        <v>80000.0</v>
      </c>
      <c r="E554" s="69" t="s">
        <v>980</v>
      </c>
      <c r="F554" s="69" t="s">
        <v>41</v>
      </c>
      <c r="G554" s="69" t="s">
        <v>42</v>
      </c>
      <c r="H554" s="99"/>
      <c r="I554" s="9"/>
      <c r="J554" s="9"/>
      <c r="K554" s="9"/>
      <c r="L554" s="9"/>
      <c r="M554" s="9"/>
      <c r="N554" s="9"/>
      <c r="O554" s="9"/>
    </row>
    <row r="555" ht="22.5" customHeight="1">
      <c r="A555" s="49"/>
      <c r="C555" s="192">
        <v>46112.0</v>
      </c>
      <c r="D555" s="195">
        <v>365000.0</v>
      </c>
      <c r="E555" s="69" t="s">
        <v>481</v>
      </c>
      <c r="F555" s="69" t="s">
        <v>41</v>
      </c>
      <c r="G555" s="69" t="s">
        <v>42</v>
      </c>
      <c r="H555" s="99"/>
      <c r="I555" s="9"/>
      <c r="J555" s="9"/>
      <c r="K555" s="9"/>
      <c r="L555" s="9"/>
      <c r="M555" s="9"/>
      <c r="N555" s="9"/>
      <c r="O555" s="9"/>
    </row>
    <row r="556" ht="22.5" customHeight="1">
      <c r="A556" s="49"/>
      <c r="C556" s="192">
        <v>46112.0</v>
      </c>
      <c r="D556" s="195">
        <v>60000.0</v>
      </c>
      <c r="E556" s="69" t="s">
        <v>983</v>
      </c>
      <c r="F556" s="69" t="s">
        <v>41</v>
      </c>
      <c r="G556" s="69" t="s">
        <v>42</v>
      </c>
      <c r="H556" s="99"/>
      <c r="I556" s="9"/>
      <c r="J556" s="9"/>
      <c r="K556" s="9"/>
      <c r="L556" s="9"/>
      <c r="M556" s="9"/>
      <c r="N556" s="9"/>
      <c r="O556" s="9"/>
    </row>
    <row r="557" ht="22.5" customHeight="1">
      <c r="A557" s="49"/>
      <c r="C557" s="192">
        <v>46113.0</v>
      </c>
      <c r="D557" s="195">
        <v>25000.0</v>
      </c>
      <c r="E557" s="69" t="s">
        <v>64</v>
      </c>
      <c r="F557" s="69" t="s">
        <v>41</v>
      </c>
      <c r="G557" s="69" t="s">
        <v>42</v>
      </c>
      <c r="H557" s="99"/>
      <c r="I557" s="9"/>
      <c r="J557" s="9"/>
      <c r="K557" s="9"/>
      <c r="L557" s="9"/>
      <c r="M557" s="9"/>
      <c r="N557" s="9"/>
      <c r="O557" s="9"/>
    </row>
    <row r="558" ht="22.5" customHeight="1">
      <c r="A558" s="49"/>
      <c r="C558" s="192">
        <v>46113.0</v>
      </c>
      <c r="D558" s="195">
        <v>40000.0</v>
      </c>
      <c r="E558" s="69" t="s">
        <v>484</v>
      </c>
      <c r="F558" s="69" t="s">
        <v>41</v>
      </c>
      <c r="G558" s="69" t="s">
        <v>42</v>
      </c>
      <c r="H558" s="99"/>
      <c r="I558" s="9"/>
      <c r="J558" s="9"/>
      <c r="K558" s="9"/>
      <c r="L558" s="9"/>
      <c r="M558" s="9"/>
      <c r="N558" s="9"/>
      <c r="O558" s="9"/>
    </row>
    <row r="559" ht="22.5" customHeight="1">
      <c r="A559" s="49"/>
      <c r="C559" s="192">
        <v>46113.0</v>
      </c>
      <c r="D559" s="195">
        <v>12000.0</v>
      </c>
      <c r="E559" s="69" t="s">
        <v>986</v>
      </c>
      <c r="F559" s="69" t="s">
        <v>41</v>
      </c>
      <c r="G559" s="69" t="s">
        <v>42</v>
      </c>
      <c r="H559" s="99"/>
      <c r="I559" s="9"/>
      <c r="J559" s="9"/>
      <c r="K559" s="9"/>
      <c r="L559" s="9"/>
      <c r="M559" s="9"/>
      <c r="N559" s="9"/>
      <c r="O559" s="9"/>
    </row>
    <row r="560" ht="22.5" customHeight="1">
      <c r="A560" s="49"/>
      <c r="C560" s="192">
        <v>46113.0</v>
      </c>
      <c r="D560" s="195">
        <v>10000.0</v>
      </c>
      <c r="E560" s="69" t="s">
        <v>175</v>
      </c>
      <c r="F560" s="69" t="s">
        <v>41</v>
      </c>
      <c r="G560" s="69" t="s">
        <v>42</v>
      </c>
      <c r="H560" s="99"/>
      <c r="I560" s="9"/>
      <c r="J560" s="9"/>
      <c r="K560" s="9"/>
      <c r="L560" s="9"/>
      <c r="M560" s="9"/>
      <c r="N560" s="9"/>
      <c r="O560" s="9"/>
    </row>
    <row r="561" ht="22.5" customHeight="1">
      <c r="A561" s="49"/>
      <c r="C561" s="192">
        <v>46113.0</v>
      </c>
      <c r="D561" s="195">
        <v>270000.0</v>
      </c>
      <c r="E561" s="69" t="s">
        <v>989</v>
      </c>
      <c r="F561" s="69" t="s">
        <v>41</v>
      </c>
      <c r="G561" s="69" t="s">
        <v>42</v>
      </c>
      <c r="H561" s="99"/>
      <c r="I561" s="9"/>
      <c r="J561" s="9"/>
      <c r="K561" s="9"/>
      <c r="L561" s="9"/>
      <c r="M561" s="9"/>
      <c r="N561" s="9"/>
      <c r="O561" s="9"/>
    </row>
    <row r="562" ht="22.5" customHeight="1">
      <c r="A562" s="49"/>
      <c r="C562" s="192">
        <v>46114.0</v>
      </c>
      <c r="D562" s="195">
        <v>300000.0</v>
      </c>
      <c r="E562" s="69" t="s">
        <v>211</v>
      </c>
      <c r="F562" s="69" t="s">
        <v>41</v>
      </c>
      <c r="G562" s="69" t="s">
        <v>42</v>
      </c>
      <c r="H562" s="99"/>
      <c r="I562" s="9"/>
      <c r="J562" s="9"/>
      <c r="K562" s="9"/>
      <c r="L562" s="9"/>
      <c r="M562" s="9"/>
      <c r="N562" s="9"/>
      <c r="O562" s="9"/>
    </row>
    <row r="563" ht="22.5" customHeight="1">
      <c r="A563" s="49"/>
      <c r="C563" s="192">
        <v>46115.0</v>
      </c>
      <c r="D563" s="195">
        <v>25000.0</v>
      </c>
      <c r="E563" s="69" t="s">
        <v>337</v>
      </c>
      <c r="F563" s="69" t="s">
        <v>41</v>
      </c>
      <c r="G563" s="69" t="s">
        <v>42</v>
      </c>
      <c r="H563" s="99"/>
      <c r="I563" s="9"/>
      <c r="J563" s="9"/>
      <c r="K563" s="9"/>
      <c r="L563" s="9"/>
      <c r="M563" s="9"/>
      <c r="N563" s="9"/>
      <c r="O563" s="9"/>
    </row>
    <row r="564" ht="22.5" customHeight="1">
      <c r="A564" s="49"/>
      <c r="C564" s="192">
        <v>46116.0</v>
      </c>
      <c r="D564" s="195">
        <v>275000.0</v>
      </c>
      <c r="E564" s="69" t="s">
        <v>992</v>
      </c>
      <c r="F564" s="69" t="s">
        <v>41</v>
      </c>
      <c r="G564" s="69" t="s">
        <v>87</v>
      </c>
      <c r="H564" s="99"/>
      <c r="I564" s="9"/>
      <c r="J564" s="9"/>
      <c r="K564" s="9"/>
      <c r="L564" s="9"/>
      <c r="M564" s="9"/>
      <c r="N564" s="9"/>
      <c r="O564" s="9"/>
    </row>
    <row r="565" ht="22.5" customHeight="1">
      <c r="A565" s="49"/>
      <c r="C565" s="192">
        <v>46116.0</v>
      </c>
      <c r="D565" s="195">
        <v>3660000.0</v>
      </c>
      <c r="E565" s="69" t="s">
        <v>179</v>
      </c>
      <c r="F565" s="69" t="s">
        <v>45</v>
      </c>
      <c r="G565" s="69" t="s">
        <v>87</v>
      </c>
      <c r="H565" s="99"/>
      <c r="I565" s="9"/>
      <c r="J565" s="9"/>
      <c r="K565" s="9"/>
      <c r="L565" s="9"/>
      <c r="M565" s="9"/>
      <c r="N565" s="9"/>
      <c r="O565" s="9"/>
    </row>
    <row r="566" ht="22.5" customHeight="1">
      <c r="A566" s="49"/>
      <c r="C566" s="192">
        <v>46116.0</v>
      </c>
      <c r="D566" s="195">
        <v>185000.0</v>
      </c>
      <c r="E566" s="69" t="s">
        <v>435</v>
      </c>
      <c r="F566" s="69" t="s">
        <v>41</v>
      </c>
      <c r="G566" s="69" t="s">
        <v>42</v>
      </c>
      <c r="H566" s="99"/>
      <c r="I566" s="9"/>
      <c r="J566" s="9"/>
      <c r="K566" s="9"/>
      <c r="L566" s="9"/>
      <c r="M566" s="9"/>
      <c r="N566" s="9"/>
      <c r="O566" s="9"/>
    </row>
    <row r="567" ht="22.5" customHeight="1">
      <c r="A567" s="49"/>
      <c r="C567" s="192">
        <v>46116.0</v>
      </c>
      <c r="D567" s="195">
        <v>1585050.0</v>
      </c>
      <c r="E567" s="69" t="s">
        <v>996</v>
      </c>
      <c r="F567" s="69" t="s">
        <v>45</v>
      </c>
      <c r="G567" s="69" t="s">
        <v>87</v>
      </c>
      <c r="H567" s="99"/>
      <c r="I567" s="9"/>
      <c r="J567" s="9"/>
      <c r="K567" s="9"/>
      <c r="L567" s="9"/>
      <c r="M567" s="9"/>
      <c r="N567" s="9"/>
      <c r="O567" s="9"/>
    </row>
    <row r="568" ht="22.5" customHeight="1">
      <c r="A568" s="49"/>
      <c r="C568" s="192">
        <v>46117.0</v>
      </c>
      <c r="D568" s="195">
        <v>330000.0</v>
      </c>
      <c r="E568" s="69" t="s">
        <v>302</v>
      </c>
      <c r="F568" s="69" t="s">
        <v>45</v>
      </c>
      <c r="G568" s="69" t="s">
        <v>87</v>
      </c>
      <c r="H568" s="99"/>
      <c r="I568" s="9"/>
      <c r="J568" s="9"/>
      <c r="K568" s="9"/>
      <c r="L568" s="9"/>
      <c r="M568" s="9"/>
      <c r="N568" s="9"/>
      <c r="O568" s="9"/>
    </row>
    <row r="569" ht="22.5" customHeight="1">
      <c r="A569" s="49"/>
      <c r="C569" s="192">
        <v>46118.0</v>
      </c>
      <c r="D569" s="195">
        <v>20000.0</v>
      </c>
      <c r="E569" s="69" t="s">
        <v>347</v>
      </c>
      <c r="F569" s="69" t="s">
        <v>41</v>
      </c>
      <c r="G569" s="69" t="s">
        <v>42</v>
      </c>
      <c r="H569" s="99"/>
      <c r="I569" s="9"/>
      <c r="J569" s="9"/>
      <c r="K569" s="9"/>
      <c r="L569" s="9"/>
      <c r="M569" s="9"/>
      <c r="N569" s="9"/>
      <c r="O569" s="9"/>
    </row>
    <row r="570" ht="22.5" customHeight="1">
      <c r="A570" s="49"/>
      <c r="C570" s="192">
        <v>46118.0</v>
      </c>
      <c r="D570" s="195">
        <v>50000.0</v>
      </c>
      <c r="E570" s="69" t="s">
        <v>1000</v>
      </c>
      <c r="F570" s="69" t="s">
        <v>41</v>
      </c>
      <c r="G570" s="69" t="s">
        <v>42</v>
      </c>
      <c r="H570" s="99"/>
      <c r="I570" s="9"/>
      <c r="J570" s="9"/>
      <c r="K570" s="9"/>
      <c r="L570" s="9"/>
      <c r="M570" s="9"/>
      <c r="N570" s="9"/>
      <c r="O570" s="9"/>
    </row>
    <row r="571" ht="22.5" customHeight="1">
      <c r="A571" s="49"/>
      <c r="C571" s="192">
        <v>46118.0</v>
      </c>
      <c r="D571" s="195">
        <v>50000.0</v>
      </c>
      <c r="E571" s="69" t="s">
        <v>1001</v>
      </c>
      <c r="F571" s="69" t="s">
        <v>41</v>
      </c>
      <c r="G571" s="69" t="s">
        <v>42</v>
      </c>
      <c r="H571" s="99"/>
      <c r="I571" s="9"/>
      <c r="J571" s="9"/>
      <c r="K571" s="9"/>
      <c r="L571" s="9"/>
      <c r="M571" s="9"/>
      <c r="N571" s="9"/>
      <c r="O571" s="9"/>
    </row>
    <row r="572" ht="22.5" customHeight="1">
      <c r="A572" s="49"/>
      <c r="C572" s="192">
        <v>46119.0</v>
      </c>
      <c r="D572" s="195">
        <v>45000.0</v>
      </c>
      <c r="E572" s="69" t="s">
        <v>356</v>
      </c>
      <c r="F572" s="69" t="s">
        <v>41</v>
      </c>
      <c r="G572" s="69" t="s">
        <v>42</v>
      </c>
      <c r="H572" s="99"/>
      <c r="I572" s="9"/>
      <c r="J572" s="9"/>
      <c r="K572" s="9"/>
      <c r="L572" s="9"/>
      <c r="M572" s="9"/>
      <c r="N572" s="9"/>
      <c r="O572" s="9"/>
    </row>
    <row r="573" ht="22.5" customHeight="1">
      <c r="A573" s="49"/>
      <c r="C573" s="192">
        <v>46119.0</v>
      </c>
      <c r="D573" s="195">
        <v>20000.0</v>
      </c>
      <c r="E573" s="69" t="s">
        <v>328</v>
      </c>
      <c r="F573" s="69" t="s">
        <v>45</v>
      </c>
      <c r="G573" s="69" t="s">
        <v>42</v>
      </c>
      <c r="H573" s="99"/>
      <c r="I573" s="9"/>
      <c r="J573" s="9"/>
      <c r="K573" s="9"/>
      <c r="L573" s="9"/>
      <c r="M573" s="9"/>
      <c r="N573" s="9"/>
      <c r="O573" s="9"/>
    </row>
    <row r="574" ht="22.5" customHeight="1">
      <c r="A574" s="49"/>
      <c r="C574" s="192">
        <v>46119.0</v>
      </c>
      <c r="D574" s="195">
        <v>20000.0</v>
      </c>
      <c r="E574" s="69" t="s">
        <v>195</v>
      </c>
      <c r="F574" s="69" t="s">
        <v>45</v>
      </c>
      <c r="G574" s="69" t="s">
        <v>42</v>
      </c>
      <c r="H574" s="99"/>
      <c r="I574" s="9"/>
      <c r="J574" s="9"/>
      <c r="K574" s="9"/>
      <c r="L574" s="9"/>
      <c r="M574" s="9"/>
      <c r="N574" s="9"/>
      <c r="O574" s="9"/>
    </row>
    <row r="575" ht="22.5" customHeight="1">
      <c r="A575" s="49"/>
      <c r="C575" s="192">
        <v>46119.0</v>
      </c>
      <c r="D575" s="195">
        <v>100000.0</v>
      </c>
      <c r="E575" s="69" t="s">
        <v>175</v>
      </c>
      <c r="F575" s="69" t="s">
        <v>41</v>
      </c>
      <c r="G575" s="69" t="s">
        <v>42</v>
      </c>
      <c r="H575" s="99"/>
      <c r="I575" s="9"/>
      <c r="J575" s="9"/>
      <c r="K575" s="9"/>
      <c r="L575" s="9"/>
      <c r="M575" s="9"/>
      <c r="N575" s="9"/>
      <c r="O575" s="9"/>
    </row>
    <row r="576" ht="22.5" customHeight="1">
      <c r="A576" s="49"/>
      <c r="C576" s="192">
        <v>46120.0</v>
      </c>
      <c r="D576" s="195">
        <v>10000.0</v>
      </c>
      <c r="E576" s="69" t="s">
        <v>945</v>
      </c>
      <c r="F576" s="69" t="s">
        <v>41</v>
      </c>
      <c r="G576" s="69" t="s">
        <v>42</v>
      </c>
      <c r="H576" s="99"/>
      <c r="I576" s="9"/>
      <c r="J576" s="9"/>
      <c r="K576" s="9"/>
      <c r="L576" s="9"/>
      <c r="M576" s="9"/>
      <c r="N576" s="9"/>
      <c r="O576" s="9"/>
    </row>
    <row r="577" ht="22.5" customHeight="1">
      <c r="A577" s="49"/>
      <c r="C577" s="192">
        <v>46120.0</v>
      </c>
      <c r="D577" s="195">
        <v>210000.0</v>
      </c>
      <c r="E577" s="69" t="s">
        <v>98</v>
      </c>
      <c r="F577" s="69" t="s">
        <v>41</v>
      </c>
      <c r="G577" s="69" t="s">
        <v>42</v>
      </c>
      <c r="H577" s="99"/>
      <c r="I577" s="9"/>
      <c r="J577" s="9"/>
      <c r="K577" s="9"/>
      <c r="L577" s="9"/>
      <c r="M577" s="9"/>
      <c r="N577" s="9"/>
      <c r="O577" s="9"/>
    </row>
    <row r="578" ht="22.5" customHeight="1">
      <c r="A578" s="49"/>
      <c r="C578" s="192">
        <v>46120.0</v>
      </c>
      <c r="D578" s="195">
        <v>20000.0</v>
      </c>
      <c r="E578" s="69" t="s">
        <v>64</v>
      </c>
      <c r="F578" s="69" t="s">
        <v>41</v>
      </c>
      <c r="G578" s="69" t="s">
        <v>42</v>
      </c>
      <c r="H578" s="99"/>
      <c r="I578" s="9"/>
      <c r="J578" s="9"/>
      <c r="K578" s="9"/>
      <c r="L578" s="9"/>
      <c r="M578" s="9"/>
      <c r="N578" s="9"/>
      <c r="O578" s="9"/>
    </row>
    <row r="579" ht="22.5" customHeight="1">
      <c r="A579" s="49"/>
      <c r="C579" s="192">
        <v>46120.0</v>
      </c>
      <c r="D579" s="195">
        <v>20000.0</v>
      </c>
      <c r="E579" s="69" t="s">
        <v>1011</v>
      </c>
      <c r="F579" s="69" t="s">
        <v>45</v>
      </c>
      <c r="G579" s="69" t="s">
        <v>42</v>
      </c>
      <c r="H579" s="99"/>
      <c r="I579" s="9"/>
      <c r="J579" s="9"/>
      <c r="K579" s="9"/>
      <c r="L579" s="9"/>
      <c r="M579" s="9"/>
      <c r="N579" s="9"/>
      <c r="O579" s="9"/>
    </row>
    <row r="580" ht="22.5" customHeight="1">
      <c r="A580" s="49"/>
      <c r="C580" s="192">
        <v>46120.0</v>
      </c>
      <c r="D580" s="195">
        <v>10000.0</v>
      </c>
      <c r="E580" s="69" t="s">
        <v>406</v>
      </c>
      <c r="F580" s="69" t="s">
        <v>41</v>
      </c>
      <c r="G580" s="69" t="s">
        <v>42</v>
      </c>
      <c r="H580" s="99"/>
      <c r="I580" s="9"/>
      <c r="J580" s="9"/>
      <c r="K580" s="9"/>
      <c r="L580" s="9"/>
      <c r="M580" s="9"/>
      <c r="N580" s="9"/>
      <c r="O580" s="9"/>
    </row>
    <row r="581" ht="22.5" customHeight="1">
      <c r="A581" s="49"/>
      <c r="C581" s="192">
        <v>46121.0</v>
      </c>
      <c r="D581" s="195">
        <v>35000.0</v>
      </c>
      <c r="E581" s="69" t="s">
        <v>449</v>
      </c>
      <c r="F581" s="69" t="s">
        <v>41</v>
      </c>
      <c r="G581" s="69" t="s">
        <v>42</v>
      </c>
      <c r="H581" s="99"/>
      <c r="I581" s="9"/>
      <c r="J581" s="9"/>
      <c r="K581" s="9"/>
      <c r="L581" s="9"/>
      <c r="M581" s="9"/>
      <c r="N581" s="9"/>
      <c r="O581" s="9"/>
    </row>
    <row r="582" ht="22.5" customHeight="1">
      <c r="A582" s="49"/>
      <c r="C582" s="192">
        <v>46121.0</v>
      </c>
      <c r="D582" s="195">
        <v>205000.0</v>
      </c>
      <c r="E582" s="69" t="s">
        <v>211</v>
      </c>
      <c r="F582" s="69" t="s">
        <v>41</v>
      </c>
      <c r="G582" s="69" t="s">
        <v>42</v>
      </c>
      <c r="H582" s="99"/>
      <c r="I582" s="9"/>
      <c r="J582" s="9"/>
      <c r="K582" s="9"/>
      <c r="L582" s="9"/>
      <c r="M582" s="9"/>
      <c r="N582" s="9"/>
      <c r="O582" s="9"/>
    </row>
    <row r="583" ht="22.5" customHeight="1">
      <c r="A583" s="49"/>
      <c r="C583" s="192">
        <v>46121.0</v>
      </c>
      <c r="D583" s="195">
        <v>25000.0</v>
      </c>
      <c r="E583" s="69" t="s">
        <v>1016</v>
      </c>
      <c r="F583" s="69" t="s">
        <v>41</v>
      </c>
      <c r="G583" s="69" t="s">
        <v>42</v>
      </c>
      <c r="H583" s="99"/>
      <c r="I583" s="9"/>
      <c r="J583" s="9"/>
      <c r="K583" s="9"/>
      <c r="L583" s="9"/>
      <c r="M583" s="9"/>
      <c r="N583" s="9"/>
      <c r="O583" s="9"/>
    </row>
    <row r="584" ht="22.5" customHeight="1">
      <c r="A584" s="49"/>
      <c r="C584" s="192">
        <v>46121.0</v>
      </c>
      <c r="D584" s="195">
        <v>10000.0</v>
      </c>
      <c r="E584" s="69" t="s">
        <v>221</v>
      </c>
      <c r="F584" s="69" t="s">
        <v>41</v>
      </c>
      <c r="G584" s="69" t="s">
        <v>42</v>
      </c>
      <c r="H584" s="99"/>
      <c r="I584" s="9"/>
      <c r="J584" s="9"/>
      <c r="K584" s="9"/>
      <c r="L584" s="9"/>
      <c r="M584" s="9"/>
      <c r="N584" s="9"/>
      <c r="O584" s="9"/>
    </row>
    <row r="585" ht="22.5" customHeight="1">
      <c r="A585" s="49"/>
      <c r="C585" s="192">
        <v>46122.0</v>
      </c>
      <c r="D585" s="195">
        <v>250000.0</v>
      </c>
      <c r="E585" s="69" t="s">
        <v>1018</v>
      </c>
      <c r="F585" s="69" t="s">
        <v>41</v>
      </c>
      <c r="G585" s="69" t="s">
        <v>42</v>
      </c>
      <c r="H585" s="99"/>
      <c r="I585" s="9"/>
      <c r="J585" s="9"/>
      <c r="K585" s="9"/>
      <c r="L585" s="9"/>
      <c r="M585" s="9"/>
      <c r="N585" s="9"/>
      <c r="O585" s="9"/>
    </row>
    <row r="586" ht="22.5" customHeight="1">
      <c r="A586" s="49"/>
      <c r="C586" s="192">
        <v>46122.0</v>
      </c>
      <c r="D586" s="195">
        <v>120000.0</v>
      </c>
      <c r="E586" s="69" t="s">
        <v>1024</v>
      </c>
      <c r="F586" s="69" t="s">
        <v>41</v>
      </c>
      <c r="G586" s="69" t="s">
        <v>42</v>
      </c>
      <c r="H586" s="99"/>
      <c r="I586" s="9"/>
      <c r="J586" s="9"/>
      <c r="K586" s="9"/>
      <c r="L586" s="9"/>
      <c r="M586" s="9"/>
      <c r="N586" s="9"/>
      <c r="O586" s="9"/>
    </row>
    <row r="587" ht="22.5" customHeight="1">
      <c r="A587" s="49"/>
      <c r="C587" s="192">
        <v>46122.0</v>
      </c>
      <c r="D587" s="195">
        <v>300000.0</v>
      </c>
      <c r="E587" s="69" t="s">
        <v>230</v>
      </c>
      <c r="F587" s="69" t="s">
        <v>41</v>
      </c>
      <c r="G587" s="69" t="s">
        <v>42</v>
      </c>
      <c r="H587" s="99"/>
      <c r="I587" s="9"/>
      <c r="J587" s="9"/>
      <c r="K587" s="9"/>
      <c r="L587" s="9"/>
      <c r="M587" s="9"/>
      <c r="N587" s="9"/>
      <c r="O587" s="9"/>
    </row>
    <row r="588" ht="22.5" customHeight="1">
      <c r="A588" s="49"/>
      <c r="C588" s="192">
        <v>46122.0</v>
      </c>
      <c r="D588" s="195">
        <v>40000.0</v>
      </c>
      <c r="E588" s="69" t="s">
        <v>165</v>
      </c>
      <c r="F588" s="69" t="s">
        <v>41</v>
      </c>
      <c r="G588" s="69" t="s">
        <v>42</v>
      </c>
      <c r="H588" s="99"/>
      <c r="I588" s="9"/>
      <c r="J588" s="9"/>
      <c r="K588" s="9"/>
      <c r="L588" s="9"/>
      <c r="M588" s="9"/>
      <c r="N588" s="9"/>
      <c r="O588" s="9"/>
    </row>
    <row r="589" ht="22.5" customHeight="1">
      <c r="A589" s="49"/>
      <c r="C589" s="192">
        <v>46123.0</v>
      </c>
      <c r="D589" s="195">
        <v>2950000.0</v>
      </c>
      <c r="E589" s="69" t="s">
        <v>179</v>
      </c>
      <c r="F589" s="69" t="s">
        <v>41</v>
      </c>
      <c r="G589" s="242" t="s">
        <v>87</v>
      </c>
      <c r="H589" s="99"/>
      <c r="I589" s="9"/>
      <c r="J589" s="9"/>
      <c r="K589" s="9"/>
      <c r="L589" s="9"/>
      <c r="M589" s="9"/>
      <c r="N589" s="9"/>
      <c r="O589" s="9"/>
    </row>
    <row r="590" ht="22.5" customHeight="1">
      <c r="A590" s="49"/>
      <c r="C590" s="192">
        <v>46123.0</v>
      </c>
      <c r="D590" s="195">
        <v>100000.0</v>
      </c>
      <c r="E590" s="69" t="s">
        <v>1029</v>
      </c>
      <c r="F590" s="69" t="s">
        <v>41</v>
      </c>
      <c r="G590" s="69" t="s">
        <v>42</v>
      </c>
      <c r="H590" s="99"/>
      <c r="I590" s="9"/>
      <c r="J590" s="9"/>
      <c r="K590" s="9"/>
      <c r="L590" s="9"/>
      <c r="M590" s="9"/>
      <c r="N590" s="9"/>
      <c r="O590" s="9"/>
    </row>
    <row r="591" ht="22.5" customHeight="1">
      <c r="A591" s="49"/>
      <c r="C591" s="192">
        <v>46123.0</v>
      </c>
      <c r="D591" s="195">
        <v>20000.0</v>
      </c>
      <c r="E591" s="69" t="s">
        <v>1032</v>
      </c>
      <c r="F591" s="69" t="s">
        <v>41</v>
      </c>
      <c r="G591" s="69" t="s">
        <v>42</v>
      </c>
      <c r="H591" s="99"/>
      <c r="I591" s="9"/>
      <c r="J591" s="9"/>
      <c r="K591" s="9"/>
      <c r="L591" s="9"/>
      <c r="M591" s="9"/>
      <c r="N591" s="9"/>
      <c r="O591" s="9"/>
    </row>
    <row r="592" ht="22.5" customHeight="1">
      <c r="A592" s="49"/>
      <c r="C592" s="192">
        <v>46123.0</v>
      </c>
      <c r="D592" s="195">
        <v>15000.0</v>
      </c>
      <c r="E592" s="69" t="s">
        <v>745</v>
      </c>
      <c r="F592" s="69" t="s">
        <v>41</v>
      </c>
      <c r="G592" s="69" t="s">
        <v>42</v>
      </c>
      <c r="H592" s="99"/>
      <c r="I592" s="9"/>
      <c r="J592" s="9"/>
      <c r="K592" s="9"/>
      <c r="L592" s="9"/>
      <c r="M592" s="9"/>
      <c r="N592" s="9"/>
      <c r="O592" s="9"/>
    </row>
    <row r="593" ht="22.5" customHeight="1">
      <c r="A593" s="49"/>
      <c r="C593" s="192">
        <v>46123.0</v>
      </c>
      <c r="D593" s="195">
        <v>10000.0</v>
      </c>
      <c r="E593" s="69" t="s">
        <v>406</v>
      </c>
      <c r="F593" s="69" t="s">
        <v>41</v>
      </c>
      <c r="G593" s="69" t="s">
        <v>42</v>
      </c>
      <c r="H593" s="99"/>
      <c r="I593" s="9"/>
      <c r="J593" s="9"/>
      <c r="K593" s="9"/>
      <c r="L593" s="9"/>
      <c r="M593" s="9"/>
      <c r="N593" s="9"/>
      <c r="O593" s="9"/>
    </row>
    <row r="594" ht="22.5" customHeight="1">
      <c r="A594" s="49"/>
      <c r="C594" s="192">
        <v>46123.0</v>
      </c>
      <c r="D594" s="195">
        <v>1520000.0</v>
      </c>
      <c r="E594" s="69" t="s">
        <v>1034</v>
      </c>
      <c r="F594" s="69" t="s">
        <v>41</v>
      </c>
      <c r="G594" s="242" t="s">
        <v>87</v>
      </c>
      <c r="H594" s="99"/>
      <c r="I594" s="9"/>
      <c r="J594" s="9"/>
      <c r="K594" s="9"/>
      <c r="L594" s="9"/>
      <c r="M594" s="9"/>
      <c r="N594" s="9"/>
      <c r="O594" s="9"/>
    </row>
    <row r="595" ht="22.5" customHeight="1">
      <c r="A595" s="49"/>
      <c r="C595" s="192">
        <v>46125.0</v>
      </c>
      <c r="D595" s="195">
        <v>80000.0</v>
      </c>
      <c r="E595" s="69" t="s">
        <v>1036</v>
      </c>
      <c r="F595" s="69" t="s">
        <v>41</v>
      </c>
      <c r="G595" s="69" t="s">
        <v>42</v>
      </c>
      <c r="H595" s="99"/>
      <c r="I595" s="9"/>
      <c r="J595" s="9"/>
      <c r="K595" s="9"/>
      <c r="L595" s="9"/>
      <c r="M595" s="9"/>
      <c r="N595" s="9"/>
      <c r="O595" s="9"/>
    </row>
    <row r="596" ht="22.5" customHeight="1">
      <c r="A596" s="49"/>
      <c r="C596" s="192">
        <v>46125.0</v>
      </c>
      <c r="D596" s="195">
        <v>30000.0</v>
      </c>
      <c r="E596" s="69" t="s">
        <v>1038</v>
      </c>
      <c r="F596" s="69" t="s">
        <v>41</v>
      </c>
      <c r="G596" s="69" t="s">
        <v>42</v>
      </c>
      <c r="H596" s="99"/>
      <c r="I596" s="9"/>
      <c r="J596" s="9"/>
      <c r="K596" s="9"/>
      <c r="L596" s="9"/>
      <c r="M596" s="9"/>
      <c r="N596" s="9"/>
      <c r="O596" s="9"/>
    </row>
    <row r="597" ht="22.5" customHeight="1">
      <c r="A597" s="49"/>
      <c r="C597" s="192">
        <v>46126.0</v>
      </c>
      <c r="D597" s="195">
        <v>2000000.0</v>
      </c>
      <c r="E597" s="69" t="s">
        <v>226</v>
      </c>
      <c r="F597" s="69" t="s">
        <v>45</v>
      </c>
      <c r="G597" s="69" t="s">
        <v>87</v>
      </c>
      <c r="H597" s="99"/>
      <c r="I597" s="9"/>
      <c r="J597" s="9"/>
      <c r="K597" s="9"/>
      <c r="L597" s="9"/>
      <c r="M597" s="9"/>
      <c r="N597" s="9"/>
      <c r="O597" s="9"/>
    </row>
    <row r="598" ht="22.5" customHeight="1">
      <c r="A598" s="49"/>
      <c r="C598" s="192">
        <v>46127.0</v>
      </c>
      <c r="D598" s="234">
        <v>1.2E7</v>
      </c>
      <c r="E598" s="268" t="s">
        <v>358</v>
      </c>
      <c r="F598" s="235" t="s">
        <v>41</v>
      </c>
      <c r="G598" s="235" t="s">
        <v>87</v>
      </c>
      <c r="H598" s="99"/>
      <c r="I598" s="9"/>
      <c r="J598" s="9"/>
      <c r="K598" s="9"/>
      <c r="L598" s="9"/>
      <c r="M598" s="9"/>
      <c r="N598" s="9"/>
      <c r="O598" s="9"/>
    </row>
    <row r="599" ht="22.5" customHeight="1">
      <c r="A599" s="49"/>
      <c r="C599" s="192">
        <v>46127.0</v>
      </c>
      <c r="D599" s="186">
        <v>1.65E7</v>
      </c>
      <c r="E599" s="284" t="s">
        <v>420</v>
      </c>
      <c r="F599" s="242" t="s">
        <v>41</v>
      </c>
      <c r="G599" s="242" t="s">
        <v>87</v>
      </c>
      <c r="H599" s="99"/>
      <c r="I599" s="9"/>
      <c r="J599" s="9"/>
      <c r="K599" s="9"/>
      <c r="L599" s="9"/>
      <c r="M599" s="9"/>
      <c r="N599" s="9"/>
      <c r="O599" s="9"/>
    </row>
    <row r="600" ht="22.5" customHeight="1">
      <c r="A600" s="49"/>
      <c r="C600" s="192">
        <v>46127.0</v>
      </c>
      <c r="D600" s="195">
        <v>40000.0</v>
      </c>
      <c r="E600" s="69" t="s">
        <v>337</v>
      </c>
      <c r="F600" s="69" t="s">
        <v>41</v>
      </c>
      <c r="G600" s="69" t="s">
        <v>42</v>
      </c>
      <c r="H600" s="99"/>
      <c r="I600" s="9"/>
      <c r="J600" s="9"/>
      <c r="K600" s="9"/>
      <c r="L600" s="9"/>
      <c r="M600" s="9"/>
      <c r="N600" s="9"/>
      <c r="O600" s="9"/>
    </row>
    <row r="601" ht="22.5" customHeight="1">
      <c r="A601" s="49"/>
      <c r="C601" s="192">
        <v>46128.0</v>
      </c>
      <c r="D601" s="195">
        <v>20000.0</v>
      </c>
      <c r="E601" s="69" t="s">
        <v>1045</v>
      </c>
      <c r="F601" s="69" t="s">
        <v>41</v>
      </c>
      <c r="G601" s="69" t="s">
        <v>42</v>
      </c>
      <c r="H601" s="99"/>
      <c r="I601" s="9"/>
      <c r="J601" s="9"/>
      <c r="K601" s="9"/>
      <c r="L601" s="9"/>
      <c r="M601" s="9"/>
      <c r="N601" s="9"/>
      <c r="O601" s="9"/>
    </row>
    <row r="602" ht="22.5" customHeight="1">
      <c r="A602" s="49"/>
      <c r="C602" s="192">
        <v>46128.0</v>
      </c>
      <c r="D602" s="195">
        <v>50000.0</v>
      </c>
      <c r="E602" s="69" t="s">
        <v>1000</v>
      </c>
      <c r="F602" s="69" t="s">
        <v>41</v>
      </c>
      <c r="G602" s="69" t="s">
        <v>42</v>
      </c>
      <c r="H602" s="99"/>
      <c r="I602" s="9"/>
      <c r="J602" s="9"/>
      <c r="K602" s="9"/>
      <c r="L602" s="9"/>
      <c r="M602" s="9"/>
      <c r="N602" s="9"/>
      <c r="O602" s="9"/>
    </row>
    <row r="603" ht="22.5" customHeight="1">
      <c r="A603" s="49"/>
      <c r="C603" s="192">
        <v>46128.0</v>
      </c>
      <c r="D603" s="195">
        <v>105000.0</v>
      </c>
      <c r="E603" s="69" t="s">
        <v>211</v>
      </c>
      <c r="F603" s="69" t="s">
        <v>41</v>
      </c>
      <c r="G603" s="69" t="s">
        <v>42</v>
      </c>
      <c r="H603" s="99"/>
      <c r="I603" s="9"/>
      <c r="J603" s="9"/>
      <c r="K603" s="9"/>
      <c r="L603" s="9"/>
      <c r="M603" s="9"/>
      <c r="N603" s="9"/>
      <c r="O603" s="9"/>
    </row>
    <row r="604" ht="22.5" customHeight="1">
      <c r="A604" s="49"/>
      <c r="C604" s="192">
        <v>46128.0</v>
      </c>
      <c r="D604" s="195">
        <v>40000.0</v>
      </c>
      <c r="E604" s="69" t="s">
        <v>165</v>
      </c>
      <c r="F604" s="69" t="s">
        <v>41</v>
      </c>
      <c r="G604" s="69" t="s">
        <v>42</v>
      </c>
      <c r="H604" s="99"/>
      <c r="I604" s="9"/>
      <c r="J604" s="9"/>
      <c r="K604" s="9"/>
      <c r="L604" s="9"/>
      <c r="M604" s="9"/>
      <c r="N604" s="9"/>
      <c r="O604" s="9"/>
    </row>
    <row r="605" ht="22.5" customHeight="1">
      <c r="A605" s="49"/>
      <c r="C605" s="192">
        <v>46128.0</v>
      </c>
      <c r="D605" s="195">
        <v>50000.0</v>
      </c>
      <c r="E605" s="69" t="s">
        <v>338</v>
      </c>
      <c r="F605" s="69" t="s">
        <v>41</v>
      </c>
      <c r="G605" s="69" t="s">
        <v>42</v>
      </c>
      <c r="H605" s="99"/>
      <c r="I605" s="9"/>
      <c r="J605" s="9"/>
      <c r="K605" s="9"/>
      <c r="L605" s="9"/>
      <c r="M605" s="9"/>
      <c r="N605" s="9"/>
      <c r="O605" s="9"/>
    </row>
    <row r="606" ht="22.5" customHeight="1">
      <c r="A606" s="49"/>
      <c r="C606" s="192">
        <v>46128.0</v>
      </c>
      <c r="D606" s="195">
        <v>10000.0</v>
      </c>
      <c r="E606" s="69" t="s">
        <v>221</v>
      </c>
      <c r="F606" s="69" t="s">
        <v>41</v>
      </c>
      <c r="G606" s="69" t="s">
        <v>42</v>
      </c>
      <c r="H606" s="99"/>
      <c r="I606" s="9"/>
      <c r="J606" s="9"/>
      <c r="K606" s="9"/>
      <c r="L606" s="9"/>
      <c r="M606" s="9"/>
      <c r="N606" s="9"/>
      <c r="O606" s="9"/>
    </row>
    <row r="607" ht="22.5" customHeight="1">
      <c r="A607" s="49"/>
      <c r="C607" s="192">
        <v>46128.0</v>
      </c>
      <c r="D607" s="195">
        <v>33000.0</v>
      </c>
      <c r="E607" s="69" t="s">
        <v>752</v>
      </c>
      <c r="F607" s="69" t="s">
        <v>41</v>
      </c>
      <c r="G607" s="69" t="s">
        <v>42</v>
      </c>
      <c r="H607" s="99"/>
      <c r="I607" s="9"/>
      <c r="J607" s="9"/>
      <c r="K607" s="9"/>
      <c r="L607" s="9"/>
      <c r="M607" s="9"/>
      <c r="N607" s="9"/>
      <c r="O607" s="9"/>
    </row>
    <row r="608" ht="22.5" customHeight="1">
      <c r="A608" s="49"/>
      <c r="C608" s="192">
        <v>46128.0</v>
      </c>
      <c r="D608" s="195">
        <v>500300.0</v>
      </c>
      <c r="E608" s="69" t="s">
        <v>495</v>
      </c>
      <c r="F608" s="69" t="s">
        <v>41</v>
      </c>
      <c r="G608" s="69" t="s">
        <v>87</v>
      </c>
      <c r="H608" s="99"/>
      <c r="I608" s="9"/>
      <c r="J608" s="9"/>
      <c r="K608" s="9"/>
      <c r="L608" s="9"/>
      <c r="M608" s="9"/>
      <c r="N608" s="9"/>
      <c r="O608" s="9"/>
    </row>
    <row r="609" ht="22.5" customHeight="1">
      <c r="A609" s="49"/>
      <c r="C609" s="192">
        <v>46129.0</v>
      </c>
      <c r="D609" s="195">
        <v>18000.0</v>
      </c>
      <c r="E609" s="69" t="s">
        <v>1055</v>
      </c>
      <c r="F609" s="69" t="s">
        <v>41</v>
      </c>
      <c r="G609" s="69" t="s">
        <v>42</v>
      </c>
      <c r="H609" s="99"/>
      <c r="I609" s="9"/>
      <c r="J609" s="9"/>
      <c r="K609" s="9"/>
      <c r="L609" s="9"/>
      <c r="M609" s="9"/>
      <c r="N609" s="9"/>
      <c r="O609" s="9"/>
    </row>
    <row r="610" ht="22.5" customHeight="1">
      <c r="A610" s="49"/>
      <c r="C610" s="192">
        <v>46129.0</v>
      </c>
      <c r="D610" s="195">
        <v>13000.0</v>
      </c>
      <c r="E610" s="69" t="s">
        <v>1057</v>
      </c>
      <c r="F610" s="69" t="s">
        <v>41</v>
      </c>
      <c r="G610" s="69" t="s">
        <v>42</v>
      </c>
      <c r="H610" s="99"/>
      <c r="I610" s="9"/>
      <c r="J610" s="9"/>
      <c r="K610" s="9"/>
      <c r="L610" s="9"/>
      <c r="M610" s="9"/>
      <c r="N610" s="9"/>
      <c r="O610" s="9"/>
    </row>
    <row r="611" ht="22.5" customHeight="1">
      <c r="A611" s="49"/>
      <c r="C611" s="192">
        <v>46129.0</v>
      </c>
      <c r="D611" s="195">
        <v>27000.0</v>
      </c>
      <c r="E611" s="69" t="s">
        <v>175</v>
      </c>
      <c r="F611" s="69" t="s">
        <v>41</v>
      </c>
      <c r="G611" s="69" t="s">
        <v>42</v>
      </c>
      <c r="H611" s="99"/>
      <c r="I611" s="9"/>
      <c r="J611" s="9"/>
      <c r="K611" s="9"/>
      <c r="L611" s="9"/>
      <c r="M611" s="9"/>
      <c r="N611" s="9"/>
      <c r="O611" s="9"/>
    </row>
    <row r="612" ht="22.5" customHeight="1">
      <c r="A612" s="49"/>
      <c r="C612" s="192">
        <v>46130.0</v>
      </c>
      <c r="D612" s="195">
        <v>50000.0</v>
      </c>
      <c r="E612" s="69" t="s">
        <v>1059</v>
      </c>
      <c r="F612" s="69" t="s">
        <v>41</v>
      </c>
      <c r="G612" s="69" t="s">
        <v>42</v>
      </c>
      <c r="H612" s="99"/>
      <c r="I612" s="9"/>
      <c r="J612" s="9"/>
      <c r="K612" s="9"/>
      <c r="L612" s="9"/>
      <c r="M612" s="9"/>
      <c r="N612" s="9"/>
      <c r="O612" s="9"/>
    </row>
    <row r="613" ht="22.5" customHeight="1">
      <c r="A613" s="49"/>
      <c r="C613" s="192">
        <v>46130.0</v>
      </c>
      <c r="D613" s="195">
        <v>10000.0</v>
      </c>
      <c r="E613" s="69" t="s">
        <v>1063</v>
      </c>
      <c r="F613" s="69" t="s">
        <v>41</v>
      </c>
      <c r="G613" s="69" t="s">
        <v>42</v>
      </c>
      <c r="H613" s="99"/>
      <c r="I613" s="9"/>
      <c r="J613" s="9"/>
      <c r="K613" s="9"/>
      <c r="L613" s="9"/>
      <c r="M613" s="9"/>
      <c r="N613" s="9"/>
      <c r="O613" s="9"/>
    </row>
    <row r="614" ht="22.5" customHeight="1">
      <c r="A614" s="49"/>
      <c r="C614" s="192">
        <v>46130.0</v>
      </c>
      <c r="D614" s="195">
        <v>14000.0</v>
      </c>
      <c r="E614" s="69" t="s">
        <v>1064</v>
      </c>
      <c r="F614" s="69" t="s">
        <v>41</v>
      </c>
      <c r="G614" s="69" t="s">
        <v>42</v>
      </c>
      <c r="H614" s="99"/>
      <c r="I614" s="9"/>
      <c r="J614" s="9"/>
      <c r="K614" s="9"/>
      <c r="L614" s="9"/>
      <c r="M614" s="9"/>
      <c r="N614" s="9"/>
      <c r="O614" s="9"/>
    </row>
    <row r="615" ht="22.5" customHeight="1">
      <c r="A615" s="49"/>
      <c r="C615" s="192">
        <v>46130.0</v>
      </c>
      <c r="D615" s="195">
        <v>170000.0</v>
      </c>
      <c r="E615" s="69" t="s">
        <v>1067</v>
      </c>
      <c r="F615" s="69" t="s">
        <v>41</v>
      </c>
      <c r="G615" s="69" t="s">
        <v>42</v>
      </c>
      <c r="H615" s="99"/>
      <c r="I615" s="9"/>
      <c r="J615" s="9"/>
      <c r="K615" s="9"/>
      <c r="L615" s="9"/>
      <c r="M615" s="9"/>
      <c r="N615" s="9"/>
      <c r="O615" s="9"/>
    </row>
    <row r="616" ht="22.5" customHeight="1">
      <c r="A616" s="49"/>
      <c r="C616" s="192">
        <v>46130.0</v>
      </c>
      <c r="D616" s="195">
        <v>30000.0</v>
      </c>
      <c r="E616" s="69" t="s">
        <v>1069</v>
      </c>
      <c r="F616" s="69" t="s">
        <v>41</v>
      </c>
      <c r="G616" s="69" t="s">
        <v>42</v>
      </c>
      <c r="H616" s="99"/>
      <c r="I616" s="9"/>
      <c r="J616" s="9"/>
      <c r="K616" s="9"/>
      <c r="L616" s="9"/>
      <c r="M616" s="9"/>
      <c r="N616" s="9"/>
      <c r="O616" s="9"/>
    </row>
    <row r="617" ht="22.5" customHeight="1">
      <c r="A617" s="49"/>
      <c r="C617" s="192">
        <v>46131.0</v>
      </c>
      <c r="D617" s="195">
        <v>50000.0</v>
      </c>
      <c r="E617" s="69" t="s">
        <v>175</v>
      </c>
      <c r="F617" s="69" t="s">
        <v>41</v>
      </c>
      <c r="G617" s="69" t="s">
        <v>42</v>
      </c>
      <c r="H617" s="99"/>
      <c r="I617" s="9"/>
      <c r="J617" s="9"/>
      <c r="K617" s="9"/>
      <c r="L617" s="9"/>
      <c r="M617" s="9"/>
      <c r="N617" s="9"/>
      <c r="O617" s="9"/>
    </row>
    <row r="618" ht="22.5" customHeight="1">
      <c r="A618" s="49"/>
      <c r="C618" s="192">
        <v>46131.0</v>
      </c>
      <c r="D618" s="195">
        <v>150000.0</v>
      </c>
      <c r="E618" s="69" t="s">
        <v>1070</v>
      </c>
      <c r="F618" s="69" t="s">
        <v>41</v>
      </c>
      <c r="G618" s="69" t="s">
        <v>42</v>
      </c>
      <c r="H618" s="99"/>
      <c r="I618" s="9"/>
      <c r="J618" s="9"/>
      <c r="K618" s="9"/>
      <c r="L618" s="9"/>
      <c r="M618" s="9"/>
      <c r="N618" s="9"/>
      <c r="O618" s="9"/>
    </row>
    <row r="619" ht="22.5" customHeight="1">
      <c r="A619" s="49"/>
      <c r="C619" s="192">
        <v>46132.0</v>
      </c>
      <c r="D619" s="195">
        <v>10000.0</v>
      </c>
      <c r="E619" s="69" t="s">
        <v>1074</v>
      </c>
      <c r="F619" s="69" t="s">
        <v>41</v>
      </c>
      <c r="G619" s="69" t="s">
        <v>42</v>
      </c>
      <c r="H619" s="99"/>
      <c r="I619" s="9"/>
      <c r="J619" s="9"/>
      <c r="K619" s="9"/>
      <c r="L619" s="9"/>
      <c r="M619" s="9"/>
      <c r="N619" s="9"/>
      <c r="O619" s="9"/>
    </row>
    <row r="620" ht="22.5" customHeight="1">
      <c r="A620" s="49"/>
      <c r="C620" s="192">
        <v>46132.0</v>
      </c>
      <c r="D620" s="195">
        <v>55000.0</v>
      </c>
      <c r="E620" s="69" t="s">
        <v>1075</v>
      </c>
      <c r="F620" s="69" t="s">
        <v>41</v>
      </c>
      <c r="G620" s="69" t="s">
        <v>42</v>
      </c>
      <c r="H620" s="99"/>
      <c r="I620" s="9"/>
      <c r="J620" s="9"/>
      <c r="K620" s="9"/>
      <c r="L620" s="9"/>
      <c r="M620" s="9"/>
      <c r="N620" s="9"/>
      <c r="O620" s="9"/>
    </row>
    <row r="621" ht="22.5" customHeight="1">
      <c r="A621" s="49"/>
      <c r="C621" s="192">
        <v>46132.0</v>
      </c>
      <c r="D621" s="195">
        <v>50000.0</v>
      </c>
      <c r="E621" s="69" t="s">
        <v>423</v>
      </c>
      <c r="F621" s="69" t="s">
        <v>41</v>
      </c>
      <c r="G621" s="69" t="s">
        <v>42</v>
      </c>
      <c r="H621" s="99"/>
      <c r="I621" s="9"/>
      <c r="J621" s="9"/>
      <c r="K621" s="9"/>
      <c r="L621" s="9"/>
      <c r="M621" s="9"/>
      <c r="N621" s="9"/>
      <c r="O621" s="9"/>
    </row>
    <row r="622" ht="22.5" customHeight="1">
      <c r="A622" s="49"/>
      <c r="C622" s="192">
        <v>46132.0</v>
      </c>
      <c r="D622" s="195">
        <v>20000.0</v>
      </c>
      <c r="E622" s="69" t="s">
        <v>608</v>
      </c>
      <c r="F622" s="69" t="s">
        <v>45</v>
      </c>
      <c r="G622" s="69" t="s">
        <v>42</v>
      </c>
      <c r="H622" s="99"/>
      <c r="I622" s="9"/>
      <c r="J622" s="9"/>
      <c r="K622" s="9"/>
      <c r="L622" s="9"/>
      <c r="M622" s="9"/>
      <c r="N622" s="9"/>
      <c r="O622" s="9"/>
    </row>
    <row r="623" ht="22.5" customHeight="1">
      <c r="A623" s="49"/>
      <c r="C623" s="192">
        <v>46133.0</v>
      </c>
      <c r="D623" s="195">
        <v>300000.0</v>
      </c>
      <c r="E623" s="69" t="s">
        <v>1080</v>
      </c>
      <c r="F623" s="69" t="s">
        <v>41</v>
      </c>
      <c r="G623" s="69" t="s">
        <v>42</v>
      </c>
      <c r="H623" s="99"/>
      <c r="I623" s="9"/>
      <c r="J623" s="9"/>
      <c r="K623" s="9"/>
      <c r="L623" s="9"/>
      <c r="M623" s="9"/>
      <c r="N623" s="9"/>
      <c r="O623" s="9"/>
    </row>
    <row r="624" ht="22.5" customHeight="1">
      <c r="A624" s="49"/>
      <c r="C624" s="192">
        <v>46133.0</v>
      </c>
      <c r="D624" s="195">
        <v>20000.0</v>
      </c>
      <c r="E624" s="69" t="s">
        <v>1082</v>
      </c>
      <c r="F624" s="69" t="s">
        <v>41</v>
      </c>
      <c r="G624" s="69" t="s">
        <v>42</v>
      </c>
      <c r="H624" s="99"/>
      <c r="I624" s="9"/>
      <c r="J624" s="9"/>
      <c r="K624" s="9"/>
      <c r="L624" s="9"/>
      <c r="M624" s="9"/>
      <c r="N624" s="9"/>
      <c r="O624" s="9"/>
    </row>
    <row r="625" ht="22.5" customHeight="1">
      <c r="A625" s="49"/>
      <c r="C625" s="192">
        <v>46133.0</v>
      </c>
      <c r="D625" s="195">
        <v>30000.0</v>
      </c>
      <c r="E625" s="69" t="s">
        <v>175</v>
      </c>
      <c r="F625" s="69" t="s">
        <v>41</v>
      </c>
      <c r="G625" s="69" t="s">
        <v>42</v>
      </c>
      <c r="H625" s="99"/>
      <c r="I625" s="9"/>
      <c r="J625" s="9"/>
      <c r="K625" s="9"/>
      <c r="L625" s="9"/>
      <c r="M625" s="9"/>
      <c r="N625" s="9"/>
      <c r="O625" s="9"/>
    </row>
    <row r="626" ht="22.5" customHeight="1">
      <c r="A626" s="49"/>
      <c r="C626" s="192">
        <v>46134.0</v>
      </c>
      <c r="D626" s="195">
        <v>30000.0</v>
      </c>
      <c r="E626" s="69" t="s">
        <v>549</v>
      </c>
      <c r="F626" s="69" t="s">
        <v>41</v>
      </c>
      <c r="G626" s="69" t="s">
        <v>42</v>
      </c>
      <c r="H626" s="99"/>
      <c r="I626" s="9"/>
      <c r="J626" s="9"/>
      <c r="K626" s="9"/>
      <c r="L626" s="9"/>
      <c r="M626" s="9"/>
      <c r="N626" s="9"/>
      <c r="O626" s="9"/>
    </row>
    <row r="627" ht="22.5" customHeight="1">
      <c r="A627" s="49"/>
      <c r="C627" s="192">
        <v>46135.0</v>
      </c>
      <c r="D627" s="195">
        <v>50000.0</v>
      </c>
      <c r="E627" s="69" t="s">
        <v>395</v>
      </c>
      <c r="F627" s="69" t="s">
        <v>41</v>
      </c>
      <c r="G627" s="69" t="s">
        <v>42</v>
      </c>
      <c r="H627" s="99"/>
      <c r="I627" s="9"/>
      <c r="J627" s="9"/>
      <c r="K627" s="9"/>
      <c r="L627" s="9"/>
      <c r="M627" s="9"/>
      <c r="N627" s="9"/>
      <c r="O627" s="9"/>
    </row>
    <row r="628" ht="22.5" customHeight="1">
      <c r="A628" s="49"/>
      <c r="C628" s="192">
        <v>46135.0</v>
      </c>
      <c r="D628" s="195">
        <v>205000.0</v>
      </c>
      <c r="E628" s="69" t="s">
        <v>211</v>
      </c>
      <c r="F628" s="69" t="s">
        <v>41</v>
      </c>
      <c r="G628" s="69" t="s">
        <v>42</v>
      </c>
      <c r="H628" s="99"/>
      <c r="I628" s="9"/>
      <c r="J628" s="9"/>
      <c r="K628" s="9"/>
      <c r="L628" s="9"/>
      <c r="M628" s="9"/>
      <c r="N628" s="9"/>
      <c r="O628" s="9"/>
    </row>
    <row r="629" ht="22.5" customHeight="1">
      <c r="A629" s="49"/>
      <c r="C629" s="192">
        <v>46135.0</v>
      </c>
      <c r="D629" s="195">
        <v>300000.0</v>
      </c>
      <c r="E629" s="69" t="s">
        <v>1089</v>
      </c>
      <c r="F629" s="69" t="s">
        <v>41</v>
      </c>
      <c r="G629" s="69" t="s">
        <v>42</v>
      </c>
      <c r="H629" s="99"/>
      <c r="I629" s="9"/>
      <c r="J629" s="9"/>
      <c r="K629" s="9"/>
      <c r="L629" s="9"/>
      <c r="M629" s="9"/>
      <c r="N629" s="9"/>
      <c r="O629" s="9"/>
    </row>
    <row r="630" ht="22.5" customHeight="1">
      <c r="A630" s="49"/>
      <c r="C630" s="192">
        <v>46135.0</v>
      </c>
      <c r="D630" s="195">
        <v>10000.0</v>
      </c>
      <c r="E630" s="69" t="s">
        <v>221</v>
      </c>
      <c r="F630" s="69" t="s">
        <v>41</v>
      </c>
      <c r="G630" s="69" t="s">
        <v>42</v>
      </c>
      <c r="H630" s="99"/>
      <c r="I630" s="9"/>
      <c r="J630" s="9"/>
      <c r="K630" s="9"/>
      <c r="L630" s="9"/>
      <c r="M630" s="9"/>
      <c r="N630" s="9"/>
      <c r="O630" s="9"/>
    </row>
    <row r="631" ht="22.5" customHeight="1">
      <c r="A631" s="49"/>
      <c r="C631" s="192">
        <v>46135.0</v>
      </c>
      <c r="D631" s="195">
        <v>195000.0</v>
      </c>
      <c r="E631" s="69" t="s">
        <v>1092</v>
      </c>
      <c r="F631" s="69" t="s">
        <v>41</v>
      </c>
      <c r="G631" s="69" t="s">
        <v>42</v>
      </c>
      <c r="H631" s="99"/>
      <c r="I631" s="9"/>
      <c r="J631" s="9"/>
      <c r="K631" s="9"/>
      <c r="L631" s="9"/>
      <c r="M631" s="9"/>
      <c r="N631" s="9"/>
      <c r="O631" s="9"/>
    </row>
    <row r="632" ht="22.5" customHeight="1">
      <c r="A632" s="49"/>
      <c r="C632" s="192">
        <v>46136.0</v>
      </c>
      <c r="D632" s="195">
        <v>20000.0</v>
      </c>
      <c r="E632" s="69" t="s">
        <v>347</v>
      </c>
      <c r="F632" s="69" t="s">
        <v>41</v>
      </c>
      <c r="G632" s="69" t="s">
        <v>42</v>
      </c>
      <c r="H632" s="99"/>
      <c r="I632" s="9"/>
      <c r="J632" s="9"/>
      <c r="K632" s="9"/>
      <c r="L632" s="9"/>
      <c r="M632" s="9"/>
      <c r="N632" s="9"/>
      <c r="O632" s="9"/>
    </row>
    <row r="633" ht="22.5" customHeight="1">
      <c r="A633" s="49"/>
      <c r="C633" s="192">
        <v>46136.0</v>
      </c>
      <c r="D633" s="195">
        <v>200000.0</v>
      </c>
      <c r="E633" s="69" t="s">
        <v>1095</v>
      </c>
      <c r="F633" s="69" t="s">
        <v>41</v>
      </c>
      <c r="G633" s="69" t="s">
        <v>42</v>
      </c>
      <c r="H633" s="99"/>
      <c r="I633" s="9"/>
      <c r="J633" s="9"/>
      <c r="K633" s="9"/>
      <c r="L633" s="9"/>
      <c r="M633" s="9"/>
      <c r="N633" s="9"/>
      <c r="O633" s="9"/>
    </row>
    <row r="634" ht="22.5" customHeight="1">
      <c r="A634" s="49"/>
      <c r="C634" s="192">
        <v>46136.0</v>
      </c>
      <c r="D634" s="195">
        <v>100000.0</v>
      </c>
      <c r="E634" s="69" t="s">
        <v>662</v>
      </c>
      <c r="F634" s="69" t="s">
        <v>41</v>
      </c>
      <c r="G634" s="69" t="s">
        <v>42</v>
      </c>
      <c r="H634" s="99"/>
      <c r="I634" s="9"/>
      <c r="J634" s="9"/>
      <c r="K634" s="9"/>
      <c r="L634" s="9"/>
      <c r="M634" s="9"/>
      <c r="N634" s="9"/>
      <c r="O634" s="9"/>
    </row>
    <row r="635" ht="22.5" customHeight="1">
      <c r="A635" s="49"/>
      <c r="C635" s="192">
        <v>46136.0</v>
      </c>
      <c r="D635" s="195">
        <v>10000.0</v>
      </c>
      <c r="E635" s="69" t="s">
        <v>221</v>
      </c>
      <c r="F635" s="69" t="s">
        <v>41</v>
      </c>
      <c r="G635" s="69" t="s">
        <v>42</v>
      </c>
      <c r="H635" s="99"/>
      <c r="I635" s="9"/>
      <c r="J635" s="9"/>
      <c r="K635" s="9"/>
      <c r="L635" s="9"/>
      <c r="M635" s="9"/>
      <c r="N635" s="9"/>
      <c r="O635" s="9"/>
    </row>
    <row r="636" ht="22.5" customHeight="1">
      <c r="A636" s="49"/>
      <c r="C636" s="192">
        <v>46137.0</v>
      </c>
      <c r="D636" s="195">
        <v>2000000.0</v>
      </c>
      <c r="E636" s="69" t="s">
        <v>226</v>
      </c>
      <c r="F636" s="69" t="s">
        <v>45</v>
      </c>
      <c r="G636" s="69" t="s">
        <v>87</v>
      </c>
      <c r="H636" s="99"/>
      <c r="I636" s="9"/>
      <c r="J636" s="9"/>
      <c r="K636" s="9"/>
      <c r="L636" s="9"/>
      <c r="M636" s="9"/>
      <c r="N636" s="9"/>
      <c r="O636" s="9"/>
    </row>
    <row r="637" ht="22.5" customHeight="1">
      <c r="A637" s="49"/>
      <c r="C637" s="192">
        <v>46137.0</v>
      </c>
      <c r="D637" s="195">
        <v>50000.0</v>
      </c>
      <c r="E637" s="69" t="s">
        <v>1098</v>
      </c>
      <c r="F637" s="69" t="s">
        <v>41</v>
      </c>
      <c r="G637" s="69" t="s">
        <v>42</v>
      </c>
      <c r="H637" s="99"/>
      <c r="I637" s="9"/>
      <c r="J637" s="9"/>
      <c r="K637" s="9"/>
      <c r="L637" s="9"/>
      <c r="M637" s="9"/>
      <c r="N637" s="9"/>
      <c r="O637" s="9"/>
    </row>
    <row r="638" ht="22.5" customHeight="1">
      <c r="A638" s="49"/>
      <c r="C638" s="192">
        <v>46137.0</v>
      </c>
      <c r="D638" s="195">
        <v>30000.0</v>
      </c>
      <c r="E638" s="69" t="s">
        <v>175</v>
      </c>
      <c r="F638" s="69" t="s">
        <v>41</v>
      </c>
      <c r="G638" s="69" t="s">
        <v>42</v>
      </c>
      <c r="H638" s="99"/>
      <c r="I638" s="9"/>
      <c r="J638" s="9"/>
      <c r="K638" s="9"/>
      <c r="L638" s="9"/>
      <c r="M638" s="9"/>
      <c r="N638" s="9"/>
      <c r="O638" s="9"/>
    </row>
    <row r="639" ht="22.5" customHeight="1">
      <c r="A639" s="49"/>
      <c r="C639" s="192">
        <v>46137.0</v>
      </c>
      <c r="D639" s="195">
        <v>300000.0</v>
      </c>
      <c r="E639" s="69" t="s">
        <v>1102</v>
      </c>
      <c r="F639" s="69" t="s">
        <v>41</v>
      </c>
      <c r="G639" s="69" t="s">
        <v>42</v>
      </c>
      <c r="H639" s="99"/>
      <c r="I639" s="9"/>
      <c r="J639" s="9"/>
      <c r="K639" s="9"/>
      <c r="L639" s="9"/>
      <c r="M639" s="9"/>
      <c r="N639" s="9"/>
      <c r="O639" s="9"/>
    </row>
    <row r="640" ht="22.5" customHeight="1">
      <c r="A640" s="49"/>
      <c r="C640" s="192">
        <v>46137.0</v>
      </c>
      <c r="D640" s="195">
        <v>110000.0</v>
      </c>
      <c r="E640" s="69" t="s">
        <v>1103</v>
      </c>
      <c r="F640" s="69" t="s">
        <v>41</v>
      </c>
      <c r="G640" s="69" t="s">
        <v>42</v>
      </c>
      <c r="H640" s="99"/>
      <c r="I640" s="9"/>
      <c r="J640" s="9"/>
      <c r="K640" s="9"/>
      <c r="L640" s="9"/>
      <c r="M640" s="9"/>
      <c r="N640" s="9"/>
      <c r="O640" s="9"/>
    </row>
    <row r="641" ht="22.5" customHeight="1">
      <c r="A641" s="49"/>
      <c r="C641" s="192">
        <v>46137.0</v>
      </c>
      <c r="D641" s="195">
        <v>10000.0</v>
      </c>
      <c r="E641" s="69" t="s">
        <v>221</v>
      </c>
      <c r="F641" s="69" t="s">
        <v>41</v>
      </c>
      <c r="G641" s="69" t="s">
        <v>42</v>
      </c>
      <c r="H641" s="99"/>
      <c r="I641" s="9"/>
      <c r="J641" s="9"/>
      <c r="K641" s="9"/>
      <c r="L641" s="9"/>
      <c r="M641" s="9"/>
      <c r="N641" s="9"/>
      <c r="O641" s="9"/>
    </row>
    <row r="642" ht="22.5" customHeight="1">
      <c r="A642" s="49"/>
      <c r="C642" s="192">
        <v>46137.0</v>
      </c>
      <c r="D642" s="195">
        <v>500000.0</v>
      </c>
      <c r="E642" s="69" t="s">
        <v>1106</v>
      </c>
      <c r="F642" s="69" t="s">
        <v>41</v>
      </c>
      <c r="G642" s="69" t="s">
        <v>42</v>
      </c>
      <c r="H642" s="99"/>
      <c r="I642" s="9"/>
      <c r="J642" s="9"/>
      <c r="K642" s="9"/>
      <c r="L642" s="9"/>
      <c r="M642" s="9"/>
      <c r="N642" s="9"/>
      <c r="O642" s="9"/>
    </row>
    <row r="643" ht="22.5" customHeight="1">
      <c r="A643" s="49"/>
      <c r="C643" s="192">
        <v>46138.0</v>
      </c>
      <c r="D643" s="195">
        <v>2000000.0</v>
      </c>
      <c r="E643" s="69" t="s">
        <v>226</v>
      </c>
      <c r="F643" s="69" t="s">
        <v>45</v>
      </c>
      <c r="G643" s="69" t="s">
        <v>87</v>
      </c>
      <c r="H643" s="99"/>
      <c r="I643" s="9"/>
      <c r="J643" s="9"/>
      <c r="K643" s="9"/>
      <c r="L643" s="9"/>
      <c r="M643" s="9"/>
      <c r="N643" s="9"/>
      <c r="O643" s="9"/>
    </row>
    <row r="644" ht="22.5" customHeight="1">
      <c r="A644" s="49"/>
      <c r="C644" s="192">
        <v>46139.0</v>
      </c>
      <c r="D644" s="195">
        <v>100000.0</v>
      </c>
      <c r="E644" s="69" t="s">
        <v>1108</v>
      </c>
      <c r="F644" s="69" t="s">
        <v>41</v>
      </c>
      <c r="G644" s="69" t="s">
        <v>42</v>
      </c>
      <c r="H644" s="99"/>
      <c r="I644" s="9"/>
      <c r="J644" s="9"/>
      <c r="K644" s="9"/>
      <c r="L644" s="9"/>
      <c r="M644" s="9"/>
      <c r="N644" s="9"/>
      <c r="O644" s="9"/>
    </row>
    <row r="645" ht="22.5" customHeight="1">
      <c r="A645" s="49"/>
      <c r="C645" s="192">
        <v>46140.0</v>
      </c>
      <c r="D645" s="195">
        <v>20000.0</v>
      </c>
      <c r="E645" s="69" t="s">
        <v>1110</v>
      </c>
      <c r="F645" s="69" t="s">
        <v>41</v>
      </c>
      <c r="G645" s="69" t="s">
        <v>42</v>
      </c>
      <c r="H645" s="99"/>
      <c r="I645" s="9"/>
      <c r="J645" s="9"/>
      <c r="K645" s="9"/>
      <c r="L645" s="9"/>
      <c r="M645" s="9"/>
      <c r="N645" s="9"/>
      <c r="O645" s="9"/>
    </row>
    <row r="646" ht="22.5" customHeight="1">
      <c r="A646" s="49"/>
      <c r="C646" s="192">
        <v>46140.0</v>
      </c>
      <c r="D646" s="195">
        <v>20000.0</v>
      </c>
      <c r="E646" s="69" t="s">
        <v>608</v>
      </c>
      <c r="F646" s="69" t="s">
        <v>41</v>
      </c>
      <c r="G646" s="69" t="s">
        <v>42</v>
      </c>
      <c r="H646" s="99"/>
      <c r="I646" s="9"/>
      <c r="J646" s="9"/>
      <c r="K646" s="9"/>
      <c r="L646" s="9"/>
      <c r="M646" s="9"/>
      <c r="N646" s="9"/>
      <c r="O646" s="9"/>
    </row>
    <row r="647" ht="22.5" customHeight="1">
      <c r="A647" s="49"/>
      <c r="C647" s="192">
        <v>46140.0</v>
      </c>
      <c r="D647" s="195">
        <v>20000.0</v>
      </c>
      <c r="E647" s="69" t="s">
        <v>1113</v>
      </c>
      <c r="F647" s="69" t="s">
        <v>41</v>
      </c>
      <c r="G647" s="69" t="s">
        <v>42</v>
      </c>
      <c r="H647" s="99"/>
      <c r="I647" s="9"/>
      <c r="J647" s="9"/>
      <c r="K647" s="9"/>
      <c r="L647" s="9"/>
      <c r="M647" s="9"/>
      <c r="N647" s="9"/>
      <c r="O647" s="9"/>
    </row>
    <row r="648" ht="22.5" customHeight="1">
      <c r="A648" s="49"/>
      <c r="C648" s="192">
        <v>46140.0</v>
      </c>
      <c r="D648" s="195">
        <v>25000.0</v>
      </c>
      <c r="E648" s="69" t="s">
        <v>1115</v>
      </c>
      <c r="F648" s="69" t="s">
        <v>41</v>
      </c>
      <c r="G648" s="69" t="s">
        <v>42</v>
      </c>
      <c r="H648" s="99"/>
      <c r="I648" s="9"/>
      <c r="J648" s="9"/>
      <c r="K648" s="9"/>
      <c r="L648" s="9"/>
      <c r="M648" s="9"/>
      <c r="N648" s="9"/>
      <c r="O648" s="9"/>
    </row>
    <row r="649" ht="22.5" customHeight="1">
      <c r="A649" s="49"/>
      <c r="C649" s="192">
        <v>46141.0</v>
      </c>
      <c r="D649" s="195">
        <v>30000.0</v>
      </c>
      <c r="E649" s="69" t="s">
        <v>1117</v>
      </c>
      <c r="F649" s="69" t="s">
        <v>41</v>
      </c>
      <c r="G649" s="69" t="s">
        <v>42</v>
      </c>
      <c r="H649" s="99"/>
      <c r="I649" s="9"/>
      <c r="J649" s="9"/>
      <c r="K649" s="9"/>
      <c r="L649" s="9"/>
      <c r="M649" s="9"/>
      <c r="N649" s="9"/>
      <c r="O649" s="9"/>
    </row>
    <row r="650" ht="22.5" customHeight="1">
      <c r="A650" s="49"/>
      <c r="C650" s="192">
        <v>46141.0</v>
      </c>
      <c r="D650" s="195">
        <v>500000.0</v>
      </c>
      <c r="E650" s="69" t="s">
        <v>898</v>
      </c>
      <c r="F650" s="69" t="s">
        <v>41</v>
      </c>
      <c r="G650" s="69" t="s">
        <v>42</v>
      </c>
      <c r="H650" s="99"/>
      <c r="I650" s="9"/>
      <c r="J650" s="9"/>
      <c r="K650" s="9"/>
      <c r="L650" s="9"/>
      <c r="M650" s="9"/>
      <c r="N650" s="9"/>
      <c r="O650" s="9"/>
    </row>
    <row r="651" ht="22.5" customHeight="1">
      <c r="A651" s="49"/>
      <c r="C651" s="192">
        <v>46141.0</v>
      </c>
      <c r="D651" s="195">
        <v>20000.0</v>
      </c>
      <c r="E651" s="69" t="s">
        <v>347</v>
      </c>
      <c r="F651" s="69" t="s">
        <v>41</v>
      </c>
      <c r="G651" s="69" t="s">
        <v>42</v>
      </c>
      <c r="H651" s="99"/>
      <c r="I651" s="9"/>
      <c r="J651" s="9"/>
      <c r="K651" s="9"/>
      <c r="L651" s="9"/>
      <c r="M651" s="9"/>
      <c r="N651" s="9"/>
      <c r="O651" s="9"/>
    </row>
    <row r="652" ht="22.5" customHeight="1">
      <c r="A652" s="49"/>
      <c r="C652" s="192">
        <v>46141.0</v>
      </c>
      <c r="D652" s="195">
        <v>20000.0</v>
      </c>
      <c r="E652" s="69" t="s">
        <v>1121</v>
      </c>
      <c r="F652" s="69" t="s">
        <v>41</v>
      </c>
      <c r="G652" s="69" t="s">
        <v>42</v>
      </c>
      <c r="H652" s="99"/>
      <c r="I652" s="9"/>
      <c r="J652" s="9"/>
      <c r="K652" s="9"/>
      <c r="L652" s="9"/>
      <c r="M652" s="9"/>
      <c r="N652" s="9"/>
      <c r="O652" s="9"/>
    </row>
    <row r="653" ht="22.5" customHeight="1">
      <c r="A653" s="49"/>
      <c r="C653" s="192">
        <v>46142.0</v>
      </c>
      <c r="D653" s="195">
        <v>180000.0</v>
      </c>
      <c r="E653" s="69" t="s">
        <v>211</v>
      </c>
      <c r="F653" s="69" t="s">
        <v>41</v>
      </c>
      <c r="G653" s="69" t="s">
        <v>42</v>
      </c>
      <c r="H653" s="99"/>
      <c r="I653" s="9"/>
      <c r="J653" s="9"/>
      <c r="K653" s="9"/>
      <c r="L653" s="9"/>
      <c r="M653" s="9"/>
      <c r="N653" s="9"/>
      <c r="O653" s="9"/>
    </row>
    <row r="654" ht="22.5" customHeight="1">
      <c r="A654" s="49"/>
      <c r="C654" s="192">
        <v>46142.0</v>
      </c>
      <c r="D654" s="195">
        <v>35000.0</v>
      </c>
      <c r="E654" s="69" t="s">
        <v>1124</v>
      </c>
      <c r="F654" s="69" t="s">
        <v>41</v>
      </c>
      <c r="G654" s="69" t="s">
        <v>42</v>
      </c>
      <c r="H654" s="99"/>
      <c r="I654" s="9"/>
      <c r="J654" s="9"/>
      <c r="K654" s="9"/>
      <c r="L654" s="9"/>
      <c r="M654" s="9"/>
      <c r="N654" s="9"/>
      <c r="O654" s="9"/>
    </row>
    <row r="655" ht="22.5" customHeight="1">
      <c r="A655" s="49"/>
      <c r="C655" s="192">
        <v>46142.0</v>
      </c>
      <c r="D655" s="195">
        <v>150000.0</v>
      </c>
      <c r="E655" s="69" t="s">
        <v>1126</v>
      </c>
      <c r="F655" s="69" t="s">
        <v>41</v>
      </c>
      <c r="G655" s="69" t="s">
        <v>42</v>
      </c>
      <c r="H655" s="99"/>
      <c r="I655" s="9"/>
      <c r="J655" s="9"/>
      <c r="K655" s="9"/>
      <c r="L655" s="9"/>
      <c r="M655" s="9"/>
      <c r="N655" s="9"/>
      <c r="O655" s="9"/>
    </row>
    <row r="656" ht="22.5" customHeight="1">
      <c r="A656" s="49"/>
      <c r="C656" s="192">
        <v>46143.0</v>
      </c>
      <c r="D656" s="195">
        <v>40000.0</v>
      </c>
      <c r="E656" s="69" t="s">
        <v>337</v>
      </c>
      <c r="F656" s="69" t="s">
        <v>41</v>
      </c>
      <c r="G656" s="69" t="s">
        <v>42</v>
      </c>
      <c r="H656" s="99"/>
      <c r="I656" s="9"/>
      <c r="J656" s="9"/>
      <c r="K656" s="9"/>
      <c r="L656" s="9"/>
      <c r="M656" s="9"/>
      <c r="N656" s="9"/>
      <c r="O656" s="9"/>
    </row>
    <row r="657" ht="22.5" customHeight="1">
      <c r="A657" s="49"/>
      <c r="C657" s="192">
        <v>46143.0</v>
      </c>
      <c r="D657" s="195">
        <v>60000.0</v>
      </c>
      <c r="E657" s="69" t="s">
        <v>1129</v>
      </c>
      <c r="F657" s="69" t="s">
        <v>41</v>
      </c>
      <c r="G657" s="69" t="s">
        <v>42</v>
      </c>
      <c r="H657" s="99"/>
      <c r="I657" s="9"/>
      <c r="J657" s="9"/>
      <c r="K657" s="9"/>
      <c r="L657" s="9"/>
      <c r="M657" s="9"/>
      <c r="N657" s="9"/>
      <c r="O657" s="9"/>
    </row>
    <row r="658" ht="22.5" customHeight="1">
      <c r="A658" s="49"/>
      <c r="C658" s="192">
        <v>46144.0</v>
      </c>
      <c r="D658" s="195">
        <v>4250000.0</v>
      </c>
      <c r="E658" s="69" t="s">
        <v>179</v>
      </c>
      <c r="F658" s="69" t="s">
        <v>45</v>
      </c>
      <c r="G658" s="69" t="s">
        <v>87</v>
      </c>
      <c r="H658" s="99"/>
      <c r="I658" s="9"/>
      <c r="J658" s="9"/>
      <c r="K658" s="9"/>
      <c r="L658" s="9"/>
      <c r="M658" s="9"/>
      <c r="N658" s="9"/>
      <c r="O658" s="9"/>
    </row>
    <row r="659" ht="22.5" customHeight="1">
      <c r="A659" s="49"/>
      <c r="C659" s="192">
        <v>46144.0</v>
      </c>
      <c r="D659" s="195">
        <v>35000.0</v>
      </c>
      <c r="E659" s="69" t="s">
        <v>1132</v>
      </c>
      <c r="F659" s="69" t="s">
        <v>41</v>
      </c>
      <c r="G659" s="69" t="s">
        <v>42</v>
      </c>
      <c r="H659" s="99"/>
      <c r="I659" s="9"/>
      <c r="J659" s="9"/>
      <c r="K659" s="9"/>
      <c r="L659" s="9"/>
      <c r="M659" s="9"/>
      <c r="N659" s="9"/>
      <c r="O659" s="9"/>
    </row>
    <row r="660" ht="22.5" customHeight="1">
      <c r="A660" s="49"/>
      <c r="C660" s="192">
        <v>46144.0</v>
      </c>
      <c r="D660" s="195">
        <v>370000.0</v>
      </c>
      <c r="E660" s="69" t="s">
        <v>1135</v>
      </c>
      <c r="F660" s="69" t="s">
        <v>41</v>
      </c>
      <c r="G660" s="69" t="s">
        <v>42</v>
      </c>
      <c r="H660" s="99"/>
      <c r="I660" s="9"/>
      <c r="J660" s="9"/>
      <c r="K660" s="9"/>
      <c r="L660" s="9"/>
      <c r="M660" s="9"/>
      <c r="N660" s="9"/>
      <c r="O660" s="9"/>
    </row>
    <row r="661" ht="22.5" customHeight="1">
      <c r="A661" s="49"/>
      <c r="C661" s="192">
        <v>46144.0</v>
      </c>
      <c r="D661" s="195">
        <v>10000.0</v>
      </c>
      <c r="E661" s="69" t="s">
        <v>817</v>
      </c>
      <c r="F661" s="69" t="s">
        <v>41</v>
      </c>
      <c r="G661" s="69" t="s">
        <v>42</v>
      </c>
      <c r="H661" s="99"/>
      <c r="I661" s="9"/>
      <c r="J661" s="9"/>
      <c r="K661" s="9"/>
      <c r="L661" s="9"/>
      <c r="M661" s="9"/>
      <c r="N661" s="9"/>
      <c r="O661" s="9"/>
    </row>
    <row r="662" ht="22.5" customHeight="1">
      <c r="A662" s="49"/>
      <c r="C662" s="192">
        <v>46144.0</v>
      </c>
      <c r="D662" s="195">
        <v>15000.0</v>
      </c>
      <c r="E662" s="69" t="s">
        <v>1137</v>
      </c>
      <c r="F662" s="69" t="s">
        <v>41</v>
      </c>
      <c r="G662" s="69" t="s">
        <v>42</v>
      </c>
      <c r="H662" s="99"/>
      <c r="I662" s="9"/>
      <c r="J662" s="9"/>
      <c r="K662" s="9"/>
      <c r="L662" s="9"/>
      <c r="M662" s="9"/>
      <c r="N662" s="9"/>
      <c r="O662" s="9"/>
    </row>
    <row r="663" ht="22.5" customHeight="1">
      <c r="A663" s="49"/>
      <c r="C663" s="192">
        <v>46145.0</v>
      </c>
      <c r="D663" s="195">
        <v>203000.0</v>
      </c>
      <c r="E663" s="69" t="s">
        <v>910</v>
      </c>
      <c r="F663" s="69" t="s">
        <v>45</v>
      </c>
      <c r="G663" s="69" t="s">
        <v>87</v>
      </c>
      <c r="H663" s="99"/>
      <c r="I663" s="9"/>
      <c r="J663" s="9"/>
      <c r="K663" s="9"/>
      <c r="L663" s="9"/>
      <c r="M663" s="9"/>
      <c r="N663" s="9"/>
      <c r="O663" s="9"/>
    </row>
    <row r="664" ht="22.5" customHeight="1">
      <c r="A664" s="49"/>
      <c r="C664" s="192">
        <v>46145.0</v>
      </c>
      <c r="D664" s="195">
        <v>25000.0</v>
      </c>
      <c r="E664" s="69" t="s">
        <v>338</v>
      </c>
      <c r="F664" s="69" t="s">
        <v>41</v>
      </c>
      <c r="G664" s="69" t="s">
        <v>42</v>
      </c>
      <c r="H664" s="99"/>
      <c r="I664" s="9"/>
      <c r="J664" s="9"/>
      <c r="K664" s="9"/>
      <c r="L664" s="9"/>
      <c r="M664" s="9"/>
      <c r="N664" s="9"/>
      <c r="O664" s="9"/>
    </row>
    <row r="665" ht="22.5" customHeight="1">
      <c r="A665" s="49"/>
      <c r="C665" s="192">
        <v>46145.0</v>
      </c>
      <c r="D665" s="195">
        <v>340000.0</v>
      </c>
      <c r="E665" s="69" t="s">
        <v>1141</v>
      </c>
      <c r="F665" s="69" t="s">
        <v>45</v>
      </c>
      <c r="G665" s="69" t="s">
        <v>87</v>
      </c>
      <c r="H665" s="99"/>
      <c r="I665" s="9"/>
      <c r="J665" s="9"/>
      <c r="K665" s="9"/>
      <c r="L665" s="9"/>
      <c r="M665" s="9"/>
      <c r="N665" s="9"/>
      <c r="O665" s="9"/>
    </row>
    <row r="666" ht="22.5" customHeight="1">
      <c r="A666" s="49"/>
      <c r="C666" s="192">
        <v>46145.0</v>
      </c>
      <c r="D666" s="195">
        <v>70000.0</v>
      </c>
      <c r="E666" s="69" t="s">
        <v>1144</v>
      </c>
      <c r="F666" s="69" t="s">
        <v>41</v>
      </c>
      <c r="G666" s="69" t="s">
        <v>42</v>
      </c>
      <c r="H666" s="99"/>
      <c r="I666" s="9"/>
      <c r="J666" s="9"/>
      <c r="K666" s="9"/>
      <c r="L666" s="9"/>
      <c r="M666" s="9"/>
      <c r="N666" s="9"/>
      <c r="O666" s="9"/>
    </row>
    <row r="667" ht="22.5" customHeight="1">
      <c r="A667" s="49"/>
      <c r="C667" s="192">
        <v>46145.0</v>
      </c>
      <c r="D667" s="63"/>
      <c r="F667" s="93"/>
      <c r="G667" s="93"/>
      <c r="H667" s="99"/>
      <c r="I667" s="9"/>
      <c r="J667" s="9"/>
      <c r="K667" s="9"/>
      <c r="L667" s="9"/>
      <c r="M667" s="9"/>
      <c r="N667" s="9"/>
      <c r="O667" s="9"/>
    </row>
    <row r="668" ht="22.5" customHeight="1">
      <c r="A668" s="49"/>
      <c r="C668" s="192">
        <v>46146.0</v>
      </c>
      <c r="D668" s="195">
        <v>503000.0</v>
      </c>
      <c r="E668" s="69" t="s">
        <v>495</v>
      </c>
      <c r="F668" s="69" t="s">
        <v>45</v>
      </c>
      <c r="G668" s="69" t="s">
        <v>87</v>
      </c>
      <c r="H668" s="99"/>
      <c r="I668" s="9"/>
      <c r="J668" s="9"/>
      <c r="K668" s="9"/>
      <c r="L668" s="9"/>
      <c r="M668" s="9"/>
      <c r="N668" s="9"/>
      <c r="O668" s="9"/>
    </row>
    <row r="669" ht="22.5" customHeight="1">
      <c r="A669" s="49"/>
      <c r="C669" s="192">
        <v>46146.0</v>
      </c>
      <c r="D669" s="195">
        <v>20000.0</v>
      </c>
      <c r="E669" s="69" t="s">
        <v>347</v>
      </c>
      <c r="F669" s="69" t="s">
        <v>41</v>
      </c>
      <c r="G669" s="69" t="s">
        <v>42</v>
      </c>
      <c r="H669" s="99"/>
      <c r="I669" s="9"/>
      <c r="J669" s="9"/>
      <c r="K669" s="9"/>
      <c r="L669" s="9"/>
      <c r="M669" s="9"/>
      <c r="N669" s="9"/>
      <c r="O669" s="9"/>
    </row>
    <row r="670" ht="22.5" customHeight="1">
      <c r="A670" s="49"/>
      <c r="C670" s="192">
        <v>46146.0</v>
      </c>
      <c r="D670" s="195">
        <v>20000.0</v>
      </c>
      <c r="E670" s="69" t="s">
        <v>1147</v>
      </c>
      <c r="F670" s="69" t="s">
        <v>41</v>
      </c>
      <c r="G670" s="69" t="s">
        <v>42</v>
      </c>
      <c r="H670" s="99"/>
      <c r="I670" s="9"/>
      <c r="J670" s="9"/>
      <c r="K670" s="9"/>
      <c r="L670" s="9"/>
      <c r="M670" s="9"/>
      <c r="N670" s="9"/>
      <c r="O670" s="9"/>
    </row>
    <row r="671" ht="22.5" customHeight="1">
      <c r="A671" s="49"/>
      <c r="C671" s="192">
        <v>46146.0</v>
      </c>
      <c r="D671" s="195">
        <v>50000.0</v>
      </c>
      <c r="E671" s="69" t="s">
        <v>1149</v>
      </c>
      <c r="F671" s="69" t="s">
        <v>41</v>
      </c>
      <c r="G671" s="69" t="s">
        <v>42</v>
      </c>
      <c r="H671" s="99"/>
      <c r="I671" s="9"/>
      <c r="J671" s="9"/>
      <c r="K671" s="9"/>
      <c r="L671" s="9"/>
      <c r="M671" s="9"/>
      <c r="N671" s="9"/>
      <c r="O671" s="9"/>
    </row>
    <row r="672" ht="22.5" customHeight="1">
      <c r="A672" s="49"/>
      <c r="C672" s="192">
        <v>46146.0</v>
      </c>
      <c r="D672" s="195">
        <v>120000.0</v>
      </c>
      <c r="E672" s="69" t="s">
        <v>1152</v>
      </c>
      <c r="F672" s="69" t="s">
        <v>41</v>
      </c>
      <c r="G672" s="69" t="s">
        <v>42</v>
      </c>
      <c r="H672" s="99"/>
      <c r="I672" s="9"/>
      <c r="J672" s="9"/>
      <c r="K672" s="9"/>
      <c r="L672" s="9"/>
      <c r="M672" s="9"/>
      <c r="N672" s="9"/>
      <c r="O672" s="9"/>
    </row>
    <row r="673" ht="22.5" customHeight="1">
      <c r="A673" s="49"/>
      <c r="C673" s="192">
        <v>46147.0</v>
      </c>
      <c r="D673" s="195">
        <v>20000.0</v>
      </c>
      <c r="E673" s="69" t="s">
        <v>1153</v>
      </c>
      <c r="F673" s="69" t="s">
        <v>41</v>
      </c>
      <c r="G673" s="69" t="s">
        <v>42</v>
      </c>
      <c r="H673" s="99"/>
      <c r="I673" s="9"/>
      <c r="J673" s="9"/>
      <c r="K673" s="9"/>
      <c r="L673" s="9"/>
      <c r="M673" s="9"/>
      <c r="N673" s="9"/>
      <c r="O673" s="9"/>
    </row>
    <row r="674" ht="22.5" customHeight="1">
      <c r="A674" s="49"/>
      <c r="C674" s="192">
        <v>46147.0</v>
      </c>
      <c r="D674" s="195">
        <v>15000.0</v>
      </c>
      <c r="E674" s="69" t="s">
        <v>1154</v>
      </c>
      <c r="F674" s="69" t="s">
        <v>41</v>
      </c>
      <c r="G674" s="69" t="s">
        <v>42</v>
      </c>
      <c r="H674" s="99"/>
      <c r="I674" s="9"/>
      <c r="J674" s="9"/>
      <c r="K674" s="9"/>
      <c r="L674" s="9"/>
      <c r="M674" s="9"/>
      <c r="N674" s="9"/>
      <c r="O674" s="9"/>
    </row>
    <row r="675" ht="22.5" customHeight="1">
      <c r="A675" s="49"/>
      <c r="C675" s="192">
        <v>46147.0</v>
      </c>
      <c r="D675" s="195">
        <v>200000.0</v>
      </c>
      <c r="E675" s="69" t="s">
        <v>1157</v>
      </c>
      <c r="F675" s="69" t="s">
        <v>41</v>
      </c>
      <c r="G675" s="69" t="s">
        <v>42</v>
      </c>
      <c r="H675" s="99"/>
      <c r="I675" s="9"/>
      <c r="J675" s="9"/>
      <c r="K675" s="9"/>
      <c r="L675" s="9"/>
      <c r="M675" s="9"/>
      <c r="N675" s="9"/>
      <c r="O675" s="9"/>
    </row>
    <row r="676" ht="22.5" customHeight="1">
      <c r="A676" s="49"/>
      <c r="C676" s="192">
        <v>46147.0</v>
      </c>
      <c r="D676" s="195">
        <v>15000.0</v>
      </c>
      <c r="E676" s="69" t="s">
        <v>1115</v>
      </c>
      <c r="F676" s="69" t="s">
        <v>41</v>
      </c>
      <c r="G676" s="69" t="s">
        <v>42</v>
      </c>
      <c r="H676" s="99"/>
      <c r="I676" s="9"/>
      <c r="J676" s="9"/>
      <c r="K676" s="9"/>
      <c r="L676" s="9"/>
      <c r="M676" s="9"/>
      <c r="N676" s="9"/>
      <c r="O676" s="9"/>
    </row>
    <row r="677" ht="22.5" customHeight="1">
      <c r="A677" s="49"/>
      <c r="C677" s="192">
        <v>46147.0</v>
      </c>
      <c r="D677" s="195">
        <v>10000.0</v>
      </c>
      <c r="E677" s="69" t="s">
        <v>221</v>
      </c>
      <c r="F677" s="69" t="s">
        <v>41</v>
      </c>
      <c r="G677" s="69" t="s">
        <v>42</v>
      </c>
      <c r="H677" s="99"/>
      <c r="I677" s="9"/>
      <c r="J677" s="9"/>
      <c r="K677" s="9"/>
      <c r="L677" s="9"/>
      <c r="M677" s="9"/>
      <c r="N677" s="9"/>
      <c r="O677" s="9"/>
    </row>
    <row r="678" ht="22.5" customHeight="1">
      <c r="A678" s="49"/>
      <c r="C678" s="192">
        <v>46148.0</v>
      </c>
      <c r="D678" s="195">
        <v>70000.0</v>
      </c>
      <c r="E678" s="69" t="s">
        <v>356</v>
      </c>
      <c r="F678" s="69" t="s">
        <v>41</v>
      </c>
      <c r="G678" s="69" t="s">
        <v>42</v>
      </c>
      <c r="H678" s="99"/>
      <c r="I678" s="9"/>
      <c r="J678" s="9"/>
      <c r="K678" s="9"/>
      <c r="L678" s="9"/>
      <c r="M678" s="9"/>
      <c r="N678" s="9"/>
      <c r="O678" s="9"/>
    </row>
    <row r="679" ht="22.5" customHeight="1">
      <c r="A679" s="49"/>
      <c r="C679" s="192">
        <v>46148.0</v>
      </c>
      <c r="D679" s="195">
        <v>125000.0</v>
      </c>
      <c r="E679" s="69" t="s">
        <v>1162</v>
      </c>
      <c r="F679" s="69" t="s">
        <v>41</v>
      </c>
      <c r="G679" s="69" t="s">
        <v>42</v>
      </c>
      <c r="H679" s="99"/>
      <c r="I679" s="9"/>
      <c r="J679" s="9"/>
      <c r="K679" s="9"/>
      <c r="L679" s="9"/>
      <c r="M679" s="9"/>
      <c r="N679" s="9"/>
      <c r="O679" s="9"/>
    </row>
    <row r="680" ht="22.5" customHeight="1">
      <c r="A680" s="49"/>
      <c r="C680" s="192">
        <v>46148.0</v>
      </c>
      <c r="D680" s="195">
        <v>20000.0</v>
      </c>
      <c r="E680" s="69" t="s">
        <v>404</v>
      </c>
      <c r="F680" s="69" t="s">
        <v>41</v>
      </c>
      <c r="G680" s="69" t="s">
        <v>42</v>
      </c>
      <c r="H680" s="99"/>
      <c r="I680" s="9"/>
      <c r="J680" s="9"/>
      <c r="K680" s="9"/>
      <c r="L680" s="9"/>
      <c r="M680" s="9"/>
      <c r="N680" s="9"/>
      <c r="O680" s="9"/>
    </row>
    <row r="681" ht="22.5" customHeight="1">
      <c r="A681" s="49"/>
      <c r="C681" s="192">
        <v>46148.0</v>
      </c>
      <c r="D681" s="195">
        <v>20000.0</v>
      </c>
      <c r="E681" s="69" t="s">
        <v>1166</v>
      </c>
      <c r="F681" s="69" t="s">
        <v>41</v>
      </c>
      <c r="G681" s="69" t="s">
        <v>42</v>
      </c>
      <c r="H681" s="99"/>
      <c r="I681" s="9"/>
      <c r="J681" s="9"/>
      <c r="K681" s="9"/>
      <c r="L681" s="9"/>
      <c r="M681" s="9"/>
      <c r="N681" s="9"/>
      <c r="O681" s="9"/>
    </row>
    <row r="682" ht="22.5" customHeight="1">
      <c r="A682" s="49"/>
      <c r="C682" s="192">
        <v>46148.0</v>
      </c>
      <c r="D682" s="195">
        <v>20000.0</v>
      </c>
      <c r="E682" s="69" t="s">
        <v>608</v>
      </c>
      <c r="F682" s="69" t="s">
        <v>41</v>
      </c>
      <c r="G682" s="69" t="s">
        <v>42</v>
      </c>
      <c r="H682" s="99"/>
      <c r="I682" s="9"/>
      <c r="J682" s="9"/>
      <c r="K682" s="9"/>
      <c r="L682" s="9"/>
      <c r="M682" s="9"/>
      <c r="N682" s="9"/>
      <c r="O682" s="9"/>
    </row>
    <row r="683" ht="22.5" customHeight="1">
      <c r="A683" s="49"/>
      <c r="C683" s="192">
        <v>46148.0</v>
      </c>
      <c r="D683" s="195">
        <v>335000.0</v>
      </c>
      <c r="E683" s="69" t="s">
        <v>367</v>
      </c>
      <c r="F683" s="69" t="s">
        <v>41</v>
      </c>
      <c r="G683" s="69" t="s">
        <v>42</v>
      </c>
      <c r="H683" s="99"/>
      <c r="I683" s="9"/>
      <c r="J683" s="9"/>
      <c r="K683" s="9"/>
      <c r="L683" s="9"/>
      <c r="M683" s="9"/>
      <c r="N683" s="9"/>
      <c r="O683" s="9"/>
    </row>
    <row r="684" ht="22.5" customHeight="1">
      <c r="A684" s="49"/>
      <c r="C684" s="192">
        <v>46148.0</v>
      </c>
      <c r="D684" s="195">
        <v>25000.0</v>
      </c>
      <c r="E684" s="69" t="s">
        <v>175</v>
      </c>
      <c r="F684" s="69" t="s">
        <v>41</v>
      </c>
      <c r="G684" s="69" t="s">
        <v>42</v>
      </c>
      <c r="H684" s="99"/>
      <c r="I684" s="9"/>
      <c r="J684" s="9"/>
      <c r="K684" s="9"/>
      <c r="L684" s="9"/>
      <c r="M684" s="9"/>
      <c r="N684" s="9"/>
      <c r="O684" s="9"/>
    </row>
    <row r="685" ht="22.5" customHeight="1">
      <c r="A685" s="49"/>
      <c r="C685" s="192">
        <v>46148.0</v>
      </c>
      <c r="D685" s="195">
        <v>10000.0</v>
      </c>
      <c r="E685" s="69" t="s">
        <v>221</v>
      </c>
      <c r="F685" s="69" t="s">
        <v>41</v>
      </c>
      <c r="G685" s="69" t="s">
        <v>42</v>
      </c>
      <c r="H685" s="99"/>
      <c r="I685" s="9"/>
      <c r="J685" s="9"/>
      <c r="K685" s="9"/>
      <c r="L685" s="9"/>
      <c r="M685" s="9"/>
      <c r="N685" s="9"/>
      <c r="O685" s="9"/>
    </row>
    <row r="686" ht="22.5" customHeight="1">
      <c r="A686" s="49"/>
      <c r="C686" s="192">
        <v>46148.0</v>
      </c>
      <c r="D686" s="195">
        <v>45000.0</v>
      </c>
      <c r="E686" s="69" t="s">
        <v>1171</v>
      </c>
      <c r="F686" s="69" t="s">
        <v>41</v>
      </c>
      <c r="G686" s="69" t="s">
        <v>42</v>
      </c>
      <c r="H686" s="99"/>
      <c r="I686" s="9"/>
      <c r="J686" s="9"/>
      <c r="K686" s="9"/>
      <c r="L686" s="9"/>
      <c r="M686" s="9"/>
      <c r="N686" s="9"/>
      <c r="O686" s="9"/>
    </row>
    <row r="687" ht="22.5" customHeight="1">
      <c r="A687" s="49"/>
      <c r="C687" s="192">
        <v>46149.0</v>
      </c>
      <c r="D687" s="195">
        <v>2020000.0</v>
      </c>
      <c r="E687" s="69" t="s">
        <v>1174</v>
      </c>
      <c r="F687" s="69" t="s">
        <v>45</v>
      </c>
      <c r="G687" s="69" t="s">
        <v>87</v>
      </c>
      <c r="H687" s="99"/>
      <c r="I687" s="9"/>
      <c r="J687" s="9"/>
      <c r="K687" s="9"/>
      <c r="L687" s="9"/>
      <c r="M687" s="9"/>
      <c r="N687" s="9"/>
      <c r="O687" s="9"/>
    </row>
    <row r="688" ht="22.5" customHeight="1">
      <c r="A688" s="49"/>
      <c r="C688" s="192">
        <v>46149.0</v>
      </c>
      <c r="D688" s="195">
        <v>240000.0</v>
      </c>
      <c r="E688" s="69" t="s">
        <v>211</v>
      </c>
      <c r="F688" s="69" t="s">
        <v>41</v>
      </c>
      <c r="G688" s="69" t="s">
        <v>42</v>
      </c>
      <c r="H688" s="99"/>
      <c r="I688" s="9"/>
      <c r="J688" s="9"/>
      <c r="K688" s="9"/>
      <c r="L688" s="9"/>
      <c r="M688" s="9"/>
      <c r="N688" s="9"/>
      <c r="O688" s="9"/>
    </row>
    <row r="689" ht="22.5" customHeight="1">
      <c r="A689" s="49"/>
      <c r="C689" s="192">
        <v>46149.0</v>
      </c>
      <c r="D689" s="195">
        <v>40000.0</v>
      </c>
      <c r="E689" s="69" t="s">
        <v>339</v>
      </c>
      <c r="F689" s="69" t="s">
        <v>41</v>
      </c>
      <c r="G689" s="69" t="s">
        <v>42</v>
      </c>
      <c r="H689" s="99"/>
      <c r="I689" s="9"/>
      <c r="J689" s="9"/>
      <c r="K689" s="9"/>
      <c r="L689" s="9"/>
      <c r="M689" s="9"/>
      <c r="N689" s="9"/>
      <c r="O689" s="9"/>
    </row>
    <row r="690" ht="22.5" customHeight="1">
      <c r="A690" s="49"/>
      <c r="C690" s="192">
        <v>46149.0</v>
      </c>
      <c r="D690" s="195">
        <v>10000.0</v>
      </c>
      <c r="E690" s="69" t="s">
        <v>474</v>
      </c>
      <c r="F690" s="69" t="s">
        <v>41</v>
      </c>
      <c r="G690" s="69" t="s">
        <v>42</v>
      </c>
      <c r="H690" s="99"/>
      <c r="I690" s="9"/>
      <c r="J690" s="9"/>
      <c r="K690" s="9"/>
      <c r="L690" s="9"/>
      <c r="M690" s="9"/>
      <c r="N690" s="9"/>
      <c r="O690" s="9"/>
    </row>
    <row r="691" ht="22.5" customHeight="1">
      <c r="A691" s="49"/>
      <c r="C691" s="192">
        <v>46149.0</v>
      </c>
      <c r="D691" s="195">
        <v>20000.0</v>
      </c>
      <c r="E691" s="69" t="s">
        <v>608</v>
      </c>
      <c r="F691" s="69" t="s">
        <v>41</v>
      </c>
      <c r="G691" s="69" t="s">
        <v>42</v>
      </c>
      <c r="H691" s="99"/>
      <c r="I691" s="9"/>
      <c r="J691" s="9"/>
      <c r="K691" s="9"/>
      <c r="L691" s="9"/>
      <c r="M691" s="9"/>
      <c r="N691" s="9"/>
      <c r="O691" s="9"/>
    </row>
    <row r="692" ht="22.5" customHeight="1">
      <c r="A692" s="49"/>
      <c r="C692" s="192">
        <v>46150.0</v>
      </c>
      <c r="D692" s="195">
        <v>200000.0</v>
      </c>
      <c r="E692" s="69" t="s">
        <v>1180</v>
      </c>
      <c r="F692" s="69" t="s">
        <v>41</v>
      </c>
      <c r="G692" s="69" t="s">
        <v>42</v>
      </c>
      <c r="H692" s="99"/>
      <c r="I692" s="9"/>
      <c r="J692" s="9"/>
      <c r="K692" s="9"/>
      <c r="L692" s="9"/>
      <c r="M692" s="9"/>
      <c r="N692" s="9"/>
      <c r="O692" s="9"/>
    </row>
    <row r="693" ht="22.5" customHeight="1">
      <c r="A693" s="49"/>
      <c r="C693" s="192">
        <v>46150.0</v>
      </c>
      <c r="D693" s="195">
        <v>45000.0</v>
      </c>
      <c r="E693" s="69" t="s">
        <v>1181</v>
      </c>
      <c r="F693" s="69" t="s">
        <v>41</v>
      </c>
      <c r="G693" s="69" t="s">
        <v>42</v>
      </c>
      <c r="H693" s="99"/>
      <c r="I693" s="9"/>
      <c r="J693" s="9"/>
      <c r="K693" s="9"/>
      <c r="L693" s="9"/>
      <c r="M693" s="9"/>
      <c r="N693" s="9"/>
      <c r="O693" s="9"/>
    </row>
    <row r="694" ht="22.5" customHeight="1">
      <c r="A694" s="49"/>
      <c r="C694" s="192">
        <v>46150.0</v>
      </c>
      <c r="D694" s="195">
        <v>100000.0</v>
      </c>
      <c r="E694" s="69" t="s">
        <v>1184</v>
      </c>
      <c r="F694" s="69" t="s">
        <v>41</v>
      </c>
      <c r="G694" s="69" t="s">
        <v>42</v>
      </c>
      <c r="H694" s="99"/>
      <c r="I694" s="9"/>
      <c r="J694" s="9"/>
      <c r="K694" s="9"/>
      <c r="L694" s="9"/>
      <c r="M694" s="9"/>
      <c r="N694" s="9"/>
      <c r="O694" s="9"/>
    </row>
    <row r="695" ht="22.5" customHeight="1">
      <c r="A695" s="49"/>
      <c r="C695" s="192">
        <v>46150.0</v>
      </c>
      <c r="D695" s="195">
        <v>30000.0</v>
      </c>
      <c r="E695" s="69" t="s">
        <v>338</v>
      </c>
      <c r="F695" s="69" t="s">
        <v>41</v>
      </c>
      <c r="G695" s="69" t="s">
        <v>42</v>
      </c>
      <c r="H695" s="99"/>
      <c r="I695" s="9"/>
      <c r="J695" s="9"/>
      <c r="K695" s="9"/>
      <c r="L695" s="9"/>
      <c r="M695" s="9"/>
      <c r="N695" s="9"/>
      <c r="O695" s="9"/>
    </row>
    <row r="696" ht="22.5" customHeight="1">
      <c r="A696" s="49"/>
      <c r="C696" s="192">
        <v>46151.0</v>
      </c>
      <c r="D696" s="195">
        <v>4450000.0</v>
      </c>
      <c r="E696" s="69" t="s">
        <v>179</v>
      </c>
      <c r="F696" s="69" t="s">
        <v>41</v>
      </c>
      <c r="G696" s="69" t="s">
        <v>87</v>
      </c>
      <c r="H696" s="99"/>
      <c r="I696" s="9"/>
      <c r="J696" s="9"/>
      <c r="K696" s="9"/>
      <c r="L696" s="9"/>
      <c r="M696" s="9"/>
      <c r="N696" s="9"/>
      <c r="O696" s="9"/>
    </row>
    <row r="697" ht="22.5" customHeight="1">
      <c r="A697" s="49"/>
      <c r="C697" s="192">
        <v>46151.0</v>
      </c>
      <c r="D697" s="195">
        <v>50000.0</v>
      </c>
      <c r="E697" s="69" t="s">
        <v>1185</v>
      </c>
      <c r="F697" s="69" t="s">
        <v>41</v>
      </c>
      <c r="G697" s="69" t="s">
        <v>42</v>
      </c>
      <c r="H697" s="99"/>
      <c r="I697" s="9"/>
      <c r="J697" s="9"/>
      <c r="K697" s="9"/>
      <c r="L697" s="9"/>
      <c r="M697" s="9"/>
      <c r="N697" s="9"/>
      <c r="O697" s="9"/>
    </row>
    <row r="698" ht="22.5" customHeight="1">
      <c r="A698" s="49"/>
      <c r="C698" s="192">
        <v>46151.0</v>
      </c>
      <c r="D698" s="195">
        <v>30000.0</v>
      </c>
      <c r="E698" s="69" t="s">
        <v>1187</v>
      </c>
      <c r="F698" s="69" t="s">
        <v>41</v>
      </c>
      <c r="G698" s="69" t="s">
        <v>42</v>
      </c>
      <c r="H698" s="99"/>
      <c r="I698" s="9"/>
      <c r="J698" s="9"/>
      <c r="K698" s="9"/>
      <c r="L698" s="9"/>
      <c r="M698" s="9"/>
      <c r="N698" s="9"/>
      <c r="O698" s="9"/>
    </row>
    <row r="699" ht="22.5" customHeight="1">
      <c r="A699" s="49"/>
      <c r="C699" s="192">
        <v>46151.0</v>
      </c>
      <c r="D699" s="195">
        <v>1000000.0</v>
      </c>
      <c r="E699" s="69" t="s">
        <v>1189</v>
      </c>
      <c r="F699" s="69" t="s">
        <v>45</v>
      </c>
      <c r="G699" s="69" t="s">
        <v>87</v>
      </c>
      <c r="H699" s="99"/>
      <c r="I699" s="9"/>
      <c r="J699" s="9"/>
      <c r="K699" s="9"/>
      <c r="L699" s="9"/>
      <c r="M699" s="9"/>
      <c r="N699" s="9"/>
      <c r="O699" s="9"/>
    </row>
    <row r="700" ht="22.5" customHeight="1">
      <c r="A700" s="49"/>
      <c r="C700" s="192">
        <v>46153.0</v>
      </c>
      <c r="D700" s="195">
        <v>40000.0</v>
      </c>
      <c r="E700" s="69" t="s">
        <v>339</v>
      </c>
      <c r="F700" s="69" t="s">
        <v>41</v>
      </c>
      <c r="G700" s="69" t="s">
        <v>42</v>
      </c>
      <c r="H700" s="99"/>
      <c r="I700" s="9"/>
      <c r="J700" s="9"/>
      <c r="K700" s="9"/>
      <c r="L700" s="9"/>
      <c r="M700" s="9"/>
      <c r="N700" s="9"/>
      <c r="O700" s="9"/>
    </row>
    <row r="701" ht="22.5" customHeight="1">
      <c r="A701" s="49"/>
      <c r="C701" s="192">
        <v>46153.0</v>
      </c>
      <c r="D701" s="195">
        <v>10000.0</v>
      </c>
      <c r="E701" s="69" t="s">
        <v>1191</v>
      </c>
      <c r="F701" s="69" t="s">
        <v>41</v>
      </c>
      <c r="G701" s="69" t="s">
        <v>42</v>
      </c>
      <c r="H701" s="99"/>
      <c r="I701" s="9"/>
      <c r="J701" s="9"/>
      <c r="K701" s="9"/>
      <c r="L701" s="9"/>
      <c r="M701" s="9"/>
      <c r="N701" s="9"/>
      <c r="O701" s="9"/>
    </row>
    <row r="702" ht="22.5" customHeight="1">
      <c r="A702" s="49"/>
      <c r="C702" s="192">
        <v>46154.0</v>
      </c>
      <c r="D702" s="195">
        <v>90000.0</v>
      </c>
      <c r="E702" s="69" t="s">
        <v>1193</v>
      </c>
      <c r="F702" s="69" t="s">
        <v>41</v>
      </c>
      <c r="G702" s="69" t="s">
        <v>42</v>
      </c>
      <c r="H702" s="99"/>
      <c r="I702" s="9"/>
      <c r="J702" s="9"/>
      <c r="K702" s="9"/>
      <c r="L702" s="9"/>
      <c r="M702" s="9"/>
      <c r="N702" s="9"/>
      <c r="O702" s="9"/>
    </row>
    <row r="703" ht="22.5" customHeight="1">
      <c r="A703" s="49"/>
      <c r="C703" s="192">
        <v>46154.0</v>
      </c>
      <c r="D703" s="195">
        <v>20000.0</v>
      </c>
      <c r="E703" s="69" t="s">
        <v>338</v>
      </c>
      <c r="F703" s="69" t="s">
        <v>41</v>
      </c>
      <c r="G703" s="69" t="s">
        <v>42</v>
      </c>
      <c r="H703" s="99"/>
      <c r="I703" s="9"/>
      <c r="J703" s="9"/>
      <c r="K703" s="9"/>
      <c r="L703" s="9"/>
      <c r="M703" s="9"/>
      <c r="N703" s="9"/>
      <c r="O703" s="9"/>
    </row>
    <row r="704" ht="22.5" customHeight="1">
      <c r="A704" s="49"/>
      <c r="C704" s="192">
        <v>46154.0</v>
      </c>
      <c r="D704" s="195">
        <v>200000.0</v>
      </c>
      <c r="E704" s="69" t="s">
        <v>1195</v>
      </c>
      <c r="F704" s="69" t="s">
        <v>41</v>
      </c>
      <c r="G704" s="69" t="s">
        <v>42</v>
      </c>
      <c r="H704" s="99"/>
      <c r="I704" s="9"/>
      <c r="J704" s="9"/>
      <c r="K704" s="9"/>
      <c r="L704" s="9"/>
      <c r="M704" s="9"/>
      <c r="N704" s="9"/>
      <c r="O704" s="9"/>
    </row>
    <row r="705" ht="22.5" customHeight="1">
      <c r="A705" s="49"/>
      <c r="C705" s="192">
        <v>46154.0</v>
      </c>
      <c r="D705" s="195">
        <v>35000.0</v>
      </c>
      <c r="E705" s="69" t="s">
        <v>590</v>
      </c>
      <c r="F705" s="69" t="s">
        <v>41</v>
      </c>
      <c r="G705" s="69" t="s">
        <v>42</v>
      </c>
      <c r="H705" s="99"/>
      <c r="I705" s="9"/>
      <c r="J705" s="9"/>
      <c r="K705" s="9"/>
      <c r="L705" s="9"/>
      <c r="M705" s="9"/>
      <c r="N705" s="9"/>
      <c r="O705" s="9"/>
    </row>
    <row r="706" ht="22.5" customHeight="1">
      <c r="A706" s="49"/>
      <c r="C706" s="192">
        <v>46154.0</v>
      </c>
      <c r="D706" s="195">
        <v>20000.0</v>
      </c>
      <c r="E706" s="69" t="s">
        <v>1199</v>
      </c>
      <c r="F706" s="69" t="s">
        <v>41</v>
      </c>
      <c r="G706" s="69" t="s">
        <v>42</v>
      </c>
      <c r="H706" s="99"/>
      <c r="I706" s="9"/>
      <c r="J706" s="9"/>
      <c r="K706" s="9"/>
      <c r="L706" s="9"/>
      <c r="M706" s="9"/>
      <c r="N706" s="9"/>
      <c r="O706" s="9"/>
    </row>
    <row r="707" ht="22.5" customHeight="1">
      <c r="A707" s="49"/>
      <c r="C707" s="192">
        <v>46154.0</v>
      </c>
      <c r="D707" s="195">
        <v>20000.0</v>
      </c>
      <c r="E707" s="69" t="s">
        <v>407</v>
      </c>
      <c r="F707" s="69" t="s">
        <v>41</v>
      </c>
      <c r="G707" s="69" t="s">
        <v>42</v>
      </c>
      <c r="H707" s="99"/>
      <c r="I707" s="9"/>
      <c r="J707" s="9"/>
      <c r="K707" s="9"/>
      <c r="L707" s="9"/>
      <c r="M707" s="9"/>
      <c r="N707" s="9"/>
      <c r="O707" s="9"/>
    </row>
    <row r="708" ht="22.5" customHeight="1">
      <c r="A708" s="49"/>
      <c r="C708" s="192">
        <v>46154.0</v>
      </c>
      <c r="D708" s="195">
        <v>10000.0</v>
      </c>
      <c r="E708" s="69" t="s">
        <v>817</v>
      </c>
      <c r="F708" s="69" t="s">
        <v>41</v>
      </c>
      <c r="G708" s="69" t="s">
        <v>42</v>
      </c>
      <c r="H708" s="99"/>
      <c r="I708" s="9"/>
      <c r="J708" s="9"/>
      <c r="K708" s="9"/>
      <c r="L708" s="9"/>
      <c r="M708" s="9"/>
      <c r="N708" s="9"/>
      <c r="O708" s="9"/>
    </row>
    <row r="709" ht="22.5" customHeight="1">
      <c r="A709" s="49"/>
      <c r="C709" s="192">
        <v>46155.0</v>
      </c>
      <c r="D709" s="195">
        <v>110000.0</v>
      </c>
      <c r="E709" s="69" t="s">
        <v>1201</v>
      </c>
      <c r="F709" s="69" t="s">
        <v>41</v>
      </c>
      <c r="G709" s="69" t="s">
        <v>42</v>
      </c>
      <c r="H709" s="99"/>
      <c r="I709" s="9"/>
      <c r="J709" s="9"/>
      <c r="K709" s="9"/>
      <c r="L709" s="9"/>
      <c r="M709" s="9"/>
      <c r="N709" s="9"/>
      <c r="O709" s="9"/>
    </row>
    <row r="710" ht="22.5" customHeight="1">
      <c r="A710" s="49"/>
      <c r="C710" s="192">
        <v>46155.0</v>
      </c>
      <c r="D710" s="195">
        <v>15000.0</v>
      </c>
      <c r="E710" s="69" t="s">
        <v>474</v>
      </c>
      <c r="F710" s="69" t="s">
        <v>41</v>
      </c>
      <c r="G710" s="69" t="s">
        <v>42</v>
      </c>
      <c r="H710" s="99"/>
      <c r="I710" s="9"/>
      <c r="J710" s="9"/>
      <c r="K710" s="9"/>
      <c r="L710" s="9"/>
      <c r="M710" s="9"/>
      <c r="N710" s="9"/>
      <c r="O710" s="9"/>
    </row>
    <row r="711" ht="22.5" customHeight="1">
      <c r="A711" s="49"/>
      <c r="C711" s="192">
        <v>46155.0</v>
      </c>
      <c r="D711" s="195">
        <v>20000.0</v>
      </c>
      <c r="E711" s="69" t="s">
        <v>608</v>
      </c>
      <c r="F711" s="69" t="s">
        <v>41</v>
      </c>
      <c r="G711" s="69" t="s">
        <v>42</v>
      </c>
      <c r="H711" s="99"/>
      <c r="I711" s="9"/>
      <c r="J711" s="9"/>
      <c r="K711" s="9"/>
      <c r="L711" s="9"/>
      <c r="M711" s="9"/>
      <c r="N711" s="9"/>
      <c r="O711" s="9"/>
    </row>
    <row r="712" ht="22.5" customHeight="1">
      <c r="A712" s="49"/>
      <c r="C712" s="192">
        <v>46155.0</v>
      </c>
      <c r="D712" s="195">
        <v>600000.0</v>
      </c>
      <c r="E712" s="69" t="s">
        <v>1205</v>
      </c>
      <c r="F712" s="69" t="s">
        <v>41</v>
      </c>
      <c r="G712" s="69" t="s">
        <v>42</v>
      </c>
      <c r="H712" s="99"/>
      <c r="I712" s="9"/>
      <c r="J712" s="9"/>
      <c r="K712" s="9"/>
      <c r="L712" s="9"/>
      <c r="M712" s="9"/>
      <c r="N712" s="9"/>
      <c r="O712" s="9"/>
    </row>
    <row r="713" ht="22.5" customHeight="1">
      <c r="A713" s="49"/>
      <c r="C713" s="192">
        <v>46156.0</v>
      </c>
      <c r="D713" s="195">
        <v>40000.0</v>
      </c>
      <c r="E713" s="69" t="s">
        <v>435</v>
      </c>
      <c r="F713" s="69" t="s">
        <v>41</v>
      </c>
      <c r="G713" s="69" t="s">
        <v>42</v>
      </c>
      <c r="H713" s="99"/>
      <c r="I713" s="9"/>
      <c r="J713" s="9"/>
      <c r="K713" s="9"/>
      <c r="L713" s="9"/>
      <c r="M713" s="9"/>
      <c r="N713" s="9"/>
      <c r="O713" s="9"/>
    </row>
    <row r="714" ht="22.5" customHeight="1">
      <c r="A714" s="49"/>
      <c r="C714" s="192">
        <v>46156.0</v>
      </c>
      <c r="D714" s="195">
        <v>20000.0</v>
      </c>
      <c r="E714" s="69" t="s">
        <v>347</v>
      </c>
      <c r="F714" s="69" t="s">
        <v>41</v>
      </c>
      <c r="G714" s="69" t="s">
        <v>42</v>
      </c>
      <c r="H714" s="99"/>
      <c r="I714" s="9"/>
      <c r="J714" s="9"/>
      <c r="K714" s="9"/>
      <c r="L714" s="9"/>
      <c r="M714" s="9"/>
      <c r="N714" s="9"/>
      <c r="O714" s="9"/>
    </row>
    <row r="715" ht="22.5" customHeight="1">
      <c r="A715" s="49"/>
      <c r="C715" s="192">
        <v>46156.0</v>
      </c>
      <c r="D715" s="195">
        <v>10000.0</v>
      </c>
      <c r="E715" s="69" t="s">
        <v>817</v>
      </c>
      <c r="F715" s="69" t="s">
        <v>41</v>
      </c>
      <c r="G715" s="69" t="s">
        <v>42</v>
      </c>
      <c r="H715" s="99"/>
      <c r="I715" s="9"/>
      <c r="J715" s="9"/>
      <c r="K715" s="9"/>
      <c r="L715" s="9"/>
      <c r="M715" s="9"/>
      <c r="N715" s="9"/>
      <c r="O715" s="9"/>
    </row>
    <row r="716" ht="22.5" customHeight="1">
      <c r="A716" s="49"/>
      <c r="C716" s="192">
        <v>46157.0</v>
      </c>
      <c r="D716" s="195">
        <v>40000.0</v>
      </c>
      <c r="E716" s="69" t="s">
        <v>165</v>
      </c>
      <c r="F716" s="69" t="s">
        <v>41</v>
      </c>
      <c r="G716" s="69" t="s">
        <v>42</v>
      </c>
      <c r="H716" s="99"/>
      <c r="I716" s="9"/>
      <c r="J716" s="9"/>
      <c r="K716" s="9"/>
      <c r="L716" s="9"/>
      <c r="M716" s="9"/>
      <c r="N716" s="9"/>
      <c r="O716" s="9"/>
    </row>
    <row r="717" ht="22.5" customHeight="1">
      <c r="A717" s="49"/>
      <c r="C717" s="192">
        <v>46157.0</v>
      </c>
      <c r="D717" s="195">
        <v>150000.0</v>
      </c>
      <c r="E717" s="69" t="s">
        <v>923</v>
      </c>
      <c r="F717" s="69" t="s">
        <v>41</v>
      </c>
      <c r="G717" s="69" t="s">
        <v>42</v>
      </c>
      <c r="H717" s="99"/>
      <c r="I717" s="9"/>
      <c r="J717" s="9"/>
      <c r="K717" s="9"/>
      <c r="L717" s="9"/>
      <c r="M717" s="9"/>
      <c r="N717" s="9"/>
      <c r="O717" s="9"/>
    </row>
    <row r="718" ht="22.5" customHeight="1">
      <c r="A718" s="49"/>
      <c r="C718" s="192">
        <v>46157.0</v>
      </c>
      <c r="D718" s="195">
        <v>205000.0</v>
      </c>
      <c r="E718" s="69" t="s">
        <v>211</v>
      </c>
      <c r="F718" s="69" t="s">
        <v>41</v>
      </c>
      <c r="G718" s="69" t="s">
        <v>42</v>
      </c>
      <c r="H718" s="99"/>
      <c r="I718" s="9"/>
      <c r="J718" s="9"/>
      <c r="K718" s="9"/>
      <c r="L718" s="9"/>
      <c r="M718" s="9"/>
      <c r="N718" s="9"/>
      <c r="O718" s="9"/>
    </row>
    <row r="719" ht="22.5" customHeight="1">
      <c r="A719" s="49"/>
      <c r="C719" s="192">
        <v>46158.0</v>
      </c>
      <c r="D719" s="195">
        <v>4450000.0</v>
      </c>
      <c r="E719" s="69" t="s">
        <v>179</v>
      </c>
      <c r="F719" s="69" t="s">
        <v>41</v>
      </c>
      <c r="G719" s="69" t="s">
        <v>758</v>
      </c>
      <c r="H719" s="99"/>
      <c r="I719" s="9"/>
      <c r="J719" s="9"/>
      <c r="K719" s="9"/>
      <c r="L719" s="9"/>
      <c r="M719" s="9"/>
      <c r="N719" s="9"/>
      <c r="O719" s="9"/>
    </row>
    <row r="720" ht="22.5" customHeight="1">
      <c r="A720" s="49"/>
      <c r="C720" s="192">
        <v>46158.0</v>
      </c>
      <c r="D720" s="195">
        <v>10000.0</v>
      </c>
      <c r="E720" s="69" t="s">
        <v>1074</v>
      </c>
      <c r="F720" s="69" t="s">
        <v>41</v>
      </c>
      <c r="G720" s="69" t="s">
        <v>42</v>
      </c>
      <c r="H720" s="99"/>
      <c r="I720" s="9"/>
      <c r="J720" s="9"/>
      <c r="K720" s="9"/>
      <c r="L720" s="9"/>
      <c r="M720" s="9"/>
      <c r="N720" s="9"/>
      <c r="O720" s="9"/>
    </row>
    <row r="721" ht="22.5" customHeight="1">
      <c r="A721" s="49"/>
      <c r="C721" s="192">
        <v>46158.0</v>
      </c>
      <c r="D721" s="195">
        <v>240000.0</v>
      </c>
      <c r="E721" s="69" t="s">
        <v>776</v>
      </c>
      <c r="F721" s="69" t="s">
        <v>41</v>
      </c>
      <c r="G721" s="69" t="s">
        <v>42</v>
      </c>
      <c r="H721" s="99"/>
      <c r="I721" s="9"/>
      <c r="J721" s="9"/>
      <c r="K721" s="9"/>
      <c r="L721" s="9"/>
      <c r="M721" s="9"/>
      <c r="N721" s="9"/>
      <c r="O721" s="9"/>
    </row>
    <row r="722" ht="22.5" customHeight="1">
      <c r="A722" s="49"/>
      <c r="C722" s="192">
        <v>46158.0</v>
      </c>
      <c r="D722" s="195">
        <v>50000.0</v>
      </c>
      <c r="E722" s="69" t="s">
        <v>423</v>
      </c>
      <c r="F722" s="69" t="s">
        <v>41</v>
      </c>
      <c r="G722" s="69" t="s">
        <v>42</v>
      </c>
      <c r="H722" s="99"/>
      <c r="I722" s="9"/>
      <c r="J722" s="9"/>
      <c r="K722" s="9"/>
      <c r="L722" s="9"/>
      <c r="M722" s="9"/>
      <c r="N722" s="9"/>
      <c r="O722" s="9"/>
    </row>
    <row r="723" ht="22.5" customHeight="1">
      <c r="A723" s="49"/>
      <c r="C723" s="192">
        <v>46158.0</v>
      </c>
      <c r="D723" s="195">
        <v>100000.0</v>
      </c>
      <c r="E723" s="69" t="s">
        <v>662</v>
      </c>
      <c r="F723" s="69" t="s">
        <v>41</v>
      </c>
      <c r="G723" s="69" t="s">
        <v>42</v>
      </c>
      <c r="H723" s="99"/>
      <c r="I723" s="9"/>
      <c r="J723" s="9"/>
      <c r="K723" s="9"/>
      <c r="L723" s="9"/>
      <c r="M723" s="9"/>
      <c r="N723" s="9"/>
      <c r="O723" s="9"/>
    </row>
    <row r="724" ht="22.5" customHeight="1">
      <c r="A724" s="49"/>
      <c r="C724" s="192">
        <v>46158.0</v>
      </c>
      <c r="D724" s="195">
        <v>10000.0</v>
      </c>
      <c r="E724" s="69" t="s">
        <v>817</v>
      </c>
      <c r="F724" s="69" t="s">
        <v>41</v>
      </c>
      <c r="G724" s="69" t="s">
        <v>42</v>
      </c>
      <c r="H724" s="99"/>
      <c r="I724" s="9"/>
      <c r="J724" s="9"/>
      <c r="K724" s="9"/>
      <c r="L724" s="9"/>
      <c r="M724" s="9"/>
      <c r="N724" s="9"/>
      <c r="O724" s="9"/>
    </row>
    <row r="725" ht="22.5" customHeight="1">
      <c r="A725" s="49"/>
      <c r="C725" s="192">
        <v>46160.0</v>
      </c>
      <c r="D725" s="195">
        <v>50000.0</v>
      </c>
      <c r="E725" s="69" t="s">
        <v>1223</v>
      </c>
      <c r="F725" s="69" t="s">
        <v>41</v>
      </c>
      <c r="G725" s="69" t="s">
        <v>42</v>
      </c>
      <c r="H725" s="99"/>
      <c r="I725" s="9"/>
      <c r="J725" s="9"/>
      <c r="K725" s="9"/>
      <c r="L725" s="9"/>
      <c r="M725" s="9"/>
      <c r="N725" s="9"/>
      <c r="O725" s="9"/>
    </row>
    <row r="726" ht="22.5" customHeight="1">
      <c r="A726" s="49"/>
      <c r="C726" s="192">
        <v>46160.0</v>
      </c>
      <c r="D726" s="195">
        <v>45000.0</v>
      </c>
      <c r="E726" s="69" t="s">
        <v>1226</v>
      </c>
      <c r="F726" s="69" t="s">
        <v>41</v>
      </c>
      <c r="G726" s="69" t="s">
        <v>42</v>
      </c>
      <c r="H726" s="99"/>
      <c r="I726" s="9"/>
      <c r="J726" s="9"/>
      <c r="K726" s="9"/>
      <c r="L726" s="9"/>
      <c r="M726" s="9"/>
      <c r="N726" s="9"/>
      <c r="O726" s="9"/>
    </row>
    <row r="727" ht="22.5" customHeight="1">
      <c r="A727" s="49"/>
      <c r="C727" s="192">
        <v>46160.0</v>
      </c>
      <c r="D727" s="195">
        <v>10000.0</v>
      </c>
      <c r="E727" s="69" t="s">
        <v>221</v>
      </c>
      <c r="F727" s="69" t="s">
        <v>41</v>
      </c>
      <c r="G727" s="69" t="s">
        <v>42</v>
      </c>
      <c r="H727" s="99"/>
      <c r="I727" s="9"/>
      <c r="J727" s="9"/>
      <c r="K727" s="9"/>
      <c r="L727" s="9"/>
      <c r="M727" s="9"/>
      <c r="N727" s="9"/>
      <c r="O727" s="9"/>
    </row>
    <row r="728" ht="22.5" customHeight="1">
      <c r="A728" s="49"/>
      <c r="C728" s="192">
        <v>46161.0</v>
      </c>
      <c r="D728" s="195">
        <v>750000.0</v>
      </c>
      <c r="E728" s="69" t="s">
        <v>1227</v>
      </c>
      <c r="F728" s="69" t="s">
        <v>41</v>
      </c>
      <c r="G728" s="69" t="s">
        <v>758</v>
      </c>
      <c r="H728" s="99"/>
      <c r="I728" s="9"/>
      <c r="J728" s="9"/>
      <c r="K728" s="9"/>
      <c r="L728" s="9"/>
      <c r="M728" s="9"/>
      <c r="N728" s="9"/>
      <c r="O728" s="9"/>
    </row>
    <row r="729" ht="22.5" customHeight="1">
      <c r="A729" s="49"/>
      <c r="C729" s="192">
        <v>46161.0</v>
      </c>
      <c r="D729" s="195">
        <v>40000.0</v>
      </c>
      <c r="E729" s="69" t="s">
        <v>1229</v>
      </c>
      <c r="F729" s="69" t="s">
        <v>41</v>
      </c>
      <c r="G729" s="69" t="s">
        <v>758</v>
      </c>
      <c r="H729" s="99"/>
      <c r="I729" s="9"/>
      <c r="J729" s="9"/>
      <c r="K729" s="9"/>
      <c r="L729" s="9"/>
      <c r="M729" s="9"/>
      <c r="N729" s="9"/>
      <c r="O729" s="9"/>
    </row>
    <row r="730" ht="22.5" customHeight="1">
      <c r="A730" s="49"/>
      <c r="C730" s="192">
        <v>46161.0</v>
      </c>
      <c r="D730" s="195">
        <v>10000.0</v>
      </c>
      <c r="E730" s="69" t="s">
        <v>1230</v>
      </c>
      <c r="F730" s="69" t="s">
        <v>41</v>
      </c>
      <c r="G730" s="69" t="s">
        <v>758</v>
      </c>
      <c r="H730" s="99"/>
      <c r="I730" s="9"/>
      <c r="J730" s="9"/>
      <c r="K730" s="9"/>
      <c r="L730" s="9"/>
      <c r="M730" s="9"/>
      <c r="N730" s="9"/>
      <c r="O730" s="9"/>
    </row>
    <row r="731" ht="22.5" customHeight="1">
      <c r="A731" s="49"/>
      <c r="C731" s="192">
        <v>46161.0</v>
      </c>
      <c r="D731" s="195">
        <v>10000.0</v>
      </c>
      <c r="E731" s="69" t="s">
        <v>221</v>
      </c>
      <c r="F731" s="69" t="s">
        <v>41</v>
      </c>
      <c r="G731" s="69" t="s">
        <v>87</v>
      </c>
      <c r="H731" s="99"/>
      <c r="I731" s="9"/>
      <c r="J731" s="9"/>
      <c r="K731" s="9"/>
      <c r="L731" s="9"/>
      <c r="M731" s="9"/>
      <c r="N731" s="9"/>
      <c r="O731" s="9"/>
    </row>
    <row r="732" ht="22.5" customHeight="1">
      <c r="A732" s="49"/>
      <c r="C732" s="192">
        <v>46161.0</v>
      </c>
      <c r="D732" s="195">
        <v>245000.0</v>
      </c>
      <c r="E732" s="69" t="s">
        <v>1232</v>
      </c>
      <c r="F732" s="69" t="s">
        <v>41</v>
      </c>
      <c r="G732" s="69" t="s">
        <v>87</v>
      </c>
      <c r="H732" s="99"/>
      <c r="I732" s="9"/>
      <c r="J732" s="9"/>
      <c r="K732" s="9"/>
      <c r="L732" s="9"/>
      <c r="M732" s="9"/>
      <c r="N732" s="9"/>
      <c r="O732" s="9"/>
    </row>
    <row r="733" ht="22.5" customHeight="1">
      <c r="A733" s="49"/>
      <c r="C733" s="192">
        <v>46161.0</v>
      </c>
      <c r="D733" s="195">
        <v>1.65E7</v>
      </c>
      <c r="E733" s="69" t="s">
        <v>420</v>
      </c>
      <c r="F733" s="69" t="s">
        <v>41</v>
      </c>
      <c r="G733" s="69" t="s">
        <v>87</v>
      </c>
      <c r="H733" s="99"/>
      <c r="I733" s="9"/>
      <c r="J733" s="9"/>
      <c r="K733" s="9"/>
      <c r="L733" s="9"/>
      <c r="M733" s="9"/>
      <c r="N733" s="9"/>
      <c r="O733" s="9"/>
    </row>
    <row r="734" ht="22.5" customHeight="1">
      <c r="A734" s="49"/>
      <c r="C734" s="192">
        <v>46162.0</v>
      </c>
      <c r="D734" s="195">
        <v>240000.0</v>
      </c>
      <c r="E734" s="69" t="s">
        <v>230</v>
      </c>
      <c r="F734" s="69" t="s">
        <v>41</v>
      </c>
      <c r="G734" s="69" t="s">
        <v>87</v>
      </c>
      <c r="H734" s="99"/>
      <c r="I734" s="9"/>
      <c r="J734" s="9"/>
      <c r="K734" s="9"/>
      <c r="L734" s="9"/>
      <c r="M734" s="9"/>
      <c r="N734" s="9"/>
      <c r="O734" s="9"/>
    </row>
    <row r="735" ht="22.5" customHeight="1">
      <c r="A735" s="49"/>
      <c r="C735" s="192">
        <v>46163.0</v>
      </c>
      <c r="D735" s="195">
        <v>205000.0</v>
      </c>
      <c r="E735" s="69" t="s">
        <v>211</v>
      </c>
      <c r="F735" s="69" t="s">
        <v>41</v>
      </c>
      <c r="G735" s="69" t="s">
        <v>87</v>
      </c>
      <c r="H735" s="99"/>
      <c r="I735" s="9"/>
      <c r="J735" s="9"/>
      <c r="K735" s="9"/>
      <c r="L735" s="9"/>
      <c r="M735" s="9"/>
      <c r="N735" s="9"/>
      <c r="O735" s="9"/>
    </row>
    <row r="736" ht="22.5" customHeight="1">
      <c r="A736" s="49"/>
      <c r="C736" s="192">
        <v>46164.0</v>
      </c>
      <c r="D736" s="195">
        <v>20000.0</v>
      </c>
      <c r="E736" s="69" t="s">
        <v>1240</v>
      </c>
      <c r="F736" s="69" t="s">
        <v>41</v>
      </c>
      <c r="G736" s="69" t="s">
        <v>42</v>
      </c>
      <c r="H736" s="99"/>
      <c r="I736" s="9"/>
      <c r="J736" s="9"/>
      <c r="K736" s="9"/>
      <c r="L736" s="9"/>
      <c r="M736" s="9"/>
      <c r="N736" s="9"/>
      <c r="O736" s="9"/>
    </row>
    <row r="737" ht="22.5" customHeight="1">
      <c r="A737" s="49"/>
      <c r="C737" s="192">
        <v>46164.0</v>
      </c>
      <c r="D737" s="195">
        <v>20000.0</v>
      </c>
      <c r="E737" s="69" t="s">
        <v>898</v>
      </c>
      <c r="F737" s="69" t="s">
        <v>41</v>
      </c>
      <c r="G737" s="69" t="s">
        <v>42</v>
      </c>
      <c r="H737" s="99"/>
      <c r="I737" s="9"/>
      <c r="J737" s="9"/>
      <c r="K737" s="9"/>
      <c r="L737" s="9"/>
      <c r="M737" s="9"/>
      <c r="N737" s="9"/>
      <c r="O737" s="9"/>
    </row>
    <row r="738" ht="22.5" customHeight="1">
      <c r="A738" s="49"/>
      <c r="C738" s="192">
        <v>46164.0</v>
      </c>
      <c r="D738" s="195">
        <v>10000.0</v>
      </c>
      <c r="E738" s="69" t="s">
        <v>229</v>
      </c>
      <c r="F738" s="69" t="s">
        <v>41</v>
      </c>
      <c r="G738" s="69" t="s">
        <v>42</v>
      </c>
      <c r="H738" s="99"/>
      <c r="I738" s="9"/>
      <c r="J738" s="9"/>
      <c r="K738" s="9"/>
      <c r="L738" s="9"/>
      <c r="M738" s="9"/>
      <c r="N738" s="9"/>
      <c r="O738" s="9"/>
    </row>
    <row r="739" ht="22.5" customHeight="1">
      <c r="A739" s="49"/>
      <c r="C739" s="192">
        <v>46164.0</v>
      </c>
      <c r="D739" s="195">
        <v>20000.0</v>
      </c>
      <c r="E739" s="69" t="s">
        <v>175</v>
      </c>
      <c r="F739" s="69" t="s">
        <v>41</v>
      </c>
      <c r="G739" s="69" t="s">
        <v>42</v>
      </c>
      <c r="H739" s="99"/>
      <c r="I739" s="9"/>
      <c r="J739" s="9"/>
      <c r="K739" s="9"/>
      <c r="L739" s="9"/>
      <c r="M739" s="9"/>
      <c r="N739" s="9"/>
      <c r="O739" s="9"/>
    </row>
    <row r="740" ht="22.5" customHeight="1">
      <c r="A740" s="49"/>
      <c r="C740" s="192">
        <v>46164.0</v>
      </c>
      <c r="D740" s="195">
        <v>10000.0</v>
      </c>
      <c r="E740" s="69" t="s">
        <v>1247</v>
      </c>
      <c r="F740" s="69" t="s">
        <v>41</v>
      </c>
      <c r="G740" s="69" t="s">
        <v>42</v>
      </c>
      <c r="H740" s="99"/>
      <c r="I740" s="9"/>
      <c r="J740" s="9"/>
      <c r="K740" s="9"/>
      <c r="L740" s="9"/>
      <c r="M740" s="9"/>
      <c r="N740" s="9"/>
      <c r="O740" s="9"/>
    </row>
    <row r="741" ht="22.5" customHeight="1">
      <c r="A741" s="49"/>
      <c r="C741" s="192">
        <v>46165.0</v>
      </c>
      <c r="D741" s="195">
        <v>13000.0</v>
      </c>
      <c r="E741" s="69" t="s">
        <v>1250</v>
      </c>
      <c r="F741" s="69" t="s">
        <v>41</v>
      </c>
      <c r="G741" s="69" t="s">
        <v>42</v>
      </c>
      <c r="H741" s="99"/>
      <c r="I741" s="9"/>
      <c r="J741" s="9"/>
      <c r="K741" s="9"/>
      <c r="L741" s="9"/>
      <c r="M741" s="9"/>
      <c r="N741" s="9"/>
      <c r="O741" s="9"/>
    </row>
    <row r="742" ht="22.5" customHeight="1">
      <c r="A742" s="49"/>
      <c r="C742" s="192">
        <v>46165.0</v>
      </c>
      <c r="D742" s="195">
        <v>30000.0</v>
      </c>
      <c r="E742" s="69" t="s">
        <v>1251</v>
      </c>
      <c r="F742" s="69" t="s">
        <v>41</v>
      </c>
      <c r="G742" s="69" t="s">
        <v>42</v>
      </c>
      <c r="H742" s="99"/>
      <c r="I742" s="9"/>
      <c r="J742" s="9"/>
      <c r="K742" s="9"/>
      <c r="L742" s="9"/>
      <c r="M742" s="9"/>
      <c r="N742" s="9"/>
      <c r="O742" s="9"/>
    </row>
    <row r="743" ht="22.5" customHeight="1">
      <c r="A743" s="49"/>
      <c r="C743" s="192">
        <v>46165.0</v>
      </c>
      <c r="D743" s="195">
        <v>30000.0</v>
      </c>
      <c r="E743" s="69" t="s">
        <v>165</v>
      </c>
      <c r="F743" s="69" t="s">
        <v>41</v>
      </c>
      <c r="G743" s="69" t="s">
        <v>42</v>
      </c>
      <c r="H743" s="99"/>
      <c r="I743" s="9"/>
      <c r="J743" s="9"/>
      <c r="K743" s="9"/>
      <c r="L743" s="9"/>
      <c r="M743" s="9"/>
      <c r="N743" s="9"/>
      <c r="O743" s="9"/>
    </row>
    <row r="744" ht="22.5" customHeight="1">
      <c r="A744" s="49"/>
      <c r="C744" s="192">
        <v>46165.0</v>
      </c>
      <c r="D744" s="195">
        <v>50000.0</v>
      </c>
      <c r="E744" s="69" t="s">
        <v>1254</v>
      </c>
      <c r="F744" s="69" t="s">
        <v>41</v>
      </c>
      <c r="G744" s="69" t="s">
        <v>42</v>
      </c>
      <c r="H744" s="99"/>
      <c r="I744" s="9"/>
      <c r="J744" s="9"/>
      <c r="K744" s="9"/>
      <c r="L744" s="9"/>
      <c r="M744" s="9"/>
      <c r="N744" s="9"/>
      <c r="O744" s="9"/>
    </row>
    <row r="745" ht="22.5" customHeight="1">
      <c r="A745" s="49"/>
      <c r="C745" s="192">
        <v>46165.0</v>
      </c>
      <c r="D745" s="195">
        <v>10000.0</v>
      </c>
      <c r="E745" s="69" t="s">
        <v>1257</v>
      </c>
      <c r="F745" s="69" t="s">
        <v>41</v>
      </c>
      <c r="G745" s="69" t="s">
        <v>42</v>
      </c>
      <c r="H745" s="99"/>
      <c r="I745" s="9"/>
      <c r="J745" s="9"/>
      <c r="K745" s="9"/>
      <c r="L745" s="9"/>
      <c r="M745" s="9"/>
      <c r="N745" s="9"/>
      <c r="O745" s="9"/>
    </row>
    <row r="746" ht="22.5" customHeight="1">
      <c r="A746" s="49"/>
      <c r="C746" s="192">
        <v>46165.0</v>
      </c>
      <c r="D746" s="195">
        <v>66000.0</v>
      </c>
      <c r="E746" s="69" t="s">
        <v>435</v>
      </c>
      <c r="F746" s="69" t="s">
        <v>41</v>
      </c>
      <c r="G746" s="69" t="s">
        <v>42</v>
      </c>
      <c r="H746" s="99"/>
      <c r="I746" s="9"/>
      <c r="J746" s="9"/>
      <c r="K746" s="9"/>
      <c r="L746" s="9"/>
      <c r="M746" s="9"/>
      <c r="N746" s="9"/>
      <c r="O746" s="9"/>
    </row>
    <row r="747" ht="22.5" customHeight="1">
      <c r="A747" s="49"/>
      <c r="C747" s="192">
        <v>46165.0</v>
      </c>
      <c r="D747" s="195">
        <v>10000.0</v>
      </c>
      <c r="E747" s="69" t="s">
        <v>221</v>
      </c>
      <c r="F747" s="69" t="s">
        <v>41</v>
      </c>
      <c r="G747" s="69" t="s">
        <v>42</v>
      </c>
      <c r="H747" s="99"/>
      <c r="I747" s="9"/>
      <c r="J747" s="9"/>
      <c r="K747" s="9"/>
      <c r="L747" s="9"/>
      <c r="M747" s="9"/>
      <c r="N747" s="9"/>
      <c r="O747" s="9"/>
    </row>
    <row r="748" ht="22.5" customHeight="1">
      <c r="A748" s="49"/>
      <c r="C748" s="241">
        <v>46165.0</v>
      </c>
      <c r="D748" s="186">
        <v>4450000.0</v>
      </c>
      <c r="E748" s="284" t="s">
        <v>179</v>
      </c>
      <c r="F748" s="242" t="s">
        <v>41</v>
      </c>
      <c r="G748" s="242" t="s">
        <v>758</v>
      </c>
      <c r="H748" s="99"/>
      <c r="I748" s="9"/>
      <c r="J748" s="9"/>
      <c r="K748" s="9"/>
      <c r="L748" s="9"/>
      <c r="M748" s="9"/>
      <c r="N748" s="9"/>
      <c r="O748" s="9"/>
    </row>
    <row r="749" ht="22.5" customHeight="1">
      <c r="A749" s="49"/>
      <c r="C749" s="192">
        <v>46167.0</v>
      </c>
      <c r="D749" s="195">
        <v>75000.0</v>
      </c>
      <c r="E749" s="69" t="s">
        <v>1262</v>
      </c>
      <c r="F749" s="69" t="s">
        <v>41</v>
      </c>
      <c r="G749" s="69" t="s">
        <v>87</v>
      </c>
      <c r="H749" s="99"/>
      <c r="I749" s="9"/>
      <c r="J749" s="9"/>
      <c r="K749" s="9"/>
      <c r="L749" s="9"/>
      <c r="M749" s="9"/>
      <c r="N749" s="9"/>
      <c r="O749" s="9"/>
    </row>
    <row r="750" ht="22.5" customHeight="1">
      <c r="A750" s="49"/>
      <c r="C750" s="192">
        <v>46167.0</v>
      </c>
      <c r="D750" s="195">
        <v>20000.0</v>
      </c>
      <c r="E750" s="69" t="s">
        <v>1263</v>
      </c>
      <c r="F750" s="69" t="s">
        <v>41</v>
      </c>
      <c r="G750" s="69" t="s">
        <v>42</v>
      </c>
      <c r="H750" s="99"/>
      <c r="I750" s="9"/>
      <c r="J750" s="9"/>
      <c r="K750" s="9"/>
      <c r="L750" s="9"/>
      <c r="M750" s="9"/>
      <c r="N750" s="9"/>
      <c r="O750" s="9"/>
    </row>
    <row r="751" ht="22.5" customHeight="1">
      <c r="A751" s="49"/>
      <c r="C751" s="192">
        <v>46167.0</v>
      </c>
      <c r="D751" s="195">
        <v>75000.0</v>
      </c>
      <c r="E751" s="69" t="s">
        <v>1267</v>
      </c>
      <c r="F751" s="69" t="s">
        <v>41</v>
      </c>
      <c r="G751" s="69" t="s">
        <v>42</v>
      </c>
      <c r="H751" s="99"/>
      <c r="I751" s="9"/>
      <c r="J751" s="9"/>
      <c r="K751" s="9"/>
      <c r="L751" s="9"/>
      <c r="M751" s="9"/>
      <c r="N751" s="9"/>
      <c r="O751" s="9"/>
    </row>
    <row r="752" ht="22.5" customHeight="1">
      <c r="A752" s="49"/>
      <c r="C752" s="192">
        <v>46167.0</v>
      </c>
      <c r="D752" s="195">
        <v>10000.0</v>
      </c>
      <c r="E752" s="69" t="s">
        <v>221</v>
      </c>
      <c r="F752" s="69" t="s">
        <v>41</v>
      </c>
      <c r="G752" s="69" t="s">
        <v>42</v>
      </c>
      <c r="H752" s="99"/>
      <c r="I752" s="9"/>
      <c r="J752" s="9"/>
      <c r="K752" s="9"/>
      <c r="L752" s="9"/>
      <c r="M752" s="9"/>
      <c r="N752" s="9"/>
      <c r="O752" s="9"/>
    </row>
    <row r="753" ht="22.5" customHeight="1">
      <c r="A753" s="49"/>
      <c r="C753" s="192">
        <v>46168.0</v>
      </c>
      <c r="D753" s="195">
        <v>40000.0</v>
      </c>
      <c r="E753" s="69" t="s">
        <v>1268</v>
      </c>
      <c r="F753" s="69" t="s">
        <v>41</v>
      </c>
      <c r="G753" s="69" t="s">
        <v>42</v>
      </c>
      <c r="H753" s="99"/>
      <c r="I753" s="9"/>
      <c r="J753" s="9"/>
      <c r="K753" s="9"/>
      <c r="L753" s="9"/>
      <c r="M753" s="9"/>
      <c r="N753" s="9"/>
      <c r="O753" s="9"/>
    </row>
    <row r="754" ht="22.5" customHeight="1">
      <c r="A754" s="49"/>
      <c r="C754" s="192">
        <v>46168.0</v>
      </c>
      <c r="D754" s="195">
        <v>50000.0</v>
      </c>
      <c r="E754" s="69" t="s">
        <v>1269</v>
      </c>
      <c r="F754" s="69" t="s">
        <v>41</v>
      </c>
      <c r="G754" s="69" t="s">
        <v>42</v>
      </c>
      <c r="H754" s="99"/>
      <c r="I754" s="9"/>
      <c r="J754" s="9"/>
      <c r="K754" s="9"/>
      <c r="L754" s="9"/>
      <c r="M754" s="9"/>
      <c r="N754" s="9"/>
      <c r="O754" s="9"/>
    </row>
    <row r="755" ht="22.5" customHeight="1">
      <c r="A755" s="49"/>
      <c r="C755" s="192">
        <v>46168.0</v>
      </c>
      <c r="D755" s="195">
        <v>30000.0</v>
      </c>
      <c r="E755" s="69" t="s">
        <v>1272</v>
      </c>
      <c r="F755" s="69" t="s">
        <v>41</v>
      </c>
      <c r="G755" s="69" t="s">
        <v>42</v>
      </c>
      <c r="H755" s="99"/>
      <c r="I755" s="9"/>
      <c r="J755" s="9"/>
      <c r="K755" s="9"/>
      <c r="L755" s="9"/>
      <c r="M755" s="9"/>
      <c r="N755" s="9"/>
      <c r="O755" s="9"/>
    </row>
    <row r="756" ht="22.5" customHeight="1">
      <c r="A756" s="49"/>
      <c r="C756" s="192">
        <v>46168.0</v>
      </c>
      <c r="D756" s="195">
        <v>30000.0</v>
      </c>
      <c r="E756" s="69" t="s">
        <v>175</v>
      </c>
      <c r="F756" s="69" t="s">
        <v>41</v>
      </c>
      <c r="G756" s="69" t="s">
        <v>42</v>
      </c>
      <c r="H756" s="99"/>
      <c r="I756" s="9"/>
      <c r="J756" s="9"/>
      <c r="K756" s="9"/>
      <c r="L756" s="9"/>
      <c r="M756" s="9"/>
      <c r="N756" s="9"/>
      <c r="O756" s="9"/>
    </row>
    <row r="757" ht="22.5" customHeight="1">
      <c r="A757" s="49"/>
      <c r="C757" s="192">
        <v>46168.0</v>
      </c>
      <c r="D757" s="195">
        <v>25000.0</v>
      </c>
      <c r="E757" s="69" t="s">
        <v>1273</v>
      </c>
      <c r="F757" s="69" t="s">
        <v>41</v>
      </c>
      <c r="G757" s="69" t="s">
        <v>42</v>
      </c>
      <c r="H757" s="99"/>
      <c r="I757" s="9"/>
      <c r="J757" s="9"/>
      <c r="K757" s="9"/>
      <c r="L757" s="9"/>
      <c r="M757" s="9"/>
      <c r="N757" s="9"/>
      <c r="O757" s="9"/>
    </row>
    <row r="758" ht="22.5" customHeight="1">
      <c r="A758" s="49"/>
      <c r="C758" s="192">
        <v>46168.0</v>
      </c>
      <c r="D758" s="195">
        <v>30000.0</v>
      </c>
      <c r="E758" s="69" t="s">
        <v>1274</v>
      </c>
      <c r="F758" s="69" t="s">
        <v>41</v>
      </c>
      <c r="G758" s="69" t="s">
        <v>42</v>
      </c>
      <c r="H758" s="99"/>
      <c r="I758" s="9"/>
      <c r="J758" s="9"/>
      <c r="K758" s="9"/>
      <c r="L758" s="9"/>
      <c r="M758" s="9"/>
      <c r="N758" s="9"/>
      <c r="O758" s="9"/>
    </row>
    <row r="759" ht="22.5" customHeight="1">
      <c r="A759" s="49"/>
      <c r="C759" s="192">
        <v>46168.0</v>
      </c>
      <c r="D759" s="195">
        <v>20000.0</v>
      </c>
      <c r="E759" s="69" t="s">
        <v>1275</v>
      </c>
      <c r="F759" s="69" t="s">
        <v>41</v>
      </c>
      <c r="G759" s="69" t="s">
        <v>42</v>
      </c>
      <c r="H759" s="99"/>
      <c r="I759" s="9"/>
      <c r="J759" s="9"/>
      <c r="K759" s="9"/>
      <c r="L759" s="9"/>
      <c r="M759" s="9"/>
      <c r="N759" s="9"/>
      <c r="O759" s="9"/>
    </row>
    <row r="760" ht="22.5" customHeight="1">
      <c r="A760" s="49"/>
      <c r="C760" s="192">
        <v>46170.0</v>
      </c>
      <c r="D760" s="195">
        <v>110000.0</v>
      </c>
      <c r="E760" s="69" t="s">
        <v>1276</v>
      </c>
      <c r="F760" s="69" t="s">
        <v>41</v>
      </c>
      <c r="G760" s="69" t="s">
        <v>42</v>
      </c>
      <c r="H760" s="99"/>
      <c r="I760" s="9"/>
      <c r="J760" s="9"/>
      <c r="K760" s="9"/>
      <c r="L760" s="9"/>
      <c r="M760" s="9"/>
      <c r="N760" s="9"/>
      <c r="O760" s="9"/>
    </row>
    <row r="761" ht="22.5" customHeight="1">
      <c r="A761" s="49"/>
      <c r="C761" s="262">
        <v>46170.0</v>
      </c>
      <c r="D761" s="199">
        <v>40000.0</v>
      </c>
      <c r="E761" s="200" t="s">
        <v>339</v>
      </c>
      <c r="F761" s="200" t="s">
        <v>41</v>
      </c>
      <c r="G761" s="263" t="s">
        <v>42</v>
      </c>
      <c r="H761" s="99"/>
      <c r="I761" s="9"/>
      <c r="J761" s="9"/>
      <c r="K761" s="9"/>
      <c r="L761" s="9"/>
      <c r="M761" s="9"/>
      <c r="N761" s="9"/>
      <c r="O761" s="9"/>
    </row>
    <row r="762" ht="22.5" customHeight="1">
      <c r="A762" s="49"/>
      <c r="C762" s="192">
        <v>46172.0</v>
      </c>
      <c r="D762" s="195">
        <v>2560000.0</v>
      </c>
      <c r="E762" s="69" t="s">
        <v>308</v>
      </c>
      <c r="F762" s="69" t="s">
        <v>45</v>
      </c>
      <c r="G762" s="69" t="s">
        <v>87</v>
      </c>
      <c r="H762" s="99"/>
      <c r="I762" s="9"/>
      <c r="J762" s="9"/>
      <c r="K762" s="9"/>
      <c r="L762" s="9"/>
      <c r="M762" s="9"/>
      <c r="N762" s="9"/>
      <c r="O762" s="9"/>
    </row>
    <row r="763" ht="22.5" customHeight="1">
      <c r="A763" s="49"/>
      <c r="C763" s="192">
        <v>46172.0</v>
      </c>
      <c r="D763" s="195">
        <v>1030000.0</v>
      </c>
      <c r="E763" s="69" t="s">
        <v>910</v>
      </c>
      <c r="F763" s="69" t="s">
        <v>45</v>
      </c>
      <c r="G763" s="69" t="s">
        <v>87</v>
      </c>
      <c r="H763" s="99"/>
      <c r="I763" s="9"/>
      <c r="J763" s="9"/>
      <c r="K763" s="9"/>
      <c r="L763" s="9"/>
      <c r="M763" s="9"/>
      <c r="N763" s="9"/>
      <c r="O763" s="9"/>
    </row>
    <row r="764" ht="22.5" customHeight="1">
      <c r="A764" s="49"/>
      <c r="C764" s="192">
        <v>46172.0</v>
      </c>
      <c r="D764" s="63"/>
      <c r="F764" s="93"/>
      <c r="G764" s="93"/>
      <c r="H764" s="99"/>
      <c r="I764" s="9"/>
      <c r="J764" s="9"/>
      <c r="K764" s="9"/>
      <c r="L764" s="9"/>
      <c r="M764" s="9"/>
      <c r="N764" s="9"/>
      <c r="O764" s="9"/>
    </row>
    <row r="765" ht="22.5" customHeight="1">
      <c r="A765" s="49"/>
      <c r="C765" s="192">
        <v>46172.0</v>
      </c>
      <c r="D765" s="195">
        <v>50000.0</v>
      </c>
      <c r="E765" s="69" t="s">
        <v>211</v>
      </c>
      <c r="F765" s="69" t="s">
        <v>41</v>
      </c>
      <c r="G765" s="69" t="s">
        <v>42</v>
      </c>
      <c r="H765" s="99"/>
      <c r="I765" s="9"/>
      <c r="J765" s="9"/>
      <c r="K765" s="9"/>
      <c r="L765" s="9"/>
      <c r="M765" s="9"/>
      <c r="N765" s="9"/>
      <c r="O765" s="9"/>
    </row>
    <row r="766" ht="22.5" customHeight="1">
      <c r="A766" s="49"/>
      <c r="C766" s="192">
        <v>46172.0</v>
      </c>
      <c r="D766" s="195">
        <v>50000.0</v>
      </c>
      <c r="E766" s="69" t="s">
        <v>395</v>
      </c>
      <c r="F766" s="69" t="s">
        <v>41</v>
      </c>
      <c r="G766" s="69" t="s">
        <v>42</v>
      </c>
      <c r="H766" s="99"/>
      <c r="I766" s="9"/>
      <c r="J766" s="9"/>
      <c r="K766" s="9"/>
      <c r="L766" s="9"/>
      <c r="M766" s="9"/>
      <c r="N766" s="9"/>
      <c r="O766" s="9"/>
    </row>
    <row r="767" ht="22.5" customHeight="1">
      <c r="A767" s="49"/>
      <c r="C767" s="192">
        <v>46172.0</v>
      </c>
      <c r="D767" s="195">
        <v>10000.0</v>
      </c>
      <c r="E767" s="69" t="s">
        <v>1283</v>
      </c>
      <c r="F767" s="69" t="s">
        <v>41</v>
      </c>
      <c r="G767" s="69" t="s">
        <v>42</v>
      </c>
      <c r="H767" s="99"/>
      <c r="I767" s="9"/>
      <c r="J767" s="9"/>
      <c r="K767" s="9"/>
      <c r="L767" s="9"/>
      <c r="M767" s="9"/>
      <c r="N767" s="9"/>
      <c r="O767" s="9"/>
    </row>
    <row r="768" ht="22.5" customHeight="1">
      <c r="A768" s="49"/>
      <c r="C768" s="192">
        <v>46172.0</v>
      </c>
      <c r="D768" s="195">
        <v>10000.0</v>
      </c>
      <c r="E768" s="69" t="s">
        <v>221</v>
      </c>
      <c r="F768" s="69" t="s">
        <v>41</v>
      </c>
      <c r="G768" s="69" t="s">
        <v>42</v>
      </c>
      <c r="H768" s="99"/>
      <c r="I768" s="9"/>
      <c r="J768" s="9"/>
      <c r="K768" s="9"/>
      <c r="L768" s="9"/>
      <c r="M768" s="9"/>
      <c r="N768" s="9"/>
      <c r="O768" s="9"/>
    </row>
    <row r="769" ht="22.5" customHeight="1">
      <c r="A769" s="49"/>
      <c r="C769" s="192">
        <v>46172.0</v>
      </c>
      <c r="D769" s="195">
        <v>500000.0</v>
      </c>
      <c r="E769" s="69" t="s">
        <v>1285</v>
      </c>
      <c r="F769" s="69" t="s">
        <v>41</v>
      </c>
      <c r="G769" s="69" t="s">
        <v>42</v>
      </c>
      <c r="H769" s="99"/>
      <c r="I769" s="9"/>
      <c r="J769" s="9"/>
      <c r="K769" s="9"/>
      <c r="L769" s="9"/>
      <c r="M769" s="9"/>
      <c r="N769" s="9"/>
      <c r="O769" s="9"/>
    </row>
    <row r="770" ht="22.5" customHeight="1">
      <c r="A770" s="49"/>
      <c r="C770" s="192">
        <v>46172.0</v>
      </c>
      <c r="D770" s="195">
        <v>30000.0</v>
      </c>
      <c r="E770" s="69" t="s">
        <v>175</v>
      </c>
      <c r="F770" s="69" t="s">
        <v>41</v>
      </c>
      <c r="G770" s="69" t="s">
        <v>42</v>
      </c>
      <c r="H770" s="99"/>
      <c r="I770" s="9"/>
      <c r="J770" s="9"/>
      <c r="K770" s="9"/>
      <c r="L770" s="9"/>
      <c r="M770" s="9"/>
      <c r="N770" s="9"/>
      <c r="O770" s="9"/>
    </row>
    <row r="771" ht="22.5" customHeight="1">
      <c r="A771" s="49"/>
      <c r="C771" s="192">
        <v>46174.0</v>
      </c>
      <c r="D771" s="195">
        <v>31000.0</v>
      </c>
      <c r="E771" s="69" t="s">
        <v>1290</v>
      </c>
      <c r="F771" s="69" t="s">
        <v>41</v>
      </c>
      <c r="G771" s="69" t="s">
        <v>42</v>
      </c>
      <c r="H771" s="99"/>
      <c r="I771" s="9"/>
      <c r="J771" s="9"/>
      <c r="K771" s="9"/>
      <c r="L771" s="9"/>
      <c r="M771" s="9"/>
      <c r="N771" s="9"/>
      <c r="O771" s="9"/>
    </row>
    <row r="772" ht="22.5" customHeight="1">
      <c r="A772" s="49"/>
      <c r="C772" s="192">
        <v>46174.0</v>
      </c>
      <c r="D772" s="195">
        <v>76000.0</v>
      </c>
      <c r="E772" s="69" t="s">
        <v>356</v>
      </c>
      <c r="F772" s="69" t="s">
        <v>41</v>
      </c>
      <c r="G772" s="69" t="s">
        <v>42</v>
      </c>
      <c r="H772" s="99"/>
      <c r="I772" s="9"/>
      <c r="J772" s="9"/>
      <c r="K772" s="9"/>
      <c r="L772" s="9"/>
      <c r="M772" s="9"/>
      <c r="N772" s="9"/>
      <c r="O772" s="9"/>
    </row>
    <row r="773" ht="22.5" customHeight="1">
      <c r="A773" s="49"/>
      <c r="C773" s="138">
        <v>46174.0</v>
      </c>
      <c r="D773" s="195">
        <v>5000.0</v>
      </c>
      <c r="E773" s="69" t="s">
        <v>1230</v>
      </c>
      <c r="F773" s="69" t="s">
        <v>41</v>
      </c>
      <c r="G773" s="69" t="s">
        <v>42</v>
      </c>
      <c r="H773" s="99"/>
      <c r="I773" s="9"/>
      <c r="J773" s="9"/>
      <c r="K773" s="9"/>
      <c r="L773" s="9"/>
      <c r="M773" s="9"/>
      <c r="N773" s="9"/>
      <c r="O773" s="9"/>
    </row>
    <row r="774" ht="22.5" customHeight="1">
      <c r="A774" s="49"/>
      <c r="C774" s="192">
        <v>46174.0</v>
      </c>
      <c r="D774" s="195">
        <v>12000.0</v>
      </c>
      <c r="E774" s="69" t="s">
        <v>347</v>
      </c>
      <c r="F774" s="69" t="s">
        <v>41</v>
      </c>
      <c r="G774" s="69" t="s">
        <v>42</v>
      </c>
      <c r="H774" s="99"/>
      <c r="I774" s="9"/>
      <c r="J774" s="9"/>
      <c r="K774" s="9"/>
      <c r="L774" s="9"/>
      <c r="M774" s="9"/>
      <c r="N774" s="9"/>
      <c r="O774" s="9"/>
    </row>
    <row r="775" ht="22.5" customHeight="1">
      <c r="A775" s="49"/>
      <c r="C775" s="138">
        <v>46174.0</v>
      </c>
      <c r="D775" s="195">
        <v>37000.0</v>
      </c>
      <c r="E775" s="69" t="s">
        <v>1295</v>
      </c>
      <c r="F775" s="69" t="s">
        <v>41</v>
      </c>
      <c r="G775" s="69" t="s">
        <v>42</v>
      </c>
      <c r="H775" s="99"/>
      <c r="I775" s="9"/>
      <c r="J775" s="9"/>
      <c r="K775" s="9"/>
      <c r="L775" s="9"/>
      <c r="M775" s="9"/>
      <c r="N775" s="9"/>
      <c r="O775" s="9"/>
    </row>
    <row r="776" ht="22.5" customHeight="1">
      <c r="A776" s="49"/>
      <c r="C776" s="192">
        <v>46174.0</v>
      </c>
      <c r="D776" s="195">
        <v>10000.0</v>
      </c>
      <c r="E776" s="69" t="s">
        <v>221</v>
      </c>
      <c r="F776" s="69" t="s">
        <v>41</v>
      </c>
      <c r="G776" s="69" t="s">
        <v>42</v>
      </c>
      <c r="H776" s="99"/>
      <c r="I776" s="9"/>
      <c r="J776" s="9"/>
      <c r="K776" s="9"/>
      <c r="L776" s="9"/>
      <c r="M776" s="9"/>
      <c r="N776" s="9"/>
      <c r="O776" s="9"/>
    </row>
    <row r="777" ht="22.5" customHeight="1">
      <c r="A777" s="49"/>
      <c r="C777" s="138">
        <v>46174.0</v>
      </c>
      <c r="D777" s="195">
        <v>10000.0</v>
      </c>
      <c r="E777" s="69" t="s">
        <v>1298</v>
      </c>
      <c r="F777" s="69" t="s">
        <v>41</v>
      </c>
      <c r="G777" s="69" t="s">
        <v>42</v>
      </c>
      <c r="H777" s="99"/>
      <c r="I777" s="9"/>
      <c r="J777" s="9"/>
      <c r="K777" s="9"/>
      <c r="L777" s="9"/>
      <c r="M777" s="9"/>
      <c r="N777" s="9"/>
      <c r="O777" s="9"/>
    </row>
    <row r="778" ht="22.5" customHeight="1">
      <c r="A778" s="49"/>
      <c r="C778" s="192">
        <v>46174.0</v>
      </c>
      <c r="D778" s="195">
        <v>130000.0</v>
      </c>
      <c r="E778" s="69" t="s">
        <v>923</v>
      </c>
      <c r="F778" s="69" t="s">
        <v>41</v>
      </c>
      <c r="G778" s="69" t="s">
        <v>87</v>
      </c>
      <c r="H778" s="99"/>
      <c r="I778" s="9"/>
      <c r="J778" s="9"/>
      <c r="K778" s="9"/>
      <c r="L778" s="9"/>
      <c r="M778" s="9"/>
      <c r="N778" s="9"/>
      <c r="O778" s="9"/>
    </row>
    <row r="779" ht="22.5" customHeight="1">
      <c r="A779" s="49"/>
      <c r="C779" s="192">
        <v>46174.0</v>
      </c>
      <c r="D779" s="195">
        <v>135000.0</v>
      </c>
      <c r="E779" s="69" t="s">
        <v>367</v>
      </c>
      <c r="F779" s="69" t="s">
        <v>41</v>
      </c>
      <c r="G779" s="69" t="s">
        <v>87</v>
      </c>
      <c r="H779" s="99"/>
      <c r="I779" s="9"/>
      <c r="J779" s="9"/>
      <c r="K779" s="9"/>
      <c r="L779" s="9"/>
      <c r="M779" s="9"/>
      <c r="N779" s="9"/>
      <c r="O779" s="9"/>
    </row>
    <row r="780" ht="22.5" customHeight="1">
      <c r="A780" s="49"/>
      <c r="C780" s="192">
        <v>46175.0</v>
      </c>
      <c r="D780" s="195">
        <v>25000.0</v>
      </c>
      <c r="E780" s="69" t="s">
        <v>338</v>
      </c>
      <c r="F780" s="69" t="s">
        <v>41</v>
      </c>
      <c r="G780" s="69" t="s">
        <v>42</v>
      </c>
      <c r="H780" s="99"/>
      <c r="I780" s="9"/>
      <c r="J780" s="9"/>
      <c r="K780" s="9"/>
      <c r="L780" s="9"/>
      <c r="M780" s="9"/>
      <c r="N780" s="9"/>
      <c r="O780" s="9"/>
    </row>
    <row r="781" ht="22.5" customHeight="1">
      <c r="A781" s="49"/>
      <c r="C781" s="192">
        <v>46175.0</v>
      </c>
      <c r="D781" s="195">
        <v>2000000.0</v>
      </c>
      <c r="E781" s="69" t="s">
        <v>1309</v>
      </c>
      <c r="F781" s="69" t="s">
        <v>41</v>
      </c>
      <c r="G781" s="69" t="s">
        <v>87</v>
      </c>
      <c r="H781" s="99"/>
      <c r="I781" s="9"/>
      <c r="J781" s="9"/>
      <c r="K781" s="9"/>
      <c r="L781" s="9"/>
      <c r="M781" s="9"/>
      <c r="N781" s="9"/>
      <c r="O781" s="9"/>
    </row>
    <row r="782" ht="22.5" customHeight="1">
      <c r="A782" s="49"/>
      <c r="C782" s="192">
        <v>46175.0</v>
      </c>
      <c r="D782" s="195">
        <v>10000.0</v>
      </c>
      <c r="E782" s="69" t="s">
        <v>125</v>
      </c>
      <c r="F782" s="69" t="s">
        <v>41</v>
      </c>
      <c r="G782" s="69" t="s">
        <v>42</v>
      </c>
      <c r="H782" s="99"/>
      <c r="I782" s="9"/>
      <c r="J782" s="9"/>
      <c r="K782" s="9"/>
      <c r="L782" s="9"/>
      <c r="M782" s="9"/>
      <c r="N782" s="9"/>
      <c r="O782" s="9"/>
    </row>
    <row r="783" ht="22.5" customHeight="1">
      <c r="A783" s="49"/>
      <c r="C783" s="192">
        <v>46175.0</v>
      </c>
      <c r="D783" s="195">
        <v>28000.0</v>
      </c>
      <c r="E783" s="69" t="s">
        <v>1311</v>
      </c>
      <c r="F783" s="69" t="s">
        <v>41</v>
      </c>
      <c r="G783" s="69" t="s">
        <v>42</v>
      </c>
      <c r="H783" s="99"/>
      <c r="I783" s="9"/>
      <c r="J783" s="9"/>
      <c r="K783" s="9"/>
      <c r="L783" s="9"/>
      <c r="M783" s="9"/>
      <c r="N783" s="9"/>
      <c r="O783" s="9"/>
    </row>
    <row r="784" ht="22.5" customHeight="1">
      <c r="A784" s="49"/>
      <c r="C784" s="192">
        <v>46175.0</v>
      </c>
      <c r="D784" s="195">
        <v>800000.0</v>
      </c>
      <c r="E784" s="69" t="s">
        <v>1312</v>
      </c>
      <c r="F784" s="69" t="s">
        <v>41</v>
      </c>
      <c r="G784" s="69" t="s">
        <v>42</v>
      </c>
      <c r="H784" s="99"/>
      <c r="I784" s="9"/>
      <c r="J784" s="9"/>
      <c r="K784" s="9"/>
      <c r="L784" s="9"/>
      <c r="M784" s="9"/>
      <c r="N784" s="9"/>
      <c r="O784" s="9"/>
    </row>
    <row r="785" ht="22.5" customHeight="1">
      <c r="A785" s="49"/>
      <c r="C785" s="192">
        <v>46176.0</v>
      </c>
      <c r="D785" s="195">
        <v>25000.0</v>
      </c>
      <c r="E785" s="69" t="s">
        <v>356</v>
      </c>
      <c r="F785" s="69" t="s">
        <v>41</v>
      </c>
      <c r="G785" s="69" t="s">
        <v>42</v>
      </c>
      <c r="H785" s="99"/>
      <c r="I785" s="9"/>
      <c r="J785" s="9"/>
      <c r="K785" s="9"/>
      <c r="L785" s="9"/>
      <c r="M785" s="9"/>
      <c r="N785" s="9"/>
      <c r="O785" s="9"/>
    </row>
    <row r="786" ht="22.5" customHeight="1">
      <c r="A786" s="49"/>
      <c r="C786" s="192">
        <v>46176.0</v>
      </c>
      <c r="D786" s="195">
        <v>20000.0</v>
      </c>
      <c r="E786" s="69" t="s">
        <v>1315</v>
      </c>
      <c r="F786" s="69" t="s">
        <v>41</v>
      </c>
      <c r="G786" s="69" t="s">
        <v>42</v>
      </c>
      <c r="H786" s="99"/>
      <c r="I786" s="9"/>
      <c r="J786" s="9"/>
      <c r="K786" s="9"/>
      <c r="L786" s="9"/>
      <c r="M786" s="9"/>
      <c r="N786" s="9"/>
      <c r="O786" s="9"/>
    </row>
    <row r="787" ht="22.5" customHeight="1">
      <c r="A787" s="49"/>
      <c r="C787" s="192">
        <v>46176.0</v>
      </c>
      <c r="D787" s="195">
        <v>25000.0</v>
      </c>
      <c r="E787" s="69" t="s">
        <v>928</v>
      </c>
      <c r="F787" s="69" t="s">
        <v>41</v>
      </c>
      <c r="G787" s="69" t="s">
        <v>42</v>
      </c>
      <c r="H787" s="99"/>
      <c r="I787" s="9"/>
      <c r="J787" s="9"/>
      <c r="K787" s="9"/>
      <c r="L787" s="9"/>
      <c r="M787" s="9"/>
      <c r="N787" s="9"/>
      <c r="O787" s="9"/>
    </row>
    <row r="788" ht="22.5" customHeight="1">
      <c r="A788" s="49"/>
      <c r="C788" s="192">
        <v>46176.0</v>
      </c>
      <c r="D788" s="195">
        <v>10000.0</v>
      </c>
      <c r="E788" s="69" t="s">
        <v>221</v>
      </c>
      <c r="F788" s="69" t="s">
        <v>41</v>
      </c>
      <c r="G788" s="69" t="s">
        <v>42</v>
      </c>
      <c r="H788" s="99"/>
      <c r="I788" s="9"/>
      <c r="J788" s="9"/>
      <c r="K788" s="9"/>
      <c r="L788" s="9"/>
      <c r="M788" s="9"/>
      <c r="N788" s="9"/>
      <c r="O788" s="9"/>
    </row>
    <row r="789" ht="22.5" customHeight="1">
      <c r="A789" s="49"/>
      <c r="C789" s="192">
        <v>46177.0</v>
      </c>
      <c r="D789" s="195">
        <v>10000.0</v>
      </c>
      <c r="E789" s="69" t="s">
        <v>945</v>
      </c>
      <c r="F789" s="69" t="s">
        <v>41</v>
      </c>
      <c r="G789" s="69" t="s">
        <v>42</v>
      </c>
      <c r="H789" s="99"/>
      <c r="I789" s="9"/>
      <c r="J789" s="9"/>
      <c r="K789" s="9"/>
      <c r="L789" s="9"/>
      <c r="M789" s="9"/>
      <c r="N789" s="9"/>
      <c r="O789" s="9"/>
    </row>
    <row r="790" ht="22.5" customHeight="1">
      <c r="A790" s="49"/>
      <c r="C790" s="192">
        <v>46177.0</v>
      </c>
      <c r="D790" s="195">
        <v>200000.0</v>
      </c>
      <c r="E790" s="69" t="s">
        <v>662</v>
      </c>
      <c r="F790" s="69" t="s">
        <v>41</v>
      </c>
      <c r="G790" s="69" t="s">
        <v>42</v>
      </c>
      <c r="H790" s="99"/>
      <c r="I790" s="9"/>
      <c r="J790" s="9"/>
      <c r="K790" s="9"/>
      <c r="L790" s="9"/>
      <c r="M790" s="9"/>
      <c r="N790" s="9"/>
      <c r="O790" s="9"/>
    </row>
    <row r="791" ht="22.5" customHeight="1">
      <c r="A791" s="49"/>
      <c r="C791" s="192">
        <v>46177.0</v>
      </c>
      <c r="D791" s="195">
        <v>10000.0</v>
      </c>
      <c r="E791" s="69" t="s">
        <v>1320</v>
      </c>
      <c r="F791" s="69" t="s">
        <v>41</v>
      </c>
      <c r="G791" s="69" t="s">
        <v>42</v>
      </c>
      <c r="H791" s="99"/>
      <c r="I791" s="9"/>
      <c r="J791" s="9"/>
      <c r="K791" s="9"/>
      <c r="L791" s="9"/>
      <c r="M791" s="9"/>
      <c r="N791" s="9"/>
      <c r="O791" s="9"/>
    </row>
    <row r="792" ht="22.5" customHeight="1">
      <c r="A792" s="49"/>
      <c r="C792" s="192">
        <v>46178.0</v>
      </c>
      <c r="D792" s="195">
        <v>550000.0</v>
      </c>
      <c r="E792" s="69" t="s">
        <v>1322</v>
      </c>
      <c r="F792" s="69" t="s">
        <v>41</v>
      </c>
      <c r="G792" s="69" t="s">
        <v>42</v>
      </c>
      <c r="H792" s="99"/>
      <c r="I792" s="9"/>
      <c r="J792" s="9"/>
      <c r="K792" s="9"/>
      <c r="L792" s="9"/>
      <c r="M792" s="9"/>
      <c r="N792" s="9"/>
      <c r="O792" s="9"/>
    </row>
    <row r="793" ht="22.5" customHeight="1">
      <c r="A793" s="49"/>
      <c r="C793" s="192">
        <v>46178.0</v>
      </c>
      <c r="D793" s="195">
        <v>20000.0</v>
      </c>
      <c r="E793" s="69" t="s">
        <v>352</v>
      </c>
      <c r="F793" s="69" t="s">
        <v>41</v>
      </c>
      <c r="G793" s="69" t="s">
        <v>42</v>
      </c>
      <c r="H793" s="99"/>
      <c r="I793" s="9"/>
      <c r="J793" s="9"/>
      <c r="K793" s="9"/>
      <c r="L793" s="9"/>
      <c r="M793" s="9"/>
      <c r="N793" s="9"/>
      <c r="O793" s="9"/>
    </row>
    <row r="794" ht="22.5" customHeight="1">
      <c r="A794" s="49"/>
      <c r="C794" s="192">
        <v>46178.0</v>
      </c>
      <c r="D794" s="195">
        <v>10000.0</v>
      </c>
      <c r="E794" s="69" t="s">
        <v>175</v>
      </c>
      <c r="F794" s="69" t="s">
        <v>41</v>
      </c>
      <c r="G794" s="69" t="s">
        <v>42</v>
      </c>
      <c r="H794" s="99"/>
      <c r="I794" s="9"/>
      <c r="J794" s="9"/>
      <c r="K794" s="9"/>
      <c r="L794" s="9"/>
      <c r="M794" s="9"/>
      <c r="N794" s="9"/>
      <c r="O794" s="9"/>
    </row>
    <row r="795" ht="22.5" customHeight="1">
      <c r="A795" s="49"/>
      <c r="C795" s="192">
        <v>46178.0</v>
      </c>
      <c r="D795" s="195">
        <v>100000.0</v>
      </c>
      <c r="E795" s="69" t="s">
        <v>1323</v>
      </c>
      <c r="F795" s="69" t="s">
        <v>41</v>
      </c>
      <c r="G795" s="69" t="s">
        <v>42</v>
      </c>
      <c r="H795" s="99"/>
      <c r="I795" s="9"/>
      <c r="J795" s="9"/>
      <c r="K795" s="9"/>
      <c r="L795" s="9"/>
      <c r="M795" s="9"/>
      <c r="N795" s="9"/>
      <c r="O795" s="9"/>
    </row>
    <row r="796" ht="22.5" customHeight="1">
      <c r="A796" s="49"/>
      <c r="C796" s="192">
        <v>46179.0</v>
      </c>
      <c r="D796" s="195">
        <v>20000.0</v>
      </c>
      <c r="E796" s="69" t="s">
        <v>407</v>
      </c>
      <c r="F796" s="69" t="s">
        <v>41</v>
      </c>
      <c r="G796" s="69" t="s">
        <v>42</v>
      </c>
      <c r="H796" s="99"/>
      <c r="I796" s="9"/>
      <c r="J796" s="9"/>
      <c r="K796" s="9"/>
      <c r="L796" s="9"/>
      <c r="M796" s="9"/>
      <c r="N796" s="9"/>
      <c r="O796" s="9"/>
    </row>
    <row r="797" ht="22.5" customHeight="1">
      <c r="A797" s="49"/>
      <c r="C797" s="192">
        <v>46179.0</v>
      </c>
      <c r="D797" s="195">
        <v>320000.0</v>
      </c>
      <c r="E797" s="69" t="s">
        <v>557</v>
      </c>
      <c r="F797" s="69" t="s">
        <v>41</v>
      </c>
      <c r="G797" s="69" t="s">
        <v>42</v>
      </c>
      <c r="H797" s="99"/>
      <c r="I797" s="9"/>
      <c r="J797" s="9"/>
      <c r="K797" s="9"/>
      <c r="L797" s="9"/>
      <c r="M797" s="9"/>
      <c r="N797" s="9"/>
      <c r="O797" s="9"/>
    </row>
    <row r="798" ht="22.5" customHeight="1">
      <c r="A798" s="49"/>
      <c r="C798" s="192">
        <v>46179.0</v>
      </c>
      <c r="D798" s="195">
        <v>10000.0</v>
      </c>
      <c r="E798" s="69" t="s">
        <v>817</v>
      </c>
      <c r="F798" s="69" t="s">
        <v>41</v>
      </c>
      <c r="G798" s="69" t="s">
        <v>42</v>
      </c>
      <c r="H798" s="99"/>
      <c r="I798" s="9"/>
      <c r="J798" s="9"/>
      <c r="K798" s="9"/>
      <c r="L798" s="9"/>
      <c r="M798" s="9"/>
      <c r="N798" s="9"/>
      <c r="O798" s="9"/>
    </row>
    <row r="799" ht="22.5" customHeight="1">
      <c r="A799" s="49"/>
      <c r="C799" s="192">
        <v>46179.0</v>
      </c>
      <c r="D799" s="195">
        <v>3075000.0</v>
      </c>
      <c r="E799" s="69" t="s">
        <v>179</v>
      </c>
      <c r="F799" s="69" t="s">
        <v>380</v>
      </c>
      <c r="G799" s="69" t="s">
        <v>87</v>
      </c>
      <c r="H799" s="99"/>
      <c r="I799" s="9"/>
      <c r="J799" s="9"/>
      <c r="K799" s="9"/>
      <c r="L799" s="9"/>
      <c r="M799" s="9"/>
      <c r="N799" s="9"/>
      <c r="O799" s="9"/>
    </row>
    <row r="800" ht="22.5" customHeight="1">
      <c r="A800" s="49"/>
      <c r="C800" s="192">
        <v>46180.0</v>
      </c>
      <c r="D800" s="195">
        <v>110000.0</v>
      </c>
      <c r="E800" s="69" t="s">
        <v>302</v>
      </c>
      <c r="F800" s="69" t="s">
        <v>380</v>
      </c>
      <c r="G800" s="69" t="s">
        <v>87</v>
      </c>
      <c r="H800" s="99"/>
      <c r="I800" s="9"/>
      <c r="J800" s="9"/>
      <c r="K800" s="9"/>
      <c r="L800" s="9"/>
      <c r="M800" s="9"/>
      <c r="N800" s="9"/>
      <c r="O800" s="9"/>
    </row>
    <row r="801" ht="22.5" customHeight="1">
      <c r="A801" s="49"/>
      <c r="C801" s="192">
        <v>46181.0</v>
      </c>
      <c r="D801" s="195">
        <v>600000.0</v>
      </c>
      <c r="E801" s="69" t="s">
        <v>694</v>
      </c>
      <c r="F801" s="69" t="s">
        <v>45</v>
      </c>
      <c r="G801" s="69" t="s">
        <v>87</v>
      </c>
      <c r="H801" s="99"/>
      <c r="I801" s="9"/>
      <c r="J801" s="9"/>
      <c r="K801" s="9"/>
      <c r="L801" s="9"/>
      <c r="M801" s="9"/>
      <c r="N801" s="9"/>
      <c r="O801" s="9"/>
    </row>
    <row r="802" ht="22.5" customHeight="1">
      <c r="A802" s="49"/>
      <c r="C802" s="192">
        <v>46181.0</v>
      </c>
      <c r="D802" s="195">
        <v>15000.0</v>
      </c>
      <c r="E802" s="69" t="s">
        <v>1335</v>
      </c>
      <c r="F802" s="69" t="s">
        <v>41</v>
      </c>
      <c r="G802" s="69" t="s">
        <v>42</v>
      </c>
      <c r="H802" s="99"/>
      <c r="I802" s="9"/>
      <c r="J802" s="9"/>
      <c r="K802" s="9"/>
      <c r="L802" s="9"/>
      <c r="M802" s="9"/>
      <c r="N802" s="9"/>
      <c r="O802" s="9"/>
    </row>
    <row r="803" ht="22.5" customHeight="1">
      <c r="A803" s="49"/>
      <c r="C803" s="192">
        <v>46181.0</v>
      </c>
      <c r="D803" s="195">
        <v>20000.0</v>
      </c>
      <c r="E803" s="69" t="s">
        <v>175</v>
      </c>
      <c r="F803" s="69" t="s">
        <v>41</v>
      </c>
      <c r="G803" s="69" t="s">
        <v>42</v>
      </c>
      <c r="H803" s="99"/>
      <c r="I803" s="9"/>
      <c r="J803" s="9"/>
      <c r="K803" s="9"/>
      <c r="L803" s="9"/>
      <c r="M803" s="9"/>
      <c r="N803" s="9"/>
      <c r="O803" s="9"/>
    </row>
    <row r="804" ht="22.5" customHeight="1">
      <c r="A804" s="49"/>
      <c r="C804" s="192">
        <v>46181.0</v>
      </c>
      <c r="D804" s="195">
        <v>10000.0</v>
      </c>
      <c r="E804" s="69" t="s">
        <v>817</v>
      </c>
      <c r="F804" s="69" t="s">
        <v>41</v>
      </c>
      <c r="G804" s="69" t="s">
        <v>42</v>
      </c>
      <c r="H804" s="99"/>
      <c r="I804" s="9"/>
      <c r="J804" s="9"/>
      <c r="K804" s="9"/>
      <c r="L804" s="9"/>
      <c r="M804" s="9"/>
      <c r="N804" s="9"/>
      <c r="O804" s="9"/>
    </row>
    <row r="805" ht="22.5" customHeight="1">
      <c r="A805" s="49"/>
      <c r="C805" s="192">
        <v>46181.0</v>
      </c>
      <c r="D805" s="195">
        <v>90000.0</v>
      </c>
      <c r="E805" s="69" t="s">
        <v>401</v>
      </c>
      <c r="F805" s="69" t="s">
        <v>41</v>
      </c>
      <c r="G805" s="69" t="s">
        <v>42</v>
      </c>
      <c r="H805" s="99"/>
      <c r="I805" s="9"/>
      <c r="J805" s="9"/>
      <c r="K805" s="9"/>
      <c r="L805" s="9"/>
      <c r="M805" s="9"/>
      <c r="N805" s="9"/>
      <c r="O805" s="9"/>
    </row>
    <row r="806" ht="22.5" customHeight="1">
      <c r="A806" s="49"/>
      <c r="C806" s="192">
        <v>46182.0</v>
      </c>
      <c r="D806" s="195">
        <v>50000.0</v>
      </c>
      <c r="E806" s="69" t="s">
        <v>1340</v>
      </c>
      <c r="F806" s="69" t="s">
        <v>41</v>
      </c>
      <c r="G806" s="69" t="s">
        <v>42</v>
      </c>
      <c r="H806" s="99"/>
      <c r="I806" s="9"/>
      <c r="J806" s="9"/>
      <c r="K806" s="9"/>
      <c r="L806" s="9"/>
      <c r="M806" s="9"/>
      <c r="N806" s="9"/>
      <c r="O806" s="9"/>
    </row>
    <row r="807" ht="22.5" customHeight="1">
      <c r="A807" s="49"/>
      <c r="C807" s="192">
        <v>46183.0</v>
      </c>
      <c r="D807" s="195">
        <v>2102000.0</v>
      </c>
      <c r="E807" s="69" t="s">
        <v>1344</v>
      </c>
      <c r="F807" s="69" t="s">
        <v>45</v>
      </c>
      <c r="G807" s="69" t="s">
        <v>87</v>
      </c>
      <c r="H807" s="99"/>
      <c r="I807" s="9"/>
      <c r="J807" s="9"/>
      <c r="K807" s="9"/>
      <c r="L807" s="9"/>
      <c r="M807" s="9"/>
      <c r="N807" s="9"/>
      <c r="O807" s="9"/>
    </row>
    <row r="808" ht="22.5" customHeight="1">
      <c r="A808" s="49"/>
      <c r="C808" s="192">
        <v>46183.0</v>
      </c>
      <c r="D808" s="195">
        <v>12000.0</v>
      </c>
      <c r="E808" s="69" t="s">
        <v>945</v>
      </c>
      <c r="F808" s="69" t="s">
        <v>41</v>
      </c>
      <c r="G808" s="69" t="s">
        <v>42</v>
      </c>
      <c r="H808" s="99"/>
      <c r="I808" s="9"/>
      <c r="J808" s="9"/>
      <c r="K808" s="9"/>
      <c r="L808" s="9"/>
      <c r="M808" s="9"/>
      <c r="N808" s="9"/>
      <c r="O808" s="9"/>
    </row>
    <row r="809" ht="22.5" customHeight="1">
      <c r="A809" s="49"/>
      <c r="C809" s="192">
        <v>46183.0</v>
      </c>
      <c r="D809" s="195">
        <v>15000.0</v>
      </c>
      <c r="E809" s="69" t="s">
        <v>1347</v>
      </c>
      <c r="F809" s="69" t="s">
        <v>41</v>
      </c>
      <c r="G809" s="69" t="s">
        <v>42</v>
      </c>
      <c r="H809" s="99"/>
      <c r="I809" s="9"/>
      <c r="J809" s="9"/>
      <c r="K809" s="9"/>
      <c r="L809" s="9"/>
      <c r="M809" s="9"/>
      <c r="N809" s="9"/>
      <c r="O809" s="9"/>
    </row>
    <row r="810" ht="22.5" customHeight="1">
      <c r="A810" s="49"/>
      <c r="C810" s="192">
        <v>46183.0</v>
      </c>
      <c r="D810" s="195">
        <v>30000.0</v>
      </c>
      <c r="E810" s="69" t="s">
        <v>175</v>
      </c>
      <c r="F810" s="69" t="s">
        <v>41</v>
      </c>
      <c r="G810" s="69" t="s">
        <v>42</v>
      </c>
      <c r="H810" s="99"/>
      <c r="I810" s="9"/>
      <c r="J810" s="9"/>
      <c r="K810" s="9"/>
      <c r="L810" s="9"/>
      <c r="M810" s="9"/>
      <c r="N810" s="9"/>
      <c r="O810" s="9"/>
    </row>
    <row r="811" ht="22.5" customHeight="1">
      <c r="A811" s="49"/>
      <c r="C811" s="192">
        <v>46183.0</v>
      </c>
      <c r="D811" s="195">
        <v>20000.0</v>
      </c>
      <c r="E811" s="69" t="s">
        <v>1352</v>
      </c>
      <c r="F811" s="69" t="s">
        <v>41</v>
      </c>
      <c r="G811" s="69" t="s">
        <v>42</v>
      </c>
      <c r="H811" s="99"/>
      <c r="I811" s="9"/>
      <c r="J811" s="9"/>
      <c r="K811" s="9"/>
      <c r="L811" s="9"/>
      <c r="M811" s="9"/>
      <c r="N811" s="9"/>
      <c r="O811" s="9"/>
    </row>
    <row r="812" ht="22.5" customHeight="1">
      <c r="A812" s="49"/>
      <c r="C812" s="192">
        <v>46183.0</v>
      </c>
      <c r="D812" s="195">
        <v>15000.0</v>
      </c>
      <c r="E812" s="69" t="s">
        <v>1353</v>
      </c>
      <c r="F812" s="69" t="s">
        <v>41</v>
      </c>
      <c r="G812" s="69" t="s">
        <v>42</v>
      </c>
      <c r="H812" s="99"/>
      <c r="I812" s="9"/>
      <c r="J812" s="9"/>
      <c r="K812" s="9"/>
      <c r="L812" s="9"/>
      <c r="M812" s="9"/>
      <c r="N812" s="9"/>
      <c r="O812" s="9"/>
    </row>
    <row r="813" ht="22.5" customHeight="1">
      <c r="A813" s="49"/>
      <c r="C813" s="192">
        <v>46183.0</v>
      </c>
      <c r="D813" s="195">
        <v>10000.0</v>
      </c>
      <c r="E813" s="69" t="s">
        <v>817</v>
      </c>
      <c r="F813" s="69" t="s">
        <v>41</v>
      </c>
      <c r="G813" s="69" t="s">
        <v>42</v>
      </c>
      <c r="H813" s="99"/>
      <c r="I813" s="9"/>
      <c r="J813" s="9"/>
      <c r="K813" s="9"/>
      <c r="L813" s="9"/>
      <c r="M813" s="9"/>
      <c r="N813" s="9"/>
      <c r="O813" s="9"/>
    </row>
    <row r="814" ht="22.5" customHeight="1">
      <c r="A814" s="49"/>
      <c r="C814" s="192">
        <v>46183.0</v>
      </c>
      <c r="D814" s="195">
        <v>7000.0</v>
      </c>
      <c r="E814" s="69" t="s">
        <v>1147</v>
      </c>
      <c r="F814" s="69" t="s">
        <v>41</v>
      </c>
      <c r="G814" s="69" t="s">
        <v>42</v>
      </c>
      <c r="H814" s="99"/>
      <c r="I814" s="9"/>
      <c r="J814" s="9"/>
      <c r="K814" s="9"/>
      <c r="L814" s="9"/>
      <c r="M814" s="9"/>
      <c r="N814" s="9"/>
      <c r="O814" s="9"/>
    </row>
    <row r="815" ht="22.5" customHeight="1">
      <c r="A815" s="49"/>
      <c r="C815" s="192">
        <v>46183.0</v>
      </c>
      <c r="D815" s="195">
        <v>10000.0</v>
      </c>
      <c r="E815" s="69" t="s">
        <v>1335</v>
      </c>
      <c r="F815" s="69" t="s">
        <v>41</v>
      </c>
      <c r="G815" s="69" t="s">
        <v>42</v>
      </c>
      <c r="H815" s="99"/>
      <c r="I815" s="9"/>
      <c r="J815" s="9"/>
      <c r="K815" s="9"/>
      <c r="L815" s="9"/>
      <c r="M815" s="9"/>
      <c r="N815" s="9"/>
      <c r="O815" s="9"/>
    </row>
    <row r="816" ht="22.5" customHeight="1">
      <c r="A816" s="49"/>
      <c r="C816" s="192">
        <v>46184.0</v>
      </c>
      <c r="D816" s="195">
        <v>10000.0</v>
      </c>
      <c r="E816" s="69" t="s">
        <v>945</v>
      </c>
      <c r="F816" s="69" t="s">
        <v>41</v>
      </c>
      <c r="G816" s="69" t="s">
        <v>42</v>
      </c>
      <c r="H816" s="99"/>
      <c r="I816" s="9"/>
      <c r="J816" s="9"/>
      <c r="K816" s="9"/>
      <c r="L816" s="9"/>
      <c r="M816" s="9"/>
      <c r="N816" s="9"/>
      <c r="O816" s="9"/>
    </row>
    <row r="817" ht="22.5" customHeight="1">
      <c r="A817" s="49"/>
      <c r="C817" s="192">
        <v>46184.0</v>
      </c>
      <c r="D817" s="195">
        <v>20000.0</v>
      </c>
      <c r="E817" s="69" t="s">
        <v>404</v>
      </c>
      <c r="F817" s="69" t="s">
        <v>45</v>
      </c>
      <c r="G817" s="69" t="s">
        <v>42</v>
      </c>
      <c r="H817" s="99"/>
      <c r="I817" s="9"/>
      <c r="J817" s="9"/>
      <c r="K817" s="9"/>
      <c r="L817" s="9"/>
      <c r="M817" s="9"/>
      <c r="N817" s="9"/>
      <c r="O817" s="9"/>
    </row>
    <row r="818" ht="22.5" customHeight="1">
      <c r="A818" s="49"/>
      <c r="C818" s="192">
        <v>46184.0</v>
      </c>
      <c r="D818" s="195">
        <v>50000.0</v>
      </c>
      <c r="E818" s="69" t="s">
        <v>137</v>
      </c>
      <c r="F818" s="69" t="s">
        <v>41</v>
      </c>
      <c r="G818" s="69" t="s">
        <v>42</v>
      </c>
      <c r="H818" s="99"/>
      <c r="I818" s="9"/>
      <c r="J818" s="9"/>
      <c r="K818" s="9"/>
      <c r="L818" s="9"/>
      <c r="M818" s="9"/>
      <c r="N818" s="9"/>
      <c r="O818" s="9"/>
    </row>
    <row r="819" ht="22.5" customHeight="1">
      <c r="A819" s="49"/>
      <c r="C819" s="192">
        <v>46184.0</v>
      </c>
      <c r="D819" s="195">
        <v>10000.0</v>
      </c>
      <c r="E819" s="69" t="s">
        <v>1362</v>
      </c>
      <c r="F819" s="69" t="s">
        <v>45</v>
      </c>
      <c r="G819" s="69" t="s">
        <v>42</v>
      </c>
      <c r="H819" s="99"/>
      <c r="I819" s="9"/>
      <c r="J819" s="9"/>
      <c r="K819" s="9"/>
      <c r="L819" s="9"/>
      <c r="M819" s="9"/>
      <c r="N819" s="9"/>
      <c r="O819" s="9"/>
    </row>
    <row r="820" ht="22.5" customHeight="1">
      <c r="A820" s="49"/>
      <c r="C820" s="192">
        <v>46184.0</v>
      </c>
      <c r="D820" s="195">
        <v>10000.0</v>
      </c>
      <c r="E820" s="69" t="s">
        <v>221</v>
      </c>
      <c r="F820" s="69" t="s">
        <v>41</v>
      </c>
      <c r="G820" s="69" t="s">
        <v>42</v>
      </c>
      <c r="H820" s="99"/>
      <c r="I820" s="9"/>
      <c r="J820" s="9"/>
      <c r="K820" s="9"/>
      <c r="L820" s="9"/>
      <c r="M820" s="9"/>
      <c r="N820" s="9"/>
      <c r="O820" s="9"/>
    </row>
    <row r="821" ht="22.5" customHeight="1">
      <c r="A821" s="49"/>
      <c r="C821" s="192">
        <v>46185.0</v>
      </c>
      <c r="D821" s="195">
        <v>250000.0</v>
      </c>
      <c r="E821" s="69" t="s">
        <v>367</v>
      </c>
      <c r="F821" s="69" t="s">
        <v>41</v>
      </c>
      <c r="G821" s="69" t="s">
        <v>42</v>
      </c>
      <c r="H821" s="99"/>
      <c r="I821" s="9"/>
      <c r="J821" s="9"/>
      <c r="K821" s="9"/>
      <c r="L821" s="9"/>
      <c r="M821" s="9"/>
      <c r="N821" s="9"/>
      <c r="O821" s="9"/>
    </row>
    <row r="822" ht="22.5" customHeight="1">
      <c r="A822" s="49"/>
      <c r="C822" s="192">
        <v>46185.0</v>
      </c>
      <c r="D822" s="195">
        <v>10000.0</v>
      </c>
      <c r="E822" s="69" t="s">
        <v>221</v>
      </c>
      <c r="F822" s="69" t="s">
        <v>41</v>
      </c>
      <c r="G822" s="69" t="s">
        <v>42</v>
      </c>
      <c r="H822" s="99"/>
      <c r="I822" s="9"/>
      <c r="J822" s="9"/>
      <c r="K822" s="9"/>
      <c r="L822" s="9"/>
      <c r="M822" s="9"/>
      <c r="N822" s="9"/>
      <c r="O822" s="9"/>
    </row>
    <row r="823" ht="22.5" customHeight="1">
      <c r="A823" s="49"/>
      <c r="C823" s="192">
        <v>46185.0</v>
      </c>
      <c r="D823" s="195">
        <v>50000.0</v>
      </c>
      <c r="E823" s="69" t="s">
        <v>423</v>
      </c>
      <c r="F823" s="69" t="s">
        <v>41</v>
      </c>
      <c r="G823" s="69" t="s">
        <v>42</v>
      </c>
      <c r="H823" s="99"/>
      <c r="I823" s="9"/>
      <c r="J823" s="9"/>
      <c r="K823" s="9"/>
      <c r="L823" s="9"/>
      <c r="M823" s="9"/>
      <c r="N823" s="9"/>
      <c r="O823" s="9"/>
    </row>
    <row r="824" ht="22.5" customHeight="1">
      <c r="A824" s="49"/>
      <c r="C824" s="192">
        <v>46185.0</v>
      </c>
      <c r="D824" s="195">
        <v>1.65E7</v>
      </c>
      <c r="E824" s="69" t="s">
        <v>1367</v>
      </c>
      <c r="F824" s="69" t="s">
        <v>41</v>
      </c>
      <c r="G824" s="69" t="s">
        <v>87</v>
      </c>
      <c r="H824" s="99"/>
      <c r="I824" s="9"/>
      <c r="J824" s="9"/>
      <c r="K824" s="9"/>
      <c r="L824" s="9"/>
      <c r="M824" s="9"/>
      <c r="N824" s="9"/>
      <c r="O824" s="9"/>
    </row>
    <row r="825" ht="22.5" customHeight="1">
      <c r="A825" s="49"/>
      <c r="C825" s="192">
        <v>46186.0</v>
      </c>
      <c r="D825" s="195">
        <v>3075000.0</v>
      </c>
      <c r="E825" s="69" t="s">
        <v>179</v>
      </c>
      <c r="F825" s="69" t="s">
        <v>380</v>
      </c>
      <c r="G825" s="69" t="s">
        <v>87</v>
      </c>
      <c r="H825" s="99"/>
      <c r="I825" s="9"/>
      <c r="J825" s="9"/>
      <c r="K825" s="9"/>
      <c r="L825" s="9"/>
      <c r="M825" s="9"/>
      <c r="N825" s="9"/>
      <c r="O825" s="9"/>
    </row>
    <row r="826" ht="22.5" customHeight="1">
      <c r="A826" s="49"/>
      <c r="C826" s="192">
        <v>46186.0</v>
      </c>
      <c r="D826" s="195">
        <v>45000.0</v>
      </c>
      <c r="E826" s="69" t="s">
        <v>211</v>
      </c>
      <c r="F826" s="69" t="s">
        <v>41</v>
      </c>
      <c r="G826" s="69" t="s">
        <v>42</v>
      </c>
      <c r="H826" s="99"/>
      <c r="I826" s="9"/>
      <c r="J826" s="9"/>
      <c r="K826" s="9"/>
      <c r="L826" s="9"/>
      <c r="M826" s="9"/>
      <c r="N826" s="9"/>
      <c r="O826" s="9"/>
    </row>
    <row r="827" ht="22.5" customHeight="1">
      <c r="A827" s="49"/>
      <c r="C827" s="192">
        <v>46186.0</v>
      </c>
      <c r="D827" s="195">
        <v>20000.0</v>
      </c>
      <c r="E827" s="69" t="s">
        <v>1371</v>
      </c>
      <c r="F827" s="69" t="s">
        <v>41</v>
      </c>
      <c r="G827" s="69" t="s">
        <v>42</v>
      </c>
      <c r="H827" s="99"/>
      <c r="I827" s="9"/>
      <c r="J827" s="9"/>
      <c r="K827" s="9"/>
      <c r="L827" s="9"/>
      <c r="M827" s="9"/>
      <c r="N827" s="9"/>
      <c r="O827" s="9"/>
    </row>
    <row r="828" ht="22.5" customHeight="1">
      <c r="A828" s="49"/>
      <c r="C828" s="192">
        <v>46186.0</v>
      </c>
      <c r="D828" s="195">
        <v>75000.0</v>
      </c>
      <c r="E828" s="69" t="s">
        <v>928</v>
      </c>
      <c r="F828" s="69" t="s">
        <v>41</v>
      </c>
      <c r="G828" s="69" t="s">
        <v>42</v>
      </c>
      <c r="H828" s="99"/>
      <c r="I828" s="9"/>
      <c r="J828" s="9"/>
      <c r="K828" s="9"/>
      <c r="L828" s="9"/>
      <c r="M828" s="9"/>
      <c r="N828" s="9"/>
      <c r="O828" s="9"/>
    </row>
    <row r="829" ht="22.5" customHeight="1">
      <c r="A829" s="49"/>
      <c r="C829" s="192">
        <v>46186.0</v>
      </c>
      <c r="D829" s="195">
        <v>30000.0</v>
      </c>
      <c r="E829" s="69" t="s">
        <v>328</v>
      </c>
      <c r="F829" s="69" t="s">
        <v>41</v>
      </c>
      <c r="G829" s="69" t="s">
        <v>42</v>
      </c>
      <c r="H829" s="99"/>
      <c r="I829" s="9"/>
      <c r="J829" s="9"/>
      <c r="K829" s="9"/>
      <c r="L829" s="9"/>
      <c r="M829" s="9"/>
      <c r="N829" s="9"/>
      <c r="O829" s="9"/>
    </row>
    <row r="830" ht="22.5" customHeight="1">
      <c r="A830" s="49"/>
      <c r="C830" s="192">
        <v>46186.0</v>
      </c>
      <c r="D830" s="195">
        <v>10000.0</v>
      </c>
      <c r="E830" s="69" t="s">
        <v>817</v>
      </c>
      <c r="F830" s="69" t="s">
        <v>41</v>
      </c>
      <c r="G830" s="69" t="s">
        <v>42</v>
      </c>
      <c r="H830" s="99"/>
      <c r="I830" s="9"/>
      <c r="J830" s="9"/>
      <c r="K830" s="9"/>
      <c r="L830" s="9"/>
      <c r="M830" s="9"/>
      <c r="N830" s="9"/>
      <c r="O830" s="9"/>
    </row>
    <row r="831" ht="22.5" customHeight="1">
      <c r="A831" s="49"/>
      <c r="C831" s="192">
        <v>46187.0</v>
      </c>
      <c r="D831" s="195">
        <v>110000.0</v>
      </c>
      <c r="E831" s="69" t="s">
        <v>302</v>
      </c>
      <c r="F831" s="69" t="s">
        <v>380</v>
      </c>
      <c r="G831" s="69" t="s">
        <v>87</v>
      </c>
      <c r="H831" s="99"/>
      <c r="I831" s="9"/>
      <c r="J831" s="9"/>
      <c r="K831" s="9"/>
      <c r="L831" s="9"/>
      <c r="M831" s="9"/>
      <c r="N831" s="9"/>
      <c r="O831" s="9"/>
    </row>
    <row r="832" ht="22.5" customHeight="1">
      <c r="A832" s="49"/>
      <c r="C832" s="192">
        <v>46188.0</v>
      </c>
      <c r="D832" s="195">
        <v>540000.0</v>
      </c>
      <c r="E832" s="69" t="s">
        <v>1376</v>
      </c>
      <c r="F832" s="69" t="s">
        <v>41</v>
      </c>
      <c r="G832" s="69" t="s">
        <v>42</v>
      </c>
      <c r="H832" s="99"/>
      <c r="I832" s="9"/>
      <c r="J832" s="9"/>
      <c r="K832" s="9"/>
      <c r="L832" s="9"/>
      <c r="M832" s="9"/>
      <c r="N832" s="9"/>
      <c r="O832" s="9"/>
    </row>
    <row r="833" ht="22.5" customHeight="1">
      <c r="A833" s="49"/>
      <c r="C833" s="192">
        <v>46188.0</v>
      </c>
      <c r="D833" s="195">
        <v>15000.0</v>
      </c>
      <c r="E833" s="69" t="s">
        <v>1263</v>
      </c>
      <c r="F833" s="69" t="s">
        <v>41</v>
      </c>
      <c r="G833" s="69" t="s">
        <v>42</v>
      </c>
      <c r="H833" s="99"/>
      <c r="I833" s="9"/>
      <c r="J833" s="9"/>
      <c r="K833" s="9"/>
      <c r="L833" s="9"/>
      <c r="M833" s="9"/>
      <c r="N833" s="9"/>
      <c r="O833" s="9"/>
    </row>
    <row r="834" ht="22.5" customHeight="1">
      <c r="A834" s="49"/>
      <c r="C834" s="192">
        <v>46189.0</v>
      </c>
      <c r="D834" s="195">
        <v>15000.0</v>
      </c>
      <c r="E834" s="69" t="s">
        <v>665</v>
      </c>
      <c r="F834" s="69" t="s">
        <v>41</v>
      </c>
      <c r="G834" s="69" t="s">
        <v>42</v>
      </c>
      <c r="H834" s="99"/>
      <c r="I834" s="9"/>
      <c r="J834" s="9"/>
      <c r="K834" s="9"/>
      <c r="L834" s="9"/>
      <c r="M834" s="9"/>
      <c r="N834" s="9"/>
      <c r="O834" s="9"/>
    </row>
    <row r="835" ht="22.5" customHeight="1">
      <c r="A835" s="49"/>
      <c r="C835" s="192">
        <v>46189.0</v>
      </c>
      <c r="D835" s="195">
        <v>65000.0</v>
      </c>
      <c r="E835" s="69" t="s">
        <v>1380</v>
      </c>
      <c r="F835" s="69" t="s">
        <v>41</v>
      </c>
      <c r="G835" s="69" t="s">
        <v>42</v>
      </c>
      <c r="H835" s="99"/>
      <c r="I835" s="9"/>
      <c r="J835" s="9"/>
      <c r="K835" s="9"/>
      <c r="L835" s="9"/>
      <c r="M835" s="9"/>
      <c r="N835" s="9"/>
      <c r="O835" s="9"/>
    </row>
    <row r="836" ht="22.5" customHeight="1">
      <c r="A836" s="49"/>
      <c r="C836" s="192">
        <v>46189.0</v>
      </c>
      <c r="D836" s="195">
        <v>20000.0</v>
      </c>
      <c r="E836" s="69" t="s">
        <v>1381</v>
      </c>
      <c r="F836" s="69" t="s">
        <v>41</v>
      </c>
      <c r="G836" s="69" t="s">
        <v>42</v>
      </c>
      <c r="H836" s="99"/>
      <c r="I836" s="9"/>
      <c r="J836" s="9"/>
      <c r="K836" s="9"/>
      <c r="L836" s="9"/>
      <c r="M836" s="9"/>
      <c r="N836" s="9"/>
      <c r="O836" s="9"/>
    </row>
    <row r="837" ht="22.5" customHeight="1">
      <c r="A837" s="49"/>
      <c r="C837" s="192">
        <v>46189.0</v>
      </c>
      <c r="D837" s="195">
        <v>20000.0</v>
      </c>
      <c r="E837" s="69" t="s">
        <v>1382</v>
      </c>
      <c r="F837" s="69" t="s">
        <v>41</v>
      </c>
      <c r="G837" s="69" t="s">
        <v>42</v>
      </c>
      <c r="H837" s="99"/>
      <c r="I837" s="9"/>
      <c r="J837" s="9"/>
      <c r="K837" s="9"/>
      <c r="L837" s="9"/>
      <c r="M837" s="9"/>
      <c r="N837" s="9"/>
      <c r="O837" s="9"/>
    </row>
    <row r="838" ht="22.5" customHeight="1">
      <c r="A838" s="49"/>
      <c r="C838" s="192">
        <v>46189.0</v>
      </c>
      <c r="D838" s="195">
        <v>195000.0</v>
      </c>
      <c r="E838" s="69" t="s">
        <v>1388</v>
      </c>
      <c r="F838" s="69" t="s">
        <v>41</v>
      </c>
      <c r="G838" s="69" t="s">
        <v>42</v>
      </c>
      <c r="H838" s="99"/>
      <c r="I838" s="9"/>
      <c r="J838" s="9"/>
      <c r="K838" s="9"/>
      <c r="L838" s="9"/>
      <c r="M838" s="9"/>
      <c r="N838" s="9"/>
      <c r="O838" s="9"/>
    </row>
    <row r="839" ht="22.5" customHeight="1">
      <c r="A839" s="49"/>
      <c r="C839" s="192">
        <v>46189.0</v>
      </c>
      <c r="D839" s="195">
        <v>2000000.0</v>
      </c>
      <c r="E839" s="69" t="s">
        <v>574</v>
      </c>
      <c r="F839" s="69" t="s">
        <v>45</v>
      </c>
      <c r="G839" s="69" t="s">
        <v>87</v>
      </c>
      <c r="H839" s="99"/>
      <c r="I839" s="9"/>
      <c r="J839" s="9"/>
      <c r="K839" s="9"/>
      <c r="L839" s="9"/>
      <c r="M839" s="9"/>
      <c r="N839" s="9"/>
      <c r="O839" s="9"/>
    </row>
    <row r="840" ht="22.5" customHeight="1">
      <c r="A840" s="49"/>
      <c r="C840" s="192">
        <v>46190.0</v>
      </c>
      <c r="D840" s="195">
        <v>10000.0</v>
      </c>
      <c r="E840" s="69" t="s">
        <v>406</v>
      </c>
      <c r="F840" s="69" t="s">
        <v>41</v>
      </c>
      <c r="G840" s="69" t="s">
        <v>42</v>
      </c>
      <c r="H840" s="99"/>
      <c r="I840" s="9"/>
      <c r="J840" s="9"/>
      <c r="K840" s="9"/>
      <c r="L840" s="9"/>
      <c r="M840" s="9"/>
      <c r="N840" s="9"/>
      <c r="O840" s="9"/>
    </row>
    <row r="841" ht="22.5" customHeight="1">
      <c r="A841" s="49"/>
      <c r="C841" s="192">
        <v>46190.0</v>
      </c>
      <c r="D841" s="195">
        <v>15000.0</v>
      </c>
      <c r="E841" s="69" t="s">
        <v>945</v>
      </c>
      <c r="F841" s="69" t="s">
        <v>41</v>
      </c>
      <c r="G841" s="69" t="s">
        <v>42</v>
      </c>
      <c r="H841" s="99"/>
      <c r="I841" s="9"/>
      <c r="J841" s="9"/>
      <c r="K841" s="9"/>
      <c r="L841" s="9"/>
      <c r="M841" s="9"/>
      <c r="N841" s="9"/>
      <c r="O841" s="9"/>
    </row>
    <row r="842" ht="22.5" customHeight="1">
      <c r="A842" s="49"/>
      <c r="C842" s="192">
        <v>46191.0</v>
      </c>
      <c r="D842" s="195">
        <v>10000.0</v>
      </c>
      <c r="E842" s="69" t="s">
        <v>221</v>
      </c>
      <c r="F842" s="69" t="s">
        <v>41</v>
      </c>
      <c r="G842" s="69" t="s">
        <v>42</v>
      </c>
      <c r="H842" s="99"/>
      <c r="I842" s="9"/>
      <c r="J842" s="9"/>
      <c r="K842" s="9"/>
      <c r="L842" s="9"/>
      <c r="M842" s="9"/>
      <c r="N842" s="9"/>
      <c r="O842" s="9"/>
    </row>
    <row r="843" ht="22.5" customHeight="1">
      <c r="A843" s="49"/>
      <c r="C843" s="192">
        <v>46191.0</v>
      </c>
      <c r="D843" s="195">
        <v>35000.0</v>
      </c>
      <c r="E843" s="69" t="s">
        <v>165</v>
      </c>
      <c r="F843" s="69" t="s">
        <v>41</v>
      </c>
      <c r="G843" s="69" t="s">
        <v>42</v>
      </c>
      <c r="H843" s="99"/>
      <c r="I843" s="9"/>
      <c r="J843" s="9"/>
      <c r="K843" s="9"/>
      <c r="L843" s="9"/>
      <c r="M843" s="9"/>
      <c r="N843" s="9"/>
      <c r="O843" s="9"/>
    </row>
    <row r="844" ht="22.5" customHeight="1">
      <c r="A844" s="49"/>
      <c r="C844" s="192">
        <v>46191.0</v>
      </c>
      <c r="D844" s="195">
        <v>25000.0</v>
      </c>
      <c r="E844" s="69" t="s">
        <v>1392</v>
      </c>
      <c r="F844" s="69" t="s">
        <v>41</v>
      </c>
      <c r="G844" s="69" t="s">
        <v>42</v>
      </c>
      <c r="H844" s="99"/>
      <c r="I844" s="9"/>
      <c r="J844" s="9"/>
      <c r="K844" s="9"/>
      <c r="L844" s="9"/>
      <c r="M844" s="9"/>
      <c r="N844" s="9"/>
      <c r="O844" s="9"/>
    </row>
    <row r="845" ht="22.5" customHeight="1">
      <c r="A845" s="49"/>
      <c r="C845" s="192">
        <v>46192.0</v>
      </c>
      <c r="D845" s="195">
        <v>5000.0</v>
      </c>
      <c r="E845" s="69" t="s">
        <v>1393</v>
      </c>
      <c r="F845" s="69" t="s">
        <v>41</v>
      </c>
      <c r="G845" s="69" t="s">
        <v>42</v>
      </c>
      <c r="H845" s="99"/>
      <c r="I845" s="9"/>
      <c r="J845" s="9"/>
      <c r="K845" s="9"/>
      <c r="L845" s="9"/>
      <c r="M845" s="9"/>
      <c r="N845" s="9"/>
      <c r="O845" s="9"/>
    </row>
    <row r="846" ht="22.5" customHeight="1">
      <c r="A846" s="49"/>
      <c r="C846" s="192">
        <v>46192.0</v>
      </c>
      <c r="D846" s="195">
        <v>185000.0</v>
      </c>
      <c r="E846" s="69" t="s">
        <v>356</v>
      </c>
      <c r="F846" s="69" t="s">
        <v>41</v>
      </c>
      <c r="G846" s="69" t="s">
        <v>42</v>
      </c>
      <c r="H846" s="99"/>
      <c r="I846" s="9"/>
      <c r="J846" s="9"/>
      <c r="K846" s="9"/>
      <c r="L846" s="9"/>
      <c r="M846" s="9"/>
      <c r="N846" s="9"/>
      <c r="O846" s="9"/>
    </row>
    <row r="847" ht="22.5" customHeight="1">
      <c r="A847" s="49"/>
      <c r="C847" s="192">
        <v>46192.0</v>
      </c>
      <c r="D847" s="195">
        <v>15000.0</v>
      </c>
      <c r="E847" s="69" t="s">
        <v>229</v>
      </c>
      <c r="F847" s="69" t="s">
        <v>41</v>
      </c>
      <c r="G847" s="69" t="s">
        <v>42</v>
      </c>
      <c r="H847" s="99"/>
      <c r="I847" s="9"/>
      <c r="J847" s="9"/>
      <c r="K847" s="9"/>
      <c r="L847" s="9"/>
      <c r="M847" s="9"/>
      <c r="N847" s="9"/>
      <c r="O847" s="9"/>
    </row>
    <row r="848" ht="22.5" customHeight="1">
      <c r="A848" s="49"/>
      <c r="C848" s="192">
        <v>46192.0</v>
      </c>
      <c r="D848" s="195">
        <v>10000.0</v>
      </c>
      <c r="E848" s="69" t="s">
        <v>221</v>
      </c>
      <c r="F848" s="69" t="s">
        <v>41</v>
      </c>
      <c r="G848" s="69" t="s">
        <v>42</v>
      </c>
      <c r="H848" s="99"/>
      <c r="I848" s="9"/>
      <c r="J848" s="9"/>
      <c r="K848" s="9"/>
      <c r="L848" s="9"/>
      <c r="M848" s="9"/>
      <c r="N848" s="9"/>
      <c r="O848" s="9"/>
    </row>
    <row r="849" ht="22.5" customHeight="1">
      <c r="A849" s="49"/>
      <c r="C849" s="192">
        <v>46193.0</v>
      </c>
      <c r="D849" s="195">
        <v>80000.0</v>
      </c>
      <c r="E849" s="69" t="s">
        <v>356</v>
      </c>
      <c r="F849" s="69" t="s">
        <v>41</v>
      </c>
      <c r="G849" s="69" t="s">
        <v>42</v>
      </c>
      <c r="H849" s="99"/>
      <c r="I849" s="9"/>
      <c r="J849" s="9"/>
      <c r="K849" s="9"/>
      <c r="L849" s="9"/>
      <c r="M849" s="9"/>
      <c r="N849" s="9"/>
      <c r="O849" s="9"/>
    </row>
    <row r="850" ht="22.5" customHeight="1">
      <c r="A850" s="49"/>
      <c r="C850" s="192">
        <v>46193.0</v>
      </c>
      <c r="D850" s="195">
        <v>120000.0</v>
      </c>
      <c r="E850" s="69" t="s">
        <v>211</v>
      </c>
      <c r="F850" s="69" t="s">
        <v>41</v>
      </c>
      <c r="G850" s="69" t="s">
        <v>42</v>
      </c>
      <c r="H850" s="99"/>
      <c r="I850" s="9"/>
      <c r="J850" s="9"/>
      <c r="K850" s="9"/>
      <c r="L850" s="9"/>
      <c r="M850" s="9"/>
      <c r="N850" s="9"/>
      <c r="O850" s="9"/>
    </row>
    <row r="851" ht="22.5" customHeight="1">
      <c r="A851" s="49"/>
      <c r="C851" s="192">
        <v>46193.0</v>
      </c>
      <c r="D851" s="195">
        <v>10000.0</v>
      </c>
      <c r="E851" s="69" t="s">
        <v>221</v>
      </c>
      <c r="F851" s="69" t="s">
        <v>41</v>
      </c>
      <c r="G851" s="69" t="s">
        <v>42</v>
      </c>
      <c r="H851" s="99"/>
      <c r="I851" s="9"/>
      <c r="J851" s="9"/>
      <c r="K851" s="9"/>
      <c r="L851" s="9"/>
      <c r="M851" s="9"/>
      <c r="N851" s="9"/>
      <c r="O851" s="9"/>
    </row>
    <row r="852" ht="22.5" customHeight="1">
      <c r="A852" s="49"/>
      <c r="C852" s="192">
        <v>46193.0</v>
      </c>
      <c r="D852" s="195">
        <v>35000.0</v>
      </c>
      <c r="E852" s="69" t="s">
        <v>1398</v>
      </c>
      <c r="F852" s="69" t="s">
        <v>41</v>
      </c>
      <c r="G852" s="69" t="s">
        <v>42</v>
      </c>
      <c r="H852" s="99"/>
      <c r="I852" s="9"/>
      <c r="J852" s="9"/>
      <c r="K852" s="9"/>
      <c r="L852" s="9"/>
      <c r="M852" s="9"/>
      <c r="N852" s="9"/>
      <c r="O852" s="9"/>
    </row>
    <row r="853" ht="22.5" customHeight="1">
      <c r="A853" s="49"/>
      <c r="C853" s="192">
        <v>46193.0</v>
      </c>
      <c r="D853" s="195">
        <v>30000.0</v>
      </c>
      <c r="E853" s="69" t="s">
        <v>1399</v>
      </c>
      <c r="F853" s="69" t="s">
        <v>41</v>
      </c>
      <c r="G853" s="69" t="s">
        <v>42</v>
      </c>
      <c r="H853" s="99"/>
      <c r="I853" s="9"/>
      <c r="J853" s="9"/>
      <c r="K853" s="9"/>
      <c r="L853" s="9"/>
      <c r="M853" s="9"/>
      <c r="N853" s="9"/>
      <c r="O853" s="9"/>
    </row>
    <row r="854" ht="22.5" customHeight="1">
      <c r="A854" s="49"/>
      <c r="C854" s="192">
        <v>46193.0</v>
      </c>
      <c r="D854" s="195">
        <v>2175000.0</v>
      </c>
      <c r="E854" s="69" t="s">
        <v>179</v>
      </c>
      <c r="F854" s="69" t="s">
        <v>380</v>
      </c>
      <c r="G854" s="69" t="s">
        <v>87</v>
      </c>
      <c r="H854" s="99"/>
      <c r="I854" s="9"/>
      <c r="J854" s="9"/>
      <c r="K854" s="9"/>
      <c r="L854" s="9"/>
      <c r="M854" s="9"/>
      <c r="N854" s="9"/>
      <c r="O854" s="9"/>
    </row>
    <row r="855" ht="22.5" customHeight="1">
      <c r="A855" s="49"/>
      <c r="C855" s="192">
        <v>46194.0</v>
      </c>
      <c r="D855" s="195">
        <v>220000.0</v>
      </c>
      <c r="E855" s="69" t="s">
        <v>302</v>
      </c>
      <c r="F855" s="69" t="s">
        <v>380</v>
      </c>
      <c r="G855" s="69" t="s">
        <v>87</v>
      </c>
      <c r="H855" s="99"/>
      <c r="I855" s="9"/>
      <c r="J855" s="9"/>
    </row>
    <row r="856" ht="22.5" customHeight="1">
      <c r="A856" s="49"/>
      <c r="C856" s="192">
        <v>46195.0</v>
      </c>
      <c r="D856" s="195">
        <v>20000.0</v>
      </c>
      <c r="E856" s="69" t="s">
        <v>194</v>
      </c>
      <c r="F856" s="69" t="s">
        <v>41</v>
      </c>
      <c r="G856" s="69" t="s">
        <v>42</v>
      </c>
      <c r="H856" s="99"/>
      <c r="I856" s="9"/>
      <c r="J856" s="9"/>
      <c r="K856" s="9"/>
      <c r="L856" s="9"/>
      <c r="M856" s="9"/>
      <c r="N856" s="9"/>
      <c r="O856" s="9"/>
    </row>
    <row r="857" ht="22.5" customHeight="1">
      <c r="A857" s="49"/>
      <c r="C857" s="192">
        <v>46195.0</v>
      </c>
      <c r="D857" s="195">
        <v>50000.0</v>
      </c>
      <c r="E857" s="69" t="s">
        <v>1404</v>
      </c>
      <c r="F857" s="69" t="s">
        <v>41</v>
      </c>
      <c r="G857" s="69" t="s">
        <v>42</v>
      </c>
      <c r="H857" s="99"/>
      <c r="I857" s="9"/>
      <c r="J857" s="9"/>
      <c r="K857" s="9"/>
      <c r="L857" s="9"/>
      <c r="M857" s="9"/>
      <c r="N857" s="9"/>
      <c r="O857" s="9"/>
    </row>
    <row r="858" ht="22.5" customHeight="1">
      <c r="A858" s="49"/>
      <c r="C858" s="192">
        <v>46195.0</v>
      </c>
      <c r="D858" s="195">
        <v>20000.0</v>
      </c>
      <c r="E858" s="69" t="s">
        <v>1405</v>
      </c>
      <c r="F858" s="69" t="s">
        <v>41</v>
      </c>
      <c r="G858" s="69" t="s">
        <v>42</v>
      </c>
      <c r="H858" s="99"/>
      <c r="I858" s="9"/>
      <c r="J858" s="9"/>
      <c r="K858" s="9"/>
      <c r="L858" s="9"/>
      <c r="M858" s="9"/>
      <c r="N858" s="9"/>
      <c r="O858" s="9"/>
    </row>
    <row r="859" ht="22.5" customHeight="1">
      <c r="A859" s="49"/>
      <c r="C859" s="192">
        <v>46195.0</v>
      </c>
      <c r="D859" s="195">
        <v>50000.0</v>
      </c>
      <c r="E859" s="69" t="s">
        <v>1406</v>
      </c>
      <c r="F859" s="69" t="s">
        <v>41</v>
      </c>
      <c r="G859" s="69" t="s">
        <v>42</v>
      </c>
      <c r="H859" s="99"/>
      <c r="I859" s="9"/>
      <c r="J859" s="9"/>
      <c r="K859" s="9"/>
      <c r="L859" s="9"/>
      <c r="M859" s="9"/>
      <c r="N859" s="9"/>
      <c r="O859" s="9"/>
    </row>
    <row r="860" ht="22.5" customHeight="1">
      <c r="A860" s="49"/>
      <c r="C860" s="192">
        <v>46195.0</v>
      </c>
      <c r="D860" s="195">
        <v>15000.0</v>
      </c>
      <c r="E860" s="69" t="s">
        <v>73</v>
      </c>
      <c r="F860" s="69" t="s">
        <v>41</v>
      </c>
      <c r="G860" s="69" t="s">
        <v>42</v>
      </c>
      <c r="H860" s="99"/>
      <c r="I860" s="9"/>
      <c r="J860" s="9"/>
      <c r="K860" s="9"/>
      <c r="L860" s="9"/>
      <c r="M860" s="9"/>
      <c r="N860" s="9"/>
      <c r="O860" s="9"/>
    </row>
    <row r="861" ht="22.5" customHeight="1">
      <c r="A861" s="49"/>
      <c r="C861" s="192">
        <v>46195.0</v>
      </c>
      <c r="D861" s="195">
        <v>20000.0</v>
      </c>
      <c r="E861" s="69" t="s">
        <v>1407</v>
      </c>
      <c r="F861" s="69" t="s">
        <v>41</v>
      </c>
      <c r="G861" s="69" t="s">
        <v>42</v>
      </c>
      <c r="H861" s="99"/>
      <c r="I861" s="9"/>
      <c r="J861" s="9"/>
      <c r="K861" s="9"/>
      <c r="L861" s="9"/>
      <c r="M861" s="9"/>
      <c r="N861" s="9"/>
      <c r="O861" s="9"/>
    </row>
    <row r="862" ht="22.5" customHeight="1">
      <c r="A862" s="49"/>
      <c r="C862" s="192">
        <v>46195.0</v>
      </c>
      <c r="D862" s="195">
        <v>25000.0</v>
      </c>
      <c r="E862" s="69" t="s">
        <v>1412</v>
      </c>
      <c r="F862" s="69" t="s">
        <v>41</v>
      </c>
      <c r="G862" s="69" t="s">
        <v>42</v>
      </c>
      <c r="H862" s="99"/>
      <c r="I862" s="9"/>
      <c r="J862" s="9"/>
      <c r="K862" s="9"/>
      <c r="L862" s="9"/>
      <c r="M862" s="9"/>
      <c r="N862" s="9"/>
      <c r="O862" s="9"/>
    </row>
    <row r="863" ht="22.5" customHeight="1">
      <c r="A863" s="49"/>
      <c r="C863" s="192">
        <v>46196.0</v>
      </c>
      <c r="D863" s="195">
        <v>35000.0</v>
      </c>
      <c r="E863" s="69" t="s">
        <v>347</v>
      </c>
      <c r="F863" s="69" t="s">
        <v>41</v>
      </c>
      <c r="G863" s="69" t="s">
        <v>42</v>
      </c>
      <c r="H863" s="99"/>
      <c r="I863" s="9"/>
      <c r="J863" s="9"/>
      <c r="K863" s="9"/>
      <c r="L863" s="9"/>
      <c r="M863" s="9"/>
      <c r="N863" s="9"/>
      <c r="O863" s="9"/>
    </row>
    <row r="864" ht="22.5" customHeight="1">
      <c r="A864" s="49"/>
      <c r="C864" s="192">
        <v>46196.0</v>
      </c>
      <c r="D864" s="195">
        <v>10000.0</v>
      </c>
      <c r="E864" s="69" t="s">
        <v>221</v>
      </c>
      <c r="F864" s="69" t="s">
        <v>41</v>
      </c>
      <c r="G864" s="69" t="s">
        <v>42</v>
      </c>
      <c r="H864" s="99"/>
      <c r="I864" s="9"/>
      <c r="J864" s="9"/>
      <c r="K864" s="9"/>
      <c r="L864" s="9"/>
      <c r="M864" s="9"/>
      <c r="N864" s="9"/>
      <c r="O864" s="9"/>
    </row>
    <row r="865" ht="22.5" customHeight="1">
      <c r="A865" s="49"/>
      <c r="C865" s="192">
        <v>46197.0</v>
      </c>
      <c r="D865" s="195">
        <v>15000.0</v>
      </c>
      <c r="E865" s="69" t="s">
        <v>945</v>
      </c>
      <c r="F865" s="69" t="s">
        <v>41</v>
      </c>
      <c r="G865" s="69" t="s">
        <v>42</v>
      </c>
      <c r="H865" s="99"/>
      <c r="I865" s="9"/>
      <c r="J865" s="9"/>
      <c r="K865" s="9"/>
      <c r="L865" s="9"/>
      <c r="M865" s="9"/>
      <c r="N865" s="9"/>
      <c r="O865" s="9"/>
    </row>
    <row r="866" ht="22.5" customHeight="1">
      <c r="A866" s="49"/>
      <c r="C866" s="192">
        <v>46197.0</v>
      </c>
      <c r="D866" s="195">
        <v>400000.0</v>
      </c>
      <c r="E866" s="69" t="s">
        <v>230</v>
      </c>
      <c r="F866" s="69" t="s">
        <v>41</v>
      </c>
      <c r="G866" s="69" t="s">
        <v>42</v>
      </c>
      <c r="H866" s="99"/>
      <c r="I866" s="9"/>
      <c r="J866" s="9"/>
      <c r="K866" s="9"/>
      <c r="L866" s="9"/>
      <c r="M866" s="9"/>
      <c r="N866" s="9"/>
      <c r="O866" s="9"/>
    </row>
    <row r="867" ht="22.5" customHeight="1">
      <c r="A867" s="49"/>
      <c r="C867" s="192">
        <v>46197.0</v>
      </c>
      <c r="D867" s="195">
        <v>25000.0</v>
      </c>
      <c r="E867" s="69" t="s">
        <v>908</v>
      </c>
      <c r="F867" s="69" t="s">
        <v>41</v>
      </c>
      <c r="G867" s="69" t="s">
        <v>42</v>
      </c>
      <c r="H867" s="99"/>
      <c r="I867" s="9"/>
      <c r="J867" s="9"/>
      <c r="K867" s="9"/>
      <c r="L867" s="9"/>
      <c r="M867" s="9"/>
      <c r="N867" s="9"/>
      <c r="O867" s="9"/>
    </row>
    <row r="868" ht="22.5" customHeight="1">
      <c r="A868" s="49"/>
      <c r="C868" s="192">
        <v>46197.0</v>
      </c>
      <c r="D868" s="195">
        <v>80000.0</v>
      </c>
      <c r="E868" s="69" t="s">
        <v>1415</v>
      </c>
      <c r="F868" s="69" t="s">
        <v>41</v>
      </c>
      <c r="G868" s="69" t="s">
        <v>42</v>
      </c>
      <c r="H868" s="99"/>
      <c r="I868" s="9"/>
      <c r="J868" s="9"/>
      <c r="K868" s="9"/>
      <c r="L868" s="9"/>
      <c r="M868" s="9"/>
      <c r="N868" s="9"/>
      <c r="O868" s="9"/>
    </row>
    <row r="869" ht="22.5" customHeight="1">
      <c r="A869" s="49"/>
      <c r="C869" s="192">
        <v>46197.0</v>
      </c>
      <c r="D869" s="195">
        <v>10000.0</v>
      </c>
      <c r="E869" s="69" t="s">
        <v>221</v>
      </c>
      <c r="F869" s="69" t="s">
        <v>41</v>
      </c>
      <c r="G869" s="69" t="s">
        <v>42</v>
      </c>
      <c r="H869" s="99"/>
      <c r="I869" s="9"/>
      <c r="J869" s="9"/>
      <c r="K869" s="9"/>
      <c r="L869" s="9"/>
      <c r="M869" s="9"/>
      <c r="N869" s="9"/>
      <c r="O869" s="9"/>
    </row>
    <row r="870" ht="22.5" customHeight="1">
      <c r="A870" s="49"/>
      <c r="C870" s="192">
        <v>46198.0</v>
      </c>
      <c r="D870" s="195">
        <v>20000.0</v>
      </c>
      <c r="E870" s="69" t="s">
        <v>404</v>
      </c>
      <c r="F870" s="69" t="s">
        <v>41</v>
      </c>
      <c r="G870" s="69" t="s">
        <v>42</v>
      </c>
      <c r="H870" s="99"/>
      <c r="I870" s="9"/>
      <c r="J870" s="9"/>
      <c r="K870" s="9"/>
      <c r="L870" s="9"/>
      <c r="M870" s="9"/>
      <c r="N870" s="9"/>
      <c r="O870" s="9"/>
    </row>
    <row r="871" ht="22.5" customHeight="1">
      <c r="A871" s="49"/>
      <c r="C871" s="192">
        <v>46198.0</v>
      </c>
      <c r="D871" s="195">
        <v>10000.0</v>
      </c>
      <c r="E871" s="69" t="s">
        <v>221</v>
      </c>
      <c r="F871" s="69" t="s">
        <v>41</v>
      </c>
      <c r="G871" s="69" t="s">
        <v>42</v>
      </c>
      <c r="H871" s="99"/>
      <c r="I871" s="9"/>
      <c r="J871" s="9"/>
      <c r="K871" s="9"/>
      <c r="L871" s="9"/>
      <c r="M871" s="9"/>
      <c r="N871" s="9"/>
      <c r="O871" s="9"/>
    </row>
    <row r="872" ht="22.5" customHeight="1">
      <c r="A872" s="49"/>
      <c r="C872" s="192">
        <v>46199.0</v>
      </c>
      <c r="D872" s="195">
        <v>25000.0</v>
      </c>
      <c r="E872" s="69" t="s">
        <v>175</v>
      </c>
      <c r="F872" s="69" t="s">
        <v>41</v>
      </c>
      <c r="G872" s="69" t="s">
        <v>42</v>
      </c>
      <c r="H872" s="99"/>
      <c r="I872" s="9"/>
      <c r="J872" s="9"/>
      <c r="K872" s="9"/>
      <c r="L872" s="9"/>
      <c r="M872" s="9"/>
      <c r="N872" s="9"/>
      <c r="O872" s="9"/>
    </row>
    <row r="873" ht="22.5" customHeight="1">
      <c r="A873" s="49"/>
      <c r="C873" s="192">
        <v>46199.0</v>
      </c>
      <c r="D873" s="195">
        <v>750000.0</v>
      </c>
      <c r="E873" s="69" t="s">
        <v>1227</v>
      </c>
      <c r="F873" s="69" t="s">
        <v>41</v>
      </c>
      <c r="G873" s="69" t="s">
        <v>87</v>
      </c>
      <c r="H873" s="99"/>
      <c r="I873" s="9"/>
      <c r="J873" s="9"/>
      <c r="K873" s="9"/>
      <c r="L873" s="9"/>
      <c r="M873" s="9"/>
      <c r="N873" s="9"/>
      <c r="O873" s="9"/>
    </row>
    <row r="874" ht="22.5" customHeight="1">
      <c r="A874" s="49"/>
      <c r="C874" s="192">
        <v>46199.0</v>
      </c>
      <c r="D874" s="195">
        <v>50000.0</v>
      </c>
      <c r="E874" s="69" t="s">
        <v>1421</v>
      </c>
      <c r="F874" s="69" t="s">
        <v>41</v>
      </c>
      <c r="G874" s="69" t="s">
        <v>42</v>
      </c>
      <c r="H874" s="99"/>
      <c r="I874" s="9"/>
      <c r="J874" s="9"/>
      <c r="K874" s="9"/>
      <c r="L874" s="9"/>
      <c r="M874" s="9"/>
      <c r="N874" s="9"/>
      <c r="O874" s="9"/>
    </row>
    <row r="875" ht="22.5" customHeight="1">
      <c r="A875" s="49"/>
      <c r="C875" s="192">
        <v>46199.0</v>
      </c>
      <c r="D875" s="195">
        <v>20000.0</v>
      </c>
      <c r="E875" s="69" t="s">
        <v>404</v>
      </c>
      <c r="F875" s="69" t="s">
        <v>41</v>
      </c>
      <c r="G875" s="69" t="s">
        <v>42</v>
      </c>
      <c r="H875" s="99"/>
      <c r="I875" s="9"/>
      <c r="J875" s="9"/>
      <c r="K875" s="9"/>
      <c r="L875" s="9"/>
      <c r="M875" s="9"/>
      <c r="N875" s="9"/>
      <c r="O875" s="9"/>
    </row>
    <row r="876" ht="22.5" customHeight="1">
      <c r="A876" s="49"/>
      <c r="C876" s="192">
        <v>46199.0</v>
      </c>
      <c r="D876" s="195">
        <v>10000.0</v>
      </c>
      <c r="E876" s="69" t="s">
        <v>221</v>
      </c>
      <c r="F876" s="69" t="s">
        <v>41</v>
      </c>
      <c r="G876" s="69" t="s">
        <v>42</v>
      </c>
      <c r="H876" s="99"/>
      <c r="I876" s="9"/>
      <c r="J876" s="9"/>
      <c r="K876" s="9"/>
      <c r="L876" s="9"/>
      <c r="M876" s="9"/>
      <c r="N876" s="9"/>
      <c r="O876" s="9"/>
    </row>
    <row r="877" ht="22.5" customHeight="1">
      <c r="A877" s="49"/>
      <c r="C877" s="192">
        <v>46199.0</v>
      </c>
      <c r="D877" s="195">
        <v>150000.0</v>
      </c>
      <c r="E877" s="69" t="s">
        <v>379</v>
      </c>
      <c r="F877" s="69" t="s">
        <v>41</v>
      </c>
      <c r="G877" s="69" t="s">
        <v>42</v>
      </c>
      <c r="H877" s="99"/>
      <c r="I877" s="9"/>
      <c r="J877" s="9"/>
      <c r="K877" s="9"/>
      <c r="L877" s="9"/>
      <c r="M877" s="9"/>
      <c r="N877" s="9"/>
      <c r="O877" s="9"/>
    </row>
    <row r="878" ht="22.5" customHeight="1">
      <c r="A878" s="49"/>
      <c r="C878" s="192">
        <v>46200.0</v>
      </c>
      <c r="D878" s="195">
        <v>50000.0</v>
      </c>
      <c r="E878" s="69" t="s">
        <v>1423</v>
      </c>
      <c r="F878" s="69" t="s">
        <v>41</v>
      </c>
      <c r="G878" s="69" t="s">
        <v>42</v>
      </c>
      <c r="H878" s="99"/>
      <c r="I878" s="9"/>
      <c r="J878" s="9"/>
      <c r="K878" s="9"/>
      <c r="L878" s="9"/>
      <c r="M878" s="9"/>
      <c r="N878" s="9"/>
      <c r="O878" s="9"/>
    </row>
    <row r="879" ht="22.5" customHeight="1">
      <c r="A879" s="49"/>
      <c r="C879" s="192">
        <v>46200.0</v>
      </c>
      <c r="D879" s="195">
        <v>2775000.0</v>
      </c>
      <c r="E879" s="69" t="s">
        <v>179</v>
      </c>
      <c r="F879" s="69" t="s">
        <v>380</v>
      </c>
      <c r="G879" s="69" t="s">
        <v>87</v>
      </c>
      <c r="H879" s="99"/>
      <c r="I879" s="9"/>
      <c r="J879" s="9"/>
    </row>
    <row r="880" ht="22.5" customHeight="1">
      <c r="A880" s="49"/>
      <c r="C880" s="192">
        <v>46200.0</v>
      </c>
      <c r="D880" s="195">
        <v>20000.0</v>
      </c>
      <c r="E880" s="69" t="s">
        <v>928</v>
      </c>
      <c r="F880" s="69" t="s">
        <v>41</v>
      </c>
      <c r="G880" s="69" t="s">
        <v>42</v>
      </c>
      <c r="H880" s="99"/>
      <c r="I880" s="9"/>
      <c r="J880" s="9"/>
    </row>
    <row r="881" ht="22.5" customHeight="1">
      <c r="A881" s="49"/>
      <c r="C881" s="192">
        <v>46200.0</v>
      </c>
      <c r="D881" s="195">
        <v>10000.0</v>
      </c>
      <c r="E881" s="69" t="s">
        <v>1426</v>
      </c>
      <c r="F881" s="69" t="s">
        <v>41</v>
      </c>
      <c r="G881" s="69" t="s">
        <v>42</v>
      </c>
      <c r="H881" s="99"/>
      <c r="I881" s="9"/>
      <c r="J881" s="9"/>
    </row>
    <row r="882" ht="22.5" customHeight="1">
      <c r="A882" s="49"/>
      <c r="C882" s="192">
        <v>46200.0</v>
      </c>
      <c r="D882" s="195">
        <v>250000.0</v>
      </c>
      <c r="E882" s="69" t="s">
        <v>338</v>
      </c>
      <c r="F882" s="69" t="s">
        <v>41</v>
      </c>
      <c r="G882" s="69" t="s">
        <v>42</v>
      </c>
      <c r="H882" s="99"/>
      <c r="I882" s="9"/>
      <c r="J882" s="9"/>
    </row>
    <row r="883" ht="22.5" customHeight="1">
      <c r="A883" s="49"/>
      <c r="C883" s="192">
        <v>46201.0</v>
      </c>
      <c r="D883" s="195">
        <v>220000.0</v>
      </c>
      <c r="E883" s="69" t="s">
        <v>302</v>
      </c>
      <c r="F883" s="69" t="s">
        <v>380</v>
      </c>
      <c r="G883" s="69" t="s">
        <v>87</v>
      </c>
      <c r="H883" s="99"/>
      <c r="I883" s="9"/>
      <c r="J883" s="9"/>
    </row>
    <row r="884" ht="22.5" customHeight="1">
      <c r="A884" s="49"/>
      <c r="C884" s="192">
        <v>46202.0</v>
      </c>
      <c r="D884" s="195">
        <v>10000.0</v>
      </c>
      <c r="E884" s="69" t="s">
        <v>945</v>
      </c>
      <c r="F884" s="69" t="s">
        <v>41</v>
      </c>
      <c r="G884" s="69" t="s">
        <v>42</v>
      </c>
      <c r="H884" s="99"/>
      <c r="I884" s="9"/>
      <c r="J884" s="9"/>
      <c r="K884" s="9"/>
      <c r="L884" s="9"/>
      <c r="M884" s="9"/>
      <c r="N884" s="9"/>
      <c r="O884" s="9"/>
    </row>
    <row r="885" ht="22.5" customHeight="1">
      <c r="A885" s="49"/>
      <c r="C885" s="192">
        <v>46202.0</v>
      </c>
      <c r="D885" s="195">
        <v>10000.0</v>
      </c>
      <c r="E885" s="69" t="s">
        <v>817</v>
      </c>
      <c r="F885" s="69" t="s">
        <v>41</v>
      </c>
      <c r="G885" s="69" t="s">
        <v>42</v>
      </c>
      <c r="H885" s="99"/>
      <c r="I885" s="9"/>
      <c r="J885" s="9"/>
      <c r="K885" s="9"/>
      <c r="L885" s="9"/>
      <c r="M885" s="9"/>
      <c r="N885" s="9"/>
      <c r="O885" s="9"/>
    </row>
    <row r="886" ht="22.5" customHeight="1">
      <c r="A886" s="49"/>
      <c r="C886" s="192">
        <v>46203.0</v>
      </c>
      <c r="D886" s="195">
        <v>10000.0</v>
      </c>
      <c r="E886" s="69" t="s">
        <v>221</v>
      </c>
      <c r="F886" s="69" t="s">
        <v>41</v>
      </c>
      <c r="G886" s="69" t="s">
        <v>42</v>
      </c>
      <c r="H886" s="99"/>
      <c r="I886" s="9"/>
      <c r="J886" s="9"/>
      <c r="K886" s="9"/>
      <c r="L886" s="9"/>
      <c r="M886" s="9"/>
      <c r="N886" s="9"/>
      <c r="O886" s="9"/>
    </row>
    <row r="887" ht="22.5" customHeight="1">
      <c r="A887" s="49"/>
      <c r="C887" s="192">
        <v>46203.0</v>
      </c>
      <c r="D887" s="195">
        <v>20000.0</v>
      </c>
      <c r="E887" s="69" t="s">
        <v>356</v>
      </c>
      <c r="F887" s="69" t="s">
        <v>41</v>
      </c>
      <c r="G887" s="69" t="s">
        <v>42</v>
      </c>
      <c r="H887" s="99"/>
      <c r="I887" s="9"/>
      <c r="J887" s="9"/>
      <c r="K887" s="9"/>
      <c r="L887" s="9"/>
      <c r="M887" s="9"/>
      <c r="N887" s="9"/>
      <c r="O887" s="9"/>
    </row>
    <row r="888" ht="22.5" customHeight="1">
      <c r="A888" s="49"/>
      <c r="C888" s="192">
        <v>46204.0</v>
      </c>
      <c r="D888" s="195">
        <v>35000.0</v>
      </c>
      <c r="E888" s="69" t="s">
        <v>339</v>
      </c>
      <c r="F888" s="69" t="s">
        <v>41</v>
      </c>
      <c r="G888" s="69" t="s">
        <v>42</v>
      </c>
      <c r="H888" s="99"/>
      <c r="I888" s="9"/>
      <c r="J888" s="9"/>
      <c r="K888" s="9"/>
      <c r="L888" s="9"/>
      <c r="M888" s="9"/>
      <c r="N888" s="9"/>
      <c r="O888" s="9"/>
    </row>
    <row r="889" ht="22.5" customHeight="1">
      <c r="A889" s="49"/>
      <c r="C889" s="192">
        <v>46204.0</v>
      </c>
      <c r="D889" s="195">
        <v>10000.0</v>
      </c>
      <c r="E889" s="69" t="s">
        <v>73</v>
      </c>
      <c r="F889" s="69" t="s">
        <v>41</v>
      </c>
      <c r="G889" s="69" t="s">
        <v>42</v>
      </c>
      <c r="H889" s="99"/>
      <c r="I889" s="9"/>
      <c r="J889" s="9"/>
      <c r="K889" s="9"/>
      <c r="L889" s="9"/>
      <c r="M889" s="9"/>
      <c r="N889" s="9"/>
      <c r="O889" s="9"/>
    </row>
    <row r="890" ht="22.5" customHeight="1">
      <c r="A890" s="49"/>
      <c r="C890" s="192">
        <v>46204.0</v>
      </c>
      <c r="D890" s="195">
        <v>15000.0</v>
      </c>
      <c r="E890" s="69" t="s">
        <v>229</v>
      </c>
      <c r="F890" s="69" t="s">
        <v>41</v>
      </c>
      <c r="G890" s="69" t="s">
        <v>42</v>
      </c>
      <c r="H890" s="99"/>
      <c r="I890" s="9"/>
      <c r="J890" s="9"/>
      <c r="K890" s="9"/>
      <c r="L890" s="9"/>
      <c r="M890" s="9"/>
      <c r="N890" s="9"/>
      <c r="O890" s="9"/>
    </row>
    <row r="891" ht="22.5" customHeight="1">
      <c r="A891" s="49"/>
      <c r="C891" s="192">
        <v>46204.0</v>
      </c>
      <c r="D891" s="195">
        <v>10000.0</v>
      </c>
      <c r="E891" s="69" t="s">
        <v>221</v>
      </c>
      <c r="F891" s="69" t="s">
        <v>41</v>
      </c>
      <c r="G891" s="69" t="s">
        <v>42</v>
      </c>
      <c r="H891" s="99"/>
      <c r="I891" s="9"/>
      <c r="J891" s="9"/>
      <c r="K891" s="9"/>
      <c r="L891" s="9"/>
      <c r="M891" s="9"/>
      <c r="N891" s="9"/>
      <c r="O891" s="9"/>
    </row>
    <row r="892" ht="22.5" customHeight="1">
      <c r="A892" s="49"/>
      <c r="C892" s="192">
        <v>46205.0</v>
      </c>
      <c r="D892" s="195">
        <v>20000.0</v>
      </c>
      <c r="E892" s="69" t="s">
        <v>1432</v>
      </c>
      <c r="F892" s="69" t="s">
        <v>41</v>
      </c>
      <c r="G892" s="69" t="s">
        <v>42</v>
      </c>
      <c r="H892" s="99"/>
      <c r="I892" s="9"/>
      <c r="J892" s="9"/>
      <c r="K892" s="9"/>
      <c r="L892" s="9"/>
      <c r="M892" s="9"/>
      <c r="N892" s="9"/>
      <c r="O892" s="9"/>
    </row>
    <row r="893" ht="22.5" customHeight="1">
      <c r="A893" s="49"/>
      <c r="C893" s="192">
        <v>46205.0</v>
      </c>
      <c r="D893" s="195">
        <v>20000.0</v>
      </c>
      <c r="E893" s="69" t="s">
        <v>194</v>
      </c>
      <c r="F893" s="69" t="s">
        <v>41</v>
      </c>
      <c r="G893" s="69" t="s">
        <v>42</v>
      </c>
      <c r="H893" s="99"/>
      <c r="I893" s="9"/>
      <c r="J893" s="9"/>
      <c r="K893" s="9"/>
      <c r="L893" s="9"/>
      <c r="M893" s="9"/>
      <c r="N893" s="9"/>
      <c r="O893" s="9"/>
    </row>
    <row r="894" ht="22.5" customHeight="1">
      <c r="A894" s="49"/>
      <c r="C894" s="192">
        <v>46205.0</v>
      </c>
      <c r="D894" s="195">
        <v>230000.0</v>
      </c>
      <c r="E894" s="69" t="s">
        <v>1117</v>
      </c>
      <c r="F894" s="69" t="s">
        <v>41</v>
      </c>
      <c r="G894" s="69" t="s">
        <v>42</v>
      </c>
      <c r="H894" s="99"/>
      <c r="I894" s="9"/>
      <c r="J894" s="9"/>
      <c r="K894" s="9"/>
      <c r="L894" s="9"/>
      <c r="M894" s="9"/>
      <c r="N894" s="9"/>
      <c r="O894" s="9"/>
    </row>
    <row r="895" ht="22.5" customHeight="1">
      <c r="A895" s="49"/>
      <c r="C895" s="192">
        <v>46205.0</v>
      </c>
      <c r="D895" s="195">
        <v>125000.0</v>
      </c>
      <c r="E895" s="69" t="s">
        <v>590</v>
      </c>
      <c r="F895" s="69" t="s">
        <v>41</v>
      </c>
      <c r="G895" s="69" t="s">
        <v>42</v>
      </c>
      <c r="H895" s="99"/>
      <c r="I895" s="9"/>
      <c r="J895" s="9"/>
      <c r="K895" s="9"/>
      <c r="L895" s="9"/>
      <c r="M895" s="9"/>
      <c r="N895" s="9"/>
      <c r="O895" s="9"/>
    </row>
    <row r="896" ht="22.5" customHeight="1">
      <c r="A896" s="49"/>
      <c r="C896" s="192">
        <v>46206.0</v>
      </c>
      <c r="D896" s="195">
        <v>50000.0</v>
      </c>
      <c r="E896" s="69" t="s">
        <v>356</v>
      </c>
      <c r="F896" s="69" t="s">
        <v>41</v>
      </c>
      <c r="G896" s="69" t="s">
        <v>42</v>
      </c>
      <c r="H896" s="99"/>
      <c r="I896" s="9"/>
      <c r="J896" s="9"/>
      <c r="K896" s="9"/>
      <c r="L896" s="9"/>
      <c r="M896" s="9"/>
      <c r="N896" s="9"/>
      <c r="O896" s="9"/>
    </row>
    <row r="897" ht="22.5" customHeight="1">
      <c r="A897" s="49"/>
      <c r="C897" s="192">
        <v>46206.0</v>
      </c>
      <c r="D897" s="195">
        <v>2020000.0</v>
      </c>
      <c r="E897" s="69" t="s">
        <v>1436</v>
      </c>
      <c r="F897" s="69" t="s">
        <v>45</v>
      </c>
      <c r="G897" s="69" t="s">
        <v>87</v>
      </c>
      <c r="H897" s="99"/>
      <c r="I897" s="9"/>
      <c r="J897" s="9"/>
      <c r="K897" s="9"/>
      <c r="L897" s="9"/>
      <c r="M897" s="9"/>
      <c r="N897" s="9"/>
      <c r="O897" s="9"/>
    </row>
    <row r="898" ht="22.5" customHeight="1">
      <c r="A898" s="49"/>
      <c r="C898" s="192">
        <v>46207.0</v>
      </c>
      <c r="D898" s="195">
        <v>2775000.0</v>
      </c>
      <c r="E898" s="69" t="s">
        <v>179</v>
      </c>
      <c r="F898" s="69" t="s">
        <v>380</v>
      </c>
      <c r="G898" s="69" t="s">
        <v>87</v>
      </c>
      <c r="H898" s="99"/>
      <c r="I898" s="9"/>
      <c r="J898" s="9"/>
    </row>
    <row r="899" ht="22.5" customHeight="1">
      <c r="A899" s="49"/>
      <c r="C899" s="192">
        <v>46207.0</v>
      </c>
      <c r="D899" s="195">
        <v>220000.0</v>
      </c>
      <c r="E899" s="69" t="s">
        <v>1438</v>
      </c>
      <c r="F899" s="69" t="s">
        <v>41</v>
      </c>
      <c r="G899" s="69" t="s">
        <v>42</v>
      </c>
      <c r="H899" s="99"/>
      <c r="I899" s="9"/>
      <c r="J899" s="9"/>
    </row>
    <row r="900" ht="22.5" customHeight="1">
      <c r="A900" s="49"/>
      <c r="C900" s="192">
        <v>46207.0</v>
      </c>
      <c r="D900" s="195">
        <v>35000.0</v>
      </c>
      <c r="E900" s="69" t="s">
        <v>1440</v>
      </c>
      <c r="F900" s="69" t="s">
        <v>41</v>
      </c>
      <c r="G900" s="69" t="s">
        <v>42</v>
      </c>
      <c r="H900" s="99"/>
      <c r="I900" s="9"/>
      <c r="J900" s="9"/>
    </row>
    <row r="901" ht="22.5" customHeight="1">
      <c r="A901" s="49"/>
      <c r="C901" s="192">
        <v>46207.0</v>
      </c>
      <c r="D901" s="195">
        <v>280000.0</v>
      </c>
      <c r="E901" s="69" t="s">
        <v>211</v>
      </c>
      <c r="F901" s="69" t="s">
        <v>45</v>
      </c>
      <c r="G901" s="69" t="s">
        <v>42</v>
      </c>
      <c r="H901" s="99"/>
      <c r="I901" s="9"/>
      <c r="J901" s="9"/>
    </row>
    <row r="902" ht="22.5" customHeight="1">
      <c r="A902" s="49"/>
      <c r="C902" s="192">
        <v>46207.0</v>
      </c>
      <c r="D902" s="195">
        <v>20000.0</v>
      </c>
      <c r="E902" s="69" t="s">
        <v>175</v>
      </c>
      <c r="F902" s="69" t="s">
        <v>41</v>
      </c>
      <c r="G902" s="69" t="s">
        <v>42</v>
      </c>
      <c r="H902" s="99"/>
      <c r="I902" s="9"/>
      <c r="J902" s="9"/>
    </row>
    <row r="903" ht="22.5" customHeight="1">
      <c r="A903" s="49"/>
      <c r="C903" s="192">
        <v>46207.0</v>
      </c>
      <c r="D903" s="195">
        <v>40000.0</v>
      </c>
      <c r="E903" s="69" t="s">
        <v>337</v>
      </c>
      <c r="F903" s="69" t="s">
        <v>41</v>
      </c>
      <c r="G903" s="69" t="s">
        <v>42</v>
      </c>
      <c r="H903" s="99"/>
      <c r="I903" s="9"/>
      <c r="J903" s="9"/>
    </row>
    <row r="904" ht="22.5" customHeight="1">
      <c r="A904" s="49"/>
      <c r="C904" s="192">
        <v>46207.0</v>
      </c>
      <c r="D904" s="195">
        <v>15000.0</v>
      </c>
      <c r="E904" s="69" t="s">
        <v>1443</v>
      </c>
      <c r="F904" s="69" t="s">
        <v>41</v>
      </c>
      <c r="G904" s="69" t="s">
        <v>42</v>
      </c>
      <c r="H904" s="99"/>
      <c r="I904" s="9"/>
      <c r="J904" s="9"/>
      <c r="K904" s="9"/>
      <c r="L904" s="9"/>
      <c r="M904" s="9"/>
      <c r="N904" s="9"/>
      <c r="O904" s="9"/>
    </row>
    <row r="905" ht="22.5" customHeight="1">
      <c r="A905" s="49"/>
      <c r="C905" s="192">
        <v>46207.0</v>
      </c>
      <c r="D905" s="195">
        <v>85000.0</v>
      </c>
      <c r="E905" s="69" t="s">
        <v>1446</v>
      </c>
      <c r="F905" s="69" t="s">
        <v>41</v>
      </c>
      <c r="G905" s="69" t="s">
        <v>42</v>
      </c>
      <c r="H905" s="99"/>
      <c r="I905" s="9"/>
      <c r="J905" s="9"/>
      <c r="K905" s="9"/>
      <c r="L905" s="9"/>
      <c r="M905" s="9"/>
      <c r="N905" s="9"/>
      <c r="O905" s="9"/>
    </row>
    <row r="906" ht="22.5" customHeight="1">
      <c r="A906" s="49"/>
      <c r="C906" s="192">
        <v>46207.0</v>
      </c>
      <c r="D906" s="195">
        <v>200000.0</v>
      </c>
      <c r="E906" s="69" t="s">
        <v>1447</v>
      </c>
      <c r="F906" s="69" t="s">
        <v>41</v>
      </c>
      <c r="G906" s="69" t="s">
        <v>42</v>
      </c>
      <c r="H906" s="99"/>
      <c r="I906" s="9"/>
      <c r="J906" s="9"/>
      <c r="K906" s="9"/>
      <c r="L906" s="9"/>
      <c r="M906" s="9"/>
      <c r="N906" s="9"/>
      <c r="O906" s="9"/>
    </row>
    <row r="907" ht="22.5" customHeight="1">
      <c r="A907" s="49"/>
      <c r="C907" s="192">
        <v>46207.0</v>
      </c>
      <c r="D907" s="195">
        <v>505000.0</v>
      </c>
      <c r="E907" s="69" t="s">
        <v>495</v>
      </c>
      <c r="F907" s="69" t="s">
        <v>45</v>
      </c>
      <c r="G907" s="69" t="s">
        <v>758</v>
      </c>
      <c r="H907" s="99"/>
      <c r="I907" s="9"/>
      <c r="J907" s="9"/>
      <c r="K907" s="9"/>
      <c r="L907" s="9"/>
      <c r="M907" s="9"/>
      <c r="N907" s="9"/>
      <c r="O907" s="9"/>
    </row>
    <row r="908" ht="22.5" customHeight="1">
      <c r="A908" s="49"/>
      <c r="C908" s="192">
        <v>46207.0</v>
      </c>
      <c r="D908" s="195">
        <v>1000000.0</v>
      </c>
      <c r="E908" s="69" t="s">
        <v>1448</v>
      </c>
      <c r="F908" s="69" t="s">
        <v>45</v>
      </c>
      <c r="G908" s="69" t="s">
        <v>87</v>
      </c>
      <c r="H908" s="99"/>
      <c r="I908" s="9"/>
      <c r="J908" s="9"/>
      <c r="K908" s="9"/>
      <c r="L908" s="9"/>
      <c r="M908" s="9"/>
      <c r="N908" s="9"/>
      <c r="O908" s="9"/>
    </row>
    <row r="909" ht="22.5" customHeight="1">
      <c r="A909" s="49"/>
      <c r="C909" s="192">
        <v>46208.0</v>
      </c>
      <c r="D909" s="195">
        <v>210000.0</v>
      </c>
      <c r="E909" s="69" t="s">
        <v>732</v>
      </c>
      <c r="F909" s="69" t="s">
        <v>380</v>
      </c>
      <c r="G909" s="69" t="s">
        <v>87</v>
      </c>
      <c r="H909" s="99"/>
      <c r="I909" s="9"/>
      <c r="J909" s="9"/>
      <c r="K909" s="9"/>
      <c r="L909" s="9"/>
      <c r="M909" s="9"/>
      <c r="N909" s="9"/>
      <c r="O909" s="9"/>
    </row>
    <row r="910" ht="22.5" customHeight="1">
      <c r="A910" s="49"/>
      <c r="C910" s="192">
        <v>46209.0</v>
      </c>
      <c r="D910" s="195">
        <v>100000.0</v>
      </c>
      <c r="E910" s="69" t="s">
        <v>1452</v>
      </c>
      <c r="F910" s="69" t="s">
        <v>41</v>
      </c>
      <c r="G910" s="69" t="s">
        <v>42</v>
      </c>
      <c r="H910" s="99"/>
      <c r="I910" s="9"/>
      <c r="J910" s="9"/>
      <c r="K910" s="9"/>
      <c r="L910" s="9"/>
      <c r="M910" s="9"/>
      <c r="N910" s="9"/>
      <c r="O910" s="9"/>
    </row>
    <row r="911" ht="22.5" customHeight="1">
      <c r="A911" s="49"/>
      <c r="C911" s="192">
        <v>46209.0</v>
      </c>
      <c r="D911" s="195">
        <v>1100000.0</v>
      </c>
      <c r="E911" s="69" t="s">
        <v>1454</v>
      </c>
      <c r="F911" s="69" t="s">
        <v>41</v>
      </c>
      <c r="G911" s="69" t="s">
        <v>42</v>
      </c>
      <c r="H911" s="99"/>
      <c r="I911" s="9"/>
      <c r="J911" s="9"/>
      <c r="K911" s="9"/>
      <c r="L911" s="9"/>
      <c r="M911" s="9"/>
      <c r="N911" s="9"/>
      <c r="O911" s="9"/>
    </row>
    <row r="912" ht="22.5" customHeight="1">
      <c r="A912" s="49"/>
      <c r="C912" s="192">
        <v>46209.0</v>
      </c>
      <c r="D912" s="195">
        <v>150000.0</v>
      </c>
      <c r="E912" s="69" t="s">
        <v>1455</v>
      </c>
      <c r="F912" s="69" t="s">
        <v>41</v>
      </c>
      <c r="G912" s="69" t="s">
        <v>42</v>
      </c>
      <c r="H912" s="99"/>
      <c r="I912" s="9"/>
      <c r="J912" s="9"/>
      <c r="K912" s="9"/>
      <c r="L912" s="9"/>
      <c r="M912" s="9"/>
      <c r="N912" s="9"/>
      <c r="O912" s="9"/>
    </row>
    <row r="913" ht="22.5" customHeight="1">
      <c r="A913" s="49"/>
      <c r="C913" s="192">
        <v>46209.0</v>
      </c>
      <c r="D913" s="195">
        <v>1000000.0</v>
      </c>
      <c r="E913" s="69" t="s">
        <v>1448</v>
      </c>
      <c r="F913" s="69" t="s">
        <v>45</v>
      </c>
      <c r="G913" s="69" t="s">
        <v>87</v>
      </c>
      <c r="H913" s="99"/>
      <c r="I913" s="9"/>
      <c r="J913" s="9"/>
      <c r="K913" s="9"/>
      <c r="L913" s="9"/>
      <c r="M913" s="9"/>
      <c r="N913" s="9"/>
      <c r="O913" s="9"/>
    </row>
    <row r="914" ht="22.5" customHeight="1">
      <c r="A914" s="49"/>
      <c r="C914" s="192">
        <v>46210.0</v>
      </c>
      <c r="D914" s="195">
        <v>80000.0</v>
      </c>
      <c r="E914" s="69" t="s">
        <v>401</v>
      </c>
      <c r="F914" s="69" t="s">
        <v>41</v>
      </c>
      <c r="G914" s="69" t="s">
        <v>42</v>
      </c>
      <c r="H914" s="99"/>
      <c r="I914" s="9"/>
      <c r="J914" s="9"/>
      <c r="K914" s="9"/>
      <c r="L914" s="9"/>
      <c r="M914" s="9"/>
      <c r="N914" s="9"/>
      <c r="O914" s="9"/>
    </row>
    <row r="915" ht="22.5" customHeight="1">
      <c r="A915" s="49"/>
      <c r="C915" s="192">
        <v>46210.0</v>
      </c>
      <c r="D915" s="195">
        <v>410000.0</v>
      </c>
      <c r="E915" s="69" t="s">
        <v>112</v>
      </c>
      <c r="F915" s="69" t="s">
        <v>41</v>
      </c>
      <c r="G915" s="69" t="s">
        <v>42</v>
      </c>
      <c r="H915" s="99"/>
      <c r="I915" s="9"/>
      <c r="J915" s="9"/>
      <c r="K915" s="9"/>
      <c r="L915" s="9"/>
      <c r="M915" s="9"/>
      <c r="N915" s="9"/>
      <c r="O915" s="9"/>
    </row>
    <row r="916" ht="22.5" customHeight="1">
      <c r="A916" s="49"/>
      <c r="C916" s="192">
        <v>46210.0</v>
      </c>
      <c r="D916" s="195">
        <v>20000.0</v>
      </c>
      <c r="E916" s="69" t="s">
        <v>1458</v>
      </c>
      <c r="F916" s="69" t="s">
        <v>41</v>
      </c>
      <c r="G916" s="69" t="s">
        <v>42</v>
      </c>
      <c r="H916" s="99"/>
      <c r="I916" s="9"/>
      <c r="J916" s="9"/>
      <c r="K916" s="9"/>
      <c r="L916" s="9"/>
      <c r="M916" s="9"/>
      <c r="N916" s="9"/>
      <c r="O916" s="9"/>
    </row>
    <row r="917" ht="22.5" customHeight="1">
      <c r="A917" s="49"/>
      <c r="C917" s="192">
        <v>46211.0</v>
      </c>
      <c r="D917" s="195">
        <v>360000.0</v>
      </c>
      <c r="E917" s="69" t="s">
        <v>1459</v>
      </c>
      <c r="F917" s="69" t="s">
        <v>41</v>
      </c>
      <c r="G917" s="69" t="s">
        <v>42</v>
      </c>
      <c r="H917" s="99"/>
      <c r="I917" s="9"/>
      <c r="J917" s="9"/>
      <c r="K917" s="9"/>
      <c r="L917" s="9"/>
      <c r="M917" s="9"/>
      <c r="N917" s="9"/>
      <c r="O917" s="9"/>
    </row>
    <row r="918" ht="22.5" customHeight="1">
      <c r="A918" s="49"/>
      <c r="C918" s="192">
        <v>46211.0</v>
      </c>
      <c r="D918" s="195">
        <v>20000.0</v>
      </c>
      <c r="E918" s="69" t="s">
        <v>352</v>
      </c>
      <c r="F918" s="69" t="s">
        <v>41</v>
      </c>
      <c r="G918" s="69" t="s">
        <v>42</v>
      </c>
      <c r="H918" s="99"/>
      <c r="I918" s="9"/>
      <c r="J918" s="9"/>
      <c r="K918" s="9"/>
      <c r="L918" s="9"/>
      <c r="M918" s="9"/>
      <c r="N918" s="9"/>
      <c r="O918" s="9"/>
    </row>
    <row r="919" ht="22.5" customHeight="1">
      <c r="A919" s="49"/>
      <c r="C919" s="192">
        <v>46212.0</v>
      </c>
      <c r="D919" s="195">
        <v>20000.0</v>
      </c>
      <c r="E919" s="69" t="s">
        <v>320</v>
      </c>
      <c r="F919" s="69" t="s">
        <v>41</v>
      </c>
      <c r="G919" s="69" t="s">
        <v>42</v>
      </c>
      <c r="H919" s="99"/>
      <c r="I919" s="9"/>
      <c r="J919" s="9"/>
      <c r="K919" s="9"/>
      <c r="L919" s="9"/>
      <c r="M919" s="9"/>
      <c r="N919" s="9"/>
      <c r="O919" s="9"/>
    </row>
    <row r="920" ht="22.5" customHeight="1">
      <c r="A920" s="49"/>
      <c r="C920" s="192">
        <v>46212.0</v>
      </c>
      <c r="D920" s="195">
        <v>10000.0</v>
      </c>
      <c r="E920" s="69" t="s">
        <v>338</v>
      </c>
      <c r="F920" s="69" t="s">
        <v>41</v>
      </c>
      <c r="G920" s="69" t="s">
        <v>42</v>
      </c>
      <c r="H920" s="99"/>
      <c r="I920" s="9"/>
      <c r="J920" s="9"/>
      <c r="K920" s="9"/>
      <c r="L920" s="9"/>
      <c r="M920" s="9"/>
      <c r="N920" s="9"/>
      <c r="O920" s="9"/>
    </row>
    <row r="921" ht="22.5" customHeight="1">
      <c r="A921" s="49"/>
      <c r="C921" s="192">
        <v>46213.0</v>
      </c>
      <c r="D921" s="195">
        <v>15000.0</v>
      </c>
      <c r="E921" s="69" t="s">
        <v>1463</v>
      </c>
      <c r="F921" s="69" t="s">
        <v>41</v>
      </c>
      <c r="G921" s="69" t="s">
        <v>42</v>
      </c>
      <c r="H921" s="99"/>
      <c r="I921" s="9"/>
      <c r="J921" s="9"/>
      <c r="K921" s="9"/>
      <c r="L921" s="9"/>
      <c r="M921" s="9"/>
      <c r="N921" s="9"/>
      <c r="O921" s="9"/>
    </row>
    <row r="922" ht="22.5" customHeight="1">
      <c r="A922" s="49"/>
      <c r="C922" s="192">
        <v>46214.0</v>
      </c>
      <c r="D922" s="195">
        <v>60000.0</v>
      </c>
      <c r="E922" s="69" t="s">
        <v>471</v>
      </c>
      <c r="F922" s="69" t="s">
        <v>45</v>
      </c>
      <c r="G922" s="69" t="s">
        <v>42</v>
      </c>
      <c r="H922" s="99"/>
      <c r="I922" s="9"/>
      <c r="J922" s="9"/>
      <c r="K922" s="9"/>
      <c r="L922" s="9"/>
      <c r="M922" s="9"/>
      <c r="N922" s="9"/>
      <c r="O922" s="9"/>
    </row>
    <row r="923" ht="22.5" customHeight="1">
      <c r="A923" s="49"/>
      <c r="C923" s="192">
        <v>46214.0</v>
      </c>
      <c r="D923" s="195">
        <v>15000.0</v>
      </c>
      <c r="E923" s="69" t="s">
        <v>945</v>
      </c>
      <c r="F923" s="69" t="s">
        <v>41</v>
      </c>
      <c r="G923" s="69" t="s">
        <v>42</v>
      </c>
      <c r="H923" s="99"/>
      <c r="I923" s="9"/>
      <c r="J923" s="9"/>
      <c r="K923" s="9"/>
      <c r="L923" s="9"/>
      <c r="M923" s="9"/>
      <c r="N923" s="9"/>
      <c r="O923" s="9"/>
    </row>
    <row r="924" ht="22.5" customHeight="1">
      <c r="A924" s="49"/>
      <c r="C924" s="192">
        <v>46214.0</v>
      </c>
      <c r="D924" s="195">
        <v>90000.0</v>
      </c>
      <c r="E924" s="69" t="s">
        <v>1464</v>
      </c>
      <c r="F924" s="69" t="s">
        <v>41</v>
      </c>
      <c r="G924" s="69" t="s">
        <v>42</v>
      </c>
      <c r="H924" s="99"/>
      <c r="I924" s="9"/>
      <c r="J924" s="9"/>
      <c r="K924" s="9"/>
      <c r="L924" s="9"/>
      <c r="M924" s="9"/>
      <c r="N924" s="9"/>
      <c r="O924" s="9"/>
    </row>
    <row r="925" ht="22.5" customHeight="1">
      <c r="A925" s="49"/>
      <c r="C925" s="192">
        <v>46214.0</v>
      </c>
      <c r="D925" s="195">
        <v>15000.0</v>
      </c>
      <c r="E925" s="69" t="s">
        <v>347</v>
      </c>
      <c r="F925" s="69" t="s">
        <v>41</v>
      </c>
      <c r="G925" s="69" t="s">
        <v>42</v>
      </c>
      <c r="H925" s="99"/>
      <c r="I925" s="9"/>
      <c r="J925" s="9"/>
      <c r="K925" s="9"/>
      <c r="L925" s="9"/>
      <c r="M925" s="9"/>
      <c r="N925" s="9"/>
      <c r="O925" s="9"/>
    </row>
    <row r="926" ht="22.5" customHeight="1">
      <c r="A926" s="49"/>
      <c r="C926" s="192">
        <v>46214.0</v>
      </c>
      <c r="D926" s="195">
        <v>1.65E7</v>
      </c>
      <c r="E926" s="69" t="s">
        <v>1367</v>
      </c>
      <c r="F926" s="69" t="s">
        <v>41</v>
      </c>
      <c r="G926" s="69" t="s">
        <v>87</v>
      </c>
      <c r="H926" s="99"/>
      <c r="I926" s="9"/>
      <c r="J926" s="9"/>
      <c r="K926" s="9"/>
      <c r="L926" s="9"/>
      <c r="M926" s="9"/>
      <c r="N926" s="9"/>
      <c r="O926" s="9"/>
    </row>
    <row r="927" ht="22.5" customHeight="1">
      <c r="A927" s="49"/>
      <c r="C927" s="192">
        <v>46214.0</v>
      </c>
      <c r="D927" s="195">
        <v>2775000.0</v>
      </c>
      <c r="E927" s="69" t="s">
        <v>179</v>
      </c>
      <c r="F927" s="69" t="s">
        <v>380</v>
      </c>
      <c r="G927" s="69" t="s">
        <v>87</v>
      </c>
      <c r="H927" s="99"/>
      <c r="I927" s="9"/>
      <c r="J927" s="9"/>
      <c r="K927" s="9"/>
      <c r="L927" s="9"/>
      <c r="M927" s="9"/>
      <c r="N927" s="9"/>
      <c r="O927" s="9"/>
    </row>
    <row r="928" ht="22.5" customHeight="1">
      <c r="A928" s="49"/>
      <c r="C928" s="192">
        <v>46215.0</v>
      </c>
      <c r="D928" s="195">
        <v>120000.0</v>
      </c>
      <c r="E928" s="69" t="s">
        <v>1467</v>
      </c>
      <c r="F928" s="69" t="s">
        <v>41</v>
      </c>
      <c r="G928" s="69" t="s">
        <v>42</v>
      </c>
      <c r="H928" s="99"/>
      <c r="I928" s="9"/>
      <c r="J928" s="9"/>
      <c r="K928" s="9"/>
      <c r="L928" s="9"/>
      <c r="M928" s="9"/>
      <c r="N928" s="9"/>
      <c r="O928" s="9"/>
    </row>
    <row r="929" ht="22.5" customHeight="1">
      <c r="A929" s="49"/>
      <c r="C929" s="192">
        <v>46215.0</v>
      </c>
      <c r="D929" s="195">
        <v>30000.0</v>
      </c>
      <c r="E929" s="69" t="s">
        <v>367</v>
      </c>
      <c r="F929" s="69" t="s">
        <v>41</v>
      </c>
      <c r="G929" s="69" t="s">
        <v>42</v>
      </c>
      <c r="H929" s="99"/>
      <c r="I929" s="9"/>
      <c r="J929" s="9"/>
      <c r="K929" s="9"/>
      <c r="L929" s="9"/>
      <c r="M929" s="9"/>
      <c r="N929" s="9"/>
      <c r="O929" s="9"/>
    </row>
    <row r="930" ht="22.5" customHeight="1">
      <c r="A930" s="49"/>
      <c r="C930" s="192">
        <v>46215.0</v>
      </c>
      <c r="D930" s="195">
        <v>50000.0</v>
      </c>
      <c r="E930" s="69" t="s">
        <v>1469</v>
      </c>
      <c r="F930" s="69" t="s">
        <v>41</v>
      </c>
      <c r="G930" s="69" t="s">
        <v>42</v>
      </c>
      <c r="H930" s="99"/>
      <c r="I930" s="9"/>
      <c r="J930" s="9"/>
      <c r="K930" s="9"/>
      <c r="L930" s="9"/>
      <c r="M930" s="9"/>
      <c r="N930" s="9"/>
      <c r="O930" s="9"/>
    </row>
    <row r="931" ht="22.5" customHeight="1">
      <c r="A931" s="49"/>
      <c r="C931" s="192">
        <v>46215.0</v>
      </c>
      <c r="D931" s="195">
        <v>25000.0</v>
      </c>
      <c r="E931" s="69" t="s">
        <v>1470</v>
      </c>
      <c r="F931" s="69" t="s">
        <v>41</v>
      </c>
      <c r="G931" s="69" t="s">
        <v>42</v>
      </c>
      <c r="H931" s="99"/>
      <c r="I931" s="9"/>
      <c r="J931" s="9"/>
      <c r="K931" s="9"/>
      <c r="L931" s="9"/>
      <c r="M931" s="9"/>
      <c r="N931" s="9"/>
      <c r="O931" s="9"/>
    </row>
    <row r="932" ht="22.5" customHeight="1">
      <c r="A932" s="49"/>
      <c r="C932" s="192">
        <v>46215.0</v>
      </c>
      <c r="D932" s="195">
        <v>340000.0</v>
      </c>
      <c r="E932" s="69" t="s">
        <v>732</v>
      </c>
      <c r="F932" s="69" t="s">
        <v>380</v>
      </c>
      <c r="G932" s="69" t="s">
        <v>87</v>
      </c>
      <c r="H932" s="99"/>
      <c r="I932" s="9"/>
      <c r="J932" s="9"/>
      <c r="K932" s="9"/>
      <c r="L932" s="9"/>
      <c r="M932" s="9"/>
      <c r="N932" s="9"/>
      <c r="O932" s="9"/>
    </row>
    <row r="933" ht="22.5" customHeight="1">
      <c r="A933" s="49"/>
      <c r="C933" s="192">
        <v>46216.0</v>
      </c>
      <c r="D933" s="195">
        <v>220000.0</v>
      </c>
      <c r="E933" s="69" t="s">
        <v>211</v>
      </c>
      <c r="F933" s="69" t="s">
        <v>45</v>
      </c>
      <c r="G933" s="69" t="s">
        <v>42</v>
      </c>
      <c r="H933" s="99"/>
      <c r="I933" s="9"/>
      <c r="J933" s="9"/>
      <c r="K933" s="9"/>
      <c r="L933" s="9"/>
      <c r="M933" s="9"/>
      <c r="N933" s="9"/>
      <c r="O933" s="9"/>
    </row>
    <row r="934" ht="22.5" customHeight="1">
      <c r="A934" s="49"/>
      <c r="C934" s="192">
        <v>46216.0</v>
      </c>
      <c r="D934" s="195">
        <v>30000.0</v>
      </c>
      <c r="E934" s="69" t="s">
        <v>1472</v>
      </c>
      <c r="F934" s="69" t="s">
        <v>45</v>
      </c>
      <c r="G934" s="69" t="s">
        <v>42</v>
      </c>
      <c r="H934" s="99"/>
      <c r="I934" s="9"/>
      <c r="J934" s="9"/>
      <c r="K934" s="9"/>
      <c r="L934" s="9"/>
      <c r="M934" s="9"/>
      <c r="N934" s="9"/>
      <c r="O934" s="9"/>
    </row>
    <row r="935" ht="22.5" customHeight="1">
      <c r="A935" s="49"/>
      <c r="C935" s="192">
        <v>46216.0</v>
      </c>
      <c r="D935" s="195">
        <v>30000.0</v>
      </c>
      <c r="E935" s="69" t="s">
        <v>175</v>
      </c>
      <c r="F935" s="69" t="s">
        <v>41</v>
      </c>
      <c r="G935" s="69" t="s">
        <v>42</v>
      </c>
      <c r="H935" s="99"/>
      <c r="I935" s="9"/>
      <c r="J935" s="9"/>
      <c r="K935" s="9"/>
      <c r="L935" s="9"/>
      <c r="M935" s="9"/>
      <c r="N935" s="9"/>
      <c r="O935" s="9"/>
    </row>
    <row r="936" ht="22.5" customHeight="1">
      <c r="A936" s="49"/>
      <c r="C936" s="192">
        <v>46217.0</v>
      </c>
      <c r="D936" s="195">
        <v>10000.0</v>
      </c>
      <c r="E936" s="69" t="s">
        <v>1476</v>
      </c>
      <c r="F936" s="69" t="s">
        <v>41</v>
      </c>
      <c r="G936" s="69" t="s">
        <v>42</v>
      </c>
      <c r="H936" s="99"/>
      <c r="I936" s="9"/>
      <c r="J936" s="9"/>
      <c r="K936" s="9"/>
      <c r="L936" s="9"/>
      <c r="M936" s="9"/>
      <c r="N936" s="9"/>
      <c r="O936" s="9"/>
    </row>
    <row r="937" ht="22.5" customHeight="1">
      <c r="A937" s="49"/>
      <c r="C937" s="192">
        <v>46217.0</v>
      </c>
      <c r="D937" s="195">
        <v>15000.0</v>
      </c>
      <c r="E937" s="69" t="s">
        <v>229</v>
      </c>
      <c r="F937" s="69" t="s">
        <v>41</v>
      </c>
      <c r="G937" s="69" t="s">
        <v>42</v>
      </c>
      <c r="H937" s="99"/>
      <c r="I937" s="9"/>
      <c r="J937" s="9"/>
      <c r="K937" s="9"/>
      <c r="L937" s="9"/>
      <c r="M937" s="9"/>
      <c r="N937" s="9"/>
      <c r="O937" s="9"/>
    </row>
    <row r="938" ht="22.5" customHeight="1">
      <c r="A938" s="49"/>
      <c r="C938" s="192">
        <v>46217.0</v>
      </c>
      <c r="D938" s="195">
        <v>40000.0</v>
      </c>
      <c r="E938" s="69" t="s">
        <v>339</v>
      </c>
      <c r="F938" s="69" t="s">
        <v>41</v>
      </c>
      <c r="G938" s="69" t="s">
        <v>42</v>
      </c>
      <c r="H938" s="99"/>
      <c r="I938" s="9"/>
      <c r="J938" s="9"/>
      <c r="K938" s="9"/>
      <c r="L938" s="9"/>
      <c r="M938" s="9"/>
      <c r="N938" s="9"/>
      <c r="O938" s="9"/>
    </row>
    <row r="939" ht="22.5" customHeight="1">
      <c r="A939" s="49"/>
      <c r="C939" s="192">
        <v>46217.0</v>
      </c>
      <c r="D939" s="195">
        <v>115000.0</v>
      </c>
      <c r="E939" s="69" t="s">
        <v>1478</v>
      </c>
      <c r="F939" s="69" t="s">
        <v>41</v>
      </c>
      <c r="G939" s="69" t="s">
        <v>42</v>
      </c>
      <c r="H939" s="99"/>
      <c r="I939" s="9"/>
      <c r="J939" s="9"/>
      <c r="K939" s="9"/>
      <c r="L939" s="9"/>
      <c r="M939" s="9"/>
      <c r="N939" s="9"/>
      <c r="O939" s="9"/>
    </row>
    <row r="940" ht="22.5" customHeight="1">
      <c r="A940" s="49"/>
      <c r="C940" s="192">
        <v>46218.0</v>
      </c>
      <c r="D940" s="195">
        <v>20000.0</v>
      </c>
      <c r="E940" s="69" t="s">
        <v>1479</v>
      </c>
      <c r="F940" s="69" t="s">
        <v>41</v>
      </c>
      <c r="G940" s="69" t="s">
        <v>42</v>
      </c>
      <c r="H940" s="99"/>
      <c r="I940" s="9"/>
      <c r="J940" s="9"/>
      <c r="K940" s="9"/>
      <c r="L940" s="9"/>
      <c r="M940" s="9"/>
      <c r="N940" s="9"/>
      <c r="O940" s="9"/>
    </row>
    <row r="941" ht="22.5" customHeight="1">
      <c r="A941" s="49"/>
      <c r="C941" s="192">
        <v>46218.0</v>
      </c>
      <c r="D941" s="195">
        <v>10000.0</v>
      </c>
      <c r="E941" s="69" t="s">
        <v>1481</v>
      </c>
      <c r="F941" s="69" t="s">
        <v>41</v>
      </c>
      <c r="G941" s="69" t="s">
        <v>42</v>
      </c>
      <c r="H941" s="99"/>
      <c r="I941" s="9"/>
      <c r="J941" s="9"/>
      <c r="K941" s="9"/>
      <c r="L941" s="9"/>
      <c r="M941" s="9"/>
      <c r="N941" s="9"/>
      <c r="O941" s="9"/>
    </row>
    <row r="942" ht="22.5" customHeight="1">
      <c r="A942" s="49"/>
      <c r="C942" s="192">
        <v>46218.0</v>
      </c>
      <c r="D942" s="195">
        <v>70000.0</v>
      </c>
      <c r="E942" s="69" t="s">
        <v>1483</v>
      </c>
      <c r="F942" s="69" t="s">
        <v>41</v>
      </c>
      <c r="G942" s="69" t="s">
        <v>42</v>
      </c>
      <c r="H942" s="99"/>
      <c r="I942" s="9"/>
      <c r="J942" s="9"/>
      <c r="K942" s="9"/>
      <c r="L942" s="9"/>
      <c r="M942" s="9"/>
      <c r="N942" s="9"/>
      <c r="O942" s="9"/>
    </row>
    <row r="943" ht="22.5" customHeight="1">
      <c r="A943" s="49"/>
      <c r="C943" s="192">
        <v>46219.0</v>
      </c>
      <c r="D943" s="195">
        <v>10000.0</v>
      </c>
      <c r="E943" s="69" t="s">
        <v>1485</v>
      </c>
      <c r="F943" s="69" t="s">
        <v>41</v>
      </c>
      <c r="G943" s="69" t="s">
        <v>42</v>
      </c>
      <c r="H943" s="99"/>
      <c r="I943" s="9"/>
      <c r="J943" s="9"/>
      <c r="K943" s="9"/>
      <c r="L943" s="9"/>
      <c r="M943" s="9"/>
      <c r="N943" s="9"/>
      <c r="O943" s="9"/>
    </row>
    <row r="944" ht="22.5" customHeight="1">
      <c r="A944" s="49"/>
      <c r="C944" s="192">
        <v>46219.0</v>
      </c>
      <c r="D944" s="195">
        <v>15000.0</v>
      </c>
      <c r="E944" s="69" t="s">
        <v>175</v>
      </c>
      <c r="F944" s="69" t="s">
        <v>41</v>
      </c>
      <c r="G944" s="69" t="s">
        <v>42</v>
      </c>
      <c r="H944" s="99"/>
      <c r="I944" s="9"/>
      <c r="J944" s="9"/>
      <c r="K944" s="9"/>
      <c r="L944" s="9"/>
      <c r="M944" s="9"/>
      <c r="N944" s="9"/>
      <c r="O944" s="9"/>
    </row>
    <row r="945" ht="22.5" customHeight="1">
      <c r="A945" s="49"/>
      <c r="C945" s="192">
        <v>46219.0</v>
      </c>
      <c r="D945" s="195">
        <v>145000.0</v>
      </c>
      <c r="E945" s="69" t="s">
        <v>1487</v>
      </c>
      <c r="F945" s="69" t="s">
        <v>41</v>
      </c>
      <c r="G945" s="69" t="s">
        <v>42</v>
      </c>
      <c r="H945" s="99"/>
      <c r="I945" s="9"/>
      <c r="J945" s="9"/>
      <c r="K945" s="9"/>
      <c r="L945" s="9"/>
      <c r="M945" s="9"/>
      <c r="N945" s="9"/>
      <c r="O945" s="9"/>
    </row>
    <row r="946" ht="22.5" customHeight="1">
      <c r="A946" s="49"/>
      <c r="C946" s="192">
        <v>46219.0</v>
      </c>
      <c r="D946" s="195">
        <v>35000.0</v>
      </c>
      <c r="E946" s="69" t="s">
        <v>175</v>
      </c>
      <c r="F946" s="69" t="s">
        <v>41</v>
      </c>
      <c r="G946" s="69" t="s">
        <v>42</v>
      </c>
      <c r="H946" s="99"/>
      <c r="I946" s="9"/>
      <c r="J946" s="9"/>
      <c r="K946" s="9"/>
      <c r="L946" s="9"/>
      <c r="M946" s="9"/>
      <c r="N946" s="9"/>
      <c r="O946" s="9"/>
    </row>
    <row r="947" ht="22.5" customHeight="1">
      <c r="A947" s="49"/>
      <c r="C947" s="192">
        <v>46219.0</v>
      </c>
      <c r="D947" s="195">
        <v>20000.0</v>
      </c>
      <c r="E947" s="69" t="s">
        <v>1491</v>
      </c>
      <c r="F947" s="69" t="s">
        <v>41</v>
      </c>
      <c r="G947" s="69" t="s">
        <v>42</v>
      </c>
      <c r="H947" s="99"/>
      <c r="I947" s="9"/>
      <c r="J947" s="9"/>
      <c r="K947" s="9"/>
      <c r="L947" s="9"/>
      <c r="M947" s="9"/>
      <c r="N947" s="9"/>
      <c r="O947" s="9"/>
    </row>
    <row r="948" ht="22.5" customHeight="1">
      <c r="A948" s="49"/>
      <c r="C948" s="192">
        <v>46219.0</v>
      </c>
      <c r="D948" s="195">
        <v>65000.0</v>
      </c>
      <c r="E948" s="69" t="s">
        <v>1492</v>
      </c>
      <c r="F948" s="69" t="s">
        <v>41</v>
      </c>
      <c r="G948" s="69" t="s">
        <v>42</v>
      </c>
      <c r="H948" s="99"/>
      <c r="I948" s="9"/>
      <c r="J948" s="9"/>
      <c r="K948" s="9"/>
      <c r="L948" s="9"/>
      <c r="M948" s="9"/>
      <c r="N948" s="9"/>
      <c r="O948" s="9"/>
    </row>
    <row r="949" ht="22.5" customHeight="1">
      <c r="A949" s="49"/>
      <c r="C949" s="192">
        <v>46220.0</v>
      </c>
      <c r="D949" s="195">
        <v>10000.0</v>
      </c>
      <c r="E949" s="69" t="s">
        <v>73</v>
      </c>
      <c r="F949" s="69" t="s">
        <v>41</v>
      </c>
      <c r="G949" s="69" t="s">
        <v>42</v>
      </c>
      <c r="H949" s="99"/>
      <c r="I949" s="9"/>
      <c r="J949" s="9"/>
      <c r="K949" s="9"/>
      <c r="L949" s="9"/>
      <c r="M949" s="9"/>
      <c r="N949" s="9"/>
      <c r="O949" s="9"/>
    </row>
    <row r="950" ht="22.5" customHeight="1">
      <c r="A950" s="49"/>
      <c r="C950" s="192">
        <v>46220.0</v>
      </c>
      <c r="D950" s="195">
        <v>10000.0</v>
      </c>
      <c r="E950" s="69" t="s">
        <v>338</v>
      </c>
      <c r="F950" s="69" t="s">
        <v>41</v>
      </c>
      <c r="G950" s="69" t="s">
        <v>42</v>
      </c>
      <c r="H950" s="99"/>
      <c r="I950" s="9"/>
      <c r="J950" s="9"/>
      <c r="K950" s="9"/>
      <c r="L950" s="9"/>
      <c r="M950" s="9"/>
      <c r="N950" s="9"/>
      <c r="O950" s="9"/>
    </row>
    <row r="951" ht="22.5" customHeight="1">
      <c r="A951" s="49"/>
      <c r="C951" s="192">
        <v>46220.0</v>
      </c>
      <c r="D951" s="195">
        <v>250000.0</v>
      </c>
      <c r="E951" s="69" t="s">
        <v>1496</v>
      </c>
      <c r="F951" s="69" t="s">
        <v>41</v>
      </c>
      <c r="G951" s="69" t="s">
        <v>42</v>
      </c>
      <c r="H951" s="99"/>
      <c r="I951" s="9"/>
      <c r="J951" s="9"/>
      <c r="K951" s="9"/>
      <c r="L951" s="9"/>
      <c r="M951" s="9"/>
      <c r="N951" s="9"/>
      <c r="O951" s="9"/>
    </row>
    <row r="952" ht="22.5" customHeight="1">
      <c r="A952" s="49"/>
      <c r="C952" s="192">
        <v>46220.0</v>
      </c>
      <c r="D952" s="195">
        <v>15000.0</v>
      </c>
      <c r="E952" s="69" t="s">
        <v>229</v>
      </c>
      <c r="F952" s="69" t="s">
        <v>41</v>
      </c>
      <c r="G952" s="69" t="s">
        <v>42</v>
      </c>
      <c r="H952" s="99"/>
      <c r="I952" s="9"/>
      <c r="J952" s="9"/>
      <c r="K952" s="9"/>
      <c r="L952" s="9"/>
      <c r="M952" s="9"/>
      <c r="N952" s="9"/>
      <c r="O952" s="9"/>
    </row>
    <row r="953" ht="22.5" customHeight="1">
      <c r="A953" s="49"/>
      <c r="C953" s="192">
        <v>46221.0</v>
      </c>
      <c r="D953" s="195">
        <v>50000.0</v>
      </c>
      <c r="E953" s="69" t="s">
        <v>471</v>
      </c>
      <c r="F953" s="69" t="s">
        <v>45</v>
      </c>
      <c r="G953" s="69" t="s">
        <v>42</v>
      </c>
      <c r="H953" s="99"/>
      <c r="I953" s="9"/>
      <c r="J953" s="9"/>
      <c r="K953" s="9"/>
      <c r="L953" s="9"/>
      <c r="M953" s="9"/>
      <c r="N953" s="9"/>
      <c r="O953" s="9"/>
    </row>
    <row r="954" ht="22.5" customHeight="1">
      <c r="A954" s="49"/>
      <c r="C954" s="192">
        <v>46221.0</v>
      </c>
      <c r="D954" s="195">
        <v>80000.0</v>
      </c>
      <c r="E954" s="69" t="s">
        <v>1498</v>
      </c>
      <c r="F954" s="69" t="s">
        <v>41</v>
      </c>
      <c r="G954" s="69" t="s">
        <v>42</v>
      </c>
      <c r="H954" s="99"/>
      <c r="I954" s="9"/>
      <c r="J954" s="9"/>
      <c r="K954" s="9"/>
      <c r="L954" s="9"/>
      <c r="M954" s="9"/>
      <c r="N954" s="9"/>
      <c r="O954" s="9"/>
    </row>
    <row r="955" ht="22.5" customHeight="1">
      <c r="A955" s="49"/>
      <c r="C955" s="192">
        <v>46221.0</v>
      </c>
      <c r="D955" s="195">
        <v>2775000.0</v>
      </c>
      <c r="E955" s="69" t="s">
        <v>179</v>
      </c>
      <c r="F955" s="69" t="s">
        <v>380</v>
      </c>
      <c r="G955" s="69" t="s">
        <v>87</v>
      </c>
      <c r="H955" s="99"/>
      <c r="I955" s="9"/>
      <c r="J955" s="9"/>
      <c r="K955" s="9"/>
      <c r="L955" s="9"/>
      <c r="M955" s="9"/>
      <c r="N955" s="9"/>
      <c r="O955" s="9"/>
    </row>
    <row r="956" ht="22.5" customHeight="1">
      <c r="A956" s="49"/>
      <c r="C956" s="192">
        <v>46225.0</v>
      </c>
      <c r="D956" s="195">
        <v>20000.0</v>
      </c>
      <c r="E956" s="69" t="s">
        <v>175</v>
      </c>
      <c r="F956" s="69" t="s">
        <v>41</v>
      </c>
      <c r="G956" s="69" t="s">
        <v>42</v>
      </c>
      <c r="H956" s="99"/>
      <c r="I956" s="9"/>
      <c r="J956" s="9"/>
      <c r="K956" s="9"/>
      <c r="L956" s="9"/>
      <c r="M956" s="9"/>
      <c r="N956" s="9"/>
      <c r="O956" s="9"/>
    </row>
    <row r="957" ht="22.5" customHeight="1">
      <c r="A957" s="49"/>
      <c r="C957" s="192">
        <v>46225.0</v>
      </c>
      <c r="D957" s="195">
        <v>80000.0</v>
      </c>
      <c r="E957" s="69" t="s">
        <v>1500</v>
      </c>
      <c r="F957" s="69" t="s">
        <v>41</v>
      </c>
      <c r="G957" s="69" t="s">
        <v>42</v>
      </c>
      <c r="H957" s="99"/>
      <c r="I957" s="9"/>
      <c r="J957" s="9"/>
      <c r="K957" s="9"/>
      <c r="L957" s="9"/>
      <c r="M957" s="9"/>
      <c r="N957" s="9"/>
      <c r="O957" s="9"/>
    </row>
    <row r="958" ht="22.5" customHeight="1">
      <c r="A958" s="49"/>
      <c r="C958" s="192">
        <v>46225.0</v>
      </c>
      <c r="D958" s="195">
        <v>20000.0</v>
      </c>
      <c r="E958" s="69" t="s">
        <v>1501</v>
      </c>
      <c r="F958" s="69" t="s">
        <v>41</v>
      </c>
      <c r="G958" s="69" t="s">
        <v>42</v>
      </c>
      <c r="H958" s="99"/>
      <c r="I958" s="9"/>
      <c r="J958" s="9"/>
      <c r="K958" s="9"/>
      <c r="L958" s="9"/>
      <c r="M958" s="9"/>
      <c r="N958" s="9"/>
      <c r="O958" s="9"/>
    </row>
    <row r="959" ht="22.5" customHeight="1">
      <c r="A959" s="49"/>
      <c r="C959" s="192">
        <v>46226.0</v>
      </c>
      <c r="D959" s="195">
        <v>10000.0</v>
      </c>
      <c r="E959" s="69" t="s">
        <v>1502</v>
      </c>
      <c r="F959" s="69" t="s">
        <v>41</v>
      </c>
      <c r="G959" s="69" t="s">
        <v>42</v>
      </c>
      <c r="H959" s="99"/>
      <c r="I959" s="9"/>
      <c r="J959" s="9"/>
      <c r="K959" s="9"/>
      <c r="L959" s="9"/>
      <c r="M959" s="9"/>
      <c r="N959" s="9"/>
      <c r="O959" s="9"/>
    </row>
    <row r="960" ht="22.5" customHeight="1">
      <c r="A960" s="49"/>
      <c r="C960" s="192">
        <v>46226.0</v>
      </c>
      <c r="D960" s="195">
        <v>20000.0</v>
      </c>
      <c r="E960" s="69" t="s">
        <v>1504</v>
      </c>
      <c r="F960" s="69" t="s">
        <v>41</v>
      </c>
      <c r="G960" s="69" t="s">
        <v>42</v>
      </c>
      <c r="H960" s="99"/>
      <c r="I960" s="9"/>
      <c r="J960" s="9"/>
      <c r="K960" s="9"/>
      <c r="L960" s="9"/>
      <c r="M960" s="9"/>
      <c r="N960" s="9"/>
      <c r="O960" s="9"/>
    </row>
    <row r="961" ht="22.5" customHeight="1">
      <c r="A961" s="49"/>
      <c r="C961" s="192">
        <v>46227.0</v>
      </c>
      <c r="D961" s="195">
        <v>580000.0</v>
      </c>
      <c r="E961" s="69" t="s">
        <v>1227</v>
      </c>
      <c r="F961" s="69" t="s">
        <v>41</v>
      </c>
      <c r="G961" s="69" t="s">
        <v>87</v>
      </c>
      <c r="H961" s="99"/>
      <c r="I961" s="9"/>
      <c r="J961" s="9"/>
      <c r="K961" s="9"/>
      <c r="L961" s="9"/>
      <c r="M961" s="9"/>
      <c r="N961" s="9"/>
      <c r="O961" s="9"/>
    </row>
    <row r="962" ht="22.5" customHeight="1">
      <c r="A962" s="49"/>
      <c r="C962" s="192">
        <v>46227.0</v>
      </c>
      <c r="D962" s="195">
        <v>503000.0</v>
      </c>
      <c r="E962" s="69" t="s">
        <v>1505</v>
      </c>
      <c r="F962" s="69" t="s">
        <v>380</v>
      </c>
      <c r="G962" s="69" t="s">
        <v>87</v>
      </c>
      <c r="H962" s="99"/>
      <c r="I962" s="9"/>
      <c r="J962" s="9"/>
      <c r="K962" s="9"/>
      <c r="L962" s="9"/>
      <c r="M962" s="9"/>
      <c r="N962" s="9"/>
      <c r="O962" s="9"/>
    </row>
    <row r="963" ht="22.5" customHeight="1">
      <c r="A963" s="49"/>
      <c r="C963" s="192">
        <v>46227.0</v>
      </c>
      <c r="D963" s="195">
        <v>20000.0</v>
      </c>
      <c r="E963" s="69" t="s">
        <v>320</v>
      </c>
      <c r="F963" s="69" t="s">
        <v>45</v>
      </c>
      <c r="G963" s="69" t="s">
        <v>42</v>
      </c>
      <c r="H963" s="99"/>
      <c r="I963" s="9"/>
      <c r="J963" s="9"/>
      <c r="K963" s="9"/>
      <c r="L963" s="9"/>
      <c r="M963" s="9"/>
      <c r="N963" s="9"/>
      <c r="O963" s="9"/>
    </row>
    <row r="964" ht="22.5" customHeight="1">
      <c r="A964" s="49"/>
      <c r="C964" s="192">
        <v>46227.0</v>
      </c>
      <c r="D964" s="195">
        <v>57000.0</v>
      </c>
      <c r="E964" s="69" t="s">
        <v>175</v>
      </c>
      <c r="F964" s="69" t="s">
        <v>41</v>
      </c>
      <c r="G964" s="69" t="s">
        <v>42</v>
      </c>
      <c r="H964" s="99"/>
      <c r="I964" s="9"/>
      <c r="J964" s="9"/>
      <c r="K964" s="9"/>
      <c r="L964" s="9"/>
      <c r="M964" s="9"/>
      <c r="N964" s="9"/>
      <c r="O964" s="9"/>
    </row>
    <row r="965" ht="22.5" customHeight="1">
      <c r="A965" s="49"/>
      <c r="C965" s="192">
        <v>46227.0</v>
      </c>
      <c r="D965" s="195">
        <v>15000.0</v>
      </c>
      <c r="E965" s="69" t="s">
        <v>1509</v>
      </c>
      <c r="F965" s="69" t="s">
        <v>41</v>
      </c>
      <c r="G965" s="69" t="s">
        <v>42</v>
      </c>
      <c r="H965" s="99"/>
      <c r="I965" s="9"/>
      <c r="J965" s="9"/>
      <c r="K965" s="9"/>
      <c r="L965" s="9"/>
      <c r="M965" s="9"/>
      <c r="N965" s="9"/>
      <c r="O965" s="9"/>
    </row>
    <row r="966" ht="22.5" customHeight="1">
      <c r="A966" s="49"/>
      <c r="C966" s="192">
        <v>46227.0</v>
      </c>
      <c r="D966" s="195">
        <v>10000.0</v>
      </c>
      <c r="E966" s="69" t="s">
        <v>1510</v>
      </c>
      <c r="F966" s="69" t="s">
        <v>41</v>
      </c>
      <c r="G966" s="69" t="s">
        <v>42</v>
      </c>
      <c r="H966" s="99"/>
      <c r="I966" s="9"/>
      <c r="J966" s="9"/>
      <c r="K966" s="9"/>
      <c r="L966" s="9"/>
      <c r="M966" s="9"/>
      <c r="N966" s="9"/>
      <c r="O966" s="9"/>
    </row>
    <row r="967" ht="22.5" customHeight="1">
      <c r="A967" s="49"/>
      <c r="C967" s="192">
        <v>46227.0</v>
      </c>
      <c r="D967" s="195">
        <v>15000.0</v>
      </c>
      <c r="E967" s="69" t="s">
        <v>1515</v>
      </c>
      <c r="F967" s="69" t="s">
        <v>41</v>
      </c>
      <c r="G967" s="69" t="s">
        <v>42</v>
      </c>
      <c r="H967" s="99"/>
      <c r="I967" s="9"/>
      <c r="J967" s="9"/>
      <c r="K967" s="9"/>
      <c r="L967" s="9"/>
      <c r="M967" s="9"/>
      <c r="N967" s="9"/>
      <c r="O967" s="9"/>
    </row>
    <row r="968" ht="22.5" customHeight="1">
      <c r="A968" s="49"/>
      <c r="C968" s="192">
        <v>46227.0</v>
      </c>
      <c r="D968" s="195">
        <v>45000.0</v>
      </c>
      <c r="E968" s="69" t="s">
        <v>1517</v>
      </c>
      <c r="F968" s="69" t="s">
        <v>41</v>
      </c>
      <c r="G968" s="69" t="s">
        <v>42</v>
      </c>
      <c r="H968" s="99"/>
      <c r="I968" s="9"/>
      <c r="J968" s="9"/>
      <c r="K968" s="9"/>
      <c r="L968" s="9"/>
      <c r="M968" s="9"/>
      <c r="N968" s="9"/>
      <c r="O968" s="9"/>
    </row>
    <row r="969" ht="22.5" customHeight="1">
      <c r="A969" s="49"/>
      <c r="C969" s="192">
        <v>46227.0</v>
      </c>
      <c r="D969" s="195">
        <v>20000.0</v>
      </c>
      <c r="E969" s="69" t="s">
        <v>175</v>
      </c>
      <c r="F969" s="69" t="s">
        <v>41</v>
      </c>
      <c r="G969" s="69" t="s">
        <v>42</v>
      </c>
      <c r="H969" s="99"/>
      <c r="I969" s="9"/>
      <c r="J969" s="9"/>
      <c r="K969" s="9"/>
      <c r="L969" s="9"/>
      <c r="M969" s="9"/>
      <c r="N969" s="9"/>
      <c r="O969" s="9"/>
    </row>
    <row r="970" ht="22.5" customHeight="1">
      <c r="A970" s="49"/>
      <c r="C970" s="192">
        <v>46227.0</v>
      </c>
      <c r="D970" s="195">
        <v>40000.0</v>
      </c>
      <c r="E970" s="69" t="s">
        <v>339</v>
      </c>
      <c r="F970" s="69" t="s">
        <v>41</v>
      </c>
      <c r="G970" s="69" t="s">
        <v>42</v>
      </c>
      <c r="H970" s="99"/>
      <c r="I970" s="9"/>
      <c r="J970" s="9"/>
      <c r="K970" s="9"/>
      <c r="L970" s="9"/>
      <c r="M970" s="9"/>
      <c r="N970" s="9"/>
      <c r="O970" s="9"/>
    </row>
    <row r="971" ht="22.5" customHeight="1">
      <c r="A971" s="49"/>
      <c r="C971" s="192">
        <v>46227.0</v>
      </c>
      <c r="D971" s="195">
        <v>10000.0</v>
      </c>
      <c r="E971" s="69" t="s">
        <v>175</v>
      </c>
      <c r="F971" s="69" t="s">
        <v>41</v>
      </c>
      <c r="G971" s="69" t="s">
        <v>42</v>
      </c>
      <c r="H971" s="99"/>
      <c r="I971" s="9"/>
      <c r="J971" s="9"/>
      <c r="K971" s="9"/>
      <c r="L971" s="9"/>
      <c r="M971" s="9"/>
      <c r="N971" s="9"/>
      <c r="O971" s="9"/>
    </row>
    <row r="972" ht="22.5" customHeight="1">
      <c r="A972" s="49"/>
      <c r="C972" s="138">
        <v>46227.0</v>
      </c>
      <c r="D972" s="195">
        <v>1530000.0</v>
      </c>
      <c r="E972" s="69" t="s">
        <v>179</v>
      </c>
      <c r="F972" s="69" t="s">
        <v>380</v>
      </c>
      <c r="G972" s="69" t="s">
        <v>87</v>
      </c>
      <c r="H972" s="99"/>
      <c r="I972" s="9"/>
      <c r="J972" s="9"/>
      <c r="K972" s="9"/>
      <c r="L972" s="9"/>
      <c r="M972" s="9"/>
      <c r="N972" s="9"/>
      <c r="O972" s="9"/>
    </row>
    <row r="973" ht="22.5" customHeight="1">
      <c r="A973" s="49"/>
      <c r="C973" s="192">
        <v>46228.0</v>
      </c>
      <c r="D973" s="195">
        <v>10000.0</v>
      </c>
      <c r="E973" s="69" t="s">
        <v>945</v>
      </c>
      <c r="F973" s="69" t="s">
        <v>41</v>
      </c>
      <c r="G973" s="69" t="s">
        <v>42</v>
      </c>
      <c r="H973" s="99"/>
      <c r="I973" s="9"/>
      <c r="J973" s="9"/>
      <c r="K973" s="9"/>
      <c r="L973" s="9"/>
      <c r="M973" s="9"/>
      <c r="N973" s="9"/>
      <c r="O973" s="9"/>
    </row>
    <row r="974" ht="22.5" customHeight="1">
      <c r="A974" s="49"/>
      <c r="C974" s="192">
        <v>46228.0</v>
      </c>
      <c r="D974" s="195">
        <v>225000.0</v>
      </c>
      <c r="E974" s="69" t="s">
        <v>211</v>
      </c>
      <c r="F974" s="69" t="s">
        <v>45</v>
      </c>
      <c r="G974" s="69" t="s">
        <v>42</v>
      </c>
      <c r="H974" s="99"/>
      <c r="I974" s="9"/>
      <c r="J974" s="9"/>
      <c r="K974" s="9"/>
      <c r="L974" s="9"/>
      <c r="M974" s="9"/>
      <c r="N974" s="9"/>
      <c r="O974" s="9"/>
    </row>
    <row r="975" ht="22.5" customHeight="1">
      <c r="A975" s="49"/>
      <c r="C975" s="192">
        <v>46228.0</v>
      </c>
      <c r="D975" s="195">
        <v>10000.0</v>
      </c>
      <c r="E975" s="69" t="s">
        <v>1522</v>
      </c>
      <c r="F975" s="69" t="s">
        <v>41</v>
      </c>
      <c r="G975" s="69" t="s">
        <v>42</v>
      </c>
      <c r="H975" s="99"/>
      <c r="I975" s="9"/>
      <c r="J975" s="9"/>
      <c r="K975" s="9"/>
      <c r="L975" s="9"/>
      <c r="M975" s="9"/>
      <c r="N975" s="9"/>
      <c r="O975" s="9"/>
    </row>
    <row r="976" ht="22.5" customHeight="1">
      <c r="A976" s="49"/>
      <c r="C976" s="192">
        <v>46228.0</v>
      </c>
      <c r="D976" s="195">
        <v>22000.0</v>
      </c>
      <c r="E976" s="69" t="s">
        <v>337</v>
      </c>
      <c r="F976" s="69" t="s">
        <v>41</v>
      </c>
      <c r="G976" s="69" t="s">
        <v>42</v>
      </c>
      <c r="H976" s="99"/>
      <c r="I976" s="9"/>
      <c r="J976" s="9"/>
      <c r="K976" s="9"/>
      <c r="L976" s="9"/>
      <c r="M976" s="9"/>
      <c r="N976" s="9"/>
      <c r="O976" s="9"/>
    </row>
    <row r="977" ht="22.5" customHeight="1">
      <c r="A977" s="49"/>
      <c r="C977" s="192">
        <v>46228.0</v>
      </c>
      <c r="D977" s="195">
        <v>28000.0</v>
      </c>
      <c r="E977" s="69" t="s">
        <v>356</v>
      </c>
      <c r="F977" s="69" t="s">
        <v>41</v>
      </c>
      <c r="G977" s="69" t="s">
        <v>42</v>
      </c>
      <c r="H977" s="99"/>
      <c r="I977" s="9"/>
      <c r="J977" s="9"/>
      <c r="K977" s="9"/>
      <c r="L977" s="9"/>
      <c r="M977" s="9"/>
      <c r="N977" s="9"/>
      <c r="O977" s="9"/>
    </row>
    <row r="978" ht="22.5" customHeight="1">
      <c r="A978" s="49"/>
      <c r="C978" s="192">
        <v>46228.0</v>
      </c>
      <c r="D978" s="195">
        <v>10000.0</v>
      </c>
      <c r="E978" s="69" t="s">
        <v>338</v>
      </c>
      <c r="F978" s="69" t="s">
        <v>41</v>
      </c>
      <c r="G978" s="69" t="s">
        <v>42</v>
      </c>
      <c r="H978" s="99"/>
      <c r="I978" s="9"/>
      <c r="J978" s="9"/>
      <c r="K978" s="9"/>
      <c r="L978" s="9"/>
      <c r="M978" s="9"/>
      <c r="N978" s="9"/>
      <c r="O978" s="9"/>
    </row>
    <row r="979" ht="22.5" customHeight="1">
      <c r="A979" s="49"/>
      <c r="C979" s="192">
        <v>46230.0</v>
      </c>
      <c r="D979" s="195">
        <v>5000.0</v>
      </c>
      <c r="E979" s="69" t="s">
        <v>1230</v>
      </c>
      <c r="F979" s="69" t="s">
        <v>41</v>
      </c>
      <c r="G979" s="69" t="s">
        <v>42</v>
      </c>
      <c r="H979" s="99"/>
      <c r="I979" s="9"/>
      <c r="J979" s="9"/>
      <c r="K979" s="9"/>
      <c r="L979" s="9"/>
      <c r="M979" s="9"/>
      <c r="N979" s="9"/>
      <c r="O979" s="9"/>
    </row>
    <row r="980" ht="22.5" customHeight="1">
      <c r="A980" s="49"/>
      <c r="C980" s="192">
        <v>46230.0</v>
      </c>
      <c r="D980" s="195">
        <v>10000.0</v>
      </c>
      <c r="E980" s="69" t="s">
        <v>229</v>
      </c>
      <c r="F980" s="69" t="s">
        <v>41</v>
      </c>
      <c r="G980" s="69" t="s">
        <v>42</v>
      </c>
      <c r="H980" s="99"/>
      <c r="I980" s="9"/>
      <c r="J980" s="9"/>
      <c r="K980" s="9"/>
      <c r="L980" s="9"/>
      <c r="M980" s="9"/>
      <c r="N980" s="9"/>
      <c r="O980" s="9"/>
    </row>
    <row r="981" ht="22.5" customHeight="1">
      <c r="A981" s="49"/>
      <c r="C981" s="192">
        <v>46230.0</v>
      </c>
      <c r="D981" s="195">
        <v>10000.0</v>
      </c>
      <c r="E981" s="69" t="s">
        <v>338</v>
      </c>
      <c r="F981" s="69" t="s">
        <v>41</v>
      </c>
      <c r="G981" s="69" t="s">
        <v>42</v>
      </c>
      <c r="H981" s="99"/>
      <c r="I981" s="9"/>
      <c r="J981" s="9"/>
      <c r="K981" s="9"/>
      <c r="L981" s="9"/>
      <c r="M981" s="9"/>
      <c r="N981" s="9"/>
      <c r="O981" s="9"/>
    </row>
    <row r="982" ht="22.5" customHeight="1">
      <c r="A982" s="49"/>
      <c r="C982" s="192">
        <v>46230.0</v>
      </c>
      <c r="D982" s="195">
        <v>20000.0</v>
      </c>
      <c r="E982" s="69" t="s">
        <v>356</v>
      </c>
      <c r="F982" s="69" t="s">
        <v>41</v>
      </c>
      <c r="G982" s="69" t="s">
        <v>42</v>
      </c>
      <c r="H982" s="99"/>
      <c r="I982" s="9"/>
      <c r="J982" s="9"/>
      <c r="K982" s="9"/>
      <c r="L982" s="9"/>
      <c r="M982" s="9"/>
      <c r="N982" s="9"/>
      <c r="O982" s="9"/>
    </row>
    <row r="983" ht="22.5" customHeight="1">
      <c r="A983" s="49"/>
      <c r="C983" s="192">
        <v>46230.0</v>
      </c>
      <c r="D983" s="195">
        <v>235000.0</v>
      </c>
      <c r="E983" s="69" t="s">
        <v>356</v>
      </c>
      <c r="F983" s="69" t="s">
        <v>41</v>
      </c>
      <c r="G983" s="69" t="s">
        <v>42</v>
      </c>
      <c r="H983" s="99"/>
      <c r="I983" s="9"/>
      <c r="J983" s="9"/>
      <c r="K983" s="9"/>
      <c r="L983" s="9"/>
      <c r="M983" s="9"/>
      <c r="N983" s="9"/>
      <c r="O983" s="9"/>
    </row>
    <row r="984" ht="22.5" customHeight="1">
      <c r="A984" s="49"/>
      <c r="C984" s="192">
        <v>46231.0</v>
      </c>
      <c r="D984" s="195">
        <v>650000.0</v>
      </c>
      <c r="E984" s="69" t="s">
        <v>694</v>
      </c>
      <c r="F984" s="69" t="s">
        <v>45</v>
      </c>
      <c r="G984" s="69" t="s">
        <v>42</v>
      </c>
      <c r="H984" s="99"/>
      <c r="I984" s="9"/>
      <c r="J984" s="9"/>
      <c r="K984" s="9"/>
      <c r="L984" s="9"/>
      <c r="M984" s="9"/>
      <c r="N984" s="9"/>
      <c r="O984" s="9"/>
    </row>
    <row r="985" ht="22.5" customHeight="1">
      <c r="A985" s="49"/>
      <c r="C985" s="192">
        <v>46231.0</v>
      </c>
      <c r="D985" s="195">
        <v>20000.0</v>
      </c>
      <c r="E985" s="69" t="s">
        <v>1532</v>
      </c>
      <c r="F985" s="69" t="s">
        <v>45</v>
      </c>
      <c r="G985" s="69" t="s">
        <v>42</v>
      </c>
      <c r="H985" s="99"/>
      <c r="I985" s="9"/>
      <c r="J985" s="9"/>
      <c r="K985" s="9"/>
      <c r="L985" s="9"/>
      <c r="M985" s="9"/>
      <c r="N985" s="9"/>
      <c r="O985" s="9"/>
    </row>
    <row r="986" ht="22.5" customHeight="1">
      <c r="A986" s="49"/>
      <c r="C986" s="192">
        <v>46231.0</v>
      </c>
      <c r="D986" s="195">
        <v>170000.0</v>
      </c>
      <c r="E986" s="69" t="s">
        <v>1534</v>
      </c>
      <c r="F986" s="69" t="s">
        <v>41</v>
      </c>
      <c r="G986" s="69" t="s">
        <v>42</v>
      </c>
      <c r="H986" s="99"/>
      <c r="I986" s="9"/>
      <c r="J986" s="9"/>
      <c r="K986" s="9"/>
      <c r="L986" s="9"/>
      <c r="M986" s="9"/>
      <c r="N986" s="9"/>
      <c r="O986" s="9"/>
    </row>
    <row r="987" ht="22.5" customHeight="1">
      <c r="A987" s="49"/>
      <c r="C987" s="192">
        <v>46231.0</v>
      </c>
      <c r="D987" s="195">
        <v>20000.0</v>
      </c>
      <c r="E987" s="69" t="s">
        <v>338</v>
      </c>
      <c r="F987" s="69" t="s">
        <v>41</v>
      </c>
      <c r="G987" s="69" t="s">
        <v>42</v>
      </c>
      <c r="H987" s="99"/>
      <c r="I987" s="9"/>
      <c r="J987" s="9"/>
      <c r="K987" s="9"/>
      <c r="L987" s="9"/>
      <c r="M987" s="9"/>
      <c r="N987" s="9"/>
      <c r="O987" s="9"/>
    </row>
    <row r="988" ht="22.5" customHeight="1">
      <c r="A988" s="49"/>
      <c r="C988" s="192">
        <v>46232.0</v>
      </c>
      <c r="D988" s="195">
        <v>30000.0</v>
      </c>
      <c r="E988" s="69" t="s">
        <v>338</v>
      </c>
      <c r="F988" s="69" t="s">
        <v>41</v>
      </c>
      <c r="G988" s="69" t="s">
        <v>42</v>
      </c>
      <c r="H988" s="99"/>
      <c r="I988" s="9"/>
      <c r="J988" s="9"/>
      <c r="K988" s="9"/>
      <c r="L988" s="9"/>
      <c r="M988" s="9"/>
      <c r="N988" s="9"/>
      <c r="O988" s="9"/>
    </row>
    <row r="989" ht="22.5" customHeight="1">
      <c r="A989" s="49"/>
      <c r="C989" s="192">
        <v>46232.0</v>
      </c>
      <c r="D989" s="195">
        <v>15000.0</v>
      </c>
      <c r="E989" s="69" t="s">
        <v>1537</v>
      </c>
      <c r="F989" s="69" t="s">
        <v>41</v>
      </c>
      <c r="G989" s="69" t="s">
        <v>42</v>
      </c>
      <c r="H989" s="99"/>
      <c r="I989" s="9"/>
      <c r="J989" s="9"/>
      <c r="K989" s="9"/>
      <c r="L989" s="9"/>
      <c r="M989" s="9"/>
      <c r="N989" s="9"/>
      <c r="O989" s="9"/>
    </row>
    <row r="990" ht="22.5" customHeight="1">
      <c r="A990" s="49"/>
      <c r="C990" s="192">
        <v>46234.0</v>
      </c>
      <c r="D990" s="195">
        <v>5000.0</v>
      </c>
      <c r="E990" s="69" t="s">
        <v>945</v>
      </c>
      <c r="F990" s="69" t="s">
        <v>41</v>
      </c>
      <c r="G990" s="69" t="s">
        <v>42</v>
      </c>
      <c r="H990" s="99"/>
      <c r="I990" s="9"/>
      <c r="J990" s="9"/>
      <c r="K990" s="9"/>
      <c r="L990" s="9"/>
      <c r="M990" s="9"/>
      <c r="N990" s="9"/>
      <c r="O990" s="9"/>
    </row>
    <row r="991" ht="22.5" customHeight="1">
      <c r="A991" s="49"/>
      <c r="C991" s="192">
        <v>46234.0</v>
      </c>
      <c r="D991" s="195">
        <v>65000.0</v>
      </c>
      <c r="E991" s="69" t="s">
        <v>1539</v>
      </c>
      <c r="F991" s="69" t="s">
        <v>41</v>
      </c>
      <c r="G991" s="69" t="s">
        <v>42</v>
      </c>
      <c r="H991" s="99"/>
      <c r="I991" s="9"/>
      <c r="J991" s="9"/>
      <c r="K991" s="9"/>
      <c r="L991" s="9"/>
      <c r="M991" s="9"/>
      <c r="N991" s="9"/>
      <c r="O991" s="9"/>
    </row>
    <row r="992" ht="22.5" customHeight="1">
      <c r="A992" s="49"/>
      <c r="C992" s="192">
        <v>46234.0</v>
      </c>
      <c r="D992" s="195">
        <v>20000.0</v>
      </c>
      <c r="E992" s="69" t="s">
        <v>338</v>
      </c>
      <c r="F992" s="69" t="s">
        <v>41</v>
      </c>
      <c r="G992" s="69" t="s">
        <v>42</v>
      </c>
      <c r="H992" s="99"/>
      <c r="I992" s="9"/>
      <c r="J992" s="9"/>
      <c r="K992" s="9"/>
      <c r="L992" s="9"/>
      <c r="M992" s="9"/>
      <c r="N992" s="9"/>
      <c r="O992" s="9"/>
    </row>
    <row r="993" ht="22.5" customHeight="1">
      <c r="A993" s="49"/>
      <c r="C993" s="192">
        <v>46234.0</v>
      </c>
      <c r="D993" s="195">
        <v>60000.0</v>
      </c>
      <c r="E993" s="69" t="s">
        <v>1542</v>
      </c>
      <c r="F993" s="69" t="s">
        <v>41</v>
      </c>
      <c r="G993" s="69" t="s">
        <v>42</v>
      </c>
      <c r="H993" s="99"/>
      <c r="I993" s="9"/>
      <c r="J993" s="9"/>
      <c r="K993" s="9"/>
      <c r="L993" s="9"/>
      <c r="M993" s="9"/>
      <c r="N993" s="9"/>
      <c r="O993" s="9"/>
    </row>
    <row r="994" ht="22.5" customHeight="1">
      <c r="A994" s="49"/>
      <c r="C994" s="192">
        <v>46235.0</v>
      </c>
      <c r="D994" s="195">
        <v>25000.0</v>
      </c>
      <c r="E994" s="140" t="s">
        <v>1544</v>
      </c>
      <c r="F994" s="140" t="s">
        <v>41</v>
      </c>
      <c r="G994" s="140" t="s">
        <v>42</v>
      </c>
      <c r="H994" s="99"/>
      <c r="I994" s="9"/>
      <c r="J994" s="9"/>
      <c r="K994" s="9"/>
      <c r="L994" s="9"/>
      <c r="M994" s="9"/>
      <c r="N994" s="9"/>
      <c r="O994" s="9"/>
    </row>
    <row r="995" ht="22.5" customHeight="1">
      <c r="A995" s="49"/>
      <c r="C995" s="192">
        <v>46235.0</v>
      </c>
      <c r="D995" s="195">
        <v>5000.0</v>
      </c>
      <c r="E995" s="140" t="s">
        <v>1546</v>
      </c>
      <c r="F995" s="69" t="s">
        <v>41</v>
      </c>
      <c r="G995" s="69" t="s">
        <v>42</v>
      </c>
      <c r="H995" s="99"/>
      <c r="I995" s="9"/>
      <c r="J995" s="9"/>
      <c r="K995" s="9"/>
      <c r="L995" s="9"/>
      <c r="M995" s="9"/>
      <c r="N995" s="9"/>
      <c r="O995" s="9"/>
    </row>
    <row r="996" ht="22.5" customHeight="1">
      <c r="A996" s="49"/>
      <c r="C996" s="192">
        <v>46235.0</v>
      </c>
      <c r="D996" s="195">
        <v>140000.0</v>
      </c>
      <c r="E996" s="140" t="s">
        <v>211</v>
      </c>
      <c r="F996" s="140" t="s">
        <v>41</v>
      </c>
      <c r="G996" s="140" t="s">
        <v>42</v>
      </c>
      <c r="H996" s="99"/>
      <c r="I996" s="9"/>
      <c r="J996" s="9"/>
      <c r="K996" s="9"/>
      <c r="L996" s="9"/>
      <c r="M996" s="9"/>
      <c r="N996" s="9"/>
      <c r="O996" s="9"/>
    </row>
    <row r="997" ht="22.5" customHeight="1">
      <c r="A997" s="49"/>
      <c r="C997" s="192">
        <v>46235.0</v>
      </c>
      <c r="D997" s="195">
        <v>10000.0</v>
      </c>
      <c r="E997" s="69" t="s">
        <v>338</v>
      </c>
      <c r="F997" s="69" t="s">
        <v>41</v>
      </c>
      <c r="G997" s="69" t="s">
        <v>42</v>
      </c>
      <c r="H997" s="99"/>
      <c r="I997" s="9"/>
      <c r="J997" s="9"/>
      <c r="K997" s="9"/>
      <c r="L997" s="9"/>
      <c r="M997" s="9"/>
      <c r="N997" s="9"/>
      <c r="O997" s="9"/>
    </row>
    <row r="998" ht="22.5" customHeight="1">
      <c r="A998" s="49"/>
      <c r="C998" s="192">
        <v>46237.0</v>
      </c>
      <c r="D998" s="195">
        <v>5000.0</v>
      </c>
      <c r="E998" s="69" t="s">
        <v>945</v>
      </c>
      <c r="F998" s="69" t="s">
        <v>41</v>
      </c>
      <c r="G998" s="69" t="s">
        <v>42</v>
      </c>
      <c r="H998" s="99"/>
      <c r="I998" s="9"/>
      <c r="J998" s="9"/>
      <c r="K998" s="9"/>
      <c r="L998" s="9"/>
      <c r="M998" s="9"/>
      <c r="N998" s="9"/>
      <c r="O998" s="9"/>
    </row>
    <row r="999" ht="22.5" customHeight="1">
      <c r="A999" s="49"/>
      <c r="C999" s="192">
        <v>46237.0</v>
      </c>
      <c r="D999" s="195">
        <v>50000.0</v>
      </c>
      <c r="E999" s="69" t="s">
        <v>471</v>
      </c>
      <c r="F999" s="69" t="s">
        <v>41</v>
      </c>
      <c r="G999" s="69" t="s">
        <v>42</v>
      </c>
      <c r="H999" s="99"/>
      <c r="I999" s="9"/>
      <c r="J999" s="9"/>
      <c r="K999" s="9"/>
      <c r="L999" s="9"/>
      <c r="M999" s="9"/>
      <c r="N999" s="9"/>
      <c r="O999" s="9"/>
    </row>
    <row r="1000" ht="22.5" customHeight="1">
      <c r="A1000" s="49"/>
      <c r="C1000" s="192">
        <v>46237.0</v>
      </c>
      <c r="D1000" s="195">
        <v>10000.0</v>
      </c>
      <c r="E1000" s="69" t="s">
        <v>1537</v>
      </c>
      <c r="F1000" s="69" t="s">
        <v>41</v>
      </c>
      <c r="G1000" s="69" t="s">
        <v>42</v>
      </c>
      <c r="H1000" s="99"/>
      <c r="I1000" s="9"/>
      <c r="J1000" s="9"/>
      <c r="K1000" s="9"/>
      <c r="L1000" s="9"/>
      <c r="M1000" s="9"/>
      <c r="N1000" s="9"/>
      <c r="O1000" s="9"/>
    </row>
    <row r="1001" ht="22.5" customHeight="1">
      <c r="A1001" s="49"/>
      <c r="C1001" s="192">
        <v>46237.0</v>
      </c>
      <c r="D1001" s="195">
        <v>17000.0</v>
      </c>
      <c r="E1001" s="69" t="s">
        <v>337</v>
      </c>
      <c r="F1001" s="69" t="s">
        <v>41</v>
      </c>
      <c r="G1001" s="69" t="s">
        <v>42</v>
      </c>
      <c r="H1001" s="99"/>
      <c r="I1001" s="9"/>
      <c r="J1001" s="9"/>
      <c r="K1001" s="9"/>
      <c r="L1001" s="9"/>
      <c r="M1001" s="9"/>
      <c r="N1001" s="9"/>
      <c r="O1001" s="9"/>
    </row>
    <row r="1002" ht="22.5" customHeight="1">
      <c r="A1002" s="49"/>
      <c r="C1002" s="192">
        <v>46237.0</v>
      </c>
      <c r="D1002" s="195">
        <v>12000.0</v>
      </c>
      <c r="E1002" s="69" t="s">
        <v>1551</v>
      </c>
      <c r="F1002" s="69" t="s">
        <v>41</v>
      </c>
      <c r="G1002" s="69" t="s">
        <v>42</v>
      </c>
      <c r="H1002" s="99"/>
      <c r="I1002" s="9"/>
      <c r="J1002" s="9"/>
      <c r="K1002" s="9"/>
      <c r="L1002" s="9"/>
      <c r="M1002" s="9"/>
      <c r="N1002" s="9"/>
      <c r="O1002" s="9"/>
    </row>
    <row r="1003" ht="22.5" customHeight="1">
      <c r="A1003" s="49"/>
      <c r="C1003" s="192">
        <v>46238.0</v>
      </c>
      <c r="D1003" s="195">
        <v>20000.0</v>
      </c>
      <c r="E1003" s="69" t="s">
        <v>404</v>
      </c>
      <c r="F1003" s="69" t="s">
        <v>41</v>
      </c>
      <c r="G1003" s="69" t="s">
        <v>42</v>
      </c>
      <c r="H1003" s="99"/>
      <c r="I1003" s="9"/>
      <c r="J1003" s="9"/>
      <c r="K1003" s="9"/>
      <c r="L1003" s="9"/>
      <c r="M1003" s="9"/>
      <c r="N1003" s="9"/>
      <c r="O1003" s="9"/>
    </row>
    <row r="1004" ht="22.5" customHeight="1">
      <c r="A1004" s="49"/>
      <c r="C1004" s="192">
        <v>46238.0</v>
      </c>
      <c r="D1004" s="195">
        <v>10000.0</v>
      </c>
      <c r="E1004" s="69" t="s">
        <v>945</v>
      </c>
      <c r="F1004" s="69" t="s">
        <v>41</v>
      </c>
      <c r="G1004" s="69" t="s">
        <v>42</v>
      </c>
      <c r="H1004" s="99"/>
      <c r="I1004" s="9"/>
      <c r="J1004" s="9"/>
      <c r="K1004" s="9"/>
      <c r="L1004" s="9"/>
      <c r="M1004" s="9"/>
      <c r="N1004" s="9"/>
      <c r="O1004" s="9"/>
    </row>
    <row r="1005" ht="22.5" customHeight="1">
      <c r="A1005" s="49"/>
      <c r="C1005" s="192">
        <v>46238.0</v>
      </c>
      <c r="D1005" s="195">
        <v>60000.0</v>
      </c>
      <c r="E1005" s="69" t="s">
        <v>1552</v>
      </c>
      <c r="F1005" s="69" t="s">
        <v>41</v>
      </c>
      <c r="G1005" s="69" t="s">
        <v>42</v>
      </c>
      <c r="H1005" s="99"/>
      <c r="I1005" s="9"/>
      <c r="J1005" s="9"/>
      <c r="K1005" s="9"/>
      <c r="L1005" s="9"/>
      <c r="M1005" s="9"/>
      <c r="N1005" s="9"/>
      <c r="O1005" s="9"/>
    </row>
    <row r="1006" ht="22.5" customHeight="1">
      <c r="A1006" s="49"/>
      <c r="C1006" s="236">
        <v>46238.0</v>
      </c>
      <c r="D1006" s="237">
        <v>12000.0</v>
      </c>
      <c r="E1006" s="238" t="s">
        <v>347</v>
      </c>
      <c r="F1006" s="238" t="s">
        <v>41</v>
      </c>
      <c r="G1006" s="239" t="s">
        <v>42</v>
      </c>
      <c r="H1006" s="99"/>
      <c r="I1006" s="9"/>
      <c r="J1006" s="9"/>
      <c r="K1006" s="9"/>
      <c r="L1006" s="9"/>
      <c r="M1006" s="9"/>
      <c r="N1006" s="9"/>
      <c r="O1006" s="9"/>
    </row>
    <row r="1007" ht="22.5" customHeight="1">
      <c r="A1007" s="49"/>
      <c r="C1007" s="192">
        <v>46238.0</v>
      </c>
      <c r="D1007" s="195">
        <v>3000.0</v>
      </c>
      <c r="E1007" s="238" t="s">
        <v>1537</v>
      </c>
      <c r="F1007" s="238" t="s">
        <v>41</v>
      </c>
      <c r="G1007" s="239" t="s">
        <v>42</v>
      </c>
      <c r="H1007" s="99"/>
      <c r="I1007" s="9"/>
      <c r="J1007" s="9"/>
      <c r="K1007" s="9"/>
      <c r="L1007" s="9"/>
      <c r="M1007" s="9"/>
      <c r="N1007" s="9"/>
      <c r="O1007" s="9"/>
    </row>
    <row r="1008" ht="22.5" customHeight="1">
      <c r="A1008" s="49"/>
      <c r="C1008" s="192">
        <v>46238.0</v>
      </c>
      <c r="D1008" s="195">
        <v>30000.0</v>
      </c>
      <c r="E1008" s="69" t="s">
        <v>404</v>
      </c>
      <c r="F1008" s="69" t="s">
        <v>41</v>
      </c>
      <c r="G1008" s="69" t="s">
        <v>42</v>
      </c>
      <c r="H1008" s="99"/>
      <c r="I1008" s="9"/>
      <c r="J1008" s="9"/>
      <c r="K1008" s="9"/>
      <c r="L1008" s="9"/>
      <c r="M1008" s="9"/>
      <c r="N1008" s="9"/>
      <c r="O1008" s="9"/>
    </row>
    <row r="1009" ht="22.5" customHeight="1">
      <c r="A1009" s="49"/>
      <c r="C1009" s="192">
        <v>46238.0</v>
      </c>
      <c r="D1009" s="195">
        <v>53000.0</v>
      </c>
      <c r="E1009" s="69" t="s">
        <v>1558</v>
      </c>
      <c r="F1009" s="69" t="s">
        <v>41</v>
      </c>
      <c r="G1009" s="69" t="s">
        <v>42</v>
      </c>
      <c r="H1009" s="99"/>
      <c r="I1009" s="9"/>
      <c r="J1009" s="9"/>
      <c r="K1009" s="9"/>
      <c r="L1009" s="9"/>
      <c r="M1009" s="9"/>
      <c r="N1009" s="9"/>
      <c r="O1009" s="9"/>
    </row>
    <row r="1010" ht="22.5" customHeight="1">
      <c r="A1010" s="49"/>
      <c r="C1010" s="192">
        <v>46238.0</v>
      </c>
      <c r="D1010" s="195">
        <v>32000.0</v>
      </c>
      <c r="E1010" s="69" t="s">
        <v>1559</v>
      </c>
      <c r="F1010" s="69" t="s">
        <v>41</v>
      </c>
      <c r="G1010" s="69" t="s">
        <v>42</v>
      </c>
      <c r="H1010" s="99"/>
      <c r="I1010" s="9"/>
      <c r="J1010" s="9"/>
      <c r="K1010" s="9"/>
      <c r="L1010" s="9"/>
      <c r="M1010" s="9"/>
      <c r="N1010" s="9"/>
      <c r="O1010" s="9"/>
    </row>
    <row r="1011" ht="22.5" customHeight="1">
      <c r="A1011" s="49"/>
      <c r="C1011" s="192">
        <v>46238.0</v>
      </c>
      <c r="D1011" s="195">
        <v>20000.0</v>
      </c>
      <c r="E1011" s="69" t="s">
        <v>1563</v>
      </c>
      <c r="F1011" s="69" t="s">
        <v>41</v>
      </c>
      <c r="G1011" s="69" t="s">
        <v>42</v>
      </c>
      <c r="H1011" s="99"/>
      <c r="I1011" s="9"/>
      <c r="J1011" s="9"/>
      <c r="K1011" s="9"/>
      <c r="L1011" s="9"/>
      <c r="M1011" s="9"/>
      <c r="N1011" s="9"/>
      <c r="O1011" s="9"/>
    </row>
    <row r="1012" ht="22.5" customHeight="1">
      <c r="A1012" s="49"/>
      <c r="C1012" s="192">
        <v>46239.0</v>
      </c>
      <c r="D1012" s="195">
        <v>5000.0</v>
      </c>
      <c r="E1012" s="69" t="s">
        <v>1267</v>
      </c>
      <c r="F1012" s="69" t="s">
        <v>41</v>
      </c>
      <c r="G1012" s="69" t="s">
        <v>42</v>
      </c>
      <c r="H1012" s="99"/>
      <c r="I1012" s="9"/>
      <c r="J1012" s="9"/>
      <c r="K1012" s="9"/>
      <c r="L1012" s="9"/>
      <c r="M1012" s="9"/>
      <c r="N1012" s="9"/>
      <c r="O1012" s="9"/>
    </row>
    <row r="1013" ht="22.5" customHeight="1">
      <c r="A1013" s="49"/>
      <c r="C1013" s="192">
        <v>46239.0</v>
      </c>
      <c r="D1013" s="195">
        <v>12000.0</v>
      </c>
      <c r="E1013" s="69" t="s">
        <v>945</v>
      </c>
      <c r="F1013" s="69" t="s">
        <v>41</v>
      </c>
      <c r="G1013" s="69" t="s">
        <v>42</v>
      </c>
      <c r="H1013" s="99"/>
      <c r="I1013" s="9"/>
      <c r="J1013" s="9"/>
      <c r="K1013" s="9"/>
      <c r="L1013" s="9"/>
      <c r="M1013" s="9"/>
      <c r="N1013" s="9"/>
      <c r="O1013" s="9"/>
    </row>
    <row r="1014" ht="22.5" customHeight="1">
      <c r="A1014" s="49"/>
      <c r="C1014" s="192">
        <v>46239.0</v>
      </c>
      <c r="D1014" s="195">
        <v>15000.0</v>
      </c>
      <c r="E1014" s="69" t="s">
        <v>378</v>
      </c>
      <c r="F1014" s="69" t="s">
        <v>45</v>
      </c>
      <c r="G1014" s="69" t="s">
        <v>42</v>
      </c>
      <c r="H1014" s="99"/>
      <c r="I1014" s="9"/>
      <c r="J1014" s="9"/>
      <c r="K1014" s="9"/>
      <c r="L1014" s="9"/>
      <c r="M1014" s="9"/>
      <c r="N1014" s="9"/>
      <c r="O1014" s="9"/>
    </row>
    <row r="1015" ht="22.5" customHeight="1">
      <c r="A1015" s="49"/>
      <c r="C1015" s="192">
        <v>46239.0</v>
      </c>
      <c r="D1015" s="195">
        <v>10000.0</v>
      </c>
      <c r="E1015" s="69" t="s">
        <v>1568</v>
      </c>
      <c r="F1015" s="69" t="s">
        <v>41</v>
      </c>
      <c r="G1015" s="69" t="s">
        <v>42</v>
      </c>
      <c r="H1015" s="99"/>
      <c r="I1015" s="9"/>
      <c r="J1015" s="9"/>
      <c r="K1015" s="9"/>
      <c r="L1015" s="9"/>
      <c r="M1015" s="9"/>
      <c r="N1015" s="9"/>
      <c r="O1015" s="9"/>
    </row>
    <row r="1016" ht="22.5" customHeight="1">
      <c r="A1016" s="49"/>
      <c r="C1016" s="192">
        <v>46240.0</v>
      </c>
      <c r="D1016" s="195">
        <v>250000.0</v>
      </c>
      <c r="E1016" s="69" t="s">
        <v>903</v>
      </c>
      <c r="F1016" s="69" t="s">
        <v>41</v>
      </c>
      <c r="G1016" s="69" t="s">
        <v>42</v>
      </c>
      <c r="H1016" s="99"/>
      <c r="I1016" s="9"/>
      <c r="J1016" s="9"/>
      <c r="K1016" s="9"/>
      <c r="L1016" s="9"/>
      <c r="M1016" s="9"/>
      <c r="N1016" s="9"/>
      <c r="O1016" s="9"/>
    </row>
    <row r="1017" ht="22.5" customHeight="1">
      <c r="A1017" s="49"/>
      <c r="C1017" s="192">
        <v>46240.0</v>
      </c>
      <c r="D1017" s="195">
        <v>200000.0</v>
      </c>
      <c r="E1017" s="69" t="s">
        <v>590</v>
      </c>
      <c r="F1017" s="69" t="s">
        <v>41</v>
      </c>
      <c r="G1017" s="69" t="s">
        <v>42</v>
      </c>
      <c r="H1017" s="99"/>
      <c r="I1017" s="9"/>
      <c r="J1017" s="9"/>
      <c r="K1017" s="9"/>
      <c r="L1017" s="9"/>
      <c r="M1017" s="9"/>
      <c r="N1017" s="9"/>
      <c r="O1017" s="9"/>
    </row>
    <row r="1018" ht="22.5" customHeight="1">
      <c r="A1018" s="49"/>
      <c r="C1018" s="192">
        <v>46241.0</v>
      </c>
      <c r="D1018" s="195">
        <v>230000.0</v>
      </c>
      <c r="E1018" s="69" t="s">
        <v>1572</v>
      </c>
      <c r="F1018" s="69" t="s">
        <v>41</v>
      </c>
      <c r="G1018" s="69" t="s">
        <v>758</v>
      </c>
      <c r="H1018" s="99"/>
      <c r="I1018" s="9"/>
      <c r="J1018" s="9"/>
      <c r="K1018" s="9"/>
      <c r="L1018" s="9"/>
      <c r="M1018" s="9"/>
      <c r="N1018" s="9"/>
      <c r="O1018" s="9"/>
    </row>
    <row r="1019" ht="22.5" customHeight="1">
      <c r="A1019" s="49"/>
      <c r="C1019" s="192">
        <v>46242.0</v>
      </c>
      <c r="D1019" s="195">
        <v>100000.0</v>
      </c>
      <c r="E1019" s="69" t="s">
        <v>1573</v>
      </c>
      <c r="F1019" s="69" t="s">
        <v>41</v>
      </c>
      <c r="G1019" s="69" t="s">
        <v>42</v>
      </c>
      <c r="H1019" s="99"/>
      <c r="I1019" s="9"/>
      <c r="J1019" s="9"/>
      <c r="K1019" s="9"/>
      <c r="L1019" s="9"/>
      <c r="M1019" s="9"/>
      <c r="N1019" s="9"/>
      <c r="O1019" s="9"/>
    </row>
    <row r="1020" ht="22.5" customHeight="1">
      <c r="A1020" s="49"/>
      <c r="C1020" s="192">
        <v>46242.0</v>
      </c>
      <c r="D1020" s="195">
        <v>20000.0</v>
      </c>
      <c r="E1020" s="69" t="s">
        <v>338</v>
      </c>
      <c r="F1020" s="69" t="s">
        <v>41</v>
      </c>
      <c r="G1020" s="69" t="s">
        <v>42</v>
      </c>
      <c r="H1020" s="99"/>
      <c r="I1020" s="9"/>
      <c r="J1020" s="9"/>
      <c r="K1020" s="9"/>
      <c r="L1020" s="9"/>
      <c r="M1020" s="9"/>
      <c r="N1020" s="9"/>
      <c r="O1020" s="9"/>
    </row>
    <row r="1021" ht="22.5" customHeight="1">
      <c r="A1021" s="49"/>
      <c r="C1021" s="192">
        <v>46242.0</v>
      </c>
      <c r="D1021" s="195">
        <v>10000.0</v>
      </c>
      <c r="E1021" s="69" t="s">
        <v>459</v>
      </c>
      <c r="F1021" s="69" t="s">
        <v>41</v>
      </c>
      <c r="G1021" s="69" t="s">
        <v>42</v>
      </c>
      <c r="H1021" s="99"/>
      <c r="I1021" s="9"/>
      <c r="J1021" s="9"/>
      <c r="K1021" s="9"/>
      <c r="L1021" s="9"/>
      <c r="M1021" s="9"/>
      <c r="N1021" s="9"/>
      <c r="O1021" s="9"/>
    </row>
    <row r="1022" ht="22.5" customHeight="1">
      <c r="A1022" s="49"/>
      <c r="C1022" s="192">
        <v>46242.0</v>
      </c>
      <c r="D1022" s="195">
        <v>500000.0</v>
      </c>
      <c r="E1022" s="69" t="s">
        <v>1577</v>
      </c>
      <c r="F1022" s="69" t="s">
        <v>41</v>
      </c>
      <c r="G1022" s="69" t="s">
        <v>42</v>
      </c>
      <c r="H1022" s="99"/>
      <c r="I1022" s="9"/>
      <c r="J1022" s="9"/>
      <c r="K1022" s="9"/>
      <c r="L1022" s="9"/>
      <c r="M1022" s="9"/>
      <c r="N1022" s="9"/>
      <c r="O1022" s="9"/>
    </row>
    <row r="1023" ht="22.5" customHeight="1">
      <c r="A1023" s="49"/>
      <c r="C1023" s="192">
        <v>46242.0</v>
      </c>
      <c r="D1023" s="195">
        <v>75000.0</v>
      </c>
      <c r="E1023" s="69" t="s">
        <v>1578</v>
      </c>
      <c r="F1023" s="69" t="s">
        <v>41</v>
      </c>
      <c r="G1023" s="69" t="s">
        <v>42</v>
      </c>
      <c r="H1023" s="99"/>
      <c r="I1023" s="9"/>
      <c r="J1023" s="9"/>
      <c r="K1023" s="9"/>
      <c r="L1023" s="9"/>
      <c r="M1023" s="9"/>
      <c r="N1023" s="9"/>
      <c r="O1023" s="9"/>
    </row>
    <row r="1024" ht="22.5" customHeight="1">
      <c r="A1024" s="49"/>
      <c r="C1024" s="192">
        <v>46242.0</v>
      </c>
      <c r="D1024" s="195">
        <v>10000.0</v>
      </c>
      <c r="E1024" s="69" t="s">
        <v>1579</v>
      </c>
      <c r="F1024" s="69" t="s">
        <v>41</v>
      </c>
      <c r="G1024" s="69" t="s">
        <v>42</v>
      </c>
      <c r="H1024" s="99"/>
      <c r="I1024" s="9"/>
      <c r="J1024" s="9"/>
      <c r="K1024" s="9"/>
      <c r="L1024" s="9"/>
      <c r="M1024" s="9"/>
      <c r="N1024" s="9"/>
      <c r="O1024" s="9"/>
    </row>
    <row r="1025" ht="22.5" customHeight="1">
      <c r="A1025" s="49"/>
      <c r="C1025" s="192">
        <v>46242.0</v>
      </c>
      <c r="D1025" s="195">
        <v>170000.0</v>
      </c>
      <c r="E1025" s="69" t="s">
        <v>211</v>
      </c>
      <c r="F1025" s="69" t="s">
        <v>41</v>
      </c>
      <c r="G1025" s="69" t="s">
        <v>42</v>
      </c>
      <c r="H1025" s="99"/>
      <c r="I1025" s="9"/>
      <c r="J1025" s="9"/>
      <c r="K1025" s="9"/>
      <c r="L1025" s="9"/>
      <c r="M1025" s="9"/>
      <c r="N1025" s="9"/>
      <c r="O1025" s="9"/>
    </row>
    <row r="1026" ht="22.5" customHeight="1">
      <c r="A1026" s="49"/>
      <c r="C1026" s="192">
        <v>46242.0</v>
      </c>
      <c r="D1026" s="195">
        <v>30000.0</v>
      </c>
      <c r="E1026" s="69" t="s">
        <v>338</v>
      </c>
      <c r="F1026" s="69" t="s">
        <v>41</v>
      </c>
      <c r="G1026" s="69" t="s">
        <v>42</v>
      </c>
      <c r="H1026" s="99"/>
      <c r="I1026" s="9"/>
      <c r="J1026" s="9"/>
      <c r="K1026" s="9"/>
      <c r="L1026" s="9"/>
      <c r="M1026" s="9"/>
      <c r="N1026" s="9"/>
      <c r="O1026" s="9"/>
    </row>
    <row r="1027" ht="22.5" customHeight="1">
      <c r="A1027" s="49"/>
      <c r="C1027" s="192">
        <v>46242.0</v>
      </c>
      <c r="D1027" s="195">
        <v>2625000.0</v>
      </c>
      <c r="E1027" s="69" t="s">
        <v>179</v>
      </c>
      <c r="F1027" s="69" t="s">
        <v>380</v>
      </c>
      <c r="G1027" s="69" t="s">
        <v>87</v>
      </c>
      <c r="H1027" s="99"/>
      <c r="I1027" s="9"/>
      <c r="J1027" s="9"/>
      <c r="K1027" s="9"/>
      <c r="L1027" s="9"/>
      <c r="M1027" s="9"/>
      <c r="N1027" s="9"/>
      <c r="O1027" s="9"/>
    </row>
    <row r="1028" ht="22.5" customHeight="1">
      <c r="A1028" s="49"/>
      <c r="C1028" s="192">
        <v>46243.0</v>
      </c>
      <c r="D1028" s="195">
        <v>445000.0</v>
      </c>
      <c r="E1028" s="69" t="s">
        <v>302</v>
      </c>
      <c r="F1028" s="69" t="s">
        <v>380</v>
      </c>
      <c r="G1028" s="69" t="s">
        <v>87</v>
      </c>
      <c r="H1028" s="99"/>
      <c r="I1028" s="9"/>
      <c r="J1028" s="9"/>
      <c r="K1028" s="9"/>
      <c r="L1028" s="9"/>
      <c r="M1028" s="9"/>
      <c r="N1028" s="9"/>
      <c r="O1028" s="9"/>
    </row>
    <row r="1029" ht="22.5" customHeight="1">
      <c r="A1029" s="49"/>
      <c r="C1029" s="192">
        <v>46244.0</v>
      </c>
      <c r="D1029" s="195">
        <v>40000.0</v>
      </c>
      <c r="E1029" s="69" t="s">
        <v>339</v>
      </c>
      <c r="F1029" s="69" t="s">
        <v>41</v>
      </c>
      <c r="G1029" s="69" t="s">
        <v>42</v>
      </c>
      <c r="H1029" s="99"/>
      <c r="I1029" s="9"/>
      <c r="J1029" s="9"/>
      <c r="K1029" s="9"/>
      <c r="L1029" s="9"/>
      <c r="M1029" s="9"/>
      <c r="N1029" s="9"/>
      <c r="O1029" s="9"/>
    </row>
    <row r="1030" ht="22.5" customHeight="1">
      <c r="A1030" s="49"/>
      <c r="C1030" s="192">
        <v>46244.0</v>
      </c>
      <c r="D1030" s="195">
        <v>1585000.0</v>
      </c>
      <c r="E1030" s="69" t="s">
        <v>1344</v>
      </c>
      <c r="F1030" s="69" t="s">
        <v>45</v>
      </c>
      <c r="G1030" s="69" t="s">
        <v>87</v>
      </c>
      <c r="H1030" s="99"/>
      <c r="I1030" s="9"/>
      <c r="J1030" s="9"/>
      <c r="K1030" s="9"/>
      <c r="L1030" s="9"/>
      <c r="M1030" s="9"/>
      <c r="N1030" s="9"/>
      <c r="O1030" s="9"/>
    </row>
    <row r="1031" ht="22.5" customHeight="1">
      <c r="A1031" s="49"/>
      <c r="C1031" s="192">
        <v>46245.0</v>
      </c>
      <c r="D1031" s="195">
        <v>505000.0</v>
      </c>
      <c r="E1031" s="69" t="s">
        <v>910</v>
      </c>
      <c r="F1031" s="69" t="s">
        <v>41</v>
      </c>
      <c r="G1031" s="69" t="s">
        <v>42</v>
      </c>
      <c r="H1031" s="99"/>
      <c r="I1031" s="9"/>
      <c r="J1031" s="9"/>
      <c r="K1031" s="9"/>
      <c r="L1031" s="9"/>
      <c r="M1031" s="9"/>
      <c r="N1031" s="9"/>
      <c r="O1031" s="9"/>
    </row>
    <row r="1032" ht="22.5" customHeight="1">
      <c r="A1032" s="49"/>
      <c r="C1032" s="192">
        <v>46245.0</v>
      </c>
      <c r="D1032" s="195">
        <v>20000.0</v>
      </c>
      <c r="E1032" s="69" t="s">
        <v>1352</v>
      </c>
      <c r="F1032" s="69" t="s">
        <v>41</v>
      </c>
      <c r="G1032" s="69" t="s">
        <v>42</v>
      </c>
      <c r="H1032" s="99"/>
      <c r="I1032" s="9"/>
      <c r="J1032" s="9"/>
      <c r="K1032" s="9"/>
      <c r="L1032" s="9"/>
      <c r="M1032" s="9"/>
      <c r="N1032" s="9"/>
      <c r="O1032" s="9"/>
    </row>
    <row r="1033" ht="22.5" customHeight="1">
      <c r="A1033" s="49"/>
      <c r="C1033" s="192">
        <v>46245.0</v>
      </c>
      <c r="D1033" s="195">
        <v>15000.0</v>
      </c>
      <c r="E1033" s="69" t="s">
        <v>229</v>
      </c>
      <c r="F1033" s="69" t="s">
        <v>41</v>
      </c>
      <c r="G1033" s="69" t="s">
        <v>42</v>
      </c>
      <c r="H1033" s="99"/>
      <c r="I1033" s="9"/>
      <c r="J1033" s="9"/>
      <c r="K1033" s="9"/>
      <c r="L1033" s="9"/>
      <c r="M1033" s="9"/>
      <c r="N1033" s="9"/>
      <c r="O1033" s="9"/>
    </row>
    <row r="1034" ht="22.5" customHeight="1">
      <c r="A1034" s="49"/>
      <c r="C1034" s="192">
        <v>46246.0</v>
      </c>
      <c r="D1034" s="195">
        <v>12000.0</v>
      </c>
      <c r="E1034" s="69" t="s">
        <v>367</v>
      </c>
      <c r="F1034" s="69" t="s">
        <v>41</v>
      </c>
      <c r="G1034" s="69" t="s">
        <v>42</v>
      </c>
      <c r="H1034" s="99"/>
      <c r="I1034" s="9"/>
      <c r="J1034" s="9"/>
      <c r="K1034" s="9"/>
      <c r="L1034" s="9"/>
      <c r="M1034" s="9"/>
      <c r="N1034" s="9"/>
      <c r="O1034" s="9"/>
    </row>
    <row r="1035" ht="22.5" customHeight="1">
      <c r="A1035" s="49"/>
      <c r="C1035" s="192">
        <v>46246.0</v>
      </c>
      <c r="D1035" s="195">
        <v>13000.0</v>
      </c>
      <c r="E1035" s="69" t="s">
        <v>1551</v>
      </c>
      <c r="F1035" s="69" t="s">
        <v>41</v>
      </c>
      <c r="G1035" s="69" t="s">
        <v>42</v>
      </c>
      <c r="H1035" s="99"/>
      <c r="I1035" s="9"/>
      <c r="J1035" s="9"/>
      <c r="K1035" s="9"/>
      <c r="L1035" s="9"/>
      <c r="M1035" s="9"/>
      <c r="N1035" s="9"/>
      <c r="O1035" s="9"/>
    </row>
    <row r="1036" ht="22.5" customHeight="1">
      <c r="A1036" s="49"/>
      <c r="C1036" s="192">
        <v>46246.0</v>
      </c>
      <c r="D1036" s="195">
        <v>100000.0</v>
      </c>
      <c r="E1036" s="69" t="s">
        <v>1592</v>
      </c>
      <c r="F1036" s="69" t="s">
        <v>41</v>
      </c>
      <c r="G1036" s="69" t="s">
        <v>42</v>
      </c>
      <c r="H1036" s="99"/>
      <c r="I1036" s="9"/>
      <c r="J1036" s="9"/>
      <c r="K1036" s="9"/>
      <c r="L1036" s="9"/>
      <c r="M1036" s="9"/>
      <c r="N1036" s="9"/>
      <c r="O1036" s="9"/>
    </row>
    <row r="1037" ht="22.5" customHeight="1">
      <c r="A1037" s="49"/>
      <c r="C1037" s="192">
        <v>46247.0</v>
      </c>
      <c r="D1037" s="195">
        <v>14000.0</v>
      </c>
      <c r="E1037" s="69" t="s">
        <v>1594</v>
      </c>
      <c r="F1037" s="69" t="s">
        <v>41</v>
      </c>
      <c r="G1037" s="69" t="s">
        <v>42</v>
      </c>
      <c r="H1037" s="99"/>
      <c r="I1037" s="9"/>
      <c r="J1037" s="9"/>
      <c r="K1037" s="9"/>
      <c r="L1037" s="9"/>
      <c r="M1037" s="9"/>
      <c r="N1037" s="9"/>
      <c r="O1037" s="9"/>
    </row>
    <row r="1038" ht="22.5" customHeight="1">
      <c r="A1038" s="49"/>
      <c r="C1038" s="192">
        <v>46247.0</v>
      </c>
      <c r="D1038" s="195">
        <v>20000.0</v>
      </c>
      <c r="E1038" s="69" t="s">
        <v>352</v>
      </c>
      <c r="F1038" s="69" t="s">
        <v>45</v>
      </c>
      <c r="G1038" s="69" t="s">
        <v>42</v>
      </c>
      <c r="H1038" s="99"/>
      <c r="I1038" s="9"/>
      <c r="J1038" s="9"/>
      <c r="K1038" s="9"/>
      <c r="L1038" s="9"/>
      <c r="M1038" s="9"/>
      <c r="N1038" s="9"/>
      <c r="O1038" s="9"/>
    </row>
    <row r="1039" ht="22.5" customHeight="1">
      <c r="A1039" s="49"/>
      <c r="C1039" s="192">
        <v>46247.0</v>
      </c>
      <c r="D1039" s="195">
        <v>24000.0</v>
      </c>
      <c r="E1039" s="69" t="s">
        <v>1596</v>
      </c>
      <c r="F1039" s="69" t="s">
        <v>41</v>
      </c>
      <c r="G1039" s="69" t="s">
        <v>42</v>
      </c>
      <c r="H1039" s="99"/>
      <c r="I1039" s="9"/>
      <c r="J1039" s="9"/>
      <c r="K1039" s="9"/>
      <c r="L1039" s="9"/>
      <c r="M1039" s="9"/>
      <c r="N1039" s="9"/>
      <c r="O1039" s="9"/>
    </row>
    <row r="1040" ht="22.5" customHeight="1">
      <c r="A1040" s="49"/>
      <c r="C1040" s="192">
        <v>46248.0</v>
      </c>
      <c r="D1040" s="195">
        <v>1000000.0</v>
      </c>
      <c r="E1040" s="69" t="s">
        <v>1448</v>
      </c>
      <c r="F1040" s="69" t="s">
        <v>45</v>
      </c>
      <c r="G1040" s="69" t="s">
        <v>87</v>
      </c>
      <c r="H1040" s="99"/>
      <c r="I1040" s="9"/>
      <c r="J1040" s="9"/>
      <c r="K1040" s="9"/>
      <c r="L1040" s="9"/>
      <c r="M1040" s="9"/>
      <c r="N1040" s="9"/>
      <c r="O1040" s="9"/>
    </row>
    <row r="1041" ht="22.5" customHeight="1">
      <c r="A1041" s="49"/>
      <c r="C1041" s="192">
        <v>46248.0</v>
      </c>
      <c r="D1041" s="195">
        <v>38000.0</v>
      </c>
      <c r="E1041" s="69" t="s">
        <v>356</v>
      </c>
      <c r="F1041" s="69" t="s">
        <v>41</v>
      </c>
      <c r="G1041" s="69" t="s">
        <v>42</v>
      </c>
      <c r="H1041" s="99"/>
      <c r="I1041" s="9"/>
      <c r="J1041" s="9"/>
      <c r="K1041" s="9"/>
      <c r="L1041" s="9"/>
      <c r="M1041" s="9"/>
      <c r="N1041" s="9"/>
      <c r="O1041" s="9"/>
    </row>
    <row r="1042" ht="22.5" customHeight="1">
      <c r="A1042" s="49"/>
      <c r="C1042" s="192">
        <v>46248.0</v>
      </c>
      <c r="D1042" s="195">
        <v>20000.0</v>
      </c>
      <c r="E1042" s="69" t="s">
        <v>1600</v>
      </c>
      <c r="F1042" s="69" t="s">
        <v>41</v>
      </c>
      <c r="G1042" s="69" t="s">
        <v>42</v>
      </c>
      <c r="H1042" s="99"/>
      <c r="I1042" s="9"/>
      <c r="J1042" s="9"/>
      <c r="K1042" s="9"/>
      <c r="L1042" s="9"/>
      <c r="M1042" s="9"/>
      <c r="N1042" s="9"/>
      <c r="O1042" s="9"/>
    </row>
    <row r="1043" ht="22.5" customHeight="1">
      <c r="A1043" s="49"/>
      <c r="C1043" s="192">
        <v>46248.0</v>
      </c>
      <c r="D1043" s="195">
        <v>20000.0</v>
      </c>
      <c r="E1043" s="69" t="s">
        <v>1601</v>
      </c>
      <c r="F1043" s="69" t="s">
        <v>41</v>
      </c>
      <c r="G1043" s="69" t="s">
        <v>42</v>
      </c>
      <c r="H1043" s="99"/>
      <c r="I1043" s="9"/>
      <c r="J1043" s="9"/>
      <c r="K1043" s="9"/>
      <c r="L1043" s="9"/>
      <c r="M1043" s="9"/>
      <c r="N1043" s="9"/>
      <c r="O1043" s="9"/>
    </row>
    <row r="1044" ht="22.5" customHeight="1">
      <c r="A1044" s="49"/>
      <c r="C1044" s="192">
        <v>46248.0</v>
      </c>
      <c r="D1044" s="195">
        <v>14000.0</v>
      </c>
      <c r="E1044" s="69" t="s">
        <v>73</v>
      </c>
      <c r="F1044" s="69" t="s">
        <v>41</v>
      </c>
      <c r="G1044" s="69" t="s">
        <v>42</v>
      </c>
      <c r="H1044" s="99"/>
      <c r="I1044" s="9"/>
      <c r="J1044" s="9"/>
      <c r="K1044" s="9"/>
      <c r="L1044" s="9"/>
      <c r="M1044" s="9"/>
      <c r="N1044" s="9"/>
      <c r="O1044" s="9"/>
    </row>
    <row r="1045" ht="22.5" customHeight="1">
      <c r="A1045" s="49"/>
      <c r="C1045" s="192">
        <v>46248.0</v>
      </c>
      <c r="D1045" s="195">
        <v>50000.0</v>
      </c>
      <c r="E1045" s="69" t="s">
        <v>1605</v>
      </c>
      <c r="F1045" s="69" t="s">
        <v>41</v>
      </c>
      <c r="G1045" s="69" t="s">
        <v>42</v>
      </c>
      <c r="H1045" s="99"/>
      <c r="I1045" s="9"/>
      <c r="J1045" s="9"/>
      <c r="K1045" s="9"/>
      <c r="L1045" s="9"/>
      <c r="M1045" s="9"/>
      <c r="N1045" s="9"/>
      <c r="O1045" s="9"/>
    </row>
    <row r="1046" ht="22.5" customHeight="1">
      <c r="A1046" s="49"/>
      <c r="C1046" s="192">
        <v>46249.0</v>
      </c>
      <c r="D1046" s="195">
        <v>15000.0</v>
      </c>
      <c r="E1046" s="69" t="s">
        <v>166</v>
      </c>
      <c r="F1046" s="69" t="s">
        <v>41</v>
      </c>
      <c r="G1046" s="69" t="s">
        <v>42</v>
      </c>
      <c r="H1046" s="99"/>
      <c r="I1046" s="9"/>
      <c r="J1046" s="9"/>
      <c r="K1046" s="9"/>
      <c r="L1046" s="9"/>
      <c r="M1046" s="9"/>
      <c r="N1046" s="9"/>
      <c r="O1046" s="9"/>
    </row>
    <row r="1047" ht="22.5" customHeight="1">
      <c r="A1047" s="49"/>
      <c r="C1047" s="192">
        <v>46249.0</v>
      </c>
      <c r="D1047" s="195">
        <v>465000.0</v>
      </c>
      <c r="E1047" s="69" t="s">
        <v>1607</v>
      </c>
      <c r="F1047" s="69" t="s">
        <v>41</v>
      </c>
      <c r="G1047" s="69" t="s">
        <v>42</v>
      </c>
      <c r="H1047" s="99"/>
      <c r="I1047" s="9"/>
      <c r="J1047" s="9"/>
      <c r="K1047" s="9"/>
      <c r="L1047" s="9"/>
      <c r="M1047" s="9"/>
      <c r="N1047" s="9"/>
      <c r="O1047" s="9"/>
    </row>
    <row r="1048" ht="22.5" customHeight="1">
      <c r="A1048" s="49"/>
      <c r="C1048" s="192">
        <v>46249.0</v>
      </c>
      <c r="D1048" s="195">
        <v>37000.0</v>
      </c>
      <c r="E1048" s="69" t="s">
        <v>1610</v>
      </c>
      <c r="F1048" s="69" t="s">
        <v>41</v>
      </c>
      <c r="G1048" s="69" t="s">
        <v>42</v>
      </c>
      <c r="H1048" s="99"/>
      <c r="I1048" s="9"/>
      <c r="J1048" s="9"/>
      <c r="K1048" s="9"/>
      <c r="L1048" s="9"/>
      <c r="M1048" s="9"/>
      <c r="N1048" s="9"/>
      <c r="O1048" s="9"/>
    </row>
    <row r="1049" ht="22.5" customHeight="1">
      <c r="A1049" s="49"/>
      <c r="C1049" s="192">
        <v>46249.0</v>
      </c>
      <c r="D1049" s="195">
        <v>350000.0</v>
      </c>
      <c r="E1049" s="69" t="s">
        <v>1611</v>
      </c>
      <c r="F1049" s="69" t="s">
        <v>41</v>
      </c>
      <c r="G1049" s="69" t="s">
        <v>42</v>
      </c>
      <c r="H1049" s="99"/>
      <c r="I1049" s="9"/>
      <c r="J1049" s="9"/>
      <c r="K1049" s="9"/>
      <c r="L1049" s="9"/>
      <c r="M1049" s="9"/>
      <c r="N1049" s="9"/>
      <c r="O1049" s="9"/>
    </row>
    <row r="1050" ht="22.5" customHeight="1">
      <c r="A1050" s="49"/>
      <c r="C1050" s="192">
        <v>46249.0</v>
      </c>
      <c r="D1050" s="195">
        <v>225000.0</v>
      </c>
      <c r="E1050" s="69" t="s">
        <v>211</v>
      </c>
      <c r="F1050" s="69" t="s">
        <v>41</v>
      </c>
      <c r="G1050" s="69" t="s">
        <v>42</v>
      </c>
      <c r="H1050" s="99"/>
      <c r="I1050" s="9"/>
      <c r="J1050" s="9"/>
      <c r="K1050" s="9"/>
      <c r="L1050" s="9"/>
      <c r="M1050" s="9"/>
      <c r="N1050" s="9"/>
      <c r="O1050" s="9"/>
    </row>
    <row r="1051" ht="22.5" customHeight="1">
      <c r="A1051" s="49"/>
      <c r="C1051" s="192">
        <v>46249.0</v>
      </c>
      <c r="D1051" s="195">
        <v>135000.0</v>
      </c>
      <c r="E1051" s="69" t="s">
        <v>1613</v>
      </c>
      <c r="F1051" s="69" t="s">
        <v>41</v>
      </c>
      <c r="G1051" s="69" t="s">
        <v>42</v>
      </c>
      <c r="H1051" s="99"/>
      <c r="I1051" s="9"/>
      <c r="J1051" s="9"/>
      <c r="K1051" s="9"/>
      <c r="L1051" s="9"/>
      <c r="M1051" s="9"/>
      <c r="N1051" s="9"/>
      <c r="O1051" s="9"/>
    </row>
    <row r="1052" ht="22.5" customHeight="1">
      <c r="A1052" s="49"/>
      <c r="C1052" s="192">
        <v>46249.0</v>
      </c>
      <c r="D1052" s="195">
        <v>14000.0</v>
      </c>
      <c r="E1052" s="69" t="s">
        <v>73</v>
      </c>
      <c r="F1052" s="69" t="s">
        <v>41</v>
      </c>
      <c r="G1052" s="69" t="s">
        <v>42</v>
      </c>
      <c r="H1052" s="99"/>
      <c r="I1052" s="9"/>
      <c r="J1052" s="9"/>
      <c r="K1052" s="9"/>
      <c r="L1052" s="9"/>
      <c r="M1052" s="9"/>
      <c r="N1052" s="9"/>
      <c r="O1052" s="9"/>
    </row>
    <row r="1053" ht="22.5" customHeight="1">
      <c r="A1053" s="49"/>
      <c r="C1053" s="192">
        <v>46249.0</v>
      </c>
      <c r="D1053" s="195">
        <v>10000.0</v>
      </c>
      <c r="E1053" s="69" t="s">
        <v>1616</v>
      </c>
      <c r="F1053" s="69" t="s">
        <v>41</v>
      </c>
      <c r="G1053" s="69" t="s">
        <v>42</v>
      </c>
      <c r="H1053" s="99"/>
      <c r="I1053" s="9"/>
      <c r="J1053" s="9"/>
      <c r="K1053" s="9"/>
      <c r="L1053" s="9"/>
      <c r="M1053" s="9"/>
      <c r="N1053" s="9"/>
      <c r="O1053" s="9"/>
    </row>
    <row r="1054" ht="22.5" customHeight="1">
      <c r="A1054" s="49"/>
      <c r="C1054" s="192">
        <v>46249.0</v>
      </c>
      <c r="D1054" s="195">
        <v>2625000.0</v>
      </c>
      <c r="E1054" s="69" t="s">
        <v>179</v>
      </c>
      <c r="F1054" s="69" t="s">
        <v>380</v>
      </c>
      <c r="G1054" s="69" t="s">
        <v>87</v>
      </c>
      <c r="H1054" s="99"/>
      <c r="I1054" s="9"/>
      <c r="J1054" s="9"/>
      <c r="K1054" s="9"/>
      <c r="L1054" s="9"/>
      <c r="M1054" s="9"/>
      <c r="N1054" s="9"/>
      <c r="O1054" s="9"/>
    </row>
    <row r="1055" ht="22.5" customHeight="1">
      <c r="A1055" s="49"/>
      <c r="C1055" s="192">
        <v>46252.0</v>
      </c>
      <c r="D1055" s="195">
        <v>400000.0</v>
      </c>
      <c r="E1055" s="69" t="s">
        <v>1620</v>
      </c>
      <c r="F1055" s="69" t="s">
        <v>41</v>
      </c>
      <c r="G1055" s="69" t="s">
        <v>42</v>
      </c>
      <c r="H1055" s="99"/>
      <c r="I1055" s="9"/>
      <c r="J1055" s="9"/>
      <c r="K1055" s="9"/>
      <c r="L1055" s="9"/>
      <c r="M1055" s="9"/>
      <c r="N1055" s="9"/>
      <c r="O1055" s="9"/>
    </row>
    <row r="1056" ht="22.5" customHeight="1">
      <c r="A1056" s="49"/>
      <c r="C1056" s="192">
        <v>46253.0</v>
      </c>
      <c r="D1056" s="195">
        <v>14000.0</v>
      </c>
      <c r="E1056" s="69" t="s">
        <v>73</v>
      </c>
      <c r="F1056" s="69" t="s">
        <v>41</v>
      </c>
      <c r="G1056" s="69" t="s">
        <v>42</v>
      </c>
      <c r="H1056" s="99"/>
      <c r="I1056" s="9"/>
      <c r="J1056" s="9"/>
      <c r="K1056" s="9"/>
      <c r="L1056" s="9"/>
      <c r="M1056" s="9"/>
      <c r="N1056" s="9"/>
      <c r="O1056" s="9"/>
    </row>
    <row r="1057" ht="22.5" customHeight="1">
      <c r="A1057" s="49"/>
      <c r="C1057" s="192">
        <v>46254.0</v>
      </c>
      <c r="D1057" s="195">
        <v>5000.0</v>
      </c>
      <c r="E1057" s="69" t="s">
        <v>175</v>
      </c>
      <c r="F1057" s="69" t="s">
        <v>41</v>
      </c>
      <c r="G1057" s="69" t="s">
        <v>42</v>
      </c>
      <c r="H1057" s="99"/>
      <c r="I1057" s="9"/>
      <c r="J1057" s="9"/>
      <c r="K1057" s="9"/>
      <c r="L1057" s="9"/>
      <c r="M1057" s="9"/>
      <c r="N1057" s="9"/>
      <c r="O1057" s="9"/>
    </row>
    <row r="1058" ht="22.5" customHeight="1">
      <c r="A1058" s="49"/>
      <c r="C1058" s="192">
        <v>46255.0</v>
      </c>
      <c r="D1058" s="195">
        <v>132000.0</v>
      </c>
      <c r="E1058" s="69" t="s">
        <v>1622</v>
      </c>
      <c r="F1058" s="69" t="s">
        <v>45</v>
      </c>
      <c r="G1058" s="69" t="s">
        <v>42</v>
      </c>
      <c r="H1058" s="99"/>
      <c r="I1058" s="9"/>
      <c r="J1058" s="9"/>
      <c r="K1058" s="9"/>
      <c r="L1058" s="9"/>
      <c r="M1058" s="9"/>
      <c r="N1058" s="9"/>
      <c r="O1058" s="9"/>
    </row>
    <row r="1059" ht="22.5" customHeight="1">
      <c r="A1059" s="49"/>
      <c r="C1059" s="192">
        <v>46255.0</v>
      </c>
      <c r="D1059" s="195">
        <v>70000.0</v>
      </c>
      <c r="E1059" s="69" t="s">
        <v>1624</v>
      </c>
      <c r="F1059" s="69" t="s">
        <v>41</v>
      </c>
      <c r="G1059" s="69" t="s">
        <v>42</v>
      </c>
      <c r="H1059" s="99"/>
      <c r="I1059" s="9"/>
      <c r="J1059" s="9"/>
      <c r="K1059" s="9"/>
      <c r="L1059" s="9"/>
      <c r="M1059" s="9"/>
      <c r="N1059" s="9"/>
      <c r="O1059" s="9"/>
    </row>
    <row r="1060" ht="22.5" customHeight="1">
      <c r="A1060" s="49"/>
      <c r="C1060" s="192">
        <v>46255.0</v>
      </c>
      <c r="D1060" s="195">
        <v>22000.0</v>
      </c>
      <c r="E1060" s="69" t="s">
        <v>1627</v>
      </c>
      <c r="F1060" s="69" t="s">
        <v>41</v>
      </c>
      <c r="G1060" s="69" t="s">
        <v>42</v>
      </c>
      <c r="H1060" s="99"/>
      <c r="I1060" s="9"/>
      <c r="J1060" s="9"/>
      <c r="K1060" s="9"/>
      <c r="L1060" s="9"/>
      <c r="M1060" s="9"/>
      <c r="N1060" s="9"/>
      <c r="O1060" s="9"/>
    </row>
    <row r="1061" ht="22.5" customHeight="1">
      <c r="A1061" s="49"/>
      <c r="C1061" s="192">
        <v>46255.0</v>
      </c>
      <c r="D1061" s="195">
        <v>14000.0</v>
      </c>
      <c r="E1061" s="69" t="s">
        <v>1628</v>
      </c>
      <c r="F1061" s="69" t="s">
        <v>41</v>
      </c>
      <c r="G1061" s="69" t="s">
        <v>42</v>
      </c>
      <c r="H1061" s="99"/>
      <c r="I1061" s="9"/>
      <c r="J1061" s="9"/>
      <c r="K1061" s="9"/>
      <c r="L1061" s="9"/>
      <c r="M1061" s="9"/>
      <c r="N1061" s="9"/>
      <c r="O1061" s="9"/>
    </row>
    <row r="1062" ht="22.5" customHeight="1">
      <c r="A1062" s="49"/>
      <c r="C1062" s="192">
        <v>46255.0</v>
      </c>
      <c r="D1062" s="195">
        <v>15000.0</v>
      </c>
      <c r="E1062" s="69" t="s">
        <v>1629</v>
      </c>
      <c r="F1062" s="69" t="s">
        <v>41</v>
      </c>
      <c r="G1062" s="69" t="s">
        <v>42</v>
      </c>
      <c r="H1062" s="99"/>
      <c r="I1062" s="9"/>
      <c r="J1062" s="9"/>
      <c r="K1062" s="9"/>
      <c r="L1062" s="9"/>
      <c r="M1062" s="9"/>
      <c r="N1062" s="9"/>
      <c r="O1062" s="9"/>
    </row>
    <row r="1063" ht="22.5" customHeight="1">
      <c r="A1063" s="49"/>
      <c r="C1063" s="192">
        <v>46255.0</v>
      </c>
      <c r="D1063" s="195">
        <v>50000.0</v>
      </c>
      <c r="E1063" s="69" t="s">
        <v>1634</v>
      </c>
      <c r="F1063" s="69" t="s">
        <v>41</v>
      </c>
      <c r="G1063" s="69" t="s">
        <v>42</v>
      </c>
      <c r="H1063" s="99"/>
      <c r="I1063" s="9"/>
      <c r="J1063" s="9"/>
      <c r="K1063" s="9"/>
      <c r="L1063" s="9"/>
      <c r="M1063" s="9"/>
      <c r="N1063" s="9"/>
      <c r="O1063" s="9"/>
    </row>
    <row r="1064" ht="22.5" customHeight="1">
      <c r="A1064" s="49"/>
      <c r="C1064" s="192">
        <v>46255.0</v>
      </c>
      <c r="D1064" s="195">
        <v>150000.0</v>
      </c>
      <c r="E1064" s="69" t="s">
        <v>662</v>
      </c>
      <c r="F1064" s="69" t="s">
        <v>41</v>
      </c>
      <c r="G1064" s="69" t="s">
        <v>42</v>
      </c>
      <c r="H1064" s="99"/>
      <c r="I1064" s="9"/>
      <c r="J1064" s="9"/>
      <c r="K1064" s="9"/>
      <c r="L1064" s="9"/>
      <c r="M1064" s="9"/>
      <c r="N1064" s="9"/>
      <c r="O1064" s="9"/>
    </row>
    <row r="1065" ht="22.5" customHeight="1">
      <c r="A1065" s="49"/>
      <c r="C1065" s="192">
        <v>46255.0</v>
      </c>
      <c r="D1065" s="195">
        <v>1002500.0</v>
      </c>
      <c r="E1065" s="69" t="s">
        <v>1448</v>
      </c>
      <c r="F1065" s="69" t="s">
        <v>45</v>
      </c>
      <c r="G1065" s="69" t="s">
        <v>87</v>
      </c>
      <c r="H1065" s="99"/>
      <c r="I1065" s="9"/>
      <c r="J1065" s="9"/>
      <c r="K1065" s="9"/>
      <c r="L1065" s="9"/>
      <c r="M1065" s="9"/>
      <c r="N1065" s="9"/>
      <c r="O1065" s="9"/>
    </row>
    <row r="1066" ht="22.5" customHeight="1">
      <c r="A1066" s="49"/>
      <c r="C1066" s="192">
        <v>46256.0</v>
      </c>
      <c r="D1066" s="195">
        <v>1.65E7</v>
      </c>
      <c r="E1066" s="69" t="s">
        <v>1367</v>
      </c>
      <c r="F1066" s="69" t="s">
        <v>41</v>
      </c>
      <c r="G1066" s="69" t="s">
        <v>87</v>
      </c>
      <c r="H1066" s="99"/>
      <c r="I1066" s="9"/>
      <c r="J1066" s="9"/>
      <c r="K1066" s="9"/>
      <c r="L1066" s="9"/>
      <c r="M1066" s="9"/>
      <c r="N1066" s="9"/>
      <c r="O1066" s="9"/>
    </row>
    <row r="1067" ht="22.5" customHeight="1">
      <c r="A1067" s="49"/>
      <c r="C1067" s="192">
        <v>46256.0</v>
      </c>
      <c r="D1067" s="195">
        <v>80000.0</v>
      </c>
      <c r="E1067" s="69" t="s">
        <v>441</v>
      </c>
      <c r="F1067" s="69" t="s">
        <v>41</v>
      </c>
      <c r="G1067" s="69" t="s">
        <v>42</v>
      </c>
      <c r="H1067" s="99"/>
      <c r="I1067" s="9"/>
      <c r="J1067" s="9"/>
      <c r="K1067" s="9"/>
      <c r="L1067" s="9"/>
      <c r="M1067" s="9"/>
      <c r="N1067" s="9"/>
      <c r="O1067" s="9"/>
    </row>
    <row r="1068" ht="22.5" customHeight="1">
      <c r="A1068" s="49"/>
      <c r="C1068" s="192">
        <v>46256.0</v>
      </c>
      <c r="D1068" s="195">
        <v>20000.0</v>
      </c>
      <c r="E1068" s="69" t="s">
        <v>1639</v>
      </c>
      <c r="F1068" s="69" t="s">
        <v>41</v>
      </c>
      <c r="G1068" s="69" t="s">
        <v>42</v>
      </c>
      <c r="H1068" s="99"/>
      <c r="I1068" s="9"/>
      <c r="J1068" s="9"/>
      <c r="K1068" s="9"/>
      <c r="L1068" s="9"/>
      <c r="M1068" s="9"/>
      <c r="N1068" s="9"/>
      <c r="O1068" s="9"/>
    </row>
    <row r="1069" ht="22.5" customHeight="1">
      <c r="A1069" s="49"/>
      <c r="C1069" s="192">
        <v>46256.0</v>
      </c>
      <c r="D1069" s="195">
        <v>135000.0</v>
      </c>
      <c r="E1069" s="69" t="s">
        <v>211</v>
      </c>
      <c r="F1069" s="69" t="s">
        <v>41</v>
      </c>
      <c r="G1069" s="69" t="s">
        <v>42</v>
      </c>
      <c r="H1069" s="99"/>
      <c r="I1069" s="9"/>
      <c r="J1069" s="9"/>
      <c r="K1069" s="9"/>
      <c r="L1069" s="9"/>
      <c r="M1069" s="9"/>
      <c r="N1069" s="9"/>
      <c r="O1069" s="9"/>
    </row>
    <row r="1070" ht="22.5" customHeight="1">
      <c r="A1070" s="49"/>
      <c r="C1070" s="192">
        <v>46256.0</v>
      </c>
      <c r="D1070" s="195">
        <v>2393000.0</v>
      </c>
      <c r="E1070" s="69" t="s">
        <v>179</v>
      </c>
      <c r="F1070" s="69" t="s">
        <v>380</v>
      </c>
      <c r="G1070" s="69" t="s">
        <v>87</v>
      </c>
      <c r="H1070" s="99"/>
      <c r="I1070" s="9"/>
      <c r="J1070" s="9"/>
      <c r="K1070" s="9"/>
      <c r="L1070" s="9"/>
      <c r="M1070" s="9"/>
      <c r="N1070" s="9"/>
      <c r="O1070" s="9"/>
    </row>
    <row r="1071" ht="22.5" customHeight="1">
      <c r="A1071" s="49"/>
      <c r="C1071" s="192">
        <v>46256.0</v>
      </c>
      <c r="D1071" s="195">
        <v>20000.0</v>
      </c>
      <c r="E1071" s="69" t="s">
        <v>1643</v>
      </c>
      <c r="F1071" s="69" t="s">
        <v>41</v>
      </c>
      <c r="G1071" s="69" t="s">
        <v>42</v>
      </c>
      <c r="H1071" s="99"/>
      <c r="I1071" s="9"/>
      <c r="J1071" s="9"/>
      <c r="K1071" s="9"/>
      <c r="L1071" s="9"/>
      <c r="M1071" s="9"/>
      <c r="N1071" s="9"/>
      <c r="O1071" s="9"/>
    </row>
    <row r="1072" ht="22.5" customHeight="1">
      <c r="A1072" s="49"/>
      <c r="C1072" s="192">
        <v>46256.0</v>
      </c>
      <c r="D1072" s="195">
        <v>72000.0</v>
      </c>
      <c r="E1072" s="69" t="s">
        <v>401</v>
      </c>
      <c r="F1072" s="69" t="s">
        <v>41</v>
      </c>
      <c r="G1072" s="69" t="s">
        <v>42</v>
      </c>
      <c r="H1072" s="99"/>
      <c r="I1072" s="9"/>
      <c r="J1072" s="9"/>
      <c r="K1072" s="9"/>
      <c r="L1072" s="9"/>
      <c r="M1072" s="9"/>
      <c r="N1072" s="9"/>
      <c r="O1072" s="9"/>
    </row>
    <row r="1073" ht="22.5" customHeight="1">
      <c r="A1073" s="49"/>
      <c r="C1073" s="192">
        <v>46258.0</v>
      </c>
      <c r="D1073" s="195">
        <v>14000.0</v>
      </c>
      <c r="E1073" s="69" t="s">
        <v>73</v>
      </c>
      <c r="F1073" s="69" t="s">
        <v>41</v>
      </c>
      <c r="G1073" s="69" t="s">
        <v>42</v>
      </c>
      <c r="H1073" s="99"/>
      <c r="I1073" s="9"/>
      <c r="J1073" s="9"/>
      <c r="K1073" s="9"/>
      <c r="L1073" s="9"/>
      <c r="M1073" s="9"/>
      <c r="N1073" s="9"/>
      <c r="O1073" s="9"/>
    </row>
    <row r="1074" ht="22.5" customHeight="1">
      <c r="A1074" s="49"/>
      <c r="C1074" s="192">
        <v>46258.0</v>
      </c>
      <c r="D1074" s="195">
        <v>22000.0</v>
      </c>
      <c r="E1074" s="69" t="s">
        <v>1647</v>
      </c>
      <c r="F1074" s="69" t="s">
        <v>41</v>
      </c>
      <c r="G1074" s="69" t="s">
        <v>42</v>
      </c>
      <c r="H1074" s="99"/>
      <c r="I1074" s="9"/>
      <c r="J1074" s="9"/>
      <c r="K1074" s="9"/>
      <c r="L1074" s="9"/>
      <c r="M1074" s="9"/>
      <c r="N1074" s="9"/>
      <c r="O1074" s="9"/>
    </row>
    <row r="1075" ht="22.5" customHeight="1">
      <c r="A1075" s="49"/>
      <c r="C1075" s="192">
        <v>46258.0</v>
      </c>
      <c r="D1075" s="195">
        <v>13000.0</v>
      </c>
      <c r="E1075" s="69" t="s">
        <v>1537</v>
      </c>
      <c r="F1075" s="69" t="s">
        <v>41</v>
      </c>
      <c r="G1075" s="69" t="s">
        <v>42</v>
      </c>
      <c r="H1075" s="99"/>
      <c r="I1075" s="9"/>
      <c r="J1075" s="9"/>
      <c r="K1075" s="9"/>
      <c r="L1075" s="9"/>
      <c r="M1075" s="9"/>
      <c r="N1075" s="9"/>
      <c r="O1075" s="9"/>
    </row>
    <row r="1076" ht="22.5" customHeight="1">
      <c r="A1076" s="49"/>
      <c r="C1076" s="192">
        <v>46259.0</v>
      </c>
      <c r="D1076" s="195">
        <v>475000.0</v>
      </c>
      <c r="E1076" s="69" t="s">
        <v>1607</v>
      </c>
      <c r="F1076" s="69" t="s">
        <v>41</v>
      </c>
      <c r="G1076" s="69" t="s">
        <v>87</v>
      </c>
      <c r="H1076" s="99"/>
      <c r="I1076" s="9"/>
      <c r="J1076" s="9"/>
      <c r="K1076" s="9"/>
      <c r="L1076" s="9"/>
      <c r="M1076" s="9"/>
      <c r="N1076" s="9"/>
      <c r="O1076" s="9"/>
    </row>
    <row r="1077" ht="22.5" customHeight="1">
      <c r="A1077" s="49"/>
      <c r="C1077" s="192">
        <v>46257.0</v>
      </c>
      <c r="D1077" s="195">
        <v>220000.0</v>
      </c>
      <c r="E1077" s="69" t="s">
        <v>732</v>
      </c>
      <c r="F1077" s="69" t="s">
        <v>380</v>
      </c>
      <c r="G1077" s="69" t="s">
        <v>87</v>
      </c>
      <c r="H1077" s="99"/>
      <c r="I1077" s="9"/>
      <c r="J1077" s="9"/>
      <c r="K1077" s="9"/>
      <c r="L1077" s="9"/>
      <c r="M1077" s="9"/>
      <c r="N1077" s="9"/>
      <c r="O1077" s="9"/>
    </row>
    <row r="1078" ht="22.5" customHeight="1">
      <c r="A1078" s="49"/>
      <c r="C1078" s="192">
        <v>46259.0</v>
      </c>
      <c r="D1078" s="195">
        <v>130000.0</v>
      </c>
      <c r="E1078" s="69" t="s">
        <v>1651</v>
      </c>
      <c r="F1078" s="69" t="s">
        <v>41</v>
      </c>
      <c r="G1078" s="69" t="s">
        <v>87</v>
      </c>
      <c r="H1078" s="99"/>
      <c r="I1078" s="9"/>
      <c r="J1078" s="9"/>
      <c r="K1078" s="9"/>
      <c r="L1078" s="9"/>
      <c r="M1078" s="9"/>
      <c r="N1078" s="9"/>
      <c r="O1078" s="9"/>
    </row>
    <row r="1079" ht="22.5" customHeight="1">
      <c r="A1079" s="49"/>
      <c r="C1079" s="192">
        <v>46259.0</v>
      </c>
      <c r="D1079" s="195">
        <v>10000.0</v>
      </c>
      <c r="E1079" s="69" t="s">
        <v>1653</v>
      </c>
      <c r="F1079" s="69" t="s">
        <v>45</v>
      </c>
      <c r="G1079" s="69" t="s">
        <v>42</v>
      </c>
      <c r="H1079" s="99"/>
      <c r="I1079" s="9"/>
      <c r="J1079" s="9"/>
      <c r="K1079" s="9"/>
      <c r="L1079" s="9"/>
      <c r="M1079" s="9"/>
      <c r="N1079" s="9"/>
      <c r="O1079" s="9"/>
    </row>
    <row r="1080" ht="22.5" customHeight="1">
      <c r="A1080" s="49"/>
      <c r="C1080" s="192">
        <v>46259.0</v>
      </c>
      <c r="D1080" s="195">
        <v>35000.0</v>
      </c>
      <c r="E1080" s="69" t="s">
        <v>175</v>
      </c>
      <c r="F1080" s="69" t="s">
        <v>41</v>
      </c>
      <c r="G1080" s="69" t="s">
        <v>42</v>
      </c>
      <c r="H1080" s="99"/>
      <c r="I1080" s="9"/>
      <c r="J1080" s="9"/>
      <c r="K1080" s="9"/>
      <c r="L1080" s="9"/>
      <c r="M1080" s="9"/>
      <c r="N1080" s="9"/>
      <c r="O1080" s="9"/>
    </row>
    <row r="1081" ht="22.5" customHeight="1">
      <c r="A1081" s="49"/>
      <c r="C1081" s="192">
        <v>46261.0</v>
      </c>
      <c r="D1081" s="195">
        <v>16000.0</v>
      </c>
      <c r="E1081" s="69" t="s">
        <v>1657</v>
      </c>
      <c r="F1081" s="69" t="s">
        <v>41</v>
      </c>
      <c r="G1081" s="69" t="s">
        <v>42</v>
      </c>
      <c r="H1081" s="99"/>
      <c r="I1081" s="9"/>
      <c r="J1081" s="9"/>
      <c r="K1081" s="9"/>
      <c r="L1081" s="9"/>
      <c r="M1081" s="9"/>
      <c r="N1081" s="9"/>
      <c r="O1081" s="9"/>
    </row>
    <row r="1082" ht="22.5" customHeight="1">
      <c r="A1082" s="49"/>
      <c r="C1082" s="192">
        <v>46261.0</v>
      </c>
      <c r="D1082" s="195">
        <v>20000.0</v>
      </c>
      <c r="E1082" s="69" t="s">
        <v>1658</v>
      </c>
      <c r="F1082" s="69" t="s">
        <v>41</v>
      </c>
      <c r="G1082" s="69" t="s">
        <v>42</v>
      </c>
      <c r="H1082" s="99"/>
      <c r="I1082" s="9"/>
      <c r="J1082" s="9"/>
      <c r="K1082" s="9"/>
      <c r="L1082" s="9"/>
      <c r="M1082" s="9"/>
      <c r="N1082" s="9"/>
      <c r="O1082" s="9"/>
    </row>
    <row r="1083" ht="22.5" customHeight="1">
      <c r="A1083" s="49"/>
      <c r="C1083" s="192">
        <v>46261.0</v>
      </c>
      <c r="D1083" s="195">
        <v>20000.0</v>
      </c>
      <c r="E1083" s="69" t="s">
        <v>1659</v>
      </c>
      <c r="F1083" s="69" t="s">
        <v>41</v>
      </c>
      <c r="G1083" s="69" t="s">
        <v>42</v>
      </c>
      <c r="H1083" s="99"/>
      <c r="I1083" s="9"/>
      <c r="J1083" s="9"/>
      <c r="K1083" s="9"/>
      <c r="L1083" s="9"/>
      <c r="M1083" s="9"/>
      <c r="N1083" s="9"/>
      <c r="O1083" s="9"/>
    </row>
    <row r="1084" ht="22.5" customHeight="1">
      <c r="A1084" s="49"/>
      <c r="C1084" s="192">
        <v>46261.0</v>
      </c>
      <c r="D1084" s="195">
        <v>13000.0</v>
      </c>
      <c r="E1084" s="69" t="s">
        <v>1663</v>
      </c>
      <c r="F1084" s="69" t="s">
        <v>41</v>
      </c>
      <c r="G1084" s="69" t="s">
        <v>42</v>
      </c>
      <c r="H1084" s="99"/>
      <c r="I1084" s="9"/>
      <c r="J1084" s="9"/>
      <c r="K1084" s="9"/>
      <c r="L1084" s="9"/>
      <c r="M1084" s="9"/>
      <c r="N1084" s="9"/>
      <c r="O1084" s="9"/>
    </row>
    <row r="1085" ht="22.5" customHeight="1">
      <c r="A1085" s="49"/>
      <c r="C1085" s="192">
        <v>46261.0</v>
      </c>
      <c r="D1085" s="195">
        <v>30000.0</v>
      </c>
      <c r="E1085" s="69" t="s">
        <v>1664</v>
      </c>
      <c r="F1085" s="69" t="s">
        <v>45</v>
      </c>
      <c r="G1085" s="69" t="s">
        <v>42</v>
      </c>
      <c r="H1085" s="99"/>
      <c r="I1085" s="9"/>
      <c r="J1085" s="9"/>
      <c r="K1085" s="9"/>
      <c r="L1085" s="9"/>
      <c r="M1085" s="9"/>
      <c r="N1085" s="9"/>
      <c r="O1085" s="9"/>
    </row>
    <row r="1086" ht="22.5" customHeight="1">
      <c r="A1086" s="49"/>
      <c r="C1086" s="192">
        <v>46262.0</v>
      </c>
      <c r="D1086" s="195">
        <v>15000.0</v>
      </c>
      <c r="E1086" s="69" t="s">
        <v>928</v>
      </c>
      <c r="F1086" s="69" t="s">
        <v>41</v>
      </c>
      <c r="G1086" s="69" t="s">
        <v>42</v>
      </c>
      <c r="H1086" s="99"/>
      <c r="I1086" s="9"/>
      <c r="J1086" s="9"/>
      <c r="K1086" s="9"/>
      <c r="L1086" s="9"/>
      <c r="M1086" s="9"/>
      <c r="N1086" s="9"/>
      <c r="O1086" s="9"/>
    </row>
    <row r="1087" ht="22.5" customHeight="1">
      <c r="A1087" s="49"/>
      <c r="C1087" s="192">
        <v>46262.0</v>
      </c>
      <c r="D1087" s="195">
        <v>503000.0</v>
      </c>
      <c r="E1087" s="69" t="s">
        <v>495</v>
      </c>
      <c r="F1087" s="69" t="s">
        <v>380</v>
      </c>
      <c r="G1087" s="69" t="s">
        <v>87</v>
      </c>
      <c r="H1087" s="99"/>
      <c r="I1087" s="9"/>
      <c r="J1087" s="9"/>
      <c r="K1087" s="9"/>
      <c r="L1087" s="9"/>
      <c r="M1087" s="9"/>
      <c r="N1087" s="9"/>
      <c r="O1087" s="9"/>
    </row>
    <row r="1088" ht="22.5" customHeight="1">
      <c r="A1088" s="49"/>
      <c r="C1088" s="192">
        <v>46263.0</v>
      </c>
      <c r="D1088" s="195">
        <v>2475000.0</v>
      </c>
      <c r="E1088" s="69" t="s">
        <v>179</v>
      </c>
      <c r="F1088" s="69" t="s">
        <v>380</v>
      </c>
      <c r="G1088" s="69" t="s">
        <v>87</v>
      </c>
      <c r="H1088" s="99"/>
      <c r="I1088" s="9"/>
      <c r="J1088" s="9"/>
      <c r="K1088" s="9"/>
      <c r="L1088" s="9"/>
      <c r="M1088" s="9"/>
      <c r="N1088" s="9"/>
      <c r="O1088" s="9"/>
    </row>
    <row r="1089" ht="22.5" customHeight="1">
      <c r="A1089" s="49"/>
      <c r="C1089" s="192">
        <v>46263.0</v>
      </c>
      <c r="D1089" s="195">
        <v>30000.0</v>
      </c>
      <c r="E1089" s="69" t="s">
        <v>1668</v>
      </c>
      <c r="F1089" s="69" t="s">
        <v>41</v>
      </c>
      <c r="G1089" s="69" t="s">
        <v>42</v>
      </c>
      <c r="H1089" s="99"/>
      <c r="I1089" s="9"/>
      <c r="J1089" s="9"/>
      <c r="K1089" s="9"/>
      <c r="L1089" s="9"/>
      <c r="M1089" s="9"/>
      <c r="N1089" s="9"/>
      <c r="O1089" s="9"/>
    </row>
    <row r="1090" ht="22.5" customHeight="1">
      <c r="A1090" s="49"/>
      <c r="C1090" s="192">
        <v>46263.0</v>
      </c>
      <c r="D1090" s="195">
        <v>20000.0</v>
      </c>
      <c r="E1090" s="69" t="s">
        <v>229</v>
      </c>
      <c r="F1090" s="69" t="s">
        <v>41</v>
      </c>
      <c r="G1090" s="69" t="s">
        <v>42</v>
      </c>
      <c r="H1090" s="99"/>
      <c r="I1090" s="9"/>
      <c r="J1090" s="9"/>
      <c r="K1090" s="9"/>
      <c r="L1090" s="9"/>
      <c r="M1090" s="9"/>
      <c r="N1090" s="9"/>
      <c r="O1090" s="9"/>
    </row>
    <row r="1091" ht="22.5" customHeight="1">
      <c r="A1091" s="49"/>
      <c r="C1091" s="192">
        <v>46263.0</v>
      </c>
      <c r="D1091" s="195">
        <v>150000.0</v>
      </c>
      <c r="E1091" s="69" t="s">
        <v>211</v>
      </c>
      <c r="F1091" s="69" t="s">
        <v>41</v>
      </c>
      <c r="G1091" s="69" t="s">
        <v>42</v>
      </c>
      <c r="H1091" s="99"/>
      <c r="I1091" s="9"/>
      <c r="J1091" s="9"/>
      <c r="K1091" s="9"/>
      <c r="L1091" s="9"/>
      <c r="M1091" s="9"/>
      <c r="N1091" s="9"/>
      <c r="O1091" s="9"/>
    </row>
    <row r="1092" ht="22.5" customHeight="1">
      <c r="A1092" s="49"/>
      <c r="C1092" s="192">
        <v>46263.0</v>
      </c>
      <c r="D1092" s="195">
        <v>25000.0</v>
      </c>
      <c r="E1092" s="69" t="s">
        <v>1335</v>
      </c>
      <c r="F1092" s="69" t="s">
        <v>41</v>
      </c>
      <c r="G1092" s="69" t="s">
        <v>42</v>
      </c>
      <c r="H1092" s="99"/>
      <c r="I1092" s="9"/>
      <c r="J1092" s="9"/>
      <c r="K1092" s="9"/>
      <c r="L1092" s="9"/>
      <c r="M1092" s="9"/>
      <c r="N1092" s="9"/>
      <c r="O1092" s="9"/>
    </row>
    <row r="1093" ht="22.5" customHeight="1">
      <c r="A1093" s="49"/>
      <c r="C1093" s="192">
        <v>46263.0</v>
      </c>
      <c r="D1093" s="195">
        <v>35000.0</v>
      </c>
      <c r="E1093" s="69" t="s">
        <v>1671</v>
      </c>
      <c r="F1093" s="69" t="s">
        <v>41</v>
      </c>
      <c r="G1093" s="69" t="s">
        <v>42</v>
      </c>
      <c r="H1093" s="99"/>
      <c r="I1093" s="9"/>
      <c r="J1093" s="9"/>
      <c r="K1093" s="9"/>
      <c r="L1093" s="9"/>
      <c r="M1093" s="9"/>
      <c r="N1093" s="9"/>
      <c r="O1093" s="9"/>
    </row>
    <row r="1094" ht="22.5" customHeight="1">
      <c r="A1094" s="49"/>
      <c r="C1094" s="192">
        <v>46263.0</v>
      </c>
      <c r="D1094" s="195">
        <v>5000.0</v>
      </c>
      <c r="E1094" s="69" t="s">
        <v>665</v>
      </c>
      <c r="F1094" s="69" t="s">
        <v>41</v>
      </c>
      <c r="G1094" s="69" t="s">
        <v>42</v>
      </c>
      <c r="H1094" s="99"/>
      <c r="I1094" s="9"/>
      <c r="J1094" s="9"/>
      <c r="K1094" s="9"/>
      <c r="L1094" s="9"/>
      <c r="M1094" s="9"/>
      <c r="N1094" s="9"/>
      <c r="O1094" s="9"/>
    </row>
    <row r="1095" ht="22.5" customHeight="1">
      <c r="A1095" s="49"/>
      <c r="C1095" s="192">
        <v>46263.0</v>
      </c>
      <c r="D1095" s="195">
        <v>20000.0</v>
      </c>
      <c r="E1095" s="69" t="s">
        <v>1674</v>
      </c>
      <c r="F1095" s="69" t="s">
        <v>41</v>
      </c>
      <c r="G1095" s="69" t="s">
        <v>42</v>
      </c>
      <c r="H1095" s="99"/>
      <c r="I1095" s="9"/>
      <c r="J1095" s="9"/>
      <c r="K1095" s="9"/>
      <c r="L1095" s="9"/>
      <c r="M1095" s="9"/>
      <c r="N1095" s="9"/>
      <c r="O1095" s="9"/>
    </row>
    <row r="1096" ht="22.5" customHeight="1">
      <c r="A1096" s="49"/>
      <c r="C1096" s="192">
        <v>46264.0</v>
      </c>
      <c r="D1096" s="195">
        <v>10000.0</v>
      </c>
      <c r="E1096" s="69" t="s">
        <v>1675</v>
      </c>
      <c r="F1096" s="69" t="s">
        <v>41</v>
      </c>
      <c r="G1096" s="69" t="s">
        <v>87</v>
      </c>
      <c r="H1096" s="99"/>
      <c r="I1096" s="9"/>
      <c r="J1096" s="9"/>
      <c r="K1096" s="9"/>
      <c r="L1096" s="9"/>
      <c r="M1096" s="9"/>
      <c r="N1096" s="9"/>
      <c r="O1096" s="9"/>
    </row>
    <row r="1097" ht="22.5" customHeight="1">
      <c r="A1097" s="49"/>
      <c r="C1097" s="192">
        <v>46264.0</v>
      </c>
      <c r="D1097" s="195">
        <v>230000.0</v>
      </c>
      <c r="E1097" s="69" t="s">
        <v>302</v>
      </c>
      <c r="F1097" s="69" t="s">
        <v>380</v>
      </c>
      <c r="G1097" s="69" t="s">
        <v>87</v>
      </c>
      <c r="H1097" s="99"/>
      <c r="I1097" s="9"/>
      <c r="J1097" s="9"/>
      <c r="K1097" s="9"/>
      <c r="L1097" s="9"/>
      <c r="M1097" s="9"/>
      <c r="N1097" s="9"/>
      <c r="O1097" s="9"/>
    </row>
    <row r="1098" ht="22.5" customHeight="1">
      <c r="A1098" s="49"/>
      <c r="C1098" s="192">
        <v>46250.0</v>
      </c>
      <c r="D1098" s="195">
        <v>220000.0</v>
      </c>
      <c r="E1098" s="69" t="s">
        <v>302</v>
      </c>
      <c r="F1098" s="69" t="s">
        <v>380</v>
      </c>
      <c r="G1098" s="69" t="s">
        <v>87</v>
      </c>
      <c r="H1098" s="99"/>
      <c r="I1098" s="9"/>
      <c r="J1098" s="9"/>
      <c r="K1098" s="9"/>
      <c r="L1098" s="9"/>
      <c r="M1098" s="9"/>
      <c r="N1098" s="9"/>
      <c r="O1098" s="9"/>
    </row>
    <row r="1099" ht="22.5" customHeight="1">
      <c r="A1099" s="49"/>
      <c r="C1099" s="192">
        <v>46264.0</v>
      </c>
      <c r="D1099" s="195">
        <v>13000.0</v>
      </c>
      <c r="E1099" s="69" t="s">
        <v>435</v>
      </c>
      <c r="F1099" s="69" t="s">
        <v>41</v>
      </c>
      <c r="G1099" s="69" t="s">
        <v>42</v>
      </c>
      <c r="H1099" s="99"/>
      <c r="I1099" s="9"/>
      <c r="J1099" s="9"/>
      <c r="K1099" s="9"/>
      <c r="L1099" s="9"/>
      <c r="M1099" s="9"/>
      <c r="N1099" s="9"/>
      <c r="O1099" s="9"/>
    </row>
    <row r="1100" ht="22.5" customHeight="1">
      <c r="A1100" s="49"/>
      <c r="C1100" s="192">
        <v>46264.0</v>
      </c>
      <c r="D1100" s="195">
        <v>40000.0</v>
      </c>
      <c r="E1100" s="69" t="s">
        <v>549</v>
      </c>
      <c r="F1100" s="69" t="s">
        <v>41</v>
      </c>
      <c r="G1100" s="69" t="s">
        <v>42</v>
      </c>
      <c r="H1100" s="99"/>
      <c r="I1100" s="9"/>
      <c r="J1100" s="9"/>
      <c r="K1100" s="9"/>
      <c r="L1100" s="9"/>
      <c r="M1100" s="9"/>
      <c r="N1100" s="9"/>
      <c r="O1100" s="9"/>
    </row>
    <row r="1101" ht="22.5" customHeight="1">
      <c r="A1101" s="49"/>
      <c r="C1101" s="192">
        <v>46264.0</v>
      </c>
      <c r="D1101" s="195">
        <v>5000.0</v>
      </c>
      <c r="E1101" s="69" t="s">
        <v>1537</v>
      </c>
      <c r="F1101" s="69" t="s">
        <v>41</v>
      </c>
      <c r="G1101" s="69" t="s">
        <v>42</v>
      </c>
      <c r="H1101" s="99"/>
      <c r="I1101" s="9"/>
      <c r="J1101" s="9"/>
      <c r="K1101" s="9"/>
      <c r="L1101" s="9"/>
      <c r="M1101" s="9"/>
      <c r="N1101" s="9"/>
      <c r="O1101" s="9"/>
    </row>
    <row r="1102" ht="22.5" customHeight="1">
      <c r="A1102" s="49"/>
      <c r="C1102" s="192">
        <v>46264.0</v>
      </c>
      <c r="D1102" s="195">
        <v>25000.0</v>
      </c>
      <c r="E1102" s="69" t="s">
        <v>1681</v>
      </c>
      <c r="F1102" s="69" t="s">
        <v>41</v>
      </c>
      <c r="G1102" s="69" t="s">
        <v>42</v>
      </c>
      <c r="H1102" s="99"/>
      <c r="I1102" s="9"/>
      <c r="J1102" s="9"/>
      <c r="K1102" s="9"/>
      <c r="L1102" s="9"/>
      <c r="M1102" s="9"/>
      <c r="N1102" s="9"/>
      <c r="O1102" s="9"/>
    </row>
    <row r="1103" ht="22.5" customHeight="1">
      <c r="A1103" s="49"/>
      <c r="C1103" s="192">
        <v>46264.0</v>
      </c>
      <c r="D1103" s="195">
        <v>50000.0</v>
      </c>
      <c r="E1103" s="69" t="s">
        <v>1682</v>
      </c>
      <c r="F1103" s="69" t="s">
        <v>41</v>
      </c>
      <c r="G1103" s="69" t="s">
        <v>42</v>
      </c>
      <c r="H1103" s="99"/>
      <c r="I1103" s="9"/>
      <c r="J1103" s="9"/>
      <c r="K1103" s="9"/>
      <c r="L1103" s="9"/>
      <c r="M1103" s="9"/>
      <c r="N1103" s="9"/>
      <c r="O1103" s="9"/>
    </row>
    <row r="1104" ht="22.5" customHeight="1">
      <c r="A1104" s="49"/>
      <c r="C1104" s="192">
        <v>46265.0</v>
      </c>
      <c r="D1104" s="195">
        <v>10000.0</v>
      </c>
      <c r="E1104" s="69" t="s">
        <v>945</v>
      </c>
      <c r="F1104" s="69" t="s">
        <v>41</v>
      </c>
      <c r="G1104" s="69" t="s">
        <v>42</v>
      </c>
      <c r="H1104" s="99"/>
      <c r="I1104" s="9"/>
      <c r="J1104" s="9"/>
      <c r="K1104" s="9"/>
      <c r="L1104" s="9"/>
      <c r="M1104" s="9"/>
      <c r="N1104" s="9"/>
      <c r="O1104" s="9"/>
    </row>
    <row r="1105" ht="22.5" customHeight="1">
      <c r="A1105" s="49"/>
      <c r="C1105" s="192">
        <v>46265.0</v>
      </c>
      <c r="D1105" s="195">
        <v>35000.0</v>
      </c>
      <c r="E1105" s="69" t="s">
        <v>175</v>
      </c>
      <c r="F1105" s="69" t="s">
        <v>41</v>
      </c>
      <c r="G1105" s="69" t="s">
        <v>42</v>
      </c>
      <c r="H1105" s="99"/>
      <c r="I1105" s="9"/>
      <c r="J1105" s="9"/>
      <c r="K1105" s="9"/>
      <c r="L1105" s="9"/>
      <c r="M1105" s="9"/>
      <c r="N1105" s="9"/>
      <c r="O1105" s="9"/>
    </row>
    <row r="1106" ht="22.5" customHeight="1">
      <c r="A1106" s="49"/>
      <c r="C1106" s="192">
        <v>46265.0</v>
      </c>
      <c r="D1106" s="195">
        <v>155000.0</v>
      </c>
      <c r="E1106" s="69" t="s">
        <v>590</v>
      </c>
      <c r="F1106" s="69" t="s">
        <v>41</v>
      </c>
      <c r="G1106" s="69" t="s">
        <v>42</v>
      </c>
      <c r="H1106" s="99"/>
      <c r="I1106" s="9"/>
      <c r="J1106" s="9"/>
      <c r="K1106" s="9"/>
      <c r="L1106" s="9"/>
      <c r="M1106" s="9"/>
      <c r="N1106" s="9"/>
      <c r="O1106" s="9"/>
    </row>
    <row r="1107" ht="22.5" customHeight="1">
      <c r="A1107" s="49"/>
      <c r="C1107" s="192">
        <v>46265.0</v>
      </c>
      <c r="D1107" s="195">
        <v>10000.0</v>
      </c>
      <c r="E1107" s="69" t="s">
        <v>710</v>
      </c>
      <c r="F1107" s="69" t="s">
        <v>41</v>
      </c>
      <c r="G1107" s="69" t="s">
        <v>42</v>
      </c>
      <c r="H1107" s="99"/>
      <c r="I1107" s="9"/>
      <c r="J1107" s="9"/>
      <c r="K1107" s="9"/>
      <c r="L1107" s="9"/>
      <c r="M1107" s="9"/>
      <c r="N1107" s="9"/>
      <c r="O1107" s="9"/>
    </row>
    <row r="1108" ht="22.5" customHeight="1">
      <c r="A1108" s="49"/>
      <c r="C1108" s="192">
        <v>46266.0</v>
      </c>
      <c r="D1108" s="195">
        <v>20000.0</v>
      </c>
      <c r="E1108" s="69" t="s">
        <v>338</v>
      </c>
      <c r="F1108" s="69" t="s">
        <v>41</v>
      </c>
      <c r="G1108" s="69" t="s">
        <v>42</v>
      </c>
      <c r="H1108" s="99"/>
      <c r="I1108" s="9"/>
      <c r="J1108" s="9"/>
      <c r="K1108" s="9"/>
      <c r="L1108" s="9"/>
      <c r="M1108" s="9"/>
      <c r="N1108" s="9"/>
      <c r="O1108" s="9"/>
    </row>
    <row r="1109" ht="22.5" customHeight="1">
      <c r="A1109" s="49"/>
      <c r="C1109" s="192">
        <v>46266.0</v>
      </c>
      <c r="D1109" s="195">
        <v>50000.0</v>
      </c>
      <c r="E1109" s="69" t="s">
        <v>423</v>
      </c>
      <c r="F1109" s="69" t="s">
        <v>41</v>
      </c>
      <c r="G1109" s="69" t="s">
        <v>42</v>
      </c>
      <c r="H1109" s="99"/>
      <c r="I1109" s="9"/>
      <c r="J1109" s="9"/>
      <c r="K1109" s="9"/>
      <c r="L1109" s="9"/>
      <c r="M1109" s="9"/>
      <c r="N1109" s="9"/>
      <c r="O1109" s="9"/>
    </row>
    <row r="1110" ht="22.5" customHeight="1">
      <c r="A1110" s="49"/>
      <c r="C1110" s="192">
        <v>46266.0</v>
      </c>
      <c r="D1110" s="195">
        <v>60000.0</v>
      </c>
      <c r="E1110" s="69" t="s">
        <v>1685</v>
      </c>
      <c r="F1110" s="69" t="s">
        <v>41</v>
      </c>
      <c r="G1110" s="69" t="s">
        <v>42</v>
      </c>
      <c r="H1110" s="99"/>
      <c r="I1110" s="9"/>
      <c r="J1110" s="9"/>
      <c r="K1110" s="9"/>
      <c r="L1110" s="9"/>
      <c r="M1110" s="9"/>
      <c r="N1110" s="9"/>
      <c r="O1110" s="9"/>
    </row>
    <row r="1111" ht="22.5" customHeight="1">
      <c r="A1111" s="49"/>
      <c r="C1111" s="192">
        <v>46267.0</v>
      </c>
      <c r="D1111" s="195">
        <v>25000.0</v>
      </c>
      <c r="E1111" s="69" t="s">
        <v>1687</v>
      </c>
      <c r="F1111" s="69" t="s">
        <v>41</v>
      </c>
      <c r="G1111" s="69" t="s">
        <v>42</v>
      </c>
      <c r="H1111" s="99"/>
      <c r="I1111" s="9"/>
      <c r="J1111" s="9"/>
      <c r="K1111" s="9"/>
      <c r="L1111" s="9"/>
      <c r="M1111" s="9"/>
      <c r="N1111" s="9"/>
      <c r="O1111" s="9"/>
    </row>
    <row r="1112" ht="22.5" customHeight="1">
      <c r="A1112" s="49"/>
      <c r="C1112" s="192">
        <v>46267.0</v>
      </c>
      <c r="D1112" s="195">
        <v>5000.0</v>
      </c>
      <c r="E1112" s="69" t="s">
        <v>1690</v>
      </c>
      <c r="F1112" s="69" t="s">
        <v>41</v>
      </c>
      <c r="G1112" s="69" t="s">
        <v>42</v>
      </c>
      <c r="H1112" s="99"/>
      <c r="I1112" s="9"/>
      <c r="J1112" s="9"/>
      <c r="K1112" s="9"/>
      <c r="L1112" s="9"/>
      <c r="M1112" s="9"/>
      <c r="N1112" s="9"/>
      <c r="O1112" s="9"/>
    </row>
    <row r="1113" ht="22.5" customHeight="1">
      <c r="A1113" s="49"/>
      <c r="C1113" s="192">
        <v>46267.0</v>
      </c>
      <c r="D1113" s="195">
        <v>20000.0</v>
      </c>
      <c r="E1113" s="69" t="s">
        <v>175</v>
      </c>
      <c r="F1113" s="69" t="s">
        <v>41</v>
      </c>
      <c r="G1113" s="69" t="s">
        <v>42</v>
      </c>
      <c r="H1113" s="99"/>
      <c r="I1113" s="9"/>
      <c r="J1113" s="9"/>
      <c r="K1113" s="9"/>
      <c r="L1113" s="9"/>
      <c r="M1113" s="9"/>
      <c r="N1113" s="9"/>
      <c r="O1113" s="9"/>
    </row>
    <row r="1114" ht="22.5" customHeight="1">
      <c r="A1114" s="49"/>
      <c r="C1114" s="192">
        <v>46267.0</v>
      </c>
      <c r="D1114" s="195">
        <v>25000.0</v>
      </c>
      <c r="E1114" s="69" t="s">
        <v>1691</v>
      </c>
      <c r="F1114" s="69" t="s">
        <v>41</v>
      </c>
      <c r="G1114" s="69" t="s">
        <v>42</v>
      </c>
      <c r="H1114" s="99"/>
      <c r="I1114" s="9"/>
      <c r="J1114" s="9"/>
      <c r="K1114" s="9"/>
      <c r="L1114" s="9"/>
      <c r="M1114" s="9"/>
      <c r="N1114" s="9"/>
      <c r="O1114" s="9"/>
    </row>
    <row r="1115" ht="22.5" customHeight="1">
      <c r="A1115" s="49"/>
      <c r="C1115" s="192">
        <v>46267.0</v>
      </c>
      <c r="D1115" s="195">
        <v>150000.0</v>
      </c>
      <c r="E1115" s="69" t="s">
        <v>1692</v>
      </c>
      <c r="F1115" s="69" t="s">
        <v>41</v>
      </c>
      <c r="G1115" s="69" t="s">
        <v>42</v>
      </c>
      <c r="H1115" s="99"/>
      <c r="I1115" s="9"/>
      <c r="J1115" s="9"/>
      <c r="K1115" s="9"/>
      <c r="L1115" s="9"/>
      <c r="M1115" s="9"/>
      <c r="N1115" s="9"/>
      <c r="O1115" s="9"/>
    </row>
    <row r="1116" ht="22.5" customHeight="1">
      <c r="A1116" s="49"/>
      <c r="C1116" s="192">
        <v>46267.0</v>
      </c>
      <c r="D1116" s="195">
        <v>55000.0</v>
      </c>
      <c r="E1116" s="69" t="s">
        <v>137</v>
      </c>
      <c r="F1116" s="69" t="s">
        <v>41</v>
      </c>
      <c r="G1116" s="69" t="s">
        <v>42</v>
      </c>
      <c r="H1116" s="99"/>
      <c r="I1116" s="9"/>
      <c r="J1116" s="9"/>
      <c r="K1116" s="9"/>
      <c r="L1116" s="9"/>
      <c r="M1116" s="9"/>
      <c r="N1116" s="9"/>
      <c r="O1116" s="9"/>
    </row>
    <row r="1117" ht="22.5" customHeight="1">
      <c r="A1117" s="49"/>
      <c r="C1117" s="192">
        <v>46267.0</v>
      </c>
      <c r="D1117" s="195">
        <v>20000.0</v>
      </c>
      <c r="E1117" s="69" t="s">
        <v>1694</v>
      </c>
      <c r="F1117" s="69" t="s">
        <v>41</v>
      </c>
      <c r="G1117" s="69" t="s">
        <v>42</v>
      </c>
      <c r="H1117" s="99"/>
      <c r="I1117" s="9"/>
      <c r="J1117" s="9"/>
      <c r="K1117" s="9"/>
      <c r="L1117" s="9"/>
      <c r="M1117" s="9"/>
      <c r="N1117" s="9"/>
      <c r="O1117" s="9"/>
    </row>
    <row r="1118" ht="22.5" customHeight="1">
      <c r="A1118" s="49"/>
      <c r="C1118" s="192">
        <v>46268.0</v>
      </c>
      <c r="D1118" s="195">
        <v>25000.0</v>
      </c>
      <c r="E1118" s="69" t="s">
        <v>1696</v>
      </c>
      <c r="F1118" s="69" t="s">
        <v>41</v>
      </c>
      <c r="G1118" s="69" t="s">
        <v>42</v>
      </c>
      <c r="H1118" s="99"/>
      <c r="I1118" s="9"/>
      <c r="J1118" s="9"/>
      <c r="K1118" s="9"/>
      <c r="L1118" s="9"/>
      <c r="M1118" s="9"/>
      <c r="N1118" s="9"/>
      <c r="O1118" s="9"/>
    </row>
    <row r="1119" ht="22.5" customHeight="1">
      <c r="A1119" s="49"/>
      <c r="C1119" s="192">
        <v>46268.0</v>
      </c>
      <c r="D1119" s="195">
        <v>430000.0</v>
      </c>
      <c r="E1119" s="69" t="s">
        <v>1699</v>
      </c>
      <c r="F1119" s="69" t="s">
        <v>41</v>
      </c>
      <c r="G1119" s="69" t="s">
        <v>42</v>
      </c>
      <c r="H1119" s="99"/>
      <c r="I1119" s="9"/>
      <c r="J1119" s="9"/>
      <c r="K1119" s="9"/>
      <c r="L1119" s="9"/>
      <c r="M1119" s="9"/>
      <c r="N1119" s="9"/>
      <c r="O1119" s="9"/>
    </row>
    <row r="1120" ht="22.5" customHeight="1">
      <c r="A1120" s="49"/>
      <c r="C1120" s="192">
        <v>46268.0</v>
      </c>
      <c r="D1120" s="195">
        <v>20000.0</v>
      </c>
      <c r="E1120" s="69" t="s">
        <v>1352</v>
      </c>
      <c r="F1120" s="69" t="s">
        <v>41</v>
      </c>
      <c r="G1120" s="69" t="s">
        <v>42</v>
      </c>
      <c r="H1120" s="99"/>
      <c r="I1120" s="9"/>
      <c r="J1120" s="9"/>
      <c r="K1120" s="9"/>
      <c r="L1120" s="9"/>
      <c r="M1120" s="9"/>
      <c r="N1120" s="9"/>
      <c r="O1120" s="9"/>
    </row>
    <row r="1121" ht="22.5" customHeight="1">
      <c r="A1121" s="49"/>
      <c r="C1121" s="192">
        <v>46268.0</v>
      </c>
      <c r="D1121" s="195">
        <v>30000.0</v>
      </c>
      <c r="E1121" s="69" t="s">
        <v>175</v>
      </c>
      <c r="F1121" s="69" t="s">
        <v>41</v>
      </c>
      <c r="G1121" s="69" t="s">
        <v>42</v>
      </c>
      <c r="H1121" s="99"/>
      <c r="I1121" s="9"/>
      <c r="J1121" s="9"/>
      <c r="K1121" s="9"/>
      <c r="L1121" s="9"/>
      <c r="M1121" s="9"/>
      <c r="N1121" s="9"/>
      <c r="O1121" s="9"/>
    </row>
    <row r="1122" ht="22.5" customHeight="1">
      <c r="A1122" s="49"/>
      <c r="C1122" s="192">
        <v>46269.0</v>
      </c>
      <c r="D1122" s="195">
        <v>25000.0</v>
      </c>
      <c r="E1122" s="69" t="s">
        <v>1703</v>
      </c>
      <c r="F1122" s="69" t="s">
        <v>41</v>
      </c>
      <c r="G1122" s="69" t="s">
        <v>42</v>
      </c>
      <c r="H1122" s="99"/>
      <c r="I1122" s="9"/>
      <c r="J1122" s="9"/>
      <c r="K1122" s="9"/>
      <c r="L1122" s="9"/>
      <c r="M1122" s="9"/>
      <c r="N1122" s="9"/>
      <c r="O1122" s="9"/>
    </row>
    <row r="1123" ht="22.5" customHeight="1">
      <c r="A1123" s="49"/>
      <c r="C1123" s="192">
        <v>46269.0</v>
      </c>
      <c r="D1123" s="195">
        <v>30000.0</v>
      </c>
      <c r="E1123" s="69" t="s">
        <v>328</v>
      </c>
      <c r="F1123" s="69" t="s">
        <v>45</v>
      </c>
      <c r="G1123" s="69" t="s">
        <v>42</v>
      </c>
      <c r="H1123" s="99"/>
      <c r="I1123" s="9"/>
      <c r="J1123" s="9"/>
      <c r="K1123" s="9"/>
      <c r="L1123" s="9"/>
      <c r="M1123" s="9"/>
      <c r="N1123" s="9"/>
      <c r="O1123" s="9"/>
    </row>
    <row r="1124" ht="22.5" customHeight="1">
      <c r="A1124" s="49"/>
      <c r="C1124" s="192">
        <v>46269.0</v>
      </c>
      <c r="D1124" s="195">
        <v>300000.0</v>
      </c>
      <c r="E1124" s="69" t="s">
        <v>402</v>
      </c>
      <c r="F1124" s="69" t="s">
        <v>41</v>
      </c>
      <c r="G1124" s="69" t="s">
        <v>42</v>
      </c>
      <c r="H1124" s="99"/>
      <c r="I1124" s="9"/>
      <c r="J1124" s="9"/>
      <c r="K1124" s="9"/>
      <c r="L1124" s="9"/>
      <c r="M1124" s="9"/>
      <c r="N1124" s="9"/>
      <c r="O1124" s="9"/>
    </row>
    <row r="1125" ht="22.5" customHeight="1">
      <c r="A1125" s="49"/>
      <c r="C1125" s="192">
        <v>46270.0</v>
      </c>
      <c r="D1125" s="195">
        <v>2370000.0</v>
      </c>
      <c r="E1125" s="69" t="s">
        <v>179</v>
      </c>
      <c r="F1125" s="69" t="s">
        <v>45</v>
      </c>
      <c r="G1125" s="69" t="s">
        <v>87</v>
      </c>
      <c r="H1125" s="99"/>
      <c r="I1125" s="9"/>
      <c r="J1125" s="9"/>
      <c r="K1125" s="9"/>
      <c r="L1125" s="9"/>
      <c r="M1125" s="9"/>
      <c r="N1125" s="9"/>
      <c r="O1125" s="9"/>
    </row>
    <row r="1126" ht="22.5" customHeight="1">
      <c r="A1126" s="49"/>
      <c r="C1126" s="192">
        <v>46270.0</v>
      </c>
      <c r="D1126" s="195">
        <v>1250000.0</v>
      </c>
      <c r="E1126" s="69" t="s">
        <v>1706</v>
      </c>
      <c r="F1126" s="69" t="s">
        <v>41</v>
      </c>
      <c r="G1126" s="69" t="s">
        <v>42</v>
      </c>
      <c r="H1126" s="99"/>
      <c r="I1126" s="9"/>
      <c r="J1126" s="9"/>
      <c r="K1126" s="9"/>
      <c r="L1126" s="9"/>
      <c r="M1126" s="9"/>
      <c r="N1126" s="9"/>
      <c r="O1126" s="9"/>
    </row>
    <row r="1127" ht="22.5" customHeight="1">
      <c r="A1127" s="49"/>
      <c r="C1127" s="192">
        <v>46270.0</v>
      </c>
      <c r="D1127" s="195">
        <v>180000.0</v>
      </c>
      <c r="E1127" s="69" t="s">
        <v>211</v>
      </c>
      <c r="F1127" s="69" t="s">
        <v>41</v>
      </c>
      <c r="G1127" s="69" t="s">
        <v>42</v>
      </c>
      <c r="H1127" s="99"/>
      <c r="I1127" s="9"/>
      <c r="J1127" s="9"/>
      <c r="K1127" s="9"/>
      <c r="L1127" s="9"/>
      <c r="M1127" s="9"/>
      <c r="N1127" s="9"/>
      <c r="O1127" s="9"/>
    </row>
    <row r="1128" ht="22.5" customHeight="1">
      <c r="A1128" s="49"/>
      <c r="C1128" s="192">
        <v>46272.0</v>
      </c>
      <c r="D1128" s="195">
        <v>20000.0</v>
      </c>
      <c r="E1128" s="69" t="s">
        <v>481</v>
      </c>
      <c r="F1128" s="69" t="s">
        <v>41</v>
      </c>
      <c r="G1128" s="69" t="s">
        <v>42</v>
      </c>
      <c r="H1128" s="99"/>
      <c r="I1128" s="9"/>
      <c r="J1128" s="9"/>
      <c r="K1128" s="9"/>
      <c r="L1128" s="9"/>
      <c r="M1128" s="9"/>
      <c r="N1128" s="9"/>
      <c r="O1128" s="9"/>
    </row>
    <row r="1129" ht="22.5" customHeight="1">
      <c r="A1129" s="49"/>
      <c r="C1129" s="192">
        <v>46272.0</v>
      </c>
      <c r="D1129" s="195">
        <v>50000.0</v>
      </c>
      <c r="E1129" s="69" t="s">
        <v>1710</v>
      </c>
      <c r="F1129" s="69" t="s">
        <v>41</v>
      </c>
      <c r="G1129" s="69" t="s">
        <v>42</v>
      </c>
      <c r="H1129" s="99"/>
      <c r="I1129" s="9"/>
      <c r="J1129" s="9"/>
      <c r="K1129" s="9"/>
      <c r="L1129" s="9"/>
      <c r="M1129" s="9"/>
      <c r="N1129" s="9"/>
      <c r="O1129" s="9"/>
    </row>
    <row r="1130" ht="22.5" customHeight="1">
      <c r="A1130" s="49"/>
      <c r="C1130" s="192">
        <v>46272.0</v>
      </c>
      <c r="D1130" s="195">
        <v>50000.0</v>
      </c>
      <c r="E1130" s="69" t="s">
        <v>352</v>
      </c>
      <c r="F1130" s="69" t="s">
        <v>380</v>
      </c>
      <c r="G1130" s="69" t="s">
        <v>42</v>
      </c>
      <c r="H1130" s="99"/>
      <c r="I1130" s="9"/>
      <c r="J1130" s="9"/>
      <c r="K1130" s="9"/>
      <c r="L1130" s="9"/>
      <c r="M1130" s="9"/>
      <c r="N1130" s="9"/>
      <c r="O1130" s="9"/>
    </row>
    <row r="1131" ht="22.5" customHeight="1">
      <c r="A1131" s="49"/>
      <c r="C1131" s="192">
        <v>46272.0</v>
      </c>
      <c r="D1131" s="195">
        <v>40000.0</v>
      </c>
      <c r="E1131" s="69" t="s">
        <v>1711</v>
      </c>
      <c r="F1131" s="69" t="s">
        <v>41</v>
      </c>
      <c r="G1131" s="69" t="s">
        <v>42</v>
      </c>
      <c r="H1131" s="99"/>
      <c r="I1131" s="9"/>
      <c r="J1131" s="9"/>
      <c r="K1131" s="9"/>
      <c r="L1131" s="9"/>
      <c r="M1131" s="9"/>
      <c r="N1131" s="9"/>
      <c r="O1131" s="9"/>
    </row>
    <row r="1132" ht="22.5" customHeight="1">
      <c r="A1132" s="49"/>
      <c r="C1132" s="192">
        <v>46272.0</v>
      </c>
      <c r="D1132" s="195">
        <v>120000.0</v>
      </c>
      <c r="E1132" s="69" t="s">
        <v>1713</v>
      </c>
      <c r="F1132" s="69" t="s">
        <v>41</v>
      </c>
      <c r="G1132" s="69" t="s">
        <v>42</v>
      </c>
      <c r="H1132" s="99"/>
      <c r="I1132" s="9"/>
      <c r="J1132" s="9"/>
      <c r="K1132" s="9"/>
      <c r="L1132" s="9"/>
      <c r="M1132" s="9"/>
      <c r="N1132" s="9"/>
      <c r="O1132" s="9"/>
    </row>
    <row r="1133" ht="22.5" customHeight="1">
      <c r="A1133" s="49"/>
      <c r="C1133" s="192">
        <v>46272.0</v>
      </c>
      <c r="D1133" s="195">
        <v>35000.0</v>
      </c>
      <c r="E1133" s="69" t="s">
        <v>1715</v>
      </c>
      <c r="F1133" s="69" t="s">
        <v>41</v>
      </c>
      <c r="G1133" s="69" t="s">
        <v>42</v>
      </c>
      <c r="H1133" s="99"/>
      <c r="I1133" s="9"/>
      <c r="J1133" s="9"/>
      <c r="K1133" s="9"/>
      <c r="L1133" s="9"/>
      <c r="M1133" s="9"/>
      <c r="N1133" s="9"/>
      <c r="O1133" s="9"/>
    </row>
    <row r="1134" ht="22.5" customHeight="1">
      <c r="A1134" s="49"/>
      <c r="C1134" s="192">
        <v>46272.0</v>
      </c>
      <c r="D1134" s="195">
        <v>2000000.0</v>
      </c>
      <c r="E1134" s="69" t="s">
        <v>1448</v>
      </c>
      <c r="F1134" s="69" t="s">
        <v>45</v>
      </c>
      <c r="G1134" s="69" t="s">
        <v>758</v>
      </c>
      <c r="H1134" s="99"/>
      <c r="I1134" s="9"/>
      <c r="J1134" s="9"/>
      <c r="K1134" s="9"/>
      <c r="L1134" s="9"/>
      <c r="M1134" s="9"/>
      <c r="N1134" s="9"/>
      <c r="O1134" s="9"/>
    </row>
    <row r="1135" ht="22.5" customHeight="1">
      <c r="A1135" s="49"/>
      <c r="C1135" s="192">
        <v>46273.0</v>
      </c>
      <c r="D1135" s="195">
        <v>50000.0</v>
      </c>
      <c r="E1135" s="69" t="s">
        <v>1716</v>
      </c>
      <c r="F1135" s="69" t="s">
        <v>41</v>
      </c>
      <c r="G1135" s="69" t="s">
        <v>42</v>
      </c>
      <c r="H1135" s="99"/>
      <c r="I1135" s="9"/>
      <c r="J1135" s="9"/>
      <c r="K1135" s="9"/>
      <c r="L1135" s="9"/>
      <c r="M1135" s="9"/>
      <c r="N1135" s="9"/>
      <c r="O1135" s="9"/>
    </row>
    <row r="1136" ht="22.5" customHeight="1">
      <c r="A1136" s="49"/>
      <c r="C1136" s="192">
        <v>46274.0</v>
      </c>
      <c r="D1136" s="195">
        <v>1600000.0</v>
      </c>
      <c r="E1136" s="69" t="s">
        <v>1344</v>
      </c>
      <c r="F1136" s="69" t="s">
        <v>45</v>
      </c>
      <c r="G1136" s="69" t="s">
        <v>87</v>
      </c>
      <c r="H1136" s="99"/>
      <c r="I1136" s="9"/>
      <c r="J1136" s="9"/>
      <c r="K1136" s="9"/>
      <c r="L1136" s="9"/>
      <c r="M1136" s="9"/>
      <c r="N1136" s="9"/>
      <c r="O1136" s="9"/>
    </row>
    <row r="1137" ht="22.5" customHeight="1">
      <c r="A1137" s="49"/>
      <c r="C1137" s="192">
        <v>46274.0</v>
      </c>
      <c r="D1137" s="195">
        <v>110000.0</v>
      </c>
      <c r="E1137" s="69" t="s">
        <v>1719</v>
      </c>
      <c r="F1137" s="69" t="s">
        <v>41</v>
      </c>
      <c r="G1137" s="69" t="s">
        <v>42</v>
      </c>
      <c r="H1137" s="99"/>
      <c r="I1137" s="9"/>
      <c r="J1137" s="9"/>
      <c r="K1137" s="9"/>
      <c r="L1137" s="9"/>
      <c r="M1137" s="9"/>
      <c r="N1137" s="9"/>
      <c r="O1137" s="9"/>
    </row>
    <row r="1138" ht="22.5" customHeight="1">
      <c r="A1138" s="49"/>
      <c r="C1138" s="192">
        <v>46274.0</v>
      </c>
      <c r="D1138" s="195">
        <v>240000.0</v>
      </c>
      <c r="E1138" s="69" t="s">
        <v>1721</v>
      </c>
      <c r="F1138" s="69" t="s">
        <v>41</v>
      </c>
      <c r="G1138" s="69" t="s">
        <v>42</v>
      </c>
      <c r="H1138" s="99"/>
      <c r="I1138" s="9"/>
      <c r="J1138" s="9"/>
      <c r="K1138" s="9"/>
      <c r="L1138" s="9"/>
      <c r="M1138" s="9"/>
      <c r="N1138" s="9"/>
      <c r="O1138" s="9"/>
    </row>
    <row r="1139" ht="22.5" customHeight="1">
      <c r="A1139" s="49"/>
      <c r="C1139" s="192">
        <v>46275.0</v>
      </c>
      <c r="D1139" s="195">
        <v>20000.0</v>
      </c>
      <c r="E1139" s="69" t="s">
        <v>1722</v>
      </c>
      <c r="F1139" s="69" t="s">
        <v>380</v>
      </c>
      <c r="G1139" s="69" t="s">
        <v>42</v>
      </c>
      <c r="H1139" s="99"/>
      <c r="I1139" s="9"/>
      <c r="J1139" s="9"/>
      <c r="K1139" s="9"/>
      <c r="L1139" s="9"/>
      <c r="M1139" s="9"/>
      <c r="N1139" s="9"/>
      <c r="O1139" s="9"/>
    </row>
    <row r="1140" ht="22.5" customHeight="1">
      <c r="A1140" s="49"/>
      <c r="C1140" s="192">
        <v>46275.0</v>
      </c>
      <c r="D1140" s="195">
        <v>650000.0</v>
      </c>
      <c r="E1140" s="69" t="s">
        <v>1725</v>
      </c>
      <c r="F1140" s="69" t="s">
        <v>45</v>
      </c>
      <c r="G1140" s="69" t="s">
        <v>42</v>
      </c>
      <c r="H1140" s="99"/>
      <c r="I1140" s="9"/>
      <c r="J1140" s="9"/>
      <c r="K1140" s="9"/>
      <c r="L1140" s="9"/>
      <c r="M1140" s="9"/>
      <c r="N1140" s="9"/>
      <c r="O1140" s="9"/>
    </row>
    <row r="1141" ht="22.5" customHeight="1">
      <c r="A1141" s="49"/>
      <c r="C1141" s="192">
        <v>46275.0</v>
      </c>
      <c r="D1141" s="195">
        <v>475000.0</v>
      </c>
      <c r="E1141" s="69" t="s">
        <v>1727</v>
      </c>
      <c r="F1141" s="69" t="s">
        <v>41</v>
      </c>
      <c r="G1141" s="69" t="s">
        <v>42</v>
      </c>
      <c r="H1141" s="99"/>
      <c r="I1141" s="9"/>
      <c r="J1141" s="9"/>
      <c r="K1141" s="9"/>
      <c r="L1141" s="9"/>
      <c r="M1141" s="9"/>
      <c r="N1141" s="9"/>
      <c r="O1141" s="9"/>
    </row>
    <row r="1142" ht="22.5" customHeight="1">
      <c r="A1142" s="49"/>
      <c r="C1142" s="192">
        <v>46275.0</v>
      </c>
      <c r="D1142" s="195">
        <v>55000.0</v>
      </c>
      <c r="E1142" s="69" t="s">
        <v>1728</v>
      </c>
      <c r="F1142" s="69" t="s">
        <v>41</v>
      </c>
      <c r="G1142" s="69" t="s">
        <v>42</v>
      </c>
      <c r="H1142" s="99"/>
      <c r="I1142" s="9"/>
      <c r="J1142" s="9"/>
      <c r="K1142" s="9"/>
      <c r="L1142" s="9"/>
      <c r="M1142" s="9"/>
      <c r="N1142" s="9"/>
      <c r="O1142" s="9"/>
    </row>
    <row r="1143" ht="22.5" customHeight="1">
      <c r="A1143" s="49"/>
      <c r="C1143" s="192">
        <v>46275.0</v>
      </c>
      <c r="D1143" s="195">
        <v>55000.0</v>
      </c>
      <c r="E1143" s="69" t="s">
        <v>1729</v>
      </c>
      <c r="F1143" s="69" t="s">
        <v>41</v>
      </c>
      <c r="G1143" s="69" t="s">
        <v>42</v>
      </c>
      <c r="H1143" s="99"/>
      <c r="I1143" s="9"/>
      <c r="J1143" s="9"/>
      <c r="K1143" s="9"/>
      <c r="L1143" s="9"/>
      <c r="M1143" s="9"/>
      <c r="N1143" s="9"/>
      <c r="O1143" s="9"/>
    </row>
    <row r="1144" ht="22.5" customHeight="1">
      <c r="A1144" s="49"/>
      <c r="C1144" s="192">
        <v>46275.0</v>
      </c>
      <c r="D1144" s="195">
        <v>15000.0</v>
      </c>
      <c r="E1144" s="69" t="s">
        <v>1730</v>
      </c>
      <c r="F1144" s="69" t="s">
        <v>41</v>
      </c>
      <c r="G1144" s="69" t="s">
        <v>42</v>
      </c>
      <c r="H1144" s="99"/>
      <c r="I1144" s="9"/>
      <c r="J1144" s="9"/>
      <c r="K1144" s="9"/>
      <c r="L1144" s="9"/>
      <c r="M1144" s="9"/>
      <c r="N1144" s="9"/>
      <c r="O1144" s="9"/>
    </row>
    <row r="1145" ht="22.5" customHeight="1">
      <c r="A1145" s="49"/>
      <c r="C1145" s="192">
        <v>46275.0</v>
      </c>
      <c r="D1145" s="195">
        <v>5000.0</v>
      </c>
      <c r="E1145" s="69" t="s">
        <v>1731</v>
      </c>
      <c r="F1145" s="69" t="s">
        <v>41</v>
      </c>
      <c r="G1145" s="69" t="s">
        <v>42</v>
      </c>
      <c r="H1145" s="99"/>
      <c r="I1145" s="9"/>
      <c r="J1145" s="9"/>
      <c r="K1145" s="9"/>
      <c r="L1145" s="9"/>
      <c r="M1145" s="9"/>
      <c r="N1145" s="9"/>
      <c r="O1145" s="9"/>
    </row>
    <row r="1146" ht="22.5" customHeight="1">
      <c r="A1146" s="49"/>
      <c r="C1146" s="192">
        <v>46276.0</v>
      </c>
      <c r="D1146" s="195">
        <v>130000.0</v>
      </c>
      <c r="E1146" s="69" t="s">
        <v>710</v>
      </c>
      <c r="F1146" s="69" t="s">
        <v>41</v>
      </c>
      <c r="G1146" s="69" t="s">
        <v>42</v>
      </c>
      <c r="H1146" s="99"/>
      <c r="I1146" s="9"/>
      <c r="J1146" s="9"/>
      <c r="K1146" s="9"/>
      <c r="L1146" s="9"/>
      <c r="M1146" s="9"/>
      <c r="N1146" s="9"/>
      <c r="O1146" s="9"/>
    </row>
    <row r="1147" ht="22.5" customHeight="1">
      <c r="A1147" s="49"/>
      <c r="C1147" s="192">
        <v>46276.0</v>
      </c>
      <c r="D1147" s="195">
        <v>5000.0</v>
      </c>
      <c r="E1147" s="69" t="s">
        <v>1546</v>
      </c>
      <c r="F1147" s="69" t="s">
        <v>41</v>
      </c>
      <c r="G1147" s="69" t="s">
        <v>42</v>
      </c>
      <c r="H1147" s="99"/>
      <c r="I1147" s="9"/>
      <c r="J1147" s="9"/>
      <c r="K1147" s="9"/>
      <c r="L1147" s="9"/>
      <c r="M1147" s="9"/>
      <c r="N1147" s="9"/>
      <c r="O1147" s="9"/>
    </row>
    <row r="1148" ht="22.5" customHeight="1">
      <c r="A1148" s="49"/>
      <c r="C1148" s="192">
        <v>46276.0</v>
      </c>
      <c r="D1148" s="195">
        <v>50000.0</v>
      </c>
      <c r="E1148" s="69" t="s">
        <v>423</v>
      </c>
      <c r="F1148" s="69" t="s">
        <v>41</v>
      </c>
      <c r="G1148" s="69" t="s">
        <v>42</v>
      </c>
      <c r="H1148" s="99"/>
      <c r="I1148" s="9"/>
      <c r="J1148" s="9"/>
      <c r="K1148" s="9"/>
      <c r="L1148" s="9"/>
      <c r="M1148" s="9"/>
      <c r="N1148" s="9"/>
      <c r="O1148" s="9"/>
    </row>
    <row r="1149" ht="22.5" customHeight="1">
      <c r="A1149" s="49"/>
      <c r="C1149" s="192">
        <v>46276.0</v>
      </c>
      <c r="D1149" s="195">
        <v>15000.0</v>
      </c>
      <c r="E1149" s="69" t="s">
        <v>378</v>
      </c>
      <c r="F1149" s="69" t="s">
        <v>41</v>
      </c>
      <c r="G1149" s="69" t="s">
        <v>42</v>
      </c>
      <c r="H1149" s="99"/>
      <c r="I1149" s="9"/>
      <c r="J1149" s="9"/>
      <c r="K1149" s="9"/>
      <c r="L1149" s="9"/>
      <c r="M1149" s="9"/>
      <c r="N1149" s="9"/>
      <c r="O1149" s="9"/>
    </row>
    <row r="1150" ht="22.5" customHeight="1">
      <c r="A1150" s="49"/>
      <c r="C1150" s="192">
        <v>46277.0</v>
      </c>
      <c r="D1150" s="195">
        <v>150000.0</v>
      </c>
      <c r="E1150" s="69" t="s">
        <v>1734</v>
      </c>
      <c r="F1150" s="69" t="s">
        <v>41</v>
      </c>
      <c r="G1150" s="69" t="s">
        <v>42</v>
      </c>
      <c r="H1150" s="99"/>
      <c r="I1150" s="9"/>
      <c r="J1150" s="9"/>
      <c r="K1150" s="9"/>
      <c r="L1150" s="9"/>
      <c r="M1150" s="9"/>
      <c r="N1150" s="9"/>
      <c r="O1150" s="9"/>
    </row>
    <row r="1151" ht="22.5" customHeight="1">
      <c r="A1151" s="49"/>
      <c r="C1151" s="192">
        <v>46277.0</v>
      </c>
      <c r="D1151" s="195">
        <v>25000.0</v>
      </c>
      <c r="E1151" s="69" t="s">
        <v>1736</v>
      </c>
      <c r="F1151" s="69" t="s">
        <v>41</v>
      </c>
      <c r="G1151" s="69" t="s">
        <v>42</v>
      </c>
      <c r="H1151" s="99"/>
      <c r="I1151" s="9"/>
      <c r="J1151" s="9"/>
      <c r="K1151" s="9"/>
      <c r="L1151" s="9"/>
      <c r="M1151" s="9"/>
      <c r="N1151" s="9"/>
      <c r="O1151" s="9"/>
    </row>
    <row r="1152" ht="22.5" customHeight="1">
      <c r="A1152" s="49"/>
      <c r="C1152" s="192">
        <v>46277.0</v>
      </c>
      <c r="D1152" s="195">
        <v>20000.0</v>
      </c>
      <c r="E1152" s="69" t="s">
        <v>1352</v>
      </c>
      <c r="F1152" s="69" t="s">
        <v>41</v>
      </c>
      <c r="G1152" s="69" t="s">
        <v>42</v>
      </c>
      <c r="H1152" s="99"/>
      <c r="I1152" s="9"/>
      <c r="J1152" s="9"/>
      <c r="K1152" s="9"/>
      <c r="L1152" s="9"/>
      <c r="M1152" s="9"/>
      <c r="N1152" s="9"/>
      <c r="O1152" s="9"/>
    </row>
    <row r="1153" ht="22.5" customHeight="1">
      <c r="A1153" s="49"/>
      <c r="C1153" s="192">
        <v>46277.0</v>
      </c>
      <c r="D1153" s="195">
        <v>290000.0</v>
      </c>
      <c r="E1153" s="69" t="s">
        <v>211</v>
      </c>
      <c r="F1153" s="69" t="s">
        <v>41</v>
      </c>
      <c r="G1153" s="69" t="s">
        <v>42</v>
      </c>
      <c r="H1153" s="99"/>
      <c r="I1153" s="9"/>
      <c r="J1153" s="9"/>
      <c r="K1153" s="9"/>
      <c r="L1153" s="9"/>
      <c r="M1153" s="9"/>
      <c r="N1153" s="9"/>
      <c r="O1153" s="9"/>
    </row>
    <row r="1154" ht="22.5" customHeight="1">
      <c r="A1154" s="49"/>
      <c r="C1154" s="192">
        <v>46277.0</v>
      </c>
      <c r="D1154" s="195">
        <v>2700000.0</v>
      </c>
      <c r="E1154" s="69" t="s">
        <v>1141</v>
      </c>
      <c r="F1154" s="69" t="s">
        <v>45</v>
      </c>
      <c r="G1154" s="69" t="s">
        <v>87</v>
      </c>
      <c r="H1154" s="99"/>
      <c r="I1154" s="9"/>
      <c r="J1154" s="9"/>
      <c r="K1154" s="9"/>
      <c r="L1154" s="9"/>
      <c r="M1154" s="9"/>
      <c r="N1154" s="9"/>
      <c r="O1154" s="9"/>
    </row>
    <row r="1155" ht="22.5" customHeight="1">
      <c r="A1155" s="49"/>
      <c r="C1155" s="192">
        <v>46277.0</v>
      </c>
      <c r="D1155" s="195">
        <v>340000.0</v>
      </c>
      <c r="E1155" s="69" t="s">
        <v>1739</v>
      </c>
      <c r="F1155" s="69" t="s">
        <v>41</v>
      </c>
      <c r="G1155" s="69" t="s">
        <v>42</v>
      </c>
      <c r="H1155" s="99"/>
      <c r="I1155" s="9"/>
      <c r="J1155" s="9"/>
      <c r="K1155" s="9"/>
      <c r="L1155" s="9"/>
      <c r="M1155" s="9"/>
      <c r="N1155" s="9"/>
      <c r="O1155" s="9"/>
    </row>
    <row r="1156" ht="22.5" customHeight="1">
      <c r="A1156" s="49"/>
      <c r="C1156" s="192">
        <v>46279.0</v>
      </c>
      <c r="D1156" s="195">
        <v>30000.0</v>
      </c>
      <c r="E1156" s="69" t="s">
        <v>1740</v>
      </c>
      <c r="F1156" s="69" t="s">
        <v>41</v>
      </c>
      <c r="G1156" s="69" t="s">
        <v>42</v>
      </c>
      <c r="H1156" s="99"/>
      <c r="I1156" s="9"/>
      <c r="J1156" s="9"/>
      <c r="K1156" s="9"/>
      <c r="L1156" s="9"/>
      <c r="M1156" s="9"/>
      <c r="N1156" s="9"/>
      <c r="O1156" s="9"/>
    </row>
    <row r="1157" ht="22.5" customHeight="1">
      <c r="A1157" s="49"/>
      <c r="C1157" s="192">
        <v>46279.0</v>
      </c>
      <c r="D1157" s="195">
        <v>20000.0</v>
      </c>
      <c r="E1157" s="69" t="s">
        <v>1741</v>
      </c>
      <c r="F1157" s="69" t="s">
        <v>41</v>
      </c>
      <c r="G1157" s="69" t="s">
        <v>42</v>
      </c>
      <c r="H1157" s="99"/>
      <c r="I1157" s="9"/>
      <c r="J1157" s="9"/>
      <c r="K1157" s="9"/>
      <c r="L1157" s="9"/>
      <c r="M1157" s="9"/>
      <c r="N1157" s="9"/>
      <c r="O1157" s="9"/>
    </row>
    <row r="1158" ht="22.5" customHeight="1">
      <c r="A1158" s="49"/>
      <c r="C1158" s="192">
        <v>46279.0</v>
      </c>
      <c r="D1158" s="195">
        <v>10000.0</v>
      </c>
      <c r="E1158" s="69" t="s">
        <v>1745</v>
      </c>
      <c r="F1158" s="69" t="s">
        <v>45</v>
      </c>
      <c r="G1158" s="69" t="s">
        <v>42</v>
      </c>
      <c r="H1158" s="99"/>
      <c r="I1158" s="9"/>
      <c r="J1158" s="9"/>
      <c r="K1158" s="9"/>
      <c r="L1158" s="9"/>
      <c r="M1158" s="9"/>
      <c r="N1158" s="9"/>
      <c r="O1158" s="9"/>
    </row>
    <row r="1159" ht="22.5" customHeight="1">
      <c r="A1159" s="49"/>
      <c r="C1159" s="192">
        <v>46279.0</v>
      </c>
      <c r="D1159" s="195">
        <v>5000.0</v>
      </c>
      <c r="E1159" s="69" t="s">
        <v>1740</v>
      </c>
      <c r="F1159" s="69" t="s">
        <v>41</v>
      </c>
      <c r="G1159" s="69" t="s">
        <v>42</v>
      </c>
      <c r="H1159" s="99"/>
      <c r="I1159" s="9"/>
      <c r="J1159" s="9"/>
      <c r="K1159" s="9"/>
      <c r="L1159" s="9"/>
      <c r="M1159" s="9"/>
      <c r="N1159" s="9"/>
      <c r="O1159" s="9"/>
    </row>
    <row r="1160" ht="22.5" customHeight="1">
      <c r="A1160" s="49"/>
      <c r="C1160" s="192">
        <v>46279.0</v>
      </c>
      <c r="D1160" s="195">
        <v>15000.0</v>
      </c>
      <c r="E1160" s="69" t="s">
        <v>1747</v>
      </c>
      <c r="F1160" s="69" t="s">
        <v>41</v>
      </c>
      <c r="G1160" s="69" t="s">
        <v>42</v>
      </c>
      <c r="H1160" s="99"/>
      <c r="I1160" s="9"/>
      <c r="J1160" s="9"/>
      <c r="K1160" s="9"/>
      <c r="L1160" s="9"/>
      <c r="M1160" s="9"/>
      <c r="N1160" s="9"/>
      <c r="O1160" s="9"/>
    </row>
    <row r="1161" ht="22.5" customHeight="1">
      <c r="A1161" s="49"/>
      <c r="C1161" s="192">
        <v>46280.0</v>
      </c>
      <c r="D1161" s="195">
        <v>16000.0</v>
      </c>
      <c r="E1161" s="69" t="s">
        <v>1748</v>
      </c>
      <c r="F1161" s="69" t="s">
        <v>41</v>
      </c>
      <c r="G1161" s="69" t="s">
        <v>42</v>
      </c>
      <c r="H1161" s="99"/>
      <c r="I1161" s="9"/>
      <c r="J1161" s="9"/>
      <c r="K1161" s="9"/>
      <c r="L1161" s="9"/>
      <c r="M1161" s="9"/>
      <c r="N1161" s="9"/>
      <c r="O1161" s="9"/>
    </row>
    <row r="1162" ht="22.5" customHeight="1">
      <c r="A1162" s="49"/>
      <c r="C1162" s="192">
        <v>46280.0</v>
      </c>
      <c r="D1162" s="195">
        <v>5000.0</v>
      </c>
      <c r="E1162" s="69" t="s">
        <v>1750</v>
      </c>
      <c r="F1162" s="69" t="s">
        <v>41</v>
      </c>
      <c r="G1162" s="69" t="s">
        <v>42</v>
      </c>
      <c r="H1162" s="99"/>
      <c r="I1162" s="9"/>
      <c r="J1162" s="9"/>
      <c r="K1162" s="9"/>
      <c r="L1162" s="9"/>
      <c r="M1162" s="9"/>
      <c r="N1162" s="9"/>
      <c r="O1162" s="9"/>
    </row>
    <row r="1163" ht="22.5" customHeight="1">
      <c r="A1163" s="49"/>
      <c r="C1163" s="192">
        <v>46280.0</v>
      </c>
      <c r="D1163" s="195">
        <v>20000.0</v>
      </c>
      <c r="E1163" s="69" t="s">
        <v>1752</v>
      </c>
      <c r="F1163" s="69" t="s">
        <v>41</v>
      </c>
      <c r="G1163" s="69" t="s">
        <v>42</v>
      </c>
      <c r="H1163" s="99"/>
      <c r="I1163" s="9"/>
      <c r="J1163" s="9"/>
      <c r="K1163" s="9"/>
      <c r="L1163" s="9"/>
      <c r="M1163" s="9"/>
      <c r="N1163" s="9"/>
      <c r="O1163" s="9"/>
    </row>
    <row r="1164" ht="22.5" customHeight="1">
      <c r="A1164" s="49"/>
      <c r="C1164" s="192">
        <v>46281.0</v>
      </c>
      <c r="D1164" s="195">
        <v>30000.0</v>
      </c>
      <c r="E1164" s="69" t="s">
        <v>1753</v>
      </c>
      <c r="F1164" s="69" t="s">
        <v>41</v>
      </c>
      <c r="G1164" s="69" t="s">
        <v>42</v>
      </c>
      <c r="H1164" s="99"/>
      <c r="I1164" s="9"/>
      <c r="J1164" s="9"/>
      <c r="K1164" s="9"/>
      <c r="L1164" s="9"/>
      <c r="M1164" s="9"/>
      <c r="N1164" s="9"/>
      <c r="O1164" s="9"/>
    </row>
    <row r="1165" ht="22.5" customHeight="1">
      <c r="A1165" s="49"/>
      <c r="C1165" s="192">
        <v>46281.0</v>
      </c>
      <c r="D1165" s="195">
        <v>186000.0</v>
      </c>
      <c r="E1165" s="69" t="s">
        <v>1754</v>
      </c>
      <c r="F1165" s="69" t="s">
        <v>41</v>
      </c>
      <c r="G1165" s="69" t="s">
        <v>42</v>
      </c>
      <c r="H1165" s="99"/>
      <c r="I1165" s="9"/>
      <c r="J1165" s="9"/>
      <c r="K1165" s="9"/>
      <c r="L1165" s="9"/>
      <c r="M1165" s="9"/>
      <c r="N1165" s="9"/>
      <c r="O1165" s="9"/>
    </row>
    <row r="1166" ht="22.5" customHeight="1">
      <c r="A1166" s="49"/>
      <c r="C1166" s="192">
        <v>46281.0</v>
      </c>
      <c r="D1166" s="195">
        <v>60000.0</v>
      </c>
      <c r="E1166" s="69" t="s">
        <v>1756</v>
      </c>
      <c r="F1166" s="69" t="s">
        <v>45</v>
      </c>
      <c r="G1166" s="69" t="s">
        <v>42</v>
      </c>
      <c r="H1166" s="99"/>
      <c r="I1166" s="9"/>
      <c r="J1166" s="9"/>
      <c r="K1166" s="9"/>
      <c r="L1166" s="9"/>
      <c r="M1166" s="9"/>
      <c r="N1166" s="9"/>
      <c r="O1166" s="9"/>
    </row>
    <row r="1167" ht="22.5" customHeight="1">
      <c r="A1167" s="49"/>
      <c r="C1167" s="192">
        <v>46281.0</v>
      </c>
      <c r="D1167" s="195">
        <v>13000.0</v>
      </c>
      <c r="E1167" s="69" t="s">
        <v>1758</v>
      </c>
      <c r="F1167" s="69" t="s">
        <v>41</v>
      </c>
      <c r="G1167" s="69" t="s">
        <v>42</v>
      </c>
      <c r="H1167" s="99"/>
      <c r="I1167" s="9"/>
      <c r="J1167" s="9"/>
      <c r="K1167" s="9"/>
      <c r="L1167" s="9"/>
      <c r="M1167" s="9"/>
      <c r="N1167" s="9"/>
      <c r="O1167" s="9"/>
    </row>
    <row r="1168" ht="22.5" customHeight="1">
      <c r="A1168" s="49"/>
      <c r="C1168" s="192">
        <v>46282.0</v>
      </c>
      <c r="D1168" s="195">
        <v>20000.0</v>
      </c>
      <c r="E1168" s="69" t="s">
        <v>1759</v>
      </c>
      <c r="F1168" s="69" t="s">
        <v>41</v>
      </c>
      <c r="G1168" s="69" t="s">
        <v>42</v>
      </c>
      <c r="H1168" s="99"/>
      <c r="I1168" s="9"/>
      <c r="J1168" s="9"/>
      <c r="K1168" s="9"/>
      <c r="L1168" s="9"/>
      <c r="M1168" s="9"/>
      <c r="N1168" s="9"/>
      <c r="O1168" s="9"/>
    </row>
    <row r="1169" ht="22.5" customHeight="1">
      <c r="A1169" s="49"/>
      <c r="C1169" s="192">
        <v>46283.0</v>
      </c>
      <c r="D1169" s="195">
        <v>50000.0</v>
      </c>
      <c r="E1169" s="69" t="s">
        <v>1762</v>
      </c>
      <c r="F1169" s="69" t="s">
        <v>41</v>
      </c>
      <c r="G1169" s="69" t="s">
        <v>42</v>
      </c>
      <c r="H1169" s="99"/>
      <c r="I1169" s="9"/>
      <c r="J1169" s="9"/>
      <c r="K1169" s="9"/>
      <c r="L1169" s="9"/>
      <c r="M1169" s="9"/>
      <c r="N1169" s="9"/>
      <c r="O1169" s="9"/>
    </row>
    <row r="1170" ht="22.5" customHeight="1">
      <c r="A1170" s="49"/>
      <c r="C1170" s="192">
        <v>46284.0</v>
      </c>
      <c r="D1170" s="195">
        <v>185000.0</v>
      </c>
      <c r="E1170" s="69" t="s">
        <v>211</v>
      </c>
      <c r="F1170" s="69" t="s">
        <v>41</v>
      </c>
      <c r="G1170" s="69" t="s">
        <v>42</v>
      </c>
      <c r="H1170" s="99"/>
      <c r="I1170" s="9"/>
      <c r="J1170" s="9"/>
      <c r="K1170" s="9"/>
      <c r="L1170" s="9"/>
      <c r="M1170" s="9"/>
      <c r="N1170" s="9"/>
      <c r="O1170" s="9"/>
    </row>
    <row r="1171" ht="22.5" customHeight="1">
      <c r="A1171" s="49"/>
      <c r="C1171" s="192">
        <v>46284.0</v>
      </c>
      <c r="D1171" s="195">
        <v>20000.0</v>
      </c>
      <c r="E1171" s="69" t="s">
        <v>404</v>
      </c>
      <c r="F1171" s="69" t="s">
        <v>380</v>
      </c>
      <c r="G1171" s="69" t="s">
        <v>42</v>
      </c>
      <c r="H1171" s="99"/>
      <c r="I1171" s="9"/>
      <c r="J1171" s="9"/>
      <c r="K1171" s="9"/>
      <c r="L1171" s="9"/>
      <c r="M1171" s="9"/>
      <c r="N1171" s="9"/>
      <c r="O1171" s="9"/>
    </row>
    <row r="1172" ht="22.5" customHeight="1">
      <c r="A1172" s="49"/>
      <c r="C1172" s="192">
        <v>46284.0</v>
      </c>
      <c r="D1172" s="195">
        <v>1000000.0</v>
      </c>
      <c r="E1172" s="69" t="s">
        <v>1764</v>
      </c>
      <c r="F1172" s="69" t="s">
        <v>380</v>
      </c>
      <c r="G1172" s="69" t="s">
        <v>87</v>
      </c>
      <c r="H1172" s="99"/>
      <c r="I1172" s="9"/>
      <c r="J1172" s="9"/>
      <c r="K1172" s="9"/>
      <c r="L1172" s="9"/>
      <c r="M1172" s="9"/>
      <c r="N1172" s="9"/>
      <c r="O1172" s="9"/>
    </row>
    <row r="1173" ht="22.5" customHeight="1">
      <c r="A1173" s="49"/>
      <c r="C1173" s="192">
        <v>46285.0</v>
      </c>
      <c r="D1173" s="195">
        <v>20000.0</v>
      </c>
      <c r="E1173" s="69" t="s">
        <v>1765</v>
      </c>
      <c r="F1173" s="69" t="s">
        <v>41</v>
      </c>
      <c r="G1173" s="69" t="s">
        <v>42</v>
      </c>
      <c r="H1173" s="99"/>
      <c r="I1173" s="9"/>
      <c r="J1173" s="9"/>
      <c r="K1173" s="9"/>
      <c r="L1173" s="9"/>
      <c r="M1173" s="9"/>
      <c r="N1173" s="9"/>
      <c r="O1173" s="9"/>
    </row>
    <row r="1174" ht="22.5" customHeight="1">
      <c r="A1174" s="49"/>
      <c r="C1174" s="192">
        <v>46285.0</v>
      </c>
      <c r="D1174" s="195">
        <v>15000.0</v>
      </c>
      <c r="E1174" s="69" t="s">
        <v>1767</v>
      </c>
      <c r="F1174" s="69" t="s">
        <v>41</v>
      </c>
      <c r="G1174" s="69" t="s">
        <v>42</v>
      </c>
      <c r="H1174" s="99"/>
      <c r="I1174" s="9"/>
      <c r="J1174" s="9"/>
      <c r="K1174" s="9"/>
      <c r="L1174" s="9"/>
      <c r="M1174" s="9"/>
      <c r="N1174" s="9"/>
      <c r="O1174" s="9"/>
    </row>
    <row r="1175" ht="22.5" customHeight="1">
      <c r="A1175" s="49"/>
      <c r="C1175" s="192">
        <v>46286.0</v>
      </c>
      <c r="D1175" s="195">
        <v>25000.0</v>
      </c>
      <c r="E1175" s="69" t="s">
        <v>1768</v>
      </c>
      <c r="F1175" s="69" t="s">
        <v>41</v>
      </c>
      <c r="G1175" s="69" t="s">
        <v>42</v>
      </c>
      <c r="H1175" s="99"/>
      <c r="I1175" s="9"/>
      <c r="J1175" s="9"/>
      <c r="K1175" s="9"/>
      <c r="L1175" s="9"/>
      <c r="M1175" s="9"/>
      <c r="N1175" s="9"/>
      <c r="O1175" s="9"/>
    </row>
    <row r="1176" ht="22.5" customHeight="1">
      <c r="A1176" s="49"/>
      <c r="C1176" s="192">
        <v>46286.0</v>
      </c>
      <c r="D1176" s="195">
        <v>20000.0</v>
      </c>
      <c r="E1176" s="69" t="s">
        <v>1769</v>
      </c>
      <c r="F1176" s="69" t="s">
        <v>45</v>
      </c>
      <c r="G1176" s="69" t="s">
        <v>42</v>
      </c>
      <c r="H1176" s="99"/>
      <c r="I1176" s="9"/>
      <c r="J1176" s="9"/>
      <c r="K1176" s="9"/>
      <c r="L1176" s="9"/>
      <c r="M1176" s="9"/>
      <c r="N1176" s="9"/>
      <c r="O1176" s="9"/>
    </row>
    <row r="1177" ht="22.5" customHeight="1">
      <c r="A1177" s="49"/>
      <c r="C1177" s="192">
        <v>46286.0</v>
      </c>
      <c r="D1177" s="195">
        <v>20000.0</v>
      </c>
      <c r="E1177" s="69" t="s">
        <v>1773</v>
      </c>
      <c r="F1177" s="69" t="s">
        <v>41</v>
      </c>
      <c r="G1177" s="69" t="s">
        <v>42</v>
      </c>
      <c r="H1177" s="99"/>
      <c r="I1177" s="9"/>
      <c r="J1177" s="9"/>
      <c r="K1177" s="9"/>
      <c r="L1177" s="9"/>
      <c r="M1177" s="9"/>
      <c r="N1177" s="9"/>
      <c r="O1177" s="9"/>
    </row>
    <row r="1178" ht="22.5" customHeight="1">
      <c r="A1178" s="49"/>
      <c r="C1178" s="192">
        <v>46286.0</v>
      </c>
      <c r="D1178" s="195">
        <v>115000.0</v>
      </c>
      <c r="E1178" s="69" t="s">
        <v>1774</v>
      </c>
      <c r="F1178" s="69" t="s">
        <v>41</v>
      </c>
      <c r="G1178" s="69" t="s">
        <v>42</v>
      </c>
      <c r="H1178" s="99"/>
      <c r="I1178" s="9"/>
      <c r="J1178" s="9"/>
      <c r="K1178" s="9"/>
      <c r="L1178" s="9"/>
      <c r="M1178" s="9"/>
      <c r="N1178" s="9"/>
      <c r="O1178" s="9"/>
    </row>
    <row r="1179" ht="22.5" customHeight="1">
      <c r="A1179" s="49"/>
      <c r="C1179" s="192">
        <v>46286.0</v>
      </c>
      <c r="D1179" s="195">
        <v>24000.0</v>
      </c>
      <c r="E1179" s="69" t="s">
        <v>1775</v>
      </c>
      <c r="F1179" s="69" t="s">
        <v>41</v>
      </c>
      <c r="G1179" s="69" t="s">
        <v>42</v>
      </c>
      <c r="H1179" s="99"/>
      <c r="I1179" s="9"/>
      <c r="J1179" s="9"/>
      <c r="K1179" s="9"/>
      <c r="L1179" s="9"/>
      <c r="M1179" s="9"/>
      <c r="N1179" s="9"/>
      <c r="O1179" s="9"/>
    </row>
    <row r="1180" ht="22.5" customHeight="1">
      <c r="A1180" s="49"/>
      <c r="C1180" s="192">
        <v>46287.0</v>
      </c>
      <c r="D1180" s="195">
        <v>46000.0</v>
      </c>
      <c r="E1180" s="69" t="s">
        <v>356</v>
      </c>
      <c r="F1180" s="69" t="s">
        <v>41</v>
      </c>
      <c r="G1180" s="69" t="s">
        <v>42</v>
      </c>
      <c r="H1180" s="99"/>
      <c r="I1180" s="9"/>
      <c r="J1180" s="9"/>
      <c r="K1180" s="9"/>
      <c r="L1180" s="9"/>
      <c r="M1180" s="9"/>
      <c r="N1180" s="9"/>
      <c r="O1180" s="9"/>
    </row>
    <row r="1181" ht="22.5" customHeight="1">
      <c r="A1181" s="49"/>
      <c r="C1181" s="192">
        <v>46287.0</v>
      </c>
      <c r="D1181" s="195">
        <v>50000.0</v>
      </c>
      <c r="E1181" s="69" t="s">
        <v>1779</v>
      </c>
      <c r="F1181" s="69" t="s">
        <v>41</v>
      </c>
      <c r="G1181" s="69" t="s">
        <v>42</v>
      </c>
      <c r="H1181" s="99"/>
      <c r="I1181" s="9"/>
      <c r="J1181" s="9"/>
      <c r="K1181" s="9"/>
      <c r="L1181" s="9"/>
      <c r="M1181" s="9"/>
      <c r="N1181" s="9"/>
      <c r="O1181" s="9"/>
    </row>
    <row r="1182" ht="22.5" customHeight="1">
      <c r="A1182" s="49"/>
      <c r="C1182" s="192">
        <v>46287.0</v>
      </c>
      <c r="D1182" s="195">
        <v>20000.0</v>
      </c>
      <c r="E1182" s="69" t="s">
        <v>1781</v>
      </c>
      <c r="F1182" s="69" t="s">
        <v>41</v>
      </c>
      <c r="G1182" s="69" t="s">
        <v>42</v>
      </c>
      <c r="H1182" s="99"/>
      <c r="I1182" s="9"/>
      <c r="J1182" s="9"/>
      <c r="K1182" s="9"/>
      <c r="L1182" s="9"/>
      <c r="M1182" s="9"/>
      <c r="N1182" s="9"/>
      <c r="O1182" s="9"/>
    </row>
    <row r="1183" ht="22.5" customHeight="1">
      <c r="A1183" s="49"/>
      <c r="C1183" s="192">
        <v>46287.0</v>
      </c>
      <c r="D1183" s="195">
        <v>150000.0</v>
      </c>
      <c r="E1183" s="69" t="s">
        <v>1782</v>
      </c>
      <c r="F1183" s="69" t="s">
        <v>41</v>
      </c>
      <c r="G1183" s="69" t="s">
        <v>42</v>
      </c>
      <c r="H1183" s="99"/>
      <c r="I1183" s="9"/>
      <c r="J1183" s="9"/>
      <c r="K1183" s="9"/>
      <c r="L1183" s="9"/>
      <c r="M1183" s="9"/>
      <c r="N1183" s="9"/>
      <c r="O1183" s="9"/>
    </row>
    <row r="1184" ht="22.5" customHeight="1">
      <c r="A1184" s="49"/>
      <c r="C1184" s="192">
        <v>46288.0</v>
      </c>
      <c r="D1184" s="195">
        <v>50000.0</v>
      </c>
      <c r="E1184" s="69" t="s">
        <v>1785</v>
      </c>
      <c r="F1184" s="69" t="s">
        <v>41</v>
      </c>
      <c r="G1184" s="69" t="s">
        <v>42</v>
      </c>
      <c r="H1184" s="99"/>
      <c r="I1184" s="9"/>
      <c r="J1184" s="9"/>
      <c r="K1184" s="9"/>
      <c r="L1184" s="9"/>
      <c r="M1184" s="9"/>
      <c r="N1184" s="9"/>
      <c r="O1184" s="9"/>
    </row>
    <row r="1185" ht="22.5" customHeight="1">
      <c r="A1185" s="49"/>
      <c r="C1185" s="192">
        <v>46288.0</v>
      </c>
      <c r="D1185" s="195">
        <v>20000.0</v>
      </c>
      <c r="E1185" s="69" t="s">
        <v>1787</v>
      </c>
      <c r="F1185" s="69" t="s">
        <v>380</v>
      </c>
      <c r="G1185" s="69" t="s">
        <v>42</v>
      </c>
      <c r="H1185" s="99"/>
      <c r="I1185" s="9"/>
      <c r="J1185" s="9"/>
      <c r="K1185" s="9"/>
      <c r="L1185" s="9"/>
      <c r="M1185" s="9"/>
      <c r="N1185" s="9"/>
      <c r="O1185" s="9"/>
    </row>
    <row r="1186" ht="22.5" customHeight="1">
      <c r="A1186" s="49"/>
      <c r="C1186" s="192">
        <v>46289.0</v>
      </c>
      <c r="D1186" s="195">
        <v>15000.0</v>
      </c>
      <c r="E1186" s="69" t="s">
        <v>1788</v>
      </c>
      <c r="F1186" s="69" t="s">
        <v>41</v>
      </c>
      <c r="G1186" s="69" t="s">
        <v>42</v>
      </c>
      <c r="H1186" s="99"/>
      <c r="I1186" s="9"/>
      <c r="J1186" s="9"/>
      <c r="K1186" s="9"/>
      <c r="L1186" s="9"/>
      <c r="M1186" s="9"/>
      <c r="N1186" s="9"/>
      <c r="O1186" s="9"/>
    </row>
    <row r="1187" ht="22.5" customHeight="1">
      <c r="A1187" s="49"/>
      <c r="C1187" s="192">
        <v>46289.0</v>
      </c>
      <c r="D1187" s="195">
        <v>20000.0</v>
      </c>
      <c r="E1187" s="69" t="s">
        <v>1790</v>
      </c>
      <c r="F1187" s="69" t="s">
        <v>41</v>
      </c>
      <c r="G1187" s="69" t="s">
        <v>42</v>
      </c>
      <c r="H1187" s="99"/>
      <c r="I1187" s="9"/>
      <c r="J1187" s="9"/>
      <c r="K1187" s="9"/>
      <c r="L1187" s="9"/>
      <c r="M1187" s="9"/>
      <c r="N1187" s="9"/>
      <c r="O1187" s="9"/>
    </row>
    <row r="1188" ht="22.5" customHeight="1">
      <c r="A1188" s="49"/>
      <c r="C1188" s="192">
        <v>46289.0</v>
      </c>
      <c r="D1188" s="195">
        <v>100000.0</v>
      </c>
      <c r="E1188" s="69" t="s">
        <v>1792</v>
      </c>
      <c r="F1188" s="69" t="s">
        <v>380</v>
      </c>
      <c r="G1188" s="69" t="s">
        <v>42</v>
      </c>
      <c r="H1188" s="99"/>
      <c r="I1188" s="9"/>
      <c r="J1188" s="9"/>
      <c r="K1188" s="9"/>
      <c r="L1188" s="9"/>
      <c r="M1188" s="9"/>
      <c r="N1188" s="9"/>
      <c r="O1188" s="9"/>
    </row>
    <row r="1189" ht="22.5" customHeight="1">
      <c r="A1189" s="49"/>
      <c r="C1189" s="192">
        <v>46289.0</v>
      </c>
      <c r="D1189" s="195">
        <v>150000.0</v>
      </c>
      <c r="E1189" s="69" t="s">
        <v>1794</v>
      </c>
      <c r="F1189" s="69" t="s">
        <v>41</v>
      </c>
      <c r="G1189" s="69" t="s">
        <v>42</v>
      </c>
      <c r="H1189" s="99"/>
      <c r="I1189" s="9"/>
      <c r="J1189" s="9"/>
      <c r="K1189" s="9"/>
      <c r="L1189" s="9"/>
      <c r="M1189" s="9"/>
      <c r="N1189" s="9"/>
      <c r="O1189" s="9"/>
    </row>
    <row r="1190" ht="22.5" customHeight="1">
      <c r="A1190" s="49"/>
      <c r="C1190" s="192">
        <v>46289.0</v>
      </c>
      <c r="D1190" s="195">
        <v>437000.0</v>
      </c>
      <c r="E1190" s="69" t="s">
        <v>481</v>
      </c>
      <c r="F1190" s="69" t="s">
        <v>41</v>
      </c>
      <c r="G1190" s="69" t="s">
        <v>42</v>
      </c>
      <c r="H1190" s="99"/>
      <c r="I1190" s="9"/>
      <c r="J1190" s="9"/>
      <c r="K1190" s="9"/>
      <c r="L1190" s="9"/>
      <c r="M1190" s="9"/>
      <c r="N1190" s="9"/>
      <c r="O1190" s="9"/>
    </row>
    <row r="1191" ht="22.5" customHeight="1">
      <c r="A1191" s="49"/>
      <c r="C1191" s="192">
        <v>46289.0</v>
      </c>
      <c r="D1191" s="195">
        <v>32000.0</v>
      </c>
      <c r="E1191" s="69" t="s">
        <v>1796</v>
      </c>
      <c r="F1191" s="69" t="s">
        <v>41</v>
      </c>
      <c r="G1191" s="69" t="s">
        <v>42</v>
      </c>
      <c r="H1191" s="99"/>
      <c r="I1191" s="9"/>
      <c r="J1191" s="9"/>
      <c r="K1191" s="9"/>
      <c r="L1191" s="9"/>
      <c r="M1191" s="9"/>
      <c r="N1191" s="9"/>
      <c r="O1191" s="9"/>
    </row>
    <row r="1192" ht="22.5" customHeight="1">
      <c r="A1192" s="49"/>
      <c r="C1192" s="192">
        <v>46289.0</v>
      </c>
      <c r="D1192" s="195">
        <v>700000.0</v>
      </c>
      <c r="E1192" s="69" t="s">
        <v>1797</v>
      </c>
      <c r="F1192" s="69" t="s">
        <v>41</v>
      </c>
      <c r="G1192" s="69" t="s">
        <v>87</v>
      </c>
      <c r="H1192" s="99"/>
      <c r="I1192" s="9"/>
      <c r="J1192" s="9"/>
      <c r="K1192" s="9"/>
      <c r="L1192" s="9"/>
      <c r="M1192" s="9"/>
      <c r="N1192" s="9"/>
      <c r="O1192" s="9"/>
    </row>
    <row r="1193" ht="22.5" customHeight="1">
      <c r="A1193" s="49"/>
      <c r="C1193" s="192">
        <v>46289.0</v>
      </c>
      <c r="D1193" s="195">
        <v>1.65E7</v>
      </c>
      <c r="E1193" s="69" t="s">
        <v>1367</v>
      </c>
      <c r="F1193" s="69" t="s">
        <v>41</v>
      </c>
      <c r="G1193" s="69" t="s">
        <v>87</v>
      </c>
      <c r="H1193" s="99"/>
      <c r="I1193" s="9"/>
      <c r="J1193" s="9"/>
      <c r="K1193" s="9"/>
      <c r="L1193" s="9"/>
      <c r="M1193" s="9"/>
      <c r="N1193" s="9"/>
      <c r="O1193" s="9"/>
    </row>
    <row r="1194" ht="22.5" customHeight="1">
      <c r="A1194" s="49"/>
      <c r="C1194" s="192">
        <v>46290.0</v>
      </c>
      <c r="D1194" s="195">
        <v>15000.0</v>
      </c>
      <c r="E1194" s="69" t="s">
        <v>1799</v>
      </c>
      <c r="F1194" s="69" t="s">
        <v>45</v>
      </c>
      <c r="G1194" s="69" t="s">
        <v>42</v>
      </c>
      <c r="H1194" s="99"/>
      <c r="I1194" s="9"/>
      <c r="J1194" s="9"/>
      <c r="K1194" s="9"/>
      <c r="L1194" s="9"/>
      <c r="M1194" s="9"/>
      <c r="N1194" s="9"/>
      <c r="O1194" s="9"/>
    </row>
  </sheetData>
  <dataValidations>
    <dataValidation type="custom" allowBlank="1" showDropDown="1" sqref="L2:L45 D2:D2005">
      <formula1>AND(ISNUMBER(D2),(NOT(OR(NOT(ISERROR(DATEVALUE(D2))), AND(ISNUMBER(D2), LEFT(CELL("format", D2))="D")))))</formula1>
    </dataValidation>
  </dataValidations>
  <hyperlinks>
    <hyperlink r:id="rId1" ref="H15"/>
    <hyperlink r:id="rId2" ref="H21"/>
    <hyperlink r:id="rId3" ref="H35"/>
    <hyperlink r:id="rId4" ref="H41"/>
    <hyperlink r:id="rId5" ref="H47"/>
    <hyperlink r:id="rId6" ref="H49"/>
    <hyperlink r:id="rId7" ref="H50"/>
    <hyperlink r:id="rId8" ref="H51"/>
    <hyperlink r:id="rId9" ref="H52"/>
    <hyperlink r:id="rId10" ref="H53"/>
  </hyperlinks>
  <drawing r:id="rId11"/>
  <tableParts count="2">
    <tablePart r:id="rId14"/>
    <tablePart r:id="rId1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75"/>
    <col customWidth="1" min="2" max="2" width="23.13"/>
    <col customWidth="1" min="3" max="3" width="6.5"/>
    <col customWidth="1" min="4" max="6" width="11.0"/>
    <col customWidth="1" min="7" max="7" width="4.88"/>
    <col customWidth="1" min="8" max="8" width="13.0"/>
    <col customWidth="1" min="9" max="9" width="3.38"/>
    <col customWidth="1" min="12" max="12" width="14.75"/>
    <col customWidth="1" min="13" max="13" width="4.0"/>
    <col customWidth="1" min="14" max="14" width="24.5"/>
    <col customWidth="1" min="17" max="17" width="10.88"/>
    <col customWidth="1" min="19" max="19" width="6.38"/>
    <col customWidth="1" min="20" max="20" width="21.5"/>
    <col customWidth="1" min="21" max="21" width="14.25"/>
  </cols>
  <sheetData>
    <row r="1">
      <c r="C1" s="9"/>
      <c r="F1" s="101"/>
      <c r="G1" s="9"/>
      <c r="J1" s="101"/>
      <c r="K1" s="9"/>
    </row>
    <row r="2">
      <c r="C2" s="9"/>
      <c r="G2" s="9"/>
      <c r="K2" s="9"/>
    </row>
    <row r="3">
      <c r="B3" s="2"/>
      <c r="C3" s="2"/>
      <c r="D3" s="2"/>
      <c r="F3" s="9"/>
      <c r="G3" s="9"/>
      <c r="H3" s="7" t="s">
        <v>169</v>
      </c>
      <c r="J3" s="2"/>
      <c r="K3" s="2"/>
      <c r="L3" s="2"/>
    </row>
    <row r="4">
      <c r="B4" s="13" t="s">
        <v>237</v>
      </c>
      <c r="C4" s="7" t="s">
        <v>16</v>
      </c>
      <c r="D4" s="13" t="s">
        <v>35</v>
      </c>
      <c r="E4" s="13" t="s">
        <v>36</v>
      </c>
      <c r="F4" s="13" t="s">
        <v>239</v>
      </c>
      <c r="G4" s="9"/>
      <c r="H4" s="13" t="s">
        <v>240</v>
      </c>
      <c r="I4" s="13" t="s">
        <v>16</v>
      </c>
      <c r="J4" s="13" t="s">
        <v>241</v>
      </c>
      <c r="K4" s="7" t="s">
        <v>242</v>
      </c>
      <c r="L4" s="13" t="s">
        <v>78</v>
      </c>
    </row>
    <row r="5">
      <c r="B5" s="81" t="s">
        <v>245</v>
      </c>
      <c r="C5" s="173">
        <v>1.0</v>
      </c>
      <c r="D5" s="9">
        <v>4200000.0</v>
      </c>
      <c r="E5" s="9">
        <v>4450000.0</v>
      </c>
      <c r="F5" s="9">
        <v>250000.0</v>
      </c>
      <c r="G5" s="9"/>
      <c r="H5" s="81" t="s">
        <v>246</v>
      </c>
      <c r="J5" s="183"/>
      <c r="K5" s="9"/>
      <c r="L5" s="2"/>
    </row>
    <row r="6">
      <c r="B6" s="81" t="s">
        <v>250</v>
      </c>
      <c r="C6" s="173">
        <v>2.0</v>
      </c>
      <c r="D6" s="9">
        <v>102000.0</v>
      </c>
      <c r="E6" s="9">
        <v>270000.0</v>
      </c>
      <c r="F6" s="9">
        <v>60000.0</v>
      </c>
      <c r="G6" s="9"/>
      <c r="H6" s="81" t="s">
        <v>251</v>
      </c>
      <c r="J6" s="183"/>
      <c r="K6" s="9"/>
      <c r="L6" s="2"/>
    </row>
    <row r="7">
      <c r="B7" s="81" t="s">
        <v>255</v>
      </c>
      <c r="C7" s="173">
        <v>1.0</v>
      </c>
      <c r="D7" s="9">
        <v>161840.0</v>
      </c>
      <c r="E7" s="9">
        <v>200000.0</v>
      </c>
      <c r="F7" s="9">
        <v>35000.0</v>
      </c>
      <c r="G7" s="9"/>
      <c r="H7" s="81" t="s">
        <v>256</v>
      </c>
      <c r="J7" s="183"/>
      <c r="K7" s="9"/>
      <c r="L7" s="2"/>
    </row>
    <row r="8">
      <c r="B8" s="81" t="s">
        <v>261</v>
      </c>
      <c r="C8" s="173">
        <v>1.0</v>
      </c>
      <c r="D8" s="9">
        <v>415000.0</v>
      </c>
      <c r="E8" s="9">
        <v>470000.0</v>
      </c>
      <c r="F8" s="9">
        <v>55000.0</v>
      </c>
      <c r="G8" s="9"/>
      <c r="H8" s="81" t="s">
        <v>262</v>
      </c>
      <c r="J8" s="183"/>
      <c r="K8" s="9"/>
      <c r="L8" s="2"/>
    </row>
    <row r="9">
      <c r="B9" s="81" t="s">
        <v>265</v>
      </c>
      <c r="C9" s="173">
        <v>2.0</v>
      </c>
      <c r="D9" s="9">
        <v>610000.0</v>
      </c>
      <c r="E9" s="9">
        <v>1400000.0</v>
      </c>
      <c r="F9" s="9">
        <v>180000.0</v>
      </c>
      <c r="G9" s="9"/>
      <c r="K9" s="9"/>
    </row>
    <row r="10">
      <c r="B10" s="81" t="s">
        <v>268</v>
      </c>
      <c r="C10" s="173">
        <v>17.0</v>
      </c>
      <c r="D10" s="9">
        <v>5051000.0</v>
      </c>
      <c r="E10" s="9">
        <v>1.22E7</v>
      </c>
      <c r="F10" s="9">
        <v>1445000.0</v>
      </c>
      <c r="G10" s="9"/>
      <c r="H10" s="13" t="s">
        <v>269</v>
      </c>
      <c r="K10" s="9"/>
    </row>
    <row r="11">
      <c r="B11" s="81" t="s">
        <v>271</v>
      </c>
      <c r="C11" s="173">
        <v>3.0</v>
      </c>
      <c r="D11" s="9">
        <v>1100000.0</v>
      </c>
      <c r="E11" s="9">
        <v>1915000.0</v>
      </c>
      <c r="F11" s="9">
        <v>265000.0</v>
      </c>
      <c r="G11" s="9"/>
      <c r="H11" s="13" t="s">
        <v>272</v>
      </c>
      <c r="I11" s="13" t="s">
        <v>16</v>
      </c>
      <c r="J11" s="13" t="s">
        <v>273</v>
      </c>
      <c r="K11" s="7" t="s">
        <v>35</v>
      </c>
      <c r="L11" s="13" t="s">
        <v>78</v>
      </c>
    </row>
    <row r="12">
      <c r="B12" s="81" t="s">
        <v>275</v>
      </c>
      <c r="C12" s="173">
        <v>5.0</v>
      </c>
      <c r="D12" s="9">
        <v>2278500.0</v>
      </c>
      <c r="E12" s="9">
        <v>4250000.0</v>
      </c>
      <c r="F12" s="9">
        <v>450000.0</v>
      </c>
      <c r="G12" s="9"/>
      <c r="K12" s="9"/>
    </row>
    <row r="13">
      <c r="B13" s="81" t="s">
        <v>276</v>
      </c>
      <c r="C13" s="173">
        <v>2.0</v>
      </c>
      <c r="D13" s="9">
        <v>620000.0</v>
      </c>
      <c r="E13" s="9">
        <v>1420000.0</v>
      </c>
      <c r="F13" s="9">
        <v>180000.0</v>
      </c>
      <c r="G13" s="9"/>
      <c r="K13" s="9"/>
    </row>
    <row r="14">
      <c r="B14" s="81" t="s">
        <v>279</v>
      </c>
      <c r="C14" s="173">
        <v>7.0</v>
      </c>
      <c r="D14" s="9">
        <v>2408000.0</v>
      </c>
      <c r="E14" s="9">
        <v>4900000.0</v>
      </c>
      <c r="F14" s="9">
        <v>665000.0</v>
      </c>
      <c r="G14" s="9"/>
      <c r="K14" s="9"/>
    </row>
    <row r="15">
      <c r="B15" s="81" t="s">
        <v>281</v>
      </c>
      <c r="C15" s="173">
        <v>1.0</v>
      </c>
      <c r="D15" s="9">
        <v>814000.0</v>
      </c>
      <c r="E15" s="9">
        <v>920000.0</v>
      </c>
      <c r="F15" s="9">
        <v>105000.0</v>
      </c>
      <c r="G15" s="9"/>
    </row>
    <row r="16">
      <c r="B16" s="81" t="s">
        <v>282</v>
      </c>
      <c r="C16" s="173">
        <v>1.0</v>
      </c>
      <c r="D16" s="9">
        <v>779500.0</v>
      </c>
      <c r="E16" s="9">
        <v>880000.0</v>
      </c>
      <c r="F16" s="9">
        <v>100000.0</v>
      </c>
      <c r="G16" s="9"/>
    </row>
    <row r="17">
      <c r="B17" s="81" t="s">
        <v>284</v>
      </c>
      <c r="C17" s="173">
        <v>1.0</v>
      </c>
      <c r="D17" s="9">
        <v>36630.0</v>
      </c>
      <c r="E17" s="9">
        <v>70000.0</v>
      </c>
      <c r="F17" s="9">
        <v>30000.0</v>
      </c>
      <c r="G17" s="9"/>
      <c r="H17" s="13" t="s">
        <v>285</v>
      </c>
    </row>
    <row r="18">
      <c r="B18" s="81" t="s">
        <v>286</v>
      </c>
      <c r="C18" s="173">
        <v>16.0</v>
      </c>
      <c r="D18" s="9">
        <v>976640.0</v>
      </c>
      <c r="E18" s="9">
        <v>9140000.0</v>
      </c>
      <c r="F18" s="9">
        <v>1300000.0</v>
      </c>
      <c r="G18" s="9"/>
    </row>
    <row r="19">
      <c r="B19" s="81" t="s">
        <v>287</v>
      </c>
      <c r="C19" s="173">
        <v>1.0</v>
      </c>
      <c r="D19" s="9">
        <v>711000.0</v>
      </c>
      <c r="E19" s="9">
        <v>800000.0</v>
      </c>
      <c r="F19" s="9">
        <v>85000.0</v>
      </c>
      <c r="G19" s="9"/>
    </row>
    <row r="20">
      <c r="B20" s="81" t="s">
        <v>288</v>
      </c>
      <c r="C20" s="173">
        <v>2.0</v>
      </c>
      <c r="D20" s="9">
        <v>548100.0</v>
      </c>
      <c r="E20" s="9">
        <v>1280000.0</v>
      </c>
      <c r="F20" s="9">
        <v>180000.0</v>
      </c>
      <c r="G20" s="9"/>
      <c r="K20" s="9"/>
    </row>
    <row r="21">
      <c r="B21" s="81" t="s">
        <v>290</v>
      </c>
      <c r="C21" s="173">
        <v>1.0</v>
      </c>
      <c r="D21" s="9">
        <v>628100.0</v>
      </c>
      <c r="E21" s="9">
        <v>720000.0</v>
      </c>
      <c r="F21" s="9">
        <v>90000.0</v>
      </c>
      <c r="G21" s="9"/>
      <c r="K21" s="9"/>
    </row>
    <row r="22">
      <c r="B22" s="81" t="s">
        <v>291</v>
      </c>
      <c r="C22" s="173">
        <v>2.0</v>
      </c>
      <c r="D22" s="9">
        <v>689900.0</v>
      </c>
      <c r="E22" s="9">
        <v>1500000.0</v>
      </c>
      <c r="F22" s="9">
        <v>120000.0</v>
      </c>
      <c r="G22" s="9"/>
      <c r="K22" s="9"/>
    </row>
    <row r="23">
      <c r="B23" s="81" t="s">
        <v>292</v>
      </c>
      <c r="C23" s="173">
        <v>2.0</v>
      </c>
      <c r="D23" s="9">
        <v>653400.0</v>
      </c>
      <c r="E23" s="9">
        <v>760000.0</v>
      </c>
      <c r="F23" s="9">
        <v>100000.0</v>
      </c>
      <c r="G23" s="9"/>
      <c r="H23" s="13" t="s">
        <v>293</v>
      </c>
      <c r="K23" s="9"/>
    </row>
    <row r="24">
      <c r="B24" s="81" t="s">
        <v>294</v>
      </c>
      <c r="C24" s="173">
        <v>4.0</v>
      </c>
      <c r="D24" s="9">
        <v>505000.0</v>
      </c>
      <c r="E24" s="9">
        <v>2360000.0</v>
      </c>
      <c r="F24" s="9">
        <v>340000.0</v>
      </c>
      <c r="G24" s="9"/>
      <c r="J24" s="101"/>
      <c r="K24" s="9"/>
    </row>
    <row r="25">
      <c r="B25" s="81" t="s">
        <v>295</v>
      </c>
      <c r="C25" s="173">
        <v>4.0</v>
      </c>
      <c r="D25" s="9">
        <v>1475000.0</v>
      </c>
      <c r="E25" s="9">
        <v>6240000.0</v>
      </c>
      <c r="F25" s="9">
        <v>340000.0</v>
      </c>
      <c r="G25" s="9"/>
      <c r="J25" s="101"/>
      <c r="K25" s="9"/>
    </row>
    <row r="26">
      <c r="B26" s="81" t="s">
        <v>297</v>
      </c>
      <c r="C26" s="173">
        <v>1.0</v>
      </c>
      <c r="D26" s="9">
        <v>1170000.0</v>
      </c>
      <c r="E26" s="9">
        <v>1270000.0</v>
      </c>
      <c r="F26" s="9">
        <v>100000.0</v>
      </c>
      <c r="G26" s="9"/>
      <c r="J26" s="101"/>
      <c r="K26" s="9"/>
    </row>
    <row r="27">
      <c r="B27" s="81" t="s">
        <v>298</v>
      </c>
      <c r="C27" s="173">
        <v>1.0</v>
      </c>
      <c r="D27" s="9">
        <v>19200.0</v>
      </c>
      <c r="E27" s="9">
        <v>25000.0</v>
      </c>
      <c r="F27" s="9">
        <v>5000.0</v>
      </c>
      <c r="G27" s="9"/>
      <c r="J27" s="101"/>
      <c r="K27" s="9"/>
    </row>
    <row r="28">
      <c r="B28" s="81" t="s">
        <v>299</v>
      </c>
      <c r="C28" s="173">
        <v>19.0</v>
      </c>
      <c r="D28" s="9">
        <v>90000.0</v>
      </c>
      <c r="E28" s="9">
        <v>535000.0</v>
      </c>
      <c r="F28" s="9">
        <v>345000.0</v>
      </c>
      <c r="G28" s="9"/>
      <c r="J28" s="101"/>
      <c r="K28" s="9"/>
    </row>
    <row r="29">
      <c r="B29" s="81" t="s">
        <v>301</v>
      </c>
      <c r="C29" s="173">
        <v>2.0</v>
      </c>
      <c r="D29" s="9">
        <v>150000.0</v>
      </c>
      <c r="E29" s="9">
        <v>500000.0</v>
      </c>
      <c r="F29" s="9">
        <v>200000.0</v>
      </c>
      <c r="G29" s="9"/>
      <c r="J29" s="101"/>
      <c r="K29" s="9"/>
    </row>
    <row r="30">
      <c r="B30" s="81" t="s">
        <v>304</v>
      </c>
      <c r="C30" s="173">
        <v>3.0</v>
      </c>
      <c r="D30" s="9">
        <v>56700.0</v>
      </c>
      <c r="E30" s="9">
        <v>75000.0</v>
      </c>
      <c r="F30" s="9">
        <v>15000.0</v>
      </c>
      <c r="G30" s="9"/>
      <c r="J30" s="101"/>
      <c r="K30" s="9"/>
    </row>
    <row r="31">
      <c r="B31" s="81" t="s">
        <v>305</v>
      </c>
      <c r="C31" s="173">
        <v>1.0</v>
      </c>
      <c r="D31" s="9">
        <v>158530.2</v>
      </c>
      <c r="E31" s="9">
        <v>240000.0</v>
      </c>
      <c r="F31" s="9">
        <v>40000.0</v>
      </c>
      <c r="G31" s="9"/>
      <c r="J31" s="101"/>
      <c r="K31" s="9"/>
    </row>
    <row r="32">
      <c r="C32" s="9"/>
      <c r="F32" s="101"/>
      <c r="G32" s="9"/>
      <c r="J32" s="101"/>
      <c r="K32" s="9"/>
    </row>
    <row r="33">
      <c r="B33" s="13" t="s">
        <v>239</v>
      </c>
      <c r="C33" s="9"/>
      <c r="F33" s="101"/>
      <c r="G33" s="9"/>
      <c r="J33" s="101"/>
      <c r="K33" s="9"/>
    </row>
    <row r="34">
      <c r="B34" s="13" t="s">
        <v>306</v>
      </c>
      <c r="C34" s="9"/>
      <c r="F34" s="101"/>
      <c r="G34" s="9"/>
      <c r="J34" s="101"/>
      <c r="K34" s="9"/>
    </row>
    <row r="35">
      <c r="B35" s="13" t="s">
        <v>308</v>
      </c>
      <c r="C35" s="9"/>
      <c r="F35" s="101"/>
      <c r="G35" s="9"/>
      <c r="J35" s="101"/>
      <c r="K35" s="9"/>
    </row>
    <row r="36">
      <c r="B36" s="13" t="s">
        <v>309</v>
      </c>
      <c r="C36" s="9"/>
      <c r="F36" s="101"/>
      <c r="G36" s="9"/>
      <c r="J36" s="101"/>
      <c r="K36" s="9"/>
    </row>
    <row r="37">
      <c r="C37" s="9"/>
      <c r="F37" s="101"/>
      <c r="G37" s="9"/>
      <c r="J37" s="101"/>
      <c r="K37" s="9"/>
    </row>
    <row r="38">
      <c r="B38" s="13" t="s">
        <v>310</v>
      </c>
      <c r="C38" s="9"/>
      <c r="F38" s="101"/>
      <c r="G38" s="9"/>
      <c r="J38" s="101"/>
      <c r="K38" s="9"/>
    </row>
    <row r="39">
      <c r="B39" s="13" t="s">
        <v>311</v>
      </c>
      <c r="C39" s="13"/>
      <c r="E39" s="7" t="s">
        <v>312</v>
      </c>
      <c r="G39" s="9"/>
      <c r="J39" s="101"/>
      <c r="K39" s="9"/>
    </row>
    <row r="40">
      <c r="B40" s="13" t="s">
        <v>313</v>
      </c>
      <c r="E40" s="9"/>
      <c r="G40" s="9"/>
      <c r="J40" s="101"/>
      <c r="K40" s="9"/>
    </row>
    <row r="41">
      <c r="B41" s="13" t="s">
        <v>52</v>
      </c>
      <c r="E41" s="9"/>
      <c r="G41" s="9"/>
      <c r="J41" s="101"/>
      <c r="K41" s="9"/>
    </row>
    <row r="42">
      <c r="B42" s="13" t="s">
        <v>314</v>
      </c>
      <c r="E42" s="9"/>
      <c r="G42" s="9"/>
      <c r="J42" s="101"/>
      <c r="K42" s="9"/>
    </row>
    <row r="43">
      <c r="B43" s="13" t="s">
        <v>37</v>
      </c>
      <c r="E43" s="9"/>
      <c r="G43" s="9"/>
      <c r="J43" s="101"/>
      <c r="K43" s="9"/>
    </row>
    <row r="44">
      <c r="B44" s="13" t="s">
        <v>316</v>
      </c>
      <c r="C44" s="9"/>
      <c r="F44" s="101"/>
      <c r="G44" s="9"/>
      <c r="J44" s="101"/>
      <c r="K44" s="9"/>
    </row>
    <row r="45">
      <c r="B45" s="13" t="s">
        <v>319</v>
      </c>
      <c r="C45" s="9"/>
      <c r="F45" s="101"/>
      <c r="G45" s="9"/>
      <c r="J45" s="101"/>
      <c r="K45" s="9"/>
    </row>
    <row r="46">
      <c r="B46" s="13" t="s">
        <v>2</v>
      </c>
      <c r="C46" s="9"/>
      <c r="F46" s="101"/>
      <c r="G46" s="9"/>
      <c r="J46" s="101"/>
      <c r="K46" s="9"/>
    </row>
  </sheetData>
  <autoFilter ref="$T$3:$W$11">
    <sortState ref="T3:W11">
      <sortCondition descending="1" ref="U3:U11"/>
    </sortState>
  </autoFilter>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0"/>
    <col customWidth="1" min="2" max="2" width="2.13"/>
    <col customWidth="1" min="3" max="4" width="14.63"/>
    <col customWidth="1" min="5" max="5" width="31.25"/>
    <col customWidth="1" min="6" max="6" width="11.75"/>
    <col customWidth="1" min="7" max="7" width="21.13"/>
    <col customWidth="1" min="8" max="8" width="16.0"/>
    <col customWidth="1" min="9" max="9" width="25.63"/>
    <col customWidth="1" min="10" max="10" width="15.13"/>
    <col customWidth="1" min="11" max="11" width="12.5"/>
    <col customWidth="1" min="12" max="12" width="16.88"/>
    <col customWidth="1" min="13" max="13" width="15.25"/>
    <col customWidth="1" min="14" max="14" width="12.5"/>
    <col customWidth="1" min="15" max="15" width="15.5"/>
    <col customWidth="1" min="16" max="16" width="12.13"/>
    <col customWidth="1" min="17" max="17" width="11.13"/>
    <col customWidth="1" min="18" max="18" width="8.0"/>
    <col customWidth="1" min="20" max="20" width="35.13"/>
    <col customWidth="1" min="21" max="21" width="21.88"/>
    <col customWidth="1" min="22" max="22" width="19.38"/>
    <col customWidth="1" min="24" max="24" width="23.88"/>
    <col customWidth="1" min="25" max="25" width="3.25"/>
    <col customWidth="1" min="26" max="26" width="2.5"/>
  </cols>
  <sheetData>
    <row r="1" ht="33.0" customHeight="1">
      <c r="A1" s="29" t="s">
        <v>2</v>
      </c>
      <c r="B1" s="2"/>
      <c r="C1" s="37" t="s">
        <v>496</v>
      </c>
      <c r="D1" s="37" t="s">
        <v>499</v>
      </c>
      <c r="E1" s="37" t="s">
        <v>500</v>
      </c>
      <c r="F1" s="243" t="s">
        <v>27</v>
      </c>
      <c r="G1" s="37" t="s">
        <v>501</v>
      </c>
      <c r="H1" s="37" t="s">
        <v>26</v>
      </c>
      <c r="I1" s="37" t="s">
        <v>503</v>
      </c>
      <c r="J1" s="244" t="s">
        <v>504</v>
      </c>
      <c r="K1" s="41" t="s">
        <v>505</v>
      </c>
      <c r="L1" s="41" t="s">
        <v>506</v>
      </c>
      <c r="M1" s="37" t="s">
        <v>17</v>
      </c>
      <c r="N1" s="37" t="s">
        <v>510</v>
      </c>
      <c r="O1" s="37" t="s">
        <v>511</v>
      </c>
      <c r="P1" s="37" t="s">
        <v>15</v>
      </c>
      <c r="Q1" s="37" t="s">
        <v>21</v>
      </c>
      <c r="R1" s="3">
        <f>COUNTA(C:C)</f>
        <v>1485</v>
      </c>
      <c r="T1" s="3"/>
      <c r="U1" s="3"/>
      <c r="W1" s="2"/>
      <c r="X1" s="2"/>
      <c r="Y1" s="2"/>
      <c r="Z1" s="2"/>
      <c r="AA1" s="2"/>
    </row>
    <row r="2" ht="16.5" customHeight="1">
      <c r="A2" s="39"/>
      <c r="B2" s="2"/>
      <c r="C2" s="245">
        <v>45659.0</v>
      </c>
      <c r="D2" s="245">
        <v>45659.0</v>
      </c>
      <c r="E2" s="246" t="s">
        <v>97</v>
      </c>
      <c r="F2" s="247" t="s">
        <v>343</v>
      </c>
      <c r="G2" s="248" t="s">
        <v>516</v>
      </c>
      <c r="H2" s="93" t="s">
        <v>87</v>
      </c>
      <c r="I2" s="74" t="s">
        <v>518</v>
      </c>
      <c r="J2" s="249">
        <v>5.0</v>
      </c>
      <c r="K2" s="74" t="s">
        <v>520</v>
      </c>
      <c r="L2" s="74">
        <v>1085500.0</v>
      </c>
      <c r="M2" s="74" t="s">
        <v>521</v>
      </c>
      <c r="N2" s="74">
        <f t="shared" ref="N2:N348" si="1">J2*L2</f>
        <v>5427500</v>
      </c>
      <c r="O2" s="60">
        <f t="shared" ref="O2:O2002" si="2">if(M2="Cash","LUNAS",
   IF(M2="Tempo 14 Days",D2+14,
    if(M2="Tempo 30 Days",D2+30,
     IF(M2="Tempo 2 Month",D2+60,if(M2="Tempo DUNLOP",D2+75,0)))))</f>
        <v>45719</v>
      </c>
      <c r="P2" s="65" t="str">
        <f>VLOOKUP(I2,DATABASE!C:Q,11,FALSE)</f>
        <v>Tire</v>
      </c>
      <c r="Q2" s="65" t="str">
        <f>VLOOKUP(I2,DATABASE!C:Q,4,FALSE)</f>
        <v>Bridgestone</v>
      </c>
      <c r="R2" s="79"/>
      <c r="X2" s="2"/>
      <c r="Y2" s="2"/>
      <c r="Z2" s="2"/>
      <c r="AA2" s="2"/>
    </row>
    <row r="3" ht="14.25" customHeight="1">
      <c r="A3" s="49"/>
      <c r="C3" s="245">
        <v>45659.0</v>
      </c>
      <c r="D3" s="245">
        <v>45659.0</v>
      </c>
      <c r="E3" s="246" t="s">
        <v>97</v>
      </c>
      <c r="F3" s="247" t="s">
        <v>343</v>
      </c>
      <c r="G3" s="248" t="s">
        <v>551</v>
      </c>
      <c r="H3" s="93" t="s">
        <v>87</v>
      </c>
      <c r="I3" s="74" t="s">
        <v>554</v>
      </c>
      <c r="J3" s="249">
        <v>10.0</v>
      </c>
      <c r="K3" s="74" t="s">
        <v>556</v>
      </c>
      <c r="L3" s="74">
        <v>700000.0</v>
      </c>
      <c r="M3" s="74" t="s">
        <v>521</v>
      </c>
      <c r="N3" s="74">
        <f t="shared" si="1"/>
        <v>7000000</v>
      </c>
      <c r="O3" s="60">
        <f t="shared" si="2"/>
        <v>45719</v>
      </c>
      <c r="P3" s="65" t="str">
        <f>VLOOKUP(I3,DATABASE!C:Q,11,FALSE)</f>
        <v>Tire</v>
      </c>
      <c r="Q3" s="65" t="str">
        <f>VLOOKUP(I3,DATABASE!C:Q,4,FALSE)</f>
        <v>Bridgestone</v>
      </c>
      <c r="R3" s="79"/>
    </row>
    <row r="4" ht="17.25" customHeight="1">
      <c r="A4" s="49"/>
      <c r="C4" s="245">
        <v>45659.0</v>
      </c>
      <c r="D4" s="245">
        <v>45659.0</v>
      </c>
      <c r="E4" s="246" t="s">
        <v>97</v>
      </c>
      <c r="F4" s="247" t="s">
        <v>343</v>
      </c>
      <c r="G4" s="248" t="s">
        <v>563</v>
      </c>
      <c r="H4" s="93" t="s">
        <v>87</v>
      </c>
      <c r="I4" s="74" t="s">
        <v>566</v>
      </c>
      <c r="J4" s="249">
        <v>4.0</v>
      </c>
      <c r="K4" s="74" t="s">
        <v>567</v>
      </c>
      <c r="L4" s="74">
        <v>1570000.0</v>
      </c>
      <c r="M4" s="74" t="s">
        <v>521</v>
      </c>
      <c r="N4" s="74">
        <f t="shared" si="1"/>
        <v>6280000</v>
      </c>
      <c r="O4" s="60">
        <f t="shared" si="2"/>
        <v>45719</v>
      </c>
      <c r="P4" s="65" t="str">
        <f>VLOOKUP(I4,DATABASE!C:Q,11,FALSE)</f>
        <v>Tire</v>
      </c>
      <c r="Q4" s="65" t="str">
        <f>VLOOKUP(I4,DATABASE!C:Q,4,FALSE)</f>
        <v>Bridgestone</v>
      </c>
      <c r="R4" s="79"/>
      <c r="X4" s="2"/>
      <c r="Y4" s="2"/>
    </row>
    <row r="5" ht="15.0" customHeight="1">
      <c r="A5" s="49"/>
      <c r="C5" s="245">
        <v>45659.0</v>
      </c>
      <c r="D5" s="245">
        <v>45659.0</v>
      </c>
      <c r="E5" s="246" t="s">
        <v>97</v>
      </c>
      <c r="F5" s="247" t="s">
        <v>343</v>
      </c>
      <c r="G5" s="248" t="s">
        <v>563</v>
      </c>
      <c r="H5" s="93" t="s">
        <v>87</v>
      </c>
      <c r="I5" s="74" t="s">
        <v>572</v>
      </c>
      <c r="J5" s="249">
        <v>10.0</v>
      </c>
      <c r="K5" s="74" t="s">
        <v>575</v>
      </c>
      <c r="L5" s="74">
        <v>1285000.0</v>
      </c>
      <c r="M5" s="74" t="s">
        <v>521</v>
      </c>
      <c r="N5" s="74">
        <f t="shared" si="1"/>
        <v>12850000</v>
      </c>
      <c r="O5" s="60">
        <f t="shared" si="2"/>
        <v>45719</v>
      </c>
      <c r="P5" s="65" t="str">
        <f>VLOOKUP(I5,DATABASE!C:Q,11,FALSE)</f>
        <v>Tire</v>
      </c>
      <c r="Q5" s="65" t="str">
        <f>VLOOKUP(I5,DATABASE!C:Q,4,FALSE)</f>
        <v>Bridgestone</v>
      </c>
      <c r="R5" s="79"/>
    </row>
    <row r="6" ht="15.0" customHeight="1">
      <c r="A6" s="49"/>
      <c r="C6" s="245">
        <v>45659.0</v>
      </c>
      <c r="D6" s="245">
        <v>45659.0</v>
      </c>
      <c r="E6" s="246" t="s">
        <v>97</v>
      </c>
      <c r="F6" s="247" t="s">
        <v>343</v>
      </c>
      <c r="G6" s="248" t="s">
        <v>579</v>
      </c>
      <c r="H6" s="93" t="s">
        <v>87</v>
      </c>
      <c r="I6" s="74" t="s">
        <v>581</v>
      </c>
      <c r="J6" s="249">
        <v>6.0</v>
      </c>
      <c r="K6" s="74" t="s">
        <v>584</v>
      </c>
      <c r="L6" s="74">
        <v>577500.0</v>
      </c>
      <c r="M6" s="74" t="s">
        <v>521</v>
      </c>
      <c r="N6" s="74">
        <f t="shared" si="1"/>
        <v>3465000</v>
      </c>
      <c r="O6" s="60">
        <f t="shared" si="2"/>
        <v>45719</v>
      </c>
      <c r="P6" s="65" t="str">
        <f>VLOOKUP(I6,DATABASE!C:Q,11,FALSE)</f>
        <v>Tire</v>
      </c>
      <c r="Q6" s="65" t="str">
        <f>VLOOKUP(I6,DATABASE!C:Q,4,FALSE)</f>
        <v>Bridgestone</v>
      </c>
      <c r="R6" s="79"/>
    </row>
    <row r="7" ht="15.0" customHeight="1">
      <c r="A7" s="49"/>
      <c r="C7" s="245">
        <v>45659.0</v>
      </c>
      <c r="D7" s="245">
        <v>45659.0</v>
      </c>
      <c r="E7" s="246" t="s">
        <v>97</v>
      </c>
      <c r="F7" s="247" t="s">
        <v>343</v>
      </c>
      <c r="G7" s="248" t="s">
        <v>579</v>
      </c>
      <c r="H7" s="93" t="s">
        <v>87</v>
      </c>
      <c r="I7" s="74" t="s">
        <v>591</v>
      </c>
      <c r="J7" s="249">
        <v>10.0</v>
      </c>
      <c r="K7" s="74" t="s">
        <v>594</v>
      </c>
      <c r="L7" s="74">
        <v>676728.0</v>
      </c>
      <c r="M7" s="74" t="s">
        <v>521</v>
      </c>
      <c r="N7" s="74">
        <f t="shared" si="1"/>
        <v>6767280</v>
      </c>
      <c r="O7" s="60">
        <f t="shared" si="2"/>
        <v>45719</v>
      </c>
      <c r="P7" s="65" t="str">
        <f>VLOOKUP(I7,DATABASE!C:Q,11,FALSE)</f>
        <v>Tire</v>
      </c>
      <c r="Q7" s="65" t="str">
        <f>VLOOKUP(I7,DATABASE!C:Q,4,FALSE)</f>
        <v>Bridgestone</v>
      </c>
      <c r="R7" s="79"/>
    </row>
    <row r="8" ht="15.0" customHeight="1">
      <c r="A8" s="49"/>
      <c r="C8" s="245">
        <v>45659.0</v>
      </c>
      <c r="D8" s="245">
        <v>45659.0</v>
      </c>
      <c r="E8" s="246" t="s">
        <v>97</v>
      </c>
      <c r="F8" s="247" t="s">
        <v>343</v>
      </c>
      <c r="G8" s="248" t="s">
        <v>579</v>
      </c>
      <c r="H8" s="93" t="s">
        <v>87</v>
      </c>
      <c r="I8" s="74" t="s">
        <v>600</v>
      </c>
      <c r="J8" s="249">
        <v>10.0</v>
      </c>
      <c r="K8" s="74" t="s">
        <v>601</v>
      </c>
      <c r="L8" s="74">
        <v>655500.0</v>
      </c>
      <c r="M8" s="74" t="s">
        <v>521</v>
      </c>
      <c r="N8" s="74">
        <f t="shared" si="1"/>
        <v>6555000</v>
      </c>
      <c r="O8" s="60">
        <f t="shared" si="2"/>
        <v>45719</v>
      </c>
      <c r="P8" s="65" t="str">
        <f>VLOOKUP(I8,DATABASE!C:Q,11,FALSE)</f>
        <v>Tire</v>
      </c>
      <c r="Q8" s="65" t="str">
        <f>VLOOKUP(I8,DATABASE!C:Q,4,FALSE)</f>
        <v>Bridgestone</v>
      </c>
      <c r="R8" s="79"/>
    </row>
    <row r="9" ht="15.0" customHeight="1">
      <c r="A9" s="49"/>
      <c r="C9" s="245">
        <v>45659.0</v>
      </c>
      <c r="D9" s="245">
        <v>45659.0</v>
      </c>
      <c r="E9" s="246" t="s">
        <v>97</v>
      </c>
      <c r="F9" s="247" t="s">
        <v>343</v>
      </c>
      <c r="G9" s="248" t="s">
        <v>579</v>
      </c>
      <c r="H9" s="93" t="s">
        <v>87</v>
      </c>
      <c r="I9" s="74" t="s">
        <v>605</v>
      </c>
      <c r="J9" s="249">
        <v>8.0</v>
      </c>
      <c r="K9" s="74" t="s">
        <v>606</v>
      </c>
      <c r="L9" s="74">
        <v>670000.0</v>
      </c>
      <c r="M9" s="74" t="s">
        <v>521</v>
      </c>
      <c r="N9" s="74">
        <f t="shared" si="1"/>
        <v>5360000</v>
      </c>
      <c r="O9" s="60">
        <f t="shared" si="2"/>
        <v>45719</v>
      </c>
      <c r="P9" s="65" t="str">
        <f>VLOOKUP(I9,DATABASE!C:Q,11,FALSE)</f>
        <v>Tire</v>
      </c>
      <c r="Q9" s="65" t="str">
        <f>VLOOKUP(I9,DATABASE!C:Q,4,FALSE)</f>
        <v>Bridgestone</v>
      </c>
      <c r="R9" s="79"/>
    </row>
    <row r="10" ht="15.0" customHeight="1">
      <c r="A10" s="49"/>
      <c r="C10" s="245">
        <v>45659.0</v>
      </c>
      <c r="D10" s="245">
        <v>45659.0</v>
      </c>
      <c r="E10" s="246" t="s">
        <v>97</v>
      </c>
      <c r="F10" s="247" t="s">
        <v>343</v>
      </c>
      <c r="G10" s="248" t="s">
        <v>579</v>
      </c>
      <c r="H10" s="93" t="s">
        <v>87</v>
      </c>
      <c r="I10" s="74" t="s">
        <v>614</v>
      </c>
      <c r="J10" s="249">
        <v>6.0</v>
      </c>
      <c r="K10" s="74" t="s">
        <v>615</v>
      </c>
      <c r="L10" s="74">
        <v>765916.0</v>
      </c>
      <c r="M10" s="74" t="s">
        <v>521</v>
      </c>
      <c r="N10" s="74">
        <f t="shared" si="1"/>
        <v>4595496</v>
      </c>
      <c r="O10" s="60">
        <f t="shared" si="2"/>
        <v>45719</v>
      </c>
      <c r="P10" s="65" t="str">
        <f>VLOOKUP(I10,DATABASE!C:Q,11,FALSE)</f>
        <v>Tire</v>
      </c>
      <c r="Q10" s="65" t="str">
        <f>VLOOKUP(I10,DATABASE!C:Q,4,FALSE)</f>
        <v>Bridgestone</v>
      </c>
      <c r="R10" s="79"/>
    </row>
    <row r="11" ht="15.0" customHeight="1">
      <c r="A11" s="49"/>
      <c r="C11" s="245">
        <v>45659.0</v>
      </c>
      <c r="D11" s="245">
        <v>45659.0</v>
      </c>
      <c r="E11" s="246" t="s">
        <v>97</v>
      </c>
      <c r="F11" s="247" t="s">
        <v>343</v>
      </c>
      <c r="G11" s="248" t="s">
        <v>563</v>
      </c>
      <c r="H11" s="93" t="s">
        <v>87</v>
      </c>
      <c r="I11" s="74" t="s">
        <v>622</v>
      </c>
      <c r="J11" s="249">
        <v>6.0</v>
      </c>
      <c r="K11" s="74" t="s">
        <v>623</v>
      </c>
      <c r="L11" s="74">
        <v>810174.0</v>
      </c>
      <c r="M11" s="74" t="s">
        <v>521</v>
      </c>
      <c r="N11" s="74">
        <f t="shared" si="1"/>
        <v>4861044</v>
      </c>
      <c r="O11" s="60">
        <f t="shared" si="2"/>
        <v>45719</v>
      </c>
      <c r="P11" s="65" t="str">
        <f>VLOOKUP(I11,DATABASE!C:Q,11,FALSE)</f>
        <v>Tire</v>
      </c>
      <c r="Q11" s="65" t="str">
        <f>VLOOKUP(I11,DATABASE!C:Q,4,FALSE)</f>
        <v>Bridgestone</v>
      </c>
      <c r="R11" s="79"/>
    </row>
    <row r="12" ht="15.0" customHeight="1">
      <c r="A12" s="49"/>
      <c r="C12" s="245">
        <v>45659.0</v>
      </c>
      <c r="D12" s="245">
        <v>45659.0</v>
      </c>
      <c r="E12" s="246" t="s">
        <v>97</v>
      </c>
      <c r="F12" s="247" t="s">
        <v>343</v>
      </c>
      <c r="G12" s="248" t="s">
        <v>579</v>
      </c>
      <c r="H12" s="93" t="s">
        <v>87</v>
      </c>
      <c r="I12" s="74" t="s">
        <v>627</v>
      </c>
      <c r="J12" s="249">
        <v>2.0</v>
      </c>
      <c r="K12" s="74" t="s">
        <v>629</v>
      </c>
      <c r="L12" s="74">
        <v>902500.0</v>
      </c>
      <c r="M12" s="74" t="s">
        <v>521</v>
      </c>
      <c r="N12" s="74">
        <f t="shared" si="1"/>
        <v>1805000</v>
      </c>
      <c r="O12" s="60">
        <f t="shared" si="2"/>
        <v>45719</v>
      </c>
      <c r="P12" s="65" t="str">
        <f>VLOOKUP(I12,DATABASE!C:Q,11,FALSE)</f>
        <v>Tire</v>
      </c>
      <c r="Q12" s="65" t="str">
        <f>VLOOKUP(I12,DATABASE!C:Q,4,FALSE)</f>
        <v>Bridgestone</v>
      </c>
      <c r="R12" s="79"/>
      <c r="X12" s="9"/>
    </row>
    <row r="13" ht="15.0" customHeight="1">
      <c r="A13" s="49"/>
      <c r="C13" s="245">
        <v>45660.0</v>
      </c>
      <c r="D13" s="245">
        <v>45660.0</v>
      </c>
      <c r="E13" s="246" t="s">
        <v>97</v>
      </c>
      <c r="F13" s="247" t="s">
        <v>343</v>
      </c>
      <c r="G13" s="248" t="s">
        <v>636</v>
      </c>
      <c r="H13" s="93" t="s">
        <v>87</v>
      </c>
      <c r="I13" s="74" t="s">
        <v>637</v>
      </c>
      <c r="J13" s="249">
        <v>2.0</v>
      </c>
      <c r="K13" s="74" t="s">
        <v>638</v>
      </c>
      <c r="L13" s="74">
        <v>1170500.0</v>
      </c>
      <c r="M13" s="74" t="s">
        <v>521</v>
      </c>
      <c r="N13" s="74">
        <f t="shared" si="1"/>
        <v>2341000</v>
      </c>
      <c r="O13" s="60">
        <f t="shared" si="2"/>
        <v>45720</v>
      </c>
      <c r="P13" s="65" t="str">
        <f>VLOOKUP(I13,DATABASE!C:Q,11,FALSE)</f>
        <v>Tire</v>
      </c>
      <c r="Q13" s="65" t="str">
        <f>VLOOKUP(I13,DATABASE!C:Q,4,FALSE)</f>
        <v>Bridgestone</v>
      </c>
      <c r="R13" s="79"/>
    </row>
    <row r="14" ht="15.0" customHeight="1">
      <c r="A14" s="49"/>
      <c r="C14" s="245">
        <v>45661.0</v>
      </c>
      <c r="D14" s="245">
        <v>45661.0</v>
      </c>
      <c r="E14" s="93" t="s">
        <v>185</v>
      </c>
      <c r="F14" s="247" t="s">
        <v>343</v>
      </c>
      <c r="G14" s="248" t="s">
        <v>646</v>
      </c>
      <c r="H14" s="93" t="s">
        <v>7</v>
      </c>
      <c r="I14" s="74" t="s">
        <v>647</v>
      </c>
      <c r="J14" s="249">
        <v>10.0</v>
      </c>
      <c r="K14" s="74" t="s">
        <v>649</v>
      </c>
      <c r="L14" s="74">
        <v>1360000.0</v>
      </c>
      <c r="M14" s="74" t="s">
        <v>521</v>
      </c>
      <c r="N14" s="74">
        <f t="shared" si="1"/>
        <v>13600000</v>
      </c>
      <c r="O14" s="60">
        <f t="shared" si="2"/>
        <v>45721</v>
      </c>
      <c r="P14" s="65" t="str">
        <f>VLOOKUP(I14,DATABASE!C:Q,11,FALSE)</f>
        <v>Tire</v>
      </c>
      <c r="Q14" s="65" t="str">
        <f>VLOOKUP(I14,DATABASE!C:Q,4,FALSE)</f>
        <v>G. YEAR</v>
      </c>
      <c r="R14" s="79"/>
      <c r="X14" s="9"/>
    </row>
    <row r="15" ht="15.0" customHeight="1">
      <c r="A15" s="49"/>
      <c r="C15" s="245">
        <v>45663.0</v>
      </c>
      <c r="D15" s="245">
        <v>45663.0</v>
      </c>
      <c r="E15" s="93" t="s">
        <v>81</v>
      </c>
      <c r="F15" s="247" t="s">
        <v>343</v>
      </c>
      <c r="G15" s="248" t="s">
        <v>654</v>
      </c>
      <c r="H15" s="93" t="s">
        <v>87</v>
      </c>
      <c r="I15" s="74" t="s">
        <v>275</v>
      </c>
      <c r="J15" s="249">
        <v>4.0</v>
      </c>
      <c r="K15" s="74" t="s">
        <v>656</v>
      </c>
      <c r="L15" s="74">
        <v>735000.0</v>
      </c>
      <c r="M15" s="74" t="s">
        <v>657</v>
      </c>
      <c r="N15" s="74">
        <f t="shared" si="1"/>
        <v>2940000</v>
      </c>
      <c r="O15" s="60">
        <f t="shared" si="2"/>
        <v>45738</v>
      </c>
      <c r="P15" s="65" t="str">
        <f>VLOOKUP(I15,DATABASE!C:Q,11,FALSE)</f>
        <v>Tire</v>
      </c>
      <c r="Q15" s="65" t="str">
        <f>VLOOKUP(I15,DATABASE!C:Q,4,FALSE)</f>
        <v>Dunlop</v>
      </c>
      <c r="R15" s="79"/>
    </row>
    <row r="16" ht="15.0" customHeight="1">
      <c r="A16" s="49"/>
      <c r="C16" s="245">
        <v>45663.0</v>
      </c>
      <c r="D16" s="245">
        <v>45663.0</v>
      </c>
      <c r="E16" s="93" t="s">
        <v>174</v>
      </c>
      <c r="F16" s="247" t="s">
        <v>343</v>
      </c>
      <c r="G16" s="248" t="s">
        <v>663</v>
      </c>
      <c r="H16" s="93" t="s">
        <v>7</v>
      </c>
      <c r="I16" s="74" t="s">
        <v>201</v>
      </c>
      <c r="J16" s="249">
        <v>1.0</v>
      </c>
      <c r="K16" s="74" t="s">
        <v>664</v>
      </c>
      <c r="L16" s="74">
        <v>760239.0</v>
      </c>
      <c r="M16" s="74" t="s">
        <v>521</v>
      </c>
      <c r="N16" s="74">
        <f t="shared" si="1"/>
        <v>760239</v>
      </c>
      <c r="O16" s="60">
        <f t="shared" si="2"/>
        <v>45723</v>
      </c>
      <c r="P16" s="65" t="str">
        <f>VLOOKUP(I16,DATABASE!C:Q,11,FALSE)</f>
        <v>Tire</v>
      </c>
      <c r="Q16" s="65" t="str">
        <f>VLOOKUP(I16,DATABASE!C:Q,4,FALSE)</f>
        <v>ACCELERA</v>
      </c>
      <c r="R16" s="79"/>
    </row>
    <row r="17" ht="15.0" customHeight="1">
      <c r="A17" s="49"/>
      <c r="C17" s="245">
        <v>45664.0</v>
      </c>
      <c r="D17" s="245">
        <v>45664.0</v>
      </c>
      <c r="E17" s="93" t="s">
        <v>349</v>
      </c>
      <c r="F17" s="247" t="s">
        <v>343</v>
      </c>
      <c r="G17" s="248" t="s">
        <v>673</v>
      </c>
      <c r="H17" s="93" t="s">
        <v>7</v>
      </c>
      <c r="I17" s="74" t="s">
        <v>275</v>
      </c>
      <c r="J17" s="249">
        <v>2.0</v>
      </c>
      <c r="K17" s="74" t="s">
        <v>674</v>
      </c>
      <c r="L17" s="74">
        <v>1830000.0</v>
      </c>
      <c r="M17" s="74" t="s">
        <v>521</v>
      </c>
      <c r="N17" s="74">
        <f t="shared" si="1"/>
        <v>3660000</v>
      </c>
      <c r="O17" s="60">
        <f t="shared" si="2"/>
        <v>45724</v>
      </c>
      <c r="P17" s="65" t="str">
        <f>VLOOKUP(I17,DATABASE!C:Q,11,FALSE)</f>
        <v>Tire</v>
      </c>
      <c r="Q17" s="65" t="str">
        <f>VLOOKUP(I17,DATABASE!C:Q,4,FALSE)</f>
        <v>Dunlop</v>
      </c>
      <c r="R17" s="79"/>
    </row>
    <row r="18" ht="15.0" customHeight="1">
      <c r="A18" s="49"/>
      <c r="C18" s="245">
        <v>45665.0</v>
      </c>
      <c r="D18" s="245">
        <v>45665.0</v>
      </c>
      <c r="E18" s="93" t="s">
        <v>81</v>
      </c>
      <c r="F18" s="247" t="s">
        <v>343</v>
      </c>
      <c r="G18" s="248" t="s">
        <v>680</v>
      </c>
      <c r="H18" s="93" t="s">
        <v>87</v>
      </c>
      <c r="I18" s="74" t="s">
        <v>275</v>
      </c>
      <c r="J18" s="249">
        <v>20.0</v>
      </c>
      <c r="K18" s="74" t="s">
        <v>656</v>
      </c>
      <c r="L18" s="74">
        <v>735000.0</v>
      </c>
      <c r="M18" s="74" t="s">
        <v>657</v>
      </c>
      <c r="N18" s="74">
        <f t="shared" si="1"/>
        <v>14700000</v>
      </c>
      <c r="O18" s="60">
        <f t="shared" si="2"/>
        <v>45740</v>
      </c>
      <c r="P18" s="65" t="str">
        <f>VLOOKUP(I18,DATABASE!C:Q,11,FALSE)</f>
        <v>Tire</v>
      </c>
      <c r="Q18" s="65" t="str">
        <f>VLOOKUP(I18,DATABASE!C:Q,4,FALSE)</f>
        <v>Dunlop</v>
      </c>
      <c r="R18" s="79"/>
    </row>
    <row r="19" ht="15.0" customHeight="1">
      <c r="A19" s="49"/>
      <c r="C19" s="245">
        <v>45671.0</v>
      </c>
      <c r="D19" s="245">
        <v>45671.0</v>
      </c>
      <c r="E19" s="93" t="s">
        <v>81</v>
      </c>
      <c r="F19" s="247" t="s">
        <v>343</v>
      </c>
      <c r="G19" s="248" t="s">
        <v>686</v>
      </c>
      <c r="H19" s="93" t="s">
        <v>87</v>
      </c>
      <c r="I19" s="74" t="s">
        <v>687</v>
      </c>
      <c r="J19" s="249">
        <v>6.0</v>
      </c>
      <c r="K19" s="74" t="s">
        <v>690</v>
      </c>
      <c r="L19" s="74">
        <v>915000.0</v>
      </c>
      <c r="M19" s="74" t="s">
        <v>657</v>
      </c>
      <c r="N19" s="74">
        <f t="shared" si="1"/>
        <v>5490000</v>
      </c>
      <c r="O19" s="60">
        <f t="shared" si="2"/>
        <v>45746</v>
      </c>
      <c r="P19" s="65" t="str">
        <f>VLOOKUP(I19,DATABASE!C:Q,11,FALSE)</f>
        <v>Tire</v>
      </c>
      <c r="Q19" s="65" t="str">
        <f>VLOOKUP(I19,DATABASE!C:Q,4,FALSE)</f>
        <v>Dunlop</v>
      </c>
      <c r="R19" s="79"/>
    </row>
    <row r="20" ht="15.0" customHeight="1">
      <c r="A20" s="49"/>
      <c r="C20" s="245">
        <v>45671.0</v>
      </c>
      <c r="D20" s="245">
        <v>45671.0</v>
      </c>
      <c r="E20" s="93" t="s">
        <v>81</v>
      </c>
      <c r="F20" s="247" t="s">
        <v>343</v>
      </c>
      <c r="G20" s="248" t="s">
        <v>686</v>
      </c>
      <c r="H20" s="93" t="s">
        <v>87</v>
      </c>
      <c r="I20" s="74" t="s">
        <v>695</v>
      </c>
      <c r="J20" s="249">
        <v>10.0</v>
      </c>
      <c r="K20" s="74" t="s">
        <v>697</v>
      </c>
      <c r="L20" s="74">
        <v>530000.0</v>
      </c>
      <c r="M20" s="74" t="s">
        <v>657</v>
      </c>
      <c r="N20" s="74">
        <f t="shared" si="1"/>
        <v>5300000</v>
      </c>
      <c r="O20" s="60">
        <f t="shared" si="2"/>
        <v>45746</v>
      </c>
      <c r="P20" s="65" t="str">
        <f>VLOOKUP(I20,DATABASE!C:Q,11,FALSE)</f>
        <v>Tire</v>
      </c>
      <c r="Q20" s="65" t="str">
        <f>VLOOKUP(I20,DATABASE!C:Q,4,FALSE)</f>
        <v>Dunlop</v>
      </c>
      <c r="R20" s="79"/>
    </row>
    <row r="21" ht="15.0" customHeight="1">
      <c r="A21" s="49"/>
      <c r="C21" s="245">
        <v>45671.0</v>
      </c>
      <c r="D21" s="245">
        <v>45671.0</v>
      </c>
      <c r="E21" s="65" t="s">
        <v>81</v>
      </c>
      <c r="F21" s="247" t="s">
        <v>343</v>
      </c>
      <c r="G21" s="248" t="s">
        <v>686</v>
      </c>
      <c r="H21" s="93" t="s">
        <v>87</v>
      </c>
      <c r="I21" s="74" t="s">
        <v>271</v>
      </c>
      <c r="J21" s="249">
        <v>10.0</v>
      </c>
      <c r="K21" s="74" t="s">
        <v>697</v>
      </c>
      <c r="L21" s="74">
        <v>530000.0</v>
      </c>
      <c r="M21" s="74" t="s">
        <v>657</v>
      </c>
      <c r="N21" s="74">
        <f t="shared" si="1"/>
        <v>5300000</v>
      </c>
      <c r="O21" s="60">
        <f t="shared" si="2"/>
        <v>45746</v>
      </c>
      <c r="P21" s="65" t="str">
        <f>VLOOKUP(I21,DATABASE!C:Q,11,FALSE)</f>
        <v>Tire</v>
      </c>
      <c r="Q21" s="65" t="str">
        <f>VLOOKUP(I21,DATABASE!C:Q,4,FALSE)</f>
        <v>Dunlop</v>
      </c>
      <c r="R21" s="79"/>
    </row>
    <row r="22" ht="15.0" customHeight="1">
      <c r="A22" s="49"/>
      <c r="C22" s="245">
        <v>45671.0</v>
      </c>
      <c r="D22" s="245">
        <v>45671.0</v>
      </c>
      <c r="E22" s="93" t="s">
        <v>81</v>
      </c>
      <c r="F22" s="247" t="s">
        <v>343</v>
      </c>
      <c r="G22" s="248" t="s">
        <v>686</v>
      </c>
      <c r="H22" s="93" t="s">
        <v>87</v>
      </c>
      <c r="I22" s="74" t="s">
        <v>706</v>
      </c>
      <c r="J22" s="249">
        <v>15.0</v>
      </c>
      <c r="K22" s="74" t="s">
        <v>708</v>
      </c>
      <c r="L22" s="74">
        <v>468000.0</v>
      </c>
      <c r="M22" s="74" t="s">
        <v>657</v>
      </c>
      <c r="N22" s="74">
        <f t="shared" si="1"/>
        <v>7020000</v>
      </c>
      <c r="O22" s="60">
        <f t="shared" si="2"/>
        <v>45746</v>
      </c>
      <c r="P22" s="65" t="str">
        <f>VLOOKUP(I22,DATABASE!C:Q,11,FALSE)</f>
        <v>Tire</v>
      </c>
      <c r="Q22" s="65" t="str">
        <f>VLOOKUP(I22,DATABASE!C:Q,4,FALSE)</f>
        <v>Dunlop</v>
      </c>
      <c r="R22" s="79"/>
    </row>
    <row r="23" ht="15.0" customHeight="1">
      <c r="A23" s="49"/>
      <c r="C23" s="245">
        <v>45671.0</v>
      </c>
      <c r="D23" s="245">
        <v>45671.0</v>
      </c>
      <c r="E23" s="93" t="s">
        <v>81</v>
      </c>
      <c r="F23" s="247" t="s">
        <v>343</v>
      </c>
      <c r="G23" s="248" t="s">
        <v>686</v>
      </c>
      <c r="H23" s="93" t="s">
        <v>87</v>
      </c>
      <c r="I23" s="74" t="s">
        <v>268</v>
      </c>
      <c r="J23" s="249">
        <v>50.0</v>
      </c>
      <c r="K23" s="74" t="s">
        <v>715</v>
      </c>
      <c r="L23" s="74">
        <v>613000.0</v>
      </c>
      <c r="M23" s="74" t="s">
        <v>657</v>
      </c>
      <c r="N23" s="74">
        <f t="shared" si="1"/>
        <v>30650000</v>
      </c>
      <c r="O23" s="60">
        <f t="shared" si="2"/>
        <v>45746</v>
      </c>
      <c r="P23" s="65" t="str">
        <f>VLOOKUP(I23,DATABASE!C:Q,11,FALSE)</f>
        <v>Tire</v>
      </c>
      <c r="Q23" s="65" t="str">
        <f>VLOOKUP(I23,DATABASE!C:Q,4,FALSE)</f>
        <v>Dunlop</v>
      </c>
      <c r="R23" s="79"/>
    </row>
    <row r="24" ht="15.0" customHeight="1">
      <c r="A24" s="49"/>
      <c r="C24" s="245">
        <v>45673.0</v>
      </c>
      <c r="D24" s="245">
        <v>45673.0</v>
      </c>
      <c r="E24" s="65" t="s">
        <v>257</v>
      </c>
      <c r="F24" s="247" t="s">
        <v>343</v>
      </c>
      <c r="G24" s="248" t="s">
        <v>722</v>
      </c>
      <c r="H24" s="93" t="s">
        <v>7</v>
      </c>
      <c r="I24" s="74" t="s">
        <v>437</v>
      </c>
      <c r="J24" s="249">
        <v>2.0</v>
      </c>
      <c r="K24" s="74" t="s">
        <v>723</v>
      </c>
      <c r="L24" s="74">
        <v>1607040.0</v>
      </c>
      <c r="M24" s="74" t="s">
        <v>521</v>
      </c>
      <c r="N24" s="74">
        <f t="shared" si="1"/>
        <v>3214080</v>
      </c>
      <c r="O24" s="60">
        <f t="shared" si="2"/>
        <v>45733</v>
      </c>
      <c r="P24" s="65" t="str">
        <f>VLOOKUP(I24,DATABASE!C:Q,11,FALSE)</f>
        <v>Tire</v>
      </c>
      <c r="Q24" s="65" t="str">
        <f>VLOOKUP(I24,DATABASE!C:Q,4,FALSE)</f>
        <v>Aspira</v>
      </c>
      <c r="R24" s="79"/>
    </row>
    <row r="25" ht="15.0" customHeight="1">
      <c r="A25" s="49"/>
      <c r="C25" s="245">
        <v>45675.0</v>
      </c>
      <c r="D25" s="245">
        <v>45675.0</v>
      </c>
      <c r="E25" s="65" t="s">
        <v>335</v>
      </c>
      <c r="F25" s="247" t="s">
        <v>343</v>
      </c>
      <c r="G25" s="248" t="s">
        <v>730</v>
      </c>
      <c r="H25" s="93" t="s">
        <v>7</v>
      </c>
      <c r="I25" s="74" t="s">
        <v>391</v>
      </c>
      <c r="J25" s="249">
        <v>12.0</v>
      </c>
      <c r="K25" s="74" t="s">
        <v>731</v>
      </c>
      <c r="L25" s="74">
        <v>1695000.0</v>
      </c>
      <c r="M25" s="74" t="s">
        <v>521</v>
      </c>
      <c r="N25" s="74">
        <f t="shared" si="1"/>
        <v>20340000</v>
      </c>
      <c r="O25" s="60">
        <f t="shared" si="2"/>
        <v>45735</v>
      </c>
      <c r="P25" s="65" t="str">
        <f>VLOOKUP(I25,DATABASE!C:Q,11,FALSE)</f>
        <v>Tire</v>
      </c>
      <c r="Q25" s="65" t="str">
        <f>VLOOKUP(I25,DATABASE!C:Q,4,FALSE)</f>
        <v>Advance</v>
      </c>
      <c r="R25" s="79"/>
    </row>
    <row r="26" ht="15.0" customHeight="1">
      <c r="A26" s="49"/>
      <c r="C26" s="245">
        <v>45675.0</v>
      </c>
      <c r="D26" s="245">
        <v>45675.0</v>
      </c>
      <c r="E26" s="65" t="s">
        <v>335</v>
      </c>
      <c r="F26" s="247" t="s">
        <v>343</v>
      </c>
      <c r="G26" s="248" t="s">
        <v>730</v>
      </c>
      <c r="H26" s="266" t="s">
        <v>7</v>
      </c>
      <c r="I26" s="267" t="s">
        <v>374</v>
      </c>
      <c r="J26" s="249">
        <v>6.0</v>
      </c>
      <c r="K26" s="74" t="s">
        <v>738</v>
      </c>
      <c r="L26" s="74">
        <v>1805000.0</v>
      </c>
      <c r="M26" s="74" t="s">
        <v>521</v>
      </c>
      <c r="N26" s="74">
        <f t="shared" si="1"/>
        <v>10830000</v>
      </c>
      <c r="O26" s="60">
        <f t="shared" si="2"/>
        <v>45735</v>
      </c>
      <c r="P26" s="65" t="str">
        <f>VLOOKUP(I26,DATABASE!C:Q,11,FALSE)</f>
        <v>Tire</v>
      </c>
      <c r="Q26" s="65" t="str">
        <f>VLOOKUP(I26,DATABASE!C:Q,4,FALSE)</f>
        <v>Advance</v>
      </c>
      <c r="R26" s="79"/>
    </row>
    <row r="27" ht="15.0" customHeight="1">
      <c r="A27" s="49"/>
      <c r="C27" s="245">
        <v>45675.0</v>
      </c>
      <c r="D27" s="245">
        <v>45675.0</v>
      </c>
      <c r="E27" s="65" t="s">
        <v>335</v>
      </c>
      <c r="F27" s="247" t="s">
        <v>343</v>
      </c>
      <c r="G27" s="248" t="s">
        <v>730</v>
      </c>
      <c r="H27" s="93" t="s">
        <v>7</v>
      </c>
      <c r="I27" s="74" t="s">
        <v>403</v>
      </c>
      <c r="J27" s="249">
        <v>4.0</v>
      </c>
      <c r="K27" s="74" t="s">
        <v>742</v>
      </c>
      <c r="L27" s="74">
        <v>2015000.0</v>
      </c>
      <c r="M27" s="74" t="s">
        <v>521</v>
      </c>
      <c r="N27" s="74">
        <f t="shared" si="1"/>
        <v>8060000</v>
      </c>
      <c r="O27" s="60">
        <f t="shared" si="2"/>
        <v>45735</v>
      </c>
      <c r="P27" s="65" t="str">
        <f>VLOOKUP(I27,DATABASE!C:Q,11,FALSE)</f>
        <v>Tire</v>
      </c>
      <c r="Q27" s="65" t="str">
        <f>VLOOKUP(I27,DATABASE!C:Q,4,FALSE)</f>
        <v>Advance</v>
      </c>
      <c r="R27" s="79"/>
    </row>
    <row r="28" ht="15.0" customHeight="1">
      <c r="A28" s="49"/>
      <c r="C28" s="245">
        <v>45675.0</v>
      </c>
      <c r="D28" s="245">
        <v>45675.0</v>
      </c>
      <c r="E28" s="65" t="s">
        <v>335</v>
      </c>
      <c r="F28" s="247" t="s">
        <v>343</v>
      </c>
      <c r="G28" s="248" t="s">
        <v>730</v>
      </c>
      <c r="H28" s="93" t="s">
        <v>7</v>
      </c>
      <c r="I28" s="74" t="s">
        <v>624</v>
      </c>
      <c r="J28" s="249">
        <v>20.0</v>
      </c>
      <c r="K28" s="74" t="s">
        <v>748</v>
      </c>
      <c r="L28" s="74">
        <v>75000.0</v>
      </c>
      <c r="M28" s="74" t="s">
        <v>521</v>
      </c>
      <c r="N28" s="74">
        <f t="shared" si="1"/>
        <v>1500000</v>
      </c>
      <c r="O28" s="60">
        <f t="shared" si="2"/>
        <v>45735</v>
      </c>
      <c r="P28" s="65" t="str">
        <f>VLOOKUP(I28,DATABASE!C:Q,11,FALSE)</f>
        <v>Tire</v>
      </c>
      <c r="Q28" s="65" t="str">
        <f>VLOOKUP(I28,DATABASE!C:Q,4,FALSE)</f>
        <v>BD</v>
      </c>
      <c r="R28" s="79"/>
    </row>
    <row r="29" ht="15.0" customHeight="1">
      <c r="A29" s="49"/>
      <c r="C29" s="245">
        <v>45677.0</v>
      </c>
      <c r="D29" s="245">
        <v>45677.0</v>
      </c>
      <c r="E29" s="65" t="s">
        <v>110</v>
      </c>
      <c r="F29" s="247" t="s">
        <v>343</v>
      </c>
      <c r="G29" s="248" t="s">
        <v>751</v>
      </c>
      <c r="H29" s="93" t="s">
        <v>7</v>
      </c>
      <c r="I29" s="74" t="s">
        <v>744</v>
      </c>
      <c r="J29" s="249">
        <v>10.0</v>
      </c>
      <c r="K29" s="74" t="s">
        <v>754</v>
      </c>
      <c r="L29" s="74">
        <v>199920.0</v>
      </c>
      <c r="M29" s="74" t="s">
        <v>755</v>
      </c>
      <c r="N29" s="74">
        <f t="shared" si="1"/>
        <v>1999200</v>
      </c>
      <c r="O29" s="60">
        <f t="shared" si="2"/>
        <v>45707</v>
      </c>
      <c r="P29" s="65" t="str">
        <f>VLOOKUP(I29,DATABASE!C:Q,11,FALSE)</f>
        <v>Tire</v>
      </c>
      <c r="Q29" s="65" t="str">
        <f>VLOOKUP(I29,DATABASE!C:Q,4,FALSE)</f>
        <v>BD</v>
      </c>
      <c r="R29" s="79"/>
    </row>
    <row r="30" ht="15.0" customHeight="1">
      <c r="A30" s="49"/>
      <c r="C30" s="245">
        <v>45677.0</v>
      </c>
      <c r="D30" s="245">
        <v>45677.0</v>
      </c>
      <c r="E30" s="93" t="s">
        <v>110</v>
      </c>
      <c r="F30" s="247" t="s">
        <v>343</v>
      </c>
      <c r="G30" s="248" t="s">
        <v>751</v>
      </c>
      <c r="H30" s="93" t="s">
        <v>7</v>
      </c>
      <c r="I30" s="74" t="s">
        <v>255</v>
      </c>
      <c r="J30" s="249">
        <v>10.0</v>
      </c>
      <c r="K30" s="74" t="s">
        <v>759</v>
      </c>
      <c r="L30" s="74">
        <v>161840.0</v>
      </c>
      <c r="M30" s="74" t="s">
        <v>755</v>
      </c>
      <c r="N30" s="74">
        <f t="shared" si="1"/>
        <v>1618400</v>
      </c>
      <c r="O30" s="60">
        <f t="shared" si="2"/>
        <v>45707</v>
      </c>
      <c r="P30" s="65" t="str">
        <f>VLOOKUP(I30,DATABASE!C:Q,11,FALSE)</f>
        <v>Tire</v>
      </c>
      <c r="Q30" s="65" t="str">
        <f>VLOOKUP(I30,DATABASE!C:Q,4,FALSE)</f>
        <v>BD</v>
      </c>
      <c r="R30" s="79"/>
    </row>
    <row r="31" ht="15.0" customHeight="1">
      <c r="A31" s="49"/>
      <c r="C31" s="245">
        <v>45677.0</v>
      </c>
      <c r="D31" s="245">
        <v>45677.0</v>
      </c>
      <c r="E31" s="93" t="s">
        <v>110</v>
      </c>
      <c r="F31" s="247" t="s">
        <v>343</v>
      </c>
      <c r="G31" s="248" t="s">
        <v>751</v>
      </c>
      <c r="H31" s="93" t="s">
        <v>7</v>
      </c>
      <c r="I31" s="74" t="s">
        <v>604</v>
      </c>
      <c r="J31" s="249">
        <v>25.0</v>
      </c>
      <c r="K31" s="74" t="s">
        <v>765</v>
      </c>
      <c r="L31" s="74">
        <v>125120.0</v>
      </c>
      <c r="M31" s="74" t="s">
        <v>755</v>
      </c>
      <c r="N31" s="74">
        <f t="shared" si="1"/>
        <v>3128000</v>
      </c>
      <c r="O31" s="60">
        <f t="shared" si="2"/>
        <v>45707</v>
      </c>
      <c r="P31" s="65" t="str">
        <f>VLOOKUP(I31,DATABASE!C:Q,11,FALSE)</f>
        <v>Tire</v>
      </c>
      <c r="Q31" s="65" t="str">
        <f>VLOOKUP(I31,DATABASE!C:Q,4,FALSE)</f>
        <v>BD</v>
      </c>
      <c r="R31" s="79"/>
    </row>
    <row r="32" ht="15.0" customHeight="1">
      <c r="A32" s="49"/>
      <c r="C32" s="245">
        <v>45677.0</v>
      </c>
      <c r="D32" s="245">
        <v>45677.0</v>
      </c>
      <c r="E32" s="65" t="s">
        <v>110</v>
      </c>
      <c r="F32" s="247" t="s">
        <v>343</v>
      </c>
      <c r="G32" s="248" t="s">
        <v>751</v>
      </c>
      <c r="H32" s="93" t="s">
        <v>7</v>
      </c>
      <c r="I32" s="74" t="s">
        <v>250</v>
      </c>
      <c r="J32" s="249">
        <v>25.0</v>
      </c>
      <c r="K32" s="74" t="s">
        <v>771</v>
      </c>
      <c r="L32" s="74">
        <v>102000.0</v>
      </c>
      <c r="M32" s="74" t="s">
        <v>755</v>
      </c>
      <c r="N32" s="74">
        <f t="shared" si="1"/>
        <v>2550000</v>
      </c>
      <c r="O32" s="60">
        <f t="shared" si="2"/>
        <v>45707</v>
      </c>
      <c r="P32" s="65" t="str">
        <f>VLOOKUP(I32,DATABASE!C:Q,11,FALSE)</f>
        <v>Tire</v>
      </c>
      <c r="Q32" s="65" t="str">
        <f>VLOOKUP(I32,DATABASE!C:Q,4,FALSE)</f>
        <v>BD</v>
      </c>
      <c r="R32" s="79"/>
    </row>
    <row r="33" ht="15.0" customHeight="1">
      <c r="A33" s="49"/>
      <c r="C33" s="245">
        <v>45677.0</v>
      </c>
      <c r="D33" s="245">
        <v>45677.0</v>
      </c>
      <c r="E33" s="93" t="s">
        <v>110</v>
      </c>
      <c r="F33" s="247" t="s">
        <v>343</v>
      </c>
      <c r="G33" s="248" t="s">
        <v>751</v>
      </c>
      <c r="H33" s="93" t="s">
        <v>7</v>
      </c>
      <c r="I33" s="74" t="s">
        <v>777</v>
      </c>
      <c r="J33" s="249">
        <v>10.0</v>
      </c>
      <c r="K33" s="74" t="s">
        <v>778</v>
      </c>
      <c r="L33" s="74">
        <v>507000.0</v>
      </c>
      <c r="M33" s="74" t="s">
        <v>755</v>
      </c>
      <c r="N33" s="74">
        <f t="shared" si="1"/>
        <v>5070000</v>
      </c>
      <c r="O33" s="60">
        <f t="shared" si="2"/>
        <v>45707</v>
      </c>
      <c r="P33" s="65" t="str">
        <f>VLOOKUP(I33,DATABASE!C:Q,11,FALSE)</f>
        <v>Tire</v>
      </c>
      <c r="Q33" s="65" t="str">
        <f>VLOOKUP(I33,DATABASE!C:Q,4,FALSE)</f>
        <v>GT</v>
      </c>
      <c r="R33" s="79"/>
    </row>
    <row r="34" ht="15.0" customHeight="1">
      <c r="A34" s="49"/>
      <c r="C34" s="245">
        <v>45677.0</v>
      </c>
      <c r="D34" s="245">
        <v>45677.0</v>
      </c>
      <c r="E34" s="93" t="s">
        <v>110</v>
      </c>
      <c r="F34" s="247" t="s">
        <v>343</v>
      </c>
      <c r="G34" s="248" t="s">
        <v>780</v>
      </c>
      <c r="H34" s="93" t="s">
        <v>7</v>
      </c>
      <c r="I34" s="74" t="s">
        <v>781</v>
      </c>
      <c r="J34" s="249">
        <v>15.0</v>
      </c>
      <c r="K34" s="74" t="s">
        <v>785</v>
      </c>
      <c r="L34" s="74">
        <v>442500.0</v>
      </c>
      <c r="M34" s="74" t="s">
        <v>755</v>
      </c>
      <c r="N34" s="74">
        <f t="shared" si="1"/>
        <v>6637500</v>
      </c>
      <c r="O34" s="60">
        <f t="shared" si="2"/>
        <v>45707</v>
      </c>
      <c r="P34" s="65" t="str">
        <f>VLOOKUP(I34,DATABASE!C:Q,11,FALSE)</f>
        <v>Tire</v>
      </c>
      <c r="Q34" s="65" t="str">
        <f>VLOOKUP(I34,DATABASE!C:Q,4,FALSE)</f>
        <v>GT</v>
      </c>
      <c r="R34" s="79"/>
    </row>
    <row r="35" ht="15.0" customHeight="1">
      <c r="A35" s="49"/>
      <c r="C35" s="245">
        <v>45677.0</v>
      </c>
      <c r="D35" s="245">
        <v>45677.0</v>
      </c>
      <c r="E35" s="93" t="s">
        <v>110</v>
      </c>
      <c r="F35" s="247" t="s">
        <v>343</v>
      </c>
      <c r="G35" s="248" t="s">
        <v>780</v>
      </c>
      <c r="H35" s="93" t="s">
        <v>7</v>
      </c>
      <c r="I35" s="74" t="s">
        <v>791</v>
      </c>
      <c r="J35" s="249">
        <v>10.0</v>
      </c>
      <c r="K35" s="74" t="s">
        <v>792</v>
      </c>
      <c r="L35" s="74">
        <v>1180000.0</v>
      </c>
      <c r="M35" s="74" t="s">
        <v>755</v>
      </c>
      <c r="N35" s="74">
        <f t="shared" si="1"/>
        <v>11800000</v>
      </c>
      <c r="O35" s="60">
        <f t="shared" si="2"/>
        <v>45707</v>
      </c>
      <c r="P35" s="65" t="str">
        <f>VLOOKUP(I35,DATABASE!C:Q,11,FALSE)</f>
        <v>Tire</v>
      </c>
      <c r="Q35" s="65" t="str">
        <f>VLOOKUP(I35,DATABASE!C:Q,4,FALSE)</f>
        <v>GT</v>
      </c>
      <c r="R35" s="79"/>
      <c r="X35" s="2"/>
      <c r="Y35" s="2"/>
    </row>
    <row r="36" ht="15.0" customHeight="1">
      <c r="A36" s="49"/>
      <c r="C36" s="245">
        <v>45678.0</v>
      </c>
      <c r="D36" s="245">
        <v>45678.0</v>
      </c>
      <c r="E36" s="93" t="s">
        <v>81</v>
      </c>
      <c r="F36" s="247" t="s">
        <v>343</v>
      </c>
      <c r="G36" s="248" t="s">
        <v>797</v>
      </c>
      <c r="H36" s="93" t="s">
        <v>87</v>
      </c>
      <c r="I36" s="74" t="s">
        <v>275</v>
      </c>
      <c r="J36" s="249">
        <v>10.0</v>
      </c>
      <c r="K36" s="74" t="s">
        <v>656</v>
      </c>
      <c r="L36" s="74">
        <v>735000.0</v>
      </c>
      <c r="M36" s="74" t="s">
        <v>657</v>
      </c>
      <c r="N36" s="74">
        <f t="shared" si="1"/>
        <v>7350000</v>
      </c>
      <c r="O36" s="60">
        <f t="shared" si="2"/>
        <v>45753</v>
      </c>
      <c r="P36" s="65" t="str">
        <f>VLOOKUP(I36,DATABASE!C:Q,11,FALSE)</f>
        <v>Tire</v>
      </c>
      <c r="Q36" s="65" t="str">
        <f>VLOOKUP(I36,DATABASE!C:Q,4,FALSE)</f>
        <v>Dunlop</v>
      </c>
      <c r="R36" s="79"/>
    </row>
    <row r="37" ht="15.0" customHeight="1">
      <c r="A37" s="49"/>
      <c r="C37" s="245">
        <v>45679.0</v>
      </c>
      <c r="D37" s="245">
        <v>45679.0</v>
      </c>
      <c r="E37" s="93" t="s">
        <v>110</v>
      </c>
      <c r="F37" s="247" t="s">
        <v>343</v>
      </c>
      <c r="G37" s="248" t="s">
        <v>806</v>
      </c>
      <c r="H37" s="93" t="s">
        <v>7</v>
      </c>
      <c r="I37" s="74" t="s">
        <v>286</v>
      </c>
      <c r="J37" s="249">
        <v>20.0</v>
      </c>
      <c r="K37" s="74" t="s">
        <v>807</v>
      </c>
      <c r="L37" s="74">
        <v>441450.0</v>
      </c>
      <c r="M37" s="74" t="s">
        <v>755</v>
      </c>
      <c r="N37" s="74">
        <f t="shared" si="1"/>
        <v>8829000</v>
      </c>
      <c r="O37" s="60">
        <f t="shared" si="2"/>
        <v>45709</v>
      </c>
      <c r="P37" s="65" t="str">
        <f>VLOOKUP(I37,DATABASE!C:Q,11,FALSE)</f>
        <v>Tire</v>
      </c>
      <c r="Q37" s="65" t="str">
        <f>VLOOKUP(I37,DATABASE!C:Q,4,FALSE)</f>
        <v>GT</v>
      </c>
      <c r="R37" s="79"/>
    </row>
    <row r="38" ht="15.0" customHeight="1">
      <c r="A38" s="49"/>
      <c r="C38" s="245">
        <v>45679.0</v>
      </c>
      <c r="D38" s="245">
        <v>45679.0</v>
      </c>
      <c r="E38" s="93" t="s">
        <v>110</v>
      </c>
      <c r="F38" s="247" t="s">
        <v>343</v>
      </c>
      <c r="G38" s="248" t="s">
        <v>806</v>
      </c>
      <c r="H38" s="93" t="s">
        <v>7</v>
      </c>
      <c r="I38" s="74" t="s">
        <v>814</v>
      </c>
      <c r="J38" s="249">
        <v>25.0</v>
      </c>
      <c r="K38" s="74" t="s">
        <v>815</v>
      </c>
      <c r="L38" s="74">
        <v>38760.0</v>
      </c>
      <c r="M38" s="74" t="s">
        <v>755</v>
      </c>
      <c r="N38" s="74">
        <f t="shared" si="1"/>
        <v>969000</v>
      </c>
      <c r="O38" s="60">
        <f t="shared" si="2"/>
        <v>45709</v>
      </c>
      <c r="P38" s="65" t="str">
        <f>VLOOKUP(I38,DATABASE!C:Q,11,FALSE)</f>
        <v>Tire</v>
      </c>
      <c r="Q38" s="65" t="str">
        <f>VLOOKUP(I38,DATABASE!C:Q,4,FALSE)</f>
        <v>Flap</v>
      </c>
      <c r="R38" s="79"/>
    </row>
    <row r="39" ht="15.0" customHeight="1">
      <c r="A39" s="49"/>
      <c r="C39" s="245">
        <v>45679.0</v>
      </c>
      <c r="D39" s="245">
        <v>45679.0</v>
      </c>
      <c r="E39" s="93" t="s">
        <v>110</v>
      </c>
      <c r="F39" s="247" t="s">
        <v>343</v>
      </c>
      <c r="G39" s="248" t="s">
        <v>806</v>
      </c>
      <c r="H39" s="93" t="s">
        <v>7</v>
      </c>
      <c r="I39" s="74" t="s">
        <v>821</v>
      </c>
      <c r="J39" s="249">
        <v>25.0</v>
      </c>
      <c r="K39" s="74" t="s">
        <v>822</v>
      </c>
      <c r="L39" s="74">
        <v>42840.0</v>
      </c>
      <c r="M39" s="74" t="s">
        <v>755</v>
      </c>
      <c r="N39" s="74">
        <f t="shared" si="1"/>
        <v>1071000</v>
      </c>
      <c r="O39" s="60">
        <f t="shared" si="2"/>
        <v>45709</v>
      </c>
      <c r="P39" s="65" t="str">
        <f>VLOOKUP(I39,DATABASE!C:Q,11,FALSE)</f>
        <v>Tire</v>
      </c>
      <c r="Q39" s="65" t="str">
        <f>VLOOKUP(I39,DATABASE!C:Q,4,FALSE)</f>
        <v>Flap</v>
      </c>
      <c r="R39" s="79"/>
      <c r="X39" s="9"/>
    </row>
    <row r="40" ht="15.0" customHeight="1">
      <c r="A40" s="49"/>
      <c r="C40" s="245">
        <v>45681.0</v>
      </c>
      <c r="D40" s="245">
        <v>45681.0</v>
      </c>
      <c r="E40" s="93" t="s">
        <v>123</v>
      </c>
      <c r="F40" s="247" t="s">
        <v>343</v>
      </c>
      <c r="G40" s="248" t="s">
        <v>826</v>
      </c>
      <c r="H40" s="93" t="s">
        <v>7</v>
      </c>
      <c r="I40" s="74" t="s">
        <v>286</v>
      </c>
      <c r="J40" s="249">
        <v>15.0</v>
      </c>
      <c r="K40" s="74" t="s">
        <v>827</v>
      </c>
      <c r="L40" s="74">
        <v>452900.0</v>
      </c>
      <c r="M40" s="74" t="s">
        <v>755</v>
      </c>
      <c r="N40" s="74">
        <f t="shared" si="1"/>
        <v>6793500</v>
      </c>
      <c r="O40" s="60">
        <f t="shared" si="2"/>
        <v>45711</v>
      </c>
      <c r="P40" s="65" t="str">
        <f>VLOOKUP(I40,DATABASE!C:Q,11,FALSE)</f>
        <v>Tire</v>
      </c>
      <c r="Q40" s="65" t="str">
        <f>VLOOKUP(I40,DATABASE!C:Q,4,FALSE)</f>
        <v>GT</v>
      </c>
      <c r="R40" s="79"/>
    </row>
    <row r="41" ht="15.0" customHeight="1">
      <c r="A41" s="49"/>
      <c r="C41" s="245">
        <v>45681.0</v>
      </c>
      <c r="D41" s="245">
        <v>45681.0</v>
      </c>
      <c r="E41" s="93" t="s">
        <v>123</v>
      </c>
      <c r="F41" s="247" t="s">
        <v>343</v>
      </c>
      <c r="G41" s="248" t="s">
        <v>826</v>
      </c>
      <c r="H41" s="93" t="s">
        <v>7</v>
      </c>
      <c r="I41" s="74" t="s">
        <v>288</v>
      </c>
      <c r="J41" s="249">
        <v>10.0</v>
      </c>
      <c r="K41" s="74" t="s">
        <v>831</v>
      </c>
      <c r="L41" s="74">
        <v>524800.0</v>
      </c>
      <c r="M41" s="74" t="s">
        <v>755</v>
      </c>
      <c r="N41" s="74">
        <f t="shared" si="1"/>
        <v>5248000</v>
      </c>
      <c r="O41" s="60">
        <f t="shared" si="2"/>
        <v>45711</v>
      </c>
      <c r="P41" s="65" t="str">
        <f>VLOOKUP(I41,DATABASE!C:Q,11,FALSE)</f>
        <v>Tire</v>
      </c>
      <c r="Q41" s="65" t="str">
        <f>VLOOKUP(I41,DATABASE!C:Q,4,FALSE)</f>
        <v>GT</v>
      </c>
      <c r="R41" s="79"/>
    </row>
    <row r="42" ht="15.0" customHeight="1">
      <c r="A42" s="49"/>
      <c r="C42" s="245">
        <v>45681.0</v>
      </c>
      <c r="D42" s="245">
        <v>45681.0</v>
      </c>
      <c r="E42" s="93" t="s">
        <v>123</v>
      </c>
      <c r="F42" s="247" t="s">
        <v>343</v>
      </c>
      <c r="G42" s="248" t="s">
        <v>826</v>
      </c>
      <c r="H42" s="93" t="s">
        <v>7</v>
      </c>
      <c r="I42" s="74" t="s">
        <v>839</v>
      </c>
      <c r="J42" s="249">
        <v>10.0</v>
      </c>
      <c r="K42" s="74" t="s">
        <v>840</v>
      </c>
      <c r="L42" s="74">
        <v>475700.0</v>
      </c>
      <c r="M42" s="74" t="s">
        <v>755</v>
      </c>
      <c r="N42" s="74">
        <f t="shared" si="1"/>
        <v>4757000</v>
      </c>
      <c r="O42" s="60">
        <f t="shared" si="2"/>
        <v>45711</v>
      </c>
      <c r="P42" s="65" t="str">
        <f>VLOOKUP(I42,DATABASE!C:Q,11,FALSE)</f>
        <v>Tire</v>
      </c>
      <c r="Q42" s="65" t="str">
        <f>VLOOKUP(I42,DATABASE!C:Q,4,FALSE)</f>
        <v>GT</v>
      </c>
      <c r="R42" s="79"/>
    </row>
    <row r="43" ht="15.0" customHeight="1">
      <c r="A43" s="49"/>
      <c r="C43" s="245">
        <v>45681.0</v>
      </c>
      <c r="D43" s="245">
        <v>45681.0</v>
      </c>
      <c r="E43" s="93" t="s">
        <v>123</v>
      </c>
      <c r="F43" s="247" t="s">
        <v>343</v>
      </c>
      <c r="G43" s="248" t="s">
        <v>826</v>
      </c>
      <c r="H43" s="93" t="s">
        <v>7</v>
      </c>
      <c r="I43" s="74" t="s">
        <v>847</v>
      </c>
      <c r="J43" s="249">
        <v>4.0</v>
      </c>
      <c r="K43" s="74" t="s">
        <v>850</v>
      </c>
      <c r="L43" s="74">
        <v>672200.0</v>
      </c>
      <c r="M43" s="74" t="s">
        <v>755</v>
      </c>
      <c r="N43" s="74">
        <f t="shared" si="1"/>
        <v>2688800</v>
      </c>
      <c r="O43" s="60">
        <f t="shared" si="2"/>
        <v>45711</v>
      </c>
      <c r="P43" s="65" t="str">
        <f>VLOOKUP(I43,DATABASE!C:Q,11,FALSE)</f>
        <v>Tire</v>
      </c>
      <c r="Q43" s="65" t="str">
        <f>VLOOKUP(I43,DATABASE!C:Q,4,FALSE)</f>
        <v>GT</v>
      </c>
      <c r="R43" s="79"/>
    </row>
    <row r="44" ht="15.0" customHeight="1">
      <c r="A44" s="49"/>
      <c r="C44" s="245">
        <v>45681.0</v>
      </c>
      <c r="D44" s="245">
        <v>45681.0</v>
      </c>
      <c r="E44" s="93" t="s">
        <v>123</v>
      </c>
      <c r="F44" s="247" t="s">
        <v>343</v>
      </c>
      <c r="G44" s="248" t="s">
        <v>826</v>
      </c>
      <c r="H44" s="93" t="s">
        <v>7</v>
      </c>
      <c r="I44" s="74" t="s">
        <v>856</v>
      </c>
      <c r="J44" s="249">
        <v>10.0</v>
      </c>
      <c r="K44" s="74" t="s">
        <v>857</v>
      </c>
      <c r="L44" s="74">
        <v>581100.0</v>
      </c>
      <c r="M44" s="74" t="s">
        <v>755</v>
      </c>
      <c r="N44" s="74">
        <f t="shared" si="1"/>
        <v>5811000</v>
      </c>
      <c r="O44" s="60">
        <f t="shared" si="2"/>
        <v>45711</v>
      </c>
      <c r="P44" s="65" t="str">
        <f>VLOOKUP(I44,DATABASE!C:Q,11,FALSE)</f>
        <v>Tire</v>
      </c>
      <c r="Q44" s="65" t="str">
        <f>VLOOKUP(I44,DATABASE!C:Q,4,FALSE)</f>
        <v>GT</v>
      </c>
      <c r="R44" s="79"/>
    </row>
    <row r="45" ht="15.0" customHeight="1">
      <c r="A45" s="49"/>
      <c r="C45" s="245">
        <v>45681.0</v>
      </c>
      <c r="D45" s="245">
        <v>45681.0</v>
      </c>
      <c r="E45" s="93" t="s">
        <v>123</v>
      </c>
      <c r="F45" s="247" t="s">
        <v>343</v>
      </c>
      <c r="G45" s="248" t="s">
        <v>826</v>
      </c>
      <c r="H45" s="93" t="s">
        <v>7</v>
      </c>
      <c r="I45" s="74" t="s">
        <v>287</v>
      </c>
      <c r="J45" s="249">
        <v>10.0</v>
      </c>
      <c r="K45" s="74" t="s">
        <v>861</v>
      </c>
      <c r="L45" s="74">
        <v>690600.0</v>
      </c>
      <c r="M45" s="74" t="s">
        <v>755</v>
      </c>
      <c r="N45" s="74">
        <f t="shared" si="1"/>
        <v>6906000</v>
      </c>
      <c r="O45" s="60">
        <f t="shared" si="2"/>
        <v>45711</v>
      </c>
      <c r="P45" s="65" t="str">
        <f>VLOOKUP(I45,DATABASE!C:Q,11,FALSE)</f>
        <v>Tire</v>
      </c>
      <c r="Q45" s="65" t="str">
        <f>VLOOKUP(I45,DATABASE!C:Q,4,FALSE)</f>
        <v>GT</v>
      </c>
      <c r="R45" s="79"/>
    </row>
    <row r="46" ht="15.0" customHeight="1">
      <c r="A46" s="49"/>
      <c r="C46" s="245">
        <v>45681.0</v>
      </c>
      <c r="D46" s="245">
        <v>45681.0</v>
      </c>
      <c r="E46" s="93" t="s">
        <v>123</v>
      </c>
      <c r="F46" s="247" t="s">
        <v>343</v>
      </c>
      <c r="G46" s="248" t="s">
        <v>826</v>
      </c>
      <c r="H46" s="93" t="s">
        <v>7</v>
      </c>
      <c r="I46" s="74" t="s">
        <v>868</v>
      </c>
      <c r="J46" s="249">
        <v>4.0</v>
      </c>
      <c r="K46" s="74" t="s">
        <v>870</v>
      </c>
      <c r="L46" s="74">
        <v>836000.0</v>
      </c>
      <c r="M46" s="74" t="s">
        <v>755</v>
      </c>
      <c r="N46" s="74">
        <f t="shared" si="1"/>
        <v>3344000</v>
      </c>
      <c r="O46" s="60">
        <f t="shared" si="2"/>
        <v>45711</v>
      </c>
      <c r="P46" s="65" t="str">
        <f>VLOOKUP(I46,DATABASE!C:Q,11,FALSE)</f>
        <v>Tire</v>
      </c>
      <c r="Q46" s="65" t="str">
        <f>VLOOKUP(I46,DATABASE!C:Q,4,FALSE)</f>
        <v>GT</v>
      </c>
      <c r="R46" s="79"/>
    </row>
    <row r="47" ht="15.0" customHeight="1">
      <c r="A47" s="49"/>
      <c r="C47" s="245">
        <v>45681.0</v>
      </c>
      <c r="D47" s="245">
        <v>45681.0</v>
      </c>
      <c r="E47" s="93" t="s">
        <v>123</v>
      </c>
      <c r="F47" s="247" t="s">
        <v>343</v>
      </c>
      <c r="G47" s="248" t="s">
        <v>826</v>
      </c>
      <c r="H47" s="93" t="s">
        <v>7</v>
      </c>
      <c r="I47" s="74" t="s">
        <v>814</v>
      </c>
      <c r="J47" s="249">
        <v>25.0</v>
      </c>
      <c r="K47" s="74" t="s">
        <v>876</v>
      </c>
      <c r="L47" s="74">
        <v>39440.0</v>
      </c>
      <c r="M47" s="74" t="s">
        <v>755</v>
      </c>
      <c r="N47" s="74">
        <f t="shared" si="1"/>
        <v>986000</v>
      </c>
      <c r="O47" s="60">
        <f t="shared" si="2"/>
        <v>45711</v>
      </c>
      <c r="P47" s="65" t="str">
        <f>VLOOKUP(I47,DATABASE!C:Q,11,FALSE)</f>
        <v>Tire</v>
      </c>
      <c r="Q47" s="65" t="str">
        <f>VLOOKUP(I47,DATABASE!C:Q,4,FALSE)</f>
        <v>Flap</v>
      </c>
      <c r="R47" s="79"/>
    </row>
    <row r="48" ht="15.0" customHeight="1">
      <c r="A48" s="49"/>
      <c r="C48" s="245">
        <v>45681.0</v>
      </c>
      <c r="D48" s="245">
        <v>45681.0</v>
      </c>
      <c r="E48" s="93" t="s">
        <v>123</v>
      </c>
      <c r="F48" s="247" t="s">
        <v>343</v>
      </c>
      <c r="G48" s="248" t="s">
        <v>826</v>
      </c>
      <c r="H48" s="93" t="s">
        <v>7</v>
      </c>
      <c r="I48" s="74" t="s">
        <v>821</v>
      </c>
      <c r="J48" s="249">
        <v>25.0</v>
      </c>
      <c r="K48" s="74" t="s">
        <v>883</v>
      </c>
      <c r="L48" s="74">
        <v>43520.0</v>
      </c>
      <c r="M48" s="74" t="s">
        <v>755</v>
      </c>
      <c r="N48" s="74">
        <f t="shared" si="1"/>
        <v>1088000</v>
      </c>
      <c r="O48" s="60">
        <f t="shared" si="2"/>
        <v>45711</v>
      </c>
      <c r="P48" s="65" t="str">
        <f>VLOOKUP(I48,DATABASE!C:Q,11,FALSE)</f>
        <v>Tire</v>
      </c>
      <c r="Q48" s="65" t="str">
        <f>VLOOKUP(I48,DATABASE!C:Q,4,FALSE)</f>
        <v>Flap</v>
      </c>
      <c r="R48" s="79"/>
    </row>
    <row r="49" ht="15.0" customHeight="1">
      <c r="A49" s="49"/>
      <c r="C49" s="245">
        <v>45681.0</v>
      </c>
      <c r="D49" s="245">
        <v>45681.0</v>
      </c>
      <c r="E49" s="93" t="s">
        <v>361</v>
      </c>
      <c r="F49" s="247" t="s">
        <v>343</v>
      </c>
      <c r="G49" s="248" t="s">
        <v>888</v>
      </c>
      <c r="H49" s="93" t="s">
        <v>7</v>
      </c>
      <c r="I49" s="74" t="s">
        <v>889</v>
      </c>
      <c r="J49" s="249">
        <v>10.0</v>
      </c>
      <c r="K49" s="74" t="s">
        <v>556</v>
      </c>
      <c r="L49" s="74">
        <v>700000.0</v>
      </c>
      <c r="M49" s="74" t="s">
        <v>521</v>
      </c>
      <c r="N49" s="74">
        <f t="shared" si="1"/>
        <v>7000000</v>
      </c>
      <c r="O49" s="60">
        <f t="shared" si="2"/>
        <v>45741</v>
      </c>
      <c r="P49" s="65" t="str">
        <f>VLOOKUP(I49,DATABASE!C:Q,11,FALSE)</f>
        <v>Tire</v>
      </c>
      <c r="Q49" s="65" t="str">
        <f>VLOOKUP(I49,DATABASE!C:Q,4,FALSE)</f>
        <v>Sailun</v>
      </c>
      <c r="R49" s="79"/>
    </row>
    <row r="50" ht="15.0" customHeight="1">
      <c r="A50" s="49"/>
      <c r="C50" s="245">
        <v>45687.0</v>
      </c>
      <c r="D50" s="245">
        <v>45687.0</v>
      </c>
      <c r="E50" s="93" t="s">
        <v>110</v>
      </c>
      <c r="F50" s="247" t="s">
        <v>343</v>
      </c>
      <c r="G50" s="248" t="s">
        <v>896</v>
      </c>
      <c r="H50" s="93" t="s">
        <v>7</v>
      </c>
      <c r="I50" s="74" t="s">
        <v>897</v>
      </c>
      <c r="J50" s="249">
        <v>10.0</v>
      </c>
      <c r="K50" s="74" t="s">
        <v>899</v>
      </c>
      <c r="L50" s="74">
        <v>1500000.0</v>
      </c>
      <c r="M50" s="74" t="s">
        <v>755</v>
      </c>
      <c r="N50" s="74">
        <f t="shared" si="1"/>
        <v>15000000</v>
      </c>
      <c r="O50" s="60">
        <f t="shared" si="2"/>
        <v>45717</v>
      </c>
      <c r="P50" s="65" t="str">
        <f>VLOOKUP(I50,DATABASE!C:Q,11,FALSE)</f>
        <v>Tire</v>
      </c>
      <c r="Q50" s="65" t="str">
        <f>VLOOKUP(I50,DATABASE!C:Q,4,FALSE)</f>
        <v>GT</v>
      </c>
      <c r="R50" s="79"/>
    </row>
    <row r="51" ht="15.0" customHeight="1">
      <c r="A51" s="49"/>
      <c r="C51" s="245">
        <v>45687.0</v>
      </c>
      <c r="D51" s="245">
        <v>45687.0</v>
      </c>
      <c r="E51" s="93" t="s">
        <v>110</v>
      </c>
      <c r="F51" s="247" t="s">
        <v>343</v>
      </c>
      <c r="G51" s="248" t="s">
        <v>896</v>
      </c>
      <c r="H51" s="93" t="s">
        <v>7</v>
      </c>
      <c r="I51" s="74" t="s">
        <v>791</v>
      </c>
      <c r="J51" s="249">
        <v>10.0</v>
      </c>
      <c r="K51" s="74" t="s">
        <v>792</v>
      </c>
      <c r="L51" s="74">
        <v>1180000.0</v>
      </c>
      <c r="M51" s="74" t="s">
        <v>755</v>
      </c>
      <c r="N51" s="74">
        <f t="shared" si="1"/>
        <v>11800000</v>
      </c>
      <c r="O51" s="60">
        <f t="shared" si="2"/>
        <v>45717</v>
      </c>
      <c r="P51" s="65" t="str">
        <f>VLOOKUP(I51,DATABASE!C:Q,11,FALSE)</f>
        <v>Tire</v>
      </c>
      <c r="Q51" s="65" t="str">
        <f>VLOOKUP(I51,DATABASE!C:Q,4,FALSE)</f>
        <v>GT</v>
      </c>
      <c r="R51" s="79"/>
    </row>
    <row r="52" ht="15.0" customHeight="1">
      <c r="A52" s="49"/>
      <c r="C52" s="245">
        <v>45687.0</v>
      </c>
      <c r="D52" s="245">
        <v>45687.0</v>
      </c>
      <c r="E52" s="93" t="s">
        <v>335</v>
      </c>
      <c r="F52" s="247" t="s">
        <v>343</v>
      </c>
      <c r="G52" s="248" t="s">
        <v>906</v>
      </c>
      <c r="H52" s="93" t="s">
        <v>7</v>
      </c>
      <c r="I52" s="74" t="s">
        <v>391</v>
      </c>
      <c r="J52" s="249">
        <v>7.0</v>
      </c>
      <c r="K52" s="74" t="s">
        <v>907</v>
      </c>
      <c r="L52" s="74">
        <v>1840000.0</v>
      </c>
      <c r="M52" s="74" t="s">
        <v>521</v>
      </c>
      <c r="N52" s="74">
        <f t="shared" si="1"/>
        <v>12880000</v>
      </c>
      <c r="O52" s="60">
        <f t="shared" si="2"/>
        <v>45747</v>
      </c>
      <c r="P52" s="65" t="str">
        <f>VLOOKUP(I52,DATABASE!C:Q,11,FALSE)</f>
        <v>Tire</v>
      </c>
      <c r="Q52" s="65" t="str">
        <f>VLOOKUP(I52,DATABASE!C:Q,4,FALSE)</f>
        <v>Advance</v>
      </c>
      <c r="R52" s="79"/>
    </row>
    <row r="53" ht="15.0" customHeight="1">
      <c r="A53" s="49"/>
      <c r="C53" s="245">
        <v>45687.0</v>
      </c>
      <c r="D53" s="245">
        <v>45687.0</v>
      </c>
      <c r="E53" s="93" t="s">
        <v>335</v>
      </c>
      <c r="F53" s="247" t="s">
        <v>343</v>
      </c>
      <c r="G53" s="248" t="s">
        <v>906</v>
      </c>
      <c r="H53" s="266" t="s">
        <v>7</v>
      </c>
      <c r="I53" s="267" t="s">
        <v>374</v>
      </c>
      <c r="J53" s="249">
        <v>3.0</v>
      </c>
      <c r="K53" s="74" t="s">
        <v>913</v>
      </c>
      <c r="L53" s="74">
        <v>1950000.0</v>
      </c>
      <c r="M53" s="74" t="s">
        <v>521</v>
      </c>
      <c r="N53" s="74">
        <f t="shared" si="1"/>
        <v>5850000</v>
      </c>
      <c r="O53" s="60">
        <f t="shared" si="2"/>
        <v>45747</v>
      </c>
      <c r="P53" s="65" t="str">
        <f>VLOOKUP(I53,DATABASE!C:Q,11,FALSE)</f>
        <v>Tire</v>
      </c>
      <c r="Q53" s="65" t="str">
        <f>VLOOKUP(I53,DATABASE!C:Q,4,FALSE)</f>
        <v>Advance</v>
      </c>
      <c r="R53" s="79"/>
    </row>
    <row r="54" ht="15.0" customHeight="1">
      <c r="A54" s="49"/>
      <c r="C54" s="245">
        <v>45687.0</v>
      </c>
      <c r="D54" s="245">
        <v>45687.0</v>
      </c>
      <c r="E54" s="65" t="s">
        <v>335</v>
      </c>
      <c r="F54" s="247" t="s">
        <v>343</v>
      </c>
      <c r="G54" s="248" t="s">
        <v>906</v>
      </c>
      <c r="H54" s="93" t="s">
        <v>7</v>
      </c>
      <c r="I54" s="74" t="s">
        <v>403</v>
      </c>
      <c r="J54" s="249">
        <v>4.0</v>
      </c>
      <c r="K54" s="74" t="s">
        <v>920</v>
      </c>
      <c r="L54" s="74">
        <v>2160000.0</v>
      </c>
      <c r="M54" s="74" t="s">
        <v>521</v>
      </c>
      <c r="N54" s="74">
        <f t="shared" si="1"/>
        <v>8640000</v>
      </c>
      <c r="O54" s="60">
        <f t="shared" si="2"/>
        <v>45747</v>
      </c>
      <c r="P54" s="65" t="str">
        <f>VLOOKUP(I54,DATABASE!C:Q,11,FALSE)</f>
        <v>Tire</v>
      </c>
      <c r="Q54" s="65" t="str">
        <f>VLOOKUP(I54,DATABASE!C:Q,4,FALSE)</f>
        <v>Advance</v>
      </c>
      <c r="R54" s="79"/>
    </row>
    <row r="55" ht="15.0" customHeight="1">
      <c r="A55" s="49"/>
      <c r="C55" s="245">
        <v>45687.0</v>
      </c>
      <c r="D55" s="245">
        <v>45687.0</v>
      </c>
      <c r="E55" s="93" t="s">
        <v>335</v>
      </c>
      <c r="F55" s="247" t="s">
        <v>343</v>
      </c>
      <c r="G55" s="248" t="s">
        <v>906</v>
      </c>
      <c r="H55" s="93" t="s">
        <v>7</v>
      </c>
      <c r="I55" s="74" t="s">
        <v>924</v>
      </c>
      <c r="J55" s="249">
        <v>4.0</v>
      </c>
      <c r="K55" s="74" t="s">
        <v>926</v>
      </c>
      <c r="L55" s="74">
        <v>1645000.0</v>
      </c>
      <c r="M55" s="74" t="s">
        <v>521</v>
      </c>
      <c r="N55" s="74">
        <f t="shared" si="1"/>
        <v>6580000</v>
      </c>
      <c r="O55" s="60">
        <f t="shared" si="2"/>
        <v>45747</v>
      </c>
      <c r="P55" s="65" t="str">
        <f>VLOOKUP(I55,DATABASE!C:Q,11,FALSE)</f>
        <v>Tire</v>
      </c>
      <c r="Q55" s="65" t="str">
        <f>VLOOKUP(I55,DATABASE!C:Q,4,FALSE)</f>
        <v>TIRON</v>
      </c>
      <c r="R55" s="79"/>
    </row>
    <row r="56" ht="15.0" customHeight="1">
      <c r="A56" s="49"/>
      <c r="C56" s="245">
        <v>45687.0</v>
      </c>
      <c r="D56" s="245">
        <v>45687.0</v>
      </c>
      <c r="E56" s="93" t="s">
        <v>81</v>
      </c>
      <c r="F56" s="247" t="s">
        <v>343</v>
      </c>
      <c r="G56" s="248" t="s">
        <v>931</v>
      </c>
      <c r="H56" s="93" t="s">
        <v>87</v>
      </c>
      <c r="I56" s="74" t="s">
        <v>932</v>
      </c>
      <c r="J56" s="249">
        <v>4.0</v>
      </c>
      <c r="K56" s="74" t="s">
        <v>933</v>
      </c>
      <c r="L56" s="74">
        <v>575000.0</v>
      </c>
      <c r="M56" s="74" t="s">
        <v>657</v>
      </c>
      <c r="N56" s="74">
        <f t="shared" si="1"/>
        <v>2300000</v>
      </c>
      <c r="O56" s="60">
        <f t="shared" si="2"/>
        <v>45762</v>
      </c>
      <c r="P56" s="65" t="str">
        <f>VLOOKUP(I56,DATABASE!C:Q,11,FALSE)</f>
        <v>Tire</v>
      </c>
      <c r="Q56" s="65" t="str">
        <f>VLOOKUP(I56,DATABASE!C:Q,4,FALSE)</f>
        <v>Dunlop</v>
      </c>
      <c r="R56" s="79"/>
    </row>
    <row r="57" ht="15.0" customHeight="1">
      <c r="A57" s="49"/>
      <c r="C57" s="245">
        <v>45688.0</v>
      </c>
      <c r="D57" s="245">
        <v>45688.0</v>
      </c>
      <c r="E57" s="93" t="s">
        <v>81</v>
      </c>
      <c r="F57" s="247" t="s">
        <v>343</v>
      </c>
      <c r="G57" s="248" t="s">
        <v>938</v>
      </c>
      <c r="H57" s="93" t="s">
        <v>87</v>
      </c>
      <c r="I57" s="74" t="s">
        <v>940</v>
      </c>
      <c r="J57" s="249">
        <v>15.0</v>
      </c>
      <c r="K57" s="74" t="s">
        <v>941</v>
      </c>
      <c r="L57" s="74">
        <v>704500.0</v>
      </c>
      <c r="M57" s="74" t="s">
        <v>657</v>
      </c>
      <c r="N57" s="74">
        <f t="shared" si="1"/>
        <v>10567500</v>
      </c>
      <c r="O57" s="60">
        <f t="shared" si="2"/>
        <v>45763</v>
      </c>
      <c r="P57" s="65" t="str">
        <f>VLOOKUP(I57,DATABASE!C:Q,11,FALSE)</f>
        <v>Tire</v>
      </c>
      <c r="Q57" s="65" t="str">
        <f>VLOOKUP(I57,DATABASE!C:Q,4,FALSE)</f>
        <v>Dunlop</v>
      </c>
      <c r="R57" s="79"/>
    </row>
    <row r="58" ht="15.0" customHeight="1">
      <c r="A58" s="49"/>
      <c r="C58" s="245">
        <v>45688.0</v>
      </c>
      <c r="D58" s="245">
        <v>45688.0</v>
      </c>
      <c r="E58" s="93" t="s">
        <v>81</v>
      </c>
      <c r="F58" s="247" t="s">
        <v>343</v>
      </c>
      <c r="G58" s="248" t="s">
        <v>938</v>
      </c>
      <c r="H58" s="93" t="s">
        <v>87</v>
      </c>
      <c r="I58" s="74" t="s">
        <v>946</v>
      </c>
      <c r="J58" s="249">
        <v>10.0</v>
      </c>
      <c r="K58" s="74" t="s">
        <v>949</v>
      </c>
      <c r="L58" s="74">
        <v>779000.0</v>
      </c>
      <c r="M58" s="74" t="s">
        <v>657</v>
      </c>
      <c r="N58" s="74">
        <f t="shared" si="1"/>
        <v>7790000</v>
      </c>
      <c r="O58" s="60">
        <f t="shared" si="2"/>
        <v>45763</v>
      </c>
      <c r="P58" s="65" t="str">
        <f>VLOOKUP(I58,DATABASE!C:Q,11,FALSE)</f>
        <v>Tire</v>
      </c>
      <c r="Q58" s="65" t="str">
        <f>VLOOKUP(I58,DATABASE!C:Q,4,FALSE)</f>
        <v>Dunlop</v>
      </c>
      <c r="R58" s="79"/>
    </row>
    <row r="59" ht="15.0" customHeight="1">
      <c r="A59" s="49"/>
      <c r="C59" s="245">
        <v>45688.0</v>
      </c>
      <c r="D59" s="245">
        <v>45688.0</v>
      </c>
      <c r="E59" s="93" t="s">
        <v>81</v>
      </c>
      <c r="F59" s="247" t="s">
        <v>343</v>
      </c>
      <c r="G59" s="248" t="s">
        <v>938</v>
      </c>
      <c r="H59" s="93" t="s">
        <v>87</v>
      </c>
      <c r="I59" s="74" t="s">
        <v>955</v>
      </c>
      <c r="J59" s="249">
        <v>25.0</v>
      </c>
      <c r="K59" s="74" t="s">
        <v>956</v>
      </c>
      <c r="L59" s="74">
        <v>645000.0</v>
      </c>
      <c r="M59" s="74" t="s">
        <v>657</v>
      </c>
      <c r="N59" s="74">
        <f t="shared" si="1"/>
        <v>16125000</v>
      </c>
      <c r="O59" s="60">
        <f t="shared" si="2"/>
        <v>45763</v>
      </c>
      <c r="P59" s="65" t="str">
        <f>VLOOKUP(I59,DATABASE!C:Q,11,FALSE)</f>
        <v>Tire</v>
      </c>
      <c r="Q59" s="65" t="str">
        <f>VLOOKUP(I59,DATABASE!C:Q,4,FALSE)</f>
        <v>Dunlop</v>
      </c>
      <c r="R59" s="79"/>
    </row>
    <row r="60" ht="15.0" customHeight="1">
      <c r="A60" s="49"/>
      <c r="C60" s="245">
        <v>45688.0</v>
      </c>
      <c r="D60" s="245">
        <v>45688.0</v>
      </c>
      <c r="E60" s="93" t="s">
        <v>81</v>
      </c>
      <c r="F60" s="247" t="s">
        <v>343</v>
      </c>
      <c r="G60" s="248" t="s">
        <v>938</v>
      </c>
      <c r="H60" s="93" t="s">
        <v>87</v>
      </c>
      <c r="I60" s="74" t="s">
        <v>963</v>
      </c>
      <c r="J60" s="249">
        <v>2.0</v>
      </c>
      <c r="K60" s="74" t="s">
        <v>964</v>
      </c>
      <c r="L60" s="74">
        <v>623000.0</v>
      </c>
      <c r="M60" s="74" t="s">
        <v>657</v>
      </c>
      <c r="N60" s="74">
        <f t="shared" si="1"/>
        <v>1246000</v>
      </c>
      <c r="O60" s="60">
        <f t="shared" si="2"/>
        <v>45763</v>
      </c>
      <c r="P60" s="65" t="str">
        <f>VLOOKUP(I60,DATABASE!C:Q,11,FALSE)</f>
        <v>Tire</v>
      </c>
      <c r="Q60" s="65" t="str">
        <f>VLOOKUP(I60,DATABASE!C:Q,4,FALSE)</f>
        <v>Dunlop</v>
      </c>
      <c r="R60" s="79"/>
    </row>
    <row r="61" ht="15.0" customHeight="1">
      <c r="A61" s="49"/>
      <c r="C61" s="245">
        <v>45688.0</v>
      </c>
      <c r="D61" s="245">
        <v>45688.0</v>
      </c>
      <c r="E61" s="65" t="s">
        <v>81</v>
      </c>
      <c r="F61" s="247" t="s">
        <v>343</v>
      </c>
      <c r="G61" s="248" t="s">
        <v>938</v>
      </c>
      <c r="H61" s="93" t="s">
        <v>87</v>
      </c>
      <c r="I61" s="74" t="s">
        <v>968</v>
      </c>
      <c r="J61" s="249">
        <v>9.0</v>
      </c>
      <c r="K61" s="74" t="s">
        <v>969</v>
      </c>
      <c r="L61" s="74">
        <v>550500.0</v>
      </c>
      <c r="M61" s="74" t="s">
        <v>657</v>
      </c>
      <c r="N61" s="74">
        <f t="shared" si="1"/>
        <v>4954500</v>
      </c>
      <c r="O61" s="60">
        <f t="shared" si="2"/>
        <v>45763</v>
      </c>
      <c r="P61" s="65" t="str">
        <f>VLOOKUP(I61,DATABASE!C:Q,11,FALSE)</f>
        <v>Tire</v>
      </c>
      <c r="Q61" s="65" t="str">
        <f>VLOOKUP(I61,DATABASE!C:Q,4,FALSE)</f>
        <v>Dunlop</v>
      </c>
      <c r="R61" s="79"/>
    </row>
    <row r="62" ht="15.0" customHeight="1">
      <c r="A62" s="49"/>
      <c r="C62" s="245">
        <v>45688.0</v>
      </c>
      <c r="D62" s="245">
        <v>45688.0</v>
      </c>
      <c r="E62" s="93" t="s">
        <v>81</v>
      </c>
      <c r="F62" s="247" t="s">
        <v>343</v>
      </c>
      <c r="G62" s="248" t="s">
        <v>938</v>
      </c>
      <c r="H62" s="93" t="s">
        <v>87</v>
      </c>
      <c r="I62" s="74" t="s">
        <v>974</v>
      </c>
      <c r="J62" s="249">
        <v>6.0</v>
      </c>
      <c r="K62" s="74" t="s">
        <v>975</v>
      </c>
      <c r="L62" s="74">
        <v>470000.0</v>
      </c>
      <c r="M62" s="74" t="s">
        <v>657</v>
      </c>
      <c r="N62" s="74">
        <f t="shared" si="1"/>
        <v>2820000</v>
      </c>
      <c r="O62" s="60">
        <f t="shared" si="2"/>
        <v>45763</v>
      </c>
      <c r="P62" s="65" t="str">
        <f>VLOOKUP(I62,DATABASE!C:Q,11,FALSE)</f>
        <v>Tire</v>
      </c>
      <c r="Q62" s="65" t="str">
        <f>VLOOKUP(I62,DATABASE!C:Q,4,FALSE)</f>
        <v>Dunlop</v>
      </c>
      <c r="R62" s="79"/>
    </row>
    <row r="63" ht="15.0" customHeight="1">
      <c r="A63" s="49"/>
      <c r="C63" s="245">
        <v>45688.0</v>
      </c>
      <c r="D63" s="245">
        <v>45688.0</v>
      </c>
      <c r="E63" s="93" t="s">
        <v>81</v>
      </c>
      <c r="F63" s="247" t="s">
        <v>343</v>
      </c>
      <c r="G63" s="248" t="s">
        <v>938</v>
      </c>
      <c r="H63" s="93" t="s">
        <v>87</v>
      </c>
      <c r="I63" s="74" t="s">
        <v>265</v>
      </c>
      <c r="J63" s="249">
        <v>20.0</v>
      </c>
      <c r="K63" s="74" t="s">
        <v>982</v>
      </c>
      <c r="L63" s="74">
        <f>590000</f>
        <v>590000</v>
      </c>
      <c r="M63" s="74" t="s">
        <v>657</v>
      </c>
      <c r="N63" s="74">
        <f t="shared" si="1"/>
        <v>11800000</v>
      </c>
      <c r="O63" s="60">
        <f t="shared" si="2"/>
        <v>45763</v>
      </c>
      <c r="P63" s="65" t="str">
        <f>VLOOKUP(I63,DATABASE!C:Q,11,FALSE)</f>
        <v>Tire</v>
      </c>
      <c r="Q63" s="65" t="str">
        <f>VLOOKUP(I63,DATABASE!C:Q,4,FALSE)</f>
        <v>Dunlop</v>
      </c>
      <c r="R63" s="79"/>
    </row>
    <row r="64" ht="15.0" customHeight="1">
      <c r="A64" s="49"/>
      <c r="C64" s="245">
        <v>45688.0</v>
      </c>
      <c r="D64" s="245">
        <v>45688.0</v>
      </c>
      <c r="E64" s="93" t="s">
        <v>81</v>
      </c>
      <c r="F64" s="247" t="s">
        <v>343</v>
      </c>
      <c r="G64" s="248" t="s">
        <v>938</v>
      </c>
      <c r="H64" s="93" t="s">
        <v>87</v>
      </c>
      <c r="I64" s="74" t="s">
        <v>275</v>
      </c>
      <c r="J64" s="249">
        <v>20.0</v>
      </c>
      <c r="K64" s="74" t="s">
        <v>988</v>
      </c>
      <c r="L64" s="74">
        <f>730000-12215</f>
        <v>717785</v>
      </c>
      <c r="M64" s="74" t="s">
        <v>657</v>
      </c>
      <c r="N64" s="74">
        <f t="shared" si="1"/>
        <v>14355700</v>
      </c>
      <c r="O64" s="60">
        <f t="shared" si="2"/>
        <v>45763</v>
      </c>
      <c r="P64" s="65" t="str">
        <f>VLOOKUP(I64,DATABASE!C:Q,11,FALSE)</f>
        <v>Tire</v>
      </c>
      <c r="Q64" s="65" t="str">
        <f>VLOOKUP(I64,DATABASE!C:Q,4,FALSE)</f>
        <v>Dunlop</v>
      </c>
      <c r="R64" s="79"/>
    </row>
    <row r="65" ht="15.0" customHeight="1">
      <c r="A65" s="49"/>
      <c r="C65" s="245">
        <v>45688.0</v>
      </c>
      <c r="D65" s="245">
        <v>45688.0</v>
      </c>
      <c r="E65" s="93" t="s">
        <v>81</v>
      </c>
      <c r="F65" s="247" t="s">
        <v>343</v>
      </c>
      <c r="G65" s="248" t="s">
        <v>938</v>
      </c>
      <c r="H65" s="93" t="s">
        <v>87</v>
      </c>
      <c r="I65" s="74" t="s">
        <v>932</v>
      </c>
      <c r="J65" s="249">
        <v>25.0</v>
      </c>
      <c r="K65" s="74" t="s">
        <v>995</v>
      </c>
      <c r="L65" s="74">
        <v>570000.0</v>
      </c>
      <c r="M65" s="74" t="s">
        <v>657</v>
      </c>
      <c r="N65" s="74">
        <f t="shared" si="1"/>
        <v>14250000</v>
      </c>
      <c r="O65" s="60">
        <f t="shared" si="2"/>
        <v>45763</v>
      </c>
      <c r="P65" s="65" t="str">
        <f>VLOOKUP(I65,DATABASE!C:Q,11,FALSE)</f>
        <v>Tire</v>
      </c>
      <c r="Q65" s="65" t="str">
        <f>VLOOKUP(I65,DATABASE!C:Q,4,FALSE)</f>
        <v>Dunlop</v>
      </c>
      <c r="R65" s="79"/>
    </row>
    <row r="66" ht="15.0" customHeight="1">
      <c r="A66" s="49"/>
      <c r="C66" s="245">
        <v>45688.0</v>
      </c>
      <c r="D66" s="245">
        <v>45688.0</v>
      </c>
      <c r="E66" s="93" t="s">
        <v>81</v>
      </c>
      <c r="F66" s="247" t="s">
        <v>343</v>
      </c>
      <c r="G66" s="248" t="s">
        <v>938</v>
      </c>
      <c r="H66" s="93" t="s">
        <v>87</v>
      </c>
      <c r="I66" s="74" t="s">
        <v>1002</v>
      </c>
      <c r="J66" s="249">
        <v>4.0</v>
      </c>
      <c r="K66" s="74" t="s">
        <v>1004</v>
      </c>
      <c r="L66" s="74">
        <v>1430000.0</v>
      </c>
      <c r="M66" s="74" t="s">
        <v>657</v>
      </c>
      <c r="N66" s="74">
        <f t="shared" si="1"/>
        <v>5720000</v>
      </c>
      <c r="O66" s="60">
        <f t="shared" si="2"/>
        <v>45763</v>
      </c>
      <c r="P66" s="65" t="str">
        <f>VLOOKUP(I66,DATABASE!C:Q,11,FALSE)</f>
        <v>Tire</v>
      </c>
      <c r="Q66" s="65" t="str">
        <f>VLOOKUP(I66,DATABASE!C:Q,4,FALSE)</f>
        <v>Dunlop</v>
      </c>
      <c r="R66" s="79"/>
    </row>
    <row r="67" ht="15.0" customHeight="1">
      <c r="A67" s="49"/>
      <c r="C67" s="245">
        <v>45689.0</v>
      </c>
      <c r="D67" s="245">
        <v>45689.0</v>
      </c>
      <c r="E67" s="65" t="s">
        <v>110</v>
      </c>
      <c r="F67" s="247" t="s">
        <v>343</v>
      </c>
      <c r="G67" s="248" t="s">
        <v>1008</v>
      </c>
      <c r="H67" s="93" t="s">
        <v>7</v>
      </c>
      <c r="I67" s="74" t="s">
        <v>1009</v>
      </c>
      <c r="J67" s="249">
        <v>10.0</v>
      </c>
      <c r="K67" s="74" t="s">
        <v>1010</v>
      </c>
      <c r="L67" s="74">
        <v>582800.0</v>
      </c>
      <c r="M67" s="74" t="s">
        <v>755</v>
      </c>
      <c r="N67" s="74">
        <f t="shared" si="1"/>
        <v>5828000</v>
      </c>
      <c r="O67" s="60">
        <f t="shared" si="2"/>
        <v>45719</v>
      </c>
      <c r="P67" s="65" t="str">
        <f>VLOOKUP(I67,DATABASE!C:Q,11,FALSE)</f>
        <v>Tire</v>
      </c>
      <c r="Q67" s="65" t="str">
        <f>VLOOKUP(I67,DATABASE!C:Q,4,FALSE)</f>
        <v>GT</v>
      </c>
      <c r="R67" s="79"/>
    </row>
    <row r="68" ht="15.0" customHeight="1">
      <c r="A68" s="49"/>
      <c r="C68" s="245">
        <v>45689.0</v>
      </c>
      <c r="D68" s="245">
        <v>45689.0</v>
      </c>
      <c r="E68" s="93" t="s">
        <v>110</v>
      </c>
      <c r="F68" s="247" t="s">
        <v>343</v>
      </c>
      <c r="G68" s="248" t="s">
        <v>1008</v>
      </c>
      <c r="H68" s="93" t="s">
        <v>7</v>
      </c>
      <c r="I68" s="74" t="s">
        <v>286</v>
      </c>
      <c r="J68" s="249">
        <v>16.0</v>
      </c>
      <c r="K68" s="74" t="s">
        <v>1014</v>
      </c>
      <c r="L68" s="74">
        <v>445800.0</v>
      </c>
      <c r="M68" s="74" t="s">
        <v>755</v>
      </c>
      <c r="N68" s="74">
        <f t="shared" si="1"/>
        <v>7132800</v>
      </c>
      <c r="O68" s="60">
        <f t="shared" si="2"/>
        <v>45719</v>
      </c>
      <c r="P68" s="65" t="str">
        <f>VLOOKUP(I68,DATABASE!C:Q,11,FALSE)</f>
        <v>Tire</v>
      </c>
      <c r="Q68" s="65" t="str">
        <f>VLOOKUP(I68,DATABASE!C:Q,4,FALSE)</f>
        <v>GT</v>
      </c>
      <c r="R68" s="79"/>
    </row>
    <row r="69" ht="15.0" customHeight="1">
      <c r="A69" s="49"/>
      <c r="C69" s="245">
        <v>45689.0</v>
      </c>
      <c r="D69" s="245">
        <v>45689.0</v>
      </c>
      <c r="E69" s="93" t="s">
        <v>174</v>
      </c>
      <c r="F69" s="247" t="s">
        <v>343</v>
      </c>
      <c r="G69" s="248" t="s">
        <v>1019</v>
      </c>
      <c r="H69" s="93" t="s">
        <v>7</v>
      </c>
      <c r="I69" s="74" t="s">
        <v>323</v>
      </c>
      <c r="J69" s="249">
        <v>1.0</v>
      </c>
      <c r="K69" s="74" t="s">
        <v>1022</v>
      </c>
      <c r="L69" s="74">
        <v>893661.0</v>
      </c>
      <c r="M69" s="74" t="s">
        <v>1023</v>
      </c>
      <c r="N69" s="74">
        <f t="shared" si="1"/>
        <v>893661</v>
      </c>
      <c r="O69" s="60" t="str">
        <f t="shared" si="2"/>
        <v>LUNAS</v>
      </c>
      <c r="P69" s="65" t="str">
        <f>VLOOKUP(I69,DATABASE!C:Q,11,FALSE)</f>
        <v>Tire</v>
      </c>
      <c r="Q69" s="65" t="str">
        <f>VLOOKUP(I69,DATABASE!C:Q,4,FALSE)</f>
        <v>Accelera</v>
      </c>
      <c r="R69" s="79"/>
    </row>
    <row r="70" ht="15.0" customHeight="1">
      <c r="A70" s="49"/>
      <c r="C70" s="245">
        <v>45691.0</v>
      </c>
      <c r="D70" s="245">
        <v>45691.0</v>
      </c>
      <c r="E70" s="93" t="s">
        <v>136</v>
      </c>
      <c r="F70" s="247" t="s">
        <v>998</v>
      </c>
      <c r="G70" s="248" t="s">
        <v>1028</v>
      </c>
      <c r="H70" s="93" t="s">
        <v>7</v>
      </c>
      <c r="I70" s="74" t="s">
        <v>305</v>
      </c>
      <c r="J70" s="249">
        <v>10.0</v>
      </c>
      <c r="K70" s="140">
        <v>151890.0</v>
      </c>
      <c r="L70" s="74">
        <v>151890.0</v>
      </c>
      <c r="M70" s="74" t="s">
        <v>755</v>
      </c>
      <c r="N70" s="74">
        <f t="shared" si="1"/>
        <v>1518900</v>
      </c>
      <c r="O70" s="60">
        <f t="shared" si="2"/>
        <v>45721</v>
      </c>
      <c r="P70" s="65" t="str">
        <f>VLOOKUP(I70,DATABASE!C:Q,11,FALSE)</f>
        <v>COMPLEMENTARY</v>
      </c>
      <c r="Q70" s="65" t="str">
        <f>VLOOKUP(I70,DATABASE!C:Q,4,FALSE)</f>
        <v>Lower Arm</v>
      </c>
      <c r="R70" s="79"/>
    </row>
    <row r="71" ht="15.0" customHeight="1">
      <c r="A71" s="49"/>
      <c r="C71" s="245">
        <v>45691.0</v>
      </c>
      <c r="D71" s="245">
        <v>45691.0</v>
      </c>
      <c r="E71" s="65" t="s">
        <v>198</v>
      </c>
      <c r="F71" s="247" t="s">
        <v>343</v>
      </c>
      <c r="G71" s="248" t="s">
        <v>1035</v>
      </c>
      <c r="H71" s="93" t="s">
        <v>7</v>
      </c>
      <c r="I71" s="74" t="s">
        <v>569</v>
      </c>
      <c r="J71" s="249">
        <v>60.0</v>
      </c>
      <c r="K71" s="74" t="s">
        <v>1037</v>
      </c>
      <c r="L71" s="74">
        <v>45309.6</v>
      </c>
      <c r="M71" s="74" t="s">
        <v>521</v>
      </c>
      <c r="N71" s="74">
        <f t="shared" si="1"/>
        <v>2718576</v>
      </c>
      <c r="O71" s="60">
        <f t="shared" si="2"/>
        <v>45751</v>
      </c>
      <c r="P71" s="65" t="str">
        <f>VLOOKUP(I71,DATABASE!C:Q,11,FALSE)</f>
        <v>Tire</v>
      </c>
      <c r="Q71" s="65" t="str">
        <f>VLOOKUP(I71,DATABASE!C:Q,4,FALSE)</f>
        <v>BD</v>
      </c>
      <c r="R71" s="79"/>
    </row>
    <row r="72" ht="15.0" customHeight="1">
      <c r="A72" s="49"/>
      <c r="C72" s="245">
        <v>45691.0</v>
      </c>
      <c r="D72" s="245">
        <v>45691.0</v>
      </c>
      <c r="E72" s="93" t="s">
        <v>81</v>
      </c>
      <c r="F72" s="247" t="s">
        <v>343</v>
      </c>
      <c r="G72" s="248" t="s">
        <v>1043</v>
      </c>
      <c r="H72" s="93" t="s">
        <v>87</v>
      </c>
      <c r="I72" s="74" t="s">
        <v>282</v>
      </c>
      <c r="J72" s="249">
        <v>4.0</v>
      </c>
      <c r="K72" s="74" t="s">
        <v>1044</v>
      </c>
      <c r="L72" s="74">
        <v>745000.0</v>
      </c>
      <c r="M72" s="74" t="s">
        <v>657</v>
      </c>
      <c r="N72" s="74">
        <f t="shared" si="1"/>
        <v>2980000</v>
      </c>
      <c r="O72" s="60">
        <f t="shared" si="2"/>
        <v>45766</v>
      </c>
      <c r="P72" s="65" t="str">
        <f>VLOOKUP(I72,DATABASE!C:Q,11,FALSE)</f>
        <v>Tire</v>
      </c>
      <c r="Q72" s="65" t="str">
        <f>VLOOKUP(I72,DATABASE!C:Q,4,FALSE)</f>
        <v>Dunlop</v>
      </c>
      <c r="R72" s="79"/>
    </row>
    <row r="73" ht="15.0" customHeight="1">
      <c r="A73" s="49"/>
      <c r="C73" s="245">
        <v>45692.0</v>
      </c>
      <c r="D73" s="245">
        <v>45692.0</v>
      </c>
      <c r="E73" s="93" t="s">
        <v>81</v>
      </c>
      <c r="F73" s="247" t="s">
        <v>343</v>
      </c>
      <c r="G73" s="248" t="s">
        <v>1050</v>
      </c>
      <c r="H73" s="93" t="s">
        <v>87</v>
      </c>
      <c r="I73" s="74" t="s">
        <v>1051</v>
      </c>
      <c r="J73" s="249">
        <v>2.0</v>
      </c>
      <c r="K73" s="74" t="s">
        <v>1052</v>
      </c>
      <c r="L73" s="74">
        <v>870000.0</v>
      </c>
      <c r="M73" s="74" t="s">
        <v>657</v>
      </c>
      <c r="N73" s="74">
        <f t="shared" si="1"/>
        <v>1740000</v>
      </c>
      <c r="O73" s="60">
        <f t="shared" si="2"/>
        <v>45767</v>
      </c>
      <c r="P73" s="65" t="str">
        <f>VLOOKUP(I73,DATABASE!C:Q,11,FALSE)</f>
        <v>Tire</v>
      </c>
      <c r="Q73" s="65" t="str">
        <f>VLOOKUP(I73,DATABASE!C:Q,4,FALSE)</f>
        <v>Dunlop</v>
      </c>
      <c r="R73" s="79"/>
    </row>
    <row r="74" ht="15.0" customHeight="1">
      <c r="A74" s="49"/>
      <c r="C74" s="245">
        <v>45692.0</v>
      </c>
      <c r="D74" s="245">
        <v>45692.0</v>
      </c>
      <c r="E74" s="93" t="s">
        <v>81</v>
      </c>
      <c r="F74" s="247" t="s">
        <v>998</v>
      </c>
      <c r="G74" s="248" t="s">
        <v>998</v>
      </c>
      <c r="H74" s="93" t="s">
        <v>87</v>
      </c>
      <c r="I74" s="74" t="s">
        <v>1041</v>
      </c>
      <c r="J74" s="249">
        <v>5.0</v>
      </c>
      <c r="K74" s="74" t="s">
        <v>1058</v>
      </c>
      <c r="L74" s="74">
        <v>550000.0</v>
      </c>
      <c r="M74" s="74" t="s">
        <v>657</v>
      </c>
      <c r="N74" s="74">
        <f t="shared" si="1"/>
        <v>2750000</v>
      </c>
      <c r="O74" s="60">
        <f t="shared" si="2"/>
        <v>45767</v>
      </c>
      <c r="P74" s="65" t="str">
        <f>VLOOKUP(I74,DATABASE!C:Q,11,FALSE)</f>
        <v>Tire</v>
      </c>
      <c r="Q74" s="65" t="str">
        <f>VLOOKUP(I74,DATABASE!C:Q,4,FALSE)</f>
        <v>Bridgestone</v>
      </c>
      <c r="R74" s="79"/>
    </row>
    <row r="75" ht="15.0" customHeight="1">
      <c r="A75" s="49"/>
      <c r="C75" s="245">
        <v>45694.0</v>
      </c>
      <c r="D75" s="245">
        <v>45694.0</v>
      </c>
      <c r="E75" s="93" t="s">
        <v>110</v>
      </c>
      <c r="F75" s="247" t="s">
        <v>343</v>
      </c>
      <c r="G75" s="248" t="s">
        <v>998</v>
      </c>
      <c r="H75" s="93" t="s">
        <v>7</v>
      </c>
      <c r="I75" s="74" t="s">
        <v>290</v>
      </c>
      <c r="J75" s="249">
        <v>4.0</v>
      </c>
      <c r="K75" s="74" t="s">
        <v>1068</v>
      </c>
      <c r="L75" s="74">
        <v>600860.0</v>
      </c>
      <c r="M75" s="74" t="s">
        <v>755</v>
      </c>
      <c r="N75" s="74">
        <f t="shared" si="1"/>
        <v>2403440</v>
      </c>
      <c r="O75" s="60">
        <f t="shared" si="2"/>
        <v>45724</v>
      </c>
      <c r="P75" s="65" t="str">
        <f>VLOOKUP(I75,DATABASE!C:Q,11,FALSE)</f>
        <v>Tire</v>
      </c>
      <c r="Q75" s="65" t="str">
        <f>VLOOKUP(I75,DATABASE!C:Q,4,FALSE)</f>
        <v>GT</v>
      </c>
      <c r="R75" s="79"/>
    </row>
    <row r="76" ht="15.0" customHeight="1">
      <c r="A76" s="49"/>
      <c r="C76" s="245">
        <v>45694.0</v>
      </c>
      <c r="D76" s="245">
        <v>45694.0</v>
      </c>
      <c r="E76" s="93" t="s">
        <v>110</v>
      </c>
      <c r="F76" s="247" t="s">
        <v>343</v>
      </c>
      <c r="G76" s="248" t="s">
        <v>998</v>
      </c>
      <c r="H76" s="93" t="s">
        <v>7</v>
      </c>
      <c r="I76" s="74" t="s">
        <v>1076</v>
      </c>
      <c r="J76" s="249">
        <v>4.0</v>
      </c>
      <c r="K76" s="74" t="s">
        <v>1077</v>
      </c>
      <c r="L76" s="74">
        <v>655960.0</v>
      </c>
      <c r="M76" s="74" t="s">
        <v>755</v>
      </c>
      <c r="N76" s="74">
        <f t="shared" si="1"/>
        <v>2623840</v>
      </c>
      <c r="O76" s="60">
        <f t="shared" si="2"/>
        <v>45724</v>
      </c>
      <c r="P76" s="65" t="str">
        <f>VLOOKUP(I76,DATABASE!C:Q,11,FALSE)</f>
        <v>Tire</v>
      </c>
      <c r="Q76" s="65" t="str">
        <f>VLOOKUP(I76,DATABASE!C:Q,4,FALSE)</f>
        <v>GT</v>
      </c>
      <c r="R76" s="79"/>
    </row>
    <row r="77" ht="15.0" customHeight="1">
      <c r="A77" s="49"/>
      <c r="C77" s="245">
        <v>45694.0</v>
      </c>
      <c r="D77" s="245">
        <v>45694.0</v>
      </c>
      <c r="E77" s="93" t="s">
        <v>110</v>
      </c>
      <c r="F77" s="247" t="s">
        <v>343</v>
      </c>
      <c r="G77" s="248" t="s">
        <v>998</v>
      </c>
      <c r="H77" s="93" t="s">
        <v>7</v>
      </c>
      <c r="I77" s="74" t="s">
        <v>1084</v>
      </c>
      <c r="J77" s="249">
        <v>1.0</v>
      </c>
      <c r="K77" s="74" t="s">
        <v>575</v>
      </c>
      <c r="L77" s="74">
        <v>1285000.0</v>
      </c>
      <c r="M77" s="74" t="s">
        <v>755</v>
      </c>
      <c r="N77" s="74">
        <f t="shared" si="1"/>
        <v>1285000</v>
      </c>
      <c r="O77" s="60">
        <f t="shared" si="2"/>
        <v>45724</v>
      </c>
      <c r="P77" s="65" t="str">
        <f>VLOOKUP(I77,DATABASE!C:Q,11,FALSE)</f>
        <v>Tire</v>
      </c>
      <c r="Q77" s="65" t="str">
        <f>VLOOKUP(I77,DATABASE!C:Q,4,FALSE)</f>
        <v>GT</v>
      </c>
      <c r="R77" s="79"/>
    </row>
    <row r="78" ht="15.0" customHeight="1">
      <c r="A78" s="49"/>
      <c r="C78" s="245">
        <v>45694.0</v>
      </c>
      <c r="D78" s="245">
        <v>45694.0</v>
      </c>
      <c r="E78" s="246" t="s">
        <v>97</v>
      </c>
      <c r="F78" s="247" t="s">
        <v>343</v>
      </c>
      <c r="G78" s="248" t="s">
        <v>1090</v>
      </c>
      <c r="H78" s="93" t="s">
        <v>87</v>
      </c>
      <c r="I78" s="74" t="s">
        <v>566</v>
      </c>
      <c r="J78" s="249">
        <v>10.0</v>
      </c>
      <c r="K78" s="74" t="s">
        <v>1091</v>
      </c>
      <c r="L78" s="74">
        <v>1585000.0</v>
      </c>
      <c r="M78" s="74" t="s">
        <v>521</v>
      </c>
      <c r="N78" s="74">
        <f t="shared" si="1"/>
        <v>15850000</v>
      </c>
      <c r="O78" s="60">
        <f t="shared" si="2"/>
        <v>45754</v>
      </c>
      <c r="P78" s="65" t="str">
        <f>VLOOKUP(I78,DATABASE!C:Q,11,FALSE)</f>
        <v>Tire</v>
      </c>
      <c r="Q78" s="65" t="str">
        <f>VLOOKUP(I78,DATABASE!C:Q,4,FALSE)</f>
        <v>Bridgestone</v>
      </c>
      <c r="R78" s="79"/>
    </row>
    <row r="79" ht="15.0" customHeight="1">
      <c r="A79" s="49"/>
      <c r="C79" s="245">
        <v>45694.0</v>
      </c>
      <c r="D79" s="245">
        <v>45694.0</v>
      </c>
      <c r="E79" s="246" t="s">
        <v>97</v>
      </c>
      <c r="F79" s="247" t="s">
        <v>343</v>
      </c>
      <c r="G79" s="248" t="s">
        <v>1090</v>
      </c>
      <c r="H79" s="93" t="s">
        <v>87</v>
      </c>
      <c r="I79" s="74" t="s">
        <v>572</v>
      </c>
      <c r="J79" s="249">
        <v>10.0</v>
      </c>
      <c r="K79" s="74" t="s">
        <v>575</v>
      </c>
      <c r="L79" s="74">
        <v>1285000.0</v>
      </c>
      <c r="M79" s="74" t="s">
        <v>521</v>
      </c>
      <c r="N79" s="74">
        <f t="shared" si="1"/>
        <v>12850000</v>
      </c>
      <c r="O79" s="60">
        <f t="shared" si="2"/>
        <v>45754</v>
      </c>
      <c r="P79" s="65" t="str">
        <f>VLOOKUP(I79,DATABASE!C:Q,11,FALSE)</f>
        <v>Tire</v>
      </c>
      <c r="Q79" s="65" t="str">
        <f>VLOOKUP(I79,DATABASE!C:Q,4,FALSE)</f>
        <v>Bridgestone</v>
      </c>
      <c r="R79" s="79"/>
    </row>
    <row r="80" ht="15.0" customHeight="1">
      <c r="A80" s="49"/>
      <c r="C80" s="245">
        <v>45694.0</v>
      </c>
      <c r="D80" s="245">
        <v>45694.0</v>
      </c>
      <c r="E80" s="246" t="s">
        <v>97</v>
      </c>
      <c r="F80" s="247" t="s">
        <v>343</v>
      </c>
      <c r="G80" s="248" t="s">
        <v>1090</v>
      </c>
      <c r="H80" s="93" t="s">
        <v>87</v>
      </c>
      <c r="I80" s="74" t="s">
        <v>554</v>
      </c>
      <c r="J80" s="249">
        <v>10.0</v>
      </c>
      <c r="K80" s="74" t="s">
        <v>556</v>
      </c>
      <c r="L80" s="74">
        <v>700000.0</v>
      </c>
      <c r="M80" s="74" t="s">
        <v>521</v>
      </c>
      <c r="N80" s="74">
        <f t="shared" si="1"/>
        <v>7000000</v>
      </c>
      <c r="O80" s="60">
        <f t="shared" si="2"/>
        <v>45754</v>
      </c>
      <c r="P80" s="65" t="str">
        <f>VLOOKUP(I80,DATABASE!C:Q,11,FALSE)</f>
        <v>Tire</v>
      </c>
      <c r="Q80" s="65" t="str">
        <f>VLOOKUP(I80,DATABASE!C:Q,4,FALSE)</f>
        <v>Bridgestone</v>
      </c>
      <c r="R80" s="79"/>
    </row>
    <row r="81" ht="15.0" customHeight="1">
      <c r="A81" s="49"/>
      <c r="C81" s="245">
        <v>45694.0</v>
      </c>
      <c r="D81" s="245">
        <v>45694.0</v>
      </c>
      <c r="E81" s="246" t="s">
        <v>97</v>
      </c>
      <c r="F81" s="247" t="s">
        <v>343</v>
      </c>
      <c r="G81" s="248" t="s">
        <v>1090</v>
      </c>
      <c r="H81" s="93" t="s">
        <v>87</v>
      </c>
      <c r="I81" s="74" t="s">
        <v>937</v>
      </c>
      <c r="J81" s="249">
        <v>10.0</v>
      </c>
      <c r="K81" s="74" t="s">
        <v>1111</v>
      </c>
      <c r="L81" s="74">
        <v>810000.0</v>
      </c>
      <c r="M81" s="74" t="s">
        <v>521</v>
      </c>
      <c r="N81" s="74">
        <f t="shared" si="1"/>
        <v>8100000</v>
      </c>
      <c r="O81" s="60">
        <f t="shared" si="2"/>
        <v>45754</v>
      </c>
      <c r="P81" s="65" t="str">
        <f>VLOOKUP(I81,DATABASE!C:Q,11,FALSE)</f>
        <v>Tire</v>
      </c>
      <c r="Q81" s="65" t="str">
        <f>VLOOKUP(I81,DATABASE!C:Q,4,FALSE)</f>
        <v>Bridgestone</v>
      </c>
      <c r="R81" s="79"/>
    </row>
    <row r="82" ht="15.0" customHeight="1">
      <c r="A82" s="49"/>
      <c r="C82" s="245">
        <v>45700.0</v>
      </c>
      <c r="D82" s="245">
        <v>45700.0</v>
      </c>
      <c r="E82" s="246" t="s">
        <v>97</v>
      </c>
      <c r="F82" s="247" t="s">
        <v>343</v>
      </c>
      <c r="G82" s="248" t="s">
        <v>1118</v>
      </c>
      <c r="H82" s="93" t="s">
        <v>87</v>
      </c>
      <c r="I82" s="74" t="s">
        <v>627</v>
      </c>
      <c r="J82" s="249">
        <v>1.0</v>
      </c>
      <c r="K82" s="74" t="s">
        <v>629</v>
      </c>
      <c r="L82" s="74">
        <v>902500.0</v>
      </c>
      <c r="M82" s="74" t="s">
        <v>521</v>
      </c>
      <c r="N82" s="74">
        <f t="shared" si="1"/>
        <v>902500</v>
      </c>
      <c r="O82" s="60">
        <f t="shared" si="2"/>
        <v>45760</v>
      </c>
      <c r="P82" s="65" t="str">
        <f>VLOOKUP(I82,DATABASE!C:Q,11,FALSE)</f>
        <v>Tire</v>
      </c>
      <c r="Q82" s="65" t="str">
        <f>VLOOKUP(I82,DATABASE!C:Q,4,FALSE)</f>
        <v>Bridgestone</v>
      </c>
      <c r="R82" s="79"/>
    </row>
    <row r="83" ht="22.5" customHeight="1">
      <c r="A83" s="49"/>
      <c r="C83" s="245">
        <v>45700.0</v>
      </c>
      <c r="D83" s="245">
        <v>45700.0</v>
      </c>
      <c r="E83" s="93" t="s">
        <v>123</v>
      </c>
      <c r="F83" s="247" t="s">
        <v>343</v>
      </c>
      <c r="G83" s="248" t="s">
        <v>1125</v>
      </c>
      <c r="H83" s="93" t="s">
        <v>7</v>
      </c>
      <c r="I83" s="74" t="s">
        <v>781</v>
      </c>
      <c r="J83" s="249">
        <v>10.0</v>
      </c>
      <c r="K83" s="74" t="s">
        <v>1127</v>
      </c>
      <c r="L83" s="74">
        <v>440000.0</v>
      </c>
      <c r="M83" s="74" t="s">
        <v>755</v>
      </c>
      <c r="N83" s="74">
        <f t="shared" si="1"/>
        <v>4400000</v>
      </c>
      <c r="O83" s="60">
        <f t="shared" si="2"/>
        <v>45730</v>
      </c>
      <c r="P83" s="65" t="str">
        <f>VLOOKUP(I83,DATABASE!C:Q,11,FALSE)</f>
        <v>Tire</v>
      </c>
      <c r="Q83" s="65" t="str">
        <f>VLOOKUP(I83,DATABASE!C:Q,4,FALSE)</f>
        <v>GT</v>
      </c>
      <c r="R83" s="79"/>
    </row>
    <row r="84" ht="22.5" customHeight="1">
      <c r="A84" s="49"/>
      <c r="C84" s="245">
        <v>45700.0</v>
      </c>
      <c r="D84" s="245">
        <v>45700.0</v>
      </c>
      <c r="E84" s="93" t="s">
        <v>123</v>
      </c>
      <c r="F84" s="247" t="s">
        <v>343</v>
      </c>
      <c r="G84" s="248" t="s">
        <v>1125</v>
      </c>
      <c r="H84" s="93" t="s">
        <v>7</v>
      </c>
      <c r="I84" s="74" t="s">
        <v>777</v>
      </c>
      <c r="J84" s="249">
        <v>10.0</v>
      </c>
      <c r="K84" s="74" t="s">
        <v>1136</v>
      </c>
      <c r="L84" s="74">
        <v>505000.0</v>
      </c>
      <c r="M84" s="74" t="s">
        <v>755</v>
      </c>
      <c r="N84" s="74">
        <f t="shared" si="1"/>
        <v>5050000</v>
      </c>
      <c r="O84" s="60">
        <f t="shared" si="2"/>
        <v>45730</v>
      </c>
      <c r="P84" s="65" t="str">
        <f>VLOOKUP(I84,DATABASE!C:Q,11,FALSE)</f>
        <v>Tire</v>
      </c>
      <c r="Q84" s="65" t="str">
        <f>VLOOKUP(I84,DATABASE!C:Q,4,FALSE)</f>
        <v>GT</v>
      </c>
      <c r="R84" s="79"/>
    </row>
    <row r="85" ht="22.5" customHeight="1">
      <c r="A85" s="49"/>
      <c r="C85" s="245">
        <v>45700.0</v>
      </c>
      <c r="D85" s="245">
        <v>45700.0</v>
      </c>
      <c r="E85" s="93" t="s">
        <v>123</v>
      </c>
      <c r="F85" s="247" t="s">
        <v>343</v>
      </c>
      <c r="G85" s="248" t="s">
        <v>1125</v>
      </c>
      <c r="H85" s="93" t="s">
        <v>7</v>
      </c>
      <c r="I85" s="74" t="s">
        <v>294</v>
      </c>
      <c r="J85" s="249">
        <v>5.0</v>
      </c>
      <c r="K85" s="74" t="s">
        <v>1143</v>
      </c>
      <c r="L85" s="74">
        <v>490000.0</v>
      </c>
      <c r="M85" s="74" t="s">
        <v>755</v>
      </c>
      <c r="N85" s="74">
        <f t="shared" si="1"/>
        <v>2450000</v>
      </c>
      <c r="O85" s="60">
        <f t="shared" si="2"/>
        <v>45730</v>
      </c>
      <c r="P85" s="65" t="str">
        <f>VLOOKUP(I85,DATABASE!C:Q,11,FALSE)</f>
        <v>Tire</v>
      </c>
      <c r="Q85" s="65" t="str">
        <f>VLOOKUP(I85,DATABASE!C:Q,4,FALSE)</f>
        <v>GT</v>
      </c>
      <c r="R85" s="79"/>
    </row>
    <row r="86" ht="22.5" customHeight="1">
      <c r="A86" s="49"/>
      <c r="C86" s="245">
        <v>45701.0</v>
      </c>
      <c r="D86" s="245">
        <v>45701.0</v>
      </c>
      <c r="E86" s="246" t="s">
        <v>97</v>
      </c>
      <c r="F86" s="247" t="s">
        <v>343</v>
      </c>
      <c r="G86" s="248" t="s">
        <v>1148</v>
      </c>
      <c r="H86" s="93" t="s">
        <v>87</v>
      </c>
      <c r="I86" s="74" t="s">
        <v>614</v>
      </c>
      <c r="J86" s="249">
        <v>4.0</v>
      </c>
      <c r="K86" s="74" t="s">
        <v>615</v>
      </c>
      <c r="L86" s="74">
        <v>765916.0</v>
      </c>
      <c r="M86" s="74" t="s">
        <v>521</v>
      </c>
      <c r="N86" s="74">
        <f t="shared" si="1"/>
        <v>3063664</v>
      </c>
      <c r="O86" s="60">
        <f t="shared" si="2"/>
        <v>45761</v>
      </c>
      <c r="P86" s="65" t="str">
        <f>VLOOKUP(I86,DATABASE!C:Q,11,FALSE)</f>
        <v>Tire</v>
      </c>
      <c r="Q86" s="65" t="str">
        <f>VLOOKUP(I86,DATABASE!C:Q,4,FALSE)</f>
        <v>Bridgestone</v>
      </c>
      <c r="R86" s="79"/>
    </row>
    <row r="87" ht="22.5" customHeight="1">
      <c r="A87" s="49"/>
      <c r="C87" s="245">
        <v>45701.0</v>
      </c>
      <c r="D87" s="245">
        <v>45701.0</v>
      </c>
      <c r="E87" s="65" t="s">
        <v>185</v>
      </c>
      <c r="F87" s="247" t="s">
        <v>343</v>
      </c>
      <c r="G87" s="248" t="s">
        <v>1158</v>
      </c>
      <c r="H87" s="93" t="s">
        <v>7</v>
      </c>
      <c r="I87" s="74" t="s">
        <v>647</v>
      </c>
      <c r="J87" s="249">
        <v>10.0</v>
      </c>
      <c r="K87" s="74" t="s">
        <v>1159</v>
      </c>
      <c r="L87" s="74">
        <v>1365000.0</v>
      </c>
      <c r="M87" s="74" t="s">
        <v>521</v>
      </c>
      <c r="N87" s="74">
        <f t="shared" si="1"/>
        <v>13650000</v>
      </c>
      <c r="O87" s="60">
        <f t="shared" si="2"/>
        <v>45761</v>
      </c>
      <c r="P87" s="65" t="str">
        <f>VLOOKUP(I87,DATABASE!C:Q,11,FALSE)</f>
        <v>Tire</v>
      </c>
      <c r="Q87" s="65" t="str">
        <f>VLOOKUP(I87,DATABASE!C:Q,4,FALSE)</f>
        <v>G. YEAR</v>
      </c>
      <c r="R87" s="79"/>
    </row>
    <row r="88" ht="22.5" customHeight="1">
      <c r="A88" s="49"/>
      <c r="C88" s="245">
        <v>45701.0</v>
      </c>
      <c r="D88" s="245">
        <v>45701.0</v>
      </c>
      <c r="E88" s="93" t="s">
        <v>81</v>
      </c>
      <c r="F88" s="247" t="s">
        <v>343</v>
      </c>
      <c r="G88" s="248" t="s">
        <v>1165</v>
      </c>
      <c r="H88" s="93" t="s">
        <v>87</v>
      </c>
      <c r="I88" s="74" t="s">
        <v>1002</v>
      </c>
      <c r="J88" s="249">
        <v>1.0</v>
      </c>
      <c r="K88" s="74" t="s">
        <v>1004</v>
      </c>
      <c r="L88" s="74">
        <v>1430000.0</v>
      </c>
      <c r="M88" s="74" t="s">
        <v>657</v>
      </c>
      <c r="N88" s="74">
        <f t="shared" si="1"/>
        <v>1430000</v>
      </c>
      <c r="O88" s="60">
        <f t="shared" si="2"/>
        <v>45776</v>
      </c>
      <c r="P88" s="65" t="str">
        <f>VLOOKUP(I88,DATABASE!C:Q,11,FALSE)</f>
        <v>Tire</v>
      </c>
      <c r="Q88" s="65" t="str">
        <f>VLOOKUP(I88,DATABASE!C:Q,4,FALSE)</f>
        <v>Dunlop</v>
      </c>
      <c r="R88" s="79"/>
    </row>
    <row r="89" ht="22.5" customHeight="1">
      <c r="A89" s="49"/>
      <c r="C89" s="245">
        <v>45703.0</v>
      </c>
      <c r="D89" s="245">
        <v>45703.0</v>
      </c>
      <c r="E89" s="93" t="s">
        <v>110</v>
      </c>
      <c r="F89" s="247" t="s">
        <v>343</v>
      </c>
      <c r="G89" s="248" t="s">
        <v>1062</v>
      </c>
      <c r="H89" s="93" t="s">
        <v>7</v>
      </c>
      <c r="I89" s="74" t="s">
        <v>1172</v>
      </c>
      <c r="J89" s="249">
        <v>2.0</v>
      </c>
      <c r="K89" s="74" t="s">
        <v>1173</v>
      </c>
      <c r="L89" s="74">
        <v>860000.0</v>
      </c>
      <c r="M89" s="74" t="s">
        <v>755</v>
      </c>
      <c r="N89" s="74">
        <f t="shared" si="1"/>
        <v>1720000</v>
      </c>
      <c r="O89" s="60">
        <f t="shared" si="2"/>
        <v>45733</v>
      </c>
      <c r="P89" s="65" t="str">
        <f>VLOOKUP(I89,DATABASE!C:Q,11,FALSE)</f>
        <v>Tire</v>
      </c>
      <c r="Q89" s="65" t="str">
        <f>VLOOKUP(I89,DATABASE!C:Q,4,FALSE)</f>
        <v>GT</v>
      </c>
      <c r="R89" s="79"/>
    </row>
    <row r="90" ht="22.5" customHeight="1">
      <c r="A90" s="49"/>
      <c r="C90" s="245">
        <v>45706.0</v>
      </c>
      <c r="D90" s="245">
        <v>45706.0</v>
      </c>
      <c r="E90" s="93" t="s">
        <v>335</v>
      </c>
      <c r="F90" s="247" t="s">
        <v>343</v>
      </c>
      <c r="G90" s="248" t="s">
        <v>1177</v>
      </c>
      <c r="H90" s="266" t="s">
        <v>7</v>
      </c>
      <c r="I90" s="267" t="s">
        <v>374</v>
      </c>
      <c r="J90" s="249">
        <v>5.0</v>
      </c>
      <c r="K90" s="74" t="s">
        <v>913</v>
      </c>
      <c r="L90" s="74">
        <v>1950000.0</v>
      </c>
      <c r="M90" s="74" t="s">
        <v>521</v>
      </c>
      <c r="N90" s="74">
        <f t="shared" si="1"/>
        <v>9750000</v>
      </c>
      <c r="O90" s="60">
        <f t="shared" si="2"/>
        <v>45766</v>
      </c>
      <c r="P90" s="65" t="str">
        <f>VLOOKUP(I90,DATABASE!C:Q,11,FALSE)</f>
        <v>Tire</v>
      </c>
      <c r="Q90" s="65" t="str">
        <f>VLOOKUP(I90,DATABASE!C:Q,4,FALSE)</f>
        <v>Advance</v>
      </c>
      <c r="R90" s="79"/>
    </row>
    <row r="91" ht="22.5" customHeight="1">
      <c r="A91" s="49"/>
      <c r="C91" s="245">
        <v>45706.0</v>
      </c>
      <c r="D91" s="245">
        <v>45706.0</v>
      </c>
      <c r="E91" s="93" t="s">
        <v>335</v>
      </c>
      <c r="F91" s="247" t="s">
        <v>343</v>
      </c>
      <c r="G91" s="248" t="s">
        <v>1177</v>
      </c>
      <c r="H91" s="93" t="s">
        <v>7</v>
      </c>
      <c r="I91" s="74" t="s">
        <v>391</v>
      </c>
      <c r="J91" s="249">
        <v>4.0</v>
      </c>
      <c r="K91" s="74" t="s">
        <v>907</v>
      </c>
      <c r="L91" s="74">
        <v>1840000.0</v>
      </c>
      <c r="M91" s="74" t="s">
        <v>521</v>
      </c>
      <c r="N91" s="74">
        <f t="shared" si="1"/>
        <v>7360000</v>
      </c>
      <c r="O91" s="60">
        <f t="shared" si="2"/>
        <v>45766</v>
      </c>
      <c r="P91" s="65" t="str">
        <f>VLOOKUP(I91,DATABASE!C:Q,11,FALSE)</f>
        <v>Tire</v>
      </c>
      <c r="Q91" s="65" t="str">
        <f>VLOOKUP(I91,DATABASE!C:Q,4,FALSE)</f>
        <v>Advance</v>
      </c>
      <c r="R91" s="79"/>
    </row>
    <row r="92" ht="22.5" customHeight="1">
      <c r="A92" s="49"/>
      <c r="C92" s="245">
        <v>45706.0</v>
      </c>
      <c r="D92" s="245">
        <v>45706.0</v>
      </c>
      <c r="E92" s="93" t="s">
        <v>335</v>
      </c>
      <c r="F92" s="247" t="s">
        <v>343</v>
      </c>
      <c r="G92" s="248" t="s">
        <v>1177</v>
      </c>
      <c r="H92" s="93" t="s">
        <v>7</v>
      </c>
      <c r="I92" s="74" t="s">
        <v>353</v>
      </c>
      <c r="J92" s="249">
        <v>2.0</v>
      </c>
      <c r="K92" s="74" t="s">
        <v>1190</v>
      </c>
      <c r="L92" s="74">
        <v>1765000.0</v>
      </c>
      <c r="M92" s="74" t="s">
        <v>521</v>
      </c>
      <c r="N92" s="74">
        <f t="shared" si="1"/>
        <v>3530000</v>
      </c>
      <c r="O92" s="60">
        <f t="shared" si="2"/>
        <v>45766</v>
      </c>
      <c r="P92" s="65" t="str">
        <f>VLOOKUP(I92,DATABASE!C:Q,11,FALSE)</f>
        <v>Tire</v>
      </c>
      <c r="Q92" s="65" t="str">
        <f>VLOOKUP(I92,DATABASE!C:Q,4,FALSE)</f>
        <v>Advance</v>
      </c>
      <c r="R92" s="79"/>
    </row>
    <row r="93" ht="22.5" customHeight="1">
      <c r="A93" s="49"/>
      <c r="C93" s="245">
        <v>45706.0</v>
      </c>
      <c r="D93" s="245">
        <v>45706.0</v>
      </c>
      <c r="E93" s="93" t="s">
        <v>335</v>
      </c>
      <c r="F93" s="247" t="s">
        <v>343</v>
      </c>
      <c r="G93" s="248" t="s">
        <v>1177</v>
      </c>
      <c r="H93" s="93" t="s">
        <v>7</v>
      </c>
      <c r="I93" s="74" t="s">
        <v>403</v>
      </c>
      <c r="J93" s="249">
        <v>4.0</v>
      </c>
      <c r="K93" s="74" t="s">
        <v>1198</v>
      </c>
      <c r="L93" s="74">
        <v>1970000.0</v>
      </c>
      <c r="M93" s="74" t="s">
        <v>521</v>
      </c>
      <c r="N93" s="74">
        <f t="shared" si="1"/>
        <v>7880000</v>
      </c>
      <c r="O93" s="60">
        <f t="shared" si="2"/>
        <v>45766</v>
      </c>
      <c r="P93" s="65" t="str">
        <f>VLOOKUP(I93,DATABASE!C:Q,11,FALSE)</f>
        <v>Tire</v>
      </c>
      <c r="Q93" s="65" t="str">
        <f>VLOOKUP(I93,DATABASE!C:Q,4,FALSE)</f>
        <v>Advance</v>
      </c>
      <c r="R93" s="79"/>
    </row>
    <row r="94" ht="22.5" customHeight="1">
      <c r="A94" s="49"/>
      <c r="C94" s="245">
        <v>45706.0</v>
      </c>
      <c r="D94" s="245">
        <v>45706.0</v>
      </c>
      <c r="E94" s="93" t="s">
        <v>335</v>
      </c>
      <c r="F94" s="247" t="s">
        <v>343</v>
      </c>
      <c r="G94" s="248" t="s">
        <v>1177</v>
      </c>
      <c r="H94" s="93" t="s">
        <v>7</v>
      </c>
      <c r="I94" s="74" t="s">
        <v>295</v>
      </c>
      <c r="J94" s="249">
        <v>4.0</v>
      </c>
      <c r="K94" s="74" t="s">
        <v>1204</v>
      </c>
      <c r="L94" s="74">
        <v>1425000.0</v>
      </c>
      <c r="M94" s="74" t="s">
        <v>521</v>
      </c>
      <c r="N94" s="74">
        <f t="shared" si="1"/>
        <v>5700000</v>
      </c>
      <c r="O94" s="60">
        <f t="shared" si="2"/>
        <v>45766</v>
      </c>
      <c r="P94" s="65" t="str">
        <f>VLOOKUP(I94,DATABASE!C:Q,11,FALSE)</f>
        <v>Tire</v>
      </c>
      <c r="Q94" s="65" t="str">
        <f>VLOOKUP(I94,DATABASE!C:Q,4,FALSE)</f>
        <v>TIRON</v>
      </c>
      <c r="R94" s="79"/>
    </row>
    <row r="95" ht="22.5" customHeight="1">
      <c r="A95" s="49"/>
      <c r="C95" s="245">
        <v>45706.0</v>
      </c>
      <c r="D95" s="245">
        <v>45706.0</v>
      </c>
      <c r="E95" s="65" t="s">
        <v>335</v>
      </c>
      <c r="F95" s="247" t="s">
        <v>343</v>
      </c>
      <c r="G95" s="248" t="s">
        <v>1177</v>
      </c>
      <c r="H95" s="93" t="s">
        <v>7</v>
      </c>
      <c r="I95" s="74" t="s">
        <v>1209</v>
      </c>
      <c r="J95" s="249">
        <v>30.0</v>
      </c>
      <c r="K95" s="74" t="s">
        <v>1210</v>
      </c>
      <c r="L95" s="74">
        <v>45000.0</v>
      </c>
      <c r="M95" s="74" t="s">
        <v>521</v>
      </c>
      <c r="N95" s="74">
        <f t="shared" si="1"/>
        <v>1350000</v>
      </c>
      <c r="O95" s="60">
        <f t="shared" si="2"/>
        <v>45766</v>
      </c>
      <c r="P95" s="65" t="str">
        <f>VLOOKUP(I95,DATABASE!C:Q,11,FALSE)</f>
        <v>Tire</v>
      </c>
      <c r="Q95" s="65" t="str">
        <f>VLOOKUP(I95,DATABASE!C:Q,4,FALSE)</f>
        <v>Flap</v>
      </c>
      <c r="R95" s="79"/>
    </row>
    <row r="96" ht="22.5" customHeight="1">
      <c r="A96" s="49"/>
      <c r="C96" s="245">
        <v>45706.0</v>
      </c>
      <c r="D96" s="245">
        <v>45706.0</v>
      </c>
      <c r="E96" s="93" t="s">
        <v>335</v>
      </c>
      <c r="F96" s="247" t="s">
        <v>343</v>
      </c>
      <c r="G96" s="248" t="s">
        <v>1214</v>
      </c>
      <c r="H96" s="266" t="s">
        <v>7</v>
      </c>
      <c r="I96" s="267" t="s">
        <v>374</v>
      </c>
      <c r="J96" s="249">
        <v>15.0</v>
      </c>
      <c r="K96" s="74" t="s">
        <v>1215</v>
      </c>
      <c r="L96" s="74">
        <v>1620000.0</v>
      </c>
      <c r="M96" s="74" t="s">
        <v>521</v>
      </c>
      <c r="N96" s="74">
        <f t="shared" si="1"/>
        <v>24300000</v>
      </c>
      <c r="O96" s="60">
        <f t="shared" si="2"/>
        <v>45766</v>
      </c>
      <c r="P96" s="65" t="str">
        <f>VLOOKUP(I96,DATABASE!C:Q,11,FALSE)</f>
        <v>Tire</v>
      </c>
      <c r="Q96" s="65" t="str">
        <f>VLOOKUP(I96,DATABASE!C:Q,4,FALSE)</f>
        <v>Advance</v>
      </c>
      <c r="R96" s="79"/>
    </row>
    <row r="97" ht="22.5" customHeight="1">
      <c r="A97" s="49"/>
      <c r="C97" s="245">
        <v>45706.0</v>
      </c>
      <c r="D97" s="245">
        <v>45706.0</v>
      </c>
      <c r="E97" s="246" t="s">
        <v>97</v>
      </c>
      <c r="F97" s="247" t="s">
        <v>343</v>
      </c>
      <c r="G97" s="248" t="s">
        <v>1222</v>
      </c>
      <c r="H97" s="93" t="s">
        <v>87</v>
      </c>
      <c r="I97" s="74" t="s">
        <v>566</v>
      </c>
      <c r="J97" s="249">
        <v>3.0</v>
      </c>
      <c r="K97" s="74" t="s">
        <v>567</v>
      </c>
      <c r="L97" s="74">
        <v>1570000.0</v>
      </c>
      <c r="M97" s="74" t="s">
        <v>521</v>
      </c>
      <c r="N97" s="74">
        <f t="shared" si="1"/>
        <v>4710000</v>
      </c>
      <c r="O97" s="60">
        <f t="shared" si="2"/>
        <v>45766</v>
      </c>
      <c r="P97" s="65" t="str">
        <f>VLOOKUP(I97,DATABASE!C:Q,11,FALSE)</f>
        <v>Tire</v>
      </c>
      <c r="Q97" s="65" t="str">
        <f>VLOOKUP(I97,DATABASE!C:Q,4,FALSE)</f>
        <v>Bridgestone</v>
      </c>
      <c r="R97" s="79"/>
    </row>
    <row r="98" ht="22.5" customHeight="1">
      <c r="A98" s="49"/>
      <c r="C98" s="245">
        <v>45706.0</v>
      </c>
      <c r="D98" s="245">
        <v>45706.0</v>
      </c>
      <c r="E98" s="246" t="s">
        <v>97</v>
      </c>
      <c r="F98" s="247" t="s">
        <v>343</v>
      </c>
      <c r="G98" s="248" t="s">
        <v>1222</v>
      </c>
      <c r="H98" s="93" t="s">
        <v>87</v>
      </c>
      <c r="I98" s="74" t="s">
        <v>572</v>
      </c>
      <c r="J98" s="249">
        <v>4.0</v>
      </c>
      <c r="K98" s="74" t="s">
        <v>1231</v>
      </c>
      <c r="L98" s="74">
        <v>1270000.0</v>
      </c>
      <c r="M98" s="74" t="s">
        <v>521</v>
      </c>
      <c r="N98" s="74">
        <f t="shared" si="1"/>
        <v>5080000</v>
      </c>
      <c r="O98" s="60">
        <f t="shared" si="2"/>
        <v>45766</v>
      </c>
      <c r="P98" s="65" t="str">
        <f>VLOOKUP(I98,DATABASE!C:Q,11,FALSE)</f>
        <v>Tire</v>
      </c>
      <c r="Q98" s="65" t="str">
        <f>VLOOKUP(I98,DATABASE!C:Q,4,FALSE)</f>
        <v>Bridgestone</v>
      </c>
      <c r="R98" s="79"/>
    </row>
    <row r="99" ht="22.5" customHeight="1">
      <c r="A99" s="49"/>
      <c r="C99" s="245">
        <v>45706.0</v>
      </c>
      <c r="D99" s="245">
        <v>45706.0</v>
      </c>
      <c r="E99" s="246" t="s">
        <v>97</v>
      </c>
      <c r="F99" s="247" t="s">
        <v>343</v>
      </c>
      <c r="G99" s="248" t="s">
        <v>1236</v>
      </c>
      <c r="H99" s="93" t="s">
        <v>87</v>
      </c>
      <c r="I99" s="74" t="s">
        <v>1237</v>
      </c>
      <c r="J99" s="249">
        <v>5.0</v>
      </c>
      <c r="K99" s="74" t="s">
        <v>1238</v>
      </c>
      <c r="L99" s="74">
        <v>1088301.0</v>
      </c>
      <c r="M99" s="74" t="s">
        <v>521</v>
      </c>
      <c r="N99" s="74">
        <f t="shared" si="1"/>
        <v>5441505</v>
      </c>
      <c r="O99" s="60">
        <f t="shared" si="2"/>
        <v>45766</v>
      </c>
      <c r="P99" s="65" t="str">
        <f>VLOOKUP(I99,DATABASE!C:Q,11,FALSE)</f>
        <v>Tire</v>
      </c>
      <c r="Q99" s="65" t="str">
        <f>VLOOKUP(I99,DATABASE!C:Q,4,FALSE)</f>
        <v>Bridgestone</v>
      </c>
      <c r="R99" s="79"/>
    </row>
    <row r="100" ht="22.5" customHeight="1">
      <c r="A100" s="49"/>
      <c r="C100" s="245">
        <v>45706.0</v>
      </c>
      <c r="D100" s="245">
        <v>45706.0</v>
      </c>
      <c r="E100" s="246" t="s">
        <v>97</v>
      </c>
      <c r="F100" s="247" t="s">
        <v>343</v>
      </c>
      <c r="G100" s="248" t="s">
        <v>1236</v>
      </c>
      <c r="H100" s="93" t="s">
        <v>87</v>
      </c>
      <c r="I100" s="74" t="s">
        <v>591</v>
      </c>
      <c r="J100" s="249">
        <v>10.0</v>
      </c>
      <c r="K100" s="74" t="s">
        <v>594</v>
      </c>
      <c r="L100" s="74">
        <v>676728.0</v>
      </c>
      <c r="M100" s="74" t="s">
        <v>521</v>
      </c>
      <c r="N100" s="74">
        <f t="shared" si="1"/>
        <v>6767280</v>
      </c>
      <c r="O100" s="60">
        <f t="shared" si="2"/>
        <v>45766</v>
      </c>
      <c r="P100" s="65" t="str">
        <f>VLOOKUP(I100,DATABASE!C:Q,11,FALSE)</f>
        <v>Tire</v>
      </c>
      <c r="Q100" s="65" t="str">
        <f>VLOOKUP(I100,DATABASE!C:Q,4,FALSE)</f>
        <v>Bridgestone</v>
      </c>
      <c r="R100" s="79"/>
    </row>
    <row r="101" ht="22.5" customHeight="1">
      <c r="A101" s="49"/>
      <c r="C101" s="245">
        <v>45706.0</v>
      </c>
      <c r="D101" s="245">
        <v>45706.0</v>
      </c>
      <c r="E101" s="246" t="s">
        <v>97</v>
      </c>
      <c r="F101" s="247" t="s">
        <v>343</v>
      </c>
      <c r="G101" s="248" t="s">
        <v>1236</v>
      </c>
      <c r="H101" s="93" t="s">
        <v>87</v>
      </c>
      <c r="I101" s="74" t="s">
        <v>1133</v>
      </c>
      <c r="J101" s="249">
        <v>5.0</v>
      </c>
      <c r="K101" s="74" t="s">
        <v>1256</v>
      </c>
      <c r="L101" s="74">
        <v>785133.0</v>
      </c>
      <c r="M101" s="74" t="s">
        <v>521</v>
      </c>
      <c r="N101" s="74">
        <f t="shared" si="1"/>
        <v>3925665</v>
      </c>
      <c r="O101" s="60">
        <f t="shared" si="2"/>
        <v>45766</v>
      </c>
      <c r="P101" s="65" t="str">
        <f>VLOOKUP(I101,DATABASE!C:Q,11,FALSE)</f>
        <v>Tire</v>
      </c>
      <c r="Q101" s="65" t="str">
        <f>VLOOKUP(I101,DATABASE!C:Q,4,FALSE)</f>
        <v>Bridgestone</v>
      </c>
      <c r="R101" s="79"/>
    </row>
    <row r="102" ht="22.5" customHeight="1">
      <c r="A102" s="49"/>
      <c r="C102" s="245">
        <v>45706.0</v>
      </c>
      <c r="D102" s="245">
        <v>45706.0</v>
      </c>
      <c r="E102" s="246" t="s">
        <v>97</v>
      </c>
      <c r="F102" s="247" t="s">
        <v>343</v>
      </c>
      <c r="G102" s="248" t="s">
        <v>1236</v>
      </c>
      <c r="H102" s="93" t="s">
        <v>87</v>
      </c>
      <c r="I102" s="74" t="s">
        <v>957</v>
      </c>
      <c r="J102" s="249">
        <v>6.0</v>
      </c>
      <c r="K102" s="74" t="s">
        <v>1261</v>
      </c>
      <c r="L102" s="74">
        <v>766000.0</v>
      </c>
      <c r="M102" s="74" t="s">
        <v>521</v>
      </c>
      <c r="N102" s="74">
        <f t="shared" si="1"/>
        <v>4596000</v>
      </c>
      <c r="O102" s="60">
        <f t="shared" si="2"/>
        <v>45766</v>
      </c>
      <c r="P102" s="65" t="str">
        <f>VLOOKUP(I102,DATABASE!C:Q,11,FALSE)</f>
        <v>Tire</v>
      </c>
      <c r="Q102" s="65" t="str">
        <f>VLOOKUP(I102,DATABASE!C:Q,4,FALSE)</f>
        <v>Bridgestone</v>
      </c>
      <c r="R102" s="79"/>
    </row>
    <row r="103" ht="22.5" customHeight="1">
      <c r="A103" s="49"/>
      <c r="C103" s="245">
        <v>45706.0</v>
      </c>
      <c r="D103" s="245">
        <v>45706.0</v>
      </c>
      <c r="E103" s="246" t="s">
        <v>97</v>
      </c>
      <c r="F103" s="247" t="s">
        <v>343</v>
      </c>
      <c r="G103" s="248" t="s">
        <v>1236</v>
      </c>
      <c r="H103" s="93" t="s">
        <v>87</v>
      </c>
      <c r="I103" s="74" t="s">
        <v>614</v>
      </c>
      <c r="J103" s="249">
        <v>5.0</v>
      </c>
      <c r="K103" s="74" t="s">
        <v>615</v>
      </c>
      <c r="L103" s="74">
        <v>765916.0</v>
      </c>
      <c r="M103" s="74" t="s">
        <v>521</v>
      </c>
      <c r="N103" s="74">
        <f t="shared" si="1"/>
        <v>3829580</v>
      </c>
      <c r="O103" s="60">
        <f t="shared" si="2"/>
        <v>45766</v>
      </c>
      <c r="P103" s="65" t="str">
        <f>VLOOKUP(I103,DATABASE!C:Q,11,FALSE)</f>
        <v>Tire</v>
      </c>
      <c r="Q103" s="65" t="str">
        <f>VLOOKUP(I103,DATABASE!C:Q,4,FALSE)</f>
        <v>Bridgestone</v>
      </c>
      <c r="R103" s="79"/>
    </row>
    <row r="104" ht="22.5" customHeight="1">
      <c r="A104" s="49"/>
      <c r="C104" s="245">
        <v>45706.0</v>
      </c>
      <c r="D104" s="245">
        <v>45706.0</v>
      </c>
      <c r="E104" s="246" t="s">
        <v>97</v>
      </c>
      <c r="F104" s="247" t="s">
        <v>343</v>
      </c>
      <c r="G104" s="248" t="s">
        <v>1236</v>
      </c>
      <c r="H104" s="93" t="s">
        <v>87</v>
      </c>
      <c r="I104" s="74" t="s">
        <v>627</v>
      </c>
      <c r="J104" s="249">
        <v>6.0</v>
      </c>
      <c r="K104" s="74" t="s">
        <v>629</v>
      </c>
      <c r="L104" s="74">
        <v>902500.0</v>
      </c>
      <c r="M104" s="74" t="s">
        <v>521</v>
      </c>
      <c r="N104" s="74">
        <f t="shared" si="1"/>
        <v>5415000</v>
      </c>
      <c r="O104" s="60">
        <f t="shared" si="2"/>
        <v>45766</v>
      </c>
      <c r="P104" s="65" t="str">
        <f>VLOOKUP(I104,DATABASE!C:Q,11,FALSE)</f>
        <v>Tire</v>
      </c>
      <c r="Q104" s="65" t="str">
        <f>VLOOKUP(I104,DATABASE!C:Q,4,FALSE)</f>
        <v>Bridgestone</v>
      </c>
      <c r="R104" s="79"/>
    </row>
    <row r="105" ht="22.5" customHeight="1">
      <c r="A105" s="49"/>
      <c r="C105" s="245">
        <v>45706.0</v>
      </c>
      <c r="D105" s="245">
        <v>45706.0</v>
      </c>
      <c r="E105" s="246" t="s">
        <v>97</v>
      </c>
      <c r="F105" s="247" t="s">
        <v>343</v>
      </c>
      <c r="G105" s="248" t="s">
        <v>1236</v>
      </c>
      <c r="H105" s="93" t="s">
        <v>87</v>
      </c>
      <c r="I105" s="74" t="s">
        <v>1196</v>
      </c>
      <c r="J105" s="249">
        <v>6.0</v>
      </c>
      <c r="K105" s="74" t="s">
        <v>1280</v>
      </c>
      <c r="L105" s="74">
        <v>944794.0</v>
      </c>
      <c r="M105" s="74" t="s">
        <v>521</v>
      </c>
      <c r="N105" s="74">
        <f t="shared" si="1"/>
        <v>5668764</v>
      </c>
      <c r="O105" s="60">
        <f t="shared" si="2"/>
        <v>45766</v>
      </c>
      <c r="P105" s="65" t="str">
        <f>VLOOKUP(I105,DATABASE!C:Q,11,FALSE)</f>
        <v>Tire</v>
      </c>
      <c r="Q105" s="65" t="str">
        <f>VLOOKUP(I105,DATABASE!C:Q,4,FALSE)</f>
        <v>Bridgestone</v>
      </c>
      <c r="R105" s="79"/>
    </row>
    <row r="106" ht="22.5" customHeight="1">
      <c r="A106" s="49"/>
      <c r="C106" s="245">
        <v>45706.0</v>
      </c>
      <c r="D106" s="245">
        <v>45706.0</v>
      </c>
      <c r="E106" s="246" t="s">
        <v>97</v>
      </c>
      <c r="F106" s="247" t="s">
        <v>343</v>
      </c>
      <c r="G106" s="248" t="s">
        <v>1236</v>
      </c>
      <c r="H106" s="93" t="s">
        <v>87</v>
      </c>
      <c r="I106" s="74" t="s">
        <v>1112</v>
      </c>
      <c r="J106" s="249">
        <v>6.0</v>
      </c>
      <c r="K106" s="74" t="s">
        <v>1284</v>
      </c>
      <c r="L106" s="74">
        <v>990539.0</v>
      </c>
      <c r="M106" s="74" t="s">
        <v>521</v>
      </c>
      <c r="N106" s="74">
        <f t="shared" si="1"/>
        <v>5943234</v>
      </c>
      <c r="O106" s="60">
        <f t="shared" si="2"/>
        <v>45766</v>
      </c>
      <c r="P106" s="65" t="str">
        <f>VLOOKUP(I106,DATABASE!C:Q,11,FALSE)</f>
        <v>Tire</v>
      </c>
      <c r="Q106" s="65" t="str">
        <f>VLOOKUP(I106,DATABASE!C:Q,4,FALSE)</f>
        <v>Bridgestone</v>
      </c>
      <c r="R106" s="79"/>
    </row>
    <row r="107" ht="22.5" customHeight="1">
      <c r="A107" s="49"/>
      <c r="C107" s="245">
        <v>45707.0</v>
      </c>
      <c r="D107" s="245">
        <v>45707.0</v>
      </c>
      <c r="E107" s="93" t="s">
        <v>81</v>
      </c>
      <c r="F107" s="247" t="s">
        <v>343</v>
      </c>
      <c r="G107" s="248" t="s">
        <v>1292</v>
      </c>
      <c r="H107" s="93" t="s">
        <v>87</v>
      </c>
      <c r="I107" s="74" t="s">
        <v>282</v>
      </c>
      <c r="J107" s="249">
        <v>3.0</v>
      </c>
      <c r="K107" s="74" t="s">
        <v>1044</v>
      </c>
      <c r="L107" s="74">
        <v>745000.0</v>
      </c>
      <c r="M107" s="74" t="s">
        <v>657</v>
      </c>
      <c r="N107" s="74">
        <f t="shared" si="1"/>
        <v>2235000</v>
      </c>
      <c r="O107" s="60">
        <f t="shared" si="2"/>
        <v>45782</v>
      </c>
      <c r="P107" s="65" t="str">
        <f>VLOOKUP(I107,DATABASE!C:Q,11,FALSE)</f>
        <v>Tire</v>
      </c>
      <c r="Q107" s="65" t="str">
        <f>VLOOKUP(I107,DATABASE!C:Q,4,FALSE)</f>
        <v>Dunlop</v>
      </c>
      <c r="R107" s="79"/>
    </row>
    <row r="108" ht="22.5" customHeight="1">
      <c r="A108" s="49"/>
      <c r="C108" s="245">
        <v>45708.0</v>
      </c>
      <c r="D108" s="245">
        <v>45708.0</v>
      </c>
      <c r="E108" s="93" t="s">
        <v>81</v>
      </c>
      <c r="F108" s="247" t="s">
        <v>343</v>
      </c>
      <c r="G108" s="248" t="s">
        <v>1297</v>
      </c>
      <c r="H108" s="93" t="s">
        <v>87</v>
      </c>
      <c r="I108" s="74" t="s">
        <v>1301</v>
      </c>
      <c r="J108" s="249">
        <v>3.0</v>
      </c>
      <c r="K108" s="74" t="s">
        <v>1302</v>
      </c>
      <c r="L108" s="74">
        <v>1170000.0</v>
      </c>
      <c r="M108" s="74" t="s">
        <v>1023</v>
      </c>
      <c r="N108" s="74">
        <f t="shared" si="1"/>
        <v>3510000</v>
      </c>
      <c r="O108" s="60" t="str">
        <f t="shared" si="2"/>
        <v>LUNAS</v>
      </c>
      <c r="P108" s="65" t="str">
        <f>VLOOKUP(I108,DATABASE!C:Q,11,FALSE)</f>
        <v>Tire</v>
      </c>
      <c r="Q108" s="65" t="str">
        <f>VLOOKUP(I108,DATABASE!C:Q,4,FALSE)</f>
        <v>Dunlop</v>
      </c>
      <c r="R108" s="79"/>
    </row>
    <row r="109" ht="22.5" customHeight="1">
      <c r="A109" s="49"/>
      <c r="C109" s="245">
        <v>45709.0</v>
      </c>
      <c r="D109" s="245">
        <v>45709.0</v>
      </c>
      <c r="E109" s="93" t="s">
        <v>335</v>
      </c>
      <c r="F109" s="247" t="s">
        <v>343</v>
      </c>
      <c r="G109" s="248" t="s">
        <v>1310</v>
      </c>
      <c r="H109" s="266" t="s">
        <v>7</v>
      </c>
      <c r="I109" s="267" t="s">
        <v>374</v>
      </c>
      <c r="J109" s="249">
        <v>28.0</v>
      </c>
      <c r="K109" s="74" t="s">
        <v>1215</v>
      </c>
      <c r="L109" s="74">
        <v>1620000.0</v>
      </c>
      <c r="M109" s="74" t="s">
        <v>521</v>
      </c>
      <c r="N109" s="74">
        <f t="shared" si="1"/>
        <v>45360000</v>
      </c>
      <c r="O109" s="60">
        <f t="shared" si="2"/>
        <v>45769</v>
      </c>
      <c r="P109" s="65" t="str">
        <f>VLOOKUP(I109,DATABASE!C:Q,11,FALSE)</f>
        <v>Tire</v>
      </c>
      <c r="Q109" s="65" t="str">
        <f>VLOOKUP(I109,DATABASE!C:Q,4,FALSE)</f>
        <v>Advance</v>
      </c>
      <c r="R109" s="79"/>
    </row>
    <row r="110" ht="22.5" customHeight="1">
      <c r="A110" s="49"/>
      <c r="C110" s="245">
        <v>45710.0</v>
      </c>
      <c r="D110" s="245">
        <v>45710.0</v>
      </c>
      <c r="E110" s="93" t="s">
        <v>110</v>
      </c>
      <c r="F110" s="247" t="s">
        <v>343</v>
      </c>
      <c r="G110" s="248" t="s">
        <v>1071</v>
      </c>
      <c r="H110" s="93" t="s">
        <v>7</v>
      </c>
      <c r="I110" s="74" t="s">
        <v>836</v>
      </c>
      <c r="J110" s="249">
        <v>5.0</v>
      </c>
      <c r="K110" s="74" t="s">
        <v>1316</v>
      </c>
      <c r="L110" s="74">
        <v>347480.0</v>
      </c>
      <c r="M110" s="74" t="s">
        <v>755</v>
      </c>
      <c r="N110" s="74">
        <f t="shared" si="1"/>
        <v>1737400</v>
      </c>
      <c r="O110" s="60">
        <f t="shared" si="2"/>
        <v>45740</v>
      </c>
      <c r="P110" s="65" t="str">
        <f>VLOOKUP(I110,DATABASE!C:Q,11,FALSE)</f>
        <v>Tire</v>
      </c>
      <c r="Q110" s="65" t="str">
        <f>VLOOKUP(I110,DATABASE!C:Q,4,FALSE)</f>
        <v>BD</v>
      </c>
      <c r="R110" s="79"/>
    </row>
    <row r="111" ht="22.5" customHeight="1">
      <c r="A111" s="49"/>
      <c r="C111" s="245">
        <v>45710.0</v>
      </c>
      <c r="D111" s="245">
        <v>45710.0</v>
      </c>
      <c r="E111" s="93" t="s">
        <v>110</v>
      </c>
      <c r="F111" s="247" t="s">
        <v>343</v>
      </c>
      <c r="G111" s="248" t="s">
        <v>1071</v>
      </c>
      <c r="H111" s="93" t="s">
        <v>7</v>
      </c>
      <c r="I111" s="74" t="s">
        <v>744</v>
      </c>
      <c r="J111" s="249">
        <v>10.0</v>
      </c>
      <c r="K111" s="74" t="s">
        <v>754</v>
      </c>
      <c r="L111" s="74">
        <v>199920.0</v>
      </c>
      <c r="M111" s="74" t="s">
        <v>755</v>
      </c>
      <c r="N111" s="74">
        <f t="shared" si="1"/>
        <v>1999200</v>
      </c>
      <c r="O111" s="60">
        <f t="shared" si="2"/>
        <v>45740</v>
      </c>
      <c r="P111" s="65" t="str">
        <f>VLOOKUP(I111,DATABASE!C:Q,11,FALSE)</f>
        <v>Tire</v>
      </c>
      <c r="Q111" s="65" t="str">
        <f>VLOOKUP(I111,DATABASE!C:Q,4,FALSE)</f>
        <v>BD</v>
      </c>
      <c r="R111" s="79"/>
    </row>
    <row r="112" ht="22.5" customHeight="1">
      <c r="A112" s="49"/>
      <c r="C112" s="245">
        <v>45710.0</v>
      </c>
      <c r="D112" s="245">
        <v>45710.0</v>
      </c>
      <c r="E112" s="93" t="s">
        <v>110</v>
      </c>
      <c r="F112" s="247" t="s">
        <v>343</v>
      </c>
      <c r="G112" s="248" t="s">
        <v>1071</v>
      </c>
      <c r="H112" s="93" t="s">
        <v>7</v>
      </c>
      <c r="I112" s="74" t="s">
        <v>286</v>
      </c>
      <c r="J112" s="249">
        <v>6.0</v>
      </c>
      <c r="K112" s="74" t="s">
        <v>1014</v>
      </c>
      <c r="L112" s="74">
        <v>445800.0</v>
      </c>
      <c r="M112" s="74" t="s">
        <v>755</v>
      </c>
      <c r="N112" s="74">
        <f t="shared" si="1"/>
        <v>2674800</v>
      </c>
      <c r="O112" s="60">
        <f t="shared" si="2"/>
        <v>45740</v>
      </c>
      <c r="P112" s="65" t="str">
        <f>VLOOKUP(I112,DATABASE!C:Q,11,FALSE)</f>
        <v>Tire</v>
      </c>
      <c r="Q112" s="65" t="str">
        <f>VLOOKUP(I112,DATABASE!C:Q,4,FALSE)</f>
        <v>GT</v>
      </c>
      <c r="R112" s="79"/>
    </row>
    <row r="113" ht="22.5" customHeight="1">
      <c r="A113" s="49"/>
      <c r="C113" s="245">
        <v>45712.0</v>
      </c>
      <c r="D113" s="245">
        <v>45712.0</v>
      </c>
      <c r="E113" s="65" t="s">
        <v>123</v>
      </c>
      <c r="F113" s="247" t="s">
        <v>343</v>
      </c>
      <c r="G113" s="248" t="s">
        <v>1332</v>
      </c>
      <c r="H113" s="93" t="s">
        <v>7</v>
      </c>
      <c r="I113" s="93" t="s">
        <v>836</v>
      </c>
      <c r="J113" s="249">
        <v>5.0</v>
      </c>
      <c r="K113" s="74" t="s">
        <v>1334</v>
      </c>
      <c r="L113" s="74">
        <v>347500.0</v>
      </c>
      <c r="M113" s="74" t="s">
        <v>755</v>
      </c>
      <c r="N113" s="74">
        <f t="shared" si="1"/>
        <v>1737500</v>
      </c>
      <c r="O113" s="60">
        <f t="shared" si="2"/>
        <v>45742</v>
      </c>
      <c r="P113" s="65" t="str">
        <f>VLOOKUP(I113,DATABASE!C:Q,11,FALSE)</f>
        <v>Tire</v>
      </c>
      <c r="Q113" s="65" t="str">
        <f>VLOOKUP(I113,DATABASE!C:Q,4,FALSE)</f>
        <v>BD</v>
      </c>
      <c r="R113" s="79"/>
    </row>
    <row r="114" ht="22.5" customHeight="1">
      <c r="A114" s="49"/>
      <c r="C114" s="245">
        <v>45712.0</v>
      </c>
      <c r="D114" s="245">
        <v>45712.0</v>
      </c>
      <c r="E114" s="246" t="s">
        <v>97</v>
      </c>
      <c r="F114" s="247" t="s">
        <v>343</v>
      </c>
      <c r="G114" s="248" t="s">
        <v>1339</v>
      </c>
      <c r="H114" s="93" t="s">
        <v>87</v>
      </c>
      <c r="I114" s="74" t="s">
        <v>1324</v>
      </c>
      <c r="J114" s="249">
        <v>1.0</v>
      </c>
      <c r="K114" s="74" t="s">
        <v>1341</v>
      </c>
      <c r="L114" s="74">
        <v>2665000.0</v>
      </c>
      <c r="M114" s="74" t="s">
        <v>521</v>
      </c>
      <c r="N114" s="74">
        <f t="shared" si="1"/>
        <v>2665000</v>
      </c>
      <c r="O114" s="60">
        <f t="shared" si="2"/>
        <v>45772</v>
      </c>
      <c r="P114" s="65" t="str">
        <f>VLOOKUP(I114,DATABASE!C:Q,11,FALSE)</f>
        <v>Tire</v>
      </c>
      <c r="Q114" s="65" t="str">
        <f>VLOOKUP(I114,DATABASE!C:Q,4,FALSE)</f>
        <v>Bridgestone</v>
      </c>
      <c r="R114" s="79"/>
    </row>
    <row r="115" ht="22.5" customHeight="1">
      <c r="A115" s="49"/>
      <c r="C115" s="245">
        <v>45712.0</v>
      </c>
      <c r="D115" s="245">
        <v>45712.0</v>
      </c>
      <c r="E115" s="246" t="s">
        <v>97</v>
      </c>
      <c r="F115" s="247" t="s">
        <v>343</v>
      </c>
      <c r="G115" s="248" t="s">
        <v>1339</v>
      </c>
      <c r="H115" s="93" t="s">
        <v>87</v>
      </c>
      <c r="I115" s="74" t="s">
        <v>846</v>
      </c>
      <c r="J115" s="249">
        <v>1.0</v>
      </c>
      <c r="K115" s="74" t="s">
        <v>1350</v>
      </c>
      <c r="L115" s="74">
        <v>510000.0</v>
      </c>
      <c r="M115" s="74" t="s">
        <v>521</v>
      </c>
      <c r="N115" s="74">
        <f t="shared" si="1"/>
        <v>510000</v>
      </c>
      <c r="O115" s="60">
        <f t="shared" si="2"/>
        <v>45772</v>
      </c>
      <c r="P115" s="65" t="str">
        <f>VLOOKUP(I115,DATABASE!C:Q,11,FALSE)</f>
        <v>Tire</v>
      </c>
      <c r="Q115" s="65" t="str">
        <f>VLOOKUP(I115,DATABASE!C:Q,4,FALSE)</f>
        <v>BD</v>
      </c>
      <c r="R115" s="79"/>
    </row>
    <row r="116" ht="22.5" customHeight="1">
      <c r="A116" s="49"/>
      <c r="C116" s="245">
        <v>45713.0</v>
      </c>
      <c r="D116" s="245">
        <v>45713.0</v>
      </c>
      <c r="E116" s="93" t="s">
        <v>81</v>
      </c>
      <c r="F116" s="247" t="s">
        <v>343</v>
      </c>
      <c r="G116" s="248" t="s">
        <v>1356</v>
      </c>
      <c r="H116" s="93" t="s">
        <v>87</v>
      </c>
      <c r="I116" s="74" t="s">
        <v>268</v>
      </c>
      <c r="J116" s="249">
        <v>4.0</v>
      </c>
      <c r="K116" s="74">
        <v>613000.0</v>
      </c>
      <c r="L116" s="74">
        <v>613000.0</v>
      </c>
      <c r="M116" s="74" t="s">
        <v>657</v>
      </c>
      <c r="N116" s="74">
        <f t="shared" si="1"/>
        <v>2452000</v>
      </c>
      <c r="O116" s="60">
        <f t="shared" si="2"/>
        <v>45788</v>
      </c>
      <c r="P116" s="65" t="str">
        <f>VLOOKUP(I116,DATABASE!C:Q,11,FALSE)</f>
        <v>Tire</v>
      </c>
      <c r="Q116" s="65" t="str">
        <f>VLOOKUP(I116,DATABASE!C:Q,4,FALSE)</f>
        <v>Dunlop</v>
      </c>
      <c r="R116" s="79"/>
    </row>
    <row r="117" ht="22.5" customHeight="1">
      <c r="A117" s="49"/>
      <c r="C117" s="245">
        <v>45714.0</v>
      </c>
      <c r="D117" s="245">
        <v>45714.0</v>
      </c>
      <c r="E117" s="93" t="s">
        <v>81</v>
      </c>
      <c r="F117" s="247" t="s">
        <v>343</v>
      </c>
      <c r="G117" s="248" t="s">
        <v>1360</v>
      </c>
      <c r="H117" s="93" t="s">
        <v>87</v>
      </c>
      <c r="I117" s="74" t="s">
        <v>1361</v>
      </c>
      <c r="J117" s="249">
        <v>4.0</v>
      </c>
      <c r="K117" s="74" t="s">
        <v>1363</v>
      </c>
      <c r="L117" s="74">
        <v>794000.0</v>
      </c>
      <c r="M117" s="74" t="s">
        <v>657</v>
      </c>
      <c r="N117" s="74">
        <f t="shared" si="1"/>
        <v>3176000</v>
      </c>
      <c r="O117" s="60">
        <f t="shared" si="2"/>
        <v>45789</v>
      </c>
      <c r="P117" s="65" t="str">
        <f>VLOOKUP(I117,DATABASE!C:Q,11,FALSE)</f>
        <v>Tire</v>
      </c>
      <c r="Q117" s="65" t="str">
        <f>VLOOKUP(I117,DATABASE!C:Q,4,FALSE)</f>
        <v>Dunlop</v>
      </c>
      <c r="R117" s="79"/>
    </row>
    <row r="118" ht="22.5" customHeight="1">
      <c r="A118" s="49"/>
      <c r="C118" s="245">
        <v>45714.0</v>
      </c>
      <c r="D118" s="245">
        <v>45714.0</v>
      </c>
      <c r="E118" s="93" t="s">
        <v>81</v>
      </c>
      <c r="F118" s="247" t="s">
        <v>343</v>
      </c>
      <c r="G118" s="248" t="s">
        <v>1360</v>
      </c>
      <c r="H118" s="93" t="s">
        <v>87</v>
      </c>
      <c r="I118" s="74" t="s">
        <v>271</v>
      </c>
      <c r="J118" s="249">
        <v>10.0</v>
      </c>
      <c r="K118" s="74" t="s">
        <v>1368</v>
      </c>
      <c r="L118" s="74">
        <v>519500.0</v>
      </c>
      <c r="M118" s="74" t="s">
        <v>657</v>
      </c>
      <c r="N118" s="74">
        <f t="shared" si="1"/>
        <v>5195000</v>
      </c>
      <c r="O118" s="60">
        <f t="shared" si="2"/>
        <v>45789</v>
      </c>
      <c r="P118" s="65" t="str">
        <f>VLOOKUP(I118,DATABASE!C:Q,11,FALSE)</f>
        <v>Tire</v>
      </c>
      <c r="Q118" s="65" t="str">
        <f>VLOOKUP(I118,DATABASE!C:Q,4,FALSE)</f>
        <v>Dunlop</v>
      </c>
      <c r="R118" s="79"/>
    </row>
    <row r="119" ht="22.5" customHeight="1">
      <c r="A119" s="49"/>
      <c r="C119" s="245">
        <v>45714.0</v>
      </c>
      <c r="D119" s="245">
        <v>45714.0</v>
      </c>
      <c r="E119" s="93" t="s">
        <v>81</v>
      </c>
      <c r="F119" s="247" t="s">
        <v>343</v>
      </c>
      <c r="G119" s="248" t="s">
        <v>1360</v>
      </c>
      <c r="H119" s="93" t="s">
        <v>87</v>
      </c>
      <c r="I119" s="74" t="s">
        <v>1372</v>
      </c>
      <c r="J119" s="249">
        <v>3.0</v>
      </c>
      <c r="K119" s="74" t="s">
        <v>1373</v>
      </c>
      <c r="L119" s="74">
        <v>985000.0</v>
      </c>
      <c r="M119" s="74" t="s">
        <v>657</v>
      </c>
      <c r="N119" s="74">
        <f t="shared" si="1"/>
        <v>2955000</v>
      </c>
      <c r="O119" s="60">
        <f t="shared" si="2"/>
        <v>45789</v>
      </c>
      <c r="P119" s="65" t="str">
        <f>VLOOKUP(I119,DATABASE!C:Q,11,FALSE)</f>
        <v>Tire</v>
      </c>
      <c r="Q119" s="65" t="str">
        <f>VLOOKUP(I119,DATABASE!C:Q,4,FALSE)</f>
        <v>Dunlop</v>
      </c>
      <c r="R119" s="79"/>
    </row>
    <row r="120" ht="22.5" customHeight="1">
      <c r="A120" s="49"/>
      <c r="C120" s="245">
        <v>45714.0</v>
      </c>
      <c r="D120" s="245">
        <v>45714.0</v>
      </c>
      <c r="E120" s="93" t="s">
        <v>81</v>
      </c>
      <c r="F120" s="247" t="s">
        <v>343</v>
      </c>
      <c r="G120" s="248" t="s">
        <v>1360</v>
      </c>
      <c r="H120" s="93" t="s">
        <v>87</v>
      </c>
      <c r="I120" s="74" t="s">
        <v>1377</v>
      </c>
      <c r="J120" s="249">
        <v>2.0</v>
      </c>
      <c r="K120" s="74" t="s">
        <v>1378</v>
      </c>
      <c r="L120" s="74">
        <v>785000.0</v>
      </c>
      <c r="M120" s="74" t="s">
        <v>657</v>
      </c>
      <c r="N120" s="74">
        <f t="shared" si="1"/>
        <v>1570000</v>
      </c>
      <c r="O120" s="60">
        <f t="shared" si="2"/>
        <v>45789</v>
      </c>
      <c r="P120" s="65" t="str">
        <f>VLOOKUP(I120,DATABASE!C:Q,11,FALSE)</f>
        <v>Tire</v>
      </c>
      <c r="Q120" s="65" t="str">
        <f>VLOOKUP(I120,DATABASE!C:Q,4,FALSE)</f>
        <v>Dunlop</v>
      </c>
      <c r="R120" s="79"/>
    </row>
    <row r="121" ht="22.5" customHeight="1">
      <c r="A121" s="49"/>
      <c r="C121" s="245">
        <v>45714.0</v>
      </c>
      <c r="D121" s="245">
        <v>45714.0</v>
      </c>
      <c r="E121" s="93" t="s">
        <v>81</v>
      </c>
      <c r="F121" s="247" t="s">
        <v>343</v>
      </c>
      <c r="G121" s="248" t="s">
        <v>1360</v>
      </c>
      <c r="H121" s="93" t="s">
        <v>87</v>
      </c>
      <c r="I121" s="74" t="s">
        <v>1383</v>
      </c>
      <c r="J121" s="249">
        <v>1.0</v>
      </c>
      <c r="K121" s="74" t="s">
        <v>1386</v>
      </c>
      <c r="L121" s="74">
        <v>765000.0</v>
      </c>
      <c r="M121" s="74" t="s">
        <v>657</v>
      </c>
      <c r="N121" s="74">
        <f t="shared" si="1"/>
        <v>765000</v>
      </c>
      <c r="O121" s="60">
        <f t="shared" si="2"/>
        <v>45789</v>
      </c>
      <c r="P121" s="65" t="str">
        <f>VLOOKUP(I121,DATABASE!C:Q,11,FALSE)</f>
        <v>Tire</v>
      </c>
      <c r="Q121" s="65" t="str">
        <f>VLOOKUP(I121,DATABASE!C:Q,4,FALSE)</f>
        <v>Dunlop</v>
      </c>
      <c r="R121" s="79"/>
    </row>
    <row r="122" ht="22.5" customHeight="1">
      <c r="A122" s="49"/>
      <c r="C122" s="245">
        <v>45714.0</v>
      </c>
      <c r="D122" s="245">
        <v>45714.0</v>
      </c>
      <c r="E122" s="93" t="s">
        <v>81</v>
      </c>
      <c r="F122" s="247" t="s">
        <v>343</v>
      </c>
      <c r="G122" s="248" t="s">
        <v>1360</v>
      </c>
      <c r="H122" s="93" t="s">
        <v>87</v>
      </c>
      <c r="I122" s="74" t="s">
        <v>1389</v>
      </c>
      <c r="J122" s="249">
        <v>2.0</v>
      </c>
      <c r="K122" s="74" t="s">
        <v>1391</v>
      </c>
      <c r="L122" s="74">
        <v>865500.0</v>
      </c>
      <c r="M122" s="74" t="s">
        <v>657</v>
      </c>
      <c r="N122" s="74">
        <f t="shared" si="1"/>
        <v>1731000</v>
      </c>
      <c r="O122" s="60">
        <f t="shared" si="2"/>
        <v>45789</v>
      </c>
      <c r="P122" s="65" t="str">
        <f>VLOOKUP(I122,DATABASE!C:Q,11,FALSE)</f>
        <v>Tire</v>
      </c>
      <c r="Q122" s="65" t="str">
        <f>VLOOKUP(I122,DATABASE!C:Q,4,FALSE)</f>
        <v>Dunlop</v>
      </c>
      <c r="R122" s="79"/>
    </row>
    <row r="123" ht="22.5" customHeight="1">
      <c r="A123" s="49"/>
      <c r="C123" s="245">
        <v>45714.0</v>
      </c>
      <c r="D123" s="245">
        <v>45714.0</v>
      </c>
      <c r="E123" s="93" t="s">
        <v>81</v>
      </c>
      <c r="F123" s="247" t="s">
        <v>343</v>
      </c>
      <c r="G123" s="248" t="s">
        <v>1360</v>
      </c>
      <c r="H123" s="93" t="s">
        <v>87</v>
      </c>
      <c r="I123" s="74" t="s">
        <v>268</v>
      </c>
      <c r="J123" s="249">
        <v>50.0</v>
      </c>
      <c r="K123" s="74" t="s">
        <v>715</v>
      </c>
      <c r="L123" s="74">
        <v>613000.0</v>
      </c>
      <c r="M123" s="74" t="s">
        <v>657</v>
      </c>
      <c r="N123" s="74">
        <f t="shared" si="1"/>
        <v>30650000</v>
      </c>
      <c r="O123" s="60">
        <f t="shared" si="2"/>
        <v>45789</v>
      </c>
      <c r="P123" s="65" t="str">
        <f>VLOOKUP(I123,DATABASE!C:Q,11,FALSE)</f>
        <v>Tire</v>
      </c>
      <c r="Q123" s="65" t="str">
        <f>VLOOKUP(I123,DATABASE!C:Q,4,FALSE)</f>
        <v>Dunlop</v>
      </c>
      <c r="R123" s="79"/>
    </row>
    <row r="124" ht="22.5" customHeight="1">
      <c r="A124" s="49"/>
      <c r="C124" s="245">
        <v>45715.0</v>
      </c>
      <c r="D124" s="245">
        <v>45715.0</v>
      </c>
      <c r="E124" s="65" t="s">
        <v>81</v>
      </c>
      <c r="F124" s="247" t="s">
        <v>343</v>
      </c>
      <c r="G124" s="248" t="s">
        <v>1397</v>
      </c>
      <c r="H124" s="93" t="s">
        <v>87</v>
      </c>
      <c r="I124" s="74" t="s">
        <v>1389</v>
      </c>
      <c r="J124" s="249">
        <v>2.0</v>
      </c>
      <c r="K124" s="74" t="s">
        <v>1391</v>
      </c>
      <c r="L124" s="74">
        <v>865500.0</v>
      </c>
      <c r="M124" s="74" t="s">
        <v>657</v>
      </c>
      <c r="N124" s="74">
        <f t="shared" si="1"/>
        <v>1731000</v>
      </c>
      <c r="O124" s="60">
        <f t="shared" si="2"/>
        <v>45790</v>
      </c>
      <c r="P124" s="65" t="str">
        <f>VLOOKUP(I124,DATABASE!C:Q,11,FALSE)</f>
        <v>Tire</v>
      </c>
      <c r="Q124" s="65" t="str">
        <f>VLOOKUP(I124,DATABASE!C:Q,4,FALSE)</f>
        <v>Dunlop</v>
      </c>
      <c r="R124" s="79"/>
    </row>
    <row r="125" ht="22.5" customHeight="1">
      <c r="A125" s="49"/>
      <c r="C125" s="245">
        <v>45717.0</v>
      </c>
      <c r="D125" s="245">
        <v>45717.0</v>
      </c>
      <c r="E125" s="246" t="s">
        <v>97</v>
      </c>
      <c r="F125" s="247" t="s">
        <v>343</v>
      </c>
      <c r="G125" s="248" t="s">
        <v>1402</v>
      </c>
      <c r="H125" s="93" t="s">
        <v>87</v>
      </c>
      <c r="I125" s="74" t="s">
        <v>1196</v>
      </c>
      <c r="J125" s="249">
        <v>4.0</v>
      </c>
      <c r="K125" s="74" t="s">
        <v>1403</v>
      </c>
      <c r="L125" s="74">
        <v>945190.333</v>
      </c>
      <c r="M125" s="74" t="s">
        <v>521</v>
      </c>
      <c r="N125" s="74">
        <f t="shared" si="1"/>
        <v>3780761.332</v>
      </c>
      <c r="O125" s="60">
        <f t="shared" si="2"/>
        <v>45777</v>
      </c>
      <c r="P125" s="65" t="str">
        <f>VLOOKUP(I125,DATABASE!C:Q,11,FALSE)</f>
        <v>Tire</v>
      </c>
      <c r="Q125" s="65" t="str">
        <f>VLOOKUP(I125,DATABASE!C:Q,4,FALSE)</f>
        <v>Bridgestone</v>
      </c>
      <c r="R125" s="79"/>
    </row>
    <row r="126" ht="22.5" customHeight="1">
      <c r="A126" s="49"/>
      <c r="C126" s="245">
        <v>45719.0</v>
      </c>
      <c r="D126" s="245">
        <v>45719.0</v>
      </c>
      <c r="E126" s="93" t="s">
        <v>123</v>
      </c>
      <c r="F126" s="247" t="s">
        <v>343</v>
      </c>
      <c r="G126" s="248" t="s">
        <v>1408</v>
      </c>
      <c r="H126" s="93" t="s">
        <v>7</v>
      </c>
      <c r="I126" s="74" t="s">
        <v>839</v>
      </c>
      <c r="J126" s="249">
        <v>15.0</v>
      </c>
      <c r="K126" s="74" t="s">
        <v>1411</v>
      </c>
      <c r="L126" s="74">
        <v>475650.0</v>
      </c>
      <c r="M126" s="74" t="s">
        <v>755</v>
      </c>
      <c r="N126" s="74">
        <f t="shared" si="1"/>
        <v>7134750</v>
      </c>
      <c r="O126" s="60">
        <f t="shared" si="2"/>
        <v>45749</v>
      </c>
      <c r="P126" s="65" t="str">
        <f>VLOOKUP(I126,DATABASE!C:Q,11,FALSE)</f>
        <v>Tire</v>
      </c>
      <c r="Q126" s="65" t="str">
        <f>VLOOKUP(I126,DATABASE!C:Q,4,FALSE)</f>
        <v>GT</v>
      </c>
      <c r="R126" s="79"/>
    </row>
    <row r="127" ht="22.5" customHeight="1">
      <c r="A127" s="49"/>
      <c r="C127" s="245">
        <v>45719.0</v>
      </c>
      <c r="D127" s="245">
        <v>45719.0</v>
      </c>
      <c r="E127" s="93" t="s">
        <v>123</v>
      </c>
      <c r="F127" s="247" t="s">
        <v>343</v>
      </c>
      <c r="G127" s="248" t="s">
        <v>1408</v>
      </c>
      <c r="H127" s="93" t="s">
        <v>7</v>
      </c>
      <c r="I127" s="74" t="s">
        <v>1009</v>
      </c>
      <c r="J127" s="249">
        <v>14.0</v>
      </c>
      <c r="K127" s="74" t="s">
        <v>1414</v>
      </c>
      <c r="L127" s="74">
        <v>592200.0</v>
      </c>
      <c r="M127" s="74" t="s">
        <v>755</v>
      </c>
      <c r="N127" s="74">
        <f t="shared" si="1"/>
        <v>8290800</v>
      </c>
      <c r="O127" s="60">
        <f t="shared" si="2"/>
        <v>45749</v>
      </c>
      <c r="P127" s="65" t="str">
        <f>VLOOKUP(I127,DATABASE!C:Q,11,FALSE)</f>
        <v>Tire</v>
      </c>
      <c r="Q127" s="65" t="str">
        <f>VLOOKUP(I127,DATABASE!C:Q,4,FALSE)</f>
        <v>GT</v>
      </c>
      <c r="R127" s="79"/>
    </row>
    <row r="128" ht="22.5" customHeight="1">
      <c r="A128" s="49"/>
      <c r="C128" s="245">
        <v>45719.0</v>
      </c>
      <c r="D128" s="245">
        <v>45719.0</v>
      </c>
      <c r="E128" s="93" t="s">
        <v>123</v>
      </c>
      <c r="F128" s="247" t="s">
        <v>343</v>
      </c>
      <c r="G128" s="248" t="s">
        <v>1408</v>
      </c>
      <c r="H128" s="93" t="s">
        <v>7</v>
      </c>
      <c r="I128" s="74" t="s">
        <v>290</v>
      </c>
      <c r="J128" s="249">
        <v>10.0</v>
      </c>
      <c r="K128" s="74" t="s">
        <v>1417</v>
      </c>
      <c r="L128" s="74">
        <v>609800.0</v>
      </c>
      <c r="M128" s="74" t="s">
        <v>755</v>
      </c>
      <c r="N128" s="74">
        <f t="shared" si="1"/>
        <v>6098000</v>
      </c>
      <c r="O128" s="60">
        <f t="shared" si="2"/>
        <v>45749</v>
      </c>
      <c r="P128" s="65" t="str">
        <f>VLOOKUP(I128,DATABASE!C:Q,11,FALSE)</f>
        <v>Tire</v>
      </c>
      <c r="Q128" s="65" t="str">
        <f>VLOOKUP(I128,DATABASE!C:Q,4,FALSE)</f>
        <v>GT</v>
      </c>
      <c r="R128" s="79"/>
    </row>
    <row r="129" ht="22.5" customHeight="1">
      <c r="A129" s="49"/>
      <c r="C129" s="245">
        <v>45719.0</v>
      </c>
      <c r="D129" s="245">
        <v>45719.0</v>
      </c>
      <c r="E129" s="93" t="s">
        <v>123</v>
      </c>
      <c r="F129" s="247" t="s">
        <v>343</v>
      </c>
      <c r="G129" s="248" t="s">
        <v>1408</v>
      </c>
      <c r="H129" s="93" t="s">
        <v>7</v>
      </c>
      <c r="I129" s="74" t="s">
        <v>1076</v>
      </c>
      <c r="J129" s="249">
        <v>4.0</v>
      </c>
      <c r="K129" s="74" t="s">
        <v>1422</v>
      </c>
      <c r="L129" s="74">
        <v>666500.0</v>
      </c>
      <c r="M129" s="74" t="s">
        <v>755</v>
      </c>
      <c r="N129" s="74">
        <f t="shared" si="1"/>
        <v>2666000</v>
      </c>
      <c r="O129" s="60">
        <f t="shared" si="2"/>
        <v>45749</v>
      </c>
      <c r="P129" s="65" t="str">
        <f>VLOOKUP(I129,DATABASE!C:Q,11,FALSE)</f>
        <v>Tire</v>
      </c>
      <c r="Q129" s="65" t="str">
        <f>VLOOKUP(I129,DATABASE!C:Q,4,FALSE)</f>
        <v>GT</v>
      </c>
      <c r="R129" s="79"/>
    </row>
    <row r="130" ht="22.5" customHeight="1">
      <c r="A130" s="49"/>
      <c r="C130" s="245">
        <v>45719.0</v>
      </c>
      <c r="D130" s="245">
        <v>45719.0</v>
      </c>
      <c r="E130" s="93" t="s">
        <v>123</v>
      </c>
      <c r="F130" s="247" t="s">
        <v>343</v>
      </c>
      <c r="G130" s="248" t="s">
        <v>1408</v>
      </c>
      <c r="H130" s="93" t="s">
        <v>7</v>
      </c>
      <c r="I130" s="74" t="s">
        <v>1424</v>
      </c>
      <c r="J130" s="249">
        <v>3.0</v>
      </c>
      <c r="K130" s="74" t="s">
        <v>1425</v>
      </c>
      <c r="L130" s="74">
        <v>671590.0</v>
      </c>
      <c r="M130" s="74" t="s">
        <v>755</v>
      </c>
      <c r="N130" s="74">
        <f t="shared" si="1"/>
        <v>2014770</v>
      </c>
      <c r="O130" s="60">
        <f t="shared" si="2"/>
        <v>45749</v>
      </c>
      <c r="P130" s="65" t="str">
        <f>VLOOKUP(I130,DATABASE!C:Q,11,FALSE)</f>
        <v>Tire</v>
      </c>
      <c r="Q130" s="65" t="str">
        <f>VLOOKUP(I130,DATABASE!C:Q,4,FALSE)</f>
        <v>GT</v>
      </c>
      <c r="R130" s="79"/>
    </row>
    <row r="131" ht="22.5" customHeight="1">
      <c r="A131" s="49"/>
      <c r="C131" s="245">
        <v>45719.0</v>
      </c>
      <c r="D131" s="245">
        <v>45719.0</v>
      </c>
      <c r="E131" s="93" t="s">
        <v>123</v>
      </c>
      <c r="F131" s="247" t="s">
        <v>343</v>
      </c>
      <c r="G131" s="248" t="s">
        <v>1408</v>
      </c>
      <c r="H131" s="93" t="s">
        <v>7</v>
      </c>
      <c r="I131" s="74" t="s">
        <v>847</v>
      </c>
      <c r="J131" s="249">
        <v>4.0</v>
      </c>
      <c r="K131" s="74" t="s">
        <v>1428</v>
      </c>
      <c r="L131" s="74">
        <v>672230.0</v>
      </c>
      <c r="M131" s="74" t="s">
        <v>755</v>
      </c>
      <c r="N131" s="74">
        <f t="shared" si="1"/>
        <v>2688920</v>
      </c>
      <c r="O131" s="60">
        <f t="shared" si="2"/>
        <v>45749</v>
      </c>
      <c r="P131" s="65" t="str">
        <f>VLOOKUP(I131,DATABASE!C:Q,11,FALSE)</f>
        <v>Tire</v>
      </c>
      <c r="Q131" s="65" t="str">
        <f>VLOOKUP(I131,DATABASE!C:Q,4,FALSE)</f>
        <v>GT</v>
      </c>
      <c r="R131" s="79"/>
    </row>
    <row r="132" ht="22.5" customHeight="1">
      <c r="A132" s="49"/>
      <c r="C132" s="245">
        <v>45719.0</v>
      </c>
      <c r="D132" s="245">
        <v>45719.0</v>
      </c>
      <c r="E132" s="65" t="s">
        <v>123</v>
      </c>
      <c r="F132" s="247" t="s">
        <v>343</v>
      </c>
      <c r="G132" s="248" t="s">
        <v>1408</v>
      </c>
      <c r="H132" s="93" t="s">
        <v>7</v>
      </c>
      <c r="I132" s="74" t="s">
        <v>1430</v>
      </c>
      <c r="J132" s="249">
        <v>4.0</v>
      </c>
      <c r="K132" s="74" t="s">
        <v>1431</v>
      </c>
      <c r="L132" s="74">
        <v>659620.0</v>
      </c>
      <c r="M132" s="74" t="s">
        <v>755</v>
      </c>
      <c r="N132" s="74">
        <f t="shared" si="1"/>
        <v>2638480</v>
      </c>
      <c r="O132" s="60">
        <f t="shared" si="2"/>
        <v>45749</v>
      </c>
      <c r="P132" s="65" t="str">
        <f>VLOOKUP(I132,DATABASE!C:Q,11,FALSE)</f>
        <v>Tire</v>
      </c>
      <c r="Q132" s="65" t="str">
        <f>VLOOKUP(I132,DATABASE!C:Q,4,FALSE)</f>
        <v>GT</v>
      </c>
      <c r="R132" s="79"/>
    </row>
    <row r="133" ht="22.5" customHeight="1">
      <c r="A133" s="49"/>
      <c r="C133" s="245">
        <v>45719.0</v>
      </c>
      <c r="D133" s="245">
        <v>45719.0</v>
      </c>
      <c r="E133" s="93" t="s">
        <v>123</v>
      </c>
      <c r="F133" s="247" t="s">
        <v>343</v>
      </c>
      <c r="G133" s="248" t="s">
        <v>1408</v>
      </c>
      <c r="H133" s="93" t="s">
        <v>7</v>
      </c>
      <c r="I133" s="74" t="s">
        <v>1434</v>
      </c>
      <c r="J133" s="249">
        <v>6.0</v>
      </c>
      <c r="K133" s="74" t="s">
        <v>1435</v>
      </c>
      <c r="L133" s="74">
        <v>904050.0</v>
      </c>
      <c r="M133" s="74" t="s">
        <v>755</v>
      </c>
      <c r="N133" s="74">
        <f t="shared" si="1"/>
        <v>5424300</v>
      </c>
      <c r="O133" s="60">
        <f t="shared" si="2"/>
        <v>45749</v>
      </c>
      <c r="P133" s="65" t="str">
        <f>VLOOKUP(I133,DATABASE!C:Q,11,FALSE)</f>
        <v>Tire</v>
      </c>
      <c r="Q133" s="65" t="str">
        <f>VLOOKUP(I133,DATABASE!C:Q,4,FALSE)</f>
        <v>GT</v>
      </c>
      <c r="R133" s="79"/>
    </row>
    <row r="134" ht="22.5" customHeight="1">
      <c r="A134" s="49"/>
      <c r="C134" s="245">
        <v>45719.0</v>
      </c>
      <c r="D134" s="245">
        <v>45719.0</v>
      </c>
      <c r="E134" s="93" t="s">
        <v>123</v>
      </c>
      <c r="F134" s="247" t="s">
        <v>343</v>
      </c>
      <c r="G134" s="248" t="s">
        <v>1408</v>
      </c>
      <c r="H134" s="93" t="s">
        <v>7</v>
      </c>
      <c r="I134" s="74" t="s">
        <v>1439</v>
      </c>
      <c r="J134" s="249">
        <v>10.0</v>
      </c>
      <c r="K134" s="74" t="s">
        <v>1441</v>
      </c>
      <c r="L134" s="74">
        <v>540800.0</v>
      </c>
      <c r="M134" s="74" t="s">
        <v>755</v>
      </c>
      <c r="N134" s="74">
        <f t="shared" si="1"/>
        <v>5408000</v>
      </c>
      <c r="O134" s="60">
        <f t="shared" si="2"/>
        <v>45749</v>
      </c>
      <c r="P134" s="65" t="str">
        <f>VLOOKUP(I134,DATABASE!C:Q,11,FALSE)</f>
        <v>Tire</v>
      </c>
      <c r="Q134" s="65" t="str">
        <f>VLOOKUP(I134,DATABASE!C:Q,4,FALSE)</f>
        <v>GT</v>
      </c>
      <c r="R134" s="79"/>
    </row>
    <row r="135" ht="22.5" customHeight="1">
      <c r="A135" s="49"/>
      <c r="C135" s="245">
        <v>45719.0</v>
      </c>
      <c r="D135" s="245">
        <v>45719.0</v>
      </c>
      <c r="E135" s="93" t="s">
        <v>123</v>
      </c>
      <c r="F135" s="247" t="s">
        <v>343</v>
      </c>
      <c r="G135" s="248" t="s">
        <v>1408</v>
      </c>
      <c r="H135" s="93" t="s">
        <v>7</v>
      </c>
      <c r="I135" s="74" t="s">
        <v>856</v>
      </c>
      <c r="J135" s="249">
        <v>10.0</v>
      </c>
      <c r="K135" s="74" t="s">
        <v>857</v>
      </c>
      <c r="L135" s="74">
        <v>581100.0</v>
      </c>
      <c r="M135" s="74" t="s">
        <v>755</v>
      </c>
      <c r="N135" s="74">
        <f t="shared" si="1"/>
        <v>5811000</v>
      </c>
      <c r="O135" s="60">
        <f t="shared" si="2"/>
        <v>45749</v>
      </c>
      <c r="P135" s="65" t="str">
        <f>VLOOKUP(I135,DATABASE!C:Q,11,FALSE)</f>
        <v>Tire</v>
      </c>
      <c r="Q135" s="65" t="str">
        <f>VLOOKUP(I135,DATABASE!C:Q,4,FALSE)</f>
        <v>GT</v>
      </c>
      <c r="R135" s="79"/>
    </row>
    <row r="136" ht="22.5" customHeight="1">
      <c r="A136" s="49"/>
      <c r="C136" s="245">
        <v>45719.0</v>
      </c>
      <c r="D136" s="245">
        <v>45719.0</v>
      </c>
      <c r="E136" s="93" t="s">
        <v>123</v>
      </c>
      <c r="F136" s="247" t="s">
        <v>343</v>
      </c>
      <c r="G136" s="248" t="s">
        <v>1408</v>
      </c>
      <c r="H136" s="93" t="s">
        <v>7</v>
      </c>
      <c r="I136" s="74" t="s">
        <v>287</v>
      </c>
      <c r="J136" s="249">
        <v>8.0</v>
      </c>
      <c r="K136" s="74" t="s">
        <v>1453</v>
      </c>
      <c r="L136" s="74">
        <v>690560.0</v>
      </c>
      <c r="M136" s="74" t="s">
        <v>755</v>
      </c>
      <c r="N136" s="74">
        <f t="shared" si="1"/>
        <v>5524480</v>
      </c>
      <c r="O136" s="60">
        <f t="shared" si="2"/>
        <v>45749</v>
      </c>
      <c r="P136" s="65" t="str">
        <f>VLOOKUP(I136,DATABASE!C:Q,11,FALSE)</f>
        <v>Tire</v>
      </c>
      <c r="Q136" s="65" t="str">
        <f>VLOOKUP(I136,DATABASE!C:Q,4,FALSE)</f>
        <v>GT</v>
      </c>
      <c r="R136" s="79"/>
    </row>
    <row r="137" ht="22.5" customHeight="1">
      <c r="A137" s="49"/>
      <c r="C137" s="245">
        <v>45719.0</v>
      </c>
      <c r="D137" s="245">
        <v>45719.0</v>
      </c>
      <c r="E137" s="93" t="s">
        <v>123</v>
      </c>
      <c r="F137" s="247" t="s">
        <v>343</v>
      </c>
      <c r="G137" s="248" t="s">
        <v>1408</v>
      </c>
      <c r="H137" s="93" t="s">
        <v>7</v>
      </c>
      <c r="I137" s="74" t="s">
        <v>250</v>
      </c>
      <c r="J137" s="249">
        <v>25.0</v>
      </c>
      <c r="K137" s="74" t="s">
        <v>771</v>
      </c>
      <c r="L137" s="74">
        <v>102000.0</v>
      </c>
      <c r="M137" s="74" t="s">
        <v>755</v>
      </c>
      <c r="N137" s="74">
        <f t="shared" si="1"/>
        <v>2550000</v>
      </c>
      <c r="O137" s="60">
        <f t="shared" si="2"/>
        <v>45749</v>
      </c>
      <c r="P137" s="65" t="str">
        <f>VLOOKUP(I137,DATABASE!C:Q,11,FALSE)</f>
        <v>Tire</v>
      </c>
      <c r="Q137" s="65" t="str">
        <f>VLOOKUP(I137,DATABASE!C:Q,4,FALSE)</f>
        <v>BD</v>
      </c>
      <c r="R137" s="79"/>
    </row>
    <row r="138" ht="22.5" customHeight="1">
      <c r="A138" s="49"/>
      <c r="C138" s="245">
        <v>45719.0</v>
      </c>
      <c r="D138" s="245">
        <v>45719.0</v>
      </c>
      <c r="E138" s="93" t="s">
        <v>123</v>
      </c>
      <c r="F138" s="247" t="s">
        <v>343</v>
      </c>
      <c r="G138" s="248" t="s">
        <v>1408</v>
      </c>
      <c r="H138" s="93" t="s">
        <v>7</v>
      </c>
      <c r="I138" s="74" t="s">
        <v>255</v>
      </c>
      <c r="J138" s="249">
        <v>30.0</v>
      </c>
      <c r="K138" s="74" t="s">
        <v>759</v>
      </c>
      <c r="L138" s="74">
        <v>161840.0</v>
      </c>
      <c r="M138" s="74" t="s">
        <v>755</v>
      </c>
      <c r="N138" s="74">
        <f t="shared" si="1"/>
        <v>4855200</v>
      </c>
      <c r="O138" s="60">
        <f t="shared" si="2"/>
        <v>45749</v>
      </c>
      <c r="P138" s="65" t="str">
        <f>VLOOKUP(I138,DATABASE!C:Q,11,FALSE)</f>
        <v>Tire</v>
      </c>
      <c r="Q138" s="65" t="str">
        <f>VLOOKUP(I138,DATABASE!C:Q,4,FALSE)</f>
        <v>BD</v>
      </c>
      <c r="R138" s="79"/>
    </row>
    <row r="139" ht="22.5" customHeight="1">
      <c r="A139" s="49"/>
      <c r="C139" s="245">
        <v>45719.0</v>
      </c>
      <c r="D139" s="245">
        <v>45719.0</v>
      </c>
      <c r="E139" s="93" t="s">
        <v>123</v>
      </c>
      <c r="F139" s="247" t="s">
        <v>343</v>
      </c>
      <c r="G139" s="248" t="s">
        <v>1408</v>
      </c>
      <c r="H139" s="93" t="s">
        <v>7</v>
      </c>
      <c r="I139" s="74" t="s">
        <v>814</v>
      </c>
      <c r="J139" s="249">
        <v>50.0</v>
      </c>
      <c r="K139" s="74" t="s">
        <v>1466</v>
      </c>
      <c r="L139" s="74">
        <v>39400.0</v>
      </c>
      <c r="M139" s="74" t="s">
        <v>755</v>
      </c>
      <c r="N139" s="74">
        <f t="shared" si="1"/>
        <v>1970000</v>
      </c>
      <c r="O139" s="60">
        <f t="shared" si="2"/>
        <v>45749</v>
      </c>
      <c r="P139" s="65" t="str">
        <f>VLOOKUP(I139,DATABASE!C:Q,11,FALSE)</f>
        <v>Tire</v>
      </c>
      <c r="Q139" s="65" t="str">
        <f>VLOOKUP(I139,DATABASE!C:Q,4,FALSE)</f>
        <v>Flap</v>
      </c>
      <c r="R139" s="79"/>
    </row>
    <row r="140" ht="22.5" customHeight="1">
      <c r="A140" s="49"/>
      <c r="C140" s="245">
        <v>45719.0</v>
      </c>
      <c r="D140" s="245">
        <v>45719.0</v>
      </c>
      <c r="E140" s="93" t="s">
        <v>123</v>
      </c>
      <c r="F140" s="247" t="s">
        <v>343</v>
      </c>
      <c r="G140" s="248" t="s">
        <v>1408</v>
      </c>
      <c r="H140" s="93" t="s">
        <v>7</v>
      </c>
      <c r="I140" s="74" t="s">
        <v>821</v>
      </c>
      <c r="J140" s="249">
        <v>125.0</v>
      </c>
      <c r="K140" s="74" t="s">
        <v>1471</v>
      </c>
      <c r="L140" s="74">
        <v>43500.0</v>
      </c>
      <c r="M140" s="74" t="s">
        <v>755</v>
      </c>
      <c r="N140" s="74">
        <f t="shared" si="1"/>
        <v>5437500</v>
      </c>
      <c r="O140" s="60">
        <f t="shared" si="2"/>
        <v>45749</v>
      </c>
      <c r="P140" s="65" t="str">
        <f>VLOOKUP(I140,DATABASE!C:Q,11,FALSE)</f>
        <v>Tire</v>
      </c>
      <c r="Q140" s="65" t="str">
        <f>VLOOKUP(I140,DATABASE!C:Q,4,FALSE)</f>
        <v>Flap</v>
      </c>
      <c r="R140" s="79"/>
    </row>
    <row r="141" ht="22.5" customHeight="1">
      <c r="A141" s="49"/>
      <c r="C141" s="245">
        <v>45719.0</v>
      </c>
      <c r="D141" s="245">
        <v>45719.0</v>
      </c>
      <c r="E141" s="65" t="s">
        <v>123</v>
      </c>
      <c r="F141" s="247" t="s">
        <v>343</v>
      </c>
      <c r="G141" s="248" t="s">
        <v>1408</v>
      </c>
      <c r="H141" s="93" t="s">
        <v>7</v>
      </c>
      <c r="I141" s="74" t="s">
        <v>744</v>
      </c>
      <c r="J141" s="249">
        <v>50.0</v>
      </c>
      <c r="K141" s="74" t="s">
        <v>1477</v>
      </c>
      <c r="L141" s="74">
        <v>199900.0</v>
      </c>
      <c r="M141" s="74" t="s">
        <v>755</v>
      </c>
      <c r="N141" s="74">
        <f t="shared" si="1"/>
        <v>9995000</v>
      </c>
      <c r="O141" s="60">
        <f t="shared" si="2"/>
        <v>45749</v>
      </c>
      <c r="P141" s="65" t="str">
        <f>VLOOKUP(I141,DATABASE!C:Q,11,FALSE)</f>
        <v>Tire</v>
      </c>
      <c r="Q141" s="65" t="str">
        <f>VLOOKUP(I141,DATABASE!C:Q,4,FALSE)</f>
        <v>BD</v>
      </c>
      <c r="R141" s="79"/>
    </row>
    <row r="142" ht="22.5" customHeight="1">
      <c r="A142" s="49"/>
      <c r="C142" s="245">
        <v>45719.0</v>
      </c>
      <c r="D142" s="245">
        <v>45719.0</v>
      </c>
      <c r="E142" s="93" t="s">
        <v>123</v>
      </c>
      <c r="F142" s="247" t="s">
        <v>343</v>
      </c>
      <c r="G142" s="248" t="s">
        <v>1482</v>
      </c>
      <c r="H142" s="93" t="s">
        <v>7</v>
      </c>
      <c r="I142" s="74" t="s">
        <v>897</v>
      </c>
      <c r="J142" s="249">
        <v>3.0</v>
      </c>
      <c r="K142" s="74" t="s">
        <v>1484</v>
      </c>
      <c r="L142" s="74">
        <v>1490000.0</v>
      </c>
      <c r="M142" s="74" t="s">
        <v>755</v>
      </c>
      <c r="N142" s="74">
        <f t="shared" si="1"/>
        <v>4470000</v>
      </c>
      <c r="O142" s="60">
        <f t="shared" si="2"/>
        <v>45749</v>
      </c>
      <c r="P142" s="65" t="str">
        <f>VLOOKUP(I142,DATABASE!C:Q,11,FALSE)</f>
        <v>Tire</v>
      </c>
      <c r="Q142" s="65" t="str">
        <f>VLOOKUP(I142,DATABASE!C:Q,4,FALSE)</f>
        <v>GT</v>
      </c>
      <c r="R142" s="79"/>
    </row>
    <row r="143" ht="22.5" customHeight="1">
      <c r="A143" s="49"/>
      <c r="C143" s="245">
        <v>45719.0</v>
      </c>
      <c r="D143" s="245">
        <v>45719.0</v>
      </c>
      <c r="E143" s="93" t="s">
        <v>335</v>
      </c>
      <c r="F143" s="247" t="s">
        <v>343</v>
      </c>
      <c r="G143" s="248" t="s">
        <v>1490</v>
      </c>
      <c r="H143" s="93" t="s">
        <v>7</v>
      </c>
      <c r="I143" s="74" t="s">
        <v>391</v>
      </c>
      <c r="J143" s="249">
        <v>13.0</v>
      </c>
      <c r="K143" s="74" t="s">
        <v>907</v>
      </c>
      <c r="L143" s="74">
        <v>1840000.0</v>
      </c>
      <c r="M143" s="74" t="s">
        <v>521</v>
      </c>
      <c r="N143" s="74">
        <f t="shared" si="1"/>
        <v>23920000</v>
      </c>
      <c r="O143" s="60">
        <f t="shared" si="2"/>
        <v>45779</v>
      </c>
      <c r="P143" s="65" t="str">
        <f>VLOOKUP(I143,DATABASE!C:Q,11,FALSE)</f>
        <v>Tire</v>
      </c>
      <c r="Q143" s="65" t="str">
        <f>VLOOKUP(I143,DATABASE!C:Q,4,FALSE)</f>
        <v>Advance</v>
      </c>
      <c r="R143" s="79"/>
    </row>
    <row r="144" ht="22.5" customHeight="1">
      <c r="A144" s="49"/>
      <c r="C144" s="245">
        <v>45719.0</v>
      </c>
      <c r="D144" s="245">
        <v>45719.0</v>
      </c>
      <c r="E144" s="93" t="s">
        <v>335</v>
      </c>
      <c r="F144" s="247" t="s">
        <v>343</v>
      </c>
      <c r="G144" s="248" t="s">
        <v>1490</v>
      </c>
      <c r="H144" s="93" t="s">
        <v>7</v>
      </c>
      <c r="I144" s="74" t="s">
        <v>770</v>
      </c>
      <c r="J144" s="249">
        <v>30.0</v>
      </c>
      <c r="K144" s="74" t="s">
        <v>1497</v>
      </c>
      <c r="L144" s="74">
        <v>145000.0</v>
      </c>
      <c r="M144" s="74" t="s">
        <v>521</v>
      </c>
      <c r="N144" s="74">
        <f t="shared" si="1"/>
        <v>4350000</v>
      </c>
      <c r="O144" s="60">
        <f t="shared" si="2"/>
        <v>45779</v>
      </c>
      <c r="P144" s="65" t="str">
        <f>VLOOKUP(I144,DATABASE!C:Q,11,FALSE)</f>
        <v>Tire</v>
      </c>
      <c r="Q144" s="65" t="str">
        <f>VLOOKUP(I144,DATABASE!C:Q,4,FALSE)</f>
        <v>BD</v>
      </c>
      <c r="R144" s="79"/>
    </row>
    <row r="145" ht="22.5" customHeight="1">
      <c r="A145" s="49"/>
      <c r="C145" s="245">
        <v>45719.0</v>
      </c>
      <c r="D145" s="245">
        <v>45719.0</v>
      </c>
      <c r="E145" s="93" t="s">
        <v>335</v>
      </c>
      <c r="F145" s="247" t="s">
        <v>343</v>
      </c>
      <c r="G145" s="248" t="s">
        <v>1490</v>
      </c>
      <c r="H145" s="93" t="s">
        <v>7</v>
      </c>
      <c r="I145" s="74" t="s">
        <v>1209</v>
      </c>
      <c r="J145" s="249">
        <v>30.0</v>
      </c>
      <c r="K145" s="74" t="s">
        <v>1210</v>
      </c>
      <c r="L145" s="74">
        <v>45000.0</v>
      </c>
      <c r="M145" s="74" t="s">
        <v>521</v>
      </c>
      <c r="N145" s="74">
        <f t="shared" si="1"/>
        <v>1350000</v>
      </c>
      <c r="O145" s="60">
        <f t="shared" si="2"/>
        <v>45779</v>
      </c>
      <c r="P145" s="65" t="str">
        <f>VLOOKUP(I145,DATABASE!C:Q,11,FALSE)</f>
        <v>Tire</v>
      </c>
      <c r="Q145" s="65" t="str">
        <f>VLOOKUP(I145,DATABASE!C:Q,4,FALSE)</f>
        <v>Flap</v>
      </c>
      <c r="R145" s="79"/>
    </row>
    <row r="146" ht="22.5" customHeight="1">
      <c r="A146" s="49"/>
      <c r="C146" s="245">
        <v>45719.0</v>
      </c>
      <c r="D146" s="245">
        <v>45719.0</v>
      </c>
      <c r="E146" s="93" t="s">
        <v>335</v>
      </c>
      <c r="F146" s="247" t="s">
        <v>343</v>
      </c>
      <c r="G146" s="248" t="s">
        <v>1490</v>
      </c>
      <c r="H146" s="93" t="s">
        <v>7</v>
      </c>
      <c r="I146" s="93" t="s">
        <v>830</v>
      </c>
      <c r="J146" s="249">
        <v>20.0</v>
      </c>
      <c r="K146" s="74" t="s">
        <v>1506</v>
      </c>
      <c r="L146" s="74">
        <v>195000.0</v>
      </c>
      <c r="M146" s="74" t="s">
        <v>521</v>
      </c>
      <c r="N146" s="74">
        <f t="shared" si="1"/>
        <v>3900000</v>
      </c>
      <c r="O146" s="60">
        <f t="shared" si="2"/>
        <v>45779</v>
      </c>
      <c r="P146" s="65" t="str">
        <f>VLOOKUP(I146,DATABASE!C:Q,11,FALSE)</f>
        <v>Tire</v>
      </c>
      <c r="Q146" s="65" t="str">
        <f>VLOOKUP(I146,DATABASE!C:Q,4,FALSE)</f>
        <v>BD</v>
      </c>
      <c r="R146" s="79"/>
    </row>
    <row r="147" ht="22.5" customHeight="1">
      <c r="A147" s="49"/>
      <c r="C147" s="245">
        <v>45720.0</v>
      </c>
      <c r="D147" s="245">
        <v>45720.0</v>
      </c>
      <c r="E147" s="93" t="s">
        <v>160</v>
      </c>
      <c r="F147" s="247" t="s">
        <v>343</v>
      </c>
      <c r="G147" s="248" t="s">
        <v>588</v>
      </c>
      <c r="H147" s="93" t="s">
        <v>7</v>
      </c>
      <c r="I147" s="74" t="s">
        <v>1514</v>
      </c>
      <c r="J147" s="249">
        <v>4.0</v>
      </c>
      <c r="K147" s="74" t="s">
        <v>1516</v>
      </c>
      <c r="L147" s="74">
        <v>2300000.0</v>
      </c>
      <c r="M147" s="74" t="s">
        <v>755</v>
      </c>
      <c r="N147" s="74">
        <f t="shared" si="1"/>
        <v>9200000</v>
      </c>
      <c r="O147" s="60">
        <f t="shared" si="2"/>
        <v>45750</v>
      </c>
      <c r="P147" s="65" t="str">
        <f>VLOOKUP(I147,DATABASE!C:Q,11,FALSE)</f>
        <v>Tire</v>
      </c>
      <c r="Q147" s="65" t="str">
        <f>VLOOKUP(I147,DATABASE!C:Q,4,FALSE)</f>
        <v>MAXXIS</v>
      </c>
      <c r="R147" s="79"/>
    </row>
    <row r="148" ht="22.5" customHeight="1">
      <c r="A148" s="49"/>
      <c r="C148" s="245">
        <v>45720.0</v>
      </c>
      <c r="D148" s="245">
        <v>45720.0</v>
      </c>
      <c r="E148" s="93" t="s">
        <v>198</v>
      </c>
      <c r="F148" s="247" t="s">
        <v>343</v>
      </c>
      <c r="G148" s="248" t="s">
        <v>1519</v>
      </c>
      <c r="H148" s="93" t="s">
        <v>7</v>
      </c>
      <c r="I148" s="74" t="s">
        <v>1520</v>
      </c>
      <c r="J148" s="249">
        <v>4.0</v>
      </c>
      <c r="K148" s="74" t="s">
        <v>1521</v>
      </c>
      <c r="L148" s="74">
        <v>1698000.0</v>
      </c>
      <c r="M148" s="74" t="s">
        <v>521</v>
      </c>
      <c r="N148" s="74">
        <f t="shared" si="1"/>
        <v>6792000</v>
      </c>
      <c r="O148" s="60">
        <f t="shared" si="2"/>
        <v>45780</v>
      </c>
      <c r="P148" s="65" t="str">
        <f>VLOOKUP(I148,DATABASE!C:Q,11,FALSE)</f>
        <v>Tire</v>
      </c>
      <c r="Q148" s="65" t="str">
        <f>VLOOKUP(I148,DATABASE!C:Q,4,FALSE)</f>
        <v>DURATUN</v>
      </c>
      <c r="R148" s="79"/>
    </row>
    <row r="149" ht="22.5" customHeight="1">
      <c r="A149" s="49"/>
      <c r="C149" s="245">
        <v>45721.0</v>
      </c>
      <c r="D149" s="245">
        <v>45721.0</v>
      </c>
      <c r="E149" s="93" t="s">
        <v>372</v>
      </c>
      <c r="F149" s="247" t="s">
        <v>343</v>
      </c>
      <c r="G149" s="248" t="s">
        <v>1525</v>
      </c>
      <c r="H149" s="93" t="s">
        <v>7</v>
      </c>
      <c r="I149" s="74" t="s">
        <v>1526</v>
      </c>
      <c r="J149" s="249">
        <v>4.0</v>
      </c>
      <c r="K149" s="74" t="s">
        <v>1527</v>
      </c>
      <c r="L149" s="74">
        <v>437000.0</v>
      </c>
      <c r="M149" s="74" t="s">
        <v>521</v>
      </c>
      <c r="N149" s="74">
        <f t="shared" si="1"/>
        <v>1748000</v>
      </c>
      <c r="O149" s="60">
        <f t="shared" si="2"/>
        <v>45781</v>
      </c>
      <c r="P149" s="65" t="str">
        <f>VLOOKUP(I149,DATABASE!C:Q,11,FALSE)</f>
        <v>Tire</v>
      </c>
      <c r="Q149" s="65" t="str">
        <f>VLOOKUP(I149,DATABASE!C:Q,4,FALSE)</f>
        <v>Laufen</v>
      </c>
      <c r="R149" s="79"/>
    </row>
    <row r="150" ht="22.5" customHeight="1">
      <c r="A150" s="49"/>
      <c r="C150" s="245">
        <v>45721.0</v>
      </c>
      <c r="D150" s="245">
        <v>45721.0</v>
      </c>
      <c r="E150" s="93" t="s">
        <v>372</v>
      </c>
      <c r="F150" s="247" t="s">
        <v>343</v>
      </c>
      <c r="G150" s="248" t="s">
        <v>1525</v>
      </c>
      <c r="H150" s="93" t="s">
        <v>7</v>
      </c>
      <c r="I150" s="74" t="s">
        <v>1530</v>
      </c>
      <c r="J150" s="249">
        <v>4.0</v>
      </c>
      <c r="K150" s="74" t="s">
        <v>1531</v>
      </c>
      <c r="L150" s="74">
        <v>454000.0</v>
      </c>
      <c r="M150" s="74" t="s">
        <v>521</v>
      </c>
      <c r="N150" s="74">
        <f t="shared" si="1"/>
        <v>1816000</v>
      </c>
      <c r="O150" s="60">
        <f t="shared" si="2"/>
        <v>45781</v>
      </c>
      <c r="P150" s="65" t="str">
        <f>VLOOKUP(I150,DATABASE!C:Q,11,FALSE)</f>
        <v>Tire</v>
      </c>
      <c r="Q150" s="65" t="str">
        <f>VLOOKUP(I150,DATABASE!C:Q,4,FALSE)</f>
        <v>Laufen</v>
      </c>
      <c r="R150" s="79"/>
    </row>
    <row r="151" ht="22.5" customHeight="1">
      <c r="A151" s="49"/>
      <c r="C151" s="245">
        <v>45721.0</v>
      </c>
      <c r="D151" s="245">
        <v>45721.0</v>
      </c>
      <c r="E151" s="93" t="s">
        <v>372</v>
      </c>
      <c r="F151" s="247" t="s">
        <v>343</v>
      </c>
      <c r="G151" s="248" t="s">
        <v>1525</v>
      </c>
      <c r="H151" s="93" t="s">
        <v>7</v>
      </c>
      <c r="I151" s="74" t="s">
        <v>1536</v>
      </c>
      <c r="J151" s="249">
        <v>4.0</v>
      </c>
      <c r="K151" s="74" t="s">
        <v>1538</v>
      </c>
      <c r="L151" s="74">
        <v>573000.0</v>
      </c>
      <c r="M151" s="74" t="s">
        <v>521</v>
      </c>
      <c r="N151" s="74">
        <f t="shared" si="1"/>
        <v>2292000</v>
      </c>
      <c r="O151" s="60">
        <f t="shared" si="2"/>
        <v>45781</v>
      </c>
      <c r="P151" s="65" t="str">
        <f>VLOOKUP(I151,DATABASE!C:Q,11,FALSE)</f>
        <v>Tire</v>
      </c>
      <c r="Q151" s="65" t="str">
        <f>VLOOKUP(I151,DATABASE!C:Q,4,FALSE)</f>
        <v>Laufen</v>
      </c>
      <c r="R151" s="79"/>
    </row>
    <row r="152" ht="22.5" customHeight="1">
      <c r="A152" s="49"/>
      <c r="C152" s="245">
        <v>45721.0</v>
      </c>
      <c r="D152" s="245">
        <v>45721.0</v>
      </c>
      <c r="E152" s="93" t="s">
        <v>81</v>
      </c>
      <c r="F152" s="247" t="s">
        <v>343</v>
      </c>
      <c r="G152" s="248" t="s">
        <v>1437</v>
      </c>
      <c r="H152" s="93" t="s">
        <v>87</v>
      </c>
      <c r="I152" s="74" t="s">
        <v>265</v>
      </c>
      <c r="J152" s="249">
        <v>5.0</v>
      </c>
      <c r="K152" s="74" t="s">
        <v>1545</v>
      </c>
      <c r="L152" s="74">
        <v>591500.0</v>
      </c>
      <c r="M152" s="74" t="s">
        <v>657</v>
      </c>
      <c r="N152" s="74">
        <f t="shared" si="1"/>
        <v>2957500</v>
      </c>
      <c r="O152" s="60">
        <f t="shared" si="2"/>
        <v>45796</v>
      </c>
      <c r="P152" s="65" t="str">
        <f>VLOOKUP(I152,DATABASE!C:Q,11,FALSE)</f>
        <v>Tire</v>
      </c>
      <c r="Q152" s="65" t="str">
        <f>VLOOKUP(I152,DATABASE!C:Q,4,FALSE)</f>
        <v>Dunlop</v>
      </c>
      <c r="R152" s="79"/>
    </row>
    <row r="153" ht="22.5" customHeight="1">
      <c r="A153" s="49"/>
      <c r="C153" s="245">
        <v>45721.0</v>
      </c>
      <c r="D153" s="245">
        <v>45721.0</v>
      </c>
      <c r="E153" s="93" t="s">
        <v>81</v>
      </c>
      <c r="F153" s="247" t="s">
        <v>343</v>
      </c>
      <c r="G153" s="248" t="s">
        <v>1437</v>
      </c>
      <c r="H153" s="93" t="s">
        <v>87</v>
      </c>
      <c r="I153" s="74" t="s">
        <v>275</v>
      </c>
      <c r="J153" s="249">
        <v>10.0</v>
      </c>
      <c r="K153" s="74" t="s">
        <v>656</v>
      </c>
      <c r="L153" s="74">
        <v>735000.0</v>
      </c>
      <c r="M153" s="74" t="s">
        <v>657</v>
      </c>
      <c r="N153" s="74">
        <f t="shared" si="1"/>
        <v>7350000</v>
      </c>
      <c r="O153" s="60">
        <f t="shared" si="2"/>
        <v>45796</v>
      </c>
      <c r="P153" s="65" t="str">
        <f>VLOOKUP(I153,DATABASE!C:Q,11,FALSE)</f>
        <v>Tire</v>
      </c>
      <c r="Q153" s="65" t="str">
        <f>VLOOKUP(I153,DATABASE!C:Q,4,FALSE)</f>
        <v>Dunlop</v>
      </c>
      <c r="R153" s="79"/>
    </row>
    <row r="154" ht="22.5" customHeight="1">
      <c r="A154" s="49"/>
      <c r="C154" s="245">
        <v>45721.0</v>
      </c>
      <c r="D154" s="245">
        <v>45721.0</v>
      </c>
      <c r="E154" s="93" t="s">
        <v>81</v>
      </c>
      <c r="F154" s="247" t="s">
        <v>343</v>
      </c>
      <c r="G154" s="248" t="s">
        <v>1437</v>
      </c>
      <c r="H154" s="93" t="s">
        <v>87</v>
      </c>
      <c r="I154" s="74" t="s">
        <v>932</v>
      </c>
      <c r="J154" s="249">
        <v>5.0</v>
      </c>
      <c r="K154" s="74" t="s">
        <v>933</v>
      </c>
      <c r="L154" s="74">
        <v>575000.0</v>
      </c>
      <c r="M154" s="74" t="s">
        <v>657</v>
      </c>
      <c r="N154" s="74">
        <f t="shared" si="1"/>
        <v>2875000</v>
      </c>
      <c r="O154" s="60">
        <f t="shared" si="2"/>
        <v>45796</v>
      </c>
      <c r="P154" s="65" t="str">
        <f>VLOOKUP(I154,DATABASE!C:Q,11,FALSE)</f>
        <v>Tire</v>
      </c>
      <c r="Q154" s="65" t="str">
        <f>VLOOKUP(I154,DATABASE!C:Q,4,FALSE)</f>
        <v>Dunlop</v>
      </c>
      <c r="R154" s="79"/>
    </row>
    <row r="155" ht="22.5" customHeight="1">
      <c r="A155" s="49"/>
      <c r="C155" s="245">
        <v>45722.0</v>
      </c>
      <c r="D155" s="245">
        <v>45722.0</v>
      </c>
      <c r="E155" s="246" t="s">
        <v>97</v>
      </c>
      <c r="F155" s="247" t="s">
        <v>343</v>
      </c>
      <c r="G155" s="248" t="s">
        <v>1554</v>
      </c>
      <c r="H155" s="93" t="s">
        <v>87</v>
      </c>
      <c r="I155" s="74" t="s">
        <v>1281</v>
      </c>
      <c r="J155" s="249">
        <v>4.0</v>
      </c>
      <c r="K155" s="74" t="s">
        <v>1557</v>
      </c>
      <c r="L155" s="74">
        <v>1663962.0</v>
      </c>
      <c r="M155" s="74" t="s">
        <v>521</v>
      </c>
      <c r="N155" s="74">
        <f t="shared" si="1"/>
        <v>6655848</v>
      </c>
      <c r="O155" s="60">
        <f t="shared" si="2"/>
        <v>45782</v>
      </c>
      <c r="P155" s="65" t="str">
        <f>VLOOKUP(I155,DATABASE!C:Q,11,FALSE)</f>
        <v>Tire</v>
      </c>
      <c r="Q155" s="65" t="str">
        <f>VLOOKUP(I155,DATABASE!C:Q,4,FALSE)</f>
        <v>Bridgestone</v>
      </c>
      <c r="R155" s="79"/>
    </row>
    <row r="156" ht="22.5" customHeight="1">
      <c r="A156" s="49"/>
      <c r="C156" s="245">
        <v>45722.0</v>
      </c>
      <c r="D156" s="245">
        <v>45722.0</v>
      </c>
      <c r="E156" s="246" t="s">
        <v>97</v>
      </c>
      <c r="F156" s="247" t="s">
        <v>343</v>
      </c>
      <c r="G156" s="248" t="s">
        <v>1554</v>
      </c>
      <c r="H156" s="93" t="s">
        <v>87</v>
      </c>
      <c r="I156" s="74" t="s">
        <v>1233</v>
      </c>
      <c r="J156" s="249">
        <v>1.0</v>
      </c>
      <c r="K156" s="74" t="s">
        <v>1564</v>
      </c>
      <c r="L156" s="74">
        <v>1283251.0</v>
      </c>
      <c r="M156" s="74" t="s">
        <v>521</v>
      </c>
      <c r="N156" s="74">
        <f t="shared" si="1"/>
        <v>1283251</v>
      </c>
      <c r="O156" s="60">
        <f t="shared" si="2"/>
        <v>45782</v>
      </c>
      <c r="P156" s="65" t="str">
        <f>VLOOKUP(I156,DATABASE!C:Q,11,FALSE)</f>
        <v>Tire</v>
      </c>
      <c r="Q156" s="65" t="str">
        <f>VLOOKUP(I156,DATABASE!C:Q,4,FALSE)</f>
        <v>Bridgestone</v>
      </c>
      <c r="R156" s="79"/>
    </row>
    <row r="157" ht="22.5" customHeight="1">
      <c r="A157" s="49"/>
      <c r="C157" s="245">
        <v>45724.0</v>
      </c>
      <c r="D157" s="245">
        <v>45724.0</v>
      </c>
      <c r="E157" s="93" t="s">
        <v>372</v>
      </c>
      <c r="F157" s="247" t="s">
        <v>343</v>
      </c>
      <c r="G157" s="248" t="s">
        <v>1569</v>
      </c>
      <c r="H157" s="93" t="s">
        <v>7</v>
      </c>
      <c r="I157" s="74" t="s">
        <v>1570</v>
      </c>
      <c r="J157" s="249">
        <v>2.0</v>
      </c>
      <c r="K157" s="74" t="s">
        <v>1571</v>
      </c>
      <c r="L157" s="74">
        <v>1550000.0</v>
      </c>
      <c r="M157" s="74" t="s">
        <v>521</v>
      </c>
      <c r="N157" s="74">
        <f t="shared" si="1"/>
        <v>3100000</v>
      </c>
      <c r="O157" s="60">
        <f t="shared" si="2"/>
        <v>45784</v>
      </c>
      <c r="P157" s="65" t="str">
        <f>VLOOKUP(I157,DATABASE!C:Q,11,FALSE)</f>
        <v>Tire</v>
      </c>
      <c r="Q157" s="65" t="str">
        <f>VLOOKUP(I157,DATABASE!C:Q,4,FALSE)</f>
        <v>Michelin</v>
      </c>
      <c r="R157" s="79"/>
    </row>
    <row r="158" ht="22.5" customHeight="1">
      <c r="A158" s="49"/>
      <c r="C158" s="245">
        <v>45726.0</v>
      </c>
      <c r="D158" s="245">
        <v>45726.0</v>
      </c>
      <c r="E158" s="93" t="s">
        <v>110</v>
      </c>
      <c r="F158" s="247" t="s">
        <v>343</v>
      </c>
      <c r="G158" s="248" t="s">
        <v>998</v>
      </c>
      <c r="H158" s="93" t="s">
        <v>7</v>
      </c>
      <c r="I158" s="74" t="s">
        <v>781</v>
      </c>
      <c r="J158" s="249">
        <v>10.0</v>
      </c>
      <c r="K158" s="74" t="s">
        <v>785</v>
      </c>
      <c r="L158" s="74">
        <v>442500.0</v>
      </c>
      <c r="M158" s="74" t="s">
        <v>755</v>
      </c>
      <c r="N158" s="74">
        <f t="shared" si="1"/>
        <v>4425000</v>
      </c>
      <c r="O158" s="60">
        <f t="shared" si="2"/>
        <v>45756</v>
      </c>
      <c r="P158" s="65" t="str">
        <f>VLOOKUP(I158,DATABASE!C:Q,11,FALSE)</f>
        <v>Tire</v>
      </c>
      <c r="Q158" s="65" t="str">
        <f>VLOOKUP(I158,DATABASE!C:Q,4,FALSE)</f>
        <v>GT</v>
      </c>
      <c r="R158" s="79"/>
    </row>
    <row r="159" ht="22.5" customHeight="1">
      <c r="A159" s="49"/>
      <c r="C159" s="245">
        <v>45726.0</v>
      </c>
      <c r="D159" s="245">
        <v>45726.0</v>
      </c>
      <c r="E159" s="93" t="s">
        <v>110</v>
      </c>
      <c r="F159" s="247" t="s">
        <v>343</v>
      </c>
      <c r="G159" s="248" t="s">
        <v>998</v>
      </c>
      <c r="H159" s="93" t="s">
        <v>7</v>
      </c>
      <c r="I159" s="74" t="s">
        <v>1582</v>
      </c>
      <c r="J159" s="249">
        <v>4.0</v>
      </c>
      <c r="K159" s="74" t="s">
        <v>1583</v>
      </c>
      <c r="L159" s="74">
        <v>3775000.0</v>
      </c>
      <c r="M159" s="74" t="s">
        <v>755</v>
      </c>
      <c r="N159" s="74">
        <f t="shared" si="1"/>
        <v>15100000</v>
      </c>
      <c r="O159" s="60">
        <f t="shared" si="2"/>
        <v>45756</v>
      </c>
      <c r="P159" s="65" t="str">
        <f>VLOOKUP(I159,DATABASE!C:Q,11,FALSE)</f>
        <v>Tire</v>
      </c>
      <c r="Q159" s="65" t="str">
        <f>VLOOKUP(I159,DATABASE!C:Q,4,FALSE)</f>
        <v>GiTi</v>
      </c>
      <c r="R159" s="79"/>
    </row>
    <row r="160" ht="22.5" customHeight="1">
      <c r="A160" s="49"/>
      <c r="C160" s="245">
        <v>45728.0</v>
      </c>
      <c r="D160" s="245">
        <v>45728.0</v>
      </c>
      <c r="E160" s="93" t="s">
        <v>110</v>
      </c>
      <c r="F160" s="247" t="s">
        <v>343</v>
      </c>
      <c r="G160" s="248" t="s">
        <v>1081</v>
      </c>
      <c r="H160" s="93" t="s">
        <v>7</v>
      </c>
      <c r="I160" s="74" t="s">
        <v>1084</v>
      </c>
      <c r="J160" s="249">
        <v>1.0</v>
      </c>
      <c r="K160" s="74" t="s">
        <v>1587</v>
      </c>
      <c r="L160" s="74">
        <v>1281000.0</v>
      </c>
      <c r="M160" s="74" t="s">
        <v>755</v>
      </c>
      <c r="N160" s="74">
        <f t="shared" si="1"/>
        <v>1281000</v>
      </c>
      <c r="O160" s="60">
        <f t="shared" si="2"/>
        <v>45758</v>
      </c>
      <c r="P160" s="65" t="str">
        <f>VLOOKUP(I160,DATABASE!C:Q,11,FALSE)</f>
        <v>Tire</v>
      </c>
      <c r="Q160" s="65" t="str">
        <f>VLOOKUP(I160,DATABASE!C:Q,4,FALSE)</f>
        <v>GT</v>
      </c>
      <c r="R160" s="79"/>
    </row>
    <row r="161" ht="22.5" customHeight="1">
      <c r="A161" s="49"/>
      <c r="C161" s="245">
        <v>45728.0</v>
      </c>
      <c r="D161" s="245">
        <v>45728.0</v>
      </c>
      <c r="E161" s="246" t="s">
        <v>97</v>
      </c>
      <c r="F161" s="247" t="s">
        <v>343</v>
      </c>
      <c r="G161" s="248" t="s">
        <v>1591</v>
      </c>
      <c r="H161" s="93" t="s">
        <v>87</v>
      </c>
      <c r="I161" s="74" t="s">
        <v>605</v>
      </c>
      <c r="J161" s="249">
        <v>3.0</v>
      </c>
      <c r="K161" s="74" t="s">
        <v>606</v>
      </c>
      <c r="L161" s="74">
        <v>670000.0</v>
      </c>
      <c r="M161" s="74" t="s">
        <v>521</v>
      </c>
      <c r="N161" s="74">
        <f t="shared" si="1"/>
        <v>2010000</v>
      </c>
      <c r="O161" s="60">
        <f t="shared" si="2"/>
        <v>45788</v>
      </c>
      <c r="P161" s="65" t="str">
        <f>VLOOKUP(I161,DATABASE!C:Q,11,FALSE)</f>
        <v>Tire</v>
      </c>
      <c r="Q161" s="65" t="str">
        <f>VLOOKUP(I161,DATABASE!C:Q,4,FALSE)</f>
        <v>Bridgestone</v>
      </c>
      <c r="R161" s="79"/>
    </row>
    <row r="162" ht="22.5" customHeight="1">
      <c r="A162" s="49"/>
      <c r="C162" s="245">
        <v>45729.0</v>
      </c>
      <c r="D162" s="245">
        <v>45729.0</v>
      </c>
      <c r="E162" s="93" t="s">
        <v>110</v>
      </c>
      <c r="F162" s="247" t="s">
        <v>343</v>
      </c>
      <c r="G162" s="248" t="s">
        <v>1088</v>
      </c>
      <c r="H162" s="93" t="s">
        <v>7</v>
      </c>
      <c r="I162" s="74" t="s">
        <v>1597</v>
      </c>
      <c r="J162" s="249">
        <v>10.0</v>
      </c>
      <c r="K162" s="74" t="s">
        <v>1598</v>
      </c>
      <c r="L162" s="74">
        <v>535680.0</v>
      </c>
      <c r="M162" s="74" t="s">
        <v>755</v>
      </c>
      <c r="N162" s="74">
        <f t="shared" si="1"/>
        <v>5356800</v>
      </c>
      <c r="O162" s="60">
        <f t="shared" si="2"/>
        <v>45759</v>
      </c>
      <c r="P162" s="65" t="str">
        <f>VLOOKUP(I162,DATABASE!C:Q,11,FALSE)</f>
        <v>Tire</v>
      </c>
      <c r="Q162" s="65" t="str">
        <f>VLOOKUP(I162,DATABASE!C:Q,4,FALSE)</f>
        <v>GT</v>
      </c>
      <c r="R162" s="79"/>
    </row>
    <row r="163" ht="22.5" customHeight="1">
      <c r="A163" s="49"/>
      <c r="C163" s="245">
        <v>45729.0</v>
      </c>
      <c r="D163" s="245">
        <v>45729.0</v>
      </c>
      <c r="E163" s="93" t="s">
        <v>110</v>
      </c>
      <c r="F163" s="247" t="s">
        <v>343</v>
      </c>
      <c r="G163" s="248" t="s">
        <v>1088</v>
      </c>
      <c r="H163" s="93" t="s">
        <v>7</v>
      </c>
      <c r="I163" s="74" t="s">
        <v>286</v>
      </c>
      <c r="J163" s="249">
        <v>4.0</v>
      </c>
      <c r="K163" s="74" t="s">
        <v>1014</v>
      </c>
      <c r="L163" s="74">
        <v>445800.0</v>
      </c>
      <c r="M163" s="74" t="s">
        <v>755</v>
      </c>
      <c r="N163" s="74">
        <f t="shared" si="1"/>
        <v>1783200</v>
      </c>
      <c r="O163" s="60">
        <f t="shared" si="2"/>
        <v>45759</v>
      </c>
      <c r="P163" s="65" t="str">
        <f>VLOOKUP(I163,DATABASE!C:Q,11,FALSE)</f>
        <v>Tire</v>
      </c>
      <c r="Q163" s="65" t="str">
        <f>VLOOKUP(I163,DATABASE!C:Q,4,FALSE)</f>
        <v>GT</v>
      </c>
      <c r="R163" s="79"/>
    </row>
    <row r="164" ht="22.5" customHeight="1">
      <c r="A164" s="49"/>
      <c r="C164" s="245">
        <v>45729.0</v>
      </c>
      <c r="D164" s="245">
        <v>45729.0</v>
      </c>
      <c r="E164" s="93" t="s">
        <v>110</v>
      </c>
      <c r="F164" s="247" t="s">
        <v>343</v>
      </c>
      <c r="G164" s="248" t="s">
        <v>1088</v>
      </c>
      <c r="H164" s="93" t="s">
        <v>7</v>
      </c>
      <c r="I164" s="74" t="s">
        <v>288</v>
      </c>
      <c r="J164" s="249">
        <v>20.0</v>
      </c>
      <c r="K164" s="74" t="s">
        <v>1612</v>
      </c>
      <c r="L164" s="74">
        <v>516460.0</v>
      </c>
      <c r="M164" s="74" t="s">
        <v>755</v>
      </c>
      <c r="N164" s="74">
        <f t="shared" si="1"/>
        <v>10329200</v>
      </c>
      <c r="O164" s="60">
        <f t="shared" si="2"/>
        <v>45759</v>
      </c>
      <c r="P164" s="65" t="str">
        <f>VLOOKUP(I164,DATABASE!C:Q,11,FALSE)</f>
        <v>Tire</v>
      </c>
      <c r="Q164" s="65" t="str">
        <f>VLOOKUP(I164,DATABASE!C:Q,4,FALSE)</f>
        <v>GT</v>
      </c>
      <c r="R164" s="79"/>
    </row>
    <row r="165" ht="22.5" customHeight="1">
      <c r="A165" s="49"/>
      <c r="C165" s="245">
        <v>45729.0</v>
      </c>
      <c r="D165" s="245">
        <v>45729.0</v>
      </c>
      <c r="E165" s="93" t="s">
        <v>110</v>
      </c>
      <c r="F165" s="247" t="s">
        <v>343</v>
      </c>
      <c r="G165" s="248" t="s">
        <v>1088</v>
      </c>
      <c r="H165" s="93" t="s">
        <v>7</v>
      </c>
      <c r="I165" s="74" t="s">
        <v>1617</v>
      </c>
      <c r="J165" s="249">
        <v>4.0</v>
      </c>
      <c r="K165" s="74" t="s">
        <v>1619</v>
      </c>
      <c r="L165" s="74">
        <v>727260.0</v>
      </c>
      <c r="M165" s="74" t="s">
        <v>755</v>
      </c>
      <c r="N165" s="74">
        <f t="shared" si="1"/>
        <v>2909040</v>
      </c>
      <c r="O165" s="60">
        <f t="shared" si="2"/>
        <v>45759</v>
      </c>
      <c r="P165" s="65" t="str">
        <f>VLOOKUP(I165,DATABASE!C:Q,11,FALSE)</f>
        <v>Tire</v>
      </c>
      <c r="Q165" s="65" t="str">
        <f>VLOOKUP(I165,DATABASE!C:Q,4,FALSE)</f>
        <v>GT</v>
      </c>
      <c r="R165" s="79"/>
    </row>
    <row r="166" ht="22.5" customHeight="1">
      <c r="A166" s="49"/>
      <c r="C166" s="245">
        <v>45729.0</v>
      </c>
      <c r="D166" s="245">
        <v>45729.0</v>
      </c>
      <c r="E166" s="93" t="s">
        <v>110</v>
      </c>
      <c r="F166" s="247" t="s">
        <v>343</v>
      </c>
      <c r="G166" s="248" t="s">
        <v>1088</v>
      </c>
      <c r="H166" s="93" t="s">
        <v>7</v>
      </c>
      <c r="I166" s="74" t="s">
        <v>791</v>
      </c>
      <c r="J166" s="249">
        <v>3.0</v>
      </c>
      <c r="K166" s="74" t="s">
        <v>792</v>
      </c>
      <c r="L166" s="74">
        <v>1180000.0</v>
      </c>
      <c r="M166" s="74" t="s">
        <v>755</v>
      </c>
      <c r="N166" s="74">
        <f t="shared" si="1"/>
        <v>3540000</v>
      </c>
      <c r="O166" s="60">
        <f t="shared" si="2"/>
        <v>45759</v>
      </c>
      <c r="P166" s="65" t="str">
        <f>VLOOKUP(I166,DATABASE!C:Q,11,FALSE)</f>
        <v>Tire</v>
      </c>
      <c r="Q166" s="65" t="str">
        <f>VLOOKUP(I166,DATABASE!C:Q,4,FALSE)</f>
        <v>GT</v>
      </c>
      <c r="R166" s="79"/>
    </row>
    <row r="167" ht="22.5" customHeight="1">
      <c r="A167" s="49"/>
      <c r="C167" s="245">
        <v>45729.0</v>
      </c>
      <c r="D167" s="245">
        <v>45729.0</v>
      </c>
      <c r="E167" s="93" t="s">
        <v>81</v>
      </c>
      <c r="F167" s="247" t="s">
        <v>343</v>
      </c>
      <c r="G167" s="248" t="s">
        <v>1635</v>
      </c>
      <c r="H167" s="93" t="s">
        <v>87</v>
      </c>
      <c r="I167" s="74" t="s">
        <v>265</v>
      </c>
      <c r="J167" s="249">
        <v>10.0</v>
      </c>
      <c r="K167" s="74" t="s">
        <v>1538</v>
      </c>
      <c r="L167" s="74">
        <v>573000.0</v>
      </c>
      <c r="M167" s="74" t="s">
        <v>657</v>
      </c>
      <c r="N167" s="74">
        <f t="shared" si="1"/>
        <v>5730000</v>
      </c>
      <c r="O167" s="60">
        <f t="shared" si="2"/>
        <v>45804</v>
      </c>
      <c r="P167" s="65" t="str">
        <f>VLOOKUP(I167,DATABASE!C:Q,11,FALSE)</f>
        <v>Tire</v>
      </c>
      <c r="Q167" s="65" t="str">
        <f>VLOOKUP(I167,DATABASE!C:Q,4,FALSE)</f>
        <v>Dunlop</v>
      </c>
      <c r="R167" s="79"/>
    </row>
    <row r="168" ht="22.5" customHeight="1">
      <c r="A168" s="49"/>
      <c r="C168" s="245">
        <v>45729.0</v>
      </c>
      <c r="D168" s="245">
        <v>45729.0</v>
      </c>
      <c r="E168" s="93" t="s">
        <v>81</v>
      </c>
      <c r="F168" s="247" t="s">
        <v>343</v>
      </c>
      <c r="G168" s="248" t="s">
        <v>1635</v>
      </c>
      <c r="H168" s="93" t="s">
        <v>87</v>
      </c>
      <c r="I168" s="74" t="s">
        <v>275</v>
      </c>
      <c r="J168" s="249">
        <v>10.0</v>
      </c>
      <c r="K168" s="74" t="s">
        <v>1640</v>
      </c>
      <c r="L168" s="74">
        <v>715000.0</v>
      </c>
      <c r="M168" s="74" t="s">
        <v>657</v>
      </c>
      <c r="N168" s="74">
        <f t="shared" si="1"/>
        <v>7150000</v>
      </c>
      <c r="O168" s="60">
        <f t="shared" si="2"/>
        <v>45804</v>
      </c>
      <c r="P168" s="65" t="str">
        <f>VLOOKUP(I168,DATABASE!C:Q,11,FALSE)</f>
        <v>Tire</v>
      </c>
      <c r="Q168" s="65" t="str">
        <f>VLOOKUP(I168,DATABASE!C:Q,4,FALSE)</f>
        <v>Dunlop</v>
      </c>
      <c r="R168" s="79"/>
    </row>
    <row r="169" ht="22.5" customHeight="1">
      <c r="A169" s="49"/>
      <c r="C169" s="245">
        <v>45729.0</v>
      </c>
      <c r="D169" s="245">
        <v>45729.0</v>
      </c>
      <c r="E169" s="93" t="s">
        <v>81</v>
      </c>
      <c r="F169" s="247" t="s">
        <v>343</v>
      </c>
      <c r="G169" s="248" t="s">
        <v>1635</v>
      </c>
      <c r="H169" s="93" t="s">
        <v>87</v>
      </c>
      <c r="I169" s="74" t="s">
        <v>1383</v>
      </c>
      <c r="J169" s="249">
        <v>4.0</v>
      </c>
      <c r="K169" s="74" t="s">
        <v>1646</v>
      </c>
      <c r="L169" s="74">
        <v>742000.0</v>
      </c>
      <c r="M169" s="74" t="s">
        <v>657</v>
      </c>
      <c r="N169" s="74">
        <f t="shared" si="1"/>
        <v>2968000</v>
      </c>
      <c r="O169" s="60">
        <f t="shared" si="2"/>
        <v>45804</v>
      </c>
      <c r="P169" s="65" t="str">
        <f>VLOOKUP(I169,DATABASE!C:Q,11,FALSE)</f>
        <v>Tire</v>
      </c>
      <c r="Q169" s="65" t="str">
        <f>VLOOKUP(I169,DATABASE!C:Q,4,FALSE)</f>
        <v>Dunlop</v>
      </c>
      <c r="R169" s="79"/>
    </row>
    <row r="170" ht="22.5" customHeight="1">
      <c r="A170" s="49"/>
      <c r="C170" s="245">
        <v>45729.0</v>
      </c>
      <c r="D170" s="245">
        <v>45729.0</v>
      </c>
      <c r="E170" s="93" t="s">
        <v>81</v>
      </c>
      <c r="F170" s="247" t="s">
        <v>343</v>
      </c>
      <c r="G170" s="248" t="s">
        <v>1635</v>
      </c>
      <c r="H170" s="93" t="s">
        <v>87</v>
      </c>
      <c r="I170" s="74" t="s">
        <v>1377</v>
      </c>
      <c r="J170" s="249">
        <v>1.0</v>
      </c>
      <c r="K170" s="74" t="s">
        <v>1652</v>
      </c>
      <c r="L170" s="74">
        <v>762000.0</v>
      </c>
      <c r="M170" s="74" t="s">
        <v>657</v>
      </c>
      <c r="N170" s="74">
        <f t="shared" si="1"/>
        <v>762000</v>
      </c>
      <c r="O170" s="60">
        <f t="shared" si="2"/>
        <v>45804</v>
      </c>
      <c r="P170" s="65" t="str">
        <f>VLOOKUP(I170,DATABASE!C:Q,11,FALSE)</f>
        <v>Tire</v>
      </c>
      <c r="Q170" s="65" t="str">
        <f>VLOOKUP(I170,DATABASE!C:Q,4,FALSE)</f>
        <v>Dunlop</v>
      </c>
      <c r="R170" s="79"/>
    </row>
    <row r="171" ht="22.5" customHeight="1">
      <c r="A171" s="49"/>
      <c r="C171" s="245">
        <v>45729.0</v>
      </c>
      <c r="D171" s="245">
        <v>45729.0</v>
      </c>
      <c r="E171" s="93" t="s">
        <v>81</v>
      </c>
      <c r="F171" s="247" t="s">
        <v>343</v>
      </c>
      <c r="G171" s="248" t="s">
        <v>1635</v>
      </c>
      <c r="H171" s="93" t="s">
        <v>87</v>
      </c>
      <c r="I171" s="74" t="s">
        <v>968</v>
      </c>
      <c r="J171" s="249">
        <v>8.0</v>
      </c>
      <c r="K171" s="74" t="s">
        <v>1660</v>
      </c>
      <c r="L171" s="74">
        <v>540000.0</v>
      </c>
      <c r="M171" s="74" t="s">
        <v>657</v>
      </c>
      <c r="N171" s="74">
        <f t="shared" si="1"/>
        <v>4320000</v>
      </c>
      <c r="O171" s="60">
        <f t="shared" si="2"/>
        <v>45804</v>
      </c>
      <c r="P171" s="65" t="str">
        <f>VLOOKUP(I171,DATABASE!C:Q,11,FALSE)</f>
        <v>Tire</v>
      </c>
      <c r="Q171" s="65" t="str">
        <f>VLOOKUP(I171,DATABASE!C:Q,4,FALSE)</f>
        <v>Dunlop</v>
      </c>
      <c r="R171" s="79"/>
    </row>
    <row r="172" ht="22.5" customHeight="1">
      <c r="A172" s="49"/>
      <c r="C172" s="245">
        <v>45729.0</v>
      </c>
      <c r="D172" s="245">
        <v>45729.0</v>
      </c>
      <c r="E172" s="93" t="s">
        <v>81</v>
      </c>
      <c r="F172" s="247" t="s">
        <v>343</v>
      </c>
      <c r="G172" s="248" t="s">
        <v>1635</v>
      </c>
      <c r="H172" s="93" t="s">
        <v>87</v>
      </c>
      <c r="I172" s="74" t="s">
        <v>1002</v>
      </c>
      <c r="J172" s="249">
        <v>1.0</v>
      </c>
      <c r="K172" s="74" t="s">
        <v>1667</v>
      </c>
      <c r="L172" s="74">
        <v>1400000.0</v>
      </c>
      <c r="M172" s="74" t="s">
        <v>657</v>
      </c>
      <c r="N172" s="74">
        <f t="shared" si="1"/>
        <v>1400000</v>
      </c>
      <c r="O172" s="60">
        <f t="shared" si="2"/>
        <v>45804</v>
      </c>
      <c r="P172" s="65" t="str">
        <f>VLOOKUP(I172,DATABASE!C:Q,11,FALSE)</f>
        <v>Tire</v>
      </c>
      <c r="Q172" s="65" t="str">
        <f>VLOOKUP(I172,DATABASE!C:Q,4,FALSE)</f>
        <v>Dunlop</v>
      </c>
      <c r="R172" s="79"/>
    </row>
    <row r="173" ht="22.5" customHeight="1">
      <c r="A173" s="49"/>
      <c r="C173" s="245">
        <v>45729.0</v>
      </c>
      <c r="D173" s="245">
        <v>45729.0</v>
      </c>
      <c r="E173" s="93" t="s">
        <v>81</v>
      </c>
      <c r="F173" s="247" t="s">
        <v>343</v>
      </c>
      <c r="G173" s="248" t="s">
        <v>1635</v>
      </c>
      <c r="H173" s="93" t="s">
        <v>87</v>
      </c>
      <c r="I173" s="74" t="s">
        <v>1602</v>
      </c>
      <c r="J173" s="249">
        <v>3.0</v>
      </c>
      <c r="K173" s="74" t="s">
        <v>1672</v>
      </c>
      <c r="L173" s="74">
        <v>1747000.0</v>
      </c>
      <c r="M173" s="74" t="s">
        <v>657</v>
      </c>
      <c r="N173" s="74">
        <f t="shared" si="1"/>
        <v>5241000</v>
      </c>
      <c r="O173" s="60">
        <f t="shared" si="2"/>
        <v>45804</v>
      </c>
      <c r="P173" s="65" t="str">
        <f>VLOOKUP(I173,DATABASE!C:Q,11,FALSE)</f>
        <v>Tire</v>
      </c>
      <c r="Q173" s="65" t="str">
        <f>VLOOKUP(I173,DATABASE!C:Q,4,FALSE)</f>
        <v>Dunlop</v>
      </c>
      <c r="R173" s="79"/>
    </row>
    <row r="174" ht="22.5" customHeight="1">
      <c r="A174" s="49"/>
      <c r="C174" s="245">
        <v>45729.0</v>
      </c>
      <c r="D174" s="245">
        <v>45729.0</v>
      </c>
      <c r="E174" s="93" t="s">
        <v>81</v>
      </c>
      <c r="F174" s="247" t="s">
        <v>343</v>
      </c>
      <c r="G174" s="248" t="s">
        <v>1635</v>
      </c>
      <c r="H174" s="93" t="s">
        <v>87</v>
      </c>
      <c r="I174" s="74" t="s">
        <v>1584</v>
      </c>
      <c r="J174" s="249">
        <v>2.0</v>
      </c>
      <c r="K174" s="74" t="s">
        <v>1678</v>
      </c>
      <c r="L174" s="74">
        <v>1305000.0</v>
      </c>
      <c r="M174" s="74" t="s">
        <v>657</v>
      </c>
      <c r="N174" s="74">
        <f t="shared" si="1"/>
        <v>2610000</v>
      </c>
      <c r="O174" s="60">
        <f t="shared" si="2"/>
        <v>45804</v>
      </c>
      <c r="P174" s="65" t="str">
        <f>VLOOKUP(I174,DATABASE!C:Q,11,FALSE)</f>
        <v>Tire</v>
      </c>
      <c r="Q174" s="65" t="str">
        <f>VLOOKUP(I174,DATABASE!C:Q,4,FALSE)</f>
        <v>DUNLOP</v>
      </c>
      <c r="R174" s="79"/>
    </row>
    <row r="175" ht="22.5" customHeight="1">
      <c r="A175" s="49"/>
      <c r="C175" s="245">
        <v>45729.0</v>
      </c>
      <c r="D175" s="245">
        <v>45729.0</v>
      </c>
      <c r="E175" s="93" t="s">
        <v>81</v>
      </c>
      <c r="F175" s="247" t="s">
        <v>343</v>
      </c>
      <c r="G175" s="248" t="s">
        <v>1635</v>
      </c>
      <c r="H175" s="93" t="s">
        <v>87</v>
      </c>
      <c r="I175" s="74" t="s">
        <v>1565</v>
      </c>
      <c r="J175" s="249">
        <v>5.0</v>
      </c>
      <c r="K175" s="74">
        <v>1305000.0</v>
      </c>
      <c r="L175" s="74">
        <v>1305000.0</v>
      </c>
      <c r="M175" s="74" t="s">
        <v>657</v>
      </c>
      <c r="N175" s="74">
        <f t="shared" si="1"/>
        <v>6525000</v>
      </c>
      <c r="O175" s="60">
        <f t="shared" si="2"/>
        <v>45804</v>
      </c>
      <c r="P175" s="65" t="str">
        <f>VLOOKUP(I175,DATABASE!C:Q,11,FALSE)</f>
        <v>Tire</v>
      </c>
      <c r="Q175" s="65" t="str">
        <f>VLOOKUP(I175,DATABASE!C:Q,4,FALSE)</f>
        <v>Dunlop</v>
      </c>
      <c r="R175" s="79"/>
    </row>
    <row r="176" ht="22.5" customHeight="1">
      <c r="A176" s="49"/>
      <c r="C176" s="245">
        <v>45729.0</v>
      </c>
      <c r="D176" s="245">
        <v>45729.0</v>
      </c>
      <c r="E176" s="93" t="s">
        <v>81</v>
      </c>
      <c r="F176" s="247" t="s">
        <v>343</v>
      </c>
      <c r="G176" s="248" t="s">
        <v>1635</v>
      </c>
      <c r="H176" s="93" t="s">
        <v>87</v>
      </c>
      <c r="I176" s="74" t="s">
        <v>687</v>
      </c>
      <c r="J176" s="249">
        <v>3.0</v>
      </c>
      <c r="K176" s="74" t="s">
        <v>1684</v>
      </c>
      <c r="L176" s="74">
        <v>935000.0</v>
      </c>
      <c r="M176" s="74" t="s">
        <v>657</v>
      </c>
      <c r="N176" s="74">
        <f t="shared" si="1"/>
        <v>2805000</v>
      </c>
      <c r="O176" s="60">
        <f t="shared" si="2"/>
        <v>45804</v>
      </c>
      <c r="P176" s="65" t="str">
        <f>VLOOKUP(I176,DATABASE!C:Q,11,FALSE)</f>
        <v>Tire</v>
      </c>
      <c r="Q176" s="65" t="str">
        <f>VLOOKUP(I176,DATABASE!C:Q,4,FALSE)</f>
        <v>Dunlop</v>
      </c>
      <c r="R176" s="79"/>
    </row>
    <row r="177" ht="22.5" customHeight="1">
      <c r="A177" s="49"/>
      <c r="C177" s="245">
        <v>45729.0</v>
      </c>
      <c r="D177" s="245">
        <v>45729.0</v>
      </c>
      <c r="E177" s="93" t="s">
        <v>81</v>
      </c>
      <c r="F177" s="247" t="s">
        <v>343</v>
      </c>
      <c r="G177" s="248" t="s">
        <v>1635</v>
      </c>
      <c r="H177" s="93" t="s">
        <v>87</v>
      </c>
      <c r="I177" s="74" t="s">
        <v>1301</v>
      </c>
      <c r="J177" s="249">
        <v>4.0</v>
      </c>
      <c r="K177" s="74" t="s">
        <v>1302</v>
      </c>
      <c r="L177" s="74">
        <v>1170000.0</v>
      </c>
      <c r="M177" s="74" t="s">
        <v>657</v>
      </c>
      <c r="N177" s="74">
        <f t="shared" si="1"/>
        <v>4680000</v>
      </c>
      <c r="O177" s="60">
        <f t="shared" si="2"/>
        <v>45804</v>
      </c>
      <c r="P177" s="65" t="str">
        <f>VLOOKUP(I177,DATABASE!C:Q,11,FALSE)</f>
        <v>Tire</v>
      </c>
      <c r="Q177" s="65" t="str">
        <f>VLOOKUP(I177,DATABASE!C:Q,4,FALSE)</f>
        <v>Dunlop</v>
      </c>
      <c r="R177" s="79"/>
    </row>
    <row r="178" ht="22.5" customHeight="1">
      <c r="A178" s="49"/>
      <c r="C178" s="245">
        <v>45729.0</v>
      </c>
      <c r="D178" s="245">
        <v>45729.0</v>
      </c>
      <c r="E178" s="93" t="s">
        <v>81</v>
      </c>
      <c r="F178" s="247" t="s">
        <v>343</v>
      </c>
      <c r="G178" s="248" t="s">
        <v>1635</v>
      </c>
      <c r="H178" s="93" t="s">
        <v>87</v>
      </c>
      <c r="I178" s="74" t="s">
        <v>932</v>
      </c>
      <c r="J178" s="249">
        <v>10.0</v>
      </c>
      <c r="K178" s="74" t="s">
        <v>1698</v>
      </c>
      <c r="L178" s="74">
        <v>557000.0</v>
      </c>
      <c r="M178" s="74" t="s">
        <v>657</v>
      </c>
      <c r="N178" s="74">
        <f t="shared" si="1"/>
        <v>5570000</v>
      </c>
      <c r="O178" s="60">
        <f t="shared" si="2"/>
        <v>45804</v>
      </c>
      <c r="P178" s="65" t="str">
        <f>VLOOKUP(I178,DATABASE!C:Q,11,FALSE)</f>
        <v>Tire</v>
      </c>
      <c r="Q178" s="65" t="str">
        <f>VLOOKUP(I178,DATABASE!C:Q,4,FALSE)</f>
        <v>Dunlop</v>
      </c>
      <c r="R178" s="79"/>
    </row>
    <row r="179" ht="22.5" customHeight="1">
      <c r="A179" s="49"/>
      <c r="C179" s="245">
        <v>45730.0</v>
      </c>
      <c r="D179" s="245">
        <v>45730.0</v>
      </c>
      <c r="E179" s="93" t="s">
        <v>110</v>
      </c>
      <c r="F179" s="247" t="s">
        <v>343</v>
      </c>
      <c r="G179" s="248" t="s">
        <v>1096</v>
      </c>
      <c r="H179" s="93" t="s">
        <v>7</v>
      </c>
      <c r="I179" s="74" t="s">
        <v>1704</v>
      </c>
      <c r="J179" s="249">
        <v>4.0</v>
      </c>
      <c r="K179" s="74" t="s">
        <v>1705</v>
      </c>
      <c r="L179" s="74">
        <v>700600.0</v>
      </c>
      <c r="M179" s="74" t="s">
        <v>755</v>
      </c>
      <c r="N179" s="74">
        <f t="shared" si="1"/>
        <v>2802400</v>
      </c>
      <c r="O179" s="60">
        <f t="shared" si="2"/>
        <v>45760</v>
      </c>
      <c r="P179" s="65" t="str">
        <f>VLOOKUP(I179,DATABASE!C:Q,11,FALSE)</f>
        <v>Tire</v>
      </c>
      <c r="Q179" s="65" t="str">
        <f>VLOOKUP(I179,DATABASE!C:Q,4,FALSE)</f>
        <v>GT</v>
      </c>
      <c r="R179" s="79"/>
    </row>
    <row r="180" ht="22.5" customHeight="1">
      <c r="A180" s="49"/>
      <c r="C180" s="245">
        <v>45730.0</v>
      </c>
      <c r="D180" s="245">
        <v>45730.0</v>
      </c>
      <c r="E180" s="93" t="s">
        <v>81</v>
      </c>
      <c r="F180" s="247" t="s">
        <v>343</v>
      </c>
      <c r="G180" s="248" t="s">
        <v>1670</v>
      </c>
      <c r="H180" s="93" t="s">
        <v>87</v>
      </c>
      <c r="I180" s="74" t="s">
        <v>282</v>
      </c>
      <c r="J180" s="249">
        <v>11.0</v>
      </c>
      <c r="K180" s="74" t="s">
        <v>1708</v>
      </c>
      <c r="L180" s="74">
        <v>760000.0</v>
      </c>
      <c r="M180" s="74" t="s">
        <v>657</v>
      </c>
      <c r="N180" s="74">
        <f t="shared" si="1"/>
        <v>8360000</v>
      </c>
      <c r="O180" s="60">
        <f t="shared" si="2"/>
        <v>45805</v>
      </c>
      <c r="P180" s="65" t="str">
        <f>VLOOKUP(I180,DATABASE!C:Q,11,FALSE)</f>
        <v>Tire</v>
      </c>
      <c r="Q180" s="65" t="str">
        <f>VLOOKUP(I180,DATABASE!C:Q,4,FALSE)</f>
        <v>Dunlop</v>
      </c>
      <c r="R180" s="79"/>
    </row>
    <row r="181" ht="22.5" customHeight="1">
      <c r="A181" s="49"/>
      <c r="C181" s="245">
        <v>45730.0</v>
      </c>
      <c r="D181" s="245">
        <v>45730.0</v>
      </c>
      <c r="E181" s="93" t="s">
        <v>81</v>
      </c>
      <c r="F181" s="247" t="s">
        <v>343</v>
      </c>
      <c r="G181" s="248" t="s">
        <v>1670</v>
      </c>
      <c r="H181" s="93" t="s">
        <v>87</v>
      </c>
      <c r="I181" s="74" t="s">
        <v>1389</v>
      </c>
      <c r="J181" s="249">
        <v>6.0</v>
      </c>
      <c r="K181" s="74" t="s">
        <v>1052</v>
      </c>
      <c r="L181" s="74">
        <v>870000.0</v>
      </c>
      <c r="M181" s="74" t="s">
        <v>657</v>
      </c>
      <c r="N181" s="74">
        <f t="shared" si="1"/>
        <v>5220000</v>
      </c>
      <c r="O181" s="60">
        <f t="shared" si="2"/>
        <v>45805</v>
      </c>
      <c r="P181" s="65" t="str">
        <f>VLOOKUP(I181,DATABASE!C:Q,11,FALSE)</f>
        <v>Tire</v>
      </c>
      <c r="Q181" s="65" t="str">
        <f>VLOOKUP(I181,DATABASE!C:Q,4,FALSE)</f>
        <v>Dunlop</v>
      </c>
      <c r="R181" s="79"/>
    </row>
    <row r="182" ht="22.5" customHeight="1">
      <c r="A182" s="49"/>
      <c r="C182" s="245">
        <v>45730.0</v>
      </c>
      <c r="D182" s="245">
        <v>45730.0</v>
      </c>
      <c r="E182" s="93" t="s">
        <v>81</v>
      </c>
      <c r="F182" s="247" t="s">
        <v>343</v>
      </c>
      <c r="G182" s="248" t="s">
        <v>1670</v>
      </c>
      <c r="H182" s="93" t="s">
        <v>87</v>
      </c>
      <c r="I182" s="74" t="s">
        <v>279</v>
      </c>
      <c r="J182" s="249">
        <v>10.0</v>
      </c>
      <c r="K182" s="74" t="s">
        <v>1720</v>
      </c>
      <c r="L182" s="74">
        <v>562000.0</v>
      </c>
      <c r="M182" s="74" t="s">
        <v>657</v>
      </c>
      <c r="N182" s="74">
        <f t="shared" si="1"/>
        <v>5620000</v>
      </c>
      <c r="O182" s="60">
        <f t="shared" si="2"/>
        <v>45805</v>
      </c>
      <c r="P182" s="65" t="str">
        <f>VLOOKUP(I182,DATABASE!C:Q,11,FALSE)</f>
        <v>Tire</v>
      </c>
      <c r="Q182" s="65" t="str">
        <f>VLOOKUP(I182,DATABASE!C:Q,4,FALSE)</f>
        <v>Dunlop</v>
      </c>
      <c r="R182" s="79"/>
    </row>
    <row r="183" ht="22.5" customHeight="1">
      <c r="A183" s="49"/>
      <c r="C183" s="245">
        <v>45730.0</v>
      </c>
      <c r="D183" s="245">
        <v>45730.0</v>
      </c>
      <c r="E183" s="93" t="s">
        <v>81</v>
      </c>
      <c r="F183" s="247" t="s">
        <v>343</v>
      </c>
      <c r="G183" s="248" t="s">
        <v>1670</v>
      </c>
      <c r="H183" s="93" t="s">
        <v>87</v>
      </c>
      <c r="I183" s="74" t="s">
        <v>1361</v>
      </c>
      <c r="J183" s="249">
        <v>6.0</v>
      </c>
      <c r="K183" s="74" t="s">
        <v>1111</v>
      </c>
      <c r="L183" s="74">
        <v>810000.0</v>
      </c>
      <c r="M183" s="74" t="s">
        <v>657</v>
      </c>
      <c r="N183" s="74">
        <f t="shared" si="1"/>
        <v>4860000</v>
      </c>
      <c r="O183" s="60">
        <f t="shared" si="2"/>
        <v>45805</v>
      </c>
      <c r="P183" s="65" t="str">
        <f>VLOOKUP(I183,DATABASE!C:Q,11,FALSE)</f>
        <v>Tire</v>
      </c>
      <c r="Q183" s="65" t="str">
        <f>VLOOKUP(I183,DATABASE!C:Q,4,FALSE)</f>
        <v>Dunlop</v>
      </c>
      <c r="R183" s="79"/>
    </row>
    <row r="184" ht="22.5" customHeight="1">
      <c r="A184" s="49"/>
      <c r="C184" s="245">
        <v>45730.0</v>
      </c>
      <c r="D184" s="245">
        <v>45730.0</v>
      </c>
      <c r="E184" s="93" t="s">
        <v>81</v>
      </c>
      <c r="F184" s="247" t="s">
        <v>343</v>
      </c>
      <c r="G184" s="248" t="s">
        <v>1670</v>
      </c>
      <c r="H184" s="93" t="s">
        <v>87</v>
      </c>
      <c r="I184" s="74" t="s">
        <v>271</v>
      </c>
      <c r="J184" s="249">
        <v>20.0</v>
      </c>
      <c r="K184" s="74" t="s">
        <v>697</v>
      </c>
      <c r="L184" s="74">
        <v>530000.0</v>
      </c>
      <c r="M184" s="74" t="s">
        <v>657</v>
      </c>
      <c r="N184" s="74">
        <f t="shared" si="1"/>
        <v>10600000</v>
      </c>
      <c r="O184" s="60">
        <f t="shared" si="2"/>
        <v>45805</v>
      </c>
      <c r="P184" s="65" t="str">
        <f>VLOOKUP(I184,DATABASE!C:Q,11,FALSE)</f>
        <v>Tire</v>
      </c>
      <c r="Q184" s="65" t="str">
        <f>VLOOKUP(I184,DATABASE!C:Q,4,FALSE)</f>
        <v>Dunlop</v>
      </c>
      <c r="R184" s="79"/>
    </row>
    <row r="185" ht="22.5" customHeight="1">
      <c r="A185" s="49"/>
      <c r="C185" s="245">
        <v>45730.0</v>
      </c>
      <c r="D185" s="245">
        <v>45730.0</v>
      </c>
      <c r="E185" s="93" t="s">
        <v>81</v>
      </c>
      <c r="F185" s="247" t="s">
        <v>343</v>
      </c>
      <c r="G185" s="248" t="s">
        <v>1670</v>
      </c>
      <c r="H185" s="93" t="s">
        <v>87</v>
      </c>
      <c r="I185" s="74" t="s">
        <v>1372</v>
      </c>
      <c r="J185" s="249">
        <v>3.0</v>
      </c>
      <c r="K185" s="74" t="s">
        <v>1738</v>
      </c>
      <c r="L185" s="74">
        <v>1000000.0</v>
      </c>
      <c r="M185" s="74" t="s">
        <v>657</v>
      </c>
      <c r="N185" s="74">
        <f t="shared" si="1"/>
        <v>3000000</v>
      </c>
      <c r="O185" s="60">
        <f t="shared" si="2"/>
        <v>45805</v>
      </c>
      <c r="P185" s="65" t="str">
        <f>VLOOKUP(I185,DATABASE!C:Q,11,FALSE)</f>
        <v>Tire</v>
      </c>
      <c r="Q185" s="65" t="str">
        <f>VLOOKUP(I185,DATABASE!C:Q,4,FALSE)</f>
        <v>Dunlop</v>
      </c>
      <c r="R185" s="79"/>
    </row>
    <row r="186" ht="22.5" customHeight="1">
      <c r="A186" s="49"/>
      <c r="C186" s="245">
        <v>45730.0</v>
      </c>
      <c r="D186" s="245">
        <v>45730.0</v>
      </c>
      <c r="E186" s="93" t="s">
        <v>81</v>
      </c>
      <c r="F186" s="247" t="s">
        <v>343</v>
      </c>
      <c r="G186" s="248" t="s">
        <v>1670</v>
      </c>
      <c r="H186" s="93" t="s">
        <v>87</v>
      </c>
      <c r="I186" s="74" t="s">
        <v>940</v>
      </c>
      <c r="J186" s="249">
        <v>2.0</v>
      </c>
      <c r="K186" s="74" t="s">
        <v>1746</v>
      </c>
      <c r="L186" s="74">
        <v>740000.0</v>
      </c>
      <c r="M186" s="74" t="s">
        <v>657</v>
      </c>
      <c r="N186" s="74">
        <f t="shared" si="1"/>
        <v>1480000</v>
      </c>
      <c r="O186" s="60">
        <f t="shared" si="2"/>
        <v>45805</v>
      </c>
      <c r="P186" s="65" t="str">
        <f>VLOOKUP(I186,DATABASE!C:Q,11,FALSE)</f>
        <v>Tire</v>
      </c>
      <c r="Q186" s="65" t="str">
        <f>VLOOKUP(I186,DATABASE!C:Q,4,FALSE)</f>
        <v>Dunlop</v>
      </c>
      <c r="R186" s="79"/>
    </row>
    <row r="187" ht="22.5" customHeight="1">
      <c r="A187" s="49"/>
      <c r="C187" s="245">
        <v>45730.0</v>
      </c>
      <c r="D187" s="245">
        <v>45730.0</v>
      </c>
      <c r="E187" s="93" t="s">
        <v>81</v>
      </c>
      <c r="F187" s="247" t="s">
        <v>343</v>
      </c>
      <c r="G187" s="248" t="s">
        <v>1670</v>
      </c>
      <c r="H187" s="93" t="s">
        <v>87</v>
      </c>
      <c r="I187" s="74" t="s">
        <v>1429</v>
      </c>
      <c r="J187" s="249">
        <v>3.0</v>
      </c>
      <c r="K187" s="74" t="s">
        <v>1111</v>
      </c>
      <c r="L187" s="74">
        <v>810000.0</v>
      </c>
      <c r="M187" s="74" t="s">
        <v>657</v>
      </c>
      <c r="N187" s="74">
        <f t="shared" si="1"/>
        <v>2430000</v>
      </c>
      <c r="O187" s="60">
        <f t="shared" si="2"/>
        <v>45805</v>
      </c>
      <c r="P187" s="65" t="str">
        <f>VLOOKUP(I187,DATABASE!C:Q,11,FALSE)</f>
        <v>Tire</v>
      </c>
      <c r="Q187" s="65" t="str">
        <f>VLOOKUP(I187,DATABASE!C:Q,4,FALSE)</f>
        <v>Dunlop</v>
      </c>
      <c r="R187" s="79"/>
    </row>
    <row r="188" ht="22.5" customHeight="1">
      <c r="A188" s="49"/>
      <c r="C188" s="245">
        <v>45730.0</v>
      </c>
      <c r="D188" s="245">
        <v>45730.0</v>
      </c>
      <c r="E188" s="93" t="s">
        <v>81</v>
      </c>
      <c r="F188" s="247" t="s">
        <v>343</v>
      </c>
      <c r="G188" s="248" t="s">
        <v>1670</v>
      </c>
      <c r="H188" s="93" t="s">
        <v>87</v>
      </c>
      <c r="I188" s="74" t="s">
        <v>268</v>
      </c>
      <c r="J188" s="249">
        <v>10.0</v>
      </c>
      <c r="K188" s="74" t="s">
        <v>1761</v>
      </c>
      <c r="L188" s="74">
        <v>602000.0</v>
      </c>
      <c r="M188" s="74" t="s">
        <v>657</v>
      </c>
      <c r="N188" s="74">
        <f t="shared" si="1"/>
        <v>6020000</v>
      </c>
      <c r="O188" s="60">
        <f t="shared" si="2"/>
        <v>45805</v>
      </c>
      <c r="P188" s="65" t="str">
        <f>VLOOKUP(I188,DATABASE!C:Q,11,FALSE)</f>
        <v>Tire</v>
      </c>
      <c r="Q188" s="65" t="str">
        <f>VLOOKUP(I188,DATABASE!C:Q,4,FALSE)</f>
        <v>Dunlop</v>
      </c>
      <c r="R188" s="79"/>
    </row>
    <row r="189" ht="22.5" customHeight="1">
      <c r="A189" s="49"/>
      <c r="C189" s="245">
        <v>45730.0</v>
      </c>
      <c r="D189" s="245">
        <v>45730.0</v>
      </c>
      <c r="E189" s="93" t="s">
        <v>81</v>
      </c>
      <c r="F189" s="247" t="s">
        <v>343</v>
      </c>
      <c r="G189" s="248" t="s">
        <v>1442</v>
      </c>
      <c r="H189" s="93" t="s">
        <v>87</v>
      </c>
      <c r="I189" s="74" t="s">
        <v>1301</v>
      </c>
      <c r="J189" s="249">
        <v>4.0</v>
      </c>
      <c r="K189" s="74" t="s">
        <v>1302</v>
      </c>
      <c r="L189" s="74">
        <v>1170000.0</v>
      </c>
      <c r="M189" s="74" t="s">
        <v>657</v>
      </c>
      <c r="N189" s="74">
        <f t="shared" si="1"/>
        <v>4680000</v>
      </c>
      <c r="O189" s="60">
        <f t="shared" si="2"/>
        <v>45805</v>
      </c>
      <c r="P189" s="65" t="str">
        <f>VLOOKUP(I189,DATABASE!C:Q,11,FALSE)</f>
        <v>Tire</v>
      </c>
      <c r="Q189" s="65" t="str">
        <f>VLOOKUP(I189,DATABASE!C:Q,4,FALSE)</f>
        <v>Dunlop</v>
      </c>
      <c r="R189" s="79"/>
    </row>
    <row r="190" ht="22.5" customHeight="1">
      <c r="A190" s="49"/>
      <c r="C190" s="245">
        <v>45731.0</v>
      </c>
      <c r="D190" s="245">
        <v>45731.0</v>
      </c>
      <c r="E190" s="93" t="s">
        <v>110</v>
      </c>
      <c r="F190" s="247" t="s">
        <v>343</v>
      </c>
      <c r="G190" s="248" t="s">
        <v>1101</v>
      </c>
      <c r="H190" s="93" t="s">
        <v>7</v>
      </c>
      <c r="I190" s="74" t="s">
        <v>897</v>
      </c>
      <c r="J190" s="249">
        <v>6.0</v>
      </c>
      <c r="K190" s="74" t="s">
        <v>899</v>
      </c>
      <c r="L190" s="74">
        <v>1500000.0</v>
      </c>
      <c r="M190" s="74" t="s">
        <v>755</v>
      </c>
      <c r="N190" s="74">
        <f t="shared" si="1"/>
        <v>9000000</v>
      </c>
      <c r="O190" s="60">
        <f t="shared" si="2"/>
        <v>45761</v>
      </c>
      <c r="P190" s="65" t="str">
        <f>VLOOKUP(I190,DATABASE!C:Q,11,FALSE)</f>
        <v>Tire</v>
      </c>
      <c r="Q190" s="65" t="str">
        <f>VLOOKUP(I190,DATABASE!C:Q,4,FALSE)</f>
        <v>GT</v>
      </c>
      <c r="R190" s="79"/>
    </row>
    <row r="191" ht="22.5" customHeight="1">
      <c r="A191" s="49"/>
      <c r="C191" s="245">
        <v>45731.0</v>
      </c>
      <c r="D191" s="245">
        <v>45731.0</v>
      </c>
      <c r="E191" s="93" t="s">
        <v>110</v>
      </c>
      <c r="F191" s="247" t="s">
        <v>343</v>
      </c>
      <c r="G191" s="248" t="s">
        <v>1101</v>
      </c>
      <c r="H191" s="93" t="s">
        <v>7</v>
      </c>
      <c r="I191" s="74" t="s">
        <v>1783</v>
      </c>
      <c r="J191" s="249">
        <v>4.0</v>
      </c>
      <c r="K191" s="74" t="s">
        <v>1786</v>
      </c>
      <c r="L191" s="74">
        <v>578460.0</v>
      </c>
      <c r="M191" s="74" t="s">
        <v>755</v>
      </c>
      <c r="N191" s="74">
        <f t="shared" si="1"/>
        <v>2313840</v>
      </c>
      <c r="O191" s="60">
        <f t="shared" si="2"/>
        <v>45761</v>
      </c>
      <c r="P191" s="65" t="str">
        <f>VLOOKUP(I191,DATABASE!C:Q,11,FALSE)</f>
        <v>Tire</v>
      </c>
      <c r="Q191" s="65" t="str">
        <f>VLOOKUP(I191,DATABASE!C:Q,4,FALSE)</f>
        <v>GT</v>
      </c>
      <c r="R191" s="79"/>
    </row>
    <row r="192" ht="22.5" customHeight="1">
      <c r="A192" s="49"/>
      <c r="C192" s="245">
        <v>45733.0</v>
      </c>
      <c r="D192" s="245">
        <v>45733.0</v>
      </c>
      <c r="E192" s="246" t="s">
        <v>97</v>
      </c>
      <c r="F192" s="247" t="s">
        <v>343</v>
      </c>
      <c r="G192" s="248" t="s">
        <v>1793</v>
      </c>
      <c r="H192" s="93" t="s">
        <v>87</v>
      </c>
      <c r="I192" s="74" t="s">
        <v>1196</v>
      </c>
      <c r="J192" s="249">
        <v>8.0</v>
      </c>
      <c r="K192" s="74" t="s">
        <v>1403</v>
      </c>
      <c r="L192" s="74">
        <v>945190.375</v>
      </c>
      <c r="M192" s="74" t="s">
        <v>521</v>
      </c>
      <c r="N192" s="74">
        <f t="shared" si="1"/>
        <v>7561523</v>
      </c>
      <c r="O192" s="60">
        <f t="shared" si="2"/>
        <v>45793</v>
      </c>
      <c r="P192" s="65" t="str">
        <f>VLOOKUP(I192,DATABASE!C:Q,11,FALSE)</f>
        <v>Tire</v>
      </c>
      <c r="Q192" s="65" t="str">
        <f>VLOOKUP(I192,DATABASE!C:Q,4,FALSE)</f>
        <v>Bridgestone</v>
      </c>
      <c r="R192" s="79"/>
    </row>
    <row r="193" ht="22.5" customHeight="1">
      <c r="A193" s="49"/>
      <c r="C193" s="245">
        <v>45733.0</v>
      </c>
      <c r="D193" s="245">
        <v>45733.0</v>
      </c>
      <c r="E193" s="246" t="s">
        <v>97</v>
      </c>
      <c r="F193" s="247" t="s">
        <v>343</v>
      </c>
      <c r="G193" s="248" t="s">
        <v>1793</v>
      </c>
      <c r="H193" s="93" t="s">
        <v>87</v>
      </c>
      <c r="I193" s="74" t="s">
        <v>1160</v>
      </c>
      <c r="J193" s="249">
        <v>1.0</v>
      </c>
      <c r="K193" s="74" t="s">
        <v>1800</v>
      </c>
      <c r="L193" s="74">
        <v>799425.0</v>
      </c>
      <c r="M193" s="74" t="s">
        <v>521</v>
      </c>
      <c r="N193" s="74">
        <f t="shared" si="1"/>
        <v>799425</v>
      </c>
      <c r="O193" s="60">
        <f t="shared" si="2"/>
        <v>45793</v>
      </c>
      <c r="P193" s="65" t="str">
        <f>VLOOKUP(I193,DATABASE!C:Q,11,FALSE)</f>
        <v>Tire</v>
      </c>
      <c r="Q193" s="65" t="str">
        <f>VLOOKUP(I193,DATABASE!C:Q,4,FALSE)</f>
        <v>Bridgestone</v>
      </c>
      <c r="R193" s="79"/>
    </row>
    <row r="194" ht="22.5" customHeight="1">
      <c r="A194" s="49"/>
      <c r="C194" s="245">
        <v>45733.0</v>
      </c>
      <c r="D194" s="245">
        <v>45733.0</v>
      </c>
      <c r="E194" s="246" t="s">
        <v>97</v>
      </c>
      <c r="F194" s="247" t="s">
        <v>343</v>
      </c>
      <c r="G194" s="248" t="s">
        <v>1804</v>
      </c>
      <c r="H194" s="93" t="s">
        <v>87</v>
      </c>
      <c r="I194" s="74" t="s">
        <v>566</v>
      </c>
      <c r="J194" s="249">
        <v>10.0</v>
      </c>
      <c r="K194" s="74" t="s">
        <v>567</v>
      </c>
      <c r="L194" s="74">
        <v>1570000.0</v>
      </c>
      <c r="M194" s="74" t="s">
        <v>521</v>
      </c>
      <c r="N194" s="74">
        <f t="shared" si="1"/>
        <v>15700000</v>
      </c>
      <c r="O194" s="60">
        <f t="shared" si="2"/>
        <v>45793</v>
      </c>
      <c r="P194" s="65" t="str">
        <f>VLOOKUP(I194,DATABASE!C:Q,11,FALSE)</f>
        <v>Tire</v>
      </c>
      <c r="Q194" s="65" t="str">
        <f>VLOOKUP(I194,DATABASE!C:Q,4,FALSE)</f>
        <v>Bridgestone</v>
      </c>
      <c r="R194" s="79"/>
    </row>
    <row r="195" ht="22.5" customHeight="1">
      <c r="A195" s="49"/>
      <c r="C195" s="245">
        <v>45733.0</v>
      </c>
      <c r="D195" s="245">
        <v>45733.0</v>
      </c>
      <c r="E195" s="246" t="s">
        <v>97</v>
      </c>
      <c r="F195" s="247" t="s">
        <v>343</v>
      </c>
      <c r="G195" s="248" t="s">
        <v>1804</v>
      </c>
      <c r="H195" s="93" t="s">
        <v>87</v>
      </c>
      <c r="I195" s="74" t="s">
        <v>572</v>
      </c>
      <c r="J195" s="249">
        <v>10.0</v>
      </c>
      <c r="K195" s="74" t="s">
        <v>1231</v>
      </c>
      <c r="L195" s="74">
        <v>1270000.0</v>
      </c>
      <c r="M195" s="74" t="s">
        <v>521</v>
      </c>
      <c r="N195" s="74">
        <f t="shared" si="1"/>
        <v>12700000</v>
      </c>
      <c r="O195" s="60">
        <f t="shared" si="2"/>
        <v>45793</v>
      </c>
      <c r="P195" s="65" t="str">
        <f>VLOOKUP(I195,DATABASE!C:Q,11,FALSE)</f>
        <v>Tire</v>
      </c>
      <c r="Q195" s="65" t="str">
        <f>VLOOKUP(I195,DATABASE!C:Q,4,FALSE)</f>
        <v>Bridgestone</v>
      </c>
      <c r="R195" s="79"/>
    </row>
    <row r="196" ht="22.5" customHeight="1">
      <c r="A196" s="49"/>
      <c r="C196" s="245">
        <v>45733.0</v>
      </c>
      <c r="D196" s="245">
        <v>45733.0</v>
      </c>
      <c r="E196" s="246" t="s">
        <v>97</v>
      </c>
      <c r="F196" s="247" t="s">
        <v>343</v>
      </c>
      <c r="G196" s="248" t="s">
        <v>1793</v>
      </c>
      <c r="H196" s="93" t="s">
        <v>87</v>
      </c>
      <c r="I196" s="74" t="s">
        <v>600</v>
      </c>
      <c r="J196" s="249">
        <v>15.0</v>
      </c>
      <c r="K196" s="74" t="s">
        <v>1812</v>
      </c>
      <c r="L196" s="74">
        <v>572762.4</v>
      </c>
      <c r="M196" s="74" t="s">
        <v>521</v>
      </c>
      <c r="N196" s="74">
        <f t="shared" si="1"/>
        <v>8591436</v>
      </c>
      <c r="O196" s="60">
        <f t="shared" si="2"/>
        <v>45793</v>
      </c>
      <c r="P196" s="65" t="str">
        <f>VLOOKUP(I196,DATABASE!C:Q,11,FALSE)</f>
        <v>Tire</v>
      </c>
      <c r="Q196" s="65" t="str">
        <f>VLOOKUP(I196,DATABASE!C:Q,4,FALSE)</f>
        <v>Bridgestone</v>
      </c>
      <c r="R196" s="79"/>
    </row>
    <row r="197" ht="22.5" customHeight="1">
      <c r="A197" s="49"/>
      <c r="C197" s="245">
        <v>45733.0</v>
      </c>
      <c r="D197" s="245">
        <v>45733.0</v>
      </c>
      <c r="E197" s="246" t="s">
        <v>97</v>
      </c>
      <c r="F197" s="247" t="s">
        <v>343</v>
      </c>
      <c r="G197" s="248" t="s">
        <v>1793</v>
      </c>
      <c r="H197" s="93" t="s">
        <v>87</v>
      </c>
      <c r="I197" s="74" t="s">
        <v>605</v>
      </c>
      <c r="J197" s="249">
        <v>8.0</v>
      </c>
      <c r="K197" s="74" t="s">
        <v>606</v>
      </c>
      <c r="L197" s="74">
        <v>670000.0</v>
      </c>
      <c r="M197" s="74" t="s">
        <v>521</v>
      </c>
      <c r="N197" s="74">
        <f t="shared" si="1"/>
        <v>5360000</v>
      </c>
      <c r="O197" s="60">
        <f t="shared" si="2"/>
        <v>45793</v>
      </c>
      <c r="P197" s="65" t="str">
        <f>VLOOKUP(I197,DATABASE!C:Q,11,FALSE)</f>
        <v>Tire</v>
      </c>
      <c r="Q197" s="65" t="str">
        <f>VLOOKUP(I197,DATABASE!C:Q,4,FALSE)</f>
        <v>Bridgestone</v>
      </c>
      <c r="R197" s="79"/>
    </row>
    <row r="198" ht="22.5" customHeight="1">
      <c r="A198" s="49"/>
      <c r="C198" s="245">
        <v>45733.0</v>
      </c>
      <c r="D198" s="245">
        <v>45733.0</v>
      </c>
      <c r="E198" s="246" t="s">
        <v>97</v>
      </c>
      <c r="F198" s="247" t="s">
        <v>343</v>
      </c>
      <c r="G198" s="248" t="s">
        <v>1793</v>
      </c>
      <c r="H198" s="93" t="s">
        <v>87</v>
      </c>
      <c r="I198" s="74" t="s">
        <v>554</v>
      </c>
      <c r="J198" s="249">
        <v>8.0</v>
      </c>
      <c r="K198" s="74" t="s">
        <v>556</v>
      </c>
      <c r="L198" s="74">
        <v>700000.0</v>
      </c>
      <c r="M198" s="74" t="s">
        <v>521</v>
      </c>
      <c r="N198" s="74">
        <f t="shared" si="1"/>
        <v>5600000</v>
      </c>
      <c r="O198" s="60">
        <f t="shared" si="2"/>
        <v>45793</v>
      </c>
      <c r="P198" s="65" t="str">
        <f>VLOOKUP(I198,DATABASE!C:Q,11,FALSE)</f>
        <v>Tire</v>
      </c>
      <c r="Q198" s="65" t="str">
        <f>VLOOKUP(I198,DATABASE!C:Q,4,FALSE)</f>
        <v>Bridgestone</v>
      </c>
      <c r="R198" s="79"/>
    </row>
    <row r="199" ht="22.5" customHeight="1">
      <c r="A199" s="49"/>
      <c r="C199" s="245">
        <v>45733.0</v>
      </c>
      <c r="D199" s="245">
        <v>45733.0</v>
      </c>
      <c r="E199" s="246" t="s">
        <v>97</v>
      </c>
      <c r="F199" s="247" t="s">
        <v>343</v>
      </c>
      <c r="G199" s="248" t="s">
        <v>1793</v>
      </c>
      <c r="H199" s="93" t="s">
        <v>87</v>
      </c>
      <c r="I199" s="74" t="s">
        <v>937</v>
      </c>
      <c r="J199" s="249">
        <v>10.0</v>
      </c>
      <c r="K199" s="74" t="s">
        <v>1111</v>
      </c>
      <c r="L199" s="74">
        <v>810000.0</v>
      </c>
      <c r="M199" s="74" t="s">
        <v>521</v>
      </c>
      <c r="N199" s="74">
        <f t="shared" si="1"/>
        <v>8100000</v>
      </c>
      <c r="O199" s="60">
        <f t="shared" si="2"/>
        <v>45793</v>
      </c>
      <c r="P199" s="65" t="str">
        <f>VLOOKUP(I199,DATABASE!C:Q,11,FALSE)</f>
        <v>Tire</v>
      </c>
      <c r="Q199" s="65" t="str">
        <f>VLOOKUP(I199,DATABASE!C:Q,4,FALSE)</f>
        <v>Bridgestone</v>
      </c>
      <c r="R199" s="79"/>
      <c r="Y199" s="256">
        <v>45681.0</v>
      </c>
      <c r="AA199" s="378">
        <f t="shared" ref="AA199:AA219" si="3">Y199+30</f>
        <v>45711</v>
      </c>
    </row>
    <row r="200" ht="22.5" customHeight="1">
      <c r="A200" s="49"/>
      <c r="C200" s="245">
        <v>45733.0</v>
      </c>
      <c r="D200" s="245">
        <v>45733.0</v>
      </c>
      <c r="E200" s="246" t="s">
        <v>97</v>
      </c>
      <c r="F200" s="247" t="s">
        <v>343</v>
      </c>
      <c r="G200" s="248" t="s">
        <v>1793</v>
      </c>
      <c r="H200" s="93" t="s">
        <v>87</v>
      </c>
      <c r="I200" s="74" t="s">
        <v>622</v>
      </c>
      <c r="J200" s="249">
        <v>9.0</v>
      </c>
      <c r="K200" s="74" t="s">
        <v>1826</v>
      </c>
      <c r="L200" s="74">
        <v>810342.44</v>
      </c>
      <c r="M200" s="74" t="s">
        <v>521</v>
      </c>
      <c r="N200" s="74">
        <f t="shared" si="1"/>
        <v>7293081.96</v>
      </c>
      <c r="O200" s="60">
        <f t="shared" si="2"/>
        <v>45793</v>
      </c>
      <c r="P200" s="65" t="str">
        <f>VLOOKUP(I200,DATABASE!C:Q,11,FALSE)</f>
        <v>Tire</v>
      </c>
      <c r="Q200" s="65" t="str">
        <f>VLOOKUP(I200,DATABASE!C:Q,4,FALSE)</f>
        <v>Bridgestone</v>
      </c>
      <c r="R200" s="79"/>
      <c r="Y200" s="256">
        <v>45700.0</v>
      </c>
      <c r="AA200" s="378">
        <f t="shared" si="3"/>
        <v>45730</v>
      </c>
    </row>
    <row r="201" ht="22.5" customHeight="1">
      <c r="A201" s="49"/>
      <c r="C201" s="245">
        <v>45733.0</v>
      </c>
      <c r="D201" s="245">
        <v>45733.0</v>
      </c>
      <c r="E201" s="246" t="s">
        <v>97</v>
      </c>
      <c r="F201" s="247" t="s">
        <v>343</v>
      </c>
      <c r="G201" s="248" t="s">
        <v>1829</v>
      </c>
      <c r="H201" s="93" t="s">
        <v>87</v>
      </c>
      <c r="I201" s="74" t="s">
        <v>972</v>
      </c>
      <c r="J201" s="249">
        <v>4.0</v>
      </c>
      <c r="K201" s="74" t="s">
        <v>1830</v>
      </c>
      <c r="L201" s="74">
        <v>671104.0</v>
      </c>
      <c r="M201" s="74" t="s">
        <v>521</v>
      </c>
      <c r="N201" s="74">
        <f t="shared" si="1"/>
        <v>2684416</v>
      </c>
      <c r="O201" s="60">
        <f t="shared" si="2"/>
        <v>45793</v>
      </c>
      <c r="P201" s="65" t="str">
        <f>VLOOKUP(I201,DATABASE!C:Q,11,FALSE)</f>
        <v>Tire</v>
      </c>
      <c r="Q201" s="65" t="str">
        <f>VLOOKUP(I201,DATABASE!C:Q,4,FALSE)</f>
        <v>Bridgestone</v>
      </c>
      <c r="R201" s="79"/>
      <c r="Y201" s="256">
        <v>45712.0</v>
      </c>
      <c r="AA201" s="378">
        <f t="shared" si="3"/>
        <v>45742</v>
      </c>
    </row>
    <row r="202" ht="22.5" customHeight="1">
      <c r="A202" s="49"/>
      <c r="C202" s="245">
        <v>45733.0</v>
      </c>
      <c r="D202" s="245">
        <v>45733.0</v>
      </c>
      <c r="E202" s="246" t="s">
        <v>97</v>
      </c>
      <c r="F202" s="247" t="s">
        <v>343</v>
      </c>
      <c r="G202" s="248" t="s">
        <v>1829</v>
      </c>
      <c r="H202" s="93" t="s">
        <v>87</v>
      </c>
      <c r="I202" s="74" t="s">
        <v>947</v>
      </c>
      <c r="J202" s="249">
        <v>6.0</v>
      </c>
      <c r="K202" s="74" t="s">
        <v>1833</v>
      </c>
      <c r="L202" s="74">
        <v>680512.0</v>
      </c>
      <c r="M202" s="74" t="s">
        <v>521</v>
      </c>
      <c r="N202" s="74">
        <f t="shared" si="1"/>
        <v>4083072</v>
      </c>
      <c r="O202" s="60">
        <f t="shared" si="2"/>
        <v>45793</v>
      </c>
      <c r="P202" s="65" t="str">
        <f>VLOOKUP(I202,DATABASE!C:Q,11,FALSE)</f>
        <v>Tire</v>
      </c>
      <c r="Q202" s="65" t="str">
        <f>VLOOKUP(I202,DATABASE!C:Q,4,FALSE)</f>
        <v>Bridgestone</v>
      </c>
      <c r="R202" s="79"/>
      <c r="Y202" s="256">
        <v>45719.0</v>
      </c>
      <c r="AA202" s="378">
        <f t="shared" si="3"/>
        <v>45749</v>
      </c>
    </row>
    <row r="203" ht="22.5" customHeight="1">
      <c r="A203" s="49"/>
      <c r="C203" s="245">
        <v>45733.0</v>
      </c>
      <c r="D203" s="245">
        <v>45733.0</v>
      </c>
      <c r="E203" s="246" t="s">
        <v>97</v>
      </c>
      <c r="F203" s="247" t="s">
        <v>343</v>
      </c>
      <c r="G203" s="248" t="s">
        <v>1829</v>
      </c>
      <c r="H203" s="93" t="s">
        <v>87</v>
      </c>
      <c r="I203" s="74" t="s">
        <v>622</v>
      </c>
      <c r="J203" s="249">
        <v>1.0</v>
      </c>
      <c r="K203" s="74" t="s">
        <v>1826</v>
      </c>
      <c r="L203" s="74">
        <v>810342.44</v>
      </c>
      <c r="M203" s="74" t="s">
        <v>521</v>
      </c>
      <c r="N203" s="74">
        <f t="shared" si="1"/>
        <v>810342.44</v>
      </c>
      <c r="O203" s="60">
        <f t="shared" si="2"/>
        <v>45793</v>
      </c>
      <c r="P203" s="65" t="str">
        <f>VLOOKUP(I203,DATABASE!C:Q,11,FALSE)</f>
        <v>Tire</v>
      </c>
      <c r="Q203" s="65" t="str">
        <f>VLOOKUP(I203,DATABASE!C:Q,4,FALSE)</f>
        <v>Bridgestone</v>
      </c>
      <c r="R203" s="79"/>
      <c r="Y203" s="256">
        <v>45719.0</v>
      </c>
      <c r="AA203" s="378">
        <f t="shared" si="3"/>
        <v>45749</v>
      </c>
    </row>
    <row r="204" ht="22.5" customHeight="1">
      <c r="A204" s="49"/>
      <c r="C204" s="245">
        <v>45733.0</v>
      </c>
      <c r="D204" s="245">
        <v>45733.0</v>
      </c>
      <c r="E204" s="246" t="s">
        <v>97</v>
      </c>
      <c r="F204" s="247" t="s">
        <v>343</v>
      </c>
      <c r="G204" s="248" t="s">
        <v>1829</v>
      </c>
      <c r="H204" s="93" t="s">
        <v>87</v>
      </c>
      <c r="I204" s="74" t="s">
        <v>591</v>
      </c>
      <c r="J204" s="249">
        <v>15.0</v>
      </c>
      <c r="K204" s="74" t="s">
        <v>1841</v>
      </c>
      <c r="L204" s="74">
        <v>564181.0</v>
      </c>
      <c r="M204" s="74" t="s">
        <v>521</v>
      </c>
      <c r="N204" s="74">
        <f t="shared" si="1"/>
        <v>8462715</v>
      </c>
      <c r="O204" s="60">
        <f t="shared" si="2"/>
        <v>45793</v>
      </c>
      <c r="P204" s="65" t="str">
        <f>VLOOKUP(I204,DATABASE!C:Q,11,FALSE)</f>
        <v>Tire</v>
      </c>
      <c r="Q204" s="65" t="str">
        <f>VLOOKUP(I204,DATABASE!C:Q,4,FALSE)</f>
        <v>Bridgestone</v>
      </c>
      <c r="R204" s="79"/>
      <c r="Y204" s="256">
        <v>45761.0</v>
      </c>
      <c r="AA204" s="378">
        <f t="shared" si="3"/>
        <v>45791</v>
      </c>
    </row>
    <row r="205" ht="22.5" customHeight="1">
      <c r="A205" s="49"/>
      <c r="C205" s="245">
        <v>45734.0</v>
      </c>
      <c r="D205" s="245">
        <v>45734.0</v>
      </c>
      <c r="E205" s="93" t="s">
        <v>257</v>
      </c>
      <c r="F205" s="247" t="s">
        <v>343</v>
      </c>
      <c r="G205" s="248" t="s">
        <v>1845</v>
      </c>
      <c r="H205" s="93" t="s">
        <v>7</v>
      </c>
      <c r="I205" s="74" t="s">
        <v>643</v>
      </c>
      <c r="J205" s="249">
        <v>10.0</v>
      </c>
      <c r="K205" s="74" t="s">
        <v>1846</v>
      </c>
      <c r="L205" s="74">
        <v>111800.0</v>
      </c>
      <c r="M205" s="74" t="s">
        <v>521</v>
      </c>
      <c r="N205" s="74">
        <f t="shared" si="1"/>
        <v>1118000</v>
      </c>
      <c r="O205" s="60">
        <f t="shared" si="2"/>
        <v>45794</v>
      </c>
      <c r="P205" s="65" t="str">
        <f>VLOOKUP(I205,DATABASE!C:Q,11,FALSE)</f>
        <v>Tire</v>
      </c>
      <c r="Q205" s="65" t="str">
        <f>VLOOKUP(I205,DATABASE!C:Q,4,FALSE)</f>
        <v>BD</v>
      </c>
      <c r="R205" s="79"/>
      <c r="Y205" s="256">
        <v>45779.0</v>
      </c>
      <c r="AA205" s="378">
        <f t="shared" si="3"/>
        <v>45809</v>
      </c>
    </row>
    <row r="206" ht="22.5" customHeight="1">
      <c r="A206" s="49"/>
      <c r="C206" s="245">
        <v>45735.0</v>
      </c>
      <c r="D206" s="245">
        <v>45735.0</v>
      </c>
      <c r="E206" s="93" t="s">
        <v>110</v>
      </c>
      <c r="F206" s="247" t="s">
        <v>343</v>
      </c>
      <c r="G206" s="248" t="s">
        <v>1107</v>
      </c>
      <c r="H206" s="93" t="s">
        <v>7</v>
      </c>
      <c r="I206" s="74" t="s">
        <v>1849</v>
      </c>
      <c r="J206" s="249">
        <v>1.0</v>
      </c>
      <c r="K206" s="74" t="s">
        <v>1850</v>
      </c>
      <c r="L206" s="74">
        <v>1003000.0</v>
      </c>
      <c r="M206" s="74" t="s">
        <v>755</v>
      </c>
      <c r="N206" s="74">
        <f t="shared" si="1"/>
        <v>1003000</v>
      </c>
      <c r="O206" s="60">
        <f t="shared" si="2"/>
        <v>45765</v>
      </c>
      <c r="P206" s="65" t="str">
        <f>VLOOKUP(I206,DATABASE!C:Q,11,FALSE)</f>
        <v>Tire</v>
      </c>
      <c r="Q206" s="65" t="str">
        <f>VLOOKUP(I206,DATABASE!C:Q,4,FALSE)</f>
        <v>GT</v>
      </c>
      <c r="R206" s="79"/>
      <c r="Y206" s="256">
        <v>45779.0</v>
      </c>
      <c r="AA206" s="378">
        <f t="shared" si="3"/>
        <v>45809</v>
      </c>
    </row>
    <row r="207" ht="22.5" customHeight="1">
      <c r="A207" s="49"/>
      <c r="C207" s="245">
        <v>45735.0</v>
      </c>
      <c r="D207" s="245">
        <v>45735.0</v>
      </c>
      <c r="E207" s="93" t="s">
        <v>110</v>
      </c>
      <c r="F207" s="247" t="s">
        <v>343</v>
      </c>
      <c r="G207" s="248" t="s">
        <v>1107</v>
      </c>
      <c r="H207" s="93" t="s">
        <v>7</v>
      </c>
      <c r="I207" s="74" t="s">
        <v>812</v>
      </c>
      <c r="J207" s="249">
        <v>1.0</v>
      </c>
      <c r="K207" s="74" t="s">
        <v>1857</v>
      </c>
      <c r="L207" s="74">
        <v>157500.0</v>
      </c>
      <c r="M207" s="74" t="s">
        <v>755</v>
      </c>
      <c r="N207" s="74">
        <f t="shared" si="1"/>
        <v>157500</v>
      </c>
      <c r="O207" s="60">
        <f t="shared" si="2"/>
        <v>45765</v>
      </c>
      <c r="P207" s="65" t="str">
        <f>VLOOKUP(I207,DATABASE!C:Q,11,FALSE)</f>
        <v>Tire</v>
      </c>
      <c r="Q207" s="65" t="str">
        <f>VLOOKUP(I207,DATABASE!C:Q,4,FALSE)</f>
        <v>BD</v>
      </c>
      <c r="R207" s="79"/>
      <c r="Y207" s="256">
        <v>45798.0</v>
      </c>
      <c r="AA207" s="378">
        <f t="shared" si="3"/>
        <v>45828</v>
      </c>
    </row>
    <row r="208" ht="22.5" customHeight="1">
      <c r="A208" s="49"/>
      <c r="C208" s="245">
        <v>45735.0</v>
      </c>
      <c r="D208" s="245">
        <v>45735.0</v>
      </c>
      <c r="E208" s="93" t="s">
        <v>110</v>
      </c>
      <c r="F208" s="247" t="s">
        <v>343</v>
      </c>
      <c r="G208" s="248" t="s">
        <v>1107</v>
      </c>
      <c r="H208" s="93" t="s">
        <v>7</v>
      </c>
      <c r="I208" s="74" t="s">
        <v>1677</v>
      </c>
      <c r="J208" s="249">
        <v>1.0</v>
      </c>
      <c r="K208" s="74" t="s">
        <v>1861</v>
      </c>
      <c r="L208" s="74">
        <v>76000.0</v>
      </c>
      <c r="M208" s="74" t="s">
        <v>755</v>
      </c>
      <c r="N208" s="74">
        <f t="shared" si="1"/>
        <v>76000</v>
      </c>
      <c r="O208" s="60">
        <f t="shared" si="2"/>
        <v>45765</v>
      </c>
      <c r="P208" s="65" t="str">
        <f>VLOOKUP(I208,DATABASE!C:Q,11,FALSE)</f>
        <v>Tire</v>
      </c>
      <c r="Q208" s="65" t="str">
        <f>VLOOKUP(I208,DATABASE!C:Q,4,FALSE)</f>
        <v>Flap</v>
      </c>
      <c r="R208" s="79"/>
      <c r="Y208" s="256">
        <v>45798.0</v>
      </c>
      <c r="AA208" s="378">
        <f t="shared" si="3"/>
        <v>45828</v>
      </c>
    </row>
    <row r="209" ht="22.5" customHeight="1">
      <c r="A209" s="49"/>
      <c r="C209" s="245">
        <v>45735.0</v>
      </c>
      <c r="D209" s="245">
        <v>45735.0</v>
      </c>
      <c r="E209" s="93" t="s">
        <v>110</v>
      </c>
      <c r="F209" s="247" t="s">
        <v>343</v>
      </c>
      <c r="G209" s="248" t="s">
        <v>1116</v>
      </c>
      <c r="H209" s="93" t="s">
        <v>7</v>
      </c>
      <c r="I209" s="74" t="s">
        <v>1867</v>
      </c>
      <c r="J209" s="249">
        <v>6.0</v>
      </c>
      <c r="K209" s="74" t="s">
        <v>1868</v>
      </c>
      <c r="L209" s="74">
        <v>549320.0</v>
      </c>
      <c r="M209" s="74" t="s">
        <v>755</v>
      </c>
      <c r="N209" s="74">
        <f t="shared" si="1"/>
        <v>3295920</v>
      </c>
      <c r="O209" s="60">
        <f t="shared" si="2"/>
        <v>45765</v>
      </c>
      <c r="P209" s="65" t="str">
        <f>VLOOKUP(I209,DATABASE!C:Q,11,FALSE)</f>
        <v>Tire</v>
      </c>
      <c r="Q209" s="65" t="str">
        <f>VLOOKUP(I209,DATABASE!C:Q,4,FALSE)</f>
        <v>GT</v>
      </c>
      <c r="R209" s="79"/>
      <c r="Y209" s="256">
        <v>45821.0</v>
      </c>
      <c r="AA209" s="378">
        <f t="shared" si="3"/>
        <v>45851</v>
      </c>
    </row>
    <row r="210" ht="22.5" customHeight="1">
      <c r="A210" s="49"/>
      <c r="C210" s="245">
        <v>45735.0</v>
      </c>
      <c r="D210" s="245">
        <v>45735.0</v>
      </c>
      <c r="E210" s="93" t="s">
        <v>110</v>
      </c>
      <c r="F210" s="247" t="s">
        <v>343</v>
      </c>
      <c r="G210" s="248" t="s">
        <v>1116</v>
      </c>
      <c r="H210" s="93" t="s">
        <v>7</v>
      </c>
      <c r="I210" s="74" t="s">
        <v>868</v>
      </c>
      <c r="J210" s="249">
        <v>8.0</v>
      </c>
      <c r="K210" s="74" t="s">
        <v>1870</v>
      </c>
      <c r="L210" s="74">
        <v>822740.0</v>
      </c>
      <c r="M210" s="74" t="s">
        <v>755</v>
      </c>
      <c r="N210" s="74">
        <f t="shared" si="1"/>
        <v>6581920</v>
      </c>
      <c r="O210" s="60">
        <f t="shared" si="2"/>
        <v>45765</v>
      </c>
      <c r="P210" s="65" t="str">
        <f>VLOOKUP(I210,DATABASE!C:Q,11,FALSE)</f>
        <v>Tire</v>
      </c>
      <c r="Q210" s="65" t="str">
        <f>VLOOKUP(I210,DATABASE!C:Q,4,FALSE)</f>
        <v>GT</v>
      </c>
      <c r="R210" s="79"/>
      <c r="Y210" s="256">
        <v>45821.0</v>
      </c>
      <c r="AA210" s="378">
        <f t="shared" si="3"/>
        <v>45851</v>
      </c>
    </row>
    <row r="211" ht="22.5" customHeight="1">
      <c r="A211" s="49"/>
      <c r="C211" s="245">
        <v>45735.0</v>
      </c>
      <c r="D211" s="245">
        <v>45735.0</v>
      </c>
      <c r="E211" s="93" t="s">
        <v>110</v>
      </c>
      <c r="F211" s="247" t="s">
        <v>343</v>
      </c>
      <c r="G211" s="248" t="s">
        <v>1116</v>
      </c>
      <c r="H211" s="93" t="s">
        <v>7</v>
      </c>
      <c r="I211" s="74" t="s">
        <v>1872</v>
      </c>
      <c r="J211" s="249">
        <v>4.0</v>
      </c>
      <c r="K211" s="74" t="s">
        <v>1875</v>
      </c>
      <c r="L211" s="74">
        <v>638600.0</v>
      </c>
      <c r="M211" s="74" t="s">
        <v>755</v>
      </c>
      <c r="N211" s="74">
        <f t="shared" si="1"/>
        <v>2554400</v>
      </c>
      <c r="O211" s="60">
        <f t="shared" si="2"/>
        <v>45765</v>
      </c>
      <c r="P211" s="65" t="str">
        <f>VLOOKUP(I211,DATABASE!C:Q,11,FALSE)</f>
        <v>Tire</v>
      </c>
      <c r="Q211" s="65" t="str">
        <f>VLOOKUP(I211,DATABASE!C:Q,4,FALSE)</f>
        <v>GT</v>
      </c>
      <c r="R211" s="79"/>
      <c r="Y211" s="256">
        <v>45821.0</v>
      </c>
      <c r="AA211" s="378">
        <f t="shared" si="3"/>
        <v>45851</v>
      </c>
    </row>
    <row r="212" ht="22.5" customHeight="1">
      <c r="A212" s="49"/>
      <c r="C212" s="245">
        <v>45737.0</v>
      </c>
      <c r="D212" s="245">
        <v>45737.0</v>
      </c>
      <c r="E212" s="93" t="s">
        <v>198</v>
      </c>
      <c r="F212" s="247" t="s">
        <v>343</v>
      </c>
      <c r="G212" s="248" t="s">
        <v>1878</v>
      </c>
      <c r="H212" s="93" t="s">
        <v>7</v>
      </c>
      <c r="I212" s="74" t="s">
        <v>569</v>
      </c>
      <c r="J212" s="249">
        <v>60.0</v>
      </c>
      <c r="K212" s="74" t="s">
        <v>1037</v>
      </c>
      <c r="L212" s="74">
        <v>45309.6</v>
      </c>
      <c r="M212" s="74" t="s">
        <v>521</v>
      </c>
      <c r="N212" s="74">
        <f t="shared" si="1"/>
        <v>2718576</v>
      </c>
      <c r="O212" s="60">
        <f t="shared" si="2"/>
        <v>45797</v>
      </c>
      <c r="P212" s="65" t="str">
        <f>VLOOKUP(I212,DATABASE!C:Q,11,FALSE)</f>
        <v>Tire</v>
      </c>
      <c r="Q212" s="65" t="str">
        <f>VLOOKUP(I212,DATABASE!C:Q,4,FALSE)</f>
        <v>BD</v>
      </c>
      <c r="R212" s="79"/>
      <c r="Y212" s="256">
        <v>45841.0</v>
      </c>
      <c r="AA212" s="378">
        <f t="shared" si="3"/>
        <v>45871</v>
      </c>
    </row>
    <row r="213" ht="22.5" customHeight="1">
      <c r="A213" s="49"/>
      <c r="C213" s="245">
        <v>45737.0</v>
      </c>
      <c r="D213" s="245">
        <v>45737.0</v>
      </c>
      <c r="E213" s="93" t="s">
        <v>318</v>
      </c>
      <c r="F213" s="247" t="s">
        <v>343</v>
      </c>
      <c r="G213" s="248" t="s">
        <v>1883</v>
      </c>
      <c r="H213" s="93" t="s">
        <v>7</v>
      </c>
      <c r="I213" s="93" t="s">
        <v>830</v>
      </c>
      <c r="J213" s="249">
        <v>20.0</v>
      </c>
      <c r="K213" s="74" t="s">
        <v>1884</v>
      </c>
      <c r="L213" s="74">
        <v>184150.0</v>
      </c>
      <c r="M213" s="74" t="s">
        <v>521</v>
      </c>
      <c r="N213" s="74">
        <f t="shared" si="1"/>
        <v>3683000</v>
      </c>
      <c r="O213" s="60">
        <f t="shared" si="2"/>
        <v>45797</v>
      </c>
      <c r="P213" s="65" t="str">
        <f>VLOOKUP(I213,DATABASE!C:Q,11,FALSE)</f>
        <v>Tire</v>
      </c>
      <c r="Q213" s="65" t="str">
        <f>VLOOKUP(I213,DATABASE!C:Q,4,FALSE)</f>
        <v>BD</v>
      </c>
      <c r="R213" s="79"/>
      <c r="Y213" s="256">
        <v>45841.0</v>
      </c>
      <c r="AA213" s="378">
        <f t="shared" si="3"/>
        <v>45871</v>
      </c>
    </row>
    <row r="214" ht="22.5" customHeight="1">
      <c r="A214" s="49"/>
      <c r="C214" s="245">
        <v>45737.0</v>
      </c>
      <c r="D214" s="245">
        <v>45737.0</v>
      </c>
      <c r="E214" s="93" t="s">
        <v>160</v>
      </c>
      <c r="F214" s="247" t="s">
        <v>343</v>
      </c>
      <c r="G214" s="248" t="s">
        <v>598</v>
      </c>
      <c r="H214" s="93" t="s">
        <v>7</v>
      </c>
      <c r="I214" s="93" t="s">
        <v>1851</v>
      </c>
      <c r="J214" s="249">
        <v>10.0</v>
      </c>
      <c r="K214" s="74" t="s">
        <v>1887</v>
      </c>
      <c r="L214" s="74">
        <v>2074000.0</v>
      </c>
      <c r="M214" s="74" t="s">
        <v>755</v>
      </c>
      <c r="N214" s="74">
        <f t="shared" si="1"/>
        <v>20740000</v>
      </c>
      <c r="O214" s="60">
        <f t="shared" si="2"/>
        <v>45767</v>
      </c>
      <c r="P214" s="65" t="str">
        <f>VLOOKUP(I214,DATABASE!C:Q,11,FALSE)</f>
        <v>Tire</v>
      </c>
      <c r="Q214" s="65" t="str">
        <f>VLOOKUP(I214,DATABASE!C:Q,4,FALSE)</f>
        <v>G. YEAR</v>
      </c>
      <c r="R214" s="79"/>
      <c r="Y214" s="256">
        <v>45859.0</v>
      </c>
      <c r="AA214" s="378">
        <f t="shared" si="3"/>
        <v>45889</v>
      </c>
    </row>
    <row r="215" ht="22.5" customHeight="1">
      <c r="A215" s="49"/>
      <c r="C215" s="245">
        <v>45738.0</v>
      </c>
      <c r="D215" s="245">
        <v>45738.0</v>
      </c>
      <c r="E215" s="93" t="s">
        <v>110</v>
      </c>
      <c r="F215" s="247" t="s">
        <v>343</v>
      </c>
      <c r="G215" s="248" t="s">
        <v>1122</v>
      </c>
      <c r="H215" s="93" t="s">
        <v>7</v>
      </c>
      <c r="I215" s="74" t="s">
        <v>286</v>
      </c>
      <c r="J215" s="249">
        <v>12.0</v>
      </c>
      <c r="K215" s="74" t="s">
        <v>1014</v>
      </c>
      <c r="L215" s="74">
        <v>445800.0</v>
      </c>
      <c r="M215" s="74" t="s">
        <v>755</v>
      </c>
      <c r="N215" s="74">
        <f t="shared" si="1"/>
        <v>5349600</v>
      </c>
      <c r="O215" s="60">
        <f t="shared" si="2"/>
        <v>45768</v>
      </c>
      <c r="P215" s="65" t="str">
        <f>VLOOKUP(I215,DATABASE!C:Q,11,FALSE)</f>
        <v>Tire</v>
      </c>
      <c r="Q215" s="65" t="str">
        <f>VLOOKUP(I215,DATABASE!C:Q,4,FALSE)</f>
        <v>GT</v>
      </c>
      <c r="R215" s="79"/>
      <c r="Y215" s="256">
        <v>45859.0</v>
      </c>
      <c r="AA215" s="378">
        <f t="shared" si="3"/>
        <v>45889</v>
      </c>
    </row>
    <row r="216" ht="22.5" customHeight="1">
      <c r="A216" s="49"/>
      <c r="C216" s="245">
        <v>45738.0</v>
      </c>
      <c r="D216" s="245">
        <v>45738.0</v>
      </c>
      <c r="E216" s="93" t="s">
        <v>110</v>
      </c>
      <c r="F216" s="247" t="s">
        <v>343</v>
      </c>
      <c r="G216" s="248" t="s">
        <v>1122</v>
      </c>
      <c r="H216" s="93" t="s">
        <v>7</v>
      </c>
      <c r="I216" s="74" t="s">
        <v>1890</v>
      </c>
      <c r="J216" s="249">
        <v>5.0</v>
      </c>
      <c r="K216" s="74" t="s">
        <v>556</v>
      </c>
      <c r="L216" s="74">
        <v>700000.0</v>
      </c>
      <c r="M216" s="74" t="s">
        <v>755</v>
      </c>
      <c r="N216" s="74">
        <f t="shared" si="1"/>
        <v>3500000</v>
      </c>
      <c r="O216" s="60">
        <f t="shared" si="2"/>
        <v>45768</v>
      </c>
      <c r="P216" s="65" t="str">
        <f>VLOOKUP(I216,DATABASE!C:Q,11,FALSE)</f>
        <v>Tire</v>
      </c>
      <c r="Q216" s="65" t="str">
        <f>VLOOKUP(I216,DATABASE!C:Q,4,FALSE)</f>
        <v>GT</v>
      </c>
      <c r="R216" s="79"/>
      <c r="Y216" s="256">
        <v>45877.0</v>
      </c>
      <c r="AA216" s="378">
        <f t="shared" si="3"/>
        <v>45907</v>
      </c>
    </row>
    <row r="217" ht="22.5" customHeight="1">
      <c r="A217" s="49"/>
      <c r="C217" s="245">
        <v>45740.0</v>
      </c>
      <c r="D217" s="245">
        <v>45740.0</v>
      </c>
      <c r="E217" s="93" t="s">
        <v>372</v>
      </c>
      <c r="F217" s="247" t="s">
        <v>343</v>
      </c>
      <c r="G217" s="248" t="s">
        <v>1891</v>
      </c>
      <c r="H217" s="93" t="s">
        <v>7</v>
      </c>
      <c r="I217" s="74" t="s">
        <v>1892</v>
      </c>
      <c r="J217" s="249">
        <v>2.0</v>
      </c>
      <c r="K217" s="74" t="s">
        <v>1302</v>
      </c>
      <c r="L217" s="74">
        <v>1170000.0</v>
      </c>
      <c r="M217" s="74" t="s">
        <v>521</v>
      </c>
      <c r="N217" s="74">
        <f t="shared" si="1"/>
        <v>2340000</v>
      </c>
      <c r="O217" s="60">
        <f t="shared" si="2"/>
        <v>45800</v>
      </c>
      <c r="P217" s="65" t="str">
        <f>VLOOKUP(I217,DATABASE!C:Q,11,FALSE)</f>
        <v>Tire</v>
      </c>
      <c r="Q217" s="65" t="str">
        <f>VLOOKUP(I217,DATABASE!C:Q,4,FALSE)</f>
        <v>Michellin</v>
      </c>
      <c r="R217" s="79"/>
      <c r="Y217" s="256">
        <v>45877.0</v>
      </c>
      <c r="AA217" s="378">
        <f t="shared" si="3"/>
        <v>45907</v>
      </c>
    </row>
    <row r="218" ht="22.5" customHeight="1">
      <c r="A218" s="49"/>
      <c r="C218" s="245">
        <v>45740.0</v>
      </c>
      <c r="D218" s="245">
        <v>45740.0</v>
      </c>
      <c r="E218" s="65" t="s">
        <v>110</v>
      </c>
      <c r="F218" s="247" t="s">
        <v>343</v>
      </c>
      <c r="G218" s="248" t="s">
        <v>1131</v>
      </c>
      <c r="H218" s="93" t="s">
        <v>7</v>
      </c>
      <c r="I218" s="74" t="s">
        <v>897</v>
      </c>
      <c r="J218" s="249">
        <v>10.0</v>
      </c>
      <c r="K218" s="74" t="s">
        <v>899</v>
      </c>
      <c r="L218" s="74">
        <v>1500000.0</v>
      </c>
      <c r="M218" s="74" t="s">
        <v>755</v>
      </c>
      <c r="N218" s="74">
        <f t="shared" si="1"/>
        <v>15000000</v>
      </c>
      <c r="O218" s="60">
        <f t="shared" si="2"/>
        <v>45770</v>
      </c>
      <c r="P218" s="65" t="str">
        <f>VLOOKUP(I218,DATABASE!C:Q,11,FALSE)</f>
        <v>Tire</v>
      </c>
      <c r="Q218" s="65" t="str">
        <f>VLOOKUP(I218,DATABASE!C:Q,4,FALSE)</f>
        <v>GT</v>
      </c>
      <c r="R218" s="79"/>
      <c r="Y218" s="256">
        <v>45930.0</v>
      </c>
      <c r="AA218" s="378">
        <f t="shared" si="3"/>
        <v>45960</v>
      </c>
    </row>
    <row r="219" ht="22.5" customHeight="1">
      <c r="A219" s="49"/>
      <c r="C219" s="245">
        <v>45741.0</v>
      </c>
      <c r="D219" s="245">
        <v>45741.0</v>
      </c>
      <c r="E219" s="246" t="s">
        <v>97</v>
      </c>
      <c r="F219" s="247" t="s">
        <v>343</v>
      </c>
      <c r="G219" s="248" t="s">
        <v>1895</v>
      </c>
      <c r="H219" s="93" t="s">
        <v>87</v>
      </c>
      <c r="I219" s="74" t="s">
        <v>1133</v>
      </c>
      <c r="J219" s="249">
        <v>2.0</v>
      </c>
      <c r="K219" s="74">
        <v>715635.0</v>
      </c>
      <c r="L219" s="74">
        <v>715635.0</v>
      </c>
      <c r="M219" s="74" t="s">
        <v>521</v>
      </c>
      <c r="N219" s="74">
        <f t="shared" si="1"/>
        <v>1431270</v>
      </c>
      <c r="O219" s="60">
        <f t="shared" si="2"/>
        <v>45801</v>
      </c>
      <c r="P219" s="65" t="str">
        <f>VLOOKUP(I219,DATABASE!C:Q,11,FALSE)</f>
        <v>Tire</v>
      </c>
      <c r="Q219" s="65" t="str">
        <f>VLOOKUP(I219,DATABASE!C:Q,4,FALSE)</f>
        <v>Bridgestone</v>
      </c>
      <c r="R219" s="79"/>
      <c r="Y219" s="256">
        <v>45930.0</v>
      </c>
      <c r="AA219" s="378">
        <f t="shared" si="3"/>
        <v>45960</v>
      </c>
    </row>
    <row r="220" ht="22.5" customHeight="1">
      <c r="A220" s="49"/>
      <c r="C220" s="245">
        <v>45741.0</v>
      </c>
      <c r="D220" s="245">
        <v>45741.0</v>
      </c>
      <c r="E220" s="246" t="s">
        <v>97</v>
      </c>
      <c r="F220" s="247" t="s">
        <v>343</v>
      </c>
      <c r="G220" s="248" t="s">
        <v>1895</v>
      </c>
      <c r="H220" s="93" t="s">
        <v>87</v>
      </c>
      <c r="I220" s="74" t="s">
        <v>627</v>
      </c>
      <c r="J220" s="249">
        <v>10.0</v>
      </c>
      <c r="K220" s="74">
        <v>834889.0</v>
      </c>
      <c r="L220" s="74">
        <v>834889.0</v>
      </c>
      <c r="M220" s="74" t="s">
        <v>521</v>
      </c>
      <c r="N220" s="74">
        <f t="shared" si="1"/>
        <v>8348890</v>
      </c>
      <c r="O220" s="60">
        <f t="shared" si="2"/>
        <v>45801</v>
      </c>
      <c r="P220" s="65" t="str">
        <f>VLOOKUP(I220,DATABASE!C:Q,11,FALSE)</f>
        <v>Tire</v>
      </c>
      <c r="Q220" s="65" t="str">
        <f>VLOOKUP(I220,DATABASE!C:Q,4,FALSE)</f>
        <v>Bridgestone</v>
      </c>
      <c r="R220" s="79"/>
    </row>
    <row r="221" ht="22.5" customHeight="1">
      <c r="A221" s="49"/>
      <c r="C221" s="245">
        <v>45741.0</v>
      </c>
      <c r="D221" s="245">
        <v>45741.0</v>
      </c>
      <c r="E221" s="246" t="s">
        <v>97</v>
      </c>
      <c r="F221" s="247" t="s">
        <v>343</v>
      </c>
      <c r="G221" s="248" t="s">
        <v>1900</v>
      </c>
      <c r="H221" s="93" t="s">
        <v>87</v>
      </c>
      <c r="I221" s="74" t="s">
        <v>1175</v>
      </c>
      <c r="J221" s="249">
        <v>3.0</v>
      </c>
      <c r="K221" s="74" t="s">
        <v>1901</v>
      </c>
      <c r="L221" s="74">
        <v>846720.0</v>
      </c>
      <c r="M221" s="74" t="s">
        <v>521</v>
      </c>
      <c r="N221" s="74">
        <f t="shared" si="1"/>
        <v>2540160</v>
      </c>
      <c r="O221" s="60">
        <f t="shared" si="2"/>
        <v>45801</v>
      </c>
      <c r="P221" s="65" t="str">
        <f>VLOOKUP(I221,DATABASE!C:Q,11,FALSE)</f>
        <v>Tire</v>
      </c>
      <c r="Q221" s="65" t="str">
        <f>VLOOKUP(I221,DATABASE!C:Q,4,FALSE)</f>
        <v>Bridgestone</v>
      </c>
      <c r="R221" s="79"/>
    </row>
    <row r="222" ht="22.5" customHeight="1">
      <c r="A222" s="49"/>
      <c r="C222" s="245">
        <v>45741.0</v>
      </c>
      <c r="D222" s="245">
        <v>45741.0</v>
      </c>
      <c r="E222" s="246" t="s">
        <v>97</v>
      </c>
      <c r="F222" s="247" t="s">
        <v>343</v>
      </c>
      <c r="G222" s="248" t="s">
        <v>1900</v>
      </c>
      <c r="H222" s="93" t="s">
        <v>87</v>
      </c>
      <c r="I222" s="74" t="s">
        <v>614</v>
      </c>
      <c r="J222" s="249">
        <v>10.0</v>
      </c>
      <c r="K222" s="74" t="s">
        <v>1903</v>
      </c>
      <c r="L222" s="74">
        <v>766438.4</v>
      </c>
      <c r="M222" s="74" t="s">
        <v>521</v>
      </c>
      <c r="N222" s="74">
        <f t="shared" si="1"/>
        <v>7664384</v>
      </c>
      <c r="O222" s="60">
        <f t="shared" si="2"/>
        <v>45801</v>
      </c>
      <c r="P222" s="65" t="str">
        <f>VLOOKUP(I222,DATABASE!C:Q,11,FALSE)</f>
        <v>Tire</v>
      </c>
      <c r="Q222" s="65" t="str">
        <f>VLOOKUP(I222,DATABASE!C:Q,4,FALSE)</f>
        <v>Bridgestone</v>
      </c>
      <c r="R222" s="79"/>
    </row>
    <row r="223" ht="22.5" customHeight="1">
      <c r="A223" s="49"/>
      <c r="C223" s="245">
        <v>45741.0</v>
      </c>
      <c r="D223" s="245">
        <v>45741.0</v>
      </c>
      <c r="E223" s="246" t="s">
        <v>97</v>
      </c>
      <c r="F223" s="247" t="s">
        <v>343</v>
      </c>
      <c r="G223" s="248" t="s">
        <v>1905</v>
      </c>
      <c r="H223" s="93" t="s">
        <v>87</v>
      </c>
      <c r="I223" s="74" t="s">
        <v>930</v>
      </c>
      <c r="J223" s="249">
        <v>4.0</v>
      </c>
      <c r="K223" s="74" t="s">
        <v>1906</v>
      </c>
      <c r="L223" s="74">
        <v>634099.2</v>
      </c>
      <c r="M223" s="74" t="s">
        <v>521</v>
      </c>
      <c r="N223" s="74">
        <f t="shared" si="1"/>
        <v>2536396.8</v>
      </c>
      <c r="O223" s="60">
        <f t="shared" si="2"/>
        <v>45801</v>
      </c>
      <c r="P223" s="65" t="str">
        <f>VLOOKUP(I223,DATABASE!C:Q,11,FALSE)</f>
        <v>Tire</v>
      </c>
      <c r="Q223" s="65" t="str">
        <f>VLOOKUP(I223,DATABASE!C:Q,4,FALSE)</f>
        <v>Bridgestone</v>
      </c>
      <c r="R223" s="79"/>
    </row>
    <row r="224" ht="22.5" customHeight="1">
      <c r="A224" s="49"/>
      <c r="C224" s="245">
        <v>45742.0</v>
      </c>
      <c r="D224" s="245">
        <v>45742.0</v>
      </c>
      <c r="E224" s="93" t="s">
        <v>81</v>
      </c>
      <c r="F224" s="247" t="s">
        <v>343</v>
      </c>
      <c r="G224" s="248" t="s">
        <v>1354</v>
      </c>
      <c r="H224" s="93" t="s">
        <v>87</v>
      </c>
      <c r="I224" s="74" t="s">
        <v>1507</v>
      </c>
      <c r="J224" s="249">
        <v>15.0</v>
      </c>
      <c r="K224" s="74" t="s">
        <v>1910</v>
      </c>
      <c r="L224" s="74">
        <v>580000.0</v>
      </c>
      <c r="M224" s="74" t="s">
        <v>657</v>
      </c>
      <c r="N224" s="74">
        <f t="shared" si="1"/>
        <v>8700000</v>
      </c>
      <c r="O224" s="60">
        <f t="shared" si="2"/>
        <v>45817</v>
      </c>
      <c r="P224" s="65" t="str">
        <f>VLOOKUP(I224,DATABASE!C:Q,11,FALSE)</f>
        <v>Tire</v>
      </c>
      <c r="Q224" s="65" t="str">
        <f>VLOOKUP(I224,DATABASE!C:Q,4,FALSE)</f>
        <v>Dunlop</v>
      </c>
      <c r="R224" s="79"/>
    </row>
    <row r="225" ht="22.5" customHeight="1">
      <c r="A225" s="49"/>
      <c r="C225" s="245">
        <v>45742.0</v>
      </c>
      <c r="D225" s="245">
        <v>45742.0</v>
      </c>
      <c r="E225" s="93" t="s">
        <v>81</v>
      </c>
      <c r="F225" s="247" t="s">
        <v>343</v>
      </c>
      <c r="G225" s="248" t="s">
        <v>1354</v>
      </c>
      <c r="H225" s="93" t="s">
        <v>87</v>
      </c>
      <c r="I225" s="74" t="s">
        <v>1002</v>
      </c>
      <c r="J225" s="249">
        <v>1.0</v>
      </c>
      <c r="K225" s="74" t="s">
        <v>1004</v>
      </c>
      <c r="L225" s="74">
        <v>1430000.0</v>
      </c>
      <c r="M225" s="74" t="s">
        <v>657</v>
      </c>
      <c r="N225" s="74">
        <f t="shared" si="1"/>
        <v>1430000</v>
      </c>
      <c r="O225" s="60">
        <f t="shared" si="2"/>
        <v>45817</v>
      </c>
      <c r="P225" s="65" t="str">
        <f>VLOOKUP(I225,DATABASE!C:Q,11,FALSE)</f>
        <v>Tire</v>
      </c>
      <c r="Q225" s="65" t="str">
        <f>VLOOKUP(I225,DATABASE!C:Q,4,FALSE)</f>
        <v>Dunlop</v>
      </c>
      <c r="R225" s="79"/>
    </row>
    <row r="226" ht="22.5" customHeight="1">
      <c r="A226" s="49"/>
      <c r="C226" s="245">
        <v>45742.0</v>
      </c>
      <c r="D226" s="245">
        <v>45742.0</v>
      </c>
      <c r="E226" s="93" t="s">
        <v>81</v>
      </c>
      <c r="F226" s="247" t="s">
        <v>343</v>
      </c>
      <c r="G226" s="248" t="s">
        <v>1354</v>
      </c>
      <c r="H226" s="93" t="s">
        <v>87</v>
      </c>
      <c r="I226" s="74" t="s">
        <v>1301</v>
      </c>
      <c r="J226" s="249">
        <v>6.0</v>
      </c>
      <c r="K226" s="74" t="s">
        <v>1302</v>
      </c>
      <c r="L226" s="74">
        <v>1170000.0</v>
      </c>
      <c r="M226" s="74" t="s">
        <v>657</v>
      </c>
      <c r="N226" s="74">
        <f t="shared" si="1"/>
        <v>7020000</v>
      </c>
      <c r="O226" s="60">
        <f t="shared" si="2"/>
        <v>45817</v>
      </c>
      <c r="P226" s="65" t="str">
        <f>VLOOKUP(I226,DATABASE!C:Q,11,FALSE)</f>
        <v>Tire</v>
      </c>
      <c r="Q226" s="65" t="str">
        <f>VLOOKUP(I226,DATABASE!C:Q,4,FALSE)</f>
        <v>Dunlop</v>
      </c>
      <c r="R226" s="79"/>
    </row>
    <row r="227" ht="22.5" customHeight="1">
      <c r="A227" s="49"/>
      <c r="C227" s="245">
        <v>45742.0</v>
      </c>
      <c r="D227" s="245">
        <v>45742.0</v>
      </c>
      <c r="E227" s="93" t="s">
        <v>81</v>
      </c>
      <c r="F227" s="247" t="s">
        <v>343</v>
      </c>
      <c r="G227" s="248" t="s">
        <v>1354</v>
      </c>
      <c r="H227" s="93" t="s">
        <v>87</v>
      </c>
      <c r="I227" s="74" t="s">
        <v>946</v>
      </c>
      <c r="J227" s="249">
        <v>4.0</v>
      </c>
      <c r="K227" s="74" t="s">
        <v>1918</v>
      </c>
      <c r="L227" s="74">
        <v>770000.0</v>
      </c>
      <c r="M227" s="74" t="s">
        <v>657</v>
      </c>
      <c r="N227" s="74">
        <f t="shared" si="1"/>
        <v>3080000</v>
      </c>
      <c r="O227" s="60">
        <f t="shared" si="2"/>
        <v>45817</v>
      </c>
      <c r="P227" s="65" t="str">
        <f>VLOOKUP(I227,DATABASE!C:Q,11,FALSE)</f>
        <v>Tire</v>
      </c>
      <c r="Q227" s="65" t="str">
        <f>VLOOKUP(I227,DATABASE!C:Q,4,FALSE)</f>
        <v>Dunlop</v>
      </c>
      <c r="R227" s="79"/>
    </row>
    <row r="228" ht="22.5" customHeight="1">
      <c r="A228" s="49"/>
      <c r="C228" s="245">
        <v>45742.0</v>
      </c>
      <c r="D228" s="245">
        <v>45742.0</v>
      </c>
      <c r="E228" s="65" t="s">
        <v>81</v>
      </c>
      <c r="F228" s="247" t="s">
        <v>343</v>
      </c>
      <c r="G228" s="248" t="s">
        <v>1354</v>
      </c>
      <c r="H228" s="93" t="s">
        <v>87</v>
      </c>
      <c r="I228" s="74" t="s">
        <v>1427</v>
      </c>
      <c r="J228" s="249">
        <v>6.0</v>
      </c>
      <c r="K228" s="74" t="s">
        <v>1920</v>
      </c>
      <c r="L228" s="74">
        <v>690000.0</v>
      </c>
      <c r="M228" s="74" t="s">
        <v>657</v>
      </c>
      <c r="N228" s="74">
        <f t="shared" si="1"/>
        <v>4140000</v>
      </c>
      <c r="O228" s="60">
        <f t="shared" si="2"/>
        <v>45817</v>
      </c>
      <c r="P228" s="65" t="str">
        <f>VLOOKUP(I228,DATABASE!C:Q,11,FALSE)</f>
        <v>Tire</v>
      </c>
      <c r="Q228" s="65" t="str">
        <f>VLOOKUP(I228,DATABASE!C:Q,4,FALSE)</f>
        <v>Dunlop</v>
      </c>
      <c r="R228" s="79"/>
    </row>
    <row r="229" ht="22.5" customHeight="1">
      <c r="A229" s="49"/>
      <c r="C229" s="245">
        <v>45742.0</v>
      </c>
      <c r="D229" s="245">
        <v>45742.0</v>
      </c>
      <c r="E229" s="65" t="s">
        <v>81</v>
      </c>
      <c r="F229" s="247" t="s">
        <v>343</v>
      </c>
      <c r="G229" s="248" t="s">
        <v>1354</v>
      </c>
      <c r="H229" s="93" t="s">
        <v>87</v>
      </c>
      <c r="I229" s="74" t="s">
        <v>268</v>
      </c>
      <c r="J229" s="249">
        <v>50.0</v>
      </c>
      <c r="K229" s="74" t="s">
        <v>1761</v>
      </c>
      <c r="L229" s="74">
        <v>602000.0</v>
      </c>
      <c r="M229" s="74" t="s">
        <v>657</v>
      </c>
      <c r="N229" s="74">
        <f t="shared" si="1"/>
        <v>30100000</v>
      </c>
      <c r="O229" s="60">
        <f t="shared" si="2"/>
        <v>45817</v>
      </c>
      <c r="P229" s="65" t="str">
        <f>VLOOKUP(I229,DATABASE!C:Q,11,FALSE)</f>
        <v>Tire</v>
      </c>
      <c r="Q229" s="65" t="str">
        <f>VLOOKUP(I229,DATABASE!C:Q,4,FALSE)</f>
        <v>Dunlop</v>
      </c>
      <c r="R229" s="79"/>
    </row>
    <row r="230" ht="22.5" customHeight="1">
      <c r="A230" s="49"/>
      <c r="C230" s="245">
        <v>45742.0</v>
      </c>
      <c r="D230" s="245">
        <v>45742.0</v>
      </c>
      <c r="E230" s="65" t="s">
        <v>81</v>
      </c>
      <c r="F230" s="247" t="s">
        <v>343</v>
      </c>
      <c r="G230" s="248" t="s">
        <v>1357</v>
      </c>
      <c r="H230" s="93" t="s">
        <v>87</v>
      </c>
      <c r="I230" s="74" t="s">
        <v>265</v>
      </c>
      <c r="J230" s="249">
        <v>16.0</v>
      </c>
      <c r="K230" s="74" t="s">
        <v>1538</v>
      </c>
      <c r="L230" s="74">
        <v>573000.0</v>
      </c>
      <c r="M230" s="74" t="s">
        <v>657</v>
      </c>
      <c r="N230" s="74">
        <f t="shared" si="1"/>
        <v>9168000</v>
      </c>
      <c r="O230" s="60">
        <f t="shared" si="2"/>
        <v>45817</v>
      </c>
      <c r="P230" s="65" t="str">
        <f>VLOOKUP(I230,DATABASE!C:Q,11,FALSE)</f>
        <v>Tire</v>
      </c>
      <c r="Q230" s="65" t="str">
        <f>VLOOKUP(I230,DATABASE!C:Q,4,FALSE)</f>
        <v>Dunlop</v>
      </c>
      <c r="R230" s="79"/>
    </row>
    <row r="231" ht="22.5" customHeight="1">
      <c r="A231" s="49"/>
      <c r="C231" s="245">
        <v>45742.0</v>
      </c>
      <c r="D231" s="245">
        <v>45742.0</v>
      </c>
      <c r="E231" s="65" t="s">
        <v>81</v>
      </c>
      <c r="F231" s="247" t="s">
        <v>343</v>
      </c>
      <c r="G231" s="248" t="s">
        <v>1357</v>
      </c>
      <c r="H231" s="93" t="s">
        <v>87</v>
      </c>
      <c r="I231" s="74" t="s">
        <v>268</v>
      </c>
      <c r="J231" s="249">
        <v>30.0</v>
      </c>
      <c r="K231" s="74" t="s">
        <v>1761</v>
      </c>
      <c r="L231" s="74">
        <v>602000.0</v>
      </c>
      <c r="M231" s="74" t="s">
        <v>657</v>
      </c>
      <c r="N231" s="74">
        <f t="shared" si="1"/>
        <v>18060000</v>
      </c>
      <c r="O231" s="60">
        <f t="shared" si="2"/>
        <v>45817</v>
      </c>
      <c r="P231" s="65" t="str">
        <f>VLOOKUP(I231,DATABASE!C:Q,11,FALSE)</f>
        <v>Tire</v>
      </c>
      <c r="Q231" s="65" t="str">
        <f>VLOOKUP(I231,DATABASE!C:Q,4,FALSE)</f>
        <v>Dunlop</v>
      </c>
      <c r="R231" s="79"/>
    </row>
    <row r="232" ht="22.5" customHeight="1">
      <c r="A232" s="49"/>
      <c r="C232" s="245">
        <v>45742.0</v>
      </c>
      <c r="D232" s="245">
        <v>45742.0</v>
      </c>
      <c r="E232" s="65" t="s">
        <v>81</v>
      </c>
      <c r="F232" s="247" t="s">
        <v>343</v>
      </c>
      <c r="G232" s="248" t="s">
        <v>1357</v>
      </c>
      <c r="H232" s="93" t="s">
        <v>87</v>
      </c>
      <c r="I232" s="74" t="s">
        <v>275</v>
      </c>
      <c r="J232" s="249">
        <v>16.0</v>
      </c>
      <c r="K232" s="74" t="s">
        <v>1640</v>
      </c>
      <c r="L232" s="74">
        <v>715000.0</v>
      </c>
      <c r="M232" s="74" t="s">
        <v>657</v>
      </c>
      <c r="N232" s="74">
        <f t="shared" si="1"/>
        <v>11440000</v>
      </c>
      <c r="O232" s="60">
        <f t="shared" si="2"/>
        <v>45817</v>
      </c>
      <c r="P232" s="65" t="str">
        <f>VLOOKUP(I232,DATABASE!C:Q,11,FALSE)</f>
        <v>Tire</v>
      </c>
      <c r="Q232" s="65" t="str">
        <f>VLOOKUP(I232,DATABASE!C:Q,4,FALSE)</f>
        <v>Dunlop</v>
      </c>
      <c r="R232" s="79"/>
    </row>
    <row r="233" ht="22.5" customHeight="1">
      <c r="A233" s="49"/>
      <c r="C233" s="245">
        <v>45742.0</v>
      </c>
      <c r="D233" s="245">
        <v>45742.0</v>
      </c>
      <c r="E233" s="65" t="s">
        <v>81</v>
      </c>
      <c r="F233" s="247" t="s">
        <v>343</v>
      </c>
      <c r="G233" s="248" t="s">
        <v>1357</v>
      </c>
      <c r="H233" s="93" t="s">
        <v>87</v>
      </c>
      <c r="I233" s="74" t="s">
        <v>932</v>
      </c>
      <c r="J233" s="249">
        <v>15.0</v>
      </c>
      <c r="K233" s="74" t="s">
        <v>933</v>
      </c>
      <c r="L233" s="74">
        <v>575000.0</v>
      </c>
      <c r="M233" s="74" t="s">
        <v>657</v>
      </c>
      <c r="N233" s="74">
        <f t="shared" si="1"/>
        <v>8625000</v>
      </c>
      <c r="O233" s="60">
        <f t="shared" si="2"/>
        <v>45817</v>
      </c>
      <c r="P233" s="65" t="str">
        <f>VLOOKUP(I233,DATABASE!C:Q,11,FALSE)</f>
        <v>Tire</v>
      </c>
      <c r="Q233" s="65" t="str">
        <f>VLOOKUP(I233,DATABASE!C:Q,4,FALSE)</f>
        <v>Dunlop</v>
      </c>
      <c r="R233" s="79"/>
    </row>
    <row r="234" ht="22.5" customHeight="1">
      <c r="A234" s="49"/>
      <c r="C234" s="245">
        <v>45742.0</v>
      </c>
      <c r="D234" s="245">
        <v>45742.0</v>
      </c>
      <c r="E234" s="93" t="s">
        <v>81</v>
      </c>
      <c r="F234" s="247" t="s">
        <v>343</v>
      </c>
      <c r="G234" s="248" t="s">
        <v>1357</v>
      </c>
      <c r="H234" s="93" t="s">
        <v>87</v>
      </c>
      <c r="I234" s="74" t="s">
        <v>968</v>
      </c>
      <c r="J234" s="249">
        <v>3.0</v>
      </c>
      <c r="K234" s="74" t="s">
        <v>1660</v>
      </c>
      <c r="L234" s="74">
        <v>540000.0</v>
      </c>
      <c r="M234" s="74" t="s">
        <v>657</v>
      </c>
      <c r="N234" s="74">
        <f t="shared" si="1"/>
        <v>1620000</v>
      </c>
      <c r="O234" s="60">
        <f t="shared" si="2"/>
        <v>45817</v>
      </c>
      <c r="P234" s="65" t="str">
        <f>VLOOKUP(I234,DATABASE!C:Q,11,FALSE)</f>
        <v>Tire</v>
      </c>
      <c r="Q234" s="65" t="str">
        <f>VLOOKUP(I234,DATABASE!C:Q,4,FALSE)</f>
        <v>Dunlop</v>
      </c>
      <c r="R234" s="79"/>
    </row>
    <row r="235" ht="22.5" customHeight="1">
      <c r="A235" s="49"/>
      <c r="C235" s="245">
        <v>45743.0</v>
      </c>
      <c r="D235" s="245">
        <v>45743.0</v>
      </c>
      <c r="E235" s="93" t="s">
        <v>185</v>
      </c>
      <c r="F235" s="247" t="s">
        <v>343</v>
      </c>
      <c r="G235" s="248" t="s">
        <v>1176</v>
      </c>
      <c r="H235" s="93" t="s">
        <v>7</v>
      </c>
      <c r="I235" s="74" t="s">
        <v>647</v>
      </c>
      <c r="J235" s="249">
        <v>2.0</v>
      </c>
      <c r="K235" s="74" t="s">
        <v>1159</v>
      </c>
      <c r="L235" s="74">
        <v>1365000.0</v>
      </c>
      <c r="M235" s="74" t="s">
        <v>521</v>
      </c>
      <c r="N235" s="74">
        <f t="shared" si="1"/>
        <v>2730000</v>
      </c>
      <c r="O235" s="60">
        <f t="shared" si="2"/>
        <v>45803</v>
      </c>
      <c r="P235" s="65" t="str">
        <f>VLOOKUP(I235,DATABASE!C:Q,11,FALSE)</f>
        <v>Tire</v>
      </c>
      <c r="Q235" s="65" t="str">
        <f>VLOOKUP(I235,DATABASE!C:Q,4,FALSE)</f>
        <v>G. YEAR</v>
      </c>
      <c r="R235" s="79"/>
    </row>
    <row r="236" ht="22.5" customHeight="1">
      <c r="A236" s="49"/>
      <c r="C236" s="245">
        <v>45743.0</v>
      </c>
      <c r="D236" s="245">
        <v>45743.0</v>
      </c>
      <c r="E236" s="93" t="s">
        <v>81</v>
      </c>
      <c r="F236" s="247" t="s">
        <v>343</v>
      </c>
      <c r="G236" s="248" t="s">
        <v>1451</v>
      </c>
      <c r="H236" s="93" t="s">
        <v>87</v>
      </c>
      <c r="I236" s="74" t="s">
        <v>706</v>
      </c>
      <c r="J236" s="249">
        <v>15.0</v>
      </c>
      <c r="K236" s="74" t="s">
        <v>1930</v>
      </c>
      <c r="L236" s="74">
        <v>462500.0</v>
      </c>
      <c r="M236" s="74" t="s">
        <v>657</v>
      </c>
      <c r="N236" s="74">
        <f t="shared" si="1"/>
        <v>6937500</v>
      </c>
      <c r="O236" s="60">
        <f t="shared" si="2"/>
        <v>45818</v>
      </c>
      <c r="P236" s="65" t="str">
        <f>VLOOKUP(I236,DATABASE!C:Q,11,FALSE)</f>
        <v>Tire</v>
      </c>
      <c r="Q236" s="65" t="str">
        <f>VLOOKUP(I236,DATABASE!C:Q,4,FALSE)</f>
        <v>Dunlop</v>
      </c>
      <c r="R236" s="79"/>
    </row>
    <row r="237" ht="22.5" customHeight="1">
      <c r="A237" s="49"/>
      <c r="C237" s="245">
        <v>45743.0</v>
      </c>
      <c r="D237" s="245">
        <v>45743.0</v>
      </c>
      <c r="E237" s="93" t="s">
        <v>81</v>
      </c>
      <c r="F237" s="247" t="s">
        <v>343</v>
      </c>
      <c r="G237" s="248" t="s">
        <v>1451</v>
      </c>
      <c r="H237" s="93" t="s">
        <v>87</v>
      </c>
      <c r="I237" s="74" t="s">
        <v>974</v>
      </c>
      <c r="J237" s="249">
        <v>10.0</v>
      </c>
      <c r="K237" s="74" t="s">
        <v>1932</v>
      </c>
      <c r="L237" s="74">
        <v>465000.0</v>
      </c>
      <c r="M237" s="74" t="s">
        <v>657</v>
      </c>
      <c r="N237" s="74">
        <f t="shared" si="1"/>
        <v>4650000</v>
      </c>
      <c r="O237" s="60">
        <f t="shared" si="2"/>
        <v>45818</v>
      </c>
      <c r="P237" s="65" t="str">
        <f>VLOOKUP(I237,DATABASE!C:Q,11,FALSE)</f>
        <v>Tire</v>
      </c>
      <c r="Q237" s="65" t="str">
        <f>VLOOKUP(I237,DATABASE!C:Q,4,FALSE)</f>
        <v>Dunlop</v>
      </c>
      <c r="R237" s="79"/>
    </row>
    <row r="238" ht="22.5" customHeight="1">
      <c r="A238" s="49"/>
      <c r="C238" s="245">
        <v>45743.0</v>
      </c>
      <c r="D238" s="245">
        <v>45743.0</v>
      </c>
      <c r="E238" s="93" t="s">
        <v>81</v>
      </c>
      <c r="F238" s="247" t="s">
        <v>343</v>
      </c>
      <c r="G238" s="248" t="s">
        <v>1451</v>
      </c>
      <c r="H238" s="93" t="s">
        <v>87</v>
      </c>
      <c r="I238" s="74" t="s">
        <v>268</v>
      </c>
      <c r="J238" s="249">
        <v>7.0</v>
      </c>
      <c r="K238" s="74" t="s">
        <v>1761</v>
      </c>
      <c r="L238" s="74">
        <v>602000.0</v>
      </c>
      <c r="M238" s="74" t="s">
        <v>657</v>
      </c>
      <c r="N238" s="74">
        <f t="shared" si="1"/>
        <v>4214000</v>
      </c>
      <c r="O238" s="60">
        <f t="shared" si="2"/>
        <v>45818</v>
      </c>
      <c r="P238" s="65" t="str">
        <f>VLOOKUP(I238,DATABASE!C:Q,11,FALSE)</f>
        <v>Tire</v>
      </c>
      <c r="Q238" s="65" t="str">
        <f>VLOOKUP(I238,DATABASE!C:Q,4,FALSE)</f>
        <v>Dunlop</v>
      </c>
      <c r="R238" s="79"/>
    </row>
    <row r="239" ht="22.5" customHeight="1">
      <c r="A239" s="49"/>
      <c r="C239" s="245">
        <v>45754.0</v>
      </c>
      <c r="D239" s="245">
        <v>45754.0</v>
      </c>
      <c r="E239" s="93" t="s">
        <v>81</v>
      </c>
      <c r="F239" s="247" t="s">
        <v>998</v>
      </c>
      <c r="G239" s="248" t="s">
        <v>0</v>
      </c>
      <c r="H239" s="93">
        <v>0.0</v>
      </c>
      <c r="I239" s="74" t="s">
        <v>932</v>
      </c>
      <c r="J239" s="249">
        <v>1.0</v>
      </c>
      <c r="K239" s="74">
        <v>575000.0</v>
      </c>
      <c r="L239" s="74">
        <v>575000.0</v>
      </c>
      <c r="M239" s="74" t="s">
        <v>657</v>
      </c>
      <c r="N239" s="74">
        <f t="shared" si="1"/>
        <v>575000</v>
      </c>
      <c r="O239" s="60">
        <f t="shared" si="2"/>
        <v>45829</v>
      </c>
      <c r="P239" s="65" t="str">
        <f>VLOOKUP(I239,DATABASE!C:Q,11,FALSE)</f>
        <v>Tire</v>
      </c>
      <c r="Q239" s="65" t="str">
        <f>VLOOKUP(I239,DATABASE!C:Q,4,FALSE)</f>
        <v>Dunlop</v>
      </c>
      <c r="R239" s="79"/>
    </row>
    <row r="240" ht="22.5" customHeight="1">
      <c r="A240" s="49"/>
      <c r="C240" s="245">
        <v>45756.0</v>
      </c>
      <c r="D240" s="245">
        <v>45756.0</v>
      </c>
      <c r="E240" s="93" t="s">
        <v>110</v>
      </c>
      <c r="F240" s="247" t="s">
        <v>343</v>
      </c>
      <c r="G240" s="248" t="s">
        <v>1140</v>
      </c>
      <c r="H240" s="93" t="s">
        <v>7</v>
      </c>
      <c r="I240" s="74" t="s">
        <v>1858</v>
      </c>
      <c r="J240" s="249">
        <v>2.0</v>
      </c>
      <c r="K240" s="74" t="s">
        <v>1936</v>
      </c>
      <c r="L240" s="74">
        <v>2045000.0</v>
      </c>
      <c r="M240" s="74" t="s">
        <v>755</v>
      </c>
      <c r="N240" s="74">
        <f t="shared" si="1"/>
        <v>4090000</v>
      </c>
      <c r="O240" s="60">
        <f t="shared" si="2"/>
        <v>45786</v>
      </c>
      <c r="P240" s="65" t="str">
        <f>VLOOKUP(I240,DATABASE!C:Q,11,FALSE)</f>
        <v>Tire</v>
      </c>
      <c r="Q240" s="65" t="str">
        <f>VLOOKUP(I240,DATABASE!C:Q,4,FALSE)</f>
        <v>GiTi</v>
      </c>
      <c r="R240" s="79"/>
    </row>
    <row r="241" ht="22.5" customHeight="1">
      <c r="A241" s="49"/>
      <c r="C241" s="245">
        <v>45757.0</v>
      </c>
      <c r="D241" s="245">
        <v>45757.0</v>
      </c>
      <c r="E241" s="93" t="s">
        <v>335</v>
      </c>
      <c r="F241" s="247" t="s">
        <v>343</v>
      </c>
      <c r="G241" s="248" t="s">
        <v>1939</v>
      </c>
      <c r="H241" s="93" t="s">
        <v>7</v>
      </c>
      <c r="I241" s="74" t="s">
        <v>924</v>
      </c>
      <c r="J241" s="249">
        <v>10.0</v>
      </c>
      <c r="K241" s="74" t="s">
        <v>1941</v>
      </c>
      <c r="L241" s="74">
        <v>1650000.0</v>
      </c>
      <c r="M241" s="74" t="s">
        <v>521</v>
      </c>
      <c r="N241" s="74">
        <f t="shared" si="1"/>
        <v>16500000</v>
      </c>
      <c r="O241" s="60">
        <f t="shared" si="2"/>
        <v>45817</v>
      </c>
      <c r="P241" s="65" t="str">
        <f>VLOOKUP(I241,DATABASE!C:Q,11,FALSE)</f>
        <v>Tire</v>
      </c>
      <c r="Q241" s="65" t="str">
        <f>VLOOKUP(I241,DATABASE!C:Q,4,FALSE)</f>
        <v>TIRON</v>
      </c>
      <c r="R241" s="79"/>
    </row>
    <row r="242" ht="22.5" customHeight="1">
      <c r="A242" s="49"/>
      <c r="C242" s="245">
        <v>45757.0</v>
      </c>
      <c r="D242" s="245">
        <v>45757.0</v>
      </c>
      <c r="E242" s="93" t="s">
        <v>335</v>
      </c>
      <c r="F242" s="247" t="s">
        <v>343</v>
      </c>
      <c r="G242" s="248" t="s">
        <v>1939</v>
      </c>
      <c r="H242" s="93" t="s">
        <v>7</v>
      </c>
      <c r="I242" s="74" t="s">
        <v>391</v>
      </c>
      <c r="J242" s="249">
        <v>6.0</v>
      </c>
      <c r="K242" s="74" t="s">
        <v>907</v>
      </c>
      <c r="L242" s="74">
        <v>1840000.0</v>
      </c>
      <c r="M242" s="74" t="s">
        <v>521</v>
      </c>
      <c r="N242" s="74">
        <f t="shared" si="1"/>
        <v>11040000</v>
      </c>
      <c r="O242" s="60">
        <f t="shared" si="2"/>
        <v>45817</v>
      </c>
      <c r="P242" s="65" t="str">
        <f>VLOOKUP(I242,DATABASE!C:Q,11,FALSE)</f>
        <v>Tire</v>
      </c>
      <c r="Q242" s="65" t="str">
        <f>VLOOKUP(I242,DATABASE!C:Q,4,FALSE)</f>
        <v>Advance</v>
      </c>
      <c r="R242" s="79"/>
    </row>
    <row r="243" ht="22.5" customHeight="1">
      <c r="A243" s="49"/>
      <c r="C243" s="245">
        <v>45757.0</v>
      </c>
      <c r="D243" s="245">
        <v>45757.0</v>
      </c>
      <c r="E243" s="93" t="s">
        <v>81</v>
      </c>
      <c r="F243" s="247" t="s">
        <v>343</v>
      </c>
      <c r="G243" s="248" t="s">
        <v>1457</v>
      </c>
      <c r="H243" s="93" t="s">
        <v>87</v>
      </c>
      <c r="I243" s="74" t="s">
        <v>932</v>
      </c>
      <c r="J243" s="249">
        <v>10.0</v>
      </c>
      <c r="K243" s="74" t="s">
        <v>933</v>
      </c>
      <c r="L243" s="74">
        <v>575000.0</v>
      </c>
      <c r="M243" s="74" t="s">
        <v>657</v>
      </c>
      <c r="N243" s="74">
        <f t="shared" si="1"/>
        <v>5750000</v>
      </c>
      <c r="O243" s="60">
        <f t="shared" si="2"/>
        <v>45832</v>
      </c>
      <c r="P243" s="65" t="str">
        <f>VLOOKUP(I243,DATABASE!C:Q,11,FALSE)</f>
        <v>Tire</v>
      </c>
      <c r="Q243" s="65" t="str">
        <f>VLOOKUP(I243,DATABASE!C:Q,4,FALSE)</f>
        <v>Dunlop</v>
      </c>
      <c r="R243" s="79"/>
    </row>
    <row r="244" ht="22.5" customHeight="1">
      <c r="A244" s="49"/>
      <c r="C244" s="245">
        <v>45757.0</v>
      </c>
      <c r="D244" s="245">
        <v>45757.0</v>
      </c>
      <c r="E244" s="93" t="s">
        <v>81</v>
      </c>
      <c r="F244" s="247" t="s">
        <v>343</v>
      </c>
      <c r="G244" s="248" t="s">
        <v>1457</v>
      </c>
      <c r="H244" s="93" t="s">
        <v>87</v>
      </c>
      <c r="I244" s="74" t="s">
        <v>265</v>
      </c>
      <c r="J244" s="249">
        <v>5.0</v>
      </c>
      <c r="K244" s="74" t="s">
        <v>1538</v>
      </c>
      <c r="L244" s="74">
        <v>573000.0</v>
      </c>
      <c r="M244" s="74" t="s">
        <v>657</v>
      </c>
      <c r="N244" s="74">
        <f t="shared" si="1"/>
        <v>2865000</v>
      </c>
      <c r="O244" s="60">
        <f t="shared" si="2"/>
        <v>45832</v>
      </c>
      <c r="P244" s="65" t="str">
        <f>VLOOKUP(I244,DATABASE!C:Q,11,FALSE)</f>
        <v>Tire</v>
      </c>
      <c r="Q244" s="65" t="str">
        <f>VLOOKUP(I244,DATABASE!C:Q,4,FALSE)</f>
        <v>Dunlop</v>
      </c>
      <c r="R244" s="79"/>
    </row>
    <row r="245" ht="22.5" customHeight="1">
      <c r="A245" s="49"/>
      <c r="C245" s="245">
        <v>45757.0</v>
      </c>
      <c r="D245" s="245">
        <v>45757.0</v>
      </c>
      <c r="E245" s="93" t="s">
        <v>81</v>
      </c>
      <c r="F245" s="247" t="s">
        <v>343</v>
      </c>
      <c r="G245" s="248" t="s">
        <v>1457</v>
      </c>
      <c r="H245" s="93" t="s">
        <v>87</v>
      </c>
      <c r="I245" s="74" t="s">
        <v>275</v>
      </c>
      <c r="J245" s="249">
        <v>4.0</v>
      </c>
      <c r="K245" s="74" t="s">
        <v>1640</v>
      </c>
      <c r="L245" s="74">
        <v>715000.0</v>
      </c>
      <c r="M245" s="74" t="s">
        <v>657</v>
      </c>
      <c r="N245" s="74">
        <f t="shared" si="1"/>
        <v>2860000</v>
      </c>
      <c r="O245" s="60">
        <f t="shared" si="2"/>
        <v>45832</v>
      </c>
      <c r="P245" s="65" t="str">
        <f>VLOOKUP(I245,DATABASE!C:Q,11,FALSE)</f>
        <v>Tire</v>
      </c>
      <c r="Q245" s="65" t="str">
        <f>VLOOKUP(I245,DATABASE!C:Q,4,FALSE)</f>
        <v>Dunlop</v>
      </c>
      <c r="R245" s="79"/>
    </row>
    <row r="246" ht="22.5" customHeight="1">
      <c r="A246" s="49"/>
      <c r="C246" s="245">
        <v>45759.0</v>
      </c>
      <c r="D246" s="245">
        <v>45759.0</v>
      </c>
      <c r="E246" s="93" t="s">
        <v>372</v>
      </c>
      <c r="F246" s="247" t="s">
        <v>343</v>
      </c>
      <c r="G246" s="248" t="s">
        <v>1949</v>
      </c>
      <c r="H246" s="93" t="s">
        <v>7</v>
      </c>
      <c r="I246" s="74" t="s">
        <v>1530</v>
      </c>
      <c r="J246" s="249">
        <v>4.0</v>
      </c>
      <c r="K246" s="74" t="s">
        <v>1531</v>
      </c>
      <c r="L246" s="74">
        <v>454000.0</v>
      </c>
      <c r="M246" s="74" t="s">
        <v>521</v>
      </c>
      <c r="N246" s="74">
        <f t="shared" si="1"/>
        <v>1816000</v>
      </c>
      <c r="O246" s="60">
        <f t="shared" si="2"/>
        <v>45819</v>
      </c>
      <c r="P246" s="65" t="str">
        <f>VLOOKUP(I246,DATABASE!C:Q,11,FALSE)</f>
        <v>Tire</v>
      </c>
      <c r="Q246" s="65" t="str">
        <f>VLOOKUP(I246,DATABASE!C:Q,4,FALSE)</f>
        <v>Laufen</v>
      </c>
      <c r="R246" s="79"/>
    </row>
    <row r="247" ht="22.5" customHeight="1">
      <c r="A247" s="49"/>
      <c r="C247" s="245">
        <v>45761.0</v>
      </c>
      <c r="D247" s="245">
        <v>45761.0</v>
      </c>
      <c r="E247" s="93" t="s">
        <v>81</v>
      </c>
      <c r="F247" s="247" t="s">
        <v>998</v>
      </c>
      <c r="G247" s="248" t="s">
        <v>998</v>
      </c>
      <c r="H247" s="93" t="s">
        <v>1953</v>
      </c>
      <c r="I247" s="74" t="s">
        <v>275</v>
      </c>
      <c r="J247" s="249">
        <v>2.0</v>
      </c>
      <c r="K247" s="74" t="s">
        <v>656</v>
      </c>
      <c r="L247" s="74">
        <v>735000.0</v>
      </c>
      <c r="M247" s="74" t="s">
        <v>657</v>
      </c>
      <c r="N247" s="74">
        <f t="shared" si="1"/>
        <v>1470000</v>
      </c>
      <c r="O247" s="60">
        <f t="shared" si="2"/>
        <v>45836</v>
      </c>
      <c r="P247" s="65" t="str">
        <f>VLOOKUP(I247,DATABASE!C:Q,11,FALSE)</f>
        <v>Tire</v>
      </c>
      <c r="Q247" s="65" t="str">
        <f>VLOOKUP(I247,DATABASE!C:Q,4,FALSE)</f>
        <v>Dunlop</v>
      </c>
      <c r="R247" s="79"/>
    </row>
    <row r="248" ht="22.5" customHeight="1">
      <c r="A248" s="49"/>
      <c r="C248" s="245">
        <v>45761.0</v>
      </c>
      <c r="D248" s="245">
        <v>45761.0</v>
      </c>
      <c r="E248" s="93" t="s">
        <v>123</v>
      </c>
      <c r="F248" s="247" t="s">
        <v>343</v>
      </c>
      <c r="G248" s="248" t="s">
        <v>1956</v>
      </c>
      <c r="H248" s="93" t="s">
        <v>7</v>
      </c>
      <c r="I248" s="74" t="s">
        <v>1858</v>
      </c>
      <c r="J248" s="249">
        <v>10.0</v>
      </c>
      <c r="K248" s="74" t="s">
        <v>742</v>
      </c>
      <c r="L248" s="74">
        <v>2015000.0</v>
      </c>
      <c r="M248" s="74" t="s">
        <v>755</v>
      </c>
      <c r="N248" s="74">
        <f t="shared" si="1"/>
        <v>20150000</v>
      </c>
      <c r="O248" s="60">
        <f t="shared" si="2"/>
        <v>45791</v>
      </c>
      <c r="P248" s="65" t="str">
        <f>VLOOKUP(I248,DATABASE!C:Q,11,FALSE)</f>
        <v>Tire</v>
      </c>
      <c r="Q248" s="65" t="str">
        <f>VLOOKUP(I248,DATABASE!C:Q,4,FALSE)</f>
        <v>GiTi</v>
      </c>
      <c r="R248" s="79"/>
    </row>
    <row r="249" ht="22.5" customHeight="1">
      <c r="A249" s="49"/>
      <c r="C249" s="245">
        <v>45761.0</v>
      </c>
      <c r="D249" s="245">
        <v>45761.0</v>
      </c>
      <c r="E249" s="93" t="s">
        <v>123</v>
      </c>
      <c r="F249" s="247" t="s">
        <v>343</v>
      </c>
      <c r="G249" s="248" t="s">
        <v>1956</v>
      </c>
      <c r="H249" s="93" t="s">
        <v>7</v>
      </c>
      <c r="I249" s="74" t="s">
        <v>1862</v>
      </c>
      <c r="J249" s="249">
        <v>10.0</v>
      </c>
      <c r="K249" s="74" t="s">
        <v>1959</v>
      </c>
      <c r="L249" s="74">
        <v>2025000.0</v>
      </c>
      <c r="M249" s="74" t="s">
        <v>755</v>
      </c>
      <c r="N249" s="74">
        <f t="shared" si="1"/>
        <v>20250000</v>
      </c>
      <c r="O249" s="60">
        <f t="shared" si="2"/>
        <v>45791</v>
      </c>
      <c r="P249" s="65" t="str">
        <f>VLOOKUP(I249,DATABASE!C:Q,11,FALSE)</f>
        <v>Tire</v>
      </c>
      <c r="Q249" s="65" t="str">
        <f>VLOOKUP(I249,DATABASE!C:Q,4,FALSE)</f>
        <v>GiTi</v>
      </c>
      <c r="R249" s="79"/>
    </row>
    <row r="250" ht="22.5" customHeight="1">
      <c r="A250" s="49"/>
      <c r="C250" s="245">
        <v>45761.0</v>
      </c>
      <c r="D250" s="245">
        <v>45761.0</v>
      </c>
      <c r="E250" s="93" t="s">
        <v>123</v>
      </c>
      <c r="F250" s="247" t="s">
        <v>343</v>
      </c>
      <c r="G250" s="248" t="s">
        <v>1956</v>
      </c>
      <c r="H250" s="93" t="s">
        <v>7</v>
      </c>
      <c r="I250" s="74" t="s">
        <v>781</v>
      </c>
      <c r="J250" s="249">
        <v>15.0</v>
      </c>
      <c r="K250" s="74" t="s">
        <v>1963</v>
      </c>
      <c r="L250" s="74">
        <v>435000.0</v>
      </c>
      <c r="M250" s="74" t="s">
        <v>755</v>
      </c>
      <c r="N250" s="74">
        <f t="shared" si="1"/>
        <v>6525000</v>
      </c>
      <c r="O250" s="60">
        <f t="shared" si="2"/>
        <v>45791</v>
      </c>
      <c r="P250" s="65" t="str">
        <f>VLOOKUP(I250,DATABASE!C:Q,11,FALSE)</f>
        <v>Tire</v>
      </c>
      <c r="Q250" s="65" t="str">
        <f>VLOOKUP(I250,DATABASE!C:Q,4,FALSE)</f>
        <v>GT</v>
      </c>
      <c r="R250" s="79"/>
    </row>
    <row r="251" ht="22.5" customHeight="1">
      <c r="A251" s="49"/>
      <c r="C251" s="245">
        <v>45761.0</v>
      </c>
      <c r="D251" s="245">
        <v>45761.0</v>
      </c>
      <c r="E251" s="93" t="s">
        <v>123</v>
      </c>
      <c r="F251" s="247" t="s">
        <v>343</v>
      </c>
      <c r="G251" s="248" t="s">
        <v>1956</v>
      </c>
      <c r="H251" s="93" t="s">
        <v>7</v>
      </c>
      <c r="I251" s="74" t="s">
        <v>1424</v>
      </c>
      <c r="J251" s="249">
        <v>3.0</v>
      </c>
      <c r="K251" s="74" t="s">
        <v>1965</v>
      </c>
      <c r="L251" s="74">
        <v>671600.0</v>
      </c>
      <c r="M251" s="74" t="s">
        <v>755</v>
      </c>
      <c r="N251" s="74">
        <f t="shared" si="1"/>
        <v>2014800</v>
      </c>
      <c r="O251" s="60">
        <f t="shared" si="2"/>
        <v>45791</v>
      </c>
      <c r="P251" s="65" t="str">
        <f>VLOOKUP(I251,DATABASE!C:Q,11,FALSE)</f>
        <v>Tire</v>
      </c>
      <c r="Q251" s="65" t="str">
        <f>VLOOKUP(I251,DATABASE!C:Q,4,FALSE)</f>
        <v>GT</v>
      </c>
      <c r="R251" s="79"/>
    </row>
    <row r="252" ht="22.5" customHeight="1">
      <c r="A252" s="49"/>
      <c r="C252" s="245">
        <v>45762.0</v>
      </c>
      <c r="D252" s="245">
        <v>45762.0</v>
      </c>
      <c r="E252" s="246" t="s">
        <v>97</v>
      </c>
      <c r="F252" s="247" t="s">
        <v>343</v>
      </c>
      <c r="G252" s="248" t="s">
        <v>1969</v>
      </c>
      <c r="H252" s="93" t="s">
        <v>87</v>
      </c>
      <c r="I252" s="74" t="s">
        <v>884</v>
      </c>
      <c r="J252" s="249">
        <v>2.0</v>
      </c>
      <c r="K252" s="74" t="s">
        <v>1972</v>
      </c>
      <c r="L252" s="74">
        <v>3365000.0</v>
      </c>
      <c r="M252" s="74" t="s">
        <v>521</v>
      </c>
      <c r="N252" s="74">
        <f t="shared" si="1"/>
        <v>6730000</v>
      </c>
      <c r="O252" s="60">
        <f t="shared" si="2"/>
        <v>45822</v>
      </c>
      <c r="P252" s="65" t="str">
        <f>VLOOKUP(I252,DATABASE!C:Q,11,FALSE)</f>
        <v>Tire</v>
      </c>
      <c r="Q252" s="65" t="str">
        <f>VLOOKUP(I252,DATABASE!C:Q,4,FALSE)</f>
        <v>Bridgestone</v>
      </c>
      <c r="R252" s="79"/>
    </row>
    <row r="253" ht="22.5" customHeight="1">
      <c r="A253" s="49"/>
      <c r="C253" s="245">
        <v>45762.0</v>
      </c>
      <c r="D253" s="245">
        <v>45762.0</v>
      </c>
      <c r="E253" s="246" t="s">
        <v>97</v>
      </c>
      <c r="F253" s="247" t="s">
        <v>343</v>
      </c>
      <c r="G253" s="248" t="s">
        <v>1969</v>
      </c>
      <c r="H253" s="93" t="s">
        <v>87</v>
      </c>
      <c r="I253" s="74" t="s">
        <v>1669</v>
      </c>
      <c r="J253" s="249">
        <v>2.0</v>
      </c>
      <c r="K253" s="74" t="s">
        <v>1975</v>
      </c>
      <c r="L253" s="74">
        <v>252140.0</v>
      </c>
      <c r="M253" s="74" t="s">
        <v>521</v>
      </c>
      <c r="N253" s="74">
        <f t="shared" si="1"/>
        <v>504280</v>
      </c>
      <c r="O253" s="60">
        <f t="shared" si="2"/>
        <v>45822</v>
      </c>
      <c r="P253" s="65" t="str">
        <f>VLOOKUP(I253,DATABASE!C:Q,11,FALSE)</f>
        <v>Tire</v>
      </c>
      <c r="Q253" s="65" t="str">
        <f>VLOOKUP(I253,DATABASE!C:Q,4,FALSE)</f>
        <v>Flap</v>
      </c>
      <c r="R253" s="79"/>
    </row>
    <row r="254" ht="22.5" customHeight="1">
      <c r="A254" s="49"/>
      <c r="C254" s="245">
        <v>45763.0</v>
      </c>
      <c r="D254" s="245">
        <v>45763.0</v>
      </c>
      <c r="E254" s="93" t="s">
        <v>335</v>
      </c>
      <c r="F254" s="247" t="s">
        <v>343</v>
      </c>
      <c r="G254" s="248" t="s">
        <v>1979</v>
      </c>
      <c r="H254" s="93" t="s">
        <v>7</v>
      </c>
      <c r="I254" s="74" t="s">
        <v>403</v>
      </c>
      <c r="J254" s="249">
        <v>3.0</v>
      </c>
      <c r="K254" s="74" t="s">
        <v>920</v>
      </c>
      <c r="L254" s="74">
        <v>2160000.0</v>
      </c>
      <c r="M254" s="74" t="s">
        <v>521</v>
      </c>
      <c r="N254" s="74">
        <f t="shared" si="1"/>
        <v>6480000</v>
      </c>
      <c r="O254" s="60">
        <f t="shared" si="2"/>
        <v>45823</v>
      </c>
      <c r="P254" s="65" t="str">
        <f>VLOOKUP(I254,DATABASE!C:Q,11,FALSE)</f>
        <v>Tire</v>
      </c>
      <c r="Q254" s="65" t="str">
        <f>VLOOKUP(I254,DATABASE!C:Q,4,FALSE)</f>
        <v>Advance</v>
      </c>
      <c r="R254" s="79"/>
    </row>
    <row r="255" ht="22.5" customHeight="1">
      <c r="A255" s="49"/>
      <c r="C255" s="245">
        <v>45763.0</v>
      </c>
      <c r="D255" s="245">
        <v>45763.0</v>
      </c>
      <c r="E255" s="65" t="s">
        <v>81</v>
      </c>
      <c r="F255" s="247" t="s">
        <v>998</v>
      </c>
      <c r="G255" s="248" t="s">
        <v>998</v>
      </c>
      <c r="H255" s="93"/>
      <c r="I255" s="74" t="s">
        <v>932</v>
      </c>
      <c r="J255" s="249">
        <v>2.0</v>
      </c>
      <c r="K255" s="74" t="s">
        <v>1698</v>
      </c>
      <c r="L255" s="74">
        <v>557000.0</v>
      </c>
      <c r="M255" s="74" t="s">
        <v>657</v>
      </c>
      <c r="N255" s="74">
        <f t="shared" si="1"/>
        <v>1114000</v>
      </c>
      <c r="O255" s="60">
        <f t="shared" si="2"/>
        <v>45838</v>
      </c>
      <c r="P255" s="65" t="str">
        <f>VLOOKUP(I255,DATABASE!C:Q,11,FALSE)</f>
        <v>Tire</v>
      </c>
      <c r="Q255" s="65" t="str">
        <f>VLOOKUP(I255,DATABASE!C:Q,4,FALSE)</f>
        <v>Dunlop</v>
      </c>
      <c r="R255" s="79"/>
    </row>
    <row r="256" ht="22.5" customHeight="1">
      <c r="A256" s="49"/>
      <c r="C256" s="245">
        <v>45763.0</v>
      </c>
      <c r="D256" s="245">
        <v>45763.0</v>
      </c>
      <c r="E256" s="93" t="s">
        <v>81</v>
      </c>
      <c r="F256" s="247" t="s">
        <v>998</v>
      </c>
      <c r="G256" s="248" t="s">
        <v>998</v>
      </c>
      <c r="H256" s="93"/>
      <c r="I256" s="74" t="s">
        <v>955</v>
      </c>
      <c r="J256" s="249">
        <v>2.0</v>
      </c>
      <c r="K256" s="74" t="s">
        <v>1984</v>
      </c>
      <c r="L256" s="74">
        <v>668000.0</v>
      </c>
      <c r="M256" s="74" t="s">
        <v>657</v>
      </c>
      <c r="N256" s="74">
        <f t="shared" si="1"/>
        <v>1336000</v>
      </c>
      <c r="O256" s="60">
        <f t="shared" si="2"/>
        <v>45838</v>
      </c>
      <c r="P256" s="65" t="str">
        <f>VLOOKUP(I256,DATABASE!C:Q,11,FALSE)</f>
        <v>Tire</v>
      </c>
      <c r="Q256" s="65" t="str">
        <f>VLOOKUP(I256,DATABASE!C:Q,4,FALSE)</f>
        <v>Dunlop</v>
      </c>
      <c r="R256" s="79"/>
    </row>
    <row r="257" ht="22.5" customHeight="1">
      <c r="A257" s="49"/>
      <c r="C257" s="245">
        <v>45764.0</v>
      </c>
      <c r="D257" s="245">
        <v>45764.0</v>
      </c>
      <c r="E257" s="246" t="s">
        <v>97</v>
      </c>
      <c r="F257" s="247" t="s">
        <v>343</v>
      </c>
      <c r="G257" s="248" t="s">
        <v>1989</v>
      </c>
      <c r="H257" s="93" t="s">
        <v>87</v>
      </c>
      <c r="I257" s="74" t="s">
        <v>1237</v>
      </c>
      <c r="J257" s="249">
        <v>2.0</v>
      </c>
      <c r="K257" s="74" t="s">
        <v>1992</v>
      </c>
      <c r="L257" s="74">
        <v>1113907.0</v>
      </c>
      <c r="M257" s="74" t="s">
        <v>521</v>
      </c>
      <c r="N257" s="74">
        <f t="shared" si="1"/>
        <v>2227814</v>
      </c>
      <c r="O257" s="60">
        <f t="shared" si="2"/>
        <v>45824</v>
      </c>
      <c r="P257" s="65" t="str">
        <f>VLOOKUP(I257,DATABASE!C:Q,11,FALSE)</f>
        <v>Tire</v>
      </c>
      <c r="Q257" s="65" t="str">
        <f>VLOOKUP(I257,DATABASE!C:Q,4,FALSE)</f>
        <v>Bridgestone</v>
      </c>
      <c r="R257" s="79"/>
    </row>
    <row r="258" ht="22.5" customHeight="1">
      <c r="A258" s="49"/>
      <c r="C258" s="245">
        <v>45764.0</v>
      </c>
      <c r="D258" s="245">
        <v>45764.0</v>
      </c>
      <c r="E258" s="93" t="s">
        <v>81</v>
      </c>
      <c r="F258" s="247" t="s">
        <v>998</v>
      </c>
      <c r="G258" s="248" t="s">
        <v>343</v>
      </c>
      <c r="H258" s="93" t="s">
        <v>1953</v>
      </c>
      <c r="I258" s="74" t="s">
        <v>275</v>
      </c>
      <c r="J258" s="249">
        <v>2.0</v>
      </c>
      <c r="K258" s="74" t="s">
        <v>1640</v>
      </c>
      <c r="L258" s="74">
        <v>715000.0</v>
      </c>
      <c r="M258" s="74" t="s">
        <v>657</v>
      </c>
      <c r="N258" s="74">
        <f t="shared" si="1"/>
        <v>1430000</v>
      </c>
      <c r="O258" s="60">
        <f t="shared" si="2"/>
        <v>45839</v>
      </c>
      <c r="P258" s="65" t="str">
        <f>VLOOKUP(I258,DATABASE!C:Q,11,FALSE)</f>
        <v>Tire</v>
      </c>
      <c r="Q258" s="65" t="str">
        <f>VLOOKUP(I258,DATABASE!C:Q,4,FALSE)</f>
        <v>Dunlop</v>
      </c>
      <c r="R258" s="79"/>
    </row>
    <row r="259" ht="22.5" customHeight="1">
      <c r="A259" s="49"/>
      <c r="C259" s="245">
        <v>45764.0</v>
      </c>
      <c r="D259" s="245">
        <v>45764.0</v>
      </c>
      <c r="E259" s="93" t="s">
        <v>81</v>
      </c>
      <c r="F259" s="247" t="s">
        <v>998</v>
      </c>
      <c r="G259" s="248" t="s">
        <v>343</v>
      </c>
      <c r="H259" s="93" t="s">
        <v>1953</v>
      </c>
      <c r="I259" s="74" t="s">
        <v>932</v>
      </c>
      <c r="J259" s="249">
        <v>2.0</v>
      </c>
      <c r="K259" s="74" t="s">
        <v>1698</v>
      </c>
      <c r="L259" s="74">
        <v>557000.0</v>
      </c>
      <c r="M259" s="74" t="s">
        <v>657</v>
      </c>
      <c r="N259" s="74">
        <f t="shared" si="1"/>
        <v>1114000</v>
      </c>
      <c r="O259" s="60">
        <f t="shared" si="2"/>
        <v>45839</v>
      </c>
      <c r="P259" s="65" t="str">
        <f>VLOOKUP(I259,DATABASE!C:Q,11,FALSE)</f>
        <v>Tire</v>
      </c>
      <c r="Q259" s="65" t="str">
        <f>VLOOKUP(I259,DATABASE!C:Q,4,FALSE)</f>
        <v>Dunlop</v>
      </c>
      <c r="R259" s="79"/>
    </row>
    <row r="260" ht="22.5" customHeight="1">
      <c r="A260" s="49"/>
      <c r="C260" s="245">
        <v>45766.0</v>
      </c>
      <c r="D260" s="245">
        <v>45766.0</v>
      </c>
      <c r="E260" s="93" t="s">
        <v>81</v>
      </c>
      <c r="F260" s="247" t="s">
        <v>998</v>
      </c>
      <c r="G260" s="248" t="s">
        <v>247</v>
      </c>
      <c r="H260" s="93" t="s">
        <v>1953</v>
      </c>
      <c r="I260" s="74" t="s">
        <v>275</v>
      </c>
      <c r="J260" s="249">
        <v>2.0</v>
      </c>
      <c r="K260" s="74" t="s">
        <v>1640</v>
      </c>
      <c r="L260" s="74">
        <v>715000.0</v>
      </c>
      <c r="M260" s="74" t="s">
        <v>657</v>
      </c>
      <c r="N260" s="74">
        <f t="shared" si="1"/>
        <v>1430000</v>
      </c>
      <c r="O260" s="60">
        <f t="shared" si="2"/>
        <v>45841</v>
      </c>
      <c r="P260" s="65" t="str">
        <f>VLOOKUP(I260,DATABASE!C:Q,11,FALSE)</f>
        <v>Tire</v>
      </c>
      <c r="Q260" s="65" t="str">
        <f>VLOOKUP(I260,DATABASE!C:Q,4,FALSE)</f>
        <v>Dunlop</v>
      </c>
      <c r="R260" s="79"/>
    </row>
    <row r="261" ht="22.5" customHeight="1">
      <c r="A261" s="49"/>
      <c r="C261" s="245">
        <v>45766.0</v>
      </c>
      <c r="D261" s="245">
        <v>45766.0</v>
      </c>
      <c r="E261" s="93" t="s">
        <v>81</v>
      </c>
      <c r="F261" s="247" t="s">
        <v>998</v>
      </c>
      <c r="G261" s="248" t="s">
        <v>247</v>
      </c>
      <c r="H261" s="93" t="s">
        <v>1953</v>
      </c>
      <c r="I261" s="74" t="s">
        <v>932</v>
      </c>
      <c r="J261" s="249">
        <v>2.0</v>
      </c>
      <c r="K261" s="74" t="s">
        <v>1698</v>
      </c>
      <c r="L261" s="74">
        <v>557000.0</v>
      </c>
      <c r="M261" s="74" t="s">
        <v>657</v>
      </c>
      <c r="N261" s="74">
        <f t="shared" si="1"/>
        <v>1114000</v>
      </c>
      <c r="O261" s="60">
        <f t="shared" si="2"/>
        <v>45841</v>
      </c>
      <c r="P261" s="65" t="str">
        <f>VLOOKUP(I261,DATABASE!C:Q,11,FALSE)</f>
        <v>Tire</v>
      </c>
      <c r="Q261" s="65" t="str">
        <f>VLOOKUP(I261,DATABASE!C:Q,4,FALSE)</f>
        <v>Dunlop</v>
      </c>
      <c r="R261" s="79"/>
    </row>
    <row r="262" ht="22.5" customHeight="1">
      <c r="A262" s="49"/>
      <c r="C262" s="245">
        <v>45766.0</v>
      </c>
      <c r="D262" s="245">
        <v>45766.0</v>
      </c>
      <c r="E262" s="93" t="s">
        <v>110</v>
      </c>
      <c r="F262" s="247" t="s">
        <v>343</v>
      </c>
      <c r="G262" s="248" t="s">
        <v>1017</v>
      </c>
      <c r="H262" s="93" t="s">
        <v>7</v>
      </c>
      <c r="I262" s="74" t="s">
        <v>1439</v>
      </c>
      <c r="J262" s="249">
        <v>10.0</v>
      </c>
      <c r="K262" s="74" t="s">
        <v>1441</v>
      </c>
      <c r="L262" s="74">
        <v>540800.0</v>
      </c>
      <c r="M262" s="74" t="s">
        <v>755</v>
      </c>
      <c r="N262" s="74">
        <f t="shared" si="1"/>
        <v>5408000</v>
      </c>
      <c r="O262" s="60">
        <f t="shared" si="2"/>
        <v>45796</v>
      </c>
      <c r="P262" s="65" t="str">
        <f>VLOOKUP(I262,DATABASE!C:Q,11,FALSE)</f>
        <v>Tire</v>
      </c>
      <c r="Q262" s="65" t="str">
        <f>VLOOKUP(I262,DATABASE!C:Q,4,FALSE)</f>
        <v>GT</v>
      </c>
      <c r="R262" s="79"/>
    </row>
    <row r="263" ht="22.5" customHeight="1">
      <c r="A263" s="49"/>
      <c r="C263" s="245">
        <v>45766.0</v>
      </c>
      <c r="D263" s="245">
        <v>45766.0</v>
      </c>
      <c r="E263" s="93" t="s">
        <v>110</v>
      </c>
      <c r="F263" s="247" t="s">
        <v>343</v>
      </c>
      <c r="G263" s="248" t="s">
        <v>1017</v>
      </c>
      <c r="H263" s="93" t="s">
        <v>7</v>
      </c>
      <c r="I263" s="74" t="s">
        <v>791</v>
      </c>
      <c r="J263" s="249">
        <v>10.0</v>
      </c>
      <c r="K263" s="74" t="s">
        <v>792</v>
      </c>
      <c r="L263" s="74">
        <v>1180000.0</v>
      </c>
      <c r="M263" s="74" t="s">
        <v>755</v>
      </c>
      <c r="N263" s="74">
        <f t="shared" si="1"/>
        <v>11800000</v>
      </c>
      <c r="O263" s="60">
        <f t="shared" si="2"/>
        <v>45796</v>
      </c>
      <c r="P263" s="65" t="str">
        <f>VLOOKUP(I263,DATABASE!C:Q,11,FALSE)</f>
        <v>Tire</v>
      </c>
      <c r="Q263" s="65" t="str">
        <f>VLOOKUP(I263,DATABASE!C:Q,4,FALSE)</f>
        <v>GT</v>
      </c>
      <c r="R263" s="79"/>
    </row>
    <row r="264" ht="22.5" customHeight="1">
      <c r="A264" s="49"/>
      <c r="C264" s="245">
        <v>45766.0</v>
      </c>
      <c r="D264" s="245">
        <v>45766.0</v>
      </c>
      <c r="E264" s="93" t="s">
        <v>110</v>
      </c>
      <c r="F264" s="247" t="s">
        <v>343</v>
      </c>
      <c r="G264" s="248" t="s">
        <v>1027</v>
      </c>
      <c r="H264" s="93" t="s">
        <v>7</v>
      </c>
      <c r="I264" s="74" t="s">
        <v>1009</v>
      </c>
      <c r="J264" s="249">
        <v>5.0</v>
      </c>
      <c r="K264" s="74" t="s">
        <v>1010</v>
      </c>
      <c r="L264" s="74">
        <v>582800.0</v>
      </c>
      <c r="M264" s="74" t="s">
        <v>755</v>
      </c>
      <c r="N264" s="74">
        <f t="shared" si="1"/>
        <v>2914000</v>
      </c>
      <c r="O264" s="60">
        <f t="shared" si="2"/>
        <v>45796</v>
      </c>
      <c r="P264" s="65" t="str">
        <f>VLOOKUP(I264,DATABASE!C:Q,11,FALSE)</f>
        <v>Tire</v>
      </c>
      <c r="Q264" s="65" t="str">
        <f>VLOOKUP(I264,DATABASE!C:Q,4,FALSE)</f>
        <v>GT</v>
      </c>
      <c r="R264" s="79"/>
    </row>
    <row r="265" ht="22.5" customHeight="1">
      <c r="A265" s="49"/>
      <c r="C265" s="245">
        <v>45766.0</v>
      </c>
      <c r="D265" s="245">
        <v>45766.0</v>
      </c>
      <c r="E265" s="93" t="s">
        <v>110</v>
      </c>
      <c r="F265" s="247" t="s">
        <v>343</v>
      </c>
      <c r="G265" s="248" t="s">
        <v>998</v>
      </c>
      <c r="H265" s="93" t="s">
        <v>7</v>
      </c>
      <c r="I265" s="74" t="s">
        <v>897</v>
      </c>
      <c r="J265" s="249">
        <v>10.0</v>
      </c>
      <c r="K265" s="74" t="s">
        <v>899</v>
      </c>
      <c r="L265" s="74">
        <v>1500000.0</v>
      </c>
      <c r="M265" s="74" t="s">
        <v>755</v>
      </c>
      <c r="N265" s="74">
        <f t="shared" si="1"/>
        <v>15000000</v>
      </c>
      <c r="O265" s="60">
        <f t="shared" si="2"/>
        <v>45796</v>
      </c>
      <c r="P265" s="65" t="str">
        <f>VLOOKUP(I265,DATABASE!C:Q,11,FALSE)</f>
        <v>Tire</v>
      </c>
      <c r="Q265" s="65" t="str">
        <f>VLOOKUP(I265,DATABASE!C:Q,4,FALSE)</f>
        <v>GT</v>
      </c>
      <c r="R265" s="79"/>
    </row>
    <row r="266" ht="22.5" customHeight="1">
      <c r="A266" s="49"/>
      <c r="C266" s="245">
        <v>45766.0</v>
      </c>
      <c r="D266" s="245">
        <v>45766.0</v>
      </c>
      <c r="E266" s="93" t="s">
        <v>110</v>
      </c>
      <c r="F266" s="247" t="s">
        <v>343</v>
      </c>
      <c r="G266" s="248" t="s">
        <v>998</v>
      </c>
      <c r="H266" s="93" t="s">
        <v>7</v>
      </c>
      <c r="I266" s="74" t="s">
        <v>288</v>
      </c>
      <c r="J266" s="249">
        <v>10.0</v>
      </c>
      <c r="K266" s="74" t="s">
        <v>1612</v>
      </c>
      <c r="L266" s="74">
        <v>516460.0</v>
      </c>
      <c r="M266" s="74" t="s">
        <v>755</v>
      </c>
      <c r="N266" s="74">
        <f t="shared" si="1"/>
        <v>5164600</v>
      </c>
      <c r="O266" s="60">
        <f t="shared" si="2"/>
        <v>45796</v>
      </c>
      <c r="P266" s="65" t="str">
        <f>VLOOKUP(I266,DATABASE!C:Q,11,FALSE)</f>
        <v>Tire</v>
      </c>
      <c r="Q266" s="65" t="str">
        <f>VLOOKUP(I266,DATABASE!C:Q,4,FALSE)</f>
        <v>GT</v>
      </c>
      <c r="R266" s="79"/>
    </row>
    <row r="267" ht="22.5" customHeight="1">
      <c r="A267" s="49"/>
      <c r="C267" s="245">
        <v>45769.0</v>
      </c>
      <c r="D267" s="245">
        <v>45769.0</v>
      </c>
      <c r="E267" s="93" t="s">
        <v>81</v>
      </c>
      <c r="F267" s="247" t="s">
        <v>998</v>
      </c>
      <c r="G267" s="248" t="s">
        <v>343</v>
      </c>
      <c r="H267" s="93" t="s">
        <v>2017</v>
      </c>
      <c r="I267" s="74" t="s">
        <v>265</v>
      </c>
      <c r="J267" s="249">
        <v>3.0</v>
      </c>
      <c r="K267" s="74" t="s">
        <v>1538</v>
      </c>
      <c r="L267" s="74">
        <v>573000.0</v>
      </c>
      <c r="M267" s="74" t="s">
        <v>657</v>
      </c>
      <c r="N267" s="74">
        <f t="shared" si="1"/>
        <v>1719000</v>
      </c>
      <c r="O267" s="60">
        <f t="shared" si="2"/>
        <v>45844</v>
      </c>
      <c r="P267" s="65" t="str">
        <f>VLOOKUP(I267,DATABASE!C:Q,11,FALSE)</f>
        <v>Tire</v>
      </c>
      <c r="Q267" s="65" t="str">
        <f>VLOOKUP(I267,DATABASE!C:Q,4,FALSE)</f>
        <v>Dunlop</v>
      </c>
      <c r="R267" s="79"/>
    </row>
    <row r="268" ht="22.5" customHeight="1">
      <c r="A268" s="49"/>
      <c r="C268" s="245">
        <v>45770.0</v>
      </c>
      <c r="D268" s="245">
        <v>45770.0</v>
      </c>
      <c r="E268" s="93" t="s">
        <v>81</v>
      </c>
      <c r="F268" s="247" t="s">
        <v>998</v>
      </c>
      <c r="G268" s="248" t="s">
        <v>247</v>
      </c>
      <c r="H268" s="93" t="s">
        <v>2017</v>
      </c>
      <c r="I268" s="74" t="s">
        <v>275</v>
      </c>
      <c r="J268" s="249">
        <v>2.0</v>
      </c>
      <c r="K268" s="74" t="s">
        <v>2021</v>
      </c>
      <c r="L268" s="74">
        <v>727000.0</v>
      </c>
      <c r="M268" s="74" t="s">
        <v>657</v>
      </c>
      <c r="N268" s="74">
        <f t="shared" si="1"/>
        <v>1454000</v>
      </c>
      <c r="O268" s="60">
        <f t="shared" si="2"/>
        <v>45845</v>
      </c>
      <c r="P268" s="65" t="str">
        <f>VLOOKUP(I268,DATABASE!C:Q,11,FALSE)</f>
        <v>Tire</v>
      </c>
      <c r="Q268" s="65" t="str">
        <f>VLOOKUP(I268,DATABASE!C:Q,4,FALSE)</f>
        <v>Dunlop</v>
      </c>
      <c r="R268" s="79"/>
    </row>
    <row r="269" ht="22.5" customHeight="1">
      <c r="A269" s="49"/>
      <c r="C269" s="245">
        <v>45770.0</v>
      </c>
      <c r="D269" s="245">
        <v>45770.0</v>
      </c>
      <c r="E269" s="93" t="s">
        <v>81</v>
      </c>
      <c r="F269" s="247" t="s">
        <v>998</v>
      </c>
      <c r="G269" s="248" t="s">
        <v>381</v>
      </c>
      <c r="H269" s="93" t="s">
        <v>2017</v>
      </c>
      <c r="I269" s="74" t="s">
        <v>1507</v>
      </c>
      <c r="J269" s="249">
        <v>2.0</v>
      </c>
      <c r="K269" s="74" t="s">
        <v>2025</v>
      </c>
      <c r="L269" s="74">
        <v>592000.0</v>
      </c>
      <c r="M269" s="74" t="s">
        <v>657</v>
      </c>
      <c r="N269" s="74">
        <f t="shared" si="1"/>
        <v>1184000</v>
      </c>
      <c r="O269" s="60">
        <f t="shared" si="2"/>
        <v>45845</v>
      </c>
      <c r="P269" s="65" t="str">
        <f>VLOOKUP(I269,DATABASE!C:Q,11,FALSE)</f>
        <v>Tire</v>
      </c>
      <c r="Q269" s="65" t="str">
        <f>VLOOKUP(I269,DATABASE!C:Q,4,FALSE)</f>
        <v>Dunlop</v>
      </c>
      <c r="R269" s="79"/>
    </row>
    <row r="270" ht="22.5" customHeight="1">
      <c r="A270" s="49"/>
      <c r="C270" s="245">
        <v>45771.0</v>
      </c>
      <c r="D270" s="245">
        <v>45771.0</v>
      </c>
      <c r="E270" s="93" t="s">
        <v>81</v>
      </c>
      <c r="F270" s="247" t="s">
        <v>998</v>
      </c>
      <c r="G270" s="248" t="s">
        <v>457</v>
      </c>
      <c r="H270" s="93" t="s">
        <v>2017</v>
      </c>
      <c r="I270" s="74" t="s">
        <v>932</v>
      </c>
      <c r="J270" s="249">
        <v>2.0</v>
      </c>
      <c r="K270" s="74" t="s">
        <v>1698</v>
      </c>
      <c r="L270" s="74">
        <v>557000.0</v>
      </c>
      <c r="M270" s="74" t="s">
        <v>657</v>
      </c>
      <c r="N270" s="74">
        <f t="shared" si="1"/>
        <v>1114000</v>
      </c>
      <c r="O270" s="60">
        <f t="shared" si="2"/>
        <v>45846</v>
      </c>
      <c r="P270" s="65" t="str">
        <f>VLOOKUP(I270,DATABASE!C:Q,11,FALSE)</f>
        <v>Tire</v>
      </c>
      <c r="Q270" s="65" t="str">
        <f>VLOOKUP(I270,DATABASE!C:Q,4,FALSE)</f>
        <v>Dunlop</v>
      </c>
      <c r="R270" s="79"/>
    </row>
    <row r="271" ht="22.5" customHeight="1">
      <c r="A271" s="49"/>
      <c r="C271" s="245">
        <v>45771.0</v>
      </c>
      <c r="D271" s="245">
        <v>45771.0</v>
      </c>
      <c r="E271" s="93" t="s">
        <v>81</v>
      </c>
      <c r="F271" s="247" t="s">
        <v>998</v>
      </c>
      <c r="G271" s="248" t="s">
        <v>1338</v>
      </c>
      <c r="H271" s="93" t="s">
        <v>2017</v>
      </c>
      <c r="I271" s="74" t="s">
        <v>275</v>
      </c>
      <c r="J271" s="249">
        <v>2.0</v>
      </c>
      <c r="K271" s="74" t="s">
        <v>1640</v>
      </c>
      <c r="L271" s="74">
        <v>715000.0</v>
      </c>
      <c r="M271" s="74" t="s">
        <v>657</v>
      </c>
      <c r="N271" s="74">
        <f t="shared" si="1"/>
        <v>1430000</v>
      </c>
      <c r="O271" s="60">
        <f t="shared" si="2"/>
        <v>45846</v>
      </c>
      <c r="P271" s="65" t="str">
        <f>VLOOKUP(I271,DATABASE!C:Q,11,FALSE)</f>
        <v>Tire</v>
      </c>
      <c r="Q271" s="65" t="str">
        <f>VLOOKUP(I271,DATABASE!C:Q,4,FALSE)</f>
        <v>Dunlop</v>
      </c>
      <c r="R271" s="79"/>
    </row>
    <row r="272" ht="22.5" customHeight="1">
      <c r="A272" s="49"/>
      <c r="C272" s="245">
        <v>45771.0</v>
      </c>
      <c r="D272" s="245">
        <v>45771.0</v>
      </c>
      <c r="E272" s="246" t="s">
        <v>97</v>
      </c>
      <c r="F272" s="247" t="s">
        <v>343</v>
      </c>
      <c r="G272" s="248" t="s">
        <v>2032</v>
      </c>
      <c r="H272" s="93" t="s">
        <v>87</v>
      </c>
      <c r="I272" s="74" t="s">
        <v>1278</v>
      </c>
      <c r="J272" s="249">
        <v>4.0</v>
      </c>
      <c r="K272" s="74" t="s">
        <v>2033</v>
      </c>
      <c r="L272" s="74">
        <v>1466393.5</v>
      </c>
      <c r="M272" s="74" t="s">
        <v>521</v>
      </c>
      <c r="N272" s="74">
        <f t="shared" si="1"/>
        <v>5865574</v>
      </c>
      <c r="O272" s="60">
        <f t="shared" si="2"/>
        <v>45831</v>
      </c>
      <c r="P272" s="65" t="str">
        <f>VLOOKUP(I272,DATABASE!C:Q,11,FALSE)</f>
        <v>Tire</v>
      </c>
      <c r="Q272" s="65" t="str">
        <f>VLOOKUP(I272,DATABASE!C:Q,4,FALSE)</f>
        <v>Bridgestone</v>
      </c>
      <c r="R272" s="79"/>
    </row>
    <row r="273" ht="22.5" customHeight="1">
      <c r="A273" s="49"/>
      <c r="C273" s="245">
        <v>45771.0</v>
      </c>
      <c r="D273" s="245">
        <v>45771.0</v>
      </c>
      <c r="E273" s="246" t="s">
        <v>97</v>
      </c>
      <c r="F273" s="247" t="s">
        <v>343</v>
      </c>
      <c r="G273" s="248" t="s">
        <v>2032</v>
      </c>
      <c r="H273" s="93" t="s">
        <v>87</v>
      </c>
      <c r="I273" s="74" t="s">
        <v>605</v>
      </c>
      <c r="J273" s="249">
        <v>10.0</v>
      </c>
      <c r="K273" s="74" t="s">
        <v>606</v>
      </c>
      <c r="L273" s="74">
        <v>670000.0</v>
      </c>
      <c r="M273" s="74" t="s">
        <v>521</v>
      </c>
      <c r="N273" s="74">
        <f t="shared" si="1"/>
        <v>6700000</v>
      </c>
      <c r="O273" s="60">
        <f t="shared" si="2"/>
        <v>45831</v>
      </c>
      <c r="P273" s="65" t="str">
        <f>VLOOKUP(I273,DATABASE!C:Q,11,FALSE)</f>
        <v>Tire</v>
      </c>
      <c r="Q273" s="65" t="str">
        <f>VLOOKUP(I273,DATABASE!C:Q,4,FALSE)</f>
        <v>Bridgestone</v>
      </c>
      <c r="R273" s="79"/>
    </row>
    <row r="274" ht="22.5" customHeight="1">
      <c r="A274" s="49"/>
      <c r="C274" s="245">
        <v>45771.0</v>
      </c>
      <c r="D274" s="245">
        <v>45771.0</v>
      </c>
      <c r="E274" s="246" t="s">
        <v>97</v>
      </c>
      <c r="F274" s="247" t="s">
        <v>343</v>
      </c>
      <c r="G274" s="248" t="s">
        <v>2032</v>
      </c>
      <c r="H274" s="93" t="s">
        <v>87</v>
      </c>
      <c r="I274" s="74" t="s">
        <v>554</v>
      </c>
      <c r="J274" s="249">
        <v>10.0</v>
      </c>
      <c r="K274" s="74" t="s">
        <v>556</v>
      </c>
      <c r="L274" s="74">
        <v>700000.0</v>
      </c>
      <c r="M274" s="74" t="s">
        <v>521</v>
      </c>
      <c r="N274" s="74">
        <f t="shared" si="1"/>
        <v>7000000</v>
      </c>
      <c r="O274" s="60">
        <f t="shared" si="2"/>
        <v>45831</v>
      </c>
      <c r="P274" s="65" t="str">
        <f>VLOOKUP(I274,DATABASE!C:Q,11,FALSE)</f>
        <v>Tire</v>
      </c>
      <c r="Q274" s="65" t="str">
        <f>VLOOKUP(I274,DATABASE!C:Q,4,FALSE)</f>
        <v>Bridgestone</v>
      </c>
      <c r="R274" s="79"/>
    </row>
    <row r="275" ht="22.5" customHeight="1">
      <c r="A275" s="49"/>
      <c r="C275" s="245">
        <v>45771.0</v>
      </c>
      <c r="D275" s="245">
        <v>45771.0</v>
      </c>
      <c r="E275" s="246" t="s">
        <v>97</v>
      </c>
      <c r="F275" s="247" t="s">
        <v>343</v>
      </c>
      <c r="G275" s="248" t="s">
        <v>2032</v>
      </c>
      <c r="H275" s="93" t="s">
        <v>87</v>
      </c>
      <c r="I275" s="74" t="s">
        <v>937</v>
      </c>
      <c r="J275" s="249">
        <v>10.0</v>
      </c>
      <c r="K275" s="74" t="s">
        <v>1111</v>
      </c>
      <c r="L275" s="74">
        <v>810000.0</v>
      </c>
      <c r="M275" s="74" t="s">
        <v>521</v>
      </c>
      <c r="N275" s="74">
        <f t="shared" si="1"/>
        <v>8100000</v>
      </c>
      <c r="O275" s="60">
        <f t="shared" si="2"/>
        <v>45831</v>
      </c>
      <c r="P275" s="65" t="str">
        <f>VLOOKUP(I275,DATABASE!C:Q,11,FALSE)</f>
        <v>Tire</v>
      </c>
      <c r="Q275" s="65" t="str">
        <f>VLOOKUP(I275,DATABASE!C:Q,4,FALSE)</f>
        <v>Bridgestone</v>
      </c>
      <c r="R275" s="79"/>
    </row>
    <row r="276" ht="22.5" customHeight="1">
      <c r="A276" s="49"/>
      <c r="C276" s="245">
        <v>45771.0</v>
      </c>
      <c r="D276" s="245">
        <v>45771.0</v>
      </c>
      <c r="E276" s="246" t="s">
        <v>97</v>
      </c>
      <c r="F276" s="247" t="s">
        <v>343</v>
      </c>
      <c r="G276" s="248" t="s">
        <v>2032</v>
      </c>
      <c r="H276" s="93" t="s">
        <v>87</v>
      </c>
      <c r="I276" s="74" t="s">
        <v>591</v>
      </c>
      <c r="J276" s="249">
        <v>3.0</v>
      </c>
      <c r="K276" s="74" t="s">
        <v>1841</v>
      </c>
      <c r="L276" s="74">
        <v>564181.0</v>
      </c>
      <c r="M276" s="74" t="s">
        <v>521</v>
      </c>
      <c r="N276" s="74">
        <f t="shared" si="1"/>
        <v>1692543</v>
      </c>
      <c r="O276" s="60">
        <f t="shared" si="2"/>
        <v>45831</v>
      </c>
      <c r="P276" s="65" t="str">
        <f>VLOOKUP(I276,DATABASE!C:Q,11,FALSE)</f>
        <v>Tire</v>
      </c>
      <c r="Q276" s="65" t="str">
        <f>VLOOKUP(I276,DATABASE!C:Q,4,FALSE)</f>
        <v>Bridgestone</v>
      </c>
      <c r="R276" s="79"/>
    </row>
    <row r="277" ht="22.5" customHeight="1">
      <c r="A277" s="49"/>
      <c r="C277" s="245">
        <v>45771.0</v>
      </c>
      <c r="D277" s="245">
        <v>45771.0</v>
      </c>
      <c r="E277" s="246" t="s">
        <v>97</v>
      </c>
      <c r="F277" s="247" t="s">
        <v>343</v>
      </c>
      <c r="G277" s="248" t="s">
        <v>2051</v>
      </c>
      <c r="H277" s="93" t="s">
        <v>87</v>
      </c>
      <c r="I277" s="74" t="s">
        <v>1237</v>
      </c>
      <c r="J277" s="249">
        <v>10.0</v>
      </c>
      <c r="K277" s="74" t="s">
        <v>1992</v>
      </c>
      <c r="L277" s="74">
        <v>1113907.2</v>
      </c>
      <c r="M277" s="74" t="s">
        <v>521</v>
      </c>
      <c r="N277" s="74">
        <f t="shared" si="1"/>
        <v>11139072</v>
      </c>
      <c r="O277" s="60">
        <f t="shared" si="2"/>
        <v>45831</v>
      </c>
      <c r="P277" s="65" t="str">
        <f>VLOOKUP(I277,DATABASE!C:Q,11,FALSE)</f>
        <v>Tire</v>
      </c>
      <c r="Q277" s="65" t="str">
        <f>VLOOKUP(I277,DATABASE!C:Q,4,FALSE)</f>
        <v>Bridgestone</v>
      </c>
      <c r="R277" s="79"/>
    </row>
    <row r="278" ht="22.5" customHeight="1">
      <c r="A278" s="49"/>
      <c r="C278" s="245">
        <v>45771.0</v>
      </c>
      <c r="D278" s="245">
        <v>45771.0</v>
      </c>
      <c r="E278" s="246" t="s">
        <v>97</v>
      </c>
      <c r="F278" s="247" t="s">
        <v>343</v>
      </c>
      <c r="G278" s="248" t="s">
        <v>2051</v>
      </c>
      <c r="H278" s="93" t="s">
        <v>87</v>
      </c>
      <c r="I278" s="74" t="s">
        <v>591</v>
      </c>
      <c r="J278" s="249">
        <v>6.0</v>
      </c>
      <c r="K278" s="74" t="s">
        <v>1841</v>
      </c>
      <c r="L278" s="74">
        <v>564181.0</v>
      </c>
      <c r="M278" s="74" t="s">
        <v>521</v>
      </c>
      <c r="N278" s="74">
        <f t="shared" si="1"/>
        <v>3385086</v>
      </c>
      <c r="O278" s="60">
        <f t="shared" si="2"/>
        <v>45831</v>
      </c>
      <c r="P278" s="65" t="str">
        <f>VLOOKUP(I278,DATABASE!C:Q,11,FALSE)</f>
        <v>Tire</v>
      </c>
      <c r="Q278" s="65" t="str">
        <f>VLOOKUP(I278,DATABASE!C:Q,4,FALSE)</f>
        <v>Bridgestone</v>
      </c>
      <c r="R278" s="79"/>
    </row>
    <row r="279" ht="22.5" customHeight="1">
      <c r="A279" s="49"/>
      <c r="C279" s="245">
        <v>45771.0</v>
      </c>
      <c r="D279" s="245">
        <v>45771.0</v>
      </c>
      <c r="E279" s="246" t="s">
        <v>97</v>
      </c>
      <c r="F279" s="247" t="s">
        <v>343</v>
      </c>
      <c r="G279" s="248" t="s">
        <v>2056</v>
      </c>
      <c r="H279" s="93" t="s">
        <v>87</v>
      </c>
      <c r="I279" s="74" t="s">
        <v>566</v>
      </c>
      <c r="J279" s="249">
        <v>10.0</v>
      </c>
      <c r="K279" s="74" t="s">
        <v>567</v>
      </c>
      <c r="L279" s="74">
        <v>1570000.0</v>
      </c>
      <c r="M279" s="74" t="s">
        <v>521</v>
      </c>
      <c r="N279" s="74">
        <f t="shared" si="1"/>
        <v>15700000</v>
      </c>
      <c r="O279" s="60">
        <f t="shared" si="2"/>
        <v>45831</v>
      </c>
      <c r="P279" s="65" t="str">
        <f>VLOOKUP(I279,DATABASE!C:Q,11,FALSE)</f>
        <v>Tire</v>
      </c>
      <c r="Q279" s="65" t="str">
        <f>VLOOKUP(I279,DATABASE!C:Q,4,FALSE)</f>
        <v>Bridgestone</v>
      </c>
      <c r="R279" s="79"/>
    </row>
    <row r="280" ht="22.5" customHeight="1">
      <c r="A280" s="49"/>
      <c r="C280" s="245">
        <v>45771.0</v>
      </c>
      <c r="D280" s="245">
        <v>45771.0</v>
      </c>
      <c r="E280" s="246" t="s">
        <v>97</v>
      </c>
      <c r="F280" s="247" t="s">
        <v>343</v>
      </c>
      <c r="G280" s="248" t="s">
        <v>2056</v>
      </c>
      <c r="H280" s="93" t="s">
        <v>87</v>
      </c>
      <c r="I280" s="74" t="s">
        <v>572</v>
      </c>
      <c r="J280" s="249">
        <v>10.0</v>
      </c>
      <c r="K280" s="74" t="s">
        <v>1231</v>
      </c>
      <c r="L280" s="74">
        <v>1270000.0</v>
      </c>
      <c r="M280" s="74" t="s">
        <v>521</v>
      </c>
      <c r="N280" s="74">
        <f t="shared" si="1"/>
        <v>12700000</v>
      </c>
      <c r="O280" s="60">
        <f t="shared" si="2"/>
        <v>45831</v>
      </c>
      <c r="P280" s="65" t="str">
        <f>VLOOKUP(I280,DATABASE!C:Q,11,FALSE)</f>
        <v>Tire</v>
      </c>
      <c r="Q280" s="65" t="str">
        <f>VLOOKUP(I280,DATABASE!C:Q,4,FALSE)</f>
        <v>Bridgestone</v>
      </c>
      <c r="R280" s="79"/>
    </row>
    <row r="281" ht="22.5" customHeight="1">
      <c r="A281" s="49"/>
      <c r="C281" s="245">
        <v>45775.0</v>
      </c>
      <c r="D281" s="245">
        <v>45775.0</v>
      </c>
      <c r="E281" s="93" t="s">
        <v>81</v>
      </c>
      <c r="F281" s="247" t="s">
        <v>343</v>
      </c>
      <c r="G281" s="248" t="s">
        <v>1460</v>
      </c>
      <c r="H281" s="93" t="s">
        <v>87</v>
      </c>
      <c r="I281" s="74" t="s">
        <v>265</v>
      </c>
      <c r="J281" s="249">
        <v>20.0</v>
      </c>
      <c r="K281" s="74" t="s">
        <v>1538</v>
      </c>
      <c r="L281" s="74">
        <v>573000.0</v>
      </c>
      <c r="M281" s="74" t="s">
        <v>657</v>
      </c>
      <c r="N281" s="74">
        <f t="shared" si="1"/>
        <v>11460000</v>
      </c>
      <c r="O281" s="60">
        <f t="shared" si="2"/>
        <v>45850</v>
      </c>
      <c r="P281" s="65" t="str">
        <f>VLOOKUP(I281,DATABASE!C:Q,11,FALSE)</f>
        <v>Tire</v>
      </c>
      <c r="Q281" s="65" t="str">
        <f>VLOOKUP(I281,DATABASE!C:Q,4,FALSE)</f>
        <v>Dunlop</v>
      </c>
      <c r="R281" s="79"/>
    </row>
    <row r="282" ht="22.5" customHeight="1">
      <c r="A282" s="49"/>
      <c r="C282" s="245">
        <v>45775.0</v>
      </c>
      <c r="D282" s="245">
        <v>45775.0</v>
      </c>
      <c r="E282" s="93" t="s">
        <v>81</v>
      </c>
      <c r="F282" s="247" t="s">
        <v>343</v>
      </c>
      <c r="G282" s="248" t="s">
        <v>1460</v>
      </c>
      <c r="H282" s="93" t="s">
        <v>87</v>
      </c>
      <c r="I282" s="74" t="s">
        <v>268</v>
      </c>
      <c r="J282" s="249">
        <v>45.0</v>
      </c>
      <c r="K282" s="74" t="s">
        <v>1761</v>
      </c>
      <c r="L282" s="74">
        <v>602000.0</v>
      </c>
      <c r="M282" s="74" t="s">
        <v>657</v>
      </c>
      <c r="N282" s="74">
        <f t="shared" si="1"/>
        <v>27090000</v>
      </c>
      <c r="O282" s="60">
        <f t="shared" si="2"/>
        <v>45850</v>
      </c>
      <c r="P282" s="65" t="str">
        <f>VLOOKUP(I282,DATABASE!C:Q,11,FALSE)</f>
        <v>Tire</v>
      </c>
      <c r="Q282" s="65" t="str">
        <f>VLOOKUP(I282,DATABASE!C:Q,4,FALSE)</f>
        <v>Dunlop</v>
      </c>
      <c r="R282" s="79"/>
    </row>
    <row r="283" ht="22.5" customHeight="1">
      <c r="A283" s="49"/>
      <c r="C283" s="245">
        <v>45775.0</v>
      </c>
      <c r="D283" s="245">
        <v>45775.0</v>
      </c>
      <c r="E283" s="93" t="s">
        <v>81</v>
      </c>
      <c r="F283" s="247" t="s">
        <v>343</v>
      </c>
      <c r="G283" s="248" t="s">
        <v>1460</v>
      </c>
      <c r="H283" s="93" t="s">
        <v>87</v>
      </c>
      <c r="I283" s="74" t="s">
        <v>275</v>
      </c>
      <c r="J283" s="249">
        <v>20.0</v>
      </c>
      <c r="K283" s="74" t="s">
        <v>1640</v>
      </c>
      <c r="L283" s="74">
        <v>715000.0</v>
      </c>
      <c r="M283" s="74" t="s">
        <v>657</v>
      </c>
      <c r="N283" s="74">
        <f t="shared" si="1"/>
        <v>14300000</v>
      </c>
      <c r="O283" s="60">
        <f t="shared" si="2"/>
        <v>45850</v>
      </c>
      <c r="P283" s="65" t="str">
        <f>VLOOKUP(I283,DATABASE!C:Q,11,FALSE)</f>
        <v>Tire</v>
      </c>
      <c r="Q283" s="65" t="str">
        <f>VLOOKUP(I283,DATABASE!C:Q,4,FALSE)</f>
        <v>Dunlop</v>
      </c>
      <c r="R283" s="79"/>
    </row>
    <row r="284" ht="22.5" customHeight="1">
      <c r="A284" s="49"/>
      <c r="C284" s="245">
        <v>45775.0</v>
      </c>
      <c r="D284" s="245">
        <v>45775.0</v>
      </c>
      <c r="E284" s="93" t="s">
        <v>81</v>
      </c>
      <c r="F284" s="247" t="s">
        <v>343</v>
      </c>
      <c r="G284" s="248" t="s">
        <v>1460</v>
      </c>
      <c r="H284" s="93" t="s">
        <v>87</v>
      </c>
      <c r="I284" s="74" t="s">
        <v>932</v>
      </c>
      <c r="J284" s="249">
        <v>20.0</v>
      </c>
      <c r="K284" s="74" t="s">
        <v>933</v>
      </c>
      <c r="L284" s="74">
        <v>575000.0</v>
      </c>
      <c r="M284" s="74" t="s">
        <v>657</v>
      </c>
      <c r="N284" s="74">
        <f t="shared" si="1"/>
        <v>11500000</v>
      </c>
      <c r="O284" s="60">
        <f t="shared" si="2"/>
        <v>45850</v>
      </c>
      <c r="P284" s="65" t="str">
        <f>VLOOKUP(I284,DATABASE!C:Q,11,FALSE)</f>
        <v>Tire</v>
      </c>
      <c r="Q284" s="65" t="str">
        <f>VLOOKUP(I284,DATABASE!C:Q,4,FALSE)</f>
        <v>Dunlop</v>
      </c>
      <c r="R284" s="79"/>
    </row>
    <row r="285" ht="22.5" customHeight="1">
      <c r="A285" s="49"/>
      <c r="C285" s="245">
        <v>45775.0</v>
      </c>
      <c r="D285" s="245">
        <v>45775.0</v>
      </c>
      <c r="E285" s="93" t="s">
        <v>81</v>
      </c>
      <c r="F285" s="247" t="s">
        <v>343</v>
      </c>
      <c r="G285" s="248" t="s">
        <v>1460</v>
      </c>
      <c r="H285" s="93" t="s">
        <v>87</v>
      </c>
      <c r="I285" s="74" t="s">
        <v>1301</v>
      </c>
      <c r="J285" s="249">
        <v>2.0</v>
      </c>
      <c r="K285" s="74" t="s">
        <v>1302</v>
      </c>
      <c r="L285" s="74">
        <v>1170000.0</v>
      </c>
      <c r="M285" s="74" t="s">
        <v>657</v>
      </c>
      <c r="N285" s="74">
        <f t="shared" si="1"/>
        <v>2340000</v>
      </c>
      <c r="O285" s="60">
        <f t="shared" si="2"/>
        <v>45850</v>
      </c>
      <c r="P285" s="65" t="str">
        <f>VLOOKUP(I285,DATABASE!C:Q,11,FALSE)</f>
        <v>Tire</v>
      </c>
      <c r="Q285" s="65" t="str">
        <f>VLOOKUP(I285,DATABASE!C:Q,4,FALSE)</f>
        <v>Dunlop</v>
      </c>
      <c r="R285" s="79"/>
    </row>
    <row r="286" ht="22.5" customHeight="1">
      <c r="A286" s="49"/>
      <c r="C286" s="245">
        <v>45775.0</v>
      </c>
      <c r="D286" s="245">
        <v>45775.0</v>
      </c>
      <c r="E286" s="93" t="s">
        <v>81</v>
      </c>
      <c r="F286" s="247" t="s">
        <v>343</v>
      </c>
      <c r="G286" s="248" t="s">
        <v>1465</v>
      </c>
      <c r="H286" s="93" t="s">
        <v>87</v>
      </c>
      <c r="I286" s="74" t="s">
        <v>282</v>
      </c>
      <c r="J286" s="249">
        <v>6.0</v>
      </c>
      <c r="K286" s="74" t="s">
        <v>1708</v>
      </c>
      <c r="L286" s="74">
        <v>760000.0</v>
      </c>
      <c r="M286" s="74" t="s">
        <v>657</v>
      </c>
      <c r="N286" s="74">
        <f t="shared" si="1"/>
        <v>4560000</v>
      </c>
      <c r="O286" s="60">
        <f t="shared" si="2"/>
        <v>45850</v>
      </c>
      <c r="P286" s="65" t="str">
        <f>VLOOKUP(I286,DATABASE!C:Q,11,FALSE)</f>
        <v>Tire</v>
      </c>
      <c r="Q286" s="65" t="str">
        <f>VLOOKUP(I286,DATABASE!C:Q,4,FALSE)</f>
        <v>Dunlop</v>
      </c>
      <c r="R286" s="79"/>
    </row>
    <row r="287" ht="22.5" customHeight="1">
      <c r="A287" s="49"/>
      <c r="C287" s="245">
        <v>45775.0</v>
      </c>
      <c r="D287" s="245">
        <v>45775.0</v>
      </c>
      <c r="E287" s="93" t="s">
        <v>81</v>
      </c>
      <c r="F287" s="247" t="s">
        <v>343</v>
      </c>
      <c r="G287" s="248" t="s">
        <v>1465</v>
      </c>
      <c r="H287" s="93" t="s">
        <v>87</v>
      </c>
      <c r="I287" s="74" t="s">
        <v>1524</v>
      </c>
      <c r="J287" s="249">
        <v>6.0</v>
      </c>
      <c r="K287" s="74" t="s">
        <v>2075</v>
      </c>
      <c r="L287" s="74">
        <v>930000.0</v>
      </c>
      <c r="M287" s="74" t="s">
        <v>657</v>
      </c>
      <c r="N287" s="74">
        <f t="shared" si="1"/>
        <v>5580000</v>
      </c>
      <c r="O287" s="60">
        <f t="shared" si="2"/>
        <v>45850</v>
      </c>
      <c r="P287" s="65" t="str">
        <f>VLOOKUP(I287,DATABASE!C:Q,11,FALSE)</f>
        <v>Tire</v>
      </c>
      <c r="Q287" s="65" t="str">
        <f>VLOOKUP(I287,DATABASE!C:Q,4,FALSE)</f>
        <v>Dunlop</v>
      </c>
      <c r="R287" s="79"/>
    </row>
    <row r="288" ht="22.5" customHeight="1">
      <c r="A288" s="49"/>
      <c r="C288" s="245">
        <v>45775.0</v>
      </c>
      <c r="D288" s="245">
        <v>45775.0</v>
      </c>
      <c r="E288" s="93" t="s">
        <v>81</v>
      </c>
      <c r="F288" s="247" t="s">
        <v>343</v>
      </c>
      <c r="G288" s="248" t="s">
        <v>1465</v>
      </c>
      <c r="H288" s="93" t="s">
        <v>87</v>
      </c>
      <c r="I288" s="74" t="s">
        <v>271</v>
      </c>
      <c r="J288" s="249">
        <v>10.0</v>
      </c>
      <c r="K288" s="74" t="s">
        <v>2082</v>
      </c>
      <c r="L288" s="74">
        <v>515000.0</v>
      </c>
      <c r="M288" s="74" t="s">
        <v>657</v>
      </c>
      <c r="N288" s="74">
        <f t="shared" si="1"/>
        <v>5150000</v>
      </c>
      <c r="O288" s="60">
        <f t="shared" si="2"/>
        <v>45850</v>
      </c>
      <c r="P288" s="65" t="str">
        <f>VLOOKUP(I288,DATABASE!C:Q,11,FALSE)</f>
        <v>Tire</v>
      </c>
      <c r="Q288" s="65" t="str">
        <f>VLOOKUP(I288,DATABASE!C:Q,4,FALSE)</f>
        <v>Dunlop</v>
      </c>
      <c r="R288" s="79"/>
    </row>
    <row r="289" ht="22.5" customHeight="1">
      <c r="A289" s="49"/>
      <c r="C289" s="245">
        <v>45775.0</v>
      </c>
      <c r="D289" s="245">
        <v>45775.0</v>
      </c>
      <c r="E289" s="93" t="s">
        <v>81</v>
      </c>
      <c r="F289" s="247" t="s">
        <v>343</v>
      </c>
      <c r="G289" s="248" t="s">
        <v>1465</v>
      </c>
      <c r="H289" s="93" t="s">
        <v>87</v>
      </c>
      <c r="I289" s="74" t="s">
        <v>955</v>
      </c>
      <c r="J289" s="249">
        <v>10.0</v>
      </c>
      <c r="K289" s="74" t="s">
        <v>1984</v>
      </c>
      <c r="L289" s="74">
        <v>668000.0</v>
      </c>
      <c r="M289" s="74" t="s">
        <v>657</v>
      </c>
      <c r="N289" s="74">
        <f t="shared" si="1"/>
        <v>6680000</v>
      </c>
      <c r="O289" s="60">
        <f t="shared" si="2"/>
        <v>45850</v>
      </c>
      <c r="P289" s="65" t="str">
        <f>VLOOKUP(I289,DATABASE!C:Q,11,FALSE)</f>
        <v>Tire</v>
      </c>
      <c r="Q289" s="65" t="str">
        <f>VLOOKUP(I289,DATABASE!C:Q,4,FALSE)</f>
        <v>Dunlop</v>
      </c>
      <c r="R289" s="79"/>
    </row>
    <row r="290" ht="22.5" customHeight="1">
      <c r="A290" s="49"/>
      <c r="C290" s="245">
        <v>45775.0</v>
      </c>
      <c r="D290" s="245">
        <v>45775.0</v>
      </c>
      <c r="E290" s="93" t="s">
        <v>81</v>
      </c>
      <c r="F290" s="247" t="s">
        <v>343</v>
      </c>
      <c r="G290" s="248" t="s">
        <v>1465</v>
      </c>
      <c r="H290" s="93" t="s">
        <v>87</v>
      </c>
      <c r="I290" s="74" t="s">
        <v>1389</v>
      </c>
      <c r="J290" s="249">
        <v>4.0</v>
      </c>
      <c r="K290" s="74" t="s">
        <v>1052</v>
      </c>
      <c r="L290" s="74">
        <v>870000.0</v>
      </c>
      <c r="M290" s="74" t="s">
        <v>657</v>
      </c>
      <c r="N290" s="74">
        <f t="shared" si="1"/>
        <v>3480000</v>
      </c>
      <c r="O290" s="60">
        <f t="shared" si="2"/>
        <v>45850</v>
      </c>
      <c r="P290" s="65" t="str">
        <f>VLOOKUP(I290,DATABASE!C:Q,11,FALSE)</f>
        <v>Tire</v>
      </c>
      <c r="Q290" s="65" t="str">
        <f>VLOOKUP(I290,DATABASE!C:Q,4,FALSE)</f>
        <v>Dunlop</v>
      </c>
      <c r="R290" s="79"/>
    </row>
    <row r="291" ht="22.5" customHeight="1">
      <c r="A291" s="49"/>
      <c r="C291" s="245">
        <v>45775.0</v>
      </c>
      <c r="D291" s="245">
        <v>45775.0</v>
      </c>
      <c r="E291" s="93" t="s">
        <v>81</v>
      </c>
      <c r="F291" s="247" t="s">
        <v>343</v>
      </c>
      <c r="G291" s="248" t="s">
        <v>1465</v>
      </c>
      <c r="H291" s="93" t="s">
        <v>87</v>
      </c>
      <c r="I291" s="74" t="s">
        <v>695</v>
      </c>
      <c r="J291" s="249">
        <v>4.0</v>
      </c>
      <c r="K291" s="74" t="s">
        <v>2087</v>
      </c>
      <c r="L291" s="74">
        <v>539000.0</v>
      </c>
      <c r="M291" s="74" t="s">
        <v>657</v>
      </c>
      <c r="N291" s="74">
        <f t="shared" si="1"/>
        <v>2156000</v>
      </c>
      <c r="O291" s="60">
        <f t="shared" si="2"/>
        <v>45850</v>
      </c>
      <c r="P291" s="65" t="str">
        <f>VLOOKUP(I291,DATABASE!C:Q,11,FALSE)</f>
        <v>Tire</v>
      </c>
      <c r="Q291" s="65" t="str">
        <f>VLOOKUP(I291,DATABASE!C:Q,4,FALSE)</f>
        <v>Dunlop</v>
      </c>
      <c r="R291" s="79"/>
    </row>
    <row r="292" ht="22.5" customHeight="1">
      <c r="A292" s="49"/>
      <c r="C292" s="245">
        <v>45775.0</v>
      </c>
      <c r="D292" s="245">
        <v>45775.0</v>
      </c>
      <c r="E292" s="93" t="s">
        <v>81</v>
      </c>
      <c r="F292" s="247" t="s">
        <v>343</v>
      </c>
      <c r="G292" s="248" t="s">
        <v>1465</v>
      </c>
      <c r="H292" s="93" t="s">
        <v>87</v>
      </c>
      <c r="I292" s="74" t="s">
        <v>940</v>
      </c>
      <c r="J292" s="249">
        <v>4.0</v>
      </c>
      <c r="K292" s="74" t="s">
        <v>556</v>
      </c>
      <c r="L292" s="74">
        <v>700000.0</v>
      </c>
      <c r="M292" s="74" t="s">
        <v>657</v>
      </c>
      <c r="N292" s="74">
        <f t="shared" si="1"/>
        <v>2800000</v>
      </c>
      <c r="O292" s="60">
        <f t="shared" si="2"/>
        <v>45850</v>
      </c>
      <c r="P292" s="65" t="str">
        <f>VLOOKUP(I292,DATABASE!C:Q,11,FALSE)</f>
        <v>Tire</v>
      </c>
      <c r="Q292" s="65" t="str">
        <f>VLOOKUP(I292,DATABASE!C:Q,4,FALSE)</f>
        <v>Dunlop</v>
      </c>
      <c r="R292" s="79"/>
    </row>
    <row r="293" ht="22.5" customHeight="1">
      <c r="A293" s="49"/>
      <c r="C293" s="245">
        <v>45777.0</v>
      </c>
      <c r="D293" s="245">
        <v>45777.0</v>
      </c>
      <c r="E293" s="93" t="s">
        <v>361</v>
      </c>
      <c r="F293" s="247" t="s">
        <v>343</v>
      </c>
      <c r="G293" s="248" t="s">
        <v>2093</v>
      </c>
      <c r="H293" s="93" t="s">
        <v>7</v>
      </c>
      <c r="I293" s="74" t="s">
        <v>889</v>
      </c>
      <c r="J293" s="249">
        <v>9.0</v>
      </c>
      <c r="K293" s="74" t="s">
        <v>2094</v>
      </c>
      <c r="L293" s="74">
        <v>678000.0</v>
      </c>
      <c r="M293" s="74" t="s">
        <v>521</v>
      </c>
      <c r="N293" s="74">
        <f t="shared" si="1"/>
        <v>6102000</v>
      </c>
      <c r="O293" s="60">
        <f t="shared" si="2"/>
        <v>45837</v>
      </c>
      <c r="P293" s="65" t="str">
        <f>VLOOKUP(I293,DATABASE!C:Q,11,FALSE)</f>
        <v>Tire</v>
      </c>
      <c r="Q293" s="65" t="str">
        <f>VLOOKUP(I293,DATABASE!C:Q,4,FALSE)</f>
        <v>Sailun</v>
      </c>
      <c r="R293" s="79"/>
    </row>
    <row r="294" ht="22.5" customHeight="1">
      <c r="A294" s="49"/>
      <c r="C294" s="245">
        <v>45779.0</v>
      </c>
      <c r="D294" s="245">
        <v>45779.0</v>
      </c>
      <c r="E294" s="93" t="s">
        <v>335</v>
      </c>
      <c r="F294" s="247" t="s">
        <v>343</v>
      </c>
      <c r="G294" s="248" t="s">
        <v>2096</v>
      </c>
      <c r="H294" s="93" t="s">
        <v>7</v>
      </c>
      <c r="I294" s="74" t="s">
        <v>391</v>
      </c>
      <c r="J294" s="249">
        <v>6.0</v>
      </c>
      <c r="K294" s="74" t="s">
        <v>907</v>
      </c>
      <c r="L294" s="74">
        <v>1840000.0</v>
      </c>
      <c r="M294" s="74" t="s">
        <v>521</v>
      </c>
      <c r="N294" s="74">
        <f t="shared" si="1"/>
        <v>11040000</v>
      </c>
      <c r="O294" s="60">
        <f t="shared" si="2"/>
        <v>45839</v>
      </c>
      <c r="P294" s="65" t="str">
        <f>VLOOKUP(I294,DATABASE!C:Q,11,FALSE)</f>
        <v>Tire</v>
      </c>
      <c r="Q294" s="65" t="str">
        <f>VLOOKUP(I294,DATABASE!C:Q,4,FALSE)</f>
        <v>Advance</v>
      </c>
      <c r="R294" s="79"/>
    </row>
    <row r="295" ht="22.5" customHeight="1">
      <c r="A295" s="49"/>
      <c r="C295" s="245">
        <v>45779.0</v>
      </c>
      <c r="D295" s="245">
        <v>45779.0</v>
      </c>
      <c r="E295" s="93" t="s">
        <v>335</v>
      </c>
      <c r="F295" s="247" t="s">
        <v>343</v>
      </c>
      <c r="G295" s="248" t="s">
        <v>2096</v>
      </c>
      <c r="H295" s="93" t="s">
        <v>7</v>
      </c>
      <c r="I295" s="74" t="s">
        <v>403</v>
      </c>
      <c r="J295" s="249">
        <v>4.0</v>
      </c>
      <c r="K295" s="74" t="s">
        <v>920</v>
      </c>
      <c r="L295" s="74">
        <v>2160000.0</v>
      </c>
      <c r="M295" s="74" t="s">
        <v>521</v>
      </c>
      <c r="N295" s="74">
        <f t="shared" si="1"/>
        <v>8640000</v>
      </c>
      <c r="O295" s="60">
        <f t="shared" si="2"/>
        <v>45839</v>
      </c>
      <c r="P295" s="65" t="str">
        <f>VLOOKUP(I295,DATABASE!C:Q,11,FALSE)</f>
        <v>Tire</v>
      </c>
      <c r="Q295" s="65" t="str">
        <f>VLOOKUP(I295,DATABASE!C:Q,4,FALSE)</f>
        <v>Advance</v>
      </c>
      <c r="R295" s="79"/>
    </row>
    <row r="296" ht="22.5" customHeight="1">
      <c r="A296" s="49"/>
      <c r="C296" s="245">
        <v>45779.0</v>
      </c>
      <c r="D296" s="245">
        <v>45779.0</v>
      </c>
      <c r="E296" s="93" t="s">
        <v>123</v>
      </c>
      <c r="F296" s="247" t="s">
        <v>343</v>
      </c>
      <c r="G296" s="248" t="s">
        <v>2101</v>
      </c>
      <c r="H296" s="93" t="s">
        <v>7</v>
      </c>
      <c r="I296" s="74" t="s">
        <v>1894</v>
      </c>
      <c r="J296" s="249">
        <v>10.0</v>
      </c>
      <c r="K296" s="74" t="s">
        <v>2102</v>
      </c>
      <c r="L296" s="74">
        <v>445400.0</v>
      </c>
      <c r="M296" s="74" t="s">
        <v>755</v>
      </c>
      <c r="N296" s="74">
        <f t="shared" si="1"/>
        <v>4454000</v>
      </c>
      <c r="O296" s="60">
        <f t="shared" si="2"/>
        <v>45809</v>
      </c>
      <c r="P296" s="65" t="str">
        <f>VLOOKUP(I296,DATABASE!C:Q,11,FALSE)</f>
        <v>Tire</v>
      </c>
      <c r="Q296" s="65" t="str">
        <f>VLOOKUP(I296,DATABASE!C:Q,4,FALSE)</f>
        <v>GT</v>
      </c>
      <c r="R296" s="79"/>
    </row>
    <row r="297" ht="22.5" customHeight="1">
      <c r="A297" s="49"/>
      <c r="C297" s="245">
        <v>45779.0</v>
      </c>
      <c r="D297" s="245">
        <v>45779.0</v>
      </c>
      <c r="E297" s="93" t="s">
        <v>123</v>
      </c>
      <c r="F297" s="247" t="s">
        <v>343</v>
      </c>
      <c r="G297" s="248" t="s">
        <v>2101</v>
      </c>
      <c r="H297" s="93" t="s">
        <v>7</v>
      </c>
      <c r="I297" s="74" t="s">
        <v>1009</v>
      </c>
      <c r="J297" s="249">
        <v>9.0</v>
      </c>
      <c r="K297" s="74" t="s">
        <v>1414</v>
      </c>
      <c r="L297" s="74">
        <v>592200.0</v>
      </c>
      <c r="M297" s="74" t="s">
        <v>755</v>
      </c>
      <c r="N297" s="74">
        <f t="shared" si="1"/>
        <v>5329800</v>
      </c>
      <c r="O297" s="60">
        <f t="shared" si="2"/>
        <v>45809</v>
      </c>
      <c r="P297" s="65" t="str">
        <f>VLOOKUP(I297,DATABASE!C:Q,11,FALSE)</f>
        <v>Tire</v>
      </c>
      <c r="Q297" s="65" t="str">
        <f>VLOOKUP(I297,DATABASE!C:Q,4,FALSE)</f>
        <v>GT</v>
      </c>
      <c r="R297" s="79"/>
    </row>
    <row r="298" ht="22.5" customHeight="1">
      <c r="A298" s="49"/>
      <c r="C298" s="245">
        <v>45779.0</v>
      </c>
      <c r="D298" s="245">
        <v>45779.0</v>
      </c>
      <c r="E298" s="93" t="s">
        <v>123</v>
      </c>
      <c r="F298" s="247" t="s">
        <v>343</v>
      </c>
      <c r="G298" s="248" t="s">
        <v>2101</v>
      </c>
      <c r="H298" s="93" t="s">
        <v>7</v>
      </c>
      <c r="I298" s="74" t="s">
        <v>1928</v>
      </c>
      <c r="J298" s="249">
        <v>10.0</v>
      </c>
      <c r="K298" s="74" t="s">
        <v>2106</v>
      </c>
      <c r="L298" s="74">
        <v>572700.0</v>
      </c>
      <c r="M298" s="74" t="s">
        <v>755</v>
      </c>
      <c r="N298" s="74">
        <f t="shared" si="1"/>
        <v>5727000</v>
      </c>
      <c r="O298" s="60">
        <f t="shared" si="2"/>
        <v>45809</v>
      </c>
      <c r="P298" s="65" t="str">
        <f>VLOOKUP(I298,DATABASE!C:Q,11,FALSE)</f>
        <v>Tire</v>
      </c>
      <c r="Q298" s="65" t="str">
        <f>VLOOKUP(I298,DATABASE!C:Q,4,FALSE)</f>
        <v>GT</v>
      </c>
      <c r="R298" s="79"/>
    </row>
    <row r="299" ht="22.5" customHeight="1">
      <c r="A299" s="49"/>
      <c r="C299" s="245">
        <v>45779.0</v>
      </c>
      <c r="D299" s="245">
        <v>45779.0</v>
      </c>
      <c r="E299" s="93" t="s">
        <v>123</v>
      </c>
      <c r="F299" s="247" t="s">
        <v>343</v>
      </c>
      <c r="G299" s="248" t="s">
        <v>2101</v>
      </c>
      <c r="H299" s="93" t="s">
        <v>7</v>
      </c>
      <c r="I299" s="74" t="s">
        <v>1076</v>
      </c>
      <c r="J299" s="249">
        <v>4.0</v>
      </c>
      <c r="K299" s="74" t="s">
        <v>2113</v>
      </c>
      <c r="L299" s="74">
        <v>666540.0</v>
      </c>
      <c r="M299" s="74" t="s">
        <v>755</v>
      </c>
      <c r="N299" s="74">
        <f t="shared" si="1"/>
        <v>2666160</v>
      </c>
      <c r="O299" s="60">
        <f t="shared" si="2"/>
        <v>45809</v>
      </c>
      <c r="P299" s="65" t="str">
        <f>VLOOKUP(I299,DATABASE!C:Q,11,FALSE)</f>
        <v>Tire</v>
      </c>
      <c r="Q299" s="65" t="str">
        <f>VLOOKUP(I299,DATABASE!C:Q,4,FALSE)</f>
        <v>GT</v>
      </c>
      <c r="R299" s="79"/>
    </row>
    <row r="300" ht="22.5" customHeight="1">
      <c r="A300" s="49"/>
      <c r="C300" s="245">
        <v>45779.0</v>
      </c>
      <c r="D300" s="245">
        <v>45779.0</v>
      </c>
      <c r="E300" s="93" t="s">
        <v>123</v>
      </c>
      <c r="F300" s="247" t="s">
        <v>343</v>
      </c>
      <c r="G300" s="248" t="s">
        <v>2101</v>
      </c>
      <c r="H300" s="93" t="s">
        <v>7</v>
      </c>
      <c r="I300" s="74" t="s">
        <v>1617</v>
      </c>
      <c r="J300" s="249">
        <v>4.0</v>
      </c>
      <c r="K300" s="74" t="s">
        <v>2120</v>
      </c>
      <c r="L300" s="74">
        <v>739000.0</v>
      </c>
      <c r="M300" s="74" t="s">
        <v>755</v>
      </c>
      <c r="N300" s="74">
        <f t="shared" si="1"/>
        <v>2956000</v>
      </c>
      <c r="O300" s="60">
        <f t="shared" si="2"/>
        <v>45809</v>
      </c>
      <c r="P300" s="65" t="str">
        <f>VLOOKUP(I300,DATABASE!C:Q,11,FALSE)</f>
        <v>Tire</v>
      </c>
      <c r="Q300" s="65" t="str">
        <f>VLOOKUP(I300,DATABASE!C:Q,4,FALSE)</f>
        <v>GT</v>
      </c>
      <c r="R300" s="79"/>
    </row>
    <row r="301" ht="22.5" customHeight="1">
      <c r="A301" s="49"/>
      <c r="C301" s="245">
        <v>45779.0</v>
      </c>
      <c r="D301" s="245">
        <v>45779.0</v>
      </c>
      <c r="E301" s="93" t="s">
        <v>123</v>
      </c>
      <c r="F301" s="247" t="s">
        <v>343</v>
      </c>
      <c r="G301" s="248" t="s">
        <v>2101</v>
      </c>
      <c r="H301" s="93" t="s">
        <v>7</v>
      </c>
      <c r="I301" s="74" t="s">
        <v>1974</v>
      </c>
      <c r="J301" s="249">
        <v>3.0</v>
      </c>
      <c r="K301" s="74" t="s">
        <v>2124</v>
      </c>
      <c r="L301" s="74">
        <v>1150700.0</v>
      </c>
      <c r="M301" s="74" t="s">
        <v>755</v>
      </c>
      <c r="N301" s="74">
        <f t="shared" si="1"/>
        <v>3452100</v>
      </c>
      <c r="O301" s="60">
        <f t="shared" si="2"/>
        <v>45809</v>
      </c>
      <c r="P301" s="65" t="str">
        <f>VLOOKUP(I301,DATABASE!C:Q,11,FALSE)</f>
        <v>Tire</v>
      </c>
      <c r="Q301" s="65" t="str">
        <f>VLOOKUP(I301,DATABASE!C:Q,4,FALSE)</f>
        <v>GT</v>
      </c>
      <c r="R301" s="79"/>
    </row>
    <row r="302" ht="22.5" customHeight="1">
      <c r="A302" s="49"/>
      <c r="C302" s="245">
        <v>45779.0</v>
      </c>
      <c r="D302" s="245">
        <v>45779.0</v>
      </c>
      <c r="E302" s="93" t="s">
        <v>123</v>
      </c>
      <c r="F302" s="247" t="s">
        <v>343</v>
      </c>
      <c r="G302" s="248" t="s">
        <v>2127</v>
      </c>
      <c r="H302" s="93" t="s">
        <v>7</v>
      </c>
      <c r="I302" s="74" t="s">
        <v>2019</v>
      </c>
      <c r="J302" s="249">
        <v>10.0</v>
      </c>
      <c r="K302" s="74" t="s">
        <v>2130</v>
      </c>
      <c r="L302" s="74">
        <v>585000.0</v>
      </c>
      <c r="M302" s="74" t="s">
        <v>755</v>
      </c>
      <c r="N302" s="74">
        <f t="shared" si="1"/>
        <v>5850000</v>
      </c>
      <c r="O302" s="60">
        <f t="shared" si="2"/>
        <v>45809</v>
      </c>
      <c r="P302" s="65" t="str">
        <f>VLOOKUP(I302,DATABASE!C:Q,11,FALSE)</f>
        <v>Tire</v>
      </c>
      <c r="Q302" s="65" t="str">
        <f>VLOOKUP(I302,DATABASE!C:Q,4,FALSE)</f>
        <v>GT</v>
      </c>
      <c r="R302" s="79"/>
    </row>
    <row r="303" ht="22.5" customHeight="1">
      <c r="A303" s="49"/>
      <c r="C303" s="245">
        <v>45779.0</v>
      </c>
      <c r="D303" s="245">
        <v>45779.0</v>
      </c>
      <c r="E303" s="93" t="s">
        <v>123</v>
      </c>
      <c r="F303" s="247" t="s">
        <v>343</v>
      </c>
      <c r="G303" s="248" t="s">
        <v>2127</v>
      </c>
      <c r="H303" s="93" t="s">
        <v>7</v>
      </c>
      <c r="I303" s="74" t="s">
        <v>791</v>
      </c>
      <c r="J303" s="249">
        <v>5.0</v>
      </c>
      <c r="K303" s="74" t="s">
        <v>2134</v>
      </c>
      <c r="L303" s="74">
        <v>1150000.0</v>
      </c>
      <c r="M303" s="74" t="s">
        <v>755</v>
      </c>
      <c r="N303" s="74">
        <f t="shared" si="1"/>
        <v>5750000</v>
      </c>
      <c r="O303" s="60">
        <f t="shared" si="2"/>
        <v>45809</v>
      </c>
      <c r="P303" s="65" t="str">
        <f>VLOOKUP(I303,DATABASE!C:Q,11,FALSE)</f>
        <v>Tire</v>
      </c>
      <c r="Q303" s="65" t="str">
        <f>VLOOKUP(I303,DATABASE!C:Q,4,FALSE)</f>
        <v>GT</v>
      </c>
      <c r="R303" s="79"/>
    </row>
    <row r="304" ht="22.5" customHeight="1">
      <c r="A304" s="49"/>
      <c r="C304" s="245">
        <v>45779.0</v>
      </c>
      <c r="D304" s="245">
        <v>45779.0</v>
      </c>
      <c r="E304" s="93" t="s">
        <v>123</v>
      </c>
      <c r="F304" s="247" t="s">
        <v>343</v>
      </c>
      <c r="G304" s="248" t="s">
        <v>2127</v>
      </c>
      <c r="H304" s="93" t="s">
        <v>7</v>
      </c>
      <c r="I304" s="74" t="s">
        <v>1858</v>
      </c>
      <c r="J304" s="249">
        <v>2.0</v>
      </c>
      <c r="K304" s="74" t="s">
        <v>742</v>
      </c>
      <c r="L304" s="74">
        <v>2015000.0</v>
      </c>
      <c r="M304" s="74" t="s">
        <v>755</v>
      </c>
      <c r="N304" s="74">
        <f t="shared" si="1"/>
        <v>4030000</v>
      </c>
      <c r="O304" s="60">
        <f t="shared" si="2"/>
        <v>45809</v>
      </c>
      <c r="P304" s="65" t="str">
        <f>VLOOKUP(I304,DATABASE!C:Q,11,FALSE)</f>
        <v>Tire</v>
      </c>
      <c r="Q304" s="65" t="str">
        <f>VLOOKUP(I304,DATABASE!C:Q,4,FALSE)</f>
        <v>GiTi</v>
      </c>
      <c r="R304" s="79"/>
    </row>
    <row r="305" ht="22.5" customHeight="1">
      <c r="A305" s="49"/>
      <c r="C305" s="245">
        <v>45779.0</v>
      </c>
      <c r="D305" s="245">
        <v>45779.0</v>
      </c>
      <c r="E305" s="93" t="s">
        <v>123</v>
      </c>
      <c r="F305" s="247" t="s">
        <v>343</v>
      </c>
      <c r="G305" s="248" t="s">
        <v>2127</v>
      </c>
      <c r="H305" s="93" t="s">
        <v>7</v>
      </c>
      <c r="I305" s="74" t="s">
        <v>1862</v>
      </c>
      <c r="J305" s="249">
        <v>6.0</v>
      </c>
      <c r="K305" s="74" t="s">
        <v>1959</v>
      </c>
      <c r="L305" s="74">
        <v>2025000.0</v>
      </c>
      <c r="M305" s="74" t="s">
        <v>755</v>
      </c>
      <c r="N305" s="74">
        <f t="shared" si="1"/>
        <v>12150000</v>
      </c>
      <c r="O305" s="60">
        <f t="shared" si="2"/>
        <v>45809</v>
      </c>
      <c r="P305" s="65" t="str">
        <f>VLOOKUP(I305,DATABASE!C:Q,11,FALSE)</f>
        <v>Tire</v>
      </c>
      <c r="Q305" s="65" t="str">
        <f>VLOOKUP(I305,DATABASE!C:Q,4,FALSE)</f>
        <v>GiTi</v>
      </c>
      <c r="R305" s="79"/>
    </row>
    <row r="306" ht="22.5" customHeight="1">
      <c r="A306" s="49"/>
      <c r="C306" s="245">
        <v>45779.0</v>
      </c>
      <c r="D306" s="245">
        <v>45779.0</v>
      </c>
      <c r="E306" s="93" t="s">
        <v>123</v>
      </c>
      <c r="F306" s="247" t="s">
        <v>343</v>
      </c>
      <c r="G306" s="248" t="s">
        <v>2127</v>
      </c>
      <c r="H306" s="93" t="s">
        <v>7</v>
      </c>
      <c r="I306" s="74" t="s">
        <v>604</v>
      </c>
      <c r="J306" s="249">
        <v>25.0</v>
      </c>
      <c r="K306" s="74" t="s">
        <v>2145</v>
      </c>
      <c r="L306" s="74">
        <v>123300.0</v>
      </c>
      <c r="M306" s="74" t="s">
        <v>755</v>
      </c>
      <c r="N306" s="74">
        <f t="shared" si="1"/>
        <v>3082500</v>
      </c>
      <c r="O306" s="60">
        <f t="shared" si="2"/>
        <v>45809</v>
      </c>
      <c r="P306" s="65" t="str">
        <f>VLOOKUP(I306,DATABASE!C:Q,11,FALSE)</f>
        <v>Tire</v>
      </c>
      <c r="Q306" s="65" t="str">
        <f>VLOOKUP(I306,DATABASE!C:Q,4,FALSE)</f>
        <v>BD</v>
      </c>
      <c r="R306" s="79"/>
    </row>
    <row r="307" ht="22.5" customHeight="1">
      <c r="A307" s="49"/>
      <c r="C307" s="245">
        <v>45786.0</v>
      </c>
      <c r="D307" s="245">
        <v>45786.0</v>
      </c>
      <c r="E307" s="93" t="s">
        <v>110</v>
      </c>
      <c r="F307" s="247" t="s">
        <v>343</v>
      </c>
      <c r="G307" s="60">
        <v>45786.0</v>
      </c>
      <c r="H307" s="93" t="s">
        <v>7</v>
      </c>
      <c r="I307" s="74" t="s">
        <v>781</v>
      </c>
      <c r="J307" s="249">
        <v>10.0</v>
      </c>
      <c r="K307" s="74" t="s">
        <v>1963</v>
      </c>
      <c r="L307" s="74">
        <v>435000.0</v>
      </c>
      <c r="M307" s="74" t="s">
        <v>755</v>
      </c>
      <c r="N307" s="74">
        <f t="shared" si="1"/>
        <v>4350000</v>
      </c>
      <c r="O307" s="60">
        <f t="shared" si="2"/>
        <v>45816</v>
      </c>
      <c r="P307" s="65" t="str">
        <f>VLOOKUP(I307,DATABASE!C:Q,11,FALSE)</f>
        <v>Tire</v>
      </c>
      <c r="Q307" s="65" t="str">
        <f>VLOOKUP(I307,DATABASE!C:Q,4,FALSE)</f>
        <v>GT</v>
      </c>
      <c r="R307" s="79"/>
    </row>
    <row r="308" ht="22.5" customHeight="1">
      <c r="A308" s="49"/>
      <c r="C308" s="245">
        <v>45786.0</v>
      </c>
      <c r="D308" s="245">
        <v>45786.0</v>
      </c>
      <c r="E308" s="93" t="s">
        <v>110</v>
      </c>
      <c r="F308" s="247" t="s">
        <v>343</v>
      </c>
      <c r="G308" s="60">
        <v>45786.0</v>
      </c>
      <c r="H308" s="93" t="s">
        <v>7</v>
      </c>
      <c r="I308" s="74" t="s">
        <v>777</v>
      </c>
      <c r="J308" s="249">
        <v>10.0</v>
      </c>
      <c r="K308" s="74" t="s">
        <v>778</v>
      </c>
      <c r="L308" s="74">
        <v>507000.0</v>
      </c>
      <c r="M308" s="74" t="s">
        <v>755</v>
      </c>
      <c r="N308" s="74">
        <f t="shared" si="1"/>
        <v>5070000</v>
      </c>
      <c r="O308" s="60">
        <f t="shared" si="2"/>
        <v>45816</v>
      </c>
      <c r="P308" s="65" t="str">
        <f>VLOOKUP(I308,DATABASE!C:Q,11,FALSE)</f>
        <v>Tire</v>
      </c>
      <c r="Q308" s="65" t="str">
        <f>VLOOKUP(I308,DATABASE!C:Q,4,FALSE)</f>
        <v>GT</v>
      </c>
      <c r="R308" s="79"/>
    </row>
    <row r="309" ht="22.5" customHeight="1">
      <c r="A309" s="49"/>
      <c r="C309" s="245">
        <v>45786.0</v>
      </c>
      <c r="D309" s="245">
        <v>45786.0</v>
      </c>
      <c r="E309" s="93" t="s">
        <v>110</v>
      </c>
      <c r="F309" s="247" t="s">
        <v>343</v>
      </c>
      <c r="G309" s="60">
        <v>45786.0</v>
      </c>
      <c r="H309" s="93" t="s">
        <v>7</v>
      </c>
      <c r="I309" s="74" t="s">
        <v>294</v>
      </c>
      <c r="J309" s="249">
        <v>10.0</v>
      </c>
      <c r="K309" s="74" t="s">
        <v>2158</v>
      </c>
      <c r="L309" s="74">
        <v>485000.0</v>
      </c>
      <c r="M309" s="74" t="s">
        <v>755</v>
      </c>
      <c r="N309" s="74">
        <f t="shared" si="1"/>
        <v>4850000</v>
      </c>
      <c r="O309" s="60">
        <f t="shared" si="2"/>
        <v>45816</v>
      </c>
      <c r="P309" s="65" t="str">
        <f>VLOOKUP(I309,DATABASE!C:Q,11,FALSE)</f>
        <v>Tire</v>
      </c>
      <c r="Q309" s="65" t="str">
        <f>VLOOKUP(I309,DATABASE!C:Q,4,FALSE)</f>
        <v>GT</v>
      </c>
      <c r="R309" s="79"/>
    </row>
    <row r="310" ht="22.5" customHeight="1">
      <c r="A310" s="49"/>
      <c r="C310" s="245">
        <v>45786.0</v>
      </c>
      <c r="D310" s="245">
        <v>45786.0</v>
      </c>
      <c r="E310" s="93" t="s">
        <v>110</v>
      </c>
      <c r="F310" s="247" t="s">
        <v>343</v>
      </c>
      <c r="G310" s="60">
        <v>45786.0</v>
      </c>
      <c r="H310" s="93" t="s">
        <v>7</v>
      </c>
      <c r="I310" s="74" t="s">
        <v>791</v>
      </c>
      <c r="J310" s="249">
        <v>10.0</v>
      </c>
      <c r="K310" s="74" t="s">
        <v>792</v>
      </c>
      <c r="L310" s="74">
        <v>1180000.0</v>
      </c>
      <c r="M310" s="74" t="s">
        <v>755</v>
      </c>
      <c r="N310" s="74">
        <f t="shared" si="1"/>
        <v>11800000</v>
      </c>
      <c r="O310" s="60">
        <f t="shared" si="2"/>
        <v>45816</v>
      </c>
      <c r="P310" s="65" t="str">
        <f>VLOOKUP(I310,DATABASE!C:Q,11,FALSE)</f>
        <v>Tire</v>
      </c>
      <c r="Q310" s="65" t="str">
        <f>VLOOKUP(I310,DATABASE!C:Q,4,FALSE)</f>
        <v>GT</v>
      </c>
      <c r="R310" s="79"/>
    </row>
    <row r="311" ht="22.5" customHeight="1">
      <c r="A311" s="49"/>
      <c r="C311" s="245">
        <v>45786.0</v>
      </c>
      <c r="D311" s="245">
        <v>45786.0</v>
      </c>
      <c r="E311" s="93" t="s">
        <v>110</v>
      </c>
      <c r="F311" s="247" t="s">
        <v>343</v>
      </c>
      <c r="G311" s="60">
        <v>45786.0</v>
      </c>
      <c r="H311" s="93" t="s">
        <v>7</v>
      </c>
      <c r="I311" s="74" t="s">
        <v>287</v>
      </c>
      <c r="J311" s="249">
        <v>10.0</v>
      </c>
      <c r="K311" s="74" t="s">
        <v>1453</v>
      </c>
      <c r="L311" s="74">
        <v>690560.0</v>
      </c>
      <c r="M311" s="74" t="s">
        <v>755</v>
      </c>
      <c r="N311" s="74">
        <f t="shared" si="1"/>
        <v>6905600</v>
      </c>
      <c r="O311" s="60">
        <f t="shared" si="2"/>
        <v>45816</v>
      </c>
      <c r="P311" s="65" t="str">
        <f>VLOOKUP(I311,DATABASE!C:Q,11,FALSE)</f>
        <v>Tire</v>
      </c>
      <c r="Q311" s="65" t="str">
        <f>VLOOKUP(I311,DATABASE!C:Q,4,FALSE)</f>
        <v>GT</v>
      </c>
      <c r="R311" s="79"/>
    </row>
    <row r="312" ht="22.5" customHeight="1">
      <c r="A312" s="49"/>
      <c r="C312" s="245">
        <v>45787.0</v>
      </c>
      <c r="D312" s="245">
        <v>45787.0</v>
      </c>
      <c r="E312" s="93" t="s">
        <v>372</v>
      </c>
      <c r="F312" s="247" t="s">
        <v>343</v>
      </c>
      <c r="G312" s="248" t="s">
        <v>1943</v>
      </c>
      <c r="H312" s="93" t="s">
        <v>7</v>
      </c>
      <c r="I312" s="74" t="s">
        <v>2128</v>
      </c>
      <c r="J312" s="249">
        <v>2.0</v>
      </c>
      <c r="K312" s="74" t="s">
        <v>899</v>
      </c>
      <c r="L312" s="74">
        <v>1500000.0</v>
      </c>
      <c r="M312" s="74" t="s">
        <v>521</v>
      </c>
      <c r="N312" s="74">
        <f t="shared" si="1"/>
        <v>3000000</v>
      </c>
      <c r="O312" s="60">
        <f t="shared" si="2"/>
        <v>45847</v>
      </c>
      <c r="P312" s="65" t="str">
        <f>VLOOKUP(I312,DATABASE!C:Q,11,FALSE)</f>
        <v>Tire</v>
      </c>
      <c r="Q312" s="65" t="str">
        <f>VLOOKUP(I312,DATABASE!C:Q,4,FALSE)</f>
        <v>Michellin</v>
      </c>
      <c r="R312" s="79"/>
    </row>
    <row r="313" ht="22.5" customHeight="1">
      <c r="A313" s="49"/>
      <c r="C313" s="245">
        <v>45787.0</v>
      </c>
      <c r="D313" s="245">
        <v>45787.0</v>
      </c>
      <c r="E313" s="246" t="s">
        <v>97</v>
      </c>
      <c r="F313" s="247" t="s">
        <v>343</v>
      </c>
      <c r="G313" s="248" t="s">
        <v>2169</v>
      </c>
      <c r="H313" s="93" t="s">
        <v>87</v>
      </c>
      <c r="I313" s="74" t="s">
        <v>591</v>
      </c>
      <c r="J313" s="249">
        <v>10.0</v>
      </c>
      <c r="K313" s="74">
        <v>593438.0</v>
      </c>
      <c r="L313" s="74">
        <v>593438.0</v>
      </c>
      <c r="M313" s="74" t="s">
        <v>521</v>
      </c>
      <c r="N313" s="74">
        <f t="shared" si="1"/>
        <v>5934380</v>
      </c>
      <c r="O313" s="60">
        <f t="shared" si="2"/>
        <v>45847</v>
      </c>
      <c r="P313" s="65" t="str">
        <f>VLOOKUP(I313,DATABASE!C:Q,11,FALSE)</f>
        <v>Tire</v>
      </c>
      <c r="Q313" s="65" t="str">
        <f>VLOOKUP(I313,DATABASE!C:Q,4,FALSE)</f>
        <v>Bridgestone</v>
      </c>
      <c r="R313" s="79"/>
    </row>
    <row r="314" ht="22.5" customHeight="1">
      <c r="A314" s="49"/>
      <c r="C314" s="245">
        <v>45787.0</v>
      </c>
      <c r="D314" s="245">
        <v>45787.0</v>
      </c>
      <c r="E314" s="246" t="s">
        <v>97</v>
      </c>
      <c r="F314" s="247" t="s">
        <v>343</v>
      </c>
      <c r="G314" s="248" t="s">
        <v>2169</v>
      </c>
      <c r="H314" s="93" t="s">
        <v>87</v>
      </c>
      <c r="I314" s="74" t="s">
        <v>554</v>
      </c>
      <c r="J314" s="249">
        <v>10.0</v>
      </c>
      <c r="K314" s="74" t="s">
        <v>556</v>
      </c>
      <c r="L314" s="74">
        <v>700000.0</v>
      </c>
      <c r="M314" s="74" t="s">
        <v>521</v>
      </c>
      <c r="N314" s="74">
        <f t="shared" si="1"/>
        <v>7000000</v>
      </c>
      <c r="O314" s="60">
        <f t="shared" si="2"/>
        <v>45847</v>
      </c>
      <c r="P314" s="65" t="str">
        <f>VLOOKUP(I314,DATABASE!C:Q,11,FALSE)</f>
        <v>Tire</v>
      </c>
      <c r="Q314" s="65" t="str">
        <f>VLOOKUP(I314,DATABASE!C:Q,4,FALSE)</f>
        <v>Bridgestone</v>
      </c>
      <c r="R314" s="79"/>
    </row>
    <row r="315" ht="22.5" customHeight="1">
      <c r="A315" s="49"/>
      <c r="C315" s="245">
        <v>45787.0</v>
      </c>
      <c r="D315" s="245">
        <v>45787.0</v>
      </c>
      <c r="E315" s="246" t="s">
        <v>97</v>
      </c>
      <c r="F315" s="247" t="s">
        <v>343</v>
      </c>
      <c r="G315" s="248" t="s">
        <v>2169</v>
      </c>
      <c r="H315" s="93" t="s">
        <v>87</v>
      </c>
      <c r="I315" s="74" t="s">
        <v>937</v>
      </c>
      <c r="J315" s="249">
        <v>10.0</v>
      </c>
      <c r="K315" s="74" t="s">
        <v>1111</v>
      </c>
      <c r="L315" s="74">
        <v>810000.0</v>
      </c>
      <c r="M315" s="74" t="s">
        <v>521</v>
      </c>
      <c r="N315" s="74">
        <f t="shared" si="1"/>
        <v>8100000</v>
      </c>
      <c r="O315" s="60">
        <f t="shared" si="2"/>
        <v>45847</v>
      </c>
      <c r="P315" s="65" t="str">
        <f>VLOOKUP(I315,DATABASE!C:Q,11,FALSE)</f>
        <v>Tire</v>
      </c>
      <c r="Q315" s="65" t="str">
        <f>VLOOKUP(I315,DATABASE!C:Q,4,FALSE)</f>
        <v>Bridgestone</v>
      </c>
      <c r="R315" s="79"/>
    </row>
    <row r="316" ht="22.5" customHeight="1">
      <c r="A316" s="49"/>
      <c r="C316" s="245">
        <v>45787.0</v>
      </c>
      <c r="D316" s="245">
        <v>45787.0</v>
      </c>
      <c r="E316" s="246" t="s">
        <v>97</v>
      </c>
      <c r="F316" s="247" t="s">
        <v>343</v>
      </c>
      <c r="G316" s="248" t="s">
        <v>2169</v>
      </c>
      <c r="H316" s="93" t="s">
        <v>87</v>
      </c>
      <c r="I316" s="74" t="s">
        <v>614</v>
      </c>
      <c r="J316" s="249">
        <v>10.0</v>
      </c>
      <c r="K316" s="74" t="s">
        <v>1903</v>
      </c>
      <c r="L316" s="74">
        <v>766438.4</v>
      </c>
      <c r="M316" s="74" t="s">
        <v>521</v>
      </c>
      <c r="N316" s="74">
        <f t="shared" si="1"/>
        <v>7664384</v>
      </c>
      <c r="O316" s="60">
        <f t="shared" si="2"/>
        <v>45847</v>
      </c>
      <c r="P316" s="65" t="str">
        <f>VLOOKUP(I316,DATABASE!C:Q,11,FALSE)</f>
        <v>Tire</v>
      </c>
      <c r="Q316" s="65" t="str">
        <f>VLOOKUP(I316,DATABASE!C:Q,4,FALSE)</f>
        <v>Bridgestone</v>
      </c>
      <c r="R316" s="79"/>
    </row>
    <row r="317" ht="22.5" customHeight="1">
      <c r="A317" s="49"/>
      <c r="C317" s="245">
        <v>45787.0</v>
      </c>
      <c r="D317" s="245">
        <v>45787.0</v>
      </c>
      <c r="E317" s="246" t="s">
        <v>97</v>
      </c>
      <c r="F317" s="247" t="s">
        <v>343</v>
      </c>
      <c r="G317" s="248" t="s">
        <v>2169</v>
      </c>
      <c r="H317" s="93" t="s">
        <v>87</v>
      </c>
      <c r="I317" s="74" t="s">
        <v>627</v>
      </c>
      <c r="J317" s="249">
        <v>10.0</v>
      </c>
      <c r="K317" s="74" t="s">
        <v>2180</v>
      </c>
      <c r="L317" s="74">
        <v>884979.0</v>
      </c>
      <c r="M317" s="74" t="s">
        <v>521</v>
      </c>
      <c r="N317" s="74">
        <f t="shared" si="1"/>
        <v>8849790</v>
      </c>
      <c r="O317" s="60">
        <f t="shared" si="2"/>
        <v>45847</v>
      </c>
      <c r="P317" s="65" t="str">
        <f>VLOOKUP(I317,DATABASE!C:Q,11,FALSE)</f>
        <v>Tire</v>
      </c>
      <c r="Q317" s="65" t="str">
        <f>VLOOKUP(I317,DATABASE!C:Q,4,FALSE)</f>
        <v>Bridgestone</v>
      </c>
      <c r="R317" s="79"/>
    </row>
    <row r="318" ht="22.5" customHeight="1">
      <c r="A318" s="49"/>
      <c r="C318" s="245">
        <v>45787.0</v>
      </c>
      <c r="D318" s="245">
        <v>45787.0</v>
      </c>
      <c r="E318" s="246" t="s">
        <v>97</v>
      </c>
      <c r="F318" s="247" t="s">
        <v>343</v>
      </c>
      <c r="G318" s="248" t="s">
        <v>2182</v>
      </c>
      <c r="H318" s="93" t="s">
        <v>87</v>
      </c>
      <c r="I318" s="74" t="s">
        <v>566</v>
      </c>
      <c r="J318" s="249">
        <v>10.0</v>
      </c>
      <c r="K318" s="74" t="s">
        <v>567</v>
      </c>
      <c r="L318" s="74">
        <v>1570000.0</v>
      </c>
      <c r="M318" s="74" t="s">
        <v>521</v>
      </c>
      <c r="N318" s="74">
        <f t="shared" si="1"/>
        <v>15700000</v>
      </c>
      <c r="O318" s="60">
        <f t="shared" si="2"/>
        <v>45847</v>
      </c>
      <c r="P318" s="65" t="str">
        <f>VLOOKUP(I318,DATABASE!C:Q,11,FALSE)</f>
        <v>Tire</v>
      </c>
      <c r="Q318" s="65" t="str">
        <f>VLOOKUP(I318,DATABASE!C:Q,4,FALSE)</f>
        <v>Bridgestone</v>
      </c>
      <c r="R318" s="79"/>
    </row>
    <row r="319" ht="22.5" customHeight="1">
      <c r="A319" s="49"/>
      <c r="C319" s="245">
        <v>45787.0</v>
      </c>
      <c r="D319" s="245">
        <v>45787.0</v>
      </c>
      <c r="E319" s="246" t="s">
        <v>97</v>
      </c>
      <c r="F319" s="247" t="s">
        <v>343</v>
      </c>
      <c r="G319" s="248" t="s">
        <v>2182</v>
      </c>
      <c r="H319" s="93" t="s">
        <v>87</v>
      </c>
      <c r="I319" s="74" t="s">
        <v>572</v>
      </c>
      <c r="J319" s="249">
        <v>10.0</v>
      </c>
      <c r="K319" s="74" t="s">
        <v>1231</v>
      </c>
      <c r="L319" s="74">
        <v>1270000.0</v>
      </c>
      <c r="M319" s="74" t="s">
        <v>521</v>
      </c>
      <c r="N319" s="74">
        <f t="shared" si="1"/>
        <v>12700000</v>
      </c>
      <c r="O319" s="60">
        <f t="shared" si="2"/>
        <v>45847</v>
      </c>
      <c r="P319" s="65" t="str">
        <f>VLOOKUP(I319,DATABASE!C:Q,11,FALSE)</f>
        <v>Tire</v>
      </c>
      <c r="Q319" s="65" t="str">
        <f>VLOOKUP(I319,DATABASE!C:Q,4,FALSE)</f>
        <v>Bridgestone</v>
      </c>
      <c r="R319" s="79"/>
    </row>
    <row r="320" ht="22.5" customHeight="1">
      <c r="A320" s="49"/>
      <c r="C320" s="245">
        <v>45787.0</v>
      </c>
      <c r="D320" s="245">
        <v>45787.0</v>
      </c>
      <c r="E320" s="93" t="s">
        <v>349</v>
      </c>
      <c r="F320" s="247" t="s">
        <v>343</v>
      </c>
      <c r="G320" s="248" t="s">
        <v>2188</v>
      </c>
      <c r="H320" s="93" t="s">
        <v>7</v>
      </c>
      <c r="I320" s="74" t="s">
        <v>2060</v>
      </c>
      <c r="J320" s="249">
        <v>10.0</v>
      </c>
      <c r="K320" s="74" t="s">
        <v>2189</v>
      </c>
      <c r="L320" s="74">
        <v>517000.0</v>
      </c>
      <c r="M320" s="74" t="s">
        <v>2190</v>
      </c>
      <c r="N320" s="74">
        <f t="shared" si="1"/>
        <v>5170000</v>
      </c>
      <c r="O320" s="60">
        <f t="shared" si="2"/>
        <v>45801</v>
      </c>
      <c r="P320" s="65" t="str">
        <f>VLOOKUP(I320,DATABASE!C:Q,11,FALSE)</f>
        <v>Tire</v>
      </c>
      <c r="Q320" s="65" t="str">
        <f>VLOOKUP(I320,DATABASE!C:Q,4,FALSE)</f>
        <v>HANKOOK</v>
      </c>
      <c r="R320" s="79"/>
    </row>
    <row r="321" ht="22.5" customHeight="1">
      <c r="A321" s="49"/>
      <c r="C321" s="245">
        <v>45787.0</v>
      </c>
      <c r="D321" s="245">
        <v>45787.0</v>
      </c>
      <c r="E321" s="93" t="s">
        <v>349</v>
      </c>
      <c r="F321" s="247" t="s">
        <v>343</v>
      </c>
      <c r="G321" s="248" t="s">
        <v>2188</v>
      </c>
      <c r="H321" s="93" t="s">
        <v>7</v>
      </c>
      <c r="I321" s="74" t="s">
        <v>2057</v>
      </c>
      <c r="J321" s="249">
        <v>10.0</v>
      </c>
      <c r="K321" s="74" t="s">
        <v>2194</v>
      </c>
      <c r="L321" s="74">
        <v>565000.0</v>
      </c>
      <c r="M321" s="74" t="s">
        <v>2190</v>
      </c>
      <c r="N321" s="74">
        <f t="shared" si="1"/>
        <v>5650000</v>
      </c>
      <c r="O321" s="60">
        <f t="shared" si="2"/>
        <v>45801</v>
      </c>
      <c r="P321" s="65" t="str">
        <f>VLOOKUP(I321,DATABASE!C:Q,11,FALSE)</f>
        <v>Tire</v>
      </c>
      <c r="Q321" s="65" t="str">
        <f>VLOOKUP(I321,DATABASE!C:Q,4,FALSE)</f>
        <v>Hankook</v>
      </c>
      <c r="R321" s="79"/>
    </row>
    <row r="322" ht="22.5" customHeight="1">
      <c r="A322" s="49"/>
      <c r="C322" s="245">
        <v>45790.0</v>
      </c>
      <c r="D322" s="245">
        <v>45790.0</v>
      </c>
      <c r="E322" s="93" t="s">
        <v>372</v>
      </c>
      <c r="F322" s="247" t="s">
        <v>343</v>
      </c>
      <c r="G322" s="248" t="s">
        <v>1946</v>
      </c>
      <c r="H322" s="93" t="s">
        <v>7</v>
      </c>
      <c r="I322" s="74" t="s">
        <v>1892</v>
      </c>
      <c r="J322" s="249">
        <v>2.0</v>
      </c>
      <c r="K322" s="74" t="s">
        <v>1302</v>
      </c>
      <c r="L322" s="74">
        <v>1170000.0</v>
      </c>
      <c r="M322" s="74" t="s">
        <v>521</v>
      </c>
      <c r="N322" s="74">
        <f t="shared" si="1"/>
        <v>2340000</v>
      </c>
      <c r="O322" s="60">
        <f t="shared" si="2"/>
        <v>45850</v>
      </c>
      <c r="P322" s="65" t="str">
        <f>VLOOKUP(I322,DATABASE!C:Q,11,FALSE)</f>
        <v>Tire</v>
      </c>
      <c r="Q322" s="65" t="str">
        <f>VLOOKUP(I322,DATABASE!C:Q,4,FALSE)</f>
        <v>Michellin</v>
      </c>
      <c r="R322" s="79"/>
    </row>
    <row r="323" ht="22.5" customHeight="1">
      <c r="A323" s="49"/>
      <c r="C323" s="245">
        <v>45793.0</v>
      </c>
      <c r="D323" s="245">
        <v>45793.0</v>
      </c>
      <c r="E323" s="93" t="s">
        <v>81</v>
      </c>
      <c r="F323" s="247" t="s">
        <v>343</v>
      </c>
      <c r="G323" s="248" t="s">
        <v>1468</v>
      </c>
      <c r="H323" s="93" t="s">
        <v>87</v>
      </c>
      <c r="I323" s="74" t="s">
        <v>265</v>
      </c>
      <c r="J323" s="249">
        <v>4.0</v>
      </c>
      <c r="K323" s="74" t="s">
        <v>2198</v>
      </c>
      <c r="L323" s="74">
        <v>610000.0</v>
      </c>
      <c r="M323" s="74" t="s">
        <v>657</v>
      </c>
      <c r="N323" s="74">
        <f t="shared" si="1"/>
        <v>2440000</v>
      </c>
      <c r="O323" s="60">
        <f t="shared" si="2"/>
        <v>45868</v>
      </c>
      <c r="P323" s="65" t="str">
        <f>VLOOKUP(I323,DATABASE!C:Q,11,FALSE)</f>
        <v>Tire</v>
      </c>
      <c r="Q323" s="65" t="str">
        <f>VLOOKUP(I323,DATABASE!C:Q,4,FALSE)</f>
        <v>Dunlop</v>
      </c>
      <c r="R323" s="79"/>
    </row>
    <row r="324" ht="22.5" customHeight="1">
      <c r="A324" s="49"/>
      <c r="C324" s="245">
        <v>45794.0</v>
      </c>
      <c r="D324" s="245">
        <v>45794.0</v>
      </c>
      <c r="E324" s="93" t="s">
        <v>335</v>
      </c>
      <c r="F324" s="247" t="s">
        <v>343</v>
      </c>
      <c r="G324" s="248" t="s">
        <v>2201</v>
      </c>
      <c r="H324" s="93" t="s">
        <v>7</v>
      </c>
      <c r="I324" s="74" t="s">
        <v>391</v>
      </c>
      <c r="J324" s="249">
        <v>6.0</v>
      </c>
      <c r="K324" s="74" t="s">
        <v>907</v>
      </c>
      <c r="L324" s="74">
        <v>1840000.0</v>
      </c>
      <c r="M324" s="74" t="s">
        <v>521</v>
      </c>
      <c r="N324" s="74">
        <f t="shared" si="1"/>
        <v>11040000</v>
      </c>
      <c r="O324" s="60">
        <f t="shared" si="2"/>
        <v>45854</v>
      </c>
      <c r="P324" s="65" t="str">
        <f>VLOOKUP(I324,DATABASE!C:Q,11,FALSE)</f>
        <v>Tire</v>
      </c>
      <c r="Q324" s="65" t="str">
        <f>VLOOKUP(I324,DATABASE!C:Q,4,FALSE)</f>
        <v>Advance</v>
      </c>
      <c r="R324" s="79"/>
    </row>
    <row r="325" ht="22.5" customHeight="1">
      <c r="A325" s="49"/>
      <c r="C325" s="245">
        <v>45794.0</v>
      </c>
      <c r="D325" s="245">
        <v>45794.0</v>
      </c>
      <c r="E325" s="93" t="s">
        <v>335</v>
      </c>
      <c r="F325" s="247" t="s">
        <v>343</v>
      </c>
      <c r="G325" s="248" t="s">
        <v>2201</v>
      </c>
      <c r="H325" s="93" t="s">
        <v>7</v>
      </c>
      <c r="I325" s="74" t="s">
        <v>403</v>
      </c>
      <c r="J325" s="249">
        <v>8.0</v>
      </c>
      <c r="K325" s="74" t="s">
        <v>920</v>
      </c>
      <c r="L325" s="74">
        <v>2160000.0</v>
      </c>
      <c r="M325" s="74" t="s">
        <v>521</v>
      </c>
      <c r="N325" s="74">
        <f t="shared" si="1"/>
        <v>17280000</v>
      </c>
      <c r="O325" s="60">
        <f t="shared" si="2"/>
        <v>45854</v>
      </c>
      <c r="P325" s="65" t="str">
        <f>VLOOKUP(I325,DATABASE!C:Q,11,FALSE)</f>
        <v>Tire</v>
      </c>
      <c r="Q325" s="65" t="str">
        <f>VLOOKUP(I325,DATABASE!C:Q,4,FALSE)</f>
        <v>Advance</v>
      </c>
      <c r="R325" s="79"/>
    </row>
    <row r="326" ht="22.5" customHeight="1">
      <c r="A326" s="49"/>
      <c r="C326" s="245">
        <v>45794.0</v>
      </c>
      <c r="D326" s="245">
        <v>45794.0</v>
      </c>
      <c r="E326" s="93" t="s">
        <v>335</v>
      </c>
      <c r="F326" s="247" t="s">
        <v>343</v>
      </c>
      <c r="G326" s="248" t="s">
        <v>2201</v>
      </c>
      <c r="H326" s="93" t="s">
        <v>7</v>
      </c>
      <c r="I326" s="74" t="s">
        <v>924</v>
      </c>
      <c r="J326" s="249">
        <v>7.0</v>
      </c>
      <c r="K326" s="74" t="s">
        <v>1941</v>
      </c>
      <c r="L326" s="74">
        <v>1650000.0</v>
      </c>
      <c r="M326" s="74" t="s">
        <v>521</v>
      </c>
      <c r="N326" s="74">
        <f t="shared" si="1"/>
        <v>11550000</v>
      </c>
      <c r="O326" s="60">
        <f t="shared" si="2"/>
        <v>45854</v>
      </c>
      <c r="P326" s="65" t="str">
        <f>VLOOKUP(I326,DATABASE!C:Q,11,FALSE)</f>
        <v>Tire</v>
      </c>
      <c r="Q326" s="65" t="str">
        <f>VLOOKUP(I326,DATABASE!C:Q,4,FALSE)</f>
        <v>TIRON</v>
      </c>
      <c r="R326" s="79"/>
    </row>
    <row r="327" ht="22.5" customHeight="1">
      <c r="A327" s="49"/>
      <c r="C327" s="245">
        <v>45794.0</v>
      </c>
      <c r="D327" s="245">
        <v>45794.0</v>
      </c>
      <c r="E327" s="93" t="s">
        <v>335</v>
      </c>
      <c r="F327" s="247" t="s">
        <v>343</v>
      </c>
      <c r="G327" s="248" t="s">
        <v>2201</v>
      </c>
      <c r="H327" s="93" t="s">
        <v>7</v>
      </c>
      <c r="I327" s="74" t="s">
        <v>295</v>
      </c>
      <c r="J327" s="249">
        <v>2.0</v>
      </c>
      <c r="K327" s="74" t="s">
        <v>1204</v>
      </c>
      <c r="L327" s="74">
        <v>1425000.0</v>
      </c>
      <c r="M327" s="74" t="s">
        <v>521</v>
      </c>
      <c r="N327" s="74">
        <f t="shared" si="1"/>
        <v>2850000</v>
      </c>
      <c r="O327" s="60">
        <f t="shared" si="2"/>
        <v>45854</v>
      </c>
      <c r="P327" s="65" t="str">
        <f>VLOOKUP(I327,DATABASE!C:Q,11,FALSE)</f>
        <v>Tire</v>
      </c>
      <c r="Q327" s="65" t="str">
        <f>VLOOKUP(I327,DATABASE!C:Q,4,FALSE)</f>
        <v>TIRON</v>
      </c>
      <c r="R327" s="79"/>
    </row>
    <row r="328" ht="22.5" customHeight="1">
      <c r="A328" s="49"/>
      <c r="C328" s="245">
        <v>45794.0</v>
      </c>
      <c r="D328" s="245">
        <v>45794.0</v>
      </c>
      <c r="E328" s="93" t="s">
        <v>81</v>
      </c>
      <c r="F328" s="247" t="s">
        <v>343</v>
      </c>
      <c r="G328" s="248" t="s">
        <v>1473</v>
      </c>
      <c r="H328" s="93" t="s">
        <v>87</v>
      </c>
      <c r="I328" s="74" t="s">
        <v>265</v>
      </c>
      <c r="J328" s="249">
        <v>15.0</v>
      </c>
      <c r="K328" s="74" t="s">
        <v>2198</v>
      </c>
      <c r="L328" s="74">
        <v>610000.0</v>
      </c>
      <c r="M328" s="74" t="s">
        <v>657</v>
      </c>
      <c r="N328" s="74">
        <f t="shared" si="1"/>
        <v>9150000</v>
      </c>
      <c r="O328" s="60">
        <f t="shared" si="2"/>
        <v>45869</v>
      </c>
      <c r="P328" s="65" t="str">
        <f>VLOOKUP(I328,DATABASE!C:Q,11,FALSE)</f>
        <v>Tire</v>
      </c>
      <c r="Q328" s="65" t="str">
        <f>VLOOKUP(I328,DATABASE!C:Q,4,FALSE)</f>
        <v>Dunlop</v>
      </c>
      <c r="R328" s="79"/>
    </row>
    <row r="329" ht="22.5" customHeight="1">
      <c r="A329" s="49"/>
      <c r="C329" s="245">
        <v>45794.0</v>
      </c>
      <c r="D329" s="245">
        <v>45794.0</v>
      </c>
      <c r="E329" s="93" t="s">
        <v>81</v>
      </c>
      <c r="F329" s="247" t="s">
        <v>343</v>
      </c>
      <c r="G329" s="248" t="s">
        <v>1473</v>
      </c>
      <c r="H329" s="93" t="s">
        <v>87</v>
      </c>
      <c r="I329" s="74" t="s">
        <v>268</v>
      </c>
      <c r="J329" s="249">
        <v>50.0</v>
      </c>
      <c r="K329" s="74" t="s">
        <v>2216</v>
      </c>
      <c r="L329" s="74">
        <v>634500.0</v>
      </c>
      <c r="M329" s="74" t="s">
        <v>657</v>
      </c>
      <c r="N329" s="74">
        <f t="shared" si="1"/>
        <v>31725000</v>
      </c>
      <c r="O329" s="60">
        <f t="shared" si="2"/>
        <v>45869</v>
      </c>
      <c r="P329" s="65" t="str">
        <f>VLOOKUP(I329,DATABASE!C:Q,11,FALSE)</f>
        <v>Tire</v>
      </c>
      <c r="Q329" s="65" t="str">
        <f>VLOOKUP(I329,DATABASE!C:Q,4,FALSE)</f>
        <v>Dunlop</v>
      </c>
      <c r="R329" s="79"/>
    </row>
    <row r="330" ht="22.5" customHeight="1">
      <c r="A330" s="49"/>
      <c r="C330" s="245">
        <v>45794.0</v>
      </c>
      <c r="D330" s="245">
        <v>45794.0</v>
      </c>
      <c r="E330" s="93" t="s">
        <v>81</v>
      </c>
      <c r="F330" s="247" t="s">
        <v>343</v>
      </c>
      <c r="G330" s="248" t="s">
        <v>1473</v>
      </c>
      <c r="H330" s="93" t="s">
        <v>87</v>
      </c>
      <c r="I330" s="74" t="s">
        <v>275</v>
      </c>
      <c r="J330" s="249">
        <v>15.0</v>
      </c>
      <c r="K330" s="74" t="s">
        <v>2225</v>
      </c>
      <c r="L330" s="74">
        <v>759500.0</v>
      </c>
      <c r="M330" s="74" t="s">
        <v>657</v>
      </c>
      <c r="N330" s="74">
        <f t="shared" si="1"/>
        <v>11392500</v>
      </c>
      <c r="O330" s="60">
        <f t="shared" si="2"/>
        <v>45869</v>
      </c>
      <c r="P330" s="65" t="str">
        <f>VLOOKUP(I330,DATABASE!C:Q,11,FALSE)</f>
        <v>Tire</v>
      </c>
      <c r="Q330" s="65" t="str">
        <f>VLOOKUP(I330,DATABASE!C:Q,4,FALSE)</f>
        <v>Dunlop</v>
      </c>
      <c r="R330" s="79"/>
    </row>
    <row r="331" ht="22.5" customHeight="1">
      <c r="A331" s="49"/>
      <c r="C331" s="245">
        <v>45794.0</v>
      </c>
      <c r="D331" s="245">
        <v>45794.0</v>
      </c>
      <c r="E331" s="93" t="s">
        <v>81</v>
      </c>
      <c r="F331" s="247" t="s">
        <v>343</v>
      </c>
      <c r="G331" s="248" t="s">
        <v>1473</v>
      </c>
      <c r="H331" s="93" t="s">
        <v>87</v>
      </c>
      <c r="I331" s="74" t="s">
        <v>932</v>
      </c>
      <c r="J331" s="249">
        <v>15.0</v>
      </c>
      <c r="K331" s="74" t="s">
        <v>2228</v>
      </c>
      <c r="L331" s="74">
        <v>601000.0</v>
      </c>
      <c r="M331" s="74" t="s">
        <v>657</v>
      </c>
      <c r="N331" s="74">
        <f t="shared" si="1"/>
        <v>9015000</v>
      </c>
      <c r="O331" s="60">
        <f t="shared" si="2"/>
        <v>45869</v>
      </c>
      <c r="P331" s="65" t="str">
        <f>VLOOKUP(I331,DATABASE!C:Q,11,FALSE)</f>
        <v>Tire</v>
      </c>
      <c r="Q331" s="65" t="str">
        <f>VLOOKUP(I331,DATABASE!C:Q,4,FALSE)</f>
        <v>Dunlop</v>
      </c>
      <c r="R331" s="79"/>
    </row>
    <row r="332" ht="22.5" customHeight="1">
      <c r="A332" s="49"/>
      <c r="C332" s="245">
        <v>45797.0</v>
      </c>
      <c r="D332" s="245">
        <v>45797.0</v>
      </c>
      <c r="E332" s="93" t="s">
        <v>110</v>
      </c>
      <c r="F332" s="247" t="s">
        <v>343</v>
      </c>
      <c r="G332" s="248">
        <v>2.5006625E7</v>
      </c>
      <c r="H332" s="93" t="s">
        <v>7</v>
      </c>
      <c r="I332" s="74" t="s">
        <v>286</v>
      </c>
      <c r="J332" s="249">
        <v>22.0</v>
      </c>
      <c r="K332" s="74" t="s">
        <v>1014</v>
      </c>
      <c r="L332" s="74">
        <v>445800.0</v>
      </c>
      <c r="M332" s="74" t="s">
        <v>755</v>
      </c>
      <c r="N332" s="74">
        <f t="shared" si="1"/>
        <v>9807600</v>
      </c>
      <c r="O332" s="60">
        <f t="shared" si="2"/>
        <v>45827</v>
      </c>
      <c r="P332" s="65" t="str">
        <f>VLOOKUP(I332,DATABASE!C:Q,11,FALSE)</f>
        <v>Tire</v>
      </c>
      <c r="Q332" s="65" t="str">
        <f>VLOOKUP(I332,DATABASE!C:Q,4,FALSE)</f>
        <v>GT</v>
      </c>
      <c r="R332" s="79"/>
    </row>
    <row r="333" ht="22.5" customHeight="1">
      <c r="A333" s="49"/>
      <c r="C333" s="245">
        <v>45797.0</v>
      </c>
      <c r="D333" s="245">
        <v>45797.0</v>
      </c>
      <c r="E333" s="93" t="s">
        <v>110</v>
      </c>
      <c r="F333" s="247" t="s">
        <v>343</v>
      </c>
      <c r="G333" s="248">
        <v>2.5006625E7</v>
      </c>
      <c r="H333" s="93" t="s">
        <v>7</v>
      </c>
      <c r="I333" s="74" t="s">
        <v>255</v>
      </c>
      <c r="J333" s="249">
        <v>20.0</v>
      </c>
      <c r="K333" s="74" t="s">
        <v>759</v>
      </c>
      <c r="L333" s="74">
        <v>161840.0</v>
      </c>
      <c r="M333" s="74" t="s">
        <v>755</v>
      </c>
      <c r="N333" s="74">
        <f t="shared" si="1"/>
        <v>3236800</v>
      </c>
      <c r="O333" s="60">
        <f t="shared" si="2"/>
        <v>45827</v>
      </c>
      <c r="P333" s="65" t="str">
        <f>VLOOKUP(I333,DATABASE!C:Q,11,FALSE)</f>
        <v>Tire</v>
      </c>
      <c r="Q333" s="65" t="str">
        <f>VLOOKUP(I333,DATABASE!C:Q,4,FALSE)</f>
        <v>BD</v>
      </c>
      <c r="R333" s="79"/>
    </row>
    <row r="334" ht="22.5" customHeight="1">
      <c r="A334" s="49"/>
      <c r="C334" s="245">
        <v>45797.0</v>
      </c>
      <c r="D334" s="245">
        <v>45797.0</v>
      </c>
      <c r="E334" s="93" t="s">
        <v>110</v>
      </c>
      <c r="F334" s="247" t="s">
        <v>343</v>
      </c>
      <c r="G334" s="248">
        <v>2.5006628E7</v>
      </c>
      <c r="H334" s="93" t="s">
        <v>7</v>
      </c>
      <c r="I334" s="74" t="s">
        <v>2037</v>
      </c>
      <c r="J334" s="249">
        <v>2.0</v>
      </c>
      <c r="K334" s="74" t="s">
        <v>2239</v>
      </c>
      <c r="L334" s="74">
        <v>2475000.0</v>
      </c>
      <c r="M334" s="74" t="s">
        <v>755</v>
      </c>
      <c r="N334" s="74">
        <f t="shared" si="1"/>
        <v>4950000</v>
      </c>
      <c r="O334" s="60">
        <f t="shared" si="2"/>
        <v>45827</v>
      </c>
      <c r="P334" s="65" t="str">
        <f>VLOOKUP(I334,DATABASE!C:Q,11,FALSE)</f>
        <v>Tire</v>
      </c>
      <c r="Q334" s="65" t="str">
        <f>VLOOKUP(I334,DATABASE!C:Q,4,FALSE)</f>
        <v>GT</v>
      </c>
      <c r="R334" s="79"/>
    </row>
    <row r="335" ht="22.5" customHeight="1">
      <c r="A335" s="49"/>
      <c r="C335" s="245">
        <v>45797.0</v>
      </c>
      <c r="D335" s="245">
        <v>45797.0</v>
      </c>
      <c r="E335" s="93" t="s">
        <v>110</v>
      </c>
      <c r="F335" s="247" t="s">
        <v>343</v>
      </c>
      <c r="G335" s="248">
        <v>2.5006628E7</v>
      </c>
      <c r="H335" s="93" t="s">
        <v>7</v>
      </c>
      <c r="I335" s="74" t="s">
        <v>1871</v>
      </c>
      <c r="J335" s="249">
        <v>2.0</v>
      </c>
      <c r="K335" s="74" t="s">
        <v>2242</v>
      </c>
      <c r="L335" s="74">
        <v>3160000.0</v>
      </c>
      <c r="M335" s="74" t="s">
        <v>755</v>
      </c>
      <c r="N335" s="74">
        <f t="shared" si="1"/>
        <v>6320000</v>
      </c>
      <c r="O335" s="60">
        <f t="shared" si="2"/>
        <v>45827</v>
      </c>
      <c r="P335" s="65" t="str">
        <f>VLOOKUP(I335,DATABASE!C:Q,11,FALSE)</f>
        <v>Tire</v>
      </c>
      <c r="Q335" s="65" t="str">
        <f>VLOOKUP(I335,DATABASE!C:Q,4,FALSE)</f>
        <v>GT</v>
      </c>
      <c r="R335" s="79"/>
    </row>
    <row r="336" ht="22.5" customHeight="1">
      <c r="A336" s="49"/>
      <c r="C336" s="245">
        <v>45797.0</v>
      </c>
      <c r="D336" s="245">
        <v>45797.0</v>
      </c>
      <c r="E336" s="93" t="s">
        <v>110</v>
      </c>
      <c r="F336" s="247" t="s">
        <v>343</v>
      </c>
      <c r="G336" s="248">
        <v>2.5006628E7</v>
      </c>
      <c r="H336" s="93" t="s">
        <v>7</v>
      </c>
      <c r="I336" s="74" t="s">
        <v>1873</v>
      </c>
      <c r="J336" s="249">
        <v>2.0</v>
      </c>
      <c r="K336" s="74" t="s">
        <v>2248</v>
      </c>
      <c r="L336" s="74">
        <v>3750000.0</v>
      </c>
      <c r="M336" s="74" t="s">
        <v>755</v>
      </c>
      <c r="N336" s="74">
        <f t="shared" si="1"/>
        <v>7500000</v>
      </c>
      <c r="O336" s="60">
        <f t="shared" si="2"/>
        <v>45827</v>
      </c>
      <c r="P336" s="65" t="str">
        <f>VLOOKUP(I336,DATABASE!C:Q,11,FALSE)</f>
        <v>Tire</v>
      </c>
      <c r="Q336" s="65" t="str">
        <f>VLOOKUP(I336,DATABASE!C:Q,4,FALSE)</f>
        <v>GT</v>
      </c>
      <c r="R336" s="79"/>
    </row>
    <row r="337" ht="22.5" customHeight="1">
      <c r="A337" s="49"/>
      <c r="C337" s="245">
        <v>45797.0</v>
      </c>
      <c r="D337" s="245">
        <v>45797.0</v>
      </c>
      <c r="E337" s="93" t="s">
        <v>110</v>
      </c>
      <c r="F337" s="247" t="s">
        <v>343</v>
      </c>
      <c r="G337" s="248">
        <v>2.5006628E7</v>
      </c>
      <c r="H337" s="93" t="s">
        <v>7</v>
      </c>
      <c r="I337" s="74" t="s">
        <v>791</v>
      </c>
      <c r="J337" s="249">
        <v>6.0</v>
      </c>
      <c r="K337" s="74" t="s">
        <v>792</v>
      </c>
      <c r="L337" s="74">
        <v>1180000.0</v>
      </c>
      <c r="M337" s="74" t="s">
        <v>755</v>
      </c>
      <c r="N337" s="74">
        <f t="shared" si="1"/>
        <v>7080000</v>
      </c>
      <c r="O337" s="60">
        <f t="shared" si="2"/>
        <v>45827</v>
      </c>
      <c r="P337" s="65" t="str">
        <f>VLOOKUP(I337,DATABASE!C:Q,11,FALSE)</f>
        <v>Tire</v>
      </c>
      <c r="Q337" s="65" t="str">
        <f>VLOOKUP(I337,DATABASE!C:Q,4,FALSE)</f>
        <v>GT</v>
      </c>
      <c r="R337" s="79"/>
    </row>
    <row r="338" ht="22.5" customHeight="1">
      <c r="A338" s="49"/>
      <c r="C338" s="245">
        <v>45798.0</v>
      </c>
      <c r="D338" s="245">
        <v>45798.0</v>
      </c>
      <c r="E338" s="93" t="s">
        <v>123</v>
      </c>
      <c r="F338" s="247" t="s">
        <v>343</v>
      </c>
      <c r="G338" s="248" t="s">
        <v>2254</v>
      </c>
      <c r="H338" s="93" t="s">
        <v>7</v>
      </c>
      <c r="I338" s="74" t="s">
        <v>1439</v>
      </c>
      <c r="J338" s="249">
        <v>10.0</v>
      </c>
      <c r="K338" s="74" t="s">
        <v>1441</v>
      </c>
      <c r="L338" s="74">
        <v>540800.0</v>
      </c>
      <c r="M338" s="74" t="s">
        <v>755</v>
      </c>
      <c r="N338" s="74">
        <f t="shared" si="1"/>
        <v>5408000</v>
      </c>
      <c r="O338" s="60">
        <f t="shared" si="2"/>
        <v>45828</v>
      </c>
      <c r="P338" s="65" t="str">
        <f>VLOOKUP(I338,DATABASE!C:Q,11,FALSE)</f>
        <v>Tire</v>
      </c>
      <c r="Q338" s="65" t="str">
        <f>VLOOKUP(I338,DATABASE!C:Q,4,FALSE)</f>
        <v>GT</v>
      </c>
      <c r="R338" s="79"/>
    </row>
    <row r="339" ht="22.5" customHeight="1">
      <c r="A339" s="49"/>
      <c r="C339" s="245">
        <v>45798.0</v>
      </c>
      <c r="D339" s="245">
        <v>45798.0</v>
      </c>
      <c r="E339" s="93" t="s">
        <v>123</v>
      </c>
      <c r="F339" s="247" t="s">
        <v>343</v>
      </c>
      <c r="G339" s="248" t="s">
        <v>2254</v>
      </c>
      <c r="H339" s="93" t="s">
        <v>7</v>
      </c>
      <c r="I339" s="74" t="s">
        <v>288</v>
      </c>
      <c r="J339" s="249">
        <v>20.0</v>
      </c>
      <c r="K339" s="74" t="s">
        <v>831</v>
      </c>
      <c r="L339" s="74">
        <v>524800.0</v>
      </c>
      <c r="M339" s="74" t="s">
        <v>755</v>
      </c>
      <c r="N339" s="74">
        <f t="shared" si="1"/>
        <v>10496000</v>
      </c>
      <c r="O339" s="60">
        <f t="shared" si="2"/>
        <v>45828</v>
      </c>
      <c r="P339" s="65" t="str">
        <f>VLOOKUP(I339,DATABASE!C:Q,11,FALSE)</f>
        <v>Tire</v>
      </c>
      <c r="Q339" s="65" t="str">
        <f>VLOOKUP(I339,DATABASE!C:Q,4,FALSE)</f>
        <v>GT</v>
      </c>
      <c r="R339" s="79"/>
    </row>
    <row r="340" ht="22.5" customHeight="1">
      <c r="A340" s="49"/>
      <c r="C340" s="245">
        <v>45798.0</v>
      </c>
      <c r="D340" s="245">
        <v>45798.0</v>
      </c>
      <c r="E340" s="65" t="s">
        <v>123</v>
      </c>
      <c r="F340" s="247" t="s">
        <v>343</v>
      </c>
      <c r="G340" s="248" t="s">
        <v>2254</v>
      </c>
      <c r="H340" s="93" t="s">
        <v>7</v>
      </c>
      <c r="I340" s="74" t="s">
        <v>839</v>
      </c>
      <c r="J340" s="249">
        <v>10.0</v>
      </c>
      <c r="K340" s="74" t="s">
        <v>840</v>
      </c>
      <c r="L340" s="74">
        <v>475700.0</v>
      </c>
      <c r="M340" s="74" t="s">
        <v>755</v>
      </c>
      <c r="N340" s="74">
        <f t="shared" si="1"/>
        <v>4757000</v>
      </c>
      <c r="O340" s="60">
        <f t="shared" si="2"/>
        <v>45828</v>
      </c>
      <c r="P340" s="65" t="str">
        <f>VLOOKUP(I340,DATABASE!C:Q,11,FALSE)</f>
        <v>Tire</v>
      </c>
      <c r="Q340" s="65" t="str">
        <f>VLOOKUP(I340,DATABASE!C:Q,4,FALSE)</f>
        <v>GT</v>
      </c>
      <c r="R340" s="79"/>
    </row>
    <row r="341" ht="22.5" customHeight="1">
      <c r="A341" s="49"/>
      <c r="C341" s="245">
        <v>45798.0</v>
      </c>
      <c r="D341" s="245">
        <v>45798.0</v>
      </c>
      <c r="E341" s="93" t="s">
        <v>123</v>
      </c>
      <c r="F341" s="247" t="s">
        <v>343</v>
      </c>
      <c r="G341" s="248" t="s">
        <v>2254</v>
      </c>
      <c r="H341" s="93" t="s">
        <v>7</v>
      </c>
      <c r="I341" s="74" t="s">
        <v>1597</v>
      </c>
      <c r="J341" s="249">
        <v>7.0</v>
      </c>
      <c r="K341" s="74" t="s">
        <v>2262</v>
      </c>
      <c r="L341" s="74">
        <v>544300.0</v>
      </c>
      <c r="M341" s="74" t="s">
        <v>755</v>
      </c>
      <c r="N341" s="74">
        <f t="shared" si="1"/>
        <v>3810100</v>
      </c>
      <c r="O341" s="60">
        <f t="shared" si="2"/>
        <v>45828</v>
      </c>
      <c r="P341" s="65" t="str">
        <f>VLOOKUP(I341,DATABASE!C:Q,11,FALSE)</f>
        <v>Tire</v>
      </c>
      <c r="Q341" s="65" t="str">
        <f>VLOOKUP(I341,DATABASE!C:Q,4,FALSE)</f>
        <v>GT</v>
      </c>
      <c r="R341" s="79"/>
    </row>
    <row r="342" ht="22.5" customHeight="1">
      <c r="A342" s="49"/>
      <c r="C342" s="245">
        <v>45798.0</v>
      </c>
      <c r="D342" s="245">
        <v>45798.0</v>
      </c>
      <c r="E342" s="65" t="s">
        <v>123</v>
      </c>
      <c r="F342" s="247" t="s">
        <v>343</v>
      </c>
      <c r="G342" s="248" t="s">
        <v>2254</v>
      </c>
      <c r="H342" s="93" t="s">
        <v>7</v>
      </c>
      <c r="I342" s="74" t="s">
        <v>868</v>
      </c>
      <c r="J342" s="249">
        <v>4.0</v>
      </c>
      <c r="K342" s="74" t="s">
        <v>870</v>
      </c>
      <c r="L342" s="74">
        <v>836000.0</v>
      </c>
      <c r="M342" s="74" t="s">
        <v>755</v>
      </c>
      <c r="N342" s="74">
        <f t="shared" si="1"/>
        <v>3344000</v>
      </c>
      <c r="O342" s="60">
        <f t="shared" si="2"/>
        <v>45828</v>
      </c>
      <c r="P342" s="65" t="str">
        <f>VLOOKUP(I342,DATABASE!C:Q,11,FALSE)</f>
        <v>Tire</v>
      </c>
      <c r="Q342" s="65" t="str">
        <f>VLOOKUP(I342,DATABASE!C:Q,4,FALSE)</f>
        <v>GT</v>
      </c>
      <c r="R342" s="79"/>
    </row>
    <row r="343" ht="22.5" customHeight="1">
      <c r="A343" s="49"/>
      <c r="C343" s="245">
        <v>45798.0</v>
      </c>
      <c r="D343" s="245">
        <v>45798.0</v>
      </c>
      <c r="E343" s="65" t="s">
        <v>123</v>
      </c>
      <c r="F343" s="247" t="s">
        <v>343</v>
      </c>
      <c r="G343" s="248" t="s">
        <v>2254</v>
      </c>
      <c r="H343" s="93" t="s">
        <v>7</v>
      </c>
      <c r="I343" s="74" t="s">
        <v>1951</v>
      </c>
      <c r="J343" s="249">
        <v>4.0</v>
      </c>
      <c r="K343" s="74" t="s">
        <v>2271</v>
      </c>
      <c r="L343" s="74">
        <v>757300.0</v>
      </c>
      <c r="M343" s="74" t="s">
        <v>755</v>
      </c>
      <c r="N343" s="74">
        <f t="shared" si="1"/>
        <v>3029200</v>
      </c>
      <c r="O343" s="60">
        <f t="shared" si="2"/>
        <v>45828</v>
      </c>
      <c r="P343" s="65" t="str">
        <f>VLOOKUP(I343,DATABASE!C:Q,11,FALSE)</f>
        <v>Tire</v>
      </c>
      <c r="Q343" s="65" t="str">
        <f>VLOOKUP(I343,DATABASE!C:Q,4,FALSE)</f>
        <v>GT</v>
      </c>
      <c r="R343" s="79"/>
    </row>
    <row r="344" ht="22.5" customHeight="1">
      <c r="A344" s="49"/>
      <c r="C344" s="245">
        <v>45798.0</v>
      </c>
      <c r="D344" s="245">
        <v>45798.0</v>
      </c>
      <c r="E344" s="65" t="s">
        <v>123</v>
      </c>
      <c r="F344" s="247" t="s">
        <v>343</v>
      </c>
      <c r="G344" s="248" t="s">
        <v>2254</v>
      </c>
      <c r="H344" s="93" t="s">
        <v>7</v>
      </c>
      <c r="I344" s="74" t="s">
        <v>1009</v>
      </c>
      <c r="J344" s="249">
        <v>4.0</v>
      </c>
      <c r="K344" s="74" t="s">
        <v>1414</v>
      </c>
      <c r="L344" s="74">
        <v>592200.0</v>
      </c>
      <c r="M344" s="74" t="s">
        <v>755</v>
      </c>
      <c r="N344" s="74">
        <f t="shared" si="1"/>
        <v>2368800</v>
      </c>
      <c r="O344" s="60">
        <f t="shared" si="2"/>
        <v>45828</v>
      </c>
      <c r="P344" s="65" t="str">
        <f>VLOOKUP(I344,DATABASE!C:Q,11,FALSE)</f>
        <v>Tire</v>
      </c>
      <c r="Q344" s="65" t="str">
        <f>VLOOKUP(I344,DATABASE!C:Q,4,FALSE)</f>
        <v>GT</v>
      </c>
      <c r="R344" s="79"/>
    </row>
    <row r="345" ht="22.5" customHeight="1">
      <c r="A345" s="49"/>
      <c r="C345" s="245">
        <v>45798.0</v>
      </c>
      <c r="D345" s="245">
        <v>45798.0</v>
      </c>
      <c r="E345" s="65" t="s">
        <v>123</v>
      </c>
      <c r="F345" s="247" t="s">
        <v>343</v>
      </c>
      <c r="G345" s="248" t="s">
        <v>2276</v>
      </c>
      <c r="H345" s="93" t="s">
        <v>7</v>
      </c>
      <c r="I345" s="74" t="s">
        <v>781</v>
      </c>
      <c r="J345" s="249">
        <v>10.0</v>
      </c>
      <c r="K345" s="74" t="s">
        <v>1963</v>
      </c>
      <c r="L345" s="74">
        <v>435000.0</v>
      </c>
      <c r="M345" s="74" t="s">
        <v>755</v>
      </c>
      <c r="N345" s="74">
        <f t="shared" si="1"/>
        <v>4350000</v>
      </c>
      <c r="O345" s="60">
        <f t="shared" si="2"/>
        <v>45828</v>
      </c>
      <c r="P345" s="65" t="str">
        <f>VLOOKUP(I345,DATABASE!C:Q,11,FALSE)</f>
        <v>Tire</v>
      </c>
      <c r="Q345" s="65" t="str">
        <f>VLOOKUP(I345,DATABASE!C:Q,4,FALSE)</f>
        <v>GT</v>
      </c>
      <c r="R345" s="79"/>
    </row>
    <row r="346" ht="22.5" customHeight="1">
      <c r="A346" s="49"/>
      <c r="C346" s="245">
        <v>45798.0</v>
      </c>
      <c r="D346" s="245">
        <v>45798.0</v>
      </c>
      <c r="E346" s="65" t="s">
        <v>123</v>
      </c>
      <c r="F346" s="247" t="s">
        <v>343</v>
      </c>
      <c r="G346" s="248" t="s">
        <v>2276</v>
      </c>
      <c r="H346" s="93" t="s">
        <v>7</v>
      </c>
      <c r="I346" s="74" t="s">
        <v>1862</v>
      </c>
      <c r="J346" s="249">
        <v>6.0</v>
      </c>
      <c r="K346" s="74" t="s">
        <v>1959</v>
      </c>
      <c r="L346" s="74">
        <v>2025000.0</v>
      </c>
      <c r="M346" s="74" t="s">
        <v>755</v>
      </c>
      <c r="N346" s="74">
        <f t="shared" si="1"/>
        <v>12150000</v>
      </c>
      <c r="O346" s="60">
        <f t="shared" si="2"/>
        <v>45828</v>
      </c>
      <c r="P346" s="65" t="str">
        <f>VLOOKUP(I346,DATABASE!C:Q,11,FALSE)</f>
        <v>Tire</v>
      </c>
      <c r="Q346" s="65" t="str">
        <f>VLOOKUP(I346,DATABASE!C:Q,4,FALSE)</f>
        <v>GiTi</v>
      </c>
      <c r="R346" s="79"/>
    </row>
    <row r="347" ht="22.5" customHeight="1">
      <c r="A347" s="49"/>
      <c r="C347" s="245">
        <v>45798.0</v>
      </c>
      <c r="D347" s="245">
        <v>45798.0</v>
      </c>
      <c r="E347" s="65" t="s">
        <v>123</v>
      </c>
      <c r="F347" s="247" t="s">
        <v>343</v>
      </c>
      <c r="G347" s="248" t="s">
        <v>2276</v>
      </c>
      <c r="H347" s="93" t="s">
        <v>7</v>
      </c>
      <c r="I347" s="74" t="s">
        <v>1858</v>
      </c>
      <c r="J347" s="249">
        <v>4.0</v>
      </c>
      <c r="K347" s="74" t="s">
        <v>742</v>
      </c>
      <c r="L347" s="74">
        <v>2015000.0</v>
      </c>
      <c r="M347" s="74" t="s">
        <v>755</v>
      </c>
      <c r="N347" s="74">
        <f t="shared" si="1"/>
        <v>8060000</v>
      </c>
      <c r="O347" s="60">
        <f t="shared" si="2"/>
        <v>45828</v>
      </c>
      <c r="P347" s="65" t="str">
        <f>VLOOKUP(I347,DATABASE!C:Q,11,FALSE)</f>
        <v>Tire</v>
      </c>
      <c r="Q347" s="65" t="str">
        <f>VLOOKUP(I347,DATABASE!C:Q,4,FALSE)</f>
        <v>GiTi</v>
      </c>
      <c r="R347" s="79"/>
    </row>
    <row r="348" ht="22.5" customHeight="1">
      <c r="A348" s="49"/>
      <c r="C348" s="245">
        <v>45799.0</v>
      </c>
      <c r="D348" s="245">
        <v>45799.0</v>
      </c>
      <c r="E348" s="65" t="s">
        <v>198</v>
      </c>
      <c r="F348" s="247" t="s">
        <v>343</v>
      </c>
      <c r="G348" s="248" t="s">
        <v>2063</v>
      </c>
      <c r="H348" s="93" t="s">
        <v>7</v>
      </c>
      <c r="I348" s="74" t="s">
        <v>1520</v>
      </c>
      <c r="J348" s="249">
        <v>4.0</v>
      </c>
      <c r="K348" s="74">
        <v>1697722.0</v>
      </c>
      <c r="L348" s="74">
        <v>1697722.0</v>
      </c>
      <c r="M348" s="74" t="s">
        <v>521</v>
      </c>
      <c r="N348" s="74">
        <f t="shared" si="1"/>
        <v>6790888</v>
      </c>
      <c r="O348" s="60">
        <f t="shared" si="2"/>
        <v>45859</v>
      </c>
      <c r="P348" s="65" t="str">
        <f>VLOOKUP(I348,DATABASE!C:Q,11,FALSE)</f>
        <v>Tire</v>
      </c>
      <c r="Q348" s="65" t="str">
        <f>VLOOKUP(I348,DATABASE!C:Q,4,FALSE)</f>
        <v>DURATUN</v>
      </c>
      <c r="R348" s="79"/>
    </row>
    <row r="349" ht="22.5" customHeight="1">
      <c r="A349" s="49"/>
      <c r="C349" s="245">
        <v>45800.0</v>
      </c>
      <c r="D349" s="245">
        <v>45800.0</v>
      </c>
      <c r="E349" s="246" t="s">
        <v>97</v>
      </c>
      <c r="F349" s="247" t="s">
        <v>343</v>
      </c>
      <c r="G349" s="248" t="s">
        <v>2289</v>
      </c>
      <c r="H349" s="93" t="s">
        <v>87</v>
      </c>
      <c r="I349" s="74" t="s">
        <v>1192</v>
      </c>
      <c r="J349" s="249">
        <v>2.0</v>
      </c>
      <c r="K349" s="74">
        <f>L349/J349</f>
        <v>1035858</v>
      </c>
      <c r="L349" s="74">
        <v>2071716.0</v>
      </c>
      <c r="M349" s="74" t="s">
        <v>521</v>
      </c>
      <c r="N349" s="74">
        <v>2071716.0</v>
      </c>
      <c r="O349" s="60">
        <f t="shared" si="2"/>
        <v>45860</v>
      </c>
      <c r="P349" s="65" t="str">
        <f>VLOOKUP(I349,DATABASE!C:Q,11,FALSE)</f>
        <v>Tire</v>
      </c>
      <c r="Q349" s="65" t="str">
        <f>VLOOKUP(I349,DATABASE!C:Q,4,FALSE)</f>
        <v>Bridgestone</v>
      </c>
      <c r="R349" s="79"/>
    </row>
    <row r="350" ht="22.5" customHeight="1">
      <c r="A350" s="49"/>
      <c r="C350" s="245">
        <v>45803.0</v>
      </c>
      <c r="D350" s="245">
        <v>45803.0</v>
      </c>
      <c r="E350" s="246" t="s">
        <v>97</v>
      </c>
      <c r="F350" s="247" t="s">
        <v>343</v>
      </c>
      <c r="G350" s="248" t="s">
        <v>2293</v>
      </c>
      <c r="H350" s="93" t="s">
        <v>87</v>
      </c>
      <c r="I350" s="74" t="s">
        <v>566</v>
      </c>
      <c r="J350" s="249">
        <v>7.0</v>
      </c>
      <c r="K350" s="74">
        <v>1545000.0</v>
      </c>
      <c r="L350" s="74">
        <v>1545000.0</v>
      </c>
      <c r="M350" s="74" t="s">
        <v>521</v>
      </c>
      <c r="N350" s="74">
        <f t="shared" ref="N350:N770" si="4">J350*L350</f>
        <v>10815000</v>
      </c>
      <c r="O350" s="60">
        <f t="shared" si="2"/>
        <v>45863</v>
      </c>
      <c r="P350" s="65" t="str">
        <f>VLOOKUP(I350,DATABASE!C:Q,11,FALSE)</f>
        <v>Tire</v>
      </c>
      <c r="Q350" s="65" t="str">
        <f>VLOOKUP(I350,DATABASE!C:Q,4,FALSE)</f>
        <v>Bridgestone</v>
      </c>
      <c r="R350" s="79"/>
    </row>
    <row r="351" ht="22.5" customHeight="1">
      <c r="A351" s="49"/>
      <c r="C351" s="245">
        <v>45803.0</v>
      </c>
      <c r="D351" s="245">
        <v>45803.0</v>
      </c>
      <c r="E351" s="246" t="s">
        <v>97</v>
      </c>
      <c r="F351" s="247" t="s">
        <v>343</v>
      </c>
      <c r="G351" s="248" t="s">
        <v>2293</v>
      </c>
      <c r="H351" s="93" t="s">
        <v>87</v>
      </c>
      <c r="I351" s="74" t="s">
        <v>572</v>
      </c>
      <c r="J351" s="249">
        <v>5.0</v>
      </c>
      <c r="K351" s="74">
        <v>1245000.0</v>
      </c>
      <c r="L351" s="74">
        <v>1245000.0</v>
      </c>
      <c r="M351" s="74" t="s">
        <v>521</v>
      </c>
      <c r="N351" s="74">
        <f t="shared" si="4"/>
        <v>6225000</v>
      </c>
      <c r="O351" s="60">
        <f t="shared" si="2"/>
        <v>45863</v>
      </c>
      <c r="P351" s="65" t="str">
        <f>VLOOKUP(I351,DATABASE!C:Q,11,FALSE)</f>
        <v>Tire</v>
      </c>
      <c r="Q351" s="65" t="str">
        <f>VLOOKUP(I351,DATABASE!C:Q,4,FALSE)</f>
        <v>Bridgestone</v>
      </c>
      <c r="R351" s="79"/>
    </row>
    <row r="352" ht="22.5" customHeight="1">
      <c r="A352" s="49"/>
      <c r="C352" s="245">
        <v>45803.0</v>
      </c>
      <c r="D352" s="245">
        <v>45803.0</v>
      </c>
      <c r="E352" s="246" t="s">
        <v>97</v>
      </c>
      <c r="F352" s="247" t="s">
        <v>343</v>
      </c>
      <c r="G352" s="248" t="s">
        <v>2297</v>
      </c>
      <c r="H352" s="93" t="s">
        <v>87</v>
      </c>
      <c r="I352" s="74" t="s">
        <v>1278</v>
      </c>
      <c r="J352" s="249">
        <v>3.0</v>
      </c>
      <c r="K352" s="74">
        <v>1466394.0</v>
      </c>
      <c r="L352" s="74">
        <v>1466394.0</v>
      </c>
      <c r="M352" s="74" t="s">
        <v>521</v>
      </c>
      <c r="N352" s="74">
        <f t="shared" si="4"/>
        <v>4399182</v>
      </c>
      <c r="O352" s="60">
        <f t="shared" si="2"/>
        <v>45863</v>
      </c>
      <c r="P352" s="65" t="str">
        <f>VLOOKUP(I352,DATABASE!C:Q,11,FALSE)</f>
        <v>Tire</v>
      </c>
      <c r="Q352" s="65" t="str">
        <f>VLOOKUP(I352,DATABASE!C:Q,4,FALSE)</f>
        <v>Bridgestone</v>
      </c>
      <c r="R352" s="79"/>
    </row>
    <row r="353" ht="22.5" customHeight="1">
      <c r="A353" s="49"/>
      <c r="C353" s="245">
        <v>45803.0</v>
      </c>
      <c r="D353" s="245">
        <v>45803.0</v>
      </c>
      <c r="E353" s="246" t="s">
        <v>97</v>
      </c>
      <c r="F353" s="247" t="s">
        <v>343</v>
      </c>
      <c r="G353" s="248" t="s">
        <v>2297</v>
      </c>
      <c r="H353" s="93" t="s">
        <v>87</v>
      </c>
      <c r="I353" s="74" t="s">
        <v>591</v>
      </c>
      <c r="J353" s="249">
        <v>10.0</v>
      </c>
      <c r="K353" s="74">
        <v>593438.0</v>
      </c>
      <c r="L353" s="74">
        <v>593438.0</v>
      </c>
      <c r="M353" s="74" t="s">
        <v>521</v>
      </c>
      <c r="N353" s="74">
        <f t="shared" si="4"/>
        <v>5934380</v>
      </c>
      <c r="O353" s="60">
        <f t="shared" si="2"/>
        <v>45863</v>
      </c>
      <c r="P353" s="65" t="str">
        <f>VLOOKUP(I353,DATABASE!C:Q,11,FALSE)</f>
        <v>Tire</v>
      </c>
      <c r="Q353" s="65" t="str">
        <f>VLOOKUP(I353,DATABASE!C:Q,4,FALSE)</f>
        <v>Bridgestone</v>
      </c>
      <c r="R353" s="79"/>
    </row>
    <row r="354" ht="22.5" customHeight="1">
      <c r="A354" s="49"/>
      <c r="C354" s="245">
        <v>45803.0</v>
      </c>
      <c r="D354" s="245">
        <v>45803.0</v>
      </c>
      <c r="E354" s="246" t="s">
        <v>97</v>
      </c>
      <c r="F354" s="247" t="s">
        <v>343</v>
      </c>
      <c r="G354" s="248" t="s">
        <v>2297</v>
      </c>
      <c r="H354" s="93" t="s">
        <v>87</v>
      </c>
      <c r="I354" s="74" t="s">
        <v>600</v>
      </c>
      <c r="J354" s="249">
        <v>10.0</v>
      </c>
      <c r="K354" s="74">
        <v>572762.0</v>
      </c>
      <c r="L354" s="74">
        <v>572762.0</v>
      </c>
      <c r="M354" s="74" t="s">
        <v>521</v>
      </c>
      <c r="N354" s="74">
        <f t="shared" si="4"/>
        <v>5727620</v>
      </c>
      <c r="O354" s="60">
        <f t="shared" si="2"/>
        <v>45863</v>
      </c>
      <c r="P354" s="65" t="str">
        <f>VLOOKUP(I354,DATABASE!C:Q,11,FALSE)</f>
        <v>Tire</v>
      </c>
      <c r="Q354" s="65" t="str">
        <f>VLOOKUP(I354,DATABASE!C:Q,4,FALSE)</f>
        <v>Bridgestone</v>
      </c>
      <c r="R354" s="79"/>
    </row>
    <row r="355" ht="22.5" customHeight="1">
      <c r="A355" s="49"/>
      <c r="C355" s="245">
        <v>45803.0</v>
      </c>
      <c r="D355" s="245">
        <v>45803.0</v>
      </c>
      <c r="E355" s="246" t="s">
        <v>97</v>
      </c>
      <c r="F355" s="247" t="s">
        <v>343</v>
      </c>
      <c r="G355" s="248" t="s">
        <v>2297</v>
      </c>
      <c r="H355" s="93" t="s">
        <v>87</v>
      </c>
      <c r="I355" s="74" t="s">
        <v>937</v>
      </c>
      <c r="J355" s="249">
        <v>10.0</v>
      </c>
      <c r="K355" s="74">
        <v>810000.0</v>
      </c>
      <c r="L355" s="74">
        <v>810000.0</v>
      </c>
      <c r="M355" s="74" t="s">
        <v>521</v>
      </c>
      <c r="N355" s="74">
        <f t="shared" si="4"/>
        <v>8100000</v>
      </c>
      <c r="O355" s="60">
        <f t="shared" si="2"/>
        <v>45863</v>
      </c>
      <c r="P355" s="65" t="str">
        <f>VLOOKUP(I355,DATABASE!C:Q,11,FALSE)</f>
        <v>Tire</v>
      </c>
      <c r="Q355" s="65" t="str">
        <f>VLOOKUP(I355,DATABASE!C:Q,4,FALSE)</f>
        <v>Bridgestone</v>
      </c>
      <c r="R355" s="79"/>
    </row>
    <row r="356" ht="22.5" customHeight="1">
      <c r="A356" s="49"/>
      <c r="C356" s="245">
        <v>45803.0</v>
      </c>
      <c r="D356" s="245">
        <v>45803.0</v>
      </c>
      <c r="E356" s="246" t="s">
        <v>97</v>
      </c>
      <c r="F356" s="247" t="s">
        <v>343</v>
      </c>
      <c r="G356" s="248" t="s">
        <v>2297</v>
      </c>
      <c r="H356" s="93" t="s">
        <v>87</v>
      </c>
      <c r="I356" s="74" t="s">
        <v>957</v>
      </c>
      <c r="J356" s="249">
        <v>4.0</v>
      </c>
      <c r="K356" s="74">
        <v>762048.0</v>
      </c>
      <c r="L356" s="74">
        <v>762048.0</v>
      </c>
      <c r="M356" s="74" t="s">
        <v>521</v>
      </c>
      <c r="N356" s="74">
        <f t="shared" si="4"/>
        <v>3048192</v>
      </c>
      <c r="O356" s="60">
        <f t="shared" si="2"/>
        <v>45863</v>
      </c>
      <c r="P356" s="65" t="str">
        <f>VLOOKUP(I356,DATABASE!C:Q,11,FALSE)</f>
        <v>Tire</v>
      </c>
      <c r="Q356" s="65" t="str">
        <f>VLOOKUP(I356,DATABASE!C:Q,4,FALSE)</f>
        <v>Bridgestone</v>
      </c>
      <c r="R356" s="79"/>
    </row>
    <row r="357" ht="22.5" customHeight="1">
      <c r="A357" s="49"/>
      <c r="C357" s="245">
        <v>45803.0</v>
      </c>
      <c r="D357" s="245">
        <v>45803.0</v>
      </c>
      <c r="E357" s="246" t="s">
        <v>97</v>
      </c>
      <c r="F357" s="247" t="s">
        <v>343</v>
      </c>
      <c r="G357" s="248" t="s">
        <v>2297</v>
      </c>
      <c r="H357" s="93" t="s">
        <v>87</v>
      </c>
      <c r="I357" s="74" t="s">
        <v>1065</v>
      </c>
      <c r="J357" s="249">
        <v>4.0</v>
      </c>
      <c r="K357" s="74">
        <v>784000.0</v>
      </c>
      <c r="L357" s="74">
        <v>784000.0</v>
      </c>
      <c r="M357" s="74" t="s">
        <v>521</v>
      </c>
      <c r="N357" s="74">
        <f t="shared" si="4"/>
        <v>3136000</v>
      </c>
      <c r="O357" s="60">
        <f t="shared" si="2"/>
        <v>45863</v>
      </c>
      <c r="P357" s="65" t="str">
        <f>VLOOKUP(I357,DATABASE!C:Q,11,FALSE)</f>
        <v>Tire</v>
      </c>
      <c r="Q357" s="65" t="str">
        <f>VLOOKUP(I357,DATABASE!C:Q,4,FALSE)</f>
        <v>Bridgestone</v>
      </c>
      <c r="R357" s="79"/>
    </row>
    <row r="358" ht="22.5" customHeight="1">
      <c r="A358" s="49"/>
      <c r="C358" s="245">
        <v>45803.0</v>
      </c>
      <c r="D358" s="245">
        <v>45803.0</v>
      </c>
      <c r="E358" s="246" t="s">
        <v>97</v>
      </c>
      <c r="F358" s="247" t="s">
        <v>343</v>
      </c>
      <c r="G358" s="248" t="s">
        <v>2297</v>
      </c>
      <c r="H358" s="93" t="s">
        <v>87</v>
      </c>
      <c r="I358" s="74" t="s">
        <v>1175</v>
      </c>
      <c r="J358" s="249">
        <v>3.0</v>
      </c>
      <c r="K358" s="74">
        <v>846720.0</v>
      </c>
      <c r="L358" s="74">
        <v>846720.0</v>
      </c>
      <c r="M358" s="74" t="s">
        <v>521</v>
      </c>
      <c r="N358" s="74">
        <f t="shared" si="4"/>
        <v>2540160</v>
      </c>
      <c r="O358" s="60">
        <f t="shared" si="2"/>
        <v>45863</v>
      </c>
      <c r="P358" s="65" t="str">
        <f>VLOOKUP(I358,DATABASE!C:Q,11,FALSE)</f>
        <v>Tire</v>
      </c>
      <c r="Q358" s="65" t="str">
        <f>VLOOKUP(I358,DATABASE!C:Q,4,FALSE)</f>
        <v>Bridgestone</v>
      </c>
      <c r="R358" s="79"/>
    </row>
    <row r="359" ht="22.5" customHeight="1">
      <c r="A359" s="49"/>
      <c r="C359" s="245">
        <v>45803.0</v>
      </c>
      <c r="D359" s="245">
        <v>45803.0</v>
      </c>
      <c r="E359" s="246" t="s">
        <v>97</v>
      </c>
      <c r="F359" s="247" t="s">
        <v>343</v>
      </c>
      <c r="G359" s="248" t="s">
        <v>2297</v>
      </c>
      <c r="H359" s="93" t="s">
        <v>87</v>
      </c>
      <c r="I359" s="74" t="s">
        <v>1150</v>
      </c>
      <c r="J359" s="249">
        <v>2.0</v>
      </c>
      <c r="K359" s="74">
        <v>873690.0</v>
      </c>
      <c r="L359" s="74">
        <v>873690.0</v>
      </c>
      <c r="M359" s="74" t="s">
        <v>521</v>
      </c>
      <c r="N359" s="74">
        <f t="shared" si="4"/>
        <v>1747380</v>
      </c>
      <c r="O359" s="60">
        <f t="shared" si="2"/>
        <v>45863</v>
      </c>
      <c r="P359" s="65" t="str">
        <f>VLOOKUP(I359,DATABASE!C:Q,11,FALSE)</f>
        <v>Tire</v>
      </c>
      <c r="Q359" s="65" t="str">
        <f>VLOOKUP(I359,DATABASE!C:Q,4,FALSE)</f>
        <v>Bridgestone</v>
      </c>
      <c r="R359" s="79"/>
    </row>
    <row r="360" ht="22.5" customHeight="1">
      <c r="A360" s="49"/>
      <c r="C360" s="245">
        <v>45803.0</v>
      </c>
      <c r="D360" s="245">
        <v>45803.0</v>
      </c>
      <c r="E360" s="246" t="s">
        <v>97</v>
      </c>
      <c r="F360" s="247" t="s">
        <v>343</v>
      </c>
      <c r="G360" s="248" t="s">
        <v>2313</v>
      </c>
      <c r="H360" s="93" t="s">
        <v>87</v>
      </c>
      <c r="I360" s="74" t="s">
        <v>1025</v>
      </c>
      <c r="J360" s="249">
        <v>10.0</v>
      </c>
      <c r="K360" s="74">
        <v>683021.0</v>
      </c>
      <c r="L360" s="74">
        <v>683021.0</v>
      </c>
      <c r="M360" s="74" t="s">
        <v>521</v>
      </c>
      <c r="N360" s="74">
        <f t="shared" si="4"/>
        <v>6830210</v>
      </c>
      <c r="O360" s="60">
        <f t="shared" si="2"/>
        <v>45863</v>
      </c>
      <c r="P360" s="65" t="str">
        <f>VLOOKUP(I360,DATABASE!C:Q,11,FALSE)</f>
        <v>Tire</v>
      </c>
      <c r="Q360" s="65" t="str">
        <f>VLOOKUP(I360,DATABASE!C:Q,4,FALSE)</f>
        <v>Bridgestone</v>
      </c>
      <c r="R360" s="79"/>
    </row>
    <row r="361" ht="22.5" customHeight="1">
      <c r="A361" s="49"/>
      <c r="C361" s="245">
        <v>45803.0</v>
      </c>
      <c r="D361" s="245">
        <v>45803.0</v>
      </c>
      <c r="E361" s="246" t="s">
        <v>97</v>
      </c>
      <c r="F361" s="247" t="s">
        <v>343</v>
      </c>
      <c r="G361" s="248" t="s">
        <v>2313</v>
      </c>
      <c r="H361" s="93" t="s">
        <v>87</v>
      </c>
      <c r="I361" s="74" t="s">
        <v>622</v>
      </c>
      <c r="J361" s="249">
        <v>10.0</v>
      </c>
      <c r="K361" s="74">
        <v>810342.0</v>
      </c>
      <c r="L361" s="74">
        <v>810342.0</v>
      </c>
      <c r="M361" s="74" t="s">
        <v>521</v>
      </c>
      <c r="N361" s="74">
        <f t="shared" si="4"/>
        <v>8103420</v>
      </c>
      <c r="O361" s="60">
        <f t="shared" si="2"/>
        <v>45863</v>
      </c>
      <c r="P361" s="65" t="str">
        <f>VLOOKUP(I361,DATABASE!C:Q,11,FALSE)</f>
        <v>Tire</v>
      </c>
      <c r="Q361" s="65" t="str">
        <f>VLOOKUP(I361,DATABASE!C:Q,4,FALSE)</f>
        <v>Bridgestone</v>
      </c>
      <c r="R361" s="79"/>
    </row>
    <row r="362" ht="22.5" customHeight="1">
      <c r="A362" s="49"/>
      <c r="C362" s="245">
        <v>45803.0</v>
      </c>
      <c r="D362" s="245">
        <v>45803.0</v>
      </c>
      <c r="E362" s="65" t="s">
        <v>110</v>
      </c>
      <c r="F362" s="247" t="s">
        <v>343</v>
      </c>
      <c r="G362" s="248" t="s">
        <v>1145</v>
      </c>
      <c r="H362" s="93" t="s">
        <v>7</v>
      </c>
      <c r="I362" s="74" t="s">
        <v>777</v>
      </c>
      <c r="J362" s="249">
        <v>15.0</v>
      </c>
      <c r="K362" s="74" t="s">
        <v>778</v>
      </c>
      <c r="L362" s="74">
        <v>507000.0</v>
      </c>
      <c r="M362" s="74" t="s">
        <v>755</v>
      </c>
      <c r="N362" s="74">
        <f t="shared" si="4"/>
        <v>7605000</v>
      </c>
      <c r="O362" s="60">
        <f t="shared" si="2"/>
        <v>45833</v>
      </c>
      <c r="P362" s="65" t="str">
        <f>VLOOKUP(I362,DATABASE!C:Q,11,FALSE)</f>
        <v>Tire</v>
      </c>
      <c r="Q362" s="65" t="str">
        <f>VLOOKUP(I362,DATABASE!C:Q,4,FALSE)</f>
        <v>GT</v>
      </c>
      <c r="R362" s="79"/>
    </row>
    <row r="363" ht="22.5" customHeight="1">
      <c r="A363" s="49"/>
      <c r="C363" s="245">
        <v>45803.0</v>
      </c>
      <c r="D363" s="245">
        <v>45803.0</v>
      </c>
      <c r="E363" s="93" t="s">
        <v>110</v>
      </c>
      <c r="F363" s="247" t="s">
        <v>343</v>
      </c>
      <c r="G363" s="248" t="s">
        <v>1145</v>
      </c>
      <c r="H363" s="93" t="s">
        <v>7</v>
      </c>
      <c r="I363" s="74" t="s">
        <v>1858</v>
      </c>
      <c r="J363" s="249">
        <v>4.0</v>
      </c>
      <c r="K363" s="74" t="s">
        <v>1959</v>
      </c>
      <c r="L363" s="74">
        <v>2025000.0</v>
      </c>
      <c r="M363" s="74" t="s">
        <v>755</v>
      </c>
      <c r="N363" s="74">
        <f t="shared" si="4"/>
        <v>8100000</v>
      </c>
      <c r="O363" s="60">
        <f t="shared" si="2"/>
        <v>45833</v>
      </c>
      <c r="P363" s="65" t="str">
        <f>VLOOKUP(I363,DATABASE!C:Q,11,FALSE)</f>
        <v>Tire</v>
      </c>
      <c r="Q363" s="65" t="str">
        <f>VLOOKUP(I363,DATABASE!C:Q,4,FALSE)</f>
        <v>GiTi</v>
      </c>
      <c r="R363" s="79"/>
    </row>
    <row r="364" ht="22.5" customHeight="1">
      <c r="A364" s="49"/>
      <c r="C364" s="245">
        <v>45803.0</v>
      </c>
      <c r="D364" s="245">
        <v>45803.0</v>
      </c>
      <c r="E364" s="93" t="s">
        <v>110</v>
      </c>
      <c r="F364" s="247" t="s">
        <v>343</v>
      </c>
      <c r="G364" s="248">
        <v>2.5006929E7</v>
      </c>
      <c r="H364" s="93" t="s">
        <v>7</v>
      </c>
      <c r="I364" s="74" t="s">
        <v>1862</v>
      </c>
      <c r="J364" s="249">
        <v>9.0</v>
      </c>
      <c r="K364" s="74" t="s">
        <v>2327</v>
      </c>
      <c r="L364" s="74">
        <v>2050000.0</v>
      </c>
      <c r="M364" s="74" t="s">
        <v>755</v>
      </c>
      <c r="N364" s="74">
        <f t="shared" si="4"/>
        <v>18450000</v>
      </c>
      <c r="O364" s="60">
        <f t="shared" si="2"/>
        <v>45833</v>
      </c>
      <c r="P364" s="65" t="str">
        <f>VLOOKUP(I364,DATABASE!C:Q,11,FALSE)</f>
        <v>Tire</v>
      </c>
      <c r="Q364" s="65" t="str">
        <f>VLOOKUP(I364,DATABASE!C:Q,4,FALSE)</f>
        <v>GiTi</v>
      </c>
      <c r="R364" s="79"/>
    </row>
    <row r="365" ht="22.5" customHeight="1">
      <c r="A365" s="49"/>
      <c r="C365" s="245">
        <v>45803.0</v>
      </c>
      <c r="D365" s="245">
        <v>45803.0</v>
      </c>
      <c r="E365" s="93" t="s">
        <v>81</v>
      </c>
      <c r="F365" s="247" t="s">
        <v>343</v>
      </c>
      <c r="G365" s="248" t="s">
        <v>1480</v>
      </c>
      <c r="H365" s="93" t="s">
        <v>87</v>
      </c>
      <c r="I365" s="74" t="s">
        <v>1383</v>
      </c>
      <c r="J365" s="249">
        <v>4.0</v>
      </c>
      <c r="K365" s="74" t="s">
        <v>2329</v>
      </c>
      <c r="L365" s="74">
        <v>821000.0</v>
      </c>
      <c r="M365" s="74" t="s">
        <v>657</v>
      </c>
      <c r="N365" s="74">
        <f t="shared" si="4"/>
        <v>3284000</v>
      </c>
      <c r="O365" s="60">
        <f t="shared" si="2"/>
        <v>45878</v>
      </c>
      <c r="P365" s="65" t="str">
        <f>VLOOKUP(I365,DATABASE!C:Q,11,FALSE)</f>
        <v>Tire</v>
      </c>
      <c r="Q365" s="65" t="str">
        <f>VLOOKUP(I365,DATABASE!C:Q,4,FALSE)</f>
        <v>Dunlop</v>
      </c>
      <c r="R365" s="79"/>
    </row>
    <row r="366" ht="22.5" customHeight="1">
      <c r="A366" s="49"/>
      <c r="C366" s="245">
        <v>45803.0</v>
      </c>
      <c r="D366" s="245">
        <v>45803.0</v>
      </c>
      <c r="E366" s="93" t="s">
        <v>81</v>
      </c>
      <c r="F366" s="247" t="s">
        <v>343</v>
      </c>
      <c r="G366" s="248" t="s">
        <v>1480</v>
      </c>
      <c r="H366" s="93" t="s">
        <v>87</v>
      </c>
      <c r="I366" s="74" t="s">
        <v>282</v>
      </c>
      <c r="J366" s="249">
        <v>5.0</v>
      </c>
      <c r="K366" s="74" t="s">
        <v>2330</v>
      </c>
      <c r="L366" s="74">
        <v>779500.0</v>
      </c>
      <c r="M366" s="74" t="s">
        <v>657</v>
      </c>
      <c r="N366" s="74">
        <f t="shared" si="4"/>
        <v>3897500</v>
      </c>
      <c r="O366" s="60">
        <f t="shared" si="2"/>
        <v>45878</v>
      </c>
      <c r="P366" s="65" t="str">
        <f>VLOOKUP(I366,DATABASE!C:Q,11,FALSE)</f>
        <v>Tire</v>
      </c>
      <c r="Q366" s="65" t="str">
        <f>VLOOKUP(I366,DATABASE!C:Q,4,FALSE)</f>
        <v>Dunlop</v>
      </c>
      <c r="R366" s="79"/>
    </row>
    <row r="367" ht="22.5" customHeight="1">
      <c r="A367" s="49"/>
      <c r="C367" s="245">
        <v>45803.0</v>
      </c>
      <c r="D367" s="245">
        <v>45803.0</v>
      </c>
      <c r="E367" s="93" t="s">
        <v>81</v>
      </c>
      <c r="F367" s="247" t="s">
        <v>343</v>
      </c>
      <c r="G367" s="248" t="s">
        <v>1480</v>
      </c>
      <c r="H367" s="93" t="s">
        <v>87</v>
      </c>
      <c r="I367" s="74" t="s">
        <v>968</v>
      </c>
      <c r="J367" s="249">
        <v>6.0</v>
      </c>
      <c r="K367" s="74" t="s">
        <v>2331</v>
      </c>
      <c r="L367" s="74">
        <v>582500.0</v>
      </c>
      <c r="M367" s="74" t="s">
        <v>657</v>
      </c>
      <c r="N367" s="74">
        <f t="shared" si="4"/>
        <v>3495000</v>
      </c>
      <c r="O367" s="60">
        <f t="shared" si="2"/>
        <v>45878</v>
      </c>
      <c r="P367" s="65" t="str">
        <f>VLOOKUP(I367,DATABASE!C:Q,11,FALSE)</f>
        <v>Tire</v>
      </c>
      <c r="Q367" s="65" t="str">
        <f>VLOOKUP(I367,DATABASE!C:Q,4,FALSE)</f>
        <v>Dunlop</v>
      </c>
      <c r="R367" s="79"/>
    </row>
    <row r="368" ht="22.5" customHeight="1">
      <c r="A368" s="49"/>
      <c r="C368" s="245">
        <v>45803.0</v>
      </c>
      <c r="D368" s="245">
        <v>45803.0</v>
      </c>
      <c r="E368" s="93" t="s">
        <v>81</v>
      </c>
      <c r="F368" s="247" t="s">
        <v>343</v>
      </c>
      <c r="G368" s="248" t="s">
        <v>1480</v>
      </c>
      <c r="H368" s="93" t="s">
        <v>87</v>
      </c>
      <c r="I368" s="74" t="s">
        <v>265</v>
      </c>
      <c r="J368" s="249">
        <v>5.0</v>
      </c>
      <c r="K368" s="74" t="s">
        <v>2198</v>
      </c>
      <c r="L368" s="74">
        <v>610000.0</v>
      </c>
      <c r="M368" s="74" t="s">
        <v>657</v>
      </c>
      <c r="N368" s="74">
        <f t="shared" si="4"/>
        <v>3050000</v>
      </c>
      <c r="O368" s="60">
        <f t="shared" si="2"/>
        <v>45878</v>
      </c>
      <c r="P368" s="65" t="str">
        <f>VLOOKUP(I368,DATABASE!C:Q,11,FALSE)</f>
        <v>Tire</v>
      </c>
      <c r="Q368" s="65" t="str">
        <f>VLOOKUP(I368,DATABASE!C:Q,4,FALSE)</f>
        <v>Dunlop</v>
      </c>
      <c r="R368" s="79"/>
    </row>
    <row r="369" ht="22.5" customHeight="1">
      <c r="A369" s="49"/>
      <c r="C369" s="245">
        <v>45803.0</v>
      </c>
      <c r="D369" s="245">
        <v>45803.0</v>
      </c>
      <c r="E369" s="65" t="s">
        <v>81</v>
      </c>
      <c r="F369" s="247" t="s">
        <v>343</v>
      </c>
      <c r="G369" s="248" t="s">
        <v>1480</v>
      </c>
      <c r="H369" s="93" t="s">
        <v>87</v>
      </c>
      <c r="I369" s="74" t="s">
        <v>932</v>
      </c>
      <c r="J369" s="249">
        <v>6.0</v>
      </c>
      <c r="K369" s="74" t="s">
        <v>2228</v>
      </c>
      <c r="L369" s="74">
        <v>601000.0</v>
      </c>
      <c r="M369" s="74" t="s">
        <v>657</v>
      </c>
      <c r="N369" s="74">
        <f t="shared" si="4"/>
        <v>3606000</v>
      </c>
      <c r="O369" s="60">
        <f t="shared" si="2"/>
        <v>45878</v>
      </c>
      <c r="P369" s="65" t="str">
        <f>VLOOKUP(I369,DATABASE!C:Q,11,FALSE)</f>
        <v>Tire</v>
      </c>
      <c r="Q369" s="65" t="str">
        <f>VLOOKUP(I369,DATABASE!C:Q,4,FALSE)</f>
        <v>Dunlop</v>
      </c>
      <c r="R369" s="79"/>
    </row>
    <row r="370" ht="22.5" customHeight="1">
      <c r="A370" s="49"/>
      <c r="C370" s="245">
        <v>45803.0</v>
      </c>
      <c r="D370" s="245">
        <v>45803.0</v>
      </c>
      <c r="E370" s="65" t="s">
        <v>81</v>
      </c>
      <c r="F370" s="247" t="s">
        <v>343</v>
      </c>
      <c r="G370" s="248" t="s">
        <v>1480</v>
      </c>
      <c r="H370" s="93" t="s">
        <v>87</v>
      </c>
      <c r="I370" s="74" t="s">
        <v>1002</v>
      </c>
      <c r="J370" s="249">
        <v>1.0</v>
      </c>
      <c r="K370" s="74" t="s">
        <v>2338</v>
      </c>
      <c r="L370" s="74">
        <v>1447000.0</v>
      </c>
      <c r="M370" s="74" t="s">
        <v>657</v>
      </c>
      <c r="N370" s="74">
        <f t="shared" si="4"/>
        <v>1447000</v>
      </c>
      <c r="O370" s="60">
        <f t="shared" si="2"/>
        <v>45878</v>
      </c>
      <c r="P370" s="65" t="str">
        <f>VLOOKUP(I370,DATABASE!C:Q,11,FALSE)</f>
        <v>Tire</v>
      </c>
      <c r="Q370" s="65" t="str">
        <f>VLOOKUP(I370,DATABASE!C:Q,4,FALSE)</f>
        <v>Dunlop</v>
      </c>
      <c r="R370" s="79"/>
    </row>
    <row r="371" ht="22.5" customHeight="1">
      <c r="A371" s="49"/>
      <c r="C371" s="245">
        <v>45812.0</v>
      </c>
      <c r="D371" s="245">
        <v>45812.0</v>
      </c>
      <c r="E371" s="65" t="s">
        <v>349</v>
      </c>
      <c r="F371" s="247" t="s">
        <v>343</v>
      </c>
      <c r="G371" s="248" t="s">
        <v>2292</v>
      </c>
      <c r="H371" s="93" t="s">
        <v>7</v>
      </c>
      <c r="I371" s="74" t="s">
        <v>2080</v>
      </c>
      <c r="J371" s="249">
        <v>4.0</v>
      </c>
      <c r="K371" s="74" t="s">
        <v>2340</v>
      </c>
      <c r="L371" s="74">
        <v>896000.0</v>
      </c>
      <c r="M371" s="74" t="s">
        <v>2190</v>
      </c>
      <c r="N371" s="74">
        <f t="shared" si="4"/>
        <v>3584000</v>
      </c>
      <c r="O371" s="60">
        <f t="shared" si="2"/>
        <v>45826</v>
      </c>
      <c r="P371" s="65" t="str">
        <f>VLOOKUP(I371,DATABASE!C:Q,11,FALSE)</f>
        <v>Tire</v>
      </c>
      <c r="Q371" s="65" t="str">
        <f>VLOOKUP(I371,DATABASE!C:Q,4,FALSE)</f>
        <v>Hankook</v>
      </c>
      <c r="R371" s="79"/>
    </row>
    <row r="372" ht="22.5" customHeight="1">
      <c r="A372" s="49"/>
      <c r="C372" s="245">
        <v>45817.0</v>
      </c>
      <c r="D372" s="245">
        <v>45817.0</v>
      </c>
      <c r="E372" s="65" t="s">
        <v>335</v>
      </c>
      <c r="F372" s="247" t="s">
        <v>343</v>
      </c>
      <c r="G372" s="248" t="s">
        <v>2232</v>
      </c>
      <c r="H372" s="93" t="s">
        <v>7</v>
      </c>
      <c r="I372" s="74" t="s">
        <v>403</v>
      </c>
      <c r="J372" s="249">
        <v>10.0</v>
      </c>
      <c r="K372" s="74" t="s">
        <v>920</v>
      </c>
      <c r="L372" s="74">
        <v>2160000.0</v>
      </c>
      <c r="M372" s="74" t="s">
        <v>521</v>
      </c>
      <c r="N372" s="74">
        <f t="shared" si="4"/>
        <v>21600000</v>
      </c>
      <c r="O372" s="60">
        <f t="shared" si="2"/>
        <v>45877</v>
      </c>
      <c r="P372" s="65" t="str">
        <f>VLOOKUP(I372,DATABASE!C:Q,11,FALSE)</f>
        <v>Tire</v>
      </c>
      <c r="Q372" s="65" t="str">
        <f>VLOOKUP(I372,DATABASE!C:Q,4,FALSE)</f>
        <v>Advance</v>
      </c>
      <c r="R372" s="79"/>
    </row>
    <row r="373" ht="22.5" customHeight="1">
      <c r="A373" s="49"/>
      <c r="C373" s="245">
        <v>45817.0</v>
      </c>
      <c r="D373" s="245">
        <v>45817.0</v>
      </c>
      <c r="E373" s="65" t="s">
        <v>335</v>
      </c>
      <c r="F373" s="247" t="s">
        <v>343</v>
      </c>
      <c r="G373" s="248" t="s">
        <v>2232</v>
      </c>
      <c r="H373" s="93" t="s">
        <v>7</v>
      </c>
      <c r="I373" s="74" t="s">
        <v>391</v>
      </c>
      <c r="J373" s="249">
        <v>8.0</v>
      </c>
      <c r="K373" s="74" t="s">
        <v>907</v>
      </c>
      <c r="L373" s="74">
        <v>1840000.0</v>
      </c>
      <c r="M373" s="74" t="s">
        <v>521</v>
      </c>
      <c r="N373" s="74">
        <f t="shared" si="4"/>
        <v>14720000</v>
      </c>
      <c r="O373" s="60">
        <f t="shared" si="2"/>
        <v>45877</v>
      </c>
      <c r="P373" s="65" t="str">
        <f>VLOOKUP(I373,DATABASE!C:Q,11,FALSE)</f>
        <v>Tire</v>
      </c>
      <c r="Q373" s="65" t="str">
        <f>VLOOKUP(I373,DATABASE!C:Q,4,FALSE)</f>
        <v>Advance</v>
      </c>
      <c r="R373" s="79"/>
    </row>
    <row r="374" ht="22.5" customHeight="1">
      <c r="A374" s="49"/>
      <c r="C374" s="245">
        <v>45817.0</v>
      </c>
      <c r="D374" s="245">
        <v>45817.0</v>
      </c>
      <c r="E374" s="65" t="s">
        <v>335</v>
      </c>
      <c r="F374" s="247" t="s">
        <v>343</v>
      </c>
      <c r="G374" s="248" t="s">
        <v>2232</v>
      </c>
      <c r="H374" s="266" t="s">
        <v>7</v>
      </c>
      <c r="I374" s="267" t="s">
        <v>374</v>
      </c>
      <c r="J374" s="249">
        <v>8.0</v>
      </c>
      <c r="K374" s="74" t="s">
        <v>2342</v>
      </c>
      <c r="L374" s="74">
        <v>1820000.0</v>
      </c>
      <c r="M374" s="74" t="s">
        <v>521</v>
      </c>
      <c r="N374" s="74">
        <f t="shared" si="4"/>
        <v>14560000</v>
      </c>
      <c r="O374" s="60">
        <f t="shared" si="2"/>
        <v>45877</v>
      </c>
      <c r="P374" s="65" t="str">
        <f>VLOOKUP(I374,DATABASE!C:Q,11,FALSE)</f>
        <v>Tire</v>
      </c>
      <c r="Q374" s="65" t="str">
        <f>VLOOKUP(I374,DATABASE!C:Q,4,FALSE)</f>
        <v>Advance</v>
      </c>
      <c r="R374" s="79"/>
    </row>
    <row r="375" ht="22.5" customHeight="1">
      <c r="A375" s="49"/>
      <c r="C375" s="245">
        <v>45817.0</v>
      </c>
      <c r="D375" s="245">
        <v>45817.0</v>
      </c>
      <c r="E375" s="93" t="s">
        <v>335</v>
      </c>
      <c r="F375" s="247" t="s">
        <v>343</v>
      </c>
      <c r="G375" s="248" t="s">
        <v>2232</v>
      </c>
      <c r="H375" s="93" t="s">
        <v>7</v>
      </c>
      <c r="I375" s="74" t="s">
        <v>924</v>
      </c>
      <c r="J375" s="249">
        <v>5.0</v>
      </c>
      <c r="K375" s="74" t="s">
        <v>1941</v>
      </c>
      <c r="L375" s="74">
        <v>1650000.0</v>
      </c>
      <c r="M375" s="74" t="s">
        <v>521</v>
      </c>
      <c r="N375" s="74">
        <f t="shared" si="4"/>
        <v>8250000</v>
      </c>
      <c r="O375" s="60">
        <f t="shared" si="2"/>
        <v>45877</v>
      </c>
      <c r="P375" s="65" t="str">
        <f>VLOOKUP(I375,DATABASE!C:Q,11,FALSE)</f>
        <v>Tire</v>
      </c>
      <c r="Q375" s="65" t="str">
        <f>VLOOKUP(I375,DATABASE!C:Q,4,FALSE)</f>
        <v>TIRON</v>
      </c>
      <c r="R375" s="79"/>
    </row>
    <row r="376" ht="22.5" customHeight="1">
      <c r="A376" s="49"/>
      <c r="C376" s="245">
        <v>45818.0</v>
      </c>
      <c r="D376" s="245">
        <v>45818.0</v>
      </c>
      <c r="E376" s="65" t="s">
        <v>361</v>
      </c>
      <c r="F376" s="247" t="s">
        <v>343</v>
      </c>
      <c r="G376" s="248" t="s">
        <v>2308</v>
      </c>
      <c r="H376" s="93" t="s">
        <v>7</v>
      </c>
      <c r="I376" s="93" t="s">
        <v>2345</v>
      </c>
      <c r="J376" s="249">
        <v>6.0</v>
      </c>
      <c r="K376" s="74" t="s">
        <v>2346</v>
      </c>
      <c r="L376" s="74">
        <v>650000.0</v>
      </c>
      <c r="M376" s="74" t="s">
        <v>521</v>
      </c>
      <c r="N376" s="74">
        <f t="shared" si="4"/>
        <v>3900000</v>
      </c>
      <c r="O376" s="60">
        <f t="shared" si="2"/>
        <v>45878</v>
      </c>
      <c r="P376" s="65" t="str">
        <f>VLOOKUP(I376,DATABASE!C:Q,11,FALSE)</f>
        <v>Tire</v>
      </c>
      <c r="Q376" s="65" t="str">
        <f>VLOOKUP(I376,DATABASE!C:Q,4,FALSE)</f>
        <v>Velg</v>
      </c>
      <c r="R376" s="79"/>
    </row>
    <row r="377" ht="22.5" customHeight="1">
      <c r="A377" s="49"/>
      <c r="C377" s="245">
        <v>45819.0</v>
      </c>
      <c r="D377" s="245">
        <v>45819.0</v>
      </c>
      <c r="E377" s="93" t="s">
        <v>81</v>
      </c>
      <c r="F377" s="247" t="s">
        <v>998</v>
      </c>
      <c r="G377" s="248">
        <v>0.0</v>
      </c>
      <c r="H377" s="93" t="s">
        <v>2017</v>
      </c>
      <c r="I377" s="74" t="s">
        <v>275</v>
      </c>
      <c r="J377" s="249">
        <v>3.0</v>
      </c>
      <c r="K377" s="74">
        <v>752000.0</v>
      </c>
      <c r="L377" s="74">
        <v>752000.0</v>
      </c>
      <c r="M377" s="74" t="s">
        <v>657</v>
      </c>
      <c r="N377" s="74">
        <f t="shared" si="4"/>
        <v>2256000</v>
      </c>
      <c r="O377" s="60">
        <f t="shared" si="2"/>
        <v>45894</v>
      </c>
      <c r="P377" s="65" t="str">
        <f>VLOOKUP(I377,DATABASE!C:Q,11,FALSE)</f>
        <v>Tire</v>
      </c>
      <c r="Q377" s="65" t="str">
        <f>VLOOKUP(I377,DATABASE!C:Q,4,FALSE)</f>
        <v>Dunlop</v>
      </c>
      <c r="R377" s="79"/>
    </row>
    <row r="378" ht="22.5" customHeight="1">
      <c r="A378" s="49"/>
      <c r="C378" s="245">
        <v>45819.0</v>
      </c>
      <c r="D378" s="245">
        <v>45819.0</v>
      </c>
      <c r="E378" s="93" t="s">
        <v>198</v>
      </c>
      <c r="F378" s="247" t="s">
        <v>343</v>
      </c>
      <c r="G378" s="248" t="s">
        <v>2027</v>
      </c>
      <c r="H378" s="93" t="s">
        <v>7</v>
      </c>
      <c r="I378" s="74" t="s">
        <v>569</v>
      </c>
      <c r="J378" s="249">
        <v>10.0</v>
      </c>
      <c r="K378" s="74" t="s">
        <v>2348</v>
      </c>
      <c r="L378" s="74">
        <v>42169.6</v>
      </c>
      <c r="M378" s="74" t="s">
        <v>521</v>
      </c>
      <c r="N378" s="74">
        <f t="shared" si="4"/>
        <v>421696</v>
      </c>
      <c r="O378" s="60">
        <f t="shared" si="2"/>
        <v>45879</v>
      </c>
      <c r="P378" s="65" t="str">
        <f>VLOOKUP(I378,DATABASE!C:Q,11,FALSE)</f>
        <v>Tire</v>
      </c>
      <c r="Q378" s="65" t="str">
        <f>VLOOKUP(I378,DATABASE!C:Q,4,FALSE)</f>
        <v>BD</v>
      </c>
      <c r="R378" s="79"/>
    </row>
    <row r="379" ht="22.5" customHeight="1">
      <c r="A379" s="49"/>
      <c r="C379" s="245">
        <v>45819.0</v>
      </c>
      <c r="D379" s="245">
        <v>45819.0</v>
      </c>
      <c r="E379" s="65" t="s">
        <v>198</v>
      </c>
      <c r="F379" s="247" t="s">
        <v>343</v>
      </c>
      <c r="G379" s="248" t="s">
        <v>2027</v>
      </c>
      <c r="H379" s="93" t="s">
        <v>7</v>
      </c>
      <c r="I379" s="74" t="s">
        <v>613</v>
      </c>
      <c r="J379" s="249">
        <v>50.0</v>
      </c>
      <c r="K379" s="74" t="s">
        <v>2349</v>
      </c>
      <c r="L379" s="74">
        <v>54170.7</v>
      </c>
      <c r="M379" s="74" t="s">
        <v>521</v>
      </c>
      <c r="N379" s="74">
        <f t="shared" si="4"/>
        <v>2708535</v>
      </c>
      <c r="O379" s="60">
        <f t="shared" si="2"/>
        <v>45879</v>
      </c>
      <c r="P379" s="65" t="str">
        <f>VLOOKUP(I379,DATABASE!C:Q,11,FALSE)</f>
        <v>Tire</v>
      </c>
      <c r="Q379" s="65" t="str">
        <f>VLOOKUP(I379,DATABASE!C:Q,4,FALSE)</f>
        <v>BD</v>
      </c>
      <c r="R379" s="79"/>
    </row>
    <row r="380" ht="22.5" customHeight="1">
      <c r="A380" s="49"/>
      <c r="C380" s="245">
        <v>45820.0</v>
      </c>
      <c r="D380" s="245">
        <v>45820.0</v>
      </c>
      <c r="E380" s="65" t="s">
        <v>110</v>
      </c>
      <c r="F380" s="247" t="s">
        <v>343</v>
      </c>
      <c r="G380" s="248">
        <v>2.5007588E7</v>
      </c>
      <c r="H380" s="93" t="s">
        <v>7</v>
      </c>
      <c r="I380" s="74" t="s">
        <v>781</v>
      </c>
      <c r="J380" s="249">
        <v>15.0</v>
      </c>
      <c r="K380" s="74" t="s">
        <v>785</v>
      </c>
      <c r="L380" s="74">
        <v>442500.0</v>
      </c>
      <c r="M380" s="74" t="s">
        <v>755</v>
      </c>
      <c r="N380" s="74">
        <f t="shared" si="4"/>
        <v>6637500</v>
      </c>
      <c r="O380" s="60">
        <f t="shared" si="2"/>
        <v>45850</v>
      </c>
      <c r="P380" s="65" t="str">
        <f>VLOOKUP(I380,DATABASE!C:Q,11,FALSE)</f>
        <v>Tire</v>
      </c>
      <c r="Q380" s="65" t="str">
        <f>VLOOKUP(I380,DATABASE!C:Q,4,FALSE)</f>
        <v>GT</v>
      </c>
      <c r="R380" s="79"/>
    </row>
    <row r="381" ht="22.5" customHeight="1">
      <c r="A381" s="49"/>
      <c r="C381" s="245">
        <v>45820.0</v>
      </c>
      <c r="D381" s="245">
        <v>45820.0</v>
      </c>
      <c r="E381" s="65" t="s">
        <v>110</v>
      </c>
      <c r="F381" s="247" t="s">
        <v>343</v>
      </c>
      <c r="G381" s="248">
        <v>2.5007588E7</v>
      </c>
      <c r="H381" s="93" t="s">
        <v>7</v>
      </c>
      <c r="I381" s="74" t="s">
        <v>791</v>
      </c>
      <c r="J381" s="249">
        <v>10.0</v>
      </c>
      <c r="K381" s="74" t="s">
        <v>792</v>
      </c>
      <c r="L381" s="74">
        <v>1180000.0</v>
      </c>
      <c r="M381" s="74" t="s">
        <v>755</v>
      </c>
      <c r="N381" s="74">
        <f t="shared" si="4"/>
        <v>11800000</v>
      </c>
      <c r="O381" s="60">
        <f t="shared" si="2"/>
        <v>45850</v>
      </c>
      <c r="P381" s="65" t="str">
        <f>VLOOKUP(I381,DATABASE!C:Q,11,FALSE)</f>
        <v>Tire</v>
      </c>
      <c r="Q381" s="65" t="str">
        <f>VLOOKUP(I381,DATABASE!C:Q,4,FALSE)</f>
        <v>GT</v>
      </c>
      <c r="R381" s="79"/>
    </row>
    <row r="382" ht="22.5" customHeight="1">
      <c r="A382" s="49"/>
      <c r="C382" s="245">
        <v>45820.0</v>
      </c>
      <c r="D382" s="245">
        <v>45820.0</v>
      </c>
      <c r="E382" s="65" t="s">
        <v>110</v>
      </c>
      <c r="F382" s="247" t="s">
        <v>343</v>
      </c>
      <c r="G382" s="248">
        <v>2.5007589E7</v>
      </c>
      <c r="H382" s="93" t="s">
        <v>7</v>
      </c>
      <c r="I382" s="74" t="s">
        <v>897</v>
      </c>
      <c r="J382" s="249">
        <v>10.0</v>
      </c>
      <c r="K382" s="74" t="s">
        <v>899</v>
      </c>
      <c r="L382" s="74">
        <v>1500000.0</v>
      </c>
      <c r="M382" s="74" t="s">
        <v>755</v>
      </c>
      <c r="N382" s="74">
        <f t="shared" si="4"/>
        <v>15000000</v>
      </c>
      <c r="O382" s="60">
        <f t="shared" si="2"/>
        <v>45850</v>
      </c>
      <c r="P382" s="65" t="str">
        <f>VLOOKUP(I382,DATABASE!C:Q,11,FALSE)</f>
        <v>Tire</v>
      </c>
      <c r="Q382" s="65" t="str">
        <f>VLOOKUP(I382,DATABASE!C:Q,4,FALSE)</f>
        <v>GT</v>
      </c>
      <c r="R382" s="79"/>
    </row>
    <row r="383" ht="22.5" customHeight="1">
      <c r="A383" s="49"/>
      <c r="C383" s="245">
        <v>45820.0</v>
      </c>
      <c r="D383" s="245">
        <v>45820.0</v>
      </c>
      <c r="E383" s="65" t="s">
        <v>81</v>
      </c>
      <c r="F383" s="247" t="s">
        <v>998</v>
      </c>
      <c r="G383" s="248"/>
      <c r="H383" s="93" t="s">
        <v>1953</v>
      </c>
      <c r="I383" s="74" t="s">
        <v>268</v>
      </c>
      <c r="J383" s="249">
        <v>4.0</v>
      </c>
      <c r="K383" s="74" t="s">
        <v>2216</v>
      </c>
      <c r="L383" s="74">
        <v>634500.0</v>
      </c>
      <c r="M383" s="74" t="s">
        <v>657</v>
      </c>
      <c r="N383" s="74">
        <f t="shared" si="4"/>
        <v>2538000</v>
      </c>
      <c r="O383" s="60">
        <f t="shared" si="2"/>
        <v>45895</v>
      </c>
      <c r="P383" s="65" t="str">
        <f>VLOOKUP(I383,DATABASE!C:Q,11,FALSE)</f>
        <v>Tire</v>
      </c>
      <c r="Q383" s="65" t="str">
        <f>VLOOKUP(I383,DATABASE!C:Q,4,FALSE)</f>
        <v>Dunlop</v>
      </c>
      <c r="R383" s="79"/>
    </row>
    <row r="384" ht="22.5" customHeight="1">
      <c r="A384" s="49"/>
      <c r="C384" s="245">
        <v>45820.0</v>
      </c>
      <c r="D384" s="245">
        <v>45820.0</v>
      </c>
      <c r="E384" s="93" t="s">
        <v>81</v>
      </c>
      <c r="F384" s="247" t="s">
        <v>998</v>
      </c>
      <c r="G384" s="248"/>
      <c r="H384" s="93" t="s">
        <v>1953</v>
      </c>
      <c r="I384" s="74" t="s">
        <v>268</v>
      </c>
      <c r="J384" s="249">
        <v>4.0</v>
      </c>
      <c r="K384" s="74" t="s">
        <v>2216</v>
      </c>
      <c r="L384" s="74">
        <v>634500.0</v>
      </c>
      <c r="M384" s="74" t="s">
        <v>657</v>
      </c>
      <c r="N384" s="74">
        <f t="shared" si="4"/>
        <v>2538000</v>
      </c>
      <c r="O384" s="60">
        <f t="shared" si="2"/>
        <v>45895</v>
      </c>
      <c r="P384" s="65" t="str">
        <f>VLOOKUP(I384,DATABASE!C:Q,11,FALSE)</f>
        <v>Tire</v>
      </c>
      <c r="Q384" s="65" t="str">
        <f>VLOOKUP(I384,DATABASE!C:Q,4,FALSE)</f>
        <v>Dunlop</v>
      </c>
      <c r="R384" s="79"/>
    </row>
    <row r="385" ht="22.5" customHeight="1">
      <c r="A385" s="49"/>
      <c r="C385" s="245">
        <v>45821.0</v>
      </c>
      <c r="D385" s="245">
        <v>45821.0</v>
      </c>
      <c r="E385" s="65" t="s">
        <v>123</v>
      </c>
      <c r="F385" s="247" t="s">
        <v>343</v>
      </c>
      <c r="G385" s="248" t="s">
        <v>2354</v>
      </c>
      <c r="H385" s="93" t="s">
        <v>7</v>
      </c>
      <c r="I385" s="74" t="s">
        <v>1439</v>
      </c>
      <c r="J385" s="249">
        <v>5.0</v>
      </c>
      <c r="K385" s="74" t="s">
        <v>1441</v>
      </c>
      <c r="L385" s="74">
        <v>540800.0</v>
      </c>
      <c r="M385" s="74" t="s">
        <v>755</v>
      </c>
      <c r="N385" s="74">
        <f t="shared" si="4"/>
        <v>2704000</v>
      </c>
      <c r="O385" s="60">
        <f t="shared" si="2"/>
        <v>45851</v>
      </c>
      <c r="P385" s="65" t="str">
        <f>VLOOKUP(I385,DATABASE!C:Q,11,FALSE)</f>
        <v>Tire</v>
      </c>
      <c r="Q385" s="65" t="str">
        <f>VLOOKUP(I385,DATABASE!C:Q,4,FALSE)</f>
        <v>GT</v>
      </c>
      <c r="R385" s="79"/>
    </row>
    <row r="386" ht="22.5" customHeight="1">
      <c r="A386" s="49"/>
      <c r="C386" s="245">
        <v>45821.0</v>
      </c>
      <c r="D386" s="245">
        <v>45821.0</v>
      </c>
      <c r="E386" s="93" t="s">
        <v>123</v>
      </c>
      <c r="F386" s="247" t="s">
        <v>343</v>
      </c>
      <c r="G386" s="248" t="s">
        <v>2354</v>
      </c>
      <c r="H386" s="93" t="s">
        <v>7</v>
      </c>
      <c r="I386" s="74" t="s">
        <v>856</v>
      </c>
      <c r="J386" s="249">
        <v>10.0</v>
      </c>
      <c r="K386" s="74" t="s">
        <v>2357</v>
      </c>
      <c r="L386" s="74">
        <v>581120.0</v>
      </c>
      <c r="M386" s="74" t="s">
        <v>755</v>
      </c>
      <c r="N386" s="74">
        <f t="shared" si="4"/>
        <v>5811200</v>
      </c>
      <c r="O386" s="60">
        <f t="shared" si="2"/>
        <v>45851</v>
      </c>
      <c r="P386" s="65" t="str">
        <f>VLOOKUP(I386,DATABASE!C:Q,11,FALSE)</f>
        <v>Tire</v>
      </c>
      <c r="Q386" s="65" t="str">
        <f>VLOOKUP(I386,DATABASE!C:Q,4,FALSE)</f>
        <v>GT</v>
      </c>
      <c r="R386" s="79"/>
    </row>
    <row r="387" ht="22.5" customHeight="1">
      <c r="A387" s="49"/>
      <c r="C387" s="245">
        <v>45821.0</v>
      </c>
      <c r="D387" s="245">
        <v>45821.0</v>
      </c>
      <c r="E387" s="93" t="s">
        <v>123</v>
      </c>
      <c r="F387" s="247" t="s">
        <v>343</v>
      </c>
      <c r="G387" s="248" t="s">
        <v>2354</v>
      </c>
      <c r="H387" s="93" t="s">
        <v>7</v>
      </c>
      <c r="I387" s="74" t="s">
        <v>839</v>
      </c>
      <c r="J387" s="249">
        <v>10.0</v>
      </c>
      <c r="K387" s="74" t="s">
        <v>1411</v>
      </c>
      <c r="L387" s="74">
        <v>475650.0</v>
      </c>
      <c r="M387" s="74" t="s">
        <v>755</v>
      </c>
      <c r="N387" s="74">
        <f t="shared" si="4"/>
        <v>4756500</v>
      </c>
      <c r="O387" s="60">
        <f t="shared" si="2"/>
        <v>45851</v>
      </c>
      <c r="P387" s="65" t="str">
        <f>VLOOKUP(I387,DATABASE!C:Q,11,FALSE)</f>
        <v>Tire</v>
      </c>
      <c r="Q387" s="65" t="str">
        <f>VLOOKUP(I387,DATABASE!C:Q,4,FALSE)</f>
        <v>GT</v>
      </c>
      <c r="R387" s="79"/>
    </row>
    <row r="388" ht="22.5" customHeight="1">
      <c r="A388" s="49"/>
      <c r="C388" s="245">
        <v>45821.0</v>
      </c>
      <c r="D388" s="245">
        <v>45821.0</v>
      </c>
      <c r="E388" s="65" t="s">
        <v>123</v>
      </c>
      <c r="F388" s="247" t="s">
        <v>343</v>
      </c>
      <c r="G388" s="248" t="s">
        <v>2354</v>
      </c>
      <c r="H388" s="93" t="s">
        <v>7</v>
      </c>
      <c r="I388" s="74" t="s">
        <v>290</v>
      </c>
      <c r="J388" s="249">
        <v>8.0</v>
      </c>
      <c r="K388" s="74" t="s">
        <v>1417</v>
      </c>
      <c r="L388" s="74">
        <v>609800.0</v>
      </c>
      <c r="M388" s="74" t="s">
        <v>755</v>
      </c>
      <c r="N388" s="74">
        <f t="shared" si="4"/>
        <v>4878400</v>
      </c>
      <c r="O388" s="60">
        <f t="shared" si="2"/>
        <v>45851</v>
      </c>
      <c r="P388" s="65" t="str">
        <f>VLOOKUP(I388,DATABASE!C:Q,11,FALSE)</f>
        <v>Tire</v>
      </c>
      <c r="Q388" s="65" t="str">
        <f>VLOOKUP(I388,DATABASE!C:Q,4,FALSE)</f>
        <v>GT</v>
      </c>
      <c r="R388" s="79"/>
    </row>
    <row r="389" ht="22.5" customHeight="1">
      <c r="A389" s="49"/>
      <c r="C389" s="245">
        <v>45821.0</v>
      </c>
      <c r="D389" s="245">
        <v>45821.0</v>
      </c>
      <c r="E389" s="93" t="s">
        <v>123</v>
      </c>
      <c r="F389" s="247" t="s">
        <v>343</v>
      </c>
      <c r="G389" s="248" t="s">
        <v>2354</v>
      </c>
      <c r="H389" s="93" t="s">
        <v>7</v>
      </c>
      <c r="I389" s="74" t="s">
        <v>1430</v>
      </c>
      <c r="J389" s="249">
        <v>4.0</v>
      </c>
      <c r="K389" s="74" t="s">
        <v>2366</v>
      </c>
      <c r="L389" s="74">
        <v>659600.0</v>
      </c>
      <c r="M389" s="74" t="s">
        <v>755</v>
      </c>
      <c r="N389" s="74">
        <f t="shared" si="4"/>
        <v>2638400</v>
      </c>
      <c r="O389" s="60">
        <f t="shared" si="2"/>
        <v>45851</v>
      </c>
      <c r="P389" s="65" t="str">
        <f>VLOOKUP(I389,DATABASE!C:Q,11,FALSE)</f>
        <v>Tire</v>
      </c>
      <c r="Q389" s="65" t="str">
        <f>VLOOKUP(I389,DATABASE!C:Q,4,FALSE)</f>
        <v>GT</v>
      </c>
      <c r="R389" s="79"/>
    </row>
    <row r="390" ht="22.5" customHeight="1">
      <c r="A390" s="49"/>
      <c r="C390" s="245">
        <v>45821.0</v>
      </c>
      <c r="D390" s="245">
        <v>45821.0</v>
      </c>
      <c r="E390" s="93" t="s">
        <v>123</v>
      </c>
      <c r="F390" s="247" t="s">
        <v>343</v>
      </c>
      <c r="G390" s="248" t="s">
        <v>2354</v>
      </c>
      <c r="H390" s="93" t="s">
        <v>7</v>
      </c>
      <c r="I390" s="74" t="s">
        <v>1926</v>
      </c>
      <c r="J390" s="249">
        <v>4.0</v>
      </c>
      <c r="K390" s="74" t="s">
        <v>2368</v>
      </c>
      <c r="L390" s="74">
        <v>643200.0</v>
      </c>
      <c r="M390" s="74" t="s">
        <v>755</v>
      </c>
      <c r="N390" s="74">
        <f t="shared" si="4"/>
        <v>2572800</v>
      </c>
      <c r="O390" s="60">
        <f t="shared" si="2"/>
        <v>45851</v>
      </c>
      <c r="P390" s="65" t="str">
        <f>VLOOKUP(I390,DATABASE!C:Q,11,FALSE)</f>
        <v>Tire</v>
      </c>
      <c r="Q390" s="65" t="str">
        <f>VLOOKUP(I390,DATABASE!C:Q,4,FALSE)</f>
        <v>GT</v>
      </c>
      <c r="R390" s="79"/>
    </row>
    <row r="391" ht="22.5" customHeight="1">
      <c r="A391" s="49"/>
      <c r="C391" s="245">
        <v>45821.0</v>
      </c>
      <c r="D391" s="245">
        <v>45821.0</v>
      </c>
      <c r="E391" s="93" t="s">
        <v>123</v>
      </c>
      <c r="F391" s="247" t="s">
        <v>343</v>
      </c>
      <c r="G391" s="248" t="s">
        <v>2354</v>
      </c>
      <c r="H391" s="93" t="s">
        <v>7</v>
      </c>
      <c r="I391" s="74" t="s">
        <v>1940</v>
      </c>
      <c r="J391" s="249">
        <v>4.0</v>
      </c>
      <c r="K391" s="74" t="s">
        <v>2371</v>
      </c>
      <c r="L391" s="74">
        <v>716900.0</v>
      </c>
      <c r="M391" s="74" t="s">
        <v>755</v>
      </c>
      <c r="N391" s="74">
        <f t="shared" si="4"/>
        <v>2867600</v>
      </c>
      <c r="O391" s="60">
        <f t="shared" si="2"/>
        <v>45851</v>
      </c>
      <c r="P391" s="65" t="str">
        <f>VLOOKUP(I391,DATABASE!C:Q,11,FALSE)</f>
        <v>Tire</v>
      </c>
      <c r="Q391" s="65" t="str">
        <f>VLOOKUP(I391,DATABASE!C:Q,4,FALSE)</f>
        <v>GT</v>
      </c>
      <c r="R391" s="79"/>
    </row>
    <row r="392" ht="22.5" customHeight="1">
      <c r="A392" s="49"/>
      <c r="C392" s="245">
        <v>45821.0</v>
      </c>
      <c r="D392" s="245">
        <v>45821.0</v>
      </c>
      <c r="E392" s="93" t="s">
        <v>123</v>
      </c>
      <c r="F392" s="247" t="s">
        <v>343</v>
      </c>
      <c r="G392" s="248" t="s">
        <v>2354</v>
      </c>
      <c r="H392" s="93" t="s">
        <v>7</v>
      </c>
      <c r="I392" s="74" t="s">
        <v>255</v>
      </c>
      <c r="J392" s="249">
        <v>20.0</v>
      </c>
      <c r="K392" s="74" t="s">
        <v>2373</v>
      </c>
      <c r="L392" s="74">
        <v>161800.0</v>
      </c>
      <c r="M392" s="74" t="s">
        <v>755</v>
      </c>
      <c r="N392" s="74">
        <f t="shared" si="4"/>
        <v>3236000</v>
      </c>
      <c r="O392" s="60">
        <f t="shared" si="2"/>
        <v>45851</v>
      </c>
      <c r="P392" s="65" t="str">
        <f>VLOOKUP(I392,DATABASE!C:Q,11,FALSE)</f>
        <v>Tire</v>
      </c>
      <c r="Q392" s="65" t="str">
        <f>VLOOKUP(I392,DATABASE!C:Q,4,FALSE)</f>
        <v>BD</v>
      </c>
      <c r="R392" s="79"/>
    </row>
    <row r="393" ht="22.5" customHeight="1">
      <c r="A393" s="49"/>
      <c r="C393" s="245">
        <v>45821.0</v>
      </c>
      <c r="D393" s="245">
        <v>45821.0</v>
      </c>
      <c r="E393" s="93" t="s">
        <v>123</v>
      </c>
      <c r="F393" s="247" t="s">
        <v>343</v>
      </c>
      <c r="G393" s="248" t="s">
        <v>2354</v>
      </c>
      <c r="H393" s="93" t="s">
        <v>7</v>
      </c>
      <c r="I393" s="74" t="s">
        <v>744</v>
      </c>
      <c r="J393" s="249">
        <v>30.0</v>
      </c>
      <c r="K393" s="74" t="s">
        <v>2375</v>
      </c>
      <c r="L393" s="74">
        <v>199910.0</v>
      </c>
      <c r="M393" s="74" t="s">
        <v>755</v>
      </c>
      <c r="N393" s="74">
        <f t="shared" si="4"/>
        <v>5997300</v>
      </c>
      <c r="O393" s="60">
        <f t="shared" si="2"/>
        <v>45851</v>
      </c>
      <c r="P393" s="65" t="str">
        <f>VLOOKUP(I393,DATABASE!C:Q,11,FALSE)</f>
        <v>Tire</v>
      </c>
      <c r="Q393" s="65" t="str">
        <f>VLOOKUP(I393,DATABASE!C:Q,4,FALSE)</f>
        <v>BD</v>
      </c>
      <c r="R393" s="79"/>
    </row>
    <row r="394" ht="22.5" customHeight="1">
      <c r="A394" s="49"/>
      <c r="C394" s="245">
        <v>45821.0</v>
      </c>
      <c r="D394" s="245">
        <v>45821.0</v>
      </c>
      <c r="E394" s="65" t="s">
        <v>123</v>
      </c>
      <c r="F394" s="247" t="s">
        <v>343</v>
      </c>
      <c r="G394" s="248" t="s">
        <v>2379</v>
      </c>
      <c r="H394" s="93" t="s">
        <v>7</v>
      </c>
      <c r="I394" s="74" t="s">
        <v>288</v>
      </c>
      <c r="J394" s="249">
        <v>10.0</v>
      </c>
      <c r="K394" s="74" t="s">
        <v>831</v>
      </c>
      <c r="L394" s="74">
        <v>524800.0</v>
      </c>
      <c r="M394" s="74" t="s">
        <v>755</v>
      </c>
      <c r="N394" s="74">
        <f t="shared" si="4"/>
        <v>5248000</v>
      </c>
      <c r="O394" s="60">
        <f t="shared" si="2"/>
        <v>45851</v>
      </c>
      <c r="P394" s="65" t="str">
        <f>VLOOKUP(I394,DATABASE!C:Q,11,FALSE)</f>
        <v>Tire</v>
      </c>
      <c r="Q394" s="65" t="str">
        <f>VLOOKUP(I394,DATABASE!C:Q,4,FALSE)</f>
        <v>GT</v>
      </c>
      <c r="R394" s="79"/>
    </row>
    <row r="395" ht="22.5" customHeight="1">
      <c r="A395" s="49"/>
      <c r="C395" s="245">
        <v>45821.0</v>
      </c>
      <c r="D395" s="245">
        <v>45821.0</v>
      </c>
      <c r="E395" s="93" t="s">
        <v>123</v>
      </c>
      <c r="F395" s="247" t="s">
        <v>343</v>
      </c>
      <c r="G395" s="248" t="s">
        <v>2379</v>
      </c>
      <c r="H395" s="93" t="s">
        <v>7</v>
      </c>
      <c r="I395" s="74" t="s">
        <v>1617</v>
      </c>
      <c r="J395" s="249">
        <v>3.0</v>
      </c>
      <c r="K395" s="74" t="s">
        <v>2120</v>
      </c>
      <c r="L395" s="74">
        <v>739000.0</v>
      </c>
      <c r="M395" s="74" t="s">
        <v>755</v>
      </c>
      <c r="N395" s="74">
        <f t="shared" si="4"/>
        <v>2217000</v>
      </c>
      <c r="O395" s="60">
        <f t="shared" si="2"/>
        <v>45851</v>
      </c>
      <c r="P395" s="65" t="str">
        <f>VLOOKUP(I395,DATABASE!C:Q,11,FALSE)</f>
        <v>Tire</v>
      </c>
      <c r="Q395" s="65" t="str">
        <f>VLOOKUP(I395,DATABASE!C:Q,4,FALSE)</f>
        <v>GT</v>
      </c>
      <c r="R395" s="79"/>
    </row>
    <row r="396" ht="22.5" customHeight="1">
      <c r="A396" s="49"/>
      <c r="C396" s="245">
        <v>45821.0</v>
      </c>
      <c r="D396" s="245">
        <v>45821.0</v>
      </c>
      <c r="E396" s="65" t="s">
        <v>123</v>
      </c>
      <c r="F396" s="247" t="s">
        <v>343</v>
      </c>
      <c r="G396" s="248" t="s">
        <v>2380</v>
      </c>
      <c r="H396" s="93" t="s">
        <v>7</v>
      </c>
      <c r="I396" s="74" t="s">
        <v>1862</v>
      </c>
      <c r="J396" s="249">
        <v>5.0</v>
      </c>
      <c r="K396" s="74" t="s">
        <v>1959</v>
      </c>
      <c r="L396" s="74">
        <v>2025000.0</v>
      </c>
      <c r="M396" s="74" t="s">
        <v>755</v>
      </c>
      <c r="N396" s="74">
        <f t="shared" si="4"/>
        <v>10125000</v>
      </c>
      <c r="O396" s="60">
        <f t="shared" si="2"/>
        <v>45851</v>
      </c>
      <c r="P396" s="65" t="str">
        <f>VLOOKUP(I396,DATABASE!C:Q,11,FALSE)</f>
        <v>Tire</v>
      </c>
      <c r="Q396" s="65" t="str">
        <f>VLOOKUP(I396,DATABASE!C:Q,4,FALSE)</f>
        <v>GiTi</v>
      </c>
      <c r="R396" s="101"/>
    </row>
    <row r="397" ht="22.5" customHeight="1">
      <c r="A397" s="49"/>
      <c r="C397" s="245">
        <v>45821.0</v>
      </c>
      <c r="D397" s="245">
        <v>45821.0</v>
      </c>
      <c r="E397" s="65" t="s">
        <v>123</v>
      </c>
      <c r="F397" s="247" t="s">
        <v>343</v>
      </c>
      <c r="G397" s="248" t="s">
        <v>2380</v>
      </c>
      <c r="H397" s="93" t="s">
        <v>7</v>
      </c>
      <c r="I397" s="74" t="s">
        <v>1858</v>
      </c>
      <c r="J397" s="249">
        <v>2.0</v>
      </c>
      <c r="K397" s="74" t="s">
        <v>742</v>
      </c>
      <c r="L397" s="74">
        <v>2015000.0</v>
      </c>
      <c r="M397" s="74" t="s">
        <v>755</v>
      </c>
      <c r="N397" s="74">
        <f t="shared" si="4"/>
        <v>4030000</v>
      </c>
      <c r="O397" s="60">
        <f t="shared" si="2"/>
        <v>45851</v>
      </c>
      <c r="P397" s="65" t="str">
        <f>VLOOKUP(I397,DATABASE!C:Q,11,FALSE)</f>
        <v>Tire</v>
      </c>
      <c r="Q397" s="65" t="str">
        <f>VLOOKUP(I397,DATABASE!C:Q,4,FALSE)</f>
        <v>GiTi</v>
      </c>
      <c r="R397" s="101"/>
    </row>
    <row r="398" ht="22.5" customHeight="1">
      <c r="A398" s="49"/>
      <c r="C398" s="245">
        <v>45825.0</v>
      </c>
      <c r="D398" s="245">
        <v>45825.0</v>
      </c>
      <c r="E398" s="65" t="s">
        <v>81</v>
      </c>
      <c r="F398" s="247" t="s">
        <v>998</v>
      </c>
      <c r="G398" s="248" t="s">
        <v>1488</v>
      </c>
      <c r="H398" s="93" t="s">
        <v>1953</v>
      </c>
      <c r="I398" s="74" t="s">
        <v>268</v>
      </c>
      <c r="J398" s="249">
        <v>4.0</v>
      </c>
      <c r="K398" s="74" t="s">
        <v>2216</v>
      </c>
      <c r="L398" s="74">
        <v>634500.0</v>
      </c>
      <c r="M398" s="74" t="s">
        <v>657</v>
      </c>
      <c r="N398" s="74">
        <f t="shared" si="4"/>
        <v>2538000</v>
      </c>
      <c r="O398" s="60">
        <f t="shared" si="2"/>
        <v>45900</v>
      </c>
      <c r="P398" s="65" t="str">
        <f>VLOOKUP(I398,DATABASE!C:Q,11,FALSE)</f>
        <v>Tire</v>
      </c>
      <c r="Q398" s="65" t="str">
        <f>VLOOKUP(I398,DATABASE!C:Q,4,FALSE)</f>
        <v>Dunlop</v>
      </c>
      <c r="R398" s="101"/>
    </row>
    <row r="399" ht="22.5" customHeight="1">
      <c r="A399" s="49"/>
      <c r="C399" s="245">
        <v>45826.0</v>
      </c>
      <c r="D399" s="245">
        <v>45826.0</v>
      </c>
      <c r="E399" s="65" t="s">
        <v>81</v>
      </c>
      <c r="F399" s="247" t="s">
        <v>998</v>
      </c>
      <c r="G399" s="248" t="s">
        <v>1493</v>
      </c>
      <c r="H399" s="93" t="s">
        <v>1953</v>
      </c>
      <c r="I399" s="74" t="s">
        <v>275</v>
      </c>
      <c r="J399" s="249">
        <v>2.0</v>
      </c>
      <c r="K399" s="74" t="s">
        <v>2383</v>
      </c>
      <c r="L399" s="74">
        <v>752000.0</v>
      </c>
      <c r="M399" s="74" t="s">
        <v>657</v>
      </c>
      <c r="N399" s="74">
        <f t="shared" si="4"/>
        <v>1504000</v>
      </c>
      <c r="O399" s="60">
        <f t="shared" si="2"/>
        <v>45901</v>
      </c>
      <c r="P399" s="65" t="str">
        <f>VLOOKUP(I399,DATABASE!C:Q,11,FALSE)</f>
        <v>Tire</v>
      </c>
      <c r="Q399" s="65" t="str">
        <f>VLOOKUP(I399,DATABASE!C:Q,4,FALSE)</f>
        <v>Dunlop</v>
      </c>
      <c r="R399" s="101"/>
    </row>
    <row r="400" ht="22.5" customHeight="1">
      <c r="A400" s="49"/>
      <c r="C400" s="245">
        <v>45826.0</v>
      </c>
      <c r="D400" s="245">
        <v>45826.0</v>
      </c>
      <c r="E400" s="65" t="s">
        <v>81</v>
      </c>
      <c r="F400" s="247" t="s">
        <v>998</v>
      </c>
      <c r="G400" s="248" t="s">
        <v>1499</v>
      </c>
      <c r="H400" s="93" t="s">
        <v>1953</v>
      </c>
      <c r="I400" s="74" t="s">
        <v>687</v>
      </c>
      <c r="J400" s="249">
        <v>2.0</v>
      </c>
      <c r="K400" s="74" t="s">
        <v>2385</v>
      </c>
      <c r="L400" s="74">
        <v>949500.0</v>
      </c>
      <c r="M400" s="74" t="s">
        <v>657</v>
      </c>
      <c r="N400" s="74">
        <f t="shared" si="4"/>
        <v>1899000</v>
      </c>
      <c r="O400" s="60">
        <f t="shared" si="2"/>
        <v>45901</v>
      </c>
      <c r="P400" s="65" t="str">
        <f>VLOOKUP(I400,DATABASE!C:Q,11,FALSE)</f>
        <v>Tire</v>
      </c>
      <c r="Q400" s="65" t="str">
        <f>VLOOKUP(I400,DATABASE!C:Q,4,FALSE)</f>
        <v>Dunlop</v>
      </c>
      <c r="R400" s="101"/>
    </row>
    <row r="401" ht="22.5" customHeight="1">
      <c r="A401" s="49"/>
      <c r="C401" s="245">
        <v>45826.0</v>
      </c>
      <c r="D401" s="245">
        <v>45826.0</v>
      </c>
      <c r="E401" s="65" t="s">
        <v>185</v>
      </c>
      <c r="F401" s="247" t="s">
        <v>343</v>
      </c>
      <c r="G401" s="248" t="s">
        <v>1183</v>
      </c>
      <c r="H401" s="93" t="s">
        <v>7</v>
      </c>
      <c r="I401" s="74" t="s">
        <v>647</v>
      </c>
      <c r="J401" s="249">
        <v>10.0</v>
      </c>
      <c r="K401" s="74" t="s">
        <v>2387</v>
      </c>
      <c r="L401" s="74">
        <v>1419500.0</v>
      </c>
      <c r="M401" s="74" t="s">
        <v>521</v>
      </c>
      <c r="N401" s="74">
        <f t="shared" si="4"/>
        <v>14195000</v>
      </c>
      <c r="O401" s="60">
        <f t="shared" si="2"/>
        <v>45886</v>
      </c>
      <c r="P401" s="65" t="str">
        <f>VLOOKUP(I401,DATABASE!C:Q,11,FALSE)</f>
        <v>Tire</v>
      </c>
      <c r="Q401" s="65" t="str">
        <f>VLOOKUP(I401,DATABASE!C:Q,4,FALSE)</f>
        <v>G. YEAR</v>
      </c>
      <c r="R401" s="101"/>
    </row>
    <row r="402" ht="22.5" customHeight="1">
      <c r="A402" s="49"/>
      <c r="C402" s="245">
        <v>45829.0</v>
      </c>
      <c r="D402" s="245">
        <v>45829.0</v>
      </c>
      <c r="E402" s="65" t="s">
        <v>81</v>
      </c>
      <c r="F402" s="247" t="s">
        <v>343</v>
      </c>
      <c r="G402" s="248" t="s">
        <v>1503</v>
      </c>
      <c r="H402" s="93" t="s">
        <v>87</v>
      </c>
      <c r="I402" s="74" t="s">
        <v>265</v>
      </c>
      <c r="J402" s="249">
        <v>20.0</v>
      </c>
      <c r="K402" s="74" t="s">
        <v>2198</v>
      </c>
      <c r="L402" s="74">
        <v>610000.0</v>
      </c>
      <c r="M402" s="74" t="s">
        <v>657</v>
      </c>
      <c r="N402" s="74">
        <f t="shared" si="4"/>
        <v>12200000</v>
      </c>
      <c r="O402" s="60">
        <f t="shared" si="2"/>
        <v>45904</v>
      </c>
      <c r="P402" s="65" t="str">
        <f>VLOOKUP(I402,DATABASE!C:Q,11,FALSE)</f>
        <v>Tire</v>
      </c>
      <c r="Q402" s="65" t="str">
        <f>VLOOKUP(I402,DATABASE!C:Q,4,FALSE)</f>
        <v>Dunlop</v>
      </c>
      <c r="R402" s="101"/>
    </row>
    <row r="403" ht="22.5" customHeight="1">
      <c r="A403" s="49"/>
      <c r="C403" s="245">
        <v>45829.0</v>
      </c>
      <c r="D403" s="245">
        <v>45829.0</v>
      </c>
      <c r="E403" s="65" t="s">
        <v>81</v>
      </c>
      <c r="F403" s="247" t="s">
        <v>343</v>
      </c>
      <c r="G403" s="248" t="s">
        <v>1503</v>
      </c>
      <c r="H403" s="93" t="s">
        <v>87</v>
      </c>
      <c r="I403" s="74" t="s">
        <v>268</v>
      </c>
      <c r="J403" s="249">
        <v>50.0</v>
      </c>
      <c r="K403" s="74" t="s">
        <v>2216</v>
      </c>
      <c r="L403" s="74">
        <v>634500.0</v>
      </c>
      <c r="M403" s="74" t="s">
        <v>657</v>
      </c>
      <c r="N403" s="74">
        <f t="shared" si="4"/>
        <v>31725000</v>
      </c>
      <c r="O403" s="60">
        <f t="shared" si="2"/>
        <v>45904</v>
      </c>
      <c r="P403" s="65" t="str">
        <f>VLOOKUP(I403,DATABASE!C:Q,11,FALSE)</f>
        <v>Tire</v>
      </c>
      <c r="Q403" s="65" t="str">
        <f>VLOOKUP(I403,DATABASE!C:Q,4,FALSE)</f>
        <v>Dunlop</v>
      </c>
      <c r="R403" s="101"/>
    </row>
    <row r="404" ht="22.5" customHeight="1">
      <c r="A404" s="49"/>
      <c r="C404" s="245">
        <v>45829.0</v>
      </c>
      <c r="D404" s="245">
        <v>45829.0</v>
      </c>
      <c r="E404" s="65" t="s">
        <v>81</v>
      </c>
      <c r="F404" s="247" t="s">
        <v>343</v>
      </c>
      <c r="G404" s="248" t="s">
        <v>1503</v>
      </c>
      <c r="H404" s="93" t="s">
        <v>87</v>
      </c>
      <c r="I404" s="74" t="s">
        <v>275</v>
      </c>
      <c r="J404" s="249">
        <v>20.0</v>
      </c>
      <c r="K404" s="74" t="s">
        <v>2225</v>
      </c>
      <c r="L404" s="74">
        <v>759500.0</v>
      </c>
      <c r="M404" s="74" t="s">
        <v>657</v>
      </c>
      <c r="N404" s="74">
        <f t="shared" si="4"/>
        <v>15190000</v>
      </c>
      <c r="O404" s="60">
        <f t="shared" si="2"/>
        <v>45904</v>
      </c>
      <c r="P404" s="65" t="str">
        <f>VLOOKUP(I404,DATABASE!C:Q,11,FALSE)</f>
        <v>Tire</v>
      </c>
      <c r="Q404" s="65" t="str">
        <f>VLOOKUP(I404,DATABASE!C:Q,4,FALSE)</f>
        <v>Dunlop</v>
      </c>
      <c r="R404" s="101"/>
    </row>
    <row r="405" ht="22.5" customHeight="1">
      <c r="A405" s="49"/>
      <c r="C405" s="245">
        <v>45829.0</v>
      </c>
      <c r="D405" s="245">
        <v>45829.0</v>
      </c>
      <c r="E405" s="65" t="s">
        <v>81</v>
      </c>
      <c r="F405" s="247" t="s">
        <v>343</v>
      </c>
      <c r="G405" s="248" t="s">
        <v>1503</v>
      </c>
      <c r="H405" s="93" t="s">
        <v>87</v>
      </c>
      <c r="I405" s="74" t="s">
        <v>932</v>
      </c>
      <c r="J405" s="249">
        <v>20.0</v>
      </c>
      <c r="K405" s="74" t="s">
        <v>2228</v>
      </c>
      <c r="L405" s="74">
        <v>601000.0</v>
      </c>
      <c r="M405" s="74" t="s">
        <v>657</v>
      </c>
      <c r="N405" s="74">
        <f t="shared" si="4"/>
        <v>12020000</v>
      </c>
      <c r="O405" s="60">
        <f t="shared" si="2"/>
        <v>45904</v>
      </c>
      <c r="P405" s="65" t="str">
        <f>VLOOKUP(I405,DATABASE!C:Q,11,FALSE)</f>
        <v>Tire</v>
      </c>
      <c r="Q405" s="65" t="str">
        <f>VLOOKUP(I405,DATABASE!C:Q,4,FALSE)</f>
        <v>Dunlop</v>
      </c>
      <c r="R405" s="101"/>
    </row>
    <row r="406" ht="22.5" customHeight="1">
      <c r="A406" s="49"/>
      <c r="C406" s="245">
        <v>45831.0</v>
      </c>
      <c r="D406" s="245">
        <v>45831.0</v>
      </c>
      <c r="E406" s="246" t="s">
        <v>97</v>
      </c>
      <c r="F406" s="247" t="s">
        <v>343</v>
      </c>
      <c r="G406" s="248" t="s">
        <v>2393</v>
      </c>
      <c r="H406" s="93" t="s">
        <v>87</v>
      </c>
      <c r="I406" s="74" t="s">
        <v>591</v>
      </c>
      <c r="J406" s="249">
        <v>4.0</v>
      </c>
      <c r="K406" s="74" t="s">
        <v>2394</v>
      </c>
      <c r="L406" s="74">
        <v>593541.0</v>
      </c>
      <c r="M406" s="74" t="s">
        <v>521</v>
      </c>
      <c r="N406" s="74">
        <f t="shared" si="4"/>
        <v>2374164</v>
      </c>
      <c r="O406" s="60">
        <f t="shared" si="2"/>
        <v>45891</v>
      </c>
      <c r="P406" s="65" t="str">
        <f>VLOOKUP(I406,DATABASE!C:Q,11,FALSE)</f>
        <v>Tire</v>
      </c>
      <c r="Q406" s="65" t="str">
        <f>VLOOKUP(I406,DATABASE!C:Q,4,FALSE)</f>
        <v>Bridgestone</v>
      </c>
      <c r="R406" s="101"/>
    </row>
    <row r="407" ht="22.5" customHeight="1">
      <c r="A407" s="49"/>
      <c r="C407" s="245">
        <v>45831.0</v>
      </c>
      <c r="D407" s="245">
        <v>45831.0</v>
      </c>
      <c r="E407" s="246" t="s">
        <v>97</v>
      </c>
      <c r="F407" s="247" t="s">
        <v>343</v>
      </c>
      <c r="G407" s="248" t="s">
        <v>2393</v>
      </c>
      <c r="H407" s="93" t="s">
        <v>87</v>
      </c>
      <c r="I407" s="74" t="s">
        <v>554</v>
      </c>
      <c r="J407" s="249">
        <v>4.0</v>
      </c>
      <c r="K407" s="74" t="s">
        <v>556</v>
      </c>
      <c r="L407" s="74">
        <v>700000.0</v>
      </c>
      <c r="M407" s="74" t="s">
        <v>521</v>
      </c>
      <c r="N407" s="74">
        <f t="shared" si="4"/>
        <v>2800000</v>
      </c>
      <c r="O407" s="60">
        <f t="shared" si="2"/>
        <v>45891</v>
      </c>
      <c r="P407" s="65" t="str">
        <f>VLOOKUP(I407,DATABASE!C:Q,11,FALSE)</f>
        <v>Tire</v>
      </c>
      <c r="Q407" s="65" t="str">
        <f>VLOOKUP(I407,DATABASE!C:Q,4,FALSE)</f>
        <v>Bridgestone</v>
      </c>
      <c r="R407" s="101"/>
    </row>
    <row r="408" ht="22.5" customHeight="1">
      <c r="A408" s="49"/>
      <c r="C408" s="245">
        <v>45831.0</v>
      </c>
      <c r="D408" s="245">
        <v>45831.0</v>
      </c>
      <c r="E408" s="65" t="s">
        <v>372</v>
      </c>
      <c r="F408" s="247" t="s">
        <v>343</v>
      </c>
      <c r="G408" s="248" t="s">
        <v>1952</v>
      </c>
      <c r="H408" s="93" t="s">
        <v>7</v>
      </c>
      <c r="I408" s="74" t="s">
        <v>1526</v>
      </c>
      <c r="J408" s="249">
        <v>6.0</v>
      </c>
      <c r="K408" s="74" t="s">
        <v>1527</v>
      </c>
      <c r="L408" s="74">
        <v>437000.0</v>
      </c>
      <c r="M408" s="74" t="s">
        <v>521</v>
      </c>
      <c r="N408" s="74">
        <f t="shared" si="4"/>
        <v>2622000</v>
      </c>
      <c r="O408" s="60">
        <f t="shared" si="2"/>
        <v>45891</v>
      </c>
      <c r="P408" s="65" t="str">
        <f>VLOOKUP(I408,DATABASE!C:Q,11,FALSE)</f>
        <v>Tire</v>
      </c>
      <c r="Q408" s="65" t="str">
        <f>VLOOKUP(I408,DATABASE!C:Q,4,FALSE)</f>
        <v>Laufen</v>
      </c>
      <c r="R408" s="101"/>
    </row>
    <row r="409" ht="22.5" customHeight="1">
      <c r="A409" s="49"/>
      <c r="C409" s="245">
        <v>45831.0</v>
      </c>
      <c r="D409" s="245">
        <v>45831.0</v>
      </c>
      <c r="E409" s="65" t="s">
        <v>372</v>
      </c>
      <c r="F409" s="247" t="s">
        <v>343</v>
      </c>
      <c r="G409" s="248" t="s">
        <v>1952</v>
      </c>
      <c r="H409" s="93" t="s">
        <v>7</v>
      </c>
      <c r="I409" s="74" t="s">
        <v>1530</v>
      </c>
      <c r="J409" s="249">
        <v>10.0</v>
      </c>
      <c r="K409" s="74" t="s">
        <v>1531</v>
      </c>
      <c r="L409" s="74">
        <v>454000.0</v>
      </c>
      <c r="M409" s="74" t="s">
        <v>521</v>
      </c>
      <c r="N409" s="74">
        <f t="shared" si="4"/>
        <v>4540000</v>
      </c>
      <c r="O409" s="60">
        <f t="shared" si="2"/>
        <v>45891</v>
      </c>
      <c r="P409" s="65" t="str">
        <f>VLOOKUP(I409,DATABASE!C:Q,11,FALSE)</f>
        <v>Tire</v>
      </c>
      <c r="Q409" s="65" t="str">
        <f>VLOOKUP(I409,DATABASE!C:Q,4,FALSE)</f>
        <v>Laufen</v>
      </c>
      <c r="R409" s="101"/>
    </row>
    <row r="410" ht="22.5" customHeight="1">
      <c r="A410" s="49"/>
      <c r="C410" s="245">
        <v>45831.0</v>
      </c>
      <c r="D410" s="245">
        <v>45831.0</v>
      </c>
      <c r="E410" s="65" t="s">
        <v>372</v>
      </c>
      <c r="F410" s="247" t="s">
        <v>343</v>
      </c>
      <c r="G410" s="248" t="s">
        <v>1952</v>
      </c>
      <c r="H410" s="93" t="s">
        <v>7</v>
      </c>
      <c r="I410" s="74" t="s">
        <v>1536</v>
      </c>
      <c r="J410" s="249">
        <v>4.0</v>
      </c>
      <c r="K410" s="74" t="s">
        <v>1538</v>
      </c>
      <c r="L410" s="74">
        <v>573000.0</v>
      </c>
      <c r="M410" s="74" t="s">
        <v>521</v>
      </c>
      <c r="N410" s="74">
        <f t="shared" si="4"/>
        <v>2292000</v>
      </c>
      <c r="O410" s="60">
        <f t="shared" si="2"/>
        <v>45891</v>
      </c>
      <c r="P410" s="65" t="str">
        <f>VLOOKUP(I410,DATABASE!C:Q,11,FALSE)</f>
        <v>Tire</v>
      </c>
      <c r="Q410" s="65" t="str">
        <f>VLOOKUP(I410,DATABASE!C:Q,4,FALSE)</f>
        <v>Laufen</v>
      </c>
      <c r="R410" s="101"/>
    </row>
    <row r="411" ht="22.5" customHeight="1">
      <c r="A411" s="49"/>
      <c r="C411" s="245">
        <v>45831.0</v>
      </c>
      <c r="D411" s="245">
        <v>45831.0</v>
      </c>
      <c r="E411" s="65" t="s">
        <v>372</v>
      </c>
      <c r="F411" s="247" t="s">
        <v>343</v>
      </c>
      <c r="G411" s="248" t="s">
        <v>1952</v>
      </c>
      <c r="H411" s="93" t="s">
        <v>7</v>
      </c>
      <c r="I411" s="74" t="s">
        <v>2090</v>
      </c>
      <c r="J411" s="249">
        <v>4.0</v>
      </c>
      <c r="K411" s="74" t="s">
        <v>1920</v>
      </c>
      <c r="L411" s="74">
        <v>690000.0</v>
      </c>
      <c r="M411" s="74" t="s">
        <v>521</v>
      </c>
      <c r="N411" s="74">
        <f t="shared" si="4"/>
        <v>2760000</v>
      </c>
      <c r="O411" s="60">
        <f t="shared" si="2"/>
        <v>45891</v>
      </c>
      <c r="P411" s="65" t="str">
        <f>VLOOKUP(I411,DATABASE!C:Q,11,FALSE)</f>
        <v>Tire</v>
      </c>
      <c r="Q411" s="65" t="str">
        <f>VLOOKUP(I411,DATABASE!C:Q,4,FALSE)</f>
        <v>Laufen</v>
      </c>
      <c r="R411" s="101"/>
    </row>
    <row r="412" ht="22.5" customHeight="1">
      <c r="A412" s="49"/>
      <c r="C412" s="245">
        <v>45831.0</v>
      </c>
      <c r="D412" s="245">
        <v>45831.0</v>
      </c>
      <c r="E412" s="65" t="s">
        <v>81</v>
      </c>
      <c r="F412" s="247" t="s">
        <v>343</v>
      </c>
      <c r="G412" s="248" t="s">
        <v>1508</v>
      </c>
      <c r="H412" s="93" t="s">
        <v>87</v>
      </c>
      <c r="I412" s="74" t="s">
        <v>271</v>
      </c>
      <c r="J412" s="249">
        <v>5.0</v>
      </c>
      <c r="K412" s="74" t="s">
        <v>1058</v>
      </c>
      <c r="L412" s="74">
        <v>550000.0</v>
      </c>
      <c r="M412" s="74" t="s">
        <v>657</v>
      </c>
      <c r="N412" s="74">
        <f t="shared" si="4"/>
        <v>2750000</v>
      </c>
      <c r="O412" s="60">
        <f t="shared" si="2"/>
        <v>45906</v>
      </c>
      <c r="P412" s="65" t="str">
        <f>VLOOKUP(I412,DATABASE!C:Q,11,FALSE)</f>
        <v>Tire</v>
      </c>
      <c r="Q412" s="65" t="str">
        <f>VLOOKUP(I412,DATABASE!C:Q,4,FALSE)</f>
        <v>Dunlop</v>
      </c>
      <c r="R412" s="101"/>
    </row>
    <row r="413" ht="22.5" customHeight="1">
      <c r="A413" s="49"/>
      <c r="C413" s="245">
        <v>45831.0</v>
      </c>
      <c r="D413" s="245">
        <v>45831.0</v>
      </c>
      <c r="E413" s="65" t="s">
        <v>81</v>
      </c>
      <c r="F413" s="247" t="s">
        <v>343</v>
      </c>
      <c r="G413" s="248" t="s">
        <v>1508</v>
      </c>
      <c r="H413" s="93" t="s">
        <v>87</v>
      </c>
      <c r="I413" s="74" t="s">
        <v>955</v>
      </c>
      <c r="J413" s="249">
        <v>5.0</v>
      </c>
      <c r="K413" s="74" t="s">
        <v>2402</v>
      </c>
      <c r="L413" s="74">
        <v>688000.0</v>
      </c>
      <c r="M413" s="74" t="s">
        <v>657</v>
      </c>
      <c r="N413" s="74">
        <f t="shared" si="4"/>
        <v>3440000</v>
      </c>
      <c r="O413" s="60">
        <f t="shared" si="2"/>
        <v>45906</v>
      </c>
      <c r="P413" s="65" t="str">
        <f>VLOOKUP(I413,DATABASE!C:Q,11,FALSE)</f>
        <v>Tire</v>
      </c>
      <c r="Q413" s="65" t="str">
        <f>VLOOKUP(I413,DATABASE!C:Q,4,FALSE)</f>
        <v>Dunlop</v>
      </c>
      <c r="R413" s="101"/>
    </row>
    <row r="414" ht="22.5" customHeight="1">
      <c r="A414" s="49"/>
      <c r="C414" s="245">
        <v>45831.0</v>
      </c>
      <c r="D414" s="245">
        <v>45831.0</v>
      </c>
      <c r="E414" s="65" t="s">
        <v>81</v>
      </c>
      <c r="F414" s="247" t="s">
        <v>343</v>
      </c>
      <c r="G414" s="248" t="s">
        <v>1508</v>
      </c>
      <c r="H414" s="93" t="s">
        <v>87</v>
      </c>
      <c r="I414" s="74" t="s">
        <v>282</v>
      </c>
      <c r="J414" s="249">
        <v>5.0</v>
      </c>
      <c r="K414" s="74" t="s">
        <v>2330</v>
      </c>
      <c r="L414" s="74">
        <v>779500.0</v>
      </c>
      <c r="M414" s="74" t="s">
        <v>657</v>
      </c>
      <c r="N414" s="74">
        <f t="shared" si="4"/>
        <v>3897500</v>
      </c>
      <c r="O414" s="60">
        <f t="shared" si="2"/>
        <v>45906</v>
      </c>
      <c r="P414" s="65" t="str">
        <f>VLOOKUP(I414,DATABASE!C:Q,11,FALSE)</f>
        <v>Tire</v>
      </c>
      <c r="Q414" s="65" t="str">
        <f>VLOOKUP(I414,DATABASE!C:Q,4,FALSE)</f>
        <v>Dunlop</v>
      </c>
      <c r="R414" s="101"/>
    </row>
    <row r="415" ht="22.5" customHeight="1">
      <c r="A415" s="49"/>
      <c r="C415" s="245">
        <v>45831.0</v>
      </c>
      <c r="D415" s="245">
        <v>45831.0</v>
      </c>
      <c r="E415" s="65" t="s">
        <v>81</v>
      </c>
      <c r="F415" s="247" t="s">
        <v>343</v>
      </c>
      <c r="G415" s="248" t="s">
        <v>1508</v>
      </c>
      <c r="H415" s="93" t="s">
        <v>87</v>
      </c>
      <c r="I415" s="74" t="s">
        <v>946</v>
      </c>
      <c r="J415" s="249">
        <v>5.0</v>
      </c>
      <c r="K415" s="74" t="s">
        <v>2405</v>
      </c>
      <c r="L415" s="74">
        <v>809000.0</v>
      </c>
      <c r="M415" s="74" t="s">
        <v>657</v>
      </c>
      <c r="N415" s="74">
        <f t="shared" si="4"/>
        <v>4045000</v>
      </c>
      <c r="O415" s="60">
        <f t="shared" si="2"/>
        <v>45906</v>
      </c>
      <c r="P415" s="65" t="str">
        <f>VLOOKUP(I415,DATABASE!C:Q,11,FALSE)</f>
        <v>Tire</v>
      </c>
      <c r="Q415" s="65" t="str">
        <f>VLOOKUP(I415,DATABASE!C:Q,4,FALSE)</f>
        <v>Dunlop</v>
      </c>
      <c r="R415" s="101"/>
    </row>
    <row r="416" ht="22.5" customHeight="1">
      <c r="A416" s="49"/>
      <c r="C416" s="245">
        <v>45831.0</v>
      </c>
      <c r="D416" s="245">
        <v>45831.0</v>
      </c>
      <c r="E416" s="65" t="s">
        <v>81</v>
      </c>
      <c r="F416" s="247" t="s">
        <v>343</v>
      </c>
      <c r="G416" s="248" t="s">
        <v>1508</v>
      </c>
      <c r="H416" s="93" t="s">
        <v>87</v>
      </c>
      <c r="I416" s="74" t="s">
        <v>1389</v>
      </c>
      <c r="J416" s="249">
        <v>1.0</v>
      </c>
      <c r="K416" s="74" t="s">
        <v>2407</v>
      </c>
      <c r="L416" s="74">
        <v>908000.0</v>
      </c>
      <c r="M416" s="74" t="s">
        <v>657</v>
      </c>
      <c r="N416" s="74">
        <f t="shared" si="4"/>
        <v>908000</v>
      </c>
      <c r="O416" s="60">
        <f t="shared" si="2"/>
        <v>45906</v>
      </c>
      <c r="P416" s="65" t="str">
        <f>VLOOKUP(I416,DATABASE!C:Q,11,FALSE)</f>
        <v>Tire</v>
      </c>
      <c r="Q416" s="65" t="str">
        <f>VLOOKUP(I416,DATABASE!C:Q,4,FALSE)</f>
        <v>Dunlop</v>
      </c>
      <c r="R416" s="101"/>
    </row>
    <row r="417" ht="22.5" customHeight="1">
      <c r="A417" s="49"/>
      <c r="C417" s="245">
        <v>45831.0</v>
      </c>
      <c r="D417" s="245">
        <v>45831.0</v>
      </c>
      <c r="E417" s="65" t="s">
        <v>81</v>
      </c>
      <c r="F417" s="247" t="s">
        <v>343</v>
      </c>
      <c r="G417" s="248" t="s">
        <v>1508</v>
      </c>
      <c r="H417" s="93" t="s">
        <v>87</v>
      </c>
      <c r="I417" s="74" t="s">
        <v>974</v>
      </c>
      <c r="J417" s="249">
        <v>5.0</v>
      </c>
      <c r="K417" s="74" t="s">
        <v>2409</v>
      </c>
      <c r="L417" s="74">
        <v>501500.0</v>
      </c>
      <c r="M417" s="74" t="s">
        <v>657</v>
      </c>
      <c r="N417" s="74">
        <f t="shared" si="4"/>
        <v>2507500</v>
      </c>
      <c r="O417" s="60">
        <f t="shared" si="2"/>
        <v>45906</v>
      </c>
      <c r="P417" s="65" t="str">
        <f>VLOOKUP(I417,DATABASE!C:Q,11,FALSE)</f>
        <v>Tire</v>
      </c>
      <c r="Q417" s="65" t="str">
        <f>VLOOKUP(I417,DATABASE!C:Q,4,FALSE)</f>
        <v>Dunlop</v>
      </c>
      <c r="R417" s="101"/>
    </row>
    <row r="418" ht="22.5" customHeight="1">
      <c r="A418" s="49"/>
      <c r="C418" s="245">
        <v>45831.0</v>
      </c>
      <c r="D418" s="245">
        <v>45831.0</v>
      </c>
      <c r="E418" s="65" t="s">
        <v>81</v>
      </c>
      <c r="F418" s="247" t="s">
        <v>343</v>
      </c>
      <c r="G418" s="248" t="s">
        <v>1508</v>
      </c>
      <c r="H418" s="93" t="s">
        <v>87</v>
      </c>
      <c r="I418" s="74" t="s">
        <v>695</v>
      </c>
      <c r="J418" s="249">
        <v>5.0</v>
      </c>
      <c r="K418" s="74" t="s">
        <v>2411</v>
      </c>
      <c r="L418" s="74">
        <v>582000.0</v>
      </c>
      <c r="M418" s="74" t="s">
        <v>657</v>
      </c>
      <c r="N418" s="74">
        <f t="shared" si="4"/>
        <v>2910000</v>
      </c>
      <c r="O418" s="60">
        <f t="shared" si="2"/>
        <v>45906</v>
      </c>
      <c r="P418" s="65" t="str">
        <f>VLOOKUP(I418,DATABASE!C:Q,11,FALSE)</f>
        <v>Tire</v>
      </c>
      <c r="Q418" s="65" t="str">
        <f>VLOOKUP(I418,DATABASE!C:Q,4,FALSE)</f>
        <v>Dunlop</v>
      </c>
      <c r="R418" s="101"/>
    </row>
    <row r="419" ht="22.5" customHeight="1">
      <c r="A419" s="49"/>
      <c r="C419" s="245">
        <v>45831.0</v>
      </c>
      <c r="D419" s="245">
        <v>45831.0</v>
      </c>
      <c r="E419" s="65" t="s">
        <v>81</v>
      </c>
      <c r="F419" s="247" t="s">
        <v>343</v>
      </c>
      <c r="G419" s="248" t="s">
        <v>1508</v>
      </c>
      <c r="H419" s="93" t="s">
        <v>87</v>
      </c>
      <c r="I419" s="74" t="s">
        <v>968</v>
      </c>
      <c r="J419" s="249">
        <v>5.0</v>
      </c>
      <c r="K419" s="74" t="s">
        <v>2331</v>
      </c>
      <c r="L419" s="74">
        <v>582500.0</v>
      </c>
      <c r="M419" s="74" t="s">
        <v>657</v>
      </c>
      <c r="N419" s="74">
        <f t="shared" si="4"/>
        <v>2912500</v>
      </c>
      <c r="O419" s="60">
        <f t="shared" si="2"/>
        <v>45906</v>
      </c>
      <c r="P419" s="65" t="str">
        <f>VLOOKUP(I419,DATABASE!C:Q,11,FALSE)</f>
        <v>Tire</v>
      </c>
      <c r="Q419" s="65" t="str">
        <f>VLOOKUP(I419,DATABASE!C:Q,4,FALSE)</f>
        <v>Dunlop</v>
      </c>
      <c r="R419" s="101"/>
    </row>
    <row r="420" ht="22.5" customHeight="1">
      <c r="A420" s="49"/>
      <c r="C420" s="245">
        <v>45831.0</v>
      </c>
      <c r="D420" s="245">
        <v>45831.0</v>
      </c>
      <c r="E420" s="65" t="s">
        <v>81</v>
      </c>
      <c r="F420" s="247" t="s">
        <v>343</v>
      </c>
      <c r="G420" s="248" t="s">
        <v>1508</v>
      </c>
      <c r="H420" s="93" t="s">
        <v>87</v>
      </c>
      <c r="I420" s="74" t="s">
        <v>687</v>
      </c>
      <c r="J420" s="249">
        <v>4.0</v>
      </c>
      <c r="K420" s="74" t="s">
        <v>2414</v>
      </c>
      <c r="L420" s="74">
        <v>959000.0</v>
      </c>
      <c r="M420" s="74" t="s">
        <v>657</v>
      </c>
      <c r="N420" s="74">
        <f t="shared" si="4"/>
        <v>3836000</v>
      </c>
      <c r="O420" s="60">
        <f t="shared" si="2"/>
        <v>45906</v>
      </c>
      <c r="P420" s="65" t="str">
        <f>VLOOKUP(I420,DATABASE!C:Q,11,FALSE)</f>
        <v>Tire</v>
      </c>
      <c r="Q420" s="65" t="str">
        <f>VLOOKUP(I420,DATABASE!C:Q,4,FALSE)</f>
        <v>Dunlop</v>
      </c>
      <c r="R420" s="101"/>
    </row>
    <row r="421" ht="22.5" customHeight="1">
      <c r="A421" s="49"/>
      <c r="C421" s="245">
        <v>45834.0</v>
      </c>
      <c r="D421" s="245">
        <v>45834.0</v>
      </c>
      <c r="E421" s="65" t="s">
        <v>335</v>
      </c>
      <c r="F421" s="247" t="s">
        <v>343</v>
      </c>
      <c r="G421" s="248" t="s">
        <v>2234</v>
      </c>
      <c r="H421" s="93" t="s">
        <v>7</v>
      </c>
      <c r="I421" s="74" t="s">
        <v>391</v>
      </c>
      <c r="J421" s="249">
        <v>6.0</v>
      </c>
      <c r="K421" s="74" t="s">
        <v>907</v>
      </c>
      <c r="L421" s="74">
        <v>1840000.0</v>
      </c>
      <c r="M421" s="74" t="s">
        <v>521</v>
      </c>
      <c r="N421" s="74">
        <f t="shared" si="4"/>
        <v>11040000</v>
      </c>
      <c r="O421" s="60">
        <f t="shared" si="2"/>
        <v>45894</v>
      </c>
      <c r="P421" s="65" t="str">
        <f>VLOOKUP(I421,DATABASE!C:Q,11,FALSE)</f>
        <v>Tire</v>
      </c>
      <c r="Q421" s="65" t="str">
        <f>VLOOKUP(I421,DATABASE!C:Q,4,FALSE)</f>
        <v>Advance</v>
      </c>
      <c r="R421" s="101"/>
    </row>
    <row r="422" ht="22.5" customHeight="1">
      <c r="A422" s="49"/>
      <c r="C422" s="245">
        <v>45834.0</v>
      </c>
      <c r="D422" s="245">
        <v>45834.0</v>
      </c>
      <c r="E422" s="65" t="s">
        <v>335</v>
      </c>
      <c r="F422" s="247" t="s">
        <v>343</v>
      </c>
      <c r="G422" s="248" t="s">
        <v>2234</v>
      </c>
      <c r="H422" s="266" t="s">
        <v>7</v>
      </c>
      <c r="I422" s="267" t="s">
        <v>374</v>
      </c>
      <c r="J422" s="249">
        <v>10.0</v>
      </c>
      <c r="K422" s="74" t="s">
        <v>2342</v>
      </c>
      <c r="L422" s="74">
        <v>1820000.0</v>
      </c>
      <c r="M422" s="74" t="s">
        <v>521</v>
      </c>
      <c r="N422" s="74">
        <f t="shared" si="4"/>
        <v>18200000</v>
      </c>
      <c r="O422" s="60">
        <f t="shared" si="2"/>
        <v>45894</v>
      </c>
      <c r="P422" s="65" t="str">
        <f>VLOOKUP(I422,DATABASE!C:Q,11,FALSE)</f>
        <v>Tire</v>
      </c>
      <c r="Q422" s="65" t="str">
        <f>VLOOKUP(I422,DATABASE!C:Q,4,FALSE)</f>
        <v>Advance</v>
      </c>
      <c r="R422" s="101"/>
    </row>
    <row r="423" ht="22.5" customHeight="1">
      <c r="A423" s="49"/>
      <c r="C423" s="245">
        <v>45834.0</v>
      </c>
      <c r="D423" s="245">
        <v>45834.0</v>
      </c>
      <c r="E423" s="65" t="s">
        <v>335</v>
      </c>
      <c r="F423" s="247" t="s">
        <v>343</v>
      </c>
      <c r="G423" s="248" t="s">
        <v>2234</v>
      </c>
      <c r="H423" s="93" t="s">
        <v>7</v>
      </c>
      <c r="I423" s="74" t="s">
        <v>924</v>
      </c>
      <c r="J423" s="249">
        <v>6.0</v>
      </c>
      <c r="K423" s="74" t="s">
        <v>2419</v>
      </c>
      <c r="L423" s="74">
        <v>1545000.0</v>
      </c>
      <c r="M423" s="74" t="s">
        <v>521</v>
      </c>
      <c r="N423" s="74">
        <f t="shared" si="4"/>
        <v>9270000</v>
      </c>
      <c r="O423" s="60">
        <f t="shared" si="2"/>
        <v>45894</v>
      </c>
      <c r="P423" s="65" t="str">
        <f>VLOOKUP(I423,DATABASE!C:Q,11,FALSE)</f>
        <v>Tire</v>
      </c>
      <c r="Q423" s="65" t="str">
        <f>VLOOKUP(I423,DATABASE!C:Q,4,FALSE)</f>
        <v>TIRON</v>
      </c>
      <c r="R423" s="101"/>
    </row>
    <row r="424" ht="22.5" customHeight="1">
      <c r="A424" s="49"/>
      <c r="C424" s="245">
        <v>45840.0</v>
      </c>
      <c r="D424" s="245">
        <v>45840.0</v>
      </c>
      <c r="E424" s="65" t="s">
        <v>81</v>
      </c>
      <c r="F424" s="247" t="s">
        <v>343</v>
      </c>
      <c r="G424" s="248" t="s">
        <v>1518</v>
      </c>
      <c r="H424" s="93" t="s">
        <v>87</v>
      </c>
      <c r="I424" s="74" t="s">
        <v>265</v>
      </c>
      <c r="J424" s="249">
        <v>14.0</v>
      </c>
      <c r="K424" s="74" t="s">
        <v>2198</v>
      </c>
      <c r="L424" s="74">
        <v>610000.0</v>
      </c>
      <c r="M424" s="74" t="s">
        <v>657</v>
      </c>
      <c r="N424" s="74">
        <f t="shared" si="4"/>
        <v>8540000</v>
      </c>
      <c r="O424" s="60">
        <f t="shared" si="2"/>
        <v>45915</v>
      </c>
      <c r="P424" s="65" t="str">
        <f>VLOOKUP(I424,DATABASE!C:Q,11,FALSE)</f>
        <v>Tire</v>
      </c>
      <c r="Q424" s="65" t="str">
        <f>VLOOKUP(I424,DATABASE!C:Q,4,FALSE)</f>
        <v>Dunlop</v>
      </c>
      <c r="R424" s="101"/>
    </row>
    <row r="425" ht="22.5" customHeight="1">
      <c r="A425" s="49"/>
      <c r="C425" s="245">
        <v>45840.0</v>
      </c>
      <c r="D425" s="245">
        <v>45840.0</v>
      </c>
      <c r="E425" s="65" t="s">
        <v>81</v>
      </c>
      <c r="F425" s="247" t="s">
        <v>343</v>
      </c>
      <c r="G425" s="248" t="s">
        <v>1518</v>
      </c>
      <c r="H425" s="93" t="s">
        <v>87</v>
      </c>
      <c r="I425" s="74" t="s">
        <v>268</v>
      </c>
      <c r="J425" s="249">
        <v>58.0</v>
      </c>
      <c r="K425" s="74" t="s">
        <v>2216</v>
      </c>
      <c r="L425" s="74">
        <v>634500.0</v>
      </c>
      <c r="M425" s="74" t="s">
        <v>657</v>
      </c>
      <c r="N425" s="74">
        <f t="shared" si="4"/>
        <v>36801000</v>
      </c>
      <c r="O425" s="60">
        <f t="shared" si="2"/>
        <v>45915</v>
      </c>
      <c r="P425" s="65" t="str">
        <f>VLOOKUP(I425,DATABASE!C:Q,11,FALSE)</f>
        <v>Tire</v>
      </c>
      <c r="Q425" s="65" t="str">
        <f>VLOOKUP(I425,DATABASE!C:Q,4,FALSE)</f>
        <v>Dunlop</v>
      </c>
      <c r="R425" s="101"/>
    </row>
    <row r="426" ht="22.5" customHeight="1">
      <c r="A426" s="49"/>
      <c r="C426" s="245">
        <v>45840.0</v>
      </c>
      <c r="D426" s="245">
        <v>45840.0</v>
      </c>
      <c r="E426" s="65" t="s">
        <v>81</v>
      </c>
      <c r="F426" s="247" t="s">
        <v>343</v>
      </c>
      <c r="G426" s="248" t="s">
        <v>1518</v>
      </c>
      <c r="H426" s="93" t="s">
        <v>87</v>
      </c>
      <c r="I426" s="74" t="s">
        <v>275</v>
      </c>
      <c r="J426" s="249">
        <v>20.0</v>
      </c>
      <c r="K426" s="74" t="s">
        <v>2225</v>
      </c>
      <c r="L426" s="74">
        <v>759500.0</v>
      </c>
      <c r="M426" s="74" t="s">
        <v>657</v>
      </c>
      <c r="N426" s="74">
        <f t="shared" si="4"/>
        <v>15190000</v>
      </c>
      <c r="O426" s="60">
        <f t="shared" si="2"/>
        <v>45915</v>
      </c>
      <c r="P426" s="65" t="str">
        <f>VLOOKUP(I426,DATABASE!C:Q,11,FALSE)</f>
        <v>Tire</v>
      </c>
      <c r="Q426" s="65" t="str">
        <f>VLOOKUP(I426,DATABASE!C:Q,4,FALSE)</f>
        <v>Dunlop</v>
      </c>
      <c r="R426" s="101"/>
    </row>
    <row r="427" ht="22.5" customHeight="1">
      <c r="A427" s="49"/>
      <c r="C427" s="245">
        <v>45840.0</v>
      </c>
      <c r="D427" s="245">
        <v>45840.0</v>
      </c>
      <c r="E427" s="65" t="s">
        <v>81</v>
      </c>
      <c r="F427" s="247" t="s">
        <v>343</v>
      </c>
      <c r="G427" s="248" t="s">
        <v>1518</v>
      </c>
      <c r="H427" s="93" t="s">
        <v>87</v>
      </c>
      <c r="I427" s="74" t="s">
        <v>932</v>
      </c>
      <c r="J427" s="249">
        <v>20.0</v>
      </c>
      <c r="K427" s="74" t="s">
        <v>2228</v>
      </c>
      <c r="L427" s="74">
        <v>601000.0</v>
      </c>
      <c r="M427" s="74" t="s">
        <v>657</v>
      </c>
      <c r="N427" s="74">
        <f t="shared" si="4"/>
        <v>12020000</v>
      </c>
      <c r="O427" s="60">
        <f t="shared" si="2"/>
        <v>45915</v>
      </c>
      <c r="P427" s="65" t="str">
        <f>VLOOKUP(I427,DATABASE!C:Q,11,FALSE)</f>
        <v>Tire</v>
      </c>
      <c r="Q427" s="65" t="str">
        <f>VLOOKUP(I427,DATABASE!C:Q,4,FALSE)</f>
        <v>Dunlop</v>
      </c>
      <c r="R427" s="101"/>
    </row>
    <row r="428" ht="22.5" customHeight="1">
      <c r="A428" s="49"/>
      <c r="C428" s="245">
        <v>45840.0</v>
      </c>
      <c r="D428" s="245">
        <v>45840.0</v>
      </c>
      <c r="E428" s="65" t="s">
        <v>81</v>
      </c>
      <c r="F428" s="247" t="s">
        <v>343</v>
      </c>
      <c r="G428" s="248" t="s">
        <v>1518</v>
      </c>
      <c r="H428" s="93" t="s">
        <v>87</v>
      </c>
      <c r="I428" s="74" t="s">
        <v>271</v>
      </c>
      <c r="J428" s="249">
        <v>11.0</v>
      </c>
      <c r="K428" s="74" t="s">
        <v>1058</v>
      </c>
      <c r="L428" s="74">
        <v>550000.0</v>
      </c>
      <c r="M428" s="74" t="s">
        <v>657</v>
      </c>
      <c r="N428" s="74">
        <f t="shared" si="4"/>
        <v>6050000</v>
      </c>
      <c r="O428" s="60">
        <f t="shared" si="2"/>
        <v>45915</v>
      </c>
      <c r="P428" s="65" t="str">
        <f>VLOOKUP(I428,DATABASE!C:Q,11,FALSE)</f>
        <v>Tire</v>
      </c>
      <c r="Q428" s="65" t="str">
        <f>VLOOKUP(I428,DATABASE!C:Q,4,FALSE)</f>
        <v>Dunlop</v>
      </c>
      <c r="R428" s="101"/>
    </row>
    <row r="429" ht="22.5" customHeight="1">
      <c r="A429" s="49"/>
      <c r="C429" s="245">
        <v>45840.0</v>
      </c>
      <c r="D429" s="245">
        <v>45840.0</v>
      </c>
      <c r="E429" s="65" t="s">
        <v>81</v>
      </c>
      <c r="F429" s="247" t="s">
        <v>343</v>
      </c>
      <c r="G429" s="248" t="s">
        <v>1518</v>
      </c>
      <c r="H429" s="93" t="s">
        <v>87</v>
      </c>
      <c r="I429" s="74" t="s">
        <v>955</v>
      </c>
      <c r="J429" s="249">
        <v>7.0</v>
      </c>
      <c r="K429" s="74" t="s">
        <v>2402</v>
      </c>
      <c r="L429" s="74">
        <v>688000.0</v>
      </c>
      <c r="M429" s="74" t="s">
        <v>657</v>
      </c>
      <c r="N429" s="74">
        <f t="shared" si="4"/>
        <v>4816000</v>
      </c>
      <c r="O429" s="60">
        <f t="shared" si="2"/>
        <v>45915</v>
      </c>
      <c r="P429" s="65" t="str">
        <f>VLOOKUP(I429,DATABASE!C:Q,11,FALSE)</f>
        <v>Tire</v>
      </c>
      <c r="Q429" s="65" t="str">
        <f>VLOOKUP(I429,DATABASE!C:Q,4,FALSE)</f>
        <v>Dunlop</v>
      </c>
      <c r="R429" s="101"/>
    </row>
    <row r="430" ht="22.5" customHeight="1">
      <c r="A430" s="49"/>
      <c r="C430" s="245">
        <v>45840.0</v>
      </c>
      <c r="D430" s="245">
        <v>45840.0</v>
      </c>
      <c r="E430" s="65" t="s">
        <v>81</v>
      </c>
      <c r="F430" s="247" t="s">
        <v>343</v>
      </c>
      <c r="G430" s="248" t="s">
        <v>1518</v>
      </c>
      <c r="H430" s="93" t="s">
        <v>87</v>
      </c>
      <c r="I430" s="74" t="s">
        <v>282</v>
      </c>
      <c r="J430" s="249">
        <v>12.0</v>
      </c>
      <c r="K430" s="74" t="s">
        <v>2330</v>
      </c>
      <c r="L430" s="74">
        <v>779500.0</v>
      </c>
      <c r="M430" s="74" t="s">
        <v>657</v>
      </c>
      <c r="N430" s="74">
        <f t="shared" si="4"/>
        <v>9354000</v>
      </c>
      <c r="O430" s="60">
        <f t="shared" si="2"/>
        <v>45915</v>
      </c>
      <c r="P430" s="65" t="str">
        <f>VLOOKUP(I430,DATABASE!C:Q,11,FALSE)</f>
        <v>Tire</v>
      </c>
      <c r="Q430" s="65" t="str">
        <f>VLOOKUP(I430,DATABASE!C:Q,4,FALSE)</f>
        <v>Dunlop</v>
      </c>
      <c r="R430" s="101"/>
    </row>
    <row r="431" ht="22.5" customHeight="1">
      <c r="A431" s="49"/>
      <c r="C431" s="245">
        <v>45840.0</v>
      </c>
      <c r="D431" s="245">
        <v>45840.0</v>
      </c>
      <c r="E431" s="65" t="s">
        <v>81</v>
      </c>
      <c r="F431" s="247" t="s">
        <v>343</v>
      </c>
      <c r="G431" s="248" t="s">
        <v>1518</v>
      </c>
      <c r="H431" s="93" t="s">
        <v>87</v>
      </c>
      <c r="I431" s="74" t="s">
        <v>946</v>
      </c>
      <c r="J431" s="249">
        <v>3.0</v>
      </c>
      <c r="K431" s="74" t="s">
        <v>2405</v>
      </c>
      <c r="L431" s="74">
        <v>809000.0</v>
      </c>
      <c r="M431" s="74" t="s">
        <v>657</v>
      </c>
      <c r="N431" s="74">
        <f t="shared" si="4"/>
        <v>2427000</v>
      </c>
      <c r="O431" s="60">
        <f t="shared" si="2"/>
        <v>45915</v>
      </c>
      <c r="P431" s="65" t="str">
        <f>VLOOKUP(I431,DATABASE!C:Q,11,FALSE)</f>
        <v>Tire</v>
      </c>
      <c r="Q431" s="65" t="str">
        <f>VLOOKUP(I431,DATABASE!C:Q,4,FALSE)</f>
        <v>Dunlop</v>
      </c>
      <c r="R431" s="101"/>
    </row>
    <row r="432" ht="22.5" customHeight="1">
      <c r="A432" s="49"/>
      <c r="C432" s="245">
        <v>45840.0</v>
      </c>
      <c r="D432" s="245">
        <v>45840.0</v>
      </c>
      <c r="E432" s="65" t="s">
        <v>81</v>
      </c>
      <c r="F432" s="247" t="s">
        <v>343</v>
      </c>
      <c r="G432" s="248" t="s">
        <v>1518</v>
      </c>
      <c r="H432" s="93" t="s">
        <v>87</v>
      </c>
      <c r="I432" s="74" t="s">
        <v>1565</v>
      </c>
      <c r="J432" s="249">
        <v>1.0</v>
      </c>
      <c r="K432" s="74" t="s">
        <v>2424</v>
      </c>
      <c r="L432" s="74">
        <v>1320000.0</v>
      </c>
      <c r="M432" s="74" t="s">
        <v>657</v>
      </c>
      <c r="N432" s="74">
        <f t="shared" si="4"/>
        <v>1320000</v>
      </c>
      <c r="O432" s="60">
        <f t="shared" si="2"/>
        <v>45915</v>
      </c>
      <c r="P432" s="65" t="str">
        <f>VLOOKUP(I432,DATABASE!C:Q,11,FALSE)</f>
        <v>Tire</v>
      </c>
      <c r="Q432" s="65" t="str">
        <f>VLOOKUP(I432,DATABASE!C:Q,4,FALSE)</f>
        <v>Dunlop</v>
      </c>
      <c r="R432" s="101"/>
    </row>
    <row r="433" ht="22.5" customHeight="1">
      <c r="A433" s="49"/>
      <c r="C433" s="245">
        <v>45840.0</v>
      </c>
      <c r="D433" s="245">
        <v>45840.0</v>
      </c>
      <c r="E433" s="65" t="s">
        <v>81</v>
      </c>
      <c r="F433" s="247" t="s">
        <v>343</v>
      </c>
      <c r="G433" s="248" t="s">
        <v>1518</v>
      </c>
      <c r="H433" s="93" t="s">
        <v>87</v>
      </c>
      <c r="I433" s="74" t="s">
        <v>695</v>
      </c>
      <c r="J433" s="249">
        <v>5.0</v>
      </c>
      <c r="K433" s="74" t="s">
        <v>2411</v>
      </c>
      <c r="L433" s="74">
        <v>582000.0</v>
      </c>
      <c r="M433" s="74" t="s">
        <v>657</v>
      </c>
      <c r="N433" s="74">
        <f t="shared" si="4"/>
        <v>2910000</v>
      </c>
      <c r="O433" s="60">
        <f t="shared" si="2"/>
        <v>45915</v>
      </c>
      <c r="P433" s="65" t="str">
        <f>VLOOKUP(I433,DATABASE!C:Q,11,FALSE)</f>
        <v>Tire</v>
      </c>
      <c r="Q433" s="65" t="str">
        <f>VLOOKUP(I433,DATABASE!C:Q,4,FALSE)</f>
        <v>Dunlop</v>
      </c>
      <c r="R433" s="101"/>
    </row>
    <row r="434" ht="22.5" customHeight="1">
      <c r="A434" s="49"/>
      <c r="C434" s="245">
        <v>45840.0</v>
      </c>
      <c r="D434" s="245">
        <v>45840.0</v>
      </c>
      <c r="E434" s="65" t="s">
        <v>81</v>
      </c>
      <c r="F434" s="247" t="s">
        <v>343</v>
      </c>
      <c r="G434" s="248" t="s">
        <v>1518</v>
      </c>
      <c r="H434" s="93" t="s">
        <v>87</v>
      </c>
      <c r="I434" s="74" t="s">
        <v>968</v>
      </c>
      <c r="J434" s="249">
        <v>5.0</v>
      </c>
      <c r="K434" s="74" t="s">
        <v>2331</v>
      </c>
      <c r="L434" s="74">
        <v>582500.0</v>
      </c>
      <c r="M434" s="74" t="s">
        <v>657</v>
      </c>
      <c r="N434" s="74">
        <f t="shared" si="4"/>
        <v>2912500</v>
      </c>
      <c r="O434" s="60">
        <f t="shared" si="2"/>
        <v>45915</v>
      </c>
      <c r="P434" s="65" t="str">
        <f>VLOOKUP(I434,DATABASE!C:Q,11,FALSE)</f>
        <v>Tire</v>
      </c>
      <c r="Q434" s="65" t="str">
        <f>VLOOKUP(I434,DATABASE!C:Q,4,FALSE)</f>
        <v>Dunlop</v>
      </c>
      <c r="R434" s="101"/>
    </row>
    <row r="435" ht="22.5" customHeight="1">
      <c r="A435" s="49"/>
      <c r="C435" s="245">
        <v>45840.0</v>
      </c>
      <c r="D435" s="245">
        <v>45840.0</v>
      </c>
      <c r="E435" s="246" t="s">
        <v>97</v>
      </c>
      <c r="F435" s="247" t="s">
        <v>343</v>
      </c>
      <c r="G435" s="248" t="s">
        <v>2423</v>
      </c>
      <c r="H435" s="93" t="s">
        <v>87</v>
      </c>
      <c r="I435" s="74" t="s">
        <v>937</v>
      </c>
      <c r="J435" s="249">
        <v>3.0</v>
      </c>
      <c r="K435" s="74" t="s">
        <v>1111</v>
      </c>
      <c r="L435" s="74">
        <v>810000.0</v>
      </c>
      <c r="M435" s="74" t="s">
        <v>521</v>
      </c>
      <c r="N435" s="74">
        <f t="shared" si="4"/>
        <v>2430000</v>
      </c>
      <c r="O435" s="60">
        <f t="shared" si="2"/>
        <v>45900</v>
      </c>
      <c r="P435" s="65" t="str">
        <f>VLOOKUP(I435,DATABASE!C:Q,11,FALSE)</f>
        <v>Tire</v>
      </c>
      <c r="Q435" s="65" t="str">
        <f>VLOOKUP(I435,DATABASE!C:Q,4,FALSE)</f>
        <v>Bridgestone</v>
      </c>
      <c r="R435" s="101"/>
    </row>
    <row r="436" ht="22.5" customHeight="1">
      <c r="A436" s="49"/>
      <c r="C436" s="245">
        <v>45840.0</v>
      </c>
      <c r="D436" s="245">
        <v>45840.0</v>
      </c>
      <c r="E436" s="246" t="s">
        <v>97</v>
      </c>
      <c r="F436" s="247" t="s">
        <v>343</v>
      </c>
      <c r="G436" s="248" t="s">
        <v>2423</v>
      </c>
      <c r="H436" s="93" t="s">
        <v>87</v>
      </c>
      <c r="I436" s="74" t="s">
        <v>572</v>
      </c>
      <c r="J436" s="249">
        <v>2.0</v>
      </c>
      <c r="K436" s="74" t="s">
        <v>2425</v>
      </c>
      <c r="L436" s="74">
        <v>1245000.0</v>
      </c>
      <c r="M436" s="74" t="s">
        <v>521</v>
      </c>
      <c r="N436" s="74">
        <f t="shared" si="4"/>
        <v>2490000</v>
      </c>
      <c r="O436" s="60">
        <f t="shared" si="2"/>
        <v>45900</v>
      </c>
      <c r="P436" s="65" t="str">
        <f>VLOOKUP(I436,DATABASE!C:Q,11,FALSE)</f>
        <v>Tire</v>
      </c>
      <c r="Q436" s="65" t="str">
        <f>VLOOKUP(I436,DATABASE!C:Q,4,FALSE)</f>
        <v>Bridgestone</v>
      </c>
      <c r="R436" s="101"/>
    </row>
    <row r="437" ht="22.5" customHeight="1">
      <c r="A437" s="49"/>
      <c r="C437" s="245">
        <v>45841.0</v>
      </c>
      <c r="D437" s="245">
        <v>45841.0</v>
      </c>
      <c r="E437" s="65" t="s">
        <v>123</v>
      </c>
      <c r="F437" s="247" t="s">
        <v>343</v>
      </c>
      <c r="G437" s="248" t="s">
        <v>2384</v>
      </c>
      <c r="H437" s="93" t="s">
        <v>7</v>
      </c>
      <c r="I437" s="74" t="s">
        <v>777</v>
      </c>
      <c r="J437" s="249">
        <v>10.0</v>
      </c>
      <c r="K437" s="74" t="s">
        <v>1136</v>
      </c>
      <c r="L437" s="74">
        <v>505000.0</v>
      </c>
      <c r="M437" s="74" t="s">
        <v>755</v>
      </c>
      <c r="N437" s="74">
        <f t="shared" si="4"/>
        <v>5050000</v>
      </c>
      <c r="O437" s="60">
        <f t="shared" si="2"/>
        <v>45871</v>
      </c>
      <c r="P437" s="65" t="str">
        <f>VLOOKUP(I437,DATABASE!C:Q,11,FALSE)</f>
        <v>Tire</v>
      </c>
      <c r="Q437" s="65" t="str">
        <f>VLOOKUP(I437,DATABASE!C:Q,4,FALSE)</f>
        <v>GT</v>
      </c>
      <c r="R437" s="101"/>
    </row>
    <row r="438" ht="22.5" customHeight="1">
      <c r="A438" s="49"/>
      <c r="C438" s="245">
        <v>45841.0</v>
      </c>
      <c r="D438" s="245">
        <v>45841.0</v>
      </c>
      <c r="E438" s="65" t="s">
        <v>123</v>
      </c>
      <c r="F438" s="247" t="s">
        <v>343</v>
      </c>
      <c r="G438" s="248" t="s">
        <v>2384</v>
      </c>
      <c r="H438" s="93" t="s">
        <v>7</v>
      </c>
      <c r="I438" s="74" t="s">
        <v>294</v>
      </c>
      <c r="J438" s="249">
        <v>10.0</v>
      </c>
      <c r="K438" s="74" t="s">
        <v>1143</v>
      </c>
      <c r="L438" s="74">
        <v>490000.0</v>
      </c>
      <c r="M438" s="74" t="s">
        <v>755</v>
      </c>
      <c r="N438" s="74">
        <f t="shared" si="4"/>
        <v>4900000</v>
      </c>
      <c r="O438" s="60">
        <f t="shared" si="2"/>
        <v>45871</v>
      </c>
      <c r="P438" s="65" t="str">
        <f>VLOOKUP(I438,DATABASE!C:Q,11,FALSE)</f>
        <v>Tire</v>
      </c>
      <c r="Q438" s="65" t="str">
        <f>VLOOKUP(I438,DATABASE!C:Q,4,FALSE)</f>
        <v>GT</v>
      </c>
      <c r="R438" s="101"/>
    </row>
    <row r="439" ht="22.5" customHeight="1">
      <c r="A439" s="49"/>
      <c r="C439" s="245">
        <v>45841.0</v>
      </c>
      <c r="D439" s="245">
        <v>45841.0</v>
      </c>
      <c r="E439" s="65" t="s">
        <v>123</v>
      </c>
      <c r="F439" s="247" t="s">
        <v>343</v>
      </c>
      <c r="G439" s="248" t="s">
        <v>2384</v>
      </c>
      <c r="H439" s="93" t="s">
        <v>7</v>
      </c>
      <c r="I439" s="74" t="s">
        <v>1862</v>
      </c>
      <c r="J439" s="249">
        <v>9.0</v>
      </c>
      <c r="K439" s="74" t="s">
        <v>1959</v>
      </c>
      <c r="L439" s="74">
        <v>2025000.0</v>
      </c>
      <c r="M439" s="74" t="s">
        <v>755</v>
      </c>
      <c r="N439" s="74">
        <f t="shared" si="4"/>
        <v>18225000</v>
      </c>
      <c r="O439" s="60">
        <f t="shared" si="2"/>
        <v>45871</v>
      </c>
      <c r="P439" s="65" t="str">
        <f>VLOOKUP(I439,DATABASE!C:Q,11,FALSE)</f>
        <v>Tire</v>
      </c>
      <c r="Q439" s="65" t="str">
        <f>VLOOKUP(I439,DATABASE!C:Q,4,FALSE)</f>
        <v>GiTi</v>
      </c>
      <c r="R439" s="101"/>
    </row>
    <row r="440" ht="22.5" customHeight="1">
      <c r="A440" s="49"/>
      <c r="C440" s="245">
        <v>45841.0</v>
      </c>
      <c r="D440" s="245">
        <v>45841.0</v>
      </c>
      <c r="E440" s="65" t="s">
        <v>123</v>
      </c>
      <c r="F440" s="247" t="s">
        <v>343</v>
      </c>
      <c r="G440" s="248" t="s">
        <v>2382</v>
      </c>
      <c r="H440" s="93" t="s">
        <v>7</v>
      </c>
      <c r="I440" s="74" t="s">
        <v>288</v>
      </c>
      <c r="J440" s="249">
        <v>10.0</v>
      </c>
      <c r="K440" s="74" t="s">
        <v>831</v>
      </c>
      <c r="L440" s="74">
        <v>524800.0</v>
      </c>
      <c r="M440" s="74" t="s">
        <v>755</v>
      </c>
      <c r="N440" s="74">
        <f t="shared" si="4"/>
        <v>5248000</v>
      </c>
      <c r="O440" s="60">
        <f t="shared" si="2"/>
        <v>45871</v>
      </c>
      <c r="P440" s="65" t="str">
        <f>VLOOKUP(I440,DATABASE!C:Q,11,FALSE)</f>
        <v>Tire</v>
      </c>
      <c r="Q440" s="65" t="str">
        <f>VLOOKUP(I440,DATABASE!C:Q,4,FALSE)</f>
        <v>GT</v>
      </c>
      <c r="R440" s="101"/>
    </row>
    <row r="441" ht="22.5" customHeight="1">
      <c r="A441" s="49"/>
      <c r="C441" s="245">
        <v>45841.0</v>
      </c>
      <c r="D441" s="245">
        <v>45841.0</v>
      </c>
      <c r="E441" s="65" t="s">
        <v>123</v>
      </c>
      <c r="F441" s="247" t="s">
        <v>343</v>
      </c>
      <c r="G441" s="248" t="s">
        <v>2382</v>
      </c>
      <c r="H441" s="93" t="s">
        <v>7</v>
      </c>
      <c r="I441" s="74" t="s">
        <v>839</v>
      </c>
      <c r="J441" s="249">
        <v>10.0</v>
      </c>
      <c r="K441" s="74" t="s">
        <v>840</v>
      </c>
      <c r="L441" s="74">
        <v>475700.0</v>
      </c>
      <c r="M441" s="74" t="s">
        <v>755</v>
      </c>
      <c r="N441" s="74">
        <f t="shared" si="4"/>
        <v>4757000</v>
      </c>
      <c r="O441" s="60">
        <f t="shared" si="2"/>
        <v>45871</v>
      </c>
      <c r="P441" s="65" t="str">
        <f>VLOOKUP(I441,DATABASE!C:Q,11,FALSE)</f>
        <v>Tire</v>
      </c>
      <c r="Q441" s="65" t="str">
        <f>VLOOKUP(I441,DATABASE!C:Q,4,FALSE)</f>
        <v>GT</v>
      </c>
      <c r="R441" s="101"/>
    </row>
    <row r="442" ht="22.5" customHeight="1">
      <c r="A442" s="49"/>
      <c r="C442" s="245">
        <v>45841.0</v>
      </c>
      <c r="D442" s="245">
        <v>45841.0</v>
      </c>
      <c r="E442" s="65" t="s">
        <v>123</v>
      </c>
      <c r="F442" s="247" t="s">
        <v>343</v>
      </c>
      <c r="G442" s="248" t="s">
        <v>2382</v>
      </c>
      <c r="H442" s="93" t="s">
        <v>7</v>
      </c>
      <c r="I442" s="74" t="s">
        <v>1009</v>
      </c>
      <c r="J442" s="249">
        <v>10.0</v>
      </c>
      <c r="K442" s="74" t="s">
        <v>1414</v>
      </c>
      <c r="L442" s="74">
        <v>592200.0</v>
      </c>
      <c r="M442" s="74" t="s">
        <v>755</v>
      </c>
      <c r="N442" s="74">
        <f t="shared" si="4"/>
        <v>5922000</v>
      </c>
      <c r="O442" s="60">
        <f t="shared" si="2"/>
        <v>45871</v>
      </c>
      <c r="P442" s="65" t="str">
        <f>VLOOKUP(I442,DATABASE!C:Q,11,FALSE)</f>
        <v>Tire</v>
      </c>
      <c r="Q442" s="65" t="str">
        <f>VLOOKUP(I442,DATABASE!C:Q,4,FALSE)</f>
        <v>GT</v>
      </c>
      <c r="R442" s="101"/>
    </row>
    <row r="443" ht="22.5" customHeight="1">
      <c r="A443" s="49"/>
      <c r="C443" s="245">
        <v>45841.0</v>
      </c>
      <c r="D443" s="245">
        <v>45841.0</v>
      </c>
      <c r="E443" s="65" t="s">
        <v>123</v>
      </c>
      <c r="F443" s="247" t="s">
        <v>343</v>
      </c>
      <c r="G443" s="248" t="s">
        <v>2382</v>
      </c>
      <c r="H443" s="93" t="s">
        <v>7</v>
      </c>
      <c r="I443" s="74" t="s">
        <v>1076</v>
      </c>
      <c r="J443" s="249">
        <v>10.0</v>
      </c>
      <c r="K443" s="74" t="s">
        <v>2113</v>
      </c>
      <c r="L443" s="74">
        <v>666540.0</v>
      </c>
      <c r="M443" s="74" t="s">
        <v>755</v>
      </c>
      <c r="N443" s="74">
        <f t="shared" si="4"/>
        <v>6665400</v>
      </c>
      <c r="O443" s="60">
        <f t="shared" si="2"/>
        <v>45871</v>
      </c>
      <c r="P443" s="65" t="str">
        <f>VLOOKUP(I443,DATABASE!C:Q,11,FALSE)</f>
        <v>Tire</v>
      </c>
      <c r="Q443" s="65" t="str">
        <f>VLOOKUP(I443,DATABASE!C:Q,4,FALSE)</f>
        <v>GT</v>
      </c>
      <c r="R443" s="101"/>
    </row>
    <row r="444" ht="22.5" customHeight="1">
      <c r="A444" s="49"/>
      <c r="C444" s="245">
        <v>45841.0</v>
      </c>
      <c r="D444" s="245">
        <v>45841.0</v>
      </c>
      <c r="E444" s="65" t="s">
        <v>123</v>
      </c>
      <c r="F444" s="247" t="s">
        <v>343</v>
      </c>
      <c r="G444" s="248" t="s">
        <v>2382</v>
      </c>
      <c r="H444" s="93" t="s">
        <v>7</v>
      </c>
      <c r="I444" s="74" t="s">
        <v>286</v>
      </c>
      <c r="J444" s="249">
        <v>10.0</v>
      </c>
      <c r="K444" s="74" t="s">
        <v>2427</v>
      </c>
      <c r="L444" s="74">
        <v>452970.0</v>
      </c>
      <c r="M444" s="74" t="s">
        <v>755</v>
      </c>
      <c r="N444" s="74">
        <f t="shared" si="4"/>
        <v>4529700</v>
      </c>
      <c r="O444" s="60">
        <f t="shared" si="2"/>
        <v>45871</v>
      </c>
      <c r="P444" s="65" t="str">
        <f>VLOOKUP(I444,DATABASE!C:Q,11,FALSE)</f>
        <v>Tire</v>
      </c>
      <c r="Q444" s="65" t="str">
        <f>VLOOKUP(I444,DATABASE!C:Q,4,FALSE)</f>
        <v>GT</v>
      </c>
      <c r="R444" s="101"/>
    </row>
    <row r="445" ht="22.5" customHeight="1">
      <c r="A445" s="49"/>
      <c r="C445" s="245">
        <v>45841.0</v>
      </c>
      <c r="D445" s="245">
        <v>45841.0</v>
      </c>
      <c r="E445" s="65" t="s">
        <v>123</v>
      </c>
      <c r="F445" s="247" t="s">
        <v>343</v>
      </c>
      <c r="G445" s="248" t="s">
        <v>2382</v>
      </c>
      <c r="H445" s="93" t="s">
        <v>7</v>
      </c>
      <c r="I445" s="74" t="s">
        <v>1439</v>
      </c>
      <c r="J445" s="249">
        <v>10.0</v>
      </c>
      <c r="K445" s="74" t="s">
        <v>1441</v>
      </c>
      <c r="L445" s="74">
        <v>540800.0</v>
      </c>
      <c r="M445" s="74" t="s">
        <v>755</v>
      </c>
      <c r="N445" s="74">
        <f t="shared" si="4"/>
        <v>5408000</v>
      </c>
      <c r="O445" s="60">
        <f t="shared" si="2"/>
        <v>45871</v>
      </c>
      <c r="P445" s="65" t="str">
        <f>VLOOKUP(I445,DATABASE!C:Q,11,FALSE)</f>
        <v>Tire</v>
      </c>
      <c r="Q445" s="65" t="str">
        <f>VLOOKUP(I445,DATABASE!C:Q,4,FALSE)</f>
        <v>GT</v>
      </c>
      <c r="R445" s="101"/>
    </row>
    <row r="446" ht="22.5" customHeight="1">
      <c r="A446" s="49"/>
      <c r="C446" s="245">
        <v>45841.0</v>
      </c>
      <c r="D446" s="245">
        <v>45841.0</v>
      </c>
      <c r="E446" s="65" t="s">
        <v>123</v>
      </c>
      <c r="F446" s="247" t="s">
        <v>343</v>
      </c>
      <c r="G446" s="248" t="s">
        <v>2382</v>
      </c>
      <c r="H446" s="93" t="s">
        <v>7</v>
      </c>
      <c r="I446" s="74" t="s">
        <v>856</v>
      </c>
      <c r="J446" s="249">
        <v>10.0</v>
      </c>
      <c r="K446" s="74" t="s">
        <v>2357</v>
      </c>
      <c r="L446" s="74">
        <v>581120.0</v>
      </c>
      <c r="M446" s="74" t="s">
        <v>755</v>
      </c>
      <c r="N446" s="74">
        <f t="shared" si="4"/>
        <v>5811200</v>
      </c>
      <c r="O446" s="60">
        <f t="shared" si="2"/>
        <v>45871</v>
      </c>
      <c r="P446" s="65" t="str">
        <f>VLOOKUP(I446,DATABASE!C:Q,11,FALSE)</f>
        <v>Tire</v>
      </c>
      <c r="Q446" s="65" t="str">
        <f>VLOOKUP(I446,DATABASE!C:Q,4,FALSE)</f>
        <v>GT</v>
      </c>
      <c r="R446" s="101"/>
    </row>
    <row r="447" ht="22.5" customHeight="1">
      <c r="A447" s="49"/>
      <c r="C447" s="245">
        <v>45841.0</v>
      </c>
      <c r="D447" s="245">
        <v>45841.0</v>
      </c>
      <c r="E447" s="65" t="s">
        <v>123</v>
      </c>
      <c r="F447" s="247" t="s">
        <v>343</v>
      </c>
      <c r="G447" s="248" t="s">
        <v>2382</v>
      </c>
      <c r="H447" s="93" t="s">
        <v>7</v>
      </c>
      <c r="I447" s="74" t="s">
        <v>1960</v>
      </c>
      <c r="J447" s="249">
        <v>2.0</v>
      </c>
      <c r="K447" s="74" t="s">
        <v>2429</v>
      </c>
      <c r="L447" s="74">
        <v>788000.0</v>
      </c>
      <c r="M447" s="74" t="s">
        <v>755</v>
      </c>
      <c r="N447" s="74">
        <f t="shared" si="4"/>
        <v>1576000</v>
      </c>
      <c r="O447" s="60">
        <f t="shared" si="2"/>
        <v>45871</v>
      </c>
      <c r="P447" s="65" t="str">
        <f>VLOOKUP(I447,DATABASE!C:Q,11,FALSE)</f>
        <v>Tire</v>
      </c>
      <c r="Q447" s="65" t="str">
        <f>VLOOKUP(I447,DATABASE!C:Q,4,FALSE)</f>
        <v>GT</v>
      </c>
      <c r="R447" s="101"/>
    </row>
    <row r="448" ht="22.5" customHeight="1">
      <c r="A448" s="49"/>
      <c r="C448" s="245">
        <v>45841.0</v>
      </c>
      <c r="D448" s="245">
        <v>45841.0</v>
      </c>
      <c r="E448" s="65" t="s">
        <v>123</v>
      </c>
      <c r="F448" s="247" t="s">
        <v>343</v>
      </c>
      <c r="G448" s="248" t="s">
        <v>2382</v>
      </c>
      <c r="H448" s="93" t="s">
        <v>7</v>
      </c>
      <c r="I448" s="74" t="s">
        <v>1617</v>
      </c>
      <c r="J448" s="249">
        <v>4.0</v>
      </c>
      <c r="K448" s="74" t="s">
        <v>2120</v>
      </c>
      <c r="L448" s="74">
        <v>739000.0</v>
      </c>
      <c r="M448" s="74" t="s">
        <v>755</v>
      </c>
      <c r="N448" s="74">
        <f t="shared" si="4"/>
        <v>2956000</v>
      </c>
      <c r="O448" s="60">
        <f t="shared" si="2"/>
        <v>45871</v>
      </c>
      <c r="P448" s="65" t="str">
        <f>VLOOKUP(I448,DATABASE!C:Q,11,FALSE)</f>
        <v>Tire</v>
      </c>
      <c r="Q448" s="65" t="str">
        <f>VLOOKUP(I448,DATABASE!C:Q,4,FALSE)</f>
        <v>GT</v>
      </c>
      <c r="R448" s="101"/>
    </row>
    <row r="449" ht="22.5" customHeight="1">
      <c r="A449" s="49"/>
      <c r="C449" s="245">
        <v>45841.0</v>
      </c>
      <c r="D449" s="245">
        <v>45841.0</v>
      </c>
      <c r="E449" s="246" t="s">
        <v>97</v>
      </c>
      <c r="F449" s="247" t="s">
        <v>343</v>
      </c>
      <c r="G449" s="248" t="s">
        <v>2431</v>
      </c>
      <c r="H449" s="93" t="s">
        <v>87</v>
      </c>
      <c r="I449" s="74" t="s">
        <v>1237</v>
      </c>
      <c r="J449" s="249">
        <v>7.0</v>
      </c>
      <c r="K449" s="74" t="s">
        <v>1992</v>
      </c>
      <c r="L449" s="74">
        <v>1113907.2</v>
      </c>
      <c r="M449" s="74" t="s">
        <v>521</v>
      </c>
      <c r="N449" s="74">
        <f t="shared" si="4"/>
        <v>7797350.4</v>
      </c>
      <c r="O449" s="60">
        <f t="shared" si="2"/>
        <v>45901</v>
      </c>
      <c r="P449" s="65" t="str">
        <f>VLOOKUP(I449,DATABASE!C:Q,11,FALSE)</f>
        <v>Tire</v>
      </c>
      <c r="Q449" s="65" t="str">
        <f>VLOOKUP(I449,DATABASE!C:Q,4,FALSE)</f>
        <v>Bridgestone</v>
      </c>
      <c r="R449" s="101"/>
    </row>
    <row r="450" ht="22.5" customHeight="1">
      <c r="A450" s="49"/>
      <c r="C450" s="245">
        <v>45841.0</v>
      </c>
      <c r="D450" s="245">
        <v>45841.0</v>
      </c>
      <c r="E450" s="246" t="s">
        <v>97</v>
      </c>
      <c r="F450" s="247" t="s">
        <v>343</v>
      </c>
      <c r="G450" s="248" t="s">
        <v>2431</v>
      </c>
      <c r="H450" s="93" t="s">
        <v>87</v>
      </c>
      <c r="I450" s="74" t="s">
        <v>591</v>
      </c>
      <c r="J450" s="249">
        <v>10.0</v>
      </c>
      <c r="K450" s="74" t="s">
        <v>2432</v>
      </c>
      <c r="L450" s="74">
        <v>593438.4</v>
      </c>
      <c r="M450" s="74" t="s">
        <v>521</v>
      </c>
      <c r="N450" s="74">
        <f t="shared" si="4"/>
        <v>5934384</v>
      </c>
      <c r="O450" s="60">
        <f t="shared" si="2"/>
        <v>45901</v>
      </c>
      <c r="P450" s="65" t="str">
        <f>VLOOKUP(I450,DATABASE!C:Q,11,FALSE)</f>
        <v>Tire</v>
      </c>
      <c r="Q450" s="65" t="str">
        <f>VLOOKUP(I450,DATABASE!C:Q,4,FALSE)</f>
        <v>Bridgestone</v>
      </c>
      <c r="R450" s="101"/>
    </row>
    <row r="451" ht="22.5" customHeight="1">
      <c r="A451" s="49"/>
      <c r="C451" s="245">
        <v>45841.0</v>
      </c>
      <c r="D451" s="245">
        <v>45841.0</v>
      </c>
      <c r="E451" s="246" t="s">
        <v>97</v>
      </c>
      <c r="F451" s="247" t="s">
        <v>343</v>
      </c>
      <c r="G451" s="248" t="s">
        <v>2431</v>
      </c>
      <c r="H451" s="93" t="s">
        <v>87</v>
      </c>
      <c r="I451" s="74" t="s">
        <v>600</v>
      </c>
      <c r="J451" s="249">
        <v>10.0</v>
      </c>
      <c r="K451" s="74" t="s">
        <v>1812</v>
      </c>
      <c r="L451" s="74">
        <v>572762.4</v>
      </c>
      <c r="M451" s="74" t="s">
        <v>521</v>
      </c>
      <c r="N451" s="74">
        <f t="shared" si="4"/>
        <v>5727624</v>
      </c>
      <c r="O451" s="60">
        <f t="shared" si="2"/>
        <v>45901</v>
      </c>
      <c r="P451" s="65" t="str">
        <f>VLOOKUP(I451,DATABASE!C:Q,11,FALSE)</f>
        <v>Tire</v>
      </c>
      <c r="Q451" s="65" t="str">
        <f>VLOOKUP(I451,DATABASE!C:Q,4,FALSE)</f>
        <v>Bridgestone</v>
      </c>
      <c r="R451" s="101"/>
    </row>
    <row r="452" ht="22.5" customHeight="1">
      <c r="A452" s="49"/>
      <c r="C452" s="245">
        <v>45841.0</v>
      </c>
      <c r="D452" s="245">
        <v>45841.0</v>
      </c>
      <c r="E452" s="246" t="s">
        <v>97</v>
      </c>
      <c r="F452" s="247" t="s">
        <v>343</v>
      </c>
      <c r="G452" s="248" t="s">
        <v>2431</v>
      </c>
      <c r="H452" s="93" t="s">
        <v>87</v>
      </c>
      <c r="I452" s="74" t="s">
        <v>605</v>
      </c>
      <c r="J452" s="249">
        <v>10.0</v>
      </c>
      <c r="K452" s="74" t="s">
        <v>606</v>
      </c>
      <c r="L452" s="74">
        <v>670000.0</v>
      </c>
      <c r="M452" s="74" t="s">
        <v>521</v>
      </c>
      <c r="N452" s="74">
        <f t="shared" si="4"/>
        <v>6700000</v>
      </c>
      <c r="O452" s="60">
        <f t="shared" si="2"/>
        <v>45901</v>
      </c>
      <c r="P452" s="65" t="str">
        <f>VLOOKUP(I452,DATABASE!C:Q,11,FALSE)</f>
        <v>Tire</v>
      </c>
      <c r="Q452" s="65" t="str">
        <f>VLOOKUP(I452,DATABASE!C:Q,4,FALSE)</f>
        <v>Bridgestone</v>
      </c>
      <c r="R452" s="101"/>
    </row>
    <row r="453" ht="22.5" customHeight="1">
      <c r="A453" s="49"/>
      <c r="C453" s="245">
        <v>45841.0</v>
      </c>
      <c r="D453" s="245">
        <v>45841.0</v>
      </c>
      <c r="E453" s="246" t="s">
        <v>97</v>
      </c>
      <c r="F453" s="247" t="s">
        <v>343</v>
      </c>
      <c r="G453" s="248" t="s">
        <v>2431</v>
      </c>
      <c r="H453" s="93" t="s">
        <v>87</v>
      </c>
      <c r="I453" s="74" t="s">
        <v>554</v>
      </c>
      <c r="J453" s="249">
        <v>10.0</v>
      </c>
      <c r="K453" s="74" t="s">
        <v>556</v>
      </c>
      <c r="L453" s="74">
        <v>700000.0</v>
      </c>
      <c r="M453" s="74" t="s">
        <v>521</v>
      </c>
      <c r="N453" s="74">
        <f t="shared" si="4"/>
        <v>7000000</v>
      </c>
      <c r="O453" s="60">
        <f t="shared" si="2"/>
        <v>45901</v>
      </c>
      <c r="P453" s="65" t="str">
        <f>VLOOKUP(I453,DATABASE!C:Q,11,FALSE)</f>
        <v>Tire</v>
      </c>
      <c r="Q453" s="65" t="str">
        <f>VLOOKUP(I453,DATABASE!C:Q,4,FALSE)</f>
        <v>Bridgestone</v>
      </c>
      <c r="R453" s="101"/>
    </row>
    <row r="454" ht="22.5" customHeight="1">
      <c r="A454" s="49"/>
      <c r="C454" s="245">
        <v>45841.0</v>
      </c>
      <c r="D454" s="245">
        <v>45841.0</v>
      </c>
      <c r="E454" s="246" t="s">
        <v>97</v>
      </c>
      <c r="F454" s="247" t="s">
        <v>343</v>
      </c>
      <c r="G454" s="248" t="s">
        <v>2431</v>
      </c>
      <c r="H454" s="93" t="s">
        <v>87</v>
      </c>
      <c r="I454" s="74" t="s">
        <v>937</v>
      </c>
      <c r="J454" s="249">
        <v>10.0</v>
      </c>
      <c r="K454" s="74" t="s">
        <v>1111</v>
      </c>
      <c r="L454" s="74">
        <v>810000.0</v>
      </c>
      <c r="M454" s="74" t="s">
        <v>521</v>
      </c>
      <c r="N454" s="74">
        <f t="shared" si="4"/>
        <v>8100000</v>
      </c>
      <c r="O454" s="60">
        <f t="shared" si="2"/>
        <v>45901</v>
      </c>
      <c r="P454" s="65" t="str">
        <f>VLOOKUP(I454,DATABASE!C:Q,11,FALSE)</f>
        <v>Tire</v>
      </c>
      <c r="Q454" s="65" t="str">
        <f>VLOOKUP(I454,DATABASE!C:Q,4,FALSE)</f>
        <v>Bridgestone</v>
      </c>
      <c r="R454" s="101"/>
    </row>
    <row r="455" ht="22.5" customHeight="1">
      <c r="A455" s="49"/>
      <c r="C455" s="245">
        <v>45841.0</v>
      </c>
      <c r="D455" s="245">
        <v>45841.0</v>
      </c>
      <c r="E455" s="246" t="s">
        <v>97</v>
      </c>
      <c r="F455" s="247" t="s">
        <v>343</v>
      </c>
      <c r="G455" s="248" t="s">
        <v>2431</v>
      </c>
      <c r="H455" s="93" t="s">
        <v>87</v>
      </c>
      <c r="I455" s="74" t="s">
        <v>614</v>
      </c>
      <c r="J455" s="249">
        <v>10.0</v>
      </c>
      <c r="K455" s="74" t="s">
        <v>1903</v>
      </c>
      <c r="L455" s="74">
        <v>766438.4</v>
      </c>
      <c r="M455" s="74" t="s">
        <v>521</v>
      </c>
      <c r="N455" s="74">
        <f t="shared" si="4"/>
        <v>7664384</v>
      </c>
      <c r="O455" s="60">
        <f t="shared" si="2"/>
        <v>45901</v>
      </c>
      <c r="P455" s="65" t="str">
        <f>VLOOKUP(I455,DATABASE!C:Q,11,FALSE)</f>
        <v>Tire</v>
      </c>
      <c r="Q455" s="65" t="str">
        <f>VLOOKUP(I455,DATABASE!C:Q,4,FALSE)</f>
        <v>Bridgestone</v>
      </c>
      <c r="R455" s="101"/>
    </row>
    <row r="456" ht="22.5" customHeight="1">
      <c r="A456" s="49"/>
      <c r="C456" s="245">
        <v>45841.0</v>
      </c>
      <c r="D456" s="245">
        <v>45841.0</v>
      </c>
      <c r="E456" s="246" t="s">
        <v>97</v>
      </c>
      <c r="F456" s="247" t="s">
        <v>343</v>
      </c>
      <c r="G456" s="248" t="s">
        <v>2433</v>
      </c>
      <c r="H456" s="93" t="s">
        <v>87</v>
      </c>
      <c r="I456" s="74" t="s">
        <v>566</v>
      </c>
      <c r="J456" s="249">
        <v>15.0</v>
      </c>
      <c r="K456" s="74" t="s">
        <v>2419</v>
      </c>
      <c r="L456" s="74">
        <v>1545000.0</v>
      </c>
      <c r="M456" s="74" t="s">
        <v>521</v>
      </c>
      <c r="N456" s="74">
        <f t="shared" si="4"/>
        <v>23175000</v>
      </c>
      <c r="O456" s="60">
        <f t="shared" si="2"/>
        <v>45901</v>
      </c>
      <c r="P456" s="65" t="str">
        <f>VLOOKUP(I456,DATABASE!C:Q,11,FALSE)</f>
        <v>Tire</v>
      </c>
      <c r="Q456" s="65" t="str">
        <f>VLOOKUP(I456,DATABASE!C:Q,4,FALSE)</f>
        <v>Bridgestone</v>
      </c>
      <c r="R456" s="101"/>
    </row>
    <row r="457" ht="22.5" customHeight="1">
      <c r="A457" s="49"/>
      <c r="C457" s="245">
        <v>45841.0</v>
      </c>
      <c r="D457" s="245">
        <v>45841.0</v>
      </c>
      <c r="E457" s="246" t="s">
        <v>97</v>
      </c>
      <c r="F457" s="247" t="s">
        <v>343</v>
      </c>
      <c r="G457" s="248" t="s">
        <v>2433</v>
      </c>
      <c r="H457" s="93" t="s">
        <v>87</v>
      </c>
      <c r="I457" s="74" t="s">
        <v>572</v>
      </c>
      <c r="J457" s="249">
        <v>15.0</v>
      </c>
      <c r="K457" s="74" t="s">
        <v>2425</v>
      </c>
      <c r="L457" s="74">
        <v>1245000.0</v>
      </c>
      <c r="M457" s="74" t="s">
        <v>521</v>
      </c>
      <c r="N457" s="74">
        <f t="shared" si="4"/>
        <v>18675000</v>
      </c>
      <c r="O457" s="60">
        <f t="shared" si="2"/>
        <v>45901</v>
      </c>
      <c r="P457" s="65" t="str">
        <f>VLOOKUP(I457,DATABASE!C:Q,11,FALSE)</f>
        <v>Tire</v>
      </c>
      <c r="Q457" s="65" t="str">
        <f>VLOOKUP(I457,DATABASE!C:Q,4,FALSE)</f>
        <v>Bridgestone</v>
      </c>
      <c r="R457" s="101"/>
    </row>
    <row r="458" ht="22.5" customHeight="1">
      <c r="A458" s="49"/>
      <c r="C458" s="245">
        <v>45842.0</v>
      </c>
      <c r="D458" s="245">
        <v>45842.0</v>
      </c>
      <c r="E458" s="65" t="s">
        <v>335</v>
      </c>
      <c r="F458" s="247" t="s">
        <v>343</v>
      </c>
      <c r="G458" s="248" t="s">
        <v>2241</v>
      </c>
      <c r="H458" s="93" t="s">
        <v>7</v>
      </c>
      <c r="I458" s="74" t="s">
        <v>764</v>
      </c>
      <c r="J458" s="249">
        <v>30.0</v>
      </c>
      <c r="K458" s="74" t="s">
        <v>1497</v>
      </c>
      <c r="L458" s="74">
        <v>145000.0</v>
      </c>
      <c r="M458" s="74" t="s">
        <v>521</v>
      </c>
      <c r="N458" s="74">
        <f t="shared" si="4"/>
        <v>4350000</v>
      </c>
      <c r="O458" s="60">
        <f t="shared" si="2"/>
        <v>45902</v>
      </c>
      <c r="P458" s="65" t="str">
        <f>VLOOKUP(I458,DATABASE!C:Q,11,FALSE)</f>
        <v>Tire</v>
      </c>
      <c r="Q458" s="65" t="str">
        <f>VLOOKUP(I458,DATABASE!C:Q,4,FALSE)</f>
        <v>BD</v>
      </c>
      <c r="R458" s="101"/>
    </row>
    <row r="459" ht="22.5" customHeight="1">
      <c r="A459" s="49"/>
      <c r="C459" s="245">
        <v>45842.0</v>
      </c>
      <c r="D459" s="245">
        <v>45842.0</v>
      </c>
      <c r="E459" s="65" t="s">
        <v>335</v>
      </c>
      <c r="F459" s="247" t="s">
        <v>343</v>
      </c>
      <c r="G459" s="248" t="s">
        <v>2241</v>
      </c>
      <c r="H459" s="93" t="s">
        <v>7</v>
      </c>
      <c r="I459" s="74" t="s">
        <v>1743</v>
      </c>
      <c r="J459" s="249">
        <v>30.0</v>
      </c>
      <c r="K459" s="74" t="s">
        <v>1210</v>
      </c>
      <c r="L459" s="74">
        <v>45000.0</v>
      </c>
      <c r="M459" s="74" t="s">
        <v>521</v>
      </c>
      <c r="N459" s="74">
        <f t="shared" si="4"/>
        <v>1350000</v>
      </c>
      <c r="O459" s="60">
        <f t="shared" si="2"/>
        <v>45902</v>
      </c>
      <c r="P459" s="65" t="str">
        <f>VLOOKUP(I459,DATABASE!C:Q,11,FALSE)</f>
        <v>Tire</v>
      </c>
      <c r="Q459" s="65" t="str">
        <f>VLOOKUP(I459,DATABASE!C:Q,4,FALSE)</f>
        <v>FLAP</v>
      </c>
      <c r="R459" s="101"/>
    </row>
    <row r="460" ht="22.5" customHeight="1">
      <c r="A460" s="49"/>
      <c r="C460" s="245">
        <v>45842.0</v>
      </c>
      <c r="D460" s="245">
        <v>45842.0</v>
      </c>
      <c r="E460" s="65" t="s">
        <v>335</v>
      </c>
      <c r="F460" s="247" t="s">
        <v>343</v>
      </c>
      <c r="G460" s="248" t="s">
        <v>2244</v>
      </c>
      <c r="H460" s="93" t="s">
        <v>7</v>
      </c>
      <c r="I460" s="74" t="s">
        <v>295</v>
      </c>
      <c r="J460" s="249">
        <v>4.0</v>
      </c>
      <c r="K460" s="74" t="s">
        <v>1204</v>
      </c>
      <c r="L460" s="74">
        <v>1425000.0</v>
      </c>
      <c r="M460" s="74" t="s">
        <v>521</v>
      </c>
      <c r="N460" s="74">
        <f t="shared" si="4"/>
        <v>5700000</v>
      </c>
      <c r="O460" s="60">
        <f t="shared" si="2"/>
        <v>45902</v>
      </c>
      <c r="P460" s="65" t="str">
        <f>VLOOKUP(I460,DATABASE!C:Q,11,FALSE)</f>
        <v>Tire</v>
      </c>
      <c r="Q460" s="65" t="str">
        <f>VLOOKUP(I460,DATABASE!C:Q,4,FALSE)</f>
        <v>TIRON</v>
      </c>
      <c r="R460" s="101"/>
    </row>
    <row r="461" ht="22.5" customHeight="1">
      <c r="A461" s="49"/>
      <c r="C461" s="245">
        <v>45842.0</v>
      </c>
      <c r="D461" s="245">
        <v>45842.0</v>
      </c>
      <c r="E461" s="65" t="s">
        <v>335</v>
      </c>
      <c r="F461" s="247" t="s">
        <v>343</v>
      </c>
      <c r="G461" s="248" t="s">
        <v>2244</v>
      </c>
      <c r="H461" s="93" t="s">
        <v>7</v>
      </c>
      <c r="I461" s="74" t="s">
        <v>924</v>
      </c>
      <c r="J461" s="249">
        <v>5.0</v>
      </c>
      <c r="K461" s="74" t="s">
        <v>2419</v>
      </c>
      <c r="L461" s="74">
        <v>1545000.0</v>
      </c>
      <c r="M461" s="74" t="s">
        <v>521</v>
      </c>
      <c r="N461" s="74">
        <f t="shared" si="4"/>
        <v>7725000</v>
      </c>
      <c r="O461" s="60">
        <f t="shared" si="2"/>
        <v>45902</v>
      </c>
      <c r="P461" s="65" t="str">
        <f>VLOOKUP(I461,DATABASE!C:Q,11,FALSE)</f>
        <v>Tire</v>
      </c>
      <c r="Q461" s="65" t="str">
        <f>VLOOKUP(I461,DATABASE!C:Q,4,FALSE)</f>
        <v>TIRON</v>
      </c>
      <c r="R461" s="101"/>
    </row>
    <row r="462" ht="22.5" customHeight="1">
      <c r="A462" s="49"/>
      <c r="C462" s="245">
        <v>45842.0</v>
      </c>
      <c r="D462" s="245">
        <v>45842.0</v>
      </c>
      <c r="E462" s="65" t="s">
        <v>335</v>
      </c>
      <c r="F462" s="247" t="s">
        <v>343</v>
      </c>
      <c r="G462" s="248" t="s">
        <v>2244</v>
      </c>
      <c r="H462" s="93" t="s">
        <v>7</v>
      </c>
      <c r="I462" s="74" t="s">
        <v>403</v>
      </c>
      <c r="J462" s="249">
        <v>4.0</v>
      </c>
      <c r="K462" s="74" t="s">
        <v>920</v>
      </c>
      <c r="L462" s="74">
        <v>2160000.0</v>
      </c>
      <c r="M462" s="74" t="s">
        <v>521</v>
      </c>
      <c r="N462" s="74">
        <f t="shared" si="4"/>
        <v>8640000</v>
      </c>
      <c r="O462" s="60">
        <f t="shared" si="2"/>
        <v>45902</v>
      </c>
      <c r="P462" s="65" t="str">
        <f>VLOOKUP(I462,DATABASE!C:Q,11,FALSE)</f>
        <v>Tire</v>
      </c>
      <c r="Q462" s="65" t="str">
        <f>VLOOKUP(I462,DATABASE!C:Q,4,FALSE)</f>
        <v>Advance</v>
      </c>
      <c r="R462" s="101"/>
    </row>
    <row r="463" ht="22.5" customHeight="1">
      <c r="A463" s="49"/>
      <c r="C463" s="245">
        <v>45842.0</v>
      </c>
      <c r="D463" s="245">
        <v>45842.0</v>
      </c>
      <c r="E463" s="65" t="s">
        <v>335</v>
      </c>
      <c r="F463" s="247" t="s">
        <v>343</v>
      </c>
      <c r="G463" s="248" t="s">
        <v>2244</v>
      </c>
      <c r="H463" s="266" t="s">
        <v>7</v>
      </c>
      <c r="I463" s="267" t="s">
        <v>374</v>
      </c>
      <c r="J463" s="249">
        <v>7.0</v>
      </c>
      <c r="K463" s="74" t="s">
        <v>2342</v>
      </c>
      <c r="L463" s="74">
        <v>1820000.0</v>
      </c>
      <c r="M463" s="74" t="s">
        <v>521</v>
      </c>
      <c r="N463" s="74">
        <f t="shared" si="4"/>
        <v>12740000</v>
      </c>
      <c r="O463" s="60">
        <f t="shared" si="2"/>
        <v>45902</v>
      </c>
      <c r="P463" s="65" t="str">
        <f>VLOOKUP(I463,DATABASE!C:Q,11,FALSE)</f>
        <v>Tire</v>
      </c>
      <c r="Q463" s="65" t="str">
        <f>VLOOKUP(I463,DATABASE!C:Q,4,FALSE)</f>
        <v>Advance</v>
      </c>
      <c r="R463" s="101"/>
    </row>
    <row r="464" ht="22.5" customHeight="1">
      <c r="A464" s="49"/>
      <c r="C464" s="245">
        <v>45846.0</v>
      </c>
      <c r="D464" s="245">
        <v>45846.0</v>
      </c>
      <c r="E464" s="65" t="s">
        <v>110</v>
      </c>
      <c r="F464" s="247" t="s">
        <v>343</v>
      </c>
      <c r="G464" s="248">
        <v>8072025.0</v>
      </c>
      <c r="H464" s="93" t="s">
        <v>7</v>
      </c>
      <c r="I464" s="74" t="s">
        <v>286</v>
      </c>
      <c r="J464" s="249">
        <v>30.0</v>
      </c>
      <c r="K464" s="74" t="s">
        <v>1014</v>
      </c>
      <c r="L464" s="74">
        <v>445800.0</v>
      </c>
      <c r="M464" s="74" t="s">
        <v>755</v>
      </c>
      <c r="N464" s="74">
        <f t="shared" si="4"/>
        <v>13374000</v>
      </c>
      <c r="O464" s="60">
        <f t="shared" si="2"/>
        <v>45876</v>
      </c>
      <c r="P464" s="65" t="str">
        <f>VLOOKUP(I464,DATABASE!C:Q,11,FALSE)</f>
        <v>Tire</v>
      </c>
      <c r="Q464" s="65" t="str">
        <f>VLOOKUP(I464,DATABASE!C:Q,4,FALSE)</f>
        <v>GT</v>
      </c>
      <c r="R464" s="101"/>
    </row>
    <row r="465" ht="22.5" customHeight="1">
      <c r="A465" s="49"/>
      <c r="C465" s="245">
        <v>45846.0</v>
      </c>
      <c r="D465" s="245">
        <v>45846.0</v>
      </c>
      <c r="E465" s="65" t="s">
        <v>110</v>
      </c>
      <c r="F465" s="247" t="s">
        <v>343</v>
      </c>
      <c r="G465" s="248">
        <v>8072025.0</v>
      </c>
      <c r="H465" s="93" t="s">
        <v>7</v>
      </c>
      <c r="I465" s="74" t="s">
        <v>781</v>
      </c>
      <c r="J465" s="249">
        <v>10.0</v>
      </c>
      <c r="K465" s="74" t="s">
        <v>785</v>
      </c>
      <c r="L465" s="74">
        <v>442500.0</v>
      </c>
      <c r="M465" s="74" t="s">
        <v>755</v>
      </c>
      <c r="N465" s="74">
        <f t="shared" si="4"/>
        <v>4425000</v>
      </c>
      <c r="O465" s="60">
        <f t="shared" si="2"/>
        <v>45876</v>
      </c>
      <c r="P465" s="65" t="str">
        <f>VLOOKUP(I465,DATABASE!C:Q,11,FALSE)</f>
        <v>Tire</v>
      </c>
      <c r="Q465" s="65" t="str">
        <f>VLOOKUP(I465,DATABASE!C:Q,4,FALSE)</f>
        <v>GT</v>
      </c>
      <c r="R465" s="101"/>
    </row>
    <row r="466" ht="22.5" customHeight="1">
      <c r="A466" s="49"/>
      <c r="C466" s="245">
        <v>45846.0</v>
      </c>
      <c r="D466" s="245">
        <v>45846.0</v>
      </c>
      <c r="E466" s="65" t="s">
        <v>110</v>
      </c>
      <c r="F466" s="247" t="s">
        <v>343</v>
      </c>
      <c r="G466" s="248">
        <v>8072025.0</v>
      </c>
      <c r="H466" s="93" t="s">
        <v>7</v>
      </c>
      <c r="I466" s="74" t="s">
        <v>791</v>
      </c>
      <c r="J466" s="249">
        <v>10.0</v>
      </c>
      <c r="K466" s="74" t="s">
        <v>792</v>
      </c>
      <c r="L466" s="74">
        <v>1180000.0</v>
      </c>
      <c r="M466" s="74" t="s">
        <v>755</v>
      </c>
      <c r="N466" s="74">
        <f t="shared" si="4"/>
        <v>11800000</v>
      </c>
      <c r="O466" s="60">
        <f t="shared" si="2"/>
        <v>45876</v>
      </c>
      <c r="P466" s="65" t="str">
        <f>VLOOKUP(I466,DATABASE!C:Q,11,FALSE)</f>
        <v>Tire</v>
      </c>
      <c r="Q466" s="65" t="str">
        <f>VLOOKUP(I466,DATABASE!C:Q,4,FALSE)</f>
        <v>GT</v>
      </c>
      <c r="R466" s="101"/>
    </row>
    <row r="467" ht="22.5" customHeight="1">
      <c r="A467" s="49"/>
      <c r="C467" s="245">
        <v>45846.0</v>
      </c>
      <c r="D467" s="245">
        <v>45846.0</v>
      </c>
      <c r="E467" s="65" t="s">
        <v>110</v>
      </c>
      <c r="F467" s="247" t="s">
        <v>343</v>
      </c>
      <c r="G467" s="248">
        <v>2.5009007E7</v>
      </c>
      <c r="H467" s="93" t="s">
        <v>7</v>
      </c>
      <c r="I467" s="74" t="s">
        <v>1084</v>
      </c>
      <c r="J467" s="249">
        <v>2.0</v>
      </c>
      <c r="K467" s="74" t="s">
        <v>1587</v>
      </c>
      <c r="L467" s="74">
        <v>1281000.0</v>
      </c>
      <c r="M467" s="74" t="s">
        <v>755</v>
      </c>
      <c r="N467" s="74">
        <f t="shared" si="4"/>
        <v>2562000</v>
      </c>
      <c r="O467" s="60">
        <f t="shared" si="2"/>
        <v>45876</v>
      </c>
      <c r="P467" s="65" t="str">
        <f>VLOOKUP(I467,DATABASE!C:Q,11,FALSE)</f>
        <v>Tire</v>
      </c>
      <c r="Q467" s="65" t="str">
        <f>VLOOKUP(I467,DATABASE!C:Q,4,FALSE)</f>
        <v>GT</v>
      </c>
      <c r="R467" s="101"/>
    </row>
    <row r="468" ht="22.5" customHeight="1">
      <c r="A468" s="49"/>
      <c r="C468" s="245">
        <v>45847.0</v>
      </c>
      <c r="D468" s="245">
        <v>45847.0</v>
      </c>
      <c r="E468" s="246" t="s">
        <v>97</v>
      </c>
      <c r="F468" s="247" t="s">
        <v>343</v>
      </c>
      <c r="G468" s="248" t="s">
        <v>2434</v>
      </c>
      <c r="H468" s="93" t="s">
        <v>87</v>
      </c>
      <c r="I468" s="74" t="s">
        <v>1224</v>
      </c>
      <c r="J468" s="249">
        <v>1.0</v>
      </c>
      <c r="K468" s="74" t="s">
        <v>2439</v>
      </c>
      <c r="L468" s="74">
        <v>1501164.0</v>
      </c>
      <c r="M468" s="74" t="s">
        <v>521</v>
      </c>
      <c r="N468" s="74">
        <f t="shared" si="4"/>
        <v>1501164</v>
      </c>
      <c r="O468" s="60">
        <f t="shared" si="2"/>
        <v>45907</v>
      </c>
      <c r="P468" s="65" t="str">
        <f>VLOOKUP(I468,DATABASE!C:Q,11,FALSE)</f>
        <v>Tire</v>
      </c>
      <c r="Q468" s="65" t="str">
        <f>VLOOKUP(I468,DATABASE!C:Q,4,FALSE)</f>
        <v>Bridgestone</v>
      </c>
      <c r="R468" s="101"/>
    </row>
    <row r="469" ht="22.5" customHeight="1">
      <c r="A469" s="49"/>
      <c r="C469" s="245">
        <v>45850.0</v>
      </c>
      <c r="D469" s="245">
        <v>45850.0</v>
      </c>
      <c r="E469" s="65" t="s">
        <v>372</v>
      </c>
      <c r="F469" s="247" t="s">
        <v>343</v>
      </c>
      <c r="G469" s="248" t="s">
        <v>1955</v>
      </c>
      <c r="H469" s="93" t="s">
        <v>7</v>
      </c>
      <c r="I469" s="74" t="s">
        <v>1526</v>
      </c>
      <c r="J469" s="249">
        <v>12.0</v>
      </c>
      <c r="K469" s="74" t="s">
        <v>1527</v>
      </c>
      <c r="L469" s="74">
        <v>437000.0</v>
      </c>
      <c r="M469" s="74" t="s">
        <v>521</v>
      </c>
      <c r="N469" s="74">
        <f t="shared" si="4"/>
        <v>5244000</v>
      </c>
      <c r="O469" s="60">
        <f t="shared" si="2"/>
        <v>45910</v>
      </c>
      <c r="P469" s="65" t="str">
        <f>VLOOKUP(I469,DATABASE!C:Q,11,FALSE)</f>
        <v>Tire</v>
      </c>
      <c r="Q469" s="65" t="str">
        <f>VLOOKUP(I469,DATABASE!C:Q,4,FALSE)</f>
        <v>Laufen</v>
      </c>
      <c r="R469" s="101"/>
    </row>
    <row r="470" ht="22.5" customHeight="1">
      <c r="A470" s="49"/>
      <c r="C470" s="245">
        <v>45850.0</v>
      </c>
      <c r="D470" s="245">
        <v>45850.0</v>
      </c>
      <c r="E470" s="65" t="s">
        <v>110</v>
      </c>
      <c r="F470" s="247" t="s">
        <v>343</v>
      </c>
      <c r="G470" s="248">
        <v>2.5009216E7</v>
      </c>
      <c r="H470" s="93" t="s">
        <v>7</v>
      </c>
      <c r="I470" s="74" t="s">
        <v>2022</v>
      </c>
      <c r="J470" s="249">
        <v>4.0</v>
      </c>
      <c r="K470" s="74" t="s">
        <v>2442</v>
      </c>
      <c r="L470" s="74">
        <v>1175000.0</v>
      </c>
      <c r="M470" s="74" t="s">
        <v>755</v>
      </c>
      <c r="N470" s="74">
        <f t="shared" si="4"/>
        <v>4700000</v>
      </c>
      <c r="O470" s="60">
        <f t="shared" si="2"/>
        <v>45880</v>
      </c>
      <c r="P470" s="65" t="str">
        <f>VLOOKUP(I470,DATABASE!C:Q,11,FALSE)</f>
        <v>Tire</v>
      </c>
      <c r="Q470" s="65" t="str">
        <f>VLOOKUP(I470,DATABASE!C:Q,4,FALSE)</f>
        <v>GT</v>
      </c>
      <c r="R470" s="101"/>
    </row>
    <row r="471" ht="22.5" customHeight="1">
      <c r="A471" s="49"/>
      <c r="C471" s="245">
        <v>45852.0</v>
      </c>
      <c r="D471" s="245">
        <v>45852.0</v>
      </c>
      <c r="E471" s="65" t="s">
        <v>81</v>
      </c>
      <c r="F471" s="247" t="s">
        <v>343</v>
      </c>
      <c r="G471" s="248" t="s">
        <v>1523</v>
      </c>
      <c r="H471" s="93" t="s">
        <v>1953</v>
      </c>
      <c r="I471" s="74" t="s">
        <v>1507</v>
      </c>
      <c r="J471" s="249">
        <v>1.0</v>
      </c>
      <c r="K471" s="74" t="s">
        <v>2444</v>
      </c>
      <c r="L471" s="74">
        <v>638500.0</v>
      </c>
      <c r="M471" s="74" t="s">
        <v>657</v>
      </c>
      <c r="N471" s="74">
        <f t="shared" si="4"/>
        <v>638500</v>
      </c>
      <c r="O471" s="60">
        <f t="shared" si="2"/>
        <v>45927</v>
      </c>
      <c r="P471" s="65" t="str">
        <f>VLOOKUP(I471,DATABASE!C:Q,11,FALSE)</f>
        <v>Tire</v>
      </c>
      <c r="Q471" s="65" t="str">
        <f>VLOOKUP(I471,DATABASE!C:Q,4,FALSE)</f>
        <v>Dunlop</v>
      </c>
      <c r="R471" s="101"/>
    </row>
    <row r="472" ht="22.5" customHeight="1">
      <c r="A472" s="49"/>
      <c r="C472" s="245">
        <v>45853.0</v>
      </c>
      <c r="D472" s="245">
        <v>45853.0</v>
      </c>
      <c r="E472" s="65" t="s">
        <v>110</v>
      </c>
      <c r="F472" s="247" t="s">
        <v>343</v>
      </c>
      <c r="G472" s="248">
        <v>2.5009357E7</v>
      </c>
      <c r="H472" s="93" t="s">
        <v>7</v>
      </c>
      <c r="I472" s="74" t="s">
        <v>1976</v>
      </c>
      <c r="J472" s="249">
        <v>1.0</v>
      </c>
      <c r="K472" s="74" t="s">
        <v>2446</v>
      </c>
      <c r="L472" s="74">
        <v>1108560.0</v>
      </c>
      <c r="M472" s="74" t="s">
        <v>755</v>
      </c>
      <c r="N472" s="74">
        <f t="shared" si="4"/>
        <v>1108560</v>
      </c>
      <c r="O472" s="60">
        <f t="shared" si="2"/>
        <v>45883</v>
      </c>
      <c r="P472" s="65" t="str">
        <f>VLOOKUP(I472,DATABASE!C:Q,11,FALSE)</f>
        <v>Tire</v>
      </c>
      <c r="Q472" s="65" t="str">
        <f>VLOOKUP(I472,DATABASE!C:Q,4,FALSE)</f>
        <v>GT</v>
      </c>
      <c r="R472" s="101"/>
    </row>
    <row r="473" ht="22.5" customHeight="1">
      <c r="A473" s="49"/>
      <c r="C473" s="245">
        <v>45859.0</v>
      </c>
      <c r="D473" s="245">
        <v>45859.0</v>
      </c>
      <c r="E473" s="65" t="s">
        <v>123</v>
      </c>
      <c r="F473" s="247" t="s">
        <v>343</v>
      </c>
      <c r="G473" s="248" t="s">
        <v>2386</v>
      </c>
      <c r="H473" s="93" t="s">
        <v>7</v>
      </c>
      <c r="I473" s="74" t="s">
        <v>290</v>
      </c>
      <c r="J473" s="249">
        <v>4.0</v>
      </c>
      <c r="K473" s="74" t="s">
        <v>2448</v>
      </c>
      <c r="L473" s="74">
        <v>609804.0</v>
      </c>
      <c r="M473" s="74" t="s">
        <v>755</v>
      </c>
      <c r="N473" s="74">
        <f t="shared" si="4"/>
        <v>2439216</v>
      </c>
      <c r="O473" s="60">
        <f t="shared" si="2"/>
        <v>45889</v>
      </c>
      <c r="P473" s="65" t="str">
        <f>VLOOKUP(I473,DATABASE!C:Q,11,FALSE)</f>
        <v>Tire</v>
      </c>
      <c r="Q473" s="65" t="str">
        <f>VLOOKUP(I473,DATABASE!C:Q,4,FALSE)</f>
        <v>GT</v>
      </c>
      <c r="R473" s="101"/>
    </row>
    <row r="474" ht="22.5" customHeight="1">
      <c r="A474" s="49"/>
      <c r="C474" s="245">
        <v>45859.0</v>
      </c>
      <c r="D474" s="245">
        <v>45859.0</v>
      </c>
      <c r="E474" s="65" t="s">
        <v>123</v>
      </c>
      <c r="F474" s="247" t="s">
        <v>343</v>
      </c>
      <c r="G474" s="248" t="s">
        <v>2388</v>
      </c>
      <c r="H474" s="93" t="s">
        <v>7</v>
      </c>
      <c r="I474" s="74" t="s">
        <v>781</v>
      </c>
      <c r="J474" s="249">
        <v>3.0</v>
      </c>
      <c r="K474" s="74" t="s">
        <v>2450</v>
      </c>
      <c r="L474" s="74">
        <v>425000.0</v>
      </c>
      <c r="M474" s="74" t="s">
        <v>755</v>
      </c>
      <c r="N474" s="74">
        <f t="shared" si="4"/>
        <v>1275000</v>
      </c>
      <c r="O474" s="60">
        <f t="shared" si="2"/>
        <v>45889</v>
      </c>
      <c r="P474" s="65" t="str">
        <f>VLOOKUP(I474,DATABASE!C:Q,11,FALSE)</f>
        <v>Tire</v>
      </c>
      <c r="Q474" s="65" t="str">
        <f>VLOOKUP(I474,DATABASE!C:Q,4,FALSE)</f>
        <v>GT</v>
      </c>
      <c r="R474" s="101"/>
    </row>
    <row r="475" ht="22.5" customHeight="1">
      <c r="A475" s="49"/>
      <c r="C475" s="245">
        <v>45860.0</v>
      </c>
      <c r="D475" s="245">
        <v>45860.0</v>
      </c>
      <c r="E475" s="65" t="s">
        <v>349</v>
      </c>
      <c r="F475" s="247" t="s">
        <v>343</v>
      </c>
      <c r="G475" s="60">
        <v>45860.0</v>
      </c>
      <c r="H475" s="93" t="s">
        <v>7</v>
      </c>
      <c r="I475" s="93" t="s">
        <v>2064</v>
      </c>
      <c r="J475" s="249">
        <v>10.0</v>
      </c>
      <c r="K475" s="74" t="s">
        <v>2452</v>
      </c>
      <c r="L475" s="74">
        <v>608000.0</v>
      </c>
      <c r="M475" s="74" t="s">
        <v>2190</v>
      </c>
      <c r="N475" s="74">
        <f t="shared" si="4"/>
        <v>6080000</v>
      </c>
      <c r="O475" s="60">
        <f t="shared" si="2"/>
        <v>45874</v>
      </c>
      <c r="P475" s="65" t="str">
        <f>VLOOKUP(I475,DATABASE!C:Q,11,FALSE)</f>
        <v>Tire</v>
      </c>
      <c r="Q475" s="65" t="str">
        <f>VLOOKUP(I475,DATABASE!C:Q,4,FALSE)</f>
        <v>Hankook</v>
      </c>
      <c r="R475" s="101"/>
    </row>
    <row r="476" ht="22.5" customHeight="1">
      <c r="A476" s="49"/>
      <c r="C476" s="245">
        <v>45860.0</v>
      </c>
      <c r="D476" s="245">
        <v>45860.0</v>
      </c>
      <c r="E476" s="65" t="s">
        <v>349</v>
      </c>
      <c r="F476" s="247" t="s">
        <v>343</v>
      </c>
      <c r="G476" s="60">
        <v>45860.0</v>
      </c>
      <c r="H476" s="93" t="s">
        <v>7</v>
      </c>
      <c r="I476" s="74" t="s">
        <v>2048</v>
      </c>
      <c r="J476" s="249">
        <v>10.0</v>
      </c>
      <c r="K476" s="74" t="s">
        <v>2454</v>
      </c>
      <c r="L476" s="74">
        <v>615000.0</v>
      </c>
      <c r="M476" s="74" t="s">
        <v>2190</v>
      </c>
      <c r="N476" s="74">
        <f t="shared" si="4"/>
        <v>6150000</v>
      </c>
      <c r="O476" s="60">
        <f t="shared" si="2"/>
        <v>45874</v>
      </c>
      <c r="P476" s="65" t="str">
        <f>VLOOKUP(I476,DATABASE!C:Q,11,FALSE)</f>
        <v>Tire</v>
      </c>
      <c r="Q476" s="65" t="str">
        <f>VLOOKUP(I476,DATABASE!C:Q,4,FALSE)</f>
        <v>HANKOOK</v>
      </c>
      <c r="R476" s="101"/>
    </row>
    <row r="477" ht="22.5" customHeight="1">
      <c r="A477" s="49"/>
      <c r="C477" s="245">
        <v>45860.0</v>
      </c>
      <c r="D477" s="245">
        <v>45860.0</v>
      </c>
      <c r="E477" s="65" t="s">
        <v>349</v>
      </c>
      <c r="F477" s="247" t="s">
        <v>343</v>
      </c>
      <c r="G477" s="60">
        <v>45860.0</v>
      </c>
      <c r="H477" s="93" t="s">
        <v>7</v>
      </c>
      <c r="I477" s="93" t="s">
        <v>2070</v>
      </c>
      <c r="J477" s="249">
        <v>4.0</v>
      </c>
      <c r="K477" s="74" t="s">
        <v>2456</v>
      </c>
      <c r="L477" s="74">
        <v>1026000.0</v>
      </c>
      <c r="M477" s="74" t="s">
        <v>2190</v>
      </c>
      <c r="N477" s="74">
        <f t="shared" si="4"/>
        <v>4104000</v>
      </c>
      <c r="O477" s="60">
        <f t="shared" si="2"/>
        <v>45874</v>
      </c>
      <c r="P477" s="65" t="str">
        <f>VLOOKUP(I477,DATABASE!C:Q,11,FALSE)</f>
        <v>Tire</v>
      </c>
      <c r="Q477" s="65" t="str">
        <f>VLOOKUP(I477,DATABASE!C:Q,4,FALSE)</f>
        <v>Hankook</v>
      </c>
      <c r="R477" s="101"/>
    </row>
    <row r="478" ht="22.5" customHeight="1">
      <c r="A478" s="49"/>
      <c r="C478" s="245">
        <v>45861.0</v>
      </c>
      <c r="D478" s="245">
        <v>45861.0</v>
      </c>
      <c r="E478" s="65" t="s">
        <v>110</v>
      </c>
      <c r="F478" s="247" t="s">
        <v>343</v>
      </c>
      <c r="G478" s="60">
        <v>45861.0</v>
      </c>
      <c r="H478" s="93" t="s">
        <v>7</v>
      </c>
      <c r="I478" s="74" t="s">
        <v>1862</v>
      </c>
      <c r="J478" s="249">
        <v>10.0</v>
      </c>
      <c r="K478" s="74" t="s">
        <v>2327</v>
      </c>
      <c r="L478" s="74">
        <v>2050000.0</v>
      </c>
      <c r="M478" s="74" t="s">
        <v>755</v>
      </c>
      <c r="N478" s="74">
        <f t="shared" si="4"/>
        <v>20500000</v>
      </c>
      <c r="O478" s="60">
        <f t="shared" si="2"/>
        <v>45891</v>
      </c>
      <c r="P478" s="65" t="str">
        <f>VLOOKUP(I478,DATABASE!C:Q,11,FALSE)</f>
        <v>Tire</v>
      </c>
      <c r="Q478" s="65" t="str">
        <f>VLOOKUP(I478,DATABASE!C:Q,4,FALSE)</f>
        <v>GiTi</v>
      </c>
      <c r="R478" s="101"/>
    </row>
    <row r="479" ht="22.5" customHeight="1">
      <c r="A479" s="49"/>
      <c r="C479" s="245">
        <v>45861.0</v>
      </c>
      <c r="D479" s="245">
        <v>45861.0</v>
      </c>
      <c r="E479" s="65" t="s">
        <v>110</v>
      </c>
      <c r="F479" s="247" t="s">
        <v>343</v>
      </c>
      <c r="G479" s="60">
        <v>45861.0</v>
      </c>
      <c r="H479" s="93" t="s">
        <v>7</v>
      </c>
      <c r="I479" s="74" t="s">
        <v>897</v>
      </c>
      <c r="J479" s="249">
        <v>10.0</v>
      </c>
      <c r="K479" s="74" t="s">
        <v>899</v>
      </c>
      <c r="L479" s="74">
        <v>1500000.0</v>
      </c>
      <c r="M479" s="74" t="s">
        <v>755</v>
      </c>
      <c r="N479" s="74">
        <f t="shared" si="4"/>
        <v>15000000</v>
      </c>
      <c r="O479" s="60">
        <f t="shared" si="2"/>
        <v>45891</v>
      </c>
      <c r="P479" s="65" t="str">
        <f>VLOOKUP(I479,DATABASE!C:Q,11,FALSE)</f>
        <v>Tire</v>
      </c>
      <c r="Q479" s="65" t="str">
        <f>VLOOKUP(I479,DATABASE!C:Q,4,FALSE)</f>
        <v>GT</v>
      </c>
      <c r="R479" s="101"/>
    </row>
    <row r="480" ht="22.5" customHeight="1">
      <c r="A480" s="49"/>
      <c r="C480" s="245">
        <v>45862.0</v>
      </c>
      <c r="D480" s="245">
        <v>45862.0</v>
      </c>
      <c r="E480" s="65" t="s">
        <v>81</v>
      </c>
      <c r="F480" s="247" t="s">
        <v>343</v>
      </c>
      <c r="G480" s="248" t="s">
        <v>1529</v>
      </c>
      <c r="H480" s="93" t="s">
        <v>87</v>
      </c>
      <c r="I480" s="74" t="s">
        <v>271</v>
      </c>
      <c r="J480" s="249">
        <v>10.0</v>
      </c>
      <c r="K480" s="74" t="s">
        <v>1058</v>
      </c>
      <c r="L480" s="74">
        <v>550000.0</v>
      </c>
      <c r="M480" s="74" t="s">
        <v>657</v>
      </c>
      <c r="N480" s="74">
        <f t="shared" si="4"/>
        <v>5500000</v>
      </c>
      <c r="O480" s="60">
        <f t="shared" si="2"/>
        <v>45937</v>
      </c>
      <c r="P480" s="65" t="str">
        <f>VLOOKUP(I480,DATABASE!C:Q,11,FALSE)</f>
        <v>Tire</v>
      </c>
      <c r="Q480" s="65" t="str">
        <f>VLOOKUP(I480,DATABASE!C:Q,4,FALSE)</f>
        <v>Dunlop</v>
      </c>
      <c r="R480" s="101"/>
    </row>
    <row r="481" ht="22.5" customHeight="1">
      <c r="A481" s="49"/>
      <c r="C481" s="245">
        <v>45862.0</v>
      </c>
      <c r="D481" s="245">
        <v>45862.0</v>
      </c>
      <c r="E481" s="65" t="s">
        <v>81</v>
      </c>
      <c r="F481" s="247" t="s">
        <v>343</v>
      </c>
      <c r="G481" s="248" t="s">
        <v>1529</v>
      </c>
      <c r="H481" s="93" t="s">
        <v>87</v>
      </c>
      <c r="I481" s="74" t="s">
        <v>955</v>
      </c>
      <c r="J481" s="249">
        <v>6.0</v>
      </c>
      <c r="K481" s="74" t="s">
        <v>2402</v>
      </c>
      <c r="L481" s="74">
        <v>688000.0</v>
      </c>
      <c r="M481" s="74" t="s">
        <v>657</v>
      </c>
      <c r="N481" s="74">
        <f t="shared" si="4"/>
        <v>4128000</v>
      </c>
      <c r="O481" s="60">
        <f t="shared" si="2"/>
        <v>45937</v>
      </c>
      <c r="P481" s="65" t="str">
        <f>VLOOKUP(I481,DATABASE!C:Q,11,FALSE)</f>
        <v>Tire</v>
      </c>
      <c r="Q481" s="65" t="str">
        <f>VLOOKUP(I481,DATABASE!C:Q,4,FALSE)</f>
        <v>Dunlop</v>
      </c>
      <c r="R481" s="101"/>
    </row>
    <row r="482" ht="22.5" customHeight="1">
      <c r="A482" s="49"/>
      <c r="C482" s="245">
        <v>45862.0</v>
      </c>
      <c r="D482" s="245">
        <v>45862.0</v>
      </c>
      <c r="E482" s="65" t="s">
        <v>81</v>
      </c>
      <c r="F482" s="247" t="s">
        <v>343</v>
      </c>
      <c r="G482" s="248" t="s">
        <v>1529</v>
      </c>
      <c r="H482" s="93" t="s">
        <v>87</v>
      </c>
      <c r="I482" s="74" t="s">
        <v>1429</v>
      </c>
      <c r="J482" s="249">
        <v>3.0</v>
      </c>
      <c r="K482" s="74" t="s">
        <v>2462</v>
      </c>
      <c r="L482" s="74">
        <v>849000.0</v>
      </c>
      <c r="M482" s="74" t="s">
        <v>657</v>
      </c>
      <c r="N482" s="74">
        <f t="shared" si="4"/>
        <v>2547000</v>
      </c>
      <c r="O482" s="60">
        <f t="shared" si="2"/>
        <v>45937</v>
      </c>
      <c r="P482" s="65" t="str">
        <f>VLOOKUP(I482,DATABASE!C:Q,11,FALSE)</f>
        <v>Tire</v>
      </c>
      <c r="Q482" s="65" t="str">
        <f>VLOOKUP(I482,DATABASE!C:Q,4,FALSE)</f>
        <v>Dunlop</v>
      </c>
      <c r="R482" s="101"/>
    </row>
    <row r="483" ht="22.5" customHeight="1">
      <c r="A483" s="49"/>
      <c r="C483" s="245">
        <v>45862.0</v>
      </c>
      <c r="D483" s="245">
        <v>45862.0</v>
      </c>
      <c r="E483" s="65" t="s">
        <v>81</v>
      </c>
      <c r="F483" s="247" t="s">
        <v>343</v>
      </c>
      <c r="G483" s="248" t="s">
        <v>1529</v>
      </c>
      <c r="H483" s="93" t="s">
        <v>87</v>
      </c>
      <c r="I483" s="74" t="s">
        <v>1383</v>
      </c>
      <c r="J483" s="249">
        <v>4.0</v>
      </c>
      <c r="K483" s="74" t="s">
        <v>2329</v>
      </c>
      <c r="L483" s="74">
        <v>821000.0</v>
      </c>
      <c r="M483" s="74" t="s">
        <v>657</v>
      </c>
      <c r="N483" s="74">
        <f t="shared" si="4"/>
        <v>3284000</v>
      </c>
      <c r="O483" s="60">
        <f t="shared" si="2"/>
        <v>45937</v>
      </c>
      <c r="P483" s="65" t="str">
        <f>VLOOKUP(I483,DATABASE!C:Q,11,FALSE)</f>
        <v>Tire</v>
      </c>
      <c r="Q483" s="65" t="str">
        <f>VLOOKUP(I483,DATABASE!C:Q,4,FALSE)</f>
        <v>Dunlop</v>
      </c>
      <c r="R483" s="101"/>
    </row>
    <row r="484" ht="22.5" customHeight="1">
      <c r="A484" s="49"/>
      <c r="C484" s="245">
        <v>45862.0</v>
      </c>
      <c r="D484" s="245">
        <v>45862.0</v>
      </c>
      <c r="E484" s="65" t="s">
        <v>81</v>
      </c>
      <c r="F484" s="247" t="s">
        <v>343</v>
      </c>
      <c r="G484" s="248" t="s">
        <v>1529</v>
      </c>
      <c r="H484" s="93" t="s">
        <v>87</v>
      </c>
      <c r="I484" s="74" t="s">
        <v>687</v>
      </c>
      <c r="J484" s="249">
        <v>4.0</v>
      </c>
      <c r="K484" s="74" t="s">
        <v>2414</v>
      </c>
      <c r="L484" s="74">
        <v>959000.0</v>
      </c>
      <c r="M484" s="74" t="s">
        <v>657</v>
      </c>
      <c r="N484" s="74">
        <f t="shared" si="4"/>
        <v>3836000</v>
      </c>
      <c r="O484" s="60">
        <f t="shared" si="2"/>
        <v>45937</v>
      </c>
      <c r="P484" s="65" t="str">
        <f>VLOOKUP(I484,DATABASE!C:Q,11,FALSE)</f>
        <v>Tire</v>
      </c>
      <c r="Q484" s="65" t="str">
        <f>VLOOKUP(I484,DATABASE!C:Q,4,FALSE)</f>
        <v>Dunlop</v>
      </c>
      <c r="R484" s="101"/>
    </row>
    <row r="485" ht="22.5" customHeight="1">
      <c r="A485" s="49"/>
      <c r="C485" s="245">
        <v>45862.0</v>
      </c>
      <c r="D485" s="245">
        <v>45862.0</v>
      </c>
      <c r="E485" s="65" t="s">
        <v>81</v>
      </c>
      <c r="F485" s="247" t="s">
        <v>343</v>
      </c>
      <c r="G485" s="248" t="s">
        <v>1529</v>
      </c>
      <c r="H485" s="93" t="s">
        <v>87</v>
      </c>
      <c r="I485" s="74" t="s">
        <v>1301</v>
      </c>
      <c r="J485" s="249">
        <v>4.0</v>
      </c>
      <c r="K485" s="74" t="s">
        <v>2466</v>
      </c>
      <c r="L485" s="74">
        <v>1194000.0</v>
      </c>
      <c r="M485" s="74" t="s">
        <v>657</v>
      </c>
      <c r="N485" s="74">
        <f t="shared" si="4"/>
        <v>4776000</v>
      </c>
      <c r="O485" s="60">
        <f t="shared" si="2"/>
        <v>45937</v>
      </c>
      <c r="P485" s="65" t="str">
        <f>VLOOKUP(I485,DATABASE!C:Q,11,FALSE)</f>
        <v>Tire</v>
      </c>
      <c r="Q485" s="65" t="str">
        <f>VLOOKUP(I485,DATABASE!C:Q,4,FALSE)</f>
        <v>Dunlop</v>
      </c>
      <c r="R485" s="101"/>
    </row>
    <row r="486" ht="22.5" customHeight="1">
      <c r="A486" s="49"/>
      <c r="C486" s="245">
        <v>45862.0</v>
      </c>
      <c r="D486" s="245">
        <v>45862.0</v>
      </c>
      <c r="E486" s="65" t="s">
        <v>81</v>
      </c>
      <c r="F486" s="247" t="s">
        <v>343</v>
      </c>
      <c r="G486" s="248" t="s">
        <v>1529</v>
      </c>
      <c r="H486" s="93" t="s">
        <v>87</v>
      </c>
      <c r="I486" s="74" t="s">
        <v>265</v>
      </c>
      <c r="J486" s="249">
        <v>20.0</v>
      </c>
      <c r="K486" s="74" t="s">
        <v>2198</v>
      </c>
      <c r="L486" s="74">
        <v>610000.0</v>
      </c>
      <c r="M486" s="74" t="s">
        <v>657</v>
      </c>
      <c r="N486" s="74">
        <f t="shared" si="4"/>
        <v>12200000</v>
      </c>
      <c r="O486" s="60">
        <f t="shared" si="2"/>
        <v>45937</v>
      </c>
      <c r="P486" s="65" t="str">
        <f>VLOOKUP(I486,DATABASE!C:Q,11,FALSE)</f>
        <v>Tire</v>
      </c>
      <c r="Q486" s="65" t="str">
        <f>VLOOKUP(I486,DATABASE!C:Q,4,FALSE)</f>
        <v>Dunlop</v>
      </c>
      <c r="R486" s="101"/>
    </row>
    <row r="487" ht="22.5" customHeight="1">
      <c r="A487" s="49"/>
      <c r="C487" s="245">
        <v>45862.0</v>
      </c>
      <c r="D487" s="245">
        <v>45862.0</v>
      </c>
      <c r="E487" s="65" t="s">
        <v>81</v>
      </c>
      <c r="F487" s="247" t="s">
        <v>343</v>
      </c>
      <c r="G487" s="248" t="s">
        <v>1529</v>
      </c>
      <c r="H487" s="93" t="s">
        <v>87</v>
      </c>
      <c r="I487" s="74" t="s">
        <v>268</v>
      </c>
      <c r="J487" s="249">
        <v>30.0</v>
      </c>
      <c r="K487" s="74" t="s">
        <v>2216</v>
      </c>
      <c r="L487" s="74">
        <v>634500.0</v>
      </c>
      <c r="M487" s="74" t="s">
        <v>657</v>
      </c>
      <c r="N487" s="74">
        <f t="shared" si="4"/>
        <v>19035000</v>
      </c>
      <c r="O487" s="60">
        <f t="shared" si="2"/>
        <v>45937</v>
      </c>
      <c r="P487" s="65" t="str">
        <f>VLOOKUP(I487,DATABASE!C:Q,11,FALSE)</f>
        <v>Tire</v>
      </c>
      <c r="Q487" s="65" t="str">
        <f>VLOOKUP(I487,DATABASE!C:Q,4,FALSE)</f>
        <v>Dunlop</v>
      </c>
      <c r="R487" s="101"/>
    </row>
    <row r="488" ht="22.5" customHeight="1">
      <c r="A488" s="49"/>
      <c r="C488" s="245">
        <v>45862.0</v>
      </c>
      <c r="D488" s="245">
        <v>45862.0</v>
      </c>
      <c r="E488" s="65" t="s">
        <v>81</v>
      </c>
      <c r="F488" s="247" t="s">
        <v>343</v>
      </c>
      <c r="G488" s="248" t="s">
        <v>1529</v>
      </c>
      <c r="H488" s="93" t="s">
        <v>87</v>
      </c>
      <c r="I488" s="74" t="s">
        <v>275</v>
      </c>
      <c r="J488" s="249">
        <v>15.0</v>
      </c>
      <c r="K488" s="74" t="s">
        <v>2225</v>
      </c>
      <c r="L488" s="74">
        <v>759500.0</v>
      </c>
      <c r="M488" s="74" t="s">
        <v>657</v>
      </c>
      <c r="N488" s="74">
        <f t="shared" si="4"/>
        <v>11392500</v>
      </c>
      <c r="O488" s="60">
        <f t="shared" si="2"/>
        <v>45937</v>
      </c>
      <c r="P488" s="65" t="str">
        <f>VLOOKUP(I488,DATABASE!C:Q,11,FALSE)</f>
        <v>Tire</v>
      </c>
      <c r="Q488" s="65" t="str">
        <f>VLOOKUP(I488,DATABASE!C:Q,4,FALSE)</f>
        <v>Dunlop</v>
      </c>
      <c r="R488" s="101"/>
    </row>
    <row r="489" ht="22.5" customHeight="1">
      <c r="A489" s="49"/>
      <c r="C489" s="245">
        <v>45862.0</v>
      </c>
      <c r="D489" s="245">
        <v>45862.0</v>
      </c>
      <c r="E489" s="65" t="s">
        <v>81</v>
      </c>
      <c r="F489" s="247" t="s">
        <v>343</v>
      </c>
      <c r="G489" s="248" t="s">
        <v>1529</v>
      </c>
      <c r="H489" s="93" t="s">
        <v>87</v>
      </c>
      <c r="I489" s="74" t="s">
        <v>932</v>
      </c>
      <c r="J489" s="249">
        <v>30.0</v>
      </c>
      <c r="K489" s="74" t="s">
        <v>2228</v>
      </c>
      <c r="L489" s="74">
        <v>601000.0</v>
      </c>
      <c r="M489" s="74" t="s">
        <v>657</v>
      </c>
      <c r="N489" s="74">
        <f t="shared" si="4"/>
        <v>18030000</v>
      </c>
      <c r="O489" s="60">
        <f t="shared" si="2"/>
        <v>45937</v>
      </c>
      <c r="P489" s="65" t="str">
        <f>VLOOKUP(I489,DATABASE!C:Q,11,FALSE)</f>
        <v>Tire</v>
      </c>
      <c r="Q489" s="65" t="str">
        <f>VLOOKUP(I489,DATABASE!C:Q,4,FALSE)</f>
        <v>Dunlop</v>
      </c>
      <c r="R489" s="101"/>
    </row>
    <row r="490" ht="22.5" customHeight="1">
      <c r="A490" s="49"/>
      <c r="C490" s="245">
        <v>45862.0</v>
      </c>
      <c r="D490" s="245">
        <v>45862.0</v>
      </c>
      <c r="E490" s="65" t="s">
        <v>81</v>
      </c>
      <c r="F490" s="247" t="s">
        <v>343</v>
      </c>
      <c r="G490" s="248" t="s">
        <v>1529</v>
      </c>
      <c r="H490" s="93" t="s">
        <v>87</v>
      </c>
      <c r="I490" s="74" t="s">
        <v>1548</v>
      </c>
      <c r="J490" s="249">
        <v>4.0</v>
      </c>
      <c r="K490" s="74" t="s">
        <v>2472</v>
      </c>
      <c r="L490" s="74">
        <v>795000.0</v>
      </c>
      <c r="M490" s="74" t="s">
        <v>657</v>
      </c>
      <c r="N490" s="74">
        <f t="shared" si="4"/>
        <v>3180000</v>
      </c>
      <c r="O490" s="60">
        <f t="shared" si="2"/>
        <v>45937</v>
      </c>
      <c r="P490" s="65" t="str">
        <f>VLOOKUP(I490,DATABASE!C:Q,11,FALSE)</f>
        <v>Tire</v>
      </c>
      <c r="Q490" s="65" t="str">
        <f>VLOOKUP(I490,DATABASE!C:Q,4,FALSE)</f>
        <v>Dunlop</v>
      </c>
      <c r="R490" s="101"/>
    </row>
    <row r="491" ht="22.5" customHeight="1">
      <c r="A491" s="49"/>
      <c r="C491" s="245">
        <v>45862.0</v>
      </c>
      <c r="D491" s="245">
        <v>45862.0</v>
      </c>
      <c r="E491" s="65" t="s">
        <v>81</v>
      </c>
      <c r="F491" s="247" t="s">
        <v>343</v>
      </c>
      <c r="G491" s="248" t="s">
        <v>1529</v>
      </c>
      <c r="H491" s="93" t="s">
        <v>87</v>
      </c>
      <c r="I491" s="74" t="s">
        <v>968</v>
      </c>
      <c r="J491" s="249">
        <v>3.0</v>
      </c>
      <c r="K491" s="74" t="s">
        <v>2331</v>
      </c>
      <c r="L491" s="74">
        <v>582500.0</v>
      </c>
      <c r="M491" s="74" t="s">
        <v>657</v>
      </c>
      <c r="N491" s="74">
        <f t="shared" si="4"/>
        <v>1747500</v>
      </c>
      <c r="O491" s="60">
        <f t="shared" si="2"/>
        <v>45937</v>
      </c>
      <c r="P491" s="65" t="str">
        <f>VLOOKUP(I491,DATABASE!C:Q,11,FALSE)</f>
        <v>Tire</v>
      </c>
      <c r="Q491" s="65" t="str">
        <f>VLOOKUP(I491,DATABASE!C:Q,4,FALSE)</f>
        <v>Dunlop</v>
      </c>
      <c r="R491" s="101"/>
    </row>
    <row r="492" ht="22.5" customHeight="1">
      <c r="A492" s="49"/>
      <c r="C492" s="245">
        <v>45862.0</v>
      </c>
      <c r="D492" s="245">
        <v>45862.0</v>
      </c>
      <c r="E492" s="65" t="s">
        <v>81</v>
      </c>
      <c r="F492" s="247" t="s">
        <v>343</v>
      </c>
      <c r="G492" s="248" t="s">
        <v>1529</v>
      </c>
      <c r="H492" s="93" t="s">
        <v>87</v>
      </c>
      <c r="I492" s="74" t="s">
        <v>1389</v>
      </c>
      <c r="J492" s="249">
        <v>4.0</v>
      </c>
      <c r="K492" s="74" t="s">
        <v>2407</v>
      </c>
      <c r="L492" s="74">
        <v>908000.0</v>
      </c>
      <c r="M492" s="74" t="s">
        <v>657</v>
      </c>
      <c r="N492" s="74">
        <f t="shared" si="4"/>
        <v>3632000</v>
      </c>
      <c r="O492" s="60">
        <f t="shared" si="2"/>
        <v>45937</v>
      </c>
      <c r="P492" s="65" t="str">
        <f>VLOOKUP(I492,DATABASE!C:Q,11,FALSE)</f>
        <v>Tire</v>
      </c>
      <c r="Q492" s="65" t="str">
        <f>VLOOKUP(I492,DATABASE!C:Q,4,FALSE)</f>
        <v>Dunlop</v>
      </c>
      <c r="R492" s="101"/>
    </row>
    <row r="493" ht="22.5" customHeight="1">
      <c r="A493" s="49"/>
      <c r="C493" s="245">
        <v>45862.0</v>
      </c>
      <c r="D493" s="245">
        <v>45862.0</v>
      </c>
      <c r="E493" s="65" t="s">
        <v>81</v>
      </c>
      <c r="F493" s="247" t="s">
        <v>343</v>
      </c>
      <c r="G493" s="248" t="s">
        <v>1535</v>
      </c>
      <c r="H493" s="93" t="s">
        <v>87</v>
      </c>
      <c r="I493" s="74" t="s">
        <v>1372</v>
      </c>
      <c r="J493" s="249">
        <v>2.0</v>
      </c>
      <c r="K493" s="74" t="s">
        <v>2476</v>
      </c>
      <c r="L493" s="74">
        <v>1040000.0</v>
      </c>
      <c r="M493" s="74" t="s">
        <v>657</v>
      </c>
      <c r="N493" s="74">
        <f t="shared" si="4"/>
        <v>2080000</v>
      </c>
      <c r="O493" s="60">
        <f t="shared" si="2"/>
        <v>45937</v>
      </c>
      <c r="P493" s="65" t="str">
        <f>VLOOKUP(I493,DATABASE!C:Q,11,FALSE)</f>
        <v>Tire</v>
      </c>
      <c r="Q493" s="65" t="str">
        <f>VLOOKUP(I493,DATABASE!C:Q,4,FALSE)</f>
        <v>Dunlop</v>
      </c>
      <c r="R493" s="101"/>
    </row>
    <row r="494" ht="22.5" customHeight="1">
      <c r="A494" s="49"/>
      <c r="C494" s="245">
        <v>45863.0</v>
      </c>
      <c r="D494" s="245">
        <v>45863.0</v>
      </c>
      <c r="E494" s="246" t="s">
        <v>97</v>
      </c>
      <c r="F494" s="247" t="s">
        <v>343</v>
      </c>
      <c r="G494" s="248" t="s">
        <v>2435</v>
      </c>
      <c r="H494" s="93" t="s">
        <v>7</v>
      </c>
      <c r="I494" s="74" t="s">
        <v>591</v>
      </c>
      <c r="J494" s="249">
        <v>2.0</v>
      </c>
      <c r="K494" s="74" t="s">
        <v>2432</v>
      </c>
      <c r="L494" s="74">
        <v>593438.4</v>
      </c>
      <c r="M494" s="74" t="s">
        <v>521</v>
      </c>
      <c r="N494" s="74">
        <f t="shared" si="4"/>
        <v>1186876.8</v>
      </c>
      <c r="O494" s="60">
        <f t="shared" si="2"/>
        <v>45923</v>
      </c>
      <c r="P494" s="65" t="str">
        <f>VLOOKUP(I494,DATABASE!C:Q,11,FALSE)</f>
        <v>Tire</v>
      </c>
      <c r="Q494" s="65" t="str">
        <f>VLOOKUP(I494,DATABASE!C:Q,4,FALSE)</f>
        <v>Bridgestone</v>
      </c>
      <c r="R494" s="101"/>
    </row>
    <row r="495" ht="22.5" customHeight="1">
      <c r="A495" s="49"/>
      <c r="C495" s="245">
        <v>45863.0</v>
      </c>
      <c r="D495" s="245">
        <v>45863.0</v>
      </c>
      <c r="E495" s="65" t="s">
        <v>160</v>
      </c>
      <c r="F495" s="247" t="s">
        <v>343</v>
      </c>
      <c r="G495" s="248">
        <v>2.500009403E9</v>
      </c>
      <c r="H495" s="93" t="s">
        <v>87</v>
      </c>
      <c r="I495" s="74" t="s">
        <v>781</v>
      </c>
      <c r="J495" s="249">
        <v>5.0</v>
      </c>
      <c r="K495" s="74" t="s">
        <v>1963</v>
      </c>
      <c r="L495" s="74">
        <v>435000.0</v>
      </c>
      <c r="M495" s="74" t="s">
        <v>755</v>
      </c>
      <c r="N495" s="74">
        <f t="shared" si="4"/>
        <v>2175000</v>
      </c>
      <c r="O495" s="60">
        <f t="shared" si="2"/>
        <v>45893</v>
      </c>
      <c r="P495" s="65" t="str">
        <f>VLOOKUP(I495,DATABASE!C:Q,11,FALSE)</f>
        <v>Tire</v>
      </c>
      <c r="Q495" s="65" t="str">
        <f>VLOOKUP(I495,DATABASE!C:Q,4,FALSE)</f>
        <v>GT</v>
      </c>
      <c r="R495" s="101"/>
    </row>
    <row r="496" ht="22.5" customHeight="1">
      <c r="A496" s="49"/>
      <c r="C496" s="245">
        <v>45863.0</v>
      </c>
      <c r="D496" s="245">
        <v>45863.0</v>
      </c>
      <c r="E496" s="65" t="s">
        <v>160</v>
      </c>
      <c r="F496" s="247" t="s">
        <v>343</v>
      </c>
      <c r="G496" s="248">
        <v>2.500009403E9</v>
      </c>
      <c r="H496" s="93" t="s">
        <v>87</v>
      </c>
      <c r="I496" s="74" t="s">
        <v>2019</v>
      </c>
      <c r="J496" s="249">
        <v>4.0</v>
      </c>
      <c r="K496" s="74" t="s">
        <v>2130</v>
      </c>
      <c r="L496" s="74">
        <v>585000.0</v>
      </c>
      <c r="M496" s="74" t="s">
        <v>755</v>
      </c>
      <c r="N496" s="74">
        <f t="shared" si="4"/>
        <v>2340000</v>
      </c>
      <c r="O496" s="60">
        <f t="shared" si="2"/>
        <v>45893</v>
      </c>
      <c r="P496" s="65" t="str">
        <f>VLOOKUP(I496,DATABASE!C:Q,11,FALSE)</f>
        <v>Tire</v>
      </c>
      <c r="Q496" s="65" t="str">
        <f>VLOOKUP(I496,DATABASE!C:Q,4,FALSE)</f>
        <v>GT</v>
      </c>
      <c r="R496" s="101"/>
    </row>
    <row r="497" ht="22.5" customHeight="1">
      <c r="A497" s="49"/>
      <c r="C497" s="245">
        <v>45863.0</v>
      </c>
      <c r="D497" s="245">
        <v>45863.0</v>
      </c>
      <c r="E497" s="65" t="s">
        <v>160</v>
      </c>
      <c r="F497" s="247" t="s">
        <v>343</v>
      </c>
      <c r="G497" s="248">
        <v>2.500009403E9</v>
      </c>
      <c r="H497" s="93" t="s">
        <v>87</v>
      </c>
      <c r="I497" s="74" t="s">
        <v>2011</v>
      </c>
      <c r="J497" s="249">
        <v>2.0</v>
      </c>
      <c r="K497" s="74" t="s">
        <v>1660</v>
      </c>
      <c r="L497" s="74">
        <v>540000.0</v>
      </c>
      <c r="M497" s="74" t="s">
        <v>755</v>
      </c>
      <c r="N497" s="74">
        <f t="shared" si="4"/>
        <v>1080000</v>
      </c>
      <c r="O497" s="60">
        <f t="shared" si="2"/>
        <v>45893</v>
      </c>
      <c r="P497" s="65" t="str">
        <f>VLOOKUP(I497,DATABASE!C:Q,11,FALSE)</f>
        <v>Tire</v>
      </c>
      <c r="Q497" s="65" t="str">
        <f>VLOOKUP(I497,DATABASE!C:Q,4,FALSE)</f>
        <v>GT</v>
      </c>
      <c r="R497" s="101"/>
    </row>
    <row r="498" ht="22.5" customHeight="1">
      <c r="A498" s="49"/>
      <c r="C498" s="245">
        <v>45863.0</v>
      </c>
      <c r="D498" s="245">
        <v>45863.0</v>
      </c>
      <c r="E498" s="65" t="s">
        <v>160</v>
      </c>
      <c r="F498" s="247" t="s">
        <v>343</v>
      </c>
      <c r="G498" s="248">
        <v>2.500009403E9</v>
      </c>
      <c r="H498" s="93" t="s">
        <v>87</v>
      </c>
      <c r="I498" s="74" t="s">
        <v>1849</v>
      </c>
      <c r="J498" s="249">
        <v>2.0</v>
      </c>
      <c r="K498" s="74" t="s">
        <v>2482</v>
      </c>
      <c r="L498" s="74">
        <v>920000.0</v>
      </c>
      <c r="M498" s="74" t="s">
        <v>755</v>
      </c>
      <c r="N498" s="74">
        <f t="shared" si="4"/>
        <v>1840000</v>
      </c>
      <c r="O498" s="60">
        <f t="shared" si="2"/>
        <v>45893</v>
      </c>
      <c r="P498" s="65" t="str">
        <f>VLOOKUP(I498,DATABASE!C:Q,11,FALSE)</f>
        <v>Tire</v>
      </c>
      <c r="Q498" s="65" t="str">
        <f>VLOOKUP(I498,DATABASE!C:Q,4,FALSE)</f>
        <v>GT</v>
      </c>
      <c r="R498" s="101"/>
    </row>
    <row r="499" ht="22.5" customHeight="1">
      <c r="A499" s="49"/>
      <c r="C499" s="245">
        <v>45863.0</v>
      </c>
      <c r="D499" s="245">
        <v>45863.0</v>
      </c>
      <c r="E499" s="65" t="s">
        <v>160</v>
      </c>
      <c r="F499" s="247" t="s">
        <v>343</v>
      </c>
      <c r="G499" s="248">
        <v>2.500009404E9</v>
      </c>
      <c r="H499" s="93" t="s">
        <v>87</v>
      </c>
      <c r="I499" s="74" t="s">
        <v>786</v>
      </c>
      <c r="J499" s="249">
        <v>2.0</v>
      </c>
      <c r="K499" s="74" t="s">
        <v>2484</v>
      </c>
      <c r="L499" s="74">
        <v>89780.0</v>
      </c>
      <c r="M499" s="74" t="s">
        <v>755</v>
      </c>
      <c r="N499" s="74">
        <f t="shared" si="4"/>
        <v>179560</v>
      </c>
      <c r="O499" s="60">
        <f t="shared" si="2"/>
        <v>45893</v>
      </c>
      <c r="P499" s="65" t="str">
        <f>VLOOKUP(I499,DATABASE!C:Q,11,FALSE)</f>
        <v>Tire</v>
      </c>
      <c r="Q499" s="65" t="str">
        <f>VLOOKUP(I499,DATABASE!C:Q,4,FALSE)</f>
        <v>BD</v>
      </c>
      <c r="R499" s="101"/>
    </row>
    <row r="500" ht="22.5" customHeight="1">
      <c r="A500" s="49"/>
      <c r="C500" s="245">
        <v>45863.0</v>
      </c>
      <c r="D500" s="245">
        <v>45863.0</v>
      </c>
      <c r="E500" s="65" t="s">
        <v>160</v>
      </c>
      <c r="F500" s="247" t="s">
        <v>343</v>
      </c>
      <c r="G500" s="248">
        <v>2.500009404E9</v>
      </c>
      <c r="H500" s="93" t="s">
        <v>87</v>
      </c>
      <c r="I500" s="74" t="s">
        <v>812</v>
      </c>
      <c r="J500" s="249">
        <v>2.0</v>
      </c>
      <c r="K500" s="74" t="s">
        <v>2486</v>
      </c>
      <c r="L500" s="74">
        <v>140700.0</v>
      </c>
      <c r="M500" s="74" t="s">
        <v>755</v>
      </c>
      <c r="N500" s="74">
        <f t="shared" si="4"/>
        <v>281400</v>
      </c>
      <c r="O500" s="60">
        <f t="shared" si="2"/>
        <v>45893</v>
      </c>
      <c r="P500" s="65" t="str">
        <f>VLOOKUP(I500,DATABASE!C:Q,11,FALSE)</f>
        <v>Tire</v>
      </c>
      <c r="Q500" s="65" t="str">
        <f>VLOOKUP(I500,DATABASE!C:Q,4,FALSE)</f>
        <v>BD</v>
      </c>
      <c r="R500" s="101"/>
    </row>
    <row r="501" ht="22.5" customHeight="1">
      <c r="A501" s="49"/>
      <c r="C501" s="245">
        <v>45863.0</v>
      </c>
      <c r="D501" s="245">
        <v>45863.0</v>
      </c>
      <c r="E501" s="65" t="s">
        <v>160</v>
      </c>
      <c r="F501" s="247" t="s">
        <v>343</v>
      </c>
      <c r="G501" s="248">
        <v>2.500009404E9</v>
      </c>
      <c r="H501" s="93" t="s">
        <v>87</v>
      </c>
      <c r="I501" s="74" t="s">
        <v>1770</v>
      </c>
      <c r="J501" s="249">
        <v>2.0</v>
      </c>
      <c r="K501" s="74" t="s">
        <v>2488</v>
      </c>
      <c r="L501" s="74">
        <v>36850.0</v>
      </c>
      <c r="M501" s="74" t="s">
        <v>755</v>
      </c>
      <c r="N501" s="74">
        <f t="shared" si="4"/>
        <v>73700</v>
      </c>
      <c r="O501" s="60">
        <f t="shared" si="2"/>
        <v>45893</v>
      </c>
      <c r="P501" s="65" t="str">
        <f>VLOOKUP(I501,DATABASE!C:Q,11,FALSE)</f>
        <v>Tire</v>
      </c>
      <c r="Q501" s="65" t="str">
        <f>VLOOKUP(I501,DATABASE!C:Q,4,FALSE)</f>
        <v>Flap</v>
      </c>
      <c r="R501" s="101"/>
    </row>
    <row r="502" ht="22.5" customHeight="1">
      <c r="A502" s="49"/>
      <c r="C502" s="245">
        <v>45863.0</v>
      </c>
      <c r="D502" s="245">
        <v>45863.0</v>
      </c>
      <c r="E502" s="65" t="s">
        <v>160</v>
      </c>
      <c r="F502" s="247" t="s">
        <v>343</v>
      </c>
      <c r="G502" s="248">
        <v>2.500009404E9</v>
      </c>
      <c r="H502" s="93" t="s">
        <v>87</v>
      </c>
      <c r="I502" s="74" t="s">
        <v>1677</v>
      </c>
      <c r="J502" s="249">
        <v>2.0</v>
      </c>
      <c r="K502" s="74" t="s">
        <v>2490</v>
      </c>
      <c r="L502" s="74">
        <v>50920.0</v>
      </c>
      <c r="M502" s="74" t="s">
        <v>755</v>
      </c>
      <c r="N502" s="74">
        <f t="shared" si="4"/>
        <v>101840</v>
      </c>
      <c r="O502" s="60">
        <f t="shared" si="2"/>
        <v>45893</v>
      </c>
      <c r="P502" s="65" t="str">
        <f>VLOOKUP(I502,DATABASE!C:Q,11,FALSE)</f>
        <v>Tire</v>
      </c>
      <c r="Q502" s="65" t="str">
        <f>VLOOKUP(I502,DATABASE!C:Q,4,FALSE)</f>
        <v>Flap</v>
      </c>
      <c r="R502" s="101"/>
    </row>
    <row r="503" ht="22.5" customHeight="1">
      <c r="A503" s="49"/>
      <c r="C503" s="245">
        <v>45866.0</v>
      </c>
      <c r="D503" s="245">
        <v>45866.0</v>
      </c>
      <c r="E503" s="246" t="s">
        <v>97</v>
      </c>
      <c r="F503" s="247" t="s">
        <v>343</v>
      </c>
      <c r="G503" s="248" t="s">
        <v>2436</v>
      </c>
      <c r="H503" s="93" t="s">
        <v>87</v>
      </c>
      <c r="I503" s="74" t="s">
        <v>591</v>
      </c>
      <c r="J503" s="249">
        <v>2.0</v>
      </c>
      <c r="K503" s="74">
        <v>593541.0</v>
      </c>
      <c r="L503" s="74">
        <v>593541.0</v>
      </c>
      <c r="M503" s="74" t="s">
        <v>521</v>
      </c>
      <c r="N503" s="74">
        <f t="shared" si="4"/>
        <v>1187082</v>
      </c>
      <c r="O503" s="60">
        <f t="shared" si="2"/>
        <v>45926</v>
      </c>
      <c r="P503" s="65" t="str">
        <f>VLOOKUP(I503,DATABASE!C:Q,11,FALSE)</f>
        <v>Tire</v>
      </c>
      <c r="Q503" s="65" t="str">
        <f>VLOOKUP(I503,DATABASE!C:Q,4,FALSE)</f>
        <v>Bridgestone</v>
      </c>
      <c r="R503" s="101"/>
    </row>
    <row r="504" ht="22.5" customHeight="1">
      <c r="A504" s="49"/>
      <c r="C504" s="245">
        <v>45866.0</v>
      </c>
      <c r="D504" s="245">
        <v>45866.0</v>
      </c>
      <c r="E504" s="65" t="s">
        <v>110</v>
      </c>
      <c r="F504" s="247" t="s">
        <v>343</v>
      </c>
      <c r="G504" s="248">
        <v>2.5010034E7</v>
      </c>
      <c r="H504" s="93" t="s">
        <v>7</v>
      </c>
      <c r="I504" s="74" t="s">
        <v>1009</v>
      </c>
      <c r="J504" s="249">
        <v>4.0</v>
      </c>
      <c r="K504" s="74" t="s">
        <v>1010</v>
      </c>
      <c r="L504" s="74">
        <v>582800.0</v>
      </c>
      <c r="M504" s="74" t="s">
        <v>755</v>
      </c>
      <c r="N504" s="74">
        <f t="shared" si="4"/>
        <v>2331200</v>
      </c>
      <c r="O504" s="60">
        <f t="shared" si="2"/>
        <v>45896</v>
      </c>
      <c r="P504" s="65" t="str">
        <f>VLOOKUP(I504,DATABASE!C:Q,11,FALSE)</f>
        <v>Tire</v>
      </c>
      <c r="Q504" s="65" t="str">
        <f>VLOOKUP(I504,DATABASE!C:Q,4,FALSE)</f>
        <v>GT</v>
      </c>
      <c r="R504" s="101"/>
    </row>
    <row r="505" ht="22.5" customHeight="1">
      <c r="A505" s="49"/>
      <c r="C505" s="245">
        <v>45866.0</v>
      </c>
      <c r="D505" s="245">
        <v>45866.0</v>
      </c>
      <c r="E505" s="65" t="s">
        <v>81</v>
      </c>
      <c r="F505" s="247" t="s">
        <v>343</v>
      </c>
      <c r="G505" s="248" t="s">
        <v>1370</v>
      </c>
      <c r="H505" s="93" t="s">
        <v>87</v>
      </c>
      <c r="I505" s="74" t="s">
        <v>261</v>
      </c>
      <c r="J505" s="249">
        <v>8.0</v>
      </c>
      <c r="K505" s="74" t="s">
        <v>2494</v>
      </c>
      <c r="L505" s="74">
        <v>421000.0</v>
      </c>
      <c r="M505" s="74" t="s">
        <v>657</v>
      </c>
      <c r="N505" s="74">
        <f t="shared" si="4"/>
        <v>3368000</v>
      </c>
      <c r="O505" s="60">
        <f t="shared" si="2"/>
        <v>45941</v>
      </c>
      <c r="P505" s="65" t="str">
        <f>VLOOKUP(I505,DATABASE!C:Q,11,FALSE)</f>
        <v>Tire</v>
      </c>
      <c r="Q505" s="65" t="str">
        <f>VLOOKUP(I505,DATABASE!C:Q,4,FALSE)</f>
        <v>Dunlop</v>
      </c>
      <c r="R505" s="101"/>
    </row>
    <row r="506" ht="22.5" customHeight="1">
      <c r="A506" s="49"/>
      <c r="C506" s="245">
        <v>45866.0</v>
      </c>
      <c r="D506" s="245">
        <v>45866.0</v>
      </c>
      <c r="E506" s="65" t="s">
        <v>81</v>
      </c>
      <c r="F506" s="247" t="s">
        <v>343</v>
      </c>
      <c r="G506" s="248" t="s">
        <v>1370</v>
      </c>
      <c r="H506" s="93" t="s">
        <v>87</v>
      </c>
      <c r="I506" s="74" t="s">
        <v>1507</v>
      </c>
      <c r="J506" s="249">
        <v>4.0</v>
      </c>
      <c r="K506" s="74" t="s">
        <v>2444</v>
      </c>
      <c r="L506" s="74">
        <v>638500.0</v>
      </c>
      <c r="M506" s="74" t="s">
        <v>657</v>
      </c>
      <c r="N506" s="74">
        <f t="shared" si="4"/>
        <v>2554000</v>
      </c>
      <c r="O506" s="60">
        <f t="shared" si="2"/>
        <v>45941</v>
      </c>
      <c r="P506" s="65" t="str">
        <f>VLOOKUP(I506,DATABASE!C:Q,11,FALSE)</f>
        <v>Tire</v>
      </c>
      <c r="Q506" s="65" t="str">
        <f>VLOOKUP(I506,DATABASE!C:Q,4,FALSE)</f>
        <v>Dunlop</v>
      </c>
      <c r="R506" s="101"/>
    </row>
    <row r="507" ht="22.5" customHeight="1">
      <c r="A507" s="49"/>
      <c r="C507" s="245">
        <v>45869.0</v>
      </c>
      <c r="D507" s="245">
        <v>45869.0</v>
      </c>
      <c r="E507" s="65" t="s">
        <v>81</v>
      </c>
      <c r="F507" s="247" t="s">
        <v>343</v>
      </c>
      <c r="G507" s="248" t="s">
        <v>1540</v>
      </c>
      <c r="H507" s="93" t="s">
        <v>87</v>
      </c>
      <c r="I507" s="74" t="s">
        <v>276</v>
      </c>
      <c r="J507" s="249">
        <v>4.0</v>
      </c>
      <c r="K507" s="74" t="s">
        <v>2497</v>
      </c>
      <c r="L507" s="74">
        <v>620000.0</v>
      </c>
      <c r="M507" s="74" t="s">
        <v>657</v>
      </c>
      <c r="N507" s="74">
        <f t="shared" si="4"/>
        <v>2480000</v>
      </c>
      <c r="O507" s="60">
        <f t="shared" si="2"/>
        <v>45944</v>
      </c>
      <c r="P507" s="65" t="str">
        <f>VLOOKUP(I507,DATABASE!C:Q,11,FALSE)</f>
        <v>Tire</v>
      </c>
      <c r="Q507" s="65" t="str">
        <f>VLOOKUP(I507,DATABASE!C:Q,4,FALSE)</f>
        <v>Dunlop</v>
      </c>
      <c r="R507" s="101"/>
    </row>
    <row r="508" ht="22.5" customHeight="1">
      <c r="A508" s="49"/>
      <c r="C508" s="245">
        <v>45869.0</v>
      </c>
      <c r="D508" s="245">
        <v>45869.0</v>
      </c>
      <c r="E508" s="65" t="s">
        <v>81</v>
      </c>
      <c r="F508" s="247" t="s">
        <v>343</v>
      </c>
      <c r="G508" s="248" t="s">
        <v>1540</v>
      </c>
      <c r="H508" s="93" t="s">
        <v>87</v>
      </c>
      <c r="I508" s="74" t="s">
        <v>955</v>
      </c>
      <c r="J508" s="249">
        <v>6.0</v>
      </c>
      <c r="K508" s="74" t="s">
        <v>2402</v>
      </c>
      <c r="L508" s="74">
        <v>688000.0</v>
      </c>
      <c r="M508" s="74" t="s">
        <v>657</v>
      </c>
      <c r="N508" s="74">
        <f t="shared" si="4"/>
        <v>4128000</v>
      </c>
      <c r="O508" s="60">
        <f t="shared" si="2"/>
        <v>45944</v>
      </c>
      <c r="P508" s="65" t="str">
        <f>VLOOKUP(I508,DATABASE!C:Q,11,FALSE)</f>
        <v>Tire</v>
      </c>
      <c r="Q508" s="65" t="str">
        <f>VLOOKUP(I508,DATABASE!C:Q,4,FALSE)</f>
        <v>Dunlop</v>
      </c>
      <c r="R508" s="101"/>
    </row>
    <row r="509" ht="22.5" customHeight="1">
      <c r="A509" s="49"/>
      <c r="C509" s="245">
        <v>45870.0</v>
      </c>
      <c r="D509" s="245">
        <v>45870.0</v>
      </c>
      <c r="E509" s="246" t="s">
        <v>97</v>
      </c>
      <c r="F509" s="247" t="s">
        <v>343</v>
      </c>
      <c r="G509" s="248" t="s">
        <v>2437</v>
      </c>
      <c r="H509" s="93" t="s">
        <v>87</v>
      </c>
      <c r="I509" s="74" t="s">
        <v>591</v>
      </c>
      <c r="J509" s="249">
        <v>1.0</v>
      </c>
      <c r="K509" s="74" t="s">
        <v>2394</v>
      </c>
      <c r="L509" s="74">
        <v>593541.0</v>
      </c>
      <c r="M509" s="74" t="s">
        <v>521</v>
      </c>
      <c r="N509" s="74">
        <f t="shared" si="4"/>
        <v>593541</v>
      </c>
      <c r="O509" s="60">
        <f t="shared" si="2"/>
        <v>45930</v>
      </c>
      <c r="P509" s="65" t="str">
        <f>VLOOKUP(I509,DATABASE!C:Q,11,FALSE)</f>
        <v>Tire</v>
      </c>
      <c r="Q509" s="65" t="str">
        <f>VLOOKUP(I509,DATABASE!C:Q,4,FALSE)</f>
        <v>Bridgestone</v>
      </c>
      <c r="R509" s="101"/>
    </row>
    <row r="510" ht="22.5" customHeight="1">
      <c r="A510" s="49"/>
      <c r="C510" s="245">
        <v>45870.0</v>
      </c>
      <c r="D510" s="245">
        <v>45870.0</v>
      </c>
      <c r="E510" s="65" t="s">
        <v>335</v>
      </c>
      <c r="F510" s="247" t="s">
        <v>343</v>
      </c>
      <c r="G510" s="248" t="s">
        <v>2257</v>
      </c>
      <c r="H510" s="93" t="s">
        <v>7</v>
      </c>
      <c r="I510" s="74" t="s">
        <v>295</v>
      </c>
      <c r="J510" s="249">
        <v>5.0</v>
      </c>
      <c r="K510" s="74" t="s">
        <v>1204</v>
      </c>
      <c r="L510" s="74">
        <v>1425000.0</v>
      </c>
      <c r="M510" s="74" t="s">
        <v>521</v>
      </c>
      <c r="N510" s="74">
        <f t="shared" si="4"/>
        <v>7125000</v>
      </c>
      <c r="O510" s="60">
        <f t="shared" si="2"/>
        <v>45930</v>
      </c>
      <c r="P510" s="65" t="str">
        <f>VLOOKUP(I510,DATABASE!C:Q,11,FALSE)</f>
        <v>Tire</v>
      </c>
      <c r="Q510" s="65" t="str">
        <f>VLOOKUP(I510,DATABASE!C:Q,4,FALSE)</f>
        <v>TIRON</v>
      </c>
      <c r="R510" s="101"/>
    </row>
    <row r="511" ht="22.5" customHeight="1">
      <c r="A511" s="49"/>
      <c r="C511" s="245">
        <v>45870.0</v>
      </c>
      <c r="D511" s="245">
        <v>45870.0</v>
      </c>
      <c r="E511" s="65" t="s">
        <v>335</v>
      </c>
      <c r="F511" s="247" t="s">
        <v>343</v>
      </c>
      <c r="G511" s="248" t="s">
        <v>2257</v>
      </c>
      <c r="H511" s="266" t="s">
        <v>7</v>
      </c>
      <c r="I511" s="267" t="s">
        <v>374</v>
      </c>
      <c r="J511" s="249">
        <v>7.0</v>
      </c>
      <c r="K511" s="74" t="s">
        <v>2342</v>
      </c>
      <c r="L511" s="74">
        <v>1820000.0</v>
      </c>
      <c r="M511" s="74" t="s">
        <v>521</v>
      </c>
      <c r="N511" s="74">
        <f t="shared" si="4"/>
        <v>12740000</v>
      </c>
      <c r="O511" s="60">
        <f t="shared" si="2"/>
        <v>45930</v>
      </c>
      <c r="P511" s="65" t="str">
        <f>VLOOKUP(I511,DATABASE!C:Q,11,FALSE)</f>
        <v>Tire</v>
      </c>
      <c r="Q511" s="65" t="str">
        <f>VLOOKUP(I511,DATABASE!C:Q,4,FALSE)</f>
        <v>Advance</v>
      </c>
      <c r="R511" s="101"/>
    </row>
    <row r="512" ht="22.5" customHeight="1">
      <c r="A512" s="49"/>
      <c r="C512" s="245">
        <v>45870.0</v>
      </c>
      <c r="D512" s="245">
        <v>45870.0</v>
      </c>
      <c r="E512" s="65" t="s">
        <v>335</v>
      </c>
      <c r="F512" s="247" t="s">
        <v>343</v>
      </c>
      <c r="G512" s="248" t="s">
        <v>2257</v>
      </c>
      <c r="H512" s="93" t="s">
        <v>7</v>
      </c>
      <c r="I512" s="74" t="s">
        <v>403</v>
      </c>
      <c r="J512" s="249">
        <v>6.0</v>
      </c>
      <c r="K512" s="74" t="s">
        <v>920</v>
      </c>
      <c r="L512" s="74">
        <v>2160000.0</v>
      </c>
      <c r="M512" s="74" t="s">
        <v>521</v>
      </c>
      <c r="N512" s="74">
        <f t="shared" si="4"/>
        <v>12960000</v>
      </c>
      <c r="O512" s="60">
        <f t="shared" si="2"/>
        <v>45930</v>
      </c>
      <c r="P512" s="65" t="str">
        <f>VLOOKUP(I512,DATABASE!C:Q,11,FALSE)</f>
        <v>Tire</v>
      </c>
      <c r="Q512" s="65" t="str">
        <f>VLOOKUP(I512,DATABASE!C:Q,4,FALSE)</f>
        <v>Advance</v>
      </c>
      <c r="R512" s="101"/>
    </row>
    <row r="513" ht="22.5" customHeight="1">
      <c r="A513" s="49"/>
      <c r="C513" s="245">
        <v>45876.0</v>
      </c>
      <c r="D513" s="245">
        <v>45876.0</v>
      </c>
      <c r="E513" s="65" t="s">
        <v>349</v>
      </c>
      <c r="F513" s="247" t="s">
        <v>343</v>
      </c>
      <c r="G513" s="248" t="s">
        <v>2295</v>
      </c>
      <c r="H513" s="93" t="s">
        <v>7</v>
      </c>
      <c r="I513" s="93" t="s">
        <v>2064</v>
      </c>
      <c r="J513" s="249">
        <v>2.0</v>
      </c>
      <c r="K513" s="74" t="s">
        <v>2504</v>
      </c>
      <c r="L513" s="74">
        <v>593000.0</v>
      </c>
      <c r="M513" s="74" t="s">
        <v>755</v>
      </c>
      <c r="N513" s="74">
        <f t="shared" si="4"/>
        <v>1186000</v>
      </c>
      <c r="O513" s="60">
        <f t="shared" si="2"/>
        <v>45906</v>
      </c>
      <c r="P513" s="65" t="str">
        <f>VLOOKUP(I513,DATABASE!C:Q,11,FALSE)</f>
        <v>Tire</v>
      </c>
      <c r="Q513" s="65" t="str">
        <f>VLOOKUP(I513,DATABASE!C:Q,4,FALSE)</f>
        <v>Hankook</v>
      </c>
      <c r="R513" s="101"/>
    </row>
    <row r="514" ht="22.5" customHeight="1">
      <c r="A514" s="49"/>
      <c r="C514" s="245">
        <v>45876.0</v>
      </c>
      <c r="D514" s="245">
        <v>45876.0</v>
      </c>
      <c r="E514" s="246" t="s">
        <v>97</v>
      </c>
      <c r="F514" s="247" t="s">
        <v>343</v>
      </c>
      <c r="G514" s="248" t="s">
        <v>2506</v>
      </c>
      <c r="H514" s="93" t="s">
        <v>87</v>
      </c>
      <c r="I514" s="74" t="s">
        <v>591</v>
      </c>
      <c r="J514" s="249">
        <v>2.0</v>
      </c>
      <c r="K514" s="74" t="s">
        <v>2394</v>
      </c>
      <c r="L514" s="74">
        <v>593541.0</v>
      </c>
      <c r="M514" s="74" t="s">
        <v>521</v>
      </c>
      <c r="N514" s="74">
        <f t="shared" si="4"/>
        <v>1187082</v>
      </c>
      <c r="O514" s="60">
        <f t="shared" si="2"/>
        <v>45936</v>
      </c>
      <c r="P514" s="65" t="str">
        <f>VLOOKUP(I514,DATABASE!C:Q,11,FALSE)</f>
        <v>Tire</v>
      </c>
      <c r="Q514" s="65" t="str">
        <f>VLOOKUP(I514,DATABASE!C:Q,4,FALSE)</f>
        <v>Bridgestone</v>
      </c>
      <c r="R514" s="101"/>
    </row>
    <row r="515" ht="22.5" customHeight="1">
      <c r="A515" s="49"/>
      <c r="C515" s="245">
        <v>45877.0</v>
      </c>
      <c r="D515" s="245">
        <v>45877.0</v>
      </c>
      <c r="E515" s="65" t="s">
        <v>123</v>
      </c>
      <c r="F515" s="247" t="s">
        <v>343</v>
      </c>
      <c r="G515" s="248" t="s">
        <v>2391</v>
      </c>
      <c r="H515" s="93" t="s">
        <v>7</v>
      </c>
      <c r="I515" s="74" t="s">
        <v>839</v>
      </c>
      <c r="J515" s="249">
        <v>9.0</v>
      </c>
      <c r="K515" s="74" t="s">
        <v>840</v>
      </c>
      <c r="L515" s="74">
        <v>475700.0</v>
      </c>
      <c r="M515" s="74" t="s">
        <v>755</v>
      </c>
      <c r="N515" s="74">
        <f t="shared" si="4"/>
        <v>4281300</v>
      </c>
      <c r="O515" s="60">
        <f t="shared" si="2"/>
        <v>45907</v>
      </c>
      <c r="P515" s="65" t="str">
        <f>VLOOKUP(I515,DATABASE!C:Q,11,FALSE)</f>
        <v>Tire</v>
      </c>
      <c r="Q515" s="65" t="str">
        <f>VLOOKUP(I515,DATABASE!C:Q,4,FALSE)</f>
        <v>GT</v>
      </c>
      <c r="R515" s="101"/>
    </row>
    <row r="516" ht="22.5" customHeight="1">
      <c r="A516" s="49"/>
      <c r="C516" s="245">
        <v>45877.0</v>
      </c>
      <c r="D516" s="245">
        <v>45877.0</v>
      </c>
      <c r="E516" s="65" t="s">
        <v>123</v>
      </c>
      <c r="F516" s="247" t="s">
        <v>343</v>
      </c>
      <c r="G516" s="248" t="s">
        <v>2391</v>
      </c>
      <c r="H516" s="93" t="s">
        <v>7</v>
      </c>
      <c r="I516" s="74" t="s">
        <v>288</v>
      </c>
      <c r="J516" s="249">
        <v>7.0</v>
      </c>
      <c r="K516" s="74" t="s">
        <v>831</v>
      </c>
      <c r="L516" s="74">
        <v>524800.0</v>
      </c>
      <c r="M516" s="74" t="s">
        <v>755</v>
      </c>
      <c r="N516" s="74">
        <f t="shared" si="4"/>
        <v>3673600</v>
      </c>
      <c r="O516" s="60">
        <f t="shared" si="2"/>
        <v>45907</v>
      </c>
      <c r="P516" s="65" t="str">
        <f>VLOOKUP(I516,DATABASE!C:Q,11,FALSE)</f>
        <v>Tire</v>
      </c>
      <c r="Q516" s="65" t="str">
        <f>VLOOKUP(I516,DATABASE!C:Q,4,FALSE)</f>
        <v>GT</v>
      </c>
      <c r="R516" s="101"/>
    </row>
    <row r="517" ht="22.5" customHeight="1">
      <c r="A517" s="49"/>
      <c r="C517" s="245">
        <v>45877.0</v>
      </c>
      <c r="D517" s="245">
        <v>45877.0</v>
      </c>
      <c r="E517" s="65" t="s">
        <v>123</v>
      </c>
      <c r="F517" s="247" t="s">
        <v>343</v>
      </c>
      <c r="G517" s="248" t="s">
        <v>2391</v>
      </c>
      <c r="H517" s="93" t="s">
        <v>7</v>
      </c>
      <c r="I517" s="74" t="s">
        <v>1867</v>
      </c>
      <c r="J517" s="249">
        <v>4.0</v>
      </c>
      <c r="K517" s="74" t="s">
        <v>2510</v>
      </c>
      <c r="L517" s="74">
        <v>558200.0</v>
      </c>
      <c r="M517" s="74" t="s">
        <v>755</v>
      </c>
      <c r="N517" s="74">
        <f t="shared" si="4"/>
        <v>2232800</v>
      </c>
      <c r="O517" s="60">
        <f t="shared" si="2"/>
        <v>45907</v>
      </c>
      <c r="P517" s="65" t="str">
        <f>VLOOKUP(I517,DATABASE!C:Q,11,FALSE)</f>
        <v>Tire</v>
      </c>
      <c r="Q517" s="65" t="str">
        <f>VLOOKUP(I517,DATABASE!C:Q,4,FALSE)</f>
        <v>GT</v>
      </c>
      <c r="R517" s="101"/>
    </row>
    <row r="518" ht="22.5" customHeight="1">
      <c r="A518" s="49"/>
      <c r="C518" s="245">
        <v>45877.0</v>
      </c>
      <c r="D518" s="245">
        <v>45877.0</v>
      </c>
      <c r="E518" s="65" t="s">
        <v>123</v>
      </c>
      <c r="F518" s="247" t="s">
        <v>343</v>
      </c>
      <c r="G518" s="248" t="s">
        <v>2391</v>
      </c>
      <c r="H518" s="93" t="s">
        <v>7</v>
      </c>
      <c r="I518" s="74" t="s">
        <v>1009</v>
      </c>
      <c r="J518" s="249">
        <v>6.0</v>
      </c>
      <c r="K518" s="74" t="s">
        <v>1414</v>
      </c>
      <c r="L518" s="74">
        <v>592200.0</v>
      </c>
      <c r="M518" s="74" t="s">
        <v>755</v>
      </c>
      <c r="N518" s="74">
        <f t="shared" si="4"/>
        <v>3553200</v>
      </c>
      <c r="O518" s="60">
        <f t="shared" si="2"/>
        <v>45907</v>
      </c>
      <c r="P518" s="65" t="str">
        <f>VLOOKUP(I518,DATABASE!C:Q,11,FALSE)</f>
        <v>Tire</v>
      </c>
      <c r="Q518" s="65" t="str">
        <f>VLOOKUP(I518,DATABASE!C:Q,4,FALSE)</f>
        <v>GT</v>
      </c>
      <c r="R518" s="101"/>
    </row>
    <row r="519" ht="22.5" customHeight="1">
      <c r="A519" s="49"/>
      <c r="C519" s="245">
        <v>45877.0</v>
      </c>
      <c r="D519" s="245">
        <v>45877.0</v>
      </c>
      <c r="E519" s="65" t="s">
        <v>123</v>
      </c>
      <c r="F519" s="247" t="s">
        <v>343</v>
      </c>
      <c r="G519" s="248" t="s">
        <v>2391</v>
      </c>
      <c r="H519" s="93" t="s">
        <v>7</v>
      </c>
      <c r="I519" s="74" t="s">
        <v>290</v>
      </c>
      <c r="J519" s="249">
        <v>10.0</v>
      </c>
      <c r="K519" s="74" t="s">
        <v>1417</v>
      </c>
      <c r="L519" s="74">
        <v>609800.0</v>
      </c>
      <c r="M519" s="74" t="s">
        <v>755</v>
      </c>
      <c r="N519" s="74">
        <f t="shared" si="4"/>
        <v>6098000</v>
      </c>
      <c r="O519" s="60">
        <f t="shared" si="2"/>
        <v>45907</v>
      </c>
      <c r="P519" s="65" t="str">
        <f>VLOOKUP(I519,DATABASE!C:Q,11,FALSE)</f>
        <v>Tire</v>
      </c>
      <c r="Q519" s="65" t="str">
        <f>VLOOKUP(I519,DATABASE!C:Q,4,FALSE)</f>
        <v>GT</v>
      </c>
      <c r="R519" s="101"/>
    </row>
    <row r="520" ht="22.5" customHeight="1">
      <c r="A520" s="49"/>
      <c r="C520" s="245">
        <v>45877.0</v>
      </c>
      <c r="D520" s="245">
        <v>45877.0</v>
      </c>
      <c r="E520" s="65" t="s">
        <v>123</v>
      </c>
      <c r="F520" s="247" t="s">
        <v>343</v>
      </c>
      <c r="G520" s="248" t="s">
        <v>2391</v>
      </c>
      <c r="H520" s="93" t="s">
        <v>7</v>
      </c>
      <c r="I520" s="74" t="s">
        <v>1894</v>
      </c>
      <c r="J520" s="249">
        <v>3.0</v>
      </c>
      <c r="K520" s="74" t="s">
        <v>2102</v>
      </c>
      <c r="L520" s="74">
        <v>445400.0</v>
      </c>
      <c r="M520" s="74" t="s">
        <v>755</v>
      </c>
      <c r="N520" s="74">
        <f t="shared" si="4"/>
        <v>1336200</v>
      </c>
      <c r="O520" s="60">
        <f t="shared" si="2"/>
        <v>45907</v>
      </c>
      <c r="P520" s="65" t="str">
        <f>VLOOKUP(I520,DATABASE!C:Q,11,FALSE)</f>
        <v>Tire</v>
      </c>
      <c r="Q520" s="65" t="str">
        <f>VLOOKUP(I520,DATABASE!C:Q,4,FALSE)</f>
        <v>GT</v>
      </c>
      <c r="R520" s="101"/>
    </row>
    <row r="521" ht="22.5" customHeight="1">
      <c r="A521" s="49"/>
      <c r="C521" s="245">
        <v>45877.0</v>
      </c>
      <c r="D521" s="245">
        <v>45877.0</v>
      </c>
      <c r="E521" s="65" t="s">
        <v>123</v>
      </c>
      <c r="F521" s="247" t="s">
        <v>343</v>
      </c>
      <c r="G521" s="248" t="s">
        <v>2391</v>
      </c>
      <c r="H521" s="93" t="s">
        <v>7</v>
      </c>
      <c r="I521" s="74" t="s">
        <v>847</v>
      </c>
      <c r="J521" s="249">
        <v>3.0</v>
      </c>
      <c r="K521" s="74" t="s">
        <v>850</v>
      </c>
      <c r="L521" s="74">
        <v>672200.0</v>
      </c>
      <c r="M521" s="74" t="s">
        <v>755</v>
      </c>
      <c r="N521" s="74">
        <f t="shared" si="4"/>
        <v>2016600</v>
      </c>
      <c r="O521" s="60">
        <f t="shared" si="2"/>
        <v>45907</v>
      </c>
      <c r="P521" s="65" t="str">
        <f>VLOOKUP(I521,DATABASE!C:Q,11,FALSE)</f>
        <v>Tire</v>
      </c>
      <c r="Q521" s="65" t="str">
        <f>VLOOKUP(I521,DATABASE!C:Q,4,FALSE)</f>
        <v>GT</v>
      </c>
      <c r="R521" s="101"/>
    </row>
    <row r="522" ht="22.5" customHeight="1">
      <c r="A522" s="49"/>
      <c r="C522" s="245">
        <v>45877.0</v>
      </c>
      <c r="D522" s="245">
        <v>45877.0</v>
      </c>
      <c r="E522" s="65" t="s">
        <v>123</v>
      </c>
      <c r="F522" s="247" t="s">
        <v>343</v>
      </c>
      <c r="G522" s="248" t="s">
        <v>2391</v>
      </c>
      <c r="H522" s="93" t="s">
        <v>7</v>
      </c>
      <c r="I522" s="74" t="s">
        <v>1960</v>
      </c>
      <c r="J522" s="249">
        <v>4.0</v>
      </c>
      <c r="K522" s="74" t="s">
        <v>2516</v>
      </c>
      <c r="L522" s="74">
        <v>808300.0</v>
      </c>
      <c r="M522" s="74" t="s">
        <v>755</v>
      </c>
      <c r="N522" s="74">
        <f t="shared" si="4"/>
        <v>3233200</v>
      </c>
      <c r="O522" s="60">
        <f t="shared" si="2"/>
        <v>45907</v>
      </c>
      <c r="P522" s="65" t="str">
        <f>VLOOKUP(I522,DATABASE!C:Q,11,FALSE)</f>
        <v>Tire</v>
      </c>
      <c r="Q522" s="65" t="str">
        <f>VLOOKUP(I522,DATABASE!C:Q,4,FALSE)</f>
        <v>GT</v>
      </c>
      <c r="R522" s="101"/>
    </row>
    <row r="523" ht="22.5" customHeight="1">
      <c r="A523" s="49"/>
      <c r="C523" s="245">
        <v>45877.0</v>
      </c>
      <c r="D523" s="245">
        <v>45877.0</v>
      </c>
      <c r="E523" s="65" t="s">
        <v>123</v>
      </c>
      <c r="F523" s="247" t="s">
        <v>343</v>
      </c>
      <c r="G523" s="248" t="s">
        <v>2391</v>
      </c>
      <c r="H523" s="93" t="s">
        <v>7</v>
      </c>
      <c r="I523" s="74" t="s">
        <v>868</v>
      </c>
      <c r="J523" s="249">
        <v>2.0</v>
      </c>
      <c r="K523" s="74" t="s">
        <v>870</v>
      </c>
      <c r="L523" s="74">
        <v>836000.0</v>
      </c>
      <c r="M523" s="74" t="s">
        <v>755</v>
      </c>
      <c r="N523" s="74">
        <f t="shared" si="4"/>
        <v>1672000</v>
      </c>
      <c r="O523" s="60">
        <f t="shared" si="2"/>
        <v>45907</v>
      </c>
      <c r="P523" s="65" t="str">
        <f>VLOOKUP(I523,DATABASE!C:Q,11,FALSE)</f>
        <v>Tire</v>
      </c>
      <c r="Q523" s="65" t="str">
        <f>VLOOKUP(I523,DATABASE!C:Q,4,FALSE)</f>
        <v>GT</v>
      </c>
      <c r="R523" s="101"/>
    </row>
    <row r="524" ht="22.5" customHeight="1">
      <c r="A524" s="49"/>
      <c r="C524" s="245">
        <v>45877.0</v>
      </c>
      <c r="D524" s="245">
        <v>45877.0</v>
      </c>
      <c r="E524" s="65" t="s">
        <v>123</v>
      </c>
      <c r="F524" s="247" t="s">
        <v>343</v>
      </c>
      <c r="G524" s="248" t="s">
        <v>2391</v>
      </c>
      <c r="H524" s="93" t="s">
        <v>7</v>
      </c>
      <c r="I524" s="74" t="s">
        <v>1439</v>
      </c>
      <c r="J524" s="249">
        <v>6.0</v>
      </c>
      <c r="K524" s="74" t="s">
        <v>1441</v>
      </c>
      <c r="L524" s="74">
        <v>540800.0</v>
      </c>
      <c r="M524" s="74" t="s">
        <v>755</v>
      </c>
      <c r="N524" s="74">
        <f t="shared" si="4"/>
        <v>3244800</v>
      </c>
      <c r="O524" s="60">
        <f t="shared" si="2"/>
        <v>45907</v>
      </c>
      <c r="P524" s="65" t="str">
        <f>VLOOKUP(I524,DATABASE!C:Q,11,FALSE)</f>
        <v>Tire</v>
      </c>
      <c r="Q524" s="65" t="str">
        <f>VLOOKUP(I524,DATABASE!C:Q,4,FALSE)</f>
        <v>GT</v>
      </c>
      <c r="R524" s="101"/>
    </row>
    <row r="525" ht="22.5" customHeight="1">
      <c r="A525" s="49"/>
      <c r="C525" s="245">
        <v>45877.0</v>
      </c>
      <c r="D525" s="245">
        <v>45877.0</v>
      </c>
      <c r="E525" s="65" t="s">
        <v>123</v>
      </c>
      <c r="F525" s="247" t="s">
        <v>343</v>
      </c>
      <c r="G525" s="248" t="s">
        <v>2391</v>
      </c>
      <c r="H525" s="93" t="s">
        <v>7</v>
      </c>
      <c r="I525" s="74" t="s">
        <v>287</v>
      </c>
      <c r="J525" s="249">
        <v>8.0</v>
      </c>
      <c r="K525" s="74" t="s">
        <v>861</v>
      </c>
      <c r="L525" s="74">
        <v>690600.0</v>
      </c>
      <c r="M525" s="74" t="s">
        <v>755</v>
      </c>
      <c r="N525" s="74">
        <f t="shared" si="4"/>
        <v>5524800</v>
      </c>
      <c r="O525" s="60">
        <f t="shared" si="2"/>
        <v>45907</v>
      </c>
      <c r="P525" s="65" t="str">
        <f>VLOOKUP(I525,DATABASE!C:Q,11,FALSE)</f>
        <v>Tire</v>
      </c>
      <c r="Q525" s="65" t="str">
        <f>VLOOKUP(I525,DATABASE!C:Q,4,FALSE)</f>
        <v>GT</v>
      </c>
      <c r="R525" s="101"/>
    </row>
    <row r="526" ht="22.5" customHeight="1">
      <c r="A526" s="49"/>
      <c r="C526" s="245">
        <v>45877.0</v>
      </c>
      <c r="D526" s="245">
        <v>45877.0</v>
      </c>
      <c r="E526" s="65" t="s">
        <v>123</v>
      </c>
      <c r="F526" s="247" t="s">
        <v>343</v>
      </c>
      <c r="G526" s="248" t="s">
        <v>2391</v>
      </c>
      <c r="H526" s="93" t="s">
        <v>7</v>
      </c>
      <c r="I526" s="74" t="s">
        <v>1912</v>
      </c>
      <c r="J526" s="249">
        <v>7.0</v>
      </c>
      <c r="K526" s="74" t="s">
        <v>2521</v>
      </c>
      <c r="L526" s="74">
        <v>636300.0</v>
      </c>
      <c r="M526" s="74" t="s">
        <v>755</v>
      </c>
      <c r="N526" s="74">
        <f t="shared" si="4"/>
        <v>4454100</v>
      </c>
      <c r="O526" s="60">
        <f t="shared" si="2"/>
        <v>45907</v>
      </c>
      <c r="P526" s="65" t="str">
        <f>VLOOKUP(I526,DATABASE!C:Q,11,FALSE)</f>
        <v>Tire</v>
      </c>
      <c r="Q526" s="65" t="str">
        <f>VLOOKUP(I526,DATABASE!C:Q,4,FALSE)</f>
        <v>GT</v>
      </c>
      <c r="R526" s="101"/>
    </row>
    <row r="527" ht="22.5" customHeight="1">
      <c r="A527" s="49"/>
      <c r="C527" s="245">
        <v>45877.0</v>
      </c>
      <c r="D527" s="245">
        <v>45877.0</v>
      </c>
      <c r="E527" s="65" t="s">
        <v>123</v>
      </c>
      <c r="F527" s="247" t="s">
        <v>343</v>
      </c>
      <c r="G527" s="248" t="s">
        <v>2392</v>
      </c>
      <c r="H527" s="93" t="s">
        <v>7</v>
      </c>
      <c r="I527" s="74" t="s">
        <v>781</v>
      </c>
      <c r="J527" s="249">
        <v>10.0</v>
      </c>
      <c r="K527" s="74" t="s">
        <v>1963</v>
      </c>
      <c r="L527" s="74">
        <v>435000.0</v>
      </c>
      <c r="M527" s="74" t="s">
        <v>755</v>
      </c>
      <c r="N527" s="74">
        <f t="shared" si="4"/>
        <v>4350000</v>
      </c>
      <c r="O527" s="60">
        <f t="shared" si="2"/>
        <v>45907</v>
      </c>
      <c r="P527" s="65" t="str">
        <f>VLOOKUP(I527,DATABASE!C:Q,11,FALSE)</f>
        <v>Tire</v>
      </c>
      <c r="Q527" s="65" t="str">
        <f>VLOOKUP(I527,DATABASE!C:Q,4,FALSE)</f>
        <v>GT</v>
      </c>
      <c r="R527" s="101"/>
    </row>
    <row r="528" ht="22.5" customHeight="1">
      <c r="A528" s="49"/>
      <c r="C528" s="245">
        <v>45877.0</v>
      </c>
      <c r="D528" s="245">
        <v>45877.0</v>
      </c>
      <c r="E528" s="65" t="s">
        <v>123</v>
      </c>
      <c r="F528" s="247" t="s">
        <v>343</v>
      </c>
      <c r="G528" s="248" t="s">
        <v>2392</v>
      </c>
      <c r="H528" s="93" t="s">
        <v>7</v>
      </c>
      <c r="I528" s="74" t="s">
        <v>294</v>
      </c>
      <c r="J528" s="249">
        <v>7.0</v>
      </c>
      <c r="K528" s="74" t="s">
        <v>1143</v>
      </c>
      <c r="L528" s="74">
        <v>490000.0</v>
      </c>
      <c r="M528" s="74" t="s">
        <v>755</v>
      </c>
      <c r="N528" s="74">
        <f t="shared" si="4"/>
        <v>3430000</v>
      </c>
      <c r="O528" s="60">
        <f t="shared" si="2"/>
        <v>45907</v>
      </c>
      <c r="P528" s="65" t="str">
        <f>VLOOKUP(I528,DATABASE!C:Q,11,FALSE)</f>
        <v>Tire</v>
      </c>
      <c r="Q528" s="65" t="str">
        <f>VLOOKUP(I528,DATABASE!C:Q,4,FALSE)</f>
        <v>GT</v>
      </c>
      <c r="R528" s="101"/>
    </row>
    <row r="529" ht="22.5" customHeight="1">
      <c r="A529" s="49"/>
      <c r="C529" s="245">
        <v>45877.0</v>
      </c>
      <c r="D529" s="245">
        <v>45877.0</v>
      </c>
      <c r="E529" s="65" t="s">
        <v>123</v>
      </c>
      <c r="F529" s="247" t="s">
        <v>343</v>
      </c>
      <c r="G529" s="248" t="s">
        <v>2392</v>
      </c>
      <c r="H529" s="93" t="s">
        <v>7</v>
      </c>
      <c r="I529" s="74" t="s">
        <v>2019</v>
      </c>
      <c r="J529" s="249">
        <v>8.0</v>
      </c>
      <c r="K529" s="74" t="s">
        <v>2130</v>
      </c>
      <c r="L529" s="74">
        <v>585000.0</v>
      </c>
      <c r="M529" s="74" t="s">
        <v>755</v>
      </c>
      <c r="N529" s="74">
        <f t="shared" si="4"/>
        <v>4680000</v>
      </c>
      <c r="O529" s="60">
        <f t="shared" si="2"/>
        <v>45907</v>
      </c>
      <c r="P529" s="65" t="str">
        <f>VLOOKUP(I529,DATABASE!C:Q,11,FALSE)</f>
        <v>Tire</v>
      </c>
      <c r="Q529" s="65" t="str">
        <f>VLOOKUP(I529,DATABASE!C:Q,4,FALSE)</f>
        <v>GT</v>
      </c>
      <c r="R529" s="101"/>
    </row>
    <row r="530" ht="22.5" customHeight="1">
      <c r="A530" s="49"/>
      <c r="C530" s="245">
        <v>45877.0</v>
      </c>
      <c r="D530" s="245">
        <v>45877.0</v>
      </c>
      <c r="E530" s="65" t="s">
        <v>123</v>
      </c>
      <c r="F530" s="247" t="s">
        <v>343</v>
      </c>
      <c r="G530" s="248" t="s">
        <v>2392</v>
      </c>
      <c r="H530" s="93" t="s">
        <v>7</v>
      </c>
      <c r="I530" s="74" t="s">
        <v>791</v>
      </c>
      <c r="J530" s="249">
        <v>6.0</v>
      </c>
      <c r="K530" s="74" t="s">
        <v>2134</v>
      </c>
      <c r="L530" s="74">
        <v>1150000.0</v>
      </c>
      <c r="M530" s="74" t="s">
        <v>755</v>
      </c>
      <c r="N530" s="74">
        <f t="shared" si="4"/>
        <v>6900000</v>
      </c>
      <c r="O530" s="60">
        <f t="shared" si="2"/>
        <v>45907</v>
      </c>
      <c r="P530" s="65" t="str">
        <f>VLOOKUP(I530,DATABASE!C:Q,11,FALSE)</f>
        <v>Tire</v>
      </c>
      <c r="Q530" s="65" t="str">
        <f>VLOOKUP(I530,DATABASE!C:Q,4,FALSE)</f>
        <v>GT</v>
      </c>
      <c r="R530" s="101"/>
    </row>
    <row r="531" ht="22.5" customHeight="1">
      <c r="A531" s="49"/>
      <c r="C531" s="245">
        <v>45877.0</v>
      </c>
      <c r="D531" s="245">
        <v>45877.0</v>
      </c>
      <c r="E531" s="65" t="s">
        <v>123</v>
      </c>
      <c r="F531" s="247" t="s">
        <v>343</v>
      </c>
      <c r="G531" s="248" t="s">
        <v>2392</v>
      </c>
      <c r="H531" s="93" t="s">
        <v>7</v>
      </c>
      <c r="I531" s="74" t="s">
        <v>250</v>
      </c>
      <c r="J531" s="249">
        <v>25.0</v>
      </c>
      <c r="K531" s="74" t="s">
        <v>2525</v>
      </c>
      <c r="L531" s="74">
        <v>100500.0</v>
      </c>
      <c r="M531" s="74" t="s">
        <v>755</v>
      </c>
      <c r="N531" s="74">
        <f t="shared" si="4"/>
        <v>2512500</v>
      </c>
      <c r="O531" s="60">
        <f t="shared" si="2"/>
        <v>45907</v>
      </c>
      <c r="P531" s="65" t="str">
        <f>VLOOKUP(I531,DATABASE!C:Q,11,FALSE)</f>
        <v>Tire</v>
      </c>
      <c r="Q531" s="65" t="str">
        <f>VLOOKUP(I531,DATABASE!C:Q,4,FALSE)</f>
        <v>BD</v>
      </c>
      <c r="R531" s="101"/>
      <c r="U531" s="101"/>
    </row>
    <row r="532" ht="22.5" customHeight="1">
      <c r="A532" s="49"/>
      <c r="C532" s="245">
        <v>45877.0</v>
      </c>
      <c r="D532" s="245">
        <v>45877.0</v>
      </c>
      <c r="E532" s="65" t="s">
        <v>123</v>
      </c>
      <c r="F532" s="247" t="s">
        <v>343</v>
      </c>
      <c r="G532" s="248" t="s">
        <v>2392</v>
      </c>
      <c r="H532" s="93" t="s">
        <v>7</v>
      </c>
      <c r="I532" s="74" t="s">
        <v>604</v>
      </c>
      <c r="J532" s="249">
        <v>25.0</v>
      </c>
      <c r="K532" s="74" t="s">
        <v>2145</v>
      </c>
      <c r="L532" s="74">
        <v>123300.0</v>
      </c>
      <c r="M532" s="74" t="s">
        <v>755</v>
      </c>
      <c r="N532" s="74">
        <f t="shared" si="4"/>
        <v>3082500</v>
      </c>
      <c r="O532" s="60">
        <f t="shared" si="2"/>
        <v>45907</v>
      </c>
      <c r="P532" s="65" t="str">
        <f>VLOOKUP(I532,DATABASE!C:Q,11,FALSE)</f>
        <v>Tire</v>
      </c>
      <c r="Q532" s="65" t="str">
        <f>VLOOKUP(I532,DATABASE!C:Q,4,FALSE)</f>
        <v>BD</v>
      </c>
      <c r="R532" s="101"/>
      <c r="U532" s="101"/>
    </row>
    <row r="533" ht="22.5" customHeight="1">
      <c r="A533" s="49"/>
      <c r="C533" s="245">
        <v>45877.0</v>
      </c>
      <c r="D533" s="245">
        <v>45877.0</v>
      </c>
      <c r="E533" s="65" t="s">
        <v>123</v>
      </c>
      <c r="F533" s="247" t="s">
        <v>343</v>
      </c>
      <c r="G533" s="248" t="s">
        <v>2392</v>
      </c>
      <c r="H533" s="93" t="s">
        <v>7</v>
      </c>
      <c r="I533" s="74" t="s">
        <v>255</v>
      </c>
      <c r="J533" s="249">
        <v>40.0</v>
      </c>
      <c r="K533" s="74" t="s">
        <v>2526</v>
      </c>
      <c r="L533" s="74">
        <v>159500.0</v>
      </c>
      <c r="M533" s="74" t="s">
        <v>755</v>
      </c>
      <c r="N533" s="74">
        <f t="shared" si="4"/>
        <v>6380000</v>
      </c>
      <c r="O533" s="60">
        <f t="shared" si="2"/>
        <v>45907</v>
      </c>
      <c r="P533" s="65" t="str">
        <f>VLOOKUP(I533,DATABASE!C:Q,11,FALSE)</f>
        <v>Tire</v>
      </c>
      <c r="Q533" s="65" t="str">
        <f>VLOOKUP(I533,DATABASE!C:Q,4,FALSE)</f>
        <v>BD</v>
      </c>
      <c r="R533" s="101"/>
      <c r="U533" s="101"/>
    </row>
    <row r="534" ht="22.5" customHeight="1">
      <c r="A534" s="49"/>
      <c r="C534" s="245">
        <v>45877.0</v>
      </c>
      <c r="D534" s="245">
        <v>45877.0</v>
      </c>
      <c r="E534" s="65" t="s">
        <v>123</v>
      </c>
      <c r="F534" s="247" t="s">
        <v>343</v>
      </c>
      <c r="G534" s="248" t="s">
        <v>2392</v>
      </c>
      <c r="H534" s="93" t="s">
        <v>7</v>
      </c>
      <c r="I534" s="74" t="s">
        <v>744</v>
      </c>
      <c r="J534" s="249">
        <v>40.0</v>
      </c>
      <c r="K534" s="74" t="s">
        <v>2527</v>
      </c>
      <c r="L534" s="74">
        <v>197000.0</v>
      </c>
      <c r="M534" s="74" t="s">
        <v>755</v>
      </c>
      <c r="N534" s="74">
        <f t="shared" si="4"/>
        <v>7880000</v>
      </c>
      <c r="O534" s="60">
        <f t="shared" si="2"/>
        <v>45907</v>
      </c>
      <c r="P534" s="65" t="str">
        <f>VLOOKUP(I534,DATABASE!C:Q,11,FALSE)</f>
        <v>Tire</v>
      </c>
      <c r="Q534" s="65" t="str">
        <f>VLOOKUP(I534,DATABASE!C:Q,4,FALSE)</f>
        <v>BD</v>
      </c>
      <c r="R534" s="101"/>
      <c r="U534" s="101"/>
    </row>
    <row r="535" ht="22.5" customHeight="1">
      <c r="A535" s="49"/>
      <c r="C535" s="245">
        <v>45877.0</v>
      </c>
      <c r="D535" s="245">
        <v>45877.0</v>
      </c>
      <c r="E535" s="65" t="s">
        <v>123</v>
      </c>
      <c r="F535" s="247" t="s">
        <v>343</v>
      </c>
      <c r="G535" s="248" t="s">
        <v>2392</v>
      </c>
      <c r="H535" s="93" t="s">
        <v>7</v>
      </c>
      <c r="I535" s="74" t="s">
        <v>814</v>
      </c>
      <c r="J535" s="249">
        <v>50.0</v>
      </c>
      <c r="K535" s="74" t="s">
        <v>2528</v>
      </c>
      <c r="L535" s="74">
        <v>38900.0</v>
      </c>
      <c r="M535" s="74" t="s">
        <v>755</v>
      </c>
      <c r="N535" s="74">
        <f t="shared" si="4"/>
        <v>1945000</v>
      </c>
      <c r="O535" s="60">
        <f t="shared" si="2"/>
        <v>45907</v>
      </c>
      <c r="P535" s="65" t="str">
        <f>VLOOKUP(I535,DATABASE!C:Q,11,FALSE)</f>
        <v>Tire</v>
      </c>
      <c r="Q535" s="65" t="str">
        <f>VLOOKUP(I535,DATABASE!C:Q,4,FALSE)</f>
        <v>Flap</v>
      </c>
      <c r="R535" s="101"/>
      <c r="U535" s="101"/>
    </row>
    <row r="536" ht="22.5" customHeight="1">
      <c r="A536" s="49"/>
      <c r="C536" s="245">
        <v>45877.0</v>
      </c>
      <c r="D536" s="245">
        <v>45877.0</v>
      </c>
      <c r="E536" s="65" t="s">
        <v>123</v>
      </c>
      <c r="F536" s="247" t="s">
        <v>343</v>
      </c>
      <c r="G536" s="248" t="s">
        <v>2392</v>
      </c>
      <c r="H536" s="93" t="s">
        <v>7</v>
      </c>
      <c r="I536" s="74" t="s">
        <v>821</v>
      </c>
      <c r="J536" s="249">
        <v>50.0</v>
      </c>
      <c r="K536" s="74" t="s">
        <v>2529</v>
      </c>
      <c r="L536" s="74">
        <v>42900.0</v>
      </c>
      <c r="M536" s="74" t="s">
        <v>755</v>
      </c>
      <c r="N536" s="74">
        <f t="shared" si="4"/>
        <v>2145000</v>
      </c>
      <c r="O536" s="60">
        <f t="shared" si="2"/>
        <v>45907</v>
      </c>
      <c r="P536" s="65" t="str">
        <f>VLOOKUP(I536,DATABASE!C:Q,11,FALSE)</f>
        <v>Tire</v>
      </c>
      <c r="Q536" s="65" t="str">
        <f>VLOOKUP(I536,DATABASE!C:Q,4,FALSE)</f>
        <v>Flap</v>
      </c>
      <c r="R536" s="101"/>
      <c r="U536" s="101"/>
    </row>
    <row r="537" ht="22.5" customHeight="1">
      <c r="A537" s="49"/>
      <c r="C537" s="245">
        <v>45878.0</v>
      </c>
      <c r="D537" s="245">
        <v>45878.0</v>
      </c>
      <c r="E537" s="65" t="s">
        <v>349</v>
      </c>
      <c r="F537" s="247" t="s">
        <v>343</v>
      </c>
      <c r="G537" s="248" t="s">
        <v>2299</v>
      </c>
      <c r="H537" s="93" t="s">
        <v>7</v>
      </c>
      <c r="I537" s="93" t="s">
        <v>2072</v>
      </c>
      <c r="J537" s="249">
        <v>4.0</v>
      </c>
      <c r="K537" s="74" t="s">
        <v>2530</v>
      </c>
      <c r="L537" s="74">
        <v>1740000.0</v>
      </c>
      <c r="M537" s="74" t="s">
        <v>755</v>
      </c>
      <c r="N537" s="74">
        <f t="shared" si="4"/>
        <v>6960000</v>
      </c>
      <c r="O537" s="60">
        <f t="shared" si="2"/>
        <v>45908</v>
      </c>
      <c r="P537" s="65" t="str">
        <f>VLOOKUP(I537,DATABASE!C:Q,11,FALSE)</f>
        <v>Tire</v>
      </c>
      <c r="Q537" s="65" t="str">
        <f>VLOOKUP(I537,DATABASE!C:Q,4,FALSE)</f>
        <v>hankook</v>
      </c>
      <c r="R537" s="101"/>
      <c r="U537" s="101"/>
    </row>
    <row r="538" ht="22.5" customHeight="1">
      <c r="A538" s="49"/>
      <c r="C538" s="245">
        <v>45878.0</v>
      </c>
      <c r="D538" s="245">
        <v>45878.0</v>
      </c>
      <c r="E538" s="65" t="s">
        <v>349</v>
      </c>
      <c r="F538" s="247" t="s">
        <v>343</v>
      </c>
      <c r="G538" s="248" t="s">
        <v>2301</v>
      </c>
      <c r="H538" s="93" t="s">
        <v>7</v>
      </c>
      <c r="I538" s="93" t="s">
        <v>2064</v>
      </c>
      <c r="J538" s="249">
        <v>4.0</v>
      </c>
      <c r="K538" s="74" t="s">
        <v>2504</v>
      </c>
      <c r="L538" s="74">
        <v>593000.0</v>
      </c>
      <c r="M538" s="74" t="s">
        <v>755</v>
      </c>
      <c r="N538" s="74">
        <f t="shared" si="4"/>
        <v>2372000</v>
      </c>
      <c r="O538" s="60">
        <f t="shared" si="2"/>
        <v>45908</v>
      </c>
      <c r="P538" s="65" t="str">
        <f>VLOOKUP(I538,DATABASE!C:Q,11,FALSE)</f>
        <v>Tire</v>
      </c>
      <c r="Q538" s="65" t="str">
        <f>VLOOKUP(I538,DATABASE!C:Q,4,FALSE)</f>
        <v>Hankook</v>
      </c>
      <c r="R538" s="101"/>
      <c r="U538" s="101"/>
    </row>
    <row r="539" ht="22.5" customHeight="1">
      <c r="A539" s="49"/>
      <c r="C539" s="245">
        <v>45881.0</v>
      </c>
      <c r="D539" s="245">
        <v>45881.0</v>
      </c>
      <c r="E539" s="246" t="s">
        <v>97</v>
      </c>
      <c r="F539" s="247" t="s">
        <v>343</v>
      </c>
      <c r="G539" s="248" t="s">
        <v>2438</v>
      </c>
      <c r="H539" s="93" t="s">
        <v>87</v>
      </c>
      <c r="I539" s="74" t="s">
        <v>591</v>
      </c>
      <c r="J539" s="249">
        <v>1.0</v>
      </c>
      <c r="K539" s="74" t="s">
        <v>2394</v>
      </c>
      <c r="L539" s="74">
        <v>593541.0</v>
      </c>
      <c r="M539" s="74" t="s">
        <v>521</v>
      </c>
      <c r="N539" s="74">
        <f t="shared" si="4"/>
        <v>593541</v>
      </c>
      <c r="O539" s="60">
        <f t="shared" si="2"/>
        <v>45941</v>
      </c>
      <c r="P539" s="65" t="str">
        <f>VLOOKUP(I539,DATABASE!C:Q,11,FALSE)</f>
        <v>Tire</v>
      </c>
      <c r="Q539" s="65" t="str">
        <f>VLOOKUP(I539,DATABASE!C:Q,4,FALSE)</f>
        <v>Bridgestone</v>
      </c>
      <c r="R539" s="101"/>
      <c r="U539" s="101"/>
    </row>
    <row r="540" ht="22.5" customHeight="1">
      <c r="A540" s="49"/>
      <c r="C540" s="245">
        <v>45881.0</v>
      </c>
      <c r="D540" s="245">
        <v>45881.0</v>
      </c>
      <c r="E540" s="65" t="s">
        <v>110</v>
      </c>
      <c r="F540" s="247" t="s">
        <v>343</v>
      </c>
      <c r="G540" s="248">
        <v>2.5010708E7</v>
      </c>
      <c r="H540" s="93" t="s">
        <v>7</v>
      </c>
      <c r="I540" s="74" t="s">
        <v>286</v>
      </c>
      <c r="J540" s="249">
        <v>4.0</v>
      </c>
      <c r="K540" s="74" t="s">
        <v>2427</v>
      </c>
      <c r="L540" s="74">
        <v>452970.0</v>
      </c>
      <c r="M540" s="74" t="s">
        <v>755</v>
      </c>
      <c r="N540" s="74">
        <f t="shared" si="4"/>
        <v>1811880</v>
      </c>
      <c r="O540" s="60">
        <f t="shared" si="2"/>
        <v>45911</v>
      </c>
      <c r="P540" s="65" t="str">
        <f>VLOOKUP(I540,DATABASE!C:Q,11,FALSE)</f>
        <v>Tire</v>
      </c>
      <c r="Q540" s="65" t="str">
        <f>VLOOKUP(I540,DATABASE!C:Q,4,FALSE)</f>
        <v>GT</v>
      </c>
      <c r="R540" s="101"/>
      <c r="U540" s="101"/>
    </row>
    <row r="541" ht="22.5" customHeight="1">
      <c r="A541" s="49"/>
      <c r="C541" s="245">
        <v>45882.0</v>
      </c>
      <c r="D541" s="245">
        <v>45882.0</v>
      </c>
      <c r="E541" s="65" t="s">
        <v>174</v>
      </c>
      <c r="F541" s="247" t="s">
        <v>343</v>
      </c>
      <c r="G541" s="248" t="s">
        <v>2069</v>
      </c>
      <c r="H541" s="93" t="s">
        <v>7</v>
      </c>
      <c r="I541" s="93" t="s">
        <v>222</v>
      </c>
      <c r="J541" s="249">
        <v>1.0</v>
      </c>
      <c r="K541" s="74" t="s">
        <v>2531</v>
      </c>
      <c r="L541" s="74">
        <v>803640.0</v>
      </c>
      <c r="M541" s="74" t="s">
        <v>521</v>
      </c>
      <c r="N541" s="74">
        <f t="shared" si="4"/>
        <v>803640</v>
      </c>
      <c r="O541" s="60">
        <f t="shared" si="2"/>
        <v>45942</v>
      </c>
      <c r="P541" s="65" t="str">
        <f>VLOOKUP(I541,DATABASE!C:Q,11,FALSE)</f>
        <v>Tire</v>
      </c>
      <c r="Q541" s="65" t="str">
        <f>VLOOKUP(I541,DATABASE!C:Q,4,FALSE)</f>
        <v>Accelera</v>
      </c>
      <c r="R541" s="101"/>
      <c r="U541" s="101"/>
    </row>
    <row r="542" ht="22.5" customHeight="1">
      <c r="A542" s="49"/>
      <c r="C542" s="245">
        <v>45883.0</v>
      </c>
      <c r="D542" s="245">
        <v>45883.0</v>
      </c>
      <c r="E542" s="246" t="s">
        <v>97</v>
      </c>
      <c r="F542" s="247" t="s">
        <v>343</v>
      </c>
      <c r="G542" s="248" t="s">
        <v>2440</v>
      </c>
      <c r="H542" s="93" t="s">
        <v>87</v>
      </c>
      <c r="I542" s="74" t="s">
        <v>1237</v>
      </c>
      <c r="J542" s="249">
        <v>2.0</v>
      </c>
      <c r="K542" s="74" t="s">
        <v>1992</v>
      </c>
      <c r="L542" s="74">
        <v>1113907.2</v>
      </c>
      <c r="M542" s="74" t="s">
        <v>521</v>
      </c>
      <c r="N542" s="74">
        <f t="shared" si="4"/>
        <v>2227814.4</v>
      </c>
      <c r="O542" s="60">
        <f t="shared" si="2"/>
        <v>45943</v>
      </c>
      <c r="P542" s="65" t="str">
        <f>VLOOKUP(I542,DATABASE!C:Q,11,FALSE)</f>
        <v>Tire</v>
      </c>
      <c r="Q542" s="65" t="str">
        <f>VLOOKUP(I542,DATABASE!C:Q,4,FALSE)</f>
        <v>Bridgestone</v>
      </c>
      <c r="R542" s="101"/>
      <c r="U542" s="101"/>
    </row>
    <row r="543" ht="22.5" customHeight="1">
      <c r="A543" s="49"/>
      <c r="C543" s="245">
        <v>45890.0</v>
      </c>
      <c r="D543" s="245">
        <v>45890.0</v>
      </c>
      <c r="E543" s="246" t="s">
        <v>97</v>
      </c>
      <c r="F543" s="247" t="s">
        <v>343</v>
      </c>
      <c r="G543" s="248" t="s">
        <v>2441</v>
      </c>
      <c r="H543" s="93" t="s">
        <v>87</v>
      </c>
      <c r="I543" s="74" t="s">
        <v>566</v>
      </c>
      <c r="J543" s="249">
        <v>2.0</v>
      </c>
      <c r="K543" s="74" t="s">
        <v>567</v>
      </c>
      <c r="L543" s="74">
        <v>1570000.0</v>
      </c>
      <c r="M543" s="74" t="s">
        <v>521</v>
      </c>
      <c r="N543" s="74">
        <f t="shared" si="4"/>
        <v>3140000</v>
      </c>
      <c r="O543" s="60">
        <f t="shared" si="2"/>
        <v>45950</v>
      </c>
      <c r="P543" s="65" t="str">
        <f>VLOOKUP(I543,DATABASE!C:Q,11,FALSE)</f>
        <v>Tire</v>
      </c>
      <c r="Q543" s="65" t="str">
        <f>VLOOKUP(I543,DATABASE!C:Q,4,FALSE)</f>
        <v>Bridgestone</v>
      </c>
      <c r="R543" s="101"/>
      <c r="U543" s="101"/>
    </row>
    <row r="544" ht="22.5" customHeight="1">
      <c r="A544" s="49"/>
      <c r="C544" s="245">
        <v>45894.0</v>
      </c>
      <c r="D544" s="245">
        <v>45894.0</v>
      </c>
      <c r="E544" s="65" t="s">
        <v>372</v>
      </c>
      <c r="F544" s="247" t="s">
        <v>343</v>
      </c>
      <c r="G544" s="248">
        <v>2.5082025E7</v>
      </c>
      <c r="H544" s="93" t="s">
        <v>7</v>
      </c>
      <c r="I544" s="74" t="s">
        <v>2221</v>
      </c>
      <c r="J544" s="249">
        <v>2.0</v>
      </c>
      <c r="K544" s="74" t="s">
        <v>2532</v>
      </c>
      <c r="L544" s="74">
        <v>450000.0</v>
      </c>
      <c r="M544" s="74" t="s">
        <v>521</v>
      </c>
      <c r="N544" s="74">
        <f t="shared" si="4"/>
        <v>900000</v>
      </c>
      <c r="O544" s="60">
        <f t="shared" si="2"/>
        <v>45954</v>
      </c>
      <c r="P544" s="65" t="str">
        <f>VLOOKUP(I544,DATABASE!C:Q,11,FALSE)</f>
        <v>Tire</v>
      </c>
      <c r="Q544" s="65" t="str">
        <f>VLOOKUP(I544,DATABASE!C:Q,4,FALSE)</f>
        <v>Velg</v>
      </c>
      <c r="R544" s="101"/>
      <c r="U544" s="101"/>
    </row>
    <row r="545" ht="22.5" customHeight="1">
      <c r="A545" s="49"/>
      <c r="C545" s="245">
        <v>45894.0</v>
      </c>
      <c r="D545" s="245">
        <v>45894.0</v>
      </c>
      <c r="E545" s="65" t="s">
        <v>110</v>
      </c>
      <c r="F545" s="247" t="s">
        <v>343</v>
      </c>
      <c r="G545" s="65">
        <v>2.5011245E7</v>
      </c>
      <c r="H545" s="93" t="s">
        <v>7</v>
      </c>
      <c r="I545" s="74" t="s">
        <v>1858</v>
      </c>
      <c r="J545" s="249">
        <v>9.0</v>
      </c>
      <c r="K545" s="74" t="s">
        <v>1959</v>
      </c>
      <c r="L545" s="74">
        <v>2025000.0</v>
      </c>
      <c r="M545" s="74" t="s">
        <v>755</v>
      </c>
      <c r="N545" s="74">
        <f t="shared" si="4"/>
        <v>18225000</v>
      </c>
      <c r="O545" s="60">
        <f t="shared" si="2"/>
        <v>45924</v>
      </c>
      <c r="P545" s="65" t="str">
        <f>VLOOKUP(I545,DATABASE!C:Q,11,FALSE)</f>
        <v>Tire</v>
      </c>
      <c r="Q545" s="65" t="str">
        <f>VLOOKUP(I545,DATABASE!C:Q,4,FALSE)</f>
        <v>GiTi</v>
      </c>
      <c r="R545" s="101"/>
      <c r="U545" s="101"/>
    </row>
    <row r="546" ht="22.5" customHeight="1">
      <c r="A546" s="49"/>
      <c r="C546" s="245">
        <v>45894.0</v>
      </c>
      <c r="D546" s="245">
        <v>45894.0</v>
      </c>
      <c r="E546" s="65" t="s">
        <v>110</v>
      </c>
      <c r="F546" s="247" t="s">
        <v>343</v>
      </c>
      <c r="G546" s="65">
        <v>2.5011245E7</v>
      </c>
      <c r="H546" s="93" t="s">
        <v>7</v>
      </c>
      <c r="I546" s="74" t="s">
        <v>1862</v>
      </c>
      <c r="J546" s="249">
        <v>7.0</v>
      </c>
      <c r="K546" s="74" t="s">
        <v>2327</v>
      </c>
      <c r="L546" s="74">
        <v>2050000.0</v>
      </c>
      <c r="M546" s="74" t="s">
        <v>755</v>
      </c>
      <c r="N546" s="74">
        <f t="shared" si="4"/>
        <v>14350000</v>
      </c>
      <c r="O546" s="60">
        <f t="shared" si="2"/>
        <v>45924</v>
      </c>
      <c r="P546" s="65" t="str">
        <f>VLOOKUP(I546,DATABASE!C:Q,11,FALSE)</f>
        <v>Tire</v>
      </c>
      <c r="Q546" s="65" t="str">
        <f>VLOOKUP(I546,DATABASE!C:Q,4,FALSE)</f>
        <v>GiTi</v>
      </c>
      <c r="R546" s="101"/>
      <c r="U546" s="101"/>
    </row>
    <row r="547" ht="22.5" customHeight="1">
      <c r="A547" s="49"/>
      <c r="C547" s="245">
        <v>45894.0</v>
      </c>
      <c r="D547" s="245">
        <v>45894.0</v>
      </c>
      <c r="E547" s="65" t="s">
        <v>110</v>
      </c>
      <c r="F547" s="247" t="s">
        <v>343</v>
      </c>
      <c r="G547" s="65">
        <v>2.5011245E7</v>
      </c>
      <c r="H547" s="93" t="s">
        <v>7</v>
      </c>
      <c r="I547" s="74" t="s">
        <v>791</v>
      </c>
      <c r="J547" s="249">
        <v>2.0</v>
      </c>
      <c r="K547" s="74" t="s">
        <v>792</v>
      </c>
      <c r="L547" s="74">
        <v>1180000.0</v>
      </c>
      <c r="M547" s="74" t="s">
        <v>755</v>
      </c>
      <c r="N547" s="74">
        <f t="shared" si="4"/>
        <v>2360000</v>
      </c>
      <c r="O547" s="60">
        <f t="shared" si="2"/>
        <v>45924</v>
      </c>
      <c r="P547" s="65" t="str">
        <f>VLOOKUP(I547,DATABASE!C:Q,11,FALSE)</f>
        <v>Tire</v>
      </c>
      <c r="Q547" s="65" t="str">
        <f>VLOOKUP(I547,DATABASE!C:Q,4,FALSE)</f>
        <v>GT</v>
      </c>
      <c r="R547" s="101"/>
      <c r="U547" s="101"/>
    </row>
    <row r="548" ht="22.5" customHeight="1">
      <c r="A548" s="49"/>
      <c r="C548" s="245">
        <v>45897.0</v>
      </c>
      <c r="D548" s="245">
        <v>45897.0</v>
      </c>
      <c r="E548" s="246" t="s">
        <v>97</v>
      </c>
      <c r="F548" s="247" t="s">
        <v>343</v>
      </c>
      <c r="G548" s="248" t="s">
        <v>2443</v>
      </c>
      <c r="H548" s="93" t="s">
        <v>87</v>
      </c>
      <c r="I548" s="74" t="s">
        <v>591</v>
      </c>
      <c r="J548" s="249">
        <v>1.0</v>
      </c>
      <c r="K548" s="74" t="s">
        <v>2533</v>
      </c>
      <c r="L548" s="74">
        <v>593488.4</v>
      </c>
      <c r="M548" s="74" t="s">
        <v>521</v>
      </c>
      <c r="N548" s="74">
        <f t="shared" si="4"/>
        <v>593488.4</v>
      </c>
      <c r="O548" s="60">
        <f t="shared" si="2"/>
        <v>45957</v>
      </c>
      <c r="P548" s="65" t="str">
        <f>VLOOKUP(I548,DATABASE!C:Q,11,FALSE)</f>
        <v>Tire</v>
      </c>
      <c r="Q548" s="65" t="str">
        <f>VLOOKUP(I548,DATABASE!C:Q,4,FALSE)</f>
        <v>Bridgestone</v>
      </c>
      <c r="R548" s="101"/>
      <c r="U548" s="101"/>
    </row>
    <row r="549" ht="22.5" customHeight="1">
      <c r="A549" s="49"/>
      <c r="C549" s="245">
        <v>45897.0</v>
      </c>
      <c r="D549" s="245">
        <v>45897.0</v>
      </c>
      <c r="E549" s="246" t="s">
        <v>97</v>
      </c>
      <c r="F549" s="247" t="s">
        <v>343</v>
      </c>
      <c r="G549" s="248" t="s">
        <v>2443</v>
      </c>
      <c r="H549" s="93" t="s">
        <v>87</v>
      </c>
      <c r="I549" s="74" t="s">
        <v>947</v>
      </c>
      <c r="J549" s="249">
        <v>1.0</v>
      </c>
      <c r="K549" s="74" t="s">
        <v>1833</v>
      </c>
      <c r="L549" s="74">
        <v>680512.0</v>
      </c>
      <c r="M549" s="74" t="s">
        <v>521</v>
      </c>
      <c r="N549" s="74">
        <f t="shared" si="4"/>
        <v>680512</v>
      </c>
      <c r="O549" s="60">
        <f t="shared" si="2"/>
        <v>45957</v>
      </c>
      <c r="P549" s="65" t="str">
        <f>VLOOKUP(I549,DATABASE!C:Q,11,FALSE)</f>
        <v>Tire</v>
      </c>
      <c r="Q549" s="65" t="str">
        <f>VLOOKUP(I549,DATABASE!C:Q,4,FALSE)</f>
        <v>Bridgestone</v>
      </c>
      <c r="R549" s="101"/>
      <c r="U549" s="101"/>
    </row>
    <row r="550" ht="22.5" customHeight="1">
      <c r="A550" s="49"/>
      <c r="C550" s="245">
        <v>45901.0</v>
      </c>
      <c r="D550" s="245">
        <v>45901.0</v>
      </c>
      <c r="E550" s="65" t="s">
        <v>81</v>
      </c>
      <c r="F550" s="247" t="s">
        <v>343</v>
      </c>
      <c r="G550" s="248" t="s">
        <v>1547</v>
      </c>
      <c r="H550" s="93" t="s">
        <v>87</v>
      </c>
      <c r="I550" s="74" t="s">
        <v>268</v>
      </c>
      <c r="J550" s="249">
        <v>5.0</v>
      </c>
      <c r="K550" s="74" t="s">
        <v>1761</v>
      </c>
      <c r="L550" s="74">
        <v>628500.0</v>
      </c>
      <c r="M550" s="74" t="s">
        <v>657</v>
      </c>
      <c r="N550" s="74">
        <f t="shared" si="4"/>
        <v>3142500</v>
      </c>
      <c r="O550" s="60">
        <f t="shared" si="2"/>
        <v>45976</v>
      </c>
      <c r="P550" s="65" t="str">
        <f>VLOOKUP(I550,DATABASE!C:Q,11,FALSE)</f>
        <v>Tire</v>
      </c>
      <c r="Q550" s="65" t="str">
        <f>VLOOKUP(I550,DATABASE!C:Q,4,FALSE)</f>
        <v>Dunlop</v>
      </c>
      <c r="R550" s="101"/>
      <c r="U550" s="101"/>
    </row>
    <row r="551" ht="22.5" customHeight="1">
      <c r="A551" s="49"/>
      <c r="C551" s="245">
        <v>45901.0</v>
      </c>
      <c r="D551" s="245">
        <v>45901.0</v>
      </c>
      <c r="E551" s="65" t="s">
        <v>81</v>
      </c>
      <c r="F551" s="247" t="s">
        <v>343</v>
      </c>
      <c r="G551" s="248" t="s">
        <v>1550</v>
      </c>
      <c r="H551" s="93" t="s">
        <v>87</v>
      </c>
      <c r="I551" s="74" t="s">
        <v>974</v>
      </c>
      <c r="J551" s="249">
        <v>3.0</v>
      </c>
      <c r="K551" s="74" t="s">
        <v>2409</v>
      </c>
      <c r="L551" s="74">
        <v>501500.0</v>
      </c>
      <c r="M551" s="74" t="s">
        <v>657</v>
      </c>
      <c r="N551" s="74">
        <f t="shared" si="4"/>
        <v>1504500</v>
      </c>
      <c r="O551" s="60">
        <f t="shared" si="2"/>
        <v>45976</v>
      </c>
      <c r="P551" s="65" t="str">
        <f>VLOOKUP(I551,DATABASE!C:Q,11,FALSE)</f>
        <v>Tire</v>
      </c>
      <c r="Q551" s="65" t="str">
        <f>VLOOKUP(I551,DATABASE!C:Q,4,FALSE)</f>
        <v>Dunlop</v>
      </c>
      <c r="R551" s="101"/>
      <c r="U551" s="101"/>
    </row>
    <row r="552" ht="22.5" customHeight="1">
      <c r="A552" s="49"/>
      <c r="C552" s="245">
        <v>45901.0</v>
      </c>
      <c r="D552" s="245">
        <v>45901.0</v>
      </c>
      <c r="E552" s="65" t="s">
        <v>81</v>
      </c>
      <c r="F552" s="247" t="s">
        <v>343</v>
      </c>
      <c r="G552" s="248" t="s">
        <v>1550</v>
      </c>
      <c r="H552" s="93" t="s">
        <v>87</v>
      </c>
      <c r="I552" s="74" t="s">
        <v>271</v>
      </c>
      <c r="J552" s="249">
        <v>6.0</v>
      </c>
      <c r="K552" s="74" t="s">
        <v>1058</v>
      </c>
      <c r="L552" s="74">
        <v>550000.0</v>
      </c>
      <c r="M552" s="74" t="s">
        <v>657</v>
      </c>
      <c r="N552" s="74">
        <f t="shared" si="4"/>
        <v>3300000</v>
      </c>
      <c r="O552" s="60">
        <f t="shared" si="2"/>
        <v>45976</v>
      </c>
      <c r="P552" s="65" t="str">
        <f>VLOOKUP(I552,DATABASE!C:Q,11,FALSE)</f>
        <v>Tire</v>
      </c>
      <c r="Q552" s="65" t="str">
        <f>VLOOKUP(I552,DATABASE!C:Q,4,FALSE)</f>
        <v>Dunlop</v>
      </c>
      <c r="R552" s="101"/>
      <c r="U552" s="101"/>
    </row>
    <row r="553" ht="22.5" customHeight="1">
      <c r="A553" s="49"/>
      <c r="C553" s="245">
        <v>45901.0</v>
      </c>
      <c r="D553" s="245">
        <v>45901.0</v>
      </c>
      <c r="E553" s="65" t="s">
        <v>81</v>
      </c>
      <c r="F553" s="247" t="s">
        <v>343</v>
      </c>
      <c r="G553" s="248" t="s">
        <v>1550</v>
      </c>
      <c r="H553" s="93" t="s">
        <v>87</v>
      </c>
      <c r="I553" s="74" t="s">
        <v>955</v>
      </c>
      <c r="J553" s="249">
        <v>10.0</v>
      </c>
      <c r="K553" s="74" t="s">
        <v>2402</v>
      </c>
      <c r="L553" s="74">
        <v>688000.0</v>
      </c>
      <c r="M553" s="74" t="s">
        <v>657</v>
      </c>
      <c r="N553" s="74">
        <f t="shared" si="4"/>
        <v>6880000</v>
      </c>
      <c r="O553" s="60">
        <f t="shared" si="2"/>
        <v>45976</v>
      </c>
      <c r="P553" s="65" t="str">
        <f>VLOOKUP(I553,DATABASE!C:Q,11,FALSE)</f>
        <v>Tire</v>
      </c>
      <c r="Q553" s="65" t="str">
        <f>VLOOKUP(I553,DATABASE!C:Q,4,FALSE)</f>
        <v>Dunlop</v>
      </c>
      <c r="R553" s="101"/>
      <c r="U553" s="101"/>
    </row>
    <row r="554" ht="22.5" customHeight="1">
      <c r="A554" s="49"/>
      <c r="C554" s="245">
        <v>45901.0</v>
      </c>
      <c r="D554" s="245">
        <v>45901.0</v>
      </c>
      <c r="E554" s="65" t="s">
        <v>81</v>
      </c>
      <c r="F554" s="247" t="s">
        <v>343</v>
      </c>
      <c r="G554" s="248" t="s">
        <v>1550</v>
      </c>
      <c r="H554" s="93" t="s">
        <v>87</v>
      </c>
      <c r="I554" s="74" t="s">
        <v>1361</v>
      </c>
      <c r="J554" s="249">
        <v>1.0</v>
      </c>
      <c r="K554" s="74" t="s">
        <v>2534</v>
      </c>
      <c r="L554" s="74">
        <v>881000.0</v>
      </c>
      <c r="M554" s="74" t="s">
        <v>657</v>
      </c>
      <c r="N554" s="74">
        <f t="shared" si="4"/>
        <v>881000</v>
      </c>
      <c r="O554" s="60">
        <f t="shared" si="2"/>
        <v>45976</v>
      </c>
      <c r="P554" s="65" t="str">
        <f>VLOOKUP(I554,DATABASE!C:Q,11,FALSE)</f>
        <v>Tire</v>
      </c>
      <c r="Q554" s="65" t="str">
        <f>VLOOKUP(I554,DATABASE!C:Q,4,FALSE)</f>
        <v>Dunlop</v>
      </c>
      <c r="R554" s="101"/>
      <c r="U554" s="101"/>
    </row>
    <row r="555" ht="22.5" customHeight="1">
      <c r="A555" s="49"/>
      <c r="C555" s="245">
        <v>45901.0</v>
      </c>
      <c r="D555" s="245">
        <v>45901.0</v>
      </c>
      <c r="E555" s="65" t="s">
        <v>81</v>
      </c>
      <c r="F555" s="247" t="s">
        <v>343</v>
      </c>
      <c r="G555" s="248" t="s">
        <v>1550</v>
      </c>
      <c r="H555" s="93" t="s">
        <v>87</v>
      </c>
      <c r="I555" s="74" t="s">
        <v>1429</v>
      </c>
      <c r="J555" s="249">
        <v>1.0</v>
      </c>
      <c r="K555" s="74" t="s">
        <v>2462</v>
      </c>
      <c r="L555" s="74">
        <v>849000.0</v>
      </c>
      <c r="M555" s="74" t="s">
        <v>657</v>
      </c>
      <c r="N555" s="74">
        <f t="shared" si="4"/>
        <v>849000</v>
      </c>
      <c r="O555" s="60">
        <f t="shared" si="2"/>
        <v>45976</v>
      </c>
      <c r="P555" s="65" t="str">
        <f>VLOOKUP(I555,DATABASE!C:Q,11,FALSE)</f>
        <v>Tire</v>
      </c>
      <c r="Q555" s="65" t="str">
        <f>VLOOKUP(I555,DATABASE!C:Q,4,FALSE)</f>
        <v>Dunlop</v>
      </c>
      <c r="R555" s="101"/>
      <c r="U555" s="101"/>
    </row>
    <row r="556" ht="22.5" customHeight="1">
      <c r="A556" s="49"/>
      <c r="C556" s="245">
        <v>45901.0</v>
      </c>
      <c r="D556" s="245">
        <v>45901.0</v>
      </c>
      <c r="E556" s="65" t="s">
        <v>81</v>
      </c>
      <c r="F556" s="247" t="s">
        <v>343</v>
      </c>
      <c r="G556" s="248" t="s">
        <v>1550</v>
      </c>
      <c r="H556" s="93" t="s">
        <v>87</v>
      </c>
      <c r="I556" s="74" t="s">
        <v>1389</v>
      </c>
      <c r="J556" s="249">
        <v>3.0</v>
      </c>
      <c r="K556" s="74" t="s">
        <v>2407</v>
      </c>
      <c r="L556" s="74">
        <v>908000.0</v>
      </c>
      <c r="M556" s="74" t="s">
        <v>657</v>
      </c>
      <c r="N556" s="74">
        <f t="shared" si="4"/>
        <v>2724000</v>
      </c>
      <c r="O556" s="60">
        <f t="shared" si="2"/>
        <v>45976</v>
      </c>
      <c r="P556" s="65" t="str">
        <f>VLOOKUP(I556,DATABASE!C:Q,11,FALSE)</f>
        <v>Tire</v>
      </c>
      <c r="Q556" s="65" t="str">
        <f>VLOOKUP(I556,DATABASE!C:Q,4,FALSE)</f>
        <v>Dunlop</v>
      </c>
      <c r="R556" s="101"/>
      <c r="U556" s="101"/>
    </row>
    <row r="557" ht="22.5" customHeight="1">
      <c r="A557" s="49"/>
      <c r="C557" s="245">
        <v>45901.0</v>
      </c>
      <c r="D557" s="245">
        <v>45901.0</v>
      </c>
      <c r="E557" s="65" t="s">
        <v>81</v>
      </c>
      <c r="F557" s="247" t="s">
        <v>343</v>
      </c>
      <c r="G557" s="248" t="s">
        <v>1550</v>
      </c>
      <c r="H557" s="93" t="s">
        <v>87</v>
      </c>
      <c r="I557" s="74" t="s">
        <v>276</v>
      </c>
      <c r="J557" s="249">
        <v>4.0</v>
      </c>
      <c r="K557" s="74" t="s">
        <v>2497</v>
      </c>
      <c r="L557" s="74">
        <v>620000.0</v>
      </c>
      <c r="M557" s="74" t="s">
        <v>657</v>
      </c>
      <c r="N557" s="74">
        <f t="shared" si="4"/>
        <v>2480000</v>
      </c>
      <c r="O557" s="60">
        <f t="shared" si="2"/>
        <v>45976</v>
      </c>
      <c r="P557" s="65" t="str">
        <f>VLOOKUP(I557,DATABASE!C:Q,11,FALSE)</f>
        <v>Tire</v>
      </c>
      <c r="Q557" s="65" t="str">
        <f>VLOOKUP(I557,DATABASE!C:Q,4,FALSE)</f>
        <v>Dunlop</v>
      </c>
      <c r="R557" s="101"/>
      <c r="U557" s="101"/>
    </row>
    <row r="558" ht="22.5" customHeight="1">
      <c r="A558" s="49"/>
      <c r="C558" s="245">
        <v>45901.0</v>
      </c>
      <c r="D558" s="245">
        <v>45901.0</v>
      </c>
      <c r="E558" s="65" t="s">
        <v>81</v>
      </c>
      <c r="F558" s="247" t="s">
        <v>343</v>
      </c>
      <c r="G558" s="248" t="s">
        <v>1550</v>
      </c>
      <c r="H558" s="93" t="s">
        <v>87</v>
      </c>
      <c r="I558" s="74" t="s">
        <v>1507</v>
      </c>
      <c r="J558" s="249">
        <v>4.0</v>
      </c>
      <c r="K558" s="74" t="s">
        <v>2535</v>
      </c>
      <c r="L558" s="74">
        <v>638525.0</v>
      </c>
      <c r="M558" s="74" t="s">
        <v>657</v>
      </c>
      <c r="N558" s="74">
        <f t="shared" si="4"/>
        <v>2554100</v>
      </c>
      <c r="O558" s="60">
        <f t="shared" si="2"/>
        <v>45976</v>
      </c>
      <c r="P558" s="65" t="str">
        <f>VLOOKUP(I558,DATABASE!C:Q,11,FALSE)</f>
        <v>Tire</v>
      </c>
      <c r="Q558" s="65" t="str">
        <f>VLOOKUP(I558,DATABASE!C:Q,4,FALSE)</f>
        <v>Dunlop</v>
      </c>
      <c r="R558" s="101"/>
      <c r="U558" s="101"/>
    </row>
    <row r="559" ht="22.5" customHeight="1">
      <c r="A559" s="49"/>
      <c r="C559" s="245">
        <v>45901.0</v>
      </c>
      <c r="D559" s="245">
        <v>45901.0</v>
      </c>
      <c r="E559" s="65" t="s">
        <v>81</v>
      </c>
      <c r="F559" s="247" t="s">
        <v>343</v>
      </c>
      <c r="G559" s="248" t="s">
        <v>1550</v>
      </c>
      <c r="H559" s="93" t="s">
        <v>87</v>
      </c>
      <c r="I559" s="74" t="s">
        <v>932</v>
      </c>
      <c r="J559" s="249">
        <v>7.0</v>
      </c>
      <c r="K559" s="74" t="s">
        <v>2228</v>
      </c>
      <c r="L559" s="74">
        <v>601000.0</v>
      </c>
      <c r="M559" s="74" t="s">
        <v>657</v>
      </c>
      <c r="N559" s="74">
        <f t="shared" si="4"/>
        <v>4207000</v>
      </c>
      <c r="O559" s="60">
        <f t="shared" si="2"/>
        <v>45976</v>
      </c>
      <c r="P559" s="65" t="str">
        <f>VLOOKUP(I559,DATABASE!C:Q,11,FALSE)</f>
        <v>Tire</v>
      </c>
      <c r="Q559" s="65" t="str">
        <f>VLOOKUP(I559,DATABASE!C:Q,4,FALSE)</f>
        <v>Dunlop</v>
      </c>
      <c r="R559" s="101"/>
      <c r="U559" s="101"/>
    </row>
    <row r="560" ht="22.5" customHeight="1">
      <c r="A560" s="49"/>
      <c r="C560" s="245">
        <v>45901.0</v>
      </c>
      <c r="D560" s="245">
        <v>45901.0</v>
      </c>
      <c r="E560" s="65" t="s">
        <v>81</v>
      </c>
      <c r="F560" s="247" t="s">
        <v>343</v>
      </c>
      <c r="G560" s="248" t="s">
        <v>1550</v>
      </c>
      <c r="H560" s="93" t="s">
        <v>87</v>
      </c>
      <c r="I560" s="74" t="s">
        <v>265</v>
      </c>
      <c r="J560" s="249">
        <v>20.0</v>
      </c>
      <c r="K560" s="74" t="s">
        <v>2198</v>
      </c>
      <c r="L560" s="74">
        <v>610000.0</v>
      </c>
      <c r="M560" s="74" t="s">
        <v>657</v>
      </c>
      <c r="N560" s="74">
        <f t="shared" si="4"/>
        <v>12200000</v>
      </c>
      <c r="O560" s="60">
        <f t="shared" si="2"/>
        <v>45976</v>
      </c>
      <c r="P560" s="65" t="str">
        <f>VLOOKUP(I560,DATABASE!C:Q,11,FALSE)</f>
        <v>Tire</v>
      </c>
      <c r="Q560" s="65" t="str">
        <f>VLOOKUP(I560,DATABASE!C:Q,4,FALSE)</f>
        <v>Dunlop</v>
      </c>
      <c r="R560" s="101"/>
      <c r="U560" s="101"/>
    </row>
    <row r="561" ht="22.5" customHeight="1">
      <c r="A561" s="49"/>
      <c r="C561" s="245">
        <v>45901.0</v>
      </c>
      <c r="D561" s="245">
        <v>45901.0</v>
      </c>
      <c r="E561" s="65" t="s">
        <v>81</v>
      </c>
      <c r="F561" s="247" t="s">
        <v>343</v>
      </c>
      <c r="G561" s="248" t="s">
        <v>1550</v>
      </c>
      <c r="H561" s="93" t="s">
        <v>87</v>
      </c>
      <c r="I561" s="74" t="s">
        <v>268</v>
      </c>
      <c r="J561" s="249">
        <v>25.0</v>
      </c>
      <c r="K561" s="74" t="s">
        <v>2216</v>
      </c>
      <c r="L561" s="74">
        <v>634500.0</v>
      </c>
      <c r="M561" s="74" t="s">
        <v>657</v>
      </c>
      <c r="N561" s="74">
        <f t="shared" si="4"/>
        <v>15862500</v>
      </c>
      <c r="O561" s="60">
        <f t="shared" si="2"/>
        <v>45976</v>
      </c>
      <c r="P561" s="65" t="str">
        <f>VLOOKUP(I561,DATABASE!C:Q,11,FALSE)</f>
        <v>Tire</v>
      </c>
      <c r="Q561" s="65" t="str">
        <f>VLOOKUP(I561,DATABASE!C:Q,4,FALSE)</f>
        <v>Dunlop</v>
      </c>
      <c r="R561" s="101"/>
      <c r="U561" s="101"/>
    </row>
    <row r="562" ht="22.5" customHeight="1">
      <c r="A562" s="49"/>
      <c r="C562" s="245">
        <v>45901.0</v>
      </c>
      <c r="D562" s="245">
        <v>45901.0</v>
      </c>
      <c r="E562" s="65" t="s">
        <v>81</v>
      </c>
      <c r="F562" s="247" t="s">
        <v>343</v>
      </c>
      <c r="G562" s="248" t="s">
        <v>1550</v>
      </c>
      <c r="H562" s="93" t="s">
        <v>87</v>
      </c>
      <c r="I562" s="74" t="s">
        <v>275</v>
      </c>
      <c r="J562" s="249">
        <v>20.0</v>
      </c>
      <c r="K562" s="74" t="s">
        <v>2225</v>
      </c>
      <c r="L562" s="74">
        <v>759500.0</v>
      </c>
      <c r="M562" s="74" t="s">
        <v>657</v>
      </c>
      <c r="N562" s="74">
        <f t="shared" si="4"/>
        <v>15190000</v>
      </c>
      <c r="O562" s="60">
        <f t="shared" si="2"/>
        <v>45976</v>
      </c>
      <c r="P562" s="65" t="str">
        <f>VLOOKUP(I562,DATABASE!C:Q,11,FALSE)</f>
        <v>Tire</v>
      </c>
      <c r="Q562" s="65" t="str">
        <f>VLOOKUP(I562,DATABASE!C:Q,4,FALSE)</f>
        <v>Dunlop</v>
      </c>
      <c r="R562" s="101"/>
      <c r="U562" s="101"/>
    </row>
    <row r="563" ht="22.5" customHeight="1">
      <c r="A563" s="49"/>
      <c r="C563" s="245">
        <v>45901.0</v>
      </c>
      <c r="D563" s="245">
        <v>45901.0</v>
      </c>
      <c r="E563" s="246" t="s">
        <v>97</v>
      </c>
      <c r="F563" s="247" t="s">
        <v>343</v>
      </c>
      <c r="G563" s="248" t="s">
        <v>2445</v>
      </c>
      <c r="H563" s="93" t="s">
        <v>87</v>
      </c>
      <c r="I563" s="74" t="s">
        <v>600</v>
      </c>
      <c r="J563" s="249">
        <v>4.0</v>
      </c>
      <c r="K563" s="74" t="s">
        <v>1812</v>
      </c>
      <c r="L563" s="74">
        <v>572762.4</v>
      </c>
      <c r="M563" s="74" t="s">
        <v>521</v>
      </c>
      <c r="N563" s="74">
        <f t="shared" si="4"/>
        <v>2291049.6</v>
      </c>
      <c r="O563" s="60">
        <f t="shared" si="2"/>
        <v>45961</v>
      </c>
      <c r="P563" s="65" t="str">
        <f>VLOOKUP(I563,DATABASE!C:Q,11,FALSE)</f>
        <v>Tire</v>
      </c>
      <c r="Q563" s="65" t="str">
        <f>VLOOKUP(I563,DATABASE!C:Q,4,FALSE)</f>
        <v>Bridgestone</v>
      </c>
      <c r="R563" s="101"/>
      <c r="U563" s="101"/>
    </row>
    <row r="564" ht="22.5" customHeight="1">
      <c r="A564" s="49"/>
      <c r="C564" s="245">
        <v>45901.0</v>
      </c>
      <c r="D564" s="245">
        <v>45901.0</v>
      </c>
      <c r="E564" s="246" t="s">
        <v>97</v>
      </c>
      <c r="F564" s="247" t="s">
        <v>343</v>
      </c>
      <c r="G564" s="248" t="s">
        <v>2447</v>
      </c>
      <c r="H564" s="93" t="s">
        <v>87</v>
      </c>
      <c r="I564" s="74" t="s">
        <v>1237</v>
      </c>
      <c r="J564" s="249">
        <v>3.0</v>
      </c>
      <c r="K564" s="74" t="s">
        <v>1992</v>
      </c>
      <c r="L564" s="74">
        <v>1113907.2</v>
      </c>
      <c r="M564" s="74" t="s">
        <v>521</v>
      </c>
      <c r="N564" s="74">
        <f t="shared" si="4"/>
        <v>3341721.6</v>
      </c>
      <c r="O564" s="60">
        <f t="shared" si="2"/>
        <v>45961</v>
      </c>
      <c r="P564" s="65" t="str">
        <f>VLOOKUP(I564,DATABASE!C:Q,11,FALSE)</f>
        <v>Tire</v>
      </c>
      <c r="Q564" s="65" t="str">
        <f>VLOOKUP(I564,DATABASE!C:Q,4,FALSE)</f>
        <v>Bridgestone</v>
      </c>
      <c r="R564" s="101"/>
      <c r="U564" s="101"/>
    </row>
    <row r="565" ht="22.5" customHeight="1">
      <c r="A565" s="49"/>
      <c r="C565" s="245">
        <v>45902.0</v>
      </c>
      <c r="D565" s="245">
        <v>45902.0</v>
      </c>
      <c r="E565" s="65" t="s">
        <v>81</v>
      </c>
      <c r="F565" s="247" t="s">
        <v>343</v>
      </c>
      <c r="G565" s="248" t="s">
        <v>1553</v>
      </c>
      <c r="H565" s="93" t="s">
        <v>87</v>
      </c>
      <c r="I565" s="74" t="s">
        <v>1051</v>
      </c>
      <c r="J565" s="249">
        <v>2.0</v>
      </c>
      <c r="K565" s="74" t="s">
        <v>2536</v>
      </c>
      <c r="L565" s="74">
        <v>895000.0</v>
      </c>
      <c r="M565" s="74" t="s">
        <v>657</v>
      </c>
      <c r="N565" s="74">
        <f t="shared" si="4"/>
        <v>1790000</v>
      </c>
      <c r="O565" s="60">
        <f t="shared" si="2"/>
        <v>45977</v>
      </c>
      <c r="P565" s="65" t="str">
        <f>VLOOKUP(I565,DATABASE!C:Q,11,FALSE)</f>
        <v>Tire</v>
      </c>
      <c r="Q565" s="65" t="str">
        <f>VLOOKUP(I565,DATABASE!C:Q,4,FALSE)</f>
        <v>Dunlop</v>
      </c>
      <c r="R565" s="101"/>
      <c r="U565" s="101"/>
    </row>
    <row r="566" ht="22.5" customHeight="1">
      <c r="A566" s="49"/>
      <c r="C566" s="245">
        <v>45902.0</v>
      </c>
      <c r="D566" s="245">
        <v>45902.0</v>
      </c>
      <c r="E566" s="65" t="s">
        <v>110</v>
      </c>
      <c r="F566" s="247" t="s">
        <v>343</v>
      </c>
      <c r="G566" s="248">
        <v>2.5011573E7</v>
      </c>
      <c r="H566" s="93" t="s">
        <v>7</v>
      </c>
      <c r="I566" s="74" t="s">
        <v>897</v>
      </c>
      <c r="J566" s="249">
        <v>8.0</v>
      </c>
      <c r="K566" s="74" t="s">
        <v>899</v>
      </c>
      <c r="L566" s="74">
        <v>1500000.0</v>
      </c>
      <c r="M566" s="74" t="s">
        <v>755</v>
      </c>
      <c r="N566" s="74">
        <f t="shared" si="4"/>
        <v>12000000</v>
      </c>
      <c r="O566" s="60">
        <f t="shared" si="2"/>
        <v>45932</v>
      </c>
      <c r="P566" s="65" t="str">
        <f>VLOOKUP(I566,DATABASE!C:Q,11,FALSE)</f>
        <v>Tire</v>
      </c>
      <c r="Q566" s="65" t="str">
        <f>VLOOKUP(I566,DATABASE!C:Q,4,FALSE)</f>
        <v>GT</v>
      </c>
      <c r="R566" s="101"/>
      <c r="U566" s="101"/>
    </row>
    <row r="567" ht="22.5" customHeight="1">
      <c r="A567" s="49"/>
      <c r="C567" s="245">
        <v>45903.0</v>
      </c>
      <c r="D567" s="245">
        <v>45903.0</v>
      </c>
      <c r="E567" s="246" t="s">
        <v>97</v>
      </c>
      <c r="F567" s="247" t="s">
        <v>343</v>
      </c>
      <c r="G567" s="248" t="s">
        <v>2522</v>
      </c>
      <c r="H567" s="93" t="s">
        <v>87</v>
      </c>
      <c r="I567" s="74" t="s">
        <v>566</v>
      </c>
      <c r="J567" s="249">
        <v>10.0</v>
      </c>
      <c r="K567" s="74" t="s">
        <v>2419</v>
      </c>
      <c r="L567" s="74">
        <v>1545000.0</v>
      </c>
      <c r="M567" s="74" t="s">
        <v>521</v>
      </c>
      <c r="N567" s="74">
        <f t="shared" si="4"/>
        <v>15450000</v>
      </c>
      <c r="O567" s="60">
        <f t="shared" si="2"/>
        <v>45963</v>
      </c>
      <c r="P567" s="65" t="str">
        <f>VLOOKUP(I567,DATABASE!C:Q,11,FALSE)</f>
        <v>Tire</v>
      </c>
      <c r="Q567" s="65" t="str">
        <f>VLOOKUP(I567,DATABASE!C:Q,4,FALSE)</f>
        <v>Bridgestone</v>
      </c>
      <c r="R567" s="101"/>
      <c r="U567" s="101"/>
    </row>
    <row r="568" ht="22.5" customHeight="1">
      <c r="A568" s="49"/>
      <c r="C568" s="245">
        <v>45903.0</v>
      </c>
      <c r="D568" s="245">
        <v>45903.0</v>
      </c>
      <c r="E568" s="246" t="s">
        <v>97</v>
      </c>
      <c r="F568" s="247" t="s">
        <v>343</v>
      </c>
      <c r="G568" s="248" t="s">
        <v>2522</v>
      </c>
      <c r="H568" s="93" t="s">
        <v>87</v>
      </c>
      <c r="I568" s="74" t="s">
        <v>572</v>
      </c>
      <c r="J568" s="249">
        <v>10.0</v>
      </c>
      <c r="K568" s="74" t="s">
        <v>2425</v>
      </c>
      <c r="L568" s="74">
        <v>1245000.0</v>
      </c>
      <c r="M568" s="74" t="s">
        <v>521</v>
      </c>
      <c r="N568" s="74">
        <f t="shared" si="4"/>
        <v>12450000</v>
      </c>
      <c r="O568" s="60">
        <f t="shared" si="2"/>
        <v>45963</v>
      </c>
      <c r="P568" s="65" t="str">
        <f>VLOOKUP(I568,DATABASE!C:Q,11,FALSE)</f>
        <v>Tire</v>
      </c>
      <c r="Q568" s="65" t="str">
        <f>VLOOKUP(I568,DATABASE!C:Q,4,FALSE)</f>
        <v>Bridgestone</v>
      </c>
      <c r="R568" s="101"/>
      <c r="U568" s="101"/>
    </row>
    <row r="569" ht="22.5" customHeight="1">
      <c r="A569" s="49"/>
      <c r="C569" s="245">
        <v>45903.0</v>
      </c>
      <c r="D569" s="245">
        <v>45903.0</v>
      </c>
      <c r="E569" s="246" t="s">
        <v>97</v>
      </c>
      <c r="F569" s="247" t="s">
        <v>343</v>
      </c>
      <c r="G569" s="65" t="s">
        <v>2523</v>
      </c>
      <c r="H569" s="93" t="s">
        <v>87</v>
      </c>
      <c r="I569" s="74" t="s">
        <v>1278</v>
      </c>
      <c r="J569" s="249">
        <v>3.0</v>
      </c>
      <c r="K569" s="74" t="s">
        <v>2537</v>
      </c>
      <c r="L569" s="74">
        <v>1466393.5</v>
      </c>
      <c r="M569" s="74" t="s">
        <v>521</v>
      </c>
      <c r="N569" s="74">
        <f t="shared" si="4"/>
        <v>4399180.5</v>
      </c>
      <c r="O569" s="60">
        <f t="shared" si="2"/>
        <v>45963</v>
      </c>
      <c r="P569" s="65" t="str">
        <f>VLOOKUP(I569,DATABASE!C:Q,11,FALSE)</f>
        <v>Tire</v>
      </c>
      <c r="Q569" s="65" t="str">
        <f>VLOOKUP(I569,DATABASE!C:Q,4,FALSE)</f>
        <v>Bridgestone</v>
      </c>
      <c r="R569" s="101"/>
      <c r="U569" s="101"/>
    </row>
    <row r="570" ht="22.5" customHeight="1">
      <c r="A570" s="49"/>
      <c r="C570" s="245">
        <v>45903.0</v>
      </c>
      <c r="D570" s="245">
        <v>45903.0</v>
      </c>
      <c r="E570" s="246" t="s">
        <v>97</v>
      </c>
      <c r="F570" s="247" t="s">
        <v>343</v>
      </c>
      <c r="G570" s="248" t="s">
        <v>2523</v>
      </c>
      <c r="H570" s="93" t="s">
        <v>87</v>
      </c>
      <c r="I570" s="74" t="s">
        <v>1237</v>
      </c>
      <c r="J570" s="249">
        <v>3.0</v>
      </c>
      <c r="K570" s="74" t="s">
        <v>1992</v>
      </c>
      <c r="L570" s="74">
        <v>1113907.2</v>
      </c>
      <c r="M570" s="74" t="s">
        <v>521</v>
      </c>
      <c r="N570" s="74">
        <f t="shared" si="4"/>
        <v>3341721.6</v>
      </c>
      <c r="O570" s="60">
        <f t="shared" si="2"/>
        <v>45963</v>
      </c>
      <c r="P570" s="65" t="str">
        <f>VLOOKUP(I570,DATABASE!C:Q,11,FALSE)</f>
        <v>Tire</v>
      </c>
      <c r="Q570" s="65" t="str">
        <f>VLOOKUP(I570,DATABASE!C:Q,4,FALSE)</f>
        <v>Bridgestone</v>
      </c>
      <c r="R570" s="101"/>
      <c r="U570" s="101"/>
    </row>
    <row r="571" ht="22.5" customHeight="1">
      <c r="A571" s="49"/>
      <c r="C571" s="245">
        <v>45903.0</v>
      </c>
      <c r="D571" s="245">
        <v>45903.0</v>
      </c>
      <c r="E571" s="246" t="s">
        <v>97</v>
      </c>
      <c r="F571" s="247" t="s">
        <v>343</v>
      </c>
      <c r="G571" s="248" t="s">
        <v>2523</v>
      </c>
      <c r="H571" s="93" t="s">
        <v>87</v>
      </c>
      <c r="I571" s="74" t="s">
        <v>591</v>
      </c>
      <c r="J571" s="249">
        <v>10.0</v>
      </c>
      <c r="K571" s="74" t="s">
        <v>2533</v>
      </c>
      <c r="L571" s="74">
        <v>593488.4</v>
      </c>
      <c r="M571" s="74" t="s">
        <v>521</v>
      </c>
      <c r="N571" s="74">
        <f t="shared" si="4"/>
        <v>5934884</v>
      </c>
      <c r="O571" s="60">
        <f t="shared" si="2"/>
        <v>45963</v>
      </c>
      <c r="P571" s="65" t="str">
        <f>VLOOKUP(I571,DATABASE!C:Q,11,FALSE)</f>
        <v>Tire</v>
      </c>
      <c r="Q571" s="65" t="str">
        <f>VLOOKUP(I571,DATABASE!C:Q,4,FALSE)</f>
        <v>Bridgestone</v>
      </c>
      <c r="R571" s="101"/>
      <c r="U571" s="101"/>
    </row>
    <row r="572" ht="22.5" customHeight="1">
      <c r="A572" s="49"/>
      <c r="C572" s="245">
        <v>45903.0</v>
      </c>
      <c r="D572" s="245">
        <v>45903.0</v>
      </c>
      <c r="E572" s="246" t="s">
        <v>97</v>
      </c>
      <c r="F572" s="247" t="s">
        <v>343</v>
      </c>
      <c r="G572" s="248" t="s">
        <v>2523</v>
      </c>
      <c r="H572" s="93" t="s">
        <v>87</v>
      </c>
      <c r="I572" s="74" t="s">
        <v>605</v>
      </c>
      <c r="J572" s="249">
        <v>8.0</v>
      </c>
      <c r="K572" s="74" t="s">
        <v>606</v>
      </c>
      <c r="L572" s="74">
        <v>670000.0</v>
      </c>
      <c r="M572" s="74" t="s">
        <v>521</v>
      </c>
      <c r="N572" s="74">
        <f t="shared" si="4"/>
        <v>5360000</v>
      </c>
      <c r="O572" s="60">
        <f t="shared" si="2"/>
        <v>45963</v>
      </c>
      <c r="P572" s="65" t="str">
        <f>VLOOKUP(I572,DATABASE!C:Q,11,FALSE)</f>
        <v>Tire</v>
      </c>
      <c r="Q572" s="65" t="str">
        <f>VLOOKUP(I572,DATABASE!C:Q,4,FALSE)</f>
        <v>Bridgestone</v>
      </c>
      <c r="R572" s="101"/>
      <c r="U572" s="101"/>
    </row>
    <row r="573" ht="22.5" customHeight="1">
      <c r="A573" s="49"/>
      <c r="C573" s="245">
        <v>45903.0</v>
      </c>
      <c r="D573" s="245">
        <v>45903.0</v>
      </c>
      <c r="E573" s="246" t="s">
        <v>97</v>
      </c>
      <c r="F573" s="247" t="s">
        <v>343</v>
      </c>
      <c r="G573" s="248" t="s">
        <v>2523</v>
      </c>
      <c r="H573" s="93" t="s">
        <v>87</v>
      </c>
      <c r="I573" s="74" t="s">
        <v>554</v>
      </c>
      <c r="J573" s="249">
        <v>10.0</v>
      </c>
      <c r="K573" s="74" t="s">
        <v>556</v>
      </c>
      <c r="L573" s="74">
        <v>700000.0</v>
      </c>
      <c r="M573" s="74" t="s">
        <v>521</v>
      </c>
      <c r="N573" s="74">
        <f t="shared" si="4"/>
        <v>7000000</v>
      </c>
      <c r="O573" s="60">
        <f t="shared" si="2"/>
        <v>45963</v>
      </c>
      <c r="P573" s="65" t="str">
        <f>VLOOKUP(I573,DATABASE!C:Q,11,FALSE)</f>
        <v>Tire</v>
      </c>
      <c r="Q573" s="65" t="str">
        <f>VLOOKUP(I573,DATABASE!C:Q,4,FALSE)</f>
        <v>Bridgestone</v>
      </c>
      <c r="R573" s="101"/>
      <c r="U573" s="101"/>
    </row>
    <row r="574" ht="22.5" customHeight="1">
      <c r="A574" s="49"/>
      <c r="C574" s="245">
        <v>45903.0</v>
      </c>
      <c r="D574" s="245">
        <v>45903.0</v>
      </c>
      <c r="E574" s="246" t="s">
        <v>97</v>
      </c>
      <c r="F574" s="247" t="s">
        <v>343</v>
      </c>
      <c r="G574" s="248" t="s">
        <v>2523</v>
      </c>
      <c r="H574" s="93" t="s">
        <v>87</v>
      </c>
      <c r="I574" s="74" t="s">
        <v>937</v>
      </c>
      <c r="J574" s="249">
        <v>10.0</v>
      </c>
      <c r="K574" s="74" t="s">
        <v>1111</v>
      </c>
      <c r="L574" s="74">
        <v>810000.0</v>
      </c>
      <c r="M574" s="74" t="s">
        <v>521</v>
      </c>
      <c r="N574" s="74">
        <f t="shared" si="4"/>
        <v>8100000</v>
      </c>
      <c r="O574" s="60">
        <f t="shared" si="2"/>
        <v>45963</v>
      </c>
      <c r="P574" s="65" t="str">
        <f>VLOOKUP(I574,DATABASE!C:Q,11,FALSE)</f>
        <v>Tire</v>
      </c>
      <c r="Q574" s="65" t="str">
        <f>VLOOKUP(I574,DATABASE!C:Q,4,FALSE)</f>
        <v>Bridgestone</v>
      </c>
      <c r="R574" s="101"/>
      <c r="U574" s="101"/>
    </row>
    <row r="575" ht="22.5" customHeight="1">
      <c r="A575" s="49"/>
      <c r="C575" s="245">
        <v>45903.0</v>
      </c>
      <c r="D575" s="245">
        <v>45903.0</v>
      </c>
      <c r="E575" s="246" t="s">
        <v>97</v>
      </c>
      <c r="F575" s="247" t="s">
        <v>343</v>
      </c>
      <c r="G575" s="248" t="s">
        <v>2523</v>
      </c>
      <c r="H575" s="93" t="s">
        <v>87</v>
      </c>
      <c r="I575" s="74" t="s">
        <v>614</v>
      </c>
      <c r="J575" s="249">
        <v>5.0</v>
      </c>
      <c r="K575" s="74" t="s">
        <v>1903</v>
      </c>
      <c r="L575" s="74">
        <v>766438.4</v>
      </c>
      <c r="M575" s="74" t="s">
        <v>521</v>
      </c>
      <c r="N575" s="74">
        <f t="shared" si="4"/>
        <v>3832192</v>
      </c>
      <c r="O575" s="60">
        <f t="shared" si="2"/>
        <v>45963</v>
      </c>
      <c r="P575" s="65" t="str">
        <f>VLOOKUP(I575,DATABASE!C:Q,11,FALSE)</f>
        <v>Tire</v>
      </c>
      <c r="Q575" s="65" t="str">
        <f>VLOOKUP(I575,DATABASE!C:Q,4,FALSE)</f>
        <v>Bridgestone</v>
      </c>
      <c r="R575" s="101"/>
      <c r="U575" s="101"/>
    </row>
    <row r="576" ht="22.5" customHeight="1">
      <c r="A576" s="49"/>
      <c r="C576" s="245">
        <v>45903.0</v>
      </c>
      <c r="D576" s="245">
        <v>45903.0</v>
      </c>
      <c r="E576" s="246" t="s">
        <v>97</v>
      </c>
      <c r="F576" s="247" t="s">
        <v>343</v>
      </c>
      <c r="G576" s="248" t="s">
        <v>2523</v>
      </c>
      <c r="H576" s="93" t="s">
        <v>87</v>
      </c>
      <c r="I576" s="74" t="s">
        <v>627</v>
      </c>
      <c r="J576" s="249">
        <v>4.0</v>
      </c>
      <c r="K576" s="74" t="s">
        <v>2180</v>
      </c>
      <c r="L576" s="74">
        <v>884979.0</v>
      </c>
      <c r="M576" s="74" t="s">
        <v>521</v>
      </c>
      <c r="N576" s="74">
        <f t="shared" si="4"/>
        <v>3539916</v>
      </c>
      <c r="O576" s="60">
        <f t="shared" si="2"/>
        <v>45963</v>
      </c>
      <c r="P576" s="65" t="str">
        <f>VLOOKUP(I576,DATABASE!C:Q,11,FALSE)</f>
        <v>Tire</v>
      </c>
      <c r="Q576" s="65" t="str">
        <f>VLOOKUP(I576,DATABASE!C:Q,4,FALSE)</f>
        <v>Bridgestone</v>
      </c>
      <c r="R576" s="101"/>
      <c r="U576" s="101"/>
    </row>
    <row r="577" ht="22.5" customHeight="1">
      <c r="A577" s="49"/>
      <c r="C577" s="245">
        <v>45903.0</v>
      </c>
      <c r="D577" s="245">
        <v>45903.0</v>
      </c>
      <c r="E577" s="246" t="s">
        <v>97</v>
      </c>
      <c r="F577" s="247" t="s">
        <v>343</v>
      </c>
      <c r="G577" s="248" t="s">
        <v>2524</v>
      </c>
      <c r="H577" s="93" t="s">
        <v>87</v>
      </c>
      <c r="I577" s="74" t="s">
        <v>737</v>
      </c>
      <c r="J577" s="249">
        <v>15.0</v>
      </c>
      <c r="K577" s="74" t="s">
        <v>2538</v>
      </c>
      <c r="L577" s="74">
        <v>237440.0</v>
      </c>
      <c r="M577" s="74" t="s">
        <v>521</v>
      </c>
      <c r="N577" s="74">
        <f t="shared" si="4"/>
        <v>3561600</v>
      </c>
      <c r="O577" s="60">
        <f t="shared" si="2"/>
        <v>45963</v>
      </c>
      <c r="P577" s="65" t="str">
        <f>VLOOKUP(I577,DATABASE!C:Q,11,FALSE)</f>
        <v>Tire</v>
      </c>
      <c r="Q577" s="65" t="str">
        <f>VLOOKUP(I577,DATABASE!C:Q,4,FALSE)</f>
        <v>BD</v>
      </c>
      <c r="R577" s="101"/>
      <c r="U577" s="101"/>
    </row>
    <row r="578" ht="22.5" customHeight="1">
      <c r="A578" s="49"/>
      <c r="C578" s="245">
        <v>45903.0</v>
      </c>
      <c r="D578" s="245">
        <v>45903.0</v>
      </c>
      <c r="E578" s="246" t="s">
        <v>97</v>
      </c>
      <c r="F578" s="247" t="s">
        <v>343</v>
      </c>
      <c r="G578" s="248" t="s">
        <v>2524</v>
      </c>
      <c r="H578" s="93" t="s">
        <v>87</v>
      </c>
      <c r="I578" s="74" t="s">
        <v>652</v>
      </c>
      <c r="J578" s="249">
        <v>15.0</v>
      </c>
      <c r="K578" s="74" t="s">
        <v>2539</v>
      </c>
      <c r="L578" s="74">
        <v>227850.0</v>
      </c>
      <c r="M578" s="74" t="s">
        <v>521</v>
      </c>
      <c r="N578" s="74">
        <f t="shared" si="4"/>
        <v>3417750</v>
      </c>
      <c r="O578" s="60">
        <f t="shared" si="2"/>
        <v>45963</v>
      </c>
      <c r="P578" s="65" t="str">
        <f>VLOOKUP(I578,DATABASE!C:Q,11,FALSE)</f>
        <v>Tire</v>
      </c>
      <c r="Q578" s="65" t="str">
        <f>VLOOKUP(I578,DATABASE!C:Q,4,FALSE)</f>
        <v>BD</v>
      </c>
      <c r="R578" s="101"/>
      <c r="U578" s="101"/>
    </row>
    <row r="579" ht="22.5" customHeight="1">
      <c r="A579" s="49"/>
      <c r="C579" s="192">
        <v>45903.0</v>
      </c>
      <c r="D579" s="192">
        <v>45903.0</v>
      </c>
      <c r="E579" s="69" t="s">
        <v>136</v>
      </c>
      <c r="F579" s="243" t="s">
        <v>998</v>
      </c>
      <c r="G579" s="192">
        <v>45903.0</v>
      </c>
      <c r="H579" s="69" t="s">
        <v>2314</v>
      </c>
      <c r="I579" s="140" t="s">
        <v>305</v>
      </c>
      <c r="J579" s="446">
        <v>10.0</v>
      </c>
      <c r="K579" s="140">
        <v>151890.0</v>
      </c>
      <c r="L579" s="140">
        <v>147050.0</v>
      </c>
      <c r="M579" s="140" t="s">
        <v>755</v>
      </c>
      <c r="N579" s="74">
        <f t="shared" si="4"/>
        <v>1470500</v>
      </c>
      <c r="O579" s="60">
        <f t="shared" si="2"/>
        <v>45933</v>
      </c>
      <c r="P579" s="65" t="str">
        <f>VLOOKUP(I579,DATABASE!C:Q,11,FALSE)</f>
        <v>COMPLEMENTARY</v>
      </c>
      <c r="Q579" s="65" t="str">
        <f>VLOOKUP(I579,DATABASE!C:Q,4,FALSE)</f>
        <v>Lower Arm</v>
      </c>
      <c r="R579" s="101"/>
      <c r="U579" s="101"/>
    </row>
    <row r="580" ht="22.5" customHeight="1">
      <c r="A580" s="49"/>
      <c r="C580" s="192">
        <v>45903.0</v>
      </c>
      <c r="D580" s="192">
        <v>45903.0</v>
      </c>
      <c r="E580" s="69" t="s">
        <v>136</v>
      </c>
      <c r="F580" s="243" t="s">
        <v>998</v>
      </c>
      <c r="G580" s="192">
        <v>45903.0</v>
      </c>
      <c r="H580" s="69" t="s">
        <v>2314</v>
      </c>
      <c r="I580" s="140" t="s">
        <v>298</v>
      </c>
      <c r="J580" s="446">
        <v>20.0</v>
      </c>
      <c r="K580" s="140">
        <v>19200.0</v>
      </c>
      <c r="L580" s="140">
        <v>19200.0</v>
      </c>
      <c r="M580" s="140" t="s">
        <v>755</v>
      </c>
      <c r="N580" s="74">
        <f t="shared" si="4"/>
        <v>384000</v>
      </c>
      <c r="O580" s="60">
        <f t="shared" si="2"/>
        <v>45933</v>
      </c>
      <c r="P580" s="65" t="str">
        <f>VLOOKUP(I580,DATABASE!C:Q,11,FALSE)</f>
        <v>COMPLEMENTARY</v>
      </c>
      <c r="Q580" s="65" t="str">
        <f>VLOOKUP(I580,DATABASE!C:Q,4,FALSE)</f>
        <v>Aspira</v>
      </c>
      <c r="R580" s="101"/>
      <c r="U580" s="101"/>
    </row>
    <row r="581" ht="22.5" customHeight="1">
      <c r="A581" s="49"/>
      <c r="C581" s="192">
        <v>45903.0</v>
      </c>
      <c r="D581" s="192">
        <v>45903.0</v>
      </c>
      <c r="E581" s="69" t="s">
        <v>136</v>
      </c>
      <c r="F581" s="243" t="s">
        <v>998</v>
      </c>
      <c r="G581" s="192">
        <v>45903.0</v>
      </c>
      <c r="H581" s="69" t="s">
        <v>2314</v>
      </c>
      <c r="I581" s="140" t="s">
        <v>2540</v>
      </c>
      <c r="J581" s="446">
        <v>2.0</v>
      </c>
      <c r="K581" s="140">
        <v>40000.0</v>
      </c>
      <c r="L581" s="140">
        <v>40000.0</v>
      </c>
      <c r="M581" s="140" t="s">
        <v>755</v>
      </c>
      <c r="N581" s="74">
        <f t="shared" si="4"/>
        <v>80000</v>
      </c>
      <c r="O581" s="60">
        <f t="shared" si="2"/>
        <v>45933</v>
      </c>
      <c r="P581" s="65" t="str">
        <f>VLOOKUP(I581,DATABASE!C:Q,11,FALSE)</f>
        <v>COMPLEMENTARY</v>
      </c>
      <c r="Q581" s="65" t="str">
        <f>VLOOKUP(I581,DATABASE!C:Q,4,FALSE)</f>
        <v>Sakura</v>
      </c>
      <c r="R581" s="101"/>
      <c r="U581" s="101"/>
    </row>
    <row r="582" ht="22.5" customHeight="1">
      <c r="A582" s="49"/>
      <c r="C582" s="192">
        <v>45903.0</v>
      </c>
      <c r="D582" s="192">
        <v>45903.0</v>
      </c>
      <c r="E582" s="69" t="s">
        <v>136</v>
      </c>
      <c r="F582" s="243" t="s">
        <v>998</v>
      </c>
      <c r="G582" s="192">
        <v>45903.0</v>
      </c>
      <c r="H582" s="69" t="s">
        <v>2314</v>
      </c>
      <c r="I582" s="140" t="s">
        <v>2541</v>
      </c>
      <c r="J582" s="446">
        <v>5.0</v>
      </c>
      <c r="K582" s="140">
        <v>21500.0</v>
      </c>
      <c r="L582" s="140">
        <v>21500.0</v>
      </c>
      <c r="M582" s="140" t="s">
        <v>755</v>
      </c>
      <c r="N582" s="74">
        <f t="shared" si="4"/>
        <v>107500</v>
      </c>
      <c r="O582" s="60">
        <f t="shared" si="2"/>
        <v>45933</v>
      </c>
      <c r="P582" s="65" t="str">
        <f>VLOOKUP(I582,DATABASE!C:Q,11,FALSE)</f>
        <v>COMPLEMENTARY</v>
      </c>
      <c r="Q582" s="65" t="str">
        <f>VLOOKUP(I582,DATABASE!C:Q,4,FALSE)</f>
        <v>Sakura</v>
      </c>
      <c r="R582" s="101"/>
      <c r="U582" s="101"/>
    </row>
    <row r="583" ht="22.5" customHeight="1">
      <c r="A583" s="49"/>
      <c r="C583" s="192">
        <v>45903.0</v>
      </c>
      <c r="D583" s="192">
        <v>45903.0</v>
      </c>
      <c r="E583" s="69" t="s">
        <v>136</v>
      </c>
      <c r="F583" s="243" t="s">
        <v>998</v>
      </c>
      <c r="G583" s="192">
        <v>45903.0</v>
      </c>
      <c r="H583" s="69" t="s">
        <v>2314</v>
      </c>
      <c r="I583" s="140" t="s">
        <v>2542</v>
      </c>
      <c r="J583" s="446">
        <v>5.0</v>
      </c>
      <c r="K583" s="140">
        <v>52000.0</v>
      </c>
      <c r="L583" s="140">
        <v>52000.0</v>
      </c>
      <c r="M583" s="140" t="s">
        <v>755</v>
      </c>
      <c r="N583" s="74">
        <f t="shared" si="4"/>
        <v>260000</v>
      </c>
      <c r="O583" s="60">
        <f t="shared" si="2"/>
        <v>45933</v>
      </c>
      <c r="P583" s="65" t="str">
        <f>VLOOKUP(I583,DATABASE!C:Q,11,FALSE)</f>
        <v>COMPLEMENTARY</v>
      </c>
      <c r="Q583" s="65" t="str">
        <f>VLOOKUP(I583,DATABASE!C:Q,4,FALSE)</f>
        <v>Filter oli ORI KW</v>
      </c>
      <c r="R583" s="101"/>
      <c r="U583" s="101"/>
    </row>
    <row r="584" ht="22.5" customHeight="1">
      <c r="A584" s="49"/>
      <c r="C584" s="192">
        <v>45903.0</v>
      </c>
      <c r="D584" s="192">
        <v>45903.0</v>
      </c>
      <c r="E584" s="69" t="s">
        <v>136</v>
      </c>
      <c r="F584" s="243" t="s">
        <v>998</v>
      </c>
      <c r="G584" s="192">
        <v>45903.0</v>
      </c>
      <c r="H584" s="69" t="s">
        <v>2314</v>
      </c>
      <c r="I584" s="140" t="s">
        <v>2543</v>
      </c>
      <c r="J584" s="446">
        <v>5.0</v>
      </c>
      <c r="K584" s="140">
        <v>26000.0</v>
      </c>
      <c r="L584" s="140">
        <v>26000.0</v>
      </c>
      <c r="M584" s="140" t="s">
        <v>755</v>
      </c>
      <c r="N584" s="74">
        <f t="shared" si="4"/>
        <v>130000</v>
      </c>
      <c r="O584" s="60">
        <f t="shared" si="2"/>
        <v>45933</v>
      </c>
      <c r="P584" s="65" t="str">
        <f>VLOOKUP(I584,DATABASE!C:Q,11,FALSE)</f>
        <v>COMPLEMENTARY</v>
      </c>
      <c r="Q584" s="65" t="str">
        <f>VLOOKUP(I584,DATABASE!C:Q,4,FALSE)</f>
        <v>Denso</v>
      </c>
      <c r="R584" s="101"/>
      <c r="U584" s="101"/>
    </row>
    <row r="585" ht="22.5" customHeight="1">
      <c r="A585" s="49"/>
      <c r="C585" s="192">
        <v>45903.0</v>
      </c>
      <c r="D585" s="192">
        <v>45903.0</v>
      </c>
      <c r="E585" s="69" t="s">
        <v>136</v>
      </c>
      <c r="F585" s="243" t="s">
        <v>998</v>
      </c>
      <c r="G585" s="192">
        <v>45903.0</v>
      </c>
      <c r="H585" s="69" t="s">
        <v>2314</v>
      </c>
      <c r="I585" s="140" t="s">
        <v>2544</v>
      </c>
      <c r="J585" s="446">
        <v>5.0</v>
      </c>
      <c r="K585" s="140">
        <v>26000.0</v>
      </c>
      <c r="L585" s="140">
        <v>26000.0</v>
      </c>
      <c r="M585" s="140" t="s">
        <v>755</v>
      </c>
      <c r="N585" s="74">
        <f t="shared" si="4"/>
        <v>130000</v>
      </c>
      <c r="O585" s="60">
        <f t="shared" si="2"/>
        <v>45933</v>
      </c>
      <c r="P585" s="65" t="str">
        <f>VLOOKUP(I585,DATABASE!C:Q,11,FALSE)</f>
        <v>COMPLEMENTARY</v>
      </c>
      <c r="Q585" s="65" t="str">
        <f>VLOOKUP(I585,DATABASE!C:Q,4,FALSE)</f>
        <v>Denso</v>
      </c>
      <c r="R585" s="101"/>
      <c r="U585" s="101"/>
    </row>
    <row r="586" ht="22.5" customHeight="1">
      <c r="A586" s="49"/>
      <c r="C586" s="245">
        <v>45906.0</v>
      </c>
      <c r="D586" s="245">
        <v>45906.0</v>
      </c>
      <c r="E586" s="246" t="s">
        <v>97</v>
      </c>
      <c r="F586" s="247" t="s">
        <v>343</v>
      </c>
      <c r="G586" s="248" t="s">
        <v>2449</v>
      </c>
      <c r="H586" s="93" t="s">
        <v>87</v>
      </c>
      <c r="I586" s="74" t="s">
        <v>1133</v>
      </c>
      <c r="J586" s="249">
        <v>2.0</v>
      </c>
      <c r="K586" s="74" t="s">
        <v>2545</v>
      </c>
      <c r="L586" s="74">
        <v>715635.0</v>
      </c>
      <c r="M586" s="74" t="s">
        <v>521</v>
      </c>
      <c r="N586" s="74">
        <f t="shared" si="4"/>
        <v>1431270</v>
      </c>
      <c r="O586" s="60">
        <f t="shared" si="2"/>
        <v>45966</v>
      </c>
      <c r="P586" s="65" t="str">
        <f>VLOOKUP(I586,DATABASE!C:Q,11,FALSE)</f>
        <v>Tire</v>
      </c>
      <c r="Q586" s="65" t="str">
        <f>VLOOKUP(I586,DATABASE!C:Q,4,FALSE)</f>
        <v>Bridgestone</v>
      </c>
      <c r="R586" s="101"/>
      <c r="U586" s="101"/>
    </row>
    <row r="587" ht="22.5" customHeight="1">
      <c r="A587" s="49"/>
      <c r="C587" s="245">
        <v>45906.0</v>
      </c>
      <c r="D587" s="245">
        <v>45906.0</v>
      </c>
      <c r="E587" s="246" t="s">
        <v>97</v>
      </c>
      <c r="F587" s="247" t="s">
        <v>343</v>
      </c>
      <c r="G587" s="248" t="s">
        <v>2449</v>
      </c>
      <c r="H587" s="93" t="s">
        <v>87</v>
      </c>
      <c r="I587" s="74" t="s">
        <v>600</v>
      </c>
      <c r="J587" s="249">
        <v>2.0</v>
      </c>
      <c r="K587" s="74" t="s">
        <v>1812</v>
      </c>
      <c r="L587" s="74">
        <v>572762.4</v>
      </c>
      <c r="M587" s="74" t="s">
        <v>521</v>
      </c>
      <c r="N587" s="74">
        <f t="shared" si="4"/>
        <v>1145524.8</v>
      </c>
      <c r="O587" s="60">
        <f t="shared" si="2"/>
        <v>45966</v>
      </c>
      <c r="P587" s="65" t="str">
        <f>VLOOKUP(I587,DATABASE!C:Q,11,FALSE)</f>
        <v>Tire</v>
      </c>
      <c r="Q587" s="65" t="str">
        <f>VLOOKUP(I587,DATABASE!C:Q,4,FALSE)</f>
        <v>Bridgestone</v>
      </c>
      <c r="R587" s="101"/>
      <c r="U587" s="101"/>
    </row>
    <row r="588" ht="22.5" customHeight="1">
      <c r="A588" s="49"/>
      <c r="C588" s="245">
        <v>45908.0</v>
      </c>
      <c r="D588" s="245">
        <v>45908.0</v>
      </c>
      <c r="E588" s="65" t="s">
        <v>110</v>
      </c>
      <c r="F588" s="247" t="s">
        <v>343</v>
      </c>
      <c r="G588" s="248">
        <v>2.5011814E7</v>
      </c>
      <c r="H588" s="93" t="s">
        <v>7</v>
      </c>
      <c r="I588" s="74" t="s">
        <v>286</v>
      </c>
      <c r="J588" s="249">
        <v>6.0</v>
      </c>
      <c r="K588" s="74" t="s">
        <v>1014</v>
      </c>
      <c r="L588" s="74">
        <v>445800.0</v>
      </c>
      <c r="M588" s="74" t="s">
        <v>755</v>
      </c>
      <c r="N588" s="74">
        <f t="shared" si="4"/>
        <v>2674800</v>
      </c>
      <c r="O588" s="60">
        <f t="shared" si="2"/>
        <v>45938</v>
      </c>
      <c r="P588" s="65" t="str">
        <f>VLOOKUP(I588,DATABASE!C:Q,11,FALSE)</f>
        <v>Tire</v>
      </c>
      <c r="Q588" s="65" t="str">
        <f>VLOOKUP(I588,DATABASE!C:Q,4,FALSE)</f>
        <v>GT</v>
      </c>
      <c r="R588" s="101"/>
      <c r="U588" s="101"/>
    </row>
    <row r="589" ht="22.5" customHeight="1">
      <c r="A589" s="49"/>
      <c r="C589" s="245">
        <v>45908.0</v>
      </c>
      <c r="D589" s="245">
        <v>45908.0</v>
      </c>
      <c r="E589" s="65" t="s">
        <v>110</v>
      </c>
      <c r="F589" s="247" t="s">
        <v>343</v>
      </c>
      <c r="G589" s="248">
        <v>2.5011815E7</v>
      </c>
      <c r="H589" s="93" t="s">
        <v>7</v>
      </c>
      <c r="I589" s="74" t="s">
        <v>1862</v>
      </c>
      <c r="J589" s="249">
        <v>6.0</v>
      </c>
      <c r="K589" s="74" t="s">
        <v>2327</v>
      </c>
      <c r="L589" s="74">
        <v>2050000.0</v>
      </c>
      <c r="M589" s="74" t="s">
        <v>755</v>
      </c>
      <c r="N589" s="74">
        <f t="shared" si="4"/>
        <v>12300000</v>
      </c>
      <c r="O589" s="60">
        <f t="shared" si="2"/>
        <v>45938</v>
      </c>
      <c r="P589" s="65" t="str">
        <f>VLOOKUP(I589,DATABASE!C:Q,11,FALSE)</f>
        <v>Tire</v>
      </c>
      <c r="Q589" s="65" t="str">
        <f>VLOOKUP(I589,DATABASE!C:Q,4,FALSE)</f>
        <v>GiTi</v>
      </c>
      <c r="R589" s="101"/>
      <c r="U589" s="101"/>
    </row>
    <row r="590" ht="22.5" customHeight="1">
      <c r="A590" s="49"/>
      <c r="C590" s="245">
        <v>45909.0</v>
      </c>
      <c r="D590" s="245">
        <v>45909.0</v>
      </c>
      <c r="E590" s="65" t="s">
        <v>110</v>
      </c>
      <c r="F590" s="247" t="s">
        <v>343</v>
      </c>
      <c r="G590" s="248">
        <v>2.5011856E7</v>
      </c>
      <c r="H590" s="93" t="s">
        <v>7</v>
      </c>
      <c r="I590" s="74" t="s">
        <v>1894</v>
      </c>
      <c r="J590" s="249">
        <v>1.0</v>
      </c>
      <c r="K590" s="74" t="s">
        <v>2546</v>
      </c>
      <c r="L590" s="74">
        <v>438400.0</v>
      </c>
      <c r="M590" s="74" t="s">
        <v>755</v>
      </c>
      <c r="N590" s="74">
        <f t="shared" si="4"/>
        <v>438400</v>
      </c>
      <c r="O590" s="60">
        <f t="shared" si="2"/>
        <v>45939</v>
      </c>
      <c r="P590" s="65" t="str">
        <f>VLOOKUP(I590,DATABASE!C:Q,11,FALSE)</f>
        <v>Tire</v>
      </c>
      <c r="Q590" s="65" t="str">
        <f>VLOOKUP(I590,DATABASE!C:Q,4,FALSE)</f>
        <v>GT</v>
      </c>
      <c r="R590" s="101"/>
      <c r="U590" s="101"/>
    </row>
    <row r="591" ht="22.5" customHeight="1">
      <c r="A591" s="49"/>
      <c r="C591" s="245">
        <v>45910.0</v>
      </c>
      <c r="D591" s="245">
        <v>45910.0</v>
      </c>
      <c r="E591" s="65" t="s">
        <v>335</v>
      </c>
      <c r="F591" s="247" t="s">
        <v>343</v>
      </c>
      <c r="G591" s="248" t="s">
        <v>2267</v>
      </c>
      <c r="H591" s="93" t="s">
        <v>7</v>
      </c>
      <c r="I591" s="74" t="s">
        <v>403</v>
      </c>
      <c r="J591" s="249">
        <v>10.0</v>
      </c>
      <c r="K591" s="74" t="s">
        <v>920</v>
      </c>
      <c r="L591" s="74">
        <v>2160000.0</v>
      </c>
      <c r="M591" s="74" t="s">
        <v>521</v>
      </c>
      <c r="N591" s="74">
        <f t="shared" si="4"/>
        <v>21600000</v>
      </c>
      <c r="O591" s="60">
        <f t="shared" si="2"/>
        <v>45970</v>
      </c>
      <c r="P591" s="65" t="str">
        <f>VLOOKUP(I591,DATABASE!C:Q,11,FALSE)</f>
        <v>Tire</v>
      </c>
      <c r="Q591" s="65" t="str">
        <f>VLOOKUP(I591,DATABASE!C:Q,4,FALSE)</f>
        <v>Advance</v>
      </c>
      <c r="R591" s="101"/>
      <c r="U591" s="101"/>
    </row>
    <row r="592" ht="22.5" customHeight="1">
      <c r="A592" s="49"/>
      <c r="C592" s="245">
        <v>45910.0</v>
      </c>
      <c r="D592" s="245">
        <v>45910.0</v>
      </c>
      <c r="E592" s="65" t="s">
        <v>335</v>
      </c>
      <c r="F592" s="247" t="s">
        <v>343</v>
      </c>
      <c r="G592" s="248" t="s">
        <v>2267</v>
      </c>
      <c r="H592" s="93" t="s">
        <v>7</v>
      </c>
      <c r="I592" s="74" t="s">
        <v>391</v>
      </c>
      <c r="J592" s="249">
        <v>4.0</v>
      </c>
      <c r="K592" s="74" t="s">
        <v>907</v>
      </c>
      <c r="L592" s="74">
        <v>1840000.0</v>
      </c>
      <c r="M592" s="74" t="s">
        <v>521</v>
      </c>
      <c r="N592" s="74">
        <f t="shared" si="4"/>
        <v>7360000</v>
      </c>
      <c r="O592" s="60">
        <f t="shared" si="2"/>
        <v>45970</v>
      </c>
      <c r="P592" s="65" t="str">
        <f>VLOOKUP(I592,DATABASE!C:Q,11,FALSE)</f>
        <v>Tire</v>
      </c>
      <c r="Q592" s="65" t="str">
        <f>VLOOKUP(I592,DATABASE!C:Q,4,FALSE)</f>
        <v>Advance</v>
      </c>
      <c r="R592" s="101"/>
      <c r="U592" s="101"/>
    </row>
    <row r="593" ht="22.5" customHeight="1">
      <c r="A593" s="49"/>
      <c r="C593" s="245">
        <v>45910.0</v>
      </c>
      <c r="D593" s="245">
        <v>45910.0</v>
      </c>
      <c r="E593" s="65" t="s">
        <v>335</v>
      </c>
      <c r="F593" s="247" t="s">
        <v>343</v>
      </c>
      <c r="G593" s="248" t="s">
        <v>2267</v>
      </c>
      <c r="H593" s="93" t="s">
        <v>7</v>
      </c>
      <c r="I593" s="74" t="s">
        <v>924</v>
      </c>
      <c r="J593" s="249">
        <v>10.0</v>
      </c>
      <c r="K593" s="74" t="s">
        <v>2419</v>
      </c>
      <c r="L593" s="74">
        <v>1545000.0</v>
      </c>
      <c r="M593" s="74" t="s">
        <v>521</v>
      </c>
      <c r="N593" s="74">
        <f t="shared" si="4"/>
        <v>15450000</v>
      </c>
      <c r="O593" s="60">
        <f t="shared" si="2"/>
        <v>45970</v>
      </c>
      <c r="P593" s="65" t="str">
        <f>VLOOKUP(I593,DATABASE!C:Q,11,FALSE)</f>
        <v>Tire</v>
      </c>
      <c r="Q593" s="65" t="str">
        <f>VLOOKUP(I593,DATABASE!C:Q,4,FALSE)</f>
        <v>TIRON</v>
      </c>
      <c r="R593" s="101"/>
      <c r="U593" s="101"/>
    </row>
    <row r="594" ht="22.5" customHeight="1">
      <c r="A594" s="49"/>
      <c r="C594" s="245">
        <v>45913.0</v>
      </c>
      <c r="D594" s="245">
        <v>45913.0</v>
      </c>
      <c r="E594" s="65" t="s">
        <v>110</v>
      </c>
      <c r="F594" s="247" t="s">
        <v>343</v>
      </c>
      <c r="G594" s="248">
        <v>2.5012075E7</v>
      </c>
      <c r="H594" s="93" t="s">
        <v>7</v>
      </c>
      <c r="I594" s="74" t="s">
        <v>286</v>
      </c>
      <c r="J594" s="249">
        <v>5.0</v>
      </c>
      <c r="K594" s="74" t="s">
        <v>2427</v>
      </c>
      <c r="L594" s="74">
        <v>452970.0</v>
      </c>
      <c r="M594" s="74" t="s">
        <v>755</v>
      </c>
      <c r="N594" s="74">
        <f t="shared" si="4"/>
        <v>2264850</v>
      </c>
      <c r="O594" s="60">
        <f t="shared" si="2"/>
        <v>45943</v>
      </c>
      <c r="P594" s="65" t="str">
        <f>VLOOKUP(I594,DATABASE!C:Q,11,FALSE)</f>
        <v>Tire</v>
      </c>
      <c r="Q594" s="65" t="str">
        <f>VLOOKUP(I594,DATABASE!C:Q,4,FALSE)</f>
        <v>GT</v>
      </c>
      <c r="R594" s="101"/>
      <c r="U594" s="101"/>
    </row>
    <row r="595" ht="22.5" customHeight="1">
      <c r="A595" s="49"/>
      <c r="C595" s="245">
        <v>45920.0</v>
      </c>
      <c r="D595" s="245">
        <v>45920.0</v>
      </c>
      <c r="E595" s="246" t="s">
        <v>97</v>
      </c>
      <c r="F595" s="247" t="s">
        <v>343</v>
      </c>
      <c r="G595" s="248" t="s">
        <v>2451</v>
      </c>
      <c r="H595" s="93" t="s">
        <v>87</v>
      </c>
      <c r="I595" s="74" t="s">
        <v>937</v>
      </c>
      <c r="J595" s="249">
        <v>2.0</v>
      </c>
      <c r="K595" s="74" t="s">
        <v>2547</v>
      </c>
      <c r="L595" s="74">
        <v>572762.4</v>
      </c>
      <c r="M595" s="74" t="s">
        <v>521</v>
      </c>
      <c r="N595" s="74">
        <f t="shared" si="4"/>
        <v>1145524.8</v>
      </c>
      <c r="O595" s="60">
        <f t="shared" si="2"/>
        <v>45980</v>
      </c>
      <c r="P595" s="65" t="str">
        <f>VLOOKUP(I595,DATABASE!C:Q,11,FALSE)</f>
        <v>Tire</v>
      </c>
      <c r="Q595" s="65" t="str">
        <f>VLOOKUP(I595,DATABASE!C:Q,4,FALSE)</f>
        <v>Bridgestone</v>
      </c>
      <c r="R595" s="101"/>
      <c r="U595" s="101"/>
    </row>
    <row r="596" ht="22.5" customHeight="1">
      <c r="A596" s="49"/>
      <c r="C596" s="245">
        <v>45920.0</v>
      </c>
      <c r="D596" s="245">
        <v>45920.0</v>
      </c>
      <c r="E596" s="65" t="s">
        <v>110</v>
      </c>
      <c r="F596" s="247" t="s">
        <v>343</v>
      </c>
      <c r="G596" s="248">
        <v>2.5012435E7</v>
      </c>
      <c r="H596" s="93" t="s">
        <v>7</v>
      </c>
      <c r="I596" s="74" t="s">
        <v>286</v>
      </c>
      <c r="J596" s="249">
        <v>12.0</v>
      </c>
      <c r="K596" s="74" t="s">
        <v>1014</v>
      </c>
      <c r="L596" s="74">
        <v>445800.0</v>
      </c>
      <c r="M596" s="74" t="s">
        <v>755</v>
      </c>
      <c r="N596" s="74">
        <f t="shared" si="4"/>
        <v>5349600</v>
      </c>
      <c r="O596" s="60">
        <f t="shared" si="2"/>
        <v>45950</v>
      </c>
      <c r="P596" s="65" t="str">
        <f>VLOOKUP(I596,DATABASE!C:Q,11,FALSE)</f>
        <v>Tire</v>
      </c>
      <c r="Q596" s="65" t="str">
        <f>VLOOKUP(I596,DATABASE!C:Q,4,FALSE)</f>
        <v>GT</v>
      </c>
      <c r="R596" s="101"/>
      <c r="U596" s="101"/>
    </row>
    <row r="597" ht="22.5" customHeight="1">
      <c r="A597" s="49"/>
      <c r="C597" s="245">
        <v>45920.0</v>
      </c>
      <c r="D597" s="245">
        <v>45920.0</v>
      </c>
      <c r="E597" s="65" t="s">
        <v>349</v>
      </c>
      <c r="F597" s="247" t="s">
        <v>343</v>
      </c>
      <c r="G597" s="248" t="s">
        <v>0</v>
      </c>
      <c r="H597" s="93" t="s">
        <v>7</v>
      </c>
      <c r="I597" s="93" t="s">
        <v>2548</v>
      </c>
      <c r="J597" s="249">
        <v>2.0</v>
      </c>
      <c r="K597" s="74" t="s">
        <v>2549</v>
      </c>
      <c r="L597" s="74">
        <v>1090000.0</v>
      </c>
      <c r="M597" s="74" t="s">
        <v>755</v>
      </c>
      <c r="N597" s="74">
        <f t="shared" si="4"/>
        <v>2180000</v>
      </c>
      <c r="O597" s="60">
        <f t="shared" si="2"/>
        <v>45950</v>
      </c>
      <c r="P597" s="65" t="str">
        <f>VLOOKUP(I597,DATABASE!C:Q,11,FALSE)</f>
        <v>Tire</v>
      </c>
      <c r="Q597" s="65" t="str">
        <f>VLOOKUP(I597,DATABASE!C:Q,4,FALSE)</f>
        <v>HANKOOK</v>
      </c>
      <c r="R597" s="101"/>
      <c r="U597" s="101"/>
    </row>
    <row r="598" ht="22.5" customHeight="1">
      <c r="A598" s="49"/>
      <c r="C598" s="245">
        <v>45922.0</v>
      </c>
      <c r="D598" s="245">
        <v>45922.0</v>
      </c>
      <c r="E598" s="65" t="s">
        <v>81</v>
      </c>
      <c r="F598" s="247" t="s">
        <v>998</v>
      </c>
      <c r="G598" s="248" t="s">
        <v>1561</v>
      </c>
      <c r="H598" s="93" t="s">
        <v>1953</v>
      </c>
      <c r="I598" s="74" t="s">
        <v>265</v>
      </c>
      <c r="J598" s="249">
        <v>3.0</v>
      </c>
      <c r="K598" s="74" t="s">
        <v>2550</v>
      </c>
      <c r="L598" s="74">
        <v>604000.0</v>
      </c>
      <c r="M598" s="74" t="s">
        <v>657</v>
      </c>
      <c r="N598" s="74">
        <f t="shared" si="4"/>
        <v>1812000</v>
      </c>
      <c r="O598" s="60">
        <f t="shared" si="2"/>
        <v>45997</v>
      </c>
      <c r="P598" s="65" t="str">
        <f>VLOOKUP(I598,DATABASE!C:Q,11,FALSE)</f>
        <v>Tire</v>
      </c>
      <c r="Q598" s="65" t="str">
        <f>VLOOKUP(I598,DATABASE!C:Q,4,FALSE)</f>
        <v>Dunlop</v>
      </c>
      <c r="R598" s="101"/>
      <c r="U598" s="101"/>
    </row>
    <row r="599" ht="22.5" customHeight="1">
      <c r="A599" s="49"/>
      <c r="C599" s="245">
        <v>45923.0</v>
      </c>
      <c r="D599" s="245">
        <v>45923.0</v>
      </c>
      <c r="E599" s="246" t="s">
        <v>97</v>
      </c>
      <c r="F599" s="247" t="s">
        <v>343</v>
      </c>
      <c r="G599" s="248" t="s">
        <v>2453</v>
      </c>
      <c r="H599" s="93" t="s">
        <v>87</v>
      </c>
      <c r="I599" s="74" t="s">
        <v>957</v>
      </c>
      <c r="J599" s="249">
        <v>1.0</v>
      </c>
      <c r="K599" s="74" t="s">
        <v>2551</v>
      </c>
      <c r="L599" s="74">
        <v>572762.4</v>
      </c>
      <c r="M599" s="74" t="s">
        <v>521</v>
      </c>
      <c r="N599" s="74">
        <f t="shared" si="4"/>
        <v>572762.4</v>
      </c>
      <c r="O599" s="60">
        <f t="shared" si="2"/>
        <v>45983</v>
      </c>
      <c r="P599" s="65" t="str">
        <f>VLOOKUP(I599,DATABASE!C:Q,11,FALSE)</f>
        <v>Tire</v>
      </c>
      <c r="Q599" s="65" t="str">
        <f>VLOOKUP(I599,DATABASE!C:Q,4,FALSE)</f>
        <v>Bridgestone</v>
      </c>
      <c r="R599" s="101"/>
      <c r="U599" s="101"/>
    </row>
    <row r="600" ht="22.5" customHeight="1">
      <c r="A600" s="49"/>
      <c r="C600" s="245">
        <v>45924.0</v>
      </c>
      <c r="D600" s="245">
        <v>45924.0</v>
      </c>
      <c r="E600" s="65" t="s">
        <v>81</v>
      </c>
      <c r="F600" s="247" t="s">
        <v>998</v>
      </c>
      <c r="G600" s="248" t="s">
        <v>1567</v>
      </c>
      <c r="H600" s="93" t="s">
        <v>2017</v>
      </c>
      <c r="I600" s="74" t="s">
        <v>268</v>
      </c>
      <c r="J600" s="249">
        <v>4.0</v>
      </c>
      <c r="K600" s="74" t="s">
        <v>2552</v>
      </c>
      <c r="L600" s="74">
        <v>628500.0</v>
      </c>
      <c r="M600" s="74" t="s">
        <v>657</v>
      </c>
      <c r="N600" s="74">
        <f t="shared" si="4"/>
        <v>2514000</v>
      </c>
      <c r="O600" s="60">
        <f t="shared" si="2"/>
        <v>45999</v>
      </c>
      <c r="P600" s="65" t="str">
        <f>VLOOKUP(I600,DATABASE!C:Q,11,FALSE)</f>
        <v>Tire</v>
      </c>
      <c r="Q600" s="65" t="str">
        <f>VLOOKUP(I600,DATABASE!C:Q,4,FALSE)</f>
        <v>Dunlop</v>
      </c>
      <c r="R600" s="101"/>
      <c r="U600" s="101"/>
    </row>
    <row r="601" ht="22.5" customHeight="1">
      <c r="A601" s="49"/>
      <c r="C601" s="245">
        <v>45926.0</v>
      </c>
      <c r="D601" s="245">
        <v>45926.0</v>
      </c>
      <c r="E601" s="65" t="s">
        <v>81</v>
      </c>
      <c r="F601" s="247" t="s">
        <v>998</v>
      </c>
      <c r="G601" s="248" t="s">
        <v>1574</v>
      </c>
      <c r="H601" s="93" t="s">
        <v>1953</v>
      </c>
      <c r="I601" s="74" t="s">
        <v>268</v>
      </c>
      <c r="J601" s="249">
        <v>4.0</v>
      </c>
      <c r="K601" s="74" t="s">
        <v>2552</v>
      </c>
      <c r="L601" s="74">
        <v>628500.0</v>
      </c>
      <c r="M601" s="74" t="s">
        <v>657</v>
      </c>
      <c r="N601" s="74">
        <f t="shared" si="4"/>
        <v>2514000</v>
      </c>
      <c r="O601" s="60">
        <f t="shared" si="2"/>
        <v>46001</v>
      </c>
      <c r="P601" s="65" t="str">
        <f>VLOOKUP(I601,DATABASE!C:Q,11,FALSE)</f>
        <v>Tire</v>
      </c>
      <c r="Q601" s="65" t="str">
        <f>VLOOKUP(I601,DATABASE!C:Q,4,FALSE)</f>
        <v>Dunlop</v>
      </c>
      <c r="R601" s="101"/>
      <c r="U601" s="101"/>
    </row>
    <row r="602" ht="22.5" customHeight="1">
      <c r="A602" s="49"/>
      <c r="C602" s="245">
        <v>45927.0</v>
      </c>
      <c r="D602" s="245">
        <v>45927.0</v>
      </c>
      <c r="E602" s="65" t="s">
        <v>372</v>
      </c>
      <c r="F602" s="247" t="s">
        <v>343</v>
      </c>
      <c r="G602" s="248" t="s">
        <v>1958</v>
      </c>
      <c r="H602" s="93" t="s">
        <v>7</v>
      </c>
      <c r="I602" s="74" t="s">
        <v>1530</v>
      </c>
      <c r="J602" s="249">
        <v>10.0</v>
      </c>
      <c r="K602" s="74" t="s">
        <v>2553</v>
      </c>
      <c r="L602" s="74">
        <v>467000.0</v>
      </c>
      <c r="M602" s="74" t="s">
        <v>521</v>
      </c>
      <c r="N602" s="74">
        <f t="shared" si="4"/>
        <v>4670000</v>
      </c>
      <c r="O602" s="60">
        <f t="shared" si="2"/>
        <v>45987</v>
      </c>
      <c r="P602" s="65" t="str">
        <f>VLOOKUP(I602,DATABASE!C:Q,11,FALSE)</f>
        <v>Tire</v>
      </c>
      <c r="Q602" s="65" t="str">
        <f>VLOOKUP(I602,DATABASE!C:Q,4,FALSE)</f>
        <v>Laufen</v>
      </c>
      <c r="R602" s="101"/>
      <c r="U602" s="101"/>
    </row>
    <row r="603" ht="22.5" customHeight="1">
      <c r="A603" s="49"/>
      <c r="C603" s="245">
        <v>45927.0</v>
      </c>
      <c r="D603" s="245">
        <v>45927.0</v>
      </c>
      <c r="E603" s="65" t="s">
        <v>372</v>
      </c>
      <c r="F603" s="247" t="s">
        <v>343</v>
      </c>
      <c r="G603" s="248" t="s">
        <v>1958</v>
      </c>
      <c r="H603" s="93" t="s">
        <v>7</v>
      </c>
      <c r="I603" s="74" t="s">
        <v>1536</v>
      </c>
      <c r="J603" s="249">
        <v>1.0</v>
      </c>
      <c r="K603" s="74" t="s">
        <v>2554</v>
      </c>
      <c r="L603" s="74">
        <v>599000.0</v>
      </c>
      <c r="M603" s="74" t="s">
        <v>521</v>
      </c>
      <c r="N603" s="74">
        <f t="shared" si="4"/>
        <v>599000</v>
      </c>
      <c r="O603" s="60">
        <f t="shared" si="2"/>
        <v>45987</v>
      </c>
      <c r="P603" s="65" t="str">
        <f>VLOOKUP(I603,DATABASE!C:Q,11,FALSE)</f>
        <v>Tire</v>
      </c>
      <c r="Q603" s="65" t="str">
        <f>VLOOKUP(I603,DATABASE!C:Q,4,FALSE)</f>
        <v>Laufen</v>
      </c>
      <c r="R603" s="101"/>
      <c r="U603" s="101"/>
    </row>
    <row r="604" ht="22.5" customHeight="1">
      <c r="A604" s="49"/>
      <c r="C604" s="245">
        <v>45927.0</v>
      </c>
      <c r="D604" s="245">
        <v>45927.0</v>
      </c>
      <c r="E604" s="65" t="s">
        <v>372</v>
      </c>
      <c r="F604" s="247" t="s">
        <v>343</v>
      </c>
      <c r="G604" s="248" t="s">
        <v>1958</v>
      </c>
      <c r="H604" s="93" t="s">
        <v>7</v>
      </c>
      <c r="I604" s="74" t="s">
        <v>2555</v>
      </c>
      <c r="J604" s="249">
        <v>4.0</v>
      </c>
      <c r="K604" s="74" t="s">
        <v>2556</v>
      </c>
      <c r="L604" s="74">
        <v>520000.0</v>
      </c>
      <c r="M604" s="74" t="s">
        <v>521</v>
      </c>
      <c r="N604" s="74">
        <f t="shared" si="4"/>
        <v>2080000</v>
      </c>
      <c r="O604" s="60">
        <f t="shared" si="2"/>
        <v>45987</v>
      </c>
      <c r="P604" s="65" t="str">
        <f>VLOOKUP(I604,DATABASE!C:Q,11,FALSE)</f>
        <v>Tire</v>
      </c>
      <c r="Q604" s="65" t="str">
        <f>VLOOKUP(I604,DATABASE!C:Q,4,FALSE)</f>
        <v>Laufen</v>
      </c>
      <c r="R604" s="101"/>
      <c r="U604" s="101"/>
    </row>
    <row r="605" ht="22.5" customHeight="1">
      <c r="A605" s="49"/>
      <c r="C605" s="245">
        <v>45929.0</v>
      </c>
      <c r="D605" s="245">
        <v>45929.0</v>
      </c>
      <c r="E605" s="65" t="s">
        <v>81</v>
      </c>
      <c r="F605" s="247" t="s">
        <v>998</v>
      </c>
      <c r="G605" s="248">
        <v>1.0</v>
      </c>
      <c r="H605" s="93" t="s">
        <v>2017</v>
      </c>
      <c r="I605" s="74" t="s">
        <v>268</v>
      </c>
      <c r="J605" s="249">
        <v>4.0</v>
      </c>
      <c r="K605" s="74" t="s">
        <v>2552</v>
      </c>
      <c r="L605" s="74">
        <v>628500.0</v>
      </c>
      <c r="M605" s="74" t="s">
        <v>657</v>
      </c>
      <c r="N605" s="74">
        <f t="shared" si="4"/>
        <v>2514000</v>
      </c>
      <c r="O605" s="60">
        <f t="shared" si="2"/>
        <v>46004</v>
      </c>
      <c r="P605" s="65" t="str">
        <f>VLOOKUP(I605,DATABASE!C:Q,11,FALSE)</f>
        <v>Tire</v>
      </c>
      <c r="Q605" s="65" t="str">
        <f>VLOOKUP(I605,DATABASE!C:Q,4,FALSE)</f>
        <v>Dunlop</v>
      </c>
      <c r="R605" s="101"/>
      <c r="U605" s="101"/>
    </row>
    <row r="606" ht="22.5" customHeight="1">
      <c r="A606" s="49"/>
      <c r="C606" s="245">
        <v>45929.0</v>
      </c>
      <c r="D606" s="245">
        <v>45929.0</v>
      </c>
      <c r="E606" s="65" t="s">
        <v>81</v>
      </c>
      <c r="F606" s="247" t="s">
        <v>998</v>
      </c>
      <c r="G606" s="248">
        <v>2.0</v>
      </c>
      <c r="H606" s="93" t="s">
        <v>2017</v>
      </c>
      <c r="I606" s="74" t="s">
        <v>275</v>
      </c>
      <c r="J606" s="249">
        <v>1.0</v>
      </c>
      <c r="K606" s="74" t="s">
        <v>2557</v>
      </c>
      <c r="L606" s="74">
        <v>708000.0</v>
      </c>
      <c r="M606" s="74" t="s">
        <v>657</v>
      </c>
      <c r="N606" s="74">
        <f t="shared" si="4"/>
        <v>708000</v>
      </c>
      <c r="O606" s="60">
        <f t="shared" si="2"/>
        <v>46004</v>
      </c>
      <c r="P606" s="65" t="str">
        <f>VLOOKUP(I606,DATABASE!C:Q,11,FALSE)</f>
        <v>Tire</v>
      </c>
      <c r="Q606" s="65" t="str">
        <f>VLOOKUP(I606,DATABASE!C:Q,4,FALSE)</f>
        <v>Dunlop</v>
      </c>
      <c r="R606" s="101"/>
      <c r="U606" s="101"/>
    </row>
    <row r="607" ht="22.5" customHeight="1">
      <c r="A607" s="49"/>
      <c r="C607" s="245">
        <v>45930.0</v>
      </c>
      <c r="D607" s="245">
        <v>45930.0</v>
      </c>
      <c r="E607" s="65" t="s">
        <v>123</v>
      </c>
      <c r="F607" s="247" t="s">
        <v>343</v>
      </c>
      <c r="G607" s="248" t="s">
        <v>2399</v>
      </c>
      <c r="H607" s="93" t="s">
        <v>7</v>
      </c>
      <c r="I607" s="74" t="s">
        <v>1439</v>
      </c>
      <c r="J607" s="249">
        <v>6.0</v>
      </c>
      <c r="K607" s="74" t="s">
        <v>1441</v>
      </c>
      <c r="L607" s="74">
        <v>540800.0</v>
      </c>
      <c r="M607" s="74" t="s">
        <v>755</v>
      </c>
      <c r="N607" s="74">
        <f t="shared" si="4"/>
        <v>3244800</v>
      </c>
      <c r="O607" s="60">
        <f t="shared" si="2"/>
        <v>45960</v>
      </c>
      <c r="P607" s="65" t="str">
        <f>VLOOKUP(I607,DATABASE!C:Q,11,FALSE)</f>
        <v>Tire</v>
      </c>
      <c r="Q607" s="65" t="str">
        <f>VLOOKUP(I607,DATABASE!C:Q,4,FALSE)</f>
        <v>GT</v>
      </c>
      <c r="R607" s="101"/>
      <c r="U607" s="101"/>
    </row>
    <row r="608" ht="22.5" customHeight="1">
      <c r="A608" s="49"/>
      <c r="C608" s="245">
        <v>45930.0</v>
      </c>
      <c r="D608" s="245">
        <v>45930.0</v>
      </c>
      <c r="E608" s="65" t="s">
        <v>123</v>
      </c>
      <c r="F608" s="247" t="s">
        <v>343</v>
      </c>
      <c r="G608" s="248" t="s">
        <v>2399</v>
      </c>
      <c r="H608" s="93" t="s">
        <v>7</v>
      </c>
      <c r="I608" s="74" t="s">
        <v>856</v>
      </c>
      <c r="J608" s="249">
        <v>10.0</v>
      </c>
      <c r="K608" s="74" t="s">
        <v>857</v>
      </c>
      <c r="L608" s="74">
        <v>581100.0</v>
      </c>
      <c r="M608" s="74" t="s">
        <v>755</v>
      </c>
      <c r="N608" s="74">
        <f t="shared" si="4"/>
        <v>5811000</v>
      </c>
      <c r="O608" s="60">
        <f t="shared" si="2"/>
        <v>45960</v>
      </c>
      <c r="P608" s="65" t="str">
        <f>VLOOKUP(I608,DATABASE!C:Q,11,FALSE)</f>
        <v>Tire</v>
      </c>
      <c r="Q608" s="65" t="str">
        <f>VLOOKUP(I608,DATABASE!C:Q,4,FALSE)</f>
        <v>GT</v>
      </c>
      <c r="R608" s="101"/>
      <c r="U608" s="101"/>
    </row>
    <row r="609" ht="22.5" customHeight="1">
      <c r="A609" s="49"/>
      <c r="C609" s="245">
        <v>45930.0</v>
      </c>
      <c r="D609" s="245">
        <v>45930.0</v>
      </c>
      <c r="E609" s="65" t="s">
        <v>123</v>
      </c>
      <c r="F609" s="247" t="s">
        <v>343</v>
      </c>
      <c r="G609" s="248" t="s">
        <v>2399</v>
      </c>
      <c r="H609" s="93" t="s">
        <v>7</v>
      </c>
      <c r="I609" s="74" t="s">
        <v>287</v>
      </c>
      <c r="J609" s="249">
        <v>5.0</v>
      </c>
      <c r="K609" s="74" t="s">
        <v>861</v>
      </c>
      <c r="L609" s="74">
        <v>690600.0</v>
      </c>
      <c r="M609" s="74" t="s">
        <v>755</v>
      </c>
      <c r="N609" s="74">
        <f t="shared" si="4"/>
        <v>3453000</v>
      </c>
      <c r="O609" s="60">
        <f t="shared" si="2"/>
        <v>45960</v>
      </c>
      <c r="P609" s="65" t="str">
        <f>VLOOKUP(I609,DATABASE!C:Q,11,FALSE)</f>
        <v>Tire</v>
      </c>
      <c r="Q609" s="65" t="str">
        <f>VLOOKUP(I609,DATABASE!C:Q,4,FALSE)</f>
        <v>GT</v>
      </c>
      <c r="R609" s="101"/>
      <c r="U609" s="101"/>
    </row>
    <row r="610" ht="22.5" customHeight="1">
      <c r="A610" s="49"/>
      <c r="C610" s="245">
        <v>45930.0</v>
      </c>
      <c r="D610" s="245">
        <v>45930.0</v>
      </c>
      <c r="E610" s="65" t="s">
        <v>123</v>
      </c>
      <c r="F610" s="247" t="s">
        <v>343</v>
      </c>
      <c r="G610" s="248" t="s">
        <v>2399</v>
      </c>
      <c r="H610" s="93" t="s">
        <v>7</v>
      </c>
      <c r="I610" s="74" t="s">
        <v>286</v>
      </c>
      <c r="J610" s="249">
        <v>20.0</v>
      </c>
      <c r="K610" s="74" t="s">
        <v>2558</v>
      </c>
      <c r="L610" s="74">
        <v>453000.0</v>
      </c>
      <c r="M610" s="74" t="s">
        <v>755</v>
      </c>
      <c r="N610" s="74">
        <f t="shared" si="4"/>
        <v>9060000</v>
      </c>
      <c r="O610" s="60">
        <f t="shared" si="2"/>
        <v>45960</v>
      </c>
      <c r="P610" s="65" t="str">
        <f>VLOOKUP(I610,DATABASE!C:Q,11,FALSE)</f>
        <v>Tire</v>
      </c>
      <c r="Q610" s="65" t="str">
        <f>VLOOKUP(I610,DATABASE!C:Q,4,FALSE)</f>
        <v>GT</v>
      </c>
      <c r="R610" s="101"/>
      <c r="U610" s="101"/>
    </row>
    <row r="611" ht="22.5" customHeight="1">
      <c r="A611" s="49"/>
      <c r="C611" s="245">
        <v>45930.0</v>
      </c>
      <c r="D611" s="245">
        <v>45930.0</v>
      </c>
      <c r="E611" s="65" t="s">
        <v>123</v>
      </c>
      <c r="F611" s="247" t="s">
        <v>343</v>
      </c>
      <c r="G611" s="248" t="s">
        <v>2399</v>
      </c>
      <c r="H611" s="93" t="s">
        <v>7</v>
      </c>
      <c r="I611" s="74" t="s">
        <v>839</v>
      </c>
      <c r="J611" s="249">
        <v>10.0</v>
      </c>
      <c r="K611" s="74" t="s">
        <v>840</v>
      </c>
      <c r="L611" s="74">
        <v>475700.0</v>
      </c>
      <c r="M611" s="74" t="s">
        <v>755</v>
      </c>
      <c r="N611" s="74">
        <f t="shared" si="4"/>
        <v>4757000</v>
      </c>
      <c r="O611" s="60">
        <f t="shared" si="2"/>
        <v>45960</v>
      </c>
      <c r="P611" s="65" t="str">
        <f>VLOOKUP(I611,DATABASE!C:Q,11,FALSE)</f>
        <v>Tire</v>
      </c>
      <c r="Q611" s="65" t="str">
        <f>VLOOKUP(I611,DATABASE!C:Q,4,FALSE)</f>
        <v>GT</v>
      </c>
      <c r="R611" s="101"/>
      <c r="U611" s="101"/>
    </row>
    <row r="612" ht="22.5" customHeight="1">
      <c r="A612" s="49"/>
      <c r="C612" s="245">
        <v>45930.0</v>
      </c>
      <c r="D612" s="245">
        <v>45930.0</v>
      </c>
      <c r="E612" s="65" t="s">
        <v>123</v>
      </c>
      <c r="F612" s="247" t="s">
        <v>343</v>
      </c>
      <c r="G612" s="248" t="s">
        <v>2399</v>
      </c>
      <c r="H612" s="93" t="s">
        <v>7</v>
      </c>
      <c r="I612" s="74" t="s">
        <v>288</v>
      </c>
      <c r="J612" s="249">
        <v>10.0</v>
      </c>
      <c r="K612" s="74" t="s">
        <v>831</v>
      </c>
      <c r="L612" s="74">
        <v>524800.0</v>
      </c>
      <c r="M612" s="74" t="s">
        <v>755</v>
      </c>
      <c r="N612" s="74">
        <f t="shared" si="4"/>
        <v>5248000</v>
      </c>
      <c r="O612" s="60">
        <f t="shared" si="2"/>
        <v>45960</v>
      </c>
      <c r="P612" s="65" t="str">
        <f>VLOOKUP(I612,DATABASE!C:Q,11,FALSE)</f>
        <v>Tire</v>
      </c>
      <c r="Q612" s="65" t="str">
        <f>VLOOKUP(I612,DATABASE!C:Q,4,FALSE)</f>
        <v>GT</v>
      </c>
      <c r="R612" s="101"/>
      <c r="U612" s="101"/>
    </row>
    <row r="613" ht="22.5" customHeight="1">
      <c r="A613" s="49"/>
      <c r="C613" s="245">
        <v>45930.0</v>
      </c>
      <c r="D613" s="245">
        <v>45930.0</v>
      </c>
      <c r="E613" s="65" t="s">
        <v>123</v>
      </c>
      <c r="F613" s="247" t="s">
        <v>343</v>
      </c>
      <c r="G613" s="248" t="s">
        <v>2399</v>
      </c>
      <c r="H613" s="93" t="s">
        <v>7</v>
      </c>
      <c r="I613" s="74" t="s">
        <v>1009</v>
      </c>
      <c r="J613" s="249">
        <v>10.0</v>
      </c>
      <c r="K613" s="74" t="s">
        <v>1414</v>
      </c>
      <c r="L613" s="74">
        <v>592200.0</v>
      </c>
      <c r="M613" s="74" t="s">
        <v>755</v>
      </c>
      <c r="N613" s="74">
        <f t="shared" si="4"/>
        <v>5922000</v>
      </c>
      <c r="O613" s="60">
        <f t="shared" si="2"/>
        <v>45960</v>
      </c>
      <c r="P613" s="65" t="str">
        <f>VLOOKUP(I613,DATABASE!C:Q,11,FALSE)</f>
        <v>Tire</v>
      </c>
      <c r="Q613" s="65" t="str">
        <f>VLOOKUP(I613,DATABASE!C:Q,4,FALSE)</f>
        <v>GT</v>
      </c>
      <c r="R613" s="101"/>
      <c r="U613" s="101"/>
    </row>
    <row r="614" ht="22.5" customHeight="1">
      <c r="A614" s="49"/>
      <c r="C614" s="245">
        <v>45930.0</v>
      </c>
      <c r="D614" s="245">
        <v>45930.0</v>
      </c>
      <c r="E614" s="65" t="s">
        <v>123</v>
      </c>
      <c r="F614" s="247" t="s">
        <v>343</v>
      </c>
      <c r="G614" s="248" t="s">
        <v>2399</v>
      </c>
      <c r="H614" s="93" t="s">
        <v>7</v>
      </c>
      <c r="I614" s="74" t="s">
        <v>1597</v>
      </c>
      <c r="J614" s="249">
        <v>8.0</v>
      </c>
      <c r="K614" s="74" t="s">
        <v>2262</v>
      </c>
      <c r="L614" s="74">
        <v>544300.0</v>
      </c>
      <c r="M614" s="74" t="s">
        <v>755</v>
      </c>
      <c r="N614" s="74">
        <f t="shared" si="4"/>
        <v>4354400</v>
      </c>
      <c r="O614" s="60">
        <f t="shared" si="2"/>
        <v>45960</v>
      </c>
      <c r="P614" s="65" t="str">
        <f>VLOOKUP(I614,DATABASE!C:Q,11,FALSE)</f>
        <v>Tire</v>
      </c>
      <c r="Q614" s="65" t="str">
        <f>VLOOKUP(I614,DATABASE!C:Q,4,FALSE)</f>
        <v>GT</v>
      </c>
      <c r="R614" s="101"/>
      <c r="U614" s="101"/>
    </row>
    <row r="615" ht="22.5" customHeight="1">
      <c r="A615" s="49"/>
      <c r="C615" s="245">
        <v>45930.0</v>
      </c>
      <c r="D615" s="245">
        <v>45930.0</v>
      </c>
      <c r="E615" s="65" t="s">
        <v>123</v>
      </c>
      <c r="F615" s="247" t="s">
        <v>343</v>
      </c>
      <c r="G615" s="248" t="s">
        <v>2399</v>
      </c>
      <c r="H615" s="93" t="s">
        <v>7</v>
      </c>
      <c r="I615" s="74" t="s">
        <v>290</v>
      </c>
      <c r="J615" s="249">
        <v>8.0</v>
      </c>
      <c r="K615" s="74" t="s">
        <v>1417</v>
      </c>
      <c r="L615" s="74">
        <v>609800.0</v>
      </c>
      <c r="M615" s="74" t="s">
        <v>755</v>
      </c>
      <c r="N615" s="74">
        <f t="shared" si="4"/>
        <v>4878400</v>
      </c>
      <c r="O615" s="60">
        <f t="shared" si="2"/>
        <v>45960</v>
      </c>
      <c r="P615" s="65" t="str">
        <f>VLOOKUP(I615,DATABASE!C:Q,11,FALSE)</f>
        <v>Tire</v>
      </c>
      <c r="Q615" s="65" t="str">
        <f>VLOOKUP(I615,DATABASE!C:Q,4,FALSE)</f>
        <v>GT</v>
      </c>
      <c r="R615" s="101"/>
      <c r="U615" s="101"/>
    </row>
    <row r="616" ht="22.5" customHeight="1">
      <c r="A616" s="49"/>
      <c r="C616" s="245">
        <v>45930.0</v>
      </c>
      <c r="D616" s="245">
        <v>45930.0</v>
      </c>
      <c r="E616" s="65" t="s">
        <v>123</v>
      </c>
      <c r="F616" s="247" t="s">
        <v>343</v>
      </c>
      <c r="G616" s="248" t="s">
        <v>2400</v>
      </c>
      <c r="H616" s="93" t="s">
        <v>7</v>
      </c>
      <c r="I616" s="74" t="s">
        <v>781</v>
      </c>
      <c r="J616" s="249">
        <v>10.0</v>
      </c>
      <c r="K616" s="74" t="s">
        <v>1127</v>
      </c>
      <c r="L616" s="74">
        <v>440000.0</v>
      </c>
      <c r="M616" s="74" t="s">
        <v>755</v>
      </c>
      <c r="N616" s="74">
        <f t="shared" si="4"/>
        <v>4400000</v>
      </c>
      <c r="O616" s="60">
        <f t="shared" si="2"/>
        <v>45960</v>
      </c>
      <c r="P616" s="65" t="str">
        <f>VLOOKUP(I616,DATABASE!C:Q,11,FALSE)</f>
        <v>Tire</v>
      </c>
      <c r="Q616" s="65" t="str">
        <f>VLOOKUP(I616,DATABASE!C:Q,4,FALSE)</f>
        <v>GT</v>
      </c>
      <c r="R616" s="101"/>
      <c r="U616" s="101"/>
    </row>
    <row r="617" ht="22.5" customHeight="1">
      <c r="A617" s="49"/>
      <c r="C617" s="245">
        <v>45930.0</v>
      </c>
      <c r="D617" s="245">
        <v>45930.0</v>
      </c>
      <c r="E617" s="65" t="s">
        <v>123</v>
      </c>
      <c r="F617" s="247" t="s">
        <v>343</v>
      </c>
      <c r="G617" s="248" t="s">
        <v>2400</v>
      </c>
      <c r="H617" s="93" t="s">
        <v>7</v>
      </c>
      <c r="I617" s="74" t="s">
        <v>294</v>
      </c>
      <c r="J617" s="249">
        <v>4.0</v>
      </c>
      <c r="K617" s="74" t="s">
        <v>1143</v>
      </c>
      <c r="L617" s="74">
        <v>490000.0</v>
      </c>
      <c r="M617" s="74" t="s">
        <v>755</v>
      </c>
      <c r="N617" s="74">
        <f t="shared" si="4"/>
        <v>1960000</v>
      </c>
      <c r="O617" s="60">
        <f t="shared" si="2"/>
        <v>45960</v>
      </c>
      <c r="P617" s="65" t="str">
        <f>VLOOKUP(I617,DATABASE!C:Q,11,FALSE)</f>
        <v>Tire</v>
      </c>
      <c r="Q617" s="65" t="str">
        <f>VLOOKUP(I617,DATABASE!C:Q,4,FALSE)</f>
        <v>GT</v>
      </c>
      <c r="R617" s="101"/>
      <c r="U617" s="101"/>
    </row>
    <row r="618" ht="22.5" customHeight="1">
      <c r="A618" s="49"/>
      <c r="C618" s="245">
        <v>45930.0</v>
      </c>
      <c r="D618" s="245">
        <v>45930.0</v>
      </c>
      <c r="E618" s="65" t="s">
        <v>123</v>
      </c>
      <c r="F618" s="247" t="s">
        <v>343</v>
      </c>
      <c r="G618" s="248" t="s">
        <v>2400</v>
      </c>
      <c r="H618" s="93" t="s">
        <v>7</v>
      </c>
      <c r="I618" s="74" t="s">
        <v>777</v>
      </c>
      <c r="J618" s="249">
        <v>4.0</v>
      </c>
      <c r="K618" s="74" t="s">
        <v>1136</v>
      </c>
      <c r="L618" s="74">
        <v>505000.0</v>
      </c>
      <c r="M618" s="74" t="s">
        <v>755</v>
      </c>
      <c r="N618" s="74">
        <f t="shared" si="4"/>
        <v>2020000</v>
      </c>
      <c r="O618" s="60">
        <f t="shared" si="2"/>
        <v>45960</v>
      </c>
      <c r="P618" s="65" t="str">
        <f>VLOOKUP(I618,DATABASE!C:Q,11,FALSE)</f>
        <v>Tire</v>
      </c>
      <c r="Q618" s="65" t="str">
        <f>VLOOKUP(I618,DATABASE!C:Q,4,FALSE)</f>
        <v>GT</v>
      </c>
      <c r="R618" s="101"/>
      <c r="U618" s="101"/>
    </row>
    <row r="619" ht="22.5" customHeight="1">
      <c r="A619" s="49"/>
      <c r="C619" s="245">
        <v>45930.0</v>
      </c>
      <c r="D619" s="245">
        <v>45930.0</v>
      </c>
      <c r="E619" s="65" t="s">
        <v>123</v>
      </c>
      <c r="F619" s="247" t="s">
        <v>343</v>
      </c>
      <c r="G619" s="248" t="s">
        <v>2400</v>
      </c>
      <c r="H619" s="93" t="s">
        <v>7</v>
      </c>
      <c r="I619" s="74" t="s">
        <v>2019</v>
      </c>
      <c r="J619" s="249">
        <v>3.0</v>
      </c>
      <c r="K619" s="74" t="s">
        <v>2559</v>
      </c>
      <c r="L619" s="74">
        <v>595000.0</v>
      </c>
      <c r="M619" s="74" t="s">
        <v>755</v>
      </c>
      <c r="N619" s="74">
        <f t="shared" si="4"/>
        <v>1785000</v>
      </c>
      <c r="O619" s="60">
        <f t="shared" si="2"/>
        <v>45960</v>
      </c>
      <c r="P619" s="65" t="str">
        <f>VLOOKUP(I619,DATABASE!C:Q,11,FALSE)</f>
        <v>Tire</v>
      </c>
      <c r="Q619" s="65" t="str">
        <f>VLOOKUP(I619,DATABASE!C:Q,4,FALSE)</f>
        <v>GT</v>
      </c>
      <c r="R619" s="101"/>
      <c r="U619" s="101"/>
    </row>
    <row r="620" ht="22.5" customHeight="1">
      <c r="A620" s="49"/>
      <c r="C620" s="245">
        <v>45930.0</v>
      </c>
      <c r="D620" s="245">
        <v>45930.0</v>
      </c>
      <c r="E620" s="65" t="s">
        <v>123</v>
      </c>
      <c r="F620" s="247" t="s">
        <v>343</v>
      </c>
      <c r="G620" s="248" t="s">
        <v>2400</v>
      </c>
      <c r="H620" s="93" t="s">
        <v>7</v>
      </c>
      <c r="I620" s="74" t="s">
        <v>791</v>
      </c>
      <c r="J620" s="249">
        <v>7.0</v>
      </c>
      <c r="K620" s="74" t="s">
        <v>2560</v>
      </c>
      <c r="L620" s="74">
        <v>1160000.0</v>
      </c>
      <c r="M620" s="74" t="s">
        <v>755</v>
      </c>
      <c r="N620" s="74">
        <f t="shared" si="4"/>
        <v>8120000</v>
      </c>
      <c r="O620" s="60">
        <f t="shared" si="2"/>
        <v>45960</v>
      </c>
      <c r="P620" s="65" t="str">
        <f>VLOOKUP(I620,DATABASE!C:Q,11,FALSE)</f>
        <v>Tire</v>
      </c>
      <c r="Q620" s="65" t="str">
        <f>VLOOKUP(I620,DATABASE!C:Q,4,FALSE)</f>
        <v>GT</v>
      </c>
      <c r="R620" s="101"/>
      <c r="U620" s="101"/>
    </row>
    <row r="621" ht="22.5" customHeight="1">
      <c r="A621" s="49"/>
      <c r="C621" s="245">
        <v>45930.0</v>
      </c>
      <c r="D621" s="245">
        <v>45930.0</v>
      </c>
      <c r="E621" s="65" t="s">
        <v>123</v>
      </c>
      <c r="F621" s="247" t="s">
        <v>343</v>
      </c>
      <c r="G621" s="248" t="s">
        <v>2400</v>
      </c>
      <c r="H621" s="93" t="s">
        <v>7</v>
      </c>
      <c r="I621" s="74" t="s">
        <v>1858</v>
      </c>
      <c r="J621" s="249">
        <v>7.0</v>
      </c>
      <c r="K621" s="74" t="s">
        <v>2561</v>
      </c>
      <c r="L621" s="74">
        <v>2030000.0</v>
      </c>
      <c r="M621" s="74" t="s">
        <v>755</v>
      </c>
      <c r="N621" s="74">
        <f t="shared" si="4"/>
        <v>14210000</v>
      </c>
      <c r="O621" s="60">
        <f t="shared" si="2"/>
        <v>45960</v>
      </c>
      <c r="P621" s="65" t="str">
        <f>VLOOKUP(I621,DATABASE!C:Q,11,FALSE)</f>
        <v>Tire</v>
      </c>
      <c r="Q621" s="65" t="str">
        <f>VLOOKUP(I621,DATABASE!C:Q,4,FALSE)</f>
        <v>GiTi</v>
      </c>
      <c r="R621" s="101"/>
      <c r="U621" s="101"/>
    </row>
    <row r="622" ht="22.5" customHeight="1">
      <c r="A622" s="49"/>
      <c r="C622" s="245">
        <v>45930.0</v>
      </c>
      <c r="D622" s="245">
        <v>45930.0</v>
      </c>
      <c r="E622" s="65" t="s">
        <v>123</v>
      </c>
      <c r="F622" s="247" t="s">
        <v>343</v>
      </c>
      <c r="G622" s="248" t="s">
        <v>2400</v>
      </c>
      <c r="H622" s="93" t="s">
        <v>7</v>
      </c>
      <c r="I622" s="74" t="s">
        <v>1862</v>
      </c>
      <c r="J622" s="249">
        <v>7.0</v>
      </c>
      <c r="K622" s="74" t="s">
        <v>2327</v>
      </c>
      <c r="L622" s="74">
        <v>2050000.0</v>
      </c>
      <c r="M622" s="74" t="s">
        <v>755</v>
      </c>
      <c r="N622" s="74">
        <f t="shared" si="4"/>
        <v>14350000</v>
      </c>
      <c r="O622" s="60">
        <f t="shared" si="2"/>
        <v>45960</v>
      </c>
      <c r="P622" s="65" t="str">
        <f>VLOOKUP(I622,DATABASE!C:Q,11,FALSE)</f>
        <v>Tire</v>
      </c>
      <c r="Q622" s="65" t="str">
        <f>VLOOKUP(I622,DATABASE!C:Q,4,FALSE)</f>
        <v>GiTi</v>
      </c>
      <c r="R622" s="101"/>
      <c r="U622" s="101"/>
    </row>
    <row r="623" ht="22.5" customHeight="1">
      <c r="A623" s="49"/>
      <c r="C623" s="245">
        <v>45931.0</v>
      </c>
      <c r="D623" s="245">
        <v>45931.0</v>
      </c>
      <c r="E623" s="65" t="s">
        <v>81</v>
      </c>
      <c r="F623" s="247" t="s">
        <v>343</v>
      </c>
      <c r="G623" s="248" t="s">
        <v>1580</v>
      </c>
      <c r="H623" s="93" t="s">
        <v>87</v>
      </c>
      <c r="I623" s="74" t="s">
        <v>265</v>
      </c>
      <c r="J623" s="249">
        <v>30.0</v>
      </c>
      <c r="K623" s="74" t="s">
        <v>2198</v>
      </c>
      <c r="L623" s="74">
        <v>610000.0</v>
      </c>
      <c r="M623" s="74" t="s">
        <v>657</v>
      </c>
      <c r="N623" s="74">
        <f t="shared" si="4"/>
        <v>18300000</v>
      </c>
      <c r="O623" s="60">
        <f t="shared" si="2"/>
        <v>46006</v>
      </c>
      <c r="P623" s="65" t="str">
        <f>VLOOKUP(I623,DATABASE!C:Q,11,FALSE)</f>
        <v>Tire</v>
      </c>
      <c r="Q623" s="65" t="str">
        <f>VLOOKUP(I623,DATABASE!C:Q,4,FALSE)</f>
        <v>Dunlop</v>
      </c>
      <c r="R623" s="101"/>
      <c r="U623" s="101"/>
    </row>
    <row r="624" ht="22.5" customHeight="1">
      <c r="A624" s="49"/>
      <c r="C624" s="245">
        <v>45931.0</v>
      </c>
      <c r="D624" s="245">
        <v>45931.0</v>
      </c>
      <c r="E624" s="65" t="s">
        <v>81</v>
      </c>
      <c r="F624" s="247" t="s">
        <v>343</v>
      </c>
      <c r="G624" s="248" t="s">
        <v>1580</v>
      </c>
      <c r="H624" s="93" t="s">
        <v>87</v>
      </c>
      <c r="I624" s="74" t="s">
        <v>268</v>
      </c>
      <c r="J624" s="249">
        <v>50.0</v>
      </c>
      <c r="K624" s="74" t="s">
        <v>2216</v>
      </c>
      <c r="L624" s="74">
        <v>634500.0</v>
      </c>
      <c r="M624" s="74" t="s">
        <v>657</v>
      </c>
      <c r="N624" s="74">
        <f t="shared" si="4"/>
        <v>31725000</v>
      </c>
      <c r="O624" s="60">
        <f t="shared" si="2"/>
        <v>46006</v>
      </c>
      <c r="P624" s="65" t="str">
        <f>VLOOKUP(I624,DATABASE!C:Q,11,FALSE)</f>
        <v>Tire</v>
      </c>
      <c r="Q624" s="65" t="str">
        <f>VLOOKUP(I624,DATABASE!C:Q,4,FALSE)</f>
        <v>Dunlop</v>
      </c>
      <c r="R624" s="101"/>
      <c r="U624" s="101"/>
    </row>
    <row r="625" ht="22.5" customHeight="1">
      <c r="A625" s="49"/>
      <c r="C625" s="245">
        <v>45931.0</v>
      </c>
      <c r="D625" s="245">
        <v>45931.0</v>
      </c>
      <c r="E625" s="65" t="s">
        <v>81</v>
      </c>
      <c r="F625" s="247" t="s">
        <v>343</v>
      </c>
      <c r="G625" s="248" t="s">
        <v>1580</v>
      </c>
      <c r="H625" s="93" t="s">
        <v>87</v>
      </c>
      <c r="I625" s="74" t="s">
        <v>955</v>
      </c>
      <c r="J625" s="249">
        <v>10.0</v>
      </c>
      <c r="K625" s="74" t="s">
        <v>2402</v>
      </c>
      <c r="L625" s="74">
        <v>688000.0</v>
      </c>
      <c r="M625" s="74" t="s">
        <v>657</v>
      </c>
      <c r="N625" s="74">
        <f t="shared" si="4"/>
        <v>6880000</v>
      </c>
      <c r="O625" s="60">
        <f t="shared" si="2"/>
        <v>46006</v>
      </c>
      <c r="P625" s="65" t="str">
        <f>VLOOKUP(I625,DATABASE!C:Q,11,FALSE)</f>
        <v>Tire</v>
      </c>
      <c r="Q625" s="65" t="str">
        <f>VLOOKUP(I625,DATABASE!C:Q,4,FALSE)</f>
        <v>Dunlop</v>
      </c>
      <c r="R625" s="101"/>
      <c r="U625" s="101"/>
    </row>
    <row r="626" ht="22.5" customHeight="1">
      <c r="A626" s="49"/>
      <c r="C626" s="245">
        <v>45931.0</v>
      </c>
      <c r="D626" s="245">
        <v>45931.0</v>
      </c>
      <c r="E626" s="65" t="s">
        <v>81</v>
      </c>
      <c r="F626" s="247" t="s">
        <v>343</v>
      </c>
      <c r="G626" s="248" t="s">
        <v>1580</v>
      </c>
      <c r="H626" s="93" t="s">
        <v>87</v>
      </c>
      <c r="I626" s="74" t="s">
        <v>932</v>
      </c>
      <c r="J626" s="249">
        <v>20.0</v>
      </c>
      <c r="K626" s="74" t="s">
        <v>2228</v>
      </c>
      <c r="L626" s="74">
        <v>601000.0</v>
      </c>
      <c r="M626" s="74" t="s">
        <v>657</v>
      </c>
      <c r="N626" s="74">
        <f t="shared" si="4"/>
        <v>12020000</v>
      </c>
      <c r="O626" s="60">
        <f t="shared" si="2"/>
        <v>46006</v>
      </c>
      <c r="P626" s="65" t="str">
        <f>VLOOKUP(I626,DATABASE!C:Q,11,FALSE)</f>
        <v>Tire</v>
      </c>
      <c r="Q626" s="65" t="str">
        <f>VLOOKUP(I626,DATABASE!C:Q,4,FALSE)</f>
        <v>Dunlop</v>
      </c>
      <c r="R626" s="101"/>
      <c r="U626" s="101"/>
    </row>
    <row r="627" ht="22.5" customHeight="1">
      <c r="A627" s="49"/>
      <c r="C627" s="245">
        <v>45931.0</v>
      </c>
      <c r="D627" s="245">
        <v>45931.0</v>
      </c>
      <c r="E627" s="65" t="s">
        <v>81</v>
      </c>
      <c r="F627" s="247" t="s">
        <v>343</v>
      </c>
      <c r="G627" s="248" t="s">
        <v>1580</v>
      </c>
      <c r="H627" s="93" t="s">
        <v>87</v>
      </c>
      <c r="I627" s="74" t="s">
        <v>1507</v>
      </c>
      <c r="J627" s="249">
        <v>3.0</v>
      </c>
      <c r="K627" s="74" t="s">
        <v>2444</v>
      </c>
      <c r="L627" s="74">
        <v>638500.0</v>
      </c>
      <c r="M627" s="74" t="s">
        <v>657</v>
      </c>
      <c r="N627" s="74">
        <f t="shared" si="4"/>
        <v>1915500</v>
      </c>
      <c r="O627" s="60">
        <f t="shared" si="2"/>
        <v>46006</v>
      </c>
      <c r="P627" s="65" t="str">
        <f>VLOOKUP(I627,DATABASE!C:Q,11,FALSE)</f>
        <v>Tire</v>
      </c>
      <c r="Q627" s="65" t="str">
        <f>VLOOKUP(I627,DATABASE!C:Q,4,FALSE)</f>
        <v>Dunlop</v>
      </c>
      <c r="R627" s="101"/>
      <c r="U627" s="101"/>
    </row>
    <row r="628" ht="22.5" customHeight="1">
      <c r="A628" s="49"/>
      <c r="C628" s="245">
        <v>45931.0</v>
      </c>
      <c r="D628" s="245">
        <v>45931.0</v>
      </c>
      <c r="E628" s="65" t="s">
        <v>81</v>
      </c>
      <c r="F628" s="247" t="s">
        <v>343</v>
      </c>
      <c r="G628" s="248" t="s">
        <v>1580</v>
      </c>
      <c r="H628" s="93" t="s">
        <v>87</v>
      </c>
      <c r="I628" s="74" t="s">
        <v>271</v>
      </c>
      <c r="J628" s="249">
        <v>10.0</v>
      </c>
      <c r="K628" s="74" t="s">
        <v>1058</v>
      </c>
      <c r="L628" s="74">
        <v>550000.0</v>
      </c>
      <c r="M628" s="74" t="s">
        <v>657</v>
      </c>
      <c r="N628" s="74">
        <f t="shared" si="4"/>
        <v>5500000</v>
      </c>
      <c r="O628" s="60">
        <f t="shared" si="2"/>
        <v>46006</v>
      </c>
      <c r="P628" s="65" t="str">
        <f>VLOOKUP(I628,DATABASE!C:Q,11,FALSE)</f>
        <v>Tire</v>
      </c>
      <c r="Q628" s="65" t="str">
        <f>VLOOKUP(I628,DATABASE!C:Q,4,FALSE)</f>
        <v>Dunlop</v>
      </c>
      <c r="R628" s="101"/>
      <c r="U628" s="101"/>
    </row>
    <row r="629" ht="22.5" customHeight="1">
      <c r="A629" s="49"/>
      <c r="C629" s="245">
        <v>45931.0</v>
      </c>
      <c r="D629" s="245">
        <v>45931.0</v>
      </c>
      <c r="E629" s="65" t="s">
        <v>81</v>
      </c>
      <c r="F629" s="247" t="s">
        <v>343</v>
      </c>
      <c r="G629" s="248" t="s">
        <v>1580</v>
      </c>
      <c r="H629" s="93" t="s">
        <v>87</v>
      </c>
      <c r="I629" s="74" t="s">
        <v>968</v>
      </c>
      <c r="J629" s="249">
        <v>7.0</v>
      </c>
      <c r="K629" s="74" t="s">
        <v>2331</v>
      </c>
      <c r="L629" s="74">
        <v>582500.0</v>
      </c>
      <c r="M629" s="74" t="s">
        <v>657</v>
      </c>
      <c r="N629" s="74">
        <f t="shared" si="4"/>
        <v>4077500</v>
      </c>
      <c r="O629" s="60">
        <f t="shared" si="2"/>
        <v>46006</v>
      </c>
      <c r="P629" s="65" t="str">
        <f>VLOOKUP(I629,DATABASE!C:Q,11,FALSE)</f>
        <v>Tire</v>
      </c>
      <c r="Q629" s="65" t="str">
        <f>VLOOKUP(I629,DATABASE!C:Q,4,FALSE)</f>
        <v>Dunlop</v>
      </c>
      <c r="R629" s="101"/>
      <c r="U629" s="101"/>
    </row>
    <row r="630" ht="22.5" customHeight="1">
      <c r="A630" s="49"/>
      <c r="C630" s="245">
        <v>45933.0</v>
      </c>
      <c r="D630" s="245">
        <v>45933.0</v>
      </c>
      <c r="E630" s="246" t="s">
        <v>97</v>
      </c>
      <c r="F630" s="247" t="s">
        <v>343</v>
      </c>
      <c r="G630" s="248" t="s">
        <v>2455</v>
      </c>
      <c r="H630" s="93" t="s">
        <v>87</v>
      </c>
      <c r="I630" s="93" t="s">
        <v>622</v>
      </c>
      <c r="J630" s="249">
        <v>2.0</v>
      </c>
      <c r="K630" s="74" t="s">
        <v>2562</v>
      </c>
      <c r="L630" s="74">
        <v>572762.4</v>
      </c>
      <c r="M630" s="74" t="s">
        <v>521</v>
      </c>
      <c r="N630" s="74">
        <f t="shared" si="4"/>
        <v>1145524.8</v>
      </c>
      <c r="O630" s="60">
        <f t="shared" si="2"/>
        <v>45993</v>
      </c>
      <c r="P630" s="65" t="str">
        <f>VLOOKUP(I630,DATABASE!C:Q,11,FALSE)</f>
        <v>Tire</v>
      </c>
      <c r="Q630" s="65" t="str">
        <f>VLOOKUP(I630,DATABASE!C:Q,4,FALSE)</f>
        <v>Bridgestone</v>
      </c>
      <c r="R630" s="101"/>
      <c r="U630" s="101"/>
    </row>
    <row r="631" ht="22.5" customHeight="1">
      <c r="A631" s="49"/>
      <c r="C631" s="192">
        <v>45936.0</v>
      </c>
      <c r="D631" s="192">
        <v>45936.0</v>
      </c>
      <c r="E631" s="69" t="s">
        <v>386</v>
      </c>
      <c r="F631" s="243" t="s">
        <v>998</v>
      </c>
      <c r="G631" s="69" t="s">
        <v>2095</v>
      </c>
      <c r="H631" s="69" t="s">
        <v>2314</v>
      </c>
      <c r="I631" s="140" t="s">
        <v>2195</v>
      </c>
      <c r="J631" s="446">
        <v>6.0</v>
      </c>
      <c r="K631" s="140">
        <v>282805.0</v>
      </c>
      <c r="L631" s="140">
        <v>276700.0</v>
      </c>
      <c r="M631" s="140" t="s">
        <v>755</v>
      </c>
      <c r="N631" s="74">
        <f t="shared" si="4"/>
        <v>1660200</v>
      </c>
      <c r="O631" s="60">
        <f t="shared" si="2"/>
        <v>45966</v>
      </c>
      <c r="P631" s="65" t="str">
        <f>VLOOKUP(I631,DATABASE!C:Q,11,FALSE)</f>
        <v>OIL</v>
      </c>
      <c r="Q631" s="65" t="str">
        <f>VLOOKUP(I631,DATABASE!C:Q,4,FALSE)</f>
        <v>Shell</v>
      </c>
      <c r="R631" s="101"/>
      <c r="U631" s="101"/>
    </row>
    <row r="632" ht="22.5" customHeight="1">
      <c r="A632" s="49"/>
      <c r="C632" s="245">
        <v>45939.0</v>
      </c>
      <c r="D632" s="245">
        <v>45939.0</v>
      </c>
      <c r="E632" s="65" t="s">
        <v>81</v>
      </c>
      <c r="F632" s="247" t="s">
        <v>998</v>
      </c>
      <c r="G632" s="248" t="s">
        <v>1586</v>
      </c>
      <c r="H632" s="93" t="s">
        <v>1953</v>
      </c>
      <c r="I632" s="74" t="s">
        <v>1051</v>
      </c>
      <c r="J632" s="249">
        <v>2.0</v>
      </c>
      <c r="K632" s="74" t="s">
        <v>2536</v>
      </c>
      <c r="L632" s="74">
        <v>895000.0</v>
      </c>
      <c r="M632" s="74" t="s">
        <v>657</v>
      </c>
      <c r="N632" s="74">
        <f t="shared" si="4"/>
        <v>1790000</v>
      </c>
      <c r="O632" s="60">
        <f t="shared" si="2"/>
        <v>46014</v>
      </c>
      <c r="P632" s="65" t="str">
        <f>VLOOKUP(I632,DATABASE!C:Q,11,FALSE)</f>
        <v>Tire</v>
      </c>
      <c r="Q632" s="65" t="str">
        <f>VLOOKUP(I632,DATABASE!C:Q,4,FALSE)</f>
        <v>Dunlop</v>
      </c>
      <c r="R632" s="101"/>
      <c r="U632" s="101"/>
    </row>
    <row r="633" ht="22.5" customHeight="1">
      <c r="A633" s="49"/>
      <c r="C633" s="245">
        <v>45944.0</v>
      </c>
      <c r="D633" s="245">
        <v>45944.0</v>
      </c>
      <c r="E633" s="65" t="s">
        <v>110</v>
      </c>
      <c r="F633" s="247" t="s">
        <v>343</v>
      </c>
      <c r="G633" s="248">
        <v>2.5013589E7</v>
      </c>
      <c r="H633" s="93" t="s">
        <v>7</v>
      </c>
      <c r="I633" s="74" t="s">
        <v>847</v>
      </c>
      <c r="J633" s="249">
        <v>4.0</v>
      </c>
      <c r="K633" s="74" t="s">
        <v>2563</v>
      </c>
      <c r="L633" s="74">
        <v>661550.0</v>
      </c>
      <c r="M633" s="74" t="s">
        <v>755</v>
      </c>
      <c r="N633" s="74">
        <f t="shared" si="4"/>
        <v>2646200</v>
      </c>
      <c r="O633" s="60">
        <f t="shared" si="2"/>
        <v>45974</v>
      </c>
      <c r="P633" s="65" t="str">
        <f>VLOOKUP(I633,DATABASE!C:Q,11,FALSE)</f>
        <v>Tire</v>
      </c>
      <c r="Q633" s="65" t="str">
        <f>VLOOKUP(I633,DATABASE!C:Q,4,FALSE)</f>
        <v>GT</v>
      </c>
      <c r="R633" s="101"/>
      <c r="U633" s="101"/>
    </row>
    <row r="634" ht="22.5" customHeight="1">
      <c r="A634" s="49"/>
      <c r="C634" s="245">
        <v>45945.0</v>
      </c>
      <c r="D634" s="245">
        <v>45945.0</v>
      </c>
      <c r="E634" s="246" t="s">
        <v>97</v>
      </c>
      <c r="F634" s="247" t="s">
        <v>343</v>
      </c>
      <c r="G634" s="248" t="s">
        <v>2457</v>
      </c>
      <c r="H634" s="93" t="s">
        <v>87</v>
      </c>
      <c r="I634" s="74" t="s">
        <v>566</v>
      </c>
      <c r="J634" s="249">
        <v>4.0</v>
      </c>
      <c r="K634" s="74" t="s">
        <v>2419</v>
      </c>
      <c r="L634" s="74">
        <v>572762.4</v>
      </c>
      <c r="M634" s="74" t="s">
        <v>521</v>
      </c>
      <c r="N634" s="74">
        <f t="shared" si="4"/>
        <v>2291049.6</v>
      </c>
      <c r="O634" s="60">
        <f t="shared" si="2"/>
        <v>46005</v>
      </c>
      <c r="P634" s="65" t="str">
        <f>VLOOKUP(I634,DATABASE!C:Q,11,FALSE)</f>
        <v>Tire</v>
      </c>
      <c r="Q634" s="65" t="str">
        <f>VLOOKUP(I634,DATABASE!C:Q,4,FALSE)</f>
        <v>Bridgestone</v>
      </c>
      <c r="R634" s="101"/>
      <c r="U634" s="101"/>
    </row>
    <row r="635" ht="22.5" customHeight="1">
      <c r="A635" s="49"/>
      <c r="C635" s="245">
        <v>45945.0</v>
      </c>
      <c r="D635" s="245">
        <v>45945.0</v>
      </c>
      <c r="E635" s="246" t="s">
        <v>97</v>
      </c>
      <c r="F635" s="247" t="s">
        <v>343</v>
      </c>
      <c r="G635" s="248" t="s">
        <v>2458</v>
      </c>
      <c r="H635" s="93" t="s">
        <v>87</v>
      </c>
      <c r="I635" s="74" t="s">
        <v>1237</v>
      </c>
      <c r="J635" s="249">
        <v>5.0</v>
      </c>
      <c r="K635" s="74" t="s">
        <v>1992</v>
      </c>
      <c r="L635" s="140">
        <v>1113907.0</v>
      </c>
      <c r="M635" s="74" t="s">
        <v>521</v>
      </c>
      <c r="N635" s="74">
        <f t="shared" si="4"/>
        <v>5569535</v>
      </c>
      <c r="O635" s="60">
        <f t="shared" si="2"/>
        <v>46005</v>
      </c>
      <c r="P635" s="65" t="str">
        <f>VLOOKUP(I635,DATABASE!C:Q,11,FALSE)</f>
        <v>Tire</v>
      </c>
      <c r="Q635" s="65" t="str">
        <f>VLOOKUP(I635,DATABASE!C:Q,4,FALSE)</f>
        <v>Bridgestone</v>
      </c>
      <c r="R635" s="101"/>
      <c r="U635" s="101"/>
    </row>
    <row r="636" ht="22.5" customHeight="1">
      <c r="A636" s="49"/>
      <c r="C636" s="245">
        <v>45945.0</v>
      </c>
      <c r="D636" s="245">
        <v>45945.0</v>
      </c>
      <c r="E636" s="246" t="s">
        <v>97</v>
      </c>
      <c r="F636" s="247" t="s">
        <v>343</v>
      </c>
      <c r="G636" s="248" t="s">
        <v>2458</v>
      </c>
      <c r="H636" s="93" t="s">
        <v>87</v>
      </c>
      <c r="I636" s="74" t="s">
        <v>591</v>
      </c>
      <c r="J636" s="249">
        <v>10.0</v>
      </c>
      <c r="K636" s="74" t="s">
        <v>2394</v>
      </c>
      <c r="L636" s="74">
        <v>572762.4</v>
      </c>
      <c r="M636" s="74" t="s">
        <v>521</v>
      </c>
      <c r="N636" s="74">
        <f t="shared" si="4"/>
        <v>5727624</v>
      </c>
      <c r="O636" s="60">
        <f t="shared" si="2"/>
        <v>46005</v>
      </c>
      <c r="P636" s="65" t="str">
        <f>VLOOKUP(I636,DATABASE!C:Q,11,FALSE)</f>
        <v>Tire</v>
      </c>
      <c r="Q636" s="65" t="str">
        <f>VLOOKUP(I636,DATABASE!C:Q,4,FALSE)</f>
        <v>Bridgestone</v>
      </c>
      <c r="R636" s="101"/>
      <c r="U636" s="101"/>
    </row>
    <row r="637" ht="22.5" customHeight="1">
      <c r="A637" s="49"/>
      <c r="C637" s="245">
        <v>45945.0</v>
      </c>
      <c r="D637" s="245">
        <v>45945.0</v>
      </c>
      <c r="E637" s="246" t="s">
        <v>97</v>
      </c>
      <c r="F637" s="247" t="s">
        <v>343</v>
      </c>
      <c r="G637" s="248" t="s">
        <v>2458</v>
      </c>
      <c r="H637" s="93" t="s">
        <v>87</v>
      </c>
      <c r="I637" s="74" t="s">
        <v>1133</v>
      </c>
      <c r="J637" s="249">
        <v>4.0</v>
      </c>
      <c r="K637" s="74" t="s">
        <v>2545</v>
      </c>
      <c r="L637" s="74">
        <v>572762.4</v>
      </c>
      <c r="M637" s="74" t="s">
        <v>521</v>
      </c>
      <c r="N637" s="74">
        <f t="shared" si="4"/>
        <v>2291049.6</v>
      </c>
      <c r="O637" s="60">
        <f t="shared" si="2"/>
        <v>46005</v>
      </c>
      <c r="P637" s="65" t="str">
        <f>VLOOKUP(I637,DATABASE!C:Q,11,FALSE)</f>
        <v>Tire</v>
      </c>
      <c r="Q637" s="65" t="str">
        <f>VLOOKUP(I637,DATABASE!C:Q,4,FALSE)</f>
        <v>Bridgestone</v>
      </c>
      <c r="R637" s="101"/>
      <c r="U637" s="101"/>
    </row>
    <row r="638" ht="22.5" customHeight="1">
      <c r="A638" s="49"/>
      <c r="C638" s="245">
        <v>45945.0</v>
      </c>
      <c r="D638" s="245">
        <v>45945.0</v>
      </c>
      <c r="E638" s="246" t="s">
        <v>97</v>
      </c>
      <c r="F638" s="247" t="s">
        <v>343</v>
      </c>
      <c r="G638" s="248" t="s">
        <v>2458</v>
      </c>
      <c r="H638" s="93" t="s">
        <v>87</v>
      </c>
      <c r="I638" s="74" t="s">
        <v>600</v>
      </c>
      <c r="J638" s="249">
        <v>10.0</v>
      </c>
      <c r="K638" s="74" t="s">
        <v>2564</v>
      </c>
      <c r="L638" s="74">
        <v>572762.4</v>
      </c>
      <c r="M638" s="74" t="s">
        <v>521</v>
      </c>
      <c r="N638" s="74">
        <f t="shared" si="4"/>
        <v>5727624</v>
      </c>
      <c r="O638" s="60">
        <f t="shared" si="2"/>
        <v>46005</v>
      </c>
      <c r="P638" s="65" t="str">
        <f>VLOOKUP(I638,DATABASE!C:Q,11,FALSE)</f>
        <v>Tire</v>
      </c>
      <c r="Q638" s="65" t="str">
        <f>VLOOKUP(I638,DATABASE!C:Q,4,FALSE)</f>
        <v>Bridgestone</v>
      </c>
      <c r="R638" s="101"/>
      <c r="U638" s="101"/>
    </row>
    <row r="639" ht="22.5" customHeight="1">
      <c r="A639" s="49"/>
      <c r="C639" s="245">
        <v>45945.0</v>
      </c>
      <c r="D639" s="245">
        <v>45945.0</v>
      </c>
      <c r="E639" s="246" t="s">
        <v>97</v>
      </c>
      <c r="F639" s="247" t="s">
        <v>343</v>
      </c>
      <c r="G639" s="248" t="s">
        <v>2458</v>
      </c>
      <c r="H639" s="93" t="s">
        <v>87</v>
      </c>
      <c r="I639" s="74" t="s">
        <v>554</v>
      </c>
      <c r="J639" s="249">
        <v>10.0</v>
      </c>
      <c r="K639" s="74" t="s">
        <v>2565</v>
      </c>
      <c r="L639" s="74">
        <v>572762.4</v>
      </c>
      <c r="M639" s="74" t="s">
        <v>521</v>
      </c>
      <c r="N639" s="74">
        <f t="shared" si="4"/>
        <v>5727624</v>
      </c>
      <c r="O639" s="60">
        <f t="shared" si="2"/>
        <v>46005</v>
      </c>
      <c r="P639" s="65" t="str">
        <f>VLOOKUP(I639,DATABASE!C:Q,11,FALSE)</f>
        <v>Tire</v>
      </c>
      <c r="Q639" s="65" t="str">
        <f>VLOOKUP(I639,DATABASE!C:Q,4,FALSE)</f>
        <v>Bridgestone</v>
      </c>
      <c r="R639" s="101"/>
      <c r="U639" s="101"/>
    </row>
    <row r="640" ht="22.5" customHeight="1">
      <c r="A640" s="49"/>
      <c r="C640" s="245">
        <v>45945.0</v>
      </c>
      <c r="D640" s="245">
        <v>45945.0</v>
      </c>
      <c r="E640" s="246" t="s">
        <v>97</v>
      </c>
      <c r="F640" s="247" t="s">
        <v>343</v>
      </c>
      <c r="G640" s="248" t="s">
        <v>2458</v>
      </c>
      <c r="H640" s="93" t="s">
        <v>87</v>
      </c>
      <c r="I640" s="74" t="s">
        <v>614</v>
      </c>
      <c r="J640" s="249">
        <v>10.0</v>
      </c>
      <c r="K640" s="74" t="s">
        <v>2566</v>
      </c>
      <c r="L640" s="74">
        <v>572762.4</v>
      </c>
      <c r="M640" s="74" t="s">
        <v>521</v>
      </c>
      <c r="N640" s="74">
        <f t="shared" si="4"/>
        <v>5727624</v>
      </c>
      <c r="O640" s="60">
        <f t="shared" si="2"/>
        <v>46005</v>
      </c>
      <c r="P640" s="65" t="str">
        <f>VLOOKUP(I640,DATABASE!C:Q,11,FALSE)</f>
        <v>Tire</v>
      </c>
      <c r="Q640" s="65" t="str">
        <f>VLOOKUP(I640,DATABASE!C:Q,4,FALSE)</f>
        <v>Bridgestone</v>
      </c>
      <c r="R640" s="101"/>
      <c r="U640" s="101"/>
    </row>
    <row r="641" ht="22.5" customHeight="1">
      <c r="A641" s="49"/>
      <c r="C641" s="245">
        <v>45945.0</v>
      </c>
      <c r="D641" s="245">
        <v>45945.0</v>
      </c>
      <c r="E641" s="246" t="s">
        <v>97</v>
      </c>
      <c r="F641" s="247" t="s">
        <v>343</v>
      </c>
      <c r="G641" s="248" t="s">
        <v>2458</v>
      </c>
      <c r="H641" s="93" t="s">
        <v>87</v>
      </c>
      <c r="I641" s="74" t="s">
        <v>622</v>
      </c>
      <c r="J641" s="249">
        <v>6.0</v>
      </c>
      <c r="K641" s="74" t="s">
        <v>1826</v>
      </c>
      <c r="L641" s="74">
        <v>810342.44</v>
      </c>
      <c r="M641" s="74" t="s">
        <v>521</v>
      </c>
      <c r="N641" s="74">
        <f t="shared" si="4"/>
        <v>4862054.64</v>
      </c>
      <c r="O641" s="60">
        <f t="shared" si="2"/>
        <v>46005</v>
      </c>
      <c r="P641" s="65" t="str">
        <f>VLOOKUP(I641,DATABASE!C:Q,11,FALSE)</f>
        <v>Tire</v>
      </c>
      <c r="Q641" s="65" t="str">
        <f>VLOOKUP(I641,DATABASE!C:Q,4,FALSE)</f>
        <v>Bridgestone</v>
      </c>
      <c r="R641" s="101"/>
      <c r="U641" s="101"/>
    </row>
    <row r="642" ht="22.5" customHeight="1">
      <c r="A642" s="49"/>
      <c r="C642" s="245">
        <v>45945.0</v>
      </c>
      <c r="D642" s="245">
        <v>45945.0</v>
      </c>
      <c r="E642" s="246" t="s">
        <v>97</v>
      </c>
      <c r="F642" s="247" t="s">
        <v>343</v>
      </c>
      <c r="G642" s="248" t="s">
        <v>2459</v>
      </c>
      <c r="H642" s="93" t="s">
        <v>87</v>
      </c>
      <c r="I642" s="74" t="s">
        <v>937</v>
      </c>
      <c r="J642" s="249">
        <v>10.0</v>
      </c>
      <c r="K642" s="74" t="s">
        <v>2547</v>
      </c>
      <c r="L642" s="74">
        <v>790000.0</v>
      </c>
      <c r="M642" s="74" t="s">
        <v>521</v>
      </c>
      <c r="N642" s="74">
        <f t="shared" si="4"/>
        <v>7900000</v>
      </c>
      <c r="O642" s="60">
        <f t="shared" si="2"/>
        <v>46005</v>
      </c>
      <c r="P642" s="65" t="str">
        <f>VLOOKUP(I642,DATABASE!C:Q,11,FALSE)</f>
        <v>Tire</v>
      </c>
      <c r="Q642" s="65" t="str">
        <f>VLOOKUP(I642,DATABASE!C:Q,4,FALSE)</f>
        <v>Bridgestone</v>
      </c>
      <c r="R642" s="101"/>
      <c r="U642" s="101"/>
    </row>
    <row r="643" ht="22.5" customHeight="1">
      <c r="A643" s="49"/>
      <c r="C643" s="245">
        <v>45945.0</v>
      </c>
      <c r="D643" s="245">
        <v>45945.0</v>
      </c>
      <c r="E643" s="246" t="s">
        <v>97</v>
      </c>
      <c r="F643" s="247" t="s">
        <v>343</v>
      </c>
      <c r="G643" s="248" t="s">
        <v>2459</v>
      </c>
      <c r="H643" s="93" t="s">
        <v>87</v>
      </c>
      <c r="I643" s="74" t="s">
        <v>627</v>
      </c>
      <c r="J643" s="249">
        <v>10.0</v>
      </c>
      <c r="K643" s="74" t="s">
        <v>2567</v>
      </c>
      <c r="L643" s="74">
        <v>835029.75</v>
      </c>
      <c r="M643" s="74" t="s">
        <v>521</v>
      </c>
      <c r="N643" s="74">
        <f t="shared" si="4"/>
        <v>8350297.5</v>
      </c>
      <c r="O643" s="60">
        <f t="shared" si="2"/>
        <v>46005</v>
      </c>
      <c r="P643" s="65" t="str">
        <f>VLOOKUP(I643,DATABASE!C:Q,11,FALSE)</f>
        <v>Tire</v>
      </c>
      <c r="Q643" s="65" t="str">
        <f>VLOOKUP(I643,DATABASE!C:Q,4,FALSE)</f>
        <v>Bridgestone</v>
      </c>
      <c r="R643" s="101"/>
      <c r="U643" s="101"/>
    </row>
    <row r="644" ht="22.5" customHeight="1">
      <c r="A644" s="49"/>
      <c r="C644" s="245">
        <v>45945.0</v>
      </c>
      <c r="D644" s="245">
        <v>45945.0</v>
      </c>
      <c r="E644" s="246" t="s">
        <v>97</v>
      </c>
      <c r="F644" s="247" t="s">
        <v>343</v>
      </c>
      <c r="G644" s="248" t="s">
        <v>2460</v>
      </c>
      <c r="H644" s="93" t="s">
        <v>87</v>
      </c>
      <c r="I644" s="74" t="s">
        <v>566</v>
      </c>
      <c r="J644" s="249">
        <v>6.0</v>
      </c>
      <c r="K644" s="74" t="s">
        <v>2419</v>
      </c>
      <c r="L644" s="74">
        <v>1545000.0</v>
      </c>
      <c r="M644" s="74" t="s">
        <v>521</v>
      </c>
      <c r="N644" s="74">
        <f t="shared" si="4"/>
        <v>9270000</v>
      </c>
      <c r="O644" s="60">
        <f t="shared" si="2"/>
        <v>46005</v>
      </c>
      <c r="P644" s="65" t="str">
        <f>VLOOKUP(I644,DATABASE!C:Q,11,FALSE)</f>
        <v>Tire</v>
      </c>
      <c r="Q644" s="65" t="str">
        <f>VLOOKUP(I644,DATABASE!C:Q,4,FALSE)</f>
        <v>Bridgestone</v>
      </c>
      <c r="R644" s="101"/>
      <c r="U644" s="101"/>
    </row>
    <row r="645" ht="22.5" customHeight="1">
      <c r="A645" s="49"/>
      <c r="C645" s="245">
        <v>45945.0</v>
      </c>
      <c r="D645" s="245">
        <v>45945.0</v>
      </c>
      <c r="E645" s="246" t="s">
        <v>97</v>
      </c>
      <c r="F645" s="247" t="s">
        <v>343</v>
      </c>
      <c r="G645" s="248" t="s">
        <v>2460</v>
      </c>
      <c r="H645" s="93" t="s">
        <v>87</v>
      </c>
      <c r="I645" s="74" t="s">
        <v>572</v>
      </c>
      <c r="J645" s="249">
        <v>10.0</v>
      </c>
      <c r="K645" s="74" t="s">
        <v>2425</v>
      </c>
      <c r="L645" s="74">
        <v>1245000.0</v>
      </c>
      <c r="M645" s="74" t="s">
        <v>521</v>
      </c>
      <c r="N645" s="74">
        <f t="shared" si="4"/>
        <v>12450000</v>
      </c>
      <c r="O645" s="60">
        <f t="shared" si="2"/>
        <v>46005</v>
      </c>
      <c r="P645" s="65" t="str">
        <f>VLOOKUP(I645,DATABASE!C:Q,11,FALSE)</f>
        <v>Tire</v>
      </c>
      <c r="Q645" s="65" t="str">
        <f>VLOOKUP(I645,DATABASE!C:Q,4,FALSE)</f>
        <v>Bridgestone</v>
      </c>
      <c r="R645" s="101"/>
      <c r="U645" s="101"/>
    </row>
    <row r="646" ht="22.5" customHeight="1">
      <c r="A646" s="49"/>
      <c r="C646" s="245">
        <v>45946.0</v>
      </c>
      <c r="D646" s="245">
        <v>45946.0</v>
      </c>
      <c r="E646" s="246" t="s">
        <v>97</v>
      </c>
      <c r="F646" s="247" t="s">
        <v>343</v>
      </c>
      <c r="G646" s="248" t="s">
        <v>2461</v>
      </c>
      <c r="H646" s="93" t="s">
        <v>87</v>
      </c>
      <c r="I646" s="74" t="s">
        <v>1278</v>
      </c>
      <c r="J646" s="249">
        <v>2.0</v>
      </c>
      <c r="K646" s="74" t="s">
        <v>2033</v>
      </c>
      <c r="L646" s="74">
        <v>1466393.5</v>
      </c>
      <c r="M646" s="74" t="s">
        <v>521</v>
      </c>
      <c r="N646" s="74">
        <f t="shared" si="4"/>
        <v>2932787</v>
      </c>
      <c r="O646" s="60">
        <f t="shared" si="2"/>
        <v>46006</v>
      </c>
      <c r="P646" s="65" t="str">
        <f>VLOOKUP(I646,DATABASE!C:Q,11,FALSE)</f>
        <v>Tire</v>
      </c>
      <c r="Q646" s="65" t="str">
        <f>VLOOKUP(I646,DATABASE!C:Q,4,FALSE)</f>
        <v>Bridgestone</v>
      </c>
      <c r="R646" s="101"/>
      <c r="U646" s="101"/>
    </row>
    <row r="647" ht="22.5" customHeight="1">
      <c r="A647" s="49"/>
      <c r="C647" s="245">
        <v>45946.0</v>
      </c>
      <c r="D647" s="245">
        <v>45946.0</v>
      </c>
      <c r="E647" s="246" t="s">
        <v>97</v>
      </c>
      <c r="F647" s="247" t="s">
        <v>343</v>
      </c>
      <c r="G647" s="248" t="s">
        <v>2463</v>
      </c>
      <c r="H647" s="93" t="s">
        <v>87</v>
      </c>
      <c r="I647" s="74" t="s">
        <v>622</v>
      </c>
      <c r="J647" s="249">
        <v>2.0</v>
      </c>
      <c r="K647" s="74" t="s">
        <v>1826</v>
      </c>
      <c r="L647" s="74">
        <v>810342.44</v>
      </c>
      <c r="M647" s="74" t="s">
        <v>521</v>
      </c>
      <c r="N647" s="74">
        <f t="shared" si="4"/>
        <v>1620684.88</v>
      </c>
      <c r="O647" s="60">
        <f t="shared" si="2"/>
        <v>46006</v>
      </c>
      <c r="P647" s="65" t="str">
        <f>VLOOKUP(I647,DATABASE!C:Q,11,FALSE)</f>
        <v>Tire</v>
      </c>
      <c r="Q647" s="65" t="str">
        <f>VLOOKUP(I647,DATABASE!C:Q,4,FALSE)</f>
        <v>Bridgestone</v>
      </c>
      <c r="R647" s="101"/>
      <c r="U647" s="101"/>
    </row>
    <row r="648" ht="22.5" customHeight="1">
      <c r="A648" s="49"/>
      <c r="C648" s="245">
        <v>45946.0</v>
      </c>
      <c r="D648" s="245">
        <v>45946.0</v>
      </c>
      <c r="E648" s="65" t="s">
        <v>198</v>
      </c>
      <c r="F648" s="247" t="s">
        <v>343</v>
      </c>
      <c r="G648" s="248" t="s">
        <v>2030</v>
      </c>
      <c r="H648" s="93" t="s">
        <v>7</v>
      </c>
      <c r="I648" s="74" t="s">
        <v>1520</v>
      </c>
      <c r="J648" s="249">
        <v>6.0</v>
      </c>
      <c r="K648" s="74" t="s">
        <v>2568</v>
      </c>
      <c r="L648" s="74">
        <v>1680744.5</v>
      </c>
      <c r="M648" s="74" t="s">
        <v>521</v>
      </c>
      <c r="N648" s="74">
        <f t="shared" si="4"/>
        <v>10084467</v>
      </c>
      <c r="O648" s="60">
        <f t="shared" si="2"/>
        <v>46006</v>
      </c>
      <c r="P648" s="65" t="str">
        <f>VLOOKUP(I648,DATABASE!C:Q,11,FALSE)</f>
        <v>Tire</v>
      </c>
      <c r="Q648" s="65" t="str">
        <f>VLOOKUP(I648,DATABASE!C:Q,4,FALSE)</f>
        <v>DURATUN</v>
      </c>
      <c r="R648" s="101"/>
      <c r="U648" s="101"/>
    </row>
    <row r="649" ht="22.5" customHeight="1">
      <c r="A649" s="49"/>
      <c r="C649" s="245">
        <v>45946.0</v>
      </c>
      <c r="D649" s="245">
        <v>45946.0</v>
      </c>
      <c r="E649" s="65" t="s">
        <v>123</v>
      </c>
      <c r="F649" s="247" t="s">
        <v>343</v>
      </c>
      <c r="G649" s="248" t="s">
        <v>2403</v>
      </c>
      <c r="H649" s="93" t="s">
        <v>7</v>
      </c>
      <c r="I649" s="74" t="s">
        <v>777</v>
      </c>
      <c r="J649" s="249">
        <v>5.0</v>
      </c>
      <c r="K649" s="74" t="s">
        <v>1136</v>
      </c>
      <c r="L649" s="74">
        <v>505000.0</v>
      </c>
      <c r="M649" s="74" t="s">
        <v>755</v>
      </c>
      <c r="N649" s="74">
        <f t="shared" si="4"/>
        <v>2525000</v>
      </c>
      <c r="O649" s="60">
        <f t="shared" si="2"/>
        <v>45976</v>
      </c>
      <c r="P649" s="65" t="str">
        <f>VLOOKUP(I649,DATABASE!C:Q,11,FALSE)</f>
        <v>Tire</v>
      </c>
      <c r="Q649" s="65" t="str">
        <f>VLOOKUP(I649,DATABASE!C:Q,4,FALSE)</f>
        <v>GT</v>
      </c>
      <c r="R649" s="101"/>
      <c r="U649" s="101"/>
    </row>
    <row r="650" ht="22.5" customHeight="1">
      <c r="A650" s="49"/>
      <c r="C650" s="245">
        <v>45946.0</v>
      </c>
      <c r="D650" s="245">
        <v>45946.0</v>
      </c>
      <c r="E650" s="65" t="s">
        <v>123</v>
      </c>
      <c r="F650" s="247" t="s">
        <v>343</v>
      </c>
      <c r="G650" s="248" t="s">
        <v>2403</v>
      </c>
      <c r="H650" s="93" t="s">
        <v>7</v>
      </c>
      <c r="I650" s="74" t="s">
        <v>294</v>
      </c>
      <c r="J650" s="249">
        <v>4.0</v>
      </c>
      <c r="K650" s="74" t="s">
        <v>1143</v>
      </c>
      <c r="L650" s="74">
        <v>490000.0</v>
      </c>
      <c r="M650" s="74" t="s">
        <v>755</v>
      </c>
      <c r="N650" s="74">
        <f t="shared" si="4"/>
        <v>1960000</v>
      </c>
      <c r="O650" s="60">
        <f t="shared" si="2"/>
        <v>45976</v>
      </c>
      <c r="P650" s="65" t="str">
        <f>VLOOKUP(I650,DATABASE!C:Q,11,FALSE)</f>
        <v>Tire</v>
      </c>
      <c r="Q650" s="65" t="str">
        <f>VLOOKUP(I650,DATABASE!C:Q,4,FALSE)</f>
        <v>GT</v>
      </c>
      <c r="R650" s="101"/>
      <c r="U650" s="101"/>
    </row>
    <row r="651" ht="22.5" customHeight="1">
      <c r="A651" s="49"/>
      <c r="C651" s="245">
        <v>45946.0</v>
      </c>
      <c r="D651" s="245">
        <v>45946.0</v>
      </c>
      <c r="E651" s="65" t="s">
        <v>123</v>
      </c>
      <c r="F651" s="247" t="s">
        <v>343</v>
      </c>
      <c r="G651" s="248" t="s">
        <v>2403</v>
      </c>
      <c r="H651" s="93" t="s">
        <v>7</v>
      </c>
      <c r="I651" s="74" t="s">
        <v>2019</v>
      </c>
      <c r="J651" s="249">
        <v>4.0</v>
      </c>
      <c r="K651" s="74" t="s">
        <v>2559</v>
      </c>
      <c r="L651" s="74">
        <v>595000.0</v>
      </c>
      <c r="M651" s="74" t="s">
        <v>755</v>
      </c>
      <c r="N651" s="74">
        <f t="shared" si="4"/>
        <v>2380000</v>
      </c>
      <c r="O651" s="60">
        <f t="shared" si="2"/>
        <v>45976</v>
      </c>
      <c r="P651" s="65" t="str">
        <f>VLOOKUP(I651,DATABASE!C:Q,11,FALSE)</f>
        <v>Tire</v>
      </c>
      <c r="Q651" s="65" t="str">
        <f>VLOOKUP(I651,DATABASE!C:Q,4,FALSE)</f>
        <v>GT</v>
      </c>
      <c r="R651" s="101"/>
      <c r="U651" s="101"/>
    </row>
    <row r="652" ht="22.5" customHeight="1">
      <c r="A652" s="49"/>
      <c r="C652" s="245">
        <v>45946.0</v>
      </c>
      <c r="D652" s="245">
        <v>45946.0</v>
      </c>
      <c r="E652" s="65" t="s">
        <v>123</v>
      </c>
      <c r="F652" s="247" t="s">
        <v>343</v>
      </c>
      <c r="G652" s="248" t="s">
        <v>2403</v>
      </c>
      <c r="H652" s="93" t="s">
        <v>7</v>
      </c>
      <c r="I652" s="74" t="s">
        <v>897</v>
      </c>
      <c r="J652" s="249">
        <v>10.0</v>
      </c>
      <c r="K652" s="74" t="s">
        <v>2569</v>
      </c>
      <c r="L652" s="74">
        <v>1480000.0</v>
      </c>
      <c r="M652" s="74" t="s">
        <v>755</v>
      </c>
      <c r="N652" s="74">
        <f t="shared" si="4"/>
        <v>14800000</v>
      </c>
      <c r="O652" s="60">
        <f t="shared" si="2"/>
        <v>45976</v>
      </c>
      <c r="P652" s="65" t="str">
        <f>VLOOKUP(I652,DATABASE!C:Q,11,FALSE)</f>
        <v>Tire</v>
      </c>
      <c r="Q652" s="65" t="str">
        <f>VLOOKUP(I652,DATABASE!C:Q,4,FALSE)</f>
        <v>GT</v>
      </c>
      <c r="R652" s="101"/>
      <c r="U652" s="101"/>
    </row>
    <row r="653" ht="22.5" customHeight="1">
      <c r="A653" s="49"/>
      <c r="C653" s="245">
        <v>45946.0</v>
      </c>
      <c r="D653" s="245">
        <v>45946.0</v>
      </c>
      <c r="E653" s="65" t="s">
        <v>123</v>
      </c>
      <c r="F653" s="247" t="s">
        <v>343</v>
      </c>
      <c r="G653" s="248" t="s">
        <v>2404</v>
      </c>
      <c r="H653" s="93" t="s">
        <v>7</v>
      </c>
      <c r="I653" s="74" t="s">
        <v>1439</v>
      </c>
      <c r="J653" s="249">
        <v>7.0</v>
      </c>
      <c r="K653" s="74" t="s">
        <v>1441</v>
      </c>
      <c r="L653" s="74">
        <v>540800.0</v>
      </c>
      <c r="M653" s="74" t="s">
        <v>755</v>
      </c>
      <c r="N653" s="74">
        <f t="shared" si="4"/>
        <v>3785600</v>
      </c>
      <c r="O653" s="60">
        <f t="shared" si="2"/>
        <v>45976</v>
      </c>
      <c r="P653" s="65" t="str">
        <f>VLOOKUP(I653,DATABASE!C:Q,11,FALSE)</f>
        <v>Tire</v>
      </c>
      <c r="Q653" s="65" t="str">
        <f>VLOOKUP(I653,DATABASE!C:Q,4,FALSE)</f>
        <v>GT</v>
      </c>
      <c r="R653" s="101"/>
      <c r="U653" s="101"/>
    </row>
    <row r="654" ht="22.5" customHeight="1">
      <c r="A654" s="49"/>
      <c r="C654" s="245">
        <v>45946.0</v>
      </c>
      <c r="D654" s="245">
        <v>45946.0</v>
      </c>
      <c r="E654" s="65" t="s">
        <v>123</v>
      </c>
      <c r="F654" s="247" t="s">
        <v>343</v>
      </c>
      <c r="G654" s="248" t="s">
        <v>2404</v>
      </c>
      <c r="H654" s="93" t="s">
        <v>7</v>
      </c>
      <c r="I654" s="74" t="s">
        <v>856</v>
      </c>
      <c r="J654" s="249">
        <v>5.0</v>
      </c>
      <c r="K654" s="74" t="s">
        <v>857</v>
      </c>
      <c r="L654" s="74">
        <v>581100.0</v>
      </c>
      <c r="M654" s="74" t="s">
        <v>755</v>
      </c>
      <c r="N654" s="74">
        <f t="shared" si="4"/>
        <v>2905500</v>
      </c>
      <c r="O654" s="60">
        <f t="shared" si="2"/>
        <v>45976</v>
      </c>
      <c r="P654" s="65" t="str">
        <f>VLOOKUP(I654,DATABASE!C:Q,11,FALSE)</f>
        <v>Tire</v>
      </c>
      <c r="Q654" s="65" t="str">
        <f>VLOOKUP(I654,DATABASE!C:Q,4,FALSE)</f>
        <v>GT</v>
      </c>
      <c r="R654" s="101"/>
      <c r="U654" s="101"/>
    </row>
    <row r="655" ht="22.5" customHeight="1">
      <c r="A655" s="49"/>
      <c r="C655" s="245">
        <v>45946.0</v>
      </c>
      <c r="D655" s="245">
        <v>45946.0</v>
      </c>
      <c r="E655" s="65" t="s">
        <v>123</v>
      </c>
      <c r="F655" s="247" t="s">
        <v>343</v>
      </c>
      <c r="G655" s="248" t="s">
        <v>2404</v>
      </c>
      <c r="H655" s="93" t="s">
        <v>7</v>
      </c>
      <c r="I655" s="74" t="s">
        <v>287</v>
      </c>
      <c r="J655" s="249">
        <v>6.0</v>
      </c>
      <c r="K655" s="74" t="s">
        <v>861</v>
      </c>
      <c r="L655" s="74">
        <v>690600.0</v>
      </c>
      <c r="M655" s="74" t="s">
        <v>755</v>
      </c>
      <c r="N655" s="74">
        <f t="shared" si="4"/>
        <v>4143600</v>
      </c>
      <c r="O655" s="60">
        <f t="shared" si="2"/>
        <v>45976</v>
      </c>
      <c r="P655" s="65" t="str">
        <f>VLOOKUP(I655,DATABASE!C:Q,11,FALSE)</f>
        <v>Tire</v>
      </c>
      <c r="Q655" s="65" t="str">
        <f>VLOOKUP(I655,DATABASE!C:Q,4,FALSE)</f>
        <v>GT</v>
      </c>
      <c r="R655" s="101"/>
      <c r="U655" s="101"/>
    </row>
    <row r="656" ht="22.5" customHeight="1">
      <c r="A656" s="49"/>
      <c r="C656" s="245">
        <v>45946.0</v>
      </c>
      <c r="D656" s="245">
        <v>45946.0</v>
      </c>
      <c r="E656" s="65" t="s">
        <v>123</v>
      </c>
      <c r="F656" s="247" t="s">
        <v>343</v>
      </c>
      <c r="G656" s="248" t="s">
        <v>2404</v>
      </c>
      <c r="H656" s="93" t="s">
        <v>7</v>
      </c>
      <c r="I656" s="74" t="s">
        <v>286</v>
      </c>
      <c r="J656" s="249">
        <v>7.0</v>
      </c>
      <c r="K656" s="74" t="s">
        <v>2558</v>
      </c>
      <c r="L656" s="74">
        <v>453000.0</v>
      </c>
      <c r="M656" s="74" t="s">
        <v>755</v>
      </c>
      <c r="N656" s="74">
        <f t="shared" si="4"/>
        <v>3171000</v>
      </c>
      <c r="O656" s="60">
        <f t="shared" si="2"/>
        <v>45976</v>
      </c>
      <c r="P656" s="65" t="str">
        <f>VLOOKUP(I656,DATABASE!C:Q,11,FALSE)</f>
        <v>Tire</v>
      </c>
      <c r="Q656" s="65" t="str">
        <f>VLOOKUP(I656,DATABASE!C:Q,4,FALSE)</f>
        <v>GT</v>
      </c>
      <c r="R656" s="101"/>
      <c r="U656" s="101"/>
    </row>
    <row r="657" ht="22.5" customHeight="1">
      <c r="A657" s="49"/>
      <c r="C657" s="245">
        <v>45946.0</v>
      </c>
      <c r="D657" s="245">
        <v>45946.0</v>
      </c>
      <c r="E657" s="65" t="s">
        <v>123</v>
      </c>
      <c r="F657" s="247" t="s">
        <v>343</v>
      </c>
      <c r="G657" s="248" t="s">
        <v>2404</v>
      </c>
      <c r="H657" s="93" t="s">
        <v>7</v>
      </c>
      <c r="I657" s="74" t="s">
        <v>1704</v>
      </c>
      <c r="J657" s="249">
        <v>4.0</v>
      </c>
      <c r="K657" s="74" t="s">
        <v>2570</v>
      </c>
      <c r="L657" s="74">
        <v>711900.0</v>
      </c>
      <c r="M657" s="74" t="s">
        <v>755</v>
      </c>
      <c r="N657" s="74">
        <f t="shared" si="4"/>
        <v>2847600</v>
      </c>
      <c r="O657" s="60">
        <f t="shared" si="2"/>
        <v>45976</v>
      </c>
      <c r="P657" s="65" t="str">
        <f>VLOOKUP(I657,DATABASE!C:Q,11,FALSE)</f>
        <v>Tire</v>
      </c>
      <c r="Q657" s="65" t="str">
        <f>VLOOKUP(I657,DATABASE!C:Q,4,FALSE)</f>
        <v>GT</v>
      </c>
      <c r="R657" s="101"/>
      <c r="U657" s="101"/>
    </row>
    <row r="658" ht="22.5" customHeight="1">
      <c r="A658" s="49"/>
      <c r="C658" s="192">
        <v>45946.0</v>
      </c>
      <c r="D658" s="192">
        <v>45946.0</v>
      </c>
      <c r="E658" s="69" t="s">
        <v>386</v>
      </c>
      <c r="F658" s="243" t="s">
        <v>998</v>
      </c>
      <c r="G658" s="69" t="s">
        <v>2098</v>
      </c>
      <c r="H658" s="69" t="s">
        <v>2314</v>
      </c>
      <c r="I658" s="140" t="s">
        <v>252</v>
      </c>
      <c r="J658" s="446">
        <v>4.0</v>
      </c>
      <c r="K658" s="140">
        <v>271778.0</v>
      </c>
      <c r="L658" s="140">
        <v>260100.0</v>
      </c>
      <c r="M658" s="140" t="s">
        <v>755</v>
      </c>
      <c r="N658" s="74">
        <f t="shared" si="4"/>
        <v>1040400</v>
      </c>
      <c r="O658" s="60">
        <f t="shared" si="2"/>
        <v>45976</v>
      </c>
      <c r="P658" s="65" t="str">
        <f>VLOOKUP(I658,DATABASE!C:Q,11,FALSE)</f>
        <v>OIL</v>
      </c>
      <c r="Q658" s="65" t="str">
        <f>VLOOKUP(I658,DATABASE!C:Q,4,FALSE)</f>
        <v>Shell</v>
      </c>
      <c r="R658" s="101"/>
      <c r="U658" s="101"/>
    </row>
    <row r="659" ht="22.5" customHeight="1">
      <c r="A659" s="49"/>
      <c r="C659" s="192">
        <v>45946.0</v>
      </c>
      <c r="D659" s="192">
        <v>45946.0</v>
      </c>
      <c r="E659" s="69" t="s">
        <v>386</v>
      </c>
      <c r="F659" s="243" t="s">
        <v>998</v>
      </c>
      <c r="G659" s="69" t="s">
        <v>2098</v>
      </c>
      <c r="H659" s="69" t="s">
        <v>2314</v>
      </c>
      <c r="I659" s="140" t="s">
        <v>263</v>
      </c>
      <c r="J659" s="446">
        <v>4.0</v>
      </c>
      <c r="K659" s="140">
        <v>287688.0</v>
      </c>
      <c r="L659" s="140">
        <v>277600.0</v>
      </c>
      <c r="M659" s="140" t="s">
        <v>755</v>
      </c>
      <c r="N659" s="74">
        <f t="shared" si="4"/>
        <v>1110400</v>
      </c>
      <c r="O659" s="60">
        <f t="shared" si="2"/>
        <v>45976</v>
      </c>
      <c r="P659" s="65" t="str">
        <f>VLOOKUP(I659,DATABASE!C:Q,11,FALSE)</f>
        <v>OIL</v>
      </c>
      <c r="Q659" s="65" t="str">
        <f>VLOOKUP(I659,DATABASE!C:Q,4,FALSE)</f>
        <v>Shell</v>
      </c>
      <c r="R659" s="101"/>
      <c r="U659" s="101"/>
    </row>
    <row r="660" ht="22.5" customHeight="1">
      <c r="A660" s="49"/>
      <c r="C660" s="192">
        <v>45946.0</v>
      </c>
      <c r="D660" s="192">
        <v>45946.0</v>
      </c>
      <c r="E660" s="69" t="s">
        <v>386</v>
      </c>
      <c r="F660" s="243" t="s">
        <v>998</v>
      </c>
      <c r="G660" s="69" t="s">
        <v>2098</v>
      </c>
      <c r="H660" s="69" t="s">
        <v>2314</v>
      </c>
      <c r="I660" s="140" t="s">
        <v>2195</v>
      </c>
      <c r="J660" s="446">
        <v>6.0</v>
      </c>
      <c r="K660" s="140">
        <v>282805.0</v>
      </c>
      <c r="L660" s="140">
        <v>273000.0</v>
      </c>
      <c r="M660" s="140" t="s">
        <v>755</v>
      </c>
      <c r="N660" s="74">
        <f t="shared" si="4"/>
        <v>1638000</v>
      </c>
      <c r="O660" s="60">
        <f t="shared" si="2"/>
        <v>45976</v>
      </c>
      <c r="P660" s="65" t="str">
        <f>VLOOKUP(I660,DATABASE!C:Q,11,FALSE)</f>
        <v>OIL</v>
      </c>
      <c r="Q660" s="65" t="str">
        <f>VLOOKUP(I660,DATABASE!C:Q,4,FALSE)</f>
        <v>Shell</v>
      </c>
      <c r="R660" s="101"/>
      <c r="U660" s="101"/>
    </row>
    <row r="661" ht="22.5" customHeight="1">
      <c r="A661" s="49"/>
      <c r="C661" s="245">
        <v>45947.0</v>
      </c>
      <c r="D661" s="245">
        <v>45947.0</v>
      </c>
      <c r="E661" s="65" t="s">
        <v>123</v>
      </c>
      <c r="F661" s="247" t="s">
        <v>343</v>
      </c>
      <c r="G661" s="248" t="s">
        <v>2406</v>
      </c>
      <c r="H661" s="93" t="s">
        <v>7</v>
      </c>
      <c r="I661" s="74" t="s">
        <v>1862</v>
      </c>
      <c r="J661" s="249">
        <v>4.0</v>
      </c>
      <c r="K661" s="74" t="s">
        <v>2327</v>
      </c>
      <c r="L661" s="74">
        <v>2050000.0</v>
      </c>
      <c r="M661" s="74" t="s">
        <v>755</v>
      </c>
      <c r="N661" s="74">
        <f t="shared" si="4"/>
        <v>8200000</v>
      </c>
      <c r="O661" s="60">
        <f t="shared" si="2"/>
        <v>45977</v>
      </c>
      <c r="P661" s="65" t="str">
        <f>VLOOKUP(I661,DATABASE!C:Q,11,FALSE)</f>
        <v>Tire</v>
      </c>
      <c r="Q661" s="65" t="str">
        <f>VLOOKUP(I661,DATABASE!C:Q,4,FALSE)</f>
        <v>GiTi</v>
      </c>
      <c r="R661" s="101"/>
      <c r="U661" s="101"/>
    </row>
    <row r="662" ht="22.5" customHeight="1">
      <c r="A662" s="49"/>
      <c r="C662" s="245">
        <v>45947.0</v>
      </c>
      <c r="D662" s="245">
        <v>45947.0</v>
      </c>
      <c r="E662" s="65" t="s">
        <v>123</v>
      </c>
      <c r="F662" s="247" t="s">
        <v>343</v>
      </c>
      <c r="G662" s="248" t="s">
        <v>2406</v>
      </c>
      <c r="H662" s="93" t="s">
        <v>7</v>
      </c>
      <c r="I662" s="74" t="s">
        <v>1858</v>
      </c>
      <c r="J662" s="249">
        <v>4.0</v>
      </c>
      <c r="K662" s="74" t="s">
        <v>2561</v>
      </c>
      <c r="L662" s="74">
        <v>2030000.0</v>
      </c>
      <c r="M662" s="74" t="s">
        <v>755</v>
      </c>
      <c r="N662" s="74">
        <f t="shared" si="4"/>
        <v>8120000</v>
      </c>
      <c r="O662" s="60">
        <f t="shared" si="2"/>
        <v>45977</v>
      </c>
      <c r="P662" s="65" t="str">
        <f>VLOOKUP(I662,DATABASE!C:Q,11,FALSE)</f>
        <v>Tire</v>
      </c>
      <c r="Q662" s="65" t="str">
        <f>VLOOKUP(I662,DATABASE!C:Q,4,FALSE)</f>
        <v>GiTi</v>
      </c>
      <c r="R662" s="101"/>
      <c r="U662" s="101"/>
    </row>
    <row r="663" ht="22.5" customHeight="1">
      <c r="A663" s="49"/>
      <c r="C663" s="245">
        <v>45950.0</v>
      </c>
      <c r="D663" s="245">
        <v>45950.0</v>
      </c>
      <c r="E663" s="65" t="s">
        <v>81</v>
      </c>
      <c r="F663" s="247" t="s">
        <v>998</v>
      </c>
      <c r="G663" s="248" t="s">
        <v>1590</v>
      </c>
      <c r="H663" s="93" t="s">
        <v>1953</v>
      </c>
      <c r="I663" s="74" t="s">
        <v>1002</v>
      </c>
      <c r="J663" s="249">
        <v>2.0</v>
      </c>
      <c r="K663" s="74" t="s">
        <v>2571</v>
      </c>
      <c r="L663" s="74">
        <v>1442000.0</v>
      </c>
      <c r="M663" s="74" t="s">
        <v>657</v>
      </c>
      <c r="N663" s="74">
        <f t="shared" si="4"/>
        <v>2884000</v>
      </c>
      <c r="O663" s="60">
        <f t="shared" si="2"/>
        <v>46025</v>
      </c>
      <c r="P663" s="65" t="str">
        <f>VLOOKUP(I663,DATABASE!C:Q,11,FALSE)</f>
        <v>Tire</v>
      </c>
      <c r="Q663" s="65" t="str">
        <f>VLOOKUP(I663,DATABASE!C:Q,4,FALSE)</f>
        <v>Dunlop</v>
      </c>
      <c r="R663" s="101"/>
      <c r="U663" s="101"/>
    </row>
    <row r="664" ht="22.5" customHeight="1">
      <c r="A664" s="49"/>
      <c r="C664" s="245">
        <v>45951.0</v>
      </c>
      <c r="D664" s="245">
        <v>45951.0</v>
      </c>
      <c r="E664" s="65" t="s">
        <v>335</v>
      </c>
      <c r="F664" s="247" t="s">
        <v>343</v>
      </c>
      <c r="G664" s="248" t="s">
        <v>2177</v>
      </c>
      <c r="H664" s="93" t="s">
        <v>7</v>
      </c>
      <c r="I664" s="74" t="s">
        <v>403</v>
      </c>
      <c r="J664" s="249">
        <v>10.0</v>
      </c>
      <c r="K664" s="74" t="s">
        <v>920</v>
      </c>
      <c r="L664" s="74">
        <v>2160000.0</v>
      </c>
      <c r="M664" s="74" t="s">
        <v>521</v>
      </c>
      <c r="N664" s="74">
        <f t="shared" si="4"/>
        <v>21600000</v>
      </c>
      <c r="O664" s="60">
        <f t="shared" si="2"/>
        <v>46011</v>
      </c>
      <c r="P664" s="65" t="str">
        <f>VLOOKUP(I664,DATABASE!C:Q,11,FALSE)</f>
        <v>Tire</v>
      </c>
      <c r="Q664" s="65" t="str">
        <f>VLOOKUP(I664,DATABASE!C:Q,4,FALSE)</f>
        <v>Advance</v>
      </c>
      <c r="R664" s="101"/>
      <c r="U664" s="101"/>
    </row>
    <row r="665" ht="22.5" customHeight="1">
      <c r="A665" s="49"/>
      <c r="C665" s="245">
        <v>45951.0</v>
      </c>
      <c r="D665" s="245">
        <v>45951.0</v>
      </c>
      <c r="E665" s="65" t="s">
        <v>335</v>
      </c>
      <c r="F665" s="247" t="s">
        <v>343</v>
      </c>
      <c r="G665" s="248" t="s">
        <v>2177</v>
      </c>
      <c r="H665" s="93" t="s">
        <v>7</v>
      </c>
      <c r="I665" s="74" t="s">
        <v>391</v>
      </c>
      <c r="J665" s="249">
        <v>5.0</v>
      </c>
      <c r="K665" s="74" t="s">
        <v>674</v>
      </c>
      <c r="L665" s="74">
        <v>1830000.0</v>
      </c>
      <c r="M665" s="74" t="s">
        <v>521</v>
      </c>
      <c r="N665" s="74">
        <f t="shared" si="4"/>
        <v>9150000</v>
      </c>
      <c r="O665" s="60">
        <f t="shared" si="2"/>
        <v>46011</v>
      </c>
      <c r="P665" s="65" t="str">
        <f>VLOOKUP(I665,DATABASE!C:Q,11,FALSE)</f>
        <v>Tire</v>
      </c>
      <c r="Q665" s="65" t="str">
        <f>VLOOKUP(I665,DATABASE!C:Q,4,FALSE)</f>
        <v>Advance</v>
      </c>
      <c r="R665" s="101"/>
      <c r="U665" s="101"/>
    </row>
    <row r="666" ht="22.5" customHeight="1">
      <c r="A666" s="49"/>
      <c r="C666" s="245">
        <v>45951.0</v>
      </c>
      <c r="D666" s="245">
        <v>45951.0</v>
      </c>
      <c r="E666" s="65" t="s">
        <v>335</v>
      </c>
      <c r="F666" s="247" t="s">
        <v>343</v>
      </c>
      <c r="G666" s="248" t="s">
        <v>2177</v>
      </c>
      <c r="H666" s="266" t="s">
        <v>7</v>
      </c>
      <c r="I666" s="267" t="s">
        <v>374</v>
      </c>
      <c r="J666" s="249">
        <v>5.0</v>
      </c>
      <c r="K666" s="74" t="s">
        <v>674</v>
      </c>
      <c r="L666" s="74">
        <v>1830000.0</v>
      </c>
      <c r="M666" s="74" t="s">
        <v>521</v>
      </c>
      <c r="N666" s="74">
        <f t="shared" si="4"/>
        <v>9150000</v>
      </c>
      <c r="O666" s="60">
        <f t="shared" si="2"/>
        <v>46011</v>
      </c>
      <c r="P666" s="65" t="str">
        <f>VLOOKUP(I666,DATABASE!C:Q,11,FALSE)</f>
        <v>Tire</v>
      </c>
      <c r="Q666" s="65" t="str">
        <f>VLOOKUP(I666,DATABASE!C:Q,4,FALSE)</f>
        <v>Advance</v>
      </c>
      <c r="R666" s="101"/>
      <c r="U666" s="101"/>
    </row>
    <row r="667" ht="22.5" customHeight="1">
      <c r="A667" s="49"/>
      <c r="C667" s="245">
        <v>45951.0</v>
      </c>
      <c r="D667" s="245">
        <v>45951.0</v>
      </c>
      <c r="E667" s="65" t="s">
        <v>335</v>
      </c>
      <c r="F667" s="247" t="s">
        <v>343</v>
      </c>
      <c r="G667" s="248" t="s">
        <v>2177</v>
      </c>
      <c r="H667" s="93" t="s">
        <v>7</v>
      </c>
      <c r="I667" s="93" t="s">
        <v>2215</v>
      </c>
      <c r="J667" s="249">
        <v>10.0</v>
      </c>
      <c r="K667" s="74" t="s">
        <v>1941</v>
      </c>
      <c r="L667" s="74">
        <v>1650000.0</v>
      </c>
      <c r="M667" s="74" t="s">
        <v>521</v>
      </c>
      <c r="N667" s="74">
        <f t="shared" si="4"/>
        <v>16500000</v>
      </c>
      <c r="O667" s="60">
        <f t="shared" si="2"/>
        <v>46011</v>
      </c>
      <c r="P667" s="65" t="str">
        <f>VLOOKUP(I667,DATABASE!C:Q,11,FALSE)</f>
        <v>Tire</v>
      </c>
      <c r="Q667" s="65" t="str">
        <f>VLOOKUP(I667,DATABASE!C:Q,4,FALSE)</f>
        <v>TIRON</v>
      </c>
      <c r="R667" s="101"/>
      <c r="U667" s="101"/>
    </row>
    <row r="668" ht="22.5" customHeight="1">
      <c r="A668" s="49"/>
      <c r="C668" s="245">
        <v>45958.0</v>
      </c>
      <c r="D668" s="245">
        <v>45958.0</v>
      </c>
      <c r="E668" s="65" t="s">
        <v>81</v>
      </c>
      <c r="F668" s="247" t="s">
        <v>343</v>
      </c>
      <c r="G668" s="248" t="s">
        <v>1595</v>
      </c>
      <c r="H668" s="93" t="s">
        <v>87</v>
      </c>
      <c r="I668" s="74" t="s">
        <v>265</v>
      </c>
      <c r="J668" s="249">
        <v>10.0</v>
      </c>
      <c r="K668" s="74" t="s">
        <v>2572</v>
      </c>
      <c r="L668" s="74">
        <v>600000.0</v>
      </c>
      <c r="M668" s="74" t="s">
        <v>657</v>
      </c>
      <c r="N668" s="74">
        <f t="shared" si="4"/>
        <v>6000000</v>
      </c>
      <c r="O668" s="60">
        <f t="shared" si="2"/>
        <v>46033</v>
      </c>
      <c r="P668" s="65" t="str">
        <f>VLOOKUP(I668,DATABASE!C:Q,11,FALSE)</f>
        <v>Tire</v>
      </c>
      <c r="Q668" s="65" t="str">
        <f>VLOOKUP(I668,DATABASE!C:Q,4,FALSE)</f>
        <v>Dunlop</v>
      </c>
      <c r="R668" s="101"/>
      <c r="U668" s="101"/>
    </row>
    <row r="669" ht="22.5" customHeight="1">
      <c r="A669" s="49"/>
      <c r="C669" s="245">
        <v>45958.0</v>
      </c>
      <c r="D669" s="245">
        <v>45958.0</v>
      </c>
      <c r="E669" s="65" t="s">
        <v>81</v>
      </c>
      <c r="F669" s="247" t="s">
        <v>343</v>
      </c>
      <c r="G669" s="248" t="s">
        <v>1595</v>
      </c>
      <c r="H669" s="93" t="s">
        <v>87</v>
      </c>
      <c r="I669" s="74" t="s">
        <v>268</v>
      </c>
      <c r="J669" s="249">
        <v>50.0</v>
      </c>
      <c r="K669" s="74" t="s">
        <v>2573</v>
      </c>
      <c r="L669" s="74">
        <v>622000.0</v>
      </c>
      <c r="M669" s="74" t="s">
        <v>657</v>
      </c>
      <c r="N669" s="74">
        <f t="shared" si="4"/>
        <v>31100000</v>
      </c>
      <c r="O669" s="60">
        <f t="shared" si="2"/>
        <v>46033</v>
      </c>
      <c r="P669" s="65" t="str">
        <f>VLOOKUP(I669,DATABASE!C:Q,11,FALSE)</f>
        <v>Tire</v>
      </c>
      <c r="Q669" s="65" t="str">
        <f>VLOOKUP(I669,DATABASE!C:Q,4,FALSE)</f>
        <v>Dunlop</v>
      </c>
      <c r="R669" s="101"/>
      <c r="U669" s="101"/>
    </row>
    <row r="670" ht="22.5" customHeight="1">
      <c r="A670" s="49"/>
      <c r="C670" s="245">
        <v>45958.0</v>
      </c>
      <c r="D670" s="245">
        <v>45958.0</v>
      </c>
      <c r="E670" s="65" t="s">
        <v>81</v>
      </c>
      <c r="F670" s="247" t="s">
        <v>343</v>
      </c>
      <c r="G670" s="248" t="s">
        <v>1595</v>
      </c>
      <c r="H670" s="93" t="s">
        <v>87</v>
      </c>
      <c r="I670" s="74" t="s">
        <v>275</v>
      </c>
      <c r="J670" s="249">
        <v>20.0</v>
      </c>
      <c r="K670" s="74" t="s">
        <v>1044</v>
      </c>
      <c r="L670" s="74">
        <v>745000.0</v>
      </c>
      <c r="M670" s="74" t="s">
        <v>657</v>
      </c>
      <c r="N670" s="74">
        <f t="shared" si="4"/>
        <v>14900000</v>
      </c>
      <c r="O670" s="60">
        <f t="shared" si="2"/>
        <v>46033</v>
      </c>
      <c r="P670" s="65" t="str">
        <f>VLOOKUP(I670,DATABASE!C:Q,11,FALSE)</f>
        <v>Tire</v>
      </c>
      <c r="Q670" s="65" t="str">
        <f>VLOOKUP(I670,DATABASE!C:Q,4,FALSE)</f>
        <v>Dunlop</v>
      </c>
      <c r="R670" s="101"/>
      <c r="U670" s="101"/>
    </row>
    <row r="671" ht="22.5" customHeight="1">
      <c r="A671" s="49"/>
      <c r="C671" s="245">
        <v>45958.0</v>
      </c>
      <c r="D671" s="245">
        <v>45958.0</v>
      </c>
      <c r="E671" s="65" t="s">
        <v>81</v>
      </c>
      <c r="F671" s="247" t="s">
        <v>343</v>
      </c>
      <c r="G671" s="248" t="s">
        <v>1595</v>
      </c>
      <c r="H671" s="93" t="s">
        <v>87</v>
      </c>
      <c r="I671" s="74" t="s">
        <v>932</v>
      </c>
      <c r="J671" s="249">
        <v>20.0</v>
      </c>
      <c r="K671" s="74" t="s">
        <v>2559</v>
      </c>
      <c r="L671" s="74">
        <v>595000.0</v>
      </c>
      <c r="M671" s="74" t="s">
        <v>657</v>
      </c>
      <c r="N671" s="74">
        <f t="shared" si="4"/>
        <v>11900000</v>
      </c>
      <c r="O671" s="60">
        <f t="shared" si="2"/>
        <v>46033</v>
      </c>
      <c r="P671" s="65" t="str">
        <f>VLOOKUP(I671,DATABASE!C:Q,11,FALSE)</f>
        <v>Tire</v>
      </c>
      <c r="Q671" s="65" t="str">
        <f>VLOOKUP(I671,DATABASE!C:Q,4,FALSE)</f>
        <v>Dunlop</v>
      </c>
      <c r="R671" s="101"/>
      <c r="U671" s="101"/>
    </row>
    <row r="672" ht="22.5" customHeight="1">
      <c r="A672" s="49"/>
      <c r="C672" s="245">
        <v>45958.0</v>
      </c>
      <c r="D672" s="245">
        <v>45958.0</v>
      </c>
      <c r="E672" s="65" t="s">
        <v>81</v>
      </c>
      <c r="F672" s="247" t="s">
        <v>343</v>
      </c>
      <c r="G672" s="248" t="s">
        <v>1595</v>
      </c>
      <c r="H672" s="93" t="s">
        <v>87</v>
      </c>
      <c r="I672" s="74" t="s">
        <v>261</v>
      </c>
      <c r="J672" s="249">
        <v>2.0</v>
      </c>
      <c r="K672" s="74" t="s">
        <v>2574</v>
      </c>
      <c r="L672" s="74">
        <v>415000.0</v>
      </c>
      <c r="M672" s="74" t="s">
        <v>657</v>
      </c>
      <c r="N672" s="74">
        <f t="shared" si="4"/>
        <v>830000</v>
      </c>
      <c r="O672" s="60">
        <f t="shared" si="2"/>
        <v>46033</v>
      </c>
      <c r="P672" s="65" t="str">
        <f>VLOOKUP(I672,DATABASE!C:Q,11,FALSE)</f>
        <v>Tire</v>
      </c>
      <c r="Q672" s="65" t="str">
        <f>VLOOKUP(I672,DATABASE!C:Q,4,FALSE)</f>
        <v>Dunlop</v>
      </c>
      <c r="R672" s="101"/>
      <c r="U672" s="101"/>
    </row>
    <row r="673" ht="22.5" customHeight="1">
      <c r="A673" s="49"/>
      <c r="C673" s="245">
        <v>45958.0</v>
      </c>
      <c r="D673" s="245">
        <v>45958.0</v>
      </c>
      <c r="E673" s="65" t="s">
        <v>81</v>
      </c>
      <c r="F673" s="247" t="s">
        <v>343</v>
      </c>
      <c r="G673" s="248" t="s">
        <v>1595</v>
      </c>
      <c r="H673" s="93" t="s">
        <v>87</v>
      </c>
      <c r="I673" s="74" t="s">
        <v>687</v>
      </c>
      <c r="J673" s="249">
        <v>4.0</v>
      </c>
      <c r="K673" s="74" t="s">
        <v>2575</v>
      </c>
      <c r="L673" s="74">
        <v>949000.0</v>
      </c>
      <c r="M673" s="74" t="s">
        <v>657</v>
      </c>
      <c r="N673" s="74">
        <f t="shared" si="4"/>
        <v>3796000</v>
      </c>
      <c r="O673" s="60">
        <f t="shared" si="2"/>
        <v>46033</v>
      </c>
      <c r="P673" s="65" t="str">
        <f>VLOOKUP(I673,DATABASE!C:Q,11,FALSE)</f>
        <v>Tire</v>
      </c>
      <c r="Q673" s="65" t="str">
        <f>VLOOKUP(I673,DATABASE!C:Q,4,FALSE)</f>
        <v>Dunlop</v>
      </c>
      <c r="R673" s="101"/>
      <c r="U673" s="101"/>
    </row>
    <row r="674" ht="22.5" customHeight="1">
      <c r="A674" s="49"/>
      <c r="C674" s="245">
        <v>45958.0</v>
      </c>
      <c r="D674" s="245">
        <v>45958.0</v>
      </c>
      <c r="E674" s="65" t="s">
        <v>81</v>
      </c>
      <c r="F674" s="247" t="s">
        <v>343</v>
      </c>
      <c r="G674" s="248" t="s">
        <v>1595</v>
      </c>
      <c r="H674" s="93" t="s">
        <v>87</v>
      </c>
      <c r="I674" s="74" t="s">
        <v>1301</v>
      </c>
      <c r="J674" s="249">
        <v>2.0</v>
      </c>
      <c r="K674" s="74" t="s">
        <v>2576</v>
      </c>
      <c r="L674" s="74">
        <v>1182000.0</v>
      </c>
      <c r="M674" s="74" t="s">
        <v>657</v>
      </c>
      <c r="N674" s="74">
        <f t="shared" si="4"/>
        <v>2364000</v>
      </c>
      <c r="O674" s="60">
        <f t="shared" si="2"/>
        <v>46033</v>
      </c>
      <c r="P674" s="65" t="str">
        <f>VLOOKUP(I674,DATABASE!C:Q,11,FALSE)</f>
        <v>Tire</v>
      </c>
      <c r="Q674" s="65" t="str">
        <f>VLOOKUP(I674,DATABASE!C:Q,4,FALSE)</f>
        <v>Dunlop</v>
      </c>
      <c r="R674" s="101"/>
      <c r="U674" s="101"/>
    </row>
    <row r="675" ht="22.5" customHeight="1">
      <c r="A675" s="49"/>
      <c r="C675" s="245">
        <v>45958.0</v>
      </c>
      <c r="D675" s="245">
        <v>45958.0</v>
      </c>
      <c r="E675" s="65" t="s">
        <v>81</v>
      </c>
      <c r="F675" s="247" t="s">
        <v>343</v>
      </c>
      <c r="G675" s="248" t="s">
        <v>1595</v>
      </c>
      <c r="H675" s="93" t="s">
        <v>87</v>
      </c>
      <c r="I675" s="74" t="s">
        <v>1427</v>
      </c>
      <c r="J675" s="249">
        <v>4.0</v>
      </c>
      <c r="K675" s="74" t="s">
        <v>2577</v>
      </c>
      <c r="L675" s="74">
        <v>689000.0</v>
      </c>
      <c r="M675" s="74" t="s">
        <v>657</v>
      </c>
      <c r="N675" s="74">
        <f t="shared" si="4"/>
        <v>2756000</v>
      </c>
      <c r="O675" s="60">
        <f t="shared" si="2"/>
        <v>46033</v>
      </c>
      <c r="P675" s="65" t="str">
        <f>VLOOKUP(I675,DATABASE!C:Q,11,FALSE)</f>
        <v>Tire</v>
      </c>
      <c r="Q675" s="65" t="str">
        <f>VLOOKUP(I675,DATABASE!C:Q,4,FALSE)</f>
        <v>Dunlop</v>
      </c>
      <c r="R675" s="101"/>
      <c r="U675" s="101"/>
    </row>
    <row r="676" ht="22.5" customHeight="1">
      <c r="A676" s="49"/>
      <c r="C676" s="245">
        <v>45958.0</v>
      </c>
      <c r="D676" s="245">
        <v>45958.0</v>
      </c>
      <c r="E676" s="65" t="s">
        <v>81</v>
      </c>
      <c r="F676" s="247" t="s">
        <v>343</v>
      </c>
      <c r="G676" s="248" t="s">
        <v>1595</v>
      </c>
      <c r="H676" s="93" t="s">
        <v>87</v>
      </c>
      <c r="I676" s="74" t="s">
        <v>282</v>
      </c>
      <c r="J676" s="249">
        <v>3.0</v>
      </c>
      <c r="K676" s="74" t="s">
        <v>2578</v>
      </c>
      <c r="L676" s="74">
        <v>771000.0</v>
      </c>
      <c r="M676" s="74" t="s">
        <v>657</v>
      </c>
      <c r="N676" s="74">
        <f t="shared" si="4"/>
        <v>2313000</v>
      </c>
      <c r="O676" s="60">
        <f t="shared" si="2"/>
        <v>46033</v>
      </c>
      <c r="P676" s="65" t="str">
        <f>VLOOKUP(I676,DATABASE!C:Q,11,FALSE)</f>
        <v>Tire</v>
      </c>
      <c r="Q676" s="65" t="str">
        <f>VLOOKUP(I676,DATABASE!C:Q,4,FALSE)</f>
        <v>Dunlop</v>
      </c>
      <c r="R676" s="101"/>
      <c r="U676" s="101"/>
    </row>
    <row r="677" ht="22.5" customHeight="1">
      <c r="A677" s="49"/>
      <c r="C677" s="245">
        <v>45958.0</v>
      </c>
      <c r="D677" s="245">
        <v>45958.0</v>
      </c>
      <c r="E677" s="65" t="s">
        <v>81</v>
      </c>
      <c r="F677" s="247" t="s">
        <v>343</v>
      </c>
      <c r="G677" s="248" t="s">
        <v>1599</v>
      </c>
      <c r="H677" s="93" t="s">
        <v>87</v>
      </c>
      <c r="I677" s="74" t="s">
        <v>271</v>
      </c>
      <c r="J677" s="249">
        <v>10.0</v>
      </c>
      <c r="K677" s="74" t="s">
        <v>2087</v>
      </c>
      <c r="L677" s="74">
        <v>539000.0</v>
      </c>
      <c r="M677" s="74" t="s">
        <v>657</v>
      </c>
      <c r="N677" s="74">
        <f t="shared" si="4"/>
        <v>5390000</v>
      </c>
      <c r="O677" s="60">
        <f t="shared" si="2"/>
        <v>46033</v>
      </c>
      <c r="P677" s="65" t="str">
        <f>VLOOKUP(I677,DATABASE!C:Q,11,FALSE)</f>
        <v>Tire</v>
      </c>
      <c r="Q677" s="65" t="str">
        <f>VLOOKUP(I677,DATABASE!C:Q,4,FALSE)</f>
        <v>Dunlop</v>
      </c>
      <c r="R677" s="101"/>
      <c r="U677" s="101"/>
    </row>
    <row r="678" ht="22.5" customHeight="1">
      <c r="A678" s="49"/>
      <c r="C678" s="245">
        <v>45958.0</v>
      </c>
      <c r="D678" s="245">
        <v>45958.0</v>
      </c>
      <c r="E678" s="65" t="s">
        <v>81</v>
      </c>
      <c r="F678" s="247" t="s">
        <v>343</v>
      </c>
      <c r="G678" s="248" t="s">
        <v>1599</v>
      </c>
      <c r="H678" s="93" t="s">
        <v>87</v>
      </c>
      <c r="I678" s="74" t="s">
        <v>955</v>
      </c>
      <c r="J678" s="249">
        <v>10.0</v>
      </c>
      <c r="K678" s="74" t="s">
        <v>2579</v>
      </c>
      <c r="L678" s="74">
        <v>674000.0</v>
      </c>
      <c r="M678" s="74" t="s">
        <v>657</v>
      </c>
      <c r="N678" s="74">
        <f t="shared" si="4"/>
        <v>6740000</v>
      </c>
      <c r="O678" s="60">
        <f t="shared" si="2"/>
        <v>46033</v>
      </c>
      <c r="P678" s="65" t="str">
        <f>VLOOKUP(I678,DATABASE!C:Q,11,FALSE)</f>
        <v>Tire</v>
      </c>
      <c r="Q678" s="65" t="str">
        <f>VLOOKUP(I678,DATABASE!C:Q,4,FALSE)</f>
        <v>Dunlop</v>
      </c>
      <c r="R678" s="101"/>
      <c r="U678" s="101"/>
    </row>
    <row r="679" ht="22.5" customHeight="1">
      <c r="A679" s="49"/>
      <c r="C679" s="245">
        <v>45958.0</v>
      </c>
      <c r="D679" s="245">
        <v>45958.0</v>
      </c>
      <c r="E679" s="65" t="s">
        <v>81</v>
      </c>
      <c r="F679" s="247" t="s">
        <v>343</v>
      </c>
      <c r="G679" s="248" t="s">
        <v>1599</v>
      </c>
      <c r="H679" s="93" t="s">
        <v>87</v>
      </c>
      <c r="I679" s="74" t="s">
        <v>940</v>
      </c>
      <c r="J679" s="249">
        <v>7.0</v>
      </c>
      <c r="K679" s="74" t="s">
        <v>2580</v>
      </c>
      <c r="L679" s="74">
        <v>709000.0</v>
      </c>
      <c r="M679" s="74" t="s">
        <v>657</v>
      </c>
      <c r="N679" s="74">
        <f t="shared" si="4"/>
        <v>4963000</v>
      </c>
      <c r="O679" s="60">
        <f t="shared" si="2"/>
        <v>46033</v>
      </c>
      <c r="P679" s="65" t="str">
        <f>VLOOKUP(I679,DATABASE!C:Q,11,FALSE)</f>
        <v>Tire</v>
      </c>
      <c r="Q679" s="65" t="str">
        <f>VLOOKUP(I679,DATABASE!C:Q,4,FALSE)</f>
        <v>Dunlop</v>
      </c>
      <c r="R679" s="101"/>
      <c r="U679" s="101"/>
    </row>
    <row r="680" ht="22.5" customHeight="1">
      <c r="A680" s="49"/>
      <c r="C680" s="245">
        <v>45958.0</v>
      </c>
      <c r="D680" s="245">
        <v>45958.0</v>
      </c>
      <c r="E680" s="65" t="s">
        <v>81</v>
      </c>
      <c r="F680" s="247" t="s">
        <v>343</v>
      </c>
      <c r="G680" s="248" t="s">
        <v>1599</v>
      </c>
      <c r="H680" s="93" t="s">
        <v>87</v>
      </c>
      <c r="I680" s="74" t="s">
        <v>282</v>
      </c>
      <c r="J680" s="249">
        <v>4.0</v>
      </c>
      <c r="K680" s="74" t="s">
        <v>2578</v>
      </c>
      <c r="L680" s="74">
        <v>771000.0</v>
      </c>
      <c r="M680" s="74" t="s">
        <v>657</v>
      </c>
      <c r="N680" s="74">
        <f t="shared" si="4"/>
        <v>3084000</v>
      </c>
      <c r="O680" s="60">
        <f t="shared" si="2"/>
        <v>46033</v>
      </c>
      <c r="P680" s="65" t="str">
        <f>VLOOKUP(I680,DATABASE!C:Q,11,FALSE)</f>
        <v>Tire</v>
      </c>
      <c r="Q680" s="65" t="str">
        <f>VLOOKUP(I680,DATABASE!C:Q,4,FALSE)</f>
        <v>Dunlop</v>
      </c>
      <c r="R680" s="101"/>
      <c r="U680" s="101"/>
    </row>
    <row r="681" ht="22.5" customHeight="1">
      <c r="A681" s="49"/>
      <c r="C681" s="245">
        <v>45958.0</v>
      </c>
      <c r="D681" s="245">
        <v>45958.0</v>
      </c>
      <c r="E681" s="65" t="s">
        <v>81</v>
      </c>
      <c r="F681" s="247" t="s">
        <v>343</v>
      </c>
      <c r="G681" s="248" t="s">
        <v>1599</v>
      </c>
      <c r="H681" s="93" t="s">
        <v>87</v>
      </c>
      <c r="I681" s="74" t="s">
        <v>1361</v>
      </c>
      <c r="J681" s="249">
        <v>5.0</v>
      </c>
      <c r="K681" s="74" t="s">
        <v>2581</v>
      </c>
      <c r="L681" s="74">
        <v>863000.0</v>
      </c>
      <c r="M681" s="74" t="s">
        <v>657</v>
      </c>
      <c r="N681" s="74">
        <f t="shared" si="4"/>
        <v>4315000</v>
      </c>
      <c r="O681" s="60">
        <f t="shared" si="2"/>
        <v>46033</v>
      </c>
      <c r="P681" s="65" t="str">
        <f>VLOOKUP(I681,DATABASE!C:Q,11,FALSE)</f>
        <v>Tire</v>
      </c>
      <c r="Q681" s="65" t="str">
        <f>VLOOKUP(I681,DATABASE!C:Q,4,FALSE)</f>
        <v>Dunlop</v>
      </c>
      <c r="R681" s="101"/>
      <c r="U681" s="101"/>
    </row>
    <row r="682" ht="22.5" customHeight="1">
      <c r="A682" s="49"/>
      <c r="C682" s="245">
        <v>45958.0</v>
      </c>
      <c r="D682" s="245">
        <v>45958.0</v>
      </c>
      <c r="E682" s="65" t="s">
        <v>81</v>
      </c>
      <c r="F682" s="247" t="s">
        <v>343</v>
      </c>
      <c r="G682" s="248" t="s">
        <v>1599</v>
      </c>
      <c r="H682" s="93" t="s">
        <v>87</v>
      </c>
      <c r="I682" s="74" t="s">
        <v>1389</v>
      </c>
      <c r="J682" s="249">
        <v>3.0</v>
      </c>
      <c r="K682" s="74" t="s">
        <v>2582</v>
      </c>
      <c r="L682" s="74">
        <v>897000.0</v>
      </c>
      <c r="M682" s="74" t="s">
        <v>657</v>
      </c>
      <c r="N682" s="74">
        <f t="shared" si="4"/>
        <v>2691000</v>
      </c>
      <c r="O682" s="60">
        <f t="shared" si="2"/>
        <v>46033</v>
      </c>
      <c r="P682" s="65" t="str">
        <f>VLOOKUP(I682,DATABASE!C:Q,11,FALSE)</f>
        <v>Tire</v>
      </c>
      <c r="Q682" s="65" t="str">
        <f>VLOOKUP(I682,DATABASE!C:Q,4,FALSE)</f>
        <v>Dunlop</v>
      </c>
      <c r="R682" s="101"/>
      <c r="U682" s="101"/>
    </row>
    <row r="683" ht="22.5" customHeight="1">
      <c r="A683" s="49"/>
      <c r="C683" s="245">
        <v>45958.0</v>
      </c>
      <c r="D683" s="245">
        <v>45958.0</v>
      </c>
      <c r="E683" s="65" t="s">
        <v>81</v>
      </c>
      <c r="F683" s="247" t="s">
        <v>343</v>
      </c>
      <c r="G683" s="248" t="s">
        <v>1599</v>
      </c>
      <c r="H683" s="93" t="s">
        <v>87</v>
      </c>
      <c r="I683" s="74" t="s">
        <v>1486</v>
      </c>
      <c r="J683" s="249">
        <v>1.0</v>
      </c>
      <c r="K683" s="74" t="s">
        <v>2583</v>
      </c>
      <c r="L683" s="74">
        <v>877000.0</v>
      </c>
      <c r="M683" s="74" t="s">
        <v>657</v>
      </c>
      <c r="N683" s="74">
        <f t="shared" si="4"/>
        <v>877000</v>
      </c>
      <c r="O683" s="60">
        <f t="shared" si="2"/>
        <v>46033</v>
      </c>
      <c r="P683" s="65" t="str">
        <f>VLOOKUP(I683,DATABASE!C:Q,11,FALSE)</f>
        <v>Tire</v>
      </c>
      <c r="Q683" s="65" t="str">
        <f>VLOOKUP(I683,DATABASE!C:Q,4,FALSE)</f>
        <v>Dunlop</v>
      </c>
      <c r="R683" s="101"/>
      <c r="U683" s="101"/>
    </row>
    <row r="684" ht="22.5" customHeight="1">
      <c r="A684" s="49"/>
      <c r="C684" s="245">
        <v>45958.0</v>
      </c>
      <c r="D684" s="245">
        <v>45958.0</v>
      </c>
      <c r="E684" s="65" t="s">
        <v>81</v>
      </c>
      <c r="F684" s="247" t="s">
        <v>343</v>
      </c>
      <c r="G684" s="248" t="s">
        <v>1599</v>
      </c>
      <c r="H684" s="93" t="s">
        <v>87</v>
      </c>
      <c r="I684" s="74" t="s">
        <v>1383</v>
      </c>
      <c r="J684" s="249">
        <v>2.0</v>
      </c>
      <c r="K684" s="74" t="s">
        <v>2584</v>
      </c>
      <c r="L684" s="74">
        <v>812000.0</v>
      </c>
      <c r="M684" s="74" t="s">
        <v>657</v>
      </c>
      <c r="N684" s="74">
        <f t="shared" si="4"/>
        <v>1624000</v>
      </c>
      <c r="O684" s="60">
        <f t="shared" si="2"/>
        <v>46033</v>
      </c>
      <c r="P684" s="65" t="str">
        <f>VLOOKUP(I684,DATABASE!C:Q,11,FALSE)</f>
        <v>Tire</v>
      </c>
      <c r="Q684" s="65" t="str">
        <f>VLOOKUP(I684,DATABASE!C:Q,4,FALSE)</f>
        <v>Dunlop</v>
      </c>
      <c r="R684" s="101"/>
      <c r="U684" s="101"/>
    </row>
    <row r="685" ht="22.5" customHeight="1">
      <c r="A685" s="49"/>
      <c r="C685" s="245">
        <v>45958.0</v>
      </c>
      <c r="D685" s="245">
        <v>45958.0</v>
      </c>
      <c r="E685" s="65" t="s">
        <v>81</v>
      </c>
      <c r="F685" s="247" t="s">
        <v>343</v>
      </c>
      <c r="G685" s="248" t="s">
        <v>1599</v>
      </c>
      <c r="H685" s="93" t="s">
        <v>87</v>
      </c>
      <c r="I685" s="74" t="s">
        <v>974</v>
      </c>
      <c r="J685" s="249">
        <v>4.0</v>
      </c>
      <c r="K685" s="74" t="s">
        <v>2585</v>
      </c>
      <c r="L685" s="74">
        <v>491000.0</v>
      </c>
      <c r="M685" s="74" t="s">
        <v>657</v>
      </c>
      <c r="N685" s="74">
        <f t="shared" si="4"/>
        <v>1964000</v>
      </c>
      <c r="O685" s="60">
        <f t="shared" si="2"/>
        <v>46033</v>
      </c>
      <c r="P685" s="65" t="str">
        <f>VLOOKUP(I685,DATABASE!C:Q,11,FALSE)</f>
        <v>Tire</v>
      </c>
      <c r="Q685" s="65" t="str">
        <f>VLOOKUP(I685,DATABASE!C:Q,4,FALSE)</f>
        <v>Dunlop</v>
      </c>
      <c r="R685" s="101"/>
      <c r="U685" s="101"/>
    </row>
    <row r="686" ht="22.5" customHeight="1">
      <c r="A686" s="49"/>
      <c r="C686" s="245">
        <v>45958.0</v>
      </c>
      <c r="D686" s="245">
        <v>45958.0</v>
      </c>
      <c r="E686" s="65" t="s">
        <v>81</v>
      </c>
      <c r="F686" s="247" t="s">
        <v>343</v>
      </c>
      <c r="G686" s="248" t="s">
        <v>1599</v>
      </c>
      <c r="H686" s="93" t="s">
        <v>87</v>
      </c>
      <c r="I686" s="74" t="s">
        <v>695</v>
      </c>
      <c r="J686" s="249">
        <v>6.0</v>
      </c>
      <c r="K686" s="74" t="s">
        <v>995</v>
      </c>
      <c r="L686" s="74">
        <v>570000.0</v>
      </c>
      <c r="M686" s="74" t="s">
        <v>657</v>
      </c>
      <c r="N686" s="74">
        <f t="shared" si="4"/>
        <v>3420000</v>
      </c>
      <c r="O686" s="60">
        <f t="shared" si="2"/>
        <v>46033</v>
      </c>
      <c r="P686" s="65" t="str">
        <f>VLOOKUP(I686,DATABASE!C:Q,11,FALSE)</f>
        <v>Tire</v>
      </c>
      <c r="Q686" s="65" t="str">
        <f>VLOOKUP(I686,DATABASE!C:Q,4,FALSE)</f>
        <v>Dunlop</v>
      </c>
      <c r="R686" s="101"/>
      <c r="T686" s="9"/>
      <c r="U686" s="101"/>
    </row>
    <row r="687" ht="22.5" customHeight="1">
      <c r="A687" s="49"/>
      <c r="C687" s="245">
        <v>45958.0</v>
      </c>
      <c r="D687" s="245">
        <v>45958.0</v>
      </c>
      <c r="E687" s="65" t="s">
        <v>81</v>
      </c>
      <c r="F687" s="247" t="s">
        <v>343</v>
      </c>
      <c r="G687" s="248" t="s">
        <v>1599</v>
      </c>
      <c r="H687" s="93" t="s">
        <v>87</v>
      </c>
      <c r="I687" s="74" t="s">
        <v>276</v>
      </c>
      <c r="J687" s="249">
        <v>4.0</v>
      </c>
      <c r="K687" s="74" t="s">
        <v>2586</v>
      </c>
      <c r="L687" s="74">
        <v>607000.0</v>
      </c>
      <c r="M687" s="74" t="s">
        <v>657</v>
      </c>
      <c r="N687" s="74">
        <f t="shared" si="4"/>
        <v>2428000</v>
      </c>
      <c r="O687" s="60">
        <f t="shared" si="2"/>
        <v>46033</v>
      </c>
      <c r="P687" s="65" t="str">
        <f>VLOOKUP(I687,DATABASE!C:Q,11,FALSE)</f>
        <v>Tire</v>
      </c>
      <c r="Q687" s="65" t="str">
        <f>VLOOKUP(I687,DATABASE!C:Q,4,FALSE)</f>
        <v>Dunlop</v>
      </c>
      <c r="R687" s="101"/>
      <c r="T687" s="9"/>
      <c r="U687" s="101"/>
    </row>
    <row r="688" ht="22.5" customHeight="1">
      <c r="A688" s="49"/>
      <c r="C688" s="245">
        <v>45959.0</v>
      </c>
      <c r="D688" s="245">
        <v>45959.0</v>
      </c>
      <c r="E688" s="65" t="s">
        <v>81</v>
      </c>
      <c r="F688" s="247" t="s">
        <v>343</v>
      </c>
      <c r="G688" s="248" t="s">
        <v>1608</v>
      </c>
      <c r="H688" s="93" t="s">
        <v>87</v>
      </c>
      <c r="I688" s="74" t="s">
        <v>1002</v>
      </c>
      <c r="J688" s="249">
        <v>2.0</v>
      </c>
      <c r="K688" s="74">
        <v>1442000.0</v>
      </c>
      <c r="L688" s="74">
        <v>1442000.0</v>
      </c>
      <c r="M688" s="74" t="s">
        <v>657</v>
      </c>
      <c r="N688" s="74">
        <f t="shared" si="4"/>
        <v>2884000</v>
      </c>
      <c r="O688" s="60">
        <f t="shared" si="2"/>
        <v>46034</v>
      </c>
      <c r="P688" s="65" t="str">
        <f>VLOOKUP(I688,DATABASE!C:Q,11,FALSE)</f>
        <v>Tire</v>
      </c>
      <c r="Q688" s="65" t="str">
        <f>VLOOKUP(I688,DATABASE!C:Q,4,FALSE)</f>
        <v>Dunlop</v>
      </c>
      <c r="R688" s="101"/>
      <c r="T688" s="9"/>
      <c r="U688" s="101"/>
    </row>
    <row r="689" ht="22.5" customHeight="1">
      <c r="A689" s="49"/>
      <c r="C689" s="192">
        <v>45959.0</v>
      </c>
      <c r="D689" s="192">
        <v>45959.0</v>
      </c>
      <c r="E689" s="69" t="s">
        <v>386</v>
      </c>
      <c r="F689" s="243" t="s">
        <v>998</v>
      </c>
      <c r="G689" s="69" t="s">
        <v>2100</v>
      </c>
      <c r="H689" s="69" t="s">
        <v>2314</v>
      </c>
      <c r="I689" s="140" t="s">
        <v>252</v>
      </c>
      <c r="J689" s="446">
        <v>4.0</v>
      </c>
      <c r="K689" s="140">
        <v>271778.0</v>
      </c>
      <c r="L689" s="140">
        <v>260100.0</v>
      </c>
      <c r="M689" s="140" t="s">
        <v>755</v>
      </c>
      <c r="N689" s="74">
        <f t="shared" si="4"/>
        <v>1040400</v>
      </c>
      <c r="O689" s="60">
        <f t="shared" si="2"/>
        <v>45989</v>
      </c>
      <c r="P689" s="65" t="str">
        <f>VLOOKUP(I689,DATABASE!C:Q,11,FALSE)</f>
        <v>OIL</v>
      </c>
      <c r="Q689" s="65" t="str">
        <f>VLOOKUP(I689,DATABASE!C:Q,4,FALSE)</f>
        <v>Shell</v>
      </c>
      <c r="R689" s="101"/>
      <c r="T689" s="9"/>
      <c r="U689" s="101"/>
    </row>
    <row r="690" ht="22.5" customHeight="1">
      <c r="A690" s="49"/>
      <c r="C690" s="192">
        <v>45959.0</v>
      </c>
      <c r="D690" s="192">
        <v>45959.0</v>
      </c>
      <c r="E690" s="69" t="s">
        <v>386</v>
      </c>
      <c r="F690" s="243" t="s">
        <v>998</v>
      </c>
      <c r="G690" s="69" t="s">
        <v>2100</v>
      </c>
      <c r="H690" s="69" t="s">
        <v>2314</v>
      </c>
      <c r="I690" s="140" t="s">
        <v>263</v>
      </c>
      <c r="J690" s="446">
        <v>4.0</v>
      </c>
      <c r="K690" s="140">
        <v>287688.0</v>
      </c>
      <c r="L690" s="140">
        <v>277600.0</v>
      </c>
      <c r="M690" s="140" t="s">
        <v>755</v>
      </c>
      <c r="N690" s="74">
        <f t="shared" si="4"/>
        <v>1110400</v>
      </c>
      <c r="O690" s="60">
        <f t="shared" si="2"/>
        <v>45989</v>
      </c>
      <c r="P690" s="65" t="str">
        <f>VLOOKUP(I690,DATABASE!C:Q,11,FALSE)</f>
        <v>OIL</v>
      </c>
      <c r="Q690" s="65" t="str">
        <f>VLOOKUP(I690,DATABASE!C:Q,4,FALSE)</f>
        <v>Shell</v>
      </c>
      <c r="R690" s="101"/>
      <c r="T690" s="9"/>
      <c r="U690" s="101"/>
    </row>
    <row r="691" ht="22.5" customHeight="1">
      <c r="A691" s="49"/>
      <c r="C691" s="192">
        <v>45959.0</v>
      </c>
      <c r="D691" s="192">
        <v>45959.0</v>
      </c>
      <c r="E691" s="69" t="s">
        <v>386</v>
      </c>
      <c r="F691" s="243" t="s">
        <v>998</v>
      </c>
      <c r="G691" s="69" t="s">
        <v>2100</v>
      </c>
      <c r="H691" s="69" t="s">
        <v>2314</v>
      </c>
      <c r="I691" s="140" t="s">
        <v>2191</v>
      </c>
      <c r="J691" s="446">
        <v>4.0</v>
      </c>
      <c r="K691" s="140">
        <v>377951.0</v>
      </c>
      <c r="L691" s="140">
        <v>361700.0</v>
      </c>
      <c r="M691" s="140" t="s">
        <v>755</v>
      </c>
      <c r="N691" s="74">
        <f t="shared" si="4"/>
        <v>1446800</v>
      </c>
      <c r="O691" s="60">
        <f t="shared" si="2"/>
        <v>45989</v>
      </c>
      <c r="P691" s="65" t="str">
        <f>VLOOKUP(I691,DATABASE!C:Q,11,FALSE)</f>
        <v>OIL</v>
      </c>
      <c r="Q691" s="65" t="str">
        <f>VLOOKUP(I691,DATABASE!C:Q,4,FALSE)</f>
        <v>Shell</v>
      </c>
      <c r="R691" s="101"/>
      <c r="T691" s="9"/>
      <c r="U691" s="101"/>
    </row>
    <row r="692" ht="22.5" customHeight="1">
      <c r="A692" s="49"/>
      <c r="C692" s="245">
        <v>45961.0</v>
      </c>
      <c r="D692" s="245">
        <v>45961.0</v>
      </c>
      <c r="E692" s="65" t="s">
        <v>335</v>
      </c>
      <c r="F692" s="247" t="s">
        <v>343</v>
      </c>
      <c r="G692" s="248" t="s">
        <v>2269</v>
      </c>
      <c r="H692" s="93" t="s">
        <v>7</v>
      </c>
      <c r="I692" s="74" t="s">
        <v>403</v>
      </c>
      <c r="J692" s="249">
        <v>12.0</v>
      </c>
      <c r="K692" s="74" t="s">
        <v>920</v>
      </c>
      <c r="L692" s="74">
        <v>2160000.0</v>
      </c>
      <c r="M692" s="74" t="s">
        <v>521</v>
      </c>
      <c r="N692" s="74">
        <f t="shared" si="4"/>
        <v>25920000</v>
      </c>
      <c r="O692" s="60">
        <f t="shared" si="2"/>
        <v>46021</v>
      </c>
      <c r="P692" s="65" t="str">
        <f>VLOOKUP(I692,DATABASE!C:Q,11,FALSE)</f>
        <v>Tire</v>
      </c>
      <c r="Q692" s="65" t="str">
        <f>VLOOKUP(I692,DATABASE!C:Q,4,FALSE)</f>
        <v>Advance</v>
      </c>
      <c r="R692" s="101"/>
      <c r="T692" s="9"/>
      <c r="U692" s="101"/>
    </row>
    <row r="693" ht="22.5" customHeight="1">
      <c r="A693" s="49"/>
      <c r="C693" s="192">
        <v>45962.0</v>
      </c>
      <c r="D693" s="192">
        <v>45960.0</v>
      </c>
      <c r="E693" s="69" t="s">
        <v>400</v>
      </c>
      <c r="F693" s="243" t="s">
        <v>998</v>
      </c>
      <c r="G693" s="69" t="s">
        <v>2079</v>
      </c>
      <c r="H693" s="69" t="s">
        <v>2314</v>
      </c>
      <c r="I693" s="140" t="s">
        <v>243</v>
      </c>
      <c r="J693" s="446">
        <v>4.0</v>
      </c>
      <c r="K693" s="140">
        <v>432500.0</v>
      </c>
      <c r="L693" s="140">
        <v>423250.0</v>
      </c>
      <c r="M693" s="140" t="s">
        <v>2190</v>
      </c>
      <c r="N693" s="74">
        <f t="shared" si="4"/>
        <v>1693000</v>
      </c>
      <c r="O693" s="60">
        <f t="shared" si="2"/>
        <v>45974</v>
      </c>
      <c r="P693" s="65" t="str">
        <f>VLOOKUP(I693,DATABASE!C:Q,11,FALSE)</f>
        <v>OIL</v>
      </c>
      <c r="Q693" s="65" t="str">
        <f>VLOOKUP(I693,DATABASE!C:Q,4,FALSE)</f>
        <v>Pertamina</v>
      </c>
      <c r="R693" s="101"/>
      <c r="U693" s="101"/>
    </row>
    <row r="694" ht="22.5" customHeight="1">
      <c r="A694" s="49"/>
      <c r="C694" s="192">
        <v>45966.0</v>
      </c>
      <c r="D694" s="192">
        <v>45966.0</v>
      </c>
      <c r="E694" s="69" t="s">
        <v>136</v>
      </c>
      <c r="F694" s="243" t="s">
        <v>998</v>
      </c>
      <c r="G694" s="192">
        <v>45966.0</v>
      </c>
      <c r="H694" s="69" t="s">
        <v>2314</v>
      </c>
      <c r="I694" s="140" t="s">
        <v>2587</v>
      </c>
      <c r="J694" s="446">
        <v>10.0</v>
      </c>
      <c r="K694" s="140">
        <v>25000.0</v>
      </c>
      <c r="L694" s="140">
        <v>25000.0</v>
      </c>
      <c r="M694" s="140" t="s">
        <v>755</v>
      </c>
      <c r="N694" s="74">
        <f t="shared" si="4"/>
        <v>250000</v>
      </c>
      <c r="O694" s="60">
        <f t="shared" si="2"/>
        <v>45996</v>
      </c>
      <c r="P694" s="65" t="str">
        <f>VLOOKUP(I694,DATABASE!C:Q,11,FALSE)</f>
        <v>COMPLEMENTARY</v>
      </c>
      <c r="Q694" s="65" t="str">
        <f>VLOOKUP(I694,DATABASE!C:Q,4,FALSE)</f>
        <v>WD</v>
      </c>
      <c r="R694" s="101"/>
      <c r="T694" s="9"/>
      <c r="U694" s="101"/>
    </row>
    <row r="695" ht="22.5" customHeight="1">
      <c r="A695" s="49"/>
      <c r="C695" s="192">
        <v>45966.0</v>
      </c>
      <c r="D695" s="192">
        <v>45966.0</v>
      </c>
      <c r="E695" s="69" t="s">
        <v>136</v>
      </c>
      <c r="F695" s="243" t="s">
        <v>998</v>
      </c>
      <c r="G695" s="192">
        <v>45966.0</v>
      </c>
      <c r="H695" s="69" t="s">
        <v>2314</v>
      </c>
      <c r="I695" s="140" t="s">
        <v>2154</v>
      </c>
      <c r="J695" s="446">
        <v>4.0</v>
      </c>
      <c r="K695" s="140">
        <v>80000.0</v>
      </c>
      <c r="L695" s="140">
        <v>58300.0</v>
      </c>
      <c r="M695" s="140" t="s">
        <v>755</v>
      </c>
      <c r="N695" s="74">
        <f t="shared" si="4"/>
        <v>233200</v>
      </c>
      <c r="O695" s="60">
        <f t="shared" si="2"/>
        <v>45996</v>
      </c>
      <c r="P695" s="65" t="str">
        <f>VLOOKUP(I695,DATABASE!C:Q,11,FALSE)</f>
        <v>COMPLEMENTARY</v>
      </c>
      <c r="Q695" s="65" t="str">
        <f>VLOOKUP(I695,DATABASE!C:Q,4,FALSE)</f>
        <v>SERVICE</v>
      </c>
      <c r="R695" s="101"/>
      <c r="T695" s="9"/>
      <c r="U695" s="101"/>
    </row>
    <row r="696" ht="22.5" customHeight="1">
      <c r="A696" s="49"/>
      <c r="C696" s="192">
        <v>45966.0</v>
      </c>
      <c r="D696" s="192">
        <v>45966.0</v>
      </c>
      <c r="E696" s="69" t="s">
        <v>136</v>
      </c>
      <c r="F696" s="243" t="s">
        <v>998</v>
      </c>
      <c r="G696" s="192">
        <v>45966.0</v>
      </c>
      <c r="H696" s="69" t="s">
        <v>2314</v>
      </c>
      <c r="I696" s="140" t="s">
        <v>2206</v>
      </c>
      <c r="J696" s="446">
        <v>5.0</v>
      </c>
      <c r="K696" s="140">
        <v>61000.0</v>
      </c>
      <c r="L696" s="140">
        <v>49500.0</v>
      </c>
      <c r="M696" s="140" t="s">
        <v>755</v>
      </c>
      <c r="N696" s="74">
        <f t="shared" si="4"/>
        <v>247500</v>
      </c>
      <c r="O696" s="60">
        <f t="shared" si="2"/>
        <v>45996</v>
      </c>
      <c r="P696" s="65" t="str">
        <f>VLOOKUP(I696,DATABASE!C:Q,11,FALSE)</f>
        <v>COMPLEMENTARY</v>
      </c>
      <c r="Q696" s="65" t="str">
        <f>VLOOKUP(I696,DATABASE!C:Q,4,FALSE)</f>
        <v>TIEROD</v>
      </c>
      <c r="R696" s="101"/>
      <c r="T696" s="9"/>
      <c r="U696" s="101"/>
    </row>
    <row r="697" ht="22.5" customHeight="1">
      <c r="A697" s="49"/>
      <c r="C697" s="447">
        <v>45967.0</v>
      </c>
      <c r="D697" s="447">
        <v>45967.0</v>
      </c>
      <c r="E697" s="425" t="s">
        <v>185</v>
      </c>
      <c r="F697" s="448">
        <v>1.0</v>
      </c>
      <c r="G697" s="425" t="s">
        <v>1188</v>
      </c>
      <c r="H697" s="449" t="s">
        <v>7</v>
      </c>
      <c r="I697" s="450" t="s">
        <v>1851</v>
      </c>
      <c r="J697" s="451">
        <v>10.0</v>
      </c>
      <c r="K697" s="449">
        <v>2000000.0</v>
      </c>
      <c r="L697" s="449">
        <v>2000000.0</v>
      </c>
      <c r="M697" s="74" t="s">
        <v>521</v>
      </c>
      <c r="N697" s="74">
        <f t="shared" si="4"/>
        <v>20000000</v>
      </c>
      <c r="O697" s="60">
        <f t="shared" si="2"/>
        <v>46027</v>
      </c>
      <c r="P697" s="65" t="str">
        <f>VLOOKUP(I697,DATABASE!C:Q,11,FALSE)</f>
        <v>Tire</v>
      </c>
      <c r="Q697" s="65" t="str">
        <f>VLOOKUP(I697,DATABASE!C:Q,4,FALSE)</f>
        <v>G. YEAR</v>
      </c>
      <c r="R697" s="101"/>
      <c r="T697" s="9"/>
      <c r="U697" s="101"/>
    </row>
    <row r="698" ht="22.5" customHeight="1">
      <c r="A698" s="49"/>
      <c r="C698" s="447">
        <v>45971.0</v>
      </c>
      <c r="D698" s="447">
        <v>45972.0</v>
      </c>
      <c r="E698" s="425" t="s">
        <v>123</v>
      </c>
      <c r="F698" s="448">
        <v>1.0</v>
      </c>
      <c r="G698" s="425" t="s">
        <v>2408</v>
      </c>
      <c r="H698" s="449" t="s">
        <v>7</v>
      </c>
      <c r="I698" s="449" t="s">
        <v>286</v>
      </c>
      <c r="J698" s="451">
        <v>5.0</v>
      </c>
      <c r="K698" s="449">
        <v>452970.0</v>
      </c>
      <c r="L698" s="449">
        <v>453000.0</v>
      </c>
      <c r="M698" s="140" t="s">
        <v>755</v>
      </c>
      <c r="N698" s="74">
        <f t="shared" si="4"/>
        <v>2265000</v>
      </c>
      <c r="O698" s="60">
        <f t="shared" si="2"/>
        <v>46002</v>
      </c>
      <c r="P698" s="65" t="str">
        <f>VLOOKUP(I698,DATABASE!C:Q,11,FALSE)</f>
        <v>Tire</v>
      </c>
      <c r="Q698" s="65" t="str">
        <f>VLOOKUP(I698,DATABASE!C:Q,4,FALSE)</f>
        <v>GT</v>
      </c>
      <c r="R698" s="101"/>
      <c r="T698" s="9"/>
      <c r="U698" s="101"/>
    </row>
    <row r="699" ht="22.5" customHeight="1">
      <c r="A699" s="49"/>
      <c r="C699" s="447">
        <v>45972.0</v>
      </c>
      <c r="D699" s="447">
        <v>45972.0</v>
      </c>
      <c r="E699" s="425" t="s">
        <v>81</v>
      </c>
      <c r="F699" s="448">
        <v>1.0</v>
      </c>
      <c r="G699" s="425" t="s">
        <v>1615</v>
      </c>
      <c r="H699" s="449" t="s">
        <v>7</v>
      </c>
      <c r="I699" s="449" t="s">
        <v>268</v>
      </c>
      <c r="J699" s="451">
        <v>10.0</v>
      </c>
      <c r="K699" s="449">
        <v>622000.0</v>
      </c>
      <c r="L699" s="449">
        <v>622000.0</v>
      </c>
      <c r="M699" s="74" t="s">
        <v>657</v>
      </c>
      <c r="N699" s="74">
        <f t="shared" si="4"/>
        <v>6220000</v>
      </c>
      <c r="O699" s="60">
        <f t="shared" si="2"/>
        <v>46047</v>
      </c>
      <c r="P699" s="65" t="str">
        <f>VLOOKUP(I699,DATABASE!C:Q,11,FALSE)</f>
        <v>Tire</v>
      </c>
      <c r="Q699" s="65" t="str">
        <f>VLOOKUP(I699,DATABASE!C:Q,4,FALSE)</f>
        <v>Dunlop</v>
      </c>
      <c r="R699" s="101"/>
      <c r="U699" s="101"/>
    </row>
    <row r="700" ht="22.5" customHeight="1">
      <c r="A700" s="49"/>
      <c r="C700" s="447">
        <v>45972.0</v>
      </c>
      <c r="D700" s="447">
        <v>45972.0</v>
      </c>
      <c r="E700" s="425" t="s">
        <v>81</v>
      </c>
      <c r="F700" s="448">
        <v>1.0</v>
      </c>
      <c r="G700" s="425" t="s">
        <v>1615</v>
      </c>
      <c r="H700" s="449" t="s">
        <v>7</v>
      </c>
      <c r="I700" s="449" t="s">
        <v>275</v>
      </c>
      <c r="J700" s="451">
        <v>20.0</v>
      </c>
      <c r="K700" s="449">
        <v>745000.0</v>
      </c>
      <c r="L700" s="449">
        <v>745000.0</v>
      </c>
      <c r="M700" s="74" t="s">
        <v>657</v>
      </c>
      <c r="N700" s="74">
        <f t="shared" si="4"/>
        <v>14900000</v>
      </c>
      <c r="O700" s="60">
        <f t="shared" si="2"/>
        <v>46047</v>
      </c>
      <c r="P700" s="65" t="str">
        <f>VLOOKUP(I700,DATABASE!C:Q,11,FALSE)</f>
        <v>Tire</v>
      </c>
      <c r="Q700" s="65" t="str">
        <f>VLOOKUP(I700,DATABASE!C:Q,4,FALSE)</f>
        <v>Dunlop</v>
      </c>
      <c r="R700" s="101"/>
      <c r="U700" s="101"/>
    </row>
    <row r="701" ht="22.5" customHeight="1">
      <c r="A701" s="49"/>
      <c r="C701" s="447">
        <v>45972.0</v>
      </c>
      <c r="D701" s="447">
        <v>45972.0</v>
      </c>
      <c r="E701" s="425" t="s">
        <v>81</v>
      </c>
      <c r="F701" s="448">
        <v>1.0</v>
      </c>
      <c r="G701" s="425" t="s">
        <v>1615</v>
      </c>
      <c r="H701" s="449" t="s">
        <v>7</v>
      </c>
      <c r="I701" s="449" t="s">
        <v>974</v>
      </c>
      <c r="J701" s="451">
        <v>4.0</v>
      </c>
      <c r="K701" s="449">
        <v>491000.0</v>
      </c>
      <c r="L701" s="449">
        <v>491000.0</v>
      </c>
      <c r="M701" s="74" t="s">
        <v>657</v>
      </c>
      <c r="N701" s="74">
        <f t="shared" si="4"/>
        <v>1964000</v>
      </c>
      <c r="O701" s="60">
        <f t="shared" si="2"/>
        <v>46047</v>
      </c>
      <c r="P701" s="65" t="str">
        <f>VLOOKUP(I701,DATABASE!C:Q,11,FALSE)</f>
        <v>Tire</v>
      </c>
      <c r="Q701" s="65" t="str">
        <f>VLOOKUP(I701,DATABASE!C:Q,4,FALSE)</f>
        <v>Dunlop</v>
      </c>
      <c r="R701" s="101"/>
      <c r="U701" s="101"/>
    </row>
    <row r="702" ht="22.5" customHeight="1">
      <c r="A702" s="49"/>
      <c r="C702" s="447">
        <v>45972.0</v>
      </c>
      <c r="D702" s="447">
        <v>45972.0</v>
      </c>
      <c r="E702" s="425" t="s">
        <v>81</v>
      </c>
      <c r="F702" s="448">
        <v>1.0</v>
      </c>
      <c r="G702" s="425" t="s">
        <v>1615</v>
      </c>
      <c r="H702" s="449" t="s">
        <v>7</v>
      </c>
      <c r="I702" s="449" t="s">
        <v>968</v>
      </c>
      <c r="J702" s="451">
        <v>5.0</v>
      </c>
      <c r="K702" s="449">
        <v>582500.0</v>
      </c>
      <c r="L702" s="449">
        <v>570500.0</v>
      </c>
      <c r="M702" s="74" t="s">
        <v>657</v>
      </c>
      <c r="N702" s="74">
        <f t="shared" si="4"/>
        <v>2852500</v>
      </c>
      <c r="O702" s="60">
        <f t="shared" si="2"/>
        <v>46047</v>
      </c>
      <c r="P702" s="65" t="str">
        <f>VLOOKUP(I702,DATABASE!C:Q,11,FALSE)</f>
        <v>Tire</v>
      </c>
      <c r="Q702" s="65" t="str">
        <f>VLOOKUP(I702,DATABASE!C:Q,4,FALSE)</f>
        <v>Dunlop</v>
      </c>
      <c r="R702" s="101"/>
      <c r="T702" s="9"/>
      <c r="U702" s="101"/>
    </row>
    <row r="703" ht="22.5" customHeight="1">
      <c r="A703" s="49"/>
      <c r="C703" s="447">
        <v>45972.0</v>
      </c>
      <c r="D703" s="447">
        <v>45972.0</v>
      </c>
      <c r="E703" s="425" t="s">
        <v>81</v>
      </c>
      <c r="F703" s="448">
        <v>1.0</v>
      </c>
      <c r="G703" s="425" t="s">
        <v>1615</v>
      </c>
      <c r="H703" s="449" t="s">
        <v>7</v>
      </c>
      <c r="I703" s="449" t="s">
        <v>271</v>
      </c>
      <c r="J703" s="451">
        <v>4.0</v>
      </c>
      <c r="K703" s="449">
        <v>539000.0</v>
      </c>
      <c r="L703" s="449">
        <v>539000.0</v>
      </c>
      <c r="M703" s="74" t="s">
        <v>657</v>
      </c>
      <c r="N703" s="74">
        <f t="shared" si="4"/>
        <v>2156000</v>
      </c>
      <c r="O703" s="60">
        <f t="shared" si="2"/>
        <v>46047</v>
      </c>
      <c r="P703" s="65" t="str">
        <f>VLOOKUP(I703,DATABASE!C:Q,11,FALSE)</f>
        <v>Tire</v>
      </c>
      <c r="Q703" s="65" t="str">
        <f>VLOOKUP(I703,DATABASE!C:Q,4,FALSE)</f>
        <v>Dunlop</v>
      </c>
      <c r="R703" s="101"/>
      <c r="T703" s="9"/>
      <c r="U703" s="101"/>
    </row>
    <row r="704" ht="22.5" customHeight="1">
      <c r="A704" s="49"/>
      <c r="C704" s="192">
        <v>45973.0</v>
      </c>
      <c r="D704" s="192">
        <v>45973.0</v>
      </c>
      <c r="E704" s="69" t="s">
        <v>386</v>
      </c>
      <c r="F704" s="243" t="s">
        <v>998</v>
      </c>
      <c r="G704" s="69" t="s">
        <v>2103</v>
      </c>
      <c r="H704" s="69" t="s">
        <v>2314</v>
      </c>
      <c r="I704" s="140" t="s">
        <v>263</v>
      </c>
      <c r="J704" s="446">
        <v>8.0</v>
      </c>
      <c r="K704" s="140">
        <v>287688.0</v>
      </c>
      <c r="L704" s="140">
        <v>277600.0</v>
      </c>
      <c r="M704" s="140" t="s">
        <v>755</v>
      </c>
      <c r="N704" s="74">
        <f t="shared" si="4"/>
        <v>2220800</v>
      </c>
      <c r="O704" s="60">
        <f t="shared" si="2"/>
        <v>46003</v>
      </c>
      <c r="P704" s="65" t="str">
        <f>VLOOKUP(I704,DATABASE!C:Q,11,FALSE)</f>
        <v>OIL</v>
      </c>
      <c r="Q704" s="65" t="str">
        <f>VLOOKUP(I704,DATABASE!C:Q,4,FALSE)</f>
        <v>Shell</v>
      </c>
      <c r="R704" s="101"/>
      <c r="T704" s="9"/>
      <c r="U704" s="101"/>
    </row>
    <row r="705" ht="22.5" customHeight="1">
      <c r="A705" s="49"/>
      <c r="C705" s="447">
        <v>45973.0</v>
      </c>
      <c r="D705" s="447">
        <v>45972.0</v>
      </c>
      <c r="E705" s="425" t="s">
        <v>335</v>
      </c>
      <c r="F705" s="448">
        <v>1.0</v>
      </c>
      <c r="G705" s="425" t="s">
        <v>2275</v>
      </c>
      <c r="H705" s="452" t="s">
        <v>7</v>
      </c>
      <c r="I705" s="452" t="s">
        <v>374</v>
      </c>
      <c r="J705" s="451">
        <v>8.0</v>
      </c>
      <c r="K705" s="449">
        <v>1850000.0</v>
      </c>
      <c r="L705" s="449">
        <v>1820000.0</v>
      </c>
      <c r="M705" s="74" t="s">
        <v>521</v>
      </c>
      <c r="N705" s="74">
        <f t="shared" si="4"/>
        <v>14560000</v>
      </c>
      <c r="O705" s="60">
        <f t="shared" si="2"/>
        <v>46032</v>
      </c>
      <c r="P705" s="65" t="str">
        <f>VLOOKUP(I705,DATABASE!C:Q,11,FALSE)</f>
        <v>Tire</v>
      </c>
      <c r="Q705" s="65" t="str">
        <f>VLOOKUP(I705,DATABASE!C:Q,4,FALSE)</f>
        <v>Advance</v>
      </c>
      <c r="R705" s="101"/>
      <c r="T705" s="9"/>
      <c r="U705" s="101"/>
    </row>
    <row r="706" ht="22.5" customHeight="1">
      <c r="A706" s="49"/>
      <c r="C706" s="447">
        <v>45973.0</v>
      </c>
      <c r="D706" s="447">
        <v>45972.0</v>
      </c>
      <c r="E706" s="425" t="s">
        <v>335</v>
      </c>
      <c r="F706" s="448">
        <v>1.0</v>
      </c>
      <c r="G706" s="425" t="s">
        <v>2275</v>
      </c>
      <c r="H706" s="449" t="s">
        <v>7</v>
      </c>
      <c r="I706" s="449" t="s">
        <v>391</v>
      </c>
      <c r="J706" s="451">
        <v>4.0</v>
      </c>
      <c r="K706" s="449">
        <v>1840000.0</v>
      </c>
      <c r="L706" s="449">
        <v>1840000.0</v>
      </c>
      <c r="M706" s="74" t="s">
        <v>521</v>
      </c>
      <c r="N706" s="74">
        <f t="shared" si="4"/>
        <v>7360000</v>
      </c>
      <c r="O706" s="60">
        <f t="shared" si="2"/>
        <v>46032</v>
      </c>
      <c r="P706" s="65" t="str">
        <f>VLOOKUP(I706,DATABASE!C:Q,11,FALSE)</f>
        <v>Tire</v>
      </c>
      <c r="Q706" s="65" t="str">
        <f>VLOOKUP(I706,DATABASE!C:Q,4,FALSE)</f>
        <v>Advance</v>
      </c>
      <c r="R706" s="101"/>
      <c r="T706" s="9"/>
      <c r="U706" s="101"/>
    </row>
    <row r="707" ht="22.5" customHeight="1">
      <c r="A707" s="49"/>
      <c r="C707" s="447">
        <v>45974.0</v>
      </c>
      <c r="D707" s="447">
        <v>45974.0</v>
      </c>
      <c r="E707" s="425" t="s">
        <v>361</v>
      </c>
      <c r="F707" s="448">
        <v>1.0</v>
      </c>
      <c r="G707" s="425" t="s">
        <v>2328</v>
      </c>
      <c r="H707" s="449" t="s">
        <v>7</v>
      </c>
      <c r="I707" s="288" t="s">
        <v>2345</v>
      </c>
      <c r="J707" s="451">
        <v>4.0</v>
      </c>
      <c r="K707" s="449">
        <v>650000.0</v>
      </c>
      <c r="L707" s="449">
        <v>650000.0</v>
      </c>
      <c r="M707" s="140" t="s">
        <v>755</v>
      </c>
      <c r="N707" s="74">
        <f t="shared" si="4"/>
        <v>2600000</v>
      </c>
      <c r="O707" s="60">
        <f t="shared" si="2"/>
        <v>46004</v>
      </c>
      <c r="P707" s="65" t="str">
        <f>VLOOKUP(I707,DATABASE!C:Q,11,FALSE)</f>
        <v>Tire</v>
      </c>
      <c r="Q707" s="65" t="str">
        <f>VLOOKUP(I707,DATABASE!C:Q,4,FALSE)</f>
        <v>Velg</v>
      </c>
      <c r="R707" s="101"/>
      <c r="T707" s="9"/>
      <c r="U707" s="101"/>
    </row>
    <row r="708" ht="22.5" customHeight="1">
      <c r="A708" s="49"/>
      <c r="C708" s="447">
        <v>45974.0</v>
      </c>
      <c r="D708" s="447">
        <v>45974.0</v>
      </c>
      <c r="E708" s="425" t="s">
        <v>81</v>
      </c>
      <c r="F708" s="448">
        <v>1.0</v>
      </c>
      <c r="G708" s="425" t="s">
        <v>1621</v>
      </c>
      <c r="H708" s="449" t="s">
        <v>87</v>
      </c>
      <c r="I708" s="449" t="s">
        <v>1389</v>
      </c>
      <c r="J708" s="468">
        <v>2.0</v>
      </c>
      <c r="K708" s="449">
        <v>897000.0</v>
      </c>
      <c r="L708" s="449">
        <v>897000.0</v>
      </c>
      <c r="M708" s="74" t="s">
        <v>657</v>
      </c>
      <c r="N708" s="74">
        <f t="shared" si="4"/>
        <v>1794000</v>
      </c>
      <c r="O708" s="60">
        <f t="shared" si="2"/>
        <v>46049</v>
      </c>
      <c r="P708" s="65" t="str">
        <f>VLOOKUP(I708,DATABASE!C:Q,11,FALSE)</f>
        <v>Tire</v>
      </c>
      <c r="Q708" s="65" t="str">
        <f>VLOOKUP(I708,DATABASE!C:Q,4,FALSE)</f>
        <v>Dunlop</v>
      </c>
      <c r="R708" s="101"/>
      <c r="T708" s="9"/>
      <c r="U708" s="101"/>
    </row>
    <row r="709" ht="22.5" customHeight="1">
      <c r="A709" s="49"/>
      <c r="C709" s="447">
        <v>45975.0</v>
      </c>
      <c r="D709" s="447">
        <v>45974.0</v>
      </c>
      <c r="E709" s="425" t="s">
        <v>198</v>
      </c>
      <c r="F709" s="448">
        <v>1.0</v>
      </c>
      <c r="G709" s="425" t="s">
        <v>2036</v>
      </c>
      <c r="H709" s="449" t="s">
        <v>7</v>
      </c>
      <c r="I709" s="449" t="s">
        <v>569</v>
      </c>
      <c r="J709" s="451">
        <v>60.0</v>
      </c>
      <c r="K709" s="449">
        <v>45309.6</v>
      </c>
      <c r="L709" s="449">
        <v>45309.6</v>
      </c>
      <c r="M709" s="74" t="s">
        <v>521</v>
      </c>
      <c r="N709" s="74">
        <f t="shared" si="4"/>
        <v>2718576</v>
      </c>
      <c r="O709" s="60">
        <f t="shared" si="2"/>
        <v>46034</v>
      </c>
      <c r="P709" s="65" t="str">
        <f>VLOOKUP(I709,DATABASE!C:Q,11,FALSE)</f>
        <v>Tire</v>
      </c>
      <c r="Q709" s="65" t="str">
        <f>VLOOKUP(I709,DATABASE!C:Q,4,FALSE)</f>
        <v>BD</v>
      </c>
      <c r="R709" s="101"/>
      <c r="T709" s="9"/>
      <c r="U709" s="101"/>
    </row>
    <row r="710" ht="22.5" customHeight="1">
      <c r="A710" s="49"/>
      <c r="C710" s="447">
        <v>45978.0</v>
      </c>
      <c r="D710" s="447">
        <v>45978.0</v>
      </c>
      <c r="E710" s="425" t="s">
        <v>81</v>
      </c>
      <c r="F710" s="448">
        <v>0.0</v>
      </c>
      <c r="G710" s="425" t="s">
        <v>1631</v>
      </c>
      <c r="H710" s="449" t="s">
        <v>2314</v>
      </c>
      <c r="I710" s="449" t="s">
        <v>1565</v>
      </c>
      <c r="J710" s="451">
        <v>2.0</v>
      </c>
      <c r="K710" s="449">
        <v>1320000.0</v>
      </c>
      <c r="L710" s="449">
        <v>1292000.0</v>
      </c>
      <c r="M710" s="140" t="s">
        <v>1023</v>
      </c>
      <c r="N710" s="74">
        <f t="shared" si="4"/>
        <v>2584000</v>
      </c>
      <c r="O710" s="60" t="str">
        <f t="shared" si="2"/>
        <v>LUNAS</v>
      </c>
      <c r="P710" s="65" t="str">
        <f>VLOOKUP(I710,DATABASE!C:Q,11,FALSE)</f>
        <v>Tire</v>
      </c>
      <c r="Q710" s="65" t="str">
        <f>VLOOKUP(I710,DATABASE!C:Q,4,FALSE)</f>
        <v>Dunlop</v>
      </c>
      <c r="R710" s="101"/>
      <c r="T710" s="9"/>
      <c r="U710" s="101"/>
    </row>
    <row r="711" ht="22.5" customHeight="1">
      <c r="A711" s="49"/>
      <c r="C711" s="447">
        <v>45978.0</v>
      </c>
      <c r="D711" s="447">
        <v>45978.0</v>
      </c>
      <c r="E711" s="425" t="s">
        <v>123</v>
      </c>
      <c r="F711" s="448">
        <v>1.0</v>
      </c>
      <c r="G711" s="425" t="s">
        <v>2410</v>
      </c>
      <c r="H711" s="449" t="s">
        <v>7</v>
      </c>
      <c r="I711" s="449" t="s">
        <v>286</v>
      </c>
      <c r="J711" s="451">
        <v>20.0</v>
      </c>
      <c r="K711" s="449">
        <v>452970.0</v>
      </c>
      <c r="L711" s="449">
        <v>453000.0</v>
      </c>
      <c r="M711" s="140" t="s">
        <v>755</v>
      </c>
      <c r="N711" s="74">
        <f t="shared" si="4"/>
        <v>9060000</v>
      </c>
      <c r="O711" s="60">
        <f t="shared" si="2"/>
        <v>46008</v>
      </c>
      <c r="P711" s="65" t="str">
        <f>VLOOKUP(I711,DATABASE!C:Q,11,FALSE)</f>
        <v>Tire</v>
      </c>
      <c r="Q711" s="65" t="str">
        <f>VLOOKUP(I711,DATABASE!C:Q,4,FALSE)</f>
        <v>GT</v>
      </c>
      <c r="R711" s="101"/>
      <c r="T711" s="9"/>
      <c r="U711" s="101"/>
    </row>
    <row r="712" ht="22.5" customHeight="1">
      <c r="A712" s="49"/>
      <c r="C712" s="447">
        <v>45978.0</v>
      </c>
      <c r="D712" s="447">
        <v>45978.0</v>
      </c>
      <c r="E712" s="425" t="s">
        <v>123</v>
      </c>
      <c r="F712" s="448">
        <v>1.0</v>
      </c>
      <c r="G712" s="425" t="s">
        <v>2410</v>
      </c>
      <c r="H712" s="449" t="s">
        <v>7</v>
      </c>
      <c r="I712" s="449" t="s">
        <v>839</v>
      </c>
      <c r="J712" s="451">
        <v>5.0</v>
      </c>
      <c r="K712" s="449">
        <v>475700.0</v>
      </c>
      <c r="L712" s="449">
        <v>475700.0</v>
      </c>
      <c r="M712" s="140" t="s">
        <v>755</v>
      </c>
      <c r="N712" s="74">
        <f t="shared" si="4"/>
        <v>2378500</v>
      </c>
      <c r="O712" s="60">
        <f t="shared" si="2"/>
        <v>46008</v>
      </c>
      <c r="P712" s="65" t="str">
        <f>VLOOKUP(I712,DATABASE!C:Q,11,FALSE)</f>
        <v>Tire</v>
      </c>
      <c r="Q712" s="65" t="str">
        <f>VLOOKUP(I712,DATABASE!C:Q,4,FALSE)</f>
        <v>GT</v>
      </c>
      <c r="R712" s="101"/>
      <c r="T712" s="9"/>
      <c r="U712" s="101"/>
    </row>
    <row r="713" ht="22.5" customHeight="1">
      <c r="A713" s="49"/>
      <c r="C713" s="447">
        <v>45978.0</v>
      </c>
      <c r="D713" s="447">
        <v>45978.0</v>
      </c>
      <c r="E713" s="425" t="s">
        <v>123</v>
      </c>
      <c r="F713" s="448">
        <v>1.0</v>
      </c>
      <c r="G713" s="425" t="s">
        <v>2410</v>
      </c>
      <c r="H713" s="449" t="s">
        <v>7</v>
      </c>
      <c r="I713" s="449" t="s">
        <v>288</v>
      </c>
      <c r="J713" s="451">
        <v>5.0</v>
      </c>
      <c r="K713" s="449">
        <v>524800.0</v>
      </c>
      <c r="L713" s="449">
        <v>524800.0</v>
      </c>
      <c r="M713" s="140" t="s">
        <v>755</v>
      </c>
      <c r="N713" s="74">
        <f t="shared" si="4"/>
        <v>2624000</v>
      </c>
      <c r="O713" s="60">
        <f t="shared" si="2"/>
        <v>46008</v>
      </c>
      <c r="P713" s="65" t="str">
        <f>VLOOKUP(I713,DATABASE!C:Q,11,FALSE)</f>
        <v>Tire</v>
      </c>
      <c r="Q713" s="65" t="str">
        <f>VLOOKUP(I713,DATABASE!C:Q,4,FALSE)</f>
        <v>GT</v>
      </c>
      <c r="R713" s="101"/>
      <c r="T713" s="9"/>
      <c r="U713" s="101"/>
    </row>
    <row r="714" ht="22.5" customHeight="1">
      <c r="A714" s="49"/>
      <c r="C714" s="447">
        <v>45978.0</v>
      </c>
      <c r="D714" s="447">
        <v>45978.0</v>
      </c>
      <c r="E714" s="425" t="s">
        <v>123</v>
      </c>
      <c r="F714" s="448">
        <v>1.0</v>
      </c>
      <c r="G714" s="425" t="s">
        <v>2410</v>
      </c>
      <c r="H714" s="449" t="s">
        <v>7</v>
      </c>
      <c r="I714" s="449" t="s">
        <v>1597</v>
      </c>
      <c r="J714" s="451">
        <v>4.0</v>
      </c>
      <c r="K714" s="449">
        <v>544300.0</v>
      </c>
      <c r="L714" s="449">
        <v>544300.0</v>
      </c>
      <c r="M714" s="140" t="s">
        <v>755</v>
      </c>
      <c r="N714" s="74">
        <f t="shared" si="4"/>
        <v>2177200</v>
      </c>
      <c r="O714" s="60">
        <f t="shared" si="2"/>
        <v>46008</v>
      </c>
      <c r="P714" s="65" t="str">
        <f>VLOOKUP(I714,DATABASE!C:Q,11,FALSE)</f>
        <v>Tire</v>
      </c>
      <c r="Q714" s="65" t="str">
        <f>VLOOKUP(I714,DATABASE!C:Q,4,FALSE)</f>
        <v>GT</v>
      </c>
      <c r="R714" s="101"/>
      <c r="T714" s="9"/>
      <c r="U714" s="101"/>
    </row>
    <row r="715" ht="22.5" customHeight="1">
      <c r="A715" s="49"/>
      <c r="C715" s="447">
        <v>45978.0</v>
      </c>
      <c r="D715" s="447">
        <v>45978.0</v>
      </c>
      <c r="E715" s="425" t="s">
        <v>123</v>
      </c>
      <c r="F715" s="448">
        <v>1.0</v>
      </c>
      <c r="G715" s="425" t="s">
        <v>2410</v>
      </c>
      <c r="H715" s="449" t="s">
        <v>7</v>
      </c>
      <c r="I715" s="449" t="s">
        <v>1009</v>
      </c>
      <c r="J715" s="451">
        <v>5.0</v>
      </c>
      <c r="K715" s="449">
        <v>592200.0</v>
      </c>
      <c r="L715" s="449">
        <v>592200.0</v>
      </c>
      <c r="M715" s="140" t="s">
        <v>755</v>
      </c>
      <c r="N715" s="74">
        <f t="shared" si="4"/>
        <v>2961000</v>
      </c>
      <c r="O715" s="60">
        <f t="shared" si="2"/>
        <v>46008</v>
      </c>
      <c r="P715" s="65" t="str">
        <f>VLOOKUP(I715,DATABASE!C:Q,11,FALSE)</f>
        <v>Tire</v>
      </c>
      <c r="Q715" s="65" t="str">
        <f>VLOOKUP(I715,DATABASE!C:Q,4,FALSE)</f>
        <v>GT</v>
      </c>
      <c r="R715" s="101"/>
      <c r="T715" s="9"/>
      <c r="U715" s="101"/>
    </row>
    <row r="716" ht="22.5" customHeight="1">
      <c r="A716" s="49"/>
      <c r="C716" s="447">
        <v>45978.0</v>
      </c>
      <c r="D716" s="447">
        <v>45978.0</v>
      </c>
      <c r="E716" s="425" t="s">
        <v>123</v>
      </c>
      <c r="F716" s="448">
        <v>1.0</v>
      </c>
      <c r="G716" s="425" t="s">
        <v>2410</v>
      </c>
      <c r="H716" s="449" t="s">
        <v>7</v>
      </c>
      <c r="I716" s="449" t="s">
        <v>290</v>
      </c>
      <c r="J716" s="451">
        <v>4.0</v>
      </c>
      <c r="K716" s="449">
        <v>609800.0</v>
      </c>
      <c r="L716" s="449">
        <v>609800.0</v>
      </c>
      <c r="M716" s="140" t="s">
        <v>755</v>
      </c>
      <c r="N716" s="74">
        <f t="shared" si="4"/>
        <v>2439200</v>
      </c>
      <c r="O716" s="60">
        <f t="shared" si="2"/>
        <v>46008</v>
      </c>
      <c r="P716" s="65" t="str">
        <f>VLOOKUP(I716,DATABASE!C:Q,11,FALSE)</f>
        <v>Tire</v>
      </c>
      <c r="Q716" s="65" t="str">
        <f>VLOOKUP(I716,DATABASE!C:Q,4,FALSE)</f>
        <v>GT</v>
      </c>
      <c r="R716" s="101"/>
      <c r="T716" s="9"/>
      <c r="U716" s="101"/>
    </row>
    <row r="717" ht="22.5" customHeight="1">
      <c r="A717" s="49"/>
      <c r="C717" s="447">
        <v>45978.0</v>
      </c>
      <c r="D717" s="447">
        <v>45978.0</v>
      </c>
      <c r="E717" s="425" t="s">
        <v>123</v>
      </c>
      <c r="F717" s="448">
        <v>1.0</v>
      </c>
      <c r="G717" s="425" t="s">
        <v>2410</v>
      </c>
      <c r="H717" s="449" t="s">
        <v>7</v>
      </c>
      <c r="I717" s="449" t="s">
        <v>1076</v>
      </c>
      <c r="J717" s="451">
        <v>5.0</v>
      </c>
      <c r="K717" s="449">
        <v>666540.0</v>
      </c>
      <c r="L717" s="449">
        <v>666500.0</v>
      </c>
      <c r="M717" s="140" t="s">
        <v>755</v>
      </c>
      <c r="N717" s="74">
        <f t="shared" si="4"/>
        <v>3332500</v>
      </c>
      <c r="O717" s="60">
        <f t="shared" si="2"/>
        <v>46008</v>
      </c>
      <c r="P717" s="65" t="str">
        <f>VLOOKUP(I717,DATABASE!C:Q,11,FALSE)</f>
        <v>Tire</v>
      </c>
      <c r="Q717" s="65" t="str">
        <f>VLOOKUP(I717,DATABASE!C:Q,4,FALSE)</f>
        <v>GT</v>
      </c>
      <c r="R717" s="101"/>
      <c r="T717" s="9"/>
      <c r="U717" s="101"/>
    </row>
    <row r="718" ht="22.5" customHeight="1">
      <c r="A718" s="49"/>
      <c r="C718" s="447">
        <v>45978.0</v>
      </c>
      <c r="D718" s="447">
        <v>45978.0</v>
      </c>
      <c r="E718" s="425" t="s">
        <v>123</v>
      </c>
      <c r="F718" s="448">
        <v>1.0</v>
      </c>
      <c r="G718" s="425" t="s">
        <v>2410</v>
      </c>
      <c r="H718" s="449" t="s">
        <v>7</v>
      </c>
      <c r="I718" s="449" t="s">
        <v>1913</v>
      </c>
      <c r="J718" s="451">
        <v>4.0</v>
      </c>
      <c r="K718" s="449">
        <v>570200.0</v>
      </c>
      <c r="L718" s="449">
        <v>570200.0</v>
      </c>
      <c r="M718" s="140" t="s">
        <v>755</v>
      </c>
      <c r="N718" s="74">
        <f t="shared" si="4"/>
        <v>2280800</v>
      </c>
      <c r="O718" s="60">
        <f t="shared" si="2"/>
        <v>46008</v>
      </c>
      <c r="P718" s="65" t="str">
        <f>VLOOKUP(I718,DATABASE!C:Q,11,FALSE)</f>
        <v>Tire</v>
      </c>
      <c r="Q718" s="65" t="str">
        <f>VLOOKUP(I718,DATABASE!C:Q,4,FALSE)</f>
        <v>GT</v>
      </c>
      <c r="R718" s="101"/>
      <c r="T718" s="9"/>
      <c r="U718" s="101"/>
    </row>
    <row r="719" ht="22.5" customHeight="1">
      <c r="A719" s="49"/>
      <c r="C719" s="447">
        <v>45978.0</v>
      </c>
      <c r="D719" s="447">
        <v>45978.0</v>
      </c>
      <c r="E719" s="425" t="s">
        <v>123</v>
      </c>
      <c r="F719" s="448">
        <v>1.0</v>
      </c>
      <c r="G719" s="425" t="s">
        <v>2410</v>
      </c>
      <c r="H719" s="449" t="s">
        <v>7</v>
      </c>
      <c r="I719" s="449" t="s">
        <v>868</v>
      </c>
      <c r="J719" s="451">
        <v>2.0</v>
      </c>
      <c r="K719" s="449">
        <v>836000.0</v>
      </c>
      <c r="L719" s="449">
        <v>836000.0</v>
      </c>
      <c r="M719" s="140" t="s">
        <v>755</v>
      </c>
      <c r="N719" s="74">
        <f t="shared" si="4"/>
        <v>1672000</v>
      </c>
      <c r="O719" s="60">
        <f t="shared" si="2"/>
        <v>46008</v>
      </c>
      <c r="P719" s="65" t="str">
        <f>VLOOKUP(I719,DATABASE!C:Q,11,FALSE)</f>
        <v>Tire</v>
      </c>
      <c r="Q719" s="65" t="str">
        <f>VLOOKUP(I719,DATABASE!C:Q,4,FALSE)</f>
        <v>GT</v>
      </c>
      <c r="R719" s="101"/>
      <c r="T719" s="9"/>
      <c r="U719" s="101"/>
    </row>
    <row r="720" ht="22.5" customHeight="1">
      <c r="A720" s="49"/>
      <c r="C720" s="447">
        <v>45978.0</v>
      </c>
      <c r="D720" s="447">
        <v>45978.0</v>
      </c>
      <c r="E720" s="425" t="s">
        <v>123</v>
      </c>
      <c r="F720" s="448">
        <v>1.0</v>
      </c>
      <c r="G720" s="425" t="s">
        <v>2410</v>
      </c>
      <c r="H720" s="449" t="s">
        <v>7</v>
      </c>
      <c r="I720" s="449" t="s">
        <v>1617</v>
      </c>
      <c r="J720" s="451">
        <v>4.0</v>
      </c>
      <c r="K720" s="449">
        <v>739000.0</v>
      </c>
      <c r="L720" s="449">
        <v>739000.0</v>
      </c>
      <c r="M720" s="140" t="s">
        <v>755</v>
      </c>
      <c r="N720" s="74">
        <f t="shared" si="4"/>
        <v>2956000</v>
      </c>
      <c r="O720" s="60">
        <f t="shared" si="2"/>
        <v>46008</v>
      </c>
      <c r="P720" s="65" t="str">
        <f>VLOOKUP(I720,DATABASE!C:Q,11,FALSE)</f>
        <v>Tire</v>
      </c>
      <c r="Q720" s="65" t="str">
        <f>VLOOKUP(I720,DATABASE!C:Q,4,FALSE)</f>
        <v>GT</v>
      </c>
      <c r="R720" s="101"/>
      <c r="T720" s="9"/>
      <c r="U720" s="101"/>
    </row>
    <row r="721" ht="22.5" customHeight="1">
      <c r="A721" s="49"/>
      <c r="C721" s="447">
        <v>45978.0</v>
      </c>
      <c r="D721" s="447">
        <v>45978.0</v>
      </c>
      <c r="E721" s="425" t="s">
        <v>123</v>
      </c>
      <c r="F721" s="448">
        <v>1.0</v>
      </c>
      <c r="G721" s="425" t="s">
        <v>2410</v>
      </c>
      <c r="H721" s="449" t="s">
        <v>7</v>
      </c>
      <c r="I721" s="449" t="s">
        <v>1439</v>
      </c>
      <c r="J721" s="451">
        <v>7.0</v>
      </c>
      <c r="K721" s="449">
        <v>540800.0</v>
      </c>
      <c r="L721" s="449">
        <v>540800.0</v>
      </c>
      <c r="M721" s="140" t="s">
        <v>755</v>
      </c>
      <c r="N721" s="74">
        <f t="shared" si="4"/>
        <v>3785600</v>
      </c>
      <c r="O721" s="60">
        <f t="shared" si="2"/>
        <v>46008</v>
      </c>
      <c r="P721" s="65" t="str">
        <f>VLOOKUP(I721,DATABASE!C:Q,11,FALSE)</f>
        <v>Tire</v>
      </c>
      <c r="Q721" s="65" t="str">
        <f>VLOOKUP(I721,DATABASE!C:Q,4,FALSE)</f>
        <v>GT</v>
      </c>
      <c r="R721" s="101"/>
      <c r="T721" s="9"/>
      <c r="U721" s="101"/>
    </row>
    <row r="722" ht="22.5" customHeight="1">
      <c r="A722" s="49"/>
      <c r="C722" s="447">
        <v>45978.0</v>
      </c>
      <c r="D722" s="447">
        <v>45978.0</v>
      </c>
      <c r="E722" s="425" t="s">
        <v>123</v>
      </c>
      <c r="F722" s="448">
        <v>1.0</v>
      </c>
      <c r="G722" s="425" t="s">
        <v>2410</v>
      </c>
      <c r="H722" s="449" t="s">
        <v>7</v>
      </c>
      <c r="I722" s="449" t="s">
        <v>856</v>
      </c>
      <c r="J722" s="451">
        <v>4.0</v>
      </c>
      <c r="K722" s="449">
        <v>581100.0</v>
      </c>
      <c r="L722" s="449">
        <v>581100.0</v>
      </c>
      <c r="M722" s="140" t="s">
        <v>755</v>
      </c>
      <c r="N722" s="74">
        <f t="shared" si="4"/>
        <v>2324400</v>
      </c>
      <c r="O722" s="60">
        <f t="shared" si="2"/>
        <v>46008</v>
      </c>
      <c r="P722" s="65" t="str">
        <f>VLOOKUP(I722,DATABASE!C:Q,11,FALSE)</f>
        <v>Tire</v>
      </c>
      <c r="Q722" s="65" t="str">
        <f>VLOOKUP(I722,DATABASE!C:Q,4,FALSE)</f>
        <v>GT</v>
      </c>
      <c r="R722" s="101"/>
      <c r="T722" s="9"/>
      <c r="U722" s="101"/>
    </row>
    <row r="723" ht="22.5" customHeight="1">
      <c r="A723" s="49"/>
      <c r="C723" s="447">
        <v>45978.0</v>
      </c>
      <c r="D723" s="447">
        <v>45978.0</v>
      </c>
      <c r="E723" s="425" t="s">
        <v>123</v>
      </c>
      <c r="F723" s="448">
        <v>1.0</v>
      </c>
      <c r="G723" s="425" t="s">
        <v>2410</v>
      </c>
      <c r="H723" s="449" t="s">
        <v>7</v>
      </c>
      <c r="I723" s="504" t="s">
        <v>287</v>
      </c>
      <c r="J723" s="451">
        <v>5.0</v>
      </c>
      <c r="K723" s="449">
        <v>690600.0</v>
      </c>
      <c r="L723" s="449">
        <v>690600.0</v>
      </c>
      <c r="M723" s="140" t="s">
        <v>2190</v>
      </c>
      <c r="N723" s="74">
        <f t="shared" si="4"/>
        <v>3453000</v>
      </c>
      <c r="O723" s="60">
        <f t="shared" si="2"/>
        <v>45992</v>
      </c>
      <c r="P723" s="65" t="str">
        <f>VLOOKUP(I723,DATABASE!C:Q,11,FALSE)</f>
        <v>Tire</v>
      </c>
      <c r="Q723" s="65" t="str">
        <f>VLOOKUP(I723,DATABASE!C:Q,4,FALSE)</f>
        <v>GT</v>
      </c>
      <c r="R723" s="101"/>
      <c r="T723" s="9"/>
      <c r="U723" s="101"/>
    </row>
    <row r="724" ht="22.5" customHeight="1">
      <c r="A724" s="49"/>
      <c r="C724" s="447">
        <v>45978.0</v>
      </c>
      <c r="D724" s="447">
        <v>45978.0</v>
      </c>
      <c r="E724" s="425" t="s">
        <v>123</v>
      </c>
      <c r="F724" s="448">
        <v>1.0</v>
      </c>
      <c r="G724" s="425" t="s">
        <v>2412</v>
      </c>
      <c r="H724" s="449" t="s">
        <v>7</v>
      </c>
      <c r="I724" s="449" t="s">
        <v>791</v>
      </c>
      <c r="J724" s="451">
        <v>6.0</v>
      </c>
      <c r="K724" s="449">
        <v>1180000.0</v>
      </c>
      <c r="L724" s="449">
        <v>1160000.0</v>
      </c>
      <c r="M724" s="140" t="s">
        <v>2190</v>
      </c>
      <c r="N724" s="74">
        <f t="shared" si="4"/>
        <v>6960000</v>
      </c>
      <c r="O724" s="60">
        <f t="shared" si="2"/>
        <v>45992</v>
      </c>
      <c r="P724" s="65" t="str">
        <f>VLOOKUP(I724,DATABASE!C:Q,11,FALSE)</f>
        <v>Tire</v>
      </c>
      <c r="Q724" s="65" t="str">
        <f>VLOOKUP(I724,DATABASE!C:Q,4,FALSE)</f>
        <v>GT</v>
      </c>
      <c r="R724" s="101"/>
      <c r="T724" s="9"/>
      <c r="U724" s="101"/>
    </row>
    <row r="725" ht="22.5" customHeight="1">
      <c r="A725" s="49"/>
      <c r="C725" s="447">
        <v>45978.0</v>
      </c>
      <c r="D725" s="447">
        <v>45978.0</v>
      </c>
      <c r="E725" s="425" t="s">
        <v>123</v>
      </c>
      <c r="F725" s="448">
        <v>1.0</v>
      </c>
      <c r="G725" s="425" t="s">
        <v>2412</v>
      </c>
      <c r="H725" s="449" t="s">
        <v>7</v>
      </c>
      <c r="I725" s="449" t="s">
        <v>781</v>
      </c>
      <c r="J725" s="451">
        <v>10.0</v>
      </c>
      <c r="K725" s="449">
        <v>442500.0</v>
      </c>
      <c r="L725" s="449">
        <v>440000.0</v>
      </c>
      <c r="M725" s="140" t="s">
        <v>2190</v>
      </c>
      <c r="N725" s="74">
        <f t="shared" si="4"/>
        <v>4400000</v>
      </c>
      <c r="O725" s="60">
        <f t="shared" si="2"/>
        <v>45992</v>
      </c>
      <c r="P725" s="65" t="str">
        <f>VLOOKUP(I725,DATABASE!C:Q,11,FALSE)</f>
        <v>Tire</v>
      </c>
      <c r="Q725" s="65" t="str">
        <f>VLOOKUP(I725,DATABASE!C:Q,4,FALSE)</f>
        <v>GT</v>
      </c>
      <c r="R725" s="101"/>
      <c r="T725" s="9"/>
      <c r="U725" s="101"/>
    </row>
    <row r="726" ht="22.5" customHeight="1">
      <c r="A726" s="49"/>
      <c r="C726" s="447">
        <v>45978.0</v>
      </c>
      <c r="D726" s="447">
        <v>45978.0</v>
      </c>
      <c r="E726" s="425" t="s">
        <v>123</v>
      </c>
      <c r="F726" s="448">
        <v>1.0</v>
      </c>
      <c r="G726" s="425" t="s">
        <v>2412</v>
      </c>
      <c r="H726" s="449" t="s">
        <v>7</v>
      </c>
      <c r="I726" s="449" t="s">
        <v>294</v>
      </c>
      <c r="J726" s="451">
        <v>7.0</v>
      </c>
      <c r="K726" s="449">
        <v>490000.0</v>
      </c>
      <c r="L726" s="449">
        <v>490000.0</v>
      </c>
      <c r="M726" s="140" t="s">
        <v>2190</v>
      </c>
      <c r="N726" s="74">
        <f t="shared" si="4"/>
        <v>3430000</v>
      </c>
      <c r="O726" s="60">
        <f t="shared" si="2"/>
        <v>45992</v>
      </c>
      <c r="P726" s="65" t="str">
        <f>VLOOKUP(I726,DATABASE!C:Q,11,FALSE)</f>
        <v>Tire</v>
      </c>
      <c r="Q726" s="65" t="str">
        <f>VLOOKUP(I726,DATABASE!C:Q,4,FALSE)</f>
        <v>GT</v>
      </c>
      <c r="R726" s="101"/>
      <c r="T726" s="9"/>
      <c r="U726" s="101"/>
    </row>
    <row r="727" ht="22.5" customHeight="1">
      <c r="A727" s="49"/>
      <c r="C727" s="447">
        <v>45980.0</v>
      </c>
      <c r="D727" s="447">
        <v>45979.0</v>
      </c>
      <c r="E727" s="425" t="s">
        <v>97</v>
      </c>
      <c r="F727" s="448">
        <v>1.0</v>
      </c>
      <c r="G727" s="425" t="s">
        <v>2464</v>
      </c>
      <c r="H727" s="449" t="s">
        <v>87</v>
      </c>
      <c r="I727" s="449" t="s">
        <v>566</v>
      </c>
      <c r="J727" s="451">
        <v>10.0</v>
      </c>
      <c r="K727" s="449">
        <v>1545000.0</v>
      </c>
      <c r="L727" s="449">
        <v>1545000.0</v>
      </c>
      <c r="M727" s="140" t="s">
        <v>755</v>
      </c>
      <c r="N727" s="74">
        <f t="shared" si="4"/>
        <v>15450000</v>
      </c>
      <c r="O727" s="60">
        <f t="shared" si="2"/>
        <v>46009</v>
      </c>
      <c r="P727" s="65" t="str">
        <f>VLOOKUP(I727,DATABASE!C:Q,11,FALSE)</f>
        <v>Tire</v>
      </c>
      <c r="Q727" s="65" t="str">
        <f>VLOOKUP(I727,DATABASE!C:Q,4,FALSE)</f>
        <v>Bridgestone</v>
      </c>
      <c r="R727" s="101"/>
      <c r="T727" s="9"/>
      <c r="U727" s="101"/>
    </row>
    <row r="728" ht="22.5" customHeight="1">
      <c r="A728" s="49"/>
      <c r="C728" s="447">
        <v>45980.0</v>
      </c>
      <c r="D728" s="447">
        <v>45979.0</v>
      </c>
      <c r="E728" s="425" t="s">
        <v>97</v>
      </c>
      <c r="F728" s="448">
        <v>1.0</v>
      </c>
      <c r="G728" s="425" t="s">
        <v>2464</v>
      </c>
      <c r="H728" s="449" t="s">
        <v>87</v>
      </c>
      <c r="I728" s="449" t="s">
        <v>572</v>
      </c>
      <c r="J728" s="468">
        <v>5.0</v>
      </c>
      <c r="K728" s="449">
        <v>1245000.0</v>
      </c>
      <c r="L728" s="449">
        <v>1245000.0</v>
      </c>
      <c r="M728" s="140" t="s">
        <v>755</v>
      </c>
      <c r="N728" s="74">
        <f t="shared" si="4"/>
        <v>6225000</v>
      </c>
      <c r="O728" s="60">
        <f t="shared" si="2"/>
        <v>46009</v>
      </c>
      <c r="P728" s="65" t="str">
        <f>VLOOKUP(I728,DATABASE!C:Q,11,FALSE)</f>
        <v>Tire</v>
      </c>
      <c r="Q728" s="65" t="str">
        <f>VLOOKUP(I728,DATABASE!C:Q,4,FALSE)</f>
        <v>Bridgestone</v>
      </c>
      <c r="R728" s="101"/>
      <c r="T728" s="9"/>
      <c r="U728" s="101"/>
    </row>
    <row r="729" ht="22.5" customHeight="1">
      <c r="A729" s="49"/>
      <c r="C729" s="447">
        <v>45980.0</v>
      </c>
      <c r="D729" s="447">
        <v>45979.0</v>
      </c>
      <c r="E729" s="425" t="s">
        <v>97</v>
      </c>
      <c r="F729" s="448">
        <v>1.0</v>
      </c>
      <c r="G729" s="425" t="s">
        <v>2465</v>
      </c>
      <c r="H729" s="449" t="s">
        <v>87</v>
      </c>
      <c r="I729" s="505" t="s">
        <v>591</v>
      </c>
      <c r="J729" s="451">
        <v>5.0</v>
      </c>
      <c r="K729" s="449">
        <v>593500.0</v>
      </c>
      <c r="L729" s="449">
        <v>593500.0</v>
      </c>
      <c r="M729" s="74" t="s">
        <v>521</v>
      </c>
      <c r="N729" s="74">
        <f t="shared" si="4"/>
        <v>2967500</v>
      </c>
      <c r="O729" s="60">
        <f t="shared" si="2"/>
        <v>46039</v>
      </c>
      <c r="P729" s="65" t="str">
        <f>VLOOKUP(I729,DATABASE!C:Q,11,FALSE)</f>
        <v>Tire</v>
      </c>
      <c r="Q729" s="65" t="str">
        <f>VLOOKUP(I729,DATABASE!C:Q,4,FALSE)</f>
        <v>Bridgestone</v>
      </c>
      <c r="R729" s="101"/>
      <c r="T729" s="9"/>
      <c r="U729" s="101"/>
    </row>
    <row r="730" ht="22.5" customHeight="1">
      <c r="A730" s="49"/>
      <c r="C730" s="447">
        <v>45980.0</v>
      </c>
      <c r="D730" s="447">
        <v>45979.0</v>
      </c>
      <c r="E730" s="425" t="s">
        <v>97</v>
      </c>
      <c r="F730" s="448">
        <v>1.0</v>
      </c>
      <c r="G730" s="425" t="s">
        <v>2465</v>
      </c>
      <c r="H730" s="449" t="s">
        <v>87</v>
      </c>
      <c r="I730" s="449" t="s">
        <v>600</v>
      </c>
      <c r="J730" s="451">
        <v>5.0</v>
      </c>
      <c r="K730" s="449">
        <v>572762.4</v>
      </c>
      <c r="L730" s="449">
        <v>572762.4</v>
      </c>
      <c r="M730" s="74" t="s">
        <v>521</v>
      </c>
      <c r="N730" s="74">
        <f t="shared" si="4"/>
        <v>2863812</v>
      </c>
      <c r="O730" s="60">
        <f t="shared" si="2"/>
        <v>46039</v>
      </c>
      <c r="P730" s="65" t="str">
        <f>VLOOKUP(I730,DATABASE!C:Q,11,FALSE)</f>
        <v>Tire</v>
      </c>
      <c r="Q730" s="65" t="str">
        <f>VLOOKUP(I730,DATABASE!C:Q,4,FALSE)</f>
        <v>Bridgestone</v>
      </c>
      <c r="R730" s="101"/>
      <c r="T730" s="9"/>
      <c r="U730" s="101"/>
    </row>
    <row r="731" ht="22.5" customHeight="1">
      <c r="A731" s="49"/>
      <c r="C731" s="447">
        <v>45980.0</v>
      </c>
      <c r="D731" s="447">
        <v>45979.0</v>
      </c>
      <c r="E731" s="425" t="s">
        <v>97</v>
      </c>
      <c r="F731" s="448">
        <v>1.0</v>
      </c>
      <c r="G731" s="425" t="s">
        <v>2465</v>
      </c>
      <c r="H731" s="449" t="s">
        <v>87</v>
      </c>
      <c r="I731" s="449" t="s">
        <v>554</v>
      </c>
      <c r="J731" s="451">
        <v>10.0</v>
      </c>
      <c r="K731" s="449">
        <v>670000.0</v>
      </c>
      <c r="L731" s="449">
        <v>680000.0</v>
      </c>
      <c r="M731" s="74" t="s">
        <v>521</v>
      </c>
      <c r="N731" s="74">
        <f t="shared" si="4"/>
        <v>6800000</v>
      </c>
      <c r="O731" s="60">
        <f t="shared" si="2"/>
        <v>46039</v>
      </c>
      <c r="P731" s="65" t="str">
        <f>VLOOKUP(I731,DATABASE!C:Q,11,FALSE)</f>
        <v>Tire</v>
      </c>
      <c r="Q731" s="65" t="str">
        <f>VLOOKUP(I731,DATABASE!C:Q,4,FALSE)</f>
        <v>Bridgestone</v>
      </c>
      <c r="R731" s="101"/>
      <c r="T731" s="9"/>
      <c r="U731" s="101"/>
    </row>
    <row r="732" ht="22.5" customHeight="1">
      <c r="A732" s="49"/>
      <c r="C732" s="447">
        <v>45980.0</v>
      </c>
      <c r="D732" s="447">
        <v>45979.0</v>
      </c>
      <c r="E732" s="425" t="s">
        <v>97</v>
      </c>
      <c r="F732" s="448">
        <v>1.0</v>
      </c>
      <c r="G732" s="425" t="s">
        <v>2465</v>
      </c>
      <c r="H732" s="449" t="s">
        <v>87</v>
      </c>
      <c r="I732" s="449" t="s">
        <v>937</v>
      </c>
      <c r="J732" s="451">
        <v>10.0</v>
      </c>
      <c r="K732" s="449">
        <v>790000.0</v>
      </c>
      <c r="L732" s="449">
        <v>790000.0</v>
      </c>
      <c r="M732" s="74" t="s">
        <v>521</v>
      </c>
      <c r="N732" s="74">
        <f t="shared" si="4"/>
        <v>7900000</v>
      </c>
      <c r="O732" s="60">
        <f t="shared" si="2"/>
        <v>46039</v>
      </c>
      <c r="P732" s="65" t="str">
        <f>VLOOKUP(I732,DATABASE!C:Q,11,FALSE)</f>
        <v>Tire</v>
      </c>
      <c r="Q732" s="65" t="str">
        <f>VLOOKUP(I732,DATABASE!C:Q,4,FALSE)</f>
        <v>Bridgestone</v>
      </c>
      <c r="R732" s="101"/>
      <c r="T732" s="9"/>
      <c r="U732" s="101"/>
    </row>
    <row r="733" ht="22.5" customHeight="1">
      <c r="A733" s="49"/>
      <c r="C733" s="447">
        <v>45981.0</v>
      </c>
      <c r="D733" s="447">
        <v>45980.0</v>
      </c>
      <c r="E733" s="425" t="s">
        <v>361</v>
      </c>
      <c r="F733" s="448">
        <v>1.0</v>
      </c>
      <c r="G733" s="425" t="s">
        <v>2312</v>
      </c>
      <c r="H733" s="449" t="s">
        <v>7</v>
      </c>
      <c r="I733" s="508" t="s">
        <v>2345</v>
      </c>
      <c r="J733" s="468">
        <v>12.0</v>
      </c>
      <c r="K733" s="449">
        <v>650000.0</v>
      </c>
      <c r="L733" s="449">
        <v>650000.0</v>
      </c>
      <c r="M733" s="74" t="s">
        <v>521</v>
      </c>
      <c r="N733" s="74">
        <f t="shared" si="4"/>
        <v>7800000</v>
      </c>
      <c r="O733" s="60">
        <f t="shared" si="2"/>
        <v>46040</v>
      </c>
      <c r="P733" s="65" t="str">
        <f>VLOOKUP(I733,DATABASE!C:Q,11,FALSE)</f>
        <v>Tire</v>
      </c>
      <c r="Q733" s="65" t="str">
        <f>VLOOKUP(I733,DATABASE!C:Q,4,FALSE)</f>
        <v>Velg</v>
      </c>
      <c r="R733" s="101"/>
      <c r="T733" s="9"/>
      <c r="U733" s="101"/>
    </row>
    <row r="734" ht="22.5" customHeight="1">
      <c r="A734" s="49"/>
      <c r="C734" s="447">
        <v>45981.0</v>
      </c>
      <c r="D734" s="447">
        <v>45980.0</v>
      </c>
      <c r="E734" s="425" t="s">
        <v>361</v>
      </c>
      <c r="F734" s="448">
        <v>1.0</v>
      </c>
      <c r="G734" s="425" t="s">
        <v>2312</v>
      </c>
      <c r="H734" s="449" t="s">
        <v>7</v>
      </c>
      <c r="I734" s="512" t="s">
        <v>2605</v>
      </c>
      <c r="J734" s="451">
        <v>4.0</v>
      </c>
      <c r="K734" s="449">
        <v>620000.0</v>
      </c>
      <c r="L734" s="449">
        <v>465000.0</v>
      </c>
      <c r="M734" s="74" t="s">
        <v>521</v>
      </c>
      <c r="N734" s="74">
        <f t="shared" si="4"/>
        <v>1860000</v>
      </c>
      <c r="O734" s="60">
        <f t="shared" si="2"/>
        <v>46040</v>
      </c>
      <c r="P734" s="65" t="str">
        <f>VLOOKUP(I734,DATABASE!C:Q,11,FALSE)</f>
        <v>Tire</v>
      </c>
      <c r="Q734" s="65" t="str">
        <f>VLOOKUP(I734,DATABASE!C:Q,4,FALSE)</f>
        <v>Velg</v>
      </c>
      <c r="R734" s="101"/>
      <c r="T734" s="9"/>
      <c r="U734" s="101"/>
    </row>
    <row r="735" ht="22.5" customHeight="1">
      <c r="A735" s="49"/>
      <c r="C735" s="447">
        <v>45982.0</v>
      </c>
      <c r="D735" s="447">
        <v>45980.0</v>
      </c>
      <c r="E735" s="425" t="s">
        <v>110</v>
      </c>
      <c r="F735" s="448">
        <v>1.0</v>
      </c>
      <c r="G735" s="514">
        <v>2.5015498E7</v>
      </c>
      <c r="H735" s="449" t="s">
        <v>7</v>
      </c>
      <c r="I735" s="449" t="s">
        <v>2022</v>
      </c>
      <c r="J735" s="451">
        <v>2.0</v>
      </c>
      <c r="K735" s="449">
        <v>1175000.0</v>
      </c>
      <c r="L735" s="449">
        <v>1160000.0</v>
      </c>
      <c r="M735" s="140" t="s">
        <v>1023</v>
      </c>
      <c r="N735" s="74">
        <f t="shared" si="4"/>
        <v>2320000</v>
      </c>
      <c r="O735" s="60" t="str">
        <f t="shared" si="2"/>
        <v>LUNAS</v>
      </c>
      <c r="P735" s="65" t="str">
        <f>VLOOKUP(I735,DATABASE!C:Q,11,FALSE)</f>
        <v>Tire</v>
      </c>
      <c r="Q735" s="65" t="str">
        <f>VLOOKUP(I735,DATABASE!C:Q,4,FALSE)</f>
        <v>GT</v>
      </c>
      <c r="R735" s="101"/>
      <c r="T735" s="9"/>
      <c r="U735" s="101"/>
    </row>
    <row r="736" ht="22.5" customHeight="1">
      <c r="A736" s="49"/>
      <c r="C736" s="447">
        <v>45986.0</v>
      </c>
      <c r="D736" s="447">
        <v>45986.0</v>
      </c>
      <c r="E736" s="425" t="s">
        <v>335</v>
      </c>
      <c r="F736" s="448">
        <v>1.0</v>
      </c>
      <c r="G736" s="425" t="s">
        <v>2272</v>
      </c>
      <c r="H736" s="449" t="s">
        <v>7</v>
      </c>
      <c r="I736" s="449" t="s">
        <v>391</v>
      </c>
      <c r="J736" s="451">
        <v>1.0</v>
      </c>
      <c r="K736" s="449">
        <v>1840000.0</v>
      </c>
      <c r="L736" s="449">
        <v>1840000.0</v>
      </c>
      <c r="M736" s="74" t="s">
        <v>521</v>
      </c>
      <c r="N736" s="74">
        <f t="shared" si="4"/>
        <v>1840000</v>
      </c>
      <c r="O736" s="60">
        <f t="shared" si="2"/>
        <v>46046</v>
      </c>
      <c r="P736" s="65" t="str">
        <f>VLOOKUP(I736,DATABASE!C:Q,11,FALSE)</f>
        <v>Tire</v>
      </c>
      <c r="Q736" s="65" t="str">
        <f>VLOOKUP(I736,DATABASE!C:Q,4,FALSE)</f>
        <v>Advance</v>
      </c>
      <c r="R736" s="101"/>
      <c r="T736" s="9"/>
      <c r="U736" s="101"/>
    </row>
    <row r="737" ht="22.5" customHeight="1">
      <c r="A737" s="49"/>
      <c r="C737" s="447">
        <v>45986.0</v>
      </c>
      <c r="D737" s="447">
        <v>45986.0</v>
      </c>
      <c r="E737" s="425" t="s">
        <v>335</v>
      </c>
      <c r="F737" s="448">
        <v>1.0</v>
      </c>
      <c r="G737" s="425" t="s">
        <v>2272</v>
      </c>
      <c r="H737" s="452" t="s">
        <v>7</v>
      </c>
      <c r="I737" s="452" t="s">
        <v>374</v>
      </c>
      <c r="J737" s="451">
        <v>2.0</v>
      </c>
      <c r="K737" s="449">
        <v>1850000.0</v>
      </c>
      <c r="L737" s="449">
        <v>1820000.0</v>
      </c>
      <c r="M737" s="74" t="s">
        <v>521</v>
      </c>
      <c r="N737" s="74">
        <f t="shared" si="4"/>
        <v>3640000</v>
      </c>
      <c r="O737" s="60">
        <f t="shared" si="2"/>
        <v>46046</v>
      </c>
      <c r="P737" s="65" t="str">
        <f>VLOOKUP(I737,DATABASE!C:Q,11,FALSE)</f>
        <v>Tire</v>
      </c>
      <c r="Q737" s="65" t="str">
        <f>VLOOKUP(I737,DATABASE!C:Q,4,FALSE)</f>
        <v>Advance</v>
      </c>
      <c r="R737" s="101"/>
      <c r="T737" s="9"/>
      <c r="U737" s="101"/>
    </row>
    <row r="738" ht="22.5" customHeight="1">
      <c r="A738" s="49"/>
      <c r="C738" s="447">
        <v>45986.0</v>
      </c>
      <c r="D738" s="447">
        <v>45986.0</v>
      </c>
      <c r="E738" s="425" t="s">
        <v>335</v>
      </c>
      <c r="F738" s="448">
        <v>1.0</v>
      </c>
      <c r="G738" s="425" t="s">
        <v>2272</v>
      </c>
      <c r="H738" s="449" t="s">
        <v>7</v>
      </c>
      <c r="I738" s="520" t="s">
        <v>924</v>
      </c>
      <c r="J738" s="451">
        <v>10.0</v>
      </c>
      <c r="K738" s="449">
        <v>1545000.0</v>
      </c>
      <c r="L738" s="449">
        <v>1545000.0</v>
      </c>
      <c r="M738" s="74" t="s">
        <v>521</v>
      </c>
      <c r="N738" s="74">
        <f t="shared" si="4"/>
        <v>15450000</v>
      </c>
      <c r="O738" s="60">
        <f t="shared" si="2"/>
        <v>46046</v>
      </c>
      <c r="P738" s="65" t="str">
        <f>VLOOKUP(I738,DATABASE!C:Q,11,FALSE)</f>
        <v>Tire</v>
      </c>
      <c r="Q738" s="65" t="str">
        <f>VLOOKUP(I738,DATABASE!C:Q,4,FALSE)</f>
        <v>TIRON</v>
      </c>
      <c r="R738" s="101"/>
      <c r="T738" s="9"/>
      <c r="U738" s="101"/>
    </row>
    <row r="739" ht="22.5" customHeight="1">
      <c r="A739" s="49"/>
      <c r="C739" s="447">
        <v>45987.0</v>
      </c>
      <c r="D739" s="447">
        <v>45986.0</v>
      </c>
      <c r="E739" s="425" t="s">
        <v>81</v>
      </c>
      <c r="F739" s="448">
        <v>1.0</v>
      </c>
      <c r="G739" s="425" t="s">
        <v>1638</v>
      </c>
      <c r="H739" s="449" t="s">
        <v>87</v>
      </c>
      <c r="I739" s="449" t="s">
        <v>265</v>
      </c>
      <c r="J739" s="451">
        <v>20.0</v>
      </c>
      <c r="K739" s="449">
        <v>600000.0</v>
      </c>
      <c r="L739" s="449">
        <v>600000.0</v>
      </c>
      <c r="M739" s="74" t="s">
        <v>657</v>
      </c>
      <c r="N739" s="74">
        <f t="shared" si="4"/>
        <v>12000000</v>
      </c>
      <c r="O739" s="60">
        <f t="shared" si="2"/>
        <v>46061</v>
      </c>
      <c r="P739" s="65" t="str">
        <f>VLOOKUP(I739,DATABASE!C:Q,11,FALSE)</f>
        <v>Tire</v>
      </c>
      <c r="Q739" s="65" t="str">
        <f>VLOOKUP(I739,DATABASE!C:Q,4,FALSE)</f>
        <v>Dunlop</v>
      </c>
      <c r="R739" s="101"/>
      <c r="T739" s="9"/>
      <c r="U739" s="101"/>
    </row>
    <row r="740" ht="22.5" customHeight="1">
      <c r="A740" s="49"/>
      <c r="C740" s="447">
        <v>45987.0</v>
      </c>
      <c r="D740" s="447">
        <v>45986.0</v>
      </c>
      <c r="E740" s="425" t="s">
        <v>81</v>
      </c>
      <c r="F740" s="448">
        <v>1.0</v>
      </c>
      <c r="G740" s="425" t="s">
        <v>1638</v>
      </c>
      <c r="H740" s="449" t="s">
        <v>87</v>
      </c>
      <c r="I740" s="449" t="s">
        <v>268</v>
      </c>
      <c r="J740" s="451">
        <v>30.0</v>
      </c>
      <c r="K740" s="449">
        <v>622000.0</v>
      </c>
      <c r="L740" s="449">
        <v>622000.0</v>
      </c>
      <c r="M740" s="74" t="s">
        <v>657</v>
      </c>
      <c r="N740" s="74">
        <f t="shared" si="4"/>
        <v>18660000</v>
      </c>
      <c r="O740" s="60">
        <f t="shared" si="2"/>
        <v>46061</v>
      </c>
      <c r="P740" s="65" t="str">
        <f>VLOOKUP(I740,DATABASE!C:Q,11,FALSE)</f>
        <v>Tire</v>
      </c>
      <c r="Q740" s="65" t="str">
        <f>VLOOKUP(I740,DATABASE!C:Q,4,FALSE)</f>
        <v>Dunlop</v>
      </c>
      <c r="R740" s="101"/>
      <c r="T740" s="9"/>
      <c r="U740" s="101"/>
    </row>
    <row r="741" ht="22.5" customHeight="1">
      <c r="A741" s="49"/>
      <c r="C741" s="447">
        <v>45987.0</v>
      </c>
      <c r="D741" s="447">
        <v>45986.0</v>
      </c>
      <c r="E741" s="425" t="s">
        <v>81</v>
      </c>
      <c r="F741" s="448">
        <v>1.0</v>
      </c>
      <c r="G741" s="425" t="s">
        <v>1638</v>
      </c>
      <c r="H741" s="449" t="s">
        <v>87</v>
      </c>
      <c r="I741" s="449" t="s">
        <v>275</v>
      </c>
      <c r="J741" s="451">
        <v>20.0</v>
      </c>
      <c r="K741" s="449">
        <v>745000.0</v>
      </c>
      <c r="L741" s="449">
        <v>745000.0</v>
      </c>
      <c r="M741" s="74" t="s">
        <v>657</v>
      </c>
      <c r="N741" s="74">
        <f t="shared" si="4"/>
        <v>14900000</v>
      </c>
      <c r="O741" s="60">
        <f t="shared" si="2"/>
        <v>46061</v>
      </c>
      <c r="P741" s="65" t="str">
        <f>VLOOKUP(I741,DATABASE!C:Q,11,FALSE)</f>
        <v>Tire</v>
      </c>
      <c r="Q741" s="65" t="str">
        <f>VLOOKUP(I741,DATABASE!C:Q,4,FALSE)</f>
        <v>Dunlop</v>
      </c>
      <c r="R741" s="101"/>
      <c r="U741" s="101"/>
    </row>
    <row r="742" ht="22.5" customHeight="1">
      <c r="A742" s="49"/>
      <c r="C742" s="447">
        <v>45987.0</v>
      </c>
      <c r="D742" s="447">
        <v>45986.0</v>
      </c>
      <c r="E742" s="425" t="s">
        <v>81</v>
      </c>
      <c r="F742" s="448">
        <v>1.0</v>
      </c>
      <c r="G742" s="425" t="s">
        <v>1638</v>
      </c>
      <c r="H742" s="449" t="s">
        <v>87</v>
      </c>
      <c r="I742" s="449" t="s">
        <v>271</v>
      </c>
      <c r="J742" s="451">
        <v>8.0</v>
      </c>
      <c r="K742" s="449">
        <v>539000.0</v>
      </c>
      <c r="L742" s="449">
        <v>539000.0</v>
      </c>
      <c r="M742" s="74" t="s">
        <v>657</v>
      </c>
      <c r="N742" s="74">
        <f t="shared" si="4"/>
        <v>4312000</v>
      </c>
      <c r="O742" s="60">
        <f t="shared" si="2"/>
        <v>46061</v>
      </c>
      <c r="P742" s="65" t="str">
        <f>VLOOKUP(I742,DATABASE!C:Q,11,FALSE)</f>
        <v>Tire</v>
      </c>
      <c r="Q742" s="65" t="str">
        <f>VLOOKUP(I742,DATABASE!C:Q,4,FALSE)</f>
        <v>Dunlop</v>
      </c>
      <c r="R742" s="101"/>
      <c r="U742" s="101"/>
    </row>
    <row r="743" ht="22.5" customHeight="1">
      <c r="A743" s="49"/>
      <c r="C743" s="447">
        <v>45987.0</v>
      </c>
      <c r="D743" s="447">
        <v>45986.0</v>
      </c>
      <c r="E743" s="425" t="s">
        <v>81</v>
      </c>
      <c r="F743" s="448">
        <v>1.0</v>
      </c>
      <c r="G743" s="425" t="s">
        <v>1638</v>
      </c>
      <c r="H743" s="449" t="s">
        <v>87</v>
      </c>
      <c r="I743" s="449" t="s">
        <v>955</v>
      </c>
      <c r="J743" s="451">
        <v>8.0</v>
      </c>
      <c r="K743" s="449">
        <v>674000.0</v>
      </c>
      <c r="L743" s="449">
        <v>674000.0</v>
      </c>
      <c r="M743" s="74" t="s">
        <v>657</v>
      </c>
      <c r="N743" s="74">
        <f t="shared" si="4"/>
        <v>5392000</v>
      </c>
      <c r="O743" s="60">
        <f t="shared" si="2"/>
        <v>46061</v>
      </c>
      <c r="P743" s="65" t="str">
        <f>VLOOKUP(I743,DATABASE!C:Q,11,FALSE)</f>
        <v>Tire</v>
      </c>
      <c r="Q743" s="65" t="str">
        <f>VLOOKUP(I743,DATABASE!C:Q,4,FALSE)</f>
        <v>Dunlop</v>
      </c>
      <c r="R743" s="101"/>
      <c r="U743" s="101"/>
    </row>
    <row r="744" ht="22.5" customHeight="1">
      <c r="A744" s="49"/>
      <c r="C744" s="447">
        <v>45987.0</v>
      </c>
      <c r="D744" s="447">
        <v>45986.0</v>
      </c>
      <c r="E744" s="425" t="s">
        <v>81</v>
      </c>
      <c r="F744" s="448">
        <v>1.0</v>
      </c>
      <c r="G744" s="425" t="s">
        <v>1638</v>
      </c>
      <c r="H744" s="449" t="s">
        <v>87</v>
      </c>
      <c r="I744" s="449" t="s">
        <v>261</v>
      </c>
      <c r="J744" s="451">
        <v>5.0</v>
      </c>
      <c r="K744" s="449">
        <v>415000.0</v>
      </c>
      <c r="L744" s="449">
        <v>415000.0</v>
      </c>
      <c r="M744" s="74" t="s">
        <v>657</v>
      </c>
      <c r="N744" s="74">
        <f t="shared" si="4"/>
        <v>2075000</v>
      </c>
      <c r="O744" s="60">
        <f t="shared" si="2"/>
        <v>46061</v>
      </c>
      <c r="P744" s="65" t="str">
        <f>VLOOKUP(I744,DATABASE!C:Q,11,FALSE)</f>
        <v>Tire</v>
      </c>
      <c r="Q744" s="65" t="str">
        <f>VLOOKUP(I744,DATABASE!C:Q,4,FALSE)</f>
        <v>Dunlop</v>
      </c>
      <c r="R744" s="101"/>
      <c r="U744" s="101"/>
    </row>
    <row r="745" ht="22.5" customHeight="1">
      <c r="A745" s="49"/>
      <c r="C745" s="447">
        <v>45987.0</v>
      </c>
      <c r="D745" s="447">
        <v>45986.0</v>
      </c>
      <c r="E745" s="425" t="s">
        <v>81</v>
      </c>
      <c r="F745" s="448">
        <v>1.0</v>
      </c>
      <c r="G745" s="425" t="s">
        <v>1638</v>
      </c>
      <c r="H745" s="449" t="s">
        <v>87</v>
      </c>
      <c r="I745" s="449" t="s">
        <v>932</v>
      </c>
      <c r="J745" s="451">
        <v>14.0</v>
      </c>
      <c r="K745" s="449">
        <v>595000.0</v>
      </c>
      <c r="L745" s="449">
        <v>595000.0</v>
      </c>
      <c r="M745" s="74" t="s">
        <v>657</v>
      </c>
      <c r="N745" s="74">
        <f t="shared" si="4"/>
        <v>8330000</v>
      </c>
      <c r="O745" s="60">
        <f t="shared" si="2"/>
        <v>46061</v>
      </c>
      <c r="P745" s="65" t="str">
        <f>VLOOKUP(I745,DATABASE!C:Q,11,FALSE)</f>
        <v>Tire</v>
      </c>
      <c r="Q745" s="65" t="str">
        <f>VLOOKUP(I745,DATABASE!C:Q,4,FALSE)</f>
        <v>Dunlop</v>
      </c>
      <c r="R745" s="101"/>
      <c r="T745" s="9"/>
      <c r="U745" s="101"/>
    </row>
    <row r="746" ht="22.5" customHeight="1">
      <c r="A746" s="49"/>
      <c r="C746" s="447">
        <v>45987.0</v>
      </c>
      <c r="D746" s="447">
        <v>45986.0</v>
      </c>
      <c r="E746" s="425" t="s">
        <v>81</v>
      </c>
      <c r="F746" s="448">
        <v>1.0</v>
      </c>
      <c r="G746" s="425" t="s">
        <v>1638</v>
      </c>
      <c r="H746" s="449" t="s">
        <v>87</v>
      </c>
      <c r="I746" s="449" t="s">
        <v>695</v>
      </c>
      <c r="J746" s="451">
        <v>4.0</v>
      </c>
      <c r="K746" s="449">
        <v>570000.0</v>
      </c>
      <c r="L746" s="449">
        <v>570000.0</v>
      </c>
      <c r="M746" s="74" t="s">
        <v>657</v>
      </c>
      <c r="N746" s="74">
        <f t="shared" si="4"/>
        <v>2280000</v>
      </c>
      <c r="O746" s="60">
        <f t="shared" si="2"/>
        <v>46061</v>
      </c>
      <c r="P746" s="65" t="str">
        <f>VLOOKUP(I746,DATABASE!C:Q,11,FALSE)</f>
        <v>Tire</v>
      </c>
      <c r="Q746" s="65" t="str">
        <f>VLOOKUP(I746,DATABASE!C:Q,4,FALSE)</f>
        <v>Dunlop</v>
      </c>
      <c r="R746" s="101"/>
      <c r="T746" s="9"/>
      <c r="U746" s="101"/>
    </row>
    <row r="747" ht="22.5" customHeight="1">
      <c r="A747" s="49"/>
      <c r="C747" s="447">
        <v>45987.0</v>
      </c>
      <c r="D747" s="447">
        <v>45986.0</v>
      </c>
      <c r="E747" s="425" t="s">
        <v>81</v>
      </c>
      <c r="F747" s="448">
        <v>1.0</v>
      </c>
      <c r="G747" s="425" t="s">
        <v>1638</v>
      </c>
      <c r="H747" s="449" t="s">
        <v>87</v>
      </c>
      <c r="I747" s="449" t="s">
        <v>1383</v>
      </c>
      <c r="J747" s="451">
        <v>2.0</v>
      </c>
      <c r="K747" s="449">
        <v>812000.0</v>
      </c>
      <c r="L747" s="449">
        <v>812000.0</v>
      </c>
      <c r="M747" s="74" t="s">
        <v>657</v>
      </c>
      <c r="N747" s="74">
        <f t="shared" si="4"/>
        <v>1624000</v>
      </c>
      <c r="O747" s="60">
        <f t="shared" si="2"/>
        <v>46061</v>
      </c>
      <c r="P747" s="65" t="str">
        <f>VLOOKUP(I747,DATABASE!C:Q,11,FALSE)</f>
        <v>Tire</v>
      </c>
      <c r="Q747" s="65" t="str">
        <f>VLOOKUP(I747,DATABASE!C:Q,4,FALSE)</f>
        <v>Dunlop</v>
      </c>
      <c r="R747" s="101"/>
      <c r="T747" s="9"/>
      <c r="U747" s="101"/>
    </row>
    <row r="748" ht="22.5" customHeight="1">
      <c r="A748" s="49"/>
      <c r="C748" s="447">
        <v>45987.0</v>
      </c>
      <c r="D748" s="447">
        <v>45986.0</v>
      </c>
      <c r="E748" s="425" t="s">
        <v>81</v>
      </c>
      <c r="F748" s="448">
        <v>1.0</v>
      </c>
      <c r="G748" s="425" t="s">
        <v>1638</v>
      </c>
      <c r="H748" s="449" t="s">
        <v>87</v>
      </c>
      <c r="I748" s="449" t="s">
        <v>687</v>
      </c>
      <c r="J748" s="451">
        <v>4.0</v>
      </c>
      <c r="K748" s="449">
        <v>949000.0</v>
      </c>
      <c r="L748" s="449">
        <v>949000.0</v>
      </c>
      <c r="M748" s="74" t="s">
        <v>657</v>
      </c>
      <c r="N748" s="74">
        <f t="shared" si="4"/>
        <v>3796000</v>
      </c>
      <c r="O748" s="60">
        <f t="shared" si="2"/>
        <v>46061</v>
      </c>
      <c r="P748" s="65" t="str">
        <f>VLOOKUP(I748,DATABASE!C:Q,11,FALSE)</f>
        <v>Tire</v>
      </c>
      <c r="Q748" s="65" t="str">
        <f>VLOOKUP(I748,DATABASE!C:Q,4,FALSE)</f>
        <v>Dunlop</v>
      </c>
      <c r="R748" s="101"/>
      <c r="T748" s="9"/>
      <c r="U748" s="101"/>
    </row>
    <row r="749" ht="22.5" customHeight="1">
      <c r="A749" s="49"/>
      <c r="C749" s="447">
        <v>45988.0</v>
      </c>
      <c r="D749" s="447">
        <v>45987.0</v>
      </c>
      <c r="E749" s="425" t="s">
        <v>425</v>
      </c>
      <c r="F749" s="448">
        <v>1.0</v>
      </c>
      <c r="G749" s="425" t="s">
        <v>1987</v>
      </c>
      <c r="H749" s="449" t="s">
        <v>7</v>
      </c>
      <c r="I749" s="523" t="s">
        <v>2608</v>
      </c>
      <c r="J749" s="451">
        <v>4.0</v>
      </c>
      <c r="K749" s="449">
        <v>1250000.0</v>
      </c>
      <c r="L749" s="449">
        <v>1250000.0</v>
      </c>
      <c r="M749" s="140" t="s">
        <v>755</v>
      </c>
      <c r="N749" s="74">
        <f t="shared" si="4"/>
        <v>5000000</v>
      </c>
      <c r="O749" s="60">
        <f t="shared" si="2"/>
        <v>46017</v>
      </c>
      <c r="P749" s="65" t="str">
        <f>VLOOKUP(I749,DATABASE!C:Q,11,FALSE)</f>
        <v>Tire</v>
      </c>
      <c r="Q749" s="65" t="str">
        <f>VLOOKUP(I749,DATABASE!C:Q,4,FALSE)</f>
        <v>Goodride</v>
      </c>
      <c r="R749" s="101"/>
      <c r="T749" s="9"/>
      <c r="U749" s="101"/>
    </row>
    <row r="750" ht="22.5" customHeight="1">
      <c r="A750" s="49"/>
      <c r="C750" s="192">
        <v>45989.0</v>
      </c>
      <c r="D750" s="192">
        <v>45967.0</v>
      </c>
      <c r="E750" s="69" t="s">
        <v>412</v>
      </c>
      <c r="F750" s="243" t="s">
        <v>998</v>
      </c>
      <c r="G750" s="524">
        <v>0.0</v>
      </c>
      <c r="H750" s="69" t="s">
        <v>2314</v>
      </c>
      <c r="I750" s="140" t="s">
        <v>301</v>
      </c>
      <c r="J750" s="446">
        <v>8.0</v>
      </c>
      <c r="K750" s="140">
        <v>75000.0</v>
      </c>
      <c r="L750" s="140">
        <v>50000.0</v>
      </c>
      <c r="M750" s="140" t="s">
        <v>1023</v>
      </c>
      <c r="N750" s="74">
        <f t="shared" si="4"/>
        <v>400000</v>
      </c>
      <c r="O750" s="60" t="str">
        <f t="shared" si="2"/>
        <v>LUNAS</v>
      </c>
      <c r="P750" s="65" t="str">
        <f>VLOOKUP(I750,DATABASE!C:Q,11,FALSE)</f>
        <v>COMPLEMENTARY</v>
      </c>
      <c r="Q750" s="65" t="str">
        <f>VLOOKUP(I750,DATABASE!C:Q,4,FALSE)</f>
        <v>Baut Camber</v>
      </c>
      <c r="R750" s="101"/>
      <c r="T750" s="9"/>
      <c r="U750" s="101"/>
    </row>
    <row r="751" ht="22.5" customHeight="1">
      <c r="A751" s="49"/>
      <c r="C751" s="192">
        <v>45989.0</v>
      </c>
      <c r="D751" s="192">
        <v>45988.0</v>
      </c>
      <c r="E751" s="69" t="s">
        <v>412</v>
      </c>
      <c r="F751" s="243" t="s">
        <v>998</v>
      </c>
      <c r="G751" s="524">
        <v>0.0</v>
      </c>
      <c r="H751" s="69" t="s">
        <v>2314</v>
      </c>
      <c r="I751" s="140" t="s">
        <v>301</v>
      </c>
      <c r="J751" s="446">
        <v>12.0</v>
      </c>
      <c r="K751" s="140">
        <v>75000.0</v>
      </c>
      <c r="L751" s="140">
        <v>47500.0</v>
      </c>
      <c r="M751" s="140" t="s">
        <v>1023</v>
      </c>
      <c r="N751" s="74">
        <f t="shared" si="4"/>
        <v>570000</v>
      </c>
      <c r="O751" s="60" t="str">
        <f t="shared" si="2"/>
        <v>LUNAS</v>
      </c>
      <c r="P751" s="65" t="str">
        <f>VLOOKUP(I751,DATABASE!C:Q,11,FALSE)</f>
        <v>COMPLEMENTARY</v>
      </c>
      <c r="Q751" s="65" t="str">
        <f>VLOOKUP(I751,DATABASE!C:Q,4,FALSE)</f>
        <v>Baut Camber</v>
      </c>
      <c r="R751" s="101"/>
      <c r="T751" s="9"/>
      <c r="U751" s="101"/>
    </row>
    <row r="752" ht="22.5" customHeight="1">
      <c r="A752" s="49"/>
      <c r="C752" s="192">
        <v>45989.0</v>
      </c>
      <c r="D752" s="192">
        <v>45988.0</v>
      </c>
      <c r="E752" s="69" t="s">
        <v>386</v>
      </c>
      <c r="F752" s="243" t="s">
        <v>998</v>
      </c>
      <c r="G752" s="69" t="s">
        <v>2103</v>
      </c>
      <c r="H752" s="69" t="s">
        <v>2314</v>
      </c>
      <c r="I752" s="140" t="s">
        <v>252</v>
      </c>
      <c r="J752" s="446">
        <v>4.0</v>
      </c>
      <c r="K752" s="140">
        <v>271778.0</v>
      </c>
      <c r="L752" s="140">
        <v>260100.0</v>
      </c>
      <c r="M752" s="140" t="s">
        <v>755</v>
      </c>
      <c r="N752" s="74">
        <f t="shared" si="4"/>
        <v>1040400</v>
      </c>
      <c r="O752" s="60">
        <f t="shared" si="2"/>
        <v>46018</v>
      </c>
      <c r="P752" s="65" t="str">
        <f>VLOOKUP(I752,DATABASE!C:Q,11,FALSE)</f>
        <v>OIL</v>
      </c>
      <c r="Q752" s="65" t="str">
        <f>VLOOKUP(I752,DATABASE!C:Q,4,FALSE)</f>
        <v>Shell</v>
      </c>
      <c r="R752" s="101"/>
      <c r="T752" s="9"/>
      <c r="U752" s="101"/>
    </row>
    <row r="753" ht="22.5" customHeight="1">
      <c r="A753" s="49"/>
      <c r="C753" s="192">
        <v>45990.0</v>
      </c>
      <c r="D753" s="192">
        <v>45990.0</v>
      </c>
      <c r="E753" s="69" t="s">
        <v>136</v>
      </c>
      <c r="F753" s="243" t="s">
        <v>998</v>
      </c>
      <c r="G753" s="524">
        <v>2.1112025E7</v>
      </c>
      <c r="H753" s="69" t="s">
        <v>2314</v>
      </c>
      <c r="I753" s="140" t="s">
        <v>305</v>
      </c>
      <c r="J753" s="446">
        <v>10.0</v>
      </c>
      <c r="K753" s="140">
        <v>151890.0</v>
      </c>
      <c r="L753" s="140">
        <v>147050.0</v>
      </c>
      <c r="M753" s="140" t="s">
        <v>755</v>
      </c>
      <c r="N753" s="74">
        <f t="shared" si="4"/>
        <v>1470500</v>
      </c>
      <c r="O753" s="60">
        <f t="shared" si="2"/>
        <v>46020</v>
      </c>
      <c r="P753" s="65" t="str">
        <f>VLOOKUP(I753,DATABASE!C:Q,11,FALSE)</f>
        <v>COMPLEMENTARY</v>
      </c>
      <c r="Q753" s="65" t="str">
        <f>VLOOKUP(I753,DATABASE!C:Q,4,FALSE)</f>
        <v>Lower Arm</v>
      </c>
      <c r="R753" s="101"/>
      <c r="T753" s="9"/>
      <c r="U753" s="101"/>
    </row>
    <row r="754" ht="22.5" customHeight="1">
      <c r="A754" s="49"/>
      <c r="C754" s="192">
        <v>45990.0</v>
      </c>
      <c r="D754" s="192">
        <v>45990.0</v>
      </c>
      <c r="E754" s="69" t="s">
        <v>123</v>
      </c>
      <c r="F754" s="243" t="s">
        <v>343</v>
      </c>
      <c r="G754" s="69" t="s">
        <v>2415</v>
      </c>
      <c r="H754" s="69" t="s">
        <v>7</v>
      </c>
      <c r="I754" s="140" t="s">
        <v>839</v>
      </c>
      <c r="J754" s="446">
        <v>5.0</v>
      </c>
      <c r="K754" s="140">
        <v>475700.0</v>
      </c>
      <c r="L754" s="140">
        <v>475700.0</v>
      </c>
      <c r="M754" s="140" t="s">
        <v>755</v>
      </c>
      <c r="N754" s="74">
        <f t="shared" si="4"/>
        <v>2378500</v>
      </c>
      <c r="O754" s="60">
        <f t="shared" si="2"/>
        <v>46020</v>
      </c>
      <c r="P754" s="65" t="str">
        <f>VLOOKUP(I754,DATABASE!C:Q,11,FALSE)</f>
        <v>Tire</v>
      </c>
      <c r="Q754" s="65" t="str">
        <f>VLOOKUP(I754,DATABASE!C:Q,4,FALSE)</f>
        <v>GT</v>
      </c>
      <c r="R754" s="101"/>
      <c r="T754" s="9"/>
      <c r="U754" s="101"/>
    </row>
    <row r="755" ht="22.5" customHeight="1">
      <c r="A755" s="49"/>
      <c r="C755" s="192">
        <v>45990.0</v>
      </c>
      <c r="D755" s="192">
        <v>45990.0</v>
      </c>
      <c r="E755" s="69" t="s">
        <v>123</v>
      </c>
      <c r="F755" s="243" t="s">
        <v>343</v>
      </c>
      <c r="G755" s="69" t="s">
        <v>2415</v>
      </c>
      <c r="H755" s="69" t="s">
        <v>7</v>
      </c>
      <c r="I755" s="140" t="s">
        <v>288</v>
      </c>
      <c r="J755" s="446">
        <v>4.0</v>
      </c>
      <c r="K755" s="140">
        <v>524800.0</v>
      </c>
      <c r="L755" s="140">
        <v>524800.0</v>
      </c>
      <c r="M755" s="140" t="s">
        <v>755</v>
      </c>
      <c r="N755" s="74">
        <f t="shared" si="4"/>
        <v>2099200</v>
      </c>
      <c r="O755" s="60">
        <f t="shared" si="2"/>
        <v>46020</v>
      </c>
      <c r="P755" s="65" t="str">
        <f>VLOOKUP(I755,DATABASE!C:Q,11,FALSE)</f>
        <v>Tire</v>
      </c>
      <c r="Q755" s="65" t="str">
        <f>VLOOKUP(I755,DATABASE!C:Q,4,FALSE)</f>
        <v>GT</v>
      </c>
      <c r="R755" s="101"/>
      <c r="T755" s="9"/>
      <c r="U755" s="101"/>
    </row>
    <row r="756" ht="22.5" customHeight="1">
      <c r="A756" s="49"/>
      <c r="C756" s="192">
        <v>45990.0</v>
      </c>
      <c r="D756" s="192">
        <v>45990.0</v>
      </c>
      <c r="E756" s="69" t="s">
        <v>123</v>
      </c>
      <c r="F756" s="243" t="s">
        <v>343</v>
      </c>
      <c r="G756" s="69" t="s">
        <v>2415</v>
      </c>
      <c r="H756" s="69" t="s">
        <v>7</v>
      </c>
      <c r="I756" s="140" t="s">
        <v>1009</v>
      </c>
      <c r="J756" s="446">
        <v>5.0</v>
      </c>
      <c r="K756" s="140">
        <v>592200.0</v>
      </c>
      <c r="L756" s="140">
        <v>592200.0</v>
      </c>
      <c r="M756" s="140" t="s">
        <v>755</v>
      </c>
      <c r="N756" s="74">
        <f t="shared" si="4"/>
        <v>2961000</v>
      </c>
      <c r="O756" s="60">
        <f t="shared" si="2"/>
        <v>46020</v>
      </c>
      <c r="P756" s="65" t="str">
        <f>VLOOKUP(I756,DATABASE!C:Q,11,FALSE)</f>
        <v>Tire</v>
      </c>
      <c r="Q756" s="65" t="str">
        <f>VLOOKUP(I756,DATABASE!C:Q,4,FALSE)</f>
        <v>GT</v>
      </c>
      <c r="R756" s="101"/>
      <c r="T756" s="9"/>
      <c r="U756" s="101"/>
    </row>
    <row r="757" ht="22.5" customHeight="1">
      <c r="A757" s="49"/>
      <c r="C757" s="192">
        <v>45990.0</v>
      </c>
      <c r="D757" s="192">
        <v>45990.0</v>
      </c>
      <c r="E757" s="69" t="s">
        <v>123</v>
      </c>
      <c r="F757" s="243" t="s">
        <v>343</v>
      </c>
      <c r="G757" s="69" t="s">
        <v>2415</v>
      </c>
      <c r="H757" s="69" t="s">
        <v>7</v>
      </c>
      <c r="I757" s="140" t="s">
        <v>868</v>
      </c>
      <c r="J757" s="446">
        <v>3.0</v>
      </c>
      <c r="K757" s="140">
        <v>836000.0</v>
      </c>
      <c r="L757" s="140">
        <v>836000.0</v>
      </c>
      <c r="M757" s="140" t="s">
        <v>755</v>
      </c>
      <c r="N757" s="74">
        <f t="shared" si="4"/>
        <v>2508000</v>
      </c>
      <c r="O757" s="60">
        <f t="shared" si="2"/>
        <v>46020</v>
      </c>
      <c r="P757" s="65" t="str">
        <f>VLOOKUP(I757,DATABASE!C:Q,11,FALSE)</f>
        <v>Tire</v>
      </c>
      <c r="Q757" s="65" t="str">
        <f>VLOOKUP(I757,DATABASE!C:Q,4,FALSE)</f>
        <v>GT</v>
      </c>
      <c r="R757" s="101"/>
      <c r="T757" s="9"/>
      <c r="U757" s="101"/>
    </row>
    <row r="758" ht="22.5" customHeight="1">
      <c r="A758" s="49"/>
      <c r="C758" s="192">
        <v>45990.0</v>
      </c>
      <c r="D758" s="192">
        <v>45990.0</v>
      </c>
      <c r="E758" s="69" t="s">
        <v>123</v>
      </c>
      <c r="F758" s="243" t="s">
        <v>343</v>
      </c>
      <c r="G758" s="69" t="s">
        <v>2415</v>
      </c>
      <c r="H758" s="69" t="s">
        <v>7</v>
      </c>
      <c r="I758" s="140" t="s">
        <v>1439</v>
      </c>
      <c r="J758" s="446">
        <v>8.0</v>
      </c>
      <c r="K758" s="140">
        <v>540800.0</v>
      </c>
      <c r="L758" s="140">
        <v>540800.0</v>
      </c>
      <c r="M758" s="140" t="s">
        <v>755</v>
      </c>
      <c r="N758" s="74">
        <f t="shared" si="4"/>
        <v>4326400</v>
      </c>
      <c r="O758" s="60">
        <f t="shared" si="2"/>
        <v>46020</v>
      </c>
      <c r="P758" s="65" t="str">
        <f>VLOOKUP(I758,DATABASE!C:Q,11,FALSE)</f>
        <v>Tire</v>
      </c>
      <c r="Q758" s="65" t="str">
        <f>VLOOKUP(I758,DATABASE!C:Q,4,FALSE)</f>
        <v>GT</v>
      </c>
      <c r="R758" s="101"/>
      <c r="U758" s="101"/>
    </row>
    <row r="759" ht="22.5" customHeight="1">
      <c r="A759" s="49"/>
      <c r="C759" s="192">
        <v>45990.0</v>
      </c>
      <c r="D759" s="192">
        <v>45990.0</v>
      </c>
      <c r="E759" s="69" t="s">
        <v>123</v>
      </c>
      <c r="F759" s="243" t="s">
        <v>343</v>
      </c>
      <c r="G759" s="69" t="s">
        <v>2413</v>
      </c>
      <c r="H759" s="69" t="s">
        <v>7</v>
      </c>
      <c r="I759" s="140" t="s">
        <v>1858</v>
      </c>
      <c r="J759" s="446">
        <v>8.0</v>
      </c>
      <c r="K759" s="140">
        <v>2025000.0</v>
      </c>
      <c r="L759" s="140">
        <v>2030000.0</v>
      </c>
      <c r="M759" s="140" t="s">
        <v>2190</v>
      </c>
      <c r="N759" s="74">
        <f t="shared" si="4"/>
        <v>16240000</v>
      </c>
      <c r="O759" s="60">
        <f t="shared" si="2"/>
        <v>46004</v>
      </c>
      <c r="P759" s="65" t="str">
        <f>VLOOKUP(I759,DATABASE!C:Q,11,FALSE)</f>
        <v>Tire</v>
      </c>
      <c r="Q759" s="65" t="str">
        <f>VLOOKUP(I759,DATABASE!C:Q,4,FALSE)</f>
        <v>GiTi</v>
      </c>
      <c r="R759" s="101"/>
      <c r="U759" s="101"/>
    </row>
    <row r="760" ht="22.5" customHeight="1">
      <c r="A760" s="49"/>
      <c r="C760" s="192">
        <v>45990.0</v>
      </c>
      <c r="D760" s="192">
        <v>45990.0</v>
      </c>
      <c r="E760" s="69" t="s">
        <v>123</v>
      </c>
      <c r="F760" s="243" t="s">
        <v>343</v>
      </c>
      <c r="G760" s="69" t="s">
        <v>2413</v>
      </c>
      <c r="H760" s="69" t="s">
        <v>7</v>
      </c>
      <c r="I760" s="140" t="s">
        <v>1862</v>
      </c>
      <c r="J760" s="446">
        <v>9.0</v>
      </c>
      <c r="K760" s="140">
        <v>2050000.0</v>
      </c>
      <c r="L760" s="140">
        <v>2050000.0</v>
      </c>
      <c r="M760" s="140" t="s">
        <v>2190</v>
      </c>
      <c r="N760" s="74">
        <f t="shared" si="4"/>
        <v>18450000</v>
      </c>
      <c r="O760" s="60">
        <f t="shared" si="2"/>
        <v>46004</v>
      </c>
      <c r="P760" s="65" t="str">
        <f>VLOOKUP(I760,DATABASE!C:Q,11,FALSE)</f>
        <v>Tire</v>
      </c>
      <c r="Q760" s="65" t="str">
        <f>VLOOKUP(I760,DATABASE!C:Q,4,FALSE)</f>
        <v>GiTi</v>
      </c>
      <c r="R760" s="101"/>
      <c r="U760" s="101"/>
    </row>
    <row r="761" ht="22.5" customHeight="1">
      <c r="A761" s="49"/>
      <c r="C761" s="192">
        <v>45990.0</v>
      </c>
      <c r="D761" s="192">
        <v>45990.0</v>
      </c>
      <c r="E761" s="69" t="s">
        <v>123</v>
      </c>
      <c r="F761" s="243" t="s">
        <v>343</v>
      </c>
      <c r="G761" s="69" t="s">
        <v>2413</v>
      </c>
      <c r="H761" s="69" t="s">
        <v>7</v>
      </c>
      <c r="I761" s="140" t="s">
        <v>897</v>
      </c>
      <c r="J761" s="446">
        <v>5.0</v>
      </c>
      <c r="K761" s="140">
        <v>1500000.0</v>
      </c>
      <c r="L761" s="140">
        <v>1480000.0</v>
      </c>
      <c r="M761" s="140" t="s">
        <v>2190</v>
      </c>
      <c r="N761" s="74">
        <f t="shared" si="4"/>
        <v>7400000</v>
      </c>
      <c r="O761" s="60">
        <f t="shared" si="2"/>
        <v>46004</v>
      </c>
      <c r="P761" s="65" t="str">
        <f>VLOOKUP(I761,DATABASE!C:Q,11,FALSE)</f>
        <v>Tire</v>
      </c>
      <c r="Q761" s="65" t="str">
        <f>VLOOKUP(I761,DATABASE!C:Q,4,FALSE)</f>
        <v>GT</v>
      </c>
      <c r="R761" s="101"/>
      <c r="U761" s="101"/>
    </row>
    <row r="762" ht="22.5" customHeight="1">
      <c r="A762" s="49"/>
      <c r="C762" s="192">
        <v>45990.0</v>
      </c>
      <c r="D762" s="192">
        <v>45990.0</v>
      </c>
      <c r="E762" s="69" t="s">
        <v>123</v>
      </c>
      <c r="F762" s="243" t="s">
        <v>343</v>
      </c>
      <c r="G762" s="69" t="s">
        <v>2413</v>
      </c>
      <c r="H762" s="69" t="s">
        <v>7</v>
      </c>
      <c r="I762" s="140" t="s">
        <v>791</v>
      </c>
      <c r="J762" s="446">
        <v>8.0</v>
      </c>
      <c r="K762" s="140">
        <v>1180000.0</v>
      </c>
      <c r="L762" s="140">
        <v>1160000.0</v>
      </c>
      <c r="M762" s="140" t="s">
        <v>2190</v>
      </c>
      <c r="N762" s="74">
        <f t="shared" si="4"/>
        <v>9280000</v>
      </c>
      <c r="O762" s="60">
        <f t="shared" si="2"/>
        <v>46004</v>
      </c>
      <c r="P762" s="65" t="str">
        <f>VLOOKUP(I762,DATABASE!C:Q,11,FALSE)</f>
        <v>Tire</v>
      </c>
      <c r="Q762" s="65" t="str">
        <f>VLOOKUP(I762,DATABASE!C:Q,4,FALSE)</f>
        <v>GT</v>
      </c>
      <c r="R762" s="101"/>
      <c r="U762" s="101"/>
    </row>
    <row r="763" ht="22.5" customHeight="1">
      <c r="A763" s="49"/>
      <c r="C763" s="192">
        <v>45990.0</v>
      </c>
      <c r="D763" s="192">
        <v>45990.0</v>
      </c>
      <c r="E763" s="69" t="s">
        <v>123</v>
      </c>
      <c r="F763" s="243" t="s">
        <v>343</v>
      </c>
      <c r="G763" s="69" t="s">
        <v>2413</v>
      </c>
      <c r="H763" s="69" t="s">
        <v>7</v>
      </c>
      <c r="I763" s="140" t="s">
        <v>781</v>
      </c>
      <c r="J763" s="446">
        <v>6.0</v>
      </c>
      <c r="K763" s="140">
        <v>442500.0</v>
      </c>
      <c r="L763" s="140">
        <v>440000.0</v>
      </c>
      <c r="M763" s="140" t="s">
        <v>2190</v>
      </c>
      <c r="N763" s="74">
        <f t="shared" si="4"/>
        <v>2640000</v>
      </c>
      <c r="O763" s="60">
        <f t="shared" si="2"/>
        <v>46004</v>
      </c>
      <c r="P763" s="65" t="str">
        <f>VLOOKUP(I763,DATABASE!C:Q,11,FALSE)</f>
        <v>Tire</v>
      </c>
      <c r="Q763" s="65" t="str">
        <f>VLOOKUP(I763,DATABASE!C:Q,4,FALSE)</f>
        <v>GT</v>
      </c>
      <c r="R763" s="101"/>
      <c r="U763" s="101"/>
    </row>
    <row r="764" ht="22.5" customHeight="1">
      <c r="A764" s="49"/>
      <c r="C764" s="192">
        <v>45990.0</v>
      </c>
      <c r="D764" s="192">
        <v>45990.0</v>
      </c>
      <c r="E764" s="69" t="s">
        <v>123</v>
      </c>
      <c r="F764" s="243" t="s">
        <v>343</v>
      </c>
      <c r="G764" s="69" t="s">
        <v>2413</v>
      </c>
      <c r="H764" s="69" t="s">
        <v>7</v>
      </c>
      <c r="I764" s="140" t="s">
        <v>777</v>
      </c>
      <c r="J764" s="446">
        <v>10.0</v>
      </c>
      <c r="K764" s="140">
        <v>507000.0</v>
      </c>
      <c r="L764" s="140">
        <v>505000.0</v>
      </c>
      <c r="M764" s="140" t="s">
        <v>2190</v>
      </c>
      <c r="N764" s="74">
        <f t="shared" si="4"/>
        <v>5050000</v>
      </c>
      <c r="O764" s="60">
        <f t="shared" si="2"/>
        <v>46004</v>
      </c>
      <c r="P764" s="65" t="str">
        <f>VLOOKUP(I764,DATABASE!C:Q,11,FALSE)</f>
        <v>Tire</v>
      </c>
      <c r="Q764" s="65" t="str">
        <f>VLOOKUP(I764,DATABASE!C:Q,4,FALSE)</f>
        <v>GT</v>
      </c>
      <c r="R764" s="101"/>
      <c r="U764" s="101"/>
    </row>
    <row r="765" ht="22.5" customHeight="1">
      <c r="A765" s="49"/>
      <c r="C765" s="192">
        <v>45990.0</v>
      </c>
      <c r="D765" s="192">
        <v>45990.0</v>
      </c>
      <c r="E765" s="69" t="s">
        <v>123</v>
      </c>
      <c r="F765" s="243" t="s">
        <v>343</v>
      </c>
      <c r="G765" s="69" t="s">
        <v>2413</v>
      </c>
      <c r="H765" s="69" t="s">
        <v>7</v>
      </c>
      <c r="I765" s="140" t="s">
        <v>250</v>
      </c>
      <c r="J765" s="446">
        <v>25.0</v>
      </c>
      <c r="K765" s="140">
        <v>102000.0</v>
      </c>
      <c r="L765" s="140">
        <v>100500.0</v>
      </c>
      <c r="M765" s="140" t="s">
        <v>2190</v>
      </c>
      <c r="N765" s="74">
        <f t="shared" si="4"/>
        <v>2512500</v>
      </c>
      <c r="O765" s="60">
        <f t="shared" si="2"/>
        <v>46004</v>
      </c>
      <c r="P765" s="65" t="str">
        <f>VLOOKUP(I765,DATABASE!C:Q,11,FALSE)</f>
        <v>Tire</v>
      </c>
      <c r="Q765" s="65" t="str">
        <f>VLOOKUP(I765,DATABASE!C:Q,4,FALSE)</f>
        <v>BD</v>
      </c>
      <c r="R765" s="101"/>
      <c r="U765" s="101"/>
    </row>
    <row r="766" ht="22.5" customHeight="1">
      <c r="A766" s="49"/>
      <c r="C766" s="192">
        <v>45990.0</v>
      </c>
      <c r="D766" s="192">
        <v>45990.0</v>
      </c>
      <c r="E766" s="69" t="s">
        <v>123</v>
      </c>
      <c r="F766" s="243" t="s">
        <v>343</v>
      </c>
      <c r="G766" s="69" t="s">
        <v>2413</v>
      </c>
      <c r="H766" s="69" t="s">
        <v>7</v>
      </c>
      <c r="I766" s="140" t="s">
        <v>604</v>
      </c>
      <c r="J766" s="446">
        <v>25.0</v>
      </c>
      <c r="K766" s="140">
        <v>124000.0</v>
      </c>
      <c r="L766" s="140">
        <v>123300.0</v>
      </c>
      <c r="M766" s="140" t="s">
        <v>2190</v>
      </c>
      <c r="N766" s="74">
        <f t="shared" si="4"/>
        <v>3082500</v>
      </c>
      <c r="O766" s="60">
        <f t="shared" si="2"/>
        <v>46004</v>
      </c>
      <c r="P766" s="65" t="str">
        <f>VLOOKUP(I766,DATABASE!C:Q,11,FALSE)</f>
        <v>Tire</v>
      </c>
      <c r="Q766" s="65" t="str">
        <f>VLOOKUP(I766,DATABASE!C:Q,4,FALSE)</f>
        <v>BD</v>
      </c>
      <c r="R766" s="101"/>
      <c r="U766" s="101"/>
    </row>
    <row r="767" ht="22.5" customHeight="1">
      <c r="A767" s="49"/>
      <c r="C767" s="192">
        <v>45990.0</v>
      </c>
      <c r="D767" s="192">
        <v>45990.0</v>
      </c>
      <c r="E767" s="69" t="s">
        <v>136</v>
      </c>
      <c r="F767" s="243" t="s">
        <v>343</v>
      </c>
      <c r="G767" s="192">
        <v>45990.0</v>
      </c>
      <c r="H767" s="69" t="s">
        <v>2314</v>
      </c>
      <c r="I767" s="140" t="s">
        <v>2609</v>
      </c>
      <c r="J767" s="446">
        <v>5.0</v>
      </c>
      <c r="K767" s="140">
        <v>21500.0</v>
      </c>
      <c r="L767" s="140">
        <v>21500.0</v>
      </c>
      <c r="M767" s="140" t="s">
        <v>755</v>
      </c>
      <c r="N767" s="74">
        <f t="shared" si="4"/>
        <v>107500</v>
      </c>
      <c r="O767" s="60">
        <f t="shared" si="2"/>
        <v>46020</v>
      </c>
      <c r="P767" s="65" t="str">
        <f>VLOOKUP(I767,DATABASE!C:Q,11,FALSE)</f>
        <v>COMPLEMENTARY</v>
      </c>
      <c r="Q767" s="65" t="str">
        <f>VLOOKUP(I767,DATABASE!C:Q,4,FALSE)</f>
        <v>Sakura</v>
      </c>
      <c r="R767" s="101"/>
      <c r="U767" s="101"/>
    </row>
    <row r="768" ht="22.5" customHeight="1">
      <c r="A768" s="49"/>
      <c r="C768" s="526">
        <v>45993.0</v>
      </c>
      <c r="D768" s="526">
        <v>45989.0</v>
      </c>
      <c r="E768" s="419" t="s">
        <v>386</v>
      </c>
      <c r="F768" s="527" t="s">
        <v>998</v>
      </c>
      <c r="G768" s="419" t="s">
        <v>2108</v>
      </c>
      <c r="H768" s="69" t="s">
        <v>2314</v>
      </c>
      <c r="I768" s="528" t="s">
        <v>252</v>
      </c>
      <c r="J768" s="529">
        <v>4.0</v>
      </c>
      <c r="K768" s="530">
        <v>271778.0</v>
      </c>
      <c r="L768" s="530">
        <v>260100.0</v>
      </c>
      <c r="M768" s="140" t="s">
        <v>755</v>
      </c>
      <c r="N768" s="74">
        <f t="shared" si="4"/>
        <v>1040400</v>
      </c>
      <c r="O768" s="60">
        <f t="shared" si="2"/>
        <v>46019</v>
      </c>
      <c r="P768" s="65" t="str">
        <f>VLOOKUP(I768,DATABASE!C:Q,11,FALSE)</f>
        <v>OIL</v>
      </c>
      <c r="Q768" s="65" t="str">
        <f>VLOOKUP(I768,DATABASE!C:Q,4,FALSE)</f>
        <v>Shell</v>
      </c>
      <c r="R768" s="101"/>
      <c r="U768" s="101"/>
    </row>
    <row r="769" ht="22.5" customHeight="1">
      <c r="A769" s="49"/>
      <c r="C769" s="192">
        <v>45993.0</v>
      </c>
      <c r="D769" s="192">
        <v>45989.0</v>
      </c>
      <c r="E769" s="69" t="s">
        <v>386</v>
      </c>
      <c r="F769" s="243" t="s">
        <v>998</v>
      </c>
      <c r="G769" s="69" t="s">
        <v>2108</v>
      </c>
      <c r="H769" s="69" t="s">
        <v>2314</v>
      </c>
      <c r="I769" s="140" t="s">
        <v>263</v>
      </c>
      <c r="J769" s="446">
        <v>4.0</v>
      </c>
      <c r="K769" s="140">
        <v>287688.0</v>
      </c>
      <c r="L769" s="140">
        <v>277600.0</v>
      </c>
      <c r="M769" s="140" t="s">
        <v>755</v>
      </c>
      <c r="N769" s="74">
        <f t="shared" si="4"/>
        <v>1110400</v>
      </c>
      <c r="O769" s="60">
        <f t="shared" si="2"/>
        <v>46019</v>
      </c>
      <c r="P769" s="65" t="str">
        <f>VLOOKUP(I769,DATABASE!C:Q,11,FALSE)</f>
        <v>OIL</v>
      </c>
      <c r="Q769" s="65" t="str">
        <f>VLOOKUP(I769,DATABASE!C:Q,4,FALSE)</f>
        <v>Shell</v>
      </c>
      <c r="R769" s="101"/>
      <c r="U769" s="101"/>
    </row>
    <row r="770" ht="22.5" customHeight="1">
      <c r="A770" s="49"/>
      <c r="C770" s="192">
        <v>45993.0</v>
      </c>
      <c r="D770" s="192">
        <v>45989.0</v>
      </c>
      <c r="E770" s="69" t="s">
        <v>386</v>
      </c>
      <c r="F770" s="243" t="s">
        <v>998</v>
      </c>
      <c r="G770" s="69" t="s">
        <v>2108</v>
      </c>
      <c r="H770" s="69" t="s">
        <v>2314</v>
      </c>
      <c r="I770" s="140" t="s">
        <v>2191</v>
      </c>
      <c r="J770" s="446">
        <v>4.0</v>
      </c>
      <c r="K770" s="140">
        <v>377951.0</v>
      </c>
      <c r="L770" s="140">
        <v>361700.0</v>
      </c>
      <c r="M770" s="140" t="s">
        <v>755</v>
      </c>
      <c r="N770" s="74">
        <f t="shared" si="4"/>
        <v>1446800</v>
      </c>
      <c r="O770" s="60">
        <f t="shared" si="2"/>
        <v>46019</v>
      </c>
      <c r="P770" s="65" t="str">
        <f>VLOOKUP(I770,DATABASE!C:Q,11,FALSE)</f>
        <v>OIL</v>
      </c>
      <c r="Q770" s="65" t="str">
        <f>VLOOKUP(I770,DATABASE!C:Q,4,FALSE)</f>
        <v>Shell</v>
      </c>
      <c r="R770" s="101"/>
      <c r="U770" s="101"/>
    </row>
    <row r="771" ht="22.5" customHeight="1">
      <c r="A771" s="49"/>
      <c r="C771" s="192">
        <v>45994.0</v>
      </c>
      <c r="D771" s="192">
        <v>45994.0</v>
      </c>
      <c r="E771" s="69" t="s">
        <v>400</v>
      </c>
      <c r="F771" s="243" t="s">
        <v>998</v>
      </c>
      <c r="G771" s="69" t="s">
        <v>2085</v>
      </c>
      <c r="H771" s="69" t="s">
        <v>2314</v>
      </c>
      <c r="I771" s="140" t="s">
        <v>248</v>
      </c>
      <c r="J771" s="446">
        <v>12.0</v>
      </c>
      <c r="K771" s="140">
        <f>1930000/12</f>
        <v>160833.3333</v>
      </c>
      <c r="L771" s="140">
        <v>160833.0</v>
      </c>
      <c r="M771" s="140" t="s">
        <v>755</v>
      </c>
      <c r="N771" s="140">
        <v>1930000.0</v>
      </c>
      <c r="O771" s="60">
        <f t="shared" si="2"/>
        <v>46024</v>
      </c>
      <c r="P771" s="65" t="str">
        <f>VLOOKUP(I771,DATABASE!C:Q,11,FALSE)</f>
        <v>OIL</v>
      </c>
      <c r="Q771" s="65" t="str">
        <f>VLOOKUP(I771,DATABASE!C:Q,4,FALSE)</f>
        <v>Pertamina</v>
      </c>
      <c r="R771" s="101"/>
      <c r="U771" s="101"/>
    </row>
    <row r="772" ht="22.5" customHeight="1">
      <c r="A772" s="49"/>
      <c r="C772" s="192">
        <v>45994.0</v>
      </c>
      <c r="D772" s="192">
        <v>45994.0</v>
      </c>
      <c r="E772" s="69" t="s">
        <v>372</v>
      </c>
      <c r="F772" s="243" t="s">
        <v>343</v>
      </c>
      <c r="G772" s="69" t="s">
        <v>1961</v>
      </c>
      <c r="H772" s="69" t="s">
        <v>7</v>
      </c>
      <c r="I772" s="140" t="s">
        <v>2610</v>
      </c>
      <c r="J772" s="446">
        <v>7.0</v>
      </c>
      <c r="K772" s="140">
        <v>802000.0</v>
      </c>
      <c r="L772" s="140">
        <v>802000.0</v>
      </c>
      <c r="M772" s="140" t="s">
        <v>521</v>
      </c>
      <c r="N772" s="74">
        <f t="shared" ref="N772:N1071" si="5">J772*L772</f>
        <v>5614000</v>
      </c>
      <c r="O772" s="60">
        <f t="shared" si="2"/>
        <v>46054</v>
      </c>
      <c r="P772" s="65" t="str">
        <f>VLOOKUP(I772,DATABASE!C:Q,11,FALSE)</f>
        <v>Tire</v>
      </c>
      <c r="Q772" s="65" t="str">
        <f>VLOOKUP(I772,DATABASE!C:Q,4,FALSE)</f>
        <v>Laufen</v>
      </c>
      <c r="R772" s="101"/>
      <c r="U772" s="101"/>
    </row>
    <row r="773" ht="22.5" customHeight="1">
      <c r="A773" s="49"/>
      <c r="C773" s="192">
        <v>45996.0</v>
      </c>
      <c r="D773" s="192">
        <v>45996.0</v>
      </c>
      <c r="E773" s="69" t="s">
        <v>81</v>
      </c>
      <c r="F773" s="243" t="s">
        <v>343</v>
      </c>
      <c r="G773" s="69" t="s">
        <v>1644</v>
      </c>
      <c r="H773" s="69" t="s">
        <v>87</v>
      </c>
      <c r="I773" s="140" t="s">
        <v>695</v>
      </c>
      <c r="J773" s="446">
        <v>1.0</v>
      </c>
      <c r="K773" s="140">
        <v>570000.0</v>
      </c>
      <c r="L773" s="140">
        <v>570000.0</v>
      </c>
      <c r="M773" s="140" t="s">
        <v>657</v>
      </c>
      <c r="N773" s="74">
        <f t="shared" si="5"/>
        <v>570000</v>
      </c>
      <c r="O773" s="60">
        <f t="shared" si="2"/>
        <v>46071</v>
      </c>
      <c r="P773" s="65" t="str">
        <f>VLOOKUP(I773,DATABASE!C:Q,11,FALSE)</f>
        <v>Tire</v>
      </c>
      <c r="Q773" s="65" t="str">
        <f>VLOOKUP(I773,DATABASE!C:Q,4,FALSE)</f>
        <v>Dunlop</v>
      </c>
      <c r="R773" s="101"/>
      <c r="U773" s="101"/>
    </row>
    <row r="774" ht="22.5" customHeight="1">
      <c r="A774" s="49"/>
      <c r="C774" s="192">
        <v>45997.0</v>
      </c>
      <c r="D774" s="192">
        <v>45996.0</v>
      </c>
      <c r="E774" s="69" t="s">
        <v>185</v>
      </c>
      <c r="F774" s="243" t="s">
        <v>343</v>
      </c>
      <c r="G774" s="69" t="s">
        <v>1194</v>
      </c>
      <c r="H774" s="69" t="s">
        <v>7</v>
      </c>
      <c r="I774" s="140" t="s">
        <v>647</v>
      </c>
      <c r="J774" s="446">
        <v>8.0</v>
      </c>
      <c r="K774" s="140">
        <v>1420000.0</v>
      </c>
      <c r="L774" s="140">
        <v>1419500.0</v>
      </c>
      <c r="M774" s="140" t="s">
        <v>521</v>
      </c>
      <c r="N774" s="74">
        <f t="shared" si="5"/>
        <v>11356000</v>
      </c>
      <c r="O774" s="60">
        <f t="shared" si="2"/>
        <v>46056</v>
      </c>
      <c r="P774" s="65" t="str">
        <f>VLOOKUP(I774,DATABASE!C:Q,11,FALSE)</f>
        <v>Tire</v>
      </c>
      <c r="Q774" s="65" t="str">
        <f>VLOOKUP(I774,DATABASE!C:Q,4,FALSE)</f>
        <v>G. YEAR</v>
      </c>
      <c r="R774" s="101"/>
      <c r="U774" s="101"/>
    </row>
    <row r="775" ht="22.5" customHeight="1">
      <c r="A775" s="49"/>
      <c r="C775" s="192">
        <v>45999.0</v>
      </c>
      <c r="D775" s="192">
        <v>45999.0</v>
      </c>
      <c r="E775" s="69" t="s">
        <v>97</v>
      </c>
      <c r="F775" s="243" t="s">
        <v>343</v>
      </c>
      <c r="G775" s="69" t="s">
        <v>2467</v>
      </c>
      <c r="H775" s="69" t="s">
        <v>87</v>
      </c>
      <c r="I775" s="140" t="s">
        <v>937</v>
      </c>
      <c r="J775" s="446">
        <v>1.0</v>
      </c>
      <c r="K775" s="140">
        <v>790000.0</v>
      </c>
      <c r="L775" s="140">
        <v>790000.0</v>
      </c>
      <c r="M775" s="140" t="s">
        <v>1023</v>
      </c>
      <c r="N775" s="74">
        <f t="shared" si="5"/>
        <v>790000</v>
      </c>
      <c r="O775" s="60" t="str">
        <f t="shared" si="2"/>
        <v>LUNAS</v>
      </c>
      <c r="P775" s="65" t="str">
        <f>VLOOKUP(I775,DATABASE!C:Q,11,FALSE)</f>
        <v>Tire</v>
      </c>
      <c r="Q775" s="65" t="str">
        <f>VLOOKUP(I775,DATABASE!C:Q,4,FALSE)</f>
        <v>Bridgestone</v>
      </c>
      <c r="R775" s="101"/>
      <c r="U775" s="101"/>
    </row>
    <row r="776" ht="22.5" customHeight="1">
      <c r="A776" s="49"/>
      <c r="C776" s="192">
        <v>45999.0</v>
      </c>
      <c r="D776" s="192">
        <v>45999.0</v>
      </c>
      <c r="E776" s="69" t="s">
        <v>97</v>
      </c>
      <c r="F776" s="243" t="s">
        <v>343</v>
      </c>
      <c r="G776" s="69" t="s">
        <v>2468</v>
      </c>
      <c r="H776" s="69" t="s">
        <v>87</v>
      </c>
      <c r="I776" s="140" t="s">
        <v>937</v>
      </c>
      <c r="J776" s="446">
        <v>3.0</v>
      </c>
      <c r="K776" s="140">
        <v>790000.0</v>
      </c>
      <c r="L776" s="140">
        <v>790000.0</v>
      </c>
      <c r="M776" s="140" t="s">
        <v>521</v>
      </c>
      <c r="N776" s="74">
        <f t="shared" si="5"/>
        <v>2370000</v>
      </c>
      <c r="O776" s="60">
        <f t="shared" si="2"/>
        <v>46059</v>
      </c>
      <c r="P776" s="65" t="str">
        <f>VLOOKUP(I776,DATABASE!C:Q,11,FALSE)</f>
        <v>Tire</v>
      </c>
      <c r="Q776" s="65" t="str">
        <f>VLOOKUP(I776,DATABASE!C:Q,4,FALSE)</f>
        <v>Bridgestone</v>
      </c>
      <c r="R776" s="101"/>
      <c r="U776" s="101"/>
    </row>
    <row r="777" ht="22.5" customHeight="1">
      <c r="A777" s="49"/>
      <c r="C777" s="192">
        <v>45999.0</v>
      </c>
      <c r="D777" s="192">
        <v>45999.0</v>
      </c>
      <c r="E777" s="69" t="s">
        <v>372</v>
      </c>
      <c r="F777" s="243" t="s">
        <v>343</v>
      </c>
      <c r="G777" s="69" t="s">
        <v>1964</v>
      </c>
      <c r="H777" s="69" t="s">
        <v>7</v>
      </c>
      <c r="I777" s="140" t="s">
        <v>2221</v>
      </c>
      <c r="J777" s="446">
        <v>1.0</v>
      </c>
      <c r="K777" s="140">
        <v>450000.0</v>
      </c>
      <c r="L777" s="140">
        <v>450000.0</v>
      </c>
      <c r="M777" s="140" t="s">
        <v>1023</v>
      </c>
      <c r="N777" s="74">
        <f t="shared" si="5"/>
        <v>450000</v>
      </c>
      <c r="O777" s="60" t="str">
        <f t="shared" si="2"/>
        <v>LUNAS</v>
      </c>
      <c r="P777" s="65" t="str">
        <f>VLOOKUP(I777,DATABASE!C:Q,11,FALSE)</f>
        <v>Tire</v>
      </c>
      <c r="Q777" s="65" t="str">
        <f>VLOOKUP(I777,DATABASE!C:Q,4,FALSE)</f>
        <v>Velg</v>
      </c>
      <c r="R777" s="101"/>
      <c r="U777" s="101"/>
    </row>
    <row r="778" ht="22.5" customHeight="1">
      <c r="A778" s="49"/>
      <c r="C778" s="185">
        <v>46001.0</v>
      </c>
      <c r="D778" s="185">
        <v>46001.0</v>
      </c>
      <c r="E778" s="69" t="s">
        <v>81</v>
      </c>
      <c r="F778" s="243" t="s">
        <v>343</v>
      </c>
      <c r="G778" s="69" t="s">
        <v>1649</v>
      </c>
      <c r="H778" s="69" t="s">
        <v>87</v>
      </c>
      <c r="I778" s="140" t="s">
        <v>265</v>
      </c>
      <c r="J778" s="446">
        <v>10.0</v>
      </c>
      <c r="K778" s="140">
        <v>600000.0</v>
      </c>
      <c r="L778" s="140">
        <v>600000.0</v>
      </c>
      <c r="M778" s="140" t="s">
        <v>657</v>
      </c>
      <c r="N778" s="74">
        <f t="shared" si="5"/>
        <v>6000000</v>
      </c>
      <c r="O778" s="60">
        <f t="shared" si="2"/>
        <v>46076</v>
      </c>
      <c r="P778" s="65" t="str">
        <f>VLOOKUP(I778,DATABASE!C:Q,11,FALSE)</f>
        <v>Tire</v>
      </c>
      <c r="Q778" s="65" t="str">
        <f>VLOOKUP(I778,DATABASE!C:Q,4,FALSE)</f>
        <v>Dunlop</v>
      </c>
      <c r="R778" s="101"/>
      <c r="U778" s="101"/>
    </row>
    <row r="779" ht="22.5" customHeight="1">
      <c r="A779" s="49"/>
      <c r="C779" s="192">
        <v>46001.0</v>
      </c>
      <c r="D779" s="192">
        <v>46001.0</v>
      </c>
      <c r="E779" s="69" t="s">
        <v>81</v>
      </c>
      <c r="F779" s="243" t="s">
        <v>343</v>
      </c>
      <c r="G779" s="69" t="s">
        <v>1649</v>
      </c>
      <c r="H779" s="69" t="s">
        <v>87</v>
      </c>
      <c r="I779" s="140" t="s">
        <v>275</v>
      </c>
      <c r="J779" s="446">
        <v>10.0</v>
      </c>
      <c r="K779" s="140">
        <v>745000.0</v>
      </c>
      <c r="L779" s="140">
        <v>745000.0</v>
      </c>
      <c r="M779" s="140" t="s">
        <v>657</v>
      </c>
      <c r="N779" s="74">
        <f t="shared" si="5"/>
        <v>7450000</v>
      </c>
      <c r="O779" s="60">
        <f t="shared" si="2"/>
        <v>46076</v>
      </c>
      <c r="P779" s="65" t="str">
        <f>VLOOKUP(I779,DATABASE!C:Q,11,FALSE)</f>
        <v>Tire</v>
      </c>
      <c r="Q779" s="65" t="str">
        <f>VLOOKUP(I779,DATABASE!C:Q,4,FALSE)</f>
        <v>Dunlop</v>
      </c>
      <c r="R779" s="101"/>
      <c r="U779" s="101"/>
    </row>
    <row r="780" ht="22.5" customHeight="1">
      <c r="A780" s="49"/>
      <c r="C780" s="192">
        <v>46001.0</v>
      </c>
      <c r="D780" s="192">
        <v>46001.0</v>
      </c>
      <c r="E780" s="69" t="s">
        <v>81</v>
      </c>
      <c r="F780" s="243" t="s">
        <v>343</v>
      </c>
      <c r="G780" s="69" t="s">
        <v>1649</v>
      </c>
      <c r="H780" s="69" t="s">
        <v>87</v>
      </c>
      <c r="I780" s="140" t="s">
        <v>268</v>
      </c>
      <c r="J780" s="446">
        <v>16.0</v>
      </c>
      <c r="K780" s="140">
        <v>622000.0</v>
      </c>
      <c r="L780" s="140">
        <v>622000.0</v>
      </c>
      <c r="M780" s="140" t="s">
        <v>657</v>
      </c>
      <c r="N780" s="74">
        <f t="shared" si="5"/>
        <v>9952000</v>
      </c>
      <c r="O780" s="60">
        <f t="shared" si="2"/>
        <v>46076</v>
      </c>
      <c r="P780" s="65" t="str">
        <f>VLOOKUP(I780,DATABASE!C:Q,11,FALSE)</f>
        <v>Tire</v>
      </c>
      <c r="Q780" s="65" t="str">
        <f>VLOOKUP(I780,DATABASE!C:Q,4,FALSE)</f>
        <v>Dunlop</v>
      </c>
      <c r="R780" s="101"/>
      <c r="U780" s="101"/>
    </row>
    <row r="781" ht="22.5" customHeight="1">
      <c r="A781" s="49"/>
      <c r="C781" s="192">
        <v>46001.0</v>
      </c>
      <c r="D781" s="192">
        <v>46001.0</v>
      </c>
      <c r="E781" s="69" t="s">
        <v>81</v>
      </c>
      <c r="F781" s="243" t="s">
        <v>343</v>
      </c>
      <c r="G781" s="69" t="s">
        <v>1649</v>
      </c>
      <c r="H781" s="69" t="s">
        <v>87</v>
      </c>
      <c r="I781" s="140" t="s">
        <v>261</v>
      </c>
      <c r="J781" s="446">
        <v>4.0</v>
      </c>
      <c r="K781" s="140">
        <v>415000.0</v>
      </c>
      <c r="L781" s="140">
        <v>415000.0</v>
      </c>
      <c r="M781" s="140" t="s">
        <v>657</v>
      </c>
      <c r="N781" s="74">
        <f t="shared" si="5"/>
        <v>1660000</v>
      </c>
      <c r="O781" s="60">
        <f t="shared" si="2"/>
        <v>46076</v>
      </c>
      <c r="P781" s="65" t="str">
        <f>VLOOKUP(I781,DATABASE!C:Q,11,FALSE)</f>
        <v>Tire</v>
      </c>
      <c r="Q781" s="65" t="str">
        <f>VLOOKUP(I781,DATABASE!C:Q,4,FALSE)</f>
        <v>Dunlop</v>
      </c>
      <c r="R781" s="101"/>
      <c r="U781" s="101"/>
    </row>
    <row r="782" ht="22.5" customHeight="1">
      <c r="A782" s="49"/>
      <c r="C782" s="192">
        <v>46001.0</v>
      </c>
      <c r="D782" s="192">
        <v>46001.0</v>
      </c>
      <c r="E782" s="69" t="s">
        <v>81</v>
      </c>
      <c r="F782" s="243" t="s">
        <v>343</v>
      </c>
      <c r="G782" s="69" t="s">
        <v>1649</v>
      </c>
      <c r="H782" s="69" t="s">
        <v>87</v>
      </c>
      <c r="I782" s="140" t="s">
        <v>276</v>
      </c>
      <c r="J782" s="446">
        <v>4.0</v>
      </c>
      <c r="K782" s="140">
        <v>607000.0</v>
      </c>
      <c r="L782" s="140">
        <v>607000.0</v>
      </c>
      <c r="M782" s="140" t="s">
        <v>657</v>
      </c>
      <c r="N782" s="74">
        <f t="shared" si="5"/>
        <v>2428000</v>
      </c>
      <c r="O782" s="60">
        <f t="shared" si="2"/>
        <v>46076</v>
      </c>
      <c r="P782" s="65" t="str">
        <f>VLOOKUP(I782,DATABASE!C:Q,11,FALSE)</f>
        <v>Tire</v>
      </c>
      <c r="Q782" s="65" t="str">
        <f>VLOOKUP(I782,DATABASE!C:Q,4,FALSE)</f>
        <v>Dunlop</v>
      </c>
      <c r="R782" s="101"/>
      <c r="U782" s="101"/>
    </row>
    <row r="783" ht="22.5" customHeight="1">
      <c r="A783" s="49"/>
      <c r="C783" s="192">
        <v>46001.0</v>
      </c>
      <c r="D783" s="192">
        <v>46001.0</v>
      </c>
      <c r="E783" s="69" t="s">
        <v>81</v>
      </c>
      <c r="F783" s="243" t="s">
        <v>343</v>
      </c>
      <c r="G783" s="69" t="s">
        <v>1649</v>
      </c>
      <c r="H783" s="69" t="s">
        <v>87</v>
      </c>
      <c r="I783" s="140" t="s">
        <v>695</v>
      </c>
      <c r="J783" s="446">
        <v>6.0</v>
      </c>
      <c r="K783" s="140">
        <v>570000.0</v>
      </c>
      <c r="L783" s="140">
        <v>570000.0</v>
      </c>
      <c r="M783" s="140" t="s">
        <v>657</v>
      </c>
      <c r="N783" s="74">
        <f t="shared" si="5"/>
        <v>3420000</v>
      </c>
      <c r="O783" s="60">
        <f t="shared" si="2"/>
        <v>46076</v>
      </c>
      <c r="P783" s="65" t="str">
        <f>VLOOKUP(I783,DATABASE!C:Q,11,FALSE)</f>
        <v>Tire</v>
      </c>
      <c r="Q783" s="65" t="str">
        <f>VLOOKUP(I783,DATABASE!C:Q,4,FALSE)</f>
        <v>Dunlop</v>
      </c>
      <c r="R783" s="101"/>
      <c r="U783" s="101"/>
    </row>
    <row r="784" ht="22.5" customHeight="1">
      <c r="A784" s="49"/>
      <c r="C784" s="192">
        <v>46001.0</v>
      </c>
      <c r="D784" s="192">
        <v>46001.0</v>
      </c>
      <c r="E784" s="69" t="s">
        <v>81</v>
      </c>
      <c r="F784" s="243" t="s">
        <v>343</v>
      </c>
      <c r="G784" s="69" t="s">
        <v>1649</v>
      </c>
      <c r="H784" s="69" t="s">
        <v>87</v>
      </c>
      <c r="I784" s="140" t="s">
        <v>271</v>
      </c>
      <c r="J784" s="446">
        <v>10.0</v>
      </c>
      <c r="K784" s="140">
        <v>539000.0</v>
      </c>
      <c r="L784" s="140">
        <v>539000.0</v>
      </c>
      <c r="M784" s="140" t="s">
        <v>657</v>
      </c>
      <c r="N784" s="74">
        <f t="shared" si="5"/>
        <v>5390000</v>
      </c>
      <c r="O784" s="60">
        <f t="shared" si="2"/>
        <v>46076</v>
      </c>
      <c r="P784" s="65" t="str">
        <f>VLOOKUP(I784,DATABASE!C:Q,11,FALSE)</f>
        <v>Tire</v>
      </c>
      <c r="Q784" s="65" t="str">
        <f>VLOOKUP(I784,DATABASE!C:Q,4,FALSE)</f>
        <v>Dunlop</v>
      </c>
      <c r="R784" s="101"/>
      <c r="U784" s="101"/>
    </row>
    <row r="785" ht="22.5" customHeight="1">
      <c r="A785" s="49"/>
      <c r="C785" s="192">
        <v>46001.0</v>
      </c>
      <c r="D785" s="192">
        <v>46001.0</v>
      </c>
      <c r="E785" s="69" t="s">
        <v>81</v>
      </c>
      <c r="F785" s="243" t="s">
        <v>343</v>
      </c>
      <c r="G785" s="69" t="s">
        <v>1649</v>
      </c>
      <c r="H785" s="69" t="s">
        <v>87</v>
      </c>
      <c r="I785" s="140" t="s">
        <v>955</v>
      </c>
      <c r="J785" s="446">
        <v>7.0</v>
      </c>
      <c r="K785" s="140">
        <v>674000.0</v>
      </c>
      <c r="L785" s="140">
        <v>674000.0</v>
      </c>
      <c r="M785" s="140" t="s">
        <v>657</v>
      </c>
      <c r="N785" s="74">
        <f t="shared" si="5"/>
        <v>4718000</v>
      </c>
      <c r="O785" s="60">
        <f t="shared" si="2"/>
        <v>46076</v>
      </c>
      <c r="P785" s="65" t="str">
        <f>VLOOKUP(I785,DATABASE!C:Q,11,FALSE)</f>
        <v>Tire</v>
      </c>
      <c r="Q785" s="65" t="str">
        <f>VLOOKUP(I785,DATABASE!C:Q,4,FALSE)</f>
        <v>Dunlop</v>
      </c>
      <c r="R785" s="101"/>
      <c r="U785" s="101"/>
    </row>
    <row r="786" ht="22.5" customHeight="1">
      <c r="A786" s="49"/>
      <c r="C786" s="192">
        <v>46001.0</v>
      </c>
      <c r="D786" s="192">
        <v>46001.0</v>
      </c>
      <c r="E786" s="69" t="s">
        <v>81</v>
      </c>
      <c r="F786" s="243" t="s">
        <v>343</v>
      </c>
      <c r="G786" s="69" t="s">
        <v>1649</v>
      </c>
      <c r="H786" s="69" t="s">
        <v>87</v>
      </c>
      <c r="I786" s="140" t="s">
        <v>1429</v>
      </c>
      <c r="J786" s="446">
        <v>2.0</v>
      </c>
      <c r="K786" s="140">
        <v>840000.0</v>
      </c>
      <c r="L786" s="140">
        <v>840000.0</v>
      </c>
      <c r="M786" s="140" t="s">
        <v>657</v>
      </c>
      <c r="N786" s="74">
        <f t="shared" si="5"/>
        <v>1680000</v>
      </c>
      <c r="O786" s="60">
        <f t="shared" si="2"/>
        <v>46076</v>
      </c>
      <c r="P786" s="65" t="str">
        <f>VLOOKUP(I786,DATABASE!C:Q,11,FALSE)</f>
        <v>Tire</v>
      </c>
      <c r="Q786" s="65" t="str">
        <f>VLOOKUP(I786,DATABASE!C:Q,4,FALSE)</f>
        <v>Dunlop</v>
      </c>
      <c r="R786" s="101"/>
      <c r="U786" s="101"/>
    </row>
    <row r="787" ht="22.5" customHeight="1">
      <c r="A787" s="49"/>
      <c r="C787" s="192">
        <v>46001.0</v>
      </c>
      <c r="D787" s="192">
        <v>46001.0</v>
      </c>
      <c r="E787" s="69" t="s">
        <v>81</v>
      </c>
      <c r="F787" s="243" t="s">
        <v>343</v>
      </c>
      <c r="G787" s="69" t="s">
        <v>1649</v>
      </c>
      <c r="H787" s="69" t="s">
        <v>87</v>
      </c>
      <c r="I787" s="140" t="s">
        <v>1486</v>
      </c>
      <c r="J787" s="446">
        <v>4.0</v>
      </c>
      <c r="K787" s="140">
        <v>877000.0</v>
      </c>
      <c r="L787" s="140">
        <v>877000.0</v>
      </c>
      <c r="M787" s="140" t="s">
        <v>657</v>
      </c>
      <c r="N787" s="74">
        <f t="shared" si="5"/>
        <v>3508000</v>
      </c>
      <c r="O787" s="60">
        <f t="shared" si="2"/>
        <v>46076</v>
      </c>
      <c r="P787" s="65" t="str">
        <f>VLOOKUP(I787,DATABASE!C:Q,11,FALSE)</f>
        <v>Tire</v>
      </c>
      <c r="Q787" s="65" t="str">
        <f>VLOOKUP(I787,DATABASE!C:Q,4,FALSE)</f>
        <v>Dunlop</v>
      </c>
      <c r="R787" s="101"/>
      <c r="U787" s="101"/>
    </row>
    <row r="788" ht="22.5" customHeight="1">
      <c r="A788" s="49"/>
      <c r="C788" s="192">
        <v>46001.0</v>
      </c>
      <c r="D788" s="192">
        <v>46001.0</v>
      </c>
      <c r="E788" s="69" t="s">
        <v>81</v>
      </c>
      <c r="F788" s="243" t="s">
        <v>343</v>
      </c>
      <c r="G788" s="69" t="s">
        <v>1649</v>
      </c>
      <c r="H788" s="69" t="s">
        <v>87</v>
      </c>
      <c r="I788" s="140" t="s">
        <v>1524</v>
      </c>
      <c r="J788" s="446">
        <v>4.0</v>
      </c>
      <c r="K788" s="140">
        <v>1028000.0</v>
      </c>
      <c r="L788" s="140">
        <v>1017000.0</v>
      </c>
      <c r="M788" s="140" t="s">
        <v>657</v>
      </c>
      <c r="N788" s="74">
        <f t="shared" si="5"/>
        <v>4068000</v>
      </c>
      <c r="O788" s="60">
        <f t="shared" si="2"/>
        <v>46076</v>
      </c>
      <c r="P788" s="65" t="str">
        <f>VLOOKUP(I788,DATABASE!C:Q,11,FALSE)</f>
        <v>Tire</v>
      </c>
      <c r="Q788" s="65" t="str">
        <f>VLOOKUP(I788,DATABASE!C:Q,4,FALSE)</f>
        <v>Dunlop</v>
      </c>
      <c r="R788" s="101"/>
      <c r="U788" s="101"/>
    </row>
    <row r="789" ht="22.5" customHeight="1">
      <c r="A789" s="49"/>
      <c r="C789" s="192">
        <v>46001.0</v>
      </c>
      <c r="D789" s="192">
        <v>46001.0</v>
      </c>
      <c r="E789" s="69" t="s">
        <v>81</v>
      </c>
      <c r="F789" s="243" t="s">
        <v>343</v>
      </c>
      <c r="G789" s="69" t="s">
        <v>1649</v>
      </c>
      <c r="H789" s="69" t="s">
        <v>87</v>
      </c>
      <c r="I789" s="140" t="s">
        <v>1372</v>
      </c>
      <c r="J789" s="446">
        <v>4.0</v>
      </c>
      <c r="K789" s="140">
        <v>1040000.0</v>
      </c>
      <c r="L789" s="140">
        <v>1029000.0</v>
      </c>
      <c r="M789" s="140" t="s">
        <v>657</v>
      </c>
      <c r="N789" s="74">
        <f t="shared" si="5"/>
        <v>4116000</v>
      </c>
      <c r="O789" s="60">
        <f t="shared" si="2"/>
        <v>46076</v>
      </c>
      <c r="P789" s="65" t="str">
        <f>VLOOKUP(I789,DATABASE!C:Q,11,FALSE)</f>
        <v>Tire</v>
      </c>
      <c r="Q789" s="65" t="str">
        <f>VLOOKUP(I789,DATABASE!C:Q,4,FALSE)</f>
        <v>Dunlop</v>
      </c>
      <c r="R789" s="101"/>
      <c r="U789" s="101"/>
    </row>
    <row r="790" ht="22.5" customHeight="1">
      <c r="A790" s="49"/>
      <c r="C790" s="192">
        <v>46001.0</v>
      </c>
      <c r="D790" s="192">
        <v>46001.0</v>
      </c>
      <c r="E790" s="69" t="s">
        <v>81</v>
      </c>
      <c r="F790" s="243" t="s">
        <v>343</v>
      </c>
      <c r="G790" s="69" t="s">
        <v>1649</v>
      </c>
      <c r="H790" s="69" t="s">
        <v>87</v>
      </c>
      <c r="I790" s="140" t="s">
        <v>1389</v>
      </c>
      <c r="J790" s="446">
        <v>4.0</v>
      </c>
      <c r="K790" s="140">
        <v>897000.0</v>
      </c>
      <c r="L790" s="140">
        <v>897000.0</v>
      </c>
      <c r="M790" s="140" t="s">
        <v>657</v>
      </c>
      <c r="N790" s="74">
        <f t="shared" si="5"/>
        <v>3588000</v>
      </c>
      <c r="O790" s="60">
        <f t="shared" si="2"/>
        <v>46076</v>
      </c>
      <c r="P790" s="65" t="str">
        <f>VLOOKUP(I790,DATABASE!C:Q,11,FALSE)</f>
        <v>Tire</v>
      </c>
      <c r="Q790" s="65" t="str">
        <f>VLOOKUP(I790,DATABASE!C:Q,4,FALSE)</f>
        <v>Dunlop</v>
      </c>
      <c r="R790" s="101"/>
      <c r="U790" s="101"/>
    </row>
    <row r="791" ht="22.5" customHeight="1">
      <c r="A791" s="49"/>
      <c r="C791" s="192">
        <v>46001.0</v>
      </c>
      <c r="D791" s="192">
        <v>46001.0</v>
      </c>
      <c r="E791" s="69" t="s">
        <v>81</v>
      </c>
      <c r="F791" s="243" t="s">
        <v>343</v>
      </c>
      <c r="G791" s="69" t="s">
        <v>1649</v>
      </c>
      <c r="H791" s="69" t="s">
        <v>87</v>
      </c>
      <c r="I791" s="140" t="s">
        <v>1565</v>
      </c>
      <c r="J791" s="446">
        <v>4.0</v>
      </c>
      <c r="K791" s="140">
        <v>1292000.0</v>
      </c>
      <c r="L791" s="140">
        <v>1292000.0</v>
      </c>
      <c r="M791" s="140" t="s">
        <v>657</v>
      </c>
      <c r="N791" s="74">
        <f t="shared" si="5"/>
        <v>5168000</v>
      </c>
      <c r="O791" s="60">
        <f t="shared" si="2"/>
        <v>46076</v>
      </c>
      <c r="P791" s="65" t="str">
        <f>VLOOKUP(I791,DATABASE!C:Q,11,FALSE)</f>
        <v>Tire</v>
      </c>
      <c r="Q791" s="65" t="str">
        <f>VLOOKUP(I791,DATABASE!C:Q,4,FALSE)</f>
        <v>Dunlop</v>
      </c>
      <c r="R791" s="101"/>
      <c r="U791" s="101"/>
    </row>
    <row r="792" ht="22.5" customHeight="1">
      <c r="A792" s="49"/>
      <c r="C792" s="192">
        <v>46001.0</v>
      </c>
      <c r="D792" s="192">
        <v>46001.0</v>
      </c>
      <c r="E792" s="69" t="s">
        <v>81</v>
      </c>
      <c r="F792" s="243" t="s">
        <v>343</v>
      </c>
      <c r="G792" s="69" t="s">
        <v>1649</v>
      </c>
      <c r="H792" s="69" t="s">
        <v>87</v>
      </c>
      <c r="I792" s="140" t="s">
        <v>968</v>
      </c>
      <c r="J792" s="446">
        <v>3.0</v>
      </c>
      <c r="K792" s="140">
        <v>570500.0</v>
      </c>
      <c r="L792" s="140">
        <v>570500.0</v>
      </c>
      <c r="M792" s="140" t="s">
        <v>657</v>
      </c>
      <c r="N792" s="74">
        <f t="shared" si="5"/>
        <v>1711500</v>
      </c>
      <c r="O792" s="60">
        <f t="shared" si="2"/>
        <v>46076</v>
      </c>
      <c r="P792" s="65" t="str">
        <f>VLOOKUP(I792,DATABASE!C:Q,11,FALSE)</f>
        <v>Tire</v>
      </c>
      <c r="Q792" s="65" t="str">
        <f>VLOOKUP(I792,DATABASE!C:Q,4,FALSE)</f>
        <v>Dunlop</v>
      </c>
      <c r="R792" s="101"/>
      <c r="U792" s="101"/>
    </row>
    <row r="793" ht="22.5" customHeight="1">
      <c r="A793" s="49"/>
      <c r="C793" s="538">
        <v>46001.0</v>
      </c>
      <c r="D793" s="538">
        <v>46000.0</v>
      </c>
      <c r="E793" s="419" t="s">
        <v>97</v>
      </c>
      <c r="F793" s="539" t="s">
        <v>343</v>
      </c>
      <c r="G793" s="419" t="s">
        <v>2469</v>
      </c>
      <c r="H793" s="69" t="s">
        <v>87</v>
      </c>
      <c r="I793" s="540" t="s">
        <v>581</v>
      </c>
      <c r="J793" s="541">
        <v>10.0</v>
      </c>
      <c r="K793" s="540">
        <v>531715.5</v>
      </c>
      <c r="L793" s="540">
        <v>531715.5</v>
      </c>
      <c r="M793" s="140" t="s">
        <v>521</v>
      </c>
      <c r="N793" s="74">
        <f t="shared" si="5"/>
        <v>5317155</v>
      </c>
      <c r="O793" s="60">
        <f t="shared" si="2"/>
        <v>46060</v>
      </c>
      <c r="P793" s="65" t="str">
        <f>VLOOKUP(I793,DATABASE!C:Q,11,FALSE)</f>
        <v>Tire</v>
      </c>
      <c r="Q793" s="65" t="str">
        <f>VLOOKUP(I793,DATABASE!C:Q,4,FALSE)</f>
        <v>Bridgestone</v>
      </c>
      <c r="R793" s="101"/>
      <c r="U793" s="101"/>
    </row>
    <row r="794" ht="22.5" customHeight="1">
      <c r="A794" s="49"/>
      <c r="C794" s="538">
        <v>46001.0</v>
      </c>
      <c r="D794" s="538">
        <v>46000.0</v>
      </c>
      <c r="E794" s="419" t="s">
        <v>97</v>
      </c>
      <c r="F794" s="539" t="s">
        <v>343</v>
      </c>
      <c r="G794" s="419" t="s">
        <v>2469</v>
      </c>
      <c r="H794" s="69" t="s">
        <v>87</v>
      </c>
      <c r="I794" s="540" t="s">
        <v>591</v>
      </c>
      <c r="J794" s="541">
        <v>10.0</v>
      </c>
      <c r="K794" s="540">
        <v>596694.4</v>
      </c>
      <c r="L794" s="540">
        <v>596694.4</v>
      </c>
      <c r="M794" s="140" t="s">
        <v>521</v>
      </c>
      <c r="N794" s="74">
        <f t="shared" si="5"/>
        <v>5966944</v>
      </c>
      <c r="O794" s="60">
        <f t="shared" si="2"/>
        <v>46060</v>
      </c>
      <c r="P794" s="65" t="str">
        <f>VLOOKUP(I794,DATABASE!C:Q,11,FALSE)</f>
        <v>Tire</v>
      </c>
      <c r="Q794" s="65" t="str">
        <f>VLOOKUP(I794,DATABASE!C:Q,4,FALSE)</f>
        <v>Bridgestone</v>
      </c>
      <c r="R794" s="101"/>
      <c r="U794" s="101"/>
    </row>
    <row r="795" ht="22.5" customHeight="1">
      <c r="A795" s="49"/>
      <c r="C795" s="192">
        <v>46001.0</v>
      </c>
      <c r="D795" s="192">
        <v>46000.0</v>
      </c>
      <c r="E795" s="69" t="s">
        <v>97</v>
      </c>
      <c r="F795" s="243" t="s">
        <v>343</v>
      </c>
      <c r="G795" s="69" t="s">
        <v>2469</v>
      </c>
      <c r="H795" s="69" t="s">
        <v>87</v>
      </c>
      <c r="I795" s="140" t="s">
        <v>600</v>
      </c>
      <c r="J795" s="446">
        <v>10.0</v>
      </c>
      <c r="K795" s="140">
        <v>575880.8</v>
      </c>
      <c r="L795" s="140">
        <v>575780.8</v>
      </c>
      <c r="M795" s="140" t="s">
        <v>521</v>
      </c>
      <c r="N795" s="74">
        <f t="shared" si="5"/>
        <v>5757808</v>
      </c>
      <c r="O795" s="60">
        <f t="shared" si="2"/>
        <v>46060</v>
      </c>
      <c r="P795" s="65" t="str">
        <f>VLOOKUP(I795,DATABASE!C:Q,11,FALSE)</f>
        <v>Tire</v>
      </c>
      <c r="Q795" s="65" t="str">
        <f>VLOOKUP(I795,DATABASE!C:Q,4,FALSE)</f>
        <v>Bridgestone</v>
      </c>
      <c r="R795" s="101"/>
      <c r="U795" s="101"/>
    </row>
    <row r="796" ht="22.5" customHeight="1">
      <c r="A796" s="49"/>
      <c r="C796" s="192">
        <v>46001.0</v>
      </c>
      <c r="D796" s="192">
        <v>46000.0</v>
      </c>
      <c r="E796" s="69" t="s">
        <v>97</v>
      </c>
      <c r="F796" s="243" t="s">
        <v>343</v>
      </c>
      <c r="G796" s="69" t="s">
        <v>2469</v>
      </c>
      <c r="H796" s="69" t="s">
        <v>87</v>
      </c>
      <c r="I796" s="140" t="s">
        <v>605</v>
      </c>
      <c r="J796" s="446">
        <v>10.0</v>
      </c>
      <c r="K796" s="140">
        <v>650000.0</v>
      </c>
      <c r="L796" s="140">
        <v>650000.0</v>
      </c>
      <c r="M796" s="140" t="s">
        <v>521</v>
      </c>
      <c r="N796" s="74">
        <f t="shared" si="5"/>
        <v>6500000</v>
      </c>
      <c r="O796" s="60">
        <f t="shared" si="2"/>
        <v>46060</v>
      </c>
      <c r="P796" s="65" t="str">
        <f>VLOOKUP(I796,DATABASE!C:Q,11,FALSE)</f>
        <v>Tire</v>
      </c>
      <c r="Q796" s="65" t="str">
        <f>VLOOKUP(I796,DATABASE!C:Q,4,FALSE)</f>
        <v>Bridgestone</v>
      </c>
      <c r="R796" s="101"/>
      <c r="U796" s="101"/>
    </row>
    <row r="797" ht="22.5" customHeight="1">
      <c r="A797" s="49"/>
      <c r="C797" s="192">
        <v>46001.0</v>
      </c>
      <c r="D797" s="192">
        <v>46000.0</v>
      </c>
      <c r="E797" s="69" t="s">
        <v>97</v>
      </c>
      <c r="F797" s="243" t="s">
        <v>343</v>
      </c>
      <c r="G797" s="69" t="s">
        <v>2469</v>
      </c>
      <c r="H797" s="69" t="s">
        <v>87</v>
      </c>
      <c r="I797" s="140" t="s">
        <v>554</v>
      </c>
      <c r="J797" s="446">
        <v>10.0</v>
      </c>
      <c r="K797" s="140">
        <v>680000.0</v>
      </c>
      <c r="L797" s="140">
        <v>680000.0</v>
      </c>
      <c r="M797" s="140" t="s">
        <v>521</v>
      </c>
      <c r="N797" s="74">
        <f t="shared" si="5"/>
        <v>6800000</v>
      </c>
      <c r="O797" s="60">
        <f t="shared" si="2"/>
        <v>46060</v>
      </c>
      <c r="P797" s="65" t="str">
        <f>VLOOKUP(I797,DATABASE!C:Q,11,FALSE)</f>
        <v>Tire</v>
      </c>
      <c r="Q797" s="65" t="str">
        <f>VLOOKUP(I797,DATABASE!C:Q,4,FALSE)</f>
        <v>Bridgestone</v>
      </c>
      <c r="R797" s="101"/>
      <c r="U797" s="101"/>
    </row>
    <row r="798" ht="22.5" customHeight="1">
      <c r="A798" s="49"/>
      <c r="C798" s="192">
        <v>46001.0</v>
      </c>
      <c r="D798" s="192">
        <v>46000.0</v>
      </c>
      <c r="E798" s="69" t="s">
        <v>97</v>
      </c>
      <c r="F798" s="243" t="s">
        <v>343</v>
      </c>
      <c r="G798" s="69" t="s">
        <v>2469</v>
      </c>
      <c r="H798" s="69" t="s">
        <v>87</v>
      </c>
      <c r="I798" s="140" t="s">
        <v>937</v>
      </c>
      <c r="J798" s="446">
        <v>10.0</v>
      </c>
      <c r="K798" s="140">
        <v>790000.0</v>
      </c>
      <c r="L798" s="140">
        <v>790000.0</v>
      </c>
      <c r="M798" s="140" t="s">
        <v>521</v>
      </c>
      <c r="N798" s="74">
        <f t="shared" si="5"/>
        <v>7900000</v>
      </c>
      <c r="O798" s="60">
        <f t="shared" si="2"/>
        <v>46060</v>
      </c>
      <c r="P798" s="65" t="str">
        <f>VLOOKUP(I798,DATABASE!C:Q,11,FALSE)</f>
        <v>Tire</v>
      </c>
      <c r="Q798" s="65" t="str">
        <f>VLOOKUP(I798,DATABASE!C:Q,4,FALSE)</f>
        <v>Bridgestone</v>
      </c>
      <c r="R798" s="101"/>
      <c r="U798" s="101"/>
    </row>
    <row r="799" ht="22.5" customHeight="1">
      <c r="A799" s="49"/>
      <c r="C799" s="192">
        <v>46001.0</v>
      </c>
      <c r="D799" s="192">
        <v>46000.0</v>
      </c>
      <c r="E799" s="69" t="s">
        <v>97</v>
      </c>
      <c r="F799" s="243" t="s">
        <v>343</v>
      </c>
      <c r="G799" s="69" t="s">
        <v>2469</v>
      </c>
      <c r="H799" s="69" t="s">
        <v>87</v>
      </c>
      <c r="I799" s="140" t="s">
        <v>1033</v>
      </c>
      <c r="J799" s="446">
        <v>6.0</v>
      </c>
      <c r="K799" s="140">
        <v>664205.6</v>
      </c>
      <c r="L799" s="140">
        <v>644205.6</v>
      </c>
      <c r="M799" s="140" t="s">
        <v>521</v>
      </c>
      <c r="N799" s="74">
        <f t="shared" si="5"/>
        <v>3865233.6</v>
      </c>
      <c r="O799" s="60">
        <f t="shared" si="2"/>
        <v>46060</v>
      </c>
      <c r="P799" s="65" t="str">
        <f>VLOOKUP(I799,DATABASE!C:Q,11,FALSE)</f>
        <v>Tire</v>
      </c>
      <c r="Q799" s="65" t="str">
        <f>VLOOKUP(I799,DATABASE!C:Q,4,FALSE)</f>
        <v>Bridgestone</v>
      </c>
      <c r="R799" s="101"/>
      <c r="U799" s="101"/>
    </row>
    <row r="800" ht="22.5" customHeight="1">
      <c r="A800" s="49"/>
      <c r="C800" s="192">
        <v>46001.0</v>
      </c>
      <c r="D800" s="192">
        <v>46000.0</v>
      </c>
      <c r="E800" s="69" t="s">
        <v>97</v>
      </c>
      <c r="F800" s="243" t="s">
        <v>343</v>
      </c>
      <c r="G800" s="69" t="s">
        <v>2470</v>
      </c>
      <c r="H800" s="69" t="s">
        <v>87</v>
      </c>
      <c r="I800" s="140" t="s">
        <v>566</v>
      </c>
      <c r="J800" s="446">
        <v>5.0</v>
      </c>
      <c r="K800" s="140">
        <v>1545000.0</v>
      </c>
      <c r="L800" s="140">
        <v>1545000.0</v>
      </c>
      <c r="M800" s="140" t="s">
        <v>521</v>
      </c>
      <c r="N800" s="74">
        <f t="shared" si="5"/>
        <v>7725000</v>
      </c>
      <c r="O800" s="60">
        <f t="shared" si="2"/>
        <v>46060</v>
      </c>
      <c r="P800" s="65" t="str">
        <f>VLOOKUP(I800,DATABASE!C:Q,11,FALSE)</f>
        <v>Tire</v>
      </c>
      <c r="Q800" s="65" t="str">
        <f>VLOOKUP(I800,DATABASE!C:Q,4,FALSE)</f>
        <v>Bridgestone</v>
      </c>
      <c r="R800" s="101"/>
      <c r="U800" s="101"/>
    </row>
    <row r="801" ht="22.5" customHeight="1">
      <c r="A801" s="49"/>
      <c r="C801" s="192">
        <v>46001.0</v>
      </c>
      <c r="D801" s="192">
        <v>46000.0</v>
      </c>
      <c r="E801" s="69" t="s">
        <v>97</v>
      </c>
      <c r="F801" s="243" t="s">
        <v>343</v>
      </c>
      <c r="G801" s="69" t="s">
        <v>2470</v>
      </c>
      <c r="H801" s="69" t="s">
        <v>87</v>
      </c>
      <c r="I801" s="140" t="s">
        <v>572</v>
      </c>
      <c r="J801" s="446">
        <v>4.0</v>
      </c>
      <c r="K801" s="140">
        <v>1245000.0</v>
      </c>
      <c r="L801" s="140">
        <v>1245000.0</v>
      </c>
      <c r="M801" s="140" t="s">
        <v>521</v>
      </c>
      <c r="N801" s="74">
        <f t="shared" si="5"/>
        <v>4980000</v>
      </c>
      <c r="O801" s="60">
        <f t="shared" si="2"/>
        <v>46060</v>
      </c>
      <c r="P801" s="65" t="str">
        <f>VLOOKUP(I801,DATABASE!C:Q,11,FALSE)</f>
        <v>Tire</v>
      </c>
      <c r="Q801" s="65" t="str">
        <f>VLOOKUP(I801,DATABASE!C:Q,4,FALSE)</f>
        <v>Bridgestone</v>
      </c>
      <c r="R801" s="101"/>
      <c r="U801" s="101"/>
    </row>
    <row r="802" ht="22.5" customHeight="1">
      <c r="A802" s="49"/>
      <c r="C802" s="192">
        <v>46001.0</v>
      </c>
      <c r="D802" s="192">
        <v>46000.0</v>
      </c>
      <c r="E802" s="69" t="s">
        <v>97</v>
      </c>
      <c r="F802" s="243" t="s">
        <v>343</v>
      </c>
      <c r="G802" s="69" t="s">
        <v>2471</v>
      </c>
      <c r="H802" s="69" t="s">
        <v>87</v>
      </c>
      <c r="I802" s="140" t="s">
        <v>627</v>
      </c>
      <c r="J802" s="446">
        <v>10.0</v>
      </c>
      <c r="K802" s="140">
        <v>830273.6</v>
      </c>
      <c r="L802" s="140">
        <v>830273.6</v>
      </c>
      <c r="M802" s="140" t="s">
        <v>521</v>
      </c>
      <c r="N802" s="74">
        <f t="shared" si="5"/>
        <v>8302736</v>
      </c>
      <c r="O802" s="60">
        <f t="shared" si="2"/>
        <v>46060</v>
      </c>
      <c r="P802" s="65" t="str">
        <f>VLOOKUP(I802,DATABASE!C:Q,11,FALSE)</f>
        <v>Tire</v>
      </c>
      <c r="Q802" s="65" t="str">
        <f>VLOOKUP(I802,DATABASE!C:Q,4,FALSE)</f>
        <v>Bridgestone</v>
      </c>
      <c r="R802" s="101"/>
      <c r="U802" s="101"/>
    </row>
    <row r="803" ht="22.5" customHeight="1">
      <c r="A803" s="49"/>
      <c r="C803" s="192">
        <v>46001.0</v>
      </c>
      <c r="D803" s="192">
        <v>46001.0</v>
      </c>
      <c r="E803" s="69" t="s">
        <v>97</v>
      </c>
      <c r="F803" s="243" t="s">
        <v>343</v>
      </c>
      <c r="G803" s="69" t="s">
        <v>2473</v>
      </c>
      <c r="H803" s="69" t="s">
        <v>87</v>
      </c>
      <c r="I803" s="140" t="s">
        <v>1237</v>
      </c>
      <c r="J803" s="446">
        <v>4.0</v>
      </c>
      <c r="K803" s="140">
        <v>1113907.2</v>
      </c>
      <c r="L803" s="140">
        <v>1113907.2</v>
      </c>
      <c r="M803" s="140" t="s">
        <v>521</v>
      </c>
      <c r="N803" s="74">
        <f t="shared" si="5"/>
        <v>4455628.8</v>
      </c>
      <c r="O803" s="60">
        <f t="shared" si="2"/>
        <v>46061</v>
      </c>
      <c r="P803" s="65" t="str">
        <f>VLOOKUP(I803,DATABASE!C:Q,11,FALSE)</f>
        <v>Tire</v>
      </c>
      <c r="Q803" s="65" t="str">
        <f>VLOOKUP(I803,DATABASE!C:Q,4,FALSE)</f>
        <v>Bridgestone</v>
      </c>
      <c r="R803" s="101"/>
      <c r="U803" s="101"/>
    </row>
    <row r="804" ht="22.5" customHeight="1">
      <c r="A804" s="49"/>
      <c r="C804" s="192">
        <v>46002.0</v>
      </c>
      <c r="D804" s="192">
        <v>46001.0</v>
      </c>
      <c r="E804" s="69" t="s">
        <v>335</v>
      </c>
      <c r="F804" s="243" t="s">
        <v>343</v>
      </c>
      <c r="G804" s="69" t="s">
        <v>2279</v>
      </c>
      <c r="H804" s="69" t="s">
        <v>7</v>
      </c>
      <c r="I804" s="140" t="s">
        <v>403</v>
      </c>
      <c r="J804" s="446">
        <v>6.0</v>
      </c>
      <c r="K804" s="140">
        <v>2160000.0</v>
      </c>
      <c r="L804" s="140">
        <v>2160000.0</v>
      </c>
      <c r="M804" s="140" t="s">
        <v>521</v>
      </c>
      <c r="N804" s="74">
        <f t="shared" si="5"/>
        <v>12960000</v>
      </c>
      <c r="O804" s="60">
        <f t="shared" si="2"/>
        <v>46061</v>
      </c>
      <c r="P804" s="65" t="str">
        <f>VLOOKUP(I804,DATABASE!C:Q,11,FALSE)</f>
        <v>Tire</v>
      </c>
      <c r="Q804" s="65" t="str">
        <f>VLOOKUP(I804,DATABASE!C:Q,4,FALSE)</f>
        <v>Advance</v>
      </c>
      <c r="R804" s="101"/>
      <c r="U804" s="101"/>
    </row>
    <row r="805" ht="22.5" customHeight="1">
      <c r="A805" s="49"/>
      <c r="C805" s="192">
        <v>46002.0</v>
      </c>
      <c r="D805" s="192">
        <v>46001.0</v>
      </c>
      <c r="E805" s="69" t="s">
        <v>335</v>
      </c>
      <c r="F805" s="243" t="s">
        <v>343</v>
      </c>
      <c r="G805" s="69" t="s">
        <v>2279</v>
      </c>
      <c r="H805" s="69" t="s">
        <v>7</v>
      </c>
      <c r="I805" s="140" t="s">
        <v>391</v>
      </c>
      <c r="J805" s="446">
        <v>5.0</v>
      </c>
      <c r="K805" s="140">
        <v>1840000.0</v>
      </c>
      <c r="L805" s="140">
        <v>1840000.0</v>
      </c>
      <c r="M805" s="140" t="s">
        <v>521</v>
      </c>
      <c r="N805" s="74">
        <f t="shared" si="5"/>
        <v>9200000</v>
      </c>
      <c r="O805" s="60">
        <f t="shared" si="2"/>
        <v>46061</v>
      </c>
      <c r="P805" s="65" t="str">
        <f>VLOOKUP(I805,DATABASE!C:Q,11,FALSE)</f>
        <v>Tire</v>
      </c>
      <c r="Q805" s="65" t="str">
        <f>VLOOKUP(I805,DATABASE!C:Q,4,FALSE)</f>
        <v>Advance</v>
      </c>
      <c r="R805" s="101"/>
      <c r="U805" s="101"/>
    </row>
    <row r="806" ht="22.5" customHeight="1">
      <c r="A806" s="49"/>
      <c r="C806" s="192">
        <v>46002.0</v>
      </c>
      <c r="D806" s="192">
        <v>46001.0</v>
      </c>
      <c r="E806" s="69" t="s">
        <v>335</v>
      </c>
      <c r="F806" s="243" t="s">
        <v>343</v>
      </c>
      <c r="G806" s="69" t="s">
        <v>2279</v>
      </c>
      <c r="H806" s="69" t="s">
        <v>7</v>
      </c>
      <c r="I806" s="140" t="s">
        <v>924</v>
      </c>
      <c r="J806" s="446">
        <v>6.0</v>
      </c>
      <c r="K806" s="140">
        <v>1545000.0</v>
      </c>
      <c r="L806" s="140">
        <v>1545000.0</v>
      </c>
      <c r="M806" s="140" t="s">
        <v>521</v>
      </c>
      <c r="N806" s="74">
        <f t="shared" si="5"/>
        <v>9270000</v>
      </c>
      <c r="O806" s="60">
        <f t="shared" si="2"/>
        <v>46061</v>
      </c>
      <c r="P806" s="65" t="str">
        <f>VLOOKUP(I806,DATABASE!C:Q,11,FALSE)</f>
        <v>Tire</v>
      </c>
      <c r="Q806" s="65" t="str">
        <f>VLOOKUP(I806,DATABASE!C:Q,4,FALSE)</f>
        <v>TIRON</v>
      </c>
      <c r="R806" s="101"/>
      <c r="U806" s="101"/>
    </row>
    <row r="807" ht="22.5" customHeight="1">
      <c r="A807" s="49"/>
      <c r="C807" s="192">
        <v>46003.0</v>
      </c>
      <c r="D807" s="192">
        <v>46002.0</v>
      </c>
      <c r="E807" s="69" t="s">
        <v>198</v>
      </c>
      <c r="F807" s="243" t="s">
        <v>343</v>
      </c>
      <c r="G807" s="69" t="s">
        <v>2039</v>
      </c>
      <c r="H807" s="69" t="s">
        <v>7</v>
      </c>
      <c r="I807" s="140" t="s">
        <v>2611</v>
      </c>
      <c r="J807" s="446">
        <v>30.0</v>
      </c>
      <c r="K807" s="140">
        <v>81000.0</v>
      </c>
      <c r="L807" s="140">
        <v>80957.6</v>
      </c>
      <c r="M807" s="140" t="s">
        <v>521</v>
      </c>
      <c r="N807" s="74">
        <f t="shared" si="5"/>
        <v>2428728</v>
      </c>
      <c r="O807" s="60">
        <f t="shared" si="2"/>
        <v>46062</v>
      </c>
      <c r="P807" s="65" t="str">
        <f>VLOOKUP(I807,DATABASE!C:Q,11,FALSE)</f>
        <v>Tire</v>
      </c>
      <c r="Q807" s="65" t="str">
        <f>VLOOKUP(I807,DATABASE!C:Q,4,FALSE)</f>
        <v>BD IBK</v>
      </c>
      <c r="R807" s="101"/>
      <c r="U807" s="101"/>
    </row>
    <row r="808" ht="22.5" customHeight="1">
      <c r="A808" s="49"/>
      <c r="C808" s="192">
        <v>46004.0</v>
      </c>
      <c r="D808" s="192">
        <v>46002.0</v>
      </c>
      <c r="E808" s="69" t="s">
        <v>412</v>
      </c>
      <c r="F808" s="243" t="s">
        <v>998</v>
      </c>
      <c r="G808" s="524">
        <v>0.0</v>
      </c>
      <c r="H808" s="69" t="s">
        <v>2314</v>
      </c>
      <c r="I808" s="140" t="s">
        <v>301</v>
      </c>
      <c r="J808" s="446">
        <v>4.0</v>
      </c>
      <c r="K808" s="140">
        <v>75000.0</v>
      </c>
      <c r="L808" s="140">
        <v>50000.0</v>
      </c>
      <c r="M808" s="140" t="s">
        <v>1023</v>
      </c>
      <c r="N808" s="74">
        <f t="shared" si="5"/>
        <v>200000</v>
      </c>
      <c r="O808" s="60" t="str">
        <f t="shared" si="2"/>
        <v>LUNAS</v>
      </c>
      <c r="P808" s="65" t="str">
        <f>VLOOKUP(I808,DATABASE!C:Q,11,FALSE)</f>
        <v>COMPLEMENTARY</v>
      </c>
      <c r="Q808" s="65" t="str">
        <f>VLOOKUP(I808,DATABASE!C:Q,4,FALSE)</f>
        <v>Baut Camber</v>
      </c>
      <c r="R808" s="101"/>
      <c r="U808" s="101"/>
    </row>
    <row r="809" ht="22.5" customHeight="1">
      <c r="A809" s="49"/>
      <c r="C809" s="192">
        <v>46006.0</v>
      </c>
      <c r="D809" s="192">
        <v>46006.0</v>
      </c>
      <c r="E809" s="69" t="s">
        <v>412</v>
      </c>
      <c r="F809" s="247"/>
      <c r="H809" s="69" t="s">
        <v>2314</v>
      </c>
      <c r="I809" s="140" t="s">
        <v>301</v>
      </c>
      <c r="J809" s="446">
        <v>6.0</v>
      </c>
      <c r="K809" s="140">
        <v>75000.0</v>
      </c>
      <c r="L809" s="140">
        <v>50000.0</v>
      </c>
      <c r="M809" s="140" t="s">
        <v>1023</v>
      </c>
      <c r="N809" s="74">
        <f t="shared" si="5"/>
        <v>300000</v>
      </c>
      <c r="O809" s="60" t="str">
        <f t="shared" si="2"/>
        <v>LUNAS</v>
      </c>
      <c r="P809" s="65" t="str">
        <f>VLOOKUP(I809,DATABASE!C:Q,11,FALSE)</f>
        <v>COMPLEMENTARY</v>
      </c>
      <c r="Q809" s="65" t="str">
        <f>VLOOKUP(I809,DATABASE!C:Q,4,FALSE)</f>
        <v>Baut Camber</v>
      </c>
      <c r="R809" s="101"/>
      <c r="U809" s="101"/>
    </row>
    <row r="810" ht="22.5" customHeight="1">
      <c r="A810" s="49"/>
      <c r="C810" s="192">
        <v>46006.0</v>
      </c>
      <c r="D810" s="192">
        <v>46006.0</v>
      </c>
      <c r="E810" s="69" t="s">
        <v>97</v>
      </c>
      <c r="F810" s="243" t="s">
        <v>343</v>
      </c>
      <c r="G810" s="69" t="s">
        <v>2474</v>
      </c>
      <c r="H810" s="69" t="s">
        <v>87</v>
      </c>
      <c r="I810" s="140" t="s">
        <v>566</v>
      </c>
      <c r="J810" s="446">
        <v>2.0</v>
      </c>
      <c r="K810" s="140">
        <v>1545000.0</v>
      </c>
      <c r="L810" s="140">
        <v>1545000.0</v>
      </c>
      <c r="M810" s="140" t="s">
        <v>755</v>
      </c>
      <c r="N810" s="74">
        <f t="shared" si="5"/>
        <v>3090000</v>
      </c>
      <c r="O810" s="60">
        <f t="shared" si="2"/>
        <v>46036</v>
      </c>
      <c r="P810" s="65" t="str">
        <f>VLOOKUP(I810,DATABASE!C:Q,11,FALSE)</f>
        <v>Tire</v>
      </c>
      <c r="Q810" s="65" t="str">
        <f>VLOOKUP(I810,DATABASE!C:Q,4,FALSE)</f>
        <v>Bridgestone</v>
      </c>
      <c r="R810" s="101"/>
      <c r="U810" s="101"/>
    </row>
    <row r="811" ht="22.5" customHeight="1">
      <c r="A811" s="49"/>
      <c r="C811" s="192">
        <v>46006.0</v>
      </c>
      <c r="D811" s="192">
        <v>46006.0</v>
      </c>
      <c r="E811" s="69" t="s">
        <v>110</v>
      </c>
      <c r="F811" s="243" t="s">
        <v>343</v>
      </c>
      <c r="G811" s="524">
        <v>2.5016704E7</v>
      </c>
      <c r="H811" s="69" t="s">
        <v>7</v>
      </c>
      <c r="I811" s="140" t="s">
        <v>1862</v>
      </c>
      <c r="J811" s="446">
        <v>2.0</v>
      </c>
      <c r="K811" s="140">
        <v>2050000.0</v>
      </c>
      <c r="L811" s="140">
        <v>2050000.0</v>
      </c>
      <c r="M811" s="140" t="s">
        <v>1023</v>
      </c>
      <c r="N811" s="74">
        <f t="shared" si="5"/>
        <v>4100000</v>
      </c>
      <c r="O811" s="60" t="str">
        <f t="shared" si="2"/>
        <v>LUNAS</v>
      </c>
      <c r="P811" s="65" t="str">
        <f>VLOOKUP(I811,DATABASE!C:Q,11,FALSE)</f>
        <v>Tire</v>
      </c>
      <c r="Q811" s="65" t="str">
        <f>VLOOKUP(I811,DATABASE!C:Q,4,FALSE)</f>
        <v>GiTi</v>
      </c>
      <c r="R811" s="101"/>
      <c r="U811" s="101"/>
    </row>
    <row r="812" ht="22.5" customHeight="1">
      <c r="A812" s="49"/>
      <c r="C812" s="192">
        <v>46007.0</v>
      </c>
      <c r="D812" s="192">
        <v>46007.0</v>
      </c>
      <c r="E812" s="69" t="s">
        <v>110</v>
      </c>
      <c r="F812" s="243" t="s">
        <v>343</v>
      </c>
      <c r="G812" s="524">
        <v>2.5016802E7</v>
      </c>
      <c r="H812" s="69" t="s">
        <v>7</v>
      </c>
      <c r="I812" s="140" t="s">
        <v>2612</v>
      </c>
      <c r="J812" s="446">
        <v>1.0</v>
      </c>
      <c r="K812" s="140">
        <v>2200000.0</v>
      </c>
      <c r="L812" s="140">
        <v>2200000.0</v>
      </c>
      <c r="M812" s="140" t="s">
        <v>1023</v>
      </c>
      <c r="N812" s="74">
        <f t="shared" si="5"/>
        <v>2200000</v>
      </c>
      <c r="O812" s="60" t="str">
        <f t="shared" si="2"/>
        <v>LUNAS</v>
      </c>
      <c r="P812" s="65" t="str">
        <f>VLOOKUP(I812,DATABASE!C:Q,11,FALSE)</f>
        <v>Tire</v>
      </c>
      <c r="Q812" s="65" t="str">
        <f>VLOOKUP(I812,DATABASE!C:Q,4,FALSE)</f>
        <v>GT</v>
      </c>
      <c r="R812" s="101"/>
      <c r="U812" s="101"/>
    </row>
    <row r="813" ht="22.5" customHeight="1">
      <c r="A813" s="49"/>
      <c r="C813" s="192">
        <v>46007.0</v>
      </c>
      <c r="D813" s="192">
        <v>46007.0</v>
      </c>
      <c r="E813" s="69" t="s">
        <v>110</v>
      </c>
      <c r="F813" s="243" t="s">
        <v>343</v>
      </c>
      <c r="G813" s="524">
        <v>2.5016802E7</v>
      </c>
      <c r="H813" s="69" t="s">
        <v>7</v>
      </c>
      <c r="I813" s="140" t="s">
        <v>2613</v>
      </c>
      <c r="J813" s="446">
        <v>1.0</v>
      </c>
      <c r="K813" s="140">
        <v>204000.0</v>
      </c>
      <c r="L813" s="140">
        <v>204000.0</v>
      </c>
      <c r="M813" s="140" t="s">
        <v>1023</v>
      </c>
      <c r="N813" s="74">
        <f t="shared" si="5"/>
        <v>204000</v>
      </c>
      <c r="O813" s="60" t="str">
        <f t="shared" si="2"/>
        <v>LUNAS</v>
      </c>
      <c r="P813" s="65" t="str">
        <f>VLOOKUP(I813,DATABASE!C:Q,11,FALSE)</f>
        <v>Tire</v>
      </c>
      <c r="Q813" s="65" t="str">
        <f>VLOOKUP(I813,DATABASE!C:Q,4,FALSE)</f>
        <v>BD</v>
      </c>
      <c r="R813" s="101"/>
      <c r="U813" s="101"/>
    </row>
    <row r="814" ht="22.5" customHeight="1">
      <c r="A814" s="49"/>
      <c r="C814" s="192">
        <v>46007.0</v>
      </c>
      <c r="D814" s="192">
        <v>46007.0</v>
      </c>
      <c r="E814" s="69" t="s">
        <v>97</v>
      </c>
      <c r="F814" s="243" t="s">
        <v>343</v>
      </c>
      <c r="G814" s="69" t="s">
        <v>2477</v>
      </c>
      <c r="H814" s="69" t="s">
        <v>87</v>
      </c>
      <c r="I814" s="140" t="s">
        <v>566</v>
      </c>
      <c r="J814" s="446">
        <v>2.0</v>
      </c>
      <c r="K814" s="140">
        <v>1545000.0</v>
      </c>
      <c r="L814" s="140">
        <v>1545000.0</v>
      </c>
      <c r="M814" s="140" t="s">
        <v>755</v>
      </c>
      <c r="N814" s="74">
        <f t="shared" si="5"/>
        <v>3090000</v>
      </c>
      <c r="O814" s="60">
        <f t="shared" si="2"/>
        <v>46037</v>
      </c>
      <c r="P814" s="65" t="str">
        <f>VLOOKUP(I814,DATABASE!C:Q,11,FALSE)</f>
        <v>Tire</v>
      </c>
      <c r="Q814" s="65" t="str">
        <f>VLOOKUP(I814,DATABASE!C:Q,4,FALSE)</f>
        <v>Bridgestone</v>
      </c>
      <c r="R814" s="101"/>
      <c r="U814" s="101"/>
    </row>
    <row r="815" ht="22.5" customHeight="1">
      <c r="A815" s="49"/>
      <c r="C815" s="192">
        <v>46007.0</v>
      </c>
      <c r="D815" s="192">
        <v>46007.0</v>
      </c>
      <c r="E815" s="69" t="s">
        <v>97</v>
      </c>
      <c r="F815" s="243" t="s">
        <v>343</v>
      </c>
      <c r="G815" s="69" t="s">
        <v>2475</v>
      </c>
      <c r="H815" s="69" t="s">
        <v>87</v>
      </c>
      <c r="I815" s="140" t="s">
        <v>566</v>
      </c>
      <c r="J815" s="446">
        <v>10.0</v>
      </c>
      <c r="K815" s="140">
        <v>1545000.0</v>
      </c>
      <c r="L815" s="140">
        <v>1545000.0</v>
      </c>
      <c r="M815" s="140" t="s">
        <v>755</v>
      </c>
      <c r="N815" s="74">
        <f t="shared" si="5"/>
        <v>15450000</v>
      </c>
      <c r="O815" s="60">
        <f t="shared" si="2"/>
        <v>46037</v>
      </c>
      <c r="P815" s="65" t="str">
        <f>VLOOKUP(I815,DATABASE!C:Q,11,FALSE)</f>
        <v>Tire</v>
      </c>
      <c r="Q815" s="65" t="str">
        <f>VLOOKUP(I815,DATABASE!C:Q,4,FALSE)</f>
        <v>Bridgestone</v>
      </c>
      <c r="R815" s="101"/>
      <c r="U815" s="101"/>
    </row>
    <row r="816" ht="22.5" customHeight="1">
      <c r="A816" s="49"/>
      <c r="C816" s="192">
        <v>46007.0</v>
      </c>
      <c r="D816" s="192">
        <v>46007.0</v>
      </c>
      <c r="E816" s="69" t="s">
        <v>97</v>
      </c>
      <c r="F816" s="243" t="s">
        <v>343</v>
      </c>
      <c r="G816" s="69" t="s">
        <v>2475</v>
      </c>
      <c r="H816" s="69" t="s">
        <v>87</v>
      </c>
      <c r="I816" s="140" t="s">
        <v>572</v>
      </c>
      <c r="J816" s="446">
        <v>6.0</v>
      </c>
      <c r="K816" s="140">
        <v>1245000.0</v>
      </c>
      <c r="L816" s="140">
        <v>1245000.0</v>
      </c>
      <c r="M816" s="140" t="s">
        <v>755</v>
      </c>
      <c r="N816" s="74">
        <f t="shared" si="5"/>
        <v>7470000</v>
      </c>
      <c r="O816" s="60">
        <f t="shared" si="2"/>
        <v>46037</v>
      </c>
      <c r="P816" s="65" t="str">
        <f>VLOOKUP(I816,DATABASE!C:Q,11,FALSE)</f>
        <v>Tire</v>
      </c>
      <c r="Q816" s="65" t="str">
        <f>VLOOKUP(I816,DATABASE!C:Q,4,FALSE)</f>
        <v>Bridgestone</v>
      </c>
      <c r="R816" s="101"/>
      <c r="U816" s="101"/>
    </row>
    <row r="817" ht="22.5" customHeight="1">
      <c r="A817" s="49"/>
      <c r="C817" s="192">
        <v>46010.0</v>
      </c>
      <c r="D817" s="192">
        <v>46009.0</v>
      </c>
      <c r="E817" s="69" t="s">
        <v>386</v>
      </c>
      <c r="F817" s="243" t="s">
        <v>998</v>
      </c>
      <c r="G817" s="69" t="s">
        <v>2116</v>
      </c>
      <c r="H817" s="69" t="s">
        <v>2314</v>
      </c>
      <c r="I817" s="140" t="s">
        <v>252</v>
      </c>
      <c r="J817" s="446">
        <v>8.0</v>
      </c>
      <c r="K817" s="140">
        <v>271778.0</v>
      </c>
      <c r="L817" s="140">
        <v>256600.0</v>
      </c>
      <c r="M817" s="140" t="s">
        <v>755</v>
      </c>
      <c r="N817" s="74">
        <f t="shared" si="5"/>
        <v>2052800</v>
      </c>
      <c r="O817" s="60">
        <f t="shared" si="2"/>
        <v>46039</v>
      </c>
      <c r="P817" s="65" t="str">
        <f>VLOOKUP(I817,DATABASE!C:Q,11,FALSE)</f>
        <v>OIL</v>
      </c>
      <c r="Q817" s="65" t="str">
        <f>VLOOKUP(I817,DATABASE!C:Q,4,FALSE)</f>
        <v>Shell</v>
      </c>
      <c r="R817" s="101"/>
      <c r="U817" s="101"/>
    </row>
    <row r="818" ht="22.5" customHeight="1">
      <c r="A818" s="49"/>
      <c r="C818" s="192">
        <v>46010.0</v>
      </c>
      <c r="D818" s="192">
        <v>46009.0</v>
      </c>
      <c r="E818" s="69" t="s">
        <v>386</v>
      </c>
      <c r="F818" s="243" t="s">
        <v>998</v>
      </c>
      <c r="G818" s="69" t="s">
        <v>2116</v>
      </c>
      <c r="H818" s="69" t="s">
        <v>2314</v>
      </c>
      <c r="I818" s="140" t="s">
        <v>263</v>
      </c>
      <c r="J818" s="446">
        <v>4.0</v>
      </c>
      <c r="K818" s="140">
        <v>287688.0</v>
      </c>
      <c r="L818" s="140">
        <v>273900.0</v>
      </c>
      <c r="M818" s="140" t="s">
        <v>755</v>
      </c>
      <c r="N818" s="74">
        <f t="shared" si="5"/>
        <v>1095600</v>
      </c>
      <c r="O818" s="60">
        <f t="shared" si="2"/>
        <v>46039</v>
      </c>
      <c r="P818" s="65" t="str">
        <f>VLOOKUP(I818,DATABASE!C:Q,11,FALSE)</f>
        <v>OIL</v>
      </c>
      <c r="Q818" s="65" t="str">
        <f>VLOOKUP(I818,DATABASE!C:Q,4,FALSE)</f>
        <v>Shell</v>
      </c>
      <c r="R818" s="101"/>
      <c r="U818" s="101"/>
    </row>
    <row r="819" ht="22.5" customHeight="1">
      <c r="A819" s="49"/>
      <c r="C819" s="192">
        <v>46010.0</v>
      </c>
      <c r="D819" s="192">
        <v>46009.0</v>
      </c>
      <c r="E819" s="69" t="s">
        <v>386</v>
      </c>
      <c r="F819" s="243" t="s">
        <v>998</v>
      </c>
      <c r="G819" s="69" t="s">
        <v>2116</v>
      </c>
      <c r="H819" s="69" t="s">
        <v>2314</v>
      </c>
      <c r="I819" s="140" t="s">
        <v>2191</v>
      </c>
      <c r="J819" s="446">
        <v>4.0</v>
      </c>
      <c r="K819" s="140">
        <v>377951.0</v>
      </c>
      <c r="L819" s="140">
        <v>356800.0</v>
      </c>
      <c r="M819" s="140" t="s">
        <v>755</v>
      </c>
      <c r="N819" s="74">
        <f t="shared" si="5"/>
        <v>1427200</v>
      </c>
      <c r="O819" s="60">
        <f t="shared" si="2"/>
        <v>46039</v>
      </c>
      <c r="P819" s="65" t="str">
        <f>VLOOKUP(I819,DATABASE!C:Q,11,FALSE)</f>
        <v>OIL</v>
      </c>
      <c r="Q819" s="65" t="str">
        <f>VLOOKUP(I819,DATABASE!C:Q,4,FALSE)</f>
        <v>Shell</v>
      </c>
      <c r="R819" s="101"/>
      <c r="U819" s="101"/>
    </row>
    <row r="820" ht="22.5" customHeight="1">
      <c r="A820" s="49"/>
      <c r="C820" s="192">
        <v>46010.0</v>
      </c>
      <c r="D820" s="192">
        <v>46009.0</v>
      </c>
      <c r="E820" s="69" t="s">
        <v>386</v>
      </c>
      <c r="F820" s="243" t="s">
        <v>998</v>
      </c>
      <c r="G820" s="69" t="s">
        <v>2116</v>
      </c>
      <c r="H820" s="69" t="s">
        <v>2314</v>
      </c>
      <c r="I820" s="140" t="s">
        <v>2195</v>
      </c>
      <c r="J820" s="446">
        <v>3.0</v>
      </c>
      <c r="K820" s="140">
        <v>282805.0</v>
      </c>
      <c r="L820" s="140">
        <v>269300.0</v>
      </c>
      <c r="M820" s="140" t="s">
        <v>755</v>
      </c>
      <c r="N820" s="74">
        <f t="shared" si="5"/>
        <v>807900</v>
      </c>
      <c r="O820" s="60">
        <f t="shared" si="2"/>
        <v>46039</v>
      </c>
      <c r="P820" s="65" t="str">
        <f>VLOOKUP(I820,DATABASE!C:Q,11,FALSE)</f>
        <v>OIL</v>
      </c>
      <c r="Q820" s="65" t="str">
        <f>VLOOKUP(I820,DATABASE!C:Q,4,FALSE)</f>
        <v>Shell</v>
      </c>
      <c r="R820" s="101"/>
      <c r="U820" s="101"/>
    </row>
    <row r="821" ht="22.5" customHeight="1">
      <c r="A821" s="49"/>
      <c r="C821" s="192">
        <v>46010.0</v>
      </c>
      <c r="D821" s="192">
        <v>46009.0</v>
      </c>
      <c r="E821" s="69" t="s">
        <v>386</v>
      </c>
      <c r="F821" s="243" t="s">
        <v>998</v>
      </c>
      <c r="G821" s="69" t="s">
        <v>2116</v>
      </c>
      <c r="H821" s="69" t="s">
        <v>2314</v>
      </c>
      <c r="I821" s="140" t="s">
        <v>2192</v>
      </c>
      <c r="J821" s="446">
        <v>12.0</v>
      </c>
      <c r="K821" s="140">
        <v>58114.0</v>
      </c>
      <c r="L821" s="140">
        <v>55400.0</v>
      </c>
      <c r="M821" s="140" t="s">
        <v>755</v>
      </c>
      <c r="N821" s="74">
        <f t="shared" si="5"/>
        <v>664800</v>
      </c>
      <c r="O821" s="60">
        <f t="shared" si="2"/>
        <v>46039</v>
      </c>
      <c r="P821" s="65" t="str">
        <f>VLOOKUP(I821,DATABASE!C:Q,11,FALSE)</f>
        <v>OIL</v>
      </c>
      <c r="Q821" s="65" t="str">
        <f>VLOOKUP(I821,DATABASE!C:Q,4,FALSE)</f>
        <v>Shell</v>
      </c>
      <c r="R821" s="101"/>
      <c r="U821" s="101"/>
    </row>
    <row r="822" ht="22.5" customHeight="1">
      <c r="A822" s="49"/>
      <c r="C822" s="192">
        <v>46010.0</v>
      </c>
      <c r="D822" s="192">
        <v>46009.0</v>
      </c>
      <c r="E822" s="69" t="s">
        <v>386</v>
      </c>
      <c r="F822" s="243" t="s">
        <v>998</v>
      </c>
      <c r="G822" s="69" t="s">
        <v>2116</v>
      </c>
      <c r="H822" s="69" t="s">
        <v>2314</v>
      </c>
      <c r="I822" s="140" t="s">
        <v>2174</v>
      </c>
      <c r="J822" s="446">
        <v>4.0</v>
      </c>
      <c r="K822" s="140">
        <v>179445.0</v>
      </c>
      <c r="L822" s="140">
        <v>169400.0</v>
      </c>
      <c r="M822" s="140" t="s">
        <v>755</v>
      </c>
      <c r="N822" s="74">
        <f t="shared" si="5"/>
        <v>677600</v>
      </c>
      <c r="O822" s="60">
        <f t="shared" si="2"/>
        <v>46039</v>
      </c>
      <c r="P822" s="65" t="str">
        <f>VLOOKUP(I822,DATABASE!C:Q,11,FALSE)</f>
        <v>OIL</v>
      </c>
      <c r="Q822" s="65" t="str">
        <f>VLOOKUP(I822,DATABASE!C:Q,4,FALSE)</f>
        <v>Shell</v>
      </c>
      <c r="R822" s="101"/>
      <c r="U822" s="101"/>
    </row>
    <row r="823" ht="22.5" customHeight="1">
      <c r="A823" s="49"/>
      <c r="C823" s="192">
        <v>46014.0</v>
      </c>
      <c r="D823" s="192">
        <v>46013.0</v>
      </c>
      <c r="E823" s="69" t="s">
        <v>110</v>
      </c>
      <c r="F823" s="243" t="s">
        <v>343</v>
      </c>
      <c r="G823" s="524">
        <v>2.5017128E7</v>
      </c>
      <c r="H823" s="69" t="s">
        <v>7</v>
      </c>
      <c r="I823" s="140" t="s">
        <v>286</v>
      </c>
      <c r="J823" s="446">
        <v>30.0</v>
      </c>
      <c r="K823" s="140">
        <v>452970.0</v>
      </c>
      <c r="L823" s="140">
        <v>445800.0</v>
      </c>
      <c r="M823" s="140" t="s">
        <v>755</v>
      </c>
      <c r="N823" s="74">
        <f t="shared" si="5"/>
        <v>13374000</v>
      </c>
      <c r="O823" s="60">
        <f t="shared" si="2"/>
        <v>46043</v>
      </c>
      <c r="P823" s="65" t="str">
        <f>VLOOKUP(I823,DATABASE!C:Q,11,FALSE)</f>
        <v>Tire</v>
      </c>
      <c r="Q823" s="65" t="str">
        <f>VLOOKUP(I823,DATABASE!C:Q,4,FALSE)</f>
        <v>GT</v>
      </c>
      <c r="R823" s="101"/>
      <c r="U823" s="101"/>
    </row>
    <row r="824" ht="22.5" customHeight="1">
      <c r="A824" s="49"/>
      <c r="C824" s="192">
        <v>46014.0</v>
      </c>
      <c r="D824" s="192">
        <v>46013.0</v>
      </c>
      <c r="E824" s="69" t="s">
        <v>110</v>
      </c>
      <c r="F824" s="243" t="s">
        <v>343</v>
      </c>
      <c r="G824" s="524">
        <v>2.5017145E7</v>
      </c>
      <c r="H824" s="69" t="s">
        <v>7</v>
      </c>
      <c r="I824" s="140" t="s">
        <v>897</v>
      </c>
      <c r="J824" s="446">
        <v>6.0</v>
      </c>
      <c r="K824" s="140">
        <v>1480000.0</v>
      </c>
      <c r="L824" s="140">
        <v>1500000.0</v>
      </c>
      <c r="M824" s="140" t="s">
        <v>755</v>
      </c>
      <c r="N824" s="74">
        <f t="shared" si="5"/>
        <v>9000000</v>
      </c>
      <c r="O824" s="60">
        <f t="shared" si="2"/>
        <v>46043</v>
      </c>
      <c r="P824" s="65" t="str">
        <f>VLOOKUP(I824,DATABASE!C:Q,11,FALSE)</f>
        <v>Tire</v>
      </c>
      <c r="Q824" s="65" t="str">
        <f>VLOOKUP(I824,DATABASE!C:Q,4,FALSE)</f>
        <v>GT</v>
      </c>
      <c r="R824" s="101"/>
      <c r="U824" s="101"/>
    </row>
    <row r="825" ht="22.5" customHeight="1">
      <c r="A825" s="49"/>
      <c r="C825" s="192">
        <v>46015.0</v>
      </c>
      <c r="D825" s="192">
        <v>46014.0</v>
      </c>
      <c r="E825" s="69" t="s">
        <v>81</v>
      </c>
      <c r="F825" s="243" t="s">
        <v>343</v>
      </c>
      <c r="G825" s="69" t="s">
        <v>1656</v>
      </c>
      <c r="H825" s="69" t="s">
        <v>87</v>
      </c>
      <c r="I825" s="140" t="s">
        <v>265</v>
      </c>
      <c r="J825" s="446">
        <v>10.0</v>
      </c>
      <c r="K825" s="140">
        <v>600000.0</v>
      </c>
      <c r="L825" s="140">
        <v>600000.0</v>
      </c>
      <c r="M825" s="140" t="s">
        <v>657</v>
      </c>
      <c r="N825" s="74">
        <f t="shared" si="5"/>
        <v>6000000</v>
      </c>
      <c r="O825" s="60">
        <f t="shared" si="2"/>
        <v>46089</v>
      </c>
      <c r="P825" s="65" t="str">
        <f>VLOOKUP(I825,DATABASE!C:Q,11,FALSE)</f>
        <v>Tire</v>
      </c>
      <c r="Q825" s="65" t="str">
        <f>VLOOKUP(I825,DATABASE!C:Q,4,FALSE)</f>
        <v>Dunlop</v>
      </c>
      <c r="R825" s="101"/>
      <c r="U825" s="101"/>
    </row>
    <row r="826" ht="22.5" customHeight="1">
      <c r="A826" s="49"/>
      <c r="C826" s="192">
        <v>46015.0</v>
      </c>
      <c r="D826" s="192">
        <v>46014.0</v>
      </c>
      <c r="E826" s="69" t="s">
        <v>81</v>
      </c>
      <c r="F826" s="243" t="s">
        <v>343</v>
      </c>
      <c r="G826" s="69" t="s">
        <v>1656</v>
      </c>
      <c r="H826" s="69" t="s">
        <v>87</v>
      </c>
      <c r="I826" s="140" t="s">
        <v>268</v>
      </c>
      <c r="J826" s="446">
        <v>20.0</v>
      </c>
      <c r="K826" s="140">
        <v>622000.0</v>
      </c>
      <c r="L826" s="140">
        <v>622000.0</v>
      </c>
      <c r="M826" s="140" t="s">
        <v>657</v>
      </c>
      <c r="N826" s="74">
        <f t="shared" si="5"/>
        <v>12440000</v>
      </c>
      <c r="O826" s="60">
        <f t="shared" si="2"/>
        <v>46089</v>
      </c>
      <c r="P826" s="65" t="str">
        <f>VLOOKUP(I826,DATABASE!C:Q,11,FALSE)</f>
        <v>Tire</v>
      </c>
      <c r="Q826" s="65" t="str">
        <f>VLOOKUP(I826,DATABASE!C:Q,4,FALSE)</f>
        <v>Dunlop</v>
      </c>
      <c r="R826" s="101"/>
      <c r="U826" s="101"/>
    </row>
    <row r="827" ht="22.5" customHeight="1">
      <c r="A827" s="49"/>
      <c r="C827" s="192">
        <v>46015.0</v>
      </c>
      <c r="D827" s="192">
        <v>46014.0</v>
      </c>
      <c r="E827" s="69" t="s">
        <v>81</v>
      </c>
      <c r="F827" s="243" t="s">
        <v>343</v>
      </c>
      <c r="G827" s="69" t="s">
        <v>1656</v>
      </c>
      <c r="H827" s="69" t="s">
        <v>87</v>
      </c>
      <c r="I827" s="140" t="s">
        <v>275</v>
      </c>
      <c r="J827" s="446">
        <v>10.0</v>
      </c>
      <c r="K827" s="140">
        <v>745000.0</v>
      </c>
      <c r="L827" s="140">
        <v>745000.0</v>
      </c>
      <c r="M827" s="140" t="s">
        <v>657</v>
      </c>
      <c r="N827" s="74">
        <f t="shared" si="5"/>
        <v>7450000</v>
      </c>
      <c r="O827" s="60">
        <f t="shared" si="2"/>
        <v>46089</v>
      </c>
      <c r="P827" s="65" t="str">
        <f>VLOOKUP(I827,DATABASE!C:Q,11,FALSE)</f>
        <v>Tire</v>
      </c>
      <c r="Q827" s="65" t="str">
        <f>VLOOKUP(I827,DATABASE!C:Q,4,FALSE)</f>
        <v>Dunlop</v>
      </c>
      <c r="R827" s="101"/>
      <c r="U827" s="101"/>
    </row>
    <row r="828" ht="22.5" customHeight="1">
      <c r="A828" s="49"/>
      <c r="C828" s="192">
        <v>46015.0</v>
      </c>
      <c r="D828" s="192">
        <v>46014.0</v>
      </c>
      <c r="E828" s="69" t="s">
        <v>81</v>
      </c>
      <c r="F828" s="243" t="s">
        <v>343</v>
      </c>
      <c r="G828" s="69" t="s">
        <v>1656</v>
      </c>
      <c r="H828" s="69" t="s">
        <v>87</v>
      </c>
      <c r="I828" s="140" t="s">
        <v>932</v>
      </c>
      <c r="J828" s="446">
        <v>10.0</v>
      </c>
      <c r="K828" s="140">
        <v>595000.0</v>
      </c>
      <c r="L828" s="140">
        <v>595000.0</v>
      </c>
      <c r="M828" s="140" t="s">
        <v>657</v>
      </c>
      <c r="N828" s="74">
        <f t="shared" si="5"/>
        <v>5950000</v>
      </c>
      <c r="O828" s="60">
        <f t="shared" si="2"/>
        <v>46089</v>
      </c>
      <c r="P828" s="65" t="str">
        <f>VLOOKUP(I828,DATABASE!C:Q,11,FALSE)</f>
        <v>Tire</v>
      </c>
      <c r="Q828" s="65" t="str">
        <f>VLOOKUP(I828,DATABASE!C:Q,4,FALSE)</f>
        <v>Dunlop</v>
      </c>
      <c r="R828" s="101"/>
      <c r="U828" s="101"/>
    </row>
    <row r="829" ht="22.5" customHeight="1">
      <c r="A829" s="49"/>
      <c r="C829" s="192">
        <v>46015.0</v>
      </c>
      <c r="D829" s="192">
        <v>46014.0</v>
      </c>
      <c r="E829" s="69" t="s">
        <v>81</v>
      </c>
      <c r="F829" s="243" t="s">
        <v>343</v>
      </c>
      <c r="G829" s="69" t="s">
        <v>1656</v>
      </c>
      <c r="H829" s="69" t="s">
        <v>87</v>
      </c>
      <c r="I829" s="140" t="s">
        <v>271</v>
      </c>
      <c r="J829" s="446">
        <v>10.0</v>
      </c>
      <c r="K829" s="140">
        <v>539000.0</v>
      </c>
      <c r="L829" s="140">
        <v>539000.0</v>
      </c>
      <c r="M829" s="140" t="s">
        <v>657</v>
      </c>
      <c r="N829" s="74">
        <f t="shared" si="5"/>
        <v>5390000</v>
      </c>
      <c r="O829" s="60">
        <f t="shared" si="2"/>
        <v>46089</v>
      </c>
      <c r="P829" s="65" t="str">
        <f>VLOOKUP(I829,DATABASE!C:Q,11,FALSE)</f>
        <v>Tire</v>
      </c>
      <c r="Q829" s="65" t="str">
        <f>VLOOKUP(I829,DATABASE!C:Q,4,FALSE)</f>
        <v>Dunlop</v>
      </c>
      <c r="R829" s="101"/>
      <c r="U829" s="101"/>
    </row>
    <row r="830" ht="22.5" customHeight="1">
      <c r="A830" s="49"/>
      <c r="C830" s="192">
        <v>46015.0</v>
      </c>
      <c r="D830" s="192">
        <v>46014.0</v>
      </c>
      <c r="E830" s="69" t="s">
        <v>81</v>
      </c>
      <c r="F830" s="243" t="s">
        <v>343</v>
      </c>
      <c r="G830" s="69" t="s">
        <v>1656</v>
      </c>
      <c r="H830" s="69" t="s">
        <v>87</v>
      </c>
      <c r="I830" s="140" t="s">
        <v>955</v>
      </c>
      <c r="J830" s="446">
        <v>10.0</v>
      </c>
      <c r="K830" s="140">
        <v>674000.0</v>
      </c>
      <c r="L830" s="140">
        <v>674000.0</v>
      </c>
      <c r="M830" s="140" t="s">
        <v>657</v>
      </c>
      <c r="N830" s="74">
        <f t="shared" si="5"/>
        <v>6740000</v>
      </c>
      <c r="O830" s="60">
        <f t="shared" si="2"/>
        <v>46089</v>
      </c>
      <c r="P830" s="65" t="str">
        <f>VLOOKUP(I830,DATABASE!C:Q,11,FALSE)</f>
        <v>Tire</v>
      </c>
      <c r="Q830" s="65" t="str">
        <f>VLOOKUP(I830,DATABASE!C:Q,4,FALSE)</f>
        <v>Dunlop</v>
      </c>
      <c r="R830" s="101"/>
      <c r="U830" s="101"/>
    </row>
    <row r="831" ht="22.5" customHeight="1">
      <c r="A831" s="49"/>
      <c r="C831" s="192">
        <v>46015.0</v>
      </c>
      <c r="D831" s="192">
        <v>46014.0</v>
      </c>
      <c r="E831" s="69" t="s">
        <v>81</v>
      </c>
      <c r="F831" s="243" t="s">
        <v>343</v>
      </c>
      <c r="G831" s="69" t="s">
        <v>1656</v>
      </c>
      <c r="H831" s="69" t="s">
        <v>7</v>
      </c>
      <c r="I831" s="140" t="s">
        <v>868</v>
      </c>
      <c r="J831" s="446">
        <v>4.0</v>
      </c>
      <c r="K831" s="140">
        <v>836000.0</v>
      </c>
      <c r="L831" s="140">
        <v>836000.0</v>
      </c>
      <c r="M831" s="140" t="s">
        <v>657</v>
      </c>
      <c r="N831" s="74">
        <f t="shared" si="5"/>
        <v>3344000</v>
      </c>
      <c r="O831" s="60">
        <f t="shared" si="2"/>
        <v>46089</v>
      </c>
      <c r="P831" s="65" t="str">
        <f>VLOOKUP(I831,DATABASE!C:Q,11,FALSE)</f>
        <v>Tire</v>
      </c>
      <c r="Q831" s="65" t="str">
        <f>VLOOKUP(I831,DATABASE!C:Q,4,FALSE)</f>
        <v>GT</v>
      </c>
      <c r="R831" s="101"/>
      <c r="U831" s="101"/>
    </row>
    <row r="832" ht="22.5" customHeight="1">
      <c r="A832" s="49"/>
      <c r="C832" s="192">
        <v>46015.0</v>
      </c>
      <c r="D832" s="192">
        <v>46014.0</v>
      </c>
      <c r="E832" s="69" t="s">
        <v>123</v>
      </c>
      <c r="F832" s="243" t="s">
        <v>343</v>
      </c>
      <c r="G832" s="69" t="s">
        <v>2417</v>
      </c>
      <c r="H832" s="69" t="s">
        <v>7</v>
      </c>
      <c r="I832" s="140" t="s">
        <v>1439</v>
      </c>
      <c r="J832" s="446">
        <v>8.0</v>
      </c>
      <c r="K832" s="140">
        <v>540800.0</v>
      </c>
      <c r="L832" s="140">
        <v>540800.0</v>
      </c>
      <c r="M832" s="140" t="s">
        <v>755</v>
      </c>
      <c r="N832" s="74">
        <f t="shared" si="5"/>
        <v>4326400</v>
      </c>
      <c r="O832" s="60">
        <f t="shared" si="2"/>
        <v>46044</v>
      </c>
      <c r="P832" s="65" t="str">
        <f>VLOOKUP(I832,DATABASE!C:Q,11,FALSE)</f>
        <v>Tire</v>
      </c>
      <c r="Q832" s="65" t="str">
        <f>VLOOKUP(I832,DATABASE!C:Q,4,FALSE)</f>
        <v>GT</v>
      </c>
      <c r="R832" s="101"/>
      <c r="U832" s="101"/>
    </row>
    <row r="833" ht="22.5" customHeight="1">
      <c r="A833" s="49"/>
      <c r="C833" s="192">
        <v>46015.0</v>
      </c>
      <c r="D833" s="192">
        <v>46014.0</v>
      </c>
      <c r="E833" s="69" t="s">
        <v>123</v>
      </c>
      <c r="F833" s="243" t="s">
        <v>343</v>
      </c>
      <c r="G833" s="69" t="s">
        <v>2417</v>
      </c>
      <c r="H833" s="69" t="s">
        <v>7</v>
      </c>
      <c r="I833" s="140" t="s">
        <v>856</v>
      </c>
      <c r="J833" s="446">
        <v>10.0</v>
      </c>
      <c r="K833" s="140">
        <v>581120.0</v>
      </c>
      <c r="L833" s="140">
        <v>581100.0</v>
      </c>
      <c r="M833" s="140" t="s">
        <v>755</v>
      </c>
      <c r="N833" s="74">
        <f t="shared" si="5"/>
        <v>5811000</v>
      </c>
      <c r="O833" s="60">
        <f t="shared" si="2"/>
        <v>46044</v>
      </c>
      <c r="P833" s="65" t="str">
        <f>VLOOKUP(I833,DATABASE!C:Q,11,FALSE)</f>
        <v>Tire</v>
      </c>
      <c r="Q833" s="65" t="str">
        <f>VLOOKUP(I833,DATABASE!C:Q,4,FALSE)</f>
        <v>GT</v>
      </c>
      <c r="R833" s="101"/>
      <c r="U833" s="101"/>
    </row>
    <row r="834" ht="22.5" customHeight="1">
      <c r="A834" s="49"/>
      <c r="C834" s="192">
        <v>46015.0</v>
      </c>
      <c r="D834" s="192">
        <v>46014.0</v>
      </c>
      <c r="E834" s="69" t="s">
        <v>123</v>
      </c>
      <c r="F834" s="243" t="s">
        <v>343</v>
      </c>
      <c r="G834" s="69" t="s">
        <v>2417</v>
      </c>
      <c r="H834" s="69" t="s">
        <v>7</v>
      </c>
      <c r="I834" s="140" t="s">
        <v>287</v>
      </c>
      <c r="J834" s="446">
        <v>10.0</v>
      </c>
      <c r="K834" s="140">
        <v>690600.0</v>
      </c>
      <c r="L834" s="140">
        <v>690600.0</v>
      </c>
      <c r="M834" s="140" t="s">
        <v>755</v>
      </c>
      <c r="N834" s="74">
        <f t="shared" si="5"/>
        <v>6906000</v>
      </c>
      <c r="O834" s="60">
        <f t="shared" si="2"/>
        <v>46044</v>
      </c>
      <c r="P834" s="65" t="str">
        <f>VLOOKUP(I834,DATABASE!C:Q,11,FALSE)</f>
        <v>Tire</v>
      </c>
      <c r="Q834" s="65" t="str">
        <f>VLOOKUP(I834,DATABASE!C:Q,4,FALSE)</f>
        <v>GT</v>
      </c>
      <c r="R834" s="101"/>
      <c r="U834" s="101"/>
    </row>
    <row r="835" ht="22.5" customHeight="1">
      <c r="A835" s="49"/>
      <c r="C835" s="192">
        <v>46015.0</v>
      </c>
      <c r="D835" s="192">
        <v>46014.0</v>
      </c>
      <c r="E835" s="69" t="s">
        <v>123</v>
      </c>
      <c r="F835" s="243" t="s">
        <v>343</v>
      </c>
      <c r="G835" s="69" t="s">
        <v>2417</v>
      </c>
      <c r="H835" s="69" t="s">
        <v>7</v>
      </c>
      <c r="I835" s="140" t="s">
        <v>288</v>
      </c>
      <c r="J835" s="446">
        <v>10.0</v>
      </c>
      <c r="K835" s="140">
        <v>524800.0</v>
      </c>
      <c r="L835" s="140">
        <v>524800.0</v>
      </c>
      <c r="M835" s="140" t="s">
        <v>755</v>
      </c>
      <c r="N835" s="74">
        <f t="shared" si="5"/>
        <v>5248000</v>
      </c>
      <c r="O835" s="60">
        <f t="shared" si="2"/>
        <v>46044</v>
      </c>
      <c r="P835" s="65" t="str">
        <f>VLOOKUP(I835,DATABASE!C:Q,11,FALSE)</f>
        <v>Tire</v>
      </c>
      <c r="Q835" s="65" t="str">
        <f>VLOOKUP(I835,DATABASE!C:Q,4,FALSE)</f>
        <v>GT</v>
      </c>
      <c r="R835" s="101"/>
      <c r="U835" s="101"/>
    </row>
    <row r="836" ht="22.5" customHeight="1">
      <c r="A836" s="49"/>
      <c r="C836" s="192">
        <v>46015.0</v>
      </c>
      <c r="D836" s="192">
        <v>46014.0</v>
      </c>
      <c r="E836" s="69" t="s">
        <v>123</v>
      </c>
      <c r="F836" s="243" t="s">
        <v>343</v>
      </c>
      <c r="G836" s="69" t="s">
        <v>2417</v>
      </c>
      <c r="H836" s="69" t="s">
        <v>7</v>
      </c>
      <c r="I836" s="140" t="s">
        <v>1009</v>
      </c>
      <c r="J836" s="446">
        <v>5.0</v>
      </c>
      <c r="K836" s="140">
        <v>592200.0</v>
      </c>
      <c r="L836" s="140">
        <v>592200.0</v>
      </c>
      <c r="M836" s="140" t="s">
        <v>755</v>
      </c>
      <c r="N836" s="74">
        <f t="shared" si="5"/>
        <v>2961000</v>
      </c>
      <c r="O836" s="60">
        <f t="shared" si="2"/>
        <v>46044</v>
      </c>
      <c r="P836" s="65" t="str">
        <f>VLOOKUP(I836,DATABASE!C:Q,11,FALSE)</f>
        <v>Tire</v>
      </c>
      <c r="Q836" s="65" t="str">
        <f>VLOOKUP(I836,DATABASE!C:Q,4,FALSE)</f>
        <v>GT</v>
      </c>
      <c r="R836" s="101"/>
      <c r="U836" s="101"/>
    </row>
    <row r="837" ht="22.5" customHeight="1">
      <c r="A837" s="49"/>
      <c r="C837" s="192">
        <v>46015.0</v>
      </c>
      <c r="D837" s="192">
        <v>46014.0</v>
      </c>
      <c r="E837" s="69" t="s">
        <v>123</v>
      </c>
      <c r="F837" s="243" t="s">
        <v>343</v>
      </c>
      <c r="G837" s="69" t="s">
        <v>2417</v>
      </c>
      <c r="H837" s="69" t="s">
        <v>7</v>
      </c>
      <c r="I837" s="140" t="s">
        <v>1867</v>
      </c>
      <c r="J837" s="446">
        <v>4.0</v>
      </c>
      <c r="K837" s="140">
        <v>558200.0</v>
      </c>
      <c r="L837" s="140">
        <v>558200.0</v>
      </c>
      <c r="M837" s="140" t="s">
        <v>755</v>
      </c>
      <c r="N837" s="74">
        <f t="shared" si="5"/>
        <v>2232800</v>
      </c>
      <c r="O837" s="60">
        <f t="shared" si="2"/>
        <v>46044</v>
      </c>
      <c r="P837" s="65" t="str">
        <f>VLOOKUP(I837,DATABASE!C:Q,11,FALSE)</f>
        <v>Tire</v>
      </c>
      <c r="Q837" s="65" t="str">
        <f>VLOOKUP(I837,DATABASE!C:Q,4,FALSE)</f>
        <v>GT</v>
      </c>
      <c r="R837" s="101"/>
      <c r="U837" s="101"/>
    </row>
    <row r="838" ht="22.5" customHeight="1">
      <c r="A838" s="49"/>
      <c r="C838" s="192">
        <v>46015.0</v>
      </c>
      <c r="D838" s="192">
        <v>46014.0</v>
      </c>
      <c r="E838" s="69" t="s">
        <v>123</v>
      </c>
      <c r="F838" s="243" t="s">
        <v>343</v>
      </c>
      <c r="G838" s="69" t="s">
        <v>2417</v>
      </c>
      <c r="H838" s="69" t="s">
        <v>7</v>
      </c>
      <c r="I838" s="140" t="s">
        <v>847</v>
      </c>
      <c r="J838" s="446">
        <v>4.0</v>
      </c>
      <c r="K838" s="140">
        <v>672210.0</v>
      </c>
      <c r="L838" s="140">
        <v>672200.0</v>
      </c>
      <c r="M838" s="140" t="s">
        <v>755</v>
      </c>
      <c r="N838" s="74">
        <f t="shared" si="5"/>
        <v>2688800</v>
      </c>
      <c r="O838" s="60">
        <f t="shared" si="2"/>
        <v>46044</v>
      </c>
      <c r="P838" s="65" t="str">
        <f>VLOOKUP(I838,DATABASE!C:Q,11,FALSE)</f>
        <v>Tire</v>
      </c>
      <c r="Q838" s="65" t="str">
        <f>VLOOKUP(I838,DATABASE!C:Q,4,FALSE)</f>
        <v>GT</v>
      </c>
      <c r="R838" s="101"/>
      <c r="U838" s="101"/>
    </row>
    <row r="839" ht="22.5" customHeight="1">
      <c r="A839" s="49"/>
      <c r="C839" s="192">
        <v>46015.0</v>
      </c>
      <c r="D839" s="192">
        <v>46014.0</v>
      </c>
      <c r="E839" s="69" t="s">
        <v>123</v>
      </c>
      <c r="F839" s="243" t="s">
        <v>343</v>
      </c>
      <c r="G839" s="69" t="s">
        <v>2418</v>
      </c>
      <c r="H839" s="69" t="s">
        <v>7</v>
      </c>
      <c r="I839" s="140" t="s">
        <v>791</v>
      </c>
      <c r="J839" s="446">
        <v>6.0</v>
      </c>
      <c r="K839" s="140">
        <v>1180000.0</v>
      </c>
      <c r="L839" s="140">
        <v>1160000.0</v>
      </c>
      <c r="M839" s="140" t="s">
        <v>2190</v>
      </c>
      <c r="N839" s="74">
        <f t="shared" si="5"/>
        <v>6960000</v>
      </c>
      <c r="O839" s="60">
        <f t="shared" si="2"/>
        <v>46028</v>
      </c>
      <c r="P839" s="65" t="str">
        <f>VLOOKUP(I839,DATABASE!C:Q,11,FALSE)</f>
        <v>Tire</v>
      </c>
      <c r="Q839" s="65" t="str">
        <f>VLOOKUP(I839,DATABASE!C:Q,4,FALSE)</f>
        <v>GT</v>
      </c>
      <c r="R839" s="101"/>
      <c r="U839" s="101"/>
    </row>
    <row r="840" ht="22.5" customHeight="1">
      <c r="A840" s="49"/>
      <c r="C840" s="192">
        <v>46015.0</v>
      </c>
      <c r="D840" s="192">
        <v>46014.0</v>
      </c>
      <c r="E840" s="69" t="s">
        <v>123</v>
      </c>
      <c r="F840" s="243" t="s">
        <v>343</v>
      </c>
      <c r="G840" s="69" t="s">
        <v>2418</v>
      </c>
      <c r="H840" s="69" t="s">
        <v>7</v>
      </c>
      <c r="I840" s="140" t="s">
        <v>1862</v>
      </c>
      <c r="J840" s="446">
        <v>10.0</v>
      </c>
      <c r="K840" s="140">
        <v>2050000.0</v>
      </c>
      <c r="L840" s="140">
        <v>2050000.0</v>
      </c>
      <c r="M840" s="140" t="s">
        <v>2190</v>
      </c>
      <c r="N840" s="74">
        <f t="shared" si="5"/>
        <v>20500000</v>
      </c>
      <c r="O840" s="60">
        <f t="shared" si="2"/>
        <v>46028</v>
      </c>
      <c r="P840" s="65" t="str">
        <f>VLOOKUP(I840,DATABASE!C:Q,11,FALSE)</f>
        <v>Tire</v>
      </c>
      <c r="Q840" s="65" t="str">
        <f>VLOOKUP(I840,DATABASE!C:Q,4,FALSE)</f>
        <v>GiTi</v>
      </c>
      <c r="R840" s="101"/>
      <c r="U840" s="101"/>
    </row>
    <row r="841" ht="22.5" customHeight="1">
      <c r="A841" s="49"/>
      <c r="C841" s="192">
        <v>46015.0</v>
      </c>
      <c r="D841" s="192">
        <v>46015.0</v>
      </c>
      <c r="E841" s="69" t="s">
        <v>110</v>
      </c>
      <c r="F841" s="243" t="s">
        <v>343</v>
      </c>
      <c r="G841" s="69" t="s">
        <v>0</v>
      </c>
      <c r="H841" s="69" t="s">
        <v>7</v>
      </c>
      <c r="I841" s="140" t="s">
        <v>1871</v>
      </c>
      <c r="J841" s="446">
        <v>2.0</v>
      </c>
      <c r="K841" s="140">
        <v>3160000.0</v>
      </c>
      <c r="L841" s="140">
        <v>3160000.0</v>
      </c>
      <c r="M841" s="140" t="s">
        <v>755</v>
      </c>
      <c r="N841" s="74">
        <f t="shared" si="5"/>
        <v>6320000</v>
      </c>
      <c r="O841" s="60">
        <f t="shared" si="2"/>
        <v>46045</v>
      </c>
      <c r="P841" s="65" t="str">
        <f>VLOOKUP(I841,DATABASE!C:Q,11,FALSE)</f>
        <v>Tire</v>
      </c>
      <c r="Q841" s="65" t="str">
        <f>VLOOKUP(I841,DATABASE!C:Q,4,FALSE)</f>
        <v>GT</v>
      </c>
      <c r="R841" s="101"/>
      <c r="U841" s="101"/>
    </row>
    <row r="842" ht="22.5" customHeight="1">
      <c r="A842" s="49"/>
      <c r="C842" s="192">
        <v>46016.0</v>
      </c>
      <c r="D842" s="192">
        <v>46014.0</v>
      </c>
      <c r="E842" s="69" t="s">
        <v>335</v>
      </c>
      <c r="F842" s="243" t="s">
        <v>343</v>
      </c>
      <c r="G842" s="69" t="s">
        <v>2282</v>
      </c>
      <c r="H842" s="69" t="s">
        <v>7</v>
      </c>
      <c r="I842" s="140" t="s">
        <v>295</v>
      </c>
      <c r="J842" s="446">
        <v>6.0</v>
      </c>
      <c r="K842" s="140">
        <v>1425000.0</v>
      </c>
      <c r="L842" s="140">
        <v>1425000.0</v>
      </c>
      <c r="M842" s="140" t="s">
        <v>521</v>
      </c>
      <c r="N842" s="74">
        <f t="shared" si="5"/>
        <v>8550000</v>
      </c>
      <c r="O842" s="60">
        <f t="shared" si="2"/>
        <v>46074</v>
      </c>
      <c r="P842" s="65" t="str">
        <f>VLOOKUP(I842,DATABASE!C:Q,11,FALSE)</f>
        <v>Tire</v>
      </c>
      <c r="Q842" s="65" t="str">
        <f>VLOOKUP(I842,DATABASE!C:Q,4,FALSE)</f>
        <v>TIRON</v>
      </c>
      <c r="R842" s="101"/>
      <c r="U842" s="101"/>
    </row>
    <row r="843" ht="22.5" customHeight="1">
      <c r="A843" s="49"/>
      <c r="C843" s="192">
        <v>46016.0</v>
      </c>
      <c r="D843" s="192">
        <v>46014.0</v>
      </c>
      <c r="E843" s="69" t="s">
        <v>335</v>
      </c>
      <c r="F843" s="243" t="s">
        <v>343</v>
      </c>
      <c r="G843" s="69" t="s">
        <v>2282</v>
      </c>
      <c r="H843" s="69" t="s">
        <v>7</v>
      </c>
      <c r="I843" s="140" t="s">
        <v>391</v>
      </c>
      <c r="J843" s="446">
        <v>6.0</v>
      </c>
      <c r="K843" s="140">
        <v>1840000.0</v>
      </c>
      <c r="L843" s="140">
        <v>1840000.0</v>
      </c>
      <c r="M843" s="140" t="s">
        <v>521</v>
      </c>
      <c r="N843" s="74">
        <f t="shared" si="5"/>
        <v>11040000</v>
      </c>
      <c r="O843" s="60">
        <f t="shared" si="2"/>
        <v>46074</v>
      </c>
      <c r="P843" s="65" t="str">
        <f>VLOOKUP(I843,DATABASE!C:Q,11,FALSE)</f>
        <v>Tire</v>
      </c>
      <c r="Q843" s="65" t="str">
        <f>VLOOKUP(I843,DATABASE!C:Q,4,FALSE)</f>
        <v>Advance</v>
      </c>
      <c r="R843" s="101"/>
      <c r="U843" s="101"/>
    </row>
    <row r="844" ht="22.5" customHeight="1">
      <c r="A844" s="49"/>
      <c r="C844" s="192">
        <v>46016.0</v>
      </c>
      <c r="D844" s="192">
        <v>46014.0</v>
      </c>
      <c r="E844" s="69" t="s">
        <v>335</v>
      </c>
      <c r="F844" s="243" t="s">
        <v>343</v>
      </c>
      <c r="G844" s="69" t="s">
        <v>2282</v>
      </c>
      <c r="H844" s="69" t="s">
        <v>7</v>
      </c>
      <c r="I844" s="140" t="s">
        <v>403</v>
      </c>
      <c r="J844" s="446">
        <v>6.0</v>
      </c>
      <c r="K844" s="140">
        <v>2160000.0</v>
      </c>
      <c r="L844" s="140">
        <v>2160000.0</v>
      </c>
      <c r="M844" s="140" t="s">
        <v>521</v>
      </c>
      <c r="N844" s="74">
        <f t="shared" si="5"/>
        <v>12960000</v>
      </c>
      <c r="O844" s="60">
        <f t="shared" si="2"/>
        <v>46074</v>
      </c>
      <c r="P844" s="65" t="str">
        <f>VLOOKUP(I844,DATABASE!C:Q,11,FALSE)</f>
        <v>Tire</v>
      </c>
      <c r="Q844" s="65" t="str">
        <f>VLOOKUP(I844,DATABASE!C:Q,4,FALSE)</f>
        <v>Advance</v>
      </c>
      <c r="R844" s="101"/>
      <c r="U844" s="101"/>
    </row>
    <row r="845" ht="22.5" customHeight="1">
      <c r="A845" s="49"/>
      <c r="C845" s="192">
        <v>46018.0</v>
      </c>
      <c r="D845" s="192">
        <v>46018.0</v>
      </c>
      <c r="E845" s="69" t="s">
        <v>97</v>
      </c>
      <c r="F845" s="243" t="s">
        <v>343</v>
      </c>
      <c r="G845" s="69" t="s">
        <v>2478</v>
      </c>
      <c r="H845" s="69" t="s">
        <v>87</v>
      </c>
      <c r="I845" s="140" t="s">
        <v>1278</v>
      </c>
      <c r="J845" s="446">
        <v>4.0</v>
      </c>
      <c r="K845" s="140">
        <v>1466393.5</v>
      </c>
      <c r="L845" s="140">
        <v>1458683.0</v>
      </c>
      <c r="M845" s="140" t="s">
        <v>521</v>
      </c>
      <c r="N845" s="74">
        <f t="shared" si="5"/>
        <v>5834732</v>
      </c>
      <c r="O845" s="60">
        <f t="shared" si="2"/>
        <v>46078</v>
      </c>
      <c r="P845" s="65" t="str">
        <f>VLOOKUP(I845,DATABASE!C:Q,11,FALSE)</f>
        <v>Tire</v>
      </c>
      <c r="Q845" s="65" t="str">
        <f>VLOOKUP(I845,DATABASE!C:Q,4,FALSE)</f>
        <v>Bridgestone</v>
      </c>
      <c r="R845" s="101"/>
      <c r="U845" s="101"/>
    </row>
    <row r="846" ht="22.5" customHeight="1">
      <c r="A846" s="49"/>
      <c r="C846" s="192">
        <v>46018.0</v>
      </c>
      <c r="D846" s="192">
        <v>46018.0</v>
      </c>
      <c r="E846" s="69" t="s">
        <v>97</v>
      </c>
      <c r="F846" s="243" t="s">
        <v>343</v>
      </c>
      <c r="G846" s="69" t="s">
        <v>2478</v>
      </c>
      <c r="H846" s="69" t="s">
        <v>87</v>
      </c>
      <c r="I846" s="140" t="s">
        <v>591</v>
      </c>
      <c r="J846" s="446">
        <v>10.0</v>
      </c>
      <c r="K846" s="140">
        <v>596694.4</v>
      </c>
      <c r="L846" s="140">
        <v>596694.4</v>
      </c>
      <c r="M846" s="140" t="s">
        <v>521</v>
      </c>
      <c r="N846" s="74">
        <f t="shared" si="5"/>
        <v>5966944</v>
      </c>
      <c r="O846" s="60">
        <f t="shared" si="2"/>
        <v>46078</v>
      </c>
      <c r="P846" s="65" t="str">
        <f>VLOOKUP(I846,DATABASE!C:Q,11,FALSE)</f>
        <v>Tire</v>
      </c>
      <c r="Q846" s="65" t="str">
        <f>VLOOKUP(I846,DATABASE!C:Q,4,FALSE)</f>
        <v>Bridgestone</v>
      </c>
      <c r="R846" s="101"/>
      <c r="U846" s="101"/>
    </row>
    <row r="847" ht="22.5" customHeight="1">
      <c r="A847" s="49"/>
      <c r="C847" s="192">
        <v>46018.0</v>
      </c>
      <c r="D847" s="192">
        <v>46018.0</v>
      </c>
      <c r="E847" s="69" t="s">
        <v>97</v>
      </c>
      <c r="F847" s="243" t="s">
        <v>343</v>
      </c>
      <c r="G847" s="69" t="s">
        <v>2478</v>
      </c>
      <c r="H847" s="69" t="s">
        <v>87</v>
      </c>
      <c r="I847" s="140" t="s">
        <v>1133</v>
      </c>
      <c r="J847" s="446">
        <v>6.0</v>
      </c>
      <c r="K847" s="140">
        <v>715635.0</v>
      </c>
      <c r="L847" s="140">
        <v>719199.0</v>
      </c>
      <c r="M847" s="140" t="s">
        <v>521</v>
      </c>
      <c r="N847" s="74">
        <f t="shared" si="5"/>
        <v>4315194</v>
      </c>
      <c r="O847" s="60">
        <f t="shared" si="2"/>
        <v>46078</v>
      </c>
      <c r="P847" s="65" t="str">
        <f>VLOOKUP(I847,DATABASE!C:Q,11,FALSE)</f>
        <v>Tire</v>
      </c>
      <c r="Q847" s="65" t="str">
        <f>VLOOKUP(I847,DATABASE!C:Q,4,FALSE)</f>
        <v>Bridgestone</v>
      </c>
      <c r="R847" s="101"/>
      <c r="U847" s="101"/>
    </row>
    <row r="848" ht="22.5" customHeight="1">
      <c r="A848" s="49"/>
      <c r="C848" s="192">
        <v>46018.0</v>
      </c>
      <c r="D848" s="192">
        <v>46018.0</v>
      </c>
      <c r="E848" s="69" t="s">
        <v>97</v>
      </c>
      <c r="F848" s="243" t="s">
        <v>343</v>
      </c>
      <c r="G848" s="69" t="s">
        <v>2478</v>
      </c>
      <c r="H848" s="69" t="s">
        <v>87</v>
      </c>
      <c r="I848" s="140" t="s">
        <v>614</v>
      </c>
      <c r="J848" s="446">
        <v>8.0</v>
      </c>
      <c r="K848" s="140">
        <v>720000.0</v>
      </c>
      <c r="L848" s="140">
        <v>712256.0</v>
      </c>
      <c r="M848" s="140" t="s">
        <v>521</v>
      </c>
      <c r="N848" s="74">
        <f t="shared" si="5"/>
        <v>5698048</v>
      </c>
      <c r="O848" s="60">
        <f t="shared" si="2"/>
        <v>46078</v>
      </c>
      <c r="P848" s="65" t="str">
        <f>VLOOKUP(I848,DATABASE!C:Q,11,FALSE)</f>
        <v>Tire</v>
      </c>
      <c r="Q848" s="65" t="str">
        <f>VLOOKUP(I848,DATABASE!C:Q,4,FALSE)</f>
        <v>Bridgestone</v>
      </c>
      <c r="R848" s="101"/>
      <c r="U848" s="101"/>
    </row>
    <row r="849" ht="22.5" customHeight="1">
      <c r="A849" s="49"/>
      <c r="C849" s="192">
        <v>46018.0</v>
      </c>
      <c r="D849" s="192">
        <v>46018.0</v>
      </c>
      <c r="E849" s="69" t="s">
        <v>97</v>
      </c>
      <c r="F849" s="243" t="s">
        <v>343</v>
      </c>
      <c r="G849" s="69" t="s">
        <v>2478</v>
      </c>
      <c r="H849" s="69" t="s">
        <v>87</v>
      </c>
      <c r="I849" s="140" t="s">
        <v>622</v>
      </c>
      <c r="J849" s="446">
        <v>6.0</v>
      </c>
      <c r="K849" s="140">
        <v>810342.44</v>
      </c>
      <c r="L849" s="140">
        <v>805872.0</v>
      </c>
      <c r="M849" s="140" t="s">
        <v>521</v>
      </c>
      <c r="N849" s="74">
        <f t="shared" si="5"/>
        <v>4835232</v>
      </c>
      <c r="O849" s="60">
        <f t="shared" si="2"/>
        <v>46078</v>
      </c>
      <c r="P849" s="65" t="str">
        <f>VLOOKUP(I849,DATABASE!C:Q,11,FALSE)</f>
        <v>Tire</v>
      </c>
      <c r="Q849" s="65" t="str">
        <f>VLOOKUP(I849,DATABASE!C:Q,4,FALSE)</f>
        <v>Bridgestone</v>
      </c>
      <c r="R849" s="101"/>
      <c r="U849" s="101"/>
    </row>
    <row r="850" ht="22.5" customHeight="1">
      <c r="A850" s="49"/>
      <c r="C850" s="192">
        <v>46018.0</v>
      </c>
      <c r="D850" s="192">
        <v>46018.0</v>
      </c>
      <c r="E850" s="69" t="s">
        <v>97</v>
      </c>
      <c r="F850" s="243" t="s">
        <v>343</v>
      </c>
      <c r="G850" s="69" t="s">
        <v>2478</v>
      </c>
      <c r="H850" s="69" t="s">
        <v>87</v>
      </c>
      <c r="I850" s="140" t="s">
        <v>1196</v>
      </c>
      <c r="J850" s="446">
        <v>3.0</v>
      </c>
      <c r="K850" s="140">
        <v>945190.375</v>
      </c>
      <c r="L850" s="140">
        <v>890460.0</v>
      </c>
      <c r="M850" s="140" t="s">
        <v>521</v>
      </c>
      <c r="N850" s="74">
        <f t="shared" si="5"/>
        <v>2671380</v>
      </c>
      <c r="O850" s="60">
        <f t="shared" si="2"/>
        <v>46078</v>
      </c>
      <c r="P850" s="65" t="str">
        <f>VLOOKUP(I850,DATABASE!C:Q,11,FALSE)</f>
        <v>Tire</v>
      </c>
      <c r="Q850" s="65" t="str">
        <f>VLOOKUP(I850,DATABASE!C:Q,4,FALSE)</f>
        <v>Bridgestone</v>
      </c>
      <c r="R850" s="101"/>
      <c r="U850" s="101"/>
    </row>
    <row r="851" ht="22.5" customHeight="1">
      <c r="A851" s="49"/>
      <c r="C851" s="192">
        <v>46021.0</v>
      </c>
      <c r="D851" s="192">
        <v>46018.0</v>
      </c>
      <c r="E851" s="69" t="s">
        <v>412</v>
      </c>
      <c r="F851" s="247"/>
      <c r="H851" s="69" t="s">
        <v>7</v>
      </c>
      <c r="I851" s="140" t="s">
        <v>301</v>
      </c>
      <c r="J851" s="446">
        <v>10.0</v>
      </c>
      <c r="K851" s="140">
        <v>75000.0</v>
      </c>
      <c r="L851" s="140">
        <v>47500.0</v>
      </c>
      <c r="M851" s="140" t="s">
        <v>1023</v>
      </c>
      <c r="N851" s="74">
        <f t="shared" si="5"/>
        <v>475000</v>
      </c>
      <c r="O851" s="60" t="str">
        <f t="shared" si="2"/>
        <v>LUNAS</v>
      </c>
      <c r="P851" s="65" t="str">
        <f>VLOOKUP(I851,DATABASE!C:Q,11,FALSE)</f>
        <v>COMPLEMENTARY</v>
      </c>
      <c r="Q851" s="65" t="str">
        <f>VLOOKUP(I851,DATABASE!C:Q,4,FALSE)</f>
        <v>Baut Camber</v>
      </c>
      <c r="R851" s="101"/>
      <c r="U851" s="101"/>
    </row>
    <row r="852" ht="22.5" customHeight="1">
      <c r="A852" s="49"/>
      <c r="C852" s="192">
        <v>46021.0</v>
      </c>
      <c r="D852" s="192">
        <v>46018.0</v>
      </c>
      <c r="E852" s="69" t="s">
        <v>412</v>
      </c>
      <c r="F852" s="247"/>
      <c r="H852" s="69" t="s">
        <v>87</v>
      </c>
      <c r="I852" s="140" t="s">
        <v>301</v>
      </c>
      <c r="J852" s="446">
        <v>8.0</v>
      </c>
      <c r="K852" s="140">
        <v>75000.0</v>
      </c>
      <c r="L852" s="140">
        <v>50000.0</v>
      </c>
      <c r="M852" s="140" t="s">
        <v>1023</v>
      </c>
      <c r="N852" s="74">
        <f t="shared" si="5"/>
        <v>400000</v>
      </c>
      <c r="O852" s="60" t="str">
        <f t="shared" si="2"/>
        <v>LUNAS</v>
      </c>
      <c r="P852" s="65" t="str">
        <f>VLOOKUP(I852,DATABASE!C:Q,11,FALSE)</f>
        <v>COMPLEMENTARY</v>
      </c>
      <c r="Q852" s="65" t="str">
        <f>VLOOKUP(I852,DATABASE!C:Q,4,FALSE)</f>
        <v>Baut Camber</v>
      </c>
      <c r="R852" s="101"/>
      <c r="U852" s="101"/>
    </row>
    <row r="853" ht="22.5" customHeight="1">
      <c r="A853" s="49"/>
      <c r="C853" s="192">
        <v>46021.0</v>
      </c>
      <c r="D853" s="192">
        <v>46020.0</v>
      </c>
      <c r="E853" s="69" t="s">
        <v>372</v>
      </c>
      <c r="F853" s="243" t="s">
        <v>343</v>
      </c>
      <c r="G853" s="69" t="s">
        <v>1968</v>
      </c>
      <c r="H853" s="69" t="s">
        <v>7</v>
      </c>
      <c r="I853" s="140" t="s">
        <v>1526</v>
      </c>
      <c r="J853" s="446">
        <v>4.0</v>
      </c>
      <c r="K853" s="140">
        <v>450000.0</v>
      </c>
      <c r="L853" s="140">
        <v>450000.0</v>
      </c>
      <c r="M853" s="140" t="s">
        <v>521</v>
      </c>
      <c r="N853" s="74">
        <f t="shared" si="5"/>
        <v>1800000</v>
      </c>
      <c r="O853" s="60">
        <f t="shared" si="2"/>
        <v>46080</v>
      </c>
      <c r="P853" s="65" t="str">
        <f>VLOOKUP(I853,DATABASE!C:Q,11,FALSE)</f>
        <v>Tire</v>
      </c>
      <c r="Q853" s="65" t="str">
        <f>VLOOKUP(I853,DATABASE!C:Q,4,FALSE)</f>
        <v>Laufen</v>
      </c>
      <c r="R853" s="101"/>
      <c r="U853" s="101"/>
    </row>
    <row r="854" ht="22.5" customHeight="1">
      <c r="A854" s="49"/>
      <c r="C854" s="192">
        <v>46021.0</v>
      </c>
      <c r="D854" s="192">
        <v>46020.0</v>
      </c>
      <c r="E854" s="69" t="s">
        <v>372</v>
      </c>
      <c r="F854" s="243" t="s">
        <v>343</v>
      </c>
      <c r="G854" s="69" t="s">
        <v>1968</v>
      </c>
      <c r="H854" s="69" t="s">
        <v>7</v>
      </c>
      <c r="I854" s="140" t="s">
        <v>1530</v>
      </c>
      <c r="J854" s="446">
        <v>4.0</v>
      </c>
      <c r="K854" s="140">
        <v>467000.0</v>
      </c>
      <c r="L854" s="140">
        <v>467000.0</v>
      </c>
      <c r="M854" s="140" t="s">
        <v>521</v>
      </c>
      <c r="N854" s="74">
        <f t="shared" si="5"/>
        <v>1868000</v>
      </c>
      <c r="O854" s="60">
        <f t="shared" si="2"/>
        <v>46080</v>
      </c>
      <c r="P854" s="65" t="str">
        <f>VLOOKUP(I854,DATABASE!C:Q,11,FALSE)</f>
        <v>Tire</v>
      </c>
      <c r="Q854" s="65" t="str">
        <f>VLOOKUP(I854,DATABASE!C:Q,4,FALSE)</f>
        <v>Laufen</v>
      </c>
      <c r="R854" s="101"/>
      <c r="U854" s="101"/>
    </row>
    <row r="855" ht="22.5" customHeight="1">
      <c r="A855" s="49"/>
      <c r="C855" s="192">
        <v>46021.0</v>
      </c>
      <c r="D855" s="192">
        <v>46020.0</v>
      </c>
      <c r="E855" s="69" t="s">
        <v>372</v>
      </c>
      <c r="F855" s="243" t="s">
        <v>343</v>
      </c>
      <c r="G855" s="69" t="s">
        <v>1968</v>
      </c>
      <c r="H855" s="69" t="s">
        <v>7</v>
      </c>
      <c r="I855" s="140" t="s">
        <v>2555</v>
      </c>
      <c r="J855" s="446">
        <v>4.0</v>
      </c>
      <c r="K855" s="140">
        <v>520000.0</v>
      </c>
      <c r="L855" s="140">
        <v>520000.0</v>
      </c>
      <c r="M855" s="140" t="s">
        <v>521</v>
      </c>
      <c r="N855" s="74">
        <f t="shared" si="5"/>
        <v>2080000</v>
      </c>
      <c r="O855" s="60">
        <f t="shared" si="2"/>
        <v>46080</v>
      </c>
      <c r="P855" s="65" t="str">
        <f>VLOOKUP(I855,DATABASE!C:Q,11,FALSE)</f>
        <v>Tire</v>
      </c>
      <c r="Q855" s="65" t="str">
        <f>VLOOKUP(I855,DATABASE!C:Q,4,FALSE)</f>
        <v>Laufen</v>
      </c>
      <c r="R855" s="101"/>
      <c r="U855" s="101"/>
    </row>
    <row r="856" ht="22.5" customHeight="1">
      <c r="A856" s="49"/>
      <c r="C856" s="192">
        <v>46022.0</v>
      </c>
      <c r="D856" s="192">
        <v>46021.0</v>
      </c>
      <c r="E856" s="69" t="s">
        <v>372</v>
      </c>
      <c r="F856" s="243" t="s">
        <v>343</v>
      </c>
      <c r="G856" s="69" t="s">
        <v>1973</v>
      </c>
      <c r="H856" s="69" t="s">
        <v>7</v>
      </c>
      <c r="I856" s="140" t="s">
        <v>2610</v>
      </c>
      <c r="J856" s="446">
        <v>4.0</v>
      </c>
      <c r="K856" s="140">
        <v>802000.0</v>
      </c>
      <c r="L856" s="140">
        <v>802000.0</v>
      </c>
      <c r="M856" s="140" t="s">
        <v>521</v>
      </c>
      <c r="N856" s="74">
        <f t="shared" si="5"/>
        <v>3208000</v>
      </c>
      <c r="O856" s="60">
        <f t="shared" si="2"/>
        <v>46081</v>
      </c>
      <c r="P856" s="65" t="str">
        <f>VLOOKUP(I856,DATABASE!C:Q,11,FALSE)</f>
        <v>Tire</v>
      </c>
      <c r="Q856" s="65" t="str">
        <f>VLOOKUP(I856,DATABASE!C:Q,4,FALSE)</f>
        <v>Laufen</v>
      </c>
      <c r="R856" s="101"/>
      <c r="U856" s="101"/>
    </row>
    <row r="857" ht="22.5" customHeight="1">
      <c r="A857" s="49"/>
      <c r="C857" s="192">
        <v>46024.0</v>
      </c>
      <c r="D857" s="192">
        <v>46024.0</v>
      </c>
      <c r="E857" s="69" t="s">
        <v>81</v>
      </c>
      <c r="F857" s="243" t="s">
        <v>343</v>
      </c>
      <c r="G857" s="69" t="s">
        <v>1676</v>
      </c>
      <c r="H857" s="69" t="s">
        <v>87</v>
      </c>
      <c r="I857" s="140" t="s">
        <v>1389</v>
      </c>
      <c r="J857" s="446">
        <v>1.0</v>
      </c>
      <c r="K857" s="140">
        <v>897000.0</v>
      </c>
      <c r="L857" s="140">
        <v>897000.0</v>
      </c>
      <c r="M857" s="140" t="s">
        <v>657</v>
      </c>
      <c r="N857" s="74">
        <f t="shared" si="5"/>
        <v>897000</v>
      </c>
      <c r="O857" s="60">
        <f t="shared" si="2"/>
        <v>46099</v>
      </c>
      <c r="P857" s="65" t="str">
        <f>VLOOKUP(I857,DATABASE!C:Q,11,FALSE)</f>
        <v>Tire</v>
      </c>
      <c r="Q857" s="65" t="str">
        <f>VLOOKUP(I857,DATABASE!C:Q,4,FALSE)</f>
        <v>Dunlop</v>
      </c>
      <c r="R857" s="101"/>
      <c r="U857" s="101"/>
    </row>
    <row r="858" ht="22.5" customHeight="1">
      <c r="A858" s="49"/>
      <c r="C858" s="192">
        <v>46027.0</v>
      </c>
      <c r="D858" s="192">
        <v>46022.0</v>
      </c>
      <c r="E858" s="69" t="s">
        <v>386</v>
      </c>
      <c r="F858" s="243" t="s">
        <v>998</v>
      </c>
      <c r="G858" s="69" t="s">
        <v>2121</v>
      </c>
      <c r="H858" s="69" t="s">
        <v>2314</v>
      </c>
      <c r="I858" s="140" t="s">
        <v>2191</v>
      </c>
      <c r="J858" s="446">
        <v>8.0</v>
      </c>
      <c r="K858" s="140">
        <v>377951.0</v>
      </c>
      <c r="L858" s="140">
        <v>356800.0</v>
      </c>
      <c r="M858" s="140" t="s">
        <v>755</v>
      </c>
      <c r="N858" s="74">
        <f t="shared" si="5"/>
        <v>2854400</v>
      </c>
      <c r="O858" s="60">
        <f t="shared" si="2"/>
        <v>46052</v>
      </c>
      <c r="P858" s="65" t="str">
        <f>VLOOKUP(I858,DATABASE!C:Q,11,FALSE)</f>
        <v>OIL</v>
      </c>
      <c r="Q858" s="65" t="str">
        <f>VLOOKUP(I858,DATABASE!C:Q,4,FALSE)</f>
        <v>Shell</v>
      </c>
      <c r="R858" s="101"/>
      <c r="U858" s="101"/>
    </row>
    <row r="859" ht="22.5" customHeight="1">
      <c r="A859" s="49"/>
      <c r="C859" s="192">
        <v>46027.0</v>
      </c>
      <c r="D859" s="192">
        <v>46022.0</v>
      </c>
      <c r="E859" s="69" t="s">
        <v>386</v>
      </c>
      <c r="F859" s="243" t="s">
        <v>998</v>
      </c>
      <c r="G859" s="69" t="s">
        <v>2121</v>
      </c>
      <c r="H859" s="69" t="s">
        <v>2314</v>
      </c>
      <c r="I859" s="140" t="s">
        <v>263</v>
      </c>
      <c r="J859" s="446">
        <v>4.0</v>
      </c>
      <c r="K859" s="140">
        <v>287688.0</v>
      </c>
      <c r="L859" s="140">
        <v>273900.0</v>
      </c>
      <c r="M859" s="140" t="s">
        <v>755</v>
      </c>
      <c r="N859" s="74">
        <f t="shared" si="5"/>
        <v>1095600</v>
      </c>
      <c r="O859" s="60">
        <f t="shared" si="2"/>
        <v>46052</v>
      </c>
      <c r="P859" s="65" t="str">
        <f>VLOOKUP(I859,DATABASE!C:Q,11,FALSE)</f>
        <v>OIL</v>
      </c>
      <c r="Q859" s="65" t="str">
        <f>VLOOKUP(I859,DATABASE!C:Q,4,FALSE)</f>
        <v>Shell</v>
      </c>
      <c r="R859" s="101"/>
      <c r="U859" s="101"/>
    </row>
    <row r="860" ht="22.5" customHeight="1">
      <c r="A860" s="49"/>
      <c r="C860" s="192">
        <v>46027.0</v>
      </c>
      <c r="D860" s="192">
        <v>46022.0</v>
      </c>
      <c r="E860" s="69" t="s">
        <v>386</v>
      </c>
      <c r="F860" s="243" t="s">
        <v>998</v>
      </c>
      <c r="G860" s="69" t="s">
        <v>2121</v>
      </c>
      <c r="H860" s="69" t="s">
        <v>2314</v>
      </c>
      <c r="I860" s="140" t="s">
        <v>252</v>
      </c>
      <c r="J860" s="446">
        <v>8.0</v>
      </c>
      <c r="K860" s="140">
        <v>271778.0</v>
      </c>
      <c r="L860" s="140">
        <v>256600.0</v>
      </c>
      <c r="M860" s="140" t="s">
        <v>755</v>
      </c>
      <c r="N860" s="74">
        <f t="shared" si="5"/>
        <v>2052800</v>
      </c>
      <c r="O860" s="60">
        <f t="shared" si="2"/>
        <v>46052</v>
      </c>
      <c r="P860" s="65" t="str">
        <f>VLOOKUP(I860,DATABASE!C:Q,11,FALSE)</f>
        <v>OIL</v>
      </c>
      <c r="Q860" s="65" t="str">
        <f>VLOOKUP(I860,DATABASE!C:Q,4,FALSE)</f>
        <v>Shell</v>
      </c>
      <c r="R860" s="101"/>
      <c r="U860" s="101"/>
    </row>
    <row r="861" ht="22.5" customHeight="1">
      <c r="A861" s="49"/>
      <c r="C861" s="192">
        <v>46027.0</v>
      </c>
      <c r="D861" s="192">
        <v>46022.0</v>
      </c>
      <c r="E861" s="69" t="s">
        <v>386</v>
      </c>
      <c r="F861" s="243" t="s">
        <v>998</v>
      </c>
      <c r="G861" s="69" t="s">
        <v>2121</v>
      </c>
      <c r="H861" s="69" t="s">
        <v>2314</v>
      </c>
      <c r="I861" s="140" t="s">
        <v>2195</v>
      </c>
      <c r="J861" s="446">
        <v>3.0</v>
      </c>
      <c r="K861" s="140">
        <v>282805.0</v>
      </c>
      <c r="L861" s="140">
        <v>269300.0</v>
      </c>
      <c r="M861" s="140" t="s">
        <v>755</v>
      </c>
      <c r="N861" s="74">
        <f t="shared" si="5"/>
        <v>807900</v>
      </c>
      <c r="O861" s="60">
        <f t="shared" si="2"/>
        <v>46052</v>
      </c>
      <c r="P861" s="65" t="str">
        <f>VLOOKUP(I861,DATABASE!C:Q,11,FALSE)</f>
        <v>OIL</v>
      </c>
      <c r="Q861" s="65" t="str">
        <f>VLOOKUP(I861,DATABASE!C:Q,4,FALSE)</f>
        <v>Shell</v>
      </c>
      <c r="R861" s="101"/>
      <c r="U861" s="101"/>
    </row>
    <row r="862" ht="22.5" customHeight="1">
      <c r="A862" s="49"/>
      <c r="C862" s="192">
        <v>46027.0</v>
      </c>
      <c r="D862" s="192">
        <v>46027.0</v>
      </c>
      <c r="E862" s="69" t="s">
        <v>81</v>
      </c>
      <c r="F862" s="243" t="s">
        <v>343</v>
      </c>
      <c r="G862" s="69" t="s">
        <v>1679</v>
      </c>
      <c r="H862" s="69" t="s">
        <v>87</v>
      </c>
      <c r="I862" s="140" t="s">
        <v>282</v>
      </c>
      <c r="J862" s="446">
        <v>1.0</v>
      </c>
      <c r="K862" s="140">
        <v>771000.0</v>
      </c>
      <c r="L862" s="140">
        <v>771000.0</v>
      </c>
      <c r="M862" s="140" t="s">
        <v>657</v>
      </c>
      <c r="N862" s="74">
        <f t="shared" si="5"/>
        <v>771000</v>
      </c>
      <c r="O862" s="60">
        <f t="shared" si="2"/>
        <v>46102</v>
      </c>
      <c r="P862" s="65" t="str">
        <f>VLOOKUP(I862,DATABASE!C:Q,11,FALSE)</f>
        <v>Tire</v>
      </c>
      <c r="Q862" s="65" t="str">
        <f>VLOOKUP(I862,DATABASE!C:Q,4,FALSE)</f>
        <v>Dunlop</v>
      </c>
      <c r="R862" s="101"/>
      <c r="U862" s="101"/>
    </row>
    <row r="863" ht="22.5" customHeight="1">
      <c r="A863" s="49"/>
      <c r="C863" s="192">
        <v>46028.0</v>
      </c>
      <c r="D863" s="192">
        <v>46028.0</v>
      </c>
      <c r="E863" s="69" t="s">
        <v>123</v>
      </c>
      <c r="F863" s="243" t="s">
        <v>343</v>
      </c>
      <c r="G863" s="69" t="s">
        <v>2332</v>
      </c>
      <c r="H863" s="69" t="s">
        <v>7</v>
      </c>
      <c r="I863" s="140" t="s">
        <v>2037</v>
      </c>
      <c r="J863" s="446">
        <v>4.0</v>
      </c>
      <c r="K863" s="140">
        <v>2475000.0</v>
      </c>
      <c r="L863" s="140">
        <v>2450000.0</v>
      </c>
      <c r="M863" s="140" t="s">
        <v>1023</v>
      </c>
      <c r="N863" s="74">
        <f t="shared" si="5"/>
        <v>9800000</v>
      </c>
      <c r="O863" s="60" t="str">
        <f t="shared" si="2"/>
        <v>LUNAS</v>
      </c>
      <c r="P863" s="65" t="str">
        <f>VLOOKUP(I863,DATABASE!C:Q,11,FALSE)</f>
        <v>Tire</v>
      </c>
      <c r="Q863" s="65" t="str">
        <f>VLOOKUP(I863,DATABASE!C:Q,4,FALSE)</f>
        <v>GT</v>
      </c>
      <c r="R863" s="101"/>
      <c r="U863" s="101"/>
    </row>
    <row r="864" ht="22.5" customHeight="1">
      <c r="A864" s="49"/>
      <c r="C864" s="192">
        <v>46028.0</v>
      </c>
      <c r="D864" s="192">
        <v>46028.0</v>
      </c>
      <c r="E864" s="69" t="s">
        <v>136</v>
      </c>
      <c r="F864" s="243" t="s">
        <v>998</v>
      </c>
      <c r="G864" s="524">
        <v>0.0</v>
      </c>
      <c r="H864" s="69" t="s">
        <v>2314</v>
      </c>
      <c r="I864" s="140" t="s">
        <v>2587</v>
      </c>
      <c r="J864" s="446">
        <v>24.0</v>
      </c>
      <c r="K864" s="140">
        <v>25000.0</v>
      </c>
      <c r="L864" s="140">
        <v>27000.0</v>
      </c>
      <c r="M864" s="140" t="s">
        <v>755</v>
      </c>
      <c r="N864" s="74">
        <f t="shared" si="5"/>
        <v>648000</v>
      </c>
      <c r="O864" s="60">
        <f t="shared" si="2"/>
        <v>46058</v>
      </c>
      <c r="P864" s="65" t="str">
        <f>VLOOKUP(I864,DATABASE!C:Q,11,FALSE)</f>
        <v>COMPLEMENTARY</v>
      </c>
      <c r="Q864" s="65" t="str">
        <f>VLOOKUP(I864,DATABASE!C:Q,4,FALSE)</f>
        <v>WD</v>
      </c>
      <c r="R864" s="101"/>
      <c r="U864" s="101"/>
    </row>
    <row r="865" ht="22.5" customHeight="1">
      <c r="A865" s="49"/>
      <c r="C865" s="192">
        <v>46028.0</v>
      </c>
      <c r="D865" s="192">
        <v>46028.0</v>
      </c>
      <c r="E865" s="69" t="s">
        <v>136</v>
      </c>
      <c r="F865" s="243" t="s">
        <v>998</v>
      </c>
      <c r="G865" s="524">
        <v>0.0</v>
      </c>
      <c r="H865" s="69" t="s">
        <v>2314</v>
      </c>
      <c r="I865" s="140" t="s">
        <v>2206</v>
      </c>
      <c r="J865" s="446">
        <v>6.0</v>
      </c>
      <c r="K865" s="140">
        <v>61000.0</v>
      </c>
      <c r="L865" s="140">
        <v>53000.0</v>
      </c>
      <c r="M865" s="140" t="s">
        <v>755</v>
      </c>
      <c r="N865" s="74">
        <f t="shared" si="5"/>
        <v>318000</v>
      </c>
      <c r="O865" s="60">
        <f t="shared" si="2"/>
        <v>46058</v>
      </c>
      <c r="P865" s="65" t="str">
        <f>VLOOKUP(I865,DATABASE!C:Q,11,FALSE)</f>
        <v>COMPLEMENTARY</v>
      </c>
      <c r="Q865" s="65" t="str">
        <f>VLOOKUP(I865,DATABASE!C:Q,4,FALSE)</f>
        <v>TIEROD</v>
      </c>
      <c r="R865" s="101"/>
      <c r="U865" s="101"/>
    </row>
    <row r="866" ht="22.5" customHeight="1">
      <c r="A866" s="49"/>
      <c r="C866" s="192">
        <v>46028.0</v>
      </c>
      <c r="D866" s="192">
        <v>46028.0</v>
      </c>
      <c r="E866" s="69" t="s">
        <v>136</v>
      </c>
      <c r="F866" s="243" t="s">
        <v>998</v>
      </c>
      <c r="G866" s="524">
        <v>0.0</v>
      </c>
      <c r="H866" s="69" t="s">
        <v>2314</v>
      </c>
      <c r="I866" s="140" t="s">
        <v>2154</v>
      </c>
      <c r="J866" s="446">
        <v>4.0</v>
      </c>
      <c r="K866" s="140">
        <v>80000.0</v>
      </c>
      <c r="L866" s="140">
        <v>58300.0</v>
      </c>
      <c r="M866" s="140" t="s">
        <v>755</v>
      </c>
      <c r="N866" s="74">
        <f t="shared" si="5"/>
        <v>233200</v>
      </c>
      <c r="O866" s="60">
        <f t="shared" si="2"/>
        <v>46058</v>
      </c>
      <c r="P866" s="65" t="str">
        <f>VLOOKUP(I866,DATABASE!C:Q,11,FALSE)</f>
        <v>COMPLEMENTARY</v>
      </c>
      <c r="Q866" s="65" t="str">
        <f>VLOOKUP(I866,DATABASE!C:Q,4,FALSE)</f>
        <v>SERVICE</v>
      </c>
      <c r="R866" s="101"/>
      <c r="U866" s="101"/>
    </row>
    <row r="867" ht="22.5" customHeight="1">
      <c r="A867" s="49"/>
      <c r="C867" s="192">
        <v>46031.0</v>
      </c>
      <c r="D867" s="192">
        <v>46031.0</v>
      </c>
      <c r="E867" s="69" t="s">
        <v>110</v>
      </c>
      <c r="F867" s="243" t="s">
        <v>343</v>
      </c>
      <c r="G867" s="524">
        <v>9.01202501E8</v>
      </c>
      <c r="H867" s="69" t="s">
        <v>7</v>
      </c>
      <c r="I867" s="140" t="s">
        <v>781</v>
      </c>
      <c r="J867" s="446">
        <v>6.0</v>
      </c>
      <c r="K867" s="140">
        <v>442500.0</v>
      </c>
      <c r="L867" s="140">
        <v>442500.0</v>
      </c>
      <c r="M867" s="140" t="s">
        <v>755</v>
      </c>
      <c r="N867" s="74">
        <f t="shared" si="5"/>
        <v>2655000</v>
      </c>
      <c r="O867" s="60">
        <f t="shared" si="2"/>
        <v>46061</v>
      </c>
      <c r="P867" s="65" t="str">
        <f>VLOOKUP(I867,DATABASE!C:Q,11,FALSE)</f>
        <v>Tire</v>
      </c>
      <c r="Q867" s="65" t="str">
        <f>VLOOKUP(I867,DATABASE!C:Q,4,FALSE)</f>
        <v>GT</v>
      </c>
      <c r="R867" s="101"/>
      <c r="U867" s="101"/>
    </row>
    <row r="868" ht="22.5" customHeight="1">
      <c r="A868" s="49"/>
      <c r="C868" s="192">
        <v>46031.0</v>
      </c>
      <c r="D868" s="192">
        <v>46031.0</v>
      </c>
      <c r="E868" s="69" t="s">
        <v>110</v>
      </c>
      <c r="F868" s="243" t="s">
        <v>343</v>
      </c>
      <c r="G868" s="524">
        <v>9.01202502E8</v>
      </c>
      <c r="H868" s="69" t="s">
        <v>7</v>
      </c>
      <c r="I868" s="140" t="s">
        <v>2249</v>
      </c>
      <c r="J868" s="446">
        <v>4.0</v>
      </c>
      <c r="K868" s="140">
        <v>1700000.0</v>
      </c>
      <c r="L868" s="140">
        <v>1750000.0</v>
      </c>
      <c r="M868" s="140" t="s">
        <v>755</v>
      </c>
      <c r="N868" s="74">
        <f t="shared" si="5"/>
        <v>7000000</v>
      </c>
      <c r="O868" s="60">
        <f t="shared" si="2"/>
        <v>46061</v>
      </c>
      <c r="P868" s="65" t="str">
        <f>VLOOKUP(I868,DATABASE!C:Q,11,FALSE)</f>
        <v>Tire</v>
      </c>
      <c r="Q868" s="65" t="str">
        <f>VLOOKUP(I868,DATABASE!C:Q,4,FALSE)</f>
        <v>WESTLAKE</v>
      </c>
      <c r="R868" s="101"/>
      <c r="U868" s="101"/>
    </row>
    <row r="869" ht="22.5" customHeight="1">
      <c r="A869" s="49"/>
      <c r="C869" s="192">
        <v>46031.0</v>
      </c>
      <c r="D869" s="192">
        <v>46031.0</v>
      </c>
      <c r="E869" s="69" t="s">
        <v>81</v>
      </c>
      <c r="F869" s="243" t="s">
        <v>343</v>
      </c>
      <c r="G869" s="69" t="s">
        <v>1683</v>
      </c>
      <c r="H869" s="69" t="s">
        <v>87</v>
      </c>
      <c r="I869" s="140" t="s">
        <v>932</v>
      </c>
      <c r="J869" s="446">
        <v>2.0</v>
      </c>
      <c r="K869" s="140">
        <v>595000.0</v>
      </c>
      <c r="L869" s="140">
        <v>595000.0</v>
      </c>
      <c r="M869" s="140" t="s">
        <v>657</v>
      </c>
      <c r="N869" s="74">
        <f t="shared" si="5"/>
        <v>1190000</v>
      </c>
      <c r="O869" s="60">
        <f t="shared" si="2"/>
        <v>46106</v>
      </c>
      <c r="P869" s="65" t="str">
        <f>VLOOKUP(I869,DATABASE!C:Q,11,FALSE)</f>
        <v>Tire</v>
      </c>
      <c r="Q869" s="65" t="str">
        <f>VLOOKUP(I869,DATABASE!C:Q,4,FALSE)</f>
        <v>Dunlop</v>
      </c>
      <c r="R869" s="101"/>
      <c r="U869" s="101"/>
    </row>
    <row r="870" ht="22.5" customHeight="1">
      <c r="A870" s="49"/>
      <c r="C870" s="192">
        <v>46032.0</v>
      </c>
      <c r="D870" s="192">
        <v>46031.0</v>
      </c>
      <c r="E870" s="69" t="s">
        <v>97</v>
      </c>
      <c r="F870" s="243" t="s">
        <v>343</v>
      </c>
      <c r="G870" s="69" t="s">
        <v>2479</v>
      </c>
      <c r="H870" s="69" t="s">
        <v>87</v>
      </c>
      <c r="I870" s="140" t="s">
        <v>1196</v>
      </c>
      <c r="J870" s="446">
        <v>1.0</v>
      </c>
      <c r="K870" s="140">
        <v>945000.0</v>
      </c>
      <c r="L870" s="140">
        <v>945000.0</v>
      </c>
      <c r="M870" s="140" t="s">
        <v>521</v>
      </c>
      <c r="N870" s="74">
        <f t="shared" si="5"/>
        <v>945000</v>
      </c>
      <c r="O870" s="60">
        <f t="shared" si="2"/>
        <v>46091</v>
      </c>
      <c r="P870" s="65" t="str">
        <f>VLOOKUP(I870,DATABASE!C:Q,11,FALSE)</f>
        <v>Tire</v>
      </c>
      <c r="Q870" s="65" t="str">
        <f>VLOOKUP(I870,DATABASE!C:Q,4,FALSE)</f>
        <v>Bridgestone</v>
      </c>
      <c r="R870" s="101"/>
      <c r="U870" s="101"/>
    </row>
    <row r="871" ht="22.5" customHeight="1">
      <c r="A871" s="49"/>
      <c r="C871" s="192">
        <v>46032.0</v>
      </c>
      <c r="D871" s="192">
        <v>46031.0</v>
      </c>
      <c r="E871" s="69" t="s">
        <v>185</v>
      </c>
      <c r="F871" s="243" t="s">
        <v>343</v>
      </c>
      <c r="G871" s="69" t="s">
        <v>1200</v>
      </c>
      <c r="H871" s="69" t="s">
        <v>7</v>
      </c>
      <c r="I871" s="140" t="s">
        <v>647</v>
      </c>
      <c r="J871" s="446">
        <v>8.0</v>
      </c>
      <c r="K871" s="140">
        <v>1420000.0</v>
      </c>
      <c r="L871" s="140">
        <v>1419500.0</v>
      </c>
      <c r="M871" s="140" t="s">
        <v>521</v>
      </c>
      <c r="N871" s="74">
        <f t="shared" si="5"/>
        <v>11356000</v>
      </c>
      <c r="O871" s="60">
        <f t="shared" si="2"/>
        <v>46091</v>
      </c>
      <c r="P871" s="65" t="str">
        <f>VLOOKUP(I871,DATABASE!C:Q,11,FALSE)</f>
        <v>Tire</v>
      </c>
      <c r="Q871" s="65" t="str">
        <f>VLOOKUP(I871,DATABASE!C:Q,4,FALSE)</f>
        <v>G. YEAR</v>
      </c>
      <c r="R871" s="101"/>
      <c r="U871" s="101"/>
    </row>
    <row r="872" ht="22.5" customHeight="1">
      <c r="A872" s="49"/>
      <c r="C872" s="192">
        <v>46034.0</v>
      </c>
      <c r="D872" s="192">
        <v>46031.0</v>
      </c>
      <c r="E872" s="69" t="s">
        <v>81</v>
      </c>
      <c r="F872" s="243" t="s">
        <v>343</v>
      </c>
      <c r="G872" s="69" t="s">
        <v>1689</v>
      </c>
      <c r="H872" s="69" t="s">
        <v>87</v>
      </c>
      <c r="I872" s="140" t="s">
        <v>268</v>
      </c>
      <c r="J872" s="446">
        <v>20.0</v>
      </c>
      <c r="K872" s="140">
        <v>622000.0</v>
      </c>
      <c r="L872" s="140">
        <v>622000.0</v>
      </c>
      <c r="M872" s="140" t="s">
        <v>657</v>
      </c>
      <c r="N872" s="74">
        <f t="shared" si="5"/>
        <v>12440000</v>
      </c>
      <c r="O872" s="60">
        <f t="shared" si="2"/>
        <v>46106</v>
      </c>
      <c r="P872" s="65" t="str">
        <f>VLOOKUP(I872,DATABASE!C:Q,11,FALSE)</f>
        <v>Tire</v>
      </c>
      <c r="Q872" s="65" t="str">
        <f>VLOOKUP(I872,DATABASE!C:Q,4,FALSE)</f>
        <v>Dunlop</v>
      </c>
      <c r="R872" s="101"/>
      <c r="U872" s="101"/>
    </row>
    <row r="873" ht="22.5" customHeight="1">
      <c r="A873" s="49"/>
      <c r="C873" s="192">
        <v>46034.0</v>
      </c>
      <c r="D873" s="192">
        <v>46031.0</v>
      </c>
      <c r="E873" s="69" t="s">
        <v>81</v>
      </c>
      <c r="F873" s="243" t="s">
        <v>343</v>
      </c>
      <c r="G873" s="69" t="s">
        <v>1689</v>
      </c>
      <c r="H873" s="69" t="s">
        <v>87</v>
      </c>
      <c r="I873" s="140" t="s">
        <v>932</v>
      </c>
      <c r="J873" s="446">
        <v>10.0</v>
      </c>
      <c r="K873" s="140">
        <v>595000.0</v>
      </c>
      <c r="L873" s="140">
        <v>595000.0</v>
      </c>
      <c r="M873" s="140" t="s">
        <v>657</v>
      </c>
      <c r="N873" s="74">
        <f t="shared" si="5"/>
        <v>5950000</v>
      </c>
      <c r="O873" s="60">
        <f t="shared" si="2"/>
        <v>46106</v>
      </c>
      <c r="P873" s="65" t="str">
        <f>VLOOKUP(I873,DATABASE!C:Q,11,FALSE)</f>
        <v>Tire</v>
      </c>
      <c r="Q873" s="65" t="str">
        <f>VLOOKUP(I873,DATABASE!C:Q,4,FALSE)</f>
        <v>Dunlop</v>
      </c>
      <c r="R873" s="101"/>
      <c r="U873" s="101"/>
    </row>
    <row r="874" ht="22.5" customHeight="1">
      <c r="A874" s="49"/>
      <c r="C874" s="192">
        <v>46035.0</v>
      </c>
      <c r="D874" s="192">
        <v>46035.0</v>
      </c>
      <c r="E874" s="69" t="s">
        <v>110</v>
      </c>
      <c r="F874" s="243" t="s">
        <v>343</v>
      </c>
      <c r="G874" s="524">
        <v>1.3012026E7</v>
      </c>
      <c r="H874" s="69" t="s">
        <v>7</v>
      </c>
      <c r="I874" s="140" t="s">
        <v>2037</v>
      </c>
      <c r="J874" s="446">
        <v>4.0</v>
      </c>
      <c r="K874" s="140">
        <v>2475000.0</v>
      </c>
      <c r="L874" s="140">
        <v>2450000.0</v>
      </c>
      <c r="M874" s="140" t="s">
        <v>1023</v>
      </c>
      <c r="N874" s="74">
        <f t="shared" si="5"/>
        <v>9800000</v>
      </c>
      <c r="O874" s="60" t="str">
        <f t="shared" si="2"/>
        <v>LUNAS</v>
      </c>
      <c r="P874" s="65" t="str">
        <f>VLOOKUP(I874,DATABASE!C:Q,11,FALSE)</f>
        <v>Tire</v>
      </c>
      <c r="Q874" s="65" t="str">
        <f>VLOOKUP(I874,DATABASE!C:Q,4,FALSE)</f>
        <v>GT</v>
      </c>
      <c r="R874" s="101"/>
      <c r="U874" s="101"/>
    </row>
    <row r="875" ht="22.5" customHeight="1">
      <c r="A875" s="49"/>
      <c r="C875" s="192">
        <v>46036.0</v>
      </c>
      <c r="D875" s="192">
        <v>46036.0</v>
      </c>
      <c r="E875" s="69" t="s">
        <v>412</v>
      </c>
      <c r="F875" s="243" t="s">
        <v>343</v>
      </c>
      <c r="H875" s="69" t="s">
        <v>2314</v>
      </c>
      <c r="I875" s="140" t="s">
        <v>301</v>
      </c>
      <c r="J875" s="446">
        <v>8.0</v>
      </c>
      <c r="K875" s="140">
        <v>75000.0</v>
      </c>
      <c r="L875" s="140">
        <v>48000.0</v>
      </c>
      <c r="M875" s="140" t="s">
        <v>1023</v>
      </c>
      <c r="N875" s="74">
        <f t="shared" si="5"/>
        <v>384000</v>
      </c>
      <c r="O875" s="60" t="str">
        <f t="shared" si="2"/>
        <v>LUNAS</v>
      </c>
      <c r="P875" s="65" t="str">
        <f>VLOOKUP(I875,DATABASE!C:Q,11,FALSE)</f>
        <v>COMPLEMENTARY</v>
      </c>
      <c r="Q875" s="65" t="str">
        <f>VLOOKUP(I875,DATABASE!C:Q,4,FALSE)</f>
        <v>Baut Camber</v>
      </c>
      <c r="R875" s="101"/>
      <c r="U875" s="101"/>
    </row>
    <row r="876" ht="22.5" customHeight="1">
      <c r="A876" s="49"/>
      <c r="C876" s="192">
        <v>46036.0</v>
      </c>
      <c r="D876" s="192">
        <v>46036.0</v>
      </c>
      <c r="E876" s="69" t="s">
        <v>412</v>
      </c>
      <c r="F876" s="243" t="s">
        <v>998</v>
      </c>
      <c r="H876" s="69" t="s">
        <v>2314</v>
      </c>
      <c r="I876" s="140" t="s">
        <v>301</v>
      </c>
      <c r="J876" s="446">
        <v>8.0</v>
      </c>
      <c r="K876" s="140">
        <v>75000.0</v>
      </c>
      <c r="L876" s="140">
        <v>50000.0</v>
      </c>
      <c r="M876" s="140" t="s">
        <v>1023</v>
      </c>
      <c r="N876" s="74">
        <f t="shared" si="5"/>
        <v>400000</v>
      </c>
      <c r="O876" s="60" t="str">
        <f t="shared" si="2"/>
        <v>LUNAS</v>
      </c>
      <c r="P876" s="65" t="str">
        <f>VLOOKUP(I876,DATABASE!C:Q,11,FALSE)</f>
        <v>COMPLEMENTARY</v>
      </c>
      <c r="Q876" s="65" t="str">
        <f>VLOOKUP(I876,DATABASE!C:Q,4,FALSE)</f>
        <v>Baut Camber</v>
      </c>
      <c r="R876" s="101"/>
      <c r="U876" s="101"/>
    </row>
    <row r="877" ht="22.5" customHeight="1">
      <c r="A877" s="49"/>
      <c r="C877" s="192">
        <v>46036.0</v>
      </c>
      <c r="D877" s="192">
        <v>46036.0</v>
      </c>
      <c r="E877" s="69" t="s">
        <v>412</v>
      </c>
      <c r="F877" s="243" t="s">
        <v>998</v>
      </c>
      <c r="H877" s="69" t="s">
        <v>2314</v>
      </c>
      <c r="I877" s="140" t="s">
        <v>299</v>
      </c>
      <c r="J877" s="446">
        <v>38.0</v>
      </c>
      <c r="K877" s="140">
        <v>5000.0</v>
      </c>
      <c r="L877" s="140">
        <v>5000.0</v>
      </c>
      <c r="M877" s="140" t="s">
        <v>1023</v>
      </c>
      <c r="N877" s="74">
        <f t="shared" si="5"/>
        <v>190000</v>
      </c>
      <c r="O877" s="60" t="str">
        <f t="shared" si="2"/>
        <v>LUNAS</v>
      </c>
      <c r="P877" s="65" t="str">
        <f>VLOOKUP(I877,DATABASE!C:Q,11,FALSE)</f>
        <v>COMPLEMENTARY</v>
      </c>
      <c r="Q877" s="65" t="str">
        <f>VLOOKUP(I877,DATABASE!C:Q,4,FALSE)</f>
        <v>Balancing</v>
      </c>
      <c r="R877" s="101"/>
      <c r="U877" s="101"/>
    </row>
    <row r="878" ht="22.5" customHeight="1">
      <c r="A878" s="49"/>
      <c r="C878" s="192">
        <v>46036.0</v>
      </c>
      <c r="D878" s="192">
        <v>46036.0</v>
      </c>
      <c r="E878" s="69" t="s">
        <v>335</v>
      </c>
      <c r="F878" s="243" t="s">
        <v>343</v>
      </c>
      <c r="G878" s="69" t="s">
        <v>2181</v>
      </c>
      <c r="H878" s="69" t="s">
        <v>7</v>
      </c>
      <c r="I878" s="140" t="s">
        <v>391</v>
      </c>
      <c r="J878" s="446">
        <v>3.0</v>
      </c>
      <c r="K878" s="140">
        <v>1840000.0</v>
      </c>
      <c r="L878" s="140">
        <v>1840000.0</v>
      </c>
      <c r="M878" s="140" t="s">
        <v>521</v>
      </c>
      <c r="N878" s="74">
        <f t="shared" si="5"/>
        <v>5520000</v>
      </c>
      <c r="O878" s="60">
        <f t="shared" si="2"/>
        <v>46096</v>
      </c>
      <c r="P878" s="65" t="str">
        <f>VLOOKUP(I878,DATABASE!C:Q,11,FALSE)</f>
        <v>Tire</v>
      </c>
      <c r="Q878" s="65" t="str">
        <f>VLOOKUP(I878,DATABASE!C:Q,4,FALSE)</f>
        <v>Advance</v>
      </c>
      <c r="R878" s="101"/>
      <c r="U878" s="101"/>
    </row>
    <row r="879" ht="22.5" customHeight="1">
      <c r="A879" s="49"/>
      <c r="C879" s="192">
        <v>46036.0</v>
      </c>
      <c r="D879" s="192">
        <v>46036.0</v>
      </c>
      <c r="E879" s="69" t="s">
        <v>335</v>
      </c>
      <c r="F879" s="243" t="s">
        <v>343</v>
      </c>
      <c r="G879" s="69" t="s">
        <v>2181</v>
      </c>
      <c r="H879" s="69" t="s">
        <v>7</v>
      </c>
      <c r="I879" s="140" t="s">
        <v>374</v>
      </c>
      <c r="J879" s="446">
        <v>1.0</v>
      </c>
      <c r="K879" s="140">
        <v>1850000.0</v>
      </c>
      <c r="L879" s="140">
        <v>1820000.0</v>
      </c>
      <c r="M879" s="140" t="s">
        <v>521</v>
      </c>
      <c r="N879" s="74">
        <f t="shared" si="5"/>
        <v>1820000</v>
      </c>
      <c r="O879" s="60">
        <f t="shared" si="2"/>
        <v>46096</v>
      </c>
      <c r="P879" s="65" t="str">
        <f>VLOOKUP(I879,DATABASE!C:Q,11,FALSE)</f>
        <v>Tire</v>
      </c>
      <c r="Q879" s="65" t="str">
        <f>VLOOKUP(I879,DATABASE!C:Q,4,FALSE)</f>
        <v>Advance</v>
      </c>
      <c r="R879" s="101"/>
      <c r="U879" s="101"/>
    </row>
    <row r="880" ht="22.5" customHeight="1">
      <c r="A880" s="49"/>
      <c r="C880" s="192">
        <v>46036.0</v>
      </c>
      <c r="D880" s="192">
        <v>46036.0</v>
      </c>
      <c r="E880" s="69" t="s">
        <v>335</v>
      </c>
      <c r="F880" s="243" t="s">
        <v>343</v>
      </c>
      <c r="G880" s="69" t="s">
        <v>2181</v>
      </c>
      <c r="H880" s="69" t="s">
        <v>7</v>
      </c>
      <c r="I880" s="140" t="s">
        <v>403</v>
      </c>
      <c r="J880" s="446">
        <v>4.0</v>
      </c>
      <c r="K880" s="140">
        <v>2160000.0</v>
      </c>
      <c r="L880" s="140">
        <v>2160000.0</v>
      </c>
      <c r="M880" s="140" t="s">
        <v>521</v>
      </c>
      <c r="N880" s="74">
        <f t="shared" si="5"/>
        <v>8640000</v>
      </c>
      <c r="O880" s="60">
        <f t="shared" si="2"/>
        <v>46096</v>
      </c>
      <c r="P880" s="65" t="str">
        <f>VLOOKUP(I880,DATABASE!C:Q,11,FALSE)</f>
        <v>Tire</v>
      </c>
      <c r="Q880" s="65" t="str">
        <f>VLOOKUP(I880,DATABASE!C:Q,4,FALSE)</f>
        <v>Advance</v>
      </c>
      <c r="R880" s="101"/>
      <c r="U880" s="101"/>
    </row>
    <row r="881" ht="22.5" customHeight="1">
      <c r="A881" s="49"/>
      <c r="C881" s="192">
        <v>46036.0</v>
      </c>
      <c r="D881" s="192">
        <v>46036.0</v>
      </c>
      <c r="E881" s="69" t="s">
        <v>335</v>
      </c>
      <c r="F881" s="243" t="s">
        <v>343</v>
      </c>
      <c r="G881" s="69" t="s">
        <v>2181</v>
      </c>
      <c r="H881" s="69" t="s">
        <v>7</v>
      </c>
      <c r="I881" s="140" t="s">
        <v>295</v>
      </c>
      <c r="J881" s="446">
        <v>5.0</v>
      </c>
      <c r="K881" s="140">
        <v>1425000.0</v>
      </c>
      <c r="L881" s="140">
        <v>1425000.0</v>
      </c>
      <c r="M881" s="140" t="s">
        <v>521</v>
      </c>
      <c r="N881" s="74">
        <f t="shared" si="5"/>
        <v>7125000</v>
      </c>
      <c r="O881" s="60">
        <f t="shared" si="2"/>
        <v>46096</v>
      </c>
      <c r="P881" s="65" t="str">
        <f>VLOOKUP(I881,DATABASE!C:Q,11,FALSE)</f>
        <v>Tire</v>
      </c>
      <c r="Q881" s="65" t="str">
        <f>VLOOKUP(I881,DATABASE!C:Q,4,FALSE)</f>
        <v>TIRON</v>
      </c>
      <c r="R881" s="101"/>
      <c r="U881" s="101"/>
    </row>
    <row r="882" ht="22.5" customHeight="1">
      <c r="A882" s="49"/>
      <c r="C882" s="192">
        <v>46036.0</v>
      </c>
      <c r="D882" s="192">
        <v>46036.0</v>
      </c>
      <c r="E882" s="69" t="s">
        <v>335</v>
      </c>
      <c r="F882" s="243" t="s">
        <v>343</v>
      </c>
      <c r="G882" s="69" t="s">
        <v>2181</v>
      </c>
      <c r="H882" s="69" t="s">
        <v>7</v>
      </c>
      <c r="I882" s="140" t="s">
        <v>924</v>
      </c>
      <c r="J882" s="446">
        <v>10.0</v>
      </c>
      <c r="K882" s="140">
        <v>1545000.0</v>
      </c>
      <c r="L882" s="140">
        <v>1545000.0</v>
      </c>
      <c r="M882" s="140" t="s">
        <v>521</v>
      </c>
      <c r="N882" s="74">
        <f t="shared" si="5"/>
        <v>15450000</v>
      </c>
      <c r="O882" s="60">
        <f t="shared" si="2"/>
        <v>46096</v>
      </c>
      <c r="P882" s="65" t="str">
        <f>VLOOKUP(I882,DATABASE!C:Q,11,FALSE)</f>
        <v>Tire</v>
      </c>
      <c r="Q882" s="65" t="str">
        <f>VLOOKUP(I882,DATABASE!C:Q,4,FALSE)</f>
        <v>TIRON</v>
      </c>
      <c r="R882" s="101"/>
      <c r="U882" s="101"/>
    </row>
    <row r="883" ht="22.5" customHeight="1">
      <c r="A883" s="49"/>
      <c r="C883" s="192">
        <v>46036.0</v>
      </c>
      <c r="D883" s="192">
        <v>46036.0</v>
      </c>
      <c r="E883" s="69" t="s">
        <v>97</v>
      </c>
      <c r="F883" s="243" t="s">
        <v>343</v>
      </c>
      <c r="G883" s="69" t="s">
        <v>2480</v>
      </c>
      <c r="H883" s="69" t="s">
        <v>87</v>
      </c>
      <c r="I883" s="140" t="s">
        <v>591</v>
      </c>
      <c r="J883" s="446">
        <v>10.0</v>
      </c>
      <c r="K883" s="140">
        <v>596694.4</v>
      </c>
      <c r="L883" s="140">
        <v>596694.0</v>
      </c>
      <c r="M883" s="140" t="s">
        <v>521</v>
      </c>
      <c r="N883" s="74">
        <f t="shared" si="5"/>
        <v>5966940</v>
      </c>
      <c r="O883" s="60">
        <f t="shared" si="2"/>
        <v>46096</v>
      </c>
      <c r="P883" s="65" t="str">
        <f>VLOOKUP(I883,DATABASE!C:Q,11,FALSE)</f>
        <v>Tire</v>
      </c>
      <c r="Q883" s="65" t="str">
        <f>VLOOKUP(I883,DATABASE!C:Q,4,FALSE)</f>
        <v>Bridgestone</v>
      </c>
      <c r="R883" s="101"/>
      <c r="U883" s="101"/>
    </row>
    <row r="884" ht="22.5" customHeight="1">
      <c r="A884" s="49"/>
      <c r="C884" s="192">
        <v>46036.0</v>
      </c>
      <c r="D884" s="192">
        <v>46036.0</v>
      </c>
      <c r="E884" s="69" t="s">
        <v>97</v>
      </c>
      <c r="F884" s="243" t="s">
        <v>343</v>
      </c>
      <c r="G884" s="69" t="s">
        <v>2480</v>
      </c>
      <c r="H884" s="69" t="s">
        <v>87</v>
      </c>
      <c r="I884" s="140" t="s">
        <v>605</v>
      </c>
      <c r="J884" s="446">
        <v>7.0</v>
      </c>
      <c r="K884" s="140">
        <v>650000.0</v>
      </c>
      <c r="L884" s="140">
        <v>650000.0</v>
      </c>
      <c r="M884" s="140" t="s">
        <v>521</v>
      </c>
      <c r="N884" s="74">
        <f t="shared" si="5"/>
        <v>4550000</v>
      </c>
      <c r="O884" s="60">
        <f t="shared" si="2"/>
        <v>46096</v>
      </c>
      <c r="P884" s="65" t="str">
        <f>VLOOKUP(I884,DATABASE!C:Q,11,FALSE)</f>
        <v>Tire</v>
      </c>
      <c r="Q884" s="65" t="str">
        <f>VLOOKUP(I884,DATABASE!C:Q,4,FALSE)</f>
        <v>Bridgestone</v>
      </c>
      <c r="R884" s="101"/>
      <c r="U884" s="101"/>
    </row>
    <row r="885" ht="22.5" customHeight="1">
      <c r="A885" s="49"/>
      <c r="C885" s="192">
        <v>46036.0</v>
      </c>
      <c r="D885" s="192">
        <v>46036.0</v>
      </c>
      <c r="E885" s="69" t="s">
        <v>97</v>
      </c>
      <c r="F885" s="243" t="s">
        <v>343</v>
      </c>
      <c r="G885" s="69" t="s">
        <v>2480</v>
      </c>
      <c r="H885" s="69" t="s">
        <v>87</v>
      </c>
      <c r="I885" s="140" t="s">
        <v>937</v>
      </c>
      <c r="J885" s="446">
        <v>7.0</v>
      </c>
      <c r="K885" s="140">
        <v>790000.0</v>
      </c>
      <c r="L885" s="140">
        <v>790000.0</v>
      </c>
      <c r="M885" s="140" t="s">
        <v>521</v>
      </c>
      <c r="N885" s="74">
        <f t="shared" si="5"/>
        <v>5530000</v>
      </c>
      <c r="O885" s="60">
        <f t="shared" si="2"/>
        <v>46096</v>
      </c>
      <c r="P885" s="65" t="str">
        <f>VLOOKUP(I885,DATABASE!C:Q,11,FALSE)</f>
        <v>Tire</v>
      </c>
      <c r="Q885" s="65" t="str">
        <f>VLOOKUP(I885,DATABASE!C:Q,4,FALSE)</f>
        <v>Bridgestone</v>
      </c>
      <c r="R885" s="101"/>
      <c r="U885" s="101"/>
    </row>
    <row r="886" ht="22.5" customHeight="1">
      <c r="A886" s="49"/>
      <c r="C886" s="192">
        <v>46036.0</v>
      </c>
      <c r="D886" s="192">
        <v>46036.0</v>
      </c>
      <c r="E886" s="69" t="s">
        <v>97</v>
      </c>
      <c r="F886" s="243" t="s">
        <v>343</v>
      </c>
      <c r="G886" s="69" t="s">
        <v>2480</v>
      </c>
      <c r="H886" s="69" t="s">
        <v>87</v>
      </c>
      <c r="I886" s="140" t="s">
        <v>622</v>
      </c>
      <c r="J886" s="446">
        <v>8.0</v>
      </c>
      <c r="K886" s="140">
        <v>805872.0</v>
      </c>
      <c r="L886" s="140">
        <v>805872.0</v>
      </c>
      <c r="M886" s="140" t="s">
        <v>521</v>
      </c>
      <c r="N886" s="74">
        <f t="shared" si="5"/>
        <v>6446976</v>
      </c>
      <c r="O886" s="60">
        <f t="shared" si="2"/>
        <v>46096</v>
      </c>
      <c r="P886" s="65" t="str">
        <f>VLOOKUP(I886,DATABASE!C:Q,11,FALSE)</f>
        <v>Tire</v>
      </c>
      <c r="Q886" s="65" t="str">
        <f>VLOOKUP(I886,DATABASE!C:Q,4,FALSE)</f>
        <v>Bridgestone</v>
      </c>
      <c r="R886" s="101"/>
      <c r="U886" s="101"/>
    </row>
    <row r="887" ht="22.5" customHeight="1">
      <c r="A887" s="49"/>
      <c r="C887" s="192">
        <v>46041.0</v>
      </c>
      <c r="D887" s="192">
        <v>46039.0</v>
      </c>
      <c r="E887" s="69" t="s">
        <v>97</v>
      </c>
      <c r="F887" s="243" t="s">
        <v>343</v>
      </c>
      <c r="G887" s="69" t="s">
        <v>2481</v>
      </c>
      <c r="H887" s="69" t="s">
        <v>87</v>
      </c>
      <c r="I887" s="140" t="s">
        <v>566</v>
      </c>
      <c r="J887" s="446">
        <v>3.0</v>
      </c>
      <c r="K887" s="140">
        <v>1545000.0</v>
      </c>
      <c r="L887" s="140">
        <v>1545000.0</v>
      </c>
      <c r="M887" s="140" t="s">
        <v>755</v>
      </c>
      <c r="N887" s="74">
        <f t="shared" si="5"/>
        <v>4635000</v>
      </c>
      <c r="O887" s="60">
        <f t="shared" si="2"/>
        <v>46069</v>
      </c>
      <c r="P887" s="65" t="str">
        <f>VLOOKUP(I887,DATABASE!C:Q,11,FALSE)</f>
        <v>Tire</v>
      </c>
      <c r="Q887" s="65" t="str">
        <f>VLOOKUP(I887,DATABASE!C:Q,4,FALSE)</f>
        <v>Bridgestone</v>
      </c>
      <c r="R887" s="101"/>
      <c r="U887" s="101"/>
    </row>
    <row r="888" ht="22.5" customHeight="1">
      <c r="A888" s="49"/>
      <c r="C888" s="192">
        <v>46041.0</v>
      </c>
      <c r="D888" s="192">
        <v>46039.0</v>
      </c>
      <c r="E888" s="69" t="s">
        <v>97</v>
      </c>
      <c r="F888" s="243" t="s">
        <v>343</v>
      </c>
      <c r="G888" s="69" t="s">
        <v>2481</v>
      </c>
      <c r="H888" s="69" t="s">
        <v>87</v>
      </c>
      <c r="I888" s="140" t="s">
        <v>572</v>
      </c>
      <c r="J888" s="446">
        <v>6.0</v>
      </c>
      <c r="K888" s="140">
        <v>1245000.0</v>
      </c>
      <c r="L888" s="140">
        <v>1245000.0</v>
      </c>
      <c r="M888" s="140" t="s">
        <v>755</v>
      </c>
      <c r="N888" s="74">
        <f t="shared" si="5"/>
        <v>7470000</v>
      </c>
      <c r="O888" s="60">
        <f t="shared" si="2"/>
        <v>46069</v>
      </c>
      <c r="P888" s="65" t="str">
        <f>VLOOKUP(I888,DATABASE!C:Q,11,FALSE)</f>
        <v>Tire</v>
      </c>
      <c r="Q888" s="65" t="str">
        <f>VLOOKUP(I888,DATABASE!C:Q,4,FALSE)</f>
        <v>Bridgestone</v>
      </c>
      <c r="R888" s="101"/>
      <c r="U888" s="101"/>
    </row>
    <row r="889" ht="22.5" customHeight="1">
      <c r="A889" s="49"/>
      <c r="C889" s="192">
        <v>46041.0</v>
      </c>
      <c r="D889" s="192">
        <v>46039.0</v>
      </c>
      <c r="E889" s="69" t="s">
        <v>97</v>
      </c>
      <c r="F889" s="243" t="s">
        <v>343</v>
      </c>
      <c r="G889" s="69" t="s">
        <v>2483</v>
      </c>
      <c r="H889" s="69" t="s">
        <v>87</v>
      </c>
      <c r="I889" s="140" t="s">
        <v>581</v>
      </c>
      <c r="J889" s="446">
        <v>5.0</v>
      </c>
      <c r="K889" s="140">
        <v>531715.5</v>
      </c>
      <c r="L889" s="140">
        <v>531715.5</v>
      </c>
      <c r="M889" s="140" t="s">
        <v>521</v>
      </c>
      <c r="N889" s="74">
        <f t="shared" si="5"/>
        <v>2658577.5</v>
      </c>
      <c r="O889" s="60">
        <f t="shared" si="2"/>
        <v>46099</v>
      </c>
      <c r="P889" s="65" t="str">
        <f>VLOOKUP(I889,DATABASE!C:Q,11,FALSE)</f>
        <v>Tire</v>
      </c>
      <c r="Q889" s="65" t="str">
        <f>VLOOKUP(I889,DATABASE!C:Q,4,FALSE)</f>
        <v>Bridgestone</v>
      </c>
      <c r="R889" s="101"/>
      <c r="U889" s="101"/>
    </row>
    <row r="890" ht="22.5" customHeight="1">
      <c r="A890" s="49"/>
      <c r="C890" s="192">
        <v>46041.0</v>
      </c>
      <c r="D890" s="192">
        <v>46039.0</v>
      </c>
      <c r="E890" s="69" t="s">
        <v>97</v>
      </c>
      <c r="F890" s="243" t="s">
        <v>343</v>
      </c>
      <c r="G890" s="69" t="s">
        <v>2483</v>
      </c>
      <c r="H890" s="69" t="s">
        <v>87</v>
      </c>
      <c r="I890" s="140" t="s">
        <v>605</v>
      </c>
      <c r="J890" s="446">
        <v>4.0</v>
      </c>
      <c r="K890" s="140">
        <v>650000.0</v>
      </c>
      <c r="L890" s="140">
        <v>650000.0</v>
      </c>
      <c r="M890" s="140" t="s">
        <v>521</v>
      </c>
      <c r="N890" s="74">
        <f t="shared" si="5"/>
        <v>2600000</v>
      </c>
      <c r="O890" s="60">
        <f t="shared" si="2"/>
        <v>46099</v>
      </c>
      <c r="P890" s="65" t="str">
        <f>VLOOKUP(I890,DATABASE!C:Q,11,FALSE)</f>
        <v>Tire</v>
      </c>
      <c r="Q890" s="65" t="str">
        <f>VLOOKUP(I890,DATABASE!C:Q,4,FALSE)</f>
        <v>Bridgestone</v>
      </c>
      <c r="R890" s="101"/>
      <c r="U890" s="101"/>
    </row>
    <row r="891" ht="22.5" customHeight="1">
      <c r="A891" s="49"/>
      <c r="C891" s="192">
        <v>46041.0</v>
      </c>
      <c r="D891" s="192">
        <v>46039.0</v>
      </c>
      <c r="E891" s="69" t="s">
        <v>97</v>
      </c>
      <c r="F891" s="243" t="s">
        <v>343</v>
      </c>
      <c r="G891" s="69" t="s">
        <v>2483</v>
      </c>
      <c r="H891" s="69" t="s">
        <v>87</v>
      </c>
      <c r="I891" s="140" t="s">
        <v>554</v>
      </c>
      <c r="J891" s="446">
        <v>5.0</v>
      </c>
      <c r="K891" s="140">
        <v>680000.0</v>
      </c>
      <c r="L891" s="140">
        <v>680000.0</v>
      </c>
      <c r="M891" s="140" t="s">
        <v>521</v>
      </c>
      <c r="N891" s="74">
        <f t="shared" si="5"/>
        <v>3400000</v>
      </c>
      <c r="O891" s="60">
        <f t="shared" si="2"/>
        <v>46099</v>
      </c>
      <c r="P891" s="65" t="str">
        <f>VLOOKUP(I891,DATABASE!C:Q,11,FALSE)</f>
        <v>Tire</v>
      </c>
      <c r="Q891" s="65" t="str">
        <f>VLOOKUP(I891,DATABASE!C:Q,4,FALSE)</f>
        <v>Bridgestone</v>
      </c>
      <c r="R891" s="101"/>
      <c r="U891" s="101"/>
    </row>
    <row r="892" ht="22.5" customHeight="1">
      <c r="A892" s="49"/>
      <c r="C892" s="192">
        <v>46041.0</v>
      </c>
      <c r="D892" s="192">
        <v>46039.0</v>
      </c>
      <c r="E892" s="69" t="s">
        <v>97</v>
      </c>
      <c r="F892" s="243" t="s">
        <v>343</v>
      </c>
      <c r="G892" s="69" t="s">
        <v>2483</v>
      </c>
      <c r="H892" s="69" t="s">
        <v>87</v>
      </c>
      <c r="I892" s="140" t="s">
        <v>937</v>
      </c>
      <c r="J892" s="446">
        <v>4.0</v>
      </c>
      <c r="K892" s="140">
        <v>790000.0</v>
      </c>
      <c r="L892" s="140">
        <v>790000.0</v>
      </c>
      <c r="M892" s="140" t="s">
        <v>521</v>
      </c>
      <c r="N892" s="74">
        <f t="shared" si="5"/>
        <v>3160000</v>
      </c>
      <c r="O892" s="60">
        <f t="shared" si="2"/>
        <v>46099</v>
      </c>
      <c r="P892" s="65" t="str">
        <f>VLOOKUP(I892,DATABASE!C:Q,11,FALSE)</f>
        <v>Tire</v>
      </c>
      <c r="Q892" s="65" t="str">
        <f>VLOOKUP(I892,DATABASE!C:Q,4,FALSE)</f>
        <v>Bridgestone</v>
      </c>
      <c r="R892" s="101"/>
      <c r="U892" s="101"/>
    </row>
    <row r="893" ht="22.5" customHeight="1">
      <c r="A893" s="49"/>
      <c r="C893" s="192">
        <v>46041.0</v>
      </c>
      <c r="D893" s="192">
        <v>46039.0</v>
      </c>
      <c r="E893" s="69" t="s">
        <v>97</v>
      </c>
      <c r="F893" s="243" t="s">
        <v>343</v>
      </c>
      <c r="G893" s="69" t="s">
        <v>2483</v>
      </c>
      <c r="H893" s="69" t="s">
        <v>87</v>
      </c>
      <c r="I893" s="140" t="s">
        <v>947</v>
      </c>
      <c r="J893" s="446">
        <v>2.0</v>
      </c>
      <c r="K893" s="140">
        <v>680512.0</v>
      </c>
      <c r="L893" s="140">
        <v>680512.0</v>
      </c>
      <c r="M893" s="140" t="s">
        <v>521</v>
      </c>
      <c r="N893" s="74">
        <f t="shared" si="5"/>
        <v>1361024</v>
      </c>
      <c r="O893" s="60">
        <f t="shared" si="2"/>
        <v>46099</v>
      </c>
      <c r="P893" s="65" t="str">
        <f>VLOOKUP(I893,DATABASE!C:Q,11,FALSE)</f>
        <v>Tire</v>
      </c>
      <c r="Q893" s="65" t="str">
        <f>VLOOKUP(I893,DATABASE!C:Q,4,FALSE)</f>
        <v>Bridgestone</v>
      </c>
      <c r="R893" s="101"/>
      <c r="U893" s="101"/>
    </row>
    <row r="894" ht="22.5" customHeight="1">
      <c r="A894" s="49"/>
      <c r="C894" s="192">
        <v>46041.0</v>
      </c>
      <c r="D894" s="192">
        <v>46039.0</v>
      </c>
      <c r="E894" s="69" t="s">
        <v>97</v>
      </c>
      <c r="F894" s="243" t="s">
        <v>343</v>
      </c>
      <c r="G894" s="69" t="s">
        <v>2483</v>
      </c>
      <c r="H894" s="69" t="s">
        <v>87</v>
      </c>
      <c r="I894" s="140" t="s">
        <v>957</v>
      </c>
      <c r="J894" s="446">
        <v>2.0</v>
      </c>
      <c r="K894" s="140">
        <v>762048.0</v>
      </c>
      <c r="L894" s="140">
        <v>762048.0</v>
      </c>
      <c r="M894" s="140" t="s">
        <v>521</v>
      </c>
      <c r="N894" s="74">
        <f t="shared" si="5"/>
        <v>1524096</v>
      </c>
      <c r="O894" s="60">
        <f t="shared" si="2"/>
        <v>46099</v>
      </c>
      <c r="P894" s="65" t="str">
        <f>VLOOKUP(I894,DATABASE!C:Q,11,FALSE)</f>
        <v>Tire</v>
      </c>
      <c r="Q894" s="65" t="str">
        <f>VLOOKUP(I894,DATABASE!C:Q,4,FALSE)</f>
        <v>Bridgestone</v>
      </c>
      <c r="R894" s="101"/>
      <c r="U894" s="101"/>
    </row>
    <row r="895" ht="22.5" customHeight="1">
      <c r="A895" s="49"/>
      <c r="C895" s="192">
        <v>46041.0</v>
      </c>
      <c r="D895" s="192">
        <v>46039.0</v>
      </c>
      <c r="E895" s="69" t="s">
        <v>97</v>
      </c>
      <c r="F895" s="243" t="s">
        <v>343</v>
      </c>
      <c r="G895" s="69" t="s">
        <v>2485</v>
      </c>
      <c r="H895" s="69" t="s">
        <v>87</v>
      </c>
      <c r="I895" s="140" t="s">
        <v>614</v>
      </c>
      <c r="J895" s="446">
        <v>10.0</v>
      </c>
      <c r="K895" s="140">
        <v>712256.0</v>
      </c>
      <c r="L895" s="140">
        <v>712256.0</v>
      </c>
      <c r="M895" s="140" t="s">
        <v>521</v>
      </c>
      <c r="N895" s="74">
        <f t="shared" si="5"/>
        <v>7122560</v>
      </c>
      <c r="O895" s="60">
        <f t="shared" si="2"/>
        <v>46099</v>
      </c>
      <c r="P895" s="65" t="str">
        <f>VLOOKUP(I895,DATABASE!C:Q,11,FALSE)</f>
        <v>Tire</v>
      </c>
      <c r="Q895" s="65" t="str">
        <f>VLOOKUP(I895,DATABASE!C:Q,4,FALSE)</f>
        <v>Bridgestone</v>
      </c>
      <c r="R895" s="101"/>
      <c r="U895" s="101"/>
    </row>
    <row r="896" ht="22.5" customHeight="1">
      <c r="A896" s="49"/>
      <c r="C896" s="192">
        <v>46041.0</v>
      </c>
      <c r="D896" s="192">
        <v>46041.0</v>
      </c>
      <c r="E896" s="69" t="s">
        <v>97</v>
      </c>
      <c r="F896" s="243" t="s">
        <v>343</v>
      </c>
      <c r="G896" s="69" t="s">
        <v>2487</v>
      </c>
      <c r="H896" s="69" t="s">
        <v>87</v>
      </c>
      <c r="I896" s="140" t="s">
        <v>600</v>
      </c>
      <c r="J896" s="446">
        <v>4.0</v>
      </c>
      <c r="K896" s="140">
        <v>575780.8</v>
      </c>
      <c r="L896" s="140">
        <v>575780.8</v>
      </c>
      <c r="M896" s="140" t="s">
        <v>521</v>
      </c>
      <c r="N896" s="74">
        <f t="shared" si="5"/>
        <v>2303123.2</v>
      </c>
      <c r="O896" s="60">
        <f t="shared" si="2"/>
        <v>46101</v>
      </c>
      <c r="P896" s="65" t="str">
        <f>VLOOKUP(I896,DATABASE!C:Q,11,FALSE)</f>
        <v>Tire</v>
      </c>
      <c r="Q896" s="65" t="str">
        <f>VLOOKUP(I896,DATABASE!C:Q,4,FALSE)</f>
        <v>Bridgestone</v>
      </c>
      <c r="R896" s="101"/>
      <c r="U896" s="101"/>
    </row>
    <row r="897" ht="22.5" customHeight="1">
      <c r="A897" s="49"/>
      <c r="C897" s="192">
        <v>46042.0</v>
      </c>
      <c r="D897" s="192">
        <v>46041.0</v>
      </c>
      <c r="E897" s="69" t="s">
        <v>123</v>
      </c>
      <c r="F897" s="243" t="s">
        <v>343</v>
      </c>
      <c r="G897" s="69" t="s">
        <v>2336</v>
      </c>
      <c r="H897" s="69" t="s">
        <v>7</v>
      </c>
      <c r="I897" s="140" t="s">
        <v>1439</v>
      </c>
      <c r="J897" s="446">
        <v>7.0</v>
      </c>
      <c r="K897" s="140">
        <v>540800.0</v>
      </c>
      <c r="L897" s="140">
        <v>540800.0</v>
      </c>
      <c r="M897" s="140" t="s">
        <v>755</v>
      </c>
      <c r="N897" s="74">
        <f t="shared" si="5"/>
        <v>3785600</v>
      </c>
      <c r="O897" s="60">
        <f t="shared" si="2"/>
        <v>46071</v>
      </c>
      <c r="P897" s="65" t="str">
        <f>VLOOKUP(I897,DATABASE!C:Q,11,FALSE)</f>
        <v>Tire</v>
      </c>
      <c r="Q897" s="65" t="str">
        <f>VLOOKUP(I897,DATABASE!C:Q,4,FALSE)</f>
        <v>GT</v>
      </c>
      <c r="R897" s="101"/>
      <c r="U897" s="101"/>
    </row>
    <row r="898" ht="22.5" customHeight="1">
      <c r="A898" s="49"/>
      <c r="C898" s="192">
        <v>46042.0</v>
      </c>
      <c r="D898" s="192">
        <v>46041.0</v>
      </c>
      <c r="E898" s="69" t="s">
        <v>123</v>
      </c>
      <c r="F898" s="243" t="s">
        <v>343</v>
      </c>
      <c r="G898" s="69" t="s">
        <v>2336</v>
      </c>
      <c r="H898" s="69" t="s">
        <v>7</v>
      </c>
      <c r="I898" s="140" t="s">
        <v>856</v>
      </c>
      <c r="J898" s="446">
        <v>3.0</v>
      </c>
      <c r="K898" s="140">
        <v>581120.0</v>
      </c>
      <c r="L898" s="140">
        <v>581100.0</v>
      </c>
      <c r="M898" s="140" t="s">
        <v>755</v>
      </c>
      <c r="N898" s="74">
        <f t="shared" si="5"/>
        <v>1743300</v>
      </c>
      <c r="O898" s="60">
        <f t="shared" si="2"/>
        <v>46071</v>
      </c>
      <c r="P898" s="65" t="str">
        <f>VLOOKUP(I898,DATABASE!C:Q,11,FALSE)</f>
        <v>Tire</v>
      </c>
      <c r="Q898" s="65" t="str">
        <f>VLOOKUP(I898,DATABASE!C:Q,4,FALSE)</f>
        <v>GT</v>
      </c>
      <c r="R898" s="101"/>
      <c r="U898" s="101"/>
    </row>
    <row r="899" ht="22.5" customHeight="1">
      <c r="A899" s="49"/>
      <c r="C899" s="192">
        <v>46042.0</v>
      </c>
      <c r="D899" s="192">
        <v>46041.0</v>
      </c>
      <c r="E899" s="69" t="s">
        <v>123</v>
      </c>
      <c r="F899" s="243" t="s">
        <v>343</v>
      </c>
      <c r="G899" s="69" t="s">
        <v>2336</v>
      </c>
      <c r="H899" s="69" t="s">
        <v>7</v>
      </c>
      <c r="I899" s="140" t="s">
        <v>288</v>
      </c>
      <c r="J899" s="446">
        <v>10.0</v>
      </c>
      <c r="K899" s="140">
        <v>524800.0</v>
      </c>
      <c r="L899" s="140">
        <v>524800.0</v>
      </c>
      <c r="M899" s="140" t="s">
        <v>755</v>
      </c>
      <c r="N899" s="74">
        <f t="shared" si="5"/>
        <v>5248000</v>
      </c>
      <c r="O899" s="60">
        <f t="shared" si="2"/>
        <v>46071</v>
      </c>
      <c r="P899" s="65" t="str">
        <f>VLOOKUP(I899,DATABASE!C:Q,11,FALSE)</f>
        <v>Tire</v>
      </c>
      <c r="Q899" s="65" t="str">
        <f>VLOOKUP(I899,DATABASE!C:Q,4,FALSE)</f>
        <v>GT</v>
      </c>
      <c r="R899" s="101"/>
      <c r="U899" s="101"/>
    </row>
    <row r="900" ht="22.5" customHeight="1">
      <c r="A900" s="49"/>
      <c r="C900" s="192">
        <v>46042.0</v>
      </c>
      <c r="D900" s="192">
        <v>46041.0</v>
      </c>
      <c r="E900" s="69" t="s">
        <v>123</v>
      </c>
      <c r="F900" s="243" t="s">
        <v>343</v>
      </c>
      <c r="G900" s="69" t="s">
        <v>2336</v>
      </c>
      <c r="H900" s="69" t="s">
        <v>7</v>
      </c>
      <c r="I900" s="140" t="s">
        <v>1867</v>
      </c>
      <c r="J900" s="446">
        <v>5.0</v>
      </c>
      <c r="K900" s="140">
        <v>558200.0</v>
      </c>
      <c r="L900" s="140">
        <v>558200.0</v>
      </c>
      <c r="M900" s="140" t="s">
        <v>755</v>
      </c>
      <c r="N900" s="74">
        <f t="shared" si="5"/>
        <v>2791000</v>
      </c>
      <c r="O900" s="60">
        <f t="shared" si="2"/>
        <v>46071</v>
      </c>
      <c r="P900" s="65" t="str">
        <f>VLOOKUP(I900,DATABASE!C:Q,11,FALSE)</f>
        <v>Tire</v>
      </c>
      <c r="Q900" s="65" t="str">
        <f>VLOOKUP(I900,DATABASE!C:Q,4,FALSE)</f>
        <v>GT</v>
      </c>
      <c r="R900" s="101"/>
      <c r="U900" s="101"/>
    </row>
    <row r="901" ht="22.5" customHeight="1">
      <c r="A901" s="49"/>
      <c r="C901" s="192">
        <v>46042.0</v>
      </c>
      <c r="D901" s="192">
        <v>46041.0</v>
      </c>
      <c r="E901" s="69" t="s">
        <v>123</v>
      </c>
      <c r="F901" s="243" t="s">
        <v>343</v>
      </c>
      <c r="G901" s="69" t="s">
        <v>2336</v>
      </c>
      <c r="H901" s="69" t="s">
        <v>7</v>
      </c>
      <c r="I901" s="140" t="s">
        <v>1597</v>
      </c>
      <c r="J901" s="446">
        <v>4.0</v>
      </c>
      <c r="K901" s="140">
        <v>544300.0</v>
      </c>
      <c r="L901" s="140">
        <v>544300.0</v>
      </c>
      <c r="M901" s="140" t="s">
        <v>755</v>
      </c>
      <c r="N901" s="74">
        <f t="shared" si="5"/>
        <v>2177200</v>
      </c>
      <c r="O901" s="60">
        <f t="shared" si="2"/>
        <v>46071</v>
      </c>
      <c r="P901" s="65" t="str">
        <f>VLOOKUP(I901,DATABASE!C:Q,11,FALSE)</f>
        <v>Tire</v>
      </c>
      <c r="Q901" s="65" t="str">
        <f>VLOOKUP(I901,DATABASE!C:Q,4,FALSE)</f>
        <v>GT</v>
      </c>
      <c r="R901" s="101"/>
      <c r="U901" s="101"/>
    </row>
    <row r="902" ht="22.5" customHeight="1">
      <c r="A902" s="49"/>
      <c r="C902" s="192">
        <v>46042.0</v>
      </c>
      <c r="D902" s="192">
        <v>46041.0</v>
      </c>
      <c r="E902" s="69" t="s">
        <v>123</v>
      </c>
      <c r="F902" s="243" t="s">
        <v>343</v>
      </c>
      <c r="G902" s="69" t="s">
        <v>2336</v>
      </c>
      <c r="H902" s="69" t="s">
        <v>7</v>
      </c>
      <c r="I902" s="140" t="s">
        <v>1009</v>
      </c>
      <c r="J902" s="446">
        <v>10.0</v>
      </c>
      <c r="K902" s="140">
        <v>592200.0</v>
      </c>
      <c r="L902" s="140">
        <v>592200.0</v>
      </c>
      <c r="M902" s="140" t="s">
        <v>755</v>
      </c>
      <c r="N902" s="74">
        <f t="shared" si="5"/>
        <v>5922000</v>
      </c>
      <c r="O902" s="60">
        <f t="shared" si="2"/>
        <v>46071</v>
      </c>
      <c r="P902" s="65" t="str">
        <f>VLOOKUP(I902,DATABASE!C:Q,11,FALSE)</f>
        <v>Tire</v>
      </c>
      <c r="Q902" s="65" t="str">
        <f>VLOOKUP(I902,DATABASE!C:Q,4,FALSE)</f>
        <v>GT</v>
      </c>
      <c r="R902" s="101"/>
      <c r="U902" s="101"/>
    </row>
    <row r="903" ht="22.5" customHeight="1">
      <c r="A903" s="49"/>
      <c r="C903" s="192">
        <v>46042.0</v>
      </c>
      <c r="D903" s="192">
        <v>46041.0</v>
      </c>
      <c r="E903" s="69" t="s">
        <v>123</v>
      </c>
      <c r="F903" s="243" t="s">
        <v>343</v>
      </c>
      <c r="G903" s="69" t="s">
        <v>2336</v>
      </c>
      <c r="H903" s="69" t="s">
        <v>7</v>
      </c>
      <c r="I903" s="140" t="s">
        <v>1947</v>
      </c>
      <c r="J903" s="446">
        <v>3.0</v>
      </c>
      <c r="K903" s="140">
        <v>694300.0</v>
      </c>
      <c r="L903" s="140">
        <v>694300.0</v>
      </c>
      <c r="M903" s="140" t="s">
        <v>755</v>
      </c>
      <c r="N903" s="74">
        <f t="shared" si="5"/>
        <v>2082900</v>
      </c>
      <c r="O903" s="60">
        <f t="shared" si="2"/>
        <v>46071</v>
      </c>
      <c r="P903" s="65" t="str">
        <f>VLOOKUP(I903,DATABASE!C:Q,11,FALSE)</f>
        <v>Tire</v>
      </c>
      <c r="Q903" s="65" t="str">
        <f>VLOOKUP(I903,DATABASE!C:Q,4,FALSE)</f>
        <v>GT</v>
      </c>
      <c r="R903" s="101"/>
      <c r="U903" s="101"/>
    </row>
    <row r="904" ht="22.5" customHeight="1">
      <c r="A904" s="49"/>
      <c r="C904" s="192">
        <v>46042.0</v>
      </c>
      <c r="D904" s="192">
        <v>46041.0</v>
      </c>
      <c r="E904" s="69" t="s">
        <v>123</v>
      </c>
      <c r="F904" s="243" t="s">
        <v>343</v>
      </c>
      <c r="G904" s="69" t="s">
        <v>2336</v>
      </c>
      <c r="H904" s="69" t="s">
        <v>7</v>
      </c>
      <c r="I904" s="140" t="s">
        <v>1783</v>
      </c>
      <c r="J904" s="446">
        <v>2.0</v>
      </c>
      <c r="K904" s="140">
        <v>628100.0</v>
      </c>
      <c r="L904" s="140">
        <v>628100.0</v>
      </c>
      <c r="M904" s="140" t="s">
        <v>755</v>
      </c>
      <c r="N904" s="74">
        <f t="shared" si="5"/>
        <v>1256200</v>
      </c>
      <c r="O904" s="60">
        <f t="shared" si="2"/>
        <v>46071</v>
      </c>
      <c r="P904" s="65" t="str">
        <f>VLOOKUP(I904,DATABASE!C:Q,11,FALSE)</f>
        <v>Tire</v>
      </c>
      <c r="Q904" s="65" t="str">
        <f>VLOOKUP(I904,DATABASE!C:Q,4,FALSE)</f>
        <v>GT</v>
      </c>
      <c r="R904" s="101"/>
      <c r="U904" s="101"/>
    </row>
    <row r="905" ht="22.5" customHeight="1">
      <c r="A905" s="49"/>
      <c r="C905" s="192">
        <v>46042.0</v>
      </c>
      <c r="D905" s="192">
        <v>46041.0</v>
      </c>
      <c r="E905" s="69" t="s">
        <v>123</v>
      </c>
      <c r="F905" s="243" t="s">
        <v>343</v>
      </c>
      <c r="G905" s="69" t="s">
        <v>2336</v>
      </c>
      <c r="H905" s="69" t="s">
        <v>7</v>
      </c>
      <c r="I905" s="140" t="s">
        <v>847</v>
      </c>
      <c r="J905" s="446">
        <v>2.0</v>
      </c>
      <c r="K905" s="140">
        <v>672210.0</v>
      </c>
      <c r="L905" s="140">
        <v>672210.0</v>
      </c>
      <c r="M905" s="140" t="s">
        <v>755</v>
      </c>
      <c r="N905" s="74">
        <f t="shared" si="5"/>
        <v>1344420</v>
      </c>
      <c r="O905" s="60">
        <f t="shared" si="2"/>
        <v>46071</v>
      </c>
      <c r="P905" s="65" t="str">
        <f>VLOOKUP(I905,DATABASE!C:Q,11,FALSE)</f>
        <v>Tire</v>
      </c>
      <c r="Q905" s="65" t="str">
        <f>VLOOKUP(I905,DATABASE!C:Q,4,FALSE)</f>
        <v>GT</v>
      </c>
      <c r="R905" s="101"/>
      <c r="U905" s="101"/>
    </row>
    <row r="906" ht="22.5" customHeight="1">
      <c r="A906" s="49"/>
      <c r="C906" s="192">
        <v>46042.0</v>
      </c>
      <c r="D906" s="192">
        <v>46041.0</v>
      </c>
      <c r="E906" s="69" t="s">
        <v>123</v>
      </c>
      <c r="F906" s="243" t="s">
        <v>343</v>
      </c>
      <c r="G906" s="69" t="s">
        <v>2336</v>
      </c>
      <c r="H906" s="69" t="s">
        <v>7</v>
      </c>
      <c r="I906" s="140" t="s">
        <v>1951</v>
      </c>
      <c r="J906" s="446">
        <v>3.0</v>
      </c>
      <c r="K906" s="140">
        <v>757300.0</v>
      </c>
      <c r="L906" s="140">
        <v>757300.0</v>
      </c>
      <c r="M906" s="140" t="s">
        <v>755</v>
      </c>
      <c r="N906" s="74">
        <f t="shared" si="5"/>
        <v>2271900</v>
      </c>
      <c r="O906" s="60">
        <f t="shared" si="2"/>
        <v>46071</v>
      </c>
      <c r="P906" s="65" t="str">
        <f>VLOOKUP(I906,DATABASE!C:Q,11,FALSE)</f>
        <v>Tire</v>
      </c>
      <c r="Q906" s="65" t="str">
        <f>VLOOKUP(I906,DATABASE!C:Q,4,FALSE)</f>
        <v>GT</v>
      </c>
      <c r="R906" s="101"/>
      <c r="U906" s="101"/>
    </row>
    <row r="907" ht="22.5" customHeight="1">
      <c r="A907" s="49"/>
      <c r="C907" s="192">
        <v>46042.0</v>
      </c>
      <c r="D907" s="192">
        <v>46041.0</v>
      </c>
      <c r="E907" s="69" t="s">
        <v>123</v>
      </c>
      <c r="F907" s="243" t="s">
        <v>343</v>
      </c>
      <c r="G907" s="69" t="s">
        <v>2337</v>
      </c>
      <c r="H907" s="69" t="s">
        <v>7</v>
      </c>
      <c r="I907" s="140" t="s">
        <v>791</v>
      </c>
      <c r="J907" s="446">
        <v>4.0</v>
      </c>
      <c r="K907" s="140">
        <v>1180000.0</v>
      </c>
      <c r="L907" s="140">
        <v>1160000.0</v>
      </c>
      <c r="M907" s="140" t="s">
        <v>2190</v>
      </c>
      <c r="N907" s="74">
        <f t="shared" si="5"/>
        <v>4640000</v>
      </c>
      <c r="O907" s="60">
        <f t="shared" si="2"/>
        <v>46055</v>
      </c>
      <c r="P907" s="65" t="str">
        <f>VLOOKUP(I907,DATABASE!C:Q,11,FALSE)</f>
        <v>Tire</v>
      </c>
      <c r="Q907" s="65" t="str">
        <f>VLOOKUP(I907,DATABASE!C:Q,4,FALSE)</f>
        <v>GT</v>
      </c>
      <c r="R907" s="101"/>
      <c r="U907" s="101"/>
    </row>
    <row r="908" ht="22.5" customHeight="1">
      <c r="A908" s="49"/>
      <c r="C908" s="192">
        <v>46042.0</v>
      </c>
      <c r="D908" s="192">
        <v>46041.0</v>
      </c>
      <c r="E908" s="69" t="s">
        <v>123</v>
      </c>
      <c r="F908" s="243" t="s">
        <v>343</v>
      </c>
      <c r="G908" s="69" t="s">
        <v>2337</v>
      </c>
      <c r="H908" s="69" t="s">
        <v>7</v>
      </c>
      <c r="I908" s="140" t="s">
        <v>897</v>
      </c>
      <c r="J908" s="446">
        <v>8.0</v>
      </c>
      <c r="K908" s="140">
        <v>1500000.0</v>
      </c>
      <c r="L908" s="140">
        <v>1480000.0</v>
      </c>
      <c r="M908" s="140" t="s">
        <v>2190</v>
      </c>
      <c r="N908" s="74">
        <f t="shared" si="5"/>
        <v>11840000</v>
      </c>
      <c r="O908" s="60">
        <f t="shared" si="2"/>
        <v>46055</v>
      </c>
      <c r="P908" s="65" t="str">
        <f>VLOOKUP(I908,DATABASE!C:Q,11,FALSE)</f>
        <v>Tire</v>
      </c>
      <c r="Q908" s="65" t="str">
        <f>VLOOKUP(I908,DATABASE!C:Q,4,FALSE)</f>
        <v>GT</v>
      </c>
      <c r="R908" s="101"/>
      <c r="U908" s="101"/>
    </row>
    <row r="909" ht="22.5" customHeight="1">
      <c r="A909" s="49"/>
      <c r="C909" s="192">
        <v>46042.0</v>
      </c>
      <c r="D909" s="192">
        <v>46041.0</v>
      </c>
      <c r="E909" s="69" t="s">
        <v>123</v>
      </c>
      <c r="F909" s="243" t="s">
        <v>343</v>
      </c>
      <c r="G909" s="69" t="s">
        <v>2337</v>
      </c>
      <c r="H909" s="69" t="s">
        <v>7</v>
      </c>
      <c r="I909" s="140" t="s">
        <v>1862</v>
      </c>
      <c r="J909" s="446">
        <v>6.0</v>
      </c>
      <c r="K909" s="140">
        <v>2050000.0</v>
      </c>
      <c r="L909" s="140">
        <v>2050000.0</v>
      </c>
      <c r="M909" s="140" t="s">
        <v>2190</v>
      </c>
      <c r="N909" s="74">
        <f t="shared" si="5"/>
        <v>12300000</v>
      </c>
      <c r="O909" s="60">
        <f t="shared" si="2"/>
        <v>46055</v>
      </c>
      <c r="P909" s="65" t="str">
        <f>VLOOKUP(I909,DATABASE!C:Q,11,FALSE)</f>
        <v>Tire</v>
      </c>
      <c r="Q909" s="65" t="str">
        <f>VLOOKUP(I909,DATABASE!C:Q,4,FALSE)</f>
        <v>GiTi</v>
      </c>
      <c r="R909" s="101"/>
      <c r="U909" s="101"/>
    </row>
    <row r="910" ht="22.5" customHeight="1">
      <c r="A910" s="49"/>
      <c r="C910" s="192">
        <v>46042.0</v>
      </c>
      <c r="D910" s="192">
        <v>46041.0</v>
      </c>
      <c r="E910" s="69" t="s">
        <v>123</v>
      </c>
      <c r="F910" s="243" t="s">
        <v>343</v>
      </c>
      <c r="G910" s="69" t="s">
        <v>2337</v>
      </c>
      <c r="H910" s="69" t="s">
        <v>7</v>
      </c>
      <c r="I910" s="140" t="s">
        <v>294</v>
      </c>
      <c r="J910" s="446">
        <v>4.0</v>
      </c>
      <c r="K910" s="140">
        <v>490000.0</v>
      </c>
      <c r="L910" s="140">
        <v>490000.0</v>
      </c>
      <c r="M910" s="140" t="s">
        <v>2190</v>
      </c>
      <c r="N910" s="74">
        <f t="shared" si="5"/>
        <v>1960000</v>
      </c>
      <c r="O910" s="60">
        <f t="shared" si="2"/>
        <v>46055</v>
      </c>
      <c r="P910" s="65" t="str">
        <f>VLOOKUP(I910,DATABASE!C:Q,11,FALSE)</f>
        <v>Tire</v>
      </c>
      <c r="Q910" s="65" t="str">
        <f>VLOOKUP(I910,DATABASE!C:Q,4,FALSE)</f>
        <v>GT</v>
      </c>
      <c r="R910" s="101"/>
      <c r="U910" s="101"/>
    </row>
    <row r="911" ht="22.5" customHeight="1">
      <c r="A911" s="49"/>
      <c r="C911" s="192">
        <v>46042.0</v>
      </c>
      <c r="D911" s="192">
        <v>46041.0</v>
      </c>
      <c r="E911" s="69" t="s">
        <v>123</v>
      </c>
      <c r="F911" s="243" t="s">
        <v>343</v>
      </c>
      <c r="G911" s="69" t="s">
        <v>2337</v>
      </c>
      <c r="H911" s="69" t="s">
        <v>7</v>
      </c>
      <c r="I911" s="140" t="s">
        <v>2019</v>
      </c>
      <c r="J911" s="446">
        <v>6.0</v>
      </c>
      <c r="K911" s="140">
        <v>595000.0</v>
      </c>
      <c r="L911" s="140">
        <v>595000.0</v>
      </c>
      <c r="M911" s="140" t="s">
        <v>2190</v>
      </c>
      <c r="N911" s="74">
        <f t="shared" si="5"/>
        <v>3570000</v>
      </c>
      <c r="O911" s="60">
        <f t="shared" si="2"/>
        <v>46055</v>
      </c>
      <c r="P911" s="65" t="str">
        <f>VLOOKUP(I911,DATABASE!C:Q,11,FALSE)</f>
        <v>Tire</v>
      </c>
      <c r="Q911" s="65" t="str">
        <f>VLOOKUP(I911,DATABASE!C:Q,4,FALSE)</f>
        <v>GT</v>
      </c>
      <c r="R911" s="101"/>
      <c r="U911" s="101"/>
    </row>
    <row r="912" ht="22.5" customHeight="1">
      <c r="A912" s="49"/>
      <c r="C912" s="192">
        <v>46042.0</v>
      </c>
      <c r="D912" s="192">
        <v>46041.0</v>
      </c>
      <c r="E912" s="69" t="s">
        <v>123</v>
      </c>
      <c r="F912" s="243" t="s">
        <v>343</v>
      </c>
      <c r="G912" s="69" t="s">
        <v>2337</v>
      </c>
      <c r="H912" s="69" t="s">
        <v>7</v>
      </c>
      <c r="I912" s="140" t="s">
        <v>777</v>
      </c>
      <c r="J912" s="446">
        <v>5.0</v>
      </c>
      <c r="K912" s="140">
        <v>507000.0</v>
      </c>
      <c r="L912" s="140">
        <v>505000.0</v>
      </c>
      <c r="M912" s="140" t="s">
        <v>2190</v>
      </c>
      <c r="N912" s="74">
        <f t="shared" si="5"/>
        <v>2525000</v>
      </c>
      <c r="O912" s="60">
        <f t="shared" si="2"/>
        <v>46055</v>
      </c>
      <c r="P912" s="65" t="str">
        <f>VLOOKUP(I912,DATABASE!C:Q,11,FALSE)</f>
        <v>Tire</v>
      </c>
      <c r="Q912" s="65" t="str">
        <f>VLOOKUP(I912,DATABASE!C:Q,4,FALSE)</f>
        <v>GT</v>
      </c>
      <c r="R912" s="101"/>
      <c r="U912" s="101"/>
    </row>
    <row r="913" ht="22.5" customHeight="1">
      <c r="A913" s="49"/>
      <c r="C913" s="192">
        <v>46043.0</v>
      </c>
      <c r="D913" s="192">
        <v>46043.0</v>
      </c>
      <c r="E913" s="69" t="s">
        <v>335</v>
      </c>
      <c r="F913" s="243" t="s">
        <v>343</v>
      </c>
      <c r="G913" s="69" t="s">
        <v>2184</v>
      </c>
      <c r="H913" s="69" t="s">
        <v>7</v>
      </c>
      <c r="I913" s="140" t="s">
        <v>403</v>
      </c>
      <c r="J913" s="446">
        <v>9.0</v>
      </c>
      <c r="K913" s="140">
        <v>2160000.0</v>
      </c>
      <c r="L913" s="140">
        <v>2160000.0</v>
      </c>
      <c r="M913" s="140" t="s">
        <v>521</v>
      </c>
      <c r="N913" s="74">
        <f t="shared" si="5"/>
        <v>19440000</v>
      </c>
      <c r="O913" s="60">
        <f t="shared" si="2"/>
        <v>46103</v>
      </c>
      <c r="P913" s="65" t="str">
        <f>VLOOKUP(I913,DATABASE!C:Q,11,FALSE)</f>
        <v>Tire</v>
      </c>
      <c r="Q913" s="65" t="str">
        <f>VLOOKUP(I913,DATABASE!C:Q,4,FALSE)</f>
        <v>Advance</v>
      </c>
      <c r="R913" s="101"/>
      <c r="U913" s="101"/>
    </row>
    <row r="914" ht="22.5" customHeight="1">
      <c r="A914" s="49"/>
      <c r="C914" s="192">
        <v>46043.0</v>
      </c>
      <c r="D914" s="192">
        <v>46043.0</v>
      </c>
      <c r="E914" s="69" t="s">
        <v>335</v>
      </c>
      <c r="F914" s="243" t="s">
        <v>343</v>
      </c>
      <c r="G914" s="69" t="s">
        <v>2184</v>
      </c>
      <c r="H914" s="69" t="s">
        <v>7</v>
      </c>
      <c r="I914" s="69" t="s">
        <v>295</v>
      </c>
      <c r="J914" s="387">
        <v>6.0</v>
      </c>
      <c r="K914" s="140">
        <v>1425000.0</v>
      </c>
      <c r="L914" s="140">
        <v>1425000.0</v>
      </c>
      <c r="M914" s="69" t="s">
        <v>521</v>
      </c>
      <c r="N914" s="74">
        <f t="shared" si="5"/>
        <v>8550000</v>
      </c>
      <c r="O914" s="60">
        <f t="shared" si="2"/>
        <v>46103</v>
      </c>
      <c r="P914" s="65" t="str">
        <f>VLOOKUP(I914,DATABASE!C:Q,11,FALSE)</f>
        <v>Tire</v>
      </c>
      <c r="Q914" s="65" t="str">
        <f>VLOOKUP(I914,DATABASE!C:Q,4,FALSE)</f>
        <v>TIRON</v>
      </c>
      <c r="R914" s="101"/>
      <c r="U914" s="101"/>
    </row>
    <row r="915" ht="22.5" customHeight="1">
      <c r="A915" s="49"/>
      <c r="C915" s="192">
        <v>46043.0</v>
      </c>
      <c r="D915" s="192">
        <v>46043.0</v>
      </c>
      <c r="E915" s="69" t="s">
        <v>335</v>
      </c>
      <c r="F915" s="243" t="s">
        <v>343</v>
      </c>
      <c r="G915" s="69" t="s">
        <v>2184</v>
      </c>
      <c r="H915" s="69" t="s">
        <v>7</v>
      </c>
      <c r="I915" s="140" t="s">
        <v>924</v>
      </c>
      <c r="J915" s="446">
        <v>8.0</v>
      </c>
      <c r="K915" s="140">
        <v>1545000.0</v>
      </c>
      <c r="L915" s="140">
        <v>1545000.0</v>
      </c>
      <c r="M915" s="140" t="s">
        <v>521</v>
      </c>
      <c r="N915" s="74">
        <f t="shared" si="5"/>
        <v>12360000</v>
      </c>
      <c r="O915" s="60">
        <f t="shared" si="2"/>
        <v>46103</v>
      </c>
      <c r="P915" s="65" t="str">
        <f>VLOOKUP(I915,DATABASE!C:Q,11,FALSE)</f>
        <v>Tire</v>
      </c>
      <c r="Q915" s="65" t="str">
        <f>VLOOKUP(I915,DATABASE!C:Q,4,FALSE)</f>
        <v>TIRON</v>
      </c>
      <c r="R915" s="101"/>
      <c r="U915" s="101"/>
    </row>
    <row r="916" ht="22.5" customHeight="1">
      <c r="A916" s="49"/>
      <c r="C916" s="192">
        <v>46044.0</v>
      </c>
      <c r="D916" s="192">
        <v>46044.0</v>
      </c>
      <c r="E916" s="69" t="s">
        <v>123</v>
      </c>
      <c r="F916" s="243" t="s">
        <v>343</v>
      </c>
      <c r="G916" s="69" t="s">
        <v>2420</v>
      </c>
      <c r="H916" s="69" t="s">
        <v>7</v>
      </c>
      <c r="I916" s="140" t="s">
        <v>286</v>
      </c>
      <c r="J916" s="446">
        <v>25.0</v>
      </c>
      <c r="K916" s="140">
        <v>452970.0</v>
      </c>
      <c r="L916" s="140">
        <v>453000.0</v>
      </c>
      <c r="M916" s="140" t="s">
        <v>755</v>
      </c>
      <c r="N916" s="74">
        <f t="shared" si="5"/>
        <v>11325000</v>
      </c>
      <c r="O916" s="60">
        <f t="shared" si="2"/>
        <v>46074</v>
      </c>
      <c r="P916" s="65" t="str">
        <f>VLOOKUP(I916,DATABASE!C:Q,11,FALSE)</f>
        <v>Tire</v>
      </c>
      <c r="Q916" s="65" t="str">
        <f>VLOOKUP(I916,DATABASE!C:Q,4,FALSE)</f>
        <v>GT</v>
      </c>
      <c r="R916" s="101"/>
      <c r="U916" s="101"/>
    </row>
    <row r="917" ht="22.5" customHeight="1">
      <c r="A917" s="49"/>
      <c r="C917" s="192">
        <v>46044.0</v>
      </c>
      <c r="D917" s="192">
        <v>46044.0</v>
      </c>
      <c r="E917" s="69" t="s">
        <v>123</v>
      </c>
      <c r="F917" s="243" t="s">
        <v>343</v>
      </c>
      <c r="G917" s="69" t="s">
        <v>2420</v>
      </c>
      <c r="H917" s="69" t="s">
        <v>7</v>
      </c>
      <c r="I917" s="140" t="s">
        <v>839</v>
      </c>
      <c r="J917" s="446">
        <v>10.0</v>
      </c>
      <c r="K917" s="140">
        <v>475700.0</v>
      </c>
      <c r="L917" s="140">
        <v>475700.0</v>
      </c>
      <c r="M917" s="140" t="s">
        <v>755</v>
      </c>
      <c r="N917" s="74">
        <f t="shared" si="5"/>
        <v>4757000</v>
      </c>
      <c r="O917" s="60">
        <f t="shared" si="2"/>
        <v>46074</v>
      </c>
      <c r="P917" s="65" t="str">
        <f>VLOOKUP(I917,DATABASE!C:Q,11,FALSE)</f>
        <v>Tire</v>
      </c>
      <c r="Q917" s="65" t="str">
        <f>VLOOKUP(I917,DATABASE!C:Q,4,FALSE)</f>
        <v>GT</v>
      </c>
      <c r="R917" s="101"/>
      <c r="U917" s="101"/>
    </row>
    <row r="918" ht="22.5" customHeight="1">
      <c r="A918" s="49"/>
      <c r="C918" s="192">
        <v>46045.0</v>
      </c>
      <c r="D918" s="192">
        <v>46044.0</v>
      </c>
      <c r="E918" s="69" t="s">
        <v>81</v>
      </c>
      <c r="F918" s="243" t="s">
        <v>343</v>
      </c>
      <c r="G918" s="69" t="s">
        <v>1693</v>
      </c>
      <c r="H918" s="69" t="s">
        <v>87</v>
      </c>
      <c r="I918" s="140" t="s">
        <v>282</v>
      </c>
      <c r="J918" s="446">
        <v>8.0</v>
      </c>
      <c r="K918" s="140">
        <v>771000.0</v>
      </c>
      <c r="L918" s="140">
        <v>771000.0</v>
      </c>
      <c r="M918" s="140" t="s">
        <v>657</v>
      </c>
      <c r="N918" s="74">
        <f t="shared" si="5"/>
        <v>6168000</v>
      </c>
      <c r="O918" s="60">
        <f t="shared" si="2"/>
        <v>46119</v>
      </c>
      <c r="P918" s="65" t="str">
        <f>VLOOKUP(I918,DATABASE!C:Q,11,FALSE)</f>
        <v>Tire</v>
      </c>
      <c r="Q918" s="65" t="str">
        <f>VLOOKUP(I918,DATABASE!C:Q,4,FALSE)</f>
        <v>Dunlop</v>
      </c>
      <c r="R918" s="101"/>
      <c r="U918" s="101"/>
    </row>
    <row r="919" ht="22.5" customHeight="1">
      <c r="A919" s="49"/>
      <c r="C919" s="192">
        <v>46045.0</v>
      </c>
      <c r="D919" s="192">
        <v>46044.0</v>
      </c>
      <c r="E919" s="69" t="s">
        <v>81</v>
      </c>
      <c r="F919" s="243" t="s">
        <v>343</v>
      </c>
      <c r="G919" s="69" t="s">
        <v>1693</v>
      </c>
      <c r="H919" s="69" t="s">
        <v>87</v>
      </c>
      <c r="I919" s="140" t="s">
        <v>1486</v>
      </c>
      <c r="J919" s="446">
        <v>1.0</v>
      </c>
      <c r="K919" s="140">
        <v>877000.0</v>
      </c>
      <c r="L919" s="140">
        <v>877000.0</v>
      </c>
      <c r="M919" s="140" t="s">
        <v>657</v>
      </c>
      <c r="N919" s="74">
        <f t="shared" si="5"/>
        <v>877000</v>
      </c>
      <c r="O919" s="60">
        <f t="shared" si="2"/>
        <v>46119</v>
      </c>
      <c r="P919" s="65" t="str">
        <f>VLOOKUP(I919,DATABASE!C:Q,11,FALSE)</f>
        <v>Tire</v>
      </c>
      <c r="Q919" s="65" t="str">
        <f>VLOOKUP(I919,DATABASE!C:Q,4,FALSE)</f>
        <v>Dunlop</v>
      </c>
      <c r="R919" s="101"/>
      <c r="U919" s="101"/>
    </row>
    <row r="920" ht="22.5" customHeight="1">
      <c r="A920" s="49"/>
      <c r="C920" s="192">
        <v>46045.0</v>
      </c>
      <c r="D920" s="192">
        <v>46044.0</v>
      </c>
      <c r="E920" s="69" t="s">
        <v>81</v>
      </c>
      <c r="F920" s="243" t="s">
        <v>343</v>
      </c>
      <c r="G920" s="69" t="s">
        <v>1693</v>
      </c>
      <c r="H920" s="69" t="s">
        <v>87</v>
      </c>
      <c r="I920" s="140" t="s">
        <v>1361</v>
      </c>
      <c r="J920" s="446">
        <v>4.0</v>
      </c>
      <c r="K920" s="140">
        <v>863000.0</v>
      </c>
      <c r="L920" s="140">
        <v>863000.0</v>
      </c>
      <c r="M920" s="140" t="s">
        <v>657</v>
      </c>
      <c r="N920" s="74">
        <f t="shared" si="5"/>
        <v>3452000</v>
      </c>
      <c r="O920" s="60">
        <f t="shared" si="2"/>
        <v>46119</v>
      </c>
      <c r="P920" s="65" t="str">
        <f>VLOOKUP(I920,DATABASE!C:Q,11,FALSE)</f>
        <v>Tire</v>
      </c>
      <c r="Q920" s="65" t="str">
        <f>VLOOKUP(I920,DATABASE!C:Q,4,FALSE)</f>
        <v>Dunlop</v>
      </c>
      <c r="R920" s="101"/>
      <c r="U920" s="101"/>
    </row>
    <row r="921" ht="22.5" customHeight="1">
      <c r="A921" s="49"/>
      <c r="C921" s="192">
        <v>46045.0</v>
      </c>
      <c r="D921" s="192">
        <v>46044.0</v>
      </c>
      <c r="E921" s="69" t="s">
        <v>81</v>
      </c>
      <c r="F921" s="243" t="s">
        <v>343</v>
      </c>
      <c r="G921" s="69" t="s">
        <v>1693</v>
      </c>
      <c r="H921" s="69" t="s">
        <v>87</v>
      </c>
      <c r="I921" s="140" t="s">
        <v>1524</v>
      </c>
      <c r="J921" s="446">
        <v>3.0</v>
      </c>
      <c r="K921" s="140">
        <v>1007000.0</v>
      </c>
      <c r="L921" s="140">
        <v>1007000.0</v>
      </c>
      <c r="M921" s="140" t="s">
        <v>657</v>
      </c>
      <c r="N921" s="74">
        <f t="shared" si="5"/>
        <v>3021000</v>
      </c>
      <c r="O921" s="60">
        <f t="shared" si="2"/>
        <v>46119</v>
      </c>
      <c r="P921" s="65" t="str">
        <f>VLOOKUP(I921,DATABASE!C:Q,11,FALSE)</f>
        <v>Tire</v>
      </c>
      <c r="Q921" s="65" t="str">
        <f>VLOOKUP(I921,DATABASE!C:Q,4,FALSE)</f>
        <v>Dunlop</v>
      </c>
      <c r="R921" s="101"/>
      <c r="U921" s="101"/>
    </row>
    <row r="922" ht="22.5" customHeight="1">
      <c r="A922" s="49"/>
      <c r="C922" s="192">
        <v>46045.0</v>
      </c>
      <c r="D922" s="192">
        <v>46044.0</v>
      </c>
      <c r="E922" s="69" t="s">
        <v>81</v>
      </c>
      <c r="F922" s="243" t="s">
        <v>343</v>
      </c>
      <c r="G922" s="69" t="s">
        <v>1693</v>
      </c>
      <c r="H922" s="69" t="s">
        <v>87</v>
      </c>
      <c r="I922" s="140" t="s">
        <v>946</v>
      </c>
      <c r="J922" s="446">
        <v>4.0</v>
      </c>
      <c r="K922" s="140">
        <v>792000.0</v>
      </c>
      <c r="L922" s="140">
        <v>792000.0</v>
      </c>
      <c r="M922" s="140" t="s">
        <v>657</v>
      </c>
      <c r="N922" s="74">
        <f t="shared" si="5"/>
        <v>3168000</v>
      </c>
      <c r="O922" s="60">
        <f t="shared" si="2"/>
        <v>46119</v>
      </c>
      <c r="P922" s="65" t="str">
        <f>VLOOKUP(I922,DATABASE!C:Q,11,FALSE)</f>
        <v>Tire</v>
      </c>
      <c r="Q922" s="65" t="str">
        <f>VLOOKUP(I922,DATABASE!C:Q,4,FALSE)</f>
        <v>Dunlop</v>
      </c>
      <c r="R922" s="101"/>
      <c r="U922" s="101"/>
    </row>
    <row r="923" ht="22.5" customHeight="1">
      <c r="A923" s="49"/>
      <c r="C923" s="192">
        <v>46045.0</v>
      </c>
      <c r="D923" s="192">
        <v>46044.0</v>
      </c>
      <c r="E923" s="69" t="s">
        <v>81</v>
      </c>
      <c r="F923" s="243" t="s">
        <v>343</v>
      </c>
      <c r="G923" s="69" t="s">
        <v>1693</v>
      </c>
      <c r="H923" s="69" t="s">
        <v>87</v>
      </c>
      <c r="I923" s="140" t="s">
        <v>271</v>
      </c>
      <c r="J923" s="446">
        <v>10.0</v>
      </c>
      <c r="K923" s="140">
        <v>539000.0</v>
      </c>
      <c r="L923" s="140">
        <v>539000.0</v>
      </c>
      <c r="M923" s="140" t="s">
        <v>657</v>
      </c>
      <c r="N923" s="74">
        <f t="shared" si="5"/>
        <v>5390000</v>
      </c>
      <c r="O923" s="60">
        <f t="shared" si="2"/>
        <v>46119</v>
      </c>
      <c r="P923" s="65" t="str">
        <f>VLOOKUP(I923,DATABASE!C:Q,11,FALSE)</f>
        <v>Tire</v>
      </c>
      <c r="Q923" s="65" t="str">
        <f>VLOOKUP(I923,DATABASE!C:Q,4,FALSE)</f>
        <v>Dunlop</v>
      </c>
      <c r="R923" s="101"/>
      <c r="U923" s="101"/>
    </row>
    <row r="924" ht="22.5" customHeight="1">
      <c r="A924" s="49"/>
      <c r="C924" s="192">
        <v>46045.0</v>
      </c>
      <c r="D924" s="192">
        <v>46044.0</v>
      </c>
      <c r="E924" s="69" t="s">
        <v>81</v>
      </c>
      <c r="F924" s="243" t="s">
        <v>343</v>
      </c>
      <c r="G924" s="69" t="s">
        <v>1693</v>
      </c>
      <c r="H924" s="69" t="s">
        <v>87</v>
      </c>
      <c r="I924" s="140" t="s">
        <v>1427</v>
      </c>
      <c r="J924" s="446">
        <v>2.0</v>
      </c>
      <c r="K924" s="140">
        <v>689000.0</v>
      </c>
      <c r="L924" s="140">
        <v>689000.0</v>
      </c>
      <c r="M924" s="140" t="s">
        <v>657</v>
      </c>
      <c r="N924" s="74">
        <f t="shared" si="5"/>
        <v>1378000</v>
      </c>
      <c r="O924" s="60">
        <f t="shared" si="2"/>
        <v>46119</v>
      </c>
      <c r="P924" s="65" t="str">
        <f>VLOOKUP(I924,DATABASE!C:Q,11,FALSE)</f>
        <v>Tire</v>
      </c>
      <c r="Q924" s="65" t="str">
        <f>VLOOKUP(I924,DATABASE!C:Q,4,FALSE)</f>
        <v>Dunlop</v>
      </c>
      <c r="R924" s="101"/>
      <c r="U924" s="101"/>
    </row>
    <row r="925" ht="22.5" customHeight="1">
      <c r="A925" s="49"/>
      <c r="C925" s="192">
        <v>46045.0</v>
      </c>
      <c r="D925" s="192">
        <v>46044.0</v>
      </c>
      <c r="E925" s="69" t="s">
        <v>81</v>
      </c>
      <c r="F925" s="243" t="s">
        <v>343</v>
      </c>
      <c r="G925" s="69" t="s">
        <v>1693</v>
      </c>
      <c r="H925" s="69" t="s">
        <v>87</v>
      </c>
      <c r="I925" s="140" t="s">
        <v>940</v>
      </c>
      <c r="J925" s="446">
        <v>2.0</v>
      </c>
      <c r="K925" s="140">
        <v>709000.0</v>
      </c>
      <c r="L925" s="140">
        <v>709000.0</v>
      </c>
      <c r="M925" s="140" t="s">
        <v>657</v>
      </c>
      <c r="N925" s="74">
        <f t="shared" si="5"/>
        <v>1418000</v>
      </c>
      <c r="O925" s="60">
        <f t="shared" si="2"/>
        <v>46119</v>
      </c>
      <c r="P925" s="65" t="str">
        <f>VLOOKUP(I925,DATABASE!C:Q,11,FALSE)</f>
        <v>Tire</v>
      </c>
      <c r="Q925" s="65" t="str">
        <f>VLOOKUP(I925,DATABASE!C:Q,4,FALSE)</f>
        <v>Dunlop</v>
      </c>
      <c r="R925" s="101"/>
      <c r="U925" s="101"/>
    </row>
    <row r="926" ht="22.5" customHeight="1">
      <c r="A926" s="49"/>
      <c r="C926" s="192">
        <v>46045.0</v>
      </c>
      <c r="D926" s="192">
        <v>46044.0</v>
      </c>
      <c r="E926" s="69" t="s">
        <v>81</v>
      </c>
      <c r="F926" s="243" t="s">
        <v>343</v>
      </c>
      <c r="G926" s="69" t="s">
        <v>1693</v>
      </c>
      <c r="H926" s="69" t="s">
        <v>87</v>
      </c>
      <c r="I926" s="140" t="s">
        <v>955</v>
      </c>
      <c r="J926" s="446">
        <v>9.0</v>
      </c>
      <c r="K926" s="140">
        <v>674000.0</v>
      </c>
      <c r="L926" s="140">
        <v>674000.0</v>
      </c>
      <c r="M926" s="140" t="s">
        <v>657</v>
      </c>
      <c r="N926" s="74">
        <f t="shared" si="5"/>
        <v>6066000</v>
      </c>
      <c r="O926" s="60">
        <f t="shared" si="2"/>
        <v>46119</v>
      </c>
      <c r="P926" s="65" t="str">
        <f>VLOOKUP(I926,DATABASE!C:Q,11,FALSE)</f>
        <v>Tire</v>
      </c>
      <c r="Q926" s="65" t="str">
        <f>VLOOKUP(I926,DATABASE!C:Q,4,FALSE)</f>
        <v>Dunlop</v>
      </c>
      <c r="R926" s="101"/>
      <c r="U926" s="101"/>
    </row>
    <row r="927" ht="22.5" customHeight="1">
      <c r="A927" s="49"/>
      <c r="C927" s="192">
        <v>46045.0</v>
      </c>
      <c r="D927" s="192">
        <v>46044.0</v>
      </c>
      <c r="E927" s="69" t="s">
        <v>81</v>
      </c>
      <c r="F927" s="243" t="s">
        <v>343</v>
      </c>
      <c r="G927" s="69" t="s">
        <v>1693</v>
      </c>
      <c r="H927" s="69" t="s">
        <v>87</v>
      </c>
      <c r="I927" s="140" t="s">
        <v>1389</v>
      </c>
      <c r="J927" s="446">
        <v>4.0</v>
      </c>
      <c r="K927" s="140">
        <v>908000.0</v>
      </c>
      <c r="L927" s="140">
        <v>908000.0</v>
      </c>
      <c r="M927" s="140" t="s">
        <v>657</v>
      </c>
      <c r="N927" s="74">
        <f t="shared" si="5"/>
        <v>3632000</v>
      </c>
      <c r="O927" s="60">
        <f t="shared" si="2"/>
        <v>46119</v>
      </c>
      <c r="P927" s="65" t="str">
        <f>VLOOKUP(I927,DATABASE!C:Q,11,FALSE)</f>
        <v>Tire</v>
      </c>
      <c r="Q927" s="65" t="str">
        <f>VLOOKUP(I927,DATABASE!C:Q,4,FALSE)</f>
        <v>Dunlop</v>
      </c>
      <c r="R927" s="101"/>
      <c r="U927" s="101"/>
    </row>
    <row r="928" ht="22.5" customHeight="1">
      <c r="A928" s="49"/>
      <c r="C928" s="192">
        <v>46045.0</v>
      </c>
      <c r="D928" s="192">
        <v>46044.0</v>
      </c>
      <c r="E928" s="69" t="s">
        <v>81</v>
      </c>
      <c r="F928" s="243" t="s">
        <v>343</v>
      </c>
      <c r="G928" s="69" t="s">
        <v>1700</v>
      </c>
      <c r="H928" s="69" t="s">
        <v>87</v>
      </c>
      <c r="I928" s="140" t="s">
        <v>265</v>
      </c>
      <c r="J928" s="446">
        <v>20.0</v>
      </c>
      <c r="K928" s="140">
        <v>600000.0</v>
      </c>
      <c r="L928" s="140">
        <v>600000.0</v>
      </c>
      <c r="M928" s="140" t="s">
        <v>657</v>
      </c>
      <c r="N928" s="74">
        <f t="shared" si="5"/>
        <v>12000000</v>
      </c>
      <c r="O928" s="60">
        <f t="shared" si="2"/>
        <v>46119</v>
      </c>
      <c r="P928" s="65" t="str">
        <f>VLOOKUP(I928,DATABASE!C:Q,11,FALSE)</f>
        <v>Tire</v>
      </c>
      <c r="Q928" s="65" t="str">
        <f>VLOOKUP(I928,DATABASE!C:Q,4,FALSE)</f>
        <v>Dunlop</v>
      </c>
      <c r="R928" s="101"/>
      <c r="U928" s="101"/>
    </row>
    <row r="929" ht="22.5" customHeight="1">
      <c r="A929" s="49"/>
      <c r="C929" s="192">
        <v>46045.0</v>
      </c>
      <c r="D929" s="192">
        <v>46044.0</v>
      </c>
      <c r="E929" s="69" t="s">
        <v>81</v>
      </c>
      <c r="F929" s="243" t="s">
        <v>343</v>
      </c>
      <c r="G929" s="69" t="s">
        <v>1700</v>
      </c>
      <c r="H929" s="69" t="s">
        <v>87</v>
      </c>
      <c r="I929" s="140" t="s">
        <v>268</v>
      </c>
      <c r="J929" s="446">
        <v>40.0</v>
      </c>
      <c r="K929" s="140">
        <v>622000.0</v>
      </c>
      <c r="L929" s="140">
        <v>622000.0</v>
      </c>
      <c r="M929" s="140" t="s">
        <v>657</v>
      </c>
      <c r="N929" s="74">
        <f t="shared" si="5"/>
        <v>24880000</v>
      </c>
      <c r="O929" s="60">
        <f t="shared" si="2"/>
        <v>46119</v>
      </c>
      <c r="P929" s="65" t="str">
        <f>VLOOKUP(I929,DATABASE!C:Q,11,FALSE)</f>
        <v>Tire</v>
      </c>
      <c r="Q929" s="65" t="str">
        <f>VLOOKUP(I929,DATABASE!C:Q,4,FALSE)</f>
        <v>Dunlop</v>
      </c>
      <c r="R929" s="101"/>
      <c r="U929" s="101"/>
    </row>
    <row r="930" ht="22.5" customHeight="1">
      <c r="A930" s="49"/>
      <c r="C930" s="192">
        <v>46045.0</v>
      </c>
      <c r="D930" s="192">
        <v>46044.0</v>
      </c>
      <c r="E930" s="69" t="s">
        <v>81</v>
      </c>
      <c r="F930" s="243" t="s">
        <v>343</v>
      </c>
      <c r="G930" s="69" t="s">
        <v>1700</v>
      </c>
      <c r="H930" s="69" t="s">
        <v>87</v>
      </c>
      <c r="I930" s="140" t="s">
        <v>275</v>
      </c>
      <c r="J930" s="446">
        <v>20.0</v>
      </c>
      <c r="K930" s="140">
        <v>745000.0</v>
      </c>
      <c r="L930" s="140">
        <v>745000.0</v>
      </c>
      <c r="M930" s="140" t="s">
        <v>657</v>
      </c>
      <c r="N930" s="74">
        <f t="shared" si="5"/>
        <v>14900000</v>
      </c>
      <c r="O930" s="60">
        <f t="shared" si="2"/>
        <v>46119</v>
      </c>
      <c r="P930" s="65" t="str">
        <f>VLOOKUP(I930,DATABASE!C:Q,11,FALSE)</f>
        <v>Tire</v>
      </c>
      <c r="Q930" s="65" t="str">
        <f>VLOOKUP(I930,DATABASE!C:Q,4,FALSE)</f>
        <v>Dunlop</v>
      </c>
      <c r="R930" s="101"/>
      <c r="U930" s="101"/>
    </row>
    <row r="931" ht="22.5" customHeight="1">
      <c r="A931" s="49"/>
      <c r="C931" s="192">
        <v>46045.0</v>
      </c>
      <c r="D931" s="192">
        <v>46044.0</v>
      </c>
      <c r="E931" s="69" t="s">
        <v>81</v>
      </c>
      <c r="F931" s="243" t="s">
        <v>343</v>
      </c>
      <c r="G931" s="69" t="s">
        <v>1700</v>
      </c>
      <c r="H931" s="69" t="s">
        <v>87</v>
      </c>
      <c r="I931" s="140" t="s">
        <v>261</v>
      </c>
      <c r="J931" s="446">
        <v>3.0</v>
      </c>
      <c r="K931" s="140">
        <v>415000.0</v>
      </c>
      <c r="L931" s="140">
        <v>415000.0</v>
      </c>
      <c r="M931" s="140" t="s">
        <v>657</v>
      </c>
      <c r="N931" s="74">
        <f t="shared" si="5"/>
        <v>1245000</v>
      </c>
      <c r="O931" s="60">
        <f t="shared" si="2"/>
        <v>46119</v>
      </c>
      <c r="P931" s="65" t="str">
        <f>VLOOKUP(I931,DATABASE!C:Q,11,FALSE)</f>
        <v>Tire</v>
      </c>
      <c r="Q931" s="65" t="str">
        <f>VLOOKUP(I931,DATABASE!C:Q,4,FALSE)</f>
        <v>Dunlop</v>
      </c>
      <c r="R931" s="101"/>
      <c r="U931" s="101"/>
    </row>
    <row r="932" ht="22.5" customHeight="1">
      <c r="A932" s="49"/>
      <c r="C932" s="192">
        <v>46045.0</v>
      </c>
      <c r="D932" s="192">
        <v>46044.0</v>
      </c>
      <c r="E932" s="69" t="s">
        <v>81</v>
      </c>
      <c r="F932" s="243" t="s">
        <v>343</v>
      </c>
      <c r="G932" s="69" t="s">
        <v>1700</v>
      </c>
      <c r="H932" s="69" t="s">
        <v>87</v>
      </c>
      <c r="I932" s="140" t="s">
        <v>932</v>
      </c>
      <c r="J932" s="446">
        <v>15.0</v>
      </c>
      <c r="K932" s="140">
        <v>595000.0</v>
      </c>
      <c r="L932" s="140">
        <v>595000.0</v>
      </c>
      <c r="M932" s="140" t="s">
        <v>657</v>
      </c>
      <c r="N932" s="74">
        <f t="shared" si="5"/>
        <v>8925000</v>
      </c>
      <c r="O932" s="60">
        <f t="shared" si="2"/>
        <v>46119</v>
      </c>
      <c r="P932" s="65" t="str">
        <f>VLOOKUP(I932,DATABASE!C:Q,11,FALSE)</f>
        <v>Tire</v>
      </c>
      <c r="Q932" s="65" t="str">
        <f>VLOOKUP(I932,DATABASE!C:Q,4,FALSE)</f>
        <v>Dunlop</v>
      </c>
      <c r="R932" s="101"/>
      <c r="U932" s="101"/>
    </row>
    <row r="933" ht="22.5" customHeight="1">
      <c r="A933" s="49"/>
      <c r="C933" s="192">
        <v>46045.0</v>
      </c>
      <c r="D933" s="192">
        <v>46044.0</v>
      </c>
      <c r="E933" s="69" t="s">
        <v>81</v>
      </c>
      <c r="F933" s="243" t="s">
        <v>343</v>
      </c>
      <c r="G933" s="69" t="s">
        <v>1707</v>
      </c>
      <c r="H933" s="69" t="s">
        <v>87</v>
      </c>
      <c r="I933" s="549" t="s">
        <v>1383</v>
      </c>
      <c r="J933" s="446">
        <v>4.0</v>
      </c>
      <c r="K933" s="140">
        <v>812000.0</v>
      </c>
      <c r="L933" s="140">
        <v>812000.0</v>
      </c>
      <c r="M933" s="140" t="s">
        <v>657</v>
      </c>
      <c r="N933" s="74">
        <f t="shared" si="5"/>
        <v>3248000</v>
      </c>
      <c r="O933" s="60">
        <f t="shared" si="2"/>
        <v>46119</v>
      </c>
      <c r="P933" s="65" t="str">
        <f>VLOOKUP(I933,DATABASE!C:Q,11,FALSE)</f>
        <v>Tire</v>
      </c>
      <c r="Q933" s="65" t="str">
        <f>VLOOKUP(I933,DATABASE!C:Q,4,FALSE)</f>
        <v>Dunlop</v>
      </c>
      <c r="R933" s="101"/>
      <c r="U933" s="101"/>
    </row>
    <row r="934" ht="22.5" customHeight="1">
      <c r="A934" s="49"/>
      <c r="C934" s="192">
        <v>46045.0</v>
      </c>
      <c r="D934" s="192">
        <v>46044.0</v>
      </c>
      <c r="E934" s="69" t="s">
        <v>81</v>
      </c>
      <c r="F934" s="243" t="s">
        <v>343</v>
      </c>
      <c r="G934" s="69" t="s">
        <v>1707</v>
      </c>
      <c r="H934" s="69" t="s">
        <v>87</v>
      </c>
      <c r="I934" s="549" t="s">
        <v>1377</v>
      </c>
      <c r="J934" s="446">
        <v>1.0</v>
      </c>
      <c r="K934" s="113">
        <v>853000.0</v>
      </c>
      <c r="L934" s="550">
        <v>844000.0</v>
      </c>
      <c r="M934" s="140" t="s">
        <v>657</v>
      </c>
      <c r="N934" s="74">
        <f t="shared" si="5"/>
        <v>844000</v>
      </c>
      <c r="O934" s="60">
        <f t="shared" si="2"/>
        <v>46119</v>
      </c>
      <c r="P934" s="65" t="str">
        <f>VLOOKUP(I934,DATABASE!C:Q,11,FALSE)</f>
        <v>Tire</v>
      </c>
      <c r="Q934" s="65" t="str">
        <f>VLOOKUP(I934,DATABASE!C:Q,4,FALSE)</f>
        <v>Dunlop</v>
      </c>
      <c r="R934" s="101"/>
      <c r="U934" s="101"/>
    </row>
    <row r="935" ht="22.5" customHeight="1">
      <c r="A935" s="49"/>
      <c r="C935" s="192">
        <v>46045.0</v>
      </c>
      <c r="D935" s="192">
        <v>46044.0</v>
      </c>
      <c r="E935" s="69" t="s">
        <v>81</v>
      </c>
      <c r="F935" s="243" t="s">
        <v>343</v>
      </c>
      <c r="G935" s="69" t="s">
        <v>1707</v>
      </c>
      <c r="H935" s="69" t="s">
        <v>87</v>
      </c>
      <c r="I935" s="140" t="s">
        <v>1548</v>
      </c>
      <c r="J935" s="446">
        <v>7.0</v>
      </c>
      <c r="K935" s="140">
        <v>795000.0</v>
      </c>
      <c r="L935" s="140">
        <v>778000.0</v>
      </c>
      <c r="M935" s="140" t="s">
        <v>657</v>
      </c>
      <c r="N935" s="74">
        <f t="shared" si="5"/>
        <v>5446000</v>
      </c>
      <c r="O935" s="60">
        <f t="shared" si="2"/>
        <v>46119</v>
      </c>
      <c r="P935" s="65" t="str">
        <f>VLOOKUP(I935,DATABASE!C:Q,11,FALSE)</f>
        <v>Tire</v>
      </c>
      <c r="Q935" s="65" t="str">
        <f>VLOOKUP(I935,DATABASE!C:Q,4,FALSE)</f>
        <v>Dunlop</v>
      </c>
      <c r="R935" s="101"/>
      <c r="U935" s="101"/>
    </row>
    <row r="936" ht="22.5" customHeight="1">
      <c r="A936" s="49"/>
      <c r="C936" s="192">
        <v>46045.0</v>
      </c>
      <c r="D936" s="192">
        <v>46044.0</v>
      </c>
      <c r="E936" s="69" t="s">
        <v>81</v>
      </c>
      <c r="F936" s="243" t="s">
        <v>343</v>
      </c>
      <c r="G936" s="69" t="s">
        <v>1707</v>
      </c>
      <c r="H936" s="69" t="s">
        <v>87</v>
      </c>
      <c r="I936" s="140" t="s">
        <v>687</v>
      </c>
      <c r="J936" s="446">
        <v>4.0</v>
      </c>
      <c r="K936" s="140">
        <v>949000.0</v>
      </c>
      <c r="L936" s="140">
        <v>949000.0</v>
      </c>
      <c r="M936" s="140" t="s">
        <v>657</v>
      </c>
      <c r="N936" s="74">
        <f t="shared" si="5"/>
        <v>3796000</v>
      </c>
      <c r="O936" s="60">
        <f t="shared" si="2"/>
        <v>46119</v>
      </c>
      <c r="P936" s="65" t="str">
        <f>VLOOKUP(I936,DATABASE!C:Q,11,FALSE)</f>
        <v>Tire</v>
      </c>
      <c r="Q936" s="65" t="str">
        <f>VLOOKUP(I936,DATABASE!C:Q,4,FALSE)</f>
        <v>Dunlop</v>
      </c>
      <c r="R936" s="101"/>
      <c r="U936" s="101"/>
    </row>
    <row r="937" ht="22.5" customHeight="1">
      <c r="A937" s="49"/>
      <c r="C937" s="192">
        <v>46045.0</v>
      </c>
      <c r="D937" s="192">
        <v>46044.0</v>
      </c>
      <c r="E937" s="69" t="s">
        <v>81</v>
      </c>
      <c r="F937" s="243" t="s">
        <v>343</v>
      </c>
      <c r="G937" s="69" t="s">
        <v>1707</v>
      </c>
      <c r="H937" s="69" t="s">
        <v>87</v>
      </c>
      <c r="I937" s="140" t="s">
        <v>1588</v>
      </c>
      <c r="J937" s="446">
        <v>2.0</v>
      </c>
      <c r="K937" s="140">
        <v>940000.0</v>
      </c>
      <c r="L937" s="140">
        <v>930000.0</v>
      </c>
      <c r="M937" s="140" t="s">
        <v>657</v>
      </c>
      <c r="N937" s="74">
        <f t="shared" si="5"/>
        <v>1860000</v>
      </c>
      <c r="O937" s="60">
        <f t="shared" si="2"/>
        <v>46119</v>
      </c>
      <c r="P937" s="65" t="str">
        <f>VLOOKUP(I937,DATABASE!C:Q,11,FALSE)</f>
        <v>Tire</v>
      </c>
      <c r="Q937" s="65" t="str">
        <f>VLOOKUP(I937,DATABASE!C:Q,4,FALSE)</f>
        <v>Dunlop</v>
      </c>
      <c r="R937" s="101"/>
      <c r="U937" s="101"/>
    </row>
    <row r="938" ht="22.5" customHeight="1">
      <c r="A938" s="49"/>
      <c r="C938" s="192">
        <v>46045.0</v>
      </c>
      <c r="D938" s="192">
        <v>46044.0</v>
      </c>
      <c r="E938" s="69" t="s">
        <v>81</v>
      </c>
      <c r="F938" s="243" t="s">
        <v>343</v>
      </c>
      <c r="G938" s="69" t="s">
        <v>1707</v>
      </c>
      <c r="H938" s="69" t="s">
        <v>87</v>
      </c>
      <c r="I938" s="140" t="s">
        <v>1301</v>
      </c>
      <c r="J938" s="446">
        <v>3.0</v>
      </c>
      <c r="K938" s="140">
        <v>1182000.0</v>
      </c>
      <c r="L938" s="140">
        <v>1182000.0</v>
      </c>
      <c r="M938" s="140" t="s">
        <v>657</v>
      </c>
      <c r="N938" s="74">
        <f t="shared" si="5"/>
        <v>3546000</v>
      </c>
      <c r="O938" s="60">
        <f t="shared" si="2"/>
        <v>46119</v>
      </c>
      <c r="P938" s="65" t="str">
        <f>VLOOKUP(I938,DATABASE!C:Q,11,FALSE)</f>
        <v>Tire</v>
      </c>
      <c r="Q938" s="65" t="str">
        <f>VLOOKUP(I938,DATABASE!C:Q,4,FALSE)</f>
        <v>Dunlop</v>
      </c>
      <c r="R938" s="101"/>
      <c r="U938" s="101"/>
    </row>
    <row r="939" ht="22.5" customHeight="1">
      <c r="A939" s="49"/>
      <c r="C939" s="192">
        <v>46049.0</v>
      </c>
      <c r="D939" s="192">
        <v>46049.0</v>
      </c>
      <c r="E939" s="69" t="s">
        <v>110</v>
      </c>
      <c r="F939" s="243" t="s">
        <v>343</v>
      </c>
      <c r="G939" s="524">
        <v>2.6001365E7</v>
      </c>
      <c r="H939" s="69" t="s">
        <v>7</v>
      </c>
      <c r="I939" s="140" t="s">
        <v>1976</v>
      </c>
      <c r="J939" s="446">
        <v>2.0</v>
      </c>
      <c r="K939" s="140">
        <v>1108560.0</v>
      </c>
      <c r="L939" s="140">
        <v>1108560.0</v>
      </c>
      <c r="M939" s="140" t="s">
        <v>755</v>
      </c>
      <c r="N939" s="74">
        <f t="shared" si="5"/>
        <v>2217120</v>
      </c>
      <c r="O939" s="60">
        <f t="shared" si="2"/>
        <v>46079</v>
      </c>
      <c r="P939" s="65" t="str">
        <f>VLOOKUP(I939,DATABASE!C:Q,11,FALSE)</f>
        <v>Tire</v>
      </c>
      <c r="Q939" s="65" t="str">
        <f>VLOOKUP(I939,DATABASE!C:Q,4,FALSE)</f>
        <v>GT</v>
      </c>
      <c r="R939" s="101"/>
      <c r="U939" s="101"/>
    </row>
    <row r="940" ht="22.5" customHeight="1">
      <c r="A940" s="49"/>
      <c r="C940" s="192">
        <v>46050.0</v>
      </c>
      <c r="D940" s="192">
        <v>46050.0</v>
      </c>
      <c r="E940" s="69" t="s">
        <v>110</v>
      </c>
      <c r="F940" s="243" t="s">
        <v>343</v>
      </c>
      <c r="G940" s="524">
        <v>2.6001441E7</v>
      </c>
      <c r="H940" s="69" t="s">
        <v>7</v>
      </c>
      <c r="I940" s="140" t="s">
        <v>1871</v>
      </c>
      <c r="J940" s="446">
        <v>2.0</v>
      </c>
      <c r="K940" s="140">
        <v>3160000.0</v>
      </c>
      <c r="L940" s="140">
        <v>3160000.0</v>
      </c>
      <c r="M940" s="140" t="s">
        <v>755</v>
      </c>
      <c r="N940" s="74">
        <f t="shared" si="5"/>
        <v>6320000</v>
      </c>
      <c r="O940" s="60">
        <f t="shared" si="2"/>
        <v>46080</v>
      </c>
      <c r="P940" s="65" t="str">
        <f>VLOOKUP(I940,DATABASE!C:Q,11,FALSE)</f>
        <v>Tire</v>
      </c>
      <c r="Q940" s="65" t="str">
        <f>VLOOKUP(I940,DATABASE!C:Q,4,FALSE)</f>
        <v>GT</v>
      </c>
      <c r="R940" s="101"/>
      <c r="U940" s="101"/>
    </row>
    <row r="941" ht="22.5" customHeight="1">
      <c r="A941" s="49"/>
      <c r="C941" s="192">
        <v>46052.0</v>
      </c>
      <c r="D941" s="192">
        <v>46052.0</v>
      </c>
      <c r="E941" s="69" t="s">
        <v>123</v>
      </c>
      <c r="F941" s="243" t="s">
        <v>343</v>
      </c>
      <c r="G941" s="69" t="s">
        <v>2339</v>
      </c>
      <c r="H941" s="69" t="s">
        <v>7</v>
      </c>
      <c r="I941" s="140" t="s">
        <v>2015</v>
      </c>
      <c r="J941" s="446">
        <v>2.0</v>
      </c>
      <c r="K941" s="140">
        <v>700000.0</v>
      </c>
      <c r="L941" s="140">
        <v>693700.0</v>
      </c>
      <c r="M941" s="140" t="s">
        <v>2190</v>
      </c>
      <c r="N941" s="74">
        <f t="shared" si="5"/>
        <v>1387400</v>
      </c>
      <c r="O941" s="60">
        <f t="shared" si="2"/>
        <v>46066</v>
      </c>
      <c r="P941" s="65" t="str">
        <f>VLOOKUP(I941,DATABASE!C:Q,11,FALSE)</f>
        <v>Tire</v>
      </c>
      <c r="Q941" s="65" t="str">
        <f>VLOOKUP(I941,DATABASE!C:Q,4,FALSE)</f>
        <v>GT</v>
      </c>
      <c r="R941" s="101"/>
      <c r="U941" s="101"/>
    </row>
    <row r="942" ht="22.5" customHeight="1">
      <c r="A942" s="49"/>
      <c r="C942" s="192">
        <v>46053.0</v>
      </c>
      <c r="D942" s="192">
        <v>46050.0</v>
      </c>
      <c r="E942" s="69" t="s">
        <v>386</v>
      </c>
      <c r="F942" s="243" t="s">
        <v>998</v>
      </c>
      <c r="G942" s="69" t="s">
        <v>2126</v>
      </c>
      <c r="H942" s="69" t="s">
        <v>2314</v>
      </c>
      <c r="I942" s="140" t="s">
        <v>2195</v>
      </c>
      <c r="J942" s="446">
        <v>6.0</v>
      </c>
      <c r="K942" s="140">
        <v>282805.0</v>
      </c>
      <c r="L942" s="140">
        <v>269300.0</v>
      </c>
      <c r="M942" s="140" t="s">
        <v>2190</v>
      </c>
      <c r="N942" s="74">
        <f t="shared" si="5"/>
        <v>1615800</v>
      </c>
      <c r="O942" s="60">
        <f t="shared" si="2"/>
        <v>46064</v>
      </c>
      <c r="P942" s="65" t="str">
        <f>VLOOKUP(I942,DATABASE!C:Q,11,FALSE)</f>
        <v>OIL</v>
      </c>
      <c r="Q942" s="65" t="str">
        <f>VLOOKUP(I942,DATABASE!C:Q,4,FALSE)</f>
        <v>Shell</v>
      </c>
      <c r="R942" s="101"/>
      <c r="U942" s="101"/>
    </row>
    <row r="943" ht="22.5" customHeight="1">
      <c r="A943" s="49"/>
      <c r="C943" s="192">
        <v>46055.0</v>
      </c>
      <c r="D943" s="192">
        <v>46053.0</v>
      </c>
      <c r="E943" s="69" t="s">
        <v>81</v>
      </c>
      <c r="F943" s="243" t="s">
        <v>343</v>
      </c>
      <c r="G943" s="69" t="s">
        <v>1712</v>
      </c>
      <c r="H943" s="69" t="s">
        <v>87</v>
      </c>
      <c r="I943" s="140" t="s">
        <v>1377</v>
      </c>
      <c r="J943" s="446">
        <v>4.0</v>
      </c>
      <c r="K943" s="140">
        <v>844000.0</v>
      </c>
      <c r="L943" s="140">
        <v>844000.0</v>
      </c>
      <c r="M943" s="140" t="s">
        <v>657</v>
      </c>
      <c r="N943" s="74">
        <f t="shared" si="5"/>
        <v>3376000</v>
      </c>
      <c r="O943" s="60">
        <f t="shared" si="2"/>
        <v>46128</v>
      </c>
      <c r="P943" s="65" t="str">
        <f>VLOOKUP(I943,DATABASE!C:Q,11,FALSE)</f>
        <v>Tire</v>
      </c>
      <c r="Q943" s="65" t="str">
        <f>VLOOKUP(I943,DATABASE!C:Q,4,FALSE)</f>
        <v>Dunlop</v>
      </c>
      <c r="R943" s="101"/>
      <c r="U943" s="101"/>
    </row>
    <row r="944" ht="22.5" customHeight="1">
      <c r="A944" s="49"/>
      <c r="C944" s="192">
        <v>46055.0</v>
      </c>
      <c r="D944" s="192">
        <v>46055.0</v>
      </c>
      <c r="E944" s="69" t="s">
        <v>81</v>
      </c>
      <c r="F944" s="243" t="s">
        <v>343</v>
      </c>
      <c r="G944" s="69" t="s">
        <v>1718</v>
      </c>
      <c r="H944" s="69" t="s">
        <v>87</v>
      </c>
      <c r="I944" s="140" t="s">
        <v>940</v>
      </c>
      <c r="J944" s="446">
        <v>8.0</v>
      </c>
      <c r="K944" s="140">
        <v>709000.0</v>
      </c>
      <c r="L944" s="140">
        <v>709000.0</v>
      </c>
      <c r="M944" s="140" t="s">
        <v>657</v>
      </c>
      <c r="N944" s="74">
        <f t="shared" si="5"/>
        <v>5672000</v>
      </c>
      <c r="O944" s="60">
        <f t="shared" si="2"/>
        <v>46130</v>
      </c>
      <c r="P944" s="65" t="str">
        <f>VLOOKUP(I944,DATABASE!C:Q,11,FALSE)</f>
        <v>Tire</v>
      </c>
      <c r="Q944" s="65" t="str">
        <f>VLOOKUP(I944,DATABASE!C:Q,4,FALSE)</f>
        <v>Dunlop</v>
      </c>
      <c r="R944" s="101"/>
      <c r="U944" s="101"/>
    </row>
    <row r="945" ht="22.5" customHeight="1">
      <c r="A945" s="49"/>
      <c r="C945" s="192">
        <v>46055.0</v>
      </c>
      <c r="D945" s="192">
        <v>46055.0</v>
      </c>
      <c r="E945" s="69" t="s">
        <v>81</v>
      </c>
      <c r="F945" s="243" t="s">
        <v>343</v>
      </c>
      <c r="G945" s="69" t="s">
        <v>1718</v>
      </c>
      <c r="H945" s="69" t="s">
        <v>87</v>
      </c>
      <c r="I945" s="140" t="s">
        <v>1486</v>
      </c>
      <c r="J945" s="446">
        <v>3.0</v>
      </c>
      <c r="K945" s="140">
        <v>877000.0</v>
      </c>
      <c r="L945" s="140">
        <v>877000.0</v>
      </c>
      <c r="M945" s="140" t="s">
        <v>657</v>
      </c>
      <c r="N945" s="74">
        <f t="shared" si="5"/>
        <v>2631000</v>
      </c>
      <c r="O945" s="60">
        <f t="shared" si="2"/>
        <v>46130</v>
      </c>
      <c r="P945" s="65" t="str">
        <f>VLOOKUP(I945,DATABASE!C:Q,11,FALSE)</f>
        <v>Tire</v>
      </c>
      <c r="Q945" s="65" t="str">
        <f>VLOOKUP(I945,DATABASE!C:Q,4,FALSE)</f>
        <v>Dunlop</v>
      </c>
      <c r="R945" s="101"/>
      <c r="U945" s="101"/>
    </row>
    <row r="946" ht="22.5" customHeight="1">
      <c r="A946" s="49"/>
      <c r="C946" s="192">
        <v>46055.0</v>
      </c>
      <c r="D946" s="192">
        <v>46055.0</v>
      </c>
      <c r="E946" s="69" t="s">
        <v>81</v>
      </c>
      <c r="F946" s="243" t="s">
        <v>343</v>
      </c>
      <c r="G946" s="69" t="s">
        <v>1718</v>
      </c>
      <c r="H946" s="69" t="s">
        <v>87</v>
      </c>
      <c r="I946" s="140" t="s">
        <v>1372</v>
      </c>
      <c r="J946" s="446">
        <v>4.0</v>
      </c>
      <c r="K946" s="140">
        <v>1029000.0</v>
      </c>
      <c r="L946" s="140">
        <v>1029000.0</v>
      </c>
      <c r="M946" s="140" t="s">
        <v>657</v>
      </c>
      <c r="N946" s="74">
        <f t="shared" si="5"/>
        <v>4116000</v>
      </c>
      <c r="O946" s="60">
        <f t="shared" si="2"/>
        <v>46130</v>
      </c>
      <c r="P946" s="65" t="str">
        <f>VLOOKUP(I946,DATABASE!C:Q,11,FALSE)</f>
        <v>Tire</v>
      </c>
      <c r="Q946" s="65" t="str">
        <f>VLOOKUP(I946,DATABASE!C:Q,4,FALSE)</f>
        <v>Dunlop</v>
      </c>
      <c r="R946" s="101"/>
      <c r="U946" s="101"/>
    </row>
    <row r="947" ht="22.5" customHeight="1">
      <c r="A947" s="49"/>
      <c r="C947" s="192">
        <v>46055.0</v>
      </c>
      <c r="D947" s="192">
        <v>46055.0</v>
      </c>
      <c r="E947" s="69" t="s">
        <v>81</v>
      </c>
      <c r="F947" s="243" t="s">
        <v>343</v>
      </c>
      <c r="G947" s="69" t="s">
        <v>1718</v>
      </c>
      <c r="H947" s="69" t="s">
        <v>87</v>
      </c>
      <c r="I947" s="140" t="s">
        <v>974</v>
      </c>
      <c r="J947" s="446">
        <v>4.0</v>
      </c>
      <c r="K947" s="140">
        <v>491000.0</v>
      </c>
      <c r="L947" s="140">
        <v>491000.0</v>
      </c>
      <c r="M947" s="140" t="s">
        <v>657</v>
      </c>
      <c r="N947" s="74">
        <f t="shared" si="5"/>
        <v>1964000</v>
      </c>
      <c r="O947" s="60">
        <f t="shared" si="2"/>
        <v>46130</v>
      </c>
      <c r="P947" s="65" t="str">
        <f>VLOOKUP(I947,DATABASE!C:Q,11,FALSE)</f>
        <v>Tire</v>
      </c>
      <c r="Q947" s="65" t="str">
        <f>VLOOKUP(I947,DATABASE!C:Q,4,FALSE)</f>
        <v>Dunlop</v>
      </c>
      <c r="R947" s="101"/>
      <c r="U947" s="101"/>
    </row>
    <row r="948" ht="22.5" customHeight="1">
      <c r="A948" s="49"/>
      <c r="C948" s="192">
        <v>46055.0</v>
      </c>
      <c r="D948" s="192">
        <v>46055.0</v>
      </c>
      <c r="E948" s="69" t="s">
        <v>81</v>
      </c>
      <c r="F948" s="243" t="s">
        <v>343</v>
      </c>
      <c r="G948" s="69" t="s">
        <v>1718</v>
      </c>
      <c r="H948" s="69" t="s">
        <v>87</v>
      </c>
      <c r="I948" s="140" t="s">
        <v>695</v>
      </c>
      <c r="J948" s="446">
        <v>3.0</v>
      </c>
      <c r="K948" s="140">
        <v>570000.0</v>
      </c>
      <c r="L948" s="140">
        <v>570000.0</v>
      </c>
      <c r="M948" s="140" t="s">
        <v>657</v>
      </c>
      <c r="N948" s="74">
        <f t="shared" si="5"/>
        <v>1710000</v>
      </c>
      <c r="O948" s="60">
        <f t="shared" si="2"/>
        <v>46130</v>
      </c>
      <c r="P948" s="65" t="str">
        <f>VLOOKUP(I948,DATABASE!C:Q,11,FALSE)</f>
        <v>Tire</v>
      </c>
      <c r="Q948" s="65" t="str">
        <f>VLOOKUP(I948,DATABASE!C:Q,4,FALSE)</f>
        <v>Dunlop</v>
      </c>
      <c r="R948" s="101"/>
      <c r="U948" s="101"/>
    </row>
    <row r="949" ht="22.5" customHeight="1">
      <c r="A949" s="49"/>
      <c r="C949" s="192">
        <v>46055.0</v>
      </c>
      <c r="D949" s="192">
        <v>46055.0</v>
      </c>
      <c r="E949" s="69" t="s">
        <v>81</v>
      </c>
      <c r="F949" s="243" t="s">
        <v>343</v>
      </c>
      <c r="G949" s="69" t="s">
        <v>1718</v>
      </c>
      <c r="H949" s="69" t="s">
        <v>87</v>
      </c>
      <c r="I949" s="140" t="s">
        <v>968</v>
      </c>
      <c r="J949" s="446">
        <v>5.0</v>
      </c>
      <c r="K949" s="140">
        <v>570500.0</v>
      </c>
      <c r="L949" s="140">
        <v>570500.0</v>
      </c>
      <c r="M949" s="140" t="s">
        <v>657</v>
      </c>
      <c r="N949" s="74">
        <f t="shared" si="5"/>
        <v>2852500</v>
      </c>
      <c r="O949" s="60">
        <f t="shared" si="2"/>
        <v>46130</v>
      </c>
      <c r="P949" s="65" t="str">
        <f>VLOOKUP(I949,DATABASE!C:Q,11,FALSE)</f>
        <v>Tire</v>
      </c>
      <c r="Q949" s="65" t="str">
        <f>VLOOKUP(I949,DATABASE!C:Q,4,FALSE)</f>
        <v>Dunlop</v>
      </c>
      <c r="R949" s="101"/>
      <c r="U949" s="101"/>
    </row>
    <row r="950" ht="22.5" customHeight="1">
      <c r="A950" s="49"/>
      <c r="C950" s="192">
        <v>46055.0</v>
      </c>
      <c r="D950" s="192">
        <v>46055.0</v>
      </c>
      <c r="E950" s="69" t="s">
        <v>81</v>
      </c>
      <c r="F950" s="243" t="s">
        <v>343</v>
      </c>
      <c r="G950" s="69" t="s">
        <v>1718</v>
      </c>
      <c r="H950" s="69" t="s">
        <v>87</v>
      </c>
      <c r="I950" s="140" t="s">
        <v>1494</v>
      </c>
      <c r="J950" s="446">
        <v>1.0</v>
      </c>
      <c r="K950" s="140">
        <v>596000.0</v>
      </c>
      <c r="L950" s="140">
        <v>596000.0</v>
      </c>
      <c r="M950" s="140" t="s">
        <v>657</v>
      </c>
      <c r="N950" s="74">
        <f t="shared" si="5"/>
        <v>596000</v>
      </c>
      <c r="O950" s="60">
        <f t="shared" si="2"/>
        <v>46130</v>
      </c>
      <c r="P950" s="65" t="str">
        <f>VLOOKUP(I950,DATABASE!C:Q,11,FALSE)</f>
        <v>Tire</v>
      </c>
      <c r="Q950" s="65" t="str">
        <f>VLOOKUP(I950,DATABASE!C:Q,4,FALSE)</f>
        <v>Dunlop</v>
      </c>
      <c r="R950" s="101"/>
      <c r="U950" s="101"/>
    </row>
    <row r="951" ht="22.5" customHeight="1">
      <c r="A951" s="49"/>
      <c r="C951" s="192">
        <v>46055.0</v>
      </c>
      <c r="D951" s="192">
        <v>46055.0</v>
      </c>
      <c r="E951" s="69" t="s">
        <v>81</v>
      </c>
      <c r="F951" s="243" t="s">
        <v>343</v>
      </c>
      <c r="G951" s="69" t="s">
        <v>1726</v>
      </c>
      <c r="H951" s="69" t="s">
        <v>87</v>
      </c>
      <c r="I951" s="140" t="s">
        <v>1555</v>
      </c>
      <c r="J951" s="446">
        <v>4.0</v>
      </c>
      <c r="K951" s="140">
        <v>921750.0</v>
      </c>
      <c r="L951" s="140">
        <v>921750.0</v>
      </c>
      <c r="M951" s="140" t="s">
        <v>657</v>
      </c>
      <c r="N951" s="74">
        <f t="shared" si="5"/>
        <v>3687000</v>
      </c>
      <c r="O951" s="60">
        <f t="shared" si="2"/>
        <v>46130</v>
      </c>
      <c r="P951" s="65" t="str">
        <f>VLOOKUP(I951,DATABASE!C:Q,11,FALSE)</f>
        <v>Tire</v>
      </c>
      <c r="Q951" s="65" t="str">
        <f>VLOOKUP(I951,DATABASE!C:Q,4,FALSE)</f>
        <v>Dunlop</v>
      </c>
      <c r="R951" s="101"/>
      <c r="U951" s="101"/>
    </row>
    <row r="952" ht="22.5" customHeight="1">
      <c r="A952" s="49"/>
      <c r="C952" s="192">
        <v>46055.0</v>
      </c>
      <c r="D952" s="192">
        <v>46055.0</v>
      </c>
      <c r="E952" s="69" t="s">
        <v>335</v>
      </c>
      <c r="F952" s="243" t="s">
        <v>343</v>
      </c>
      <c r="G952" s="69" t="s">
        <v>2197</v>
      </c>
      <c r="H952" s="69" t="s">
        <v>7</v>
      </c>
      <c r="I952" s="140" t="s">
        <v>403</v>
      </c>
      <c r="J952" s="446">
        <v>8.0</v>
      </c>
      <c r="K952" s="140">
        <v>2160000.0</v>
      </c>
      <c r="L952" s="140">
        <v>2160000.0</v>
      </c>
      <c r="M952" s="140" t="s">
        <v>521</v>
      </c>
      <c r="N952" s="74">
        <f t="shared" si="5"/>
        <v>17280000</v>
      </c>
      <c r="O952" s="60">
        <f t="shared" si="2"/>
        <v>46115</v>
      </c>
      <c r="P952" s="65" t="str">
        <f>VLOOKUP(I952,DATABASE!C:Q,11,FALSE)</f>
        <v>Tire</v>
      </c>
      <c r="Q952" s="65" t="str">
        <f>VLOOKUP(I952,DATABASE!C:Q,4,FALSE)</f>
        <v>Advance</v>
      </c>
      <c r="R952" s="101"/>
      <c r="U952" s="101"/>
    </row>
    <row r="953" ht="22.5" customHeight="1">
      <c r="A953" s="49"/>
      <c r="C953" s="192">
        <v>46055.0</v>
      </c>
      <c r="D953" s="192">
        <v>46055.0</v>
      </c>
      <c r="E953" s="69" t="s">
        <v>335</v>
      </c>
      <c r="F953" s="243" t="s">
        <v>343</v>
      </c>
      <c r="G953" s="69" t="s">
        <v>2197</v>
      </c>
      <c r="H953" s="69" t="s">
        <v>7</v>
      </c>
      <c r="I953" s="140" t="s">
        <v>295</v>
      </c>
      <c r="J953" s="446">
        <v>7.0</v>
      </c>
      <c r="K953" s="140">
        <v>1425000.0</v>
      </c>
      <c r="L953" s="140">
        <v>1425000.0</v>
      </c>
      <c r="M953" s="140" t="s">
        <v>521</v>
      </c>
      <c r="N953" s="74">
        <f t="shared" si="5"/>
        <v>9975000</v>
      </c>
      <c r="O953" s="60">
        <f t="shared" si="2"/>
        <v>46115</v>
      </c>
      <c r="P953" s="65" t="str">
        <f>VLOOKUP(I953,DATABASE!C:Q,11,FALSE)</f>
        <v>Tire</v>
      </c>
      <c r="Q953" s="65" t="str">
        <f>VLOOKUP(I953,DATABASE!C:Q,4,FALSE)</f>
        <v>TIRON</v>
      </c>
      <c r="R953" s="101"/>
      <c r="U953" s="101"/>
    </row>
    <row r="954" ht="22.5" customHeight="1">
      <c r="A954" s="49"/>
      <c r="C954" s="192">
        <v>46056.0</v>
      </c>
      <c r="D954" s="192">
        <v>46055.0</v>
      </c>
      <c r="E954" s="69" t="s">
        <v>412</v>
      </c>
      <c r="F954" s="243" t="s">
        <v>998</v>
      </c>
      <c r="G954" s="524">
        <v>0.0</v>
      </c>
      <c r="H954" s="69" t="s">
        <v>2314</v>
      </c>
      <c r="I954" s="140" t="s">
        <v>301</v>
      </c>
      <c r="J954" s="446">
        <v>5.0</v>
      </c>
      <c r="K954" s="140">
        <v>75000.0</v>
      </c>
      <c r="L954" s="140">
        <v>50000.0</v>
      </c>
      <c r="M954" s="140" t="s">
        <v>521</v>
      </c>
      <c r="N954" s="74">
        <f t="shared" si="5"/>
        <v>250000</v>
      </c>
      <c r="O954" s="60">
        <f t="shared" si="2"/>
        <v>46115</v>
      </c>
      <c r="P954" s="65" t="str">
        <f>VLOOKUP(I954,DATABASE!C:Q,11,FALSE)</f>
        <v>COMPLEMENTARY</v>
      </c>
      <c r="Q954" s="65" t="str">
        <f>VLOOKUP(I954,DATABASE!C:Q,4,FALSE)</f>
        <v>Baut Camber</v>
      </c>
      <c r="R954" s="101"/>
      <c r="U954" s="101"/>
    </row>
    <row r="955" ht="22.5" customHeight="1">
      <c r="A955" s="49"/>
      <c r="C955" s="192">
        <v>46056.0</v>
      </c>
      <c r="D955" s="192">
        <v>46055.0</v>
      </c>
      <c r="E955" s="69" t="s">
        <v>412</v>
      </c>
      <c r="F955" s="243" t="s">
        <v>998</v>
      </c>
      <c r="G955" s="524">
        <v>0.0</v>
      </c>
      <c r="H955" s="69" t="s">
        <v>2314</v>
      </c>
      <c r="I955" s="140" t="s">
        <v>301</v>
      </c>
      <c r="J955" s="446">
        <v>10.0</v>
      </c>
      <c r="K955" s="140">
        <v>75000.0</v>
      </c>
      <c r="L955" s="140">
        <v>47500.0</v>
      </c>
      <c r="M955" s="140" t="s">
        <v>521</v>
      </c>
      <c r="N955" s="74">
        <f t="shared" si="5"/>
        <v>475000</v>
      </c>
      <c r="O955" s="60">
        <f t="shared" si="2"/>
        <v>46115</v>
      </c>
      <c r="P955" s="65" t="str">
        <f>VLOOKUP(I955,DATABASE!C:Q,11,FALSE)</f>
        <v>COMPLEMENTARY</v>
      </c>
      <c r="Q955" s="65" t="str">
        <f>VLOOKUP(I955,DATABASE!C:Q,4,FALSE)</f>
        <v>Baut Camber</v>
      </c>
      <c r="R955" s="101"/>
      <c r="U955" s="101"/>
    </row>
    <row r="956" ht="22.5" customHeight="1">
      <c r="A956" s="49"/>
      <c r="C956" s="192">
        <v>46056.0</v>
      </c>
      <c r="D956" s="192">
        <v>46055.0</v>
      </c>
      <c r="E956" s="69" t="s">
        <v>412</v>
      </c>
      <c r="F956" s="243" t="s">
        <v>998</v>
      </c>
      <c r="G956" s="524">
        <v>0.0</v>
      </c>
      <c r="H956" s="69" t="s">
        <v>2314</v>
      </c>
      <c r="I956" s="140" t="s">
        <v>299</v>
      </c>
      <c r="J956" s="446">
        <v>19.0</v>
      </c>
      <c r="K956" s="140">
        <v>5000.0</v>
      </c>
      <c r="L956" s="140">
        <v>5000.0</v>
      </c>
      <c r="M956" s="140" t="s">
        <v>521</v>
      </c>
      <c r="N956" s="74">
        <f t="shared" si="5"/>
        <v>95000</v>
      </c>
      <c r="O956" s="60">
        <f t="shared" si="2"/>
        <v>46115</v>
      </c>
      <c r="P956" s="65" t="str">
        <f>VLOOKUP(I956,DATABASE!C:Q,11,FALSE)</f>
        <v>COMPLEMENTARY</v>
      </c>
      <c r="Q956" s="65" t="str">
        <f>VLOOKUP(I956,DATABASE!C:Q,4,FALSE)</f>
        <v>Balancing</v>
      </c>
      <c r="R956" s="101"/>
      <c r="U956" s="101"/>
    </row>
    <row r="957" ht="22.5" customHeight="1">
      <c r="A957" s="49"/>
      <c r="C957" s="192">
        <v>46056.0</v>
      </c>
      <c r="D957" s="192">
        <v>46056.0</v>
      </c>
      <c r="E957" s="69" t="s">
        <v>97</v>
      </c>
      <c r="F957" s="243" t="s">
        <v>343</v>
      </c>
      <c r="G957" s="69" t="s">
        <v>2489</v>
      </c>
      <c r="H957" s="69" t="s">
        <v>87</v>
      </c>
      <c r="I957" s="140" t="s">
        <v>1237</v>
      </c>
      <c r="J957" s="446">
        <v>1.0</v>
      </c>
      <c r="K957" s="140">
        <v>1113907.2</v>
      </c>
      <c r="L957" s="140">
        <v>1130842.0</v>
      </c>
      <c r="M957" s="140" t="s">
        <v>521</v>
      </c>
      <c r="N957" s="74">
        <f t="shared" si="5"/>
        <v>1130842</v>
      </c>
      <c r="O957" s="60">
        <f t="shared" si="2"/>
        <v>46116</v>
      </c>
      <c r="P957" s="65" t="str">
        <f>VLOOKUP(I957,DATABASE!C:Q,11,FALSE)</f>
        <v>Tire</v>
      </c>
      <c r="Q957" s="65" t="str">
        <f>VLOOKUP(I957,DATABASE!C:Q,4,FALSE)</f>
        <v>Bridgestone</v>
      </c>
      <c r="R957" s="101"/>
      <c r="U957" s="101"/>
    </row>
    <row r="958" ht="22.5" customHeight="1">
      <c r="A958" s="49"/>
      <c r="C958" s="192">
        <v>46059.0</v>
      </c>
      <c r="D958" s="192">
        <v>46058.0</v>
      </c>
      <c r="E958" s="69" t="s">
        <v>123</v>
      </c>
      <c r="F958" s="243" t="s">
        <v>343</v>
      </c>
      <c r="G958" s="69" t="s">
        <v>2341</v>
      </c>
      <c r="H958" s="69" t="s">
        <v>7</v>
      </c>
      <c r="I958" s="140" t="s">
        <v>781</v>
      </c>
      <c r="J958" s="446">
        <v>10.0</v>
      </c>
      <c r="K958" s="140">
        <v>442500.0</v>
      </c>
      <c r="L958" s="140">
        <v>440000.0</v>
      </c>
      <c r="M958" s="140" t="s">
        <v>2190</v>
      </c>
      <c r="N958" s="74">
        <f t="shared" si="5"/>
        <v>4400000</v>
      </c>
      <c r="O958" s="60">
        <f t="shared" si="2"/>
        <v>46072</v>
      </c>
      <c r="P958" s="65" t="str">
        <f>VLOOKUP(I958,DATABASE!C:Q,11,FALSE)</f>
        <v>Tire</v>
      </c>
      <c r="Q958" s="65" t="str">
        <f>VLOOKUP(I958,DATABASE!C:Q,4,FALSE)</f>
        <v>GT</v>
      </c>
      <c r="R958" s="101"/>
      <c r="U958" s="101"/>
    </row>
    <row r="959" ht="22.5" customHeight="1">
      <c r="A959" s="49"/>
      <c r="C959" s="192">
        <v>46059.0</v>
      </c>
      <c r="D959" s="192">
        <v>46058.0</v>
      </c>
      <c r="E959" s="69" t="s">
        <v>123</v>
      </c>
      <c r="F959" s="243" t="s">
        <v>343</v>
      </c>
      <c r="G959" s="69" t="s">
        <v>2341</v>
      </c>
      <c r="H959" s="69" t="s">
        <v>7</v>
      </c>
      <c r="I959" s="140" t="s">
        <v>791</v>
      </c>
      <c r="J959" s="446">
        <v>5.0</v>
      </c>
      <c r="K959" s="140">
        <v>1180000.0</v>
      </c>
      <c r="L959" s="140">
        <v>1160000.0</v>
      </c>
      <c r="M959" s="140" t="s">
        <v>2190</v>
      </c>
      <c r="N959" s="74">
        <f t="shared" si="5"/>
        <v>5800000</v>
      </c>
      <c r="O959" s="60">
        <f t="shared" si="2"/>
        <v>46072</v>
      </c>
      <c r="P959" s="65" t="str">
        <f>VLOOKUP(I959,DATABASE!C:Q,11,FALSE)</f>
        <v>Tire</v>
      </c>
      <c r="Q959" s="65" t="str">
        <f>VLOOKUP(I959,DATABASE!C:Q,4,FALSE)</f>
        <v>GT</v>
      </c>
      <c r="R959" s="101"/>
      <c r="U959" s="101"/>
    </row>
    <row r="960" ht="22.5" customHeight="1">
      <c r="A960" s="49"/>
      <c r="C960" s="192">
        <v>46059.0</v>
      </c>
      <c r="D960" s="192">
        <v>46058.0</v>
      </c>
      <c r="E960" s="69" t="s">
        <v>123</v>
      </c>
      <c r="F960" s="243" t="s">
        <v>343</v>
      </c>
      <c r="G960" s="69" t="s">
        <v>2341</v>
      </c>
      <c r="H960" s="69" t="s">
        <v>7</v>
      </c>
      <c r="I960" s="140" t="s">
        <v>897</v>
      </c>
      <c r="J960" s="446">
        <v>5.0</v>
      </c>
      <c r="K960" s="140">
        <v>1500000.0</v>
      </c>
      <c r="L960" s="140">
        <v>1480000.0</v>
      </c>
      <c r="M960" s="140" t="s">
        <v>2190</v>
      </c>
      <c r="N960" s="74">
        <f t="shared" si="5"/>
        <v>7400000</v>
      </c>
      <c r="O960" s="60">
        <f t="shared" si="2"/>
        <v>46072</v>
      </c>
      <c r="P960" s="65" t="str">
        <f>VLOOKUP(I960,DATABASE!C:Q,11,FALSE)</f>
        <v>Tire</v>
      </c>
      <c r="Q960" s="65" t="str">
        <f>VLOOKUP(I960,DATABASE!C:Q,4,FALSE)</f>
        <v>GT</v>
      </c>
      <c r="R960" s="101"/>
      <c r="U960" s="101"/>
    </row>
    <row r="961" ht="22.5" customHeight="1">
      <c r="A961" s="49"/>
      <c r="C961" s="192">
        <v>46059.0</v>
      </c>
      <c r="D961" s="192">
        <v>46058.0</v>
      </c>
      <c r="E961" s="69" t="s">
        <v>123</v>
      </c>
      <c r="F961" s="243" t="s">
        <v>343</v>
      </c>
      <c r="G961" s="69" t="s">
        <v>2343</v>
      </c>
      <c r="H961" s="69" t="s">
        <v>7</v>
      </c>
      <c r="I961" s="140" t="s">
        <v>1439</v>
      </c>
      <c r="J961" s="446">
        <v>6.0</v>
      </c>
      <c r="K961" s="140">
        <v>540800.0</v>
      </c>
      <c r="L961" s="140">
        <v>540800.0</v>
      </c>
      <c r="M961" s="140" t="s">
        <v>755</v>
      </c>
      <c r="N961" s="74">
        <f t="shared" si="5"/>
        <v>3244800</v>
      </c>
      <c r="O961" s="60">
        <f t="shared" si="2"/>
        <v>46088</v>
      </c>
      <c r="P961" s="65" t="str">
        <f>VLOOKUP(I961,DATABASE!C:Q,11,FALSE)</f>
        <v>Tire</v>
      </c>
      <c r="Q961" s="65" t="str">
        <f>VLOOKUP(I961,DATABASE!C:Q,4,FALSE)</f>
        <v>GT</v>
      </c>
      <c r="R961" s="101"/>
      <c r="U961" s="101"/>
    </row>
    <row r="962" ht="22.5" customHeight="1">
      <c r="A962" s="49"/>
      <c r="C962" s="192">
        <v>46059.0</v>
      </c>
      <c r="D962" s="192">
        <v>46058.0</v>
      </c>
      <c r="E962" s="69" t="s">
        <v>123</v>
      </c>
      <c r="F962" s="243" t="s">
        <v>343</v>
      </c>
      <c r="G962" s="69" t="s">
        <v>2343</v>
      </c>
      <c r="H962" s="69" t="s">
        <v>7</v>
      </c>
      <c r="I962" s="140" t="s">
        <v>856</v>
      </c>
      <c r="J962" s="446">
        <v>6.0</v>
      </c>
      <c r="K962" s="140">
        <v>581120.0</v>
      </c>
      <c r="L962" s="140">
        <v>581120.0</v>
      </c>
      <c r="M962" s="140" t="s">
        <v>755</v>
      </c>
      <c r="N962" s="74">
        <f t="shared" si="5"/>
        <v>3486720</v>
      </c>
      <c r="O962" s="60">
        <f t="shared" si="2"/>
        <v>46088</v>
      </c>
      <c r="P962" s="65" t="str">
        <f>VLOOKUP(I962,DATABASE!C:Q,11,FALSE)</f>
        <v>Tire</v>
      </c>
      <c r="Q962" s="65" t="str">
        <f>VLOOKUP(I962,DATABASE!C:Q,4,FALSE)</f>
        <v>GT</v>
      </c>
      <c r="R962" s="101"/>
      <c r="U962" s="101"/>
    </row>
    <row r="963" ht="22.5" customHeight="1">
      <c r="A963" s="49"/>
      <c r="C963" s="192">
        <v>46059.0</v>
      </c>
      <c r="D963" s="192">
        <v>46058.0</v>
      </c>
      <c r="E963" s="69" t="s">
        <v>123</v>
      </c>
      <c r="F963" s="243" t="s">
        <v>343</v>
      </c>
      <c r="G963" s="69" t="s">
        <v>2343</v>
      </c>
      <c r="H963" s="69" t="s">
        <v>7</v>
      </c>
      <c r="I963" s="140" t="s">
        <v>287</v>
      </c>
      <c r="J963" s="446">
        <v>7.0</v>
      </c>
      <c r="K963" s="140">
        <v>690600.0</v>
      </c>
      <c r="L963" s="140">
        <v>690600.0</v>
      </c>
      <c r="M963" s="140" t="s">
        <v>755</v>
      </c>
      <c r="N963" s="74">
        <f t="shared" si="5"/>
        <v>4834200</v>
      </c>
      <c r="O963" s="60">
        <f t="shared" si="2"/>
        <v>46088</v>
      </c>
      <c r="P963" s="65" t="str">
        <f>VLOOKUP(I963,DATABASE!C:Q,11,FALSE)</f>
        <v>Tire</v>
      </c>
      <c r="Q963" s="65" t="str">
        <f>VLOOKUP(I963,DATABASE!C:Q,4,FALSE)</f>
        <v>GT</v>
      </c>
      <c r="R963" s="101"/>
      <c r="U963" s="101"/>
    </row>
    <row r="964" ht="22.5" customHeight="1">
      <c r="A964" s="49"/>
      <c r="C964" s="192">
        <v>46059.0</v>
      </c>
      <c r="D964" s="192">
        <v>46058.0</v>
      </c>
      <c r="E964" s="69" t="s">
        <v>123</v>
      </c>
      <c r="F964" s="243" t="s">
        <v>343</v>
      </c>
      <c r="G964" s="69" t="s">
        <v>2343</v>
      </c>
      <c r="H964" s="69" t="s">
        <v>7</v>
      </c>
      <c r="I964" s="140" t="s">
        <v>286</v>
      </c>
      <c r="J964" s="446">
        <v>10.0</v>
      </c>
      <c r="K964" s="140">
        <v>452970.0</v>
      </c>
      <c r="L964" s="140">
        <v>453178.0</v>
      </c>
      <c r="M964" s="140" t="s">
        <v>755</v>
      </c>
      <c r="N964" s="74">
        <f t="shared" si="5"/>
        <v>4531780</v>
      </c>
      <c r="O964" s="60">
        <f t="shared" si="2"/>
        <v>46088</v>
      </c>
      <c r="P964" s="65" t="str">
        <f>VLOOKUP(I964,DATABASE!C:Q,11,FALSE)</f>
        <v>Tire</v>
      </c>
      <c r="Q964" s="65" t="str">
        <f>VLOOKUP(I964,DATABASE!C:Q,4,FALSE)</f>
        <v>GT</v>
      </c>
      <c r="R964" s="101"/>
      <c r="U964" s="101"/>
    </row>
    <row r="965" ht="22.5" customHeight="1">
      <c r="A965" s="49"/>
      <c r="C965" s="192">
        <v>46059.0</v>
      </c>
      <c r="D965" s="192">
        <v>46058.0</v>
      </c>
      <c r="E965" s="69" t="s">
        <v>123</v>
      </c>
      <c r="F965" s="243" t="s">
        <v>343</v>
      </c>
      <c r="G965" s="69" t="s">
        <v>2343</v>
      </c>
      <c r="H965" s="69" t="s">
        <v>7</v>
      </c>
      <c r="I965" s="140" t="s">
        <v>1894</v>
      </c>
      <c r="J965" s="446">
        <v>6.0</v>
      </c>
      <c r="K965" s="140">
        <v>445400.0</v>
      </c>
      <c r="L965" s="140">
        <v>445400.0</v>
      </c>
      <c r="M965" s="140" t="s">
        <v>755</v>
      </c>
      <c r="N965" s="74">
        <f t="shared" si="5"/>
        <v>2672400</v>
      </c>
      <c r="O965" s="60">
        <f t="shared" si="2"/>
        <v>46088</v>
      </c>
      <c r="P965" s="65" t="str">
        <f>VLOOKUP(I965,DATABASE!C:Q,11,FALSE)</f>
        <v>Tire</v>
      </c>
      <c r="Q965" s="65" t="str">
        <f>VLOOKUP(I965,DATABASE!C:Q,4,FALSE)</f>
        <v>GT</v>
      </c>
      <c r="R965" s="101"/>
      <c r="U965" s="101"/>
    </row>
    <row r="966" ht="22.5" customHeight="1">
      <c r="A966" s="49"/>
      <c r="C966" s="192">
        <v>46059.0</v>
      </c>
      <c r="D966" s="192">
        <v>46058.0</v>
      </c>
      <c r="E966" s="69" t="s">
        <v>123</v>
      </c>
      <c r="F966" s="243" t="s">
        <v>343</v>
      </c>
      <c r="G966" s="69" t="s">
        <v>2343</v>
      </c>
      <c r="H966" s="69" t="s">
        <v>7</v>
      </c>
      <c r="I966" s="140" t="s">
        <v>288</v>
      </c>
      <c r="J966" s="446">
        <v>7.0</v>
      </c>
      <c r="K966" s="140">
        <v>524800.0</v>
      </c>
      <c r="L966" s="140">
        <v>524800.0</v>
      </c>
      <c r="M966" s="140" t="s">
        <v>755</v>
      </c>
      <c r="N966" s="74">
        <f t="shared" si="5"/>
        <v>3673600</v>
      </c>
      <c r="O966" s="60">
        <f t="shared" si="2"/>
        <v>46088</v>
      </c>
      <c r="P966" s="65" t="str">
        <f>VLOOKUP(I966,DATABASE!C:Q,11,FALSE)</f>
        <v>Tire</v>
      </c>
      <c r="Q966" s="65" t="str">
        <f>VLOOKUP(I966,DATABASE!C:Q,4,FALSE)</f>
        <v>GT</v>
      </c>
      <c r="R966" s="101"/>
      <c r="U966" s="101"/>
    </row>
    <row r="967" ht="22.5" customHeight="1">
      <c r="A967" s="49"/>
      <c r="C967" s="192">
        <v>46059.0</v>
      </c>
      <c r="D967" s="192">
        <v>46058.0</v>
      </c>
      <c r="E967" s="69" t="s">
        <v>123</v>
      </c>
      <c r="F967" s="243" t="s">
        <v>343</v>
      </c>
      <c r="G967" s="69" t="s">
        <v>2343</v>
      </c>
      <c r="H967" s="69" t="s">
        <v>7</v>
      </c>
      <c r="I967" s="140" t="s">
        <v>1898</v>
      </c>
      <c r="J967" s="446">
        <v>3.0</v>
      </c>
      <c r="K967" s="140">
        <v>627400.0</v>
      </c>
      <c r="L967" s="140">
        <v>627400.0</v>
      </c>
      <c r="M967" s="140" t="s">
        <v>755</v>
      </c>
      <c r="N967" s="74">
        <f t="shared" si="5"/>
        <v>1882200</v>
      </c>
      <c r="O967" s="60">
        <f t="shared" si="2"/>
        <v>46088</v>
      </c>
      <c r="P967" s="65" t="str">
        <f>VLOOKUP(I967,DATABASE!C:Q,11,FALSE)</f>
        <v>Tire</v>
      </c>
      <c r="Q967" s="65" t="str">
        <f>VLOOKUP(I967,DATABASE!C:Q,4,FALSE)</f>
        <v>GT</v>
      </c>
      <c r="R967" s="101"/>
      <c r="U967" s="101"/>
    </row>
    <row r="968" ht="22.5" customHeight="1">
      <c r="A968" s="49"/>
      <c r="C968" s="192">
        <v>46059.0</v>
      </c>
      <c r="D968" s="192">
        <v>46058.0</v>
      </c>
      <c r="E968" s="69" t="s">
        <v>123</v>
      </c>
      <c r="F968" s="243" t="s">
        <v>343</v>
      </c>
      <c r="G968" s="69" t="s">
        <v>2343</v>
      </c>
      <c r="H968" s="69" t="s">
        <v>7</v>
      </c>
      <c r="I968" s="140" t="s">
        <v>1430</v>
      </c>
      <c r="J968" s="446">
        <v>4.0</v>
      </c>
      <c r="K968" s="140">
        <v>659610.0</v>
      </c>
      <c r="L968" s="140">
        <v>659610.0</v>
      </c>
      <c r="M968" s="140" t="s">
        <v>755</v>
      </c>
      <c r="N968" s="74">
        <f t="shared" si="5"/>
        <v>2638440</v>
      </c>
      <c r="O968" s="60">
        <f t="shared" si="2"/>
        <v>46088</v>
      </c>
      <c r="P968" s="65" t="str">
        <f>VLOOKUP(I968,DATABASE!C:Q,11,FALSE)</f>
        <v>Tire</v>
      </c>
      <c r="Q968" s="65" t="str">
        <f>VLOOKUP(I968,DATABASE!C:Q,4,FALSE)</f>
        <v>GT</v>
      </c>
      <c r="R968" s="101"/>
      <c r="U968" s="101"/>
    </row>
    <row r="969" ht="22.5" customHeight="1">
      <c r="A969" s="49"/>
      <c r="C969" s="192">
        <v>46059.0</v>
      </c>
      <c r="D969" s="192">
        <v>46058.0</v>
      </c>
      <c r="E969" s="69" t="s">
        <v>123</v>
      </c>
      <c r="F969" s="243" t="s">
        <v>343</v>
      </c>
      <c r="G969" s="69" t="s">
        <v>2343</v>
      </c>
      <c r="H969" s="69" t="s">
        <v>7</v>
      </c>
      <c r="I969" s="140" t="s">
        <v>1940</v>
      </c>
      <c r="J969" s="446">
        <v>4.0</v>
      </c>
      <c r="K969" s="140">
        <v>716940.0</v>
      </c>
      <c r="L969" s="140">
        <v>716940.0</v>
      </c>
      <c r="M969" s="140" t="s">
        <v>755</v>
      </c>
      <c r="N969" s="74">
        <f t="shared" si="5"/>
        <v>2867760</v>
      </c>
      <c r="O969" s="60">
        <f t="shared" si="2"/>
        <v>46088</v>
      </c>
      <c r="P969" s="65" t="str">
        <f>VLOOKUP(I969,DATABASE!C:Q,11,FALSE)</f>
        <v>Tire</v>
      </c>
      <c r="Q969" s="65" t="str">
        <f>VLOOKUP(I969,DATABASE!C:Q,4,FALSE)</f>
        <v>GT</v>
      </c>
      <c r="R969" s="101"/>
      <c r="U969" s="101"/>
    </row>
    <row r="970" ht="22.5" customHeight="1">
      <c r="A970" s="49"/>
      <c r="C970" s="192">
        <v>46059.0</v>
      </c>
      <c r="D970" s="192">
        <v>46058.0</v>
      </c>
      <c r="E970" s="69" t="s">
        <v>123</v>
      </c>
      <c r="F970" s="243" t="s">
        <v>343</v>
      </c>
      <c r="G970" s="69" t="s">
        <v>2343</v>
      </c>
      <c r="H970" s="69" t="s">
        <v>7</v>
      </c>
      <c r="I970" s="140" t="s">
        <v>1704</v>
      </c>
      <c r="J970" s="446">
        <v>4.0</v>
      </c>
      <c r="K970" s="140">
        <v>711900.0</v>
      </c>
      <c r="L970" s="140">
        <v>711900.0</v>
      </c>
      <c r="M970" s="140" t="s">
        <v>755</v>
      </c>
      <c r="N970" s="74">
        <f t="shared" si="5"/>
        <v>2847600</v>
      </c>
      <c r="O970" s="60">
        <f t="shared" si="2"/>
        <v>46088</v>
      </c>
      <c r="P970" s="65" t="str">
        <f>VLOOKUP(I970,DATABASE!C:Q,11,FALSE)</f>
        <v>Tire</v>
      </c>
      <c r="Q970" s="65" t="str">
        <f>VLOOKUP(I970,DATABASE!C:Q,4,FALSE)</f>
        <v>GT</v>
      </c>
      <c r="R970" s="101"/>
      <c r="U970" s="101"/>
    </row>
    <row r="971" ht="22.5" customHeight="1">
      <c r="A971" s="49"/>
      <c r="C971" s="192">
        <v>46059.0</v>
      </c>
      <c r="D971" s="192">
        <v>46058.0</v>
      </c>
      <c r="E971" s="69" t="s">
        <v>123</v>
      </c>
      <c r="F971" s="243" t="s">
        <v>343</v>
      </c>
      <c r="G971" s="69" t="s">
        <v>2343</v>
      </c>
      <c r="H971" s="69" t="s">
        <v>7</v>
      </c>
      <c r="I971" s="140" t="s">
        <v>1960</v>
      </c>
      <c r="J971" s="446">
        <v>4.0</v>
      </c>
      <c r="K971" s="140">
        <v>808300.0</v>
      </c>
      <c r="L971" s="140">
        <v>808300.0</v>
      </c>
      <c r="M971" s="140" t="s">
        <v>755</v>
      </c>
      <c r="N971" s="74">
        <f t="shared" si="5"/>
        <v>3233200</v>
      </c>
      <c r="O971" s="60">
        <f t="shared" si="2"/>
        <v>46088</v>
      </c>
      <c r="P971" s="65" t="str">
        <f>VLOOKUP(I971,DATABASE!C:Q,11,FALSE)</f>
        <v>Tire</v>
      </c>
      <c r="Q971" s="65" t="str">
        <f>VLOOKUP(I971,DATABASE!C:Q,4,FALSE)</f>
        <v>GT</v>
      </c>
      <c r="R971" s="101"/>
      <c r="U971" s="101"/>
    </row>
    <row r="972" ht="22.5" customHeight="1">
      <c r="A972" s="49"/>
      <c r="C972" s="192">
        <v>46059.0</v>
      </c>
      <c r="D972" s="192">
        <v>46058.0</v>
      </c>
      <c r="E972" s="69" t="s">
        <v>123</v>
      </c>
      <c r="F972" s="243" t="s">
        <v>343</v>
      </c>
      <c r="G972" s="69" t="s">
        <v>2343</v>
      </c>
      <c r="H972" s="69" t="s">
        <v>7</v>
      </c>
      <c r="I972" s="140" t="s">
        <v>1957</v>
      </c>
      <c r="J972" s="446">
        <v>4.0</v>
      </c>
      <c r="K972" s="140">
        <v>726400.0</v>
      </c>
      <c r="L972" s="140">
        <v>726400.0</v>
      </c>
      <c r="M972" s="140" t="s">
        <v>755</v>
      </c>
      <c r="N972" s="74">
        <f t="shared" si="5"/>
        <v>2905600</v>
      </c>
      <c r="O972" s="60">
        <f t="shared" si="2"/>
        <v>46088</v>
      </c>
      <c r="P972" s="65" t="str">
        <f>VLOOKUP(I972,DATABASE!C:Q,11,FALSE)</f>
        <v>Tire</v>
      </c>
      <c r="Q972" s="65" t="str">
        <f>VLOOKUP(I972,DATABASE!C:Q,4,FALSE)</f>
        <v>GT</v>
      </c>
      <c r="R972" s="101"/>
      <c r="U972" s="101"/>
    </row>
    <row r="973" ht="22.5" customHeight="1">
      <c r="A973" s="49"/>
      <c r="C973" s="192">
        <v>46059.0</v>
      </c>
      <c r="D973" s="192">
        <v>46059.0</v>
      </c>
      <c r="E973" s="69" t="s">
        <v>123</v>
      </c>
      <c r="F973" s="243" t="s">
        <v>343</v>
      </c>
      <c r="G973" s="69" t="s">
        <v>2344</v>
      </c>
      <c r="H973" s="69" t="s">
        <v>7</v>
      </c>
      <c r="I973" s="140" t="s">
        <v>795</v>
      </c>
      <c r="J973" s="446">
        <v>1.0</v>
      </c>
      <c r="K973" s="140">
        <v>109200.0</v>
      </c>
      <c r="L973" s="140">
        <v>109200.0</v>
      </c>
      <c r="M973" s="140" t="s">
        <v>755</v>
      </c>
      <c r="N973" s="74">
        <f t="shared" si="5"/>
        <v>109200</v>
      </c>
      <c r="O973" s="60">
        <f t="shared" si="2"/>
        <v>46089</v>
      </c>
      <c r="P973" s="65" t="str">
        <f>VLOOKUP(I973,DATABASE!C:Q,11,FALSE)</f>
        <v>Tire</v>
      </c>
      <c r="Q973" s="65" t="str">
        <f>VLOOKUP(I973,DATABASE!C:Q,4,FALSE)</f>
        <v>BD</v>
      </c>
      <c r="R973" s="101"/>
      <c r="U973" s="101"/>
    </row>
    <row r="974" ht="22.5" customHeight="1">
      <c r="A974" s="49"/>
      <c r="C974" s="192">
        <v>46065.0</v>
      </c>
      <c r="D974" s="192">
        <v>46065.0</v>
      </c>
      <c r="E974" s="69" t="s">
        <v>335</v>
      </c>
      <c r="F974" s="243" t="s">
        <v>343</v>
      </c>
      <c r="G974" s="69" t="s">
        <v>2200</v>
      </c>
      <c r="H974" s="69" t="s">
        <v>7</v>
      </c>
      <c r="I974" s="140" t="s">
        <v>295</v>
      </c>
      <c r="J974" s="446">
        <v>10.0</v>
      </c>
      <c r="K974" s="140">
        <v>1425000.0</v>
      </c>
      <c r="L974" s="140">
        <v>1425000.0</v>
      </c>
      <c r="M974" s="140" t="s">
        <v>521</v>
      </c>
      <c r="N974" s="74">
        <f t="shared" si="5"/>
        <v>14250000</v>
      </c>
      <c r="O974" s="60">
        <f t="shared" si="2"/>
        <v>46125</v>
      </c>
      <c r="P974" s="65" t="str">
        <f>VLOOKUP(I974,DATABASE!C:Q,11,FALSE)</f>
        <v>Tire</v>
      </c>
      <c r="Q974" s="65" t="str">
        <f>VLOOKUP(I974,DATABASE!C:Q,4,FALSE)</f>
        <v>TIRON</v>
      </c>
      <c r="R974" s="101"/>
      <c r="U974" s="101"/>
    </row>
    <row r="975" ht="22.5" customHeight="1">
      <c r="A975" s="49"/>
      <c r="C975" s="192">
        <v>46069.0</v>
      </c>
      <c r="D975" s="192">
        <v>46069.0</v>
      </c>
      <c r="E975" s="69" t="s">
        <v>335</v>
      </c>
      <c r="F975" s="243" t="s">
        <v>343</v>
      </c>
      <c r="G975" s="69" t="s">
        <v>2171</v>
      </c>
      <c r="H975" s="69" t="s">
        <v>7</v>
      </c>
      <c r="I975" s="140" t="s">
        <v>245</v>
      </c>
      <c r="J975" s="446">
        <v>4.0</v>
      </c>
      <c r="K975" s="140">
        <v>4100000.0</v>
      </c>
      <c r="L975" s="140">
        <v>4100000.0</v>
      </c>
      <c r="M975" s="140" t="s">
        <v>521</v>
      </c>
      <c r="N975" s="74">
        <f t="shared" si="5"/>
        <v>16400000</v>
      </c>
      <c r="O975" s="60">
        <f t="shared" si="2"/>
        <v>46129</v>
      </c>
      <c r="P975" s="65" t="str">
        <f>VLOOKUP(I975,DATABASE!C:Q,11,FALSE)</f>
        <v>Tire</v>
      </c>
      <c r="Q975" s="65" t="str">
        <f>VLOOKUP(I975,DATABASE!C:Q,4,FALSE)</f>
        <v>Advance</v>
      </c>
      <c r="R975" s="101"/>
      <c r="U975" s="101"/>
    </row>
    <row r="976" ht="22.5" customHeight="1">
      <c r="A976" s="49"/>
      <c r="C976" s="192">
        <v>46069.0</v>
      </c>
      <c r="D976" s="192">
        <v>46069.0</v>
      </c>
      <c r="E976" s="69" t="s">
        <v>81</v>
      </c>
      <c r="F976" s="243" t="s">
        <v>343</v>
      </c>
      <c r="G976" s="69" t="s">
        <v>1732</v>
      </c>
      <c r="H976" s="69" t="s">
        <v>87</v>
      </c>
      <c r="I976" s="140" t="s">
        <v>265</v>
      </c>
      <c r="J976" s="446">
        <v>20.0</v>
      </c>
      <c r="K976" s="140">
        <v>600000.0</v>
      </c>
      <c r="L976" s="140">
        <v>600000.0</v>
      </c>
      <c r="M976" s="140" t="s">
        <v>657</v>
      </c>
      <c r="N976" s="74">
        <f t="shared" si="5"/>
        <v>12000000</v>
      </c>
      <c r="O976" s="60">
        <f t="shared" si="2"/>
        <v>46144</v>
      </c>
      <c r="P976" s="65" t="str">
        <f>VLOOKUP(I976,DATABASE!C:Q,11,FALSE)</f>
        <v>Tire</v>
      </c>
      <c r="Q976" s="65" t="str">
        <f>VLOOKUP(I976,DATABASE!C:Q,4,FALSE)</f>
        <v>Dunlop</v>
      </c>
      <c r="R976" s="101"/>
      <c r="U976" s="101"/>
    </row>
    <row r="977" ht="22.5" customHeight="1">
      <c r="A977" s="49"/>
      <c r="C977" s="192">
        <v>46069.0</v>
      </c>
      <c r="D977" s="192">
        <v>46069.0</v>
      </c>
      <c r="E977" s="69" t="s">
        <v>81</v>
      </c>
      <c r="F977" s="243" t="s">
        <v>343</v>
      </c>
      <c r="G977" s="69" t="s">
        <v>1732</v>
      </c>
      <c r="H977" s="69" t="s">
        <v>87</v>
      </c>
      <c r="I977" s="140" t="s">
        <v>268</v>
      </c>
      <c r="J977" s="446">
        <v>50.0</v>
      </c>
      <c r="K977" s="140">
        <v>622000.0</v>
      </c>
      <c r="L977" s="140">
        <v>622000.0</v>
      </c>
      <c r="M977" s="140" t="s">
        <v>657</v>
      </c>
      <c r="N977" s="74">
        <f t="shared" si="5"/>
        <v>31100000</v>
      </c>
      <c r="O977" s="60">
        <f t="shared" si="2"/>
        <v>46144</v>
      </c>
      <c r="P977" s="65" t="str">
        <f>VLOOKUP(I977,DATABASE!C:Q,11,FALSE)</f>
        <v>Tire</v>
      </c>
      <c r="Q977" s="65" t="str">
        <f>VLOOKUP(I977,DATABASE!C:Q,4,FALSE)</f>
        <v>Dunlop</v>
      </c>
      <c r="R977" s="101"/>
      <c r="U977" s="101"/>
    </row>
    <row r="978" ht="22.5" customHeight="1">
      <c r="A978" s="49"/>
      <c r="C978" s="192">
        <v>46069.0</v>
      </c>
      <c r="D978" s="192">
        <v>46069.0</v>
      </c>
      <c r="E978" s="69" t="s">
        <v>81</v>
      </c>
      <c r="F978" s="243" t="s">
        <v>343</v>
      </c>
      <c r="G978" s="69" t="s">
        <v>1732</v>
      </c>
      <c r="H978" s="69" t="s">
        <v>87</v>
      </c>
      <c r="I978" s="140" t="s">
        <v>275</v>
      </c>
      <c r="J978" s="446">
        <v>20.0</v>
      </c>
      <c r="K978" s="140">
        <v>745000.0</v>
      </c>
      <c r="L978" s="140">
        <v>745000.0</v>
      </c>
      <c r="M978" s="140" t="s">
        <v>657</v>
      </c>
      <c r="N978" s="74">
        <f t="shared" si="5"/>
        <v>14900000</v>
      </c>
      <c r="O978" s="60">
        <f t="shared" si="2"/>
        <v>46144</v>
      </c>
      <c r="P978" s="65" t="str">
        <f>VLOOKUP(I978,DATABASE!C:Q,11,FALSE)</f>
        <v>Tire</v>
      </c>
      <c r="Q978" s="65" t="str">
        <f>VLOOKUP(I978,DATABASE!C:Q,4,FALSE)</f>
        <v>Dunlop</v>
      </c>
      <c r="R978" s="101"/>
      <c r="U978" s="101"/>
    </row>
    <row r="979" ht="22.5" customHeight="1">
      <c r="A979" s="49"/>
      <c r="C979" s="192">
        <v>46069.0</v>
      </c>
      <c r="D979" s="192">
        <v>46069.0</v>
      </c>
      <c r="E979" s="69" t="s">
        <v>81</v>
      </c>
      <c r="F979" s="243" t="s">
        <v>343</v>
      </c>
      <c r="G979" s="69" t="s">
        <v>1732</v>
      </c>
      <c r="H979" s="69" t="s">
        <v>87</v>
      </c>
      <c r="I979" s="140" t="s">
        <v>932</v>
      </c>
      <c r="J979" s="446">
        <v>10.0</v>
      </c>
      <c r="K979" s="140">
        <v>595000.0</v>
      </c>
      <c r="L979" s="140">
        <v>595000.0</v>
      </c>
      <c r="M979" s="140" t="s">
        <v>657</v>
      </c>
      <c r="N979" s="74">
        <f t="shared" si="5"/>
        <v>5950000</v>
      </c>
      <c r="O979" s="60">
        <f t="shared" si="2"/>
        <v>46144</v>
      </c>
      <c r="P979" s="65" t="str">
        <f>VLOOKUP(I979,DATABASE!C:Q,11,FALSE)</f>
        <v>Tire</v>
      </c>
      <c r="Q979" s="65" t="str">
        <f>VLOOKUP(I979,DATABASE!C:Q,4,FALSE)</f>
        <v>Dunlop</v>
      </c>
      <c r="R979" s="101"/>
      <c r="U979" s="101"/>
    </row>
    <row r="980" ht="22.5" customHeight="1">
      <c r="A980" s="49"/>
      <c r="C980" s="192">
        <v>46069.0</v>
      </c>
      <c r="D980" s="192">
        <v>46069.0</v>
      </c>
      <c r="E980" s="69" t="s">
        <v>81</v>
      </c>
      <c r="F980" s="243" t="s">
        <v>343</v>
      </c>
      <c r="G980" s="69" t="s">
        <v>1732</v>
      </c>
      <c r="H980" s="69" t="s">
        <v>87</v>
      </c>
      <c r="I980" s="140" t="s">
        <v>271</v>
      </c>
      <c r="J980" s="446">
        <v>5.0</v>
      </c>
      <c r="K980" s="140">
        <v>539000.0</v>
      </c>
      <c r="L980" s="140">
        <v>539000.0</v>
      </c>
      <c r="M980" s="140" t="s">
        <v>657</v>
      </c>
      <c r="N980" s="74">
        <f t="shared" si="5"/>
        <v>2695000</v>
      </c>
      <c r="O980" s="60">
        <f t="shared" si="2"/>
        <v>46144</v>
      </c>
      <c r="P980" s="65" t="str">
        <f>VLOOKUP(I980,DATABASE!C:Q,11,FALSE)</f>
        <v>Tire</v>
      </c>
      <c r="Q980" s="65" t="str">
        <f>VLOOKUP(I980,DATABASE!C:Q,4,FALSE)</f>
        <v>Dunlop</v>
      </c>
      <c r="R980" s="101"/>
      <c r="U980" s="101"/>
    </row>
    <row r="981" ht="22.5" customHeight="1">
      <c r="A981" s="49"/>
      <c r="C981" s="192">
        <v>46069.0</v>
      </c>
      <c r="D981" s="192">
        <v>46069.0</v>
      </c>
      <c r="E981" s="69" t="s">
        <v>81</v>
      </c>
      <c r="F981" s="243" t="s">
        <v>343</v>
      </c>
      <c r="G981" s="69" t="s">
        <v>1732</v>
      </c>
      <c r="H981" s="69" t="s">
        <v>87</v>
      </c>
      <c r="I981" s="140" t="s">
        <v>940</v>
      </c>
      <c r="J981" s="446">
        <v>8.0</v>
      </c>
      <c r="K981" s="140">
        <v>709000.0</v>
      </c>
      <c r="L981" s="140">
        <v>716500.0</v>
      </c>
      <c r="M981" s="140" t="s">
        <v>657</v>
      </c>
      <c r="N981" s="74">
        <f t="shared" si="5"/>
        <v>5732000</v>
      </c>
      <c r="O981" s="60">
        <f t="shared" si="2"/>
        <v>46144</v>
      </c>
      <c r="P981" s="65" t="str">
        <f>VLOOKUP(I981,DATABASE!C:Q,11,FALSE)</f>
        <v>Tire</v>
      </c>
      <c r="Q981" s="65" t="str">
        <f>VLOOKUP(I981,DATABASE!C:Q,4,FALSE)</f>
        <v>Dunlop</v>
      </c>
      <c r="R981" s="101"/>
      <c r="U981" s="101"/>
    </row>
    <row r="982" ht="22.5" customHeight="1">
      <c r="A982" s="49"/>
      <c r="C982" s="192">
        <v>46069.0</v>
      </c>
      <c r="D982" s="192">
        <v>46069.0</v>
      </c>
      <c r="E982" s="69" t="s">
        <v>412</v>
      </c>
      <c r="F982" s="243" t="s">
        <v>998</v>
      </c>
      <c r="G982" s="524">
        <v>0.0</v>
      </c>
      <c r="H982" s="69" t="s">
        <v>2314</v>
      </c>
      <c r="I982" s="140" t="s">
        <v>301</v>
      </c>
      <c r="J982" s="446">
        <v>8.0</v>
      </c>
      <c r="K982" s="140">
        <v>75000.0</v>
      </c>
      <c r="L982" s="140">
        <v>50000.0</v>
      </c>
      <c r="M982" s="140" t="s">
        <v>2190</v>
      </c>
      <c r="N982" s="74">
        <f t="shared" si="5"/>
        <v>400000</v>
      </c>
      <c r="O982" s="60">
        <f t="shared" si="2"/>
        <v>46083</v>
      </c>
      <c r="P982" s="65" t="str">
        <f>VLOOKUP(I982,DATABASE!C:Q,11,FALSE)</f>
        <v>COMPLEMENTARY</v>
      </c>
      <c r="Q982" s="65" t="str">
        <f>VLOOKUP(I982,DATABASE!C:Q,4,FALSE)</f>
        <v>Baut Camber</v>
      </c>
      <c r="R982" s="101"/>
      <c r="U982" s="101"/>
    </row>
    <row r="983" ht="22.5" customHeight="1">
      <c r="A983" s="49"/>
      <c r="C983" s="192">
        <v>46069.0</v>
      </c>
      <c r="D983" s="192">
        <v>46069.0</v>
      </c>
      <c r="E983" s="69" t="s">
        <v>110</v>
      </c>
      <c r="F983" s="243" t="s">
        <v>343</v>
      </c>
      <c r="G983" s="524">
        <v>2.6002529E7</v>
      </c>
      <c r="H983" s="69" t="s">
        <v>7</v>
      </c>
      <c r="I983" s="140" t="s">
        <v>2618</v>
      </c>
      <c r="J983" s="446">
        <v>4.0</v>
      </c>
      <c r="K983" s="140">
        <v>1481800.0</v>
      </c>
      <c r="L983" s="140">
        <v>1481800.0</v>
      </c>
      <c r="M983" s="140" t="s">
        <v>2190</v>
      </c>
      <c r="N983" s="74">
        <f t="shared" si="5"/>
        <v>5927200</v>
      </c>
      <c r="O983" s="60">
        <f t="shared" si="2"/>
        <v>46083</v>
      </c>
      <c r="P983" s="65" t="str">
        <f>VLOOKUP(I983,DATABASE!C:Q,11,FALSE)</f>
        <v>Tire</v>
      </c>
      <c r="Q983" s="65" t="str">
        <f>VLOOKUP(I983,DATABASE!C:Q,4,FALSE)</f>
        <v>GT</v>
      </c>
      <c r="R983" s="101"/>
      <c r="U983" s="101"/>
    </row>
    <row r="984" ht="22.5" customHeight="1">
      <c r="A984" s="49"/>
      <c r="C984" s="192">
        <v>46069.0</v>
      </c>
      <c r="D984" s="192">
        <v>46069.0</v>
      </c>
      <c r="E984" s="69" t="s">
        <v>97</v>
      </c>
      <c r="F984" s="243" t="s">
        <v>343</v>
      </c>
      <c r="G984" s="69" t="s">
        <v>2491</v>
      </c>
      <c r="H984" s="69" t="s">
        <v>87</v>
      </c>
      <c r="I984" s="140" t="s">
        <v>1237</v>
      </c>
      <c r="J984" s="446">
        <v>1.0</v>
      </c>
      <c r="K984" s="140">
        <v>1130842.0</v>
      </c>
      <c r="L984" s="140">
        <v>1130842.0</v>
      </c>
      <c r="M984" s="140" t="s">
        <v>2190</v>
      </c>
      <c r="N984" s="74">
        <f t="shared" si="5"/>
        <v>1130842</v>
      </c>
      <c r="O984" s="60">
        <f t="shared" si="2"/>
        <v>46083</v>
      </c>
      <c r="P984" s="65" t="str">
        <f>VLOOKUP(I984,DATABASE!C:Q,11,FALSE)</f>
        <v>Tire</v>
      </c>
      <c r="Q984" s="65" t="str">
        <f>VLOOKUP(I984,DATABASE!C:Q,4,FALSE)</f>
        <v>Bridgestone</v>
      </c>
      <c r="R984" s="101"/>
      <c r="U984" s="101"/>
    </row>
    <row r="985" ht="22.5" customHeight="1">
      <c r="A985" s="49"/>
      <c r="C985" s="192">
        <v>46070.0</v>
      </c>
      <c r="D985" s="192">
        <v>46069.0</v>
      </c>
      <c r="E985" s="69" t="s">
        <v>372</v>
      </c>
      <c r="F985" s="243" t="s">
        <v>343</v>
      </c>
      <c r="G985" s="69" t="s">
        <v>1978</v>
      </c>
      <c r="H985" s="69" t="s">
        <v>7</v>
      </c>
      <c r="I985" s="140" t="s">
        <v>1530</v>
      </c>
      <c r="J985" s="446">
        <v>5.0</v>
      </c>
      <c r="K985" s="140">
        <v>467000.0</v>
      </c>
      <c r="L985" s="140">
        <v>467000.0</v>
      </c>
      <c r="M985" s="140" t="s">
        <v>521</v>
      </c>
      <c r="N985" s="74">
        <f t="shared" si="5"/>
        <v>2335000</v>
      </c>
      <c r="O985" s="60">
        <f t="shared" si="2"/>
        <v>46129</v>
      </c>
      <c r="P985" s="65" t="str">
        <f>VLOOKUP(I985,DATABASE!C:Q,11,FALSE)</f>
        <v>Tire</v>
      </c>
      <c r="Q985" s="65" t="str">
        <f>VLOOKUP(I985,DATABASE!C:Q,4,FALSE)</f>
        <v>Laufen</v>
      </c>
      <c r="R985" s="101"/>
      <c r="U985" s="101"/>
    </row>
    <row r="986" ht="22.5" customHeight="1">
      <c r="A986" s="49"/>
      <c r="C986" s="192">
        <v>46071.0</v>
      </c>
      <c r="D986" s="192">
        <v>46067.0</v>
      </c>
      <c r="E986" s="69" t="s">
        <v>198</v>
      </c>
      <c r="F986" s="243" t="s">
        <v>343</v>
      </c>
      <c r="G986" s="69" t="s">
        <v>2047</v>
      </c>
      <c r="H986" s="69" t="s">
        <v>7</v>
      </c>
      <c r="I986" s="140" t="s">
        <v>1520</v>
      </c>
      <c r="J986" s="446">
        <v>4.0</v>
      </c>
      <c r="K986" s="140">
        <v>1698000.0</v>
      </c>
      <c r="L986" s="140">
        <v>1680744.5</v>
      </c>
      <c r="M986" s="140" t="s">
        <v>521</v>
      </c>
      <c r="N986" s="74">
        <f t="shared" si="5"/>
        <v>6722978</v>
      </c>
      <c r="O986" s="60">
        <f t="shared" si="2"/>
        <v>46127</v>
      </c>
      <c r="P986" s="65" t="str">
        <f>VLOOKUP(I986,DATABASE!C:Q,11,FALSE)</f>
        <v>Tire</v>
      </c>
      <c r="Q986" s="65" t="str">
        <f>VLOOKUP(I986,DATABASE!C:Q,4,FALSE)</f>
        <v>DURATUN</v>
      </c>
      <c r="R986" s="101"/>
      <c r="U986" s="101"/>
    </row>
    <row r="987" ht="22.5" customHeight="1">
      <c r="A987" s="49"/>
      <c r="C987" s="192">
        <v>46071.0</v>
      </c>
      <c r="D987" s="192">
        <v>46067.0</v>
      </c>
      <c r="E987" s="69" t="s">
        <v>198</v>
      </c>
      <c r="F987" s="243" t="s">
        <v>343</v>
      </c>
      <c r="G987" s="69" t="s">
        <v>2045</v>
      </c>
      <c r="H987" s="69" t="s">
        <v>7</v>
      </c>
      <c r="I987" s="140" t="s">
        <v>2619</v>
      </c>
      <c r="J987" s="446">
        <v>4.0</v>
      </c>
      <c r="K987" s="140">
        <v>153665.7804</v>
      </c>
      <c r="L987" s="140">
        <v>40438.4211</v>
      </c>
      <c r="M987" s="140" t="s">
        <v>521</v>
      </c>
      <c r="N987" s="74">
        <f t="shared" si="5"/>
        <v>161753.6844</v>
      </c>
      <c r="O987" s="60">
        <f t="shared" si="2"/>
        <v>46127</v>
      </c>
      <c r="P987" s="65" t="str">
        <f>VLOOKUP(I987,DATABASE!C:Q,11,FALSE)</f>
        <v>Tire</v>
      </c>
      <c r="Q987" s="65" t="str">
        <f>VLOOKUP(I987,DATABASE!C:Q,4,FALSE)</f>
        <v>IBK</v>
      </c>
      <c r="R987" s="101"/>
      <c r="U987" s="101"/>
    </row>
    <row r="988" ht="22.5" customHeight="1">
      <c r="A988" s="49"/>
      <c r="C988" s="192">
        <v>46071.0</v>
      </c>
      <c r="D988" s="192">
        <v>46067.0</v>
      </c>
      <c r="E988" s="69" t="s">
        <v>198</v>
      </c>
      <c r="F988" s="243" t="s">
        <v>343</v>
      </c>
      <c r="G988" s="69" t="s">
        <v>2045</v>
      </c>
      <c r="H988" s="69" t="s">
        <v>7</v>
      </c>
      <c r="I988" s="140" t="s">
        <v>2620</v>
      </c>
      <c r="J988" s="446">
        <v>4.0</v>
      </c>
      <c r="K988" s="140">
        <v>40438.4211</v>
      </c>
      <c r="L988" s="140">
        <v>153665.7804</v>
      </c>
      <c r="M988" s="140" t="s">
        <v>521</v>
      </c>
      <c r="N988" s="74">
        <f t="shared" si="5"/>
        <v>614663.1216</v>
      </c>
      <c r="O988" s="60">
        <f t="shared" si="2"/>
        <v>46127</v>
      </c>
      <c r="P988" s="65" t="str">
        <f>VLOOKUP(I988,DATABASE!C:Q,11,FALSE)</f>
        <v>Tire</v>
      </c>
      <c r="Q988" s="65" t="str">
        <f>VLOOKUP(I988,DATABASE!C:Q,4,FALSE)</f>
        <v>IBK</v>
      </c>
      <c r="R988" s="101"/>
      <c r="U988" s="101"/>
    </row>
    <row r="989" ht="22.5" customHeight="1">
      <c r="A989" s="49"/>
      <c r="C989" s="192">
        <v>46072.0</v>
      </c>
      <c r="D989" s="192">
        <v>46069.0</v>
      </c>
      <c r="E989" s="69" t="s">
        <v>97</v>
      </c>
      <c r="F989" s="243" t="s">
        <v>343</v>
      </c>
      <c r="G989" s="69" t="s">
        <v>2492</v>
      </c>
      <c r="H989" s="69" t="s">
        <v>87</v>
      </c>
      <c r="I989" s="140" t="s">
        <v>1237</v>
      </c>
      <c r="J989" s="446">
        <v>6.0</v>
      </c>
      <c r="K989" s="140">
        <v>1130842.0</v>
      </c>
      <c r="L989" s="140">
        <v>1130841.6</v>
      </c>
      <c r="M989" s="140" t="s">
        <v>521</v>
      </c>
      <c r="N989" s="74">
        <f t="shared" si="5"/>
        <v>6785049.6</v>
      </c>
      <c r="O989" s="60">
        <f t="shared" si="2"/>
        <v>46129</v>
      </c>
      <c r="P989" s="65" t="str">
        <f>VLOOKUP(I989,DATABASE!C:Q,11,FALSE)</f>
        <v>Tire</v>
      </c>
      <c r="Q989" s="65" t="str">
        <f>VLOOKUP(I989,DATABASE!C:Q,4,FALSE)</f>
        <v>Bridgestone</v>
      </c>
      <c r="R989" s="101"/>
      <c r="U989" s="101"/>
    </row>
    <row r="990" ht="22.5" customHeight="1">
      <c r="A990" s="49"/>
      <c r="C990" s="192">
        <v>46072.0</v>
      </c>
      <c r="D990" s="192">
        <v>46069.0</v>
      </c>
      <c r="E990" s="69" t="s">
        <v>97</v>
      </c>
      <c r="F990" s="243" t="s">
        <v>343</v>
      </c>
      <c r="G990" s="69" t="s">
        <v>2492</v>
      </c>
      <c r="H990" s="69" t="s">
        <v>87</v>
      </c>
      <c r="I990" s="140" t="s">
        <v>591</v>
      </c>
      <c r="J990" s="446">
        <v>10.0</v>
      </c>
      <c r="K990" s="140">
        <v>609844.4</v>
      </c>
      <c r="L990" s="140">
        <v>609844.4</v>
      </c>
      <c r="M990" s="140" t="s">
        <v>521</v>
      </c>
      <c r="N990" s="74">
        <f t="shared" si="5"/>
        <v>6098444</v>
      </c>
      <c r="O990" s="60">
        <f t="shared" si="2"/>
        <v>46129</v>
      </c>
      <c r="P990" s="65" t="str">
        <f>VLOOKUP(I990,DATABASE!C:Q,11,FALSE)</f>
        <v>Tire</v>
      </c>
      <c r="Q990" s="65" t="str">
        <f>VLOOKUP(I990,DATABASE!C:Q,4,FALSE)</f>
        <v>Bridgestone</v>
      </c>
      <c r="R990" s="101"/>
      <c r="U990" s="101"/>
    </row>
    <row r="991" ht="22.5" customHeight="1">
      <c r="A991" s="49"/>
      <c r="C991" s="192">
        <v>46072.0</v>
      </c>
      <c r="D991" s="192">
        <v>46069.0</v>
      </c>
      <c r="E991" s="69" t="s">
        <v>97</v>
      </c>
      <c r="F991" s="243" t="s">
        <v>343</v>
      </c>
      <c r="G991" s="69" t="s">
        <v>2492</v>
      </c>
      <c r="H991" s="69" t="s">
        <v>87</v>
      </c>
      <c r="I991" s="140" t="s">
        <v>600</v>
      </c>
      <c r="J991" s="446">
        <v>10.0</v>
      </c>
      <c r="K991" s="140">
        <v>588505.8</v>
      </c>
      <c r="L991" s="140">
        <v>588505.8</v>
      </c>
      <c r="M991" s="140" t="s">
        <v>521</v>
      </c>
      <c r="N991" s="74">
        <f t="shared" si="5"/>
        <v>5885058</v>
      </c>
      <c r="O991" s="60">
        <f t="shared" si="2"/>
        <v>46129</v>
      </c>
      <c r="P991" s="65" t="str">
        <f>VLOOKUP(I991,DATABASE!C:Q,11,FALSE)</f>
        <v>Tire</v>
      </c>
      <c r="Q991" s="65" t="str">
        <f>VLOOKUP(I991,DATABASE!C:Q,4,FALSE)</f>
        <v>Bridgestone</v>
      </c>
      <c r="R991" s="101"/>
      <c r="U991" s="101"/>
    </row>
    <row r="992" ht="22.5" customHeight="1">
      <c r="A992" s="49"/>
      <c r="C992" s="192">
        <v>46072.0</v>
      </c>
      <c r="D992" s="192">
        <v>46069.0</v>
      </c>
      <c r="E992" s="69" t="s">
        <v>97</v>
      </c>
      <c r="F992" s="243" t="s">
        <v>343</v>
      </c>
      <c r="G992" s="69" t="s">
        <v>2492</v>
      </c>
      <c r="H992" s="69" t="s">
        <v>87</v>
      </c>
      <c r="I992" s="140" t="s">
        <v>937</v>
      </c>
      <c r="J992" s="446">
        <v>10.0</v>
      </c>
      <c r="K992" s="140">
        <v>815000.0</v>
      </c>
      <c r="L992" s="140">
        <v>815000.0</v>
      </c>
      <c r="M992" s="140" t="s">
        <v>521</v>
      </c>
      <c r="N992" s="74">
        <f t="shared" si="5"/>
        <v>8150000</v>
      </c>
      <c r="O992" s="60">
        <f t="shared" si="2"/>
        <v>46129</v>
      </c>
      <c r="P992" s="65" t="str">
        <f>VLOOKUP(I992,DATABASE!C:Q,11,FALSE)</f>
        <v>Tire</v>
      </c>
      <c r="Q992" s="65" t="str">
        <f>VLOOKUP(I992,DATABASE!C:Q,4,FALSE)</f>
        <v>Bridgestone</v>
      </c>
      <c r="R992" s="101"/>
      <c r="U992" s="101"/>
    </row>
    <row r="993" ht="22.5" customHeight="1">
      <c r="A993" s="49"/>
      <c r="C993" s="192">
        <v>46072.0</v>
      </c>
      <c r="D993" s="192">
        <v>46069.0</v>
      </c>
      <c r="E993" s="69" t="s">
        <v>97</v>
      </c>
      <c r="F993" s="243" t="s">
        <v>343</v>
      </c>
      <c r="G993" s="69" t="s">
        <v>2492</v>
      </c>
      <c r="H993" s="69" t="s">
        <v>87</v>
      </c>
      <c r="I993" s="140" t="s">
        <v>947</v>
      </c>
      <c r="J993" s="446">
        <v>3.0</v>
      </c>
      <c r="K993" s="140">
        <v>680512.0</v>
      </c>
      <c r="L993" s="140">
        <v>680512.0</v>
      </c>
      <c r="M993" s="140" t="s">
        <v>521</v>
      </c>
      <c r="N993" s="74">
        <f t="shared" si="5"/>
        <v>2041536</v>
      </c>
      <c r="O993" s="60">
        <f t="shared" si="2"/>
        <v>46129</v>
      </c>
      <c r="P993" s="65" t="str">
        <f>VLOOKUP(I993,DATABASE!C:Q,11,FALSE)</f>
        <v>Tire</v>
      </c>
      <c r="Q993" s="65" t="str">
        <f>VLOOKUP(I993,DATABASE!C:Q,4,FALSE)</f>
        <v>Bridgestone</v>
      </c>
      <c r="R993" s="101"/>
      <c r="T993" s="14"/>
      <c r="U993" s="101"/>
    </row>
    <row r="994" ht="22.5" customHeight="1">
      <c r="A994" s="49"/>
      <c r="C994" s="192">
        <v>46072.0</v>
      </c>
      <c r="D994" s="192">
        <v>46069.0</v>
      </c>
      <c r="E994" s="69" t="s">
        <v>97</v>
      </c>
      <c r="F994" s="243" t="s">
        <v>343</v>
      </c>
      <c r="G994" s="69" t="s">
        <v>2492</v>
      </c>
      <c r="H994" s="69" t="s">
        <v>87</v>
      </c>
      <c r="I994" s="140" t="s">
        <v>614</v>
      </c>
      <c r="J994" s="446">
        <v>7.0</v>
      </c>
      <c r="K994" s="140">
        <v>727756.0</v>
      </c>
      <c r="L994" s="140">
        <v>727756.0</v>
      </c>
      <c r="M994" s="140" t="s">
        <v>521</v>
      </c>
      <c r="N994" s="74">
        <f t="shared" si="5"/>
        <v>5094292</v>
      </c>
      <c r="O994" s="60">
        <f t="shared" si="2"/>
        <v>46129</v>
      </c>
      <c r="P994" s="65" t="str">
        <f>VLOOKUP(I994,DATABASE!C:Q,11,FALSE)</f>
        <v>Tire</v>
      </c>
      <c r="Q994" s="65" t="str">
        <f>VLOOKUP(I994,DATABASE!C:Q,4,FALSE)</f>
        <v>Bridgestone</v>
      </c>
      <c r="R994" s="101"/>
      <c r="U994" s="101"/>
    </row>
    <row r="995" ht="22.5" customHeight="1">
      <c r="A995" s="49"/>
      <c r="C995" s="192">
        <v>46072.0</v>
      </c>
      <c r="D995" s="192">
        <v>46069.0</v>
      </c>
      <c r="E995" s="69" t="s">
        <v>97</v>
      </c>
      <c r="F995" s="243" t="s">
        <v>343</v>
      </c>
      <c r="G995" s="69" t="s">
        <v>2492</v>
      </c>
      <c r="H995" s="69" t="s">
        <v>87</v>
      </c>
      <c r="I995" s="140" t="s">
        <v>1196</v>
      </c>
      <c r="J995" s="446">
        <v>4.0</v>
      </c>
      <c r="K995" s="140">
        <v>909585.0</v>
      </c>
      <c r="L995" s="140">
        <v>909585.0</v>
      </c>
      <c r="M995" s="140" t="s">
        <v>521</v>
      </c>
      <c r="N995" s="74">
        <f t="shared" si="5"/>
        <v>3638340</v>
      </c>
      <c r="O995" s="60">
        <f t="shared" si="2"/>
        <v>46129</v>
      </c>
      <c r="P995" s="65" t="str">
        <f>VLOOKUP(I995,DATABASE!C:Q,11,FALSE)</f>
        <v>Tire</v>
      </c>
      <c r="Q995" s="65" t="str">
        <f>VLOOKUP(I995,DATABASE!C:Q,4,FALSE)</f>
        <v>Bridgestone</v>
      </c>
      <c r="R995" s="101"/>
      <c r="U995" s="101"/>
    </row>
    <row r="996" ht="22.5" customHeight="1">
      <c r="A996" s="49"/>
      <c r="C996" s="192">
        <v>46072.0</v>
      </c>
      <c r="D996" s="192">
        <v>46069.0</v>
      </c>
      <c r="E996" s="69" t="s">
        <v>97</v>
      </c>
      <c r="F996" s="243" t="s">
        <v>343</v>
      </c>
      <c r="G996" s="69" t="s">
        <v>2493</v>
      </c>
      <c r="H996" s="69" t="s">
        <v>87</v>
      </c>
      <c r="I996" s="140" t="s">
        <v>605</v>
      </c>
      <c r="J996" s="446">
        <v>8.0</v>
      </c>
      <c r="K996" s="140">
        <v>675000.0</v>
      </c>
      <c r="L996" s="140">
        <v>675000.0</v>
      </c>
      <c r="M996" s="140" t="s">
        <v>521</v>
      </c>
      <c r="N996" s="74">
        <f t="shared" si="5"/>
        <v>5400000</v>
      </c>
      <c r="O996" s="60">
        <f t="shared" si="2"/>
        <v>46129</v>
      </c>
      <c r="P996" s="65" t="str">
        <f>VLOOKUP(I996,DATABASE!C:Q,11,FALSE)</f>
        <v>Tire</v>
      </c>
      <c r="Q996" s="65" t="str">
        <f>VLOOKUP(I996,DATABASE!C:Q,4,FALSE)</f>
        <v>Bridgestone</v>
      </c>
      <c r="R996" s="101"/>
      <c r="U996" s="101"/>
    </row>
    <row r="997" ht="22.5" customHeight="1">
      <c r="A997" s="49"/>
      <c r="C997" s="192">
        <v>46072.0</v>
      </c>
      <c r="D997" s="192">
        <v>46069.0</v>
      </c>
      <c r="E997" s="69" t="s">
        <v>97</v>
      </c>
      <c r="F997" s="243" t="s">
        <v>343</v>
      </c>
      <c r="G997" s="69" t="s">
        <v>2493</v>
      </c>
      <c r="H997" s="69" t="s">
        <v>87</v>
      </c>
      <c r="I997" s="140" t="s">
        <v>554</v>
      </c>
      <c r="J997" s="446">
        <v>10.0</v>
      </c>
      <c r="K997" s="140">
        <v>705000.0</v>
      </c>
      <c r="L997" s="140">
        <v>705000.0</v>
      </c>
      <c r="M997" s="140" t="s">
        <v>521</v>
      </c>
      <c r="N997" s="74">
        <f t="shared" si="5"/>
        <v>7050000</v>
      </c>
      <c r="O997" s="60">
        <f t="shared" si="2"/>
        <v>46129</v>
      </c>
      <c r="P997" s="65" t="str">
        <f>VLOOKUP(I997,DATABASE!C:Q,11,FALSE)</f>
        <v>Tire</v>
      </c>
      <c r="Q997" s="65" t="str">
        <f>VLOOKUP(I997,DATABASE!C:Q,4,FALSE)</f>
        <v>Bridgestone</v>
      </c>
      <c r="R997" s="101"/>
      <c r="U997" s="101"/>
    </row>
    <row r="998" ht="22.5" customHeight="1">
      <c r="A998" s="49"/>
      <c r="C998" s="192">
        <v>46072.0</v>
      </c>
      <c r="D998" s="192">
        <v>46069.0</v>
      </c>
      <c r="E998" s="69" t="s">
        <v>97</v>
      </c>
      <c r="F998" s="243" t="s">
        <v>343</v>
      </c>
      <c r="G998" s="69" t="s">
        <v>2493</v>
      </c>
      <c r="H998" s="69" t="s">
        <v>87</v>
      </c>
      <c r="I998" s="140" t="s">
        <v>1192</v>
      </c>
      <c r="J998" s="446">
        <v>3.0</v>
      </c>
      <c r="K998" s="140">
        <v>1127705.6</v>
      </c>
      <c r="L998" s="140">
        <v>1127705.6</v>
      </c>
      <c r="M998" s="140" t="s">
        <v>521</v>
      </c>
      <c r="N998" s="74">
        <f t="shared" si="5"/>
        <v>3383116.8</v>
      </c>
      <c r="O998" s="60">
        <f t="shared" si="2"/>
        <v>46129</v>
      </c>
      <c r="P998" s="65" t="str">
        <f>VLOOKUP(I998,DATABASE!C:Q,11,FALSE)</f>
        <v>Tire</v>
      </c>
      <c r="Q998" s="65" t="str">
        <f>VLOOKUP(I998,DATABASE!C:Q,4,FALSE)</f>
        <v>Bridgestone</v>
      </c>
      <c r="R998" s="101"/>
      <c r="U998" s="101"/>
    </row>
    <row r="999" ht="22.5" customHeight="1">
      <c r="A999" s="49"/>
      <c r="C999" s="192">
        <v>46072.0</v>
      </c>
      <c r="D999" s="192">
        <v>46069.0</v>
      </c>
      <c r="E999" s="69" t="s">
        <v>97</v>
      </c>
      <c r="F999" s="243" t="s">
        <v>343</v>
      </c>
      <c r="G999" s="69" t="s">
        <v>2495</v>
      </c>
      <c r="H999" s="69" t="s">
        <v>87</v>
      </c>
      <c r="I999" s="140" t="s">
        <v>566</v>
      </c>
      <c r="J999" s="446">
        <v>10.0</v>
      </c>
      <c r="K999" s="140">
        <v>1545000.0</v>
      </c>
      <c r="L999" s="140">
        <v>1545000.0</v>
      </c>
      <c r="M999" s="140" t="s">
        <v>755</v>
      </c>
      <c r="N999" s="74">
        <f t="shared" si="5"/>
        <v>15450000</v>
      </c>
      <c r="O999" s="60">
        <f t="shared" si="2"/>
        <v>46099</v>
      </c>
      <c r="P999" s="65" t="str">
        <f>VLOOKUP(I999,DATABASE!C:Q,11,FALSE)</f>
        <v>Tire</v>
      </c>
      <c r="Q999" s="65" t="str">
        <f>VLOOKUP(I999,DATABASE!C:Q,4,FALSE)</f>
        <v>Bridgestone</v>
      </c>
      <c r="R999" s="101"/>
      <c r="U999" s="101"/>
    </row>
    <row r="1000" ht="22.5" customHeight="1">
      <c r="A1000" s="49"/>
      <c r="C1000" s="192">
        <v>46072.0</v>
      </c>
      <c r="D1000" s="192">
        <v>46069.0</v>
      </c>
      <c r="E1000" s="69" t="s">
        <v>97</v>
      </c>
      <c r="F1000" s="243" t="s">
        <v>343</v>
      </c>
      <c r="G1000" s="69" t="s">
        <v>2495</v>
      </c>
      <c r="H1000" s="69" t="s">
        <v>87</v>
      </c>
      <c r="I1000" s="140" t="s">
        <v>572</v>
      </c>
      <c r="J1000" s="446">
        <v>7.0</v>
      </c>
      <c r="K1000" s="140">
        <v>1245000.0</v>
      </c>
      <c r="L1000" s="140">
        <v>1245000.0</v>
      </c>
      <c r="M1000" s="140" t="s">
        <v>755</v>
      </c>
      <c r="N1000" s="74">
        <f t="shared" si="5"/>
        <v>8715000</v>
      </c>
      <c r="O1000" s="60">
        <f t="shared" si="2"/>
        <v>46099</v>
      </c>
      <c r="P1000" s="65" t="str">
        <f>VLOOKUP(I1000,DATABASE!C:Q,11,FALSE)</f>
        <v>Tire</v>
      </c>
      <c r="Q1000" s="65" t="str">
        <f>VLOOKUP(I1000,DATABASE!C:Q,4,FALSE)</f>
        <v>Bridgestone</v>
      </c>
      <c r="R1000" s="101"/>
      <c r="U1000" s="101"/>
    </row>
    <row r="1001" ht="22.5" customHeight="1">
      <c r="A1001" s="49"/>
      <c r="C1001" s="192">
        <v>46072.0</v>
      </c>
      <c r="D1001" s="192">
        <v>46065.0</v>
      </c>
      <c r="E1001" s="69" t="s">
        <v>386</v>
      </c>
      <c r="F1001" s="243" t="s">
        <v>343</v>
      </c>
      <c r="G1001" s="69" t="s">
        <v>2131</v>
      </c>
      <c r="H1001" s="69" t="s">
        <v>2314</v>
      </c>
      <c r="I1001" s="140" t="s">
        <v>263</v>
      </c>
      <c r="J1001" s="446">
        <v>8.0</v>
      </c>
      <c r="K1001" s="140">
        <v>287688.0</v>
      </c>
      <c r="L1001" s="140">
        <v>273900.0</v>
      </c>
      <c r="M1001" s="140" t="s">
        <v>755</v>
      </c>
      <c r="N1001" s="74">
        <f t="shared" si="5"/>
        <v>2191200</v>
      </c>
      <c r="O1001" s="60">
        <f t="shared" si="2"/>
        <v>46095</v>
      </c>
      <c r="P1001" s="65" t="str">
        <f>VLOOKUP(I1001,DATABASE!C:Q,11,FALSE)</f>
        <v>OIL</v>
      </c>
      <c r="Q1001" s="65" t="str">
        <f>VLOOKUP(I1001,DATABASE!C:Q,4,FALSE)</f>
        <v>Shell</v>
      </c>
      <c r="R1001" s="101"/>
      <c r="U1001" s="101"/>
    </row>
    <row r="1002" ht="22.5" customHeight="1">
      <c r="A1002" s="49"/>
      <c r="C1002" s="192">
        <v>46072.0</v>
      </c>
      <c r="D1002" s="192">
        <v>46065.0</v>
      </c>
      <c r="E1002" s="69" t="s">
        <v>386</v>
      </c>
      <c r="F1002" s="243" t="s">
        <v>343</v>
      </c>
      <c r="G1002" s="69" t="s">
        <v>2131</v>
      </c>
      <c r="H1002" s="69" t="s">
        <v>2314</v>
      </c>
      <c r="I1002" s="140" t="s">
        <v>2174</v>
      </c>
      <c r="J1002" s="446">
        <v>4.0</v>
      </c>
      <c r="K1002" s="140">
        <v>179445.0</v>
      </c>
      <c r="L1002" s="140">
        <v>169400.0</v>
      </c>
      <c r="M1002" s="140" t="s">
        <v>755</v>
      </c>
      <c r="N1002" s="74">
        <f t="shared" si="5"/>
        <v>677600</v>
      </c>
      <c r="O1002" s="60">
        <f t="shared" si="2"/>
        <v>46095</v>
      </c>
      <c r="P1002" s="65" t="str">
        <f>VLOOKUP(I1002,DATABASE!C:Q,11,FALSE)</f>
        <v>OIL</v>
      </c>
      <c r="Q1002" s="65" t="str">
        <f>VLOOKUP(I1002,DATABASE!C:Q,4,FALSE)</f>
        <v>Shell</v>
      </c>
      <c r="R1002" s="101"/>
      <c r="U1002" s="101"/>
    </row>
    <row r="1003" ht="22.5" customHeight="1">
      <c r="A1003" s="49"/>
      <c r="C1003" s="192">
        <v>46080.0</v>
      </c>
      <c r="D1003" s="192">
        <v>46078.0</v>
      </c>
      <c r="E1003" s="69" t="s">
        <v>198</v>
      </c>
      <c r="F1003" s="243" t="s">
        <v>343</v>
      </c>
      <c r="G1003" s="69" t="s">
        <v>2049</v>
      </c>
      <c r="H1003" s="69" t="s">
        <v>7</v>
      </c>
      <c r="I1003" s="140" t="s">
        <v>2621</v>
      </c>
      <c r="J1003" s="446">
        <v>15.0</v>
      </c>
      <c r="K1003" s="140">
        <v>130137.0</v>
      </c>
      <c r="L1003" s="140">
        <v>130137.0</v>
      </c>
      <c r="M1003" s="140" t="s">
        <v>521</v>
      </c>
      <c r="N1003" s="74">
        <f t="shared" si="5"/>
        <v>1952055</v>
      </c>
      <c r="O1003" s="60">
        <f t="shared" si="2"/>
        <v>46138</v>
      </c>
      <c r="P1003" s="65" t="str">
        <f>VLOOKUP(I1003,DATABASE!C:Q,11,FALSE)</f>
        <v>Tire</v>
      </c>
      <c r="Q1003" s="65" t="str">
        <f>VLOOKUP(I1003,DATABASE!C:Q,4,FALSE)</f>
        <v>IBK light</v>
      </c>
      <c r="R1003" s="101"/>
      <c r="U1003" s="101"/>
    </row>
    <row r="1004" ht="22.5" customHeight="1">
      <c r="A1004" s="49"/>
      <c r="C1004" s="192">
        <v>46080.0</v>
      </c>
      <c r="D1004" s="192">
        <v>46078.0</v>
      </c>
      <c r="E1004" s="69" t="s">
        <v>198</v>
      </c>
      <c r="F1004" s="243" t="s">
        <v>343</v>
      </c>
      <c r="G1004" s="69" t="s">
        <v>2049</v>
      </c>
      <c r="H1004" s="69" t="s">
        <v>7</v>
      </c>
      <c r="I1004" s="140" t="s">
        <v>2621</v>
      </c>
      <c r="J1004" s="446">
        <v>15.0</v>
      </c>
      <c r="K1004" s="140">
        <v>130137.0</v>
      </c>
      <c r="L1004" s="140">
        <v>130137.0</v>
      </c>
      <c r="M1004" s="140" t="s">
        <v>521</v>
      </c>
      <c r="N1004" s="74">
        <f t="shared" si="5"/>
        <v>1952055</v>
      </c>
      <c r="O1004" s="60">
        <f t="shared" si="2"/>
        <v>46138</v>
      </c>
      <c r="P1004" s="65" t="str">
        <f>VLOOKUP(I1004,DATABASE!C:Q,11,FALSE)</f>
        <v>Tire</v>
      </c>
      <c r="Q1004" s="65" t="str">
        <f>VLOOKUP(I1004,DATABASE!C:Q,4,FALSE)</f>
        <v>IBK light</v>
      </c>
      <c r="R1004" s="101"/>
      <c r="U1004" s="101"/>
    </row>
    <row r="1005" ht="22.5" customHeight="1">
      <c r="A1005" s="49"/>
      <c r="C1005" s="192">
        <v>46080.0</v>
      </c>
      <c r="D1005" s="192">
        <v>46078.0</v>
      </c>
      <c r="E1005" s="69" t="s">
        <v>198</v>
      </c>
      <c r="F1005" s="243" t="s">
        <v>343</v>
      </c>
      <c r="G1005" s="69" t="s">
        <v>2049</v>
      </c>
      <c r="H1005" s="69" t="s">
        <v>7</v>
      </c>
      <c r="I1005" s="140" t="s">
        <v>569</v>
      </c>
      <c r="J1005" s="446">
        <v>15.0</v>
      </c>
      <c r="K1005" s="140">
        <v>45309.6</v>
      </c>
      <c r="L1005" s="140">
        <v>44143.0</v>
      </c>
      <c r="M1005" s="140" t="s">
        <v>521</v>
      </c>
      <c r="N1005" s="74">
        <f t="shared" si="5"/>
        <v>662145</v>
      </c>
      <c r="O1005" s="60">
        <f t="shared" si="2"/>
        <v>46138</v>
      </c>
      <c r="P1005" s="65" t="str">
        <f>VLOOKUP(I1005,DATABASE!C:Q,11,FALSE)</f>
        <v>Tire</v>
      </c>
      <c r="Q1005" s="65" t="str">
        <f>VLOOKUP(I1005,DATABASE!C:Q,4,FALSE)</f>
        <v>BD</v>
      </c>
      <c r="R1005" s="101"/>
      <c r="U1005" s="101"/>
    </row>
    <row r="1006" ht="22.5" customHeight="1">
      <c r="A1006" s="49"/>
      <c r="C1006" s="192">
        <v>46080.0</v>
      </c>
      <c r="D1006" s="192">
        <v>46078.0</v>
      </c>
      <c r="E1006" s="69" t="s">
        <v>198</v>
      </c>
      <c r="F1006" s="243" t="s">
        <v>343</v>
      </c>
      <c r="G1006" s="69" t="s">
        <v>2049</v>
      </c>
      <c r="H1006" s="69" t="s">
        <v>7</v>
      </c>
      <c r="I1006" s="140" t="s">
        <v>2622</v>
      </c>
      <c r="J1006" s="446">
        <v>15.0</v>
      </c>
      <c r="K1006" s="140">
        <v>85695.0</v>
      </c>
      <c r="L1006" s="140">
        <v>85695.0</v>
      </c>
      <c r="M1006" s="140" t="s">
        <v>521</v>
      </c>
      <c r="N1006" s="74">
        <f t="shared" si="5"/>
        <v>1285425</v>
      </c>
      <c r="O1006" s="60">
        <f t="shared" si="2"/>
        <v>46138</v>
      </c>
      <c r="P1006" s="65" t="str">
        <f>VLOOKUP(I1006,DATABASE!C:Q,11,FALSE)</f>
        <v>Tire</v>
      </c>
      <c r="Q1006" s="65" t="str">
        <f>VLOOKUP(I1006,DATABASE!C:Q,4,FALSE)</f>
        <v>IBK</v>
      </c>
      <c r="R1006" s="101"/>
      <c r="U1006" s="101"/>
    </row>
    <row r="1007" ht="22.5" customHeight="1">
      <c r="A1007" s="49"/>
      <c r="C1007" s="192">
        <v>46081.0</v>
      </c>
      <c r="D1007" s="192">
        <v>46081.0</v>
      </c>
      <c r="E1007" s="69" t="s">
        <v>123</v>
      </c>
      <c r="F1007" s="243" t="s">
        <v>343</v>
      </c>
      <c r="G1007" s="69" t="s">
        <v>2347</v>
      </c>
      <c r="H1007" s="69" t="s">
        <v>7</v>
      </c>
      <c r="I1007" s="140" t="s">
        <v>839</v>
      </c>
      <c r="J1007" s="446">
        <v>6.0</v>
      </c>
      <c r="K1007" s="140">
        <v>475700.0</v>
      </c>
      <c r="L1007" s="140">
        <v>475700.0</v>
      </c>
      <c r="M1007" s="140" t="s">
        <v>755</v>
      </c>
      <c r="N1007" s="74">
        <f t="shared" si="5"/>
        <v>2854200</v>
      </c>
      <c r="O1007" s="60">
        <f t="shared" si="2"/>
        <v>46111</v>
      </c>
      <c r="P1007" s="65" t="str">
        <f>VLOOKUP(I1007,DATABASE!C:Q,11,FALSE)</f>
        <v>Tire</v>
      </c>
      <c r="Q1007" s="65" t="str">
        <f>VLOOKUP(I1007,DATABASE!C:Q,4,FALSE)</f>
        <v>GT</v>
      </c>
      <c r="R1007" s="101"/>
      <c r="U1007" s="101"/>
    </row>
    <row r="1008" ht="22.5" customHeight="1">
      <c r="A1008" s="49"/>
      <c r="C1008" s="192">
        <v>46081.0</v>
      </c>
      <c r="D1008" s="192">
        <v>46081.0</v>
      </c>
      <c r="E1008" s="69" t="s">
        <v>123</v>
      </c>
      <c r="F1008" s="243" t="s">
        <v>343</v>
      </c>
      <c r="G1008" s="69" t="s">
        <v>2347</v>
      </c>
      <c r="H1008" s="69" t="s">
        <v>7</v>
      </c>
      <c r="I1008" s="140" t="s">
        <v>288</v>
      </c>
      <c r="J1008" s="446">
        <v>6.0</v>
      </c>
      <c r="K1008" s="140">
        <v>524800.0</v>
      </c>
      <c r="L1008" s="140">
        <v>524800.0</v>
      </c>
      <c r="M1008" s="140" t="s">
        <v>755</v>
      </c>
      <c r="N1008" s="74">
        <f t="shared" si="5"/>
        <v>3148800</v>
      </c>
      <c r="O1008" s="60">
        <f t="shared" si="2"/>
        <v>46111</v>
      </c>
      <c r="P1008" s="65" t="str">
        <f>VLOOKUP(I1008,DATABASE!C:Q,11,FALSE)</f>
        <v>Tire</v>
      </c>
      <c r="Q1008" s="65" t="str">
        <f>VLOOKUP(I1008,DATABASE!C:Q,4,FALSE)</f>
        <v>GT</v>
      </c>
      <c r="R1008" s="101"/>
      <c r="U1008" s="101"/>
    </row>
    <row r="1009" ht="22.5" customHeight="1">
      <c r="A1009" s="49"/>
      <c r="C1009" s="192">
        <v>46081.0</v>
      </c>
      <c r="D1009" s="192">
        <v>46081.0</v>
      </c>
      <c r="E1009" s="69" t="s">
        <v>123</v>
      </c>
      <c r="F1009" s="243" t="s">
        <v>343</v>
      </c>
      <c r="G1009" s="69" t="s">
        <v>2347</v>
      </c>
      <c r="H1009" s="69" t="s">
        <v>7</v>
      </c>
      <c r="I1009" s="140" t="s">
        <v>1009</v>
      </c>
      <c r="J1009" s="446">
        <v>4.0</v>
      </c>
      <c r="K1009" s="140">
        <v>592200.0</v>
      </c>
      <c r="L1009" s="140">
        <v>592200.0</v>
      </c>
      <c r="M1009" s="140" t="s">
        <v>755</v>
      </c>
      <c r="N1009" s="74">
        <f t="shared" si="5"/>
        <v>2368800</v>
      </c>
      <c r="O1009" s="60">
        <f t="shared" si="2"/>
        <v>46111</v>
      </c>
      <c r="P1009" s="65" t="str">
        <f>VLOOKUP(I1009,DATABASE!C:Q,11,FALSE)</f>
        <v>Tire</v>
      </c>
      <c r="Q1009" s="65" t="str">
        <f>VLOOKUP(I1009,DATABASE!C:Q,4,FALSE)</f>
        <v>GT</v>
      </c>
      <c r="R1009" s="101"/>
      <c r="U1009" s="101"/>
    </row>
    <row r="1010" ht="22.5" customHeight="1">
      <c r="A1010" s="49"/>
      <c r="C1010" s="192">
        <v>46081.0</v>
      </c>
      <c r="D1010" s="192">
        <v>46081.0</v>
      </c>
      <c r="E1010" s="69" t="s">
        <v>123</v>
      </c>
      <c r="F1010" s="243" t="s">
        <v>343</v>
      </c>
      <c r="G1010" s="69" t="s">
        <v>2347</v>
      </c>
      <c r="H1010" s="69" t="s">
        <v>7</v>
      </c>
      <c r="I1010" s="140" t="s">
        <v>290</v>
      </c>
      <c r="J1010" s="446">
        <v>8.0</v>
      </c>
      <c r="K1010" s="140">
        <v>609804.0</v>
      </c>
      <c r="L1010" s="140">
        <v>609800.0</v>
      </c>
      <c r="M1010" s="140" t="s">
        <v>755</v>
      </c>
      <c r="N1010" s="74">
        <f t="shared" si="5"/>
        <v>4878400</v>
      </c>
      <c r="O1010" s="60">
        <f t="shared" si="2"/>
        <v>46111</v>
      </c>
      <c r="P1010" s="65" t="str">
        <f>VLOOKUP(I1010,DATABASE!C:Q,11,FALSE)</f>
        <v>Tire</v>
      </c>
      <c r="Q1010" s="65" t="str">
        <f>VLOOKUP(I1010,DATABASE!C:Q,4,FALSE)</f>
        <v>GT</v>
      </c>
      <c r="R1010" s="101"/>
      <c r="U1010" s="101"/>
    </row>
    <row r="1011" ht="22.5" customHeight="1">
      <c r="A1011" s="49"/>
      <c r="C1011" s="192">
        <v>46081.0</v>
      </c>
      <c r="D1011" s="192">
        <v>46081.0</v>
      </c>
      <c r="E1011" s="69" t="s">
        <v>123</v>
      </c>
      <c r="F1011" s="243" t="s">
        <v>343</v>
      </c>
      <c r="G1011" s="69" t="s">
        <v>2347</v>
      </c>
      <c r="H1011" s="69" t="s">
        <v>7</v>
      </c>
      <c r="I1011" s="140" t="s">
        <v>1076</v>
      </c>
      <c r="J1011" s="446">
        <v>5.0</v>
      </c>
      <c r="K1011" s="140">
        <v>666540.0</v>
      </c>
      <c r="L1011" s="140">
        <v>666500.0</v>
      </c>
      <c r="M1011" s="140" t="s">
        <v>755</v>
      </c>
      <c r="N1011" s="74">
        <f t="shared" si="5"/>
        <v>3332500</v>
      </c>
      <c r="O1011" s="60">
        <f t="shared" si="2"/>
        <v>46111</v>
      </c>
      <c r="P1011" s="65" t="str">
        <f>VLOOKUP(I1011,DATABASE!C:Q,11,FALSE)</f>
        <v>Tire</v>
      </c>
      <c r="Q1011" s="65" t="str">
        <f>VLOOKUP(I1011,DATABASE!C:Q,4,FALSE)</f>
        <v>GT</v>
      </c>
      <c r="R1011" s="101"/>
      <c r="U1011" s="101"/>
    </row>
    <row r="1012" ht="22.5" customHeight="1">
      <c r="A1012" s="49"/>
      <c r="C1012" s="192">
        <v>46081.0</v>
      </c>
      <c r="D1012" s="192">
        <v>46081.0</v>
      </c>
      <c r="E1012" s="69" t="s">
        <v>123</v>
      </c>
      <c r="F1012" s="243" t="s">
        <v>343</v>
      </c>
      <c r="G1012" s="69" t="s">
        <v>2347</v>
      </c>
      <c r="H1012" s="69" t="s">
        <v>7</v>
      </c>
      <c r="I1012" s="140" t="s">
        <v>2623</v>
      </c>
      <c r="J1012" s="446">
        <v>4.0</v>
      </c>
      <c r="K1012" s="140">
        <v>855500.0</v>
      </c>
      <c r="L1012" s="140">
        <v>855500.0</v>
      </c>
      <c r="M1012" s="140" t="s">
        <v>755</v>
      </c>
      <c r="N1012" s="74">
        <f t="shared" si="5"/>
        <v>3422000</v>
      </c>
      <c r="O1012" s="60">
        <f t="shared" si="2"/>
        <v>46111</v>
      </c>
      <c r="P1012" s="65" t="str">
        <f>VLOOKUP(I1012,DATABASE!C:Q,11,FALSE)</f>
        <v>Tire</v>
      </c>
      <c r="Q1012" s="65" t="str">
        <f>VLOOKUP(I1012,DATABASE!C:Q,4,FALSE)</f>
        <v>GT</v>
      </c>
      <c r="R1012" s="101"/>
      <c r="U1012" s="101"/>
    </row>
    <row r="1013" ht="22.5" customHeight="1">
      <c r="A1013" s="49"/>
      <c r="C1013" s="192">
        <v>46081.0</v>
      </c>
      <c r="D1013" s="192">
        <v>46081.0</v>
      </c>
      <c r="E1013" s="69" t="s">
        <v>123</v>
      </c>
      <c r="F1013" s="243" t="s">
        <v>343</v>
      </c>
      <c r="G1013" s="69" t="s">
        <v>2347</v>
      </c>
      <c r="H1013" s="69" t="s">
        <v>7</v>
      </c>
      <c r="I1013" s="140" t="s">
        <v>781</v>
      </c>
      <c r="J1013" s="446">
        <v>5.0</v>
      </c>
      <c r="K1013" s="140">
        <v>442500.0</v>
      </c>
      <c r="L1013" s="140">
        <v>440000.0</v>
      </c>
      <c r="M1013" s="140" t="s">
        <v>755</v>
      </c>
      <c r="N1013" s="74">
        <f t="shared" si="5"/>
        <v>2200000</v>
      </c>
      <c r="O1013" s="60">
        <f t="shared" si="2"/>
        <v>46111</v>
      </c>
      <c r="P1013" s="65" t="str">
        <f>VLOOKUP(I1013,DATABASE!C:Q,11,FALSE)</f>
        <v>Tire</v>
      </c>
      <c r="Q1013" s="65" t="str">
        <f>VLOOKUP(I1013,DATABASE!C:Q,4,FALSE)</f>
        <v>GT</v>
      </c>
      <c r="R1013" s="101"/>
      <c r="U1013" s="101"/>
    </row>
    <row r="1014" ht="22.5" customHeight="1">
      <c r="A1014" s="49"/>
      <c r="C1014" s="192">
        <v>46084.0</v>
      </c>
      <c r="D1014" s="192">
        <v>46083.0</v>
      </c>
      <c r="E1014" s="69" t="s">
        <v>361</v>
      </c>
      <c r="F1014" s="243" t="s">
        <v>343</v>
      </c>
      <c r="G1014" s="69" t="s">
        <v>2307</v>
      </c>
      <c r="H1014" s="69" t="s">
        <v>7</v>
      </c>
      <c r="I1014" s="140" t="s">
        <v>2624</v>
      </c>
      <c r="J1014" s="446">
        <v>6.0</v>
      </c>
      <c r="K1014" s="140">
        <v>517000.0</v>
      </c>
      <c r="L1014" s="140">
        <v>517000.0</v>
      </c>
      <c r="M1014" s="140" t="s">
        <v>521</v>
      </c>
      <c r="N1014" s="74">
        <f t="shared" si="5"/>
        <v>3102000</v>
      </c>
      <c r="O1014" s="60">
        <f t="shared" si="2"/>
        <v>46143</v>
      </c>
      <c r="P1014" s="65" t="str">
        <f>VLOOKUP(I1014,DATABASE!C:Q,11,FALSE)</f>
        <v>Tire</v>
      </c>
      <c r="Q1014" s="65" t="str">
        <f>VLOOKUP(I1014,DATABASE!C:Q,4,FALSE)</f>
        <v>Sailun</v>
      </c>
      <c r="R1014" s="101"/>
      <c r="U1014" s="101"/>
    </row>
    <row r="1015" ht="22.5" customHeight="1">
      <c r="A1015" s="49"/>
      <c r="C1015" s="192">
        <v>46084.0</v>
      </c>
      <c r="D1015" s="192">
        <v>46083.0</v>
      </c>
      <c r="E1015" s="69" t="s">
        <v>361</v>
      </c>
      <c r="F1015" s="243" t="s">
        <v>343</v>
      </c>
      <c r="G1015" s="69" t="s">
        <v>2307</v>
      </c>
      <c r="H1015" s="69" t="s">
        <v>7</v>
      </c>
      <c r="I1015" s="140" t="s">
        <v>2625</v>
      </c>
      <c r="J1015" s="446">
        <v>6.0</v>
      </c>
      <c r="K1015" s="140">
        <v>532400.0</v>
      </c>
      <c r="L1015" s="140">
        <v>532400.0</v>
      </c>
      <c r="M1015" s="140" t="s">
        <v>521</v>
      </c>
      <c r="N1015" s="74">
        <f t="shared" si="5"/>
        <v>3194400</v>
      </c>
      <c r="O1015" s="60">
        <f t="shared" si="2"/>
        <v>46143</v>
      </c>
      <c r="P1015" s="65" t="str">
        <f>VLOOKUP(I1015,DATABASE!C:Q,11,FALSE)</f>
        <v>Tire</v>
      </c>
      <c r="Q1015" s="65" t="str">
        <f>VLOOKUP(I1015,DATABASE!C:Q,4,FALSE)</f>
        <v>Sailun</v>
      </c>
      <c r="R1015" s="101"/>
      <c r="U1015" s="101"/>
    </row>
    <row r="1016" ht="22.5" customHeight="1">
      <c r="A1016" s="49"/>
      <c r="C1016" s="192">
        <v>46085.0</v>
      </c>
      <c r="D1016" s="192">
        <v>46084.0</v>
      </c>
      <c r="E1016" s="69" t="s">
        <v>81</v>
      </c>
      <c r="F1016" s="243" t="s">
        <v>343</v>
      </c>
      <c r="G1016" s="69" t="s">
        <v>1366</v>
      </c>
      <c r="H1016" s="69" t="s">
        <v>87</v>
      </c>
      <c r="I1016" s="140" t="s">
        <v>265</v>
      </c>
      <c r="J1016" s="446">
        <v>10.0</v>
      </c>
      <c r="K1016" s="140">
        <v>600000.0</v>
      </c>
      <c r="L1016" s="140">
        <v>600000.0</v>
      </c>
      <c r="M1016" s="140" t="s">
        <v>657</v>
      </c>
      <c r="N1016" s="74">
        <f t="shared" si="5"/>
        <v>6000000</v>
      </c>
      <c r="O1016" s="60">
        <f t="shared" si="2"/>
        <v>46159</v>
      </c>
      <c r="P1016" s="65" t="str">
        <f>VLOOKUP(I1016,DATABASE!C:Q,11,FALSE)</f>
        <v>Tire</v>
      </c>
      <c r="Q1016" s="65" t="str">
        <f>VLOOKUP(I1016,DATABASE!C:Q,4,FALSE)</f>
        <v>Dunlop</v>
      </c>
      <c r="R1016" s="101"/>
      <c r="U1016" s="101"/>
    </row>
    <row r="1017" ht="22.5" customHeight="1">
      <c r="A1017" s="49"/>
      <c r="C1017" s="192">
        <v>46085.0</v>
      </c>
      <c r="D1017" s="192">
        <v>46084.0</v>
      </c>
      <c r="E1017" s="69" t="s">
        <v>81</v>
      </c>
      <c r="F1017" s="243" t="s">
        <v>343</v>
      </c>
      <c r="G1017" s="69" t="s">
        <v>1366</v>
      </c>
      <c r="H1017" s="69" t="s">
        <v>87</v>
      </c>
      <c r="I1017" s="140" t="s">
        <v>268</v>
      </c>
      <c r="J1017" s="446">
        <v>10.0</v>
      </c>
      <c r="K1017" s="140">
        <v>622000.0</v>
      </c>
      <c r="L1017" s="140">
        <v>622000.0</v>
      </c>
      <c r="M1017" s="140" t="s">
        <v>657</v>
      </c>
      <c r="N1017" s="74">
        <f t="shared" si="5"/>
        <v>6220000</v>
      </c>
      <c r="O1017" s="60">
        <f t="shared" si="2"/>
        <v>46159</v>
      </c>
      <c r="P1017" s="65" t="str">
        <f>VLOOKUP(I1017,DATABASE!C:Q,11,FALSE)</f>
        <v>Tire</v>
      </c>
      <c r="Q1017" s="65" t="str">
        <f>VLOOKUP(I1017,DATABASE!C:Q,4,FALSE)</f>
        <v>Dunlop</v>
      </c>
      <c r="R1017" s="101"/>
      <c r="U1017" s="101"/>
    </row>
    <row r="1018" ht="22.5" customHeight="1">
      <c r="A1018" s="49"/>
      <c r="C1018" s="192">
        <v>46085.0</v>
      </c>
      <c r="D1018" s="192">
        <v>46084.0</v>
      </c>
      <c r="E1018" s="69" t="s">
        <v>81</v>
      </c>
      <c r="F1018" s="243" t="s">
        <v>343</v>
      </c>
      <c r="G1018" s="69" t="s">
        <v>1366</v>
      </c>
      <c r="H1018" s="69" t="s">
        <v>87</v>
      </c>
      <c r="I1018" s="140" t="s">
        <v>932</v>
      </c>
      <c r="J1018" s="446">
        <v>14.0</v>
      </c>
      <c r="K1018" s="140">
        <v>595000.0</v>
      </c>
      <c r="L1018" s="140">
        <v>595000.0</v>
      </c>
      <c r="M1018" s="140" t="s">
        <v>657</v>
      </c>
      <c r="N1018" s="74">
        <f t="shared" si="5"/>
        <v>8330000</v>
      </c>
      <c r="O1018" s="60">
        <f t="shared" si="2"/>
        <v>46159</v>
      </c>
      <c r="P1018" s="65" t="str">
        <f>VLOOKUP(I1018,DATABASE!C:Q,11,FALSE)</f>
        <v>Tire</v>
      </c>
      <c r="Q1018" s="65" t="str">
        <f>VLOOKUP(I1018,DATABASE!C:Q,4,FALSE)</f>
        <v>Dunlop</v>
      </c>
      <c r="R1018" s="101"/>
      <c r="U1018" s="101"/>
    </row>
    <row r="1019" ht="22.5" customHeight="1">
      <c r="A1019" s="49"/>
      <c r="C1019" s="192">
        <v>46085.0</v>
      </c>
      <c r="D1019" s="192">
        <v>46084.0</v>
      </c>
      <c r="E1019" s="69" t="s">
        <v>81</v>
      </c>
      <c r="F1019" s="243" t="s">
        <v>343</v>
      </c>
      <c r="G1019" s="69" t="s">
        <v>1366</v>
      </c>
      <c r="H1019" s="69" t="s">
        <v>87</v>
      </c>
      <c r="I1019" s="140" t="s">
        <v>974</v>
      </c>
      <c r="J1019" s="446">
        <v>5.0</v>
      </c>
      <c r="K1019" s="140">
        <v>491000.0</v>
      </c>
      <c r="L1019" s="140">
        <v>491000.0</v>
      </c>
      <c r="M1019" s="140" t="s">
        <v>657</v>
      </c>
      <c r="N1019" s="74">
        <f t="shared" si="5"/>
        <v>2455000</v>
      </c>
      <c r="O1019" s="60">
        <f t="shared" si="2"/>
        <v>46159</v>
      </c>
      <c r="P1019" s="65" t="str">
        <f>VLOOKUP(I1019,DATABASE!C:Q,11,FALSE)</f>
        <v>Tire</v>
      </c>
      <c r="Q1019" s="65" t="str">
        <f>VLOOKUP(I1019,DATABASE!C:Q,4,FALSE)</f>
        <v>Dunlop</v>
      </c>
      <c r="R1019" s="101"/>
      <c r="U1019" s="101"/>
    </row>
    <row r="1020" ht="22.5" customHeight="1">
      <c r="A1020" s="49"/>
      <c r="C1020" s="192">
        <v>46085.0</v>
      </c>
      <c r="D1020" s="192">
        <v>46084.0</v>
      </c>
      <c r="E1020" s="69" t="s">
        <v>81</v>
      </c>
      <c r="F1020" s="243" t="s">
        <v>343</v>
      </c>
      <c r="G1020" s="69" t="s">
        <v>1366</v>
      </c>
      <c r="H1020" s="69" t="s">
        <v>87</v>
      </c>
      <c r="I1020" s="140" t="s">
        <v>695</v>
      </c>
      <c r="J1020" s="446">
        <v>4.0</v>
      </c>
      <c r="K1020" s="140">
        <v>570000.0</v>
      </c>
      <c r="L1020" s="140">
        <v>570000.0</v>
      </c>
      <c r="M1020" s="140" t="s">
        <v>657</v>
      </c>
      <c r="N1020" s="74">
        <f t="shared" si="5"/>
        <v>2280000</v>
      </c>
      <c r="O1020" s="60">
        <f t="shared" si="2"/>
        <v>46159</v>
      </c>
      <c r="P1020" s="65" t="str">
        <f>VLOOKUP(I1020,DATABASE!C:Q,11,FALSE)</f>
        <v>Tire</v>
      </c>
      <c r="Q1020" s="65" t="str">
        <f>VLOOKUP(I1020,DATABASE!C:Q,4,FALSE)</f>
        <v>Dunlop</v>
      </c>
      <c r="R1020" s="101"/>
      <c r="U1020" s="101"/>
    </row>
    <row r="1021" ht="22.5" customHeight="1">
      <c r="A1021" s="49"/>
      <c r="C1021" s="192">
        <v>46085.0</v>
      </c>
      <c r="D1021" s="192">
        <v>46084.0</v>
      </c>
      <c r="E1021" s="69" t="s">
        <v>81</v>
      </c>
      <c r="F1021" s="243" t="s">
        <v>343</v>
      </c>
      <c r="G1021" s="69" t="s">
        <v>1366</v>
      </c>
      <c r="H1021" s="69" t="s">
        <v>87</v>
      </c>
      <c r="I1021" s="140" t="s">
        <v>276</v>
      </c>
      <c r="J1021" s="446">
        <v>4.0</v>
      </c>
      <c r="K1021" s="140">
        <v>620000.0</v>
      </c>
      <c r="L1021" s="140">
        <v>620000.0</v>
      </c>
      <c r="M1021" s="140" t="s">
        <v>657</v>
      </c>
      <c r="N1021" s="74">
        <f t="shared" si="5"/>
        <v>2480000</v>
      </c>
      <c r="O1021" s="60">
        <f t="shared" si="2"/>
        <v>46159</v>
      </c>
      <c r="P1021" s="65" t="str">
        <f>VLOOKUP(I1021,DATABASE!C:Q,11,FALSE)</f>
        <v>Tire</v>
      </c>
      <c r="Q1021" s="65" t="str">
        <f>VLOOKUP(I1021,DATABASE!C:Q,4,FALSE)</f>
        <v>Dunlop</v>
      </c>
      <c r="R1021" s="101"/>
      <c r="U1021" s="101"/>
    </row>
    <row r="1022" ht="22.5" customHeight="1">
      <c r="A1022" s="49"/>
      <c r="C1022" s="192">
        <v>46085.0</v>
      </c>
      <c r="D1022" s="192">
        <v>46084.0</v>
      </c>
      <c r="E1022" s="69" t="s">
        <v>81</v>
      </c>
      <c r="F1022" s="243" t="s">
        <v>343</v>
      </c>
      <c r="G1022" s="69" t="s">
        <v>1366</v>
      </c>
      <c r="H1022" s="69" t="s">
        <v>87</v>
      </c>
      <c r="I1022" s="140" t="s">
        <v>271</v>
      </c>
      <c r="J1022" s="446">
        <v>10.0</v>
      </c>
      <c r="K1022" s="140">
        <v>539000.0</v>
      </c>
      <c r="L1022" s="140">
        <v>539000.0</v>
      </c>
      <c r="M1022" s="140" t="s">
        <v>657</v>
      </c>
      <c r="N1022" s="74">
        <f t="shared" si="5"/>
        <v>5390000</v>
      </c>
      <c r="O1022" s="60">
        <f t="shared" si="2"/>
        <v>46159</v>
      </c>
      <c r="P1022" s="65" t="str">
        <f>VLOOKUP(I1022,DATABASE!C:Q,11,FALSE)</f>
        <v>Tire</v>
      </c>
      <c r="Q1022" s="65" t="str">
        <f>VLOOKUP(I1022,DATABASE!C:Q,4,FALSE)</f>
        <v>Dunlop</v>
      </c>
      <c r="R1022" s="101"/>
      <c r="U1022" s="101"/>
    </row>
    <row r="1023" ht="22.5" customHeight="1">
      <c r="A1023" s="49"/>
      <c r="C1023" s="192">
        <v>46085.0</v>
      </c>
      <c r="D1023" s="192">
        <v>46084.0</v>
      </c>
      <c r="E1023" s="69" t="s">
        <v>81</v>
      </c>
      <c r="F1023" s="243" t="s">
        <v>343</v>
      </c>
      <c r="G1023" s="69" t="s">
        <v>1366</v>
      </c>
      <c r="H1023" s="69" t="s">
        <v>87</v>
      </c>
      <c r="I1023" s="140" t="s">
        <v>1427</v>
      </c>
      <c r="J1023" s="446">
        <v>2.0</v>
      </c>
      <c r="K1023" s="140">
        <v>696500.0</v>
      </c>
      <c r="L1023" s="140">
        <v>696500.0</v>
      </c>
      <c r="M1023" s="140" t="s">
        <v>657</v>
      </c>
      <c r="N1023" s="74">
        <f t="shared" si="5"/>
        <v>1393000</v>
      </c>
      <c r="O1023" s="60">
        <f t="shared" si="2"/>
        <v>46159</v>
      </c>
      <c r="P1023" s="65" t="str">
        <f>VLOOKUP(I1023,DATABASE!C:Q,11,FALSE)</f>
        <v>Tire</v>
      </c>
      <c r="Q1023" s="65" t="str">
        <f>VLOOKUP(I1023,DATABASE!C:Q,4,FALSE)</f>
        <v>Dunlop</v>
      </c>
      <c r="R1023" s="101"/>
      <c r="U1023" s="101"/>
    </row>
    <row r="1024" ht="22.5" customHeight="1">
      <c r="A1024" s="49"/>
      <c r="C1024" s="192">
        <v>46085.0</v>
      </c>
      <c r="D1024" s="192">
        <v>46084.0</v>
      </c>
      <c r="E1024" s="69" t="s">
        <v>81</v>
      </c>
      <c r="F1024" s="243" t="s">
        <v>343</v>
      </c>
      <c r="G1024" s="69" t="s">
        <v>1366</v>
      </c>
      <c r="H1024" s="69" t="s">
        <v>87</v>
      </c>
      <c r="I1024" s="140" t="s">
        <v>955</v>
      </c>
      <c r="J1024" s="446">
        <v>10.0</v>
      </c>
      <c r="K1024" s="140">
        <v>674000.0</v>
      </c>
      <c r="L1024" s="140">
        <v>674000.0</v>
      </c>
      <c r="M1024" s="140" t="s">
        <v>657</v>
      </c>
      <c r="N1024" s="74">
        <f t="shared" si="5"/>
        <v>6740000</v>
      </c>
      <c r="O1024" s="60">
        <f t="shared" si="2"/>
        <v>46159</v>
      </c>
      <c r="P1024" s="65" t="str">
        <f>VLOOKUP(I1024,DATABASE!C:Q,11,FALSE)</f>
        <v>Tire</v>
      </c>
      <c r="Q1024" s="65" t="str">
        <f>VLOOKUP(I1024,DATABASE!C:Q,4,FALSE)</f>
        <v>Dunlop</v>
      </c>
      <c r="R1024" s="101"/>
      <c r="U1024" s="101"/>
    </row>
    <row r="1025" ht="22.5" customHeight="1">
      <c r="A1025" s="49"/>
      <c r="C1025" s="192">
        <v>46085.0</v>
      </c>
      <c r="D1025" s="192">
        <v>46084.0</v>
      </c>
      <c r="E1025" s="69" t="s">
        <v>81</v>
      </c>
      <c r="F1025" s="243" t="s">
        <v>343</v>
      </c>
      <c r="G1025" s="69" t="s">
        <v>1366</v>
      </c>
      <c r="H1025" s="69" t="s">
        <v>87</v>
      </c>
      <c r="I1025" s="140" t="s">
        <v>282</v>
      </c>
      <c r="J1025" s="446">
        <v>4.0</v>
      </c>
      <c r="K1025" s="140">
        <v>779500.0</v>
      </c>
      <c r="L1025" s="140">
        <v>779500.0</v>
      </c>
      <c r="M1025" s="140" t="s">
        <v>657</v>
      </c>
      <c r="N1025" s="74">
        <f t="shared" si="5"/>
        <v>3118000</v>
      </c>
      <c r="O1025" s="60">
        <f t="shared" si="2"/>
        <v>46159</v>
      </c>
      <c r="P1025" s="65" t="str">
        <f>VLOOKUP(I1025,DATABASE!C:Q,11,FALSE)</f>
        <v>Tire</v>
      </c>
      <c r="Q1025" s="65" t="str">
        <f>VLOOKUP(I1025,DATABASE!C:Q,4,FALSE)</f>
        <v>Dunlop</v>
      </c>
      <c r="R1025" s="101"/>
      <c r="U1025" s="101"/>
    </row>
    <row r="1026" ht="22.5" customHeight="1">
      <c r="A1026" s="49"/>
      <c r="C1026" s="192">
        <v>46085.0</v>
      </c>
      <c r="D1026" s="192">
        <v>46084.0</v>
      </c>
      <c r="E1026" s="69" t="s">
        <v>81</v>
      </c>
      <c r="F1026" s="243" t="s">
        <v>343</v>
      </c>
      <c r="G1026" s="69" t="s">
        <v>1366</v>
      </c>
      <c r="H1026" s="69" t="s">
        <v>87</v>
      </c>
      <c r="I1026" s="140" t="s">
        <v>1486</v>
      </c>
      <c r="J1026" s="446">
        <v>2.0</v>
      </c>
      <c r="K1026" s="140">
        <v>877000.0</v>
      </c>
      <c r="L1026" s="140">
        <v>877000.0</v>
      </c>
      <c r="M1026" s="140" t="s">
        <v>657</v>
      </c>
      <c r="N1026" s="74">
        <f t="shared" si="5"/>
        <v>1754000</v>
      </c>
      <c r="O1026" s="60">
        <f t="shared" si="2"/>
        <v>46159</v>
      </c>
      <c r="P1026" s="65" t="str">
        <f>VLOOKUP(I1026,DATABASE!C:Q,11,FALSE)</f>
        <v>Tire</v>
      </c>
      <c r="Q1026" s="65" t="str">
        <f>VLOOKUP(I1026,DATABASE!C:Q,4,FALSE)</f>
        <v>Dunlop</v>
      </c>
      <c r="R1026" s="101"/>
      <c r="U1026" s="101"/>
    </row>
    <row r="1027" ht="22.5" customHeight="1">
      <c r="A1027" s="49"/>
      <c r="C1027" s="192">
        <v>46085.0</v>
      </c>
      <c r="D1027" s="192">
        <v>46084.0</v>
      </c>
      <c r="E1027" s="69" t="s">
        <v>81</v>
      </c>
      <c r="F1027" s="243" t="s">
        <v>343</v>
      </c>
      <c r="G1027" s="69" t="s">
        <v>1366</v>
      </c>
      <c r="H1027" s="69" t="s">
        <v>87</v>
      </c>
      <c r="I1027" s="140" t="s">
        <v>1361</v>
      </c>
      <c r="J1027" s="446">
        <v>3.0</v>
      </c>
      <c r="K1027" s="140">
        <v>863000.0</v>
      </c>
      <c r="L1027" s="140">
        <v>863000.0</v>
      </c>
      <c r="M1027" s="140" t="s">
        <v>657</v>
      </c>
      <c r="N1027" s="74">
        <f t="shared" si="5"/>
        <v>2589000</v>
      </c>
      <c r="O1027" s="60">
        <f t="shared" si="2"/>
        <v>46159</v>
      </c>
      <c r="P1027" s="65" t="str">
        <f>VLOOKUP(I1027,DATABASE!C:Q,11,FALSE)</f>
        <v>Tire</v>
      </c>
      <c r="Q1027" s="65" t="str">
        <f>VLOOKUP(I1027,DATABASE!C:Q,4,FALSE)</f>
        <v>Dunlop</v>
      </c>
      <c r="R1027" s="101"/>
      <c r="U1027" s="101"/>
    </row>
    <row r="1028" ht="22.5" customHeight="1">
      <c r="A1028" s="49"/>
      <c r="C1028" s="192">
        <v>46085.0</v>
      </c>
      <c r="D1028" s="192">
        <v>46084.0</v>
      </c>
      <c r="E1028" s="69" t="s">
        <v>81</v>
      </c>
      <c r="F1028" s="243" t="s">
        <v>343</v>
      </c>
      <c r="G1028" s="69" t="s">
        <v>1366</v>
      </c>
      <c r="H1028" s="69" t="s">
        <v>87</v>
      </c>
      <c r="I1028" s="140" t="s">
        <v>946</v>
      </c>
      <c r="J1028" s="446">
        <v>6.0</v>
      </c>
      <c r="K1028" s="140">
        <v>809000.0</v>
      </c>
      <c r="L1028" s="140">
        <v>809000.0</v>
      </c>
      <c r="M1028" s="140" t="s">
        <v>657</v>
      </c>
      <c r="N1028" s="74">
        <f t="shared" si="5"/>
        <v>4854000</v>
      </c>
      <c r="O1028" s="60">
        <f t="shared" si="2"/>
        <v>46159</v>
      </c>
      <c r="P1028" s="65" t="str">
        <f>VLOOKUP(I1028,DATABASE!C:Q,11,FALSE)</f>
        <v>Tire</v>
      </c>
      <c r="Q1028" s="65" t="str">
        <f>VLOOKUP(I1028,DATABASE!C:Q,4,FALSE)</f>
        <v>Dunlop</v>
      </c>
      <c r="R1028" s="101"/>
      <c r="U1028" s="101"/>
    </row>
    <row r="1029" ht="22.5" customHeight="1">
      <c r="A1029" s="49"/>
      <c r="C1029" s="192">
        <v>46085.0</v>
      </c>
      <c r="D1029" s="192">
        <v>46084.0</v>
      </c>
      <c r="E1029" s="69" t="s">
        <v>81</v>
      </c>
      <c r="F1029" s="243" t="s">
        <v>343</v>
      </c>
      <c r="G1029" s="69" t="s">
        <v>1366</v>
      </c>
      <c r="H1029" s="69" t="s">
        <v>87</v>
      </c>
      <c r="I1029" s="140" t="s">
        <v>1377</v>
      </c>
      <c r="J1029" s="446">
        <v>1.0</v>
      </c>
      <c r="K1029" s="140">
        <v>844000.0</v>
      </c>
      <c r="L1029" s="140">
        <v>844000.0</v>
      </c>
      <c r="M1029" s="140" t="s">
        <v>657</v>
      </c>
      <c r="N1029" s="74">
        <f t="shared" si="5"/>
        <v>844000</v>
      </c>
      <c r="O1029" s="60">
        <f t="shared" si="2"/>
        <v>46159</v>
      </c>
      <c r="P1029" s="65" t="str">
        <f>VLOOKUP(I1029,DATABASE!C:Q,11,FALSE)</f>
        <v>Tire</v>
      </c>
      <c r="Q1029" s="65" t="str">
        <f>VLOOKUP(I1029,DATABASE!C:Q,4,FALSE)</f>
        <v>Dunlop</v>
      </c>
      <c r="R1029" s="101"/>
      <c r="U1029" s="101"/>
    </row>
    <row r="1030" ht="22.5" customHeight="1">
      <c r="A1030" s="49"/>
      <c r="C1030" s="192">
        <v>46085.0</v>
      </c>
      <c r="D1030" s="192">
        <v>46084.0</v>
      </c>
      <c r="E1030" s="69" t="s">
        <v>81</v>
      </c>
      <c r="F1030" s="243" t="s">
        <v>343</v>
      </c>
      <c r="G1030" s="69" t="s">
        <v>1366</v>
      </c>
      <c r="H1030" s="69" t="s">
        <v>87</v>
      </c>
      <c r="I1030" s="140" t="s">
        <v>1602</v>
      </c>
      <c r="J1030" s="446">
        <v>4.0</v>
      </c>
      <c r="K1030" s="140">
        <v>1762000.0</v>
      </c>
      <c r="L1030" s="140">
        <v>1762000.0</v>
      </c>
      <c r="M1030" s="140" t="s">
        <v>657</v>
      </c>
      <c r="N1030" s="74">
        <f t="shared" si="5"/>
        <v>7048000</v>
      </c>
      <c r="O1030" s="60">
        <f t="shared" si="2"/>
        <v>46159</v>
      </c>
      <c r="P1030" s="65" t="str">
        <f>VLOOKUP(I1030,DATABASE!C:Q,11,FALSE)</f>
        <v>Tire</v>
      </c>
      <c r="Q1030" s="65" t="str">
        <f>VLOOKUP(I1030,DATABASE!C:Q,4,FALSE)</f>
        <v>Dunlop</v>
      </c>
      <c r="R1030" s="101"/>
      <c r="U1030" s="101"/>
    </row>
    <row r="1031" ht="22.5" customHeight="1">
      <c r="A1031" s="49"/>
      <c r="C1031" s="192">
        <v>46085.0</v>
      </c>
      <c r="D1031" s="192">
        <v>46084.0</v>
      </c>
      <c r="E1031" s="69" t="s">
        <v>81</v>
      </c>
      <c r="F1031" s="243" t="s">
        <v>343</v>
      </c>
      <c r="G1031" s="69" t="s">
        <v>1366</v>
      </c>
      <c r="H1031" s="69" t="s">
        <v>87</v>
      </c>
      <c r="I1031" s="140" t="s">
        <v>1486</v>
      </c>
      <c r="J1031" s="446">
        <v>2.0</v>
      </c>
      <c r="K1031" s="140">
        <v>888000.0</v>
      </c>
      <c r="L1031" s="140">
        <v>888000.0</v>
      </c>
      <c r="M1031" s="140" t="s">
        <v>657</v>
      </c>
      <c r="N1031" s="74">
        <f t="shared" si="5"/>
        <v>1776000</v>
      </c>
      <c r="O1031" s="60">
        <f t="shared" si="2"/>
        <v>46159</v>
      </c>
      <c r="P1031" s="65" t="str">
        <f>VLOOKUP(I1031,DATABASE!C:Q,11,FALSE)</f>
        <v>Tire</v>
      </c>
      <c r="Q1031" s="65" t="str">
        <f>VLOOKUP(I1031,DATABASE!C:Q,4,FALSE)</f>
        <v>Dunlop</v>
      </c>
      <c r="R1031" s="101"/>
      <c r="U1031" s="101"/>
    </row>
    <row r="1032" ht="22.5" customHeight="1">
      <c r="A1032" s="49"/>
      <c r="C1032" s="192">
        <v>46086.0</v>
      </c>
      <c r="D1032" s="192">
        <v>46086.0</v>
      </c>
      <c r="E1032" s="69" t="s">
        <v>123</v>
      </c>
      <c r="F1032" s="243" t="s">
        <v>343</v>
      </c>
      <c r="G1032" s="69" t="s">
        <v>2350</v>
      </c>
      <c r="H1032" s="69" t="s">
        <v>7</v>
      </c>
      <c r="I1032" s="140" t="s">
        <v>1439</v>
      </c>
      <c r="J1032" s="446">
        <v>5.0</v>
      </c>
      <c r="K1032" s="140">
        <v>540800.0</v>
      </c>
      <c r="L1032" s="140">
        <v>540800.0</v>
      </c>
      <c r="M1032" s="140" t="s">
        <v>755</v>
      </c>
      <c r="N1032" s="74">
        <f t="shared" si="5"/>
        <v>2704000</v>
      </c>
      <c r="O1032" s="60">
        <f t="shared" si="2"/>
        <v>46116</v>
      </c>
      <c r="P1032" s="65" t="str">
        <f>VLOOKUP(I1032,DATABASE!C:Q,11,FALSE)</f>
        <v>Tire</v>
      </c>
      <c r="Q1032" s="65" t="str">
        <f>VLOOKUP(I1032,DATABASE!C:Q,4,FALSE)</f>
        <v>GT</v>
      </c>
      <c r="R1032" s="101"/>
      <c r="U1032" s="101"/>
    </row>
    <row r="1033" ht="22.5" customHeight="1">
      <c r="A1033" s="49"/>
      <c r="C1033" s="192">
        <v>46086.0</v>
      </c>
      <c r="D1033" s="192">
        <v>46086.0</v>
      </c>
      <c r="E1033" s="69" t="s">
        <v>123</v>
      </c>
      <c r="F1033" s="243" t="s">
        <v>343</v>
      </c>
      <c r="G1033" s="69" t="s">
        <v>2350</v>
      </c>
      <c r="H1033" s="69" t="s">
        <v>7</v>
      </c>
      <c r="I1033" s="140" t="s">
        <v>856</v>
      </c>
      <c r="J1033" s="446">
        <v>4.0</v>
      </c>
      <c r="K1033" s="140">
        <v>581120.0</v>
      </c>
      <c r="L1033" s="140">
        <v>581100.0</v>
      </c>
      <c r="M1033" s="140" t="s">
        <v>755</v>
      </c>
      <c r="N1033" s="74">
        <f t="shared" si="5"/>
        <v>2324400</v>
      </c>
      <c r="O1033" s="60">
        <f t="shared" si="2"/>
        <v>46116</v>
      </c>
      <c r="P1033" s="65" t="str">
        <f>VLOOKUP(I1033,DATABASE!C:Q,11,FALSE)</f>
        <v>Tire</v>
      </c>
      <c r="Q1033" s="65" t="str">
        <f>VLOOKUP(I1033,DATABASE!C:Q,4,FALSE)</f>
        <v>GT</v>
      </c>
      <c r="R1033" s="101"/>
      <c r="U1033" s="101"/>
    </row>
    <row r="1034" ht="22.5" customHeight="1">
      <c r="A1034" s="49"/>
      <c r="C1034" s="192">
        <v>46086.0</v>
      </c>
      <c r="D1034" s="192">
        <v>46086.0</v>
      </c>
      <c r="E1034" s="69" t="s">
        <v>123</v>
      </c>
      <c r="F1034" s="243" t="s">
        <v>343</v>
      </c>
      <c r="G1034" s="69" t="s">
        <v>2350</v>
      </c>
      <c r="H1034" s="69" t="s">
        <v>7</v>
      </c>
      <c r="I1034" s="140" t="s">
        <v>1009</v>
      </c>
      <c r="J1034" s="446">
        <v>5.0</v>
      </c>
      <c r="K1034" s="140">
        <v>592200.0</v>
      </c>
      <c r="L1034" s="140">
        <v>592200.0</v>
      </c>
      <c r="M1034" s="140" t="s">
        <v>755</v>
      </c>
      <c r="N1034" s="74">
        <f t="shared" si="5"/>
        <v>2961000</v>
      </c>
      <c r="O1034" s="60">
        <f t="shared" si="2"/>
        <v>46116</v>
      </c>
      <c r="P1034" s="65" t="str">
        <f>VLOOKUP(I1034,DATABASE!C:Q,11,FALSE)</f>
        <v>Tire</v>
      </c>
      <c r="Q1034" s="65" t="str">
        <f>VLOOKUP(I1034,DATABASE!C:Q,4,FALSE)</f>
        <v>GT</v>
      </c>
      <c r="R1034" s="101"/>
      <c r="U1034" s="101"/>
    </row>
    <row r="1035" ht="22.5" customHeight="1">
      <c r="A1035" s="49"/>
      <c r="C1035" s="192">
        <v>46086.0</v>
      </c>
      <c r="D1035" s="192">
        <v>46086.0</v>
      </c>
      <c r="E1035" s="69" t="s">
        <v>123</v>
      </c>
      <c r="F1035" s="243" t="s">
        <v>343</v>
      </c>
      <c r="G1035" s="69" t="s">
        <v>2350</v>
      </c>
      <c r="H1035" s="69" t="s">
        <v>7</v>
      </c>
      <c r="I1035" s="140" t="s">
        <v>839</v>
      </c>
      <c r="J1035" s="446">
        <v>2.0</v>
      </c>
      <c r="K1035" s="140">
        <v>475700.0</v>
      </c>
      <c r="L1035" s="140">
        <v>475700.0</v>
      </c>
      <c r="M1035" s="140" t="s">
        <v>755</v>
      </c>
      <c r="N1035" s="74">
        <f t="shared" si="5"/>
        <v>951400</v>
      </c>
      <c r="O1035" s="60">
        <f t="shared" si="2"/>
        <v>46116</v>
      </c>
      <c r="P1035" s="65" t="str">
        <f>VLOOKUP(I1035,DATABASE!C:Q,11,FALSE)</f>
        <v>Tire</v>
      </c>
      <c r="Q1035" s="65" t="str">
        <f>VLOOKUP(I1035,DATABASE!C:Q,4,FALSE)</f>
        <v>GT</v>
      </c>
      <c r="R1035" s="101"/>
      <c r="U1035" s="101"/>
    </row>
    <row r="1036" ht="22.5" customHeight="1">
      <c r="A1036" s="49"/>
      <c r="C1036" s="192">
        <v>46086.0</v>
      </c>
      <c r="D1036" s="192">
        <v>46086.0</v>
      </c>
      <c r="E1036" s="69" t="s">
        <v>123</v>
      </c>
      <c r="F1036" s="243" t="s">
        <v>343</v>
      </c>
      <c r="G1036" s="69" t="s">
        <v>2350</v>
      </c>
      <c r="H1036" s="69" t="s">
        <v>7</v>
      </c>
      <c r="I1036" s="140" t="s">
        <v>288</v>
      </c>
      <c r="J1036" s="446">
        <v>5.0</v>
      </c>
      <c r="K1036" s="140">
        <v>524800.0</v>
      </c>
      <c r="L1036" s="140">
        <v>524800.0</v>
      </c>
      <c r="M1036" s="140" t="s">
        <v>755</v>
      </c>
      <c r="N1036" s="74">
        <f t="shared" si="5"/>
        <v>2624000</v>
      </c>
      <c r="O1036" s="60">
        <f t="shared" si="2"/>
        <v>46116</v>
      </c>
      <c r="P1036" s="65" t="str">
        <f>VLOOKUP(I1036,DATABASE!C:Q,11,FALSE)</f>
        <v>Tire</v>
      </c>
      <c r="Q1036" s="65" t="str">
        <f>VLOOKUP(I1036,DATABASE!C:Q,4,FALSE)</f>
        <v>GT</v>
      </c>
      <c r="R1036" s="101"/>
      <c r="U1036" s="101"/>
    </row>
    <row r="1037" ht="22.5" customHeight="1">
      <c r="A1037" s="49"/>
      <c r="C1037" s="192">
        <v>46086.0</v>
      </c>
      <c r="D1037" s="192">
        <v>46086.0</v>
      </c>
      <c r="E1037" s="69" t="s">
        <v>123</v>
      </c>
      <c r="F1037" s="243" t="s">
        <v>343</v>
      </c>
      <c r="G1037" s="69" t="s">
        <v>2350</v>
      </c>
      <c r="H1037" s="69" t="s">
        <v>7</v>
      </c>
      <c r="I1037" s="140" t="s">
        <v>1597</v>
      </c>
      <c r="J1037" s="446">
        <v>2.0</v>
      </c>
      <c r="K1037" s="140">
        <v>544300.0</v>
      </c>
      <c r="L1037" s="140">
        <v>544300.0</v>
      </c>
      <c r="M1037" s="140" t="s">
        <v>755</v>
      </c>
      <c r="N1037" s="74">
        <f t="shared" si="5"/>
        <v>1088600</v>
      </c>
      <c r="O1037" s="60">
        <f t="shared" si="2"/>
        <v>46116</v>
      </c>
      <c r="P1037" s="65" t="str">
        <f>VLOOKUP(I1037,DATABASE!C:Q,11,FALSE)</f>
        <v>Tire</v>
      </c>
      <c r="Q1037" s="65" t="str">
        <f>VLOOKUP(I1037,DATABASE!C:Q,4,FALSE)</f>
        <v>GT</v>
      </c>
      <c r="R1037" s="101"/>
      <c r="U1037" s="101"/>
    </row>
    <row r="1038" ht="22.5" customHeight="1">
      <c r="A1038" s="49"/>
      <c r="C1038" s="192">
        <v>46086.0</v>
      </c>
      <c r="D1038" s="192">
        <v>46086.0</v>
      </c>
      <c r="E1038" s="69" t="s">
        <v>123</v>
      </c>
      <c r="F1038" s="243" t="s">
        <v>343</v>
      </c>
      <c r="G1038" s="69" t="s">
        <v>2350</v>
      </c>
      <c r="H1038" s="69" t="s">
        <v>7</v>
      </c>
      <c r="I1038" s="140" t="s">
        <v>1076</v>
      </c>
      <c r="J1038" s="446">
        <v>2.0</v>
      </c>
      <c r="K1038" s="140">
        <v>666540.0</v>
      </c>
      <c r="L1038" s="140">
        <v>666500.0</v>
      </c>
      <c r="M1038" s="140" t="s">
        <v>755</v>
      </c>
      <c r="N1038" s="74">
        <f t="shared" si="5"/>
        <v>1333000</v>
      </c>
      <c r="O1038" s="60">
        <f t="shared" si="2"/>
        <v>46116</v>
      </c>
      <c r="P1038" s="65" t="str">
        <f>VLOOKUP(I1038,DATABASE!C:Q,11,FALSE)</f>
        <v>Tire</v>
      </c>
      <c r="Q1038" s="65" t="str">
        <f>VLOOKUP(I1038,DATABASE!C:Q,4,FALSE)</f>
        <v>GT</v>
      </c>
      <c r="R1038" s="101"/>
      <c r="U1038" s="101"/>
    </row>
    <row r="1039" ht="22.5" customHeight="1">
      <c r="A1039" s="49"/>
      <c r="C1039" s="192">
        <v>46086.0</v>
      </c>
      <c r="D1039" s="192">
        <v>46086.0</v>
      </c>
      <c r="E1039" s="69" t="s">
        <v>123</v>
      </c>
      <c r="F1039" s="243" t="s">
        <v>343</v>
      </c>
      <c r="G1039" s="69" t="s">
        <v>2350</v>
      </c>
      <c r="H1039" s="69" t="s">
        <v>7</v>
      </c>
      <c r="I1039" s="140" t="s">
        <v>291</v>
      </c>
      <c r="J1039" s="446">
        <v>3.0</v>
      </c>
      <c r="K1039" s="140">
        <v>689900.0</v>
      </c>
      <c r="L1039" s="140">
        <v>689900.0</v>
      </c>
      <c r="M1039" s="140" t="s">
        <v>755</v>
      </c>
      <c r="N1039" s="74">
        <f t="shared" si="5"/>
        <v>2069700</v>
      </c>
      <c r="O1039" s="60">
        <f t="shared" si="2"/>
        <v>46116</v>
      </c>
      <c r="P1039" s="65" t="str">
        <f>VLOOKUP(I1039,DATABASE!C:Q,11,FALSE)</f>
        <v>Tire</v>
      </c>
      <c r="Q1039" s="65" t="str">
        <f>VLOOKUP(I1039,DATABASE!C:Q,4,FALSE)</f>
        <v>GT</v>
      </c>
      <c r="R1039" s="101"/>
      <c r="U1039" s="101"/>
    </row>
    <row r="1040" ht="22.5" customHeight="1">
      <c r="A1040" s="49"/>
      <c r="C1040" s="192">
        <v>46086.0</v>
      </c>
      <c r="D1040" s="192">
        <v>46086.0</v>
      </c>
      <c r="E1040" s="69" t="s">
        <v>123</v>
      </c>
      <c r="F1040" s="243" t="s">
        <v>343</v>
      </c>
      <c r="G1040" s="69" t="s">
        <v>2350</v>
      </c>
      <c r="H1040" s="69" t="s">
        <v>7</v>
      </c>
      <c r="I1040" s="140" t="s">
        <v>1947</v>
      </c>
      <c r="J1040" s="446">
        <v>6.0</v>
      </c>
      <c r="K1040" s="140">
        <v>694300.0</v>
      </c>
      <c r="L1040" s="140">
        <v>694300.0</v>
      </c>
      <c r="M1040" s="140" t="s">
        <v>755</v>
      </c>
      <c r="N1040" s="74">
        <f t="shared" si="5"/>
        <v>4165800</v>
      </c>
      <c r="O1040" s="60">
        <f t="shared" si="2"/>
        <v>46116</v>
      </c>
      <c r="P1040" s="65" t="str">
        <f>VLOOKUP(I1040,DATABASE!C:Q,11,FALSE)</f>
        <v>Tire</v>
      </c>
      <c r="Q1040" s="65" t="str">
        <f>VLOOKUP(I1040,DATABASE!C:Q,4,FALSE)</f>
        <v>GT</v>
      </c>
      <c r="R1040" s="101"/>
      <c r="U1040" s="101"/>
    </row>
    <row r="1041" ht="22.5" customHeight="1">
      <c r="A1041" s="49"/>
      <c r="C1041" s="192">
        <v>46086.0</v>
      </c>
      <c r="D1041" s="192">
        <v>46086.0</v>
      </c>
      <c r="E1041" s="69" t="s">
        <v>123</v>
      </c>
      <c r="F1041" s="243" t="s">
        <v>343</v>
      </c>
      <c r="G1041" s="69" t="s">
        <v>2350</v>
      </c>
      <c r="H1041" s="69" t="s">
        <v>7</v>
      </c>
      <c r="I1041" s="140" t="s">
        <v>1898</v>
      </c>
      <c r="J1041" s="446">
        <v>3.0</v>
      </c>
      <c r="K1041" s="140">
        <v>628100.0</v>
      </c>
      <c r="L1041" s="140">
        <v>628100.0</v>
      </c>
      <c r="M1041" s="140" t="s">
        <v>755</v>
      </c>
      <c r="N1041" s="74">
        <f t="shared" si="5"/>
        <v>1884300</v>
      </c>
      <c r="O1041" s="60">
        <f t="shared" si="2"/>
        <v>46116</v>
      </c>
      <c r="P1041" s="65" t="str">
        <f>VLOOKUP(I1041,DATABASE!C:Q,11,FALSE)</f>
        <v>Tire</v>
      </c>
      <c r="Q1041" s="65" t="str">
        <f>VLOOKUP(I1041,DATABASE!C:Q,4,FALSE)</f>
        <v>GT</v>
      </c>
      <c r="R1041" s="101"/>
      <c r="U1041" s="101"/>
    </row>
    <row r="1042" ht="22.5" customHeight="1">
      <c r="A1042" s="49"/>
      <c r="C1042" s="192">
        <v>46086.0</v>
      </c>
      <c r="D1042" s="192">
        <v>46086.0</v>
      </c>
      <c r="E1042" s="69" t="s">
        <v>123</v>
      </c>
      <c r="F1042" s="243" t="s">
        <v>343</v>
      </c>
      <c r="G1042" s="69" t="s">
        <v>2350</v>
      </c>
      <c r="H1042" s="69" t="s">
        <v>7</v>
      </c>
      <c r="I1042" s="140" t="s">
        <v>1872</v>
      </c>
      <c r="J1042" s="446">
        <v>4.0</v>
      </c>
      <c r="K1042" s="140">
        <v>648900.0</v>
      </c>
      <c r="L1042" s="140">
        <v>648900.0</v>
      </c>
      <c r="M1042" s="140" t="s">
        <v>755</v>
      </c>
      <c r="N1042" s="74">
        <f t="shared" si="5"/>
        <v>2595600</v>
      </c>
      <c r="O1042" s="60">
        <f t="shared" si="2"/>
        <v>46116</v>
      </c>
      <c r="P1042" s="65" t="str">
        <f>VLOOKUP(I1042,DATABASE!C:Q,11,FALSE)</f>
        <v>Tire</v>
      </c>
      <c r="Q1042" s="65" t="str">
        <f>VLOOKUP(I1042,DATABASE!C:Q,4,FALSE)</f>
        <v>GT</v>
      </c>
      <c r="R1042" s="101"/>
      <c r="U1042" s="101"/>
    </row>
    <row r="1043" ht="22.5" customHeight="1">
      <c r="A1043" s="49"/>
      <c r="C1043" s="192">
        <v>46086.0</v>
      </c>
      <c r="D1043" s="192">
        <v>46086.0</v>
      </c>
      <c r="E1043" s="69" t="s">
        <v>123</v>
      </c>
      <c r="F1043" s="243" t="s">
        <v>343</v>
      </c>
      <c r="G1043" s="69" t="s">
        <v>2350</v>
      </c>
      <c r="H1043" s="69" t="s">
        <v>7</v>
      </c>
      <c r="I1043" s="140" t="s">
        <v>847</v>
      </c>
      <c r="J1043" s="446">
        <v>3.0</v>
      </c>
      <c r="K1043" s="140">
        <v>672210.0</v>
      </c>
      <c r="L1043" s="140">
        <v>672200.0</v>
      </c>
      <c r="M1043" s="140" t="s">
        <v>755</v>
      </c>
      <c r="N1043" s="74">
        <f t="shared" si="5"/>
        <v>2016600</v>
      </c>
      <c r="O1043" s="60">
        <f t="shared" si="2"/>
        <v>46116</v>
      </c>
      <c r="P1043" s="65" t="str">
        <f>VLOOKUP(I1043,DATABASE!C:Q,11,FALSE)</f>
        <v>Tire</v>
      </c>
      <c r="Q1043" s="65" t="str">
        <f>VLOOKUP(I1043,DATABASE!C:Q,4,FALSE)</f>
        <v>GT</v>
      </c>
      <c r="R1043" s="101"/>
      <c r="U1043" s="101"/>
    </row>
    <row r="1044" ht="22.5" customHeight="1">
      <c r="A1044" s="49"/>
      <c r="C1044" s="192">
        <v>46086.0</v>
      </c>
      <c r="D1044" s="192">
        <v>46086.0</v>
      </c>
      <c r="E1044" s="69" t="s">
        <v>123</v>
      </c>
      <c r="F1044" s="243" t="s">
        <v>343</v>
      </c>
      <c r="G1044" s="69" t="s">
        <v>2350</v>
      </c>
      <c r="H1044" s="69" t="s">
        <v>7</v>
      </c>
      <c r="I1044" s="140" t="s">
        <v>1970</v>
      </c>
      <c r="J1044" s="446">
        <v>3.0</v>
      </c>
      <c r="K1044" s="140">
        <v>813300.0</v>
      </c>
      <c r="L1044" s="140">
        <v>813300.0</v>
      </c>
      <c r="M1044" s="140" t="s">
        <v>755</v>
      </c>
      <c r="N1044" s="74">
        <f t="shared" si="5"/>
        <v>2439900</v>
      </c>
      <c r="O1044" s="60">
        <f t="shared" si="2"/>
        <v>46116</v>
      </c>
      <c r="P1044" s="65" t="str">
        <f>VLOOKUP(I1044,DATABASE!C:Q,11,FALSE)</f>
        <v>Tire</v>
      </c>
      <c r="Q1044" s="65" t="str">
        <f>VLOOKUP(I1044,DATABASE!C:Q,4,FALSE)</f>
        <v>GT</v>
      </c>
      <c r="R1044" s="101"/>
      <c r="U1044" s="101"/>
    </row>
    <row r="1045" ht="22.5" customHeight="1">
      <c r="A1045" s="49"/>
      <c r="C1045" s="192">
        <v>46086.0</v>
      </c>
      <c r="D1045" s="192">
        <v>46086.0</v>
      </c>
      <c r="E1045" s="69" t="s">
        <v>123</v>
      </c>
      <c r="F1045" s="243" t="s">
        <v>343</v>
      </c>
      <c r="G1045" s="69" t="s">
        <v>2350</v>
      </c>
      <c r="H1045" s="69" t="s">
        <v>7</v>
      </c>
      <c r="I1045" s="140" t="s">
        <v>868</v>
      </c>
      <c r="J1045" s="446">
        <v>4.0</v>
      </c>
      <c r="K1045" s="140">
        <v>836000.0</v>
      </c>
      <c r="L1045" s="140">
        <v>836000.0</v>
      </c>
      <c r="M1045" s="140" t="s">
        <v>755</v>
      </c>
      <c r="N1045" s="74">
        <f t="shared" si="5"/>
        <v>3344000</v>
      </c>
      <c r="O1045" s="60">
        <f t="shared" si="2"/>
        <v>46116</v>
      </c>
      <c r="P1045" s="65" t="str">
        <f>VLOOKUP(I1045,DATABASE!C:Q,11,FALSE)</f>
        <v>Tire</v>
      </c>
      <c r="Q1045" s="65" t="str">
        <f>VLOOKUP(I1045,DATABASE!C:Q,4,FALSE)</f>
        <v>GT</v>
      </c>
      <c r="R1045" s="101"/>
      <c r="U1045" s="101"/>
    </row>
    <row r="1046" ht="22.5" customHeight="1">
      <c r="A1046" s="49"/>
      <c r="C1046" s="192">
        <v>46086.0</v>
      </c>
      <c r="D1046" s="192">
        <v>46086.0</v>
      </c>
      <c r="E1046" s="69" t="s">
        <v>123</v>
      </c>
      <c r="F1046" s="243" t="s">
        <v>343</v>
      </c>
      <c r="G1046" s="69" t="s">
        <v>2351</v>
      </c>
      <c r="H1046" s="69" t="s">
        <v>7</v>
      </c>
      <c r="I1046" s="140" t="s">
        <v>781</v>
      </c>
      <c r="J1046" s="446">
        <v>4.0</v>
      </c>
      <c r="K1046" s="140">
        <v>442500.0</v>
      </c>
      <c r="L1046" s="140">
        <v>440000.0</v>
      </c>
      <c r="M1046" s="140" t="s">
        <v>2190</v>
      </c>
      <c r="N1046" s="74">
        <f t="shared" si="5"/>
        <v>1760000</v>
      </c>
      <c r="O1046" s="60">
        <f t="shared" si="2"/>
        <v>46100</v>
      </c>
      <c r="P1046" s="65" t="str">
        <f>VLOOKUP(I1046,DATABASE!C:Q,11,FALSE)</f>
        <v>Tire</v>
      </c>
      <c r="Q1046" s="65" t="str">
        <f>VLOOKUP(I1046,DATABASE!C:Q,4,FALSE)</f>
        <v>GT</v>
      </c>
      <c r="R1046" s="101"/>
      <c r="U1046" s="101"/>
    </row>
    <row r="1047" ht="22.5" customHeight="1">
      <c r="A1047" s="49"/>
      <c r="C1047" s="192">
        <v>46086.0</v>
      </c>
      <c r="D1047" s="192">
        <v>46086.0</v>
      </c>
      <c r="E1047" s="69" t="s">
        <v>123</v>
      </c>
      <c r="F1047" s="243" t="s">
        <v>343</v>
      </c>
      <c r="G1047" s="69" t="s">
        <v>2351</v>
      </c>
      <c r="H1047" s="69" t="s">
        <v>7</v>
      </c>
      <c r="I1047" s="140" t="s">
        <v>777</v>
      </c>
      <c r="J1047" s="446">
        <v>4.0</v>
      </c>
      <c r="K1047" s="140">
        <v>507000.0</v>
      </c>
      <c r="L1047" s="140">
        <v>505000.0</v>
      </c>
      <c r="M1047" s="140" t="s">
        <v>2190</v>
      </c>
      <c r="N1047" s="74">
        <f t="shared" si="5"/>
        <v>2020000</v>
      </c>
      <c r="O1047" s="60">
        <f t="shared" si="2"/>
        <v>46100</v>
      </c>
      <c r="P1047" s="65" t="str">
        <f>VLOOKUP(I1047,DATABASE!C:Q,11,FALSE)</f>
        <v>Tire</v>
      </c>
      <c r="Q1047" s="65" t="str">
        <f>VLOOKUP(I1047,DATABASE!C:Q,4,FALSE)</f>
        <v>GT</v>
      </c>
      <c r="R1047" s="101"/>
      <c r="U1047" s="101"/>
    </row>
    <row r="1048" ht="22.5" customHeight="1">
      <c r="A1048" s="49"/>
      <c r="C1048" s="192">
        <v>46086.0</v>
      </c>
      <c r="D1048" s="192">
        <v>46086.0</v>
      </c>
      <c r="E1048" s="69" t="s">
        <v>123</v>
      </c>
      <c r="F1048" s="243" t="s">
        <v>343</v>
      </c>
      <c r="G1048" s="69" t="s">
        <v>2351</v>
      </c>
      <c r="H1048" s="69" t="s">
        <v>7</v>
      </c>
      <c r="I1048" s="140" t="s">
        <v>294</v>
      </c>
      <c r="J1048" s="446">
        <v>4.0</v>
      </c>
      <c r="K1048" s="140">
        <v>490000.0</v>
      </c>
      <c r="L1048" s="140">
        <v>490000.0</v>
      </c>
      <c r="M1048" s="140" t="s">
        <v>2190</v>
      </c>
      <c r="N1048" s="74">
        <f t="shared" si="5"/>
        <v>1960000</v>
      </c>
      <c r="O1048" s="60">
        <f t="shared" si="2"/>
        <v>46100</v>
      </c>
      <c r="P1048" s="65" t="str">
        <f>VLOOKUP(I1048,DATABASE!C:Q,11,FALSE)</f>
        <v>Tire</v>
      </c>
      <c r="Q1048" s="65" t="str">
        <f>VLOOKUP(I1048,DATABASE!C:Q,4,FALSE)</f>
        <v>GT</v>
      </c>
      <c r="R1048" s="101"/>
      <c r="U1048" s="101"/>
    </row>
    <row r="1049" ht="22.5" customHeight="1">
      <c r="A1049" s="49"/>
      <c r="C1049" s="192">
        <v>46086.0</v>
      </c>
      <c r="D1049" s="192">
        <v>46086.0</v>
      </c>
      <c r="E1049" s="69" t="s">
        <v>123</v>
      </c>
      <c r="F1049" s="243" t="s">
        <v>343</v>
      </c>
      <c r="G1049" s="69" t="s">
        <v>2351</v>
      </c>
      <c r="H1049" s="69" t="s">
        <v>7</v>
      </c>
      <c r="I1049" s="140" t="s">
        <v>791</v>
      </c>
      <c r="J1049" s="446">
        <v>2.0</v>
      </c>
      <c r="K1049" s="140">
        <v>1180000.0</v>
      </c>
      <c r="L1049" s="140">
        <v>1160000.0</v>
      </c>
      <c r="M1049" s="140" t="s">
        <v>2190</v>
      </c>
      <c r="N1049" s="74">
        <f t="shared" si="5"/>
        <v>2320000</v>
      </c>
      <c r="O1049" s="60">
        <f t="shared" si="2"/>
        <v>46100</v>
      </c>
      <c r="P1049" s="65" t="str">
        <f>VLOOKUP(I1049,DATABASE!C:Q,11,FALSE)</f>
        <v>Tire</v>
      </c>
      <c r="Q1049" s="65" t="str">
        <f>VLOOKUP(I1049,DATABASE!C:Q,4,FALSE)</f>
        <v>GT</v>
      </c>
      <c r="R1049" s="101"/>
      <c r="U1049" s="101"/>
    </row>
    <row r="1050" ht="22.5" customHeight="1">
      <c r="A1050" s="49"/>
      <c r="C1050" s="192">
        <v>46086.0</v>
      </c>
      <c r="D1050" s="192">
        <v>46086.0</v>
      </c>
      <c r="E1050" s="69" t="s">
        <v>123</v>
      </c>
      <c r="F1050" s="243" t="s">
        <v>343</v>
      </c>
      <c r="G1050" s="69" t="s">
        <v>2351</v>
      </c>
      <c r="H1050" s="69" t="s">
        <v>7</v>
      </c>
      <c r="I1050" s="140" t="s">
        <v>897</v>
      </c>
      <c r="J1050" s="446">
        <v>2.0</v>
      </c>
      <c r="K1050" s="140">
        <v>1500000.0</v>
      </c>
      <c r="L1050" s="140">
        <v>1480000.0</v>
      </c>
      <c r="M1050" s="140" t="s">
        <v>2190</v>
      </c>
      <c r="N1050" s="74">
        <f t="shared" si="5"/>
        <v>2960000</v>
      </c>
      <c r="O1050" s="60">
        <f t="shared" si="2"/>
        <v>46100</v>
      </c>
      <c r="P1050" s="65" t="str">
        <f>VLOOKUP(I1050,DATABASE!C:Q,11,FALSE)</f>
        <v>Tire</v>
      </c>
      <c r="Q1050" s="65" t="str">
        <f>VLOOKUP(I1050,DATABASE!C:Q,4,FALSE)</f>
        <v>GT</v>
      </c>
      <c r="R1050" s="101"/>
      <c r="U1050" s="101"/>
    </row>
    <row r="1051" ht="22.5" customHeight="1">
      <c r="A1051" s="49"/>
      <c r="C1051" s="192">
        <v>46090.0</v>
      </c>
      <c r="D1051" s="192">
        <v>46090.0</v>
      </c>
      <c r="E1051" s="69" t="s">
        <v>412</v>
      </c>
      <c r="F1051" s="243" t="s">
        <v>998</v>
      </c>
      <c r="G1051" s="69">
        <v>0.0</v>
      </c>
      <c r="H1051" s="69" t="s">
        <v>2314</v>
      </c>
      <c r="I1051" s="140" t="s">
        <v>301</v>
      </c>
      <c r="J1051" s="446">
        <v>4.0</v>
      </c>
      <c r="K1051" s="140">
        <v>75000.0</v>
      </c>
      <c r="L1051" s="140">
        <v>25000.0</v>
      </c>
      <c r="M1051" s="140" t="s">
        <v>2190</v>
      </c>
      <c r="N1051" s="74">
        <f t="shared" si="5"/>
        <v>100000</v>
      </c>
      <c r="O1051" s="60">
        <f t="shared" si="2"/>
        <v>46104</v>
      </c>
      <c r="P1051" s="65" t="str">
        <f>VLOOKUP(I1051,DATABASE!C:Q,11,FALSE)</f>
        <v>COMPLEMENTARY</v>
      </c>
      <c r="Q1051" s="65" t="str">
        <f>VLOOKUP(I1051,DATABASE!C:Q,4,FALSE)</f>
        <v>Baut Camber</v>
      </c>
      <c r="R1051" s="101"/>
      <c r="U1051" s="101"/>
    </row>
    <row r="1052" ht="22.5" customHeight="1">
      <c r="A1052" s="49"/>
      <c r="C1052" s="192">
        <v>46090.0</v>
      </c>
      <c r="D1052" s="192">
        <v>46090.0</v>
      </c>
      <c r="E1052" s="69" t="s">
        <v>412</v>
      </c>
      <c r="F1052" s="243" t="s">
        <v>998</v>
      </c>
      <c r="G1052" s="69">
        <v>0.0</v>
      </c>
      <c r="H1052" s="69" t="s">
        <v>2314</v>
      </c>
      <c r="I1052" s="140" t="s">
        <v>299</v>
      </c>
      <c r="J1052" s="446">
        <v>19.0</v>
      </c>
      <c r="K1052" s="140">
        <v>10000.0</v>
      </c>
      <c r="L1052" s="140">
        <v>10000.0</v>
      </c>
      <c r="M1052" s="140" t="s">
        <v>2190</v>
      </c>
      <c r="N1052" s="74">
        <f t="shared" si="5"/>
        <v>190000</v>
      </c>
      <c r="O1052" s="60">
        <f t="shared" si="2"/>
        <v>46104</v>
      </c>
      <c r="P1052" s="65" t="str">
        <f>VLOOKUP(I1052,DATABASE!C:Q,11,FALSE)</f>
        <v>COMPLEMENTARY</v>
      </c>
      <c r="Q1052" s="65" t="str">
        <f>VLOOKUP(I1052,DATABASE!C:Q,4,FALSE)</f>
        <v>Balancing</v>
      </c>
      <c r="R1052" s="101"/>
      <c r="U1052" s="101"/>
    </row>
    <row r="1053" ht="22.5" customHeight="1">
      <c r="A1053" s="49"/>
      <c r="C1053" s="192">
        <v>46090.0</v>
      </c>
      <c r="D1053" s="192">
        <v>46090.0</v>
      </c>
      <c r="E1053" s="69" t="s">
        <v>412</v>
      </c>
      <c r="F1053" s="243" t="s">
        <v>998</v>
      </c>
      <c r="G1053" s="69">
        <v>0.0</v>
      </c>
      <c r="H1053" s="69" t="s">
        <v>2314</v>
      </c>
      <c r="I1053" s="140" t="s">
        <v>301</v>
      </c>
      <c r="J1053" s="446">
        <v>8.0</v>
      </c>
      <c r="K1053" s="140">
        <v>75000.0</v>
      </c>
      <c r="L1053" s="140">
        <v>47500.0</v>
      </c>
      <c r="M1053" s="140" t="s">
        <v>2190</v>
      </c>
      <c r="N1053" s="74">
        <f t="shared" si="5"/>
        <v>380000</v>
      </c>
      <c r="O1053" s="60">
        <f t="shared" si="2"/>
        <v>46104</v>
      </c>
      <c r="P1053" s="65" t="str">
        <f>VLOOKUP(I1053,DATABASE!C:Q,11,FALSE)</f>
        <v>COMPLEMENTARY</v>
      </c>
      <c r="Q1053" s="65" t="str">
        <f>VLOOKUP(I1053,DATABASE!C:Q,4,FALSE)</f>
        <v>Baut Camber</v>
      </c>
      <c r="R1053" s="101"/>
      <c r="U1053" s="101"/>
    </row>
    <row r="1054" ht="22.5" customHeight="1">
      <c r="A1054" s="49"/>
      <c r="C1054" s="192">
        <v>46091.0</v>
      </c>
      <c r="D1054" s="192">
        <v>46090.0</v>
      </c>
      <c r="E1054" s="69" t="s">
        <v>81</v>
      </c>
      <c r="F1054" s="243" t="s">
        <v>998</v>
      </c>
      <c r="G1054" s="69">
        <v>0.0</v>
      </c>
      <c r="H1054" s="69" t="s">
        <v>2314</v>
      </c>
      <c r="I1054" s="140" t="s">
        <v>275</v>
      </c>
      <c r="J1054" s="446">
        <v>4.0</v>
      </c>
      <c r="K1054" s="140">
        <v>745000.0</v>
      </c>
      <c r="L1054" s="140">
        <v>745000.0</v>
      </c>
      <c r="M1054" s="140" t="s">
        <v>2190</v>
      </c>
      <c r="N1054" s="74">
        <f t="shared" si="5"/>
        <v>2980000</v>
      </c>
      <c r="O1054" s="60">
        <f t="shared" si="2"/>
        <v>46104</v>
      </c>
      <c r="P1054" s="65" t="str">
        <f>VLOOKUP(I1054,DATABASE!C:Q,11,FALSE)</f>
        <v>Tire</v>
      </c>
      <c r="Q1054" s="65" t="str">
        <f>VLOOKUP(I1054,DATABASE!C:Q,4,FALSE)</f>
        <v>Dunlop</v>
      </c>
      <c r="R1054" s="101"/>
      <c r="U1054" s="101"/>
    </row>
    <row r="1055" ht="22.5" customHeight="1">
      <c r="A1055" s="49"/>
      <c r="C1055" s="192">
        <v>46091.0</v>
      </c>
      <c r="D1055" s="192">
        <v>46090.0</v>
      </c>
      <c r="E1055" s="69" t="s">
        <v>97</v>
      </c>
      <c r="F1055" s="243" t="s">
        <v>343</v>
      </c>
      <c r="G1055" s="69" t="s">
        <v>2499</v>
      </c>
      <c r="H1055" s="69" t="s">
        <v>87</v>
      </c>
      <c r="I1055" s="140" t="s">
        <v>581</v>
      </c>
      <c r="J1055" s="446">
        <v>2.0</v>
      </c>
      <c r="K1055" s="140">
        <v>531715.5</v>
      </c>
      <c r="L1055" s="140">
        <v>542528.0</v>
      </c>
      <c r="M1055" s="140" t="s">
        <v>521</v>
      </c>
      <c r="N1055" s="74">
        <f t="shared" si="5"/>
        <v>1085056</v>
      </c>
      <c r="O1055" s="60">
        <f t="shared" si="2"/>
        <v>46150</v>
      </c>
      <c r="P1055" s="65" t="str">
        <f>VLOOKUP(I1055,DATABASE!C:Q,11,FALSE)</f>
        <v>Tire</v>
      </c>
      <c r="Q1055" s="65" t="str">
        <f>VLOOKUP(I1055,DATABASE!C:Q,4,FALSE)</f>
        <v>Bridgestone</v>
      </c>
      <c r="R1055" s="101"/>
      <c r="U1055" s="101"/>
    </row>
    <row r="1056" ht="22.5" customHeight="1">
      <c r="A1056" s="49"/>
      <c r="C1056" s="192">
        <v>46091.0</v>
      </c>
      <c r="D1056" s="192">
        <v>46090.0</v>
      </c>
      <c r="E1056" s="69" t="s">
        <v>97</v>
      </c>
      <c r="F1056" s="243" t="s">
        <v>343</v>
      </c>
      <c r="G1056" s="69" t="s">
        <v>2499</v>
      </c>
      <c r="H1056" s="69" t="s">
        <v>87</v>
      </c>
      <c r="I1056" s="140" t="s">
        <v>605</v>
      </c>
      <c r="J1056" s="446">
        <v>6.0</v>
      </c>
      <c r="K1056" s="140">
        <v>675000.0</v>
      </c>
      <c r="L1056" s="140">
        <v>675000.0</v>
      </c>
      <c r="M1056" s="140" t="s">
        <v>521</v>
      </c>
      <c r="N1056" s="74">
        <f t="shared" si="5"/>
        <v>4050000</v>
      </c>
      <c r="O1056" s="60">
        <f t="shared" si="2"/>
        <v>46150</v>
      </c>
      <c r="P1056" s="65" t="str">
        <f>VLOOKUP(I1056,DATABASE!C:Q,11,FALSE)</f>
        <v>Tire</v>
      </c>
      <c r="Q1056" s="65" t="str">
        <f>VLOOKUP(I1056,DATABASE!C:Q,4,FALSE)</f>
        <v>Bridgestone</v>
      </c>
      <c r="R1056" s="101"/>
      <c r="U1056" s="101"/>
    </row>
    <row r="1057" ht="22.5" customHeight="1">
      <c r="A1057" s="49"/>
      <c r="C1057" s="192">
        <v>46091.0</v>
      </c>
      <c r="D1057" s="192">
        <v>46090.0</v>
      </c>
      <c r="E1057" s="69" t="s">
        <v>97</v>
      </c>
      <c r="F1057" s="243" t="s">
        <v>343</v>
      </c>
      <c r="G1057" s="69" t="s">
        <v>2499</v>
      </c>
      <c r="H1057" s="69" t="s">
        <v>87</v>
      </c>
      <c r="I1057" s="140" t="s">
        <v>554</v>
      </c>
      <c r="J1057" s="446">
        <v>4.0</v>
      </c>
      <c r="K1057" s="140">
        <v>705000.0</v>
      </c>
      <c r="L1057" s="140">
        <v>705000.0</v>
      </c>
      <c r="M1057" s="140" t="s">
        <v>521</v>
      </c>
      <c r="N1057" s="74">
        <f t="shared" si="5"/>
        <v>2820000</v>
      </c>
      <c r="O1057" s="60">
        <f t="shared" si="2"/>
        <v>46150</v>
      </c>
      <c r="P1057" s="65" t="str">
        <f>VLOOKUP(I1057,DATABASE!C:Q,11,FALSE)</f>
        <v>Tire</v>
      </c>
      <c r="Q1057" s="65" t="str">
        <f>VLOOKUP(I1057,DATABASE!C:Q,4,FALSE)</f>
        <v>Bridgestone</v>
      </c>
      <c r="R1057" s="101"/>
      <c r="U1057" s="101"/>
    </row>
    <row r="1058" ht="22.5" customHeight="1">
      <c r="A1058" s="49"/>
      <c r="C1058" s="192">
        <v>46091.0</v>
      </c>
      <c r="D1058" s="192">
        <v>46090.0</v>
      </c>
      <c r="E1058" s="69" t="s">
        <v>97</v>
      </c>
      <c r="F1058" s="243" t="s">
        <v>343</v>
      </c>
      <c r="G1058" s="69" t="s">
        <v>2499</v>
      </c>
      <c r="H1058" s="69" t="s">
        <v>87</v>
      </c>
      <c r="I1058" s="140" t="s">
        <v>1206</v>
      </c>
      <c r="J1058" s="446">
        <v>4.0</v>
      </c>
      <c r="K1058" s="140">
        <v>1062000.0</v>
      </c>
      <c r="L1058" s="140">
        <v>1004147.2</v>
      </c>
      <c r="M1058" s="140" t="s">
        <v>521</v>
      </c>
      <c r="N1058" s="74">
        <f t="shared" si="5"/>
        <v>4016588.8</v>
      </c>
      <c r="O1058" s="60">
        <f t="shared" si="2"/>
        <v>46150</v>
      </c>
      <c r="P1058" s="65" t="str">
        <f>VLOOKUP(I1058,DATABASE!C:Q,11,FALSE)</f>
        <v>Tire</v>
      </c>
      <c r="Q1058" s="65" t="str">
        <f>VLOOKUP(I1058,DATABASE!C:Q,4,FALSE)</f>
        <v>Bridgestone</v>
      </c>
      <c r="R1058" s="101"/>
      <c r="U1058" s="101"/>
    </row>
    <row r="1059" ht="22.5" customHeight="1">
      <c r="A1059" s="49"/>
      <c r="C1059" s="192">
        <v>46091.0</v>
      </c>
      <c r="D1059" s="192">
        <v>46090.0</v>
      </c>
      <c r="E1059" s="69" t="s">
        <v>97</v>
      </c>
      <c r="F1059" s="243" t="s">
        <v>343</v>
      </c>
      <c r="G1059" s="69" t="s">
        <v>2499</v>
      </c>
      <c r="H1059" s="69" t="s">
        <v>87</v>
      </c>
      <c r="I1059" s="140" t="s">
        <v>614</v>
      </c>
      <c r="J1059" s="446">
        <v>8.0</v>
      </c>
      <c r="K1059" s="140">
        <v>727756.0</v>
      </c>
      <c r="L1059" s="140">
        <v>727756.0</v>
      </c>
      <c r="M1059" s="140" t="s">
        <v>521</v>
      </c>
      <c r="N1059" s="74">
        <f t="shared" si="5"/>
        <v>5822048</v>
      </c>
      <c r="O1059" s="60">
        <f t="shared" si="2"/>
        <v>46150</v>
      </c>
      <c r="P1059" s="65" t="str">
        <f>VLOOKUP(I1059,DATABASE!C:Q,11,FALSE)</f>
        <v>Tire</v>
      </c>
      <c r="Q1059" s="65" t="str">
        <f>VLOOKUP(I1059,DATABASE!C:Q,4,FALSE)</f>
        <v>Bridgestone</v>
      </c>
      <c r="R1059" s="101"/>
      <c r="U1059" s="101"/>
    </row>
    <row r="1060" ht="22.5" customHeight="1">
      <c r="A1060" s="49"/>
      <c r="C1060" s="192">
        <v>46091.0</v>
      </c>
      <c r="D1060" s="192">
        <v>46090.0</v>
      </c>
      <c r="E1060" s="69" t="s">
        <v>97</v>
      </c>
      <c r="F1060" s="243" t="s">
        <v>343</v>
      </c>
      <c r="G1060" s="69" t="s">
        <v>2496</v>
      </c>
      <c r="H1060" s="69" t="s">
        <v>87</v>
      </c>
      <c r="I1060" s="140" t="s">
        <v>591</v>
      </c>
      <c r="J1060" s="446">
        <v>10.0</v>
      </c>
      <c r="K1060" s="140">
        <v>609844.4</v>
      </c>
      <c r="L1060" s="140">
        <v>609844.4</v>
      </c>
      <c r="M1060" s="140" t="s">
        <v>521</v>
      </c>
      <c r="N1060" s="74">
        <f t="shared" si="5"/>
        <v>6098444</v>
      </c>
      <c r="O1060" s="60">
        <f t="shared" si="2"/>
        <v>46150</v>
      </c>
      <c r="P1060" s="65" t="str">
        <f>VLOOKUP(I1060,DATABASE!C:Q,11,FALSE)</f>
        <v>Tire</v>
      </c>
      <c r="Q1060" s="65" t="str">
        <f>VLOOKUP(I1060,DATABASE!C:Q,4,FALSE)</f>
        <v>Bridgestone</v>
      </c>
      <c r="R1060" s="101"/>
      <c r="U1060" s="101"/>
    </row>
    <row r="1061" ht="22.5" customHeight="1">
      <c r="A1061" s="49"/>
      <c r="C1061" s="192">
        <v>46091.0</v>
      </c>
      <c r="D1061" s="192">
        <v>46090.0</v>
      </c>
      <c r="E1061" s="69" t="s">
        <v>97</v>
      </c>
      <c r="F1061" s="243" t="s">
        <v>343</v>
      </c>
      <c r="G1061" s="69" t="s">
        <v>2496</v>
      </c>
      <c r="H1061" s="69" t="s">
        <v>87</v>
      </c>
      <c r="I1061" s="140" t="s">
        <v>1133</v>
      </c>
      <c r="J1061" s="446">
        <v>6.0</v>
      </c>
      <c r="K1061" s="140">
        <v>733824.0</v>
      </c>
      <c r="L1061" s="140">
        <v>733824.0</v>
      </c>
      <c r="M1061" s="140" t="s">
        <v>521</v>
      </c>
      <c r="N1061" s="74">
        <f t="shared" si="5"/>
        <v>4402944</v>
      </c>
      <c r="O1061" s="60">
        <f t="shared" si="2"/>
        <v>46150</v>
      </c>
      <c r="P1061" s="65" t="str">
        <f>VLOOKUP(I1061,DATABASE!C:Q,11,FALSE)</f>
        <v>Tire</v>
      </c>
      <c r="Q1061" s="65" t="str">
        <f>VLOOKUP(I1061,DATABASE!C:Q,4,FALSE)</f>
        <v>Bridgestone</v>
      </c>
      <c r="R1061" s="101"/>
      <c r="U1061" s="101"/>
    </row>
    <row r="1062" ht="22.5" customHeight="1">
      <c r="A1062" s="49"/>
      <c r="C1062" s="192">
        <v>46091.0</v>
      </c>
      <c r="D1062" s="192">
        <v>46090.0</v>
      </c>
      <c r="E1062" s="69" t="s">
        <v>97</v>
      </c>
      <c r="F1062" s="243" t="s">
        <v>343</v>
      </c>
      <c r="G1062" s="69" t="s">
        <v>2496</v>
      </c>
      <c r="H1062" s="69" t="s">
        <v>87</v>
      </c>
      <c r="I1062" s="140" t="s">
        <v>600</v>
      </c>
      <c r="J1062" s="446">
        <v>10.0</v>
      </c>
      <c r="K1062" s="140">
        <v>588505.8</v>
      </c>
      <c r="L1062" s="140">
        <v>588505.8</v>
      </c>
      <c r="M1062" s="140" t="s">
        <v>521</v>
      </c>
      <c r="N1062" s="74">
        <f t="shared" si="5"/>
        <v>5885058</v>
      </c>
      <c r="O1062" s="60">
        <f t="shared" si="2"/>
        <v>46150</v>
      </c>
      <c r="P1062" s="65" t="str">
        <f>VLOOKUP(I1062,DATABASE!C:Q,11,FALSE)</f>
        <v>Tire</v>
      </c>
      <c r="Q1062" s="65" t="str">
        <f>VLOOKUP(I1062,DATABASE!C:Q,4,FALSE)</f>
        <v>Bridgestone</v>
      </c>
      <c r="R1062" s="101"/>
      <c r="U1062" s="101"/>
    </row>
    <row r="1063" ht="22.5" customHeight="1">
      <c r="A1063" s="49"/>
      <c r="C1063" s="192">
        <v>46091.0</v>
      </c>
      <c r="D1063" s="192">
        <v>46090.0</v>
      </c>
      <c r="E1063" s="69" t="s">
        <v>97</v>
      </c>
      <c r="F1063" s="243" t="s">
        <v>343</v>
      </c>
      <c r="G1063" s="69" t="s">
        <v>2496</v>
      </c>
      <c r="H1063" s="69" t="s">
        <v>87</v>
      </c>
      <c r="I1063" s="140" t="s">
        <v>937</v>
      </c>
      <c r="J1063" s="446">
        <v>10.0</v>
      </c>
      <c r="K1063" s="140">
        <v>815000.0</v>
      </c>
      <c r="L1063" s="140">
        <v>815000.0</v>
      </c>
      <c r="M1063" s="140" t="s">
        <v>521</v>
      </c>
      <c r="N1063" s="74">
        <f t="shared" si="5"/>
        <v>8150000</v>
      </c>
      <c r="O1063" s="60">
        <f t="shared" si="2"/>
        <v>46150</v>
      </c>
      <c r="P1063" s="65" t="str">
        <f>VLOOKUP(I1063,DATABASE!C:Q,11,FALSE)</f>
        <v>Tire</v>
      </c>
      <c r="Q1063" s="65" t="str">
        <f>VLOOKUP(I1063,DATABASE!C:Q,4,FALSE)</f>
        <v>Bridgestone</v>
      </c>
      <c r="R1063" s="101"/>
      <c r="U1063" s="101"/>
    </row>
    <row r="1064" ht="22.5" customHeight="1">
      <c r="A1064" s="49"/>
      <c r="C1064" s="192">
        <v>46091.0</v>
      </c>
      <c r="D1064" s="192">
        <v>46090.0</v>
      </c>
      <c r="E1064" s="69" t="s">
        <v>97</v>
      </c>
      <c r="F1064" s="243" t="s">
        <v>343</v>
      </c>
      <c r="G1064" s="69" t="s">
        <v>2496</v>
      </c>
      <c r="H1064" s="69" t="s">
        <v>87</v>
      </c>
      <c r="I1064" s="140" t="s">
        <v>947</v>
      </c>
      <c r="J1064" s="446">
        <v>4.0</v>
      </c>
      <c r="K1064" s="140">
        <v>680512.0</v>
      </c>
      <c r="L1064" s="140">
        <v>680512.0</v>
      </c>
      <c r="M1064" s="140" t="s">
        <v>521</v>
      </c>
      <c r="N1064" s="74">
        <f t="shared" si="5"/>
        <v>2722048</v>
      </c>
      <c r="O1064" s="60">
        <f t="shared" si="2"/>
        <v>46150</v>
      </c>
      <c r="P1064" s="65" t="str">
        <f>VLOOKUP(I1064,DATABASE!C:Q,11,FALSE)</f>
        <v>Tire</v>
      </c>
      <c r="Q1064" s="65" t="str">
        <f>VLOOKUP(I1064,DATABASE!C:Q,4,FALSE)</f>
        <v>Bridgestone</v>
      </c>
      <c r="R1064" s="101"/>
      <c r="U1064" s="101"/>
    </row>
    <row r="1065" ht="22.5" customHeight="1">
      <c r="A1065" s="49"/>
      <c r="C1065" s="192">
        <v>46091.0</v>
      </c>
      <c r="D1065" s="192">
        <v>46090.0</v>
      </c>
      <c r="E1065" s="69" t="s">
        <v>97</v>
      </c>
      <c r="F1065" s="243" t="s">
        <v>343</v>
      </c>
      <c r="G1065" s="69" t="s">
        <v>2496</v>
      </c>
      <c r="H1065" s="69" t="s">
        <v>87</v>
      </c>
      <c r="I1065" s="140" t="s">
        <v>1033</v>
      </c>
      <c r="J1065" s="446">
        <v>6.0</v>
      </c>
      <c r="K1065" s="140">
        <v>657305.6</v>
      </c>
      <c r="L1065" s="140">
        <v>657305.6</v>
      </c>
      <c r="M1065" s="140" t="s">
        <v>521</v>
      </c>
      <c r="N1065" s="74">
        <f t="shared" si="5"/>
        <v>3943833.6</v>
      </c>
      <c r="O1065" s="60">
        <f t="shared" si="2"/>
        <v>46150</v>
      </c>
      <c r="P1065" s="65" t="str">
        <f>VLOOKUP(I1065,DATABASE!C:Q,11,FALSE)</f>
        <v>Tire</v>
      </c>
      <c r="Q1065" s="65" t="str">
        <f>VLOOKUP(I1065,DATABASE!C:Q,4,FALSE)</f>
        <v>Bridgestone</v>
      </c>
      <c r="R1065" s="101"/>
      <c r="U1065" s="101"/>
    </row>
    <row r="1066" ht="22.5" customHeight="1">
      <c r="A1066" s="49"/>
      <c r="C1066" s="192">
        <v>46091.0</v>
      </c>
      <c r="D1066" s="192">
        <v>46090.0</v>
      </c>
      <c r="E1066" s="69" t="s">
        <v>97</v>
      </c>
      <c r="F1066" s="243" t="s">
        <v>343</v>
      </c>
      <c r="G1066" s="69" t="s">
        <v>2496</v>
      </c>
      <c r="H1066" s="69" t="s">
        <v>87</v>
      </c>
      <c r="I1066" s="140" t="s">
        <v>1175</v>
      </c>
      <c r="J1066" s="446">
        <v>4.0</v>
      </c>
      <c r="K1066" s="140">
        <v>859264.0</v>
      </c>
      <c r="L1066" s="140">
        <v>859264.0</v>
      </c>
      <c r="M1066" s="140" t="s">
        <v>521</v>
      </c>
      <c r="N1066" s="74">
        <f t="shared" si="5"/>
        <v>3437056</v>
      </c>
      <c r="O1066" s="60">
        <f t="shared" si="2"/>
        <v>46150</v>
      </c>
      <c r="P1066" s="65" t="str">
        <f>VLOOKUP(I1066,DATABASE!C:Q,11,FALSE)</f>
        <v>Tire</v>
      </c>
      <c r="Q1066" s="65" t="str">
        <f>VLOOKUP(I1066,DATABASE!C:Q,4,FALSE)</f>
        <v>Bridgestone</v>
      </c>
      <c r="R1066" s="101"/>
      <c r="U1066" s="101"/>
    </row>
    <row r="1067" ht="22.5" customHeight="1">
      <c r="A1067" s="49"/>
      <c r="C1067" s="192">
        <v>46091.0</v>
      </c>
      <c r="D1067" s="192">
        <v>46090.0</v>
      </c>
      <c r="E1067" s="69" t="s">
        <v>97</v>
      </c>
      <c r="F1067" s="243" t="s">
        <v>343</v>
      </c>
      <c r="G1067" s="69" t="s">
        <v>2496</v>
      </c>
      <c r="H1067" s="69" t="s">
        <v>87</v>
      </c>
      <c r="I1067" s="140" t="s">
        <v>1112</v>
      </c>
      <c r="J1067" s="446">
        <v>4.0</v>
      </c>
      <c r="K1067" s="140">
        <v>980542.4</v>
      </c>
      <c r="L1067" s="140">
        <v>980542.4</v>
      </c>
      <c r="M1067" s="140" t="s">
        <v>521</v>
      </c>
      <c r="N1067" s="74">
        <f t="shared" si="5"/>
        <v>3922169.6</v>
      </c>
      <c r="O1067" s="60">
        <f t="shared" si="2"/>
        <v>46150</v>
      </c>
      <c r="P1067" s="65" t="str">
        <f>VLOOKUP(I1067,DATABASE!C:Q,11,FALSE)</f>
        <v>Tire</v>
      </c>
      <c r="Q1067" s="65" t="str">
        <f>VLOOKUP(I1067,DATABASE!C:Q,4,FALSE)</f>
        <v>Bridgestone</v>
      </c>
      <c r="R1067" s="101"/>
      <c r="U1067" s="101"/>
    </row>
    <row r="1068" ht="22.5" customHeight="1">
      <c r="A1068" s="49"/>
      <c r="C1068" s="192">
        <v>46091.0</v>
      </c>
      <c r="D1068" s="192">
        <v>46090.0</v>
      </c>
      <c r="E1068" s="69" t="s">
        <v>97</v>
      </c>
      <c r="F1068" s="243" t="s">
        <v>343</v>
      </c>
      <c r="G1068" s="69" t="s">
        <v>2498</v>
      </c>
      <c r="H1068" s="69" t="s">
        <v>87</v>
      </c>
      <c r="I1068" s="140" t="s">
        <v>572</v>
      </c>
      <c r="J1068" s="446">
        <v>5.0</v>
      </c>
      <c r="K1068" s="140">
        <v>1245000.0</v>
      </c>
      <c r="L1068" s="140">
        <v>1245000.0</v>
      </c>
      <c r="M1068" s="140" t="s">
        <v>755</v>
      </c>
      <c r="N1068" s="74">
        <f t="shared" si="5"/>
        <v>6225000</v>
      </c>
      <c r="O1068" s="60">
        <f t="shared" si="2"/>
        <v>46120</v>
      </c>
      <c r="P1068" s="65" t="str">
        <f>VLOOKUP(I1068,DATABASE!C:Q,11,FALSE)</f>
        <v>Tire</v>
      </c>
      <c r="Q1068" s="65" t="str">
        <f>VLOOKUP(I1068,DATABASE!C:Q,4,FALSE)</f>
        <v>Bridgestone</v>
      </c>
      <c r="R1068" s="101"/>
      <c r="U1068" s="101"/>
    </row>
    <row r="1069" ht="22.5" customHeight="1">
      <c r="A1069" s="49"/>
      <c r="C1069" s="192">
        <v>46092.0</v>
      </c>
      <c r="D1069" s="192">
        <v>46092.0</v>
      </c>
      <c r="E1069" s="69" t="s">
        <v>372</v>
      </c>
      <c r="F1069" s="243" t="s">
        <v>343</v>
      </c>
      <c r="G1069" s="69" t="s">
        <v>1980</v>
      </c>
      <c r="H1069" s="69" t="s">
        <v>7</v>
      </c>
      <c r="I1069" s="140" t="s">
        <v>2221</v>
      </c>
      <c r="J1069" s="446">
        <v>2.0</v>
      </c>
      <c r="K1069" s="140">
        <v>450000.0</v>
      </c>
      <c r="L1069" s="140">
        <v>450000.0</v>
      </c>
      <c r="M1069" s="140" t="s">
        <v>2190</v>
      </c>
      <c r="N1069" s="74">
        <f t="shared" si="5"/>
        <v>900000</v>
      </c>
      <c r="O1069" s="60">
        <f t="shared" si="2"/>
        <v>46106</v>
      </c>
      <c r="P1069" s="65" t="str">
        <f>VLOOKUP(I1069,DATABASE!C:Q,11,FALSE)</f>
        <v>Tire</v>
      </c>
      <c r="Q1069" s="65" t="str">
        <f>VLOOKUP(I1069,DATABASE!C:Q,4,FALSE)</f>
        <v>Velg</v>
      </c>
      <c r="R1069" s="101"/>
      <c r="U1069" s="101"/>
    </row>
    <row r="1070" ht="22.5" customHeight="1">
      <c r="A1070" s="49"/>
      <c r="C1070" s="192">
        <v>46092.0</v>
      </c>
      <c r="D1070" s="192">
        <v>46091.0</v>
      </c>
      <c r="E1070" s="69" t="s">
        <v>386</v>
      </c>
      <c r="F1070" s="243" t="s">
        <v>343</v>
      </c>
      <c r="G1070" s="69" t="s">
        <v>2136</v>
      </c>
      <c r="H1070" s="69" t="s">
        <v>2314</v>
      </c>
      <c r="I1070" s="140" t="s">
        <v>263</v>
      </c>
      <c r="J1070" s="446">
        <v>16.0</v>
      </c>
      <c r="K1070" s="140">
        <v>287688.0</v>
      </c>
      <c r="L1070" s="140">
        <v>273900.0</v>
      </c>
      <c r="M1070" s="140" t="s">
        <v>755</v>
      </c>
      <c r="N1070" s="74">
        <f t="shared" si="5"/>
        <v>4382400</v>
      </c>
      <c r="O1070" s="60">
        <f t="shared" si="2"/>
        <v>46121</v>
      </c>
      <c r="P1070" s="65" t="str">
        <f>VLOOKUP(I1070,DATABASE!C:Q,11,FALSE)</f>
        <v>OIL</v>
      </c>
      <c r="Q1070" s="65" t="str">
        <f>VLOOKUP(I1070,DATABASE!C:Q,4,FALSE)</f>
        <v>Shell</v>
      </c>
      <c r="R1070" s="101"/>
      <c r="U1070" s="101"/>
    </row>
    <row r="1071" ht="22.5" customHeight="1">
      <c r="A1071" s="49"/>
      <c r="C1071" s="192">
        <v>46092.0</v>
      </c>
      <c r="D1071" s="192">
        <v>46091.0</v>
      </c>
      <c r="E1071" s="69" t="s">
        <v>386</v>
      </c>
      <c r="F1071" s="243" t="s">
        <v>343</v>
      </c>
      <c r="G1071" s="69" t="s">
        <v>2136</v>
      </c>
      <c r="H1071" s="69" t="s">
        <v>2314</v>
      </c>
      <c r="I1071" s="140" t="s">
        <v>2191</v>
      </c>
      <c r="J1071" s="446">
        <v>4.0</v>
      </c>
      <c r="K1071" s="140">
        <v>377951.0</v>
      </c>
      <c r="L1071" s="140">
        <v>356800.0</v>
      </c>
      <c r="M1071" s="140" t="s">
        <v>755</v>
      </c>
      <c r="N1071" s="74">
        <f t="shared" si="5"/>
        <v>1427200</v>
      </c>
      <c r="O1071" s="60">
        <f t="shared" si="2"/>
        <v>46121</v>
      </c>
      <c r="P1071" s="65" t="str">
        <f>VLOOKUP(I1071,DATABASE!C:Q,11,FALSE)</f>
        <v>OIL</v>
      </c>
      <c r="Q1071" s="65" t="str">
        <f>VLOOKUP(I1071,DATABASE!C:Q,4,FALSE)</f>
        <v>Shell</v>
      </c>
      <c r="R1071" s="101"/>
      <c r="U1071" s="101"/>
    </row>
    <row r="1072" ht="22.5" customHeight="1">
      <c r="A1072" s="49"/>
      <c r="C1072" s="192">
        <v>46092.0</v>
      </c>
      <c r="D1072" s="192">
        <v>46091.0</v>
      </c>
      <c r="E1072" s="69" t="s">
        <v>386</v>
      </c>
      <c r="F1072" s="243" t="s">
        <v>343</v>
      </c>
      <c r="G1072" s="69" t="s">
        <v>2136</v>
      </c>
      <c r="H1072" s="69" t="s">
        <v>2314</v>
      </c>
      <c r="I1072" s="140" t="s">
        <v>252</v>
      </c>
      <c r="J1072" s="446">
        <v>12.0</v>
      </c>
      <c r="K1072" s="140">
        <v>271778.0</v>
      </c>
      <c r="L1072" s="140">
        <v>256600.0</v>
      </c>
      <c r="M1072" s="140" t="s">
        <v>755</v>
      </c>
      <c r="N1072" s="140">
        <f>L1072*J1072</f>
        <v>3079200</v>
      </c>
      <c r="O1072" s="60">
        <f t="shared" si="2"/>
        <v>46121</v>
      </c>
      <c r="P1072" s="65" t="str">
        <f>VLOOKUP(I1072,DATABASE!C:Q,11,FALSE)</f>
        <v>OIL</v>
      </c>
      <c r="Q1072" s="65" t="str">
        <f>VLOOKUP(I1072,DATABASE!C:Q,4,FALSE)</f>
        <v>Shell</v>
      </c>
      <c r="R1072" s="101"/>
      <c r="U1072" s="101"/>
    </row>
    <row r="1073" ht="22.5" customHeight="1">
      <c r="A1073" s="49"/>
      <c r="C1073" s="192">
        <v>46093.0</v>
      </c>
      <c r="D1073" s="192">
        <v>46091.0</v>
      </c>
      <c r="E1073" s="69" t="s">
        <v>335</v>
      </c>
      <c r="F1073" s="243" t="s">
        <v>343</v>
      </c>
      <c r="G1073" s="69" t="s">
        <v>2205</v>
      </c>
      <c r="H1073" s="69" t="s">
        <v>7</v>
      </c>
      <c r="I1073" s="140" t="s">
        <v>374</v>
      </c>
      <c r="J1073" s="446">
        <v>10.0</v>
      </c>
      <c r="K1073" s="140">
        <v>1940000.0</v>
      </c>
      <c r="L1073" s="140">
        <v>1940000.0</v>
      </c>
      <c r="M1073" s="140" t="s">
        <v>755</v>
      </c>
      <c r="N1073" s="74">
        <f t="shared" ref="N1073:N2002" si="6">J1073*L1073</f>
        <v>19400000</v>
      </c>
      <c r="O1073" s="60">
        <f t="shared" si="2"/>
        <v>46121</v>
      </c>
      <c r="P1073" s="65" t="str">
        <f>VLOOKUP(I1073,DATABASE!C:Q,11,FALSE)</f>
        <v>Tire</v>
      </c>
      <c r="Q1073" s="65" t="str">
        <f>VLOOKUP(I1073,DATABASE!C:Q,4,FALSE)</f>
        <v>Advance</v>
      </c>
      <c r="R1073" s="101"/>
      <c r="U1073" s="101"/>
    </row>
    <row r="1074" ht="22.5" customHeight="1">
      <c r="A1074" s="49"/>
      <c r="C1074" s="192">
        <v>46093.0</v>
      </c>
      <c r="D1074" s="192">
        <v>46091.0</v>
      </c>
      <c r="E1074" s="69" t="s">
        <v>335</v>
      </c>
      <c r="F1074" s="243" t="s">
        <v>343</v>
      </c>
      <c r="G1074" s="69" t="s">
        <v>2205</v>
      </c>
      <c r="H1074" s="69" t="s">
        <v>7</v>
      </c>
      <c r="I1074" s="140" t="s">
        <v>924</v>
      </c>
      <c r="J1074" s="446">
        <v>10.0</v>
      </c>
      <c r="K1074" s="140">
        <v>1545000.0</v>
      </c>
      <c r="L1074" s="140">
        <v>1545000.0</v>
      </c>
      <c r="M1074" s="140" t="s">
        <v>755</v>
      </c>
      <c r="N1074" s="74">
        <f t="shared" si="6"/>
        <v>15450000</v>
      </c>
      <c r="O1074" s="60">
        <f t="shared" si="2"/>
        <v>46121</v>
      </c>
      <c r="P1074" s="65" t="str">
        <f>VLOOKUP(I1074,DATABASE!C:Q,11,FALSE)</f>
        <v>Tire</v>
      </c>
      <c r="Q1074" s="65" t="str">
        <f>VLOOKUP(I1074,DATABASE!C:Q,4,FALSE)</f>
        <v>TIRON</v>
      </c>
      <c r="R1074" s="101"/>
      <c r="U1074" s="101"/>
    </row>
    <row r="1075" ht="22.5" customHeight="1">
      <c r="A1075" s="49"/>
      <c r="C1075" s="192">
        <v>46095.0</v>
      </c>
      <c r="D1075" s="192">
        <v>46095.0</v>
      </c>
      <c r="E1075" s="69" t="s">
        <v>372</v>
      </c>
      <c r="F1075" s="243" t="s">
        <v>343</v>
      </c>
      <c r="G1075" s="69" t="s">
        <v>1982</v>
      </c>
      <c r="H1075" s="69" t="s">
        <v>7</v>
      </c>
      <c r="I1075" s="140" t="s">
        <v>2555</v>
      </c>
      <c r="J1075" s="446">
        <v>4.0</v>
      </c>
      <c r="K1075" s="140">
        <v>520000.0</v>
      </c>
      <c r="L1075" s="140">
        <v>520000.0</v>
      </c>
      <c r="M1075" s="140" t="s">
        <v>521</v>
      </c>
      <c r="N1075" s="74">
        <f t="shared" si="6"/>
        <v>2080000</v>
      </c>
      <c r="O1075" s="60">
        <f t="shared" si="2"/>
        <v>46155</v>
      </c>
      <c r="P1075" s="65" t="str">
        <f>VLOOKUP(I1075,DATABASE!C:Q,11,FALSE)</f>
        <v>Tire</v>
      </c>
      <c r="Q1075" s="65" t="str">
        <f>VLOOKUP(I1075,DATABASE!C:Q,4,FALSE)</f>
        <v>Laufen</v>
      </c>
      <c r="R1075" s="101"/>
      <c r="U1075" s="101"/>
    </row>
    <row r="1076" ht="22.5" customHeight="1">
      <c r="A1076" s="49"/>
      <c r="C1076" s="192">
        <v>46095.0</v>
      </c>
      <c r="D1076" s="192">
        <v>46095.0</v>
      </c>
      <c r="E1076" s="69" t="s">
        <v>372</v>
      </c>
      <c r="F1076" s="243" t="s">
        <v>343</v>
      </c>
      <c r="G1076" s="69" t="s">
        <v>1982</v>
      </c>
      <c r="H1076" s="69" t="s">
        <v>7</v>
      </c>
      <c r="I1076" s="140" t="s">
        <v>2626</v>
      </c>
      <c r="J1076" s="446">
        <v>8.0</v>
      </c>
      <c r="K1076" s="140">
        <v>548000.0</v>
      </c>
      <c r="L1076" s="140">
        <v>548000.0</v>
      </c>
      <c r="M1076" s="140" t="s">
        <v>521</v>
      </c>
      <c r="N1076" s="74">
        <f t="shared" si="6"/>
        <v>4384000</v>
      </c>
      <c r="O1076" s="60">
        <f t="shared" si="2"/>
        <v>46155</v>
      </c>
      <c r="P1076" s="65" t="str">
        <f>VLOOKUP(I1076,DATABASE!C:Q,11,FALSE)</f>
        <v>Tire</v>
      </c>
      <c r="Q1076" s="65" t="str">
        <f>VLOOKUP(I1076,DATABASE!C:Q,4,FALSE)</f>
        <v>Laufen</v>
      </c>
      <c r="R1076" s="101"/>
      <c r="U1076" s="101"/>
    </row>
    <row r="1077" ht="22.5" customHeight="1">
      <c r="A1077" s="49"/>
      <c r="C1077" s="192">
        <v>46095.0</v>
      </c>
      <c r="D1077" s="192">
        <v>46095.0</v>
      </c>
      <c r="E1077" s="69" t="s">
        <v>372</v>
      </c>
      <c r="F1077" s="243" t="s">
        <v>343</v>
      </c>
      <c r="G1077" s="69" t="s">
        <v>1982</v>
      </c>
      <c r="H1077" s="69" t="s">
        <v>7</v>
      </c>
      <c r="I1077" s="140" t="s">
        <v>2610</v>
      </c>
      <c r="J1077" s="446">
        <v>2.0</v>
      </c>
      <c r="K1077" s="140">
        <v>802000.0</v>
      </c>
      <c r="L1077" s="140">
        <v>802000.0</v>
      </c>
      <c r="M1077" s="140" t="s">
        <v>521</v>
      </c>
      <c r="N1077" s="74">
        <f t="shared" si="6"/>
        <v>1604000</v>
      </c>
      <c r="O1077" s="60">
        <f t="shared" si="2"/>
        <v>46155</v>
      </c>
      <c r="P1077" s="65" t="str">
        <f>VLOOKUP(I1077,DATABASE!C:Q,11,FALSE)</f>
        <v>Tire</v>
      </c>
      <c r="Q1077" s="65" t="str">
        <f>VLOOKUP(I1077,DATABASE!C:Q,4,FALSE)</f>
        <v>Laufen</v>
      </c>
      <c r="R1077" s="101"/>
      <c r="U1077" s="101"/>
    </row>
    <row r="1078" ht="22.5" customHeight="1">
      <c r="A1078" s="49"/>
      <c r="C1078" s="192">
        <v>46095.0</v>
      </c>
      <c r="D1078" s="192">
        <v>46095.0</v>
      </c>
      <c r="E1078" s="69" t="s">
        <v>372</v>
      </c>
      <c r="F1078" s="243" t="s">
        <v>343</v>
      </c>
      <c r="G1078" s="69" t="s">
        <v>1982</v>
      </c>
      <c r="H1078" s="69" t="s">
        <v>7</v>
      </c>
      <c r="I1078" s="140" t="s">
        <v>1526</v>
      </c>
      <c r="J1078" s="446">
        <v>2.0</v>
      </c>
      <c r="K1078" s="140">
        <v>450000.0</v>
      </c>
      <c r="L1078" s="140">
        <v>450000.0</v>
      </c>
      <c r="M1078" s="140" t="s">
        <v>521</v>
      </c>
      <c r="N1078" s="74">
        <f t="shared" si="6"/>
        <v>900000</v>
      </c>
      <c r="O1078" s="60">
        <f t="shared" si="2"/>
        <v>46155</v>
      </c>
      <c r="P1078" s="65" t="str">
        <f>VLOOKUP(I1078,DATABASE!C:Q,11,FALSE)</f>
        <v>Tire</v>
      </c>
      <c r="Q1078" s="65" t="str">
        <f>VLOOKUP(I1078,DATABASE!C:Q,4,FALSE)</f>
        <v>Laufen</v>
      </c>
      <c r="R1078" s="101"/>
      <c r="U1078" s="101"/>
    </row>
    <row r="1079" ht="22.5" customHeight="1">
      <c r="A1079" s="49"/>
      <c r="C1079" s="192">
        <v>46095.0</v>
      </c>
      <c r="D1079" s="192">
        <v>46095.0</v>
      </c>
      <c r="E1079" s="69" t="s">
        <v>81</v>
      </c>
      <c r="F1079" s="243" t="s">
        <v>343</v>
      </c>
      <c r="G1079" s="69" t="s">
        <v>0</v>
      </c>
      <c r="H1079" s="69" t="s">
        <v>2314</v>
      </c>
      <c r="I1079" s="140" t="s">
        <v>275</v>
      </c>
      <c r="J1079" s="446">
        <v>6.0</v>
      </c>
      <c r="K1079" s="140">
        <v>745000.0</v>
      </c>
      <c r="L1079" s="140">
        <v>745000.0</v>
      </c>
      <c r="M1079" s="140" t="s">
        <v>521</v>
      </c>
      <c r="N1079" s="74">
        <f t="shared" si="6"/>
        <v>4470000</v>
      </c>
      <c r="O1079" s="60">
        <f t="shared" si="2"/>
        <v>46155</v>
      </c>
      <c r="P1079" s="65" t="str">
        <f>VLOOKUP(I1079,DATABASE!C:Q,11,FALSE)</f>
        <v>Tire</v>
      </c>
      <c r="Q1079" s="65" t="str">
        <f>VLOOKUP(I1079,DATABASE!C:Q,4,FALSE)</f>
        <v>Dunlop</v>
      </c>
      <c r="R1079" s="101"/>
      <c r="U1079" s="101"/>
    </row>
    <row r="1080" ht="22.5" customHeight="1">
      <c r="A1080" s="49"/>
      <c r="C1080" s="192">
        <v>46097.0</v>
      </c>
      <c r="D1080" s="192">
        <v>46097.0</v>
      </c>
      <c r="E1080" s="69" t="s">
        <v>412</v>
      </c>
      <c r="F1080" s="243" t="s">
        <v>343</v>
      </c>
      <c r="G1080" s="69" t="s">
        <v>1463</v>
      </c>
      <c r="H1080" s="69" t="s">
        <v>2314</v>
      </c>
      <c r="I1080" s="140" t="s">
        <v>301</v>
      </c>
      <c r="J1080" s="446">
        <v>8.0</v>
      </c>
      <c r="K1080" s="140">
        <v>75000.0</v>
      </c>
      <c r="L1080" s="140">
        <v>47500.0</v>
      </c>
      <c r="M1080" s="140" t="s">
        <v>755</v>
      </c>
      <c r="N1080" s="74">
        <f t="shared" si="6"/>
        <v>380000</v>
      </c>
      <c r="O1080" s="60">
        <f t="shared" si="2"/>
        <v>46127</v>
      </c>
      <c r="P1080" s="65" t="str">
        <f>VLOOKUP(I1080,DATABASE!C:Q,11,FALSE)</f>
        <v>COMPLEMENTARY</v>
      </c>
      <c r="Q1080" s="65" t="str">
        <f>VLOOKUP(I1080,DATABASE!C:Q,4,FALSE)</f>
        <v>Baut Camber</v>
      </c>
      <c r="R1080" s="101"/>
      <c r="U1080" s="101"/>
    </row>
    <row r="1081" ht="22.5" customHeight="1">
      <c r="A1081" s="49"/>
      <c r="C1081" s="192">
        <v>46097.0</v>
      </c>
      <c r="D1081" s="192">
        <v>46097.0</v>
      </c>
      <c r="E1081" s="69" t="s">
        <v>412</v>
      </c>
      <c r="F1081" s="243" t="s">
        <v>343</v>
      </c>
      <c r="G1081" s="69" t="s">
        <v>1933</v>
      </c>
      <c r="H1081" s="69" t="s">
        <v>2314</v>
      </c>
      <c r="I1081" s="140" t="s">
        <v>301</v>
      </c>
      <c r="J1081" s="446">
        <v>4.0</v>
      </c>
      <c r="K1081" s="140">
        <v>75000.0</v>
      </c>
      <c r="L1081" s="140">
        <v>50000.0</v>
      </c>
      <c r="M1081" s="140" t="s">
        <v>755</v>
      </c>
      <c r="N1081" s="74">
        <f t="shared" si="6"/>
        <v>200000</v>
      </c>
      <c r="O1081" s="60">
        <f t="shared" si="2"/>
        <v>46127</v>
      </c>
      <c r="P1081" s="65" t="str">
        <f>VLOOKUP(I1081,DATABASE!C:Q,11,FALSE)</f>
        <v>COMPLEMENTARY</v>
      </c>
      <c r="Q1081" s="65" t="str">
        <f>VLOOKUP(I1081,DATABASE!C:Q,4,FALSE)</f>
        <v>Baut Camber</v>
      </c>
      <c r="R1081" s="101"/>
      <c r="U1081" s="101"/>
    </row>
    <row r="1082" ht="22.5" customHeight="1">
      <c r="A1082" s="49"/>
      <c r="C1082" s="192">
        <v>46097.0</v>
      </c>
      <c r="D1082" s="192">
        <v>46097.0</v>
      </c>
      <c r="E1082" s="69" t="s">
        <v>412</v>
      </c>
      <c r="F1082" s="243" t="s">
        <v>343</v>
      </c>
      <c r="G1082" s="69" t="s">
        <v>1933</v>
      </c>
      <c r="H1082" s="69" t="s">
        <v>2314</v>
      </c>
      <c r="I1082" s="140" t="s">
        <v>299</v>
      </c>
      <c r="J1082" s="446">
        <v>19.0</v>
      </c>
      <c r="K1082" s="140">
        <v>10000.0</v>
      </c>
      <c r="L1082" s="140">
        <v>5000.0</v>
      </c>
      <c r="M1082" s="140" t="s">
        <v>755</v>
      </c>
      <c r="N1082" s="74">
        <f t="shared" si="6"/>
        <v>95000</v>
      </c>
      <c r="O1082" s="60">
        <f t="shared" si="2"/>
        <v>46127</v>
      </c>
      <c r="P1082" s="65" t="str">
        <f>VLOOKUP(I1082,DATABASE!C:Q,11,FALSE)</f>
        <v>COMPLEMENTARY</v>
      </c>
      <c r="Q1082" s="65" t="str">
        <f>VLOOKUP(I1082,DATABASE!C:Q,4,FALSE)</f>
        <v>Balancing</v>
      </c>
      <c r="R1082" s="101"/>
      <c r="U1082" s="101"/>
    </row>
    <row r="1083" ht="22.5" customHeight="1">
      <c r="A1083" s="49"/>
      <c r="C1083" s="192">
        <v>46098.0</v>
      </c>
      <c r="D1083" s="192">
        <v>46098.0</v>
      </c>
      <c r="E1083" s="69" t="s">
        <v>123</v>
      </c>
      <c r="F1083" s="243" t="s">
        <v>343</v>
      </c>
      <c r="G1083" s="69" t="s">
        <v>2352</v>
      </c>
      <c r="H1083" s="69" t="s">
        <v>7</v>
      </c>
      <c r="I1083" s="140" t="s">
        <v>286</v>
      </c>
      <c r="J1083" s="446">
        <v>15.0</v>
      </c>
      <c r="K1083" s="140">
        <v>452970.0</v>
      </c>
      <c r="L1083" s="140">
        <v>453000.0</v>
      </c>
      <c r="M1083" s="140" t="s">
        <v>755</v>
      </c>
      <c r="N1083" s="74">
        <f t="shared" si="6"/>
        <v>6795000</v>
      </c>
      <c r="O1083" s="60">
        <f t="shared" si="2"/>
        <v>46128</v>
      </c>
      <c r="P1083" s="65" t="str">
        <f>VLOOKUP(I1083,DATABASE!C:Q,11,FALSE)</f>
        <v>Tire</v>
      </c>
      <c r="Q1083" s="65" t="str">
        <f>VLOOKUP(I1083,DATABASE!C:Q,4,FALSE)</f>
        <v>GT</v>
      </c>
      <c r="R1083" s="101"/>
      <c r="U1083" s="101"/>
    </row>
    <row r="1084" ht="22.5" customHeight="1">
      <c r="A1084" s="49"/>
      <c r="C1084" s="192">
        <v>46098.0</v>
      </c>
      <c r="D1084" s="192">
        <v>46098.0</v>
      </c>
      <c r="E1084" s="69" t="s">
        <v>123</v>
      </c>
      <c r="F1084" s="243" t="s">
        <v>343</v>
      </c>
      <c r="G1084" s="69" t="s">
        <v>2352</v>
      </c>
      <c r="H1084" s="69" t="s">
        <v>7</v>
      </c>
      <c r="I1084" s="140" t="s">
        <v>1430</v>
      </c>
      <c r="J1084" s="446">
        <v>4.0</v>
      </c>
      <c r="K1084" s="140">
        <v>659610.0</v>
      </c>
      <c r="L1084" s="140">
        <v>659600.0</v>
      </c>
      <c r="M1084" s="140" t="s">
        <v>755</v>
      </c>
      <c r="N1084" s="74">
        <f t="shared" si="6"/>
        <v>2638400</v>
      </c>
      <c r="O1084" s="60">
        <f t="shared" si="2"/>
        <v>46128</v>
      </c>
      <c r="P1084" s="65" t="str">
        <f>VLOOKUP(I1084,DATABASE!C:Q,11,FALSE)</f>
        <v>Tire</v>
      </c>
      <c r="Q1084" s="65" t="str">
        <f>VLOOKUP(I1084,DATABASE!C:Q,4,FALSE)</f>
        <v>GT</v>
      </c>
      <c r="R1084" s="101"/>
      <c r="U1084" s="101"/>
    </row>
    <row r="1085" ht="22.5" customHeight="1">
      <c r="A1085" s="49"/>
      <c r="C1085" s="192">
        <v>46098.0</v>
      </c>
      <c r="D1085" s="192">
        <v>46098.0</v>
      </c>
      <c r="E1085" s="69" t="s">
        <v>123</v>
      </c>
      <c r="F1085" s="243" t="s">
        <v>343</v>
      </c>
      <c r="G1085" s="69" t="s">
        <v>2352</v>
      </c>
      <c r="H1085" s="69" t="s">
        <v>7</v>
      </c>
      <c r="I1085" s="140" t="s">
        <v>1913</v>
      </c>
      <c r="J1085" s="446">
        <v>4.0</v>
      </c>
      <c r="K1085" s="140">
        <v>570200.0</v>
      </c>
      <c r="L1085" s="140">
        <v>570200.0</v>
      </c>
      <c r="M1085" s="140" t="s">
        <v>755</v>
      </c>
      <c r="N1085" s="74">
        <f t="shared" si="6"/>
        <v>2280800</v>
      </c>
      <c r="O1085" s="60">
        <f t="shared" si="2"/>
        <v>46128</v>
      </c>
      <c r="P1085" s="65" t="str">
        <f>VLOOKUP(I1085,DATABASE!C:Q,11,FALSE)</f>
        <v>Tire</v>
      </c>
      <c r="Q1085" s="65" t="str">
        <f>VLOOKUP(I1085,DATABASE!C:Q,4,FALSE)</f>
        <v>GT</v>
      </c>
      <c r="R1085" s="101"/>
      <c r="U1085" s="101"/>
    </row>
    <row r="1086" ht="22.5" customHeight="1">
      <c r="A1086" s="49"/>
      <c r="C1086" s="192">
        <v>46098.0</v>
      </c>
      <c r="D1086" s="192">
        <v>46098.0</v>
      </c>
      <c r="E1086" s="69" t="s">
        <v>123</v>
      </c>
      <c r="F1086" s="243" t="s">
        <v>343</v>
      </c>
      <c r="G1086" s="69" t="s">
        <v>2352</v>
      </c>
      <c r="H1086" s="69" t="s">
        <v>7</v>
      </c>
      <c r="I1086" s="140" t="s">
        <v>1009</v>
      </c>
      <c r="J1086" s="446">
        <v>7.0</v>
      </c>
      <c r="K1086" s="140">
        <v>592200.0</v>
      </c>
      <c r="L1086" s="140">
        <v>592200.0</v>
      </c>
      <c r="M1086" s="140" t="s">
        <v>755</v>
      </c>
      <c r="N1086" s="74">
        <f t="shared" si="6"/>
        <v>4145400</v>
      </c>
      <c r="O1086" s="60">
        <f t="shared" si="2"/>
        <v>46128</v>
      </c>
      <c r="P1086" s="65" t="str">
        <f>VLOOKUP(I1086,DATABASE!C:Q,11,FALSE)</f>
        <v>Tire</v>
      </c>
      <c r="Q1086" s="65" t="str">
        <f>VLOOKUP(I1086,DATABASE!C:Q,4,FALSE)</f>
        <v>GT</v>
      </c>
      <c r="R1086" s="101"/>
      <c r="U1086" s="101"/>
    </row>
    <row r="1087" ht="22.5" customHeight="1">
      <c r="A1087" s="49"/>
      <c r="C1087" s="192">
        <v>46098.0</v>
      </c>
      <c r="D1087" s="192">
        <v>46098.0</v>
      </c>
      <c r="E1087" s="69" t="s">
        <v>123</v>
      </c>
      <c r="F1087" s="243" t="s">
        <v>343</v>
      </c>
      <c r="G1087" s="69" t="s">
        <v>2352</v>
      </c>
      <c r="H1087" s="69" t="s">
        <v>7</v>
      </c>
      <c r="I1087" s="140" t="s">
        <v>288</v>
      </c>
      <c r="J1087" s="446">
        <v>2.0</v>
      </c>
      <c r="K1087" s="140">
        <v>524800.0</v>
      </c>
      <c r="L1087" s="140">
        <v>524800.0</v>
      </c>
      <c r="M1087" s="140" t="s">
        <v>755</v>
      </c>
      <c r="N1087" s="74">
        <f t="shared" si="6"/>
        <v>1049600</v>
      </c>
      <c r="O1087" s="60">
        <f t="shared" si="2"/>
        <v>46128</v>
      </c>
      <c r="P1087" s="65" t="str">
        <f>VLOOKUP(I1087,DATABASE!C:Q,11,FALSE)</f>
        <v>Tire</v>
      </c>
      <c r="Q1087" s="65" t="str">
        <f>VLOOKUP(I1087,DATABASE!C:Q,4,FALSE)</f>
        <v>GT</v>
      </c>
      <c r="R1087" s="101"/>
      <c r="U1087" s="101"/>
    </row>
    <row r="1088" ht="22.5" customHeight="1">
      <c r="A1088" s="49"/>
      <c r="C1088" s="192">
        <v>46098.0</v>
      </c>
      <c r="D1088" s="192">
        <v>46098.0</v>
      </c>
      <c r="E1088" s="69" t="s">
        <v>123</v>
      </c>
      <c r="F1088" s="243" t="s">
        <v>343</v>
      </c>
      <c r="G1088" s="69" t="s">
        <v>2352</v>
      </c>
      <c r="H1088" s="69" t="s">
        <v>7</v>
      </c>
      <c r="I1088" s="140" t="s">
        <v>1597</v>
      </c>
      <c r="J1088" s="446">
        <v>2.0</v>
      </c>
      <c r="K1088" s="140">
        <v>544300.0</v>
      </c>
      <c r="L1088" s="140">
        <v>544300.0</v>
      </c>
      <c r="M1088" s="140" t="s">
        <v>755</v>
      </c>
      <c r="N1088" s="74">
        <f t="shared" si="6"/>
        <v>1088600</v>
      </c>
      <c r="O1088" s="60">
        <f t="shared" si="2"/>
        <v>46128</v>
      </c>
      <c r="P1088" s="65" t="str">
        <f>VLOOKUP(I1088,DATABASE!C:Q,11,FALSE)</f>
        <v>Tire</v>
      </c>
      <c r="Q1088" s="65" t="str">
        <f>VLOOKUP(I1088,DATABASE!C:Q,4,FALSE)</f>
        <v>GT</v>
      </c>
      <c r="R1088" s="101"/>
      <c r="U1088" s="101"/>
    </row>
    <row r="1089" ht="22.5" customHeight="1">
      <c r="A1089" s="49"/>
      <c r="C1089" s="192">
        <v>46098.0</v>
      </c>
      <c r="D1089" s="192">
        <v>46098.0</v>
      </c>
      <c r="E1089" s="69" t="s">
        <v>123</v>
      </c>
      <c r="F1089" s="243" t="s">
        <v>343</v>
      </c>
      <c r="G1089" s="69" t="s">
        <v>2352</v>
      </c>
      <c r="H1089" s="69" t="s">
        <v>7</v>
      </c>
      <c r="I1089" s="140" t="s">
        <v>1898</v>
      </c>
      <c r="J1089" s="446">
        <v>4.0</v>
      </c>
      <c r="K1089" s="140">
        <v>628100.0</v>
      </c>
      <c r="L1089" s="140">
        <v>628100.0</v>
      </c>
      <c r="M1089" s="140" t="s">
        <v>755</v>
      </c>
      <c r="N1089" s="74">
        <f t="shared" si="6"/>
        <v>2512400</v>
      </c>
      <c r="O1089" s="60">
        <f t="shared" si="2"/>
        <v>46128</v>
      </c>
      <c r="P1089" s="65" t="str">
        <f>VLOOKUP(I1089,DATABASE!C:Q,11,FALSE)</f>
        <v>Tire</v>
      </c>
      <c r="Q1089" s="65" t="str">
        <f>VLOOKUP(I1089,DATABASE!C:Q,4,FALSE)</f>
        <v>GT</v>
      </c>
      <c r="R1089" s="101"/>
      <c r="U1089" s="101"/>
    </row>
    <row r="1090" ht="22.5" customHeight="1">
      <c r="A1090" s="49"/>
      <c r="C1090" s="192">
        <v>46098.0</v>
      </c>
      <c r="D1090" s="192">
        <v>46098.0</v>
      </c>
      <c r="E1090" s="69" t="s">
        <v>123</v>
      </c>
      <c r="F1090" s="243" t="s">
        <v>343</v>
      </c>
      <c r="G1090" s="69" t="s">
        <v>2352</v>
      </c>
      <c r="H1090" s="69" t="s">
        <v>7</v>
      </c>
      <c r="I1090" s="140" t="s">
        <v>1928</v>
      </c>
      <c r="J1090" s="446">
        <v>2.0</v>
      </c>
      <c r="K1090" s="140">
        <v>572700.0</v>
      </c>
      <c r="L1090" s="140">
        <v>572700.0</v>
      </c>
      <c r="M1090" s="140" t="s">
        <v>755</v>
      </c>
      <c r="N1090" s="74">
        <f t="shared" si="6"/>
        <v>1145400</v>
      </c>
      <c r="O1090" s="60">
        <f t="shared" si="2"/>
        <v>46128</v>
      </c>
      <c r="P1090" s="65" t="str">
        <f>VLOOKUP(I1090,DATABASE!C:Q,11,FALSE)</f>
        <v>Tire</v>
      </c>
      <c r="Q1090" s="65" t="str">
        <f>VLOOKUP(I1090,DATABASE!C:Q,4,FALSE)</f>
        <v>GT</v>
      </c>
      <c r="R1090" s="101"/>
      <c r="U1090" s="101"/>
    </row>
    <row r="1091" ht="22.5" customHeight="1">
      <c r="A1091" s="49"/>
      <c r="C1091" s="192">
        <v>46098.0</v>
      </c>
      <c r="D1091" s="192">
        <v>46098.0</v>
      </c>
      <c r="E1091" s="69" t="s">
        <v>123</v>
      </c>
      <c r="F1091" s="243" t="s">
        <v>343</v>
      </c>
      <c r="G1091" s="69" t="s">
        <v>2352</v>
      </c>
      <c r="H1091" s="69" t="s">
        <v>7</v>
      </c>
      <c r="I1091" s="140" t="s">
        <v>847</v>
      </c>
      <c r="J1091" s="446">
        <v>2.0</v>
      </c>
      <c r="K1091" s="140">
        <v>672210.0</v>
      </c>
      <c r="L1091" s="140">
        <v>672200.0</v>
      </c>
      <c r="M1091" s="140" t="s">
        <v>755</v>
      </c>
      <c r="N1091" s="74">
        <f t="shared" si="6"/>
        <v>1344400</v>
      </c>
      <c r="O1091" s="60">
        <f t="shared" si="2"/>
        <v>46128</v>
      </c>
      <c r="P1091" s="65" t="str">
        <f>VLOOKUP(I1091,DATABASE!C:Q,11,FALSE)</f>
        <v>Tire</v>
      </c>
      <c r="Q1091" s="65" t="str">
        <f>VLOOKUP(I1091,DATABASE!C:Q,4,FALSE)</f>
        <v>GT</v>
      </c>
      <c r="R1091" s="101"/>
      <c r="U1091" s="101"/>
    </row>
    <row r="1092" ht="22.5" customHeight="1">
      <c r="A1092" s="49"/>
      <c r="C1092" s="192">
        <v>46098.0</v>
      </c>
      <c r="D1092" s="192">
        <v>46098.0</v>
      </c>
      <c r="E1092" s="69" t="s">
        <v>123</v>
      </c>
      <c r="F1092" s="243" t="s">
        <v>343</v>
      </c>
      <c r="G1092" s="69" t="s">
        <v>2352</v>
      </c>
      <c r="H1092" s="69" t="s">
        <v>7</v>
      </c>
      <c r="I1092" s="140" t="s">
        <v>1940</v>
      </c>
      <c r="J1092" s="446">
        <v>5.0</v>
      </c>
      <c r="K1092" s="140">
        <v>716900.0</v>
      </c>
      <c r="L1092" s="140">
        <v>716900.0</v>
      </c>
      <c r="M1092" s="140" t="s">
        <v>755</v>
      </c>
      <c r="N1092" s="74">
        <f t="shared" si="6"/>
        <v>3584500</v>
      </c>
      <c r="O1092" s="60">
        <f t="shared" si="2"/>
        <v>46128</v>
      </c>
      <c r="P1092" s="65" t="str">
        <f>VLOOKUP(I1092,DATABASE!C:Q,11,FALSE)</f>
        <v>Tire</v>
      </c>
      <c r="Q1092" s="65" t="str">
        <f>VLOOKUP(I1092,DATABASE!C:Q,4,FALSE)</f>
        <v>GT</v>
      </c>
      <c r="R1092" s="101"/>
      <c r="U1092" s="101"/>
    </row>
    <row r="1093" ht="22.5" customHeight="1">
      <c r="A1093" s="49"/>
      <c r="C1093" s="192">
        <v>46098.0</v>
      </c>
      <c r="D1093" s="192">
        <v>46098.0</v>
      </c>
      <c r="E1093" s="69" t="s">
        <v>123</v>
      </c>
      <c r="F1093" s="243" t="s">
        <v>343</v>
      </c>
      <c r="G1093" s="69" t="s">
        <v>2352</v>
      </c>
      <c r="H1093" s="69" t="s">
        <v>7</v>
      </c>
      <c r="I1093" s="140" t="s">
        <v>1704</v>
      </c>
      <c r="J1093" s="446">
        <v>3.0</v>
      </c>
      <c r="K1093" s="140">
        <v>711900.0</v>
      </c>
      <c r="L1093" s="140">
        <v>711900.0</v>
      </c>
      <c r="M1093" s="140" t="s">
        <v>755</v>
      </c>
      <c r="N1093" s="74">
        <f t="shared" si="6"/>
        <v>2135700</v>
      </c>
      <c r="O1093" s="60">
        <f t="shared" si="2"/>
        <v>46128</v>
      </c>
      <c r="P1093" s="65" t="str">
        <f>VLOOKUP(I1093,DATABASE!C:Q,11,FALSE)</f>
        <v>Tire</v>
      </c>
      <c r="Q1093" s="65" t="str">
        <f>VLOOKUP(I1093,DATABASE!C:Q,4,FALSE)</f>
        <v>GT</v>
      </c>
      <c r="R1093" s="101"/>
      <c r="U1093" s="101"/>
    </row>
    <row r="1094" ht="22.5" customHeight="1">
      <c r="A1094" s="49"/>
      <c r="C1094" s="192">
        <v>46098.0</v>
      </c>
      <c r="D1094" s="192">
        <v>46098.0</v>
      </c>
      <c r="E1094" s="69" t="s">
        <v>123</v>
      </c>
      <c r="F1094" s="243" t="s">
        <v>343</v>
      </c>
      <c r="G1094" s="69" t="s">
        <v>2352</v>
      </c>
      <c r="H1094" s="69" t="s">
        <v>7</v>
      </c>
      <c r="I1094" s="140" t="s">
        <v>1951</v>
      </c>
      <c r="J1094" s="446">
        <v>2.0</v>
      </c>
      <c r="K1094" s="140">
        <v>757300.0</v>
      </c>
      <c r="L1094" s="140">
        <v>757300.0</v>
      </c>
      <c r="M1094" s="140" t="s">
        <v>755</v>
      </c>
      <c r="N1094" s="74">
        <f t="shared" si="6"/>
        <v>1514600</v>
      </c>
      <c r="O1094" s="60">
        <f t="shared" si="2"/>
        <v>46128</v>
      </c>
      <c r="P1094" s="65" t="str">
        <f>VLOOKUP(I1094,DATABASE!C:Q,11,FALSE)</f>
        <v>Tire</v>
      </c>
      <c r="Q1094" s="65" t="str">
        <f>VLOOKUP(I1094,DATABASE!C:Q,4,FALSE)</f>
        <v>GT</v>
      </c>
      <c r="R1094" s="101"/>
      <c r="U1094" s="101"/>
    </row>
    <row r="1095" ht="22.5" customHeight="1">
      <c r="A1095" s="49"/>
      <c r="C1095" s="192">
        <v>46098.0</v>
      </c>
      <c r="D1095" s="192">
        <v>46098.0</v>
      </c>
      <c r="E1095" s="69" t="s">
        <v>123</v>
      </c>
      <c r="F1095" s="243" t="s">
        <v>343</v>
      </c>
      <c r="G1095" s="69" t="s">
        <v>2352</v>
      </c>
      <c r="H1095" s="69" t="s">
        <v>7</v>
      </c>
      <c r="I1095" s="140" t="s">
        <v>1617</v>
      </c>
      <c r="J1095" s="446">
        <v>4.0</v>
      </c>
      <c r="K1095" s="140">
        <v>739000.0</v>
      </c>
      <c r="L1095" s="140">
        <v>739000.0</v>
      </c>
      <c r="M1095" s="140" t="s">
        <v>755</v>
      </c>
      <c r="N1095" s="74">
        <f t="shared" si="6"/>
        <v>2956000</v>
      </c>
      <c r="O1095" s="60">
        <f t="shared" si="2"/>
        <v>46128</v>
      </c>
      <c r="P1095" s="65" t="str">
        <f>VLOOKUP(I1095,DATABASE!C:Q,11,FALSE)</f>
        <v>Tire</v>
      </c>
      <c r="Q1095" s="65" t="str">
        <f>VLOOKUP(I1095,DATABASE!C:Q,4,FALSE)</f>
        <v>GT</v>
      </c>
      <c r="R1095" s="101"/>
      <c r="U1095" s="101"/>
    </row>
    <row r="1096" ht="22.5" customHeight="1">
      <c r="A1096" s="49"/>
      <c r="C1096" s="192">
        <v>46098.0</v>
      </c>
      <c r="D1096" s="192">
        <v>46098.0</v>
      </c>
      <c r="E1096" s="69" t="s">
        <v>123</v>
      </c>
      <c r="F1096" s="243" t="s">
        <v>343</v>
      </c>
      <c r="G1096" s="69" t="s">
        <v>2352</v>
      </c>
      <c r="H1096" s="69" t="s">
        <v>7</v>
      </c>
      <c r="I1096" s="140" t="s">
        <v>868</v>
      </c>
      <c r="J1096" s="446">
        <v>4.0</v>
      </c>
      <c r="K1096" s="140">
        <v>836000.0</v>
      </c>
      <c r="L1096" s="140">
        <v>836000.0</v>
      </c>
      <c r="M1096" s="140" t="s">
        <v>755</v>
      </c>
      <c r="N1096" s="74">
        <f t="shared" si="6"/>
        <v>3344000</v>
      </c>
      <c r="O1096" s="60">
        <f t="shared" si="2"/>
        <v>46128</v>
      </c>
      <c r="P1096" s="65" t="str">
        <f>VLOOKUP(I1096,DATABASE!C:Q,11,FALSE)</f>
        <v>Tire</v>
      </c>
      <c r="Q1096" s="65" t="str">
        <f>VLOOKUP(I1096,DATABASE!C:Q,4,FALSE)</f>
        <v>GT</v>
      </c>
      <c r="R1096" s="101"/>
      <c r="U1096" s="101"/>
    </row>
    <row r="1097" ht="22.5" customHeight="1">
      <c r="A1097" s="49"/>
      <c r="C1097" s="192">
        <v>46100.0</v>
      </c>
      <c r="D1097" s="192">
        <v>46099.0</v>
      </c>
      <c r="E1097" s="69" t="s">
        <v>81</v>
      </c>
      <c r="F1097" s="243" t="s">
        <v>343</v>
      </c>
      <c r="G1097" s="69" t="s">
        <v>1737</v>
      </c>
      <c r="H1097" s="69" t="s">
        <v>2314</v>
      </c>
      <c r="I1097" s="140" t="s">
        <v>932</v>
      </c>
      <c r="J1097" s="446">
        <v>4.0</v>
      </c>
      <c r="K1097" s="140">
        <v>595000.0</v>
      </c>
      <c r="L1097" s="140">
        <v>601000.0</v>
      </c>
      <c r="M1097" s="140" t="s">
        <v>755</v>
      </c>
      <c r="N1097" s="74">
        <f t="shared" si="6"/>
        <v>2404000</v>
      </c>
      <c r="O1097" s="60">
        <f t="shared" si="2"/>
        <v>46129</v>
      </c>
      <c r="P1097" s="65" t="str">
        <f>VLOOKUP(I1097,DATABASE!C:Q,11,FALSE)</f>
        <v>Tire</v>
      </c>
      <c r="Q1097" s="65" t="str">
        <f>VLOOKUP(I1097,DATABASE!C:Q,4,FALSE)</f>
        <v>Dunlop</v>
      </c>
      <c r="R1097" s="101"/>
      <c r="U1097" s="101"/>
    </row>
    <row r="1098" ht="22.5" customHeight="1">
      <c r="A1098" s="49"/>
      <c r="C1098" s="192">
        <v>46100.0</v>
      </c>
      <c r="D1098" s="192">
        <v>46099.0</v>
      </c>
      <c r="E1098" s="69" t="s">
        <v>110</v>
      </c>
      <c r="F1098" s="243" t="s">
        <v>343</v>
      </c>
      <c r="G1098" s="69">
        <v>2.6004314E7</v>
      </c>
      <c r="H1098" s="69" t="s">
        <v>7</v>
      </c>
      <c r="I1098" s="140" t="s">
        <v>2627</v>
      </c>
      <c r="J1098" s="446">
        <v>4.0</v>
      </c>
      <c r="K1098" s="140">
        <v>1097400.0</v>
      </c>
      <c r="L1098" s="140">
        <v>1097400.0</v>
      </c>
      <c r="M1098" s="140" t="s">
        <v>755</v>
      </c>
      <c r="N1098" s="74">
        <f t="shared" si="6"/>
        <v>4389600</v>
      </c>
      <c r="O1098" s="60">
        <f t="shared" si="2"/>
        <v>46129</v>
      </c>
      <c r="P1098" s="65" t="str">
        <f>VLOOKUP(I1098,DATABASE!C:Q,11,FALSE)</f>
        <v>Tire</v>
      </c>
      <c r="Q1098" s="65" t="str">
        <f>VLOOKUP(I1098,DATABASE!C:Q,4,FALSE)</f>
        <v>GT</v>
      </c>
      <c r="R1098" s="101"/>
      <c r="U1098" s="101"/>
    </row>
    <row r="1099" ht="22.5" customHeight="1">
      <c r="A1099" s="49"/>
      <c r="C1099" s="192">
        <v>46106.0</v>
      </c>
      <c r="D1099" s="192">
        <v>46106.0</v>
      </c>
      <c r="E1099" s="69" t="s">
        <v>257</v>
      </c>
      <c r="F1099" s="243" t="s">
        <v>998</v>
      </c>
      <c r="G1099" s="69">
        <v>4.011376857E9</v>
      </c>
      <c r="H1099" s="69" t="s">
        <v>2314</v>
      </c>
      <c r="I1099" s="140" t="s">
        <v>305</v>
      </c>
      <c r="J1099" s="446">
        <v>10.0</v>
      </c>
      <c r="K1099" s="140">
        <v>151890.0</v>
      </c>
      <c r="L1099" s="140">
        <v>143589.6</v>
      </c>
      <c r="M1099" s="140" t="s">
        <v>755</v>
      </c>
      <c r="N1099" s="74">
        <f t="shared" si="6"/>
        <v>1435896</v>
      </c>
      <c r="O1099" s="60">
        <f t="shared" si="2"/>
        <v>46136</v>
      </c>
      <c r="P1099" s="65" t="str">
        <f>VLOOKUP(I1099,DATABASE!C:Q,11,FALSE)</f>
        <v>COMPLEMENTARY</v>
      </c>
      <c r="Q1099" s="65" t="str">
        <f>VLOOKUP(I1099,DATABASE!C:Q,4,FALSE)</f>
        <v>Lower Arm</v>
      </c>
      <c r="R1099" s="101"/>
      <c r="U1099" s="101"/>
    </row>
    <row r="1100" ht="22.5" customHeight="1">
      <c r="A1100" s="49"/>
      <c r="C1100" s="192">
        <v>46108.0</v>
      </c>
      <c r="D1100" s="192">
        <v>46108.0</v>
      </c>
      <c r="E1100" s="69" t="s">
        <v>81</v>
      </c>
      <c r="F1100" s="243" t="s">
        <v>998</v>
      </c>
      <c r="G1100" s="69" t="s">
        <v>1742</v>
      </c>
      <c r="H1100" s="69" t="s">
        <v>2314</v>
      </c>
      <c r="I1100" s="140" t="s">
        <v>275</v>
      </c>
      <c r="J1100" s="446">
        <v>4.0</v>
      </c>
      <c r="K1100" s="140">
        <v>745000.0</v>
      </c>
      <c r="L1100" s="140">
        <v>745000.0</v>
      </c>
      <c r="M1100" s="140" t="s">
        <v>755</v>
      </c>
      <c r="N1100" s="74">
        <f t="shared" si="6"/>
        <v>2980000</v>
      </c>
      <c r="O1100" s="60">
        <f t="shared" si="2"/>
        <v>46138</v>
      </c>
      <c r="P1100" s="65" t="str">
        <f>VLOOKUP(I1100,DATABASE!C:Q,11,FALSE)</f>
        <v>Tire</v>
      </c>
      <c r="Q1100" s="65" t="str">
        <f>VLOOKUP(I1100,DATABASE!C:Q,4,FALSE)</f>
        <v>Dunlop</v>
      </c>
      <c r="R1100" s="101"/>
      <c r="U1100" s="101"/>
    </row>
    <row r="1101" ht="22.5" customHeight="1">
      <c r="A1101" s="49"/>
      <c r="C1101" s="192">
        <v>46109.0</v>
      </c>
      <c r="D1101" s="192">
        <v>46107.0</v>
      </c>
      <c r="E1101" s="69" t="s">
        <v>110</v>
      </c>
      <c r="F1101" s="243" t="s">
        <v>343</v>
      </c>
      <c r="G1101" s="69">
        <v>2.6004476E7</v>
      </c>
      <c r="H1101" s="69" t="s">
        <v>7</v>
      </c>
      <c r="I1101" s="140" t="s">
        <v>2037</v>
      </c>
      <c r="J1101" s="446">
        <v>1.0</v>
      </c>
      <c r="K1101" s="140">
        <v>2475000.0</v>
      </c>
      <c r="L1101" s="140">
        <v>2450000.0</v>
      </c>
      <c r="M1101" s="140" t="s">
        <v>755</v>
      </c>
      <c r="N1101" s="74">
        <f t="shared" si="6"/>
        <v>2450000</v>
      </c>
      <c r="O1101" s="60">
        <f t="shared" si="2"/>
        <v>46137</v>
      </c>
      <c r="P1101" s="65" t="str">
        <f>VLOOKUP(I1101,DATABASE!C:Q,11,FALSE)</f>
        <v>Tire</v>
      </c>
      <c r="Q1101" s="65" t="str">
        <f>VLOOKUP(I1101,DATABASE!C:Q,4,FALSE)</f>
        <v>GT</v>
      </c>
      <c r="R1101" s="101"/>
      <c r="U1101" s="101"/>
    </row>
    <row r="1102" ht="22.5" customHeight="1">
      <c r="A1102" s="49"/>
      <c r="C1102" s="192">
        <v>46109.0</v>
      </c>
      <c r="D1102" s="192">
        <v>46107.0</v>
      </c>
      <c r="E1102" s="69" t="s">
        <v>110</v>
      </c>
      <c r="F1102" s="243" t="s">
        <v>343</v>
      </c>
      <c r="G1102" s="69">
        <v>2.6004476E7</v>
      </c>
      <c r="H1102" s="69" t="s">
        <v>7</v>
      </c>
      <c r="I1102" s="140" t="s">
        <v>1871</v>
      </c>
      <c r="J1102" s="446">
        <v>1.0</v>
      </c>
      <c r="K1102" s="140">
        <v>3160000.0</v>
      </c>
      <c r="L1102" s="140">
        <v>3160000.0</v>
      </c>
      <c r="M1102" s="140" t="s">
        <v>755</v>
      </c>
      <c r="N1102" s="74">
        <f t="shared" si="6"/>
        <v>3160000</v>
      </c>
      <c r="O1102" s="60">
        <f t="shared" si="2"/>
        <v>46137</v>
      </c>
      <c r="P1102" s="65" t="str">
        <f>VLOOKUP(I1102,DATABASE!C:Q,11,FALSE)</f>
        <v>Tire</v>
      </c>
      <c r="Q1102" s="65" t="str">
        <f>VLOOKUP(I1102,DATABASE!C:Q,4,FALSE)</f>
        <v>GT</v>
      </c>
      <c r="R1102" s="101"/>
      <c r="U1102" s="101"/>
    </row>
    <row r="1103" ht="22.5" customHeight="1">
      <c r="A1103" s="49"/>
      <c r="C1103" s="192">
        <v>46109.0</v>
      </c>
      <c r="D1103" s="192">
        <v>46108.0</v>
      </c>
      <c r="E1103" s="69" t="s">
        <v>123</v>
      </c>
      <c r="F1103" s="243" t="s">
        <v>343</v>
      </c>
      <c r="G1103" s="69" t="s">
        <v>2353</v>
      </c>
      <c r="H1103" s="69" t="s">
        <v>7</v>
      </c>
      <c r="I1103" s="140" t="s">
        <v>294</v>
      </c>
      <c r="J1103" s="446">
        <v>4.0</v>
      </c>
      <c r="K1103" s="140">
        <v>490000.0</v>
      </c>
      <c r="L1103" s="140">
        <v>490000.0</v>
      </c>
      <c r="M1103" s="140" t="s">
        <v>2190</v>
      </c>
      <c r="N1103" s="74">
        <f t="shared" si="6"/>
        <v>1960000</v>
      </c>
      <c r="O1103" s="60">
        <f t="shared" si="2"/>
        <v>46122</v>
      </c>
      <c r="P1103" s="65" t="str">
        <f>VLOOKUP(I1103,DATABASE!C:Q,11,FALSE)</f>
        <v>Tire</v>
      </c>
      <c r="Q1103" s="65" t="str">
        <f>VLOOKUP(I1103,DATABASE!C:Q,4,FALSE)</f>
        <v>GT</v>
      </c>
      <c r="R1103" s="101"/>
      <c r="U1103" s="101"/>
    </row>
    <row r="1104" ht="22.5" customHeight="1">
      <c r="A1104" s="49"/>
      <c r="C1104" s="192">
        <v>46109.0</v>
      </c>
      <c r="D1104" s="192">
        <v>46108.0</v>
      </c>
      <c r="E1104" s="69" t="s">
        <v>123</v>
      </c>
      <c r="F1104" s="243" t="s">
        <v>343</v>
      </c>
      <c r="G1104" s="69" t="s">
        <v>2353</v>
      </c>
      <c r="H1104" s="69" t="s">
        <v>7</v>
      </c>
      <c r="I1104" s="140" t="s">
        <v>777</v>
      </c>
      <c r="J1104" s="446">
        <v>6.0</v>
      </c>
      <c r="K1104" s="140">
        <v>507000.0</v>
      </c>
      <c r="L1104" s="140">
        <v>505000.0</v>
      </c>
      <c r="M1104" s="140" t="s">
        <v>2190</v>
      </c>
      <c r="N1104" s="74">
        <f t="shared" si="6"/>
        <v>3030000</v>
      </c>
      <c r="O1104" s="60">
        <f t="shared" si="2"/>
        <v>46122</v>
      </c>
      <c r="P1104" s="65" t="str">
        <f>VLOOKUP(I1104,DATABASE!C:Q,11,FALSE)</f>
        <v>Tire</v>
      </c>
      <c r="Q1104" s="65" t="str">
        <f>VLOOKUP(I1104,DATABASE!C:Q,4,FALSE)</f>
        <v>GT</v>
      </c>
      <c r="R1104" s="101"/>
      <c r="U1104" s="101"/>
    </row>
    <row r="1105" ht="22.5" customHeight="1">
      <c r="A1105" s="49"/>
      <c r="C1105" s="192">
        <v>46109.0</v>
      </c>
      <c r="D1105" s="192">
        <v>46108.0</v>
      </c>
      <c r="E1105" s="69" t="s">
        <v>123</v>
      </c>
      <c r="F1105" s="243" t="s">
        <v>343</v>
      </c>
      <c r="G1105" s="69" t="s">
        <v>2353</v>
      </c>
      <c r="H1105" s="69" t="s">
        <v>7</v>
      </c>
      <c r="I1105" s="140" t="s">
        <v>2019</v>
      </c>
      <c r="J1105" s="446">
        <v>5.0</v>
      </c>
      <c r="K1105" s="140">
        <v>595000.0</v>
      </c>
      <c r="L1105" s="140">
        <v>595000.0</v>
      </c>
      <c r="M1105" s="140" t="s">
        <v>2190</v>
      </c>
      <c r="N1105" s="74">
        <f t="shared" si="6"/>
        <v>2975000</v>
      </c>
      <c r="O1105" s="60">
        <f t="shared" si="2"/>
        <v>46122</v>
      </c>
      <c r="P1105" s="65" t="str">
        <f>VLOOKUP(I1105,DATABASE!C:Q,11,FALSE)</f>
        <v>Tire</v>
      </c>
      <c r="Q1105" s="65" t="str">
        <f>VLOOKUP(I1105,DATABASE!C:Q,4,FALSE)</f>
        <v>GT</v>
      </c>
      <c r="R1105" s="101"/>
      <c r="U1105" s="101"/>
    </row>
    <row r="1106" ht="22.5" customHeight="1">
      <c r="A1106" s="49"/>
      <c r="C1106" s="192">
        <v>46109.0</v>
      </c>
      <c r="D1106" s="192">
        <v>46108.0</v>
      </c>
      <c r="E1106" s="69" t="s">
        <v>123</v>
      </c>
      <c r="F1106" s="243" t="s">
        <v>343</v>
      </c>
      <c r="G1106" s="69" t="s">
        <v>2353</v>
      </c>
      <c r="H1106" s="69" t="s">
        <v>7</v>
      </c>
      <c r="I1106" s="140" t="s">
        <v>1858</v>
      </c>
      <c r="J1106" s="446">
        <v>6.0</v>
      </c>
      <c r="K1106" s="140">
        <v>2030000.0</v>
      </c>
      <c r="L1106" s="140">
        <v>2030000.0</v>
      </c>
      <c r="M1106" s="140" t="s">
        <v>2190</v>
      </c>
      <c r="N1106" s="74">
        <f t="shared" si="6"/>
        <v>12180000</v>
      </c>
      <c r="O1106" s="60">
        <f t="shared" si="2"/>
        <v>46122</v>
      </c>
      <c r="P1106" s="65" t="str">
        <f>VLOOKUP(I1106,DATABASE!C:Q,11,FALSE)</f>
        <v>Tire</v>
      </c>
      <c r="Q1106" s="65" t="str">
        <f>VLOOKUP(I1106,DATABASE!C:Q,4,FALSE)</f>
        <v>GiTi</v>
      </c>
      <c r="R1106" s="101"/>
      <c r="U1106" s="101"/>
    </row>
    <row r="1107" ht="22.5" customHeight="1">
      <c r="A1107" s="49"/>
      <c r="C1107" s="192">
        <v>46109.0</v>
      </c>
      <c r="D1107" s="192">
        <v>46108.0</v>
      </c>
      <c r="E1107" s="69" t="s">
        <v>123</v>
      </c>
      <c r="F1107" s="243" t="s">
        <v>343</v>
      </c>
      <c r="G1107" s="69" t="s">
        <v>2353</v>
      </c>
      <c r="H1107" s="69" t="s">
        <v>7</v>
      </c>
      <c r="I1107" s="140" t="s">
        <v>1862</v>
      </c>
      <c r="J1107" s="446">
        <v>8.0</v>
      </c>
      <c r="K1107" s="140">
        <v>2050000.0</v>
      </c>
      <c r="L1107" s="140">
        <v>2050000.0</v>
      </c>
      <c r="M1107" s="140" t="s">
        <v>2190</v>
      </c>
      <c r="N1107" s="74">
        <f t="shared" si="6"/>
        <v>16400000</v>
      </c>
      <c r="O1107" s="60">
        <f t="shared" si="2"/>
        <v>46122</v>
      </c>
      <c r="P1107" s="65" t="str">
        <f>VLOOKUP(I1107,DATABASE!C:Q,11,FALSE)</f>
        <v>Tire</v>
      </c>
      <c r="Q1107" s="65" t="str">
        <f>VLOOKUP(I1107,DATABASE!C:Q,4,FALSE)</f>
        <v>GiTi</v>
      </c>
      <c r="R1107" s="101"/>
      <c r="U1107" s="101"/>
    </row>
    <row r="1108" ht="22.5" customHeight="1">
      <c r="A1108" s="49"/>
      <c r="C1108" s="192">
        <v>46109.0</v>
      </c>
      <c r="D1108" s="192">
        <v>46108.0</v>
      </c>
      <c r="E1108" s="69" t="s">
        <v>123</v>
      </c>
      <c r="F1108" s="243" t="s">
        <v>343</v>
      </c>
      <c r="G1108" s="69" t="s">
        <v>2353</v>
      </c>
      <c r="H1108" s="69" t="s">
        <v>7</v>
      </c>
      <c r="I1108" s="140" t="s">
        <v>255</v>
      </c>
      <c r="J1108" s="446">
        <v>20.0</v>
      </c>
      <c r="K1108" s="140">
        <v>161840.0</v>
      </c>
      <c r="L1108" s="140">
        <v>159500.0</v>
      </c>
      <c r="M1108" s="140" t="s">
        <v>2190</v>
      </c>
      <c r="N1108" s="74">
        <f t="shared" si="6"/>
        <v>3190000</v>
      </c>
      <c r="O1108" s="60">
        <f t="shared" si="2"/>
        <v>46122</v>
      </c>
      <c r="P1108" s="65" t="str">
        <f>VLOOKUP(I1108,DATABASE!C:Q,11,FALSE)</f>
        <v>Tire</v>
      </c>
      <c r="Q1108" s="65" t="str">
        <f>VLOOKUP(I1108,DATABASE!C:Q,4,FALSE)</f>
        <v>BD</v>
      </c>
      <c r="R1108" s="101"/>
      <c r="U1108" s="101"/>
    </row>
    <row r="1109" ht="22.5" customHeight="1">
      <c r="A1109" s="49"/>
      <c r="C1109" s="192">
        <v>46109.0</v>
      </c>
      <c r="D1109" s="192">
        <v>46108.0</v>
      </c>
      <c r="E1109" s="69" t="s">
        <v>123</v>
      </c>
      <c r="F1109" s="243" t="s">
        <v>343</v>
      </c>
      <c r="G1109" s="69" t="s">
        <v>2353</v>
      </c>
      <c r="H1109" s="69" t="s">
        <v>7</v>
      </c>
      <c r="I1109" s="140" t="s">
        <v>744</v>
      </c>
      <c r="J1109" s="446">
        <v>20.0</v>
      </c>
      <c r="K1109" s="140">
        <v>199920.0</v>
      </c>
      <c r="L1109" s="140">
        <v>197000.0</v>
      </c>
      <c r="M1109" s="140" t="s">
        <v>2190</v>
      </c>
      <c r="N1109" s="74">
        <f t="shared" si="6"/>
        <v>3940000</v>
      </c>
      <c r="O1109" s="60">
        <f t="shared" si="2"/>
        <v>46122</v>
      </c>
      <c r="P1109" s="65" t="str">
        <f>VLOOKUP(I1109,DATABASE!C:Q,11,FALSE)</f>
        <v>Tire</v>
      </c>
      <c r="Q1109" s="65" t="str">
        <f>VLOOKUP(I1109,DATABASE!C:Q,4,FALSE)</f>
        <v>BD</v>
      </c>
      <c r="R1109" s="101"/>
      <c r="U1109" s="101"/>
    </row>
    <row r="1110" ht="22.5" customHeight="1">
      <c r="A1110" s="49"/>
      <c r="C1110" s="192">
        <v>46109.0</v>
      </c>
      <c r="D1110" s="192">
        <v>46108.0</v>
      </c>
      <c r="E1110" s="69" t="s">
        <v>123</v>
      </c>
      <c r="F1110" s="243" t="s">
        <v>343</v>
      </c>
      <c r="G1110" s="69" t="s">
        <v>2353</v>
      </c>
      <c r="H1110" s="69" t="s">
        <v>7</v>
      </c>
      <c r="I1110" s="140" t="s">
        <v>821</v>
      </c>
      <c r="J1110" s="446">
        <v>30.0</v>
      </c>
      <c r="K1110" s="140">
        <v>43520.0</v>
      </c>
      <c r="L1110" s="140">
        <v>42900.0</v>
      </c>
      <c r="M1110" s="140" t="s">
        <v>2190</v>
      </c>
      <c r="N1110" s="74">
        <f t="shared" si="6"/>
        <v>1287000</v>
      </c>
      <c r="O1110" s="60">
        <f t="shared" si="2"/>
        <v>46122</v>
      </c>
      <c r="P1110" s="65" t="str">
        <f>VLOOKUP(I1110,DATABASE!C:Q,11,FALSE)</f>
        <v>Tire</v>
      </c>
      <c r="Q1110" s="65" t="str">
        <f>VLOOKUP(I1110,DATABASE!C:Q,4,FALSE)</f>
        <v>Flap</v>
      </c>
      <c r="R1110" s="101"/>
      <c r="U1110" s="101"/>
    </row>
    <row r="1111" ht="22.5" customHeight="1">
      <c r="A1111" s="49"/>
      <c r="C1111" s="192">
        <v>46111.0</v>
      </c>
      <c r="D1111" s="192">
        <v>46111.0</v>
      </c>
      <c r="E1111" s="69" t="s">
        <v>81</v>
      </c>
      <c r="F1111" s="243" t="s">
        <v>343</v>
      </c>
      <c r="G1111" s="69" t="s">
        <v>1751</v>
      </c>
      <c r="H1111" s="69" t="s">
        <v>87</v>
      </c>
      <c r="I1111" s="140" t="s">
        <v>268</v>
      </c>
      <c r="J1111" s="446">
        <v>10.0</v>
      </c>
      <c r="K1111" s="140">
        <v>622000.0</v>
      </c>
      <c r="L1111" s="140">
        <v>622000.0</v>
      </c>
      <c r="M1111" s="140" t="s">
        <v>657</v>
      </c>
      <c r="N1111" s="74">
        <f t="shared" si="6"/>
        <v>6220000</v>
      </c>
      <c r="O1111" s="60">
        <f t="shared" si="2"/>
        <v>46186</v>
      </c>
      <c r="P1111" s="65" t="str">
        <f>VLOOKUP(I1111,DATABASE!C:Q,11,FALSE)</f>
        <v>Tire</v>
      </c>
      <c r="Q1111" s="65" t="str">
        <f>VLOOKUP(I1111,DATABASE!C:Q,4,FALSE)</f>
        <v>Dunlop</v>
      </c>
      <c r="R1111" s="101"/>
      <c r="U1111" s="101"/>
    </row>
    <row r="1112" ht="22.5" customHeight="1">
      <c r="A1112" s="49"/>
      <c r="C1112" s="192">
        <v>46111.0</v>
      </c>
      <c r="D1112" s="192">
        <v>46111.0</v>
      </c>
      <c r="E1112" s="69" t="s">
        <v>81</v>
      </c>
      <c r="F1112" s="243" t="s">
        <v>343</v>
      </c>
      <c r="G1112" s="69" t="s">
        <v>1751</v>
      </c>
      <c r="H1112" s="69" t="s">
        <v>87</v>
      </c>
      <c r="I1112" s="140" t="s">
        <v>275</v>
      </c>
      <c r="J1112" s="446">
        <v>10.0</v>
      </c>
      <c r="K1112" s="140">
        <v>745000.0</v>
      </c>
      <c r="L1112" s="140">
        <v>745000.0</v>
      </c>
      <c r="M1112" s="140" t="s">
        <v>657</v>
      </c>
      <c r="N1112" s="74">
        <f t="shared" si="6"/>
        <v>7450000</v>
      </c>
      <c r="O1112" s="60">
        <f t="shared" si="2"/>
        <v>46186</v>
      </c>
      <c r="P1112" s="65" t="str">
        <f>VLOOKUP(I1112,DATABASE!C:Q,11,FALSE)</f>
        <v>Tire</v>
      </c>
      <c r="Q1112" s="65" t="str">
        <f>VLOOKUP(I1112,DATABASE!C:Q,4,FALSE)</f>
        <v>Dunlop</v>
      </c>
      <c r="R1112" s="101"/>
      <c r="U1112" s="101"/>
    </row>
    <row r="1113" ht="22.5" customHeight="1">
      <c r="A1113" s="49"/>
      <c r="C1113" s="192">
        <v>46111.0</v>
      </c>
      <c r="D1113" s="192">
        <v>46111.0</v>
      </c>
      <c r="E1113" s="69" t="s">
        <v>81</v>
      </c>
      <c r="F1113" s="243" t="s">
        <v>343</v>
      </c>
      <c r="G1113" s="69" t="s">
        <v>1751</v>
      </c>
      <c r="H1113" s="69" t="s">
        <v>87</v>
      </c>
      <c r="I1113" s="140" t="s">
        <v>932</v>
      </c>
      <c r="J1113" s="446">
        <v>14.0</v>
      </c>
      <c r="K1113" s="140">
        <v>601000.0</v>
      </c>
      <c r="L1113" s="140">
        <v>595000.0</v>
      </c>
      <c r="M1113" s="140" t="s">
        <v>657</v>
      </c>
      <c r="N1113" s="74">
        <f t="shared" si="6"/>
        <v>8330000</v>
      </c>
      <c r="O1113" s="60">
        <f t="shared" si="2"/>
        <v>46186</v>
      </c>
      <c r="P1113" s="65" t="str">
        <f>VLOOKUP(I1113,DATABASE!C:Q,11,FALSE)</f>
        <v>Tire</v>
      </c>
      <c r="Q1113" s="65" t="str">
        <f>VLOOKUP(I1113,DATABASE!C:Q,4,FALSE)</f>
        <v>Dunlop</v>
      </c>
      <c r="R1113" s="101"/>
      <c r="U1113" s="101"/>
    </row>
    <row r="1114" ht="22.5" customHeight="1">
      <c r="A1114" s="49"/>
      <c r="C1114" s="192">
        <v>46118.0</v>
      </c>
      <c r="D1114" s="192">
        <v>46118.0</v>
      </c>
      <c r="E1114" s="69" t="s">
        <v>81</v>
      </c>
      <c r="F1114" s="243" t="s">
        <v>998</v>
      </c>
      <c r="G1114" s="69" t="s">
        <v>0</v>
      </c>
      <c r="H1114" s="69" t="s">
        <v>2314</v>
      </c>
      <c r="I1114" s="140" t="s">
        <v>268</v>
      </c>
      <c r="J1114" s="446">
        <v>4.0</v>
      </c>
      <c r="K1114" s="140">
        <v>622000.0</v>
      </c>
      <c r="L1114" s="140">
        <v>622000.0</v>
      </c>
      <c r="M1114" s="140" t="s">
        <v>755</v>
      </c>
      <c r="N1114" s="74">
        <f t="shared" si="6"/>
        <v>2488000</v>
      </c>
      <c r="O1114" s="60">
        <f t="shared" si="2"/>
        <v>46148</v>
      </c>
      <c r="P1114" s="65" t="str">
        <f>VLOOKUP(I1114,DATABASE!C:Q,11,FALSE)</f>
        <v>Tire</v>
      </c>
      <c r="Q1114" s="65" t="str">
        <f>VLOOKUP(I1114,DATABASE!C:Q,4,FALSE)</f>
        <v>Dunlop</v>
      </c>
      <c r="R1114" s="101"/>
      <c r="U1114" s="101"/>
    </row>
    <row r="1115" ht="22.5" customHeight="1">
      <c r="A1115" s="49"/>
      <c r="C1115" s="192">
        <v>46118.0</v>
      </c>
      <c r="D1115" s="192">
        <v>46118.0</v>
      </c>
      <c r="E1115" s="69" t="s">
        <v>81</v>
      </c>
      <c r="F1115" s="243" t="s">
        <v>998</v>
      </c>
      <c r="G1115" s="69" t="s">
        <v>0</v>
      </c>
      <c r="H1115" s="69" t="s">
        <v>2314</v>
      </c>
      <c r="I1115" s="140" t="s">
        <v>275</v>
      </c>
      <c r="J1115" s="446">
        <v>4.0</v>
      </c>
      <c r="K1115" s="140">
        <v>745000.0</v>
      </c>
      <c r="L1115" s="140">
        <v>745000.0</v>
      </c>
      <c r="M1115" s="140" t="s">
        <v>755</v>
      </c>
      <c r="N1115" s="74">
        <f t="shared" si="6"/>
        <v>2980000</v>
      </c>
      <c r="O1115" s="60">
        <f t="shared" si="2"/>
        <v>46148</v>
      </c>
      <c r="P1115" s="65" t="str">
        <f>VLOOKUP(I1115,DATABASE!C:Q,11,FALSE)</f>
        <v>Tire</v>
      </c>
      <c r="Q1115" s="65" t="str">
        <f>VLOOKUP(I1115,DATABASE!C:Q,4,FALSE)</f>
        <v>Dunlop</v>
      </c>
      <c r="R1115" s="101"/>
      <c r="U1115" s="101"/>
    </row>
    <row r="1116" ht="22.5" customHeight="1">
      <c r="A1116" s="49"/>
      <c r="C1116" s="192">
        <v>46119.0</v>
      </c>
      <c r="D1116" s="192">
        <v>46118.0</v>
      </c>
      <c r="E1116" s="69" t="s">
        <v>97</v>
      </c>
      <c r="F1116" s="243" t="s">
        <v>343</v>
      </c>
      <c r="G1116" s="69" t="s">
        <v>2500</v>
      </c>
      <c r="H1116" s="69" t="s">
        <v>87</v>
      </c>
      <c r="I1116" s="140" t="s">
        <v>554</v>
      </c>
      <c r="J1116" s="446">
        <v>8.0</v>
      </c>
      <c r="K1116" s="140">
        <v>705000.0</v>
      </c>
      <c r="L1116" s="140">
        <v>705000.0</v>
      </c>
      <c r="M1116" s="140" t="s">
        <v>521</v>
      </c>
      <c r="N1116" s="74">
        <f t="shared" si="6"/>
        <v>5640000</v>
      </c>
      <c r="O1116" s="60">
        <f t="shared" si="2"/>
        <v>46178</v>
      </c>
      <c r="P1116" s="65" t="str">
        <f>VLOOKUP(I1116,DATABASE!C:Q,11,FALSE)</f>
        <v>Tire</v>
      </c>
      <c r="Q1116" s="65" t="str">
        <f>VLOOKUP(I1116,DATABASE!C:Q,4,FALSE)</f>
        <v>Bridgestone</v>
      </c>
      <c r="R1116" s="101"/>
      <c r="U1116" s="101"/>
    </row>
    <row r="1117" ht="22.5" customHeight="1">
      <c r="A1117" s="49"/>
      <c r="C1117" s="192">
        <v>46119.0</v>
      </c>
      <c r="D1117" s="192">
        <v>46118.0</v>
      </c>
      <c r="E1117" s="69" t="s">
        <v>97</v>
      </c>
      <c r="F1117" s="243" t="s">
        <v>343</v>
      </c>
      <c r="G1117" s="69" t="s">
        <v>2500</v>
      </c>
      <c r="H1117" s="69" t="s">
        <v>87</v>
      </c>
      <c r="I1117" s="140" t="s">
        <v>937</v>
      </c>
      <c r="J1117" s="446">
        <v>10.0</v>
      </c>
      <c r="K1117" s="140">
        <v>815000.0</v>
      </c>
      <c r="L1117" s="140">
        <v>815000.0</v>
      </c>
      <c r="M1117" s="140" t="s">
        <v>521</v>
      </c>
      <c r="N1117" s="74">
        <f t="shared" si="6"/>
        <v>8150000</v>
      </c>
      <c r="O1117" s="60">
        <f t="shared" si="2"/>
        <v>46178</v>
      </c>
      <c r="P1117" s="65" t="str">
        <f>VLOOKUP(I1117,DATABASE!C:Q,11,FALSE)</f>
        <v>Tire</v>
      </c>
      <c r="Q1117" s="65" t="str">
        <f>VLOOKUP(I1117,DATABASE!C:Q,4,FALSE)</f>
        <v>Bridgestone</v>
      </c>
      <c r="R1117" s="101"/>
      <c r="U1117" s="101"/>
    </row>
    <row r="1118" ht="22.5" customHeight="1">
      <c r="A1118" s="49"/>
      <c r="C1118" s="192">
        <v>46119.0</v>
      </c>
      <c r="D1118" s="192">
        <v>46118.0</v>
      </c>
      <c r="E1118" s="69" t="s">
        <v>97</v>
      </c>
      <c r="F1118" s="243" t="s">
        <v>343</v>
      </c>
      <c r="G1118" s="69" t="s">
        <v>2500</v>
      </c>
      <c r="H1118" s="69" t="s">
        <v>87</v>
      </c>
      <c r="I1118" s="140" t="s">
        <v>1097</v>
      </c>
      <c r="J1118" s="446">
        <v>4.0</v>
      </c>
      <c r="K1118" s="140">
        <v>815987.25</v>
      </c>
      <c r="L1118" s="140">
        <v>815987.25</v>
      </c>
      <c r="M1118" s="140" t="s">
        <v>521</v>
      </c>
      <c r="N1118" s="74">
        <f t="shared" si="6"/>
        <v>3263949</v>
      </c>
      <c r="O1118" s="60">
        <f t="shared" si="2"/>
        <v>46178</v>
      </c>
      <c r="P1118" s="65" t="str">
        <f>VLOOKUP(I1118,DATABASE!C:Q,11,FALSE)</f>
        <v>Tire</v>
      </c>
      <c r="Q1118" s="65" t="str">
        <f>VLOOKUP(I1118,DATABASE!C:Q,4,FALSE)</f>
        <v>Bridgestone</v>
      </c>
      <c r="R1118" s="101"/>
      <c r="U1118" s="101"/>
    </row>
    <row r="1119" ht="22.5" customHeight="1">
      <c r="A1119" s="49"/>
      <c r="C1119" s="192">
        <v>46119.0</v>
      </c>
      <c r="D1119" s="192">
        <v>46118.0</v>
      </c>
      <c r="E1119" s="69" t="s">
        <v>97</v>
      </c>
      <c r="F1119" s="243" t="s">
        <v>343</v>
      </c>
      <c r="G1119" s="69" t="s">
        <v>2500</v>
      </c>
      <c r="H1119" s="69" t="s">
        <v>87</v>
      </c>
      <c r="I1119" s="140" t="s">
        <v>622</v>
      </c>
      <c r="J1119" s="446">
        <v>10.0</v>
      </c>
      <c r="K1119" s="140">
        <v>822259.2</v>
      </c>
      <c r="L1119" s="140">
        <v>822259.2</v>
      </c>
      <c r="M1119" s="140" t="s">
        <v>521</v>
      </c>
      <c r="N1119" s="74">
        <f t="shared" si="6"/>
        <v>8222592</v>
      </c>
      <c r="O1119" s="60">
        <f t="shared" si="2"/>
        <v>46178</v>
      </c>
      <c r="P1119" s="65" t="str">
        <f>VLOOKUP(I1119,DATABASE!C:Q,11,FALSE)</f>
        <v>Tire</v>
      </c>
      <c r="Q1119" s="65" t="str">
        <f>VLOOKUP(I1119,DATABASE!C:Q,4,FALSE)</f>
        <v>Bridgestone</v>
      </c>
      <c r="R1119" s="101"/>
      <c r="U1119" s="101"/>
    </row>
    <row r="1120" ht="22.5" customHeight="1">
      <c r="A1120" s="49"/>
      <c r="C1120" s="192">
        <v>46119.0</v>
      </c>
      <c r="D1120" s="192">
        <v>46118.0</v>
      </c>
      <c r="E1120" s="69" t="s">
        <v>97</v>
      </c>
      <c r="F1120" s="243" t="s">
        <v>343</v>
      </c>
      <c r="G1120" s="69" t="s">
        <v>2501</v>
      </c>
      <c r="H1120" s="69" t="s">
        <v>87</v>
      </c>
      <c r="I1120" s="140" t="s">
        <v>566</v>
      </c>
      <c r="J1120" s="446">
        <v>10.0</v>
      </c>
      <c r="K1120" s="140">
        <v>1545000.0</v>
      </c>
      <c r="L1120" s="140">
        <v>1545000.0</v>
      </c>
      <c r="M1120" s="140" t="s">
        <v>755</v>
      </c>
      <c r="N1120" s="74">
        <f t="shared" si="6"/>
        <v>15450000</v>
      </c>
      <c r="O1120" s="60">
        <f t="shared" si="2"/>
        <v>46148</v>
      </c>
      <c r="P1120" s="65" t="str">
        <f>VLOOKUP(I1120,DATABASE!C:Q,11,FALSE)</f>
        <v>Tire</v>
      </c>
      <c r="Q1120" s="65" t="str">
        <f>VLOOKUP(I1120,DATABASE!C:Q,4,FALSE)</f>
        <v>Bridgestone</v>
      </c>
      <c r="R1120" s="101"/>
      <c r="U1120" s="101"/>
    </row>
    <row r="1121" ht="22.5" customHeight="1">
      <c r="A1121" s="49"/>
      <c r="C1121" s="192">
        <v>46119.0</v>
      </c>
      <c r="D1121" s="192">
        <v>46118.0</v>
      </c>
      <c r="E1121" s="69" t="s">
        <v>97</v>
      </c>
      <c r="F1121" s="243" t="s">
        <v>343</v>
      </c>
      <c r="G1121" s="69" t="s">
        <v>2501</v>
      </c>
      <c r="H1121" s="69" t="s">
        <v>87</v>
      </c>
      <c r="I1121" s="140" t="s">
        <v>572</v>
      </c>
      <c r="J1121" s="446">
        <v>5.0</v>
      </c>
      <c r="K1121" s="140">
        <v>1245000.0</v>
      </c>
      <c r="L1121" s="140">
        <v>1245000.0</v>
      </c>
      <c r="M1121" s="140" t="s">
        <v>755</v>
      </c>
      <c r="N1121" s="74">
        <f t="shared" si="6"/>
        <v>6225000</v>
      </c>
      <c r="O1121" s="60">
        <f t="shared" si="2"/>
        <v>46148</v>
      </c>
      <c r="P1121" s="65" t="str">
        <f>VLOOKUP(I1121,DATABASE!C:Q,11,FALSE)</f>
        <v>Tire</v>
      </c>
      <c r="Q1121" s="65" t="str">
        <f>VLOOKUP(I1121,DATABASE!C:Q,4,FALSE)</f>
        <v>Bridgestone</v>
      </c>
      <c r="R1121" s="101"/>
      <c r="U1121" s="101"/>
    </row>
    <row r="1122" ht="22.5" customHeight="1">
      <c r="A1122" s="49"/>
      <c r="C1122" s="192">
        <v>46119.0</v>
      </c>
      <c r="D1122" s="192">
        <v>46118.0</v>
      </c>
      <c r="E1122" s="69" t="s">
        <v>97</v>
      </c>
      <c r="F1122" s="243" t="s">
        <v>343</v>
      </c>
      <c r="G1122" s="69" t="s">
        <v>2502</v>
      </c>
      <c r="H1122" s="69" t="s">
        <v>87</v>
      </c>
      <c r="I1122" s="140" t="s">
        <v>591</v>
      </c>
      <c r="J1122" s="446">
        <v>8.0</v>
      </c>
      <c r="K1122" s="140">
        <v>609844.375</v>
      </c>
      <c r="L1122" s="140">
        <v>609844.375</v>
      </c>
      <c r="M1122" s="140" t="s">
        <v>521</v>
      </c>
      <c r="N1122" s="74">
        <f t="shared" si="6"/>
        <v>4878755</v>
      </c>
      <c r="O1122" s="60">
        <f t="shared" si="2"/>
        <v>46178</v>
      </c>
      <c r="P1122" s="65" t="str">
        <f>VLOOKUP(I1122,DATABASE!C:Q,11,FALSE)</f>
        <v>Tire</v>
      </c>
      <c r="Q1122" s="65" t="str">
        <f>VLOOKUP(I1122,DATABASE!C:Q,4,FALSE)</f>
        <v>Bridgestone</v>
      </c>
      <c r="R1122" s="101"/>
      <c r="U1122" s="101"/>
    </row>
    <row r="1123" ht="22.5" customHeight="1">
      <c r="A1123" s="49"/>
      <c r="C1123" s="192">
        <v>46119.0</v>
      </c>
      <c r="D1123" s="192">
        <v>46118.0</v>
      </c>
      <c r="E1123" s="69" t="s">
        <v>97</v>
      </c>
      <c r="F1123" s="243" t="s">
        <v>343</v>
      </c>
      <c r="G1123" s="69" t="s">
        <v>2502</v>
      </c>
      <c r="H1123" s="69" t="s">
        <v>87</v>
      </c>
      <c r="I1123" s="140" t="s">
        <v>600</v>
      </c>
      <c r="J1123" s="446">
        <v>8.0</v>
      </c>
      <c r="K1123" s="140">
        <v>588505.75</v>
      </c>
      <c r="L1123" s="140">
        <v>588505.75</v>
      </c>
      <c r="M1123" s="140" t="s">
        <v>521</v>
      </c>
      <c r="N1123" s="74">
        <f t="shared" si="6"/>
        <v>4708046</v>
      </c>
      <c r="O1123" s="60">
        <f t="shared" si="2"/>
        <v>46178</v>
      </c>
      <c r="P1123" s="65" t="str">
        <f>VLOOKUP(I1123,DATABASE!C:Q,11,FALSE)</f>
        <v>Tire</v>
      </c>
      <c r="Q1123" s="65" t="str">
        <f>VLOOKUP(I1123,DATABASE!C:Q,4,FALSE)</f>
        <v>Bridgestone</v>
      </c>
      <c r="R1123" s="101"/>
      <c r="U1123" s="101"/>
    </row>
    <row r="1124" ht="22.5" customHeight="1">
      <c r="A1124" s="49"/>
      <c r="C1124" s="192">
        <v>46119.0</v>
      </c>
      <c r="D1124" s="192">
        <v>46118.0</v>
      </c>
      <c r="E1124" s="69" t="s">
        <v>97</v>
      </c>
      <c r="F1124" s="243" t="s">
        <v>343</v>
      </c>
      <c r="G1124" s="69" t="s">
        <v>2503</v>
      </c>
      <c r="H1124" s="69" t="s">
        <v>87</v>
      </c>
      <c r="I1124" s="140" t="s">
        <v>581</v>
      </c>
      <c r="J1124" s="446">
        <v>4.0</v>
      </c>
      <c r="K1124" s="140">
        <v>542528.0</v>
      </c>
      <c r="L1124" s="140">
        <v>542528.0</v>
      </c>
      <c r="M1124" s="140" t="s">
        <v>521</v>
      </c>
      <c r="N1124" s="74">
        <f t="shared" si="6"/>
        <v>2170112</v>
      </c>
      <c r="O1124" s="60">
        <f t="shared" si="2"/>
        <v>46178</v>
      </c>
      <c r="P1124" s="65" t="str">
        <f>VLOOKUP(I1124,DATABASE!C:Q,11,FALSE)</f>
        <v>Tire</v>
      </c>
      <c r="Q1124" s="65" t="str">
        <f>VLOOKUP(I1124,DATABASE!C:Q,4,FALSE)</f>
        <v>Bridgestone</v>
      </c>
      <c r="R1124" s="101"/>
      <c r="U1124" s="101"/>
    </row>
    <row r="1125" ht="22.5" customHeight="1">
      <c r="A1125" s="49"/>
      <c r="C1125" s="192">
        <v>46119.0</v>
      </c>
      <c r="D1125" s="192">
        <v>46119.0</v>
      </c>
      <c r="E1125" s="69" t="s">
        <v>81</v>
      </c>
      <c r="F1125" s="243" t="s">
        <v>0</v>
      </c>
      <c r="G1125" s="69">
        <v>0.0</v>
      </c>
      <c r="H1125" s="69" t="s">
        <v>2314</v>
      </c>
      <c r="I1125" s="140" t="s">
        <v>695</v>
      </c>
      <c r="J1125" s="446">
        <v>4.0</v>
      </c>
      <c r="K1125" s="140">
        <v>570000.0</v>
      </c>
      <c r="L1125" s="140">
        <v>582000.0</v>
      </c>
      <c r="M1125" s="140" t="s">
        <v>755</v>
      </c>
      <c r="N1125" s="74">
        <f t="shared" si="6"/>
        <v>2328000</v>
      </c>
      <c r="O1125" s="60">
        <f t="shared" si="2"/>
        <v>46149</v>
      </c>
      <c r="P1125" s="65" t="str">
        <f>VLOOKUP(I1125,DATABASE!C:Q,11,FALSE)</f>
        <v>Tire</v>
      </c>
      <c r="Q1125" s="65" t="str">
        <f>VLOOKUP(I1125,DATABASE!C:Q,4,FALSE)</f>
        <v>Dunlop</v>
      </c>
      <c r="R1125" s="101"/>
      <c r="U1125" s="101"/>
    </row>
    <row r="1126" ht="22.5" customHeight="1">
      <c r="A1126" s="49"/>
      <c r="C1126" s="192">
        <v>46119.0</v>
      </c>
      <c r="D1126" s="192">
        <v>46119.0</v>
      </c>
      <c r="E1126" s="69" t="s">
        <v>335</v>
      </c>
      <c r="F1126" s="243" t="s">
        <v>343</v>
      </c>
      <c r="G1126" s="69" t="s">
        <v>2163</v>
      </c>
      <c r="H1126" s="69" t="s">
        <v>7</v>
      </c>
      <c r="I1126" s="140" t="s">
        <v>391</v>
      </c>
      <c r="J1126" s="446">
        <v>10.0</v>
      </c>
      <c r="K1126" s="140">
        <v>1840000.0</v>
      </c>
      <c r="L1126" s="140">
        <v>1840000.0</v>
      </c>
      <c r="M1126" s="140" t="s">
        <v>521</v>
      </c>
      <c r="N1126" s="74">
        <f t="shared" si="6"/>
        <v>18400000</v>
      </c>
      <c r="O1126" s="60">
        <f t="shared" si="2"/>
        <v>46179</v>
      </c>
      <c r="P1126" s="65" t="str">
        <f>VLOOKUP(I1126,DATABASE!C:Q,11,FALSE)</f>
        <v>Tire</v>
      </c>
      <c r="Q1126" s="65" t="str">
        <f>VLOOKUP(I1126,DATABASE!C:Q,4,FALSE)</f>
        <v>Advance</v>
      </c>
      <c r="R1126" s="101"/>
      <c r="U1126" s="101"/>
    </row>
    <row r="1127" ht="22.5" customHeight="1">
      <c r="A1127" s="49"/>
      <c r="C1127" s="192">
        <v>46119.0</v>
      </c>
      <c r="D1127" s="192">
        <v>46119.0</v>
      </c>
      <c r="E1127" s="69" t="s">
        <v>335</v>
      </c>
      <c r="F1127" s="243" t="s">
        <v>343</v>
      </c>
      <c r="G1127" s="69" t="s">
        <v>2163</v>
      </c>
      <c r="H1127" s="69" t="s">
        <v>7</v>
      </c>
      <c r="I1127" s="140" t="s">
        <v>403</v>
      </c>
      <c r="J1127" s="446">
        <v>10.0</v>
      </c>
      <c r="K1127" s="140">
        <v>2160000.0</v>
      </c>
      <c r="L1127" s="140">
        <v>2160000.0</v>
      </c>
      <c r="M1127" s="140" t="s">
        <v>521</v>
      </c>
      <c r="N1127" s="74">
        <f t="shared" si="6"/>
        <v>21600000</v>
      </c>
      <c r="O1127" s="60">
        <f t="shared" si="2"/>
        <v>46179</v>
      </c>
      <c r="P1127" s="65" t="str">
        <f>VLOOKUP(I1127,DATABASE!C:Q,11,FALSE)</f>
        <v>Tire</v>
      </c>
      <c r="Q1127" s="65" t="str">
        <f>VLOOKUP(I1127,DATABASE!C:Q,4,FALSE)</f>
        <v>Advance</v>
      </c>
      <c r="R1127" s="101"/>
      <c r="U1127" s="101"/>
    </row>
    <row r="1128" ht="22.5" customHeight="1">
      <c r="A1128" s="49"/>
      <c r="C1128" s="192">
        <v>46119.0</v>
      </c>
      <c r="D1128" s="192">
        <v>46119.0</v>
      </c>
      <c r="E1128" s="69" t="s">
        <v>335</v>
      </c>
      <c r="F1128" s="243" t="s">
        <v>343</v>
      </c>
      <c r="G1128" s="69" t="s">
        <v>2163</v>
      </c>
      <c r="H1128" s="69" t="s">
        <v>7</v>
      </c>
      <c r="I1128" s="140" t="s">
        <v>924</v>
      </c>
      <c r="J1128" s="446">
        <v>5.0</v>
      </c>
      <c r="K1128" s="140">
        <v>1545000.0</v>
      </c>
      <c r="L1128" s="140">
        <v>1545000.0</v>
      </c>
      <c r="M1128" s="140" t="s">
        <v>521</v>
      </c>
      <c r="N1128" s="74">
        <f t="shared" si="6"/>
        <v>7725000</v>
      </c>
      <c r="O1128" s="60">
        <f t="shared" si="2"/>
        <v>46179</v>
      </c>
      <c r="P1128" s="65" t="str">
        <f>VLOOKUP(I1128,DATABASE!C:Q,11,FALSE)</f>
        <v>Tire</v>
      </c>
      <c r="Q1128" s="65" t="str">
        <f>VLOOKUP(I1128,DATABASE!C:Q,4,FALSE)</f>
        <v>TIRON</v>
      </c>
      <c r="R1128" s="101"/>
      <c r="U1128" s="101"/>
    </row>
    <row r="1129" ht="22.5" customHeight="1">
      <c r="A1129" s="49"/>
      <c r="C1129" s="192">
        <v>46119.0</v>
      </c>
      <c r="D1129" s="192">
        <v>46119.0</v>
      </c>
      <c r="E1129" s="69" t="s">
        <v>335</v>
      </c>
      <c r="F1129" s="243" t="s">
        <v>343</v>
      </c>
      <c r="G1129" s="69" t="s">
        <v>2163</v>
      </c>
      <c r="H1129" s="69" t="s">
        <v>7</v>
      </c>
      <c r="I1129" s="140" t="s">
        <v>295</v>
      </c>
      <c r="J1129" s="446">
        <v>5.0</v>
      </c>
      <c r="K1129" s="140">
        <v>1425000.0</v>
      </c>
      <c r="L1129" s="140">
        <v>1425000.0</v>
      </c>
      <c r="M1129" s="140" t="s">
        <v>521</v>
      </c>
      <c r="N1129" s="74">
        <f t="shared" si="6"/>
        <v>7125000</v>
      </c>
      <c r="O1129" s="60">
        <f t="shared" si="2"/>
        <v>46179</v>
      </c>
      <c r="P1129" s="65" t="str">
        <f>VLOOKUP(I1129,DATABASE!C:Q,11,FALSE)</f>
        <v>Tire</v>
      </c>
      <c r="Q1129" s="65" t="str">
        <f>VLOOKUP(I1129,DATABASE!C:Q,4,FALSE)</f>
        <v>TIRON</v>
      </c>
      <c r="R1129" s="101"/>
      <c r="U1129" s="101"/>
    </row>
    <row r="1130" ht="22.5" customHeight="1">
      <c r="A1130" s="49"/>
      <c r="C1130" s="192">
        <v>46120.0</v>
      </c>
      <c r="D1130" s="192">
        <v>46120.0</v>
      </c>
      <c r="E1130" s="69" t="s">
        <v>110</v>
      </c>
      <c r="F1130" s="243" t="s">
        <v>343</v>
      </c>
      <c r="G1130" s="69">
        <v>2.6001305E7</v>
      </c>
      <c r="H1130" s="69" t="s">
        <v>7</v>
      </c>
      <c r="I1130" s="140" t="s">
        <v>2249</v>
      </c>
      <c r="J1130" s="446">
        <v>4.0</v>
      </c>
      <c r="K1130" s="140">
        <v>1750000.0</v>
      </c>
      <c r="L1130" s="140">
        <v>1750000.0</v>
      </c>
      <c r="M1130" s="140" t="s">
        <v>755</v>
      </c>
      <c r="N1130" s="74">
        <f t="shared" si="6"/>
        <v>7000000</v>
      </c>
      <c r="O1130" s="60">
        <f t="shared" si="2"/>
        <v>46150</v>
      </c>
      <c r="P1130" s="65" t="str">
        <f>VLOOKUP(I1130,DATABASE!C:Q,11,FALSE)</f>
        <v>Tire</v>
      </c>
      <c r="Q1130" s="65" t="str">
        <f>VLOOKUP(I1130,DATABASE!C:Q,4,FALSE)</f>
        <v>WESTLAKE</v>
      </c>
      <c r="R1130" s="101"/>
      <c r="U1130" s="101"/>
    </row>
    <row r="1131" ht="22.5" customHeight="1">
      <c r="A1131" s="49"/>
      <c r="C1131" s="192">
        <v>46123.0</v>
      </c>
      <c r="D1131" s="192">
        <v>46118.0</v>
      </c>
      <c r="E1131" s="69" t="s">
        <v>386</v>
      </c>
      <c r="F1131" s="243" t="s">
        <v>0</v>
      </c>
      <c r="G1131" s="69" t="s">
        <v>2138</v>
      </c>
      <c r="H1131" s="69" t="s">
        <v>2314</v>
      </c>
      <c r="I1131" s="140" t="s">
        <v>263</v>
      </c>
      <c r="J1131" s="446">
        <v>12.0</v>
      </c>
      <c r="K1131" s="140">
        <v>292600.0</v>
      </c>
      <c r="L1131" s="140">
        <v>292600.0</v>
      </c>
      <c r="M1131" s="140" t="s">
        <v>755</v>
      </c>
      <c r="N1131" s="74">
        <f t="shared" si="6"/>
        <v>3511200</v>
      </c>
      <c r="O1131" s="60">
        <f t="shared" si="2"/>
        <v>46148</v>
      </c>
      <c r="P1131" s="65" t="str">
        <f>VLOOKUP(I1131,DATABASE!C:Q,11,FALSE)</f>
        <v>OIL</v>
      </c>
      <c r="Q1131" s="65" t="str">
        <f>VLOOKUP(I1131,DATABASE!C:Q,4,FALSE)</f>
        <v>Shell</v>
      </c>
      <c r="R1131" s="101"/>
      <c r="U1131" s="101"/>
    </row>
    <row r="1132" ht="22.5" customHeight="1">
      <c r="A1132" s="49"/>
      <c r="C1132" s="192">
        <v>46123.0</v>
      </c>
      <c r="D1132" s="192">
        <v>46118.0</v>
      </c>
      <c r="E1132" s="69" t="s">
        <v>386</v>
      </c>
      <c r="F1132" s="243" t="s">
        <v>0</v>
      </c>
      <c r="G1132" s="69" t="s">
        <v>2138</v>
      </c>
      <c r="H1132" s="69" t="s">
        <v>2314</v>
      </c>
      <c r="I1132" s="140" t="s">
        <v>252</v>
      </c>
      <c r="J1132" s="446">
        <v>12.0</v>
      </c>
      <c r="K1132" s="140">
        <v>275500.0</v>
      </c>
      <c r="L1132" s="140">
        <v>275500.0</v>
      </c>
      <c r="M1132" s="140" t="s">
        <v>755</v>
      </c>
      <c r="N1132" s="74">
        <f t="shared" si="6"/>
        <v>3306000</v>
      </c>
      <c r="O1132" s="60">
        <f t="shared" si="2"/>
        <v>46148</v>
      </c>
      <c r="P1132" s="65" t="str">
        <f>VLOOKUP(I1132,DATABASE!C:Q,11,FALSE)</f>
        <v>OIL</v>
      </c>
      <c r="Q1132" s="65" t="str">
        <f>VLOOKUP(I1132,DATABASE!C:Q,4,FALSE)</f>
        <v>Shell</v>
      </c>
      <c r="R1132" s="101"/>
      <c r="U1132" s="101"/>
    </row>
    <row r="1133" ht="22.5" customHeight="1">
      <c r="A1133" s="49"/>
      <c r="C1133" s="192">
        <v>46123.0</v>
      </c>
      <c r="D1133" s="192">
        <v>46118.0</v>
      </c>
      <c r="E1133" s="69" t="s">
        <v>386</v>
      </c>
      <c r="F1133" s="243" t="s">
        <v>0</v>
      </c>
      <c r="G1133" s="69" t="s">
        <v>2138</v>
      </c>
      <c r="H1133" s="69" t="s">
        <v>2314</v>
      </c>
      <c r="I1133" s="140" t="s">
        <v>2191</v>
      </c>
      <c r="J1133" s="446">
        <v>8.0</v>
      </c>
      <c r="K1133" s="140">
        <v>380400.0</v>
      </c>
      <c r="L1133" s="140">
        <v>380400.0</v>
      </c>
      <c r="M1133" s="140" t="s">
        <v>755</v>
      </c>
      <c r="N1133" s="74">
        <f t="shared" si="6"/>
        <v>3043200</v>
      </c>
      <c r="O1133" s="60">
        <f t="shared" si="2"/>
        <v>46148</v>
      </c>
      <c r="P1133" s="65" t="str">
        <f>VLOOKUP(I1133,DATABASE!C:Q,11,FALSE)</f>
        <v>OIL</v>
      </c>
      <c r="Q1133" s="65" t="str">
        <f>VLOOKUP(I1133,DATABASE!C:Q,4,FALSE)</f>
        <v>Shell</v>
      </c>
      <c r="R1133" s="101"/>
      <c r="U1133" s="101"/>
    </row>
    <row r="1134" ht="22.5" customHeight="1">
      <c r="A1134" s="49"/>
      <c r="C1134" s="192">
        <v>46123.0</v>
      </c>
      <c r="D1134" s="192">
        <v>46118.0</v>
      </c>
      <c r="E1134" s="69" t="s">
        <v>386</v>
      </c>
      <c r="F1134" s="243" t="s">
        <v>0</v>
      </c>
      <c r="G1134" s="69" t="s">
        <v>2138</v>
      </c>
      <c r="H1134" s="69" t="s">
        <v>2314</v>
      </c>
      <c r="I1134" s="140" t="s">
        <v>2174</v>
      </c>
      <c r="J1134" s="446">
        <v>4.0</v>
      </c>
      <c r="K1134" s="140">
        <v>182600.0</v>
      </c>
      <c r="L1134" s="140">
        <v>182600.0</v>
      </c>
      <c r="M1134" s="140" t="s">
        <v>755</v>
      </c>
      <c r="N1134" s="74">
        <f t="shared" si="6"/>
        <v>730400</v>
      </c>
      <c r="O1134" s="60">
        <f t="shared" si="2"/>
        <v>46148</v>
      </c>
      <c r="P1134" s="65" t="str">
        <f>VLOOKUP(I1134,DATABASE!C:Q,11,FALSE)</f>
        <v>OIL</v>
      </c>
      <c r="Q1134" s="65" t="str">
        <f>VLOOKUP(I1134,DATABASE!C:Q,4,FALSE)</f>
        <v>Shell</v>
      </c>
      <c r="R1134" s="101"/>
      <c r="U1134" s="101"/>
    </row>
    <row r="1135" ht="22.5" customHeight="1">
      <c r="A1135" s="49"/>
      <c r="C1135" s="192">
        <v>46123.0</v>
      </c>
      <c r="D1135" s="192">
        <v>46118.0</v>
      </c>
      <c r="E1135" s="69" t="s">
        <v>386</v>
      </c>
      <c r="F1135" s="243" t="s">
        <v>0</v>
      </c>
      <c r="G1135" s="69" t="s">
        <v>2138</v>
      </c>
      <c r="H1135" s="69" t="s">
        <v>2314</v>
      </c>
      <c r="I1135" s="140" t="s">
        <v>2195</v>
      </c>
      <c r="J1135" s="446">
        <v>8.0</v>
      </c>
      <c r="K1135" s="140">
        <v>289857.0</v>
      </c>
      <c r="L1135" s="140">
        <v>289857.0</v>
      </c>
      <c r="M1135" s="140" t="s">
        <v>755</v>
      </c>
      <c r="N1135" s="74">
        <f t="shared" si="6"/>
        <v>2318856</v>
      </c>
      <c r="O1135" s="60">
        <f t="shared" si="2"/>
        <v>46148</v>
      </c>
      <c r="P1135" s="65" t="str">
        <f>VLOOKUP(I1135,DATABASE!C:Q,11,FALSE)</f>
        <v>OIL</v>
      </c>
      <c r="Q1135" s="65" t="str">
        <f>VLOOKUP(I1135,DATABASE!C:Q,4,FALSE)</f>
        <v>Shell</v>
      </c>
      <c r="R1135" s="101"/>
      <c r="U1135" s="101"/>
    </row>
    <row r="1136" ht="22.5" customHeight="1">
      <c r="A1136" s="49"/>
      <c r="C1136" s="192">
        <v>46123.0</v>
      </c>
      <c r="D1136" s="192">
        <v>46118.0</v>
      </c>
      <c r="E1136" s="69" t="s">
        <v>386</v>
      </c>
      <c r="F1136" s="243" t="s">
        <v>0</v>
      </c>
      <c r="G1136" s="69" t="s">
        <v>2138</v>
      </c>
      <c r="H1136" s="69" t="s">
        <v>2314</v>
      </c>
      <c r="I1136" s="140" t="s">
        <v>258</v>
      </c>
      <c r="J1136" s="446">
        <v>12.0</v>
      </c>
      <c r="K1136" s="140">
        <v>74700.0</v>
      </c>
      <c r="L1136" s="140">
        <v>74700.0</v>
      </c>
      <c r="M1136" s="140" t="s">
        <v>755</v>
      </c>
      <c r="N1136" s="74">
        <f t="shared" si="6"/>
        <v>896400</v>
      </c>
      <c r="O1136" s="60">
        <f t="shared" si="2"/>
        <v>46148</v>
      </c>
      <c r="P1136" s="65" t="str">
        <f>VLOOKUP(I1136,DATABASE!C:Q,11,FALSE)</f>
        <v>OIL</v>
      </c>
      <c r="Q1136" s="65" t="str">
        <f>VLOOKUP(I1136,DATABASE!C:Q,4,FALSE)</f>
        <v>Shell</v>
      </c>
      <c r="R1136" s="101"/>
      <c r="U1136" s="101"/>
    </row>
    <row r="1137" ht="22.5" customHeight="1">
      <c r="A1137" s="49"/>
      <c r="C1137" s="192">
        <v>46123.0</v>
      </c>
      <c r="D1137" s="192">
        <v>46118.0</v>
      </c>
      <c r="E1137" s="69" t="s">
        <v>386</v>
      </c>
      <c r="F1137" s="243" t="s">
        <v>0</v>
      </c>
      <c r="G1137" s="69" t="s">
        <v>2138</v>
      </c>
      <c r="H1137" s="69" t="s">
        <v>2314</v>
      </c>
      <c r="I1137" s="140" t="s">
        <v>2186</v>
      </c>
      <c r="J1137" s="446">
        <v>12.0</v>
      </c>
      <c r="K1137" s="140">
        <v>96400.0</v>
      </c>
      <c r="L1137" s="140">
        <v>96400.0</v>
      </c>
      <c r="M1137" s="140" t="s">
        <v>755</v>
      </c>
      <c r="N1137" s="74">
        <f t="shared" si="6"/>
        <v>1156800</v>
      </c>
      <c r="O1137" s="60">
        <f t="shared" si="2"/>
        <v>46148</v>
      </c>
      <c r="P1137" s="65" t="str">
        <f>VLOOKUP(I1137,DATABASE!C:Q,11,FALSE)</f>
        <v>OIL</v>
      </c>
      <c r="Q1137" s="65" t="str">
        <f>VLOOKUP(I1137,DATABASE!C:Q,4,FALSE)</f>
        <v>Shell</v>
      </c>
      <c r="R1137" s="101"/>
      <c r="U1137" s="101"/>
    </row>
    <row r="1138" ht="22.5" customHeight="1">
      <c r="A1138" s="49"/>
      <c r="C1138" s="192">
        <v>46129.0</v>
      </c>
      <c r="D1138" s="192">
        <v>46129.0</v>
      </c>
      <c r="E1138" s="69" t="s">
        <v>81</v>
      </c>
      <c r="F1138" s="243" t="s">
        <v>343</v>
      </c>
      <c r="G1138" s="69" t="s">
        <v>1757</v>
      </c>
      <c r="H1138" s="69" t="s">
        <v>87</v>
      </c>
      <c r="I1138" s="140" t="s">
        <v>955</v>
      </c>
      <c r="J1138" s="446">
        <v>4.0</v>
      </c>
      <c r="K1138" s="140">
        <v>660000.0</v>
      </c>
      <c r="L1138" s="140">
        <v>674000.0</v>
      </c>
      <c r="M1138" s="140" t="s">
        <v>657</v>
      </c>
      <c r="N1138" s="74">
        <f t="shared" si="6"/>
        <v>2696000</v>
      </c>
      <c r="O1138" s="60">
        <f t="shared" si="2"/>
        <v>46204</v>
      </c>
      <c r="P1138" s="65" t="str">
        <f>VLOOKUP(I1138,DATABASE!C:Q,11,FALSE)</f>
        <v>Tire</v>
      </c>
      <c r="Q1138" s="65" t="str">
        <f>VLOOKUP(I1138,DATABASE!C:Q,4,FALSE)</f>
        <v>Dunlop</v>
      </c>
      <c r="R1138" s="101"/>
      <c r="U1138" s="101"/>
    </row>
    <row r="1139" ht="22.5" customHeight="1">
      <c r="A1139" s="49"/>
      <c r="C1139" s="192">
        <v>46129.0</v>
      </c>
      <c r="D1139" s="192">
        <v>46129.0</v>
      </c>
      <c r="E1139" s="69" t="s">
        <v>81</v>
      </c>
      <c r="F1139" s="243" t="s">
        <v>343</v>
      </c>
      <c r="G1139" s="69" t="s">
        <v>1757</v>
      </c>
      <c r="H1139" s="69" t="s">
        <v>87</v>
      </c>
      <c r="I1139" s="140" t="s">
        <v>940</v>
      </c>
      <c r="J1139" s="446">
        <v>4.0</v>
      </c>
      <c r="K1139" s="140">
        <v>709000.0</v>
      </c>
      <c r="L1139" s="140">
        <v>709000.0</v>
      </c>
      <c r="M1139" s="140" t="s">
        <v>657</v>
      </c>
      <c r="N1139" s="74">
        <f t="shared" si="6"/>
        <v>2836000</v>
      </c>
      <c r="O1139" s="60">
        <f t="shared" si="2"/>
        <v>46204</v>
      </c>
      <c r="P1139" s="65" t="str">
        <f>VLOOKUP(I1139,DATABASE!C:Q,11,FALSE)</f>
        <v>Tire</v>
      </c>
      <c r="Q1139" s="65" t="str">
        <f>VLOOKUP(I1139,DATABASE!C:Q,4,FALSE)</f>
        <v>Dunlop</v>
      </c>
      <c r="R1139" s="101"/>
      <c r="U1139" s="101"/>
    </row>
    <row r="1140" ht="22.5" customHeight="1">
      <c r="A1140" s="49"/>
      <c r="C1140" s="192">
        <v>46129.0</v>
      </c>
      <c r="D1140" s="192">
        <v>46129.0</v>
      </c>
      <c r="E1140" s="69" t="s">
        <v>81</v>
      </c>
      <c r="F1140" s="243" t="s">
        <v>343</v>
      </c>
      <c r="G1140" s="69" t="s">
        <v>1757</v>
      </c>
      <c r="H1140" s="69" t="s">
        <v>87</v>
      </c>
      <c r="I1140" s="140" t="s">
        <v>932</v>
      </c>
      <c r="J1140" s="446">
        <v>10.0</v>
      </c>
      <c r="K1140" s="140">
        <v>601000.0</v>
      </c>
      <c r="L1140" s="140">
        <v>595400.0</v>
      </c>
      <c r="M1140" s="140" t="s">
        <v>657</v>
      </c>
      <c r="N1140" s="74">
        <f t="shared" si="6"/>
        <v>5954000</v>
      </c>
      <c r="O1140" s="60">
        <f t="shared" si="2"/>
        <v>46204</v>
      </c>
      <c r="P1140" s="65" t="str">
        <f>VLOOKUP(I1140,DATABASE!C:Q,11,FALSE)</f>
        <v>Tire</v>
      </c>
      <c r="Q1140" s="65" t="str">
        <f>VLOOKUP(I1140,DATABASE!C:Q,4,FALSE)</f>
        <v>Dunlop</v>
      </c>
      <c r="R1140" s="101"/>
      <c r="U1140" s="101"/>
    </row>
    <row r="1141" ht="22.5" customHeight="1">
      <c r="A1141" s="49"/>
      <c r="C1141" s="192">
        <v>46129.0</v>
      </c>
      <c r="D1141" s="192">
        <v>46129.0</v>
      </c>
      <c r="E1141" s="69" t="s">
        <v>81</v>
      </c>
      <c r="F1141" s="243" t="s">
        <v>343</v>
      </c>
      <c r="G1141" s="69" t="s">
        <v>1757</v>
      </c>
      <c r="H1141" s="69" t="s">
        <v>87</v>
      </c>
      <c r="I1141" s="140" t="s">
        <v>268</v>
      </c>
      <c r="J1141" s="446">
        <v>20.0</v>
      </c>
      <c r="K1141" s="140">
        <v>622000.0</v>
      </c>
      <c r="L1141" s="140">
        <v>622000.0</v>
      </c>
      <c r="M1141" s="140" t="s">
        <v>657</v>
      </c>
      <c r="N1141" s="74">
        <f t="shared" si="6"/>
        <v>12440000</v>
      </c>
      <c r="O1141" s="60">
        <f t="shared" si="2"/>
        <v>46204</v>
      </c>
      <c r="P1141" s="65" t="str">
        <f>VLOOKUP(I1141,DATABASE!C:Q,11,FALSE)</f>
        <v>Tire</v>
      </c>
      <c r="Q1141" s="65" t="str">
        <f>VLOOKUP(I1141,DATABASE!C:Q,4,FALSE)</f>
        <v>Dunlop</v>
      </c>
      <c r="R1141" s="101"/>
      <c r="U1141" s="101"/>
    </row>
    <row r="1142" ht="22.5" customHeight="1">
      <c r="A1142" s="49"/>
      <c r="C1142" s="192">
        <v>46129.0</v>
      </c>
      <c r="D1142" s="192">
        <v>46129.0</v>
      </c>
      <c r="E1142" s="69" t="s">
        <v>81</v>
      </c>
      <c r="F1142" s="243" t="s">
        <v>343</v>
      </c>
      <c r="G1142" s="69" t="s">
        <v>1757</v>
      </c>
      <c r="H1142" s="69" t="s">
        <v>87</v>
      </c>
      <c r="I1142" s="140" t="s">
        <v>275</v>
      </c>
      <c r="J1142" s="446">
        <v>20.0</v>
      </c>
      <c r="K1142" s="140">
        <v>745000.0</v>
      </c>
      <c r="L1142" s="140">
        <v>745000.0</v>
      </c>
      <c r="M1142" s="140" t="s">
        <v>657</v>
      </c>
      <c r="N1142" s="74">
        <f t="shared" si="6"/>
        <v>14900000</v>
      </c>
      <c r="O1142" s="60">
        <f t="shared" si="2"/>
        <v>46204</v>
      </c>
      <c r="P1142" s="65" t="str">
        <f>VLOOKUP(I1142,DATABASE!C:Q,11,FALSE)</f>
        <v>Tire</v>
      </c>
      <c r="Q1142" s="65" t="str">
        <f>VLOOKUP(I1142,DATABASE!C:Q,4,FALSE)</f>
        <v>Dunlop</v>
      </c>
      <c r="R1142" s="101"/>
      <c r="U1142" s="101"/>
    </row>
    <row r="1143" ht="22.5" customHeight="1">
      <c r="A1143" s="49"/>
      <c r="C1143" s="192">
        <v>46129.0</v>
      </c>
      <c r="D1143" s="192">
        <v>46129.0</v>
      </c>
      <c r="E1143" s="69" t="s">
        <v>81</v>
      </c>
      <c r="F1143" s="243" t="s">
        <v>343</v>
      </c>
      <c r="G1143" s="69" t="s">
        <v>1763</v>
      </c>
      <c r="H1143" s="69" t="s">
        <v>87</v>
      </c>
      <c r="I1143" s="140" t="s">
        <v>271</v>
      </c>
      <c r="J1143" s="446">
        <v>10.0</v>
      </c>
      <c r="K1143" s="140">
        <v>550000.0</v>
      </c>
      <c r="L1143" s="140">
        <v>550000.0</v>
      </c>
      <c r="M1143" s="140" t="s">
        <v>657</v>
      </c>
      <c r="N1143" s="74">
        <f t="shared" si="6"/>
        <v>5500000</v>
      </c>
      <c r="O1143" s="60">
        <f t="shared" si="2"/>
        <v>46204</v>
      </c>
      <c r="P1143" s="65" t="str">
        <f>VLOOKUP(I1143,DATABASE!C:Q,11,FALSE)</f>
        <v>Tire</v>
      </c>
      <c r="Q1143" s="65" t="str">
        <f>VLOOKUP(I1143,DATABASE!C:Q,4,FALSE)</f>
        <v>Dunlop</v>
      </c>
      <c r="R1143" s="101"/>
      <c r="U1143" s="101"/>
    </row>
    <row r="1144" ht="22.5" customHeight="1">
      <c r="A1144" s="49"/>
      <c r="C1144" s="192">
        <v>46129.0</v>
      </c>
      <c r="D1144" s="192">
        <v>46129.0</v>
      </c>
      <c r="E1144" s="69" t="s">
        <v>81</v>
      </c>
      <c r="F1144" s="243" t="s">
        <v>343</v>
      </c>
      <c r="G1144" s="69" t="s">
        <v>1771</v>
      </c>
      <c r="H1144" s="69" t="s">
        <v>87</v>
      </c>
      <c r="I1144" s="140" t="s">
        <v>268</v>
      </c>
      <c r="J1144" s="446">
        <v>30.0</v>
      </c>
      <c r="K1144" s="140">
        <v>622000.0</v>
      </c>
      <c r="L1144" s="140">
        <v>622000.0</v>
      </c>
      <c r="M1144" s="140" t="s">
        <v>657</v>
      </c>
      <c r="N1144" s="74">
        <f t="shared" si="6"/>
        <v>18660000</v>
      </c>
      <c r="O1144" s="60">
        <f t="shared" si="2"/>
        <v>46204</v>
      </c>
      <c r="P1144" s="65" t="str">
        <f>VLOOKUP(I1144,DATABASE!C:Q,11,FALSE)</f>
        <v>Tire</v>
      </c>
      <c r="Q1144" s="65" t="str">
        <f>VLOOKUP(I1144,DATABASE!C:Q,4,FALSE)</f>
        <v>Dunlop</v>
      </c>
      <c r="R1144" s="101"/>
      <c r="U1144" s="101"/>
    </row>
    <row r="1145" ht="22.5" customHeight="1">
      <c r="A1145" s="49"/>
      <c r="C1145" s="192">
        <v>46129.0</v>
      </c>
      <c r="D1145" s="192">
        <v>46129.0</v>
      </c>
      <c r="E1145" s="69" t="s">
        <v>81</v>
      </c>
      <c r="F1145" s="243" t="s">
        <v>343</v>
      </c>
      <c r="G1145" s="69" t="s">
        <v>1771</v>
      </c>
      <c r="H1145" s="69" t="s">
        <v>87</v>
      </c>
      <c r="I1145" s="140" t="s">
        <v>275</v>
      </c>
      <c r="J1145" s="446">
        <v>10.0</v>
      </c>
      <c r="K1145" s="140">
        <v>745000.0</v>
      </c>
      <c r="L1145" s="140">
        <v>745000.0</v>
      </c>
      <c r="M1145" s="140" t="s">
        <v>657</v>
      </c>
      <c r="N1145" s="74">
        <f t="shared" si="6"/>
        <v>7450000</v>
      </c>
      <c r="O1145" s="60">
        <f t="shared" si="2"/>
        <v>46204</v>
      </c>
      <c r="P1145" s="65" t="str">
        <f>VLOOKUP(I1145,DATABASE!C:Q,11,FALSE)</f>
        <v>Tire</v>
      </c>
      <c r="Q1145" s="65" t="str">
        <f>VLOOKUP(I1145,DATABASE!C:Q,4,FALSE)</f>
        <v>Dunlop</v>
      </c>
      <c r="R1145" s="101"/>
      <c r="U1145" s="101"/>
    </row>
    <row r="1146" ht="22.5" customHeight="1">
      <c r="A1146" s="49"/>
      <c r="C1146" s="192">
        <v>46129.0</v>
      </c>
      <c r="D1146" s="192">
        <v>46129.0</v>
      </c>
      <c r="E1146" s="69" t="s">
        <v>81</v>
      </c>
      <c r="F1146" s="243" t="s">
        <v>343</v>
      </c>
      <c r="G1146" s="69" t="s">
        <v>1771</v>
      </c>
      <c r="H1146" s="69" t="s">
        <v>87</v>
      </c>
      <c r="I1146" s="140" t="s">
        <v>932</v>
      </c>
      <c r="J1146" s="446">
        <v>10.0</v>
      </c>
      <c r="K1146" s="140">
        <v>601000.0</v>
      </c>
      <c r="L1146" s="140">
        <v>601000.0</v>
      </c>
      <c r="M1146" s="140" t="s">
        <v>657</v>
      </c>
      <c r="N1146" s="74">
        <f t="shared" si="6"/>
        <v>6010000</v>
      </c>
      <c r="O1146" s="60">
        <f t="shared" si="2"/>
        <v>46204</v>
      </c>
      <c r="P1146" s="65" t="str">
        <f>VLOOKUP(I1146,DATABASE!C:Q,11,FALSE)</f>
        <v>Tire</v>
      </c>
      <c r="Q1146" s="65" t="str">
        <f>VLOOKUP(I1146,DATABASE!C:Q,4,FALSE)</f>
        <v>Dunlop</v>
      </c>
      <c r="R1146" s="101"/>
      <c r="U1146" s="101"/>
    </row>
    <row r="1147" ht="22.5" customHeight="1">
      <c r="A1147" s="49"/>
      <c r="C1147" s="192">
        <v>46129.0</v>
      </c>
      <c r="D1147" s="192">
        <v>46129.0</v>
      </c>
      <c r="E1147" s="69" t="s">
        <v>81</v>
      </c>
      <c r="F1147" s="243" t="s">
        <v>343</v>
      </c>
      <c r="G1147" s="69" t="s">
        <v>1771</v>
      </c>
      <c r="H1147" s="69" t="s">
        <v>87</v>
      </c>
      <c r="I1147" s="140" t="s">
        <v>1400</v>
      </c>
      <c r="J1147" s="446">
        <v>8.0</v>
      </c>
      <c r="K1147" s="140">
        <v>465000.0</v>
      </c>
      <c r="L1147" s="140">
        <v>465000.0</v>
      </c>
      <c r="M1147" s="140" t="s">
        <v>657</v>
      </c>
      <c r="N1147" s="74">
        <f t="shared" si="6"/>
        <v>3720000</v>
      </c>
      <c r="O1147" s="60">
        <f t="shared" si="2"/>
        <v>46204</v>
      </c>
      <c r="P1147" s="65" t="str">
        <f>VLOOKUP(I1147,DATABASE!C:Q,11,FALSE)</f>
        <v>Tire</v>
      </c>
      <c r="Q1147" s="65" t="str">
        <f>VLOOKUP(I1147,DATABASE!C:Q,4,FALSE)</f>
        <v>Dunlop</v>
      </c>
      <c r="R1147" s="101"/>
      <c r="U1147" s="101"/>
    </row>
    <row r="1148" ht="22.5" customHeight="1">
      <c r="A1148" s="49"/>
      <c r="C1148" s="192">
        <v>46129.0</v>
      </c>
      <c r="D1148" s="192">
        <v>46129.0</v>
      </c>
      <c r="E1148" s="69" t="s">
        <v>81</v>
      </c>
      <c r="F1148" s="243" t="s">
        <v>343</v>
      </c>
      <c r="G1148" s="69" t="s">
        <v>1771</v>
      </c>
      <c r="H1148" s="69" t="s">
        <v>87</v>
      </c>
      <c r="I1148" s="140" t="s">
        <v>695</v>
      </c>
      <c r="J1148" s="446">
        <v>3.0</v>
      </c>
      <c r="K1148" s="140">
        <v>582000.0</v>
      </c>
      <c r="L1148" s="140">
        <v>582000.0</v>
      </c>
      <c r="M1148" s="140" t="s">
        <v>657</v>
      </c>
      <c r="N1148" s="74">
        <f t="shared" si="6"/>
        <v>1746000</v>
      </c>
      <c r="O1148" s="60">
        <f t="shared" si="2"/>
        <v>46204</v>
      </c>
      <c r="P1148" s="65" t="str">
        <f>VLOOKUP(I1148,DATABASE!C:Q,11,FALSE)</f>
        <v>Tire</v>
      </c>
      <c r="Q1148" s="65" t="str">
        <f>VLOOKUP(I1148,DATABASE!C:Q,4,FALSE)</f>
        <v>Dunlop</v>
      </c>
      <c r="R1148" s="101"/>
      <c r="U1148" s="101"/>
    </row>
    <row r="1149" ht="22.5" customHeight="1">
      <c r="A1149" s="49"/>
      <c r="C1149" s="192">
        <v>46129.0</v>
      </c>
      <c r="D1149" s="192">
        <v>46129.0</v>
      </c>
      <c r="E1149" s="69" t="s">
        <v>81</v>
      </c>
      <c r="F1149" s="243" t="s">
        <v>343</v>
      </c>
      <c r="G1149" s="69" t="s">
        <v>1771</v>
      </c>
      <c r="H1149" s="69" t="s">
        <v>87</v>
      </c>
      <c r="I1149" s="140" t="s">
        <v>968</v>
      </c>
      <c r="J1149" s="446">
        <v>8.0</v>
      </c>
      <c r="K1149" s="140">
        <v>582500.0</v>
      </c>
      <c r="L1149" s="140">
        <v>582500.0</v>
      </c>
      <c r="M1149" s="140" t="s">
        <v>657</v>
      </c>
      <c r="N1149" s="74">
        <f t="shared" si="6"/>
        <v>4660000</v>
      </c>
      <c r="O1149" s="60">
        <f t="shared" si="2"/>
        <v>46204</v>
      </c>
      <c r="P1149" s="65" t="str">
        <f>VLOOKUP(I1149,DATABASE!C:Q,11,FALSE)</f>
        <v>Tire</v>
      </c>
      <c r="Q1149" s="65" t="str">
        <f>VLOOKUP(I1149,DATABASE!C:Q,4,FALSE)</f>
        <v>Dunlop</v>
      </c>
      <c r="R1149" s="101"/>
      <c r="U1149" s="101"/>
    </row>
    <row r="1150" ht="22.5" customHeight="1">
      <c r="A1150" s="49"/>
      <c r="C1150" s="192">
        <v>46129.0</v>
      </c>
      <c r="D1150" s="192">
        <v>46129.0</v>
      </c>
      <c r="E1150" s="69" t="s">
        <v>81</v>
      </c>
      <c r="F1150" s="243" t="s">
        <v>343</v>
      </c>
      <c r="G1150" s="69" t="s">
        <v>1771</v>
      </c>
      <c r="H1150" s="69" t="s">
        <v>87</v>
      </c>
      <c r="I1150" s="140" t="s">
        <v>974</v>
      </c>
      <c r="J1150" s="446">
        <v>2.0</v>
      </c>
      <c r="K1150" s="140">
        <v>491000.0</v>
      </c>
      <c r="L1150" s="140">
        <v>480000.0</v>
      </c>
      <c r="M1150" s="140" t="s">
        <v>657</v>
      </c>
      <c r="N1150" s="74">
        <f t="shared" si="6"/>
        <v>960000</v>
      </c>
      <c r="O1150" s="60">
        <f t="shared" si="2"/>
        <v>46204</v>
      </c>
      <c r="P1150" s="65" t="str">
        <f>VLOOKUP(I1150,DATABASE!C:Q,11,FALSE)</f>
        <v>Tire</v>
      </c>
      <c r="Q1150" s="65" t="str">
        <f>VLOOKUP(I1150,DATABASE!C:Q,4,FALSE)</f>
        <v>Dunlop</v>
      </c>
      <c r="R1150" s="101"/>
      <c r="U1150" s="101"/>
    </row>
    <row r="1151" ht="22.5" customHeight="1">
      <c r="A1151" s="49"/>
      <c r="C1151" s="192">
        <v>46129.0</v>
      </c>
      <c r="D1151" s="192">
        <v>46129.0</v>
      </c>
      <c r="E1151" s="69" t="s">
        <v>81</v>
      </c>
      <c r="F1151" s="243" t="s">
        <v>343</v>
      </c>
      <c r="G1151" s="69" t="s">
        <v>1780</v>
      </c>
      <c r="H1151" s="69" t="s">
        <v>87</v>
      </c>
      <c r="I1151" s="140" t="s">
        <v>974</v>
      </c>
      <c r="J1151" s="446">
        <v>2.0</v>
      </c>
      <c r="K1151" s="140">
        <v>501500.0</v>
      </c>
      <c r="L1151" s="140">
        <v>501500.0</v>
      </c>
      <c r="M1151" s="140" t="s">
        <v>657</v>
      </c>
      <c r="N1151" s="74">
        <f t="shared" si="6"/>
        <v>1003000</v>
      </c>
      <c r="O1151" s="60">
        <f t="shared" si="2"/>
        <v>46204</v>
      </c>
      <c r="P1151" s="65" t="str">
        <f>VLOOKUP(I1151,DATABASE!C:Q,11,FALSE)</f>
        <v>Tire</v>
      </c>
      <c r="Q1151" s="65" t="str">
        <f>VLOOKUP(I1151,DATABASE!C:Q,4,FALSE)</f>
        <v>Dunlop</v>
      </c>
      <c r="R1151" s="101"/>
      <c r="U1151" s="101"/>
    </row>
    <row r="1152" ht="22.5" customHeight="1">
      <c r="A1152" s="49"/>
      <c r="C1152" s="192">
        <v>46129.0</v>
      </c>
      <c r="D1152" s="192">
        <v>46129.0</v>
      </c>
      <c r="E1152" s="69" t="s">
        <v>81</v>
      </c>
      <c r="F1152" s="243" t="s">
        <v>343</v>
      </c>
      <c r="G1152" s="69" t="s">
        <v>1780</v>
      </c>
      <c r="H1152" s="69" t="s">
        <v>87</v>
      </c>
      <c r="I1152" s="140" t="s">
        <v>276</v>
      </c>
      <c r="J1152" s="446">
        <v>3.0</v>
      </c>
      <c r="K1152" s="140">
        <v>620000.0</v>
      </c>
      <c r="L1152" s="140">
        <v>620000.0</v>
      </c>
      <c r="M1152" s="140" t="s">
        <v>657</v>
      </c>
      <c r="N1152" s="74">
        <f t="shared" si="6"/>
        <v>1860000</v>
      </c>
      <c r="O1152" s="60">
        <f t="shared" si="2"/>
        <v>46204</v>
      </c>
      <c r="P1152" s="65" t="str">
        <f>VLOOKUP(I1152,DATABASE!C:Q,11,FALSE)</f>
        <v>Tire</v>
      </c>
      <c r="Q1152" s="65" t="str">
        <f>VLOOKUP(I1152,DATABASE!C:Q,4,FALSE)</f>
        <v>Dunlop</v>
      </c>
      <c r="R1152" s="101"/>
      <c r="U1152" s="101"/>
    </row>
    <row r="1153" ht="22.5" customHeight="1">
      <c r="A1153" s="49"/>
      <c r="C1153" s="192">
        <v>46129.0</v>
      </c>
      <c r="D1153" s="192">
        <v>46129.0</v>
      </c>
      <c r="E1153" s="69" t="s">
        <v>81</v>
      </c>
      <c r="F1153" s="243" t="s">
        <v>343</v>
      </c>
      <c r="G1153" s="69" t="s">
        <v>1780</v>
      </c>
      <c r="H1153" s="69" t="s">
        <v>87</v>
      </c>
      <c r="I1153" s="140" t="s">
        <v>1489</v>
      </c>
      <c r="J1153" s="446">
        <v>2.0</v>
      </c>
      <c r="K1153" s="140">
        <v>609000.0</v>
      </c>
      <c r="L1153" s="140">
        <v>609000.0</v>
      </c>
      <c r="M1153" s="140" t="s">
        <v>657</v>
      </c>
      <c r="N1153" s="74">
        <f t="shared" si="6"/>
        <v>1218000</v>
      </c>
      <c r="O1153" s="60">
        <f t="shared" si="2"/>
        <v>46204</v>
      </c>
      <c r="P1153" s="65" t="str">
        <f>VLOOKUP(I1153,DATABASE!C:Q,11,FALSE)</f>
        <v>Tire</v>
      </c>
      <c r="Q1153" s="65" t="str">
        <f>VLOOKUP(I1153,DATABASE!C:Q,4,FALSE)</f>
        <v>Dunlop</v>
      </c>
      <c r="R1153" s="101"/>
      <c r="U1153" s="101"/>
    </row>
    <row r="1154" ht="22.5" customHeight="1">
      <c r="A1154" s="49"/>
      <c r="C1154" s="192">
        <v>46129.0</v>
      </c>
      <c r="D1154" s="192">
        <v>46129.0</v>
      </c>
      <c r="E1154" s="69" t="s">
        <v>81</v>
      </c>
      <c r="F1154" s="243" t="s">
        <v>343</v>
      </c>
      <c r="G1154" s="69" t="s">
        <v>1780</v>
      </c>
      <c r="H1154" s="69" t="s">
        <v>87</v>
      </c>
      <c r="I1154" s="140" t="s">
        <v>2628</v>
      </c>
      <c r="J1154" s="446">
        <v>2.0</v>
      </c>
      <c r="K1154" s="140">
        <v>530000.0</v>
      </c>
      <c r="L1154" s="140">
        <v>530000.0</v>
      </c>
      <c r="M1154" s="140" t="s">
        <v>657</v>
      </c>
      <c r="N1154" s="74">
        <f t="shared" si="6"/>
        <v>1060000</v>
      </c>
      <c r="O1154" s="60">
        <f t="shared" si="2"/>
        <v>46204</v>
      </c>
      <c r="P1154" s="65" t="str">
        <f>VLOOKUP(I1154,DATABASE!C:Q,11,FALSE)</f>
        <v>Tire</v>
      </c>
      <c r="Q1154" s="65" t="str">
        <f>VLOOKUP(I1154,DATABASE!C:Q,4,FALSE)</f>
        <v>DUNLOP</v>
      </c>
      <c r="R1154" s="101"/>
      <c r="U1154" s="101"/>
    </row>
    <row r="1155" ht="22.5" customHeight="1">
      <c r="A1155" s="49"/>
      <c r="C1155" s="192">
        <v>46129.0</v>
      </c>
      <c r="D1155" s="192">
        <v>46129.0</v>
      </c>
      <c r="E1155" s="69" t="s">
        <v>81</v>
      </c>
      <c r="F1155" s="243" t="s">
        <v>343</v>
      </c>
      <c r="G1155" s="69" t="s">
        <v>1780</v>
      </c>
      <c r="H1155" s="69" t="s">
        <v>87</v>
      </c>
      <c r="I1155" s="140" t="s">
        <v>1389</v>
      </c>
      <c r="J1155" s="446">
        <v>3.0</v>
      </c>
      <c r="K1155" s="140">
        <v>908000.0</v>
      </c>
      <c r="L1155" s="140">
        <v>908000.0</v>
      </c>
      <c r="M1155" s="140" t="s">
        <v>657</v>
      </c>
      <c r="N1155" s="74">
        <f t="shared" si="6"/>
        <v>2724000</v>
      </c>
      <c r="O1155" s="60">
        <f t="shared" si="2"/>
        <v>46204</v>
      </c>
      <c r="P1155" s="65" t="str">
        <f>VLOOKUP(I1155,DATABASE!C:Q,11,FALSE)</f>
        <v>Tire</v>
      </c>
      <c r="Q1155" s="65" t="str">
        <f>VLOOKUP(I1155,DATABASE!C:Q,4,FALSE)</f>
        <v>Dunlop</v>
      </c>
      <c r="R1155" s="101"/>
      <c r="U1155" s="101"/>
    </row>
    <row r="1156" ht="22.5" customHeight="1">
      <c r="A1156" s="49"/>
      <c r="C1156" s="192">
        <v>46129.0</v>
      </c>
      <c r="D1156" s="192">
        <v>46129.0</v>
      </c>
      <c r="E1156" s="69" t="s">
        <v>81</v>
      </c>
      <c r="F1156" s="243" t="s">
        <v>343</v>
      </c>
      <c r="G1156" s="69" t="s">
        <v>1780</v>
      </c>
      <c r="H1156" s="69" t="s">
        <v>87</v>
      </c>
      <c r="I1156" s="140" t="s">
        <v>282</v>
      </c>
      <c r="J1156" s="446">
        <v>2.0</v>
      </c>
      <c r="K1156" s="140">
        <v>779500.0</v>
      </c>
      <c r="L1156" s="140">
        <v>779500.0</v>
      </c>
      <c r="M1156" s="140" t="s">
        <v>657</v>
      </c>
      <c r="N1156" s="74">
        <f t="shared" si="6"/>
        <v>1559000</v>
      </c>
      <c r="O1156" s="60">
        <f t="shared" si="2"/>
        <v>46204</v>
      </c>
      <c r="P1156" s="65" t="str">
        <f>VLOOKUP(I1156,DATABASE!C:Q,11,FALSE)</f>
        <v>Tire</v>
      </c>
      <c r="Q1156" s="65" t="str">
        <f>VLOOKUP(I1156,DATABASE!C:Q,4,FALSE)</f>
        <v>Dunlop</v>
      </c>
      <c r="R1156" s="101"/>
      <c r="U1156" s="101"/>
    </row>
    <row r="1157" ht="22.5" customHeight="1">
      <c r="A1157" s="49"/>
      <c r="C1157" s="192">
        <v>46129.0</v>
      </c>
      <c r="D1157" s="192">
        <v>46129.0</v>
      </c>
      <c r="E1157" s="69" t="s">
        <v>81</v>
      </c>
      <c r="F1157" s="243" t="s">
        <v>343</v>
      </c>
      <c r="G1157" s="69" t="s">
        <v>1780</v>
      </c>
      <c r="H1157" s="69" t="s">
        <v>87</v>
      </c>
      <c r="I1157" s="140" t="s">
        <v>1486</v>
      </c>
      <c r="J1157" s="446">
        <v>3.0</v>
      </c>
      <c r="K1157" s="140">
        <v>888000.0</v>
      </c>
      <c r="L1157" s="140">
        <v>888000.0</v>
      </c>
      <c r="M1157" s="140" t="s">
        <v>657</v>
      </c>
      <c r="N1157" s="74">
        <f t="shared" si="6"/>
        <v>2664000</v>
      </c>
      <c r="O1157" s="60">
        <f t="shared" si="2"/>
        <v>46204</v>
      </c>
      <c r="P1157" s="65" t="str">
        <f>VLOOKUP(I1157,DATABASE!C:Q,11,FALSE)</f>
        <v>Tire</v>
      </c>
      <c r="Q1157" s="65" t="str">
        <f>VLOOKUP(I1157,DATABASE!C:Q,4,FALSE)</f>
        <v>Dunlop</v>
      </c>
      <c r="R1157" s="101"/>
      <c r="U1157" s="101"/>
    </row>
    <row r="1158" ht="22.5" customHeight="1">
      <c r="A1158" s="49"/>
      <c r="C1158" s="192">
        <v>46129.0</v>
      </c>
      <c r="D1158" s="192">
        <v>46129.0</v>
      </c>
      <c r="E1158" s="69" t="s">
        <v>81</v>
      </c>
      <c r="F1158" s="243" t="s">
        <v>343</v>
      </c>
      <c r="G1158" s="69" t="s">
        <v>1780</v>
      </c>
      <c r="H1158" s="69" t="s">
        <v>87</v>
      </c>
      <c r="I1158" s="140" t="s">
        <v>1361</v>
      </c>
      <c r="J1158" s="446">
        <v>2.0</v>
      </c>
      <c r="K1158" s="140">
        <v>881000.0</v>
      </c>
      <c r="L1158" s="140">
        <v>881000.0</v>
      </c>
      <c r="M1158" s="140" t="s">
        <v>657</v>
      </c>
      <c r="N1158" s="74">
        <f t="shared" si="6"/>
        <v>1762000</v>
      </c>
      <c r="O1158" s="60">
        <f t="shared" si="2"/>
        <v>46204</v>
      </c>
      <c r="P1158" s="65" t="str">
        <f>VLOOKUP(I1158,DATABASE!C:Q,11,FALSE)</f>
        <v>Tire</v>
      </c>
      <c r="Q1158" s="65" t="str">
        <f>VLOOKUP(I1158,DATABASE!C:Q,4,FALSE)</f>
        <v>Dunlop</v>
      </c>
      <c r="R1158" s="101"/>
      <c r="U1158" s="101"/>
    </row>
    <row r="1159" ht="22.5" customHeight="1">
      <c r="A1159" s="49"/>
      <c r="C1159" s="192">
        <v>46129.0</v>
      </c>
      <c r="D1159" s="192">
        <v>46129.0</v>
      </c>
      <c r="E1159" s="69" t="s">
        <v>81</v>
      </c>
      <c r="F1159" s="243" t="s">
        <v>343</v>
      </c>
      <c r="G1159" s="69" t="s">
        <v>1780</v>
      </c>
      <c r="H1159" s="69" t="s">
        <v>87</v>
      </c>
      <c r="I1159" s="140" t="s">
        <v>1524</v>
      </c>
      <c r="J1159" s="446">
        <v>3.0</v>
      </c>
      <c r="K1159" s="140">
        <v>1028000.0</v>
      </c>
      <c r="L1159" s="140">
        <v>1028000.0</v>
      </c>
      <c r="M1159" s="140" t="s">
        <v>657</v>
      </c>
      <c r="N1159" s="74">
        <f t="shared" si="6"/>
        <v>3084000</v>
      </c>
      <c r="O1159" s="60">
        <f t="shared" si="2"/>
        <v>46204</v>
      </c>
      <c r="P1159" s="65" t="str">
        <f>VLOOKUP(I1159,DATABASE!C:Q,11,FALSE)</f>
        <v>Tire</v>
      </c>
      <c r="Q1159" s="65" t="str">
        <f>VLOOKUP(I1159,DATABASE!C:Q,4,FALSE)</f>
        <v>Dunlop</v>
      </c>
      <c r="R1159" s="101"/>
      <c r="U1159" s="101"/>
    </row>
    <row r="1160" ht="22.5" customHeight="1">
      <c r="A1160" s="49"/>
      <c r="C1160" s="192">
        <v>46129.0</v>
      </c>
      <c r="D1160" s="192">
        <v>46129.0</v>
      </c>
      <c r="E1160" s="69" t="s">
        <v>81</v>
      </c>
      <c r="F1160" s="243" t="s">
        <v>343</v>
      </c>
      <c r="G1160" s="69" t="s">
        <v>1780</v>
      </c>
      <c r="H1160" s="69" t="s">
        <v>87</v>
      </c>
      <c r="I1160" s="140" t="s">
        <v>1372</v>
      </c>
      <c r="J1160" s="446">
        <v>2.0</v>
      </c>
      <c r="K1160" s="140">
        <v>1040000.0</v>
      </c>
      <c r="L1160" s="140">
        <v>1040000.0</v>
      </c>
      <c r="M1160" s="140" t="s">
        <v>657</v>
      </c>
      <c r="N1160" s="74">
        <f t="shared" si="6"/>
        <v>2080000</v>
      </c>
      <c r="O1160" s="60">
        <f t="shared" si="2"/>
        <v>46204</v>
      </c>
      <c r="P1160" s="65" t="str">
        <f>VLOOKUP(I1160,DATABASE!C:Q,11,FALSE)</f>
        <v>Tire</v>
      </c>
      <c r="Q1160" s="65" t="str">
        <f>VLOOKUP(I1160,DATABASE!C:Q,4,FALSE)</f>
        <v>Dunlop</v>
      </c>
      <c r="R1160" s="101"/>
      <c r="U1160" s="101"/>
    </row>
    <row r="1161" ht="22.5" customHeight="1">
      <c r="A1161" s="49"/>
      <c r="C1161" s="192">
        <v>46129.0</v>
      </c>
      <c r="D1161" s="192">
        <v>46129.0</v>
      </c>
      <c r="E1161" s="69" t="s">
        <v>81</v>
      </c>
      <c r="F1161" s="243" t="s">
        <v>343</v>
      </c>
      <c r="G1161" s="69" t="s">
        <v>1780</v>
      </c>
      <c r="H1161" s="69" t="s">
        <v>87</v>
      </c>
      <c r="I1161" s="140" t="s">
        <v>940</v>
      </c>
      <c r="J1161" s="446">
        <v>5.0</v>
      </c>
      <c r="K1161" s="140">
        <v>716500.0</v>
      </c>
      <c r="L1161" s="140">
        <v>716500.0</v>
      </c>
      <c r="M1161" s="140" t="s">
        <v>657</v>
      </c>
      <c r="N1161" s="74">
        <f t="shared" si="6"/>
        <v>3582500</v>
      </c>
      <c r="O1161" s="60">
        <f t="shared" si="2"/>
        <v>46204</v>
      </c>
      <c r="P1161" s="65" t="str">
        <f>VLOOKUP(I1161,DATABASE!C:Q,11,FALSE)</f>
        <v>Tire</v>
      </c>
      <c r="Q1161" s="65" t="str">
        <f>VLOOKUP(I1161,DATABASE!C:Q,4,FALSE)</f>
        <v>Dunlop</v>
      </c>
      <c r="R1161" s="101"/>
      <c r="U1161" s="101"/>
    </row>
    <row r="1162" ht="22.5" customHeight="1">
      <c r="A1162" s="49"/>
      <c r="C1162" s="192">
        <v>46129.0</v>
      </c>
      <c r="D1162" s="192">
        <v>46129.0</v>
      </c>
      <c r="E1162" s="69" t="s">
        <v>81</v>
      </c>
      <c r="F1162" s="243" t="s">
        <v>343</v>
      </c>
      <c r="G1162" s="69" t="s">
        <v>1780</v>
      </c>
      <c r="H1162" s="69" t="s">
        <v>87</v>
      </c>
      <c r="I1162" s="140" t="s">
        <v>955</v>
      </c>
      <c r="J1162" s="446">
        <v>6.0</v>
      </c>
      <c r="K1162" s="140">
        <v>660000.0</v>
      </c>
      <c r="L1162" s="140">
        <v>660000.0</v>
      </c>
      <c r="M1162" s="140" t="s">
        <v>657</v>
      </c>
      <c r="N1162" s="74">
        <f t="shared" si="6"/>
        <v>3960000</v>
      </c>
      <c r="O1162" s="60">
        <f t="shared" si="2"/>
        <v>46204</v>
      </c>
      <c r="P1162" s="65" t="str">
        <f>VLOOKUP(I1162,DATABASE!C:Q,11,FALSE)</f>
        <v>Tire</v>
      </c>
      <c r="Q1162" s="65" t="str">
        <f>VLOOKUP(I1162,DATABASE!C:Q,4,FALSE)</f>
        <v>Dunlop</v>
      </c>
      <c r="R1162" s="101"/>
      <c r="U1162" s="101"/>
    </row>
    <row r="1163" ht="22.5" customHeight="1">
      <c r="A1163" s="49"/>
      <c r="C1163" s="192">
        <v>46130.0</v>
      </c>
      <c r="D1163" s="192">
        <v>46129.0</v>
      </c>
      <c r="E1163" s="69" t="s">
        <v>412</v>
      </c>
      <c r="F1163" s="243" t="s">
        <v>998</v>
      </c>
      <c r="G1163" s="69">
        <v>0.0</v>
      </c>
      <c r="H1163" s="69" t="s">
        <v>2314</v>
      </c>
      <c r="I1163" s="140" t="s">
        <v>301</v>
      </c>
      <c r="J1163" s="446">
        <v>8.0</v>
      </c>
      <c r="K1163" s="140">
        <v>75000.0</v>
      </c>
      <c r="L1163" s="140">
        <v>25000.0</v>
      </c>
      <c r="M1163" s="140" t="s">
        <v>2190</v>
      </c>
      <c r="N1163" s="74">
        <f t="shared" si="6"/>
        <v>200000</v>
      </c>
      <c r="O1163" s="60">
        <f t="shared" si="2"/>
        <v>46143</v>
      </c>
      <c r="P1163" s="65" t="str">
        <f>VLOOKUP(I1163,DATABASE!C:Q,11,FALSE)</f>
        <v>COMPLEMENTARY</v>
      </c>
      <c r="Q1163" s="65" t="str">
        <f>VLOOKUP(I1163,DATABASE!C:Q,4,FALSE)</f>
        <v>Baut Camber</v>
      </c>
      <c r="R1163" s="101"/>
      <c r="U1163" s="101"/>
    </row>
    <row r="1164" ht="22.5" customHeight="1">
      <c r="A1164" s="49"/>
      <c r="C1164" s="192">
        <v>46132.0</v>
      </c>
      <c r="D1164" s="192">
        <v>46132.0</v>
      </c>
      <c r="E1164" s="69" t="s">
        <v>81</v>
      </c>
      <c r="F1164" s="243" t="s">
        <v>998</v>
      </c>
      <c r="G1164" s="69" t="s">
        <v>1789</v>
      </c>
      <c r="H1164" s="69" t="s">
        <v>2314</v>
      </c>
      <c r="I1164" s="140" t="s">
        <v>1400</v>
      </c>
      <c r="J1164" s="446">
        <v>6.0</v>
      </c>
      <c r="K1164" s="140">
        <v>465000.0</v>
      </c>
      <c r="L1164" s="140">
        <v>465000.0</v>
      </c>
      <c r="M1164" s="140" t="s">
        <v>755</v>
      </c>
      <c r="N1164" s="74">
        <f t="shared" si="6"/>
        <v>2790000</v>
      </c>
      <c r="O1164" s="60">
        <f t="shared" si="2"/>
        <v>46162</v>
      </c>
      <c r="P1164" s="65" t="str">
        <f>VLOOKUP(I1164,DATABASE!C:Q,11,FALSE)</f>
        <v>Tire</v>
      </c>
      <c r="Q1164" s="65" t="str">
        <f>VLOOKUP(I1164,DATABASE!C:Q,4,FALSE)</f>
        <v>Dunlop</v>
      </c>
      <c r="R1164" s="101"/>
      <c r="U1164" s="101"/>
    </row>
    <row r="1165" ht="22.5" customHeight="1">
      <c r="A1165" s="49"/>
      <c r="C1165" s="192">
        <v>46135.0</v>
      </c>
      <c r="D1165" s="192">
        <v>46135.0</v>
      </c>
      <c r="E1165" s="69" t="s">
        <v>81</v>
      </c>
      <c r="F1165" s="243" t="s">
        <v>343</v>
      </c>
      <c r="G1165" s="69" t="s">
        <v>1798</v>
      </c>
      <c r="H1165" s="69" t="s">
        <v>87</v>
      </c>
      <c r="I1165" s="140" t="s">
        <v>1400</v>
      </c>
      <c r="J1165" s="446">
        <v>6.0</v>
      </c>
      <c r="K1165" s="140">
        <v>465000.0</v>
      </c>
      <c r="L1165" s="140">
        <v>465000.0</v>
      </c>
      <c r="M1165" s="140" t="s">
        <v>657</v>
      </c>
      <c r="N1165" s="74">
        <f t="shared" si="6"/>
        <v>2790000</v>
      </c>
      <c r="O1165" s="60">
        <f t="shared" si="2"/>
        <v>46210</v>
      </c>
      <c r="P1165" s="65" t="str">
        <f>VLOOKUP(I1165,DATABASE!C:Q,11,FALSE)</f>
        <v>Tire</v>
      </c>
      <c r="Q1165" s="65" t="str">
        <f>VLOOKUP(I1165,DATABASE!C:Q,4,FALSE)</f>
        <v>Dunlop</v>
      </c>
      <c r="R1165" s="101"/>
      <c r="U1165" s="101"/>
    </row>
    <row r="1166" ht="22.5" customHeight="1">
      <c r="A1166" s="49"/>
      <c r="C1166" s="192">
        <v>46135.0</v>
      </c>
      <c r="D1166" s="192">
        <v>46135.0</v>
      </c>
      <c r="E1166" s="69" t="s">
        <v>81</v>
      </c>
      <c r="F1166" s="243" t="s">
        <v>343</v>
      </c>
      <c r="G1166" s="69" t="s">
        <v>1802</v>
      </c>
      <c r="H1166" s="69" t="s">
        <v>87</v>
      </c>
      <c r="I1166" s="140" t="s">
        <v>265</v>
      </c>
      <c r="J1166" s="446">
        <v>7.0</v>
      </c>
      <c r="K1166" s="140">
        <v>610000.0</v>
      </c>
      <c r="L1166" s="140">
        <v>610000.0</v>
      </c>
      <c r="M1166" s="140" t="s">
        <v>657</v>
      </c>
      <c r="N1166" s="74">
        <f t="shared" si="6"/>
        <v>4270000</v>
      </c>
      <c r="O1166" s="60">
        <f t="shared" si="2"/>
        <v>46210</v>
      </c>
      <c r="P1166" s="65" t="str">
        <f>VLOOKUP(I1166,DATABASE!C:Q,11,FALSE)</f>
        <v>Tire</v>
      </c>
      <c r="Q1166" s="65" t="str">
        <f>VLOOKUP(I1166,DATABASE!C:Q,4,FALSE)</f>
        <v>Dunlop</v>
      </c>
      <c r="R1166" s="101"/>
      <c r="U1166" s="101"/>
    </row>
    <row r="1167" ht="22.5" customHeight="1">
      <c r="A1167" s="49"/>
      <c r="C1167" s="192">
        <v>46135.0</v>
      </c>
      <c r="D1167" s="192">
        <v>46135.0</v>
      </c>
      <c r="E1167" s="69" t="s">
        <v>81</v>
      </c>
      <c r="F1167" s="243" t="s">
        <v>343</v>
      </c>
      <c r="G1167" s="69" t="s">
        <v>1802</v>
      </c>
      <c r="H1167" s="69" t="s">
        <v>87</v>
      </c>
      <c r="I1167" s="140" t="s">
        <v>268</v>
      </c>
      <c r="J1167" s="446">
        <v>13.0</v>
      </c>
      <c r="K1167" s="140">
        <v>622000.0</v>
      </c>
      <c r="L1167" s="140">
        <v>634500.0</v>
      </c>
      <c r="M1167" s="140" t="s">
        <v>657</v>
      </c>
      <c r="N1167" s="74">
        <f t="shared" si="6"/>
        <v>8248500</v>
      </c>
      <c r="O1167" s="60">
        <f t="shared" si="2"/>
        <v>46210</v>
      </c>
      <c r="P1167" s="65" t="str">
        <f>VLOOKUP(I1167,DATABASE!C:Q,11,FALSE)</f>
        <v>Tire</v>
      </c>
      <c r="Q1167" s="65" t="str">
        <f>VLOOKUP(I1167,DATABASE!C:Q,4,FALSE)</f>
        <v>Dunlop</v>
      </c>
      <c r="R1167" s="101"/>
      <c r="U1167" s="101"/>
    </row>
    <row r="1168" ht="22.5" customHeight="1">
      <c r="A1168" s="49"/>
      <c r="C1168" s="192">
        <v>46135.0</v>
      </c>
      <c r="D1168" s="192">
        <v>46135.0</v>
      </c>
      <c r="E1168" s="69" t="s">
        <v>81</v>
      </c>
      <c r="F1168" s="243" t="s">
        <v>343</v>
      </c>
      <c r="G1168" s="69" t="s">
        <v>1802</v>
      </c>
      <c r="H1168" s="69" t="s">
        <v>87</v>
      </c>
      <c r="I1168" s="140" t="s">
        <v>974</v>
      </c>
      <c r="J1168" s="446">
        <v>8.0</v>
      </c>
      <c r="K1168" s="140">
        <v>501500.0</v>
      </c>
      <c r="L1168" s="140">
        <v>501500.0</v>
      </c>
      <c r="M1168" s="140" t="s">
        <v>657</v>
      </c>
      <c r="N1168" s="74">
        <f t="shared" si="6"/>
        <v>4012000</v>
      </c>
      <c r="O1168" s="60">
        <f t="shared" si="2"/>
        <v>46210</v>
      </c>
      <c r="P1168" s="65" t="str">
        <f>VLOOKUP(I1168,DATABASE!C:Q,11,FALSE)</f>
        <v>Tire</v>
      </c>
      <c r="Q1168" s="65" t="str">
        <f>VLOOKUP(I1168,DATABASE!C:Q,4,FALSE)</f>
        <v>Dunlop</v>
      </c>
      <c r="R1168" s="101"/>
      <c r="U1168" s="101"/>
    </row>
    <row r="1169" ht="22.5" customHeight="1">
      <c r="A1169" s="49"/>
      <c r="C1169" s="192">
        <v>46135.0</v>
      </c>
      <c r="D1169" s="192">
        <v>46135.0</v>
      </c>
      <c r="E1169" s="69" t="s">
        <v>81</v>
      </c>
      <c r="F1169" s="243" t="s">
        <v>343</v>
      </c>
      <c r="G1169" s="69" t="s">
        <v>1802</v>
      </c>
      <c r="H1169" s="69" t="s">
        <v>87</v>
      </c>
      <c r="I1169" s="140" t="s">
        <v>955</v>
      </c>
      <c r="J1169" s="446">
        <v>3.0</v>
      </c>
      <c r="K1169" s="140">
        <v>660000.0</v>
      </c>
      <c r="L1169" s="140">
        <v>660000.0</v>
      </c>
      <c r="M1169" s="140" t="s">
        <v>657</v>
      </c>
      <c r="N1169" s="74">
        <f t="shared" si="6"/>
        <v>1980000</v>
      </c>
      <c r="O1169" s="60">
        <f t="shared" si="2"/>
        <v>46210</v>
      </c>
      <c r="P1169" s="65" t="str">
        <f>VLOOKUP(I1169,DATABASE!C:Q,11,FALSE)</f>
        <v>Tire</v>
      </c>
      <c r="Q1169" s="65" t="str">
        <f>VLOOKUP(I1169,DATABASE!C:Q,4,FALSE)</f>
        <v>Dunlop</v>
      </c>
      <c r="R1169" s="101"/>
      <c r="U1169" s="101"/>
    </row>
    <row r="1170" ht="22.5" customHeight="1">
      <c r="A1170" s="49"/>
      <c r="C1170" s="192">
        <v>46135.0</v>
      </c>
      <c r="D1170" s="192">
        <v>46135.0</v>
      </c>
      <c r="E1170" s="69" t="s">
        <v>81</v>
      </c>
      <c r="F1170" s="243" t="s">
        <v>343</v>
      </c>
      <c r="G1170" s="69" t="s">
        <v>1802</v>
      </c>
      <c r="H1170" s="69" t="s">
        <v>87</v>
      </c>
      <c r="I1170" s="140" t="s">
        <v>265</v>
      </c>
      <c r="J1170" s="446">
        <v>3.0</v>
      </c>
      <c r="K1170" s="140">
        <v>610000.0</v>
      </c>
      <c r="L1170" s="140">
        <v>600000.0</v>
      </c>
      <c r="M1170" s="140" t="s">
        <v>657</v>
      </c>
      <c r="N1170" s="74">
        <f t="shared" si="6"/>
        <v>1800000</v>
      </c>
      <c r="O1170" s="60">
        <f t="shared" si="2"/>
        <v>46210</v>
      </c>
      <c r="P1170" s="65" t="str">
        <f>VLOOKUP(I1170,DATABASE!C:Q,11,FALSE)</f>
        <v>Tire</v>
      </c>
      <c r="Q1170" s="65" t="str">
        <f>VLOOKUP(I1170,DATABASE!C:Q,4,FALSE)</f>
        <v>Dunlop</v>
      </c>
      <c r="R1170" s="101"/>
      <c r="U1170" s="101"/>
    </row>
    <row r="1171" ht="22.5" customHeight="1">
      <c r="A1171" s="49"/>
      <c r="C1171" s="192">
        <v>46135.0</v>
      </c>
      <c r="D1171" s="192">
        <v>46135.0</v>
      </c>
      <c r="E1171" s="69" t="s">
        <v>81</v>
      </c>
      <c r="F1171" s="243" t="s">
        <v>343</v>
      </c>
      <c r="G1171" s="69" t="s">
        <v>1802</v>
      </c>
      <c r="H1171" s="69" t="s">
        <v>87</v>
      </c>
      <c r="I1171" s="140" t="s">
        <v>268</v>
      </c>
      <c r="J1171" s="446">
        <v>2.0</v>
      </c>
      <c r="K1171" s="140">
        <v>622000.0</v>
      </c>
      <c r="L1171" s="140">
        <v>622000.0</v>
      </c>
      <c r="M1171" s="140" t="s">
        <v>657</v>
      </c>
      <c r="N1171" s="74">
        <f t="shared" si="6"/>
        <v>1244000</v>
      </c>
      <c r="O1171" s="60">
        <f t="shared" si="2"/>
        <v>46210</v>
      </c>
      <c r="P1171" s="65" t="str">
        <f>VLOOKUP(I1171,DATABASE!C:Q,11,FALSE)</f>
        <v>Tire</v>
      </c>
      <c r="Q1171" s="65" t="str">
        <f>VLOOKUP(I1171,DATABASE!C:Q,4,FALSE)</f>
        <v>Dunlop</v>
      </c>
      <c r="R1171" s="101"/>
      <c r="U1171" s="101"/>
    </row>
    <row r="1172" ht="22.5" customHeight="1">
      <c r="A1172" s="49"/>
      <c r="C1172" s="192">
        <v>46135.0</v>
      </c>
      <c r="D1172" s="192">
        <v>46135.0</v>
      </c>
      <c r="E1172" s="69" t="s">
        <v>81</v>
      </c>
      <c r="F1172" s="243" t="s">
        <v>343</v>
      </c>
      <c r="G1172" s="69" t="s">
        <v>1802</v>
      </c>
      <c r="H1172" s="69" t="s">
        <v>87</v>
      </c>
      <c r="I1172" s="140" t="s">
        <v>1400</v>
      </c>
      <c r="J1172" s="446">
        <v>4.0</v>
      </c>
      <c r="K1172" s="140">
        <v>465000.0</v>
      </c>
      <c r="L1172" s="140">
        <v>465000.0</v>
      </c>
      <c r="M1172" s="140" t="s">
        <v>657</v>
      </c>
      <c r="N1172" s="74">
        <f t="shared" si="6"/>
        <v>1860000</v>
      </c>
      <c r="O1172" s="60">
        <f t="shared" si="2"/>
        <v>46210</v>
      </c>
      <c r="P1172" s="65" t="str">
        <f>VLOOKUP(I1172,DATABASE!C:Q,11,FALSE)</f>
        <v>Tire</v>
      </c>
      <c r="Q1172" s="65" t="str">
        <f>VLOOKUP(I1172,DATABASE!C:Q,4,FALSE)</f>
        <v>Dunlop</v>
      </c>
      <c r="R1172" s="101"/>
      <c r="U1172" s="101"/>
    </row>
    <row r="1173" ht="22.5" customHeight="1">
      <c r="A1173" s="49"/>
      <c r="C1173" s="192">
        <v>46135.0</v>
      </c>
      <c r="D1173" s="192">
        <v>46135.0</v>
      </c>
      <c r="E1173" s="69" t="s">
        <v>335</v>
      </c>
      <c r="F1173" s="243" t="s">
        <v>343</v>
      </c>
      <c r="G1173" s="69" t="s">
        <v>2214</v>
      </c>
      <c r="H1173" s="69" t="s">
        <v>7</v>
      </c>
      <c r="I1173" s="140" t="s">
        <v>403</v>
      </c>
      <c r="J1173" s="446">
        <v>12.0</v>
      </c>
      <c r="K1173" s="140">
        <v>2160000.0</v>
      </c>
      <c r="L1173" s="140">
        <v>2160000.0</v>
      </c>
      <c r="M1173" s="140" t="s">
        <v>521</v>
      </c>
      <c r="N1173" s="74">
        <f t="shared" si="6"/>
        <v>25920000</v>
      </c>
      <c r="O1173" s="60">
        <f t="shared" si="2"/>
        <v>46195</v>
      </c>
      <c r="P1173" s="65" t="str">
        <f>VLOOKUP(I1173,DATABASE!C:Q,11,FALSE)</f>
        <v>Tire</v>
      </c>
      <c r="Q1173" s="65" t="str">
        <f>VLOOKUP(I1173,DATABASE!C:Q,4,FALSE)</f>
        <v>Advance</v>
      </c>
      <c r="R1173" s="101"/>
      <c r="U1173" s="101"/>
    </row>
    <row r="1174" ht="22.5" customHeight="1">
      <c r="A1174" s="49"/>
      <c r="C1174" s="192">
        <v>46135.0</v>
      </c>
      <c r="D1174" s="192">
        <v>46135.0</v>
      </c>
      <c r="E1174" s="69" t="s">
        <v>335</v>
      </c>
      <c r="F1174" s="243" t="s">
        <v>343</v>
      </c>
      <c r="G1174" s="69" t="s">
        <v>2214</v>
      </c>
      <c r="H1174" s="69" t="s">
        <v>7</v>
      </c>
      <c r="I1174" s="140" t="s">
        <v>374</v>
      </c>
      <c r="J1174" s="446">
        <v>6.0</v>
      </c>
      <c r="K1174" s="140">
        <v>1940000.0</v>
      </c>
      <c r="L1174" s="140">
        <v>1940000.0</v>
      </c>
      <c r="M1174" s="140" t="s">
        <v>521</v>
      </c>
      <c r="N1174" s="74">
        <f t="shared" si="6"/>
        <v>11640000</v>
      </c>
      <c r="O1174" s="60">
        <f t="shared" si="2"/>
        <v>46195</v>
      </c>
      <c r="P1174" s="65" t="str">
        <f>VLOOKUP(I1174,DATABASE!C:Q,11,FALSE)</f>
        <v>Tire</v>
      </c>
      <c r="Q1174" s="65" t="str">
        <f>VLOOKUP(I1174,DATABASE!C:Q,4,FALSE)</f>
        <v>Advance</v>
      </c>
      <c r="R1174" s="101"/>
      <c r="U1174" s="101"/>
    </row>
    <row r="1175" ht="22.5" customHeight="1">
      <c r="A1175" s="49"/>
      <c r="C1175" s="192">
        <v>46135.0</v>
      </c>
      <c r="D1175" s="192">
        <v>46135.0</v>
      </c>
      <c r="E1175" s="69" t="s">
        <v>335</v>
      </c>
      <c r="F1175" s="243" t="s">
        <v>343</v>
      </c>
      <c r="G1175" s="69" t="s">
        <v>2214</v>
      </c>
      <c r="H1175" s="69" t="s">
        <v>7</v>
      </c>
      <c r="I1175" s="140" t="s">
        <v>924</v>
      </c>
      <c r="J1175" s="446">
        <v>4.0</v>
      </c>
      <c r="K1175" s="140">
        <v>1545000.0</v>
      </c>
      <c r="L1175" s="140">
        <v>1545000.0</v>
      </c>
      <c r="M1175" s="140" t="s">
        <v>521</v>
      </c>
      <c r="N1175" s="74">
        <f t="shared" si="6"/>
        <v>6180000</v>
      </c>
      <c r="O1175" s="60">
        <f t="shared" si="2"/>
        <v>46195</v>
      </c>
      <c r="P1175" s="65" t="str">
        <f>VLOOKUP(I1175,DATABASE!C:Q,11,FALSE)</f>
        <v>Tire</v>
      </c>
      <c r="Q1175" s="65" t="str">
        <f>VLOOKUP(I1175,DATABASE!C:Q,4,FALSE)</f>
        <v>TIRON</v>
      </c>
      <c r="R1175" s="101"/>
      <c r="U1175" s="101"/>
    </row>
    <row r="1176" ht="22.5" customHeight="1">
      <c r="A1176" s="49"/>
      <c r="C1176" s="192">
        <v>46135.0</v>
      </c>
      <c r="D1176" s="192">
        <v>46135.0</v>
      </c>
      <c r="E1176" s="69" t="s">
        <v>335</v>
      </c>
      <c r="F1176" s="243" t="s">
        <v>343</v>
      </c>
      <c r="G1176" s="69" t="s">
        <v>2214</v>
      </c>
      <c r="H1176" s="69" t="s">
        <v>7</v>
      </c>
      <c r="I1176" s="140" t="s">
        <v>295</v>
      </c>
      <c r="J1176" s="446">
        <v>6.0</v>
      </c>
      <c r="K1176" s="140">
        <v>1425000.0</v>
      </c>
      <c r="L1176" s="140">
        <v>1425000.0</v>
      </c>
      <c r="M1176" s="140" t="s">
        <v>521</v>
      </c>
      <c r="N1176" s="74">
        <f t="shared" si="6"/>
        <v>8550000</v>
      </c>
      <c r="O1176" s="60">
        <f t="shared" si="2"/>
        <v>46195</v>
      </c>
      <c r="P1176" s="65" t="str">
        <f>VLOOKUP(I1176,DATABASE!C:Q,11,FALSE)</f>
        <v>Tire</v>
      </c>
      <c r="Q1176" s="65" t="str">
        <f>VLOOKUP(I1176,DATABASE!C:Q,4,FALSE)</f>
        <v>TIRON</v>
      </c>
      <c r="R1176" s="101"/>
      <c r="U1176" s="101"/>
    </row>
    <row r="1177" ht="22.5" customHeight="1">
      <c r="A1177" s="49"/>
      <c r="C1177" s="192">
        <v>46140.0</v>
      </c>
      <c r="D1177" s="192">
        <v>46140.0</v>
      </c>
      <c r="E1177" s="69" t="s">
        <v>361</v>
      </c>
      <c r="F1177" s="243" t="s">
        <v>343</v>
      </c>
      <c r="G1177" s="69" t="s">
        <v>2326</v>
      </c>
      <c r="H1177" s="69" t="s">
        <v>7</v>
      </c>
      <c r="I1177" s="140" t="s">
        <v>2624</v>
      </c>
      <c r="J1177" s="446">
        <v>20.0</v>
      </c>
      <c r="K1177" s="140">
        <v>517000.0</v>
      </c>
      <c r="L1177" s="140">
        <v>517000.0</v>
      </c>
      <c r="M1177" s="140" t="s">
        <v>657</v>
      </c>
      <c r="N1177" s="74">
        <f t="shared" si="6"/>
        <v>10340000</v>
      </c>
      <c r="O1177" s="60">
        <f t="shared" si="2"/>
        <v>46215</v>
      </c>
      <c r="P1177" s="65" t="str">
        <f>VLOOKUP(I1177,DATABASE!C:Q,11,FALSE)</f>
        <v>Tire</v>
      </c>
      <c r="Q1177" s="65" t="str">
        <f>VLOOKUP(I1177,DATABASE!C:Q,4,FALSE)</f>
        <v>Sailun</v>
      </c>
      <c r="R1177" s="101"/>
      <c r="U1177" s="101"/>
    </row>
    <row r="1178" ht="22.5" customHeight="1">
      <c r="A1178" s="49"/>
      <c r="C1178" s="192">
        <v>46140.0</v>
      </c>
      <c r="D1178" s="192">
        <v>46140.0</v>
      </c>
      <c r="E1178" s="69" t="s">
        <v>97</v>
      </c>
      <c r="F1178" s="243" t="s">
        <v>343</v>
      </c>
      <c r="G1178" s="69" t="s">
        <v>2505</v>
      </c>
      <c r="H1178" s="69" t="s">
        <v>87</v>
      </c>
      <c r="I1178" s="140" t="s">
        <v>566</v>
      </c>
      <c r="J1178" s="446">
        <v>1.0</v>
      </c>
      <c r="K1178" s="140">
        <v>1545000.0</v>
      </c>
      <c r="L1178" s="140">
        <v>1545000.0</v>
      </c>
      <c r="M1178" s="140" t="s">
        <v>755</v>
      </c>
      <c r="N1178" s="74">
        <f t="shared" si="6"/>
        <v>1545000</v>
      </c>
      <c r="O1178" s="60">
        <f t="shared" si="2"/>
        <v>46170</v>
      </c>
      <c r="P1178" s="65" t="str">
        <f>VLOOKUP(I1178,DATABASE!C:Q,11,FALSE)</f>
        <v>Tire</v>
      </c>
      <c r="Q1178" s="65" t="str">
        <f>VLOOKUP(I1178,DATABASE!C:Q,4,FALSE)</f>
        <v>Bridgestone</v>
      </c>
      <c r="R1178" s="101"/>
      <c r="U1178" s="101"/>
    </row>
    <row r="1179" ht="22.5" customHeight="1">
      <c r="A1179" s="49"/>
      <c r="C1179" s="192">
        <v>46140.0</v>
      </c>
      <c r="D1179" s="192">
        <v>46140.0</v>
      </c>
      <c r="E1179" s="69" t="s">
        <v>97</v>
      </c>
      <c r="F1179" s="243" t="s">
        <v>343</v>
      </c>
      <c r="G1179" s="69" t="s">
        <v>2505</v>
      </c>
      <c r="H1179" s="69" t="s">
        <v>87</v>
      </c>
      <c r="I1179" s="140" t="s">
        <v>566</v>
      </c>
      <c r="J1179" s="446">
        <v>1.0</v>
      </c>
      <c r="K1179" s="140">
        <v>1545000.0</v>
      </c>
      <c r="L1179" s="140">
        <v>1545000.0</v>
      </c>
      <c r="M1179" s="140" t="s">
        <v>755</v>
      </c>
      <c r="N1179" s="74">
        <f t="shared" si="6"/>
        <v>1545000</v>
      </c>
      <c r="O1179" s="60">
        <f t="shared" si="2"/>
        <v>46170</v>
      </c>
      <c r="P1179" s="65" t="str">
        <f>VLOOKUP(I1179,DATABASE!C:Q,11,FALSE)</f>
        <v>Tire</v>
      </c>
      <c r="Q1179" s="65" t="str">
        <f>VLOOKUP(I1179,DATABASE!C:Q,4,FALSE)</f>
        <v>Bridgestone</v>
      </c>
      <c r="R1179" s="101"/>
      <c r="U1179" s="101"/>
    </row>
    <row r="1180" ht="22.5" customHeight="1">
      <c r="A1180" s="49"/>
      <c r="C1180" s="192">
        <v>46140.0</v>
      </c>
      <c r="D1180" s="192">
        <v>46140.0</v>
      </c>
      <c r="E1180" s="69" t="s">
        <v>110</v>
      </c>
      <c r="F1180" s="243" t="s">
        <v>343</v>
      </c>
      <c r="G1180" s="69">
        <v>2.6005922E7</v>
      </c>
      <c r="H1180" s="69" t="s">
        <v>7</v>
      </c>
      <c r="I1180" s="140" t="s">
        <v>1871</v>
      </c>
      <c r="J1180" s="446">
        <v>2.0</v>
      </c>
      <c r="K1180" s="140">
        <v>3160000.0</v>
      </c>
      <c r="L1180" s="140">
        <v>3160000.0</v>
      </c>
      <c r="M1180" s="140" t="s">
        <v>755</v>
      </c>
      <c r="N1180" s="74">
        <f t="shared" si="6"/>
        <v>6320000</v>
      </c>
      <c r="O1180" s="60">
        <f t="shared" si="2"/>
        <v>46170</v>
      </c>
      <c r="P1180" s="65" t="str">
        <f>VLOOKUP(I1180,DATABASE!C:Q,11,FALSE)</f>
        <v>Tire</v>
      </c>
      <c r="Q1180" s="65" t="str">
        <f>VLOOKUP(I1180,DATABASE!C:Q,4,FALSE)</f>
        <v>GT</v>
      </c>
      <c r="R1180" s="101"/>
      <c r="U1180" s="101"/>
    </row>
    <row r="1181" ht="22.5" customHeight="1">
      <c r="A1181" s="49"/>
      <c r="C1181" s="192">
        <v>46144.0</v>
      </c>
      <c r="D1181" s="192">
        <v>46144.0</v>
      </c>
      <c r="E1181" s="69" t="s">
        <v>412</v>
      </c>
      <c r="F1181" s="243" t="s">
        <v>998</v>
      </c>
      <c r="G1181" s="69">
        <v>0.0</v>
      </c>
      <c r="H1181" s="69" t="s">
        <v>2314</v>
      </c>
      <c r="I1181" s="140" t="s">
        <v>301</v>
      </c>
      <c r="J1181" s="446">
        <v>10.0</v>
      </c>
      <c r="K1181" s="140">
        <v>75000.0</v>
      </c>
      <c r="L1181" s="140">
        <v>47500.0</v>
      </c>
      <c r="M1181" s="140" t="s">
        <v>755</v>
      </c>
      <c r="N1181" s="74">
        <f t="shared" si="6"/>
        <v>475000</v>
      </c>
      <c r="O1181" s="60">
        <f t="shared" si="2"/>
        <v>46174</v>
      </c>
      <c r="P1181" s="65" t="str">
        <f>VLOOKUP(I1181,DATABASE!C:Q,11,FALSE)</f>
        <v>COMPLEMENTARY</v>
      </c>
      <c r="Q1181" s="65" t="str">
        <f>VLOOKUP(I1181,DATABASE!C:Q,4,FALSE)</f>
        <v>Baut Camber</v>
      </c>
      <c r="R1181" s="101"/>
      <c r="U1181" s="101"/>
    </row>
    <row r="1182" ht="22.5" customHeight="1">
      <c r="A1182" s="49"/>
      <c r="C1182" s="192">
        <v>46146.0</v>
      </c>
      <c r="D1182" s="192">
        <v>46139.0</v>
      </c>
      <c r="E1182" s="69" t="s">
        <v>198</v>
      </c>
      <c r="F1182" s="243" t="s">
        <v>343</v>
      </c>
      <c r="G1182" s="69" t="s">
        <v>2053</v>
      </c>
      <c r="H1182" s="69" t="s">
        <v>7</v>
      </c>
      <c r="I1182" s="140" t="s">
        <v>569</v>
      </c>
      <c r="J1182" s="446">
        <v>50.0</v>
      </c>
      <c r="K1182" s="140">
        <v>45309.6</v>
      </c>
      <c r="L1182" s="140">
        <v>45439.582</v>
      </c>
      <c r="M1182" s="140" t="s">
        <v>521</v>
      </c>
      <c r="N1182" s="74">
        <f t="shared" si="6"/>
        <v>2271979.1</v>
      </c>
      <c r="O1182" s="60">
        <f t="shared" si="2"/>
        <v>46199</v>
      </c>
      <c r="P1182" s="65" t="str">
        <f>VLOOKUP(I1182,DATABASE!C:Q,11,FALSE)</f>
        <v>Tire</v>
      </c>
      <c r="Q1182" s="65" t="str">
        <f>VLOOKUP(I1182,DATABASE!C:Q,4,FALSE)</f>
        <v>BD</v>
      </c>
      <c r="R1182" s="101"/>
      <c r="U1182" s="101"/>
    </row>
    <row r="1183" ht="22.5" customHeight="1">
      <c r="A1183" s="49"/>
      <c r="C1183" s="192">
        <v>46146.0</v>
      </c>
      <c r="D1183" s="192">
        <v>46139.0</v>
      </c>
      <c r="E1183" s="69" t="s">
        <v>198</v>
      </c>
      <c r="F1183" s="243" t="s">
        <v>343</v>
      </c>
      <c r="G1183" s="69" t="s">
        <v>2053</v>
      </c>
      <c r="H1183" s="69" t="s">
        <v>7</v>
      </c>
      <c r="I1183" s="140" t="s">
        <v>613</v>
      </c>
      <c r="J1183" s="446">
        <v>25.0</v>
      </c>
      <c r="K1183" s="140">
        <v>55000.0</v>
      </c>
      <c r="L1183" s="140">
        <v>58371.2695</v>
      </c>
      <c r="M1183" s="140" t="s">
        <v>521</v>
      </c>
      <c r="N1183" s="74">
        <f t="shared" si="6"/>
        <v>1459281.738</v>
      </c>
      <c r="O1183" s="60">
        <f t="shared" si="2"/>
        <v>46199</v>
      </c>
      <c r="P1183" s="65" t="str">
        <f>VLOOKUP(I1183,DATABASE!C:Q,11,FALSE)</f>
        <v>Tire</v>
      </c>
      <c r="Q1183" s="65" t="str">
        <f>VLOOKUP(I1183,DATABASE!C:Q,4,FALSE)</f>
        <v>BD</v>
      </c>
      <c r="R1183" s="101"/>
      <c r="U1183" s="101"/>
    </row>
    <row r="1184" ht="22.5" customHeight="1">
      <c r="A1184" s="49"/>
      <c r="C1184" s="192">
        <v>46148.0</v>
      </c>
      <c r="D1184" s="192">
        <v>46143.0</v>
      </c>
      <c r="E1184" s="69" t="s">
        <v>198</v>
      </c>
      <c r="F1184" s="243" t="s">
        <v>343</v>
      </c>
      <c r="G1184" s="69" t="s">
        <v>2055</v>
      </c>
      <c r="H1184" s="69" t="s">
        <v>7</v>
      </c>
      <c r="I1184" s="140" t="s">
        <v>1520</v>
      </c>
      <c r="J1184" s="446">
        <v>4.0</v>
      </c>
      <c r="K1184" s="140">
        <v>1926858.75</v>
      </c>
      <c r="L1184" s="140">
        <v>1926858.75</v>
      </c>
      <c r="M1184" s="140" t="s">
        <v>521</v>
      </c>
      <c r="N1184" s="74">
        <f t="shared" si="6"/>
        <v>7707435</v>
      </c>
      <c r="O1184" s="60">
        <f t="shared" si="2"/>
        <v>46203</v>
      </c>
      <c r="P1184" s="65" t="str">
        <f>VLOOKUP(I1184,DATABASE!C:Q,11,FALSE)</f>
        <v>Tire</v>
      </c>
      <c r="Q1184" s="65" t="str">
        <f>VLOOKUP(I1184,DATABASE!C:Q,4,FALSE)</f>
        <v>DURATUN</v>
      </c>
      <c r="R1184" s="101"/>
      <c r="U1184" s="101"/>
    </row>
    <row r="1185" ht="22.5" customHeight="1">
      <c r="A1185" s="49"/>
      <c r="C1185" s="192">
        <v>46148.0</v>
      </c>
      <c r="D1185" s="192">
        <v>46147.0</v>
      </c>
      <c r="E1185" s="69" t="s">
        <v>81</v>
      </c>
      <c r="F1185" s="243" t="s">
        <v>343</v>
      </c>
      <c r="G1185" s="69" t="s">
        <v>1806</v>
      </c>
      <c r="H1185" s="69" t="s">
        <v>87</v>
      </c>
      <c r="I1185" s="140" t="s">
        <v>265</v>
      </c>
      <c r="J1185" s="446">
        <v>16.0</v>
      </c>
      <c r="K1185" s="140">
        <v>610000.0</v>
      </c>
      <c r="L1185" s="140">
        <v>610000.0</v>
      </c>
      <c r="M1185" s="140" t="s">
        <v>657</v>
      </c>
      <c r="N1185" s="74">
        <f t="shared" si="6"/>
        <v>9760000</v>
      </c>
      <c r="O1185" s="60">
        <f t="shared" si="2"/>
        <v>46222</v>
      </c>
      <c r="P1185" s="65" t="str">
        <f>VLOOKUP(I1185,DATABASE!C:Q,11,FALSE)</f>
        <v>Tire</v>
      </c>
      <c r="Q1185" s="65" t="str">
        <f>VLOOKUP(I1185,DATABASE!C:Q,4,FALSE)</f>
        <v>Dunlop</v>
      </c>
      <c r="R1185" s="101"/>
      <c r="U1185" s="101"/>
    </row>
    <row r="1186" ht="22.5" customHeight="1">
      <c r="A1186" s="49"/>
      <c r="C1186" s="192">
        <v>46148.0</v>
      </c>
      <c r="D1186" s="192">
        <v>46147.0</v>
      </c>
      <c r="E1186" s="69" t="s">
        <v>81</v>
      </c>
      <c r="F1186" s="243" t="s">
        <v>343</v>
      </c>
      <c r="G1186" s="69" t="s">
        <v>1806</v>
      </c>
      <c r="H1186" s="69" t="s">
        <v>87</v>
      </c>
      <c r="I1186" s="140" t="s">
        <v>268</v>
      </c>
      <c r="J1186" s="446">
        <v>36.0</v>
      </c>
      <c r="K1186" s="140">
        <v>634500.0</v>
      </c>
      <c r="L1186" s="140">
        <v>634500.0</v>
      </c>
      <c r="M1186" s="140" t="s">
        <v>657</v>
      </c>
      <c r="N1186" s="74">
        <f t="shared" si="6"/>
        <v>22842000</v>
      </c>
      <c r="O1186" s="60">
        <f t="shared" si="2"/>
        <v>46222</v>
      </c>
      <c r="P1186" s="65" t="str">
        <f>VLOOKUP(I1186,DATABASE!C:Q,11,FALSE)</f>
        <v>Tire</v>
      </c>
      <c r="Q1186" s="65" t="str">
        <f>VLOOKUP(I1186,DATABASE!C:Q,4,FALSE)</f>
        <v>Dunlop</v>
      </c>
      <c r="R1186" s="101"/>
      <c r="U1186" s="101"/>
    </row>
    <row r="1187" ht="22.5" customHeight="1">
      <c r="A1187" s="49"/>
      <c r="C1187" s="192">
        <v>46148.0</v>
      </c>
      <c r="D1187" s="192">
        <v>46147.0</v>
      </c>
      <c r="E1187" s="69" t="s">
        <v>81</v>
      </c>
      <c r="F1187" s="243" t="s">
        <v>343</v>
      </c>
      <c r="G1187" s="69" t="s">
        <v>1806</v>
      </c>
      <c r="H1187" s="69" t="s">
        <v>87</v>
      </c>
      <c r="I1187" s="140" t="s">
        <v>275</v>
      </c>
      <c r="J1187" s="446">
        <v>16.0</v>
      </c>
      <c r="K1187" s="140">
        <v>759500.0</v>
      </c>
      <c r="L1187" s="140">
        <v>759500.0</v>
      </c>
      <c r="M1187" s="140" t="s">
        <v>657</v>
      </c>
      <c r="N1187" s="74">
        <f t="shared" si="6"/>
        <v>12152000</v>
      </c>
      <c r="O1187" s="60">
        <f t="shared" si="2"/>
        <v>46222</v>
      </c>
      <c r="P1187" s="65" t="str">
        <f>VLOOKUP(I1187,DATABASE!C:Q,11,FALSE)</f>
        <v>Tire</v>
      </c>
      <c r="Q1187" s="65" t="str">
        <f>VLOOKUP(I1187,DATABASE!C:Q,4,FALSE)</f>
        <v>Dunlop</v>
      </c>
      <c r="R1187" s="101"/>
      <c r="U1187" s="101"/>
    </row>
    <row r="1188" ht="22.5" customHeight="1">
      <c r="A1188" s="49"/>
      <c r="C1188" s="192">
        <v>46148.0</v>
      </c>
      <c r="D1188" s="192">
        <v>46147.0</v>
      </c>
      <c r="E1188" s="69" t="s">
        <v>81</v>
      </c>
      <c r="F1188" s="243" t="s">
        <v>343</v>
      </c>
      <c r="G1188" s="69" t="s">
        <v>1806</v>
      </c>
      <c r="H1188" s="69" t="s">
        <v>87</v>
      </c>
      <c r="I1188" s="140" t="s">
        <v>932</v>
      </c>
      <c r="J1188" s="446">
        <v>14.0</v>
      </c>
      <c r="K1188" s="140">
        <v>601000.0</v>
      </c>
      <c r="L1188" s="140">
        <v>601000.0</v>
      </c>
      <c r="M1188" s="140" t="s">
        <v>657</v>
      </c>
      <c r="N1188" s="74">
        <f t="shared" si="6"/>
        <v>8414000</v>
      </c>
      <c r="O1188" s="60">
        <f t="shared" si="2"/>
        <v>46222</v>
      </c>
      <c r="P1188" s="65" t="str">
        <f>VLOOKUP(I1188,DATABASE!C:Q,11,FALSE)</f>
        <v>Tire</v>
      </c>
      <c r="Q1188" s="65" t="str">
        <f>VLOOKUP(I1188,DATABASE!C:Q,4,FALSE)</f>
        <v>Dunlop</v>
      </c>
      <c r="R1188" s="101"/>
      <c r="U1188" s="101"/>
    </row>
    <row r="1189" ht="22.5" customHeight="1">
      <c r="A1189" s="49"/>
      <c r="C1189" s="192">
        <v>46148.0</v>
      </c>
      <c r="D1189" s="192">
        <v>46147.0</v>
      </c>
      <c r="E1189" s="69" t="s">
        <v>81</v>
      </c>
      <c r="F1189" s="243" t="s">
        <v>343</v>
      </c>
      <c r="G1189" s="69" t="s">
        <v>1806</v>
      </c>
      <c r="H1189" s="69" t="s">
        <v>87</v>
      </c>
      <c r="I1189" s="140" t="s">
        <v>271</v>
      </c>
      <c r="J1189" s="446">
        <v>10.0</v>
      </c>
      <c r="K1189" s="140">
        <v>550000.0</v>
      </c>
      <c r="L1189" s="140">
        <v>550000.0</v>
      </c>
      <c r="M1189" s="140" t="s">
        <v>657</v>
      </c>
      <c r="N1189" s="74">
        <f t="shared" si="6"/>
        <v>5500000</v>
      </c>
      <c r="O1189" s="60">
        <f t="shared" si="2"/>
        <v>46222</v>
      </c>
      <c r="P1189" s="65" t="str">
        <f>VLOOKUP(I1189,DATABASE!C:Q,11,FALSE)</f>
        <v>Tire</v>
      </c>
      <c r="Q1189" s="65" t="str">
        <f>VLOOKUP(I1189,DATABASE!C:Q,4,FALSE)</f>
        <v>Dunlop</v>
      </c>
      <c r="R1189" s="101"/>
      <c r="U1189" s="101"/>
    </row>
    <row r="1190" ht="22.5" customHeight="1">
      <c r="A1190" s="49"/>
      <c r="C1190" s="192">
        <v>46148.0</v>
      </c>
      <c r="D1190" s="192">
        <v>46147.0</v>
      </c>
      <c r="E1190" s="69" t="s">
        <v>81</v>
      </c>
      <c r="F1190" s="243" t="s">
        <v>343</v>
      </c>
      <c r="G1190" s="69" t="s">
        <v>1806</v>
      </c>
      <c r="H1190" s="69" t="s">
        <v>87</v>
      </c>
      <c r="I1190" s="140" t="s">
        <v>940</v>
      </c>
      <c r="J1190" s="446">
        <v>3.0</v>
      </c>
      <c r="K1190" s="140">
        <v>716500.0</v>
      </c>
      <c r="L1190" s="140">
        <v>716500.0</v>
      </c>
      <c r="M1190" s="140" t="s">
        <v>657</v>
      </c>
      <c r="N1190" s="74">
        <f t="shared" si="6"/>
        <v>2149500</v>
      </c>
      <c r="O1190" s="60">
        <f t="shared" si="2"/>
        <v>46222</v>
      </c>
      <c r="P1190" s="65" t="str">
        <f>VLOOKUP(I1190,DATABASE!C:Q,11,FALSE)</f>
        <v>Tire</v>
      </c>
      <c r="Q1190" s="65" t="str">
        <f>VLOOKUP(I1190,DATABASE!C:Q,4,FALSE)</f>
        <v>Dunlop</v>
      </c>
      <c r="R1190" s="101"/>
      <c r="U1190" s="101"/>
    </row>
    <row r="1191" ht="22.5" customHeight="1">
      <c r="A1191" s="49"/>
      <c r="C1191" s="192">
        <v>46148.0</v>
      </c>
      <c r="D1191" s="192">
        <v>46147.0</v>
      </c>
      <c r="E1191" s="69" t="s">
        <v>81</v>
      </c>
      <c r="F1191" s="243" t="s">
        <v>343</v>
      </c>
      <c r="G1191" s="69" t="s">
        <v>1806</v>
      </c>
      <c r="H1191" s="69" t="s">
        <v>87</v>
      </c>
      <c r="I1191" s="140" t="s">
        <v>282</v>
      </c>
      <c r="J1191" s="446">
        <v>6.0</v>
      </c>
      <c r="K1191" s="140">
        <v>779500.0</v>
      </c>
      <c r="L1191" s="140">
        <v>779500.0</v>
      </c>
      <c r="M1191" s="140" t="s">
        <v>657</v>
      </c>
      <c r="N1191" s="74">
        <f t="shared" si="6"/>
        <v>4677000</v>
      </c>
      <c r="O1191" s="60">
        <f t="shared" si="2"/>
        <v>46222</v>
      </c>
      <c r="P1191" s="65" t="str">
        <f>VLOOKUP(I1191,DATABASE!C:Q,11,FALSE)</f>
        <v>Tire</v>
      </c>
      <c r="Q1191" s="65" t="str">
        <f>VLOOKUP(I1191,DATABASE!C:Q,4,FALSE)</f>
        <v>Dunlop</v>
      </c>
      <c r="R1191" s="101"/>
      <c r="U1191" s="101"/>
    </row>
    <row r="1192" ht="22.5" customHeight="1">
      <c r="A1192" s="49"/>
      <c r="C1192" s="192">
        <v>46148.0</v>
      </c>
      <c r="D1192" s="192">
        <v>46147.0</v>
      </c>
      <c r="E1192" s="69" t="s">
        <v>81</v>
      </c>
      <c r="F1192" s="243" t="s">
        <v>343</v>
      </c>
      <c r="G1192" s="69" t="s">
        <v>1806</v>
      </c>
      <c r="H1192" s="69" t="s">
        <v>87</v>
      </c>
      <c r="I1192" s="140" t="s">
        <v>955</v>
      </c>
      <c r="J1192" s="446">
        <v>10.0</v>
      </c>
      <c r="K1192" s="140">
        <v>660000.0</v>
      </c>
      <c r="L1192" s="140">
        <v>660000.0</v>
      </c>
      <c r="M1192" s="140" t="s">
        <v>657</v>
      </c>
      <c r="N1192" s="74">
        <f t="shared" si="6"/>
        <v>6600000</v>
      </c>
      <c r="O1192" s="60">
        <f t="shared" si="2"/>
        <v>46222</v>
      </c>
      <c r="P1192" s="65" t="str">
        <f>VLOOKUP(I1192,DATABASE!C:Q,11,FALSE)</f>
        <v>Tire</v>
      </c>
      <c r="Q1192" s="65" t="str">
        <f>VLOOKUP(I1192,DATABASE!C:Q,4,FALSE)</f>
        <v>Dunlop</v>
      </c>
      <c r="R1192" s="101"/>
      <c r="U1192" s="101"/>
    </row>
    <row r="1193" ht="22.5" customHeight="1">
      <c r="A1193" s="49"/>
      <c r="C1193" s="192">
        <v>46149.0</v>
      </c>
      <c r="D1193" s="192">
        <v>46148.0</v>
      </c>
      <c r="E1193" s="69" t="s">
        <v>123</v>
      </c>
      <c r="F1193" s="243" t="s">
        <v>343</v>
      </c>
      <c r="G1193" s="69" t="s">
        <v>2365</v>
      </c>
      <c r="H1193" s="69" t="s">
        <v>7</v>
      </c>
      <c r="I1193" s="140" t="s">
        <v>781</v>
      </c>
      <c r="J1193" s="446">
        <v>12.0</v>
      </c>
      <c r="K1193" s="140">
        <v>460000.0</v>
      </c>
      <c r="L1193" s="140">
        <v>460000.0</v>
      </c>
      <c r="M1193" s="140" t="s">
        <v>755</v>
      </c>
      <c r="N1193" s="74">
        <f t="shared" si="6"/>
        <v>5520000</v>
      </c>
      <c r="O1193" s="60">
        <f t="shared" si="2"/>
        <v>46178</v>
      </c>
      <c r="P1193" s="65" t="str">
        <f>VLOOKUP(I1193,DATABASE!C:Q,11,FALSE)</f>
        <v>Tire</v>
      </c>
      <c r="Q1193" s="65" t="str">
        <f>VLOOKUP(I1193,DATABASE!C:Q,4,FALSE)</f>
        <v>GT</v>
      </c>
      <c r="R1193" s="101"/>
      <c r="U1193" s="101"/>
    </row>
    <row r="1194" ht="22.5" customHeight="1">
      <c r="A1194" s="49"/>
      <c r="C1194" s="192">
        <v>46149.0</v>
      </c>
      <c r="D1194" s="192">
        <v>46148.0</v>
      </c>
      <c r="E1194" s="69" t="s">
        <v>123</v>
      </c>
      <c r="F1194" s="243" t="s">
        <v>343</v>
      </c>
      <c r="G1194" s="69" t="s">
        <v>2365</v>
      </c>
      <c r="H1194" s="69" t="s">
        <v>7</v>
      </c>
      <c r="I1194" s="140" t="s">
        <v>294</v>
      </c>
      <c r="J1194" s="446">
        <v>10.0</v>
      </c>
      <c r="K1194" s="140">
        <v>505000.0</v>
      </c>
      <c r="L1194" s="140">
        <v>505000.0</v>
      </c>
      <c r="M1194" s="140" t="s">
        <v>755</v>
      </c>
      <c r="N1194" s="74">
        <f t="shared" si="6"/>
        <v>5050000</v>
      </c>
      <c r="O1194" s="60">
        <f t="shared" si="2"/>
        <v>46178</v>
      </c>
      <c r="P1194" s="65" t="str">
        <f>VLOOKUP(I1194,DATABASE!C:Q,11,FALSE)</f>
        <v>Tire</v>
      </c>
      <c r="Q1194" s="65" t="str">
        <f>VLOOKUP(I1194,DATABASE!C:Q,4,FALSE)</f>
        <v>GT</v>
      </c>
      <c r="R1194" s="101"/>
      <c r="U1194" s="101"/>
    </row>
    <row r="1195" ht="22.5" customHeight="1">
      <c r="A1195" s="49"/>
      <c r="C1195" s="192">
        <v>46149.0</v>
      </c>
      <c r="D1195" s="192">
        <v>46148.0</v>
      </c>
      <c r="E1195" s="69" t="s">
        <v>123</v>
      </c>
      <c r="F1195" s="243" t="s">
        <v>343</v>
      </c>
      <c r="G1195" s="69" t="s">
        <v>2365</v>
      </c>
      <c r="H1195" s="69" t="s">
        <v>7</v>
      </c>
      <c r="I1195" s="140" t="s">
        <v>2019</v>
      </c>
      <c r="J1195" s="446">
        <v>4.0</v>
      </c>
      <c r="K1195" s="140">
        <v>620000.0</v>
      </c>
      <c r="L1195" s="140">
        <v>620000.0</v>
      </c>
      <c r="M1195" s="140" t="s">
        <v>755</v>
      </c>
      <c r="N1195" s="74">
        <f t="shared" si="6"/>
        <v>2480000</v>
      </c>
      <c r="O1195" s="60">
        <f t="shared" si="2"/>
        <v>46178</v>
      </c>
      <c r="P1195" s="65" t="str">
        <f>VLOOKUP(I1195,DATABASE!C:Q,11,FALSE)</f>
        <v>Tire</v>
      </c>
      <c r="Q1195" s="65" t="str">
        <f>VLOOKUP(I1195,DATABASE!C:Q,4,FALSE)</f>
        <v>GT</v>
      </c>
      <c r="R1195" s="101"/>
      <c r="U1195" s="101"/>
    </row>
    <row r="1196" ht="22.5" customHeight="1">
      <c r="A1196" s="49"/>
      <c r="C1196" s="192">
        <v>46149.0</v>
      </c>
      <c r="D1196" s="192">
        <v>46148.0</v>
      </c>
      <c r="E1196" s="69" t="s">
        <v>123</v>
      </c>
      <c r="F1196" s="243" t="s">
        <v>343</v>
      </c>
      <c r="G1196" s="69" t="s">
        <v>2365</v>
      </c>
      <c r="H1196" s="69" t="s">
        <v>7</v>
      </c>
      <c r="I1196" s="140" t="s">
        <v>897</v>
      </c>
      <c r="J1196" s="446">
        <v>10.0</v>
      </c>
      <c r="K1196" s="140">
        <v>1525000.0</v>
      </c>
      <c r="L1196" s="140">
        <v>1525000.0</v>
      </c>
      <c r="M1196" s="140" t="s">
        <v>755</v>
      </c>
      <c r="N1196" s="74">
        <f t="shared" si="6"/>
        <v>15250000</v>
      </c>
      <c r="O1196" s="60">
        <f t="shared" si="2"/>
        <v>46178</v>
      </c>
      <c r="P1196" s="65" t="str">
        <f>VLOOKUP(I1196,DATABASE!C:Q,11,FALSE)</f>
        <v>Tire</v>
      </c>
      <c r="Q1196" s="65" t="str">
        <f>VLOOKUP(I1196,DATABASE!C:Q,4,FALSE)</f>
        <v>GT</v>
      </c>
      <c r="R1196" s="101"/>
      <c r="U1196" s="101"/>
    </row>
    <row r="1197" ht="22.5" customHeight="1">
      <c r="A1197" s="49"/>
      <c r="C1197" s="192">
        <v>46149.0</v>
      </c>
      <c r="D1197" s="192">
        <v>46148.0</v>
      </c>
      <c r="E1197" s="69" t="s">
        <v>123</v>
      </c>
      <c r="F1197" s="243" t="s">
        <v>343</v>
      </c>
      <c r="G1197" s="69" t="s">
        <v>2365</v>
      </c>
      <c r="H1197" s="69" t="s">
        <v>7</v>
      </c>
      <c r="I1197" s="140" t="s">
        <v>250</v>
      </c>
      <c r="J1197" s="446">
        <v>25.0</v>
      </c>
      <c r="K1197" s="140">
        <v>102000.0</v>
      </c>
      <c r="L1197" s="140">
        <v>102000.0</v>
      </c>
      <c r="M1197" s="140" t="s">
        <v>755</v>
      </c>
      <c r="N1197" s="74">
        <f t="shared" si="6"/>
        <v>2550000</v>
      </c>
      <c r="O1197" s="60">
        <f t="shared" si="2"/>
        <v>46178</v>
      </c>
      <c r="P1197" s="65" t="str">
        <f>VLOOKUP(I1197,DATABASE!C:Q,11,FALSE)</f>
        <v>Tire</v>
      </c>
      <c r="Q1197" s="65" t="str">
        <f>VLOOKUP(I1197,DATABASE!C:Q,4,FALSE)</f>
        <v>BD</v>
      </c>
      <c r="R1197" s="101"/>
      <c r="U1197" s="101"/>
    </row>
    <row r="1198" ht="22.5" customHeight="1">
      <c r="A1198" s="49"/>
      <c r="C1198" s="192">
        <v>46149.0</v>
      </c>
      <c r="D1198" s="192">
        <v>46148.0</v>
      </c>
      <c r="E1198" s="69" t="s">
        <v>123</v>
      </c>
      <c r="F1198" s="243" t="s">
        <v>343</v>
      </c>
      <c r="G1198" s="69" t="s">
        <v>2365</v>
      </c>
      <c r="H1198" s="69" t="s">
        <v>7</v>
      </c>
      <c r="I1198" s="140" t="s">
        <v>744</v>
      </c>
      <c r="J1198" s="446">
        <v>10.0</v>
      </c>
      <c r="K1198" s="140">
        <v>182200.0</v>
      </c>
      <c r="L1198" s="140">
        <v>182200.0</v>
      </c>
      <c r="M1198" s="140" t="s">
        <v>755</v>
      </c>
      <c r="N1198" s="74">
        <f t="shared" si="6"/>
        <v>1822000</v>
      </c>
      <c r="O1198" s="60">
        <f t="shared" si="2"/>
        <v>46178</v>
      </c>
      <c r="P1198" s="65" t="str">
        <f>VLOOKUP(I1198,DATABASE!C:Q,11,FALSE)</f>
        <v>Tire</v>
      </c>
      <c r="Q1198" s="65" t="str">
        <f>VLOOKUP(I1198,DATABASE!C:Q,4,FALSE)</f>
        <v>BD</v>
      </c>
      <c r="R1198" s="101"/>
      <c r="U1198" s="101"/>
    </row>
    <row r="1199" ht="22.5" customHeight="1">
      <c r="A1199" s="49"/>
      <c r="C1199" s="192">
        <v>46149.0</v>
      </c>
      <c r="D1199" s="192">
        <v>46148.0</v>
      </c>
      <c r="E1199" s="69" t="s">
        <v>123</v>
      </c>
      <c r="F1199" s="243" t="s">
        <v>343</v>
      </c>
      <c r="G1199" s="69" t="s">
        <v>2365</v>
      </c>
      <c r="H1199" s="69" t="s">
        <v>7</v>
      </c>
      <c r="I1199" s="140" t="s">
        <v>821</v>
      </c>
      <c r="J1199" s="446">
        <v>30.0</v>
      </c>
      <c r="K1199" s="140">
        <v>43500.0</v>
      </c>
      <c r="L1199" s="140">
        <v>43500.0</v>
      </c>
      <c r="M1199" s="140" t="s">
        <v>755</v>
      </c>
      <c r="N1199" s="74">
        <f t="shared" si="6"/>
        <v>1305000</v>
      </c>
      <c r="O1199" s="60">
        <f t="shared" si="2"/>
        <v>46178</v>
      </c>
      <c r="P1199" s="65" t="str">
        <f>VLOOKUP(I1199,DATABASE!C:Q,11,FALSE)</f>
        <v>Tire</v>
      </c>
      <c r="Q1199" s="65" t="str">
        <f>VLOOKUP(I1199,DATABASE!C:Q,4,FALSE)</f>
        <v>Flap</v>
      </c>
      <c r="R1199" s="101"/>
      <c r="U1199" s="101"/>
    </row>
    <row r="1200" ht="22.5" customHeight="1">
      <c r="A1200" s="49"/>
      <c r="C1200" s="192">
        <v>46149.0</v>
      </c>
      <c r="D1200" s="192">
        <v>46148.0</v>
      </c>
      <c r="E1200" s="69" t="s">
        <v>123</v>
      </c>
      <c r="F1200" s="243" t="s">
        <v>343</v>
      </c>
      <c r="G1200" s="69" t="s">
        <v>2367</v>
      </c>
      <c r="H1200" s="69" t="s">
        <v>7</v>
      </c>
      <c r="I1200" s="140" t="s">
        <v>1439</v>
      </c>
      <c r="J1200" s="446">
        <v>10.0</v>
      </c>
      <c r="K1200" s="140">
        <v>556800.0</v>
      </c>
      <c r="L1200" s="140">
        <v>556800.0</v>
      </c>
      <c r="M1200" s="140" t="s">
        <v>755</v>
      </c>
      <c r="N1200" s="74">
        <f t="shared" si="6"/>
        <v>5568000</v>
      </c>
      <c r="O1200" s="60">
        <f t="shared" si="2"/>
        <v>46178</v>
      </c>
      <c r="P1200" s="65" t="str">
        <f>VLOOKUP(I1200,DATABASE!C:Q,11,FALSE)</f>
        <v>Tire</v>
      </c>
      <c r="Q1200" s="65" t="str">
        <f>VLOOKUP(I1200,DATABASE!C:Q,4,FALSE)</f>
        <v>GT</v>
      </c>
      <c r="R1200" s="101"/>
      <c r="U1200" s="101"/>
    </row>
    <row r="1201" ht="22.5" customHeight="1">
      <c r="A1201" s="49"/>
      <c r="C1201" s="192">
        <v>46149.0</v>
      </c>
      <c r="D1201" s="192">
        <v>46148.0</v>
      </c>
      <c r="E1201" s="69" t="s">
        <v>123</v>
      </c>
      <c r="F1201" s="243" t="s">
        <v>343</v>
      </c>
      <c r="G1201" s="69" t="s">
        <v>2367</v>
      </c>
      <c r="H1201" s="69" t="s">
        <v>7</v>
      </c>
      <c r="I1201" s="140" t="s">
        <v>856</v>
      </c>
      <c r="J1201" s="446">
        <v>10.0</v>
      </c>
      <c r="K1201" s="140">
        <v>604200.0</v>
      </c>
      <c r="L1201" s="140">
        <v>604200.0</v>
      </c>
      <c r="M1201" s="140" t="s">
        <v>755</v>
      </c>
      <c r="N1201" s="74">
        <f t="shared" si="6"/>
        <v>6042000</v>
      </c>
      <c r="O1201" s="60">
        <f t="shared" si="2"/>
        <v>46178</v>
      </c>
      <c r="P1201" s="65" t="str">
        <f>VLOOKUP(I1201,DATABASE!C:Q,11,FALSE)</f>
        <v>Tire</v>
      </c>
      <c r="Q1201" s="65" t="str">
        <f>VLOOKUP(I1201,DATABASE!C:Q,4,FALSE)</f>
        <v>GT</v>
      </c>
      <c r="R1201" s="101"/>
      <c r="U1201" s="101"/>
    </row>
    <row r="1202" ht="22.5" customHeight="1">
      <c r="A1202" s="49"/>
      <c r="C1202" s="192">
        <v>46149.0</v>
      </c>
      <c r="D1202" s="192">
        <v>46148.0</v>
      </c>
      <c r="E1202" s="69" t="s">
        <v>123</v>
      </c>
      <c r="F1202" s="243" t="s">
        <v>343</v>
      </c>
      <c r="G1202" s="69" t="s">
        <v>2367</v>
      </c>
      <c r="H1202" s="69" t="s">
        <v>7</v>
      </c>
      <c r="I1202" s="140" t="s">
        <v>287</v>
      </c>
      <c r="J1202" s="446">
        <v>10.0</v>
      </c>
      <c r="K1202" s="140">
        <v>711000.0</v>
      </c>
      <c r="L1202" s="140">
        <v>711000.0</v>
      </c>
      <c r="M1202" s="140" t="s">
        <v>755</v>
      </c>
      <c r="N1202" s="74">
        <f t="shared" si="6"/>
        <v>7110000</v>
      </c>
      <c r="O1202" s="60">
        <f t="shared" si="2"/>
        <v>46178</v>
      </c>
      <c r="P1202" s="65" t="str">
        <f>VLOOKUP(I1202,DATABASE!C:Q,11,FALSE)</f>
        <v>Tire</v>
      </c>
      <c r="Q1202" s="65" t="str">
        <f>VLOOKUP(I1202,DATABASE!C:Q,4,FALSE)</f>
        <v>GT</v>
      </c>
      <c r="R1202" s="101"/>
      <c r="U1202" s="101"/>
    </row>
    <row r="1203" ht="22.5" customHeight="1">
      <c r="A1203" s="49"/>
      <c r="C1203" s="192">
        <v>46149.0</v>
      </c>
      <c r="D1203" s="192">
        <v>46148.0</v>
      </c>
      <c r="E1203" s="69" t="s">
        <v>123</v>
      </c>
      <c r="F1203" s="243" t="s">
        <v>343</v>
      </c>
      <c r="G1203" s="69" t="s">
        <v>2367</v>
      </c>
      <c r="H1203" s="69" t="s">
        <v>7</v>
      </c>
      <c r="I1203" s="140" t="s">
        <v>839</v>
      </c>
      <c r="J1203" s="446">
        <v>10.0</v>
      </c>
      <c r="K1203" s="140">
        <v>490000.0</v>
      </c>
      <c r="L1203" s="140">
        <v>490000.0</v>
      </c>
      <c r="M1203" s="140" t="s">
        <v>755</v>
      </c>
      <c r="N1203" s="74">
        <f t="shared" si="6"/>
        <v>4900000</v>
      </c>
      <c r="O1203" s="60">
        <f t="shared" si="2"/>
        <v>46178</v>
      </c>
      <c r="P1203" s="65" t="str">
        <f>VLOOKUP(I1203,DATABASE!C:Q,11,FALSE)</f>
        <v>Tire</v>
      </c>
      <c r="Q1203" s="65" t="str">
        <f>VLOOKUP(I1203,DATABASE!C:Q,4,FALSE)</f>
        <v>GT</v>
      </c>
      <c r="R1203" s="101"/>
      <c r="U1203" s="101"/>
    </row>
    <row r="1204" ht="22.5" customHeight="1">
      <c r="A1204" s="49"/>
      <c r="C1204" s="192">
        <v>46149.0</v>
      </c>
      <c r="D1204" s="192">
        <v>46148.0</v>
      </c>
      <c r="E1204" s="69" t="s">
        <v>123</v>
      </c>
      <c r="F1204" s="243" t="s">
        <v>343</v>
      </c>
      <c r="G1204" s="69" t="s">
        <v>2367</v>
      </c>
      <c r="H1204" s="69" t="s">
        <v>7</v>
      </c>
      <c r="I1204" s="140" t="s">
        <v>288</v>
      </c>
      <c r="J1204" s="446">
        <v>10.0</v>
      </c>
      <c r="K1204" s="140">
        <v>540500.0</v>
      </c>
      <c r="L1204" s="140">
        <v>540500.0</v>
      </c>
      <c r="M1204" s="140" t="s">
        <v>755</v>
      </c>
      <c r="N1204" s="74">
        <f t="shared" si="6"/>
        <v>5405000</v>
      </c>
      <c r="O1204" s="60">
        <f t="shared" si="2"/>
        <v>46178</v>
      </c>
      <c r="P1204" s="65" t="str">
        <f>VLOOKUP(I1204,DATABASE!C:Q,11,FALSE)</f>
        <v>Tire</v>
      </c>
      <c r="Q1204" s="65" t="str">
        <f>VLOOKUP(I1204,DATABASE!C:Q,4,FALSE)</f>
        <v>GT</v>
      </c>
      <c r="R1204" s="101"/>
      <c r="U1204" s="101"/>
    </row>
    <row r="1205" ht="22.5" customHeight="1">
      <c r="A1205" s="49"/>
      <c r="C1205" s="192">
        <v>46149.0</v>
      </c>
      <c r="D1205" s="192">
        <v>46148.0</v>
      </c>
      <c r="E1205" s="69" t="s">
        <v>123</v>
      </c>
      <c r="F1205" s="243" t="s">
        <v>343</v>
      </c>
      <c r="G1205" s="69" t="s">
        <v>2367</v>
      </c>
      <c r="H1205" s="69" t="s">
        <v>7</v>
      </c>
      <c r="I1205" s="140" t="s">
        <v>1867</v>
      </c>
      <c r="J1205" s="446">
        <v>5.0</v>
      </c>
      <c r="K1205" s="140">
        <v>575200.0</v>
      </c>
      <c r="L1205" s="140">
        <v>575200.0</v>
      </c>
      <c r="M1205" s="140" t="s">
        <v>755</v>
      </c>
      <c r="N1205" s="74">
        <f t="shared" si="6"/>
        <v>2876000</v>
      </c>
      <c r="O1205" s="60">
        <f t="shared" si="2"/>
        <v>46178</v>
      </c>
      <c r="P1205" s="65" t="str">
        <f>VLOOKUP(I1205,DATABASE!C:Q,11,FALSE)</f>
        <v>Tire</v>
      </c>
      <c r="Q1205" s="65" t="str">
        <f>VLOOKUP(I1205,DATABASE!C:Q,4,FALSE)</f>
        <v>GT</v>
      </c>
      <c r="R1205" s="101"/>
      <c r="U1205" s="101"/>
    </row>
    <row r="1206" ht="22.5" customHeight="1">
      <c r="A1206" s="49"/>
      <c r="C1206" s="192">
        <v>46149.0</v>
      </c>
      <c r="D1206" s="192">
        <v>46148.0</v>
      </c>
      <c r="E1206" s="69" t="s">
        <v>123</v>
      </c>
      <c r="F1206" s="243" t="s">
        <v>343</v>
      </c>
      <c r="G1206" s="69" t="s">
        <v>2367</v>
      </c>
      <c r="H1206" s="69" t="s">
        <v>7</v>
      </c>
      <c r="I1206" s="140" t="s">
        <v>1597</v>
      </c>
      <c r="J1206" s="446">
        <v>6.0</v>
      </c>
      <c r="K1206" s="140">
        <v>560700.0</v>
      </c>
      <c r="L1206" s="140">
        <v>560700.0</v>
      </c>
      <c r="M1206" s="140" t="s">
        <v>755</v>
      </c>
      <c r="N1206" s="74">
        <f t="shared" si="6"/>
        <v>3364200</v>
      </c>
      <c r="O1206" s="60">
        <f t="shared" si="2"/>
        <v>46178</v>
      </c>
      <c r="P1206" s="65" t="str">
        <f>VLOOKUP(I1206,DATABASE!C:Q,11,FALSE)</f>
        <v>Tire</v>
      </c>
      <c r="Q1206" s="65" t="str">
        <f>VLOOKUP(I1206,DATABASE!C:Q,4,FALSE)</f>
        <v>GT</v>
      </c>
      <c r="R1206" s="101"/>
      <c r="U1206" s="101"/>
    </row>
    <row r="1207" ht="22.5" customHeight="1">
      <c r="A1207" s="49"/>
      <c r="C1207" s="192">
        <v>46149.0</v>
      </c>
      <c r="D1207" s="192">
        <v>46148.0</v>
      </c>
      <c r="E1207" s="69" t="s">
        <v>123</v>
      </c>
      <c r="F1207" s="243" t="s">
        <v>343</v>
      </c>
      <c r="G1207" s="69" t="s">
        <v>2367</v>
      </c>
      <c r="H1207" s="69" t="s">
        <v>7</v>
      </c>
      <c r="I1207" s="140" t="s">
        <v>1009</v>
      </c>
      <c r="J1207" s="446">
        <v>10.0</v>
      </c>
      <c r="K1207" s="140">
        <v>609800.0</v>
      </c>
      <c r="L1207" s="140">
        <v>609800.0</v>
      </c>
      <c r="M1207" s="140" t="s">
        <v>755</v>
      </c>
      <c r="N1207" s="74">
        <f t="shared" si="6"/>
        <v>6098000</v>
      </c>
      <c r="O1207" s="60">
        <f t="shared" si="2"/>
        <v>46178</v>
      </c>
      <c r="P1207" s="65" t="str">
        <f>VLOOKUP(I1207,DATABASE!C:Q,11,FALSE)</f>
        <v>Tire</v>
      </c>
      <c r="Q1207" s="65" t="str">
        <f>VLOOKUP(I1207,DATABASE!C:Q,4,FALSE)</f>
        <v>GT</v>
      </c>
      <c r="R1207" s="101"/>
      <c r="U1207" s="101"/>
    </row>
    <row r="1208" ht="22.5" customHeight="1">
      <c r="A1208" s="49"/>
      <c r="C1208" s="192">
        <v>46149.0</v>
      </c>
      <c r="D1208" s="192">
        <v>46148.0</v>
      </c>
      <c r="E1208" s="69" t="s">
        <v>123</v>
      </c>
      <c r="F1208" s="243" t="s">
        <v>343</v>
      </c>
      <c r="G1208" s="69" t="s">
        <v>2367</v>
      </c>
      <c r="H1208" s="69" t="s">
        <v>7</v>
      </c>
      <c r="I1208" s="140" t="s">
        <v>290</v>
      </c>
      <c r="J1208" s="446">
        <v>10.0</v>
      </c>
      <c r="K1208" s="140">
        <v>628100.0</v>
      </c>
      <c r="L1208" s="140">
        <v>628100.0</v>
      </c>
      <c r="M1208" s="140" t="s">
        <v>755</v>
      </c>
      <c r="N1208" s="74">
        <f t="shared" si="6"/>
        <v>6281000</v>
      </c>
      <c r="O1208" s="60">
        <f t="shared" si="2"/>
        <v>46178</v>
      </c>
      <c r="P1208" s="65" t="str">
        <f>VLOOKUP(I1208,DATABASE!C:Q,11,FALSE)</f>
        <v>Tire</v>
      </c>
      <c r="Q1208" s="65" t="str">
        <f>VLOOKUP(I1208,DATABASE!C:Q,4,FALSE)</f>
        <v>GT</v>
      </c>
      <c r="R1208" s="101"/>
      <c r="U1208" s="101"/>
    </row>
    <row r="1209" ht="22.5" customHeight="1">
      <c r="A1209" s="49"/>
      <c r="C1209" s="192">
        <v>46149.0</v>
      </c>
      <c r="D1209" s="192">
        <v>46148.0</v>
      </c>
      <c r="E1209" s="69" t="s">
        <v>123</v>
      </c>
      <c r="F1209" s="243" t="s">
        <v>343</v>
      </c>
      <c r="G1209" s="69" t="s">
        <v>2367</v>
      </c>
      <c r="H1209" s="69" t="s">
        <v>7</v>
      </c>
      <c r="I1209" s="140" t="s">
        <v>1928</v>
      </c>
      <c r="J1209" s="446">
        <v>5.0</v>
      </c>
      <c r="K1209" s="140">
        <v>589700.0</v>
      </c>
      <c r="L1209" s="140">
        <v>589700.0</v>
      </c>
      <c r="M1209" s="140" t="s">
        <v>755</v>
      </c>
      <c r="N1209" s="74">
        <f t="shared" si="6"/>
        <v>2948500</v>
      </c>
      <c r="O1209" s="60">
        <f t="shared" si="2"/>
        <v>46178</v>
      </c>
      <c r="P1209" s="65" t="str">
        <f>VLOOKUP(I1209,DATABASE!C:Q,11,FALSE)</f>
        <v>Tire</v>
      </c>
      <c r="Q1209" s="65" t="str">
        <f>VLOOKUP(I1209,DATABASE!C:Q,4,FALSE)</f>
        <v>GT</v>
      </c>
      <c r="R1209" s="101"/>
      <c r="U1209" s="101"/>
    </row>
    <row r="1210" ht="22.5" customHeight="1">
      <c r="A1210" s="49"/>
      <c r="C1210" s="192">
        <v>46149.0</v>
      </c>
      <c r="D1210" s="192">
        <v>46148.0</v>
      </c>
      <c r="E1210" s="69" t="s">
        <v>123</v>
      </c>
      <c r="F1210" s="243" t="s">
        <v>343</v>
      </c>
      <c r="G1210" s="69" t="s">
        <v>2367</v>
      </c>
      <c r="H1210" s="69" t="s">
        <v>7</v>
      </c>
      <c r="I1210" s="140" t="s">
        <v>1913</v>
      </c>
      <c r="J1210" s="446">
        <v>6.0</v>
      </c>
      <c r="K1210" s="140">
        <v>587200.0</v>
      </c>
      <c r="L1210" s="140">
        <v>587200.0</v>
      </c>
      <c r="M1210" s="140" t="s">
        <v>755</v>
      </c>
      <c r="N1210" s="74">
        <f t="shared" si="6"/>
        <v>3523200</v>
      </c>
      <c r="O1210" s="60">
        <f t="shared" si="2"/>
        <v>46178</v>
      </c>
      <c r="P1210" s="65" t="str">
        <f>VLOOKUP(I1210,DATABASE!C:Q,11,FALSE)</f>
        <v>Tire</v>
      </c>
      <c r="Q1210" s="65" t="str">
        <f>VLOOKUP(I1210,DATABASE!C:Q,4,FALSE)</f>
        <v>GT</v>
      </c>
      <c r="R1210" s="101"/>
      <c r="U1210" s="101"/>
    </row>
    <row r="1211" ht="22.5" customHeight="1">
      <c r="A1211" s="49"/>
      <c r="C1211" s="192">
        <v>46149.0</v>
      </c>
      <c r="D1211" s="192">
        <v>46148.0</v>
      </c>
      <c r="E1211" s="69" t="s">
        <v>123</v>
      </c>
      <c r="F1211" s="243" t="s">
        <v>343</v>
      </c>
      <c r="G1211" s="69" t="s">
        <v>2377</v>
      </c>
      <c r="H1211" s="69" t="s">
        <v>7</v>
      </c>
      <c r="I1211" s="140" t="s">
        <v>1430</v>
      </c>
      <c r="J1211" s="446">
        <v>4.0</v>
      </c>
      <c r="K1211" s="140">
        <v>672800.0</v>
      </c>
      <c r="L1211" s="140">
        <v>672800.0</v>
      </c>
      <c r="M1211" s="140" t="s">
        <v>755</v>
      </c>
      <c r="N1211" s="74">
        <f t="shared" si="6"/>
        <v>2691200</v>
      </c>
      <c r="O1211" s="60">
        <f t="shared" si="2"/>
        <v>46178</v>
      </c>
      <c r="P1211" s="65" t="str">
        <f>VLOOKUP(I1211,DATABASE!C:Q,11,FALSE)</f>
        <v>Tire</v>
      </c>
      <c r="Q1211" s="65" t="str">
        <f>VLOOKUP(I1211,DATABASE!C:Q,4,FALSE)</f>
        <v>GT</v>
      </c>
      <c r="R1211" s="101"/>
      <c r="U1211" s="101"/>
    </row>
    <row r="1212" ht="22.5" customHeight="1">
      <c r="A1212" s="49"/>
      <c r="C1212" s="192">
        <v>46149.0</v>
      </c>
      <c r="D1212" s="192">
        <v>46148.0</v>
      </c>
      <c r="E1212" s="69" t="s">
        <v>123</v>
      </c>
      <c r="F1212" s="243" t="s">
        <v>343</v>
      </c>
      <c r="G1212" s="69" t="s">
        <v>2377</v>
      </c>
      <c r="H1212" s="69" t="s">
        <v>7</v>
      </c>
      <c r="I1212" s="140" t="s">
        <v>1940</v>
      </c>
      <c r="J1212" s="446">
        <v>4.0</v>
      </c>
      <c r="K1212" s="140">
        <v>775500.0</v>
      </c>
      <c r="L1212" s="140">
        <v>775500.0</v>
      </c>
      <c r="M1212" s="140" t="s">
        <v>755</v>
      </c>
      <c r="N1212" s="74">
        <f t="shared" si="6"/>
        <v>3102000</v>
      </c>
      <c r="O1212" s="60">
        <f t="shared" si="2"/>
        <v>46178</v>
      </c>
      <c r="P1212" s="65" t="str">
        <f>VLOOKUP(I1212,DATABASE!C:Q,11,FALSE)</f>
        <v>Tire</v>
      </c>
      <c r="Q1212" s="65" t="str">
        <f>VLOOKUP(I1212,DATABASE!C:Q,4,FALSE)</f>
        <v>GT</v>
      </c>
      <c r="R1212" s="101"/>
      <c r="U1212" s="101"/>
    </row>
    <row r="1213" ht="22.5" customHeight="1">
      <c r="A1213" s="49"/>
      <c r="C1213" s="192">
        <v>46149.0</v>
      </c>
      <c r="D1213" s="192">
        <v>46148.0</v>
      </c>
      <c r="E1213" s="69" t="s">
        <v>123</v>
      </c>
      <c r="F1213" s="243" t="s">
        <v>343</v>
      </c>
      <c r="G1213" s="69" t="s">
        <v>2377</v>
      </c>
      <c r="H1213" s="69" t="s">
        <v>7</v>
      </c>
      <c r="I1213" s="140" t="s">
        <v>1704</v>
      </c>
      <c r="J1213" s="446">
        <v>4.0</v>
      </c>
      <c r="K1213" s="140">
        <v>787500.0</v>
      </c>
      <c r="L1213" s="140">
        <v>787500.0</v>
      </c>
      <c r="M1213" s="140" t="s">
        <v>755</v>
      </c>
      <c r="N1213" s="74">
        <f t="shared" si="6"/>
        <v>3150000</v>
      </c>
      <c r="O1213" s="60">
        <f t="shared" si="2"/>
        <v>46178</v>
      </c>
      <c r="P1213" s="65" t="str">
        <f>VLOOKUP(I1213,DATABASE!C:Q,11,FALSE)</f>
        <v>Tire</v>
      </c>
      <c r="Q1213" s="65" t="str">
        <f>VLOOKUP(I1213,DATABASE!C:Q,4,FALSE)</f>
        <v>GT</v>
      </c>
      <c r="R1213" s="101"/>
      <c r="U1213" s="101"/>
    </row>
    <row r="1214" ht="22.5" customHeight="1">
      <c r="A1214" s="49"/>
      <c r="C1214" s="192">
        <v>46149.0</v>
      </c>
      <c r="D1214" s="192">
        <v>46149.0</v>
      </c>
      <c r="E1214" s="69" t="s">
        <v>349</v>
      </c>
      <c r="F1214" s="243" t="s">
        <v>343</v>
      </c>
      <c r="G1214" s="69" t="s">
        <v>2296</v>
      </c>
      <c r="H1214" s="69" t="s">
        <v>7</v>
      </c>
      <c r="I1214" s="140" t="s">
        <v>2630</v>
      </c>
      <c r="J1214" s="446">
        <v>10.0</v>
      </c>
      <c r="K1214" s="140">
        <v>434000.0</v>
      </c>
      <c r="L1214" s="140">
        <v>434000.0</v>
      </c>
      <c r="M1214" s="140" t="s">
        <v>755</v>
      </c>
      <c r="N1214" s="74">
        <f t="shared" si="6"/>
        <v>4340000</v>
      </c>
      <c r="O1214" s="60">
        <f t="shared" si="2"/>
        <v>46179</v>
      </c>
      <c r="P1214" s="65" t="str">
        <f>VLOOKUP(I1214,DATABASE!C:Q,11,FALSE)</f>
        <v>Tire</v>
      </c>
      <c r="Q1214" s="65" t="str">
        <f>VLOOKUP(I1214,DATABASE!C:Q,4,FALSE)</f>
        <v>HanKOOK</v>
      </c>
      <c r="R1214" s="101"/>
      <c r="U1214" s="101"/>
    </row>
    <row r="1215" ht="22.5" customHeight="1">
      <c r="A1215" s="49"/>
      <c r="C1215" s="192">
        <v>46153.0</v>
      </c>
      <c r="D1215" s="192">
        <v>46153.0</v>
      </c>
      <c r="E1215" s="69" t="s">
        <v>412</v>
      </c>
      <c r="F1215" s="243" t="s">
        <v>998</v>
      </c>
      <c r="G1215" s="69">
        <v>0.0</v>
      </c>
      <c r="H1215" s="69" t="s">
        <v>2314</v>
      </c>
      <c r="I1215" s="140" t="s">
        <v>301</v>
      </c>
      <c r="J1215" s="446">
        <v>10.0</v>
      </c>
      <c r="K1215" s="140">
        <v>75000.0</v>
      </c>
      <c r="L1215" s="140">
        <v>47500.0</v>
      </c>
      <c r="M1215" s="140" t="s">
        <v>755</v>
      </c>
      <c r="N1215" s="74">
        <f t="shared" si="6"/>
        <v>475000</v>
      </c>
      <c r="O1215" s="60">
        <f t="shared" si="2"/>
        <v>46183</v>
      </c>
      <c r="P1215" s="65" t="str">
        <f>VLOOKUP(I1215,DATABASE!C:Q,11,FALSE)</f>
        <v>COMPLEMENTARY</v>
      </c>
      <c r="Q1215" s="65" t="str">
        <f>VLOOKUP(I1215,DATABASE!C:Q,4,FALSE)</f>
        <v>Baut Camber</v>
      </c>
      <c r="R1215" s="101"/>
      <c r="U1215" s="101"/>
    </row>
    <row r="1216" ht="22.5" customHeight="1">
      <c r="A1216" s="49"/>
      <c r="C1216" s="192">
        <v>46153.0</v>
      </c>
      <c r="D1216" s="192">
        <v>46153.0</v>
      </c>
      <c r="E1216" s="69" t="s">
        <v>412</v>
      </c>
      <c r="F1216" s="243" t="s">
        <v>998</v>
      </c>
      <c r="G1216" s="69">
        <v>0.0</v>
      </c>
      <c r="H1216" s="69" t="s">
        <v>2314</v>
      </c>
      <c r="I1216" s="140" t="s">
        <v>301</v>
      </c>
      <c r="J1216" s="446">
        <v>10.0</v>
      </c>
      <c r="K1216" s="140">
        <v>75000.0</v>
      </c>
      <c r="L1216" s="140">
        <v>50000.0</v>
      </c>
      <c r="M1216" s="140" t="s">
        <v>755</v>
      </c>
      <c r="N1216" s="74">
        <f t="shared" si="6"/>
        <v>500000</v>
      </c>
      <c r="O1216" s="60">
        <f t="shared" si="2"/>
        <v>46183</v>
      </c>
      <c r="P1216" s="65" t="str">
        <f>VLOOKUP(I1216,DATABASE!C:Q,11,FALSE)</f>
        <v>COMPLEMENTARY</v>
      </c>
      <c r="Q1216" s="65" t="str">
        <f>VLOOKUP(I1216,DATABASE!C:Q,4,FALSE)</f>
        <v>Baut Camber</v>
      </c>
      <c r="R1216" s="101"/>
      <c r="U1216" s="101"/>
    </row>
    <row r="1217" ht="22.5" customHeight="1">
      <c r="A1217" s="49"/>
      <c r="C1217" s="192">
        <v>46153.0</v>
      </c>
      <c r="D1217" s="192">
        <v>46153.0</v>
      </c>
      <c r="E1217" s="69" t="s">
        <v>412</v>
      </c>
      <c r="F1217" s="243" t="s">
        <v>998</v>
      </c>
      <c r="G1217" s="69">
        <v>0.0</v>
      </c>
      <c r="H1217" s="69" t="s">
        <v>2314</v>
      </c>
      <c r="I1217" s="140" t="s">
        <v>2199</v>
      </c>
      <c r="J1217" s="446">
        <v>10.0</v>
      </c>
      <c r="K1217" s="140">
        <v>5000.0</v>
      </c>
      <c r="L1217" s="140">
        <v>5000.0</v>
      </c>
      <c r="M1217" s="140" t="s">
        <v>755</v>
      </c>
      <c r="N1217" s="74">
        <f t="shared" si="6"/>
        <v>50000</v>
      </c>
      <c r="O1217" s="60">
        <f t="shared" si="2"/>
        <v>46183</v>
      </c>
      <c r="P1217" s="65" t="str">
        <f>VLOOKUP(I1217,DATABASE!C:Q,11,FALSE)</f>
        <v>COMPLEMENTARY</v>
      </c>
      <c r="Q1217" s="65" t="str">
        <f>VLOOKUP(I1217,DATABASE!C:Q,4,FALSE)</f>
        <v>TAMBAL TUBLES</v>
      </c>
      <c r="R1217" s="101"/>
      <c r="U1217" s="101"/>
    </row>
    <row r="1218" ht="22.5" customHeight="1">
      <c r="A1218" s="49"/>
      <c r="C1218" s="192">
        <v>46154.0</v>
      </c>
      <c r="D1218" s="192">
        <v>46154.0</v>
      </c>
      <c r="E1218" s="69" t="s">
        <v>97</v>
      </c>
      <c r="F1218" s="243" t="s">
        <v>343</v>
      </c>
      <c r="G1218" s="69" t="s">
        <v>2508</v>
      </c>
      <c r="H1218" s="69" t="s">
        <v>87</v>
      </c>
      <c r="I1218" s="140" t="s">
        <v>572</v>
      </c>
      <c r="J1218" s="446">
        <v>10.0</v>
      </c>
      <c r="K1218" s="140">
        <v>1245000.0</v>
      </c>
      <c r="L1218" s="140">
        <v>1245000.0</v>
      </c>
      <c r="M1218" s="140" t="s">
        <v>755</v>
      </c>
      <c r="N1218" s="74">
        <f t="shared" si="6"/>
        <v>12450000</v>
      </c>
      <c r="O1218" s="60">
        <f t="shared" si="2"/>
        <v>46184</v>
      </c>
      <c r="P1218" s="65" t="str">
        <f>VLOOKUP(I1218,DATABASE!C:Q,11,FALSE)</f>
        <v>Tire</v>
      </c>
      <c r="Q1218" s="65" t="str">
        <f>VLOOKUP(I1218,DATABASE!C:Q,4,FALSE)</f>
        <v>Bridgestone</v>
      </c>
      <c r="R1218" s="101"/>
      <c r="U1218" s="101"/>
    </row>
    <row r="1219" ht="22.5" customHeight="1">
      <c r="A1219" s="49"/>
      <c r="C1219" s="192">
        <v>46154.0</v>
      </c>
      <c r="D1219" s="192">
        <v>46154.0</v>
      </c>
      <c r="E1219" s="69" t="s">
        <v>97</v>
      </c>
      <c r="F1219" s="243" t="s">
        <v>343</v>
      </c>
      <c r="G1219" s="69" t="s">
        <v>2508</v>
      </c>
      <c r="H1219" s="69" t="s">
        <v>87</v>
      </c>
      <c r="I1219" s="140" t="s">
        <v>566</v>
      </c>
      <c r="J1219" s="446">
        <v>10.0</v>
      </c>
      <c r="K1219" s="140">
        <v>1545000.0</v>
      </c>
      <c r="L1219" s="140">
        <v>1545000.0</v>
      </c>
      <c r="M1219" s="140" t="s">
        <v>755</v>
      </c>
      <c r="N1219" s="74">
        <f t="shared" si="6"/>
        <v>15450000</v>
      </c>
      <c r="O1219" s="60">
        <f t="shared" si="2"/>
        <v>46184</v>
      </c>
      <c r="P1219" s="65" t="str">
        <f>VLOOKUP(I1219,DATABASE!C:Q,11,FALSE)</f>
        <v>Tire</v>
      </c>
      <c r="Q1219" s="65" t="str">
        <f>VLOOKUP(I1219,DATABASE!C:Q,4,FALSE)</f>
        <v>Bridgestone</v>
      </c>
      <c r="R1219" s="101"/>
      <c r="U1219" s="101"/>
    </row>
    <row r="1220" ht="22.5" customHeight="1">
      <c r="A1220" s="49"/>
      <c r="C1220" s="192">
        <v>46154.0</v>
      </c>
      <c r="D1220" s="192">
        <v>46154.0</v>
      </c>
      <c r="E1220" s="69" t="s">
        <v>97</v>
      </c>
      <c r="F1220" s="243" t="s">
        <v>343</v>
      </c>
      <c r="G1220" s="69" t="s">
        <v>2507</v>
      </c>
      <c r="H1220" s="604" t="s">
        <v>87</v>
      </c>
      <c r="I1220" s="604" t="s">
        <v>605</v>
      </c>
      <c r="J1220" s="605">
        <v>8.0</v>
      </c>
      <c r="K1220" s="606">
        <v>675000.0</v>
      </c>
      <c r="L1220" s="74">
        <v>675000.0</v>
      </c>
      <c r="M1220" s="140" t="s">
        <v>521</v>
      </c>
      <c r="N1220" s="74">
        <f t="shared" si="6"/>
        <v>5400000</v>
      </c>
      <c r="O1220" s="60">
        <f t="shared" si="2"/>
        <v>46214</v>
      </c>
      <c r="P1220" s="65" t="str">
        <f>VLOOKUP(I1220,DATABASE!C:Q,11,FALSE)</f>
        <v>Tire</v>
      </c>
      <c r="Q1220" s="65" t="str">
        <f>VLOOKUP(I1220,DATABASE!C:Q,4,FALSE)</f>
        <v>Bridgestone</v>
      </c>
      <c r="R1220" s="101"/>
      <c r="U1220" s="101"/>
    </row>
    <row r="1221" ht="22.5" customHeight="1">
      <c r="A1221" s="49"/>
      <c r="C1221" s="192">
        <v>46154.0</v>
      </c>
      <c r="D1221" s="192">
        <v>46154.0</v>
      </c>
      <c r="E1221" s="69" t="s">
        <v>97</v>
      </c>
      <c r="F1221" s="243" t="s">
        <v>343</v>
      </c>
      <c r="G1221" s="69" t="s">
        <v>2507</v>
      </c>
      <c r="H1221" s="607" t="s">
        <v>87</v>
      </c>
      <c r="I1221" s="607" t="s">
        <v>554</v>
      </c>
      <c r="J1221" s="608">
        <v>10.0</v>
      </c>
      <c r="K1221" s="609">
        <v>705000.0</v>
      </c>
      <c r="L1221" s="74">
        <v>705000.0</v>
      </c>
      <c r="M1221" s="140" t="s">
        <v>521</v>
      </c>
      <c r="N1221" s="74">
        <f t="shared" si="6"/>
        <v>7050000</v>
      </c>
      <c r="O1221" s="60">
        <f t="shared" si="2"/>
        <v>46214</v>
      </c>
      <c r="P1221" s="65" t="str">
        <f>VLOOKUP(I1221,DATABASE!C:Q,11,FALSE)</f>
        <v>Tire</v>
      </c>
      <c r="Q1221" s="65" t="str">
        <f>VLOOKUP(I1221,DATABASE!C:Q,4,FALSE)</f>
        <v>Bridgestone</v>
      </c>
      <c r="R1221" s="101"/>
      <c r="U1221" s="101"/>
    </row>
    <row r="1222" ht="22.5" customHeight="1">
      <c r="A1222" s="49"/>
      <c r="C1222" s="192">
        <v>46154.0</v>
      </c>
      <c r="D1222" s="192">
        <v>46154.0</v>
      </c>
      <c r="E1222" s="69" t="s">
        <v>97</v>
      </c>
      <c r="F1222" s="243" t="s">
        <v>343</v>
      </c>
      <c r="G1222" s="69" t="s">
        <v>2507</v>
      </c>
      <c r="H1222" s="604" t="s">
        <v>87</v>
      </c>
      <c r="I1222" s="604" t="s">
        <v>937</v>
      </c>
      <c r="J1222" s="610">
        <v>10.0</v>
      </c>
      <c r="K1222" s="606">
        <v>815000.0</v>
      </c>
      <c r="L1222" s="74">
        <v>815000.0</v>
      </c>
      <c r="M1222" s="140" t="s">
        <v>521</v>
      </c>
      <c r="N1222" s="74">
        <f t="shared" si="6"/>
        <v>8150000</v>
      </c>
      <c r="O1222" s="60">
        <f t="shared" si="2"/>
        <v>46214</v>
      </c>
      <c r="P1222" s="65" t="str">
        <f>VLOOKUP(I1222,DATABASE!C:Q,11,FALSE)</f>
        <v>Tire</v>
      </c>
      <c r="Q1222" s="65" t="str">
        <f>VLOOKUP(I1222,DATABASE!C:Q,4,FALSE)</f>
        <v>Bridgestone</v>
      </c>
      <c r="R1222" s="101"/>
      <c r="U1222" s="101"/>
    </row>
    <row r="1223" ht="22.5" customHeight="1">
      <c r="A1223" s="49"/>
      <c r="C1223" s="192">
        <v>46155.0</v>
      </c>
      <c r="D1223" s="192">
        <v>46155.0</v>
      </c>
      <c r="E1223" s="69" t="s">
        <v>81</v>
      </c>
      <c r="F1223" s="243" t="s">
        <v>343</v>
      </c>
      <c r="G1223" s="69" t="s">
        <v>1810</v>
      </c>
      <c r="H1223" s="69" t="s">
        <v>87</v>
      </c>
      <c r="I1223" s="140" t="s">
        <v>1400</v>
      </c>
      <c r="J1223" s="446">
        <v>10.0</v>
      </c>
      <c r="K1223" s="140">
        <v>465000.0</v>
      </c>
      <c r="L1223" s="140">
        <v>465000.0</v>
      </c>
      <c r="M1223" s="140" t="s">
        <v>657</v>
      </c>
      <c r="N1223" s="74">
        <f t="shared" si="6"/>
        <v>4650000</v>
      </c>
      <c r="O1223" s="60">
        <f t="shared" si="2"/>
        <v>46230</v>
      </c>
      <c r="P1223" s="65" t="str">
        <f>VLOOKUP(I1223,DATABASE!C:Q,11,FALSE)</f>
        <v>Tire</v>
      </c>
      <c r="Q1223" s="65" t="str">
        <f>VLOOKUP(I1223,DATABASE!C:Q,4,FALSE)</f>
        <v>Dunlop</v>
      </c>
      <c r="R1223" s="101"/>
      <c r="U1223" s="101"/>
    </row>
    <row r="1224" ht="22.5" customHeight="1">
      <c r="A1224" s="49"/>
      <c r="C1224" s="192">
        <v>46158.0</v>
      </c>
      <c r="D1224" s="192">
        <v>46158.0</v>
      </c>
      <c r="E1224" s="69" t="s">
        <v>185</v>
      </c>
      <c r="F1224" s="243" t="s">
        <v>343</v>
      </c>
      <c r="G1224" s="69" t="s">
        <v>1208</v>
      </c>
      <c r="H1224" s="69" t="s">
        <v>7</v>
      </c>
      <c r="I1224" s="140" t="s">
        <v>1851</v>
      </c>
      <c r="J1224" s="446">
        <v>10.0</v>
      </c>
      <c r="K1224" s="140">
        <v>2020000.0</v>
      </c>
      <c r="L1224" s="140">
        <v>2019000.0</v>
      </c>
      <c r="M1224" s="140" t="s">
        <v>521</v>
      </c>
      <c r="N1224" s="74">
        <f t="shared" si="6"/>
        <v>20190000</v>
      </c>
      <c r="O1224" s="60">
        <f t="shared" si="2"/>
        <v>46218</v>
      </c>
      <c r="P1224" s="65" t="str">
        <f>VLOOKUP(I1224,DATABASE!C:Q,11,FALSE)</f>
        <v>Tire</v>
      </c>
      <c r="Q1224" s="65" t="str">
        <f>VLOOKUP(I1224,DATABASE!C:Q,4,FALSE)</f>
        <v>G. YEAR</v>
      </c>
      <c r="R1224" s="101"/>
      <c r="U1224" s="101"/>
    </row>
    <row r="1225" ht="22.5" customHeight="1">
      <c r="A1225" s="49"/>
      <c r="C1225" s="192">
        <v>46161.0</v>
      </c>
      <c r="D1225" s="192">
        <v>46161.0</v>
      </c>
      <c r="E1225" s="69" t="s">
        <v>257</v>
      </c>
      <c r="F1225" s="243" t="s">
        <v>998</v>
      </c>
      <c r="G1225" s="69">
        <v>4.011699289E9</v>
      </c>
      <c r="H1225" s="69" t="s">
        <v>2314</v>
      </c>
      <c r="I1225" s="140" t="s">
        <v>2154</v>
      </c>
      <c r="J1225" s="446">
        <v>5.0</v>
      </c>
      <c r="K1225" s="140">
        <v>90000.0</v>
      </c>
      <c r="L1225" s="140">
        <v>48139.6</v>
      </c>
      <c r="M1225" s="140" t="s">
        <v>755</v>
      </c>
      <c r="N1225" s="74">
        <f t="shared" si="6"/>
        <v>240698</v>
      </c>
      <c r="O1225" s="60">
        <f t="shared" si="2"/>
        <v>46191</v>
      </c>
      <c r="P1225" s="65" t="str">
        <f>VLOOKUP(I1225,DATABASE!C:Q,11,FALSE)</f>
        <v>COMPLEMENTARY</v>
      </c>
      <c r="Q1225" s="65" t="str">
        <f>VLOOKUP(I1225,DATABASE!C:Q,4,FALSE)</f>
        <v>SERVICE</v>
      </c>
      <c r="R1225" s="101"/>
      <c r="U1225" s="101"/>
    </row>
    <row r="1226" ht="22.5" customHeight="1">
      <c r="A1226" s="49"/>
      <c r="C1226" s="192">
        <v>46163.0</v>
      </c>
      <c r="D1226" s="192">
        <v>46163.0</v>
      </c>
      <c r="E1226" s="69" t="s">
        <v>335</v>
      </c>
      <c r="F1226" s="243" t="s">
        <v>343</v>
      </c>
      <c r="G1226" s="69" t="s">
        <v>2220</v>
      </c>
      <c r="H1226" s="69" t="s">
        <v>7</v>
      </c>
      <c r="I1226" s="140" t="s">
        <v>924</v>
      </c>
      <c r="J1226" s="446">
        <v>10.0</v>
      </c>
      <c r="K1226" s="140">
        <v>1545000.0</v>
      </c>
      <c r="L1226" s="140">
        <v>1545000.0</v>
      </c>
      <c r="M1226" s="140" t="s">
        <v>521</v>
      </c>
      <c r="N1226" s="74">
        <f t="shared" si="6"/>
        <v>15450000</v>
      </c>
      <c r="O1226" s="60">
        <f t="shared" si="2"/>
        <v>46223</v>
      </c>
      <c r="P1226" s="65" t="str">
        <f>VLOOKUP(I1226,DATABASE!C:Q,11,FALSE)</f>
        <v>Tire</v>
      </c>
      <c r="Q1226" s="65" t="str">
        <f>VLOOKUP(I1226,DATABASE!C:Q,4,FALSE)</f>
        <v>TIRON</v>
      </c>
      <c r="R1226" s="101"/>
      <c r="U1226" s="101"/>
    </row>
    <row r="1227" ht="22.5" customHeight="1">
      <c r="A1227" s="49"/>
      <c r="C1227" s="192">
        <v>46163.0</v>
      </c>
      <c r="D1227" s="192">
        <v>46163.0</v>
      </c>
      <c r="E1227" s="69" t="s">
        <v>110</v>
      </c>
      <c r="F1227" s="243" t="s">
        <v>343</v>
      </c>
      <c r="G1227" s="69" t="s">
        <v>0</v>
      </c>
      <c r="H1227" s="69" t="s">
        <v>7</v>
      </c>
      <c r="I1227" s="140" t="s">
        <v>286</v>
      </c>
      <c r="J1227" s="446">
        <v>20.0</v>
      </c>
      <c r="K1227" s="140">
        <v>459420.0</v>
      </c>
      <c r="L1227" s="140">
        <v>459420.0</v>
      </c>
      <c r="M1227" s="140" t="s">
        <v>755</v>
      </c>
      <c r="N1227" s="74">
        <f t="shared" si="6"/>
        <v>9188400</v>
      </c>
      <c r="O1227" s="60">
        <f t="shared" si="2"/>
        <v>46193</v>
      </c>
      <c r="P1227" s="65" t="str">
        <f>VLOOKUP(I1227,DATABASE!C:Q,11,FALSE)</f>
        <v>Tire</v>
      </c>
      <c r="Q1227" s="65" t="str">
        <f>VLOOKUP(I1227,DATABASE!C:Q,4,FALSE)</f>
        <v>GT</v>
      </c>
      <c r="R1227" s="101"/>
      <c r="U1227" s="101"/>
    </row>
    <row r="1228" ht="22.5" customHeight="1">
      <c r="A1228" s="49"/>
      <c r="C1228" s="192">
        <v>46164.0</v>
      </c>
      <c r="D1228" s="192">
        <v>46163.0</v>
      </c>
      <c r="E1228" s="69" t="s">
        <v>386</v>
      </c>
      <c r="F1228" s="243" t="s">
        <v>0</v>
      </c>
      <c r="G1228" s="69" t="s">
        <v>0</v>
      </c>
      <c r="H1228" s="69" t="s">
        <v>2314</v>
      </c>
      <c r="I1228" s="140" t="s">
        <v>252</v>
      </c>
      <c r="J1228" s="446">
        <v>8.0</v>
      </c>
      <c r="K1228" s="140">
        <v>275500.0</v>
      </c>
      <c r="L1228" s="140">
        <v>294418.0</v>
      </c>
      <c r="M1228" s="140" t="s">
        <v>755</v>
      </c>
      <c r="N1228" s="74">
        <f t="shared" si="6"/>
        <v>2355344</v>
      </c>
      <c r="O1228" s="60">
        <f t="shared" si="2"/>
        <v>46193</v>
      </c>
      <c r="P1228" s="65" t="str">
        <f>VLOOKUP(I1228,DATABASE!C:Q,11,FALSE)</f>
        <v>OIL</v>
      </c>
      <c r="Q1228" s="65" t="str">
        <f>VLOOKUP(I1228,DATABASE!C:Q,4,FALSE)</f>
        <v>Shell</v>
      </c>
      <c r="R1228" s="101"/>
      <c r="U1228" s="101"/>
    </row>
    <row r="1229" ht="22.5" customHeight="1">
      <c r="A1229" s="49"/>
      <c r="C1229" s="192">
        <v>46164.0</v>
      </c>
      <c r="D1229" s="192">
        <v>46163.0</v>
      </c>
      <c r="E1229" s="69" t="s">
        <v>386</v>
      </c>
      <c r="F1229" s="243" t="s">
        <v>0</v>
      </c>
      <c r="G1229" s="69" t="s">
        <v>0</v>
      </c>
      <c r="H1229" s="69" t="s">
        <v>2314</v>
      </c>
      <c r="I1229" s="140" t="s">
        <v>263</v>
      </c>
      <c r="J1229" s="446">
        <v>4.0</v>
      </c>
      <c r="K1229" s="140">
        <v>292600.0</v>
      </c>
      <c r="L1229" s="140">
        <v>307676.0</v>
      </c>
      <c r="M1229" s="140" t="s">
        <v>755</v>
      </c>
      <c r="N1229" s="74">
        <f t="shared" si="6"/>
        <v>1230704</v>
      </c>
      <c r="O1229" s="60">
        <f t="shared" si="2"/>
        <v>46193</v>
      </c>
      <c r="P1229" s="65" t="str">
        <f>VLOOKUP(I1229,DATABASE!C:Q,11,FALSE)</f>
        <v>OIL</v>
      </c>
      <c r="Q1229" s="65" t="str">
        <f>VLOOKUP(I1229,DATABASE!C:Q,4,FALSE)</f>
        <v>Shell</v>
      </c>
      <c r="R1229" s="101"/>
      <c r="U1229" s="101"/>
    </row>
    <row r="1230" ht="22.5" customHeight="1">
      <c r="A1230" s="49"/>
      <c r="C1230" s="192">
        <v>46165.0</v>
      </c>
      <c r="D1230" s="192">
        <v>46165.0</v>
      </c>
      <c r="E1230" s="69" t="s">
        <v>257</v>
      </c>
      <c r="F1230" s="243" t="s">
        <v>998</v>
      </c>
      <c r="G1230" s="69">
        <v>0.0</v>
      </c>
      <c r="H1230" s="69" t="s">
        <v>2314</v>
      </c>
      <c r="I1230" s="140" t="s">
        <v>305</v>
      </c>
      <c r="J1230" s="446">
        <v>10.0</v>
      </c>
      <c r="K1230" s="140">
        <v>151890.0</v>
      </c>
      <c r="L1230" s="140">
        <v>158530.2</v>
      </c>
      <c r="M1230" s="140" t="s">
        <v>755</v>
      </c>
      <c r="N1230" s="74">
        <f t="shared" si="6"/>
        <v>1585302</v>
      </c>
      <c r="O1230" s="60">
        <f t="shared" si="2"/>
        <v>46195</v>
      </c>
      <c r="P1230" s="65" t="str">
        <f>VLOOKUP(I1230,DATABASE!C:Q,11,FALSE)</f>
        <v>COMPLEMENTARY</v>
      </c>
      <c r="Q1230" s="65" t="str">
        <f>VLOOKUP(I1230,DATABASE!C:Q,4,FALSE)</f>
        <v>Lower Arm</v>
      </c>
      <c r="R1230" s="101"/>
      <c r="U1230" s="101"/>
    </row>
    <row r="1231" ht="22.5" customHeight="1">
      <c r="A1231" s="49"/>
      <c r="C1231" s="192">
        <v>46168.0</v>
      </c>
      <c r="D1231" s="192">
        <v>46165.0</v>
      </c>
      <c r="E1231" s="69" t="s">
        <v>400</v>
      </c>
      <c r="F1231" s="243" t="s">
        <v>0</v>
      </c>
      <c r="G1231" s="69" t="s">
        <v>0</v>
      </c>
      <c r="H1231" s="69" t="s">
        <v>2314</v>
      </c>
      <c r="I1231" s="140" t="s">
        <v>248</v>
      </c>
      <c r="J1231" s="446">
        <v>12.0</v>
      </c>
      <c r="K1231" s="140">
        <v>185000.0</v>
      </c>
      <c r="L1231" s="140">
        <v>184666.6</v>
      </c>
      <c r="M1231" s="140" t="s">
        <v>2190</v>
      </c>
      <c r="N1231" s="74">
        <f t="shared" si="6"/>
        <v>2215999.2</v>
      </c>
      <c r="O1231" s="60">
        <f t="shared" si="2"/>
        <v>46179</v>
      </c>
      <c r="P1231" s="65" t="str">
        <f>VLOOKUP(I1231,DATABASE!C:Q,11,FALSE)</f>
        <v>OIL</v>
      </c>
      <c r="Q1231" s="65" t="str">
        <f>VLOOKUP(I1231,DATABASE!C:Q,4,FALSE)</f>
        <v>Pertamina</v>
      </c>
      <c r="R1231" s="101"/>
      <c r="U1231" s="101"/>
    </row>
    <row r="1232" ht="22.5" customHeight="1">
      <c r="A1232" s="49"/>
      <c r="C1232" s="192">
        <v>46171.0</v>
      </c>
      <c r="D1232" s="192">
        <v>46167.0</v>
      </c>
      <c r="E1232" s="69" t="s">
        <v>123</v>
      </c>
      <c r="F1232" s="243" t="s">
        <v>343</v>
      </c>
      <c r="G1232" s="69" t="s">
        <v>2370</v>
      </c>
      <c r="H1232" s="69" t="s">
        <v>7</v>
      </c>
      <c r="I1232" s="140" t="s">
        <v>1862</v>
      </c>
      <c r="J1232" s="446">
        <v>10.0</v>
      </c>
      <c r="K1232" s="140">
        <v>2080000.0</v>
      </c>
      <c r="L1232" s="140">
        <v>2080000.0</v>
      </c>
      <c r="M1232" s="140" t="s">
        <v>755</v>
      </c>
      <c r="N1232" s="74">
        <f t="shared" si="6"/>
        <v>20800000</v>
      </c>
      <c r="O1232" s="60">
        <f t="shared" si="2"/>
        <v>46197</v>
      </c>
      <c r="P1232" s="65" t="str">
        <f>VLOOKUP(I1232,DATABASE!C:Q,11,FALSE)</f>
        <v>Tire</v>
      </c>
      <c r="Q1232" s="65" t="str">
        <f>VLOOKUP(I1232,DATABASE!C:Q,4,FALSE)</f>
        <v>GiTi</v>
      </c>
      <c r="R1232" s="101"/>
      <c r="U1232" s="101"/>
    </row>
    <row r="1233" ht="22.5" customHeight="1">
      <c r="A1233" s="49"/>
      <c r="C1233" s="192">
        <v>46171.0</v>
      </c>
      <c r="D1233" s="192">
        <v>46167.0</v>
      </c>
      <c r="E1233" s="69" t="s">
        <v>123</v>
      </c>
      <c r="F1233" s="243" t="s">
        <v>343</v>
      </c>
      <c r="G1233" s="69" t="s">
        <v>2370</v>
      </c>
      <c r="H1233" s="69" t="s">
        <v>7</v>
      </c>
      <c r="I1233" s="140" t="s">
        <v>897</v>
      </c>
      <c r="J1233" s="446">
        <v>10.0</v>
      </c>
      <c r="K1233" s="140">
        <v>1525000.0</v>
      </c>
      <c r="L1233" s="140">
        <v>1525000.0</v>
      </c>
      <c r="M1233" s="140" t="s">
        <v>755</v>
      </c>
      <c r="N1233" s="74">
        <f t="shared" si="6"/>
        <v>15250000</v>
      </c>
      <c r="O1233" s="60">
        <f t="shared" si="2"/>
        <v>46197</v>
      </c>
      <c r="P1233" s="65" t="str">
        <f>VLOOKUP(I1233,DATABASE!C:Q,11,FALSE)</f>
        <v>Tire</v>
      </c>
      <c r="Q1233" s="65" t="str">
        <f>VLOOKUP(I1233,DATABASE!C:Q,4,FALSE)</f>
        <v>GT</v>
      </c>
      <c r="R1233" s="101"/>
      <c r="U1233" s="101"/>
    </row>
    <row r="1234" ht="22.5" customHeight="1">
      <c r="A1234" s="49"/>
      <c r="C1234" s="192">
        <v>46171.0</v>
      </c>
      <c r="D1234" s="192">
        <v>46170.0</v>
      </c>
      <c r="E1234" s="69" t="s">
        <v>123</v>
      </c>
      <c r="F1234" s="243" t="s">
        <v>343</v>
      </c>
      <c r="G1234" s="69" t="s">
        <v>2372</v>
      </c>
      <c r="H1234" s="69" t="s">
        <v>7</v>
      </c>
      <c r="I1234" s="140" t="s">
        <v>781</v>
      </c>
      <c r="J1234" s="446">
        <v>8.0</v>
      </c>
      <c r="K1234" s="140">
        <v>460000.0</v>
      </c>
      <c r="L1234" s="140">
        <v>460000.0</v>
      </c>
      <c r="M1234" s="140" t="s">
        <v>755</v>
      </c>
      <c r="N1234" s="74">
        <f t="shared" si="6"/>
        <v>3680000</v>
      </c>
      <c r="O1234" s="60">
        <f t="shared" si="2"/>
        <v>46200</v>
      </c>
      <c r="P1234" s="65" t="str">
        <f>VLOOKUP(I1234,DATABASE!C:Q,11,FALSE)</f>
        <v>Tire</v>
      </c>
      <c r="Q1234" s="65" t="str">
        <f>VLOOKUP(I1234,DATABASE!C:Q,4,FALSE)</f>
        <v>GT</v>
      </c>
      <c r="R1234" s="101"/>
      <c r="U1234" s="101"/>
    </row>
    <row r="1235" ht="22.5" customHeight="1">
      <c r="A1235" s="49"/>
      <c r="C1235" s="192">
        <v>46171.0</v>
      </c>
      <c r="D1235" s="192">
        <v>46170.0</v>
      </c>
      <c r="E1235" s="69" t="s">
        <v>123</v>
      </c>
      <c r="F1235" s="243" t="s">
        <v>343</v>
      </c>
      <c r="G1235" s="69" t="s">
        <v>2372</v>
      </c>
      <c r="H1235" s="69" t="s">
        <v>7</v>
      </c>
      <c r="I1235" s="140" t="s">
        <v>839</v>
      </c>
      <c r="J1235" s="446">
        <v>8.0</v>
      </c>
      <c r="K1235" s="140">
        <v>490000.0</v>
      </c>
      <c r="L1235" s="140">
        <v>490000.0</v>
      </c>
      <c r="M1235" s="140" t="s">
        <v>755</v>
      </c>
      <c r="N1235" s="74">
        <f t="shared" si="6"/>
        <v>3920000</v>
      </c>
      <c r="O1235" s="60">
        <f t="shared" si="2"/>
        <v>46200</v>
      </c>
      <c r="P1235" s="65" t="str">
        <f>VLOOKUP(I1235,DATABASE!C:Q,11,FALSE)</f>
        <v>Tire</v>
      </c>
      <c r="Q1235" s="65" t="str">
        <f>VLOOKUP(I1235,DATABASE!C:Q,4,FALSE)</f>
        <v>GT</v>
      </c>
      <c r="R1235" s="101"/>
      <c r="U1235" s="101"/>
    </row>
    <row r="1236" ht="22.5" customHeight="1">
      <c r="A1236" s="49"/>
      <c r="C1236" s="192">
        <v>46171.0</v>
      </c>
      <c r="D1236" s="192">
        <v>46170.0</v>
      </c>
      <c r="E1236" s="69" t="s">
        <v>81</v>
      </c>
      <c r="F1236" s="243" t="s">
        <v>343</v>
      </c>
      <c r="G1236" s="69" t="s">
        <v>1815</v>
      </c>
      <c r="H1236" s="69" t="s">
        <v>87</v>
      </c>
      <c r="I1236" s="140" t="s">
        <v>265</v>
      </c>
      <c r="J1236" s="446">
        <v>14.0</v>
      </c>
      <c r="K1236" s="140">
        <v>610000.0</v>
      </c>
      <c r="L1236" s="140">
        <v>610000.0</v>
      </c>
      <c r="M1236" s="140" t="s">
        <v>657</v>
      </c>
      <c r="N1236" s="74">
        <f t="shared" si="6"/>
        <v>8540000</v>
      </c>
      <c r="O1236" s="60">
        <f t="shared" si="2"/>
        <v>46245</v>
      </c>
      <c r="P1236" s="65" t="str">
        <f>VLOOKUP(I1236,DATABASE!C:Q,11,FALSE)</f>
        <v>Tire</v>
      </c>
      <c r="Q1236" s="65" t="str">
        <f>VLOOKUP(I1236,DATABASE!C:Q,4,FALSE)</f>
        <v>Dunlop</v>
      </c>
      <c r="R1236" s="101"/>
      <c r="U1236" s="101"/>
    </row>
    <row r="1237" ht="22.5" customHeight="1">
      <c r="A1237" s="49"/>
      <c r="C1237" s="192">
        <v>46171.0</v>
      </c>
      <c r="D1237" s="192">
        <v>46170.0</v>
      </c>
      <c r="E1237" s="69" t="s">
        <v>81</v>
      </c>
      <c r="F1237" s="243" t="s">
        <v>343</v>
      </c>
      <c r="G1237" s="69" t="s">
        <v>1815</v>
      </c>
      <c r="H1237" s="69" t="s">
        <v>87</v>
      </c>
      <c r="I1237" s="140" t="s">
        <v>268</v>
      </c>
      <c r="J1237" s="446">
        <v>30.0</v>
      </c>
      <c r="K1237" s="140">
        <v>634500.0</v>
      </c>
      <c r="L1237" s="140">
        <v>634500.0</v>
      </c>
      <c r="M1237" s="140" t="s">
        <v>657</v>
      </c>
      <c r="N1237" s="74">
        <f t="shared" si="6"/>
        <v>19035000</v>
      </c>
      <c r="O1237" s="60">
        <f t="shared" si="2"/>
        <v>46245</v>
      </c>
      <c r="P1237" s="65" t="str">
        <f>VLOOKUP(I1237,DATABASE!C:Q,11,FALSE)</f>
        <v>Tire</v>
      </c>
      <c r="Q1237" s="65" t="str">
        <f>VLOOKUP(I1237,DATABASE!C:Q,4,FALSE)</f>
        <v>Dunlop</v>
      </c>
      <c r="R1237" s="101"/>
      <c r="U1237" s="101"/>
    </row>
    <row r="1238" ht="22.5" customHeight="1">
      <c r="A1238" s="49"/>
      <c r="C1238" s="192">
        <v>46171.0</v>
      </c>
      <c r="D1238" s="192">
        <v>46170.0</v>
      </c>
      <c r="E1238" s="69" t="s">
        <v>81</v>
      </c>
      <c r="F1238" s="243" t="s">
        <v>343</v>
      </c>
      <c r="G1238" s="69" t="s">
        <v>1815</v>
      </c>
      <c r="H1238" s="69" t="s">
        <v>87</v>
      </c>
      <c r="I1238" s="140" t="s">
        <v>275</v>
      </c>
      <c r="J1238" s="446">
        <v>14.0</v>
      </c>
      <c r="K1238" s="140">
        <v>759500.0</v>
      </c>
      <c r="L1238" s="140">
        <v>759500.0</v>
      </c>
      <c r="M1238" s="140" t="s">
        <v>657</v>
      </c>
      <c r="N1238" s="74">
        <f t="shared" si="6"/>
        <v>10633000</v>
      </c>
      <c r="O1238" s="60">
        <f t="shared" si="2"/>
        <v>46245</v>
      </c>
      <c r="P1238" s="65" t="str">
        <f>VLOOKUP(I1238,DATABASE!C:Q,11,FALSE)</f>
        <v>Tire</v>
      </c>
      <c r="Q1238" s="65" t="str">
        <f>VLOOKUP(I1238,DATABASE!C:Q,4,FALSE)</f>
        <v>Dunlop</v>
      </c>
      <c r="R1238" s="101"/>
      <c r="U1238" s="101"/>
    </row>
    <row r="1239" ht="22.5" customHeight="1">
      <c r="A1239" s="49"/>
      <c r="C1239" s="192">
        <v>46171.0</v>
      </c>
      <c r="D1239" s="192">
        <v>46170.0</v>
      </c>
      <c r="E1239" s="69" t="s">
        <v>81</v>
      </c>
      <c r="F1239" s="243" t="s">
        <v>343</v>
      </c>
      <c r="G1239" s="69" t="s">
        <v>1815</v>
      </c>
      <c r="H1239" s="69" t="s">
        <v>87</v>
      </c>
      <c r="I1239" s="140" t="s">
        <v>932</v>
      </c>
      <c r="J1239" s="446">
        <v>14.0</v>
      </c>
      <c r="K1239" s="140">
        <v>601000.0</v>
      </c>
      <c r="L1239" s="140">
        <v>601000.0</v>
      </c>
      <c r="M1239" s="140" t="s">
        <v>657</v>
      </c>
      <c r="N1239" s="74">
        <f t="shared" si="6"/>
        <v>8414000</v>
      </c>
      <c r="O1239" s="60">
        <f t="shared" si="2"/>
        <v>46245</v>
      </c>
      <c r="P1239" s="65" t="str">
        <f>VLOOKUP(I1239,DATABASE!C:Q,11,FALSE)</f>
        <v>Tire</v>
      </c>
      <c r="Q1239" s="65" t="str">
        <f>VLOOKUP(I1239,DATABASE!C:Q,4,FALSE)</f>
        <v>Dunlop</v>
      </c>
      <c r="R1239" s="101"/>
      <c r="U1239" s="101"/>
    </row>
    <row r="1240" ht="22.5" customHeight="1">
      <c r="A1240" s="49"/>
      <c r="C1240" s="192">
        <v>46171.0</v>
      </c>
      <c r="D1240" s="192">
        <v>46170.0</v>
      </c>
      <c r="E1240" s="69" t="s">
        <v>81</v>
      </c>
      <c r="F1240" s="243" t="s">
        <v>343</v>
      </c>
      <c r="G1240" s="69" t="s">
        <v>1815</v>
      </c>
      <c r="H1240" s="69" t="s">
        <v>87</v>
      </c>
      <c r="I1240" s="140" t="s">
        <v>955</v>
      </c>
      <c r="J1240" s="446">
        <v>5.0</v>
      </c>
      <c r="K1240" s="140">
        <v>660000.0</v>
      </c>
      <c r="L1240" s="140">
        <v>660000.0</v>
      </c>
      <c r="M1240" s="140" t="s">
        <v>657</v>
      </c>
      <c r="N1240" s="74">
        <f t="shared" si="6"/>
        <v>3300000</v>
      </c>
      <c r="O1240" s="60">
        <f t="shared" si="2"/>
        <v>46245</v>
      </c>
      <c r="P1240" s="65" t="str">
        <f>VLOOKUP(I1240,DATABASE!C:Q,11,FALSE)</f>
        <v>Tire</v>
      </c>
      <c r="Q1240" s="65" t="str">
        <f>VLOOKUP(I1240,DATABASE!C:Q,4,FALSE)</f>
        <v>Dunlop</v>
      </c>
      <c r="R1240" s="101"/>
      <c r="U1240" s="101"/>
    </row>
    <row r="1241" ht="22.5" customHeight="1">
      <c r="A1241" s="49"/>
      <c r="C1241" s="192">
        <v>46171.0</v>
      </c>
      <c r="D1241" s="192">
        <v>46170.0</v>
      </c>
      <c r="E1241" s="69" t="s">
        <v>81</v>
      </c>
      <c r="F1241" s="243" t="s">
        <v>343</v>
      </c>
      <c r="G1241" s="69" t="s">
        <v>1815</v>
      </c>
      <c r="H1241" s="69" t="s">
        <v>87</v>
      </c>
      <c r="I1241" s="140" t="s">
        <v>2631</v>
      </c>
      <c r="J1241" s="446">
        <v>4.0</v>
      </c>
      <c r="K1241" s="140">
        <v>795000.0</v>
      </c>
      <c r="L1241" s="140">
        <v>795000.0</v>
      </c>
      <c r="M1241" s="140" t="s">
        <v>657</v>
      </c>
      <c r="N1241" s="74">
        <f t="shared" si="6"/>
        <v>3180000</v>
      </c>
      <c r="O1241" s="60">
        <f t="shared" si="2"/>
        <v>46245</v>
      </c>
      <c r="P1241" s="65" t="str">
        <f>VLOOKUP(I1241,DATABASE!C:Q,11,FALSE)</f>
        <v>Tire</v>
      </c>
      <c r="Q1241" s="65" t="str">
        <f>VLOOKUP(I1241,DATABASE!C:Q,4,FALSE)</f>
        <v>DUNLOP</v>
      </c>
      <c r="R1241" s="101"/>
      <c r="U1241" s="101"/>
    </row>
    <row r="1242" ht="22.5" customHeight="1">
      <c r="A1242" s="49"/>
      <c r="C1242" s="192">
        <v>46172.0</v>
      </c>
      <c r="D1242" s="192">
        <v>46172.0</v>
      </c>
      <c r="E1242" s="69" t="s">
        <v>123</v>
      </c>
      <c r="F1242" s="243" t="s">
        <v>343</v>
      </c>
      <c r="G1242" s="69" t="s">
        <v>2374</v>
      </c>
      <c r="H1242" s="69" t="s">
        <v>7</v>
      </c>
      <c r="I1242" s="140" t="s">
        <v>1871</v>
      </c>
      <c r="J1242" s="446">
        <v>2.0</v>
      </c>
      <c r="K1242" s="140">
        <v>3160000.0</v>
      </c>
      <c r="L1242" s="140">
        <v>3190000.0</v>
      </c>
      <c r="M1242" s="140" t="s">
        <v>2190</v>
      </c>
      <c r="N1242" s="74">
        <f t="shared" si="6"/>
        <v>6380000</v>
      </c>
      <c r="O1242" s="60">
        <f t="shared" si="2"/>
        <v>46186</v>
      </c>
      <c r="P1242" s="65" t="str">
        <f>VLOOKUP(I1242,DATABASE!C:Q,11,FALSE)</f>
        <v>Tire</v>
      </c>
      <c r="Q1242" s="65" t="str">
        <f>VLOOKUP(I1242,DATABASE!C:Q,4,FALSE)</f>
        <v>GT</v>
      </c>
      <c r="R1242" s="101"/>
      <c r="U1242" s="101"/>
    </row>
    <row r="1243" ht="22.5" customHeight="1">
      <c r="A1243" s="49"/>
      <c r="C1243" s="192">
        <v>46174.0</v>
      </c>
      <c r="D1243" s="192">
        <v>46174.0</v>
      </c>
      <c r="E1243" s="69" t="s">
        <v>412</v>
      </c>
      <c r="F1243" s="243" t="s">
        <v>0</v>
      </c>
      <c r="G1243" s="69" t="s">
        <v>0</v>
      </c>
      <c r="H1243" s="69" t="s">
        <v>2314</v>
      </c>
      <c r="I1243" s="140" t="s">
        <v>301</v>
      </c>
      <c r="J1243" s="446">
        <v>10.0</v>
      </c>
      <c r="K1243" s="140">
        <v>75000.0</v>
      </c>
      <c r="L1243" s="140">
        <v>48500.0</v>
      </c>
      <c r="M1243" s="140" t="s">
        <v>2190</v>
      </c>
      <c r="N1243" s="74">
        <f t="shared" si="6"/>
        <v>485000</v>
      </c>
      <c r="O1243" s="60">
        <f t="shared" si="2"/>
        <v>46188</v>
      </c>
      <c r="P1243" s="65" t="str">
        <f>VLOOKUP(I1243,DATABASE!C:Q,11,FALSE)</f>
        <v>COMPLEMENTARY</v>
      </c>
      <c r="Q1243" s="65" t="str">
        <f>VLOOKUP(I1243,DATABASE!C:Q,4,FALSE)</f>
        <v>Baut Camber</v>
      </c>
      <c r="R1243" s="101"/>
      <c r="U1243" s="101"/>
    </row>
    <row r="1244" ht="22.5" customHeight="1">
      <c r="A1244" s="49"/>
      <c r="C1244" s="192">
        <v>46174.0</v>
      </c>
      <c r="D1244" s="192">
        <v>46174.0</v>
      </c>
      <c r="E1244" s="69" t="s">
        <v>412</v>
      </c>
      <c r="F1244" s="243" t="s">
        <v>0</v>
      </c>
      <c r="G1244" s="69" t="s">
        <v>0</v>
      </c>
      <c r="H1244" s="69" t="s">
        <v>2314</v>
      </c>
      <c r="I1244" s="140" t="s">
        <v>301</v>
      </c>
      <c r="J1244" s="446">
        <v>8.0</v>
      </c>
      <c r="K1244" s="140">
        <v>75000.0</v>
      </c>
      <c r="L1244" s="140">
        <v>50000.0</v>
      </c>
      <c r="M1244" s="140" t="s">
        <v>2190</v>
      </c>
      <c r="N1244" s="74">
        <f t="shared" si="6"/>
        <v>400000</v>
      </c>
      <c r="O1244" s="60">
        <f t="shared" si="2"/>
        <v>46188</v>
      </c>
      <c r="P1244" s="65" t="str">
        <f>VLOOKUP(I1244,DATABASE!C:Q,11,FALSE)</f>
        <v>COMPLEMENTARY</v>
      </c>
      <c r="Q1244" s="65" t="str">
        <f>VLOOKUP(I1244,DATABASE!C:Q,4,FALSE)</f>
        <v>Baut Camber</v>
      </c>
      <c r="R1244" s="101"/>
      <c r="U1244" s="101"/>
    </row>
    <row r="1245" ht="22.5" customHeight="1">
      <c r="A1245" s="49"/>
      <c r="C1245" s="192">
        <v>46175.0</v>
      </c>
      <c r="D1245" s="192">
        <v>46172.0</v>
      </c>
      <c r="E1245" s="69" t="s">
        <v>257</v>
      </c>
      <c r="F1245" s="243" t="s">
        <v>998</v>
      </c>
      <c r="G1245" s="69">
        <v>4.011778892E9</v>
      </c>
      <c r="H1245" s="69" t="s">
        <v>2314</v>
      </c>
      <c r="I1245" s="140" t="s">
        <v>2206</v>
      </c>
      <c r="J1245" s="446">
        <v>6.0</v>
      </c>
      <c r="K1245" s="140">
        <v>95450.0</v>
      </c>
      <c r="L1245" s="140">
        <v>95450.0</v>
      </c>
      <c r="M1245" s="140" t="s">
        <v>755</v>
      </c>
      <c r="N1245" s="74">
        <f t="shared" si="6"/>
        <v>572700</v>
      </c>
      <c r="O1245" s="60">
        <f t="shared" si="2"/>
        <v>46202</v>
      </c>
      <c r="P1245" s="65" t="str">
        <f>VLOOKUP(I1245,DATABASE!C:Q,11,FALSE)</f>
        <v>COMPLEMENTARY</v>
      </c>
      <c r="Q1245" s="65" t="str">
        <f>VLOOKUP(I1245,DATABASE!C:Q,4,FALSE)</f>
        <v>TIEROD</v>
      </c>
      <c r="R1245" s="101"/>
      <c r="U1245" s="101"/>
    </row>
    <row r="1246" ht="22.5" customHeight="1">
      <c r="A1246" s="49"/>
      <c r="C1246" s="192">
        <v>46176.0</v>
      </c>
      <c r="D1246" s="192">
        <v>46176.0</v>
      </c>
      <c r="E1246" s="69" t="s">
        <v>198</v>
      </c>
      <c r="F1246" s="243" t="s">
        <v>343</v>
      </c>
      <c r="G1246" s="69" t="s">
        <v>2059</v>
      </c>
      <c r="H1246" s="69" t="s">
        <v>7</v>
      </c>
      <c r="I1246" s="140" t="s">
        <v>2621</v>
      </c>
      <c r="J1246" s="446">
        <v>30.0</v>
      </c>
      <c r="K1246" s="140">
        <v>130137.0</v>
      </c>
      <c r="L1246" s="140">
        <v>141160.0</v>
      </c>
      <c r="M1246" s="140" t="s">
        <v>521</v>
      </c>
      <c r="N1246" s="74">
        <f t="shared" si="6"/>
        <v>4234800</v>
      </c>
      <c r="O1246" s="60">
        <f t="shared" si="2"/>
        <v>46236</v>
      </c>
      <c r="P1246" s="65" t="str">
        <f>VLOOKUP(I1246,DATABASE!C:Q,11,FALSE)</f>
        <v>Tire</v>
      </c>
      <c r="Q1246" s="65" t="str">
        <f>VLOOKUP(I1246,DATABASE!C:Q,4,FALSE)</f>
        <v>IBK light</v>
      </c>
      <c r="R1246" s="101"/>
      <c r="U1246" s="101"/>
    </row>
    <row r="1247" ht="22.5" customHeight="1">
      <c r="A1247" s="49"/>
      <c r="C1247" s="192">
        <v>46176.0</v>
      </c>
      <c r="D1247" s="192">
        <v>46176.0</v>
      </c>
      <c r="E1247" s="69" t="s">
        <v>412</v>
      </c>
      <c r="F1247" s="243" t="s">
        <v>0</v>
      </c>
      <c r="G1247" s="69" t="s">
        <v>0</v>
      </c>
      <c r="H1247" s="69" t="s">
        <v>2314</v>
      </c>
      <c r="I1247" s="140" t="s">
        <v>299</v>
      </c>
      <c r="J1247" s="446">
        <v>40.0</v>
      </c>
      <c r="K1247" s="140">
        <v>10000.0</v>
      </c>
      <c r="L1247" s="140">
        <v>10000.0</v>
      </c>
      <c r="M1247" s="140" t="s">
        <v>755</v>
      </c>
      <c r="N1247" s="74">
        <f t="shared" si="6"/>
        <v>400000</v>
      </c>
      <c r="O1247" s="60">
        <f t="shared" si="2"/>
        <v>46206</v>
      </c>
      <c r="P1247" s="65" t="str">
        <f>VLOOKUP(I1247,DATABASE!C:Q,11,FALSE)</f>
        <v>COMPLEMENTARY</v>
      </c>
      <c r="Q1247" s="65" t="str">
        <f>VLOOKUP(I1247,DATABASE!C:Q,4,FALSE)</f>
        <v>Balancing</v>
      </c>
      <c r="R1247" s="101"/>
      <c r="U1247" s="101"/>
    </row>
    <row r="1248" ht="22.5" customHeight="1">
      <c r="A1248" s="49"/>
      <c r="C1248" s="192">
        <v>46179.0</v>
      </c>
      <c r="D1248" s="192">
        <v>46178.0</v>
      </c>
      <c r="E1248" s="69" t="s">
        <v>97</v>
      </c>
      <c r="F1248" s="243" t="s">
        <v>343</v>
      </c>
      <c r="G1248" s="69" t="s">
        <v>2509</v>
      </c>
      <c r="H1248" s="69" t="s">
        <v>87</v>
      </c>
      <c r="I1248" s="140" t="s">
        <v>591</v>
      </c>
      <c r="J1248" s="446">
        <v>10.0</v>
      </c>
      <c r="K1248" s="140">
        <v>609844.375</v>
      </c>
      <c r="L1248" s="140">
        <v>609844.4</v>
      </c>
      <c r="M1248" s="140" t="s">
        <v>521</v>
      </c>
      <c r="N1248" s="74">
        <f t="shared" si="6"/>
        <v>6098444</v>
      </c>
      <c r="O1248" s="60">
        <f t="shared" si="2"/>
        <v>46238</v>
      </c>
      <c r="P1248" s="65" t="str">
        <f>VLOOKUP(I1248,DATABASE!C:Q,11,FALSE)</f>
        <v>Tire</v>
      </c>
      <c r="Q1248" s="65" t="str">
        <f>VLOOKUP(I1248,DATABASE!C:Q,4,FALSE)</f>
        <v>Bridgestone</v>
      </c>
      <c r="R1248" s="101"/>
      <c r="U1248" s="101"/>
    </row>
    <row r="1249" ht="22.5" customHeight="1">
      <c r="A1249" s="49"/>
      <c r="C1249" s="192">
        <v>46179.0</v>
      </c>
      <c r="D1249" s="192">
        <v>46178.0</v>
      </c>
      <c r="E1249" s="69" t="s">
        <v>97</v>
      </c>
      <c r="F1249" s="243" t="s">
        <v>343</v>
      </c>
      <c r="G1249" s="69" t="s">
        <v>2509</v>
      </c>
      <c r="H1249" s="69" t="s">
        <v>87</v>
      </c>
      <c r="I1249" s="140" t="s">
        <v>600</v>
      </c>
      <c r="J1249" s="446">
        <v>10.0</v>
      </c>
      <c r="K1249" s="140">
        <v>588505.75</v>
      </c>
      <c r="L1249" s="140">
        <v>588505.75</v>
      </c>
      <c r="M1249" s="140" t="s">
        <v>521</v>
      </c>
      <c r="N1249" s="74">
        <f t="shared" si="6"/>
        <v>5885057.5</v>
      </c>
      <c r="O1249" s="60">
        <f t="shared" si="2"/>
        <v>46238</v>
      </c>
      <c r="P1249" s="65" t="str">
        <f>VLOOKUP(I1249,DATABASE!C:Q,11,FALSE)</f>
        <v>Tire</v>
      </c>
      <c r="Q1249" s="65" t="str">
        <f>VLOOKUP(I1249,DATABASE!C:Q,4,FALSE)</f>
        <v>Bridgestone</v>
      </c>
      <c r="R1249" s="101"/>
      <c r="U1249" s="101"/>
    </row>
    <row r="1250" ht="22.5" customHeight="1">
      <c r="A1250" s="49"/>
      <c r="C1250" s="192">
        <v>46179.0</v>
      </c>
      <c r="D1250" s="192">
        <v>46178.0</v>
      </c>
      <c r="E1250" s="69" t="s">
        <v>97</v>
      </c>
      <c r="F1250" s="243" t="s">
        <v>343</v>
      </c>
      <c r="G1250" s="69" t="s">
        <v>2509</v>
      </c>
      <c r="H1250" s="69" t="s">
        <v>87</v>
      </c>
      <c r="I1250" s="140" t="s">
        <v>605</v>
      </c>
      <c r="J1250" s="446">
        <v>5.0</v>
      </c>
      <c r="K1250" s="140">
        <v>675000.0</v>
      </c>
      <c r="L1250" s="140">
        <v>675000.0</v>
      </c>
      <c r="M1250" s="140" t="s">
        <v>521</v>
      </c>
      <c r="N1250" s="74">
        <f t="shared" si="6"/>
        <v>3375000</v>
      </c>
      <c r="O1250" s="60">
        <f t="shared" si="2"/>
        <v>46238</v>
      </c>
      <c r="P1250" s="65" t="str">
        <f>VLOOKUP(I1250,DATABASE!C:Q,11,FALSE)</f>
        <v>Tire</v>
      </c>
      <c r="Q1250" s="65" t="str">
        <f>VLOOKUP(I1250,DATABASE!C:Q,4,FALSE)</f>
        <v>Bridgestone</v>
      </c>
      <c r="R1250" s="101"/>
      <c r="U1250" s="101"/>
    </row>
    <row r="1251" ht="22.5" customHeight="1">
      <c r="A1251" s="49"/>
      <c r="C1251" s="192">
        <v>46179.0</v>
      </c>
      <c r="D1251" s="192">
        <v>46178.0</v>
      </c>
      <c r="E1251" s="69" t="s">
        <v>97</v>
      </c>
      <c r="F1251" s="243" t="s">
        <v>343</v>
      </c>
      <c r="G1251" s="69" t="s">
        <v>2509</v>
      </c>
      <c r="H1251" s="69" t="s">
        <v>87</v>
      </c>
      <c r="I1251" s="140" t="s">
        <v>1097</v>
      </c>
      <c r="J1251" s="446">
        <v>4.0</v>
      </c>
      <c r="K1251" s="140">
        <v>815987.25</v>
      </c>
      <c r="L1251" s="140">
        <v>815987.25</v>
      </c>
      <c r="M1251" s="140" t="s">
        <v>521</v>
      </c>
      <c r="N1251" s="74">
        <f t="shared" si="6"/>
        <v>3263949</v>
      </c>
      <c r="O1251" s="60">
        <f t="shared" si="2"/>
        <v>46238</v>
      </c>
      <c r="P1251" s="65" t="str">
        <f>VLOOKUP(I1251,DATABASE!C:Q,11,FALSE)</f>
        <v>Tire</v>
      </c>
      <c r="Q1251" s="65" t="str">
        <f>VLOOKUP(I1251,DATABASE!C:Q,4,FALSE)</f>
        <v>Bridgestone</v>
      </c>
      <c r="R1251" s="101"/>
      <c r="U1251" s="101"/>
    </row>
    <row r="1252" ht="22.5" customHeight="1">
      <c r="A1252" s="49"/>
      <c r="C1252" s="192">
        <v>46179.0</v>
      </c>
      <c r="D1252" s="192">
        <v>46178.0</v>
      </c>
      <c r="E1252" s="69" t="s">
        <v>97</v>
      </c>
      <c r="F1252" s="243" t="s">
        <v>343</v>
      </c>
      <c r="G1252" s="69" t="s">
        <v>2509</v>
      </c>
      <c r="H1252" s="69" t="s">
        <v>87</v>
      </c>
      <c r="I1252" s="140" t="s">
        <v>614</v>
      </c>
      <c r="J1252" s="446">
        <v>10.0</v>
      </c>
      <c r="K1252" s="140">
        <v>727756.0</v>
      </c>
      <c r="L1252" s="140">
        <v>727756.0</v>
      </c>
      <c r="M1252" s="140" t="s">
        <v>521</v>
      </c>
      <c r="N1252" s="74">
        <f t="shared" si="6"/>
        <v>7277560</v>
      </c>
      <c r="O1252" s="60">
        <f t="shared" si="2"/>
        <v>46238</v>
      </c>
      <c r="P1252" s="65" t="str">
        <f>VLOOKUP(I1252,DATABASE!C:Q,11,FALSE)</f>
        <v>Tire</v>
      </c>
      <c r="Q1252" s="65" t="str">
        <f>VLOOKUP(I1252,DATABASE!C:Q,4,FALSE)</f>
        <v>Bridgestone</v>
      </c>
      <c r="R1252" s="101"/>
      <c r="U1252" s="101"/>
    </row>
    <row r="1253" ht="22.5" customHeight="1">
      <c r="A1253" s="49"/>
      <c r="C1253" s="192">
        <v>46179.0</v>
      </c>
      <c r="D1253" s="192">
        <v>46178.0</v>
      </c>
      <c r="E1253" s="69" t="s">
        <v>97</v>
      </c>
      <c r="F1253" s="243" t="s">
        <v>343</v>
      </c>
      <c r="G1253" s="69" t="s">
        <v>2511</v>
      </c>
      <c r="H1253" s="69" t="s">
        <v>87</v>
      </c>
      <c r="I1253" s="140" t="s">
        <v>554</v>
      </c>
      <c r="J1253" s="446">
        <v>9.0</v>
      </c>
      <c r="K1253" s="140">
        <v>705000.0</v>
      </c>
      <c r="L1253" s="140">
        <v>705000.0</v>
      </c>
      <c r="M1253" s="140" t="s">
        <v>521</v>
      </c>
      <c r="N1253" s="74">
        <f t="shared" si="6"/>
        <v>6345000</v>
      </c>
      <c r="O1253" s="60">
        <f t="shared" si="2"/>
        <v>46238</v>
      </c>
      <c r="P1253" s="65" t="str">
        <f>VLOOKUP(I1253,DATABASE!C:Q,11,FALSE)</f>
        <v>Tire</v>
      </c>
      <c r="Q1253" s="65" t="str">
        <f>VLOOKUP(I1253,DATABASE!C:Q,4,FALSE)</f>
        <v>Bridgestone</v>
      </c>
      <c r="R1253" s="101"/>
      <c r="U1253" s="101"/>
    </row>
    <row r="1254" ht="22.5" customHeight="1">
      <c r="A1254" s="49"/>
      <c r="C1254" s="192">
        <v>46181.0</v>
      </c>
      <c r="D1254" s="192">
        <v>46178.0</v>
      </c>
      <c r="E1254" s="69" t="s">
        <v>335</v>
      </c>
      <c r="F1254" s="243" t="s">
        <v>343</v>
      </c>
      <c r="G1254" s="69" t="s">
        <v>2238</v>
      </c>
      <c r="H1254" s="69" t="s">
        <v>7</v>
      </c>
      <c r="I1254" s="140" t="s">
        <v>391</v>
      </c>
      <c r="J1254" s="446">
        <v>4.0</v>
      </c>
      <c r="K1254" s="140">
        <v>1885000.0</v>
      </c>
      <c r="L1254" s="140">
        <v>1885000.0</v>
      </c>
      <c r="M1254" s="140" t="s">
        <v>521</v>
      </c>
      <c r="N1254" s="74">
        <f t="shared" si="6"/>
        <v>7540000</v>
      </c>
      <c r="O1254" s="60">
        <f t="shared" si="2"/>
        <v>46238</v>
      </c>
      <c r="P1254" s="65" t="str">
        <f>VLOOKUP(I1254,DATABASE!C:Q,11,FALSE)</f>
        <v>Tire</v>
      </c>
      <c r="Q1254" s="65" t="str">
        <f>VLOOKUP(I1254,DATABASE!C:Q,4,FALSE)</f>
        <v>Advance</v>
      </c>
      <c r="R1254" s="101"/>
      <c r="U1254" s="101"/>
    </row>
    <row r="1255" ht="22.5" customHeight="1">
      <c r="A1255" s="49"/>
      <c r="C1255" s="192">
        <v>46181.0</v>
      </c>
      <c r="D1255" s="192">
        <v>46178.0</v>
      </c>
      <c r="E1255" s="69" t="s">
        <v>335</v>
      </c>
      <c r="F1255" s="243" t="s">
        <v>343</v>
      </c>
      <c r="G1255" s="69" t="s">
        <v>2238</v>
      </c>
      <c r="H1255" s="69" t="s">
        <v>7</v>
      </c>
      <c r="I1255" s="140" t="s">
        <v>374</v>
      </c>
      <c r="J1255" s="446">
        <v>4.0</v>
      </c>
      <c r="K1255" s="140">
        <v>1980000.0</v>
      </c>
      <c r="L1255" s="140">
        <v>1980000.0</v>
      </c>
      <c r="M1255" s="140" t="s">
        <v>521</v>
      </c>
      <c r="N1255" s="74">
        <f t="shared" si="6"/>
        <v>7920000</v>
      </c>
      <c r="O1255" s="60">
        <f t="shared" si="2"/>
        <v>46238</v>
      </c>
      <c r="P1255" s="65" t="str">
        <f>VLOOKUP(I1255,DATABASE!C:Q,11,FALSE)</f>
        <v>Tire</v>
      </c>
      <c r="Q1255" s="65" t="str">
        <f>VLOOKUP(I1255,DATABASE!C:Q,4,FALSE)</f>
        <v>Advance</v>
      </c>
      <c r="R1255" s="101"/>
      <c r="U1255" s="101"/>
    </row>
    <row r="1256" ht="22.5" customHeight="1">
      <c r="A1256" s="49"/>
      <c r="C1256" s="192">
        <v>46181.0</v>
      </c>
      <c r="D1256" s="192">
        <v>46178.0</v>
      </c>
      <c r="E1256" s="69" t="s">
        <v>335</v>
      </c>
      <c r="F1256" s="243" t="s">
        <v>343</v>
      </c>
      <c r="G1256" s="69" t="s">
        <v>2238</v>
      </c>
      <c r="H1256" s="69" t="s">
        <v>7</v>
      </c>
      <c r="I1256" s="140" t="s">
        <v>403</v>
      </c>
      <c r="J1256" s="446">
        <v>4.0</v>
      </c>
      <c r="K1256" s="140">
        <v>2160000.0</v>
      </c>
      <c r="L1256" s="140">
        <v>2100000.0</v>
      </c>
      <c r="M1256" s="140" t="s">
        <v>521</v>
      </c>
      <c r="N1256" s="74">
        <f t="shared" si="6"/>
        <v>8400000</v>
      </c>
      <c r="O1256" s="60">
        <f t="shared" si="2"/>
        <v>46238</v>
      </c>
      <c r="P1256" s="65" t="str">
        <f>VLOOKUP(I1256,DATABASE!C:Q,11,FALSE)</f>
        <v>Tire</v>
      </c>
      <c r="Q1256" s="65" t="str">
        <f>VLOOKUP(I1256,DATABASE!C:Q,4,FALSE)</f>
        <v>Advance</v>
      </c>
      <c r="R1256" s="101"/>
      <c r="U1256" s="101"/>
    </row>
    <row r="1257" ht="22.5" customHeight="1">
      <c r="A1257" s="49"/>
      <c r="C1257" s="192">
        <v>46181.0</v>
      </c>
      <c r="D1257" s="192">
        <v>46178.0</v>
      </c>
      <c r="E1257" s="69" t="s">
        <v>335</v>
      </c>
      <c r="F1257" s="243" t="s">
        <v>343</v>
      </c>
      <c r="G1257" s="69" t="s">
        <v>2238</v>
      </c>
      <c r="H1257" s="69" t="s">
        <v>7</v>
      </c>
      <c r="I1257" s="140" t="s">
        <v>924</v>
      </c>
      <c r="J1257" s="446">
        <v>6.0</v>
      </c>
      <c r="K1257" s="140">
        <v>1555000.0</v>
      </c>
      <c r="L1257" s="140">
        <v>1555000.0</v>
      </c>
      <c r="M1257" s="140" t="s">
        <v>521</v>
      </c>
      <c r="N1257" s="74">
        <f t="shared" si="6"/>
        <v>9330000</v>
      </c>
      <c r="O1257" s="60">
        <f t="shared" si="2"/>
        <v>46238</v>
      </c>
      <c r="P1257" s="65" t="str">
        <f>VLOOKUP(I1257,DATABASE!C:Q,11,FALSE)</f>
        <v>Tire</v>
      </c>
      <c r="Q1257" s="65" t="str">
        <f>VLOOKUP(I1257,DATABASE!C:Q,4,FALSE)</f>
        <v>TIRON</v>
      </c>
      <c r="R1257" s="101"/>
      <c r="U1257" s="101"/>
    </row>
    <row r="1258" ht="22.5" customHeight="1">
      <c r="A1258" s="49"/>
      <c r="C1258" s="192">
        <v>46181.0</v>
      </c>
      <c r="D1258" s="192">
        <v>46178.0</v>
      </c>
      <c r="E1258" s="69" t="s">
        <v>335</v>
      </c>
      <c r="F1258" s="243" t="s">
        <v>343</v>
      </c>
      <c r="G1258" s="69" t="s">
        <v>2238</v>
      </c>
      <c r="H1258" s="69" t="s">
        <v>7</v>
      </c>
      <c r="I1258" s="140" t="s">
        <v>295</v>
      </c>
      <c r="J1258" s="446">
        <v>4.0</v>
      </c>
      <c r="K1258" s="140">
        <v>1475000.0</v>
      </c>
      <c r="L1258" s="140">
        <v>1475000.0</v>
      </c>
      <c r="M1258" s="140" t="s">
        <v>521</v>
      </c>
      <c r="N1258" s="74">
        <f t="shared" si="6"/>
        <v>5900000</v>
      </c>
      <c r="O1258" s="60">
        <f t="shared" si="2"/>
        <v>46238</v>
      </c>
      <c r="P1258" s="65" t="str">
        <f>VLOOKUP(I1258,DATABASE!C:Q,11,FALSE)</f>
        <v>Tire</v>
      </c>
      <c r="Q1258" s="65" t="str">
        <f>VLOOKUP(I1258,DATABASE!C:Q,4,FALSE)</f>
        <v>TIRON</v>
      </c>
      <c r="R1258" s="101"/>
      <c r="U1258" s="101"/>
    </row>
    <row r="1259" ht="22.5" customHeight="1">
      <c r="A1259" s="49"/>
      <c r="C1259" s="192">
        <v>46181.0</v>
      </c>
      <c r="D1259" s="192">
        <v>46179.0</v>
      </c>
      <c r="E1259" s="69" t="s">
        <v>123</v>
      </c>
      <c r="F1259" s="243" t="s">
        <v>343</v>
      </c>
      <c r="G1259" s="69" t="s">
        <v>2381</v>
      </c>
      <c r="H1259" s="69" t="s">
        <v>7</v>
      </c>
      <c r="I1259" s="140" t="s">
        <v>839</v>
      </c>
      <c r="J1259" s="446">
        <v>10.0</v>
      </c>
      <c r="K1259" s="140">
        <v>490000.0</v>
      </c>
      <c r="L1259" s="140">
        <v>490000.0</v>
      </c>
      <c r="M1259" s="140" t="s">
        <v>755</v>
      </c>
      <c r="N1259" s="74">
        <f t="shared" si="6"/>
        <v>4900000</v>
      </c>
      <c r="O1259" s="60">
        <f t="shared" si="2"/>
        <v>46209</v>
      </c>
      <c r="P1259" s="65" t="str">
        <f>VLOOKUP(I1259,DATABASE!C:Q,11,FALSE)</f>
        <v>Tire</v>
      </c>
      <c r="Q1259" s="65" t="str">
        <f>VLOOKUP(I1259,DATABASE!C:Q,4,FALSE)</f>
        <v>GT</v>
      </c>
      <c r="R1259" s="101"/>
      <c r="U1259" s="101"/>
    </row>
    <row r="1260" ht="22.5" customHeight="1">
      <c r="A1260" s="49"/>
      <c r="C1260" s="192">
        <v>46181.0</v>
      </c>
      <c r="D1260" s="192">
        <v>46179.0</v>
      </c>
      <c r="E1260" s="69" t="s">
        <v>123</v>
      </c>
      <c r="F1260" s="243" t="s">
        <v>343</v>
      </c>
      <c r="G1260" s="69" t="s">
        <v>2381</v>
      </c>
      <c r="H1260" s="69" t="s">
        <v>7</v>
      </c>
      <c r="I1260" s="140" t="s">
        <v>1009</v>
      </c>
      <c r="J1260" s="446">
        <v>10.0</v>
      </c>
      <c r="K1260" s="140">
        <v>609800.0</v>
      </c>
      <c r="L1260" s="140">
        <v>609800.0</v>
      </c>
      <c r="M1260" s="140" t="s">
        <v>755</v>
      </c>
      <c r="N1260" s="74">
        <f t="shared" si="6"/>
        <v>6098000</v>
      </c>
      <c r="O1260" s="60">
        <f t="shared" si="2"/>
        <v>46209</v>
      </c>
      <c r="P1260" s="65" t="str">
        <f>VLOOKUP(I1260,DATABASE!C:Q,11,FALSE)</f>
        <v>Tire</v>
      </c>
      <c r="Q1260" s="65" t="str">
        <f>VLOOKUP(I1260,DATABASE!C:Q,4,FALSE)</f>
        <v>GT</v>
      </c>
      <c r="R1260" s="101"/>
      <c r="U1260" s="101"/>
    </row>
    <row r="1261" ht="22.5" customHeight="1">
      <c r="A1261" s="49"/>
      <c r="C1261" s="192">
        <v>46181.0</v>
      </c>
      <c r="D1261" s="192">
        <v>46179.0</v>
      </c>
      <c r="E1261" s="69" t="s">
        <v>123</v>
      </c>
      <c r="F1261" s="243" t="s">
        <v>343</v>
      </c>
      <c r="G1261" s="69" t="s">
        <v>2381</v>
      </c>
      <c r="H1261" s="69" t="s">
        <v>7</v>
      </c>
      <c r="I1261" s="140" t="s">
        <v>290</v>
      </c>
      <c r="J1261" s="446">
        <v>5.0</v>
      </c>
      <c r="K1261" s="140">
        <v>628100.0</v>
      </c>
      <c r="L1261" s="140">
        <v>628100.0</v>
      </c>
      <c r="M1261" s="140" t="s">
        <v>755</v>
      </c>
      <c r="N1261" s="74">
        <f t="shared" si="6"/>
        <v>3140500</v>
      </c>
      <c r="O1261" s="60">
        <f t="shared" si="2"/>
        <v>46209</v>
      </c>
      <c r="P1261" s="65" t="str">
        <f>VLOOKUP(I1261,DATABASE!C:Q,11,FALSE)</f>
        <v>Tire</v>
      </c>
      <c r="Q1261" s="65" t="str">
        <f>VLOOKUP(I1261,DATABASE!C:Q,4,FALSE)</f>
        <v>GT</v>
      </c>
      <c r="R1261" s="101"/>
      <c r="U1261" s="101"/>
    </row>
    <row r="1262" ht="22.5" customHeight="1">
      <c r="A1262" s="49"/>
      <c r="C1262" s="192">
        <v>46181.0</v>
      </c>
      <c r="D1262" s="192">
        <v>46179.0</v>
      </c>
      <c r="E1262" s="69" t="s">
        <v>123</v>
      </c>
      <c r="F1262" s="243" t="s">
        <v>343</v>
      </c>
      <c r="G1262" s="69" t="s">
        <v>2381</v>
      </c>
      <c r="H1262" s="69" t="s">
        <v>7</v>
      </c>
      <c r="I1262" s="140" t="s">
        <v>1439</v>
      </c>
      <c r="J1262" s="446">
        <v>8.0</v>
      </c>
      <c r="K1262" s="140">
        <v>556800.0</v>
      </c>
      <c r="L1262" s="140">
        <v>556800.0</v>
      </c>
      <c r="M1262" s="140" t="s">
        <v>755</v>
      </c>
      <c r="N1262" s="74">
        <f t="shared" si="6"/>
        <v>4454400</v>
      </c>
      <c r="O1262" s="60">
        <f t="shared" si="2"/>
        <v>46209</v>
      </c>
      <c r="P1262" s="65" t="str">
        <f>VLOOKUP(I1262,DATABASE!C:Q,11,FALSE)</f>
        <v>Tire</v>
      </c>
      <c r="Q1262" s="65" t="str">
        <f>VLOOKUP(I1262,DATABASE!C:Q,4,FALSE)</f>
        <v>GT</v>
      </c>
      <c r="R1262" s="101"/>
      <c r="U1262" s="101"/>
    </row>
    <row r="1263" ht="22.5" customHeight="1">
      <c r="A1263" s="49"/>
      <c r="C1263" s="192">
        <v>46181.0</v>
      </c>
      <c r="D1263" s="192">
        <v>46179.0</v>
      </c>
      <c r="E1263" s="69" t="s">
        <v>123</v>
      </c>
      <c r="F1263" s="243" t="s">
        <v>343</v>
      </c>
      <c r="G1263" s="69" t="s">
        <v>2381</v>
      </c>
      <c r="H1263" s="69" t="s">
        <v>7</v>
      </c>
      <c r="I1263" s="140" t="s">
        <v>856</v>
      </c>
      <c r="J1263" s="446">
        <v>7.0</v>
      </c>
      <c r="K1263" s="140">
        <v>604200.0</v>
      </c>
      <c r="L1263" s="140">
        <v>604200.0</v>
      </c>
      <c r="M1263" s="140" t="s">
        <v>755</v>
      </c>
      <c r="N1263" s="74">
        <f t="shared" si="6"/>
        <v>4229400</v>
      </c>
      <c r="O1263" s="60">
        <f t="shared" si="2"/>
        <v>46209</v>
      </c>
      <c r="P1263" s="65" t="str">
        <f>VLOOKUP(I1263,DATABASE!C:Q,11,FALSE)</f>
        <v>Tire</v>
      </c>
      <c r="Q1263" s="65" t="str">
        <f>VLOOKUP(I1263,DATABASE!C:Q,4,FALSE)</f>
        <v>GT</v>
      </c>
      <c r="R1263" s="101"/>
      <c r="U1263" s="101"/>
    </row>
    <row r="1264" ht="22.5" customHeight="1">
      <c r="A1264" s="49"/>
      <c r="C1264" s="192">
        <v>46181.0</v>
      </c>
      <c r="D1264" s="192">
        <v>46179.0</v>
      </c>
      <c r="E1264" s="69" t="s">
        <v>123</v>
      </c>
      <c r="F1264" s="243" t="s">
        <v>343</v>
      </c>
      <c r="G1264" s="69" t="s">
        <v>2381</v>
      </c>
      <c r="H1264" s="69" t="s">
        <v>7</v>
      </c>
      <c r="I1264" s="140" t="s">
        <v>287</v>
      </c>
      <c r="J1264" s="446">
        <v>4.0</v>
      </c>
      <c r="K1264" s="140">
        <v>711000.0</v>
      </c>
      <c r="L1264" s="140">
        <v>711000.0</v>
      </c>
      <c r="M1264" s="140" t="s">
        <v>755</v>
      </c>
      <c r="N1264" s="74">
        <f t="shared" si="6"/>
        <v>2844000</v>
      </c>
      <c r="O1264" s="60">
        <f t="shared" si="2"/>
        <v>46209</v>
      </c>
      <c r="P1264" s="65" t="str">
        <f>VLOOKUP(I1264,DATABASE!C:Q,11,FALSE)</f>
        <v>Tire</v>
      </c>
      <c r="Q1264" s="65" t="str">
        <f>VLOOKUP(I1264,DATABASE!C:Q,4,FALSE)</f>
        <v>GT</v>
      </c>
      <c r="R1264" s="101"/>
      <c r="U1264" s="101"/>
    </row>
    <row r="1265" ht="22.5" customHeight="1">
      <c r="A1265" s="49"/>
      <c r="C1265" s="192">
        <v>46181.0</v>
      </c>
      <c r="D1265" s="192">
        <v>46179.0</v>
      </c>
      <c r="E1265" s="69" t="s">
        <v>123</v>
      </c>
      <c r="F1265" s="243" t="s">
        <v>343</v>
      </c>
      <c r="G1265" s="69" t="s">
        <v>2381</v>
      </c>
      <c r="H1265" s="69" t="s">
        <v>7</v>
      </c>
      <c r="I1265" s="140" t="s">
        <v>1890</v>
      </c>
      <c r="J1265" s="446">
        <v>4.0</v>
      </c>
      <c r="K1265" s="140">
        <v>700000.0</v>
      </c>
      <c r="L1265" s="140">
        <v>739600.0</v>
      </c>
      <c r="M1265" s="140" t="s">
        <v>755</v>
      </c>
      <c r="N1265" s="74">
        <f t="shared" si="6"/>
        <v>2958400</v>
      </c>
      <c r="O1265" s="60">
        <f t="shared" si="2"/>
        <v>46209</v>
      </c>
      <c r="P1265" s="65" t="str">
        <f>VLOOKUP(I1265,DATABASE!C:Q,11,FALSE)</f>
        <v>Tire</v>
      </c>
      <c r="Q1265" s="65" t="str">
        <f>VLOOKUP(I1265,DATABASE!C:Q,4,FALSE)</f>
        <v>GT</v>
      </c>
      <c r="R1265" s="101"/>
      <c r="U1265" s="101"/>
    </row>
    <row r="1266" ht="22.5" customHeight="1">
      <c r="A1266" s="49"/>
      <c r="C1266" s="192">
        <v>46181.0</v>
      </c>
      <c r="D1266" s="192">
        <v>46181.0</v>
      </c>
      <c r="E1266" s="69" t="s">
        <v>110</v>
      </c>
      <c r="F1266" s="243" t="s">
        <v>343</v>
      </c>
      <c r="G1266" s="69">
        <v>2.6002469E7</v>
      </c>
      <c r="H1266" s="69" t="s">
        <v>7</v>
      </c>
      <c r="I1266" s="140" t="s">
        <v>2249</v>
      </c>
      <c r="J1266" s="446">
        <v>2.0</v>
      </c>
      <c r="K1266" s="140">
        <v>1750000.0</v>
      </c>
      <c r="L1266" s="140">
        <v>1800000.0</v>
      </c>
      <c r="M1266" s="140" t="s">
        <v>2190</v>
      </c>
      <c r="N1266" s="74">
        <f t="shared" si="6"/>
        <v>3600000</v>
      </c>
      <c r="O1266" s="60">
        <f t="shared" si="2"/>
        <v>46195</v>
      </c>
      <c r="P1266" s="65" t="str">
        <f>VLOOKUP(I1266,DATABASE!C:Q,11,FALSE)</f>
        <v>Tire</v>
      </c>
      <c r="Q1266" s="65" t="str">
        <f>VLOOKUP(I1266,DATABASE!C:Q,4,FALSE)</f>
        <v>WESTLAKE</v>
      </c>
      <c r="R1266" s="101"/>
      <c r="U1266" s="101"/>
    </row>
    <row r="1267" ht="22.5" customHeight="1">
      <c r="A1267" s="49"/>
      <c r="C1267" s="192">
        <v>46181.0</v>
      </c>
      <c r="D1267" s="192">
        <v>46181.0</v>
      </c>
      <c r="E1267" s="69" t="s">
        <v>110</v>
      </c>
      <c r="F1267" s="243" t="s">
        <v>343</v>
      </c>
      <c r="G1267" s="69">
        <v>2.6002469E7</v>
      </c>
      <c r="H1267" s="69" t="s">
        <v>7</v>
      </c>
      <c r="I1267" s="140" t="s">
        <v>777</v>
      </c>
      <c r="J1267" s="446">
        <v>4.0</v>
      </c>
      <c r="K1267" s="140">
        <v>505000.0</v>
      </c>
      <c r="L1267" s="140">
        <v>515000.0</v>
      </c>
      <c r="M1267" s="140" t="s">
        <v>2190</v>
      </c>
      <c r="N1267" s="74">
        <f t="shared" si="6"/>
        <v>2060000</v>
      </c>
      <c r="O1267" s="60">
        <f t="shared" si="2"/>
        <v>46195</v>
      </c>
      <c r="P1267" s="65" t="str">
        <f>VLOOKUP(I1267,DATABASE!C:Q,11,FALSE)</f>
        <v>Tire</v>
      </c>
      <c r="Q1267" s="65" t="str">
        <f>VLOOKUP(I1267,DATABASE!C:Q,4,FALSE)</f>
        <v>GT</v>
      </c>
      <c r="R1267" s="101"/>
      <c r="U1267" s="101"/>
    </row>
    <row r="1268" ht="22.5" customHeight="1">
      <c r="A1268" s="49"/>
      <c r="C1268" s="192">
        <v>46183.0</v>
      </c>
      <c r="D1268" s="192">
        <v>46182.0</v>
      </c>
      <c r="E1268" s="69" t="s">
        <v>110</v>
      </c>
      <c r="F1268" s="243" t="s">
        <v>343</v>
      </c>
      <c r="G1268" s="69">
        <v>2.6007799E7</v>
      </c>
      <c r="H1268" s="69" t="s">
        <v>7</v>
      </c>
      <c r="I1268" s="140" t="s">
        <v>781</v>
      </c>
      <c r="J1268" s="446">
        <v>10.0</v>
      </c>
      <c r="K1268" s="140">
        <v>460000.0</v>
      </c>
      <c r="L1268" s="140">
        <v>450000.0</v>
      </c>
      <c r="M1268" s="140" t="s">
        <v>755</v>
      </c>
      <c r="N1268" s="74">
        <f t="shared" si="6"/>
        <v>4500000</v>
      </c>
      <c r="O1268" s="60">
        <f t="shared" si="2"/>
        <v>46212</v>
      </c>
      <c r="P1268" s="65" t="str">
        <f>VLOOKUP(I1268,DATABASE!C:Q,11,FALSE)</f>
        <v>Tire</v>
      </c>
      <c r="Q1268" s="65" t="str">
        <f>VLOOKUP(I1268,DATABASE!C:Q,4,FALSE)</f>
        <v>GT</v>
      </c>
      <c r="R1268" s="101"/>
      <c r="U1268" s="101"/>
    </row>
    <row r="1269" ht="22.5" customHeight="1">
      <c r="A1269" s="49"/>
      <c r="C1269" s="192">
        <v>46183.0</v>
      </c>
      <c r="D1269" s="192">
        <v>46182.0</v>
      </c>
      <c r="E1269" s="69" t="s">
        <v>110</v>
      </c>
      <c r="F1269" s="243" t="s">
        <v>343</v>
      </c>
      <c r="G1269" s="69">
        <v>2.6007799E7</v>
      </c>
      <c r="H1269" s="69" t="s">
        <v>7</v>
      </c>
      <c r="I1269" s="140" t="s">
        <v>777</v>
      </c>
      <c r="J1269" s="446">
        <v>10.0</v>
      </c>
      <c r="K1269" s="140">
        <v>520000.0</v>
      </c>
      <c r="L1269" s="140">
        <v>520000.0</v>
      </c>
      <c r="M1269" s="140" t="s">
        <v>755</v>
      </c>
      <c r="N1269" s="74">
        <f t="shared" si="6"/>
        <v>5200000</v>
      </c>
      <c r="O1269" s="60">
        <f t="shared" si="2"/>
        <v>46212</v>
      </c>
      <c r="P1269" s="65" t="str">
        <f>VLOOKUP(I1269,DATABASE!C:Q,11,FALSE)</f>
        <v>Tire</v>
      </c>
      <c r="Q1269" s="65" t="str">
        <f>VLOOKUP(I1269,DATABASE!C:Q,4,FALSE)</f>
        <v>GT</v>
      </c>
      <c r="R1269" s="101"/>
      <c r="U1269" s="101"/>
    </row>
    <row r="1270" ht="22.5" customHeight="1">
      <c r="A1270" s="49"/>
      <c r="C1270" s="192">
        <v>46183.0</v>
      </c>
      <c r="D1270" s="192">
        <v>46182.0</v>
      </c>
      <c r="E1270" s="69" t="s">
        <v>110</v>
      </c>
      <c r="F1270" s="243" t="s">
        <v>343</v>
      </c>
      <c r="G1270" s="69">
        <v>2.6007799E7</v>
      </c>
      <c r="H1270" s="69" t="s">
        <v>7</v>
      </c>
      <c r="I1270" s="140" t="s">
        <v>294</v>
      </c>
      <c r="J1270" s="446">
        <v>10.0</v>
      </c>
      <c r="K1270" s="140">
        <v>505000.0</v>
      </c>
      <c r="L1270" s="140">
        <v>495000.0</v>
      </c>
      <c r="M1270" s="140" t="s">
        <v>755</v>
      </c>
      <c r="N1270" s="74">
        <f t="shared" si="6"/>
        <v>4950000</v>
      </c>
      <c r="O1270" s="60">
        <f t="shared" si="2"/>
        <v>46212</v>
      </c>
      <c r="P1270" s="65" t="str">
        <f>VLOOKUP(I1270,DATABASE!C:Q,11,FALSE)</f>
        <v>Tire</v>
      </c>
      <c r="Q1270" s="65" t="str">
        <f>VLOOKUP(I1270,DATABASE!C:Q,4,FALSE)</f>
        <v>GT</v>
      </c>
      <c r="R1270" s="101"/>
      <c r="U1270" s="101"/>
    </row>
    <row r="1271" ht="22.5" customHeight="1">
      <c r="A1271" s="49"/>
      <c r="C1271" s="192">
        <v>46184.0</v>
      </c>
      <c r="D1271" s="192">
        <v>46183.0</v>
      </c>
      <c r="E1271" s="69" t="s">
        <v>81</v>
      </c>
      <c r="F1271" s="243" t="s">
        <v>343</v>
      </c>
      <c r="G1271" s="69" t="s">
        <v>1818</v>
      </c>
      <c r="H1271" s="69" t="s">
        <v>87</v>
      </c>
      <c r="I1271" s="140" t="s">
        <v>687</v>
      </c>
      <c r="J1271" s="446">
        <v>2.0</v>
      </c>
      <c r="K1271" s="140">
        <v>949000.0</v>
      </c>
      <c r="L1271" s="140">
        <v>959000.0</v>
      </c>
      <c r="M1271" s="140" t="s">
        <v>657</v>
      </c>
      <c r="N1271" s="74">
        <f t="shared" si="6"/>
        <v>1918000</v>
      </c>
      <c r="O1271" s="60">
        <f t="shared" si="2"/>
        <v>46258</v>
      </c>
      <c r="P1271" s="65" t="str">
        <f>VLOOKUP(I1271,DATABASE!C:Q,11,FALSE)</f>
        <v>Tire</v>
      </c>
      <c r="Q1271" s="65" t="str">
        <f>VLOOKUP(I1271,DATABASE!C:Q,4,FALSE)</f>
        <v>Dunlop</v>
      </c>
      <c r="R1271" s="101"/>
      <c r="U1271" s="101"/>
    </row>
    <row r="1272" ht="22.5" customHeight="1">
      <c r="A1272" s="49"/>
      <c r="C1272" s="192">
        <v>46184.0</v>
      </c>
      <c r="D1272" s="192">
        <v>46183.0</v>
      </c>
      <c r="E1272" s="69" t="s">
        <v>400</v>
      </c>
      <c r="F1272" s="243" t="s">
        <v>0</v>
      </c>
      <c r="G1272" s="69" t="s">
        <v>2086</v>
      </c>
      <c r="H1272" s="69" t="s">
        <v>2314</v>
      </c>
      <c r="I1272" s="140" t="s">
        <v>248</v>
      </c>
      <c r="J1272" s="446">
        <v>12.0</v>
      </c>
      <c r="K1272" s="140">
        <v>209816.66</v>
      </c>
      <c r="L1272" s="140">
        <v>209816.66</v>
      </c>
      <c r="M1272" s="140" t="s">
        <v>2190</v>
      </c>
      <c r="N1272" s="74">
        <f t="shared" si="6"/>
        <v>2517799.92</v>
      </c>
      <c r="O1272" s="60">
        <f t="shared" si="2"/>
        <v>46197</v>
      </c>
      <c r="P1272" s="65" t="str">
        <f>VLOOKUP(I1272,DATABASE!C:Q,11,FALSE)</f>
        <v>OIL</v>
      </c>
      <c r="Q1272" s="65" t="str">
        <f>VLOOKUP(I1272,DATABASE!C:Q,4,FALSE)</f>
        <v>Pertamina</v>
      </c>
      <c r="R1272" s="101"/>
      <c r="U1272" s="101"/>
    </row>
    <row r="1273" ht="22.5" customHeight="1">
      <c r="A1273" s="49"/>
      <c r="C1273" s="192">
        <v>46186.0</v>
      </c>
      <c r="D1273" s="192">
        <v>46183.0</v>
      </c>
      <c r="E1273" s="69" t="s">
        <v>412</v>
      </c>
      <c r="F1273" s="243" t="s">
        <v>0</v>
      </c>
      <c r="G1273" s="69" t="s">
        <v>0</v>
      </c>
      <c r="H1273" s="69" t="s">
        <v>2314</v>
      </c>
      <c r="I1273" s="140" t="s">
        <v>301</v>
      </c>
      <c r="J1273" s="446">
        <v>10.0</v>
      </c>
      <c r="K1273" s="140">
        <v>75000.0</v>
      </c>
      <c r="L1273" s="140">
        <v>44000.0</v>
      </c>
      <c r="M1273" s="140" t="s">
        <v>2190</v>
      </c>
      <c r="N1273" s="74">
        <f t="shared" si="6"/>
        <v>440000</v>
      </c>
      <c r="O1273" s="60">
        <f t="shared" si="2"/>
        <v>46197</v>
      </c>
      <c r="P1273" s="65" t="str">
        <f>VLOOKUP(I1273,DATABASE!C:Q,11,FALSE)</f>
        <v>COMPLEMENTARY</v>
      </c>
      <c r="Q1273" s="65" t="str">
        <f>VLOOKUP(I1273,DATABASE!C:Q,4,FALSE)</f>
        <v>Baut Camber</v>
      </c>
      <c r="R1273" s="101"/>
      <c r="U1273" s="101"/>
    </row>
    <row r="1274" ht="22.5" customHeight="1">
      <c r="A1274" s="49"/>
      <c r="C1274" s="192">
        <v>46186.0</v>
      </c>
      <c r="D1274" s="192">
        <v>46185.0</v>
      </c>
      <c r="E1274" s="69" t="s">
        <v>361</v>
      </c>
      <c r="F1274" s="243" t="s">
        <v>343</v>
      </c>
      <c r="G1274" s="69" t="s">
        <v>2319</v>
      </c>
      <c r="H1274" s="69" t="s">
        <v>7</v>
      </c>
      <c r="I1274" s="140" t="s">
        <v>2345</v>
      </c>
      <c r="J1274" s="446">
        <v>10.0</v>
      </c>
      <c r="K1274" s="140">
        <v>680000.0</v>
      </c>
      <c r="L1274" s="140">
        <v>680000.0</v>
      </c>
      <c r="M1274" s="140" t="s">
        <v>521</v>
      </c>
      <c r="N1274" s="74">
        <f t="shared" si="6"/>
        <v>6800000</v>
      </c>
      <c r="O1274" s="60">
        <f t="shared" si="2"/>
        <v>46245</v>
      </c>
      <c r="P1274" s="65" t="str">
        <f>VLOOKUP(I1274,DATABASE!C:Q,11,FALSE)</f>
        <v>Tire</v>
      </c>
      <c r="Q1274" s="65" t="str">
        <f>VLOOKUP(I1274,DATABASE!C:Q,4,FALSE)</f>
        <v>Velg</v>
      </c>
      <c r="R1274" s="101"/>
      <c r="U1274" s="101"/>
    </row>
    <row r="1275" ht="22.5" customHeight="1">
      <c r="A1275" s="49"/>
      <c r="C1275" s="192">
        <v>46186.0</v>
      </c>
      <c r="D1275" s="192">
        <v>46185.0</v>
      </c>
      <c r="E1275" s="69" t="s">
        <v>361</v>
      </c>
      <c r="F1275" s="243" t="s">
        <v>343</v>
      </c>
      <c r="G1275" s="69" t="s">
        <v>2319</v>
      </c>
      <c r="H1275" s="69" t="s">
        <v>7</v>
      </c>
      <c r="I1275" s="140" t="s">
        <v>2605</v>
      </c>
      <c r="J1275" s="446">
        <v>6.0</v>
      </c>
      <c r="K1275" s="140">
        <v>650000.0</v>
      </c>
      <c r="L1275" s="140">
        <v>625000.0</v>
      </c>
      <c r="M1275" s="140" t="s">
        <v>521</v>
      </c>
      <c r="N1275" s="74">
        <f t="shared" si="6"/>
        <v>3750000</v>
      </c>
      <c r="O1275" s="60">
        <f t="shared" si="2"/>
        <v>46245</v>
      </c>
      <c r="P1275" s="65" t="str">
        <f>VLOOKUP(I1275,DATABASE!C:Q,11,FALSE)</f>
        <v>Tire</v>
      </c>
      <c r="Q1275" s="65" t="str">
        <f>VLOOKUP(I1275,DATABASE!C:Q,4,FALSE)</f>
        <v>Velg</v>
      </c>
      <c r="R1275" s="101"/>
      <c r="U1275" s="101"/>
    </row>
    <row r="1276" ht="22.5" customHeight="1">
      <c r="A1276" s="49"/>
      <c r="C1276" s="192">
        <v>46186.0</v>
      </c>
      <c r="D1276" s="192">
        <v>46186.0</v>
      </c>
      <c r="E1276" s="69" t="s">
        <v>97</v>
      </c>
      <c r="F1276" s="243" t="s">
        <v>343</v>
      </c>
      <c r="G1276" s="69" t="s">
        <v>2512</v>
      </c>
      <c r="H1276" s="69" t="s">
        <v>87</v>
      </c>
      <c r="I1276" s="140" t="s">
        <v>566</v>
      </c>
      <c r="J1276" s="446">
        <v>10.0</v>
      </c>
      <c r="K1276" s="140">
        <v>1545000.0</v>
      </c>
      <c r="L1276" s="140">
        <v>1545000.0</v>
      </c>
      <c r="M1276" s="140" t="s">
        <v>755</v>
      </c>
      <c r="N1276" s="74">
        <f t="shared" si="6"/>
        <v>15450000</v>
      </c>
      <c r="O1276" s="60">
        <f t="shared" si="2"/>
        <v>46216</v>
      </c>
      <c r="P1276" s="65" t="str">
        <f>VLOOKUP(I1276,DATABASE!C:Q,11,FALSE)</f>
        <v>Tire</v>
      </c>
      <c r="Q1276" s="65" t="str">
        <f>VLOOKUP(I1276,DATABASE!C:Q,4,FALSE)</f>
        <v>Bridgestone</v>
      </c>
      <c r="R1276" s="101"/>
      <c r="U1276" s="101"/>
    </row>
    <row r="1277" ht="22.5" customHeight="1">
      <c r="A1277" s="49"/>
      <c r="C1277" s="192">
        <v>46186.0</v>
      </c>
      <c r="D1277" s="192">
        <v>46186.0</v>
      </c>
      <c r="E1277" s="69" t="s">
        <v>97</v>
      </c>
      <c r="F1277" s="243" t="s">
        <v>343</v>
      </c>
      <c r="G1277" s="69" t="s">
        <v>2512</v>
      </c>
      <c r="H1277" s="69" t="s">
        <v>87</v>
      </c>
      <c r="I1277" s="140" t="s">
        <v>572</v>
      </c>
      <c r="J1277" s="446">
        <v>7.0</v>
      </c>
      <c r="K1277" s="140">
        <v>1245000.0</v>
      </c>
      <c r="L1277" s="140">
        <v>1245000.0</v>
      </c>
      <c r="M1277" s="140" t="s">
        <v>755</v>
      </c>
      <c r="N1277" s="74">
        <f t="shared" si="6"/>
        <v>8715000</v>
      </c>
      <c r="O1277" s="60">
        <f t="shared" si="2"/>
        <v>46216</v>
      </c>
      <c r="P1277" s="65" t="str">
        <f>VLOOKUP(I1277,DATABASE!C:Q,11,FALSE)</f>
        <v>Tire</v>
      </c>
      <c r="Q1277" s="65" t="str">
        <f>VLOOKUP(I1277,DATABASE!C:Q,4,FALSE)</f>
        <v>Bridgestone</v>
      </c>
      <c r="R1277" s="101"/>
      <c r="U1277" s="101"/>
    </row>
    <row r="1278" ht="22.5" customHeight="1">
      <c r="A1278" s="49"/>
      <c r="C1278" s="192">
        <v>46186.0</v>
      </c>
      <c r="D1278" s="192">
        <v>46186.0</v>
      </c>
      <c r="E1278" s="69" t="s">
        <v>97</v>
      </c>
      <c r="F1278" s="243" t="s">
        <v>343</v>
      </c>
      <c r="G1278" s="69" t="s">
        <v>2513</v>
      </c>
      <c r="H1278" s="69" t="s">
        <v>87</v>
      </c>
      <c r="I1278" s="140" t="s">
        <v>591</v>
      </c>
      <c r="J1278" s="446">
        <v>6.0</v>
      </c>
      <c r="K1278" s="140">
        <v>609844.375</v>
      </c>
      <c r="L1278" s="140">
        <v>609844.375</v>
      </c>
      <c r="M1278" s="140" t="s">
        <v>521</v>
      </c>
      <c r="N1278" s="74">
        <f t="shared" si="6"/>
        <v>3659066.25</v>
      </c>
      <c r="O1278" s="60">
        <f t="shared" si="2"/>
        <v>46246</v>
      </c>
      <c r="P1278" s="65" t="str">
        <f>VLOOKUP(I1278,DATABASE!C:Q,11,FALSE)</f>
        <v>Tire</v>
      </c>
      <c r="Q1278" s="65" t="str">
        <f>VLOOKUP(I1278,DATABASE!C:Q,4,FALSE)</f>
        <v>Bridgestone</v>
      </c>
      <c r="R1278" s="101"/>
      <c r="U1278" s="101"/>
    </row>
    <row r="1279" ht="22.5" customHeight="1">
      <c r="A1279" s="49"/>
      <c r="C1279" s="192">
        <v>46186.0</v>
      </c>
      <c r="D1279" s="192">
        <v>46186.0</v>
      </c>
      <c r="E1279" s="69" t="s">
        <v>97</v>
      </c>
      <c r="F1279" s="243" t="s">
        <v>343</v>
      </c>
      <c r="G1279" s="69" t="s">
        <v>2513</v>
      </c>
      <c r="H1279" s="69" t="s">
        <v>87</v>
      </c>
      <c r="I1279" s="140" t="s">
        <v>1133</v>
      </c>
      <c r="J1279" s="446">
        <v>5.0</v>
      </c>
      <c r="K1279" s="140">
        <v>733824.0</v>
      </c>
      <c r="L1279" s="140">
        <v>733824.0</v>
      </c>
      <c r="M1279" s="140" t="s">
        <v>521</v>
      </c>
      <c r="N1279" s="74">
        <f t="shared" si="6"/>
        <v>3669120</v>
      </c>
      <c r="O1279" s="60">
        <f t="shared" si="2"/>
        <v>46246</v>
      </c>
      <c r="P1279" s="65" t="str">
        <f>VLOOKUP(I1279,DATABASE!C:Q,11,FALSE)</f>
        <v>Tire</v>
      </c>
      <c r="Q1279" s="65" t="str">
        <f>VLOOKUP(I1279,DATABASE!C:Q,4,FALSE)</f>
        <v>Bridgestone</v>
      </c>
      <c r="R1279" s="101"/>
      <c r="U1279" s="101"/>
    </row>
    <row r="1280" ht="22.5" customHeight="1">
      <c r="A1280" s="49"/>
      <c r="C1280" s="192">
        <v>46186.0</v>
      </c>
      <c r="D1280" s="192">
        <v>46186.0</v>
      </c>
      <c r="E1280" s="69" t="s">
        <v>97</v>
      </c>
      <c r="F1280" s="243" t="s">
        <v>343</v>
      </c>
      <c r="G1280" s="69" t="s">
        <v>2513</v>
      </c>
      <c r="H1280" s="69" t="s">
        <v>87</v>
      </c>
      <c r="I1280" s="140" t="s">
        <v>947</v>
      </c>
      <c r="J1280" s="446">
        <v>4.0</v>
      </c>
      <c r="K1280" s="140">
        <v>680512.0</v>
      </c>
      <c r="L1280" s="140">
        <v>680512.0</v>
      </c>
      <c r="M1280" s="140" t="s">
        <v>521</v>
      </c>
      <c r="N1280" s="74">
        <f t="shared" si="6"/>
        <v>2722048</v>
      </c>
      <c r="O1280" s="60">
        <f t="shared" si="2"/>
        <v>46246</v>
      </c>
      <c r="P1280" s="65" t="str">
        <f>VLOOKUP(I1280,DATABASE!C:Q,11,FALSE)</f>
        <v>Tire</v>
      </c>
      <c r="Q1280" s="65" t="str">
        <f>VLOOKUP(I1280,DATABASE!C:Q,4,FALSE)</f>
        <v>Bridgestone</v>
      </c>
      <c r="R1280" s="101"/>
      <c r="U1280" s="101"/>
    </row>
    <row r="1281" ht="22.5" customHeight="1">
      <c r="A1281" s="49"/>
      <c r="C1281" s="192">
        <v>46186.0</v>
      </c>
      <c r="D1281" s="192">
        <v>46186.0</v>
      </c>
      <c r="E1281" s="69" t="s">
        <v>97</v>
      </c>
      <c r="F1281" s="243" t="s">
        <v>343</v>
      </c>
      <c r="G1281" s="69" t="s">
        <v>2513</v>
      </c>
      <c r="H1281" s="69" t="s">
        <v>87</v>
      </c>
      <c r="I1281" s="140" t="s">
        <v>957</v>
      </c>
      <c r="J1281" s="446">
        <v>4.0</v>
      </c>
      <c r="K1281" s="140">
        <v>762048.0</v>
      </c>
      <c r="L1281" s="140">
        <v>773337.5</v>
      </c>
      <c r="M1281" s="140" t="s">
        <v>521</v>
      </c>
      <c r="N1281" s="74">
        <f t="shared" si="6"/>
        <v>3093350</v>
      </c>
      <c r="O1281" s="60">
        <f t="shared" si="2"/>
        <v>46246</v>
      </c>
      <c r="P1281" s="65" t="str">
        <f>VLOOKUP(I1281,DATABASE!C:Q,11,FALSE)</f>
        <v>Tire</v>
      </c>
      <c r="Q1281" s="65" t="str">
        <f>VLOOKUP(I1281,DATABASE!C:Q,4,FALSE)</f>
        <v>Bridgestone</v>
      </c>
      <c r="R1281" s="101"/>
      <c r="U1281" s="101"/>
    </row>
    <row r="1282" ht="22.5" customHeight="1">
      <c r="A1282" s="49"/>
      <c r="C1282" s="192">
        <v>46186.0</v>
      </c>
      <c r="D1282" s="192">
        <v>46186.0</v>
      </c>
      <c r="E1282" s="69" t="s">
        <v>97</v>
      </c>
      <c r="F1282" s="243" t="s">
        <v>343</v>
      </c>
      <c r="G1282" s="69" t="s">
        <v>2513</v>
      </c>
      <c r="H1282" s="69" t="s">
        <v>87</v>
      </c>
      <c r="I1282" s="140" t="s">
        <v>1112</v>
      </c>
      <c r="J1282" s="446">
        <v>3.0</v>
      </c>
      <c r="K1282" s="140">
        <v>980542.4</v>
      </c>
      <c r="L1282" s="140">
        <v>980542.4</v>
      </c>
      <c r="M1282" s="140" t="s">
        <v>521</v>
      </c>
      <c r="N1282" s="74">
        <f t="shared" si="6"/>
        <v>2941627.2</v>
      </c>
      <c r="O1282" s="60">
        <f t="shared" si="2"/>
        <v>46246</v>
      </c>
      <c r="P1282" s="65" t="str">
        <f>VLOOKUP(I1282,DATABASE!C:Q,11,FALSE)</f>
        <v>Tire</v>
      </c>
      <c r="Q1282" s="65" t="str">
        <f>VLOOKUP(I1282,DATABASE!C:Q,4,FALSE)</f>
        <v>Bridgestone</v>
      </c>
      <c r="R1282" s="101"/>
      <c r="U1282" s="101"/>
    </row>
    <row r="1283" ht="22.5" customHeight="1">
      <c r="A1283" s="49"/>
      <c r="C1283" s="192">
        <v>46188.0</v>
      </c>
      <c r="D1283" s="192">
        <f>C1283+30</f>
        <v>46218</v>
      </c>
      <c r="E1283" s="69" t="s">
        <v>257</v>
      </c>
      <c r="F1283" s="243" t="s">
        <v>998</v>
      </c>
      <c r="G1283" s="69">
        <v>4.011843273E9</v>
      </c>
      <c r="H1283" s="69" t="s">
        <v>2314</v>
      </c>
      <c r="I1283" s="140" t="s">
        <v>305</v>
      </c>
      <c r="J1283" s="446">
        <v>10.0</v>
      </c>
      <c r="K1283" s="140">
        <v>158530.2</v>
      </c>
      <c r="L1283" s="140">
        <v>158530.2</v>
      </c>
      <c r="M1283" s="140" t="s">
        <v>755</v>
      </c>
      <c r="N1283" s="74">
        <f t="shared" si="6"/>
        <v>1585302</v>
      </c>
      <c r="O1283" s="60">
        <f t="shared" si="2"/>
        <v>46248</v>
      </c>
      <c r="P1283" s="65" t="str">
        <f>VLOOKUP(I1283,DATABASE!C:Q,11,FALSE)</f>
        <v>COMPLEMENTARY</v>
      </c>
      <c r="Q1283" s="65" t="str">
        <f>VLOOKUP(I1283,DATABASE!C:Q,4,FALSE)</f>
        <v>Lower Arm</v>
      </c>
      <c r="R1283" s="101"/>
      <c r="U1283" s="101"/>
    </row>
    <row r="1284" ht="22.5" customHeight="1">
      <c r="A1284" s="49"/>
      <c r="C1284" s="192">
        <v>46192.0</v>
      </c>
      <c r="D1284" s="192">
        <v>46191.0</v>
      </c>
      <c r="E1284" s="69" t="s">
        <v>412</v>
      </c>
      <c r="F1284" s="243" t="s">
        <v>0</v>
      </c>
      <c r="G1284" s="69" t="s">
        <v>0</v>
      </c>
      <c r="H1284" s="69" t="s">
        <v>2314</v>
      </c>
      <c r="I1284" s="140" t="s">
        <v>301</v>
      </c>
      <c r="J1284" s="446">
        <v>8.0</v>
      </c>
      <c r="K1284" s="140">
        <v>75000.0</v>
      </c>
      <c r="L1284" s="140">
        <v>46500.0</v>
      </c>
      <c r="M1284" s="140" t="s">
        <v>2190</v>
      </c>
      <c r="N1284" s="74">
        <f t="shared" si="6"/>
        <v>372000</v>
      </c>
      <c r="O1284" s="60">
        <f t="shared" si="2"/>
        <v>46205</v>
      </c>
      <c r="P1284" s="65" t="str">
        <f>VLOOKUP(I1284,DATABASE!C:Q,11,FALSE)</f>
        <v>COMPLEMENTARY</v>
      </c>
      <c r="Q1284" s="65" t="str">
        <f>VLOOKUP(I1284,DATABASE!C:Q,4,FALSE)</f>
        <v>Baut Camber</v>
      </c>
      <c r="R1284" s="101"/>
      <c r="U1284" s="101"/>
    </row>
    <row r="1285" ht="22.5" customHeight="1">
      <c r="A1285" s="49"/>
      <c r="C1285" s="192">
        <v>46192.0</v>
      </c>
      <c r="D1285" s="192">
        <v>46185.0</v>
      </c>
      <c r="E1285" s="69" t="s">
        <v>386</v>
      </c>
      <c r="F1285" s="243" t="s">
        <v>0</v>
      </c>
      <c r="G1285" s="69" t="s">
        <v>0</v>
      </c>
      <c r="H1285" s="69" t="s">
        <v>2314</v>
      </c>
      <c r="I1285" s="140" t="s">
        <v>2191</v>
      </c>
      <c r="J1285" s="446">
        <v>8.0</v>
      </c>
      <c r="K1285" s="140">
        <v>380400.0</v>
      </c>
      <c r="L1285" s="140">
        <v>422900.0</v>
      </c>
      <c r="M1285" s="140" t="s">
        <v>755</v>
      </c>
      <c r="N1285" s="74">
        <f t="shared" si="6"/>
        <v>3383200</v>
      </c>
      <c r="O1285" s="60">
        <f t="shared" si="2"/>
        <v>46215</v>
      </c>
      <c r="P1285" s="65" t="str">
        <f>VLOOKUP(I1285,DATABASE!C:Q,11,FALSE)</f>
        <v>OIL</v>
      </c>
      <c r="Q1285" s="65" t="str">
        <f>VLOOKUP(I1285,DATABASE!C:Q,4,FALSE)</f>
        <v>Shell</v>
      </c>
      <c r="R1285" s="101"/>
      <c r="U1285" s="101"/>
    </row>
    <row r="1286" ht="22.5" customHeight="1">
      <c r="A1286" s="49"/>
      <c r="C1286" s="192">
        <v>46192.0</v>
      </c>
      <c r="D1286" s="192">
        <v>46185.0</v>
      </c>
      <c r="E1286" s="69" t="s">
        <v>386</v>
      </c>
      <c r="F1286" s="243" t="s">
        <v>0</v>
      </c>
      <c r="G1286" s="69" t="s">
        <v>0</v>
      </c>
      <c r="H1286" s="69" t="s">
        <v>2314</v>
      </c>
      <c r="I1286" s="140" t="s">
        <v>263</v>
      </c>
      <c r="J1286" s="446">
        <v>8.0</v>
      </c>
      <c r="K1286" s="140">
        <v>307676.0</v>
      </c>
      <c r="L1286" s="140">
        <v>334916.0</v>
      </c>
      <c r="M1286" s="140" t="s">
        <v>755</v>
      </c>
      <c r="N1286" s="74">
        <f t="shared" si="6"/>
        <v>2679328</v>
      </c>
      <c r="O1286" s="60">
        <f t="shared" si="2"/>
        <v>46215</v>
      </c>
      <c r="P1286" s="65" t="str">
        <f>VLOOKUP(I1286,DATABASE!C:Q,11,FALSE)</f>
        <v>OIL</v>
      </c>
      <c r="Q1286" s="65" t="str">
        <f>VLOOKUP(I1286,DATABASE!C:Q,4,FALSE)</f>
        <v>Shell</v>
      </c>
      <c r="R1286" s="101"/>
      <c r="U1286" s="101"/>
    </row>
    <row r="1287" ht="22.5" customHeight="1">
      <c r="A1287" s="49"/>
      <c r="C1287" s="192">
        <v>46192.0</v>
      </c>
      <c r="D1287" s="192">
        <v>46185.0</v>
      </c>
      <c r="E1287" s="69" t="s">
        <v>386</v>
      </c>
      <c r="F1287" s="243" t="s">
        <v>0</v>
      </c>
      <c r="G1287" s="69" t="s">
        <v>0</v>
      </c>
      <c r="H1287" s="69" t="s">
        <v>2314</v>
      </c>
      <c r="I1287" s="140" t="s">
        <v>252</v>
      </c>
      <c r="J1287" s="446">
        <v>8.0</v>
      </c>
      <c r="K1287" s="140">
        <v>294418.0</v>
      </c>
      <c r="L1287" s="140">
        <v>317518.0</v>
      </c>
      <c r="M1287" s="140" t="s">
        <v>755</v>
      </c>
      <c r="N1287" s="74">
        <f t="shared" si="6"/>
        <v>2540144</v>
      </c>
      <c r="O1287" s="60">
        <f t="shared" si="2"/>
        <v>46215</v>
      </c>
      <c r="P1287" s="65" t="str">
        <f>VLOOKUP(I1287,DATABASE!C:Q,11,FALSE)</f>
        <v>OIL</v>
      </c>
      <c r="Q1287" s="65" t="str">
        <f>VLOOKUP(I1287,DATABASE!C:Q,4,FALSE)</f>
        <v>Shell</v>
      </c>
      <c r="R1287" s="101"/>
      <c r="U1287" s="101"/>
    </row>
    <row r="1288" ht="22.5" customHeight="1">
      <c r="A1288" s="49"/>
      <c r="C1288" s="192">
        <v>46195.0</v>
      </c>
      <c r="D1288" s="192">
        <v>46195.0</v>
      </c>
      <c r="E1288" s="69" t="s">
        <v>81</v>
      </c>
      <c r="F1288" s="243" t="s">
        <v>343</v>
      </c>
      <c r="G1288" s="69" t="s">
        <v>1822</v>
      </c>
      <c r="H1288" s="69" t="s">
        <v>87</v>
      </c>
      <c r="I1288" s="140" t="s">
        <v>268</v>
      </c>
      <c r="J1288" s="446">
        <v>26.0</v>
      </c>
      <c r="K1288" s="140">
        <v>634500.0</v>
      </c>
      <c r="L1288" s="140">
        <v>634500.0</v>
      </c>
      <c r="M1288" s="140" t="s">
        <v>657</v>
      </c>
      <c r="N1288" s="74">
        <f t="shared" si="6"/>
        <v>16497000</v>
      </c>
      <c r="O1288" s="60">
        <f t="shared" si="2"/>
        <v>46270</v>
      </c>
      <c r="P1288" s="65" t="str">
        <f>VLOOKUP(I1288,DATABASE!C:Q,11,FALSE)</f>
        <v>Tire</v>
      </c>
      <c r="Q1288" s="65" t="str">
        <f>VLOOKUP(I1288,DATABASE!C:Q,4,FALSE)</f>
        <v>Dunlop</v>
      </c>
      <c r="R1288" s="101"/>
      <c r="U1288" s="101"/>
    </row>
    <row r="1289" ht="22.5" customHeight="1">
      <c r="A1289" s="49"/>
      <c r="C1289" s="192">
        <v>46195.0</v>
      </c>
      <c r="D1289" s="192">
        <v>46195.0</v>
      </c>
      <c r="E1289" s="69" t="s">
        <v>81</v>
      </c>
      <c r="F1289" s="243" t="s">
        <v>343</v>
      </c>
      <c r="G1289" s="69" t="s">
        <v>1822</v>
      </c>
      <c r="H1289" s="69" t="s">
        <v>87</v>
      </c>
      <c r="I1289" s="140" t="s">
        <v>275</v>
      </c>
      <c r="J1289" s="446">
        <v>12.0</v>
      </c>
      <c r="K1289" s="140">
        <v>759500.0</v>
      </c>
      <c r="L1289" s="140">
        <v>759500.0</v>
      </c>
      <c r="M1289" s="140" t="s">
        <v>657</v>
      </c>
      <c r="N1289" s="74">
        <f t="shared" si="6"/>
        <v>9114000</v>
      </c>
      <c r="O1289" s="60">
        <f t="shared" si="2"/>
        <v>46270</v>
      </c>
      <c r="P1289" s="65" t="str">
        <f>VLOOKUP(I1289,DATABASE!C:Q,11,FALSE)</f>
        <v>Tire</v>
      </c>
      <c r="Q1289" s="65" t="str">
        <f>VLOOKUP(I1289,DATABASE!C:Q,4,FALSE)</f>
        <v>Dunlop</v>
      </c>
      <c r="R1289" s="101"/>
      <c r="U1289" s="101"/>
    </row>
    <row r="1290" ht="22.5" customHeight="1">
      <c r="A1290" s="49"/>
      <c r="C1290" s="192">
        <v>46195.0</v>
      </c>
      <c r="D1290" s="192">
        <v>46195.0</v>
      </c>
      <c r="E1290" s="69" t="s">
        <v>81</v>
      </c>
      <c r="F1290" s="243" t="s">
        <v>343</v>
      </c>
      <c r="G1290" s="69" t="s">
        <v>1822</v>
      </c>
      <c r="H1290" s="69" t="s">
        <v>87</v>
      </c>
      <c r="I1290" s="140" t="s">
        <v>932</v>
      </c>
      <c r="J1290" s="446">
        <v>12.0</v>
      </c>
      <c r="K1290" s="140">
        <v>601000.0</v>
      </c>
      <c r="L1290" s="140">
        <v>601000.0</v>
      </c>
      <c r="M1290" s="140" t="s">
        <v>657</v>
      </c>
      <c r="N1290" s="74">
        <f t="shared" si="6"/>
        <v>7212000</v>
      </c>
      <c r="O1290" s="60">
        <f t="shared" si="2"/>
        <v>46270</v>
      </c>
      <c r="P1290" s="65" t="str">
        <f>VLOOKUP(I1290,DATABASE!C:Q,11,FALSE)</f>
        <v>Tire</v>
      </c>
      <c r="Q1290" s="65" t="str">
        <f>VLOOKUP(I1290,DATABASE!C:Q,4,FALSE)</f>
        <v>Dunlop</v>
      </c>
      <c r="R1290" s="101"/>
      <c r="U1290" s="101"/>
    </row>
    <row r="1291" ht="22.5" customHeight="1">
      <c r="A1291" s="49"/>
      <c r="C1291" s="192">
        <v>46195.0</v>
      </c>
      <c r="D1291" s="192">
        <v>46195.0</v>
      </c>
      <c r="E1291" s="69" t="s">
        <v>81</v>
      </c>
      <c r="F1291" s="243" t="s">
        <v>343</v>
      </c>
      <c r="G1291" s="69" t="s">
        <v>1822</v>
      </c>
      <c r="H1291" s="69" t="s">
        <v>87</v>
      </c>
      <c r="I1291" s="140" t="s">
        <v>271</v>
      </c>
      <c r="J1291" s="446">
        <v>10.0</v>
      </c>
      <c r="K1291" s="140">
        <v>550000.0</v>
      </c>
      <c r="L1291" s="140">
        <v>550000.0</v>
      </c>
      <c r="M1291" s="140" t="s">
        <v>657</v>
      </c>
      <c r="N1291" s="74">
        <f t="shared" si="6"/>
        <v>5500000</v>
      </c>
      <c r="O1291" s="60">
        <f t="shared" si="2"/>
        <v>46270</v>
      </c>
      <c r="P1291" s="65" t="str">
        <f>VLOOKUP(I1291,DATABASE!C:Q,11,FALSE)</f>
        <v>Tire</v>
      </c>
      <c r="Q1291" s="65" t="str">
        <f>VLOOKUP(I1291,DATABASE!C:Q,4,FALSE)</f>
        <v>Dunlop</v>
      </c>
      <c r="R1291" s="101"/>
      <c r="U1291" s="101"/>
    </row>
    <row r="1292" ht="22.5" customHeight="1">
      <c r="A1292" s="49"/>
      <c r="C1292" s="192">
        <v>46195.0</v>
      </c>
      <c r="D1292" s="192">
        <v>46195.0</v>
      </c>
      <c r="E1292" s="69" t="s">
        <v>81</v>
      </c>
      <c r="F1292" s="243" t="s">
        <v>343</v>
      </c>
      <c r="G1292" s="69" t="s">
        <v>1822</v>
      </c>
      <c r="H1292" s="69" t="s">
        <v>87</v>
      </c>
      <c r="I1292" s="140" t="s">
        <v>940</v>
      </c>
      <c r="J1292" s="446">
        <v>8.0</v>
      </c>
      <c r="K1292" s="140">
        <v>716500.0</v>
      </c>
      <c r="L1292" s="140">
        <v>716500.0</v>
      </c>
      <c r="M1292" s="140" t="s">
        <v>657</v>
      </c>
      <c r="N1292" s="74">
        <f t="shared" si="6"/>
        <v>5732000</v>
      </c>
      <c r="O1292" s="60">
        <f t="shared" si="2"/>
        <v>46270</v>
      </c>
      <c r="P1292" s="65" t="str">
        <f>VLOOKUP(I1292,DATABASE!C:Q,11,FALSE)</f>
        <v>Tire</v>
      </c>
      <c r="Q1292" s="65" t="str">
        <f>VLOOKUP(I1292,DATABASE!C:Q,4,FALSE)</f>
        <v>Dunlop</v>
      </c>
      <c r="R1292" s="101"/>
      <c r="U1292" s="101"/>
    </row>
    <row r="1293" ht="22.5" customHeight="1">
      <c r="A1293" s="49"/>
      <c r="C1293" s="192">
        <v>46195.0</v>
      </c>
      <c r="D1293" s="192">
        <v>46195.0</v>
      </c>
      <c r="E1293" s="69" t="s">
        <v>81</v>
      </c>
      <c r="F1293" s="243" t="s">
        <v>343</v>
      </c>
      <c r="G1293" s="69" t="s">
        <v>1822</v>
      </c>
      <c r="H1293" s="69" t="s">
        <v>87</v>
      </c>
      <c r="I1293" s="140" t="s">
        <v>974</v>
      </c>
      <c r="J1293" s="446">
        <v>6.0</v>
      </c>
      <c r="K1293" s="140">
        <v>501500.0</v>
      </c>
      <c r="L1293" s="140">
        <v>501500.0</v>
      </c>
      <c r="M1293" s="140" t="s">
        <v>657</v>
      </c>
      <c r="N1293" s="74">
        <f t="shared" si="6"/>
        <v>3009000</v>
      </c>
      <c r="O1293" s="60">
        <f t="shared" si="2"/>
        <v>46270</v>
      </c>
      <c r="P1293" s="65" t="str">
        <f>VLOOKUP(I1293,DATABASE!C:Q,11,FALSE)</f>
        <v>Tire</v>
      </c>
      <c r="Q1293" s="65" t="str">
        <f>VLOOKUP(I1293,DATABASE!C:Q,4,FALSE)</f>
        <v>Dunlop</v>
      </c>
      <c r="R1293" s="101"/>
      <c r="U1293" s="101"/>
    </row>
    <row r="1294" ht="22.5" customHeight="1">
      <c r="A1294" s="49"/>
      <c r="C1294" s="192">
        <v>46195.0</v>
      </c>
      <c r="D1294" s="192">
        <v>46195.0</v>
      </c>
      <c r="E1294" s="69" t="s">
        <v>81</v>
      </c>
      <c r="F1294" s="243" t="s">
        <v>343</v>
      </c>
      <c r="G1294" s="69" t="s">
        <v>1822</v>
      </c>
      <c r="H1294" s="69" t="s">
        <v>87</v>
      </c>
      <c r="I1294" s="140" t="s">
        <v>695</v>
      </c>
      <c r="J1294" s="446">
        <v>6.0</v>
      </c>
      <c r="K1294" s="140">
        <v>582000.0</v>
      </c>
      <c r="L1294" s="140">
        <v>582000.0</v>
      </c>
      <c r="M1294" s="140" t="s">
        <v>657</v>
      </c>
      <c r="N1294" s="74">
        <f t="shared" si="6"/>
        <v>3492000</v>
      </c>
      <c r="O1294" s="60">
        <f t="shared" si="2"/>
        <v>46270</v>
      </c>
      <c r="P1294" s="65" t="str">
        <f>VLOOKUP(I1294,DATABASE!C:Q,11,FALSE)</f>
        <v>Tire</v>
      </c>
      <c r="Q1294" s="65" t="str">
        <f>VLOOKUP(I1294,DATABASE!C:Q,4,FALSE)</f>
        <v>Dunlop</v>
      </c>
      <c r="R1294" s="101"/>
      <c r="U1294" s="101"/>
    </row>
    <row r="1295" ht="22.5" customHeight="1">
      <c r="A1295" s="49"/>
      <c r="C1295" s="192">
        <v>46195.0</v>
      </c>
      <c r="D1295" s="192">
        <v>46195.0</v>
      </c>
      <c r="E1295" s="69" t="s">
        <v>110</v>
      </c>
      <c r="F1295" s="243" t="s">
        <v>343</v>
      </c>
      <c r="G1295" s="69">
        <v>2.6008397E7</v>
      </c>
      <c r="H1295" s="69" t="s">
        <v>7</v>
      </c>
      <c r="I1295" s="140" t="s">
        <v>2037</v>
      </c>
      <c r="J1295" s="446">
        <v>4.0</v>
      </c>
      <c r="K1295" s="140">
        <v>2475000.0</v>
      </c>
      <c r="L1295" s="140">
        <v>2450000.0</v>
      </c>
      <c r="M1295" s="140" t="s">
        <v>2190</v>
      </c>
      <c r="N1295" s="74">
        <f t="shared" si="6"/>
        <v>9800000</v>
      </c>
      <c r="O1295" s="60">
        <f t="shared" si="2"/>
        <v>46209</v>
      </c>
      <c r="P1295" s="65" t="str">
        <f>VLOOKUP(I1295,DATABASE!C:Q,11,FALSE)</f>
        <v>Tire</v>
      </c>
      <c r="Q1295" s="65" t="str">
        <f>VLOOKUP(I1295,DATABASE!C:Q,4,FALSE)</f>
        <v>GT</v>
      </c>
      <c r="R1295" s="101"/>
      <c r="U1295" s="101"/>
    </row>
    <row r="1296" ht="22.5" customHeight="1">
      <c r="A1296" s="49"/>
      <c r="C1296" s="192">
        <v>46198.0</v>
      </c>
      <c r="D1296" s="192">
        <v>46198.0</v>
      </c>
      <c r="E1296" s="69" t="s">
        <v>110</v>
      </c>
      <c r="F1296" s="243" t="s">
        <v>343</v>
      </c>
      <c r="G1296" s="69">
        <v>2.6008569E7</v>
      </c>
      <c r="H1296" s="69" t="s">
        <v>7</v>
      </c>
      <c r="I1296" s="140" t="s">
        <v>1871</v>
      </c>
      <c r="J1296" s="446">
        <v>3.0</v>
      </c>
      <c r="K1296" s="140">
        <v>3190000.0</v>
      </c>
      <c r="L1296" s="140">
        <v>3160000.0</v>
      </c>
      <c r="M1296" s="140" t="s">
        <v>2190</v>
      </c>
      <c r="N1296" s="74">
        <f t="shared" si="6"/>
        <v>9480000</v>
      </c>
      <c r="O1296" s="60">
        <f t="shared" si="2"/>
        <v>46212</v>
      </c>
      <c r="P1296" s="65" t="str">
        <f>VLOOKUP(I1296,DATABASE!C:Q,11,FALSE)</f>
        <v>Tire</v>
      </c>
      <c r="Q1296" s="65" t="str">
        <f>VLOOKUP(I1296,DATABASE!C:Q,4,FALSE)</f>
        <v>GT</v>
      </c>
      <c r="R1296" s="101"/>
      <c r="U1296" s="101"/>
    </row>
    <row r="1297" ht="22.5" customHeight="1">
      <c r="A1297" s="49"/>
      <c r="C1297" s="192">
        <v>46198.0</v>
      </c>
      <c r="D1297" s="192">
        <v>46198.0</v>
      </c>
      <c r="E1297" s="69" t="s">
        <v>110</v>
      </c>
      <c r="F1297" s="243" t="s">
        <v>343</v>
      </c>
      <c r="G1297" s="69">
        <v>2.6008569E7</v>
      </c>
      <c r="H1297" s="69" t="s">
        <v>7</v>
      </c>
      <c r="I1297" s="140" t="s">
        <v>492</v>
      </c>
      <c r="J1297" s="446">
        <v>2.0</v>
      </c>
      <c r="K1297" s="140">
        <v>405000.0</v>
      </c>
      <c r="L1297" s="140">
        <v>405000.0</v>
      </c>
      <c r="M1297" s="140" t="s">
        <v>2190</v>
      </c>
      <c r="N1297" s="74">
        <f t="shared" si="6"/>
        <v>810000</v>
      </c>
      <c r="O1297" s="60">
        <f t="shared" si="2"/>
        <v>46212</v>
      </c>
      <c r="P1297" s="65" t="str">
        <f>VLOOKUP(I1297,DATABASE!C:Q,11,FALSE)</f>
        <v>Tire</v>
      </c>
      <c r="Q1297" s="65" t="str">
        <f>VLOOKUP(I1297,DATABASE!C:Q,4,FALSE)</f>
        <v>BD</v>
      </c>
      <c r="R1297" s="101"/>
      <c r="U1297" s="101"/>
    </row>
    <row r="1298" ht="22.5" customHeight="1">
      <c r="A1298" s="49"/>
      <c r="C1298" s="192">
        <v>46198.0</v>
      </c>
      <c r="D1298" s="192">
        <v>46198.0</v>
      </c>
      <c r="E1298" s="69" t="s">
        <v>110</v>
      </c>
      <c r="F1298" s="243" t="s">
        <v>343</v>
      </c>
      <c r="G1298" s="69">
        <v>2.6008569E7</v>
      </c>
      <c r="H1298" s="69" t="s">
        <v>7</v>
      </c>
      <c r="I1298" s="140" t="s">
        <v>1673</v>
      </c>
      <c r="J1298" s="446">
        <v>2.0</v>
      </c>
      <c r="K1298" s="140">
        <v>100500.0</v>
      </c>
      <c r="L1298" s="140">
        <v>100500.0</v>
      </c>
      <c r="M1298" s="140" t="s">
        <v>2190</v>
      </c>
      <c r="N1298" s="74">
        <f t="shared" si="6"/>
        <v>201000</v>
      </c>
      <c r="O1298" s="60">
        <f t="shared" si="2"/>
        <v>46212</v>
      </c>
      <c r="P1298" s="65" t="str">
        <f>VLOOKUP(I1298,DATABASE!C:Q,11,FALSE)</f>
        <v>Tire</v>
      </c>
      <c r="Q1298" s="65" t="str">
        <f>VLOOKUP(I1298,DATABASE!C:Q,4,FALSE)</f>
        <v>Flap</v>
      </c>
      <c r="R1298" s="101"/>
      <c r="U1298" s="101"/>
    </row>
    <row r="1299" ht="22.5" customHeight="1">
      <c r="A1299" s="49"/>
      <c r="C1299" s="192">
        <v>46198.0</v>
      </c>
      <c r="D1299" s="192">
        <v>46198.0</v>
      </c>
      <c r="E1299" s="69" t="s">
        <v>81</v>
      </c>
      <c r="F1299" s="243" t="s">
        <v>343</v>
      </c>
      <c r="G1299" s="69" t="s">
        <v>1824</v>
      </c>
      <c r="H1299" s="69" t="s">
        <v>87</v>
      </c>
      <c r="I1299" s="140" t="s">
        <v>932</v>
      </c>
      <c r="J1299" s="446">
        <v>10.0</v>
      </c>
      <c r="K1299" s="140">
        <v>601000.0</v>
      </c>
      <c r="L1299" s="140">
        <v>601000.0</v>
      </c>
      <c r="M1299" s="140" t="s">
        <v>657</v>
      </c>
      <c r="N1299" s="74">
        <f t="shared" si="6"/>
        <v>6010000</v>
      </c>
      <c r="O1299" s="60">
        <f t="shared" si="2"/>
        <v>46273</v>
      </c>
      <c r="P1299" s="65" t="str">
        <f>VLOOKUP(I1299,DATABASE!C:Q,11,FALSE)</f>
        <v>Tire</v>
      </c>
      <c r="Q1299" s="65" t="str">
        <f>VLOOKUP(I1299,DATABASE!C:Q,4,FALSE)</f>
        <v>Dunlop</v>
      </c>
      <c r="R1299" s="101"/>
      <c r="U1299" s="101"/>
    </row>
    <row r="1300" ht="22.5" customHeight="1">
      <c r="A1300" s="49"/>
      <c r="C1300" s="192">
        <v>46199.0</v>
      </c>
      <c r="D1300" s="192">
        <v>46199.0</v>
      </c>
      <c r="E1300" s="69" t="s">
        <v>412</v>
      </c>
      <c r="F1300" s="243" t="s">
        <v>0</v>
      </c>
      <c r="G1300" s="69" t="s">
        <v>0</v>
      </c>
      <c r="H1300" s="69" t="s">
        <v>2314</v>
      </c>
      <c r="I1300" s="140" t="s">
        <v>301</v>
      </c>
      <c r="J1300" s="446">
        <v>10.0</v>
      </c>
      <c r="K1300" s="140">
        <v>75000.0</v>
      </c>
      <c r="L1300" s="140">
        <v>48500.0</v>
      </c>
      <c r="M1300" s="140" t="s">
        <v>2190</v>
      </c>
      <c r="N1300" s="74">
        <f t="shared" si="6"/>
        <v>485000</v>
      </c>
      <c r="O1300" s="60">
        <f t="shared" si="2"/>
        <v>46213</v>
      </c>
      <c r="P1300" s="65" t="str">
        <f>VLOOKUP(I1300,DATABASE!C:Q,11,FALSE)</f>
        <v>COMPLEMENTARY</v>
      </c>
      <c r="Q1300" s="65" t="str">
        <f>VLOOKUP(I1300,DATABASE!C:Q,4,FALSE)</f>
        <v>Baut Camber</v>
      </c>
      <c r="R1300" s="101"/>
      <c r="U1300" s="101"/>
    </row>
    <row r="1301" ht="22.5" customHeight="1">
      <c r="A1301" s="49"/>
      <c r="C1301" s="192">
        <v>46199.0</v>
      </c>
      <c r="D1301" s="192">
        <v>46198.0</v>
      </c>
      <c r="E1301" s="69" t="s">
        <v>81</v>
      </c>
      <c r="F1301" s="243" t="s">
        <v>343</v>
      </c>
      <c r="G1301" s="69" t="s">
        <v>1828</v>
      </c>
      <c r="H1301" s="69" t="s">
        <v>87</v>
      </c>
      <c r="I1301" s="140" t="s">
        <v>268</v>
      </c>
      <c r="J1301" s="446">
        <v>20.0</v>
      </c>
      <c r="K1301" s="140">
        <v>634500.0</v>
      </c>
      <c r="L1301" s="140">
        <v>634500.0</v>
      </c>
      <c r="M1301" s="140" t="s">
        <v>657</v>
      </c>
      <c r="N1301" s="74">
        <f t="shared" si="6"/>
        <v>12690000</v>
      </c>
      <c r="O1301" s="60">
        <f t="shared" si="2"/>
        <v>46273</v>
      </c>
      <c r="P1301" s="65" t="str">
        <f>VLOOKUP(I1301,DATABASE!C:Q,11,FALSE)</f>
        <v>Tire</v>
      </c>
      <c r="Q1301" s="65" t="str">
        <f>VLOOKUP(I1301,DATABASE!C:Q,4,FALSE)</f>
        <v>Dunlop</v>
      </c>
      <c r="R1301" s="101"/>
      <c r="U1301" s="101"/>
    </row>
    <row r="1302" ht="22.5" customHeight="1">
      <c r="A1302" s="49"/>
      <c r="C1302" s="192">
        <v>46199.0</v>
      </c>
      <c r="D1302" s="192">
        <v>46198.0</v>
      </c>
      <c r="E1302" s="69" t="s">
        <v>81</v>
      </c>
      <c r="F1302" s="243" t="s">
        <v>343</v>
      </c>
      <c r="G1302" s="69" t="s">
        <v>1828</v>
      </c>
      <c r="H1302" s="69" t="s">
        <v>87</v>
      </c>
      <c r="I1302" s="140" t="s">
        <v>275</v>
      </c>
      <c r="J1302" s="446">
        <v>15.0</v>
      </c>
      <c r="K1302" s="140">
        <v>759500.0</v>
      </c>
      <c r="L1302" s="140">
        <v>759500.0</v>
      </c>
      <c r="M1302" s="140" t="s">
        <v>657</v>
      </c>
      <c r="N1302" s="74">
        <f t="shared" si="6"/>
        <v>11392500</v>
      </c>
      <c r="O1302" s="60">
        <f t="shared" si="2"/>
        <v>46273</v>
      </c>
      <c r="P1302" s="65" t="str">
        <f>VLOOKUP(I1302,DATABASE!C:Q,11,FALSE)</f>
        <v>Tire</v>
      </c>
      <c r="Q1302" s="65" t="str">
        <f>VLOOKUP(I1302,DATABASE!C:Q,4,FALSE)</f>
        <v>Dunlop</v>
      </c>
      <c r="R1302" s="101"/>
      <c r="U1302" s="101"/>
    </row>
    <row r="1303" ht="22.5" customHeight="1">
      <c r="A1303" s="49"/>
      <c r="C1303" s="192">
        <v>46199.0</v>
      </c>
      <c r="D1303" s="192">
        <v>46198.0</v>
      </c>
      <c r="E1303" s="69" t="s">
        <v>81</v>
      </c>
      <c r="F1303" s="243" t="s">
        <v>343</v>
      </c>
      <c r="G1303" s="69" t="s">
        <v>1828</v>
      </c>
      <c r="H1303" s="69" t="s">
        <v>87</v>
      </c>
      <c r="I1303" s="140" t="s">
        <v>955</v>
      </c>
      <c r="J1303" s="446">
        <v>6.0</v>
      </c>
      <c r="K1303" s="140">
        <v>688000.0</v>
      </c>
      <c r="L1303" s="140">
        <v>688000.0</v>
      </c>
      <c r="M1303" s="140" t="s">
        <v>657</v>
      </c>
      <c r="N1303" s="74">
        <f t="shared" si="6"/>
        <v>4128000</v>
      </c>
      <c r="O1303" s="60">
        <f t="shared" si="2"/>
        <v>46273</v>
      </c>
      <c r="P1303" s="65" t="str">
        <f>VLOOKUP(I1303,DATABASE!C:Q,11,FALSE)</f>
        <v>Tire</v>
      </c>
      <c r="Q1303" s="65" t="str">
        <f>VLOOKUP(I1303,DATABASE!C:Q,4,FALSE)</f>
        <v>Dunlop</v>
      </c>
      <c r="R1303" s="101"/>
      <c r="U1303" s="101"/>
    </row>
    <row r="1304" ht="22.5" customHeight="1">
      <c r="A1304" s="49"/>
      <c r="C1304" s="192">
        <v>46199.0</v>
      </c>
      <c r="D1304" s="192">
        <v>46198.0</v>
      </c>
      <c r="E1304" s="69" t="s">
        <v>81</v>
      </c>
      <c r="F1304" s="243" t="s">
        <v>343</v>
      </c>
      <c r="G1304" s="69" t="s">
        <v>1828</v>
      </c>
      <c r="H1304" s="69" t="s">
        <v>87</v>
      </c>
      <c r="I1304" s="140" t="s">
        <v>282</v>
      </c>
      <c r="J1304" s="446">
        <v>3.0</v>
      </c>
      <c r="K1304" s="140">
        <v>779500.0</v>
      </c>
      <c r="L1304" s="140">
        <v>779500.0</v>
      </c>
      <c r="M1304" s="140" t="s">
        <v>657</v>
      </c>
      <c r="N1304" s="74">
        <f t="shared" si="6"/>
        <v>2338500</v>
      </c>
      <c r="O1304" s="60">
        <f t="shared" si="2"/>
        <v>46273</v>
      </c>
      <c r="P1304" s="65" t="str">
        <f>VLOOKUP(I1304,DATABASE!C:Q,11,FALSE)</f>
        <v>Tire</v>
      </c>
      <c r="Q1304" s="65" t="str">
        <f>VLOOKUP(I1304,DATABASE!C:Q,4,FALSE)</f>
        <v>Dunlop</v>
      </c>
      <c r="R1304" s="101"/>
      <c r="U1304" s="101"/>
    </row>
    <row r="1305" ht="22.5" customHeight="1">
      <c r="A1305" s="49"/>
      <c r="C1305" s="192">
        <v>46199.0</v>
      </c>
      <c r="D1305" s="192">
        <v>46198.0</v>
      </c>
      <c r="E1305" s="69" t="s">
        <v>81</v>
      </c>
      <c r="F1305" s="243" t="s">
        <v>343</v>
      </c>
      <c r="G1305" s="69" t="s">
        <v>1828</v>
      </c>
      <c r="H1305" s="69" t="s">
        <v>87</v>
      </c>
      <c r="I1305" s="140" t="s">
        <v>968</v>
      </c>
      <c r="J1305" s="446">
        <v>3.0</v>
      </c>
      <c r="K1305" s="140">
        <v>582500.0</v>
      </c>
      <c r="L1305" s="140">
        <v>582500.0</v>
      </c>
      <c r="M1305" s="140" t="s">
        <v>657</v>
      </c>
      <c r="N1305" s="74">
        <f t="shared" si="6"/>
        <v>1747500</v>
      </c>
      <c r="O1305" s="60">
        <f t="shared" si="2"/>
        <v>46273</v>
      </c>
      <c r="P1305" s="65" t="str">
        <f>VLOOKUP(I1305,DATABASE!C:Q,11,FALSE)</f>
        <v>Tire</v>
      </c>
      <c r="Q1305" s="65" t="str">
        <f>VLOOKUP(I1305,DATABASE!C:Q,4,FALSE)</f>
        <v>Dunlop</v>
      </c>
      <c r="R1305" s="101"/>
      <c r="U1305" s="101"/>
    </row>
    <row r="1306" ht="22.5" customHeight="1">
      <c r="A1306" s="49"/>
      <c r="C1306" s="192">
        <v>46199.0</v>
      </c>
      <c r="D1306" s="192">
        <v>46198.0</v>
      </c>
      <c r="E1306" s="69" t="s">
        <v>81</v>
      </c>
      <c r="F1306" s="243" t="s">
        <v>343</v>
      </c>
      <c r="G1306" s="69" t="s">
        <v>1828</v>
      </c>
      <c r="H1306" s="69" t="s">
        <v>87</v>
      </c>
      <c r="I1306" s="140" t="s">
        <v>932</v>
      </c>
      <c r="J1306" s="446">
        <v>8.0</v>
      </c>
      <c r="K1306" s="140">
        <v>601000.0</v>
      </c>
      <c r="L1306" s="140">
        <v>601000.0</v>
      </c>
      <c r="M1306" s="140" t="s">
        <v>657</v>
      </c>
      <c r="N1306" s="74">
        <f t="shared" si="6"/>
        <v>4808000</v>
      </c>
      <c r="O1306" s="60">
        <f t="shared" si="2"/>
        <v>46273</v>
      </c>
      <c r="P1306" s="65" t="str">
        <f>VLOOKUP(I1306,DATABASE!C:Q,11,FALSE)</f>
        <v>Tire</v>
      </c>
      <c r="Q1306" s="65" t="str">
        <f>VLOOKUP(I1306,DATABASE!C:Q,4,FALSE)</f>
        <v>Dunlop</v>
      </c>
      <c r="R1306" s="101"/>
      <c r="U1306" s="101"/>
    </row>
    <row r="1307" ht="22.5" customHeight="1">
      <c r="A1307" s="49"/>
      <c r="C1307" s="192">
        <v>46204.0</v>
      </c>
      <c r="D1307" s="192">
        <v>46203.0</v>
      </c>
      <c r="E1307" s="69" t="s">
        <v>81</v>
      </c>
      <c r="F1307" s="243" t="s">
        <v>343</v>
      </c>
      <c r="G1307" s="69" t="s">
        <v>1832</v>
      </c>
      <c r="H1307" s="69" t="s">
        <v>87</v>
      </c>
      <c r="I1307" s="140" t="s">
        <v>268</v>
      </c>
      <c r="J1307" s="446">
        <v>30.0</v>
      </c>
      <c r="K1307" s="140">
        <v>634500.0</v>
      </c>
      <c r="L1307" s="140">
        <v>634500.0</v>
      </c>
      <c r="M1307" s="140" t="s">
        <v>657</v>
      </c>
      <c r="N1307" s="74">
        <f t="shared" si="6"/>
        <v>19035000</v>
      </c>
      <c r="O1307" s="60">
        <f t="shared" si="2"/>
        <v>46278</v>
      </c>
      <c r="P1307" s="65" t="str">
        <f>VLOOKUP(I1307,DATABASE!C:Q,11,FALSE)</f>
        <v>Tire</v>
      </c>
      <c r="Q1307" s="65" t="str">
        <f>VLOOKUP(I1307,DATABASE!C:Q,4,FALSE)</f>
        <v>Dunlop</v>
      </c>
      <c r="R1307" s="101"/>
      <c r="U1307" s="101"/>
    </row>
    <row r="1308" ht="22.5" customHeight="1">
      <c r="A1308" s="49"/>
      <c r="C1308" s="192">
        <v>46204.0</v>
      </c>
      <c r="D1308" s="192">
        <v>46203.0</v>
      </c>
      <c r="E1308" s="69" t="s">
        <v>81</v>
      </c>
      <c r="F1308" s="243" t="s">
        <v>343</v>
      </c>
      <c r="G1308" s="69" t="s">
        <v>1832</v>
      </c>
      <c r="H1308" s="69" t="s">
        <v>87</v>
      </c>
      <c r="I1308" s="140" t="s">
        <v>275</v>
      </c>
      <c r="J1308" s="446">
        <v>25.0</v>
      </c>
      <c r="K1308" s="140">
        <v>759500.0</v>
      </c>
      <c r="L1308" s="140">
        <v>759500.0</v>
      </c>
      <c r="M1308" s="140" t="s">
        <v>657</v>
      </c>
      <c r="N1308" s="74">
        <f t="shared" si="6"/>
        <v>18987500</v>
      </c>
      <c r="O1308" s="60">
        <f t="shared" si="2"/>
        <v>46278</v>
      </c>
      <c r="P1308" s="65" t="str">
        <f>VLOOKUP(I1308,DATABASE!C:Q,11,FALSE)</f>
        <v>Tire</v>
      </c>
      <c r="Q1308" s="65" t="str">
        <f>VLOOKUP(I1308,DATABASE!C:Q,4,FALSE)</f>
        <v>Dunlop</v>
      </c>
      <c r="R1308" s="101"/>
      <c r="U1308" s="101"/>
    </row>
    <row r="1309" ht="22.5" customHeight="1">
      <c r="A1309" s="49"/>
      <c r="C1309" s="192">
        <v>46204.0</v>
      </c>
      <c r="D1309" s="192">
        <v>46203.0</v>
      </c>
      <c r="E1309" s="69" t="s">
        <v>81</v>
      </c>
      <c r="F1309" s="243" t="s">
        <v>343</v>
      </c>
      <c r="G1309" s="69" t="s">
        <v>1832</v>
      </c>
      <c r="H1309" s="69" t="s">
        <v>87</v>
      </c>
      <c r="I1309" s="140" t="s">
        <v>932</v>
      </c>
      <c r="J1309" s="446">
        <v>10.0</v>
      </c>
      <c r="K1309" s="140">
        <v>601000.0</v>
      </c>
      <c r="L1309" s="140">
        <v>601000.0</v>
      </c>
      <c r="M1309" s="140" t="s">
        <v>657</v>
      </c>
      <c r="N1309" s="74">
        <f t="shared" si="6"/>
        <v>6010000</v>
      </c>
      <c r="O1309" s="60">
        <f t="shared" si="2"/>
        <v>46278</v>
      </c>
      <c r="P1309" s="65" t="str">
        <f>VLOOKUP(I1309,DATABASE!C:Q,11,FALSE)</f>
        <v>Tire</v>
      </c>
      <c r="Q1309" s="65" t="str">
        <f>VLOOKUP(I1309,DATABASE!C:Q,4,FALSE)</f>
        <v>Dunlop</v>
      </c>
      <c r="R1309" s="101"/>
      <c r="U1309" s="101"/>
    </row>
    <row r="1310" ht="22.5" customHeight="1">
      <c r="A1310" s="49"/>
      <c r="C1310" s="192">
        <v>46204.0</v>
      </c>
      <c r="D1310" s="192">
        <v>46203.0</v>
      </c>
      <c r="E1310" s="69" t="s">
        <v>81</v>
      </c>
      <c r="F1310" s="243" t="s">
        <v>343</v>
      </c>
      <c r="G1310" s="69" t="s">
        <v>1832</v>
      </c>
      <c r="H1310" s="69" t="s">
        <v>87</v>
      </c>
      <c r="I1310" s="140" t="s">
        <v>940</v>
      </c>
      <c r="J1310" s="446">
        <v>5.0</v>
      </c>
      <c r="K1310" s="140">
        <v>716500.0</v>
      </c>
      <c r="L1310" s="140">
        <v>716500.0</v>
      </c>
      <c r="M1310" s="140" t="s">
        <v>657</v>
      </c>
      <c r="N1310" s="74">
        <f t="shared" si="6"/>
        <v>3582500</v>
      </c>
      <c r="O1310" s="60">
        <f t="shared" si="2"/>
        <v>46278</v>
      </c>
      <c r="P1310" s="65" t="str">
        <f>VLOOKUP(I1310,DATABASE!C:Q,11,FALSE)</f>
        <v>Tire</v>
      </c>
      <c r="Q1310" s="65" t="str">
        <f>VLOOKUP(I1310,DATABASE!C:Q,4,FALSE)</f>
        <v>Dunlop</v>
      </c>
      <c r="R1310" s="101"/>
      <c r="U1310" s="101"/>
    </row>
    <row r="1311" ht="22.5" customHeight="1">
      <c r="A1311" s="49"/>
      <c r="C1311" s="192">
        <v>46204.0</v>
      </c>
      <c r="D1311" s="192">
        <v>46203.0</v>
      </c>
      <c r="E1311" s="69" t="s">
        <v>81</v>
      </c>
      <c r="F1311" s="243" t="s">
        <v>343</v>
      </c>
      <c r="G1311" s="69" t="s">
        <v>1832</v>
      </c>
      <c r="H1311" s="69" t="s">
        <v>87</v>
      </c>
      <c r="I1311" s="140" t="s">
        <v>968</v>
      </c>
      <c r="J1311" s="446">
        <v>5.0</v>
      </c>
      <c r="K1311" s="140">
        <v>582500.0</v>
      </c>
      <c r="L1311" s="140">
        <v>582500.0</v>
      </c>
      <c r="M1311" s="140" t="s">
        <v>657</v>
      </c>
      <c r="N1311" s="74">
        <f t="shared" si="6"/>
        <v>2912500</v>
      </c>
      <c r="O1311" s="60">
        <f t="shared" si="2"/>
        <v>46278</v>
      </c>
      <c r="P1311" s="65" t="str">
        <f>VLOOKUP(I1311,DATABASE!C:Q,11,FALSE)</f>
        <v>Tire</v>
      </c>
      <c r="Q1311" s="65" t="str">
        <f>VLOOKUP(I1311,DATABASE!C:Q,4,FALSE)</f>
        <v>Dunlop</v>
      </c>
      <c r="R1311" s="101"/>
      <c r="U1311" s="101"/>
    </row>
    <row r="1312" ht="22.5" customHeight="1">
      <c r="A1312" s="49"/>
      <c r="C1312" s="192">
        <v>46204.0</v>
      </c>
      <c r="D1312" s="192">
        <v>46203.0</v>
      </c>
      <c r="E1312" s="69" t="s">
        <v>81</v>
      </c>
      <c r="F1312" s="243" t="s">
        <v>343</v>
      </c>
      <c r="G1312" s="69" t="s">
        <v>1832</v>
      </c>
      <c r="H1312" s="69" t="s">
        <v>87</v>
      </c>
      <c r="I1312" s="140" t="s">
        <v>695</v>
      </c>
      <c r="J1312" s="446">
        <v>3.0</v>
      </c>
      <c r="K1312" s="140">
        <v>582000.0</v>
      </c>
      <c r="L1312" s="140">
        <v>582000.0</v>
      </c>
      <c r="M1312" s="140" t="s">
        <v>657</v>
      </c>
      <c r="N1312" s="74">
        <f t="shared" si="6"/>
        <v>1746000</v>
      </c>
      <c r="O1312" s="60">
        <f t="shared" si="2"/>
        <v>46278</v>
      </c>
      <c r="P1312" s="65" t="str">
        <f>VLOOKUP(I1312,DATABASE!C:Q,11,FALSE)</f>
        <v>Tire</v>
      </c>
      <c r="Q1312" s="65" t="str">
        <f>VLOOKUP(I1312,DATABASE!C:Q,4,FALSE)</f>
        <v>Dunlop</v>
      </c>
      <c r="R1312" s="101"/>
      <c r="U1312" s="101"/>
    </row>
    <row r="1313" ht="22.5" customHeight="1">
      <c r="A1313" s="49"/>
      <c r="C1313" s="192">
        <v>46204.0</v>
      </c>
      <c r="D1313" s="192">
        <v>46203.0</v>
      </c>
      <c r="E1313" s="69" t="s">
        <v>81</v>
      </c>
      <c r="F1313" s="243" t="s">
        <v>343</v>
      </c>
      <c r="G1313" s="69" t="s">
        <v>1832</v>
      </c>
      <c r="H1313" s="69" t="s">
        <v>87</v>
      </c>
      <c r="I1313" s="140" t="s">
        <v>974</v>
      </c>
      <c r="J1313" s="446">
        <v>3.0</v>
      </c>
      <c r="K1313" s="140">
        <v>501500.0</v>
      </c>
      <c r="L1313" s="140">
        <v>501500.0</v>
      </c>
      <c r="M1313" s="140" t="s">
        <v>657</v>
      </c>
      <c r="N1313" s="74">
        <f t="shared" si="6"/>
        <v>1504500</v>
      </c>
      <c r="O1313" s="60">
        <f t="shared" si="2"/>
        <v>46278</v>
      </c>
      <c r="P1313" s="65" t="str">
        <f>VLOOKUP(I1313,DATABASE!C:Q,11,FALSE)</f>
        <v>Tire</v>
      </c>
      <c r="Q1313" s="65" t="str">
        <f>VLOOKUP(I1313,DATABASE!C:Q,4,FALSE)</f>
        <v>Dunlop</v>
      </c>
      <c r="R1313" s="101"/>
      <c r="U1313" s="101"/>
    </row>
    <row r="1314" ht="22.5" customHeight="1">
      <c r="A1314" s="49"/>
      <c r="C1314" s="192">
        <v>46204.0</v>
      </c>
      <c r="D1314" s="192">
        <v>46203.0</v>
      </c>
      <c r="E1314" s="69" t="s">
        <v>81</v>
      </c>
      <c r="F1314" s="243" t="s">
        <v>343</v>
      </c>
      <c r="G1314" s="69" t="s">
        <v>1832</v>
      </c>
      <c r="H1314" s="69" t="s">
        <v>87</v>
      </c>
      <c r="I1314" s="140" t="s">
        <v>1301</v>
      </c>
      <c r="J1314" s="446">
        <v>2.0</v>
      </c>
      <c r="K1314" s="140">
        <v>1194000.0</v>
      </c>
      <c r="L1314" s="140">
        <v>1194000.0</v>
      </c>
      <c r="M1314" s="140" t="s">
        <v>657</v>
      </c>
      <c r="N1314" s="74">
        <f t="shared" si="6"/>
        <v>2388000</v>
      </c>
      <c r="O1314" s="60">
        <f t="shared" si="2"/>
        <v>46278</v>
      </c>
      <c r="P1314" s="65" t="str">
        <f>VLOOKUP(I1314,DATABASE!C:Q,11,FALSE)</f>
        <v>Tire</v>
      </c>
      <c r="Q1314" s="65" t="str">
        <f>VLOOKUP(I1314,DATABASE!C:Q,4,FALSE)</f>
        <v>Dunlop</v>
      </c>
      <c r="R1314" s="101"/>
      <c r="U1314" s="101"/>
    </row>
    <row r="1315" ht="22.5" customHeight="1">
      <c r="A1315" s="49"/>
      <c r="C1315" s="192">
        <v>46204.0</v>
      </c>
      <c r="D1315" s="192">
        <v>46203.0</v>
      </c>
      <c r="E1315" s="69" t="s">
        <v>386</v>
      </c>
      <c r="F1315" s="243" t="s">
        <v>998</v>
      </c>
      <c r="G1315" s="69" t="s">
        <v>2148</v>
      </c>
      <c r="H1315" s="69" t="s">
        <v>2314</v>
      </c>
      <c r="I1315" s="140" t="s">
        <v>2195</v>
      </c>
      <c r="J1315" s="446">
        <v>6.0</v>
      </c>
      <c r="K1315" s="140">
        <v>329877.0</v>
      </c>
      <c r="L1315" s="140">
        <v>329877.0</v>
      </c>
      <c r="M1315" s="140" t="s">
        <v>755</v>
      </c>
      <c r="N1315" s="74">
        <f t="shared" si="6"/>
        <v>1979262</v>
      </c>
      <c r="O1315" s="60">
        <f t="shared" si="2"/>
        <v>46233</v>
      </c>
      <c r="P1315" s="65" t="str">
        <f>VLOOKUP(I1315,DATABASE!C:Q,11,FALSE)</f>
        <v>OIL</v>
      </c>
      <c r="Q1315" s="65" t="str">
        <f>VLOOKUP(I1315,DATABASE!C:Q,4,FALSE)</f>
        <v>Shell</v>
      </c>
      <c r="R1315" s="101"/>
      <c r="U1315" s="101"/>
    </row>
    <row r="1316" ht="22.5" customHeight="1">
      <c r="A1316" s="49"/>
      <c r="C1316" s="192">
        <v>46204.0</v>
      </c>
      <c r="D1316" s="192">
        <v>46203.0</v>
      </c>
      <c r="E1316" s="69" t="s">
        <v>386</v>
      </c>
      <c r="F1316" s="243" t="s">
        <v>998</v>
      </c>
      <c r="G1316" s="69" t="s">
        <v>2148</v>
      </c>
      <c r="H1316" s="69" t="s">
        <v>2314</v>
      </c>
      <c r="I1316" s="140" t="s">
        <v>2178</v>
      </c>
      <c r="J1316" s="446">
        <v>12.0</v>
      </c>
      <c r="K1316" s="140">
        <v>80931.0</v>
      </c>
      <c r="L1316" s="140">
        <v>80931.0</v>
      </c>
      <c r="M1316" s="140" t="s">
        <v>755</v>
      </c>
      <c r="N1316" s="74">
        <f t="shared" si="6"/>
        <v>971172</v>
      </c>
      <c r="O1316" s="60">
        <f t="shared" si="2"/>
        <v>46233</v>
      </c>
      <c r="P1316" s="65" t="str">
        <f>VLOOKUP(I1316,DATABASE!C:Q,11,FALSE)</f>
        <v>OIL</v>
      </c>
      <c r="Q1316" s="65" t="str">
        <f>VLOOKUP(I1316,DATABASE!C:Q,4,FALSE)</f>
        <v>Shell</v>
      </c>
      <c r="R1316" s="101"/>
      <c r="U1316" s="101"/>
    </row>
    <row r="1317" ht="22.5" customHeight="1">
      <c r="A1317" s="49"/>
      <c r="C1317" s="192">
        <v>46205.0</v>
      </c>
      <c r="D1317" s="192">
        <v>46204.0</v>
      </c>
      <c r="E1317" s="69" t="s">
        <v>110</v>
      </c>
      <c r="F1317" s="243" t="s">
        <v>343</v>
      </c>
      <c r="G1317" s="69">
        <v>2.600884E7</v>
      </c>
      <c r="H1317" s="69" t="s">
        <v>7</v>
      </c>
      <c r="I1317" s="140" t="s">
        <v>2037</v>
      </c>
      <c r="J1317" s="446">
        <v>4.0</v>
      </c>
      <c r="K1317" s="140">
        <v>2475000.0</v>
      </c>
      <c r="L1317" s="140">
        <v>2475000.0</v>
      </c>
      <c r="M1317" s="140" t="s">
        <v>2190</v>
      </c>
      <c r="N1317" s="74">
        <f t="shared" si="6"/>
        <v>9900000</v>
      </c>
      <c r="O1317" s="60">
        <f t="shared" si="2"/>
        <v>46218</v>
      </c>
      <c r="P1317" s="65" t="str">
        <f>VLOOKUP(I1317,DATABASE!C:Q,11,FALSE)</f>
        <v>Tire</v>
      </c>
      <c r="Q1317" s="65" t="str">
        <f>VLOOKUP(I1317,DATABASE!C:Q,4,FALSE)</f>
        <v>GT</v>
      </c>
      <c r="R1317" s="101"/>
      <c r="U1317" s="101"/>
    </row>
    <row r="1318" ht="22.5" customHeight="1">
      <c r="A1318" s="49"/>
      <c r="C1318" s="192">
        <v>46205.0</v>
      </c>
      <c r="D1318" s="192">
        <v>46204.0</v>
      </c>
      <c r="E1318" s="69" t="s">
        <v>110</v>
      </c>
      <c r="F1318" s="243" t="s">
        <v>343</v>
      </c>
      <c r="G1318" s="69">
        <v>2.600884E7</v>
      </c>
      <c r="H1318" s="69" t="s">
        <v>7</v>
      </c>
      <c r="I1318" s="140" t="s">
        <v>286</v>
      </c>
      <c r="J1318" s="446">
        <v>5.0</v>
      </c>
      <c r="K1318" s="140">
        <v>459420.0</v>
      </c>
      <c r="L1318" s="140">
        <v>459420.0</v>
      </c>
      <c r="M1318" s="140" t="s">
        <v>2190</v>
      </c>
      <c r="N1318" s="74">
        <f t="shared" si="6"/>
        <v>2297100</v>
      </c>
      <c r="O1318" s="60">
        <f t="shared" si="2"/>
        <v>46218</v>
      </c>
      <c r="P1318" s="65" t="str">
        <f>VLOOKUP(I1318,DATABASE!C:Q,11,FALSE)</f>
        <v>Tire</v>
      </c>
      <c r="Q1318" s="65" t="str">
        <f>VLOOKUP(I1318,DATABASE!C:Q,4,FALSE)</f>
        <v>GT</v>
      </c>
      <c r="R1318" s="101"/>
      <c r="U1318" s="101"/>
    </row>
    <row r="1319" ht="22.5" customHeight="1">
      <c r="A1319" s="49"/>
      <c r="C1319" s="192">
        <v>46209.0</v>
      </c>
      <c r="D1319" s="192">
        <v>46207.0</v>
      </c>
      <c r="E1319" s="69" t="s">
        <v>257</v>
      </c>
      <c r="F1319" s="243" t="s">
        <v>343</v>
      </c>
      <c r="G1319" s="69" t="s">
        <v>0</v>
      </c>
      <c r="H1319" s="69" t="s">
        <v>87</v>
      </c>
      <c r="I1319" s="140" t="s">
        <v>2206</v>
      </c>
      <c r="J1319" s="446">
        <v>6.0</v>
      </c>
      <c r="K1319" s="140">
        <v>95450.0</v>
      </c>
      <c r="L1319" s="140">
        <v>95450.0</v>
      </c>
      <c r="M1319" s="140" t="s">
        <v>755</v>
      </c>
      <c r="N1319" s="74">
        <f t="shared" si="6"/>
        <v>572700</v>
      </c>
      <c r="O1319" s="60">
        <f t="shared" si="2"/>
        <v>46237</v>
      </c>
      <c r="P1319" s="65" t="str">
        <f>VLOOKUP(I1319,DATABASE!C:Q,11,FALSE)</f>
        <v>COMPLEMENTARY</v>
      </c>
      <c r="Q1319" s="65" t="str">
        <f>VLOOKUP(I1319,DATABASE!C:Q,4,FALSE)</f>
        <v>TIEROD</v>
      </c>
      <c r="R1319" s="101"/>
      <c r="U1319" s="101"/>
    </row>
    <row r="1320" ht="22.5" customHeight="1">
      <c r="A1320" s="49"/>
      <c r="C1320" s="192">
        <v>46211.0</v>
      </c>
      <c r="D1320" s="192">
        <v>46211.0</v>
      </c>
      <c r="E1320" s="69" t="s">
        <v>335</v>
      </c>
      <c r="F1320" s="243" t="s">
        <v>343</v>
      </c>
      <c r="G1320" s="69" t="s">
        <v>2251</v>
      </c>
      <c r="H1320" s="69" t="s">
        <v>7</v>
      </c>
      <c r="I1320" s="140" t="s">
        <v>403</v>
      </c>
      <c r="J1320" s="446">
        <v>10.0</v>
      </c>
      <c r="K1320" s="140">
        <v>2160000.0</v>
      </c>
      <c r="L1320" s="140">
        <v>2100000.0</v>
      </c>
      <c r="M1320" s="140" t="s">
        <v>521</v>
      </c>
      <c r="N1320" s="74">
        <f t="shared" si="6"/>
        <v>21000000</v>
      </c>
      <c r="O1320" s="60">
        <f t="shared" si="2"/>
        <v>46271</v>
      </c>
      <c r="P1320" s="65" t="str">
        <f>VLOOKUP(I1320,DATABASE!C:Q,11,FALSE)</f>
        <v>Tire</v>
      </c>
      <c r="Q1320" s="65" t="str">
        <f>VLOOKUP(I1320,DATABASE!C:Q,4,FALSE)</f>
        <v>Advance</v>
      </c>
      <c r="R1320" s="101"/>
      <c r="U1320" s="101"/>
    </row>
    <row r="1321" ht="22.5" customHeight="1">
      <c r="A1321" s="49"/>
      <c r="C1321" s="192">
        <v>46211.0</v>
      </c>
      <c r="D1321" s="192">
        <v>46211.0</v>
      </c>
      <c r="E1321" s="69" t="s">
        <v>335</v>
      </c>
      <c r="F1321" s="243" t="s">
        <v>343</v>
      </c>
      <c r="G1321" s="69" t="s">
        <v>2251</v>
      </c>
      <c r="H1321" s="69" t="s">
        <v>7</v>
      </c>
      <c r="I1321" s="140" t="s">
        <v>391</v>
      </c>
      <c r="J1321" s="446">
        <v>3.0</v>
      </c>
      <c r="K1321" s="140">
        <v>1885000.0</v>
      </c>
      <c r="L1321" s="140">
        <v>1885000.0</v>
      </c>
      <c r="M1321" s="140" t="s">
        <v>521</v>
      </c>
      <c r="N1321" s="74">
        <f t="shared" si="6"/>
        <v>5655000</v>
      </c>
      <c r="O1321" s="60">
        <f t="shared" si="2"/>
        <v>46271</v>
      </c>
      <c r="P1321" s="65" t="str">
        <f>VLOOKUP(I1321,DATABASE!C:Q,11,FALSE)</f>
        <v>Tire</v>
      </c>
      <c r="Q1321" s="65" t="str">
        <f>VLOOKUP(I1321,DATABASE!C:Q,4,FALSE)</f>
        <v>Advance</v>
      </c>
      <c r="R1321" s="101"/>
      <c r="U1321" s="101"/>
    </row>
    <row r="1322" ht="22.5" customHeight="1">
      <c r="A1322" s="49"/>
      <c r="C1322" s="192">
        <v>46211.0</v>
      </c>
      <c r="D1322" s="192">
        <v>46211.0</v>
      </c>
      <c r="E1322" s="69" t="s">
        <v>335</v>
      </c>
      <c r="F1322" s="243" t="s">
        <v>343</v>
      </c>
      <c r="G1322" s="69" t="s">
        <v>2251</v>
      </c>
      <c r="H1322" s="69" t="s">
        <v>7</v>
      </c>
      <c r="I1322" s="140" t="s">
        <v>374</v>
      </c>
      <c r="J1322" s="446">
        <v>2.0</v>
      </c>
      <c r="K1322" s="140">
        <v>1980000.0</v>
      </c>
      <c r="L1322" s="140">
        <v>1980000.0</v>
      </c>
      <c r="M1322" s="140" t="s">
        <v>521</v>
      </c>
      <c r="N1322" s="74">
        <f t="shared" si="6"/>
        <v>3960000</v>
      </c>
      <c r="O1322" s="60">
        <f t="shared" si="2"/>
        <v>46271</v>
      </c>
      <c r="P1322" s="65" t="str">
        <f>VLOOKUP(I1322,DATABASE!C:Q,11,FALSE)</f>
        <v>Tire</v>
      </c>
      <c r="Q1322" s="65" t="str">
        <f>VLOOKUP(I1322,DATABASE!C:Q,4,FALSE)</f>
        <v>Advance</v>
      </c>
      <c r="R1322" s="101"/>
      <c r="U1322" s="101"/>
    </row>
    <row r="1323" ht="22.5" customHeight="1">
      <c r="A1323" s="49"/>
      <c r="C1323" s="192">
        <v>46211.0</v>
      </c>
      <c r="D1323" s="192">
        <v>46211.0</v>
      </c>
      <c r="E1323" s="69" t="s">
        <v>335</v>
      </c>
      <c r="F1323" s="243" t="s">
        <v>343</v>
      </c>
      <c r="G1323" s="69" t="s">
        <v>2251</v>
      </c>
      <c r="H1323" s="69" t="s">
        <v>7</v>
      </c>
      <c r="I1323" s="140" t="s">
        <v>295</v>
      </c>
      <c r="J1323" s="446">
        <v>6.0</v>
      </c>
      <c r="K1323" s="140">
        <v>1475000.0</v>
      </c>
      <c r="L1323" s="140">
        <v>1475000.0</v>
      </c>
      <c r="M1323" s="140" t="s">
        <v>521</v>
      </c>
      <c r="N1323" s="74">
        <f t="shared" si="6"/>
        <v>8850000</v>
      </c>
      <c r="O1323" s="60">
        <f t="shared" si="2"/>
        <v>46271</v>
      </c>
      <c r="P1323" s="65" t="str">
        <f>VLOOKUP(I1323,DATABASE!C:Q,11,FALSE)</f>
        <v>Tire</v>
      </c>
      <c r="Q1323" s="65" t="str">
        <f>VLOOKUP(I1323,DATABASE!C:Q,4,FALSE)</f>
        <v>TIRON</v>
      </c>
      <c r="R1323" s="101"/>
      <c r="U1323" s="101"/>
    </row>
    <row r="1324" ht="22.5" customHeight="1">
      <c r="A1324" s="49"/>
      <c r="C1324" s="192">
        <v>46211.0</v>
      </c>
      <c r="D1324" s="192">
        <v>46211.0</v>
      </c>
      <c r="E1324" s="69" t="s">
        <v>335</v>
      </c>
      <c r="F1324" s="243" t="s">
        <v>343</v>
      </c>
      <c r="G1324" s="69" t="s">
        <v>2251</v>
      </c>
      <c r="H1324" s="69" t="s">
        <v>7</v>
      </c>
      <c r="I1324" s="140" t="s">
        <v>924</v>
      </c>
      <c r="J1324" s="446">
        <v>10.0</v>
      </c>
      <c r="K1324" s="140">
        <v>1560000.0</v>
      </c>
      <c r="L1324" s="140">
        <v>1560000.0</v>
      </c>
      <c r="M1324" s="140" t="s">
        <v>521</v>
      </c>
      <c r="N1324" s="74">
        <f t="shared" si="6"/>
        <v>15600000</v>
      </c>
      <c r="O1324" s="60">
        <f t="shared" si="2"/>
        <v>46271</v>
      </c>
      <c r="P1324" s="65" t="str">
        <f>VLOOKUP(I1324,DATABASE!C:Q,11,FALSE)</f>
        <v>Tire</v>
      </c>
      <c r="Q1324" s="65" t="str">
        <f>VLOOKUP(I1324,DATABASE!C:Q,4,FALSE)</f>
        <v>TIRON</v>
      </c>
      <c r="R1324" s="101"/>
      <c r="U1324" s="101"/>
    </row>
    <row r="1325" ht="22.5" customHeight="1">
      <c r="A1325" s="49"/>
      <c r="C1325" s="192">
        <v>46212.0</v>
      </c>
      <c r="D1325" s="192">
        <v>46211.0</v>
      </c>
      <c r="E1325" s="69" t="s">
        <v>110</v>
      </c>
      <c r="F1325" s="243" t="s">
        <v>343</v>
      </c>
      <c r="G1325" s="69">
        <v>2.600916E7</v>
      </c>
      <c r="H1325" s="69" t="s">
        <v>7</v>
      </c>
      <c r="I1325" s="140" t="s">
        <v>286</v>
      </c>
      <c r="J1325" s="446">
        <v>20.0</v>
      </c>
      <c r="K1325" s="140">
        <v>474240.0</v>
      </c>
      <c r="L1325" s="140">
        <v>474240.0</v>
      </c>
      <c r="M1325" s="140" t="s">
        <v>755</v>
      </c>
      <c r="N1325" s="74">
        <f t="shared" si="6"/>
        <v>9484800</v>
      </c>
      <c r="O1325" s="60">
        <f t="shared" si="2"/>
        <v>46241</v>
      </c>
      <c r="P1325" s="65" t="str">
        <f>VLOOKUP(I1325,DATABASE!C:Q,11,FALSE)</f>
        <v>Tire</v>
      </c>
      <c r="Q1325" s="65" t="str">
        <f>VLOOKUP(I1325,DATABASE!C:Q,4,FALSE)</f>
        <v>GT</v>
      </c>
      <c r="R1325" s="101"/>
      <c r="U1325" s="101"/>
    </row>
    <row r="1326" ht="22.5" customHeight="1">
      <c r="A1326" s="49"/>
      <c r="C1326" s="192">
        <v>46212.0</v>
      </c>
      <c r="D1326" s="192">
        <v>46211.0</v>
      </c>
      <c r="E1326" s="69" t="s">
        <v>110</v>
      </c>
      <c r="F1326" s="243" t="s">
        <v>343</v>
      </c>
      <c r="G1326" s="69">
        <v>2.6009201E7</v>
      </c>
      <c r="H1326" s="69" t="s">
        <v>7</v>
      </c>
      <c r="I1326" s="140" t="s">
        <v>2015</v>
      </c>
      <c r="J1326" s="446">
        <v>2.0</v>
      </c>
      <c r="K1326" s="140">
        <v>750700.0</v>
      </c>
      <c r="L1326" s="140">
        <v>750750.0</v>
      </c>
      <c r="M1326" s="140" t="s">
        <v>755</v>
      </c>
      <c r="N1326" s="74">
        <f t="shared" si="6"/>
        <v>1501500</v>
      </c>
      <c r="O1326" s="60">
        <f t="shared" si="2"/>
        <v>46241</v>
      </c>
      <c r="P1326" s="65" t="str">
        <f>VLOOKUP(I1326,DATABASE!C:Q,11,FALSE)</f>
        <v>Tire</v>
      </c>
      <c r="Q1326" s="65" t="str">
        <f>VLOOKUP(I1326,DATABASE!C:Q,4,FALSE)</f>
        <v>GT</v>
      </c>
      <c r="R1326" s="101"/>
      <c r="U1326" s="101"/>
    </row>
    <row r="1327" ht="22.5" customHeight="1">
      <c r="A1327" s="49"/>
      <c r="C1327" s="192">
        <v>46212.0</v>
      </c>
      <c r="D1327" s="192">
        <v>46211.0</v>
      </c>
      <c r="E1327" s="69" t="s">
        <v>110</v>
      </c>
      <c r="F1327" s="243" t="s">
        <v>343</v>
      </c>
      <c r="G1327" s="69">
        <v>2.6009201E7</v>
      </c>
      <c r="H1327" s="69" t="s">
        <v>7</v>
      </c>
      <c r="I1327" s="140" t="s">
        <v>795</v>
      </c>
      <c r="J1327" s="446">
        <v>1.0</v>
      </c>
      <c r="K1327" s="140">
        <v>120000.0</v>
      </c>
      <c r="L1327" s="140">
        <v>120000.0</v>
      </c>
      <c r="M1327" s="140" t="s">
        <v>755</v>
      </c>
      <c r="N1327" s="74">
        <f t="shared" si="6"/>
        <v>120000</v>
      </c>
      <c r="O1327" s="60">
        <f t="shared" si="2"/>
        <v>46241</v>
      </c>
      <c r="P1327" s="65" t="str">
        <f>VLOOKUP(I1327,DATABASE!C:Q,11,FALSE)</f>
        <v>Tire</v>
      </c>
      <c r="Q1327" s="65" t="str">
        <f>VLOOKUP(I1327,DATABASE!C:Q,4,FALSE)</f>
        <v>BD</v>
      </c>
      <c r="R1327" s="101"/>
      <c r="U1327" s="101"/>
    </row>
    <row r="1328" ht="22.5" customHeight="1">
      <c r="A1328" s="49"/>
      <c r="C1328" s="192">
        <v>46216.0</v>
      </c>
      <c r="D1328" s="192">
        <v>46216.0</v>
      </c>
      <c r="E1328" s="69" t="s">
        <v>412</v>
      </c>
      <c r="F1328" s="243" t="s">
        <v>0</v>
      </c>
      <c r="G1328" s="69" t="s">
        <v>0</v>
      </c>
      <c r="H1328" s="69" t="s">
        <v>2314</v>
      </c>
      <c r="I1328" s="140" t="s">
        <v>301</v>
      </c>
      <c r="J1328" s="446">
        <v>10.0</v>
      </c>
      <c r="K1328" s="140">
        <v>75000.0</v>
      </c>
      <c r="L1328" s="140">
        <v>51500.0</v>
      </c>
      <c r="M1328" s="140" t="s">
        <v>2190</v>
      </c>
      <c r="N1328" s="74">
        <f t="shared" si="6"/>
        <v>515000</v>
      </c>
      <c r="O1328" s="60">
        <f t="shared" si="2"/>
        <v>46230</v>
      </c>
      <c r="P1328" s="65" t="str">
        <f>VLOOKUP(I1328,DATABASE!C:Q,11,FALSE)</f>
        <v>COMPLEMENTARY</v>
      </c>
      <c r="Q1328" s="65" t="str">
        <f>VLOOKUP(I1328,DATABASE!C:Q,4,FALSE)</f>
        <v>Baut Camber</v>
      </c>
      <c r="R1328" s="101"/>
      <c r="U1328" s="101"/>
    </row>
    <row r="1329" ht="22.5" customHeight="1">
      <c r="A1329" s="49"/>
      <c r="C1329" s="192">
        <v>46216.0</v>
      </c>
      <c r="D1329" s="192">
        <v>46216.0</v>
      </c>
      <c r="E1329" s="69" t="s">
        <v>412</v>
      </c>
      <c r="F1329" s="243" t="s">
        <v>0</v>
      </c>
      <c r="G1329" s="69" t="s">
        <v>0</v>
      </c>
      <c r="H1329" s="69" t="s">
        <v>2314</v>
      </c>
      <c r="I1329" s="140" t="s">
        <v>301</v>
      </c>
      <c r="J1329" s="446">
        <v>4.0</v>
      </c>
      <c r="K1329" s="140">
        <v>75000.0</v>
      </c>
      <c r="L1329" s="140">
        <v>54000.0</v>
      </c>
      <c r="M1329" s="140" t="s">
        <v>2190</v>
      </c>
      <c r="N1329" s="74">
        <f t="shared" si="6"/>
        <v>216000</v>
      </c>
      <c r="O1329" s="60">
        <f t="shared" si="2"/>
        <v>46230</v>
      </c>
      <c r="P1329" s="65" t="str">
        <f>VLOOKUP(I1329,DATABASE!C:Q,11,FALSE)</f>
        <v>COMPLEMENTARY</v>
      </c>
      <c r="Q1329" s="65" t="str">
        <f>VLOOKUP(I1329,DATABASE!C:Q,4,FALSE)</f>
        <v>Baut Camber</v>
      </c>
      <c r="R1329" s="101"/>
      <c r="U1329" s="101"/>
    </row>
    <row r="1330" ht="22.5" customHeight="1">
      <c r="A1330" s="49"/>
      <c r="C1330" s="192">
        <v>46216.0</v>
      </c>
      <c r="D1330" s="192">
        <v>46216.0</v>
      </c>
      <c r="E1330" s="69" t="s">
        <v>412</v>
      </c>
      <c r="F1330" s="243" t="s">
        <v>0</v>
      </c>
      <c r="G1330" s="69" t="s">
        <v>0</v>
      </c>
      <c r="H1330" s="69" t="s">
        <v>2314</v>
      </c>
      <c r="I1330" s="140" t="s">
        <v>299</v>
      </c>
      <c r="J1330" s="446">
        <v>40.0</v>
      </c>
      <c r="K1330" s="140">
        <v>10000.0</v>
      </c>
      <c r="L1330" s="140">
        <v>5000.0</v>
      </c>
      <c r="M1330" s="140" t="s">
        <v>2190</v>
      </c>
      <c r="N1330" s="74">
        <f t="shared" si="6"/>
        <v>200000</v>
      </c>
      <c r="O1330" s="60">
        <f t="shared" si="2"/>
        <v>46230</v>
      </c>
      <c r="P1330" s="65" t="str">
        <f>VLOOKUP(I1330,DATABASE!C:Q,11,FALSE)</f>
        <v>COMPLEMENTARY</v>
      </c>
      <c r="Q1330" s="65" t="str">
        <f>VLOOKUP(I1330,DATABASE!C:Q,4,FALSE)</f>
        <v>Balancing</v>
      </c>
      <c r="R1330" s="101"/>
      <c r="U1330" s="101"/>
    </row>
    <row r="1331" ht="22.5" customHeight="1">
      <c r="A1331" s="49"/>
      <c r="C1331" s="192">
        <v>46216.0</v>
      </c>
      <c r="D1331" s="192">
        <v>46216.0</v>
      </c>
      <c r="E1331" s="69" t="s">
        <v>110</v>
      </c>
      <c r="F1331" s="243" t="s">
        <v>343</v>
      </c>
      <c r="G1331" s="69">
        <v>2.6009404E7</v>
      </c>
      <c r="H1331" s="69" t="s">
        <v>7</v>
      </c>
      <c r="I1331" s="140" t="s">
        <v>839</v>
      </c>
      <c r="J1331" s="446">
        <v>4.0</v>
      </c>
      <c r="K1331" s="140">
        <v>490000.0</v>
      </c>
      <c r="L1331" s="140">
        <v>482300.0</v>
      </c>
      <c r="M1331" s="140" t="s">
        <v>2190</v>
      </c>
      <c r="N1331" s="74">
        <f t="shared" si="6"/>
        <v>1929200</v>
      </c>
      <c r="O1331" s="60">
        <f t="shared" si="2"/>
        <v>46230</v>
      </c>
      <c r="P1331" s="65" t="str">
        <f>VLOOKUP(I1331,DATABASE!C:Q,11,FALSE)</f>
        <v>Tire</v>
      </c>
      <c r="Q1331" s="65" t="str">
        <f>VLOOKUP(I1331,DATABASE!C:Q,4,FALSE)</f>
        <v>GT</v>
      </c>
      <c r="R1331" s="101"/>
      <c r="U1331" s="101"/>
    </row>
    <row r="1332" ht="22.5" customHeight="1">
      <c r="A1332" s="49"/>
      <c r="C1332" s="192">
        <v>46216.0</v>
      </c>
      <c r="D1332" s="192">
        <v>46216.0</v>
      </c>
      <c r="E1332" s="69" t="s">
        <v>110</v>
      </c>
      <c r="F1332" s="243" t="s">
        <v>343</v>
      </c>
      <c r="G1332" s="69">
        <v>2.6009397E7</v>
      </c>
      <c r="H1332" s="69" t="s">
        <v>7</v>
      </c>
      <c r="I1332" s="140" t="s">
        <v>1862</v>
      </c>
      <c r="J1332" s="446">
        <v>1.0</v>
      </c>
      <c r="K1332" s="140">
        <v>2080000.0</v>
      </c>
      <c r="L1332" s="140">
        <v>2060000.0</v>
      </c>
      <c r="M1332" s="140" t="s">
        <v>2190</v>
      </c>
      <c r="N1332" s="74">
        <f t="shared" si="6"/>
        <v>2060000</v>
      </c>
      <c r="O1332" s="60">
        <f t="shared" si="2"/>
        <v>46230</v>
      </c>
      <c r="P1332" s="65" t="str">
        <f>VLOOKUP(I1332,DATABASE!C:Q,11,FALSE)</f>
        <v>Tire</v>
      </c>
      <c r="Q1332" s="65" t="str">
        <f>VLOOKUP(I1332,DATABASE!C:Q,4,FALSE)</f>
        <v>GiTi</v>
      </c>
      <c r="R1332" s="101"/>
      <c r="U1332" s="101"/>
    </row>
    <row r="1333" ht="22.5" customHeight="1">
      <c r="A1333" s="49"/>
      <c r="C1333" s="192">
        <v>46217.0</v>
      </c>
      <c r="D1333" s="192">
        <v>46212.0</v>
      </c>
      <c r="E1333" s="69" t="s">
        <v>386</v>
      </c>
      <c r="F1333" s="243" t="s">
        <v>0</v>
      </c>
      <c r="G1333" s="69" t="s">
        <v>0</v>
      </c>
      <c r="H1333" s="69" t="s">
        <v>2314</v>
      </c>
      <c r="I1333" s="140" t="s">
        <v>263</v>
      </c>
      <c r="J1333" s="446">
        <v>4.0</v>
      </c>
      <c r="K1333" s="140">
        <v>334916.0</v>
      </c>
      <c r="L1333" s="140">
        <v>334916.0</v>
      </c>
      <c r="M1333" s="140" t="s">
        <v>755</v>
      </c>
      <c r="N1333" s="74">
        <f t="shared" si="6"/>
        <v>1339664</v>
      </c>
      <c r="O1333" s="60">
        <f t="shared" si="2"/>
        <v>46242</v>
      </c>
      <c r="P1333" s="65" t="str">
        <f>VLOOKUP(I1333,DATABASE!C:Q,11,FALSE)</f>
        <v>OIL</v>
      </c>
      <c r="Q1333" s="65" t="str">
        <f>VLOOKUP(I1333,DATABASE!C:Q,4,FALSE)</f>
        <v>Shell</v>
      </c>
      <c r="R1333" s="101"/>
      <c r="U1333" s="101"/>
    </row>
    <row r="1334" ht="22.5" customHeight="1">
      <c r="A1334" s="49"/>
      <c r="C1334" s="192">
        <v>46217.0</v>
      </c>
      <c r="D1334" s="192">
        <v>46212.0</v>
      </c>
      <c r="E1334" s="69" t="s">
        <v>386</v>
      </c>
      <c r="F1334" s="243" t="s">
        <v>0</v>
      </c>
      <c r="G1334" s="69" t="s">
        <v>0</v>
      </c>
      <c r="H1334" s="69" t="s">
        <v>2314</v>
      </c>
      <c r="I1334" s="140" t="s">
        <v>2195</v>
      </c>
      <c r="J1334" s="446">
        <v>3.0</v>
      </c>
      <c r="K1334" s="140">
        <v>329877.0</v>
      </c>
      <c r="L1334" s="140">
        <v>329877.0</v>
      </c>
      <c r="M1334" s="140" t="s">
        <v>755</v>
      </c>
      <c r="N1334" s="74">
        <f t="shared" si="6"/>
        <v>989631</v>
      </c>
      <c r="O1334" s="60">
        <f t="shared" si="2"/>
        <v>46242</v>
      </c>
      <c r="P1334" s="65" t="str">
        <f>VLOOKUP(I1334,DATABASE!C:Q,11,FALSE)</f>
        <v>OIL</v>
      </c>
      <c r="Q1334" s="65" t="str">
        <f>VLOOKUP(I1334,DATABASE!C:Q,4,FALSE)</f>
        <v>Shell</v>
      </c>
      <c r="R1334" s="101"/>
      <c r="U1334" s="101"/>
    </row>
    <row r="1335" ht="22.5" customHeight="1">
      <c r="A1335" s="49"/>
      <c r="C1335" s="192">
        <v>46219.0</v>
      </c>
      <c r="D1335" s="192">
        <v>46219.0</v>
      </c>
      <c r="E1335" s="69" t="s">
        <v>81</v>
      </c>
      <c r="F1335" s="243" t="s">
        <v>998</v>
      </c>
      <c r="G1335" s="69" t="s">
        <v>1836</v>
      </c>
      <c r="H1335" s="69" t="s">
        <v>2314</v>
      </c>
      <c r="I1335" s="140" t="s">
        <v>1524</v>
      </c>
      <c r="J1335" s="446">
        <v>1.0</v>
      </c>
      <c r="K1335" s="140">
        <v>1028000.0</v>
      </c>
      <c r="L1335" s="140">
        <v>1028000.0</v>
      </c>
      <c r="M1335" s="140" t="s">
        <v>2190</v>
      </c>
      <c r="N1335" s="74">
        <f t="shared" si="6"/>
        <v>1028000</v>
      </c>
      <c r="O1335" s="60">
        <f t="shared" si="2"/>
        <v>46233</v>
      </c>
      <c r="P1335" s="65" t="str">
        <f>VLOOKUP(I1335,DATABASE!C:Q,11,FALSE)</f>
        <v>Tire</v>
      </c>
      <c r="Q1335" s="65" t="str">
        <f>VLOOKUP(I1335,DATABASE!C:Q,4,FALSE)</f>
        <v>Dunlop</v>
      </c>
      <c r="R1335" s="101"/>
      <c r="U1335" s="101"/>
    </row>
    <row r="1336" ht="22.5" customHeight="1">
      <c r="A1336" s="49"/>
      <c r="C1336" s="192">
        <v>46220.0</v>
      </c>
      <c r="D1336" s="192">
        <v>46220.0</v>
      </c>
      <c r="E1336" s="69" t="s">
        <v>335</v>
      </c>
      <c r="F1336" s="243" t="s">
        <v>343</v>
      </c>
      <c r="G1336" s="69" t="s">
        <v>2253</v>
      </c>
      <c r="H1336" s="69" t="s">
        <v>7</v>
      </c>
      <c r="I1336" s="140" t="s">
        <v>295</v>
      </c>
      <c r="J1336" s="446">
        <v>7.0</v>
      </c>
      <c r="K1336" s="140">
        <v>1475000.0</v>
      </c>
      <c r="L1336" s="140">
        <v>1475000.0</v>
      </c>
      <c r="M1336" s="140" t="s">
        <v>521</v>
      </c>
      <c r="N1336" s="74">
        <f t="shared" si="6"/>
        <v>10325000</v>
      </c>
      <c r="O1336" s="60">
        <f t="shared" si="2"/>
        <v>46280</v>
      </c>
      <c r="P1336" s="65" t="str">
        <f>VLOOKUP(I1336,DATABASE!C:Q,11,FALSE)</f>
        <v>Tire</v>
      </c>
      <c r="Q1336" s="65" t="str">
        <f>VLOOKUP(I1336,DATABASE!C:Q,4,FALSE)</f>
        <v>TIRON</v>
      </c>
      <c r="R1336" s="101"/>
      <c r="U1336" s="101"/>
    </row>
    <row r="1337" ht="22.5" customHeight="1">
      <c r="A1337" s="49"/>
      <c r="C1337" s="192">
        <v>46220.0</v>
      </c>
      <c r="D1337" s="192">
        <v>46217.0</v>
      </c>
      <c r="E1337" s="69" t="s">
        <v>386</v>
      </c>
      <c r="F1337" s="243" t="s">
        <v>998</v>
      </c>
      <c r="G1337" s="69" t="s">
        <v>2153</v>
      </c>
      <c r="H1337" s="69" t="s">
        <v>2314</v>
      </c>
      <c r="I1337" s="140" t="s">
        <v>263</v>
      </c>
      <c r="J1337" s="446">
        <v>4.0</v>
      </c>
      <c r="K1337" s="140">
        <v>334916.0</v>
      </c>
      <c r="L1337" s="140">
        <v>334916.0</v>
      </c>
      <c r="M1337" s="140" t="s">
        <v>755</v>
      </c>
      <c r="N1337" s="74">
        <f t="shared" si="6"/>
        <v>1339664</v>
      </c>
      <c r="O1337" s="60">
        <f t="shared" si="2"/>
        <v>46247</v>
      </c>
      <c r="P1337" s="65" t="str">
        <f>VLOOKUP(I1337,DATABASE!C:Q,11,FALSE)</f>
        <v>OIL</v>
      </c>
      <c r="Q1337" s="65" t="str">
        <f>VLOOKUP(I1337,DATABASE!C:Q,4,FALSE)</f>
        <v>Shell</v>
      </c>
      <c r="R1337" s="101"/>
      <c r="U1337" s="101"/>
    </row>
    <row r="1338" ht="22.5" customHeight="1">
      <c r="A1338" s="49"/>
      <c r="C1338" s="192">
        <v>46227.0</v>
      </c>
      <c r="D1338" s="192">
        <v>46224.0</v>
      </c>
      <c r="E1338" s="69" t="s">
        <v>436</v>
      </c>
      <c r="F1338" s="243" t="s">
        <v>998</v>
      </c>
      <c r="G1338" s="69" t="s">
        <v>2421</v>
      </c>
      <c r="H1338" s="69" t="s">
        <v>2314</v>
      </c>
      <c r="I1338" s="140" t="s">
        <v>2636</v>
      </c>
      <c r="J1338" s="446">
        <v>20.0</v>
      </c>
      <c r="K1338" s="140">
        <v>27375.0</v>
      </c>
      <c r="L1338" s="140">
        <v>27375.0</v>
      </c>
      <c r="M1338" s="140" t="s">
        <v>755</v>
      </c>
      <c r="N1338" s="74">
        <f t="shared" si="6"/>
        <v>547500</v>
      </c>
      <c r="O1338" s="60">
        <f t="shared" si="2"/>
        <v>46254</v>
      </c>
      <c r="P1338" s="65" t="str">
        <f>VLOOKUP(I1338,DATABASE!C:Q,11,FALSE)</f>
        <v>COMPLEMENTARY</v>
      </c>
      <c r="Q1338" s="65" t="str">
        <f>VLOOKUP(I1338,DATABASE!C:Q,4,FALSE)</f>
        <v>JF</v>
      </c>
      <c r="R1338" s="101"/>
      <c r="U1338" s="101"/>
    </row>
    <row r="1339" ht="22.5" customHeight="1">
      <c r="A1339" s="49"/>
      <c r="C1339" s="192">
        <v>46227.0</v>
      </c>
      <c r="D1339" s="192">
        <v>46224.0</v>
      </c>
      <c r="E1339" s="69" t="s">
        <v>436</v>
      </c>
      <c r="F1339" s="243" t="s">
        <v>998</v>
      </c>
      <c r="G1339" s="69" t="s">
        <v>2421</v>
      </c>
      <c r="H1339" s="69" t="s">
        <v>2314</v>
      </c>
      <c r="I1339" s="140" t="s">
        <v>304</v>
      </c>
      <c r="J1339" s="446">
        <v>10.0</v>
      </c>
      <c r="K1339" s="140">
        <v>18900.0</v>
      </c>
      <c r="L1339" s="140">
        <v>18900.0</v>
      </c>
      <c r="M1339" s="140" t="s">
        <v>755</v>
      </c>
      <c r="N1339" s="74">
        <f t="shared" si="6"/>
        <v>189000</v>
      </c>
      <c r="O1339" s="60">
        <f t="shared" si="2"/>
        <v>46254</v>
      </c>
      <c r="P1339" s="65" t="str">
        <f>VLOOKUP(I1339,DATABASE!C:Q,11,FALSE)</f>
        <v>COMPLEMENTARY</v>
      </c>
      <c r="Q1339" s="65" t="str">
        <f>VLOOKUP(I1339,DATABASE!C:Q,4,FALSE)</f>
        <v>ICOSON</v>
      </c>
      <c r="R1339" s="101"/>
      <c r="U1339" s="101"/>
    </row>
    <row r="1340" ht="22.5" customHeight="1">
      <c r="A1340" s="49"/>
      <c r="C1340" s="192">
        <v>46227.0</v>
      </c>
      <c r="D1340" s="192">
        <v>46224.0</v>
      </c>
      <c r="E1340" s="69" t="s">
        <v>436</v>
      </c>
      <c r="F1340" s="243" t="s">
        <v>998</v>
      </c>
      <c r="G1340" s="69" t="s">
        <v>2421</v>
      </c>
      <c r="H1340" s="69" t="s">
        <v>2314</v>
      </c>
      <c r="I1340" s="140" t="s">
        <v>2637</v>
      </c>
      <c r="J1340" s="446">
        <v>10.0</v>
      </c>
      <c r="K1340" s="140">
        <v>18900.0</v>
      </c>
      <c r="L1340" s="140">
        <v>18900.0</v>
      </c>
      <c r="M1340" s="140" t="s">
        <v>755</v>
      </c>
      <c r="N1340" s="74">
        <f t="shared" si="6"/>
        <v>189000</v>
      </c>
      <c r="O1340" s="60">
        <f t="shared" si="2"/>
        <v>46254</v>
      </c>
      <c r="P1340" s="65" t="str">
        <f>VLOOKUP(I1340,DATABASE!C:Q,11,FALSE)</f>
        <v>COMPLEMENTARY</v>
      </c>
      <c r="Q1340" s="65" t="str">
        <f>VLOOKUP(I1340,DATABASE!C:Q,4,FALSE)</f>
        <v>ICOSON</v>
      </c>
      <c r="R1340" s="101"/>
      <c r="U1340" s="101"/>
    </row>
    <row r="1341" ht="22.5" customHeight="1">
      <c r="A1341" s="49"/>
      <c r="C1341" s="192">
        <v>46227.0</v>
      </c>
      <c r="D1341" s="192">
        <v>46224.0</v>
      </c>
      <c r="E1341" s="69" t="s">
        <v>436</v>
      </c>
      <c r="F1341" s="243" t="s">
        <v>998</v>
      </c>
      <c r="G1341" s="69" t="s">
        <v>2421</v>
      </c>
      <c r="H1341" s="69" t="s">
        <v>2314</v>
      </c>
      <c r="I1341" s="140" t="s">
        <v>2638</v>
      </c>
      <c r="J1341" s="446">
        <v>5.0</v>
      </c>
      <c r="K1341" s="140">
        <v>56025.0</v>
      </c>
      <c r="L1341" s="140">
        <v>56025.0</v>
      </c>
      <c r="M1341" s="140" t="s">
        <v>755</v>
      </c>
      <c r="N1341" s="74">
        <f t="shared" si="6"/>
        <v>280125</v>
      </c>
      <c r="O1341" s="60">
        <f t="shared" si="2"/>
        <v>46254</v>
      </c>
      <c r="P1341" s="65" t="str">
        <f>VLOOKUP(I1341,DATABASE!C:Q,11,FALSE)</f>
        <v>COMPLEMENTARY</v>
      </c>
      <c r="Q1341" s="65" t="str">
        <f>VLOOKUP(I1341,DATABASE!C:Q,4,FALSE)</f>
        <v>ICOSON</v>
      </c>
      <c r="R1341" s="101"/>
      <c r="U1341" s="101"/>
    </row>
    <row r="1342" ht="22.5" customHeight="1">
      <c r="A1342" s="49"/>
      <c r="C1342" s="192">
        <v>46227.0</v>
      </c>
      <c r="D1342" s="192">
        <v>46224.0</v>
      </c>
      <c r="E1342" s="69" t="s">
        <v>436</v>
      </c>
      <c r="F1342" s="243" t="s">
        <v>998</v>
      </c>
      <c r="G1342" s="69" t="s">
        <v>2421</v>
      </c>
      <c r="H1342" s="69" t="s">
        <v>2314</v>
      </c>
      <c r="I1342" s="140" t="s">
        <v>2639</v>
      </c>
      <c r="J1342" s="446">
        <v>5.0</v>
      </c>
      <c r="K1342" s="140">
        <v>25575.0</v>
      </c>
      <c r="L1342" s="140">
        <v>25575.0</v>
      </c>
      <c r="M1342" s="140" t="s">
        <v>755</v>
      </c>
      <c r="N1342" s="74">
        <f t="shared" si="6"/>
        <v>127875</v>
      </c>
      <c r="O1342" s="60">
        <f t="shared" si="2"/>
        <v>46254</v>
      </c>
      <c r="P1342" s="65" t="str">
        <f>VLOOKUP(I1342,DATABASE!C:Q,11,FALSE)</f>
        <v>COMPLEMENTARY</v>
      </c>
      <c r="Q1342" s="65" t="str">
        <f>VLOOKUP(I1342,DATABASE!C:Q,4,FALSE)</f>
        <v>ICOSON</v>
      </c>
      <c r="R1342" s="101"/>
      <c r="U1342" s="101"/>
    </row>
    <row r="1343" ht="22.5" customHeight="1">
      <c r="A1343" s="49"/>
      <c r="C1343" s="192">
        <v>46227.0</v>
      </c>
      <c r="D1343" s="192">
        <v>46224.0</v>
      </c>
      <c r="E1343" s="69" t="s">
        <v>436</v>
      </c>
      <c r="F1343" s="243" t="s">
        <v>998</v>
      </c>
      <c r="G1343" s="69" t="s">
        <v>2421</v>
      </c>
      <c r="H1343" s="69" t="s">
        <v>2314</v>
      </c>
      <c r="I1343" s="140" t="s">
        <v>2640</v>
      </c>
      <c r="J1343" s="446">
        <v>5.0</v>
      </c>
      <c r="K1343" s="140">
        <v>22500.0</v>
      </c>
      <c r="L1343" s="140">
        <v>22500.0</v>
      </c>
      <c r="M1343" s="140" t="s">
        <v>755</v>
      </c>
      <c r="N1343" s="74">
        <f t="shared" si="6"/>
        <v>112500</v>
      </c>
      <c r="O1343" s="60">
        <f t="shared" si="2"/>
        <v>46254</v>
      </c>
      <c r="P1343" s="65" t="str">
        <f>VLOOKUP(I1343,DATABASE!C:Q,11,FALSE)</f>
        <v>COMPLEMENTARY</v>
      </c>
      <c r="Q1343" s="65" t="str">
        <f>VLOOKUP(I1343,DATABASE!C:Q,4,FALSE)</f>
        <v>ICOSON</v>
      </c>
      <c r="R1343" s="101"/>
      <c r="U1343" s="101"/>
    </row>
    <row r="1344" ht="22.5" customHeight="1">
      <c r="A1344" s="49"/>
      <c r="C1344" s="192">
        <v>46227.0</v>
      </c>
      <c r="D1344" s="192">
        <v>46226.0</v>
      </c>
      <c r="E1344" s="69" t="s">
        <v>123</v>
      </c>
      <c r="F1344" s="243" t="s">
        <v>343</v>
      </c>
      <c r="G1344" s="69" t="s">
        <v>2390</v>
      </c>
      <c r="H1344" s="69" t="s">
        <v>7</v>
      </c>
      <c r="I1344" s="140" t="s">
        <v>781</v>
      </c>
      <c r="J1344" s="446">
        <v>8.0</v>
      </c>
      <c r="K1344" s="140">
        <v>460000.0</v>
      </c>
      <c r="L1344" s="140">
        <v>460000.0</v>
      </c>
      <c r="M1344" s="140" t="s">
        <v>755</v>
      </c>
      <c r="N1344" s="74">
        <f t="shared" si="6"/>
        <v>3680000</v>
      </c>
      <c r="O1344" s="60">
        <f t="shared" si="2"/>
        <v>46256</v>
      </c>
      <c r="P1344" s="65" t="str">
        <f>VLOOKUP(I1344,DATABASE!C:Q,11,FALSE)</f>
        <v>Tire</v>
      </c>
      <c r="Q1344" s="65" t="str">
        <f>VLOOKUP(I1344,DATABASE!C:Q,4,FALSE)</f>
        <v>GT</v>
      </c>
      <c r="R1344" s="101"/>
      <c r="U1344" s="101"/>
    </row>
    <row r="1345" ht="22.5" customHeight="1">
      <c r="A1345" s="49"/>
      <c r="C1345" s="192">
        <v>46227.0</v>
      </c>
      <c r="D1345" s="192">
        <v>46226.0</v>
      </c>
      <c r="E1345" s="69" t="s">
        <v>123</v>
      </c>
      <c r="F1345" s="243" t="s">
        <v>343</v>
      </c>
      <c r="G1345" s="69" t="s">
        <v>2390</v>
      </c>
      <c r="H1345" s="69" t="s">
        <v>7</v>
      </c>
      <c r="I1345" s="140" t="s">
        <v>2019</v>
      </c>
      <c r="J1345" s="446">
        <v>5.0</v>
      </c>
      <c r="K1345" s="140">
        <v>620000.0</v>
      </c>
      <c r="L1345" s="140">
        <v>620000.0</v>
      </c>
      <c r="M1345" s="140" t="s">
        <v>755</v>
      </c>
      <c r="N1345" s="74">
        <f t="shared" si="6"/>
        <v>3100000</v>
      </c>
      <c r="O1345" s="60">
        <f t="shared" si="2"/>
        <v>46256</v>
      </c>
      <c r="P1345" s="65" t="str">
        <f>VLOOKUP(I1345,DATABASE!C:Q,11,FALSE)</f>
        <v>Tire</v>
      </c>
      <c r="Q1345" s="65" t="str">
        <f>VLOOKUP(I1345,DATABASE!C:Q,4,FALSE)</f>
        <v>GT</v>
      </c>
      <c r="R1345" s="101"/>
      <c r="U1345" s="101"/>
    </row>
    <row r="1346" ht="22.5" customHeight="1">
      <c r="A1346" s="49"/>
      <c r="C1346" s="192">
        <v>46227.0</v>
      </c>
      <c r="D1346" s="192">
        <v>46226.0</v>
      </c>
      <c r="E1346" s="69" t="s">
        <v>123</v>
      </c>
      <c r="F1346" s="243" t="s">
        <v>343</v>
      </c>
      <c r="G1346" s="69" t="s">
        <v>2390</v>
      </c>
      <c r="H1346" s="69" t="s">
        <v>7</v>
      </c>
      <c r="I1346" s="140" t="s">
        <v>897</v>
      </c>
      <c r="J1346" s="446">
        <v>10.0</v>
      </c>
      <c r="K1346" s="140">
        <v>1525000.0</v>
      </c>
      <c r="L1346" s="140">
        <v>1525000.0</v>
      </c>
      <c r="M1346" s="140" t="s">
        <v>755</v>
      </c>
      <c r="N1346" s="74">
        <f t="shared" si="6"/>
        <v>15250000</v>
      </c>
      <c r="O1346" s="60">
        <f t="shared" si="2"/>
        <v>46256</v>
      </c>
      <c r="P1346" s="65" t="str">
        <f>VLOOKUP(I1346,DATABASE!C:Q,11,FALSE)</f>
        <v>Tire</v>
      </c>
      <c r="Q1346" s="65" t="str">
        <f>VLOOKUP(I1346,DATABASE!C:Q,4,FALSE)</f>
        <v>GT</v>
      </c>
      <c r="R1346" s="101"/>
      <c r="U1346" s="101"/>
    </row>
    <row r="1347" ht="22.5" customHeight="1">
      <c r="A1347" s="49"/>
      <c r="C1347" s="192">
        <v>46227.0</v>
      </c>
      <c r="D1347" s="192">
        <v>46226.0</v>
      </c>
      <c r="E1347" s="69" t="s">
        <v>123</v>
      </c>
      <c r="F1347" s="243" t="s">
        <v>343</v>
      </c>
      <c r="G1347" s="69" t="s">
        <v>2390</v>
      </c>
      <c r="H1347" s="69" t="s">
        <v>7</v>
      </c>
      <c r="I1347" s="140" t="s">
        <v>1862</v>
      </c>
      <c r="J1347" s="446">
        <v>10.0</v>
      </c>
      <c r="K1347" s="140">
        <v>2080000.0</v>
      </c>
      <c r="L1347" s="140">
        <v>2080000.0</v>
      </c>
      <c r="M1347" s="140" t="s">
        <v>755</v>
      </c>
      <c r="N1347" s="74">
        <f t="shared" si="6"/>
        <v>20800000</v>
      </c>
      <c r="O1347" s="60">
        <f t="shared" si="2"/>
        <v>46256</v>
      </c>
      <c r="P1347" s="65" t="str">
        <f>VLOOKUP(I1347,DATABASE!C:Q,11,FALSE)</f>
        <v>Tire</v>
      </c>
      <c r="Q1347" s="65" t="str">
        <f>VLOOKUP(I1347,DATABASE!C:Q,4,FALSE)</f>
        <v>GiTi</v>
      </c>
      <c r="R1347" s="101"/>
      <c r="U1347" s="101"/>
    </row>
    <row r="1348" ht="22.5" customHeight="1">
      <c r="A1348" s="49"/>
      <c r="C1348" s="192">
        <v>46227.0</v>
      </c>
      <c r="D1348" s="192">
        <v>46226.0</v>
      </c>
      <c r="E1348" s="69" t="s">
        <v>123</v>
      </c>
      <c r="F1348" s="243" t="s">
        <v>343</v>
      </c>
      <c r="G1348" s="69" t="s">
        <v>2390</v>
      </c>
      <c r="H1348" s="69" t="s">
        <v>7</v>
      </c>
      <c r="I1348" s="140" t="s">
        <v>1858</v>
      </c>
      <c r="J1348" s="446">
        <v>5.0</v>
      </c>
      <c r="K1348" s="140">
        <v>2030000.0</v>
      </c>
      <c r="L1348" s="140">
        <v>2030000.0</v>
      </c>
      <c r="M1348" s="140" t="s">
        <v>755</v>
      </c>
      <c r="N1348" s="74">
        <f t="shared" si="6"/>
        <v>10150000</v>
      </c>
      <c r="O1348" s="60">
        <f t="shared" si="2"/>
        <v>46256</v>
      </c>
      <c r="P1348" s="65" t="str">
        <f>VLOOKUP(I1348,DATABASE!C:Q,11,FALSE)</f>
        <v>Tire</v>
      </c>
      <c r="Q1348" s="65" t="str">
        <f>VLOOKUP(I1348,DATABASE!C:Q,4,FALSE)</f>
        <v>GiTi</v>
      </c>
      <c r="R1348" s="101"/>
      <c r="U1348" s="101"/>
    </row>
    <row r="1349" ht="22.5" customHeight="1">
      <c r="A1349" s="49"/>
      <c r="C1349" s="192">
        <v>46227.0</v>
      </c>
      <c r="D1349" s="192">
        <v>46226.0</v>
      </c>
      <c r="E1349" s="69" t="s">
        <v>123</v>
      </c>
      <c r="F1349" s="243" t="s">
        <v>343</v>
      </c>
      <c r="G1349" s="69" t="s">
        <v>2389</v>
      </c>
      <c r="H1349" s="69" t="s">
        <v>7</v>
      </c>
      <c r="I1349" s="140" t="s">
        <v>286</v>
      </c>
      <c r="J1349" s="446">
        <v>10.0</v>
      </c>
      <c r="K1349" s="140">
        <v>474240.0</v>
      </c>
      <c r="L1349" s="140">
        <v>466800.0</v>
      </c>
      <c r="M1349" s="140" t="s">
        <v>755</v>
      </c>
      <c r="N1349" s="74">
        <f t="shared" si="6"/>
        <v>4668000</v>
      </c>
      <c r="O1349" s="60">
        <f t="shared" si="2"/>
        <v>46256</v>
      </c>
      <c r="P1349" s="65" t="str">
        <f>VLOOKUP(I1349,DATABASE!C:Q,11,FALSE)</f>
        <v>Tire</v>
      </c>
      <c r="Q1349" s="65" t="str">
        <f>VLOOKUP(I1349,DATABASE!C:Q,4,FALSE)</f>
        <v>GT</v>
      </c>
      <c r="R1349" s="101"/>
      <c r="U1349" s="101"/>
    </row>
    <row r="1350" ht="22.5" customHeight="1">
      <c r="A1350" s="49"/>
      <c r="C1350" s="192">
        <v>46227.0</v>
      </c>
      <c r="D1350" s="192">
        <v>46226.0</v>
      </c>
      <c r="E1350" s="69" t="s">
        <v>123</v>
      </c>
      <c r="F1350" s="243" t="s">
        <v>343</v>
      </c>
      <c r="G1350" s="69" t="s">
        <v>2389</v>
      </c>
      <c r="H1350" s="69" t="s">
        <v>7</v>
      </c>
      <c r="I1350" s="140" t="s">
        <v>839</v>
      </c>
      <c r="J1350" s="446">
        <v>10.0</v>
      </c>
      <c r="K1350" s="140">
        <v>490100.0</v>
      </c>
      <c r="L1350" s="140">
        <v>490100.0</v>
      </c>
      <c r="M1350" s="140" t="s">
        <v>755</v>
      </c>
      <c r="N1350" s="74">
        <f t="shared" si="6"/>
        <v>4901000</v>
      </c>
      <c r="O1350" s="60">
        <f t="shared" si="2"/>
        <v>46256</v>
      </c>
      <c r="P1350" s="65" t="str">
        <f>VLOOKUP(I1350,DATABASE!C:Q,11,FALSE)</f>
        <v>Tire</v>
      </c>
      <c r="Q1350" s="65" t="str">
        <f>VLOOKUP(I1350,DATABASE!C:Q,4,FALSE)</f>
        <v>GT</v>
      </c>
      <c r="R1350" s="101"/>
      <c r="U1350" s="101"/>
    </row>
    <row r="1351" ht="22.5" customHeight="1">
      <c r="A1351" s="49"/>
      <c r="C1351" s="192">
        <v>46227.0</v>
      </c>
      <c r="D1351" s="192">
        <v>46226.0</v>
      </c>
      <c r="E1351" s="69" t="s">
        <v>123</v>
      </c>
      <c r="F1351" s="243" t="s">
        <v>343</v>
      </c>
      <c r="G1351" s="69" t="s">
        <v>2389</v>
      </c>
      <c r="H1351" s="69" t="s">
        <v>7</v>
      </c>
      <c r="I1351" s="140" t="s">
        <v>1894</v>
      </c>
      <c r="J1351" s="446">
        <v>4.0</v>
      </c>
      <c r="K1351" s="140">
        <v>458600.0</v>
      </c>
      <c r="L1351" s="140">
        <v>458600.0</v>
      </c>
      <c r="M1351" s="140" t="s">
        <v>755</v>
      </c>
      <c r="N1351" s="74">
        <f t="shared" si="6"/>
        <v>1834400</v>
      </c>
      <c r="O1351" s="60">
        <f t="shared" si="2"/>
        <v>46256</v>
      </c>
      <c r="P1351" s="65" t="str">
        <f>VLOOKUP(I1351,DATABASE!C:Q,11,FALSE)</f>
        <v>Tire</v>
      </c>
      <c r="Q1351" s="65" t="str">
        <f>VLOOKUP(I1351,DATABASE!C:Q,4,FALSE)</f>
        <v>GT</v>
      </c>
      <c r="R1351" s="101"/>
      <c r="U1351" s="101"/>
    </row>
    <row r="1352" ht="22.5" customHeight="1">
      <c r="A1352" s="49"/>
      <c r="C1352" s="192">
        <v>46227.0</v>
      </c>
      <c r="D1352" s="192">
        <v>46226.0</v>
      </c>
      <c r="E1352" s="69" t="s">
        <v>123</v>
      </c>
      <c r="F1352" s="243" t="s">
        <v>343</v>
      </c>
      <c r="G1352" s="69" t="s">
        <v>2389</v>
      </c>
      <c r="H1352" s="69" t="s">
        <v>7</v>
      </c>
      <c r="I1352" s="140" t="s">
        <v>1009</v>
      </c>
      <c r="J1352" s="446">
        <v>10.0</v>
      </c>
      <c r="K1352" s="140">
        <v>609800.0</v>
      </c>
      <c r="L1352" s="140">
        <v>609800.0</v>
      </c>
      <c r="M1352" s="140" t="s">
        <v>755</v>
      </c>
      <c r="N1352" s="74">
        <f t="shared" si="6"/>
        <v>6098000</v>
      </c>
      <c r="O1352" s="60">
        <f t="shared" si="2"/>
        <v>46256</v>
      </c>
      <c r="P1352" s="65" t="str">
        <f>VLOOKUP(I1352,DATABASE!C:Q,11,FALSE)</f>
        <v>Tire</v>
      </c>
      <c r="Q1352" s="65" t="str">
        <f>VLOOKUP(I1352,DATABASE!C:Q,4,FALSE)</f>
        <v>GT</v>
      </c>
      <c r="R1352" s="101"/>
      <c r="U1352" s="101"/>
    </row>
    <row r="1353" ht="22.5" customHeight="1">
      <c r="A1353" s="49"/>
      <c r="C1353" s="192">
        <v>46227.0</v>
      </c>
      <c r="D1353" s="192">
        <v>46226.0</v>
      </c>
      <c r="E1353" s="69" t="s">
        <v>123</v>
      </c>
      <c r="F1353" s="243" t="s">
        <v>343</v>
      </c>
      <c r="G1353" s="69" t="s">
        <v>2389</v>
      </c>
      <c r="H1353" s="69" t="s">
        <v>7</v>
      </c>
      <c r="I1353" s="140" t="s">
        <v>288</v>
      </c>
      <c r="J1353" s="446">
        <v>10.0</v>
      </c>
      <c r="K1353" s="140">
        <v>540500.0</v>
      </c>
      <c r="L1353" s="140">
        <v>540500.0</v>
      </c>
      <c r="M1353" s="140" t="s">
        <v>755</v>
      </c>
      <c r="N1353" s="74">
        <f t="shared" si="6"/>
        <v>5405000</v>
      </c>
      <c r="O1353" s="60">
        <f t="shared" si="2"/>
        <v>46256</v>
      </c>
      <c r="P1353" s="65" t="str">
        <f>VLOOKUP(I1353,DATABASE!C:Q,11,FALSE)</f>
        <v>Tire</v>
      </c>
      <c r="Q1353" s="65" t="str">
        <f>VLOOKUP(I1353,DATABASE!C:Q,4,FALSE)</f>
        <v>GT</v>
      </c>
      <c r="R1353" s="101"/>
      <c r="U1353" s="101"/>
    </row>
    <row r="1354" ht="22.5" customHeight="1">
      <c r="A1354" s="49"/>
      <c r="C1354" s="192">
        <v>46227.0</v>
      </c>
      <c r="D1354" s="192">
        <v>46226.0</v>
      </c>
      <c r="E1354" s="69" t="s">
        <v>123</v>
      </c>
      <c r="F1354" s="243" t="s">
        <v>343</v>
      </c>
      <c r="G1354" s="69" t="s">
        <v>2389</v>
      </c>
      <c r="H1354" s="69" t="s">
        <v>7</v>
      </c>
      <c r="I1354" s="140" t="s">
        <v>1867</v>
      </c>
      <c r="J1354" s="446">
        <v>5.0</v>
      </c>
      <c r="K1354" s="140">
        <v>575200.0</v>
      </c>
      <c r="L1354" s="140">
        <v>575200.0</v>
      </c>
      <c r="M1354" s="140" t="s">
        <v>755</v>
      </c>
      <c r="N1354" s="74">
        <f t="shared" si="6"/>
        <v>2876000</v>
      </c>
      <c r="O1354" s="60">
        <f t="shared" si="2"/>
        <v>46256</v>
      </c>
      <c r="P1354" s="65" t="str">
        <f>VLOOKUP(I1354,DATABASE!C:Q,11,FALSE)</f>
        <v>Tire</v>
      </c>
      <c r="Q1354" s="65" t="str">
        <f>VLOOKUP(I1354,DATABASE!C:Q,4,FALSE)</f>
        <v>GT</v>
      </c>
      <c r="R1354" s="101"/>
      <c r="U1354" s="101"/>
    </row>
    <row r="1355" ht="22.5" customHeight="1">
      <c r="A1355" s="49"/>
      <c r="C1355" s="192">
        <v>46227.0</v>
      </c>
      <c r="D1355" s="192">
        <v>46226.0</v>
      </c>
      <c r="E1355" s="69" t="s">
        <v>123</v>
      </c>
      <c r="F1355" s="243" t="s">
        <v>343</v>
      </c>
      <c r="G1355" s="69" t="s">
        <v>2389</v>
      </c>
      <c r="H1355" s="69" t="s">
        <v>7</v>
      </c>
      <c r="I1355" s="140" t="s">
        <v>290</v>
      </c>
      <c r="J1355" s="446">
        <v>10.0</v>
      </c>
      <c r="K1355" s="140">
        <v>628100.0</v>
      </c>
      <c r="L1355" s="140">
        <v>628100.0</v>
      </c>
      <c r="M1355" s="140" t="s">
        <v>755</v>
      </c>
      <c r="N1355" s="74">
        <f t="shared" si="6"/>
        <v>6281000</v>
      </c>
      <c r="O1355" s="60">
        <f t="shared" si="2"/>
        <v>46256</v>
      </c>
      <c r="P1355" s="65" t="str">
        <f>VLOOKUP(I1355,DATABASE!C:Q,11,FALSE)</f>
        <v>Tire</v>
      </c>
      <c r="Q1355" s="65" t="str">
        <f>VLOOKUP(I1355,DATABASE!C:Q,4,FALSE)</f>
        <v>GT</v>
      </c>
      <c r="R1355" s="101"/>
      <c r="U1355" s="101"/>
    </row>
    <row r="1356" ht="22.5" customHeight="1">
      <c r="A1356" s="49"/>
      <c r="C1356" s="192">
        <v>46227.0</v>
      </c>
      <c r="D1356" s="192">
        <v>46226.0</v>
      </c>
      <c r="E1356" s="69" t="s">
        <v>123</v>
      </c>
      <c r="F1356" s="243" t="s">
        <v>343</v>
      </c>
      <c r="G1356" s="69" t="s">
        <v>2389</v>
      </c>
      <c r="H1356" s="69" t="s">
        <v>7</v>
      </c>
      <c r="I1356" s="140" t="s">
        <v>1597</v>
      </c>
      <c r="J1356" s="446">
        <v>6.0</v>
      </c>
      <c r="K1356" s="140">
        <v>560700.0</v>
      </c>
      <c r="L1356" s="140">
        <v>560700.0</v>
      </c>
      <c r="M1356" s="140" t="s">
        <v>755</v>
      </c>
      <c r="N1356" s="74">
        <f t="shared" si="6"/>
        <v>3364200</v>
      </c>
      <c r="O1356" s="60">
        <f t="shared" si="2"/>
        <v>46256</v>
      </c>
      <c r="P1356" s="65" t="str">
        <f>VLOOKUP(I1356,DATABASE!C:Q,11,FALSE)</f>
        <v>Tire</v>
      </c>
      <c r="Q1356" s="65" t="str">
        <f>VLOOKUP(I1356,DATABASE!C:Q,4,FALSE)</f>
        <v>GT</v>
      </c>
      <c r="R1356" s="101"/>
      <c r="U1356" s="101"/>
    </row>
    <row r="1357" ht="22.5" customHeight="1">
      <c r="A1357" s="49"/>
      <c r="C1357" s="192">
        <v>46227.0</v>
      </c>
      <c r="D1357" s="192">
        <v>46226.0</v>
      </c>
      <c r="E1357" s="69" t="s">
        <v>123</v>
      </c>
      <c r="F1357" s="243" t="s">
        <v>343</v>
      </c>
      <c r="G1357" s="69" t="s">
        <v>2389</v>
      </c>
      <c r="H1357" s="69" t="s">
        <v>7</v>
      </c>
      <c r="I1357" s="140" t="s">
        <v>868</v>
      </c>
      <c r="J1357" s="446">
        <v>2.0</v>
      </c>
      <c r="K1357" s="140">
        <v>861200.0</v>
      </c>
      <c r="L1357" s="140">
        <v>861200.0</v>
      </c>
      <c r="M1357" s="140" t="s">
        <v>755</v>
      </c>
      <c r="N1357" s="74">
        <f t="shared" si="6"/>
        <v>1722400</v>
      </c>
      <c r="O1357" s="60">
        <f t="shared" si="2"/>
        <v>46256</v>
      </c>
      <c r="P1357" s="65" t="str">
        <f>VLOOKUP(I1357,DATABASE!C:Q,11,FALSE)</f>
        <v>Tire</v>
      </c>
      <c r="Q1357" s="65" t="str">
        <f>VLOOKUP(I1357,DATABASE!C:Q,4,FALSE)</f>
        <v>GT</v>
      </c>
      <c r="R1357" s="101"/>
      <c r="U1357" s="101"/>
    </row>
    <row r="1358" ht="22.5" customHeight="1">
      <c r="A1358" s="49"/>
      <c r="C1358" s="192">
        <v>46227.0</v>
      </c>
      <c r="D1358" s="192">
        <v>46226.0</v>
      </c>
      <c r="E1358" s="69" t="s">
        <v>123</v>
      </c>
      <c r="F1358" s="243" t="s">
        <v>343</v>
      </c>
      <c r="G1358" s="69" t="s">
        <v>2389</v>
      </c>
      <c r="H1358" s="69" t="s">
        <v>7</v>
      </c>
      <c r="I1358" s="140" t="s">
        <v>856</v>
      </c>
      <c r="J1358" s="446">
        <v>10.0</v>
      </c>
      <c r="K1358" s="140">
        <v>615300.0</v>
      </c>
      <c r="L1358" s="140">
        <v>615300.0</v>
      </c>
      <c r="M1358" s="140" t="s">
        <v>755</v>
      </c>
      <c r="N1358" s="74">
        <f t="shared" si="6"/>
        <v>6153000</v>
      </c>
      <c r="O1358" s="60">
        <f t="shared" si="2"/>
        <v>46256</v>
      </c>
      <c r="P1358" s="65" t="str">
        <f>VLOOKUP(I1358,DATABASE!C:Q,11,FALSE)</f>
        <v>Tire</v>
      </c>
      <c r="Q1358" s="65" t="str">
        <f>VLOOKUP(I1358,DATABASE!C:Q,4,FALSE)</f>
        <v>GT</v>
      </c>
      <c r="R1358" s="101"/>
      <c r="U1358" s="101"/>
    </row>
    <row r="1359" ht="22.5" customHeight="1">
      <c r="A1359" s="49"/>
      <c r="C1359" s="192">
        <v>46227.0</v>
      </c>
      <c r="D1359" s="192">
        <v>46226.0</v>
      </c>
      <c r="E1359" s="69" t="s">
        <v>123</v>
      </c>
      <c r="F1359" s="243" t="s">
        <v>343</v>
      </c>
      <c r="G1359" s="69" t="s">
        <v>2389</v>
      </c>
      <c r="H1359" s="69" t="s">
        <v>7</v>
      </c>
      <c r="I1359" s="140" t="s">
        <v>1439</v>
      </c>
      <c r="J1359" s="446">
        <v>10.0</v>
      </c>
      <c r="K1359" s="140">
        <v>556800.0</v>
      </c>
      <c r="L1359" s="140">
        <v>556800.0</v>
      </c>
      <c r="M1359" s="140" t="s">
        <v>755</v>
      </c>
      <c r="N1359" s="74">
        <f t="shared" si="6"/>
        <v>5568000</v>
      </c>
      <c r="O1359" s="60">
        <f t="shared" si="2"/>
        <v>46256</v>
      </c>
      <c r="P1359" s="65" t="str">
        <f>VLOOKUP(I1359,DATABASE!C:Q,11,FALSE)</f>
        <v>Tire</v>
      </c>
      <c r="Q1359" s="65" t="str">
        <f>VLOOKUP(I1359,DATABASE!C:Q,4,FALSE)</f>
        <v>GT</v>
      </c>
      <c r="R1359" s="101"/>
      <c r="U1359" s="101"/>
    </row>
    <row r="1360" ht="22.5" customHeight="1">
      <c r="A1360" s="49"/>
      <c r="C1360" s="192">
        <v>46227.0</v>
      </c>
      <c r="D1360" s="192">
        <v>46226.0</v>
      </c>
      <c r="E1360" s="69" t="s">
        <v>123</v>
      </c>
      <c r="F1360" s="243" t="s">
        <v>343</v>
      </c>
      <c r="G1360" s="69" t="s">
        <v>2389</v>
      </c>
      <c r="H1360" s="69" t="s">
        <v>7</v>
      </c>
      <c r="I1360" s="140" t="s">
        <v>287</v>
      </c>
      <c r="J1360" s="446">
        <v>10.0</v>
      </c>
      <c r="K1360" s="140">
        <v>711000.0</v>
      </c>
      <c r="L1360" s="140">
        <v>711000.0</v>
      </c>
      <c r="M1360" s="140" t="s">
        <v>755</v>
      </c>
      <c r="N1360" s="74">
        <f t="shared" si="6"/>
        <v>7110000</v>
      </c>
      <c r="O1360" s="60">
        <f t="shared" si="2"/>
        <v>46256</v>
      </c>
      <c r="P1360" s="65" t="str">
        <f>VLOOKUP(I1360,DATABASE!C:Q,11,FALSE)</f>
        <v>Tire</v>
      </c>
      <c r="Q1360" s="65" t="str">
        <f>VLOOKUP(I1360,DATABASE!C:Q,4,FALSE)</f>
        <v>GT</v>
      </c>
      <c r="R1360" s="101"/>
      <c r="U1360" s="101"/>
    </row>
    <row r="1361" ht="22.5" customHeight="1">
      <c r="A1361" s="49"/>
      <c r="C1361" s="192">
        <v>46227.0</v>
      </c>
      <c r="D1361" s="192">
        <v>46226.0</v>
      </c>
      <c r="E1361" s="69" t="s">
        <v>123</v>
      </c>
      <c r="F1361" s="243" t="s">
        <v>343</v>
      </c>
      <c r="G1361" s="69" t="s">
        <v>2389</v>
      </c>
      <c r="H1361" s="69" t="s">
        <v>7</v>
      </c>
      <c r="I1361" s="140" t="s">
        <v>1898</v>
      </c>
      <c r="J1361" s="446">
        <v>2.0</v>
      </c>
      <c r="K1361" s="140">
        <v>640700.0</v>
      </c>
      <c r="L1361" s="140">
        <v>640700.0</v>
      </c>
      <c r="M1361" s="140" t="s">
        <v>755</v>
      </c>
      <c r="N1361" s="74">
        <f t="shared" si="6"/>
        <v>1281400</v>
      </c>
      <c r="O1361" s="60">
        <f t="shared" si="2"/>
        <v>46256</v>
      </c>
      <c r="P1361" s="65" t="str">
        <f>VLOOKUP(I1361,DATABASE!C:Q,11,FALSE)</f>
        <v>Tire</v>
      </c>
      <c r="Q1361" s="65" t="str">
        <f>VLOOKUP(I1361,DATABASE!C:Q,4,FALSE)</f>
        <v>GT</v>
      </c>
      <c r="R1361" s="101"/>
      <c r="U1361" s="101"/>
    </row>
    <row r="1362" ht="22.5" customHeight="1">
      <c r="A1362" s="49"/>
      <c r="C1362" s="192">
        <v>46227.0</v>
      </c>
      <c r="D1362" s="192">
        <v>46226.0</v>
      </c>
      <c r="E1362" s="69" t="s">
        <v>123</v>
      </c>
      <c r="F1362" s="243" t="s">
        <v>343</v>
      </c>
      <c r="G1362" s="69" t="s">
        <v>2389</v>
      </c>
      <c r="H1362" s="69" t="s">
        <v>7</v>
      </c>
      <c r="I1362" s="140" t="s">
        <v>1430</v>
      </c>
      <c r="J1362" s="446">
        <v>2.0</v>
      </c>
      <c r="K1362" s="140">
        <v>672800.0</v>
      </c>
      <c r="L1362" s="140">
        <v>672800.0</v>
      </c>
      <c r="M1362" s="140" t="s">
        <v>755</v>
      </c>
      <c r="N1362" s="74">
        <f t="shared" si="6"/>
        <v>1345600</v>
      </c>
      <c r="O1362" s="60">
        <f t="shared" si="2"/>
        <v>46256</v>
      </c>
      <c r="P1362" s="65" t="str">
        <f>VLOOKUP(I1362,DATABASE!C:Q,11,FALSE)</f>
        <v>Tire</v>
      </c>
      <c r="Q1362" s="65" t="str">
        <f>VLOOKUP(I1362,DATABASE!C:Q,4,FALSE)</f>
        <v>GT</v>
      </c>
      <c r="R1362" s="101"/>
      <c r="U1362" s="101"/>
    </row>
    <row r="1363" ht="22.5" customHeight="1">
      <c r="A1363" s="49"/>
      <c r="C1363" s="192">
        <v>46227.0</v>
      </c>
      <c r="D1363" s="192">
        <v>46226.0</v>
      </c>
      <c r="E1363" s="69" t="s">
        <v>123</v>
      </c>
      <c r="F1363" s="243" t="s">
        <v>343</v>
      </c>
      <c r="G1363" s="69" t="s">
        <v>2389</v>
      </c>
      <c r="H1363" s="69" t="s">
        <v>7</v>
      </c>
      <c r="I1363" s="140" t="s">
        <v>1913</v>
      </c>
      <c r="J1363" s="446">
        <v>6.0</v>
      </c>
      <c r="K1363" s="140">
        <v>587200.0</v>
      </c>
      <c r="L1363" s="140">
        <v>587200.0</v>
      </c>
      <c r="M1363" s="140" t="s">
        <v>755</v>
      </c>
      <c r="N1363" s="74">
        <f t="shared" si="6"/>
        <v>3523200</v>
      </c>
      <c r="O1363" s="60">
        <f t="shared" si="2"/>
        <v>46256</v>
      </c>
      <c r="P1363" s="65" t="str">
        <f>VLOOKUP(I1363,DATABASE!C:Q,11,FALSE)</f>
        <v>Tire</v>
      </c>
      <c r="Q1363" s="65" t="str">
        <f>VLOOKUP(I1363,DATABASE!C:Q,4,FALSE)</f>
        <v>GT</v>
      </c>
      <c r="R1363" s="101"/>
      <c r="U1363" s="101"/>
    </row>
    <row r="1364" ht="22.5" customHeight="1">
      <c r="A1364" s="49"/>
      <c r="C1364" s="192">
        <v>46227.0</v>
      </c>
      <c r="D1364" s="192">
        <v>46226.0</v>
      </c>
      <c r="E1364" s="69" t="s">
        <v>123</v>
      </c>
      <c r="F1364" s="243" t="s">
        <v>343</v>
      </c>
      <c r="G1364" s="69" t="s">
        <v>2389</v>
      </c>
      <c r="H1364" s="69" t="s">
        <v>7</v>
      </c>
      <c r="I1364" s="140" t="s">
        <v>1940</v>
      </c>
      <c r="J1364" s="446">
        <v>2.0</v>
      </c>
      <c r="K1364" s="140">
        <v>775500.0</v>
      </c>
      <c r="L1364" s="140">
        <v>775500.0</v>
      </c>
      <c r="M1364" s="140" t="s">
        <v>755</v>
      </c>
      <c r="N1364" s="74">
        <f t="shared" si="6"/>
        <v>1551000</v>
      </c>
      <c r="O1364" s="60">
        <f t="shared" si="2"/>
        <v>46256</v>
      </c>
      <c r="P1364" s="65" t="str">
        <f>VLOOKUP(I1364,DATABASE!C:Q,11,FALSE)</f>
        <v>Tire</v>
      </c>
      <c r="Q1364" s="65" t="str">
        <f>VLOOKUP(I1364,DATABASE!C:Q,4,FALSE)</f>
        <v>GT</v>
      </c>
      <c r="R1364" s="101"/>
      <c r="U1364" s="101"/>
    </row>
    <row r="1365" ht="22.5" customHeight="1">
      <c r="A1365" s="49"/>
      <c r="C1365" s="192">
        <v>46227.0</v>
      </c>
      <c r="D1365" s="192">
        <v>46226.0</v>
      </c>
      <c r="E1365" s="69" t="s">
        <v>123</v>
      </c>
      <c r="F1365" s="243" t="s">
        <v>343</v>
      </c>
      <c r="G1365" s="69" t="s">
        <v>2389</v>
      </c>
      <c r="H1365" s="69" t="s">
        <v>7</v>
      </c>
      <c r="I1365" s="140" t="s">
        <v>1704</v>
      </c>
      <c r="J1365" s="446">
        <v>4.0</v>
      </c>
      <c r="K1365" s="140">
        <v>787500.0</v>
      </c>
      <c r="L1365" s="140">
        <v>787500.0</v>
      </c>
      <c r="M1365" s="140" t="s">
        <v>755</v>
      </c>
      <c r="N1365" s="74">
        <f t="shared" si="6"/>
        <v>3150000</v>
      </c>
      <c r="O1365" s="60">
        <f t="shared" si="2"/>
        <v>46256</v>
      </c>
      <c r="P1365" s="65" t="str">
        <f>VLOOKUP(I1365,DATABASE!C:Q,11,FALSE)</f>
        <v>Tire</v>
      </c>
      <c r="Q1365" s="65" t="str">
        <f>VLOOKUP(I1365,DATABASE!C:Q,4,FALSE)</f>
        <v>GT</v>
      </c>
      <c r="R1365" s="101"/>
      <c r="U1365" s="101"/>
    </row>
    <row r="1366" ht="22.5" customHeight="1">
      <c r="A1366" s="49"/>
      <c r="C1366" s="192">
        <v>46231.0</v>
      </c>
      <c r="D1366" s="192">
        <v>46231.0</v>
      </c>
      <c r="E1366" s="69" t="s">
        <v>335</v>
      </c>
      <c r="F1366" s="243" t="s">
        <v>343</v>
      </c>
      <c r="G1366" s="69" t="s">
        <v>2255</v>
      </c>
      <c r="H1366" s="69" t="s">
        <v>7</v>
      </c>
      <c r="I1366" s="140" t="s">
        <v>924</v>
      </c>
      <c r="J1366" s="446">
        <v>7.0</v>
      </c>
      <c r="K1366" s="140">
        <v>1560000.0</v>
      </c>
      <c r="L1366" s="140">
        <v>1555000.0</v>
      </c>
      <c r="M1366" s="140" t="s">
        <v>521</v>
      </c>
      <c r="N1366" s="74">
        <f t="shared" si="6"/>
        <v>10885000</v>
      </c>
      <c r="O1366" s="60">
        <f t="shared" si="2"/>
        <v>46291</v>
      </c>
      <c r="P1366" s="65" t="str">
        <f>VLOOKUP(I1366,DATABASE!C:Q,11,FALSE)</f>
        <v>Tire</v>
      </c>
      <c r="Q1366" s="65" t="str">
        <f>VLOOKUP(I1366,DATABASE!C:Q,4,FALSE)</f>
        <v>TIRON</v>
      </c>
      <c r="R1366" s="101"/>
      <c r="U1366" s="101"/>
    </row>
    <row r="1367" ht="22.5" customHeight="1">
      <c r="A1367" s="49"/>
      <c r="C1367" s="192">
        <v>46235.0</v>
      </c>
      <c r="D1367" s="192">
        <v>46235.0</v>
      </c>
      <c r="E1367" s="69" t="s">
        <v>436</v>
      </c>
      <c r="F1367" s="243" t="s">
        <v>998</v>
      </c>
      <c r="G1367" s="69"/>
      <c r="H1367" s="69" t="s">
        <v>2314</v>
      </c>
      <c r="I1367" s="140" t="s">
        <v>2641</v>
      </c>
      <c r="J1367" s="446">
        <v>10.0</v>
      </c>
      <c r="K1367" s="140">
        <v>25500.0</v>
      </c>
      <c r="L1367" s="140">
        <v>25500.0</v>
      </c>
      <c r="M1367" s="140" t="s">
        <v>755</v>
      </c>
      <c r="N1367" s="74">
        <f t="shared" si="6"/>
        <v>255000</v>
      </c>
      <c r="O1367" s="60">
        <f t="shared" si="2"/>
        <v>46265</v>
      </c>
      <c r="P1367" s="65" t="str">
        <f>VLOOKUP(I1367,DATABASE!C:Q,11,FALSE)</f>
        <v>COMPLEMENTARY</v>
      </c>
      <c r="Q1367" s="65" t="str">
        <f>VLOOKUP(I1367,DATABASE!C:Q,4,FALSE)</f>
        <v>Honda</v>
      </c>
      <c r="R1367" s="101"/>
      <c r="U1367" s="101"/>
    </row>
    <row r="1368" ht="22.5" customHeight="1">
      <c r="A1368" s="49"/>
      <c r="C1368" s="192">
        <v>46235.0</v>
      </c>
      <c r="D1368" s="192">
        <v>46235.0</v>
      </c>
      <c r="E1368" s="69" t="s">
        <v>436</v>
      </c>
      <c r="F1368" s="243" t="s">
        <v>998</v>
      </c>
      <c r="G1368" s="69"/>
      <c r="H1368" s="69" t="s">
        <v>2314</v>
      </c>
      <c r="I1368" s="140" t="s">
        <v>2642</v>
      </c>
      <c r="J1368" s="446">
        <v>10.0</v>
      </c>
      <c r="K1368" s="140">
        <v>26500.0</v>
      </c>
      <c r="L1368" s="140">
        <v>26500.0</v>
      </c>
      <c r="M1368" s="140" t="s">
        <v>755</v>
      </c>
      <c r="N1368" s="74">
        <f t="shared" si="6"/>
        <v>265000</v>
      </c>
      <c r="O1368" s="60">
        <f t="shared" si="2"/>
        <v>46265</v>
      </c>
      <c r="P1368" s="65" t="str">
        <f>VLOOKUP(I1368,DATABASE!C:Q,11,FALSE)</f>
        <v>COMPLEMENTARY</v>
      </c>
      <c r="Q1368" s="65" t="str">
        <f>VLOOKUP(I1368,DATABASE!C:Q,4,FALSE)</f>
        <v>Sakura</v>
      </c>
      <c r="R1368" s="101"/>
      <c r="U1368" s="101"/>
    </row>
    <row r="1369" ht="22.5" customHeight="1">
      <c r="A1369" s="49"/>
      <c r="C1369" s="192">
        <v>46235.0</v>
      </c>
      <c r="D1369" s="192">
        <v>46235.0</v>
      </c>
      <c r="E1369" s="69" t="s">
        <v>436</v>
      </c>
      <c r="F1369" s="243" t="s">
        <v>998</v>
      </c>
      <c r="G1369" s="69"/>
      <c r="H1369" s="69" t="s">
        <v>2314</v>
      </c>
      <c r="I1369" s="140" t="s">
        <v>2643</v>
      </c>
      <c r="J1369" s="446">
        <v>10.0</v>
      </c>
      <c r="K1369" s="140">
        <v>22500.0</v>
      </c>
      <c r="L1369" s="140">
        <v>22500.0</v>
      </c>
      <c r="M1369" s="140" t="s">
        <v>755</v>
      </c>
      <c r="N1369" s="74">
        <f t="shared" si="6"/>
        <v>225000</v>
      </c>
      <c r="O1369" s="60">
        <f t="shared" si="2"/>
        <v>46265</v>
      </c>
      <c r="P1369" s="65" t="str">
        <f>VLOOKUP(I1369,DATABASE!C:Q,11,FALSE)</f>
        <v>COMPLEMENTARY</v>
      </c>
      <c r="Q1369" s="65" t="str">
        <f>VLOOKUP(I1369,DATABASE!C:Q,4,FALSE)</f>
        <v>Suzuki</v>
      </c>
      <c r="R1369" s="101"/>
      <c r="U1369" s="101"/>
    </row>
    <row r="1370" ht="22.5" customHeight="1">
      <c r="A1370" s="49"/>
      <c r="C1370" s="192">
        <v>46237.0</v>
      </c>
      <c r="D1370" s="192">
        <v>46235.0</v>
      </c>
      <c r="E1370" s="69" t="s">
        <v>110</v>
      </c>
      <c r="F1370" s="243" t="s">
        <v>343</v>
      </c>
      <c r="G1370" s="69"/>
      <c r="H1370" s="69" t="s">
        <v>7</v>
      </c>
      <c r="I1370" s="140" t="s">
        <v>2037</v>
      </c>
      <c r="J1370" s="446">
        <v>1.0</v>
      </c>
      <c r="K1370" s="140">
        <v>2475000.0</v>
      </c>
      <c r="L1370" s="140">
        <v>2575000.0</v>
      </c>
      <c r="M1370" s="140" t="s">
        <v>2190</v>
      </c>
      <c r="N1370" s="74">
        <f t="shared" si="6"/>
        <v>2575000</v>
      </c>
      <c r="O1370" s="60">
        <f t="shared" si="2"/>
        <v>46249</v>
      </c>
      <c r="P1370" s="65" t="str">
        <f>VLOOKUP(I1370,DATABASE!C:Q,11,FALSE)</f>
        <v>Tire</v>
      </c>
      <c r="Q1370" s="65" t="str">
        <f>VLOOKUP(I1370,DATABASE!C:Q,4,FALSE)</f>
        <v>GT</v>
      </c>
      <c r="R1370" s="101"/>
      <c r="U1370" s="101"/>
    </row>
    <row r="1371" ht="22.5" customHeight="1">
      <c r="A1371" s="49"/>
      <c r="C1371" s="192">
        <v>46238.0</v>
      </c>
      <c r="D1371" s="192">
        <v>46237.0</v>
      </c>
      <c r="E1371" s="69" t="s">
        <v>81</v>
      </c>
      <c r="F1371" s="243" t="s">
        <v>998</v>
      </c>
      <c r="G1371" s="69" t="s">
        <v>1346</v>
      </c>
      <c r="H1371" s="69" t="s">
        <v>2314</v>
      </c>
      <c r="I1371" s="140" t="s">
        <v>1389</v>
      </c>
      <c r="J1371" s="446">
        <v>3.0</v>
      </c>
      <c r="K1371" s="140">
        <v>908000.0</v>
      </c>
      <c r="L1371" s="140">
        <v>908000.0</v>
      </c>
      <c r="M1371" s="140" t="s">
        <v>2190</v>
      </c>
      <c r="N1371" s="74">
        <f t="shared" si="6"/>
        <v>2724000</v>
      </c>
      <c r="O1371" s="60">
        <f t="shared" si="2"/>
        <v>46251</v>
      </c>
      <c r="P1371" s="65" t="str">
        <f>VLOOKUP(I1371,DATABASE!C:Q,11,FALSE)</f>
        <v>Tire</v>
      </c>
      <c r="Q1371" s="65" t="str">
        <f>VLOOKUP(I1371,DATABASE!C:Q,4,FALSE)</f>
        <v>Dunlop</v>
      </c>
      <c r="R1371" s="101"/>
      <c r="U1371" s="101"/>
    </row>
    <row r="1372" ht="22.5" customHeight="1">
      <c r="A1372" s="49"/>
      <c r="C1372" s="192">
        <v>46238.0</v>
      </c>
      <c r="D1372" s="192">
        <v>46238.0</v>
      </c>
      <c r="E1372" s="69" t="s">
        <v>81</v>
      </c>
      <c r="F1372" s="243" t="s">
        <v>343</v>
      </c>
      <c r="G1372" s="69" t="s">
        <v>1838</v>
      </c>
      <c r="H1372" s="69" t="s">
        <v>87</v>
      </c>
      <c r="I1372" s="140" t="s">
        <v>268</v>
      </c>
      <c r="J1372" s="446">
        <v>40.0</v>
      </c>
      <c r="K1372" s="140">
        <v>634500.0</v>
      </c>
      <c r="L1372" s="140">
        <v>628000.0</v>
      </c>
      <c r="M1372" s="74" t="s">
        <v>657</v>
      </c>
      <c r="N1372" s="74">
        <f t="shared" si="6"/>
        <v>25120000</v>
      </c>
      <c r="O1372" s="60">
        <f t="shared" si="2"/>
        <v>46313</v>
      </c>
      <c r="P1372" s="65" t="str">
        <f>VLOOKUP(I1372,DATABASE!C:Q,11,FALSE)</f>
        <v>Tire</v>
      </c>
      <c r="Q1372" s="65" t="str">
        <f>VLOOKUP(I1372,DATABASE!C:Q,4,FALSE)</f>
        <v>Dunlop</v>
      </c>
      <c r="R1372" s="101"/>
      <c r="U1372" s="101"/>
    </row>
    <row r="1373" ht="22.5" customHeight="1">
      <c r="A1373" s="49"/>
      <c r="C1373" s="192">
        <v>46238.0</v>
      </c>
      <c r="D1373" s="192">
        <v>46238.0</v>
      </c>
      <c r="E1373" s="69" t="s">
        <v>81</v>
      </c>
      <c r="F1373" s="243" t="s">
        <v>343</v>
      </c>
      <c r="G1373" s="69" t="s">
        <v>1838</v>
      </c>
      <c r="H1373" s="69" t="s">
        <v>87</v>
      </c>
      <c r="I1373" s="140" t="s">
        <v>275</v>
      </c>
      <c r="J1373" s="446">
        <v>22.0</v>
      </c>
      <c r="K1373" s="140">
        <v>759500.0</v>
      </c>
      <c r="L1373" s="140">
        <v>752000.0</v>
      </c>
      <c r="M1373" s="74" t="s">
        <v>657</v>
      </c>
      <c r="N1373" s="74">
        <f t="shared" si="6"/>
        <v>16544000</v>
      </c>
      <c r="O1373" s="60">
        <f t="shared" si="2"/>
        <v>46313</v>
      </c>
      <c r="P1373" s="65" t="str">
        <f>VLOOKUP(I1373,DATABASE!C:Q,11,FALSE)</f>
        <v>Tire</v>
      </c>
      <c r="Q1373" s="65" t="str">
        <f>VLOOKUP(I1373,DATABASE!C:Q,4,FALSE)</f>
        <v>Dunlop</v>
      </c>
      <c r="R1373" s="101"/>
      <c r="U1373" s="101"/>
    </row>
    <row r="1374" ht="22.5" customHeight="1">
      <c r="A1374" s="49"/>
      <c r="C1374" s="192">
        <v>46238.0</v>
      </c>
      <c r="D1374" s="192">
        <v>46238.0</v>
      </c>
      <c r="E1374" s="69" t="s">
        <v>81</v>
      </c>
      <c r="F1374" s="243" t="s">
        <v>343</v>
      </c>
      <c r="G1374" s="69" t="s">
        <v>1838</v>
      </c>
      <c r="H1374" s="69" t="s">
        <v>87</v>
      </c>
      <c r="I1374" s="140" t="s">
        <v>271</v>
      </c>
      <c r="J1374" s="446">
        <v>10.0</v>
      </c>
      <c r="K1374" s="140">
        <v>550000.0</v>
      </c>
      <c r="L1374" s="140">
        <v>550000.0</v>
      </c>
      <c r="M1374" s="74" t="s">
        <v>657</v>
      </c>
      <c r="N1374" s="74">
        <f t="shared" si="6"/>
        <v>5500000</v>
      </c>
      <c r="O1374" s="60">
        <f t="shared" si="2"/>
        <v>46313</v>
      </c>
      <c r="P1374" s="65" t="str">
        <f>VLOOKUP(I1374,DATABASE!C:Q,11,FALSE)</f>
        <v>Tire</v>
      </c>
      <c r="Q1374" s="65" t="str">
        <f>VLOOKUP(I1374,DATABASE!C:Q,4,FALSE)</f>
        <v>Dunlop</v>
      </c>
      <c r="R1374" s="101"/>
      <c r="U1374" s="101"/>
    </row>
    <row r="1375" ht="22.5" customHeight="1">
      <c r="A1375" s="49"/>
      <c r="C1375" s="192">
        <v>46238.0</v>
      </c>
      <c r="D1375" s="192">
        <v>46238.0</v>
      </c>
      <c r="E1375" s="69" t="s">
        <v>81</v>
      </c>
      <c r="F1375" s="243" t="s">
        <v>343</v>
      </c>
      <c r="G1375" s="69" t="s">
        <v>1838</v>
      </c>
      <c r="H1375" s="69" t="s">
        <v>87</v>
      </c>
      <c r="I1375" s="140" t="s">
        <v>955</v>
      </c>
      <c r="J1375" s="446">
        <v>7.0</v>
      </c>
      <c r="K1375" s="140">
        <v>688000.0</v>
      </c>
      <c r="L1375" s="140">
        <v>688000.0</v>
      </c>
      <c r="M1375" s="140" t="s">
        <v>657</v>
      </c>
      <c r="N1375" s="74">
        <f t="shared" si="6"/>
        <v>4816000</v>
      </c>
      <c r="O1375" s="60">
        <f t="shared" si="2"/>
        <v>46313</v>
      </c>
      <c r="P1375" s="65" t="str">
        <f>VLOOKUP(I1375,DATABASE!C:Q,11,FALSE)</f>
        <v>Tire</v>
      </c>
      <c r="Q1375" s="65" t="str">
        <f>VLOOKUP(I1375,DATABASE!C:Q,4,FALSE)</f>
        <v>Dunlop</v>
      </c>
      <c r="R1375" s="101"/>
      <c r="U1375" s="101"/>
    </row>
    <row r="1376" ht="22.5" customHeight="1">
      <c r="A1376" s="49"/>
      <c r="C1376" s="192">
        <v>46238.0</v>
      </c>
      <c r="D1376" s="192">
        <v>46238.0</v>
      </c>
      <c r="E1376" s="69" t="s">
        <v>81</v>
      </c>
      <c r="F1376" s="243" t="s">
        <v>343</v>
      </c>
      <c r="G1376" s="69" t="s">
        <v>1838</v>
      </c>
      <c r="H1376" s="69" t="s">
        <v>87</v>
      </c>
      <c r="I1376" s="140" t="s">
        <v>1427</v>
      </c>
      <c r="J1376" s="446">
        <v>4.0</v>
      </c>
      <c r="K1376" s="140">
        <v>696500.0</v>
      </c>
      <c r="L1376" s="140">
        <v>696500.0</v>
      </c>
      <c r="M1376" s="140" t="s">
        <v>657</v>
      </c>
      <c r="N1376" s="74">
        <f t="shared" si="6"/>
        <v>2786000</v>
      </c>
      <c r="O1376" s="60">
        <f t="shared" si="2"/>
        <v>46313</v>
      </c>
      <c r="P1376" s="65" t="str">
        <f>VLOOKUP(I1376,DATABASE!C:Q,11,FALSE)</f>
        <v>Tire</v>
      </c>
      <c r="Q1376" s="65" t="str">
        <f>VLOOKUP(I1376,DATABASE!C:Q,4,FALSE)</f>
        <v>Dunlop</v>
      </c>
      <c r="R1376" s="101"/>
      <c r="U1376" s="101"/>
    </row>
    <row r="1377" ht="22.5" customHeight="1">
      <c r="A1377" s="49"/>
      <c r="C1377" s="192">
        <v>46238.0</v>
      </c>
      <c r="D1377" s="192">
        <v>46238.0</v>
      </c>
      <c r="E1377" s="69" t="s">
        <v>81</v>
      </c>
      <c r="F1377" s="243" t="s">
        <v>343</v>
      </c>
      <c r="G1377" s="69" t="s">
        <v>1838</v>
      </c>
      <c r="H1377" s="69" t="s">
        <v>87</v>
      </c>
      <c r="I1377" s="140" t="s">
        <v>1429</v>
      </c>
      <c r="J1377" s="446">
        <v>4.0</v>
      </c>
      <c r="K1377" s="140">
        <v>840000.0</v>
      </c>
      <c r="L1377" s="140">
        <v>849000.0</v>
      </c>
      <c r="M1377" s="140" t="s">
        <v>657</v>
      </c>
      <c r="N1377" s="74">
        <f t="shared" si="6"/>
        <v>3396000</v>
      </c>
      <c r="O1377" s="60">
        <f t="shared" si="2"/>
        <v>46313</v>
      </c>
      <c r="P1377" s="65" t="str">
        <f>VLOOKUP(I1377,DATABASE!C:Q,11,FALSE)</f>
        <v>Tire</v>
      </c>
      <c r="Q1377" s="65" t="str">
        <f>VLOOKUP(I1377,DATABASE!C:Q,4,FALSE)</f>
        <v>Dunlop</v>
      </c>
      <c r="R1377" s="101"/>
      <c r="U1377" s="101"/>
    </row>
    <row r="1378" ht="22.5" customHeight="1">
      <c r="A1378" s="49"/>
      <c r="C1378" s="192">
        <v>46238.0</v>
      </c>
      <c r="D1378" s="192">
        <v>46238.0</v>
      </c>
      <c r="E1378" s="69" t="s">
        <v>81</v>
      </c>
      <c r="F1378" s="243" t="s">
        <v>343</v>
      </c>
      <c r="G1378" s="69" t="s">
        <v>1838</v>
      </c>
      <c r="H1378" s="69" t="s">
        <v>87</v>
      </c>
      <c r="I1378" s="140" t="s">
        <v>1524</v>
      </c>
      <c r="J1378" s="446">
        <v>2.0</v>
      </c>
      <c r="K1378" s="140">
        <v>1028000.0</v>
      </c>
      <c r="L1378" s="140">
        <v>1028000.0</v>
      </c>
      <c r="M1378" s="140" t="s">
        <v>657</v>
      </c>
      <c r="N1378" s="74">
        <f t="shared" si="6"/>
        <v>2056000</v>
      </c>
      <c r="O1378" s="60">
        <f t="shared" si="2"/>
        <v>46313</v>
      </c>
      <c r="P1378" s="65" t="str">
        <f>VLOOKUP(I1378,DATABASE!C:Q,11,FALSE)</f>
        <v>Tire</v>
      </c>
      <c r="Q1378" s="65" t="str">
        <f>VLOOKUP(I1378,DATABASE!C:Q,4,FALSE)</f>
        <v>Dunlop</v>
      </c>
      <c r="R1378" s="101"/>
      <c r="U1378" s="101"/>
    </row>
    <row r="1379" ht="22.5" customHeight="1">
      <c r="A1379" s="49"/>
      <c r="C1379" s="192">
        <v>46238.0</v>
      </c>
      <c r="D1379" s="192">
        <v>46238.0</v>
      </c>
      <c r="E1379" s="69" t="s">
        <v>81</v>
      </c>
      <c r="F1379" s="243" t="s">
        <v>343</v>
      </c>
      <c r="G1379" s="69" t="s">
        <v>1838</v>
      </c>
      <c r="H1379" s="69" t="s">
        <v>87</v>
      </c>
      <c r="I1379" s="140" t="s">
        <v>1372</v>
      </c>
      <c r="J1379" s="446">
        <v>1.0</v>
      </c>
      <c r="K1379" s="140">
        <v>1040000.0</v>
      </c>
      <c r="L1379" s="140">
        <v>1040000.0</v>
      </c>
      <c r="M1379" s="140" t="s">
        <v>657</v>
      </c>
      <c r="N1379" s="74">
        <f t="shared" si="6"/>
        <v>1040000</v>
      </c>
      <c r="O1379" s="60">
        <f t="shared" si="2"/>
        <v>46313</v>
      </c>
      <c r="P1379" s="65" t="str">
        <f>VLOOKUP(I1379,DATABASE!C:Q,11,FALSE)</f>
        <v>Tire</v>
      </c>
      <c r="Q1379" s="65" t="str">
        <f>VLOOKUP(I1379,DATABASE!C:Q,4,FALSE)</f>
        <v>Dunlop</v>
      </c>
      <c r="R1379" s="101"/>
      <c r="U1379" s="101"/>
    </row>
    <row r="1380" ht="22.5" customHeight="1">
      <c r="A1380" s="49"/>
      <c r="C1380" s="192">
        <v>46238.0</v>
      </c>
      <c r="D1380" s="192">
        <v>46238.0</v>
      </c>
      <c r="E1380" s="69" t="s">
        <v>81</v>
      </c>
      <c r="F1380" s="243" t="s">
        <v>343</v>
      </c>
      <c r="G1380" s="69" t="s">
        <v>1838</v>
      </c>
      <c r="H1380" s="69" t="s">
        <v>87</v>
      </c>
      <c r="I1380" s="140" t="s">
        <v>1389</v>
      </c>
      <c r="J1380" s="446">
        <v>2.0</v>
      </c>
      <c r="K1380" s="140">
        <v>908000.0</v>
      </c>
      <c r="L1380" s="140">
        <v>908000.0</v>
      </c>
      <c r="M1380" s="140" t="s">
        <v>657</v>
      </c>
      <c r="N1380" s="74">
        <f t="shared" si="6"/>
        <v>1816000</v>
      </c>
      <c r="O1380" s="60">
        <f t="shared" si="2"/>
        <v>46313</v>
      </c>
      <c r="P1380" s="65" t="str">
        <f>VLOOKUP(I1380,DATABASE!C:Q,11,FALSE)</f>
        <v>Tire</v>
      </c>
      <c r="Q1380" s="65" t="str">
        <f>VLOOKUP(I1380,DATABASE!C:Q,4,FALSE)</f>
        <v>Dunlop</v>
      </c>
      <c r="R1380" s="101"/>
      <c r="U1380" s="101"/>
    </row>
    <row r="1381" ht="22.5" customHeight="1">
      <c r="A1381" s="49"/>
      <c r="C1381" s="192">
        <v>46238.0</v>
      </c>
      <c r="D1381" s="192">
        <v>46238.0</v>
      </c>
      <c r="E1381" s="69" t="s">
        <v>81</v>
      </c>
      <c r="F1381" s="243" t="s">
        <v>343</v>
      </c>
      <c r="G1381" s="69" t="s">
        <v>1838</v>
      </c>
      <c r="H1381" s="69" t="s">
        <v>87</v>
      </c>
      <c r="I1381" s="140" t="s">
        <v>974</v>
      </c>
      <c r="J1381" s="446">
        <v>4.0</v>
      </c>
      <c r="K1381" s="140">
        <v>501500.0</v>
      </c>
      <c r="L1381" s="140">
        <v>501500.0</v>
      </c>
      <c r="M1381" s="140" t="s">
        <v>657</v>
      </c>
      <c r="N1381" s="74">
        <f t="shared" si="6"/>
        <v>2006000</v>
      </c>
      <c r="O1381" s="60">
        <f t="shared" si="2"/>
        <v>46313</v>
      </c>
      <c r="P1381" s="65" t="str">
        <f>VLOOKUP(I1381,DATABASE!C:Q,11,FALSE)</f>
        <v>Tire</v>
      </c>
      <c r="Q1381" s="65" t="str">
        <f>VLOOKUP(I1381,DATABASE!C:Q,4,FALSE)</f>
        <v>Dunlop</v>
      </c>
      <c r="R1381" s="101"/>
      <c r="U1381" s="101"/>
    </row>
    <row r="1382" ht="22.5" customHeight="1">
      <c r="A1382" s="49"/>
      <c r="C1382" s="192">
        <v>46238.0</v>
      </c>
      <c r="D1382" s="192">
        <v>46238.0</v>
      </c>
      <c r="E1382" s="69" t="s">
        <v>81</v>
      </c>
      <c r="F1382" s="243" t="s">
        <v>343</v>
      </c>
      <c r="G1382" s="69" t="s">
        <v>1838</v>
      </c>
      <c r="H1382" s="69" t="s">
        <v>87</v>
      </c>
      <c r="I1382" s="140" t="s">
        <v>281</v>
      </c>
      <c r="J1382" s="446">
        <v>2.0</v>
      </c>
      <c r="K1382" s="140">
        <v>780000.0</v>
      </c>
      <c r="L1382" s="140">
        <v>780000.0</v>
      </c>
      <c r="M1382" s="140" t="s">
        <v>657</v>
      </c>
      <c r="N1382" s="74">
        <f t="shared" si="6"/>
        <v>1560000</v>
      </c>
      <c r="O1382" s="60">
        <f t="shared" si="2"/>
        <v>46313</v>
      </c>
      <c r="P1382" s="65" t="str">
        <f>VLOOKUP(I1382,DATABASE!C:Q,11,FALSE)</f>
        <v>Tire</v>
      </c>
      <c r="Q1382" s="65" t="str">
        <f>VLOOKUP(I1382,DATABASE!C:Q,4,FALSE)</f>
        <v>Dunlop</v>
      </c>
      <c r="R1382" s="101"/>
      <c r="U1382" s="101"/>
    </row>
    <row r="1383" ht="22.5" customHeight="1">
      <c r="A1383" s="49"/>
      <c r="C1383" s="192">
        <v>46238.0</v>
      </c>
      <c r="D1383" s="192">
        <v>46238.0</v>
      </c>
      <c r="E1383" s="69" t="s">
        <v>81</v>
      </c>
      <c r="F1383" s="243" t="s">
        <v>343</v>
      </c>
      <c r="G1383" s="69" t="s">
        <v>1838</v>
      </c>
      <c r="H1383" s="69" t="s">
        <v>87</v>
      </c>
      <c r="I1383" s="140" t="s">
        <v>946</v>
      </c>
      <c r="J1383" s="446">
        <v>2.0</v>
      </c>
      <c r="K1383" s="140">
        <v>809000.0</v>
      </c>
      <c r="L1383" s="140">
        <v>809000.0</v>
      </c>
      <c r="M1383" s="140" t="s">
        <v>657</v>
      </c>
      <c r="N1383" s="74">
        <f t="shared" si="6"/>
        <v>1618000</v>
      </c>
      <c r="O1383" s="60">
        <f t="shared" si="2"/>
        <v>46313</v>
      </c>
      <c r="P1383" s="65" t="str">
        <f>VLOOKUP(I1383,DATABASE!C:Q,11,FALSE)</f>
        <v>Tire</v>
      </c>
      <c r="Q1383" s="65" t="str">
        <f>VLOOKUP(I1383,DATABASE!C:Q,4,FALSE)</f>
        <v>Dunlop</v>
      </c>
      <c r="R1383" s="101"/>
      <c r="U1383" s="101"/>
    </row>
    <row r="1384" ht="22.5" customHeight="1">
      <c r="A1384" s="49"/>
      <c r="C1384" s="192">
        <v>46238.0</v>
      </c>
      <c r="D1384" s="192">
        <v>46238.0</v>
      </c>
      <c r="E1384" s="69" t="s">
        <v>81</v>
      </c>
      <c r="F1384" s="243" t="s">
        <v>343</v>
      </c>
      <c r="G1384" s="69" t="s">
        <v>1838</v>
      </c>
      <c r="H1384" s="69" t="s">
        <v>87</v>
      </c>
      <c r="I1384" s="140" t="s">
        <v>279</v>
      </c>
      <c r="J1384" s="446">
        <v>10.0</v>
      </c>
      <c r="K1384" s="140">
        <v>602000.0</v>
      </c>
      <c r="L1384" s="140">
        <v>602000.0</v>
      </c>
      <c r="M1384" s="140" t="s">
        <v>657</v>
      </c>
      <c r="N1384" s="74">
        <f t="shared" si="6"/>
        <v>6020000</v>
      </c>
      <c r="O1384" s="60">
        <f t="shared" si="2"/>
        <v>46313</v>
      </c>
      <c r="P1384" s="65" t="str">
        <f>VLOOKUP(I1384,DATABASE!C:Q,11,FALSE)</f>
        <v>Tire</v>
      </c>
      <c r="Q1384" s="65" t="str">
        <f>VLOOKUP(I1384,DATABASE!C:Q,4,FALSE)</f>
        <v>Dunlop</v>
      </c>
      <c r="R1384" s="101"/>
      <c r="U1384" s="101"/>
    </row>
    <row r="1385" ht="22.5" customHeight="1">
      <c r="A1385" s="49"/>
      <c r="C1385" s="192">
        <v>46238.0</v>
      </c>
      <c r="D1385" s="192">
        <v>46238.0</v>
      </c>
      <c r="E1385" s="69" t="s">
        <v>81</v>
      </c>
      <c r="F1385" s="243" t="s">
        <v>343</v>
      </c>
      <c r="G1385" s="69" t="s">
        <v>1838</v>
      </c>
      <c r="H1385" s="69" t="s">
        <v>87</v>
      </c>
      <c r="I1385" s="140" t="s">
        <v>282</v>
      </c>
      <c r="J1385" s="446">
        <v>7.0</v>
      </c>
      <c r="K1385" s="140">
        <v>779500.0</v>
      </c>
      <c r="L1385" s="140">
        <v>779500.0</v>
      </c>
      <c r="M1385" s="140" t="s">
        <v>657</v>
      </c>
      <c r="N1385" s="74">
        <f t="shared" si="6"/>
        <v>5456500</v>
      </c>
      <c r="O1385" s="60">
        <f t="shared" si="2"/>
        <v>46313</v>
      </c>
      <c r="P1385" s="65" t="str">
        <f>VLOOKUP(I1385,DATABASE!C:Q,11,FALSE)</f>
        <v>Tire</v>
      </c>
      <c r="Q1385" s="65" t="str">
        <f>VLOOKUP(I1385,DATABASE!C:Q,4,FALSE)</f>
        <v>Dunlop</v>
      </c>
      <c r="R1385" s="101"/>
      <c r="U1385" s="101"/>
    </row>
    <row r="1386" ht="22.5" customHeight="1">
      <c r="A1386" s="49"/>
      <c r="C1386" s="192">
        <v>46238.0</v>
      </c>
      <c r="D1386" s="192">
        <v>46238.0</v>
      </c>
      <c r="E1386" s="69" t="s">
        <v>81</v>
      </c>
      <c r="F1386" s="243" t="s">
        <v>343</v>
      </c>
      <c r="G1386" s="69" t="s">
        <v>1838</v>
      </c>
      <c r="H1386" s="69" t="s">
        <v>87</v>
      </c>
      <c r="I1386" s="140" t="s">
        <v>276</v>
      </c>
      <c r="J1386" s="446">
        <v>6.0</v>
      </c>
      <c r="K1386" s="140">
        <v>620000.0</v>
      </c>
      <c r="L1386" s="140">
        <v>620000.0</v>
      </c>
      <c r="M1386" s="140" t="s">
        <v>657</v>
      </c>
      <c r="N1386" s="74">
        <f t="shared" si="6"/>
        <v>3720000</v>
      </c>
      <c r="O1386" s="60">
        <f t="shared" si="2"/>
        <v>46313</v>
      </c>
      <c r="P1386" s="65" t="str">
        <f>VLOOKUP(I1386,DATABASE!C:Q,11,FALSE)</f>
        <v>Tire</v>
      </c>
      <c r="Q1386" s="65" t="str">
        <f>VLOOKUP(I1386,DATABASE!C:Q,4,FALSE)</f>
        <v>Dunlop</v>
      </c>
      <c r="R1386" s="101"/>
      <c r="U1386" s="101"/>
    </row>
    <row r="1387" ht="22.5" customHeight="1">
      <c r="A1387" s="49"/>
      <c r="C1387" s="192">
        <v>46238.0</v>
      </c>
      <c r="D1387" s="192">
        <v>46238.0</v>
      </c>
      <c r="E1387" s="69" t="s">
        <v>81</v>
      </c>
      <c r="F1387" s="243" t="s">
        <v>343</v>
      </c>
      <c r="G1387" s="69" t="s">
        <v>1838</v>
      </c>
      <c r="H1387" s="69" t="s">
        <v>87</v>
      </c>
      <c r="I1387" s="140" t="s">
        <v>1301</v>
      </c>
      <c r="J1387" s="446">
        <v>3.0</v>
      </c>
      <c r="K1387" s="140">
        <v>1194000.0</v>
      </c>
      <c r="L1387" s="140">
        <v>1194000.0</v>
      </c>
      <c r="M1387" s="140" t="s">
        <v>657</v>
      </c>
      <c r="N1387" s="74">
        <f t="shared" si="6"/>
        <v>3582000</v>
      </c>
      <c r="O1387" s="60">
        <f t="shared" si="2"/>
        <v>46313</v>
      </c>
      <c r="P1387" s="65" t="str">
        <f>VLOOKUP(I1387,DATABASE!C:Q,11,FALSE)</f>
        <v>Tire</v>
      </c>
      <c r="Q1387" s="65" t="str">
        <f>VLOOKUP(I1387,DATABASE!C:Q,4,FALSE)</f>
        <v>Dunlop</v>
      </c>
      <c r="R1387" s="101"/>
      <c r="U1387" s="101"/>
    </row>
    <row r="1388" ht="22.5" customHeight="1">
      <c r="A1388" s="49"/>
      <c r="C1388" s="192">
        <v>46238.0</v>
      </c>
      <c r="D1388" s="192">
        <v>46238.0</v>
      </c>
      <c r="E1388" s="69" t="s">
        <v>81</v>
      </c>
      <c r="F1388" s="243" t="s">
        <v>343</v>
      </c>
      <c r="G1388" s="69" t="s">
        <v>1838</v>
      </c>
      <c r="H1388" s="69" t="s">
        <v>87</v>
      </c>
      <c r="I1388" s="140" t="s">
        <v>695</v>
      </c>
      <c r="J1388" s="446">
        <v>6.0</v>
      </c>
      <c r="K1388" s="140">
        <v>582000.0</v>
      </c>
      <c r="L1388" s="140">
        <v>582000.0</v>
      </c>
      <c r="M1388" s="140" t="s">
        <v>657</v>
      </c>
      <c r="N1388" s="74">
        <f t="shared" si="6"/>
        <v>3492000</v>
      </c>
      <c r="O1388" s="60">
        <f t="shared" si="2"/>
        <v>46313</v>
      </c>
      <c r="P1388" s="65" t="str">
        <f>VLOOKUP(I1388,DATABASE!C:Q,11,FALSE)</f>
        <v>Tire</v>
      </c>
      <c r="Q1388" s="65" t="str">
        <f>VLOOKUP(I1388,DATABASE!C:Q,4,FALSE)</f>
        <v>Dunlop</v>
      </c>
      <c r="R1388" s="101"/>
      <c r="U1388" s="101"/>
    </row>
    <row r="1389" ht="22.5" customHeight="1">
      <c r="A1389" s="49"/>
      <c r="C1389" s="192">
        <v>46240.0</v>
      </c>
      <c r="D1389" s="192">
        <v>46240.0</v>
      </c>
      <c r="E1389" s="69" t="s">
        <v>123</v>
      </c>
      <c r="F1389" s="243" t="s">
        <v>343</v>
      </c>
      <c r="G1389" s="69" t="s">
        <v>2395</v>
      </c>
      <c r="H1389" s="69" t="s">
        <v>7</v>
      </c>
      <c r="I1389" s="140" t="s">
        <v>286</v>
      </c>
      <c r="J1389" s="446">
        <v>10.0</v>
      </c>
      <c r="K1389" s="140">
        <v>480700.0</v>
      </c>
      <c r="L1389" s="140">
        <v>480700.0</v>
      </c>
      <c r="M1389" s="140" t="s">
        <v>755</v>
      </c>
      <c r="N1389" s="74">
        <f t="shared" si="6"/>
        <v>4807000</v>
      </c>
      <c r="O1389" s="60">
        <f t="shared" si="2"/>
        <v>46270</v>
      </c>
      <c r="P1389" s="65" t="str">
        <f>VLOOKUP(I1389,DATABASE!C:Q,11,FALSE)</f>
        <v>Tire</v>
      </c>
      <c r="Q1389" s="65" t="str">
        <f>VLOOKUP(I1389,DATABASE!C:Q,4,FALSE)</f>
        <v>GT</v>
      </c>
      <c r="R1389" s="101"/>
      <c r="U1389" s="101"/>
    </row>
    <row r="1390" ht="22.5" customHeight="1">
      <c r="A1390" s="49"/>
      <c r="C1390" s="192">
        <v>46241.0</v>
      </c>
      <c r="D1390" s="192">
        <v>46241.0</v>
      </c>
      <c r="E1390" s="69" t="s">
        <v>81</v>
      </c>
      <c r="F1390" s="243" t="s">
        <v>343</v>
      </c>
      <c r="G1390" s="69" t="s">
        <v>1848</v>
      </c>
      <c r="H1390" s="69" t="s">
        <v>87</v>
      </c>
      <c r="I1390" s="140" t="s">
        <v>1524</v>
      </c>
      <c r="J1390" s="446">
        <v>2.0</v>
      </c>
      <c r="K1390" s="140">
        <v>1028000.0</v>
      </c>
      <c r="L1390" s="140">
        <v>1028000.0</v>
      </c>
      <c r="M1390" s="140" t="s">
        <v>657</v>
      </c>
      <c r="N1390" s="74">
        <f t="shared" si="6"/>
        <v>2056000</v>
      </c>
      <c r="O1390" s="60">
        <f t="shared" si="2"/>
        <v>46316</v>
      </c>
      <c r="P1390" s="65" t="str">
        <f>VLOOKUP(I1390,DATABASE!C:Q,11,FALSE)</f>
        <v>Tire</v>
      </c>
      <c r="Q1390" s="65" t="str">
        <f>VLOOKUP(I1390,DATABASE!C:Q,4,FALSE)</f>
        <v>Dunlop</v>
      </c>
      <c r="R1390" s="101"/>
      <c r="U1390" s="101"/>
    </row>
    <row r="1391" ht="22.5" customHeight="1">
      <c r="A1391" s="49"/>
      <c r="C1391" s="192">
        <v>46245.0</v>
      </c>
      <c r="D1391" s="192">
        <v>46244.0</v>
      </c>
      <c r="E1391" s="69" t="s">
        <v>110</v>
      </c>
      <c r="F1391" s="243" t="s">
        <v>343</v>
      </c>
      <c r="G1391" s="69">
        <v>2.6010514E7</v>
      </c>
      <c r="H1391" s="69" t="s">
        <v>7</v>
      </c>
      <c r="I1391" s="140" t="s">
        <v>286</v>
      </c>
      <c r="J1391" s="446">
        <v>20.0</v>
      </c>
      <c r="K1391" s="140">
        <v>488320.0</v>
      </c>
      <c r="L1391" s="140">
        <v>488320.0</v>
      </c>
      <c r="M1391" s="140" t="s">
        <v>755</v>
      </c>
      <c r="N1391" s="74">
        <f t="shared" si="6"/>
        <v>9766400</v>
      </c>
      <c r="O1391" s="60">
        <f t="shared" si="2"/>
        <v>46274</v>
      </c>
      <c r="P1391" s="65" t="str">
        <f>VLOOKUP(I1391,DATABASE!C:Q,11,FALSE)</f>
        <v>Tire</v>
      </c>
      <c r="Q1391" s="65" t="str">
        <f>VLOOKUP(I1391,DATABASE!C:Q,4,FALSE)</f>
        <v>GT</v>
      </c>
      <c r="R1391" s="101"/>
      <c r="U1391" s="101"/>
    </row>
    <row r="1392" ht="22.5" customHeight="1">
      <c r="A1392" s="49"/>
      <c r="C1392" s="192">
        <v>46245.0</v>
      </c>
      <c r="D1392" s="192">
        <v>46244.0</v>
      </c>
      <c r="E1392" s="69" t="s">
        <v>386</v>
      </c>
      <c r="F1392" s="243" t="s">
        <v>343</v>
      </c>
      <c r="G1392" s="69" t="s">
        <v>2141</v>
      </c>
      <c r="H1392" s="69" t="s">
        <v>2314</v>
      </c>
      <c r="I1392" s="140" t="s">
        <v>252</v>
      </c>
      <c r="J1392" s="446">
        <v>8.0</v>
      </c>
      <c r="K1392" s="140">
        <v>317518.0</v>
      </c>
      <c r="L1392" s="140">
        <v>317518.0</v>
      </c>
      <c r="M1392" s="140" t="s">
        <v>755</v>
      </c>
      <c r="N1392" s="74">
        <f t="shared" si="6"/>
        <v>2540144</v>
      </c>
      <c r="O1392" s="60">
        <f t="shared" si="2"/>
        <v>46274</v>
      </c>
      <c r="P1392" s="65" t="str">
        <f>VLOOKUP(I1392,DATABASE!C:Q,11,FALSE)</f>
        <v>OIL</v>
      </c>
      <c r="Q1392" s="65" t="str">
        <f>VLOOKUP(I1392,DATABASE!C:Q,4,FALSE)</f>
        <v>Shell</v>
      </c>
      <c r="R1392" s="101"/>
      <c r="U1392" s="101"/>
    </row>
    <row r="1393" ht="22.5" customHeight="1">
      <c r="A1393" s="49"/>
      <c r="C1393" s="192">
        <v>46245.0</v>
      </c>
      <c r="D1393" s="192">
        <v>46244.0</v>
      </c>
      <c r="E1393" s="69" t="s">
        <v>386</v>
      </c>
      <c r="F1393" s="243" t="s">
        <v>343</v>
      </c>
      <c r="G1393" s="69" t="s">
        <v>2141</v>
      </c>
      <c r="H1393" s="69" t="s">
        <v>2314</v>
      </c>
      <c r="I1393" s="140" t="s">
        <v>263</v>
      </c>
      <c r="J1393" s="446">
        <v>4.0</v>
      </c>
      <c r="K1393" s="140">
        <v>334916.0</v>
      </c>
      <c r="L1393" s="140">
        <v>334916.0</v>
      </c>
      <c r="M1393" s="140" t="s">
        <v>755</v>
      </c>
      <c r="N1393" s="74">
        <f t="shared" si="6"/>
        <v>1339664</v>
      </c>
      <c r="O1393" s="60">
        <f t="shared" si="2"/>
        <v>46274</v>
      </c>
      <c r="P1393" s="65" t="str">
        <f>VLOOKUP(I1393,DATABASE!C:Q,11,FALSE)</f>
        <v>OIL</v>
      </c>
      <c r="Q1393" s="65" t="str">
        <f>VLOOKUP(I1393,DATABASE!C:Q,4,FALSE)</f>
        <v>Shell</v>
      </c>
      <c r="R1393" s="101"/>
      <c r="U1393" s="101"/>
    </row>
    <row r="1394" ht="22.5" customHeight="1">
      <c r="A1394" s="49"/>
      <c r="C1394" s="192">
        <v>46247.0</v>
      </c>
      <c r="D1394" s="192">
        <v>46244.0</v>
      </c>
      <c r="E1394" s="69" t="s">
        <v>412</v>
      </c>
      <c r="F1394" s="243"/>
      <c r="G1394" s="69"/>
      <c r="H1394" s="69" t="s">
        <v>2314</v>
      </c>
      <c r="I1394" s="140" t="s">
        <v>301</v>
      </c>
      <c r="J1394" s="446">
        <v>8.0</v>
      </c>
      <c r="K1394" s="140">
        <v>75000.0</v>
      </c>
      <c r="L1394" s="140">
        <v>50000.0</v>
      </c>
      <c r="M1394" s="140" t="s">
        <v>2190</v>
      </c>
      <c r="N1394" s="74">
        <f t="shared" si="6"/>
        <v>400000</v>
      </c>
      <c r="O1394" s="60">
        <f t="shared" si="2"/>
        <v>46258</v>
      </c>
      <c r="P1394" s="65" t="str">
        <f>VLOOKUP(I1394,DATABASE!C:Q,11,FALSE)</f>
        <v>COMPLEMENTARY</v>
      </c>
      <c r="Q1394" s="65" t="str">
        <f>VLOOKUP(I1394,DATABASE!C:Q,4,FALSE)</f>
        <v>Baut Camber</v>
      </c>
      <c r="R1394" s="101"/>
      <c r="U1394" s="101"/>
    </row>
    <row r="1395" ht="22.5" customHeight="1">
      <c r="A1395" s="49"/>
      <c r="C1395" s="192">
        <v>46247.0</v>
      </c>
      <c r="D1395" s="192">
        <v>46244.0</v>
      </c>
      <c r="E1395" s="69" t="s">
        <v>412</v>
      </c>
      <c r="F1395" s="243"/>
      <c r="G1395" s="69"/>
      <c r="H1395" s="69" t="s">
        <v>2314</v>
      </c>
      <c r="I1395" s="140" t="s">
        <v>301</v>
      </c>
      <c r="J1395" s="446">
        <v>6.0</v>
      </c>
      <c r="K1395" s="140">
        <v>75000.0</v>
      </c>
      <c r="L1395" s="140">
        <v>52500.0</v>
      </c>
      <c r="M1395" s="140" t="s">
        <v>2190</v>
      </c>
      <c r="N1395" s="74">
        <f t="shared" si="6"/>
        <v>315000</v>
      </c>
      <c r="O1395" s="60">
        <f t="shared" si="2"/>
        <v>46258</v>
      </c>
      <c r="P1395" s="65" t="str">
        <f>VLOOKUP(I1395,DATABASE!C:Q,11,FALSE)</f>
        <v>COMPLEMENTARY</v>
      </c>
      <c r="Q1395" s="65" t="str">
        <f>VLOOKUP(I1395,DATABASE!C:Q,4,FALSE)</f>
        <v>Baut Camber</v>
      </c>
      <c r="R1395" s="101"/>
      <c r="U1395" s="101"/>
    </row>
    <row r="1396" ht="22.5" customHeight="1">
      <c r="A1396" s="49"/>
      <c r="C1396" s="192">
        <v>46248.0</v>
      </c>
      <c r="D1396" s="192">
        <v>46247.0</v>
      </c>
      <c r="E1396" s="69" t="s">
        <v>335</v>
      </c>
      <c r="F1396" s="243" t="s">
        <v>343</v>
      </c>
      <c r="G1396" s="69" t="s">
        <v>2168</v>
      </c>
      <c r="H1396" s="69" t="s">
        <v>7</v>
      </c>
      <c r="I1396" s="140" t="s">
        <v>295</v>
      </c>
      <c r="J1396" s="446">
        <v>10.0</v>
      </c>
      <c r="K1396" s="140">
        <v>1475000.0</v>
      </c>
      <c r="L1396" s="140">
        <v>1475000.0</v>
      </c>
      <c r="M1396" s="140" t="s">
        <v>521</v>
      </c>
      <c r="N1396" s="74">
        <f t="shared" si="6"/>
        <v>14750000</v>
      </c>
      <c r="O1396" s="60">
        <f t="shared" si="2"/>
        <v>46307</v>
      </c>
      <c r="P1396" s="65" t="str">
        <f>VLOOKUP(I1396,DATABASE!C:Q,11,FALSE)</f>
        <v>Tire</v>
      </c>
      <c r="Q1396" s="65" t="str">
        <f>VLOOKUP(I1396,DATABASE!C:Q,4,FALSE)</f>
        <v>TIRON</v>
      </c>
      <c r="R1396" s="101"/>
      <c r="U1396" s="101"/>
    </row>
    <row r="1397" ht="22.5" customHeight="1">
      <c r="A1397" s="49"/>
      <c r="C1397" s="192">
        <v>46248.0</v>
      </c>
      <c r="D1397" s="192">
        <v>46247.0</v>
      </c>
      <c r="E1397" s="69" t="s">
        <v>335</v>
      </c>
      <c r="F1397" s="243" t="s">
        <v>343</v>
      </c>
      <c r="G1397" s="69" t="s">
        <v>2168</v>
      </c>
      <c r="H1397" s="69" t="s">
        <v>7</v>
      </c>
      <c r="I1397" s="140" t="s">
        <v>924</v>
      </c>
      <c r="J1397" s="446">
        <v>9.0</v>
      </c>
      <c r="K1397" s="140">
        <v>1560000.0</v>
      </c>
      <c r="L1397" s="140">
        <v>1555000.0</v>
      </c>
      <c r="M1397" s="140" t="s">
        <v>521</v>
      </c>
      <c r="N1397" s="74">
        <f t="shared" si="6"/>
        <v>13995000</v>
      </c>
      <c r="O1397" s="60">
        <f t="shared" si="2"/>
        <v>46307</v>
      </c>
      <c r="P1397" s="65" t="str">
        <f>VLOOKUP(I1397,DATABASE!C:Q,11,FALSE)</f>
        <v>Tire</v>
      </c>
      <c r="Q1397" s="65" t="str">
        <f>VLOOKUP(I1397,DATABASE!C:Q,4,FALSE)</f>
        <v>TIRON</v>
      </c>
      <c r="R1397" s="101"/>
      <c r="U1397" s="101"/>
    </row>
    <row r="1398" ht="22.5" customHeight="1">
      <c r="A1398" s="49"/>
      <c r="C1398" s="192">
        <v>46248.0</v>
      </c>
      <c r="D1398" s="192">
        <v>46247.0</v>
      </c>
      <c r="E1398" s="69" t="s">
        <v>335</v>
      </c>
      <c r="F1398" s="243" t="s">
        <v>343</v>
      </c>
      <c r="G1398" s="69" t="s">
        <v>2168</v>
      </c>
      <c r="H1398" s="69" t="s">
        <v>7</v>
      </c>
      <c r="I1398" s="140" t="s">
        <v>374</v>
      </c>
      <c r="J1398" s="446">
        <v>8.0</v>
      </c>
      <c r="K1398" s="140">
        <v>1980000.0</v>
      </c>
      <c r="L1398" s="140">
        <v>1980000.0</v>
      </c>
      <c r="M1398" s="140" t="s">
        <v>521</v>
      </c>
      <c r="N1398" s="74">
        <f t="shared" si="6"/>
        <v>15840000</v>
      </c>
      <c r="O1398" s="60">
        <f t="shared" si="2"/>
        <v>46307</v>
      </c>
      <c r="P1398" s="65" t="str">
        <f>VLOOKUP(I1398,DATABASE!C:Q,11,FALSE)</f>
        <v>Tire</v>
      </c>
      <c r="Q1398" s="65" t="str">
        <f>VLOOKUP(I1398,DATABASE!C:Q,4,FALSE)</f>
        <v>Advance</v>
      </c>
      <c r="R1398" s="101"/>
      <c r="U1398" s="101"/>
    </row>
    <row r="1399" ht="22.5" customHeight="1">
      <c r="A1399" s="49"/>
      <c r="C1399" s="192">
        <v>46248.0</v>
      </c>
      <c r="D1399" s="192">
        <v>46247.0</v>
      </c>
      <c r="E1399" s="69" t="s">
        <v>335</v>
      </c>
      <c r="F1399" s="243" t="s">
        <v>343</v>
      </c>
      <c r="G1399" s="69" t="s">
        <v>2168</v>
      </c>
      <c r="H1399" s="69" t="s">
        <v>7</v>
      </c>
      <c r="I1399" s="140" t="s">
        <v>403</v>
      </c>
      <c r="J1399" s="446">
        <v>4.0</v>
      </c>
      <c r="K1399" s="140">
        <v>2160000.0</v>
      </c>
      <c r="L1399" s="140">
        <v>2100000.0</v>
      </c>
      <c r="M1399" s="140" t="s">
        <v>521</v>
      </c>
      <c r="N1399" s="74">
        <f t="shared" si="6"/>
        <v>8400000</v>
      </c>
      <c r="O1399" s="60">
        <f t="shared" si="2"/>
        <v>46307</v>
      </c>
      <c r="P1399" s="65" t="str">
        <f>VLOOKUP(I1399,DATABASE!C:Q,11,FALSE)</f>
        <v>Tire</v>
      </c>
      <c r="Q1399" s="65" t="str">
        <f>VLOOKUP(I1399,DATABASE!C:Q,4,FALSE)</f>
        <v>Advance</v>
      </c>
      <c r="R1399" s="101"/>
      <c r="U1399" s="101"/>
    </row>
    <row r="1400" ht="22.5" customHeight="1">
      <c r="A1400" s="49"/>
      <c r="C1400" s="192">
        <v>46248.0</v>
      </c>
      <c r="D1400" s="192">
        <v>46247.0</v>
      </c>
      <c r="E1400" s="69" t="s">
        <v>110</v>
      </c>
      <c r="F1400" s="243" t="s">
        <v>343</v>
      </c>
      <c r="G1400" s="69">
        <v>2.6010659E7</v>
      </c>
      <c r="H1400" s="69" t="s">
        <v>7</v>
      </c>
      <c r="I1400" s="140" t="s">
        <v>791</v>
      </c>
      <c r="J1400" s="446">
        <v>8.0</v>
      </c>
      <c r="K1400" s="140">
        <v>1210000.0</v>
      </c>
      <c r="L1400" s="140">
        <v>1210000.0</v>
      </c>
      <c r="M1400" s="140" t="s">
        <v>755</v>
      </c>
      <c r="N1400" s="74">
        <f t="shared" si="6"/>
        <v>9680000</v>
      </c>
      <c r="O1400" s="60">
        <f t="shared" si="2"/>
        <v>46277</v>
      </c>
      <c r="P1400" s="65" t="str">
        <f>VLOOKUP(I1400,DATABASE!C:Q,11,FALSE)</f>
        <v>Tire</v>
      </c>
      <c r="Q1400" s="65" t="str">
        <f>VLOOKUP(I1400,DATABASE!C:Q,4,FALSE)</f>
        <v>GT</v>
      </c>
      <c r="R1400" s="101"/>
      <c r="U1400" s="101"/>
    </row>
    <row r="1401" ht="22.5" customHeight="1">
      <c r="A1401" s="49"/>
      <c r="C1401" s="192">
        <v>46248.0</v>
      </c>
      <c r="D1401" s="192">
        <v>46247.0</v>
      </c>
      <c r="E1401" s="69" t="s">
        <v>110</v>
      </c>
      <c r="F1401" s="243" t="s">
        <v>343</v>
      </c>
      <c r="G1401" s="69">
        <v>2.6010659E7</v>
      </c>
      <c r="H1401" s="69" t="s">
        <v>7</v>
      </c>
      <c r="I1401" s="140" t="s">
        <v>781</v>
      </c>
      <c r="J1401" s="446">
        <v>5.0</v>
      </c>
      <c r="K1401" s="140">
        <v>470000.0</v>
      </c>
      <c r="L1401" s="140">
        <v>470000.0</v>
      </c>
      <c r="M1401" s="140" t="s">
        <v>755</v>
      </c>
      <c r="N1401" s="74">
        <f t="shared" si="6"/>
        <v>2350000</v>
      </c>
      <c r="O1401" s="60">
        <f t="shared" si="2"/>
        <v>46277</v>
      </c>
      <c r="P1401" s="65" t="str">
        <f>VLOOKUP(I1401,DATABASE!C:Q,11,FALSE)</f>
        <v>Tire</v>
      </c>
      <c r="Q1401" s="65" t="str">
        <f>VLOOKUP(I1401,DATABASE!C:Q,4,FALSE)</f>
        <v>GT</v>
      </c>
      <c r="R1401" s="101"/>
      <c r="U1401" s="101"/>
    </row>
    <row r="1402" ht="22.5" customHeight="1">
      <c r="A1402" s="49"/>
      <c r="C1402" s="192">
        <v>46248.0</v>
      </c>
      <c r="D1402" s="192">
        <v>46247.0</v>
      </c>
      <c r="E1402" s="69" t="s">
        <v>110</v>
      </c>
      <c r="F1402" s="243" t="s">
        <v>343</v>
      </c>
      <c r="G1402" s="69">
        <v>2.6010659E7</v>
      </c>
      <c r="H1402" s="69" t="s">
        <v>7</v>
      </c>
      <c r="I1402" s="140" t="s">
        <v>777</v>
      </c>
      <c r="J1402" s="446">
        <v>5.0</v>
      </c>
      <c r="K1402" s="140">
        <v>540000.0</v>
      </c>
      <c r="L1402" s="140">
        <v>540000.0</v>
      </c>
      <c r="M1402" s="140" t="s">
        <v>755</v>
      </c>
      <c r="N1402" s="74">
        <f t="shared" si="6"/>
        <v>2700000</v>
      </c>
      <c r="O1402" s="60">
        <f t="shared" si="2"/>
        <v>46277</v>
      </c>
      <c r="P1402" s="65" t="str">
        <f>VLOOKUP(I1402,DATABASE!C:Q,11,FALSE)</f>
        <v>Tire</v>
      </c>
      <c r="Q1402" s="65" t="str">
        <f>VLOOKUP(I1402,DATABASE!C:Q,4,FALSE)</f>
        <v>GT</v>
      </c>
      <c r="R1402" s="101"/>
      <c r="U1402" s="101"/>
    </row>
    <row r="1403" ht="22.5" customHeight="1">
      <c r="A1403" s="49"/>
      <c r="C1403" s="192">
        <v>46248.0</v>
      </c>
      <c r="D1403" s="192">
        <v>46247.0</v>
      </c>
      <c r="E1403" s="69" t="s">
        <v>110</v>
      </c>
      <c r="F1403" s="243" t="s">
        <v>343</v>
      </c>
      <c r="G1403" s="69">
        <v>2.60107E7</v>
      </c>
      <c r="H1403" s="69" t="s">
        <v>7</v>
      </c>
      <c r="I1403" s="140" t="s">
        <v>286</v>
      </c>
      <c r="J1403" s="446">
        <v>10.0</v>
      </c>
      <c r="K1403" s="140">
        <v>488320.0</v>
      </c>
      <c r="L1403" s="140">
        <v>488320.0</v>
      </c>
      <c r="M1403" s="140" t="s">
        <v>755</v>
      </c>
      <c r="N1403" s="74">
        <f t="shared" si="6"/>
        <v>4883200</v>
      </c>
      <c r="O1403" s="60">
        <f t="shared" si="2"/>
        <v>46277</v>
      </c>
      <c r="P1403" s="65" t="str">
        <f>VLOOKUP(I1403,DATABASE!C:Q,11,FALSE)</f>
        <v>Tire</v>
      </c>
      <c r="Q1403" s="65" t="str">
        <f>VLOOKUP(I1403,DATABASE!C:Q,4,FALSE)</f>
        <v>GT</v>
      </c>
      <c r="R1403" s="101"/>
      <c r="U1403" s="101"/>
    </row>
    <row r="1404" ht="22.5" customHeight="1">
      <c r="A1404" s="49"/>
      <c r="C1404" s="192">
        <v>46255.0</v>
      </c>
      <c r="D1404" s="192">
        <v>46255.0</v>
      </c>
      <c r="E1404" s="69" t="s">
        <v>335</v>
      </c>
      <c r="F1404" s="243" t="s">
        <v>343</v>
      </c>
      <c r="G1404" s="69" t="s">
        <v>2261</v>
      </c>
      <c r="H1404" s="69" t="s">
        <v>7</v>
      </c>
      <c r="I1404" s="140" t="s">
        <v>245</v>
      </c>
      <c r="J1404" s="446">
        <v>1.0</v>
      </c>
      <c r="K1404" s="140">
        <v>4200000.0</v>
      </c>
      <c r="L1404" s="140">
        <v>4200000.0</v>
      </c>
      <c r="M1404" s="140" t="s">
        <v>521</v>
      </c>
      <c r="N1404" s="74">
        <f t="shared" si="6"/>
        <v>4200000</v>
      </c>
      <c r="O1404" s="60">
        <f t="shared" si="2"/>
        <v>46315</v>
      </c>
      <c r="P1404" s="65" t="str">
        <f>VLOOKUP(I1404,DATABASE!C:Q,11,FALSE)</f>
        <v>Tire</v>
      </c>
      <c r="Q1404" s="65" t="str">
        <f>VLOOKUP(I1404,DATABASE!C:Q,4,FALSE)</f>
        <v>Advance</v>
      </c>
      <c r="R1404" s="101"/>
      <c r="U1404" s="101"/>
    </row>
    <row r="1405" ht="22.5" customHeight="1">
      <c r="A1405" s="49"/>
      <c r="C1405" s="192">
        <v>46256.0</v>
      </c>
      <c r="D1405" s="192">
        <v>46256.0</v>
      </c>
      <c r="E1405" s="69" t="s">
        <v>110</v>
      </c>
      <c r="F1405" s="243" t="s">
        <v>343</v>
      </c>
      <c r="G1405" s="69">
        <v>2.6003623E7</v>
      </c>
      <c r="H1405" s="69" t="s">
        <v>7</v>
      </c>
      <c r="I1405" s="140" t="s">
        <v>1892</v>
      </c>
      <c r="J1405" s="446">
        <v>2.0</v>
      </c>
      <c r="K1405" s="140">
        <v>1170000.0</v>
      </c>
      <c r="L1405" s="140">
        <v>1325000.0</v>
      </c>
      <c r="M1405" s="140" t="s">
        <v>2190</v>
      </c>
      <c r="N1405" s="74">
        <f t="shared" si="6"/>
        <v>2650000</v>
      </c>
      <c r="O1405" s="60">
        <f t="shared" si="2"/>
        <v>46270</v>
      </c>
      <c r="P1405" s="65" t="str">
        <f>VLOOKUP(I1405,DATABASE!C:Q,11,FALSE)</f>
        <v>Tire</v>
      </c>
      <c r="Q1405" s="65" t="str">
        <f>VLOOKUP(I1405,DATABASE!C:Q,4,FALSE)</f>
        <v>Michellin</v>
      </c>
      <c r="R1405" s="101"/>
      <c r="U1405" s="101"/>
    </row>
    <row r="1406" ht="22.5" customHeight="1">
      <c r="A1406" s="49"/>
      <c r="C1406" s="192">
        <v>46256.0</v>
      </c>
      <c r="D1406" s="192">
        <v>46256.0</v>
      </c>
      <c r="E1406" s="69" t="s">
        <v>110</v>
      </c>
      <c r="F1406" s="243" t="s">
        <v>343</v>
      </c>
      <c r="G1406" s="69">
        <v>2.6003623E7</v>
      </c>
      <c r="H1406" s="69" t="s">
        <v>7</v>
      </c>
      <c r="I1406" s="140" t="s">
        <v>2128</v>
      </c>
      <c r="J1406" s="446">
        <v>1.0</v>
      </c>
      <c r="K1406" s="140">
        <v>1500000.0</v>
      </c>
      <c r="L1406" s="140">
        <v>1600000.0</v>
      </c>
      <c r="M1406" s="140" t="s">
        <v>2190</v>
      </c>
      <c r="N1406" s="74">
        <f t="shared" si="6"/>
        <v>1600000</v>
      </c>
      <c r="O1406" s="60">
        <f t="shared" si="2"/>
        <v>46270</v>
      </c>
      <c r="P1406" s="65" t="str">
        <f>VLOOKUP(I1406,DATABASE!C:Q,11,FALSE)</f>
        <v>Tire</v>
      </c>
      <c r="Q1406" s="65" t="str">
        <f>VLOOKUP(I1406,DATABASE!C:Q,4,FALSE)</f>
        <v>Michellin</v>
      </c>
      <c r="R1406" s="101"/>
      <c r="U1406" s="101"/>
    </row>
    <row r="1407" ht="22.5" customHeight="1">
      <c r="A1407" s="49"/>
      <c r="C1407" s="192">
        <v>46258.0</v>
      </c>
      <c r="D1407" s="192">
        <v>46258.0</v>
      </c>
      <c r="E1407" s="69" t="s">
        <v>412</v>
      </c>
      <c r="F1407" s="243" t="s">
        <v>0</v>
      </c>
      <c r="G1407" s="69" t="s">
        <v>1929</v>
      </c>
      <c r="H1407" s="69" t="s">
        <v>2314</v>
      </c>
      <c r="I1407" s="140" t="s">
        <v>301</v>
      </c>
      <c r="J1407" s="446">
        <v>12.0</v>
      </c>
      <c r="K1407" s="140">
        <v>75000.0</v>
      </c>
      <c r="L1407" s="140">
        <v>50000.0</v>
      </c>
      <c r="M1407" s="140" t="s">
        <v>2190</v>
      </c>
      <c r="N1407" s="74">
        <f t="shared" si="6"/>
        <v>600000</v>
      </c>
      <c r="O1407" s="60">
        <f t="shared" si="2"/>
        <v>46272</v>
      </c>
      <c r="P1407" s="65" t="str">
        <f>VLOOKUP(I1407,DATABASE!C:Q,11,FALSE)</f>
        <v>COMPLEMENTARY</v>
      </c>
      <c r="Q1407" s="65" t="str">
        <f>VLOOKUP(I1407,DATABASE!C:Q,4,FALSE)</f>
        <v>Baut Camber</v>
      </c>
      <c r="R1407" s="101"/>
      <c r="U1407" s="101"/>
    </row>
    <row r="1408" ht="22.5" customHeight="1">
      <c r="A1408" s="49"/>
      <c r="C1408" s="192">
        <v>46258.0</v>
      </c>
      <c r="D1408" s="192">
        <v>46258.0</v>
      </c>
      <c r="E1408" s="69" t="s">
        <v>412</v>
      </c>
      <c r="F1408" s="243" t="s">
        <v>0</v>
      </c>
      <c r="G1408" s="69" t="s">
        <v>1931</v>
      </c>
      <c r="H1408" s="69" t="s">
        <v>2314</v>
      </c>
      <c r="I1408" s="140" t="s">
        <v>301</v>
      </c>
      <c r="J1408" s="446">
        <v>4.0</v>
      </c>
      <c r="K1408" s="140">
        <v>75000.0</v>
      </c>
      <c r="L1408" s="140">
        <v>52500.0</v>
      </c>
      <c r="M1408" s="140" t="s">
        <v>2190</v>
      </c>
      <c r="N1408" s="74">
        <f t="shared" si="6"/>
        <v>210000</v>
      </c>
      <c r="O1408" s="60">
        <f t="shared" si="2"/>
        <v>46272</v>
      </c>
      <c r="P1408" s="65" t="str">
        <f>VLOOKUP(I1408,DATABASE!C:Q,11,FALSE)</f>
        <v>COMPLEMENTARY</v>
      </c>
      <c r="Q1408" s="65" t="str">
        <f>VLOOKUP(I1408,DATABASE!C:Q,4,FALSE)</f>
        <v>Baut Camber</v>
      </c>
      <c r="R1408" s="101"/>
      <c r="U1408" s="101"/>
    </row>
    <row r="1409" ht="22.5" customHeight="1">
      <c r="A1409" s="49"/>
      <c r="C1409" s="192">
        <v>46258.0</v>
      </c>
      <c r="D1409" s="192">
        <v>46258.0</v>
      </c>
      <c r="E1409" s="69" t="s">
        <v>412</v>
      </c>
      <c r="F1409" s="243" t="s">
        <v>0</v>
      </c>
      <c r="G1409" s="69" t="s">
        <v>1931</v>
      </c>
      <c r="H1409" s="69" t="s">
        <v>2314</v>
      </c>
      <c r="I1409" s="140" t="s">
        <v>299</v>
      </c>
      <c r="J1409" s="446">
        <v>10.0</v>
      </c>
      <c r="K1409" s="140">
        <v>10000.0</v>
      </c>
      <c r="L1409" s="140">
        <v>10000.0</v>
      </c>
      <c r="M1409" s="140" t="s">
        <v>2190</v>
      </c>
      <c r="N1409" s="74">
        <f t="shared" si="6"/>
        <v>100000</v>
      </c>
      <c r="O1409" s="60">
        <f t="shared" si="2"/>
        <v>46272</v>
      </c>
      <c r="P1409" s="65" t="str">
        <f>VLOOKUP(I1409,DATABASE!C:Q,11,FALSE)</f>
        <v>COMPLEMENTARY</v>
      </c>
      <c r="Q1409" s="65" t="str">
        <f>VLOOKUP(I1409,DATABASE!C:Q,4,FALSE)</f>
        <v>Balancing</v>
      </c>
      <c r="R1409" s="101"/>
      <c r="U1409" s="101"/>
    </row>
    <row r="1410" ht="22.5" customHeight="1">
      <c r="A1410" s="49"/>
      <c r="C1410" s="192">
        <v>46260.0</v>
      </c>
      <c r="D1410" s="192">
        <v>46260.0</v>
      </c>
      <c r="E1410" s="69" t="s">
        <v>436</v>
      </c>
      <c r="F1410" s="243" t="s">
        <v>998</v>
      </c>
      <c r="G1410" s="69">
        <v>0.0</v>
      </c>
      <c r="H1410" s="69" t="s">
        <v>2314</v>
      </c>
      <c r="I1410" s="140" t="s">
        <v>2644</v>
      </c>
      <c r="J1410" s="446">
        <v>15.0</v>
      </c>
      <c r="K1410" s="140">
        <v>23500.0</v>
      </c>
      <c r="L1410" s="140">
        <v>23500.0</v>
      </c>
      <c r="M1410" s="140" t="s">
        <v>755</v>
      </c>
      <c r="N1410" s="74">
        <f t="shared" si="6"/>
        <v>352500</v>
      </c>
      <c r="O1410" s="60">
        <f t="shared" si="2"/>
        <v>46290</v>
      </c>
      <c r="P1410" s="65" t="str">
        <f>VLOOKUP(I1410,DATABASE!C:Q,11,FALSE)</f>
        <v>COMPLEMENTARY</v>
      </c>
      <c r="Q1410" s="65" t="str">
        <f>VLOOKUP(I1410,DATABASE!C:Q,4,FALSE)</f>
        <v>ADM PART</v>
      </c>
      <c r="R1410" s="101"/>
      <c r="U1410" s="101"/>
    </row>
    <row r="1411" ht="22.5" customHeight="1">
      <c r="A1411" s="49"/>
      <c r="C1411" s="192">
        <v>46261.0</v>
      </c>
      <c r="D1411" s="192">
        <v>46260.0</v>
      </c>
      <c r="E1411" s="69" t="s">
        <v>361</v>
      </c>
      <c r="F1411" s="243" t="s">
        <v>343</v>
      </c>
      <c r="G1411" s="69" t="s">
        <v>2325</v>
      </c>
      <c r="H1411" s="69" t="s">
        <v>7</v>
      </c>
      <c r="I1411" s="140" t="s">
        <v>2605</v>
      </c>
      <c r="J1411" s="446">
        <v>3.0</v>
      </c>
      <c r="K1411" s="140">
        <v>650000.0</v>
      </c>
      <c r="L1411" s="140">
        <v>650000.0</v>
      </c>
      <c r="M1411" s="140" t="s">
        <v>521</v>
      </c>
      <c r="N1411" s="74">
        <f t="shared" si="6"/>
        <v>1950000</v>
      </c>
      <c r="O1411" s="60">
        <f t="shared" si="2"/>
        <v>46320</v>
      </c>
      <c r="P1411" s="65" t="str">
        <f>VLOOKUP(I1411,DATABASE!C:Q,11,FALSE)</f>
        <v>Tire</v>
      </c>
      <c r="Q1411" s="65" t="str">
        <f>VLOOKUP(I1411,DATABASE!C:Q,4,FALSE)</f>
        <v>Velg</v>
      </c>
      <c r="R1411" s="101"/>
      <c r="U1411" s="101"/>
    </row>
    <row r="1412" ht="22.5" customHeight="1">
      <c r="A1412" s="49"/>
      <c r="C1412" s="192">
        <v>46261.0</v>
      </c>
      <c r="D1412" s="192">
        <v>46260.0</v>
      </c>
      <c r="E1412" s="69" t="s">
        <v>361</v>
      </c>
      <c r="F1412" s="243" t="s">
        <v>343</v>
      </c>
      <c r="G1412" s="69" t="s">
        <v>2325</v>
      </c>
      <c r="H1412" s="69" t="s">
        <v>7</v>
      </c>
      <c r="I1412" s="140" t="s">
        <v>2345</v>
      </c>
      <c r="J1412" s="446">
        <v>3.0</v>
      </c>
      <c r="K1412" s="140">
        <v>680000.0</v>
      </c>
      <c r="L1412" s="140">
        <v>680000.0</v>
      </c>
      <c r="M1412" s="140" t="s">
        <v>521</v>
      </c>
      <c r="N1412" s="74">
        <f t="shared" si="6"/>
        <v>2040000</v>
      </c>
      <c r="O1412" s="60">
        <f t="shared" si="2"/>
        <v>46320</v>
      </c>
      <c r="P1412" s="65" t="str">
        <f>VLOOKUP(I1412,DATABASE!C:Q,11,FALSE)</f>
        <v>Tire</v>
      </c>
      <c r="Q1412" s="65" t="str">
        <f>VLOOKUP(I1412,DATABASE!C:Q,4,FALSE)</f>
        <v>Velg</v>
      </c>
      <c r="R1412" s="101"/>
      <c r="U1412" s="101"/>
    </row>
    <row r="1413" ht="22.5" customHeight="1">
      <c r="A1413" s="49"/>
      <c r="C1413" s="192">
        <v>46261.0</v>
      </c>
      <c r="D1413" s="192">
        <v>46260.0</v>
      </c>
      <c r="E1413" s="69" t="s">
        <v>361</v>
      </c>
      <c r="F1413" s="243" t="s">
        <v>343</v>
      </c>
      <c r="G1413" s="69" t="s">
        <v>2325</v>
      </c>
      <c r="H1413" s="69" t="s">
        <v>7</v>
      </c>
      <c r="I1413" s="140" t="s">
        <v>297</v>
      </c>
      <c r="J1413" s="446">
        <v>1.0</v>
      </c>
      <c r="K1413" s="140">
        <v>1170000.0</v>
      </c>
      <c r="L1413" s="140">
        <v>1170000.0</v>
      </c>
      <c r="M1413" s="140" t="s">
        <v>521</v>
      </c>
      <c r="N1413" s="74">
        <f t="shared" si="6"/>
        <v>1170000</v>
      </c>
      <c r="O1413" s="60">
        <f t="shared" si="2"/>
        <v>46320</v>
      </c>
      <c r="P1413" s="65" t="str">
        <f>VLOOKUP(I1413,DATABASE!C:Q,11,FALSE)</f>
        <v>Tire</v>
      </c>
      <c r="Q1413" s="65" t="str">
        <f>VLOOKUP(I1413,DATABASE!C:Q,4,FALSE)</f>
        <v>Velg</v>
      </c>
      <c r="R1413" s="101"/>
      <c r="U1413" s="101"/>
    </row>
    <row r="1414" ht="22.5" customHeight="1">
      <c r="A1414" s="49"/>
      <c r="C1414" s="192">
        <v>46261.0</v>
      </c>
      <c r="D1414" s="192">
        <v>46260.0</v>
      </c>
      <c r="E1414" s="69" t="s">
        <v>123</v>
      </c>
      <c r="F1414" s="243" t="s">
        <v>343</v>
      </c>
      <c r="G1414" s="69" t="s">
        <v>2397</v>
      </c>
      <c r="H1414" s="69" t="s">
        <v>7</v>
      </c>
      <c r="I1414" s="140" t="s">
        <v>1974</v>
      </c>
      <c r="J1414" s="446">
        <v>2.0</v>
      </c>
      <c r="K1414" s="140">
        <v>1150700.0</v>
      </c>
      <c r="L1414" s="140">
        <v>1221100.0</v>
      </c>
      <c r="M1414" s="140" t="s">
        <v>755</v>
      </c>
      <c r="N1414" s="74">
        <f t="shared" si="6"/>
        <v>2442200</v>
      </c>
      <c r="O1414" s="60">
        <f t="shared" si="2"/>
        <v>46290</v>
      </c>
      <c r="P1414" s="65" t="str">
        <f>VLOOKUP(I1414,DATABASE!C:Q,11,FALSE)</f>
        <v>Tire</v>
      </c>
      <c r="Q1414" s="65" t="str">
        <f>VLOOKUP(I1414,DATABASE!C:Q,4,FALSE)</f>
        <v>GT</v>
      </c>
      <c r="R1414" s="101"/>
      <c r="U1414" s="101"/>
    </row>
    <row r="1415" ht="22.5" customHeight="1">
      <c r="A1415" s="49"/>
      <c r="C1415" s="192">
        <v>46261.0</v>
      </c>
      <c r="D1415" s="192">
        <v>46260.0</v>
      </c>
      <c r="E1415" s="69" t="s">
        <v>123</v>
      </c>
      <c r="F1415" s="243" t="s">
        <v>343</v>
      </c>
      <c r="G1415" s="69" t="s">
        <v>2396</v>
      </c>
      <c r="H1415" s="69" t="s">
        <v>7</v>
      </c>
      <c r="I1415" s="140" t="s">
        <v>288</v>
      </c>
      <c r="J1415" s="446">
        <v>4.0</v>
      </c>
      <c r="K1415" s="140">
        <v>548100.0</v>
      </c>
      <c r="L1415" s="140">
        <v>548100.0</v>
      </c>
      <c r="M1415" s="140" t="s">
        <v>755</v>
      </c>
      <c r="N1415" s="74">
        <f t="shared" si="6"/>
        <v>2192400</v>
      </c>
      <c r="O1415" s="60">
        <f t="shared" si="2"/>
        <v>46290</v>
      </c>
      <c r="P1415" s="65" t="str">
        <f>VLOOKUP(I1415,DATABASE!C:Q,11,FALSE)</f>
        <v>Tire</v>
      </c>
      <c r="Q1415" s="65" t="str">
        <f>VLOOKUP(I1415,DATABASE!C:Q,4,FALSE)</f>
        <v>GT</v>
      </c>
      <c r="R1415" s="101"/>
      <c r="U1415" s="101"/>
    </row>
    <row r="1416" ht="22.5" customHeight="1">
      <c r="A1416" s="49"/>
      <c r="C1416" s="192">
        <v>46261.0</v>
      </c>
      <c r="D1416" s="192">
        <v>46261.0</v>
      </c>
      <c r="E1416" s="69" t="s">
        <v>436</v>
      </c>
      <c r="F1416" s="243" t="s">
        <v>343</v>
      </c>
      <c r="G1416" s="69" t="s">
        <v>2422</v>
      </c>
      <c r="H1416" s="69" t="s">
        <v>7</v>
      </c>
      <c r="I1416" s="140" t="s">
        <v>2645</v>
      </c>
      <c r="J1416" s="446">
        <v>2.0</v>
      </c>
      <c r="K1416" s="140">
        <v>174000.0</v>
      </c>
      <c r="L1416" s="140">
        <v>174000.0</v>
      </c>
      <c r="M1416" s="140" t="s">
        <v>755</v>
      </c>
      <c r="N1416" s="74">
        <f t="shared" si="6"/>
        <v>348000</v>
      </c>
      <c r="O1416" s="60">
        <f t="shared" si="2"/>
        <v>46291</v>
      </c>
      <c r="P1416" s="65" t="str">
        <f>VLOOKUP(I1416,DATABASE!C:Q,11,FALSE)</f>
        <v>COMPLEMENTARY</v>
      </c>
      <c r="Q1416" s="65" t="str">
        <f>VLOOKUP(I1416,DATABASE!C:Q,4,FALSE)</f>
        <v>Stabil link avanza</v>
      </c>
      <c r="R1416" s="101"/>
      <c r="U1416" s="101"/>
    </row>
    <row r="1417" ht="22.5" customHeight="1">
      <c r="A1417" s="49"/>
      <c r="C1417" s="192">
        <v>46261.0</v>
      </c>
      <c r="D1417" s="192">
        <v>46261.0</v>
      </c>
      <c r="E1417" s="69" t="s">
        <v>436</v>
      </c>
      <c r="F1417" s="243" t="s">
        <v>343</v>
      </c>
      <c r="G1417" s="69" t="s">
        <v>2422</v>
      </c>
      <c r="H1417" s="69" t="s">
        <v>7</v>
      </c>
      <c r="I1417" s="140" t="s">
        <v>2646</v>
      </c>
      <c r="J1417" s="446">
        <v>2.0</v>
      </c>
      <c r="K1417" s="140">
        <v>174000.0</v>
      </c>
      <c r="L1417" s="140">
        <v>174000.0</v>
      </c>
      <c r="M1417" s="140" t="s">
        <v>755</v>
      </c>
      <c r="N1417" s="74">
        <f t="shared" si="6"/>
        <v>348000</v>
      </c>
      <c r="O1417" s="60">
        <f t="shared" si="2"/>
        <v>46291</v>
      </c>
      <c r="P1417" s="65" t="str">
        <f>VLOOKUP(I1417,DATABASE!C:Q,11,FALSE)</f>
        <v>COMPLEMENTARY</v>
      </c>
      <c r="Q1417" s="65" t="str">
        <f>VLOOKUP(I1417,DATABASE!C:Q,4,FALSE)</f>
        <v>Stabil link Grandmax</v>
      </c>
      <c r="R1417" s="101"/>
      <c r="U1417" s="101"/>
    </row>
    <row r="1418" ht="22.5" customHeight="1">
      <c r="A1418" s="49"/>
      <c r="C1418" s="192">
        <v>46261.0</v>
      </c>
      <c r="D1418" s="192">
        <v>46261.0</v>
      </c>
      <c r="E1418" s="69" t="s">
        <v>436</v>
      </c>
      <c r="F1418" s="243" t="s">
        <v>343</v>
      </c>
      <c r="G1418" s="69" t="s">
        <v>2422</v>
      </c>
      <c r="H1418" s="69" t="s">
        <v>7</v>
      </c>
      <c r="I1418" s="140" t="s">
        <v>2647</v>
      </c>
      <c r="J1418" s="446">
        <v>2.0</v>
      </c>
      <c r="K1418" s="140">
        <v>194400.0</v>
      </c>
      <c r="L1418" s="140">
        <v>194400.0</v>
      </c>
      <c r="M1418" s="140" t="s">
        <v>755</v>
      </c>
      <c r="N1418" s="74">
        <f t="shared" si="6"/>
        <v>388800</v>
      </c>
      <c r="O1418" s="60">
        <f t="shared" si="2"/>
        <v>46291</v>
      </c>
      <c r="P1418" s="65" t="str">
        <f>VLOOKUP(I1418,DATABASE!C:Q,11,FALSE)</f>
        <v>COMPLEMENTARY</v>
      </c>
      <c r="Q1418" s="65" t="str">
        <f>VLOOKUP(I1418,DATABASE!C:Q,4,FALSE)</f>
        <v>RACK END</v>
      </c>
      <c r="R1418" s="101"/>
      <c r="U1418" s="101"/>
    </row>
    <row r="1419" ht="22.5" customHeight="1">
      <c r="A1419" s="49"/>
      <c r="C1419" s="192">
        <v>46261.0</v>
      </c>
      <c r="D1419" s="192">
        <v>46261.0</v>
      </c>
      <c r="E1419" s="69" t="s">
        <v>436</v>
      </c>
      <c r="F1419" s="243" t="s">
        <v>343</v>
      </c>
      <c r="G1419" s="69" t="s">
        <v>2422</v>
      </c>
      <c r="H1419" s="69" t="s">
        <v>7</v>
      </c>
      <c r="I1419" s="140" t="s">
        <v>2647</v>
      </c>
      <c r="J1419" s="446">
        <v>1.0</v>
      </c>
      <c r="K1419" s="140">
        <v>194400.0</v>
      </c>
      <c r="L1419" s="140">
        <v>194400.0</v>
      </c>
      <c r="M1419" s="140" t="s">
        <v>755</v>
      </c>
      <c r="N1419" s="74">
        <f t="shared" si="6"/>
        <v>194400</v>
      </c>
      <c r="O1419" s="60">
        <f t="shared" si="2"/>
        <v>46291</v>
      </c>
      <c r="P1419" s="65" t="str">
        <f>VLOOKUP(I1419,DATABASE!C:Q,11,FALSE)</f>
        <v>COMPLEMENTARY</v>
      </c>
      <c r="Q1419" s="65" t="str">
        <f>VLOOKUP(I1419,DATABASE!C:Q,4,FALSE)</f>
        <v>RACK END</v>
      </c>
      <c r="R1419" s="101"/>
      <c r="U1419" s="101"/>
    </row>
    <row r="1420" ht="22.5" customHeight="1">
      <c r="A1420" s="49"/>
      <c r="C1420" s="192">
        <v>46261.0</v>
      </c>
      <c r="D1420" s="192">
        <v>46261.0</v>
      </c>
      <c r="E1420" s="69" t="s">
        <v>436</v>
      </c>
      <c r="F1420" s="243" t="s">
        <v>343</v>
      </c>
      <c r="G1420" s="69" t="s">
        <v>2422</v>
      </c>
      <c r="H1420" s="69" t="s">
        <v>7</v>
      </c>
      <c r="I1420" s="140" t="s">
        <v>2649</v>
      </c>
      <c r="J1420" s="446">
        <v>10.0</v>
      </c>
      <c r="K1420" s="140">
        <v>133650.0</v>
      </c>
      <c r="L1420" s="140">
        <v>133650.0</v>
      </c>
      <c r="M1420" s="140" t="s">
        <v>755</v>
      </c>
      <c r="N1420" s="74">
        <f t="shared" si="6"/>
        <v>1336500</v>
      </c>
      <c r="O1420" s="60">
        <f t="shared" si="2"/>
        <v>46291</v>
      </c>
      <c r="P1420" s="65" t="str">
        <f>VLOOKUP(I1420,DATABASE!C:Q,11,FALSE)</f>
        <v>COMPLEMENTARY</v>
      </c>
      <c r="Q1420" s="65" t="str">
        <f>VLOOKUP(I1420,DATABASE!C:Q,4,FALSE)</f>
        <v>TIEROD</v>
      </c>
      <c r="R1420" s="101"/>
      <c r="U1420" s="101"/>
    </row>
    <row r="1421" ht="22.5" customHeight="1">
      <c r="A1421" s="49"/>
      <c r="C1421" s="192">
        <v>46263.0</v>
      </c>
      <c r="D1421" s="192">
        <v>46260.0</v>
      </c>
      <c r="E1421" s="69" t="s">
        <v>386</v>
      </c>
      <c r="F1421" s="243" t="s">
        <v>998</v>
      </c>
      <c r="G1421" s="69" t="s">
        <v>2157</v>
      </c>
      <c r="H1421" s="69" t="s">
        <v>2314</v>
      </c>
      <c r="I1421" s="140" t="s">
        <v>2174</v>
      </c>
      <c r="J1421" s="446">
        <v>4.0</v>
      </c>
      <c r="K1421" s="140">
        <v>225314.0</v>
      </c>
      <c r="L1421" s="140">
        <v>225314.0</v>
      </c>
      <c r="M1421" s="140" t="s">
        <v>755</v>
      </c>
      <c r="N1421" s="74">
        <f t="shared" si="6"/>
        <v>901256</v>
      </c>
      <c r="O1421" s="60">
        <f t="shared" si="2"/>
        <v>46290</v>
      </c>
      <c r="P1421" s="65" t="str">
        <f>VLOOKUP(I1421,DATABASE!C:Q,11,FALSE)</f>
        <v>OIL</v>
      </c>
      <c r="Q1421" s="65" t="str">
        <f>VLOOKUP(I1421,DATABASE!C:Q,4,FALSE)</f>
        <v>Shell</v>
      </c>
      <c r="R1421" s="101"/>
      <c r="U1421" s="101"/>
    </row>
    <row r="1422" ht="22.5" customHeight="1">
      <c r="A1422" s="49"/>
      <c r="C1422" s="192">
        <v>46263.0</v>
      </c>
      <c r="D1422" s="192">
        <v>46260.0</v>
      </c>
      <c r="E1422" s="69" t="s">
        <v>386</v>
      </c>
      <c r="F1422" s="243" t="s">
        <v>998</v>
      </c>
      <c r="G1422" s="69" t="s">
        <v>2157</v>
      </c>
      <c r="H1422" s="69" t="s">
        <v>2314</v>
      </c>
      <c r="I1422" s="140" t="s">
        <v>252</v>
      </c>
      <c r="J1422" s="446">
        <v>4.0</v>
      </c>
      <c r="K1422" s="140">
        <v>317518.0</v>
      </c>
      <c r="L1422" s="140">
        <v>317518.0</v>
      </c>
      <c r="M1422" s="140" t="s">
        <v>755</v>
      </c>
      <c r="N1422" s="74">
        <f t="shared" si="6"/>
        <v>1270072</v>
      </c>
      <c r="O1422" s="60">
        <f t="shared" si="2"/>
        <v>46290</v>
      </c>
      <c r="P1422" s="65" t="str">
        <f>VLOOKUP(I1422,DATABASE!C:Q,11,FALSE)</f>
        <v>OIL</v>
      </c>
      <c r="Q1422" s="65" t="str">
        <f>VLOOKUP(I1422,DATABASE!C:Q,4,FALSE)</f>
        <v>Shell</v>
      </c>
      <c r="R1422" s="101"/>
      <c r="U1422" s="101"/>
    </row>
    <row r="1423" ht="22.5" customHeight="1">
      <c r="A1423" s="49"/>
      <c r="C1423" s="192">
        <v>46263.0</v>
      </c>
      <c r="D1423" s="192">
        <v>46260.0</v>
      </c>
      <c r="E1423" s="69" t="s">
        <v>386</v>
      </c>
      <c r="F1423" s="243" t="s">
        <v>998</v>
      </c>
      <c r="G1423" s="69" t="s">
        <v>2157</v>
      </c>
      <c r="H1423" s="69" t="s">
        <v>2314</v>
      </c>
      <c r="I1423" s="140" t="s">
        <v>263</v>
      </c>
      <c r="J1423" s="446">
        <v>8.0</v>
      </c>
      <c r="K1423" s="140">
        <v>334916.0</v>
      </c>
      <c r="L1423" s="140">
        <v>334916.0</v>
      </c>
      <c r="M1423" s="140" t="s">
        <v>755</v>
      </c>
      <c r="N1423" s="74">
        <f t="shared" si="6"/>
        <v>2679328</v>
      </c>
      <c r="O1423" s="60">
        <f t="shared" si="2"/>
        <v>46290</v>
      </c>
      <c r="P1423" s="65" t="str">
        <f>VLOOKUP(I1423,DATABASE!C:Q,11,FALSE)</f>
        <v>OIL</v>
      </c>
      <c r="Q1423" s="65" t="str">
        <f>VLOOKUP(I1423,DATABASE!C:Q,4,FALSE)</f>
        <v>Shell</v>
      </c>
      <c r="R1423" s="101"/>
      <c r="U1423" s="101"/>
    </row>
    <row r="1424" ht="22.5" customHeight="1">
      <c r="A1424" s="49"/>
      <c r="C1424" s="192">
        <v>46263.0</v>
      </c>
      <c r="D1424" s="192">
        <v>46263.0</v>
      </c>
      <c r="E1424" s="69" t="s">
        <v>81</v>
      </c>
      <c r="F1424" s="243" t="s">
        <v>343</v>
      </c>
      <c r="G1424" s="69" t="s">
        <v>1842</v>
      </c>
      <c r="H1424" s="69" t="s">
        <v>87</v>
      </c>
      <c r="I1424" s="140" t="s">
        <v>265</v>
      </c>
      <c r="J1424" s="446">
        <v>10.0</v>
      </c>
      <c r="K1424" s="140">
        <v>610000.0</v>
      </c>
      <c r="L1424" s="140">
        <v>603000.0</v>
      </c>
      <c r="M1424" s="140" t="s">
        <v>657</v>
      </c>
      <c r="N1424" s="74">
        <f t="shared" si="6"/>
        <v>6030000</v>
      </c>
      <c r="O1424" s="60">
        <f t="shared" si="2"/>
        <v>46338</v>
      </c>
      <c r="P1424" s="65" t="str">
        <f>VLOOKUP(I1424,DATABASE!C:Q,11,FALSE)</f>
        <v>Tire</v>
      </c>
      <c r="Q1424" s="65" t="str">
        <f>VLOOKUP(I1424,DATABASE!C:Q,4,FALSE)</f>
        <v>Dunlop</v>
      </c>
      <c r="R1424" s="101"/>
      <c r="U1424" s="101"/>
    </row>
    <row r="1425" ht="22.5" customHeight="1">
      <c r="A1425" s="49"/>
      <c r="C1425" s="192">
        <v>46263.0</v>
      </c>
      <c r="D1425" s="192">
        <v>46263.0</v>
      </c>
      <c r="E1425" s="69" t="s">
        <v>81</v>
      </c>
      <c r="F1425" s="243" t="s">
        <v>343</v>
      </c>
      <c r="G1425" s="69" t="s">
        <v>1842</v>
      </c>
      <c r="H1425" s="69" t="s">
        <v>87</v>
      </c>
      <c r="I1425" s="140" t="s">
        <v>268</v>
      </c>
      <c r="J1425" s="446">
        <v>32.0</v>
      </c>
      <c r="K1425" s="140">
        <v>634500.0</v>
      </c>
      <c r="L1425" s="140">
        <v>622000.0</v>
      </c>
      <c r="M1425" s="140" t="s">
        <v>657</v>
      </c>
      <c r="N1425" s="74">
        <f t="shared" si="6"/>
        <v>19904000</v>
      </c>
      <c r="O1425" s="60">
        <f t="shared" si="2"/>
        <v>46338</v>
      </c>
      <c r="P1425" s="65" t="str">
        <f>VLOOKUP(I1425,DATABASE!C:Q,11,FALSE)</f>
        <v>Tire</v>
      </c>
      <c r="Q1425" s="65" t="str">
        <f>VLOOKUP(I1425,DATABASE!C:Q,4,FALSE)</f>
        <v>Dunlop</v>
      </c>
      <c r="R1425" s="101"/>
      <c r="U1425" s="101"/>
    </row>
    <row r="1426" ht="22.5" customHeight="1">
      <c r="A1426" s="49"/>
      <c r="C1426" s="192">
        <v>46263.0</v>
      </c>
      <c r="D1426" s="192">
        <v>46263.0</v>
      </c>
      <c r="E1426" s="69" t="s">
        <v>81</v>
      </c>
      <c r="F1426" s="243" t="s">
        <v>343</v>
      </c>
      <c r="G1426" s="69" t="s">
        <v>1842</v>
      </c>
      <c r="H1426" s="69" t="s">
        <v>87</v>
      </c>
      <c r="I1426" s="140" t="s">
        <v>275</v>
      </c>
      <c r="J1426" s="446">
        <v>12.0</v>
      </c>
      <c r="K1426" s="140">
        <v>759500.0</v>
      </c>
      <c r="L1426" s="140">
        <v>745000.0</v>
      </c>
      <c r="M1426" s="140" t="s">
        <v>657</v>
      </c>
      <c r="N1426" s="74">
        <f t="shared" si="6"/>
        <v>8940000</v>
      </c>
      <c r="O1426" s="60">
        <f t="shared" si="2"/>
        <v>46338</v>
      </c>
      <c r="P1426" s="65" t="str">
        <f>VLOOKUP(I1426,DATABASE!C:Q,11,FALSE)</f>
        <v>Tire</v>
      </c>
      <c r="Q1426" s="65" t="str">
        <f>VLOOKUP(I1426,DATABASE!C:Q,4,FALSE)</f>
        <v>Dunlop</v>
      </c>
      <c r="R1426" s="101"/>
      <c r="U1426" s="101"/>
    </row>
    <row r="1427" ht="22.5" customHeight="1">
      <c r="A1427" s="49"/>
      <c r="C1427" s="192">
        <v>46263.0</v>
      </c>
      <c r="D1427" s="192">
        <v>46263.0</v>
      </c>
      <c r="E1427" s="69" t="s">
        <v>81</v>
      </c>
      <c r="F1427" s="243" t="s">
        <v>343</v>
      </c>
      <c r="G1427" s="69" t="s">
        <v>1842</v>
      </c>
      <c r="H1427" s="69" t="s">
        <v>87</v>
      </c>
      <c r="I1427" s="140" t="s">
        <v>695</v>
      </c>
      <c r="J1427" s="446">
        <v>4.0</v>
      </c>
      <c r="K1427" s="140">
        <v>582000.0</v>
      </c>
      <c r="L1427" s="140">
        <v>582000.0</v>
      </c>
      <c r="M1427" s="140" t="s">
        <v>657</v>
      </c>
      <c r="N1427" s="74">
        <f t="shared" si="6"/>
        <v>2328000</v>
      </c>
      <c r="O1427" s="60">
        <f t="shared" si="2"/>
        <v>46338</v>
      </c>
      <c r="P1427" s="65" t="str">
        <f>VLOOKUP(I1427,DATABASE!C:Q,11,FALSE)</f>
        <v>Tire</v>
      </c>
      <c r="Q1427" s="65" t="str">
        <f>VLOOKUP(I1427,DATABASE!C:Q,4,FALSE)</f>
        <v>Dunlop</v>
      </c>
      <c r="R1427" s="101"/>
      <c r="U1427" s="101"/>
    </row>
    <row r="1428" ht="22.5" customHeight="1">
      <c r="A1428" s="49"/>
      <c r="C1428" s="192">
        <v>46263.0</v>
      </c>
      <c r="D1428" s="192">
        <v>46263.0</v>
      </c>
      <c r="E1428" s="69" t="s">
        <v>81</v>
      </c>
      <c r="F1428" s="243" t="s">
        <v>343</v>
      </c>
      <c r="G1428" s="69" t="s">
        <v>1842</v>
      </c>
      <c r="H1428" s="69" t="s">
        <v>87</v>
      </c>
      <c r="I1428" s="140" t="s">
        <v>271</v>
      </c>
      <c r="J1428" s="446">
        <v>6.0</v>
      </c>
      <c r="K1428" s="140">
        <v>550000.0</v>
      </c>
      <c r="L1428" s="140">
        <v>550000.0</v>
      </c>
      <c r="M1428" s="140" t="s">
        <v>657</v>
      </c>
      <c r="N1428" s="74">
        <f t="shared" si="6"/>
        <v>3300000</v>
      </c>
      <c r="O1428" s="60">
        <f t="shared" si="2"/>
        <v>46338</v>
      </c>
      <c r="P1428" s="65" t="str">
        <f>VLOOKUP(I1428,DATABASE!C:Q,11,FALSE)</f>
        <v>Tire</v>
      </c>
      <c r="Q1428" s="65" t="str">
        <f>VLOOKUP(I1428,DATABASE!C:Q,4,FALSE)</f>
        <v>Dunlop</v>
      </c>
      <c r="R1428" s="101"/>
      <c r="U1428" s="101"/>
    </row>
    <row r="1429" ht="22.5" customHeight="1">
      <c r="A1429" s="49"/>
      <c r="C1429" s="192">
        <v>46263.0</v>
      </c>
      <c r="D1429" s="192">
        <v>46263.0</v>
      </c>
      <c r="E1429" s="69" t="s">
        <v>81</v>
      </c>
      <c r="F1429" s="243" t="s">
        <v>343</v>
      </c>
      <c r="G1429" s="69" t="s">
        <v>1842</v>
      </c>
      <c r="H1429" s="69" t="s">
        <v>87</v>
      </c>
      <c r="I1429" s="140" t="s">
        <v>279</v>
      </c>
      <c r="J1429" s="446">
        <v>14.0</v>
      </c>
      <c r="K1429" s="140">
        <v>602000.0</v>
      </c>
      <c r="L1429" s="140">
        <v>602000.0</v>
      </c>
      <c r="M1429" s="140" t="s">
        <v>657</v>
      </c>
      <c r="N1429" s="74">
        <f t="shared" si="6"/>
        <v>8428000</v>
      </c>
      <c r="O1429" s="60">
        <f t="shared" si="2"/>
        <v>46338</v>
      </c>
      <c r="P1429" s="65" t="str">
        <f>VLOOKUP(I1429,DATABASE!C:Q,11,FALSE)</f>
        <v>Tire</v>
      </c>
      <c r="Q1429" s="65" t="str">
        <f>VLOOKUP(I1429,DATABASE!C:Q,4,FALSE)</f>
        <v>Dunlop</v>
      </c>
      <c r="R1429" s="101"/>
      <c r="U1429" s="101"/>
    </row>
    <row r="1430" ht="22.5" customHeight="1">
      <c r="A1430" s="49"/>
      <c r="C1430" s="192">
        <v>46263.0</v>
      </c>
      <c r="D1430" s="192">
        <v>46263.0</v>
      </c>
      <c r="E1430" s="69" t="s">
        <v>81</v>
      </c>
      <c r="F1430" s="243" t="s">
        <v>343</v>
      </c>
      <c r="G1430" s="69" t="s">
        <v>1842</v>
      </c>
      <c r="H1430" s="69" t="s">
        <v>87</v>
      </c>
      <c r="I1430" s="140" t="s">
        <v>955</v>
      </c>
      <c r="J1430" s="446">
        <v>6.0</v>
      </c>
      <c r="K1430" s="140">
        <v>688000.0</v>
      </c>
      <c r="L1430" s="140">
        <v>688000.0</v>
      </c>
      <c r="M1430" s="140" t="s">
        <v>657</v>
      </c>
      <c r="N1430" s="74">
        <f t="shared" si="6"/>
        <v>4128000</v>
      </c>
      <c r="O1430" s="60">
        <f t="shared" si="2"/>
        <v>46338</v>
      </c>
      <c r="P1430" s="65" t="str">
        <f>VLOOKUP(I1430,DATABASE!C:Q,11,FALSE)</f>
        <v>Tire</v>
      </c>
      <c r="Q1430" s="65" t="str">
        <f>VLOOKUP(I1430,DATABASE!C:Q,4,FALSE)</f>
        <v>Dunlop</v>
      </c>
      <c r="R1430" s="101"/>
      <c r="U1430" s="101"/>
    </row>
    <row r="1431" ht="22.5" customHeight="1">
      <c r="A1431" s="49"/>
      <c r="C1431" s="192">
        <v>46263.0</v>
      </c>
      <c r="D1431" s="192">
        <v>46263.0</v>
      </c>
      <c r="E1431" s="69" t="s">
        <v>81</v>
      </c>
      <c r="F1431" s="243" t="s">
        <v>343</v>
      </c>
      <c r="G1431" s="69" t="s">
        <v>1842</v>
      </c>
      <c r="H1431" s="69" t="s">
        <v>87</v>
      </c>
      <c r="I1431" s="140" t="s">
        <v>940</v>
      </c>
      <c r="J1431" s="446">
        <v>4.0</v>
      </c>
      <c r="K1431" s="140">
        <v>716500.0</v>
      </c>
      <c r="L1431" s="140">
        <v>716500.0</v>
      </c>
      <c r="M1431" s="140" t="s">
        <v>657</v>
      </c>
      <c r="N1431" s="74">
        <f t="shared" si="6"/>
        <v>2866000</v>
      </c>
      <c r="O1431" s="60">
        <f t="shared" si="2"/>
        <v>46338</v>
      </c>
      <c r="P1431" s="65" t="str">
        <f>VLOOKUP(I1431,DATABASE!C:Q,11,FALSE)</f>
        <v>Tire</v>
      </c>
      <c r="Q1431" s="65" t="str">
        <f>VLOOKUP(I1431,DATABASE!C:Q,4,FALSE)</f>
        <v>Dunlop</v>
      </c>
      <c r="R1431" s="101"/>
      <c r="U1431" s="101"/>
    </row>
    <row r="1432" ht="22.5" customHeight="1">
      <c r="A1432" s="49"/>
      <c r="C1432" s="192">
        <v>46266.0</v>
      </c>
      <c r="D1432" s="192">
        <v>46266.0</v>
      </c>
      <c r="E1432" s="69" t="s">
        <v>123</v>
      </c>
      <c r="F1432" s="243" t="s">
        <v>343</v>
      </c>
      <c r="G1432" s="69" t="s">
        <v>2398</v>
      </c>
      <c r="H1432" s="69" t="s">
        <v>7</v>
      </c>
      <c r="I1432" s="140" t="s">
        <v>2015</v>
      </c>
      <c r="J1432" s="446">
        <v>2.0</v>
      </c>
      <c r="K1432" s="140">
        <v>750700.0</v>
      </c>
      <c r="L1432" s="140">
        <v>701800.0</v>
      </c>
      <c r="M1432" s="140" t="s">
        <v>1023</v>
      </c>
      <c r="N1432" s="74">
        <f t="shared" si="6"/>
        <v>1403600</v>
      </c>
      <c r="O1432" s="60" t="str">
        <f t="shared" si="2"/>
        <v>LUNAS</v>
      </c>
      <c r="P1432" s="65" t="str">
        <f>VLOOKUP(I1432,DATABASE!C:Q,11,FALSE)</f>
        <v>Tire</v>
      </c>
      <c r="Q1432" s="65" t="str">
        <f>VLOOKUP(I1432,DATABASE!C:Q,4,FALSE)</f>
        <v>GT</v>
      </c>
      <c r="R1432" s="101"/>
      <c r="U1432" s="101"/>
    </row>
    <row r="1433" ht="22.5" customHeight="1">
      <c r="A1433" s="49"/>
      <c r="C1433" s="192">
        <v>46268.0</v>
      </c>
      <c r="D1433" s="192">
        <v>46268.0</v>
      </c>
      <c r="E1433" s="69" t="s">
        <v>81</v>
      </c>
      <c r="F1433" s="243" t="s">
        <v>343</v>
      </c>
      <c r="G1433" s="69" t="s">
        <v>1853</v>
      </c>
      <c r="H1433" s="69" t="s">
        <v>87</v>
      </c>
      <c r="I1433" s="93" t="s">
        <v>281</v>
      </c>
      <c r="J1433" s="446">
        <v>1.0</v>
      </c>
      <c r="K1433" s="140">
        <v>814000.0</v>
      </c>
      <c r="L1433" s="140">
        <v>814000.0</v>
      </c>
      <c r="M1433" s="140" t="s">
        <v>657</v>
      </c>
      <c r="N1433" s="74">
        <f t="shared" si="6"/>
        <v>814000</v>
      </c>
      <c r="O1433" s="60">
        <f t="shared" si="2"/>
        <v>46343</v>
      </c>
      <c r="P1433" s="65" t="str">
        <f>VLOOKUP(I1433,DATABASE!C:Q,11,FALSE)</f>
        <v>Tire</v>
      </c>
      <c r="Q1433" s="65" t="str">
        <f>VLOOKUP(I1433,DATABASE!C:Q,4,FALSE)</f>
        <v>Dunlop</v>
      </c>
      <c r="R1433" s="101"/>
      <c r="U1433" s="101"/>
    </row>
    <row r="1434" ht="22.5" customHeight="1">
      <c r="A1434" s="49"/>
      <c r="C1434" s="192">
        <v>46268.0</v>
      </c>
      <c r="D1434" s="192">
        <v>46267.0</v>
      </c>
      <c r="E1434" s="69" t="s">
        <v>110</v>
      </c>
      <c r="F1434" s="243" t="s">
        <v>343</v>
      </c>
      <c r="G1434" s="69">
        <v>2.6011463E7</v>
      </c>
      <c r="H1434" s="69" t="s">
        <v>7</v>
      </c>
      <c r="I1434" s="140" t="s">
        <v>286</v>
      </c>
      <c r="J1434" s="446">
        <v>30.0</v>
      </c>
      <c r="K1434" s="140">
        <v>488320.0</v>
      </c>
      <c r="L1434" s="140">
        <v>488320.0</v>
      </c>
      <c r="M1434" s="140" t="s">
        <v>755</v>
      </c>
      <c r="N1434" s="74">
        <f t="shared" si="6"/>
        <v>14649600</v>
      </c>
      <c r="O1434" s="60">
        <f t="shared" si="2"/>
        <v>46297</v>
      </c>
      <c r="P1434" s="65" t="str">
        <f>VLOOKUP(I1434,DATABASE!C:Q,11,FALSE)</f>
        <v>Tire</v>
      </c>
      <c r="Q1434" s="65" t="str">
        <f>VLOOKUP(I1434,DATABASE!C:Q,4,FALSE)</f>
        <v>GT</v>
      </c>
      <c r="R1434" s="101"/>
      <c r="U1434" s="101"/>
    </row>
    <row r="1435" ht="22.5" customHeight="1">
      <c r="A1435" s="49"/>
      <c r="C1435" s="192">
        <v>46268.0</v>
      </c>
      <c r="D1435" s="192">
        <v>46268.0</v>
      </c>
      <c r="E1435" s="69" t="s">
        <v>110</v>
      </c>
      <c r="F1435" s="243" t="s">
        <v>343</v>
      </c>
      <c r="G1435" s="69">
        <v>2.6011504E7</v>
      </c>
      <c r="H1435" s="69" t="s">
        <v>7</v>
      </c>
      <c r="I1435" s="140" t="s">
        <v>791</v>
      </c>
      <c r="J1435" s="446">
        <v>5.0</v>
      </c>
      <c r="K1435" s="140">
        <v>1210000.0</v>
      </c>
      <c r="L1435" s="140">
        <v>1210000.0</v>
      </c>
      <c r="M1435" s="140" t="s">
        <v>755</v>
      </c>
      <c r="N1435" s="74">
        <f t="shared" si="6"/>
        <v>6050000</v>
      </c>
      <c r="O1435" s="60">
        <f t="shared" si="2"/>
        <v>46298</v>
      </c>
      <c r="P1435" s="65" t="str">
        <f>VLOOKUP(I1435,DATABASE!C:Q,11,FALSE)</f>
        <v>Tire</v>
      </c>
      <c r="Q1435" s="65" t="str">
        <f>VLOOKUP(I1435,DATABASE!C:Q,4,FALSE)</f>
        <v>GT</v>
      </c>
      <c r="R1435" s="101"/>
      <c r="U1435" s="101"/>
    </row>
    <row r="1436" ht="22.5" customHeight="1">
      <c r="A1436" s="49"/>
      <c r="C1436" s="192">
        <v>46269.0</v>
      </c>
      <c r="D1436" s="192">
        <v>46268.0</v>
      </c>
      <c r="E1436" s="69" t="s">
        <v>97</v>
      </c>
      <c r="F1436" s="243" t="s">
        <v>343</v>
      </c>
      <c r="G1436" s="69" t="s">
        <v>2514</v>
      </c>
      <c r="H1436" s="69" t="s">
        <v>87</v>
      </c>
      <c r="I1436" s="140" t="s">
        <v>566</v>
      </c>
      <c r="J1436" s="446">
        <v>8.0</v>
      </c>
      <c r="K1436" s="140">
        <v>1565000.0</v>
      </c>
      <c r="L1436" s="140">
        <v>1565000.0</v>
      </c>
      <c r="M1436" s="140" t="s">
        <v>755</v>
      </c>
      <c r="N1436" s="74">
        <f t="shared" si="6"/>
        <v>12520000</v>
      </c>
      <c r="O1436" s="60">
        <f t="shared" si="2"/>
        <v>46298</v>
      </c>
      <c r="P1436" s="65" t="str">
        <f>VLOOKUP(I1436,DATABASE!C:Q,11,FALSE)</f>
        <v>Tire</v>
      </c>
      <c r="Q1436" s="65" t="str">
        <f>VLOOKUP(I1436,DATABASE!C:Q,4,FALSE)</f>
        <v>Bridgestone</v>
      </c>
      <c r="R1436" s="101"/>
      <c r="U1436" s="101"/>
    </row>
    <row r="1437" ht="22.5" customHeight="1">
      <c r="A1437" s="49"/>
      <c r="C1437" s="192">
        <v>46269.0</v>
      </c>
      <c r="D1437" s="192">
        <v>46268.0</v>
      </c>
      <c r="E1437" s="69" t="s">
        <v>97</v>
      </c>
      <c r="F1437" s="243" t="s">
        <v>343</v>
      </c>
      <c r="G1437" s="69" t="s">
        <v>2514</v>
      </c>
      <c r="H1437" s="69" t="s">
        <v>87</v>
      </c>
      <c r="I1437" s="140" t="s">
        <v>572</v>
      </c>
      <c r="J1437" s="446">
        <v>10.0</v>
      </c>
      <c r="K1437" s="140">
        <v>1265000.0</v>
      </c>
      <c r="L1437" s="140">
        <v>1265000.0</v>
      </c>
      <c r="M1437" s="140" t="s">
        <v>755</v>
      </c>
      <c r="N1437" s="74">
        <f t="shared" si="6"/>
        <v>12650000</v>
      </c>
      <c r="O1437" s="60">
        <f t="shared" si="2"/>
        <v>46298</v>
      </c>
      <c r="P1437" s="65" t="str">
        <f>VLOOKUP(I1437,DATABASE!C:Q,11,FALSE)</f>
        <v>Tire</v>
      </c>
      <c r="Q1437" s="65" t="str">
        <f>VLOOKUP(I1437,DATABASE!C:Q,4,FALSE)</f>
        <v>Bridgestone</v>
      </c>
      <c r="R1437" s="101"/>
      <c r="U1437" s="101"/>
    </row>
    <row r="1438" ht="22.5" customHeight="1">
      <c r="A1438" s="49"/>
      <c r="C1438" s="192">
        <v>46269.0</v>
      </c>
      <c r="D1438" s="192">
        <v>46269.0</v>
      </c>
      <c r="E1438" s="69" t="s">
        <v>97</v>
      </c>
      <c r="F1438" s="243" t="s">
        <v>343</v>
      </c>
      <c r="G1438" s="69" t="s">
        <v>2515</v>
      </c>
      <c r="H1438" s="69" t="s">
        <v>87</v>
      </c>
      <c r="I1438" s="140" t="s">
        <v>1237</v>
      </c>
      <c r="J1438" s="446">
        <v>6.0</v>
      </c>
      <c r="K1438" s="140">
        <v>1170353.16</v>
      </c>
      <c r="L1438" s="140">
        <v>1170353.16</v>
      </c>
      <c r="M1438" s="140" t="s">
        <v>755</v>
      </c>
      <c r="N1438" s="74">
        <f t="shared" si="6"/>
        <v>7022118.96</v>
      </c>
      <c r="O1438" s="60">
        <f t="shared" si="2"/>
        <v>46299</v>
      </c>
      <c r="P1438" s="65" t="str">
        <f>VLOOKUP(I1438,DATABASE!C:Q,11,FALSE)</f>
        <v>Tire</v>
      </c>
      <c r="Q1438" s="65" t="str">
        <f>VLOOKUP(I1438,DATABASE!C:Q,4,FALSE)</f>
        <v>Bridgestone</v>
      </c>
      <c r="R1438" s="101"/>
      <c r="U1438" s="101"/>
    </row>
    <row r="1439" ht="22.5" customHeight="1">
      <c r="A1439" s="49"/>
      <c r="C1439" s="192">
        <v>46269.0</v>
      </c>
      <c r="D1439" s="192">
        <v>46269.0</v>
      </c>
      <c r="E1439" s="69" t="s">
        <v>97</v>
      </c>
      <c r="F1439" s="243" t="s">
        <v>343</v>
      </c>
      <c r="G1439" s="69" t="s">
        <v>2515</v>
      </c>
      <c r="H1439" s="69" t="s">
        <v>87</v>
      </c>
      <c r="I1439" s="140" t="s">
        <v>591</v>
      </c>
      <c r="J1439" s="446">
        <v>12.0</v>
      </c>
      <c r="K1439" s="140">
        <v>633035.16</v>
      </c>
      <c r="L1439" s="140">
        <v>633035.16</v>
      </c>
      <c r="M1439" s="140" t="s">
        <v>755</v>
      </c>
      <c r="N1439" s="74">
        <f t="shared" si="6"/>
        <v>7596421.92</v>
      </c>
      <c r="O1439" s="60">
        <f t="shared" si="2"/>
        <v>46299</v>
      </c>
      <c r="P1439" s="65" t="str">
        <f>VLOOKUP(I1439,DATABASE!C:Q,11,FALSE)</f>
        <v>Tire</v>
      </c>
      <c r="Q1439" s="65" t="str">
        <f>VLOOKUP(I1439,DATABASE!C:Q,4,FALSE)</f>
        <v>Bridgestone</v>
      </c>
      <c r="R1439" s="101"/>
      <c r="U1439" s="101"/>
    </row>
    <row r="1440" ht="22.5" customHeight="1">
      <c r="A1440" s="49"/>
      <c r="C1440" s="192">
        <v>46269.0</v>
      </c>
      <c r="D1440" s="192">
        <v>46269.0</v>
      </c>
      <c r="E1440" s="69" t="s">
        <v>97</v>
      </c>
      <c r="F1440" s="243" t="s">
        <v>343</v>
      </c>
      <c r="G1440" s="69" t="s">
        <v>2515</v>
      </c>
      <c r="H1440" s="69" t="s">
        <v>87</v>
      </c>
      <c r="I1440" s="140" t="s">
        <v>600</v>
      </c>
      <c r="J1440" s="446">
        <v>12.0</v>
      </c>
      <c r="K1440" s="140">
        <v>611109.16</v>
      </c>
      <c r="L1440" s="140">
        <v>611109.16</v>
      </c>
      <c r="M1440" s="140" t="s">
        <v>755</v>
      </c>
      <c r="N1440" s="74">
        <f t="shared" si="6"/>
        <v>7333309.92</v>
      </c>
      <c r="O1440" s="60">
        <f t="shared" si="2"/>
        <v>46299</v>
      </c>
      <c r="P1440" s="65" t="str">
        <f>VLOOKUP(I1440,DATABASE!C:Q,11,FALSE)</f>
        <v>Tire</v>
      </c>
      <c r="Q1440" s="65" t="str">
        <f>VLOOKUP(I1440,DATABASE!C:Q,4,FALSE)</f>
        <v>Bridgestone</v>
      </c>
      <c r="R1440" s="101"/>
      <c r="U1440" s="101"/>
    </row>
    <row r="1441" ht="22.5" customHeight="1">
      <c r="A1441" s="49"/>
      <c r="C1441" s="192">
        <v>46269.0</v>
      </c>
      <c r="D1441" s="192">
        <v>46269.0</v>
      </c>
      <c r="E1441" s="69" t="s">
        <v>97</v>
      </c>
      <c r="F1441" s="243" t="s">
        <v>343</v>
      </c>
      <c r="G1441" s="69" t="s">
        <v>2515</v>
      </c>
      <c r="H1441" s="69" t="s">
        <v>87</v>
      </c>
      <c r="I1441" s="140" t="s">
        <v>605</v>
      </c>
      <c r="J1441" s="446">
        <v>10.0</v>
      </c>
      <c r="K1441" s="140">
        <v>675000.0</v>
      </c>
      <c r="L1441" s="140">
        <v>675000.0</v>
      </c>
      <c r="M1441" s="140" t="s">
        <v>755</v>
      </c>
      <c r="N1441" s="74">
        <f t="shared" si="6"/>
        <v>6750000</v>
      </c>
      <c r="O1441" s="60">
        <f t="shared" si="2"/>
        <v>46299</v>
      </c>
      <c r="P1441" s="65" t="str">
        <f>VLOOKUP(I1441,DATABASE!C:Q,11,FALSE)</f>
        <v>Tire</v>
      </c>
      <c r="Q1441" s="65" t="str">
        <f>VLOOKUP(I1441,DATABASE!C:Q,4,FALSE)</f>
        <v>Bridgestone</v>
      </c>
      <c r="R1441" s="101"/>
      <c r="U1441" s="101"/>
    </row>
    <row r="1442" ht="22.5" customHeight="1">
      <c r="A1442" s="49"/>
      <c r="C1442" s="192">
        <v>46269.0</v>
      </c>
      <c r="D1442" s="192">
        <v>46269.0</v>
      </c>
      <c r="E1442" s="69" t="s">
        <v>97</v>
      </c>
      <c r="F1442" s="243" t="s">
        <v>343</v>
      </c>
      <c r="G1442" s="69" t="s">
        <v>2515</v>
      </c>
      <c r="H1442" s="69" t="s">
        <v>87</v>
      </c>
      <c r="I1442" s="140" t="s">
        <v>554</v>
      </c>
      <c r="J1442" s="446">
        <v>12.0</v>
      </c>
      <c r="K1442" s="140">
        <v>710000.0</v>
      </c>
      <c r="L1442" s="140">
        <v>710000.0</v>
      </c>
      <c r="M1442" s="140" t="s">
        <v>755</v>
      </c>
      <c r="N1442" s="74">
        <f t="shared" si="6"/>
        <v>8520000</v>
      </c>
      <c r="O1442" s="60">
        <f t="shared" si="2"/>
        <v>46299</v>
      </c>
      <c r="P1442" s="65" t="str">
        <f>VLOOKUP(I1442,DATABASE!C:Q,11,FALSE)</f>
        <v>Tire</v>
      </c>
      <c r="Q1442" s="65" t="str">
        <f>VLOOKUP(I1442,DATABASE!C:Q,4,FALSE)</f>
        <v>Bridgestone</v>
      </c>
      <c r="R1442" s="101"/>
      <c r="U1442" s="101"/>
    </row>
    <row r="1443" ht="22.5" customHeight="1">
      <c r="A1443" s="49"/>
      <c r="C1443" s="192">
        <v>46269.0</v>
      </c>
      <c r="D1443" s="192">
        <v>46269.0</v>
      </c>
      <c r="E1443" s="69" t="s">
        <v>97</v>
      </c>
      <c r="F1443" s="243" t="s">
        <v>343</v>
      </c>
      <c r="G1443" s="69" t="s">
        <v>2515</v>
      </c>
      <c r="H1443" s="69" t="s">
        <v>87</v>
      </c>
      <c r="I1443" s="140" t="s">
        <v>937</v>
      </c>
      <c r="J1443" s="446">
        <v>12.0</v>
      </c>
      <c r="K1443" s="140">
        <v>825000.0</v>
      </c>
      <c r="L1443" s="140">
        <v>825000.0</v>
      </c>
      <c r="M1443" s="140" t="s">
        <v>755</v>
      </c>
      <c r="N1443" s="74">
        <f t="shared" si="6"/>
        <v>9900000</v>
      </c>
      <c r="O1443" s="60">
        <f t="shared" si="2"/>
        <v>46299</v>
      </c>
      <c r="P1443" s="65" t="str">
        <f>VLOOKUP(I1443,DATABASE!C:Q,11,FALSE)</f>
        <v>Tire</v>
      </c>
      <c r="Q1443" s="65" t="str">
        <f>VLOOKUP(I1443,DATABASE!C:Q,4,FALSE)</f>
        <v>Bridgestone</v>
      </c>
      <c r="R1443" s="101"/>
      <c r="U1443" s="101"/>
    </row>
    <row r="1444" ht="22.5" customHeight="1">
      <c r="A1444" s="49"/>
      <c r="C1444" s="192">
        <v>46269.0</v>
      </c>
      <c r="D1444" s="192">
        <v>46269.0</v>
      </c>
      <c r="E1444" s="69" t="s">
        <v>97</v>
      </c>
      <c r="F1444" s="243" t="s">
        <v>343</v>
      </c>
      <c r="G1444" s="69" t="s">
        <v>2515</v>
      </c>
      <c r="H1444" s="69" t="s">
        <v>87</v>
      </c>
      <c r="I1444" s="140" t="s">
        <v>1104</v>
      </c>
      <c r="J1444" s="446">
        <v>4.0</v>
      </c>
      <c r="K1444" s="140">
        <v>711872.0</v>
      </c>
      <c r="L1444" s="140">
        <v>711872.0</v>
      </c>
      <c r="M1444" s="140" t="s">
        <v>755</v>
      </c>
      <c r="N1444" s="74">
        <f t="shared" si="6"/>
        <v>2847488</v>
      </c>
      <c r="O1444" s="60">
        <f t="shared" si="2"/>
        <v>46299</v>
      </c>
      <c r="P1444" s="65" t="str">
        <f>VLOOKUP(I1444,DATABASE!C:Q,11,FALSE)</f>
        <v>Tire</v>
      </c>
      <c r="Q1444" s="65" t="str">
        <f>VLOOKUP(I1444,DATABASE!C:Q,4,FALSE)</f>
        <v>Bridgestone</v>
      </c>
      <c r="R1444" s="101"/>
      <c r="U1444" s="101"/>
    </row>
    <row r="1445" ht="22.5" customHeight="1">
      <c r="A1445" s="49"/>
      <c r="C1445" s="192">
        <v>46269.0</v>
      </c>
      <c r="D1445" s="192">
        <v>46269.0</v>
      </c>
      <c r="E1445" s="69" t="s">
        <v>97</v>
      </c>
      <c r="F1445" s="243" t="s">
        <v>343</v>
      </c>
      <c r="G1445" s="69" t="s">
        <v>2515</v>
      </c>
      <c r="H1445" s="69" t="s">
        <v>87</v>
      </c>
      <c r="I1445" s="140" t="s">
        <v>1033</v>
      </c>
      <c r="J1445" s="446">
        <v>4.0</v>
      </c>
      <c r="K1445" s="140">
        <v>680512.0</v>
      </c>
      <c r="L1445" s="140">
        <v>680512.0</v>
      </c>
      <c r="M1445" s="140" t="s">
        <v>755</v>
      </c>
      <c r="N1445" s="74">
        <f t="shared" si="6"/>
        <v>2722048</v>
      </c>
      <c r="O1445" s="60">
        <f t="shared" si="2"/>
        <v>46299</v>
      </c>
      <c r="P1445" s="65" t="str">
        <f>VLOOKUP(I1445,DATABASE!C:Q,11,FALSE)</f>
        <v>Tire</v>
      </c>
      <c r="Q1445" s="65" t="str">
        <f>VLOOKUP(I1445,DATABASE!C:Q,4,FALSE)</f>
        <v>Bridgestone</v>
      </c>
      <c r="R1445" s="101"/>
      <c r="U1445" s="101"/>
    </row>
    <row r="1446" ht="22.5" customHeight="1">
      <c r="A1446" s="49"/>
      <c r="C1446" s="192">
        <v>46269.0</v>
      </c>
      <c r="D1446" s="192">
        <v>46269.0</v>
      </c>
      <c r="E1446" s="69" t="s">
        <v>97</v>
      </c>
      <c r="F1446" s="243" t="s">
        <v>343</v>
      </c>
      <c r="G1446" s="69" t="s">
        <v>2515</v>
      </c>
      <c r="H1446" s="69" t="s">
        <v>87</v>
      </c>
      <c r="I1446" s="140" t="s">
        <v>1097</v>
      </c>
      <c r="J1446" s="446">
        <v>4.0</v>
      </c>
      <c r="K1446" s="140">
        <v>844838.5</v>
      </c>
      <c r="L1446" s="140">
        <v>844838.5</v>
      </c>
      <c r="M1446" s="140" t="s">
        <v>755</v>
      </c>
      <c r="N1446" s="74">
        <f t="shared" si="6"/>
        <v>3379354</v>
      </c>
      <c r="O1446" s="60">
        <f t="shared" si="2"/>
        <v>46299</v>
      </c>
      <c r="P1446" s="65" t="str">
        <f>VLOOKUP(I1446,DATABASE!C:Q,11,FALSE)</f>
        <v>Tire</v>
      </c>
      <c r="Q1446" s="65" t="str">
        <f>VLOOKUP(I1446,DATABASE!C:Q,4,FALSE)</f>
        <v>Bridgestone</v>
      </c>
      <c r="R1446" s="101"/>
      <c r="U1446" s="101"/>
    </row>
    <row r="1447" ht="22.5" customHeight="1">
      <c r="A1447" s="49"/>
      <c r="C1447" s="192">
        <v>46269.0</v>
      </c>
      <c r="D1447" s="192">
        <v>46269.0</v>
      </c>
      <c r="E1447" s="69" t="s">
        <v>97</v>
      </c>
      <c r="F1447" s="243" t="s">
        <v>343</v>
      </c>
      <c r="G1447" s="69" t="s">
        <v>2515</v>
      </c>
      <c r="H1447" s="69" t="s">
        <v>87</v>
      </c>
      <c r="I1447" s="140" t="s">
        <v>1175</v>
      </c>
      <c r="J1447" s="446">
        <v>4.0</v>
      </c>
      <c r="K1447" s="140">
        <v>889369.5</v>
      </c>
      <c r="L1447" s="140">
        <v>889369.5</v>
      </c>
      <c r="M1447" s="140" t="s">
        <v>755</v>
      </c>
      <c r="N1447" s="74">
        <f t="shared" si="6"/>
        <v>3557478</v>
      </c>
      <c r="O1447" s="60">
        <f t="shared" si="2"/>
        <v>46299</v>
      </c>
      <c r="P1447" s="65" t="str">
        <f>VLOOKUP(I1447,DATABASE!C:Q,11,FALSE)</f>
        <v>Tire</v>
      </c>
      <c r="Q1447" s="65" t="str">
        <f>VLOOKUP(I1447,DATABASE!C:Q,4,FALSE)</f>
        <v>Bridgestone</v>
      </c>
      <c r="R1447" s="101"/>
      <c r="U1447" s="101"/>
    </row>
    <row r="1448" ht="22.5" customHeight="1">
      <c r="A1448" s="49"/>
      <c r="C1448" s="192">
        <v>46269.0</v>
      </c>
      <c r="D1448" s="192">
        <v>46269.0</v>
      </c>
      <c r="E1448" s="69" t="s">
        <v>97</v>
      </c>
      <c r="F1448" s="243" t="s">
        <v>343</v>
      </c>
      <c r="G1448" s="69" t="s">
        <v>2515</v>
      </c>
      <c r="H1448" s="69" t="s">
        <v>87</v>
      </c>
      <c r="I1448" s="140" t="s">
        <v>614</v>
      </c>
      <c r="J1448" s="446">
        <v>10.0</v>
      </c>
      <c r="K1448" s="140">
        <v>754660.6</v>
      </c>
      <c r="L1448" s="140">
        <v>754660.6</v>
      </c>
      <c r="M1448" s="140" t="s">
        <v>755</v>
      </c>
      <c r="N1448" s="74">
        <f t="shared" si="6"/>
        <v>7546606</v>
      </c>
      <c r="O1448" s="60">
        <f t="shared" si="2"/>
        <v>46299</v>
      </c>
      <c r="P1448" s="65" t="str">
        <f>VLOOKUP(I1448,DATABASE!C:Q,11,FALSE)</f>
        <v>Tire</v>
      </c>
      <c r="Q1448" s="65" t="str">
        <f>VLOOKUP(I1448,DATABASE!C:Q,4,FALSE)</f>
        <v>Bridgestone</v>
      </c>
      <c r="R1448" s="101"/>
      <c r="U1448" s="101"/>
    </row>
    <row r="1449" ht="22.5" customHeight="1">
      <c r="A1449" s="49"/>
      <c r="C1449" s="192">
        <v>46269.0</v>
      </c>
      <c r="D1449" s="192">
        <v>46269.0</v>
      </c>
      <c r="E1449" s="69" t="s">
        <v>97</v>
      </c>
      <c r="F1449" s="243" t="s">
        <v>343</v>
      </c>
      <c r="G1449" s="69" t="s">
        <v>2515</v>
      </c>
      <c r="H1449" s="69" t="s">
        <v>87</v>
      </c>
      <c r="I1449" s="140" t="s">
        <v>627</v>
      </c>
      <c r="J1449" s="446">
        <v>4.0</v>
      </c>
      <c r="K1449" s="140">
        <v>879567.0</v>
      </c>
      <c r="L1449" s="140">
        <v>879567.0</v>
      </c>
      <c r="M1449" s="140" t="s">
        <v>755</v>
      </c>
      <c r="N1449" s="74">
        <f t="shared" si="6"/>
        <v>3518268</v>
      </c>
      <c r="O1449" s="60">
        <f t="shared" si="2"/>
        <v>46299</v>
      </c>
      <c r="P1449" s="65" t="str">
        <f>VLOOKUP(I1449,DATABASE!C:Q,11,FALSE)</f>
        <v>Tire</v>
      </c>
      <c r="Q1449" s="65" t="str">
        <f>VLOOKUP(I1449,DATABASE!C:Q,4,FALSE)</f>
        <v>Bridgestone</v>
      </c>
      <c r="R1449" s="101"/>
      <c r="U1449" s="101"/>
    </row>
    <row r="1450" ht="22.5" customHeight="1">
      <c r="A1450" s="49"/>
      <c r="C1450" s="192">
        <v>46269.0</v>
      </c>
      <c r="D1450" s="192">
        <v>46269.0</v>
      </c>
      <c r="E1450" s="69" t="s">
        <v>97</v>
      </c>
      <c r="F1450" s="243" t="s">
        <v>343</v>
      </c>
      <c r="G1450" s="69" t="s">
        <v>2515</v>
      </c>
      <c r="H1450" s="69" t="s">
        <v>87</v>
      </c>
      <c r="I1450" s="140" t="s">
        <v>622</v>
      </c>
      <c r="J1450" s="446">
        <v>8.0</v>
      </c>
      <c r="K1450" s="140">
        <v>851110.375</v>
      </c>
      <c r="L1450" s="140">
        <v>851110.375</v>
      </c>
      <c r="M1450" s="140" t="s">
        <v>755</v>
      </c>
      <c r="N1450" s="74">
        <f t="shared" si="6"/>
        <v>6808883</v>
      </c>
      <c r="O1450" s="60">
        <f t="shared" si="2"/>
        <v>46299</v>
      </c>
      <c r="P1450" s="65" t="str">
        <f>VLOOKUP(I1450,DATABASE!C:Q,11,FALSE)</f>
        <v>Tire</v>
      </c>
      <c r="Q1450" s="65" t="str">
        <f>VLOOKUP(I1450,DATABASE!C:Q,4,FALSE)</f>
        <v>Bridgestone</v>
      </c>
      <c r="R1450" s="101"/>
      <c r="U1450" s="101"/>
    </row>
    <row r="1451" ht="22.5" customHeight="1">
      <c r="A1451" s="49"/>
      <c r="C1451" s="192">
        <v>46269.0</v>
      </c>
      <c r="D1451" s="192">
        <v>46269.0</v>
      </c>
      <c r="E1451" s="69" t="s">
        <v>97</v>
      </c>
      <c r="F1451" s="243" t="s">
        <v>343</v>
      </c>
      <c r="G1451" s="69" t="s">
        <v>2515</v>
      </c>
      <c r="H1451" s="69" t="s">
        <v>87</v>
      </c>
      <c r="I1451" s="140" t="s">
        <v>1196</v>
      </c>
      <c r="J1451" s="446">
        <v>2.0</v>
      </c>
      <c r="K1451" s="140">
        <v>943430.5</v>
      </c>
      <c r="L1451" s="140">
        <v>943430.5</v>
      </c>
      <c r="M1451" s="140" t="s">
        <v>755</v>
      </c>
      <c r="N1451" s="74">
        <f t="shared" si="6"/>
        <v>1886861</v>
      </c>
      <c r="O1451" s="60">
        <f t="shared" si="2"/>
        <v>46299</v>
      </c>
      <c r="P1451" s="65" t="str">
        <f>VLOOKUP(I1451,DATABASE!C:Q,11,FALSE)</f>
        <v>Tire</v>
      </c>
      <c r="Q1451" s="65" t="str">
        <f>VLOOKUP(I1451,DATABASE!C:Q,4,FALSE)</f>
        <v>Bridgestone</v>
      </c>
      <c r="R1451" s="101"/>
      <c r="U1451" s="101"/>
    </row>
    <row r="1452" ht="22.5" customHeight="1">
      <c r="A1452" s="49"/>
      <c r="C1452" s="192">
        <v>46269.0</v>
      </c>
      <c r="D1452" s="192">
        <v>46269.0</v>
      </c>
      <c r="E1452" s="69" t="s">
        <v>97</v>
      </c>
      <c r="F1452" s="243" t="s">
        <v>343</v>
      </c>
      <c r="G1452" s="69" t="s">
        <v>2517</v>
      </c>
      <c r="H1452" s="69" t="s">
        <v>87</v>
      </c>
      <c r="I1452" s="140" t="s">
        <v>652</v>
      </c>
      <c r="J1452" s="446">
        <v>15.0</v>
      </c>
      <c r="K1452" s="140">
        <v>231268.0</v>
      </c>
      <c r="L1452" s="140">
        <v>231268.0</v>
      </c>
      <c r="M1452" s="140" t="s">
        <v>755</v>
      </c>
      <c r="N1452" s="74">
        <f t="shared" si="6"/>
        <v>3469020</v>
      </c>
      <c r="O1452" s="60">
        <f t="shared" si="2"/>
        <v>46299</v>
      </c>
      <c r="P1452" s="65" t="str">
        <f>VLOOKUP(I1452,DATABASE!C:Q,11,FALSE)</f>
        <v>Tire</v>
      </c>
      <c r="Q1452" s="65" t="str">
        <f>VLOOKUP(I1452,DATABASE!C:Q,4,FALSE)</f>
        <v>BD</v>
      </c>
      <c r="R1452" s="101"/>
      <c r="U1452" s="101"/>
    </row>
    <row r="1453" ht="22.5" customHeight="1">
      <c r="A1453" s="49"/>
      <c r="C1453" s="192">
        <v>46269.0</v>
      </c>
      <c r="D1453" s="192">
        <v>46269.0</v>
      </c>
      <c r="E1453" s="69" t="s">
        <v>97</v>
      </c>
      <c r="F1453" s="243" t="s">
        <v>343</v>
      </c>
      <c r="G1453" s="69" t="s">
        <v>2517</v>
      </c>
      <c r="H1453" s="69" t="s">
        <v>87</v>
      </c>
      <c r="I1453" s="140" t="s">
        <v>737</v>
      </c>
      <c r="J1453" s="446">
        <v>15.0</v>
      </c>
      <c r="K1453" s="140">
        <v>241001.6</v>
      </c>
      <c r="L1453" s="140">
        <v>241001.6</v>
      </c>
      <c r="M1453" s="140" t="s">
        <v>755</v>
      </c>
      <c r="N1453" s="74">
        <f t="shared" si="6"/>
        <v>3615024</v>
      </c>
      <c r="O1453" s="60">
        <f t="shared" si="2"/>
        <v>46299</v>
      </c>
      <c r="P1453" s="65" t="str">
        <f>VLOOKUP(I1453,DATABASE!C:Q,11,FALSE)</f>
        <v>Tire</v>
      </c>
      <c r="Q1453" s="65" t="str">
        <f>VLOOKUP(I1453,DATABASE!C:Q,4,FALSE)</f>
        <v>BD</v>
      </c>
      <c r="R1453" s="101"/>
      <c r="U1453" s="101"/>
    </row>
    <row r="1454" ht="22.5" customHeight="1">
      <c r="A1454" s="49"/>
      <c r="C1454" s="192">
        <v>46269.0</v>
      </c>
      <c r="D1454" s="192">
        <v>46269.0</v>
      </c>
      <c r="E1454" s="69" t="s">
        <v>97</v>
      </c>
      <c r="F1454" s="243" t="s">
        <v>343</v>
      </c>
      <c r="G1454" s="69" t="s">
        <v>2518</v>
      </c>
      <c r="H1454" s="69" t="s">
        <v>87</v>
      </c>
      <c r="I1454" s="140" t="s">
        <v>1133</v>
      </c>
      <c r="J1454" s="446">
        <v>5.0</v>
      </c>
      <c r="K1454" s="140">
        <v>759539.2</v>
      </c>
      <c r="L1454" s="140">
        <v>703539.0</v>
      </c>
      <c r="M1454" s="140" t="s">
        <v>755</v>
      </c>
      <c r="N1454" s="74">
        <f t="shared" si="6"/>
        <v>3517695</v>
      </c>
      <c r="O1454" s="60">
        <f t="shared" si="2"/>
        <v>46299</v>
      </c>
      <c r="P1454" s="65" t="str">
        <f>VLOOKUP(I1454,DATABASE!C:Q,11,FALSE)</f>
        <v>Tire</v>
      </c>
      <c r="Q1454" s="65" t="str">
        <f>VLOOKUP(I1454,DATABASE!C:Q,4,FALSE)</f>
        <v>Bridgestone</v>
      </c>
      <c r="R1454" s="101"/>
      <c r="U1454" s="101"/>
    </row>
    <row r="1455" ht="22.5" customHeight="1">
      <c r="A1455" s="49"/>
      <c r="C1455" s="192">
        <v>46269.0</v>
      </c>
      <c r="D1455" s="192">
        <v>46269.0</v>
      </c>
      <c r="E1455" s="69" t="s">
        <v>97</v>
      </c>
      <c r="F1455" s="243" t="s">
        <v>343</v>
      </c>
      <c r="G1455" s="69" t="s">
        <v>2518</v>
      </c>
      <c r="H1455" s="69" t="s">
        <v>87</v>
      </c>
      <c r="I1455" s="140" t="s">
        <v>947</v>
      </c>
      <c r="J1455" s="446">
        <v>3.0</v>
      </c>
      <c r="K1455" s="140">
        <v>704346.0</v>
      </c>
      <c r="L1455" s="140">
        <v>704346.0</v>
      </c>
      <c r="M1455" s="140" t="s">
        <v>755</v>
      </c>
      <c r="N1455" s="74">
        <f t="shared" si="6"/>
        <v>2113038</v>
      </c>
      <c r="O1455" s="60">
        <f t="shared" si="2"/>
        <v>46299</v>
      </c>
      <c r="P1455" s="65" t="str">
        <f>VLOOKUP(I1455,DATABASE!C:Q,11,FALSE)</f>
        <v>Tire</v>
      </c>
      <c r="Q1455" s="65" t="str">
        <f>VLOOKUP(I1455,DATABASE!C:Q,4,FALSE)</f>
        <v>Bridgestone</v>
      </c>
      <c r="R1455" s="101"/>
      <c r="U1455" s="101"/>
    </row>
    <row r="1456" ht="22.5" customHeight="1">
      <c r="A1456" s="49"/>
      <c r="C1456" s="192">
        <v>46275.0</v>
      </c>
      <c r="D1456" s="192">
        <v>46274.0</v>
      </c>
      <c r="E1456" s="69" t="s">
        <v>110</v>
      </c>
      <c r="F1456" s="243" t="s">
        <v>343</v>
      </c>
      <c r="G1456" s="69">
        <v>2.6011759E7</v>
      </c>
      <c r="H1456" s="69" t="s">
        <v>7</v>
      </c>
      <c r="I1456" s="140" t="s">
        <v>781</v>
      </c>
      <c r="J1456" s="446">
        <v>10.0</v>
      </c>
      <c r="K1456" s="140">
        <v>470000.0</v>
      </c>
      <c r="L1456" s="140">
        <v>470000.0</v>
      </c>
      <c r="M1456" s="140" t="s">
        <v>755</v>
      </c>
      <c r="N1456" s="74">
        <f t="shared" si="6"/>
        <v>4700000</v>
      </c>
      <c r="O1456" s="60">
        <f t="shared" si="2"/>
        <v>46304</v>
      </c>
      <c r="P1456" s="65" t="str">
        <f>VLOOKUP(I1456,DATABASE!C:Q,11,FALSE)</f>
        <v>Tire</v>
      </c>
      <c r="Q1456" s="65" t="str">
        <f>VLOOKUP(I1456,DATABASE!C:Q,4,FALSE)</f>
        <v>GT</v>
      </c>
      <c r="R1456" s="101"/>
      <c r="U1456" s="101"/>
    </row>
    <row r="1457" ht="22.5" customHeight="1">
      <c r="A1457" s="49"/>
      <c r="C1457" s="192">
        <v>46275.0</v>
      </c>
      <c r="D1457" s="192">
        <v>46274.0</v>
      </c>
      <c r="E1457" s="69" t="s">
        <v>110</v>
      </c>
      <c r="F1457" s="243" t="s">
        <v>343</v>
      </c>
      <c r="G1457" s="69">
        <v>2.6011759E7</v>
      </c>
      <c r="H1457" s="69" t="s">
        <v>7</v>
      </c>
      <c r="I1457" s="140" t="s">
        <v>839</v>
      </c>
      <c r="J1457" s="446">
        <v>10.0</v>
      </c>
      <c r="K1457" s="140">
        <v>490100.0</v>
      </c>
      <c r="L1457" s="140">
        <v>512640.0</v>
      </c>
      <c r="M1457" s="140" t="s">
        <v>755</v>
      </c>
      <c r="N1457" s="74">
        <f t="shared" si="6"/>
        <v>5126400</v>
      </c>
      <c r="O1457" s="60">
        <f t="shared" si="2"/>
        <v>46304</v>
      </c>
      <c r="P1457" s="65" t="str">
        <f>VLOOKUP(I1457,DATABASE!C:Q,11,FALSE)</f>
        <v>Tire</v>
      </c>
      <c r="Q1457" s="65" t="str">
        <f>VLOOKUP(I1457,DATABASE!C:Q,4,FALSE)</f>
        <v>GT</v>
      </c>
      <c r="R1457" s="101"/>
      <c r="U1457" s="101"/>
    </row>
    <row r="1458" ht="22.5" customHeight="1">
      <c r="A1458" s="49"/>
      <c r="C1458" s="192">
        <v>46275.0</v>
      </c>
      <c r="D1458" s="192">
        <v>46274.0</v>
      </c>
      <c r="E1458" s="69" t="s">
        <v>110</v>
      </c>
      <c r="F1458" s="243" t="s">
        <v>343</v>
      </c>
      <c r="G1458" s="69">
        <v>2.6011759E7</v>
      </c>
      <c r="H1458" s="69" t="s">
        <v>7</v>
      </c>
      <c r="I1458" s="140" t="s">
        <v>288</v>
      </c>
      <c r="J1458" s="446">
        <v>8.0</v>
      </c>
      <c r="K1458" s="140">
        <v>548100.0</v>
      </c>
      <c r="L1458" s="140">
        <v>565760.0</v>
      </c>
      <c r="M1458" s="140" t="s">
        <v>755</v>
      </c>
      <c r="N1458" s="74">
        <f t="shared" si="6"/>
        <v>4526080</v>
      </c>
      <c r="O1458" s="60">
        <f t="shared" si="2"/>
        <v>46304</v>
      </c>
      <c r="P1458" s="65" t="str">
        <f>VLOOKUP(I1458,DATABASE!C:Q,11,FALSE)</f>
        <v>Tire</v>
      </c>
      <c r="Q1458" s="65" t="str">
        <f>VLOOKUP(I1458,DATABASE!C:Q,4,FALSE)</f>
        <v>GT</v>
      </c>
      <c r="R1458" s="101"/>
      <c r="U1458" s="101"/>
    </row>
    <row r="1459" ht="22.5" customHeight="1">
      <c r="A1459" s="49"/>
      <c r="C1459" s="192">
        <v>46275.0</v>
      </c>
      <c r="D1459" s="192">
        <v>46274.0</v>
      </c>
      <c r="E1459" s="69" t="s">
        <v>110</v>
      </c>
      <c r="F1459" s="243" t="s">
        <v>343</v>
      </c>
      <c r="G1459" s="69">
        <v>2.6011759E7</v>
      </c>
      <c r="H1459" s="69" t="s">
        <v>7</v>
      </c>
      <c r="I1459" s="140" t="s">
        <v>847</v>
      </c>
      <c r="J1459" s="446">
        <v>4.0</v>
      </c>
      <c r="K1459" s="140">
        <v>672210.0</v>
      </c>
      <c r="L1459" s="140">
        <v>718080.0</v>
      </c>
      <c r="M1459" s="140" t="s">
        <v>755</v>
      </c>
      <c r="N1459" s="74">
        <f t="shared" si="6"/>
        <v>2872320</v>
      </c>
      <c r="O1459" s="60">
        <f t="shared" si="2"/>
        <v>46304</v>
      </c>
      <c r="P1459" s="65" t="str">
        <f>VLOOKUP(I1459,DATABASE!C:Q,11,FALSE)</f>
        <v>Tire</v>
      </c>
      <c r="Q1459" s="65" t="str">
        <f>VLOOKUP(I1459,DATABASE!C:Q,4,FALSE)</f>
        <v>GT</v>
      </c>
      <c r="R1459" s="101"/>
      <c r="U1459" s="101"/>
    </row>
    <row r="1460" ht="22.5" customHeight="1">
      <c r="A1460" s="49"/>
      <c r="C1460" s="192">
        <v>46275.0</v>
      </c>
      <c r="D1460" s="192">
        <v>46274.0</v>
      </c>
      <c r="E1460" s="69" t="s">
        <v>412</v>
      </c>
      <c r="F1460" s="243"/>
      <c r="G1460" s="69"/>
      <c r="H1460" s="69" t="s">
        <v>2314</v>
      </c>
      <c r="I1460" s="140" t="s">
        <v>301</v>
      </c>
      <c r="J1460" s="446">
        <v>6.0</v>
      </c>
      <c r="K1460" s="140">
        <v>75000.0</v>
      </c>
      <c r="L1460" s="140">
        <v>50000.0</v>
      </c>
      <c r="M1460" s="140" t="s">
        <v>1023</v>
      </c>
      <c r="N1460" s="74">
        <f t="shared" si="6"/>
        <v>300000</v>
      </c>
      <c r="O1460" s="60" t="str">
        <f t="shared" si="2"/>
        <v>LUNAS</v>
      </c>
      <c r="P1460" s="65" t="str">
        <f>VLOOKUP(I1460,DATABASE!C:Q,11,FALSE)</f>
        <v>COMPLEMENTARY</v>
      </c>
      <c r="Q1460" s="65" t="str">
        <f>VLOOKUP(I1460,DATABASE!C:Q,4,FALSE)</f>
        <v>Baut Camber</v>
      </c>
      <c r="R1460" s="101"/>
      <c r="U1460" s="101"/>
    </row>
    <row r="1461" ht="22.5" customHeight="1">
      <c r="A1461" s="49"/>
      <c r="C1461" s="192">
        <v>46275.0</v>
      </c>
      <c r="D1461" s="192">
        <v>46274.0</v>
      </c>
      <c r="E1461" s="69" t="s">
        <v>412</v>
      </c>
      <c r="F1461" s="243"/>
      <c r="G1461" s="69"/>
      <c r="H1461" s="69" t="s">
        <v>2314</v>
      </c>
      <c r="I1461" s="140" t="s">
        <v>301</v>
      </c>
      <c r="J1461" s="446">
        <v>4.0</v>
      </c>
      <c r="K1461" s="140">
        <v>75000.0</v>
      </c>
      <c r="L1461" s="140">
        <v>52500.0</v>
      </c>
      <c r="M1461" s="140" t="s">
        <v>1023</v>
      </c>
      <c r="N1461" s="74">
        <f t="shared" si="6"/>
        <v>210000</v>
      </c>
      <c r="O1461" s="60" t="str">
        <f t="shared" si="2"/>
        <v>LUNAS</v>
      </c>
      <c r="P1461" s="65" t="str">
        <f>VLOOKUP(I1461,DATABASE!C:Q,11,FALSE)</f>
        <v>COMPLEMENTARY</v>
      </c>
      <c r="Q1461" s="65" t="str">
        <f>VLOOKUP(I1461,DATABASE!C:Q,4,FALSE)</f>
        <v>Baut Camber</v>
      </c>
      <c r="R1461" s="101"/>
      <c r="U1461" s="101"/>
    </row>
    <row r="1462" ht="22.5" customHeight="1">
      <c r="A1462" s="49"/>
      <c r="C1462" s="192">
        <v>46276.0</v>
      </c>
      <c r="D1462" s="192">
        <v>46275.0</v>
      </c>
      <c r="E1462" s="69" t="s">
        <v>400</v>
      </c>
      <c r="F1462" s="243"/>
      <c r="G1462" s="69"/>
      <c r="H1462" s="69" t="s">
        <v>2314</v>
      </c>
      <c r="I1462" s="140" t="s">
        <v>248</v>
      </c>
      <c r="J1462" s="446">
        <v>12.0</v>
      </c>
      <c r="K1462" s="140">
        <v>209816.66</v>
      </c>
      <c r="L1462" s="140">
        <v>207677.0</v>
      </c>
      <c r="M1462" s="140" t="s">
        <v>2190</v>
      </c>
      <c r="N1462" s="74">
        <f t="shared" si="6"/>
        <v>2492124</v>
      </c>
      <c r="O1462" s="60">
        <f t="shared" si="2"/>
        <v>46289</v>
      </c>
      <c r="P1462" s="65" t="str">
        <f>VLOOKUP(I1462,DATABASE!C:Q,11,FALSE)</f>
        <v>OIL</v>
      </c>
      <c r="Q1462" s="65" t="str">
        <f>VLOOKUP(I1462,DATABASE!C:Q,4,FALSE)</f>
        <v>Pertamina</v>
      </c>
      <c r="R1462" s="101"/>
      <c r="U1462" s="101"/>
    </row>
    <row r="1463" ht="22.5" customHeight="1">
      <c r="A1463" s="49"/>
      <c r="C1463" s="192">
        <v>46276.0</v>
      </c>
      <c r="D1463" s="192">
        <v>46275.0</v>
      </c>
      <c r="E1463" s="69" t="s">
        <v>400</v>
      </c>
      <c r="F1463" s="243"/>
      <c r="G1463" s="69"/>
      <c r="H1463" s="69" t="s">
        <v>2314</v>
      </c>
      <c r="I1463" s="140" t="s">
        <v>2650</v>
      </c>
      <c r="J1463" s="446">
        <v>6.0</v>
      </c>
      <c r="K1463" s="140">
        <v>149500.0</v>
      </c>
      <c r="L1463" s="140">
        <v>149500.0</v>
      </c>
      <c r="M1463" s="140" t="s">
        <v>2190</v>
      </c>
      <c r="N1463" s="74">
        <f t="shared" si="6"/>
        <v>897000</v>
      </c>
      <c r="O1463" s="60">
        <f t="shared" si="2"/>
        <v>46289</v>
      </c>
      <c r="P1463" s="65" t="str">
        <f>VLOOKUP(I1463,DATABASE!C:Q,11,FALSE)</f>
        <v>OIL</v>
      </c>
      <c r="Q1463" s="65" t="str">
        <f>VLOOKUP(I1463,DATABASE!C:Q,4,FALSE)</f>
        <v>Pertamina</v>
      </c>
      <c r="R1463" s="101"/>
      <c r="U1463" s="101"/>
    </row>
    <row r="1464" ht="22.5" customHeight="1">
      <c r="A1464" s="49"/>
      <c r="C1464" s="192">
        <v>46276.0</v>
      </c>
      <c r="D1464" s="192">
        <v>46276.0</v>
      </c>
      <c r="E1464" s="69" t="s">
        <v>123</v>
      </c>
      <c r="F1464" s="243" t="s">
        <v>343</v>
      </c>
      <c r="G1464" s="69" t="s">
        <v>2401</v>
      </c>
      <c r="H1464" s="69" t="s">
        <v>7</v>
      </c>
      <c r="I1464" s="140" t="s">
        <v>1974</v>
      </c>
      <c r="J1464" s="446">
        <v>1.0</v>
      </c>
      <c r="K1464" s="140">
        <v>1221100.0</v>
      </c>
      <c r="L1464" s="140">
        <v>1221100.0</v>
      </c>
      <c r="M1464" s="140" t="s">
        <v>755</v>
      </c>
      <c r="N1464" s="74">
        <f t="shared" si="6"/>
        <v>1221100</v>
      </c>
      <c r="O1464" s="60">
        <f t="shared" si="2"/>
        <v>46306</v>
      </c>
      <c r="P1464" s="65" t="str">
        <f>VLOOKUP(I1464,DATABASE!C:Q,11,FALSE)</f>
        <v>Tire</v>
      </c>
      <c r="Q1464" s="65" t="str">
        <f>VLOOKUP(I1464,DATABASE!C:Q,4,FALSE)</f>
        <v>GT</v>
      </c>
      <c r="R1464" s="101"/>
      <c r="U1464" s="101"/>
    </row>
    <row r="1465" ht="22.5" customHeight="1">
      <c r="A1465" s="49"/>
      <c r="C1465" s="192">
        <v>46277.0</v>
      </c>
      <c r="D1465" s="192">
        <v>46277.0</v>
      </c>
      <c r="E1465" s="69" t="s">
        <v>110</v>
      </c>
      <c r="F1465" s="243" t="s">
        <v>343</v>
      </c>
      <c r="G1465" s="69">
        <v>2.6011859E7</v>
      </c>
      <c r="H1465" s="69" t="s">
        <v>7</v>
      </c>
      <c r="I1465" s="140" t="s">
        <v>2015</v>
      </c>
      <c r="J1465" s="446">
        <v>2.0</v>
      </c>
      <c r="K1465" s="140">
        <v>774000.0</v>
      </c>
      <c r="L1465" s="140">
        <v>774000.0</v>
      </c>
      <c r="M1465" s="140" t="s">
        <v>755</v>
      </c>
      <c r="N1465" s="74">
        <f t="shared" si="6"/>
        <v>1548000</v>
      </c>
      <c r="O1465" s="60">
        <f t="shared" si="2"/>
        <v>46307</v>
      </c>
      <c r="P1465" s="65" t="str">
        <f>VLOOKUP(I1465,DATABASE!C:Q,11,FALSE)</f>
        <v>Tire</v>
      </c>
      <c r="Q1465" s="65" t="str">
        <f>VLOOKUP(I1465,DATABASE!C:Q,4,FALSE)</f>
        <v>GT</v>
      </c>
      <c r="R1465" s="101"/>
      <c r="U1465" s="101"/>
    </row>
    <row r="1466" ht="22.5" customHeight="1">
      <c r="A1466" s="49"/>
      <c r="C1466" s="192">
        <v>46277.0</v>
      </c>
      <c r="D1466" s="192">
        <v>46277.0</v>
      </c>
      <c r="E1466" s="69" t="s">
        <v>110</v>
      </c>
      <c r="F1466" s="243" t="s">
        <v>343</v>
      </c>
      <c r="G1466" s="69">
        <v>2.6011859E7</v>
      </c>
      <c r="H1466" s="69" t="s">
        <v>7</v>
      </c>
      <c r="I1466" s="140" t="s">
        <v>795</v>
      </c>
      <c r="J1466" s="446">
        <v>1.0</v>
      </c>
      <c r="K1466" s="140">
        <v>123000.0</v>
      </c>
      <c r="L1466" s="140">
        <v>123000.0</v>
      </c>
      <c r="M1466" s="140" t="s">
        <v>755</v>
      </c>
      <c r="N1466" s="74">
        <f t="shared" si="6"/>
        <v>123000</v>
      </c>
      <c r="O1466" s="60">
        <f t="shared" si="2"/>
        <v>46307</v>
      </c>
      <c r="P1466" s="65" t="str">
        <f>VLOOKUP(I1466,DATABASE!C:Q,11,FALSE)</f>
        <v>Tire</v>
      </c>
      <c r="Q1466" s="65" t="str">
        <f>VLOOKUP(I1466,DATABASE!C:Q,4,FALSE)</f>
        <v>BD</v>
      </c>
      <c r="R1466" s="101"/>
      <c r="U1466" s="101"/>
    </row>
    <row r="1467" ht="22.5" customHeight="1">
      <c r="A1467" s="49"/>
      <c r="C1467" s="192">
        <v>46279.0</v>
      </c>
      <c r="D1467" s="192">
        <v>46277.0</v>
      </c>
      <c r="E1467" s="69" t="s">
        <v>257</v>
      </c>
      <c r="F1467" s="243" t="s">
        <v>343</v>
      </c>
      <c r="G1467" s="69">
        <v>4.012364192E9</v>
      </c>
      <c r="H1467" s="69" t="s">
        <v>87</v>
      </c>
      <c r="I1467" s="140" t="s">
        <v>305</v>
      </c>
      <c r="J1467" s="446">
        <v>10.0</v>
      </c>
      <c r="K1467" s="140">
        <v>158530.2</v>
      </c>
      <c r="L1467" s="140">
        <v>158530.0</v>
      </c>
      <c r="M1467" s="140" t="s">
        <v>755</v>
      </c>
      <c r="N1467" s="74">
        <f t="shared" si="6"/>
        <v>1585300</v>
      </c>
      <c r="O1467" s="60">
        <f t="shared" si="2"/>
        <v>46307</v>
      </c>
      <c r="P1467" s="65" t="str">
        <f>VLOOKUP(I1467,DATABASE!C:Q,11,FALSE)</f>
        <v>COMPLEMENTARY</v>
      </c>
      <c r="Q1467" s="65" t="str">
        <f>VLOOKUP(I1467,DATABASE!C:Q,4,FALSE)</f>
        <v>Lower Arm</v>
      </c>
      <c r="R1467" s="101"/>
      <c r="U1467" s="101"/>
    </row>
    <row r="1468" ht="22.5" customHeight="1">
      <c r="A1468" s="49"/>
      <c r="C1468" s="192">
        <v>46281.0</v>
      </c>
      <c r="D1468" s="192">
        <v>46279.0</v>
      </c>
      <c r="E1468" s="69" t="s">
        <v>386</v>
      </c>
      <c r="F1468" s="243" t="s">
        <v>343</v>
      </c>
      <c r="G1468" s="69" t="s">
        <v>2160</v>
      </c>
      <c r="H1468" s="69" t="s">
        <v>2314</v>
      </c>
      <c r="I1468" s="140" t="s">
        <v>263</v>
      </c>
      <c r="J1468" s="446">
        <v>8.0</v>
      </c>
      <c r="K1468" s="140">
        <v>334916.0</v>
      </c>
      <c r="L1468" s="140">
        <v>334916.0</v>
      </c>
      <c r="M1468" s="140" t="s">
        <v>755</v>
      </c>
      <c r="N1468" s="74">
        <f t="shared" si="6"/>
        <v>2679328</v>
      </c>
      <c r="O1468" s="60">
        <f t="shared" si="2"/>
        <v>46309</v>
      </c>
      <c r="P1468" s="65" t="str">
        <f>VLOOKUP(I1468,DATABASE!C:Q,11,FALSE)</f>
        <v>OIL</v>
      </c>
      <c r="Q1468" s="65" t="str">
        <f>VLOOKUP(I1468,DATABASE!C:Q,4,FALSE)</f>
        <v>Shell</v>
      </c>
      <c r="R1468" s="101"/>
      <c r="U1468" s="101"/>
    </row>
    <row r="1469" ht="22.5" customHeight="1">
      <c r="A1469" s="49"/>
      <c r="C1469" s="192">
        <v>46281.0</v>
      </c>
      <c r="D1469" s="192">
        <v>46279.0</v>
      </c>
      <c r="E1469" s="69" t="s">
        <v>386</v>
      </c>
      <c r="F1469" s="243" t="s">
        <v>343</v>
      </c>
      <c r="G1469" s="69" t="s">
        <v>2160</v>
      </c>
      <c r="H1469" s="69" t="s">
        <v>2314</v>
      </c>
      <c r="I1469" s="140" t="s">
        <v>252</v>
      </c>
      <c r="J1469" s="446">
        <v>4.0</v>
      </c>
      <c r="K1469" s="140">
        <v>317518.0</v>
      </c>
      <c r="L1469" s="140">
        <v>317518.0</v>
      </c>
      <c r="M1469" s="140" t="s">
        <v>755</v>
      </c>
      <c r="N1469" s="74">
        <f t="shared" si="6"/>
        <v>1270072</v>
      </c>
      <c r="O1469" s="60">
        <f t="shared" si="2"/>
        <v>46309</v>
      </c>
      <c r="P1469" s="65" t="str">
        <f>VLOOKUP(I1469,DATABASE!C:Q,11,FALSE)</f>
        <v>OIL</v>
      </c>
      <c r="Q1469" s="65" t="str">
        <f>VLOOKUP(I1469,DATABASE!C:Q,4,FALSE)</f>
        <v>Shell</v>
      </c>
      <c r="R1469" s="101"/>
      <c r="U1469" s="101"/>
    </row>
    <row r="1470" ht="22.5" customHeight="1">
      <c r="A1470" s="49"/>
      <c r="C1470" s="192">
        <v>46281.0</v>
      </c>
      <c r="D1470" s="192">
        <v>46279.0</v>
      </c>
      <c r="E1470" s="69" t="s">
        <v>386</v>
      </c>
      <c r="F1470" s="243" t="s">
        <v>343</v>
      </c>
      <c r="G1470" s="69" t="s">
        <v>2160</v>
      </c>
      <c r="H1470" s="69" t="s">
        <v>2314</v>
      </c>
      <c r="I1470" s="140" t="s">
        <v>2651</v>
      </c>
      <c r="J1470" s="446">
        <v>4.0</v>
      </c>
      <c r="K1470" s="140">
        <v>357999.0</v>
      </c>
      <c r="L1470" s="140">
        <v>357999.0</v>
      </c>
      <c r="M1470" s="140" t="s">
        <v>755</v>
      </c>
      <c r="N1470" s="74">
        <f t="shared" si="6"/>
        <v>1431996</v>
      </c>
      <c r="O1470" s="60">
        <f t="shared" si="2"/>
        <v>46309</v>
      </c>
      <c r="P1470" s="65" t="str">
        <f>VLOOKUP(I1470,DATABASE!C:Q,11,FALSE)</f>
        <v/>
      </c>
      <c r="Q1470" s="65" t="str">
        <f>VLOOKUP(I1470,DATABASE!C:Q,4,FALSE)</f>
        <v>Shell</v>
      </c>
      <c r="R1470" s="101"/>
      <c r="U1470" s="101"/>
    </row>
    <row r="1471" ht="22.5" customHeight="1">
      <c r="A1471" s="49"/>
      <c r="C1471" s="192">
        <v>46282.0</v>
      </c>
      <c r="D1471" s="192">
        <v>46281.0</v>
      </c>
      <c r="E1471" s="69" t="s">
        <v>110</v>
      </c>
      <c r="F1471" s="243" t="s">
        <v>343</v>
      </c>
      <c r="G1471" s="69">
        <v>2.6012013E7</v>
      </c>
      <c r="H1471" s="69" t="s">
        <v>7</v>
      </c>
      <c r="I1471" s="140" t="s">
        <v>2037</v>
      </c>
      <c r="J1471" s="446">
        <v>3.0</v>
      </c>
      <c r="K1471" s="140">
        <v>2575000.0</v>
      </c>
      <c r="L1471" s="140">
        <v>2575000.0</v>
      </c>
      <c r="M1471" s="140" t="s">
        <v>755</v>
      </c>
      <c r="N1471" s="74">
        <f t="shared" si="6"/>
        <v>7725000</v>
      </c>
      <c r="O1471" s="60">
        <f t="shared" si="2"/>
        <v>46311</v>
      </c>
      <c r="P1471" s="65" t="str">
        <f>VLOOKUP(I1471,DATABASE!C:Q,11,FALSE)</f>
        <v>Tire</v>
      </c>
      <c r="Q1471" s="65" t="str">
        <f>VLOOKUP(I1471,DATABASE!C:Q,4,FALSE)</f>
        <v>GT</v>
      </c>
      <c r="R1471" s="101"/>
      <c r="U1471" s="101"/>
    </row>
    <row r="1472" ht="22.5" customHeight="1">
      <c r="A1472" s="49"/>
      <c r="C1472" s="192">
        <v>46284.0</v>
      </c>
      <c r="D1472" s="192">
        <v>46282.0</v>
      </c>
      <c r="E1472" s="69" t="s">
        <v>81</v>
      </c>
      <c r="F1472" s="243" t="s">
        <v>343</v>
      </c>
      <c r="G1472" s="69" t="s">
        <v>1860</v>
      </c>
      <c r="H1472" s="69" t="s">
        <v>87</v>
      </c>
      <c r="I1472" s="140" t="s">
        <v>265</v>
      </c>
      <c r="J1472" s="446">
        <v>12.0</v>
      </c>
      <c r="K1472" s="140">
        <v>610000.0</v>
      </c>
      <c r="L1472" s="140">
        <v>628000.0</v>
      </c>
      <c r="M1472" s="140" t="s">
        <v>657</v>
      </c>
      <c r="N1472" s="74">
        <f t="shared" si="6"/>
        <v>7536000</v>
      </c>
      <c r="O1472" s="60">
        <f t="shared" si="2"/>
        <v>46357</v>
      </c>
      <c r="P1472" s="65" t="str">
        <f>VLOOKUP(I1472,DATABASE!C:Q,11,FALSE)</f>
        <v>Tire</v>
      </c>
      <c r="Q1472" s="65" t="str">
        <f>VLOOKUP(I1472,DATABASE!C:Q,4,FALSE)</f>
        <v>Dunlop</v>
      </c>
      <c r="R1472" s="101"/>
      <c r="U1472" s="101"/>
    </row>
    <row r="1473" ht="22.5" customHeight="1">
      <c r="A1473" s="49"/>
      <c r="C1473" s="192">
        <v>46284.0</v>
      </c>
      <c r="D1473" s="192">
        <v>46282.0</v>
      </c>
      <c r="E1473" s="69" t="s">
        <v>81</v>
      </c>
      <c r="F1473" s="243" t="s">
        <v>343</v>
      </c>
      <c r="G1473" s="69" t="s">
        <v>1860</v>
      </c>
      <c r="H1473" s="69" t="s">
        <v>87</v>
      </c>
      <c r="I1473" s="140" t="s">
        <v>268</v>
      </c>
      <c r="J1473" s="446">
        <v>30.0</v>
      </c>
      <c r="K1473" s="140">
        <v>634500.0</v>
      </c>
      <c r="L1473" s="140">
        <v>653000.0</v>
      </c>
      <c r="M1473" s="140" t="s">
        <v>657</v>
      </c>
      <c r="N1473" s="74">
        <f t="shared" si="6"/>
        <v>19590000</v>
      </c>
      <c r="O1473" s="60">
        <f t="shared" si="2"/>
        <v>46357</v>
      </c>
      <c r="P1473" s="65" t="str">
        <f>VLOOKUP(I1473,DATABASE!C:Q,11,FALSE)</f>
        <v>Tire</v>
      </c>
      <c r="Q1473" s="65" t="str">
        <f>VLOOKUP(I1473,DATABASE!C:Q,4,FALSE)</f>
        <v>Dunlop</v>
      </c>
      <c r="R1473" s="101"/>
      <c r="U1473" s="101"/>
    </row>
    <row r="1474" ht="22.5" customHeight="1">
      <c r="A1474" s="49"/>
      <c r="C1474" s="192">
        <v>46284.0</v>
      </c>
      <c r="D1474" s="192">
        <v>46282.0</v>
      </c>
      <c r="E1474" s="69" t="s">
        <v>81</v>
      </c>
      <c r="F1474" s="243" t="s">
        <v>343</v>
      </c>
      <c r="G1474" s="69" t="s">
        <v>1860</v>
      </c>
      <c r="H1474" s="69" t="s">
        <v>87</v>
      </c>
      <c r="I1474" s="140" t="s">
        <v>275</v>
      </c>
      <c r="J1474" s="446">
        <v>15.0</v>
      </c>
      <c r="K1474" s="140">
        <v>759500.0</v>
      </c>
      <c r="L1474" s="140">
        <v>782000.0</v>
      </c>
      <c r="M1474" s="140" t="s">
        <v>657</v>
      </c>
      <c r="N1474" s="74">
        <f t="shared" si="6"/>
        <v>11730000</v>
      </c>
      <c r="O1474" s="60">
        <f t="shared" si="2"/>
        <v>46357</v>
      </c>
      <c r="P1474" s="65" t="str">
        <f>VLOOKUP(I1474,DATABASE!C:Q,11,FALSE)</f>
        <v>Tire</v>
      </c>
      <c r="Q1474" s="65" t="str">
        <f>VLOOKUP(I1474,DATABASE!C:Q,4,FALSE)</f>
        <v>Dunlop</v>
      </c>
      <c r="R1474" s="101"/>
      <c r="U1474" s="101"/>
    </row>
    <row r="1475" ht="22.5" customHeight="1">
      <c r="A1475" s="49"/>
      <c r="C1475" s="192">
        <v>46284.0</v>
      </c>
      <c r="D1475" s="192">
        <v>46282.0</v>
      </c>
      <c r="E1475" s="69" t="s">
        <v>81</v>
      </c>
      <c r="F1475" s="243" t="s">
        <v>343</v>
      </c>
      <c r="G1475" s="69" t="s">
        <v>1860</v>
      </c>
      <c r="H1475" s="69" t="s">
        <v>87</v>
      </c>
      <c r="I1475" s="140" t="s">
        <v>271</v>
      </c>
      <c r="J1475" s="446">
        <v>10.0</v>
      </c>
      <c r="K1475" s="140">
        <v>550000.0</v>
      </c>
      <c r="L1475" s="140">
        <v>570000.0</v>
      </c>
      <c r="M1475" s="140" t="s">
        <v>657</v>
      </c>
      <c r="N1475" s="74">
        <f t="shared" si="6"/>
        <v>5700000</v>
      </c>
      <c r="O1475" s="60">
        <f t="shared" si="2"/>
        <v>46357</v>
      </c>
      <c r="P1475" s="65" t="str">
        <f>VLOOKUP(I1475,DATABASE!C:Q,11,FALSE)</f>
        <v>Tire</v>
      </c>
      <c r="Q1475" s="65" t="str">
        <f>VLOOKUP(I1475,DATABASE!C:Q,4,FALSE)</f>
        <v>Dunlop</v>
      </c>
      <c r="R1475" s="101"/>
      <c r="U1475" s="101"/>
    </row>
    <row r="1476" ht="22.5" customHeight="1">
      <c r="A1476" s="49"/>
      <c r="C1476" s="192">
        <v>46284.0</v>
      </c>
      <c r="D1476" s="192">
        <v>46282.0</v>
      </c>
      <c r="E1476" s="69" t="s">
        <v>81</v>
      </c>
      <c r="F1476" s="243" t="s">
        <v>343</v>
      </c>
      <c r="G1476" s="69" t="s">
        <v>1860</v>
      </c>
      <c r="H1476" s="69" t="s">
        <v>87</v>
      </c>
      <c r="I1476" s="140" t="s">
        <v>279</v>
      </c>
      <c r="J1476" s="446">
        <v>12.0</v>
      </c>
      <c r="K1476" s="140">
        <v>602000.0</v>
      </c>
      <c r="L1476" s="140">
        <v>623000.0</v>
      </c>
      <c r="M1476" s="140" t="s">
        <v>657</v>
      </c>
      <c r="N1476" s="74">
        <f t="shared" si="6"/>
        <v>7476000</v>
      </c>
      <c r="O1476" s="60">
        <f t="shared" si="2"/>
        <v>46357</v>
      </c>
      <c r="P1476" s="65" t="str">
        <f>VLOOKUP(I1476,DATABASE!C:Q,11,FALSE)</f>
        <v>Tire</v>
      </c>
      <c r="Q1476" s="65" t="str">
        <f>VLOOKUP(I1476,DATABASE!C:Q,4,FALSE)</f>
        <v>Dunlop</v>
      </c>
      <c r="R1476" s="101"/>
      <c r="U1476" s="101"/>
    </row>
    <row r="1477" ht="22.5" customHeight="1">
      <c r="A1477" s="49"/>
      <c r="C1477" s="192">
        <v>46284.0</v>
      </c>
      <c r="D1477" s="192">
        <v>46282.0</v>
      </c>
      <c r="E1477" s="69" t="s">
        <v>81</v>
      </c>
      <c r="F1477" s="243" t="s">
        <v>343</v>
      </c>
      <c r="G1477" s="69" t="s">
        <v>1860</v>
      </c>
      <c r="H1477" s="69" t="s">
        <v>87</v>
      </c>
      <c r="I1477" s="140" t="s">
        <v>955</v>
      </c>
      <c r="J1477" s="446">
        <v>3.0</v>
      </c>
      <c r="K1477" s="140">
        <v>688000.0</v>
      </c>
      <c r="L1477" s="140">
        <v>712000.0</v>
      </c>
      <c r="M1477" s="140" t="s">
        <v>657</v>
      </c>
      <c r="N1477" s="74">
        <f t="shared" si="6"/>
        <v>2136000</v>
      </c>
      <c r="O1477" s="60">
        <f t="shared" si="2"/>
        <v>46357</v>
      </c>
      <c r="P1477" s="65" t="str">
        <f>VLOOKUP(I1477,DATABASE!C:Q,11,FALSE)</f>
        <v>Tire</v>
      </c>
      <c r="Q1477" s="65" t="str">
        <f>VLOOKUP(I1477,DATABASE!C:Q,4,FALSE)</f>
        <v>Dunlop</v>
      </c>
      <c r="R1477" s="101"/>
      <c r="U1477" s="101"/>
    </row>
    <row r="1478" ht="22.5" customHeight="1">
      <c r="A1478" s="49"/>
      <c r="C1478" s="192">
        <v>46286.0</v>
      </c>
      <c r="D1478" s="192">
        <v>46284.0</v>
      </c>
      <c r="E1478" s="69" t="s">
        <v>97</v>
      </c>
      <c r="F1478" s="243" t="s">
        <v>343</v>
      </c>
      <c r="G1478" s="69" t="s">
        <v>2519</v>
      </c>
      <c r="H1478" s="69" t="s">
        <v>87</v>
      </c>
      <c r="I1478" s="140" t="s">
        <v>566</v>
      </c>
      <c r="J1478" s="446">
        <v>10.0</v>
      </c>
      <c r="K1478" s="140">
        <v>1565000.0</v>
      </c>
      <c r="L1478" s="140">
        <v>1565000.0</v>
      </c>
      <c r="M1478" s="140" t="s">
        <v>755</v>
      </c>
      <c r="N1478" s="74">
        <f t="shared" si="6"/>
        <v>15650000</v>
      </c>
      <c r="O1478" s="60">
        <f t="shared" si="2"/>
        <v>46314</v>
      </c>
      <c r="P1478" s="65" t="str">
        <f>VLOOKUP(I1478,DATABASE!C:Q,11,FALSE)</f>
        <v>Tire</v>
      </c>
      <c r="Q1478" s="65" t="str">
        <f>VLOOKUP(I1478,DATABASE!C:Q,4,FALSE)</f>
        <v>Bridgestone</v>
      </c>
      <c r="R1478" s="101"/>
      <c r="U1478" s="101"/>
    </row>
    <row r="1479" ht="22.5" customHeight="1">
      <c r="A1479" s="49"/>
      <c r="C1479" s="192">
        <v>46286.0</v>
      </c>
      <c r="D1479" s="192">
        <v>46284.0</v>
      </c>
      <c r="E1479" s="69" t="s">
        <v>97</v>
      </c>
      <c r="F1479" s="243" t="s">
        <v>343</v>
      </c>
      <c r="G1479" s="69" t="s">
        <v>2520</v>
      </c>
      <c r="H1479" s="69" t="s">
        <v>87</v>
      </c>
      <c r="I1479" s="140" t="s">
        <v>627</v>
      </c>
      <c r="J1479" s="446">
        <v>6.0</v>
      </c>
      <c r="K1479" s="140">
        <v>879567.0</v>
      </c>
      <c r="L1479" s="140">
        <v>930000.0</v>
      </c>
      <c r="M1479" s="140" t="s">
        <v>521</v>
      </c>
      <c r="N1479" s="74">
        <f t="shared" si="6"/>
        <v>5580000</v>
      </c>
      <c r="O1479" s="60">
        <f t="shared" si="2"/>
        <v>46344</v>
      </c>
      <c r="P1479" s="65" t="str">
        <f>VLOOKUP(I1479,DATABASE!C:Q,11,FALSE)</f>
        <v>Tire</v>
      </c>
      <c r="Q1479" s="65" t="str">
        <f>VLOOKUP(I1479,DATABASE!C:Q,4,FALSE)</f>
        <v>Bridgestone</v>
      </c>
      <c r="R1479" s="101"/>
      <c r="U1479" s="101"/>
    </row>
    <row r="1480" ht="22.5" customHeight="1">
      <c r="A1480" s="49"/>
      <c r="C1480" s="192">
        <v>46286.0</v>
      </c>
      <c r="D1480" s="192">
        <v>46284.0</v>
      </c>
      <c r="E1480" s="69" t="s">
        <v>97</v>
      </c>
      <c r="F1480" s="243" t="s">
        <v>343</v>
      </c>
      <c r="G1480" s="69" t="s">
        <v>2519</v>
      </c>
      <c r="H1480" s="69" t="s">
        <v>87</v>
      </c>
      <c r="I1480" s="140" t="s">
        <v>572</v>
      </c>
      <c r="J1480" s="446">
        <v>8.0</v>
      </c>
      <c r="K1480" s="140">
        <v>1265000.0</v>
      </c>
      <c r="L1480" s="140">
        <v>1265000.0</v>
      </c>
      <c r="M1480" s="140" t="s">
        <v>755</v>
      </c>
      <c r="N1480" s="74">
        <f t="shared" si="6"/>
        <v>10120000</v>
      </c>
      <c r="O1480" s="60">
        <f t="shared" si="2"/>
        <v>46314</v>
      </c>
      <c r="P1480" s="65" t="str">
        <f>VLOOKUP(I1480,DATABASE!C:Q,11,FALSE)</f>
        <v>Tire</v>
      </c>
      <c r="Q1480" s="65" t="str">
        <f>VLOOKUP(I1480,DATABASE!C:Q,4,FALSE)</f>
        <v>Bridgestone</v>
      </c>
      <c r="R1480" s="101"/>
      <c r="U1480" s="101"/>
    </row>
    <row r="1481" ht="22.5" customHeight="1">
      <c r="A1481" s="49"/>
      <c r="C1481" s="192">
        <v>46287.0</v>
      </c>
      <c r="D1481" s="192">
        <v>46287.0</v>
      </c>
      <c r="E1481" s="69" t="s">
        <v>349</v>
      </c>
      <c r="F1481" s="243" t="s">
        <v>343</v>
      </c>
      <c r="G1481" s="69" t="s">
        <v>2303</v>
      </c>
      <c r="H1481" s="69" t="s">
        <v>7</v>
      </c>
      <c r="I1481" s="140" t="s">
        <v>2630</v>
      </c>
      <c r="J1481" s="446">
        <v>4.0</v>
      </c>
      <c r="K1481" s="140">
        <v>439000.0</v>
      </c>
      <c r="L1481" s="140">
        <v>439000.0</v>
      </c>
      <c r="M1481" s="140" t="s">
        <v>1023</v>
      </c>
      <c r="N1481" s="74">
        <f t="shared" si="6"/>
        <v>1756000</v>
      </c>
      <c r="O1481" s="60" t="str">
        <f t="shared" si="2"/>
        <v>LUNAS</v>
      </c>
      <c r="P1481" s="65" t="str">
        <f>VLOOKUP(I1481,DATABASE!C:Q,11,FALSE)</f>
        <v>Tire</v>
      </c>
      <c r="Q1481" s="65" t="str">
        <f>VLOOKUP(I1481,DATABASE!C:Q,4,FALSE)</f>
        <v>HanKOOK</v>
      </c>
      <c r="R1481" s="101"/>
      <c r="U1481" s="101"/>
    </row>
    <row r="1482" ht="22.5" customHeight="1">
      <c r="A1482" s="49"/>
      <c r="C1482" s="192">
        <v>46287.0</v>
      </c>
      <c r="D1482" s="192">
        <v>46287.0</v>
      </c>
      <c r="E1482" s="69" t="s">
        <v>412</v>
      </c>
      <c r="F1482" s="243"/>
      <c r="G1482" s="69"/>
      <c r="H1482" s="69" t="s">
        <v>2314</v>
      </c>
      <c r="I1482" s="140" t="s">
        <v>301</v>
      </c>
      <c r="J1482" s="446">
        <v>6.0</v>
      </c>
      <c r="K1482" s="140">
        <v>75000.0</v>
      </c>
      <c r="L1482" s="140">
        <v>50000.0</v>
      </c>
      <c r="M1482" s="140" t="s">
        <v>1023</v>
      </c>
      <c r="N1482" s="74">
        <f t="shared" si="6"/>
        <v>300000</v>
      </c>
      <c r="O1482" s="60" t="str">
        <f t="shared" si="2"/>
        <v>LUNAS</v>
      </c>
      <c r="P1482" s="65" t="str">
        <f>VLOOKUP(I1482,DATABASE!C:Q,11,FALSE)</f>
        <v>COMPLEMENTARY</v>
      </c>
      <c r="Q1482" s="65" t="str">
        <f>VLOOKUP(I1482,DATABASE!C:Q,4,FALSE)</f>
        <v>Baut Camber</v>
      </c>
      <c r="R1482" s="101"/>
      <c r="U1482" s="101"/>
    </row>
    <row r="1483" ht="22.5" customHeight="1">
      <c r="A1483" s="49"/>
      <c r="C1483" s="192">
        <v>46287.0</v>
      </c>
      <c r="D1483" s="192">
        <v>46287.0</v>
      </c>
      <c r="E1483" s="69" t="s">
        <v>412</v>
      </c>
      <c r="F1483" s="243"/>
      <c r="G1483" s="69"/>
      <c r="H1483" s="69" t="s">
        <v>2314</v>
      </c>
      <c r="I1483" s="140" t="s">
        <v>301</v>
      </c>
      <c r="J1483" s="446">
        <v>4.0</v>
      </c>
      <c r="K1483" s="140">
        <v>75000.0</v>
      </c>
      <c r="L1483" s="140">
        <v>52500.0</v>
      </c>
      <c r="M1483" s="140" t="s">
        <v>1023</v>
      </c>
      <c r="N1483" s="74">
        <f t="shared" si="6"/>
        <v>210000</v>
      </c>
      <c r="O1483" s="60" t="str">
        <f t="shared" si="2"/>
        <v>LUNAS</v>
      </c>
      <c r="P1483" s="65" t="str">
        <f>VLOOKUP(I1483,DATABASE!C:Q,11,FALSE)</f>
        <v>COMPLEMENTARY</v>
      </c>
      <c r="Q1483" s="65" t="str">
        <f>VLOOKUP(I1483,DATABASE!C:Q,4,FALSE)</f>
        <v>Baut Camber</v>
      </c>
      <c r="R1483" s="101"/>
      <c r="U1483" s="101"/>
    </row>
    <row r="1484" ht="22.5" customHeight="1">
      <c r="A1484" s="49"/>
      <c r="C1484" s="192">
        <v>46287.0</v>
      </c>
      <c r="D1484" s="192">
        <v>46287.0</v>
      </c>
      <c r="E1484" s="69" t="s">
        <v>412</v>
      </c>
      <c r="F1484" s="243"/>
      <c r="G1484" s="69"/>
      <c r="H1484" s="69" t="s">
        <v>2314</v>
      </c>
      <c r="I1484" s="140" t="s">
        <v>299</v>
      </c>
      <c r="J1484" s="446">
        <v>20.0</v>
      </c>
      <c r="K1484" s="140">
        <v>10000.0</v>
      </c>
      <c r="L1484" s="140">
        <v>10000.0</v>
      </c>
      <c r="M1484" s="140" t="s">
        <v>1023</v>
      </c>
      <c r="N1484" s="74">
        <f t="shared" si="6"/>
        <v>200000</v>
      </c>
      <c r="O1484" s="60" t="str">
        <f t="shared" si="2"/>
        <v>LUNAS</v>
      </c>
      <c r="P1484" s="65" t="str">
        <f>VLOOKUP(I1484,DATABASE!C:Q,11,FALSE)</f>
        <v>COMPLEMENTARY</v>
      </c>
      <c r="Q1484" s="65" t="str">
        <f>VLOOKUP(I1484,DATABASE!C:Q,4,FALSE)</f>
        <v>Balancing</v>
      </c>
      <c r="R1484" s="101"/>
      <c r="U1484" s="101"/>
    </row>
    <row r="1485" ht="22.5" customHeight="1">
      <c r="A1485" s="49"/>
      <c r="C1485" s="192">
        <v>46289.0</v>
      </c>
      <c r="D1485" s="192">
        <v>46288.0</v>
      </c>
      <c r="E1485" s="69" t="s">
        <v>198</v>
      </c>
      <c r="F1485" s="243" t="s">
        <v>343</v>
      </c>
      <c r="G1485" s="69" t="s">
        <v>2061</v>
      </c>
      <c r="H1485" s="69" t="s">
        <v>7</v>
      </c>
      <c r="I1485" s="140" t="s">
        <v>2621</v>
      </c>
      <c r="J1485" s="446">
        <v>15.0</v>
      </c>
      <c r="K1485" s="140">
        <v>141160.0</v>
      </c>
      <c r="L1485" s="140">
        <v>141160.0</v>
      </c>
      <c r="M1485" s="140" t="s">
        <v>521</v>
      </c>
      <c r="N1485" s="74">
        <f t="shared" si="6"/>
        <v>2117400</v>
      </c>
      <c r="O1485" s="60">
        <f t="shared" si="2"/>
        <v>46348</v>
      </c>
      <c r="P1485" s="65" t="str">
        <f>VLOOKUP(I1485,DATABASE!C:Q,11,FALSE)</f>
        <v>Tire</v>
      </c>
      <c r="Q1485" s="65" t="str">
        <f>VLOOKUP(I1485,DATABASE!C:Q,4,FALSE)</f>
        <v>IBK light</v>
      </c>
      <c r="R1485" s="101"/>
      <c r="U1485" s="101"/>
    </row>
    <row r="1486" ht="22.5" customHeight="1">
      <c r="A1486" s="49"/>
      <c r="C1486" s="192"/>
      <c r="D1486" s="192"/>
      <c r="E1486" s="69"/>
      <c r="F1486" s="243"/>
      <c r="G1486" s="69"/>
      <c r="H1486" s="69"/>
      <c r="I1486" s="140"/>
      <c r="J1486" s="446"/>
      <c r="K1486" s="140"/>
      <c r="L1486" s="140"/>
      <c r="M1486" s="140"/>
      <c r="N1486" s="74">
        <f t="shared" si="6"/>
        <v>0</v>
      </c>
      <c r="O1486" s="60">
        <f t="shared" si="2"/>
        <v>0</v>
      </c>
      <c r="P1486" s="65" t="str">
        <f>VLOOKUP(I1486,DATABASE!C:Q,11,FALSE)</f>
        <v>#N/A</v>
      </c>
      <c r="Q1486" s="65" t="str">
        <f>VLOOKUP(I1486,DATABASE!C:Q,4,FALSE)</f>
        <v>#N/A</v>
      </c>
      <c r="R1486" s="101"/>
      <c r="U1486" s="101"/>
    </row>
    <row r="1487" ht="22.5" customHeight="1">
      <c r="A1487" s="49"/>
      <c r="C1487" s="192"/>
      <c r="D1487" s="192"/>
      <c r="E1487" s="69"/>
      <c r="F1487" s="243"/>
      <c r="G1487" s="69"/>
      <c r="H1487" s="69"/>
      <c r="I1487" s="140"/>
      <c r="J1487" s="446"/>
      <c r="K1487" s="140"/>
      <c r="L1487" s="140"/>
      <c r="M1487" s="140"/>
      <c r="N1487" s="74">
        <f t="shared" si="6"/>
        <v>0</v>
      </c>
      <c r="O1487" s="60">
        <f t="shared" si="2"/>
        <v>0</v>
      </c>
      <c r="P1487" s="65" t="str">
        <f>VLOOKUP(I1487,DATABASE!C:Q,11,FALSE)</f>
        <v>#N/A</v>
      </c>
      <c r="Q1487" s="65" t="str">
        <f>VLOOKUP(I1487,DATABASE!C:Q,4,FALSE)</f>
        <v>#N/A</v>
      </c>
      <c r="R1487" s="101"/>
      <c r="U1487" s="101"/>
    </row>
    <row r="1488" ht="22.5" customHeight="1">
      <c r="A1488" s="49"/>
      <c r="C1488" s="192"/>
      <c r="D1488" s="192"/>
      <c r="E1488" s="69"/>
      <c r="F1488" s="243"/>
      <c r="G1488" s="69"/>
      <c r="H1488" s="69"/>
      <c r="I1488" s="140"/>
      <c r="J1488" s="446"/>
      <c r="K1488" s="140"/>
      <c r="L1488" s="140"/>
      <c r="M1488" s="140"/>
      <c r="N1488" s="74">
        <f t="shared" si="6"/>
        <v>0</v>
      </c>
      <c r="O1488" s="60">
        <f t="shared" si="2"/>
        <v>0</v>
      </c>
      <c r="P1488" s="65" t="str">
        <f>VLOOKUP(I1488,DATABASE!C:Q,11,FALSE)</f>
        <v>#N/A</v>
      </c>
      <c r="Q1488" s="65" t="str">
        <f>VLOOKUP(I1488,DATABASE!C:Q,4,FALSE)</f>
        <v>#N/A</v>
      </c>
      <c r="R1488" s="101"/>
      <c r="U1488" s="101"/>
    </row>
    <row r="1489" ht="22.5" customHeight="1">
      <c r="A1489" s="49"/>
      <c r="C1489" s="192"/>
      <c r="D1489" s="192"/>
      <c r="E1489" s="69"/>
      <c r="F1489" s="243"/>
      <c r="G1489" s="69"/>
      <c r="H1489" s="69"/>
      <c r="I1489" s="140"/>
      <c r="J1489" s="446"/>
      <c r="K1489" s="140"/>
      <c r="L1489" s="140"/>
      <c r="M1489" s="140"/>
      <c r="N1489" s="74">
        <f t="shared" si="6"/>
        <v>0</v>
      </c>
      <c r="O1489" s="60">
        <f t="shared" si="2"/>
        <v>0</v>
      </c>
      <c r="P1489" s="65" t="str">
        <f>VLOOKUP(I1489,DATABASE!C:Q,11,FALSE)</f>
        <v>#N/A</v>
      </c>
      <c r="Q1489" s="65" t="str">
        <f>VLOOKUP(I1489,DATABASE!C:Q,4,FALSE)</f>
        <v>#N/A</v>
      </c>
      <c r="R1489" s="101"/>
      <c r="U1489" s="101"/>
    </row>
    <row r="1490" ht="22.5" customHeight="1">
      <c r="A1490" s="49"/>
      <c r="C1490" s="192"/>
      <c r="D1490" s="192"/>
      <c r="E1490" s="69"/>
      <c r="F1490" s="243"/>
      <c r="G1490" s="69"/>
      <c r="H1490" s="69"/>
      <c r="I1490" s="140"/>
      <c r="J1490" s="446"/>
      <c r="K1490" s="140"/>
      <c r="L1490" s="140"/>
      <c r="M1490" s="140"/>
      <c r="N1490" s="74">
        <f t="shared" si="6"/>
        <v>0</v>
      </c>
      <c r="O1490" s="60">
        <f t="shared" si="2"/>
        <v>0</v>
      </c>
      <c r="P1490" s="65" t="str">
        <f>VLOOKUP(I1490,DATABASE!C:Q,11,FALSE)</f>
        <v>#N/A</v>
      </c>
      <c r="Q1490" s="65" t="str">
        <f>VLOOKUP(I1490,DATABASE!C:Q,4,FALSE)</f>
        <v>#N/A</v>
      </c>
      <c r="R1490" s="101"/>
      <c r="U1490" s="101"/>
    </row>
    <row r="1491" ht="22.5" customHeight="1">
      <c r="A1491" s="49"/>
      <c r="C1491" s="192"/>
      <c r="D1491" s="192"/>
      <c r="E1491" s="69"/>
      <c r="F1491" s="243"/>
      <c r="G1491" s="69"/>
      <c r="H1491" s="69"/>
      <c r="I1491" s="140"/>
      <c r="J1491" s="446"/>
      <c r="K1491" s="140"/>
      <c r="L1491" s="140"/>
      <c r="M1491" s="140"/>
      <c r="N1491" s="74">
        <f t="shared" si="6"/>
        <v>0</v>
      </c>
      <c r="O1491" s="60">
        <f t="shared" si="2"/>
        <v>0</v>
      </c>
      <c r="P1491" s="65" t="str">
        <f>VLOOKUP(I1491,DATABASE!C:Q,11,FALSE)</f>
        <v>#N/A</v>
      </c>
      <c r="Q1491" s="65" t="str">
        <f>VLOOKUP(I1491,DATABASE!C:Q,4,FALSE)</f>
        <v>#N/A</v>
      </c>
      <c r="R1491" s="101"/>
      <c r="U1491" s="101"/>
    </row>
    <row r="1492" ht="22.5" customHeight="1">
      <c r="A1492" s="49"/>
      <c r="C1492" s="192"/>
      <c r="D1492" s="192"/>
      <c r="E1492" s="69"/>
      <c r="F1492" s="243"/>
      <c r="G1492" s="69"/>
      <c r="H1492" s="69"/>
      <c r="I1492" s="140"/>
      <c r="J1492" s="446"/>
      <c r="K1492" s="140"/>
      <c r="L1492" s="140"/>
      <c r="M1492" s="140"/>
      <c r="N1492" s="74">
        <f t="shared" si="6"/>
        <v>0</v>
      </c>
      <c r="O1492" s="60">
        <f t="shared" si="2"/>
        <v>0</v>
      </c>
      <c r="P1492" s="65" t="str">
        <f>VLOOKUP(I1492,DATABASE!C:Q,11,FALSE)</f>
        <v>#N/A</v>
      </c>
      <c r="Q1492" s="65" t="str">
        <f>VLOOKUP(I1492,DATABASE!C:Q,4,FALSE)</f>
        <v>#N/A</v>
      </c>
      <c r="R1492" s="101"/>
      <c r="U1492" s="101"/>
    </row>
    <row r="1493" ht="22.5" customHeight="1">
      <c r="A1493" s="49"/>
      <c r="C1493" s="192"/>
      <c r="D1493" s="192"/>
      <c r="E1493" s="69"/>
      <c r="F1493" s="243"/>
      <c r="G1493" s="69"/>
      <c r="H1493" s="69"/>
      <c r="I1493" s="140"/>
      <c r="J1493" s="446"/>
      <c r="K1493" s="140"/>
      <c r="L1493" s="140"/>
      <c r="M1493" s="140"/>
      <c r="N1493" s="74">
        <f t="shared" si="6"/>
        <v>0</v>
      </c>
      <c r="O1493" s="60">
        <f t="shared" si="2"/>
        <v>0</v>
      </c>
      <c r="P1493" s="65" t="str">
        <f>VLOOKUP(I1493,DATABASE!C:Q,11,FALSE)</f>
        <v>#N/A</v>
      </c>
      <c r="Q1493" s="65" t="str">
        <f>VLOOKUP(I1493,DATABASE!C:Q,4,FALSE)</f>
        <v>#N/A</v>
      </c>
      <c r="R1493" s="101"/>
      <c r="U1493" s="101"/>
    </row>
    <row r="1494" ht="22.5" customHeight="1">
      <c r="A1494" s="49"/>
      <c r="C1494" s="192"/>
      <c r="D1494" s="192"/>
      <c r="E1494" s="69"/>
      <c r="F1494" s="243"/>
      <c r="G1494" s="69"/>
      <c r="H1494" s="69"/>
      <c r="I1494" s="140"/>
      <c r="J1494" s="446"/>
      <c r="K1494" s="140"/>
      <c r="L1494" s="140"/>
      <c r="M1494" s="140"/>
      <c r="N1494" s="74">
        <f t="shared" si="6"/>
        <v>0</v>
      </c>
      <c r="O1494" s="60">
        <f t="shared" si="2"/>
        <v>0</v>
      </c>
      <c r="P1494" s="65" t="str">
        <f>VLOOKUP(I1494,DATABASE!C:Q,11,FALSE)</f>
        <v>#N/A</v>
      </c>
      <c r="Q1494" s="65" t="str">
        <f>VLOOKUP(I1494,DATABASE!C:Q,4,FALSE)</f>
        <v>#N/A</v>
      </c>
      <c r="R1494" s="101"/>
      <c r="U1494" s="101"/>
    </row>
    <row r="1495" ht="22.5" customHeight="1">
      <c r="A1495" s="49"/>
      <c r="C1495" s="192"/>
      <c r="D1495" s="192"/>
      <c r="E1495" s="69"/>
      <c r="F1495" s="243"/>
      <c r="G1495" s="69"/>
      <c r="H1495" s="69"/>
      <c r="I1495" s="140"/>
      <c r="J1495" s="446"/>
      <c r="K1495" s="140"/>
      <c r="L1495" s="140"/>
      <c r="M1495" s="140"/>
      <c r="N1495" s="74">
        <f t="shared" si="6"/>
        <v>0</v>
      </c>
      <c r="O1495" s="60">
        <f t="shared" si="2"/>
        <v>0</v>
      </c>
      <c r="P1495" s="65" t="str">
        <f>VLOOKUP(I1495,DATABASE!C:Q,11,FALSE)</f>
        <v>#N/A</v>
      </c>
      <c r="Q1495" s="65" t="str">
        <f>VLOOKUP(I1495,DATABASE!C:Q,4,FALSE)</f>
        <v>#N/A</v>
      </c>
      <c r="R1495" s="101"/>
      <c r="U1495" s="101"/>
    </row>
    <row r="1496" ht="22.5" customHeight="1">
      <c r="A1496" s="49"/>
      <c r="C1496" s="192"/>
      <c r="D1496" s="192"/>
      <c r="E1496" s="69"/>
      <c r="F1496" s="243"/>
      <c r="G1496" s="69"/>
      <c r="H1496" s="69"/>
      <c r="I1496" s="140"/>
      <c r="J1496" s="446"/>
      <c r="K1496" s="140"/>
      <c r="L1496" s="140"/>
      <c r="M1496" s="140"/>
      <c r="N1496" s="74">
        <f t="shared" si="6"/>
        <v>0</v>
      </c>
      <c r="O1496" s="60">
        <f t="shared" si="2"/>
        <v>0</v>
      </c>
      <c r="P1496" s="65" t="str">
        <f>VLOOKUP(I1496,DATABASE!C:Q,11,FALSE)</f>
        <v>#N/A</v>
      </c>
      <c r="Q1496" s="65" t="str">
        <f>VLOOKUP(I1496,DATABASE!C:Q,4,FALSE)</f>
        <v>#N/A</v>
      </c>
      <c r="R1496" s="101"/>
      <c r="U1496" s="101"/>
    </row>
    <row r="1497" ht="22.5" customHeight="1">
      <c r="A1497" s="49"/>
      <c r="C1497" s="192"/>
      <c r="D1497" s="192"/>
      <c r="E1497" s="69"/>
      <c r="F1497" s="243"/>
      <c r="G1497" s="69"/>
      <c r="H1497" s="69"/>
      <c r="I1497" s="140"/>
      <c r="J1497" s="446"/>
      <c r="K1497" s="140"/>
      <c r="L1497" s="140"/>
      <c r="M1497" s="140"/>
      <c r="N1497" s="74">
        <f t="shared" si="6"/>
        <v>0</v>
      </c>
      <c r="O1497" s="60">
        <f t="shared" si="2"/>
        <v>0</v>
      </c>
      <c r="P1497" s="65" t="str">
        <f>VLOOKUP(I1497,DATABASE!C:Q,11,FALSE)</f>
        <v>#N/A</v>
      </c>
      <c r="Q1497" s="65" t="str">
        <f>VLOOKUP(I1497,DATABASE!C:Q,4,FALSE)</f>
        <v>#N/A</v>
      </c>
      <c r="R1497" s="101"/>
      <c r="U1497" s="101"/>
    </row>
    <row r="1498" ht="22.5" customHeight="1">
      <c r="A1498" s="49"/>
      <c r="C1498" s="192"/>
      <c r="D1498" s="192"/>
      <c r="E1498" s="69"/>
      <c r="F1498" s="243"/>
      <c r="G1498" s="69"/>
      <c r="H1498" s="69"/>
      <c r="I1498" s="140"/>
      <c r="J1498" s="446"/>
      <c r="K1498" s="140"/>
      <c r="L1498" s="140"/>
      <c r="M1498" s="140"/>
      <c r="N1498" s="74">
        <f t="shared" si="6"/>
        <v>0</v>
      </c>
      <c r="O1498" s="60">
        <f t="shared" si="2"/>
        <v>0</v>
      </c>
      <c r="P1498" s="65" t="str">
        <f>VLOOKUP(I1498,DATABASE!C:Q,11,FALSE)</f>
        <v>#N/A</v>
      </c>
      <c r="Q1498" s="65" t="str">
        <f>VLOOKUP(I1498,DATABASE!C:Q,4,FALSE)</f>
        <v>#N/A</v>
      </c>
      <c r="R1498" s="101"/>
      <c r="U1498" s="101"/>
    </row>
    <row r="1499" ht="22.5" customHeight="1">
      <c r="A1499" s="49"/>
      <c r="C1499" s="192"/>
      <c r="D1499" s="192"/>
      <c r="E1499" s="69"/>
      <c r="F1499" s="243"/>
      <c r="G1499" s="69"/>
      <c r="H1499" s="69"/>
      <c r="I1499" s="140"/>
      <c r="J1499" s="446"/>
      <c r="K1499" s="140"/>
      <c r="L1499" s="140"/>
      <c r="M1499" s="140"/>
      <c r="N1499" s="74">
        <f t="shared" si="6"/>
        <v>0</v>
      </c>
      <c r="O1499" s="60">
        <f t="shared" si="2"/>
        <v>0</v>
      </c>
      <c r="P1499" s="65" t="str">
        <f>VLOOKUP(I1499,DATABASE!C:Q,11,FALSE)</f>
        <v>#N/A</v>
      </c>
      <c r="Q1499" s="65" t="str">
        <f>VLOOKUP(I1499,DATABASE!C:Q,4,FALSE)</f>
        <v>#N/A</v>
      </c>
      <c r="R1499" s="101"/>
      <c r="U1499" s="101"/>
    </row>
    <row r="1500" ht="22.5" customHeight="1">
      <c r="A1500" s="49"/>
      <c r="C1500" s="192"/>
      <c r="D1500" s="192"/>
      <c r="E1500" s="69"/>
      <c r="F1500" s="243"/>
      <c r="G1500" s="69"/>
      <c r="H1500" s="69"/>
      <c r="I1500" s="140"/>
      <c r="J1500" s="446"/>
      <c r="K1500" s="140"/>
      <c r="L1500" s="140"/>
      <c r="M1500" s="140"/>
      <c r="N1500" s="74">
        <f t="shared" si="6"/>
        <v>0</v>
      </c>
      <c r="O1500" s="60">
        <f t="shared" si="2"/>
        <v>0</v>
      </c>
      <c r="P1500" s="65" t="str">
        <f>VLOOKUP(I1500,DATABASE!C:Q,11,FALSE)</f>
        <v>#N/A</v>
      </c>
      <c r="Q1500" s="65" t="str">
        <f>VLOOKUP(I1500,DATABASE!C:Q,4,FALSE)</f>
        <v>#N/A</v>
      </c>
      <c r="R1500" s="101"/>
      <c r="U1500" s="101"/>
    </row>
    <row r="1501" ht="22.5" customHeight="1">
      <c r="A1501" s="49"/>
      <c r="C1501" s="192"/>
      <c r="D1501" s="192"/>
      <c r="E1501" s="69"/>
      <c r="F1501" s="243"/>
      <c r="G1501" s="69"/>
      <c r="H1501" s="69"/>
      <c r="I1501" s="140"/>
      <c r="J1501" s="446"/>
      <c r="K1501" s="140"/>
      <c r="L1501" s="140"/>
      <c r="M1501" s="140"/>
      <c r="N1501" s="74">
        <f t="shared" si="6"/>
        <v>0</v>
      </c>
      <c r="O1501" s="60">
        <f t="shared" si="2"/>
        <v>0</v>
      </c>
      <c r="P1501" s="65" t="str">
        <f>VLOOKUP(I1501,DATABASE!C:Q,11,FALSE)</f>
        <v>#N/A</v>
      </c>
      <c r="Q1501" s="65" t="str">
        <f>VLOOKUP(I1501,DATABASE!C:Q,4,FALSE)</f>
        <v>#N/A</v>
      </c>
      <c r="R1501" s="101"/>
      <c r="U1501" s="101"/>
    </row>
    <row r="1502" ht="22.5" customHeight="1">
      <c r="A1502" s="49"/>
      <c r="C1502" s="192"/>
      <c r="D1502" s="192"/>
      <c r="E1502" s="69"/>
      <c r="F1502" s="243"/>
      <c r="G1502" s="69"/>
      <c r="H1502" s="69"/>
      <c r="I1502" s="140"/>
      <c r="J1502" s="446"/>
      <c r="K1502" s="140"/>
      <c r="L1502" s="140"/>
      <c r="M1502" s="140"/>
      <c r="N1502" s="74">
        <f t="shared" si="6"/>
        <v>0</v>
      </c>
      <c r="O1502" s="60">
        <f t="shared" si="2"/>
        <v>0</v>
      </c>
      <c r="P1502" s="65" t="str">
        <f>VLOOKUP(I1502,DATABASE!C:Q,11,FALSE)</f>
        <v>#N/A</v>
      </c>
      <c r="Q1502" s="65" t="str">
        <f>VLOOKUP(I1502,DATABASE!C:Q,4,FALSE)</f>
        <v>#N/A</v>
      </c>
      <c r="R1502" s="101"/>
      <c r="U1502" s="101"/>
    </row>
    <row r="1503" ht="22.5" customHeight="1">
      <c r="A1503" s="49"/>
      <c r="C1503" s="192"/>
      <c r="D1503" s="192"/>
      <c r="E1503" s="69"/>
      <c r="F1503" s="243"/>
      <c r="G1503" s="69"/>
      <c r="H1503" s="69"/>
      <c r="I1503" s="140"/>
      <c r="J1503" s="446"/>
      <c r="K1503" s="140"/>
      <c r="L1503" s="140"/>
      <c r="M1503" s="140"/>
      <c r="N1503" s="74">
        <f t="shared" si="6"/>
        <v>0</v>
      </c>
      <c r="O1503" s="60">
        <f t="shared" si="2"/>
        <v>0</v>
      </c>
      <c r="P1503" s="65" t="str">
        <f>VLOOKUP(I1503,DATABASE!C:Q,11,FALSE)</f>
        <v>#N/A</v>
      </c>
      <c r="Q1503" s="65" t="str">
        <f>VLOOKUP(I1503,DATABASE!C:Q,4,FALSE)</f>
        <v>#N/A</v>
      </c>
      <c r="R1503" s="101"/>
      <c r="U1503" s="101"/>
    </row>
    <row r="1504" ht="22.5" customHeight="1">
      <c r="A1504" s="49"/>
      <c r="C1504" s="192"/>
      <c r="D1504" s="192"/>
      <c r="E1504" s="69"/>
      <c r="F1504" s="243"/>
      <c r="G1504" s="69"/>
      <c r="H1504" s="69"/>
      <c r="I1504" s="140"/>
      <c r="J1504" s="446"/>
      <c r="K1504" s="140"/>
      <c r="L1504" s="140"/>
      <c r="M1504" s="140"/>
      <c r="N1504" s="74">
        <f t="shared" si="6"/>
        <v>0</v>
      </c>
      <c r="O1504" s="60">
        <f t="shared" si="2"/>
        <v>0</v>
      </c>
      <c r="P1504" s="65" t="str">
        <f>VLOOKUP(I1504,DATABASE!C:Q,11,FALSE)</f>
        <v>#N/A</v>
      </c>
      <c r="Q1504" s="65" t="str">
        <f>VLOOKUP(I1504,DATABASE!C:Q,4,FALSE)</f>
        <v>#N/A</v>
      </c>
      <c r="R1504" s="101"/>
      <c r="U1504" s="101"/>
    </row>
    <row r="1505" ht="22.5" customHeight="1">
      <c r="A1505" s="49"/>
      <c r="C1505" s="192"/>
      <c r="D1505" s="192"/>
      <c r="E1505" s="69"/>
      <c r="F1505" s="243"/>
      <c r="G1505" s="69"/>
      <c r="H1505" s="69"/>
      <c r="I1505" s="140"/>
      <c r="J1505" s="446"/>
      <c r="K1505" s="140"/>
      <c r="L1505" s="140"/>
      <c r="M1505" s="140"/>
      <c r="N1505" s="74">
        <f t="shared" si="6"/>
        <v>0</v>
      </c>
      <c r="O1505" s="60">
        <f t="shared" si="2"/>
        <v>0</v>
      </c>
      <c r="P1505" s="65" t="str">
        <f>VLOOKUP(I1505,DATABASE!C:Q,11,FALSE)</f>
        <v>#N/A</v>
      </c>
      <c r="Q1505" s="65" t="str">
        <f>VLOOKUP(I1505,DATABASE!C:Q,4,FALSE)</f>
        <v>#N/A</v>
      </c>
      <c r="R1505" s="101"/>
      <c r="U1505" s="101"/>
    </row>
    <row r="1506" ht="22.5" customHeight="1">
      <c r="A1506" s="49"/>
      <c r="C1506" s="192"/>
      <c r="D1506" s="192"/>
      <c r="E1506" s="69"/>
      <c r="F1506" s="243"/>
      <c r="G1506" s="69"/>
      <c r="H1506" s="69"/>
      <c r="I1506" s="140"/>
      <c r="J1506" s="446"/>
      <c r="K1506" s="140"/>
      <c r="L1506" s="140"/>
      <c r="M1506" s="140"/>
      <c r="N1506" s="74">
        <f t="shared" si="6"/>
        <v>0</v>
      </c>
      <c r="O1506" s="60">
        <f t="shared" si="2"/>
        <v>0</v>
      </c>
      <c r="P1506" s="65" t="str">
        <f>VLOOKUP(I1506,DATABASE!C:Q,11,FALSE)</f>
        <v>#N/A</v>
      </c>
      <c r="Q1506" s="65" t="str">
        <f>VLOOKUP(I1506,DATABASE!C:Q,4,FALSE)</f>
        <v>#N/A</v>
      </c>
      <c r="R1506" s="101"/>
      <c r="U1506" s="101"/>
    </row>
    <row r="1507" ht="22.5" customHeight="1">
      <c r="A1507" s="49"/>
      <c r="C1507" s="192"/>
      <c r="D1507" s="192"/>
      <c r="E1507" s="69"/>
      <c r="F1507" s="243"/>
      <c r="G1507" s="69"/>
      <c r="H1507" s="69"/>
      <c r="I1507" s="140"/>
      <c r="J1507" s="446"/>
      <c r="K1507" s="140"/>
      <c r="L1507" s="140"/>
      <c r="M1507" s="140"/>
      <c r="N1507" s="74">
        <f t="shared" si="6"/>
        <v>0</v>
      </c>
      <c r="O1507" s="60">
        <f t="shared" si="2"/>
        <v>0</v>
      </c>
      <c r="P1507" s="65" t="str">
        <f>VLOOKUP(I1507,DATABASE!C:Q,11,FALSE)</f>
        <v>#N/A</v>
      </c>
      <c r="Q1507" s="65" t="str">
        <f>VLOOKUP(I1507,DATABASE!C:Q,4,FALSE)</f>
        <v>#N/A</v>
      </c>
      <c r="R1507" s="101"/>
      <c r="U1507" s="101"/>
    </row>
    <row r="1508" ht="22.5" customHeight="1">
      <c r="A1508" s="49"/>
      <c r="C1508" s="192"/>
      <c r="D1508" s="192"/>
      <c r="E1508" s="69"/>
      <c r="F1508" s="243"/>
      <c r="G1508" s="69"/>
      <c r="H1508" s="69"/>
      <c r="I1508" s="140"/>
      <c r="J1508" s="446"/>
      <c r="K1508" s="140"/>
      <c r="L1508" s="140"/>
      <c r="M1508" s="140"/>
      <c r="N1508" s="74">
        <f t="shared" si="6"/>
        <v>0</v>
      </c>
      <c r="O1508" s="60">
        <f t="shared" si="2"/>
        <v>0</v>
      </c>
      <c r="P1508" s="65" t="str">
        <f>VLOOKUP(I1508,DATABASE!C:Q,11,FALSE)</f>
        <v>#N/A</v>
      </c>
      <c r="Q1508" s="65" t="str">
        <f>VLOOKUP(I1508,DATABASE!C:Q,4,FALSE)</f>
        <v>#N/A</v>
      </c>
      <c r="R1508" s="101"/>
      <c r="U1508" s="101"/>
    </row>
    <row r="1509" ht="22.5" customHeight="1">
      <c r="A1509" s="49"/>
      <c r="C1509" s="192"/>
      <c r="D1509" s="192"/>
      <c r="E1509" s="69"/>
      <c r="F1509" s="243"/>
      <c r="G1509" s="69"/>
      <c r="H1509" s="69"/>
      <c r="I1509" s="140"/>
      <c r="J1509" s="446"/>
      <c r="K1509" s="140"/>
      <c r="L1509" s="140"/>
      <c r="M1509" s="140"/>
      <c r="N1509" s="74">
        <f t="shared" si="6"/>
        <v>0</v>
      </c>
      <c r="O1509" s="60">
        <f t="shared" si="2"/>
        <v>0</v>
      </c>
      <c r="P1509" s="65" t="str">
        <f>VLOOKUP(I1509,DATABASE!C:Q,11,FALSE)</f>
        <v>#N/A</v>
      </c>
      <c r="Q1509" s="65" t="str">
        <f>VLOOKUP(I1509,DATABASE!C:Q,4,FALSE)</f>
        <v>#N/A</v>
      </c>
      <c r="R1509" s="101"/>
      <c r="U1509" s="101"/>
    </row>
    <row r="1510" ht="22.5" customHeight="1">
      <c r="A1510" s="49"/>
      <c r="C1510" s="192"/>
      <c r="D1510" s="192"/>
      <c r="E1510" s="69"/>
      <c r="F1510" s="243"/>
      <c r="G1510" s="69"/>
      <c r="H1510" s="69"/>
      <c r="I1510" s="140"/>
      <c r="J1510" s="446"/>
      <c r="K1510" s="140"/>
      <c r="L1510" s="140"/>
      <c r="M1510" s="140"/>
      <c r="N1510" s="74">
        <f t="shared" si="6"/>
        <v>0</v>
      </c>
      <c r="O1510" s="60">
        <f t="shared" si="2"/>
        <v>0</v>
      </c>
      <c r="P1510" s="65" t="str">
        <f>VLOOKUP(I1510,DATABASE!C:Q,11,FALSE)</f>
        <v>#N/A</v>
      </c>
      <c r="Q1510" s="65" t="str">
        <f>VLOOKUP(I1510,DATABASE!C:Q,4,FALSE)</f>
        <v>#N/A</v>
      </c>
      <c r="R1510" s="101"/>
      <c r="U1510" s="101"/>
    </row>
    <row r="1511" ht="22.5" customHeight="1">
      <c r="A1511" s="49"/>
      <c r="C1511" s="192"/>
      <c r="D1511" s="192"/>
      <c r="E1511" s="69"/>
      <c r="F1511" s="243"/>
      <c r="G1511" s="69"/>
      <c r="H1511" s="69"/>
      <c r="I1511" s="140"/>
      <c r="J1511" s="446"/>
      <c r="K1511" s="140"/>
      <c r="L1511" s="140"/>
      <c r="M1511" s="140"/>
      <c r="N1511" s="74">
        <f t="shared" si="6"/>
        <v>0</v>
      </c>
      <c r="O1511" s="60">
        <f t="shared" si="2"/>
        <v>0</v>
      </c>
      <c r="P1511" s="65" t="str">
        <f>VLOOKUP(I1511,DATABASE!C:Q,11,FALSE)</f>
        <v>#N/A</v>
      </c>
      <c r="Q1511" s="65" t="str">
        <f>VLOOKUP(I1511,DATABASE!C:Q,4,FALSE)</f>
        <v>#N/A</v>
      </c>
      <c r="R1511" s="101"/>
      <c r="U1511" s="101"/>
    </row>
    <row r="1512" ht="22.5" customHeight="1">
      <c r="A1512" s="49"/>
      <c r="C1512" s="192"/>
      <c r="D1512" s="192"/>
      <c r="E1512" s="69"/>
      <c r="F1512" s="243"/>
      <c r="G1512" s="69"/>
      <c r="H1512" s="69"/>
      <c r="I1512" s="140"/>
      <c r="J1512" s="446"/>
      <c r="K1512" s="140"/>
      <c r="L1512" s="140"/>
      <c r="M1512" s="140"/>
      <c r="N1512" s="74">
        <f t="shared" si="6"/>
        <v>0</v>
      </c>
      <c r="O1512" s="60">
        <f t="shared" si="2"/>
        <v>0</v>
      </c>
      <c r="P1512" s="65" t="str">
        <f>VLOOKUP(I1512,DATABASE!C:Q,11,FALSE)</f>
        <v>#N/A</v>
      </c>
      <c r="Q1512" s="65" t="str">
        <f>VLOOKUP(I1512,DATABASE!C:Q,4,FALSE)</f>
        <v>#N/A</v>
      </c>
      <c r="R1512" s="101"/>
      <c r="U1512" s="101"/>
    </row>
    <row r="1513" ht="22.5" customHeight="1">
      <c r="A1513" s="49"/>
      <c r="C1513" s="192"/>
      <c r="D1513" s="192"/>
      <c r="E1513" s="69"/>
      <c r="F1513" s="243"/>
      <c r="G1513" s="69"/>
      <c r="H1513" s="69"/>
      <c r="I1513" s="140"/>
      <c r="J1513" s="446"/>
      <c r="K1513" s="140"/>
      <c r="L1513" s="140"/>
      <c r="M1513" s="140"/>
      <c r="N1513" s="74">
        <f t="shared" si="6"/>
        <v>0</v>
      </c>
      <c r="O1513" s="60">
        <f t="shared" si="2"/>
        <v>0</v>
      </c>
      <c r="P1513" s="65" t="str">
        <f>VLOOKUP(I1513,DATABASE!C:Q,11,FALSE)</f>
        <v>#N/A</v>
      </c>
      <c r="Q1513" s="65" t="str">
        <f>VLOOKUP(I1513,DATABASE!C:Q,4,FALSE)</f>
        <v>#N/A</v>
      </c>
      <c r="R1513" s="101"/>
      <c r="U1513" s="101"/>
    </row>
    <row r="1514" ht="22.5" customHeight="1">
      <c r="A1514" s="49"/>
      <c r="C1514" s="192"/>
      <c r="D1514" s="192"/>
      <c r="E1514" s="69"/>
      <c r="F1514" s="243"/>
      <c r="G1514" s="69"/>
      <c r="H1514" s="69"/>
      <c r="I1514" s="140"/>
      <c r="J1514" s="446"/>
      <c r="K1514" s="140"/>
      <c r="L1514" s="140"/>
      <c r="M1514" s="140"/>
      <c r="N1514" s="74">
        <f t="shared" si="6"/>
        <v>0</v>
      </c>
      <c r="O1514" s="60">
        <f t="shared" si="2"/>
        <v>0</v>
      </c>
      <c r="P1514" s="65" t="str">
        <f>VLOOKUP(I1514,DATABASE!C:Q,11,FALSE)</f>
        <v>#N/A</v>
      </c>
      <c r="Q1514" s="65" t="str">
        <f>VLOOKUP(I1514,DATABASE!C:Q,4,FALSE)</f>
        <v>#N/A</v>
      </c>
      <c r="R1514" s="101"/>
      <c r="U1514" s="101"/>
    </row>
    <row r="1515" ht="22.5" customHeight="1">
      <c r="A1515" s="49"/>
      <c r="C1515" s="192"/>
      <c r="D1515" s="192"/>
      <c r="E1515" s="69"/>
      <c r="F1515" s="243"/>
      <c r="G1515" s="69"/>
      <c r="H1515" s="69"/>
      <c r="I1515" s="140"/>
      <c r="J1515" s="446"/>
      <c r="K1515" s="140"/>
      <c r="L1515" s="140"/>
      <c r="M1515" s="140"/>
      <c r="N1515" s="74">
        <f t="shared" si="6"/>
        <v>0</v>
      </c>
      <c r="O1515" s="60">
        <f t="shared" si="2"/>
        <v>0</v>
      </c>
      <c r="P1515" s="65" t="str">
        <f>VLOOKUP(I1515,DATABASE!C:Q,11,FALSE)</f>
        <v>#N/A</v>
      </c>
      <c r="Q1515" s="65" t="str">
        <f>VLOOKUP(I1515,DATABASE!C:Q,4,FALSE)</f>
        <v>#N/A</v>
      </c>
      <c r="R1515" s="101"/>
      <c r="U1515" s="101"/>
    </row>
    <row r="1516" ht="22.5" customHeight="1">
      <c r="A1516" s="49"/>
      <c r="C1516" s="192"/>
      <c r="D1516" s="192"/>
      <c r="E1516" s="69"/>
      <c r="F1516" s="243"/>
      <c r="G1516" s="69"/>
      <c r="H1516" s="69"/>
      <c r="I1516" s="140"/>
      <c r="J1516" s="446"/>
      <c r="K1516" s="140"/>
      <c r="L1516" s="140"/>
      <c r="M1516" s="140"/>
      <c r="N1516" s="74">
        <f t="shared" si="6"/>
        <v>0</v>
      </c>
      <c r="O1516" s="60">
        <f t="shared" si="2"/>
        <v>0</v>
      </c>
      <c r="P1516" s="65" t="str">
        <f>VLOOKUP(I1516,DATABASE!C:Q,11,FALSE)</f>
        <v>#N/A</v>
      </c>
      <c r="Q1516" s="65" t="str">
        <f>VLOOKUP(I1516,DATABASE!C:Q,4,FALSE)</f>
        <v>#N/A</v>
      </c>
      <c r="R1516" s="101"/>
      <c r="U1516" s="101"/>
    </row>
    <row r="1517" ht="22.5" customHeight="1">
      <c r="A1517" s="49"/>
      <c r="C1517" s="192"/>
      <c r="D1517" s="192"/>
      <c r="E1517" s="69"/>
      <c r="F1517" s="243"/>
      <c r="G1517" s="69"/>
      <c r="H1517" s="69"/>
      <c r="I1517" s="140"/>
      <c r="J1517" s="446"/>
      <c r="K1517" s="140"/>
      <c r="L1517" s="140"/>
      <c r="M1517" s="140"/>
      <c r="N1517" s="74">
        <f t="shared" si="6"/>
        <v>0</v>
      </c>
      <c r="O1517" s="60">
        <f t="shared" si="2"/>
        <v>0</v>
      </c>
      <c r="P1517" s="65" t="str">
        <f>VLOOKUP(I1517,DATABASE!C:Q,11,FALSE)</f>
        <v>#N/A</v>
      </c>
      <c r="Q1517" s="65" t="str">
        <f>VLOOKUP(I1517,DATABASE!C:Q,4,FALSE)</f>
        <v>#N/A</v>
      </c>
      <c r="R1517" s="101"/>
      <c r="U1517" s="101"/>
    </row>
    <row r="1518" ht="22.5" customHeight="1">
      <c r="A1518" s="49"/>
      <c r="C1518" s="192"/>
      <c r="D1518" s="192"/>
      <c r="E1518" s="69"/>
      <c r="F1518" s="243"/>
      <c r="G1518" s="69"/>
      <c r="H1518" s="69"/>
      <c r="I1518" s="140"/>
      <c r="J1518" s="446"/>
      <c r="K1518" s="140"/>
      <c r="L1518" s="140"/>
      <c r="M1518" s="140"/>
      <c r="N1518" s="74">
        <f t="shared" si="6"/>
        <v>0</v>
      </c>
      <c r="O1518" s="60">
        <f t="shared" si="2"/>
        <v>0</v>
      </c>
      <c r="P1518" s="65" t="str">
        <f>VLOOKUP(I1518,DATABASE!C:Q,11,FALSE)</f>
        <v>#N/A</v>
      </c>
      <c r="Q1518" s="65" t="str">
        <f>VLOOKUP(I1518,DATABASE!C:Q,4,FALSE)</f>
        <v>#N/A</v>
      </c>
      <c r="R1518" s="101"/>
      <c r="U1518" s="101"/>
    </row>
    <row r="1519" ht="22.5" customHeight="1">
      <c r="A1519" s="49"/>
      <c r="C1519" s="192"/>
      <c r="D1519" s="192"/>
      <c r="E1519" s="69"/>
      <c r="F1519" s="243"/>
      <c r="G1519" s="69"/>
      <c r="H1519" s="69"/>
      <c r="I1519" s="140"/>
      <c r="J1519" s="446"/>
      <c r="K1519" s="140"/>
      <c r="L1519" s="140"/>
      <c r="M1519" s="140"/>
      <c r="N1519" s="74">
        <f t="shared" si="6"/>
        <v>0</v>
      </c>
      <c r="O1519" s="60">
        <f t="shared" si="2"/>
        <v>0</v>
      </c>
      <c r="P1519" s="65" t="str">
        <f>VLOOKUP(I1519,DATABASE!C:Q,11,FALSE)</f>
        <v>#N/A</v>
      </c>
      <c r="Q1519" s="65" t="str">
        <f>VLOOKUP(I1519,DATABASE!C:Q,4,FALSE)</f>
        <v>#N/A</v>
      </c>
      <c r="R1519" s="101"/>
      <c r="U1519" s="101"/>
    </row>
    <row r="1520" ht="22.5" customHeight="1">
      <c r="A1520" s="49"/>
      <c r="C1520" s="192"/>
      <c r="D1520" s="192"/>
      <c r="E1520" s="69"/>
      <c r="F1520" s="243"/>
      <c r="G1520" s="69"/>
      <c r="H1520" s="69"/>
      <c r="I1520" s="140"/>
      <c r="J1520" s="446"/>
      <c r="K1520" s="140"/>
      <c r="L1520" s="140"/>
      <c r="M1520" s="140"/>
      <c r="N1520" s="74">
        <f t="shared" si="6"/>
        <v>0</v>
      </c>
      <c r="O1520" s="60">
        <f t="shared" si="2"/>
        <v>0</v>
      </c>
      <c r="P1520" s="65" t="str">
        <f>VLOOKUP(I1520,DATABASE!C:Q,11,FALSE)</f>
        <v>#N/A</v>
      </c>
      <c r="Q1520" s="65" t="str">
        <f>VLOOKUP(I1520,DATABASE!C:Q,4,FALSE)</f>
        <v>#N/A</v>
      </c>
      <c r="R1520" s="101"/>
      <c r="U1520" s="101"/>
    </row>
    <row r="1521" ht="22.5" customHeight="1">
      <c r="A1521" s="49"/>
      <c r="C1521" s="192"/>
      <c r="D1521" s="192"/>
      <c r="E1521" s="69"/>
      <c r="F1521" s="243"/>
      <c r="G1521" s="69"/>
      <c r="H1521" s="69"/>
      <c r="I1521" s="140"/>
      <c r="J1521" s="446"/>
      <c r="K1521" s="140"/>
      <c r="L1521" s="140"/>
      <c r="M1521" s="140"/>
      <c r="N1521" s="74">
        <f t="shared" si="6"/>
        <v>0</v>
      </c>
      <c r="O1521" s="60">
        <f t="shared" si="2"/>
        <v>0</v>
      </c>
      <c r="P1521" s="65" t="str">
        <f>VLOOKUP(I1521,DATABASE!C:Q,11,FALSE)</f>
        <v>#N/A</v>
      </c>
      <c r="Q1521" s="65" t="str">
        <f>VLOOKUP(I1521,DATABASE!C:Q,4,FALSE)</f>
        <v>#N/A</v>
      </c>
      <c r="R1521" s="101"/>
      <c r="U1521" s="101"/>
    </row>
    <row r="1522" ht="22.5" customHeight="1">
      <c r="A1522" s="49"/>
      <c r="C1522" s="192"/>
      <c r="D1522" s="192"/>
      <c r="E1522" s="69"/>
      <c r="F1522" s="243"/>
      <c r="G1522" s="69"/>
      <c r="H1522" s="69"/>
      <c r="I1522" s="140"/>
      <c r="J1522" s="446"/>
      <c r="K1522" s="140"/>
      <c r="L1522" s="140"/>
      <c r="M1522" s="140"/>
      <c r="N1522" s="74">
        <f t="shared" si="6"/>
        <v>0</v>
      </c>
      <c r="O1522" s="60">
        <f t="shared" si="2"/>
        <v>0</v>
      </c>
      <c r="P1522" s="65" t="str">
        <f>VLOOKUP(I1522,DATABASE!C:Q,11,FALSE)</f>
        <v>#N/A</v>
      </c>
      <c r="Q1522" s="65" t="str">
        <f>VLOOKUP(I1522,DATABASE!C:Q,4,FALSE)</f>
        <v>#N/A</v>
      </c>
      <c r="R1522" s="101"/>
      <c r="U1522" s="101"/>
    </row>
    <row r="1523" ht="22.5" customHeight="1">
      <c r="A1523" s="49"/>
      <c r="C1523" s="192"/>
      <c r="D1523" s="192"/>
      <c r="E1523" s="69"/>
      <c r="F1523" s="243"/>
      <c r="G1523" s="69"/>
      <c r="H1523" s="69"/>
      <c r="I1523" s="140"/>
      <c r="J1523" s="446"/>
      <c r="K1523" s="140"/>
      <c r="L1523" s="140"/>
      <c r="M1523" s="140"/>
      <c r="N1523" s="74">
        <f t="shared" si="6"/>
        <v>0</v>
      </c>
      <c r="O1523" s="60">
        <f t="shared" si="2"/>
        <v>0</v>
      </c>
      <c r="P1523" s="65" t="str">
        <f>VLOOKUP(I1523,DATABASE!C:Q,11,FALSE)</f>
        <v>#N/A</v>
      </c>
      <c r="Q1523" s="65" t="str">
        <f>VLOOKUP(I1523,DATABASE!C:Q,4,FALSE)</f>
        <v>#N/A</v>
      </c>
      <c r="R1523" s="101"/>
      <c r="U1523" s="101"/>
    </row>
    <row r="1524" ht="22.5" customHeight="1">
      <c r="A1524" s="49"/>
      <c r="C1524" s="192"/>
      <c r="D1524" s="192"/>
      <c r="E1524" s="69"/>
      <c r="F1524" s="243"/>
      <c r="G1524" s="69"/>
      <c r="H1524" s="69"/>
      <c r="I1524" s="140"/>
      <c r="J1524" s="446"/>
      <c r="K1524" s="140"/>
      <c r="L1524" s="140"/>
      <c r="M1524" s="140"/>
      <c r="N1524" s="74">
        <f t="shared" si="6"/>
        <v>0</v>
      </c>
      <c r="O1524" s="60">
        <f t="shared" si="2"/>
        <v>0</v>
      </c>
      <c r="P1524" s="65" t="str">
        <f>VLOOKUP(I1524,DATABASE!C:Q,11,FALSE)</f>
        <v>#N/A</v>
      </c>
      <c r="Q1524" s="65" t="str">
        <f>VLOOKUP(I1524,DATABASE!C:Q,4,FALSE)</f>
        <v>#N/A</v>
      </c>
      <c r="R1524" s="101"/>
      <c r="U1524" s="101"/>
    </row>
    <row r="1525" ht="22.5" customHeight="1">
      <c r="A1525" s="49"/>
      <c r="C1525" s="192"/>
      <c r="D1525" s="192"/>
      <c r="E1525" s="69"/>
      <c r="F1525" s="243"/>
      <c r="G1525" s="69"/>
      <c r="H1525" s="69"/>
      <c r="I1525" s="140"/>
      <c r="J1525" s="446"/>
      <c r="K1525" s="140"/>
      <c r="L1525" s="140"/>
      <c r="M1525" s="140"/>
      <c r="N1525" s="74">
        <f t="shared" si="6"/>
        <v>0</v>
      </c>
      <c r="O1525" s="60">
        <f t="shared" si="2"/>
        <v>0</v>
      </c>
      <c r="P1525" s="65" t="str">
        <f>VLOOKUP(I1525,DATABASE!C:Q,11,FALSE)</f>
        <v>#N/A</v>
      </c>
      <c r="Q1525" s="65" t="str">
        <f>VLOOKUP(I1525,DATABASE!C:Q,4,FALSE)</f>
        <v>#N/A</v>
      </c>
      <c r="R1525" s="101"/>
      <c r="U1525" s="101"/>
    </row>
    <row r="1526" ht="22.5" customHeight="1">
      <c r="A1526" s="49"/>
      <c r="C1526" s="192"/>
      <c r="D1526" s="192"/>
      <c r="E1526" s="69"/>
      <c r="F1526" s="243"/>
      <c r="G1526" s="69"/>
      <c r="H1526" s="69"/>
      <c r="I1526" s="140"/>
      <c r="J1526" s="446"/>
      <c r="K1526" s="140"/>
      <c r="L1526" s="140"/>
      <c r="M1526" s="140"/>
      <c r="N1526" s="74">
        <f t="shared" si="6"/>
        <v>0</v>
      </c>
      <c r="O1526" s="60">
        <f t="shared" si="2"/>
        <v>0</v>
      </c>
      <c r="P1526" s="65" t="str">
        <f>VLOOKUP(I1526,DATABASE!C:Q,11,FALSE)</f>
        <v>#N/A</v>
      </c>
      <c r="Q1526" s="65" t="str">
        <f>VLOOKUP(I1526,DATABASE!C:Q,4,FALSE)</f>
        <v>#N/A</v>
      </c>
      <c r="R1526" s="101"/>
      <c r="U1526" s="101"/>
    </row>
    <row r="1527" ht="22.5" customHeight="1">
      <c r="A1527" s="49"/>
      <c r="C1527" s="192"/>
      <c r="D1527" s="192"/>
      <c r="E1527" s="69"/>
      <c r="F1527" s="243"/>
      <c r="G1527" s="69"/>
      <c r="H1527" s="69"/>
      <c r="I1527" s="140"/>
      <c r="J1527" s="446"/>
      <c r="K1527" s="140"/>
      <c r="L1527" s="140"/>
      <c r="M1527" s="140"/>
      <c r="N1527" s="74">
        <f t="shared" si="6"/>
        <v>0</v>
      </c>
      <c r="O1527" s="60">
        <f t="shared" si="2"/>
        <v>0</v>
      </c>
      <c r="P1527" s="65" t="str">
        <f>VLOOKUP(I1527,DATABASE!C:Q,11,FALSE)</f>
        <v>#N/A</v>
      </c>
      <c r="Q1527" s="65" t="str">
        <f>VLOOKUP(I1527,DATABASE!C:Q,4,FALSE)</f>
        <v>#N/A</v>
      </c>
      <c r="R1527" s="101"/>
      <c r="U1527" s="101"/>
    </row>
    <row r="1528" ht="22.5" customHeight="1">
      <c r="A1528" s="49"/>
      <c r="C1528" s="192"/>
      <c r="D1528" s="192"/>
      <c r="E1528" s="69"/>
      <c r="F1528" s="243"/>
      <c r="G1528" s="69"/>
      <c r="H1528" s="69"/>
      <c r="I1528" s="140"/>
      <c r="J1528" s="446"/>
      <c r="K1528" s="140"/>
      <c r="L1528" s="140"/>
      <c r="M1528" s="140"/>
      <c r="N1528" s="74">
        <f t="shared" si="6"/>
        <v>0</v>
      </c>
      <c r="O1528" s="60">
        <f t="shared" si="2"/>
        <v>0</v>
      </c>
      <c r="P1528" s="65" t="str">
        <f>VLOOKUP(I1528,DATABASE!C:Q,11,FALSE)</f>
        <v>#N/A</v>
      </c>
      <c r="Q1528" s="65" t="str">
        <f>VLOOKUP(I1528,DATABASE!C:Q,4,FALSE)</f>
        <v>#N/A</v>
      </c>
      <c r="R1528" s="101"/>
      <c r="U1528" s="101"/>
    </row>
    <row r="1529" ht="22.5" customHeight="1">
      <c r="A1529" s="49"/>
      <c r="C1529" s="192"/>
      <c r="D1529" s="192"/>
      <c r="E1529" s="69"/>
      <c r="F1529" s="243"/>
      <c r="G1529" s="69"/>
      <c r="H1529" s="69"/>
      <c r="I1529" s="140"/>
      <c r="J1529" s="446"/>
      <c r="K1529" s="140"/>
      <c r="L1529" s="140"/>
      <c r="M1529" s="140"/>
      <c r="N1529" s="74">
        <f t="shared" si="6"/>
        <v>0</v>
      </c>
      <c r="O1529" s="60">
        <f t="shared" si="2"/>
        <v>0</v>
      </c>
      <c r="P1529" s="65" t="str">
        <f>VLOOKUP(I1529,DATABASE!C:Q,11,FALSE)</f>
        <v>#N/A</v>
      </c>
      <c r="Q1529" s="65" t="str">
        <f>VLOOKUP(I1529,DATABASE!C:Q,4,FALSE)</f>
        <v>#N/A</v>
      </c>
      <c r="R1529" s="101"/>
      <c r="U1529" s="101"/>
    </row>
    <row r="1530" ht="22.5" customHeight="1">
      <c r="A1530" s="49"/>
      <c r="C1530" s="192"/>
      <c r="D1530" s="192"/>
      <c r="E1530" s="69"/>
      <c r="F1530" s="243"/>
      <c r="G1530" s="69"/>
      <c r="H1530" s="69"/>
      <c r="I1530" s="140"/>
      <c r="J1530" s="446"/>
      <c r="K1530" s="140"/>
      <c r="L1530" s="140"/>
      <c r="M1530" s="140"/>
      <c r="N1530" s="74">
        <f t="shared" si="6"/>
        <v>0</v>
      </c>
      <c r="O1530" s="60">
        <f t="shared" si="2"/>
        <v>0</v>
      </c>
      <c r="P1530" s="65" t="str">
        <f>VLOOKUP(I1530,DATABASE!C:Q,11,FALSE)</f>
        <v>#N/A</v>
      </c>
      <c r="Q1530" s="65" t="str">
        <f>VLOOKUP(I1530,DATABASE!C:Q,4,FALSE)</f>
        <v>#N/A</v>
      </c>
      <c r="R1530" s="101"/>
      <c r="U1530" s="101"/>
    </row>
    <row r="1531" ht="22.5" customHeight="1">
      <c r="A1531" s="49"/>
      <c r="C1531" s="192"/>
      <c r="D1531" s="192"/>
      <c r="E1531" s="69"/>
      <c r="F1531" s="243"/>
      <c r="G1531" s="69"/>
      <c r="H1531" s="69"/>
      <c r="I1531" s="140"/>
      <c r="J1531" s="446"/>
      <c r="K1531" s="140"/>
      <c r="L1531" s="140"/>
      <c r="M1531" s="140"/>
      <c r="N1531" s="74">
        <f t="shared" si="6"/>
        <v>0</v>
      </c>
      <c r="O1531" s="60">
        <f t="shared" si="2"/>
        <v>0</v>
      </c>
      <c r="P1531" s="65" t="str">
        <f>VLOOKUP(I1531,DATABASE!C:Q,11,FALSE)</f>
        <v>#N/A</v>
      </c>
      <c r="Q1531" s="65" t="str">
        <f>VLOOKUP(I1531,DATABASE!C:Q,4,FALSE)</f>
        <v>#N/A</v>
      </c>
      <c r="R1531" s="101"/>
      <c r="U1531" s="101"/>
    </row>
    <row r="1532" ht="22.5" customHeight="1">
      <c r="A1532" s="49"/>
      <c r="C1532" s="192"/>
      <c r="D1532" s="192"/>
      <c r="E1532" s="69"/>
      <c r="F1532" s="243"/>
      <c r="G1532" s="69"/>
      <c r="H1532" s="69"/>
      <c r="I1532" s="140"/>
      <c r="J1532" s="446"/>
      <c r="K1532" s="140"/>
      <c r="L1532" s="140"/>
      <c r="M1532" s="140"/>
      <c r="N1532" s="74">
        <f t="shared" si="6"/>
        <v>0</v>
      </c>
      <c r="O1532" s="60">
        <f t="shared" si="2"/>
        <v>0</v>
      </c>
      <c r="P1532" s="65" t="str">
        <f>VLOOKUP(I1532,DATABASE!C:Q,11,FALSE)</f>
        <v>#N/A</v>
      </c>
      <c r="Q1532" s="65" t="str">
        <f>VLOOKUP(I1532,DATABASE!C:Q,4,FALSE)</f>
        <v>#N/A</v>
      </c>
      <c r="R1532" s="101"/>
      <c r="U1532" s="101"/>
    </row>
    <row r="1533" ht="22.5" customHeight="1">
      <c r="A1533" s="49"/>
      <c r="C1533" s="192"/>
      <c r="D1533" s="192"/>
      <c r="E1533" s="69"/>
      <c r="F1533" s="243"/>
      <c r="G1533" s="69"/>
      <c r="H1533" s="69"/>
      <c r="I1533" s="140"/>
      <c r="J1533" s="446"/>
      <c r="K1533" s="140"/>
      <c r="L1533" s="140"/>
      <c r="M1533" s="140"/>
      <c r="N1533" s="74">
        <f t="shared" si="6"/>
        <v>0</v>
      </c>
      <c r="O1533" s="60">
        <f t="shared" si="2"/>
        <v>0</v>
      </c>
      <c r="P1533" s="65" t="str">
        <f>VLOOKUP(I1533,DATABASE!C:Q,11,FALSE)</f>
        <v>#N/A</v>
      </c>
      <c r="Q1533" s="65" t="str">
        <f>VLOOKUP(I1533,DATABASE!C:Q,4,FALSE)</f>
        <v>#N/A</v>
      </c>
      <c r="R1533" s="101"/>
      <c r="U1533" s="101"/>
    </row>
    <row r="1534" ht="22.5" customHeight="1">
      <c r="A1534" s="49"/>
      <c r="C1534" s="192"/>
      <c r="D1534" s="192"/>
      <c r="E1534" s="69"/>
      <c r="F1534" s="243"/>
      <c r="G1534" s="69"/>
      <c r="H1534" s="69"/>
      <c r="I1534" s="140"/>
      <c r="J1534" s="446"/>
      <c r="K1534" s="140"/>
      <c r="L1534" s="140"/>
      <c r="M1534" s="140"/>
      <c r="N1534" s="74">
        <f t="shared" si="6"/>
        <v>0</v>
      </c>
      <c r="O1534" s="60">
        <f t="shared" si="2"/>
        <v>0</v>
      </c>
      <c r="P1534" s="65" t="str">
        <f>VLOOKUP(I1534,DATABASE!C:Q,11,FALSE)</f>
        <v>#N/A</v>
      </c>
      <c r="Q1534" s="65" t="str">
        <f>VLOOKUP(I1534,DATABASE!C:Q,4,FALSE)</f>
        <v>#N/A</v>
      </c>
      <c r="R1534" s="101"/>
      <c r="U1534" s="101"/>
    </row>
    <row r="1535" ht="22.5" customHeight="1">
      <c r="A1535" s="49"/>
      <c r="C1535" s="192"/>
      <c r="D1535" s="192"/>
      <c r="E1535" s="69"/>
      <c r="F1535" s="243"/>
      <c r="G1535" s="69"/>
      <c r="H1535" s="69"/>
      <c r="I1535" s="140"/>
      <c r="J1535" s="446"/>
      <c r="K1535" s="140"/>
      <c r="L1535" s="140"/>
      <c r="M1535" s="140"/>
      <c r="N1535" s="74">
        <f t="shared" si="6"/>
        <v>0</v>
      </c>
      <c r="O1535" s="60">
        <f t="shared" si="2"/>
        <v>0</v>
      </c>
      <c r="P1535" s="65" t="str">
        <f>VLOOKUP(I1535,DATABASE!C:Q,11,FALSE)</f>
        <v>#N/A</v>
      </c>
      <c r="Q1535" s="65" t="str">
        <f>VLOOKUP(I1535,DATABASE!C:Q,4,FALSE)</f>
        <v>#N/A</v>
      </c>
      <c r="R1535" s="101"/>
      <c r="U1535" s="101"/>
    </row>
    <row r="1536" ht="22.5" customHeight="1">
      <c r="A1536" s="49"/>
      <c r="C1536" s="192"/>
      <c r="D1536" s="192"/>
      <c r="E1536" s="69"/>
      <c r="F1536" s="243"/>
      <c r="G1536" s="69"/>
      <c r="H1536" s="69"/>
      <c r="I1536" s="140"/>
      <c r="J1536" s="446"/>
      <c r="K1536" s="140"/>
      <c r="L1536" s="140"/>
      <c r="M1536" s="140"/>
      <c r="N1536" s="74">
        <f t="shared" si="6"/>
        <v>0</v>
      </c>
      <c r="O1536" s="60">
        <f t="shared" si="2"/>
        <v>0</v>
      </c>
      <c r="P1536" s="65" t="str">
        <f>VLOOKUP(I1536,DATABASE!C:Q,11,FALSE)</f>
        <v>#N/A</v>
      </c>
      <c r="Q1536" s="65" t="str">
        <f>VLOOKUP(I1536,DATABASE!C:Q,4,FALSE)</f>
        <v>#N/A</v>
      </c>
      <c r="R1536" s="101"/>
      <c r="U1536" s="101"/>
    </row>
    <row r="1537" ht="22.5" customHeight="1">
      <c r="A1537" s="49"/>
      <c r="C1537" s="192"/>
      <c r="D1537" s="192"/>
      <c r="E1537" s="69"/>
      <c r="F1537" s="243"/>
      <c r="G1537" s="69"/>
      <c r="H1537" s="69"/>
      <c r="I1537" s="140"/>
      <c r="J1537" s="446"/>
      <c r="K1537" s="140"/>
      <c r="L1537" s="140"/>
      <c r="M1537" s="140"/>
      <c r="N1537" s="74">
        <f t="shared" si="6"/>
        <v>0</v>
      </c>
      <c r="O1537" s="60">
        <f t="shared" si="2"/>
        <v>0</v>
      </c>
      <c r="P1537" s="65" t="str">
        <f>VLOOKUP(I1537,DATABASE!C:Q,11,FALSE)</f>
        <v>#N/A</v>
      </c>
      <c r="Q1537" s="65" t="str">
        <f>VLOOKUP(I1537,DATABASE!C:Q,4,FALSE)</f>
        <v>#N/A</v>
      </c>
      <c r="R1537" s="101"/>
      <c r="U1537" s="101"/>
    </row>
    <row r="1538" ht="22.5" customHeight="1">
      <c r="A1538" s="49"/>
      <c r="C1538" s="192"/>
      <c r="D1538" s="192"/>
      <c r="E1538" s="69"/>
      <c r="F1538" s="243"/>
      <c r="G1538" s="69"/>
      <c r="H1538" s="69"/>
      <c r="I1538" s="140"/>
      <c r="J1538" s="446"/>
      <c r="K1538" s="140"/>
      <c r="L1538" s="140"/>
      <c r="M1538" s="140"/>
      <c r="N1538" s="74">
        <f t="shared" si="6"/>
        <v>0</v>
      </c>
      <c r="O1538" s="60">
        <f t="shared" si="2"/>
        <v>0</v>
      </c>
      <c r="P1538" s="65" t="str">
        <f>VLOOKUP(I1538,DATABASE!C:Q,11,FALSE)</f>
        <v>#N/A</v>
      </c>
      <c r="Q1538" s="65" t="str">
        <f>VLOOKUP(I1538,DATABASE!C:Q,4,FALSE)</f>
        <v>#N/A</v>
      </c>
      <c r="R1538" s="101"/>
      <c r="U1538" s="101"/>
    </row>
    <row r="1539" ht="22.5" customHeight="1">
      <c r="A1539" s="49"/>
      <c r="C1539" s="192"/>
      <c r="D1539" s="192"/>
      <c r="E1539" s="69"/>
      <c r="F1539" s="243"/>
      <c r="G1539" s="69"/>
      <c r="H1539" s="69"/>
      <c r="I1539" s="140"/>
      <c r="J1539" s="446"/>
      <c r="K1539" s="140"/>
      <c r="L1539" s="140"/>
      <c r="M1539" s="140"/>
      <c r="N1539" s="74">
        <f t="shared" si="6"/>
        <v>0</v>
      </c>
      <c r="O1539" s="60">
        <f t="shared" si="2"/>
        <v>0</v>
      </c>
      <c r="P1539" s="65" t="str">
        <f>VLOOKUP(I1539,DATABASE!C:Q,11,FALSE)</f>
        <v>#N/A</v>
      </c>
      <c r="Q1539" s="65" t="str">
        <f>VLOOKUP(I1539,DATABASE!C:Q,4,FALSE)</f>
        <v>#N/A</v>
      </c>
      <c r="R1539" s="101"/>
      <c r="U1539" s="101"/>
    </row>
    <row r="1540" ht="22.5" customHeight="1">
      <c r="A1540" s="49"/>
      <c r="C1540" s="192"/>
      <c r="D1540" s="192"/>
      <c r="E1540" s="69"/>
      <c r="F1540" s="243"/>
      <c r="G1540" s="69"/>
      <c r="H1540" s="69"/>
      <c r="I1540" s="140"/>
      <c r="J1540" s="446"/>
      <c r="K1540" s="140"/>
      <c r="L1540" s="140"/>
      <c r="M1540" s="140"/>
      <c r="N1540" s="74">
        <f t="shared" si="6"/>
        <v>0</v>
      </c>
      <c r="O1540" s="60">
        <f t="shared" si="2"/>
        <v>0</v>
      </c>
      <c r="P1540" s="65" t="str">
        <f>VLOOKUP(I1540,DATABASE!C:Q,11,FALSE)</f>
        <v>#N/A</v>
      </c>
      <c r="Q1540" s="65" t="str">
        <f>VLOOKUP(I1540,DATABASE!C:Q,4,FALSE)</f>
        <v>#N/A</v>
      </c>
      <c r="R1540" s="101"/>
      <c r="U1540" s="101"/>
    </row>
    <row r="1541" ht="22.5" customHeight="1">
      <c r="A1541" s="49"/>
      <c r="C1541" s="192"/>
      <c r="D1541" s="192"/>
      <c r="E1541" s="69"/>
      <c r="F1541" s="243"/>
      <c r="G1541" s="69"/>
      <c r="H1541" s="69"/>
      <c r="I1541" s="140"/>
      <c r="J1541" s="446"/>
      <c r="K1541" s="140"/>
      <c r="L1541" s="140"/>
      <c r="M1541" s="140"/>
      <c r="N1541" s="74">
        <f t="shared" si="6"/>
        <v>0</v>
      </c>
      <c r="O1541" s="60">
        <f t="shared" si="2"/>
        <v>0</v>
      </c>
      <c r="P1541" s="65" t="str">
        <f>VLOOKUP(I1541,DATABASE!C:Q,11,FALSE)</f>
        <v>#N/A</v>
      </c>
      <c r="Q1541" s="65" t="str">
        <f>VLOOKUP(I1541,DATABASE!C:Q,4,FALSE)</f>
        <v>#N/A</v>
      </c>
      <c r="R1541" s="101"/>
      <c r="U1541" s="101"/>
    </row>
    <row r="1542" ht="22.5" customHeight="1">
      <c r="A1542" s="49"/>
      <c r="C1542" s="192"/>
      <c r="D1542" s="192"/>
      <c r="E1542" s="69"/>
      <c r="F1542" s="243"/>
      <c r="G1542" s="69"/>
      <c r="H1542" s="69"/>
      <c r="I1542" s="140"/>
      <c r="J1542" s="446"/>
      <c r="K1542" s="140"/>
      <c r="L1542" s="140"/>
      <c r="M1542" s="140"/>
      <c r="N1542" s="74">
        <f t="shared" si="6"/>
        <v>0</v>
      </c>
      <c r="O1542" s="60">
        <f t="shared" si="2"/>
        <v>0</v>
      </c>
      <c r="P1542" s="65" t="str">
        <f>VLOOKUP(I1542,DATABASE!C:Q,11,FALSE)</f>
        <v>#N/A</v>
      </c>
      <c r="Q1542" s="65" t="str">
        <f>VLOOKUP(I1542,DATABASE!C:Q,4,FALSE)</f>
        <v>#N/A</v>
      </c>
      <c r="R1542" s="101"/>
      <c r="U1542" s="101"/>
    </row>
    <row r="1543" ht="22.5" customHeight="1">
      <c r="A1543" s="49"/>
      <c r="C1543" s="192"/>
      <c r="D1543" s="192"/>
      <c r="E1543" s="69"/>
      <c r="F1543" s="243"/>
      <c r="G1543" s="69"/>
      <c r="H1543" s="69"/>
      <c r="I1543" s="140"/>
      <c r="J1543" s="446"/>
      <c r="K1543" s="140"/>
      <c r="L1543" s="140"/>
      <c r="M1543" s="140"/>
      <c r="N1543" s="74">
        <f t="shared" si="6"/>
        <v>0</v>
      </c>
      <c r="O1543" s="60">
        <f t="shared" si="2"/>
        <v>0</v>
      </c>
      <c r="P1543" s="65" t="str">
        <f>VLOOKUP(I1543,DATABASE!C:Q,11,FALSE)</f>
        <v>#N/A</v>
      </c>
      <c r="Q1543" s="65" t="str">
        <f>VLOOKUP(I1543,DATABASE!C:Q,4,FALSE)</f>
        <v>#N/A</v>
      </c>
      <c r="R1543" s="101"/>
      <c r="U1543" s="101"/>
    </row>
    <row r="1544" ht="22.5" customHeight="1">
      <c r="A1544" s="49"/>
      <c r="C1544" s="192"/>
      <c r="D1544" s="192"/>
      <c r="E1544" s="69"/>
      <c r="F1544" s="243"/>
      <c r="G1544" s="69"/>
      <c r="H1544" s="69"/>
      <c r="I1544" s="140"/>
      <c r="J1544" s="446"/>
      <c r="K1544" s="140"/>
      <c r="L1544" s="140"/>
      <c r="M1544" s="140"/>
      <c r="N1544" s="74">
        <f t="shared" si="6"/>
        <v>0</v>
      </c>
      <c r="O1544" s="60">
        <f t="shared" si="2"/>
        <v>0</v>
      </c>
      <c r="P1544" s="65" t="str">
        <f>VLOOKUP(I1544,DATABASE!C:Q,11,FALSE)</f>
        <v>#N/A</v>
      </c>
      <c r="Q1544" s="65" t="str">
        <f>VLOOKUP(I1544,DATABASE!C:Q,4,FALSE)</f>
        <v>#N/A</v>
      </c>
      <c r="R1544" s="101"/>
      <c r="U1544" s="101"/>
    </row>
    <row r="1545" ht="22.5" customHeight="1">
      <c r="A1545" s="49"/>
      <c r="C1545" s="192"/>
      <c r="D1545" s="192"/>
      <c r="E1545" s="69"/>
      <c r="F1545" s="243"/>
      <c r="G1545" s="69"/>
      <c r="H1545" s="69"/>
      <c r="I1545" s="140"/>
      <c r="J1545" s="446"/>
      <c r="K1545" s="140"/>
      <c r="L1545" s="140"/>
      <c r="M1545" s="140"/>
      <c r="N1545" s="74">
        <f t="shared" si="6"/>
        <v>0</v>
      </c>
      <c r="O1545" s="60">
        <f t="shared" si="2"/>
        <v>0</v>
      </c>
      <c r="P1545" s="65" t="str">
        <f>VLOOKUP(I1545,DATABASE!C:Q,11,FALSE)</f>
        <v>#N/A</v>
      </c>
      <c r="Q1545" s="65" t="str">
        <f>VLOOKUP(I1545,DATABASE!C:Q,4,FALSE)</f>
        <v>#N/A</v>
      </c>
      <c r="R1545" s="101"/>
      <c r="U1545" s="101"/>
    </row>
    <row r="1546" ht="22.5" customHeight="1">
      <c r="A1546" s="49"/>
      <c r="C1546" s="192"/>
      <c r="D1546" s="192"/>
      <c r="E1546" s="69"/>
      <c r="F1546" s="243"/>
      <c r="G1546" s="69"/>
      <c r="H1546" s="69"/>
      <c r="I1546" s="140"/>
      <c r="J1546" s="446"/>
      <c r="K1546" s="140"/>
      <c r="L1546" s="140"/>
      <c r="M1546" s="140"/>
      <c r="N1546" s="74">
        <f t="shared" si="6"/>
        <v>0</v>
      </c>
      <c r="O1546" s="60">
        <f t="shared" si="2"/>
        <v>0</v>
      </c>
      <c r="P1546" s="65" t="str">
        <f>VLOOKUP(I1546,DATABASE!C:Q,11,FALSE)</f>
        <v>#N/A</v>
      </c>
      <c r="Q1546" s="65" t="str">
        <f>VLOOKUP(I1546,DATABASE!C:Q,4,FALSE)</f>
        <v>#N/A</v>
      </c>
      <c r="R1546" s="101"/>
      <c r="U1546" s="101"/>
    </row>
    <row r="1547" ht="22.5" customHeight="1">
      <c r="A1547" s="49"/>
      <c r="C1547" s="192"/>
      <c r="D1547" s="192"/>
      <c r="E1547" s="69"/>
      <c r="F1547" s="243"/>
      <c r="G1547" s="69"/>
      <c r="H1547" s="69"/>
      <c r="I1547" s="140"/>
      <c r="J1547" s="446"/>
      <c r="K1547" s="140"/>
      <c r="L1547" s="140"/>
      <c r="M1547" s="140"/>
      <c r="N1547" s="74">
        <f t="shared" si="6"/>
        <v>0</v>
      </c>
      <c r="O1547" s="60">
        <f t="shared" si="2"/>
        <v>0</v>
      </c>
      <c r="P1547" s="65" t="str">
        <f>VLOOKUP(I1547,DATABASE!C:Q,11,FALSE)</f>
        <v>#N/A</v>
      </c>
      <c r="Q1547" s="65" t="str">
        <f>VLOOKUP(I1547,DATABASE!C:Q,4,FALSE)</f>
        <v>#N/A</v>
      </c>
      <c r="R1547" s="101"/>
      <c r="U1547" s="101"/>
    </row>
    <row r="1548" ht="22.5" customHeight="1">
      <c r="A1548" s="49"/>
      <c r="C1548" s="192"/>
      <c r="D1548" s="192"/>
      <c r="E1548" s="69"/>
      <c r="F1548" s="243"/>
      <c r="G1548" s="69"/>
      <c r="H1548" s="69"/>
      <c r="I1548" s="140"/>
      <c r="J1548" s="446"/>
      <c r="K1548" s="140"/>
      <c r="L1548" s="140"/>
      <c r="M1548" s="140"/>
      <c r="N1548" s="74">
        <f t="shared" si="6"/>
        <v>0</v>
      </c>
      <c r="O1548" s="60">
        <f t="shared" si="2"/>
        <v>0</v>
      </c>
      <c r="P1548" s="65" t="str">
        <f>VLOOKUP(I1548,DATABASE!C:Q,11,FALSE)</f>
        <v>#N/A</v>
      </c>
      <c r="Q1548" s="65" t="str">
        <f>VLOOKUP(I1548,DATABASE!C:Q,4,FALSE)</f>
        <v>#N/A</v>
      </c>
      <c r="R1548" s="101"/>
      <c r="U1548" s="101"/>
    </row>
    <row r="1549" ht="22.5" customHeight="1">
      <c r="A1549" s="49"/>
      <c r="C1549" s="192"/>
      <c r="D1549" s="192"/>
      <c r="E1549" s="69"/>
      <c r="F1549" s="243"/>
      <c r="G1549" s="69"/>
      <c r="H1549" s="69"/>
      <c r="I1549" s="140"/>
      <c r="J1549" s="446"/>
      <c r="K1549" s="140"/>
      <c r="L1549" s="140"/>
      <c r="M1549" s="140"/>
      <c r="N1549" s="74">
        <f t="shared" si="6"/>
        <v>0</v>
      </c>
      <c r="O1549" s="60">
        <f t="shared" si="2"/>
        <v>0</v>
      </c>
      <c r="P1549" s="65" t="str">
        <f>VLOOKUP(I1549,DATABASE!C:Q,11,FALSE)</f>
        <v>#N/A</v>
      </c>
      <c r="Q1549" s="65" t="str">
        <f>VLOOKUP(I1549,DATABASE!C:Q,4,FALSE)</f>
        <v>#N/A</v>
      </c>
      <c r="R1549" s="101"/>
      <c r="U1549" s="101"/>
    </row>
    <row r="1550" ht="22.5" customHeight="1">
      <c r="A1550" s="49"/>
      <c r="C1550" s="192"/>
      <c r="D1550" s="192"/>
      <c r="E1550" s="69"/>
      <c r="F1550" s="243"/>
      <c r="G1550" s="69"/>
      <c r="H1550" s="69"/>
      <c r="I1550" s="140"/>
      <c r="J1550" s="446"/>
      <c r="K1550" s="140"/>
      <c r="L1550" s="140"/>
      <c r="M1550" s="140"/>
      <c r="N1550" s="74">
        <f t="shared" si="6"/>
        <v>0</v>
      </c>
      <c r="O1550" s="60">
        <f t="shared" si="2"/>
        <v>0</v>
      </c>
      <c r="P1550" s="65" t="str">
        <f>VLOOKUP(I1550,DATABASE!C:Q,11,FALSE)</f>
        <v>#N/A</v>
      </c>
      <c r="Q1550" s="65" t="str">
        <f>VLOOKUP(I1550,DATABASE!C:Q,4,FALSE)</f>
        <v>#N/A</v>
      </c>
      <c r="R1550" s="101"/>
      <c r="U1550" s="101"/>
    </row>
    <row r="1551" ht="22.5" customHeight="1">
      <c r="A1551" s="49"/>
      <c r="C1551" s="192"/>
      <c r="D1551" s="192"/>
      <c r="E1551" s="69"/>
      <c r="F1551" s="243"/>
      <c r="G1551" s="69"/>
      <c r="H1551" s="69"/>
      <c r="I1551" s="140"/>
      <c r="J1551" s="446"/>
      <c r="K1551" s="140"/>
      <c r="L1551" s="140"/>
      <c r="M1551" s="140"/>
      <c r="N1551" s="74">
        <f t="shared" si="6"/>
        <v>0</v>
      </c>
      <c r="O1551" s="60">
        <f t="shared" si="2"/>
        <v>0</v>
      </c>
      <c r="P1551" s="65" t="str">
        <f>VLOOKUP(I1551,DATABASE!C:Q,11,FALSE)</f>
        <v>#N/A</v>
      </c>
      <c r="Q1551" s="65" t="str">
        <f>VLOOKUP(I1551,DATABASE!C:Q,4,FALSE)</f>
        <v>#N/A</v>
      </c>
      <c r="R1551" s="101"/>
      <c r="U1551" s="101"/>
    </row>
    <row r="1552" ht="22.5" customHeight="1">
      <c r="A1552" s="49"/>
      <c r="C1552" s="192"/>
      <c r="D1552" s="192"/>
      <c r="E1552" s="69"/>
      <c r="F1552" s="243"/>
      <c r="G1552" s="69"/>
      <c r="H1552" s="69"/>
      <c r="I1552" s="140"/>
      <c r="J1552" s="446"/>
      <c r="K1552" s="140"/>
      <c r="L1552" s="140"/>
      <c r="M1552" s="140"/>
      <c r="N1552" s="74">
        <f t="shared" si="6"/>
        <v>0</v>
      </c>
      <c r="O1552" s="60">
        <f t="shared" si="2"/>
        <v>0</v>
      </c>
      <c r="P1552" s="65" t="str">
        <f>VLOOKUP(I1552,DATABASE!C:Q,11,FALSE)</f>
        <v>#N/A</v>
      </c>
      <c r="Q1552" s="65" t="str">
        <f>VLOOKUP(I1552,DATABASE!C:Q,4,FALSE)</f>
        <v>#N/A</v>
      </c>
      <c r="R1552" s="101"/>
      <c r="U1552" s="101"/>
    </row>
    <row r="1553" ht="22.5" customHeight="1">
      <c r="A1553" s="49"/>
      <c r="C1553" s="192"/>
      <c r="D1553" s="192"/>
      <c r="E1553" s="69"/>
      <c r="F1553" s="243"/>
      <c r="G1553" s="69"/>
      <c r="H1553" s="69"/>
      <c r="I1553" s="140"/>
      <c r="J1553" s="446"/>
      <c r="K1553" s="140"/>
      <c r="L1553" s="140"/>
      <c r="M1553" s="140"/>
      <c r="N1553" s="74">
        <f t="shared" si="6"/>
        <v>0</v>
      </c>
      <c r="O1553" s="60">
        <f t="shared" si="2"/>
        <v>0</v>
      </c>
      <c r="P1553" s="65" t="str">
        <f>VLOOKUP(I1553,DATABASE!C:Q,11,FALSE)</f>
        <v>#N/A</v>
      </c>
      <c r="Q1553" s="65" t="str">
        <f>VLOOKUP(I1553,DATABASE!C:Q,4,FALSE)</f>
        <v>#N/A</v>
      </c>
      <c r="R1553" s="101"/>
      <c r="U1553" s="101"/>
    </row>
    <row r="1554" ht="22.5" customHeight="1">
      <c r="A1554" s="49"/>
      <c r="C1554" s="192"/>
      <c r="D1554" s="192"/>
      <c r="E1554" s="69"/>
      <c r="F1554" s="243"/>
      <c r="G1554" s="69"/>
      <c r="H1554" s="69"/>
      <c r="I1554" s="140"/>
      <c r="J1554" s="446"/>
      <c r="K1554" s="140"/>
      <c r="L1554" s="140"/>
      <c r="M1554" s="140"/>
      <c r="N1554" s="74">
        <f t="shared" si="6"/>
        <v>0</v>
      </c>
      <c r="O1554" s="60">
        <f t="shared" si="2"/>
        <v>0</v>
      </c>
      <c r="P1554" s="65" t="str">
        <f>VLOOKUP(I1554,DATABASE!C:Q,11,FALSE)</f>
        <v>#N/A</v>
      </c>
      <c r="Q1554" s="65" t="str">
        <f>VLOOKUP(I1554,DATABASE!C:Q,4,FALSE)</f>
        <v>#N/A</v>
      </c>
      <c r="R1554" s="101"/>
      <c r="U1554" s="101"/>
    </row>
    <row r="1555" ht="22.5" customHeight="1">
      <c r="A1555" s="49"/>
      <c r="C1555" s="192"/>
      <c r="D1555" s="192"/>
      <c r="E1555" s="69"/>
      <c r="F1555" s="243"/>
      <c r="G1555" s="69"/>
      <c r="H1555" s="69"/>
      <c r="I1555" s="140"/>
      <c r="J1555" s="446"/>
      <c r="K1555" s="140"/>
      <c r="L1555" s="140"/>
      <c r="M1555" s="140"/>
      <c r="N1555" s="74">
        <f t="shared" si="6"/>
        <v>0</v>
      </c>
      <c r="O1555" s="60">
        <f t="shared" si="2"/>
        <v>0</v>
      </c>
      <c r="P1555" s="65" t="str">
        <f>VLOOKUP(I1555,DATABASE!C:Q,11,FALSE)</f>
        <v>#N/A</v>
      </c>
      <c r="Q1555" s="65" t="str">
        <f>VLOOKUP(I1555,DATABASE!C:Q,4,FALSE)</f>
        <v>#N/A</v>
      </c>
      <c r="R1555" s="101"/>
      <c r="U1555" s="101"/>
    </row>
    <row r="1556" ht="22.5" customHeight="1">
      <c r="A1556" s="49"/>
      <c r="C1556" s="192"/>
      <c r="D1556" s="192"/>
      <c r="E1556" s="69"/>
      <c r="F1556" s="243"/>
      <c r="G1556" s="69"/>
      <c r="H1556" s="69"/>
      <c r="I1556" s="140"/>
      <c r="J1556" s="446"/>
      <c r="K1556" s="140"/>
      <c r="L1556" s="140"/>
      <c r="M1556" s="140"/>
      <c r="N1556" s="74">
        <f t="shared" si="6"/>
        <v>0</v>
      </c>
      <c r="O1556" s="60">
        <f t="shared" si="2"/>
        <v>0</v>
      </c>
      <c r="P1556" s="65" t="str">
        <f>VLOOKUP(I1556,DATABASE!C:Q,11,FALSE)</f>
        <v>#N/A</v>
      </c>
      <c r="Q1556" s="65" t="str">
        <f>VLOOKUP(I1556,DATABASE!C:Q,4,FALSE)</f>
        <v>#N/A</v>
      </c>
      <c r="R1556" s="101"/>
      <c r="U1556" s="101"/>
    </row>
    <row r="1557" ht="22.5" customHeight="1">
      <c r="A1557" s="49"/>
      <c r="C1557" s="192"/>
      <c r="D1557" s="192"/>
      <c r="E1557" s="69"/>
      <c r="F1557" s="243"/>
      <c r="G1557" s="69"/>
      <c r="H1557" s="69"/>
      <c r="I1557" s="140"/>
      <c r="J1557" s="446"/>
      <c r="K1557" s="140"/>
      <c r="L1557" s="140"/>
      <c r="M1557" s="140"/>
      <c r="N1557" s="74">
        <f t="shared" si="6"/>
        <v>0</v>
      </c>
      <c r="O1557" s="60">
        <f t="shared" si="2"/>
        <v>0</v>
      </c>
      <c r="P1557" s="65" t="str">
        <f>VLOOKUP(I1557,DATABASE!C:Q,11,FALSE)</f>
        <v>#N/A</v>
      </c>
      <c r="Q1557" s="65" t="str">
        <f>VLOOKUP(I1557,DATABASE!C:Q,4,FALSE)</f>
        <v>#N/A</v>
      </c>
      <c r="R1557" s="101"/>
      <c r="U1557" s="101"/>
    </row>
    <row r="1558" ht="22.5" customHeight="1">
      <c r="A1558" s="49"/>
      <c r="C1558" s="192"/>
      <c r="D1558" s="192"/>
      <c r="E1558" s="69"/>
      <c r="F1558" s="243"/>
      <c r="G1558" s="69"/>
      <c r="H1558" s="69"/>
      <c r="I1558" s="140"/>
      <c r="J1558" s="446"/>
      <c r="K1558" s="140"/>
      <c r="L1558" s="140"/>
      <c r="M1558" s="140"/>
      <c r="N1558" s="74">
        <f t="shared" si="6"/>
        <v>0</v>
      </c>
      <c r="O1558" s="60">
        <f t="shared" si="2"/>
        <v>0</v>
      </c>
      <c r="P1558" s="65" t="str">
        <f>VLOOKUP(I1558,DATABASE!C:Q,11,FALSE)</f>
        <v>#N/A</v>
      </c>
      <c r="Q1558" s="65" t="str">
        <f>VLOOKUP(I1558,DATABASE!C:Q,4,FALSE)</f>
        <v>#N/A</v>
      </c>
      <c r="R1558" s="101"/>
      <c r="U1558" s="101"/>
    </row>
    <row r="1559" ht="22.5" customHeight="1">
      <c r="A1559" s="49"/>
      <c r="C1559" s="192"/>
      <c r="D1559" s="192"/>
      <c r="E1559" s="69"/>
      <c r="F1559" s="243"/>
      <c r="G1559" s="69"/>
      <c r="H1559" s="69"/>
      <c r="I1559" s="140"/>
      <c r="J1559" s="446"/>
      <c r="K1559" s="140"/>
      <c r="L1559" s="140"/>
      <c r="M1559" s="140"/>
      <c r="N1559" s="74">
        <f t="shared" si="6"/>
        <v>0</v>
      </c>
      <c r="O1559" s="60">
        <f t="shared" si="2"/>
        <v>0</v>
      </c>
      <c r="P1559" s="65" t="str">
        <f>VLOOKUP(I1559,DATABASE!C:Q,11,FALSE)</f>
        <v>#N/A</v>
      </c>
      <c r="Q1559" s="65" t="str">
        <f>VLOOKUP(I1559,DATABASE!C:Q,4,FALSE)</f>
        <v>#N/A</v>
      </c>
      <c r="R1559" s="101"/>
      <c r="U1559" s="101"/>
    </row>
    <row r="1560" ht="22.5" customHeight="1">
      <c r="A1560" s="49"/>
      <c r="C1560" s="192"/>
      <c r="D1560" s="192"/>
      <c r="E1560" s="69"/>
      <c r="F1560" s="243"/>
      <c r="G1560" s="69"/>
      <c r="H1560" s="69"/>
      <c r="I1560" s="140"/>
      <c r="J1560" s="446"/>
      <c r="K1560" s="140"/>
      <c r="L1560" s="140"/>
      <c r="M1560" s="140"/>
      <c r="N1560" s="74">
        <f t="shared" si="6"/>
        <v>0</v>
      </c>
      <c r="O1560" s="60">
        <f t="shared" si="2"/>
        <v>0</v>
      </c>
      <c r="P1560" s="65" t="str">
        <f>VLOOKUP(I1560,DATABASE!C:Q,11,FALSE)</f>
        <v>#N/A</v>
      </c>
      <c r="Q1560" s="65" t="str">
        <f>VLOOKUP(I1560,DATABASE!C:Q,4,FALSE)</f>
        <v>#N/A</v>
      </c>
      <c r="R1560" s="101"/>
      <c r="U1560" s="101"/>
    </row>
    <row r="1561" ht="22.5" customHeight="1">
      <c r="A1561" s="49"/>
      <c r="C1561" s="192"/>
      <c r="D1561" s="192"/>
      <c r="E1561" s="69"/>
      <c r="F1561" s="243"/>
      <c r="G1561" s="69"/>
      <c r="H1561" s="69"/>
      <c r="I1561" s="140"/>
      <c r="J1561" s="446"/>
      <c r="K1561" s="140"/>
      <c r="L1561" s="140"/>
      <c r="M1561" s="140"/>
      <c r="N1561" s="74">
        <f t="shared" si="6"/>
        <v>0</v>
      </c>
      <c r="O1561" s="60">
        <f t="shared" si="2"/>
        <v>0</v>
      </c>
      <c r="P1561" s="65" t="str">
        <f>VLOOKUP(I1561,DATABASE!C:Q,11,FALSE)</f>
        <v>#N/A</v>
      </c>
      <c r="Q1561" s="65" t="str">
        <f>VLOOKUP(I1561,DATABASE!C:Q,4,FALSE)</f>
        <v>#N/A</v>
      </c>
      <c r="R1561" s="101"/>
      <c r="U1561" s="101"/>
    </row>
    <row r="1562" ht="22.5" customHeight="1">
      <c r="A1562" s="49"/>
      <c r="C1562" s="192"/>
      <c r="D1562" s="192"/>
      <c r="E1562" s="69"/>
      <c r="F1562" s="243"/>
      <c r="G1562" s="69"/>
      <c r="H1562" s="69"/>
      <c r="I1562" s="140"/>
      <c r="J1562" s="446"/>
      <c r="K1562" s="140"/>
      <c r="L1562" s="140"/>
      <c r="M1562" s="140"/>
      <c r="N1562" s="74">
        <f t="shared" si="6"/>
        <v>0</v>
      </c>
      <c r="O1562" s="60">
        <f t="shared" si="2"/>
        <v>0</v>
      </c>
      <c r="P1562" s="65" t="str">
        <f>VLOOKUP(I1562,DATABASE!C:Q,11,FALSE)</f>
        <v>#N/A</v>
      </c>
      <c r="Q1562" s="65" t="str">
        <f>VLOOKUP(I1562,DATABASE!C:Q,4,FALSE)</f>
        <v>#N/A</v>
      </c>
      <c r="R1562" s="101"/>
      <c r="U1562" s="101"/>
    </row>
    <row r="1563" ht="22.5" customHeight="1">
      <c r="A1563" s="49"/>
      <c r="C1563" s="192"/>
      <c r="D1563" s="192"/>
      <c r="E1563" s="69"/>
      <c r="F1563" s="243"/>
      <c r="G1563" s="69"/>
      <c r="H1563" s="69"/>
      <c r="I1563" s="140"/>
      <c r="J1563" s="446"/>
      <c r="K1563" s="140"/>
      <c r="L1563" s="140"/>
      <c r="M1563" s="140"/>
      <c r="N1563" s="74">
        <f t="shared" si="6"/>
        <v>0</v>
      </c>
      <c r="O1563" s="60">
        <f t="shared" si="2"/>
        <v>0</v>
      </c>
      <c r="P1563" s="65" t="str">
        <f>VLOOKUP(I1563,DATABASE!C:Q,11,FALSE)</f>
        <v>#N/A</v>
      </c>
      <c r="Q1563" s="65" t="str">
        <f>VLOOKUP(I1563,DATABASE!C:Q,4,FALSE)</f>
        <v>#N/A</v>
      </c>
      <c r="R1563" s="101"/>
      <c r="U1563" s="101"/>
    </row>
    <row r="1564" ht="22.5" customHeight="1">
      <c r="A1564" s="49"/>
      <c r="C1564" s="192"/>
      <c r="D1564" s="192"/>
      <c r="E1564" s="69"/>
      <c r="F1564" s="243"/>
      <c r="G1564" s="69"/>
      <c r="H1564" s="69"/>
      <c r="I1564" s="140"/>
      <c r="J1564" s="446"/>
      <c r="K1564" s="140"/>
      <c r="L1564" s="140"/>
      <c r="M1564" s="140"/>
      <c r="N1564" s="74">
        <f t="shared" si="6"/>
        <v>0</v>
      </c>
      <c r="O1564" s="60">
        <f t="shared" si="2"/>
        <v>0</v>
      </c>
      <c r="P1564" s="65" t="str">
        <f>VLOOKUP(I1564,DATABASE!C:Q,11,FALSE)</f>
        <v>#N/A</v>
      </c>
      <c r="Q1564" s="65" t="str">
        <f>VLOOKUP(I1564,DATABASE!C:Q,4,FALSE)</f>
        <v>#N/A</v>
      </c>
      <c r="R1564" s="101"/>
      <c r="U1564" s="101"/>
    </row>
    <row r="1565" ht="22.5" customHeight="1">
      <c r="A1565" s="49"/>
      <c r="C1565" s="192"/>
      <c r="D1565" s="192"/>
      <c r="E1565" s="69"/>
      <c r="F1565" s="243"/>
      <c r="G1565" s="69"/>
      <c r="H1565" s="69"/>
      <c r="I1565" s="140"/>
      <c r="J1565" s="446"/>
      <c r="K1565" s="140"/>
      <c r="L1565" s="140"/>
      <c r="M1565" s="140"/>
      <c r="N1565" s="74">
        <f t="shared" si="6"/>
        <v>0</v>
      </c>
      <c r="O1565" s="60">
        <f t="shared" si="2"/>
        <v>0</v>
      </c>
      <c r="P1565" s="65" t="str">
        <f>VLOOKUP(I1565,DATABASE!C:Q,11,FALSE)</f>
        <v>#N/A</v>
      </c>
      <c r="Q1565" s="65" t="str">
        <f>VLOOKUP(I1565,DATABASE!C:Q,4,FALSE)</f>
        <v>#N/A</v>
      </c>
      <c r="R1565" s="101"/>
      <c r="U1565" s="101"/>
    </row>
    <row r="1566" ht="22.5" customHeight="1">
      <c r="A1566" s="49"/>
      <c r="C1566" s="192"/>
      <c r="D1566" s="192"/>
      <c r="E1566" s="69"/>
      <c r="F1566" s="243"/>
      <c r="G1566" s="69"/>
      <c r="H1566" s="69"/>
      <c r="I1566" s="140"/>
      <c r="J1566" s="446"/>
      <c r="K1566" s="140"/>
      <c r="L1566" s="140"/>
      <c r="M1566" s="140"/>
      <c r="N1566" s="74">
        <f t="shared" si="6"/>
        <v>0</v>
      </c>
      <c r="O1566" s="60">
        <f t="shared" si="2"/>
        <v>0</v>
      </c>
      <c r="P1566" s="65" t="str">
        <f>VLOOKUP(I1566,DATABASE!C:Q,11,FALSE)</f>
        <v>#N/A</v>
      </c>
      <c r="Q1566" s="65" t="str">
        <f>VLOOKUP(I1566,DATABASE!C:Q,4,FALSE)</f>
        <v>#N/A</v>
      </c>
      <c r="R1566" s="101"/>
      <c r="U1566" s="101"/>
    </row>
    <row r="1567" ht="22.5" customHeight="1">
      <c r="A1567" s="49"/>
      <c r="C1567" s="192"/>
      <c r="D1567" s="192"/>
      <c r="E1567" s="69"/>
      <c r="F1567" s="243"/>
      <c r="G1567" s="69"/>
      <c r="H1567" s="69"/>
      <c r="I1567" s="140"/>
      <c r="J1567" s="446"/>
      <c r="K1567" s="140"/>
      <c r="L1567" s="140"/>
      <c r="M1567" s="140"/>
      <c r="N1567" s="74">
        <f t="shared" si="6"/>
        <v>0</v>
      </c>
      <c r="O1567" s="60">
        <f t="shared" si="2"/>
        <v>0</v>
      </c>
      <c r="P1567" s="65" t="str">
        <f>VLOOKUP(I1567,DATABASE!C:Q,11,FALSE)</f>
        <v>#N/A</v>
      </c>
      <c r="Q1567" s="65" t="str">
        <f>VLOOKUP(I1567,DATABASE!C:Q,4,FALSE)</f>
        <v>#N/A</v>
      </c>
      <c r="R1567" s="101"/>
      <c r="U1567" s="101"/>
    </row>
    <row r="1568" ht="22.5" customHeight="1">
      <c r="A1568" s="49"/>
      <c r="C1568" s="192"/>
      <c r="D1568" s="192"/>
      <c r="E1568" s="69"/>
      <c r="F1568" s="243"/>
      <c r="G1568" s="69"/>
      <c r="H1568" s="69"/>
      <c r="I1568" s="140"/>
      <c r="J1568" s="446"/>
      <c r="K1568" s="140"/>
      <c r="L1568" s="140"/>
      <c r="M1568" s="140"/>
      <c r="N1568" s="74">
        <f t="shared" si="6"/>
        <v>0</v>
      </c>
      <c r="O1568" s="60">
        <f t="shared" si="2"/>
        <v>0</v>
      </c>
      <c r="P1568" s="65" t="str">
        <f>VLOOKUP(I1568,DATABASE!C:Q,11,FALSE)</f>
        <v>#N/A</v>
      </c>
      <c r="Q1568" s="65" t="str">
        <f>VLOOKUP(I1568,DATABASE!C:Q,4,FALSE)</f>
        <v>#N/A</v>
      </c>
      <c r="R1568" s="101"/>
      <c r="U1568" s="101"/>
    </row>
    <row r="1569" ht="22.5" customHeight="1">
      <c r="A1569" s="49"/>
      <c r="C1569" s="192"/>
      <c r="D1569" s="192"/>
      <c r="E1569" s="69"/>
      <c r="F1569" s="243"/>
      <c r="G1569" s="69"/>
      <c r="H1569" s="69"/>
      <c r="I1569" s="140"/>
      <c r="J1569" s="446"/>
      <c r="K1569" s="140"/>
      <c r="L1569" s="140"/>
      <c r="M1569" s="140"/>
      <c r="N1569" s="74">
        <f t="shared" si="6"/>
        <v>0</v>
      </c>
      <c r="O1569" s="60">
        <f t="shared" si="2"/>
        <v>0</v>
      </c>
      <c r="P1569" s="65" t="str">
        <f>VLOOKUP(I1569,DATABASE!C:Q,11,FALSE)</f>
        <v>#N/A</v>
      </c>
      <c r="Q1569" s="65" t="str">
        <f>VLOOKUP(I1569,DATABASE!C:Q,4,FALSE)</f>
        <v>#N/A</v>
      </c>
      <c r="R1569" s="101"/>
      <c r="U1569" s="101"/>
    </row>
    <row r="1570" ht="22.5" customHeight="1">
      <c r="A1570" s="49"/>
      <c r="C1570" s="192"/>
      <c r="D1570" s="192"/>
      <c r="E1570" s="69"/>
      <c r="F1570" s="243"/>
      <c r="G1570" s="69"/>
      <c r="H1570" s="69"/>
      <c r="I1570" s="140"/>
      <c r="J1570" s="446"/>
      <c r="K1570" s="140"/>
      <c r="L1570" s="140"/>
      <c r="M1570" s="140"/>
      <c r="N1570" s="74">
        <f t="shared" si="6"/>
        <v>0</v>
      </c>
      <c r="O1570" s="60">
        <f t="shared" si="2"/>
        <v>0</v>
      </c>
      <c r="P1570" s="65" t="str">
        <f>VLOOKUP(I1570,DATABASE!C:Q,11,FALSE)</f>
        <v>#N/A</v>
      </c>
      <c r="Q1570" s="65" t="str">
        <f>VLOOKUP(I1570,DATABASE!C:Q,4,FALSE)</f>
        <v>#N/A</v>
      </c>
      <c r="R1570" s="101"/>
      <c r="U1570" s="101"/>
    </row>
    <row r="1571" ht="22.5" customHeight="1">
      <c r="A1571" s="49"/>
      <c r="C1571" s="192"/>
      <c r="D1571" s="192"/>
      <c r="E1571" s="69"/>
      <c r="F1571" s="243"/>
      <c r="G1571" s="69"/>
      <c r="H1571" s="69"/>
      <c r="I1571" s="140"/>
      <c r="J1571" s="446"/>
      <c r="K1571" s="140"/>
      <c r="L1571" s="140"/>
      <c r="M1571" s="140"/>
      <c r="N1571" s="74">
        <f t="shared" si="6"/>
        <v>0</v>
      </c>
      <c r="O1571" s="60">
        <f t="shared" si="2"/>
        <v>0</v>
      </c>
      <c r="P1571" s="65" t="str">
        <f>VLOOKUP(I1571,DATABASE!C:Q,11,FALSE)</f>
        <v>#N/A</v>
      </c>
      <c r="Q1571" s="65" t="str">
        <f>VLOOKUP(I1571,DATABASE!C:Q,4,FALSE)</f>
        <v>#N/A</v>
      </c>
      <c r="R1571" s="101"/>
      <c r="U1571" s="101"/>
    </row>
    <row r="1572" ht="22.5" customHeight="1">
      <c r="A1572" s="49"/>
      <c r="C1572" s="192"/>
      <c r="D1572" s="192"/>
      <c r="E1572" s="69"/>
      <c r="F1572" s="243"/>
      <c r="G1572" s="69"/>
      <c r="H1572" s="69"/>
      <c r="I1572" s="140"/>
      <c r="J1572" s="446"/>
      <c r="K1572" s="140"/>
      <c r="L1572" s="140"/>
      <c r="M1572" s="140"/>
      <c r="N1572" s="74">
        <f t="shared" si="6"/>
        <v>0</v>
      </c>
      <c r="O1572" s="60">
        <f t="shared" si="2"/>
        <v>0</v>
      </c>
      <c r="P1572" s="65" t="str">
        <f>VLOOKUP(I1572,DATABASE!C:Q,11,FALSE)</f>
        <v>#N/A</v>
      </c>
      <c r="Q1572" s="65" t="str">
        <f>VLOOKUP(I1572,DATABASE!C:Q,4,FALSE)</f>
        <v>#N/A</v>
      </c>
      <c r="R1572" s="101"/>
      <c r="U1572" s="101"/>
    </row>
    <row r="1573" ht="22.5" customHeight="1">
      <c r="A1573" s="49"/>
      <c r="C1573" s="192"/>
      <c r="D1573" s="192"/>
      <c r="E1573" s="69"/>
      <c r="F1573" s="243"/>
      <c r="G1573" s="69"/>
      <c r="H1573" s="69"/>
      <c r="I1573" s="140"/>
      <c r="J1573" s="446"/>
      <c r="K1573" s="140"/>
      <c r="L1573" s="140"/>
      <c r="M1573" s="140"/>
      <c r="N1573" s="74">
        <f t="shared" si="6"/>
        <v>0</v>
      </c>
      <c r="O1573" s="60">
        <f t="shared" si="2"/>
        <v>0</v>
      </c>
      <c r="P1573" s="65" t="str">
        <f>VLOOKUP(I1573,DATABASE!C:Q,11,FALSE)</f>
        <v>#N/A</v>
      </c>
      <c r="Q1573" s="65" t="str">
        <f>VLOOKUP(I1573,DATABASE!C:Q,4,FALSE)</f>
        <v>#N/A</v>
      </c>
      <c r="R1573" s="101"/>
      <c r="U1573" s="101"/>
    </row>
    <row r="1574" ht="22.5" customHeight="1">
      <c r="A1574" s="49"/>
      <c r="C1574" s="192"/>
      <c r="D1574" s="192"/>
      <c r="E1574" s="69"/>
      <c r="F1574" s="243"/>
      <c r="G1574" s="69"/>
      <c r="H1574" s="69"/>
      <c r="I1574" s="140"/>
      <c r="J1574" s="446"/>
      <c r="K1574" s="140"/>
      <c r="L1574" s="140"/>
      <c r="M1574" s="140"/>
      <c r="N1574" s="74">
        <f t="shared" si="6"/>
        <v>0</v>
      </c>
      <c r="O1574" s="60">
        <f t="shared" si="2"/>
        <v>0</v>
      </c>
      <c r="P1574" s="65" t="str">
        <f>VLOOKUP(I1574,DATABASE!C:Q,11,FALSE)</f>
        <v>#N/A</v>
      </c>
      <c r="Q1574" s="65" t="str">
        <f>VLOOKUP(I1574,DATABASE!C:Q,4,FALSE)</f>
        <v>#N/A</v>
      </c>
      <c r="R1574" s="101"/>
      <c r="U1574" s="101"/>
    </row>
    <row r="1575" ht="22.5" customHeight="1">
      <c r="A1575" s="49"/>
      <c r="C1575" s="192"/>
      <c r="D1575" s="192"/>
      <c r="E1575" s="69"/>
      <c r="F1575" s="243"/>
      <c r="G1575" s="69"/>
      <c r="H1575" s="69"/>
      <c r="I1575" s="140"/>
      <c r="J1575" s="446"/>
      <c r="K1575" s="140"/>
      <c r="L1575" s="140"/>
      <c r="M1575" s="140"/>
      <c r="N1575" s="74">
        <f t="shared" si="6"/>
        <v>0</v>
      </c>
      <c r="O1575" s="60">
        <f t="shared" si="2"/>
        <v>0</v>
      </c>
      <c r="P1575" s="65" t="str">
        <f>VLOOKUP(I1575,DATABASE!C:Q,11,FALSE)</f>
        <v>#N/A</v>
      </c>
      <c r="Q1575" s="65" t="str">
        <f>VLOOKUP(I1575,DATABASE!C:Q,4,FALSE)</f>
        <v>#N/A</v>
      </c>
      <c r="R1575" s="101"/>
      <c r="U1575" s="101"/>
    </row>
    <row r="1576" ht="22.5" customHeight="1">
      <c r="A1576" s="49"/>
      <c r="C1576" s="192"/>
      <c r="D1576" s="192"/>
      <c r="E1576" s="69"/>
      <c r="F1576" s="243"/>
      <c r="G1576" s="69"/>
      <c r="H1576" s="69"/>
      <c r="I1576" s="140"/>
      <c r="J1576" s="446"/>
      <c r="K1576" s="140"/>
      <c r="L1576" s="140"/>
      <c r="M1576" s="140"/>
      <c r="N1576" s="74">
        <f t="shared" si="6"/>
        <v>0</v>
      </c>
      <c r="O1576" s="60">
        <f t="shared" si="2"/>
        <v>0</v>
      </c>
      <c r="P1576" s="65" t="str">
        <f>VLOOKUP(I1576,DATABASE!C:Q,11,FALSE)</f>
        <v>#N/A</v>
      </c>
      <c r="Q1576" s="65" t="str">
        <f>VLOOKUP(I1576,DATABASE!C:Q,4,FALSE)</f>
        <v>#N/A</v>
      </c>
      <c r="R1576" s="101"/>
      <c r="U1576" s="101"/>
    </row>
    <row r="1577" ht="22.5" customHeight="1">
      <c r="A1577" s="49"/>
      <c r="C1577" s="192"/>
      <c r="D1577" s="192"/>
      <c r="E1577" s="69"/>
      <c r="F1577" s="243"/>
      <c r="G1577" s="69"/>
      <c r="H1577" s="69"/>
      <c r="I1577" s="140"/>
      <c r="J1577" s="446"/>
      <c r="K1577" s="140"/>
      <c r="L1577" s="140"/>
      <c r="M1577" s="140"/>
      <c r="N1577" s="74">
        <f t="shared" si="6"/>
        <v>0</v>
      </c>
      <c r="O1577" s="60">
        <f t="shared" si="2"/>
        <v>0</v>
      </c>
      <c r="P1577" s="65" t="str">
        <f>VLOOKUP(I1577,DATABASE!C:Q,11,FALSE)</f>
        <v>#N/A</v>
      </c>
      <c r="Q1577" s="65" t="str">
        <f>VLOOKUP(I1577,DATABASE!C:Q,4,FALSE)</f>
        <v>#N/A</v>
      </c>
      <c r="R1577" s="101"/>
      <c r="U1577" s="101"/>
    </row>
    <row r="1578" ht="22.5" customHeight="1">
      <c r="A1578" s="49"/>
      <c r="C1578" s="192"/>
      <c r="D1578" s="192"/>
      <c r="E1578" s="69"/>
      <c r="F1578" s="243"/>
      <c r="G1578" s="69"/>
      <c r="H1578" s="69"/>
      <c r="I1578" s="140"/>
      <c r="J1578" s="446"/>
      <c r="K1578" s="140"/>
      <c r="L1578" s="140"/>
      <c r="M1578" s="140"/>
      <c r="N1578" s="74">
        <f t="shared" si="6"/>
        <v>0</v>
      </c>
      <c r="O1578" s="60">
        <f t="shared" si="2"/>
        <v>0</v>
      </c>
      <c r="P1578" s="65" t="str">
        <f>VLOOKUP(I1578,DATABASE!C:Q,11,FALSE)</f>
        <v>#N/A</v>
      </c>
      <c r="Q1578" s="65" t="str">
        <f>VLOOKUP(I1578,DATABASE!C:Q,4,FALSE)</f>
        <v>#N/A</v>
      </c>
      <c r="R1578" s="101"/>
      <c r="U1578" s="101"/>
    </row>
    <row r="1579" ht="22.5" customHeight="1">
      <c r="A1579" s="49"/>
      <c r="C1579" s="192"/>
      <c r="D1579" s="192"/>
      <c r="E1579" s="69"/>
      <c r="F1579" s="243"/>
      <c r="G1579" s="69"/>
      <c r="H1579" s="69"/>
      <c r="I1579" s="140"/>
      <c r="J1579" s="446"/>
      <c r="K1579" s="140"/>
      <c r="L1579" s="140"/>
      <c r="M1579" s="140"/>
      <c r="N1579" s="74">
        <f t="shared" si="6"/>
        <v>0</v>
      </c>
      <c r="O1579" s="60">
        <f t="shared" si="2"/>
        <v>0</v>
      </c>
      <c r="P1579" s="65" t="str">
        <f>VLOOKUP(I1579,DATABASE!C:Q,11,FALSE)</f>
        <v>#N/A</v>
      </c>
      <c r="Q1579" s="65" t="str">
        <f>VLOOKUP(I1579,DATABASE!C:Q,4,FALSE)</f>
        <v>#N/A</v>
      </c>
      <c r="R1579" s="101"/>
      <c r="U1579" s="101"/>
    </row>
    <row r="1580" ht="22.5" customHeight="1">
      <c r="A1580" s="49"/>
      <c r="C1580" s="192"/>
      <c r="D1580" s="192"/>
      <c r="E1580" s="69"/>
      <c r="F1580" s="243"/>
      <c r="G1580" s="69"/>
      <c r="H1580" s="69"/>
      <c r="I1580" s="140"/>
      <c r="J1580" s="446"/>
      <c r="K1580" s="140"/>
      <c r="L1580" s="140"/>
      <c r="M1580" s="140"/>
      <c r="N1580" s="74">
        <f t="shared" si="6"/>
        <v>0</v>
      </c>
      <c r="O1580" s="60">
        <f t="shared" si="2"/>
        <v>0</v>
      </c>
      <c r="P1580" s="65" t="str">
        <f>VLOOKUP(I1580,DATABASE!C:Q,11,FALSE)</f>
        <v>#N/A</v>
      </c>
      <c r="Q1580" s="65" t="str">
        <f>VLOOKUP(I1580,DATABASE!C:Q,4,FALSE)</f>
        <v>#N/A</v>
      </c>
      <c r="R1580" s="101"/>
      <c r="U1580" s="101"/>
    </row>
    <row r="1581" ht="22.5" customHeight="1">
      <c r="A1581" s="49"/>
      <c r="C1581" s="192"/>
      <c r="D1581" s="192"/>
      <c r="E1581" s="69"/>
      <c r="F1581" s="243"/>
      <c r="G1581" s="69"/>
      <c r="H1581" s="69"/>
      <c r="I1581" s="140"/>
      <c r="J1581" s="446"/>
      <c r="K1581" s="140"/>
      <c r="L1581" s="140"/>
      <c r="M1581" s="140"/>
      <c r="N1581" s="74">
        <f t="shared" si="6"/>
        <v>0</v>
      </c>
      <c r="O1581" s="60">
        <f t="shared" si="2"/>
        <v>0</v>
      </c>
      <c r="P1581" s="65" t="str">
        <f>VLOOKUP(I1581,DATABASE!C:Q,11,FALSE)</f>
        <v>#N/A</v>
      </c>
      <c r="Q1581" s="65" t="str">
        <f>VLOOKUP(I1581,DATABASE!C:Q,4,FALSE)</f>
        <v>#N/A</v>
      </c>
      <c r="R1581" s="101"/>
      <c r="U1581" s="101"/>
    </row>
    <row r="1582" ht="22.5" customHeight="1">
      <c r="A1582" s="49"/>
      <c r="C1582" s="192"/>
      <c r="D1582" s="192"/>
      <c r="E1582" s="69"/>
      <c r="F1582" s="243"/>
      <c r="G1582" s="69"/>
      <c r="H1582" s="69"/>
      <c r="I1582" s="140"/>
      <c r="J1582" s="446"/>
      <c r="K1582" s="140"/>
      <c r="L1582" s="140"/>
      <c r="M1582" s="140"/>
      <c r="N1582" s="74">
        <f t="shared" si="6"/>
        <v>0</v>
      </c>
      <c r="O1582" s="60">
        <f t="shared" si="2"/>
        <v>0</v>
      </c>
      <c r="P1582" s="65" t="str">
        <f>VLOOKUP(I1582,DATABASE!C:Q,11,FALSE)</f>
        <v>#N/A</v>
      </c>
      <c r="Q1582" s="65" t="str">
        <f>VLOOKUP(I1582,DATABASE!C:Q,4,FALSE)</f>
        <v>#N/A</v>
      </c>
      <c r="R1582" s="101"/>
      <c r="U1582" s="101"/>
    </row>
    <row r="1583" ht="22.5" customHeight="1">
      <c r="A1583" s="49"/>
      <c r="C1583" s="192"/>
      <c r="D1583" s="192"/>
      <c r="E1583" s="69"/>
      <c r="F1583" s="243"/>
      <c r="G1583" s="69"/>
      <c r="H1583" s="69"/>
      <c r="I1583" s="140"/>
      <c r="J1583" s="446"/>
      <c r="K1583" s="140"/>
      <c r="L1583" s="140"/>
      <c r="M1583" s="140"/>
      <c r="N1583" s="74">
        <f t="shared" si="6"/>
        <v>0</v>
      </c>
      <c r="O1583" s="60">
        <f t="shared" si="2"/>
        <v>0</v>
      </c>
      <c r="P1583" s="65" t="str">
        <f>VLOOKUP(I1583,DATABASE!C:Q,11,FALSE)</f>
        <v>#N/A</v>
      </c>
      <c r="Q1583" s="65" t="str">
        <f>VLOOKUP(I1583,DATABASE!C:Q,4,FALSE)</f>
        <v>#N/A</v>
      </c>
      <c r="R1583" s="101"/>
      <c r="U1583" s="101"/>
    </row>
    <row r="1584" ht="22.5" customHeight="1">
      <c r="A1584" s="49"/>
      <c r="C1584" s="192"/>
      <c r="D1584" s="192"/>
      <c r="E1584" s="69"/>
      <c r="F1584" s="243"/>
      <c r="G1584" s="69"/>
      <c r="H1584" s="69"/>
      <c r="I1584" s="140"/>
      <c r="J1584" s="446"/>
      <c r="K1584" s="140"/>
      <c r="L1584" s="140"/>
      <c r="M1584" s="140"/>
      <c r="N1584" s="74">
        <f t="shared" si="6"/>
        <v>0</v>
      </c>
      <c r="O1584" s="60">
        <f t="shared" si="2"/>
        <v>0</v>
      </c>
      <c r="P1584" s="65" t="str">
        <f>VLOOKUP(I1584,DATABASE!C:Q,11,FALSE)</f>
        <v>#N/A</v>
      </c>
      <c r="Q1584" s="65" t="str">
        <f>VLOOKUP(I1584,DATABASE!C:Q,4,FALSE)</f>
        <v>#N/A</v>
      </c>
      <c r="R1584" s="101"/>
      <c r="U1584" s="101"/>
    </row>
    <row r="1585" ht="22.5" customHeight="1">
      <c r="A1585" s="49"/>
      <c r="C1585" s="192"/>
      <c r="D1585" s="192"/>
      <c r="E1585" s="69"/>
      <c r="F1585" s="243"/>
      <c r="G1585" s="69"/>
      <c r="H1585" s="69"/>
      <c r="I1585" s="140"/>
      <c r="J1585" s="446"/>
      <c r="K1585" s="140"/>
      <c r="L1585" s="140"/>
      <c r="M1585" s="140"/>
      <c r="N1585" s="74">
        <f t="shared" si="6"/>
        <v>0</v>
      </c>
      <c r="O1585" s="60">
        <f t="shared" si="2"/>
        <v>0</v>
      </c>
      <c r="P1585" s="65" t="str">
        <f>VLOOKUP(I1585,DATABASE!C:Q,11,FALSE)</f>
        <v>#N/A</v>
      </c>
      <c r="Q1585" s="65" t="str">
        <f>VLOOKUP(I1585,DATABASE!C:Q,4,FALSE)</f>
        <v>#N/A</v>
      </c>
      <c r="R1585" s="101"/>
      <c r="U1585" s="101"/>
    </row>
    <row r="1586" ht="22.5" customHeight="1">
      <c r="A1586" s="49"/>
      <c r="C1586" s="192"/>
      <c r="D1586" s="192"/>
      <c r="E1586" s="69"/>
      <c r="F1586" s="243"/>
      <c r="G1586" s="69"/>
      <c r="H1586" s="69"/>
      <c r="I1586" s="140"/>
      <c r="J1586" s="446"/>
      <c r="K1586" s="140"/>
      <c r="L1586" s="140"/>
      <c r="M1586" s="140"/>
      <c r="N1586" s="74">
        <f t="shared" si="6"/>
        <v>0</v>
      </c>
      <c r="O1586" s="60">
        <f t="shared" si="2"/>
        <v>0</v>
      </c>
      <c r="P1586" s="65" t="str">
        <f>VLOOKUP(I1586,DATABASE!C:Q,11,FALSE)</f>
        <v>#N/A</v>
      </c>
      <c r="Q1586" s="65" t="str">
        <f>VLOOKUP(I1586,DATABASE!C:Q,4,FALSE)</f>
        <v>#N/A</v>
      </c>
      <c r="R1586" s="101"/>
      <c r="U1586" s="101"/>
    </row>
    <row r="1587" ht="22.5" customHeight="1">
      <c r="A1587" s="49"/>
      <c r="C1587" s="192"/>
      <c r="D1587" s="192"/>
      <c r="E1587" s="69"/>
      <c r="F1587" s="243"/>
      <c r="G1587" s="69"/>
      <c r="H1587" s="69"/>
      <c r="I1587" s="140"/>
      <c r="J1587" s="446"/>
      <c r="K1587" s="140"/>
      <c r="L1587" s="140"/>
      <c r="M1587" s="140"/>
      <c r="N1587" s="74">
        <f t="shared" si="6"/>
        <v>0</v>
      </c>
      <c r="O1587" s="60">
        <f t="shared" si="2"/>
        <v>0</v>
      </c>
      <c r="P1587" s="65" t="str">
        <f>VLOOKUP(I1587,DATABASE!C:Q,11,FALSE)</f>
        <v>#N/A</v>
      </c>
      <c r="Q1587" s="65" t="str">
        <f>VLOOKUP(I1587,DATABASE!C:Q,4,FALSE)</f>
        <v>#N/A</v>
      </c>
      <c r="R1587" s="101"/>
      <c r="U1587" s="101"/>
    </row>
    <row r="1588" ht="22.5" customHeight="1">
      <c r="A1588" s="49"/>
      <c r="C1588" s="192"/>
      <c r="D1588" s="192"/>
      <c r="E1588" s="69"/>
      <c r="F1588" s="243"/>
      <c r="G1588" s="69"/>
      <c r="H1588" s="69"/>
      <c r="I1588" s="140"/>
      <c r="J1588" s="446"/>
      <c r="K1588" s="140"/>
      <c r="L1588" s="140"/>
      <c r="M1588" s="140"/>
      <c r="N1588" s="74">
        <f t="shared" si="6"/>
        <v>0</v>
      </c>
      <c r="O1588" s="60">
        <f t="shared" si="2"/>
        <v>0</v>
      </c>
      <c r="P1588" s="65" t="str">
        <f>VLOOKUP(I1588,DATABASE!C:Q,11,FALSE)</f>
        <v>#N/A</v>
      </c>
      <c r="Q1588" s="65" t="str">
        <f>VLOOKUP(I1588,DATABASE!C:Q,4,FALSE)</f>
        <v>#N/A</v>
      </c>
      <c r="R1588" s="101"/>
      <c r="U1588" s="101"/>
    </row>
    <row r="1589" ht="22.5" customHeight="1">
      <c r="A1589" s="49"/>
      <c r="C1589" s="192"/>
      <c r="D1589" s="192"/>
      <c r="E1589" s="69"/>
      <c r="F1589" s="243"/>
      <c r="G1589" s="69"/>
      <c r="H1589" s="69"/>
      <c r="I1589" s="140"/>
      <c r="J1589" s="446"/>
      <c r="K1589" s="140"/>
      <c r="L1589" s="140"/>
      <c r="M1589" s="140"/>
      <c r="N1589" s="74">
        <f t="shared" si="6"/>
        <v>0</v>
      </c>
      <c r="O1589" s="60">
        <f t="shared" si="2"/>
        <v>0</v>
      </c>
      <c r="P1589" s="65" t="str">
        <f>VLOOKUP(I1589,DATABASE!C:Q,11,FALSE)</f>
        <v>#N/A</v>
      </c>
      <c r="Q1589" s="65" t="str">
        <f>VLOOKUP(I1589,DATABASE!C:Q,4,FALSE)</f>
        <v>#N/A</v>
      </c>
      <c r="R1589" s="101"/>
      <c r="U1589" s="101"/>
    </row>
    <row r="1590" ht="22.5" customHeight="1">
      <c r="A1590" s="49"/>
      <c r="C1590" s="192"/>
      <c r="D1590" s="192"/>
      <c r="E1590" s="69"/>
      <c r="F1590" s="243"/>
      <c r="G1590" s="69"/>
      <c r="H1590" s="69"/>
      <c r="I1590" s="140"/>
      <c r="J1590" s="446"/>
      <c r="K1590" s="140"/>
      <c r="L1590" s="140"/>
      <c r="M1590" s="140"/>
      <c r="N1590" s="74">
        <f t="shared" si="6"/>
        <v>0</v>
      </c>
      <c r="O1590" s="60">
        <f t="shared" si="2"/>
        <v>0</v>
      </c>
      <c r="P1590" s="65" t="str">
        <f>VLOOKUP(I1590,DATABASE!C:Q,11,FALSE)</f>
        <v>#N/A</v>
      </c>
      <c r="Q1590" s="65" t="str">
        <f>VLOOKUP(I1590,DATABASE!C:Q,4,FALSE)</f>
        <v>#N/A</v>
      </c>
      <c r="R1590" s="101"/>
      <c r="U1590" s="101"/>
    </row>
    <row r="1591" ht="22.5" customHeight="1">
      <c r="A1591" s="49"/>
      <c r="C1591" s="192"/>
      <c r="D1591" s="192"/>
      <c r="E1591" s="69"/>
      <c r="F1591" s="243"/>
      <c r="G1591" s="69"/>
      <c r="H1591" s="69"/>
      <c r="I1591" s="140"/>
      <c r="J1591" s="446"/>
      <c r="K1591" s="140"/>
      <c r="L1591" s="140"/>
      <c r="M1591" s="140"/>
      <c r="N1591" s="74">
        <f t="shared" si="6"/>
        <v>0</v>
      </c>
      <c r="O1591" s="60">
        <f t="shared" si="2"/>
        <v>0</v>
      </c>
      <c r="P1591" s="65" t="str">
        <f>VLOOKUP(I1591,DATABASE!C:Q,11,FALSE)</f>
        <v>#N/A</v>
      </c>
      <c r="Q1591" s="65" t="str">
        <f>VLOOKUP(I1591,DATABASE!C:Q,4,FALSE)</f>
        <v>#N/A</v>
      </c>
      <c r="R1591" s="101"/>
      <c r="U1591" s="101"/>
    </row>
    <row r="1592" ht="22.5" customHeight="1">
      <c r="A1592" s="49"/>
      <c r="C1592" s="192"/>
      <c r="D1592" s="192"/>
      <c r="E1592" s="69"/>
      <c r="F1592" s="243"/>
      <c r="G1592" s="69"/>
      <c r="H1592" s="69"/>
      <c r="I1592" s="140"/>
      <c r="J1592" s="446"/>
      <c r="K1592" s="140"/>
      <c r="L1592" s="140"/>
      <c r="M1592" s="140"/>
      <c r="N1592" s="74">
        <f t="shared" si="6"/>
        <v>0</v>
      </c>
      <c r="O1592" s="60">
        <f t="shared" si="2"/>
        <v>0</v>
      </c>
      <c r="P1592" s="65" t="str">
        <f>VLOOKUP(I1592,DATABASE!C:Q,11,FALSE)</f>
        <v>#N/A</v>
      </c>
      <c r="Q1592" s="65" t="str">
        <f>VLOOKUP(I1592,DATABASE!C:Q,4,FALSE)</f>
        <v>#N/A</v>
      </c>
      <c r="R1592" s="101"/>
      <c r="U1592" s="101"/>
    </row>
    <row r="1593" ht="22.5" customHeight="1">
      <c r="A1593" s="49"/>
      <c r="C1593" s="192"/>
      <c r="D1593" s="192"/>
      <c r="E1593" s="69"/>
      <c r="F1593" s="243"/>
      <c r="G1593" s="69"/>
      <c r="H1593" s="69"/>
      <c r="I1593" s="140"/>
      <c r="J1593" s="446"/>
      <c r="K1593" s="140"/>
      <c r="L1593" s="140"/>
      <c r="M1593" s="140"/>
      <c r="N1593" s="74">
        <f t="shared" si="6"/>
        <v>0</v>
      </c>
      <c r="O1593" s="60">
        <f t="shared" si="2"/>
        <v>0</v>
      </c>
      <c r="P1593" s="65" t="str">
        <f>VLOOKUP(I1593,DATABASE!C:Q,11,FALSE)</f>
        <v>#N/A</v>
      </c>
      <c r="Q1593" s="65" t="str">
        <f>VLOOKUP(I1593,DATABASE!C:Q,4,FALSE)</f>
        <v>#N/A</v>
      </c>
      <c r="R1593" s="101"/>
      <c r="U1593" s="101"/>
    </row>
    <row r="1594" ht="22.5" customHeight="1">
      <c r="A1594" s="49"/>
      <c r="C1594" s="192"/>
      <c r="D1594" s="192"/>
      <c r="E1594" s="69"/>
      <c r="F1594" s="243"/>
      <c r="G1594" s="69"/>
      <c r="H1594" s="69"/>
      <c r="I1594" s="140"/>
      <c r="J1594" s="446"/>
      <c r="K1594" s="140"/>
      <c r="L1594" s="140"/>
      <c r="M1594" s="140"/>
      <c r="N1594" s="74">
        <f t="shared" si="6"/>
        <v>0</v>
      </c>
      <c r="O1594" s="60">
        <f t="shared" si="2"/>
        <v>0</v>
      </c>
      <c r="P1594" s="65" t="str">
        <f>VLOOKUP(I1594,DATABASE!C:Q,11,FALSE)</f>
        <v>#N/A</v>
      </c>
      <c r="Q1594" s="65" t="str">
        <f>VLOOKUP(I1594,DATABASE!C:Q,4,FALSE)</f>
        <v>#N/A</v>
      </c>
      <c r="R1594" s="101"/>
      <c r="U1594" s="101"/>
    </row>
    <row r="1595" ht="22.5" customHeight="1">
      <c r="A1595" s="49"/>
      <c r="C1595" s="192"/>
      <c r="D1595" s="192"/>
      <c r="E1595" s="69"/>
      <c r="F1595" s="243"/>
      <c r="G1595" s="69"/>
      <c r="H1595" s="69"/>
      <c r="I1595" s="140"/>
      <c r="J1595" s="446"/>
      <c r="K1595" s="140"/>
      <c r="L1595" s="140"/>
      <c r="M1595" s="140"/>
      <c r="N1595" s="74">
        <f t="shared" si="6"/>
        <v>0</v>
      </c>
      <c r="O1595" s="60">
        <f t="shared" si="2"/>
        <v>0</v>
      </c>
      <c r="P1595" s="65" t="str">
        <f>VLOOKUP(I1595,DATABASE!C:Q,11,FALSE)</f>
        <v>#N/A</v>
      </c>
      <c r="Q1595" s="65" t="str">
        <f>VLOOKUP(I1595,DATABASE!C:Q,4,FALSE)</f>
        <v>#N/A</v>
      </c>
      <c r="R1595" s="101"/>
      <c r="U1595" s="101"/>
    </row>
    <row r="1596" ht="22.5" customHeight="1">
      <c r="A1596" s="49"/>
      <c r="C1596" s="192"/>
      <c r="D1596" s="192"/>
      <c r="E1596" s="69"/>
      <c r="F1596" s="243"/>
      <c r="G1596" s="69"/>
      <c r="H1596" s="69"/>
      <c r="I1596" s="140"/>
      <c r="J1596" s="446"/>
      <c r="K1596" s="140"/>
      <c r="L1596" s="140"/>
      <c r="M1596" s="140"/>
      <c r="N1596" s="74">
        <f t="shared" si="6"/>
        <v>0</v>
      </c>
      <c r="O1596" s="60">
        <f t="shared" si="2"/>
        <v>0</v>
      </c>
      <c r="P1596" s="65" t="str">
        <f>VLOOKUP(I1596,DATABASE!C:Q,11,FALSE)</f>
        <v>#N/A</v>
      </c>
      <c r="Q1596" s="65" t="str">
        <f>VLOOKUP(I1596,DATABASE!C:Q,4,FALSE)</f>
        <v>#N/A</v>
      </c>
      <c r="R1596" s="101"/>
      <c r="U1596" s="101"/>
    </row>
    <row r="1597" ht="22.5" customHeight="1">
      <c r="A1597" s="49"/>
      <c r="C1597" s="192"/>
      <c r="D1597" s="192"/>
      <c r="E1597" s="69"/>
      <c r="F1597" s="243"/>
      <c r="G1597" s="69"/>
      <c r="H1597" s="69"/>
      <c r="I1597" s="140"/>
      <c r="J1597" s="446"/>
      <c r="K1597" s="140"/>
      <c r="L1597" s="140"/>
      <c r="M1597" s="140"/>
      <c r="N1597" s="74">
        <f t="shared" si="6"/>
        <v>0</v>
      </c>
      <c r="O1597" s="60">
        <f t="shared" si="2"/>
        <v>0</v>
      </c>
      <c r="P1597" s="65" t="str">
        <f>VLOOKUP(I1597,DATABASE!C:Q,11,FALSE)</f>
        <v>#N/A</v>
      </c>
      <c r="Q1597" s="65" t="str">
        <f>VLOOKUP(I1597,DATABASE!C:Q,4,FALSE)</f>
        <v>#N/A</v>
      </c>
      <c r="R1597" s="101"/>
      <c r="U1597" s="101"/>
    </row>
    <row r="1598" ht="22.5" customHeight="1">
      <c r="A1598" s="49"/>
      <c r="C1598" s="192"/>
      <c r="D1598" s="192"/>
      <c r="E1598" s="69"/>
      <c r="F1598" s="243"/>
      <c r="G1598" s="69"/>
      <c r="H1598" s="69"/>
      <c r="I1598" s="140"/>
      <c r="J1598" s="446"/>
      <c r="K1598" s="140"/>
      <c r="L1598" s="140"/>
      <c r="M1598" s="140"/>
      <c r="N1598" s="74">
        <f t="shared" si="6"/>
        <v>0</v>
      </c>
      <c r="O1598" s="60">
        <f t="shared" si="2"/>
        <v>0</v>
      </c>
      <c r="P1598" s="65" t="str">
        <f>VLOOKUP(I1598,DATABASE!C:Q,11,FALSE)</f>
        <v>#N/A</v>
      </c>
      <c r="Q1598" s="65" t="str">
        <f>VLOOKUP(I1598,DATABASE!C:Q,4,FALSE)</f>
        <v>#N/A</v>
      </c>
      <c r="R1598" s="101"/>
      <c r="U1598" s="101"/>
    </row>
    <row r="1599" ht="22.5" customHeight="1">
      <c r="A1599" s="49"/>
      <c r="C1599" s="192"/>
      <c r="D1599" s="192"/>
      <c r="E1599" s="69"/>
      <c r="F1599" s="243"/>
      <c r="G1599" s="69"/>
      <c r="H1599" s="69"/>
      <c r="I1599" s="140"/>
      <c r="J1599" s="446"/>
      <c r="K1599" s="140"/>
      <c r="L1599" s="140"/>
      <c r="M1599" s="140"/>
      <c r="N1599" s="74">
        <f t="shared" si="6"/>
        <v>0</v>
      </c>
      <c r="O1599" s="60">
        <f t="shared" si="2"/>
        <v>0</v>
      </c>
      <c r="P1599" s="65" t="str">
        <f>VLOOKUP(I1599,DATABASE!C:Q,11,FALSE)</f>
        <v>#N/A</v>
      </c>
      <c r="Q1599" s="65" t="str">
        <f>VLOOKUP(I1599,DATABASE!C:Q,4,FALSE)</f>
        <v>#N/A</v>
      </c>
      <c r="R1599" s="101"/>
      <c r="U1599" s="101"/>
    </row>
    <row r="1600" ht="22.5" customHeight="1">
      <c r="A1600" s="49"/>
      <c r="C1600" s="192"/>
      <c r="D1600" s="192"/>
      <c r="E1600" s="69"/>
      <c r="F1600" s="243"/>
      <c r="G1600" s="69"/>
      <c r="H1600" s="69"/>
      <c r="I1600" s="140"/>
      <c r="J1600" s="446"/>
      <c r="K1600" s="140"/>
      <c r="L1600" s="140"/>
      <c r="M1600" s="140"/>
      <c r="N1600" s="74">
        <f t="shared" si="6"/>
        <v>0</v>
      </c>
      <c r="O1600" s="60">
        <f t="shared" si="2"/>
        <v>0</v>
      </c>
      <c r="P1600" s="65" t="str">
        <f>VLOOKUP(I1600,DATABASE!C:Q,11,FALSE)</f>
        <v>#N/A</v>
      </c>
      <c r="Q1600" s="65" t="str">
        <f>VLOOKUP(I1600,DATABASE!C:Q,4,FALSE)</f>
        <v>#N/A</v>
      </c>
      <c r="R1600" s="101"/>
      <c r="U1600" s="101"/>
    </row>
    <row r="1601" ht="22.5" customHeight="1">
      <c r="A1601" s="49"/>
      <c r="C1601" s="192"/>
      <c r="D1601" s="192"/>
      <c r="E1601" s="69"/>
      <c r="F1601" s="243"/>
      <c r="G1601" s="69"/>
      <c r="H1601" s="69"/>
      <c r="I1601" s="140"/>
      <c r="J1601" s="446"/>
      <c r="K1601" s="140"/>
      <c r="L1601" s="140"/>
      <c r="M1601" s="140"/>
      <c r="N1601" s="74">
        <f t="shared" si="6"/>
        <v>0</v>
      </c>
      <c r="O1601" s="60">
        <f t="shared" si="2"/>
        <v>0</v>
      </c>
      <c r="P1601" s="65" t="str">
        <f>VLOOKUP(I1601,DATABASE!C:Q,11,FALSE)</f>
        <v>#N/A</v>
      </c>
      <c r="Q1601" s="65" t="str">
        <f>VLOOKUP(I1601,DATABASE!C:Q,4,FALSE)</f>
        <v>#N/A</v>
      </c>
      <c r="R1601" s="101"/>
      <c r="U1601" s="101"/>
    </row>
    <row r="1602" ht="22.5" customHeight="1">
      <c r="A1602" s="49"/>
      <c r="C1602" s="192"/>
      <c r="D1602" s="192"/>
      <c r="E1602" s="69"/>
      <c r="F1602" s="243"/>
      <c r="G1602" s="69"/>
      <c r="H1602" s="69"/>
      <c r="I1602" s="140"/>
      <c r="J1602" s="446"/>
      <c r="K1602" s="140"/>
      <c r="L1602" s="140"/>
      <c r="M1602" s="140"/>
      <c r="N1602" s="74">
        <f t="shared" si="6"/>
        <v>0</v>
      </c>
      <c r="O1602" s="60">
        <f t="shared" si="2"/>
        <v>0</v>
      </c>
      <c r="P1602" s="65" t="str">
        <f>VLOOKUP(I1602,DATABASE!C:Q,11,FALSE)</f>
        <v>#N/A</v>
      </c>
      <c r="Q1602" s="65" t="str">
        <f>VLOOKUP(I1602,DATABASE!C:Q,4,FALSE)</f>
        <v>#N/A</v>
      </c>
      <c r="R1602" s="101"/>
      <c r="U1602" s="101"/>
    </row>
    <row r="1603" ht="22.5" customHeight="1">
      <c r="A1603" s="49"/>
      <c r="C1603" s="192"/>
      <c r="D1603" s="192"/>
      <c r="E1603" s="69"/>
      <c r="F1603" s="243"/>
      <c r="G1603" s="69"/>
      <c r="H1603" s="69"/>
      <c r="I1603" s="140"/>
      <c r="J1603" s="446"/>
      <c r="K1603" s="140"/>
      <c r="L1603" s="140"/>
      <c r="M1603" s="140"/>
      <c r="N1603" s="74">
        <f t="shared" si="6"/>
        <v>0</v>
      </c>
      <c r="O1603" s="60">
        <f t="shared" si="2"/>
        <v>0</v>
      </c>
      <c r="P1603" s="65" t="str">
        <f>VLOOKUP(I1603,DATABASE!C:Q,11,FALSE)</f>
        <v>#N/A</v>
      </c>
      <c r="Q1603" s="65" t="str">
        <f>VLOOKUP(I1603,DATABASE!C:Q,4,FALSE)</f>
        <v>#N/A</v>
      </c>
      <c r="R1603" s="101"/>
      <c r="U1603" s="101"/>
    </row>
    <row r="1604" ht="22.5" customHeight="1">
      <c r="A1604" s="49"/>
      <c r="C1604" s="192"/>
      <c r="D1604" s="192"/>
      <c r="E1604" s="69"/>
      <c r="F1604" s="243"/>
      <c r="G1604" s="69"/>
      <c r="H1604" s="69"/>
      <c r="I1604" s="140"/>
      <c r="J1604" s="446"/>
      <c r="K1604" s="140"/>
      <c r="L1604" s="140"/>
      <c r="M1604" s="140"/>
      <c r="N1604" s="74">
        <f t="shared" si="6"/>
        <v>0</v>
      </c>
      <c r="O1604" s="60">
        <f t="shared" si="2"/>
        <v>0</v>
      </c>
      <c r="P1604" s="65" t="str">
        <f>VLOOKUP(I1604,DATABASE!C:Q,11,FALSE)</f>
        <v>#N/A</v>
      </c>
      <c r="Q1604" s="65" t="str">
        <f>VLOOKUP(I1604,DATABASE!C:Q,4,FALSE)</f>
        <v>#N/A</v>
      </c>
      <c r="R1604" s="101"/>
      <c r="U1604" s="101"/>
    </row>
    <row r="1605" ht="22.5" customHeight="1">
      <c r="A1605" s="49"/>
      <c r="C1605" s="192"/>
      <c r="D1605" s="192"/>
      <c r="E1605" s="69"/>
      <c r="F1605" s="243"/>
      <c r="G1605" s="69"/>
      <c r="H1605" s="69"/>
      <c r="I1605" s="140"/>
      <c r="J1605" s="446"/>
      <c r="K1605" s="140"/>
      <c r="L1605" s="140"/>
      <c r="M1605" s="140"/>
      <c r="N1605" s="74">
        <f t="shared" si="6"/>
        <v>0</v>
      </c>
      <c r="O1605" s="60">
        <f t="shared" si="2"/>
        <v>0</v>
      </c>
      <c r="P1605" s="65" t="str">
        <f>VLOOKUP(I1605,DATABASE!C:Q,11,FALSE)</f>
        <v>#N/A</v>
      </c>
      <c r="Q1605" s="65" t="str">
        <f>VLOOKUP(I1605,DATABASE!C:Q,4,FALSE)</f>
        <v>#N/A</v>
      </c>
      <c r="R1605" s="101"/>
      <c r="U1605" s="101"/>
    </row>
    <row r="1606" ht="22.5" customHeight="1">
      <c r="A1606" s="49"/>
      <c r="C1606" s="192"/>
      <c r="D1606" s="192"/>
      <c r="E1606" s="69"/>
      <c r="F1606" s="243"/>
      <c r="G1606" s="69"/>
      <c r="H1606" s="69"/>
      <c r="I1606" s="140"/>
      <c r="J1606" s="446"/>
      <c r="K1606" s="140"/>
      <c r="L1606" s="140"/>
      <c r="M1606" s="140"/>
      <c r="N1606" s="74">
        <f t="shared" si="6"/>
        <v>0</v>
      </c>
      <c r="O1606" s="60">
        <f t="shared" si="2"/>
        <v>0</v>
      </c>
      <c r="P1606" s="65" t="str">
        <f>VLOOKUP(I1606,DATABASE!C:Q,11,FALSE)</f>
        <v>#N/A</v>
      </c>
      <c r="Q1606" s="65" t="str">
        <f>VLOOKUP(I1606,DATABASE!C:Q,4,FALSE)</f>
        <v>#N/A</v>
      </c>
      <c r="R1606" s="101"/>
      <c r="U1606" s="101"/>
    </row>
    <row r="1607" ht="22.5" customHeight="1">
      <c r="A1607" s="49"/>
      <c r="C1607" s="192"/>
      <c r="D1607" s="192"/>
      <c r="E1607" s="69"/>
      <c r="F1607" s="243"/>
      <c r="G1607" s="69"/>
      <c r="H1607" s="69"/>
      <c r="I1607" s="140"/>
      <c r="J1607" s="446"/>
      <c r="K1607" s="140"/>
      <c r="L1607" s="140"/>
      <c r="M1607" s="140"/>
      <c r="N1607" s="74">
        <f t="shared" si="6"/>
        <v>0</v>
      </c>
      <c r="O1607" s="60">
        <f t="shared" si="2"/>
        <v>0</v>
      </c>
      <c r="P1607" s="65" t="str">
        <f>VLOOKUP(I1607,DATABASE!C:Q,11,FALSE)</f>
        <v>#N/A</v>
      </c>
      <c r="Q1607" s="65" t="str">
        <f>VLOOKUP(I1607,DATABASE!C:Q,4,FALSE)</f>
        <v>#N/A</v>
      </c>
      <c r="R1607" s="101"/>
      <c r="U1607" s="101"/>
    </row>
    <row r="1608" ht="22.5" customHeight="1">
      <c r="A1608" s="49"/>
      <c r="C1608" s="192"/>
      <c r="D1608" s="192"/>
      <c r="E1608" s="69"/>
      <c r="F1608" s="243"/>
      <c r="G1608" s="69"/>
      <c r="H1608" s="69"/>
      <c r="I1608" s="140"/>
      <c r="J1608" s="446"/>
      <c r="K1608" s="140"/>
      <c r="L1608" s="140"/>
      <c r="M1608" s="140"/>
      <c r="N1608" s="74">
        <f t="shared" si="6"/>
        <v>0</v>
      </c>
      <c r="O1608" s="60">
        <f t="shared" si="2"/>
        <v>0</v>
      </c>
      <c r="P1608" s="65" t="str">
        <f>VLOOKUP(I1608,DATABASE!C:Q,11,FALSE)</f>
        <v>#N/A</v>
      </c>
      <c r="Q1608" s="65" t="str">
        <f>VLOOKUP(I1608,DATABASE!C:Q,4,FALSE)</f>
        <v>#N/A</v>
      </c>
      <c r="R1608" s="101"/>
      <c r="U1608" s="101"/>
    </row>
    <row r="1609" ht="22.5" customHeight="1">
      <c r="A1609" s="49"/>
      <c r="C1609" s="192"/>
      <c r="D1609" s="192"/>
      <c r="E1609" s="69"/>
      <c r="F1609" s="243"/>
      <c r="G1609" s="69"/>
      <c r="H1609" s="69"/>
      <c r="I1609" s="140"/>
      <c r="J1609" s="446"/>
      <c r="K1609" s="140"/>
      <c r="L1609" s="140"/>
      <c r="M1609" s="140"/>
      <c r="N1609" s="74">
        <f t="shared" si="6"/>
        <v>0</v>
      </c>
      <c r="O1609" s="60">
        <f t="shared" si="2"/>
        <v>0</v>
      </c>
      <c r="P1609" s="65" t="str">
        <f>VLOOKUP(I1609,DATABASE!C:Q,11,FALSE)</f>
        <v>#N/A</v>
      </c>
      <c r="Q1609" s="65" t="str">
        <f>VLOOKUP(I1609,DATABASE!C:Q,4,FALSE)</f>
        <v>#N/A</v>
      </c>
      <c r="R1609" s="101"/>
      <c r="U1609" s="101"/>
    </row>
    <row r="1610" ht="22.5" customHeight="1">
      <c r="A1610" s="49"/>
      <c r="C1610" s="192"/>
      <c r="D1610" s="192"/>
      <c r="E1610" s="69"/>
      <c r="F1610" s="243"/>
      <c r="G1610" s="69"/>
      <c r="H1610" s="69"/>
      <c r="I1610" s="140"/>
      <c r="J1610" s="446"/>
      <c r="K1610" s="140"/>
      <c r="L1610" s="140"/>
      <c r="M1610" s="140"/>
      <c r="N1610" s="74">
        <f t="shared" si="6"/>
        <v>0</v>
      </c>
      <c r="O1610" s="60">
        <f t="shared" si="2"/>
        <v>0</v>
      </c>
      <c r="P1610" s="65" t="str">
        <f>VLOOKUP(I1610,DATABASE!C:Q,11,FALSE)</f>
        <v>#N/A</v>
      </c>
      <c r="Q1610" s="65" t="str">
        <f>VLOOKUP(I1610,DATABASE!C:Q,4,FALSE)</f>
        <v>#N/A</v>
      </c>
      <c r="R1610" s="101"/>
      <c r="U1610" s="101"/>
    </row>
    <row r="1611" ht="22.5" customHeight="1">
      <c r="A1611" s="49"/>
      <c r="C1611" s="192"/>
      <c r="D1611" s="192"/>
      <c r="E1611" s="69"/>
      <c r="F1611" s="243"/>
      <c r="G1611" s="69"/>
      <c r="H1611" s="69"/>
      <c r="I1611" s="140"/>
      <c r="J1611" s="446"/>
      <c r="K1611" s="140"/>
      <c r="L1611" s="140"/>
      <c r="M1611" s="140"/>
      <c r="N1611" s="74">
        <f t="shared" si="6"/>
        <v>0</v>
      </c>
      <c r="O1611" s="60">
        <f t="shared" si="2"/>
        <v>0</v>
      </c>
      <c r="P1611" s="65" t="str">
        <f>VLOOKUP(I1611,DATABASE!C:Q,11,FALSE)</f>
        <v>#N/A</v>
      </c>
      <c r="Q1611" s="65" t="str">
        <f>VLOOKUP(I1611,DATABASE!C:Q,4,FALSE)</f>
        <v>#N/A</v>
      </c>
      <c r="R1611" s="101"/>
      <c r="U1611" s="101"/>
    </row>
    <row r="1612" ht="22.5" customHeight="1">
      <c r="A1612" s="49"/>
      <c r="C1612" s="192"/>
      <c r="D1612" s="192"/>
      <c r="E1612" s="69"/>
      <c r="F1612" s="243"/>
      <c r="G1612" s="69"/>
      <c r="H1612" s="69"/>
      <c r="I1612" s="140"/>
      <c r="J1612" s="446"/>
      <c r="K1612" s="140"/>
      <c r="L1612" s="140"/>
      <c r="M1612" s="140"/>
      <c r="N1612" s="74">
        <f t="shared" si="6"/>
        <v>0</v>
      </c>
      <c r="O1612" s="60">
        <f t="shared" si="2"/>
        <v>0</v>
      </c>
      <c r="P1612" s="65" t="str">
        <f>VLOOKUP(I1612,DATABASE!C:Q,11,FALSE)</f>
        <v>#N/A</v>
      </c>
      <c r="Q1612" s="65" t="str">
        <f>VLOOKUP(I1612,DATABASE!C:Q,4,FALSE)</f>
        <v>#N/A</v>
      </c>
      <c r="R1612" s="101"/>
      <c r="U1612" s="101"/>
    </row>
    <row r="1613" ht="22.5" customHeight="1">
      <c r="A1613" s="49"/>
      <c r="C1613" s="192"/>
      <c r="D1613" s="192"/>
      <c r="E1613" s="69"/>
      <c r="F1613" s="243"/>
      <c r="G1613" s="69"/>
      <c r="H1613" s="69"/>
      <c r="I1613" s="140"/>
      <c r="J1613" s="446"/>
      <c r="K1613" s="140"/>
      <c r="L1613" s="140"/>
      <c r="M1613" s="140"/>
      <c r="N1613" s="74">
        <f t="shared" si="6"/>
        <v>0</v>
      </c>
      <c r="O1613" s="60">
        <f t="shared" si="2"/>
        <v>0</v>
      </c>
      <c r="P1613" s="65" t="str">
        <f>VLOOKUP(I1613,DATABASE!C:Q,11,FALSE)</f>
        <v>#N/A</v>
      </c>
      <c r="Q1613" s="65" t="str">
        <f>VLOOKUP(I1613,DATABASE!C:Q,4,FALSE)</f>
        <v>#N/A</v>
      </c>
      <c r="R1613" s="101"/>
      <c r="U1613" s="101"/>
    </row>
    <row r="1614" ht="22.5" customHeight="1">
      <c r="A1614" s="49"/>
      <c r="C1614" s="192"/>
      <c r="D1614" s="192"/>
      <c r="E1614" s="69"/>
      <c r="F1614" s="243"/>
      <c r="G1614" s="69"/>
      <c r="H1614" s="69"/>
      <c r="I1614" s="140"/>
      <c r="J1614" s="446"/>
      <c r="K1614" s="140"/>
      <c r="L1614" s="140"/>
      <c r="M1614" s="140"/>
      <c r="N1614" s="74">
        <f t="shared" si="6"/>
        <v>0</v>
      </c>
      <c r="O1614" s="60">
        <f t="shared" si="2"/>
        <v>0</v>
      </c>
      <c r="P1614" s="65" t="str">
        <f>VLOOKUP(I1614,DATABASE!C:Q,11,FALSE)</f>
        <v>#N/A</v>
      </c>
      <c r="Q1614" s="65" t="str">
        <f>VLOOKUP(I1614,DATABASE!C:Q,4,FALSE)</f>
        <v>#N/A</v>
      </c>
      <c r="R1614" s="101"/>
      <c r="U1614" s="101"/>
    </row>
    <row r="1615" ht="22.5" customHeight="1">
      <c r="A1615" s="49"/>
      <c r="C1615" s="192"/>
      <c r="D1615" s="192"/>
      <c r="E1615" s="69"/>
      <c r="F1615" s="243"/>
      <c r="G1615" s="69"/>
      <c r="H1615" s="69"/>
      <c r="I1615" s="140"/>
      <c r="J1615" s="446"/>
      <c r="K1615" s="140"/>
      <c r="L1615" s="140"/>
      <c r="M1615" s="140"/>
      <c r="N1615" s="74">
        <f t="shared" si="6"/>
        <v>0</v>
      </c>
      <c r="O1615" s="60">
        <f t="shared" si="2"/>
        <v>0</v>
      </c>
      <c r="P1615" s="65" t="str">
        <f>VLOOKUP(I1615,DATABASE!C:Q,11,FALSE)</f>
        <v>#N/A</v>
      </c>
      <c r="Q1615" s="65" t="str">
        <f>VLOOKUP(I1615,DATABASE!C:Q,4,FALSE)</f>
        <v>#N/A</v>
      </c>
      <c r="R1615" s="101"/>
      <c r="U1615" s="101"/>
    </row>
    <row r="1616" ht="22.5" customHeight="1">
      <c r="A1616" s="49"/>
      <c r="C1616" s="192"/>
      <c r="D1616" s="192"/>
      <c r="E1616" s="69"/>
      <c r="F1616" s="243"/>
      <c r="G1616" s="69"/>
      <c r="H1616" s="69"/>
      <c r="I1616" s="140"/>
      <c r="J1616" s="446"/>
      <c r="K1616" s="140"/>
      <c r="L1616" s="140"/>
      <c r="M1616" s="140"/>
      <c r="N1616" s="74">
        <f t="shared" si="6"/>
        <v>0</v>
      </c>
      <c r="O1616" s="60">
        <f t="shared" si="2"/>
        <v>0</v>
      </c>
      <c r="P1616" s="65" t="str">
        <f>VLOOKUP(I1616,DATABASE!C:Q,11,FALSE)</f>
        <v>#N/A</v>
      </c>
      <c r="Q1616" s="65" t="str">
        <f>VLOOKUP(I1616,DATABASE!C:Q,4,FALSE)</f>
        <v>#N/A</v>
      </c>
      <c r="R1616" s="101"/>
      <c r="U1616" s="101"/>
    </row>
    <row r="1617" ht="22.5" customHeight="1">
      <c r="A1617" s="49"/>
      <c r="C1617" s="192"/>
      <c r="D1617" s="192"/>
      <c r="E1617" s="69"/>
      <c r="F1617" s="243"/>
      <c r="G1617" s="69"/>
      <c r="H1617" s="69"/>
      <c r="I1617" s="140"/>
      <c r="J1617" s="446"/>
      <c r="K1617" s="140"/>
      <c r="L1617" s="140"/>
      <c r="M1617" s="140"/>
      <c r="N1617" s="74">
        <f t="shared" si="6"/>
        <v>0</v>
      </c>
      <c r="O1617" s="60">
        <f t="shared" si="2"/>
        <v>0</v>
      </c>
      <c r="P1617" s="65" t="str">
        <f>VLOOKUP(I1617,DATABASE!C:Q,11,FALSE)</f>
        <v>#N/A</v>
      </c>
      <c r="Q1617" s="65" t="str">
        <f>VLOOKUP(I1617,DATABASE!C:Q,4,FALSE)</f>
        <v>#N/A</v>
      </c>
      <c r="R1617" s="101"/>
      <c r="U1617" s="101"/>
    </row>
    <row r="1618" ht="22.5" customHeight="1">
      <c r="A1618" s="49"/>
      <c r="C1618" s="192"/>
      <c r="D1618" s="192"/>
      <c r="E1618" s="69"/>
      <c r="F1618" s="243"/>
      <c r="G1618" s="69"/>
      <c r="H1618" s="69"/>
      <c r="I1618" s="140"/>
      <c r="J1618" s="446"/>
      <c r="K1618" s="140"/>
      <c r="L1618" s="140"/>
      <c r="M1618" s="140"/>
      <c r="N1618" s="74">
        <f t="shared" si="6"/>
        <v>0</v>
      </c>
      <c r="O1618" s="60">
        <f t="shared" si="2"/>
        <v>0</v>
      </c>
      <c r="P1618" s="65" t="str">
        <f>VLOOKUP(I1618,DATABASE!C:Q,11,FALSE)</f>
        <v>#N/A</v>
      </c>
      <c r="Q1618" s="65" t="str">
        <f>VLOOKUP(I1618,DATABASE!C:Q,4,FALSE)</f>
        <v>#N/A</v>
      </c>
      <c r="R1618" s="101"/>
      <c r="U1618" s="101"/>
    </row>
    <row r="1619" ht="22.5" customHeight="1">
      <c r="A1619" s="49"/>
      <c r="C1619" s="192"/>
      <c r="D1619" s="192"/>
      <c r="E1619" s="69"/>
      <c r="F1619" s="243"/>
      <c r="G1619" s="69"/>
      <c r="H1619" s="69"/>
      <c r="I1619" s="140"/>
      <c r="J1619" s="446"/>
      <c r="K1619" s="140"/>
      <c r="L1619" s="140"/>
      <c r="M1619" s="140"/>
      <c r="N1619" s="74">
        <f t="shared" si="6"/>
        <v>0</v>
      </c>
      <c r="O1619" s="60">
        <f t="shared" si="2"/>
        <v>0</v>
      </c>
      <c r="P1619" s="65" t="str">
        <f>VLOOKUP(I1619,DATABASE!C:Q,11,FALSE)</f>
        <v>#N/A</v>
      </c>
      <c r="Q1619" s="65" t="str">
        <f>VLOOKUP(I1619,DATABASE!C:Q,4,FALSE)</f>
        <v>#N/A</v>
      </c>
      <c r="R1619" s="101"/>
      <c r="U1619" s="101"/>
    </row>
    <row r="1620" ht="22.5" customHeight="1">
      <c r="A1620" s="49"/>
      <c r="C1620" s="192"/>
      <c r="D1620" s="192"/>
      <c r="E1620" s="69"/>
      <c r="F1620" s="243"/>
      <c r="G1620" s="69"/>
      <c r="H1620" s="69"/>
      <c r="I1620" s="140"/>
      <c r="J1620" s="446"/>
      <c r="K1620" s="140"/>
      <c r="L1620" s="140"/>
      <c r="M1620" s="140"/>
      <c r="N1620" s="74">
        <f t="shared" si="6"/>
        <v>0</v>
      </c>
      <c r="O1620" s="60">
        <f t="shared" si="2"/>
        <v>0</v>
      </c>
      <c r="P1620" s="65" t="str">
        <f>VLOOKUP(I1620,DATABASE!C:Q,11,FALSE)</f>
        <v>#N/A</v>
      </c>
      <c r="Q1620" s="65" t="str">
        <f>VLOOKUP(I1620,DATABASE!C:Q,4,FALSE)</f>
        <v>#N/A</v>
      </c>
      <c r="R1620" s="101"/>
      <c r="U1620" s="101"/>
    </row>
    <row r="1621" ht="22.5" customHeight="1">
      <c r="A1621" s="49"/>
      <c r="C1621" s="192"/>
      <c r="D1621" s="192"/>
      <c r="E1621" s="69"/>
      <c r="F1621" s="243"/>
      <c r="G1621" s="69"/>
      <c r="H1621" s="69"/>
      <c r="I1621" s="140"/>
      <c r="J1621" s="446"/>
      <c r="K1621" s="140"/>
      <c r="L1621" s="140"/>
      <c r="M1621" s="140"/>
      <c r="N1621" s="74">
        <f t="shared" si="6"/>
        <v>0</v>
      </c>
      <c r="O1621" s="60">
        <f t="shared" si="2"/>
        <v>0</v>
      </c>
      <c r="P1621" s="65" t="str">
        <f>VLOOKUP(I1621,DATABASE!C:Q,11,FALSE)</f>
        <v>#N/A</v>
      </c>
      <c r="Q1621" s="65" t="str">
        <f>VLOOKUP(I1621,DATABASE!C:Q,4,FALSE)</f>
        <v>#N/A</v>
      </c>
      <c r="R1621" s="101"/>
      <c r="U1621" s="101"/>
    </row>
    <row r="1622" ht="22.5" customHeight="1">
      <c r="A1622" s="49"/>
      <c r="C1622" s="192"/>
      <c r="D1622" s="192"/>
      <c r="E1622" s="69"/>
      <c r="F1622" s="243"/>
      <c r="G1622" s="69"/>
      <c r="H1622" s="69"/>
      <c r="I1622" s="140"/>
      <c r="J1622" s="446"/>
      <c r="K1622" s="140"/>
      <c r="L1622" s="140"/>
      <c r="M1622" s="140"/>
      <c r="N1622" s="74">
        <f t="shared" si="6"/>
        <v>0</v>
      </c>
      <c r="O1622" s="60">
        <f t="shared" si="2"/>
        <v>0</v>
      </c>
      <c r="P1622" s="65" t="str">
        <f>VLOOKUP(I1622,DATABASE!C:Q,11,FALSE)</f>
        <v>#N/A</v>
      </c>
      <c r="Q1622" s="65" t="str">
        <f>VLOOKUP(I1622,DATABASE!C:Q,4,FALSE)</f>
        <v>#N/A</v>
      </c>
      <c r="R1622" s="101"/>
      <c r="U1622" s="101"/>
    </row>
    <row r="1623" ht="22.5" customHeight="1">
      <c r="A1623" s="49"/>
      <c r="C1623" s="192"/>
      <c r="D1623" s="192"/>
      <c r="E1623" s="69"/>
      <c r="F1623" s="243"/>
      <c r="G1623" s="69"/>
      <c r="H1623" s="69"/>
      <c r="I1623" s="140"/>
      <c r="J1623" s="446"/>
      <c r="K1623" s="140"/>
      <c r="L1623" s="140"/>
      <c r="M1623" s="140"/>
      <c r="N1623" s="74">
        <f t="shared" si="6"/>
        <v>0</v>
      </c>
      <c r="O1623" s="60">
        <f t="shared" si="2"/>
        <v>0</v>
      </c>
      <c r="P1623" s="65" t="str">
        <f>VLOOKUP(I1623,DATABASE!C:Q,11,FALSE)</f>
        <v>#N/A</v>
      </c>
      <c r="Q1623" s="65" t="str">
        <f>VLOOKUP(I1623,DATABASE!C:Q,4,FALSE)</f>
        <v>#N/A</v>
      </c>
      <c r="R1623" s="101"/>
      <c r="U1623" s="101"/>
    </row>
    <row r="1624" ht="22.5" customHeight="1">
      <c r="A1624" s="49"/>
      <c r="C1624" s="192"/>
      <c r="D1624" s="192"/>
      <c r="E1624" s="69"/>
      <c r="F1624" s="243"/>
      <c r="G1624" s="69"/>
      <c r="H1624" s="69"/>
      <c r="I1624" s="140"/>
      <c r="J1624" s="446"/>
      <c r="K1624" s="140"/>
      <c r="L1624" s="140"/>
      <c r="M1624" s="140"/>
      <c r="N1624" s="74">
        <f t="shared" si="6"/>
        <v>0</v>
      </c>
      <c r="O1624" s="60">
        <f t="shared" si="2"/>
        <v>0</v>
      </c>
      <c r="P1624" s="65" t="str">
        <f>VLOOKUP(I1624,DATABASE!C:Q,11,FALSE)</f>
        <v>#N/A</v>
      </c>
      <c r="Q1624" s="65" t="str">
        <f>VLOOKUP(I1624,DATABASE!C:Q,4,FALSE)</f>
        <v>#N/A</v>
      </c>
      <c r="R1624" s="101"/>
      <c r="U1624" s="101"/>
    </row>
    <row r="1625" ht="22.5" customHeight="1">
      <c r="A1625" s="49"/>
      <c r="C1625" s="192"/>
      <c r="D1625" s="192"/>
      <c r="E1625" s="69"/>
      <c r="F1625" s="243"/>
      <c r="G1625" s="69"/>
      <c r="H1625" s="69"/>
      <c r="I1625" s="140"/>
      <c r="J1625" s="446"/>
      <c r="K1625" s="140"/>
      <c r="L1625" s="140"/>
      <c r="M1625" s="140"/>
      <c r="N1625" s="74">
        <f t="shared" si="6"/>
        <v>0</v>
      </c>
      <c r="O1625" s="60">
        <f t="shared" si="2"/>
        <v>0</v>
      </c>
      <c r="P1625" s="65" t="str">
        <f>VLOOKUP(I1625,DATABASE!C:Q,11,FALSE)</f>
        <v>#N/A</v>
      </c>
      <c r="Q1625" s="65" t="str">
        <f>VLOOKUP(I1625,DATABASE!C:Q,4,FALSE)</f>
        <v>#N/A</v>
      </c>
      <c r="R1625" s="101"/>
      <c r="U1625" s="101"/>
    </row>
    <row r="1626" ht="22.5" customHeight="1">
      <c r="A1626" s="49"/>
      <c r="C1626" s="192"/>
      <c r="D1626" s="192"/>
      <c r="E1626" s="69"/>
      <c r="F1626" s="243"/>
      <c r="G1626" s="69"/>
      <c r="H1626" s="69"/>
      <c r="I1626" s="140"/>
      <c r="J1626" s="446"/>
      <c r="K1626" s="140"/>
      <c r="L1626" s="140"/>
      <c r="M1626" s="140"/>
      <c r="N1626" s="74">
        <f t="shared" si="6"/>
        <v>0</v>
      </c>
      <c r="O1626" s="60">
        <f t="shared" si="2"/>
        <v>0</v>
      </c>
      <c r="P1626" s="65" t="str">
        <f>VLOOKUP(I1626,DATABASE!C:Q,11,FALSE)</f>
        <v>#N/A</v>
      </c>
      <c r="Q1626" s="65" t="str">
        <f>VLOOKUP(I1626,DATABASE!C:Q,4,FALSE)</f>
        <v>#N/A</v>
      </c>
      <c r="R1626" s="101"/>
      <c r="U1626" s="101"/>
    </row>
    <row r="1627" ht="22.5" customHeight="1">
      <c r="A1627" s="49"/>
      <c r="C1627" s="192"/>
      <c r="D1627" s="192"/>
      <c r="E1627" s="69"/>
      <c r="F1627" s="243"/>
      <c r="G1627" s="69"/>
      <c r="H1627" s="69"/>
      <c r="I1627" s="140"/>
      <c r="J1627" s="446"/>
      <c r="K1627" s="140"/>
      <c r="L1627" s="140"/>
      <c r="M1627" s="140"/>
      <c r="N1627" s="74">
        <f t="shared" si="6"/>
        <v>0</v>
      </c>
      <c r="O1627" s="60">
        <f t="shared" si="2"/>
        <v>0</v>
      </c>
      <c r="P1627" s="65" t="str">
        <f>VLOOKUP(I1627,DATABASE!C:Q,11,FALSE)</f>
        <v>#N/A</v>
      </c>
      <c r="Q1627" s="65" t="str">
        <f>VLOOKUP(I1627,DATABASE!C:Q,4,FALSE)</f>
        <v>#N/A</v>
      </c>
      <c r="R1627" s="101"/>
      <c r="U1627" s="101"/>
    </row>
    <row r="1628" ht="22.5" customHeight="1">
      <c r="A1628" s="49"/>
      <c r="C1628" s="192"/>
      <c r="D1628" s="192"/>
      <c r="E1628" s="69"/>
      <c r="F1628" s="243"/>
      <c r="G1628" s="69"/>
      <c r="H1628" s="69"/>
      <c r="I1628" s="140"/>
      <c r="J1628" s="446"/>
      <c r="K1628" s="140"/>
      <c r="L1628" s="140"/>
      <c r="M1628" s="140"/>
      <c r="N1628" s="74">
        <f t="shared" si="6"/>
        <v>0</v>
      </c>
      <c r="O1628" s="60">
        <f t="shared" si="2"/>
        <v>0</v>
      </c>
      <c r="P1628" s="65" t="str">
        <f>VLOOKUP(I1628,DATABASE!C:Q,11,FALSE)</f>
        <v>#N/A</v>
      </c>
      <c r="Q1628" s="65" t="str">
        <f>VLOOKUP(I1628,DATABASE!C:Q,4,FALSE)</f>
        <v>#N/A</v>
      </c>
      <c r="R1628" s="101"/>
      <c r="U1628" s="101"/>
    </row>
    <row r="1629" ht="22.5" customHeight="1">
      <c r="A1629" s="49"/>
      <c r="C1629" s="192"/>
      <c r="D1629" s="192"/>
      <c r="E1629" s="69"/>
      <c r="F1629" s="243"/>
      <c r="G1629" s="69"/>
      <c r="H1629" s="69"/>
      <c r="I1629" s="140"/>
      <c r="J1629" s="446"/>
      <c r="K1629" s="140"/>
      <c r="L1629" s="140"/>
      <c r="M1629" s="140"/>
      <c r="N1629" s="74">
        <f t="shared" si="6"/>
        <v>0</v>
      </c>
      <c r="O1629" s="60">
        <f t="shared" si="2"/>
        <v>0</v>
      </c>
      <c r="P1629" s="65" t="str">
        <f>VLOOKUP(I1629,DATABASE!C:Q,11,FALSE)</f>
        <v>#N/A</v>
      </c>
      <c r="Q1629" s="65" t="str">
        <f>VLOOKUP(I1629,DATABASE!C:Q,4,FALSE)</f>
        <v>#N/A</v>
      </c>
      <c r="R1629" s="101"/>
      <c r="U1629" s="101"/>
    </row>
    <row r="1630" ht="22.5" customHeight="1">
      <c r="A1630" s="49"/>
      <c r="C1630" s="192"/>
      <c r="D1630" s="192"/>
      <c r="E1630" s="69"/>
      <c r="F1630" s="243"/>
      <c r="G1630" s="69"/>
      <c r="H1630" s="69"/>
      <c r="I1630" s="140"/>
      <c r="J1630" s="446"/>
      <c r="K1630" s="140"/>
      <c r="L1630" s="140"/>
      <c r="M1630" s="140"/>
      <c r="N1630" s="74">
        <f t="shared" si="6"/>
        <v>0</v>
      </c>
      <c r="O1630" s="60">
        <f t="shared" si="2"/>
        <v>0</v>
      </c>
      <c r="P1630" s="65" t="str">
        <f>VLOOKUP(I1630,DATABASE!C:Q,11,FALSE)</f>
        <v>#N/A</v>
      </c>
      <c r="Q1630" s="65" t="str">
        <f>VLOOKUP(I1630,DATABASE!C:Q,4,FALSE)</f>
        <v>#N/A</v>
      </c>
      <c r="R1630" s="101"/>
      <c r="U1630" s="101"/>
    </row>
    <row r="1631" ht="22.5" customHeight="1">
      <c r="A1631" s="49"/>
      <c r="C1631" s="192"/>
      <c r="D1631" s="192"/>
      <c r="E1631" s="69"/>
      <c r="F1631" s="243"/>
      <c r="G1631" s="69"/>
      <c r="H1631" s="69"/>
      <c r="I1631" s="140"/>
      <c r="J1631" s="446"/>
      <c r="K1631" s="140"/>
      <c r="L1631" s="140"/>
      <c r="M1631" s="140"/>
      <c r="N1631" s="74">
        <f t="shared" si="6"/>
        <v>0</v>
      </c>
      <c r="O1631" s="60">
        <f t="shared" si="2"/>
        <v>0</v>
      </c>
      <c r="P1631" s="65" t="str">
        <f>VLOOKUP(I1631,DATABASE!C:Q,11,FALSE)</f>
        <v>#N/A</v>
      </c>
      <c r="Q1631" s="65" t="str">
        <f>VLOOKUP(I1631,DATABASE!C:Q,4,FALSE)</f>
        <v>#N/A</v>
      </c>
      <c r="R1631" s="101"/>
      <c r="U1631" s="101"/>
    </row>
    <row r="1632" ht="22.5" customHeight="1">
      <c r="A1632" s="49"/>
      <c r="C1632" s="192"/>
      <c r="D1632" s="192"/>
      <c r="E1632" s="69"/>
      <c r="F1632" s="243"/>
      <c r="G1632" s="69"/>
      <c r="H1632" s="69"/>
      <c r="I1632" s="140"/>
      <c r="J1632" s="446"/>
      <c r="K1632" s="140"/>
      <c r="L1632" s="140"/>
      <c r="M1632" s="140"/>
      <c r="N1632" s="74">
        <f t="shared" si="6"/>
        <v>0</v>
      </c>
      <c r="O1632" s="60">
        <f t="shared" si="2"/>
        <v>0</v>
      </c>
      <c r="P1632" s="65" t="str">
        <f>VLOOKUP(I1632,DATABASE!C:Q,11,FALSE)</f>
        <v>#N/A</v>
      </c>
      <c r="Q1632" s="65" t="str">
        <f>VLOOKUP(I1632,DATABASE!C:Q,4,FALSE)</f>
        <v>#N/A</v>
      </c>
      <c r="R1632" s="101"/>
      <c r="U1632" s="101"/>
    </row>
    <row r="1633" ht="22.5" customHeight="1">
      <c r="A1633" s="49"/>
      <c r="C1633" s="192"/>
      <c r="D1633" s="192"/>
      <c r="E1633" s="69"/>
      <c r="F1633" s="243"/>
      <c r="G1633" s="69"/>
      <c r="H1633" s="69"/>
      <c r="I1633" s="140"/>
      <c r="J1633" s="446"/>
      <c r="K1633" s="140"/>
      <c r="L1633" s="140"/>
      <c r="M1633" s="140"/>
      <c r="N1633" s="74">
        <f t="shared" si="6"/>
        <v>0</v>
      </c>
      <c r="O1633" s="60">
        <f t="shared" si="2"/>
        <v>0</v>
      </c>
      <c r="P1633" s="65" t="str">
        <f>VLOOKUP(I1633,DATABASE!C:Q,11,FALSE)</f>
        <v>#N/A</v>
      </c>
      <c r="Q1633" s="65" t="str">
        <f>VLOOKUP(I1633,DATABASE!C:Q,4,FALSE)</f>
        <v>#N/A</v>
      </c>
      <c r="R1633" s="101"/>
      <c r="U1633" s="101"/>
    </row>
    <row r="1634" ht="22.5" customHeight="1">
      <c r="A1634" s="49"/>
      <c r="C1634" s="192"/>
      <c r="D1634" s="192"/>
      <c r="E1634" s="69"/>
      <c r="F1634" s="243"/>
      <c r="G1634" s="69"/>
      <c r="H1634" s="69"/>
      <c r="I1634" s="140"/>
      <c r="J1634" s="446"/>
      <c r="K1634" s="140"/>
      <c r="L1634" s="140"/>
      <c r="M1634" s="140"/>
      <c r="N1634" s="74">
        <f t="shared" si="6"/>
        <v>0</v>
      </c>
      <c r="O1634" s="60">
        <f t="shared" si="2"/>
        <v>0</v>
      </c>
      <c r="P1634" s="65" t="str">
        <f>VLOOKUP(I1634,DATABASE!C:Q,11,FALSE)</f>
        <v>#N/A</v>
      </c>
      <c r="Q1634" s="65" t="str">
        <f>VLOOKUP(I1634,DATABASE!C:Q,4,FALSE)</f>
        <v>#N/A</v>
      </c>
      <c r="R1634" s="101"/>
      <c r="U1634" s="101"/>
    </row>
    <row r="1635" ht="22.5" customHeight="1">
      <c r="A1635" s="49"/>
      <c r="C1635" s="192"/>
      <c r="D1635" s="192"/>
      <c r="E1635" s="69"/>
      <c r="F1635" s="243"/>
      <c r="G1635" s="69"/>
      <c r="H1635" s="69"/>
      <c r="I1635" s="140"/>
      <c r="J1635" s="446"/>
      <c r="K1635" s="140"/>
      <c r="L1635" s="140"/>
      <c r="M1635" s="140"/>
      <c r="N1635" s="74">
        <f t="shared" si="6"/>
        <v>0</v>
      </c>
      <c r="O1635" s="60">
        <f t="shared" si="2"/>
        <v>0</v>
      </c>
      <c r="P1635" s="65" t="str">
        <f>VLOOKUP(I1635,DATABASE!C:Q,11,FALSE)</f>
        <v>#N/A</v>
      </c>
      <c r="Q1635" s="65" t="str">
        <f>VLOOKUP(I1635,DATABASE!C:Q,4,FALSE)</f>
        <v>#N/A</v>
      </c>
      <c r="R1635" s="101"/>
      <c r="U1635" s="101"/>
    </row>
    <row r="1636" ht="22.5" customHeight="1">
      <c r="A1636" s="49"/>
      <c r="C1636" s="192"/>
      <c r="D1636" s="192"/>
      <c r="E1636" s="69"/>
      <c r="F1636" s="243"/>
      <c r="G1636" s="69"/>
      <c r="H1636" s="69"/>
      <c r="I1636" s="140"/>
      <c r="J1636" s="446"/>
      <c r="K1636" s="140"/>
      <c r="L1636" s="140"/>
      <c r="M1636" s="140"/>
      <c r="N1636" s="74">
        <f t="shared" si="6"/>
        <v>0</v>
      </c>
      <c r="O1636" s="60">
        <f t="shared" si="2"/>
        <v>0</v>
      </c>
      <c r="P1636" s="65" t="str">
        <f>VLOOKUP(I1636,DATABASE!C:Q,11,FALSE)</f>
        <v>#N/A</v>
      </c>
      <c r="Q1636" s="65" t="str">
        <f>VLOOKUP(I1636,DATABASE!C:Q,4,FALSE)</f>
        <v>#N/A</v>
      </c>
      <c r="R1636" s="101"/>
      <c r="U1636" s="101"/>
    </row>
    <row r="1637" ht="22.5" customHeight="1">
      <c r="A1637" s="49"/>
      <c r="C1637" s="192"/>
      <c r="D1637" s="192"/>
      <c r="E1637" s="69"/>
      <c r="F1637" s="243"/>
      <c r="G1637" s="69"/>
      <c r="H1637" s="69"/>
      <c r="I1637" s="140"/>
      <c r="J1637" s="446"/>
      <c r="K1637" s="140"/>
      <c r="L1637" s="140"/>
      <c r="M1637" s="140"/>
      <c r="N1637" s="74">
        <f t="shared" si="6"/>
        <v>0</v>
      </c>
      <c r="O1637" s="60">
        <f t="shared" si="2"/>
        <v>0</v>
      </c>
      <c r="P1637" s="65" t="str">
        <f>VLOOKUP(I1637,DATABASE!C:Q,11,FALSE)</f>
        <v>#N/A</v>
      </c>
      <c r="Q1637" s="65" t="str">
        <f>VLOOKUP(I1637,DATABASE!C:Q,4,FALSE)</f>
        <v>#N/A</v>
      </c>
      <c r="R1637" s="101"/>
      <c r="U1637" s="101"/>
    </row>
    <row r="1638" ht="22.5" customHeight="1">
      <c r="A1638" s="49"/>
      <c r="C1638" s="192"/>
      <c r="D1638" s="192"/>
      <c r="E1638" s="69"/>
      <c r="F1638" s="243"/>
      <c r="G1638" s="69"/>
      <c r="H1638" s="69"/>
      <c r="I1638" s="140"/>
      <c r="J1638" s="446"/>
      <c r="K1638" s="140"/>
      <c r="L1638" s="140"/>
      <c r="M1638" s="140"/>
      <c r="N1638" s="74">
        <f t="shared" si="6"/>
        <v>0</v>
      </c>
      <c r="O1638" s="60">
        <f t="shared" si="2"/>
        <v>0</v>
      </c>
      <c r="P1638" s="65" t="str">
        <f>VLOOKUP(I1638,DATABASE!C:Q,11,FALSE)</f>
        <v>#N/A</v>
      </c>
      <c r="Q1638" s="65" t="str">
        <f>VLOOKUP(I1638,DATABASE!C:Q,4,FALSE)</f>
        <v>#N/A</v>
      </c>
      <c r="R1638" s="101"/>
      <c r="U1638" s="101"/>
    </row>
    <row r="1639" ht="22.5" customHeight="1">
      <c r="A1639" s="49"/>
      <c r="C1639" s="192"/>
      <c r="D1639" s="192"/>
      <c r="E1639" s="69"/>
      <c r="F1639" s="243"/>
      <c r="G1639" s="69"/>
      <c r="H1639" s="69"/>
      <c r="I1639" s="140"/>
      <c r="J1639" s="446"/>
      <c r="K1639" s="140"/>
      <c r="L1639" s="140"/>
      <c r="M1639" s="140"/>
      <c r="N1639" s="74">
        <f t="shared" si="6"/>
        <v>0</v>
      </c>
      <c r="O1639" s="60">
        <f t="shared" si="2"/>
        <v>0</v>
      </c>
      <c r="P1639" s="65" t="str">
        <f>VLOOKUP(I1639,DATABASE!C:Q,11,FALSE)</f>
        <v>#N/A</v>
      </c>
      <c r="Q1639" s="65" t="str">
        <f>VLOOKUP(I1639,DATABASE!C:Q,4,FALSE)</f>
        <v>#N/A</v>
      </c>
      <c r="R1639" s="101"/>
      <c r="U1639" s="101"/>
    </row>
    <row r="1640" ht="22.5" customHeight="1">
      <c r="A1640" s="49"/>
      <c r="C1640" s="192"/>
      <c r="D1640" s="192"/>
      <c r="E1640" s="69"/>
      <c r="F1640" s="243"/>
      <c r="G1640" s="69"/>
      <c r="H1640" s="69"/>
      <c r="I1640" s="140"/>
      <c r="J1640" s="446"/>
      <c r="K1640" s="140"/>
      <c r="L1640" s="140"/>
      <c r="M1640" s="140"/>
      <c r="N1640" s="74">
        <f t="shared" si="6"/>
        <v>0</v>
      </c>
      <c r="O1640" s="60">
        <f t="shared" si="2"/>
        <v>0</v>
      </c>
      <c r="P1640" s="65" t="str">
        <f>VLOOKUP(I1640,DATABASE!C:Q,11,FALSE)</f>
        <v>#N/A</v>
      </c>
      <c r="Q1640" s="65" t="str">
        <f>VLOOKUP(I1640,DATABASE!C:Q,4,FALSE)</f>
        <v>#N/A</v>
      </c>
      <c r="R1640" s="101"/>
      <c r="U1640" s="101"/>
    </row>
    <row r="1641" ht="22.5" customHeight="1">
      <c r="A1641" s="49"/>
      <c r="C1641" s="192"/>
      <c r="D1641" s="192"/>
      <c r="E1641" s="69"/>
      <c r="F1641" s="243"/>
      <c r="G1641" s="69"/>
      <c r="H1641" s="69"/>
      <c r="I1641" s="140"/>
      <c r="J1641" s="446"/>
      <c r="K1641" s="140"/>
      <c r="L1641" s="140"/>
      <c r="M1641" s="140"/>
      <c r="N1641" s="74">
        <f t="shared" si="6"/>
        <v>0</v>
      </c>
      <c r="O1641" s="60">
        <f t="shared" si="2"/>
        <v>0</v>
      </c>
      <c r="P1641" s="65" t="str">
        <f>VLOOKUP(I1641,DATABASE!C:Q,11,FALSE)</f>
        <v>#N/A</v>
      </c>
      <c r="Q1641" s="65" t="str">
        <f>VLOOKUP(I1641,DATABASE!C:Q,4,FALSE)</f>
        <v>#N/A</v>
      </c>
      <c r="R1641" s="101"/>
      <c r="U1641" s="101"/>
    </row>
    <row r="1642" ht="22.5" customHeight="1">
      <c r="A1642" s="49"/>
      <c r="C1642" s="192"/>
      <c r="D1642" s="192"/>
      <c r="E1642" s="69"/>
      <c r="F1642" s="243"/>
      <c r="G1642" s="69"/>
      <c r="H1642" s="69"/>
      <c r="I1642" s="140"/>
      <c r="J1642" s="446"/>
      <c r="K1642" s="140"/>
      <c r="L1642" s="140"/>
      <c r="M1642" s="140"/>
      <c r="N1642" s="74">
        <f t="shared" si="6"/>
        <v>0</v>
      </c>
      <c r="O1642" s="60">
        <f t="shared" si="2"/>
        <v>0</v>
      </c>
      <c r="P1642" s="65" t="str">
        <f>VLOOKUP(I1642,DATABASE!C:Q,11,FALSE)</f>
        <v>#N/A</v>
      </c>
      <c r="Q1642" s="65" t="str">
        <f>VLOOKUP(I1642,DATABASE!C:Q,4,FALSE)</f>
        <v>#N/A</v>
      </c>
      <c r="R1642" s="101"/>
      <c r="U1642" s="101"/>
    </row>
    <row r="1643" ht="22.5" customHeight="1">
      <c r="A1643" s="49"/>
      <c r="C1643" s="192"/>
      <c r="D1643" s="192"/>
      <c r="E1643" s="69"/>
      <c r="F1643" s="243"/>
      <c r="G1643" s="69"/>
      <c r="H1643" s="69"/>
      <c r="I1643" s="140"/>
      <c r="J1643" s="446"/>
      <c r="K1643" s="140"/>
      <c r="L1643" s="140"/>
      <c r="M1643" s="140"/>
      <c r="N1643" s="74">
        <f t="shared" si="6"/>
        <v>0</v>
      </c>
      <c r="O1643" s="60">
        <f t="shared" si="2"/>
        <v>0</v>
      </c>
      <c r="P1643" s="65" t="str">
        <f>VLOOKUP(I1643,DATABASE!C:Q,11,FALSE)</f>
        <v>#N/A</v>
      </c>
      <c r="Q1643" s="65" t="str">
        <f>VLOOKUP(I1643,DATABASE!C:Q,4,FALSE)</f>
        <v>#N/A</v>
      </c>
      <c r="R1643" s="101"/>
      <c r="U1643" s="101"/>
    </row>
    <row r="1644" ht="22.5" customHeight="1">
      <c r="A1644" s="49"/>
      <c r="C1644" s="192"/>
      <c r="D1644" s="192"/>
      <c r="E1644" s="69"/>
      <c r="F1644" s="243"/>
      <c r="G1644" s="69"/>
      <c r="H1644" s="69"/>
      <c r="I1644" s="140"/>
      <c r="J1644" s="446"/>
      <c r="K1644" s="140"/>
      <c r="L1644" s="140"/>
      <c r="M1644" s="140"/>
      <c r="N1644" s="74">
        <f t="shared" si="6"/>
        <v>0</v>
      </c>
      <c r="O1644" s="60">
        <f t="shared" si="2"/>
        <v>0</v>
      </c>
      <c r="P1644" s="65" t="str">
        <f>VLOOKUP(I1644,DATABASE!C:Q,11,FALSE)</f>
        <v>#N/A</v>
      </c>
      <c r="Q1644" s="65" t="str">
        <f>VLOOKUP(I1644,DATABASE!C:Q,4,FALSE)</f>
        <v>#N/A</v>
      </c>
      <c r="R1644" s="101"/>
      <c r="U1644" s="101"/>
    </row>
    <row r="1645" ht="22.5" customHeight="1">
      <c r="A1645" s="49"/>
      <c r="C1645" s="192"/>
      <c r="D1645" s="192"/>
      <c r="E1645" s="69"/>
      <c r="F1645" s="243"/>
      <c r="G1645" s="69"/>
      <c r="H1645" s="69"/>
      <c r="I1645" s="140"/>
      <c r="J1645" s="446"/>
      <c r="K1645" s="140"/>
      <c r="L1645" s="140"/>
      <c r="M1645" s="140"/>
      <c r="N1645" s="74">
        <f t="shared" si="6"/>
        <v>0</v>
      </c>
      <c r="O1645" s="60">
        <f t="shared" si="2"/>
        <v>0</v>
      </c>
      <c r="P1645" s="65" t="str">
        <f>VLOOKUP(I1645,DATABASE!C:Q,11,FALSE)</f>
        <v>#N/A</v>
      </c>
      <c r="Q1645" s="65" t="str">
        <f>VLOOKUP(I1645,DATABASE!C:Q,4,FALSE)</f>
        <v>#N/A</v>
      </c>
      <c r="R1645" s="101"/>
      <c r="U1645" s="101"/>
    </row>
    <row r="1646" ht="22.5" customHeight="1">
      <c r="A1646" s="49"/>
      <c r="C1646" s="192"/>
      <c r="D1646" s="192"/>
      <c r="E1646" s="69"/>
      <c r="F1646" s="243"/>
      <c r="G1646" s="69"/>
      <c r="H1646" s="69"/>
      <c r="I1646" s="140"/>
      <c r="J1646" s="446"/>
      <c r="K1646" s="140"/>
      <c r="L1646" s="140"/>
      <c r="M1646" s="140"/>
      <c r="N1646" s="74">
        <f t="shared" si="6"/>
        <v>0</v>
      </c>
      <c r="O1646" s="60">
        <f t="shared" si="2"/>
        <v>0</v>
      </c>
      <c r="P1646" s="65" t="str">
        <f>VLOOKUP(I1646,DATABASE!C:Q,11,FALSE)</f>
        <v>#N/A</v>
      </c>
      <c r="Q1646" s="65" t="str">
        <f>VLOOKUP(I1646,DATABASE!C:Q,4,FALSE)</f>
        <v>#N/A</v>
      </c>
      <c r="R1646" s="101"/>
      <c r="U1646" s="101"/>
    </row>
    <row r="1647" ht="22.5" customHeight="1">
      <c r="A1647" s="49"/>
      <c r="C1647" s="192"/>
      <c r="D1647" s="192"/>
      <c r="E1647" s="69"/>
      <c r="F1647" s="243"/>
      <c r="G1647" s="69"/>
      <c r="H1647" s="69"/>
      <c r="I1647" s="140"/>
      <c r="J1647" s="446"/>
      <c r="K1647" s="140"/>
      <c r="L1647" s="140"/>
      <c r="M1647" s="140"/>
      <c r="N1647" s="74">
        <f t="shared" si="6"/>
        <v>0</v>
      </c>
      <c r="O1647" s="60">
        <f t="shared" si="2"/>
        <v>0</v>
      </c>
      <c r="P1647" s="65" t="str">
        <f>VLOOKUP(I1647,DATABASE!C:Q,11,FALSE)</f>
        <v>#N/A</v>
      </c>
      <c r="Q1647" s="65" t="str">
        <f>VLOOKUP(I1647,DATABASE!C:Q,4,FALSE)</f>
        <v>#N/A</v>
      </c>
      <c r="R1647" s="101"/>
      <c r="U1647" s="101"/>
    </row>
    <row r="1648" ht="22.5" customHeight="1">
      <c r="A1648" s="49"/>
      <c r="C1648" s="192"/>
      <c r="D1648" s="192"/>
      <c r="E1648" s="69"/>
      <c r="F1648" s="243"/>
      <c r="G1648" s="69"/>
      <c r="H1648" s="69"/>
      <c r="I1648" s="140"/>
      <c r="J1648" s="446"/>
      <c r="K1648" s="140"/>
      <c r="L1648" s="140"/>
      <c r="M1648" s="140"/>
      <c r="N1648" s="74">
        <f t="shared" si="6"/>
        <v>0</v>
      </c>
      <c r="O1648" s="60">
        <f t="shared" si="2"/>
        <v>0</v>
      </c>
      <c r="P1648" s="65" t="str">
        <f>VLOOKUP(I1648,DATABASE!C:Q,11,FALSE)</f>
        <v>#N/A</v>
      </c>
      <c r="Q1648" s="65" t="str">
        <f>VLOOKUP(I1648,DATABASE!C:Q,4,FALSE)</f>
        <v>#N/A</v>
      </c>
      <c r="R1648" s="101"/>
      <c r="U1648" s="101"/>
    </row>
    <row r="1649" ht="22.5" customHeight="1">
      <c r="A1649" s="49"/>
      <c r="C1649" s="192"/>
      <c r="D1649" s="192"/>
      <c r="E1649" s="69"/>
      <c r="F1649" s="243"/>
      <c r="G1649" s="69"/>
      <c r="H1649" s="69"/>
      <c r="I1649" s="140"/>
      <c r="J1649" s="446"/>
      <c r="K1649" s="140"/>
      <c r="L1649" s="140"/>
      <c r="M1649" s="140"/>
      <c r="N1649" s="74">
        <f t="shared" si="6"/>
        <v>0</v>
      </c>
      <c r="O1649" s="60">
        <f t="shared" si="2"/>
        <v>0</v>
      </c>
      <c r="P1649" s="65" t="str">
        <f>VLOOKUP(I1649,DATABASE!C:Q,11,FALSE)</f>
        <v>#N/A</v>
      </c>
      <c r="Q1649" s="65" t="str">
        <f>VLOOKUP(I1649,DATABASE!C:Q,4,FALSE)</f>
        <v>#N/A</v>
      </c>
      <c r="R1649" s="101"/>
      <c r="U1649" s="101"/>
    </row>
    <row r="1650" ht="22.5" customHeight="1">
      <c r="A1650" s="49"/>
      <c r="C1650" s="192"/>
      <c r="D1650" s="192"/>
      <c r="E1650" s="69"/>
      <c r="F1650" s="243"/>
      <c r="G1650" s="69"/>
      <c r="H1650" s="69"/>
      <c r="I1650" s="140"/>
      <c r="J1650" s="446"/>
      <c r="K1650" s="140"/>
      <c r="L1650" s="140"/>
      <c r="M1650" s="140"/>
      <c r="N1650" s="74">
        <f t="shared" si="6"/>
        <v>0</v>
      </c>
      <c r="O1650" s="60">
        <f t="shared" si="2"/>
        <v>0</v>
      </c>
      <c r="P1650" s="65" t="str">
        <f>VLOOKUP(I1650,DATABASE!C:Q,11,FALSE)</f>
        <v>#N/A</v>
      </c>
      <c r="Q1650" s="65" t="str">
        <f>VLOOKUP(I1650,DATABASE!C:Q,4,FALSE)</f>
        <v>#N/A</v>
      </c>
      <c r="R1650" s="101"/>
      <c r="U1650" s="101"/>
    </row>
    <row r="1651" ht="22.5" customHeight="1">
      <c r="A1651" s="49"/>
      <c r="C1651" s="192"/>
      <c r="D1651" s="192"/>
      <c r="E1651" s="69"/>
      <c r="F1651" s="243"/>
      <c r="G1651" s="69"/>
      <c r="H1651" s="69"/>
      <c r="I1651" s="140"/>
      <c r="J1651" s="446"/>
      <c r="K1651" s="140"/>
      <c r="L1651" s="140"/>
      <c r="M1651" s="140"/>
      <c r="N1651" s="74">
        <f t="shared" si="6"/>
        <v>0</v>
      </c>
      <c r="O1651" s="60">
        <f t="shared" si="2"/>
        <v>0</v>
      </c>
      <c r="P1651" s="65" t="str">
        <f>VLOOKUP(I1651,DATABASE!C:Q,11,FALSE)</f>
        <v>#N/A</v>
      </c>
      <c r="Q1651" s="65" t="str">
        <f>VLOOKUP(I1651,DATABASE!C:Q,4,FALSE)</f>
        <v>#N/A</v>
      </c>
      <c r="R1651" s="101"/>
      <c r="U1651" s="101"/>
    </row>
    <row r="1652" ht="22.5" customHeight="1">
      <c r="A1652" s="49"/>
      <c r="C1652" s="192"/>
      <c r="D1652" s="192"/>
      <c r="E1652" s="69"/>
      <c r="F1652" s="243"/>
      <c r="G1652" s="69"/>
      <c r="H1652" s="69"/>
      <c r="I1652" s="140"/>
      <c r="J1652" s="446"/>
      <c r="K1652" s="140"/>
      <c r="L1652" s="140"/>
      <c r="M1652" s="140"/>
      <c r="N1652" s="74">
        <f t="shared" si="6"/>
        <v>0</v>
      </c>
      <c r="O1652" s="60">
        <f t="shared" si="2"/>
        <v>0</v>
      </c>
      <c r="P1652" s="65" t="str">
        <f>VLOOKUP(I1652,DATABASE!C:Q,11,FALSE)</f>
        <v>#N/A</v>
      </c>
      <c r="Q1652" s="65" t="str">
        <f>VLOOKUP(I1652,DATABASE!C:Q,4,FALSE)</f>
        <v>#N/A</v>
      </c>
      <c r="R1652" s="101"/>
      <c r="U1652" s="101"/>
    </row>
    <row r="1653" ht="22.5" customHeight="1">
      <c r="A1653" s="49"/>
      <c r="C1653" s="192"/>
      <c r="D1653" s="192"/>
      <c r="E1653" s="69"/>
      <c r="F1653" s="243"/>
      <c r="G1653" s="69"/>
      <c r="H1653" s="69"/>
      <c r="I1653" s="140"/>
      <c r="J1653" s="446"/>
      <c r="K1653" s="140"/>
      <c r="L1653" s="140"/>
      <c r="M1653" s="140"/>
      <c r="N1653" s="74">
        <f t="shared" si="6"/>
        <v>0</v>
      </c>
      <c r="O1653" s="60">
        <f t="shared" si="2"/>
        <v>0</v>
      </c>
      <c r="P1653" s="65" t="str">
        <f>VLOOKUP(I1653,DATABASE!C:Q,11,FALSE)</f>
        <v>#N/A</v>
      </c>
      <c r="Q1653" s="65" t="str">
        <f>VLOOKUP(I1653,DATABASE!C:Q,4,FALSE)</f>
        <v>#N/A</v>
      </c>
      <c r="R1653" s="101"/>
      <c r="U1653" s="101"/>
    </row>
    <row r="1654" ht="22.5" customHeight="1">
      <c r="A1654" s="49"/>
      <c r="C1654" s="192"/>
      <c r="D1654" s="192"/>
      <c r="E1654" s="69"/>
      <c r="F1654" s="243"/>
      <c r="G1654" s="69"/>
      <c r="H1654" s="69"/>
      <c r="I1654" s="140"/>
      <c r="J1654" s="446"/>
      <c r="K1654" s="140"/>
      <c r="L1654" s="140"/>
      <c r="M1654" s="140"/>
      <c r="N1654" s="74">
        <f t="shared" si="6"/>
        <v>0</v>
      </c>
      <c r="O1654" s="60">
        <f t="shared" si="2"/>
        <v>0</v>
      </c>
      <c r="P1654" s="65" t="str">
        <f>VLOOKUP(I1654,DATABASE!C:Q,11,FALSE)</f>
        <v>#N/A</v>
      </c>
      <c r="Q1654" s="65" t="str">
        <f>VLOOKUP(I1654,DATABASE!C:Q,4,FALSE)</f>
        <v>#N/A</v>
      </c>
      <c r="R1654" s="101"/>
      <c r="U1654" s="101"/>
    </row>
    <row r="1655" ht="22.5" customHeight="1">
      <c r="A1655" s="49"/>
      <c r="C1655" s="192"/>
      <c r="D1655" s="192"/>
      <c r="E1655" s="69"/>
      <c r="F1655" s="243"/>
      <c r="G1655" s="69"/>
      <c r="H1655" s="69"/>
      <c r="I1655" s="140"/>
      <c r="J1655" s="446"/>
      <c r="K1655" s="140"/>
      <c r="L1655" s="140"/>
      <c r="M1655" s="140"/>
      <c r="N1655" s="74">
        <f t="shared" si="6"/>
        <v>0</v>
      </c>
      <c r="O1655" s="60">
        <f t="shared" si="2"/>
        <v>0</v>
      </c>
      <c r="P1655" s="65" t="str">
        <f>VLOOKUP(I1655,DATABASE!C:Q,11,FALSE)</f>
        <v>#N/A</v>
      </c>
      <c r="Q1655" s="65" t="str">
        <f>VLOOKUP(I1655,DATABASE!C:Q,4,FALSE)</f>
        <v>#N/A</v>
      </c>
      <c r="R1655" s="101"/>
      <c r="U1655" s="101"/>
    </row>
    <row r="1656" ht="22.5" customHeight="1">
      <c r="A1656" s="49"/>
      <c r="C1656" s="192"/>
      <c r="D1656" s="192"/>
      <c r="E1656" s="69"/>
      <c r="F1656" s="243"/>
      <c r="G1656" s="69"/>
      <c r="H1656" s="69"/>
      <c r="I1656" s="140"/>
      <c r="J1656" s="446"/>
      <c r="K1656" s="140"/>
      <c r="L1656" s="140"/>
      <c r="M1656" s="140"/>
      <c r="N1656" s="74">
        <f t="shared" si="6"/>
        <v>0</v>
      </c>
      <c r="O1656" s="60">
        <f t="shared" si="2"/>
        <v>0</v>
      </c>
      <c r="P1656" s="65" t="str">
        <f>VLOOKUP(I1656,DATABASE!C:Q,11,FALSE)</f>
        <v>#N/A</v>
      </c>
      <c r="Q1656" s="65" t="str">
        <f>VLOOKUP(I1656,DATABASE!C:Q,4,FALSE)</f>
        <v>#N/A</v>
      </c>
      <c r="R1656" s="101"/>
      <c r="U1656" s="101"/>
    </row>
    <row r="1657" ht="22.5" customHeight="1">
      <c r="A1657" s="49"/>
      <c r="C1657" s="192"/>
      <c r="D1657" s="192"/>
      <c r="E1657" s="69"/>
      <c r="F1657" s="243"/>
      <c r="G1657" s="69"/>
      <c r="H1657" s="69"/>
      <c r="I1657" s="140"/>
      <c r="J1657" s="446"/>
      <c r="K1657" s="140"/>
      <c r="L1657" s="140"/>
      <c r="M1657" s="140"/>
      <c r="N1657" s="74">
        <f t="shared" si="6"/>
        <v>0</v>
      </c>
      <c r="O1657" s="60">
        <f t="shared" si="2"/>
        <v>0</v>
      </c>
      <c r="P1657" s="65" t="str">
        <f>VLOOKUP(I1657,DATABASE!C:Q,11,FALSE)</f>
        <v>#N/A</v>
      </c>
      <c r="Q1657" s="65" t="str">
        <f>VLOOKUP(I1657,DATABASE!C:Q,4,FALSE)</f>
        <v>#N/A</v>
      </c>
      <c r="R1657" s="101"/>
      <c r="U1657" s="101"/>
    </row>
    <row r="1658" ht="22.5" customHeight="1">
      <c r="A1658" s="49"/>
      <c r="C1658" s="192"/>
      <c r="D1658" s="192"/>
      <c r="E1658" s="69"/>
      <c r="F1658" s="243"/>
      <c r="G1658" s="69"/>
      <c r="H1658" s="69"/>
      <c r="I1658" s="140"/>
      <c r="J1658" s="446"/>
      <c r="K1658" s="140"/>
      <c r="L1658" s="140"/>
      <c r="M1658" s="140"/>
      <c r="N1658" s="74">
        <f t="shared" si="6"/>
        <v>0</v>
      </c>
      <c r="O1658" s="60">
        <f t="shared" si="2"/>
        <v>0</v>
      </c>
      <c r="P1658" s="65" t="str">
        <f>VLOOKUP(I1658,DATABASE!C:Q,11,FALSE)</f>
        <v>#N/A</v>
      </c>
      <c r="Q1658" s="65" t="str">
        <f>VLOOKUP(I1658,DATABASE!C:Q,4,FALSE)</f>
        <v>#N/A</v>
      </c>
      <c r="R1658" s="101"/>
      <c r="U1658" s="101"/>
    </row>
    <row r="1659" ht="22.5" customHeight="1">
      <c r="A1659" s="49"/>
      <c r="C1659" s="192"/>
      <c r="D1659" s="192"/>
      <c r="E1659" s="69"/>
      <c r="F1659" s="243"/>
      <c r="G1659" s="69"/>
      <c r="H1659" s="69"/>
      <c r="I1659" s="140"/>
      <c r="J1659" s="446"/>
      <c r="K1659" s="140"/>
      <c r="L1659" s="140"/>
      <c r="M1659" s="140"/>
      <c r="N1659" s="74">
        <f t="shared" si="6"/>
        <v>0</v>
      </c>
      <c r="O1659" s="60">
        <f t="shared" si="2"/>
        <v>0</v>
      </c>
      <c r="P1659" s="65" t="str">
        <f>VLOOKUP(I1659,DATABASE!C:Q,11,FALSE)</f>
        <v>#N/A</v>
      </c>
      <c r="Q1659" s="65" t="str">
        <f>VLOOKUP(I1659,DATABASE!C:Q,4,FALSE)</f>
        <v>#N/A</v>
      </c>
      <c r="R1659" s="101"/>
      <c r="U1659" s="101"/>
    </row>
    <row r="1660" ht="22.5" customHeight="1">
      <c r="A1660" s="49"/>
      <c r="C1660" s="192"/>
      <c r="D1660" s="192"/>
      <c r="E1660" s="69"/>
      <c r="F1660" s="243"/>
      <c r="G1660" s="69"/>
      <c r="H1660" s="69"/>
      <c r="I1660" s="140"/>
      <c r="J1660" s="446"/>
      <c r="K1660" s="140"/>
      <c r="L1660" s="140"/>
      <c r="M1660" s="140"/>
      <c r="N1660" s="74">
        <f t="shared" si="6"/>
        <v>0</v>
      </c>
      <c r="O1660" s="60">
        <f t="shared" si="2"/>
        <v>0</v>
      </c>
      <c r="P1660" s="65" t="str">
        <f>VLOOKUP(I1660,DATABASE!C:Q,11,FALSE)</f>
        <v>#N/A</v>
      </c>
      <c r="Q1660" s="65" t="str">
        <f>VLOOKUP(I1660,DATABASE!C:Q,4,FALSE)</f>
        <v>#N/A</v>
      </c>
      <c r="R1660" s="101"/>
      <c r="U1660" s="101"/>
    </row>
    <row r="1661" ht="22.5" customHeight="1">
      <c r="A1661" s="49"/>
      <c r="C1661" s="192"/>
      <c r="D1661" s="192"/>
      <c r="E1661" s="69"/>
      <c r="F1661" s="243"/>
      <c r="G1661" s="69"/>
      <c r="H1661" s="69"/>
      <c r="I1661" s="140"/>
      <c r="J1661" s="446"/>
      <c r="K1661" s="140"/>
      <c r="L1661" s="140"/>
      <c r="M1661" s="140"/>
      <c r="N1661" s="74">
        <f t="shared" si="6"/>
        <v>0</v>
      </c>
      <c r="O1661" s="60">
        <f t="shared" si="2"/>
        <v>0</v>
      </c>
      <c r="P1661" s="65" t="str">
        <f>VLOOKUP(I1661,DATABASE!C:Q,11,FALSE)</f>
        <v>#N/A</v>
      </c>
      <c r="Q1661" s="65" t="str">
        <f>VLOOKUP(I1661,DATABASE!C:Q,4,FALSE)</f>
        <v>#N/A</v>
      </c>
      <c r="R1661" s="101"/>
      <c r="U1661" s="101"/>
    </row>
    <row r="1662" ht="22.5" customHeight="1">
      <c r="A1662" s="49"/>
      <c r="C1662" s="192"/>
      <c r="D1662" s="192"/>
      <c r="E1662" s="69"/>
      <c r="F1662" s="243"/>
      <c r="G1662" s="69"/>
      <c r="H1662" s="69"/>
      <c r="I1662" s="140"/>
      <c r="J1662" s="446"/>
      <c r="K1662" s="140"/>
      <c r="L1662" s="140"/>
      <c r="M1662" s="140"/>
      <c r="N1662" s="74">
        <f t="shared" si="6"/>
        <v>0</v>
      </c>
      <c r="O1662" s="60">
        <f t="shared" si="2"/>
        <v>0</v>
      </c>
      <c r="P1662" s="65" t="str">
        <f>VLOOKUP(I1662,DATABASE!C:Q,11,FALSE)</f>
        <v>#N/A</v>
      </c>
      <c r="Q1662" s="65" t="str">
        <f>VLOOKUP(I1662,DATABASE!C:Q,4,FALSE)</f>
        <v>#N/A</v>
      </c>
      <c r="R1662" s="101"/>
      <c r="U1662" s="101"/>
    </row>
    <row r="1663" ht="22.5" customHeight="1">
      <c r="A1663" s="49"/>
      <c r="C1663" s="192"/>
      <c r="D1663" s="192"/>
      <c r="E1663" s="69"/>
      <c r="F1663" s="243"/>
      <c r="G1663" s="69"/>
      <c r="H1663" s="69"/>
      <c r="I1663" s="140"/>
      <c r="J1663" s="446"/>
      <c r="K1663" s="140"/>
      <c r="L1663" s="140"/>
      <c r="M1663" s="140"/>
      <c r="N1663" s="74">
        <f t="shared" si="6"/>
        <v>0</v>
      </c>
      <c r="O1663" s="60">
        <f t="shared" si="2"/>
        <v>0</v>
      </c>
      <c r="P1663" s="65" t="str">
        <f>VLOOKUP(I1663,DATABASE!C:Q,11,FALSE)</f>
        <v>#N/A</v>
      </c>
      <c r="Q1663" s="65" t="str">
        <f>VLOOKUP(I1663,DATABASE!C:Q,4,FALSE)</f>
        <v>#N/A</v>
      </c>
      <c r="R1663" s="101"/>
      <c r="U1663" s="101"/>
    </row>
    <row r="1664" ht="22.5" customHeight="1">
      <c r="A1664" s="49"/>
      <c r="C1664" s="192"/>
      <c r="D1664" s="192"/>
      <c r="E1664" s="69"/>
      <c r="F1664" s="243"/>
      <c r="G1664" s="69"/>
      <c r="H1664" s="69"/>
      <c r="I1664" s="140"/>
      <c r="J1664" s="446"/>
      <c r="K1664" s="140"/>
      <c r="L1664" s="140"/>
      <c r="M1664" s="140"/>
      <c r="N1664" s="74">
        <f t="shared" si="6"/>
        <v>0</v>
      </c>
      <c r="O1664" s="60">
        <f t="shared" si="2"/>
        <v>0</v>
      </c>
      <c r="P1664" s="65" t="str">
        <f>VLOOKUP(I1664,DATABASE!C:Q,11,FALSE)</f>
        <v>#N/A</v>
      </c>
      <c r="Q1664" s="65" t="str">
        <f>VLOOKUP(I1664,DATABASE!C:Q,4,FALSE)</f>
        <v>#N/A</v>
      </c>
      <c r="R1664" s="101"/>
      <c r="U1664" s="101"/>
    </row>
    <row r="1665" ht="22.5" customHeight="1">
      <c r="A1665" s="49"/>
      <c r="C1665" s="192"/>
      <c r="D1665" s="192"/>
      <c r="E1665" s="69"/>
      <c r="F1665" s="243"/>
      <c r="G1665" s="69"/>
      <c r="H1665" s="69"/>
      <c r="I1665" s="140"/>
      <c r="J1665" s="446"/>
      <c r="K1665" s="140"/>
      <c r="L1665" s="140"/>
      <c r="M1665" s="140"/>
      <c r="N1665" s="74">
        <f t="shared" si="6"/>
        <v>0</v>
      </c>
      <c r="O1665" s="60">
        <f t="shared" si="2"/>
        <v>0</v>
      </c>
      <c r="P1665" s="65" t="str">
        <f>VLOOKUP(I1665,DATABASE!C:Q,11,FALSE)</f>
        <v>#N/A</v>
      </c>
      <c r="Q1665" s="65" t="str">
        <f>VLOOKUP(I1665,DATABASE!C:Q,4,FALSE)</f>
        <v>#N/A</v>
      </c>
      <c r="R1665" s="101"/>
      <c r="U1665" s="101"/>
    </row>
    <row r="1666" ht="22.5" customHeight="1">
      <c r="A1666" s="49"/>
      <c r="C1666" s="192"/>
      <c r="D1666" s="192"/>
      <c r="E1666" s="69"/>
      <c r="F1666" s="243"/>
      <c r="G1666" s="69"/>
      <c r="H1666" s="69"/>
      <c r="I1666" s="140"/>
      <c r="J1666" s="446"/>
      <c r="K1666" s="140"/>
      <c r="L1666" s="140"/>
      <c r="M1666" s="140"/>
      <c r="N1666" s="74">
        <f t="shared" si="6"/>
        <v>0</v>
      </c>
      <c r="O1666" s="60">
        <f t="shared" si="2"/>
        <v>0</v>
      </c>
      <c r="P1666" s="65" t="str">
        <f>VLOOKUP(I1666,DATABASE!C:Q,11,FALSE)</f>
        <v>#N/A</v>
      </c>
      <c r="Q1666" s="65" t="str">
        <f>VLOOKUP(I1666,DATABASE!C:Q,4,FALSE)</f>
        <v>#N/A</v>
      </c>
      <c r="R1666" s="101"/>
      <c r="U1666" s="101"/>
    </row>
    <row r="1667" ht="22.5" customHeight="1">
      <c r="A1667" s="49"/>
      <c r="C1667" s="192"/>
      <c r="D1667" s="192"/>
      <c r="E1667" s="69"/>
      <c r="F1667" s="243"/>
      <c r="G1667" s="69"/>
      <c r="H1667" s="69"/>
      <c r="I1667" s="140"/>
      <c r="J1667" s="446"/>
      <c r="K1667" s="140"/>
      <c r="L1667" s="140"/>
      <c r="M1667" s="140"/>
      <c r="N1667" s="74">
        <f t="shared" si="6"/>
        <v>0</v>
      </c>
      <c r="O1667" s="60">
        <f t="shared" si="2"/>
        <v>0</v>
      </c>
      <c r="P1667" s="65" t="str">
        <f>VLOOKUP(I1667,DATABASE!C:Q,11,FALSE)</f>
        <v>#N/A</v>
      </c>
      <c r="Q1667" s="65" t="str">
        <f>VLOOKUP(I1667,DATABASE!C:Q,4,FALSE)</f>
        <v>#N/A</v>
      </c>
      <c r="R1667" s="101"/>
      <c r="U1667" s="101"/>
    </row>
    <row r="1668" ht="22.5" customHeight="1">
      <c r="A1668" s="49"/>
      <c r="C1668" s="192"/>
      <c r="D1668" s="192"/>
      <c r="E1668" s="69"/>
      <c r="F1668" s="243"/>
      <c r="G1668" s="69"/>
      <c r="H1668" s="69"/>
      <c r="I1668" s="140"/>
      <c r="J1668" s="446"/>
      <c r="K1668" s="140"/>
      <c r="L1668" s="140"/>
      <c r="M1668" s="140"/>
      <c r="N1668" s="74">
        <f t="shared" si="6"/>
        <v>0</v>
      </c>
      <c r="O1668" s="60">
        <f t="shared" si="2"/>
        <v>0</v>
      </c>
      <c r="P1668" s="65" t="str">
        <f>VLOOKUP(I1668,DATABASE!C:Q,11,FALSE)</f>
        <v>#N/A</v>
      </c>
      <c r="Q1668" s="65" t="str">
        <f>VLOOKUP(I1668,DATABASE!C:Q,4,FALSE)</f>
        <v>#N/A</v>
      </c>
      <c r="R1668" s="101"/>
      <c r="U1668" s="101"/>
    </row>
    <row r="1669" ht="22.5" customHeight="1">
      <c r="A1669" s="49"/>
      <c r="C1669" s="192"/>
      <c r="D1669" s="192"/>
      <c r="E1669" s="69"/>
      <c r="F1669" s="243"/>
      <c r="G1669" s="69"/>
      <c r="H1669" s="69"/>
      <c r="I1669" s="140"/>
      <c r="J1669" s="446"/>
      <c r="K1669" s="140"/>
      <c r="L1669" s="140"/>
      <c r="M1669" s="140"/>
      <c r="N1669" s="74">
        <f t="shared" si="6"/>
        <v>0</v>
      </c>
      <c r="O1669" s="60">
        <f t="shared" si="2"/>
        <v>0</v>
      </c>
      <c r="P1669" s="65" t="str">
        <f>VLOOKUP(I1669,DATABASE!C:Q,11,FALSE)</f>
        <v>#N/A</v>
      </c>
      <c r="Q1669" s="65" t="str">
        <f>VLOOKUP(I1669,DATABASE!C:Q,4,FALSE)</f>
        <v>#N/A</v>
      </c>
      <c r="R1669" s="101"/>
      <c r="U1669" s="101"/>
    </row>
    <row r="1670" ht="22.5" customHeight="1">
      <c r="A1670" s="49"/>
      <c r="C1670" s="192"/>
      <c r="D1670" s="192"/>
      <c r="E1670" s="69"/>
      <c r="F1670" s="243"/>
      <c r="G1670" s="69"/>
      <c r="H1670" s="69"/>
      <c r="I1670" s="140"/>
      <c r="J1670" s="446"/>
      <c r="K1670" s="140"/>
      <c r="L1670" s="140"/>
      <c r="M1670" s="140"/>
      <c r="N1670" s="74">
        <f t="shared" si="6"/>
        <v>0</v>
      </c>
      <c r="O1670" s="60">
        <f t="shared" si="2"/>
        <v>0</v>
      </c>
      <c r="P1670" s="65" t="str">
        <f>VLOOKUP(I1670,DATABASE!C:Q,11,FALSE)</f>
        <v>#N/A</v>
      </c>
      <c r="Q1670" s="65" t="str">
        <f>VLOOKUP(I1670,DATABASE!C:Q,4,FALSE)</f>
        <v>#N/A</v>
      </c>
      <c r="R1670" s="101"/>
      <c r="U1670" s="101"/>
    </row>
    <row r="1671" ht="22.5" customHeight="1">
      <c r="A1671" s="49"/>
      <c r="C1671" s="192"/>
      <c r="D1671" s="192"/>
      <c r="E1671" s="69"/>
      <c r="F1671" s="243"/>
      <c r="G1671" s="69"/>
      <c r="H1671" s="69"/>
      <c r="I1671" s="140"/>
      <c r="J1671" s="446"/>
      <c r="K1671" s="140"/>
      <c r="L1671" s="140"/>
      <c r="M1671" s="140"/>
      <c r="N1671" s="74">
        <f t="shared" si="6"/>
        <v>0</v>
      </c>
      <c r="O1671" s="60">
        <f t="shared" si="2"/>
        <v>0</v>
      </c>
      <c r="P1671" s="65" t="str">
        <f>VLOOKUP(I1671,DATABASE!C:Q,11,FALSE)</f>
        <v>#N/A</v>
      </c>
      <c r="Q1671" s="65" t="str">
        <f>VLOOKUP(I1671,DATABASE!C:Q,4,FALSE)</f>
        <v>#N/A</v>
      </c>
      <c r="R1671" s="101"/>
      <c r="U1671" s="101"/>
    </row>
    <row r="1672" ht="22.5" customHeight="1">
      <c r="A1672" s="49"/>
      <c r="C1672" s="192"/>
      <c r="D1672" s="192"/>
      <c r="E1672" s="69"/>
      <c r="F1672" s="243"/>
      <c r="G1672" s="69"/>
      <c r="H1672" s="69"/>
      <c r="I1672" s="140"/>
      <c r="J1672" s="446"/>
      <c r="K1672" s="140"/>
      <c r="L1672" s="140"/>
      <c r="M1672" s="140"/>
      <c r="N1672" s="74">
        <f t="shared" si="6"/>
        <v>0</v>
      </c>
      <c r="O1672" s="60">
        <f t="shared" si="2"/>
        <v>0</v>
      </c>
      <c r="P1672" s="65" t="str">
        <f>VLOOKUP(I1672,DATABASE!C:Q,11,FALSE)</f>
        <v>#N/A</v>
      </c>
      <c r="Q1672" s="65" t="str">
        <f>VLOOKUP(I1672,DATABASE!C:Q,4,FALSE)</f>
        <v>#N/A</v>
      </c>
      <c r="R1672" s="101"/>
      <c r="U1672" s="101"/>
    </row>
    <row r="1673" ht="22.5" customHeight="1">
      <c r="A1673" s="49"/>
      <c r="C1673" s="192"/>
      <c r="D1673" s="192"/>
      <c r="E1673" s="69"/>
      <c r="F1673" s="243"/>
      <c r="G1673" s="69"/>
      <c r="H1673" s="69"/>
      <c r="I1673" s="140"/>
      <c r="J1673" s="446"/>
      <c r="K1673" s="140"/>
      <c r="L1673" s="140"/>
      <c r="M1673" s="140"/>
      <c r="N1673" s="74">
        <f t="shared" si="6"/>
        <v>0</v>
      </c>
      <c r="O1673" s="60">
        <f t="shared" si="2"/>
        <v>0</v>
      </c>
      <c r="P1673" s="65" t="str">
        <f>VLOOKUP(I1673,DATABASE!C:Q,11,FALSE)</f>
        <v>#N/A</v>
      </c>
      <c r="Q1673" s="65" t="str">
        <f>VLOOKUP(I1673,DATABASE!C:Q,4,FALSE)</f>
        <v>#N/A</v>
      </c>
      <c r="R1673" s="101"/>
      <c r="U1673" s="101"/>
    </row>
    <row r="1674" ht="22.5" customHeight="1">
      <c r="A1674" s="49"/>
      <c r="C1674" s="192"/>
      <c r="D1674" s="192"/>
      <c r="E1674" s="69"/>
      <c r="F1674" s="243"/>
      <c r="G1674" s="69"/>
      <c r="H1674" s="69"/>
      <c r="I1674" s="140"/>
      <c r="J1674" s="446"/>
      <c r="K1674" s="140"/>
      <c r="L1674" s="140"/>
      <c r="M1674" s="140"/>
      <c r="N1674" s="74">
        <f t="shared" si="6"/>
        <v>0</v>
      </c>
      <c r="O1674" s="60">
        <f t="shared" si="2"/>
        <v>0</v>
      </c>
      <c r="P1674" s="65" t="str">
        <f>VLOOKUP(I1674,DATABASE!C:Q,11,FALSE)</f>
        <v>#N/A</v>
      </c>
      <c r="Q1674" s="65" t="str">
        <f>VLOOKUP(I1674,DATABASE!C:Q,4,FALSE)</f>
        <v>#N/A</v>
      </c>
      <c r="R1674" s="101"/>
      <c r="U1674" s="101"/>
    </row>
    <row r="1675" ht="22.5" customHeight="1">
      <c r="A1675" s="49"/>
      <c r="C1675" s="192"/>
      <c r="D1675" s="192"/>
      <c r="E1675" s="69"/>
      <c r="F1675" s="243"/>
      <c r="G1675" s="69"/>
      <c r="H1675" s="69"/>
      <c r="I1675" s="140"/>
      <c r="J1675" s="446"/>
      <c r="K1675" s="140"/>
      <c r="L1675" s="140"/>
      <c r="M1675" s="140"/>
      <c r="N1675" s="74">
        <f t="shared" si="6"/>
        <v>0</v>
      </c>
      <c r="O1675" s="60">
        <f t="shared" si="2"/>
        <v>0</v>
      </c>
      <c r="P1675" s="65" t="str">
        <f>VLOOKUP(I1675,DATABASE!C:Q,11,FALSE)</f>
        <v>#N/A</v>
      </c>
      <c r="Q1675" s="65" t="str">
        <f>VLOOKUP(I1675,DATABASE!C:Q,4,FALSE)</f>
        <v>#N/A</v>
      </c>
      <c r="R1675" s="101"/>
      <c r="U1675" s="101"/>
    </row>
    <row r="1676" ht="22.5" customHeight="1">
      <c r="A1676" s="49"/>
      <c r="C1676" s="192"/>
      <c r="D1676" s="192"/>
      <c r="E1676" s="69"/>
      <c r="F1676" s="243"/>
      <c r="G1676" s="69"/>
      <c r="H1676" s="69"/>
      <c r="I1676" s="140"/>
      <c r="J1676" s="446"/>
      <c r="K1676" s="140"/>
      <c r="L1676" s="140"/>
      <c r="M1676" s="140"/>
      <c r="N1676" s="74">
        <f t="shared" si="6"/>
        <v>0</v>
      </c>
      <c r="O1676" s="60">
        <f t="shared" si="2"/>
        <v>0</v>
      </c>
      <c r="P1676" s="65" t="str">
        <f>VLOOKUP(I1676,DATABASE!C:Q,11,FALSE)</f>
        <v>#N/A</v>
      </c>
      <c r="Q1676" s="65" t="str">
        <f>VLOOKUP(I1676,DATABASE!C:Q,4,FALSE)</f>
        <v>#N/A</v>
      </c>
      <c r="R1676" s="101"/>
      <c r="U1676" s="101"/>
    </row>
    <row r="1677" ht="22.5" customHeight="1">
      <c r="A1677" s="49"/>
      <c r="C1677" s="192"/>
      <c r="D1677" s="192"/>
      <c r="E1677" s="69"/>
      <c r="F1677" s="243"/>
      <c r="G1677" s="69"/>
      <c r="H1677" s="69"/>
      <c r="I1677" s="140"/>
      <c r="J1677" s="446"/>
      <c r="K1677" s="140"/>
      <c r="L1677" s="140"/>
      <c r="M1677" s="140"/>
      <c r="N1677" s="74">
        <f t="shared" si="6"/>
        <v>0</v>
      </c>
      <c r="O1677" s="60">
        <f t="shared" si="2"/>
        <v>0</v>
      </c>
      <c r="P1677" s="65" t="str">
        <f>VLOOKUP(I1677,DATABASE!C:Q,11,FALSE)</f>
        <v>#N/A</v>
      </c>
      <c r="Q1677" s="65" t="str">
        <f>VLOOKUP(I1677,DATABASE!C:Q,4,FALSE)</f>
        <v>#N/A</v>
      </c>
      <c r="R1677" s="101"/>
      <c r="U1677" s="101"/>
    </row>
    <row r="1678" ht="22.5" customHeight="1">
      <c r="A1678" s="49"/>
      <c r="C1678" s="192"/>
      <c r="D1678" s="192"/>
      <c r="E1678" s="69"/>
      <c r="F1678" s="243"/>
      <c r="G1678" s="69"/>
      <c r="H1678" s="69"/>
      <c r="I1678" s="140"/>
      <c r="J1678" s="446"/>
      <c r="K1678" s="140"/>
      <c r="L1678" s="140"/>
      <c r="M1678" s="140"/>
      <c r="N1678" s="74">
        <f t="shared" si="6"/>
        <v>0</v>
      </c>
      <c r="O1678" s="60">
        <f t="shared" si="2"/>
        <v>0</v>
      </c>
      <c r="P1678" s="65" t="str">
        <f>VLOOKUP(I1678,DATABASE!C:Q,11,FALSE)</f>
        <v>#N/A</v>
      </c>
      <c r="Q1678" s="65" t="str">
        <f>VLOOKUP(I1678,DATABASE!C:Q,4,FALSE)</f>
        <v>#N/A</v>
      </c>
      <c r="R1678" s="101"/>
      <c r="U1678" s="101"/>
    </row>
    <row r="1679" ht="22.5" customHeight="1">
      <c r="A1679" s="49"/>
      <c r="C1679" s="192"/>
      <c r="D1679" s="192"/>
      <c r="E1679" s="69"/>
      <c r="F1679" s="243"/>
      <c r="G1679" s="69"/>
      <c r="H1679" s="69"/>
      <c r="I1679" s="140"/>
      <c r="J1679" s="446"/>
      <c r="K1679" s="140"/>
      <c r="L1679" s="140"/>
      <c r="M1679" s="140"/>
      <c r="N1679" s="74">
        <f t="shared" si="6"/>
        <v>0</v>
      </c>
      <c r="O1679" s="60">
        <f t="shared" si="2"/>
        <v>0</v>
      </c>
      <c r="P1679" s="65" t="str">
        <f>VLOOKUP(I1679,DATABASE!C:Q,11,FALSE)</f>
        <v>#N/A</v>
      </c>
      <c r="Q1679" s="65" t="str">
        <f>VLOOKUP(I1679,DATABASE!C:Q,4,FALSE)</f>
        <v>#N/A</v>
      </c>
      <c r="R1679" s="101"/>
      <c r="U1679" s="101"/>
    </row>
    <row r="1680" ht="22.5" customHeight="1">
      <c r="A1680" s="49"/>
      <c r="C1680" s="192"/>
      <c r="D1680" s="192"/>
      <c r="E1680" s="69"/>
      <c r="F1680" s="243"/>
      <c r="G1680" s="69"/>
      <c r="H1680" s="69"/>
      <c r="I1680" s="140"/>
      <c r="J1680" s="446"/>
      <c r="K1680" s="140"/>
      <c r="L1680" s="140"/>
      <c r="M1680" s="140"/>
      <c r="N1680" s="74">
        <f t="shared" si="6"/>
        <v>0</v>
      </c>
      <c r="O1680" s="60">
        <f t="shared" si="2"/>
        <v>0</v>
      </c>
      <c r="P1680" s="65" t="str">
        <f>VLOOKUP(I1680,DATABASE!C:Q,11,FALSE)</f>
        <v>#N/A</v>
      </c>
      <c r="Q1680" s="65" t="str">
        <f>VLOOKUP(I1680,DATABASE!C:Q,4,FALSE)</f>
        <v>#N/A</v>
      </c>
      <c r="R1680" s="101"/>
      <c r="U1680" s="101"/>
    </row>
    <row r="1681" ht="22.5" customHeight="1">
      <c r="A1681" s="49"/>
      <c r="C1681" s="192"/>
      <c r="D1681" s="192"/>
      <c r="E1681" s="69"/>
      <c r="F1681" s="243"/>
      <c r="G1681" s="69"/>
      <c r="H1681" s="69"/>
      <c r="I1681" s="140"/>
      <c r="J1681" s="446"/>
      <c r="K1681" s="140"/>
      <c r="L1681" s="140"/>
      <c r="M1681" s="140"/>
      <c r="N1681" s="74">
        <f t="shared" si="6"/>
        <v>0</v>
      </c>
      <c r="O1681" s="60">
        <f t="shared" si="2"/>
        <v>0</v>
      </c>
      <c r="P1681" s="65" t="str">
        <f>VLOOKUP(I1681,DATABASE!C:Q,11,FALSE)</f>
        <v>#N/A</v>
      </c>
      <c r="Q1681" s="65" t="str">
        <f>VLOOKUP(I1681,DATABASE!C:Q,4,FALSE)</f>
        <v>#N/A</v>
      </c>
      <c r="R1681" s="101"/>
      <c r="U1681" s="101"/>
    </row>
    <row r="1682" ht="22.5" customHeight="1">
      <c r="A1682" s="49"/>
      <c r="C1682" s="192"/>
      <c r="D1682" s="192"/>
      <c r="E1682" s="69"/>
      <c r="F1682" s="243"/>
      <c r="G1682" s="69"/>
      <c r="H1682" s="69"/>
      <c r="I1682" s="140"/>
      <c r="J1682" s="446"/>
      <c r="K1682" s="140"/>
      <c r="L1682" s="140"/>
      <c r="M1682" s="140"/>
      <c r="N1682" s="74">
        <f t="shared" si="6"/>
        <v>0</v>
      </c>
      <c r="O1682" s="60">
        <f t="shared" si="2"/>
        <v>0</v>
      </c>
      <c r="P1682" s="65" t="str">
        <f>VLOOKUP(I1682,DATABASE!C:Q,11,FALSE)</f>
        <v>#N/A</v>
      </c>
      <c r="Q1682" s="65" t="str">
        <f>VLOOKUP(I1682,DATABASE!C:Q,4,FALSE)</f>
        <v>#N/A</v>
      </c>
      <c r="R1682" s="101"/>
      <c r="U1682" s="101"/>
    </row>
    <row r="1683" ht="22.5" customHeight="1">
      <c r="A1683" s="49"/>
      <c r="C1683" s="192"/>
      <c r="D1683" s="192"/>
      <c r="E1683" s="69"/>
      <c r="F1683" s="243"/>
      <c r="G1683" s="69"/>
      <c r="H1683" s="69"/>
      <c r="I1683" s="140"/>
      <c r="J1683" s="446"/>
      <c r="K1683" s="140"/>
      <c r="L1683" s="140"/>
      <c r="M1683" s="140"/>
      <c r="N1683" s="74">
        <f t="shared" si="6"/>
        <v>0</v>
      </c>
      <c r="O1683" s="60">
        <f t="shared" si="2"/>
        <v>0</v>
      </c>
      <c r="P1683" s="65" t="str">
        <f>VLOOKUP(I1683,DATABASE!C:Q,11,FALSE)</f>
        <v>#N/A</v>
      </c>
      <c r="Q1683" s="65" t="str">
        <f>VLOOKUP(I1683,DATABASE!C:Q,4,FALSE)</f>
        <v>#N/A</v>
      </c>
      <c r="R1683" s="101"/>
      <c r="U1683" s="101"/>
    </row>
    <row r="1684" ht="22.5" customHeight="1">
      <c r="A1684" s="49"/>
      <c r="C1684" s="192"/>
      <c r="D1684" s="192"/>
      <c r="E1684" s="69"/>
      <c r="F1684" s="243"/>
      <c r="G1684" s="69"/>
      <c r="H1684" s="69"/>
      <c r="I1684" s="140"/>
      <c r="J1684" s="446"/>
      <c r="K1684" s="140"/>
      <c r="L1684" s="140"/>
      <c r="M1684" s="140"/>
      <c r="N1684" s="74">
        <f t="shared" si="6"/>
        <v>0</v>
      </c>
      <c r="O1684" s="60">
        <f t="shared" si="2"/>
        <v>0</v>
      </c>
      <c r="P1684" s="65" t="str">
        <f>VLOOKUP(I1684,DATABASE!C:Q,11,FALSE)</f>
        <v>#N/A</v>
      </c>
      <c r="Q1684" s="65" t="str">
        <f>VLOOKUP(I1684,DATABASE!C:Q,4,FALSE)</f>
        <v>#N/A</v>
      </c>
      <c r="R1684" s="101"/>
      <c r="U1684" s="101"/>
    </row>
    <row r="1685" ht="22.5" customHeight="1">
      <c r="A1685" s="49"/>
      <c r="C1685" s="192"/>
      <c r="D1685" s="192"/>
      <c r="E1685" s="69"/>
      <c r="F1685" s="243"/>
      <c r="G1685" s="69"/>
      <c r="H1685" s="69"/>
      <c r="I1685" s="140"/>
      <c r="J1685" s="446"/>
      <c r="K1685" s="140"/>
      <c r="L1685" s="140"/>
      <c r="M1685" s="140"/>
      <c r="N1685" s="74">
        <f t="shared" si="6"/>
        <v>0</v>
      </c>
      <c r="O1685" s="60">
        <f t="shared" si="2"/>
        <v>0</v>
      </c>
      <c r="P1685" s="65" t="str">
        <f>VLOOKUP(I1685,DATABASE!C:Q,11,FALSE)</f>
        <v>#N/A</v>
      </c>
      <c r="Q1685" s="65" t="str">
        <f>VLOOKUP(I1685,DATABASE!C:Q,4,FALSE)</f>
        <v>#N/A</v>
      </c>
      <c r="R1685" s="101"/>
      <c r="U1685" s="101"/>
    </row>
    <row r="1686" ht="22.5" customHeight="1">
      <c r="A1686" s="49"/>
      <c r="C1686" s="192"/>
      <c r="D1686" s="192"/>
      <c r="E1686" s="69"/>
      <c r="F1686" s="243"/>
      <c r="G1686" s="69"/>
      <c r="H1686" s="69"/>
      <c r="I1686" s="140"/>
      <c r="J1686" s="446"/>
      <c r="K1686" s="140"/>
      <c r="L1686" s="140"/>
      <c r="M1686" s="140"/>
      <c r="N1686" s="74">
        <f t="shared" si="6"/>
        <v>0</v>
      </c>
      <c r="O1686" s="60">
        <f t="shared" si="2"/>
        <v>0</v>
      </c>
      <c r="P1686" s="65" t="str">
        <f>VLOOKUP(I1686,DATABASE!C:Q,11,FALSE)</f>
        <v>#N/A</v>
      </c>
      <c r="Q1686" s="65" t="str">
        <f>VLOOKUP(I1686,DATABASE!C:Q,4,FALSE)</f>
        <v>#N/A</v>
      </c>
      <c r="R1686" s="101"/>
      <c r="U1686" s="101"/>
    </row>
    <row r="1687" ht="22.5" customHeight="1">
      <c r="A1687" s="49"/>
      <c r="C1687" s="192"/>
      <c r="D1687" s="192"/>
      <c r="E1687" s="69"/>
      <c r="F1687" s="243"/>
      <c r="G1687" s="69"/>
      <c r="H1687" s="69"/>
      <c r="I1687" s="140"/>
      <c r="J1687" s="446"/>
      <c r="K1687" s="140"/>
      <c r="L1687" s="140"/>
      <c r="M1687" s="140"/>
      <c r="N1687" s="74">
        <f t="shared" si="6"/>
        <v>0</v>
      </c>
      <c r="O1687" s="60">
        <f t="shared" si="2"/>
        <v>0</v>
      </c>
      <c r="P1687" s="65" t="str">
        <f>VLOOKUP(I1687,DATABASE!C:Q,11,FALSE)</f>
        <v>#N/A</v>
      </c>
      <c r="Q1687" s="65" t="str">
        <f>VLOOKUP(I1687,DATABASE!C:Q,4,FALSE)</f>
        <v>#N/A</v>
      </c>
      <c r="R1687" s="101"/>
      <c r="U1687" s="101"/>
    </row>
    <row r="1688" ht="22.5" customHeight="1">
      <c r="A1688" s="49"/>
      <c r="C1688" s="192"/>
      <c r="D1688" s="192"/>
      <c r="E1688" s="69"/>
      <c r="F1688" s="243"/>
      <c r="G1688" s="69"/>
      <c r="H1688" s="69"/>
      <c r="I1688" s="140"/>
      <c r="J1688" s="446"/>
      <c r="K1688" s="140"/>
      <c r="L1688" s="140"/>
      <c r="M1688" s="140"/>
      <c r="N1688" s="74">
        <f t="shared" si="6"/>
        <v>0</v>
      </c>
      <c r="O1688" s="60">
        <f t="shared" si="2"/>
        <v>0</v>
      </c>
      <c r="P1688" s="65" t="str">
        <f>VLOOKUP(I1688,DATABASE!C:Q,11,FALSE)</f>
        <v>#N/A</v>
      </c>
      <c r="Q1688" s="65" t="str">
        <f>VLOOKUP(I1688,DATABASE!C:Q,4,FALSE)</f>
        <v>#N/A</v>
      </c>
      <c r="R1688" s="101"/>
      <c r="U1688" s="101"/>
    </row>
    <row r="1689" ht="22.5" customHeight="1">
      <c r="A1689" s="49"/>
      <c r="C1689" s="192"/>
      <c r="D1689" s="192"/>
      <c r="E1689" s="69"/>
      <c r="F1689" s="243"/>
      <c r="G1689" s="69"/>
      <c r="H1689" s="69"/>
      <c r="I1689" s="140"/>
      <c r="J1689" s="446"/>
      <c r="K1689" s="140"/>
      <c r="L1689" s="140"/>
      <c r="M1689" s="140"/>
      <c r="N1689" s="74">
        <f t="shared" si="6"/>
        <v>0</v>
      </c>
      <c r="O1689" s="60">
        <f t="shared" si="2"/>
        <v>0</v>
      </c>
      <c r="P1689" s="65" t="str">
        <f>VLOOKUP(I1689,DATABASE!C:Q,11,FALSE)</f>
        <v>#N/A</v>
      </c>
      <c r="Q1689" s="65" t="str">
        <f>VLOOKUP(I1689,DATABASE!C:Q,4,FALSE)</f>
        <v>#N/A</v>
      </c>
      <c r="R1689" s="101"/>
      <c r="U1689" s="101"/>
    </row>
    <row r="1690" ht="22.5" customHeight="1">
      <c r="A1690" s="49"/>
      <c r="C1690" s="192"/>
      <c r="D1690" s="192"/>
      <c r="E1690" s="69"/>
      <c r="F1690" s="243"/>
      <c r="G1690" s="69"/>
      <c r="H1690" s="69"/>
      <c r="I1690" s="140"/>
      <c r="J1690" s="446"/>
      <c r="K1690" s="140"/>
      <c r="L1690" s="140"/>
      <c r="M1690" s="140"/>
      <c r="N1690" s="74">
        <f t="shared" si="6"/>
        <v>0</v>
      </c>
      <c r="O1690" s="60">
        <f t="shared" si="2"/>
        <v>0</v>
      </c>
      <c r="P1690" s="65" t="str">
        <f>VLOOKUP(I1690,DATABASE!C:Q,11,FALSE)</f>
        <v>#N/A</v>
      </c>
      <c r="Q1690" s="65" t="str">
        <f>VLOOKUP(I1690,DATABASE!C:Q,4,FALSE)</f>
        <v>#N/A</v>
      </c>
      <c r="R1690" s="101"/>
      <c r="U1690" s="101"/>
    </row>
    <row r="1691" ht="22.5" customHeight="1">
      <c r="A1691" s="49"/>
      <c r="C1691" s="192"/>
      <c r="D1691" s="192"/>
      <c r="E1691" s="69"/>
      <c r="F1691" s="243"/>
      <c r="G1691" s="69"/>
      <c r="H1691" s="69"/>
      <c r="I1691" s="140"/>
      <c r="J1691" s="446"/>
      <c r="K1691" s="140"/>
      <c r="L1691" s="140"/>
      <c r="M1691" s="140"/>
      <c r="N1691" s="74">
        <f t="shared" si="6"/>
        <v>0</v>
      </c>
      <c r="O1691" s="60">
        <f t="shared" si="2"/>
        <v>0</v>
      </c>
      <c r="P1691" s="65" t="str">
        <f>VLOOKUP(I1691,DATABASE!C:Q,11,FALSE)</f>
        <v>#N/A</v>
      </c>
      <c r="Q1691" s="65" t="str">
        <f>VLOOKUP(I1691,DATABASE!C:Q,4,FALSE)</f>
        <v>#N/A</v>
      </c>
      <c r="R1691" s="101"/>
      <c r="U1691" s="101"/>
    </row>
    <row r="1692" ht="22.5" customHeight="1">
      <c r="A1692" s="49"/>
      <c r="C1692" s="192"/>
      <c r="D1692" s="192"/>
      <c r="E1692" s="69"/>
      <c r="F1692" s="243"/>
      <c r="G1692" s="69"/>
      <c r="H1692" s="69"/>
      <c r="I1692" s="140"/>
      <c r="J1692" s="446"/>
      <c r="K1692" s="140"/>
      <c r="L1692" s="140"/>
      <c r="M1692" s="140"/>
      <c r="N1692" s="74">
        <f t="shared" si="6"/>
        <v>0</v>
      </c>
      <c r="O1692" s="60">
        <f t="shared" si="2"/>
        <v>0</v>
      </c>
      <c r="P1692" s="65" t="str">
        <f>VLOOKUP(I1692,DATABASE!C:Q,11,FALSE)</f>
        <v>#N/A</v>
      </c>
      <c r="Q1692" s="65" t="str">
        <f>VLOOKUP(I1692,DATABASE!C:Q,4,FALSE)</f>
        <v>#N/A</v>
      </c>
      <c r="R1692" s="101"/>
      <c r="U1692" s="101"/>
    </row>
    <row r="1693" ht="22.5" customHeight="1">
      <c r="A1693" s="49"/>
      <c r="C1693" s="192"/>
      <c r="D1693" s="192"/>
      <c r="E1693" s="69"/>
      <c r="F1693" s="243"/>
      <c r="G1693" s="69"/>
      <c r="H1693" s="69"/>
      <c r="I1693" s="140"/>
      <c r="J1693" s="446"/>
      <c r="K1693" s="140"/>
      <c r="L1693" s="140"/>
      <c r="M1693" s="140"/>
      <c r="N1693" s="74">
        <f t="shared" si="6"/>
        <v>0</v>
      </c>
      <c r="O1693" s="60">
        <f t="shared" si="2"/>
        <v>0</v>
      </c>
      <c r="P1693" s="65" t="str">
        <f>VLOOKUP(I1693,DATABASE!C:Q,11,FALSE)</f>
        <v>#N/A</v>
      </c>
      <c r="Q1693" s="65" t="str">
        <f>VLOOKUP(I1693,DATABASE!C:Q,4,FALSE)</f>
        <v>#N/A</v>
      </c>
      <c r="R1693" s="101"/>
      <c r="U1693" s="101"/>
    </row>
    <row r="1694" ht="22.5" customHeight="1">
      <c r="A1694" s="49"/>
      <c r="C1694" s="192"/>
      <c r="D1694" s="192"/>
      <c r="E1694" s="69"/>
      <c r="F1694" s="243"/>
      <c r="G1694" s="69"/>
      <c r="H1694" s="69"/>
      <c r="I1694" s="140"/>
      <c r="J1694" s="446"/>
      <c r="K1694" s="140"/>
      <c r="L1694" s="140"/>
      <c r="M1694" s="140"/>
      <c r="N1694" s="74">
        <f t="shared" si="6"/>
        <v>0</v>
      </c>
      <c r="O1694" s="60">
        <f t="shared" si="2"/>
        <v>0</v>
      </c>
      <c r="P1694" s="65" t="str">
        <f>VLOOKUP(I1694,DATABASE!C:Q,11,FALSE)</f>
        <v>#N/A</v>
      </c>
      <c r="Q1694" s="65" t="str">
        <f>VLOOKUP(I1694,DATABASE!C:Q,4,FALSE)</f>
        <v>#N/A</v>
      </c>
      <c r="R1694" s="101"/>
      <c r="U1694" s="101"/>
    </row>
    <row r="1695" ht="22.5" customHeight="1">
      <c r="A1695" s="49"/>
      <c r="C1695" s="192"/>
      <c r="D1695" s="192"/>
      <c r="E1695" s="69"/>
      <c r="F1695" s="243"/>
      <c r="G1695" s="69"/>
      <c r="H1695" s="69"/>
      <c r="I1695" s="140"/>
      <c r="J1695" s="446"/>
      <c r="K1695" s="140"/>
      <c r="L1695" s="140"/>
      <c r="M1695" s="140"/>
      <c r="N1695" s="74">
        <f t="shared" si="6"/>
        <v>0</v>
      </c>
      <c r="O1695" s="60">
        <f t="shared" si="2"/>
        <v>0</v>
      </c>
      <c r="P1695" s="65" t="str">
        <f>VLOOKUP(I1695,DATABASE!C:Q,11,FALSE)</f>
        <v>#N/A</v>
      </c>
      <c r="Q1695" s="65" t="str">
        <f>VLOOKUP(I1695,DATABASE!C:Q,4,FALSE)</f>
        <v>#N/A</v>
      </c>
      <c r="R1695" s="101"/>
      <c r="U1695" s="101"/>
    </row>
    <row r="1696" ht="22.5" customHeight="1">
      <c r="A1696" s="49"/>
      <c r="C1696" s="192"/>
      <c r="D1696" s="192"/>
      <c r="E1696" s="69"/>
      <c r="F1696" s="243"/>
      <c r="G1696" s="69"/>
      <c r="H1696" s="69"/>
      <c r="I1696" s="140"/>
      <c r="J1696" s="446"/>
      <c r="K1696" s="140"/>
      <c r="L1696" s="140"/>
      <c r="M1696" s="140"/>
      <c r="N1696" s="74">
        <f t="shared" si="6"/>
        <v>0</v>
      </c>
      <c r="O1696" s="60">
        <f t="shared" si="2"/>
        <v>0</v>
      </c>
      <c r="P1696" s="65" t="str">
        <f>VLOOKUP(I1696,DATABASE!C:Q,11,FALSE)</f>
        <v>#N/A</v>
      </c>
      <c r="Q1696" s="65" t="str">
        <f>VLOOKUP(I1696,DATABASE!C:Q,4,FALSE)</f>
        <v>#N/A</v>
      </c>
      <c r="R1696" s="101"/>
      <c r="U1696" s="101"/>
    </row>
    <row r="1697" ht="22.5" customHeight="1">
      <c r="A1697" s="49"/>
      <c r="C1697" s="192"/>
      <c r="D1697" s="192"/>
      <c r="E1697" s="69"/>
      <c r="F1697" s="243"/>
      <c r="G1697" s="69"/>
      <c r="H1697" s="69"/>
      <c r="I1697" s="140"/>
      <c r="J1697" s="446"/>
      <c r="K1697" s="140"/>
      <c r="L1697" s="140"/>
      <c r="M1697" s="140"/>
      <c r="N1697" s="74">
        <f t="shared" si="6"/>
        <v>0</v>
      </c>
      <c r="O1697" s="60">
        <f t="shared" si="2"/>
        <v>0</v>
      </c>
      <c r="P1697" s="65" t="str">
        <f>VLOOKUP(I1697,DATABASE!C:Q,11,FALSE)</f>
        <v>#N/A</v>
      </c>
      <c r="Q1697" s="65" t="str">
        <f>VLOOKUP(I1697,DATABASE!C:Q,4,FALSE)</f>
        <v>#N/A</v>
      </c>
      <c r="R1697" s="101"/>
      <c r="U1697" s="101"/>
    </row>
    <row r="1698" ht="22.5" customHeight="1">
      <c r="A1698" s="49"/>
      <c r="C1698" s="192"/>
      <c r="D1698" s="192"/>
      <c r="E1698" s="69"/>
      <c r="F1698" s="243"/>
      <c r="G1698" s="69"/>
      <c r="H1698" s="69"/>
      <c r="I1698" s="140"/>
      <c r="J1698" s="446"/>
      <c r="K1698" s="140"/>
      <c r="L1698" s="140"/>
      <c r="M1698" s="140"/>
      <c r="N1698" s="74">
        <f t="shared" si="6"/>
        <v>0</v>
      </c>
      <c r="O1698" s="60">
        <f t="shared" si="2"/>
        <v>0</v>
      </c>
      <c r="P1698" s="65" t="str">
        <f>VLOOKUP(I1698,DATABASE!C:Q,11,FALSE)</f>
        <v>#N/A</v>
      </c>
      <c r="Q1698" s="65" t="str">
        <f>VLOOKUP(I1698,DATABASE!C:Q,4,FALSE)</f>
        <v>#N/A</v>
      </c>
      <c r="R1698" s="101"/>
      <c r="U1698" s="101"/>
    </row>
    <row r="1699" ht="22.5" customHeight="1">
      <c r="A1699" s="49"/>
      <c r="C1699" s="192"/>
      <c r="D1699" s="192"/>
      <c r="E1699" s="69"/>
      <c r="F1699" s="243"/>
      <c r="G1699" s="69"/>
      <c r="H1699" s="69"/>
      <c r="I1699" s="140"/>
      <c r="J1699" s="446"/>
      <c r="K1699" s="140"/>
      <c r="L1699" s="140"/>
      <c r="M1699" s="140"/>
      <c r="N1699" s="74">
        <f t="shared" si="6"/>
        <v>0</v>
      </c>
      <c r="O1699" s="60">
        <f t="shared" si="2"/>
        <v>0</v>
      </c>
      <c r="P1699" s="65" t="str">
        <f>VLOOKUP(I1699,DATABASE!C:Q,11,FALSE)</f>
        <v>#N/A</v>
      </c>
      <c r="Q1699" s="65" t="str">
        <f>VLOOKUP(I1699,DATABASE!C:Q,4,FALSE)</f>
        <v>#N/A</v>
      </c>
      <c r="R1699" s="101"/>
      <c r="U1699" s="101"/>
    </row>
    <row r="1700" ht="22.5" customHeight="1">
      <c r="A1700" s="49"/>
      <c r="C1700" s="192"/>
      <c r="D1700" s="192"/>
      <c r="E1700" s="69"/>
      <c r="F1700" s="243"/>
      <c r="G1700" s="69"/>
      <c r="H1700" s="69"/>
      <c r="I1700" s="140"/>
      <c r="J1700" s="446"/>
      <c r="K1700" s="140"/>
      <c r="L1700" s="140"/>
      <c r="M1700" s="140"/>
      <c r="N1700" s="74">
        <f t="shared" si="6"/>
        <v>0</v>
      </c>
      <c r="O1700" s="60">
        <f t="shared" si="2"/>
        <v>0</v>
      </c>
      <c r="P1700" s="65" t="str">
        <f>VLOOKUP(I1700,DATABASE!C:Q,11,FALSE)</f>
        <v>#N/A</v>
      </c>
      <c r="Q1700" s="65" t="str">
        <f>VLOOKUP(I1700,DATABASE!C:Q,4,FALSE)</f>
        <v>#N/A</v>
      </c>
      <c r="R1700" s="101"/>
      <c r="U1700" s="101"/>
    </row>
    <row r="1701" ht="22.5" customHeight="1">
      <c r="A1701" s="49"/>
      <c r="C1701" s="192"/>
      <c r="D1701" s="192"/>
      <c r="E1701" s="69"/>
      <c r="F1701" s="243"/>
      <c r="G1701" s="69"/>
      <c r="H1701" s="69"/>
      <c r="I1701" s="140"/>
      <c r="J1701" s="446"/>
      <c r="K1701" s="140"/>
      <c r="L1701" s="140"/>
      <c r="M1701" s="140"/>
      <c r="N1701" s="74">
        <f t="shared" si="6"/>
        <v>0</v>
      </c>
      <c r="O1701" s="60">
        <f t="shared" si="2"/>
        <v>0</v>
      </c>
      <c r="P1701" s="65" t="str">
        <f>VLOOKUP(I1701,DATABASE!C:Q,11,FALSE)</f>
        <v>#N/A</v>
      </c>
      <c r="Q1701" s="65" t="str">
        <f>VLOOKUP(I1701,DATABASE!C:Q,4,FALSE)</f>
        <v>#N/A</v>
      </c>
      <c r="R1701" s="101"/>
      <c r="U1701" s="101"/>
    </row>
    <row r="1702" ht="22.5" customHeight="1">
      <c r="A1702" s="49"/>
      <c r="C1702" s="192"/>
      <c r="D1702" s="192"/>
      <c r="E1702" s="69"/>
      <c r="F1702" s="243"/>
      <c r="G1702" s="69"/>
      <c r="H1702" s="69"/>
      <c r="I1702" s="140"/>
      <c r="J1702" s="446"/>
      <c r="K1702" s="140"/>
      <c r="L1702" s="140"/>
      <c r="M1702" s="140"/>
      <c r="N1702" s="74">
        <f t="shared" si="6"/>
        <v>0</v>
      </c>
      <c r="O1702" s="60">
        <f t="shared" si="2"/>
        <v>0</v>
      </c>
      <c r="P1702" s="65" t="str">
        <f>VLOOKUP(I1702,DATABASE!C:Q,11,FALSE)</f>
        <v>#N/A</v>
      </c>
      <c r="Q1702" s="65" t="str">
        <f>VLOOKUP(I1702,DATABASE!C:Q,4,FALSE)</f>
        <v>#N/A</v>
      </c>
      <c r="R1702" s="101"/>
      <c r="U1702" s="101"/>
    </row>
    <row r="1703" ht="22.5" customHeight="1">
      <c r="A1703" s="49"/>
      <c r="C1703" s="192"/>
      <c r="D1703" s="192"/>
      <c r="E1703" s="69"/>
      <c r="F1703" s="243"/>
      <c r="G1703" s="69"/>
      <c r="H1703" s="69"/>
      <c r="I1703" s="140"/>
      <c r="J1703" s="446"/>
      <c r="K1703" s="140"/>
      <c r="L1703" s="140"/>
      <c r="M1703" s="140"/>
      <c r="N1703" s="74">
        <f t="shared" si="6"/>
        <v>0</v>
      </c>
      <c r="O1703" s="60">
        <f t="shared" si="2"/>
        <v>0</v>
      </c>
      <c r="P1703" s="65" t="str">
        <f>VLOOKUP(I1703,DATABASE!C:Q,11,FALSE)</f>
        <v>#N/A</v>
      </c>
      <c r="Q1703" s="65" t="str">
        <f>VLOOKUP(I1703,DATABASE!C:Q,4,FALSE)</f>
        <v>#N/A</v>
      </c>
      <c r="R1703" s="101"/>
      <c r="U1703" s="101"/>
    </row>
    <row r="1704" ht="22.5" customHeight="1">
      <c r="A1704" s="49"/>
      <c r="C1704" s="192"/>
      <c r="D1704" s="192"/>
      <c r="E1704" s="69"/>
      <c r="F1704" s="243"/>
      <c r="G1704" s="69"/>
      <c r="H1704" s="69"/>
      <c r="I1704" s="140"/>
      <c r="J1704" s="446"/>
      <c r="K1704" s="140"/>
      <c r="L1704" s="140"/>
      <c r="M1704" s="140"/>
      <c r="N1704" s="74">
        <f t="shared" si="6"/>
        <v>0</v>
      </c>
      <c r="O1704" s="60">
        <f t="shared" si="2"/>
        <v>0</v>
      </c>
      <c r="P1704" s="65" t="str">
        <f>VLOOKUP(I1704,DATABASE!C:Q,11,FALSE)</f>
        <v>#N/A</v>
      </c>
      <c r="Q1704" s="65" t="str">
        <f>VLOOKUP(I1704,DATABASE!C:Q,4,FALSE)</f>
        <v>#N/A</v>
      </c>
      <c r="R1704" s="101"/>
      <c r="U1704" s="101"/>
    </row>
    <row r="1705" ht="22.5" customHeight="1">
      <c r="A1705" s="49"/>
      <c r="C1705" s="192"/>
      <c r="D1705" s="192"/>
      <c r="E1705" s="69"/>
      <c r="F1705" s="243"/>
      <c r="G1705" s="69"/>
      <c r="H1705" s="69"/>
      <c r="I1705" s="140"/>
      <c r="J1705" s="446"/>
      <c r="K1705" s="140"/>
      <c r="L1705" s="140"/>
      <c r="M1705" s="140"/>
      <c r="N1705" s="74">
        <f t="shared" si="6"/>
        <v>0</v>
      </c>
      <c r="O1705" s="60">
        <f t="shared" si="2"/>
        <v>0</v>
      </c>
      <c r="P1705" s="65" t="str">
        <f>VLOOKUP(I1705,DATABASE!C:Q,11,FALSE)</f>
        <v>#N/A</v>
      </c>
      <c r="Q1705" s="65" t="str">
        <f>VLOOKUP(I1705,DATABASE!C:Q,4,FALSE)</f>
        <v>#N/A</v>
      </c>
      <c r="R1705" s="101"/>
      <c r="U1705" s="101"/>
    </row>
    <row r="1706" ht="22.5" customHeight="1">
      <c r="A1706" s="49"/>
      <c r="C1706" s="192"/>
      <c r="D1706" s="192"/>
      <c r="E1706" s="69"/>
      <c r="F1706" s="243"/>
      <c r="G1706" s="69"/>
      <c r="H1706" s="69"/>
      <c r="I1706" s="140"/>
      <c r="J1706" s="446"/>
      <c r="K1706" s="140"/>
      <c r="L1706" s="140"/>
      <c r="M1706" s="140"/>
      <c r="N1706" s="74">
        <f t="shared" si="6"/>
        <v>0</v>
      </c>
      <c r="O1706" s="60">
        <f t="shared" si="2"/>
        <v>0</v>
      </c>
      <c r="P1706" s="65" t="str">
        <f>VLOOKUP(I1706,DATABASE!C:Q,11,FALSE)</f>
        <v>#N/A</v>
      </c>
      <c r="Q1706" s="65" t="str">
        <f>VLOOKUP(I1706,DATABASE!C:Q,4,FALSE)</f>
        <v>#N/A</v>
      </c>
      <c r="R1706" s="101"/>
      <c r="U1706" s="101"/>
    </row>
    <row r="1707" ht="22.5" customHeight="1">
      <c r="A1707" s="49"/>
      <c r="C1707" s="192"/>
      <c r="D1707" s="192"/>
      <c r="E1707" s="69"/>
      <c r="F1707" s="243"/>
      <c r="G1707" s="69"/>
      <c r="H1707" s="69"/>
      <c r="I1707" s="140"/>
      <c r="J1707" s="446"/>
      <c r="K1707" s="140"/>
      <c r="L1707" s="140"/>
      <c r="M1707" s="140"/>
      <c r="N1707" s="74">
        <f t="shared" si="6"/>
        <v>0</v>
      </c>
      <c r="O1707" s="60">
        <f t="shared" si="2"/>
        <v>0</v>
      </c>
      <c r="P1707" s="65" t="str">
        <f>VLOOKUP(I1707,DATABASE!C:Q,11,FALSE)</f>
        <v>#N/A</v>
      </c>
      <c r="Q1707" s="65" t="str">
        <f>VLOOKUP(I1707,DATABASE!C:Q,4,FALSE)</f>
        <v>#N/A</v>
      </c>
      <c r="R1707" s="101"/>
      <c r="U1707" s="101"/>
    </row>
    <row r="1708" ht="22.5" customHeight="1">
      <c r="A1708" s="49"/>
      <c r="C1708" s="192"/>
      <c r="D1708" s="192"/>
      <c r="E1708" s="69"/>
      <c r="F1708" s="243"/>
      <c r="G1708" s="69"/>
      <c r="H1708" s="69"/>
      <c r="I1708" s="140"/>
      <c r="J1708" s="446"/>
      <c r="K1708" s="140"/>
      <c r="L1708" s="140"/>
      <c r="M1708" s="140"/>
      <c r="N1708" s="74">
        <f t="shared" si="6"/>
        <v>0</v>
      </c>
      <c r="O1708" s="60">
        <f t="shared" si="2"/>
        <v>0</v>
      </c>
      <c r="P1708" s="65" t="str">
        <f>VLOOKUP(I1708,DATABASE!C:Q,11,FALSE)</f>
        <v>#N/A</v>
      </c>
      <c r="Q1708" s="65" t="str">
        <f>VLOOKUP(I1708,DATABASE!C:Q,4,FALSE)</f>
        <v>#N/A</v>
      </c>
      <c r="R1708" s="101"/>
      <c r="U1708" s="101"/>
    </row>
    <row r="1709" ht="22.5" customHeight="1">
      <c r="A1709" s="49"/>
      <c r="C1709" s="192"/>
      <c r="D1709" s="192"/>
      <c r="E1709" s="69"/>
      <c r="F1709" s="243"/>
      <c r="G1709" s="69"/>
      <c r="H1709" s="69"/>
      <c r="I1709" s="140"/>
      <c r="J1709" s="446"/>
      <c r="K1709" s="140"/>
      <c r="L1709" s="140"/>
      <c r="M1709" s="140"/>
      <c r="N1709" s="74">
        <f t="shared" si="6"/>
        <v>0</v>
      </c>
      <c r="O1709" s="60">
        <f t="shared" si="2"/>
        <v>0</v>
      </c>
      <c r="P1709" s="65" t="str">
        <f>VLOOKUP(I1709,DATABASE!C:Q,11,FALSE)</f>
        <v>#N/A</v>
      </c>
      <c r="Q1709" s="65" t="str">
        <f>VLOOKUP(I1709,DATABASE!C:Q,4,FALSE)</f>
        <v>#N/A</v>
      </c>
      <c r="R1709" s="101"/>
      <c r="U1709" s="101"/>
    </row>
    <row r="1710" ht="22.5" customHeight="1">
      <c r="A1710" s="49"/>
      <c r="C1710" s="192"/>
      <c r="D1710" s="192"/>
      <c r="E1710" s="69"/>
      <c r="F1710" s="243"/>
      <c r="G1710" s="69"/>
      <c r="H1710" s="69"/>
      <c r="I1710" s="140"/>
      <c r="J1710" s="446"/>
      <c r="K1710" s="140"/>
      <c r="L1710" s="140"/>
      <c r="M1710" s="140"/>
      <c r="N1710" s="74">
        <f t="shared" si="6"/>
        <v>0</v>
      </c>
      <c r="O1710" s="60">
        <f t="shared" si="2"/>
        <v>0</v>
      </c>
      <c r="P1710" s="65" t="str">
        <f>VLOOKUP(I1710,DATABASE!C:Q,11,FALSE)</f>
        <v>#N/A</v>
      </c>
      <c r="Q1710" s="65" t="str">
        <f>VLOOKUP(I1710,DATABASE!C:Q,4,FALSE)</f>
        <v>#N/A</v>
      </c>
      <c r="R1710" s="101"/>
      <c r="U1710" s="101"/>
    </row>
    <row r="1711" ht="22.5" customHeight="1">
      <c r="A1711" s="49"/>
      <c r="C1711" s="192"/>
      <c r="D1711" s="192"/>
      <c r="E1711" s="69"/>
      <c r="F1711" s="243"/>
      <c r="G1711" s="69"/>
      <c r="H1711" s="69"/>
      <c r="I1711" s="140"/>
      <c r="J1711" s="446"/>
      <c r="K1711" s="140"/>
      <c r="L1711" s="140"/>
      <c r="M1711" s="140"/>
      <c r="N1711" s="74">
        <f t="shared" si="6"/>
        <v>0</v>
      </c>
      <c r="O1711" s="60">
        <f t="shared" si="2"/>
        <v>0</v>
      </c>
      <c r="P1711" s="65" t="str">
        <f>VLOOKUP(I1711,DATABASE!C:Q,11,FALSE)</f>
        <v>#N/A</v>
      </c>
      <c r="Q1711" s="65" t="str">
        <f>VLOOKUP(I1711,DATABASE!C:Q,4,FALSE)</f>
        <v>#N/A</v>
      </c>
      <c r="R1711" s="101"/>
      <c r="U1711" s="101"/>
    </row>
    <row r="1712" ht="22.5" customHeight="1">
      <c r="A1712" s="49"/>
      <c r="C1712" s="192"/>
      <c r="D1712" s="192"/>
      <c r="E1712" s="69"/>
      <c r="F1712" s="243"/>
      <c r="G1712" s="69"/>
      <c r="H1712" s="69"/>
      <c r="I1712" s="140"/>
      <c r="J1712" s="446"/>
      <c r="K1712" s="140"/>
      <c r="L1712" s="140"/>
      <c r="M1712" s="140"/>
      <c r="N1712" s="74">
        <f t="shared" si="6"/>
        <v>0</v>
      </c>
      <c r="O1712" s="60">
        <f t="shared" si="2"/>
        <v>0</v>
      </c>
      <c r="P1712" s="65" t="str">
        <f>VLOOKUP(I1712,DATABASE!C:Q,11,FALSE)</f>
        <v>#N/A</v>
      </c>
      <c r="Q1712" s="65" t="str">
        <f>VLOOKUP(I1712,DATABASE!C:Q,4,FALSE)</f>
        <v>#N/A</v>
      </c>
      <c r="R1712" s="101"/>
      <c r="U1712" s="101"/>
    </row>
    <row r="1713" ht="22.5" customHeight="1">
      <c r="A1713" s="49"/>
      <c r="C1713" s="192"/>
      <c r="D1713" s="192"/>
      <c r="E1713" s="69"/>
      <c r="F1713" s="243"/>
      <c r="G1713" s="69"/>
      <c r="H1713" s="69"/>
      <c r="I1713" s="140"/>
      <c r="J1713" s="446"/>
      <c r="K1713" s="140"/>
      <c r="L1713" s="140"/>
      <c r="M1713" s="140"/>
      <c r="N1713" s="74">
        <f t="shared" si="6"/>
        <v>0</v>
      </c>
      <c r="O1713" s="60">
        <f t="shared" si="2"/>
        <v>0</v>
      </c>
      <c r="P1713" s="65" t="str">
        <f>VLOOKUP(I1713,DATABASE!C:Q,11,FALSE)</f>
        <v>#N/A</v>
      </c>
      <c r="Q1713" s="65" t="str">
        <f>VLOOKUP(I1713,DATABASE!C:Q,4,FALSE)</f>
        <v>#N/A</v>
      </c>
      <c r="R1713" s="101"/>
      <c r="U1713" s="101"/>
    </row>
    <row r="1714" ht="22.5" customHeight="1">
      <c r="A1714" s="49"/>
      <c r="C1714" s="192"/>
      <c r="D1714" s="192"/>
      <c r="E1714" s="69"/>
      <c r="F1714" s="243"/>
      <c r="G1714" s="69"/>
      <c r="H1714" s="69"/>
      <c r="I1714" s="140"/>
      <c r="J1714" s="446"/>
      <c r="K1714" s="140"/>
      <c r="L1714" s="140"/>
      <c r="M1714" s="140"/>
      <c r="N1714" s="74">
        <f t="shared" si="6"/>
        <v>0</v>
      </c>
      <c r="O1714" s="60">
        <f t="shared" si="2"/>
        <v>0</v>
      </c>
      <c r="P1714" s="65" t="str">
        <f>VLOOKUP(I1714,DATABASE!C:Q,11,FALSE)</f>
        <v>#N/A</v>
      </c>
      <c r="Q1714" s="65" t="str">
        <f>VLOOKUP(I1714,DATABASE!C:Q,4,FALSE)</f>
        <v>#N/A</v>
      </c>
      <c r="R1714" s="101"/>
      <c r="U1714" s="101"/>
    </row>
    <row r="1715" ht="22.5" customHeight="1">
      <c r="A1715" s="49"/>
      <c r="C1715" s="192"/>
      <c r="D1715" s="192"/>
      <c r="E1715" s="69"/>
      <c r="F1715" s="243"/>
      <c r="G1715" s="69"/>
      <c r="H1715" s="69"/>
      <c r="I1715" s="140"/>
      <c r="J1715" s="446"/>
      <c r="K1715" s="140"/>
      <c r="L1715" s="140"/>
      <c r="M1715" s="140"/>
      <c r="N1715" s="74">
        <f t="shared" si="6"/>
        <v>0</v>
      </c>
      <c r="O1715" s="60">
        <f t="shared" si="2"/>
        <v>0</v>
      </c>
      <c r="P1715" s="65" t="str">
        <f>VLOOKUP(I1715,DATABASE!C:Q,11,FALSE)</f>
        <v>#N/A</v>
      </c>
      <c r="Q1715" s="65" t="str">
        <f>VLOOKUP(I1715,DATABASE!C:Q,4,FALSE)</f>
        <v>#N/A</v>
      </c>
      <c r="R1715" s="101"/>
      <c r="U1715" s="101"/>
    </row>
    <row r="1716" ht="22.5" customHeight="1">
      <c r="A1716" s="49"/>
      <c r="C1716" s="192"/>
      <c r="D1716" s="192"/>
      <c r="E1716" s="69"/>
      <c r="F1716" s="243"/>
      <c r="G1716" s="69"/>
      <c r="H1716" s="69"/>
      <c r="I1716" s="140"/>
      <c r="J1716" s="446"/>
      <c r="K1716" s="140"/>
      <c r="L1716" s="140"/>
      <c r="M1716" s="140"/>
      <c r="N1716" s="74">
        <f t="shared" si="6"/>
        <v>0</v>
      </c>
      <c r="O1716" s="60">
        <f t="shared" si="2"/>
        <v>0</v>
      </c>
      <c r="P1716" s="65" t="str">
        <f>VLOOKUP(I1716,DATABASE!C:Q,11,FALSE)</f>
        <v>#N/A</v>
      </c>
      <c r="Q1716" s="65" t="str">
        <f>VLOOKUP(I1716,DATABASE!C:Q,4,FALSE)</f>
        <v>#N/A</v>
      </c>
      <c r="R1716" s="101"/>
      <c r="U1716" s="101"/>
    </row>
    <row r="1717" ht="22.5" customHeight="1">
      <c r="A1717" s="49"/>
      <c r="C1717" s="192"/>
      <c r="D1717" s="192"/>
      <c r="E1717" s="69"/>
      <c r="F1717" s="243"/>
      <c r="G1717" s="69"/>
      <c r="H1717" s="69"/>
      <c r="I1717" s="140"/>
      <c r="J1717" s="446"/>
      <c r="K1717" s="140"/>
      <c r="L1717" s="140"/>
      <c r="M1717" s="140"/>
      <c r="N1717" s="74">
        <f t="shared" si="6"/>
        <v>0</v>
      </c>
      <c r="O1717" s="60">
        <f t="shared" si="2"/>
        <v>0</v>
      </c>
      <c r="P1717" s="65" t="str">
        <f>VLOOKUP(I1717,DATABASE!C:Q,11,FALSE)</f>
        <v>#N/A</v>
      </c>
      <c r="Q1717" s="65" t="str">
        <f>VLOOKUP(I1717,DATABASE!C:Q,4,FALSE)</f>
        <v>#N/A</v>
      </c>
      <c r="R1717" s="101"/>
      <c r="U1717" s="101"/>
    </row>
    <row r="1718" ht="22.5" customHeight="1">
      <c r="A1718" s="49"/>
      <c r="C1718" s="192"/>
      <c r="D1718" s="192"/>
      <c r="E1718" s="69"/>
      <c r="F1718" s="243"/>
      <c r="G1718" s="69"/>
      <c r="H1718" s="69"/>
      <c r="I1718" s="140"/>
      <c r="J1718" s="446"/>
      <c r="K1718" s="140"/>
      <c r="L1718" s="140"/>
      <c r="M1718" s="140"/>
      <c r="N1718" s="74">
        <f t="shared" si="6"/>
        <v>0</v>
      </c>
      <c r="O1718" s="60">
        <f t="shared" si="2"/>
        <v>0</v>
      </c>
      <c r="P1718" s="65" t="str">
        <f>VLOOKUP(I1718,DATABASE!C:Q,11,FALSE)</f>
        <v>#N/A</v>
      </c>
      <c r="Q1718" s="65" t="str">
        <f>VLOOKUP(I1718,DATABASE!C:Q,4,FALSE)</f>
        <v>#N/A</v>
      </c>
      <c r="R1718" s="101"/>
      <c r="U1718" s="101"/>
    </row>
    <row r="1719" ht="22.5" customHeight="1">
      <c r="A1719" s="49"/>
      <c r="C1719" s="192"/>
      <c r="D1719" s="192"/>
      <c r="E1719" s="69"/>
      <c r="F1719" s="243"/>
      <c r="G1719" s="69"/>
      <c r="H1719" s="69"/>
      <c r="I1719" s="140"/>
      <c r="J1719" s="446"/>
      <c r="K1719" s="140"/>
      <c r="L1719" s="140"/>
      <c r="M1719" s="140"/>
      <c r="N1719" s="74">
        <f t="shared" si="6"/>
        <v>0</v>
      </c>
      <c r="O1719" s="60">
        <f t="shared" si="2"/>
        <v>0</v>
      </c>
      <c r="P1719" s="65" t="str">
        <f>VLOOKUP(I1719,DATABASE!C:Q,11,FALSE)</f>
        <v>#N/A</v>
      </c>
      <c r="Q1719" s="65" t="str">
        <f>VLOOKUP(I1719,DATABASE!C:Q,4,FALSE)</f>
        <v>#N/A</v>
      </c>
      <c r="R1719" s="101"/>
      <c r="U1719" s="101"/>
    </row>
    <row r="1720" ht="22.5" customHeight="1">
      <c r="A1720" s="49"/>
      <c r="C1720" s="192"/>
      <c r="D1720" s="192"/>
      <c r="E1720" s="69"/>
      <c r="F1720" s="243"/>
      <c r="G1720" s="69"/>
      <c r="H1720" s="69"/>
      <c r="I1720" s="140"/>
      <c r="J1720" s="446"/>
      <c r="K1720" s="140"/>
      <c r="L1720" s="140"/>
      <c r="M1720" s="140"/>
      <c r="N1720" s="74">
        <f t="shared" si="6"/>
        <v>0</v>
      </c>
      <c r="O1720" s="60">
        <f t="shared" si="2"/>
        <v>0</v>
      </c>
      <c r="P1720" s="65" t="str">
        <f>VLOOKUP(I1720,DATABASE!C:Q,11,FALSE)</f>
        <v>#N/A</v>
      </c>
      <c r="Q1720" s="65" t="str">
        <f>VLOOKUP(I1720,DATABASE!C:Q,4,FALSE)</f>
        <v>#N/A</v>
      </c>
      <c r="R1720" s="101"/>
      <c r="U1720" s="101"/>
    </row>
    <row r="1721" ht="22.5" customHeight="1">
      <c r="A1721" s="49"/>
      <c r="C1721" s="192"/>
      <c r="D1721" s="192"/>
      <c r="E1721" s="69"/>
      <c r="F1721" s="243"/>
      <c r="G1721" s="69"/>
      <c r="H1721" s="69"/>
      <c r="I1721" s="140"/>
      <c r="J1721" s="446"/>
      <c r="K1721" s="140"/>
      <c r="L1721" s="140"/>
      <c r="M1721" s="140"/>
      <c r="N1721" s="74">
        <f t="shared" si="6"/>
        <v>0</v>
      </c>
      <c r="O1721" s="60">
        <f t="shared" si="2"/>
        <v>0</v>
      </c>
      <c r="P1721" s="65" t="str">
        <f>VLOOKUP(I1721,DATABASE!C:Q,11,FALSE)</f>
        <v>#N/A</v>
      </c>
      <c r="Q1721" s="65" t="str">
        <f>VLOOKUP(I1721,DATABASE!C:Q,4,FALSE)</f>
        <v>#N/A</v>
      </c>
      <c r="R1721" s="101"/>
      <c r="U1721" s="101"/>
    </row>
    <row r="1722" ht="22.5" customHeight="1">
      <c r="A1722" s="49"/>
      <c r="C1722" s="192"/>
      <c r="D1722" s="192"/>
      <c r="E1722" s="69"/>
      <c r="F1722" s="243"/>
      <c r="G1722" s="69"/>
      <c r="H1722" s="69"/>
      <c r="I1722" s="140"/>
      <c r="J1722" s="446"/>
      <c r="K1722" s="140"/>
      <c r="L1722" s="140"/>
      <c r="M1722" s="140"/>
      <c r="N1722" s="74">
        <f t="shared" si="6"/>
        <v>0</v>
      </c>
      <c r="O1722" s="60">
        <f t="shared" si="2"/>
        <v>0</v>
      </c>
      <c r="P1722" s="65" t="str">
        <f>VLOOKUP(I1722,DATABASE!C:Q,11,FALSE)</f>
        <v>#N/A</v>
      </c>
      <c r="Q1722" s="65" t="str">
        <f>VLOOKUP(I1722,DATABASE!C:Q,4,FALSE)</f>
        <v>#N/A</v>
      </c>
      <c r="R1722" s="101"/>
      <c r="U1722" s="101"/>
    </row>
    <row r="1723" ht="22.5" customHeight="1">
      <c r="A1723" s="49"/>
      <c r="C1723" s="192"/>
      <c r="D1723" s="192"/>
      <c r="E1723" s="69"/>
      <c r="F1723" s="243"/>
      <c r="G1723" s="69"/>
      <c r="H1723" s="69"/>
      <c r="I1723" s="140"/>
      <c r="J1723" s="446"/>
      <c r="K1723" s="140"/>
      <c r="L1723" s="140"/>
      <c r="M1723" s="140"/>
      <c r="N1723" s="74">
        <f t="shared" si="6"/>
        <v>0</v>
      </c>
      <c r="O1723" s="60">
        <f t="shared" si="2"/>
        <v>0</v>
      </c>
      <c r="P1723" s="65" t="str">
        <f>VLOOKUP(I1723,DATABASE!C:Q,11,FALSE)</f>
        <v>#N/A</v>
      </c>
      <c r="Q1723" s="65" t="str">
        <f>VLOOKUP(I1723,DATABASE!C:Q,4,FALSE)</f>
        <v>#N/A</v>
      </c>
      <c r="R1723" s="101"/>
      <c r="U1723" s="101"/>
    </row>
    <row r="1724" ht="22.5" customHeight="1">
      <c r="A1724" s="49"/>
      <c r="C1724" s="192"/>
      <c r="D1724" s="192"/>
      <c r="E1724" s="69"/>
      <c r="F1724" s="243"/>
      <c r="G1724" s="69"/>
      <c r="H1724" s="69"/>
      <c r="I1724" s="140"/>
      <c r="J1724" s="446"/>
      <c r="K1724" s="140"/>
      <c r="L1724" s="140"/>
      <c r="M1724" s="140"/>
      <c r="N1724" s="74">
        <f t="shared" si="6"/>
        <v>0</v>
      </c>
      <c r="O1724" s="60">
        <f t="shared" si="2"/>
        <v>0</v>
      </c>
      <c r="P1724" s="65" t="str">
        <f>VLOOKUP(I1724,DATABASE!C:Q,11,FALSE)</f>
        <v>#N/A</v>
      </c>
      <c r="Q1724" s="65" t="str">
        <f>VLOOKUP(I1724,DATABASE!C:Q,4,FALSE)</f>
        <v>#N/A</v>
      </c>
      <c r="R1724" s="101"/>
      <c r="U1724" s="101"/>
    </row>
    <row r="1725" ht="22.5" customHeight="1">
      <c r="A1725" s="49"/>
      <c r="C1725" s="192"/>
      <c r="D1725" s="192"/>
      <c r="E1725" s="69"/>
      <c r="F1725" s="243"/>
      <c r="G1725" s="69"/>
      <c r="H1725" s="69"/>
      <c r="I1725" s="140"/>
      <c r="J1725" s="446"/>
      <c r="K1725" s="140"/>
      <c r="L1725" s="140"/>
      <c r="M1725" s="140"/>
      <c r="N1725" s="74">
        <f t="shared" si="6"/>
        <v>0</v>
      </c>
      <c r="O1725" s="60">
        <f t="shared" si="2"/>
        <v>0</v>
      </c>
      <c r="P1725" s="65" t="str">
        <f>VLOOKUP(I1725,DATABASE!C:Q,11,FALSE)</f>
        <v>#N/A</v>
      </c>
      <c r="Q1725" s="65" t="str">
        <f>VLOOKUP(I1725,DATABASE!C:Q,4,FALSE)</f>
        <v>#N/A</v>
      </c>
      <c r="R1725" s="101"/>
      <c r="U1725" s="101"/>
    </row>
    <row r="1726" ht="22.5" customHeight="1">
      <c r="A1726" s="49"/>
      <c r="C1726" s="192"/>
      <c r="D1726" s="192"/>
      <c r="E1726" s="69"/>
      <c r="F1726" s="243"/>
      <c r="G1726" s="69"/>
      <c r="H1726" s="69"/>
      <c r="I1726" s="140"/>
      <c r="J1726" s="446"/>
      <c r="K1726" s="140"/>
      <c r="L1726" s="140"/>
      <c r="M1726" s="140"/>
      <c r="N1726" s="74">
        <f t="shared" si="6"/>
        <v>0</v>
      </c>
      <c r="O1726" s="60">
        <f t="shared" si="2"/>
        <v>0</v>
      </c>
      <c r="P1726" s="65" t="str">
        <f>VLOOKUP(I1726,DATABASE!C:Q,11,FALSE)</f>
        <v>#N/A</v>
      </c>
      <c r="Q1726" s="65" t="str">
        <f>VLOOKUP(I1726,DATABASE!C:Q,4,FALSE)</f>
        <v>#N/A</v>
      </c>
      <c r="R1726" s="101"/>
      <c r="U1726" s="101"/>
    </row>
    <row r="1727" ht="22.5" customHeight="1">
      <c r="A1727" s="49"/>
      <c r="C1727" s="192"/>
      <c r="D1727" s="192"/>
      <c r="E1727" s="69"/>
      <c r="F1727" s="243"/>
      <c r="G1727" s="69"/>
      <c r="H1727" s="69"/>
      <c r="I1727" s="140"/>
      <c r="J1727" s="446"/>
      <c r="K1727" s="140"/>
      <c r="L1727" s="140"/>
      <c r="M1727" s="140"/>
      <c r="N1727" s="74">
        <f t="shared" si="6"/>
        <v>0</v>
      </c>
      <c r="O1727" s="60">
        <f t="shared" si="2"/>
        <v>0</v>
      </c>
      <c r="P1727" s="65" t="str">
        <f>VLOOKUP(I1727,DATABASE!C:Q,11,FALSE)</f>
        <v>#N/A</v>
      </c>
      <c r="Q1727" s="65" t="str">
        <f>VLOOKUP(I1727,DATABASE!C:Q,4,FALSE)</f>
        <v>#N/A</v>
      </c>
      <c r="R1727" s="101"/>
      <c r="U1727" s="101"/>
    </row>
    <row r="1728" ht="22.5" customHeight="1">
      <c r="A1728" s="49"/>
      <c r="C1728" s="192"/>
      <c r="D1728" s="192"/>
      <c r="E1728" s="69"/>
      <c r="F1728" s="243"/>
      <c r="G1728" s="69"/>
      <c r="H1728" s="69"/>
      <c r="I1728" s="140"/>
      <c r="J1728" s="446"/>
      <c r="K1728" s="140"/>
      <c r="L1728" s="140"/>
      <c r="M1728" s="140"/>
      <c r="N1728" s="74">
        <f t="shared" si="6"/>
        <v>0</v>
      </c>
      <c r="O1728" s="60">
        <f t="shared" si="2"/>
        <v>0</v>
      </c>
      <c r="P1728" s="65" t="str">
        <f>VLOOKUP(I1728,DATABASE!C:Q,11,FALSE)</f>
        <v>#N/A</v>
      </c>
      <c r="Q1728" s="65" t="str">
        <f>VLOOKUP(I1728,DATABASE!C:Q,4,FALSE)</f>
        <v>#N/A</v>
      </c>
      <c r="R1728" s="101"/>
      <c r="U1728" s="101"/>
    </row>
    <row r="1729" ht="22.5" customHeight="1">
      <c r="A1729" s="49"/>
      <c r="C1729" s="192"/>
      <c r="D1729" s="192"/>
      <c r="E1729" s="69"/>
      <c r="F1729" s="243"/>
      <c r="G1729" s="69"/>
      <c r="H1729" s="69"/>
      <c r="I1729" s="140"/>
      <c r="J1729" s="446"/>
      <c r="K1729" s="140"/>
      <c r="L1729" s="140"/>
      <c r="M1729" s="140"/>
      <c r="N1729" s="74">
        <f t="shared" si="6"/>
        <v>0</v>
      </c>
      <c r="O1729" s="60">
        <f t="shared" si="2"/>
        <v>0</v>
      </c>
      <c r="P1729" s="65" t="str">
        <f>VLOOKUP(I1729,DATABASE!C:Q,11,FALSE)</f>
        <v>#N/A</v>
      </c>
      <c r="Q1729" s="65" t="str">
        <f>VLOOKUP(I1729,DATABASE!C:Q,4,FALSE)</f>
        <v>#N/A</v>
      </c>
      <c r="R1729" s="101"/>
      <c r="U1729" s="101"/>
    </row>
    <row r="1730" ht="22.5" customHeight="1">
      <c r="A1730" s="49"/>
      <c r="C1730" s="192"/>
      <c r="D1730" s="192"/>
      <c r="E1730" s="69"/>
      <c r="F1730" s="243"/>
      <c r="G1730" s="69"/>
      <c r="H1730" s="69"/>
      <c r="I1730" s="140"/>
      <c r="J1730" s="446"/>
      <c r="K1730" s="140"/>
      <c r="L1730" s="140"/>
      <c r="M1730" s="140"/>
      <c r="N1730" s="74">
        <f t="shared" si="6"/>
        <v>0</v>
      </c>
      <c r="O1730" s="60">
        <f t="shared" si="2"/>
        <v>0</v>
      </c>
      <c r="P1730" s="65" t="str">
        <f>VLOOKUP(I1730,DATABASE!C:Q,11,FALSE)</f>
        <v>#N/A</v>
      </c>
      <c r="Q1730" s="65" t="str">
        <f>VLOOKUP(I1730,DATABASE!C:Q,4,FALSE)</f>
        <v>#N/A</v>
      </c>
      <c r="R1730" s="101"/>
      <c r="U1730" s="101"/>
    </row>
    <row r="1731" ht="22.5" customHeight="1">
      <c r="A1731" s="49"/>
      <c r="C1731" s="192"/>
      <c r="D1731" s="192"/>
      <c r="E1731" s="69"/>
      <c r="F1731" s="243"/>
      <c r="G1731" s="69"/>
      <c r="H1731" s="69"/>
      <c r="I1731" s="140"/>
      <c r="J1731" s="446"/>
      <c r="K1731" s="140"/>
      <c r="L1731" s="140"/>
      <c r="M1731" s="140"/>
      <c r="N1731" s="74">
        <f t="shared" si="6"/>
        <v>0</v>
      </c>
      <c r="O1731" s="60">
        <f t="shared" si="2"/>
        <v>0</v>
      </c>
      <c r="P1731" s="65" t="str">
        <f>VLOOKUP(I1731,DATABASE!C:Q,11,FALSE)</f>
        <v>#N/A</v>
      </c>
      <c r="Q1731" s="65" t="str">
        <f>VLOOKUP(I1731,DATABASE!C:Q,4,FALSE)</f>
        <v>#N/A</v>
      </c>
      <c r="R1731" s="101"/>
      <c r="U1731" s="101"/>
    </row>
    <row r="1732" ht="22.5" customHeight="1">
      <c r="A1732" s="49"/>
      <c r="C1732" s="192"/>
      <c r="D1732" s="192"/>
      <c r="E1732" s="69"/>
      <c r="F1732" s="243"/>
      <c r="G1732" s="69"/>
      <c r="H1732" s="69"/>
      <c r="I1732" s="140"/>
      <c r="J1732" s="446"/>
      <c r="K1732" s="140"/>
      <c r="L1732" s="140"/>
      <c r="M1732" s="140"/>
      <c r="N1732" s="74">
        <f t="shared" si="6"/>
        <v>0</v>
      </c>
      <c r="O1732" s="60">
        <f t="shared" si="2"/>
        <v>0</v>
      </c>
      <c r="P1732" s="65" t="str">
        <f>VLOOKUP(I1732,DATABASE!C:Q,11,FALSE)</f>
        <v>#N/A</v>
      </c>
      <c r="Q1732" s="65" t="str">
        <f>VLOOKUP(I1732,DATABASE!C:Q,4,FALSE)</f>
        <v>#N/A</v>
      </c>
      <c r="R1732" s="101"/>
      <c r="U1732" s="101"/>
    </row>
    <row r="1733" ht="22.5" customHeight="1">
      <c r="A1733" s="49"/>
      <c r="C1733" s="192"/>
      <c r="D1733" s="192"/>
      <c r="E1733" s="69"/>
      <c r="F1733" s="243"/>
      <c r="G1733" s="69"/>
      <c r="H1733" s="69"/>
      <c r="I1733" s="140"/>
      <c r="J1733" s="446"/>
      <c r="K1733" s="140"/>
      <c r="L1733" s="140"/>
      <c r="M1733" s="140"/>
      <c r="N1733" s="74">
        <f t="shared" si="6"/>
        <v>0</v>
      </c>
      <c r="O1733" s="60">
        <f t="shared" si="2"/>
        <v>0</v>
      </c>
      <c r="P1733" s="65" t="str">
        <f>VLOOKUP(I1733,DATABASE!C:Q,11,FALSE)</f>
        <v>#N/A</v>
      </c>
      <c r="Q1733" s="65" t="str">
        <f>VLOOKUP(I1733,DATABASE!C:Q,4,FALSE)</f>
        <v>#N/A</v>
      </c>
      <c r="R1733" s="101"/>
      <c r="U1733" s="101"/>
    </row>
    <row r="1734" ht="22.5" customHeight="1">
      <c r="A1734" s="49"/>
      <c r="C1734" s="192"/>
      <c r="D1734" s="192"/>
      <c r="E1734" s="69"/>
      <c r="F1734" s="243"/>
      <c r="G1734" s="69"/>
      <c r="H1734" s="69"/>
      <c r="I1734" s="140"/>
      <c r="J1734" s="446"/>
      <c r="K1734" s="140"/>
      <c r="L1734" s="140"/>
      <c r="M1734" s="140"/>
      <c r="N1734" s="74">
        <f t="shared" si="6"/>
        <v>0</v>
      </c>
      <c r="O1734" s="60">
        <f t="shared" si="2"/>
        <v>0</v>
      </c>
      <c r="P1734" s="65" t="str">
        <f>VLOOKUP(I1734,DATABASE!C:Q,11,FALSE)</f>
        <v>#N/A</v>
      </c>
      <c r="Q1734" s="65" t="str">
        <f>VLOOKUP(I1734,DATABASE!C:Q,4,FALSE)</f>
        <v>#N/A</v>
      </c>
      <c r="R1734" s="101"/>
      <c r="U1734" s="101"/>
    </row>
    <row r="1735" ht="22.5" customHeight="1">
      <c r="A1735" s="49"/>
      <c r="C1735" s="192"/>
      <c r="D1735" s="192"/>
      <c r="E1735" s="69"/>
      <c r="F1735" s="243"/>
      <c r="G1735" s="69"/>
      <c r="H1735" s="69"/>
      <c r="I1735" s="140"/>
      <c r="J1735" s="446"/>
      <c r="K1735" s="140"/>
      <c r="L1735" s="140"/>
      <c r="M1735" s="140"/>
      <c r="N1735" s="74">
        <f t="shared" si="6"/>
        <v>0</v>
      </c>
      <c r="O1735" s="60">
        <f t="shared" si="2"/>
        <v>0</v>
      </c>
      <c r="P1735" s="65" t="str">
        <f>VLOOKUP(I1735,DATABASE!C:Q,11,FALSE)</f>
        <v>#N/A</v>
      </c>
      <c r="Q1735" s="65" t="str">
        <f>VLOOKUP(I1735,DATABASE!C:Q,4,FALSE)</f>
        <v>#N/A</v>
      </c>
      <c r="R1735" s="101"/>
      <c r="U1735" s="101"/>
    </row>
    <row r="1736" ht="22.5" customHeight="1">
      <c r="A1736" s="49"/>
      <c r="C1736" s="192"/>
      <c r="D1736" s="192"/>
      <c r="E1736" s="69"/>
      <c r="F1736" s="243"/>
      <c r="G1736" s="69"/>
      <c r="H1736" s="69"/>
      <c r="I1736" s="140"/>
      <c r="J1736" s="446"/>
      <c r="K1736" s="140"/>
      <c r="L1736" s="140"/>
      <c r="M1736" s="140"/>
      <c r="N1736" s="74">
        <f t="shared" si="6"/>
        <v>0</v>
      </c>
      <c r="O1736" s="60">
        <f t="shared" si="2"/>
        <v>0</v>
      </c>
      <c r="P1736" s="65" t="str">
        <f>VLOOKUP(I1736,DATABASE!C:Q,11,FALSE)</f>
        <v>#N/A</v>
      </c>
      <c r="Q1736" s="65" t="str">
        <f>VLOOKUP(I1736,DATABASE!C:Q,4,FALSE)</f>
        <v>#N/A</v>
      </c>
      <c r="R1736" s="101"/>
      <c r="U1736" s="101"/>
    </row>
    <row r="1737" ht="22.5" customHeight="1">
      <c r="A1737" s="49"/>
      <c r="C1737" s="192"/>
      <c r="D1737" s="192"/>
      <c r="E1737" s="69"/>
      <c r="F1737" s="243"/>
      <c r="G1737" s="69"/>
      <c r="H1737" s="69"/>
      <c r="I1737" s="140"/>
      <c r="J1737" s="446"/>
      <c r="K1737" s="140"/>
      <c r="L1737" s="140"/>
      <c r="M1737" s="140"/>
      <c r="N1737" s="74">
        <f t="shared" si="6"/>
        <v>0</v>
      </c>
      <c r="O1737" s="60">
        <f t="shared" si="2"/>
        <v>0</v>
      </c>
      <c r="P1737" s="65" t="str">
        <f>VLOOKUP(I1737,DATABASE!C:Q,11,FALSE)</f>
        <v>#N/A</v>
      </c>
      <c r="Q1737" s="65" t="str">
        <f>VLOOKUP(I1737,DATABASE!C:Q,4,FALSE)</f>
        <v>#N/A</v>
      </c>
      <c r="R1737" s="101"/>
      <c r="U1737" s="101"/>
    </row>
    <row r="1738" ht="22.5" customHeight="1">
      <c r="A1738" s="49"/>
      <c r="C1738" s="192"/>
      <c r="D1738" s="192"/>
      <c r="E1738" s="69"/>
      <c r="F1738" s="243"/>
      <c r="G1738" s="69"/>
      <c r="H1738" s="69"/>
      <c r="I1738" s="140"/>
      <c r="J1738" s="446"/>
      <c r="K1738" s="140"/>
      <c r="L1738" s="140"/>
      <c r="M1738" s="140"/>
      <c r="N1738" s="74">
        <f t="shared" si="6"/>
        <v>0</v>
      </c>
      <c r="O1738" s="60">
        <f t="shared" si="2"/>
        <v>0</v>
      </c>
      <c r="P1738" s="65" t="str">
        <f>VLOOKUP(I1738,DATABASE!C:Q,11,FALSE)</f>
        <v>#N/A</v>
      </c>
      <c r="Q1738" s="65" t="str">
        <f>VLOOKUP(I1738,DATABASE!C:Q,4,FALSE)</f>
        <v>#N/A</v>
      </c>
      <c r="R1738" s="101"/>
      <c r="U1738" s="101"/>
    </row>
    <row r="1739" ht="22.5" customHeight="1">
      <c r="A1739" s="49"/>
      <c r="C1739" s="192"/>
      <c r="D1739" s="192"/>
      <c r="E1739" s="69"/>
      <c r="F1739" s="243"/>
      <c r="G1739" s="69"/>
      <c r="H1739" s="69"/>
      <c r="I1739" s="140"/>
      <c r="J1739" s="446"/>
      <c r="K1739" s="140"/>
      <c r="L1739" s="140"/>
      <c r="M1739" s="140"/>
      <c r="N1739" s="74">
        <f t="shared" si="6"/>
        <v>0</v>
      </c>
      <c r="O1739" s="60">
        <f t="shared" si="2"/>
        <v>0</v>
      </c>
      <c r="P1739" s="65" t="str">
        <f>VLOOKUP(I1739,DATABASE!C:Q,11,FALSE)</f>
        <v>#N/A</v>
      </c>
      <c r="Q1739" s="65" t="str">
        <f>VLOOKUP(I1739,DATABASE!C:Q,4,FALSE)</f>
        <v>#N/A</v>
      </c>
      <c r="R1739" s="101"/>
      <c r="U1739" s="101"/>
    </row>
    <row r="1740" ht="22.5" customHeight="1">
      <c r="A1740" s="49"/>
      <c r="C1740" s="192"/>
      <c r="D1740" s="192"/>
      <c r="E1740" s="69"/>
      <c r="F1740" s="243"/>
      <c r="G1740" s="69"/>
      <c r="H1740" s="69"/>
      <c r="I1740" s="140"/>
      <c r="J1740" s="446"/>
      <c r="K1740" s="140"/>
      <c r="L1740" s="140"/>
      <c r="M1740" s="140"/>
      <c r="N1740" s="74">
        <f t="shared" si="6"/>
        <v>0</v>
      </c>
      <c r="O1740" s="60">
        <f t="shared" si="2"/>
        <v>0</v>
      </c>
      <c r="P1740" s="65" t="str">
        <f>VLOOKUP(I1740,DATABASE!C:Q,11,FALSE)</f>
        <v>#N/A</v>
      </c>
      <c r="Q1740" s="65" t="str">
        <f>VLOOKUP(I1740,DATABASE!C:Q,4,FALSE)</f>
        <v>#N/A</v>
      </c>
      <c r="R1740" s="101"/>
      <c r="U1740" s="101"/>
    </row>
    <row r="1741" ht="22.5" customHeight="1">
      <c r="A1741" s="49"/>
      <c r="C1741" s="192"/>
      <c r="D1741" s="192"/>
      <c r="E1741" s="69"/>
      <c r="F1741" s="243"/>
      <c r="G1741" s="69"/>
      <c r="H1741" s="69"/>
      <c r="I1741" s="140"/>
      <c r="J1741" s="446"/>
      <c r="K1741" s="140"/>
      <c r="L1741" s="140"/>
      <c r="M1741" s="140"/>
      <c r="N1741" s="74">
        <f t="shared" si="6"/>
        <v>0</v>
      </c>
      <c r="O1741" s="60">
        <f t="shared" si="2"/>
        <v>0</v>
      </c>
      <c r="P1741" s="65" t="str">
        <f>VLOOKUP(I1741,DATABASE!C:Q,11,FALSE)</f>
        <v>#N/A</v>
      </c>
      <c r="Q1741" s="65" t="str">
        <f>VLOOKUP(I1741,DATABASE!C:Q,4,FALSE)</f>
        <v>#N/A</v>
      </c>
      <c r="R1741" s="101"/>
      <c r="U1741" s="101"/>
    </row>
    <row r="1742" ht="22.5" customHeight="1">
      <c r="A1742" s="49"/>
      <c r="C1742" s="192"/>
      <c r="D1742" s="192"/>
      <c r="E1742" s="69"/>
      <c r="F1742" s="243"/>
      <c r="G1742" s="69"/>
      <c r="H1742" s="69"/>
      <c r="I1742" s="140"/>
      <c r="J1742" s="446"/>
      <c r="K1742" s="140"/>
      <c r="L1742" s="140"/>
      <c r="M1742" s="140"/>
      <c r="N1742" s="74">
        <f t="shared" si="6"/>
        <v>0</v>
      </c>
      <c r="O1742" s="60">
        <f t="shared" si="2"/>
        <v>0</v>
      </c>
      <c r="P1742" s="65" t="str">
        <f>VLOOKUP(I1742,DATABASE!C:Q,11,FALSE)</f>
        <v>#N/A</v>
      </c>
      <c r="Q1742" s="65" t="str">
        <f>VLOOKUP(I1742,DATABASE!C:Q,4,FALSE)</f>
        <v>#N/A</v>
      </c>
      <c r="R1742" s="101"/>
      <c r="U1742" s="101"/>
    </row>
    <row r="1743" ht="22.5" customHeight="1">
      <c r="A1743" s="49"/>
      <c r="C1743" s="192"/>
      <c r="D1743" s="192"/>
      <c r="E1743" s="69"/>
      <c r="F1743" s="243"/>
      <c r="G1743" s="69"/>
      <c r="H1743" s="69"/>
      <c r="I1743" s="140"/>
      <c r="J1743" s="446"/>
      <c r="K1743" s="140"/>
      <c r="L1743" s="140"/>
      <c r="M1743" s="140"/>
      <c r="N1743" s="74">
        <f t="shared" si="6"/>
        <v>0</v>
      </c>
      <c r="O1743" s="60">
        <f t="shared" si="2"/>
        <v>0</v>
      </c>
      <c r="P1743" s="65" t="str">
        <f>VLOOKUP(I1743,DATABASE!C:Q,11,FALSE)</f>
        <v>#N/A</v>
      </c>
      <c r="Q1743" s="65" t="str">
        <f>VLOOKUP(I1743,DATABASE!C:Q,4,FALSE)</f>
        <v>#N/A</v>
      </c>
      <c r="R1743" s="101"/>
      <c r="U1743" s="101"/>
    </row>
    <row r="1744" ht="22.5" customHeight="1">
      <c r="A1744" s="49"/>
      <c r="C1744" s="192"/>
      <c r="D1744" s="192"/>
      <c r="E1744" s="69"/>
      <c r="F1744" s="243"/>
      <c r="G1744" s="69"/>
      <c r="H1744" s="69"/>
      <c r="I1744" s="140"/>
      <c r="J1744" s="446"/>
      <c r="K1744" s="140"/>
      <c r="L1744" s="140"/>
      <c r="M1744" s="140"/>
      <c r="N1744" s="74">
        <f t="shared" si="6"/>
        <v>0</v>
      </c>
      <c r="O1744" s="60">
        <f t="shared" si="2"/>
        <v>0</v>
      </c>
      <c r="P1744" s="65" t="str">
        <f>VLOOKUP(I1744,DATABASE!C:Q,11,FALSE)</f>
        <v>#N/A</v>
      </c>
      <c r="Q1744" s="65" t="str">
        <f>VLOOKUP(I1744,DATABASE!C:Q,4,FALSE)</f>
        <v>#N/A</v>
      </c>
      <c r="R1744" s="101"/>
      <c r="U1744" s="101"/>
    </row>
    <row r="1745" ht="22.5" customHeight="1">
      <c r="A1745" s="49"/>
      <c r="C1745" s="192"/>
      <c r="D1745" s="192"/>
      <c r="E1745" s="69"/>
      <c r="F1745" s="243"/>
      <c r="G1745" s="69"/>
      <c r="H1745" s="69"/>
      <c r="I1745" s="140"/>
      <c r="J1745" s="446"/>
      <c r="K1745" s="140"/>
      <c r="L1745" s="140"/>
      <c r="M1745" s="140"/>
      <c r="N1745" s="74">
        <f t="shared" si="6"/>
        <v>0</v>
      </c>
      <c r="O1745" s="60">
        <f t="shared" si="2"/>
        <v>0</v>
      </c>
      <c r="P1745" s="65" t="str">
        <f>VLOOKUP(I1745,DATABASE!C:Q,11,FALSE)</f>
        <v>#N/A</v>
      </c>
      <c r="Q1745" s="65" t="str">
        <f>VLOOKUP(I1745,DATABASE!C:Q,4,FALSE)</f>
        <v>#N/A</v>
      </c>
      <c r="R1745" s="101"/>
      <c r="U1745" s="101"/>
    </row>
    <row r="1746" ht="22.5" customHeight="1">
      <c r="A1746" s="49"/>
      <c r="C1746" s="192"/>
      <c r="D1746" s="192"/>
      <c r="E1746" s="69"/>
      <c r="F1746" s="243"/>
      <c r="G1746" s="69"/>
      <c r="H1746" s="69"/>
      <c r="I1746" s="140"/>
      <c r="J1746" s="446"/>
      <c r="K1746" s="140"/>
      <c r="L1746" s="140"/>
      <c r="M1746" s="140"/>
      <c r="N1746" s="74">
        <f t="shared" si="6"/>
        <v>0</v>
      </c>
      <c r="O1746" s="60">
        <f t="shared" si="2"/>
        <v>0</v>
      </c>
      <c r="P1746" s="65" t="str">
        <f>VLOOKUP(I1746,DATABASE!C:Q,11,FALSE)</f>
        <v>#N/A</v>
      </c>
      <c r="Q1746" s="65" t="str">
        <f>VLOOKUP(I1746,DATABASE!C:Q,4,FALSE)</f>
        <v>#N/A</v>
      </c>
      <c r="R1746" s="101"/>
      <c r="U1746" s="101"/>
    </row>
    <row r="1747" ht="22.5" customHeight="1">
      <c r="A1747" s="49"/>
      <c r="C1747" s="192"/>
      <c r="D1747" s="192"/>
      <c r="E1747" s="69"/>
      <c r="F1747" s="243"/>
      <c r="G1747" s="69"/>
      <c r="H1747" s="69"/>
      <c r="I1747" s="140"/>
      <c r="J1747" s="446"/>
      <c r="K1747" s="140"/>
      <c r="L1747" s="140"/>
      <c r="M1747" s="140"/>
      <c r="N1747" s="74">
        <f t="shared" si="6"/>
        <v>0</v>
      </c>
      <c r="O1747" s="60">
        <f t="shared" si="2"/>
        <v>0</v>
      </c>
      <c r="P1747" s="65" t="str">
        <f>VLOOKUP(I1747,DATABASE!C:Q,11,FALSE)</f>
        <v>#N/A</v>
      </c>
      <c r="Q1747" s="65" t="str">
        <f>VLOOKUP(I1747,DATABASE!C:Q,4,FALSE)</f>
        <v>#N/A</v>
      </c>
      <c r="R1747" s="101"/>
      <c r="U1747" s="101"/>
    </row>
    <row r="1748" ht="22.5" customHeight="1">
      <c r="A1748" s="49"/>
      <c r="C1748" s="192"/>
      <c r="D1748" s="192"/>
      <c r="E1748" s="69"/>
      <c r="F1748" s="243"/>
      <c r="G1748" s="69"/>
      <c r="H1748" s="69"/>
      <c r="I1748" s="140"/>
      <c r="J1748" s="446"/>
      <c r="K1748" s="140"/>
      <c r="L1748" s="140"/>
      <c r="M1748" s="140"/>
      <c r="N1748" s="74">
        <f t="shared" si="6"/>
        <v>0</v>
      </c>
      <c r="O1748" s="60">
        <f t="shared" si="2"/>
        <v>0</v>
      </c>
      <c r="P1748" s="65" t="str">
        <f>VLOOKUP(I1748,DATABASE!C:Q,11,FALSE)</f>
        <v>#N/A</v>
      </c>
      <c r="Q1748" s="65" t="str">
        <f>VLOOKUP(I1748,DATABASE!C:Q,4,FALSE)</f>
        <v>#N/A</v>
      </c>
      <c r="R1748" s="101"/>
      <c r="U1748" s="101"/>
    </row>
    <row r="1749" ht="22.5" customHeight="1">
      <c r="A1749" s="49"/>
      <c r="C1749" s="192"/>
      <c r="D1749" s="192"/>
      <c r="E1749" s="69"/>
      <c r="F1749" s="243"/>
      <c r="G1749" s="69"/>
      <c r="H1749" s="69"/>
      <c r="I1749" s="140"/>
      <c r="J1749" s="446"/>
      <c r="K1749" s="140"/>
      <c r="L1749" s="140"/>
      <c r="M1749" s="140"/>
      <c r="N1749" s="74">
        <f t="shared" si="6"/>
        <v>0</v>
      </c>
      <c r="O1749" s="60">
        <f t="shared" si="2"/>
        <v>0</v>
      </c>
      <c r="P1749" s="65" t="str">
        <f>VLOOKUP(I1749,DATABASE!C:Q,11,FALSE)</f>
        <v>#N/A</v>
      </c>
      <c r="Q1749" s="65" t="str">
        <f>VLOOKUP(I1749,DATABASE!C:Q,4,FALSE)</f>
        <v>#N/A</v>
      </c>
      <c r="R1749" s="101"/>
      <c r="U1749" s="101"/>
    </row>
    <row r="1750" ht="22.5" customHeight="1">
      <c r="A1750" s="49"/>
      <c r="C1750" s="192"/>
      <c r="D1750" s="192"/>
      <c r="E1750" s="69"/>
      <c r="F1750" s="243"/>
      <c r="G1750" s="69"/>
      <c r="H1750" s="69"/>
      <c r="I1750" s="140"/>
      <c r="J1750" s="446"/>
      <c r="K1750" s="140"/>
      <c r="L1750" s="140"/>
      <c r="M1750" s="140"/>
      <c r="N1750" s="74">
        <f t="shared" si="6"/>
        <v>0</v>
      </c>
      <c r="O1750" s="60">
        <f t="shared" si="2"/>
        <v>0</v>
      </c>
      <c r="P1750" s="65" t="str">
        <f>VLOOKUP(I1750,DATABASE!C:Q,11,FALSE)</f>
        <v>#N/A</v>
      </c>
      <c r="Q1750" s="65" t="str">
        <f>VLOOKUP(I1750,DATABASE!C:Q,4,FALSE)</f>
        <v>#N/A</v>
      </c>
      <c r="R1750" s="101"/>
      <c r="U1750" s="101"/>
    </row>
    <row r="1751" ht="22.5" customHeight="1">
      <c r="A1751" s="49"/>
      <c r="C1751" s="192"/>
      <c r="D1751" s="192"/>
      <c r="E1751" s="69"/>
      <c r="F1751" s="243"/>
      <c r="G1751" s="69"/>
      <c r="H1751" s="69"/>
      <c r="I1751" s="140"/>
      <c r="J1751" s="446"/>
      <c r="K1751" s="140"/>
      <c r="L1751" s="140"/>
      <c r="M1751" s="140"/>
      <c r="N1751" s="74">
        <f t="shared" si="6"/>
        <v>0</v>
      </c>
      <c r="O1751" s="60">
        <f t="shared" si="2"/>
        <v>0</v>
      </c>
      <c r="P1751" s="65" t="str">
        <f>VLOOKUP(I1751,DATABASE!C:Q,11,FALSE)</f>
        <v>#N/A</v>
      </c>
      <c r="Q1751" s="65" t="str">
        <f>VLOOKUP(I1751,DATABASE!C:Q,4,FALSE)</f>
        <v>#N/A</v>
      </c>
      <c r="R1751" s="101"/>
      <c r="U1751" s="101"/>
    </row>
    <row r="1752" ht="22.5" customHeight="1">
      <c r="A1752" s="49"/>
      <c r="C1752" s="192"/>
      <c r="D1752" s="192"/>
      <c r="E1752" s="69"/>
      <c r="F1752" s="243"/>
      <c r="G1752" s="69"/>
      <c r="H1752" s="69"/>
      <c r="I1752" s="140"/>
      <c r="J1752" s="446"/>
      <c r="K1752" s="140"/>
      <c r="L1752" s="140"/>
      <c r="M1752" s="140"/>
      <c r="N1752" s="74">
        <f t="shared" si="6"/>
        <v>0</v>
      </c>
      <c r="O1752" s="60">
        <f t="shared" si="2"/>
        <v>0</v>
      </c>
      <c r="P1752" s="65" t="str">
        <f>VLOOKUP(I1752,DATABASE!C:Q,11,FALSE)</f>
        <v>#N/A</v>
      </c>
      <c r="Q1752" s="65" t="str">
        <f>VLOOKUP(I1752,DATABASE!C:Q,4,FALSE)</f>
        <v>#N/A</v>
      </c>
      <c r="R1752" s="101"/>
      <c r="U1752" s="101"/>
    </row>
    <row r="1753" ht="22.5" customHeight="1">
      <c r="A1753" s="49"/>
      <c r="C1753" s="192"/>
      <c r="D1753" s="192"/>
      <c r="E1753" s="69"/>
      <c r="F1753" s="243"/>
      <c r="G1753" s="69"/>
      <c r="H1753" s="69"/>
      <c r="I1753" s="140"/>
      <c r="J1753" s="446"/>
      <c r="K1753" s="140"/>
      <c r="L1753" s="140"/>
      <c r="M1753" s="140"/>
      <c r="N1753" s="74">
        <f t="shared" si="6"/>
        <v>0</v>
      </c>
      <c r="O1753" s="60">
        <f t="shared" si="2"/>
        <v>0</v>
      </c>
      <c r="P1753" s="65" t="str">
        <f>VLOOKUP(I1753,DATABASE!C:Q,11,FALSE)</f>
        <v>#N/A</v>
      </c>
      <c r="Q1753" s="65" t="str">
        <f>VLOOKUP(I1753,DATABASE!C:Q,4,FALSE)</f>
        <v>#N/A</v>
      </c>
      <c r="R1753" s="101"/>
      <c r="U1753" s="101"/>
    </row>
    <row r="1754" ht="22.5" customHeight="1">
      <c r="A1754" s="49"/>
      <c r="C1754" s="192"/>
      <c r="D1754" s="192"/>
      <c r="E1754" s="69"/>
      <c r="F1754" s="243"/>
      <c r="G1754" s="69"/>
      <c r="H1754" s="69"/>
      <c r="I1754" s="140"/>
      <c r="J1754" s="446"/>
      <c r="K1754" s="140"/>
      <c r="L1754" s="140"/>
      <c r="M1754" s="140"/>
      <c r="N1754" s="74">
        <f t="shared" si="6"/>
        <v>0</v>
      </c>
      <c r="O1754" s="60">
        <f t="shared" si="2"/>
        <v>0</v>
      </c>
      <c r="P1754" s="65" t="str">
        <f>VLOOKUP(I1754,DATABASE!C:Q,11,FALSE)</f>
        <v>#N/A</v>
      </c>
      <c r="Q1754" s="65" t="str">
        <f>VLOOKUP(I1754,DATABASE!C:Q,4,FALSE)</f>
        <v>#N/A</v>
      </c>
      <c r="R1754" s="101"/>
      <c r="U1754" s="101"/>
    </row>
    <row r="1755" ht="22.5" customHeight="1">
      <c r="A1755" s="49"/>
      <c r="C1755" s="192"/>
      <c r="D1755" s="192"/>
      <c r="E1755" s="69"/>
      <c r="F1755" s="243"/>
      <c r="G1755" s="69"/>
      <c r="H1755" s="69"/>
      <c r="I1755" s="140"/>
      <c r="J1755" s="446"/>
      <c r="K1755" s="140"/>
      <c r="L1755" s="140"/>
      <c r="M1755" s="140"/>
      <c r="N1755" s="74">
        <f t="shared" si="6"/>
        <v>0</v>
      </c>
      <c r="O1755" s="60">
        <f t="shared" si="2"/>
        <v>0</v>
      </c>
      <c r="P1755" s="65" t="str">
        <f>VLOOKUP(I1755,DATABASE!C:Q,11,FALSE)</f>
        <v>#N/A</v>
      </c>
      <c r="Q1755" s="65" t="str">
        <f>VLOOKUP(I1755,DATABASE!C:Q,4,FALSE)</f>
        <v>#N/A</v>
      </c>
      <c r="R1755" s="101"/>
      <c r="U1755" s="101"/>
    </row>
    <row r="1756" ht="22.5" customHeight="1">
      <c r="A1756" s="49"/>
      <c r="C1756" s="192"/>
      <c r="D1756" s="192"/>
      <c r="E1756" s="69"/>
      <c r="F1756" s="243"/>
      <c r="G1756" s="69"/>
      <c r="H1756" s="69"/>
      <c r="I1756" s="140"/>
      <c r="J1756" s="446"/>
      <c r="K1756" s="140"/>
      <c r="L1756" s="140"/>
      <c r="M1756" s="140"/>
      <c r="N1756" s="74">
        <f t="shared" si="6"/>
        <v>0</v>
      </c>
      <c r="O1756" s="60">
        <f t="shared" si="2"/>
        <v>0</v>
      </c>
      <c r="P1756" s="65" t="str">
        <f>VLOOKUP(I1756,DATABASE!C:Q,11,FALSE)</f>
        <v>#N/A</v>
      </c>
      <c r="Q1756" s="65" t="str">
        <f>VLOOKUP(I1756,DATABASE!C:Q,4,FALSE)</f>
        <v>#N/A</v>
      </c>
      <c r="R1756" s="101"/>
      <c r="U1756" s="101"/>
    </row>
    <row r="1757" ht="22.5" customHeight="1">
      <c r="A1757" s="49"/>
      <c r="C1757" s="192"/>
      <c r="D1757" s="192"/>
      <c r="E1757" s="69"/>
      <c r="F1757" s="243"/>
      <c r="G1757" s="69"/>
      <c r="H1757" s="69"/>
      <c r="I1757" s="140"/>
      <c r="J1757" s="446"/>
      <c r="K1757" s="140"/>
      <c r="L1757" s="140"/>
      <c r="M1757" s="140"/>
      <c r="N1757" s="74">
        <f t="shared" si="6"/>
        <v>0</v>
      </c>
      <c r="O1757" s="60">
        <f t="shared" si="2"/>
        <v>0</v>
      </c>
      <c r="P1757" s="65" t="str">
        <f>VLOOKUP(I1757,DATABASE!C:Q,11,FALSE)</f>
        <v>#N/A</v>
      </c>
      <c r="Q1757" s="65" t="str">
        <f>VLOOKUP(I1757,DATABASE!C:Q,4,FALSE)</f>
        <v>#N/A</v>
      </c>
      <c r="R1757" s="101"/>
      <c r="U1757" s="101"/>
    </row>
    <row r="1758" ht="22.5" customHeight="1">
      <c r="A1758" s="49"/>
      <c r="C1758" s="192"/>
      <c r="D1758" s="192"/>
      <c r="E1758" s="69"/>
      <c r="F1758" s="243"/>
      <c r="G1758" s="69"/>
      <c r="H1758" s="69"/>
      <c r="I1758" s="140"/>
      <c r="J1758" s="446"/>
      <c r="K1758" s="140"/>
      <c r="L1758" s="140"/>
      <c r="M1758" s="140"/>
      <c r="N1758" s="74">
        <f t="shared" si="6"/>
        <v>0</v>
      </c>
      <c r="O1758" s="60">
        <f t="shared" si="2"/>
        <v>0</v>
      </c>
      <c r="P1758" s="65" t="str">
        <f>VLOOKUP(I1758,DATABASE!C:Q,11,FALSE)</f>
        <v>#N/A</v>
      </c>
      <c r="Q1758" s="65" t="str">
        <f>VLOOKUP(I1758,DATABASE!C:Q,4,FALSE)</f>
        <v>#N/A</v>
      </c>
      <c r="R1758" s="101"/>
      <c r="U1758" s="101"/>
    </row>
    <row r="1759" ht="22.5" customHeight="1">
      <c r="A1759" s="49"/>
      <c r="C1759" s="192"/>
      <c r="D1759" s="192"/>
      <c r="E1759" s="69"/>
      <c r="F1759" s="243"/>
      <c r="G1759" s="69"/>
      <c r="H1759" s="69"/>
      <c r="I1759" s="140"/>
      <c r="J1759" s="446"/>
      <c r="K1759" s="140"/>
      <c r="L1759" s="140"/>
      <c r="M1759" s="140"/>
      <c r="N1759" s="74">
        <f t="shared" si="6"/>
        <v>0</v>
      </c>
      <c r="O1759" s="60">
        <f t="shared" si="2"/>
        <v>0</v>
      </c>
      <c r="P1759" s="65" t="str">
        <f>VLOOKUP(I1759,DATABASE!C:Q,11,FALSE)</f>
        <v>#N/A</v>
      </c>
      <c r="Q1759" s="65" t="str">
        <f>VLOOKUP(I1759,DATABASE!C:Q,4,FALSE)</f>
        <v>#N/A</v>
      </c>
      <c r="R1759" s="101"/>
      <c r="U1759" s="101"/>
    </row>
    <row r="1760" ht="22.5" customHeight="1">
      <c r="A1760" s="49"/>
      <c r="C1760" s="192"/>
      <c r="D1760" s="192"/>
      <c r="E1760" s="69"/>
      <c r="F1760" s="243"/>
      <c r="G1760" s="69"/>
      <c r="H1760" s="69"/>
      <c r="I1760" s="140"/>
      <c r="J1760" s="446"/>
      <c r="K1760" s="140"/>
      <c r="L1760" s="140"/>
      <c r="M1760" s="140"/>
      <c r="N1760" s="74">
        <f t="shared" si="6"/>
        <v>0</v>
      </c>
      <c r="O1760" s="60">
        <f t="shared" si="2"/>
        <v>0</v>
      </c>
      <c r="P1760" s="65" t="str">
        <f>VLOOKUP(I1760,DATABASE!C:Q,11,FALSE)</f>
        <v>#N/A</v>
      </c>
      <c r="Q1760" s="65" t="str">
        <f>VLOOKUP(I1760,DATABASE!C:Q,4,FALSE)</f>
        <v>#N/A</v>
      </c>
      <c r="R1760" s="101"/>
      <c r="U1760" s="101"/>
    </row>
    <row r="1761" ht="22.5" customHeight="1">
      <c r="A1761" s="49"/>
      <c r="C1761" s="192"/>
      <c r="D1761" s="192"/>
      <c r="E1761" s="69"/>
      <c r="F1761" s="243"/>
      <c r="G1761" s="69"/>
      <c r="H1761" s="69"/>
      <c r="I1761" s="140"/>
      <c r="J1761" s="446"/>
      <c r="K1761" s="140"/>
      <c r="L1761" s="140"/>
      <c r="M1761" s="140"/>
      <c r="N1761" s="74">
        <f t="shared" si="6"/>
        <v>0</v>
      </c>
      <c r="O1761" s="60">
        <f t="shared" si="2"/>
        <v>0</v>
      </c>
      <c r="P1761" s="65" t="str">
        <f>VLOOKUP(I1761,DATABASE!C:Q,11,FALSE)</f>
        <v>#N/A</v>
      </c>
      <c r="Q1761" s="65" t="str">
        <f>VLOOKUP(I1761,DATABASE!C:Q,4,FALSE)</f>
        <v>#N/A</v>
      </c>
      <c r="R1761" s="101"/>
      <c r="U1761" s="101"/>
    </row>
    <row r="1762" ht="22.5" customHeight="1">
      <c r="A1762" s="49"/>
      <c r="C1762" s="192"/>
      <c r="D1762" s="192"/>
      <c r="E1762" s="69"/>
      <c r="F1762" s="243"/>
      <c r="G1762" s="69"/>
      <c r="H1762" s="69"/>
      <c r="I1762" s="140"/>
      <c r="J1762" s="446"/>
      <c r="K1762" s="140"/>
      <c r="L1762" s="140"/>
      <c r="M1762" s="140"/>
      <c r="N1762" s="74">
        <f t="shared" si="6"/>
        <v>0</v>
      </c>
      <c r="O1762" s="60">
        <f t="shared" si="2"/>
        <v>0</v>
      </c>
      <c r="P1762" s="65" t="str">
        <f>VLOOKUP(I1762,DATABASE!C:Q,11,FALSE)</f>
        <v>#N/A</v>
      </c>
      <c r="Q1762" s="65" t="str">
        <f>VLOOKUP(I1762,DATABASE!C:Q,4,FALSE)</f>
        <v>#N/A</v>
      </c>
      <c r="R1762" s="101"/>
      <c r="U1762" s="101"/>
    </row>
    <row r="1763" ht="22.5" customHeight="1">
      <c r="A1763" s="49"/>
      <c r="C1763" s="192"/>
      <c r="D1763" s="192"/>
      <c r="E1763" s="69"/>
      <c r="F1763" s="243"/>
      <c r="G1763" s="69"/>
      <c r="H1763" s="69"/>
      <c r="I1763" s="140"/>
      <c r="J1763" s="446"/>
      <c r="K1763" s="140"/>
      <c r="L1763" s="140"/>
      <c r="M1763" s="140"/>
      <c r="N1763" s="74">
        <f t="shared" si="6"/>
        <v>0</v>
      </c>
      <c r="O1763" s="60">
        <f t="shared" si="2"/>
        <v>0</v>
      </c>
      <c r="P1763" s="65" t="str">
        <f>VLOOKUP(I1763,DATABASE!C:Q,11,FALSE)</f>
        <v>#N/A</v>
      </c>
      <c r="Q1763" s="65" t="str">
        <f>VLOOKUP(I1763,DATABASE!C:Q,4,FALSE)</f>
        <v>#N/A</v>
      </c>
      <c r="R1763" s="101"/>
      <c r="U1763" s="101"/>
    </row>
    <row r="1764" ht="22.5" customHeight="1">
      <c r="A1764" s="49"/>
      <c r="C1764" s="192"/>
      <c r="D1764" s="192"/>
      <c r="E1764" s="69"/>
      <c r="F1764" s="243"/>
      <c r="G1764" s="69"/>
      <c r="H1764" s="69"/>
      <c r="I1764" s="140"/>
      <c r="J1764" s="446"/>
      <c r="K1764" s="140"/>
      <c r="L1764" s="140"/>
      <c r="M1764" s="140"/>
      <c r="N1764" s="74">
        <f t="shared" si="6"/>
        <v>0</v>
      </c>
      <c r="O1764" s="60">
        <f t="shared" si="2"/>
        <v>0</v>
      </c>
      <c r="P1764" s="65" t="str">
        <f>VLOOKUP(I1764,DATABASE!C:Q,11,FALSE)</f>
        <v>#N/A</v>
      </c>
      <c r="Q1764" s="65" t="str">
        <f>VLOOKUP(I1764,DATABASE!C:Q,4,FALSE)</f>
        <v>#N/A</v>
      </c>
      <c r="R1764" s="101"/>
      <c r="U1764" s="101"/>
    </row>
    <row r="1765" ht="22.5" customHeight="1">
      <c r="A1765" s="49"/>
      <c r="C1765" s="192"/>
      <c r="D1765" s="192"/>
      <c r="E1765" s="69"/>
      <c r="F1765" s="243"/>
      <c r="G1765" s="69"/>
      <c r="H1765" s="69"/>
      <c r="I1765" s="140"/>
      <c r="J1765" s="446"/>
      <c r="K1765" s="140"/>
      <c r="L1765" s="140"/>
      <c r="M1765" s="140"/>
      <c r="N1765" s="74">
        <f t="shared" si="6"/>
        <v>0</v>
      </c>
      <c r="O1765" s="60">
        <f t="shared" si="2"/>
        <v>0</v>
      </c>
      <c r="P1765" s="65" t="str">
        <f>VLOOKUP(I1765,DATABASE!C:Q,11,FALSE)</f>
        <v>#N/A</v>
      </c>
      <c r="Q1765" s="65" t="str">
        <f>VLOOKUP(I1765,DATABASE!C:Q,4,FALSE)</f>
        <v>#N/A</v>
      </c>
      <c r="R1765" s="101"/>
      <c r="U1765" s="101"/>
    </row>
    <row r="1766" ht="22.5" customHeight="1">
      <c r="A1766" s="49"/>
      <c r="C1766" s="192"/>
      <c r="D1766" s="192"/>
      <c r="E1766" s="69"/>
      <c r="F1766" s="243"/>
      <c r="G1766" s="69"/>
      <c r="H1766" s="69"/>
      <c r="I1766" s="140"/>
      <c r="J1766" s="446"/>
      <c r="K1766" s="140"/>
      <c r="L1766" s="140"/>
      <c r="M1766" s="140"/>
      <c r="N1766" s="74">
        <f t="shared" si="6"/>
        <v>0</v>
      </c>
      <c r="O1766" s="60">
        <f t="shared" si="2"/>
        <v>0</v>
      </c>
      <c r="P1766" s="65" t="str">
        <f>VLOOKUP(I1766,DATABASE!C:Q,11,FALSE)</f>
        <v>#N/A</v>
      </c>
      <c r="Q1766" s="65" t="str">
        <f>VLOOKUP(I1766,DATABASE!C:Q,4,FALSE)</f>
        <v>#N/A</v>
      </c>
      <c r="R1766" s="101"/>
      <c r="U1766" s="101"/>
    </row>
    <row r="1767" ht="22.5" customHeight="1">
      <c r="A1767" s="49"/>
      <c r="C1767" s="192"/>
      <c r="D1767" s="192"/>
      <c r="E1767" s="69"/>
      <c r="F1767" s="243"/>
      <c r="G1767" s="69"/>
      <c r="H1767" s="69"/>
      <c r="I1767" s="140"/>
      <c r="J1767" s="446"/>
      <c r="K1767" s="140"/>
      <c r="L1767" s="140"/>
      <c r="M1767" s="140"/>
      <c r="N1767" s="74">
        <f t="shared" si="6"/>
        <v>0</v>
      </c>
      <c r="O1767" s="60">
        <f t="shared" si="2"/>
        <v>0</v>
      </c>
      <c r="P1767" s="65" t="str">
        <f>VLOOKUP(I1767,DATABASE!C:Q,11,FALSE)</f>
        <v>#N/A</v>
      </c>
      <c r="Q1767" s="65" t="str">
        <f>VLOOKUP(I1767,DATABASE!C:Q,4,FALSE)</f>
        <v>#N/A</v>
      </c>
      <c r="R1767" s="101"/>
      <c r="U1767" s="101"/>
    </row>
    <row r="1768" ht="22.5" customHeight="1">
      <c r="A1768" s="49"/>
      <c r="C1768" s="192"/>
      <c r="D1768" s="192"/>
      <c r="E1768" s="69"/>
      <c r="F1768" s="243"/>
      <c r="G1768" s="69"/>
      <c r="H1768" s="69"/>
      <c r="I1768" s="140"/>
      <c r="J1768" s="446"/>
      <c r="K1768" s="140"/>
      <c r="L1768" s="140"/>
      <c r="M1768" s="140"/>
      <c r="N1768" s="74">
        <f t="shared" si="6"/>
        <v>0</v>
      </c>
      <c r="O1768" s="60">
        <f t="shared" si="2"/>
        <v>0</v>
      </c>
      <c r="P1768" s="65" t="str">
        <f>VLOOKUP(I1768,DATABASE!C:Q,11,FALSE)</f>
        <v>#N/A</v>
      </c>
      <c r="Q1768" s="65" t="str">
        <f>VLOOKUP(I1768,DATABASE!C:Q,4,FALSE)</f>
        <v>#N/A</v>
      </c>
      <c r="R1768" s="101"/>
      <c r="U1768" s="101"/>
    </row>
    <row r="1769" ht="22.5" customHeight="1">
      <c r="A1769" s="49"/>
      <c r="C1769" s="192"/>
      <c r="D1769" s="192"/>
      <c r="E1769" s="69"/>
      <c r="F1769" s="243"/>
      <c r="G1769" s="69"/>
      <c r="H1769" s="69"/>
      <c r="I1769" s="140"/>
      <c r="J1769" s="446"/>
      <c r="K1769" s="140"/>
      <c r="L1769" s="140"/>
      <c r="M1769" s="140"/>
      <c r="N1769" s="74">
        <f t="shared" si="6"/>
        <v>0</v>
      </c>
      <c r="O1769" s="60">
        <f t="shared" si="2"/>
        <v>0</v>
      </c>
      <c r="P1769" s="65" t="str">
        <f>VLOOKUP(I1769,DATABASE!C:Q,11,FALSE)</f>
        <v>#N/A</v>
      </c>
      <c r="Q1769" s="65" t="str">
        <f>VLOOKUP(I1769,DATABASE!C:Q,4,FALSE)</f>
        <v>#N/A</v>
      </c>
      <c r="R1769" s="101"/>
      <c r="U1769" s="101"/>
    </row>
    <row r="1770" ht="22.5" customHeight="1">
      <c r="A1770" s="49"/>
      <c r="C1770" s="192"/>
      <c r="D1770" s="192"/>
      <c r="E1770" s="69"/>
      <c r="F1770" s="243"/>
      <c r="G1770" s="69"/>
      <c r="H1770" s="69"/>
      <c r="I1770" s="140"/>
      <c r="J1770" s="446"/>
      <c r="K1770" s="140"/>
      <c r="L1770" s="140"/>
      <c r="M1770" s="140"/>
      <c r="N1770" s="74">
        <f t="shared" si="6"/>
        <v>0</v>
      </c>
      <c r="O1770" s="60">
        <f t="shared" si="2"/>
        <v>0</v>
      </c>
      <c r="P1770" s="65" t="str">
        <f>VLOOKUP(I1770,DATABASE!C:Q,11,FALSE)</f>
        <v>#N/A</v>
      </c>
      <c r="Q1770" s="65" t="str">
        <f>VLOOKUP(I1770,DATABASE!C:Q,4,FALSE)</f>
        <v>#N/A</v>
      </c>
      <c r="R1770" s="101"/>
      <c r="U1770" s="101"/>
    </row>
    <row r="1771" ht="22.5" customHeight="1">
      <c r="A1771" s="49"/>
      <c r="C1771" s="192"/>
      <c r="D1771" s="192"/>
      <c r="E1771" s="69"/>
      <c r="F1771" s="243"/>
      <c r="G1771" s="69"/>
      <c r="H1771" s="69"/>
      <c r="I1771" s="140"/>
      <c r="J1771" s="446"/>
      <c r="K1771" s="140"/>
      <c r="L1771" s="140"/>
      <c r="M1771" s="140"/>
      <c r="N1771" s="74">
        <f t="shared" si="6"/>
        <v>0</v>
      </c>
      <c r="O1771" s="60">
        <f t="shared" si="2"/>
        <v>0</v>
      </c>
      <c r="P1771" s="65" t="str">
        <f>VLOOKUP(I1771,DATABASE!C:Q,11,FALSE)</f>
        <v>#N/A</v>
      </c>
      <c r="Q1771" s="65" t="str">
        <f>VLOOKUP(I1771,DATABASE!C:Q,4,FALSE)</f>
        <v>#N/A</v>
      </c>
      <c r="R1771" s="101"/>
      <c r="U1771" s="101"/>
    </row>
    <row r="1772" ht="22.5" customHeight="1">
      <c r="A1772" s="49"/>
      <c r="C1772" s="192"/>
      <c r="D1772" s="192"/>
      <c r="E1772" s="69"/>
      <c r="F1772" s="243"/>
      <c r="G1772" s="69"/>
      <c r="H1772" s="69"/>
      <c r="I1772" s="140"/>
      <c r="J1772" s="446"/>
      <c r="K1772" s="140"/>
      <c r="L1772" s="140"/>
      <c r="M1772" s="140"/>
      <c r="N1772" s="74">
        <f t="shared" si="6"/>
        <v>0</v>
      </c>
      <c r="O1772" s="60">
        <f t="shared" si="2"/>
        <v>0</v>
      </c>
      <c r="P1772" s="65" t="str">
        <f>VLOOKUP(I1772,DATABASE!C:Q,11,FALSE)</f>
        <v>#N/A</v>
      </c>
      <c r="Q1772" s="65" t="str">
        <f>VLOOKUP(I1772,DATABASE!C:Q,4,FALSE)</f>
        <v>#N/A</v>
      </c>
      <c r="R1772" s="101"/>
      <c r="U1772" s="101"/>
    </row>
    <row r="1773" ht="22.5" customHeight="1">
      <c r="A1773" s="49"/>
      <c r="C1773" s="192"/>
      <c r="D1773" s="192"/>
      <c r="E1773" s="69"/>
      <c r="F1773" s="243"/>
      <c r="G1773" s="69"/>
      <c r="H1773" s="69"/>
      <c r="I1773" s="140"/>
      <c r="J1773" s="446"/>
      <c r="K1773" s="140"/>
      <c r="L1773" s="140"/>
      <c r="M1773" s="140"/>
      <c r="N1773" s="74">
        <f t="shared" si="6"/>
        <v>0</v>
      </c>
      <c r="O1773" s="60">
        <f t="shared" si="2"/>
        <v>0</v>
      </c>
      <c r="P1773" s="65" t="str">
        <f>VLOOKUP(I1773,DATABASE!C:Q,11,FALSE)</f>
        <v>#N/A</v>
      </c>
      <c r="Q1773" s="65" t="str">
        <f>VLOOKUP(I1773,DATABASE!C:Q,4,FALSE)</f>
        <v>#N/A</v>
      </c>
      <c r="R1773" s="101"/>
      <c r="U1773" s="101"/>
    </row>
    <row r="1774" ht="22.5" customHeight="1">
      <c r="A1774" s="49"/>
      <c r="C1774" s="192"/>
      <c r="D1774" s="192"/>
      <c r="E1774" s="69"/>
      <c r="F1774" s="243"/>
      <c r="G1774" s="69"/>
      <c r="H1774" s="69"/>
      <c r="I1774" s="140"/>
      <c r="J1774" s="446"/>
      <c r="K1774" s="140"/>
      <c r="L1774" s="140"/>
      <c r="M1774" s="140"/>
      <c r="N1774" s="74">
        <f t="shared" si="6"/>
        <v>0</v>
      </c>
      <c r="O1774" s="60">
        <f t="shared" si="2"/>
        <v>0</v>
      </c>
      <c r="P1774" s="65" t="str">
        <f>VLOOKUP(I1774,DATABASE!C:Q,11,FALSE)</f>
        <v>#N/A</v>
      </c>
      <c r="Q1774" s="65" t="str">
        <f>VLOOKUP(I1774,DATABASE!C:Q,4,FALSE)</f>
        <v>#N/A</v>
      </c>
      <c r="R1774" s="101"/>
      <c r="U1774" s="101"/>
    </row>
    <row r="1775" ht="22.5" customHeight="1">
      <c r="A1775" s="49"/>
      <c r="C1775" s="192"/>
      <c r="D1775" s="192"/>
      <c r="E1775" s="69"/>
      <c r="F1775" s="243"/>
      <c r="G1775" s="69"/>
      <c r="H1775" s="69"/>
      <c r="I1775" s="140"/>
      <c r="J1775" s="446"/>
      <c r="K1775" s="140"/>
      <c r="L1775" s="140"/>
      <c r="M1775" s="140"/>
      <c r="N1775" s="74">
        <f t="shared" si="6"/>
        <v>0</v>
      </c>
      <c r="O1775" s="60">
        <f t="shared" si="2"/>
        <v>0</v>
      </c>
      <c r="P1775" s="65" t="str">
        <f>VLOOKUP(I1775,DATABASE!C:Q,11,FALSE)</f>
        <v>#N/A</v>
      </c>
      <c r="Q1775" s="65" t="str">
        <f>VLOOKUP(I1775,DATABASE!C:Q,4,FALSE)</f>
        <v>#N/A</v>
      </c>
      <c r="R1775" s="101"/>
      <c r="U1775" s="101"/>
    </row>
    <row r="1776" ht="22.5" customHeight="1">
      <c r="A1776" s="49"/>
      <c r="C1776" s="192"/>
      <c r="D1776" s="192"/>
      <c r="E1776" s="69"/>
      <c r="F1776" s="243"/>
      <c r="G1776" s="69"/>
      <c r="H1776" s="69"/>
      <c r="I1776" s="140"/>
      <c r="J1776" s="446"/>
      <c r="K1776" s="140"/>
      <c r="L1776" s="140"/>
      <c r="M1776" s="140"/>
      <c r="N1776" s="74">
        <f t="shared" si="6"/>
        <v>0</v>
      </c>
      <c r="O1776" s="60">
        <f t="shared" si="2"/>
        <v>0</v>
      </c>
      <c r="P1776" s="65" t="str">
        <f>VLOOKUP(I1776,DATABASE!C:Q,11,FALSE)</f>
        <v>#N/A</v>
      </c>
      <c r="Q1776" s="65" t="str">
        <f>VLOOKUP(I1776,DATABASE!C:Q,4,FALSE)</f>
        <v>#N/A</v>
      </c>
      <c r="R1776" s="101"/>
      <c r="U1776" s="101"/>
    </row>
    <row r="1777" ht="22.5" customHeight="1">
      <c r="A1777" s="49"/>
      <c r="C1777" s="192"/>
      <c r="D1777" s="192"/>
      <c r="E1777" s="69"/>
      <c r="F1777" s="243"/>
      <c r="G1777" s="69"/>
      <c r="H1777" s="69"/>
      <c r="I1777" s="140"/>
      <c r="J1777" s="446"/>
      <c r="K1777" s="140"/>
      <c r="L1777" s="140"/>
      <c r="M1777" s="140"/>
      <c r="N1777" s="74">
        <f t="shared" si="6"/>
        <v>0</v>
      </c>
      <c r="O1777" s="60">
        <f t="shared" si="2"/>
        <v>0</v>
      </c>
      <c r="P1777" s="65" t="str">
        <f>VLOOKUP(I1777,DATABASE!C:Q,11,FALSE)</f>
        <v>#N/A</v>
      </c>
      <c r="Q1777" s="65" t="str">
        <f>VLOOKUP(I1777,DATABASE!C:Q,4,FALSE)</f>
        <v>#N/A</v>
      </c>
      <c r="R1777" s="101"/>
      <c r="U1777" s="101"/>
    </row>
    <row r="1778" ht="22.5" customHeight="1">
      <c r="A1778" s="49"/>
      <c r="C1778" s="192"/>
      <c r="D1778" s="192"/>
      <c r="E1778" s="69"/>
      <c r="F1778" s="243"/>
      <c r="G1778" s="69"/>
      <c r="H1778" s="69"/>
      <c r="I1778" s="140"/>
      <c r="J1778" s="446"/>
      <c r="K1778" s="140"/>
      <c r="L1778" s="140"/>
      <c r="M1778" s="140"/>
      <c r="N1778" s="74">
        <f t="shared" si="6"/>
        <v>0</v>
      </c>
      <c r="O1778" s="60">
        <f t="shared" si="2"/>
        <v>0</v>
      </c>
      <c r="P1778" s="65" t="str">
        <f>VLOOKUP(I1778,DATABASE!C:Q,11,FALSE)</f>
        <v>#N/A</v>
      </c>
      <c r="Q1778" s="65" t="str">
        <f>VLOOKUP(I1778,DATABASE!C:Q,4,FALSE)</f>
        <v>#N/A</v>
      </c>
      <c r="R1778" s="101"/>
      <c r="U1778" s="101"/>
    </row>
    <row r="1779" ht="22.5" customHeight="1">
      <c r="A1779" s="49"/>
      <c r="C1779" s="192"/>
      <c r="D1779" s="192"/>
      <c r="E1779" s="69"/>
      <c r="F1779" s="243"/>
      <c r="G1779" s="69"/>
      <c r="H1779" s="69"/>
      <c r="I1779" s="140"/>
      <c r="J1779" s="446"/>
      <c r="K1779" s="140"/>
      <c r="L1779" s="140"/>
      <c r="M1779" s="140"/>
      <c r="N1779" s="74">
        <f t="shared" si="6"/>
        <v>0</v>
      </c>
      <c r="O1779" s="60">
        <f t="shared" si="2"/>
        <v>0</v>
      </c>
      <c r="P1779" s="65" t="str">
        <f>VLOOKUP(I1779,DATABASE!C:Q,11,FALSE)</f>
        <v>#N/A</v>
      </c>
      <c r="Q1779" s="65" t="str">
        <f>VLOOKUP(I1779,DATABASE!C:Q,4,FALSE)</f>
        <v>#N/A</v>
      </c>
      <c r="R1779" s="101"/>
      <c r="U1779" s="101"/>
    </row>
    <row r="1780" ht="22.5" customHeight="1">
      <c r="A1780" s="49"/>
      <c r="C1780" s="192"/>
      <c r="D1780" s="192"/>
      <c r="E1780" s="69"/>
      <c r="F1780" s="243"/>
      <c r="G1780" s="69"/>
      <c r="H1780" s="69"/>
      <c r="I1780" s="140"/>
      <c r="J1780" s="446"/>
      <c r="K1780" s="140"/>
      <c r="L1780" s="140"/>
      <c r="M1780" s="140"/>
      <c r="N1780" s="74">
        <f t="shared" si="6"/>
        <v>0</v>
      </c>
      <c r="O1780" s="60">
        <f t="shared" si="2"/>
        <v>0</v>
      </c>
      <c r="P1780" s="65" t="str">
        <f>VLOOKUP(I1780,DATABASE!C:Q,11,FALSE)</f>
        <v>#N/A</v>
      </c>
      <c r="Q1780" s="65" t="str">
        <f>VLOOKUP(I1780,DATABASE!C:Q,4,FALSE)</f>
        <v>#N/A</v>
      </c>
      <c r="R1780" s="101"/>
      <c r="U1780" s="101"/>
    </row>
    <row r="1781" ht="22.5" customHeight="1">
      <c r="A1781" s="49"/>
      <c r="C1781" s="192"/>
      <c r="D1781" s="192"/>
      <c r="E1781" s="69"/>
      <c r="F1781" s="243"/>
      <c r="G1781" s="69"/>
      <c r="H1781" s="69"/>
      <c r="I1781" s="140"/>
      <c r="J1781" s="446"/>
      <c r="K1781" s="140"/>
      <c r="L1781" s="140"/>
      <c r="M1781" s="140"/>
      <c r="N1781" s="74">
        <f t="shared" si="6"/>
        <v>0</v>
      </c>
      <c r="O1781" s="60">
        <f t="shared" si="2"/>
        <v>0</v>
      </c>
      <c r="P1781" s="65" t="str">
        <f>VLOOKUP(I1781,DATABASE!C:Q,11,FALSE)</f>
        <v>#N/A</v>
      </c>
      <c r="Q1781" s="65" t="str">
        <f>VLOOKUP(I1781,DATABASE!C:Q,4,FALSE)</f>
        <v>#N/A</v>
      </c>
      <c r="R1781" s="101"/>
      <c r="U1781" s="101"/>
    </row>
    <row r="1782" ht="22.5" customHeight="1">
      <c r="A1782" s="49"/>
      <c r="C1782" s="192"/>
      <c r="D1782" s="192"/>
      <c r="E1782" s="69"/>
      <c r="F1782" s="243"/>
      <c r="G1782" s="69"/>
      <c r="H1782" s="69"/>
      <c r="I1782" s="140"/>
      <c r="J1782" s="446"/>
      <c r="K1782" s="140"/>
      <c r="L1782" s="140"/>
      <c r="M1782" s="140"/>
      <c r="N1782" s="74">
        <f t="shared" si="6"/>
        <v>0</v>
      </c>
      <c r="O1782" s="60">
        <f t="shared" si="2"/>
        <v>0</v>
      </c>
      <c r="P1782" s="65" t="str">
        <f>VLOOKUP(I1782,DATABASE!C:Q,11,FALSE)</f>
        <v>#N/A</v>
      </c>
      <c r="Q1782" s="65" t="str">
        <f>VLOOKUP(I1782,DATABASE!C:Q,4,FALSE)</f>
        <v>#N/A</v>
      </c>
      <c r="R1782" s="101"/>
      <c r="U1782" s="101"/>
    </row>
    <row r="1783" ht="22.5" customHeight="1">
      <c r="A1783" s="49"/>
      <c r="C1783" s="192"/>
      <c r="D1783" s="192"/>
      <c r="E1783" s="69"/>
      <c r="F1783" s="243"/>
      <c r="G1783" s="69"/>
      <c r="H1783" s="69"/>
      <c r="I1783" s="140"/>
      <c r="J1783" s="446"/>
      <c r="K1783" s="140"/>
      <c r="L1783" s="140"/>
      <c r="M1783" s="140"/>
      <c r="N1783" s="74">
        <f t="shared" si="6"/>
        <v>0</v>
      </c>
      <c r="O1783" s="60">
        <f t="shared" si="2"/>
        <v>0</v>
      </c>
      <c r="P1783" s="65" t="str">
        <f>VLOOKUP(I1783,DATABASE!C:Q,11,FALSE)</f>
        <v>#N/A</v>
      </c>
      <c r="Q1783" s="65" t="str">
        <f>VLOOKUP(I1783,DATABASE!C:Q,4,FALSE)</f>
        <v>#N/A</v>
      </c>
      <c r="R1783" s="101"/>
      <c r="U1783" s="101"/>
    </row>
    <row r="1784" ht="22.5" customHeight="1">
      <c r="A1784" s="49"/>
      <c r="C1784" s="192"/>
      <c r="D1784" s="192"/>
      <c r="E1784" s="69"/>
      <c r="F1784" s="243"/>
      <c r="G1784" s="69"/>
      <c r="H1784" s="69"/>
      <c r="I1784" s="140"/>
      <c r="J1784" s="446"/>
      <c r="K1784" s="140"/>
      <c r="L1784" s="140"/>
      <c r="M1784" s="140"/>
      <c r="N1784" s="74">
        <f t="shared" si="6"/>
        <v>0</v>
      </c>
      <c r="O1784" s="60">
        <f t="shared" si="2"/>
        <v>0</v>
      </c>
      <c r="P1784" s="65" t="str">
        <f>VLOOKUP(I1784,DATABASE!C:Q,11,FALSE)</f>
        <v>#N/A</v>
      </c>
      <c r="Q1784" s="65" t="str">
        <f>VLOOKUP(I1784,DATABASE!C:Q,4,FALSE)</f>
        <v>#N/A</v>
      </c>
      <c r="R1784" s="101"/>
      <c r="U1784" s="101"/>
    </row>
    <row r="1785" ht="22.5" customHeight="1">
      <c r="A1785" s="49"/>
      <c r="C1785" s="192"/>
      <c r="D1785" s="192"/>
      <c r="E1785" s="69"/>
      <c r="F1785" s="243"/>
      <c r="G1785" s="69"/>
      <c r="H1785" s="69"/>
      <c r="I1785" s="140"/>
      <c r="J1785" s="446"/>
      <c r="K1785" s="140"/>
      <c r="L1785" s="140"/>
      <c r="M1785" s="140"/>
      <c r="N1785" s="74">
        <f t="shared" si="6"/>
        <v>0</v>
      </c>
      <c r="O1785" s="60">
        <f t="shared" si="2"/>
        <v>0</v>
      </c>
      <c r="P1785" s="65" t="str">
        <f>VLOOKUP(I1785,DATABASE!C:Q,11,FALSE)</f>
        <v>#N/A</v>
      </c>
      <c r="Q1785" s="65" t="str">
        <f>VLOOKUP(I1785,DATABASE!C:Q,4,FALSE)</f>
        <v>#N/A</v>
      </c>
      <c r="R1785" s="101"/>
      <c r="U1785" s="101"/>
    </row>
    <row r="1786" ht="22.5" customHeight="1">
      <c r="A1786" s="49"/>
      <c r="C1786" s="192"/>
      <c r="D1786" s="192"/>
      <c r="E1786" s="69"/>
      <c r="F1786" s="243"/>
      <c r="G1786" s="69"/>
      <c r="H1786" s="69"/>
      <c r="I1786" s="140"/>
      <c r="J1786" s="446"/>
      <c r="K1786" s="140"/>
      <c r="L1786" s="140"/>
      <c r="M1786" s="140"/>
      <c r="N1786" s="74">
        <f t="shared" si="6"/>
        <v>0</v>
      </c>
      <c r="O1786" s="60">
        <f t="shared" si="2"/>
        <v>0</v>
      </c>
      <c r="P1786" s="65" t="str">
        <f>VLOOKUP(I1786,DATABASE!C:Q,11,FALSE)</f>
        <v>#N/A</v>
      </c>
      <c r="Q1786" s="65" t="str">
        <f>VLOOKUP(I1786,DATABASE!C:Q,4,FALSE)</f>
        <v>#N/A</v>
      </c>
      <c r="R1786" s="101"/>
      <c r="U1786" s="101"/>
    </row>
    <row r="1787" ht="22.5" customHeight="1">
      <c r="A1787" s="49"/>
      <c r="C1787" s="192"/>
      <c r="D1787" s="192"/>
      <c r="E1787" s="69"/>
      <c r="F1787" s="243"/>
      <c r="G1787" s="69"/>
      <c r="H1787" s="69"/>
      <c r="I1787" s="140"/>
      <c r="J1787" s="446"/>
      <c r="K1787" s="140"/>
      <c r="L1787" s="140"/>
      <c r="M1787" s="140"/>
      <c r="N1787" s="74">
        <f t="shared" si="6"/>
        <v>0</v>
      </c>
      <c r="O1787" s="60">
        <f t="shared" si="2"/>
        <v>0</v>
      </c>
      <c r="P1787" s="65" t="str">
        <f>VLOOKUP(I1787,DATABASE!C:Q,11,FALSE)</f>
        <v>#N/A</v>
      </c>
      <c r="Q1787" s="65" t="str">
        <f>VLOOKUP(I1787,DATABASE!C:Q,4,FALSE)</f>
        <v>#N/A</v>
      </c>
      <c r="R1787" s="101"/>
      <c r="U1787" s="101"/>
    </row>
    <row r="1788" ht="22.5" customHeight="1">
      <c r="A1788" s="49"/>
      <c r="C1788" s="192"/>
      <c r="D1788" s="192"/>
      <c r="E1788" s="69"/>
      <c r="F1788" s="243"/>
      <c r="G1788" s="69"/>
      <c r="H1788" s="69"/>
      <c r="I1788" s="140"/>
      <c r="J1788" s="446"/>
      <c r="K1788" s="140"/>
      <c r="L1788" s="140"/>
      <c r="M1788" s="140"/>
      <c r="N1788" s="74">
        <f t="shared" si="6"/>
        <v>0</v>
      </c>
      <c r="O1788" s="60">
        <f t="shared" si="2"/>
        <v>0</v>
      </c>
      <c r="P1788" s="65" t="str">
        <f>VLOOKUP(I1788,DATABASE!C:Q,11,FALSE)</f>
        <v>#N/A</v>
      </c>
      <c r="Q1788" s="65" t="str">
        <f>VLOOKUP(I1788,DATABASE!C:Q,4,FALSE)</f>
        <v>#N/A</v>
      </c>
      <c r="R1788" s="101"/>
      <c r="U1788" s="101"/>
    </row>
    <row r="1789" ht="22.5" customHeight="1">
      <c r="A1789" s="49"/>
      <c r="C1789" s="192"/>
      <c r="D1789" s="192"/>
      <c r="E1789" s="69"/>
      <c r="F1789" s="243"/>
      <c r="G1789" s="69"/>
      <c r="H1789" s="69"/>
      <c r="I1789" s="140"/>
      <c r="J1789" s="446"/>
      <c r="K1789" s="140"/>
      <c r="L1789" s="140"/>
      <c r="M1789" s="140"/>
      <c r="N1789" s="74">
        <f t="shared" si="6"/>
        <v>0</v>
      </c>
      <c r="O1789" s="60">
        <f t="shared" si="2"/>
        <v>0</v>
      </c>
      <c r="P1789" s="65" t="str">
        <f>VLOOKUP(I1789,DATABASE!C:Q,11,FALSE)</f>
        <v>#N/A</v>
      </c>
      <c r="Q1789" s="65" t="str">
        <f>VLOOKUP(I1789,DATABASE!C:Q,4,FALSE)</f>
        <v>#N/A</v>
      </c>
      <c r="R1789" s="101"/>
      <c r="U1789" s="101"/>
    </row>
    <row r="1790" ht="22.5" customHeight="1">
      <c r="A1790" s="49"/>
      <c r="C1790" s="192"/>
      <c r="D1790" s="192"/>
      <c r="E1790" s="69"/>
      <c r="F1790" s="243"/>
      <c r="G1790" s="69"/>
      <c r="H1790" s="69"/>
      <c r="I1790" s="140"/>
      <c r="J1790" s="446"/>
      <c r="K1790" s="140"/>
      <c r="L1790" s="140"/>
      <c r="M1790" s="140"/>
      <c r="N1790" s="74">
        <f t="shared" si="6"/>
        <v>0</v>
      </c>
      <c r="O1790" s="60">
        <f t="shared" si="2"/>
        <v>0</v>
      </c>
      <c r="P1790" s="65" t="str">
        <f>VLOOKUP(I1790,DATABASE!C:Q,11,FALSE)</f>
        <v>#N/A</v>
      </c>
      <c r="Q1790" s="65" t="str">
        <f>VLOOKUP(I1790,DATABASE!C:Q,4,FALSE)</f>
        <v>#N/A</v>
      </c>
      <c r="R1790" s="101"/>
      <c r="U1790" s="101"/>
    </row>
    <row r="1791" ht="22.5" customHeight="1">
      <c r="A1791" s="49"/>
      <c r="C1791" s="192"/>
      <c r="D1791" s="192"/>
      <c r="E1791" s="69"/>
      <c r="F1791" s="243"/>
      <c r="G1791" s="69"/>
      <c r="H1791" s="69"/>
      <c r="I1791" s="140"/>
      <c r="J1791" s="446"/>
      <c r="K1791" s="140"/>
      <c r="L1791" s="140"/>
      <c r="M1791" s="140"/>
      <c r="N1791" s="74">
        <f t="shared" si="6"/>
        <v>0</v>
      </c>
      <c r="O1791" s="60">
        <f t="shared" si="2"/>
        <v>0</v>
      </c>
      <c r="P1791" s="65" t="str">
        <f>VLOOKUP(I1791,DATABASE!C:Q,11,FALSE)</f>
        <v>#N/A</v>
      </c>
      <c r="Q1791" s="65" t="str">
        <f>VLOOKUP(I1791,DATABASE!C:Q,4,FALSE)</f>
        <v>#N/A</v>
      </c>
      <c r="R1791" s="101"/>
      <c r="U1791" s="101"/>
    </row>
    <row r="1792" ht="22.5" customHeight="1">
      <c r="A1792" s="49"/>
      <c r="C1792" s="192"/>
      <c r="D1792" s="192"/>
      <c r="E1792" s="69"/>
      <c r="F1792" s="243"/>
      <c r="G1792" s="69"/>
      <c r="H1792" s="69"/>
      <c r="I1792" s="140"/>
      <c r="J1792" s="446"/>
      <c r="K1792" s="140"/>
      <c r="L1792" s="140"/>
      <c r="M1792" s="140"/>
      <c r="N1792" s="74">
        <f t="shared" si="6"/>
        <v>0</v>
      </c>
      <c r="O1792" s="60">
        <f t="shared" si="2"/>
        <v>0</v>
      </c>
      <c r="P1792" s="65" t="str">
        <f>VLOOKUP(I1792,DATABASE!C:Q,11,FALSE)</f>
        <v>#N/A</v>
      </c>
      <c r="Q1792" s="65" t="str">
        <f>VLOOKUP(I1792,DATABASE!C:Q,4,FALSE)</f>
        <v>#N/A</v>
      </c>
      <c r="R1792" s="101"/>
      <c r="U1792" s="101"/>
    </row>
    <row r="1793" ht="22.5" customHeight="1">
      <c r="A1793" s="49"/>
      <c r="C1793" s="192"/>
      <c r="D1793" s="192"/>
      <c r="E1793" s="69"/>
      <c r="F1793" s="243"/>
      <c r="G1793" s="69"/>
      <c r="H1793" s="69"/>
      <c r="I1793" s="140"/>
      <c r="J1793" s="446"/>
      <c r="K1793" s="140"/>
      <c r="L1793" s="140"/>
      <c r="M1793" s="140"/>
      <c r="N1793" s="74">
        <f t="shared" si="6"/>
        <v>0</v>
      </c>
      <c r="O1793" s="60">
        <f t="shared" si="2"/>
        <v>0</v>
      </c>
      <c r="P1793" s="65" t="str">
        <f>VLOOKUP(I1793,DATABASE!C:Q,11,FALSE)</f>
        <v>#N/A</v>
      </c>
      <c r="Q1793" s="65" t="str">
        <f>VLOOKUP(I1793,DATABASE!C:Q,4,FALSE)</f>
        <v>#N/A</v>
      </c>
      <c r="R1793" s="101"/>
      <c r="U1793" s="101"/>
    </row>
    <row r="1794" ht="22.5" customHeight="1">
      <c r="A1794" s="49"/>
      <c r="C1794" s="192"/>
      <c r="D1794" s="192"/>
      <c r="E1794" s="69"/>
      <c r="F1794" s="243"/>
      <c r="G1794" s="69"/>
      <c r="H1794" s="69"/>
      <c r="I1794" s="140"/>
      <c r="J1794" s="446"/>
      <c r="K1794" s="140"/>
      <c r="L1794" s="140"/>
      <c r="M1794" s="140"/>
      <c r="N1794" s="74">
        <f t="shared" si="6"/>
        <v>0</v>
      </c>
      <c r="O1794" s="60">
        <f t="shared" si="2"/>
        <v>0</v>
      </c>
      <c r="P1794" s="65" t="str">
        <f>VLOOKUP(I1794,DATABASE!C:Q,11,FALSE)</f>
        <v>#N/A</v>
      </c>
      <c r="Q1794" s="65" t="str">
        <f>VLOOKUP(I1794,DATABASE!C:Q,4,FALSE)</f>
        <v>#N/A</v>
      </c>
      <c r="R1794" s="101"/>
      <c r="U1794" s="101"/>
    </row>
    <row r="1795" ht="22.5" customHeight="1">
      <c r="A1795" s="49"/>
      <c r="C1795" s="192"/>
      <c r="D1795" s="192"/>
      <c r="E1795" s="69"/>
      <c r="F1795" s="243"/>
      <c r="G1795" s="69"/>
      <c r="H1795" s="69"/>
      <c r="I1795" s="140"/>
      <c r="J1795" s="446"/>
      <c r="K1795" s="140"/>
      <c r="L1795" s="140"/>
      <c r="M1795" s="140"/>
      <c r="N1795" s="74">
        <f t="shared" si="6"/>
        <v>0</v>
      </c>
      <c r="O1795" s="60">
        <f t="shared" si="2"/>
        <v>0</v>
      </c>
      <c r="P1795" s="65" t="str">
        <f>VLOOKUP(I1795,DATABASE!C:Q,11,FALSE)</f>
        <v>#N/A</v>
      </c>
      <c r="Q1795" s="65" t="str">
        <f>VLOOKUP(I1795,DATABASE!C:Q,4,FALSE)</f>
        <v>#N/A</v>
      </c>
      <c r="R1795" s="101"/>
      <c r="U1795" s="101"/>
    </row>
    <row r="1796" ht="22.5" customHeight="1">
      <c r="A1796" s="49"/>
      <c r="C1796" s="192"/>
      <c r="D1796" s="192"/>
      <c r="E1796" s="69"/>
      <c r="F1796" s="243"/>
      <c r="G1796" s="69"/>
      <c r="H1796" s="69"/>
      <c r="I1796" s="140"/>
      <c r="J1796" s="446"/>
      <c r="K1796" s="140"/>
      <c r="L1796" s="140"/>
      <c r="M1796" s="140"/>
      <c r="N1796" s="74">
        <f t="shared" si="6"/>
        <v>0</v>
      </c>
      <c r="O1796" s="60">
        <f t="shared" si="2"/>
        <v>0</v>
      </c>
      <c r="P1796" s="65" t="str">
        <f>VLOOKUP(I1796,DATABASE!C:Q,11,FALSE)</f>
        <v>#N/A</v>
      </c>
      <c r="Q1796" s="65" t="str">
        <f>VLOOKUP(I1796,DATABASE!C:Q,4,FALSE)</f>
        <v>#N/A</v>
      </c>
      <c r="R1796" s="101"/>
      <c r="U1796" s="101"/>
    </row>
    <row r="1797" ht="22.5" customHeight="1">
      <c r="A1797" s="49"/>
      <c r="C1797" s="192"/>
      <c r="D1797" s="192"/>
      <c r="E1797" s="69"/>
      <c r="F1797" s="243"/>
      <c r="G1797" s="69"/>
      <c r="H1797" s="69"/>
      <c r="I1797" s="140"/>
      <c r="J1797" s="446"/>
      <c r="K1797" s="140"/>
      <c r="L1797" s="140"/>
      <c r="M1797" s="140"/>
      <c r="N1797" s="74">
        <f t="shared" si="6"/>
        <v>0</v>
      </c>
      <c r="O1797" s="60">
        <f t="shared" si="2"/>
        <v>0</v>
      </c>
      <c r="P1797" s="65" t="str">
        <f>VLOOKUP(I1797,DATABASE!C:Q,11,FALSE)</f>
        <v>#N/A</v>
      </c>
      <c r="Q1797" s="65" t="str">
        <f>VLOOKUP(I1797,DATABASE!C:Q,4,FALSE)</f>
        <v>#N/A</v>
      </c>
      <c r="R1797" s="101"/>
      <c r="U1797" s="101"/>
    </row>
    <row r="1798" ht="22.5" customHeight="1">
      <c r="A1798" s="49"/>
      <c r="C1798" s="192"/>
      <c r="D1798" s="192"/>
      <c r="E1798" s="69"/>
      <c r="F1798" s="243"/>
      <c r="G1798" s="69"/>
      <c r="H1798" s="69"/>
      <c r="I1798" s="140"/>
      <c r="J1798" s="446"/>
      <c r="K1798" s="140"/>
      <c r="L1798" s="140"/>
      <c r="M1798" s="140"/>
      <c r="N1798" s="74">
        <f t="shared" si="6"/>
        <v>0</v>
      </c>
      <c r="O1798" s="60">
        <f t="shared" si="2"/>
        <v>0</v>
      </c>
      <c r="P1798" s="65" t="str">
        <f>VLOOKUP(I1798,DATABASE!C:Q,11,FALSE)</f>
        <v>#N/A</v>
      </c>
      <c r="Q1798" s="65" t="str">
        <f>VLOOKUP(I1798,DATABASE!C:Q,4,FALSE)</f>
        <v>#N/A</v>
      </c>
      <c r="R1798" s="101"/>
      <c r="U1798" s="101"/>
    </row>
    <row r="1799" ht="22.5" customHeight="1">
      <c r="A1799" s="49"/>
      <c r="C1799" s="192"/>
      <c r="D1799" s="192"/>
      <c r="E1799" s="69"/>
      <c r="F1799" s="243"/>
      <c r="G1799" s="69"/>
      <c r="H1799" s="69"/>
      <c r="I1799" s="140"/>
      <c r="J1799" s="446"/>
      <c r="K1799" s="140"/>
      <c r="L1799" s="140"/>
      <c r="M1799" s="140"/>
      <c r="N1799" s="74">
        <f t="shared" si="6"/>
        <v>0</v>
      </c>
      <c r="O1799" s="60">
        <f t="shared" si="2"/>
        <v>0</v>
      </c>
      <c r="P1799" s="65" t="str">
        <f>VLOOKUP(I1799,DATABASE!C:Q,11,FALSE)</f>
        <v>#N/A</v>
      </c>
      <c r="Q1799" s="65" t="str">
        <f>VLOOKUP(I1799,DATABASE!C:Q,4,FALSE)</f>
        <v>#N/A</v>
      </c>
      <c r="R1799" s="101"/>
      <c r="U1799" s="101"/>
    </row>
    <row r="1800" ht="22.5" customHeight="1">
      <c r="A1800" s="49"/>
      <c r="C1800" s="192"/>
      <c r="D1800" s="192"/>
      <c r="E1800" s="69"/>
      <c r="F1800" s="243"/>
      <c r="G1800" s="69"/>
      <c r="H1800" s="69"/>
      <c r="I1800" s="140"/>
      <c r="J1800" s="446"/>
      <c r="K1800" s="140"/>
      <c r="L1800" s="140"/>
      <c r="M1800" s="140"/>
      <c r="N1800" s="74">
        <f t="shared" si="6"/>
        <v>0</v>
      </c>
      <c r="O1800" s="60">
        <f t="shared" si="2"/>
        <v>0</v>
      </c>
      <c r="P1800" s="65" t="str">
        <f>VLOOKUP(I1800,DATABASE!C:Q,11,FALSE)</f>
        <v>#N/A</v>
      </c>
      <c r="Q1800" s="65" t="str">
        <f>VLOOKUP(I1800,DATABASE!C:Q,4,FALSE)</f>
        <v>#N/A</v>
      </c>
      <c r="R1800" s="101"/>
      <c r="U1800" s="101"/>
    </row>
    <row r="1801" ht="22.5" customHeight="1">
      <c r="A1801" s="49"/>
      <c r="C1801" s="192"/>
      <c r="D1801" s="192"/>
      <c r="E1801" s="69"/>
      <c r="F1801" s="243"/>
      <c r="G1801" s="69"/>
      <c r="H1801" s="69"/>
      <c r="I1801" s="140"/>
      <c r="J1801" s="446"/>
      <c r="K1801" s="140"/>
      <c r="L1801" s="140"/>
      <c r="M1801" s="140"/>
      <c r="N1801" s="74">
        <f t="shared" si="6"/>
        <v>0</v>
      </c>
      <c r="O1801" s="60">
        <f t="shared" si="2"/>
        <v>0</v>
      </c>
      <c r="P1801" s="65" t="str">
        <f>VLOOKUP(I1801,DATABASE!C:Q,11,FALSE)</f>
        <v>#N/A</v>
      </c>
      <c r="Q1801" s="65" t="str">
        <f>VLOOKUP(I1801,DATABASE!C:Q,4,FALSE)</f>
        <v>#N/A</v>
      </c>
      <c r="R1801" s="101"/>
      <c r="U1801" s="101"/>
    </row>
    <row r="1802" ht="22.5" customHeight="1">
      <c r="A1802" s="49"/>
      <c r="C1802" s="192"/>
      <c r="D1802" s="192"/>
      <c r="E1802" s="69"/>
      <c r="F1802" s="243"/>
      <c r="G1802" s="69"/>
      <c r="H1802" s="69"/>
      <c r="I1802" s="140"/>
      <c r="J1802" s="446"/>
      <c r="K1802" s="140"/>
      <c r="L1802" s="140"/>
      <c r="M1802" s="140"/>
      <c r="N1802" s="74">
        <f t="shared" si="6"/>
        <v>0</v>
      </c>
      <c r="O1802" s="60">
        <f t="shared" si="2"/>
        <v>0</v>
      </c>
      <c r="P1802" s="65" t="str">
        <f>VLOOKUP(I1802,DATABASE!C:Q,11,FALSE)</f>
        <v>#N/A</v>
      </c>
      <c r="Q1802" s="65" t="str">
        <f>VLOOKUP(I1802,DATABASE!C:Q,4,FALSE)</f>
        <v>#N/A</v>
      </c>
      <c r="R1802" s="101"/>
      <c r="U1802" s="101"/>
    </row>
    <row r="1803" ht="22.5" customHeight="1">
      <c r="A1803" s="49"/>
      <c r="C1803" s="192"/>
      <c r="D1803" s="192"/>
      <c r="E1803" s="69"/>
      <c r="F1803" s="243"/>
      <c r="G1803" s="69"/>
      <c r="H1803" s="69"/>
      <c r="I1803" s="140"/>
      <c r="J1803" s="446"/>
      <c r="K1803" s="140"/>
      <c r="L1803" s="140"/>
      <c r="M1803" s="140"/>
      <c r="N1803" s="74">
        <f t="shared" si="6"/>
        <v>0</v>
      </c>
      <c r="O1803" s="60">
        <f t="shared" si="2"/>
        <v>0</v>
      </c>
      <c r="P1803" s="65" t="str">
        <f>VLOOKUP(I1803,DATABASE!C:Q,11,FALSE)</f>
        <v>#N/A</v>
      </c>
      <c r="Q1803" s="65" t="str">
        <f>VLOOKUP(I1803,DATABASE!C:Q,4,FALSE)</f>
        <v>#N/A</v>
      </c>
      <c r="R1803" s="101"/>
      <c r="U1803" s="101"/>
    </row>
    <row r="1804" ht="22.5" customHeight="1">
      <c r="A1804" s="49"/>
      <c r="C1804" s="192"/>
      <c r="D1804" s="192"/>
      <c r="E1804" s="69"/>
      <c r="F1804" s="243"/>
      <c r="G1804" s="69"/>
      <c r="H1804" s="69"/>
      <c r="I1804" s="140"/>
      <c r="J1804" s="446"/>
      <c r="K1804" s="140"/>
      <c r="L1804" s="140"/>
      <c r="M1804" s="140"/>
      <c r="N1804" s="74">
        <f t="shared" si="6"/>
        <v>0</v>
      </c>
      <c r="O1804" s="60">
        <f t="shared" si="2"/>
        <v>0</v>
      </c>
      <c r="P1804" s="65" t="str">
        <f>VLOOKUP(I1804,DATABASE!C:Q,11,FALSE)</f>
        <v>#N/A</v>
      </c>
      <c r="Q1804" s="65" t="str">
        <f>VLOOKUP(I1804,DATABASE!C:Q,4,FALSE)</f>
        <v>#N/A</v>
      </c>
      <c r="R1804" s="101"/>
      <c r="U1804" s="101"/>
    </row>
    <row r="1805" ht="22.5" customHeight="1">
      <c r="A1805" s="49"/>
      <c r="C1805" s="192"/>
      <c r="D1805" s="192"/>
      <c r="E1805" s="69"/>
      <c r="F1805" s="243"/>
      <c r="G1805" s="69"/>
      <c r="H1805" s="69"/>
      <c r="I1805" s="140"/>
      <c r="J1805" s="446"/>
      <c r="K1805" s="140"/>
      <c r="L1805" s="140"/>
      <c r="M1805" s="140"/>
      <c r="N1805" s="74">
        <f t="shared" si="6"/>
        <v>0</v>
      </c>
      <c r="O1805" s="60">
        <f t="shared" si="2"/>
        <v>0</v>
      </c>
      <c r="P1805" s="65" t="str">
        <f>VLOOKUP(I1805,DATABASE!C:Q,11,FALSE)</f>
        <v>#N/A</v>
      </c>
      <c r="Q1805" s="65" t="str">
        <f>VLOOKUP(I1805,DATABASE!C:Q,4,FALSE)</f>
        <v>#N/A</v>
      </c>
      <c r="R1805" s="101"/>
      <c r="U1805" s="101"/>
    </row>
    <row r="1806" ht="22.5" customHeight="1">
      <c r="A1806" s="49"/>
      <c r="C1806" s="192"/>
      <c r="D1806" s="192"/>
      <c r="E1806" s="69"/>
      <c r="F1806" s="243"/>
      <c r="G1806" s="69"/>
      <c r="H1806" s="69"/>
      <c r="I1806" s="140"/>
      <c r="J1806" s="446"/>
      <c r="K1806" s="140"/>
      <c r="L1806" s="140"/>
      <c r="M1806" s="140"/>
      <c r="N1806" s="74">
        <f t="shared" si="6"/>
        <v>0</v>
      </c>
      <c r="O1806" s="60">
        <f t="shared" si="2"/>
        <v>0</v>
      </c>
      <c r="P1806" s="65" t="str">
        <f>VLOOKUP(I1806,DATABASE!C:Q,11,FALSE)</f>
        <v>#N/A</v>
      </c>
      <c r="Q1806" s="65" t="str">
        <f>VLOOKUP(I1806,DATABASE!C:Q,4,FALSE)</f>
        <v>#N/A</v>
      </c>
      <c r="R1806" s="101"/>
      <c r="U1806" s="101"/>
    </row>
    <row r="1807" ht="22.5" customHeight="1">
      <c r="A1807" s="49"/>
      <c r="C1807" s="192"/>
      <c r="D1807" s="192"/>
      <c r="E1807" s="69"/>
      <c r="F1807" s="243"/>
      <c r="G1807" s="69"/>
      <c r="H1807" s="69"/>
      <c r="I1807" s="140"/>
      <c r="J1807" s="446"/>
      <c r="K1807" s="140"/>
      <c r="L1807" s="140"/>
      <c r="M1807" s="140"/>
      <c r="N1807" s="74">
        <f t="shared" si="6"/>
        <v>0</v>
      </c>
      <c r="O1807" s="60">
        <f t="shared" si="2"/>
        <v>0</v>
      </c>
      <c r="P1807" s="65" t="str">
        <f>VLOOKUP(I1807,DATABASE!C:Q,11,FALSE)</f>
        <v>#N/A</v>
      </c>
      <c r="Q1807" s="65" t="str">
        <f>VLOOKUP(I1807,DATABASE!C:Q,4,FALSE)</f>
        <v>#N/A</v>
      </c>
      <c r="R1807" s="101"/>
      <c r="U1807" s="101"/>
    </row>
    <row r="1808" ht="22.5" customHeight="1">
      <c r="A1808" s="49"/>
      <c r="C1808" s="192"/>
      <c r="D1808" s="192"/>
      <c r="E1808" s="69"/>
      <c r="F1808" s="243"/>
      <c r="G1808" s="69"/>
      <c r="H1808" s="69"/>
      <c r="I1808" s="140"/>
      <c r="J1808" s="446"/>
      <c r="K1808" s="140"/>
      <c r="L1808" s="140"/>
      <c r="M1808" s="140"/>
      <c r="N1808" s="74">
        <f t="shared" si="6"/>
        <v>0</v>
      </c>
      <c r="O1808" s="60">
        <f t="shared" si="2"/>
        <v>0</v>
      </c>
      <c r="P1808" s="65" t="str">
        <f>VLOOKUP(I1808,DATABASE!C:Q,11,FALSE)</f>
        <v>#N/A</v>
      </c>
      <c r="Q1808" s="65" t="str">
        <f>VLOOKUP(I1808,DATABASE!C:Q,4,FALSE)</f>
        <v>#N/A</v>
      </c>
      <c r="R1808" s="101"/>
      <c r="U1808" s="101"/>
    </row>
    <row r="1809" ht="22.5" customHeight="1">
      <c r="A1809" s="49"/>
      <c r="C1809" s="192"/>
      <c r="D1809" s="192"/>
      <c r="E1809" s="69"/>
      <c r="F1809" s="243"/>
      <c r="G1809" s="69"/>
      <c r="H1809" s="69"/>
      <c r="I1809" s="140"/>
      <c r="J1809" s="446"/>
      <c r="K1809" s="140"/>
      <c r="L1809" s="140"/>
      <c r="M1809" s="140"/>
      <c r="N1809" s="74">
        <f t="shared" si="6"/>
        <v>0</v>
      </c>
      <c r="O1809" s="60">
        <f t="shared" si="2"/>
        <v>0</v>
      </c>
      <c r="P1809" s="65" t="str">
        <f>VLOOKUP(I1809,DATABASE!C:Q,11,FALSE)</f>
        <v>#N/A</v>
      </c>
      <c r="Q1809" s="65" t="str">
        <f>VLOOKUP(I1809,DATABASE!C:Q,4,FALSE)</f>
        <v>#N/A</v>
      </c>
      <c r="R1809" s="101"/>
      <c r="U1809" s="101"/>
    </row>
    <row r="1810" ht="22.5" customHeight="1">
      <c r="A1810" s="49"/>
      <c r="C1810" s="192"/>
      <c r="D1810" s="192"/>
      <c r="E1810" s="69"/>
      <c r="F1810" s="243"/>
      <c r="G1810" s="69"/>
      <c r="H1810" s="69"/>
      <c r="I1810" s="140"/>
      <c r="J1810" s="446"/>
      <c r="K1810" s="140"/>
      <c r="L1810" s="140"/>
      <c r="M1810" s="140"/>
      <c r="N1810" s="74">
        <f t="shared" si="6"/>
        <v>0</v>
      </c>
      <c r="O1810" s="60">
        <f t="shared" si="2"/>
        <v>0</v>
      </c>
      <c r="P1810" s="65" t="str">
        <f>VLOOKUP(I1810,DATABASE!C:Q,11,FALSE)</f>
        <v>#N/A</v>
      </c>
      <c r="Q1810" s="65" t="str">
        <f>VLOOKUP(I1810,DATABASE!C:Q,4,FALSE)</f>
        <v>#N/A</v>
      </c>
      <c r="R1810" s="101"/>
      <c r="U1810" s="101"/>
    </row>
    <row r="1811" ht="22.5" customHeight="1">
      <c r="A1811" s="49"/>
      <c r="C1811" s="192"/>
      <c r="D1811" s="192"/>
      <c r="E1811" s="69"/>
      <c r="F1811" s="243"/>
      <c r="G1811" s="69"/>
      <c r="H1811" s="69"/>
      <c r="I1811" s="140"/>
      <c r="J1811" s="446"/>
      <c r="K1811" s="140"/>
      <c r="L1811" s="140"/>
      <c r="M1811" s="140"/>
      <c r="N1811" s="74">
        <f t="shared" si="6"/>
        <v>0</v>
      </c>
      <c r="O1811" s="60">
        <f t="shared" si="2"/>
        <v>0</v>
      </c>
      <c r="P1811" s="65" t="str">
        <f>VLOOKUP(I1811,DATABASE!C:Q,11,FALSE)</f>
        <v>#N/A</v>
      </c>
      <c r="Q1811" s="65" t="str">
        <f>VLOOKUP(I1811,DATABASE!C:Q,4,FALSE)</f>
        <v>#N/A</v>
      </c>
      <c r="R1811" s="101"/>
      <c r="U1811" s="101"/>
    </row>
    <row r="1812" ht="22.5" customHeight="1">
      <c r="A1812" s="49"/>
      <c r="C1812" s="192"/>
      <c r="D1812" s="192"/>
      <c r="E1812" s="69"/>
      <c r="F1812" s="243"/>
      <c r="G1812" s="69"/>
      <c r="H1812" s="69"/>
      <c r="I1812" s="140"/>
      <c r="J1812" s="446"/>
      <c r="K1812" s="140"/>
      <c r="L1812" s="140"/>
      <c r="M1812" s="140"/>
      <c r="N1812" s="74">
        <f t="shared" si="6"/>
        <v>0</v>
      </c>
      <c r="O1812" s="60">
        <f t="shared" si="2"/>
        <v>0</v>
      </c>
      <c r="P1812" s="65" t="str">
        <f>VLOOKUP(I1812,DATABASE!C:Q,11,FALSE)</f>
        <v>#N/A</v>
      </c>
      <c r="Q1812" s="65" t="str">
        <f>VLOOKUP(I1812,DATABASE!C:Q,4,FALSE)</f>
        <v>#N/A</v>
      </c>
      <c r="R1812" s="101"/>
      <c r="U1812" s="101"/>
    </row>
    <row r="1813" ht="22.5" customHeight="1">
      <c r="A1813" s="49"/>
      <c r="C1813" s="192"/>
      <c r="D1813" s="192"/>
      <c r="E1813" s="69"/>
      <c r="F1813" s="243"/>
      <c r="G1813" s="69"/>
      <c r="H1813" s="69"/>
      <c r="I1813" s="140"/>
      <c r="J1813" s="446"/>
      <c r="K1813" s="140"/>
      <c r="L1813" s="140"/>
      <c r="M1813" s="140"/>
      <c r="N1813" s="74">
        <f t="shared" si="6"/>
        <v>0</v>
      </c>
      <c r="O1813" s="60">
        <f t="shared" si="2"/>
        <v>0</v>
      </c>
      <c r="P1813" s="65" t="str">
        <f>VLOOKUP(I1813,DATABASE!C:Q,11,FALSE)</f>
        <v>#N/A</v>
      </c>
      <c r="Q1813" s="65" t="str">
        <f>VLOOKUP(I1813,DATABASE!C:Q,4,FALSE)</f>
        <v>#N/A</v>
      </c>
      <c r="R1813" s="101"/>
      <c r="U1813" s="101"/>
    </row>
    <row r="1814" ht="22.5" customHeight="1">
      <c r="A1814" s="49"/>
      <c r="C1814" s="192"/>
      <c r="D1814" s="192"/>
      <c r="E1814" s="69"/>
      <c r="F1814" s="243"/>
      <c r="G1814" s="69"/>
      <c r="H1814" s="69"/>
      <c r="I1814" s="140"/>
      <c r="J1814" s="446"/>
      <c r="K1814" s="140"/>
      <c r="L1814" s="140"/>
      <c r="M1814" s="140"/>
      <c r="N1814" s="74">
        <f t="shared" si="6"/>
        <v>0</v>
      </c>
      <c r="O1814" s="60">
        <f t="shared" si="2"/>
        <v>0</v>
      </c>
      <c r="P1814" s="65" t="str">
        <f>VLOOKUP(I1814,DATABASE!C:Q,11,FALSE)</f>
        <v>#N/A</v>
      </c>
      <c r="Q1814" s="65" t="str">
        <f>VLOOKUP(I1814,DATABASE!C:Q,4,FALSE)</f>
        <v>#N/A</v>
      </c>
      <c r="R1814" s="101"/>
      <c r="U1814" s="101"/>
    </row>
    <row r="1815" ht="22.5" customHeight="1">
      <c r="A1815" s="49"/>
      <c r="C1815" s="192"/>
      <c r="D1815" s="192"/>
      <c r="E1815" s="69"/>
      <c r="F1815" s="243"/>
      <c r="G1815" s="69"/>
      <c r="H1815" s="69"/>
      <c r="I1815" s="140"/>
      <c r="J1815" s="446"/>
      <c r="K1815" s="140"/>
      <c r="L1815" s="140"/>
      <c r="M1815" s="140"/>
      <c r="N1815" s="74">
        <f t="shared" si="6"/>
        <v>0</v>
      </c>
      <c r="O1815" s="60">
        <f t="shared" si="2"/>
        <v>0</v>
      </c>
      <c r="P1815" s="65" t="str">
        <f>VLOOKUP(I1815,DATABASE!C:Q,11,FALSE)</f>
        <v>#N/A</v>
      </c>
      <c r="Q1815" s="65" t="str">
        <f>VLOOKUP(I1815,DATABASE!C:Q,4,FALSE)</f>
        <v>#N/A</v>
      </c>
      <c r="R1815" s="101"/>
      <c r="U1815" s="101"/>
    </row>
    <row r="1816" ht="22.5" customHeight="1">
      <c r="A1816" s="49"/>
      <c r="C1816" s="192"/>
      <c r="D1816" s="192"/>
      <c r="E1816" s="69"/>
      <c r="F1816" s="243"/>
      <c r="G1816" s="69"/>
      <c r="H1816" s="69"/>
      <c r="I1816" s="140"/>
      <c r="J1816" s="446"/>
      <c r="K1816" s="140"/>
      <c r="L1816" s="140"/>
      <c r="M1816" s="140"/>
      <c r="N1816" s="74">
        <f t="shared" si="6"/>
        <v>0</v>
      </c>
      <c r="O1816" s="60">
        <f t="shared" si="2"/>
        <v>0</v>
      </c>
      <c r="P1816" s="65" t="str">
        <f>VLOOKUP(I1816,DATABASE!C:Q,11,FALSE)</f>
        <v>#N/A</v>
      </c>
      <c r="Q1816" s="65" t="str">
        <f>VLOOKUP(I1816,DATABASE!C:Q,4,FALSE)</f>
        <v>#N/A</v>
      </c>
      <c r="R1816" s="101"/>
      <c r="U1816" s="101"/>
    </row>
    <row r="1817" ht="22.5" customHeight="1">
      <c r="A1817" s="49"/>
      <c r="C1817" s="192"/>
      <c r="D1817" s="192"/>
      <c r="E1817" s="69"/>
      <c r="F1817" s="243"/>
      <c r="G1817" s="69"/>
      <c r="H1817" s="69"/>
      <c r="I1817" s="140"/>
      <c r="J1817" s="446"/>
      <c r="K1817" s="140"/>
      <c r="L1817" s="140"/>
      <c r="M1817" s="140"/>
      <c r="N1817" s="74">
        <f t="shared" si="6"/>
        <v>0</v>
      </c>
      <c r="O1817" s="60">
        <f t="shared" si="2"/>
        <v>0</v>
      </c>
      <c r="P1817" s="65" t="str">
        <f>VLOOKUP(I1817,DATABASE!C:Q,11,FALSE)</f>
        <v>#N/A</v>
      </c>
      <c r="Q1817" s="65" t="str">
        <f>VLOOKUP(I1817,DATABASE!C:Q,4,FALSE)</f>
        <v>#N/A</v>
      </c>
      <c r="R1817" s="101"/>
      <c r="U1817" s="101"/>
    </row>
    <row r="1818" ht="22.5" customHeight="1">
      <c r="A1818" s="49"/>
      <c r="C1818" s="192"/>
      <c r="D1818" s="192"/>
      <c r="E1818" s="69"/>
      <c r="F1818" s="243"/>
      <c r="G1818" s="69"/>
      <c r="H1818" s="69"/>
      <c r="I1818" s="140"/>
      <c r="J1818" s="446"/>
      <c r="K1818" s="140"/>
      <c r="L1818" s="140"/>
      <c r="M1818" s="140"/>
      <c r="N1818" s="74">
        <f t="shared" si="6"/>
        <v>0</v>
      </c>
      <c r="O1818" s="60">
        <f t="shared" si="2"/>
        <v>0</v>
      </c>
      <c r="P1818" s="65" t="str">
        <f>VLOOKUP(I1818,DATABASE!C:Q,11,FALSE)</f>
        <v>#N/A</v>
      </c>
      <c r="Q1818" s="65" t="str">
        <f>VLOOKUP(I1818,DATABASE!C:Q,4,FALSE)</f>
        <v>#N/A</v>
      </c>
      <c r="R1818" s="101"/>
      <c r="U1818" s="101"/>
    </row>
    <row r="1819" ht="22.5" customHeight="1">
      <c r="A1819" s="49"/>
      <c r="C1819" s="192"/>
      <c r="D1819" s="192"/>
      <c r="E1819" s="69"/>
      <c r="F1819" s="243"/>
      <c r="G1819" s="69"/>
      <c r="H1819" s="69"/>
      <c r="I1819" s="140"/>
      <c r="J1819" s="446"/>
      <c r="K1819" s="140"/>
      <c r="L1819" s="140"/>
      <c r="M1819" s="140"/>
      <c r="N1819" s="74">
        <f t="shared" si="6"/>
        <v>0</v>
      </c>
      <c r="O1819" s="60">
        <f t="shared" si="2"/>
        <v>0</v>
      </c>
      <c r="P1819" s="65" t="str">
        <f>VLOOKUP(I1819,DATABASE!C:Q,11,FALSE)</f>
        <v>#N/A</v>
      </c>
      <c r="Q1819" s="65" t="str">
        <f>VLOOKUP(I1819,DATABASE!C:Q,4,FALSE)</f>
        <v>#N/A</v>
      </c>
      <c r="R1819" s="101"/>
      <c r="U1819" s="101"/>
    </row>
    <row r="1820" ht="22.5" customHeight="1">
      <c r="A1820" s="49"/>
      <c r="C1820" s="192"/>
      <c r="D1820" s="192"/>
      <c r="E1820" s="69"/>
      <c r="F1820" s="243"/>
      <c r="G1820" s="69"/>
      <c r="H1820" s="69"/>
      <c r="I1820" s="140"/>
      <c r="J1820" s="446"/>
      <c r="K1820" s="140"/>
      <c r="L1820" s="140"/>
      <c r="M1820" s="140"/>
      <c r="N1820" s="74">
        <f t="shared" si="6"/>
        <v>0</v>
      </c>
      <c r="O1820" s="60">
        <f t="shared" si="2"/>
        <v>0</v>
      </c>
      <c r="P1820" s="65" t="str">
        <f>VLOOKUP(I1820,DATABASE!C:Q,11,FALSE)</f>
        <v>#N/A</v>
      </c>
      <c r="Q1820" s="65" t="str">
        <f>VLOOKUP(I1820,DATABASE!C:Q,4,FALSE)</f>
        <v>#N/A</v>
      </c>
      <c r="R1820" s="101"/>
      <c r="U1820" s="101"/>
    </row>
    <row r="1821" ht="22.5" customHeight="1">
      <c r="A1821" s="49"/>
      <c r="C1821" s="192"/>
      <c r="D1821" s="192"/>
      <c r="E1821" s="69"/>
      <c r="F1821" s="243"/>
      <c r="G1821" s="69"/>
      <c r="H1821" s="69"/>
      <c r="I1821" s="140"/>
      <c r="J1821" s="446"/>
      <c r="K1821" s="140"/>
      <c r="L1821" s="140"/>
      <c r="M1821" s="140"/>
      <c r="N1821" s="74">
        <f t="shared" si="6"/>
        <v>0</v>
      </c>
      <c r="O1821" s="60">
        <f t="shared" si="2"/>
        <v>0</v>
      </c>
      <c r="P1821" s="65" t="str">
        <f>VLOOKUP(I1821,DATABASE!C:Q,11,FALSE)</f>
        <v>#N/A</v>
      </c>
      <c r="Q1821" s="65" t="str">
        <f>VLOOKUP(I1821,DATABASE!C:Q,4,FALSE)</f>
        <v>#N/A</v>
      </c>
      <c r="R1821" s="101"/>
      <c r="U1821" s="101"/>
    </row>
    <row r="1822" ht="22.5" customHeight="1">
      <c r="A1822" s="49"/>
      <c r="C1822" s="192"/>
      <c r="D1822" s="192"/>
      <c r="E1822" s="69"/>
      <c r="F1822" s="243"/>
      <c r="G1822" s="69"/>
      <c r="H1822" s="69"/>
      <c r="I1822" s="140"/>
      <c r="J1822" s="446"/>
      <c r="K1822" s="140"/>
      <c r="L1822" s="140"/>
      <c r="M1822" s="140"/>
      <c r="N1822" s="74">
        <f t="shared" si="6"/>
        <v>0</v>
      </c>
      <c r="O1822" s="60">
        <f t="shared" si="2"/>
        <v>0</v>
      </c>
      <c r="P1822" s="65" t="str">
        <f>VLOOKUP(I1822,DATABASE!C:Q,11,FALSE)</f>
        <v>#N/A</v>
      </c>
      <c r="Q1822" s="65" t="str">
        <f>VLOOKUP(I1822,DATABASE!C:Q,4,FALSE)</f>
        <v>#N/A</v>
      </c>
      <c r="R1822" s="101"/>
      <c r="U1822" s="101"/>
    </row>
    <row r="1823" ht="22.5" customHeight="1">
      <c r="A1823" s="49"/>
      <c r="C1823" s="192"/>
      <c r="D1823" s="192"/>
      <c r="E1823" s="69"/>
      <c r="F1823" s="243"/>
      <c r="G1823" s="69"/>
      <c r="H1823" s="69"/>
      <c r="I1823" s="140"/>
      <c r="J1823" s="446"/>
      <c r="K1823" s="140"/>
      <c r="L1823" s="140"/>
      <c r="M1823" s="140"/>
      <c r="N1823" s="74">
        <f t="shared" si="6"/>
        <v>0</v>
      </c>
      <c r="O1823" s="60">
        <f t="shared" si="2"/>
        <v>0</v>
      </c>
      <c r="P1823" s="65" t="str">
        <f>VLOOKUP(I1823,DATABASE!C:Q,11,FALSE)</f>
        <v>#N/A</v>
      </c>
      <c r="Q1823" s="65" t="str">
        <f>VLOOKUP(I1823,DATABASE!C:Q,4,FALSE)</f>
        <v>#N/A</v>
      </c>
      <c r="R1823" s="101"/>
      <c r="U1823" s="101"/>
    </row>
    <row r="1824" ht="22.5" customHeight="1">
      <c r="A1824" s="49"/>
      <c r="C1824" s="192"/>
      <c r="D1824" s="192"/>
      <c r="E1824" s="69"/>
      <c r="F1824" s="243"/>
      <c r="G1824" s="69"/>
      <c r="H1824" s="69"/>
      <c r="I1824" s="140"/>
      <c r="J1824" s="446"/>
      <c r="K1824" s="140"/>
      <c r="L1824" s="140"/>
      <c r="M1824" s="140"/>
      <c r="N1824" s="74">
        <f t="shared" si="6"/>
        <v>0</v>
      </c>
      <c r="O1824" s="60">
        <f t="shared" si="2"/>
        <v>0</v>
      </c>
      <c r="P1824" s="65" t="str">
        <f>VLOOKUP(I1824,DATABASE!C:Q,11,FALSE)</f>
        <v>#N/A</v>
      </c>
      <c r="Q1824" s="65" t="str">
        <f>VLOOKUP(I1824,DATABASE!C:Q,4,FALSE)</f>
        <v>#N/A</v>
      </c>
      <c r="R1824" s="101"/>
      <c r="U1824" s="101"/>
    </row>
    <row r="1825" ht="22.5" customHeight="1">
      <c r="A1825" s="49"/>
      <c r="C1825" s="192"/>
      <c r="D1825" s="192"/>
      <c r="E1825" s="69"/>
      <c r="F1825" s="243"/>
      <c r="G1825" s="69"/>
      <c r="H1825" s="69"/>
      <c r="I1825" s="140"/>
      <c r="J1825" s="446"/>
      <c r="K1825" s="140"/>
      <c r="L1825" s="140"/>
      <c r="M1825" s="140"/>
      <c r="N1825" s="74">
        <f t="shared" si="6"/>
        <v>0</v>
      </c>
      <c r="O1825" s="60">
        <f t="shared" si="2"/>
        <v>0</v>
      </c>
      <c r="P1825" s="65" t="str">
        <f>VLOOKUP(I1825,DATABASE!C:Q,11,FALSE)</f>
        <v>#N/A</v>
      </c>
      <c r="Q1825" s="65" t="str">
        <f>VLOOKUP(I1825,DATABASE!C:Q,4,FALSE)</f>
        <v>#N/A</v>
      </c>
      <c r="R1825" s="101"/>
      <c r="U1825" s="101"/>
    </row>
    <row r="1826" ht="22.5" customHeight="1">
      <c r="A1826" s="49"/>
      <c r="C1826" s="192"/>
      <c r="D1826" s="192"/>
      <c r="E1826" s="69"/>
      <c r="F1826" s="243"/>
      <c r="G1826" s="69"/>
      <c r="H1826" s="69"/>
      <c r="I1826" s="140"/>
      <c r="J1826" s="446"/>
      <c r="K1826" s="140"/>
      <c r="L1826" s="140"/>
      <c r="M1826" s="140"/>
      <c r="N1826" s="74">
        <f t="shared" si="6"/>
        <v>0</v>
      </c>
      <c r="O1826" s="60">
        <f t="shared" si="2"/>
        <v>0</v>
      </c>
      <c r="P1826" s="65" t="str">
        <f>VLOOKUP(I1826,DATABASE!C:Q,11,FALSE)</f>
        <v>#N/A</v>
      </c>
      <c r="Q1826" s="65" t="str">
        <f>VLOOKUP(I1826,DATABASE!C:Q,4,FALSE)</f>
        <v>#N/A</v>
      </c>
      <c r="R1826" s="101"/>
      <c r="U1826" s="101"/>
    </row>
    <row r="1827" ht="22.5" customHeight="1">
      <c r="A1827" s="49"/>
      <c r="C1827" s="192"/>
      <c r="D1827" s="192"/>
      <c r="E1827" s="69"/>
      <c r="F1827" s="243"/>
      <c r="G1827" s="69"/>
      <c r="H1827" s="69"/>
      <c r="I1827" s="140"/>
      <c r="J1827" s="446"/>
      <c r="K1827" s="140"/>
      <c r="L1827" s="140"/>
      <c r="M1827" s="140"/>
      <c r="N1827" s="74">
        <f t="shared" si="6"/>
        <v>0</v>
      </c>
      <c r="O1827" s="60">
        <f t="shared" si="2"/>
        <v>0</v>
      </c>
      <c r="P1827" s="65" t="str">
        <f>VLOOKUP(I1827,DATABASE!C:Q,11,FALSE)</f>
        <v>#N/A</v>
      </c>
      <c r="Q1827" s="65" t="str">
        <f>VLOOKUP(I1827,DATABASE!C:Q,4,FALSE)</f>
        <v>#N/A</v>
      </c>
      <c r="R1827" s="101"/>
      <c r="U1827" s="101"/>
    </row>
    <row r="1828" ht="22.5" customHeight="1">
      <c r="A1828" s="49"/>
      <c r="C1828" s="192"/>
      <c r="D1828" s="192"/>
      <c r="E1828" s="69"/>
      <c r="F1828" s="243"/>
      <c r="G1828" s="69"/>
      <c r="H1828" s="69"/>
      <c r="I1828" s="140"/>
      <c r="J1828" s="446"/>
      <c r="K1828" s="140"/>
      <c r="L1828" s="140"/>
      <c r="M1828" s="140"/>
      <c r="N1828" s="74">
        <f t="shared" si="6"/>
        <v>0</v>
      </c>
      <c r="O1828" s="60">
        <f t="shared" si="2"/>
        <v>0</v>
      </c>
      <c r="P1828" s="65" t="str">
        <f>VLOOKUP(I1828,DATABASE!C:Q,11,FALSE)</f>
        <v>#N/A</v>
      </c>
      <c r="Q1828" s="65" t="str">
        <f>VLOOKUP(I1828,DATABASE!C:Q,4,FALSE)</f>
        <v>#N/A</v>
      </c>
      <c r="R1828" s="101"/>
      <c r="U1828" s="101"/>
    </row>
    <row r="1829" ht="22.5" customHeight="1">
      <c r="A1829" s="49"/>
      <c r="C1829" s="192"/>
      <c r="D1829" s="192"/>
      <c r="E1829" s="69"/>
      <c r="F1829" s="243"/>
      <c r="G1829" s="69"/>
      <c r="H1829" s="69"/>
      <c r="I1829" s="140"/>
      <c r="J1829" s="446"/>
      <c r="K1829" s="140"/>
      <c r="L1829" s="140"/>
      <c r="M1829" s="140"/>
      <c r="N1829" s="74">
        <f t="shared" si="6"/>
        <v>0</v>
      </c>
      <c r="O1829" s="60">
        <f t="shared" si="2"/>
        <v>0</v>
      </c>
      <c r="P1829" s="65" t="str">
        <f>VLOOKUP(I1829,DATABASE!C:Q,11,FALSE)</f>
        <v>#N/A</v>
      </c>
      <c r="Q1829" s="65" t="str">
        <f>VLOOKUP(I1829,DATABASE!C:Q,4,FALSE)</f>
        <v>#N/A</v>
      </c>
      <c r="R1829" s="101"/>
      <c r="U1829" s="101"/>
    </row>
    <row r="1830" ht="22.5" customHeight="1">
      <c r="A1830" s="49"/>
      <c r="C1830" s="192"/>
      <c r="D1830" s="192"/>
      <c r="E1830" s="69"/>
      <c r="F1830" s="243"/>
      <c r="G1830" s="69"/>
      <c r="H1830" s="69"/>
      <c r="I1830" s="140"/>
      <c r="J1830" s="446"/>
      <c r="K1830" s="140"/>
      <c r="L1830" s="140"/>
      <c r="M1830" s="140"/>
      <c r="N1830" s="74">
        <f t="shared" si="6"/>
        <v>0</v>
      </c>
      <c r="O1830" s="60">
        <f t="shared" si="2"/>
        <v>0</v>
      </c>
      <c r="P1830" s="65" t="str">
        <f>VLOOKUP(I1830,DATABASE!C:Q,11,FALSE)</f>
        <v>#N/A</v>
      </c>
      <c r="Q1830" s="65" t="str">
        <f>VLOOKUP(I1830,DATABASE!C:Q,4,FALSE)</f>
        <v>#N/A</v>
      </c>
      <c r="R1830" s="101"/>
      <c r="U1830" s="101"/>
    </row>
    <row r="1831" ht="22.5" customHeight="1">
      <c r="A1831" s="49"/>
      <c r="C1831" s="192"/>
      <c r="D1831" s="192"/>
      <c r="E1831" s="69"/>
      <c r="F1831" s="243"/>
      <c r="G1831" s="69"/>
      <c r="H1831" s="69"/>
      <c r="I1831" s="140"/>
      <c r="J1831" s="446"/>
      <c r="K1831" s="140"/>
      <c r="L1831" s="140"/>
      <c r="M1831" s="140"/>
      <c r="N1831" s="74">
        <f t="shared" si="6"/>
        <v>0</v>
      </c>
      <c r="O1831" s="60">
        <f t="shared" si="2"/>
        <v>0</v>
      </c>
      <c r="P1831" s="65" t="str">
        <f>VLOOKUP(I1831,DATABASE!C:Q,11,FALSE)</f>
        <v>#N/A</v>
      </c>
      <c r="Q1831" s="65" t="str">
        <f>VLOOKUP(I1831,DATABASE!C:Q,4,FALSE)</f>
        <v>#N/A</v>
      </c>
      <c r="R1831" s="101"/>
      <c r="U1831" s="101"/>
    </row>
    <row r="1832" ht="22.5" customHeight="1">
      <c r="A1832" s="49"/>
      <c r="C1832" s="192"/>
      <c r="D1832" s="192"/>
      <c r="E1832" s="69"/>
      <c r="F1832" s="243"/>
      <c r="G1832" s="69"/>
      <c r="H1832" s="69"/>
      <c r="I1832" s="140"/>
      <c r="J1832" s="446"/>
      <c r="K1832" s="140"/>
      <c r="L1832" s="140"/>
      <c r="M1832" s="140"/>
      <c r="N1832" s="74">
        <f t="shared" si="6"/>
        <v>0</v>
      </c>
      <c r="O1832" s="60">
        <f t="shared" si="2"/>
        <v>0</v>
      </c>
      <c r="P1832" s="65" t="str">
        <f>VLOOKUP(I1832,DATABASE!C:Q,11,FALSE)</f>
        <v>#N/A</v>
      </c>
      <c r="Q1832" s="65" t="str">
        <f>VLOOKUP(I1832,DATABASE!C:Q,4,FALSE)</f>
        <v>#N/A</v>
      </c>
      <c r="R1832" s="101"/>
      <c r="U1832" s="101"/>
    </row>
    <row r="1833" ht="22.5" customHeight="1">
      <c r="A1833" s="49"/>
      <c r="C1833" s="192"/>
      <c r="D1833" s="192"/>
      <c r="E1833" s="69"/>
      <c r="F1833" s="243"/>
      <c r="G1833" s="69"/>
      <c r="H1833" s="69"/>
      <c r="I1833" s="140"/>
      <c r="J1833" s="446"/>
      <c r="K1833" s="140"/>
      <c r="L1833" s="140"/>
      <c r="M1833" s="140"/>
      <c r="N1833" s="74">
        <f t="shared" si="6"/>
        <v>0</v>
      </c>
      <c r="O1833" s="60">
        <f t="shared" si="2"/>
        <v>0</v>
      </c>
      <c r="P1833" s="65" t="str">
        <f>VLOOKUP(I1833,DATABASE!C:Q,11,FALSE)</f>
        <v>#N/A</v>
      </c>
      <c r="Q1833" s="65" t="str">
        <f>VLOOKUP(I1833,DATABASE!C:Q,4,FALSE)</f>
        <v>#N/A</v>
      </c>
      <c r="R1833" s="101"/>
      <c r="U1833" s="101"/>
    </row>
    <row r="1834" ht="22.5" customHeight="1">
      <c r="A1834" s="49"/>
      <c r="C1834" s="192"/>
      <c r="D1834" s="192"/>
      <c r="E1834" s="69"/>
      <c r="F1834" s="243"/>
      <c r="G1834" s="69"/>
      <c r="H1834" s="69"/>
      <c r="I1834" s="140"/>
      <c r="J1834" s="446"/>
      <c r="K1834" s="140"/>
      <c r="L1834" s="140"/>
      <c r="M1834" s="140"/>
      <c r="N1834" s="74">
        <f t="shared" si="6"/>
        <v>0</v>
      </c>
      <c r="O1834" s="60">
        <f t="shared" si="2"/>
        <v>0</v>
      </c>
      <c r="P1834" s="65" t="str">
        <f>VLOOKUP(I1834,DATABASE!C:Q,11,FALSE)</f>
        <v>#N/A</v>
      </c>
      <c r="Q1834" s="65" t="str">
        <f>VLOOKUP(I1834,DATABASE!C:Q,4,FALSE)</f>
        <v>#N/A</v>
      </c>
      <c r="R1834" s="101"/>
      <c r="U1834" s="101"/>
    </row>
    <row r="1835" ht="22.5" customHeight="1">
      <c r="A1835" s="49"/>
      <c r="C1835" s="192"/>
      <c r="D1835" s="192"/>
      <c r="E1835" s="69"/>
      <c r="F1835" s="243"/>
      <c r="G1835" s="69"/>
      <c r="H1835" s="69"/>
      <c r="I1835" s="140"/>
      <c r="J1835" s="446"/>
      <c r="K1835" s="140"/>
      <c r="L1835" s="140"/>
      <c r="M1835" s="140"/>
      <c r="N1835" s="74">
        <f t="shared" si="6"/>
        <v>0</v>
      </c>
      <c r="O1835" s="60">
        <f t="shared" si="2"/>
        <v>0</v>
      </c>
      <c r="P1835" s="65" t="str">
        <f>VLOOKUP(I1835,DATABASE!C:Q,11,FALSE)</f>
        <v>#N/A</v>
      </c>
      <c r="Q1835" s="65" t="str">
        <f>VLOOKUP(I1835,DATABASE!C:Q,4,FALSE)</f>
        <v>#N/A</v>
      </c>
      <c r="R1835" s="101"/>
      <c r="U1835" s="101"/>
    </row>
    <row r="1836" ht="22.5" customHeight="1">
      <c r="A1836" s="49"/>
      <c r="C1836" s="192"/>
      <c r="D1836" s="192"/>
      <c r="E1836" s="69"/>
      <c r="F1836" s="243"/>
      <c r="G1836" s="69"/>
      <c r="H1836" s="69"/>
      <c r="I1836" s="140"/>
      <c r="J1836" s="446"/>
      <c r="K1836" s="140"/>
      <c r="L1836" s="140"/>
      <c r="M1836" s="140"/>
      <c r="N1836" s="74">
        <f t="shared" si="6"/>
        <v>0</v>
      </c>
      <c r="O1836" s="60">
        <f t="shared" si="2"/>
        <v>0</v>
      </c>
      <c r="P1836" s="65" t="str">
        <f>VLOOKUP(I1836,DATABASE!C:Q,11,FALSE)</f>
        <v>#N/A</v>
      </c>
      <c r="Q1836" s="65" t="str">
        <f>VLOOKUP(I1836,DATABASE!C:Q,4,FALSE)</f>
        <v>#N/A</v>
      </c>
      <c r="R1836" s="101"/>
      <c r="U1836" s="101"/>
    </row>
    <row r="1837" ht="22.5" customHeight="1">
      <c r="A1837" s="49"/>
      <c r="C1837" s="192"/>
      <c r="D1837" s="192"/>
      <c r="E1837" s="69"/>
      <c r="F1837" s="243"/>
      <c r="G1837" s="69"/>
      <c r="H1837" s="69"/>
      <c r="I1837" s="140"/>
      <c r="J1837" s="446"/>
      <c r="K1837" s="140"/>
      <c r="L1837" s="140"/>
      <c r="M1837" s="140"/>
      <c r="N1837" s="74">
        <f t="shared" si="6"/>
        <v>0</v>
      </c>
      <c r="O1837" s="60">
        <f t="shared" si="2"/>
        <v>0</v>
      </c>
      <c r="P1837" s="65" t="str">
        <f>VLOOKUP(I1837,DATABASE!C:Q,11,FALSE)</f>
        <v>#N/A</v>
      </c>
      <c r="Q1837" s="65" t="str">
        <f>VLOOKUP(I1837,DATABASE!C:Q,4,FALSE)</f>
        <v>#N/A</v>
      </c>
      <c r="R1837" s="101"/>
      <c r="U1837" s="101"/>
    </row>
    <row r="1838" ht="22.5" customHeight="1">
      <c r="A1838" s="49"/>
      <c r="C1838" s="192"/>
      <c r="D1838" s="192"/>
      <c r="E1838" s="69"/>
      <c r="F1838" s="243"/>
      <c r="G1838" s="69"/>
      <c r="H1838" s="69"/>
      <c r="I1838" s="140"/>
      <c r="J1838" s="446"/>
      <c r="K1838" s="140"/>
      <c r="L1838" s="140"/>
      <c r="M1838" s="140"/>
      <c r="N1838" s="74">
        <f t="shared" si="6"/>
        <v>0</v>
      </c>
      <c r="O1838" s="60">
        <f t="shared" si="2"/>
        <v>0</v>
      </c>
      <c r="P1838" s="65" t="str">
        <f>VLOOKUP(I1838,DATABASE!C:Q,11,FALSE)</f>
        <v>#N/A</v>
      </c>
      <c r="Q1838" s="65" t="str">
        <f>VLOOKUP(I1838,DATABASE!C:Q,4,FALSE)</f>
        <v>#N/A</v>
      </c>
      <c r="R1838" s="101"/>
      <c r="U1838" s="101"/>
    </row>
    <row r="1839" ht="22.5" customHeight="1">
      <c r="A1839" s="49"/>
      <c r="C1839" s="192"/>
      <c r="D1839" s="192"/>
      <c r="E1839" s="69"/>
      <c r="F1839" s="243"/>
      <c r="G1839" s="69"/>
      <c r="H1839" s="69"/>
      <c r="I1839" s="140"/>
      <c r="J1839" s="446"/>
      <c r="K1839" s="140"/>
      <c r="L1839" s="140"/>
      <c r="M1839" s="140"/>
      <c r="N1839" s="74">
        <f t="shared" si="6"/>
        <v>0</v>
      </c>
      <c r="O1839" s="60">
        <f t="shared" si="2"/>
        <v>0</v>
      </c>
      <c r="P1839" s="65" t="str">
        <f>VLOOKUP(I1839,DATABASE!C:Q,11,FALSE)</f>
        <v>#N/A</v>
      </c>
      <c r="Q1839" s="65" t="str">
        <f>VLOOKUP(I1839,DATABASE!C:Q,4,FALSE)</f>
        <v>#N/A</v>
      </c>
      <c r="R1839" s="101"/>
      <c r="U1839" s="101"/>
    </row>
    <row r="1840" ht="22.5" customHeight="1">
      <c r="A1840" s="49"/>
      <c r="C1840" s="192"/>
      <c r="D1840" s="192"/>
      <c r="E1840" s="69"/>
      <c r="F1840" s="243"/>
      <c r="G1840" s="69"/>
      <c r="H1840" s="69"/>
      <c r="I1840" s="140"/>
      <c r="J1840" s="446"/>
      <c r="K1840" s="140"/>
      <c r="L1840" s="140"/>
      <c r="M1840" s="140"/>
      <c r="N1840" s="74">
        <f t="shared" si="6"/>
        <v>0</v>
      </c>
      <c r="O1840" s="60">
        <f t="shared" si="2"/>
        <v>0</v>
      </c>
      <c r="P1840" s="65" t="str">
        <f>VLOOKUP(I1840,DATABASE!C:Q,11,FALSE)</f>
        <v>#N/A</v>
      </c>
      <c r="Q1840" s="65" t="str">
        <f>VLOOKUP(I1840,DATABASE!C:Q,4,FALSE)</f>
        <v>#N/A</v>
      </c>
      <c r="R1840" s="101"/>
      <c r="U1840" s="101"/>
    </row>
    <row r="1841" ht="22.5" customHeight="1">
      <c r="A1841" s="49"/>
      <c r="C1841" s="192"/>
      <c r="D1841" s="192"/>
      <c r="E1841" s="69"/>
      <c r="F1841" s="243"/>
      <c r="G1841" s="69"/>
      <c r="H1841" s="69"/>
      <c r="I1841" s="140"/>
      <c r="J1841" s="446"/>
      <c r="K1841" s="140"/>
      <c r="L1841" s="140"/>
      <c r="M1841" s="140"/>
      <c r="N1841" s="74">
        <f t="shared" si="6"/>
        <v>0</v>
      </c>
      <c r="O1841" s="60">
        <f t="shared" si="2"/>
        <v>0</v>
      </c>
      <c r="P1841" s="65" t="str">
        <f>VLOOKUP(I1841,DATABASE!C:Q,11,FALSE)</f>
        <v>#N/A</v>
      </c>
      <c r="Q1841" s="65" t="str">
        <f>VLOOKUP(I1841,DATABASE!C:Q,4,FALSE)</f>
        <v>#N/A</v>
      </c>
      <c r="R1841" s="101"/>
      <c r="U1841" s="101"/>
    </row>
    <row r="1842" ht="22.5" customHeight="1">
      <c r="A1842" s="49"/>
      <c r="C1842" s="192"/>
      <c r="D1842" s="192"/>
      <c r="E1842" s="69"/>
      <c r="F1842" s="243"/>
      <c r="G1842" s="69"/>
      <c r="H1842" s="69"/>
      <c r="I1842" s="140"/>
      <c r="J1842" s="446"/>
      <c r="K1842" s="140"/>
      <c r="L1842" s="140"/>
      <c r="M1842" s="140"/>
      <c r="N1842" s="74">
        <f t="shared" si="6"/>
        <v>0</v>
      </c>
      <c r="O1842" s="60">
        <f t="shared" si="2"/>
        <v>0</v>
      </c>
      <c r="P1842" s="65" t="str">
        <f>VLOOKUP(I1842,DATABASE!C:Q,11,FALSE)</f>
        <v>#N/A</v>
      </c>
      <c r="Q1842" s="65" t="str">
        <f>VLOOKUP(I1842,DATABASE!C:Q,4,FALSE)</f>
        <v>#N/A</v>
      </c>
      <c r="R1842" s="101"/>
      <c r="U1842" s="101"/>
    </row>
    <row r="1843" ht="22.5" customHeight="1">
      <c r="A1843" s="49"/>
      <c r="C1843" s="192"/>
      <c r="D1843" s="192"/>
      <c r="E1843" s="69"/>
      <c r="F1843" s="243"/>
      <c r="G1843" s="69"/>
      <c r="H1843" s="69"/>
      <c r="I1843" s="140"/>
      <c r="J1843" s="446"/>
      <c r="K1843" s="140"/>
      <c r="L1843" s="140"/>
      <c r="M1843" s="140"/>
      <c r="N1843" s="74">
        <f t="shared" si="6"/>
        <v>0</v>
      </c>
      <c r="O1843" s="60">
        <f t="shared" si="2"/>
        <v>0</v>
      </c>
      <c r="P1843" s="65" t="str">
        <f>VLOOKUP(I1843,DATABASE!C:Q,11,FALSE)</f>
        <v>#N/A</v>
      </c>
      <c r="Q1843" s="65" t="str">
        <f>VLOOKUP(I1843,DATABASE!C:Q,4,FALSE)</f>
        <v>#N/A</v>
      </c>
      <c r="R1843" s="101"/>
      <c r="U1843" s="101"/>
    </row>
    <row r="1844" ht="22.5" customHeight="1">
      <c r="A1844" s="49"/>
      <c r="C1844" s="192"/>
      <c r="D1844" s="192"/>
      <c r="E1844" s="69"/>
      <c r="F1844" s="243"/>
      <c r="G1844" s="69"/>
      <c r="H1844" s="69"/>
      <c r="I1844" s="140"/>
      <c r="J1844" s="446"/>
      <c r="K1844" s="140"/>
      <c r="L1844" s="140"/>
      <c r="M1844" s="140"/>
      <c r="N1844" s="74">
        <f t="shared" si="6"/>
        <v>0</v>
      </c>
      <c r="O1844" s="60">
        <f t="shared" si="2"/>
        <v>0</v>
      </c>
      <c r="P1844" s="65" t="str">
        <f>VLOOKUP(I1844,DATABASE!C:Q,11,FALSE)</f>
        <v>#N/A</v>
      </c>
      <c r="Q1844" s="65" t="str">
        <f>VLOOKUP(I1844,DATABASE!C:Q,4,FALSE)</f>
        <v>#N/A</v>
      </c>
      <c r="R1844" s="101"/>
      <c r="U1844" s="101"/>
    </row>
    <row r="1845" ht="22.5" customHeight="1">
      <c r="A1845" s="49"/>
      <c r="C1845" s="192"/>
      <c r="D1845" s="192"/>
      <c r="E1845" s="69"/>
      <c r="F1845" s="243"/>
      <c r="G1845" s="69"/>
      <c r="H1845" s="69"/>
      <c r="I1845" s="140"/>
      <c r="J1845" s="446"/>
      <c r="K1845" s="140"/>
      <c r="L1845" s="140"/>
      <c r="M1845" s="140"/>
      <c r="N1845" s="74">
        <f t="shared" si="6"/>
        <v>0</v>
      </c>
      <c r="O1845" s="60">
        <f t="shared" si="2"/>
        <v>0</v>
      </c>
      <c r="P1845" s="65" t="str">
        <f>VLOOKUP(I1845,DATABASE!C:Q,11,FALSE)</f>
        <v>#N/A</v>
      </c>
      <c r="Q1845" s="65" t="str">
        <f>VLOOKUP(I1845,DATABASE!C:Q,4,FALSE)</f>
        <v>#N/A</v>
      </c>
      <c r="R1845" s="101"/>
      <c r="U1845" s="101"/>
    </row>
    <row r="1846" ht="22.5" customHeight="1">
      <c r="A1846" s="49"/>
      <c r="C1846" s="192"/>
      <c r="D1846" s="192"/>
      <c r="E1846" s="69"/>
      <c r="F1846" s="243"/>
      <c r="G1846" s="69"/>
      <c r="H1846" s="69"/>
      <c r="I1846" s="140"/>
      <c r="J1846" s="446"/>
      <c r="K1846" s="140"/>
      <c r="L1846" s="140"/>
      <c r="M1846" s="140"/>
      <c r="N1846" s="74">
        <f t="shared" si="6"/>
        <v>0</v>
      </c>
      <c r="O1846" s="60">
        <f t="shared" si="2"/>
        <v>0</v>
      </c>
      <c r="P1846" s="65" t="str">
        <f>VLOOKUP(I1846,DATABASE!C:Q,11,FALSE)</f>
        <v>#N/A</v>
      </c>
      <c r="Q1846" s="65" t="str">
        <f>VLOOKUP(I1846,DATABASE!C:Q,4,FALSE)</f>
        <v>#N/A</v>
      </c>
      <c r="R1846" s="101"/>
      <c r="U1846" s="101"/>
    </row>
    <row r="1847" ht="22.5" customHeight="1">
      <c r="A1847" s="49"/>
      <c r="C1847" s="192"/>
      <c r="D1847" s="192"/>
      <c r="E1847" s="69"/>
      <c r="F1847" s="243"/>
      <c r="G1847" s="69"/>
      <c r="H1847" s="69"/>
      <c r="I1847" s="140"/>
      <c r="J1847" s="446"/>
      <c r="K1847" s="140"/>
      <c r="L1847" s="140"/>
      <c r="M1847" s="140"/>
      <c r="N1847" s="74">
        <f t="shared" si="6"/>
        <v>0</v>
      </c>
      <c r="O1847" s="60">
        <f t="shared" si="2"/>
        <v>0</v>
      </c>
      <c r="P1847" s="65" t="str">
        <f>VLOOKUP(I1847,DATABASE!C:Q,11,FALSE)</f>
        <v>#N/A</v>
      </c>
      <c r="Q1847" s="65" t="str">
        <f>VLOOKUP(I1847,DATABASE!C:Q,4,FALSE)</f>
        <v>#N/A</v>
      </c>
      <c r="R1847" s="101"/>
      <c r="U1847" s="101"/>
    </row>
    <row r="1848" ht="22.5" customHeight="1">
      <c r="A1848" s="49"/>
      <c r="C1848" s="192"/>
      <c r="D1848" s="192"/>
      <c r="E1848" s="69"/>
      <c r="F1848" s="243"/>
      <c r="G1848" s="69"/>
      <c r="H1848" s="69"/>
      <c r="I1848" s="140"/>
      <c r="J1848" s="446"/>
      <c r="K1848" s="140"/>
      <c r="L1848" s="140"/>
      <c r="M1848" s="140"/>
      <c r="N1848" s="74">
        <f t="shared" si="6"/>
        <v>0</v>
      </c>
      <c r="O1848" s="60">
        <f t="shared" si="2"/>
        <v>0</v>
      </c>
      <c r="P1848" s="65" t="str">
        <f>VLOOKUP(I1848,DATABASE!C:Q,11,FALSE)</f>
        <v>#N/A</v>
      </c>
      <c r="Q1848" s="65" t="str">
        <f>VLOOKUP(I1848,DATABASE!C:Q,4,FALSE)</f>
        <v>#N/A</v>
      </c>
      <c r="R1848" s="101"/>
      <c r="U1848" s="101"/>
    </row>
    <row r="1849" ht="22.5" customHeight="1">
      <c r="A1849" s="49"/>
      <c r="C1849" s="192"/>
      <c r="D1849" s="192"/>
      <c r="E1849" s="69"/>
      <c r="F1849" s="243"/>
      <c r="G1849" s="69"/>
      <c r="H1849" s="69"/>
      <c r="I1849" s="140"/>
      <c r="J1849" s="446"/>
      <c r="K1849" s="140"/>
      <c r="L1849" s="140"/>
      <c r="M1849" s="140"/>
      <c r="N1849" s="74">
        <f t="shared" si="6"/>
        <v>0</v>
      </c>
      <c r="O1849" s="60">
        <f t="shared" si="2"/>
        <v>0</v>
      </c>
      <c r="P1849" s="65" t="str">
        <f>VLOOKUP(I1849,DATABASE!C:Q,11,FALSE)</f>
        <v>#N/A</v>
      </c>
      <c r="Q1849" s="65" t="str">
        <f>VLOOKUP(I1849,DATABASE!C:Q,4,FALSE)</f>
        <v>#N/A</v>
      </c>
      <c r="R1849" s="101"/>
      <c r="U1849" s="101"/>
    </row>
    <row r="1850" ht="22.5" customHeight="1">
      <c r="A1850" s="49"/>
      <c r="C1850" s="192"/>
      <c r="D1850" s="192"/>
      <c r="E1850" s="69"/>
      <c r="F1850" s="243"/>
      <c r="G1850" s="69"/>
      <c r="H1850" s="69"/>
      <c r="I1850" s="140"/>
      <c r="J1850" s="446"/>
      <c r="K1850" s="140"/>
      <c r="L1850" s="140"/>
      <c r="M1850" s="140"/>
      <c r="N1850" s="74">
        <f t="shared" si="6"/>
        <v>0</v>
      </c>
      <c r="O1850" s="60">
        <f t="shared" si="2"/>
        <v>0</v>
      </c>
      <c r="P1850" s="65" t="str">
        <f>VLOOKUP(I1850,DATABASE!C:Q,11,FALSE)</f>
        <v>#N/A</v>
      </c>
      <c r="Q1850" s="65" t="str">
        <f>VLOOKUP(I1850,DATABASE!C:Q,4,FALSE)</f>
        <v>#N/A</v>
      </c>
      <c r="R1850" s="101"/>
      <c r="U1850" s="101"/>
    </row>
    <row r="1851" ht="22.5" customHeight="1">
      <c r="A1851" s="49"/>
      <c r="C1851" s="192"/>
      <c r="D1851" s="192"/>
      <c r="E1851" s="69"/>
      <c r="F1851" s="243"/>
      <c r="G1851" s="69"/>
      <c r="H1851" s="69"/>
      <c r="I1851" s="140"/>
      <c r="J1851" s="446"/>
      <c r="K1851" s="140"/>
      <c r="L1851" s="140"/>
      <c r="M1851" s="140"/>
      <c r="N1851" s="74">
        <f t="shared" si="6"/>
        <v>0</v>
      </c>
      <c r="O1851" s="60">
        <f t="shared" si="2"/>
        <v>0</v>
      </c>
      <c r="P1851" s="65" t="str">
        <f>VLOOKUP(I1851,DATABASE!C:Q,11,FALSE)</f>
        <v>#N/A</v>
      </c>
      <c r="Q1851" s="65" t="str">
        <f>VLOOKUP(I1851,DATABASE!C:Q,4,FALSE)</f>
        <v>#N/A</v>
      </c>
      <c r="R1851" s="101"/>
      <c r="U1851" s="101"/>
    </row>
    <row r="1852" ht="22.5" customHeight="1">
      <c r="A1852" s="49"/>
      <c r="C1852" s="192"/>
      <c r="D1852" s="192"/>
      <c r="E1852" s="69"/>
      <c r="F1852" s="243"/>
      <c r="G1852" s="69"/>
      <c r="H1852" s="69"/>
      <c r="I1852" s="140"/>
      <c r="J1852" s="446"/>
      <c r="K1852" s="140"/>
      <c r="L1852" s="140"/>
      <c r="M1852" s="140"/>
      <c r="N1852" s="74">
        <f t="shared" si="6"/>
        <v>0</v>
      </c>
      <c r="O1852" s="60">
        <f t="shared" si="2"/>
        <v>0</v>
      </c>
      <c r="P1852" s="65" t="str">
        <f>VLOOKUP(I1852,DATABASE!C:Q,11,FALSE)</f>
        <v>#N/A</v>
      </c>
      <c r="Q1852" s="65" t="str">
        <f>VLOOKUP(I1852,DATABASE!C:Q,4,FALSE)</f>
        <v>#N/A</v>
      </c>
      <c r="R1852" s="101"/>
      <c r="U1852" s="101"/>
    </row>
    <row r="1853" ht="22.5" customHeight="1">
      <c r="A1853" s="49"/>
      <c r="C1853" s="192"/>
      <c r="D1853" s="192"/>
      <c r="E1853" s="69"/>
      <c r="F1853" s="243"/>
      <c r="G1853" s="69"/>
      <c r="H1853" s="69"/>
      <c r="I1853" s="140"/>
      <c r="J1853" s="446"/>
      <c r="K1853" s="140"/>
      <c r="L1853" s="140"/>
      <c r="M1853" s="140"/>
      <c r="N1853" s="74">
        <f t="shared" si="6"/>
        <v>0</v>
      </c>
      <c r="O1853" s="60">
        <f t="shared" si="2"/>
        <v>0</v>
      </c>
      <c r="P1853" s="65" t="str">
        <f>VLOOKUP(I1853,DATABASE!C:Q,11,FALSE)</f>
        <v>#N/A</v>
      </c>
      <c r="Q1853" s="65" t="str">
        <f>VLOOKUP(I1853,DATABASE!C:Q,4,FALSE)</f>
        <v>#N/A</v>
      </c>
      <c r="R1853" s="101"/>
      <c r="U1853" s="101"/>
    </row>
    <row r="1854" ht="22.5" customHeight="1">
      <c r="A1854" s="49"/>
      <c r="C1854" s="192"/>
      <c r="D1854" s="192"/>
      <c r="E1854" s="69"/>
      <c r="F1854" s="243"/>
      <c r="G1854" s="69"/>
      <c r="H1854" s="69"/>
      <c r="I1854" s="140"/>
      <c r="J1854" s="446"/>
      <c r="K1854" s="140"/>
      <c r="L1854" s="140"/>
      <c r="M1854" s="140"/>
      <c r="N1854" s="74">
        <f t="shared" si="6"/>
        <v>0</v>
      </c>
      <c r="O1854" s="60">
        <f t="shared" si="2"/>
        <v>0</v>
      </c>
      <c r="P1854" s="65" t="str">
        <f>VLOOKUP(I1854,DATABASE!C:Q,11,FALSE)</f>
        <v>#N/A</v>
      </c>
      <c r="Q1854" s="65" t="str">
        <f>VLOOKUP(I1854,DATABASE!C:Q,4,FALSE)</f>
        <v>#N/A</v>
      </c>
      <c r="R1854" s="101"/>
      <c r="U1854" s="101"/>
    </row>
    <row r="1855" ht="22.5" customHeight="1">
      <c r="A1855" s="49"/>
      <c r="C1855" s="192"/>
      <c r="D1855" s="192"/>
      <c r="E1855" s="69"/>
      <c r="F1855" s="243"/>
      <c r="G1855" s="69"/>
      <c r="H1855" s="69"/>
      <c r="I1855" s="140"/>
      <c r="J1855" s="446"/>
      <c r="K1855" s="140"/>
      <c r="L1855" s="140"/>
      <c r="M1855" s="140"/>
      <c r="N1855" s="74">
        <f t="shared" si="6"/>
        <v>0</v>
      </c>
      <c r="O1855" s="60">
        <f t="shared" si="2"/>
        <v>0</v>
      </c>
      <c r="P1855" s="65" t="str">
        <f>VLOOKUP(I1855,DATABASE!C:Q,11,FALSE)</f>
        <v>#N/A</v>
      </c>
      <c r="Q1855" s="65" t="str">
        <f>VLOOKUP(I1855,DATABASE!C:Q,4,FALSE)</f>
        <v>#N/A</v>
      </c>
      <c r="R1855" s="101"/>
      <c r="U1855" s="101"/>
    </row>
    <row r="1856" ht="22.5" customHeight="1">
      <c r="A1856" s="49"/>
      <c r="C1856" s="192"/>
      <c r="D1856" s="192"/>
      <c r="E1856" s="69"/>
      <c r="F1856" s="243"/>
      <c r="G1856" s="69"/>
      <c r="H1856" s="69"/>
      <c r="I1856" s="140"/>
      <c r="J1856" s="446"/>
      <c r="K1856" s="140"/>
      <c r="L1856" s="140"/>
      <c r="M1856" s="140"/>
      <c r="N1856" s="74">
        <f t="shared" si="6"/>
        <v>0</v>
      </c>
      <c r="O1856" s="60">
        <f t="shared" si="2"/>
        <v>0</v>
      </c>
      <c r="P1856" s="65" t="str">
        <f>VLOOKUP(I1856,DATABASE!C:Q,11,FALSE)</f>
        <v>#N/A</v>
      </c>
      <c r="Q1856" s="65" t="str">
        <f>VLOOKUP(I1856,DATABASE!C:Q,4,FALSE)</f>
        <v>#N/A</v>
      </c>
      <c r="R1856" s="101"/>
      <c r="U1856" s="101"/>
    </row>
    <row r="1857" ht="22.5" customHeight="1">
      <c r="A1857" s="49"/>
      <c r="C1857" s="192"/>
      <c r="D1857" s="192"/>
      <c r="E1857" s="69"/>
      <c r="F1857" s="243"/>
      <c r="G1857" s="69"/>
      <c r="H1857" s="69"/>
      <c r="I1857" s="140"/>
      <c r="J1857" s="446"/>
      <c r="K1857" s="140"/>
      <c r="L1857" s="140"/>
      <c r="M1857" s="140"/>
      <c r="N1857" s="74">
        <f t="shared" si="6"/>
        <v>0</v>
      </c>
      <c r="O1857" s="60">
        <f t="shared" si="2"/>
        <v>0</v>
      </c>
      <c r="P1857" s="65" t="str">
        <f>VLOOKUP(I1857,DATABASE!C:Q,11,FALSE)</f>
        <v>#N/A</v>
      </c>
      <c r="Q1857" s="65" t="str">
        <f>VLOOKUP(I1857,DATABASE!C:Q,4,FALSE)</f>
        <v>#N/A</v>
      </c>
      <c r="R1857" s="101"/>
      <c r="U1857" s="101"/>
    </row>
    <row r="1858" ht="22.5" customHeight="1">
      <c r="A1858" s="49"/>
      <c r="C1858" s="192"/>
      <c r="D1858" s="192"/>
      <c r="E1858" s="69"/>
      <c r="F1858" s="243"/>
      <c r="G1858" s="69"/>
      <c r="H1858" s="69"/>
      <c r="I1858" s="140"/>
      <c r="J1858" s="446"/>
      <c r="K1858" s="140"/>
      <c r="L1858" s="140"/>
      <c r="M1858" s="140"/>
      <c r="N1858" s="74">
        <f t="shared" si="6"/>
        <v>0</v>
      </c>
      <c r="O1858" s="60">
        <f t="shared" si="2"/>
        <v>0</v>
      </c>
      <c r="P1858" s="65" t="str">
        <f>VLOOKUP(I1858,DATABASE!C:Q,11,FALSE)</f>
        <v>#N/A</v>
      </c>
      <c r="Q1858" s="65" t="str">
        <f>VLOOKUP(I1858,DATABASE!C:Q,4,FALSE)</f>
        <v>#N/A</v>
      </c>
      <c r="R1858" s="101"/>
      <c r="U1858" s="101"/>
    </row>
    <row r="1859" ht="22.5" customHeight="1">
      <c r="A1859" s="49"/>
      <c r="C1859" s="192"/>
      <c r="D1859" s="192"/>
      <c r="E1859" s="69"/>
      <c r="F1859" s="243"/>
      <c r="G1859" s="69"/>
      <c r="H1859" s="69"/>
      <c r="I1859" s="140"/>
      <c r="J1859" s="446"/>
      <c r="K1859" s="140"/>
      <c r="L1859" s="140"/>
      <c r="M1859" s="140"/>
      <c r="N1859" s="74">
        <f t="shared" si="6"/>
        <v>0</v>
      </c>
      <c r="O1859" s="60">
        <f t="shared" si="2"/>
        <v>0</v>
      </c>
      <c r="P1859" s="65" t="str">
        <f>VLOOKUP(I1859,DATABASE!C:Q,11,FALSE)</f>
        <v>#N/A</v>
      </c>
      <c r="Q1859" s="65" t="str">
        <f>VLOOKUP(I1859,DATABASE!C:Q,4,FALSE)</f>
        <v>#N/A</v>
      </c>
      <c r="R1859" s="101"/>
      <c r="U1859" s="101"/>
    </row>
    <row r="1860" ht="22.5" customHeight="1">
      <c r="A1860" s="49"/>
      <c r="C1860" s="192"/>
      <c r="D1860" s="192"/>
      <c r="E1860" s="69"/>
      <c r="F1860" s="243"/>
      <c r="G1860" s="69"/>
      <c r="H1860" s="69"/>
      <c r="I1860" s="140"/>
      <c r="J1860" s="446"/>
      <c r="K1860" s="140"/>
      <c r="L1860" s="140"/>
      <c r="M1860" s="140"/>
      <c r="N1860" s="74">
        <f t="shared" si="6"/>
        <v>0</v>
      </c>
      <c r="O1860" s="60">
        <f t="shared" si="2"/>
        <v>0</v>
      </c>
      <c r="P1860" s="65" t="str">
        <f>VLOOKUP(I1860,DATABASE!C:Q,11,FALSE)</f>
        <v>#N/A</v>
      </c>
      <c r="Q1860" s="65" t="str">
        <f>VLOOKUP(I1860,DATABASE!C:Q,4,FALSE)</f>
        <v>#N/A</v>
      </c>
      <c r="R1860" s="101"/>
      <c r="U1860" s="101"/>
    </row>
    <row r="1861" ht="22.5" customHeight="1">
      <c r="A1861" s="49"/>
      <c r="C1861" s="192"/>
      <c r="D1861" s="192"/>
      <c r="E1861" s="69"/>
      <c r="F1861" s="243"/>
      <c r="G1861" s="69"/>
      <c r="H1861" s="69"/>
      <c r="I1861" s="140"/>
      <c r="J1861" s="446"/>
      <c r="K1861" s="140"/>
      <c r="L1861" s="140"/>
      <c r="M1861" s="140"/>
      <c r="N1861" s="74">
        <f t="shared" si="6"/>
        <v>0</v>
      </c>
      <c r="O1861" s="60">
        <f t="shared" si="2"/>
        <v>0</v>
      </c>
      <c r="P1861" s="65" t="str">
        <f>VLOOKUP(I1861,DATABASE!C:Q,11,FALSE)</f>
        <v>#N/A</v>
      </c>
      <c r="Q1861" s="65" t="str">
        <f>VLOOKUP(I1861,DATABASE!C:Q,4,FALSE)</f>
        <v>#N/A</v>
      </c>
      <c r="R1861" s="101"/>
      <c r="U1861" s="101"/>
    </row>
    <row r="1862" ht="22.5" customHeight="1">
      <c r="A1862" s="49"/>
      <c r="C1862" s="192"/>
      <c r="D1862" s="192"/>
      <c r="E1862" s="69"/>
      <c r="F1862" s="243"/>
      <c r="G1862" s="69"/>
      <c r="H1862" s="69"/>
      <c r="I1862" s="140"/>
      <c r="J1862" s="446"/>
      <c r="K1862" s="140"/>
      <c r="L1862" s="140"/>
      <c r="M1862" s="140"/>
      <c r="N1862" s="74">
        <f t="shared" si="6"/>
        <v>0</v>
      </c>
      <c r="O1862" s="60">
        <f t="shared" si="2"/>
        <v>0</v>
      </c>
      <c r="P1862" s="65" t="str">
        <f>VLOOKUP(I1862,DATABASE!C:Q,11,FALSE)</f>
        <v>#N/A</v>
      </c>
      <c r="Q1862" s="65" t="str">
        <f>VLOOKUP(I1862,DATABASE!C:Q,4,FALSE)</f>
        <v>#N/A</v>
      </c>
      <c r="R1862" s="101"/>
      <c r="U1862" s="101"/>
    </row>
    <row r="1863" ht="22.5" customHeight="1">
      <c r="A1863" s="49"/>
      <c r="C1863" s="192"/>
      <c r="D1863" s="192"/>
      <c r="E1863" s="69"/>
      <c r="F1863" s="243"/>
      <c r="G1863" s="69"/>
      <c r="H1863" s="69"/>
      <c r="I1863" s="140"/>
      <c r="J1863" s="446"/>
      <c r="K1863" s="140"/>
      <c r="L1863" s="140"/>
      <c r="M1863" s="140"/>
      <c r="N1863" s="74">
        <f t="shared" si="6"/>
        <v>0</v>
      </c>
      <c r="O1863" s="60">
        <f t="shared" si="2"/>
        <v>0</v>
      </c>
      <c r="P1863" s="65" t="str">
        <f>VLOOKUP(I1863,DATABASE!C:Q,11,FALSE)</f>
        <v>#N/A</v>
      </c>
      <c r="Q1863" s="65" t="str">
        <f>VLOOKUP(I1863,DATABASE!C:Q,4,FALSE)</f>
        <v>#N/A</v>
      </c>
      <c r="R1863" s="101"/>
      <c r="U1863" s="101"/>
    </row>
    <row r="1864" ht="22.5" customHeight="1">
      <c r="A1864" s="49"/>
      <c r="C1864" s="192"/>
      <c r="D1864" s="192"/>
      <c r="E1864" s="69"/>
      <c r="F1864" s="243"/>
      <c r="G1864" s="69"/>
      <c r="H1864" s="69"/>
      <c r="I1864" s="140"/>
      <c r="J1864" s="446"/>
      <c r="K1864" s="140"/>
      <c r="L1864" s="140"/>
      <c r="M1864" s="140"/>
      <c r="N1864" s="74">
        <f t="shared" si="6"/>
        <v>0</v>
      </c>
      <c r="O1864" s="60">
        <f t="shared" si="2"/>
        <v>0</v>
      </c>
      <c r="P1864" s="65" t="str">
        <f>VLOOKUP(I1864,DATABASE!C:Q,11,FALSE)</f>
        <v>#N/A</v>
      </c>
      <c r="Q1864" s="65" t="str">
        <f>VLOOKUP(I1864,DATABASE!C:Q,4,FALSE)</f>
        <v>#N/A</v>
      </c>
      <c r="R1864" s="101"/>
      <c r="U1864" s="101"/>
    </row>
    <row r="1865" ht="22.5" customHeight="1">
      <c r="A1865" s="49"/>
      <c r="C1865" s="192"/>
      <c r="D1865" s="192"/>
      <c r="E1865" s="69"/>
      <c r="F1865" s="243"/>
      <c r="G1865" s="69"/>
      <c r="H1865" s="69"/>
      <c r="I1865" s="140"/>
      <c r="J1865" s="446"/>
      <c r="K1865" s="140"/>
      <c r="L1865" s="140"/>
      <c r="M1865" s="140"/>
      <c r="N1865" s="74">
        <f t="shared" si="6"/>
        <v>0</v>
      </c>
      <c r="O1865" s="60">
        <f t="shared" si="2"/>
        <v>0</v>
      </c>
      <c r="P1865" s="65" t="str">
        <f>VLOOKUP(I1865,DATABASE!C:Q,11,FALSE)</f>
        <v>#N/A</v>
      </c>
      <c r="Q1865" s="65" t="str">
        <f>VLOOKUP(I1865,DATABASE!C:Q,4,FALSE)</f>
        <v>#N/A</v>
      </c>
      <c r="R1865" s="101"/>
      <c r="U1865" s="101"/>
    </row>
    <row r="1866" ht="22.5" customHeight="1">
      <c r="A1866" s="49"/>
      <c r="C1866" s="192"/>
      <c r="D1866" s="192"/>
      <c r="E1866" s="69"/>
      <c r="F1866" s="243"/>
      <c r="G1866" s="69"/>
      <c r="H1866" s="69"/>
      <c r="I1866" s="140"/>
      <c r="J1866" s="446"/>
      <c r="K1866" s="140"/>
      <c r="L1866" s="140"/>
      <c r="M1866" s="140"/>
      <c r="N1866" s="74">
        <f t="shared" si="6"/>
        <v>0</v>
      </c>
      <c r="O1866" s="60">
        <f t="shared" si="2"/>
        <v>0</v>
      </c>
      <c r="P1866" s="65" t="str">
        <f>VLOOKUP(I1866,DATABASE!C:Q,11,FALSE)</f>
        <v>#N/A</v>
      </c>
      <c r="Q1866" s="65" t="str">
        <f>VLOOKUP(I1866,DATABASE!C:Q,4,FALSE)</f>
        <v>#N/A</v>
      </c>
      <c r="R1866" s="101"/>
      <c r="U1866" s="101"/>
    </row>
    <row r="1867" ht="22.5" customHeight="1">
      <c r="A1867" s="49"/>
      <c r="C1867" s="192"/>
      <c r="D1867" s="192"/>
      <c r="E1867" s="69"/>
      <c r="F1867" s="243"/>
      <c r="G1867" s="69"/>
      <c r="H1867" s="69"/>
      <c r="I1867" s="140"/>
      <c r="J1867" s="446"/>
      <c r="K1867" s="140"/>
      <c r="L1867" s="140"/>
      <c r="M1867" s="140"/>
      <c r="N1867" s="74">
        <f t="shared" si="6"/>
        <v>0</v>
      </c>
      <c r="O1867" s="60">
        <f t="shared" si="2"/>
        <v>0</v>
      </c>
      <c r="P1867" s="65" t="str">
        <f>VLOOKUP(I1867,DATABASE!C:Q,11,FALSE)</f>
        <v>#N/A</v>
      </c>
      <c r="Q1867" s="65" t="str">
        <f>VLOOKUP(I1867,DATABASE!C:Q,4,FALSE)</f>
        <v>#N/A</v>
      </c>
      <c r="R1867" s="101"/>
      <c r="U1867" s="101"/>
    </row>
    <row r="1868" ht="22.5" customHeight="1">
      <c r="A1868" s="49"/>
      <c r="C1868" s="192"/>
      <c r="D1868" s="192"/>
      <c r="E1868" s="69"/>
      <c r="F1868" s="243"/>
      <c r="G1868" s="69"/>
      <c r="H1868" s="69"/>
      <c r="I1868" s="140"/>
      <c r="J1868" s="446"/>
      <c r="K1868" s="140"/>
      <c r="L1868" s="140"/>
      <c r="M1868" s="140"/>
      <c r="N1868" s="74">
        <f t="shared" si="6"/>
        <v>0</v>
      </c>
      <c r="O1868" s="60">
        <f t="shared" si="2"/>
        <v>0</v>
      </c>
      <c r="P1868" s="65" t="str">
        <f>VLOOKUP(I1868,DATABASE!C:Q,11,FALSE)</f>
        <v>#N/A</v>
      </c>
      <c r="Q1868" s="65" t="str">
        <f>VLOOKUP(I1868,DATABASE!C:Q,4,FALSE)</f>
        <v>#N/A</v>
      </c>
      <c r="R1868" s="101"/>
      <c r="U1868" s="101"/>
    </row>
    <row r="1869" ht="22.5" customHeight="1">
      <c r="A1869" s="49"/>
      <c r="C1869" s="192"/>
      <c r="D1869" s="192"/>
      <c r="E1869" s="69"/>
      <c r="F1869" s="243"/>
      <c r="G1869" s="69"/>
      <c r="H1869" s="69"/>
      <c r="I1869" s="140"/>
      <c r="J1869" s="446"/>
      <c r="K1869" s="140"/>
      <c r="L1869" s="140"/>
      <c r="M1869" s="140"/>
      <c r="N1869" s="74">
        <f t="shared" si="6"/>
        <v>0</v>
      </c>
      <c r="O1869" s="60">
        <f t="shared" si="2"/>
        <v>0</v>
      </c>
      <c r="P1869" s="65" t="str">
        <f>VLOOKUP(I1869,DATABASE!C:Q,11,FALSE)</f>
        <v>#N/A</v>
      </c>
      <c r="Q1869" s="65" t="str">
        <f>VLOOKUP(I1869,DATABASE!C:Q,4,FALSE)</f>
        <v>#N/A</v>
      </c>
      <c r="R1869" s="101"/>
      <c r="U1869" s="101"/>
    </row>
    <row r="1870" ht="22.5" customHeight="1">
      <c r="A1870" s="49"/>
      <c r="C1870" s="192"/>
      <c r="D1870" s="192"/>
      <c r="E1870" s="69"/>
      <c r="F1870" s="243"/>
      <c r="G1870" s="69"/>
      <c r="H1870" s="69"/>
      <c r="I1870" s="140"/>
      <c r="J1870" s="446"/>
      <c r="K1870" s="140"/>
      <c r="L1870" s="140"/>
      <c r="M1870" s="140"/>
      <c r="N1870" s="74">
        <f t="shared" si="6"/>
        <v>0</v>
      </c>
      <c r="O1870" s="60">
        <f t="shared" si="2"/>
        <v>0</v>
      </c>
      <c r="P1870" s="65" t="str">
        <f>VLOOKUP(I1870,DATABASE!C:Q,11,FALSE)</f>
        <v>#N/A</v>
      </c>
      <c r="Q1870" s="65" t="str">
        <f>VLOOKUP(I1870,DATABASE!C:Q,4,FALSE)</f>
        <v>#N/A</v>
      </c>
      <c r="R1870" s="101"/>
      <c r="U1870" s="101"/>
    </row>
    <row r="1871" ht="22.5" customHeight="1">
      <c r="A1871" s="49"/>
      <c r="C1871" s="192"/>
      <c r="D1871" s="192"/>
      <c r="E1871" s="69"/>
      <c r="F1871" s="243"/>
      <c r="G1871" s="69"/>
      <c r="H1871" s="69"/>
      <c r="I1871" s="140"/>
      <c r="J1871" s="446"/>
      <c r="K1871" s="140"/>
      <c r="L1871" s="140"/>
      <c r="M1871" s="140"/>
      <c r="N1871" s="74">
        <f t="shared" si="6"/>
        <v>0</v>
      </c>
      <c r="O1871" s="60">
        <f t="shared" si="2"/>
        <v>0</v>
      </c>
      <c r="P1871" s="65" t="str">
        <f>VLOOKUP(I1871,DATABASE!C:Q,11,FALSE)</f>
        <v>#N/A</v>
      </c>
      <c r="Q1871" s="65" t="str">
        <f>VLOOKUP(I1871,DATABASE!C:Q,4,FALSE)</f>
        <v>#N/A</v>
      </c>
      <c r="R1871" s="101"/>
      <c r="U1871" s="101"/>
    </row>
    <row r="1872" ht="22.5" customHeight="1">
      <c r="A1872" s="49"/>
      <c r="C1872" s="192"/>
      <c r="D1872" s="192"/>
      <c r="E1872" s="69"/>
      <c r="F1872" s="243"/>
      <c r="G1872" s="69"/>
      <c r="H1872" s="69"/>
      <c r="I1872" s="140"/>
      <c r="J1872" s="446"/>
      <c r="K1872" s="140"/>
      <c r="L1872" s="140"/>
      <c r="M1872" s="140"/>
      <c r="N1872" s="74">
        <f t="shared" si="6"/>
        <v>0</v>
      </c>
      <c r="O1872" s="60">
        <f t="shared" si="2"/>
        <v>0</v>
      </c>
      <c r="P1872" s="65" t="str">
        <f>VLOOKUP(I1872,DATABASE!C:Q,11,FALSE)</f>
        <v>#N/A</v>
      </c>
      <c r="Q1872" s="65" t="str">
        <f>VLOOKUP(I1872,DATABASE!C:Q,4,FALSE)</f>
        <v>#N/A</v>
      </c>
      <c r="R1872" s="101"/>
      <c r="U1872" s="101"/>
    </row>
    <row r="1873" ht="22.5" customHeight="1">
      <c r="A1873" s="49"/>
      <c r="C1873" s="192"/>
      <c r="D1873" s="192"/>
      <c r="E1873" s="69"/>
      <c r="F1873" s="243"/>
      <c r="G1873" s="69"/>
      <c r="H1873" s="69"/>
      <c r="I1873" s="140"/>
      <c r="J1873" s="446"/>
      <c r="K1873" s="140"/>
      <c r="L1873" s="140"/>
      <c r="M1873" s="140"/>
      <c r="N1873" s="74">
        <f t="shared" si="6"/>
        <v>0</v>
      </c>
      <c r="O1873" s="60">
        <f t="shared" si="2"/>
        <v>0</v>
      </c>
      <c r="P1873" s="65" t="str">
        <f>VLOOKUP(I1873,DATABASE!C:Q,11,FALSE)</f>
        <v>#N/A</v>
      </c>
      <c r="Q1873" s="65" t="str">
        <f>VLOOKUP(I1873,DATABASE!C:Q,4,FALSE)</f>
        <v>#N/A</v>
      </c>
      <c r="R1873" s="101"/>
      <c r="U1873" s="101"/>
    </row>
    <row r="1874" ht="22.5" customHeight="1">
      <c r="A1874" s="49"/>
      <c r="C1874" s="192"/>
      <c r="D1874" s="192"/>
      <c r="E1874" s="69"/>
      <c r="F1874" s="243"/>
      <c r="G1874" s="69"/>
      <c r="H1874" s="69"/>
      <c r="I1874" s="140"/>
      <c r="J1874" s="446"/>
      <c r="K1874" s="140"/>
      <c r="L1874" s="140"/>
      <c r="M1874" s="140"/>
      <c r="N1874" s="74">
        <f t="shared" si="6"/>
        <v>0</v>
      </c>
      <c r="O1874" s="60">
        <f t="shared" si="2"/>
        <v>0</v>
      </c>
      <c r="P1874" s="65" t="str">
        <f>VLOOKUP(I1874,DATABASE!C:Q,11,FALSE)</f>
        <v>#N/A</v>
      </c>
      <c r="Q1874" s="65" t="str">
        <f>VLOOKUP(I1874,DATABASE!C:Q,4,FALSE)</f>
        <v>#N/A</v>
      </c>
      <c r="R1874" s="101"/>
      <c r="U1874" s="101"/>
    </row>
    <row r="1875" ht="22.5" customHeight="1">
      <c r="A1875" s="49"/>
      <c r="C1875" s="192"/>
      <c r="D1875" s="192"/>
      <c r="E1875" s="69"/>
      <c r="F1875" s="243"/>
      <c r="G1875" s="69"/>
      <c r="H1875" s="69"/>
      <c r="I1875" s="140"/>
      <c r="J1875" s="446"/>
      <c r="K1875" s="140"/>
      <c r="L1875" s="140"/>
      <c r="M1875" s="140"/>
      <c r="N1875" s="74">
        <f t="shared" si="6"/>
        <v>0</v>
      </c>
      <c r="O1875" s="60">
        <f t="shared" si="2"/>
        <v>0</v>
      </c>
      <c r="P1875" s="65" t="str">
        <f>VLOOKUP(I1875,DATABASE!C:Q,11,FALSE)</f>
        <v>#N/A</v>
      </c>
      <c r="Q1875" s="65" t="str">
        <f>VLOOKUP(I1875,DATABASE!C:Q,4,FALSE)</f>
        <v>#N/A</v>
      </c>
      <c r="R1875" s="101"/>
      <c r="U1875" s="101"/>
    </row>
    <row r="1876" ht="22.5" customHeight="1">
      <c r="A1876" s="49"/>
      <c r="C1876" s="192"/>
      <c r="D1876" s="192"/>
      <c r="E1876" s="69"/>
      <c r="F1876" s="243"/>
      <c r="G1876" s="69"/>
      <c r="H1876" s="69"/>
      <c r="I1876" s="140"/>
      <c r="J1876" s="446"/>
      <c r="K1876" s="140"/>
      <c r="L1876" s="140"/>
      <c r="M1876" s="140"/>
      <c r="N1876" s="74">
        <f t="shared" si="6"/>
        <v>0</v>
      </c>
      <c r="O1876" s="60">
        <f t="shared" si="2"/>
        <v>0</v>
      </c>
      <c r="P1876" s="65" t="str">
        <f>VLOOKUP(I1876,DATABASE!C:Q,11,FALSE)</f>
        <v>#N/A</v>
      </c>
      <c r="Q1876" s="65" t="str">
        <f>VLOOKUP(I1876,DATABASE!C:Q,4,FALSE)</f>
        <v>#N/A</v>
      </c>
      <c r="R1876" s="101"/>
      <c r="U1876" s="101"/>
    </row>
    <row r="1877" ht="22.5" customHeight="1">
      <c r="A1877" s="49"/>
      <c r="C1877" s="192"/>
      <c r="D1877" s="192"/>
      <c r="E1877" s="69"/>
      <c r="F1877" s="243"/>
      <c r="G1877" s="69"/>
      <c r="H1877" s="69"/>
      <c r="I1877" s="140"/>
      <c r="J1877" s="446"/>
      <c r="K1877" s="140"/>
      <c r="L1877" s="140"/>
      <c r="M1877" s="140"/>
      <c r="N1877" s="74">
        <f t="shared" si="6"/>
        <v>0</v>
      </c>
      <c r="O1877" s="60">
        <f t="shared" si="2"/>
        <v>0</v>
      </c>
      <c r="P1877" s="65" t="str">
        <f>VLOOKUP(I1877,DATABASE!C:Q,11,FALSE)</f>
        <v>#N/A</v>
      </c>
      <c r="Q1877" s="65" t="str">
        <f>VLOOKUP(I1877,DATABASE!C:Q,4,FALSE)</f>
        <v>#N/A</v>
      </c>
      <c r="R1877" s="101"/>
      <c r="U1877" s="101"/>
    </row>
    <row r="1878" ht="22.5" customHeight="1">
      <c r="A1878" s="49"/>
      <c r="C1878" s="192"/>
      <c r="D1878" s="192"/>
      <c r="E1878" s="69"/>
      <c r="F1878" s="243"/>
      <c r="G1878" s="69"/>
      <c r="H1878" s="69"/>
      <c r="I1878" s="140"/>
      <c r="J1878" s="446"/>
      <c r="K1878" s="140"/>
      <c r="L1878" s="140"/>
      <c r="M1878" s="140"/>
      <c r="N1878" s="74">
        <f t="shared" si="6"/>
        <v>0</v>
      </c>
      <c r="O1878" s="60">
        <f t="shared" si="2"/>
        <v>0</v>
      </c>
      <c r="P1878" s="65" t="str">
        <f>VLOOKUP(I1878,DATABASE!C:Q,11,FALSE)</f>
        <v>#N/A</v>
      </c>
      <c r="Q1878" s="65" t="str">
        <f>VLOOKUP(I1878,DATABASE!C:Q,4,FALSE)</f>
        <v>#N/A</v>
      </c>
      <c r="R1878" s="101"/>
      <c r="U1878" s="101"/>
    </row>
    <row r="1879" ht="22.5" customHeight="1">
      <c r="A1879" s="49"/>
      <c r="C1879" s="192"/>
      <c r="D1879" s="192"/>
      <c r="E1879" s="69"/>
      <c r="F1879" s="243"/>
      <c r="G1879" s="69"/>
      <c r="H1879" s="69"/>
      <c r="I1879" s="140"/>
      <c r="J1879" s="446"/>
      <c r="K1879" s="140"/>
      <c r="L1879" s="140"/>
      <c r="M1879" s="140"/>
      <c r="N1879" s="74">
        <f t="shared" si="6"/>
        <v>0</v>
      </c>
      <c r="O1879" s="60">
        <f t="shared" si="2"/>
        <v>0</v>
      </c>
      <c r="P1879" s="65" t="str">
        <f>VLOOKUP(I1879,DATABASE!C:Q,11,FALSE)</f>
        <v>#N/A</v>
      </c>
      <c r="Q1879" s="65" t="str">
        <f>VLOOKUP(I1879,DATABASE!C:Q,4,FALSE)</f>
        <v>#N/A</v>
      </c>
      <c r="R1879" s="101"/>
      <c r="U1879" s="101"/>
    </row>
    <row r="1880" ht="22.5" customHeight="1">
      <c r="A1880" s="49"/>
      <c r="C1880" s="192"/>
      <c r="D1880" s="192"/>
      <c r="E1880" s="69"/>
      <c r="F1880" s="243"/>
      <c r="G1880" s="69"/>
      <c r="H1880" s="69"/>
      <c r="I1880" s="140"/>
      <c r="J1880" s="446"/>
      <c r="K1880" s="140"/>
      <c r="L1880" s="140"/>
      <c r="M1880" s="140"/>
      <c r="N1880" s="74">
        <f t="shared" si="6"/>
        <v>0</v>
      </c>
      <c r="O1880" s="60">
        <f t="shared" si="2"/>
        <v>0</v>
      </c>
      <c r="P1880" s="65" t="str">
        <f>VLOOKUP(I1880,DATABASE!C:Q,11,FALSE)</f>
        <v>#N/A</v>
      </c>
      <c r="Q1880" s="65" t="str">
        <f>VLOOKUP(I1880,DATABASE!C:Q,4,FALSE)</f>
        <v>#N/A</v>
      </c>
      <c r="R1880" s="101"/>
      <c r="U1880" s="101"/>
    </row>
    <row r="1881" ht="22.5" customHeight="1">
      <c r="A1881" s="49"/>
      <c r="C1881" s="192"/>
      <c r="D1881" s="192"/>
      <c r="E1881" s="69"/>
      <c r="F1881" s="243"/>
      <c r="G1881" s="69"/>
      <c r="H1881" s="69"/>
      <c r="I1881" s="140"/>
      <c r="J1881" s="446"/>
      <c r="K1881" s="140"/>
      <c r="L1881" s="140"/>
      <c r="M1881" s="140"/>
      <c r="N1881" s="74">
        <f t="shared" si="6"/>
        <v>0</v>
      </c>
      <c r="O1881" s="60">
        <f t="shared" si="2"/>
        <v>0</v>
      </c>
      <c r="P1881" s="65" t="str">
        <f>VLOOKUP(I1881,DATABASE!C:Q,11,FALSE)</f>
        <v>#N/A</v>
      </c>
      <c r="Q1881" s="65" t="str">
        <f>VLOOKUP(I1881,DATABASE!C:Q,4,FALSE)</f>
        <v>#N/A</v>
      </c>
      <c r="R1881" s="101"/>
      <c r="U1881" s="101"/>
    </row>
    <row r="1882" ht="22.5" customHeight="1">
      <c r="A1882" s="49"/>
      <c r="C1882" s="192"/>
      <c r="D1882" s="192"/>
      <c r="E1882" s="69"/>
      <c r="F1882" s="243"/>
      <c r="G1882" s="69"/>
      <c r="H1882" s="69"/>
      <c r="I1882" s="140"/>
      <c r="J1882" s="446"/>
      <c r="K1882" s="140"/>
      <c r="L1882" s="140"/>
      <c r="M1882" s="140"/>
      <c r="N1882" s="74">
        <f t="shared" si="6"/>
        <v>0</v>
      </c>
      <c r="O1882" s="60">
        <f t="shared" si="2"/>
        <v>0</v>
      </c>
      <c r="P1882" s="65" t="str">
        <f>VLOOKUP(I1882,DATABASE!C:Q,11,FALSE)</f>
        <v>#N/A</v>
      </c>
      <c r="Q1882" s="65" t="str">
        <f>VLOOKUP(I1882,DATABASE!C:Q,4,FALSE)</f>
        <v>#N/A</v>
      </c>
      <c r="R1882" s="101"/>
      <c r="U1882" s="101"/>
    </row>
    <row r="1883" ht="22.5" customHeight="1">
      <c r="A1883" s="49"/>
      <c r="C1883" s="192"/>
      <c r="D1883" s="192"/>
      <c r="E1883" s="69"/>
      <c r="F1883" s="243"/>
      <c r="G1883" s="69"/>
      <c r="H1883" s="69"/>
      <c r="I1883" s="140"/>
      <c r="J1883" s="446"/>
      <c r="K1883" s="140"/>
      <c r="L1883" s="140"/>
      <c r="M1883" s="140"/>
      <c r="N1883" s="74">
        <f t="shared" si="6"/>
        <v>0</v>
      </c>
      <c r="O1883" s="60">
        <f t="shared" si="2"/>
        <v>0</v>
      </c>
      <c r="P1883" s="65" t="str">
        <f>VLOOKUP(I1883,DATABASE!C:Q,11,FALSE)</f>
        <v>#N/A</v>
      </c>
      <c r="Q1883" s="65" t="str">
        <f>VLOOKUP(I1883,DATABASE!C:Q,4,FALSE)</f>
        <v>#N/A</v>
      </c>
      <c r="R1883" s="101"/>
      <c r="U1883" s="101"/>
    </row>
    <row r="1884" ht="22.5" customHeight="1">
      <c r="A1884" s="49"/>
      <c r="C1884" s="192"/>
      <c r="D1884" s="192"/>
      <c r="E1884" s="69"/>
      <c r="F1884" s="243"/>
      <c r="G1884" s="69"/>
      <c r="H1884" s="69"/>
      <c r="I1884" s="140"/>
      <c r="J1884" s="446"/>
      <c r="K1884" s="140"/>
      <c r="L1884" s="140"/>
      <c r="M1884" s="140"/>
      <c r="N1884" s="74">
        <f t="shared" si="6"/>
        <v>0</v>
      </c>
      <c r="O1884" s="60">
        <f t="shared" si="2"/>
        <v>0</v>
      </c>
      <c r="P1884" s="65" t="str">
        <f>VLOOKUP(I1884,DATABASE!C:Q,11,FALSE)</f>
        <v>#N/A</v>
      </c>
      <c r="Q1884" s="65" t="str">
        <f>VLOOKUP(I1884,DATABASE!C:Q,4,FALSE)</f>
        <v>#N/A</v>
      </c>
      <c r="R1884" s="101"/>
      <c r="U1884" s="101"/>
    </row>
    <row r="1885" ht="22.5" customHeight="1">
      <c r="A1885" s="49"/>
      <c r="C1885" s="192"/>
      <c r="D1885" s="192"/>
      <c r="E1885" s="69"/>
      <c r="F1885" s="243"/>
      <c r="G1885" s="69"/>
      <c r="H1885" s="69"/>
      <c r="I1885" s="140"/>
      <c r="J1885" s="446"/>
      <c r="K1885" s="140"/>
      <c r="L1885" s="140"/>
      <c r="M1885" s="140"/>
      <c r="N1885" s="74">
        <f t="shared" si="6"/>
        <v>0</v>
      </c>
      <c r="O1885" s="60">
        <f t="shared" si="2"/>
        <v>0</v>
      </c>
      <c r="P1885" s="65" t="str">
        <f>VLOOKUP(I1885,DATABASE!C:Q,11,FALSE)</f>
        <v>#N/A</v>
      </c>
      <c r="Q1885" s="65" t="str">
        <f>VLOOKUP(I1885,DATABASE!C:Q,4,FALSE)</f>
        <v>#N/A</v>
      </c>
      <c r="R1885" s="101"/>
      <c r="U1885" s="101"/>
    </row>
    <row r="1886" ht="22.5" customHeight="1">
      <c r="A1886" s="49"/>
      <c r="C1886" s="192"/>
      <c r="D1886" s="192"/>
      <c r="E1886" s="69"/>
      <c r="F1886" s="243"/>
      <c r="G1886" s="69"/>
      <c r="H1886" s="69"/>
      <c r="I1886" s="140"/>
      <c r="J1886" s="446"/>
      <c r="K1886" s="140"/>
      <c r="L1886" s="140"/>
      <c r="M1886" s="140"/>
      <c r="N1886" s="74">
        <f t="shared" si="6"/>
        <v>0</v>
      </c>
      <c r="O1886" s="60">
        <f t="shared" si="2"/>
        <v>0</v>
      </c>
      <c r="P1886" s="65" t="str">
        <f>VLOOKUP(I1886,DATABASE!C:Q,11,FALSE)</f>
        <v>#N/A</v>
      </c>
      <c r="Q1886" s="65" t="str">
        <f>VLOOKUP(I1886,DATABASE!C:Q,4,FALSE)</f>
        <v>#N/A</v>
      </c>
      <c r="R1886" s="101"/>
      <c r="U1886" s="101"/>
    </row>
    <row r="1887" ht="22.5" customHeight="1">
      <c r="A1887" s="49"/>
      <c r="C1887" s="192"/>
      <c r="D1887" s="192"/>
      <c r="E1887" s="69"/>
      <c r="F1887" s="243"/>
      <c r="G1887" s="69"/>
      <c r="H1887" s="69"/>
      <c r="I1887" s="140"/>
      <c r="J1887" s="446"/>
      <c r="K1887" s="140"/>
      <c r="L1887" s="140"/>
      <c r="M1887" s="140"/>
      <c r="N1887" s="74">
        <f t="shared" si="6"/>
        <v>0</v>
      </c>
      <c r="O1887" s="60">
        <f t="shared" si="2"/>
        <v>0</v>
      </c>
      <c r="P1887" s="65" t="str">
        <f>VLOOKUP(I1887,DATABASE!C:Q,11,FALSE)</f>
        <v>#N/A</v>
      </c>
      <c r="Q1887" s="65" t="str">
        <f>VLOOKUP(I1887,DATABASE!C:Q,4,FALSE)</f>
        <v>#N/A</v>
      </c>
      <c r="R1887" s="101"/>
      <c r="U1887" s="101"/>
    </row>
    <row r="1888" ht="22.5" customHeight="1">
      <c r="A1888" s="49"/>
      <c r="C1888" s="192"/>
      <c r="D1888" s="192"/>
      <c r="E1888" s="69"/>
      <c r="F1888" s="243"/>
      <c r="G1888" s="69"/>
      <c r="H1888" s="69"/>
      <c r="I1888" s="140"/>
      <c r="J1888" s="446"/>
      <c r="K1888" s="140"/>
      <c r="L1888" s="140"/>
      <c r="M1888" s="140"/>
      <c r="N1888" s="74">
        <f t="shared" si="6"/>
        <v>0</v>
      </c>
      <c r="O1888" s="60">
        <f t="shared" si="2"/>
        <v>0</v>
      </c>
      <c r="P1888" s="65" t="str">
        <f>VLOOKUP(I1888,DATABASE!C:Q,11,FALSE)</f>
        <v>#N/A</v>
      </c>
      <c r="Q1888" s="65" t="str">
        <f>VLOOKUP(I1888,DATABASE!C:Q,4,FALSE)</f>
        <v>#N/A</v>
      </c>
      <c r="R1888" s="101"/>
      <c r="U1888" s="101"/>
    </row>
    <row r="1889" ht="22.5" customHeight="1">
      <c r="A1889" s="49"/>
      <c r="C1889" s="192"/>
      <c r="D1889" s="192"/>
      <c r="E1889" s="69"/>
      <c r="F1889" s="243"/>
      <c r="G1889" s="69"/>
      <c r="H1889" s="69"/>
      <c r="I1889" s="140"/>
      <c r="J1889" s="446"/>
      <c r="K1889" s="140"/>
      <c r="L1889" s="140"/>
      <c r="M1889" s="140"/>
      <c r="N1889" s="74">
        <f t="shared" si="6"/>
        <v>0</v>
      </c>
      <c r="O1889" s="60">
        <f t="shared" si="2"/>
        <v>0</v>
      </c>
      <c r="P1889" s="65" t="str">
        <f>VLOOKUP(I1889,DATABASE!C:Q,11,FALSE)</f>
        <v>#N/A</v>
      </c>
      <c r="Q1889" s="65" t="str">
        <f>VLOOKUP(I1889,DATABASE!C:Q,4,FALSE)</f>
        <v>#N/A</v>
      </c>
      <c r="R1889" s="101"/>
      <c r="U1889" s="101"/>
    </row>
    <row r="1890" ht="22.5" customHeight="1">
      <c r="A1890" s="49"/>
      <c r="C1890" s="192"/>
      <c r="D1890" s="192"/>
      <c r="E1890" s="69"/>
      <c r="F1890" s="243"/>
      <c r="G1890" s="69"/>
      <c r="H1890" s="69"/>
      <c r="I1890" s="140"/>
      <c r="J1890" s="446"/>
      <c r="K1890" s="140"/>
      <c r="L1890" s="140"/>
      <c r="M1890" s="140"/>
      <c r="N1890" s="74">
        <f t="shared" si="6"/>
        <v>0</v>
      </c>
      <c r="O1890" s="60">
        <f t="shared" si="2"/>
        <v>0</v>
      </c>
      <c r="P1890" s="65" t="str">
        <f>VLOOKUP(I1890,DATABASE!C:Q,11,FALSE)</f>
        <v>#N/A</v>
      </c>
      <c r="Q1890" s="65" t="str">
        <f>VLOOKUP(I1890,DATABASE!C:Q,4,FALSE)</f>
        <v>#N/A</v>
      </c>
      <c r="R1890" s="101"/>
      <c r="U1890" s="101"/>
    </row>
    <row r="1891" ht="22.5" customHeight="1">
      <c r="A1891" s="49"/>
      <c r="C1891" s="192"/>
      <c r="D1891" s="192"/>
      <c r="E1891" s="69"/>
      <c r="F1891" s="243"/>
      <c r="G1891" s="69"/>
      <c r="H1891" s="69"/>
      <c r="I1891" s="140"/>
      <c r="J1891" s="446"/>
      <c r="K1891" s="140"/>
      <c r="L1891" s="140"/>
      <c r="M1891" s="140"/>
      <c r="N1891" s="74">
        <f t="shared" si="6"/>
        <v>0</v>
      </c>
      <c r="O1891" s="60">
        <f t="shared" si="2"/>
        <v>0</v>
      </c>
      <c r="P1891" s="65" t="str">
        <f>VLOOKUP(I1891,DATABASE!C:Q,11,FALSE)</f>
        <v>#N/A</v>
      </c>
      <c r="Q1891" s="65" t="str">
        <f>VLOOKUP(I1891,DATABASE!C:Q,4,FALSE)</f>
        <v>#N/A</v>
      </c>
      <c r="R1891" s="101"/>
      <c r="U1891" s="101"/>
    </row>
    <row r="1892" ht="22.5" customHeight="1">
      <c r="A1892" s="49"/>
      <c r="C1892" s="192"/>
      <c r="D1892" s="192"/>
      <c r="E1892" s="69"/>
      <c r="F1892" s="243"/>
      <c r="G1892" s="69"/>
      <c r="H1892" s="69"/>
      <c r="I1892" s="140"/>
      <c r="J1892" s="446"/>
      <c r="K1892" s="140"/>
      <c r="L1892" s="140"/>
      <c r="M1892" s="140"/>
      <c r="N1892" s="74">
        <f t="shared" si="6"/>
        <v>0</v>
      </c>
      <c r="O1892" s="60">
        <f t="shared" si="2"/>
        <v>0</v>
      </c>
      <c r="P1892" s="65" t="str">
        <f>VLOOKUP(I1892,DATABASE!C:Q,11,FALSE)</f>
        <v>#N/A</v>
      </c>
      <c r="Q1892" s="65" t="str">
        <f>VLOOKUP(I1892,DATABASE!C:Q,4,FALSE)</f>
        <v>#N/A</v>
      </c>
      <c r="R1892" s="101"/>
      <c r="U1892" s="101"/>
    </row>
    <row r="1893" ht="22.5" customHeight="1">
      <c r="A1893" s="49"/>
      <c r="C1893" s="192"/>
      <c r="D1893" s="192"/>
      <c r="E1893" s="69"/>
      <c r="F1893" s="243"/>
      <c r="G1893" s="69"/>
      <c r="H1893" s="69"/>
      <c r="I1893" s="140"/>
      <c r="J1893" s="446"/>
      <c r="K1893" s="140"/>
      <c r="L1893" s="140"/>
      <c r="M1893" s="140"/>
      <c r="N1893" s="74">
        <f t="shared" si="6"/>
        <v>0</v>
      </c>
      <c r="O1893" s="60">
        <f t="shared" si="2"/>
        <v>0</v>
      </c>
      <c r="P1893" s="65" t="str">
        <f>VLOOKUP(I1893,DATABASE!C:Q,11,FALSE)</f>
        <v>#N/A</v>
      </c>
      <c r="Q1893" s="65" t="str">
        <f>VLOOKUP(I1893,DATABASE!C:Q,4,FALSE)</f>
        <v>#N/A</v>
      </c>
      <c r="R1893" s="101"/>
      <c r="U1893" s="101"/>
    </row>
    <row r="1894" ht="22.5" customHeight="1">
      <c r="A1894" s="49"/>
      <c r="C1894" s="192"/>
      <c r="D1894" s="192"/>
      <c r="E1894" s="69"/>
      <c r="F1894" s="243"/>
      <c r="G1894" s="69"/>
      <c r="H1894" s="69"/>
      <c r="I1894" s="140"/>
      <c r="J1894" s="446"/>
      <c r="K1894" s="140"/>
      <c r="L1894" s="140"/>
      <c r="M1894" s="140"/>
      <c r="N1894" s="74">
        <f t="shared" si="6"/>
        <v>0</v>
      </c>
      <c r="O1894" s="60">
        <f t="shared" si="2"/>
        <v>0</v>
      </c>
      <c r="P1894" s="65" t="str">
        <f>VLOOKUP(I1894,DATABASE!C:Q,11,FALSE)</f>
        <v>#N/A</v>
      </c>
      <c r="Q1894" s="65" t="str">
        <f>VLOOKUP(I1894,DATABASE!C:Q,4,FALSE)</f>
        <v>#N/A</v>
      </c>
      <c r="R1894" s="101"/>
      <c r="U1894" s="101"/>
    </row>
    <row r="1895" ht="22.5" customHeight="1">
      <c r="A1895" s="49"/>
      <c r="C1895" s="192"/>
      <c r="D1895" s="192"/>
      <c r="E1895" s="69"/>
      <c r="F1895" s="243"/>
      <c r="G1895" s="69"/>
      <c r="H1895" s="69"/>
      <c r="I1895" s="140"/>
      <c r="J1895" s="446"/>
      <c r="K1895" s="140"/>
      <c r="L1895" s="140"/>
      <c r="M1895" s="140"/>
      <c r="N1895" s="74">
        <f t="shared" si="6"/>
        <v>0</v>
      </c>
      <c r="O1895" s="60">
        <f t="shared" si="2"/>
        <v>0</v>
      </c>
      <c r="P1895" s="65" t="str">
        <f>VLOOKUP(I1895,DATABASE!C:Q,11,FALSE)</f>
        <v>#N/A</v>
      </c>
      <c r="Q1895" s="65" t="str">
        <f>VLOOKUP(I1895,DATABASE!C:Q,4,FALSE)</f>
        <v>#N/A</v>
      </c>
      <c r="R1895" s="101"/>
      <c r="U1895" s="101"/>
    </row>
    <row r="1896" ht="22.5" customHeight="1">
      <c r="A1896" s="49"/>
      <c r="C1896" s="192"/>
      <c r="D1896" s="192"/>
      <c r="E1896" s="69"/>
      <c r="F1896" s="243"/>
      <c r="G1896" s="69"/>
      <c r="H1896" s="69"/>
      <c r="I1896" s="140"/>
      <c r="J1896" s="446"/>
      <c r="K1896" s="140"/>
      <c r="L1896" s="140"/>
      <c r="M1896" s="140"/>
      <c r="N1896" s="74">
        <f t="shared" si="6"/>
        <v>0</v>
      </c>
      <c r="O1896" s="60">
        <f t="shared" si="2"/>
        <v>0</v>
      </c>
      <c r="P1896" s="65" t="str">
        <f>VLOOKUP(I1896,DATABASE!C:Q,11,FALSE)</f>
        <v>#N/A</v>
      </c>
      <c r="Q1896" s="65" t="str">
        <f>VLOOKUP(I1896,DATABASE!C:Q,4,FALSE)</f>
        <v>#N/A</v>
      </c>
      <c r="R1896" s="101"/>
      <c r="U1896" s="101"/>
    </row>
    <row r="1897" ht="22.5" customHeight="1">
      <c r="A1897" s="49"/>
      <c r="C1897" s="192"/>
      <c r="D1897" s="192"/>
      <c r="E1897" s="69"/>
      <c r="F1897" s="243"/>
      <c r="G1897" s="69"/>
      <c r="H1897" s="69"/>
      <c r="I1897" s="140"/>
      <c r="J1897" s="446"/>
      <c r="K1897" s="140"/>
      <c r="L1897" s="140"/>
      <c r="M1897" s="140"/>
      <c r="N1897" s="74">
        <f t="shared" si="6"/>
        <v>0</v>
      </c>
      <c r="O1897" s="60">
        <f t="shared" si="2"/>
        <v>0</v>
      </c>
      <c r="P1897" s="65" t="str">
        <f>VLOOKUP(I1897,DATABASE!C:Q,11,FALSE)</f>
        <v>#N/A</v>
      </c>
      <c r="Q1897" s="65" t="str">
        <f>VLOOKUP(I1897,DATABASE!C:Q,4,FALSE)</f>
        <v>#N/A</v>
      </c>
      <c r="R1897" s="101"/>
      <c r="U1897" s="101"/>
    </row>
    <row r="1898" ht="22.5" customHeight="1">
      <c r="A1898" s="49"/>
      <c r="C1898" s="192"/>
      <c r="D1898" s="192"/>
      <c r="E1898" s="69"/>
      <c r="F1898" s="243"/>
      <c r="G1898" s="69"/>
      <c r="H1898" s="69"/>
      <c r="I1898" s="140"/>
      <c r="J1898" s="446"/>
      <c r="K1898" s="140"/>
      <c r="L1898" s="140"/>
      <c r="M1898" s="140"/>
      <c r="N1898" s="74">
        <f t="shared" si="6"/>
        <v>0</v>
      </c>
      <c r="O1898" s="60">
        <f t="shared" si="2"/>
        <v>0</v>
      </c>
      <c r="P1898" s="65" t="str">
        <f>VLOOKUP(I1898,DATABASE!C:Q,11,FALSE)</f>
        <v>#N/A</v>
      </c>
      <c r="Q1898" s="65" t="str">
        <f>VLOOKUP(I1898,DATABASE!C:Q,4,FALSE)</f>
        <v>#N/A</v>
      </c>
      <c r="R1898" s="101"/>
      <c r="U1898" s="101"/>
    </row>
    <row r="1899" ht="22.5" customHeight="1">
      <c r="A1899" s="49"/>
      <c r="C1899" s="192"/>
      <c r="D1899" s="192"/>
      <c r="E1899" s="69"/>
      <c r="F1899" s="243"/>
      <c r="G1899" s="69"/>
      <c r="H1899" s="69"/>
      <c r="I1899" s="140"/>
      <c r="J1899" s="446"/>
      <c r="K1899" s="140"/>
      <c r="L1899" s="140"/>
      <c r="M1899" s="140"/>
      <c r="N1899" s="74">
        <f t="shared" si="6"/>
        <v>0</v>
      </c>
      <c r="O1899" s="60">
        <f t="shared" si="2"/>
        <v>0</v>
      </c>
      <c r="P1899" s="65" t="str">
        <f>VLOOKUP(I1899,DATABASE!C:Q,11,FALSE)</f>
        <v>#N/A</v>
      </c>
      <c r="Q1899" s="65" t="str">
        <f>VLOOKUP(I1899,DATABASE!C:Q,4,FALSE)</f>
        <v>#N/A</v>
      </c>
      <c r="R1899" s="101"/>
      <c r="U1899" s="101"/>
    </row>
    <row r="1900" ht="22.5" customHeight="1">
      <c r="A1900" s="49"/>
      <c r="C1900" s="192"/>
      <c r="D1900" s="192"/>
      <c r="E1900" s="69"/>
      <c r="F1900" s="243"/>
      <c r="G1900" s="69"/>
      <c r="H1900" s="69"/>
      <c r="I1900" s="140"/>
      <c r="J1900" s="446"/>
      <c r="K1900" s="140"/>
      <c r="L1900" s="140"/>
      <c r="M1900" s="140"/>
      <c r="N1900" s="74">
        <f t="shared" si="6"/>
        <v>0</v>
      </c>
      <c r="O1900" s="60">
        <f t="shared" si="2"/>
        <v>0</v>
      </c>
      <c r="P1900" s="65" t="str">
        <f>VLOOKUP(I1900,DATABASE!C:Q,11,FALSE)</f>
        <v>#N/A</v>
      </c>
      <c r="Q1900" s="65" t="str">
        <f>VLOOKUP(I1900,DATABASE!C:Q,4,FALSE)</f>
        <v>#N/A</v>
      </c>
      <c r="R1900" s="101"/>
      <c r="U1900" s="101"/>
    </row>
    <row r="1901" ht="22.5" customHeight="1">
      <c r="A1901" s="49"/>
      <c r="C1901" s="192"/>
      <c r="D1901" s="192"/>
      <c r="E1901" s="69"/>
      <c r="F1901" s="243"/>
      <c r="G1901" s="69"/>
      <c r="H1901" s="69"/>
      <c r="I1901" s="140"/>
      <c r="J1901" s="446"/>
      <c r="K1901" s="140"/>
      <c r="L1901" s="140"/>
      <c r="M1901" s="140"/>
      <c r="N1901" s="74">
        <f t="shared" si="6"/>
        <v>0</v>
      </c>
      <c r="O1901" s="60">
        <f t="shared" si="2"/>
        <v>0</v>
      </c>
      <c r="P1901" s="65" t="str">
        <f>VLOOKUP(I1901,DATABASE!C:Q,11,FALSE)</f>
        <v>#N/A</v>
      </c>
      <c r="Q1901" s="65" t="str">
        <f>VLOOKUP(I1901,DATABASE!C:Q,4,FALSE)</f>
        <v>#N/A</v>
      </c>
      <c r="R1901" s="101"/>
      <c r="U1901" s="101"/>
    </row>
    <row r="1902" ht="22.5" customHeight="1">
      <c r="A1902" s="49"/>
      <c r="C1902" s="192"/>
      <c r="D1902" s="192"/>
      <c r="E1902" s="69"/>
      <c r="F1902" s="243"/>
      <c r="G1902" s="69"/>
      <c r="H1902" s="69"/>
      <c r="I1902" s="140"/>
      <c r="J1902" s="446"/>
      <c r="K1902" s="140"/>
      <c r="L1902" s="140"/>
      <c r="M1902" s="140"/>
      <c r="N1902" s="74">
        <f t="shared" si="6"/>
        <v>0</v>
      </c>
      <c r="O1902" s="60">
        <f t="shared" si="2"/>
        <v>0</v>
      </c>
      <c r="P1902" s="65" t="str">
        <f>VLOOKUP(I1902,DATABASE!C:Q,11,FALSE)</f>
        <v>#N/A</v>
      </c>
      <c r="Q1902" s="65" t="str">
        <f>VLOOKUP(I1902,DATABASE!C:Q,4,FALSE)</f>
        <v>#N/A</v>
      </c>
      <c r="R1902" s="101"/>
      <c r="U1902" s="101"/>
    </row>
    <row r="1903" ht="22.5" customHeight="1">
      <c r="A1903" s="49"/>
      <c r="C1903" s="192"/>
      <c r="D1903" s="192"/>
      <c r="E1903" s="69"/>
      <c r="F1903" s="243"/>
      <c r="G1903" s="69"/>
      <c r="H1903" s="69"/>
      <c r="I1903" s="140"/>
      <c r="J1903" s="446"/>
      <c r="K1903" s="140"/>
      <c r="L1903" s="140"/>
      <c r="M1903" s="140"/>
      <c r="N1903" s="74">
        <f t="shared" si="6"/>
        <v>0</v>
      </c>
      <c r="O1903" s="60">
        <f t="shared" si="2"/>
        <v>0</v>
      </c>
      <c r="P1903" s="65" t="str">
        <f>VLOOKUP(I1903,DATABASE!C:Q,11,FALSE)</f>
        <v>#N/A</v>
      </c>
      <c r="Q1903" s="65" t="str">
        <f>VLOOKUP(I1903,DATABASE!C:Q,4,FALSE)</f>
        <v>#N/A</v>
      </c>
      <c r="R1903" s="101"/>
      <c r="U1903" s="101"/>
    </row>
    <row r="1904" ht="22.5" customHeight="1">
      <c r="A1904" s="49"/>
      <c r="C1904" s="192"/>
      <c r="D1904" s="192"/>
      <c r="E1904" s="69"/>
      <c r="F1904" s="243"/>
      <c r="G1904" s="69"/>
      <c r="H1904" s="69"/>
      <c r="I1904" s="140"/>
      <c r="J1904" s="446"/>
      <c r="K1904" s="140"/>
      <c r="L1904" s="140"/>
      <c r="M1904" s="140"/>
      <c r="N1904" s="74">
        <f t="shared" si="6"/>
        <v>0</v>
      </c>
      <c r="O1904" s="60">
        <f t="shared" si="2"/>
        <v>0</v>
      </c>
      <c r="P1904" s="65" t="str">
        <f>VLOOKUP(I1904,DATABASE!C:Q,11,FALSE)</f>
        <v>#N/A</v>
      </c>
      <c r="Q1904" s="65" t="str">
        <f>VLOOKUP(I1904,DATABASE!C:Q,4,FALSE)</f>
        <v>#N/A</v>
      </c>
      <c r="R1904" s="101"/>
      <c r="U1904" s="101"/>
    </row>
    <row r="1905" ht="22.5" customHeight="1">
      <c r="A1905" s="49"/>
      <c r="C1905" s="192"/>
      <c r="D1905" s="192"/>
      <c r="E1905" s="69"/>
      <c r="F1905" s="243"/>
      <c r="G1905" s="69"/>
      <c r="H1905" s="69"/>
      <c r="I1905" s="140"/>
      <c r="J1905" s="446"/>
      <c r="K1905" s="140"/>
      <c r="L1905" s="140"/>
      <c r="M1905" s="140"/>
      <c r="N1905" s="74">
        <f t="shared" si="6"/>
        <v>0</v>
      </c>
      <c r="O1905" s="60">
        <f t="shared" si="2"/>
        <v>0</v>
      </c>
      <c r="P1905" s="65" t="str">
        <f>VLOOKUP(I1905,DATABASE!C:Q,11,FALSE)</f>
        <v>#N/A</v>
      </c>
      <c r="Q1905" s="65" t="str">
        <f>VLOOKUP(I1905,DATABASE!C:Q,4,FALSE)</f>
        <v>#N/A</v>
      </c>
      <c r="R1905" s="101"/>
      <c r="U1905" s="101"/>
    </row>
    <row r="1906" ht="22.5" customHeight="1">
      <c r="A1906" s="49"/>
      <c r="C1906" s="192"/>
      <c r="D1906" s="192"/>
      <c r="E1906" s="69"/>
      <c r="F1906" s="243"/>
      <c r="G1906" s="69"/>
      <c r="H1906" s="69"/>
      <c r="I1906" s="140"/>
      <c r="J1906" s="446"/>
      <c r="K1906" s="140"/>
      <c r="L1906" s="140"/>
      <c r="M1906" s="140"/>
      <c r="N1906" s="74">
        <f t="shared" si="6"/>
        <v>0</v>
      </c>
      <c r="O1906" s="60">
        <f t="shared" si="2"/>
        <v>0</v>
      </c>
      <c r="P1906" s="65" t="str">
        <f>VLOOKUP(I1906,DATABASE!C:Q,11,FALSE)</f>
        <v>#N/A</v>
      </c>
      <c r="Q1906" s="65" t="str">
        <f>VLOOKUP(I1906,DATABASE!C:Q,4,FALSE)</f>
        <v>#N/A</v>
      </c>
      <c r="R1906" s="101"/>
      <c r="U1906" s="101"/>
    </row>
    <row r="1907" ht="22.5" customHeight="1">
      <c r="A1907" s="49"/>
      <c r="C1907" s="192"/>
      <c r="D1907" s="192"/>
      <c r="E1907" s="69"/>
      <c r="F1907" s="243"/>
      <c r="G1907" s="69"/>
      <c r="H1907" s="69"/>
      <c r="I1907" s="140"/>
      <c r="J1907" s="446"/>
      <c r="K1907" s="140"/>
      <c r="L1907" s="140"/>
      <c r="M1907" s="140"/>
      <c r="N1907" s="74">
        <f t="shared" si="6"/>
        <v>0</v>
      </c>
      <c r="O1907" s="60">
        <f t="shared" si="2"/>
        <v>0</v>
      </c>
      <c r="P1907" s="65" t="str">
        <f>VLOOKUP(I1907,DATABASE!C:Q,11,FALSE)</f>
        <v>#N/A</v>
      </c>
      <c r="Q1907" s="65" t="str">
        <f>VLOOKUP(I1907,DATABASE!C:Q,4,FALSE)</f>
        <v>#N/A</v>
      </c>
      <c r="R1907" s="101"/>
      <c r="U1907" s="101"/>
    </row>
    <row r="1908" ht="22.5" customHeight="1">
      <c r="A1908" s="49"/>
      <c r="C1908" s="192"/>
      <c r="D1908" s="192"/>
      <c r="E1908" s="69"/>
      <c r="F1908" s="243"/>
      <c r="G1908" s="69"/>
      <c r="H1908" s="69"/>
      <c r="I1908" s="140"/>
      <c r="J1908" s="446"/>
      <c r="K1908" s="140"/>
      <c r="L1908" s="140"/>
      <c r="M1908" s="140"/>
      <c r="N1908" s="74">
        <f t="shared" si="6"/>
        <v>0</v>
      </c>
      <c r="O1908" s="60">
        <f t="shared" si="2"/>
        <v>0</v>
      </c>
      <c r="P1908" s="65" t="str">
        <f>VLOOKUP(I1908,DATABASE!C:Q,11,FALSE)</f>
        <v>#N/A</v>
      </c>
      <c r="Q1908" s="65" t="str">
        <f>VLOOKUP(I1908,DATABASE!C:Q,4,FALSE)</f>
        <v>#N/A</v>
      </c>
      <c r="R1908" s="101"/>
      <c r="U1908" s="101"/>
    </row>
    <row r="1909" ht="22.5" customHeight="1">
      <c r="A1909" s="49"/>
      <c r="C1909" s="192"/>
      <c r="D1909" s="192"/>
      <c r="E1909" s="69"/>
      <c r="F1909" s="243"/>
      <c r="G1909" s="69"/>
      <c r="H1909" s="69"/>
      <c r="I1909" s="140"/>
      <c r="J1909" s="446"/>
      <c r="K1909" s="140"/>
      <c r="L1909" s="140"/>
      <c r="M1909" s="140"/>
      <c r="N1909" s="74">
        <f t="shared" si="6"/>
        <v>0</v>
      </c>
      <c r="O1909" s="60">
        <f t="shared" si="2"/>
        <v>0</v>
      </c>
      <c r="P1909" s="65" t="str">
        <f>VLOOKUP(I1909,DATABASE!C:Q,11,FALSE)</f>
        <v>#N/A</v>
      </c>
      <c r="Q1909" s="65" t="str">
        <f>VLOOKUP(I1909,DATABASE!C:Q,4,FALSE)</f>
        <v>#N/A</v>
      </c>
      <c r="R1909" s="101"/>
      <c r="U1909" s="101"/>
    </row>
    <row r="1910" ht="22.5" customHeight="1">
      <c r="A1910" s="49"/>
      <c r="C1910" s="192"/>
      <c r="D1910" s="192"/>
      <c r="E1910" s="69"/>
      <c r="F1910" s="243"/>
      <c r="G1910" s="69"/>
      <c r="H1910" s="69"/>
      <c r="I1910" s="140"/>
      <c r="J1910" s="446"/>
      <c r="K1910" s="140"/>
      <c r="L1910" s="140"/>
      <c r="M1910" s="140"/>
      <c r="N1910" s="74">
        <f t="shared" si="6"/>
        <v>0</v>
      </c>
      <c r="O1910" s="60">
        <f t="shared" si="2"/>
        <v>0</v>
      </c>
      <c r="P1910" s="65" t="str">
        <f>VLOOKUP(I1910,DATABASE!C:Q,11,FALSE)</f>
        <v>#N/A</v>
      </c>
      <c r="Q1910" s="65" t="str">
        <f>VLOOKUP(I1910,DATABASE!C:Q,4,FALSE)</f>
        <v>#N/A</v>
      </c>
      <c r="R1910" s="101"/>
      <c r="U1910" s="101"/>
    </row>
    <row r="1911" ht="22.5" customHeight="1">
      <c r="A1911" s="49"/>
      <c r="C1911" s="192"/>
      <c r="D1911" s="192"/>
      <c r="E1911" s="69"/>
      <c r="F1911" s="243"/>
      <c r="G1911" s="69"/>
      <c r="H1911" s="69"/>
      <c r="I1911" s="140"/>
      <c r="J1911" s="446"/>
      <c r="K1911" s="140"/>
      <c r="L1911" s="140"/>
      <c r="M1911" s="140"/>
      <c r="N1911" s="74">
        <f t="shared" si="6"/>
        <v>0</v>
      </c>
      <c r="O1911" s="60">
        <f t="shared" si="2"/>
        <v>0</v>
      </c>
      <c r="P1911" s="65" t="str">
        <f>VLOOKUP(I1911,DATABASE!C:Q,11,FALSE)</f>
        <v>#N/A</v>
      </c>
      <c r="Q1911" s="65" t="str">
        <f>VLOOKUP(I1911,DATABASE!C:Q,4,FALSE)</f>
        <v>#N/A</v>
      </c>
      <c r="R1911" s="101"/>
      <c r="U1911" s="101"/>
    </row>
    <row r="1912" ht="22.5" customHeight="1">
      <c r="A1912" s="49"/>
      <c r="C1912" s="192"/>
      <c r="D1912" s="192"/>
      <c r="E1912" s="69"/>
      <c r="F1912" s="243"/>
      <c r="G1912" s="69"/>
      <c r="H1912" s="69"/>
      <c r="I1912" s="140"/>
      <c r="J1912" s="446"/>
      <c r="K1912" s="140"/>
      <c r="L1912" s="140"/>
      <c r="M1912" s="140"/>
      <c r="N1912" s="74">
        <f t="shared" si="6"/>
        <v>0</v>
      </c>
      <c r="O1912" s="60">
        <f t="shared" si="2"/>
        <v>0</v>
      </c>
      <c r="P1912" s="65" t="str">
        <f>VLOOKUP(I1912,DATABASE!C:Q,11,FALSE)</f>
        <v>#N/A</v>
      </c>
      <c r="Q1912" s="65" t="str">
        <f>VLOOKUP(I1912,DATABASE!C:Q,4,FALSE)</f>
        <v>#N/A</v>
      </c>
      <c r="R1912" s="101"/>
      <c r="U1912" s="101"/>
    </row>
    <row r="1913" ht="22.5" customHeight="1">
      <c r="A1913" s="49"/>
      <c r="C1913" s="192"/>
      <c r="D1913" s="192"/>
      <c r="E1913" s="69"/>
      <c r="F1913" s="243"/>
      <c r="G1913" s="69"/>
      <c r="H1913" s="69"/>
      <c r="I1913" s="140"/>
      <c r="J1913" s="446"/>
      <c r="K1913" s="140"/>
      <c r="L1913" s="140"/>
      <c r="M1913" s="140"/>
      <c r="N1913" s="74">
        <f t="shared" si="6"/>
        <v>0</v>
      </c>
      <c r="O1913" s="60">
        <f t="shared" si="2"/>
        <v>0</v>
      </c>
      <c r="P1913" s="65" t="str">
        <f>VLOOKUP(I1913,DATABASE!C:Q,11,FALSE)</f>
        <v>#N/A</v>
      </c>
      <c r="Q1913" s="65" t="str">
        <f>VLOOKUP(I1913,DATABASE!C:Q,4,FALSE)</f>
        <v>#N/A</v>
      </c>
      <c r="R1913" s="101"/>
      <c r="U1913" s="101"/>
    </row>
    <row r="1914" ht="22.5" customHeight="1">
      <c r="A1914" s="49"/>
      <c r="C1914" s="192"/>
      <c r="D1914" s="192"/>
      <c r="E1914" s="69"/>
      <c r="F1914" s="243"/>
      <c r="G1914" s="69"/>
      <c r="H1914" s="69"/>
      <c r="I1914" s="140"/>
      <c r="J1914" s="446"/>
      <c r="K1914" s="140"/>
      <c r="L1914" s="140"/>
      <c r="M1914" s="140"/>
      <c r="N1914" s="74">
        <f t="shared" si="6"/>
        <v>0</v>
      </c>
      <c r="O1914" s="60">
        <f t="shared" si="2"/>
        <v>0</v>
      </c>
      <c r="P1914" s="65" t="str">
        <f>VLOOKUP(I1914,DATABASE!C:Q,11,FALSE)</f>
        <v>#N/A</v>
      </c>
      <c r="Q1914" s="65" t="str">
        <f>VLOOKUP(I1914,DATABASE!C:Q,4,FALSE)</f>
        <v>#N/A</v>
      </c>
      <c r="R1914" s="101"/>
      <c r="U1914" s="101"/>
    </row>
    <row r="1915" ht="22.5" customHeight="1">
      <c r="A1915" s="49"/>
      <c r="C1915" s="192"/>
      <c r="D1915" s="192"/>
      <c r="E1915" s="69"/>
      <c r="F1915" s="243"/>
      <c r="G1915" s="69"/>
      <c r="H1915" s="69"/>
      <c r="I1915" s="140"/>
      <c r="J1915" s="446"/>
      <c r="K1915" s="140"/>
      <c r="L1915" s="140"/>
      <c r="M1915" s="140"/>
      <c r="N1915" s="74">
        <f t="shared" si="6"/>
        <v>0</v>
      </c>
      <c r="O1915" s="60">
        <f t="shared" si="2"/>
        <v>0</v>
      </c>
      <c r="P1915" s="65" t="str">
        <f>VLOOKUP(I1915,DATABASE!C:Q,11,FALSE)</f>
        <v>#N/A</v>
      </c>
      <c r="Q1915" s="65" t="str">
        <f>VLOOKUP(I1915,DATABASE!C:Q,4,FALSE)</f>
        <v>#N/A</v>
      </c>
      <c r="R1915" s="101"/>
      <c r="U1915" s="101"/>
    </row>
    <row r="1916" ht="22.5" customHeight="1">
      <c r="A1916" s="49"/>
      <c r="C1916" s="192"/>
      <c r="D1916" s="192"/>
      <c r="E1916" s="69"/>
      <c r="F1916" s="243"/>
      <c r="G1916" s="69"/>
      <c r="H1916" s="69"/>
      <c r="I1916" s="140"/>
      <c r="J1916" s="446"/>
      <c r="K1916" s="140"/>
      <c r="L1916" s="140"/>
      <c r="M1916" s="140"/>
      <c r="N1916" s="74">
        <f t="shared" si="6"/>
        <v>0</v>
      </c>
      <c r="O1916" s="60">
        <f t="shared" si="2"/>
        <v>0</v>
      </c>
      <c r="P1916" s="65" t="str">
        <f>VLOOKUP(I1916,DATABASE!C:Q,11,FALSE)</f>
        <v>#N/A</v>
      </c>
      <c r="Q1916" s="65" t="str">
        <f>VLOOKUP(I1916,DATABASE!C:Q,4,FALSE)</f>
        <v>#N/A</v>
      </c>
      <c r="R1916" s="101"/>
      <c r="U1916" s="101"/>
    </row>
    <row r="1917" ht="22.5" customHeight="1">
      <c r="A1917" s="49"/>
      <c r="C1917" s="192"/>
      <c r="D1917" s="192"/>
      <c r="E1917" s="69"/>
      <c r="F1917" s="243"/>
      <c r="G1917" s="69"/>
      <c r="H1917" s="69"/>
      <c r="I1917" s="140"/>
      <c r="J1917" s="446"/>
      <c r="K1917" s="140"/>
      <c r="L1917" s="140"/>
      <c r="M1917" s="140"/>
      <c r="N1917" s="74">
        <f t="shared" si="6"/>
        <v>0</v>
      </c>
      <c r="O1917" s="60">
        <f t="shared" si="2"/>
        <v>0</v>
      </c>
      <c r="P1917" s="65" t="str">
        <f>VLOOKUP(I1917,DATABASE!C:Q,11,FALSE)</f>
        <v>#N/A</v>
      </c>
      <c r="Q1917" s="65" t="str">
        <f>VLOOKUP(I1917,DATABASE!C:Q,4,FALSE)</f>
        <v>#N/A</v>
      </c>
      <c r="R1917" s="101"/>
      <c r="U1917" s="101"/>
    </row>
    <row r="1918" ht="22.5" customHeight="1">
      <c r="A1918" s="49"/>
      <c r="C1918" s="192"/>
      <c r="D1918" s="192"/>
      <c r="E1918" s="69"/>
      <c r="F1918" s="243"/>
      <c r="G1918" s="69"/>
      <c r="H1918" s="69"/>
      <c r="I1918" s="140"/>
      <c r="J1918" s="446"/>
      <c r="K1918" s="140"/>
      <c r="L1918" s="140"/>
      <c r="M1918" s="140"/>
      <c r="N1918" s="74">
        <f t="shared" si="6"/>
        <v>0</v>
      </c>
      <c r="O1918" s="60">
        <f t="shared" si="2"/>
        <v>0</v>
      </c>
      <c r="P1918" s="65" t="str">
        <f>VLOOKUP(I1918,DATABASE!C:Q,11,FALSE)</f>
        <v>#N/A</v>
      </c>
      <c r="Q1918" s="65" t="str">
        <f>VLOOKUP(I1918,DATABASE!C:Q,4,FALSE)</f>
        <v>#N/A</v>
      </c>
      <c r="R1918" s="101"/>
      <c r="U1918" s="101"/>
    </row>
    <row r="1919" ht="22.5" customHeight="1">
      <c r="A1919" s="49"/>
      <c r="C1919" s="192"/>
      <c r="D1919" s="192"/>
      <c r="E1919" s="69"/>
      <c r="F1919" s="243"/>
      <c r="G1919" s="69"/>
      <c r="H1919" s="69"/>
      <c r="I1919" s="140"/>
      <c r="J1919" s="446"/>
      <c r="K1919" s="140"/>
      <c r="L1919" s="140"/>
      <c r="M1919" s="140"/>
      <c r="N1919" s="74">
        <f t="shared" si="6"/>
        <v>0</v>
      </c>
      <c r="O1919" s="60">
        <f t="shared" si="2"/>
        <v>0</v>
      </c>
      <c r="P1919" s="65" t="str">
        <f>VLOOKUP(I1919,DATABASE!C:Q,11,FALSE)</f>
        <v>#N/A</v>
      </c>
      <c r="Q1919" s="65" t="str">
        <f>VLOOKUP(I1919,DATABASE!C:Q,4,FALSE)</f>
        <v>#N/A</v>
      </c>
      <c r="R1919" s="101"/>
      <c r="U1919" s="101"/>
    </row>
    <row r="1920" ht="22.5" customHeight="1">
      <c r="A1920" s="49"/>
      <c r="C1920" s="192"/>
      <c r="D1920" s="192"/>
      <c r="E1920" s="69"/>
      <c r="F1920" s="243"/>
      <c r="G1920" s="69"/>
      <c r="H1920" s="69"/>
      <c r="I1920" s="140"/>
      <c r="J1920" s="446"/>
      <c r="K1920" s="140"/>
      <c r="L1920" s="140"/>
      <c r="M1920" s="140"/>
      <c r="N1920" s="74">
        <f t="shared" si="6"/>
        <v>0</v>
      </c>
      <c r="O1920" s="60">
        <f t="shared" si="2"/>
        <v>0</v>
      </c>
      <c r="P1920" s="65" t="str">
        <f>VLOOKUP(I1920,DATABASE!C:Q,11,FALSE)</f>
        <v>#N/A</v>
      </c>
      <c r="Q1920" s="65" t="str">
        <f>VLOOKUP(I1920,DATABASE!C:Q,4,FALSE)</f>
        <v>#N/A</v>
      </c>
      <c r="R1920" s="101"/>
      <c r="U1920" s="101"/>
    </row>
    <row r="1921" ht="22.5" customHeight="1">
      <c r="A1921" s="49"/>
      <c r="C1921" s="192"/>
      <c r="D1921" s="192"/>
      <c r="E1921" s="69"/>
      <c r="F1921" s="243"/>
      <c r="G1921" s="69"/>
      <c r="H1921" s="69"/>
      <c r="I1921" s="140"/>
      <c r="J1921" s="446"/>
      <c r="K1921" s="140"/>
      <c r="L1921" s="140"/>
      <c r="M1921" s="140"/>
      <c r="N1921" s="74">
        <f t="shared" si="6"/>
        <v>0</v>
      </c>
      <c r="O1921" s="60">
        <f t="shared" si="2"/>
        <v>0</v>
      </c>
      <c r="P1921" s="65" t="str">
        <f>VLOOKUP(I1921,DATABASE!C:Q,11,FALSE)</f>
        <v>#N/A</v>
      </c>
      <c r="Q1921" s="65" t="str">
        <f>VLOOKUP(I1921,DATABASE!C:Q,4,FALSE)</f>
        <v>#N/A</v>
      </c>
      <c r="R1921" s="101"/>
      <c r="U1921" s="101"/>
    </row>
    <row r="1922" ht="22.5" customHeight="1">
      <c r="A1922" s="49"/>
      <c r="C1922" s="192"/>
      <c r="D1922" s="192"/>
      <c r="E1922" s="69"/>
      <c r="F1922" s="243"/>
      <c r="G1922" s="69"/>
      <c r="H1922" s="69"/>
      <c r="I1922" s="140"/>
      <c r="J1922" s="446"/>
      <c r="K1922" s="140"/>
      <c r="L1922" s="140"/>
      <c r="M1922" s="140"/>
      <c r="N1922" s="74">
        <f t="shared" si="6"/>
        <v>0</v>
      </c>
      <c r="O1922" s="60">
        <f t="shared" si="2"/>
        <v>0</v>
      </c>
      <c r="P1922" s="65" t="str">
        <f>VLOOKUP(I1922,DATABASE!C:Q,11,FALSE)</f>
        <v>#N/A</v>
      </c>
      <c r="Q1922" s="65" t="str">
        <f>VLOOKUP(I1922,DATABASE!C:Q,4,FALSE)</f>
        <v>#N/A</v>
      </c>
      <c r="R1922" s="101"/>
      <c r="U1922" s="101"/>
    </row>
    <row r="1923" ht="22.5" customHeight="1">
      <c r="A1923" s="49"/>
      <c r="C1923" s="192"/>
      <c r="D1923" s="192"/>
      <c r="E1923" s="69"/>
      <c r="F1923" s="243"/>
      <c r="G1923" s="69"/>
      <c r="H1923" s="69"/>
      <c r="I1923" s="140"/>
      <c r="J1923" s="446"/>
      <c r="K1923" s="140"/>
      <c r="L1923" s="140"/>
      <c r="M1923" s="140"/>
      <c r="N1923" s="74">
        <f t="shared" si="6"/>
        <v>0</v>
      </c>
      <c r="O1923" s="60">
        <f t="shared" si="2"/>
        <v>0</v>
      </c>
      <c r="P1923" s="65" t="str">
        <f>VLOOKUP(I1923,DATABASE!C:Q,11,FALSE)</f>
        <v>#N/A</v>
      </c>
      <c r="Q1923" s="65" t="str">
        <f>VLOOKUP(I1923,DATABASE!C:Q,4,FALSE)</f>
        <v>#N/A</v>
      </c>
      <c r="R1923" s="101"/>
      <c r="U1923" s="101"/>
    </row>
    <row r="1924" ht="22.5" customHeight="1">
      <c r="A1924" s="49"/>
      <c r="C1924" s="192"/>
      <c r="D1924" s="192"/>
      <c r="E1924" s="69"/>
      <c r="F1924" s="243"/>
      <c r="G1924" s="69"/>
      <c r="H1924" s="69"/>
      <c r="I1924" s="140"/>
      <c r="J1924" s="446"/>
      <c r="K1924" s="140"/>
      <c r="L1924" s="140"/>
      <c r="M1924" s="140"/>
      <c r="N1924" s="74">
        <f t="shared" si="6"/>
        <v>0</v>
      </c>
      <c r="O1924" s="60">
        <f t="shared" si="2"/>
        <v>0</v>
      </c>
      <c r="P1924" s="65" t="str">
        <f>VLOOKUP(I1924,DATABASE!C:Q,11,FALSE)</f>
        <v>#N/A</v>
      </c>
      <c r="Q1924" s="65" t="str">
        <f>VLOOKUP(I1924,DATABASE!C:Q,4,FALSE)</f>
        <v>#N/A</v>
      </c>
      <c r="R1924" s="101"/>
      <c r="U1924" s="101"/>
    </row>
    <row r="1925" ht="22.5" customHeight="1">
      <c r="A1925" s="49"/>
      <c r="C1925" s="192"/>
      <c r="D1925" s="192"/>
      <c r="E1925" s="69"/>
      <c r="F1925" s="243"/>
      <c r="G1925" s="69"/>
      <c r="H1925" s="69"/>
      <c r="I1925" s="140"/>
      <c r="J1925" s="446"/>
      <c r="K1925" s="140"/>
      <c r="L1925" s="140"/>
      <c r="M1925" s="140"/>
      <c r="N1925" s="74">
        <f t="shared" si="6"/>
        <v>0</v>
      </c>
      <c r="O1925" s="60">
        <f t="shared" si="2"/>
        <v>0</v>
      </c>
      <c r="P1925" s="65" t="str">
        <f>VLOOKUP(I1925,DATABASE!C:Q,11,FALSE)</f>
        <v>#N/A</v>
      </c>
      <c r="Q1925" s="65" t="str">
        <f>VLOOKUP(I1925,DATABASE!C:Q,4,FALSE)</f>
        <v>#N/A</v>
      </c>
      <c r="R1925" s="101"/>
      <c r="U1925" s="101"/>
    </row>
    <row r="1926" ht="22.5" customHeight="1">
      <c r="A1926" s="49"/>
      <c r="C1926" s="192"/>
      <c r="D1926" s="192"/>
      <c r="E1926" s="69"/>
      <c r="F1926" s="243"/>
      <c r="G1926" s="69"/>
      <c r="H1926" s="69"/>
      <c r="I1926" s="140"/>
      <c r="J1926" s="446"/>
      <c r="K1926" s="140"/>
      <c r="L1926" s="140"/>
      <c r="M1926" s="140"/>
      <c r="N1926" s="74">
        <f t="shared" si="6"/>
        <v>0</v>
      </c>
      <c r="O1926" s="60">
        <f t="shared" si="2"/>
        <v>0</v>
      </c>
      <c r="P1926" s="65" t="str">
        <f>VLOOKUP(I1926,DATABASE!C:Q,11,FALSE)</f>
        <v>#N/A</v>
      </c>
      <c r="Q1926" s="65" t="str">
        <f>VLOOKUP(I1926,DATABASE!C:Q,4,FALSE)</f>
        <v>#N/A</v>
      </c>
      <c r="R1926" s="101"/>
      <c r="U1926" s="101"/>
    </row>
    <row r="1927" ht="22.5" customHeight="1">
      <c r="A1927" s="49"/>
      <c r="C1927" s="192"/>
      <c r="D1927" s="192"/>
      <c r="E1927" s="69"/>
      <c r="F1927" s="243"/>
      <c r="G1927" s="69"/>
      <c r="H1927" s="69"/>
      <c r="I1927" s="140"/>
      <c r="J1927" s="446"/>
      <c r="K1927" s="140"/>
      <c r="L1927" s="140"/>
      <c r="M1927" s="140"/>
      <c r="N1927" s="74">
        <f t="shared" si="6"/>
        <v>0</v>
      </c>
      <c r="O1927" s="60">
        <f t="shared" si="2"/>
        <v>0</v>
      </c>
      <c r="P1927" s="65" t="str">
        <f>VLOOKUP(I1927,DATABASE!C:Q,11,FALSE)</f>
        <v>#N/A</v>
      </c>
      <c r="Q1927" s="65" t="str">
        <f>VLOOKUP(I1927,DATABASE!C:Q,4,FALSE)</f>
        <v>#N/A</v>
      </c>
      <c r="R1927" s="101"/>
      <c r="U1927" s="101"/>
    </row>
    <row r="1928" ht="22.5" customHeight="1">
      <c r="A1928" s="49"/>
      <c r="C1928" s="192"/>
      <c r="D1928" s="192"/>
      <c r="E1928" s="69"/>
      <c r="F1928" s="243"/>
      <c r="G1928" s="69"/>
      <c r="H1928" s="69"/>
      <c r="I1928" s="140"/>
      <c r="J1928" s="446"/>
      <c r="K1928" s="140"/>
      <c r="L1928" s="140"/>
      <c r="M1928" s="140"/>
      <c r="N1928" s="74">
        <f t="shared" si="6"/>
        <v>0</v>
      </c>
      <c r="O1928" s="60">
        <f t="shared" si="2"/>
        <v>0</v>
      </c>
      <c r="P1928" s="65" t="str">
        <f>VLOOKUP(I1928,DATABASE!C:Q,11,FALSE)</f>
        <v>#N/A</v>
      </c>
      <c r="Q1928" s="65" t="str">
        <f>VLOOKUP(I1928,DATABASE!C:Q,4,FALSE)</f>
        <v>#N/A</v>
      </c>
      <c r="R1928" s="101"/>
      <c r="U1928" s="101"/>
    </row>
    <row r="1929" ht="22.5" customHeight="1">
      <c r="A1929" s="49"/>
      <c r="C1929" s="192"/>
      <c r="D1929" s="192"/>
      <c r="E1929" s="69"/>
      <c r="F1929" s="243"/>
      <c r="G1929" s="69"/>
      <c r="H1929" s="69"/>
      <c r="I1929" s="140"/>
      <c r="J1929" s="446"/>
      <c r="K1929" s="140"/>
      <c r="L1929" s="140"/>
      <c r="M1929" s="140"/>
      <c r="N1929" s="74">
        <f t="shared" si="6"/>
        <v>0</v>
      </c>
      <c r="O1929" s="60">
        <f t="shared" si="2"/>
        <v>0</v>
      </c>
      <c r="P1929" s="65" t="str">
        <f>VLOOKUP(I1929,DATABASE!C:Q,11,FALSE)</f>
        <v>#N/A</v>
      </c>
      <c r="Q1929" s="65" t="str">
        <f>VLOOKUP(I1929,DATABASE!C:Q,4,FALSE)</f>
        <v>#N/A</v>
      </c>
      <c r="R1929" s="101"/>
      <c r="U1929" s="101"/>
    </row>
    <row r="1930" ht="22.5" customHeight="1">
      <c r="A1930" s="49"/>
      <c r="C1930" s="192"/>
      <c r="D1930" s="192"/>
      <c r="E1930" s="69"/>
      <c r="F1930" s="243"/>
      <c r="G1930" s="69"/>
      <c r="H1930" s="69"/>
      <c r="I1930" s="140"/>
      <c r="J1930" s="446"/>
      <c r="K1930" s="140"/>
      <c r="L1930" s="140"/>
      <c r="M1930" s="140"/>
      <c r="N1930" s="74">
        <f t="shared" si="6"/>
        <v>0</v>
      </c>
      <c r="O1930" s="60">
        <f t="shared" si="2"/>
        <v>0</v>
      </c>
      <c r="P1930" s="65" t="str">
        <f>VLOOKUP(I1930,DATABASE!C:Q,11,FALSE)</f>
        <v>#N/A</v>
      </c>
      <c r="Q1930" s="65" t="str">
        <f>VLOOKUP(I1930,DATABASE!C:Q,4,FALSE)</f>
        <v>#N/A</v>
      </c>
      <c r="R1930" s="101"/>
      <c r="U1930" s="101"/>
    </row>
    <row r="1931" ht="22.5" customHeight="1">
      <c r="A1931" s="49"/>
      <c r="C1931" s="192"/>
      <c r="D1931" s="192"/>
      <c r="E1931" s="69"/>
      <c r="F1931" s="243"/>
      <c r="G1931" s="69"/>
      <c r="H1931" s="69"/>
      <c r="I1931" s="140"/>
      <c r="J1931" s="446"/>
      <c r="K1931" s="140"/>
      <c r="L1931" s="140"/>
      <c r="M1931" s="140"/>
      <c r="N1931" s="74">
        <f t="shared" si="6"/>
        <v>0</v>
      </c>
      <c r="O1931" s="60">
        <f t="shared" si="2"/>
        <v>0</v>
      </c>
      <c r="P1931" s="65" t="str">
        <f>VLOOKUP(I1931,DATABASE!C:Q,11,FALSE)</f>
        <v>#N/A</v>
      </c>
      <c r="Q1931" s="65" t="str">
        <f>VLOOKUP(I1931,DATABASE!C:Q,4,FALSE)</f>
        <v>#N/A</v>
      </c>
      <c r="R1931" s="101"/>
      <c r="U1931" s="101"/>
    </row>
    <row r="1932" ht="22.5" customHeight="1">
      <c r="A1932" s="49"/>
      <c r="C1932" s="192"/>
      <c r="D1932" s="192"/>
      <c r="E1932" s="69"/>
      <c r="F1932" s="243"/>
      <c r="G1932" s="69"/>
      <c r="H1932" s="69"/>
      <c r="I1932" s="140"/>
      <c r="J1932" s="446"/>
      <c r="K1932" s="140"/>
      <c r="L1932" s="140"/>
      <c r="M1932" s="140"/>
      <c r="N1932" s="74">
        <f t="shared" si="6"/>
        <v>0</v>
      </c>
      <c r="O1932" s="60">
        <f t="shared" si="2"/>
        <v>0</v>
      </c>
      <c r="P1932" s="65" t="str">
        <f>VLOOKUP(I1932,DATABASE!C:Q,11,FALSE)</f>
        <v>#N/A</v>
      </c>
      <c r="Q1932" s="65" t="str">
        <f>VLOOKUP(I1932,DATABASE!C:Q,4,FALSE)</f>
        <v>#N/A</v>
      </c>
      <c r="R1932" s="101"/>
      <c r="U1932" s="101"/>
    </row>
    <row r="1933" ht="22.5" customHeight="1">
      <c r="A1933" s="49"/>
      <c r="C1933" s="192"/>
      <c r="D1933" s="192"/>
      <c r="E1933" s="69"/>
      <c r="F1933" s="243"/>
      <c r="G1933" s="69"/>
      <c r="H1933" s="69"/>
      <c r="I1933" s="140"/>
      <c r="J1933" s="446"/>
      <c r="K1933" s="140"/>
      <c r="L1933" s="140"/>
      <c r="M1933" s="140"/>
      <c r="N1933" s="74">
        <f t="shared" si="6"/>
        <v>0</v>
      </c>
      <c r="O1933" s="60">
        <f t="shared" si="2"/>
        <v>0</v>
      </c>
      <c r="P1933" s="65" t="str">
        <f>VLOOKUP(I1933,DATABASE!C:Q,11,FALSE)</f>
        <v>#N/A</v>
      </c>
      <c r="Q1933" s="65" t="str">
        <f>VLOOKUP(I1933,DATABASE!C:Q,4,FALSE)</f>
        <v>#N/A</v>
      </c>
      <c r="R1933" s="101"/>
      <c r="U1933" s="101"/>
    </row>
    <row r="1934" ht="22.5" customHeight="1">
      <c r="A1934" s="49"/>
      <c r="C1934" s="192"/>
      <c r="D1934" s="192"/>
      <c r="E1934" s="69"/>
      <c r="F1934" s="243"/>
      <c r="G1934" s="69"/>
      <c r="H1934" s="69"/>
      <c r="I1934" s="140"/>
      <c r="J1934" s="446"/>
      <c r="K1934" s="140"/>
      <c r="L1934" s="140"/>
      <c r="M1934" s="140"/>
      <c r="N1934" s="74">
        <f t="shared" si="6"/>
        <v>0</v>
      </c>
      <c r="O1934" s="60">
        <f t="shared" si="2"/>
        <v>0</v>
      </c>
      <c r="P1934" s="65" t="str">
        <f>VLOOKUP(I1934,DATABASE!C:Q,11,FALSE)</f>
        <v>#N/A</v>
      </c>
      <c r="Q1934" s="65" t="str">
        <f>VLOOKUP(I1934,DATABASE!C:Q,4,FALSE)</f>
        <v>#N/A</v>
      </c>
      <c r="R1934" s="101"/>
      <c r="U1934" s="101"/>
    </row>
    <row r="1935" ht="22.5" customHeight="1">
      <c r="A1935" s="49"/>
      <c r="C1935" s="192"/>
      <c r="D1935" s="192"/>
      <c r="E1935" s="69"/>
      <c r="F1935" s="243"/>
      <c r="G1935" s="69"/>
      <c r="H1935" s="69"/>
      <c r="I1935" s="140"/>
      <c r="J1935" s="446"/>
      <c r="K1935" s="140"/>
      <c r="L1935" s="140"/>
      <c r="M1935" s="140"/>
      <c r="N1935" s="74">
        <f t="shared" si="6"/>
        <v>0</v>
      </c>
      <c r="O1935" s="60">
        <f t="shared" si="2"/>
        <v>0</v>
      </c>
      <c r="P1935" s="65" t="str">
        <f>VLOOKUP(I1935,DATABASE!C:Q,11,FALSE)</f>
        <v>#N/A</v>
      </c>
      <c r="Q1935" s="65" t="str">
        <f>VLOOKUP(I1935,DATABASE!C:Q,4,FALSE)</f>
        <v>#N/A</v>
      </c>
      <c r="R1935" s="101"/>
      <c r="U1935" s="101"/>
    </row>
    <row r="1936" ht="22.5" customHeight="1">
      <c r="A1936" s="49"/>
      <c r="C1936" s="192"/>
      <c r="D1936" s="192"/>
      <c r="E1936" s="69"/>
      <c r="F1936" s="243"/>
      <c r="G1936" s="69"/>
      <c r="H1936" s="69"/>
      <c r="I1936" s="140"/>
      <c r="J1936" s="446"/>
      <c r="K1936" s="140"/>
      <c r="L1936" s="140"/>
      <c r="M1936" s="140"/>
      <c r="N1936" s="74">
        <f t="shared" si="6"/>
        <v>0</v>
      </c>
      <c r="O1936" s="60">
        <f t="shared" si="2"/>
        <v>0</v>
      </c>
      <c r="P1936" s="65" t="str">
        <f>VLOOKUP(I1936,DATABASE!C:Q,11,FALSE)</f>
        <v>#N/A</v>
      </c>
      <c r="Q1936" s="65" t="str">
        <f>VLOOKUP(I1936,DATABASE!C:Q,4,FALSE)</f>
        <v>#N/A</v>
      </c>
      <c r="R1936" s="101"/>
      <c r="U1936" s="101"/>
    </row>
    <row r="1937" ht="22.5" customHeight="1">
      <c r="A1937" s="49"/>
      <c r="C1937" s="192"/>
      <c r="D1937" s="192"/>
      <c r="E1937" s="69"/>
      <c r="F1937" s="243"/>
      <c r="G1937" s="69"/>
      <c r="H1937" s="69"/>
      <c r="I1937" s="140"/>
      <c r="J1937" s="446"/>
      <c r="K1937" s="140"/>
      <c r="L1937" s="140"/>
      <c r="M1937" s="140"/>
      <c r="N1937" s="74">
        <f t="shared" si="6"/>
        <v>0</v>
      </c>
      <c r="O1937" s="60">
        <f t="shared" si="2"/>
        <v>0</v>
      </c>
      <c r="P1937" s="65" t="str">
        <f>VLOOKUP(I1937,DATABASE!C:Q,11,FALSE)</f>
        <v>#N/A</v>
      </c>
      <c r="Q1937" s="65" t="str">
        <f>VLOOKUP(I1937,DATABASE!C:Q,4,FALSE)</f>
        <v>#N/A</v>
      </c>
      <c r="R1937" s="101"/>
      <c r="U1937" s="101"/>
    </row>
    <row r="1938" ht="22.5" customHeight="1">
      <c r="A1938" s="49"/>
      <c r="C1938" s="192"/>
      <c r="D1938" s="192"/>
      <c r="E1938" s="69"/>
      <c r="F1938" s="243"/>
      <c r="G1938" s="69"/>
      <c r="H1938" s="69"/>
      <c r="I1938" s="140"/>
      <c r="J1938" s="446"/>
      <c r="K1938" s="140"/>
      <c r="L1938" s="140"/>
      <c r="M1938" s="140"/>
      <c r="N1938" s="74">
        <f t="shared" si="6"/>
        <v>0</v>
      </c>
      <c r="O1938" s="60">
        <f t="shared" si="2"/>
        <v>0</v>
      </c>
      <c r="P1938" s="65" t="str">
        <f>VLOOKUP(I1938,DATABASE!C:Q,11,FALSE)</f>
        <v>#N/A</v>
      </c>
      <c r="Q1938" s="65" t="str">
        <f>VLOOKUP(I1938,DATABASE!C:Q,4,FALSE)</f>
        <v>#N/A</v>
      </c>
      <c r="R1938" s="101"/>
      <c r="U1938" s="101"/>
    </row>
    <row r="1939" ht="22.5" customHeight="1">
      <c r="A1939" s="49"/>
      <c r="C1939" s="192"/>
      <c r="D1939" s="192"/>
      <c r="E1939" s="69"/>
      <c r="F1939" s="243"/>
      <c r="G1939" s="69"/>
      <c r="H1939" s="69"/>
      <c r="I1939" s="140"/>
      <c r="J1939" s="446"/>
      <c r="K1939" s="140"/>
      <c r="L1939" s="140"/>
      <c r="M1939" s="140"/>
      <c r="N1939" s="74">
        <f t="shared" si="6"/>
        <v>0</v>
      </c>
      <c r="O1939" s="60">
        <f t="shared" si="2"/>
        <v>0</v>
      </c>
      <c r="P1939" s="65" t="str">
        <f>VLOOKUP(I1939,DATABASE!C:Q,11,FALSE)</f>
        <v>#N/A</v>
      </c>
      <c r="Q1939" s="65" t="str">
        <f>VLOOKUP(I1939,DATABASE!C:Q,4,FALSE)</f>
        <v>#N/A</v>
      </c>
      <c r="R1939" s="101"/>
      <c r="U1939" s="101"/>
    </row>
    <row r="1940" ht="22.5" customHeight="1">
      <c r="A1940" s="49"/>
      <c r="C1940" s="192"/>
      <c r="D1940" s="192"/>
      <c r="E1940" s="69"/>
      <c r="F1940" s="243"/>
      <c r="G1940" s="69"/>
      <c r="H1940" s="69"/>
      <c r="I1940" s="140"/>
      <c r="J1940" s="446"/>
      <c r="K1940" s="140"/>
      <c r="L1940" s="140"/>
      <c r="M1940" s="140"/>
      <c r="N1940" s="74">
        <f t="shared" si="6"/>
        <v>0</v>
      </c>
      <c r="O1940" s="60">
        <f t="shared" si="2"/>
        <v>0</v>
      </c>
      <c r="P1940" s="65" t="str">
        <f>VLOOKUP(I1940,DATABASE!C:Q,11,FALSE)</f>
        <v>#N/A</v>
      </c>
      <c r="Q1940" s="65" t="str">
        <f>VLOOKUP(I1940,DATABASE!C:Q,4,FALSE)</f>
        <v>#N/A</v>
      </c>
      <c r="R1940" s="101"/>
      <c r="U1940" s="101"/>
    </row>
    <row r="1941" ht="22.5" customHeight="1">
      <c r="A1941" s="49"/>
      <c r="C1941" s="192"/>
      <c r="D1941" s="192"/>
      <c r="E1941" s="69"/>
      <c r="F1941" s="243"/>
      <c r="G1941" s="69"/>
      <c r="H1941" s="69"/>
      <c r="I1941" s="140"/>
      <c r="J1941" s="446"/>
      <c r="K1941" s="140"/>
      <c r="L1941" s="140"/>
      <c r="M1941" s="140"/>
      <c r="N1941" s="74">
        <f t="shared" si="6"/>
        <v>0</v>
      </c>
      <c r="O1941" s="60">
        <f t="shared" si="2"/>
        <v>0</v>
      </c>
      <c r="P1941" s="65" t="str">
        <f>VLOOKUP(I1941,DATABASE!C:Q,11,FALSE)</f>
        <v>#N/A</v>
      </c>
      <c r="Q1941" s="65" t="str">
        <f>VLOOKUP(I1941,DATABASE!C:Q,4,FALSE)</f>
        <v>#N/A</v>
      </c>
      <c r="R1941" s="101"/>
      <c r="U1941" s="101"/>
    </row>
    <row r="1942" ht="22.5" customHeight="1">
      <c r="A1942" s="49"/>
      <c r="C1942" s="192"/>
      <c r="D1942" s="192"/>
      <c r="E1942" s="69"/>
      <c r="F1942" s="243"/>
      <c r="G1942" s="69"/>
      <c r="H1942" s="69"/>
      <c r="I1942" s="140"/>
      <c r="J1942" s="446"/>
      <c r="K1942" s="140"/>
      <c r="L1942" s="140"/>
      <c r="M1942" s="140"/>
      <c r="N1942" s="74">
        <f t="shared" si="6"/>
        <v>0</v>
      </c>
      <c r="O1942" s="60">
        <f t="shared" si="2"/>
        <v>0</v>
      </c>
      <c r="P1942" s="65" t="str">
        <f>VLOOKUP(I1942,DATABASE!C:Q,11,FALSE)</f>
        <v>#N/A</v>
      </c>
      <c r="Q1942" s="65" t="str">
        <f>VLOOKUP(I1942,DATABASE!C:Q,4,FALSE)</f>
        <v>#N/A</v>
      </c>
      <c r="R1942" s="101"/>
      <c r="U1942" s="101"/>
    </row>
    <row r="1943" ht="22.5" customHeight="1">
      <c r="A1943" s="49"/>
      <c r="C1943" s="192"/>
      <c r="D1943" s="192"/>
      <c r="E1943" s="69"/>
      <c r="F1943" s="243"/>
      <c r="G1943" s="69"/>
      <c r="H1943" s="69"/>
      <c r="I1943" s="140"/>
      <c r="J1943" s="446"/>
      <c r="K1943" s="140"/>
      <c r="L1943" s="140"/>
      <c r="M1943" s="140"/>
      <c r="N1943" s="74">
        <f t="shared" si="6"/>
        <v>0</v>
      </c>
      <c r="O1943" s="60">
        <f t="shared" si="2"/>
        <v>0</v>
      </c>
      <c r="P1943" s="65" t="str">
        <f>VLOOKUP(I1943,DATABASE!C:Q,11,FALSE)</f>
        <v>#N/A</v>
      </c>
      <c r="Q1943" s="65" t="str">
        <f>VLOOKUP(I1943,DATABASE!C:Q,4,FALSE)</f>
        <v>#N/A</v>
      </c>
      <c r="R1943" s="101"/>
      <c r="U1943" s="101"/>
    </row>
    <row r="1944" ht="22.5" customHeight="1">
      <c r="A1944" s="49"/>
      <c r="C1944" s="192"/>
      <c r="D1944" s="192"/>
      <c r="E1944" s="69"/>
      <c r="F1944" s="243"/>
      <c r="G1944" s="69"/>
      <c r="H1944" s="69"/>
      <c r="I1944" s="140"/>
      <c r="J1944" s="446"/>
      <c r="K1944" s="140"/>
      <c r="L1944" s="140"/>
      <c r="M1944" s="140"/>
      <c r="N1944" s="74">
        <f t="shared" si="6"/>
        <v>0</v>
      </c>
      <c r="O1944" s="60">
        <f t="shared" si="2"/>
        <v>0</v>
      </c>
      <c r="P1944" s="65" t="str">
        <f>VLOOKUP(I1944,DATABASE!C:Q,11,FALSE)</f>
        <v>#N/A</v>
      </c>
      <c r="Q1944" s="65" t="str">
        <f>VLOOKUP(I1944,DATABASE!C:Q,4,FALSE)</f>
        <v>#N/A</v>
      </c>
      <c r="R1944" s="101"/>
      <c r="U1944" s="101"/>
    </row>
    <row r="1945" ht="22.5" customHeight="1">
      <c r="A1945" s="49"/>
      <c r="C1945" s="192"/>
      <c r="D1945" s="192"/>
      <c r="E1945" s="69"/>
      <c r="F1945" s="243"/>
      <c r="G1945" s="69"/>
      <c r="H1945" s="69"/>
      <c r="I1945" s="140"/>
      <c r="J1945" s="446"/>
      <c r="K1945" s="140"/>
      <c r="L1945" s="140"/>
      <c r="M1945" s="140"/>
      <c r="N1945" s="74">
        <f t="shared" si="6"/>
        <v>0</v>
      </c>
      <c r="O1945" s="60">
        <f t="shared" si="2"/>
        <v>0</v>
      </c>
      <c r="P1945" s="65" t="str">
        <f>VLOOKUP(I1945,DATABASE!C:Q,11,FALSE)</f>
        <v>#N/A</v>
      </c>
      <c r="Q1945" s="65" t="str">
        <f>VLOOKUP(I1945,DATABASE!C:Q,4,FALSE)</f>
        <v>#N/A</v>
      </c>
      <c r="R1945" s="101"/>
      <c r="U1945" s="101"/>
    </row>
    <row r="1946" ht="22.5" customHeight="1">
      <c r="A1946" s="49"/>
      <c r="C1946" s="192"/>
      <c r="D1946" s="192"/>
      <c r="E1946" s="69"/>
      <c r="F1946" s="243"/>
      <c r="G1946" s="69"/>
      <c r="H1946" s="69"/>
      <c r="I1946" s="140"/>
      <c r="J1946" s="446"/>
      <c r="K1946" s="140"/>
      <c r="L1946" s="140"/>
      <c r="M1946" s="140"/>
      <c r="N1946" s="74">
        <f t="shared" si="6"/>
        <v>0</v>
      </c>
      <c r="O1946" s="60">
        <f t="shared" si="2"/>
        <v>0</v>
      </c>
      <c r="P1946" s="65" t="str">
        <f>VLOOKUP(I1946,DATABASE!C:Q,11,FALSE)</f>
        <v>#N/A</v>
      </c>
      <c r="Q1946" s="65" t="str">
        <f>VLOOKUP(I1946,DATABASE!C:Q,4,FALSE)</f>
        <v>#N/A</v>
      </c>
      <c r="R1946" s="101"/>
      <c r="U1946" s="101"/>
    </row>
    <row r="1947" ht="22.5" customHeight="1">
      <c r="A1947" s="49"/>
      <c r="C1947" s="192"/>
      <c r="D1947" s="192"/>
      <c r="E1947" s="69"/>
      <c r="F1947" s="243"/>
      <c r="G1947" s="69"/>
      <c r="H1947" s="69"/>
      <c r="I1947" s="140"/>
      <c r="J1947" s="446"/>
      <c r="K1947" s="140"/>
      <c r="L1947" s="140"/>
      <c r="M1947" s="140"/>
      <c r="N1947" s="74">
        <f t="shared" si="6"/>
        <v>0</v>
      </c>
      <c r="O1947" s="60">
        <f t="shared" si="2"/>
        <v>0</v>
      </c>
      <c r="P1947" s="65" t="str">
        <f>VLOOKUP(I1947,DATABASE!C:Q,11,FALSE)</f>
        <v>#N/A</v>
      </c>
      <c r="Q1947" s="65" t="str">
        <f>VLOOKUP(I1947,DATABASE!C:Q,4,FALSE)</f>
        <v>#N/A</v>
      </c>
      <c r="R1947" s="101"/>
      <c r="U1947" s="101"/>
    </row>
    <row r="1948" ht="22.5" customHeight="1">
      <c r="A1948" s="49"/>
      <c r="C1948" s="192"/>
      <c r="D1948" s="192"/>
      <c r="E1948" s="69"/>
      <c r="F1948" s="243"/>
      <c r="G1948" s="69"/>
      <c r="H1948" s="69"/>
      <c r="I1948" s="140"/>
      <c r="J1948" s="446"/>
      <c r="K1948" s="140"/>
      <c r="L1948" s="140"/>
      <c r="M1948" s="140"/>
      <c r="N1948" s="74">
        <f t="shared" si="6"/>
        <v>0</v>
      </c>
      <c r="O1948" s="60">
        <f t="shared" si="2"/>
        <v>0</v>
      </c>
      <c r="P1948" s="65" t="str">
        <f>VLOOKUP(I1948,DATABASE!C:Q,11,FALSE)</f>
        <v>#N/A</v>
      </c>
      <c r="Q1948" s="65" t="str">
        <f>VLOOKUP(I1948,DATABASE!C:Q,4,FALSE)</f>
        <v>#N/A</v>
      </c>
      <c r="R1948" s="101"/>
      <c r="U1948" s="101"/>
    </row>
    <row r="1949" ht="22.5" customHeight="1">
      <c r="A1949" s="49"/>
      <c r="C1949" s="192"/>
      <c r="D1949" s="192"/>
      <c r="E1949" s="69"/>
      <c r="F1949" s="243"/>
      <c r="G1949" s="69"/>
      <c r="H1949" s="69"/>
      <c r="I1949" s="140"/>
      <c r="J1949" s="446"/>
      <c r="K1949" s="140"/>
      <c r="L1949" s="140"/>
      <c r="M1949" s="140"/>
      <c r="N1949" s="74">
        <f t="shared" si="6"/>
        <v>0</v>
      </c>
      <c r="O1949" s="60">
        <f t="shared" si="2"/>
        <v>0</v>
      </c>
      <c r="P1949" s="65" t="str">
        <f>VLOOKUP(I1949,DATABASE!C:Q,11,FALSE)</f>
        <v>#N/A</v>
      </c>
      <c r="Q1949" s="65" t="str">
        <f>VLOOKUP(I1949,DATABASE!C:Q,4,FALSE)</f>
        <v>#N/A</v>
      </c>
      <c r="R1949" s="101"/>
      <c r="U1949" s="101"/>
    </row>
    <row r="1950" ht="22.5" customHeight="1">
      <c r="A1950" s="49"/>
      <c r="C1950" s="192"/>
      <c r="D1950" s="192"/>
      <c r="E1950" s="69"/>
      <c r="F1950" s="243"/>
      <c r="G1950" s="69"/>
      <c r="H1950" s="69"/>
      <c r="I1950" s="140"/>
      <c r="J1950" s="446"/>
      <c r="K1950" s="140"/>
      <c r="L1950" s="140"/>
      <c r="M1950" s="140"/>
      <c r="N1950" s="74">
        <f t="shared" si="6"/>
        <v>0</v>
      </c>
      <c r="O1950" s="60">
        <f t="shared" si="2"/>
        <v>0</v>
      </c>
      <c r="P1950" s="65" t="str">
        <f>VLOOKUP(I1950,DATABASE!C:Q,11,FALSE)</f>
        <v>#N/A</v>
      </c>
      <c r="Q1950" s="65" t="str">
        <f>VLOOKUP(I1950,DATABASE!C:Q,4,FALSE)</f>
        <v>#N/A</v>
      </c>
      <c r="R1950" s="101"/>
      <c r="U1950" s="101"/>
    </row>
    <row r="1951" ht="22.5" customHeight="1">
      <c r="A1951" s="49"/>
      <c r="C1951" s="192"/>
      <c r="D1951" s="192"/>
      <c r="E1951" s="69"/>
      <c r="F1951" s="243"/>
      <c r="G1951" s="69"/>
      <c r="H1951" s="69"/>
      <c r="I1951" s="140"/>
      <c r="J1951" s="446"/>
      <c r="K1951" s="140"/>
      <c r="L1951" s="140"/>
      <c r="M1951" s="140"/>
      <c r="N1951" s="74">
        <f t="shared" si="6"/>
        <v>0</v>
      </c>
      <c r="O1951" s="60">
        <f t="shared" si="2"/>
        <v>0</v>
      </c>
      <c r="P1951" s="65" t="str">
        <f>VLOOKUP(I1951,DATABASE!C:Q,11,FALSE)</f>
        <v>#N/A</v>
      </c>
      <c r="Q1951" s="65" t="str">
        <f>VLOOKUP(I1951,DATABASE!C:Q,4,FALSE)</f>
        <v>#N/A</v>
      </c>
      <c r="R1951" s="101"/>
      <c r="U1951" s="101"/>
    </row>
    <row r="1952" ht="22.5" customHeight="1">
      <c r="A1952" s="49"/>
      <c r="C1952" s="192"/>
      <c r="D1952" s="192"/>
      <c r="E1952" s="69"/>
      <c r="F1952" s="243"/>
      <c r="G1952" s="69"/>
      <c r="H1952" s="69"/>
      <c r="I1952" s="140"/>
      <c r="J1952" s="446"/>
      <c r="K1952" s="140"/>
      <c r="L1952" s="140"/>
      <c r="M1952" s="140"/>
      <c r="N1952" s="74">
        <f t="shared" si="6"/>
        <v>0</v>
      </c>
      <c r="O1952" s="60">
        <f t="shared" si="2"/>
        <v>0</v>
      </c>
      <c r="P1952" s="65" t="str">
        <f>VLOOKUP(I1952,DATABASE!C:Q,11,FALSE)</f>
        <v>#N/A</v>
      </c>
      <c r="Q1952" s="65" t="str">
        <f>VLOOKUP(I1952,DATABASE!C:Q,4,FALSE)</f>
        <v>#N/A</v>
      </c>
      <c r="R1952" s="101"/>
      <c r="U1952" s="101"/>
    </row>
    <row r="1953" ht="22.5" customHeight="1">
      <c r="A1953" s="49"/>
      <c r="C1953" s="192"/>
      <c r="D1953" s="192"/>
      <c r="E1953" s="69"/>
      <c r="F1953" s="243"/>
      <c r="G1953" s="69"/>
      <c r="H1953" s="69"/>
      <c r="I1953" s="140"/>
      <c r="J1953" s="446"/>
      <c r="K1953" s="140"/>
      <c r="L1953" s="140"/>
      <c r="M1953" s="140"/>
      <c r="N1953" s="74">
        <f t="shared" si="6"/>
        <v>0</v>
      </c>
      <c r="O1953" s="60">
        <f t="shared" si="2"/>
        <v>0</v>
      </c>
      <c r="P1953" s="65" t="str">
        <f>VLOOKUP(I1953,DATABASE!C:Q,11,FALSE)</f>
        <v>#N/A</v>
      </c>
      <c r="Q1953" s="65" t="str">
        <f>VLOOKUP(I1953,DATABASE!C:Q,4,FALSE)</f>
        <v>#N/A</v>
      </c>
      <c r="R1953" s="101"/>
      <c r="U1953" s="101"/>
    </row>
    <row r="1954" ht="22.5" customHeight="1">
      <c r="A1954" s="49"/>
      <c r="C1954" s="192"/>
      <c r="D1954" s="192"/>
      <c r="E1954" s="69"/>
      <c r="F1954" s="243"/>
      <c r="G1954" s="69"/>
      <c r="H1954" s="69"/>
      <c r="I1954" s="140"/>
      <c r="J1954" s="446"/>
      <c r="K1954" s="140"/>
      <c r="L1954" s="140"/>
      <c r="M1954" s="140"/>
      <c r="N1954" s="74">
        <f t="shared" si="6"/>
        <v>0</v>
      </c>
      <c r="O1954" s="60">
        <f t="shared" si="2"/>
        <v>0</v>
      </c>
      <c r="P1954" s="65" t="str">
        <f>VLOOKUP(I1954,DATABASE!C:Q,11,FALSE)</f>
        <v>#N/A</v>
      </c>
      <c r="Q1954" s="65" t="str">
        <f>VLOOKUP(I1954,DATABASE!C:Q,4,FALSE)</f>
        <v>#N/A</v>
      </c>
      <c r="R1954" s="101"/>
      <c r="U1954" s="101"/>
    </row>
    <row r="1955" ht="22.5" customHeight="1">
      <c r="A1955" s="49"/>
      <c r="C1955" s="192"/>
      <c r="D1955" s="192"/>
      <c r="E1955" s="69"/>
      <c r="F1955" s="243"/>
      <c r="G1955" s="69"/>
      <c r="H1955" s="69"/>
      <c r="I1955" s="140"/>
      <c r="J1955" s="446"/>
      <c r="K1955" s="140"/>
      <c r="L1955" s="140"/>
      <c r="M1955" s="140"/>
      <c r="N1955" s="74">
        <f t="shared" si="6"/>
        <v>0</v>
      </c>
      <c r="O1955" s="60">
        <f t="shared" si="2"/>
        <v>0</v>
      </c>
      <c r="P1955" s="65" t="str">
        <f>VLOOKUP(I1955,DATABASE!C:Q,11,FALSE)</f>
        <v>#N/A</v>
      </c>
      <c r="Q1955" s="65" t="str">
        <f>VLOOKUP(I1955,DATABASE!C:Q,4,FALSE)</f>
        <v>#N/A</v>
      </c>
      <c r="R1955" s="101"/>
      <c r="U1955" s="101"/>
    </row>
    <row r="1956" ht="22.5" customHeight="1">
      <c r="A1956" s="49"/>
      <c r="C1956" s="192"/>
      <c r="D1956" s="192"/>
      <c r="E1956" s="69"/>
      <c r="F1956" s="243"/>
      <c r="G1956" s="69"/>
      <c r="H1956" s="69"/>
      <c r="I1956" s="140"/>
      <c r="J1956" s="446"/>
      <c r="K1956" s="140"/>
      <c r="L1956" s="140"/>
      <c r="M1956" s="140"/>
      <c r="N1956" s="74">
        <f t="shared" si="6"/>
        <v>0</v>
      </c>
      <c r="O1956" s="60">
        <f t="shared" si="2"/>
        <v>0</v>
      </c>
      <c r="P1956" s="65" t="str">
        <f>VLOOKUP(I1956,DATABASE!C:Q,11,FALSE)</f>
        <v>#N/A</v>
      </c>
      <c r="Q1956" s="65" t="str">
        <f>VLOOKUP(I1956,DATABASE!C:Q,4,FALSE)</f>
        <v>#N/A</v>
      </c>
      <c r="R1956" s="101"/>
      <c r="U1956" s="101"/>
    </row>
    <row r="1957" ht="22.5" customHeight="1">
      <c r="A1957" s="49"/>
      <c r="C1957" s="192"/>
      <c r="D1957" s="192"/>
      <c r="E1957" s="69"/>
      <c r="F1957" s="243"/>
      <c r="G1957" s="69"/>
      <c r="H1957" s="69"/>
      <c r="I1957" s="140"/>
      <c r="J1957" s="446"/>
      <c r="K1957" s="140"/>
      <c r="L1957" s="140"/>
      <c r="M1957" s="140"/>
      <c r="N1957" s="74">
        <f t="shared" si="6"/>
        <v>0</v>
      </c>
      <c r="O1957" s="60">
        <f t="shared" si="2"/>
        <v>0</v>
      </c>
      <c r="P1957" s="65" t="str">
        <f>VLOOKUP(I1957,DATABASE!C:Q,11,FALSE)</f>
        <v>#N/A</v>
      </c>
      <c r="Q1957" s="65" t="str">
        <f>VLOOKUP(I1957,DATABASE!C:Q,4,FALSE)</f>
        <v>#N/A</v>
      </c>
      <c r="R1957" s="101"/>
      <c r="U1957" s="101"/>
    </row>
    <row r="1958" ht="22.5" customHeight="1">
      <c r="A1958" s="49"/>
      <c r="C1958" s="192"/>
      <c r="D1958" s="192"/>
      <c r="E1958" s="69"/>
      <c r="F1958" s="243"/>
      <c r="G1958" s="69"/>
      <c r="H1958" s="69"/>
      <c r="I1958" s="140"/>
      <c r="J1958" s="446"/>
      <c r="K1958" s="140"/>
      <c r="L1958" s="140"/>
      <c r="M1958" s="140"/>
      <c r="N1958" s="74">
        <f t="shared" si="6"/>
        <v>0</v>
      </c>
      <c r="O1958" s="60">
        <f t="shared" si="2"/>
        <v>0</v>
      </c>
      <c r="P1958" s="65" t="str">
        <f>VLOOKUP(I1958,DATABASE!C:Q,11,FALSE)</f>
        <v>#N/A</v>
      </c>
      <c r="Q1958" s="65" t="str">
        <f>VLOOKUP(I1958,DATABASE!C:Q,4,FALSE)</f>
        <v>#N/A</v>
      </c>
      <c r="R1958" s="101"/>
      <c r="U1958" s="101"/>
    </row>
    <row r="1959" ht="22.5" customHeight="1">
      <c r="A1959" s="49"/>
      <c r="C1959" s="192"/>
      <c r="D1959" s="192"/>
      <c r="E1959" s="69"/>
      <c r="F1959" s="243"/>
      <c r="G1959" s="69"/>
      <c r="H1959" s="69"/>
      <c r="I1959" s="140"/>
      <c r="J1959" s="446"/>
      <c r="K1959" s="140"/>
      <c r="L1959" s="140"/>
      <c r="M1959" s="140"/>
      <c r="N1959" s="74">
        <f t="shared" si="6"/>
        <v>0</v>
      </c>
      <c r="O1959" s="60">
        <f t="shared" si="2"/>
        <v>0</v>
      </c>
      <c r="P1959" s="65" t="str">
        <f>VLOOKUP(I1959,DATABASE!C:Q,11,FALSE)</f>
        <v>#N/A</v>
      </c>
      <c r="Q1959" s="65" t="str">
        <f>VLOOKUP(I1959,DATABASE!C:Q,4,FALSE)</f>
        <v>#N/A</v>
      </c>
      <c r="R1959" s="101"/>
      <c r="U1959" s="101"/>
    </row>
    <row r="1960" ht="22.5" customHeight="1">
      <c r="A1960" s="49"/>
      <c r="C1960" s="192"/>
      <c r="D1960" s="192"/>
      <c r="E1960" s="69"/>
      <c r="F1960" s="243"/>
      <c r="G1960" s="69"/>
      <c r="H1960" s="69"/>
      <c r="I1960" s="140"/>
      <c r="J1960" s="446"/>
      <c r="K1960" s="140"/>
      <c r="L1960" s="140"/>
      <c r="M1960" s="140"/>
      <c r="N1960" s="74">
        <f t="shared" si="6"/>
        <v>0</v>
      </c>
      <c r="O1960" s="60">
        <f t="shared" si="2"/>
        <v>0</v>
      </c>
      <c r="P1960" s="65" t="str">
        <f>VLOOKUP(I1960,DATABASE!C:Q,11,FALSE)</f>
        <v>#N/A</v>
      </c>
      <c r="Q1960" s="65" t="str">
        <f>VLOOKUP(I1960,DATABASE!C:Q,4,FALSE)</f>
        <v>#N/A</v>
      </c>
      <c r="R1960" s="101"/>
      <c r="U1960" s="101"/>
    </row>
    <row r="1961" ht="22.5" customHeight="1">
      <c r="A1961" s="49"/>
      <c r="C1961" s="192"/>
      <c r="D1961" s="192"/>
      <c r="E1961" s="69"/>
      <c r="F1961" s="243"/>
      <c r="G1961" s="69"/>
      <c r="H1961" s="69"/>
      <c r="I1961" s="140"/>
      <c r="J1961" s="446"/>
      <c r="K1961" s="140"/>
      <c r="L1961" s="140"/>
      <c r="M1961" s="140"/>
      <c r="N1961" s="74">
        <f t="shared" si="6"/>
        <v>0</v>
      </c>
      <c r="O1961" s="60">
        <f t="shared" si="2"/>
        <v>0</v>
      </c>
      <c r="P1961" s="65" t="str">
        <f>VLOOKUP(I1961,DATABASE!C:Q,11,FALSE)</f>
        <v>#N/A</v>
      </c>
      <c r="Q1961" s="65" t="str">
        <f>VLOOKUP(I1961,DATABASE!C:Q,4,FALSE)</f>
        <v>#N/A</v>
      </c>
      <c r="R1961" s="101"/>
      <c r="U1961" s="101"/>
    </row>
    <row r="1962" ht="22.5" customHeight="1">
      <c r="A1962" s="49"/>
      <c r="C1962" s="192"/>
      <c r="D1962" s="192"/>
      <c r="E1962" s="69"/>
      <c r="F1962" s="243"/>
      <c r="G1962" s="69"/>
      <c r="H1962" s="69"/>
      <c r="I1962" s="140"/>
      <c r="J1962" s="446"/>
      <c r="K1962" s="140"/>
      <c r="L1962" s="140"/>
      <c r="M1962" s="140"/>
      <c r="N1962" s="74">
        <f t="shared" si="6"/>
        <v>0</v>
      </c>
      <c r="O1962" s="60">
        <f t="shared" si="2"/>
        <v>0</v>
      </c>
      <c r="P1962" s="65" t="str">
        <f>VLOOKUP(I1962,DATABASE!C:Q,11,FALSE)</f>
        <v>#N/A</v>
      </c>
      <c r="Q1962" s="65" t="str">
        <f>VLOOKUP(I1962,DATABASE!C:Q,4,FALSE)</f>
        <v>#N/A</v>
      </c>
      <c r="R1962" s="101"/>
      <c r="U1962" s="101"/>
    </row>
    <row r="1963" ht="22.5" customHeight="1">
      <c r="A1963" s="49"/>
      <c r="C1963" s="192"/>
      <c r="D1963" s="192"/>
      <c r="E1963" s="69"/>
      <c r="F1963" s="243"/>
      <c r="G1963" s="69"/>
      <c r="H1963" s="69"/>
      <c r="I1963" s="140"/>
      <c r="J1963" s="446"/>
      <c r="K1963" s="140"/>
      <c r="L1963" s="140"/>
      <c r="M1963" s="140"/>
      <c r="N1963" s="74">
        <f t="shared" si="6"/>
        <v>0</v>
      </c>
      <c r="O1963" s="60">
        <f t="shared" si="2"/>
        <v>0</v>
      </c>
      <c r="P1963" s="65" t="str">
        <f>VLOOKUP(I1963,DATABASE!C:Q,11,FALSE)</f>
        <v>#N/A</v>
      </c>
      <c r="Q1963" s="65" t="str">
        <f>VLOOKUP(I1963,DATABASE!C:Q,4,FALSE)</f>
        <v>#N/A</v>
      </c>
      <c r="R1963" s="101"/>
      <c r="U1963" s="101"/>
    </row>
    <row r="1964" ht="22.5" customHeight="1">
      <c r="A1964" s="49"/>
      <c r="C1964" s="192"/>
      <c r="D1964" s="192"/>
      <c r="E1964" s="69"/>
      <c r="F1964" s="243"/>
      <c r="G1964" s="69"/>
      <c r="H1964" s="69"/>
      <c r="I1964" s="140"/>
      <c r="J1964" s="446"/>
      <c r="K1964" s="140"/>
      <c r="L1964" s="140"/>
      <c r="M1964" s="140"/>
      <c r="N1964" s="74">
        <f t="shared" si="6"/>
        <v>0</v>
      </c>
      <c r="O1964" s="60">
        <f t="shared" si="2"/>
        <v>0</v>
      </c>
      <c r="P1964" s="65" t="str">
        <f>VLOOKUP(I1964,DATABASE!C:Q,11,FALSE)</f>
        <v>#N/A</v>
      </c>
      <c r="Q1964" s="65" t="str">
        <f>VLOOKUP(I1964,DATABASE!C:Q,4,FALSE)</f>
        <v>#N/A</v>
      </c>
      <c r="R1964" s="101"/>
      <c r="U1964" s="101"/>
    </row>
    <row r="1965" ht="22.5" customHeight="1">
      <c r="A1965" s="49"/>
      <c r="C1965" s="192"/>
      <c r="D1965" s="192"/>
      <c r="E1965" s="69"/>
      <c r="F1965" s="243"/>
      <c r="G1965" s="69"/>
      <c r="H1965" s="69"/>
      <c r="I1965" s="140"/>
      <c r="J1965" s="446"/>
      <c r="K1965" s="140"/>
      <c r="L1965" s="140"/>
      <c r="M1965" s="140"/>
      <c r="N1965" s="74">
        <f t="shared" si="6"/>
        <v>0</v>
      </c>
      <c r="O1965" s="60">
        <f t="shared" si="2"/>
        <v>0</v>
      </c>
      <c r="P1965" s="65" t="str">
        <f>VLOOKUP(I1965,DATABASE!C:Q,11,FALSE)</f>
        <v>#N/A</v>
      </c>
      <c r="Q1965" s="65" t="str">
        <f>VLOOKUP(I1965,DATABASE!C:Q,4,FALSE)</f>
        <v>#N/A</v>
      </c>
      <c r="R1965" s="101"/>
      <c r="U1965" s="101"/>
    </row>
    <row r="1966" ht="22.5" customHeight="1">
      <c r="A1966" s="49"/>
      <c r="C1966" s="192"/>
      <c r="D1966" s="192"/>
      <c r="E1966" s="69"/>
      <c r="F1966" s="243"/>
      <c r="G1966" s="69"/>
      <c r="H1966" s="69"/>
      <c r="I1966" s="140"/>
      <c r="J1966" s="446"/>
      <c r="K1966" s="140"/>
      <c r="L1966" s="140"/>
      <c r="M1966" s="140"/>
      <c r="N1966" s="74">
        <f t="shared" si="6"/>
        <v>0</v>
      </c>
      <c r="O1966" s="60">
        <f t="shared" si="2"/>
        <v>0</v>
      </c>
      <c r="P1966" s="65" t="str">
        <f>VLOOKUP(I1966,DATABASE!C:Q,11,FALSE)</f>
        <v>#N/A</v>
      </c>
      <c r="Q1966" s="65" t="str">
        <f>VLOOKUP(I1966,DATABASE!C:Q,4,FALSE)</f>
        <v>#N/A</v>
      </c>
      <c r="R1966" s="101"/>
      <c r="U1966" s="101"/>
    </row>
    <row r="1967" ht="22.5" customHeight="1">
      <c r="A1967" s="49"/>
      <c r="C1967" s="192"/>
      <c r="D1967" s="192"/>
      <c r="E1967" s="69"/>
      <c r="F1967" s="243"/>
      <c r="G1967" s="69"/>
      <c r="H1967" s="69"/>
      <c r="I1967" s="140"/>
      <c r="J1967" s="446"/>
      <c r="K1967" s="140"/>
      <c r="L1967" s="140"/>
      <c r="M1967" s="140"/>
      <c r="N1967" s="74">
        <f t="shared" si="6"/>
        <v>0</v>
      </c>
      <c r="O1967" s="60">
        <f t="shared" si="2"/>
        <v>0</v>
      </c>
      <c r="P1967" s="65" t="str">
        <f>VLOOKUP(I1967,DATABASE!C:Q,11,FALSE)</f>
        <v>#N/A</v>
      </c>
      <c r="Q1967" s="65" t="str">
        <f>VLOOKUP(I1967,DATABASE!C:Q,4,FALSE)</f>
        <v>#N/A</v>
      </c>
      <c r="R1967" s="101"/>
      <c r="U1967" s="101"/>
    </row>
    <row r="1968" ht="22.5" customHeight="1">
      <c r="A1968" s="49"/>
      <c r="C1968" s="192"/>
      <c r="D1968" s="192"/>
      <c r="E1968" s="69"/>
      <c r="F1968" s="243"/>
      <c r="G1968" s="69"/>
      <c r="H1968" s="69"/>
      <c r="I1968" s="140"/>
      <c r="J1968" s="446"/>
      <c r="K1968" s="140"/>
      <c r="L1968" s="140"/>
      <c r="M1968" s="140"/>
      <c r="N1968" s="74">
        <f t="shared" si="6"/>
        <v>0</v>
      </c>
      <c r="O1968" s="60">
        <f t="shared" si="2"/>
        <v>0</v>
      </c>
      <c r="P1968" s="65" t="str">
        <f>VLOOKUP(I1968,DATABASE!C:Q,11,FALSE)</f>
        <v>#N/A</v>
      </c>
      <c r="Q1968" s="65" t="str">
        <f>VLOOKUP(I1968,DATABASE!C:Q,4,FALSE)</f>
        <v>#N/A</v>
      </c>
      <c r="R1968" s="101"/>
      <c r="U1968" s="101"/>
    </row>
    <row r="1969" ht="22.5" customHeight="1">
      <c r="A1969" s="49"/>
      <c r="C1969" s="192"/>
      <c r="D1969" s="192"/>
      <c r="E1969" s="69"/>
      <c r="F1969" s="243"/>
      <c r="G1969" s="69"/>
      <c r="H1969" s="69"/>
      <c r="I1969" s="140"/>
      <c r="J1969" s="446"/>
      <c r="K1969" s="140"/>
      <c r="L1969" s="140"/>
      <c r="M1969" s="140"/>
      <c r="N1969" s="74">
        <f t="shared" si="6"/>
        <v>0</v>
      </c>
      <c r="O1969" s="60">
        <f t="shared" si="2"/>
        <v>0</v>
      </c>
      <c r="P1969" s="65" t="str">
        <f>VLOOKUP(I1969,DATABASE!C:Q,11,FALSE)</f>
        <v>#N/A</v>
      </c>
      <c r="Q1969" s="65" t="str">
        <f>VLOOKUP(I1969,DATABASE!C:Q,4,FALSE)</f>
        <v>#N/A</v>
      </c>
      <c r="R1969" s="101"/>
      <c r="U1969" s="101"/>
    </row>
    <row r="1970" ht="22.5" customHeight="1">
      <c r="A1970" s="49"/>
      <c r="C1970" s="192"/>
      <c r="D1970" s="192"/>
      <c r="E1970" s="69"/>
      <c r="F1970" s="243"/>
      <c r="G1970" s="69"/>
      <c r="H1970" s="69"/>
      <c r="I1970" s="140"/>
      <c r="J1970" s="446"/>
      <c r="K1970" s="140"/>
      <c r="L1970" s="140"/>
      <c r="M1970" s="140"/>
      <c r="N1970" s="74">
        <f t="shared" si="6"/>
        <v>0</v>
      </c>
      <c r="O1970" s="60">
        <f t="shared" si="2"/>
        <v>0</v>
      </c>
      <c r="P1970" s="65" t="str">
        <f>VLOOKUP(I1970,DATABASE!C:Q,11,FALSE)</f>
        <v>#N/A</v>
      </c>
      <c r="Q1970" s="65" t="str">
        <f>VLOOKUP(I1970,DATABASE!C:Q,4,FALSE)</f>
        <v>#N/A</v>
      </c>
      <c r="R1970" s="101"/>
      <c r="U1970" s="101"/>
    </row>
    <row r="1971" ht="22.5" customHeight="1">
      <c r="A1971" s="49"/>
      <c r="C1971" s="192"/>
      <c r="D1971" s="192"/>
      <c r="E1971" s="69"/>
      <c r="F1971" s="243"/>
      <c r="G1971" s="69"/>
      <c r="H1971" s="69"/>
      <c r="I1971" s="140"/>
      <c r="J1971" s="446"/>
      <c r="K1971" s="140"/>
      <c r="L1971" s="140"/>
      <c r="M1971" s="140"/>
      <c r="N1971" s="74">
        <f t="shared" si="6"/>
        <v>0</v>
      </c>
      <c r="O1971" s="60">
        <f t="shared" si="2"/>
        <v>0</v>
      </c>
      <c r="P1971" s="65" t="str">
        <f>VLOOKUP(I1971,DATABASE!C:Q,11,FALSE)</f>
        <v>#N/A</v>
      </c>
      <c r="Q1971" s="65" t="str">
        <f>VLOOKUP(I1971,DATABASE!C:Q,4,FALSE)</f>
        <v>#N/A</v>
      </c>
      <c r="R1971" s="101"/>
      <c r="U1971" s="101"/>
    </row>
    <row r="1972" ht="22.5" customHeight="1">
      <c r="A1972" s="49"/>
      <c r="C1972" s="192"/>
      <c r="D1972" s="192"/>
      <c r="E1972" s="69"/>
      <c r="F1972" s="243"/>
      <c r="G1972" s="69"/>
      <c r="H1972" s="69"/>
      <c r="I1972" s="140"/>
      <c r="J1972" s="446"/>
      <c r="K1972" s="140"/>
      <c r="L1972" s="140"/>
      <c r="M1972" s="140"/>
      <c r="N1972" s="74">
        <f t="shared" si="6"/>
        <v>0</v>
      </c>
      <c r="O1972" s="60">
        <f t="shared" si="2"/>
        <v>0</v>
      </c>
      <c r="P1972" s="65" t="str">
        <f>VLOOKUP(I1972,DATABASE!C:Q,11,FALSE)</f>
        <v>#N/A</v>
      </c>
      <c r="Q1972" s="65" t="str">
        <f>VLOOKUP(I1972,DATABASE!C:Q,4,FALSE)</f>
        <v>#N/A</v>
      </c>
      <c r="R1972" s="101"/>
      <c r="U1972" s="101"/>
    </row>
    <row r="1973" ht="22.5" customHeight="1">
      <c r="A1973" s="49"/>
      <c r="C1973" s="192"/>
      <c r="D1973" s="192"/>
      <c r="E1973" s="69"/>
      <c r="F1973" s="243"/>
      <c r="G1973" s="69"/>
      <c r="H1973" s="69"/>
      <c r="I1973" s="140"/>
      <c r="J1973" s="446"/>
      <c r="K1973" s="140"/>
      <c r="L1973" s="140"/>
      <c r="M1973" s="140"/>
      <c r="N1973" s="74">
        <f t="shared" si="6"/>
        <v>0</v>
      </c>
      <c r="O1973" s="60">
        <f t="shared" si="2"/>
        <v>0</v>
      </c>
      <c r="P1973" s="65" t="str">
        <f>VLOOKUP(I1973,DATABASE!C:Q,11,FALSE)</f>
        <v>#N/A</v>
      </c>
      <c r="Q1973" s="65" t="str">
        <f>VLOOKUP(I1973,DATABASE!C:Q,4,FALSE)</f>
        <v>#N/A</v>
      </c>
      <c r="R1973" s="101"/>
      <c r="U1973" s="101"/>
    </row>
    <row r="1974" ht="22.5" customHeight="1">
      <c r="A1974" s="49"/>
      <c r="C1974" s="192"/>
      <c r="D1974" s="192"/>
      <c r="E1974" s="69"/>
      <c r="F1974" s="243"/>
      <c r="G1974" s="69"/>
      <c r="H1974" s="69"/>
      <c r="I1974" s="140"/>
      <c r="J1974" s="446"/>
      <c r="K1974" s="140"/>
      <c r="L1974" s="140"/>
      <c r="M1974" s="140"/>
      <c r="N1974" s="74">
        <f t="shared" si="6"/>
        <v>0</v>
      </c>
      <c r="O1974" s="60">
        <f t="shared" si="2"/>
        <v>0</v>
      </c>
      <c r="P1974" s="65" t="str">
        <f>VLOOKUP(I1974,DATABASE!C:Q,11,FALSE)</f>
        <v>#N/A</v>
      </c>
      <c r="Q1974" s="65" t="str">
        <f>VLOOKUP(I1974,DATABASE!C:Q,4,FALSE)</f>
        <v>#N/A</v>
      </c>
      <c r="R1974" s="101"/>
      <c r="U1974" s="101"/>
    </row>
    <row r="1975" ht="22.5" customHeight="1">
      <c r="A1975" s="49"/>
      <c r="C1975" s="192"/>
      <c r="D1975" s="192"/>
      <c r="E1975" s="69"/>
      <c r="F1975" s="243"/>
      <c r="G1975" s="69"/>
      <c r="H1975" s="69"/>
      <c r="I1975" s="140"/>
      <c r="J1975" s="446"/>
      <c r="K1975" s="140"/>
      <c r="L1975" s="140"/>
      <c r="M1975" s="140"/>
      <c r="N1975" s="74">
        <f t="shared" si="6"/>
        <v>0</v>
      </c>
      <c r="O1975" s="60">
        <f t="shared" si="2"/>
        <v>0</v>
      </c>
      <c r="P1975" s="65" t="str">
        <f>VLOOKUP(I1975,DATABASE!C:Q,11,FALSE)</f>
        <v>#N/A</v>
      </c>
      <c r="Q1975" s="65" t="str">
        <f>VLOOKUP(I1975,DATABASE!C:Q,4,FALSE)</f>
        <v>#N/A</v>
      </c>
      <c r="R1975" s="101"/>
      <c r="U1975" s="101"/>
    </row>
    <row r="1976" ht="22.5" customHeight="1">
      <c r="A1976" s="49"/>
      <c r="C1976" s="192"/>
      <c r="D1976" s="192"/>
      <c r="E1976" s="69"/>
      <c r="F1976" s="243"/>
      <c r="G1976" s="69"/>
      <c r="H1976" s="69"/>
      <c r="I1976" s="140"/>
      <c r="J1976" s="446"/>
      <c r="K1976" s="140"/>
      <c r="L1976" s="140"/>
      <c r="M1976" s="140"/>
      <c r="N1976" s="74">
        <f t="shared" si="6"/>
        <v>0</v>
      </c>
      <c r="O1976" s="60">
        <f t="shared" si="2"/>
        <v>0</v>
      </c>
      <c r="P1976" s="65" t="str">
        <f>VLOOKUP(I1976,DATABASE!C:Q,11,FALSE)</f>
        <v>#N/A</v>
      </c>
      <c r="Q1976" s="65" t="str">
        <f>VLOOKUP(I1976,DATABASE!C:Q,4,FALSE)</f>
        <v>#N/A</v>
      </c>
      <c r="R1976" s="101"/>
      <c r="U1976" s="101"/>
    </row>
    <row r="1977" ht="22.5" customHeight="1">
      <c r="A1977" s="49"/>
      <c r="C1977" s="192"/>
      <c r="D1977" s="192"/>
      <c r="E1977" s="69"/>
      <c r="F1977" s="243"/>
      <c r="G1977" s="69"/>
      <c r="H1977" s="69"/>
      <c r="I1977" s="140"/>
      <c r="J1977" s="446"/>
      <c r="K1977" s="140"/>
      <c r="L1977" s="140"/>
      <c r="M1977" s="140"/>
      <c r="N1977" s="74">
        <f t="shared" si="6"/>
        <v>0</v>
      </c>
      <c r="O1977" s="60">
        <f t="shared" si="2"/>
        <v>0</v>
      </c>
      <c r="P1977" s="65" t="str">
        <f>VLOOKUP(I1977,DATABASE!C:Q,11,FALSE)</f>
        <v>#N/A</v>
      </c>
      <c r="Q1977" s="65" t="str">
        <f>VLOOKUP(I1977,DATABASE!C:Q,4,FALSE)</f>
        <v>#N/A</v>
      </c>
      <c r="R1977" s="101"/>
      <c r="U1977" s="101"/>
    </row>
    <row r="1978" ht="22.5" customHeight="1">
      <c r="A1978" s="49"/>
      <c r="C1978" s="192"/>
      <c r="D1978" s="192"/>
      <c r="E1978" s="69"/>
      <c r="F1978" s="243"/>
      <c r="G1978" s="69"/>
      <c r="H1978" s="69"/>
      <c r="I1978" s="140"/>
      <c r="J1978" s="446"/>
      <c r="K1978" s="140"/>
      <c r="L1978" s="140"/>
      <c r="M1978" s="140"/>
      <c r="N1978" s="74">
        <f t="shared" si="6"/>
        <v>0</v>
      </c>
      <c r="O1978" s="60">
        <f t="shared" si="2"/>
        <v>0</v>
      </c>
      <c r="P1978" s="65" t="str">
        <f>VLOOKUP(I1978,DATABASE!C:Q,11,FALSE)</f>
        <v>#N/A</v>
      </c>
      <c r="Q1978" s="65" t="str">
        <f>VLOOKUP(I1978,DATABASE!C:Q,4,FALSE)</f>
        <v>#N/A</v>
      </c>
      <c r="R1978" s="101"/>
      <c r="U1978" s="101"/>
    </row>
    <row r="1979" ht="22.5" customHeight="1">
      <c r="A1979" s="49"/>
      <c r="C1979" s="192"/>
      <c r="D1979" s="192"/>
      <c r="E1979" s="69"/>
      <c r="F1979" s="243"/>
      <c r="G1979" s="69"/>
      <c r="H1979" s="69"/>
      <c r="I1979" s="140"/>
      <c r="J1979" s="446"/>
      <c r="K1979" s="140"/>
      <c r="L1979" s="140"/>
      <c r="M1979" s="140"/>
      <c r="N1979" s="74">
        <f t="shared" si="6"/>
        <v>0</v>
      </c>
      <c r="O1979" s="60">
        <f t="shared" si="2"/>
        <v>0</v>
      </c>
      <c r="P1979" s="65" t="str">
        <f>VLOOKUP(I1979,DATABASE!C:Q,11,FALSE)</f>
        <v>#N/A</v>
      </c>
      <c r="Q1979" s="65" t="str">
        <f>VLOOKUP(I1979,DATABASE!C:Q,4,FALSE)</f>
        <v>#N/A</v>
      </c>
      <c r="R1979" s="101"/>
      <c r="U1979" s="101"/>
    </row>
    <row r="1980" ht="22.5" customHeight="1">
      <c r="A1980" s="49"/>
      <c r="C1980" s="192"/>
      <c r="D1980" s="192"/>
      <c r="E1980" s="69"/>
      <c r="F1980" s="243"/>
      <c r="G1980" s="69"/>
      <c r="H1980" s="69"/>
      <c r="I1980" s="140"/>
      <c r="J1980" s="446"/>
      <c r="K1980" s="140"/>
      <c r="L1980" s="140"/>
      <c r="M1980" s="140"/>
      <c r="N1980" s="74">
        <f t="shared" si="6"/>
        <v>0</v>
      </c>
      <c r="O1980" s="60">
        <f t="shared" si="2"/>
        <v>0</v>
      </c>
      <c r="P1980" s="65" t="str">
        <f>VLOOKUP(I1980,DATABASE!C:Q,11,FALSE)</f>
        <v>#N/A</v>
      </c>
      <c r="Q1980" s="65" t="str">
        <f>VLOOKUP(I1980,DATABASE!C:Q,4,FALSE)</f>
        <v>#N/A</v>
      </c>
      <c r="R1980" s="101"/>
      <c r="U1980" s="101"/>
    </row>
    <row r="1981" ht="22.5" customHeight="1">
      <c r="A1981" s="49"/>
      <c r="C1981" s="192"/>
      <c r="D1981" s="192"/>
      <c r="E1981" s="69"/>
      <c r="F1981" s="243"/>
      <c r="G1981" s="69"/>
      <c r="H1981" s="69"/>
      <c r="I1981" s="140"/>
      <c r="J1981" s="446"/>
      <c r="K1981" s="140"/>
      <c r="L1981" s="140"/>
      <c r="M1981" s="140"/>
      <c r="N1981" s="74">
        <f t="shared" si="6"/>
        <v>0</v>
      </c>
      <c r="O1981" s="60">
        <f t="shared" si="2"/>
        <v>0</v>
      </c>
      <c r="P1981" s="65" t="str">
        <f>VLOOKUP(I1981,DATABASE!C:Q,11,FALSE)</f>
        <v>#N/A</v>
      </c>
      <c r="Q1981" s="65" t="str">
        <f>VLOOKUP(I1981,DATABASE!C:Q,4,FALSE)</f>
        <v>#N/A</v>
      </c>
      <c r="R1981" s="101"/>
      <c r="U1981" s="101"/>
    </row>
    <row r="1982" ht="22.5" customHeight="1">
      <c r="A1982" s="49"/>
      <c r="C1982" s="192"/>
      <c r="D1982" s="192"/>
      <c r="E1982" s="69"/>
      <c r="F1982" s="243"/>
      <c r="G1982" s="69"/>
      <c r="H1982" s="69"/>
      <c r="I1982" s="140"/>
      <c r="J1982" s="446"/>
      <c r="K1982" s="140"/>
      <c r="L1982" s="140"/>
      <c r="M1982" s="140"/>
      <c r="N1982" s="74">
        <f t="shared" si="6"/>
        <v>0</v>
      </c>
      <c r="O1982" s="60">
        <f t="shared" si="2"/>
        <v>0</v>
      </c>
      <c r="P1982" s="65" t="str">
        <f>VLOOKUP(I1982,DATABASE!C:Q,11,FALSE)</f>
        <v>#N/A</v>
      </c>
      <c r="Q1982" s="65" t="str">
        <f>VLOOKUP(I1982,DATABASE!C:Q,4,FALSE)</f>
        <v>#N/A</v>
      </c>
      <c r="R1982" s="101"/>
      <c r="U1982" s="101"/>
    </row>
    <row r="1983" ht="22.5" customHeight="1">
      <c r="A1983" s="49"/>
      <c r="C1983" s="192"/>
      <c r="D1983" s="192"/>
      <c r="E1983" s="69"/>
      <c r="F1983" s="243"/>
      <c r="G1983" s="69"/>
      <c r="H1983" s="69"/>
      <c r="I1983" s="140"/>
      <c r="J1983" s="446"/>
      <c r="K1983" s="140"/>
      <c r="L1983" s="140"/>
      <c r="M1983" s="140"/>
      <c r="N1983" s="74">
        <f t="shared" si="6"/>
        <v>0</v>
      </c>
      <c r="O1983" s="60">
        <f t="shared" si="2"/>
        <v>0</v>
      </c>
      <c r="P1983" s="65" t="str">
        <f>VLOOKUP(I1983,DATABASE!C:Q,11,FALSE)</f>
        <v>#N/A</v>
      </c>
      <c r="Q1983" s="65" t="str">
        <f>VLOOKUP(I1983,DATABASE!C:Q,4,FALSE)</f>
        <v>#N/A</v>
      </c>
      <c r="R1983" s="101"/>
      <c r="U1983" s="101"/>
    </row>
    <row r="1984" ht="22.5" customHeight="1">
      <c r="A1984" s="49"/>
      <c r="C1984" s="192"/>
      <c r="D1984" s="192"/>
      <c r="E1984" s="69"/>
      <c r="F1984" s="243"/>
      <c r="G1984" s="69"/>
      <c r="H1984" s="69"/>
      <c r="I1984" s="140"/>
      <c r="J1984" s="446"/>
      <c r="K1984" s="140"/>
      <c r="L1984" s="140"/>
      <c r="M1984" s="140"/>
      <c r="N1984" s="74">
        <f t="shared" si="6"/>
        <v>0</v>
      </c>
      <c r="O1984" s="60">
        <f t="shared" si="2"/>
        <v>0</v>
      </c>
      <c r="P1984" s="65" t="str">
        <f>VLOOKUP(I1984,DATABASE!C:Q,11,FALSE)</f>
        <v>#N/A</v>
      </c>
      <c r="Q1984" s="65" t="str">
        <f>VLOOKUP(I1984,DATABASE!C:Q,4,FALSE)</f>
        <v>#N/A</v>
      </c>
      <c r="R1984" s="101"/>
      <c r="U1984" s="101"/>
    </row>
    <row r="1985" ht="22.5" customHeight="1">
      <c r="A1985" s="49"/>
      <c r="C1985" s="192"/>
      <c r="D1985" s="192"/>
      <c r="E1985" s="69"/>
      <c r="F1985" s="243"/>
      <c r="G1985" s="69"/>
      <c r="H1985" s="69"/>
      <c r="I1985" s="140"/>
      <c r="J1985" s="446"/>
      <c r="K1985" s="140"/>
      <c r="L1985" s="140"/>
      <c r="M1985" s="140"/>
      <c r="N1985" s="74">
        <f t="shared" si="6"/>
        <v>0</v>
      </c>
      <c r="O1985" s="60">
        <f t="shared" si="2"/>
        <v>0</v>
      </c>
      <c r="P1985" s="65" t="str">
        <f>VLOOKUP(I1985,DATABASE!C:Q,11,FALSE)</f>
        <v>#N/A</v>
      </c>
      <c r="Q1985" s="65" t="str">
        <f>VLOOKUP(I1985,DATABASE!C:Q,4,FALSE)</f>
        <v>#N/A</v>
      </c>
      <c r="R1985" s="101"/>
      <c r="U1985" s="101"/>
    </row>
    <row r="1986" ht="22.5" customHeight="1">
      <c r="A1986" s="49"/>
      <c r="C1986" s="192"/>
      <c r="D1986" s="192"/>
      <c r="E1986" s="69"/>
      <c r="F1986" s="243"/>
      <c r="G1986" s="69"/>
      <c r="H1986" s="69"/>
      <c r="I1986" s="140"/>
      <c r="J1986" s="446"/>
      <c r="K1986" s="140"/>
      <c r="L1986" s="140"/>
      <c r="M1986" s="140"/>
      <c r="N1986" s="74">
        <f t="shared" si="6"/>
        <v>0</v>
      </c>
      <c r="O1986" s="60">
        <f t="shared" si="2"/>
        <v>0</v>
      </c>
      <c r="P1986" s="65" t="str">
        <f>VLOOKUP(I1986,DATABASE!C:Q,11,FALSE)</f>
        <v>#N/A</v>
      </c>
      <c r="Q1986" s="65" t="str">
        <f>VLOOKUP(I1986,DATABASE!C:Q,4,FALSE)</f>
        <v>#N/A</v>
      </c>
      <c r="R1986" s="101"/>
      <c r="U1986" s="101"/>
    </row>
    <row r="1987" ht="22.5" customHeight="1">
      <c r="A1987" s="49"/>
      <c r="C1987" s="192"/>
      <c r="D1987" s="192"/>
      <c r="E1987" s="69"/>
      <c r="F1987" s="243"/>
      <c r="G1987" s="69"/>
      <c r="H1987" s="69"/>
      <c r="I1987" s="140"/>
      <c r="J1987" s="446"/>
      <c r="K1987" s="140"/>
      <c r="L1987" s="140"/>
      <c r="M1987" s="140"/>
      <c r="N1987" s="74">
        <f t="shared" si="6"/>
        <v>0</v>
      </c>
      <c r="O1987" s="60">
        <f t="shared" si="2"/>
        <v>0</v>
      </c>
      <c r="P1987" s="65" t="str">
        <f>VLOOKUP(I1987,DATABASE!C:Q,11,FALSE)</f>
        <v>#N/A</v>
      </c>
      <c r="Q1987" s="65" t="str">
        <f>VLOOKUP(I1987,DATABASE!C:Q,4,FALSE)</f>
        <v>#N/A</v>
      </c>
      <c r="R1987" s="101"/>
      <c r="U1987" s="101"/>
    </row>
    <row r="1988" ht="22.5" customHeight="1">
      <c r="A1988" s="49"/>
      <c r="C1988" s="192"/>
      <c r="D1988" s="192"/>
      <c r="E1988" s="69"/>
      <c r="F1988" s="243"/>
      <c r="G1988" s="69"/>
      <c r="H1988" s="69"/>
      <c r="I1988" s="140"/>
      <c r="J1988" s="446"/>
      <c r="K1988" s="140"/>
      <c r="L1988" s="140"/>
      <c r="M1988" s="140"/>
      <c r="N1988" s="74">
        <f t="shared" si="6"/>
        <v>0</v>
      </c>
      <c r="O1988" s="60">
        <f t="shared" si="2"/>
        <v>0</v>
      </c>
      <c r="P1988" s="65" t="str">
        <f>VLOOKUP(I1988,DATABASE!C:Q,11,FALSE)</f>
        <v>#N/A</v>
      </c>
      <c r="Q1988" s="65" t="str">
        <f>VLOOKUP(I1988,DATABASE!C:Q,4,FALSE)</f>
        <v>#N/A</v>
      </c>
      <c r="R1988" s="101"/>
      <c r="U1988" s="101"/>
    </row>
    <row r="1989" ht="22.5" customHeight="1">
      <c r="A1989" s="49"/>
      <c r="C1989" s="192"/>
      <c r="D1989" s="192"/>
      <c r="E1989" s="69"/>
      <c r="F1989" s="243"/>
      <c r="G1989" s="69"/>
      <c r="H1989" s="69"/>
      <c r="I1989" s="140"/>
      <c r="J1989" s="446"/>
      <c r="K1989" s="140"/>
      <c r="L1989" s="140"/>
      <c r="M1989" s="140"/>
      <c r="N1989" s="74">
        <f t="shared" si="6"/>
        <v>0</v>
      </c>
      <c r="O1989" s="60">
        <f t="shared" si="2"/>
        <v>0</v>
      </c>
      <c r="P1989" s="65" t="str">
        <f>VLOOKUP(I1989,DATABASE!C:Q,11,FALSE)</f>
        <v>#N/A</v>
      </c>
      <c r="Q1989" s="65" t="str">
        <f>VLOOKUP(I1989,DATABASE!C:Q,4,FALSE)</f>
        <v>#N/A</v>
      </c>
      <c r="R1989" s="101"/>
      <c r="U1989" s="101"/>
    </row>
    <row r="1990" ht="22.5" customHeight="1">
      <c r="A1990" s="49"/>
      <c r="C1990" s="192"/>
      <c r="D1990" s="192"/>
      <c r="E1990" s="69"/>
      <c r="F1990" s="243"/>
      <c r="G1990" s="69"/>
      <c r="H1990" s="69"/>
      <c r="I1990" s="140"/>
      <c r="J1990" s="446"/>
      <c r="K1990" s="140"/>
      <c r="L1990" s="140"/>
      <c r="M1990" s="140"/>
      <c r="N1990" s="74">
        <f t="shared" si="6"/>
        <v>0</v>
      </c>
      <c r="O1990" s="60">
        <f t="shared" si="2"/>
        <v>0</v>
      </c>
      <c r="P1990" s="65" t="str">
        <f>VLOOKUP(I1990,DATABASE!C:Q,11,FALSE)</f>
        <v>#N/A</v>
      </c>
      <c r="Q1990" s="65" t="str">
        <f>VLOOKUP(I1990,DATABASE!C:Q,4,FALSE)</f>
        <v>#N/A</v>
      </c>
      <c r="R1990" s="101"/>
      <c r="U1990" s="101"/>
    </row>
    <row r="1991" ht="22.5" customHeight="1">
      <c r="A1991" s="49"/>
      <c r="C1991" s="192"/>
      <c r="D1991" s="192"/>
      <c r="E1991" s="69"/>
      <c r="F1991" s="243"/>
      <c r="G1991" s="69"/>
      <c r="H1991" s="69"/>
      <c r="I1991" s="140"/>
      <c r="J1991" s="446"/>
      <c r="K1991" s="140"/>
      <c r="L1991" s="140"/>
      <c r="M1991" s="140"/>
      <c r="N1991" s="74">
        <f t="shared" si="6"/>
        <v>0</v>
      </c>
      <c r="O1991" s="60">
        <f t="shared" si="2"/>
        <v>0</v>
      </c>
      <c r="P1991" s="65" t="str">
        <f>VLOOKUP(I1991,DATABASE!C:Q,11,FALSE)</f>
        <v>#N/A</v>
      </c>
      <c r="Q1991" s="65" t="str">
        <f>VLOOKUP(I1991,DATABASE!C:Q,4,FALSE)</f>
        <v>#N/A</v>
      </c>
      <c r="R1991" s="101"/>
      <c r="U1991" s="101"/>
    </row>
    <row r="1992" ht="22.5" customHeight="1">
      <c r="A1992" s="49"/>
      <c r="C1992" s="192"/>
      <c r="D1992" s="192"/>
      <c r="E1992" s="69"/>
      <c r="F1992" s="243"/>
      <c r="G1992" s="69"/>
      <c r="H1992" s="69"/>
      <c r="I1992" s="140"/>
      <c r="J1992" s="446"/>
      <c r="K1992" s="140"/>
      <c r="L1992" s="140"/>
      <c r="M1992" s="140"/>
      <c r="N1992" s="74">
        <f t="shared" si="6"/>
        <v>0</v>
      </c>
      <c r="O1992" s="60">
        <f t="shared" si="2"/>
        <v>0</v>
      </c>
      <c r="P1992" s="65" t="str">
        <f>VLOOKUP(I1992,DATABASE!C:Q,11,FALSE)</f>
        <v>#N/A</v>
      </c>
      <c r="Q1992" s="65" t="str">
        <f>VLOOKUP(I1992,DATABASE!C:Q,4,FALSE)</f>
        <v>#N/A</v>
      </c>
      <c r="R1992" s="101"/>
      <c r="U1992" s="101"/>
    </row>
    <row r="1993" ht="22.5" customHeight="1">
      <c r="A1993" s="49"/>
      <c r="C1993" s="192"/>
      <c r="D1993" s="192"/>
      <c r="E1993" s="69"/>
      <c r="F1993" s="243"/>
      <c r="G1993" s="69"/>
      <c r="H1993" s="69"/>
      <c r="I1993" s="140"/>
      <c r="J1993" s="446"/>
      <c r="K1993" s="140"/>
      <c r="L1993" s="140"/>
      <c r="M1993" s="140"/>
      <c r="N1993" s="74">
        <f t="shared" si="6"/>
        <v>0</v>
      </c>
      <c r="O1993" s="60">
        <f t="shared" si="2"/>
        <v>0</v>
      </c>
      <c r="P1993" s="65" t="str">
        <f>VLOOKUP(I1993,DATABASE!C:Q,11,FALSE)</f>
        <v>#N/A</v>
      </c>
      <c r="Q1993" s="65" t="str">
        <f>VLOOKUP(I1993,DATABASE!C:Q,4,FALSE)</f>
        <v>#N/A</v>
      </c>
      <c r="R1993" s="101"/>
      <c r="U1993" s="101"/>
    </row>
    <row r="1994" ht="22.5" customHeight="1">
      <c r="A1994" s="49"/>
      <c r="C1994" s="192"/>
      <c r="D1994" s="192"/>
      <c r="E1994" s="69"/>
      <c r="F1994" s="243"/>
      <c r="G1994" s="69"/>
      <c r="H1994" s="69"/>
      <c r="I1994" s="140"/>
      <c r="J1994" s="446"/>
      <c r="K1994" s="140"/>
      <c r="L1994" s="140"/>
      <c r="M1994" s="140"/>
      <c r="N1994" s="74">
        <f t="shared" si="6"/>
        <v>0</v>
      </c>
      <c r="O1994" s="60">
        <f t="shared" si="2"/>
        <v>0</v>
      </c>
      <c r="P1994" s="65" t="str">
        <f>VLOOKUP(I1994,DATABASE!C:Q,11,FALSE)</f>
        <v>#N/A</v>
      </c>
      <c r="Q1994" s="65" t="str">
        <f>VLOOKUP(I1994,DATABASE!C:Q,4,FALSE)</f>
        <v>#N/A</v>
      </c>
      <c r="R1994" s="101"/>
      <c r="U1994" s="101"/>
    </row>
    <row r="1995" ht="22.5" customHeight="1">
      <c r="A1995" s="49"/>
      <c r="C1995" s="192"/>
      <c r="D1995" s="192"/>
      <c r="E1995" s="69"/>
      <c r="F1995" s="243"/>
      <c r="G1995" s="69"/>
      <c r="H1995" s="69"/>
      <c r="I1995" s="140"/>
      <c r="J1995" s="446"/>
      <c r="K1995" s="140"/>
      <c r="L1995" s="140"/>
      <c r="M1995" s="140"/>
      <c r="N1995" s="74">
        <f t="shared" si="6"/>
        <v>0</v>
      </c>
      <c r="O1995" s="60">
        <f t="shared" si="2"/>
        <v>0</v>
      </c>
      <c r="P1995" s="65" t="str">
        <f>VLOOKUP(I1995,DATABASE!C:Q,11,FALSE)</f>
        <v>#N/A</v>
      </c>
      <c r="Q1995" s="65" t="str">
        <f>VLOOKUP(I1995,DATABASE!C:Q,4,FALSE)</f>
        <v>#N/A</v>
      </c>
      <c r="R1995" s="101"/>
      <c r="U1995" s="101"/>
    </row>
    <row r="1996" ht="22.5" customHeight="1">
      <c r="A1996" s="49"/>
      <c r="C1996" s="192"/>
      <c r="D1996" s="192"/>
      <c r="E1996" s="69"/>
      <c r="F1996" s="243"/>
      <c r="G1996" s="69"/>
      <c r="H1996" s="69"/>
      <c r="I1996" s="140"/>
      <c r="J1996" s="446"/>
      <c r="K1996" s="140"/>
      <c r="L1996" s="140"/>
      <c r="M1996" s="140"/>
      <c r="N1996" s="74">
        <f t="shared" si="6"/>
        <v>0</v>
      </c>
      <c r="O1996" s="60">
        <f t="shared" si="2"/>
        <v>0</v>
      </c>
      <c r="P1996" s="65" t="str">
        <f>VLOOKUP(I1996,DATABASE!C:Q,11,FALSE)</f>
        <v>#N/A</v>
      </c>
      <c r="Q1996" s="65" t="str">
        <f>VLOOKUP(I1996,DATABASE!C:Q,4,FALSE)</f>
        <v>#N/A</v>
      </c>
      <c r="R1996" s="101"/>
      <c r="U1996" s="101"/>
    </row>
    <row r="1997" ht="22.5" customHeight="1">
      <c r="A1997" s="49"/>
      <c r="C1997" s="192"/>
      <c r="D1997" s="192"/>
      <c r="E1997" s="69"/>
      <c r="F1997" s="243"/>
      <c r="G1997" s="69"/>
      <c r="H1997" s="69"/>
      <c r="I1997" s="140"/>
      <c r="J1997" s="446"/>
      <c r="K1997" s="140"/>
      <c r="L1997" s="140"/>
      <c r="M1997" s="140"/>
      <c r="N1997" s="74">
        <f t="shared" si="6"/>
        <v>0</v>
      </c>
      <c r="O1997" s="60">
        <f t="shared" si="2"/>
        <v>0</v>
      </c>
      <c r="P1997" s="65" t="str">
        <f>VLOOKUP(I1997,DATABASE!C:Q,11,FALSE)</f>
        <v>#N/A</v>
      </c>
      <c r="Q1997" s="65" t="str">
        <f>VLOOKUP(I1997,DATABASE!C:Q,4,FALSE)</f>
        <v>#N/A</v>
      </c>
      <c r="R1997" s="101"/>
      <c r="U1997" s="101"/>
    </row>
    <row r="1998" ht="22.5" customHeight="1">
      <c r="A1998" s="49"/>
      <c r="C1998" s="192"/>
      <c r="D1998" s="192"/>
      <c r="E1998" s="69"/>
      <c r="F1998" s="243"/>
      <c r="G1998" s="69"/>
      <c r="H1998" s="69"/>
      <c r="I1998" s="140"/>
      <c r="J1998" s="446"/>
      <c r="K1998" s="140"/>
      <c r="L1998" s="140"/>
      <c r="M1998" s="140"/>
      <c r="N1998" s="74">
        <f t="shared" si="6"/>
        <v>0</v>
      </c>
      <c r="O1998" s="60">
        <f t="shared" si="2"/>
        <v>0</v>
      </c>
      <c r="P1998" s="65" t="str">
        <f>VLOOKUP(I1998,DATABASE!C:Q,11,FALSE)</f>
        <v>#N/A</v>
      </c>
      <c r="Q1998" s="65" t="str">
        <f>VLOOKUP(I1998,DATABASE!C:Q,4,FALSE)</f>
        <v>#N/A</v>
      </c>
      <c r="R1998" s="101"/>
      <c r="U1998" s="101"/>
    </row>
    <row r="1999" ht="22.5" customHeight="1">
      <c r="A1999" s="49"/>
      <c r="C1999" s="192"/>
      <c r="D1999" s="192"/>
      <c r="E1999" s="69"/>
      <c r="F1999" s="243"/>
      <c r="G1999" s="69"/>
      <c r="H1999" s="69"/>
      <c r="I1999" s="140"/>
      <c r="J1999" s="446"/>
      <c r="K1999" s="140"/>
      <c r="L1999" s="140"/>
      <c r="M1999" s="140"/>
      <c r="N1999" s="74">
        <f t="shared" si="6"/>
        <v>0</v>
      </c>
      <c r="O1999" s="60">
        <f t="shared" si="2"/>
        <v>0</v>
      </c>
      <c r="P1999" s="65" t="str">
        <f>VLOOKUP(I1999,DATABASE!C:Q,11,FALSE)</f>
        <v>#N/A</v>
      </c>
      <c r="Q1999" s="65" t="str">
        <f>VLOOKUP(I1999,DATABASE!C:Q,4,FALSE)</f>
        <v>#N/A</v>
      </c>
      <c r="R1999" s="101"/>
      <c r="U1999" s="101"/>
    </row>
    <row r="2000" ht="22.5" customHeight="1">
      <c r="A2000" s="49"/>
      <c r="C2000" s="192"/>
      <c r="D2000" s="192"/>
      <c r="E2000" s="69"/>
      <c r="F2000" s="243"/>
      <c r="G2000" s="69"/>
      <c r="H2000" s="69"/>
      <c r="I2000" s="140"/>
      <c r="J2000" s="446"/>
      <c r="K2000" s="140"/>
      <c r="L2000" s="140"/>
      <c r="M2000" s="140"/>
      <c r="N2000" s="74">
        <f t="shared" si="6"/>
        <v>0</v>
      </c>
      <c r="O2000" s="60">
        <f t="shared" si="2"/>
        <v>0</v>
      </c>
      <c r="P2000" s="65" t="str">
        <f>VLOOKUP(I2000,DATABASE!C:Q,11,FALSE)</f>
        <v>#N/A</v>
      </c>
      <c r="Q2000" s="65" t="str">
        <f>VLOOKUP(I2000,DATABASE!C:Q,4,FALSE)</f>
        <v>#N/A</v>
      </c>
      <c r="R2000" s="101"/>
      <c r="U2000" s="101"/>
    </row>
    <row r="2001" ht="22.5" customHeight="1">
      <c r="A2001" s="49"/>
      <c r="C2001" s="192"/>
      <c r="D2001" s="192"/>
      <c r="E2001" s="69"/>
      <c r="F2001" s="243"/>
      <c r="G2001" s="69"/>
      <c r="H2001" s="69"/>
      <c r="I2001" s="140"/>
      <c r="J2001" s="446"/>
      <c r="K2001" s="140"/>
      <c r="L2001" s="140"/>
      <c r="M2001" s="140"/>
      <c r="N2001" s="74">
        <f t="shared" si="6"/>
        <v>0</v>
      </c>
      <c r="O2001" s="60">
        <f t="shared" si="2"/>
        <v>0</v>
      </c>
      <c r="P2001" s="65" t="str">
        <f>VLOOKUP(I2001,DATABASE!C:Q,11,FALSE)</f>
        <v>#N/A</v>
      </c>
      <c r="Q2001" s="65" t="str">
        <f>VLOOKUP(I2001,DATABASE!C:Q,4,FALSE)</f>
        <v>#N/A</v>
      </c>
      <c r="R2001" s="101"/>
      <c r="U2001" s="101"/>
    </row>
    <row r="2002" ht="22.5" customHeight="1">
      <c r="A2002" s="49"/>
      <c r="C2002" s="192"/>
      <c r="D2002" s="192"/>
      <c r="E2002" s="69"/>
      <c r="F2002" s="243"/>
      <c r="G2002" s="69"/>
      <c r="H2002" s="69"/>
      <c r="I2002" s="140"/>
      <c r="J2002" s="446"/>
      <c r="K2002" s="140"/>
      <c r="L2002" s="140"/>
      <c r="M2002" s="140"/>
      <c r="N2002" s="74">
        <f t="shared" si="6"/>
        <v>0</v>
      </c>
      <c r="O2002" s="60">
        <f t="shared" si="2"/>
        <v>0</v>
      </c>
      <c r="P2002" s="65" t="str">
        <f>VLOOKUP(I2002,DATABASE!C:Q,11,FALSE)</f>
        <v>#N/A</v>
      </c>
      <c r="Q2002" s="65" t="str">
        <f>VLOOKUP(I2002,DATABASE!C:Q,4,FALSE)</f>
        <v>#N/A</v>
      </c>
      <c r="R2002" s="101"/>
      <c r="U2002" s="101"/>
    </row>
    <row r="2003" ht="22.5" customHeight="1">
      <c r="A2003" s="49"/>
      <c r="C2003" s="69"/>
      <c r="D2003" s="69"/>
      <c r="E2003" s="93"/>
      <c r="F2003" s="82"/>
      <c r="G2003" s="93"/>
      <c r="H2003" s="93"/>
      <c r="I2003" s="69"/>
      <c r="J2003" s="446">
        <f>SUM(Table_Purchase[Quantity])</f>
        <v>12149</v>
      </c>
      <c r="K2003" s="140">
        <f>SUM(Table_Purchase[Price])</f>
        <v>624808590.9</v>
      </c>
      <c r="L2003" s="140">
        <f>SUM(Table_Purchase[Price Fixed])</f>
        <v>1186618124</v>
      </c>
      <c r="M2003" s="140">
        <f>SUM(Table_Purchase[Payment])</f>
        <v>0</v>
      </c>
      <c r="N2003" s="74">
        <f>SUM(Table_Purchase[SUM])</f>
        <v>7950801741</v>
      </c>
      <c r="O2003" s="93"/>
      <c r="P2003" s="93"/>
      <c r="Q2003" s="93"/>
      <c r="R2003" s="101"/>
      <c r="U2003" s="101"/>
    </row>
    <row r="2004">
      <c r="A2004" s="49"/>
      <c r="C2004" s="13"/>
      <c r="D2004" s="13"/>
      <c r="E2004" s="2"/>
      <c r="F2004" s="655"/>
      <c r="G2004" s="2"/>
      <c r="H2004" s="2"/>
      <c r="I2004" s="13"/>
      <c r="J2004" s="656"/>
      <c r="K2004" s="13"/>
      <c r="L2004" s="13"/>
      <c r="M2004" s="13"/>
      <c r="N2004" s="2"/>
      <c r="O2004" s="2"/>
      <c r="P2004" s="2"/>
      <c r="Q2004" s="2"/>
      <c r="R2004" s="101"/>
      <c r="U2004" s="101"/>
    </row>
    <row r="2005">
      <c r="A2005" s="49"/>
      <c r="C2005" s="13"/>
      <c r="D2005" s="13"/>
      <c r="E2005" s="2"/>
      <c r="F2005" s="655"/>
      <c r="G2005" s="2"/>
      <c r="H2005" s="2"/>
      <c r="I2005" s="13"/>
      <c r="J2005" s="656"/>
      <c r="K2005" s="13"/>
      <c r="L2005" s="13"/>
      <c r="M2005" s="13"/>
      <c r="N2005" s="2"/>
      <c r="O2005" s="2"/>
      <c r="P2005" s="2"/>
      <c r="Q2005" s="2"/>
      <c r="R2005" s="101"/>
      <c r="U2005" s="101"/>
    </row>
    <row r="2006">
      <c r="A2006" s="49"/>
      <c r="C2006" s="13"/>
      <c r="D2006" s="13"/>
      <c r="E2006" s="2"/>
      <c r="F2006" s="655"/>
      <c r="G2006" s="2"/>
      <c r="H2006" s="2"/>
      <c r="I2006" s="13"/>
      <c r="J2006" s="656"/>
      <c r="K2006" s="13"/>
      <c r="L2006" s="13"/>
      <c r="M2006" s="13"/>
      <c r="N2006" s="2"/>
      <c r="O2006" s="2"/>
      <c r="P2006" s="2"/>
      <c r="Q2006" s="2"/>
      <c r="R2006" s="101"/>
      <c r="U2006" s="101"/>
    </row>
    <row r="2007">
      <c r="A2007" s="49"/>
      <c r="C2007" s="13"/>
      <c r="D2007" s="13"/>
      <c r="E2007" s="2"/>
      <c r="F2007" s="655"/>
      <c r="G2007" s="2"/>
      <c r="H2007" s="2"/>
      <c r="I2007" s="13"/>
      <c r="J2007" s="656"/>
      <c r="K2007" s="13"/>
      <c r="L2007" s="13"/>
      <c r="M2007" s="13"/>
      <c r="N2007" s="2"/>
      <c r="O2007" s="2"/>
      <c r="P2007" s="2"/>
      <c r="Q2007" s="2"/>
      <c r="R2007" s="101"/>
      <c r="U2007" s="101"/>
    </row>
    <row r="2008">
      <c r="A2008" s="49"/>
      <c r="C2008" s="13"/>
      <c r="D2008" s="13"/>
      <c r="E2008" s="2"/>
      <c r="F2008" s="655"/>
      <c r="G2008" s="2"/>
      <c r="H2008" s="2"/>
      <c r="I2008" s="13"/>
      <c r="J2008" s="656"/>
      <c r="K2008" s="13"/>
      <c r="L2008" s="13"/>
      <c r="M2008" s="13"/>
      <c r="N2008" s="2"/>
      <c r="O2008" s="2"/>
      <c r="P2008" s="2"/>
      <c r="Q2008" s="2"/>
      <c r="R2008" s="101"/>
      <c r="U2008" s="101"/>
    </row>
    <row r="2009">
      <c r="A2009" s="49"/>
      <c r="C2009" s="13"/>
      <c r="D2009" s="13"/>
      <c r="E2009" s="2"/>
      <c r="F2009" s="655"/>
      <c r="G2009" s="2"/>
      <c r="H2009" s="2"/>
      <c r="I2009" s="13"/>
      <c r="J2009" s="656"/>
      <c r="K2009" s="13"/>
      <c r="L2009" s="13"/>
      <c r="M2009" s="13"/>
      <c r="N2009" s="2"/>
      <c r="O2009" s="2"/>
      <c r="P2009" s="2"/>
      <c r="Q2009" s="2"/>
      <c r="R2009" s="101"/>
      <c r="U2009" s="101"/>
    </row>
    <row r="2010">
      <c r="A2010" s="49"/>
      <c r="C2010" s="13"/>
      <c r="D2010" s="13"/>
      <c r="E2010" s="2"/>
      <c r="F2010" s="655"/>
      <c r="G2010" s="2"/>
      <c r="H2010" s="2"/>
      <c r="I2010" s="13"/>
      <c r="J2010" s="656"/>
      <c r="K2010" s="13"/>
      <c r="L2010" s="13"/>
      <c r="M2010" s="13"/>
      <c r="N2010" s="2"/>
      <c r="O2010" s="2"/>
      <c r="P2010" s="2"/>
      <c r="Q2010" s="2"/>
      <c r="R2010" s="101"/>
      <c r="U2010" s="101"/>
    </row>
    <row r="2011">
      <c r="A2011" s="49"/>
      <c r="C2011" s="13"/>
      <c r="D2011" s="13"/>
      <c r="E2011" s="2"/>
      <c r="F2011" s="655"/>
      <c r="G2011" s="2"/>
      <c r="H2011" s="2"/>
      <c r="I2011" s="13"/>
      <c r="J2011" s="656"/>
      <c r="K2011" s="13"/>
      <c r="L2011" s="13"/>
      <c r="M2011" s="13"/>
      <c r="N2011" s="2"/>
      <c r="O2011" s="2"/>
      <c r="P2011" s="2"/>
      <c r="Q2011" s="2"/>
      <c r="R2011" s="101"/>
      <c r="U2011" s="101"/>
    </row>
    <row r="2012">
      <c r="A2012" s="49"/>
      <c r="C2012" s="13"/>
      <c r="D2012" s="13"/>
      <c r="E2012" s="2"/>
      <c r="F2012" s="655"/>
      <c r="G2012" s="2"/>
      <c r="H2012" s="2"/>
      <c r="I2012" s="13"/>
      <c r="J2012" s="656"/>
      <c r="K2012" s="13"/>
      <c r="L2012" s="13"/>
      <c r="M2012" s="13"/>
      <c r="N2012" s="2"/>
      <c r="O2012" s="2"/>
      <c r="P2012" s="2"/>
      <c r="Q2012" s="2"/>
      <c r="R2012" s="101"/>
      <c r="U2012" s="101"/>
    </row>
    <row r="2013">
      <c r="A2013" s="49"/>
      <c r="C2013" s="13"/>
      <c r="D2013" s="13"/>
      <c r="E2013" s="2"/>
      <c r="F2013" s="655"/>
      <c r="G2013" s="2"/>
      <c r="H2013" s="2"/>
      <c r="I2013" s="13"/>
      <c r="J2013" s="656"/>
      <c r="K2013" s="13"/>
      <c r="L2013" s="13"/>
      <c r="M2013" s="13"/>
      <c r="N2013" s="2"/>
      <c r="O2013" s="2"/>
      <c r="P2013" s="2"/>
      <c r="Q2013" s="2"/>
      <c r="R2013" s="101"/>
      <c r="U2013" s="101"/>
    </row>
    <row r="2014">
      <c r="A2014" s="49"/>
      <c r="C2014" s="13"/>
      <c r="D2014" s="13"/>
      <c r="E2014" s="2"/>
      <c r="F2014" s="655"/>
      <c r="G2014" s="2"/>
      <c r="H2014" s="2"/>
      <c r="I2014" s="13"/>
      <c r="J2014" s="656"/>
      <c r="K2014" s="13"/>
      <c r="L2014" s="13"/>
      <c r="M2014" s="13"/>
      <c r="N2014" s="2"/>
      <c r="O2014" s="2"/>
      <c r="P2014" s="2"/>
      <c r="Q2014" s="2"/>
      <c r="R2014" s="101"/>
      <c r="U2014" s="101"/>
    </row>
    <row r="2015">
      <c r="A2015" s="49"/>
      <c r="C2015" s="13"/>
      <c r="D2015" s="13"/>
      <c r="E2015" s="2"/>
      <c r="F2015" s="655"/>
      <c r="G2015" s="2"/>
      <c r="H2015" s="2"/>
      <c r="I2015" s="13"/>
      <c r="J2015" s="656"/>
      <c r="K2015" s="13"/>
      <c r="L2015" s="13"/>
      <c r="M2015" s="13"/>
      <c r="N2015" s="2"/>
      <c r="O2015" s="2"/>
      <c r="P2015" s="2"/>
      <c r="Q2015" s="2"/>
      <c r="R2015" s="101"/>
      <c r="U2015" s="101"/>
    </row>
    <row r="2016">
      <c r="A2016" s="49"/>
      <c r="C2016" s="13"/>
      <c r="D2016" s="13"/>
      <c r="E2016" s="2"/>
      <c r="F2016" s="655"/>
      <c r="G2016" s="2"/>
      <c r="H2016" s="2"/>
      <c r="I2016" s="13"/>
      <c r="J2016" s="656"/>
      <c r="K2016" s="13"/>
      <c r="L2016" s="13"/>
      <c r="M2016" s="13"/>
      <c r="N2016" s="2"/>
      <c r="O2016" s="2"/>
      <c r="P2016" s="2"/>
      <c r="Q2016" s="2"/>
      <c r="R2016" s="101"/>
      <c r="U2016" s="101"/>
    </row>
    <row r="2017">
      <c r="A2017" s="49"/>
      <c r="C2017" s="13"/>
      <c r="D2017" s="13"/>
      <c r="E2017" s="2"/>
      <c r="F2017" s="655"/>
      <c r="G2017" s="2"/>
      <c r="H2017" s="2"/>
      <c r="I2017" s="13"/>
      <c r="J2017" s="656"/>
      <c r="K2017" s="13"/>
      <c r="L2017" s="13"/>
      <c r="M2017" s="13"/>
      <c r="N2017" s="2"/>
      <c r="O2017" s="2"/>
      <c r="P2017" s="2"/>
      <c r="Q2017" s="2"/>
      <c r="R2017" s="101"/>
      <c r="U2017" s="101"/>
    </row>
    <row r="2018">
      <c r="A2018" s="49"/>
      <c r="C2018" s="13"/>
      <c r="D2018" s="13"/>
      <c r="E2018" s="2"/>
      <c r="F2018" s="655"/>
      <c r="G2018" s="2"/>
      <c r="H2018" s="2"/>
      <c r="I2018" s="13"/>
      <c r="J2018" s="656"/>
      <c r="K2018" s="13"/>
      <c r="L2018" s="13"/>
      <c r="M2018" s="13"/>
      <c r="N2018" s="2"/>
      <c r="O2018" s="2"/>
      <c r="P2018" s="2"/>
      <c r="Q2018" s="2"/>
      <c r="R2018" s="101"/>
      <c r="U2018" s="101"/>
    </row>
    <row r="2019">
      <c r="A2019" s="49"/>
      <c r="C2019" s="13"/>
      <c r="D2019" s="13"/>
      <c r="E2019" s="2"/>
      <c r="F2019" s="655"/>
      <c r="G2019" s="2"/>
      <c r="H2019" s="2"/>
      <c r="I2019" s="13"/>
      <c r="J2019" s="656"/>
      <c r="K2019" s="13"/>
      <c r="L2019" s="13"/>
      <c r="M2019" s="13"/>
      <c r="N2019" s="2"/>
      <c r="O2019" s="2"/>
      <c r="P2019" s="2"/>
      <c r="Q2019" s="2"/>
      <c r="R2019" s="101"/>
      <c r="U2019" s="101"/>
    </row>
    <row r="2020">
      <c r="A2020" s="49"/>
      <c r="C2020" s="13"/>
      <c r="D2020" s="13"/>
      <c r="E2020" s="2"/>
      <c r="F2020" s="655"/>
      <c r="G2020" s="2"/>
      <c r="H2020" s="2"/>
      <c r="I2020" s="13"/>
      <c r="J2020" s="656"/>
      <c r="K2020" s="13"/>
      <c r="L2020" s="13"/>
      <c r="M2020" s="13"/>
      <c r="N2020" s="2"/>
      <c r="O2020" s="2"/>
      <c r="P2020" s="2"/>
      <c r="Q2020" s="2"/>
      <c r="R2020" s="101"/>
      <c r="U2020" s="101"/>
    </row>
    <row r="2021">
      <c r="A2021" s="49"/>
      <c r="C2021" s="13"/>
      <c r="D2021" s="13"/>
      <c r="E2021" s="2"/>
      <c r="F2021" s="655"/>
      <c r="G2021" s="2"/>
      <c r="H2021" s="2"/>
      <c r="I2021" s="13"/>
      <c r="J2021" s="656"/>
      <c r="K2021" s="13"/>
      <c r="L2021" s="13"/>
      <c r="M2021" s="13"/>
      <c r="N2021" s="2"/>
      <c r="O2021" s="2"/>
      <c r="P2021" s="2"/>
      <c r="Q2021" s="2"/>
      <c r="R2021" s="101"/>
      <c r="U2021" s="101"/>
    </row>
    <row r="2022">
      <c r="A2022" s="49"/>
      <c r="C2022" s="13"/>
      <c r="D2022" s="13"/>
      <c r="E2022" s="2"/>
      <c r="F2022" s="655"/>
      <c r="G2022" s="2"/>
      <c r="H2022" s="2"/>
      <c r="I2022" s="13"/>
      <c r="J2022" s="656"/>
      <c r="K2022" s="13"/>
      <c r="L2022" s="13"/>
      <c r="M2022" s="13"/>
      <c r="N2022" s="2"/>
      <c r="O2022" s="2"/>
      <c r="P2022" s="2"/>
      <c r="Q2022" s="2"/>
      <c r="R2022" s="101"/>
      <c r="U2022" s="101"/>
    </row>
    <row r="2023">
      <c r="A2023" s="49"/>
      <c r="C2023" s="13"/>
      <c r="D2023" s="13"/>
      <c r="E2023" s="2"/>
      <c r="F2023" s="655"/>
      <c r="G2023" s="2"/>
      <c r="H2023" s="2"/>
      <c r="I2023" s="13"/>
      <c r="J2023" s="656"/>
      <c r="K2023" s="13"/>
      <c r="L2023" s="13"/>
      <c r="M2023" s="13"/>
      <c r="N2023" s="2"/>
      <c r="O2023" s="2"/>
      <c r="P2023" s="2"/>
      <c r="Q2023" s="2"/>
      <c r="R2023" s="101"/>
      <c r="U2023" s="101"/>
    </row>
    <row r="2024">
      <c r="A2024" s="49"/>
      <c r="C2024" s="13"/>
      <c r="D2024" s="13"/>
      <c r="E2024" s="2"/>
      <c r="F2024" s="655"/>
      <c r="G2024" s="2"/>
      <c r="H2024" s="2"/>
      <c r="I2024" s="13"/>
      <c r="J2024" s="656"/>
      <c r="K2024" s="13"/>
      <c r="L2024" s="13"/>
      <c r="M2024" s="13"/>
      <c r="N2024" s="2"/>
      <c r="O2024" s="2"/>
      <c r="P2024" s="2"/>
      <c r="Q2024" s="2"/>
      <c r="R2024" s="101"/>
      <c r="U2024" s="101"/>
    </row>
    <row r="2025">
      <c r="A2025" s="49"/>
      <c r="C2025" s="13"/>
      <c r="D2025" s="13"/>
      <c r="E2025" s="2"/>
      <c r="F2025" s="655"/>
      <c r="G2025" s="2"/>
      <c r="H2025" s="2"/>
      <c r="I2025" s="13"/>
      <c r="J2025" s="656"/>
      <c r="K2025" s="13"/>
      <c r="L2025" s="13"/>
      <c r="M2025" s="13"/>
      <c r="N2025" s="2"/>
      <c r="O2025" s="2"/>
      <c r="P2025" s="2"/>
      <c r="Q2025" s="2"/>
      <c r="R2025" s="101"/>
      <c r="U2025" s="101"/>
    </row>
    <row r="2026">
      <c r="A2026" s="49"/>
      <c r="C2026" s="13"/>
      <c r="D2026" s="13"/>
      <c r="E2026" s="2"/>
      <c r="F2026" s="655"/>
      <c r="G2026" s="2"/>
      <c r="H2026" s="2"/>
      <c r="I2026" s="13"/>
      <c r="J2026" s="656"/>
      <c r="K2026" s="13"/>
      <c r="L2026" s="13"/>
      <c r="M2026" s="13"/>
      <c r="N2026" s="2"/>
      <c r="O2026" s="2"/>
      <c r="P2026" s="2"/>
      <c r="Q2026" s="2"/>
      <c r="R2026" s="101"/>
      <c r="U2026" s="101"/>
    </row>
    <row r="2027">
      <c r="A2027" s="49"/>
      <c r="C2027" s="13"/>
      <c r="D2027" s="13"/>
      <c r="E2027" s="2"/>
      <c r="F2027" s="655"/>
      <c r="G2027" s="2"/>
      <c r="H2027" s="2"/>
      <c r="I2027" s="13"/>
      <c r="J2027" s="656"/>
      <c r="K2027" s="13"/>
      <c r="L2027" s="13"/>
      <c r="M2027" s="13"/>
      <c r="N2027" s="2"/>
      <c r="O2027" s="2"/>
      <c r="P2027" s="2"/>
      <c r="Q2027" s="2"/>
      <c r="R2027" s="101"/>
      <c r="U2027" s="101"/>
    </row>
    <row r="2028">
      <c r="A2028" s="49"/>
      <c r="C2028" s="13"/>
      <c r="D2028" s="13"/>
      <c r="E2028" s="2"/>
      <c r="F2028" s="655"/>
      <c r="G2028" s="2"/>
      <c r="H2028" s="2"/>
      <c r="I2028" s="13"/>
      <c r="J2028" s="656"/>
      <c r="K2028" s="13"/>
      <c r="L2028" s="13"/>
      <c r="M2028" s="13"/>
      <c r="N2028" s="2"/>
      <c r="O2028" s="2"/>
      <c r="P2028" s="2"/>
      <c r="Q2028" s="2"/>
      <c r="R2028" s="101"/>
      <c r="U2028" s="101"/>
    </row>
    <row r="2029">
      <c r="A2029" s="49"/>
      <c r="C2029" s="13"/>
      <c r="D2029" s="13"/>
      <c r="E2029" s="2"/>
      <c r="F2029" s="655"/>
      <c r="G2029" s="2"/>
      <c r="H2029" s="2"/>
      <c r="I2029" s="13"/>
      <c r="J2029" s="656"/>
      <c r="K2029" s="13"/>
      <c r="L2029" s="13"/>
      <c r="M2029" s="13"/>
      <c r="N2029" s="2"/>
      <c r="O2029" s="2"/>
      <c r="P2029" s="2"/>
      <c r="Q2029" s="2"/>
      <c r="R2029" s="101"/>
      <c r="U2029" s="101"/>
    </row>
    <row r="2030">
      <c r="A2030" s="49"/>
      <c r="C2030" s="13"/>
      <c r="D2030" s="13"/>
      <c r="E2030" s="2"/>
      <c r="F2030" s="655"/>
      <c r="G2030" s="2"/>
      <c r="H2030" s="2"/>
      <c r="I2030" s="13"/>
      <c r="J2030" s="656"/>
      <c r="K2030" s="13"/>
      <c r="L2030" s="13"/>
      <c r="M2030" s="13"/>
      <c r="N2030" s="2"/>
      <c r="O2030" s="2"/>
      <c r="P2030" s="2"/>
      <c r="Q2030" s="2"/>
      <c r="R2030" s="101"/>
      <c r="U2030" s="101"/>
    </row>
    <row r="2031">
      <c r="A2031" s="49"/>
      <c r="C2031" s="13"/>
      <c r="D2031" s="13"/>
      <c r="E2031" s="2"/>
      <c r="F2031" s="655"/>
      <c r="G2031" s="2"/>
      <c r="H2031" s="2"/>
      <c r="I2031" s="13"/>
      <c r="J2031" s="656"/>
      <c r="K2031" s="13"/>
      <c r="L2031" s="13"/>
      <c r="M2031" s="13"/>
      <c r="N2031" s="2"/>
      <c r="O2031" s="2"/>
      <c r="P2031" s="2"/>
      <c r="Q2031" s="2"/>
      <c r="R2031" s="101"/>
      <c r="U2031" s="101"/>
    </row>
    <row r="2032">
      <c r="A2032" s="49"/>
      <c r="C2032" s="13"/>
      <c r="D2032" s="13"/>
      <c r="E2032" s="2"/>
      <c r="F2032" s="655"/>
      <c r="G2032" s="2"/>
      <c r="H2032" s="2"/>
      <c r="I2032" s="13"/>
      <c r="J2032" s="656"/>
      <c r="K2032" s="13"/>
      <c r="L2032" s="13"/>
      <c r="M2032" s="13"/>
      <c r="N2032" s="2"/>
      <c r="O2032" s="2"/>
      <c r="P2032" s="2"/>
      <c r="Q2032" s="2"/>
      <c r="R2032" s="101"/>
      <c r="U2032" s="101"/>
    </row>
    <row r="2033">
      <c r="A2033" s="49"/>
      <c r="C2033" s="13"/>
      <c r="D2033" s="13"/>
      <c r="E2033" s="2"/>
      <c r="F2033" s="655"/>
      <c r="G2033" s="2"/>
      <c r="H2033" s="2"/>
      <c r="I2033" s="13"/>
      <c r="J2033" s="656"/>
      <c r="K2033" s="13"/>
      <c r="L2033" s="13"/>
      <c r="M2033" s="13"/>
      <c r="N2033" s="2"/>
      <c r="O2033" s="2"/>
      <c r="P2033" s="2"/>
      <c r="Q2033" s="2"/>
      <c r="R2033" s="101"/>
      <c r="U2033" s="101"/>
    </row>
    <row r="2034">
      <c r="A2034" s="49"/>
      <c r="C2034" s="13"/>
      <c r="D2034" s="13"/>
      <c r="E2034" s="2"/>
      <c r="F2034" s="655"/>
      <c r="G2034" s="2"/>
      <c r="H2034" s="2"/>
      <c r="I2034" s="13"/>
      <c r="J2034" s="656"/>
      <c r="K2034" s="13"/>
      <c r="L2034" s="13"/>
      <c r="M2034" s="13"/>
      <c r="N2034" s="2"/>
      <c r="O2034" s="2"/>
      <c r="P2034" s="2"/>
      <c r="Q2034" s="2"/>
      <c r="R2034" s="101"/>
      <c r="U2034" s="101"/>
    </row>
    <row r="2035">
      <c r="A2035" s="49"/>
      <c r="C2035" s="13"/>
      <c r="D2035" s="13"/>
      <c r="E2035" s="2"/>
      <c r="F2035" s="655"/>
      <c r="G2035" s="2"/>
      <c r="H2035" s="2"/>
      <c r="I2035" s="13"/>
      <c r="J2035" s="656"/>
      <c r="K2035" s="13"/>
      <c r="L2035" s="13"/>
      <c r="M2035" s="13"/>
      <c r="N2035" s="2"/>
      <c r="O2035" s="2"/>
      <c r="P2035" s="2"/>
      <c r="Q2035" s="2"/>
      <c r="R2035" s="101"/>
      <c r="U2035" s="101"/>
    </row>
    <row r="2036">
      <c r="A2036" s="49"/>
      <c r="C2036" s="13"/>
      <c r="D2036" s="13"/>
      <c r="E2036" s="2"/>
      <c r="F2036" s="655"/>
      <c r="G2036" s="2"/>
      <c r="H2036" s="2"/>
      <c r="I2036" s="13"/>
      <c r="J2036" s="656"/>
      <c r="K2036" s="13"/>
      <c r="L2036" s="13"/>
      <c r="M2036" s="13"/>
      <c r="N2036" s="2"/>
      <c r="O2036" s="2"/>
      <c r="P2036" s="2"/>
      <c r="Q2036" s="2"/>
      <c r="R2036" s="101"/>
      <c r="U2036" s="101"/>
    </row>
    <row r="2037">
      <c r="A2037" s="49"/>
      <c r="C2037" s="13"/>
      <c r="D2037" s="13"/>
      <c r="E2037" s="2"/>
      <c r="F2037" s="655"/>
      <c r="G2037" s="2"/>
      <c r="H2037" s="2"/>
      <c r="I2037" s="13"/>
      <c r="J2037" s="656"/>
      <c r="K2037" s="13"/>
      <c r="L2037" s="13"/>
      <c r="M2037" s="13"/>
      <c r="N2037" s="2"/>
      <c r="O2037" s="2"/>
      <c r="P2037" s="2"/>
      <c r="Q2037" s="2"/>
      <c r="R2037" s="101"/>
      <c r="U2037" s="101"/>
    </row>
    <row r="2038">
      <c r="A2038" s="49"/>
      <c r="C2038" s="13"/>
      <c r="D2038" s="13"/>
      <c r="E2038" s="2"/>
      <c r="F2038" s="655"/>
      <c r="G2038" s="2"/>
      <c r="H2038" s="2"/>
      <c r="I2038" s="13"/>
      <c r="J2038" s="656"/>
      <c r="K2038" s="13"/>
      <c r="L2038" s="13"/>
      <c r="M2038" s="13"/>
      <c r="N2038" s="2"/>
      <c r="O2038" s="2"/>
      <c r="P2038" s="2"/>
      <c r="Q2038" s="2"/>
      <c r="R2038" s="101"/>
      <c r="U2038" s="101"/>
    </row>
    <row r="2039">
      <c r="A2039" s="49"/>
      <c r="C2039" s="13"/>
      <c r="D2039" s="13"/>
      <c r="E2039" s="2"/>
      <c r="F2039" s="655"/>
      <c r="G2039" s="2"/>
      <c r="H2039" s="2"/>
      <c r="I2039" s="13"/>
      <c r="J2039" s="656"/>
      <c r="K2039" s="13"/>
      <c r="L2039" s="13"/>
      <c r="M2039" s="13"/>
      <c r="N2039" s="2"/>
      <c r="O2039" s="2"/>
      <c r="P2039" s="2"/>
      <c r="Q2039" s="2"/>
      <c r="R2039" s="101"/>
      <c r="U2039" s="101"/>
    </row>
    <row r="2040">
      <c r="A2040" s="49"/>
      <c r="C2040" s="13"/>
      <c r="D2040" s="13"/>
      <c r="E2040" s="2"/>
      <c r="F2040" s="655"/>
      <c r="G2040" s="2"/>
      <c r="H2040" s="2"/>
      <c r="I2040" s="13"/>
      <c r="J2040" s="656"/>
      <c r="K2040" s="13"/>
      <c r="L2040" s="13"/>
      <c r="M2040" s="13"/>
      <c r="N2040" s="2"/>
      <c r="O2040" s="2"/>
      <c r="P2040" s="2"/>
      <c r="Q2040" s="2"/>
      <c r="R2040" s="101"/>
      <c r="U2040" s="101"/>
    </row>
    <row r="2041">
      <c r="A2041" s="49"/>
      <c r="C2041" s="13"/>
      <c r="D2041" s="13"/>
      <c r="E2041" s="2"/>
      <c r="F2041" s="655"/>
      <c r="G2041" s="2"/>
      <c r="H2041" s="2"/>
      <c r="I2041" s="13"/>
      <c r="J2041" s="656"/>
      <c r="K2041" s="13"/>
      <c r="L2041" s="13"/>
      <c r="M2041" s="13"/>
      <c r="N2041" s="2"/>
      <c r="O2041" s="2"/>
      <c r="P2041" s="2"/>
      <c r="Q2041" s="2"/>
      <c r="R2041" s="101"/>
      <c r="U2041" s="101"/>
    </row>
    <row r="2042">
      <c r="A2042" s="49"/>
      <c r="C2042" s="13"/>
      <c r="D2042" s="13"/>
      <c r="E2042" s="2"/>
      <c r="F2042" s="655"/>
      <c r="G2042" s="2"/>
      <c r="H2042" s="2"/>
      <c r="I2042" s="13"/>
      <c r="J2042" s="656"/>
      <c r="K2042" s="13"/>
      <c r="L2042" s="13"/>
      <c r="M2042" s="13"/>
      <c r="N2042" s="2"/>
      <c r="O2042" s="2"/>
      <c r="P2042" s="2"/>
      <c r="Q2042" s="2"/>
      <c r="R2042" s="101"/>
      <c r="U2042" s="101"/>
    </row>
    <row r="2043">
      <c r="A2043" s="49"/>
      <c r="C2043" s="13"/>
      <c r="D2043" s="13"/>
      <c r="E2043" s="2"/>
      <c r="F2043" s="655"/>
      <c r="G2043" s="2"/>
      <c r="H2043" s="2"/>
      <c r="I2043" s="13"/>
      <c r="J2043" s="656"/>
      <c r="K2043" s="13"/>
      <c r="L2043" s="13"/>
      <c r="M2043" s="13"/>
      <c r="N2043" s="2"/>
      <c r="O2043" s="2"/>
      <c r="P2043" s="2"/>
      <c r="Q2043" s="2"/>
      <c r="R2043" s="101"/>
      <c r="U2043" s="101"/>
    </row>
    <row r="2044">
      <c r="A2044" s="49"/>
      <c r="C2044" s="13"/>
      <c r="D2044" s="13"/>
      <c r="E2044" s="2"/>
      <c r="F2044" s="655"/>
      <c r="G2044" s="2"/>
      <c r="H2044" s="2"/>
      <c r="I2044" s="13"/>
      <c r="J2044" s="656"/>
      <c r="K2044" s="13"/>
      <c r="L2044" s="13"/>
      <c r="M2044" s="13"/>
      <c r="N2044" s="2"/>
      <c r="O2044" s="2"/>
      <c r="P2044" s="2"/>
      <c r="Q2044" s="2"/>
      <c r="R2044" s="101"/>
      <c r="U2044" s="101"/>
    </row>
    <row r="2045">
      <c r="A2045" s="49"/>
      <c r="C2045" s="13"/>
      <c r="D2045" s="13"/>
      <c r="E2045" s="2"/>
      <c r="F2045" s="655"/>
      <c r="G2045" s="2"/>
      <c r="H2045" s="2"/>
      <c r="I2045" s="13"/>
      <c r="J2045" s="656"/>
      <c r="K2045" s="13"/>
      <c r="L2045" s="13"/>
      <c r="M2045" s="13"/>
      <c r="N2045" s="2"/>
      <c r="O2045" s="2"/>
      <c r="P2045" s="2"/>
      <c r="Q2045" s="2"/>
      <c r="R2045" s="101"/>
      <c r="U2045" s="101"/>
    </row>
    <row r="2046">
      <c r="A2046" s="49"/>
      <c r="C2046" s="13"/>
      <c r="D2046" s="13"/>
      <c r="E2046" s="2"/>
      <c r="F2046" s="655"/>
      <c r="G2046" s="2"/>
      <c r="H2046" s="2"/>
      <c r="I2046" s="13"/>
      <c r="J2046" s="656"/>
      <c r="K2046" s="13"/>
      <c r="L2046" s="13"/>
      <c r="M2046" s="13"/>
      <c r="N2046" s="2"/>
      <c r="O2046" s="2"/>
      <c r="P2046" s="2"/>
      <c r="Q2046" s="2"/>
      <c r="R2046" s="101"/>
      <c r="U2046" s="101"/>
    </row>
    <row r="2047">
      <c r="A2047" s="49"/>
      <c r="C2047" s="13"/>
      <c r="D2047" s="13"/>
      <c r="E2047" s="2"/>
      <c r="F2047" s="655"/>
      <c r="G2047" s="2"/>
      <c r="H2047" s="2"/>
      <c r="I2047" s="13"/>
      <c r="J2047" s="656"/>
      <c r="K2047" s="13"/>
      <c r="L2047" s="13"/>
      <c r="M2047" s="13"/>
      <c r="N2047" s="2"/>
      <c r="O2047" s="2"/>
      <c r="P2047" s="2"/>
      <c r="Q2047" s="2"/>
      <c r="R2047" s="101"/>
      <c r="U2047" s="101"/>
    </row>
    <row r="2048">
      <c r="A2048" s="49"/>
      <c r="C2048" s="13"/>
      <c r="D2048" s="13"/>
      <c r="E2048" s="2"/>
      <c r="F2048" s="655"/>
      <c r="G2048" s="2"/>
      <c r="H2048" s="2"/>
      <c r="I2048" s="13"/>
      <c r="J2048" s="656"/>
      <c r="K2048" s="13"/>
      <c r="L2048" s="13"/>
      <c r="M2048" s="13"/>
      <c r="N2048" s="2"/>
      <c r="O2048" s="2"/>
      <c r="P2048" s="2"/>
      <c r="Q2048" s="2"/>
      <c r="R2048" s="101"/>
      <c r="U2048" s="101"/>
    </row>
    <row r="2049">
      <c r="A2049" s="49"/>
      <c r="C2049" s="13"/>
      <c r="D2049" s="13"/>
      <c r="E2049" s="2"/>
      <c r="F2049" s="655"/>
      <c r="G2049" s="2"/>
      <c r="H2049" s="2"/>
      <c r="I2049" s="13"/>
      <c r="J2049" s="656"/>
      <c r="K2049" s="13"/>
      <c r="L2049" s="13"/>
      <c r="M2049" s="13"/>
      <c r="N2049" s="2"/>
      <c r="O2049" s="2"/>
      <c r="P2049" s="2"/>
      <c r="Q2049" s="2"/>
      <c r="R2049" s="101"/>
      <c r="U2049" s="101"/>
    </row>
    <row r="2050">
      <c r="A2050" s="49"/>
      <c r="C2050" s="13"/>
      <c r="D2050" s="13"/>
      <c r="E2050" s="2"/>
      <c r="F2050" s="655"/>
      <c r="G2050" s="2"/>
      <c r="H2050" s="2"/>
      <c r="I2050" s="13"/>
      <c r="J2050" s="656"/>
      <c r="K2050" s="13"/>
      <c r="L2050" s="13"/>
      <c r="M2050" s="13"/>
      <c r="N2050" s="2"/>
      <c r="O2050" s="2"/>
      <c r="P2050" s="2"/>
      <c r="Q2050" s="2"/>
      <c r="R2050" s="101"/>
      <c r="U2050" s="101"/>
    </row>
    <row r="2051">
      <c r="A2051" s="49"/>
      <c r="C2051" s="13"/>
      <c r="D2051" s="13"/>
      <c r="E2051" s="2"/>
      <c r="F2051" s="655"/>
      <c r="G2051" s="2"/>
      <c r="H2051" s="2"/>
      <c r="I2051" s="13"/>
      <c r="J2051" s="656"/>
      <c r="K2051" s="13"/>
      <c r="L2051" s="13"/>
      <c r="M2051" s="13"/>
      <c r="N2051" s="2"/>
      <c r="O2051" s="2"/>
      <c r="P2051" s="2"/>
      <c r="Q2051" s="2"/>
      <c r="R2051" s="101"/>
      <c r="U2051" s="101"/>
    </row>
    <row r="2052">
      <c r="A2052" s="49"/>
      <c r="C2052" s="13"/>
      <c r="D2052" s="13"/>
      <c r="E2052" s="2"/>
      <c r="F2052" s="655"/>
      <c r="G2052" s="2"/>
      <c r="H2052" s="2"/>
      <c r="I2052" s="13"/>
      <c r="J2052" s="656"/>
      <c r="K2052" s="13"/>
      <c r="L2052" s="13"/>
      <c r="M2052" s="13"/>
      <c r="N2052" s="2"/>
      <c r="O2052" s="2"/>
      <c r="P2052" s="2"/>
      <c r="Q2052" s="2"/>
      <c r="R2052" s="101"/>
      <c r="U2052" s="101"/>
    </row>
    <row r="2053">
      <c r="A2053" s="49"/>
      <c r="C2053" s="13"/>
      <c r="D2053" s="13"/>
      <c r="E2053" s="2"/>
      <c r="F2053" s="655"/>
      <c r="G2053" s="2"/>
      <c r="H2053" s="2"/>
      <c r="I2053" s="13"/>
      <c r="J2053" s="656"/>
      <c r="K2053" s="13"/>
      <c r="L2053" s="13"/>
      <c r="M2053" s="13"/>
      <c r="N2053" s="2"/>
      <c r="O2053" s="2"/>
      <c r="P2053" s="2"/>
      <c r="Q2053" s="2"/>
      <c r="R2053" s="101"/>
      <c r="U2053" s="101"/>
    </row>
    <row r="2054">
      <c r="A2054" s="49"/>
      <c r="C2054" s="13"/>
      <c r="D2054" s="13"/>
      <c r="E2054" s="2"/>
      <c r="F2054" s="655"/>
      <c r="G2054" s="2"/>
      <c r="H2054" s="2"/>
      <c r="I2054" s="13"/>
      <c r="J2054" s="656"/>
      <c r="K2054" s="13"/>
      <c r="L2054" s="13"/>
      <c r="M2054" s="13"/>
      <c r="N2054" s="2"/>
      <c r="O2054" s="2"/>
      <c r="P2054" s="2"/>
      <c r="Q2054" s="2"/>
      <c r="R2054" s="101"/>
      <c r="U2054" s="101"/>
    </row>
    <row r="2055">
      <c r="A2055" s="49"/>
      <c r="C2055" s="13"/>
      <c r="D2055" s="13"/>
      <c r="E2055" s="2"/>
      <c r="F2055" s="655"/>
      <c r="G2055" s="2"/>
      <c r="H2055" s="2"/>
      <c r="I2055" s="13"/>
      <c r="J2055" s="656"/>
      <c r="K2055" s="13"/>
      <c r="L2055" s="13"/>
      <c r="M2055" s="13"/>
      <c r="N2055" s="2"/>
      <c r="O2055" s="2"/>
      <c r="P2055" s="2"/>
      <c r="Q2055" s="2"/>
      <c r="R2055" s="101"/>
      <c r="U2055" s="101"/>
    </row>
    <row r="2056">
      <c r="A2056" s="49"/>
      <c r="C2056" s="13"/>
      <c r="D2056" s="13"/>
      <c r="E2056" s="2"/>
      <c r="F2056" s="655"/>
      <c r="G2056" s="2"/>
      <c r="H2056" s="2"/>
      <c r="I2056" s="13"/>
      <c r="J2056" s="656"/>
      <c r="K2056" s="13"/>
      <c r="L2056" s="13"/>
      <c r="M2056" s="13"/>
      <c r="N2056" s="2"/>
      <c r="O2056" s="2"/>
      <c r="P2056" s="2"/>
      <c r="Q2056" s="2"/>
      <c r="R2056" s="101"/>
      <c r="U2056" s="101"/>
    </row>
    <row r="2057">
      <c r="A2057" s="49"/>
      <c r="C2057" s="13"/>
      <c r="D2057" s="13"/>
      <c r="E2057" s="2"/>
      <c r="F2057" s="655"/>
      <c r="G2057" s="2"/>
      <c r="H2057" s="2"/>
      <c r="I2057" s="13"/>
      <c r="J2057" s="656"/>
      <c r="K2057" s="13"/>
      <c r="L2057" s="13"/>
      <c r="M2057" s="13"/>
      <c r="N2057" s="2"/>
      <c r="O2057" s="2"/>
      <c r="P2057" s="2"/>
      <c r="Q2057" s="2"/>
      <c r="R2057" s="101"/>
      <c r="U2057" s="101"/>
    </row>
    <row r="2058">
      <c r="A2058" s="49"/>
      <c r="C2058" s="13"/>
      <c r="D2058" s="13"/>
      <c r="E2058" s="2"/>
      <c r="F2058" s="655"/>
      <c r="G2058" s="2"/>
      <c r="H2058" s="2"/>
      <c r="I2058" s="13"/>
      <c r="J2058" s="656"/>
      <c r="K2058" s="13"/>
      <c r="L2058" s="13"/>
      <c r="M2058" s="13"/>
      <c r="N2058" s="2"/>
      <c r="O2058" s="2"/>
      <c r="P2058" s="2"/>
      <c r="Q2058" s="2"/>
      <c r="R2058" s="101"/>
      <c r="U2058" s="101"/>
    </row>
    <row r="2059">
      <c r="A2059" s="49"/>
      <c r="C2059" s="13"/>
      <c r="D2059" s="13"/>
      <c r="E2059" s="2"/>
      <c r="F2059" s="655"/>
      <c r="G2059" s="2"/>
      <c r="H2059" s="2"/>
      <c r="I2059" s="13"/>
      <c r="J2059" s="656"/>
      <c r="K2059" s="13"/>
      <c r="L2059" s="13"/>
      <c r="M2059" s="13"/>
      <c r="N2059" s="2"/>
      <c r="O2059" s="2"/>
      <c r="P2059" s="2"/>
      <c r="Q2059" s="2"/>
      <c r="R2059" s="101"/>
      <c r="U2059" s="101"/>
    </row>
    <row r="2060">
      <c r="A2060" s="49"/>
      <c r="C2060" s="13"/>
      <c r="D2060" s="13"/>
      <c r="E2060" s="2"/>
      <c r="F2060" s="655"/>
      <c r="G2060" s="2"/>
      <c r="H2060" s="2"/>
      <c r="I2060" s="13"/>
      <c r="J2060" s="656"/>
      <c r="K2060" s="13"/>
      <c r="L2060" s="13"/>
      <c r="M2060" s="13"/>
      <c r="N2060" s="2"/>
      <c r="O2060" s="2"/>
      <c r="P2060" s="2"/>
      <c r="Q2060" s="2"/>
      <c r="R2060" s="101"/>
      <c r="U2060" s="101"/>
    </row>
    <row r="2061">
      <c r="A2061" s="49"/>
      <c r="C2061" s="13"/>
      <c r="D2061" s="13"/>
      <c r="E2061" s="2"/>
      <c r="F2061" s="655"/>
      <c r="G2061" s="2"/>
      <c r="H2061" s="2"/>
      <c r="I2061" s="13"/>
      <c r="J2061" s="656"/>
      <c r="K2061" s="13"/>
      <c r="L2061" s="13"/>
      <c r="M2061" s="13"/>
      <c r="N2061" s="2"/>
      <c r="O2061" s="2"/>
      <c r="P2061" s="2"/>
      <c r="Q2061" s="2"/>
      <c r="R2061" s="101"/>
      <c r="U2061" s="101"/>
    </row>
    <row r="2062">
      <c r="A2062" s="49"/>
      <c r="C2062" s="13"/>
      <c r="D2062" s="13"/>
      <c r="E2062" s="2"/>
      <c r="F2062" s="655"/>
      <c r="G2062" s="2"/>
      <c r="H2062" s="2"/>
      <c r="I2062" s="13"/>
      <c r="J2062" s="656"/>
      <c r="K2062" s="13"/>
      <c r="L2062" s="13"/>
      <c r="M2062" s="13"/>
      <c r="N2062" s="2"/>
      <c r="O2062" s="2"/>
      <c r="P2062" s="2"/>
      <c r="Q2062" s="2"/>
      <c r="R2062" s="101"/>
      <c r="U2062" s="101"/>
    </row>
    <row r="2063">
      <c r="A2063" s="49"/>
      <c r="C2063" s="13"/>
      <c r="D2063" s="13"/>
      <c r="E2063" s="2"/>
      <c r="F2063" s="655"/>
      <c r="G2063" s="2"/>
      <c r="H2063" s="2"/>
      <c r="I2063" s="13"/>
      <c r="J2063" s="656"/>
      <c r="K2063" s="13"/>
      <c r="L2063" s="13"/>
      <c r="M2063" s="13"/>
      <c r="N2063" s="2"/>
      <c r="O2063" s="2"/>
      <c r="P2063" s="2"/>
      <c r="Q2063" s="2"/>
      <c r="R2063" s="101"/>
      <c r="U2063" s="101"/>
    </row>
    <row r="2064">
      <c r="A2064" s="49"/>
      <c r="C2064" s="13"/>
      <c r="D2064" s="13"/>
      <c r="E2064" s="2"/>
      <c r="F2064" s="655"/>
      <c r="G2064" s="2"/>
      <c r="H2064" s="2"/>
      <c r="I2064" s="13"/>
      <c r="J2064" s="656"/>
      <c r="K2064" s="13"/>
      <c r="L2064" s="13"/>
      <c r="M2064" s="13"/>
      <c r="N2064" s="2"/>
      <c r="O2064" s="2"/>
      <c r="P2064" s="2"/>
      <c r="Q2064" s="2"/>
      <c r="R2064" s="101"/>
      <c r="U2064" s="101"/>
    </row>
    <row r="2065">
      <c r="A2065" s="49"/>
      <c r="C2065" s="13"/>
      <c r="D2065" s="13"/>
      <c r="E2065" s="2"/>
      <c r="F2065" s="655"/>
      <c r="G2065" s="2"/>
      <c r="H2065" s="2"/>
      <c r="I2065" s="13"/>
      <c r="J2065" s="656"/>
      <c r="K2065" s="13"/>
      <c r="L2065" s="13"/>
      <c r="M2065" s="13"/>
      <c r="N2065" s="2"/>
      <c r="O2065" s="2"/>
      <c r="P2065" s="2"/>
      <c r="Q2065" s="2"/>
      <c r="R2065" s="101"/>
      <c r="U2065" s="101"/>
    </row>
    <row r="2066">
      <c r="A2066" s="49"/>
      <c r="C2066" s="13"/>
      <c r="D2066" s="13"/>
      <c r="E2066" s="2"/>
      <c r="F2066" s="655"/>
      <c r="G2066" s="2"/>
      <c r="H2066" s="2"/>
      <c r="I2066" s="13"/>
      <c r="J2066" s="656"/>
      <c r="K2066" s="13"/>
      <c r="L2066" s="13"/>
      <c r="M2066" s="13"/>
      <c r="N2066" s="2"/>
      <c r="O2066" s="2"/>
      <c r="P2066" s="2"/>
      <c r="Q2066" s="2"/>
      <c r="R2066" s="101"/>
      <c r="U2066" s="101"/>
    </row>
    <row r="2067">
      <c r="A2067" s="49"/>
      <c r="C2067" s="13"/>
      <c r="D2067" s="13"/>
      <c r="E2067" s="2"/>
      <c r="F2067" s="655"/>
      <c r="G2067" s="2"/>
      <c r="H2067" s="2"/>
      <c r="I2067" s="13"/>
      <c r="J2067" s="656"/>
      <c r="K2067" s="13"/>
      <c r="L2067" s="13"/>
      <c r="M2067" s="13"/>
      <c r="N2067" s="2"/>
      <c r="O2067" s="2"/>
      <c r="P2067" s="2"/>
      <c r="Q2067" s="2"/>
      <c r="R2067" s="101"/>
      <c r="U2067" s="101"/>
    </row>
    <row r="2068">
      <c r="A2068" s="49"/>
      <c r="C2068" s="13"/>
      <c r="D2068" s="13"/>
      <c r="E2068" s="2"/>
      <c r="F2068" s="655"/>
      <c r="G2068" s="2"/>
      <c r="H2068" s="2"/>
      <c r="I2068" s="13"/>
      <c r="J2068" s="656"/>
      <c r="K2068" s="13"/>
      <c r="L2068" s="13"/>
      <c r="M2068" s="13"/>
      <c r="N2068" s="2"/>
      <c r="O2068" s="2"/>
      <c r="P2068" s="2"/>
      <c r="Q2068" s="2"/>
      <c r="R2068" s="101"/>
      <c r="U2068" s="101"/>
    </row>
    <row r="2069">
      <c r="A2069" s="49"/>
      <c r="C2069" s="13"/>
      <c r="D2069" s="13"/>
      <c r="E2069" s="2"/>
      <c r="F2069" s="655"/>
      <c r="G2069" s="2"/>
      <c r="H2069" s="2"/>
      <c r="I2069" s="13"/>
      <c r="J2069" s="656"/>
      <c r="K2069" s="13"/>
      <c r="L2069" s="13"/>
      <c r="M2069" s="13"/>
      <c r="N2069" s="2"/>
      <c r="O2069" s="2"/>
      <c r="P2069" s="2"/>
      <c r="Q2069" s="2"/>
      <c r="R2069" s="101"/>
      <c r="U2069" s="101"/>
    </row>
    <row r="2070">
      <c r="A2070" s="49"/>
      <c r="C2070" s="13"/>
      <c r="D2070" s="13"/>
      <c r="E2070" s="2"/>
      <c r="F2070" s="655"/>
      <c r="G2070" s="2"/>
      <c r="H2070" s="2"/>
      <c r="I2070" s="13"/>
      <c r="J2070" s="656"/>
      <c r="K2070" s="13"/>
      <c r="L2070" s="13"/>
      <c r="M2070" s="13"/>
      <c r="N2070" s="2"/>
      <c r="O2070" s="2"/>
      <c r="P2070" s="2"/>
      <c r="Q2070" s="2"/>
      <c r="R2070" s="101"/>
      <c r="U2070" s="101"/>
    </row>
    <row r="2071">
      <c r="A2071" s="49"/>
      <c r="C2071" s="13"/>
      <c r="D2071" s="13"/>
      <c r="E2071" s="2"/>
      <c r="F2071" s="655"/>
      <c r="G2071" s="2"/>
      <c r="H2071" s="2"/>
      <c r="I2071" s="13"/>
      <c r="J2071" s="656"/>
      <c r="K2071" s="13"/>
      <c r="L2071" s="13"/>
      <c r="M2071" s="13"/>
      <c r="N2071" s="2"/>
      <c r="O2071" s="2"/>
      <c r="P2071" s="2"/>
      <c r="Q2071" s="2"/>
      <c r="R2071" s="101"/>
      <c r="U2071" s="101"/>
    </row>
    <row r="2072">
      <c r="A2072" s="49"/>
      <c r="C2072" s="13"/>
      <c r="D2072" s="13"/>
      <c r="E2072" s="2"/>
      <c r="F2072" s="655"/>
      <c r="G2072" s="2"/>
      <c r="H2072" s="2"/>
      <c r="I2072" s="13"/>
      <c r="J2072" s="656"/>
      <c r="K2072" s="13"/>
      <c r="L2072" s="13"/>
      <c r="M2072" s="13"/>
      <c r="N2072" s="2"/>
      <c r="O2072" s="2"/>
      <c r="P2072" s="2"/>
      <c r="Q2072" s="2"/>
      <c r="R2072" s="101"/>
      <c r="U2072" s="101"/>
    </row>
    <row r="2073">
      <c r="A2073" s="49"/>
      <c r="C2073" s="13"/>
      <c r="D2073" s="13"/>
      <c r="E2073" s="2"/>
      <c r="F2073" s="655"/>
      <c r="G2073" s="2"/>
      <c r="H2073" s="2"/>
      <c r="I2073" s="13"/>
      <c r="J2073" s="656"/>
      <c r="K2073" s="13"/>
      <c r="L2073" s="13"/>
      <c r="M2073" s="13"/>
      <c r="N2073" s="2"/>
      <c r="O2073" s="2"/>
      <c r="P2073" s="2"/>
      <c r="Q2073" s="2"/>
      <c r="R2073" s="101"/>
      <c r="U2073" s="101"/>
    </row>
    <row r="2074">
      <c r="A2074" s="49"/>
      <c r="C2074" s="13"/>
      <c r="D2074" s="13"/>
      <c r="E2074" s="2"/>
      <c r="F2074" s="655"/>
      <c r="G2074" s="2"/>
      <c r="H2074" s="2"/>
      <c r="I2074" s="13"/>
      <c r="J2074" s="656"/>
      <c r="K2074" s="13"/>
      <c r="L2074" s="13"/>
      <c r="M2074" s="13"/>
      <c r="N2074" s="2"/>
      <c r="O2074" s="2"/>
      <c r="P2074" s="2"/>
      <c r="Q2074" s="2"/>
      <c r="R2074" s="101"/>
      <c r="U2074" s="101"/>
    </row>
    <row r="2075">
      <c r="A2075" s="49"/>
      <c r="C2075" s="13"/>
      <c r="D2075" s="13"/>
      <c r="E2075" s="2"/>
      <c r="F2075" s="655"/>
      <c r="G2075" s="2"/>
      <c r="H2075" s="2"/>
      <c r="I2075" s="13"/>
      <c r="J2075" s="656"/>
      <c r="K2075" s="13"/>
      <c r="L2075" s="13"/>
      <c r="M2075" s="13"/>
      <c r="N2075" s="2"/>
      <c r="O2075" s="2"/>
      <c r="P2075" s="2"/>
      <c r="Q2075" s="2"/>
      <c r="R2075" s="101"/>
      <c r="U2075" s="101"/>
    </row>
    <row r="2076">
      <c r="A2076" s="49"/>
      <c r="C2076" s="13"/>
      <c r="D2076" s="13"/>
      <c r="E2076" s="2"/>
      <c r="F2076" s="655"/>
      <c r="G2076" s="2"/>
      <c r="H2076" s="2"/>
      <c r="I2076" s="13"/>
      <c r="J2076" s="656"/>
      <c r="K2076" s="13"/>
      <c r="L2076" s="13"/>
      <c r="M2076" s="13"/>
      <c r="N2076" s="2"/>
      <c r="O2076" s="2"/>
      <c r="P2076" s="2"/>
      <c r="Q2076" s="2"/>
      <c r="R2076" s="101"/>
      <c r="U2076" s="101"/>
    </row>
    <row r="2077">
      <c r="A2077" s="49"/>
      <c r="C2077" s="13"/>
      <c r="D2077" s="13"/>
      <c r="E2077" s="2"/>
      <c r="F2077" s="655"/>
      <c r="G2077" s="2"/>
      <c r="H2077" s="2"/>
      <c r="I2077" s="13"/>
      <c r="J2077" s="656"/>
      <c r="K2077" s="13"/>
      <c r="L2077" s="13"/>
      <c r="M2077" s="13"/>
      <c r="N2077" s="2"/>
      <c r="O2077" s="2"/>
      <c r="P2077" s="2"/>
      <c r="Q2077" s="2"/>
      <c r="R2077" s="101"/>
      <c r="U2077" s="101"/>
    </row>
    <row r="2078">
      <c r="A2078" s="49"/>
      <c r="C2078" s="13"/>
      <c r="D2078" s="13"/>
      <c r="E2078" s="2"/>
      <c r="F2078" s="655"/>
      <c r="G2078" s="2"/>
      <c r="H2078" s="2"/>
      <c r="I2078" s="13"/>
      <c r="J2078" s="656"/>
      <c r="K2078" s="13"/>
      <c r="L2078" s="13"/>
      <c r="M2078" s="13"/>
      <c r="N2078" s="2"/>
      <c r="O2078" s="2"/>
      <c r="P2078" s="2"/>
      <c r="Q2078" s="2"/>
      <c r="R2078" s="101"/>
      <c r="U2078" s="101"/>
    </row>
    <row r="2079">
      <c r="A2079" s="49"/>
      <c r="C2079" s="13"/>
      <c r="D2079" s="13"/>
      <c r="E2079" s="2"/>
      <c r="F2079" s="655"/>
      <c r="G2079" s="2"/>
      <c r="H2079" s="2"/>
      <c r="I2079" s="13"/>
      <c r="J2079" s="656"/>
      <c r="K2079" s="13"/>
      <c r="L2079" s="13"/>
      <c r="M2079" s="13"/>
      <c r="N2079" s="2"/>
      <c r="O2079" s="2"/>
      <c r="P2079" s="2"/>
      <c r="Q2079" s="2"/>
      <c r="R2079" s="101"/>
      <c r="U2079" s="101"/>
    </row>
    <row r="2080">
      <c r="A2080" s="49"/>
      <c r="C2080" s="13"/>
      <c r="D2080" s="13"/>
      <c r="E2080" s="2"/>
      <c r="F2080" s="655"/>
      <c r="G2080" s="2"/>
      <c r="H2080" s="2"/>
      <c r="I2080" s="13"/>
      <c r="J2080" s="656"/>
      <c r="K2080" s="13"/>
      <c r="L2080" s="13"/>
      <c r="M2080" s="13"/>
      <c r="N2080" s="2"/>
      <c r="O2080" s="2"/>
      <c r="P2080" s="2"/>
      <c r="Q2080" s="2"/>
      <c r="R2080" s="101"/>
      <c r="U2080" s="101"/>
    </row>
    <row r="2081">
      <c r="A2081" s="49"/>
      <c r="C2081" s="13"/>
      <c r="D2081" s="13"/>
      <c r="E2081" s="2"/>
      <c r="F2081" s="655"/>
      <c r="G2081" s="2"/>
      <c r="H2081" s="2"/>
      <c r="I2081" s="13"/>
      <c r="J2081" s="656"/>
      <c r="K2081" s="13"/>
      <c r="L2081" s="13"/>
      <c r="M2081" s="13"/>
      <c r="N2081" s="2"/>
      <c r="O2081" s="2"/>
      <c r="P2081" s="2"/>
      <c r="Q2081" s="2"/>
      <c r="R2081" s="101"/>
      <c r="U2081" s="101"/>
    </row>
    <row r="2082">
      <c r="A2082" s="49"/>
      <c r="C2082" s="13"/>
      <c r="D2082" s="13"/>
      <c r="E2082" s="2"/>
      <c r="F2082" s="655"/>
      <c r="G2082" s="2"/>
      <c r="H2082" s="2"/>
      <c r="I2082" s="13"/>
      <c r="J2082" s="656"/>
      <c r="K2082" s="13"/>
      <c r="L2082" s="13"/>
      <c r="M2082" s="13"/>
      <c r="N2082" s="2"/>
      <c r="O2082" s="2"/>
      <c r="P2082" s="2"/>
      <c r="Q2082" s="2"/>
      <c r="R2082" s="101"/>
      <c r="U2082" s="101"/>
    </row>
    <row r="2083">
      <c r="A2083" s="49"/>
      <c r="C2083" s="13"/>
      <c r="D2083" s="13"/>
      <c r="E2083" s="2"/>
      <c r="F2083" s="655"/>
      <c r="G2083" s="2"/>
      <c r="H2083" s="2"/>
      <c r="I2083" s="13"/>
      <c r="J2083" s="656"/>
      <c r="K2083" s="13"/>
      <c r="L2083" s="13"/>
      <c r="M2083" s="13"/>
      <c r="N2083" s="2"/>
      <c r="O2083" s="2"/>
      <c r="P2083" s="2"/>
      <c r="Q2083" s="2"/>
      <c r="R2083" s="101"/>
      <c r="U2083" s="101"/>
    </row>
    <row r="2084">
      <c r="A2084" s="49"/>
      <c r="C2084" s="13"/>
      <c r="D2084" s="13"/>
      <c r="E2084" s="2"/>
      <c r="F2084" s="655"/>
      <c r="G2084" s="2"/>
      <c r="H2084" s="2"/>
      <c r="I2084" s="13"/>
      <c r="J2084" s="656"/>
      <c r="K2084" s="13"/>
      <c r="L2084" s="13"/>
      <c r="M2084" s="13"/>
      <c r="N2084" s="2"/>
      <c r="O2084" s="2"/>
      <c r="P2084" s="2"/>
      <c r="Q2084" s="2"/>
      <c r="R2084" s="101"/>
      <c r="U2084" s="101"/>
    </row>
    <row r="2085">
      <c r="A2085" s="49"/>
      <c r="C2085" s="13"/>
      <c r="D2085" s="13"/>
      <c r="E2085" s="2"/>
      <c r="F2085" s="655"/>
      <c r="G2085" s="2"/>
      <c r="H2085" s="2"/>
      <c r="I2085" s="13"/>
      <c r="J2085" s="656"/>
      <c r="K2085" s="13"/>
      <c r="L2085" s="13"/>
      <c r="M2085" s="13"/>
      <c r="N2085" s="2"/>
      <c r="O2085" s="2"/>
      <c r="P2085" s="2"/>
      <c r="Q2085" s="2"/>
      <c r="R2085" s="101"/>
      <c r="U2085" s="101"/>
    </row>
    <row r="2086">
      <c r="A2086" s="49"/>
      <c r="C2086" s="13"/>
      <c r="D2086" s="13"/>
      <c r="E2086" s="2"/>
      <c r="F2086" s="655"/>
      <c r="G2086" s="2"/>
      <c r="H2086" s="2"/>
      <c r="I2086" s="13"/>
      <c r="J2086" s="656"/>
      <c r="K2086" s="13"/>
      <c r="L2086" s="13"/>
      <c r="M2086" s="13"/>
      <c r="N2086" s="2"/>
      <c r="O2086" s="2"/>
      <c r="P2086" s="2"/>
      <c r="Q2086" s="2"/>
      <c r="R2086" s="101"/>
      <c r="U2086" s="101"/>
    </row>
    <row r="2087">
      <c r="A2087" s="49"/>
      <c r="C2087" s="13"/>
      <c r="D2087" s="13"/>
      <c r="E2087" s="2"/>
      <c r="F2087" s="655"/>
      <c r="G2087" s="2"/>
      <c r="H2087" s="2"/>
      <c r="I2087" s="13"/>
      <c r="J2087" s="656"/>
      <c r="K2087" s="13"/>
      <c r="L2087" s="13"/>
      <c r="M2087" s="13"/>
      <c r="N2087" s="2"/>
      <c r="O2087" s="2"/>
      <c r="P2087" s="2"/>
      <c r="Q2087" s="2"/>
      <c r="R2087" s="101"/>
      <c r="U2087" s="101"/>
    </row>
    <row r="2088">
      <c r="A2088" s="49"/>
      <c r="C2088" s="13"/>
      <c r="D2088" s="13"/>
      <c r="E2088" s="2"/>
      <c r="F2088" s="655"/>
      <c r="G2088" s="2"/>
      <c r="H2088" s="2"/>
      <c r="I2088" s="13"/>
      <c r="J2088" s="656"/>
      <c r="K2088" s="13"/>
      <c r="L2088" s="13"/>
      <c r="M2088" s="13"/>
      <c r="N2088" s="2"/>
      <c r="O2088" s="2"/>
      <c r="P2088" s="2"/>
      <c r="Q2088" s="2"/>
      <c r="R2088" s="101"/>
      <c r="U2088" s="101"/>
    </row>
    <row r="2089">
      <c r="A2089" s="49"/>
      <c r="C2089" s="13"/>
      <c r="D2089" s="13"/>
      <c r="E2089" s="2"/>
      <c r="F2089" s="655"/>
      <c r="G2089" s="2"/>
      <c r="H2089" s="2"/>
      <c r="I2089" s="13"/>
      <c r="J2089" s="656"/>
      <c r="K2089" s="13"/>
      <c r="L2089" s="13"/>
      <c r="M2089" s="13"/>
      <c r="N2089" s="2"/>
      <c r="O2089" s="2"/>
      <c r="P2089" s="2"/>
      <c r="Q2089" s="2"/>
      <c r="R2089" s="101"/>
      <c r="U2089" s="101"/>
    </row>
    <row r="2090">
      <c r="A2090" s="49"/>
      <c r="C2090" s="13"/>
      <c r="D2090" s="13"/>
      <c r="E2090" s="2"/>
      <c r="F2090" s="655"/>
      <c r="G2090" s="2"/>
      <c r="H2090" s="2"/>
      <c r="I2090" s="13"/>
      <c r="J2090" s="656"/>
      <c r="K2090" s="13"/>
      <c r="L2090" s="13"/>
      <c r="M2090" s="13"/>
      <c r="N2090" s="2"/>
      <c r="O2090" s="2"/>
      <c r="P2090" s="2"/>
      <c r="Q2090" s="2"/>
      <c r="R2090" s="101"/>
      <c r="U2090" s="101"/>
    </row>
    <row r="2091">
      <c r="A2091" s="49"/>
      <c r="C2091" s="13"/>
      <c r="D2091" s="13"/>
      <c r="E2091" s="2"/>
      <c r="F2091" s="655"/>
      <c r="G2091" s="2"/>
      <c r="H2091" s="2"/>
      <c r="I2091" s="13"/>
      <c r="J2091" s="656"/>
      <c r="K2091" s="13"/>
      <c r="L2091" s="13"/>
      <c r="M2091" s="13"/>
      <c r="N2091" s="2"/>
      <c r="O2091" s="2"/>
      <c r="P2091" s="2"/>
      <c r="Q2091" s="2"/>
      <c r="R2091" s="101"/>
      <c r="U2091" s="101"/>
    </row>
    <row r="2092">
      <c r="A2092" s="49"/>
      <c r="C2092" s="13"/>
      <c r="D2092" s="13"/>
      <c r="E2092" s="2"/>
      <c r="F2092" s="655"/>
      <c r="G2092" s="2"/>
      <c r="H2092" s="2"/>
      <c r="I2092" s="13"/>
      <c r="J2092" s="656"/>
      <c r="K2092" s="13"/>
      <c r="L2092" s="13"/>
      <c r="M2092" s="13"/>
      <c r="N2092" s="2"/>
      <c r="O2092" s="2"/>
      <c r="P2092" s="2"/>
      <c r="Q2092" s="2"/>
      <c r="R2092" s="101"/>
      <c r="U2092" s="101"/>
    </row>
    <row r="2093">
      <c r="A2093" s="49"/>
      <c r="C2093" s="13"/>
      <c r="D2093" s="13"/>
      <c r="E2093" s="2"/>
      <c r="F2093" s="655"/>
      <c r="G2093" s="2"/>
      <c r="H2093" s="2"/>
      <c r="I2093" s="13"/>
      <c r="J2093" s="656"/>
      <c r="K2093" s="13"/>
      <c r="L2093" s="13"/>
      <c r="M2093" s="13"/>
      <c r="N2093" s="2"/>
      <c r="O2093" s="2"/>
      <c r="P2093" s="2"/>
      <c r="Q2093" s="2"/>
      <c r="R2093" s="101"/>
      <c r="U2093" s="101"/>
    </row>
    <row r="2094">
      <c r="A2094" s="49"/>
      <c r="C2094" s="13"/>
      <c r="D2094" s="13"/>
      <c r="E2094" s="2"/>
      <c r="F2094" s="655"/>
      <c r="G2094" s="2"/>
      <c r="H2094" s="2"/>
      <c r="I2094" s="13"/>
      <c r="J2094" s="656"/>
      <c r="K2094" s="13"/>
      <c r="L2094" s="13"/>
      <c r="M2094" s="13"/>
      <c r="N2094" s="2"/>
      <c r="O2094" s="2"/>
      <c r="P2094" s="2"/>
      <c r="Q2094" s="2"/>
      <c r="R2094" s="101"/>
      <c r="U2094" s="101"/>
    </row>
    <row r="2095">
      <c r="A2095" s="49"/>
      <c r="C2095" s="13"/>
      <c r="D2095" s="13"/>
      <c r="E2095" s="2"/>
      <c r="F2095" s="655"/>
      <c r="G2095" s="2"/>
      <c r="H2095" s="2"/>
      <c r="I2095" s="13"/>
      <c r="J2095" s="656"/>
      <c r="K2095" s="13"/>
      <c r="L2095" s="13"/>
      <c r="M2095" s="13"/>
      <c r="N2095" s="2"/>
      <c r="O2095" s="2"/>
      <c r="P2095" s="2"/>
      <c r="Q2095" s="2"/>
      <c r="R2095" s="101"/>
      <c r="U2095" s="101"/>
    </row>
    <row r="2096">
      <c r="A2096" s="49"/>
      <c r="C2096" s="13"/>
      <c r="D2096" s="13"/>
      <c r="E2096" s="2"/>
      <c r="F2096" s="655"/>
      <c r="G2096" s="2"/>
      <c r="H2096" s="2"/>
      <c r="I2096" s="13"/>
      <c r="J2096" s="656"/>
      <c r="K2096" s="13"/>
      <c r="L2096" s="13"/>
      <c r="M2096" s="13"/>
      <c r="N2096" s="2"/>
      <c r="O2096" s="2"/>
      <c r="P2096" s="2"/>
      <c r="Q2096" s="2"/>
      <c r="R2096" s="101"/>
      <c r="U2096" s="101"/>
    </row>
    <row r="2097">
      <c r="A2097" s="49"/>
      <c r="C2097" s="13"/>
      <c r="D2097" s="13"/>
      <c r="E2097" s="2"/>
      <c r="F2097" s="655"/>
      <c r="G2097" s="2"/>
      <c r="H2097" s="2"/>
      <c r="I2097" s="13"/>
      <c r="J2097" s="656"/>
      <c r="K2097" s="13"/>
      <c r="L2097" s="13"/>
      <c r="M2097" s="13"/>
      <c r="N2097" s="2"/>
      <c r="O2097" s="2"/>
      <c r="P2097" s="2"/>
      <c r="Q2097" s="2"/>
      <c r="R2097" s="101"/>
      <c r="U2097" s="101"/>
    </row>
    <row r="2098">
      <c r="A2098" s="49"/>
      <c r="C2098" s="13"/>
      <c r="D2098" s="13"/>
      <c r="E2098" s="2"/>
      <c r="F2098" s="655"/>
      <c r="G2098" s="2"/>
      <c r="H2098" s="2"/>
      <c r="I2098" s="13"/>
      <c r="J2098" s="656"/>
      <c r="K2098" s="13"/>
      <c r="L2098" s="13"/>
      <c r="M2098" s="13"/>
      <c r="N2098" s="2"/>
      <c r="O2098" s="2"/>
      <c r="P2098" s="2"/>
      <c r="Q2098" s="2"/>
      <c r="R2098" s="101"/>
      <c r="U2098" s="101"/>
    </row>
    <row r="2099">
      <c r="A2099" s="49"/>
      <c r="C2099" s="13"/>
      <c r="D2099" s="13"/>
      <c r="E2099" s="2"/>
      <c r="F2099" s="655"/>
      <c r="G2099" s="2"/>
      <c r="H2099" s="2"/>
      <c r="I2099" s="13"/>
      <c r="J2099" s="656"/>
      <c r="K2099" s="13"/>
      <c r="L2099" s="13"/>
      <c r="M2099" s="13"/>
      <c r="N2099" s="2"/>
      <c r="O2099" s="2"/>
      <c r="P2099" s="2"/>
      <c r="Q2099" s="2"/>
      <c r="R2099" s="101"/>
      <c r="U2099" s="101"/>
    </row>
    <row r="2100">
      <c r="A2100" s="49"/>
      <c r="C2100" s="13"/>
      <c r="D2100" s="13"/>
      <c r="E2100" s="2"/>
      <c r="F2100" s="655"/>
      <c r="G2100" s="2"/>
      <c r="H2100" s="2"/>
      <c r="I2100" s="13"/>
      <c r="J2100" s="656"/>
      <c r="K2100" s="13"/>
      <c r="L2100" s="13"/>
      <c r="M2100" s="13"/>
      <c r="N2100" s="2"/>
      <c r="O2100" s="2"/>
      <c r="P2100" s="2"/>
      <c r="Q2100" s="2"/>
      <c r="R2100" s="101"/>
      <c r="U2100" s="101"/>
    </row>
    <row r="2101">
      <c r="A2101" s="49"/>
      <c r="C2101" s="13"/>
      <c r="D2101" s="13"/>
      <c r="E2101" s="2"/>
      <c r="F2101" s="655"/>
      <c r="G2101" s="2"/>
      <c r="H2101" s="2"/>
      <c r="I2101" s="13"/>
      <c r="J2101" s="656"/>
      <c r="K2101" s="13"/>
      <c r="L2101" s="13"/>
      <c r="M2101" s="13"/>
      <c r="N2101" s="2"/>
      <c r="O2101" s="2"/>
      <c r="P2101" s="2"/>
      <c r="Q2101" s="2"/>
      <c r="R2101" s="101"/>
      <c r="U2101" s="101"/>
    </row>
    <row r="2102">
      <c r="A2102" s="49"/>
      <c r="C2102" s="13"/>
      <c r="D2102" s="13"/>
      <c r="E2102" s="2"/>
      <c r="F2102" s="655"/>
      <c r="G2102" s="2"/>
      <c r="H2102" s="2"/>
      <c r="I2102" s="13"/>
      <c r="J2102" s="656"/>
      <c r="K2102" s="13"/>
      <c r="L2102" s="13"/>
      <c r="M2102" s="13"/>
      <c r="N2102" s="2"/>
      <c r="O2102" s="2"/>
      <c r="P2102" s="2"/>
      <c r="Q2102" s="2"/>
      <c r="R2102" s="101"/>
      <c r="U2102" s="101"/>
    </row>
    <row r="2103">
      <c r="A2103" s="49"/>
      <c r="C2103" s="13"/>
      <c r="D2103" s="13"/>
      <c r="E2103" s="2"/>
      <c r="F2103" s="655"/>
      <c r="G2103" s="2"/>
      <c r="H2103" s="2"/>
      <c r="I2103" s="13"/>
      <c r="J2103" s="656"/>
      <c r="K2103" s="13"/>
      <c r="L2103" s="13"/>
      <c r="M2103" s="13"/>
      <c r="N2103" s="2"/>
      <c r="O2103" s="2"/>
      <c r="P2103" s="2"/>
      <c r="Q2103" s="2"/>
      <c r="R2103" s="101"/>
      <c r="U2103" s="101"/>
    </row>
    <row r="2104">
      <c r="A2104" s="49"/>
      <c r="C2104" s="13"/>
      <c r="D2104" s="13"/>
      <c r="E2104" s="2"/>
      <c r="F2104" s="655"/>
      <c r="G2104" s="2"/>
      <c r="H2104" s="2"/>
      <c r="I2104" s="13"/>
      <c r="J2104" s="656"/>
      <c r="K2104" s="13"/>
      <c r="L2104" s="13"/>
      <c r="M2104" s="13"/>
      <c r="N2104" s="2"/>
      <c r="O2104" s="2"/>
      <c r="P2104" s="2"/>
      <c r="Q2104" s="2"/>
      <c r="R2104" s="101"/>
      <c r="U2104" s="101"/>
    </row>
    <row r="2105">
      <c r="A2105" s="49"/>
      <c r="C2105" s="13"/>
      <c r="D2105" s="13"/>
      <c r="E2105" s="2"/>
      <c r="F2105" s="655"/>
      <c r="G2105" s="2"/>
      <c r="H2105" s="2"/>
      <c r="I2105" s="13"/>
      <c r="J2105" s="656"/>
      <c r="K2105" s="13"/>
      <c r="L2105" s="13"/>
      <c r="M2105" s="13"/>
      <c r="N2105" s="2"/>
      <c r="O2105" s="2"/>
      <c r="P2105" s="2"/>
      <c r="Q2105" s="2"/>
      <c r="R2105" s="101"/>
      <c r="U2105" s="101"/>
    </row>
    <row r="2106">
      <c r="A2106" s="49"/>
      <c r="C2106" s="13"/>
      <c r="D2106" s="13"/>
      <c r="E2106" s="2"/>
      <c r="F2106" s="655"/>
      <c r="G2106" s="2"/>
      <c r="H2106" s="2"/>
      <c r="I2106" s="13"/>
      <c r="J2106" s="656"/>
      <c r="K2106" s="13"/>
      <c r="L2106" s="13"/>
      <c r="M2106" s="13"/>
      <c r="N2106" s="2"/>
      <c r="O2106" s="2"/>
      <c r="P2106" s="2"/>
      <c r="Q2106" s="2"/>
      <c r="R2106" s="101"/>
      <c r="U2106" s="101"/>
    </row>
    <row r="2107">
      <c r="A2107" s="49"/>
      <c r="C2107" s="13"/>
      <c r="D2107" s="13"/>
      <c r="E2107" s="2"/>
      <c r="F2107" s="655"/>
      <c r="G2107" s="2"/>
      <c r="H2107" s="2"/>
      <c r="I2107" s="13"/>
      <c r="J2107" s="656"/>
      <c r="K2107" s="13"/>
      <c r="L2107" s="13"/>
      <c r="M2107" s="13"/>
      <c r="N2107" s="2"/>
      <c r="O2107" s="2"/>
      <c r="P2107" s="2"/>
      <c r="Q2107" s="2"/>
      <c r="R2107" s="101"/>
      <c r="U2107" s="101"/>
    </row>
    <row r="2108">
      <c r="A2108" s="49"/>
      <c r="C2108" s="13"/>
      <c r="D2108" s="13"/>
      <c r="E2108" s="2"/>
      <c r="F2108" s="655"/>
      <c r="G2108" s="2"/>
      <c r="H2108" s="2"/>
      <c r="I2108" s="13"/>
      <c r="J2108" s="656"/>
      <c r="K2108" s="13"/>
      <c r="L2108" s="13"/>
      <c r="M2108" s="13"/>
      <c r="N2108" s="2"/>
      <c r="O2108" s="2"/>
      <c r="P2108" s="2"/>
      <c r="Q2108" s="2"/>
      <c r="R2108" s="101"/>
      <c r="U2108" s="101"/>
    </row>
    <row r="2109">
      <c r="A2109" s="49"/>
      <c r="C2109" s="13"/>
      <c r="D2109" s="13"/>
      <c r="E2109" s="2"/>
      <c r="F2109" s="655"/>
      <c r="G2109" s="2"/>
      <c r="H2109" s="2"/>
      <c r="I2109" s="13"/>
      <c r="J2109" s="656"/>
      <c r="K2109" s="13"/>
      <c r="L2109" s="13"/>
      <c r="M2109" s="13"/>
      <c r="N2109" s="2"/>
      <c r="O2109" s="2"/>
      <c r="P2109" s="2"/>
      <c r="Q2109" s="2"/>
      <c r="R2109" s="101"/>
      <c r="U2109" s="101"/>
    </row>
    <row r="2110">
      <c r="A2110" s="49"/>
      <c r="C2110" s="13"/>
      <c r="D2110" s="13"/>
      <c r="E2110" s="2"/>
      <c r="F2110" s="655"/>
      <c r="G2110" s="2"/>
      <c r="H2110" s="2"/>
      <c r="I2110" s="13"/>
      <c r="J2110" s="656"/>
      <c r="K2110" s="13"/>
      <c r="L2110" s="13"/>
      <c r="M2110" s="13"/>
      <c r="N2110" s="2"/>
      <c r="O2110" s="2"/>
      <c r="P2110" s="2"/>
      <c r="Q2110" s="2"/>
      <c r="R2110" s="101"/>
      <c r="U2110" s="101"/>
    </row>
    <row r="2111">
      <c r="A2111" s="49"/>
      <c r="C2111" s="13"/>
      <c r="D2111" s="13"/>
      <c r="E2111" s="2"/>
      <c r="F2111" s="655"/>
      <c r="G2111" s="2"/>
      <c r="H2111" s="2"/>
      <c r="I2111" s="13"/>
      <c r="J2111" s="656"/>
      <c r="K2111" s="13"/>
      <c r="L2111" s="13"/>
      <c r="M2111" s="13"/>
      <c r="N2111" s="2"/>
      <c r="O2111" s="2"/>
      <c r="P2111" s="2"/>
      <c r="Q2111" s="2"/>
      <c r="R2111" s="101"/>
      <c r="U2111" s="101"/>
    </row>
    <row r="2112">
      <c r="A2112" s="49"/>
      <c r="C2112" s="13"/>
      <c r="D2112" s="13"/>
      <c r="E2112" s="2"/>
      <c r="F2112" s="655"/>
      <c r="G2112" s="2"/>
      <c r="H2112" s="2"/>
      <c r="I2112" s="13"/>
      <c r="J2112" s="656"/>
      <c r="K2112" s="13"/>
      <c r="L2112" s="13"/>
      <c r="M2112" s="13"/>
      <c r="N2112" s="2"/>
      <c r="O2112" s="2"/>
      <c r="P2112" s="2"/>
      <c r="Q2112" s="2"/>
      <c r="R2112" s="101"/>
      <c r="U2112" s="101"/>
    </row>
    <row r="2113">
      <c r="A2113" s="49"/>
      <c r="C2113" s="13"/>
      <c r="D2113" s="13"/>
      <c r="E2113" s="2"/>
      <c r="F2113" s="655"/>
      <c r="G2113" s="2"/>
      <c r="H2113" s="2"/>
      <c r="I2113" s="13"/>
      <c r="J2113" s="656"/>
      <c r="K2113" s="13"/>
      <c r="L2113" s="13"/>
      <c r="M2113" s="13"/>
      <c r="N2113" s="2"/>
      <c r="O2113" s="2"/>
      <c r="P2113" s="2"/>
      <c r="Q2113" s="2"/>
      <c r="R2113" s="101"/>
      <c r="U2113" s="101"/>
    </row>
    <row r="2114">
      <c r="A2114" s="49"/>
      <c r="C2114" s="13"/>
      <c r="D2114" s="13"/>
      <c r="E2114" s="2"/>
      <c r="F2114" s="655"/>
      <c r="G2114" s="2"/>
      <c r="H2114" s="2"/>
      <c r="I2114" s="13"/>
      <c r="J2114" s="656"/>
      <c r="K2114" s="13"/>
      <c r="L2114" s="13"/>
      <c r="M2114" s="13"/>
      <c r="N2114" s="2"/>
      <c r="O2114" s="2"/>
      <c r="P2114" s="2"/>
      <c r="Q2114" s="2"/>
      <c r="R2114" s="101"/>
      <c r="U2114" s="101"/>
    </row>
    <row r="2115">
      <c r="A2115" s="49"/>
      <c r="C2115" s="13"/>
      <c r="D2115" s="13"/>
      <c r="E2115" s="2"/>
      <c r="F2115" s="655"/>
      <c r="G2115" s="2"/>
      <c r="H2115" s="2"/>
      <c r="I2115" s="13"/>
      <c r="J2115" s="656"/>
      <c r="K2115" s="13"/>
      <c r="L2115" s="13"/>
      <c r="M2115" s="13"/>
      <c r="N2115" s="2"/>
      <c r="O2115" s="2"/>
      <c r="P2115" s="2"/>
      <c r="Q2115" s="2"/>
      <c r="R2115" s="101"/>
      <c r="U2115" s="101"/>
    </row>
    <row r="2116">
      <c r="A2116" s="49"/>
      <c r="C2116" s="13"/>
      <c r="D2116" s="13"/>
      <c r="E2116" s="2"/>
      <c r="F2116" s="655"/>
      <c r="G2116" s="2"/>
      <c r="H2116" s="2"/>
      <c r="I2116" s="13"/>
      <c r="J2116" s="656"/>
      <c r="K2116" s="13"/>
      <c r="L2116" s="13"/>
      <c r="M2116" s="13"/>
      <c r="N2116" s="2"/>
      <c r="O2116" s="2"/>
      <c r="P2116" s="2"/>
      <c r="Q2116" s="2"/>
      <c r="R2116" s="101"/>
      <c r="U2116" s="101"/>
    </row>
    <row r="2117">
      <c r="A2117" s="49"/>
      <c r="C2117" s="13"/>
      <c r="D2117" s="13"/>
      <c r="E2117" s="2"/>
      <c r="F2117" s="655"/>
      <c r="G2117" s="2"/>
      <c r="H2117" s="2"/>
      <c r="I2117" s="13"/>
      <c r="J2117" s="656"/>
      <c r="K2117" s="13"/>
      <c r="L2117" s="13"/>
      <c r="M2117" s="13"/>
      <c r="N2117" s="2"/>
      <c r="O2117" s="2"/>
      <c r="P2117" s="2"/>
      <c r="Q2117" s="2"/>
      <c r="R2117" s="101"/>
      <c r="U2117" s="101"/>
    </row>
    <row r="2118">
      <c r="A2118" s="49"/>
      <c r="C2118" s="13"/>
      <c r="D2118" s="13"/>
      <c r="E2118" s="2"/>
      <c r="F2118" s="655"/>
      <c r="G2118" s="2"/>
      <c r="H2118" s="2"/>
      <c r="I2118" s="13"/>
      <c r="J2118" s="656"/>
      <c r="K2118" s="13"/>
      <c r="L2118" s="13"/>
      <c r="M2118" s="13"/>
      <c r="N2118" s="2"/>
      <c r="O2118" s="2"/>
      <c r="P2118" s="2"/>
      <c r="Q2118" s="2"/>
      <c r="R2118" s="101"/>
      <c r="U2118" s="101"/>
    </row>
    <row r="2119">
      <c r="A2119" s="49"/>
      <c r="C2119" s="13"/>
      <c r="D2119" s="13"/>
      <c r="E2119" s="2"/>
      <c r="F2119" s="655"/>
      <c r="G2119" s="2"/>
      <c r="H2119" s="2"/>
      <c r="I2119" s="13"/>
      <c r="J2119" s="656"/>
      <c r="K2119" s="13"/>
      <c r="L2119" s="13"/>
      <c r="M2119" s="13"/>
      <c r="N2119" s="2"/>
      <c r="O2119" s="2"/>
      <c r="P2119" s="2"/>
      <c r="Q2119" s="2"/>
      <c r="R2119" s="101"/>
      <c r="U2119" s="101"/>
    </row>
    <row r="2120">
      <c r="A2120" s="49"/>
      <c r="C2120" s="13"/>
      <c r="D2120" s="13"/>
      <c r="E2120" s="2"/>
      <c r="F2120" s="655"/>
      <c r="G2120" s="2"/>
      <c r="H2120" s="2"/>
      <c r="I2120" s="13"/>
      <c r="J2120" s="656"/>
      <c r="K2120" s="13"/>
      <c r="L2120" s="13"/>
      <c r="M2120" s="13"/>
      <c r="N2120" s="2"/>
      <c r="O2120" s="2"/>
      <c r="P2120" s="2"/>
      <c r="Q2120" s="2"/>
      <c r="R2120" s="101"/>
      <c r="U2120" s="101"/>
    </row>
    <row r="2121">
      <c r="A2121" s="49"/>
      <c r="C2121" s="13"/>
      <c r="D2121" s="13"/>
      <c r="E2121" s="2"/>
      <c r="F2121" s="655"/>
      <c r="G2121" s="2"/>
      <c r="H2121" s="2"/>
      <c r="I2121" s="13"/>
      <c r="J2121" s="656"/>
      <c r="K2121" s="13"/>
      <c r="L2121" s="13"/>
      <c r="M2121" s="13"/>
      <c r="N2121" s="2"/>
      <c r="O2121" s="2"/>
      <c r="P2121" s="2"/>
      <c r="Q2121" s="2"/>
      <c r="R2121" s="101"/>
      <c r="U2121" s="101"/>
    </row>
    <row r="2122">
      <c r="A2122" s="49"/>
      <c r="C2122" s="13"/>
      <c r="D2122" s="13"/>
      <c r="E2122" s="2"/>
      <c r="F2122" s="655"/>
      <c r="G2122" s="2"/>
      <c r="H2122" s="2"/>
      <c r="I2122" s="13"/>
      <c r="J2122" s="656"/>
      <c r="K2122" s="13"/>
      <c r="L2122" s="13"/>
      <c r="M2122" s="13"/>
      <c r="N2122" s="2"/>
      <c r="O2122" s="2"/>
      <c r="P2122" s="2"/>
      <c r="Q2122" s="2"/>
      <c r="R2122" s="101"/>
      <c r="U2122" s="101"/>
    </row>
    <row r="2123">
      <c r="A2123" s="49"/>
      <c r="C2123" s="13"/>
      <c r="D2123" s="13"/>
      <c r="E2123" s="2"/>
      <c r="F2123" s="655"/>
      <c r="G2123" s="2"/>
      <c r="H2123" s="2"/>
      <c r="I2123" s="13"/>
      <c r="J2123" s="656"/>
      <c r="K2123" s="13"/>
      <c r="L2123" s="13"/>
      <c r="M2123" s="13"/>
      <c r="N2123" s="2"/>
      <c r="O2123" s="2"/>
      <c r="P2123" s="2"/>
      <c r="Q2123" s="2"/>
      <c r="R2123" s="101"/>
      <c r="U2123" s="101"/>
    </row>
    <row r="2124">
      <c r="A2124" s="49"/>
      <c r="C2124" s="13"/>
      <c r="D2124" s="13"/>
      <c r="E2124" s="2"/>
      <c r="F2124" s="655"/>
      <c r="G2124" s="2"/>
      <c r="H2124" s="2"/>
      <c r="I2124" s="13"/>
      <c r="J2124" s="656"/>
      <c r="K2124" s="13"/>
      <c r="L2124" s="13"/>
      <c r="M2124" s="13"/>
      <c r="N2124" s="2"/>
      <c r="O2124" s="2"/>
      <c r="P2124" s="2"/>
      <c r="Q2124" s="2"/>
      <c r="R2124" s="101"/>
      <c r="U2124" s="101"/>
    </row>
    <row r="2125">
      <c r="A2125" s="49"/>
      <c r="C2125" s="13"/>
      <c r="D2125" s="13"/>
      <c r="E2125" s="2"/>
      <c r="F2125" s="655"/>
      <c r="G2125" s="2"/>
      <c r="H2125" s="2"/>
      <c r="I2125" s="13"/>
      <c r="J2125" s="656"/>
      <c r="K2125" s="13"/>
      <c r="L2125" s="13"/>
      <c r="M2125" s="13"/>
      <c r="N2125" s="2"/>
      <c r="O2125" s="2"/>
      <c r="P2125" s="2"/>
      <c r="Q2125" s="2"/>
      <c r="R2125" s="101"/>
      <c r="U2125" s="101"/>
    </row>
    <row r="2126">
      <c r="A2126" s="49"/>
      <c r="C2126" s="13"/>
      <c r="D2126" s="13"/>
      <c r="E2126" s="2"/>
      <c r="F2126" s="655"/>
      <c r="G2126" s="2"/>
      <c r="H2126" s="2"/>
      <c r="I2126" s="13"/>
      <c r="J2126" s="656"/>
      <c r="K2126" s="13"/>
      <c r="L2126" s="13"/>
      <c r="M2126" s="13"/>
      <c r="N2126" s="2"/>
      <c r="O2126" s="2"/>
      <c r="P2126" s="2"/>
      <c r="Q2126" s="2"/>
      <c r="R2126" s="101"/>
      <c r="U2126" s="101"/>
    </row>
    <row r="2127">
      <c r="A2127" s="49"/>
      <c r="C2127" s="13"/>
      <c r="D2127" s="13"/>
      <c r="E2127" s="2"/>
      <c r="F2127" s="655"/>
      <c r="G2127" s="2"/>
      <c r="H2127" s="2"/>
      <c r="I2127" s="13"/>
      <c r="J2127" s="656"/>
      <c r="K2127" s="13"/>
      <c r="L2127" s="13"/>
      <c r="M2127" s="13"/>
      <c r="N2127" s="2"/>
      <c r="O2127" s="2"/>
      <c r="P2127" s="2"/>
      <c r="Q2127" s="2"/>
      <c r="R2127" s="101"/>
      <c r="U2127" s="101"/>
    </row>
    <row r="2128">
      <c r="A2128" s="49"/>
      <c r="C2128" s="13"/>
      <c r="D2128" s="13"/>
      <c r="E2128" s="2"/>
      <c r="F2128" s="655"/>
      <c r="G2128" s="2"/>
      <c r="H2128" s="2"/>
      <c r="I2128" s="13"/>
      <c r="J2128" s="656"/>
      <c r="K2128" s="13"/>
      <c r="L2128" s="13"/>
      <c r="M2128" s="13"/>
      <c r="N2128" s="2"/>
      <c r="O2128" s="2"/>
      <c r="P2128" s="2"/>
      <c r="Q2128" s="2"/>
      <c r="R2128" s="101"/>
      <c r="U2128" s="101"/>
    </row>
    <row r="2129">
      <c r="A2129" s="49"/>
      <c r="C2129" s="13"/>
      <c r="D2129" s="13"/>
      <c r="E2129" s="2"/>
      <c r="F2129" s="655"/>
      <c r="G2129" s="2"/>
      <c r="H2129" s="2"/>
      <c r="I2129" s="13"/>
      <c r="J2129" s="656"/>
      <c r="K2129" s="13"/>
      <c r="L2129" s="13"/>
      <c r="M2129" s="13"/>
      <c r="N2129" s="2"/>
      <c r="O2129" s="2"/>
      <c r="P2129" s="2"/>
      <c r="Q2129" s="2"/>
      <c r="R2129" s="101"/>
      <c r="U2129" s="101"/>
    </row>
    <row r="2130">
      <c r="A2130" s="49"/>
      <c r="C2130" s="13"/>
      <c r="D2130" s="13"/>
      <c r="E2130" s="2"/>
      <c r="F2130" s="655"/>
      <c r="G2130" s="2"/>
      <c r="H2130" s="2"/>
      <c r="I2130" s="13"/>
      <c r="J2130" s="656"/>
      <c r="K2130" s="13"/>
      <c r="L2130" s="13"/>
      <c r="M2130" s="13"/>
      <c r="N2130" s="2"/>
      <c r="O2130" s="2"/>
      <c r="P2130" s="2"/>
      <c r="Q2130" s="2"/>
      <c r="R2130" s="101"/>
      <c r="U2130" s="101"/>
    </row>
    <row r="2131">
      <c r="A2131" s="49"/>
      <c r="C2131" s="13"/>
      <c r="D2131" s="13"/>
      <c r="E2131" s="2"/>
      <c r="F2131" s="655"/>
      <c r="G2131" s="2"/>
      <c r="H2131" s="2"/>
      <c r="I2131" s="13"/>
      <c r="J2131" s="656"/>
      <c r="K2131" s="13"/>
      <c r="L2131" s="13"/>
      <c r="M2131" s="13"/>
      <c r="N2131" s="2"/>
      <c r="O2131" s="2"/>
      <c r="P2131" s="2"/>
      <c r="Q2131" s="2"/>
      <c r="R2131" s="101"/>
      <c r="U2131" s="101"/>
    </row>
    <row r="2132">
      <c r="A2132" s="49"/>
      <c r="C2132" s="13"/>
      <c r="D2132" s="13"/>
      <c r="E2132" s="2"/>
      <c r="F2132" s="655"/>
      <c r="G2132" s="2"/>
      <c r="H2132" s="2"/>
      <c r="I2132" s="13"/>
      <c r="J2132" s="656"/>
      <c r="K2132" s="13"/>
      <c r="L2132" s="13"/>
      <c r="M2132" s="13"/>
      <c r="N2132" s="2"/>
      <c r="O2132" s="2"/>
      <c r="P2132" s="2"/>
      <c r="Q2132" s="2"/>
      <c r="R2132" s="101"/>
      <c r="U2132" s="101"/>
    </row>
    <row r="2133">
      <c r="A2133" s="49"/>
      <c r="C2133" s="13"/>
      <c r="D2133" s="13"/>
      <c r="E2133" s="2"/>
      <c r="F2133" s="655"/>
      <c r="G2133" s="2"/>
      <c r="H2133" s="2"/>
      <c r="I2133" s="13"/>
      <c r="J2133" s="656"/>
      <c r="K2133" s="13"/>
      <c r="L2133" s="13"/>
      <c r="M2133" s="13"/>
      <c r="N2133" s="2"/>
      <c r="O2133" s="2"/>
      <c r="P2133" s="2"/>
      <c r="Q2133" s="2"/>
      <c r="R2133" s="101"/>
      <c r="U2133" s="101"/>
    </row>
    <row r="2134">
      <c r="A2134" s="49"/>
      <c r="C2134" s="13"/>
      <c r="D2134" s="13"/>
      <c r="E2134" s="2"/>
      <c r="F2134" s="655"/>
      <c r="G2134" s="2"/>
      <c r="H2134" s="2"/>
      <c r="I2134" s="13"/>
      <c r="J2134" s="656"/>
      <c r="K2134" s="13"/>
      <c r="L2134" s="13"/>
      <c r="M2134" s="13"/>
      <c r="N2134" s="2"/>
      <c r="O2134" s="2"/>
      <c r="P2134" s="2"/>
      <c r="Q2134" s="2"/>
      <c r="R2134" s="101"/>
      <c r="U2134" s="101"/>
    </row>
    <row r="2135">
      <c r="A2135" s="49"/>
      <c r="C2135" s="13"/>
      <c r="D2135" s="13"/>
      <c r="E2135" s="2"/>
      <c r="F2135" s="655"/>
      <c r="G2135" s="2"/>
      <c r="H2135" s="2"/>
      <c r="I2135" s="13"/>
      <c r="J2135" s="656"/>
      <c r="K2135" s="13"/>
      <c r="L2135" s="13"/>
      <c r="M2135" s="13"/>
      <c r="N2135" s="2"/>
      <c r="O2135" s="2"/>
      <c r="P2135" s="2"/>
      <c r="Q2135" s="2"/>
      <c r="R2135" s="101"/>
      <c r="U2135" s="101"/>
    </row>
    <row r="2136">
      <c r="A2136" s="49"/>
      <c r="C2136" s="13"/>
      <c r="D2136" s="13"/>
      <c r="E2136" s="2"/>
      <c r="F2136" s="655"/>
      <c r="G2136" s="2"/>
      <c r="H2136" s="2"/>
      <c r="I2136" s="13"/>
      <c r="J2136" s="656"/>
      <c r="K2136" s="13"/>
      <c r="L2136" s="13"/>
      <c r="M2136" s="13"/>
      <c r="N2136" s="2"/>
      <c r="O2136" s="2"/>
      <c r="P2136" s="2"/>
      <c r="Q2136" s="2"/>
      <c r="R2136" s="101"/>
      <c r="U2136" s="101"/>
    </row>
    <row r="2137">
      <c r="A2137" s="49"/>
      <c r="C2137" s="13"/>
      <c r="D2137" s="13"/>
      <c r="E2137" s="2"/>
      <c r="F2137" s="655"/>
      <c r="G2137" s="2"/>
      <c r="H2137" s="2"/>
      <c r="I2137" s="13"/>
      <c r="J2137" s="656"/>
      <c r="K2137" s="13"/>
      <c r="L2137" s="13"/>
      <c r="M2137" s="13"/>
      <c r="N2137" s="2"/>
      <c r="O2137" s="2"/>
      <c r="P2137" s="2"/>
      <c r="Q2137" s="2"/>
      <c r="R2137" s="101"/>
      <c r="U2137" s="101"/>
    </row>
    <row r="2138">
      <c r="A2138" s="49"/>
      <c r="C2138" s="13"/>
      <c r="D2138" s="13"/>
      <c r="E2138" s="2"/>
      <c r="F2138" s="655"/>
      <c r="G2138" s="2"/>
      <c r="H2138" s="2"/>
      <c r="I2138" s="13"/>
      <c r="J2138" s="656"/>
      <c r="K2138" s="13"/>
      <c r="L2138" s="13"/>
      <c r="M2138" s="13"/>
      <c r="N2138" s="2"/>
      <c r="O2138" s="2"/>
      <c r="P2138" s="2"/>
      <c r="Q2138" s="2"/>
      <c r="R2138" s="101"/>
      <c r="U2138" s="101"/>
    </row>
    <row r="2139">
      <c r="A2139" s="49"/>
      <c r="C2139" s="13"/>
      <c r="D2139" s="13"/>
      <c r="E2139" s="2"/>
      <c r="F2139" s="655"/>
      <c r="G2139" s="2"/>
      <c r="H2139" s="2"/>
      <c r="I2139" s="13"/>
      <c r="J2139" s="656"/>
      <c r="K2139" s="13"/>
      <c r="L2139" s="13"/>
      <c r="M2139" s="13"/>
      <c r="N2139" s="2"/>
      <c r="O2139" s="2"/>
      <c r="P2139" s="2"/>
      <c r="Q2139" s="2"/>
      <c r="R2139" s="101"/>
      <c r="U2139" s="101"/>
    </row>
    <row r="2140">
      <c r="A2140" s="49"/>
      <c r="C2140" s="13"/>
      <c r="D2140" s="13"/>
      <c r="E2140" s="2"/>
      <c r="F2140" s="655"/>
      <c r="G2140" s="2"/>
      <c r="H2140" s="2"/>
      <c r="I2140" s="13"/>
      <c r="J2140" s="656"/>
      <c r="K2140" s="13"/>
      <c r="L2140" s="13"/>
      <c r="M2140" s="13"/>
      <c r="N2140" s="2"/>
      <c r="O2140" s="2"/>
      <c r="P2140" s="2"/>
      <c r="Q2140" s="2"/>
      <c r="R2140" s="101"/>
      <c r="U2140" s="101"/>
    </row>
    <row r="2141">
      <c r="A2141" s="49"/>
      <c r="C2141" s="13"/>
      <c r="D2141" s="13"/>
      <c r="E2141" s="2"/>
      <c r="F2141" s="655"/>
      <c r="G2141" s="2"/>
      <c r="H2141" s="2"/>
      <c r="I2141" s="13"/>
      <c r="J2141" s="656"/>
      <c r="K2141" s="13"/>
      <c r="L2141" s="13"/>
      <c r="M2141" s="13"/>
      <c r="N2141" s="2"/>
      <c r="O2141" s="2"/>
      <c r="P2141" s="2"/>
      <c r="Q2141" s="2"/>
      <c r="R2141" s="101"/>
      <c r="U2141" s="101"/>
    </row>
    <row r="2142">
      <c r="A2142" s="49"/>
      <c r="C2142" s="13"/>
      <c r="D2142" s="13"/>
      <c r="E2142" s="2"/>
      <c r="F2142" s="655"/>
      <c r="G2142" s="2"/>
      <c r="H2142" s="2"/>
      <c r="I2142" s="13"/>
      <c r="J2142" s="656"/>
      <c r="K2142" s="13"/>
      <c r="L2142" s="13"/>
      <c r="M2142" s="13"/>
      <c r="N2142" s="2"/>
      <c r="O2142" s="2"/>
      <c r="P2142" s="2"/>
      <c r="Q2142" s="2"/>
      <c r="R2142" s="101"/>
      <c r="U2142" s="101"/>
    </row>
    <row r="2143">
      <c r="A2143" s="49"/>
      <c r="C2143" s="13"/>
      <c r="D2143" s="13"/>
      <c r="E2143" s="2"/>
      <c r="F2143" s="655"/>
      <c r="G2143" s="2"/>
      <c r="H2143" s="2"/>
      <c r="I2143" s="13"/>
      <c r="J2143" s="656"/>
      <c r="K2143" s="13"/>
      <c r="L2143" s="13"/>
      <c r="M2143" s="13"/>
      <c r="N2143" s="2"/>
      <c r="O2143" s="2"/>
      <c r="P2143" s="2"/>
      <c r="Q2143" s="2"/>
      <c r="R2143" s="101"/>
      <c r="U2143" s="101"/>
    </row>
    <row r="2144">
      <c r="A2144" s="49"/>
      <c r="C2144" s="13"/>
      <c r="D2144" s="13"/>
      <c r="E2144" s="2"/>
      <c r="F2144" s="655"/>
      <c r="G2144" s="2"/>
      <c r="H2144" s="2"/>
      <c r="I2144" s="13"/>
      <c r="J2144" s="656"/>
      <c r="K2144" s="13"/>
      <c r="L2144" s="13"/>
      <c r="M2144" s="13"/>
      <c r="N2144" s="2"/>
      <c r="O2144" s="2"/>
      <c r="P2144" s="2"/>
      <c r="Q2144" s="2"/>
      <c r="R2144" s="101"/>
      <c r="U2144" s="101"/>
    </row>
    <row r="2145">
      <c r="A2145" s="49"/>
      <c r="C2145" s="13"/>
      <c r="D2145" s="13"/>
      <c r="E2145" s="2"/>
      <c r="F2145" s="655"/>
      <c r="G2145" s="2"/>
      <c r="H2145" s="2"/>
      <c r="I2145" s="13"/>
      <c r="J2145" s="656"/>
      <c r="K2145" s="13"/>
      <c r="L2145" s="13"/>
      <c r="M2145" s="13"/>
      <c r="N2145" s="2"/>
      <c r="O2145" s="2"/>
      <c r="P2145" s="2"/>
      <c r="Q2145" s="2"/>
      <c r="R2145" s="101"/>
      <c r="U2145" s="101"/>
    </row>
    <row r="2146">
      <c r="A2146" s="49"/>
      <c r="C2146" s="13"/>
      <c r="D2146" s="13"/>
      <c r="E2146" s="2"/>
      <c r="F2146" s="655"/>
      <c r="G2146" s="2"/>
      <c r="H2146" s="2"/>
      <c r="I2146" s="13"/>
      <c r="J2146" s="656"/>
      <c r="K2146" s="13"/>
      <c r="L2146" s="13"/>
      <c r="M2146" s="13"/>
      <c r="N2146" s="2"/>
      <c r="O2146" s="2"/>
      <c r="P2146" s="2"/>
      <c r="Q2146" s="2"/>
      <c r="R2146" s="101"/>
      <c r="U2146" s="101"/>
    </row>
    <row r="2147">
      <c r="A2147" s="49"/>
      <c r="C2147" s="13"/>
      <c r="D2147" s="13"/>
      <c r="E2147" s="2"/>
      <c r="F2147" s="655"/>
      <c r="G2147" s="2"/>
      <c r="H2147" s="2"/>
      <c r="I2147" s="13"/>
      <c r="J2147" s="656"/>
      <c r="K2147" s="13"/>
      <c r="L2147" s="13"/>
      <c r="M2147" s="13"/>
      <c r="N2147" s="2"/>
      <c r="O2147" s="2"/>
      <c r="P2147" s="2"/>
      <c r="Q2147" s="2"/>
      <c r="R2147" s="101"/>
      <c r="U2147" s="101"/>
    </row>
    <row r="2148">
      <c r="A2148" s="49"/>
      <c r="C2148" s="13"/>
      <c r="D2148" s="13"/>
      <c r="E2148" s="2"/>
      <c r="F2148" s="655"/>
      <c r="G2148" s="2"/>
      <c r="H2148" s="2"/>
      <c r="I2148" s="13"/>
      <c r="J2148" s="656"/>
      <c r="K2148" s="13"/>
      <c r="L2148" s="13"/>
      <c r="M2148" s="13"/>
      <c r="N2148" s="2"/>
      <c r="O2148" s="2"/>
      <c r="P2148" s="2"/>
      <c r="Q2148" s="2"/>
      <c r="R2148" s="101"/>
      <c r="U2148" s="101"/>
    </row>
    <row r="2149">
      <c r="A2149" s="49"/>
      <c r="C2149" s="13"/>
      <c r="D2149" s="13"/>
      <c r="E2149" s="2"/>
      <c r="F2149" s="655"/>
      <c r="G2149" s="2"/>
      <c r="H2149" s="2"/>
      <c r="I2149" s="13"/>
      <c r="J2149" s="656"/>
      <c r="K2149" s="13"/>
      <c r="L2149" s="13"/>
      <c r="M2149" s="13"/>
      <c r="N2149" s="2"/>
      <c r="O2149" s="2"/>
      <c r="P2149" s="2"/>
      <c r="Q2149" s="2"/>
      <c r="R2149" s="101"/>
      <c r="U2149" s="101"/>
    </row>
    <row r="2150">
      <c r="A2150" s="49"/>
      <c r="C2150" s="13"/>
      <c r="D2150" s="13"/>
      <c r="E2150" s="2"/>
      <c r="F2150" s="655"/>
      <c r="G2150" s="2"/>
      <c r="H2150" s="2"/>
      <c r="I2150" s="13"/>
      <c r="J2150" s="656"/>
      <c r="K2150" s="13"/>
      <c r="L2150" s="13"/>
      <c r="M2150" s="13"/>
      <c r="N2150" s="2"/>
      <c r="O2150" s="2"/>
      <c r="P2150" s="2"/>
      <c r="Q2150" s="2"/>
      <c r="R2150" s="101"/>
      <c r="U2150" s="101"/>
    </row>
    <row r="2151">
      <c r="A2151" s="49"/>
      <c r="C2151" s="13"/>
      <c r="D2151" s="13"/>
      <c r="E2151" s="2"/>
      <c r="F2151" s="655"/>
      <c r="G2151" s="2"/>
      <c r="H2151" s="2"/>
      <c r="I2151" s="13"/>
      <c r="J2151" s="656"/>
      <c r="K2151" s="13"/>
      <c r="L2151" s="13"/>
      <c r="M2151" s="13"/>
      <c r="N2151" s="2"/>
      <c r="O2151" s="2"/>
      <c r="P2151" s="2"/>
      <c r="Q2151" s="2"/>
      <c r="R2151" s="101"/>
      <c r="U2151" s="101"/>
    </row>
    <row r="2152">
      <c r="A2152" s="49"/>
      <c r="C2152" s="13"/>
      <c r="D2152" s="13"/>
      <c r="E2152" s="2"/>
      <c r="F2152" s="655"/>
      <c r="G2152" s="2"/>
      <c r="H2152" s="2"/>
      <c r="I2152" s="13"/>
      <c r="J2152" s="656"/>
      <c r="K2152" s="13"/>
      <c r="L2152" s="13"/>
      <c r="M2152" s="13"/>
      <c r="N2152" s="2"/>
      <c r="O2152" s="2"/>
      <c r="P2152" s="2"/>
      <c r="Q2152" s="2"/>
      <c r="R2152" s="101"/>
      <c r="U2152" s="101"/>
    </row>
    <row r="2153">
      <c r="A2153" s="49"/>
      <c r="C2153" s="13"/>
      <c r="D2153" s="13"/>
      <c r="E2153" s="2"/>
      <c r="F2153" s="655"/>
      <c r="G2153" s="2"/>
      <c r="H2153" s="2"/>
      <c r="I2153" s="13"/>
      <c r="J2153" s="656"/>
      <c r="K2153" s="13"/>
      <c r="L2153" s="13"/>
      <c r="M2153" s="13"/>
      <c r="N2153" s="2"/>
      <c r="O2153" s="2"/>
      <c r="P2153" s="2"/>
      <c r="Q2153" s="2"/>
      <c r="R2153" s="101"/>
      <c r="U2153" s="101"/>
    </row>
    <row r="2154">
      <c r="A2154" s="49"/>
      <c r="C2154" s="13"/>
      <c r="D2154" s="13"/>
      <c r="E2154" s="2"/>
      <c r="F2154" s="655"/>
      <c r="G2154" s="2"/>
      <c r="H2154" s="2"/>
      <c r="I2154" s="13"/>
      <c r="J2154" s="656"/>
      <c r="K2154" s="13"/>
      <c r="L2154" s="13"/>
      <c r="M2154" s="13"/>
      <c r="N2154" s="2"/>
      <c r="O2154" s="2"/>
      <c r="P2154" s="2"/>
      <c r="Q2154" s="2"/>
      <c r="R2154" s="101"/>
      <c r="U2154" s="101"/>
    </row>
    <row r="2155">
      <c r="A2155" s="49"/>
      <c r="C2155" s="13"/>
      <c r="D2155" s="13"/>
      <c r="E2155" s="2"/>
      <c r="F2155" s="655"/>
      <c r="G2155" s="2"/>
      <c r="H2155" s="2"/>
      <c r="I2155" s="13"/>
      <c r="J2155" s="656"/>
      <c r="K2155" s="13"/>
      <c r="L2155" s="13"/>
      <c r="M2155" s="13"/>
      <c r="N2155" s="2"/>
      <c r="O2155" s="2"/>
      <c r="P2155" s="2"/>
      <c r="Q2155" s="2"/>
      <c r="R2155" s="101"/>
      <c r="U2155" s="101"/>
    </row>
    <row r="2156">
      <c r="A2156" s="49"/>
      <c r="C2156" s="13"/>
      <c r="D2156" s="13"/>
      <c r="E2156" s="2"/>
      <c r="F2156" s="655"/>
      <c r="G2156" s="2"/>
      <c r="H2156" s="2"/>
      <c r="I2156" s="13"/>
      <c r="J2156" s="656"/>
      <c r="K2156" s="13"/>
      <c r="L2156" s="13"/>
      <c r="M2156" s="13"/>
      <c r="N2156" s="2"/>
      <c r="O2156" s="2"/>
      <c r="P2156" s="2"/>
      <c r="Q2156" s="2"/>
      <c r="R2156" s="101"/>
      <c r="U2156" s="101"/>
    </row>
    <row r="2157">
      <c r="A2157" s="49"/>
      <c r="C2157" s="13"/>
      <c r="D2157" s="13"/>
      <c r="E2157" s="2"/>
      <c r="F2157" s="655"/>
      <c r="G2157" s="2"/>
      <c r="H2157" s="2"/>
      <c r="I2157" s="13"/>
      <c r="J2157" s="656"/>
      <c r="K2157" s="13"/>
      <c r="L2157" s="13"/>
      <c r="M2157" s="13"/>
      <c r="N2157" s="2"/>
      <c r="O2157" s="2"/>
      <c r="P2157" s="2"/>
      <c r="Q2157" s="2"/>
      <c r="R2157" s="101"/>
      <c r="U2157" s="101"/>
    </row>
    <row r="2158">
      <c r="A2158" s="49"/>
      <c r="C2158" s="13"/>
      <c r="D2158" s="13"/>
      <c r="E2158" s="2"/>
      <c r="F2158" s="655"/>
      <c r="G2158" s="2"/>
      <c r="H2158" s="2"/>
      <c r="I2158" s="13"/>
      <c r="J2158" s="656"/>
      <c r="K2158" s="13"/>
      <c r="L2158" s="13"/>
      <c r="M2158" s="13"/>
      <c r="N2158" s="2"/>
      <c r="O2158" s="2"/>
      <c r="P2158" s="2"/>
      <c r="Q2158" s="2"/>
      <c r="R2158" s="101"/>
      <c r="U2158" s="101"/>
    </row>
    <row r="2159">
      <c r="A2159" s="49"/>
      <c r="C2159" s="13"/>
      <c r="D2159" s="13"/>
      <c r="E2159" s="2"/>
      <c r="F2159" s="655"/>
      <c r="G2159" s="2"/>
      <c r="H2159" s="2"/>
      <c r="I2159" s="13"/>
      <c r="J2159" s="656"/>
      <c r="K2159" s="13"/>
      <c r="L2159" s="13"/>
      <c r="M2159" s="13"/>
      <c r="N2159" s="2"/>
      <c r="O2159" s="2"/>
      <c r="P2159" s="2"/>
      <c r="Q2159" s="2"/>
      <c r="R2159" s="101"/>
      <c r="U2159" s="101"/>
    </row>
    <row r="2160">
      <c r="A2160" s="49"/>
      <c r="C2160" s="13"/>
      <c r="D2160" s="13"/>
      <c r="E2160" s="2"/>
      <c r="F2160" s="655"/>
      <c r="G2160" s="2"/>
      <c r="H2160" s="2"/>
      <c r="I2160" s="13"/>
      <c r="J2160" s="656"/>
      <c r="K2160" s="13"/>
      <c r="L2160" s="13"/>
      <c r="M2160" s="13"/>
      <c r="N2160" s="2"/>
      <c r="O2160" s="2"/>
      <c r="P2160" s="2"/>
      <c r="Q2160" s="2"/>
      <c r="R2160" s="101"/>
      <c r="U2160" s="101"/>
    </row>
    <row r="2161">
      <c r="A2161" s="49"/>
      <c r="C2161" s="13"/>
      <c r="D2161" s="13"/>
      <c r="E2161" s="2"/>
      <c r="F2161" s="655"/>
      <c r="G2161" s="2"/>
      <c r="H2161" s="2"/>
      <c r="I2161" s="13"/>
      <c r="J2161" s="656"/>
      <c r="K2161" s="13"/>
      <c r="L2161" s="13"/>
      <c r="M2161" s="13"/>
      <c r="N2161" s="2"/>
      <c r="O2161" s="2"/>
      <c r="P2161" s="2"/>
      <c r="Q2161" s="2"/>
      <c r="R2161" s="101"/>
      <c r="U2161" s="101"/>
    </row>
    <row r="2162">
      <c r="A2162" s="49"/>
      <c r="C2162" s="13"/>
      <c r="D2162" s="13"/>
      <c r="E2162" s="2"/>
      <c r="F2162" s="655"/>
      <c r="G2162" s="2"/>
      <c r="H2162" s="2"/>
      <c r="I2162" s="13"/>
      <c r="J2162" s="656"/>
      <c r="K2162" s="13"/>
      <c r="L2162" s="13"/>
      <c r="M2162" s="13"/>
      <c r="N2162" s="2"/>
      <c r="O2162" s="2"/>
      <c r="P2162" s="2"/>
      <c r="Q2162" s="2"/>
      <c r="R2162" s="101"/>
      <c r="U2162" s="101"/>
    </row>
    <row r="2163">
      <c r="A2163" s="49"/>
      <c r="C2163" s="13"/>
      <c r="D2163" s="13"/>
      <c r="E2163" s="2"/>
      <c r="F2163" s="655"/>
      <c r="G2163" s="2"/>
      <c r="H2163" s="2"/>
      <c r="I2163" s="13"/>
      <c r="J2163" s="656"/>
      <c r="K2163" s="13"/>
      <c r="L2163" s="13"/>
      <c r="M2163" s="13"/>
      <c r="N2163" s="2"/>
      <c r="O2163" s="2"/>
      <c r="P2163" s="2"/>
      <c r="Q2163" s="2"/>
      <c r="R2163" s="101"/>
      <c r="U2163" s="101"/>
    </row>
    <row r="2164">
      <c r="A2164" s="49"/>
      <c r="C2164" s="13"/>
      <c r="D2164" s="13"/>
      <c r="E2164" s="2"/>
      <c r="F2164" s="655"/>
      <c r="G2164" s="2"/>
      <c r="H2164" s="2"/>
      <c r="I2164" s="13"/>
      <c r="J2164" s="656"/>
      <c r="K2164" s="13"/>
      <c r="L2164" s="13"/>
      <c r="M2164" s="13"/>
      <c r="N2164" s="2"/>
      <c r="O2164" s="2"/>
      <c r="P2164" s="2"/>
      <c r="Q2164" s="2"/>
      <c r="R2164" s="101"/>
      <c r="U2164" s="101"/>
    </row>
    <row r="2165">
      <c r="A2165" s="49"/>
      <c r="C2165" s="13"/>
      <c r="D2165" s="13"/>
      <c r="E2165" s="2"/>
      <c r="F2165" s="655"/>
      <c r="G2165" s="2"/>
      <c r="H2165" s="2"/>
      <c r="I2165" s="13"/>
      <c r="J2165" s="656"/>
      <c r="K2165" s="13"/>
      <c r="L2165" s="13"/>
      <c r="M2165" s="13"/>
      <c r="N2165" s="2"/>
      <c r="O2165" s="2"/>
      <c r="P2165" s="2"/>
      <c r="Q2165" s="2"/>
      <c r="R2165" s="101"/>
      <c r="U2165" s="101"/>
    </row>
    <row r="2166">
      <c r="A2166" s="49"/>
      <c r="C2166" s="13"/>
      <c r="D2166" s="13"/>
      <c r="E2166" s="2"/>
      <c r="F2166" s="655"/>
      <c r="G2166" s="2"/>
      <c r="H2166" s="2"/>
      <c r="I2166" s="13"/>
      <c r="J2166" s="656"/>
      <c r="K2166" s="13"/>
      <c r="L2166" s="13"/>
      <c r="M2166" s="13"/>
      <c r="N2166" s="2"/>
      <c r="O2166" s="2"/>
      <c r="P2166" s="2"/>
      <c r="Q2166" s="2"/>
      <c r="R2166" s="101"/>
      <c r="U2166" s="101"/>
    </row>
    <row r="2167">
      <c r="A2167" s="49"/>
      <c r="C2167" s="13"/>
      <c r="D2167" s="13"/>
      <c r="E2167" s="2"/>
      <c r="F2167" s="655"/>
      <c r="G2167" s="2"/>
      <c r="H2167" s="2"/>
      <c r="I2167" s="13"/>
      <c r="J2167" s="656"/>
      <c r="K2167" s="13"/>
      <c r="L2167" s="13"/>
      <c r="M2167" s="13"/>
      <c r="N2167" s="2"/>
      <c r="O2167" s="2"/>
      <c r="P2167" s="2"/>
      <c r="Q2167" s="2"/>
      <c r="R2167" s="101"/>
      <c r="U2167" s="101"/>
    </row>
    <row r="2168">
      <c r="A2168" s="49"/>
      <c r="C2168" s="13"/>
      <c r="D2168" s="13"/>
      <c r="E2168" s="2"/>
      <c r="F2168" s="655"/>
      <c r="G2168" s="2"/>
      <c r="H2168" s="2"/>
      <c r="I2168" s="13"/>
      <c r="J2168" s="656"/>
      <c r="K2168" s="13"/>
      <c r="L2168" s="13"/>
      <c r="M2168" s="13"/>
      <c r="N2168" s="2"/>
      <c r="O2168" s="2"/>
      <c r="P2168" s="2"/>
      <c r="Q2168" s="2"/>
      <c r="R2168" s="101"/>
      <c r="U2168" s="101"/>
    </row>
    <row r="2169">
      <c r="A2169" s="49"/>
      <c r="C2169" s="13"/>
      <c r="D2169" s="13"/>
      <c r="E2169" s="2"/>
      <c r="F2169" s="655"/>
      <c r="G2169" s="2"/>
      <c r="H2169" s="2"/>
      <c r="I2169" s="13"/>
      <c r="J2169" s="656"/>
      <c r="K2169" s="13"/>
      <c r="L2169" s="13"/>
      <c r="M2169" s="13"/>
      <c r="N2169" s="2"/>
      <c r="O2169" s="2"/>
      <c r="P2169" s="2"/>
      <c r="Q2169" s="2"/>
      <c r="R2169" s="101"/>
      <c r="U2169" s="101"/>
    </row>
    <row r="2170">
      <c r="A2170" s="49"/>
      <c r="C2170" s="13"/>
      <c r="D2170" s="13"/>
      <c r="E2170" s="2"/>
      <c r="F2170" s="655"/>
      <c r="G2170" s="2"/>
      <c r="H2170" s="2"/>
      <c r="I2170" s="13"/>
      <c r="J2170" s="656"/>
      <c r="K2170" s="13"/>
      <c r="L2170" s="13"/>
      <c r="M2170" s="13"/>
      <c r="N2170" s="2"/>
      <c r="O2170" s="2"/>
      <c r="P2170" s="2"/>
      <c r="Q2170" s="2"/>
      <c r="R2170" s="101"/>
      <c r="U2170" s="101"/>
    </row>
    <row r="2171">
      <c r="A2171" s="49"/>
      <c r="C2171" s="13"/>
      <c r="D2171" s="13"/>
      <c r="E2171" s="2"/>
      <c r="F2171" s="655"/>
      <c r="G2171" s="2"/>
      <c r="H2171" s="2"/>
      <c r="I2171" s="13"/>
      <c r="J2171" s="656"/>
      <c r="K2171" s="13"/>
      <c r="L2171" s="13"/>
      <c r="M2171" s="13"/>
      <c r="N2171" s="2"/>
      <c r="O2171" s="2"/>
      <c r="P2171" s="2"/>
      <c r="Q2171" s="2"/>
      <c r="R2171" s="101"/>
      <c r="U2171" s="101"/>
    </row>
    <row r="2172">
      <c r="A2172" s="49"/>
      <c r="C2172" s="13"/>
      <c r="D2172" s="13"/>
      <c r="E2172" s="2"/>
      <c r="F2172" s="655"/>
      <c r="G2172" s="2"/>
      <c r="H2172" s="2"/>
      <c r="I2172" s="13"/>
      <c r="J2172" s="656"/>
      <c r="K2172" s="13"/>
      <c r="L2172" s="13"/>
      <c r="M2172" s="13"/>
      <c r="N2172" s="2"/>
      <c r="O2172" s="2"/>
      <c r="P2172" s="2"/>
      <c r="Q2172" s="2"/>
      <c r="R2172" s="101"/>
      <c r="U2172" s="101"/>
    </row>
    <row r="2173">
      <c r="A2173" s="49"/>
      <c r="C2173" s="13"/>
      <c r="D2173" s="13"/>
      <c r="E2173" s="2"/>
      <c r="F2173" s="655"/>
      <c r="G2173" s="2"/>
      <c r="H2173" s="2"/>
      <c r="I2173" s="13"/>
      <c r="J2173" s="656"/>
      <c r="K2173" s="13"/>
      <c r="L2173" s="13"/>
      <c r="M2173" s="13"/>
      <c r="N2173" s="2"/>
      <c r="O2173" s="2"/>
      <c r="P2173" s="2"/>
      <c r="Q2173" s="2"/>
      <c r="R2173" s="101"/>
      <c r="U2173" s="101"/>
    </row>
    <row r="2174">
      <c r="A2174" s="49"/>
      <c r="C2174" s="13"/>
      <c r="D2174" s="13"/>
      <c r="E2174" s="2"/>
      <c r="F2174" s="655"/>
      <c r="G2174" s="2"/>
      <c r="H2174" s="2"/>
      <c r="I2174" s="13"/>
      <c r="J2174" s="656"/>
      <c r="K2174" s="13"/>
      <c r="L2174" s="13"/>
      <c r="M2174" s="13"/>
      <c r="N2174" s="2"/>
      <c r="O2174" s="2"/>
      <c r="P2174" s="2"/>
      <c r="Q2174" s="2"/>
      <c r="R2174" s="101"/>
      <c r="U2174" s="101"/>
    </row>
    <row r="2175">
      <c r="A2175" s="49"/>
      <c r="C2175" s="13"/>
      <c r="D2175" s="13"/>
      <c r="E2175" s="2"/>
      <c r="F2175" s="655"/>
      <c r="G2175" s="2"/>
      <c r="H2175" s="2"/>
      <c r="I2175" s="13"/>
      <c r="J2175" s="656"/>
      <c r="K2175" s="13"/>
      <c r="L2175" s="13"/>
      <c r="M2175" s="13"/>
      <c r="N2175" s="2"/>
      <c r="O2175" s="2"/>
      <c r="P2175" s="2"/>
      <c r="Q2175" s="2"/>
      <c r="R2175" s="101"/>
      <c r="U2175" s="101"/>
    </row>
    <row r="2176">
      <c r="A2176" s="49"/>
      <c r="C2176" s="13"/>
      <c r="D2176" s="13"/>
      <c r="E2176" s="2"/>
      <c r="F2176" s="655"/>
      <c r="G2176" s="2"/>
      <c r="H2176" s="2"/>
      <c r="I2176" s="13"/>
      <c r="J2176" s="656"/>
      <c r="K2176" s="13"/>
      <c r="L2176" s="13"/>
      <c r="M2176" s="13"/>
      <c r="N2176" s="2"/>
      <c r="O2176" s="2"/>
      <c r="P2176" s="2"/>
      <c r="Q2176" s="2"/>
      <c r="R2176" s="101"/>
      <c r="U2176" s="101"/>
    </row>
    <row r="2177">
      <c r="A2177" s="49"/>
      <c r="C2177" s="13"/>
      <c r="D2177" s="13"/>
      <c r="E2177" s="2"/>
      <c r="F2177" s="655"/>
      <c r="G2177" s="2"/>
      <c r="H2177" s="2"/>
      <c r="I2177" s="13"/>
      <c r="J2177" s="656"/>
      <c r="K2177" s="13"/>
      <c r="L2177" s="13"/>
      <c r="M2177" s="13"/>
      <c r="N2177" s="2"/>
      <c r="O2177" s="2"/>
      <c r="P2177" s="2"/>
      <c r="Q2177" s="2"/>
      <c r="R2177" s="101"/>
      <c r="U2177" s="101"/>
    </row>
    <row r="2178">
      <c r="A2178" s="49"/>
      <c r="C2178" s="13"/>
      <c r="D2178" s="13"/>
      <c r="E2178" s="2"/>
      <c r="F2178" s="655"/>
      <c r="G2178" s="2"/>
      <c r="H2178" s="2"/>
      <c r="I2178" s="13"/>
      <c r="J2178" s="656"/>
      <c r="K2178" s="13"/>
      <c r="L2178" s="13"/>
      <c r="M2178" s="13"/>
      <c r="N2178" s="2"/>
      <c r="O2178" s="2"/>
      <c r="P2178" s="2"/>
      <c r="Q2178" s="2"/>
      <c r="R2178" s="101"/>
      <c r="U2178" s="101"/>
    </row>
    <row r="2179">
      <c r="A2179" s="49"/>
      <c r="C2179" s="13"/>
      <c r="D2179" s="13"/>
      <c r="E2179" s="2"/>
      <c r="F2179" s="655"/>
      <c r="G2179" s="2"/>
      <c r="H2179" s="2"/>
      <c r="I2179" s="13"/>
      <c r="J2179" s="656"/>
      <c r="K2179" s="13"/>
      <c r="L2179" s="13"/>
      <c r="M2179" s="13"/>
      <c r="N2179" s="2"/>
      <c r="O2179" s="2"/>
      <c r="P2179" s="2"/>
      <c r="Q2179" s="2"/>
      <c r="R2179" s="101"/>
      <c r="U2179" s="101"/>
    </row>
    <row r="2180">
      <c r="A2180" s="49"/>
      <c r="C2180" s="13"/>
      <c r="D2180" s="13"/>
      <c r="E2180" s="2"/>
      <c r="F2180" s="655"/>
      <c r="G2180" s="2"/>
      <c r="H2180" s="2"/>
      <c r="I2180" s="13"/>
      <c r="J2180" s="656"/>
      <c r="K2180" s="13"/>
      <c r="L2180" s="13"/>
      <c r="M2180" s="13"/>
      <c r="N2180" s="2"/>
      <c r="O2180" s="2"/>
      <c r="P2180" s="2"/>
      <c r="Q2180" s="2"/>
      <c r="R2180" s="101"/>
      <c r="U2180" s="101"/>
    </row>
    <row r="2181">
      <c r="A2181" s="49"/>
      <c r="C2181" s="13"/>
      <c r="D2181" s="13"/>
      <c r="E2181" s="2"/>
      <c r="F2181" s="655"/>
      <c r="G2181" s="2"/>
      <c r="H2181" s="2"/>
      <c r="I2181" s="13"/>
      <c r="J2181" s="656"/>
      <c r="K2181" s="13"/>
      <c r="L2181" s="13"/>
      <c r="M2181" s="13"/>
      <c r="N2181" s="2"/>
      <c r="O2181" s="2"/>
      <c r="P2181" s="2"/>
      <c r="Q2181" s="2"/>
      <c r="R2181" s="101"/>
      <c r="U2181" s="101"/>
    </row>
    <row r="2182">
      <c r="A2182" s="49"/>
      <c r="C2182" s="13"/>
      <c r="D2182" s="13"/>
      <c r="E2182" s="2"/>
      <c r="F2182" s="655"/>
      <c r="G2182" s="2"/>
      <c r="H2182" s="2"/>
      <c r="I2182" s="13"/>
      <c r="J2182" s="656"/>
      <c r="K2182" s="13"/>
      <c r="L2182" s="13"/>
      <c r="M2182" s="13"/>
      <c r="N2182" s="2"/>
      <c r="O2182" s="2"/>
      <c r="P2182" s="2"/>
      <c r="Q2182" s="2"/>
      <c r="R2182" s="101"/>
      <c r="U2182" s="101"/>
    </row>
    <row r="2183">
      <c r="A2183" s="49"/>
      <c r="C2183" s="13"/>
      <c r="D2183" s="13"/>
      <c r="E2183" s="2"/>
      <c r="F2183" s="655"/>
      <c r="G2183" s="2"/>
      <c r="H2183" s="2"/>
      <c r="I2183" s="13"/>
      <c r="J2183" s="656"/>
      <c r="K2183" s="13"/>
      <c r="L2183" s="13"/>
      <c r="M2183" s="13"/>
      <c r="N2183" s="2"/>
      <c r="O2183" s="2"/>
      <c r="P2183" s="2"/>
      <c r="Q2183" s="2"/>
      <c r="R2183" s="101"/>
      <c r="U2183" s="101"/>
    </row>
    <row r="2184">
      <c r="A2184" s="49"/>
      <c r="C2184" s="13"/>
      <c r="D2184" s="13"/>
      <c r="E2184" s="2"/>
      <c r="F2184" s="655"/>
      <c r="G2184" s="2"/>
      <c r="H2184" s="2"/>
      <c r="I2184" s="13"/>
      <c r="J2184" s="656"/>
      <c r="K2184" s="13"/>
      <c r="L2184" s="13"/>
      <c r="M2184" s="13"/>
      <c r="N2184" s="2"/>
      <c r="O2184" s="2"/>
      <c r="P2184" s="2"/>
      <c r="Q2184" s="2"/>
      <c r="R2184" s="101"/>
      <c r="U2184" s="101"/>
    </row>
    <row r="2185">
      <c r="A2185" s="49"/>
      <c r="C2185" s="13"/>
      <c r="D2185" s="13"/>
      <c r="E2185" s="2"/>
      <c r="F2185" s="655"/>
      <c r="G2185" s="2"/>
      <c r="H2185" s="2"/>
      <c r="I2185" s="13"/>
      <c r="J2185" s="656"/>
      <c r="K2185" s="13"/>
      <c r="L2185" s="13"/>
      <c r="M2185" s="13"/>
      <c r="N2185" s="2"/>
      <c r="O2185" s="2"/>
      <c r="P2185" s="2"/>
      <c r="Q2185" s="2"/>
      <c r="R2185" s="101"/>
      <c r="U2185" s="101"/>
    </row>
    <row r="2186">
      <c r="A2186" s="49"/>
      <c r="C2186" s="13"/>
      <c r="D2186" s="13"/>
      <c r="E2186" s="2"/>
      <c r="F2186" s="655"/>
      <c r="G2186" s="2"/>
      <c r="H2186" s="2"/>
      <c r="I2186" s="13"/>
      <c r="J2186" s="656"/>
      <c r="K2186" s="13"/>
      <c r="L2186" s="13"/>
      <c r="M2186" s="13"/>
      <c r="N2186" s="2"/>
      <c r="O2186" s="2"/>
      <c r="P2186" s="2"/>
      <c r="Q2186" s="2"/>
      <c r="R2186" s="101"/>
      <c r="U2186" s="101"/>
    </row>
    <row r="2187">
      <c r="A2187" s="49"/>
      <c r="C2187" s="13"/>
      <c r="D2187" s="13"/>
      <c r="E2187" s="2"/>
      <c r="F2187" s="655"/>
      <c r="G2187" s="2"/>
      <c r="H2187" s="2"/>
      <c r="I2187" s="13"/>
      <c r="J2187" s="656"/>
      <c r="K2187" s="13"/>
      <c r="L2187" s="13"/>
      <c r="M2187" s="13"/>
      <c r="N2187" s="2"/>
      <c r="O2187" s="2"/>
      <c r="P2187" s="2"/>
      <c r="Q2187" s="2"/>
      <c r="R2187" s="101"/>
      <c r="U2187" s="101"/>
    </row>
    <row r="2188">
      <c r="A2188" s="49"/>
      <c r="C2188" s="13"/>
      <c r="D2188" s="13"/>
      <c r="E2188" s="2"/>
      <c r="F2188" s="655"/>
      <c r="G2188" s="2"/>
      <c r="H2188" s="2"/>
      <c r="I2188" s="13"/>
      <c r="J2188" s="656"/>
      <c r="K2188" s="13"/>
      <c r="L2188" s="13"/>
      <c r="M2188" s="13"/>
      <c r="N2188" s="2"/>
      <c r="O2188" s="2"/>
      <c r="P2188" s="2"/>
      <c r="Q2188" s="2"/>
      <c r="R2188" s="101"/>
      <c r="U2188" s="101"/>
    </row>
    <row r="2189">
      <c r="A2189" s="49"/>
      <c r="C2189" s="13"/>
      <c r="D2189" s="13"/>
      <c r="E2189" s="2"/>
      <c r="F2189" s="655"/>
      <c r="G2189" s="2"/>
      <c r="H2189" s="2"/>
      <c r="I2189" s="13"/>
      <c r="J2189" s="656"/>
      <c r="K2189" s="13"/>
      <c r="L2189" s="13"/>
      <c r="M2189" s="13"/>
      <c r="N2189" s="2"/>
      <c r="O2189" s="2"/>
      <c r="P2189" s="2"/>
      <c r="Q2189" s="2"/>
      <c r="R2189" s="101"/>
      <c r="U2189" s="101"/>
    </row>
    <row r="2190">
      <c r="A2190" s="49"/>
      <c r="C2190" s="13"/>
      <c r="D2190" s="13"/>
      <c r="E2190" s="2"/>
      <c r="F2190" s="655"/>
      <c r="G2190" s="2"/>
      <c r="H2190" s="2"/>
      <c r="I2190" s="13"/>
      <c r="J2190" s="656"/>
      <c r="K2190" s="13"/>
      <c r="L2190" s="13"/>
      <c r="M2190" s="13"/>
      <c r="N2190" s="2"/>
      <c r="O2190" s="2"/>
      <c r="P2190" s="2"/>
      <c r="Q2190" s="2"/>
      <c r="R2190" s="101"/>
      <c r="U2190" s="101"/>
    </row>
    <row r="2191">
      <c r="A2191" s="49"/>
      <c r="C2191" s="13"/>
      <c r="D2191" s="13"/>
      <c r="E2191" s="2"/>
      <c r="F2191" s="655"/>
      <c r="G2191" s="2"/>
      <c r="H2191" s="2"/>
      <c r="I2191" s="13"/>
      <c r="J2191" s="656"/>
      <c r="K2191" s="13"/>
      <c r="L2191" s="13"/>
      <c r="M2191" s="13"/>
      <c r="N2191" s="2"/>
      <c r="O2191" s="2"/>
      <c r="P2191" s="2"/>
      <c r="Q2191" s="2"/>
      <c r="R2191" s="101"/>
      <c r="U2191" s="101"/>
    </row>
    <row r="2192">
      <c r="A2192" s="49"/>
      <c r="C2192" s="13"/>
      <c r="D2192" s="13"/>
      <c r="E2192" s="2"/>
      <c r="F2192" s="655"/>
      <c r="G2192" s="2"/>
      <c r="H2192" s="2"/>
      <c r="I2192" s="13"/>
      <c r="J2192" s="656"/>
      <c r="K2192" s="13"/>
      <c r="L2192" s="13"/>
      <c r="M2192" s="13"/>
      <c r="N2192" s="2"/>
      <c r="O2192" s="2"/>
      <c r="P2192" s="2"/>
      <c r="Q2192" s="2"/>
      <c r="R2192" s="101"/>
      <c r="U2192" s="101"/>
    </row>
    <row r="2193">
      <c r="A2193" s="49"/>
      <c r="C2193" s="13"/>
      <c r="D2193" s="13"/>
      <c r="E2193" s="2"/>
      <c r="F2193" s="655"/>
      <c r="G2193" s="2"/>
      <c r="H2193" s="2"/>
      <c r="I2193" s="13"/>
      <c r="J2193" s="656"/>
      <c r="K2193" s="13"/>
      <c r="L2193" s="13"/>
      <c r="M2193" s="13"/>
      <c r="N2193" s="2"/>
      <c r="O2193" s="2"/>
      <c r="P2193" s="2"/>
      <c r="Q2193" s="2"/>
      <c r="R2193" s="101"/>
      <c r="U2193" s="101"/>
    </row>
    <row r="2194">
      <c r="A2194" s="49"/>
      <c r="C2194" s="13"/>
      <c r="D2194" s="13"/>
      <c r="E2194" s="2"/>
      <c r="F2194" s="655"/>
      <c r="G2194" s="2"/>
      <c r="H2194" s="2"/>
      <c r="I2194" s="13"/>
      <c r="J2194" s="656"/>
      <c r="K2194" s="13"/>
      <c r="L2194" s="13"/>
      <c r="M2194" s="13"/>
      <c r="N2194" s="2"/>
      <c r="O2194" s="2"/>
      <c r="P2194" s="2"/>
      <c r="Q2194" s="2"/>
      <c r="R2194" s="101"/>
      <c r="U2194" s="101"/>
    </row>
    <row r="2195">
      <c r="A2195" s="49"/>
      <c r="C2195" s="13"/>
      <c r="D2195" s="13"/>
      <c r="E2195" s="2"/>
      <c r="F2195" s="655"/>
      <c r="G2195" s="2"/>
      <c r="H2195" s="2"/>
      <c r="I2195" s="13"/>
      <c r="J2195" s="656"/>
      <c r="K2195" s="13"/>
      <c r="L2195" s="13"/>
      <c r="M2195" s="13"/>
      <c r="N2195" s="2"/>
      <c r="O2195" s="2"/>
      <c r="P2195" s="2"/>
      <c r="Q2195" s="2"/>
      <c r="R2195" s="101"/>
      <c r="U2195" s="101"/>
    </row>
    <row r="2196">
      <c r="A2196" s="49"/>
      <c r="C2196" s="13"/>
      <c r="D2196" s="13"/>
      <c r="E2196" s="2"/>
      <c r="F2196" s="655"/>
      <c r="G2196" s="2"/>
      <c r="H2196" s="2"/>
      <c r="I2196" s="13"/>
      <c r="J2196" s="656"/>
      <c r="K2196" s="13"/>
      <c r="L2196" s="13"/>
      <c r="M2196" s="13"/>
      <c r="N2196" s="2"/>
      <c r="O2196" s="2"/>
      <c r="P2196" s="2"/>
      <c r="Q2196" s="2"/>
      <c r="R2196" s="101"/>
      <c r="U2196" s="101"/>
    </row>
    <row r="2197">
      <c r="A2197" s="49"/>
      <c r="C2197" s="13"/>
      <c r="D2197" s="13"/>
      <c r="E2197" s="2"/>
      <c r="F2197" s="655"/>
      <c r="G2197" s="2"/>
      <c r="H2197" s="2"/>
      <c r="I2197" s="13"/>
      <c r="J2197" s="656"/>
      <c r="K2197" s="13"/>
      <c r="L2197" s="13"/>
      <c r="M2197" s="13"/>
      <c r="N2197" s="2"/>
      <c r="O2197" s="2"/>
      <c r="P2197" s="2"/>
      <c r="Q2197" s="2"/>
      <c r="R2197" s="101"/>
      <c r="U2197" s="101"/>
    </row>
    <row r="2198">
      <c r="A2198" s="49"/>
      <c r="C2198" s="13"/>
      <c r="D2198" s="13"/>
      <c r="E2198" s="2"/>
      <c r="F2198" s="655"/>
      <c r="G2198" s="2"/>
      <c r="H2198" s="2"/>
      <c r="I2198" s="13"/>
      <c r="J2198" s="656"/>
      <c r="K2198" s="13"/>
      <c r="L2198" s="13"/>
      <c r="M2198" s="13"/>
      <c r="N2198" s="2"/>
      <c r="O2198" s="2"/>
      <c r="P2198" s="2"/>
      <c r="Q2198" s="2"/>
      <c r="R2198" s="101"/>
      <c r="U2198" s="101"/>
    </row>
    <row r="2199">
      <c r="A2199" s="49"/>
      <c r="C2199" s="13"/>
      <c r="D2199" s="13"/>
      <c r="E2199" s="2"/>
      <c r="F2199" s="655"/>
      <c r="G2199" s="2"/>
      <c r="H2199" s="2"/>
      <c r="I2199" s="13"/>
      <c r="J2199" s="656"/>
      <c r="K2199" s="13"/>
      <c r="L2199" s="13"/>
      <c r="M2199" s="13"/>
      <c r="N2199" s="2"/>
      <c r="O2199" s="2"/>
      <c r="P2199" s="2"/>
      <c r="Q2199" s="2"/>
      <c r="R2199" s="101"/>
      <c r="U2199" s="101"/>
    </row>
    <row r="2200">
      <c r="A2200" s="49"/>
      <c r="C2200" s="13"/>
      <c r="D2200" s="13"/>
      <c r="E2200" s="2"/>
      <c r="F2200" s="655"/>
      <c r="G2200" s="2"/>
      <c r="H2200" s="2"/>
      <c r="I2200" s="13"/>
      <c r="J2200" s="656"/>
      <c r="K2200" s="13"/>
      <c r="L2200" s="13"/>
      <c r="M2200" s="13"/>
      <c r="N2200" s="2"/>
      <c r="O2200" s="2"/>
      <c r="P2200" s="2"/>
      <c r="Q2200" s="2"/>
      <c r="R2200" s="101"/>
      <c r="U2200" s="101"/>
    </row>
    <row r="2201">
      <c r="A2201" s="49"/>
      <c r="C2201" s="13"/>
      <c r="D2201" s="13"/>
      <c r="E2201" s="2"/>
      <c r="F2201" s="655"/>
      <c r="G2201" s="2"/>
      <c r="H2201" s="2"/>
      <c r="I2201" s="13"/>
      <c r="J2201" s="656"/>
      <c r="K2201" s="13"/>
      <c r="L2201" s="13"/>
      <c r="M2201" s="13"/>
      <c r="N2201" s="2"/>
      <c r="O2201" s="2"/>
      <c r="P2201" s="2"/>
      <c r="Q2201" s="2"/>
      <c r="R2201" s="101"/>
      <c r="U2201" s="101"/>
    </row>
    <row r="2202">
      <c r="A2202" s="49"/>
      <c r="C2202" s="13"/>
      <c r="D2202" s="13"/>
      <c r="E2202" s="2"/>
      <c r="F2202" s="655"/>
      <c r="G2202" s="2"/>
      <c r="H2202" s="2"/>
      <c r="I2202" s="13"/>
      <c r="J2202" s="656"/>
      <c r="K2202" s="13"/>
      <c r="L2202" s="13"/>
      <c r="M2202" s="13"/>
      <c r="N2202" s="2"/>
      <c r="O2202" s="2"/>
      <c r="P2202" s="2"/>
      <c r="Q2202" s="2"/>
      <c r="R2202" s="101"/>
      <c r="U2202" s="101"/>
    </row>
    <row r="2203">
      <c r="A2203" s="49"/>
      <c r="C2203" s="13"/>
      <c r="D2203" s="13"/>
      <c r="E2203" s="2"/>
      <c r="F2203" s="655"/>
      <c r="G2203" s="2"/>
      <c r="H2203" s="2"/>
      <c r="I2203" s="13"/>
      <c r="J2203" s="656"/>
      <c r="K2203" s="13"/>
      <c r="L2203" s="13"/>
      <c r="M2203" s="13"/>
      <c r="N2203" s="2"/>
      <c r="O2203" s="2"/>
      <c r="P2203" s="2"/>
      <c r="Q2203" s="2"/>
      <c r="R2203" s="101"/>
      <c r="U2203" s="101"/>
    </row>
    <row r="2204">
      <c r="A2204" s="49"/>
      <c r="C2204" s="13"/>
      <c r="D2204" s="13"/>
      <c r="E2204" s="2"/>
      <c r="F2204" s="655"/>
      <c r="G2204" s="2"/>
      <c r="H2204" s="2"/>
      <c r="I2204" s="13"/>
      <c r="J2204" s="656"/>
      <c r="K2204" s="13"/>
      <c r="L2204" s="13"/>
      <c r="M2204" s="13"/>
      <c r="N2204" s="2"/>
      <c r="O2204" s="2"/>
      <c r="P2204" s="2"/>
      <c r="Q2204" s="2"/>
      <c r="R2204" s="101"/>
      <c r="U2204" s="101"/>
    </row>
    <row r="2205">
      <c r="A2205" s="49"/>
      <c r="C2205" s="13"/>
      <c r="D2205" s="13"/>
      <c r="E2205" s="2"/>
      <c r="F2205" s="655"/>
      <c r="G2205" s="2"/>
      <c r="H2205" s="2"/>
      <c r="I2205" s="13"/>
      <c r="J2205" s="656"/>
      <c r="K2205" s="13"/>
      <c r="L2205" s="13"/>
      <c r="M2205" s="13"/>
      <c r="N2205" s="2"/>
      <c r="O2205" s="2"/>
      <c r="P2205" s="2"/>
      <c r="Q2205" s="2"/>
      <c r="R2205" s="101"/>
      <c r="U2205" s="101"/>
    </row>
    <row r="2206">
      <c r="A2206" s="49"/>
      <c r="C2206" s="13"/>
      <c r="D2206" s="13"/>
      <c r="E2206" s="2"/>
      <c r="F2206" s="655"/>
      <c r="G2206" s="2"/>
      <c r="H2206" s="2"/>
      <c r="I2206" s="13"/>
      <c r="J2206" s="656"/>
      <c r="K2206" s="13"/>
      <c r="L2206" s="13"/>
      <c r="M2206" s="13"/>
      <c r="N2206" s="2"/>
      <c r="O2206" s="2"/>
      <c r="P2206" s="2"/>
      <c r="Q2206" s="2"/>
      <c r="R2206" s="101"/>
      <c r="U2206" s="101"/>
    </row>
    <row r="2207">
      <c r="A2207" s="49"/>
      <c r="C2207" s="13"/>
      <c r="D2207" s="13"/>
      <c r="E2207" s="2"/>
      <c r="F2207" s="655"/>
      <c r="G2207" s="2"/>
      <c r="H2207" s="2"/>
      <c r="I2207" s="13"/>
      <c r="J2207" s="656"/>
      <c r="K2207" s="13"/>
      <c r="L2207" s="13"/>
      <c r="M2207" s="13"/>
      <c r="N2207" s="2"/>
      <c r="O2207" s="2"/>
      <c r="P2207" s="2"/>
      <c r="Q2207" s="2"/>
      <c r="R2207" s="101"/>
      <c r="U2207" s="101"/>
    </row>
    <row r="2208">
      <c r="A2208" s="49"/>
      <c r="C2208" s="13"/>
      <c r="D2208" s="13"/>
      <c r="E2208" s="2"/>
      <c r="F2208" s="655"/>
      <c r="G2208" s="2"/>
      <c r="H2208" s="2"/>
      <c r="I2208" s="13"/>
      <c r="J2208" s="656"/>
      <c r="K2208" s="13"/>
      <c r="L2208" s="13"/>
      <c r="M2208" s="13"/>
      <c r="N2208" s="2"/>
      <c r="O2208" s="2"/>
      <c r="P2208" s="2"/>
      <c r="Q2208" s="2"/>
      <c r="R2208" s="101"/>
      <c r="U2208" s="101"/>
    </row>
    <row r="2209">
      <c r="A2209" s="49"/>
      <c r="C2209" s="13"/>
      <c r="D2209" s="13"/>
      <c r="E2209" s="2"/>
      <c r="F2209" s="655"/>
      <c r="G2209" s="2"/>
      <c r="H2209" s="2"/>
      <c r="I2209" s="13"/>
      <c r="J2209" s="656"/>
      <c r="K2209" s="13"/>
      <c r="L2209" s="13"/>
      <c r="M2209" s="13"/>
      <c r="N2209" s="2"/>
      <c r="O2209" s="2"/>
      <c r="P2209" s="2"/>
      <c r="Q2209" s="2"/>
      <c r="R2209" s="101"/>
      <c r="U2209" s="101"/>
    </row>
    <row r="2210">
      <c r="A2210" s="49"/>
      <c r="C2210" s="13"/>
      <c r="D2210" s="13"/>
      <c r="E2210" s="2"/>
      <c r="F2210" s="655"/>
      <c r="G2210" s="2"/>
      <c r="H2210" s="2"/>
      <c r="I2210" s="13"/>
      <c r="J2210" s="656"/>
      <c r="K2210" s="13"/>
      <c r="L2210" s="13"/>
      <c r="M2210" s="13"/>
      <c r="N2210" s="2"/>
      <c r="O2210" s="2"/>
      <c r="P2210" s="2"/>
      <c r="Q2210" s="2"/>
      <c r="R2210" s="101"/>
      <c r="U2210" s="101"/>
    </row>
    <row r="2211">
      <c r="A2211" s="49"/>
      <c r="C2211" s="13"/>
      <c r="D2211" s="13"/>
      <c r="E2211" s="2"/>
      <c r="F2211" s="655"/>
      <c r="G2211" s="2"/>
      <c r="H2211" s="2"/>
      <c r="I2211" s="13"/>
      <c r="J2211" s="656"/>
      <c r="K2211" s="13"/>
      <c r="L2211" s="13"/>
      <c r="M2211" s="13"/>
      <c r="N2211" s="2"/>
      <c r="O2211" s="2"/>
      <c r="P2211" s="2"/>
      <c r="Q2211" s="2"/>
      <c r="R2211" s="101"/>
      <c r="U2211" s="101"/>
    </row>
    <row r="2212">
      <c r="A2212" s="49"/>
      <c r="C2212" s="13"/>
      <c r="D2212" s="13"/>
      <c r="E2212" s="2"/>
      <c r="F2212" s="655"/>
      <c r="G2212" s="2"/>
      <c r="H2212" s="2"/>
      <c r="I2212" s="13"/>
      <c r="J2212" s="656"/>
      <c r="K2212" s="13"/>
      <c r="L2212" s="13"/>
      <c r="M2212" s="13"/>
      <c r="N2212" s="2"/>
      <c r="O2212" s="2"/>
      <c r="P2212" s="2"/>
      <c r="Q2212" s="2"/>
      <c r="R2212" s="101"/>
      <c r="U2212" s="101"/>
    </row>
    <row r="2213">
      <c r="A2213" s="49"/>
      <c r="C2213" s="13"/>
      <c r="D2213" s="13"/>
      <c r="E2213" s="2"/>
      <c r="F2213" s="655"/>
      <c r="G2213" s="2"/>
      <c r="H2213" s="2"/>
      <c r="I2213" s="13"/>
      <c r="J2213" s="656"/>
      <c r="K2213" s="13"/>
      <c r="L2213" s="13"/>
      <c r="M2213" s="13"/>
      <c r="N2213" s="2"/>
      <c r="O2213" s="2"/>
      <c r="P2213" s="2"/>
      <c r="Q2213" s="2"/>
      <c r="R2213" s="101"/>
      <c r="U2213" s="101"/>
    </row>
    <row r="2214">
      <c r="A2214" s="49"/>
      <c r="C2214" s="13"/>
      <c r="D2214" s="13"/>
      <c r="E2214" s="2"/>
      <c r="F2214" s="655"/>
      <c r="G2214" s="2"/>
      <c r="H2214" s="2"/>
      <c r="I2214" s="13"/>
      <c r="J2214" s="656"/>
      <c r="K2214" s="13"/>
      <c r="L2214" s="13"/>
      <c r="M2214" s="13"/>
      <c r="N2214" s="2"/>
      <c r="O2214" s="2"/>
      <c r="P2214" s="2"/>
      <c r="Q2214" s="2"/>
      <c r="R2214" s="101"/>
      <c r="U2214" s="101"/>
    </row>
    <row r="2215">
      <c r="A2215" s="49"/>
      <c r="C2215" s="13"/>
      <c r="D2215" s="13"/>
      <c r="E2215" s="2"/>
      <c r="F2215" s="655"/>
      <c r="G2215" s="2"/>
      <c r="H2215" s="2"/>
      <c r="I2215" s="13"/>
      <c r="J2215" s="656"/>
      <c r="K2215" s="13"/>
      <c r="L2215" s="13"/>
      <c r="M2215" s="13"/>
      <c r="N2215" s="2"/>
      <c r="O2215" s="2"/>
      <c r="P2215" s="2"/>
      <c r="Q2215" s="2"/>
      <c r="R2215" s="101"/>
      <c r="U2215" s="101"/>
    </row>
    <row r="2216">
      <c r="A2216" s="49"/>
      <c r="C2216" s="13"/>
      <c r="D2216" s="13"/>
      <c r="E2216" s="2"/>
      <c r="F2216" s="655"/>
      <c r="G2216" s="2"/>
      <c r="H2216" s="2"/>
      <c r="I2216" s="13"/>
      <c r="J2216" s="656"/>
      <c r="K2216" s="13"/>
      <c r="L2216" s="13"/>
      <c r="M2216" s="13"/>
      <c r="N2216" s="2"/>
      <c r="O2216" s="2"/>
      <c r="P2216" s="2"/>
      <c r="Q2216" s="2"/>
      <c r="R2216" s="101"/>
      <c r="U2216" s="101"/>
    </row>
    <row r="2217">
      <c r="A2217" s="49"/>
      <c r="C2217" s="13"/>
      <c r="D2217" s="13"/>
      <c r="E2217" s="2"/>
      <c r="F2217" s="655"/>
      <c r="G2217" s="2"/>
      <c r="H2217" s="2"/>
      <c r="I2217" s="13"/>
      <c r="J2217" s="656"/>
      <c r="K2217" s="13"/>
      <c r="L2217" s="13"/>
      <c r="M2217" s="13"/>
      <c r="N2217" s="2"/>
      <c r="O2217" s="2"/>
      <c r="P2217" s="2"/>
      <c r="Q2217" s="2"/>
      <c r="R2217" s="101"/>
      <c r="U2217" s="101"/>
    </row>
    <row r="2218">
      <c r="A2218" s="49"/>
      <c r="C2218" s="13"/>
      <c r="D2218" s="13"/>
      <c r="E2218" s="2"/>
      <c r="F2218" s="655"/>
      <c r="G2218" s="2"/>
      <c r="H2218" s="2"/>
      <c r="I2218" s="13"/>
      <c r="J2218" s="656"/>
      <c r="K2218" s="13"/>
      <c r="L2218" s="13"/>
      <c r="M2218" s="13"/>
      <c r="N2218" s="2"/>
      <c r="O2218" s="2"/>
      <c r="P2218" s="2"/>
      <c r="Q2218" s="2"/>
      <c r="R2218" s="101"/>
      <c r="U2218" s="101"/>
    </row>
    <row r="2219">
      <c r="A2219" s="49"/>
      <c r="C2219" s="13"/>
      <c r="D2219" s="13"/>
      <c r="E2219" s="2"/>
      <c r="F2219" s="655"/>
      <c r="G2219" s="2"/>
      <c r="H2219" s="2"/>
      <c r="I2219" s="13"/>
      <c r="J2219" s="656"/>
      <c r="K2219" s="13"/>
      <c r="L2219" s="13"/>
      <c r="M2219" s="13"/>
      <c r="N2219" s="2"/>
      <c r="O2219" s="2"/>
      <c r="P2219" s="2"/>
      <c r="Q2219" s="2"/>
      <c r="R2219" s="101"/>
      <c r="U2219" s="101"/>
    </row>
    <row r="2220">
      <c r="A2220" s="49"/>
      <c r="C2220" s="13"/>
      <c r="D2220" s="13"/>
      <c r="E2220" s="2"/>
      <c r="F2220" s="655"/>
      <c r="G2220" s="2"/>
      <c r="H2220" s="2"/>
      <c r="I2220" s="13"/>
      <c r="J2220" s="656"/>
      <c r="K2220" s="13"/>
      <c r="L2220" s="13"/>
      <c r="M2220" s="13"/>
      <c r="N2220" s="2"/>
      <c r="O2220" s="2"/>
      <c r="P2220" s="2"/>
      <c r="Q2220" s="2"/>
      <c r="R2220" s="101"/>
      <c r="U2220" s="101"/>
    </row>
    <row r="2221">
      <c r="A2221" s="49"/>
      <c r="C2221" s="13"/>
      <c r="D2221" s="13"/>
      <c r="E2221" s="2"/>
      <c r="F2221" s="655"/>
      <c r="G2221" s="2"/>
      <c r="H2221" s="2"/>
      <c r="I2221" s="13"/>
      <c r="J2221" s="656"/>
      <c r="K2221" s="13"/>
      <c r="L2221" s="13"/>
      <c r="M2221" s="13"/>
      <c r="N2221" s="2"/>
      <c r="O2221" s="2"/>
      <c r="P2221" s="2"/>
      <c r="Q2221" s="2"/>
      <c r="R2221" s="101"/>
      <c r="U2221" s="101"/>
    </row>
    <row r="2222">
      <c r="A2222" s="49"/>
      <c r="C2222" s="13"/>
      <c r="D2222" s="13"/>
      <c r="E2222" s="2"/>
      <c r="F2222" s="655"/>
      <c r="G2222" s="2"/>
      <c r="H2222" s="2"/>
      <c r="I2222" s="13"/>
      <c r="J2222" s="656"/>
      <c r="K2222" s="13"/>
      <c r="L2222" s="13"/>
      <c r="M2222" s="13"/>
      <c r="N2222" s="2"/>
      <c r="O2222" s="2"/>
      <c r="P2222" s="2"/>
      <c r="Q2222" s="2"/>
      <c r="R2222" s="101"/>
      <c r="U2222" s="101"/>
    </row>
    <row r="2223">
      <c r="A2223" s="49"/>
      <c r="C2223" s="13"/>
      <c r="D2223" s="13"/>
      <c r="E2223" s="2"/>
      <c r="F2223" s="655"/>
      <c r="G2223" s="2"/>
      <c r="H2223" s="2"/>
      <c r="I2223" s="13"/>
      <c r="J2223" s="656"/>
      <c r="K2223" s="13"/>
      <c r="L2223" s="13"/>
      <c r="M2223" s="13"/>
      <c r="N2223" s="2"/>
      <c r="O2223" s="2"/>
      <c r="P2223" s="2"/>
      <c r="Q2223" s="2"/>
      <c r="R2223" s="101"/>
      <c r="U2223" s="101"/>
    </row>
    <row r="2224">
      <c r="A2224" s="49"/>
      <c r="C2224" s="13"/>
      <c r="D2224" s="13"/>
      <c r="E2224" s="2"/>
      <c r="F2224" s="655"/>
      <c r="G2224" s="2"/>
      <c r="H2224" s="2"/>
      <c r="I2224" s="13"/>
      <c r="J2224" s="656"/>
      <c r="K2224" s="13"/>
      <c r="L2224" s="13"/>
      <c r="M2224" s="13"/>
      <c r="N2224" s="2"/>
      <c r="O2224" s="2"/>
      <c r="P2224" s="2"/>
      <c r="Q2224" s="2"/>
      <c r="R2224" s="101"/>
      <c r="U2224" s="101"/>
    </row>
    <row r="2225">
      <c r="A2225" s="49"/>
      <c r="C2225" s="13"/>
      <c r="D2225" s="13"/>
      <c r="E2225" s="2"/>
      <c r="F2225" s="655"/>
      <c r="G2225" s="2"/>
      <c r="H2225" s="2"/>
      <c r="I2225" s="13"/>
      <c r="J2225" s="656"/>
      <c r="K2225" s="13"/>
      <c r="L2225" s="13"/>
      <c r="M2225" s="13"/>
      <c r="N2225" s="2"/>
      <c r="O2225" s="2"/>
      <c r="P2225" s="2"/>
      <c r="Q2225" s="2"/>
      <c r="R2225" s="101"/>
      <c r="U2225" s="101"/>
    </row>
    <row r="2226">
      <c r="A2226" s="49"/>
      <c r="C2226" s="13"/>
      <c r="D2226" s="13"/>
      <c r="E2226" s="2"/>
      <c r="F2226" s="655"/>
      <c r="G2226" s="2"/>
      <c r="H2226" s="2"/>
      <c r="I2226" s="13"/>
      <c r="J2226" s="656"/>
      <c r="K2226" s="13"/>
      <c r="L2226" s="13"/>
      <c r="M2226" s="13"/>
      <c r="N2226" s="2"/>
      <c r="O2226" s="2"/>
      <c r="P2226" s="2"/>
      <c r="Q2226" s="2"/>
      <c r="R2226" s="101"/>
      <c r="U2226" s="101"/>
    </row>
    <row r="2227">
      <c r="A2227" s="49"/>
      <c r="C2227" s="13"/>
      <c r="D2227" s="13"/>
      <c r="E2227" s="2"/>
      <c r="F2227" s="655"/>
      <c r="G2227" s="2"/>
      <c r="H2227" s="2"/>
      <c r="I2227" s="13"/>
      <c r="J2227" s="656"/>
      <c r="K2227" s="13"/>
      <c r="L2227" s="13"/>
      <c r="M2227" s="13"/>
      <c r="N2227" s="2"/>
      <c r="O2227" s="2"/>
      <c r="P2227" s="2"/>
      <c r="Q2227" s="2"/>
      <c r="R2227" s="101"/>
      <c r="U2227" s="101"/>
    </row>
    <row r="2228">
      <c r="A2228" s="49"/>
      <c r="C2228" s="13"/>
      <c r="D2228" s="13"/>
      <c r="E2228" s="2"/>
      <c r="F2228" s="655"/>
      <c r="G2228" s="2"/>
      <c r="H2228" s="2"/>
      <c r="I2228" s="13"/>
      <c r="J2228" s="656"/>
      <c r="K2228" s="13"/>
      <c r="L2228" s="13"/>
      <c r="M2228" s="13"/>
      <c r="N2228" s="2"/>
      <c r="O2228" s="2"/>
      <c r="P2228" s="2"/>
      <c r="Q2228" s="2"/>
      <c r="R2228" s="101"/>
      <c r="U2228" s="101"/>
    </row>
    <row r="2229">
      <c r="A2229" s="49"/>
      <c r="C2229" s="13"/>
      <c r="D2229" s="13"/>
      <c r="E2229" s="2"/>
      <c r="F2229" s="655"/>
      <c r="G2229" s="2"/>
      <c r="H2229" s="2"/>
      <c r="I2229" s="13"/>
      <c r="J2229" s="656"/>
      <c r="K2229" s="13"/>
      <c r="L2229" s="13"/>
      <c r="M2229" s="13"/>
      <c r="N2229" s="2"/>
      <c r="O2229" s="2"/>
      <c r="P2229" s="2"/>
      <c r="Q2229" s="2"/>
      <c r="R2229" s="101"/>
      <c r="U2229" s="101"/>
    </row>
    <row r="2230">
      <c r="A2230" s="49"/>
      <c r="C2230" s="13"/>
      <c r="D2230" s="13"/>
      <c r="E2230" s="2"/>
      <c r="F2230" s="655"/>
      <c r="G2230" s="2"/>
      <c r="H2230" s="2"/>
      <c r="I2230" s="13"/>
      <c r="J2230" s="656"/>
      <c r="K2230" s="13"/>
      <c r="L2230" s="13"/>
      <c r="M2230" s="13"/>
      <c r="N2230" s="2"/>
      <c r="O2230" s="2"/>
      <c r="P2230" s="2"/>
      <c r="Q2230" s="2"/>
      <c r="R2230" s="101"/>
      <c r="U2230" s="101"/>
    </row>
    <row r="2231">
      <c r="A2231" s="49"/>
      <c r="C2231" s="13"/>
      <c r="D2231" s="13"/>
      <c r="E2231" s="2"/>
      <c r="F2231" s="655"/>
      <c r="G2231" s="2"/>
      <c r="H2231" s="2"/>
      <c r="I2231" s="13"/>
      <c r="J2231" s="656"/>
      <c r="K2231" s="13"/>
      <c r="L2231" s="13"/>
      <c r="M2231" s="13"/>
      <c r="N2231" s="2"/>
      <c r="O2231" s="2"/>
      <c r="P2231" s="2"/>
      <c r="Q2231" s="2"/>
      <c r="R2231" s="101"/>
      <c r="U2231" s="101"/>
    </row>
    <row r="2232">
      <c r="A2232" s="49"/>
      <c r="C2232" s="13"/>
      <c r="D2232" s="13"/>
      <c r="E2232" s="2"/>
      <c r="F2232" s="655"/>
      <c r="G2232" s="2"/>
      <c r="H2232" s="2"/>
      <c r="I2232" s="13"/>
      <c r="J2232" s="656"/>
      <c r="K2232" s="13"/>
      <c r="L2232" s="13"/>
      <c r="M2232" s="13"/>
      <c r="N2232" s="2"/>
      <c r="O2232" s="2"/>
      <c r="P2232" s="2"/>
      <c r="Q2232" s="2"/>
      <c r="R2232" s="101"/>
      <c r="U2232" s="101"/>
    </row>
    <row r="2233">
      <c r="A2233" s="49"/>
      <c r="C2233" s="13"/>
      <c r="D2233" s="13"/>
      <c r="E2233" s="2"/>
      <c r="F2233" s="655"/>
      <c r="G2233" s="2"/>
      <c r="H2233" s="2"/>
      <c r="I2233" s="13"/>
      <c r="J2233" s="656"/>
      <c r="K2233" s="13"/>
      <c r="L2233" s="13"/>
      <c r="M2233" s="13"/>
      <c r="N2233" s="2"/>
      <c r="O2233" s="2"/>
      <c r="P2233" s="2"/>
      <c r="Q2233" s="2"/>
      <c r="R2233" s="101"/>
      <c r="U2233" s="101"/>
    </row>
    <row r="2234">
      <c r="A2234" s="49"/>
      <c r="C2234" s="13"/>
      <c r="D2234" s="13"/>
      <c r="E2234" s="2"/>
      <c r="F2234" s="655"/>
      <c r="G2234" s="2"/>
      <c r="H2234" s="2"/>
      <c r="I2234" s="13"/>
      <c r="J2234" s="656"/>
      <c r="K2234" s="13"/>
      <c r="L2234" s="13"/>
      <c r="M2234" s="13"/>
      <c r="N2234" s="2"/>
      <c r="O2234" s="2"/>
      <c r="P2234" s="2"/>
      <c r="Q2234" s="2"/>
      <c r="R2234" s="101"/>
      <c r="U2234" s="101"/>
    </row>
    <row r="2235">
      <c r="A2235" s="49"/>
      <c r="C2235" s="13"/>
      <c r="D2235" s="13"/>
      <c r="E2235" s="2"/>
      <c r="F2235" s="655"/>
      <c r="G2235" s="2"/>
      <c r="H2235" s="2"/>
      <c r="I2235" s="13"/>
      <c r="J2235" s="656"/>
      <c r="K2235" s="13"/>
      <c r="L2235" s="13"/>
      <c r="M2235" s="13"/>
      <c r="N2235" s="2"/>
      <c r="O2235" s="2"/>
      <c r="P2235" s="2"/>
      <c r="Q2235" s="2"/>
      <c r="R2235" s="101"/>
      <c r="U2235" s="101"/>
    </row>
    <row r="2236">
      <c r="A2236" s="49"/>
      <c r="C2236" s="13"/>
      <c r="D2236" s="13"/>
      <c r="E2236" s="2"/>
      <c r="F2236" s="655"/>
      <c r="G2236" s="2"/>
      <c r="H2236" s="2"/>
      <c r="I2236" s="13"/>
      <c r="J2236" s="656"/>
      <c r="K2236" s="13"/>
      <c r="L2236" s="13"/>
      <c r="M2236" s="13"/>
      <c r="N2236" s="2"/>
      <c r="O2236" s="2"/>
      <c r="P2236" s="2"/>
      <c r="Q2236" s="2"/>
      <c r="R2236" s="101"/>
      <c r="U2236" s="101"/>
    </row>
    <row r="2237">
      <c r="A2237" s="49"/>
      <c r="C2237" s="13"/>
      <c r="D2237" s="13"/>
      <c r="E2237" s="2"/>
      <c r="F2237" s="655"/>
      <c r="G2237" s="2"/>
      <c r="H2237" s="2"/>
      <c r="I2237" s="13"/>
      <c r="J2237" s="656"/>
      <c r="K2237" s="13"/>
      <c r="L2237" s="13"/>
      <c r="M2237" s="13"/>
      <c r="N2237" s="2"/>
      <c r="O2237" s="2"/>
      <c r="P2237" s="2"/>
      <c r="Q2237" s="2"/>
      <c r="R2237" s="101"/>
      <c r="U2237" s="101"/>
    </row>
    <row r="2238">
      <c r="A2238" s="49"/>
      <c r="C2238" s="13"/>
      <c r="D2238" s="13"/>
      <c r="E2238" s="2"/>
      <c r="F2238" s="655"/>
      <c r="G2238" s="2"/>
      <c r="H2238" s="2"/>
      <c r="I2238" s="13"/>
      <c r="J2238" s="656"/>
      <c r="K2238" s="13"/>
      <c r="L2238" s="13"/>
      <c r="M2238" s="13"/>
      <c r="N2238" s="2"/>
      <c r="O2238" s="2"/>
      <c r="P2238" s="2"/>
      <c r="Q2238" s="2"/>
      <c r="R2238" s="101"/>
      <c r="U2238" s="101"/>
    </row>
    <row r="2239">
      <c r="A2239" s="49"/>
      <c r="C2239" s="13"/>
      <c r="D2239" s="13"/>
      <c r="E2239" s="2"/>
      <c r="F2239" s="655"/>
      <c r="G2239" s="2"/>
      <c r="H2239" s="2"/>
      <c r="I2239" s="13"/>
      <c r="J2239" s="656"/>
      <c r="K2239" s="13"/>
      <c r="L2239" s="13"/>
      <c r="M2239" s="13"/>
      <c r="N2239" s="2"/>
      <c r="O2239" s="2"/>
      <c r="P2239" s="2"/>
      <c r="Q2239" s="2"/>
      <c r="R2239" s="101"/>
      <c r="U2239" s="101"/>
    </row>
    <row r="2240">
      <c r="A2240" s="49"/>
      <c r="C2240" s="13"/>
      <c r="D2240" s="13"/>
      <c r="E2240" s="2"/>
      <c r="F2240" s="655"/>
      <c r="G2240" s="2"/>
      <c r="H2240" s="2"/>
      <c r="I2240" s="13"/>
      <c r="J2240" s="656"/>
      <c r="K2240" s="13"/>
      <c r="L2240" s="13"/>
      <c r="M2240" s="13"/>
      <c r="N2240" s="2"/>
      <c r="O2240" s="2"/>
      <c r="P2240" s="2"/>
      <c r="Q2240" s="2"/>
      <c r="R2240" s="101"/>
      <c r="U2240" s="101"/>
    </row>
    <row r="2241">
      <c r="A2241" s="49"/>
      <c r="C2241" s="13"/>
      <c r="D2241" s="13"/>
      <c r="E2241" s="2"/>
      <c r="F2241" s="655"/>
      <c r="G2241" s="2"/>
      <c r="H2241" s="2"/>
      <c r="I2241" s="13"/>
      <c r="J2241" s="656"/>
      <c r="K2241" s="13"/>
      <c r="L2241" s="13"/>
      <c r="M2241" s="13"/>
      <c r="N2241" s="2"/>
      <c r="O2241" s="2"/>
      <c r="P2241" s="2"/>
      <c r="Q2241" s="2"/>
      <c r="R2241" s="101"/>
      <c r="U2241" s="101"/>
    </row>
    <row r="2242">
      <c r="A2242" s="49"/>
      <c r="C2242" s="13"/>
      <c r="D2242" s="13"/>
      <c r="E2242" s="2"/>
      <c r="F2242" s="655"/>
      <c r="G2242" s="2"/>
      <c r="H2242" s="2"/>
      <c r="I2242" s="13"/>
      <c r="J2242" s="656"/>
      <c r="K2242" s="13"/>
      <c r="L2242" s="13"/>
      <c r="M2242" s="13"/>
      <c r="N2242" s="2"/>
      <c r="O2242" s="2"/>
      <c r="P2242" s="2"/>
      <c r="Q2242" s="2"/>
      <c r="R2242" s="101"/>
      <c r="U2242" s="101"/>
    </row>
    <row r="2243">
      <c r="A2243" s="49"/>
      <c r="C2243" s="13"/>
      <c r="D2243" s="13"/>
      <c r="E2243" s="2"/>
      <c r="F2243" s="655"/>
      <c r="G2243" s="2"/>
      <c r="H2243" s="2"/>
      <c r="I2243" s="13"/>
      <c r="J2243" s="656"/>
      <c r="K2243" s="13"/>
      <c r="L2243" s="13"/>
      <c r="M2243" s="13"/>
      <c r="N2243" s="2"/>
      <c r="O2243" s="2"/>
      <c r="P2243" s="2"/>
      <c r="Q2243" s="2"/>
      <c r="R2243" s="101"/>
      <c r="U2243" s="101"/>
    </row>
    <row r="2244">
      <c r="A2244" s="49"/>
      <c r="C2244" s="13"/>
      <c r="D2244" s="13"/>
      <c r="E2244" s="2"/>
      <c r="F2244" s="655"/>
      <c r="G2244" s="2"/>
      <c r="H2244" s="2"/>
      <c r="I2244" s="13"/>
      <c r="J2244" s="656"/>
      <c r="K2244" s="13"/>
      <c r="L2244" s="13"/>
      <c r="M2244" s="13"/>
      <c r="N2244" s="2"/>
      <c r="O2244" s="2"/>
      <c r="P2244" s="2"/>
      <c r="Q2244" s="2"/>
      <c r="R2244" s="101"/>
      <c r="U2244" s="101"/>
    </row>
    <row r="2245">
      <c r="A2245" s="49"/>
      <c r="C2245" s="13"/>
      <c r="D2245" s="13"/>
      <c r="E2245" s="2"/>
      <c r="F2245" s="655"/>
      <c r="G2245" s="2"/>
      <c r="H2245" s="2"/>
      <c r="I2245" s="13"/>
      <c r="J2245" s="656"/>
      <c r="K2245" s="13"/>
      <c r="L2245" s="13"/>
      <c r="M2245" s="13"/>
      <c r="N2245" s="2"/>
      <c r="O2245" s="2"/>
      <c r="P2245" s="2"/>
      <c r="Q2245" s="2"/>
      <c r="R2245" s="101"/>
      <c r="U2245" s="101"/>
    </row>
    <row r="2246">
      <c r="A2246" s="49"/>
      <c r="C2246" s="13"/>
      <c r="D2246" s="13"/>
      <c r="E2246" s="2"/>
      <c r="F2246" s="655"/>
      <c r="G2246" s="2"/>
      <c r="H2246" s="2"/>
      <c r="I2246" s="13"/>
      <c r="J2246" s="656"/>
      <c r="K2246" s="13"/>
      <c r="L2246" s="13"/>
      <c r="M2246" s="13"/>
      <c r="N2246" s="2"/>
      <c r="O2246" s="2"/>
      <c r="P2246" s="2"/>
      <c r="Q2246" s="2"/>
      <c r="R2246" s="101"/>
      <c r="U2246" s="101"/>
    </row>
    <row r="2247">
      <c r="A2247" s="49"/>
      <c r="C2247" s="13"/>
      <c r="D2247" s="13"/>
      <c r="E2247" s="2"/>
      <c r="F2247" s="655"/>
      <c r="G2247" s="2"/>
      <c r="H2247" s="2"/>
      <c r="I2247" s="13"/>
      <c r="J2247" s="656"/>
      <c r="K2247" s="13"/>
      <c r="L2247" s="13"/>
      <c r="M2247" s="13"/>
      <c r="N2247" s="2"/>
      <c r="O2247" s="2"/>
      <c r="P2247" s="2"/>
      <c r="Q2247" s="2"/>
      <c r="R2247" s="101"/>
      <c r="U2247" s="101"/>
    </row>
    <row r="2248">
      <c r="A2248" s="49"/>
      <c r="C2248" s="13"/>
      <c r="D2248" s="13"/>
      <c r="E2248" s="2"/>
      <c r="F2248" s="655"/>
      <c r="G2248" s="2"/>
      <c r="H2248" s="2"/>
      <c r="I2248" s="13"/>
      <c r="J2248" s="656"/>
      <c r="K2248" s="13"/>
      <c r="L2248" s="13"/>
      <c r="M2248" s="13"/>
      <c r="N2248" s="2"/>
      <c r="O2248" s="2"/>
      <c r="P2248" s="2"/>
      <c r="Q2248" s="2"/>
      <c r="R2248" s="101"/>
      <c r="U2248" s="101"/>
    </row>
    <row r="2249">
      <c r="A2249" s="49"/>
      <c r="C2249" s="13"/>
      <c r="D2249" s="13"/>
      <c r="E2249" s="2"/>
      <c r="F2249" s="655"/>
      <c r="G2249" s="2"/>
      <c r="H2249" s="2"/>
      <c r="I2249" s="13"/>
      <c r="J2249" s="656"/>
      <c r="K2249" s="13"/>
      <c r="L2249" s="13"/>
      <c r="M2249" s="13"/>
      <c r="N2249" s="2"/>
      <c r="O2249" s="2"/>
      <c r="P2249" s="2"/>
      <c r="Q2249" s="2"/>
      <c r="R2249" s="101"/>
      <c r="U2249" s="101"/>
    </row>
    <row r="2250">
      <c r="A2250" s="49"/>
      <c r="C2250" s="13"/>
      <c r="D2250" s="13"/>
      <c r="E2250" s="2"/>
      <c r="F2250" s="655"/>
      <c r="G2250" s="2"/>
      <c r="H2250" s="2"/>
      <c r="I2250" s="13"/>
      <c r="J2250" s="656"/>
      <c r="K2250" s="13"/>
      <c r="L2250" s="13"/>
      <c r="M2250" s="13"/>
      <c r="N2250" s="2"/>
      <c r="O2250" s="2"/>
      <c r="P2250" s="2"/>
      <c r="Q2250" s="2"/>
      <c r="R2250" s="101"/>
      <c r="U2250" s="101"/>
    </row>
    <row r="2251">
      <c r="A2251" s="49"/>
      <c r="C2251" s="13"/>
      <c r="D2251" s="13"/>
      <c r="E2251" s="2"/>
      <c r="F2251" s="655"/>
      <c r="G2251" s="2"/>
      <c r="H2251" s="2"/>
      <c r="I2251" s="13"/>
      <c r="J2251" s="656"/>
      <c r="K2251" s="13"/>
      <c r="L2251" s="13"/>
      <c r="M2251" s="13"/>
      <c r="N2251" s="2"/>
      <c r="O2251" s="2"/>
      <c r="P2251" s="2"/>
      <c r="Q2251" s="2"/>
      <c r="R2251" s="101"/>
      <c r="U2251" s="101"/>
    </row>
    <row r="2252">
      <c r="A2252" s="49"/>
      <c r="C2252" s="13"/>
      <c r="D2252" s="13"/>
      <c r="E2252" s="2"/>
      <c r="F2252" s="655"/>
      <c r="G2252" s="2"/>
      <c r="H2252" s="2"/>
      <c r="I2252" s="13"/>
      <c r="J2252" s="656"/>
      <c r="K2252" s="13"/>
      <c r="L2252" s="13"/>
      <c r="M2252" s="13"/>
      <c r="N2252" s="2"/>
      <c r="O2252" s="2"/>
      <c r="P2252" s="2"/>
      <c r="Q2252" s="2"/>
      <c r="R2252" s="101"/>
      <c r="U2252" s="101"/>
    </row>
    <row r="2253">
      <c r="A2253" s="49"/>
      <c r="C2253" s="13"/>
      <c r="D2253" s="13"/>
      <c r="E2253" s="2"/>
      <c r="F2253" s="655"/>
      <c r="G2253" s="2"/>
      <c r="H2253" s="2"/>
      <c r="I2253" s="13"/>
      <c r="J2253" s="656"/>
      <c r="K2253" s="13"/>
      <c r="L2253" s="13"/>
      <c r="M2253" s="13"/>
      <c r="N2253" s="2"/>
      <c r="O2253" s="2"/>
      <c r="P2253" s="2"/>
      <c r="Q2253" s="2"/>
      <c r="R2253" s="101"/>
      <c r="U2253" s="101"/>
    </row>
    <row r="2254">
      <c r="A2254" s="49"/>
      <c r="C2254" s="13"/>
      <c r="D2254" s="13"/>
      <c r="E2254" s="2"/>
      <c r="F2254" s="655"/>
      <c r="G2254" s="2"/>
      <c r="H2254" s="2"/>
      <c r="I2254" s="13"/>
      <c r="J2254" s="656"/>
      <c r="K2254" s="13"/>
      <c r="L2254" s="13"/>
      <c r="M2254" s="13"/>
      <c r="N2254" s="2"/>
      <c r="O2254" s="2"/>
      <c r="P2254" s="2"/>
      <c r="Q2254" s="2"/>
      <c r="R2254" s="101"/>
      <c r="U2254" s="101"/>
    </row>
    <row r="2255">
      <c r="A2255" s="49"/>
      <c r="C2255" s="13"/>
      <c r="D2255" s="13"/>
      <c r="E2255" s="2"/>
      <c r="F2255" s="655"/>
      <c r="G2255" s="2"/>
      <c r="H2255" s="2"/>
      <c r="I2255" s="13"/>
      <c r="J2255" s="656"/>
      <c r="K2255" s="13"/>
      <c r="L2255" s="13"/>
      <c r="M2255" s="13"/>
      <c r="N2255" s="2"/>
      <c r="O2255" s="2"/>
      <c r="P2255" s="2"/>
      <c r="Q2255" s="2"/>
      <c r="R2255" s="101"/>
      <c r="U2255" s="101"/>
    </row>
    <row r="2256">
      <c r="A2256" s="49"/>
      <c r="C2256" s="13"/>
      <c r="D2256" s="13"/>
      <c r="E2256" s="2"/>
      <c r="F2256" s="655"/>
      <c r="G2256" s="2"/>
      <c r="H2256" s="2"/>
      <c r="I2256" s="13"/>
      <c r="J2256" s="656"/>
      <c r="K2256" s="13"/>
      <c r="L2256" s="13"/>
      <c r="M2256" s="13"/>
      <c r="N2256" s="2"/>
      <c r="O2256" s="2"/>
      <c r="P2256" s="2"/>
      <c r="Q2256" s="2"/>
      <c r="R2256" s="101"/>
      <c r="U2256" s="101"/>
    </row>
    <row r="2257">
      <c r="A2257" s="49"/>
      <c r="C2257" s="13"/>
      <c r="D2257" s="13"/>
      <c r="E2257" s="2"/>
      <c r="F2257" s="655"/>
      <c r="G2257" s="2"/>
      <c r="H2257" s="2"/>
      <c r="I2257" s="13"/>
      <c r="J2257" s="656"/>
      <c r="K2257" s="13"/>
      <c r="L2257" s="13"/>
      <c r="M2257" s="13"/>
      <c r="N2257" s="2"/>
      <c r="O2257" s="2"/>
      <c r="P2257" s="2"/>
      <c r="Q2257" s="2"/>
      <c r="R2257" s="101"/>
      <c r="U2257" s="101"/>
    </row>
    <row r="2258">
      <c r="A2258" s="49"/>
      <c r="C2258" s="13"/>
      <c r="D2258" s="13"/>
      <c r="E2258" s="2"/>
      <c r="F2258" s="655"/>
      <c r="G2258" s="2"/>
      <c r="H2258" s="2"/>
      <c r="I2258" s="13"/>
      <c r="J2258" s="656"/>
      <c r="K2258" s="13"/>
      <c r="L2258" s="13"/>
      <c r="M2258" s="13"/>
      <c r="N2258" s="2"/>
      <c r="O2258" s="2"/>
      <c r="P2258" s="2"/>
      <c r="Q2258" s="2"/>
      <c r="R2258" s="101"/>
      <c r="U2258" s="101"/>
    </row>
    <row r="2259">
      <c r="A2259" s="49"/>
      <c r="C2259" s="13"/>
      <c r="D2259" s="13"/>
      <c r="E2259" s="2"/>
      <c r="F2259" s="655"/>
      <c r="G2259" s="2"/>
      <c r="H2259" s="2"/>
      <c r="I2259" s="13"/>
      <c r="J2259" s="656"/>
      <c r="K2259" s="13"/>
      <c r="L2259" s="13"/>
      <c r="M2259" s="13"/>
      <c r="N2259" s="2"/>
      <c r="O2259" s="2"/>
      <c r="P2259" s="2"/>
      <c r="Q2259" s="2"/>
      <c r="R2259" s="101"/>
      <c r="U2259" s="101"/>
    </row>
    <row r="2260">
      <c r="A2260" s="49"/>
      <c r="C2260" s="13"/>
      <c r="D2260" s="13"/>
      <c r="E2260" s="2"/>
      <c r="F2260" s="655"/>
      <c r="G2260" s="2"/>
      <c r="H2260" s="2"/>
      <c r="I2260" s="13"/>
      <c r="J2260" s="656"/>
      <c r="K2260" s="13"/>
      <c r="L2260" s="13"/>
      <c r="M2260" s="13"/>
      <c r="N2260" s="2"/>
      <c r="O2260" s="2"/>
      <c r="P2260" s="2"/>
      <c r="Q2260" s="2"/>
      <c r="R2260" s="101"/>
      <c r="U2260" s="101"/>
    </row>
    <row r="2261">
      <c r="A2261" s="49"/>
      <c r="C2261" s="13"/>
      <c r="D2261" s="13"/>
      <c r="E2261" s="2"/>
      <c r="F2261" s="655"/>
      <c r="G2261" s="2"/>
      <c r="H2261" s="2"/>
      <c r="I2261" s="13"/>
      <c r="J2261" s="656"/>
      <c r="K2261" s="13"/>
      <c r="L2261" s="13"/>
      <c r="M2261" s="13"/>
      <c r="N2261" s="2"/>
      <c r="O2261" s="2"/>
      <c r="P2261" s="2"/>
      <c r="Q2261" s="2"/>
      <c r="R2261" s="101"/>
      <c r="U2261" s="101"/>
    </row>
    <row r="2262">
      <c r="A2262" s="49"/>
      <c r="C2262" s="13"/>
      <c r="D2262" s="13"/>
      <c r="E2262" s="2"/>
      <c r="F2262" s="655"/>
      <c r="G2262" s="2"/>
      <c r="H2262" s="2"/>
      <c r="I2262" s="13"/>
      <c r="J2262" s="656"/>
      <c r="K2262" s="13"/>
      <c r="L2262" s="13"/>
      <c r="M2262" s="13"/>
      <c r="N2262" s="2"/>
      <c r="O2262" s="2"/>
      <c r="P2262" s="2"/>
      <c r="Q2262" s="2"/>
      <c r="R2262" s="101"/>
      <c r="U2262" s="101"/>
    </row>
    <row r="2263">
      <c r="A2263" s="49"/>
      <c r="C2263" s="13"/>
      <c r="D2263" s="13"/>
      <c r="E2263" s="2"/>
      <c r="F2263" s="655"/>
      <c r="G2263" s="2"/>
      <c r="H2263" s="2"/>
      <c r="I2263" s="13"/>
      <c r="J2263" s="656"/>
      <c r="K2263" s="13"/>
      <c r="L2263" s="13"/>
      <c r="M2263" s="13"/>
      <c r="N2263" s="2"/>
      <c r="O2263" s="2"/>
      <c r="P2263" s="2"/>
      <c r="Q2263" s="2"/>
      <c r="R2263" s="101"/>
      <c r="U2263" s="101"/>
    </row>
    <row r="2264">
      <c r="A2264" s="49"/>
      <c r="C2264" s="13"/>
      <c r="D2264" s="13"/>
      <c r="E2264" s="2"/>
      <c r="F2264" s="655"/>
      <c r="G2264" s="2"/>
      <c r="H2264" s="2"/>
      <c r="I2264" s="13"/>
      <c r="J2264" s="656"/>
      <c r="K2264" s="13"/>
      <c r="L2264" s="13"/>
      <c r="M2264" s="13"/>
      <c r="N2264" s="2"/>
      <c r="O2264" s="2"/>
      <c r="P2264" s="2"/>
      <c r="Q2264" s="2"/>
      <c r="R2264" s="101"/>
      <c r="U2264" s="101"/>
    </row>
    <row r="2265">
      <c r="A2265" s="49"/>
      <c r="C2265" s="13"/>
      <c r="D2265" s="13"/>
      <c r="E2265" s="2"/>
      <c r="F2265" s="655"/>
      <c r="G2265" s="2"/>
      <c r="H2265" s="2"/>
      <c r="I2265" s="13"/>
      <c r="J2265" s="656"/>
      <c r="K2265" s="13"/>
      <c r="L2265" s="13"/>
      <c r="M2265" s="13"/>
      <c r="N2265" s="2"/>
      <c r="O2265" s="2"/>
      <c r="P2265" s="2"/>
      <c r="Q2265" s="2"/>
      <c r="R2265" s="101"/>
      <c r="U2265" s="101"/>
    </row>
    <row r="2266">
      <c r="A2266" s="49"/>
      <c r="C2266" s="13"/>
      <c r="D2266" s="13"/>
      <c r="E2266" s="2"/>
      <c r="F2266" s="655"/>
      <c r="G2266" s="2"/>
      <c r="H2266" s="2"/>
      <c r="I2266" s="13"/>
      <c r="J2266" s="656"/>
      <c r="K2266" s="13"/>
      <c r="L2266" s="13"/>
      <c r="M2266" s="13"/>
      <c r="N2266" s="2"/>
      <c r="O2266" s="2"/>
      <c r="P2266" s="2"/>
      <c r="Q2266" s="2"/>
      <c r="R2266" s="101"/>
      <c r="U2266" s="101"/>
    </row>
    <row r="2267">
      <c r="A2267" s="49"/>
      <c r="C2267" s="13"/>
      <c r="D2267" s="13"/>
      <c r="E2267" s="2"/>
      <c r="F2267" s="655"/>
      <c r="G2267" s="2"/>
      <c r="H2267" s="2"/>
      <c r="I2267" s="13"/>
      <c r="J2267" s="656"/>
      <c r="K2267" s="13"/>
      <c r="L2267" s="13"/>
      <c r="M2267" s="13"/>
      <c r="N2267" s="2"/>
      <c r="O2267" s="2"/>
      <c r="P2267" s="2"/>
      <c r="Q2267" s="2"/>
      <c r="R2267" s="101"/>
      <c r="U2267" s="101"/>
    </row>
    <row r="2268">
      <c r="A2268" s="49"/>
      <c r="C2268" s="13"/>
      <c r="D2268" s="13"/>
      <c r="E2268" s="2"/>
      <c r="F2268" s="655"/>
      <c r="G2268" s="2"/>
      <c r="H2268" s="2"/>
      <c r="I2268" s="13"/>
      <c r="J2268" s="656"/>
      <c r="K2268" s="13"/>
      <c r="L2268" s="13"/>
      <c r="M2268" s="13"/>
      <c r="N2268" s="2"/>
      <c r="O2268" s="2"/>
      <c r="P2268" s="2"/>
      <c r="Q2268" s="2"/>
      <c r="R2268" s="101"/>
      <c r="U2268" s="101"/>
    </row>
    <row r="2269">
      <c r="A2269" s="49"/>
      <c r="C2269" s="13"/>
      <c r="D2269" s="13"/>
      <c r="E2269" s="2"/>
      <c r="F2269" s="655"/>
      <c r="G2269" s="2"/>
      <c r="H2269" s="2"/>
      <c r="I2269" s="13"/>
      <c r="J2269" s="656"/>
      <c r="K2269" s="13"/>
      <c r="L2269" s="13"/>
      <c r="M2269" s="13"/>
      <c r="N2269" s="2"/>
      <c r="O2269" s="2"/>
      <c r="P2269" s="2"/>
      <c r="Q2269" s="2"/>
      <c r="R2269" s="101"/>
      <c r="U2269" s="101"/>
    </row>
    <row r="2270">
      <c r="A2270" s="49"/>
      <c r="C2270" s="13"/>
      <c r="D2270" s="13"/>
      <c r="E2270" s="2"/>
      <c r="F2270" s="655"/>
      <c r="G2270" s="2"/>
      <c r="H2270" s="2"/>
      <c r="I2270" s="13"/>
      <c r="J2270" s="656"/>
      <c r="K2270" s="13"/>
      <c r="L2270" s="13"/>
      <c r="M2270" s="13"/>
      <c r="N2270" s="2"/>
      <c r="O2270" s="2"/>
      <c r="P2270" s="2"/>
      <c r="Q2270" s="2"/>
      <c r="R2270" s="101"/>
      <c r="U2270" s="101"/>
    </row>
    <row r="2271">
      <c r="A2271" s="49"/>
      <c r="C2271" s="13"/>
      <c r="D2271" s="13"/>
      <c r="E2271" s="2"/>
      <c r="F2271" s="655"/>
      <c r="G2271" s="2"/>
      <c r="H2271" s="2"/>
      <c r="I2271" s="13"/>
      <c r="J2271" s="656"/>
      <c r="K2271" s="13"/>
      <c r="L2271" s="13"/>
      <c r="M2271" s="13"/>
      <c r="N2271" s="2"/>
      <c r="O2271" s="2"/>
      <c r="P2271" s="2"/>
      <c r="Q2271" s="2"/>
      <c r="R2271" s="101"/>
      <c r="U2271" s="101"/>
    </row>
    <row r="2272">
      <c r="A2272" s="49"/>
      <c r="C2272" s="13"/>
      <c r="D2272" s="13"/>
      <c r="E2272" s="2"/>
      <c r="F2272" s="655"/>
      <c r="G2272" s="2"/>
      <c r="H2272" s="2"/>
      <c r="I2272" s="13"/>
      <c r="J2272" s="656"/>
      <c r="K2272" s="13"/>
      <c r="L2272" s="13"/>
      <c r="M2272" s="13"/>
      <c r="N2272" s="2"/>
      <c r="O2272" s="2"/>
      <c r="P2272" s="2"/>
      <c r="Q2272" s="2"/>
      <c r="R2272" s="101"/>
      <c r="U2272" s="101"/>
    </row>
    <row r="2273">
      <c r="A2273" s="49"/>
      <c r="C2273" s="13"/>
      <c r="D2273" s="13"/>
      <c r="E2273" s="2"/>
      <c r="F2273" s="655"/>
      <c r="G2273" s="2"/>
      <c r="H2273" s="2"/>
      <c r="I2273" s="13"/>
      <c r="J2273" s="656"/>
      <c r="K2273" s="13"/>
      <c r="L2273" s="13"/>
      <c r="M2273" s="13"/>
      <c r="N2273" s="2"/>
      <c r="O2273" s="2"/>
      <c r="P2273" s="2"/>
      <c r="Q2273" s="2"/>
      <c r="R2273" s="101"/>
      <c r="U2273" s="101"/>
    </row>
    <row r="2274">
      <c r="A2274" s="49"/>
      <c r="C2274" s="13"/>
      <c r="D2274" s="13"/>
      <c r="E2274" s="2"/>
      <c r="F2274" s="655"/>
      <c r="G2274" s="2"/>
      <c r="H2274" s="2"/>
      <c r="I2274" s="13"/>
      <c r="J2274" s="656"/>
      <c r="K2274" s="13"/>
      <c r="L2274" s="13"/>
      <c r="M2274" s="13"/>
      <c r="N2274" s="2"/>
      <c r="O2274" s="2"/>
      <c r="P2274" s="2"/>
      <c r="Q2274" s="2"/>
      <c r="R2274" s="101"/>
      <c r="U2274" s="101"/>
    </row>
    <row r="2275">
      <c r="A2275" s="49"/>
      <c r="C2275" s="13"/>
      <c r="D2275" s="13"/>
      <c r="E2275" s="2"/>
      <c r="F2275" s="655"/>
      <c r="G2275" s="2"/>
      <c r="H2275" s="2"/>
      <c r="I2275" s="13"/>
      <c r="J2275" s="656"/>
      <c r="K2275" s="13"/>
      <c r="L2275" s="13"/>
      <c r="M2275" s="13"/>
      <c r="N2275" s="2"/>
      <c r="O2275" s="2"/>
      <c r="P2275" s="2"/>
      <c r="Q2275" s="2"/>
      <c r="R2275" s="101"/>
      <c r="U2275" s="101"/>
    </row>
    <row r="2276">
      <c r="A2276" s="49"/>
      <c r="C2276" s="13"/>
      <c r="D2276" s="13"/>
      <c r="E2276" s="2"/>
      <c r="F2276" s="655"/>
      <c r="G2276" s="2"/>
      <c r="H2276" s="2"/>
      <c r="I2276" s="13"/>
      <c r="J2276" s="656"/>
      <c r="K2276" s="13"/>
      <c r="L2276" s="13"/>
      <c r="M2276" s="13"/>
      <c r="N2276" s="2"/>
      <c r="O2276" s="2"/>
      <c r="P2276" s="2"/>
      <c r="Q2276" s="2"/>
      <c r="R2276" s="101"/>
      <c r="U2276" s="101"/>
    </row>
    <row r="2277">
      <c r="A2277" s="49"/>
      <c r="C2277" s="13"/>
      <c r="D2277" s="13"/>
      <c r="E2277" s="2"/>
      <c r="F2277" s="655"/>
      <c r="G2277" s="2"/>
      <c r="H2277" s="2"/>
      <c r="I2277" s="13"/>
      <c r="J2277" s="656"/>
      <c r="K2277" s="13"/>
      <c r="L2277" s="13"/>
      <c r="M2277" s="13"/>
      <c r="N2277" s="2"/>
      <c r="O2277" s="2"/>
      <c r="P2277" s="2"/>
      <c r="Q2277" s="2"/>
      <c r="R2277" s="101"/>
      <c r="U2277" s="101"/>
    </row>
    <row r="2278">
      <c r="A2278" s="49"/>
      <c r="C2278" s="13"/>
      <c r="D2278" s="13"/>
      <c r="E2278" s="2"/>
      <c r="F2278" s="655"/>
      <c r="G2278" s="2"/>
      <c r="H2278" s="2"/>
      <c r="I2278" s="13"/>
      <c r="J2278" s="656"/>
      <c r="K2278" s="13"/>
      <c r="L2278" s="13"/>
      <c r="M2278" s="13"/>
      <c r="N2278" s="2"/>
      <c r="O2278" s="2"/>
      <c r="P2278" s="2"/>
      <c r="Q2278" s="2"/>
      <c r="R2278" s="101"/>
      <c r="U2278" s="101"/>
    </row>
    <row r="2279">
      <c r="A2279" s="49"/>
      <c r="C2279" s="13"/>
      <c r="D2279" s="13"/>
      <c r="E2279" s="2"/>
      <c r="F2279" s="655"/>
      <c r="G2279" s="2"/>
      <c r="H2279" s="2"/>
      <c r="I2279" s="13"/>
      <c r="J2279" s="656"/>
      <c r="K2279" s="13"/>
      <c r="L2279" s="13"/>
      <c r="M2279" s="13"/>
      <c r="N2279" s="2"/>
      <c r="O2279" s="2"/>
      <c r="P2279" s="2"/>
      <c r="Q2279" s="2"/>
      <c r="R2279" s="101"/>
      <c r="U2279" s="101"/>
    </row>
    <row r="2280">
      <c r="A2280" s="49"/>
      <c r="C2280" s="13"/>
      <c r="D2280" s="13"/>
      <c r="E2280" s="2"/>
      <c r="F2280" s="655"/>
      <c r="G2280" s="2"/>
      <c r="H2280" s="2"/>
      <c r="I2280" s="13"/>
      <c r="J2280" s="656"/>
      <c r="K2280" s="13"/>
      <c r="L2280" s="13"/>
      <c r="M2280" s="13"/>
      <c r="N2280" s="2"/>
      <c r="O2280" s="2"/>
      <c r="P2280" s="2"/>
      <c r="Q2280" s="2"/>
      <c r="R2280" s="101"/>
      <c r="U2280" s="101"/>
    </row>
    <row r="2281">
      <c r="A2281" s="49"/>
      <c r="C2281" s="13"/>
      <c r="D2281" s="13"/>
      <c r="E2281" s="2"/>
      <c r="F2281" s="655"/>
      <c r="G2281" s="2"/>
      <c r="H2281" s="2"/>
      <c r="I2281" s="13"/>
      <c r="J2281" s="656"/>
      <c r="K2281" s="13"/>
      <c r="L2281" s="13"/>
      <c r="M2281" s="13"/>
      <c r="N2281" s="2"/>
      <c r="O2281" s="2"/>
      <c r="P2281" s="2"/>
      <c r="Q2281" s="2"/>
      <c r="R2281" s="101"/>
      <c r="U2281" s="101"/>
    </row>
    <row r="2282">
      <c r="A2282" s="49"/>
      <c r="C2282" s="13"/>
      <c r="D2282" s="13"/>
      <c r="E2282" s="2"/>
      <c r="F2282" s="655"/>
      <c r="G2282" s="2"/>
      <c r="H2282" s="2"/>
      <c r="I2282" s="13"/>
      <c r="J2282" s="656"/>
      <c r="K2282" s="13"/>
      <c r="L2282" s="13"/>
      <c r="M2282" s="13"/>
      <c r="N2282" s="2"/>
      <c r="O2282" s="2"/>
      <c r="P2282" s="2"/>
      <c r="Q2282" s="2"/>
      <c r="R2282" s="101"/>
      <c r="U2282" s="101"/>
    </row>
    <row r="2283">
      <c r="A2283" s="49"/>
      <c r="C2283" s="13"/>
      <c r="D2283" s="13"/>
      <c r="E2283" s="2"/>
      <c r="F2283" s="655"/>
      <c r="G2283" s="2"/>
      <c r="H2283" s="2"/>
      <c r="I2283" s="13"/>
      <c r="J2283" s="656"/>
      <c r="K2283" s="13"/>
      <c r="L2283" s="13"/>
      <c r="M2283" s="13"/>
      <c r="N2283" s="2"/>
      <c r="O2283" s="2"/>
      <c r="P2283" s="2"/>
      <c r="Q2283" s="2"/>
      <c r="R2283" s="101"/>
      <c r="U2283" s="101"/>
    </row>
    <row r="2284">
      <c r="A2284" s="49"/>
      <c r="C2284" s="13"/>
      <c r="D2284" s="13"/>
      <c r="E2284" s="2"/>
      <c r="F2284" s="655"/>
      <c r="G2284" s="2"/>
      <c r="H2284" s="2"/>
      <c r="I2284" s="13"/>
      <c r="J2284" s="656"/>
      <c r="K2284" s="13"/>
      <c r="L2284" s="13"/>
      <c r="M2284" s="13"/>
      <c r="N2284" s="2"/>
      <c r="O2284" s="2"/>
      <c r="P2284" s="2"/>
      <c r="Q2284" s="2"/>
      <c r="R2284" s="101"/>
      <c r="U2284" s="101"/>
    </row>
    <row r="2285">
      <c r="A2285" s="49"/>
      <c r="C2285" s="13"/>
      <c r="D2285" s="13"/>
      <c r="E2285" s="2"/>
      <c r="F2285" s="655"/>
      <c r="G2285" s="2"/>
      <c r="H2285" s="2"/>
      <c r="I2285" s="13"/>
      <c r="J2285" s="656"/>
      <c r="K2285" s="13"/>
      <c r="L2285" s="13"/>
      <c r="M2285" s="13"/>
      <c r="N2285" s="2"/>
      <c r="O2285" s="2"/>
      <c r="P2285" s="2"/>
      <c r="Q2285" s="2"/>
      <c r="R2285" s="101"/>
      <c r="U2285" s="101"/>
    </row>
    <row r="2286">
      <c r="A2286" s="49"/>
      <c r="C2286" s="13"/>
      <c r="D2286" s="13"/>
      <c r="E2286" s="2"/>
      <c r="F2286" s="655"/>
      <c r="G2286" s="2"/>
      <c r="H2286" s="2"/>
      <c r="I2286" s="13"/>
      <c r="J2286" s="656"/>
      <c r="K2286" s="13"/>
      <c r="L2286" s="13"/>
      <c r="M2286" s="13"/>
      <c r="N2286" s="2"/>
      <c r="O2286" s="2"/>
      <c r="P2286" s="2"/>
      <c r="Q2286" s="2"/>
      <c r="R2286" s="101"/>
      <c r="U2286" s="101"/>
    </row>
    <row r="2287">
      <c r="A2287" s="49"/>
      <c r="C2287" s="13"/>
      <c r="D2287" s="13"/>
      <c r="E2287" s="2"/>
      <c r="F2287" s="655"/>
      <c r="G2287" s="2"/>
      <c r="H2287" s="2"/>
      <c r="I2287" s="13"/>
      <c r="J2287" s="656"/>
      <c r="K2287" s="13"/>
      <c r="L2287" s="13"/>
      <c r="M2287" s="13"/>
      <c r="N2287" s="2"/>
      <c r="O2287" s="2"/>
      <c r="P2287" s="2"/>
      <c r="Q2287" s="2"/>
      <c r="R2287" s="101"/>
      <c r="U2287" s="101"/>
    </row>
    <row r="2288">
      <c r="A2288" s="49"/>
      <c r="C2288" s="13"/>
      <c r="D2288" s="13"/>
      <c r="E2288" s="2"/>
      <c r="F2288" s="655"/>
      <c r="G2288" s="2"/>
      <c r="H2288" s="2"/>
      <c r="I2288" s="13"/>
      <c r="J2288" s="656"/>
      <c r="K2288" s="13"/>
      <c r="L2288" s="13"/>
      <c r="M2288" s="13"/>
      <c r="N2288" s="2"/>
      <c r="O2288" s="2"/>
      <c r="P2288" s="2"/>
      <c r="Q2288" s="2"/>
      <c r="R2288" s="101"/>
      <c r="U2288" s="101"/>
    </row>
    <row r="2289">
      <c r="A2289" s="49"/>
      <c r="C2289" s="13"/>
      <c r="D2289" s="13"/>
      <c r="E2289" s="2"/>
      <c r="F2289" s="655"/>
      <c r="G2289" s="2"/>
      <c r="H2289" s="2"/>
      <c r="I2289" s="13"/>
      <c r="J2289" s="656"/>
      <c r="K2289" s="13"/>
      <c r="L2289" s="13"/>
      <c r="M2289" s="13"/>
      <c r="N2289" s="2"/>
      <c r="O2289" s="2"/>
      <c r="P2289" s="2"/>
      <c r="Q2289" s="2"/>
      <c r="R2289" s="101"/>
      <c r="U2289" s="101"/>
    </row>
    <row r="2290">
      <c r="A2290" s="49"/>
      <c r="C2290" s="13"/>
      <c r="D2290" s="13"/>
      <c r="E2290" s="2"/>
      <c r="F2290" s="655"/>
      <c r="G2290" s="2"/>
      <c r="H2290" s="2"/>
      <c r="I2290" s="13"/>
      <c r="J2290" s="656"/>
      <c r="K2290" s="13"/>
      <c r="L2290" s="13"/>
      <c r="M2290" s="13"/>
      <c r="N2290" s="2"/>
      <c r="O2290" s="2"/>
      <c r="P2290" s="2"/>
      <c r="Q2290" s="2"/>
      <c r="R2290" s="101"/>
      <c r="U2290" s="101"/>
    </row>
    <row r="2291">
      <c r="A2291" s="49"/>
      <c r="C2291" s="13"/>
      <c r="D2291" s="13"/>
      <c r="E2291" s="2"/>
      <c r="F2291" s="655"/>
      <c r="G2291" s="2"/>
      <c r="H2291" s="2"/>
      <c r="I2291" s="13"/>
      <c r="J2291" s="656"/>
      <c r="K2291" s="13"/>
      <c r="L2291" s="13"/>
      <c r="M2291" s="13"/>
      <c r="N2291" s="2"/>
      <c r="O2291" s="2"/>
      <c r="P2291" s="2"/>
      <c r="Q2291" s="2"/>
      <c r="R2291" s="101"/>
      <c r="U2291" s="101"/>
    </row>
    <row r="2292">
      <c r="A2292" s="49"/>
      <c r="C2292" s="13"/>
      <c r="D2292" s="13"/>
      <c r="E2292" s="2"/>
      <c r="F2292" s="655"/>
      <c r="G2292" s="2"/>
      <c r="H2292" s="2"/>
      <c r="I2292" s="13"/>
      <c r="J2292" s="656"/>
      <c r="K2292" s="13"/>
      <c r="L2292" s="13"/>
      <c r="M2292" s="13"/>
      <c r="N2292" s="2"/>
      <c r="O2292" s="2"/>
      <c r="P2292" s="2"/>
      <c r="Q2292" s="2"/>
      <c r="R2292" s="101"/>
      <c r="U2292" s="101"/>
    </row>
    <row r="2293">
      <c r="A2293" s="49"/>
      <c r="C2293" s="13"/>
      <c r="D2293" s="13"/>
      <c r="E2293" s="2"/>
      <c r="F2293" s="655"/>
      <c r="G2293" s="2"/>
      <c r="H2293" s="2"/>
      <c r="I2293" s="13"/>
      <c r="J2293" s="656"/>
      <c r="K2293" s="13"/>
      <c r="L2293" s="13"/>
      <c r="M2293" s="13"/>
      <c r="N2293" s="2"/>
      <c r="O2293" s="2"/>
      <c r="P2293" s="2"/>
      <c r="Q2293" s="2"/>
      <c r="R2293" s="101"/>
      <c r="U2293" s="101"/>
    </row>
    <row r="2294">
      <c r="A2294" s="49"/>
      <c r="C2294" s="13"/>
      <c r="D2294" s="13"/>
      <c r="E2294" s="2"/>
      <c r="F2294" s="655"/>
      <c r="G2294" s="2"/>
      <c r="H2294" s="2"/>
      <c r="I2294" s="13"/>
      <c r="J2294" s="656"/>
      <c r="K2294" s="13"/>
      <c r="L2294" s="13"/>
      <c r="M2294" s="13"/>
      <c r="N2294" s="2"/>
      <c r="O2294" s="2"/>
      <c r="P2294" s="2"/>
      <c r="Q2294" s="2"/>
      <c r="R2294" s="101"/>
      <c r="U2294" s="101"/>
    </row>
    <row r="2295">
      <c r="A2295" s="49"/>
      <c r="C2295" s="13"/>
      <c r="D2295" s="13"/>
      <c r="E2295" s="2"/>
      <c r="F2295" s="655"/>
      <c r="G2295" s="2"/>
      <c r="H2295" s="2"/>
      <c r="I2295" s="13"/>
      <c r="J2295" s="656"/>
      <c r="K2295" s="13"/>
      <c r="L2295" s="13"/>
      <c r="M2295" s="13"/>
      <c r="N2295" s="2"/>
      <c r="O2295" s="2"/>
      <c r="P2295" s="2"/>
      <c r="Q2295" s="2"/>
      <c r="R2295" s="101"/>
      <c r="U2295" s="101"/>
    </row>
    <row r="2296">
      <c r="A2296" s="49"/>
      <c r="C2296" s="13"/>
      <c r="D2296" s="13"/>
      <c r="E2296" s="2"/>
      <c r="F2296" s="655"/>
      <c r="G2296" s="2"/>
      <c r="H2296" s="2"/>
      <c r="I2296" s="13"/>
      <c r="J2296" s="656"/>
      <c r="K2296" s="13"/>
      <c r="L2296" s="13"/>
      <c r="M2296" s="13"/>
      <c r="N2296" s="2"/>
      <c r="O2296" s="2"/>
      <c r="P2296" s="2"/>
      <c r="Q2296" s="2"/>
      <c r="R2296" s="101"/>
      <c r="U2296" s="101"/>
    </row>
    <row r="2297">
      <c r="A2297" s="49"/>
      <c r="C2297" s="13"/>
      <c r="D2297" s="13"/>
      <c r="E2297" s="2"/>
      <c r="F2297" s="655"/>
      <c r="G2297" s="2"/>
      <c r="H2297" s="2"/>
      <c r="I2297" s="13"/>
      <c r="J2297" s="656"/>
      <c r="K2297" s="13"/>
      <c r="L2297" s="13"/>
      <c r="M2297" s="13"/>
      <c r="N2297" s="2"/>
      <c r="O2297" s="2"/>
      <c r="P2297" s="2"/>
      <c r="Q2297" s="2"/>
      <c r="R2297" s="101"/>
      <c r="U2297" s="101"/>
    </row>
    <row r="2298">
      <c r="A2298" s="49"/>
      <c r="C2298" s="13"/>
      <c r="D2298" s="13"/>
      <c r="E2298" s="2"/>
      <c r="F2298" s="655"/>
      <c r="G2298" s="2"/>
      <c r="H2298" s="2"/>
      <c r="I2298" s="13"/>
      <c r="J2298" s="656"/>
      <c r="K2298" s="13"/>
      <c r="L2298" s="13"/>
      <c r="M2298" s="13"/>
      <c r="N2298" s="2"/>
      <c r="O2298" s="2"/>
      <c r="P2298" s="2"/>
      <c r="Q2298" s="2"/>
      <c r="R2298" s="101"/>
      <c r="U2298" s="101"/>
    </row>
    <row r="2299">
      <c r="A2299" s="49"/>
      <c r="C2299" s="13"/>
      <c r="D2299" s="13"/>
      <c r="E2299" s="2"/>
      <c r="F2299" s="655"/>
      <c r="G2299" s="2"/>
      <c r="H2299" s="2"/>
      <c r="I2299" s="13"/>
      <c r="J2299" s="656"/>
      <c r="K2299" s="13"/>
      <c r="L2299" s="13"/>
      <c r="M2299" s="13"/>
      <c r="N2299" s="2"/>
      <c r="O2299" s="2"/>
      <c r="P2299" s="2"/>
      <c r="Q2299" s="2"/>
      <c r="R2299" s="101"/>
      <c r="U2299" s="101"/>
    </row>
    <row r="2300">
      <c r="A2300" s="49"/>
      <c r="C2300" s="13"/>
      <c r="D2300" s="13"/>
      <c r="E2300" s="2"/>
      <c r="F2300" s="655"/>
      <c r="G2300" s="2"/>
      <c r="H2300" s="2"/>
      <c r="I2300" s="13"/>
      <c r="J2300" s="656"/>
      <c r="K2300" s="13"/>
      <c r="L2300" s="13"/>
      <c r="M2300" s="13"/>
      <c r="N2300" s="2"/>
      <c r="O2300" s="2"/>
      <c r="P2300" s="2"/>
      <c r="Q2300" s="2"/>
      <c r="R2300" s="101"/>
      <c r="U2300" s="101"/>
    </row>
    <row r="2301">
      <c r="A2301" s="49"/>
      <c r="C2301" s="13"/>
      <c r="D2301" s="13"/>
      <c r="E2301" s="2"/>
      <c r="F2301" s="655"/>
      <c r="G2301" s="2"/>
      <c r="H2301" s="2"/>
      <c r="I2301" s="13"/>
      <c r="J2301" s="656"/>
      <c r="K2301" s="13"/>
      <c r="L2301" s="13"/>
      <c r="M2301" s="13"/>
      <c r="N2301" s="2"/>
      <c r="O2301" s="2"/>
      <c r="P2301" s="2"/>
      <c r="Q2301" s="2"/>
      <c r="R2301" s="101"/>
      <c r="U2301" s="101"/>
    </row>
    <row r="2302">
      <c r="A2302" s="49"/>
      <c r="C2302" s="13"/>
      <c r="D2302" s="13"/>
      <c r="E2302" s="2"/>
      <c r="F2302" s="655"/>
      <c r="G2302" s="2"/>
      <c r="H2302" s="2"/>
      <c r="I2302" s="13"/>
      <c r="J2302" s="656"/>
      <c r="K2302" s="13"/>
      <c r="L2302" s="13"/>
      <c r="M2302" s="13"/>
      <c r="N2302" s="2"/>
      <c r="O2302" s="2"/>
      <c r="P2302" s="2"/>
      <c r="Q2302" s="2"/>
      <c r="R2302" s="101"/>
      <c r="U2302" s="101"/>
    </row>
    <row r="2303">
      <c r="A2303" s="49"/>
      <c r="C2303" s="13"/>
      <c r="D2303" s="13"/>
      <c r="E2303" s="2"/>
      <c r="F2303" s="655"/>
      <c r="G2303" s="2"/>
      <c r="H2303" s="2"/>
      <c r="I2303" s="13"/>
      <c r="J2303" s="656"/>
      <c r="K2303" s="13"/>
      <c r="L2303" s="13"/>
      <c r="M2303" s="13"/>
      <c r="N2303" s="2"/>
      <c r="O2303" s="2"/>
      <c r="P2303" s="2"/>
      <c r="Q2303" s="2"/>
      <c r="R2303" s="101"/>
      <c r="U2303" s="101"/>
    </row>
    <row r="2304">
      <c r="A2304" s="49"/>
      <c r="C2304" s="13"/>
      <c r="D2304" s="13"/>
      <c r="E2304" s="2"/>
      <c r="F2304" s="655"/>
      <c r="G2304" s="2"/>
      <c r="H2304" s="2"/>
      <c r="I2304" s="13"/>
      <c r="J2304" s="656"/>
      <c r="K2304" s="13"/>
      <c r="L2304" s="13"/>
      <c r="M2304" s="13"/>
      <c r="N2304" s="2"/>
      <c r="O2304" s="2"/>
      <c r="P2304" s="2"/>
      <c r="Q2304" s="2"/>
      <c r="R2304" s="101"/>
      <c r="U2304" s="101"/>
    </row>
    <row r="2305">
      <c r="A2305" s="49"/>
      <c r="C2305" s="13"/>
      <c r="D2305" s="13"/>
      <c r="E2305" s="2"/>
      <c r="F2305" s="655"/>
      <c r="G2305" s="2"/>
      <c r="H2305" s="2"/>
      <c r="I2305" s="13"/>
      <c r="J2305" s="656"/>
      <c r="K2305" s="13"/>
      <c r="L2305" s="13"/>
      <c r="M2305" s="13"/>
      <c r="N2305" s="2"/>
      <c r="O2305" s="2"/>
      <c r="P2305" s="2"/>
      <c r="Q2305" s="2"/>
      <c r="R2305" s="101"/>
      <c r="U2305" s="101"/>
    </row>
    <row r="2306">
      <c r="A2306" s="49"/>
      <c r="C2306" s="13"/>
      <c r="D2306" s="13"/>
      <c r="E2306" s="2"/>
      <c r="F2306" s="655"/>
      <c r="G2306" s="2"/>
      <c r="H2306" s="2"/>
      <c r="I2306" s="13"/>
      <c r="J2306" s="656"/>
      <c r="K2306" s="13"/>
      <c r="L2306" s="13"/>
      <c r="M2306" s="13"/>
      <c r="N2306" s="2"/>
      <c r="O2306" s="2"/>
      <c r="P2306" s="2"/>
      <c r="Q2306" s="2"/>
      <c r="R2306" s="101"/>
      <c r="U2306" s="101"/>
    </row>
    <row r="2307">
      <c r="A2307" s="49"/>
      <c r="C2307" s="13"/>
      <c r="D2307" s="13"/>
      <c r="E2307" s="2"/>
      <c r="F2307" s="655"/>
      <c r="G2307" s="2"/>
      <c r="H2307" s="2"/>
      <c r="I2307" s="13"/>
      <c r="J2307" s="656"/>
      <c r="K2307" s="13"/>
      <c r="L2307" s="13"/>
      <c r="M2307" s="13"/>
      <c r="N2307" s="2"/>
      <c r="O2307" s="2"/>
      <c r="P2307" s="2"/>
      <c r="Q2307" s="2"/>
      <c r="R2307" s="101"/>
      <c r="U2307" s="101"/>
    </row>
    <row r="2308">
      <c r="A2308" s="49"/>
      <c r="C2308" s="13"/>
      <c r="D2308" s="13"/>
      <c r="E2308" s="2"/>
      <c r="F2308" s="655"/>
      <c r="G2308" s="2"/>
      <c r="H2308" s="2"/>
      <c r="I2308" s="13"/>
      <c r="J2308" s="656"/>
      <c r="K2308" s="13"/>
      <c r="L2308" s="13"/>
      <c r="M2308" s="13"/>
      <c r="N2308" s="2"/>
      <c r="O2308" s="2"/>
      <c r="P2308" s="2"/>
      <c r="Q2308" s="2"/>
      <c r="R2308" s="101"/>
      <c r="U2308" s="101"/>
    </row>
    <row r="2309">
      <c r="A2309" s="49"/>
      <c r="C2309" s="13"/>
      <c r="D2309" s="13"/>
      <c r="E2309" s="2"/>
      <c r="F2309" s="655"/>
      <c r="G2309" s="2"/>
      <c r="H2309" s="2"/>
      <c r="I2309" s="13"/>
      <c r="J2309" s="656"/>
      <c r="K2309" s="13"/>
      <c r="L2309" s="13"/>
      <c r="M2309" s="13"/>
      <c r="N2309" s="2"/>
      <c r="O2309" s="2"/>
      <c r="P2309" s="2"/>
      <c r="Q2309" s="2"/>
      <c r="R2309" s="101"/>
      <c r="U2309" s="101"/>
    </row>
    <row r="2310">
      <c r="A2310" s="49"/>
      <c r="C2310" s="13"/>
      <c r="D2310" s="13"/>
      <c r="E2310" s="2"/>
      <c r="F2310" s="655"/>
      <c r="G2310" s="2"/>
      <c r="H2310" s="2"/>
      <c r="I2310" s="13"/>
      <c r="J2310" s="656"/>
      <c r="K2310" s="13"/>
      <c r="L2310" s="13"/>
      <c r="M2310" s="13"/>
      <c r="N2310" s="2"/>
      <c r="O2310" s="2"/>
      <c r="P2310" s="2"/>
      <c r="Q2310" s="2"/>
      <c r="R2310" s="101"/>
      <c r="U2310" s="101"/>
    </row>
    <row r="2311">
      <c r="A2311" s="49"/>
      <c r="C2311" s="13"/>
      <c r="D2311" s="13"/>
      <c r="E2311" s="2"/>
      <c r="F2311" s="655"/>
      <c r="G2311" s="2"/>
      <c r="H2311" s="2"/>
      <c r="I2311" s="13"/>
      <c r="J2311" s="656"/>
      <c r="K2311" s="13"/>
      <c r="L2311" s="13"/>
      <c r="M2311" s="13"/>
      <c r="N2311" s="2"/>
      <c r="O2311" s="2"/>
      <c r="P2311" s="2"/>
      <c r="Q2311" s="2"/>
      <c r="R2311" s="101"/>
      <c r="U2311" s="101"/>
    </row>
    <row r="2312">
      <c r="A2312" s="49"/>
      <c r="C2312" s="13"/>
      <c r="D2312" s="13"/>
      <c r="E2312" s="2"/>
      <c r="F2312" s="655"/>
      <c r="G2312" s="2"/>
      <c r="H2312" s="2"/>
      <c r="I2312" s="13"/>
      <c r="J2312" s="656"/>
      <c r="K2312" s="13"/>
      <c r="L2312" s="13"/>
      <c r="M2312" s="13"/>
      <c r="N2312" s="2"/>
      <c r="O2312" s="2"/>
      <c r="P2312" s="2"/>
      <c r="Q2312" s="2"/>
      <c r="R2312" s="101"/>
      <c r="U2312" s="101"/>
    </row>
    <row r="2313">
      <c r="A2313" s="49"/>
      <c r="C2313" s="13"/>
      <c r="D2313" s="13"/>
      <c r="E2313" s="2"/>
      <c r="F2313" s="655"/>
      <c r="G2313" s="2"/>
      <c r="H2313" s="2"/>
      <c r="I2313" s="13"/>
      <c r="J2313" s="656"/>
      <c r="K2313" s="13"/>
      <c r="L2313" s="13"/>
      <c r="M2313" s="13"/>
      <c r="N2313" s="2"/>
      <c r="O2313" s="2"/>
      <c r="P2313" s="2"/>
      <c r="Q2313" s="2"/>
      <c r="R2313" s="101"/>
      <c r="U2313" s="101"/>
    </row>
    <row r="2314">
      <c r="A2314" s="49"/>
      <c r="C2314" s="13"/>
      <c r="D2314" s="13"/>
      <c r="E2314" s="2"/>
      <c r="F2314" s="655"/>
      <c r="G2314" s="2"/>
      <c r="H2314" s="2"/>
      <c r="I2314" s="13"/>
      <c r="J2314" s="656"/>
      <c r="K2314" s="13"/>
      <c r="L2314" s="13"/>
      <c r="M2314" s="13"/>
      <c r="N2314" s="2"/>
      <c r="O2314" s="2"/>
      <c r="P2314" s="2"/>
      <c r="Q2314" s="2"/>
      <c r="R2314" s="101"/>
      <c r="U2314" s="101"/>
    </row>
    <row r="2315">
      <c r="A2315" s="49"/>
      <c r="C2315" s="13"/>
      <c r="D2315" s="13"/>
      <c r="E2315" s="2"/>
      <c r="F2315" s="655"/>
      <c r="G2315" s="2"/>
      <c r="H2315" s="2"/>
      <c r="I2315" s="13"/>
      <c r="J2315" s="656"/>
      <c r="K2315" s="13"/>
      <c r="L2315" s="13"/>
      <c r="M2315" s="13"/>
      <c r="N2315" s="2"/>
      <c r="O2315" s="2"/>
      <c r="P2315" s="2"/>
      <c r="Q2315" s="2"/>
      <c r="R2315" s="101"/>
      <c r="U2315" s="101"/>
    </row>
    <row r="2316">
      <c r="A2316" s="49"/>
      <c r="C2316" s="13"/>
      <c r="D2316" s="13"/>
      <c r="E2316" s="2"/>
      <c r="F2316" s="655"/>
      <c r="G2316" s="2"/>
      <c r="H2316" s="2"/>
      <c r="I2316" s="13"/>
      <c r="J2316" s="656"/>
      <c r="K2316" s="13"/>
      <c r="L2316" s="13"/>
      <c r="M2316" s="13"/>
      <c r="N2316" s="2"/>
      <c r="O2316" s="2"/>
      <c r="P2316" s="2"/>
      <c r="Q2316" s="2"/>
      <c r="R2316" s="101"/>
      <c r="U2316" s="101"/>
    </row>
    <row r="2317">
      <c r="A2317" s="49"/>
      <c r="C2317" s="13"/>
      <c r="D2317" s="13"/>
      <c r="E2317" s="2"/>
      <c r="F2317" s="655"/>
      <c r="G2317" s="2"/>
      <c r="H2317" s="2"/>
      <c r="I2317" s="13"/>
      <c r="J2317" s="656"/>
      <c r="K2317" s="13"/>
      <c r="L2317" s="13"/>
      <c r="M2317" s="13"/>
      <c r="N2317" s="2"/>
      <c r="O2317" s="2"/>
      <c r="P2317" s="2"/>
      <c r="Q2317" s="2"/>
      <c r="R2317" s="101"/>
      <c r="U2317" s="101"/>
    </row>
    <row r="2318">
      <c r="A2318" s="49"/>
      <c r="C2318" s="13"/>
      <c r="D2318" s="13"/>
      <c r="E2318" s="2"/>
      <c r="F2318" s="655"/>
      <c r="G2318" s="2"/>
      <c r="H2318" s="2"/>
      <c r="I2318" s="13"/>
      <c r="J2318" s="656"/>
      <c r="K2318" s="13"/>
      <c r="L2318" s="13"/>
      <c r="M2318" s="13"/>
      <c r="N2318" s="2"/>
      <c r="O2318" s="2"/>
      <c r="P2318" s="2"/>
      <c r="Q2318" s="2"/>
      <c r="R2318" s="101"/>
      <c r="U2318" s="101"/>
    </row>
    <row r="2319">
      <c r="A2319" s="49"/>
      <c r="C2319" s="13"/>
      <c r="D2319" s="13"/>
      <c r="E2319" s="2"/>
      <c r="F2319" s="655"/>
      <c r="G2319" s="2"/>
      <c r="H2319" s="2"/>
      <c r="I2319" s="13"/>
      <c r="J2319" s="656"/>
      <c r="K2319" s="13"/>
      <c r="L2319" s="13"/>
      <c r="M2319" s="13"/>
      <c r="N2319" s="2"/>
      <c r="O2319" s="2"/>
      <c r="P2319" s="2"/>
      <c r="Q2319" s="2"/>
      <c r="R2319" s="101"/>
      <c r="U2319" s="101"/>
    </row>
    <row r="2320">
      <c r="A2320" s="49"/>
      <c r="C2320" s="13"/>
      <c r="D2320" s="13"/>
      <c r="E2320" s="2"/>
      <c r="F2320" s="655"/>
      <c r="G2320" s="2"/>
      <c r="H2320" s="2"/>
      <c r="I2320" s="13"/>
      <c r="J2320" s="656"/>
      <c r="K2320" s="13"/>
      <c r="L2320" s="13"/>
      <c r="M2320" s="13"/>
      <c r="N2320" s="2"/>
      <c r="O2320" s="2"/>
      <c r="P2320" s="2"/>
      <c r="Q2320" s="2"/>
      <c r="R2320" s="101"/>
      <c r="U2320" s="101"/>
    </row>
    <row r="2321">
      <c r="A2321" s="49"/>
      <c r="C2321" s="13"/>
      <c r="D2321" s="13"/>
      <c r="E2321" s="2"/>
      <c r="F2321" s="655"/>
      <c r="G2321" s="2"/>
      <c r="H2321" s="2"/>
      <c r="I2321" s="13"/>
      <c r="J2321" s="656"/>
      <c r="K2321" s="13"/>
      <c r="L2321" s="13"/>
      <c r="M2321" s="13"/>
      <c r="N2321" s="2"/>
      <c r="O2321" s="2"/>
      <c r="P2321" s="2"/>
      <c r="Q2321" s="2"/>
      <c r="R2321" s="101"/>
      <c r="U2321" s="101"/>
    </row>
    <row r="2322">
      <c r="A2322" s="49"/>
      <c r="C2322" s="13"/>
      <c r="D2322" s="13"/>
      <c r="E2322" s="2"/>
      <c r="F2322" s="655"/>
      <c r="G2322" s="2"/>
      <c r="H2322" s="2"/>
      <c r="I2322" s="13"/>
      <c r="J2322" s="656"/>
      <c r="K2322" s="13"/>
      <c r="L2322" s="13"/>
      <c r="M2322" s="13"/>
      <c r="N2322" s="2"/>
      <c r="O2322" s="2"/>
      <c r="P2322" s="2"/>
      <c r="Q2322" s="2"/>
      <c r="R2322" s="101"/>
      <c r="U2322" s="101"/>
    </row>
    <row r="2323">
      <c r="A2323" s="49"/>
      <c r="C2323" s="13"/>
      <c r="D2323" s="13"/>
      <c r="E2323" s="2"/>
      <c r="F2323" s="655"/>
      <c r="G2323" s="2"/>
      <c r="H2323" s="2"/>
      <c r="I2323" s="13"/>
      <c r="J2323" s="656"/>
      <c r="K2323" s="13"/>
      <c r="L2323" s="13"/>
      <c r="M2323" s="13"/>
      <c r="N2323" s="2"/>
      <c r="O2323" s="2"/>
      <c r="P2323" s="2"/>
      <c r="Q2323" s="2"/>
      <c r="R2323" s="101"/>
      <c r="U2323" s="101"/>
    </row>
    <row r="2324">
      <c r="A2324" s="49"/>
      <c r="C2324" s="13"/>
      <c r="D2324" s="13"/>
      <c r="E2324" s="2"/>
      <c r="F2324" s="655"/>
      <c r="G2324" s="2"/>
      <c r="H2324" s="2"/>
      <c r="I2324" s="13"/>
      <c r="J2324" s="656"/>
      <c r="K2324" s="13"/>
      <c r="L2324" s="13"/>
      <c r="M2324" s="13"/>
      <c r="N2324" s="2"/>
      <c r="O2324" s="2"/>
      <c r="P2324" s="2"/>
      <c r="Q2324" s="2"/>
      <c r="R2324" s="101"/>
      <c r="U2324" s="101"/>
    </row>
    <row r="2325">
      <c r="A2325" s="49"/>
      <c r="C2325" s="13"/>
      <c r="D2325" s="13"/>
      <c r="E2325" s="2"/>
      <c r="F2325" s="655"/>
      <c r="G2325" s="2"/>
      <c r="H2325" s="2"/>
      <c r="I2325" s="13"/>
      <c r="J2325" s="656"/>
      <c r="K2325" s="13"/>
      <c r="L2325" s="13"/>
      <c r="M2325" s="13"/>
      <c r="N2325" s="2"/>
      <c r="O2325" s="2"/>
      <c r="P2325" s="2"/>
      <c r="Q2325" s="2"/>
      <c r="R2325" s="101"/>
      <c r="U2325" s="101"/>
    </row>
    <row r="2326">
      <c r="A2326" s="49"/>
      <c r="C2326" s="13"/>
      <c r="D2326" s="13"/>
      <c r="E2326" s="2"/>
      <c r="F2326" s="655"/>
      <c r="G2326" s="2"/>
      <c r="H2326" s="2"/>
      <c r="I2326" s="13"/>
      <c r="J2326" s="656"/>
      <c r="K2326" s="13"/>
      <c r="L2326" s="13"/>
      <c r="M2326" s="13"/>
      <c r="N2326" s="2"/>
      <c r="O2326" s="2"/>
      <c r="P2326" s="2"/>
      <c r="Q2326" s="2"/>
      <c r="R2326" s="101"/>
      <c r="U2326" s="101"/>
    </row>
    <row r="2327">
      <c r="A2327" s="49"/>
      <c r="C2327" s="13"/>
      <c r="D2327" s="13"/>
      <c r="E2327" s="2"/>
      <c r="F2327" s="655"/>
      <c r="G2327" s="2"/>
      <c r="H2327" s="2"/>
      <c r="I2327" s="13"/>
      <c r="J2327" s="656"/>
      <c r="K2327" s="13"/>
      <c r="L2327" s="13"/>
      <c r="M2327" s="13"/>
      <c r="N2327" s="2"/>
      <c r="O2327" s="2"/>
      <c r="P2327" s="2"/>
      <c r="Q2327" s="2"/>
      <c r="R2327" s="101"/>
      <c r="U2327" s="101"/>
    </row>
    <row r="2328">
      <c r="A2328" s="49"/>
      <c r="C2328" s="13"/>
      <c r="D2328" s="13"/>
      <c r="E2328" s="2"/>
      <c r="F2328" s="655"/>
      <c r="G2328" s="2"/>
      <c r="H2328" s="2"/>
      <c r="I2328" s="13"/>
      <c r="J2328" s="656"/>
      <c r="K2328" s="13"/>
      <c r="L2328" s="13"/>
      <c r="M2328" s="13"/>
      <c r="N2328" s="2"/>
      <c r="O2328" s="2"/>
      <c r="P2328" s="2"/>
      <c r="Q2328" s="2"/>
      <c r="R2328" s="101"/>
      <c r="U2328" s="101"/>
    </row>
    <row r="2329">
      <c r="A2329" s="49"/>
      <c r="C2329" s="13"/>
      <c r="D2329" s="13"/>
      <c r="E2329" s="2"/>
      <c r="F2329" s="655"/>
      <c r="G2329" s="2"/>
      <c r="H2329" s="2"/>
      <c r="I2329" s="13"/>
      <c r="J2329" s="656"/>
      <c r="K2329" s="13"/>
      <c r="L2329" s="13"/>
      <c r="M2329" s="13"/>
      <c r="N2329" s="2"/>
      <c r="O2329" s="2"/>
      <c r="P2329" s="2"/>
      <c r="Q2329" s="2"/>
      <c r="R2329" s="101"/>
      <c r="U2329" s="101"/>
    </row>
    <row r="2330">
      <c r="A2330" s="49"/>
      <c r="C2330" s="13"/>
      <c r="D2330" s="13"/>
      <c r="E2330" s="2"/>
      <c r="F2330" s="655"/>
      <c r="G2330" s="2"/>
      <c r="H2330" s="2"/>
      <c r="I2330" s="13"/>
      <c r="J2330" s="656"/>
      <c r="K2330" s="13"/>
      <c r="L2330" s="13"/>
      <c r="M2330" s="13"/>
      <c r="N2330" s="2"/>
      <c r="O2330" s="2"/>
      <c r="P2330" s="2"/>
      <c r="Q2330" s="2"/>
      <c r="R2330" s="101"/>
      <c r="U2330" s="101"/>
    </row>
    <row r="2331">
      <c r="A2331" s="49"/>
      <c r="C2331" s="13"/>
      <c r="D2331" s="13"/>
      <c r="E2331" s="2"/>
      <c r="F2331" s="655"/>
      <c r="G2331" s="2"/>
      <c r="H2331" s="2"/>
      <c r="I2331" s="13"/>
      <c r="J2331" s="656"/>
      <c r="K2331" s="13"/>
      <c r="L2331" s="13"/>
      <c r="M2331" s="13"/>
      <c r="N2331" s="2"/>
      <c r="O2331" s="2"/>
      <c r="P2331" s="2"/>
      <c r="Q2331" s="2"/>
      <c r="R2331" s="101"/>
      <c r="U2331" s="101"/>
    </row>
    <row r="2332">
      <c r="A2332" s="49"/>
      <c r="C2332" s="13"/>
      <c r="D2332" s="13"/>
      <c r="E2332" s="2"/>
      <c r="F2332" s="655"/>
      <c r="G2332" s="2"/>
      <c r="H2332" s="2"/>
      <c r="I2332" s="13"/>
      <c r="J2332" s="656"/>
      <c r="K2332" s="13"/>
      <c r="L2332" s="13"/>
      <c r="M2332" s="13"/>
      <c r="N2332" s="2"/>
      <c r="O2332" s="2"/>
      <c r="P2332" s="2"/>
      <c r="Q2332" s="2"/>
      <c r="R2332" s="101"/>
      <c r="U2332" s="101"/>
    </row>
    <row r="2333">
      <c r="A2333" s="49"/>
      <c r="C2333" s="13"/>
      <c r="D2333" s="13"/>
      <c r="E2333" s="2"/>
      <c r="F2333" s="655"/>
      <c r="G2333" s="2"/>
      <c r="H2333" s="2"/>
      <c r="I2333" s="13"/>
      <c r="J2333" s="656"/>
      <c r="K2333" s="13"/>
      <c r="L2333" s="13"/>
      <c r="M2333" s="13"/>
      <c r="N2333" s="2"/>
      <c r="O2333" s="2"/>
      <c r="P2333" s="2"/>
      <c r="Q2333" s="2"/>
      <c r="R2333" s="101"/>
      <c r="U2333" s="101"/>
    </row>
    <row r="2334">
      <c r="A2334" s="49"/>
      <c r="C2334" s="13"/>
      <c r="D2334" s="13"/>
      <c r="E2334" s="2"/>
      <c r="F2334" s="655"/>
      <c r="G2334" s="2"/>
      <c r="H2334" s="2"/>
      <c r="I2334" s="13"/>
      <c r="J2334" s="656"/>
      <c r="K2334" s="13"/>
      <c r="L2334" s="13"/>
      <c r="M2334" s="13"/>
      <c r="N2334" s="2"/>
      <c r="O2334" s="2"/>
      <c r="P2334" s="2"/>
      <c r="Q2334" s="2"/>
      <c r="R2334" s="101"/>
      <c r="U2334" s="101"/>
    </row>
    <row r="2335">
      <c r="A2335" s="49"/>
      <c r="C2335" s="13"/>
      <c r="D2335" s="13"/>
      <c r="E2335" s="2"/>
      <c r="F2335" s="655"/>
      <c r="G2335" s="2"/>
      <c r="H2335" s="2"/>
      <c r="I2335" s="13"/>
      <c r="J2335" s="656"/>
      <c r="K2335" s="13"/>
      <c r="L2335" s="13"/>
      <c r="M2335" s="13"/>
      <c r="N2335" s="2"/>
      <c r="O2335" s="2"/>
      <c r="P2335" s="2"/>
      <c r="Q2335" s="2"/>
      <c r="R2335" s="101"/>
      <c r="U2335" s="101"/>
    </row>
    <row r="2336">
      <c r="A2336" s="49"/>
      <c r="C2336" s="13"/>
      <c r="D2336" s="13"/>
      <c r="E2336" s="2"/>
      <c r="F2336" s="655"/>
      <c r="G2336" s="2"/>
      <c r="H2336" s="2"/>
      <c r="I2336" s="13"/>
      <c r="J2336" s="656"/>
      <c r="K2336" s="13"/>
      <c r="L2336" s="13"/>
      <c r="M2336" s="13"/>
      <c r="N2336" s="2"/>
      <c r="O2336" s="2"/>
      <c r="P2336" s="2"/>
      <c r="Q2336" s="2"/>
      <c r="R2336" s="101"/>
      <c r="U2336" s="101"/>
    </row>
    <row r="2337">
      <c r="A2337" s="49"/>
      <c r="C2337" s="13"/>
      <c r="D2337" s="13"/>
      <c r="E2337" s="2"/>
      <c r="F2337" s="655"/>
      <c r="G2337" s="2"/>
      <c r="H2337" s="2"/>
      <c r="I2337" s="13"/>
      <c r="J2337" s="656"/>
      <c r="K2337" s="13"/>
      <c r="L2337" s="13"/>
      <c r="M2337" s="13"/>
      <c r="N2337" s="2"/>
      <c r="O2337" s="2"/>
      <c r="P2337" s="2"/>
      <c r="Q2337" s="2"/>
      <c r="R2337" s="101"/>
      <c r="U2337" s="101"/>
    </row>
    <row r="2338">
      <c r="A2338" s="49"/>
      <c r="C2338" s="13"/>
      <c r="D2338" s="13"/>
      <c r="E2338" s="2"/>
      <c r="F2338" s="655"/>
      <c r="G2338" s="2"/>
      <c r="H2338" s="2"/>
      <c r="I2338" s="13"/>
      <c r="J2338" s="656"/>
      <c r="K2338" s="13"/>
      <c r="L2338" s="13"/>
      <c r="M2338" s="13"/>
      <c r="N2338" s="2"/>
      <c r="O2338" s="2"/>
      <c r="P2338" s="2"/>
      <c r="Q2338" s="2"/>
      <c r="R2338" s="101"/>
      <c r="U2338" s="101"/>
    </row>
    <row r="2339">
      <c r="A2339" s="49"/>
      <c r="C2339" s="13"/>
      <c r="D2339" s="13"/>
      <c r="E2339" s="2"/>
      <c r="F2339" s="655"/>
      <c r="G2339" s="2"/>
      <c r="H2339" s="2"/>
      <c r="I2339" s="13"/>
      <c r="J2339" s="656"/>
      <c r="K2339" s="13"/>
      <c r="L2339" s="13"/>
      <c r="M2339" s="13"/>
      <c r="N2339" s="2"/>
      <c r="O2339" s="2"/>
      <c r="P2339" s="2"/>
      <c r="Q2339" s="2"/>
      <c r="R2339" s="101"/>
      <c r="U2339" s="101"/>
    </row>
    <row r="2340">
      <c r="A2340" s="49"/>
      <c r="C2340" s="13"/>
      <c r="D2340" s="13"/>
      <c r="E2340" s="2"/>
      <c r="F2340" s="655"/>
      <c r="G2340" s="2"/>
      <c r="H2340" s="2"/>
      <c r="I2340" s="13"/>
      <c r="J2340" s="656"/>
      <c r="K2340" s="13"/>
      <c r="L2340" s="13"/>
      <c r="M2340" s="13"/>
      <c r="N2340" s="2"/>
      <c r="O2340" s="2"/>
      <c r="P2340" s="2"/>
      <c r="Q2340" s="2"/>
      <c r="R2340" s="101"/>
      <c r="U2340" s="101"/>
    </row>
    <row r="2341">
      <c r="A2341" s="49"/>
      <c r="C2341" s="13"/>
      <c r="D2341" s="13"/>
      <c r="E2341" s="2"/>
      <c r="F2341" s="655"/>
      <c r="G2341" s="2"/>
      <c r="H2341" s="2"/>
      <c r="I2341" s="13"/>
      <c r="J2341" s="656"/>
      <c r="K2341" s="13"/>
      <c r="L2341" s="13"/>
      <c r="M2341" s="13"/>
      <c r="N2341" s="2"/>
      <c r="O2341" s="2"/>
      <c r="P2341" s="2"/>
      <c r="Q2341" s="2"/>
      <c r="R2341" s="101"/>
      <c r="U2341" s="101"/>
    </row>
    <row r="2342">
      <c r="A2342" s="49"/>
      <c r="C2342" s="13"/>
      <c r="D2342" s="13"/>
      <c r="E2342" s="2"/>
      <c r="F2342" s="655"/>
      <c r="G2342" s="2"/>
      <c r="H2342" s="2"/>
      <c r="I2342" s="13"/>
      <c r="J2342" s="656"/>
      <c r="K2342" s="13"/>
      <c r="L2342" s="13"/>
      <c r="M2342" s="13"/>
      <c r="N2342" s="2"/>
      <c r="O2342" s="2"/>
      <c r="P2342" s="2"/>
      <c r="Q2342" s="2"/>
      <c r="R2342" s="101"/>
      <c r="U2342" s="101"/>
    </row>
    <row r="2343">
      <c r="A2343" s="49"/>
      <c r="C2343" s="13"/>
      <c r="D2343" s="13"/>
      <c r="E2343" s="2"/>
      <c r="F2343" s="655"/>
      <c r="G2343" s="2"/>
      <c r="H2343" s="2"/>
      <c r="I2343" s="13"/>
      <c r="J2343" s="656"/>
      <c r="K2343" s="13"/>
      <c r="L2343" s="13"/>
      <c r="M2343" s="13"/>
      <c r="N2343" s="2"/>
      <c r="O2343" s="2"/>
      <c r="P2343" s="2"/>
      <c r="Q2343" s="2"/>
      <c r="R2343" s="101"/>
      <c r="U2343" s="101"/>
    </row>
    <row r="2344">
      <c r="A2344" s="49"/>
      <c r="C2344" s="13"/>
      <c r="D2344" s="13"/>
      <c r="E2344" s="2"/>
      <c r="F2344" s="655"/>
      <c r="G2344" s="2"/>
      <c r="H2344" s="2"/>
      <c r="I2344" s="13"/>
      <c r="J2344" s="656"/>
      <c r="K2344" s="13"/>
      <c r="L2344" s="13"/>
      <c r="M2344" s="13"/>
      <c r="N2344" s="2"/>
      <c r="O2344" s="2"/>
      <c r="P2344" s="2"/>
      <c r="Q2344" s="2"/>
      <c r="R2344" s="101"/>
      <c r="U2344" s="101"/>
    </row>
    <row r="2345">
      <c r="A2345" s="49"/>
      <c r="C2345" s="13"/>
      <c r="D2345" s="13"/>
      <c r="E2345" s="2"/>
      <c r="F2345" s="655"/>
      <c r="G2345" s="2"/>
      <c r="H2345" s="2"/>
      <c r="I2345" s="13"/>
      <c r="J2345" s="656"/>
      <c r="K2345" s="13"/>
      <c r="L2345" s="13"/>
      <c r="M2345" s="13"/>
      <c r="N2345" s="2"/>
      <c r="O2345" s="2"/>
      <c r="P2345" s="2"/>
      <c r="Q2345" s="2"/>
      <c r="R2345" s="101"/>
      <c r="U2345" s="101"/>
    </row>
    <row r="2346">
      <c r="A2346" s="49"/>
      <c r="C2346" s="13"/>
      <c r="D2346" s="13"/>
      <c r="E2346" s="2"/>
      <c r="F2346" s="655"/>
      <c r="G2346" s="2"/>
      <c r="H2346" s="2"/>
      <c r="I2346" s="13"/>
      <c r="J2346" s="656"/>
      <c r="K2346" s="13"/>
      <c r="L2346" s="13"/>
      <c r="M2346" s="13"/>
      <c r="N2346" s="2"/>
      <c r="O2346" s="2"/>
      <c r="P2346" s="2"/>
      <c r="Q2346" s="2"/>
      <c r="R2346" s="101"/>
      <c r="U2346" s="101"/>
    </row>
    <row r="2347">
      <c r="A2347" s="49"/>
      <c r="C2347" s="13"/>
      <c r="D2347" s="13"/>
      <c r="E2347" s="2"/>
      <c r="F2347" s="655"/>
      <c r="G2347" s="2"/>
      <c r="H2347" s="2"/>
      <c r="I2347" s="13"/>
      <c r="J2347" s="656"/>
      <c r="K2347" s="13"/>
      <c r="L2347" s="13"/>
      <c r="M2347" s="13"/>
      <c r="N2347" s="2"/>
      <c r="O2347" s="2"/>
      <c r="P2347" s="2"/>
      <c r="Q2347" s="2"/>
      <c r="R2347" s="101"/>
      <c r="U2347" s="101"/>
    </row>
    <row r="2348">
      <c r="A2348" s="49"/>
      <c r="C2348" s="13"/>
      <c r="D2348" s="13"/>
      <c r="E2348" s="2"/>
      <c r="F2348" s="655"/>
      <c r="G2348" s="2"/>
      <c r="H2348" s="2"/>
      <c r="I2348" s="13"/>
      <c r="J2348" s="656"/>
      <c r="K2348" s="13"/>
      <c r="L2348" s="13"/>
      <c r="M2348" s="13"/>
      <c r="N2348" s="2"/>
      <c r="O2348" s="2"/>
      <c r="P2348" s="2"/>
      <c r="Q2348" s="2"/>
      <c r="R2348" s="101"/>
      <c r="U2348" s="101"/>
    </row>
    <row r="2349">
      <c r="A2349" s="49"/>
      <c r="C2349" s="13"/>
      <c r="D2349" s="13"/>
      <c r="E2349" s="2"/>
      <c r="F2349" s="655"/>
      <c r="G2349" s="2"/>
      <c r="H2349" s="2"/>
      <c r="I2349" s="13"/>
      <c r="J2349" s="656"/>
      <c r="K2349" s="13"/>
      <c r="L2349" s="13"/>
      <c r="M2349" s="13"/>
      <c r="N2349" s="2"/>
      <c r="O2349" s="2"/>
      <c r="P2349" s="2"/>
      <c r="Q2349" s="2"/>
      <c r="R2349" s="101"/>
      <c r="U2349" s="101"/>
    </row>
    <row r="2350">
      <c r="A2350" s="49"/>
      <c r="C2350" s="13"/>
      <c r="D2350" s="13"/>
      <c r="E2350" s="2"/>
      <c r="F2350" s="655"/>
      <c r="G2350" s="2"/>
      <c r="H2350" s="2"/>
      <c r="I2350" s="13"/>
      <c r="J2350" s="656"/>
      <c r="K2350" s="13"/>
      <c r="L2350" s="13"/>
      <c r="M2350" s="13"/>
      <c r="N2350" s="2"/>
      <c r="O2350" s="2"/>
      <c r="P2350" s="2"/>
      <c r="Q2350" s="2"/>
      <c r="R2350" s="101"/>
      <c r="U2350" s="101"/>
    </row>
    <row r="2351">
      <c r="A2351" s="49"/>
      <c r="C2351" s="13"/>
      <c r="D2351" s="13"/>
      <c r="E2351" s="2"/>
      <c r="F2351" s="655"/>
      <c r="G2351" s="2"/>
      <c r="H2351" s="2"/>
      <c r="I2351" s="13"/>
      <c r="J2351" s="656"/>
      <c r="K2351" s="13"/>
      <c r="L2351" s="13"/>
      <c r="M2351" s="13"/>
      <c r="N2351" s="2"/>
      <c r="O2351" s="2"/>
      <c r="P2351" s="2"/>
      <c r="Q2351" s="2"/>
      <c r="R2351" s="101"/>
      <c r="U2351" s="101"/>
    </row>
    <row r="2352">
      <c r="A2352" s="49"/>
      <c r="C2352" s="13"/>
      <c r="D2352" s="13"/>
      <c r="E2352" s="2"/>
      <c r="F2352" s="655"/>
      <c r="G2352" s="2"/>
      <c r="H2352" s="2"/>
      <c r="I2352" s="13"/>
      <c r="J2352" s="656"/>
      <c r="K2352" s="13"/>
      <c r="L2352" s="13"/>
      <c r="M2352" s="13"/>
      <c r="N2352" s="2"/>
      <c r="O2352" s="2"/>
      <c r="P2352" s="2"/>
      <c r="Q2352" s="2"/>
      <c r="R2352" s="101"/>
      <c r="U2352" s="101"/>
    </row>
    <row r="2353">
      <c r="A2353" s="49"/>
      <c r="C2353" s="13"/>
      <c r="D2353" s="13"/>
      <c r="E2353" s="2"/>
      <c r="F2353" s="655"/>
      <c r="G2353" s="2"/>
      <c r="H2353" s="2"/>
      <c r="I2353" s="13"/>
      <c r="J2353" s="656"/>
      <c r="K2353" s="13"/>
      <c r="L2353" s="13"/>
      <c r="M2353" s="13"/>
      <c r="N2353" s="2"/>
      <c r="O2353" s="2"/>
      <c r="P2353" s="2"/>
      <c r="Q2353" s="2"/>
      <c r="R2353" s="101"/>
      <c r="U2353" s="101"/>
    </row>
    <row r="2354">
      <c r="A2354" s="49"/>
      <c r="C2354" s="13"/>
      <c r="D2354" s="13"/>
      <c r="E2354" s="2"/>
      <c r="F2354" s="655"/>
      <c r="G2354" s="2"/>
      <c r="H2354" s="2"/>
      <c r="I2354" s="13"/>
      <c r="J2354" s="656"/>
      <c r="K2354" s="13"/>
      <c r="L2354" s="13"/>
      <c r="M2354" s="13"/>
      <c r="N2354" s="2"/>
      <c r="O2354" s="2"/>
      <c r="P2354" s="2"/>
      <c r="Q2354" s="2"/>
      <c r="R2354" s="101"/>
      <c r="U2354" s="101"/>
    </row>
    <row r="2355">
      <c r="A2355" s="49"/>
      <c r="C2355" s="13"/>
      <c r="D2355" s="13"/>
      <c r="E2355" s="2"/>
      <c r="F2355" s="655"/>
      <c r="G2355" s="2"/>
      <c r="H2355" s="2"/>
      <c r="I2355" s="13"/>
      <c r="J2355" s="656"/>
      <c r="K2355" s="13"/>
      <c r="L2355" s="13"/>
      <c r="M2355" s="13"/>
      <c r="N2355" s="2"/>
      <c r="O2355" s="2"/>
      <c r="P2355" s="2"/>
      <c r="Q2355" s="2"/>
      <c r="R2355" s="101"/>
      <c r="U2355" s="101"/>
    </row>
    <row r="2356">
      <c r="A2356" s="49"/>
      <c r="C2356" s="13"/>
      <c r="D2356" s="13"/>
      <c r="E2356" s="2"/>
      <c r="F2356" s="655"/>
      <c r="G2356" s="2"/>
      <c r="H2356" s="2"/>
      <c r="I2356" s="13"/>
      <c r="J2356" s="656"/>
      <c r="K2356" s="13"/>
      <c r="L2356" s="13"/>
      <c r="M2356" s="13"/>
      <c r="N2356" s="2"/>
      <c r="O2356" s="2"/>
      <c r="P2356" s="2"/>
      <c r="Q2356" s="2"/>
      <c r="R2356" s="101"/>
      <c r="U2356" s="101"/>
    </row>
    <row r="2357">
      <c r="A2357" s="49"/>
      <c r="C2357" s="13"/>
      <c r="D2357" s="13"/>
      <c r="E2357" s="2"/>
      <c r="F2357" s="655"/>
      <c r="G2357" s="2"/>
      <c r="H2357" s="2"/>
      <c r="I2357" s="13"/>
      <c r="J2357" s="656"/>
      <c r="K2357" s="13"/>
      <c r="L2357" s="13"/>
      <c r="M2357" s="13"/>
      <c r="N2357" s="2"/>
      <c r="O2357" s="2"/>
      <c r="P2357" s="2"/>
      <c r="Q2357" s="2"/>
      <c r="R2357" s="101"/>
      <c r="U2357" s="101"/>
    </row>
    <row r="2358">
      <c r="A2358" s="49"/>
      <c r="C2358" s="13"/>
      <c r="D2358" s="13"/>
      <c r="E2358" s="2"/>
      <c r="F2358" s="655"/>
      <c r="G2358" s="2"/>
      <c r="H2358" s="2"/>
      <c r="I2358" s="13"/>
      <c r="J2358" s="656"/>
      <c r="K2358" s="13"/>
      <c r="L2358" s="13"/>
      <c r="M2358" s="13"/>
      <c r="N2358" s="2"/>
      <c r="O2358" s="2"/>
      <c r="P2358" s="2"/>
      <c r="Q2358" s="2"/>
      <c r="R2358" s="101"/>
      <c r="U2358" s="101"/>
    </row>
    <row r="2359">
      <c r="A2359" s="49"/>
      <c r="C2359" s="13"/>
      <c r="D2359" s="13"/>
      <c r="E2359" s="2"/>
      <c r="F2359" s="655"/>
      <c r="G2359" s="2"/>
      <c r="H2359" s="2"/>
      <c r="I2359" s="13"/>
      <c r="J2359" s="656"/>
      <c r="K2359" s="13"/>
      <c r="L2359" s="13"/>
      <c r="M2359" s="13"/>
      <c r="N2359" s="2"/>
      <c r="O2359" s="2"/>
      <c r="P2359" s="2"/>
      <c r="Q2359" s="2"/>
      <c r="R2359" s="101"/>
      <c r="U2359" s="101"/>
    </row>
    <row r="2360">
      <c r="A2360" s="49"/>
      <c r="C2360" s="13"/>
      <c r="D2360" s="13"/>
      <c r="E2360" s="2"/>
      <c r="F2360" s="655"/>
      <c r="G2360" s="2"/>
      <c r="H2360" s="2"/>
      <c r="I2360" s="13"/>
      <c r="J2360" s="656"/>
      <c r="K2360" s="13"/>
      <c r="L2360" s="13"/>
      <c r="M2360" s="13"/>
      <c r="N2360" s="2"/>
      <c r="O2360" s="2"/>
      <c r="P2360" s="2"/>
      <c r="Q2360" s="2"/>
      <c r="R2360" s="101"/>
      <c r="U2360" s="101"/>
    </row>
    <row r="2361">
      <c r="A2361" s="49"/>
      <c r="C2361" s="13"/>
      <c r="D2361" s="13"/>
      <c r="E2361" s="2"/>
      <c r="F2361" s="655"/>
      <c r="G2361" s="2"/>
      <c r="H2361" s="2"/>
      <c r="I2361" s="13"/>
      <c r="J2361" s="656"/>
      <c r="K2361" s="13"/>
      <c r="L2361" s="13"/>
      <c r="M2361" s="13"/>
      <c r="N2361" s="2"/>
      <c r="O2361" s="2"/>
      <c r="P2361" s="2"/>
      <c r="Q2361" s="2"/>
      <c r="R2361" s="101"/>
      <c r="U2361" s="101"/>
    </row>
    <row r="2362">
      <c r="A2362" s="49"/>
      <c r="C2362" s="13"/>
      <c r="D2362" s="13"/>
      <c r="E2362" s="2"/>
      <c r="F2362" s="655"/>
      <c r="G2362" s="2"/>
      <c r="H2362" s="2"/>
      <c r="I2362" s="13"/>
      <c r="J2362" s="656"/>
      <c r="K2362" s="13"/>
      <c r="L2362" s="13"/>
      <c r="M2362" s="13"/>
      <c r="N2362" s="2"/>
      <c r="O2362" s="2"/>
      <c r="P2362" s="2"/>
      <c r="Q2362" s="2"/>
      <c r="R2362" s="101"/>
      <c r="U2362" s="101"/>
    </row>
    <row r="2363">
      <c r="A2363" s="49"/>
      <c r="C2363" s="13"/>
      <c r="D2363" s="13"/>
      <c r="E2363" s="2"/>
      <c r="F2363" s="655"/>
      <c r="G2363" s="2"/>
      <c r="H2363" s="2"/>
      <c r="I2363" s="13"/>
      <c r="J2363" s="656"/>
      <c r="K2363" s="13"/>
      <c r="L2363" s="13"/>
      <c r="M2363" s="13"/>
      <c r="N2363" s="2"/>
      <c r="O2363" s="2"/>
      <c r="P2363" s="2"/>
      <c r="Q2363" s="2"/>
      <c r="R2363" s="101"/>
      <c r="U2363" s="101"/>
    </row>
    <row r="2364">
      <c r="A2364" s="49"/>
      <c r="C2364" s="13"/>
      <c r="D2364" s="13"/>
      <c r="E2364" s="2"/>
      <c r="F2364" s="655"/>
      <c r="G2364" s="2"/>
      <c r="H2364" s="2"/>
      <c r="I2364" s="13"/>
      <c r="J2364" s="656"/>
      <c r="K2364" s="13"/>
      <c r="L2364" s="13"/>
      <c r="M2364" s="13"/>
      <c r="N2364" s="2"/>
      <c r="O2364" s="2"/>
      <c r="P2364" s="2"/>
      <c r="Q2364" s="2"/>
      <c r="R2364" s="101"/>
      <c r="U2364" s="101"/>
    </row>
    <row r="2365">
      <c r="A2365" s="49"/>
      <c r="C2365" s="13"/>
      <c r="D2365" s="13"/>
      <c r="E2365" s="2"/>
      <c r="F2365" s="655"/>
      <c r="G2365" s="2"/>
      <c r="H2365" s="2"/>
      <c r="I2365" s="13"/>
      <c r="J2365" s="656"/>
      <c r="K2365" s="13"/>
      <c r="L2365" s="13"/>
      <c r="M2365" s="13"/>
      <c r="N2365" s="2"/>
      <c r="O2365" s="2"/>
      <c r="P2365" s="2"/>
      <c r="Q2365" s="2"/>
      <c r="R2365" s="101"/>
      <c r="U2365" s="101"/>
    </row>
    <row r="2366">
      <c r="A2366" s="49"/>
      <c r="C2366" s="13"/>
      <c r="D2366" s="13"/>
      <c r="E2366" s="2"/>
      <c r="F2366" s="655"/>
      <c r="G2366" s="2"/>
      <c r="H2366" s="2"/>
      <c r="I2366" s="13"/>
      <c r="J2366" s="656"/>
      <c r="K2366" s="13"/>
      <c r="L2366" s="13"/>
      <c r="M2366" s="13"/>
      <c r="N2366" s="2"/>
      <c r="O2366" s="2"/>
      <c r="P2366" s="2"/>
      <c r="Q2366" s="2"/>
      <c r="R2366" s="101"/>
      <c r="U2366" s="101"/>
    </row>
    <row r="2367">
      <c r="A2367" s="49"/>
      <c r="C2367" s="13"/>
      <c r="D2367" s="13"/>
      <c r="E2367" s="2"/>
      <c r="F2367" s="655"/>
      <c r="G2367" s="2"/>
      <c r="H2367" s="2"/>
      <c r="I2367" s="13"/>
      <c r="J2367" s="656"/>
      <c r="K2367" s="13"/>
      <c r="L2367" s="13"/>
      <c r="M2367" s="13"/>
      <c r="N2367" s="2"/>
      <c r="O2367" s="2"/>
      <c r="P2367" s="2"/>
      <c r="Q2367" s="2"/>
      <c r="R2367" s="101"/>
      <c r="U2367" s="101"/>
    </row>
    <row r="2368">
      <c r="A2368" s="49"/>
      <c r="C2368" s="13"/>
      <c r="D2368" s="13"/>
      <c r="E2368" s="2"/>
      <c r="F2368" s="655"/>
      <c r="G2368" s="2"/>
      <c r="H2368" s="2"/>
      <c r="I2368" s="13"/>
      <c r="J2368" s="656"/>
      <c r="K2368" s="13"/>
      <c r="L2368" s="13"/>
      <c r="M2368" s="13"/>
      <c r="N2368" s="2"/>
      <c r="O2368" s="2"/>
      <c r="P2368" s="2"/>
      <c r="Q2368" s="2"/>
      <c r="R2368" s="101"/>
      <c r="U2368" s="101"/>
    </row>
    <row r="2369">
      <c r="A2369" s="49"/>
      <c r="C2369" s="13"/>
      <c r="D2369" s="13"/>
      <c r="E2369" s="2"/>
      <c r="F2369" s="655"/>
      <c r="G2369" s="2"/>
      <c r="H2369" s="2"/>
      <c r="I2369" s="13"/>
      <c r="J2369" s="656"/>
      <c r="K2369" s="13"/>
      <c r="L2369" s="13"/>
      <c r="M2369" s="13"/>
      <c r="N2369" s="2"/>
      <c r="O2369" s="2"/>
      <c r="P2369" s="2"/>
      <c r="Q2369" s="2"/>
      <c r="R2369" s="101"/>
      <c r="U2369" s="101"/>
    </row>
    <row r="2370">
      <c r="A2370" s="49"/>
      <c r="C2370" s="13"/>
      <c r="D2370" s="13"/>
      <c r="E2370" s="2"/>
      <c r="F2370" s="655"/>
      <c r="G2370" s="2"/>
      <c r="H2370" s="2"/>
      <c r="I2370" s="13"/>
      <c r="J2370" s="656"/>
      <c r="K2370" s="13"/>
      <c r="L2370" s="13"/>
      <c r="M2370" s="13"/>
      <c r="N2370" s="2"/>
      <c r="O2370" s="2"/>
      <c r="P2370" s="2"/>
      <c r="Q2370" s="2"/>
      <c r="R2370" s="101"/>
      <c r="U2370" s="101"/>
    </row>
    <row r="2371">
      <c r="A2371" s="49"/>
      <c r="C2371" s="13"/>
      <c r="D2371" s="13"/>
      <c r="E2371" s="2"/>
      <c r="F2371" s="655"/>
      <c r="G2371" s="2"/>
      <c r="H2371" s="2"/>
      <c r="I2371" s="13"/>
      <c r="J2371" s="656"/>
      <c r="K2371" s="13"/>
      <c r="L2371" s="13"/>
      <c r="M2371" s="13"/>
      <c r="N2371" s="2"/>
      <c r="O2371" s="2"/>
      <c r="P2371" s="2"/>
      <c r="Q2371" s="2"/>
      <c r="R2371" s="101"/>
      <c r="U2371" s="101"/>
    </row>
    <row r="2372">
      <c r="A2372" s="49"/>
      <c r="C2372" s="13"/>
      <c r="D2372" s="13"/>
      <c r="E2372" s="2"/>
      <c r="F2372" s="655"/>
      <c r="G2372" s="2"/>
      <c r="H2372" s="2"/>
      <c r="I2372" s="13"/>
      <c r="J2372" s="656"/>
      <c r="K2372" s="13"/>
      <c r="L2372" s="13"/>
      <c r="M2372" s="13"/>
      <c r="N2372" s="2"/>
      <c r="O2372" s="2"/>
      <c r="P2372" s="2"/>
      <c r="Q2372" s="2"/>
      <c r="R2372" s="101"/>
      <c r="U2372" s="101"/>
    </row>
    <row r="2373">
      <c r="A2373" s="49"/>
      <c r="C2373" s="13"/>
      <c r="D2373" s="13"/>
      <c r="E2373" s="2"/>
      <c r="F2373" s="655"/>
      <c r="G2373" s="2"/>
      <c r="H2373" s="2"/>
      <c r="I2373" s="13"/>
      <c r="J2373" s="656"/>
      <c r="K2373" s="13"/>
      <c r="L2373" s="13"/>
      <c r="M2373" s="13"/>
      <c r="N2373" s="2"/>
      <c r="O2373" s="2"/>
      <c r="P2373" s="2"/>
      <c r="Q2373" s="2"/>
      <c r="R2373" s="101"/>
      <c r="U2373" s="101"/>
    </row>
    <row r="2374">
      <c r="A2374" s="49"/>
      <c r="C2374" s="13"/>
      <c r="D2374" s="13"/>
      <c r="E2374" s="2"/>
      <c r="F2374" s="655"/>
      <c r="G2374" s="2"/>
      <c r="H2374" s="2"/>
      <c r="I2374" s="13"/>
      <c r="J2374" s="656"/>
      <c r="K2374" s="13"/>
      <c r="L2374" s="13"/>
      <c r="M2374" s="13"/>
      <c r="N2374" s="2"/>
      <c r="O2374" s="2"/>
      <c r="P2374" s="2"/>
      <c r="Q2374" s="2"/>
      <c r="R2374" s="101"/>
      <c r="U2374" s="101"/>
    </row>
    <row r="2375">
      <c r="A2375" s="49"/>
      <c r="C2375" s="13"/>
      <c r="D2375" s="13"/>
      <c r="E2375" s="2"/>
      <c r="F2375" s="655"/>
      <c r="G2375" s="2"/>
      <c r="H2375" s="2"/>
      <c r="I2375" s="13"/>
      <c r="J2375" s="656"/>
      <c r="K2375" s="13"/>
      <c r="L2375" s="13"/>
      <c r="M2375" s="13"/>
      <c r="N2375" s="2"/>
      <c r="O2375" s="2"/>
      <c r="P2375" s="2"/>
      <c r="Q2375" s="2"/>
      <c r="R2375" s="101"/>
      <c r="U2375" s="101"/>
    </row>
    <row r="2376">
      <c r="A2376" s="49"/>
      <c r="C2376" s="13"/>
      <c r="D2376" s="13"/>
      <c r="E2376" s="2"/>
      <c r="F2376" s="655"/>
      <c r="G2376" s="2"/>
      <c r="H2376" s="2"/>
      <c r="I2376" s="13"/>
      <c r="J2376" s="656"/>
      <c r="K2376" s="13"/>
      <c r="L2376" s="13"/>
      <c r="M2376" s="13"/>
      <c r="N2376" s="2"/>
      <c r="O2376" s="2"/>
      <c r="P2376" s="2"/>
      <c r="Q2376" s="2"/>
      <c r="R2376" s="101"/>
      <c r="U2376" s="101"/>
    </row>
    <row r="2377">
      <c r="A2377" s="49"/>
      <c r="C2377" s="13"/>
      <c r="D2377" s="13"/>
      <c r="E2377" s="2"/>
      <c r="F2377" s="655"/>
      <c r="G2377" s="2"/>
      <c r="H2377" s="2"/>
      <c r="I2377" s="13"/>
      <c r="J2377" s="656"/>
      <c r="K2377" s="13"/>
      <c r="L2377" s="13"/>
      <c r="M2377" s="13"/>
      <c r="N2377" s="2"/>
      <c r="O2377" s="2"/>
      <c r="P2377" s="2"/>
      <c r="Q2377" s="2"/>
      <c r="R2377" s="101"/>
      <c r="U2377" s="101"/>
    </row>
    <row r="2378">
      <c r="A2378" s="49"/>
      <c r="C2378" s="13"/>
      <c r="D2378" s="13"/>
      <c r="E2378" s="2"/>
      <c r="F2378" s="655"/>
      <c r="G2378" s="2"/>
      <c r="H2378" s="2"/>
      <c r="I2378" s="13"/>
      <c r="J2378" s="656"/>
      <c r="K2378" s="13"/>
      <c r="L2378" s="13"/>
      <c r="M2378" s="13"/>
      <c r="N2378" s="2"/>
      <c r="O2378" s="2"/>
      <c r="P2378" s="2"/>
      <c r="Q2378" s="2"/>
      <c r="R2378" s="101"/>
      <c r="U2378" s="101"/>
    </row>
    <row r="2379">
      <c r="A2379" s="49"/>
      <c r="C2379" s="13"/>
      <c r="D2379" s="13"/>
      <c r="E2379" s="2"/>
      <c r="F2379" s="655"/>
      <c r="G2379" s="2"/>
      <c r="H2379" s="2"/>
      <c r="I2379" s="13"/>
      <c r="J2379" s="656"/>
      <c r="K2379" s="13"/>
      <c r="L2379" s="13"/>
      <c r="M2379" s="13"/>
      <c r="N2379" s="2"/>
      <c r="O2379" s="2"/>
      <c r="P2379" s="2"/>
      <c r="Q2379" s="2"/>
      <c r="R2379" s="101"/>
      <c r="U2379" s="101"/>
    </row>
    <row r="2380">
      <c r="A2380" s="49"/>
      <c r="C2380" s="13"/>
      <c r="D2380" s="13"/>
      <c r="E2380" s="2"/>
      <c r="F2380" s="655"/>
      <c r="G2380" s="2"/>
      <c r="H2380" s="2"/>
      <c r="I2380" s="13"/>
      <c r="J2380" s="656"/>
      <c r="K2380" s="13"/>
      <c r="L2380" s="13"/>
      <c r="M2380" s="13"/>
      <c r="N2380" s="2"/>
      <c r="O2380" s="2"/>
      <c r="P2380" s="2"/>
      <c r="Q2380" s="2"/>
      <c r="R2380" s="101"/>
      <c r="U2380" s="101"/>
    </row>
    <row r="2381">
      <c r="A2381" s="49"/>
      <c r="C2381" s="13"/>
      <c r="D2381" s="13"/>
      <c r="E2381" s="2"/>
      <c r="F2381" s="655"/>
      <c r="G2381" s="2"/>
      <c r="H2381" s="2"/>
      <c r="I2381" s="13"/>
      <c r="J2381" s="656"/>
      <c r="K2381" s="13"/>
      <c r="L2381" s="13"/>
      <c r="M2381" s="13"/>
      <c r="N2381" s="2"/>
      <c r="O2381" s="2"/>
      <c r="P2381" s="2"/>
      <c r="Q2381" s="2"/>
      <c r="R2381" s="101"/>
      <c r="U2381" s="101"/>
    </row>
    <row r="2382">
      <c r="A2382" s="49"/>
      <c r="C2382" s="13"/>
      <c r="D2382" s="13"/>
      <c r="E2382" s="2"/>
      <c r="F2382" s="655"/>
      <c r="G2382" s="2"/>
      <c r="H2382" s="2"/>
      <c r="I2382" s="13"/>
      <c r="J2382" s="656"/>
      <c r="K2382" s="13"/>
      <c r="L2382" s="13"/>
      <c r="M2382" s="13"/>
      <c r="N2382" s="2"/>
      <c r="O2382" s="2"/>
      <c r="P2382" s="2"/>
      <c r="Q2382" s="2"/>
      <c r="R2382" s="101"/>
      <c r="U2382" s="101"/>
    </row>
    <row r="2383">
      <c r="A2383" s="49"/>
      <c r="C2383" s="13"/>
      <c r="D2383" s="13"/>
      <c r="E2383" s="2"/>
      <c r="F2383" s="655"/>
      <c r="G2383" s="2"/>
      <c r="H2383" s="2"/>
      <c r="I2383" s="13"/>
      <c r="J2383" s="656"/>
      <c r="K2383" s="13"/>
      <c r="L2383" s="13"/>
      <c r="M2383" s="13"/>
      <c r="N2383" s="2"/>
      <c r="O2383" s="2"/>
      <c r="P2383" s="2"/>
      <c r="Q2383" s="2"/>
      <c r="R2383" s="101"/>
      <c r="U2383" s="101"/>
    </row>
    <row r="2384">
      <c r="A2384" s="49"/>
      <c r="C2384" s="13"/>
      <c r="D2384" s="13"/>
      <c r="E2384" s="2"/>
      <c r="F2384" s="655"/>
      <c r="G2384" s="2"/>
      <c r="H2384" s="2"/>
      <c r="I2384" s="13"/>
      <c r="J2384" s="656"/>
      <c r="K2384" s="13"/>
      <c r="L2384" s="13"/>
      <c r="M2384" s="13"/>
      <c r="N2384" s="2"/>
      <c r="O2384" s="2"/>
      <c r="P2384" s="2"/>
      <c r="Q2384" s="2"/>
      <c r="R2384" s="101"/>
      <c r="U2384" s="101"/>
    </row>
    <row r="2385">
      <c r="A2385" s="49"/>
      <c r="C2385" s="13"/>
      <c r="D2385" s="13"/>
      <c r="E2385" s="2"/>
      <c r="F2385" s="655"/>
      <c r="G2385" s="2"/>
      <c r="H2385" s="2"/>
      <c r="I2385" s="13"/>
      <c r="J2385" s="656"/>
      <c r="K2385" s="13"/>
      <c r="L2385" s="13"/>
      <c r="M2385" s="13"/>
      <c r="N2385" s="2"/>
      <c r="O2385" s="2"/>
      <c r="P2385" s="2"/>
      <c r="Q2385" s="2"/>
      <c r="R2385" s="101"/>
      <c r="U2385" s="101"/>
    </row>
    <row r="2386">
      <c r="A2386" s="49"/>
      <c r="C2386" s="13"/>
      <c r="D2386" s="13"/>
      <c r="E2386" s="2"/>
      <c r="F2386" s="655"/>
      <c r="G2386" s="2"/>
      <c r="H2386" s="2"/>
      <c r="I2386" s="13"/>
      <c r="J2386" s="656"/>
      <c r="K2386" s="13"/>
      <c r="L2386" s="13"/>
      <c r="M2386" s="13"/>
      <c r="N2386" s="2"/>
      <c r="O2386" s="2"/>
      <c r="P2386" s="2"/>
      <c r="Q2386" s="2"/>
      <c r="R2386" s="101"/>
      <c r="U2386" s="101"/>
    </row>
    <row r="2387">
      <c r="A2387" s="49"/>
      <c r="C2387" s="13"/>
      <c r="D2387" s="13"/>
      <c r="E2387" s="2"/>
      <c r="F2387" s="655"/>
      <c r="G2387" s="2"/>
      <c r="H2387" s="2"/>
      <c r="I2387" s="13"/>
      <c r="J2387" s="656"/>
      <c r="K2387" s="13"/>
      <c r="L2387" s="13"/>
      <c r="M2387" s="13"/>
      <c r="N2387" s="2"/>
      <c r="O2387" s="2"/>
      <c r="P2387" s="2"/>
      <c r="Q2387" s="2"/>
      <c r="R2387" s="101"/>
      <c r="U2387" s="101"/>
    </row>
    <row r="2388">
      <c r="A2388" s="49"/>
      <c r="C2388" s="13"/>
      <c r="D2388" s="13"/>
      <c r="E2388" s="2"/>
      <c r="F2388" s="655"/>
      <c r="G2388" s="2"/>
      <c r="H2388" s="2"/>
      <c r="I2388" s="13"/>
      <c r="J2388" s="656"/>
      <c r="K2388" s="13"/>
      <c r="L2388" s="13"/>
      <c r="M2388" s="13"/>
      <c r="N2388" s="2"/>
      <c r="O2388" s="2"/>
      <c r="P2388" s="2"/>
      <c r="Q2388" s="2"/>
      <c r="R2388" s="101"/>
      <c r="U2388" s="101"/>
    </row>
    <row r="2389">
      <c r="A2389" s="49"/>
      <c r="C2389" s="13"/>
      <c r="D2389" s="13"/>
      <c r="E2389" s="2"/>
      <c r="F2389" s="655"/>
      <c r="G2389" s="2"/>
      <c r="H2389" s="2"/>
      <c r="I2389" s="13"/>
      <c r="J2389" s="656"/>
      <c r="K2389" s="13"/>
      <c r="L2389" s="13"/>
      <c r="M2389" s="13"/>
      <c r="N2389" s="2"/>
      <c r="O2389" s="2"/>
      <c r="P2389" s="2"/>
      <c r="Q2389" s="2"/>
      <c r="R2389" s="101"/>
      <c r="U2389" s="101"/>
    </row>
    <row r="2390">
      <c r="A2390" s="49"/>
      <c r="C2390" s="13"/>
      <c r="D2390" s="13"/>
      <c r="E2390" s="2"/>
      <c r="F2390" s="655"/>
      <c r="G2390" s="2"/>
      <c r="H2390" s="2"/>
      <c r="I2390" s="13"/>
      <c r="J2390" s="656"/>
      <c r="K2390" s="13"/>
      <c r="L2390" s="13"/>
      <c r="M2390" s="13"/>
      <c r="N2390" s="2"/>
      <c r="O2390" s="2"/>
      <c r="P2390" s="2"/>
      <c r="Q2390" s="2"/>
      <c r="R2390" s="101"/>
      <c r="U2390" s="101"/>
    </row>
    <row r="2391">
      <c r="A2391" s="49"/>
      <c r="C2391" s="13"/>
      <c r="D2391" s="13"/>
      <c r="E2391" s="2"/>
      <c r="F2391" s="655"/>
      <c r="G2391" s="2"/>
      <c r="H2391" s="2"/>
      <c r="I2391" s="13"/>
      <c r="J2391" s="656"/>
      <c r="K2391" s="13"/>
      <c r="L2391" s="13"/>
      <c r="M2391" s="13"/>
      <c r="N2391" s="2"/>
      <c r="O2391" s="2"/>
      <c r="P2391" s="2"/>
      <c r="Q2391" s="2"/>
      <c r="R2391" s="101"/>
      <c r="U2391" s="101"/>
    </row>
    <row r="2392">
      <c r="A2392" s="49"/>
      <c r="C2392" s="13"/>
      <c r="D2392" s="13"/>
      <c r="E2392" s="2"/>
      <c r="F2392" s="655"/>
      <c r="G2392" s="2"/>
      <c r="H2392" s="2"/>
      <c r="I2392" s="13"/>
      <c r="J2392" s="656"/>
      <c r="K2392" s="13"/>
      <c r="L2392" s="13"/>
      <c r="M2392" s="13"/>
      <c r="N2392" s="2"/>
      <c r="O2392" s="2"/>
      <c r="P2392" s="2"/>
      <c r="Q2392" s="2"/>
      <c r="R2392" s="101"/>
      <c r="U2392" s="101"/>
    </row>
    <row r="2393">
      <c r="A2393" s="49"/>
      <c r="C2393" s="13"/>
      <c r="D2393" s="13"/>
      <c r="E2393" s="2"/>
      <c r="F2393" s="655"/>
      <c r="G2393" s="2"/>
      <c r="H2393" s="2"/>
      <c r="I2393" s="13"/>
      <c r="J2393" s="656"/>
      <c r="K2393" s="13"/>
      <c r="L2393" s="13"/>
      <c r="M2393" s="13"/>
      <c r="N2393" s="2"/>
      <c r="O2393" s="2"/>
      <c r="P2393" s="2"/>
      <c r="Q2393" s="2"/>
      <c r="R2393" s="101"/>
      <c r="U2393" s="101"/>
    </row>
    <row r="2394">
      <c r="A2394" s="49"/>
      <c r="C2394" s="13"/>
      <c r="D2394" s="13"/>
      <c r="E2394" s="2"/>
      <c r="F2394" s="655"/>
      <c r="G2394" s="2"/>
      <c r="H2394" s="2"/>
      <c r="I2394" s="13"/>
      <c r="J2394" s="656"/>
      <c r="K2394" s="13"/>
      <c r="L2394" s="13"/>
      <c r="M2394" s="13"/>
      <c r="N2394" s="2"/>
      <c r="O2394" s="2"/>
      <c r="P2394" s="2"/>
      <c r="Q2394" s="2"/>
      <c r="R2394" s="101"/>
      <c r="U2394" s="101"/>
    </row>
    <row r="2395">
      <c r="A2395" s="49"/>
      <c r="C2395" s="13"/>
      <c r="D2395" s="13"/>
      <c r="E2395" s="2"/>
      <c r="F2395" s="655"/>
      <c r="G2395" s="2"/>
      <c r="H2395" s="2"/>
      <c r="I2395" s="13"/>
      <c r="J2395" s="656"/>
      <c r="K2395" s="13"/>
      <c r="L2395" s="13"/>
      <c r="M2395" s="13"/>
      <c r="N2395" s="2"/>
      <c r="O2395" s="2"/>
      <c r="P2395" s="2"/>
      <c r="Q2395" s="2"/>
      <c r="R2395" s="101"/>
      <c r="U2395" s="101"/>
    </row>
    <row r="2396">
      <c r="A2396" s="49"/>
      <c r="C2396" s="13"/>
      <c r="D2396" s="13"/>
      <c r="E2396" s="2"/>
      <c r="F2396" s="655"/>
      <c r="G2396" s="2"/>
      <c r="H2396" s="2"/>
      <c r="I2396" s="13"/>
      <c r="J2396" s="656"/>
      <c r="K2396" s="13"/>
      <c r="L2396" s="13"/>
      <c r="M2396" s="13"/>
      <c r="N2396" s="2"/>
      <c r="O2396" s="2"/>
      <c r="P2396" s="2"/>
      <c r="Q2396" s="2"/>
      <c r="R2396" s="101"/>
      <c r="U2396" s="101"/>
    </row>
    <row r="2397">
      <c r="A2397" s="49"/>
      <c r="C2397" s="13"/>
      <c r="D2397" s="13"/>
      <c r="E2397" s="2"/>
      <c r="F2397" s="655"/>
      <c r="G2397" s="2"/>
      <c r="H2397" s="2"/>
      <c r="I2397" s="13"/>
      <c r="J2397" s="656"/>
      <c r="K2397" s="13"/>
      <c r="L2397" s="13"/>
      <c r="M2397" s="13"/>
      <c r="N2397" s="2"/>
      <c r="O2397" s="2"/>
      <c r="P2397" s="2"/>
      <c r="Q2397" s="2"/>
      <c r="R2397" s="101"/>
      <c r="U2397" s="101"/>
    </row>
    <row r="2398">
      <c r="A2398" s="49"/>
      <c r="C2398" s="13"/>
      <c r="D2398" s="13"/>
      <c r="E2398" s="2"/>
      <c r="F2398" s="655"/>
      <c r="G2398" s="2"/>
      <c r="H2398" s="2"/>
      <c r="I2398" s="13"/>
      <c r="J2398" s="656"/>
      <c r="K2398" s="13"/>
      <c r="L2398" s="13"/>
      <c r="M2398" s="13"/>
      <c r="N2398" s="2"/>
      <c r="O2398" s="2"/>
      <c r="P2398" s="2"/>
      <c r="Q2398" s="2"/>
      <c r="R2398" s="101"/>
      <c r="U2398" s="101"/>
    </row>
    <row r="2399">
      <c r="A2399" s="49"/>
      <c r="C2399" s="13"/>
      <c r="D2399" s="13"/>
      <c r="E2399" s="2"/>
      <c r="F2399" s="655"/>
      <c r="G2399" s="2"/>
      <c r="H2399" s="2"/>
      <c r="I2399" s="13"/>
      <c r="J2399" s="656"/>
      <c r="K2399" s="13"/>
      <c r="L2399" s="13"/>
      <c r="M2399" s="13"/>
      <c r="N2399" s="2"/>
      <c r="O2399" s="2"/>
      <c r="P2399" s="2"/>
      <c r="Q2399" s="2"/>
      <c r="R2399" s="101"/>
      <c r="U2399" s="101"/>
    </row>
    <row r="2400">
      <c r="A2400" s="49"/>
      <c r="C2400" s="13"/>
      <c r="D2400" s="13"/>
      <c r="E2400" s="2"/>
      <c r="F2400" s="655"/>
      <c r="G2400" s="2"/>
      <c r="H2400" s="2"/>
      <c r="I2400" s="13"/>
      <c r="J2400" s="656"/>
      <c r="K2400" s="13"/>
      <c r="L2400" s="13"/>
      <c r="M2400" s="13"/>
      <c r="N2400" s="2"/>
      <c r="O2400" s="2"/>
      <c r="P2400" s="2"/>
      <c r="Q2400" s="2"/>
      <c r="R2400" s="101"/>
      <c r="U2400" s="101"/>
    </row>
    <row r="2401">
      <c r="A2401" s="49"/>
      <c r="C2401" s="13"/>
      <c r="D2401" s="13"/>
      <c r="E2401" s="2"/>
      <c r="F2401" s="655"/>
      <c r="G2401" s="2"/>
      <c r="H2401" s="2"/>
      <c r="I2401" s="13"/>
      <c r="J2401" s="656"/>
      <c r="K2401" s="13"/>
      <c r="L2401" s="13"/>
      <c r="M2401" s="13"/>
      <c r="N2401" s="2"/>
      <c r="O2401" s="2"/>
      <c r="P2401" s="2"/>
      <c r="Q2401" s="2"/>
      <c r="R2401" s="101"/>
      <c r="U2401" s="101"/>
    </row>
    <row r="2402">
      <c r="A2402" s="49"/>
      <c r="C2402" s="13"/>
      <c r="D2402" s="13"/>
      <c r="E2402" s="2"/>
      <c r="F2402" s="655"/>
      <c r="G2402" s="2"/>
      <c r="H2402" s="2"/>
      <c r="I2402" s="13"/>
      <c r="J2402" s="656"/>
      <c r="K2402" s="13"/>
      <c r="L2402" s="13"/>
      <c r="M2402" s="13"/>
      <c r="N2402" s="2"/>
      <c r="O2402" s="2"/>
      <c r="P2402" s="2"/>
      <c r="Q2402" s="2"/>
      <c r="R2402" s="101"/>
      <c r="U2402" s="101"/>
    </row>
    <row r="2403">
      <c r="A2403" s="49"/>
      <c r="C2403" s="13"/>
      <c r="D2403" s="13"/>
      <c r="E2403" s="2"/>
      <c r="F2403" s="655"/>
      <c r="G2403" s="2"/>
      <c r="H2403" s="2"/>
      <c r="I2403" s="13"/>
      <c r="J2403" s="656"/>
      <c r="K2403" s="13"/>
      <c r="L2403" s="13"/>
      <c r="M2403" s="13"/>
      <c r="N2403" s="2"/>
      <c r="O2403" s="2"/>
      <c r="P2403" s="2"/>
      <c r="Q2403" s="2"/>
      <c r="R2403" s="101"/>
      <c r="U2403" s="101"/>
    </row>
    <row r="2404">
      <c r="A2404" s="49"/>
      <c r="C2404" s="13"/>
      <c r="D2404" s="13"/>
      <c r="E2404" s="2"/>
      <c r="F2404" s="655"/>
      <c r="G2404" s="2"/>
      <c r="H2404" s="2"/>
      <c r="I2404" s="13"/>
      <c r="J2404" s="656"/>
      <c r="K2404" s="13"/>
      <c r="L2404" s="13"/>
      <c r="M2404" s="13"/>
      <c r="N2404" s="2"/>
      <c r="O2404" s="2"/>
      <c r="P2404" s="2"/>
      <c r="Q2404" s="2"/>
      <c r="R2404" s="101"/>
      <c r="U2404" s="101"/>
    </row>
    <row r="2405">
      <c r="A2405" s="49"/>
      <c r="C2405" s="13"/>
      <c r="D2405" s="13"/>
      <c r="E2405" s="2"/>
      <c r="F2405" s="655"/>
      <c r="G2405" s="2"/>
      <c r="H2405" s="2"/>
      <c r="I2405" s="13"/>
      <c r="J2405" s="656"/>
      <c r="K2405" s="13"/>
      <c r="L2405" s="13"/>
      <c r="M2405" s="13"/>
      <c r="N2405" s="2"/>
      <c r="O2405" s="2"/>
      <c r="P2405" s="2"/>
      <c r="Q2405" s="2"/>
      <c r="R2405" s="101"/>
      <c r="U2405" s="101"/>
    </row>
    <row r="2406">
      <c r="A2406" s="49"/>
      <c r="C2406" s="13"/>
      <c r="D2406" s="13"/>
      <c r="E2406" s="2"/>
      <c r="F2406" s="655"/>
      <c r="G2406" s="2"/>
      <c r="H2406" s="2"/>
      <c r="I2406" s="13"/>
      <c r="J2406" s="656"/>
      <c r="K2406" s="13"/>
      <c r="L2406" s="13"/>
      <c r="M2406" s="13"/>
      <c r="N2406" s="2"/>
      <c r="O2406" s="2"/>
      <c r="P2406" s="2"/>
      <c r="Q2406" s="2"/>
      <c r="R2406" s="101"/>
      <c r="U2406" s="101"/>
    </row>
    <row r="2407">
      <c r="A2407" s="49"/>
      <c r="C2407" s="13"/>
      <c r="D2407" s="13"/>
      <c r="E2407" s="2"/>
      <c r="F2407" s="655"/>
      <c r="G2407" s="2"/>
      <c r="H2407" s="2"/>
      <c r="I2407" s="13"/>
      <c r="J2407" s="656"/>
      <c r="K2407" s="13"/>
      <c r="L2407" s="13"/>
      <c r="M2407" s="13"/>
      <c r="N2407" s="2"/>
      <c r="O2407" s="2"/>
      <c r="P2407" s="2"/>
      <c r="Q2407" s="2"/>
      <c r="R2407" s="101"/>
      <c r="U2407" s="101"/>
    </row>
    <row r="2408">
      <c r="A2408" s="49"/>
      <c r="C2408" s="13"/>
      <c r="D2408" s="13"/>
      <c r="E2408" s="2"/>
      <c r="F2408" s="655"/>
      <c r="G2408" s="2"/>
      <c r="H2408" s="2"/>
      <c r="I2408" s="13"/>
      <c r="J2408" s="656"/>
      <c r="K2408" s="13"/>
      <c r="L2408" s="13"/>
      <c r="M2408" s="13"/>
      <c r="N2408" s="2"/>
      <c r="O2408" s="2"/>
      <c r="P2408" s="2"/>
      <c r="Q2408" s="2"/>
      <c r="R2408" s="101"/>
      <c r="U2408" s="101"/>
    </row>
    <row r="2409">
      <c r="A2409" s="49"/>
      <c r="C2409" s="13"/>
      <c r="D2409" s="13"/>
      <c r="E2409" s="2"/>
      <c r="F2409" s="655"/>
      <c r="G2409" s="2"/>
      <c r="H2409" s="2"/>
      <c r="I2409" s="13"/>
      <c r="J2409" s="656"/>
      <c r="K2409" s="13"/>
      <c r="L2409" s="13"/>
      <c r="M2409" s="13"/>
      <c r="N2409" s="2"/>
      <c r="O2409" s="2"/>
      <c r="P2409" s="2"/>
      <c r="Q2409" s="2"/>
      <c r="R2409" s="101"/>
      <c r="U2409" s="101"/>
    </row>
    <row r="2410">
      <c r="A2410" s="49"/>
      <c r="C2410" s="13"/>
      <c r="D2410" s="13"/>
      <c r="E2410" s="2"/>
      <c r="F2410" s="655"/>
      <c r="G2410" s="2"/>
      <c r="H2410" s="2"/>
      <c r="I2410" s="13"/>
      <c r="J2410" s="656"/>
      <c r="K2410" s="13"/>
      <c r="L2410" s="13"/>
      <c r="M2410" s="13"/>
      <c r="N2410" s="2"/>
      <c r="O2410" s="2"/>
      <c r="P2410" s="2"/>
      <c r="Q2410" s="2"/>
      <c r="R2410" s="101"/>
      <c r="U2410" s="101"/>
    </row>
    <row r="2411">
      <c r="A2411" s="49"/>
      <c r="C2411" s="13"/>
      <c r="D2411" s="13"/>
      <c r="E2411" s="2"/>
      <c r="F2411" s="655"/>
      <c r="G2411" s="2"/>
      <c r="H2411" s="2"/>
      <c r="I2411" s="13"/>
      <c r="J2411" s="656"/>
      <c r="K2411" s="13"/>
      <c r="L2411" s="13"/>
      <c r="M2411" s="13"/>
      <c r="N2411" s="2"/>
      <c r="O2411" s="2"/>
      <c r="P2411" s="2"/>
      <c r="Q2411" s="2"/>
      <c r="R2411" s="101"/>
      <c r="U2411" s="101"/>
    </row>
    <row r="2412">
      <c r="A2412" s="49"/>
      <c r="C2412" s="13"/>
      <c r="D2412" s="13"/>
      <c r="E2412" s="2"/>
      <c r="F2412" s="655"/>
      <c r="G2412" s="2"/>
      <c r="H2412" s="2"/>
      <c r="I2412" s="13"/>
      <c r="J2412" s="656"/>
      <c r="K2412" s="13"/>
      <c r="L2412" s="13"/>
      <c r="M2412" s="13"/>
      <c r="N2412" s="2"/>
      <c r="O2412" s="2"/>
      <c r="P2412" s="2"/>
      <c r="Q2412" s="2"/>
      <c r="R2412" s="101"/>
      <c r="U2412" s="101"/>
    </row>
    <row r="2413">
      <c r="A2413" s="49"/>
      <c r="C2413" s="13"/>
      <c r="D2413" s="13"/>
      <c r="E2413" s="2"/>
      <c r="F2413" s="655"/>
      <c r="G2413" s="2"/>
      <c r="H2413" s="2"/>
      <c r="I2413" s="13"/>
      <c r="J2413" s="656"/>
      <c r="K2413" s="13"/>
      <c r="L2413" s="13"/>
      <c r="M2413" s="13"/>
      <c r="N2413" s="2"/>
      <c r="O2413" s="2"/>
      <c r="P2413" s="2"/>
      <c r="Q2413" s="2"/>
      <c r="R2413" s="101"/>
      <c r="U2413" s="101"/>
    </row>
    <row r="2414">
      <c r="A2414" s="49"/>
      <c r="C2414" s="13"/>
      <c r="D2414" s="13"/>
      <c r="E2414" s="2"/>
      <c r="F2414" s="655"/>
      <c r="G2414" s="2"/>
      <c r="H2414" s="2"/>
      <c r="I2414" s="13"/>
      <c r="J2414" s="656"/>
      <c r="K2414" s="13"/>
      <c r="L2414" s="13"/>
      <c r="M2414" s="13"/>
      <c r="N2414" s="2"/>
      <c r="O2414" s="2"/>
      <c r="P2414" s="2"/>
      <c r="Q2414" s="2"/>
      <c r="R2414" s="101"/>
      <c r="U2414" s="101"/>
    </row>
    <row r="2415">
      <c r="A2415" s="49"/>
      <c r="C2415" s="13"/>
      <c r="D2415" s="13"/>
      <c r="E2415" s="2"/>
      <c r="F2415" s="655"/>
      <c r="G2415" s="2"/>
      <c r="H2415" s="2"/>
      <c r="I2415" s="13"/>
      <c r="J2415" s="656"/>
      <c r="K2415" s="13"/>
      <c r="L2415" s="13"/>
      <c r="M2415" s="13"/>
      <c r="N2415" s="2"/>
      <c r="O2415" s="2"/>
      <c r="P2415" s="2"/>
      <c r="Q2415" s="2"/>
      <c r="R2415" s="101"/>
      <c r="U2415" s="101"/>
    </row>
    <row r="2416">
      <c r="A2416" s="49"/>
      <c r="C2416" s="13"/>
      <c r="D2416" s="13"/>
      <c r="E2416" s="2"/>
      <c r="F2416" s="655"/>
      <c r="G2416" s="2"/>
      <c r="H2416" s="2"/>
      <c r="I2416" s="13"/>
      <c r="J2416" s="656"/>
      <c r="K2416" s="13"/>
      <c r="L2416" s="13"/>
      <c r="M2416" s="13"/>
      <c r="N2416" s="2"/>
      <c r="O2416" s="2"/>
      <c r="P2416" s="2"/>
      <c r="Q2416" s="2"/>
      <c r="R2416" s="101"/>
      <c r="U2416" s="101"/>
    </row>
    <row r="2417">
      <c r="A2417" s="49"/>
      <c r="C2417" s="13"/>
      <c r="D2417" s="13"/>
      <c r="E2417" s="2"/>
      <c r="F2417" s="655"/>
      <c r="G2417" s="2"/>
      <c r="H2417" s="2"/>
      <c r="I2417" s="13"/>
      <c r="J2417" s="656"/>
      <c r="K2417" s="13"/>
      <c r="L2417" s="13"/>
      <c r="M2417" s="13"/>
      <c r="N2417" s="2"/>
      <c r="O2417" s="2"/>
      <c r="P2417" s="2"/>
      <c r="Q2417" s="2"/>
      <c r="R2417" s="101"/>
      <c r="U2417" s="101"/>
    </row>
    <row r="2418">
      <c r="A2418" s="49"/>
      <c r="C2418" s="13"/>
      <c r="D2418" s="13"/>
      <c r="E2418" s="2"/>
      <c r="F2418" s="655"/>
      <c r="G2418" s="2"/>
      <c r="H2418" s="2"/>
      <c r="I2418" s="13"/>
      <c r="J2418" s="656"/>
      <c r="K2418" s="13"/>
      <c r="L2418" s="13"/>
      <c r="M2418" s="13"/>
      <c r="N2418" s="2"/>
      <c r="O2418" s="2"/>
      <c r="P2418" s="2"/>
      <c r="Q2418" s="2"/>
      <c r="R2418" s="101"/>
      <c r="U2418" s="101"/>
    </row>
    <row r="2419">
      <c r="A2419" s="49"/>
      <c r="C2419" s="13"/>
      <c r="D2419" s="13"/>
      <c r="E2419" s="2"/>
      <c r="F2419" s="655"/>
      <c r="G2419" s="2"/>
      <c r="H2419" s="2"/>
      <c r="I2419" s="13"/>
      <c r="J2419" s="656"/>
      <c r="K2419" s="13"/>
      <c r="L2419" s="13"/>
      <c r="M2419" s="13"/>
      <c r="N2419" s="2"/>
      <c r="O2419" s="2"/>
      <c r="P2419" s="2"/>
      <c r="Q2419" s="2"/>
      <c r="R2419" s="101"/>
      <c r="U2419" s="101"/>
    </row>
    <row r="2420">
      <c r="A2420" s="49"/>
      <c r="C2420" s="13"/>
      <c r="D2420" s="13"/>
      <c r="E2420" s="2"/>
      <c r="F2420" s="655"/>
      <c r="G2420" s="2"/>
      <c r="H2420" s="2"/>
      <c r="I2420" s="13"/>
      <c r="J2420" s="656"/>
      <c r="K2420" s="13"/>
      <c r="L2420" s="13"/>
      <c r="M2420" s="13"/>
      <c r="N2420" s="2"/>
      <c r="O2420" s="2"/>
      <c r="P2420" s="2"/>
      <c r="Q2420" s="2"/>
      <c r="R2420" s="101"/>
      <c r="U2420" s="101"/>
    </row>
    <row r="2421">
      <c r="A2421" s="49"/>
      <c r="C2421" s="13"/>
      <c r="D2421" s="13"/>
      <c r="E2421" s="2"/>
      <c r="F2421" s="655"/>
      <c r="G2421" s="2"/>
      <c r="H2421" s="2"/>
      <c r="I2421" s="13"/>
      <c r="J2421" s="656"/>
      <c r="K2421" s="13"/>
      <c r="L2421" s="13"/>
      <c r="M2421" s="13"/>
      <c r="N2421" s="2"/>
      <c r="O2421" s="2"/>
      <c r="P2421" s="2"/>
      <c r="Q2421" s="2"/>
      <c r="R2421" s="101"/>
      <c r="U2421" s="101"/>
    </row>
    <row r="2422">
      <c r="A2422" s="49"/>
      <c r="C2422" s="13"/>
      <c r="D2422" s="13"/>
      <c r="E2422" s="2"/>
      <c r="F2422" s="655"/>
      <c r="G2422" s="2"/>
      <c r="H2422" s="2"/>
      <c r="I2422" s="13"/>
      <c r="J2422" s="656"/>
      <c r="K2422" s="13"/>
      <c r="L2422" s="13"/>
      <c r="M2422" s="13"/>
      <c r="N2422" s="2"/>
      <c r="O2422" s="2"/>
      <c r="P2422" s="2"/>
      <c r="Q2422" s="2"/>
      <c r="R2422" s="101"/>
      <c r="U2422" s="101"/>
    </row>
    <row r="2423">
      <c r="A2423" s="49"/>
      <c r="C2423" s="13"/>
      <c r="D2423" s="13"/>
      <c r="E2423" s="2"/>
      <c r="F2423" s="655"/>
      <c r="G2423" s="2"/>
      <c r="H2423" s="2"/>
      <c r="I2423" s="13"/>
      <c r="J2423" s="656"/>
      <c r="K2423" s="13"/>
      <c r="L2423" s="13"/>
      <c r="M2423" s="13"/>
      <c r="N2423" s="2"/>
      <c r="O2423" s="2"/>
      <c r="P2423" s="2"/>
      <c r="Q2423" s="2"/>
      <c r="R2423" s="101"/>
      <c r="U2423" s="101"/>
    </row>
    <row r="2424">
      <c r="A2424" s="49"/>
      <c r="C2424" s="13"/>
      <c r="D2424" s="13"/>
      <c r="E2424" s="2"/>
      <c r="F2424" s="655"/>
      <c r="G2424" s="2"/>
      <c r="H2424" s="2"/>
      <c r="I2424" s="13"/>
      <c r="J2424" s="656"/>
      <c r="K2424" s="13"/>
      <c r="L2424" s="13"/>
      <c r="M2424" s="13"/>
      <c r="N2424" s="2"/>
      <c r="O2424" s="2"/>
      <c r="P2424" s="2"/>
      <c r="Q2424" s="2"/>
      <c r="R2424" s="101"/>
      <c r="U2424" s="101"/>
    </row>
    <row r="2425">
      <c r="A2425" s="49"/>
      <c r="C2425" s="13"/>
      <c r="D2425" s="13"/>
      <c r="E2425" s="2"/>
      <c r="F2425" s="655"/>
      <c r="G2425" s="2"/>
      <c r="H2425" s="2"/>
      <c r="I2425" s="13"/>
      <c r="J2425" s="656"/>
      <c r="K2425" s="13"/>
      <c r="L2425" s="13"/>
      <c r="M2425" s="13"/>
      <c r="N2425" s="2"/>
      <c r="O2425" s="2"/>
      <c r="P2425" s="2"/>
      <c r="Q2425" s="2"/>
      <c r="R2425" s="101"/>
      <c r="U2425" s="101"/>
    </row>
    <row r="2426">
      <c r="A2426" s="49"/>
      <c r="C2426" s="13"/>
      <c r="D2426" s="13"/>
      <c r="E2426" s="2"/>
      <c r="F2426" s="655"/>
      <c r="G2426" s="2"/>
      <c r="H2426" s="2"/>
      <c r="I2426" s="13"/>
      <c r="J2426" s="656"/>
      <c r="K2426" s="13"/>
      <c r="L2426" s="13"/>
      <c r="M2426" s="13"/>
      <c r="N2426" s="2"/>
      <c r="O2426" s="2"/>
      <c r="P2426" s="2"/>
      <c r="Q2426" s="2"/>
      <c r="R2426" s="101"/>
      <c r="U2426" s="101"/>
    </row>
    <row r="2427">
      <c r="A2427" s="49"/>
      <c r="C2427" s="13"/>
      <c r="D2427" s="13"/>
      <c r="E2427" s="2"/>
      <c r="F2427" s="655"/>
      <c r="G2427" s="2"/>
      <c r="H2427" s="2"/>
      <c r="I2427" s="13"/>
      <c r="J2427" s="656"/>
      <c r="K2427" s="13"/>
      <c r="L2427" s="13"/>
      <c r="M2427" s="13"/>
      <c r="N2427" s="2"/>
      <c r="O2427" s="2"/>
      <c r="P2427" s="2"/>
      <c r="Q2427" s="2"/>
      <c r="R2427" s="101"/>
      <c r="U2427" s="101"/>
    </row>
    <row r="2428">
      <c r="A2428" s="49"/>
      <c r="C2428" s="13"/>
      <c r="D2428" s="13"/>
      <c r="E2428" s="2"/>
      <c r="F2428" s="655"/>
      <c r="G2428" s="2"/>
      <c r="H2428" s="2"/>
      <c r="I2428" s="13"/>
      <c r="J2428" s="656"/>
      <c r="K2428" s="13"/>
      <c r="L2428" s="13"/>
      <c r="M2428" s="13"/>
      <c r="N2428" s="2"/>
      <c r="O2428" s="2"/>
      <c r="P2428" s="2"/>
      <c r="Q2428" s="2"/>
      <c r="R2428" s="101"/>
      <c r="U2428" s="101"/>
    </row>
    <row r="2429">
      <c r="A2429" s="49"/>
      <c r="C2429" s="13"/>
      <c r="D2429" s="13"/>
      <c r="E2429" s="2"/>
      <c r="F2429" s="655"/>
      <c r="G2429" s="2"/>
      <c r="H2429" s="2"/>
      <c r="I2429" s="13"/>
      <c r="J2429" s="656"/>
      <c r="K2429" s="13"/>
      <c r="L2429" s="13"/>
      <c r="M2429" s="13"/>
      <c r="N2429" s="2"/>
      <c r="O2429" s="2"/>
      <c r="P2429" s="2"/>
      <c r="Q2429" s="2"/>
      <c r="R2429" s="101"/>
      <c r="U2429" s="101"/>
    </row>
    <row r="2430">
      <c r="A2430" s="49"/>
      <c r="C2430" s="13"/>
      <c r="D2430" s="13"/>
      <c r="E2430" s="2"/>
      <c r="F2430" s="655"/>
      <c r="G2430" s="2"/>
      <c r="H2430" s="2"/>
      <c r="I2430" s="13"/>
      <c r="J2430" s="656"/>
      <c r="K2430" s="13"/>
      <c r="L2430" s="13"/>
      <c r="M2430" s="13"/>
      <c r="N2430" s="2"/>
      <c r="O2430" s="2"/>
      <c r="P2430" s="2"/>
      <c r="Q2430" s="2"/>
      <c r="R2430" s="101"/>
      <c r="U2430" s="101"/>
    </row>
    <row r="2431">
      <c r="A2431" s="49"/>
      <c r="C2431" s="13"/>
      <c r="D2431" s="13"/>
      <c r="E2431" s="2"/>
      <c r="F2431" s="655"/>
      <c r="G2431" s="2"/>
      <c r="H2431" s="2"/>
      <c r="I2431" s="13"/>
      <c r="J2431" s="656"/>
      <c r="K2431" s="13"/>
      <c r="L2431" s="13"/>
      <c r="M2431" s="13"/>
      <c r="N2431" s="2"/>
      <c r="O2431" s="2"/>
      <c r="P2431" s="2"/>
      <c r="Q2431" s="2"/>
      <c r="R2431" s="101"/>
      <c r="U2431" s="101"/>
    </row>
    <row r="2432">
      <c r="A2432" s="49"/>
      <c r="C2432" s="13"/>
      <c r="D2432" s="13"/>
      <c r="E2432" s="2"/>
      <c r="F2432" s="655"/>
      <c r="G2432" s="2"/>
      <c r="H2432" s="2"/>
      <c r="I2432" s="13"/>
      <c r="J2432" s="656"/>
      <c r="K2432" s="13"/>
      <c r="L2432" s="13"/>
      <c r="M2432" s="13"/>
      <c r="N2432" s="2"/>
      <c r="O2432" s="2"/>
      <c r="P2432" s="2"/>
      <c r="Q2432" s="2"/>
      <c r="R2432" s="101"/>
      <c r="U2432" s="101"/>
    </row>
    <row r="2433">
      <c r="A2433" s="49"/>
      <c r="C2433" s="13"/>
      <c r="D2433" s="13"/>
      <c r="E2433" s="2"/>
      <c r="F2433" s="655"/>
      <c r="G2433" s="2"/>
      <c r="H2433" s="2"/>
      <c r="I2433" s="13"/>
      <c r="J2433" s="656"/>
      <c r="K2433" s="13"/>
      <c r="L2433" s="13"/>
      <c r="M2433" s="13"/>
      <c r="N2433" s="2"/>
      <c r="O2433" s="2"/>
      <c r="P2433" s="2"/>
      <c r="Q2433" s="2"/>
      <c r="R2433" s="101"/>
      <c r="U2433" s="101"/>
    </row>
    <row r="2434">
      <c r="A2434" s="49"/>
      <c r="C2434" s="13"/>
      <c r="D2434" s="13"/>
      <c r="E2434" s="2"/>
      <c r="F2434" s="655"/>
      <c r="G2434" s="2"/>
      <c r="H2434" s="2"/>
      <c r="I2434" s="13"/>
      <c r="J2434" s="656"/>
      <c r="K2434" s="13"/>
      <c r="L2434" s="13"/>
      <c r="M2434" s="13"/>
      <c r="N2434" s="2"/>
      <c r="O2434" s="2"/>
      <c r="P2434" s="2"/>
      <c r="Q2434" s="2"/>
      <c r="R2434" s="101"/>
      <c r="U2434" s="101"/>
    </row>
    <row r="2435">
      <c r="A2435" s="49"/>
      <c r="C2435" s="13"/>
      <c r="D2435" s="13"/>
      <c r="E2435" s="2"/>
      <c r="F2435" s="655"/>
      <c r="G2435" s="2"/>
      <c r="H2435" s="2"/>
      <c r="I2435" s="13"/>
      <c r="J2435" s="656"/>
      <c r="K2435" s="13"/>
      <c r="L2435" s="13"/>
      <c r="M2435" s="13"/>
      <c r="N2435" s="2"/>
      <c r="O2435" s="2"/>
      <c r="P2435" s="2"/>
      <c r="Q2435" s="2"/>
      <c r="R2435" s="101"/>
      <c r="U2435" s="101"/>
    </row>
    <row r="2436">
      <c r="A2436" s="49"/>
      <c r="C2436" s="13"/>
      <c r="D2436" s="13"/>
      <c r="E2436" s="2"/>
      <c r="F2436" s="655"/>
      <c r="G2436" s="2"/>
      <c r="H2436" s="2"/>
      <c r="I2436" s="13"/>
      <c r="J2436" s="656"/>
      <c r="K2436" s="13"/>
      <c r="L2436" s="13"/>
      <c r="M2436" s="13"/>
      <c r="N2436" s="2"/>
      <c r="O2436" s="2"/>
      <c r="P2436" s="2"/>
      <c r="Q2436" s="2"/>
      <c r="R2436" s="101"/>
      <c r="U2436" s="101"/>
    </row>
    <row r="2437">
      <c r="A2437" s="49"/>
      <c r="C2437" s="13"/>
      <c r="D2437" s="13"/>
      <c r="E2437" s="2"/>
      <c r="F2437" s="655"/>
      <c r="G2437" s="2"/>
      <c r="H2437" s="2"/>
      <c r="I2437" s="13"/>
      <c r="J2437" s="656"/>
      <c r="K2437" s="13"/>
      <c r="L2437" s="13"/>
      <c r="M2437" s="13"/>
      <c r="N2437" s="2"/>
      <c r="O2437" s="2"/>
      <c r="P2437" s="2"/>
      <c r="Q2437" s="2"/>
      <c r="R2437" s="101"/>
      <c r="U2437" s="101"/>
    </row>
    <row r="2438">
      <c r="A2438" s="49"/>
      <c r="C2438" s="13"/>
      <c r="D2438" s="13"/>
      <c r="E2438" s="2"/>
      <c r="F2438" s="655"/>
      <c r="G2438" s="2"/>
      <c r="H2438" s="2"/>
      <c r="I2438" s="13"/>
      <c r="J2438" s="656"/>
      <c r="K2438" s="13"/>
      <c r="L2438" s="13"/>
      <c r="M2438" s="13"/>
      <c r="N2438" s="2"/>
      <c r="O2438" s="2"/>
      <c r="P2438" s="2"/>
      <c r="Q2438" s="2"/>
      <c r="R2438" s="101"/>
      <c r="U2438" s="101"/>
    </row>
    <row r="2439">
      <c r="A2439" s="49"/>
      <c r="C2439" s="13"/>
      <c r="D2439" s="13"/>
      <c r="E2439" s="2"/>
      <c r="F2439" s="655"/>
      <c r="G2439" s="2"/>
      <c r="H2439" s="2"/>
      <c r="I2439" s="13"/>
      <c r="J2439" s="656"/>
      <c r="K2439" s="13"/>
      <c r="L2439" s="13"/>
      <c r="M2439" s="13"/>
      <c r="N2439" s="2"/>
      <c r="O2439" s="2"/>
      <c r="P2439" s="2"/>
      <c r="Q2439" s="2"/>
      <c r="R2439" s="101"/>
      <c r="U2439" s="101"/>
    </row>
    <row r="2440">
      <c r="A2440" s="49"/>
      <c r="C2440" s="13"/>
      <c r="D2440" s="13"/>
      <c r="E2440" s="2"/>
      <c r="F2440" s="655"/>
      <c r="G2440" s="2"/>
      <c r="H2440" s="2"/>
      <c r="I2440" s="13"/>
      <c r="J2440" s="656"/>
      <c r="K2440" s="13"/>
      <c r="L2440" s="13"/>
      <c r="M2440" s="13"/>
      <c r="N2440" s="2"/>
      <c r="O2440" s="2"/>
      <c r="P2440" s="2"/>
      <c r="Q2440" s="2"/>
      <c r="R2440" s="101"/>
      <c r="U2440" s="101"/>
    </row>
    <row r="2441">
      <c r="A2441" s="49"/>
      <c r="C2441" s="13"/>
      <c r="D2441" s="13"/>
      <c r="E2441" s="2"/>
      <c r="F2441" s="655"/>
      <c r="G2441" s="2"/>
      <c r="H2441" s="2"/>
      <c r="I2441" s="13"/>
      <c r="J2441" s="656"/>
      <c r="K2441" s="13"/>
      <c r="L2441" s="13"/>
      <c r="M2441" s="13"/>
      <c r="N2441" s="2"/>
      <c r="O2441" s="2"/>
      <c r="P2441" s="2"/>
      <c r="Q2441" s="2"/>
      <c r="R2441" s="101"/>
      <c r="U2441" s="101"/>
    </row>
    <row r="2442">
      <c r="A2442" s="49"/>
      <c r="C2442" s="13"/>
      <c r="D2442" s="13"/>
      <c r="E2442" s="2"/>
      <c r="F2442" s="655"/>
      <c r="G2442" s="2"/>
      <c r="H2442" s="2"/>
      <c r="I2442" s="13"/>
      <c r="J2442" s="656"/>
      <c r="K2442" s="13"/>
      <c r="L2442" s="13"/>
      <c r="M2442" s="13"/>
      <c r="N2442" s="2"/>
      <c r="O2442" s="2"/>
      <c r="P2442" s="2"/>
      <c r="Q2442" s="2"/>
      <c r="R2442" s="101"/>
      <c r="U2442" s="101"/>
    </row>
    <row r="2443">
      <c r="A2443" s="49"/>
      <c r="C2443" s="13"/>
      <c r="D2443" s="13"/>
      <c r="E2443" s="2"/>
      <c r="F2443" s="655"/>
      <c r="G2443" s="2"/>
      <c r="H2443" s="2"/>
      <c r="I2443" s="13"/>
      <c r="J2443" s="656"/>
      <c r="K2443" s="13"/>
      <c r="L2443" s="13"/>
      <c r="M2443" s="13"/>
      <c r="N2443" s="2"/>
      <c r="O2443" s="2"/>
      <c r="P2443" s="2"/>
      <c r="Q2443" s="2"/>
      <c r="R2443" s="101"/>
      <c r="U2443" s="101"/>
    </row>
    <row r="2444">
      <c r="A2444" s="49"/>
      <c r="C2444" s="13"/>
      <c r="D2444" s="13"/>
      <c r="E2444" s="2"/>
      <c r="F2444" s="655"/>
      <c r="G2444" s="2"/>
      <c r="H2444" s="2"/>
      <c r="I2444" s="13"/>
      <c r="J2444" s="656"/>
      <c r="K2444" s="13"/>
      <c r="L2444" s="13"/>
      <c r="M2444" s="13"/>
      <c r="N2444" s="2"/>
      <c r="O2444" s="2"/>
      <c r="P2444" s="2"/>
      <c r="Q2444" s="2"/>
      <c r="R2444" s="101"/>
      <c r="U2444" s="101"/>
    </row>
    <row r="2445">
      <c r="A2445" s="49"/>
      <c r="C2445" s="13"/>
      <c r="D2445" s="13"/>
      <c r="E2445" s="2"/>
      <c r="F2445" s="655"/>
      <c r="G2445" s="2"/>
      <c r="H2445" s="2"/>
      <c r="I2445" s="13"/>
      <c r="J2445" s="656"/>
      <c r="K2445" s="13"/>
      <c r="L2445" s="13"/>
      <c r="M2445" s="13"/>
      <c r="N2445" s="2"/>
      <c r="O2445" s="2"/>
      <c r="P2445" s="2"/>
      <c r="Q2445" s="2"/>
      <c r="R2445" s="101"/>
      <c r="U2445" s="101"/>
    </row>
    <row r="2446">
      <c r="A2446" s="49"/>
      <c r="C2446" s="13"/>
      <c r="D2446" s="13"/>
      <c r="E2446" s="2"/>
      <c r="F2446" s="655"/>
      <c r="G2446" s="2"/>
      <c r="H2446" s="2"/>
      <c r="I2446" s="13"/>
      <c r="J2446" s="656"/>
      <c r="K2446" s="13"/>
      <c r="L2446" s="13"/>
      <c r="M2446" s="13"/>
      <c r="N2446" s="2"/>
      <c r="O2446" s="2"/>
      <c r="P2446" s="2"/>
      <c r="Q2446" s="2"/>
      <c r="R2446" s="101"/>
      <c r="U2446" s="101"/>
    </row>
    <row r="2447">
      <c r="A2447" s="49"/>
      <c r="C2447" s="13"/>
      <c r="D2447" s="13"/>
      <c r="E2447" s="2"/>
      <c r="F2447" s="655"/>
      <c r="G2447" s="2"/>
      <c r="H2447" s="2"/>
      <c r="I2447" s="13"/>
      <c r="J2447" s="656"/>
      <c r="K2447" s="13"/>
      <c r="L2447" s="13"/>
      <c r="M2447" s="13"/>
      <c r="N2447" s="2"/>
      <c r="O2447" s="2"/>
      <c r="P2447" s="2"/>
      <c r="Q2447" s="2"/>
      <c r="R2447" s="101"/>
      <c r="U2447" s="101"/>
    </row>
    <row r="2448">
      <c r="A2448" s="49"/>
      <c r="C2448" s="13"/>
      <c r="D2448" s="13"/>
      <c r="E2448" s="2"/>
      <c r="F2448" s="655"/>
      <c r="G2448" s="2"/>
      <c r="H2448" s="2"/>
      <c r="I2448" s="13"/>
      <c r="J2448" s="656"/>
      <c r="K2448" s="13"/>
      <c r="L2448" s="13"/>
      <c r="M2448" s="13"/>
      <c r="N2448" s="2"/>
      <c r="O2448" s="2"/>
      <c r="P2448" s="2"/>
      <c r="Q2448" s="2"/>
      <c r="R2448" s="101"/>
      <c r="U2448" s="101"/>
    </row>
    <row r="2449">
      <c r="A2449" s="49"/>
      <c r="C2449" s="13"/>
      <c r="D2449" s="13"/>
      <c r="E2449" s="2"/>
      <c r="F2449" s="655"/>
      <c r="G2449" s="2"/>
      <c r="H2449" s="2"/>
      <c r="I2449" s="13"/>
      <c r="J2449" s="656"/>
      <c r="K2449" s="13"/>
      <c r="L2449" s="13"/>
      <c r="M2449" s="13"/>
      <c r="N2449" s="2"/>
      <c r="O2449" s="2"/>
      <c r="P2449" s="2"/>
      <c r="Q2449" s="2"/>
      <c r="R2449" s="101"/>
      <c r="U2449" s="101"/>
    </row>
    <row r="2450">
      <c r="A2450" s="49"/>
      <c r="C2450" s="13"/>
      <c r="D2450" s="13"/>
      <c r="E2450" s="2"/>
      <c r="F2450" s="655"/>
      <c r="G2450" s="2"/>
      <c r="H2450" s="2"/>
      <c r="I2450" s="13"/>
      <c r="J2450" s="656"/>
      <c r="K2450" s="13"/>
      <c r="L2450" s="13"/>
      <c r="M2450" s="13"/>
      <c r="N2450" s="2"/>
      <c r="O2450" s="2"/>
      <c r="P2450" s="2"/>
      <c r="Q2450" s="2"/>
      <c r="R2450" s="101"/>
      <c r="U2450" s="101"/>
    </row>
    <row r="2451">
      <c r="A2451" s="49"/>
      <c r="C2451" s="13"/>
      <c r="D2451" s="13"/>
      <c r="E2451" s="2"/>
      <c r="F2451" s="655"/>
      <c r="G2451" s="2"/>
      <c r="H2451" s="2"/>
      <c r="I2451" s="13"/>
      <c r="J2451" s="656"/>
      <c r="K2451" s="13"/>
      <c r="L2451" s="13"/>
      <c r="M2451" s="13"/>
      <c r="N2451" s="2"/>
      <c r="O2451" s="2"/>
      <c r="P2451" s="2"/>
      <c r="Q2451" s="2"/>
      <c r="R2451" s="101"/>
      <c r="U2451" s="101"/>
    </row>
    <row r="2452">
      <c r="A2452" s="49"/>
      <c r="C2452" s="13"/>
      <c r="D2452" s="13"/>
      <c r="E2452" s="2"/>
      <c r="F2452" s="655"/>
      <c r="G2452" s="2"/>
      <c r="H2452" s="2"/>
      <c r="I2452" s="13"/>
      <c r="J2452" s="656"/>
      <c r="K2452" s="13"/>
      <c r="L2452" s="13"/>
      <c r="M2452" s="13"/>
      <c r="N2452" s="2"/>
      <c r="O2452" s="2"/>
      <c r="P2452" s="2"/>
      <c r="Q2452" s="2"/>
      <c r="R2452" s="101"/>
      <c r="U2452" s="101"/>
    </row>
    <row r="2453">
      <c r="A2453" s="49"/>
      <c r="C2453" s="13"/>
      <c r="D2453" s="13"/>
      <c r="E2453" s="2"/>
      <c r="F2453" s="655"/>
      <c r="G2453" s="2"/>
      <c r="H2453" s="2"/>
      <c r="I2453" s="13"/>
      <c r="J2453" s="656"/>
      <c r="K2453" s="13"/>
      <c r="L2453" s="13"/>
      <c r="M2453" s="13"/>
      <c r="N2453" s="2"/>
      <c r="O2453" s="2"/>
      <c r="P2453" s="2"/>
      <c r="Q2453" s="2"/>
      <c r="R2453" s="101"/>
      <c r="U2453" s="101"/>
    </row>
    <row r="2454">
      <c r="A2454" s="49"/>
      <c r="C2454" s="13"/>
      <c r="D2454" s="13"/>
      <c r="E2454" s="2"/>
      <c r="F2454" s="655"/>
      <c r="G2454" s="2"/>
      <c r="H2454" s="2"/>
      <c r="I2454" s="13"/>
      <c r="J2454" s="656"/>
      <c r="K2454" s="13"/>
      <c r="L2454" s="13"/>
      <c r="M2454" s="13"/>
      <c r="N2454" s="2"/>
      <c r="O2454" s="2"/>
      <c r="P2454" s="2"/>
      <c r="Q2454" s="2"/>
      <c r="R2454" s="101"/>
      <c r="U2454" s="101"/>
    </row>
    <row r="2455">
      <c r="A2455" s="49"/>
      <c r="C2455" s="13"/>
      <c r="D2455" s="13"/>
      <c r="E2455" s="2"/>
      <c r="F2455" s="655"/>
      <c r="G2455" s="2"/>
      <c r="H2455" s="2"/>
      <c r="I2455" s="13"/>
      <c r="J2455" s="656"/>
      <c r="K2455" s="13"/>
      <c r="L2455" s="13"/>
      <c r="M2455" s="13"/>
      <c r="N2455" s="2"/>
      <c r="O2455" s="2"/>
      <c r="P2455" s="2"/>
      <c r="Q2455" s="2"/>
      <c r="R2455" s="101"/>
      <c r="U2455" s="101"/>
    </row>
    <row r="2456">
      <c r="A2456" s="49"/>
      <c r="C2456" s="13"/>
      <c r="D2456" s="13"/>
      <c r="E2456" s="2"/>
      <c r="F2456" s="655"/>
      <c r="G2456" s="2"/>
      <c r="H2456" s="2"/>
      <c r="I2456" s="13"/>
      <c r="J2456" s="656"/>
      <c r="K2456" s="13"/>
      <c r="L2456" s="13"/>
      <c r="M2456" s="13"/>
      <c r="N2456" s="2"/>
      <c r="O2456" s="2"/>
      <c r="P2456" s="2"/>
      <c r="Q2456" s="2"/>
      <c r="R2456" s="101"/>
      <c r="U2456" s="101"/>
    </row>
    <row r="2457">
      <c r="A2457" s="49"/>
      <c r="C2457" s="13"/>
      <c r="D2457" s="13"/>
      <c r="E2457" s="2"/>
      <c r="F2457" s="655"/>
      <c r="G2457" s="2"/>
      <c r="H2457" s="2"/>
      <c r="I2457" s="13"/>
      <c r="J2457" s="656"/>
      <c r="K2457" s="13"/>
      <c r="L2457" s="13"/>
      <c r="M2457" s="13"/>
      <c r="N2457" s="2"/>
      <c r="O2457" s="2"/>
      <c r="P2457" s="2"/>
      <c r="Q2457" s="2"/>
      <c r="R2457" s="101"/>
      <c r="U2457" s="101"/>
    </row>
    <row r="2458">
      <c r="A2458" s="49"/>
      <c r="C2458" s="13"/>
      <c r="D2458" s="13"/>
      <c r="E2458" s="2"/>
      <c r="F2458" s="655"/>
      <c r="G2458" s="2"/>
      <c r="H2458" s="2"/>
      <c r="I2458" s="13"/>
      <c r="J2458" s="656"/>
      <c r="K2458" s="13"/>
      <c r="L2458" s="13"/>
      <c r="M2458" s="13"/>
      <c r="N2458" s="2"/>
      <c r="O2458" s="2"/>
      <c r="P2458" s="2"/>
      <c r="Q2458" s="2"/>
      <c r="R2458" s="101"/>
      <c r="U2458" s="101"/>
    </row>
    <row r="2459">
      <c r="A2459" s="49"/>
      <c r="C2459" s="13"/>
      <c r="D2459" s="13"/>
      <c r="E2459" s="2"/>
      <c r="F2459" s="655"/>
      <c r="G2459" s="2"/>
      <c r="H2459" s="2"/>
      <c r="I2459" s="13"/>
      <c r="J2459" s="656"/>
      <c r="K2459" s="13"/>
      <c r="L2459" s="13"/>
      <c r="M2459" s="13"/>
      <c r="N2459" s="2"/>
      <c r="O2459" s="2"/>
      <c r="P2459" s="2"/>
      <c r="Q2459" s="2"/>
      <c r="R2459" s="101"/>
      <c r="U2459" s="101"/>
    </row>
    <row r="2460">
      <c r="A2460" s="49"/>
      <c r="C2460" s="13"/>
      <c r="D2460" s="13"/>
      <c r="E2460" s="2"/>
      <c r="F2460" s="655"/>
      <c r="G2460" s="2"/>
      <c r="H2460" s="2"/>
      <c r="I2460" s="13"/>
      <c r="J2460" s="656"/>
      <c r="K2460" s="13"/>
      <c r="L2460" s="13"/>
      <c r="M2460" s="13"/>
      <c r="N2460" s="2"/>
      <c r="O2460" s="2"/>
      <c r="P2460" s="2"/>
      <c r="Q2460" s="2"/>
      <c r="R2460" s="101"/>
      <c r="U2460" s="101"/>
    </row>
    <row r="2461">
      <c r="A2461" s="49"/>
      <c r="C2461" s="13"/>
      <c r="D2461" s="13"/>
      <c r="E2461" s="2"/>
      <c r="F2461" s="655"/>
      <c r="G2461" s="2"/>
      <c r="H2461" s="2"/>
      <c r="I2461" s="13"/>
      <c r="J2461" s="656"/>
      <c r="K2461" s="13"/>
      <c r="L2461" s="13"/>
      <c r="M2461" s="13"/>
      <c r="N2461" s="2"/>
      <c r="O2461" s="2"/>
      <c r="P2461" s="2"/>
      <c r="Q2461" s="2"/>
      <c r="R2461" s="101"/>
      <c r="U2461" s="101"/>
    </row>
    <row r="2462">
      <c r="A2462" s="49"/>
      <c r="C2462" s="13"/>
      <c r="D2462" s="13"/>
      <c r="E2462" s="2"/>
      <c r="F2462" s="655"/>
      <c r="G2462" s="2"/>
      <c r="H2462" s="2"/>
      <c r="I2462" s="13"/>
      <c r="J2462" s="656"/>
      <c r="K2462" s="13"/>
      <c r="L2462" s="13"/>
      <c r="M2462" s="13"/>
      <c r="N2462" s="2"/>
      <c r="O2462" s="2"/>
      <c r="P2462" s="2"/>
      <c r="Q2462" s="2"/>
      <c r="R2462" s="101"/>
      <c r="U2462" s="101"/>
    </row>
    <row r="2463">
      <c r="A2463" s="49"/>
      <c r="C2463" s="13"/>
      <c r="D2463" s="13"/>
      <c r="E2463" s="2"/>
      <c r="F2463" s="655"/>
      <c r="G2463" s="2"/>
      <c r="H2463" s="2"/>
      <c r="I2463" s="13"/>
      <c r="J2463" s="656"/>
      <c r="K2463" s="13"/>
      <c r="L2463" s="13"/>
      <c r="M2463" s="13"/>
      <c r="N2463" s="2"/>
      <c r="O2463" s="2"/>
      <c r="P2463" s="2"/>
      <c r="Q2463" s="2"/>
      <c r="R2463" s="101"/>
      <c r="U2463" s="101"/>
    </row>
    <row r="2464">
      <c r="A2464" s="49"/>
      <c r="C2464" s="13"/>
      <c r="D2464" s="13"/>
      <c r="E2464" s="2"/>
      <c r="F2464" s="655"/>
      <c r="G2464" s="2"/>
      <c r="H2464" s="2"/>
      <c r="I2464" s="13"/>
      <c r="J2464" s="656"/>
      <c r="K2464" s="13"/>
      <c r="L2464" s="13"/>
      <c r="M2464" s="13"/>
      <c r="N2464" s="2"/>
      <c r="O2464" s="2"/>
      <c r="P2464" s="2"/>
      <c r="Q2464" s="2"/>
      <c r="R2464" s="101"/>
      <c r="U2464" s="101"/>
    </row>
    <row r="2465">
      <c r="A2465" s="49"/>
      <c r="C2465" s="13"/>
      <c r="D2465" s="13"/>
      <c r="E2465" s="2"/>
      <c r="F2465" s="655"/>
      <c r="G2465" s="2"/>
      <c r="H2465" s="2"/>
      <c r="I2465" s="13"/>
      <c r="J2465" s="656"/>
      <c r="K2465" s="13"/>
      <c r="L2465" s="13"/>
      <c r="M2465" s="13"/>
      <c r="N2465" s="2"/>
      <c r="O2465" s="2"/>
      <c r="P2465" s="2"/>
      <c r="Q2465" s="2"/>
      <c r="R2465" s="101"/>
      <c r="U2465" s="101"/>
    </row>
    <row r="2466">
      <c r="A2466" s="49"/>
      <c r="C2466" s="13"/>
      <c r="D2466" s="13"/>
      <c r="E2466" s="2"/>
      <c r="F2466" s="655"/>
      <c r="G2466" s="2"/>
      <c r="H2466" s="2"/>
      <c r="I2466" s="13"/>
      <c r="J2466" s="656"/>
      <c r="K2466" s="13"/>
      <c r="L2466" s="13"/>
      <c r="M2466" s="13"/>
      <c r="N2466" s="2"/>
      <c r="O2466" s="2"/>
      <c r="P2466" s="2"/>
      <c r="Q2466" s="2"/>
      <c r="R2466" s="101"/>
      <c r="U2466" s="101"/>
    </row>
    <row r="2467">
      <c r="A2467" s="49"/>
      <c r="C2467" s="13"/>
      <c r="D2467" s="13"/>
      <c r="E2467" s="2"/>
      <c r="F2467" s="655"/>
      <c r="G2467" s="2"/>
      <c r="H2467" s="2"/>
      <c r="I2467" s="13"/>
      <c r="J2467" s="656"/>
      <c r="K2467" s="13"/>
      <c r="L2467" s="13"/>
      <c r="M2467" s="13"/>
      <c r="N2467" s="2"/>
      <c r="O2467" s="2"/>
      <c r="P2467" s="2"/>
      <c r="Q2467" s="2"/>
      <c r="R2467" s="101"/>
      <c r="U2467" s="101"/>
    </row>
    <row r="2468">
      <c r="A2468" s="49"/>
      <c r="C2468" s="13"/>
      <c r="D2468" s="13"/>
      <c r="E2468" s="2"/>
      <c r="F2468" s="655"/>
      <c r="G2468" s="2"/>
      <c r="H2468" s="2"/>
      <c r="I2468" s="13"/>
      <c r="J2468" s="656"/>
      <c r="K2468" s="13"/>
      <c r="L2468" s="13"/>
      <c r="M2468" s="13"/>
      <c r="N2468" s="2"/>
      <c r="O2468" s="2"/>
      <c r="P2468" s="2"/>
      <c r="Q2468" s="2"/>
      <c r="R2468" s="101"/>
      <c r="U2468" s="101"/>
    </row>
    <row r="2469">
      <c r="A2469" s="49"/>
      <c r="C2469" s="13"/>
      <c r="D2469" s="13"/>
      <c r="E2469" s="2"/>
      <c r="F2469" s="655"/>
      <c r="G2469" s="2"/>
      <c r="H2469" s="2"/>
      <c r="I2469" s="13"/>
      <c r="J2469" s="656"/>
      <c r="K2469" s="13"/>
      <c r="L2469" s="13"/>
      <c r="M2469" s="13"/>
      <c r="N2469" s="2"/>
      <c r="O2469" s="2"/>
      <c r="P2469" s="2"/>
      <c r="Q2469" s="2"/>
      <c r="R2469" s="101"/>
      <c r="U2469" s="101"/>
    </row>
    <row r="2470">
      <c r="A2470" s="49"/>
      <c r="C2470" s="13"/>
      <c r="D2470" s="13"/>
      <c r="E2470" s="2"/>
      <c r="F2470" s="655"/>
      <c r="G2470" s="2"/>
      <c r="H2470" s="2"/>
      <c r="I2470" s="13"/>
      <c r="J2470" s="656"/>
      <c r="K2470" s="13"/>
      <c r="L2470" s="13"/>
      <c r="M2470" s="13"/>
      <c r="N2470" s="2"/>
      <c r="O2470" s="2"/>
      <c r="P2470" s="2"/>
      <c r="Q2470" s="2"/>
      <c r="R2470" s="101"/>
      <c r="U2470" s="101"/>
    </row>
    <row r="2471">
      <c r="A2471" s="49"/>
      <c r="C2471" s="13"/>
      <c r="D2471" s="13"/>
      <c r="E2471" s="2"/>
      <c r="F2471" s="655"/>
      <c r="G2471" s="2"/>
      <c r="H2471" s="2"/>
      <c r="I2471" s="13"/>
      <c r="J2471" s="656"/>
      <c r="K2471" s="13"/>
      <c r="L2471" s="13"/>
      <c r="M2471" s="13"/>
      <c r="N2471" s="2"/>
      <c r="O2471" s="2"/>
      <c r="P2471" s="2"/>
      <c r="Q2471" s="2"/>
      <c r="R2471" s="101"/>
      <c r="U2471" s="101"/>
    </row>
    <row r="2472">
      <c r="A2472" s="49"/>
      <c r="C2472" s="13"/>
      <c r="D2472" s="13"/>
      <c r="E2472" s="2"/>
      <c r="F2472" s="655"/>
      <c r="G2472" s="2"/>
      <c r="H2472" s="2"/>
      <c r="I2472" s="13"/>
      <c r="J2472" s="656"/>
      <c r="K2472" s="13"/>
      <c r="L2472" s="13"/>
      <c r="M2472" s="13"/>
      <c r="N2472" s="2"/>
      <c r="O2472" s="2"/>
      <c r="P2472" s="2"/>
      <c r="Q2472" s="2"/>
      <c r="R2472" s="101"/>
      <c r="U2472" s="101"/>
    </row>
    <row r="2473">
      <c r="A2473" s="49"/>
      <c r="C2473" s="13"/>
      <c r="D2473" s="13"/>
      <c r="E2473" s="2"/>
      <c r="F2473" s="655"/>
      <c r="G2473" s="2"/>
      <c r="H2473" s="2"/>
      <c r="I2473" s="13"/>
      <c r="J2473" s="656"/>
      <c r="K2473" s="13"/>
      <c r="L2473" s="13"/>
      <c r="M2473" s="13"/>
      <c r="N2473" s="2"/>
      <c r="O2473" s="2"/>
      <c r="P2473" s="2"/>
      <c r="Q2473" s="2"/>
      <c r="R2473" s="101"/>
      <c r="U2473" s="101"/>
    </row>
    <row r="2474">
      <c r="A2474" s="49"/>
      <c r="C2474" s="13"/>
      <c r="D2474" s="13"/>
      <c r="E2474" s="2"/>
      <c r="F2474" s="655"/>
      <c r="G2474" s="2"/>
      <c r="H2474" s="2"/>
      <c r="I2474" s="13"/>
      <c r="J2474" s="656"/>
      <c r="K2474" s="13"/>
      <c r="L2474" s="13"/>
      <c r="M2474" s="13"/>
      <c r="N2474" s="2"/>
      <c r="O2474" s="2"/>
      <c r="P2474" s="2"/>
      <c r="Q2474" s="2"/>
      <c r="R2474" s="101"/>
      <c r="U2474" s="101"/>
    </row>
    <row r="2475">
      <c r="A2475" s="49"/>
      <c r="C2475" s="13"/>
      <c r="D2475" s="13"/>
      <c r="E2475" s="2"/>
      <c r="F2475" s="655"/>
      <c r="G2475" s="2"/>
      <c r="H2475" s="2"/>
      <c r="I2475" s="13"/>
      <c r="J2475" s="656"/>
      <c r="K2475" s="13"/>
      <c r="L2475" s="13"/>
      <c r="M2475" s="13"/>
      <c r="N2475" s="2"/>
      <c r="O2475" s="2"/>
      <c r="P2475" s="2"/>
      <c r="Q2475" s="2"/>
      <c r="R2475" s="101"/>
      <c r="U2475" s="101"/>
    </row>
    <row r="2476">
      <c r="A2476" s="49"/>
      <c r="C2476" s="13"/>
      <c r="D2476" s="13"/>
      <c r="E2476" s="2"/>
      <c r="F2476" s="655"/>
      <c r="G2476" s="2"/>
      <c r="H2476" s="2"/>
      <c r="I2476" s="13"/>
      <c r="J2476" s="656"/>
      <c r="K2476" s="13"/>
      <c r="L2476" s="13"/>
      <c r="M2476" s="13"/>
      <c r="N2476" s="2"/>
      <c r="O2476" s="2"/>
      <c r="P2476" s="2"/>
      <c r="Q2476" s="2"/>
      <c r="R2476" s="101"/>
      <c r="U2476" s="101"/>
    </row>
    <row r="2477">
      <c r="A2477" s="49"/>
      <c r="C2477" s="13"/>
      <c r="D2477" s="13"/>
      <c r="E2477" s="2"/>
      <c r="F2477" s="655"/>
      <c r="G2477" s="2"/>
      <c r="H2477" s="2"/>
      <c r="I2477" s="13"/>
      <c r="J2477" s="656"/>
      <c r="K2477" s="13"/>
      <c r="L2477" s="13"/>
      <c r="M2477" s="13"/>
      <c r="N2477" s="2"/>
      <c r="O2477" s="2"/>
      <c r="P2477" s="2"/>
      <c r="Q2477" s="2"/>
      <c r="R2477" s="101"/>
      <c r="U2477" s="101"/>
    </row>
    <row r="2478">
      <c r="A2478" s="49"/>
      <c r="C2478" s="13"/>
      <c r="D2478" s="13"/>
      <c r="E2478" s="2"/>
      <c r="F2478" s="655"/>
      <c r="G2478" s="2"/>
      <c r="H2478" s="2"/>
      <c r="I2478" s="13"/>
      <c r="J2478" s="656"/>
      <c r="K2478" s="13"/>
      <c r="L2478" s="13"/>
      <c r="M2478" s="13"/>
      <c r="N2478" s="2"/>
      <c r="O2478" s="2"/>
      <c r="P2478" s="2"/>
      <c r="Q2478" s="2"/>
      <c r="R2478" s="101"/>
      <c r="U2478" s="101"/>
    </row>
    <row r="2479">
      <c r="A2479" s="49"/>
      <c r="C2479" s="13"/>
      <c r="D2479" s="13"/>
      <c r="E2479" s="2"/>
      <c r="F2479" s="655"/>
      <c r="G2479" s="2"/>
      <c r="H2479" s="2"/>
      <c r="I2479" s="13"/>
      <c r="J2479" s="656"/>
      <c r="K2479" s="13"/>
      <c r="L2479" s="13"/>
      <c r="M2479" s="13"/>
      <c r="N2479" s="2"/>
      <c r="O2479" s="2"/>
      <c r="P2479" s="2"/>
      <c r="Q2479" s="2"/>
      <c r="R2479" s="101"/>
      <c r="U2479" s="101"/>
    </row>
    <row r="2480">
      <c r="A2480" s="49"/>
      <c r="C2480" s="13"/>
      <c r="D2480" s="13"/>
      <c r="E2480" s="2"/>
      <c r="F2480" s="655"/>
      <c r="G2480" s="2"/>
      <c r="H2480" s="2"/>
      <c r="I2480" s="13"/>
      <c r="J2480" s="656"/>
      <c r="K2480" s="13"/>
      <c r="L2480" s="13"/>
      <c r="M2480" s="13"/>
      <c r="N2480" s="2"/>
      <c r="O2480" s="2"/>
      <c r="P2480" s="2"/>
      <c r="Q2480" s="2"/>
      <c r="R2480" s="101"/>
      <c r="U2480" s="101"/>
    </row>
    <row r="2481">
      <c r="A2481" s="49"/>
      <c r="C2481" s="13"/>
      <c r="D2481" s="13"/>
      <c r="E2481" s="2"/>
      <c r="F2481" s="655"/>
      <c r="G2481" s="2"/>
      <c r="H2481" s="2"/>
      <c r="I2481" s="13"/>
      <c r="J2481" s="656"/>
      <c r="K2481" s="13"/>
      <c r="L2481" s="13"/>
      <c r="M2481" s="13"/>
      <c r="N2481" s="2"/>
      <c r="O2481" s="2"/>
      <c r="P2481" s="2"/>
      <c r="Q2481" s="2"/>
      <c r="R2481" s="101"/>
      <c r="U2481" s="101"/>
    </row>
    <row r="2482">
      <c r="A2482" s="49"/>
      <c r="C2482" s="13"/>
      <c r="D2482" s="13"/>
      <c r="E2482" s="2"/>
      <c r="F2482" s="655"/>
      <c r="G2482" s="2"/>
      <c r="H2482" s="2"/>
      <c r="I2482" s="13"/>
      <c r="J2482" s="656"/>
      <c r="K2482" s="13"/>
      <c r="L2482" s="13"/>
      <c r="M2482" s="13"/>
      <c r="N2482" s="2"/>
      <c r="O2482" s="2"/>
      <c r="P2482" s="2"/>
      <c r="Q2482" s="2"/>
      <c r="R2482" s="101"/>
      <c r="U2482" s="101"/>
    </row>
    <row r="2483">
      <c r="A2483" s="49"/>
      <c r="C2483" s="13"/>
      <c r="D2483" s="13"/>
      <c r="E2483" s="2"/>
      <c r="F2483" s="655"/>
      <c r="G2483" s="2"/>
      <c r="H2483" s="2"/>
      <c r="I2483" s="13"/>
      <c r="J2483" s="656"/>
      <c r="K2483" s="13"/>
      <c r="L2483" s="13"/>
      <c r="M2483" s="13"/>
      <c r="N2483" s="2"/>
      <c r="O2483" s="2"/>
      <c r="P2483" s="2"/>
      <c r="Q2483" s="2"/>
      <c r="R2483" s="101"/>
      <c r="U2483" s="101"/>
    </row>
    <row r="2484">
      <c r="A2484" s="49"/>
      <c r="C2484" s="13"/>
      <c r="D2484" s="13"/>
      <c r="E2484" s="2"/>
      <c r="F2484" s="655"/>
      <c r="G2484" s="2"/>
      <c r="H2484" s="2"/>
      <c r="I2484" s="13"/>
      <c r="J2484" s="656"/>
      <c r="K2484" s="13"/>
      <c r="L2484" s="13"/>
      <c r="M2484" s="13"/>
      <c r="N2484" s="2"/>
      <c r="O2484" s="2"/>
      <c r="P2484" s="2"/>
      <c r="Q2484" s="2"/>
      <c r="R2484" s="101"/>
      <c r="U2484" s="101"/>
    </row>
    <row r="2485">
      <c r="A2485" s="49"/>
      <c r="C2485" s="13"/>
      <c r="D2485" s="13"/>
      <c r="E2485" s="2"/>
      <c r="F2485" s="655"/>
      <c r="G2485" s="2"/>
      <c r="H2485" s="2"/>
      <c r="I2485" s="13"/>
      <c r="J2485" s="656"/>
      <c r="K2485" s="13"/>
      <c r="L2485" s="13"/>
      <c r="M2485" s="13"/>
      <c r="N2485" s="2"/>
      <c r="O2485" s="2"/>
      <c r="P2485" s="2"/>
      <c r="Q2485" s="2"/>
      <c r="R2485" s="101"/>
      <c r="U2485" s="101"/>
    </row>
    <row r="2486">
      <c r="A2486" s="49"/>
      <c r="C2486" s="13"/>
      <c r="D2486" s="13"/>
      <c r="E2486" s="2"/>
      <c r="F2486" s="655"/>
      <c r="G2486" s="2"/>
      <c r="H2486" s="2"/>
      <c r="I2486" s="13"/>
      <c r="J2486" s="656"/>
      <c r="K2486" s="13"/>
      <c r="L2486" s="13"/>
      <c r="M2486" s="13"/>
      <c r="N2486" s="2"/>
      <c r="O2486" s="2"/>
      <c r="P2486" s="2"/>
      <c r="Q2486" s="2"/>
      <c r="R2486" s="101"/>
      <c r="U2486" s="101"/>
    </row>
    <row r="2487">
      <c r="A2487" s="49"/>
      <c r="C2487" s="13"/>
      <c r="D2487" s="13"/>
      <c r="E2487" s="2"/>
      <c r="F2487" s="655"/>
      <c r="G2487" s="2"/>
      <c r="H2487" s="2"/>
      <c r="I2487" s="13"/>
      <c r="J2487" s="656"/>
      <c r="K2487" s="13"/>
      <c r="L2487" s="13"/>
      <c r="M2487" s="13"/>
      <c r="N2487" s="2"/>
      <c r="O2487" s="2"/>
      <c r="P2487" s="2"/>
      <c r="Q2487" s="2"/>
      <c r="R2487" s="101"/>
      <c r="U2487" s="101"/>
    </row>
    <row r="2488">
      <c r="A2488" s="49"/>
      <c r="C2488" s="13"/>
      <c r="D2488" s="13"/>
      <c r="E2488" s="2"/>
      <c r="F2488" s="655"/>
      <c r="G2488" s="2"/>
      <c r="H2488" s="2"/>
      <c r="I2488" s="13"/>
      <c r="J2488" s="656"/>
      <c r="K2488" s="13"/>
      <c r="L2488" s="13"/>
      <c r="M2488" s="13"/>
      <c r="N2488" s="2"/>
      <c r="O2488" s="2"/>
      <c r="P2488" s="2"/>
      <c r="Q2488" s="2"/>
      <c r="R2488" s="101"/>
      <c r="U2488" s="101"/>
    </row>
    <row r="2489">
      <c r="A2489" s="49"/>
      <c r="C2489" s="13"/>
      <c r="D2489" s="13"/>
      <c r="E2489" s="2"/>
      <c r="F2489" s="655"/>
      <c r="G2489" s="2"/>
      <c r="H2489" s="2"/>
      <c r="I2489" s="13"/>
      <c r="J2489" s="656"/>
      <c r="K2489" s="13"/>
      <c r="L2489" s="13"/>
      <c r="M2489" s="13"/>
      <c r="N2489" s="2"/>
      <c r="O2489" s="2"/>
      <c r="P2489" s="2"/>
      <c r="Q2489" s="2"/>
      <c r="R2489" s="101"/>
      <c r="U2489" s="101"/>
    </row>
    <row r="2490">
      <c r="A2490" s="49"/>
      <c r="C2490" s="13"/>
      <c r="D2490" s="13"/>
      <c r="E2490" s="2"/>
      <c r="F2490" s="655"/>
      <c r="G2490" s="2"/>
      <c r="H2490" s="2"/>
      <c r="I2490" s="13"/>
      <c r="J2490" s="656"/>
      <c r="K2490" s="13"/>
      <c r="L2490" s="13"/>
      <c r="M2490" s="13"/>
      <c r="N2490" s="2"/>
      <c r="O2490" s="2"/>
      <c r="P2490" s="2"/>
      <c r="Q2490" s="2"/>
      <c r="R2490" s="101"/>
      <c r="U2490" s="101"/>
    </row>
    <row r="2491">
      <c r="A2491" s="49"/>
      <c r="C2491" s="13"/>
      <c r="D2491" s="13"/>
      <c r="E2491" s="2"/>
      <c r="F2491" s="655"/>
      <c r="G2491" s="2"/>
      <c r="H2491" s="2"/>
      <c r="I2491" s="13"/>
      <c r="J2491" s="656"/>
      <c r="K2491" s="13"/>
      <c r="L2491" s="13"/>
      <c r="M2491" s="13"/>
      <c r="N2491" s="2"/>
      <c r="O2491" s="2"/>
      <c r="P2491" s="2"/>
      <c r="Q2491" s="2"/>
      <c r="R2491" s="101"/>
      <c r="U2491" s="101"/>
    </row>
    <row r="2492">
      <c r="A2492" s="49"/>
      <c r="C2492" s="13"/>
      <c r="D2492" s="13"/>
      <c r="E2492" s="2"/>
      <c r="F2492" s="655"/>
      <c r="G2492" s="2"/>
      <c r="H2492" s="2"/>
      <c r="I2492" s="13"/>
      <c r="J2492" s="656"/>
      <c r="K2492" s="13"/>
      <c r="L2492" s="13"/>
      <c r="M2492" s="13"/>
      <c r="N2492" s="2"/>
      <c r="O2492" s="2"/>
      <c r="P2492" s="2"/>
      <c r="Q2492" s="2"/>
      <c r="R2492" s="101"/>
      <c r="U2492" s="101"/>
    </row>
    <row r="2493">
      <c r="A2493" s="49"/>
      <c r="C2493" s="13"/>
      <c r="D2493" s="13"/>
      <c r="E2493" s="2"/>
      <c r="F2493" s="655"/>
      <c r="G2493" s="2"/>
      <c r="H2493" s="2"/>
      <c r="I2493" s="13"/>
      <c r="J2493" s="656"/>
      <c r="K2493" s="13"/>
      <c r="L2493" s="13"/>
      <c r="M2493" s="13"/>
      <c r="N2493" s="2"/>
      <c r="O2493" s="2"/>
      <c r="P2493" s="2"/>
      <c r="Q2493" s="2"/>
      <c r="R2493" s="101"/>
      <c r="U2493" s="101"/>
    </row>
    <row r="2494">
      <c r="A2494" s="49"/>
      <c r="C2494" s="13"/>
      <c r="D2494" s="13"/>
      <c r="E2494" s="2"/>
      <c r="F2494" s="655"/>
      <c r="G2494" s="2"/>
      <c r="H2494" s="2"/>
      <c r="I2494" s="13"/>
      <c r="J2494" s="656"/>
      <c r="K2494" s="13"/>
      <c r="L2494" s="13"/>
      <c r="M2494" s="13"/>
      <c r="N2494" s="2"/>
      <c r="O2494" s="2"/>
      <c r="P2494" s="2"/>
      <c r="Q2494" s="2"/>
      <c r="R2494" s="101"/>
      <c r="U2494" s="101"/>
    </row>
    <row r="2495">
      <c r="A2495" s="49"/>
      <c r="C2495" s="13"/>
      <c r="D2495" s="13"/>
      <c r="E2495" s="2"/>
      <c r="F2495" s="655"/>
      <c r="G2495" s="2"/>
      <c r="H2495" s="2"/>
      <c r="I2495" s="13"/>
      <c r="J2495" s="656"/>
      <c r="K2495" s="13"/>
      <c r="L2495" s="13"/>
      <c r="M2495" s="13"/>
      <c r="N2495" s="2"/>
      <c r="O2495" s="2"/>
      <c r="P2495" s="2"/>
      <c r="Q2495" s="2"/>
      <c r="R2495" s="101"/>
      <c r="U2495" s="101"/>
    </row>
    <row r="2496">
      <c r="A2496" s="49"/>
      <c r="C2496" s="13"/>
      <c r="D2496" s="13"/>
      <c r="E2496" s="2"/>
      <c r="F2496" s="655"/>
      <c r="G2496" s="2"/>
      <c r="H2496" s="2"/>
      <c r="I2496" s="13"/>
      <c r="J2496" s="656"/>
      <c r="K2496" s="13"/>
      <c r="L2496" s="13"/>
      <c r="M2496" s="13"/>
      <c r="N2496" s="2"/>
      <c r="O2496" s="2"/>
      <c r="P2496" s="2"/>
      <c r="Q2496" s="2"/>
      <c r="R2496" s="101"/>
      <c r="U2496" s="101"/>
    </row>
    <row r="2497">
      <c r="A2497" s="49"/>
      <c r="C2497" s="13"/>
      <c r="D2497" s="13"/>
      <c r="E2497" s="2"/>
      <c r="F2497" s="655"/>
      <c r="G2497" s="2"/>
      <c r="H2497" s="2"/>
      <c r="I2497" s="13"/>
      <c r="J2497" s="656"/>
      <c r="K2497" s="13"/>
      <c r="L2497" s="13"/>
      <c r="M2497" s="13"/>
      <c r="N2497" s="2"/>
      <c r="O2497" s="2"/>
      <c r="P2497" s="2"/>
      <c r="Q2497" s="2"/>
      <c r="R2497" s="101"/>
      <c r="U2497" s="101"/>
    </row>
    <row r="2498">
      <c r="A2498" s="49"/>
      <c r="C2498" s="13"/>
      <c r="D2498" s="13"/>
      <c r="E2498" s="2"/>
      <c r="F2498" s="655"/>
      <c r="G2498" s="2"/>
      <c r="H2498" s="2"/>
      <c r="I2498" s="13"/>
      <c r="J2498" s="656"/>
      <c r="K2498" s="13"/>
      <c r="L2498" s="13"/>
      <c r="M2498" s="13"/>
      <c r="N2498" s="2"/>
      <c r="O2498" s="2"/>
      <c r="P2498" s="2"/>
      <c r="Q2498" s="2"/>
      <c r="R2498" s="101"/>
      <c r="U2498" s="101"/>
    </row>
    <row r="2499">
      <c r="A2499" s="49"/>
      <c r="C2499" s="13"/>
      <c r="D2499" s="13"/>
      <c r="E2499" s="2"/>
      <c r="F2499" s="655"/>
      <c r="G2499" s="2"/>
      <c r="H2499" s="2"/>
      <c r="I2499" s="13"/>
      <c r="J2499" s="656"/>
      <c r="K2499" s="13"/>
      <c r="L2499" s="13"/>
      <c r="M2499" s="13"/>
      <c r="N2499" s="2"/>
      <c r="O2499" s="2"/>
      <c r="P2499" s="2"/>
      <c r="Q2499" s="2"/>
      <c r="R2499" s="101"/>
      <c r="U2499" s="101"/>
    </row>
    <row r="2500">
      <c r="A2500" s="49"/>
      <c r="C2500" s="13"/>
      <c r="D2500" s="13"/>
      <c r="E2500" s="2"/>
      <c r="F2500" s="655"/>
      <c r="G2500" s="2"/>
      <c r="H2500" s="2"/>
      <c r="I2500" s="13"/>
      <c r="J2500" s="656"/>
      <c r="K2500" s="13"/>
      <c r="L2500" s="13"/>
      <c r="M2500" s="13"/>
      <c r="N2500" s="2"/>
      <c r="O2500" s="2"/>
      <c r="P2500" s="2"/>
      <c r="Q2500" s="2"/>
      <c r="R2500" s="101"/>
      <c r="U2500" s="101"/>
    </row>
    <row r="2501">
      <c r="A2501" s="49"/>
      <c r="C2501" s="13"/>
      <c r="D2501" s="13"/>
      <c r="E2501" s="2"/>
      <c r="F2501" s="655"/>
      <c r="G2501" s="2"/>
      <c r="H2501" s="2"/>
      <c r="I2501" s="13"/>
      <c r="J2501" s="656"/>
      <c r="K2501" s="13"/>
      <c r="L2501" s="13"/>
      <c r="M2501" s="13"/>
      <c r="N2501" s="2"/>
      <c r="O2501" s="2"/>
      <c r="P2501" s="2"/>
      <c r="Q2501" s="2"/>
      <c r="R2501" s="101"/>
      <c r="U2501" s="101"/>
    </row>
    <row r="2502">
      <c r="A2502" s="49"/>
      <c r="C2502" s="13"/>
      <c r="D2502" s="13"/>
      <c r="E2502" s="2"/>
      <c r="F2502" s="655"/>
      <c r="G2502" s="2"/>
      <c r="H2502" s="2"/>
      <c r="I2502" s="13"/>
      <c r="J2502" s="656"/>
      <c r="K2502" s="13"/>
      <c r="L2502" s="13"/>
      <c r="M2502" s="13"/>
      <c r="N2502" s="2"/>
      <c r="O2502" s="2"/>
      <c r="P2502" s="2"/>
      <c r="Q2502" s="2"/>
      <c r="R2502" s="101"/>
      <c r="U2502" s="101"/>
    </row>
    <row r="2503">
      <c r="A2503" s="49"/>
      <c r="C2503" s="13"/>
      <c r="D2503" s="13"/>
      <c r="E2503" s="2"/>
      <c r="F2503" s="655"/>
      <c r="G2503" s="2"/>
      <c r="H2503" s="2"/>
      <c r="I2503" s="13"/>
      <c r="J2503" s="656"/>
      <c r="K2503" s="13"/>
      <c r="L2503" s="13"/>
      <c r="M2503" s="13"/>
      <c r="N2503" s="2"/>
      <c r="O2503" s="2"/>
      <c r="P2503" s="2"/>
      <c r="Q2503" s="2"/>
      <c r="R2503" s="101"/>
      <c r="U2503" s="101"/>
    </row>
    <row r="2504">
      <c r="A2504" s="49"/>
      <c r="C2504" s="13"/>
      <c r="D2504" s="13"/>
      <c r="E2504" s="2"/>
      <c r="F2504" s="655"/>
      <c r="G2504" s="2"/>
      <c r="H2504" s="2"/>
      <c r="I2504" s="13"/>
      <c r="J2504" s="656"/>
      <c r="K2504" s="13"/>
      <c r="L2504" s="13"/>
      <c r="M2504" s="13"/>
      <c r="N2504" s="2"/>
      <c r="O2504" s="2"/>
      <c r="P2504" s="2"/>
      <c r="Q2504" s="2"/>
      <c r="R2504" s="101"/>
      <c r="U2504" s="101"/>
    </row>
    <row r="2505">
      <c r="A2505" s="49"/>
      <c r="C2505" s="13"/>
      <c r="D2505" s="13"/>
      <c r="E2505" s="2"/>
      <c r="F2505" s="655"/>
      <c r="G2505" s="2"/>
      <c r="H2505" s="2"/>
      <c r="I2505" s="13"/>
      <c r="J2505" s="656"/>
      <c r="K2505" s="13"/>
      <c r="L2505" s="13"/>
      <c r="M2505" s="13"/>
      <c r="N2505" s="2"/>
      <c r="O2505" s="2"/>
      <c r="P2505" s="2"/>
      <c r="Q2505" s="2"/>
      <c r="R2505" s="101"/>
      <c r="U2505" s="101"/>
    </row>
    <row r="2506">
      <c r="A2506" s="49"/>
      <c r="C2506" s="13"/>
      <c r="D2506" s="13"/>
      <c r="E2506" s="2"/>
      <c r="F2506" s="655"/>
      <c r="G2506" s="2"/>
      <c r="H2506" s="2"/>
      <c r="I2506" s="13"/>
      <c r="J2506" s="656"/>
      <c r="K2506" s="13"/>
      <c r="L2506" s="13"/>
      <c r="M2506" s="13"/>
      <c r="N2506" s="2"/>
      <c r="O2506" s="2"/>
      <c r="P2506" s="2"/>
      <c r="Q2506" s="2"/>
      <c r="R2506" s="101"/>
      <c r="U2506" s="101"/>
    </row>
    <row r="2507">
      <c r="A2507" s="49"/>
      <c r="C2507" s="13"/>
      <c r="D2507" s="13"/>
      <c r="E2507" s="2"/>
      <c r="F2507" s="655"/>
      <c r="G2507" s="2"/>
      <c r="H2507" s="2"/>
      <c r="I2507" s="13"/>
      <c r="J2507" s="656"/>
      <c r="K2507" s="13"/>
      <c r="L2507" s="13"/>
      <c r="M2507" s="13"/>
      <c r="N2507" s="2"/>
      <c r="O2507" s="2"/>
      <c r="P2507" s="2"/>
      <c r="Q2507" s="2"/>
      <c r="R2507" s="101"/>
      <c r="U2507" s="101"/>
    </row>
    <row r="2508">
      <c r="A2508" s="49"/>
      <c r="C2508" s="13"/>
      <c r="D2508" s="13"/>
      <c r="E2508" s="2"/>
      <c r="F2508" s="655"/>
      <c r="G2508" s="2"/>
      <c r="H2508" s="2"/>
      <c r="I2508" s="13"/>
      <c r="J2508" s="656"/>
      <c r="K2508" s="13"/>
      <c r="L2508" s="13"/>
      <c r="M2508" s="13"/>
      <c r="N2508" s="2"/>
      <c r="O2508" s="2"/>
      <c r="P2508" s="2"/>
      <c r="Q2508" s="2"/>
      <c r="R2508" s="101"/>
      <c r="U2508" s="101"/>
    </row>
    <row r="2509">
      <c r="A2509" s="49"/>
      <c r="C2509" s="13"/>
      <c r="D2509" s="13"/>
      <c r="E2509" s="2"/>
      <c r="F2509" s="655"/>
      <c r="G2509" s="2"/>
      <c r="H2509" s="2"/>
      <c r="I2509" s="13"/>
      <c r="J2509" s="656"/>
      <c r="K2509" s="13"/>
      <c r="L2509" s="13"/>
      <c r="M2509" s="13"/>
      <c r="N2509" s="2"/>
      <c r="O2509" s="2"/>
      <c r="P2509" s="2"/>
      <c r="Q2509" s="2"/>
      <c r="R2509" s="101"/>
      <c r="U2509" s="101"/>
    </row>
    <row r="2510">
      <c r="A2510" s="49"/>
      <c r="C2510" s="13"/>
      <c r="D2510" s="13"/>
      <c r="E2510" s="2"/>
      <c r="F2510" s="655"/>
      <c r="G2510" s="2"/>
      <c r="H2510" s="2"/>
      <c r="I2510" s="13"/>
      <c r="J2510" s="656"/>
      <c r="K2510" s="13"/>
      <c r="L2510" s="13"/>
      <c r="M2510" s="13"/>
      <c r="N2510" s="2"/>
      <c r="O2510" s="2"/>
      <c r="P2510" s="2"/>
      <c r="Q2510" s="2"/>
      <c r="R2510" s="101"/>
      <c r="U2510" s="101"/>
    </row>
    <row r="2511">
      <c r="A2511" s="49"/>
      <c r="C2511" s="13"/>
      <c r="D2511" s="13"/>
      <c r="E2511" s="2"/>
      <c r="F2511" s="655"/>
      <c r="G2511" s="2"/>
      <c r="H2511" s="2"/>
      <c r="I2511" s="13"/>
      <c r="J2511" s="656"/>
      <c r="K2511" s="13"/>
      <c r="L2511" s="13"/>
      <c r="M2511" s="13"/>
      <c r="N2511" s="2"/>
      <c r="O2511" s="2"/>
      <c r="P2511" s="2"/>
      <c r="Q2511" s="2"/>
      <c r="R2511" s="101"/>
      <c r="U2511" s="101"/>
    </row>
    <row r="2512">
      <c r="A2512" s="49"/>
      <c r="C2512" s="13"/>
      <c r="D2512" s="13"/>
      <c r="E2512" s="2"/>
      <c r="F2512" s="655"/>
      <c r="G2512" s="2"/>
      <c r="H2512" s="2"/>
      <c r="I2512" s="13"/>
      <c r="J2512" s="656"/>
      <c r="K2512" s="13"/>
      <c r="L2512" s="13"/>
      <c r="M2512" s="13"/>
      <c r="N2512" s="2"/>
      <c r="O2512" s="2"/>
      <c r="P2512" s="2"/>
      <c r="Q2512" s="2"/>
      <c r="R2512" s="101"/>
      <c r="U2512" s="101"/>
    </row>
    <row r="2513">
      <c r="A2513" s="49"/>
      <c r="C2513" s="13"/>
      <c r="D2513" s="13"/>
      <c r="E2513" s="2"/>
      <c r="F2513" s="655"/>
      <c r="G2513" s="2"/>
      <c r="H2513" s="2"/>
      <c r="I2513" s="13"/>
      <c r="J2513" s="656"/>
      <c r="K2513" s="13"/>
      <c r="L2513" s="13"/>
      <c r="M2513" s="13"/>
      <c r="N2513" s="2"/>
      <c r="O2513" s="2"/>
      <c r="P2513" s="2"/>
      <c r="Q2513" s="2"/>
      <c r="R2513" s="101"/>
      <c r="U2513" s="101"/>
    </row>
    <row r="2514">
      <c r="A2514" s="49"/>
      <c r="C2514" s="13"/>
      <c r="D2514" s="13"/>
      <c r="E2514" s="2"/>
      <c r="F2514" s="655"/>
      <c r="G2514" s="2"/>
      <c r="H2514" s="2"/>
      <c r="I2514" s="13"/>
      <c r="J2514" s="656"/>
      <c r="K2514" s="13"/>
      <c r="L2514" s="13"/>
      <c r="M2514" s="13"/>
      <c r="N2514" s="2"/>
      <c r="O2514" s="2"/>
      <c r="P2514" s="2"/>
      <c r="Q2514" s="2"/>
      <c r="R2514" s="101"/>
      <c r="U2514" s="101"/>
    </row>
    <row r="2515">
      <c r="A2515" s="49"/>
      <c r="C2515" s="13"/>
      <c r="D2515" s="13"/>
      <c r="E2515" s="2"/>
      <c r="F2515" s="655"/>
      <c r="G2515" s="2"/>
      <c r="H2515" s="2"/>
      <c r="I2515" s="13"/>
      <c r="J2515" s="656"/>
      <c r="K2515" s="13"/>
      <c r="L2515" s="13"/>
      <c r="M2515" s="13"/>
      <c r="N2515" s="2"/>
      <c r="O2515" s="2"/>
      <c r="P2515" s="2"/>
      <c r="Q2515" s="2"/>
      <c r="R2515" s="101"/>
      <c r="U2515" s="101"/>
    </row>
    <row r="2516">
      <c r="A2516" s="49"/>
      <c r="C2516" s="13"/>
      <c r="D2516" s="13"/>
      <c r="E2516" s="2"/>
      <c r="F2516" s="655"/>
      <c r="G2516" s="2"/>
      <c r="H2516" s="2"/>
      <c r="I2516" s="13"/>
      <c r="J2516" s="656"/>
      <c r="K2516" s="13"/>
      <c r="L2516" s="13"/>
      <c r="M2516" s="13"/>
      <c r="N2516" s="2"/>
      <c r="O2516" s="2"/>
      <c r="P2516" s="2"/>
      <c r="Q2516" s="2"/>
      <c r="R2516" s="101"/>
      <c r="U2516" s="101"/>
    </row>
    <row r="2517">
      <c r="A2517" s="49"/>
      <c r="C2517" s="13"/>
      <c r="D2517" s="13"/>
      <c r="E2517" s="2"/>
      <c r="F2517" s="655"/>
      <c r="G2517" s="2"/>
      <c r="H2517" s="2"/>
      <c r="I2517" s="13"/>
      <c r="J2517" s="656"/>
      <c r="K2517" s="13"/>
      <c r="L2517" s="13"/>
      <c r="M2517" s="13"/>
      <c r="N2517" s="2"/>
      <c r="O2517" s="2"/>
      <c r="P2517" s="2"/>
      <c r="Q2517" s="2"/>
      <c r="R2517" s="101"/>
      <c r="U2517" s="101"/>
    </row>
    <row r="2518">
      <c r="A2518" s="49"/>
      <c r="C2518" s="13"/>
      <c r="D2518" s="13"/>
      <c r="E2518" s="2"/>
      <c r="F2518" s="655"/>
      <c r="G2518" s="2"/>
      <c r="H2518" s="2"/>
      <c r="I2518" s="13"/>
      <c r="J2518" s="656"/>
      <c r="K2518" s="13"/>
      <c r="L2518" s="13"/>
      <c r="M2518" s="13"/>
      <c r="N2518" s="2"/>
      <c r="O2518" s="2"/>
      <c r="P2518" s="2"/>
      <c r="Q2518" s="2"/>
      <c r="R2518" s="101"/>
      <c r="U2518" s="101"/>
    </row>
    <row r="2519">
      <c r="A2519" s="49"/>
      <c r="C2519" s="13"/>
      <c r="D2519" s="13"/>
      <c r="E2519" s="2"/>
      <c r="F2519" s="655"/>
      <c r="G2519" s="2"/>
      <c r="H2519" s="2"/>
      <c r="I2519" s="13"/>
      <c r="J2519" s="656"/>
      <c r="K2519" s="13"/>
      <c r="L2519" s="13"/>
      <c r="M2519" s="13"/>
      <c r="N2519" s="2"/>
      <c r="O2519" s="2"/>
      <c r="P2519" s="2"/>
      <c r="Q2519" s="2"/>
      <c r="R2519" s="101"/>
      <c r="U2519" s="101"/>
    </row>
    <row r="2520">
      <c r="A2520" s="49"/>
      <c r="C2520" s="13"/>
      <c r="D2520" s="13"/>
      <c r="E2520" s="2"/>
      <c r="F2520" s="655"/>
      <c r="G2520" s="2"/>
      <c r="H2520" s="2"/>
      <c r="I2520" s="13"/>
      <c r="J2520" s="656"/>
      <c r="K2520" s="13"/>
      <c r="L2520" s="13"/>
      <c r="M2520" s="13"/>
      <c r="N2520" s="2"/>
      <c r="O2520" s="2"/>
      <c r="P2520" s="2"/>
      <c r="Q2520" s="2"/>
      <c r="R2520" s="101"/>
      <c r="U2520" s="101"/>
    </row>
    <row r="2521">
      <c r="A2521" s="49"/>
      <c r="C2521" s="13"/>
      <c r="D2521" s="13"/>
      <c r="E2521" s="2"/>
      <c r="F2521" s="655"/>
      <c r="G2521" s="2"/>
      <c r="H2521" s="2"/>
      <c r="I2521" s="13"/>
      <c r="J2521" s="656"/>
      <c r="K2521" s="13"/>
      <c r="L2521" s="13"/>
      <c r="M2521" s="13"/>
      <c r="N2521" s="2"/>
      <c r="O2521" s="2"/>
      <c r="P2521" s="2"/>
      <c r="Q2521" s="2"/>
      <c r="R2521" s="101"/>
      <c r="U2521" s="101"/>
    </row>
    <row r="2522">
      <c r="A2522" s="49"/>
      <c r="C2522" s="13"/>
      <c r="D2522" s="13"/>
      <c r="E2522" s="2"/>
      <c r="F2522" s="655"/>
      <c r="G2522" s="2"/>
      <c r="H2522" s="2"/>
      <c r="I2522" s="13"/>
      <c r="J2522" s="656"/>
      <c r="K2522" s="13"/>
      <c r="L2522" s="13"/>
      <c r="M2522" s="13"/>
      <c r="N2522" s="2"/>
      <c r="O2522" s="2"/>
      <c r="P2522" s="2"/>
      <c r="Q2522" s="2"/>
      <c r="R2522" s="101"/>
      <c r="U2522" s="101"/>
    </row>
    <row r="2523">
      <c r="A2523" s="49"/>
      <c r="C2523" s="13"/>
      <c r="D2523" s="13"/>
      <c r="E2523" s="2"/>
      <c r="F2523" s="655"/>
      <c r="G2523" s="2"/>
      <c r="H2523" s="2"/>
      <c r="I2523" s="13"/>
      <c r="J2523" s="656"/>
      <c r="K2523" s="13"/>
      <c r="L2523" s="13"/>
      <c r="M2523" s="13"/>
      <c r="N2523" s="2"/>
      <c r="O2523" s="2"/>
      <c r="P2523" s="2"/>
      <c r="Q2523" s="2"/>
      <c r="R2523" s="101"/>
      <c r="U2523" s="101"/>
    </row>
    <row r="2524">
      <c r="A2524" s="49"/>
      <c r="C2524" s="13"/>
      <c r="D2524" s="13"/>
      <c r="E2524" s="2"/>
      <c r="F2524" s="655"/>
      <c r="G2524" s="2"/>
      <c r="H2524" s="2"/>
      <c r="I2524" s="13"/>
      <c r="J2524" s="656"/>
      <c r="K2524" s="13"/>
      <c r="L2524" s="13"/>
      <c r="M2524" s="13"/>
      <c r="N2524" s="2"/>
      <c r="O2524" s="2"/>
      <c r="P2524" s="2"/>
      <c r="Q2524" s="2"/>
      <c r="R2524" s="101"/>
      <c r="U2524" s="101"/>
    </row>
    <row r="2525">
      <c r="A2525" s="49"/>
      <c r="C2525" s="13"/>
      <c r="D2525" s="13"/>
      <c r="E2525" s="2"/>
      <c r="F2525" s="655"/>
      <c r="G2525" s="2"/>
      <c r="H2525" s="2"/>
      <c r="I2525" s="13"/>
      <c r="J2525" s="656"/>
      <c r="K2525" s="13"/>
      <c r="L2525" s="13"/>
      <c r="M2525" s="13"/>
      <c r="N2525" s="2"/>
      <c r="O2525" s="2"/>
      <c r="P2525" s="2"/>
      <c r="Q2525" s="2"/>
      <c r="R2525" s="101"/>
      <c r="U2525" s="101"/>
    </row>
    <row r="2526">
      <c r="A2526" s="49"/>
      <c r="C2526" s="13"/>
      <c r="D2526" s="13"/>
      <c r="E2526" s="2"/>
      <c r="F2526" s="655"/>
      <c r="G2526" s="2"/>
      <c r="H2526" s="2"/>
      <c r="I2526" s="13"/>
      <c r="J2526" s="656"/>
      <c r="K2526" s="13"/>
      <c r="L2526" s="13"/>
      <c r="M2526" s="13"/>
      <c r="N2526" s="2"/>
      <c r="O2526" s="2"/>
      <c r="P2526" s="2"/>
      <c r="Q2526" s="2"/>
      <c r="R2526" s="101"/>
      <c r="U2526" s="101"/>
    </row>
    <row r="2527">
      <c r="A2527" s="49"/>
      <c r="C2527" s="13"/>
      <c r="D2527" s="13"/>
      <c r="E2527" s="2"/>
      <c r="F2527" s="655"/>
      <c r="G2527" s="2"/>
      <c r="H2527" s="2"/>
      <c r="I2527" s="13"/>
      <c r="J2527" s="656"/>
      <c r="K2527" s="13"/>
      <c r="L2527" s="13"/>
      <c r="M2527" s="13"/>
      <c r="N2527" s="2"/>
      <c r="O2527" s="2"/>
      <c r="P2527" s="2"/>
      <c r="Q2527" s="2"/>
      <c r="R2527" s="101"/>
      <c r="U2527" s="101"/>
    </row>
    <row r="2528">
      <c r="A2528" s="49"/>
      <c r="C2528" s="13"/>
      <c r="D2528" s="13"/>
      <c r="E2528" s="2"/>
      <c r="F2528" s="655"/>
      <c r="G2528" s="2"/>
      <c r="H2528" s="2"/>
      <c r="I2528" s="13"/>
      <c r="J2528" s="656"/>
      <c r="K2528" s="13"/>
      <c r="L2528" s="13"/>
      <c r="M2528" s="13"/>
      <c r="N2528" s="2"/>
      <c r="O2528" s="2"/>
      <c r="P2528" s="2"/>
      <c r="Q2528" s="2"/>
      <c r="R2528" s="101"/>
      <c r="U2528" s="101"/>
    </row>
    <row r="2529">
      <c r="A2529" s="49"/>
      <c r="C2529" s="13"/>
      <c r="D2529" s="13"/>
      <c r="E2529" s="2"/>
      <c r="F2529" s="655"/>
      <c r="G2529" s="2"/>
      <c r="H2529" s="2"/>
      <c r="I2529" s="13"/>
      <c r="J2529" s="656"/>
      <c r="K2529" s="13"/>
      <c r="L2529" s="13"/>
      <c r="M2529" s="13"/>
      <c r="N2529" s="2"/>
      <c r="O2529" s="2"/>
      <c r="P2529" s="2"/>
      <c r="Q2529" s="2"/>
      <c r="R2529" s="101"/>
      <c r="U2529" s="101"/>
    </row>
    <row r="2530">
      <c r="A2530" s="49"/>
      <c r="C2530" s="13"/>
      <c r="D2530" s="13"/>
      <c r="E2530" s="2"/>
      <c r="F2530" s="655"/>
      <c r="G2530" s="2"/>
      <c r="H2530" s="2"/>
      <c r="I2530" s="13"/>
      <c r="J2530" s="656"/>
      <c r="K2530" s="13"/>
      <c r="L2530" s="13"/>
      <c r="M2530" s="13"/>
      <c r="N2530" s="2"/>
      <c r="O2530" s="2"/>
      <c r="P2530" s="2"/>
      <c r="Q2530" s="2"/>
      <c r="R2530" s="101"/>
      <c r="U2530" s="101"/>
    </row>
    <row r="2531">
      <c r="A2531" s="49"/>
      <c r="C2531" s="13"/>
      <c r="D2531" s="13"/>
      <c r="E2531" s="2"/>
      <c r="F2531" s="655"/>
      <c r="G2531" s="2"/>
      <c r="H2531" s="2"/>
      <c r="I2531" s="13"/>
      <c r="J2531" s="656"/>
      <c r="K2531" s="13"/>
      <c r="L2531" s="13"/>
      <c r="M2531" s="13"/>
      <c r="N2531" s="2"/>
      <c r="O2531" s="2"/>
      <c r="P2531" s="2"/>
      <c r="Q2531" s="2"/>
      <c r="R2531" s="101"/>
      <c r="U2531" s="101"/>
    </row>
    <row r="2532">
      <c r="A2532" s="49"/>
      <c r="C2532" s="13"/>
      <c r="D2532" s="13"/>
      <c r="E2532" s="2"/>
      <c r="F2532" s="655"/>
      <c r="G2532" s="2"/>
      <c r="H2532" s="2"/>
      <c r="I2532" s="13"/>
      <c r="J2532" s="656"/>
      <c r="K2532" s="13"/>
      <c r="L2532" s="13"/>
      <c r="M2532" s="13"/>
      <c r="N2532" s="2"/>
      <c r="O2532" s="2"/>
      <c r="P2532" s="2"/>
      <c r="Q2532" s="2"/>
      <c r="R2532" s="101"/>
      <c r="U2532" s="101"/>
    </row>
    <row r="2533">
      <c r="A2533" s="49"/>
      <c r="C2533" s="13"/>
      <c r="D2533" s="13"/>
      <c r="E2533" s="2"/>
      <c r="F2533" s="655"/>
      <c r="G2533" s="2"/>
      <c r="H2533" s="2"/>
      <c r="I2533" s="13"/>
      <c r="J2533" s="656"/>
      <c r="K2533" s="13"/>
      <c r="L2533" s="13"/>
      <c r="M2533" s="13"/>
      <c r="N2533" s="2"/>
      <c r="O2533" s="2"/>
      <c r="P2533" s="2"/>
      <c r="Q2533" s="2"/>
      <c r="R2533" s="101"/>
      <c r="U2533" s="101"/>
    </row>
    <row r="2534">
      <c r="A2534" s="49"/>
      <c r="C2534" s="13"/>
      <c r="D2534" s="13"/>
      <c r="E2534" s="2"/>
      <c r="F2534" s="655"/>
      <c r="G2534" s="2"/>
      <c r="H2534" s="2"/>
      <c r="I2534" s="13"/>
      <c r="J2534" s="656"/>
      <c r="K2534" s="13"/>
      <c r="L2534" s="13"/>
      <c r="M2534" s="13"/>
      <c r="N2534" s="2"/>
      <c r="O2534" s="2"/>
      <c r="P2534" s="2"/>
      <c r="Q2534" s="2"/>
      <c r="R2534" s="101"/>
      <c r="U2534" s="101"/>
    </row>
    <row r="2535">
      <c r="A2535" s="49"/>
      <c r="C2535" s="13"/>
      <c r="D2535" s="13"/>
      <c r="E2535" s="2"/>
      <c r="F2535" s="655"/>
      <c r="G2535" s="2"/>
      <c r="H2535" s="2"/>
      <c r="I2535" s="13"/>
      <c r="J2535" s="656"/>
      <c r="K2535" s="13"/>
      <c r="L2535" s="13"/>
      <c r="M2535" s="13"/>
      <c r="N2535" s="2"/>
      <c r="O2535" s="2"/>
      <c r="P2535" s="2"/>
      <c r="Q2535" s="2"/>
      <c r="R2535" s="101"/>
      <c r="U2535" s="101"/>
    </row>
    <row r="2536">
      <c r="A2536" s="49"/>
      <c r="C2536" s="13"/>
      <c r="D2536" s="13"/>
      <c r="E2536" s="2"/>
      <c r="F2536" s="655"/>
      <c r="G2536" s="2"/>
      <c r="H2536" s="2"/>
      <c r="I2536" s="13"/>
      <c r="J2536" s="656"/>
      <c r="K2536" s="13"/>
      <c r="L2536" s="13"/>
      <c r="M2536" s="13"/>
      <c r="N2536" s="2"/>
      <c r="O2536" s="2"/>
      <c r="P2536" s="2"/>
      <c r="Q2536" s="2"/>
      <c r="R2536" s="101"/>
      <c r="U2536" s="101"/>
    </row>
    <row r="2537">
      <c r="A2537" s="49"/>
      <c r="C2537" s="13"/>
      <c r="D2537" s="13"/>
      <c r="E2537" s="2"/>
      <c r="F2537" s="655"/>
      <c r="G2537" s="2"/>
      <c r="H2537" s="2"/>
      <c r="I2537" s="13"/>
      <c r="J2537" s="656"/>
      <c r="K2537" s="13"/>
      <c r="L2537" s="13"/>
      <c r="M2537" s="13"/>
      <c r="N2537" s="2"/>
      <c r="O2537" s="2"/>
      <c r="P2537" s="2"/>
      <c r="Q2537" s="2"/>
      <c r="R2537" s="101"/>
      <c r="U2537" s="101"/>
    </row>
    <row r="2538">
      <c r="A2538" s="49"/>
      <c r="C2538" s="13"/>
      <c r="D2538" s="13"/>
      <c r="E2538" s="2"/>
      <c r="F2538" s="655"/>
      <c r="G2538" s="2"/>
      <c r="H2538" s="2"/>
      <c r="I2538" s="13"/>
      <c r="J2538" s="656"/>
      <c r="K2538" s="13"/>
      <c r="L2538" s="13"/>
      <c r="M2538" s="13"/>
      <c r="N2538" s="2"/>
      <c r="O2538" s="2"/>
      <c r="P2538" s="2"/>
      <c r="Q2538" s="2"/>
      <c r="R2538" s="101"/>
      <c r="U2538" s="101"/>
    </row>
    <row r="2539">
      <c r="A2539" s="49"/>
      <c r="C2539" s="13"/>
      <c r="D2539" s="13"/>
      <c r="E2539" s="2"/>
      <c r="F2539" s="655"/>
      <c r="G2539" s="2"/>
      <c r="H2539" s="2"/>
      <c r="I2539" s="13"/>
      <c r="J2539" s="656"/>
      <c r="K2539" s="13"/>
      <c r="L2539" s="13"/>
      <c r="M2539" s="13"/>
      <c r="N2539" s="2"/>
      <c r="O2539" s="2"/>
      <c r="P2539" s="2"/>
      <c r="Q2539" s="2"/>
      <c r="R2539" s="101"/>
      <c r="U2539" s="101"/>
    </row>
    <row r="2540">
      <c r="A2540" s="49"/>
      <c r="C2540" s="13"/>
      <c r="D2540" s="13"/>
      <c r="E2540" s="2"/>
      <c r="F2540" s="655"/>
      <c r="G2540" s="2"/>
      <c r="H2540" s="2"/>
      <c r="I2540" s="13"/>
      <c r="J2540" s="656"/>
      <c r="K2540" s="13"/>
      <c r="L2540" s="13"/>
      <c r="M2540" s="13"/>
      <c r="N2540" s="2"/>
      <c r="O2540" s="2"/>
      <c r="P2540" s="2"/>
      <c r="Q2540" s="2"/>
      <c r="R2540" s="101"/>
      <c r="U2540" s="101"/>
    </row>
    <row r="2541">
      <c r="A2541" s="49"/>
      <c r="C2541" s="13"/>
      <c r="D2541" s="13"/>
      <c r="E2541" s="2"/>
      <c r="F2541" s="655"/>
      <c r="G2541" s="2"/>
      <c r="H2541" s="2"/>
      <c r="I2541" s="13"/>
      <c r="J2541" s="656"/>
      <c r="K2541" s="13"/>
      <c r="L2541" s="13"/>
      <c r="M2541" s="13"/>
      <c r="N2541" s="2"/>
      <c r="O2541" s="2"/>
      <c r="P2541" s="2"/>
      <c r="Q2541" s="2"/>
      <c r="R2541" s="101"/>
      <c r="U2541" s="101"/>
    </row>
    <row r="2542">
      <c r="A2542" s="49"/>
      <c r="C2542" s="13"/>
      <c r="D2542" s="13"/>
      <c r="E2542" s="2"/>
      <c r="F2542" s="655"/>
      <c r="G2542" s="2"/>
      <c r="H2542" s="2"/>
      <c r="I2542" s="13"/>
      <c r="J2542" s="656"/>
      <c r="K2542" s="13"/>
      <c r="L2542" s="13"/>
      <c r="M2542" s="13"/>
      <c r="N2542" s="2"/>
      <c r="O2542" s="2"/>
      <c r="P2542" s="2"/>
      <c r="Q2542" s="2"/>
      <c r="R2542" s="101"/>
      <c r="U2542" s="101"/>
    </row>
    <row r="2543">
      <c r="A2543" s="49"/>
      <c r="C2543" s="13"/>
      <c r="D2543" s="13"/>
      <c r="E2543" s="2"/>
      <c r="F2543" s="655"/>
      <c r="G2543" s="2"/>
      <c r="H2543" s="2"/>
      <c r="I2543" s="13"/>
      <c r="J2543" s="656"/>
      <c r="K2543" s="13"/>
      <c r="L2543" s="13"/>
      <c r="M2543" s="13"/>
      <c r="N2543" s="2"/>
      <c r="O2543" s="2"/>
      <c r="P2543" s="2"/>
      <c r="Q2543" s="2"/>
      <c r="R2543" s="101"/>
      <c r="U2543" s="101"/>
    </row>
    <row r="2544">
      <c r="A2544" s="49"/>
      <c r="C2544" s="13"/>
      <c r="D2544" s="13"/>
      <c r="E2544" s="2"/>
      <c r="F2544" s="655"/>
      <c r="G2544" s="2"/>
      <c r="H2544" s="2"/>
      <c r="I2544" s="13"/>
      <c r="J2544" s="656"/>
      <c r="K2544" s="13"/>
      <c r="L2544" s="13"/>
      <c r="M2544" s="13"/>
      <c r="N2544" s="2"/>
      <c r="O2544" s="2"/>
      <c r="P2544" s="2"/>
      <c r="Q2544" s="2"/>
      <c r="R2544" s="101"/>
      <c r="U2544" s="101"/>
    </row>
    <row r="2545">
      <c r="A2545" s="49"/>
      <c r="C2545" s="13"/>
      <c r="D2545" s="13"/>
      <c r="E2545" s="2"/>
      <c r="F2545" s="655"/>
      <c r="G2545" s="2"/>
      <c r="H2545" s="2"/>
      <c r="I2545" s="13"/>
      <c r="J2545" s="656"/>
      <c r="K2545" s="13"/>
      <c r="L2545" s="13"/>
      <c r="M2545" s="13"/>
      <c r="N2545" s="2"/>
      <c r="O2545" s="2"/>
      <c r="P2545" s="2"/>
      <c r="Q2545" s="2"/>
      <c r="R2545" s="101"/>
      <c r="U2545" s="101"/>
    </row>
    <row r="2546">
      <c r="A2546" s="49"/>
      <c r="C2546" s="13"/>
      <c r="D2546" s="13"/>
      <c r="E2546" s="2"/>
      <c r="F2546" s="655"/>
      <c r="G2546" s="2"/>
      <c r="H2546" s="2"/>
      <c r="I2546" s="13"/>
      <c r="J2546" s="656"/>
      <c r="K2546" s="13"/>
      <c r="L2546" s="13"/>
      <c r="M2546" s="13"/>
      <c r="N2546" s="2"/>
      <c r="O2546" s="2"/>
      <c r="P2546" s="2"/>
      <c r="Q2546" s="2"/>
      <c r="R2546" s="101"/>
      <c r="U2546" s="101"/>
    </row>
    <row r="2547">
      <c r="A2547" s="49"/>
      <c r="C2547" s="13"/>
      <c r="D2547" s="13"/>
      <c r="E2547" s="2"/>
      <c r="F2547" s="655"/>
      <c r="G2547" s="2"/>
      <c r="H2547" s="2"/>
      <c r="I2547" s="13"/>
      <c r="J2547" s="656"/>
      <c r="K2547" s="13"/>
      <c r="L2547" s="13"/>
      <c r="M2547" s="13"/>
      <c r="N2547" s="2"/>
      <c r="O2547" s="2"/>
      <c r="P2547" s="2"/>
      <c r="Q2547" s="2"/>
      <c r="R2547" s="101"/>
      <c r="U2547" s="101"/>
    </row>
    <row r="2548">
      <c r="A2548" s="49"/>
      <c r="C2548" s="13"/>
      <c r="D2548" s="13"/>
      <c r="E2548" s="2"/>
      <c r="F2548" s="655"/>
      <c r="G2548" s="2"/>
      <c r="H2548" s="2"/>
      <c r="I2548" s="13"/>
      <c r="J2548" s="656"/>
      <c r="K2548" s="13"/>
      <c r="L2548" s="13"/>
      <c r="M2548" s="13"/>
      <c r="N2548" s="2"/>
      <c r="O2548" s="2"/>
      <c r="P2548" s="2"/>
      <c r="Q2548" s="2"/>
      <c r="R2548" s="101"/>
      <c r="U2548" s="101"/>
    </row>
    <row r="2549">
      <c r="A2549" s="49"/>
      <c r="C2549" s="13"/>
      <c r="D2549" s="13"/>
      <c r="E2549" s="2"/>
      <c r="F2549" s="655"/>
      <c r="G2549" s="2"/>
      <c r="H2549" s="2"/>
      <c r="I2549" s="13"/>
      <c r="J2549" s="656"/>
      <c r="K2549" s="13"/>
      <c r="L2549" s="13"/>
      <c r="M2549" s="13"/>
      <c r="N2549" s="2"/>
      <c r="O2549" s="2"/>
      <c r="P2549" s="2"/>
      <c r="Q2549" s="2"/>
      <c r="R2549" s="101"/>
      <c r="U2549" s="101"/>
    </row>
    <row r="2550">
      <c r="A2550" s="49"/>
      <c r="C2550" s="13"/>
      <c r="D2550" s="13"/>
      <c r="E2550" s="2"/>
      <c r="F2550" s="655"/>
      <c r="G2550" s="2"/>
      <c r="H2550" s="2"/>
      <c r="I2550" s="13"/>
      <c r="J2550" s="656"/>
      <c r="K2550" s="13"/>
      <c r="L2550" s="13"/>
      <c r="M2550" s="13"/>
      <c r="N2550" s="2"/>
      <c r="O2550" s="2"/>
      <c r="P2550" s="2"/>
      <c r="Q2550" s="2"/>
      <c r="R2550" s="101"/>
      <c r="U2550" s="101"/>
    </row>
    <row r="2551">
      <c r="A2551" s="49"/>
      <c r="C2551" s="13"/>
      <c r="D2551" s="13"/>
      <c r="E2551" s="2"/>
      <c r="F2551" s="655"/>
      <c r="G2551" s="2"/>
      <c r="H2551" s="2"/>
      <c r="I2551" s="13"/>
      <c r="J2551" s="656"/>
      <c r="K2551" s="13"/>
      <c r="L2551" s="13"/>
      <c r="M2551" s="13"/>
      <c r="N2551" s="2"/>
      <c r="O2551" s="2"/>
      <c r="P2551" s="2"/>
      <c r="Q2551" s="2"/>
      <c r="R2551" s="101"/>
      <c r="U2551" s="101"/>
    </row>
    <row r="2552">
      <c r="A2552" s="49"/>
      <c r="C2552" s="13"/>
      <c r="D2552" s="13"/>
      <c r="E2552" s="2"/>
      <c r="F2552" s="655"/>
      <c r="G2552" s="2"/>
      <c r="H2552" s="2"/>
      <c r="I2552" s="13"/>
      <c r="J2552" s="656"/>
      <c r="K2552" s="13"/>
      <c r="L2552" s="13"/>
      <c r="M2552" s="13"/>
      <c r="N2552" s="2"/>
      <c r="O2552" s="2"/>
      <c r="P2552" s="2"/>
      <c r="Q2552" s="2"/>
      <c r="R2552" s="101"/>
      <c r="U2552" s="101"/>
    </row>
    <row r="2553">
      <c r="A2553" s="49"/>
      <c r="C2553" s="13"/>
      <c r="D2553" s="13"/>
      <c r="E2553" s="2"/>
      <c r="F2553" s="655"/>
      <c r="G2553" s="2"/>
      <c r="H2553" s="2"/>
      <c r="I2553" s="13"/>
      <c r="J2553" s="656"/>
      <c r="K2553" s="13"/>
      <c r="L2553" s="13"/>
      <c r="M2553" s="13"/>
      <c r="N2553" s="2"/>
      <c r="O2553" s="2"/>
      <c r="P2553" s="2"/>
      <c r="Q2553" s="2"/>
      <c r="R2553" s="101"/>
      <c r="U2553" s="101"/>
    </row>
    <row r="2554">
      <c r="A2554" s="49"/>
      <c r="C2554" s="13"/>
      <c r="D2554" s="13"/>
      <c r="E2554" s="2"/>
      <c r="F2554" s="655"/>
      <c r="G2554" s="2"/>
      <c r="H2554" s="2"/>
      <c r="I2554" s="13"/>
      <c r="J2554" s="656"/>
      <c r="K2554" s="13"/>
      <c r="L2554" s="13"/>
      <c r="M2554" s="13"/>
      <c r="N2554" s="2"/>
      <c r="O2554" s="2"/>
      <c r="P2554" s="2"/>
      <c r="Q2554" s="2"/>
      <c r="R2554" s="101"/>
      <c r="U2554" s="101"/>
    </row>
    <row r="2555">
      <c r="A2555" s="49"/>
      <c r="C2555" s="13"/>
      <c r="D2555" s="13"/>
      <c r="E2555" s="2"/>
      <c r="F2555" s="655"/>
      <c r="G2555" s="2"/>
      <c r="H2555" s="2"/>
      <c r="I2555" s="13"/>
      <c r="J2555" s="656"/>
      <c r="K2555" s="13"/>
      <c r="L2555" s="13"/>
      <c r="M2555" s="13"/>
      <c r="N2555" s="2"/>
      <c r="O2555" s="2"/>
      <c r="P2555" s="2"/>
      <c r="Q2555" s="2"/>
      <c r="R2555" s="101"/>
      <c r="U2555" s="101"/>
    </row>
    <row r="2556">
      <c r="A2556" s="49"/>
      <c r="C2556" s="13"/>
      <c r="D2556" s="13"/>
      <c r="E2556" s="2"/>
      <c r="F2556" s="655"/>
      <c r="G2556" s="2"/>
      <c r="H2556" s="2"/>
      <c r="I2556" s="13"/>
      <c r="J2556" s="656"/>
      <c r="K2556" s="13"/>
      <c r="L2556" s="13"/>
      <c r="M2556" s="13"/>
      <c r="N2556" s="2"/>
      <c r="O2556" s="2"/>
      <c r="P2556" s="2"/>
      <c r="Q2556" s="2"/>
      <c r="R2556" s="101"/>
      <c r="U2556" s="101"/>
    </row>
    <row r="2557">
      <c r="A2557" s="49"/>
      <c r="C2557" s="13"/>
      <c r="D2557" s="13"/>
      <c r="E2557" s="2"/>
      <c r="F2557" s="655"/>
      <c r="G2557" s="2"/>
      <c r="H2557" s="2"/>
      <c r="I2557" s="13"/>
      <c r="J2557" s="656"/>
      <c r="K2557" s="13"/>
      <c r="L2557" s="13"/>
      <c r="M2557" s="13"/>
      <c r="N2557" s="2"/>
      <c r="O2557" s="2"/>
      <c r="P2557" s="2"/>
      <c r="Q2557" s="2"/>
      <c r="R2557" s="101"/>
      <c r="U2557" s="101"/>
    </row>
    <row r="2558">
      <c r="A2558" s="49"/>
      <c r="C2558" s="13"/>
      <c r="D2558" s="13"/>
      <c r="E2558" s="2"/>
      <c r="F2558" s="655"/>
      <c r="G2558" s="2"/>
      <c r="H2558" s="2"/>
      <c r="I2558" s="13"/>
      <c r="J2558" s="656"/>
      <c r="K2558" s="13"/>
      <c r="L2558" s="13"/>
      <c r="M2558" s="13"/>
      <c r="N2558" s="2"/>
      <c r="O2558" s="2"/>
      <c r="P2558" s="2"/>
      <c r="Q2558" s="2"/>
      <c r="R2558" s="101"/>
      <c r="U2558" s="101"/>
    </row>
    <row r="2559">
      <c r="A2559" s="49"/>
      <c r="C2559" s="13"/>
      <c r="D2559" s="13"/>
      <c r="E2559" s="2"/>
      <c r="F2559" s="655"/>
      <c r="G2559" s="2"/>
      <c r="H2559" s="2"/>
      <c r="I2559" s="13"/>
      <c r="J2559" s="656"/>
      <c r="K2559" s="13"/>
      <c r="L2559" s="13"/>
      <c r="M2559" s="13"/>
      <c r="N2559" s="2"/>
      <c r="O2559" s="2"/>
      <c r="P2559" s="2"/>
      <c r="Q2559" s="2"/>
      <c r="R2559" s="101"/>
      <c r="U2559" s="101"/>
    </row>
    <row r="2560">
      <c r="A2560" s="49"/>
      <c r="C2560" s="13"/>
      <c r="D2560" s="13"/>
      <c r="E2560" s="2"/>
      <c r="F2560" s="655"/>
      <c r="G2560" s="2"/>
      <c r="H2560" s="2"/>
      <c r="I2560" s="13"/>
      <c r="J2560" s="656"/>
      <c r="K2560" s="13"/>
      <c r="L2560" s="13"/>
      <c r="M2560" s="13"/>
      <c r="N2560" s="2"/>
      <c r="O2560" s="2"/>
      <c r="P2560" s="2"/>
      <c r="Q2560" s="2"/>
      <c r="R2560" s="101"/>
      <c r="U2560" s="101"/>
    </row>
    <row r="2561">
      <c r="A2561" s="49"/>
      <c r="C2561" s="13"/>
      <c r="D2561" s="13"/>
      <c r="E2561" s="2"/>
      <c r="F2561" s="655"/>
      <c r="G2561" s="2"/>
      <c r="H2561" s="2"/>
      <c r="I2561" s="13"/>
      <c r="J2561" s="656"/>
      <c r="K2561" s="13"/>
      <c r="L2561" s="13"/>
      <c r="M2561" s="13"/>
      <c r="N2561" s="2"/>
      <c r="O2561" s="2"/>
      <c r="P2561" s="2"/>
      <c r="Q2561" s="2"/>
      <c r="R2561" s="101"/>
      <c r="U2561" s="101"/>
    </row>
    <row r="2562">
      <c r="A2562" s="49"/>
      <c r="C2562" s="13"/>
      <c r="D2562" s="13"/>
      <c r="E2562" s="2"/>
      <c r="F2562" s="655"/>
      <c r="G2562" s="2"/>
      <c r="H2562" s="2"/>
      <c r="I2562" s="13"/>
      <c r="J2562" s="656"/>
      <c r="K2562" s="13"/>
      <c r="L2562" s="13"/>
      <c r="M2562" s="13"/>
      <c r="N2562" s="2"/>
      <c r="O2562" s="2"/>
      <c r="P2562" s="2"/>
      <c r="Q2562" s="2"/>
      <c r="R2562" s="101"/>
      <c r="U2562" s="101"/>
    </row>
    <row r="2563">
      <c r="A2563" s="49"/>
      <c r="C2563" s="13"/>
      <c r="D2563" s="13"/>
      <c r="E2563" s="2"/>
      <c r="F2563" s="655"/>
      <c r="G2563" s="2"/>
      <c r="H2563" s="2"/>
      <c r="I2563" s="13"/>
      <c r="J2563" s="656"/>
      <c r="K2563" s="13"/>
      <c r="L2563" s="13"/>
      <c r="M2563" s="13"/>
      <c r="N2563" s="2"/>
      <c r="O2563" s="2"/>
      <c r="P2563" s="2"/>
      <c r="Q2563" s="2"/>
      <c r="R2563" s="101"/>
      <c r="U2563" s="101"/>
    </row>
    <row r="2564">
      <c r="A2564" s="49"/>
      <c r="C2564" s="13"/>
      <c r="D2564" s="13"/>
      <c r="E2564" s="2"/>
      <c r="F2564" s="655"/>
      <c r="G2564" s="2"/>
      <c r="H2564" s="2"/>
      <c r="I2564" s="13"/>
      <c r="J2564" s="656"/>
      <c r="K2564" s="13"/>
      <c r="L2564" s="13"/>
      <c r="M2564" s="13"/>
      <c r="N2564" s="2"/>
      <c r="O2564" s="2"/>
      <c r="P2564" s="2"/>
      <c r="Q2564" s="2"/>
      <c r="R2564" s="101"/>
      <c r="U2564" s="101"/>
    </row>
    <row r="2565">
      <c r="A2565" s="49"/>
      <c r="C2565" s="13"/>
      <c r="D2565" s="13"/>
      <c r="E2565" s="2"/>
      <c r="F2565" s="655"/>
      <c r="G2565" s="2"/>
      <c r="H2565" s="2"/>
      <c r="I2565" s="13"/>
      <c r="J2565" s="656"/>
      <c r="K2565" s="13"/>
      <c r="L2565" s="13"/>
      <c r="M2565" s="13"/>
      <c r="N2565" s="2"/>
      <c r="O2565" s="2"/>
      <c r="P2565" s="2"/>
      <c r="Q2565" s="2"/>
      <c r="R2565" s="101"/>
      <c r="U2565" s="101"/>
    </row>
    <row r="2566">
      <c r="A2566" s="49"/>
      <c r="C2566" s="13"/>
      <c r="D2566" s="13"/>
      <c r="E2566" s="2"/>
      <c r="F2566" s="655"/>
      <c r="G2566" s="2"/>
      <c r="H2566" s="2"/>
      <c r="I2566" s="13"/>
      <c r="J2566" s="656"/>
      <c r="K2566" s="13"/>
      <c r="L2566" s="13"/>
      <c r="M2566" s="13"/>
      <c r="N2566" s="2"/>
      <c r="O2566" s="2"/>
      <c r="P2566" s="2"/>
      <c r="Q2566" s="2"/>
      <c r="R2566" s="101"/>
      <c r="U2566" s="101"/>
    </row>
    <row r="2567">
      <c r="A2567" s="49"/>
      <c r="C2567" s="13"/>
      <c r="D2567" s="13"/>
      <c r="E2567" s="2"/>
      <c r="F2567" s="655"/>
      <c r="G2567" s="2"/>
      <c r="H2567" s="2"/>
      <c r="I2567" s="13"/>
      <c r="J2567" s="656"/>
      <c r="K2567" s="13"/>
      <c r="L2567" s="13"/>
      <c r="M2567" s="13"/>
      <c r="N2567" s="2"/>
      <c r="O2567" s="2"/>
      <c r="P2567" s="2"/>
      <c r="Q2567" s="2"/>
      <c r="R2567" s="101"/>
      <c r="U2567" s="101"/>
    </row>
    <row r="2568">
      <c r="A2568" s="49"/>
      <c r="C2568" s="13"/>
      <c r="D2568" s="13"/>
      <c r="E2568" s="2"/>
      <c r="F2568" s="655"/>
      <c r="G2568" s="2"/>
      <c r="H2568" s="2"/>
      <c r="I2568" s="13"/>
      <c r="J2568" s="656"/>
      <c r="K2568" s="13"/>
      <c r="L2568" s="13"/>
      <c r="M2568" s="13"/>
      <c r="N2568" s="2"/>
      <c r="O2568" s="2"/>
      <c r="P2568" s="2"/>
      <c r="Q2568" s="2"/>
      <c r="R2568" s="101"/>
      <c r="U2568" s="101"/>
    </row>
    <row r="2569">
      <c r="A2569" s="49"/>
      <c r="C2569" s="13"/>
      <c r="D2569" s="13"/>
      <c r="E2569" s="2"/>
      <c r="F2569" s="655"/>
      <c r="G2569" s="2"/>
      <c r="H2569" s="2"/>
      <c r="I2569" s="13"/>
      <c r="J2569" s="656"/>
      <c r="K2569" s="13"/>
      <c r="L2569" s="13"/>
      <c r="M2569" s="13"/>
      <c r="N2569" s="2"/>
      <c r="O2569" s="2"/>
      <c r="P2569" s="2"/>
      <c r="Q2569" s="2"/>
      <c r="R2569" s="101"/>
      <c r="U2569" s="101"/>
    </row>
    <row r="2570">
      <c r="A2570" s="49"/>
      <c r="C2570" s="13"/>
      <c r="D2570" s="13"/>
      <c r="E2570" s="2"/>
      <c r="F2570" s="655"/>
      <c r="G2570" s="2"/>
      <c r="H2570" s="2"/>
      <c r="I2570" s="13"/>
      <c r="J2570" s="656"/>
      <c r="K2570" s="13"/>
      <c r="L2570" s="13"/>
      <c r="M2570" s="13"/>
      <c r="N2570" s="2"/>
      <c r="O2570" s="2"/>
      <c r="P2570" s="2"/>
      <c r="Q2570" s="2"/>
      <c r="R2570" s="101"/>
      <c r="U2570" s="101"/>
    </row>
    <row r="2571">
      <c r="A2571" s="49"/>
      <c r="C2571" s="13"/>
      <c r="D2571" s="13"/>
      <c r="E2571" s="2"/>
      <c r="F2571" s="655"/>
      <c r="G2571" s="2"/>
      <c r="H2571" s="2"/>
      <c r="I2571" s="13"/>
      <c r="J2571" s="656"/>
      <c r="K2571" s="13"/>
      <c r="L2571" s="13"/>
      <c r="M2571" s="13"/>
      <c r="N2571" s="2"/>
      <c r="O2571" s="2"/>
      <c r="P2571" s="2"/>
      <c r="Q2571" s="2"/>
      <c r="R2571" s="101"/>
      <c r="U2571" s="101"/>
    </row>
    <row r="2572">
      <c r="A2572" s="49"/>
      <c r="C2572" s="13"/>
      <c r="D2572" s="13"/>
      <c r="E2572" s="2"/>
      <c r="F2572" s="655"/>
      <c r="G2572" s="2"/>
      <c r="H2572" s="2"/>
      <c r="I2572" s="13"/>
      <c r="J2572" s="656"/>
      <c r="K2572" s="13"/>
      <c r="L2572" s="13"/>
      <c r="M2572" s="13"/>
      <c r="N2572" s="2"/>
      <c r="O2572" s="2"/>
      <c r="P2572" s="2"/>
      <c r="Q2572" s="2"/>
      <c r="R2572" s="101"/>
      <c r="U2572" s="101"/>
    </row>
    <row r="2573">
      <c r="A2573" s="49"/>
      <c r="C2573" s="13"/>
      <c r="D2573" s="13"/>
      <c r="E2573" s="2"/>
      <c r="F2573" s="655"/>
      <c r="G2573" s="2"/>
      <c r="H2573" s="2"/>
      <c r="I2573" s="13"/>
      <c r="J2573" s="656"/>
      <c r="K2573" s="13"/>
      <c r="L2573" s="13"/>
      <c r="M2573" s="13"/>
      <c r="N2573" s="2"/>
      <c r="O2573" s="2"/>
      <c r="P2573" s="2"/>
      <c r="Q2573" s="2"/>
      <c r="R2573" s="101"/>
      <c r="U2573" s="101"/>
    </row>
    <row r="2574">
      <c r="A2574" s="49"/>
      <c r="C2574" s="13"/>
      <c r="D2574" s="13"/>
      <c r="E2574" s="2"/>
      <c r="F2574" s="655"/>
      <c r="G2574" s="2"/>
      <c r="H2574" s="2"/>
      <c r="I2574" s="13"/>
      <c r="J2574" s="656"/>
      <c r="K2574" s="13"/>
      <c r="L2574" s="13"/>
      <c r="M2574" s="13"/>
      <c r="N2574" s="2"/>
      <c r="O2574" s="2"/>
      <c r="P2574" s="2"/>
      <c r="Q2574" s="2"/>
      <c r="R2574" s="101"/>
      <c r="U2574" s="101"/>
    </row>
    <row r="2575">
      <c r="A2575" s="49"/>
      <c r="C2575" s="13"/>
      <c r="D2575" s="13"/>
      <c r="E2575" s="2"/>
      <c r="F2575" s="655"/>
      <c r="G2575" s="2"/>
      <c r="H2575" s="2"/>
      <c r="I2575" s="13"/>
      <c r="J2575" s="656"/>
      <c r="K2575" s="13"/>
      <c r="L2575" s="13"/>
      <c r="M2575" s="13"/>
      <c r="N2575" s="2"/>
      <c r="O2575" s="2"/>
      <c r="P2575" s="2"/>
      <c r="Q2575" s="2"/>
      <c r="R2575" s="101"/>
      <c r="U2575" s="101"/>
    </row>
    <row r="2576">
      <c r="A2576" s="49"/>
      <c r="C2576" s="13"/>
      <c r="D2576" s="13"/>
      <c r="E2576" s="2"/>
      <c r="F2576" s="655"/>
      <c r="G2576" s="2"/>
      <c r="H2576" s="2"/>
      <c r="I2576" s="13"/>
      <c r="J2576" s="656"/>
      <c r="K2576" s="13"/>
      <c r="L2576" s="13"/>
      <c r="M2576" s="13"/>
      <c r="N2576" s="2"/>
      <c r="O2576" s="2"/>
      <c r="P2576" s="2"/>
      <c r="Q2576" s="2"/>
      <c r="R2576" s="101"/>
      <c r="U2576" s="101"/>
    </row>
    <row r="2577">
      <c r="A2577" s="49"/>
      <c r="C2577" s="13"/>
      <c r="D2577" s="13"/>
      <c r="E2577" s="2"/>
      <c r="F2577" s="655"/>
      <c r="G2577" s="2"/>
      <c r="H2577" s="2"/>
      <c r="I2577" s="13"/>
      <c r="J2577" s="656"/>
      <c r="K2577" s="13"/>
      <c r="L2577" s="13"/>
      <c r="M2577" s="13"/>
      <c r="N2577" s="2"/>
      <c r="O2577" s="2"/>
      <c r="P2577" s="2"/>
      <c r="Q2577" s="2"/>
      <c r="R2577" s="101"/>
      <c r="U2577" s="101"/>
    </row>
    <row r="2578">
      <c r="A2578" s="49"/>
      <c r="C2578" s="13"/>
      <c r="D2578" s="13"/>
      <c r="E2578" s="2"/>
      <c r="F2578" s="655"/>
      <c r="G2578" s="2"/>
      <c r="H2578" s="2"/>
      <c r="I2578" s="13"/>
      <c r="J2578" s="656"/>
      <c r="K2578" s="13"/>
      <c r="L2578" s="13"/>
      <c r="M2578" s="13"/>
      <c r="N2578" s="2"/>
      <c r="O2578" s="2"/>
      <c r="P2578" s="2"/>
      <c r="Q2578" s="2"/>
      <c r="R2578" s="101"/>
      <c r="U2578" s="101"/>
    </row>
    <row r="2579">
      <c r="A2579" s="49"/>
      <c r="C2579" s="13"/>
      <c r="D2579" s="13"/>
      <c r="E2579" s="2"/>
      <c r="F2579" s="655"/>
      <c r="G2579" s="2"/>
      <c r="H2579" s="2"/>
      <c r="I2579" s="13"/>
      <c r="J2579" s="656"/>
      <c r="K2579" s="13"/>
      <c r="L2579" s="13"/>
      <c r="M2579" s="13"/>
      <c r="N2579" s="2"/>
      <c r="O2579" s="2"/>
      <c r="P2579" s="2"/>
      <c r="Q2579" s="2"/>
      <c r="R2579" s="101"/>
      <c r="U2579" s="101"/>
    </row>
    <row r="2580">
      <c r="A2580" s="49"/>
      <c r="C2580" s="13"/>
      <c r="D2580" s="13"/>
      <c r="E2580" s="2"/>
      <c r="F2580" s="655"/>
      <c r="G2580" s="2"/>
      <c r="H2580" s="2"/>
      <c r="I2580" s="13"/>
      <c r="J2580" s="656"/>
      <c r="K2580" s="13"/>
      <c r="L2580" s="13"/>
      <c r="M2580" s="13"/>
      <c r="N2580" s="2"/>
      <c r="O2580" s="2"/>
      <c r="P2580" s="2"/>
      <c r="Q2580" s="2"/>
      <c r="R2580" s="101"/>
      <c r="U2580" s="101"/>
    </row>
    <row r="2581">
      <c r="A2581" s="49"/>
      <c r="C2581" s="13"/>
      <c r="D2581" s="13"/>
      <c r="E2581" s="2"/>
      <c r="F2581" s="655"/>
      <c r="G2581" s="2"/>
      <c r="H2581" s="2"/>
      <c r="I2581" s="13"/>
      <c r="J2581" s="656"/>
      <c r="K2581" s="13"/>
      <c r="L2581" s="13"/>
      <c r="M2581" s="13"/>
      <c r="N2581" s="2"/>
      <c r="O2581" s="2"/>
      <c r="P2581" s="2"/>
      <c r="Q2581" s="2"/>
      <c r="R2581" s="101"/>
      <c r="U2581" s="101"/>
    </row>
    <row r="2582">
      <c r="A2582" s="49"/>
      <c r="C2582" s="13"/>
      <c r="D2582" s="13"/>
      <c r="E2582" s="2"/>
      <c r="F2582" s="655"/>
      <c r="G2582" s="2"/>
      <c r="H2582" s="2"/>
      <c r="I2582" s="13"/>
      <c r="J2582" s="656"/>
      <c r="K2582" s="13"/>
      <c r="L2582" s="13"/>
      <c r="M2582" s="13"/>
      <c r="N2582" s="2"/>
      <c r="O2582" s="2"/>
      <c r="P2582" s="2"/>
      <c r="Q2582" s="2"/>
      <c r="R2582" s="101"/>
      <c r="U2582" s="101"/>
    </row>
    <row r="2583">
      <c r="A2583" s="49"/>
      <c r="C2583" s="13"/>
      <c r="D2583" s="13"/>
      <c r="E2583" s="2"/>
      <c r="F2583" s="655"/>
      <c r="G2583" s="2"/>
      <c r="H2583" s="2"/>
      <c r="I2583" s="13"/>
      <c r="J2583" s="656"/>
      <c r="K2583" s="13"/>
      <c r="L2583" s="13"/>
      <c r="M2583" s="13"/>
      <c r="N2583" s="2"/>
      <c r="O2583" s="2"/>
      <c r="P2583" s="2"/>
      <c r="Q2583" s="2"/>
      <c r="R2583" s="101"/>
      <c r="U2583" s="101"/>
    </row>
    <row r="2584">
      <c r="A2584" s="49"/>
      <c r="C2584" s="13"/>
      <c r="D2584" s="13"/>
      <c r="E2584" s="2"/>
      <c r="F2584" s="655"/>
      <c r="G2584" s="2"/>
      <c r="H2584" s="2"/>
      <c r="I2584" s="13"/>
      <c r="J2584" s="656"/>
      <c r="K2584" s="13"/>
      <c r="L2584" s="13"/>
      <c r="M2584" s="13"/>
      <c r="N2584" s="2"/>
      <c r="O2584" s="2"/>
      <c r="P2584" s="2"/>
      <c r="Q2584" s="2"/>
      <c r="R2584" s="101"/>
      <c r="U2584" s="101"/>
    </row>
    <row r="2585">
      <c r="A2585" s="49"/>
      <c r="C2585" s="13"/>
      <c r="D2585" s="13"/>
      <c r="E2585" s="2"/>
      <c r="F2585" s="655"/>
      <c r="G2585" s="2"/>
      <c r="H2585" s="2"/>
      <c r="I2585" s="13"/>
      <c r="J2585" s="656"/>
      <c r="K2585" s="13"/>
      <c r="L2585" s="13"/>
      <c r="M2585" s="13"/>
      <c r="N2585" s="2"/>
      <c r="O2585" s="2"/>
      <c r="P2585" s="2"/>
      <c r="Q2585" s="2"/>
      <c r="R2585" s="101"/>
      <c r="U2585" s="101"/>
    </row>
    <row r="2586">
      <c r="A2586" s="49"/>
      <c r="C2586" s="13"/>
      <c r="D2586" s="13"/>
      <c r="E2586" s="2"/>
      <c r="F2586" s="655"/>
      <c r="G2586" s="2"/>
      <c r="H2586" s="2"/>
      <c r="I2586" s="13"/>
      <c r="J2586" s="656"/>
      <c r="K2586" s="13"/>
      <c r="L2586" s="13"/>
      <c r="M2586" s="13"/>
      <c r="N2586" s="2"/>
      <c r="O2586" s="2"/>
      <c r="P2586" s="2"/>
      <c r="Q2586" s="2"/>
      <c r="R2586" s="101"/>
      <c r="U2586" s="101"/>
    </row>
    <row r="2587">
      <c r="A2587" s="49"/>
      <c r="C2587" s="13"/>
      <c r="D2587" s="13"/>
      <c r="E2587" s="2"/>
      <c r="F2587" s="655"/>
      <c r="G2587" s="2"/>
      <c r="H2587" s="2"/>
      <c r="I2587" s="13"/>
      <c r="J2587" s="656"/>
      <c r="K2587" s="13"/>
      <c r="L2587" s="13"/>
      <c r="M2587" s="13"/>
      <c r="N2587" s="2"/>
      <c r="O2587" s="2"/>
      <c r="P2587" s="2"/>
      <c r="Q2587" s="2"/>
      <c r="R2587" s="101"/>
      <c r="U2587" s="101"/>
    </row>
    <row r="2588">
      <c r="A2588" s="49"/>
      <c r="C2588" s="13"/>
      <c r="D2588" s="13"/>
      <c r="E2588" s="2"/>
      <c r="F2588" s="655"/>
      <c r="G2588" s="2"/>
      <c r="H2588" s="2"/>
      <c r="I2588" s="13"/>
      <c r="J2588" s="656"/>
      <c r="K2588" s="13"/>
      <c r="L2588" s="13"/>
      <c r="M2588" s="13"/>
      <c r="N2588" s="2"/>
      <c r="O2588" s="2"/>
      <c r="P2588" s="2"/>
      <c r="Q2588" s="2"/>
      <c r="R2588" s="101"/>
      <c r="U2588" s="101"/>
    </row>
    <row r="2589">
      <c r="A2589" s="49"/>
      <c r="C2589" s="13"/>
      <c r="D2589" s="13"/>
      <c r="E2589" s="2"/>
      <c r="F2589" s="655"/>
      <c r="G2589" s="2"/>
      <c r="H2589" s="2"/>
      <c r="I2589" s="13"/>
      <c r="J2589" s="656"/>
      <c r="K2589" s="13"/>
      <c r="L2589" s="13"/>
      <c r="M2589" s="13"/>
      <c r="N2589" s="2"/>
      <c r="O2589" s="2"/>
      <c r="P2589" s="2"/>
      <c r="Q2589" s="2"/>
      <c r="R2589" s="101"/>
      <c r="U2589" s="101"/>
    </row>
    <row r="2590">
      <c r="A2590" s="49"/>
      <c r="C2590" s="13"/>
      <c r="D2590" s="13"/>
      <c r="E2590" s="2"/>
      <c r="F2590" s="655"/>
      <c r="G2590" s="2"/>
      <c r="H2590" s="2"/>
      <c r="I2590" s="13"/>
      <c r="J2590" s="656"/>
      <c r="K2590" s="13"/>
      <c r="L2590" s="13"/>
      <c r="M2590" s="13"/>
      <c r="N2590" s="2"/>
      <c r="O2590" s="2"/>
      <c r="P2590" s="2"/>
      <c r="Q2590" s="2"/>
      <c r="R2590" s="101"/>
      <c r="U2590" s="101"/>
    </row>
    <row r="2591">
      <c r="A2591" s="49"/>
      <c r="C2591" s="13"/>
      <c r="D2591" s="13"/>
      <c r="E2591" s="2"/>
      <c r="F2591" s="655"/>
      <c r="G2591" s="2"/>
      <c r="H2591" s="2"/>
      <c r="I2591" s="13"/>
      <c r="J2591" s="656"/>
      <c r="K2591" s="13"/>
      <c r="L2591" s="13"/>
      <c r="M2591" s="13"/>
      <c r="N2591" s="2"/>
      <c r="O2591" s="2"/>
      <c r="P2591" s="2"/>
      <c r="Q2591" s="2"/>
      <c r="R2591" s="101"/>
      <c r="U2591" s="101"/>
    </row>
    <row r="2592">
      <c r="A2592" s="49"/>
      <c r="C2592" s="13"/>
      <c r="D2592" s="13"/>
      <c r="E2592" s="2"/>
      <c r="F2592" s="655"/>
      <c r="G2592" s="2"/>
      <c r="H2592" s="2"/>
      <c r="I2592" s="13"/>
      <c r="J2592" s="656"/>
      <c r="K2592" s="13"/>
      <c r="L2592" s="13"/>
      <c r="M2592" s="13"/>
      <c r="N2592" s="2"/>
      <c r="O2592" s="2"/>
      <c r="P2592" s="2"/>
      <c r="Q2592" s="2"/>
      <c r="R2592" s="101"/>
      <c r="U2592" s="101"/>
    </row>
    <row r="2593">
      <c r="A2593" s="49"/>
      <c r="C2593" s="13"/>
      <c r="D2593" s="13"/>
      <c r="E2593" s="2"/>
      <c r="F2593" s="655"/>
      <c r="G2593" s="2"/>
      <c r="H2593" s="2"/>
      <c r="I2593" s="13"/>
      <c r="J2593" s="656"/>
      <c r="K2593" s="13"/>
      <c r="L2593" s="13"/>
      <c r="M2593" s="13"/>
      <c r="N2593" s="2"/>
      <c r="O2593" s="2"/>
      <c r="P2593" s="2"/>
      <c r="Q2593" s="2"/>
      <c r="R2593" s="101"/>
      <c r="U2593" s="101"/>
    </row>
    <row r="2594">
      <c r="A2594" s="49"/>
      <c r="C2594" s="13"/>
      <c r="D2594" s="13"/>
      <c r="E2594" s="2"/>
      <c r="F2594" s="655"/>
      <c r="G2594" s="2"/>
      <c r="H2594" s="2"/>
      <c r="I2594" s="13"/>
      <c r="J2594" s="656"/>
      <c r="K2594" s="13"/>
      <c r="L2594" s="13"/>
      <c r="M2594" s="13"/>
      <c r="N2594" s="2"/>
      <c r="O2594" s="2"/>
      <c r="P2594" s="2"/>
      <c r="Q2594" s="2"/>
      <c r="R2594" s="101"/>
      <c r="U2594" s="101"/>
    </row>
    <row r="2595">
      <c r="A2595" s="49"/>
      <c r="C2595" s="13"/>
      <c r="D2595" s="13"/>
      <c r="E2595" s="2"/>
      <c r="F2595" s="655"/>
      <c r="G2595" s="2"/>
      <c r="H2595" s="2"/>
      <c r="I2595" s="13"/>
      <c r="J2595" s="656"/>
      <c r="K2595" s="13"/>
      <c r="L2595" s="13"/>
      <c r="M2595" s="13"/>
      <c r="N2595" s="2"/>
      <c r="O2595" s="2"/>
      <c r="P2595" s="2"/>
      <c r="Q2595" s="2"/>
      <c r="R2595" s="101"/>
      <c r="U2595" s="101"/>
    </row>
    <row r="2596">
      <c r="A2596" s="49"/>
      <c r="C2596" s="13"/>
      <c r="D2596" s="13"/>
      <c r="E2596" s="2"/>
      <c r="F2596" s="655"/>
      <c r="G2596" s="2"/>
      <c r="H2596" s="2"/>
      <c r="I2596" s="13"/>
      <c r="J2596" s="656"/>
      <c r="K2596" s="13"/>
      <c r="L2596" s="13"/>
      <c r="M2596" s="13"/>
      <c r="N2596" s="2"/>
      <c r="O2596" s="2"/>
      <c r="P2596" s="2"/>
      <c r="Q2596" s="2"/>
      <c r="R2596" s="101"/>
      <c r="U2596" s="101"/>
    </row>
    <row r="2597">
      <c r="A2597" s="49"/>
      <c r="C2597" s="13"/>
      <c r="D2597" s="13"/>
      <c r="E2597" s="2"/>
      <c r="F2597" s="655"/>
      <c r="G2597" s="2"/>
      <c r="H2597" s="2"/>
      <c r="I2597" s="13"/>
      <c r="J2597" s="656"/>
      <c r="K2597" s="13"/>
      <c r="L2597" s="13"/>
      <c r="M2597" s="13"/>
      <c r="N2597" s="2"/>
      <c r="O2597" s="2"/>
      <c r="P2597" s="2"/>
      <c r="Q2597" s="2"/>
      <c r="R2597" s="101"/>
      <c r="U2597" s="101"/>
    </row>
    <row r="2598">
      <c r="A2598" s="49"/>
      <c r="C2598" s="13"/>
      <c r="D2598" s="13"/>
      <c r="E2598" s="2"/>
      <c r="F2598" s="655"/>
      <c r="G2598" s="2"/>
      <c r="H2598" s="2"/>
      <c r="I2598" s="13"/>
      <c r="J2598" s="656"/>
      <c r="K2598" s="13"/>
      <c r="L2598" s="13"/>
      <c r="M2598" s="13"/>
      <c r="N2598" s="2"/>
      <c r="O2598" s="2"/>
      <c r="P2598" s="2"/>
      <c r="Q2598" s="2"/>
      <c r="R2598" s="101"/>
      <c r="U2598" s="101"/>
    </row>
    <row r="2599">
      <c r="A2599" s="49"/>
      <c r="C2599" s="13"/>
      <c r="D2599" s="13"/>
      <c r="E2599" s="2"/>
      <c r="F2599" s="655"/>
      <c r="G2599" s="2"/>
      <c r="H2599" s="2"/>
      <c r="I2599" s="13"/>
      <c r="J2599" s="656"/>
      <c r="K2599" s="13"/>
      <c r="L2599" s="13"/>
      <c r="M2599" s="13"/>
      <c r="N2599" s="2"/>
      <c r="O2599" s="2"/>
      <c r="P2599" s="2"/>
      <c r="Q2599" s="2"/>
      <c r="R2599" s="101"/>
      <c r="U2599" s="101"/>
    </row>
    <row r="2600">
      <c r="A2600" s="49"/>
      <c r="C2600" s="13"/>
      <c r="D2600" s="13"/>
      <c r="E2600" s="2"/>
      <c r="F2600" s="655"/>
      <c r="G2600" s="2"/>
      <c r="H2600" s="2"/>
      <c r="I2600" s="13"/>
      <c r="J2600" s="656"/>
      <c r="K2600" s="13"/>
      <c r="L2600" s="13"/>
      <c r="M2600" s="13"/>
      <c r="N2600" s="2"/>
      <c r="O2600" s="2"/>
      <c r="P2600" s="2"/>
      <c r="Q2600" s="2"/>
      <c r="R2600" s="101"/>
      <c r="U2600" s="101"/>
    </row>
    <row r="2601">
      <c r="A2601" s="49"/>
      <c r="C2601" s="13"/>
      <c r="D2601" s="13"/>
      <c r="E2601" s="2"/>
      <c r="F2601" s="655"/>
      <c r="G2601" s="2"/>
      <c r="H2601" s="2"/>
      <c r="I2601" s="13"/>
      <c r="J2601" s="656"/>
      <c r="K2601" s="13"/>
      <c r="L2601" s="13"/>
      <c r="M2601" s="13"/>
      <c r="N2601" s="2"/>
      <c r="O2601" s="2"/>
      <c r="P2601" s="2"/>
      <c r="Q2601" s="2"/>
      <c r="R2601" s="101"/>
      <c r="U2601" s="101"/>
    </row>
    <row r="2602">
      <c r="A2602" s="49"/>
      <c r="C2602" s="13"/>
      <c r="D2602" s="13"/>
      <c r="E2602" s="2"/>
      <c r="F2602" s="655"/>
      <c r="G2602" s="2"/>
      <c r="H2602" s="2"/>
      <c r="I2602" s="13"/>
      <c r="J2602" s="656"/>
      <c r="K2602" s="13"/>
      <c r="L2602" s="13"/>
      <c r="M2602" s="13"/>
      <c r="N2602" s="2"/>
      <c r="O2602" s="2"/>
      <c r="P2602" s="2"/>
      <c r="Q2602" s="2"/>
      <c r="R2602" s="101"/>
      <c r="U2602" s="101"/>
    </row>
    <row r="2603">
      <c r="A2603" s="49"/>
      <c r="C2603" s="13"/>
      <c r="D2603" s="13"/>
      <c r="E2603" s="2"/>
      <c r="F2603" s="655"/>
      <c r="G2603" s="2"/>
      <c r="H2603" s="2"/>
      <c r="I2603" s="13"/>
      <c r="J2603" s="656"/>
      <c r="K2603" s="13"/>
      <c r="L2603" s="13"/>
      <c r="M2603" s="13"/>
      <c r="N2603" s="2"/>
      <c r="O2603" s="2"/>
      <c r="P2603" s="2"/>
      <c r="Q2603" s="2"/>
      <c r="R2603" s="101"/>
      <c r="U2603" s="101"/>
    </row>
    <row r="2604">
      <c r="A2604" s="49"/>
      <c r="C2604" s="13"/>
      <c r="D2604" s="13"/>
      <c r="E2604" s="2"/>
      <c r="F2604" s="655"/>
      <c r="G2604" s="2"/>
      <c r="H2604" s="2"/>
      <c r="I2604" s="13"/>
      <c r="J2604" s="656"/>
      <c r="K2604" s="13"/>
      <c r="L2604" s="13"/>
      <c r="M2604" s="13"/>
      <c r="N2604" s="2"/>
      <c r="O2604" s="2"/>
      <c r="P2604" s="2"/>
      <c r="Q2604" s="2"/>
      <c r="R2604" s="101"/>
      <c r="U2604" s="101"/>
    </row>
    <row r="2605">
      <c r="A2605" s="49"/>
      <c r="C2605" s="13"/>
      <c r="D2605" s="13"/>
      <c r="E2605" s="2"/>
      <c r="F2605" s="655"/>
      <c r="G2605" s="2"/>
      <c r="H2605" s="2"/>
      <c r="I2605" s="13"/>
      <c r="J2605" s="656"/>
      <c r="K2605" s="13"/>
      <c r="L2605" s="13"/>
      <c r="M2605" s="13"/>
      <c r="N2605" s="2"/>
      <c r="O2605" s="2"/>
      <c r="P2605" s="2"/>
      <c r="Q2605" s="2"/>
      <c r="R2605" s="101"/>
      <c r="U2605" s="101"/>
    </row>
    <row r="2606">
      <c r="A2606" s="49"/>
      <c r="C2606" s="13"/>
      <c r="D2606" s="13"/>
      <c r="E2606" s="2"/>
      <c r="F2606" s="655"/>
      <c r="G2606" s="2"/>
      <c r="H2606" s="2"/>
      <c r="I2606" s="13"/>
      <c r="J2606" s="656"/>
      <c r="K2606" s="13"/>
      <c r="L2606" s="13"/>
      <c r="M2606" s="13"/>
      <c r="N2606" s="2"/>
      <c r="O2606" s="2"/>
      <c r="P2606" s="2"/>
      <c r="Q2606" s="2"/>
      <c r="R2606" s="101"/>
      <c r="U2606" s="101"/>
    </row>
    <row r="2607">
      <c r="A2607" s="49"/>
      <c r="C2607" s="13"/>
      <c r="D2607" s="13"/>
      <c r="E2607" s="2"/>
      <c r="F2607" s="655"/>
      <c r="G2607" s="2"/>
      <c r="H2607" s="2"/>
      <c r="I2607" s="13"/>
      <c r="J2607" s="656"/>
      <c r="K2607" s="13"/>
      <c r="L2607" s="13"/>
      <c r="M2607" s="13"/>
      <c r="N2607" s="2"/>
      <c r="O2607" s="2"/>
      <c r="P2607" s="2"/>
      <c r="Q2607" s="2"/>
      <c r="R2607" s="101"/>
      <c r="U2607" s="101"/>
    </row>
    <row r="2608">
      <c r="A2608" s="49"/>
      <c r="C2608" s="13"/>
      <c r="D2608" s="13"/>
      <c r="E2608" s="2"/>
      <c r="F2608" s="655"/>
      <c r="G2608" s="2"/>
      <c r="H2608" s="2"/>
      <c r="I2608" s="13"/>
      <c r="J2608" s="656"/>
      <c r="K2608" s="13"/>
      <c r="L2608" s="13"/>
      <c r="M2608" s="13"/>
      <c r="N2608" s="2"/>
      <c r="O2608" s="2"/>
      <c r="P2608" s="2"/>
      <c r="Q2608" s="2"/>
      <c r="R2608" s="101"/>
      <c r="U2608" s="101"/>
    </row>
    <row r="2609">
      <c r="A2609" s="49"/>
      <c r="C2609" s="13"/>
      <c r="D2609" s="13"/>
      <c r="E2609" s="2"/>
      <c r="F2609" s="655"/>
      <c r="G2609" s="2"/>
      <c r="H2609" s="2"/>
      <c r="I2609" s="13"/>
      <c r="J2609" s="656"/>
      <c r="K2609" s="13"/>
      <c r="L2609" s="13"/>
      <c r="M2609" s="13"/>
      <c r="N2609" s="2"/>
      <c r="O2609" s="2"/>
      <c r="P2609" s="2"/>
      <c r="Q2609" s="2"/>
      <c r="R2609" s="101"/>
      <c r="U2609" s="101"/>
    </row>
    <row r="2610">
      <c r="A2610" s="49"/>
      <c r="C2610" s="13"/>
      <c r="D2610" s="13"/>
      <c r="E2610" s="2"/>
      <c r="F2610" s="655"/>
      <c r="G2610" s="2"/>
      <c r="H2610" s="2"/>
      <c r="I2610" s="13"/>
      <c r="J2610" s="656"/>
      <c r="K2610" s="13"/>
      <c r="L2610" s="13"/>
      <c r="M2610" s="13"/>
      <c r="N2610" s="2"/>
      <c r="O2610" s="2"/>
      <c r="P2610" s="2"/>
      <c r="Q2610" s="2"/>
      <c r="R2610" s="101"/>
      <c r="U2610" s="101"/>
    </row>
    <row r="2611">
      <c r="A2611" s="49"/>
      <c r="C2611" s="13"/>
      <c r="D2611" s="13"/>
      <c r="E2611" s="2"/>
      <c r="F2611" s="655"/>
      <c r="G2611" s="2"/>
      <c r="H2611" s="2"/>
      <c r="I2611" s="13"/>
      <c r="J2611" s="656"/>
      <c r="K2611" s="13"/>
      <c r="L2611" s="13"/>
      <c r="M2611" s="13"/>
      <c r="N2611" s="2"/>
      <c r="O2611" s="2"/>
      <c r="P2611" s="2"/>
      <c r="Q2611" s="2"/>
      <c r="R2611" s="101"/>
      <c r="U2611" s="101"/>
    </row>
    <row r="2612">
      <c r="A2612" s="49"/>
      <c r="C2612" s="13"/>
      <c r="D2612" s="13"/>
      <c r="E2612" s="2"/>
      <c r="F2612" s="655"/>
      <c r="G2612" s="2"/>
      <c r="H2612" s="2"/>
      <c r="I2612" s="13"/>
      <c r="J2612" s="656"/>
      <c r="K2612" s="13"/>
      <c r="L2612" s="13"/>
      <c r="M2612" s="13"/>
      <c r="N2612" s="2"/>
      <c r="O2612" s="2"/>
      <c r="P2612" s="2"/>
      <c r="Q2612" s="2"/>
      <c r="R2612" s="101"/>
      <c r="U2612" s="101"/>
    </row>
    <row r="2613">
      <c r="A2613" s="49"/>
      <c r="C2613" s="13"/>
      <c r="D2613" s="13"/>
      <c r="E2613" s="2"/>
      <c r="F2613" s="655"/>
      <c r="G2613" s="2"/>
      <c r="H2613" s="2"/>
      <c r="I2613" s="13"/>
      <c r="J2613" s="656"/>
      <c r="K2613" s="13"/>
      <c r="L2613" s="13"/>
      <c r="M2613" s="13"/>
      <c r="N2613" s="2"/>
      <c r="O2613" s="2"/>
      <c r="P2613" s="2"/>
      <c r="Q2613" s="2"/>
      <c r="R2613" s="101"/>
      <c r="U2613" s="101"/>
    </row>
    <row r="2614">
      <c r="A2614" s="49"/>
      <c r="C2614" s="13"/>
      <c r="D2614" s="13"/>
      <c r="E2614" s="2"/>
      <c r="F2614" s="655"/>
      <c r="G2614" s="2"/>
      <c r="H2614" s="2"/>
      <c r="I2614" s="13"/>
      <c r="J2614" s="656"/>
      <c r="K2614" s="13"/>
      <c r="L2614" s="13"/>
      <c r="M2614" s="13"/>
      <c r="N2614" s="2"/>
      <c r="O2614" s="2"/>
      <c r="P2614" s="2"/>
      <c r="Q2614" s="2"/>
      <c r="R2614" s="101"/>
      <c r="U2614" s="101"/>
    </row>
    <row r="2615">
      <c r="A2615" s="49"/>
      <c r="C2615" s="13"/>
      <c r="D2615" s="13"/>
      <c r="E2615" s="2"/>
      <c r="F2615" s="655"/>
      <c r="G2615" s="2"/>
      <c r="H2615" s="2"/>
      <c r="I2615" s="13"/>
      <c r="J2615" s="656"/>
      <c r="K2615" s="13"/>
      <c r="L2615" s="13"/>
      <c r="M2615" s="13"/>
      <c r="N2615" s="2"/>
      <c r="O2615" s="2"/>
      <c r="P2615" s="2"/>
      <c r="Q2615" s="2"/>
      <c r="R2615" s="101"/>
      <c r="U2615" s="101"/>
    </row>
    <row r="2616">
      <c r="A2616" s="49"/>
      <c r="C2616" s="13"/>
      <c r="D2616" s="13"/>
      <c r="E2616" s="2"/>
      <c r="F2616" s="655"/>
      <c r="G2616" s="2"/>
      <c r="H2616" s="2"/>
      <c r="I2616" s="13"/>
      <c r="J2616" s="656"/>
      <c r="K2616" s="13"/>
      <c r="L2616" s="13"/>
      <c r="M2616" s="13"/>
      <c r="N2616" s="2"/>
      <c r="O2616" s="2"/>
      <c r="P2616" s="2"/>
      <c r="Q2616" s="2"/>
      <c r="R2616" s="101"/>
      <c r="U2616" s="101"/>
    </row>
    <row r="2617">
      <c r="A2617" s="49"/>
      <c r="C2617" s="13"/>
      <c r="D2617" s="13"/>
      <c r="E2617" s="2"/>
      <c r="F2617" s="655"/>
      <c r="G2617" s="2"/>
      <c r="H2617" s="2"/>
      <c r="I2617" s="13"/>
      <c r="J2617" s="656"/>
      <c r="K2617" s="13"/>
      <c r="L2617" s="13"/>
      <c r="M2617" s="13"/>
      <c r="N2617" s="2"/>
      <c r="O2617" s="2"/>
      <c r="P2617" s="2"/>
      <c r="Q2617" s="2"/>
      <c r="R2617" s="101"/>
      <c r="U2617" s="101"/>
    </row>
    <row r="2618">
      <c r="A2618" s="49"/>
      <c r="C2618" s="13"/>
      <c r="D2618" s="13"/>
      <c r="E2618" s="2"/>
      <c r="F2618" s="655"/>
      <c r="G2618" s="2"/>
      <c r="H2618" s="2"/>
      <c r="I2618" s="13"/>
      <c r="J2618" s="656"/>
      <c r="K2618" s="13"/>
      <c r="L2618" s="13"/>
      <c r="M2618" s="13"/>
      <c r="N2618" s="2"/>
      <c r="O2618" s="2"/>
      <c r="P2618" s="2"/>
      <c r="Q2618" s="2"/>
      <c r="R2618" s="101"/>
      <c r="U2618" s="101"/>
    </row>
    <row r="2619">
      <c r="A2619" s="49"/>
      <c r="C2619" s="13"/>
      <c r="D2619" s="13"/>
      <c r="E2619" s="2"/>
      <c r="F2619" s="655"/>
      <c r="G2619" s="2"/>
      <c r="H2619" s="2"/>
      <c r="I2619" s="13"/>
      <c r="J2619" s="656"/>
      <c r="K2619" s="13"/>
      <c r="L2619" s="13"/>
      <c r="M2619" s="13"/>
      <c r="N2619" s="2"/>
      <c r="O2619" s="2"/>
      <c r="P2619" s="2"/>
      <c r="Q2619" s="2"/>
      <c r="R2619" s="101"/>
      <c r="U2619" s="101"/>
    </row>
    <row r="2620">
      <c r="A2620" s="49"/>
      <c r="C2620" s="13"/>
      <c r="D2620" s="13"/>
      <c r="E2620" s="2"/>
      <c r="F2620" s="655"/>
      <c r="G2620" s="2"/>
      <c r="H2620" s="2"/>
      <c r="I2620" s="13"/>
      <c r="J2620" s="656"/>
      <c r="K2620" s="13"/>
      <c r="L2620" s="13"/>
      <c r="M2620" s="13"/>
      <c r="N2620" s="2"/>
      <c r="O2620" s="2"/>
      <c r="P2620" s="2"/>
      <c r="Q2620" s="2"/>
      <c r="R2620" s="101"/>
      <c r="U2620" s="101"/>
    </row>
    <row r="2621">
      <c r="A2621" s="49"/>
      <c r="C2621" s="13"/>
      <c r="D2621" s="13"/>
      <c r="E2621" s="2"/>
      <c r="F2621" s="655"/>
      <c r="G2621" s="2"/>
      <c r="H2621" s="2"/>
      <c r="I2621" s="13"/>
      <c r="J2621" s="656"/>
      <c r="K2621" s="13"/>
      <c r="L2621" s="13"/>
      <c r="M2621" s="13"/>
      <c r="N2621" s="2"/>
      <c r="O2621" s="2"/>
      <c r="P2621" s="2"/>
      <c r="Q2621" s="2"/>
      <c r="R2621" s="101"/>
      <c r="U2621" s="101"/>
    </row>
    <row r="2622">
      <c r="A2622" s="49"/>
      <c r="C2622" s="13"/>
      <c r="D2622" s="13"/>
      <c r="E2622" s="2"/>
      <c r="F2622" s="655"/>
      <c r="G2622" s="2"/>
      <c r="H2622" s="2"/>
      <c r="I2622" s="13"/>
      <c r="J2622" s="656"/>
      <c r="K2622" s="13"/>
      <c r="L2622" s="13"/>
      <c r="M2622" s="13"/>
      <c r="N2622" s="2"/>
      <c r="O2622" s="2"/>
      <c r="P2622" s="2"/>
      <c r="Q2622" s="2"/>
      <c r="R2622" s="101"/>
      <c r="U2622" s="101"/>
    </row>
    <row r="2623">
      <c r="A2623" s="49"/>
      <c r="C2623" s="13"/>
      <c r="D2623" s="13"/>
      <c r="E2623" s="2"/>
      <c r="F2623" s="655"/>
      <c r="G2623" s="2"/>
      <c r="H2623" s="2"/>
      <c r="I2623" s="13"/>
      <c r="J2623" s="656"/>
      <c r="K2623" s="13"/>
      <c r="L2623" s="13"/>
      <c r="M2623" s="13"/>
      <c r="N2623" s="2"/>
      <c r="O2623" s="2"/>
      <c r="P2623" s="2"/>
      <c r="Q2623" s="2"/>
      <c r="R2623" s="101"/>
      <c r="U2623" s="101"/>
    </row>
    <row r="2624">
      <c r="A2624" s="49"/>
      <c r="C2624" s="13"/>
      <c r="D2624" s="13"/>
      <c r="E2624" s="2"/>
      <c r="F2624" s="655"/>
      <c r="G2624" s="2"/>
      <c r="H2624" s="2"/>
      <c r="I2624" s="13"/>
      <c r="J2624" s="656"/>
      <c r="K2624" s="13"/>
      <c r="L2624" s="13"/>
      <c r="M2624" s="13"/>
      <c r="N2624" s="2"/>
      <c r="O2624" s="2"/>
      <c r="P2624" s="2"/>
      <c r="Q2624" s="2"/>
      <c r="R2624" s="101"/>
      <c r="U2624" s="101"/>
    </row>
    <row r="2625">
      <c r="A2625" s="49"/>
      <c r="C2625" s="13"/>
      <c r="D2625" s="13"/>
      <c r="E2625" s="2"/>
      <c r="F2625" s="655"/>
      <c r="G2625" s="2"/>
      <c r="H2625" s="2"/>
      <c r="I2625" s="13"/>
      <c r="J2625" s="656"/>
      <c r="K2625" s="13"/>
      <c r="L2625" s="13"/>
      <c r="M2625" s="13"/>
      <c r="N2625" s="2"/>
      <c r="O2625" s="2"/>
      <c r="P2625" s="2"/>
      <c r="Q2625" s="2"/>
      <c r="R2625" s="101"/>
      <c r="U2625" s="101"/>
    </row>
    <row r="2626">
      <c r="A2626" s="49"/>
      <c r="C2626" s="13"/>
      <c r="D2626" s="13"/>
      <c r="E2626" s="2"/>
      <c r="F2626" s="655"/>
      <c r="G2626" s="2"/>
      <c r="H2626" s="2"/>
      <c r="I2626" s="13"/>
      <c r="J2626" s="656"/>
      <c r="K2626" s="13"/>
      <c r="L2626" s="13"/>
      <c r="M2626" s="13"/>
      <c r="N2626" s="2"/>
      <c r="O2626" s="2"/>
      <c r="P2626" s="2"/>
      <c r="Q2626" s="2"/>
      <c r="R2626" s="101"/>
      <c r="U2626" s="101"/>
    </row>
    <row r="2627">
      <c r="A2627" s="49"/>
      <c r="C2627" s="13"/>
      <c r="D2627" s="13"/>
      <c r="E2627" s="2"/>
      <c r="F2627" s="655"/>
      <c r="G2627" s="2"/>
      <c r="H2627" s="2"/>
      <c r="I2627" s="13"/>
      <c r="J2627" s="656"/>
      <c r="K2627" s="13"/>
      <c r="L2627" s="13"/>
      <c r="M2627" s="13"/>
      <c r="N2627" s="2"/>
      <c r="O2627" s="2"/>
      <c r="P2627" s="2"/>
      <c r="Q2627" s="2"/>
      <c r="R2627" s="101"/>
      <c r="U2627" s="101"/>
    </row>
    <row r="2628">
      <c r="A2628" s="49"/>
      <c r="C2628" s="13"/>
      <c r="D2628" s="13"/>
      <c r="E2628" s="2"/>
      <c r="F2628" s="655"/>
      <c r="G2628" s="2"/>
      <c r="H2628" s="2"/>
      <c r="I2628" s="13"/>
      <c r="J2628" s="656"/>
      <c r="K2628" s="13"/>
      <c r="L2628" s="13"/>
      <c r="M2628" s="13"/>
      <c r="N2628" s="2"/>
      <c r="O2628" s="2"/>
      <c r="P2628" s="2"/>
      <c r="Q2628" s="2"/>
      <c r="R2628" s="101"/>
      <c r="U2628" s="101"/>
    </row>
    <row r="2629">
      <c r="A2629" s="49"/>
      <c r="C2629" s="13"/>
      <c r="D2629" s="13"/>
      <c r="E2629" s="2"/>
      <c r="F2629" s="655"/>
      <c r="G2629" s="2"/>
      <c r="H2629" s="2"/>
      <c r="I2629" s="13"/>
      <c r="J2629" s="656"/>
      <c r="K2629" s="13"/>
      <c r="L2629" s="13"/>
      <c r="M2629" s="13"/>
      <c r="N2629" s="2"/>
      <c r="O2629" s="2"/>
      <c r="P2629" s="2"/>
      <c r="Q2629" s="2"/>
      <c r="R2629" s="101"/>
      <c r="U2629" s="101"/>
    </row>
    <row r="2630">
      <c r="A2630" s="49"/>
      <c r="C2630" s="13"/>
      <c r="D2630" s="13"/>
      <c r="E2630" s="2"/>
      <c r="F2630" s="655"/>
      <c r="G2630" s="2"/>
      <c r="H2630" s="2"/>
      <c r="I2630" s="13"/>
      <c r="J2630" s="656"/>
      <c r="K2630" s="13"/>
      <c r="L2630" s="13"/>
      <c r="M2630" s="13"/>
      <c r="N2630" s="2"/>
      <c r="O2630" s="2"/>
      <c r="P2630" s="2"/>
      <c r="Q2630" s="2"/>
      <c r="R2630" s="101"/>
      <c r="U2630" s="101"/>
    </row>
    <row r="2631">
      <c r="A2631" s="49"/>
      <c r="C2631" s="13"/>
      <c r="D2631" s="13"/>
      <c r="E2631" s="2"/>
      <c r="F2631" s="655"/>
      <c r="G2631" s="2"/>
      <c r="H2631" s="2"/>
      <c r="I2631" s="13"/>
      <c r="J2631" s="656"/>
      <c r="K2631" s="13"/>
      <c r="L2631" s="13"/>
      <c r="M2631" s="13"/>
      <c r="N2631" s="2"/>
      <c r="O2631" s="2"/>
      <c r="P2631" s="2"/>
      <c r="Q2631" s="2"/>
      <c r="R2631" s="101"/>
      <c r="U2631" s="101"/>
    </row>
    <row r="2632">
      <c r="A2632" s="49"/>
      <c r="C2632" s="13"/>
      <c r="D2632" s="13"/>
      <c r="E2632" s="2"/>
      <c r="F2632" s="655"/>
      <c r="G2632" s="2"/>
      <c r="H2632" s="2"/>
      <c r="I2632" s="13"/>
      <c r="J2632" s="656"/>
      <c r="K2632" s="13"/>
      <c r="L2632" s="13"/>
      <c r="M2632" s="13"/>
      <c r="N2632" s="2"/>
      <c r="O2632" s="2"/>
      <c r="P2632" s="2"/>
      <c r="Q2632" s="2"/>
      <c r="R2632" s="101"/>
      <c r="U2632" s="101"/>
    </row>
    <row r="2633">
      <c r="A2633" s="49"/>
      <c r="C2633" s="13"/>
      <c r="D2633" s="13"/>
      <c r="E2633" s="2"/>
      <c r="F2633" s="655"/>
      <c r="G2633" s="2"/>
      <c r="H2633" s="2"/>
      <c r="I2633" s="13"/>
      <c r="J2633" s="656"/>
      <c r="K2633" s="13"/>
      <c r="L2633" s="13"/>
      <c r="M2633" s="13"/>
      <c r="N2633" s="2"/>
      <c r="O2633" s="2"/>
      <c r="P2633" s="2"/>
      <c r="Q2633" s="2"/>
      <c r="R2633" s="101"/>
      <c r="U2633" s="101"/>
    </row>
    <row r="2634">
      <c r="A2634" s="49"/>
      <c r="C2634" s="13"/>
      <c r="D2634" s="13"/>
      <c r="E2634" s="2"/>
      <c r="F2634" s="655"/>
      <c r="G2634" s="2"/>
      <c r="H2634" s="2"/>
      <c r="I2634" s="13"/>
      <c r="J2634" s="656"/>
      <c r="K2634" s="13"/>
      <c r="L2634" s="13"/>
      <c r="M2634" s="13"/>
      <c r="N2634" s="2"/>
      <c r="O2634" s="2"/>
      <c r="P2634" s="2"/>
      <c r="Q2634" s="2"/>
      <c r="R2634" s="101"/>
      <c r="U2634" s="101"/>
    </row>
    <row r="2635">
      <c r="A2635" s="49"/>
      <c r="C2635" s="13"/>
      <c r="D2635" s="13"/>
      <c r="E2635" s="2"/>
      <c r="F2635" s="655"/>
      <c r="G2635" s="2"/>
      <c r="H2635" s="2"/>
      <c r="I2635" s="13"/>
      <c r="J2635" s="656"/>
      <c r="K2635" s="13"/>
      <c r="L2635" s="13"/>
      <c r="M2635" s="13"/>
      <c r="N2635" s="2"/>
      <c r="O2635" s="2"/>
      <c r="P2635" s="2"/>
      <c r="Q2635" s="2"/>
      <c r="R2635" s="101"/>
      <c r="U2635" s="101"/>
    </row>
    <row r="2636">
      <c r="A2636" s="49"/>
      <c r="C2636" s="13"/>
      <c r="D2636" s="13"/>
      <c r="E2636" s="2"/>
      <c r="F2636" s="655"/>
      <c r="G2636" s="2"/>
      <c r="H2636" s="2"/>
      <c r="I2636" s="13"/>
      <c r="J2636" s="656"/>
      <c r="K2636" s="13"/>
      <c r="L2636" s="13"/>
      <c r="M2636" s="13"/>
      <c r="N2636" s="2"/>
      <c r="O2636" s="2"/>
      <c r="P2636" s="2"/>
      <c r="Q2636" s="2"/>
      <c r="R2636" s="101"/>
      <c r="U2636" s="101"/>
    </row>
    <row r="2637">
      <c r="A2637" s="49"/>
      <c r="C2637" s="13"/>
      <c r="D2637" s="13"/>
      <c r="E2637" s="2"/>
      <c r="F2637" s="655"/>
      <c r="G2637" s="2"/>
      <c r="H2637" s="2"/>
      <c r="I2637" s="13"/>
      <c r="J2637" s="656"/>
      <c r="K2637" s="13"/>
      <c r="L2637" s="13"/>
      <c r="M2637" s="13"/>
      <c r="N2637" s="2"/>
      <c r="O2637" s="2"/>
      <c r="P2637" s="2"/>
      <c r="Q2637" s="2"/>
      <c r="R2637" s="101"/>
      <c r="U2637" s="101"/>
    </row>
    <row r="2638">
      <c r="A2638" s="49"/>
      <c r="C2638" s="13"/>
      <c r="D2638" s="13"/>
      <c r="E2638" s="2"/>
      <c r="F2638" s="655"/>
      <c r="G2638" s="2"/>
      <c r="H2638" s="2"/>
      <c r="I2638" s="13"/>
      <c r="J2638" s="656"/>
      <c r="K2638" s="13"/>
      <c r="L2638" s="13"/>
      <c r="M2638" s="13"/>
      <c r="N2638" s="2"/>
      <c r="O2638" s="2"/>
      <c r="P2638" s="2"/>
      <c r="Q2638" s="2"/>
      <c r="R2638" s="101"/>
      <c r="U2638" s="101"/>
    </row>
    <row r="2639">
      <c r="A2639" s="49"/>
      <c r="C2639" s="13"/>
      <c r="D2639" s="13"/>
      <c r="E2639" s="2"/>
      <c r="F2639" s="655"/>
      <c r="G2639" s="2"/>
      <c r="H2639" s="2"/>
      <c r="I2639" s="13"/>
      <c r="J2639" s="656"/>
      <c r="K2639" s="13"/>
      <c r="L2639" s="13"/>
      <c r="M2639" s="13"/>
      <c r="N2639" s="2"/>
      <c r="O2639" s="2"/>
      <c r="P2639" s="2"/>
      <c r="Q2639" s="2"/>
      <c r="R2639" s="101"/>
      <c r="U2639" s="101"/>
    </row>
    <row r="2640">
      <c r="A2640" s="49"/>
      <c r="C2640" s="13"/>
      <c r="D2640" s="13"/>
      <c r="E2640" s="2"/>
      <c r="F2640" s="655"/>
      <c r="G2640" s="2"/>
      <c r="H2640" s="2"/>
      <c r="I2640" s="13"/>
      <c r="J2640" s="656"/>
      <c r="K2640" s="13"/>
      <c r="L2640" s="13"/>
      <c r="M2640" s="13"/>
      <c r="N2640" s="2"/>
      <c r="O2640" s="2"/>
      <c r="P2640" s="2"/>
      <c r="Q2640" s="2"/>
      <c r="R2640" s="101"/>
      <c r="U2640" s="101"/>
    </row>
    <row r="2641">
      <c r="A2641" s="49"/>
      <c r="C2641" s="13"/>
      <c r="D2641" s="13"/>
      <c r="E2641" s="2"/>
      <c r="F2641" s="655"/>
      <c r="G2641" s="2"/>
      <c r="H2641" s="2"/>
      <c r="I2641" s="13"/>
      <c r="J2641" s="656"/>
      <c r="K2641" s="13"/>
      <c r="L2641" s="13"/>
      <c r="M2641" s="13"/>
      <c r="N2641" s="2"/>
      <c r="O2641" s="2"/>
      <c r="P2641" s="2"/>
      <c r="Q2641" s="2"/>
      <c r="R2641" s="101"/>
      <c r="U2641" s="101"/>
    </row>
    <row r="2642">
      <c r="A2642" s="49"/>
      <c r="C2642" s="13"/>
      <c r="D2642" s="13"/>
      <c r="E2642" s="2"/>
      <c r="F2642" s="655"/>
      <c r="G2642" s="2"/>
      <c r="H2642" s="2"/>
      <c r="I2642" s="13"/>
      <c r="J2642" s="656"/>
      <c r="K2642" s="13"/>
      <c r="L2642" s="13"/>
      <c r="M2642" s="13"/>
      <c r="N2642" s="2"/>
      <c r="O2642" s="2"/>
      <c r="P2642" s="2"/>
      <c r="Q2642" s="2"/>
      <c r="R2642" s="101"/>
      <c r="U2642" s="101"/>
    </row>
    <row r="2643">
      <c r="A2643" s="49"/>
      <c r="C2643" s="13"/>
      <c r="D2643" s="13"/>
      <c r="E2643" s="2"/>
      <c r="F2643" s="655"/>
      <c r="G2643" s="2"/>
      <c r="H2643" s="2"/>
      <c r="I2643" s="13"/>
      <c r="J2643" s="656"/>
      <c r="K2643" s="13"/>
      <c r="L2643" s="13"/>
      <c r="M2643" s="13"/>
      <c r="N2643" s="2"/>
      <c r="O2643" s="2"/>
      <c r="P2643" s="2"/>
      <c r="Q2643" s="2"/>
      <c r="R2643" s="101"/>
      <c r="U2643" s="101"/>
    </row>
    <row r="2644">
      <c r="A2644" s="49"/>
      <c r="C2644" s="13"/>
      <c r="D2644" s="13"/>
      <c r="E2644" s="2"/>
      <c r="F2644" s="655"/>
      <c r="G2644" s="2"/>
      <c r="H2644" s="2"/>
      <c r="I2644" s="13"/>
      <c r="J2644" s="656"/>
      <c r="K2644" s="13"/>
      <c r="L2644" s="13"/>
      <c r="M2644" s="13"/>
      <c r="N2644" s="2"/>
      <c r="O2644" s="2"/>
      <c r="P2644" s="2"/>
      <c r="Q2644" s="2"/>
      <c r="R2644" s="101"/>
      <c r="U2644" s="101"/>
    </row>
    <row r="2645">
      <c r="A2645" s="49"/>
      <c r="C2645" s="13"/>
      <c r="D2645" s="13"/>
      <c r="E2645" s="2"/>
      <c r="F2645" s="655"/>
      <c r="G2645" s="2"/>
      <c r="H2645" s="2"/>
      <c r="I2645" s="13"/>
      <c r="J2645" s="656"/>
      <c r="K2645" s="13"/>
      <c r="L2645" s="13"/>
      <c r="M2645" s="13"/>
      <c r="N2645" s="2"/>
      <c r="O2645" s="2"/>
      <c r="P2645" s="2"/>
      <c r="Q2645" s="2"/>
      <c r="R2645" s="101"/>
      <c r="U2645" s="101"/>
    </row>
    <row r="2646">
      <c r="A2646" s="49"/>
      <c r="C2646" s="13"/>
      <c r="D2646" s="13"/>
      <c r="E2646" s="2"/>
      <c r="F2646" s="655"/>
      <c r="G2646" s="2"/>
      <c r="H2646" s="2"/>
      <c r="I2646" s="13"/>
      <c r="J2646" s="656"/>
      <c r="K2646" s="13"/>
      <c r="L2646" s="13"/>
      <c r="M2646" s="13"/>
      <c r="N2646" s="2"/>
      <c r="O2646" s="2"/>
      <c r="P2646" s="2"/>
      <c r="Q2646" s="2"/>
      <c r="R2646" s="101"/>
      <c r="U2646" s="101"/>
    </row>
    <row r="2647">
      <c r="A2647" s="49"/>
      <c r="C2647" s="13"/>
      <c r="D2647" s="13"/>
      <c r="E2647" s="2"/>
      <c r="F2647" s="655"/>
      <c r="G2647" s="2"/>
      <c r="H2647" s="2"/>
      <c r="I2647" s="13"/>
      <c r="J2647" s="656"/>
      <c r="K2647" s="13"/>
      <c r="L2647" s="13"/>
      <c r="M2647" s="13"/>
      <c r="N2647" s="2"/>
      <c r="O2647" s="2"/>
      <c r="P2647" s="2"/>
      <c r="Q2647" s="2"/>
      <c r="R2647" s="101"/>
      <c r="U2647" s="101"/>
    </row>
    <row r="2648">
      <c r="A2648" s="49"/>
      <c r="C2648" s="13"/>
      <c r="D2648" s="13"/>
      <c r="E2648" s="2"/>
      <c r="F2648" s="655"/>
      <c r="G2648" s="2"/>
      <c r="H2648" s="2"/>
      <c r="I2648" s="13"/>
      <c r="J2648" s="656"/>
      <c r="K2648" s="13"/>
      <c r="L2648" s="13"/>
      <c r="M2648" s="13"/>
      <c r="N2648" s="2"/>
      <c r="O2648" s="2"/>
      <c r="P2648" s="2"/>
      <c r="Q2648" s="2"/>
      <c r="R2648" s="101"/>
      <c r="U2648" s="101"/>
    </row>
    <row r="2649">
      <c r="A2649" s="49"/>
      <c r="C2649" s="13"/>
      <c r="D2649" s="13"/>
      <c r="E2649" s="2"/>
      <c r="F2649" s="655"/>
      <c r="G2649" s="2"/>
      <c r="H2649" s="2"/>
      <c r="I2649" s="13"/>
      <c r="J2649" s="656"/>
      <c r="K2649" s="13"/>
      <c r="L2649" s="13"/>
      <c r="M2649" s="13"/>
      <c r="N2649" s="2"/>
      <c r="O2649" s="2"/>
      <c r="P2649" s="2"/>
      <c r="Q2649" s="2"/>
      <c r="R2649" s="101"/>
      <c r="U2649" s="101"/>
    </row>
    <row r="2650">
      <c r="A2650" s="49"/>
      <c r="C2650" s="13"/>
      <c r="D2650" s="13"/>
      <c r="E2650" s="2"/>
      <c r="F2650" s="655"/>
      <c r="G2650" s="2"/>
      <c r="H2650" s="2"/>
      <c r="I2650" s="13"/>
      <c r="J2650" s="656"/>
      <c r="K2650" s="13"/>
      <c r="L2650" s="13"/>
      <c r="M2650" s="13"/>
      <c r="N2650" s="2"/>
      <c r="O2650" s="2"/>
      <c r="P2650" s="2"/>
      <c r="Q2650" s="2"/>
      <c r="R2650" s="101"/>
      <c r="U2650" s="101"/>
    </row>
    <row r="2651">
      <c r="A2651" s="49"/>
      <c r="C2651" s="13"/>
      <c r="D2651" s="13"/>
      <c r="E2651" s="2"/>
      <c r="F2651" s="655"/>
      <c r="G2651" s="2"/>
      <c r="H2651" s="2"/>
      <c r="I2651" s="13"/>
      <c r="J2651" s="656"/>
      <c r="K2651" s="13"/>
      <c r="L2651" s="13"/>
      <c r="M2651" s="13"/>
      <c r="N2651" s="2"/>
      <c r="O2651" s="2"/>
      <c r="P2651" s="2"/>
      <c r="Q2651" s="2"/>
      <c r="R2651" s="101"/>
      <c r="U2651" s="101"/>
    </row>
    <row r="2652">
      <c r="A2652" s="49"/>
      <c r="C2652" s="13"/>
      <c r="D2652" s="13"/>
      <c r="E2652" s="2"/>
      <c r="F2652" s="655"/>
      <c r="G2652" s="2"/>
      <c r="H2652" s="2"/>
      <c r="I2652" s="13"/>
      <c r="J2652" s="656"/>
      <c r="K2652" s="13"/>
      <c r="L2652" s="13"/>
      <c r="M2652" s="13"/>
      <c r="N2652" s="2"/>
      <c r="O2652" s="2"/>
      <c r="P2652" s="2"/>
      <c r="Q2652" s="2"/>
      <c r="R2652" s="101"/>
      <c r="U2652" s="101"/>
    </row>
    <row r="2653">
      <c r="A2653" s="49"/>
      <c r="C2653" s="13"/>
      <c r="D2653" s="13"/>
      <c r="E2653" s="2"/>
      <c r="F2653" s="655"/>
      <c r="G2653" s="2"/>
      <c r="H2653" s="2"/>
      <c r="I2653" s="13"/>
      <c r="J2653" s="656"/>
      <c r="K2653" s="13"/>
      <c r="L2653" s="13"/>
      <c r="M2653" s="13"/>
      <c r="N2653" s="2"/>
      <c r="O2653" s="2"/>
      <c r="P2653" s="2"/>
      <c r="Q2653" s="2"/>
      <c r="R2653" s="101"/>
      <c r="U2653" s="101"/>
    </row>
    <row r="2654">
      <c r="A2654" s="49"/>
      <c r="C2654" s="13"/>
      <c r="D2654" s="13"/>
      <c r="E2654" s="2"/>
      <c r="F2654" s="655"/>
      <c r="G2654" s="2"/>
      <c r="H2654" s="2"/>
      <c r="I2654" s="13"/>
      <c r="J2654" s="656"/>
      <c r="K2654" s="13"/>
      <c r="L2654" s="13"/>
      <c r="M2654" s="13"/>
      <c r="N2654" s="2"/>
      <c r="O2654" s="2"/>
      <c r="P2654" s="2"/>
      <c r="Q2654" s="2"/>
      <c r="R2654" s="101"/>
      <c r="U2654" s="101"/>
    </row>
    <row r="2655">
      <c r="A2655" s="49"/>
      <c r="C2655" s="13"/>
      <c r="D2655" s="13"/>
      <c r="E2655" s="2"/>
      <c r="F2655" s="655"/>
      <c r="G2655" s="2"/>
      <c r="H2655" s="2"/>
      <c r="I2655" s="13"/>
      <c r="J2655" s="656"/>
      <c r="K2655" s="13"/>
      <c r="L2655" s="13"/>
      <c r="M2655" s="13"/>
      <c r="N2655" s="2"/>
      <c r="O2655" s="2"/>
      <c r="P2655" s="2"/>
      <c r="Q2655" s="2"/>
      <c r="R2655" s="101"/>
      <c r="U2655" s="101"/>
    </row>
    <row r="2656">
      <c r="A2656" s="49"/>
      <c r="C2656" s="13"/>
      <c r="D2656" s="13"/>
      <c r="E2656" s="2"/>
      <c r="F2656" s="655"/>
      <c r="G2656" s="2"/>
      <c r="H2656" s="2"/>
      <c r="I2656" s="13"/>
      <c r="J2656" s="656"/>
      <c r="K2656" s="13"/>
      <c r="L2656" s="13"/>
      <c r="M2656" s="13"/>
      <c r="N2656" s="2"/>
      <c r="O2656" s="2"/>
      <c r="P2656" s="2"/>
      <c r="Q2656" s="2"/>
      <c r="R2656" s="101"/>
      <c r="U2656" s="101"/>
    </row>
    <row r="2657">
      <c r="A2657" s="49"/>
      <c r="C2657" s="13"/>
      <c r="D2657" s="13"/>
      <c r="E2657" s="2"/>
      <c r="F2657" s="655"/>
      <c r="G2657" s="2"/>
      <c r="H2657" s="2"/>
      <c r="I2657" s="13"/>
      <c r="J2657" s="656"/>
      <c r="K2657" s="13"/>
      <c r="L2657" s="13"/>
      <c r="M2657" s="13"/>
      <c r="N2657" s="2"/>
      <c r="O2657" s="2"/>
      <c r="P2657" s="2"/>
      <c r="Q2657" s="2"/>
      <c r="R2657" s="101"/>
      <c r="U2657" s="101"/>
    </row>
    <row r="2658">
      <c r="A2658" s="49"/>
      <c r="C2658" s="13"/>
      <c r="D2658" s="13"/>
      <c r="E2658" s="2"/>
      <c r="F2658" s="655"/>
      <c r="G2658" s="2"/>
      <c r="H2658" s="2"/>
      <c r="I2658" s="13"/>
      <c r="J2658" s="656"/>
      <c r="K2658" s="13"/>
      <c r="L2658" s="13"/>
      <c r="M2658" s="13"/>
      <c r="N2658" s="2"/>
      <c r="O2658" s="2"/>
      <c r="P2658" s="2"/>
      <c r="Q2658" s="2"/>
      <c r="R2658" s="101"/>
      <c r="U2658" s="101"/>
    </row>
    <row r="2659">
      <c r="A2659" s="49"/>
      <c r="C2659" s="13"/>
      <c r="D2659" s="13"/>
      <c r="E2659" s="2"/>
      <c r="F2659" s="655"/>
      <c r="G2659" s="2"/>
      <c r="H2659" s="2"/>
      <c r="I2659" s="13"/>
      <c r="J2659" s="656"/>
      <c r="K2659" s="13"/>
      <c r="L2659" s="13"/>
      <c r="M2659" s="13"/>
      <c r="N2659" s="2"/>
      <c r="O2659" s="2"/>
      <c r="P2659" s="2"/>
      <c r="Q2659" s="2"/>
      <c r="R2659" s="101"/>
      <c r="U2659" s="101"/>
    </row>
    <row r="2660">
      <c r="A2660" s="49"/>
      <c r="C2660" s="13"/>
      <c r="D2660" s="13"/>
      <c r="E2660" s="2"/>
      <c r="F2660" s="655"/>
      <c r="G2660" s="2"/>
      <c r="H2660" s="2"/>
      <c r="I2660" s="13"/>
      <c r="J2660" s="656"/>
      <c r="K2660" s="13"/>
      <c r="L2660" s="13"/>
      <c r="M2660" s="13"/>
      <c r="N2660" s="2"/>
      <c r="O2660" s="2"/>
      <c r="P2660" s="2"/>
      <c r="Q2660" s="2"/>
      <c r="R2660" s="101"/>
      <c r="U2660" s="101"/>
    </row>
    <row r="2661">
      <c r="A2661" s="49"/>
      <c r="C2661" s="13"/>
      <c r="D2661" s="13"/>
      <c r="E2661" s="2"/>
      <c r="F2661" s="655"/>
      <c r="G2661" s="2"/>
      <c r="H2661" s="2"/>
      <c r="I2661" s="13"/>
      <c r="J2661" s="656"/>
      <c r="K2661" s="13"/>
      <c r="L2661" s="13"/>
      <c r="M2661" s="13"/>
      <c r="N2661" s="2"/>
      <c r="O2661" s="2"/>
      <c r="P2661" s="2"/>
      <c r="Q2661" s="2"/>
      <c r="R2661" s="101"/>
      <c r="U2661" s="101"/>
    </row>
    <row r="2662">
      <c r="A2662" s="49"/>
      <c r="C2662" s="13"/>
      <c r="D2662" s="13"/>
      <c r="E2662" s="2"/>
      <c r="F2662" s="655"/>
      <c r="G2662" s="2"/>
      <c r="H2662" s="2"/>
      <c r="I2662" s="13"/>
      <c r="J2662" s="656"/>
      <c r="K2662" s="13"/>
      <c r="L2662" s="13"/>
      <c r="M2662" s="13"/>
      <c r="N2662" s="2"/>
      <c r="O2662" s="2"/>
      <c r="P2662" s="2"/>
      <c r="Q2662" s="2"/>
      <c r="R2662" s="101"/>
      <c r="U2662" s="101"/>
    </row>
    <row r="2663">
      <c r="A2663" s="49"/>
      <c r="C2663" s="13"/>
      <c r="D2663" s="13"/>
      <c r="E2663" s="2"/>
      <c r="F2663" s="655"/>
      <c r="G2663" s="2"/>
      <c r="H2663" s="2"/>
      <c r="I2663" s="13"/>
      <c r="J2663" s="656"/>
      <c r="K2663" s="13"/>
      <c r="L2663" s="13"/>
      <c r="M2663" s="13"/>
      <c r="N2663" s="2"/>
      <c r="O2663" s="2"/>
      <c r="P2663" s="2"/>
      <c r="Q2663" s="2"/>
      <c r="R2663" s="101"/>
      <c r="U2663" s="101"/>
    </row>
    <row r="2664">
      <c r="A2664" s="49"/>
      <c r="C2664" s="13"/>
      <c r="D2664" s="13"/>
      <c r="E2664" s="2"/>
      <c r="F2664" s="655"/>
      <c r="G2664" s="2"/>
      <c r="H2664" s="2"/>
      <c r="I2664" s="13"/>
      <c r="J2664" s="656"/>
      <c r="K2664" s="13"/>
      <c r="L2664" s="13"/>
      <c r="M2664" s="13"/>
      <c r="N2664" s="2"/>
      <c r="O2664" s="2"/>
      <c r="P2664" s="2"/>
      <c r="Q2664" s="2"/>
      <c r="R2664" s="101"/>
      <c r="U2664" s="101"/>
    </row>
    <row r="2665">
      <c r="A2665" s="49"/>
      <c r="C2665" s="13"/>
      <c r="D2665" s="13"/>
      <c r="E2665" s="2"/>
      <c r="F2665" s="655"/>
      <c r="G2665" s="2"/>
      <c r="H2665" s="2"/>
      <c r="I2665" s="13"/>
      <c r="J2665" s="656"/>
      <c r="K2665" s="13"/>
      <c r="L2665" s="13"/>
      <c r="M2665" s="13"/>
      <c r="N2665" s="2"/>
      <c r="O2665" s="2"/>
      <c r="P2665" s="2"/>
      <c r="Q2665" s="2"/>
      <c r="R2665" s="101"/>
      <c r="U2665" s="101"/>
    </row>
    <row r="2666">
      <c r="A2666" s="49"/>
      <c r="C2666" s="13"/>
      <c r="D2666" s="13"/>
      <c r="E2666" s="2"/>
      <c r="F2666" s="655"/>
      <c r="G2666" s="2"/>
      <c r="H2666" s="2"/>
      <c r="I2666" s="13"/>
      <c r="J2666" s="656"/>
      <c r="K2666" s="13"/>
      <c r="L2666" s="13"/>
      <c r="M2666" s="13"/>
      <c r="N2666" s="2"/>
      <c r="O2666" s="2"/>
      <c r="P2666" s="2"/>
      <c r="Q2666" s="2"/>
      <c r="R2666" s="101"/>
      <c r="U2666" s="101"/>
    </row>
    <row r="2667">
      <c r="A2667" s="49"/>
      <c r="C2667" s="13"/>
      <c r="D2667" s="13"/>
      <c r="E2667" s="2"/>
      <c r="F2667" s="655"/>
      <c r="G2667" s="2"/>
      <c r="H2667" s="2"/>
      <c r="I2667" s="13"/>
      <c r="J2667" s="656"/>
      <c r="K2667" s="13"/>
      <c r="L2667" s="13"/>
      <c r="M2667" s="13"/>
      <c r="N2667" s="2"/>
      <c r="O2667" s="2"/>
      <c r="P2667" s="2"/>
      <c r="Q2667" s="2"/>
      <c r="R2667" s="101"/>
      <c r="U2667" s="101"/>
    </row>
    <row r="2668">
      <c r="A2668" s="49"/>
      <c r="C2668" s="13"/>
      <c r="D2668" s="13"/>
      <c r="E2668" s="2"/>
      <c r="F2668" s="655"/>
      <c r="G2668" s="2"/>
      <c r="H2668" s="2"/>
      <c r="I2668" s="13"/>
      <c r="J2668" s="656"/>
      <c r="K2668" s="13"/>
      <c r="L2668" s="13"/>
      <c r="M2668" s="13"/>
      <c r="N2668" s="2"/>
      <c r="O2668" s="2"/>
      <c r="P2668" s="2"/>
      <c r="Q2668" s="2"/>
      <c r="R2668" s="101"/>
      <c r="U2668" s="101"/>
    </row>
    <row r="2669">
      <c r="A2669" s="49"/>
      <c r="C2669" s="13"/>
      <c r="D2669" s="13"/>
      <c r="E2669" s="2"/>
      <c r="F2669" s="655"/>
      <c r="G2669" s="2"/>
      <c r="H2669" s="2"/>
      <c r="I2669" s="13"/>
      <c r="J2669" s="656"/>
      <c r="K2669" s="13"/>
      <c r="L2669" s="13"/>
      <c r="M2669" s="13"/>
      <c r="N2669" s="2"/>
      <c r="O2669" s="2"/>
      <c r="P2669" s="2"/>
      <c r="Q2669" s="2"/>
      <c r="R2669" s="101"/>
      <c r="U2669" s="101"/>
    </row>
    <row r="2670">
      <c r="A2670" s="49"/>
      <c r="C2670" s="13"/>
      <c r="D2670" s="13"/>
      <c r="E2670" s="2"/>
      <c r="F2670" s="655"/>
      <c r="G2670" s="2"/>
      <c r="H2670" s="2"/>
      <c r="I2670" s="13"/>
      <c r="J2670" s="656"/>
      <c r="K2670" s="13"/>
      <c r="L2670" s="13"/>
      <c r="M2670" s="13"/>
      <c r="N2670" s="2"/>
      <c r="O2670" s="2"/>
      <c r="P2670" s="2"/>
      <c r="Q2670" s="2"/>
      <c r="R2670" s="101"/>
      <c r="U2670" s="101"/>
    </row>
    <row r="2671">
      <c r="A2671" s="49"/>
      <c r="C2671" s="13"/>
      <c r="D2671" s="13"/>
      <c r="E2671" s="2"/>
      <c r="F2671" s="655"/>
      <c r="G2671" s="2"/>
      <c r="H2671" s="2"/>
      <c r="I2671" s="13"/>
      <c r="J2671" s="656"/>
      <c r="K2671" s="13"/>
      <c r="L2671" s="13"/>
      <c r="M2671" s="13"/>
      <c r="N2671" s="2"/>
      <c r="O2671" s="2"/>
      <c r="P2671" s="2"/>
      <c r="Q2671" s="2"/>
      <c r="R2671" s="101"/>
      <c r="U2671" s="101"/>
    </row>
    <row r="2672">
      <c r="A2672" s="49"/>
      <c r="C2672" s="13"/>
      <c r="D2672" s="13"/>
      <c r="E2672" s="2"/>
      <c r="F2672" s="655"/>
      <c r="G2672" s="2"/>
      <c r="H2672" s="2"/>
      <c r="I2672" s="13"/>
      <c r="J2672" s="656"/>
      <c r="K2672" s="13"/>
      <c r="L2672" s="13"/>
      <c r="M2672" s="13"/>
      <c r="N2672" s="2"/>
      <c r="O2672" s="2"/>
      <c r="P2672" s="2"/>
      <c r="Q2672" s="2"/>
      <c r="R2672" s="101"/>
      <c r="U2672" s="101"/>
    </row>
    <row r="2673">
      <c r="A2673" s="49"/>
      <c r="C2673" s="13"/>
      <c r="D2673" s="13"/>
      <c r="E2673" s="2"/>
      <c r="F2673" s="655"/>
      <c r="G2673" s="2"/>
      <c r="H2673" s="2"/>
      <c r="I2673" s="13"/>
      <c r="J2673" s="656"/>
      <c r="K2673" s="13"/>
      <c r="L2673" s="13"/>
      <c r="M2673" s="13"/>
      <c r="N2673" s="2"/>
      <c r="O2673" s="2"/>
      <c r="P2673" s="2"/>
      <c r="Q2673" s="2"/>
      <c r="R2673" s="101"/>
      <c r="U2673" s="101"/>
    </row>
    <row r="2674">
      <c r="A2674" s="49"/>
      <c r="C2674" s="13"/>
      <c r="D2674" s="13"/>
      <c r="E2674" s="2"/>
      <c r="F2674" s="655"/>
      <c r="G2674" s="2"/>
      <c r="H2674" s="2"/>
      <c r="I2674" s="13"/>
      <c r="J2674" s="656"/>
      <c r="K2674" s="13"/>
      <c r="L2674" s="13"/>
      <c r="M2674" s="13"/>
      <c r="N2674" s="2"/>
      <c r="O2674" s="2"/>
      <c r="P2674" s="2"/>
      <c r="Q2674" s="2"/>
      <c r="R2674" s="101"/>
      <c r="U2674" s="101"/>
    </row>
    <row r="2675">
      <c r="A2675" s="49"/>
      <c r="C2675" s="13"/>
      <c r="D2675" s="13"/>
      <c r="E2675" s="2"/>
      <c r="F2675" s="655"/>
      <c r="G2675" s="2"/>
      <c r="H2675" s="2"/>
      <c r="I2675" s="13"/>
      <c r="J2675" s="656"/>
      <c r="K2675" s="13"/>
      <c r="L2675" s="13"/>
      <c r="M2675" s="13"/>
      <c r="N2675" s="2"/>
      <c r="O2675" s="2"/>
      <c r="P2675" s="2"/>
      <c r="Q2675" s="2"/>
      <c r="R2675" s="101"/>
      <c r="U2675" s="101"/>
    </row>
    <row r="2676">
      <c r="A2676" s="49"/>
      <c r="C2676" s="13"/>
      <c r="D2676" s="13"/>
      <c r="E2676" s="2"/>
      <c r="F2676" s="655"/>
      <c r="G2676" s="2"/>
      <c r="H2676" s="2"/>
      <c r="I2676" s="13"/>
      <c r="J2676" s="656"/>
      <c r="K2676" s="13"/>
      <c r="L2676" s="13"/>
      <c r="M2676" s="13"/>
      <c r="N2676" s="2"/>
      <c r="O2676" s="2"/>
      <c r="P2676" s="2"/>
      <c r="Q2676" s="2"/>
      <c r="R2676" s="101"/>
      <c r="U2676" s="101"/>
    </row>
    <row r="2677">
      <c r="A2677" s="49"/>
      <c r="C2677" s="13"/>
      <c r="D2677" s="13"/>
      <c r="E2677" s="2"/>
      <c r="F2677" s="655"/>
      <c r="G2677" s="2"/>
      <c r="H2677" s="2"/>
      <c r="I2677" s="13"/>
      <c r="J2677" s="656"/>
      <c r="K2677" s="13"/>
      <c r="L2677" s="13"/>
      <c r="M2677" s="13"/>
      <c r="N2677" s="2"/>
      <c r="O2677" s="2"/>
      <c r="P2677" s="2"/>
      <c r="Q2677" s="2"/>
      <c r="R2677" s="101"/>
      <c r="U2677" s="101"/>
    </row>
    <row r="2678">
      <c r="A2678" s="49"/>
      <c r="C2678" s="13"/>
      <c r="D2678" s="13"/>
      <c r="E2678" s="2"/>
      <c r="F2678" s="655"/>
      <c r="G2678" s="2"/>
      <c r="H2678" s="2"/>
      <c r="I2678" s="13"/>
      <c r="J2678" s="656"/>
      <c r="K2678" s="13"/>
      <c r="L2678" s="13"/>
      <c r="M2678" s="13"/>
      <c r="N2678" s="2"/>
      <c r="O2678" s="2"/>
      <c r="P2678" s="2"/>
      <c r="Q2678" s="2"/>
      <c r="R2678" s="101"/>
      <c r="U2678" s="101"/>
    </row>
    <row r="2679">
      <c r="A2679" s="49"/>
      <c r="C2679" s="13"/>
      <c r="D2679" s="13"/>
      <c r="E2679" s="2"/>
      <c r="F2679" s="655"/>
      <c r="G2679" s="2"/>
      <c r="H2679" s="2"/>
      <c r="I2679" s="13"/>
      <c r="J2679" s="656"/>
      <c r="K2679" s="13"/>
      <c r="L2679" s="13"/>
      <c r="M2679" s="13"/>
      <c r="N2679" s="2"/>
      <c r="O2679" s="2"/>
      <c r="P2679" s="2"/>
      <c r="Q2679" s="2"/>
      <c r="R2679" s="101"/>
      <c r="U2679" s="101"/>
    </row>
    <row r="2680">
      <c r="A2680" s="49"/>
      <c r="C2680" s="13"/>
      <c r="D2680" s="13"/>
      <c r="E2680" s="2"/>
      <c r="F2680" s="655"/>
      <c r="G2680" s="2"/>
      <c r="H2680" s="2"/>
      <c r="I2680" s="13"/>
      <c r="J2680" s="656"/>
      <c r="K2680" s="13"/>
      <c r="L2680" s="13"/>
      <c r="M2680" s="13"/>
      <c r="N2680" s="2"/>
      <c r="O2680" s="2"/>
      <c r="P2680" s="2"/>
      <c r="Q2680" s="2"/>
      <c r="R2680" s="101"/>
      <c r="U2680" s="101"/>
    </row>
    <row r="2681">
      <c r="A2681" s="49"/>
      <c r="C2681" s="13"/>
      <c r="D2681" s="13"/>
      <c r="E2681" s="2"/>
      <c r="F2681" s="655"/>
      <c r="G2681" s="2"/>
      <c r="H2681" s="2"/>
      <c r="I2681" s="13"/>
      <c r="J2681" s="656"/>
      <c r="K2681" s="13"/>
      <c r="L2681" s="13"/>
      <c r="M2681" s="13"/>
      <c r="N2681" s="2"/>
      <c r="O2681" s="2"/>
      <c r="P2681" s="2"/>
      <c r="Q2681" s="2"/>
      <c r="R2681" s="101"/>
      <c r="U2681" s="101"/>
    </row>
    <row r="2682">
      <c r="A2682" s="49"/>
      <c r="C2682" s="13"/>
      <c r="D2682" s="13"/>
      <c r="E2682" s="2"/>
      <c r="F2682" s="655"/>
      <c r="G2682" s="2"/>
      <c r="H2682" s="2"/>
      <c r="I2682" s="13"/>
      <c r="J2682" s="656"/>
      <c r="K2682" s="13"/>
      <c r="L2682" s="13"/>
      <c r="M2682" s="13"/>
      <c r="N2682" s="2"/>
      <c r="O2682" s="2"/>
      <c r="P2682" s="2"/>
      <c r="Q2682" s="2"/>
      <c r="R2682" s="101"/>
      <c r="U2682" s="101"/>
    </row>
    <row r="2683">
      <c r="A2683" s="49"/>
      <c r="C2683" s="13"/>
      <c r="D2683" s="13"/>
      <c r="E2683" s="2"/>
      <c r="F2683" s="655"/>
      <c r="G2683" s="2"/>
      <c r="H2683" s="2"/>
      <c r="I2683" s="13"/>
      <c r="J2683" s="656"/>
      <c r="K2683" s="13"/>
      <c r="L2683" s="13"/>
      <c r="M2683" s="13"/>
      <c r="N2683" s="2"/>
      <c r="O2683" s="2"/>
      <c r="P2683" s="2"/>
      <c r="Q2683" s="2"/>
      <c r="R2683" s="101"/>
      <c r="U2683" s="101"/>
    </row>
    <row r="2684">
      <c r="A2684" s="49"/>
      <c r="C2684" s="13"/>
      <c r="D2684" s="13"/>
      <c r="E2684" s="2"/>
      <c r="F2684" s="655"/>
      <c r="G2684" s="2"/>
      <c r="H2684" s="2"/>
      <c r="I2684" s="13"/>
      <c r="J2684" s="656"/>
      <c r="K2684" s="13"/>
      <c r="L2684" s="13"/>
      <c r="M2684" s="13"/>
      <c r="N2684" s="2"/>
      <c r="O2684" s="2"/>
      <c r="P2684" s="2"/>
      <c r="Q2684" s="2"/>
      <c r="R2684" s="101"/>
      <c r="U2684" s="101"/>
    </row>
    <row r="2685">
      <c r="A2685" s="49"/>
      <c r="C2685" s="13"/>
      <c r="D2685" s="13"/>
      <c r="E2685" s="2"/>
      <c r="F2685" s="655"/>
      <c r="G2685" s="2"/>
      <c r="H2685" s="2"/>
      <c r="I2685" s="13"/>
      <c r="J2685" s="656"/>
      <c r="K2685" s="13"/>
      <c r="L2685" s="13"/>
      <c r="M2685" s="13"/>
      <c r="N2685" s="2"/>
      <c r="O2685" s="2"/>
      <c r="P2685" s="2"/>
      <c r="Q2685" s="2"/>
      <c r="R2685" s="101"/>
      <c r="U2685" s="101"/>
    </row>
    <row r="2686">
      <c r="A2686" s="49"/>
      <c r="C2686" s="13"/>
      <c r="D2686" s="13"/>
      <c r="E2686" s="2"/>
      <c r="F2686" s="655"/>
      <c r="G2686" s="2"/>
      <c r="H2686" s="2"/>
      <c r="I2686" s="13"/>
      <c r="J2686" s="656"/>
      <c r="K2686" s="13"/>
      <c r="L2686" s="13"/>
      <c r="M2686" s="13"/>
      <c r="N2686" s="2"/>
      <c r="O2686" s="2"/>
      <c r="P2686" s="2"/>
      <c r="Q2686" s="2"/>
      <c r="R2686" s="101"/>
      <c r="U2686" s="101"/>
    </row>
    <row r="2687">
      <c r="A2687" s="49"/>
      <c r="C2687" s="13"/>
      <c r="D2687" s="13"/>
      <c r="E2687" s="2"/>
      <c r="F2687" s="655"/>
      <c r="G2687" s="2"/>
      <c r="H2687" s="2"/>
      <c r="I2687" s="13"/>
      <c r="J2687" s="656"/>
      <c r="K2687" s="13"/>
      <c r="L2687" s="13"/>
      <c r="M2687" s="13"/>
      <c r="N2687" s="2"/>
      <c r="O2687" s="2"/>
      <c r="P2687" s="2"/>
      <c r="Q2687" s="2"/>
      <c r="R2687" s="101"/>
      <c r="U2687" s="101"/>
    </row>
    <row r="2688">
      <c r="A2688" s="49"/>
      <c r="C2688" s="13"/>
      <c r="D2688" s="13"/>
      <c r="E2688" s="2"/>
      <c r="F2688" s="655"/>
      <c r="G2688" s="2"/>
      <c r="H2688" s="2"/>
      <c r="I2688" s="13"/>
      <c r="J2688" s="656"/>
      <c r="K2688" s="13"/>
      <c r="L2688" s="13"/>
      <c r="M2688" s="13"/>
      <c r="N2688" s="2"/>
      <c r="O2688" s="2"/>
      <c r="P2688" s="2"/>
      <c r="Q2688" s="2"/>
      <c r="R2688" s="101"/>
      <c r="U2688" s="101"/>
    </row>
    <row r="2689">
      <c r="A2689" s="49"/>
      <c r="C2689" s="13"/>
      <c r="D2689" s="13"/>
      <c r="E2689" s="2"/>
      <c r="F2689" s="655"/>
      <c r="G2689" s="2"/>
      <c r="H2689" s="2"/>
      <c r="I2689" s="13"/>
      <c r="J2689" s="656"/>
      <c r="K2689" s="13"/>
      <c r="L2689" s="13"/>
      <c r="M2689" s="13"/>
      <c r="N2689" s="2"/>
      <c r="O2689" s="2"/>
      <c r="P2689" s="2"/>
      <c r="Q2689" s="2"/>
      <c r="R2689" s="101"/>
      <c r="U2689" s="101"/>
    </row>
    <row r="2690">
      <c r="A2690" s="49"/>
      <c r="C2690" s="13"/>
      <c r="D2690" s="13"/>
      <c r="E2690" s="2"/>
      <c r="F2690" s="655"/>
      <c r="G2690" s="2"/>
      <c r="H2690" s="2"/>
      <c r="I2690" s="13"/>
      <c r="J2690" s="656"/>
      <c r="K2690" s="13"/>
      <c r="L2690" s="13"/>
      <c r="M2690" s="13"/>
      <c r="N2690" s="2"/>
      <c r="O2690" s="2"/>
      <c r="P2690" s="2"/>
      <c r="Q2690" s="2"/>
      <c r="R2690" s="101"/>
      <c r="U2690" s="101"/>
    </row>
    <row r="2691">
      <c r="A2691" s="49"/>
      <c r="C2691" s="13"/>
      <c r="D2691" s="13"/>
      <c r="E2691" s="2"/>
      <c r="F2691" s="655"/>
      <c r="G2691" s="2"/>
      <c r="H2691" s="2"/>
      <c r="I2691" s="13"/>
      <c r="J2691" s="656"/>
      <c r="K2691" s="13"/>
      <c r="L2691" s="13"/>
      <c r="M2691" s="13"/>
      <c r="N2691" s="2"/>
      <c r="O2691" s="2"/>
      <c r="P2691" s="2"/>
      <c r="Q2691" s="2"/>
      <c r="R2691" s="101"/>
      <c r="U2691" s="101"/>
    </row>
    <row r="2692">
      <c r="A2692" s="49"/>
      <c r="C2692" s="13"/>
      <c r="D2692" s="13"/>
      <c r="E2692" s="2"/>
      <c r="F2692" s="655"/>
      <c r="G2692" s="2"/>
      <c r="H2692" s="2"/>
      <c r="I2692" s="13"/>
      <c r="J2692" s="656"/>
      <c r="K2692" s="13"/>
      <c r="L2692" s="13"/>
      <c r="M2692" s="13"/>
      <c r="N2692" s="2"/>
      <c r="O2692" s="2"/>
      <c r="P2692" s="2"/>
      <c r="Q2692" s="2"/>
      <c r="R2692" s="101"/>
      <c r="U2692" s="101"/>
    </row>
    <row r="2693">
      <c r="A2693" s="49"/>
      <c r="C2693" s="13"/>
      <c r="D2693" s="13"/>
      <c r="E2693" s="2"/>
      <c r="F2693" s="655"/>
      <c r="G2693" s="2"/>
      <c r="H2693" s="2"/>
      <c r="I2693" s="13"/>
      <c r="J2693" s="656"/>
      <c r="K2693" s="13"/>
      <c r="L2693" s="13"/>
      <c r="M2693" s="13"/>
      <c r="N2693" s="2"/>
      <c r="O2693" s="2"/>
      <c r="P2693" s="2"/>
      <c r="Q2693" s="2"/>
      <c r="R2693" s="101"/>
      <c r="U2693" s="101"/>
    </row>
    <row r="2694">
      <c r="A2694" s="49"/>
      <c r="C2694" s="13"/>
      <c r="D2694" s="13"/>
      <c r="E2694" s="2"/>
      <c r="F2694" s="655"/>
      <c r="G2694" s="2"/>
      <c r="H2694" s="2"/>
      <c r="I2694" s="13"/>
      <c r="J2694" s="656"/>
      <c r="K2694" s="13"/>
      <c r="L2694" s="13"/>
      <c r="M2694" s="13"/>
      <c r="N2694" s="2"/>
      <c r="O2694" s="2"/>
      <c r="P2694" s="2"/>
      <c r="Q2694" s="2"/>
      <c r="R2694" s="101"/>
      <c r="U2694" s="101"/>
    </row>
    <row r="2695">
      <c r="A2695" s="49"/>
      <c r="C2695" s="13"/>
      <c r="D2695" s="13"/>
      <c r="E2695" s="2"/>
      <c r="F2695" s="655"/>
      <c r="G2695" s="2"/>
      <c r="H2695" s="2"/>
      <c r="I2695" s="13"/>
      <c r="J2695" s="656"/>
      <c r="K2695" s="13"/>
      <c r="L2695" s="13"/>
      <c r="M2695" s="13"/>
      <c r="N2695" s="2"/>
      <c r="O2695" s="2"/>
      <c r="P2695" s="2"/>
      <c r="Q2695" s="2"/>
      <c r="R2695" s="101"/>
      <c r="U2695" s="101"/>
    </row>
    <row r="2696">
      <c r="A2696" s="49"/>
      <c r="C2696" s="13"/>
      <c r="D2696" s="13"/>
      <c r="E2696" s="2"/>
      <c r="F2696" s="655"/>
      <c r="G2696" s="2"/>
      <c r="H2696" s="2"/>
      <c r="I2696" s="13"/>
      <c r="J2696" s="656"/>
      <c r="K2696" s="13"/>
      <c r="L2696" s="13"/>
      <c r="M2696" s="13"/>
      <c r="N2696" s="2"/>
      <c r="O2696" s="2"/>
      <c r="P2696" s="2"/>
      <c r="Q2696" s="2"/>
      <c r="R2696" s="101"/>
      <c r="U2696" s="101"/>
    </row>
    <row r="2697">
      <c r="A2697" s="49"/>
      <c r="C2697" s="13"/>
      <c r="D2697" s="13"/>
      <c r="E2697" s="2"/>
      <c r="F2697" s="655"/>
      <c r="G2697" s="2"/>
      <c r="H2697" s="2"/>
      <c r="I2697" s="13"/>
      <c r="J2697" s="656"/>
      <c r="K2697" s="13"/>
      <c r="L2697" s="13"/>
      <c r="M2697" s="13"/>
      <c r="N2697" s="2"/>
      <c r="O2697" s="2"/>
      <c r="P2697" s="2"/>
      <c r="Q2697" s="2"/>
      <c r="R2697" s="101"/>
      <c r="U2697" s="101"/>
    </row>
    <row r="2698">
      <c r="A2698" s="49"/>
      <c r="C2698" s="13"/>
      <c r="D2698" s="13"/>
      <c r="E2698" s="2"/>
      <c r="F2698" s="655"/>
      <c r="G2698" s="2"/>
      <c r="H2698" s="2"/>
      <c r="I2698" s="13"/>
      <c r="J2698" s="656"/>
      <c r="K2698" s="13"/>
      <c r="L2698" s="13"/>
      <c r="M2698" s="13"/>
      <c r="N2698" s="2"/>
      <c r="O2698" s="2"/>
      <c r="P2698" s="2"/>
      <c r="Q2698" s="2"/>
      <c r="R2698" s="101"/>
      <c r="U2698" s="101"/>
    </row>
    <row r="2699">
      <c r="A2699" s="49"/>
      <c r="C2699" s="13"/>
      <c r="D2699" s="13"/>
      <c r="E2699" s="2"/>
      <c r="F2699" s="655"/>
      <c r="G2699" s="2"/>
      <c r="H2699" s="2"/>
      <c r="I2699" s="13"/>
      <c r="J2699" s="656"/>
      <c r="K2699" s="13"/>
      <c r="L2699" s="13"/>
      <c r="M2699" s="13"/>
      <c r="N2699" s="2"/>
      <c r="O2699" s="2"/>
      <c r="P2699" s="2"/>
      <c r="Q2699" s="2"/>
      <c r="R2699" s="101"/>
      <c r="U2699" s="101"/>
    </row>
    <row r="2700">
      <c r="A2700" s="49"/>
      <c r="C2700" s="13"/>
      <c r="D2700" s="13"/>
      <c r="E2700" s="2"/>
      <c r="F2700" s="655"/>
      <c r="G2700" s="2"/>
      <c r="H2700" s="2"/>
      <c r="I2700" s="13"/>
      <c r="J2700" s="656"/>
      <c r="K2700" s="13"/>
      <c r="L2700" s="13"/>
      <c r="M2700" s="13"/>
      <c r="N2700" s="2"/>
      <c r="O2700" s="2"/>
      <c r="P2700" s="2"/>
      <c r="Q2700" s="2"/>
      <c r="R2700" s="101"/>
      <c r="U2700" s="101"/>
    </row>
    <row r="2701">
      <c r="A2701" s="49"/>
      <c r="C2701" s="13"/>
      <c r="D2701" s="13"/>
      <c r="E2701" s="2"/>
      <c r="F2701" s="655"/>
      <c r="G2701" s="2"/>
      <c r="H2701" s="2"/>
      <c r="I2701" s="13"/>
      <c r="J2701" s="656"/>
      <c r="K2701" s="13"/>
      <c r="L2701" s="13"/>
      <c r="M2701" s="13"/>
      <c r="N2701" s="2"/>
      <c r="O2701" s="2"/>
      <c r="P2701" s="2"/>
      <c r="Q2701" s="2"/>
      <c r="R2701" s="101"/>
      <c r="U2701" s="101"/>
    </row>
    <row r="2702">
      <c r="A2702" s="49"/>
      <c r="C2702" s="13"/>
      <c r="D2702" s="13"/>
      <c r="E2702" s="2"/>
      <c r="F2702" s="655"/>
      <c r="G2702" s="2"/>
      <c r="H2702" s="2"/>
      <c r="I2702" s="13"/>
      <c r="J2702" s="656"/>
      <c r="K2702" s="13"/>
      <c r="L2702" s="13"/>
      <c r="M2702" s="13"/>
      <c r="N2702" s="2"/>
      <c r="O2702" s="2"/>
      <c r="P2702" s="2"/>
      <c r="Q2702" s="2"/>
      <c r="R2702" s="101"/>
      <c r="U2702" s="101"/>
    </row>
    <row r="2703">
      <c r="A2703" s="49"/>
      <c r="C2703" s="13"/>
      <c r="D2703" s="13"/>
      <c r="E2703" s="2"/>
      <c r="F2703" s="655"/>
      <c r="G2703" s="2"/>
      <c r="H2703" s="2"/>
      <c r="I2703" s="13"/>
      <c r="J2703" s="656"/>
      <c r="K2703" s="13"/>
      <c r="L2703" s="13"/>
      <c r="M2703" s="13"/>
      <c r="N2703" s="2"/>
      <c r="O2703" s="2"/>
      <c r="P2703" s="2"/>
      <c r="Q2703" s="2"/>
      <c r="R2703" s="101"/>
      <c r="U2703" s="101"/>
    </row>
    <row r="2704">
      <c r="A2704" s="49"/>
      <c r="C2704" s="13"/>
      <c r="D2704" s="13"/>
      <c r="E2704" s="2"/>
      <c r="F2704" s="655"/>
      <c r="G2704" s="2"/>
      <c r="H2704" s="2"/>
      <c r="I2704" s="13"/>
      <c r="J2704" s="656"/>
      <c r="K2704" s="13"/>
      <c r="L2704" s="13"/>
      <c r="M2704" s="13"/>
      <c r="N2704" s="2"/>
      <c r="O2704" s="2"/>
      <c r="P2704" s="2"/>
      <c r="Q2704" s="2"/>
      <c r="R2704" s="101"/>
      <c r="U2704" s="101"/>
    </row>
    <row r="2705">
      <c r="A2705" s="49"/>
      <c r="C2705" s="13"/>
      <c r="D2705" s="13"/>
      <c r="E2705" s="2"/>
      <c r="F2705" s="655"/>
      <c r="G2705" s="2"/>
      <c r="H2705" s="2"/>
      <c r="I2705" s="13"/>
      <c r="J2705" s="656"/>
      <c r="K2705" s="13"/>
      <c r="L2705" s="13"/>
      <c r="M2705" s="13"/>
      <c r="N2705" s="2"/>
      <c r="O2705" s="2"/>
      <c r="P2705" s="2"/>
      <c r="Q2705" s="2"/>
      <c r="R2705" s="101"/>
      <c r="U2705" s="101"/>
    </row>
    <row r="2706">
      <c r="A2706" s="49"/>
      <c r="C2706" s="13"/>
      <c r="D2706" s="13"/>
      <c r="E2706" s="2"/>
      <c r="F2706" s="655"/>
      <c r="G2706" s="2"/>
      <c r="H2706" s="2"/>
      <c r="I2706" s="13"/>
      <c r="J2706" s="656"/>
      <c r="K2706" s="13"/>
      <c r="L2706" s="13"/>
      <c r="M2706" s="13"/>
      <c r="N2706" s="2"/>
      <c r="O2706" s="2"/>
      <c r="P2706" s="2"/>
      <c r="Q2706" s="2"/>
      <c r="R2706" s="101"/>
      <c r="U2706" s="101"/>
    </row>
    <row r="2707">
      <c r="A2707" s="49"/>
      <c r="C2707" s="13"/>
      <c r="D2707" s="13"/>
      <c r="E2707" s="2"/>
      <c r="F2707" s="655"/>
      <c r="G2707" s="2"/>
      <c r="H2707" s="2"/>
      <c r="I2707" s="13"/>
      <c r="J2707" s="656"/>
      <c r="K2707" s="13"/>
      <c r="L2707" s="13"/>
      <c r="M2707" s="13"/>
      <c r="N2707" s="2"/>
      <c r="O2707" s="2"/>
      <c r="P2707" s="2"/>
      <c r="Q2707" s="2"/>
      <c r="R2707" s="101"/>
      <c r="U2707" s="101"/>
    </row>
    <row r="2708">
      <c r="A2708" s="49"/>
      <c r="C2708" s="13"/>
      <c r="D2708" s="13"/>
      <c r="E2708" s="2"/>
      <c r="F2708" s="655"/>
      <c r="G2708" s="2"/>
      <c r="H2708" s="2"/>
      <c r="I2708" s="13"/>
      <c r="J2708" s="656"/>
      <c r="K2708" s="13"/>
      <c r="L2708" s="13"/>
      <c r="M2708" s="13"/>
      <c r="N2708" s="2"/>
      <c r="O2708" s="2"/>
      <c r="P2708" s="2"/>
      <c r="Q2708" s="2"/>
      <c r="R2708" s="101"/>
      <c r="U2708" s="101"/>
    </row>
    <row r="2709">
      <c r="A2709" s="49"/>
      <c r="C2709" s="13"/>
      <c r="D2709" s="13"/>
      <c r="E2709" s="2"/>
      <c r="F2709" s="655"/>
      <c r="G2709" s="2"/>
      <c r="H2709" s="2"/>
      <c r="I2709" s="13"/>
      <c r="J2709" s="656"/>
      <c r="K2709" s="13"/>
      <c r="L2709" s="13"/>
      <c r="M2709" s="13"/>
      <c r="N2709" s="2"/>
      <c r="O2709" s="2"/>
      <c r="P2709" s="2"/>
      <c r="Q2709" s="2"/>
      <c r="R2709" s="101"/>
      <c r="U2709" s="101"/>
    </row>
    <row r="2710">
      <c r="A2710" s="49"/>
      <c r="C2710" s="13"/>
      <c r="D2710" s="13"/>
      <c r="E2710" s="2"/>
      <c r="F2710" s="655"/>
      <c r="G2710" s="2"/>
      <c r="H2710" s="2"/>
      <c r="I2710" s="13"/>
      <c r="J2710" s="656"/>
      <c r="K2710" s="13"/>
      <c r="L2710" s="13"/>
      <c r="M2710" s="13"/>
      <c r="N2710" s="2"/>
      <c r="O2710" s="2"/>
      <c r="P2710" s="2"/>
      <c r="Q2710" s="2"/>
      <c r="R2710" s="101"/>
      <c r="U2710" s="101"/>
    </row>
    <row r="2711">
      <c r="A2711" s="49"/>
      <c r="C2711" s="13"/>
      <c r="D2711" s="13"/>
      <c r="E2711" s="2"/>
      <c r="F2711" s="655"/>
      <c r="G2711" s="2"/>
      <c r="H2711" s="2"/>
      <c r="I2711" s="13"/>
      <c r="J2711" s="656"/>
      <c r="K2711" s="13"/>
      <c r="L2711" s="13"/>
      <c r="M2711" s="13"/>
      <c r="N2711" s="2"/>
      <c r="O2711" s="2"/>
      <c r="P2711" s="2"/>
      <c r="Q2711" s="2"/>
      <c r="R2711" s="101"/>
      <c r="U2711" s="101"/>
    </row>
    <row r="2712">
      <c r="A2712" s="49"/>
      <c r="C2712" s="13"/>
      <c r="D2712" s="13"/>
      <c r="E2712" s="2"/>
      <c r="F2712" s="655"/>
      <c r="G2712" s="2"/>
      <c r="H2712" s="2"/>
      <c r="I2712" s="13"/>
      <c r="J2712" s="656"/>
      <c r="K2712" s="13"/>
      <c r="L2712" s="13"/>
      <c r="M2712" s="13"/>
      <c r="N2712" s="2"/>
      <c r="O2712" s="2"/>
      <c r="P2712" s="2"/>
      <c r="Q2712" s="2"/>
      <c r="R2712" s="101"/>
      <c r="U2712" s="101"/>
    </row>
    <row r="2713">
      <c r="A2713" s="49"/>
      <c r="C2713" s="13"/>
      <c r="D2713" s="13"/>
      <c r="E2713" s="2"/>
      <c r="F2713" s="655"/>
      <c r="G2713" s="2"/>
      <c r="H2713" s="2"/>
      <c r="I2713" s="13"/>
      <c r="J2713" s="656"/>
      <c r="K2713" s="13"/>
      <c r="L2713" s="13"/>
      <c r="M2713" s="13"/>
      <c r="N2713" s="2"/>
      <c r="O2713" s="2"/>
      <c r="P2713" s="2"/>
      <c r="Q2713" s="2"/>
      <c r="R2713" s="101"/>
      <c r="U2713" s="101"/>
    </row>
    <row r="2714">
      <c r="A2714" s="49"/>
      <c r="C2714" s="13"/>
      <c r="D2714" s="13"/>
      <c r="E2714" s="2"/>
      <c r="F2714" s="655"/>
      <c r="G2714" s="2"/>
      <c r="H2714" s="2"/>
      <c r="I2714" s="13"/>
      <c r="J2714" s="656"/>
      <c r="K2714" s="13"/>
      <c r="L2714" s="13"/>
      <c r="M2714" s="13"/>
      <c r="N2714" s="2"/>
      <c r="O2714" s="2"/>
      <c r="P2714" s="2"/>
      <c r="Q2714" s="2"/>
      <c r="R2714" s="101"/>
      <c r="U2714" s="101"/>
    </row>
    <row r="2715">
      <c r="A2715" s="49"/>
      <c r="C2715" s="13"/>
      <c r="D2715" s="13"/>
      <c r="E2715" s="2"/>
      <c r="F2715" s="655"/>
      <c r="G2715" s="2"/>
      <c r="H2715" s="2"/>
      <c r="I2715" s="13"/>
      <c r="J2715" s="656"/>
      <c r="K2715" s="13"/>
      <c r="L2715" s="13"/>
      <c r="M2715" s="13"/>
      <c r="N2715" s="2"/>
      <c r="O2715" s="2"/>
      <c r="P2715" s="2"/>
      <c r="Q2715" s="2"/>
      <c r="R2715" s="101"/>
      <c r="U2715" s="101"/>
    </row>
    <row r="2716">
      <c r="A2716" s="49"/>
      <c r="C2716" s="13"/>
      <c r="D2716" s="13"/>
      <c r="E2716" s="2"/>
      <c r="F2716" s="655"/>
      <c r="G2716" s="2"/>
      <c r="H2716" s="2"/>
      <c r="I2716" s="13"/>
      <c r="J2716" s="656"/>
      <c r="K2716" s="13"/>
      <c r="L2716" s="13"/>
      <c r="M2716" s="13"/>
      <c r="N2716" s="2"/>
      <c r="O2716" s="2"/>
      <c r="P2716" s="2"/>
      <c r="Q2716" s="2"/>
      <c r="R2716" s="101"/>
      <c r="U2716" s="101"/>
    </row>
    <row r="2717">
      <c r="A2717" s="49"/>
      <c r="C2717" s="13"/>
      <c r="D2717" s="13"/>
      <c r="E2717" s="2"/>
      <c r="F2717" s="655"/>
      <c r="G2717" s="2"/>
      <c r="H2717" s="2"/>
      <c r="I2717" s="13"/>
      <c r="J2717" s="656"/>
      <c r="K2717" s="13"/>
      <c r="L2717" s="13"/>
      <c r="M2717" s="13"/>
      <c r="N2717" s="2"/>
      <c r="O2717" s="2"/>
      <c r="P2717" s="2"/>
      <c r="Q2717" s="2"/>
      <c r="R2717" s="101"/>
      <c r="U2717" s="101"/>
    </row>
    <row r="2718">
      <c r="A2718" s="49"/>
      <c r="C2718" s="13"/>
      <c r="D2718" s="13"/>
      <c r="E2718" s="2"/>
      <c r="F2718" s="655"/>
      <c r="G2718" s="2"/>
      <c r="H2718" s="2"/>
      <c r="I2718" s="13"/>
      <c r="J2718" s="656"/>
      <c r="K2718" s="13"/>
      <c r="L2718" s="13"/>
      <c r="M2718" s="13"/>
      <c r="N2718" s="2"/>
      <c r="O2718" s="2"/>
      <c r="P2718" s="2"/>
      <c r="Q2718" s="2"/>
      <c r="R2718" s="101"/>
      <c r="U2718" s="101"/>
    </row>
    <row r="2719">
      <c r="A2719" s="49"/>
      <c r="C2719" s="13"/>
      <c r="D2719" s="13"/>
      <c r="E2719" s="2"/>
      <c r="F2719" s="655"/>
      <c r="G2719" s="2"/>
      <c r="H2719" s="2"/>
      <c r="I2719" s="13"/>
      <c r="J2719" s="656"/>
      <c r="K2719" s="13"/>
      <c r="L2719" s="13"/>
      <c r="M2719" s="13"/>
      <c r="N2719" s="2"/>
      <c r="O2719" s="2"/>
      <c r="P2719" s="2"/>
      <c r="Q2719" s="2"/>
      <c r="R2719" s="101"/>
      <c r="U2719" s="101"/>
    </row>
    <row r="2720">
      <c r="A2720" s="49"/>
      <c r="C2720" s="13"/>
      <c r="D2720" s="13"/>
      <c r="E2720" s="2"/>
      <c r="F2720" s="655"/>
      <c r="G2720" s="2"/>
      <c r="H2720" s="2"/>
      <c r="I2720" s="13"/>
      <c r="J2720" s="656"/>
      <c r="K2720" s="13"/>
      <c r="L2720" s="13"/>
      <c r="M2720" s="13"/>
      <c r="N2720" s="2"/>
      <c r="O2720" s="2"/>
      <c r="P2720" s="2"/>
      <c r="Q2720" s="2"/>
      <c r="R2720" s="101"/>
      <c r="U2720" s="101"/>
    </row>
    <row r="2721">
      <c r="A2721" s="49"/>
      <c r="C2721" s="13"/>
      <c r="D2721" s="13"/>
      <c r="E2721" s="2"/>
      <c r="F2721" s="655"/>
      <c r="G2721" s="2"/>
      <c r="H2721" s="2"/>
      <c r="I2721" s="13"/>
      <c r="J2721" s="656"/>
      <c r="K2721" s="13"/>
      <c r="L2721" s="13"/>
      <c r="M2721" s="13"/>
      <c r="N2721" s="2"/>
      <c r="O2721" s="2"/>
      <c r="P2721" s="2"/>
      <c r="Q2721" s="2"/>
      <c r="R2721" s="101"/>
      <c r="U2721" s="101"/>
    </row>
    <row r="2722">
      <c r="A2722" s="49"/>
      <c r="C2722" s="13"/>
      <c r="D2722" s="13"/>
      <c r="E2722" s="2"/>
      <c r="F2722" s="655"/>
      <c r="G2722" s="2"/>
      <c r="H2722" s="2"/>
      <c r="I2722" s="13"/>
      <c r="J2722" s="656"/>
      <c r="K2722" s="13"/>
      <c r="L2722" s="13"/>
      <c r="M2722" s="13"/>
      <c r="N2722" s="2"/>
      <c r="O2722" s="2"/>
      <c r="P2722" s="2"/>
      <c r="Q2722" s="2"/>
      <c r="R2722" s="101"/>
      <c r="U2722" s="101"/>
    </row>
    <row r="2723">
      <c r="A2723" s="49"/>
      <c r="C2723" s="13"/>
      <c r="D2723" s="13"/>
      <c r="E2723" s="2"/>
      <c r="F2723" s="655"/>
      <c r="G2723" s="2"/>
      <c r="H2723" s="2"/>
      <c r="I2723" s="13"/>
      <c r="J2723" s="656"/>
      <c r="K2723" s="13"/>
      <c r="L2723" s="13"/>
      <c r="M2723" s="13"/>
      <c r="N2723" s="2"/>
      <c r="O2723" s="2"/>
      <c r="P2723" s="2"/>
      <c r="Q2723" s="2"/>
      <c r="R2723" s="101"/>
      <c r="U2723" s="101"/>
    </row>
    <row r="2724">
      <c r="A2724" s="49"/>
      <c r="C2724" s="13"/>
      <c r="D2724" s="13"/>
      <c r="E2724" s="2"/>
      <c r="F2724" s="655"/>
      <c r="G2724" s="2"/>
      <c r="H2724" s="2"/>
      <c r="I2724" s="13"/>
      <c r="J2724" s="656"/>
      <c r="K2724" s="13"/>
      <c r="L2724" s="13"/>
      <c r="M2724" s="13"/>
      <c r="N2724" s="2"/>
      <c r="O2724" s="2"/>
      <c r="P2724" s="2"/>
      <c r="Q2724" s="2"/>
      <c r="R2724" s="101"/>
      <c r="U2724" s="101"/>
    </row>
    <row r="2725">
      <c r="A2725" s="49"/>
      <c r="C2725" s="13"/>
      <c r="D2725" s="13"/>
      <c r="E2725" s="2"/>
      <c r="F2725" s="655"/>
      <c r="G2725" s="2"/>
      <c r="H2725" s="2"/>
      <c r="I2725" s="13"/>
      <c r="J2725" s="656"/>
      <c r="K2725" s="13"/>
      <c r="L2725" s="13"/>
      <c r="M2725" s="13"/>
      <c r="N2725" s="2"/>
      <c r="O2725" s="2"/>
      <c r="P2725" s="2"/>
      <c r="Q2725" s="2"/>
      <c r="R2725" s="101"/>
      <c r="U2725" s="101"/>
    </row>
    <row r="2726">
      <c r="A2726" s="49"/>
      <c r="C2726" s="13"/>
      <c r="D2726" s="13"/>
      <c r="E2726" s="2"/>
      <c r="F2726" s="655"/>
      <c r="G2726" s="2"/>
      <c r="H2726" s="2"/>
      <c r="I2726" s="13"/>
      <c r="J2726" s="656"/>
      <c r="K2726" s="13"/>
      <c r="L2726" s="13"/>
      <c r="M2726" s="13"/>
      <c r="N2726" s="2"/>
      <c r="O2726" s="2"/>
      <c r="P2726" s="2"/>
      <c r="Q2726" s="2"/>
      <c r="R2726" s="101"/>
      <c r="U2726" s="101"/>
    </row>
    <row r="2727">
      <c r="A2727" s="49"/>
      <c r="C2727" s="13"/>
      <c r="D2727" s="13"/>
      <c r="E2727" s="2"/>
      <c r="F2727" s="655"/>
      <c r="G2727" s="2"/>
      <c r="H2727" s="2"/>
      <c r="I2727" s="13"/>
      <c r="J2727" s="656"/>
      <c r="K2727" s="13"/>
      <c r="L2727" s="13"/>
      <c r="M2727" s="13"/>
      <c r="N2727" s="2"/>
      <c r="O2727" s="2"/>
      <c r="P2727" s="2"/>
      <c r="Q2727" s="2"/>
      <c r="R2727" s="101"/>
      <c r="U2727" s="101"/>
    </row>
    <row r="2728">
      <c r="A2728" s="49"/>
      <c r="C2728" s="13"/>
      <c r="D2728" s="13"/>
      <c r="E2728" s="2"/>
      <c r="F2728" s="655"/>
      <c r="G2728" s="2"/>
      <c r="H2728" s="2"/>
      <c r="I2728" s="13"/>
      <c r="J2728" s="656"/>
      <c r="K2728" s="13"/>
      <c r="L2728" s="13"/>
      <c r="M2728" s="13"/>
      <c r="N2728" s="2"/>
      <c r="O2728" s="2"/>
      <c r="P2728" s="2"/>
      <c r="Q2728" s="2"/>
      <c r="R2728" s="101"/>
      <c r="U2728" s="101"/>
    </row>
    <row r="2729">
      <c r="A2729" s="49"/>
      <c r="C2729" s="13"/>
      <c r="D2729" s="13"/>
      <c r="E2729" s="2"/>
      <c r="F2729" s="655"/>
      <c r="G2729" s="2"/>
      <c r="H2729" s="2"/>
      <c r="I2729" s="13"/>
      <c r="J2729" s="656"/>
      <c r="K2729" s="13"/>
      <c r="L2729" s="13"/>
      <c r="M2729" s="13"/>
      <c r="N2729" s="2"/>
      <c r="O2729" s="2"/>
      <c r="P2729" s="2"/>
      <c r="Q2729" s="2"/>
      <c r="R2729" s="101"/>
      <c r="U2729" s="101"/>
    </row>
    <row r="2730">
      <c r="A2730" s="49"/>
      <c r="C2730" s="13"/>
      <c r="D2730" s="13"/>
      <c r="E2730" s="2"/>
      <c r="F2730" s="655"/>
      <c r="G2730" s="2"/>
      <c r="H2730" s="2"/>
      <c r="I2730" s="13"/>
      <c r="J2730" s="656"/>
      <c r="K2730" s="13"/>
      <c r="L2730" s="13"/>
      <c r="M2730" s="13"/>
      <c r="N2730" s="2"/>
      <c r="O2730" s="2"/>
      <c r="P2730" s="2"/>
      <c r="Q2730" s="2"/>
      <c r="R2730" s="101"/>
      <c r="U2730" s="101"/>
    </row>
    <row r="2731">
      <c r="A2731" s="49"/>
      <c r="C2731" s="13"/>
      <c r="D2731" s="13"/>
      <c r="E2731" s="2"/>
      <c r="F2731" s="655"/>
      <c r="G2731" s="2"/>
      <c r="H2731" s="2"/>
      <c r="I2731" s="13"/>
      <c r="J2731" s="656"/>
      <c r="K2731" s="13"/>
      <c r="L2731" s="13"/>
      <c r="M2731" s="13"/>
      <c r="N2731" s="2"/>
      <c r="O2731" s="2"/>
      <c r="P2731" s="2"/>
      <c r="Q2731" s="2"/>
      <c r="R2731" s="101"/>
      <c r="U2731" s="101"/>
    </row>
    <row r="2732">
      <c r="A2732" s="49"/>
      <c r="C2732" s="13"/>
      <c r="D2732" s="13"/>
      <c r="E2732" s="2"/>
      <c r="F2732" s="655"/>
      <c r="G2732" s="2"/>
      <c r="H2732" s="2"/>
      <c r="I2732" s="13"/>
      <c r="J2732" s="656"/>
      <c r="K2732" s="13"/>
      <c r="L2732" s="13"/>
      <c r="M2732" s="13"/>
      <c r="N2732" s="2"/>
      <c r="O2732" s="2"/>
      <c r="P2732" s="2"/>
      <c r="Q2732" s="2"/>
      <c r="R2732" s="101"/>
      <c r="U2732" s="101"/>
    </row>
    <row r="2733">
      <c r="A2733" s="49"/>
      <c r="C2733" s="13"/>
      <c r="D2733" s="13"/>
      <c r="E2733" s="2"/>
      <c r="F2733" s="655"/>
      <c r="G2733" s="2"/>
      <c r="H2733" s="2"/>
      <c r="I2733" s="13"/>
      <c r="J2733" s="656"/>
      <c r="K2733" s="13"/>
      <c r="L2733" s="13"/>
      <c r="M2733" s="13"/>
      <c r="N2733" s="2"/>
      <c r="O2733" s="2"/>
      <c r="P2733" s="2"/>
      <c r="Q2733" s="2"/>
      <c r="R2733" s="101"/>
      <c r="U2733" s="101"/>
    </row>
    <row r="2734">
      <c r="A2734" s="49"/>
      <c r="C2734" s="13"/>
      <c r="D2734" s="13"/>
      <c r="E2734" s="2"/>
      <c r="F2734" s="655"/>
      <c r="G2734" s="2"/>
      <c r="H2734" s="2"/>
      <c r="I2734" s="13"/>
      <c r="J2734" s="656"/>
      <c r="K2734" s="13"/>
      <c r="L2734" s="13"/>
      <c r="M2734" s="13"/>
      <c r="N2734" s="2"/>
      <c r="O2734" s="2"/>
      <c r="P2734" s="2"/>
      <c r="Q2734" s="2"/>
      <c r="R2734" s="101"/>
      <c r="U2734" s="101"/>
    </row>
    <row r="2735">
      <c r="A2735" s="49"/>
      <c r="C2735" s="13"/>
      <c r="D2735" s="13"/>
      <c r="E2735" s="2"/>
      <c r="F2735" s="655"/>
      <c r="G2735" s="2"/>
      <c r="H2735" s="2"/>
      <c r="I2735" s="13"/>
      <c r="J2735" s="656"/>
      <c r="K2735" s="13"/>
      <c r="L2735" s="13"/>
      <c r="M2735" s="13"/>
      <c r="N2735" s="2"/>
      <c r="O2735" s="2"/>
      <c r="P2735" s="2"/>
      <c r="Q2735" s="2"/>
      <c r="R2735" s="101"/>
      <c r="U2735" s="101"/>
    </row>
    <row r="2736">
      <c r="A2736" s="49"/>
      <c r="C2736" s="13"/>
      <c r="D2736" s="13"/>
      <c r="E2736" s="2"/>
      <c r="F2736" s="655"/>
      <c r="G2736" s="2"/>
      <c r="H2736" s="2"/>
      <c r="I2736" s="13"/>
      <c r="J2736" s="656"/>
      <c r="K2736" s="13"/>
      <c r="L2736" s="13"/>
      <c r="M2736" s="13"/>
      <c r="N2736" s="2"/>
      <c r="O2736" s="2"/>
      <c r="P2736" s="2"/>
      <c r="Q2736" s="2"/>
      <c r="R2736" s="101"/>
      <c r="U2736" s="101"/>
    </row>
    <row r="2737">
      <c r="A2737" s="49"/>
      <c r="C2737" s="13"/>
      <c r="D2737" s="13"/>
      <c r="E2737" s="2"/>
      <c r="F2737" s="655"/>
      <c r="G2737" s="2"/>
      <c r="H2737" s="2"/>
      <c r="I2737" s="13"/>
      <c r="J2737" s="656"/>
      <c r="K2737" s="13"/>
      <c r="L2737" s="13"/>
      <c r="M2737" s="13"/>
      <c r="N2737" s="2"/>
      <c r="O2737" s="2"/>
      <c r="P2737" s="2"/>
      <c r="Q2737" s="2"/>
      <c r="R2737" s="101"/>
      <c r="U2737" s="101"/>
    </row>
    <row r="2738">
      <c r="A2738" s="49"/>
      <c r="C2738" s="13"/>
      <c r="D2738" s="13"/>
      <c r="E2738" s="2"/>
      <c r="F2738" s="655"/>
      <c r="G2738" s="2"/>
      <c r="H2738" s="2"/>
      <c r="I2738" s="13"/>
      <c r="J2738" s="656"/>
      <c r="K2738" s="13"/>
      <c r="L2738" s="13"/>
      <c r="M2738" s="13"/>
      <c r="N2738" s="2"/>
      <c r="O2738" s="2"/>
      <c r="P2738" s="2"/>
      <c r="Q2738" s="2"/>
      <c r="R2738" s="101"/>
      <c r="U2738" s="101"/>
    </row>
    <row r="2739">
      <c r="A2739" s="49"/>
      <c r="C2739" s="13"/>
      <c r="D2739" s="13"/>
      <c r="E2739" s="2"/>
      <c r="F2739" s="655"/>
      <c r="G2739" s="2"/>
      <c r="H2739" s="2"/>
      <c r="I2739" s="13"/>
      <c r="J2739" s="656"/>
      <c r="K2739" s="13"/>
      <c r="L2739" s="13"/>
      <c r="M2739" s="13"/>
      <c r="N2739" s="2"/>
      <c r="O2739" s="2"/>
      <c r="P2739" s="2"/>
      <c r="Q2739" s="2"/>
      <c r="R2739" s="101"/>
      <c r="U2739" s="101"/>
    </row>
    <row r="2740">
      <c r="A2740" s="49"/>
      <c r="C2740" s="13"/>
      <c r="D2740" s="13"/>
      <c r="E2740" s="2"/>
      <c r="F2740" s="655"/>
      <c r="G2740" s="2"/>
      <c r="H2740" s="2"/>
      <c r="I2740" s="13"/>
      <c r="J2740" s="656"/>
      <c r="K2740" s="13"/>
      <c r="L2740" s="13"/>
      <c r="M2740" s="13"/>
      <c r="N2740" s="2"/>
      <c r="O2740" s="2"/>
      <c r="P2740" s="2"/>
      <c r="Q2740" s="2"/>
      <c r="R2740" s="101"/>
      <c r="U2740" s="101"/>
    </row>
    <row r="2741">
      <c r="A2741" s="49"/>
      <c r="C2741" s="13"/>
      <c r="D2741" s="13"/>
      <c r="E2741" s="2"/>
      <c r="F2741" s="655"/>
      <c r="G2741" s="2"/>
      <c r="H2741" s="2"/>
      <c r="I2741" s="13"/>
      <c r="J2741" s="656"/>
      <c r="K2741" s="13"/>
      <c r="L2741" s="13"/>
      <c r="M2741" s="13"/>
      <c r="N2741" s="2"/>
      <c r="O2741" s="2"/>
      <c r="P2741" s="2"/>
      <c r="Q2741" s="2"/>
      <c r="R2741" s="101"/>
      <c r="U2741" s="101"/>
    </row>
    <row r="2742">
      <c r="A2742" s="49"/>
      <c r="C2742" s="13"/>
      <c r="D2742" s="13"/>
      <c r="E2742" s="2"/>
      <c r="F2742" s="655"/>
      <c r="G2742" s="2"/>
      <c r="H2742" s="2"/>
      <c r="I2742" s="13"/>
      <c r="J2742" s="656"/>
      <c r="K2742" s="13"/>
      <c r="L2742" s="13"/>
      <c r="M2742" s="13"/>
      <c r="N2742" s="2"/>
      <c r="O2742" s="2"/>
      <c r="P2742" s="2"/>
      <c r="Q2742" s="2"/>
      <c r="R2742" s="101"/>
      <c r="U2742" s="101"/>
    </row>
    <row r="2743">
      <c r="A2743" s="49"/>
      <c r="C2743" s="13"/>
      <c r="D2743" s="13"/>
      <c r="E2743" s="2"/>
      <c r="F2743" s="655"/>
      <c r="G2743" s="2"/>
      <c r="H2743" s="2"/>
      <c r="I2743" s="13"/>
      <c r="J2743" s="656"/>
      <c r="K2743" s="13"/>
      <c r="L2743" s="13"/>
      <c r="M2743" s="13"/>
      <c r="N2743" s="2"/>
      <c r="O2743" s="2"/>
      <c r="P2743" s="2"/>
      <c r="Q2743" s="2"/>
      <c r="R2743" s="101"/>
      <c r="U2743" s="101"/>
    </row>
    <row r="2744">
      <c r="A2744" s="49"/>
      <c r="C2744" s="13"/>
      <c r="D2744" s="13"/>
      <c r="E2744" s="2"/>
      <c r="F2744" s="655"/>
      <c r="G2744" s="2"/>
      <c r="H2744" s="2"/>
      <c r="I2744" s="13"/>
      <c r="J2744" s="656"/>
      <c r="K2744" s="13"/>
      <c r="L2744" s="13"/>
      <c r="M2744" s="13"/>
      <c r="N2744" s="2"/>
      <c r="O2744" s="2"/>
      <c r="P2744" s="2"/>
      <c r="Q2744" s="2"/>
      <c r="R2744" s="101"/>
      <c r="U2744" s="101"/>
    </row>
    <row r="2745">
      <c r="A2745" s="49"/>
      <c r="C2745" s="13"/>
      <c r="D2745" s="13"/>
      <c r="E2745" s="2"/>
      <c r="F2745" s="655"/>
      <c r="G2745" s="2"/>
      <c r="H2745" s="2"/>
      <c r="I2745" s="13"/>
      <c r="J2745" s="656"/>
      <c r="K2745" s="13"/>
      <c r="L2745" s="13"/>
      <c r="M2745" s="13"/>
      <c r="N2745" s="2"/>
      <c r="O2745" s="2"/>
      <c r="P2745" s="2"/>
      <c r="Q2745" s="2"/>
      <c r="R2745" s="101"/>
      <c r="U2745" s="101"/>
    </row>
    <row r="2746">
      <c r="A2746" s="49"/>
      <c r="C2746" s="13"/>
      <c r="D2746" s="13"/>
      <c r="E2746" s="2"/>
      <c r="F2746" s="655"/>
      <c r="G2746" s="2"/>
      <c r="H2746" s="2"/>
      <c r="I2746" s="13"/>
      <c r="J2746" s="656"/>
      <c r="K2746" s="13"/>
      <c r="L2746" s="13"/>
      <c r="M2746" s="13"/>
      <c r="N2746" s="2"/>
      <c r="O2746" s="2"/>
      <c r="P2746" s="2"/>
      <c r="Q2746" s="2"/>
      <c r="R2746" s="101"/>
      <c r="U2746" s="101"/>
    </row>
    <row r="2747">
      <c r="A2747" s="49"/>
      <c r="C2747" s="13"/>
      <c r="D2747" s="13"/>
      <c r="E2747" s="2"/>
      <c r="F2747" s="655"/>
      <c r="G2747" s="2"/>
      <c r="H2747" s="2"/>
      <c r="I2747" s="13"/>
      <c r="J2747" s="656"/>
      <c r="K2747" s="13"/>
      <c r="L2747" s="13"/>
      <c r="M2747" s="13"/>
      <c r="N2747" s="2"/>
      <c r="O2747" s="2"/>
      <c r="P2747" s="2"/>
      <c r="Q2747" s="2"/>
      <c r="R2747" s="101"/>
      <c r="U2747" s="101"/>
    </row>
    <row r="2748">
      <c r="A2748" s="49"/>
      <c r="C2748" s="13"/>
      <c r="D2748" s="13"/>
      <c r="E2748" s="2"/>
      <c r="F2748" s="655"/>
      <c r="G2748" s="2"/>
      <c r="H2748" s="2"/>
      <c r="I2748" s="13"/>
      <c r="J2748" s="656"/>
      <c r="K2748" s="13"/>
      <c r="L2748" s="13"/>
      <c r="M2748" s="13"/>
      <c r="N2748" s="2"/>
      <c r="O2748" s="2"/>
      <c r="P2748" s="2"/>
      <c r="Q2748" s="2"/>
      <c r="R2748" s="101"/>
      <c r="U2748" s="101"/>
    </row>
    <row r="2749">
      <c r="A2749" s="49"/>
      <c r="C2749" s="13"/>
      <c r="D2749" s="13"/>
      <c r="E2749" s="2"/>
      <c r="F2749" s="655"/>
      <c r="G2749" s="2"/>
      <c r="H2749" s="2"/>
      <c r="I2749" s="13"/>
      <c r="J2749" s="656"/>
      <c r="K2749" s="13"/>
      <c r="L2749" s="13"/>
      <c r="M2749" s="13"/>
      <c r="N2749" s="2"/>
      <c r="O2749" s="2"/>
      <c r="P2749" s="2"/>
      <c r="Q2749" s="2"/>
      <c r="R2749" s="101"/>
      <c r="U2749" s="101"/>
    </row>
    <row r="2750">
      <c r="A2750" s="49"/>
      <c r="C2750" s="13"/>
      <c r="D2750" s="13"/>
      <c r="E2750" s="2"/>
      <c r="F2750" s="655"/>
      <c r="G2750" s="2"/>
      <c r="H2750" s="2"/>
      <c r="I2750" s="13"/>
      <c r="J2750" s="656"/>
      <c r="K2750" s="13"/>
      <c r="L2750" s="13"/>
      <c r="M2750" s="13"/>
      <c r="N2750" s="2"/>
      <c r="O2750" s="2"/>
      <c r="P2750" s="2"/>
      <c r="Q2750" s="2"/>
      <c r="R2750" s="101"/>
      <c r="U2750" s="101"/>
    </row>
    <row r="2751">
      <c r="A2751" s="49"/>
      <c r="C2751" s="13"/>
      <c r="D2751" s="13"/>
      <c r="E2751" s="2"/>
      <c r="F2751" s="655"/>
      <c r="G2751" s="2"/>
      <c r="H2751" s="2"/>
      <c r="I2751" s="13"/>
      <c r="J2751" s="656"/>
      <c r="K2751" s="13"/>
      <c r="L2751" s="13"/>
      <c r="M2751" s="13"/>
      <c r="N2751" s="2"/>
      <c r="O2751" s="2"/>
      <c r="P2751" s="2"/>
      <c r="Q2751" s="2"/>
      <c r="R2751" s="101"/>
      <c r="U2751" s="101"/>
    </row>
    <row r="2752">
      <c r="A2752" s="49"/>
      <c r="C2752" s="13"/>
      <c r="D2752" s="13"/>
      <c r="E2752" s="2"/>
      <c r="F2752" s="655"/>
      <c r="G2752" s="2"/>
      <c r="H2752" s="2"/>
      <c r="I2752" s="13"/>
      <c r="J2752" s="656"/>
      <c r="K2752" s="13"/>
      <c r="L2752" s="13"/>
      <c r="M2752" s="13"/>
      <c r="N2752" s="2"/>
      <c r="O2752" s="2"/>
      <c r="P2752" s="2"/>
      <c r="Q2752" s="2"/>
      <c r="R2752" s="101"/>
      <c r="U2752" s="101"/>
    </row>
    <row r="2753">
      <c r="A2753" s="49"/>
      <c r="C2753" s="13"/>
      <c r="D2753" s="13"/>
      <c r="E2753" s="2"/>
      <c r="F2753" s="655"/>
      <c r="G2753" s="2"/>
      <c r="H2753" s="2"/>
      <c r="I2753" s="13"/>
      <c r="J2753" s="656"/>
      <c r="K2753" s="13"/>
      <c r="L2753" s="13"/>
      <c r="M2753" s="13"/>
      <c r="N2753" s="2"/>
      <c r="O2753" s="2"/>
      <c r="P2753" s="2"/>
      <c r="Q2753" s="2"/>
      <c r="R2753" s="101"/>
      <c r="U2753" s="101"/>
    </row>
    <row r="2754">
      <c r="A2754" s="49"/>
      <c r="C2754" s="13"/>
      <c r="D2754" s="13"/>
      <c r="E2754" s="2"/>
      <c r="F2754" s="655"/>
      <c r="G2754" s="2"/>
      <c r="H2754" s="2"/>
      <c r="I2754" s="13"/>
      <c r="J2754" s="656"/>
      <c r="K2754" s="13"/>
      <c r="L2754" s="13"/>
      <c r="M2754" s="13"/>
      <c r="N2754" s="2"/>
      <c r="O2754" s="2"/>
      <c r="P2754" s="2"/>
      <c r="Q2754" s="2"/>
      <c r="R2754" s="101"/>
      <c r="U2754" s="101"/>
    </row>
    <row r="2755">
      <c r="A2755" s="49"/>
      <c r="C2755" s="13"/>
      <c r="D2755" s="13"/>
      <c r="E2755" s="2"/>
      <c r="F2755" s="655"/>
      <c r="G2755" s="2"/>
      <c r="H2755" s="2"/>
      <c r="I2755" s="13"/>
      <c r="J2755" s="656"/>
      <c r="K2755" s="13"/>
      <c r="L2755" s="13"/>
      <c r="M2755" s="13"/>
      <c r="N2755" s="2"/>
      <c r="O2755" s="2"/>
      <c r="P2755" s="2"/>
      <c r="Q2755" s="2"/>
      <c r="R2755" s="101"/>
      <c r="U2755" s="101"/>
    </row>
    <row r="2756">
      <c r="A2756" s="49"/>
      <c r="C2756" s="13"/>
      <c r="D2756" s="13"/>
      <c r="E2756" s="2"/>
      <c r="F2756" s="655"/>
      <c r="G2756" s="2"/>
      <c r="H2756" s="2"/>
      <c r="I2756" s="13"/>
      <c r="J2756" s="656"/>
      <c r="K2756" s="13"/>
      <c r="L2756" s="13"/>
      <c r="M2756" s="13"/>
      <c r="N2756" s="2"/>
      <c r="O2756" s="2"/>
      <c r="P2756" s="2"/>
      <c r="Q2756" s="2"/>
      <c r="R2756" s="101"/>
      <c r="U2756" s="101"/>
    </row>
    <row r="2757">
      <c r="A2757" s="49"/>
      <c r="C2757" s="13"/>
      <c r="D2757" s="13"/>
      <c r="E2757" s="2"/>
      <c r="F2757" s="655"/>
      <c r="G2757" s="2"/>
      <c r="H2757" s="2"/>
      <c r="I2757" s="13"/>
      <c r="J2757" s="656"/>
      <c r="K2757" s="13"/>
      <c r="L2757" s="13"/>
      <c r="M2757" s="13"/>
      <c r="N2757" s="2"/>
      <c r="O2757" s="2"/>
      <c r="P2757" s="2"/>
      <c r="Q2757" s="2"/>
      <c r="R2757" s="101"/>
      <c r="U2757" s="101"/>
    </row>
    <row r="2758">
      <c r="A2758" s="49"/>
      <c r="C2758" s="13"/>
      <c r="D2758" s="13"/>
      <c r="E2758" s="2"/>
      <c r="F2758" s="655"/>
      <c r="G2758" s="2"/>
      <c r="H2758" s="2"/>
      <c r="I2758" s="13"/>
      <c r="J2758" s="656"/>
      <c r="K2758" s="13"/>
      <c r="L2758" s="13"/>
      <c r="M2758" s="13"/>
      <c r="N2758" s="2"/>
      <c r="O2758" s="2"/>
      <c r="P2758" s="2"/>
      <c r="Q2758" s="2"/>
      <c r="R2758" s="101"/>
      <c r="U2758" s="101"/>
    </row>
    <row r="2759">
      <c r="A2759" s="49"/>
      <c r="C2759" s="13"/>
      <c r="D2759" s="13"/>
      <c r="E2759" s="2"/>
      <c r="F2759" s="655"/>
      <c r="G2759" s="2"/>
      <c r="H2759" s="2"/>
      <c r="I2759" s="13"/>
      <c r="J2759" s="656"/>
      <c r="K2759" s="13"/>
      <c r="L2759" s="13"/>
      <c r="M2759" s="13"/>
      <c r="N2759" s="2"/>
      <c r="O2759" s="2"/>
      <c r="P2759" s="2"/>
      <c r="Q2759" s="2"/>
      <c r="R2759" s="101"/>
      <c r="U2759" s="101"/>
    </row>
    <row r="2760">
      <c r="A2760" s="49"/>
      <c r="C2760" s="13"/>
      <c r="D2760" s="13"/>
      <c r="E2760" s="2"/>
      <c r="F2760" s="655"/>
      <c r="G2760" s="2"/>
      <c r="H2760" s="2"/>
      <c r="I2760" s="13"/>
      <c r="J2760" s="656"/>
      <c r="K2760" s="13"/>
      <c r="L2760" s="13"/>
      <c r="M2760" s="13"/>
      <c r="N2760" s="2"/>
      <c r="O2760" s="2"/>
      <c r="P2760" s="2"/>
      <c r="Q2760" s="2"/>
      <c r="R2760" s="101"/>
      <c r="U2760" s="101"/>
    </row>
    <row r="2761">
      <c r="A2761" s="49"/>
      <c r="C2761" s="13"/>
      <c r="D2761" s="13"/>
      <c r="E2761" s="2"/>
      <c r="F2761" s="655"/>
      <c r="G2761" s="2"/>
      <c r="H2761" s="2"/>
      <c r="I2761" s="13"/>
      <c r="J2761" s="656"/>
      <c r="K2761" s="13"/>
      <c r="L2761" s="13"/>
      <c r="M2761" s="13"/>
      <c r="N2761" s="2"/>
      <c r="O2761" s="2"/>
      <c r="P2761" s="2"/>
      <c r="Q2761" s="2"/>
      <c r="R2761" s="101"/>
      <c r="U2761" s="101"/>
    </row>
    <row r="2762">
      <c r="A2762" s="49"/>
      <c r="C2762" s="13"/>
      <c r="D2762" s="13"/>
      <c r="E2762" s="2"/>
      <c r="F2762" s="655"/>
      <c r="G2762" s="2"/>
      <c r="H2762" s="2"/>
      <c r="I2762" s="13"/>
      <c r="J2762" s="656"/>
      <c r="K2762" s="13"/>
      <c r="L2762" s="13"/>
      <c r="M2762" s="13"/>
      <c r="N2762" s="2"/>
      <c r="O2762" s="2"/>
      <c r="P2762" s="2"/>
      <c r="Q2762" s="2"/>
      <c r="R2762" s="101"/>
      <c r="U2762" s="101"/>
    </row>
    <row r="2763">
      <c r="A2763" s="49"/>
      <c r="C2763" s="13"/>
      <c r="D2763" s="13"/>
      <c r="E2763" s="2"/>
      <c r="F2763" s="655"/>
      <c r="G2763" s="2"/>
      <c r="H2763" s="2"/>
      <c r="I2763" s="13"/>
      <c r="J2763" s="656"/>
      <c r="K2763" s="13"/>
      <c r="L2763" s="13"/>
      <c r="M2763" s="13"/>
      <c r="N2763" s="2"/>
      <c r="O2763" s="2"/>
      <c r="P2763" s="2"/>
      <c r="Q2763" s="2"/>
      <c r="R2763" s="101"/>
      <c r="U2763" s="101"/>
    </row>
    <row r="2764">
      <c r="A2764" s="49"/>
      <c r="C2764" s="13"/>
      <c r="D2764" s="13"/>
      <c r="E2764" s="2"/>
      <c r="F2764" s="655"/>
      <c r="G2764" s="2"/>
      <c r="H2764" s="2"/>
      <c r="I2764" s="13"/>
      <c r="J2764" s="656"/>
      <c r="K2764" s="13"/>
      <c r="L2764" s="13"/>
      <c r="M2764" s="13"/>
      <c r="N2764" s="2"/>
      <c r="O2764" s="2"/>
      <c r="P2764" s="2"/>
      <c r="Q2764" s="2"/>
      <c r="R2764" s="101"/>
      <c r="U2764" s="101"/>
    </row>
    <row r="2765">
      <c r="A2765" s="49"/>
      <c r="C2765" s="13"/>
      <c r="D2765" s="13"/>
      <c r="E2765" s="2"/>
      <c r="F2765" s="655"/>
      <c r="G2765" s="2"/>
      <c r="H2765" s="2"/>
      <c r="I2765" s="13"/>
      <c r="J2765" s="656"/>
      <c r="K2765" s="13"/>
      <c r="L2765" s="13"/>
      <c r="M2765" s="13"/>
      <c r="N2765" s="2"/>
      <c r="O2765" s="2"/>
      <c r="P2765" s="2"/>
      <c r="Q2765" s="2"/>
      <c r="R2765" s="101"/>
      <c r="U2765" s="101"/>
    </row>
    <row r="2766">
      <c r="A2766" s="49"/>
      <c r="C2766" s="13"/>
      <c r="D2766" s="13"/>
      <c r="E2766" s="2"/>
      <c r="F2766" s="655"/>
      <c r="G2766" s="2"/>
      <c r="H2766" s="2"/>
      <c r="I2766" s="13"/>
      <c r="J2766" s="656"/>
      <c r="K2766" s="13"/>
      <c r="L2766" s="13"/>
      <c r="M2766" s="13"/>
      <c r="N2766" s="2"/>
      <c r="O2766" s="2"/>
      <c r="P2766" s="2"/>
      <c r="Q2766" s="2"/>
      <c r="R2766" s="101"/>
      <c r="U2766" s="101"/>
    </row>
    <row r="2767">
      <c r="A2767" s="49"/>
      <c r="C2767" s="13"/>
      <c r="D2767" s="13"/>
      <c r="E2767" s="2"/>
      <c r="F2767" s="655"/>
      <c r="G2767" s="2"/>
      <c r="H2767" s="2"/>
      <c r="I2767" s="13"/>
      <c r="J2767" s="656"/>
      <c r="K2767" s="13"/>
      <c r="L2767" s="13"/>
      <c r="M2767" s="13"/>
      <c r="N2767" s="2"/>
      <c r="O2767" s="2"/>
      <c r="P2767" s="2"/>
      <c r="Q2767" s="2"/>
      <c r="R2767" s="101"/>
      <c r="U2767" s="101"/>
    </row>
    <row r="2768">
      <c r="A2768" s="49"/>
      <c r="C2768" s="13"/>
      <c r="D2768" s="13"/>
      <c r="E2768" s="2"/>
      <c r="F2768" s="655"/>
      <c r="G2768" s="2"/>
      <c r="H2768" s="2"/>
      <c r="I2768" s="13"/>
      <c r="J2768" s="656"/>
      <c r="K2768" s="13"/>
      <c r="L2768" s="13"/>
      <c r="M2768" s="13"/>
      <c r="N2768" s="2"/>
      <c r="O2768" s="2"/>
      <c r="P2768" s="2"/>
      <c r="Q2768" s="2"/>
      <c r="R2768" s="101"/>
      <c r="U2768" s="101"/>
    </row>
    <row r="2769">
      <c r="A2769" s="49"/>
      <c r="C2769" s="13"/>
      <c r="D2769" s="13"/>
      <c r="E2769" s="2"/>
      <c r="F2769" s="655"/>
      <c r="G2769" s="2"/>
      <c r="H2769" s="2"/>
      <c r="I2769" s="13"/>
      <c r="J2769" s="656"/>
      <c r="K2769" s="13"/>
      <c r="L2769" s="13"/>
      <c r="M2769" s="13"/>
      <c r="N2769" s="2"/>
      <c r="O2769" s="2"/>
      <c r="P2769" s="2"/>
      <c r="Q2769" s="2"/>
      <c r="R2769" s="101"/>
      <c r="U2769" s="101"/>
    </row>
    <row r="2770">
      <c r="A2770" s="49"/>
      <c r="C2770" s="13"/>
      <c r="D2770" s="13"/>
      <c r="E2770" s="2"/>
      <c r="F2770" s="655"/>
      <c r="G2770" s="2"/>
      <c r="H2770" s="2"/>
      <c r="I2770" s="13"/>
      <c r="J2770" s="656"/>
      <c r="K2770" s="13"/>
      <c r="L2770" s="13"/>
      <c r="M2770" s="13"/>
      <c r="N2770" s="2"/>
      <c r="O2770" s="2"/>
      <c r="P2770" s="2"/>
      <c r="Q2770" s="2"/>
      <c r="R2770" s="101"/>
      <c r="U2770" s="101"/>
    </row>
    <row r="2771">
      <c r="A2771" s="49"/>
      <c r="C2771" s="13"/>
      <c r="D2771" s="13"/>
      <c r="E2771" s="2"/>
      <c r="F2771" s="655"/>
      <c r="G2771" s="2"/>
      <c r="H2771" s="2"/>
      <c r="I2771" s="13"/>
      <c r="J2771" s="656"/>
      <c r="K2771" s="13"/>
      <c r="L2771" s="13"/>
      <c r="M2771" s="13"/>
      <c r="N2771" s="2"/>
      <c r="O2771" s="2"/>
      <c r="P2771" s="2"/>
      <c r="Q2771" s="2"/>
      <c r="R2771" s="101"/>
      <c r="U2771" s="101"/>
    </row>
    <row r="2772">
      <c r="A2772" s="49"/>
      <c r="C2772" s="13"/>
      <c r="D2772" s="13"/>
      <c r="E2772" s="2"/>
      <c r="F2772" s="655"/>
      <c r="G2772" s="2"/>
      <c r="H2772" s="2"/>
      <c r="I2772" s="13"/>
      <c r="J2772" s="656"/>
      <c r="K2772" s="13"/>
      <c r="L2772" s="13"/>
      <c r="M2772" s="13"/>
      <c r="N2772" s="2"/>
      <c r="O2772" s="2"/>
      <c r="P2772" s="2"/>
      <c r="Q2772" s="2"/>
      <c r="R2772" s="101"/>
      <c r="U2772" s="101"/>
    </row>
    <row r="2773">
      <c r="A2773" s="49"/>
      <c r="C2773" s="13"/>
      <c r="D2773" s="13"/>
      <c r="E2773" s="2"/>
      <c r="F2773" s="655"/>
      <c r="G2773" s="2"/>
      <c r="H2773" s="2"/>
      <c r="I2773" s="13"/>
      <c r="J2773" s="656"/>
      <c r="K2773" s="13"/>
      <c r="L2773" s="13"/>
      <c r="M2773" s="13"/>
      <c r="N2773" s="2"/>
      <c r="O2773" s="2"/>
      <c r="P2773" s="2"/>
      <c r="Q2773" s="2"/>
      <c r="R2773" s="101"/>
      <c r="U2773" s="101"/>
    </row>
    <row r="2774">
      <c r="A2774" s="49"/>
      <c r="C2774" s="13"/>
      <c r="D2774" s="13"/>
      <c r="E2774" s="2"/>
      <c r="F2774" s="655"/>
      <c r="G2774" s="2"/>
      <c r="H2774" s="2"/>
      <c r="I2774" s="13"/>
      <c r="J2774" s="656"/>
      <c r="K2774" s="13"/>
      <c r="L2774" s="13"/>
      <c r="M2774" s="13"/>
      <c r="N2774" s="2"/>
      <c r="O2774" s="2"/>
      <c r="P2774" s="2"/>
      <c r="Q2774" s="2"/>
      <c r="R2774" s="101"/>
      <c r="U2774" s="101"/>
    </row>
    <row r="2775">
      <c r="A2775" s="49"/>
      <c r="C2775" s="13"/>
      <c r="D2775" s="13"/>
      <c r="E2775" s="2"/>
      <c r="F2775" s="655"/>
      <c r="G2775" s="2"/>
      <c r="H2775" s="2"/>
      <c r="I2775" s="13"/>
      <c r="J2775" s="656"/>
      <c r="K2775" s="13"/>
      <c r="L2775" s="13"/>
      <c r="M2775" s="13"/>
      <c r="N2775" s="2"/>
      <c r="O2775" s="2"/>
      <c r="P2775" s="2"/>
      <c r="Q2775" s="2"/>
      <c r="R2775" s="101"/>
      <c r="U2775" s="101"/>
    </row>
    <row r="2776">
      <c r="A2776" s="49"/>
      <c r="C2776" s="13"/>
      <c r="D2776" s="13"/>
      <c r="E2776" s="2"/>
      <c r="F2776" s="655"/>
      <c r="G2776" s="2"/>
      <c r="H2776" s="2"/>
      <c r="I2776" s="13"/>
      <c r="J2776" s="656"/>
      <c r="K2776" s="13"/>
      <c r="L2776" s="13"/>
      <c r="M2776" s="13"/>
      <c r="N2776" s="2"/>
      <c r="O2776" s="2"/>
      <c r="P2776" s="2"/>
      <c r="Q2776" s="2"/>
      <c r="R2776" s="101"/>
      <c r="U2776" s="101"/>
    </row>
    <row r="2777">
      <c r="A2777" s="49"/>
      <c r="C2777" s="13"/>
      <c r="D2777" s="13"/>
      <c r="E2777" s="2"/>
      <c r="F2777" s="655"/>
      <c r="G2777" s="2"/>
      <c r="H2777" s="2"/>
      <c r="I2777" s="13"/>
      <c r="J2777" s="656"/>
      <c r="K2777" s="13"/>
      <c r="L2777" s="13"/>
      <c r="M2777" s="13"/>
      <c r="N2777" s="2"/>
      <c r="O2777" s="2"/>
      <c r="P2777" s="2"/>
      <c r="Q2777" s="2"/>
      <c r="R2777" s="101"/>
      <c r="U2777" s="101"/>
    </row>
    <row r="2778">
      <c r="A2778" s="49"/>
      <c r="C2778" s="13"/>
      <c r="D2778" s="13"/>
      <c r="E2778" s="2"/>
      <c r="F2778" s="655"/>
      <c r="G2778" s="2"/>
      <c r="H2778" s="2"/>
      <c r="I2778" s="13"/>
      <c r="J2778" s="656"/>
      <c r="K2778" s="13"/>
      <c r="L2778" s="13"/>
      <c r="M2778" s="13"/>
      <c r="N2778" s="2"/>
      <c r="O2778" s="2"/>
      <c r="P2778" s="2"/>
      <c r="Q2778" s="2"/>
      <c r="R2778" s="101"/>
      <c r="U2778" s="101"/>
    </row>
    <row r="2779">
      <c r="A2779" s="49"/>
      <c r="C2779" s="13"/>
      <c r="D2779" s="13"/>
      <c r="E2779" s="2"/>
      <c r="F2779" s="655"/>
      <c r="G2779" s="2"/>
      <c r="H2779" s="2"/>
      <c r="I2779" s="13"/>
      <c r="J2779" s="656"/>
      <c r="K2779" s="13"/>
      <c r="L2779" s="13"/>
      <c r="M2779" s="13"/>
      <c r="N2779" s="2"/>
      <c r="O2779" s="2"/>
      <c r="P2779" s="2"/>
      <c r="Q2779" s="2"/>
      <c r="R2779" s="101"/>
      <c r="U2779" s="101"/>
    </row>
    <row r="2780">
      <c r="A2780" s="49"/>
      <c r="C2780" s="13"/>
      <c r="D2780" s="13"/>
      <c r="E2780" s="2"/>
      <c r="F2780" s="655"/>
      <c r="G2780" s="2"/>
      <c r="H2780" s="2"/>
      <c r="I2780" s="13"/>
      <c r="J2780" s="656"/>
      <c r="K2780" s="13"/>
      <c r="L2780" s="13"/>
      <c r="M2780" s="13"/>
      <c r="N2780" s="2"/>
      <c r="O2780" s="2"/>
      <c r="P2780" s="2"/>
      <c r="Q2780" s="2"/>
      <c r="R2780" s="101"/>
      <c r="U2780" s="101"/>
    </row>
    <row r="2781">
      <c r="A2781" s="49"/>
      <c r="C2781" s="13"/>
      <c r="D2781" s="13"/>
      <c r="E2781" s="2"/>
      <c r="F2781" s="655"/>
      <c r="G2781" s="2"/>
      <c r="H2781" s="2"/>
      <c r="I2781" s="13"/>
      <c r="J2781" s="656"/>
      <c r="K2781" s="13"/>
      <c r="L2781" s="13"/>
      <c r="M2781" s="13"/>
      <c r="N2781" s="2"/>
      <c r="O2781" s="2"/>
      <c r="P2781" s="2"/>
      <c r="Q2781" s="2"/>
      <c r="R2781" s="101"/>
      <c r="U2781" s="101"/>
    </row>
    <row r="2782">
      <c r="A2782" s="49"/>
      <c r="C2782" s="13"/>
      <c r="D2782" s="13"/>
      <c r="E2782" s="2"/>
      <c r="F2782" s="655"/>
      <c r="G2782" s="2"/>
      <c r="H2782" s="2"/>
      <c r="I2782" s="13"/>
      <c r="J2782" s="656"/>
      <c r="K2782" s="13"/>
      <c r="L2782" s="13"/>
      <c r="M2782" s="13"/>
      <c r="N2782" s="2"/>
      <c r="O2782" s="2"/>
      <c r="P2782" s="2"/>
      <c r="Q2782" s="2"/>
      <c r="R2782" s="101"/>
      <c r="U2782" s="101"/>
    </row>
    <row r="2783">
      <c r="A2783" s="49"/>
      <c r="C2783" s="13"/>
      <c r="D2783" s="13"/>
      <c r="E2783" s="2"/>
      <c r="F2783" s="655"/>
      <c r="G2783" s="2"/>
      <c r="H2783" s="2"/>
      <c r="I2783" s="13"/>
      <c r="J2783" s="656"/>
      <c r="K2783" s="13"/>
      <c r="L2783" s="13"/>
      <c r="M2783" s="13"/>
      <c r="N2783" s="2"/>
      <c r="O2783" s="2"/>
      <c r="P2783" s="2"/>
      <c r="Q2783" s="2"/>
      <c r="R2783" s="101"/>
      <c r="U2783" s="101"/>
    </row>
    <row r="2784">
      <c r="A2784" s="49"/>
      <c r="C2784" s="13"/>
      <c r="D2784" s="13"/>
      <c r="E2784" s="2"/>
      <c r="F2784" s="655"/>
      <c r="G2784" s="2"/>
      <c r="H2784" s="2"/>
      <c r="I2784" s="13"/>
      <c r="J2784" s="656"/>
      <c r="K2784" s="13"/>
      <c r="L2784" s="13"/>
      <c r="M2784" s="13"/>
      <c r="N2784" s="2"/>
      <c r="O2784" s="2"/>
      <c r="P2784" s="2"/>
      <c r="Q2784" s="2"/>
      <c r="R2784" s="101"/>
      <c r="U2784" s="101"/>
    </row>
    <row r="2785">
      <c r="A2785" s="49"/>
      <c r="C2785" s="13"/>
      <c r="D2785" s="13"/>
      <c r="E2785" s="2"/>
      <c r="F2785" s="655"/>
      <c r="G2785" s="2"/>
      <c r="H2785" s="2"/>
      <c r="I2785" s="13"/>
      <c r="J2785" s="656"/>
      <c r="K2785" s="13"/>
      <c r="L2785" s="13"/>
      <c r="M2785" s="13"/>
      <c r="N2785" s="2"/>
      <c r="O2785" s="2"/>
      <c r="P2785" s="2"/>
      <c r="Q2785" s="2"/>
      <c r="R2785" s="101"/>
      <c r="U2785" s="101"/>
    </row>
    <row r="2786">
      <c r="A2786" s="49"/>
      <c r="C2786" s="13"/>
      <c r="D2786" s="13"/>
      <c r="E2786" s="2"/>
      <c r="F2786" s="655"/>
      <c r="G2786" s="2"/>
      <c r="H2786" s="2"/>
      <c r="I2786" s="13"/>
      <c r="J2786" s="656"/>
      <c r="K2786" s="13"/>
      <c r="L2786" s="13"/>
      <c r="M2786" s="13"/>
      <c r="N2786" s="2"/>
      <c r="O2786" s="2"/>
      <c r="P2786" s="2"/>
      <c r="Q2786" s="2"/>
      <c r="R2786" s="101"/>
      <c r="U2786" s="101"/>
    </row>
    <row r="2787">
      <c r="A2787" s="49"/>
      <c r="C2787" s="13"/>
      <c r="D2787" s="13"/>
      <c r="E2787" s="2"/>
      <c r="F2787" s="655"/>
      <c r="G2787" s="2"/>
      <c r="H2787" s="2"/>
      <c r="I2787" s="13"/>
      <c r="J2787" s="656"/>
      <c r="K2787" s="13"/>
      <c r="L2787" s="13"/>
      <c r="M2787" s="13"/>
      <c r="N2787" s="2"/>
      <c r="O2787" s="2"/>
      <c r="P2787" s="2"/>
      <c r="Q2787" s="2"/>
      <c r="R2787" s="101"/>
      <c r="U2787" s="101"/>
    </row>
    <row r="2788">
      <c r="A2788" s="49"/>
      <c r="C2788" s="13"/>
      <c r="D2788" s="13"/>
      <c r="E2788" s="2"/>
      <c r="F2788" s="655"/>
      <c r="G2788" s="2"/>
      <c r="H2788" s="2"/>
      <c r="I2788" s="13"/>
      <c r="J2788" s="656"/>
      <c r="K2788" s="13"/>
      <c r="L2788" s="13"/>
      <c r="M2788" s="13"/>
      <c r="N2788" s="2"/>
      <c r="O2788" s="2"/>
      <c r="P2788" s="2"/>
      <c r="Q2788" s="2"/>
      <c r="R2788" s="101"/>
      <c r="U2788" s="101"/>
    </row>
    <row r="2789">
      <c r="A2789" s="49"/>
      <c r="C2789" s="13"/>
      <c r="D2789" s="13"/>
      <c r="E2789" s="2"/>
      <c r="F2789" s="655"/>
      <c r="G2789" s="2"/>
      <c r="H2789" s="2"/>
      <c r="I2789" s="13"/>
      <c r="J2789" s="656"/>
      <c r="K2789" s="13"/>
      <c r="L2789" s="13"/>
      <c r="M2789" s="13"/>
      <c r="N2789" s="2"/>
      <c r="O2789" s="2"/>
      <c r="P2789" s="2"/>
      <c r="Q2789" s="2"/>
      <c r="R2789" s="101"/>
      <c r="U2789" s="101"/>
    </row>
    <row r="2790">
      <c r="A2790" s="49"/>
      <c r="C2790" s="13"/>
      <c r="D2790" s="13"/>
      <c r="E2790" s="2"/>
      <c r="F2790" s="655"/>
      <c r="G2790" s="2"/>
      <c r="H2790" s="2"/>
      <c r="I2790" s="13"/>
      <c r="J2790" s="656"/>
      <c r="K2790" s="13"/>
      <c r="L2790" s="13"/>
      <c r="M2790" s="13"/>
      <c r="N2790" s="2"/>
      <c r="O2790" s="2"/>
      <c r="P2790" s="2"/>
      <c r="Q2790" s="2"/>
      <c r="R2790" s="101"/>
      <c r="U2790" s="101"/>
    </row>
    <row r="2791">
      <c r="A2791" s="49"/>
      <c r="C2791" s="13"/>
      <c r="D2791" s="13"/>
      <c r="E2791" s="2"/>
      <c r="F2791" s="655"/>
      <c r="G2791" s="2"/>
      <c r="H2791" s="2"/>
      <c r="I2791" s="13"/>
      <c r="J2791" s="656"/>
      <c r="K2791" s="13"/>
      <c r="L2791" s="13"/>
      <c r="M2791" s="13"/>
      <c r="N2791" s="2"/>
      <c r="O2791" s="2"/>
      <c r="P2791" s="2"/>
      <c r="Q2791" s="2"/>
      <c r="R2791" s="101"/>
      <c r="U2791" s="101"/>
    </row>
    <row r="2792">
      <c r="A2792" s="49"/>
      <c r="C2792" s="13"/>
      <c r="D2792" s="13"/>
      <c r="E2792" s="2"/>
      <c r="F2792" s="655"/>
      <c r="G2792" s="2"/>
      <c r="H2792" s="2"/>
      <c r="I2792" s="13"/>
      <c r="J2792" s="656"/>
      <c r="K2792" s="13"/>
      <c r="L2792" s="13"/>
      <c r="M2792" s="13"/>
      <c r="N2792" s="2"/>
      <c r="O2792" s="2"/>
      <c r="P2792" s="2"/>
      <c r="Q2792" s="2"/>
      <c r="R2792" s="101"/>
      <c r="U2792" s="101"/>
    </row>
    <row r="2793">
      <c r="A2793" s="49"/>
      <c r="C2793" s="13"/>
      <c r="D2793" s="13"/>
      <c r="E2793" s="2"/>
      <c r="F2793" s="655"/>
      <c r="G2793" s="2"/>
      <c r="H2793" s="2"/>
      <c r="I2793" s="13"/>
      <c r="J2793" s="656"/>
      <c r="K2793" s="13"/>
      <c r="L2793" s="13"/>
      <c r="M2793" s="13"/>
      <c r="N2793" s="2"/>
      <c r="O2793" s="2"/>
      <c r="P2793" s="2"/>
      <c r="Q2793" s="2"/>
      <c r="R2793" s="101"/>
      <c r="U2793" s="101"/>
    </row>
    <row r="2794">
      <c r="A2794" s="49"/>
      <c r="C2794" s="13"/>
      <c r="D2794" s="13"/>
      <c r="E2794" s="2"/>
      <c r="F2794" s="655"/>
      <c r="G2794" s="2"/>
      <c r="H2794" s="2"/>
      <c r="I2794" s="13"/>
      <c r="J2794" s="656"/>
      <c r="K2794" s="13"/>
      <c r="L2794" s="13"/>
      <c r="M2794" s="13"/>
      <c r="N2794" s="2"/>
      <c r="O2794" s="2"/>
      <c r="P2794" s="2"/>
      <c r="Q2794" s="2"/>
      <c r="R2794" s="101"/>
      <c r="U2794" s="101"/>
    </row>
    <row r="2795">
      <c r="A2795" s="49"/>
      <c r="C2795" s="13"/>
      <c r="D2795" s="13"/>
      <c r="E2795" s="2"/>
      <c r="F2795" s="655"/>
      <c r="G2795" s="2"/>
      <c r="H2795" s="2"/>
      <c r="I2795" s="13"/>
      <c r="J2795" s="656"/>
      <c r="K2795" s="13"/>
      <c r="L2795" s="13"/>
      <c r="M2795" s="13"/>
      <c r="N2795" s="2"/>
      <c r="O2795" s="2"/>
      <c r="P2795" s="2"/>
      <c r="Q2795" s="2"/>
      <c r="R2795" s="101"/>
      <c r="U2795" s="101"/>
    </row>
    <row r="2796">
      <c r="A2796" s="49"/>
      <c r="C2796" s="13"/>
      <c r="D2796" s="13"/>
      <c r="E2796" s="2"/>
      <c r="F2796" s="655"/>
      <c r="G2796" s="2"/>
      <c r="H2796" s="2"/>
      <c r="I2796" s="13"/>
      <c r="J2796" s="656"/>
      <c r="K2796" s="13"/>
      <c r="L2796" s="13"/>
      <c r="M2796" s="13"/>
      <c r="N2796" s="2"/>
      <c r="O2796" s="2"/>
      <c r="P2796" s="2"/>
      <c r="Q2796" s="2"/>
      <c r="R2796" s="101"/>
      <c r="U2796" s="101"/>
    </row>
    <row r="2797">
      <c r="A2797" s="49"/>
      <c r="C2797" s="13"/>
      <c r="D2797" s="13"/>
      <c r="E2797" s="2"/>
      <c r="F2797" s="655"/>
      <c r="G2797" s="2"/>
      <c r="H2797" s="2"/>
      <c r="I2797" s="13"/>
      <c r="J2797" s="656"/>
      <c r="K2797" s="13"/>
      <c r="L2797" s="13"/>
      <c r="M2797" s="13"/>
      <c r="N2797" s="2"/>
      <c r="O2797" s="2"/>
      <c r="P2797" s="2"/>
      <c r="Q2797" s="2"/>
      <c r="R2797" s="101"/>
      <c r="U2797" s="101"/>
    </row>
    <row r="2798">
      <c r="A2798" s="49"/>
      <c r="C2798" s="13"/>
      <c r="D2798" s="13"/>
      <c r="E2798" s="2"/>
      <c r="F2798" s="655"/>
      <c r="G2798" s="2"/>
      <c r="H2798" s="2"/>
      <c r="I2798" s="13"/>
      <c r="J2798" s="656"/>
      <c r="K2798" s="13"/>
      <c r="L2798" s="13"/>
      <c r="M2798" s="13"/>
      <c r="N2798" s="2"/>
      <c r="O2798" s="2"/>
      <c r="P2798" s="2"/>
      <c r="Q2798" s="2"/>
      <c r="R2798" s="101"/>
      <c r="U2798" s="101"/>
    </row>
    <row r="2799">
      <c r="A2799" s="49"/>
      <c r="C2799" s="13"/>
      <c r="D2799" s="13"/>
      <c r="E2799" s="2"/>
      <c r="F2799" s="655"/>
      <c r="G2799" s="2"/>
      <c r="H2799" s="2"/>
      <c r="I2799" s="13"/>
      <c r="J2799" s="656"/>
      <c r="K2799" s="13"/>
      <c r="L2799" s="13"/>
      <c r="M2799" s="13"/>
      <c r="N2799" s="2"/>
      <c r="O2799" s="2"/>
      <c r="P2799" s="2"/>
      <c r="Q2799" s="2"/>
      <c r="R2799" s="101"/>
      <c r="U2799" s="101"/>
    </row>
    <row r="2800">
      <c r="A2800" s="49"/>
      <c r="C2800" s="13"/>
      <c r="D2800" s="13"/>
      <c r="E2800" s="2"/>
      <c r="F2800" s="655"/>
      <c r="G2800" s="2"/>
      <c r="H2800" s="2"/>
      <c r="I2800" s="13"/>
      <c r="J2800" s="656"/>
      <c r="K2800" s="13"/>
      <c r="L2800" s="13"/>
      <c r="M2800" s="13"/>
      <c r="N2800" s="2"/>
      <c r="O2800" s="2"/>
      <c r="P2800" s="2"/>
      <c r="Q2800" s="2"/>
      <c r="R2800" s="101"/>
      <c r="U2800" s="101"/>
    </row>
    <row r="2801">
      <c r="A2801" s="49"/>
      <c r="C2801" s="13"/>
      <c r="D2801" s="13"/>
      <c r="E2801" s="2"/>
      <c r="F2801" s="655"/>
      <c r="G2801" s="2"/>
      <c r="H2801" s="2"/>
      <c r="I2801" s="13"/>
      <c r="J2801" s="656"/>
      <c r="K2801" s="13"/>
      <c r="L2801" s="13"/>
      <c r="M2801" s="13"/>
      <c r="N2801" s="2"/>
      <c r="O2801" s="2"/>
      <c r="P2801" s="2"/>
      <c r="Q2801" s="2"/>
      <c r="R2801" s="101"/>
      <c r="U2801" s="101"/>
    </row>
    <row r="2802">
      <c r="A2802" s="49"/>
      <c r="C2802" s="13"/>
      <c r="D2802" s="13"/>
      <c r="E2802" s="2"/>
      <c r="F2802" s="655"/>
      <c r="G2802" s="2"/>
      <c r="H2802" s="2"/>
      <c r="I2802" s="13"/>
      <c r="J2802" s="656"/>
      <c r="K2802" s="13"/>
      <c r="L2802" s="13"/>
      <c r="M2802" s="13"/>
      <c r="N2802" s="2"/>
      <c r="O2802" s="2"/>
      <c r="P2802" s="2"/>
      <c r="Q2802" s="2"/>
      <c r="R2802" s="101"/>
      <c r="U2802" s="101"/>
    </row>
    <row r="2803">
      <c r="A2803" s="49"/>
      <c r="C2803" s="13"/>
      <c r="D2803" s="13"/>
      <c r="E2803" s="2"/>
      <c r="F2803" s="655"/>
      <c r="G2803" s="2"/>
      <c r="H2803" s="2"/>
      <c r="I2803" s="13"/>
      <c r="J2803" s="656"/>
      <c r="K2803" s="13"/>
      <c r="L2803" s="13"/>
      <c r="M2803" s="13"/>
      <c r="N2803" s="2"/>
      <c r="O2803" s="2"/>
      <c r="P2803" s="2"/>
      <c r="Q2803" s="2"/>
      <c r="R2803" s="101"/>
      <c r="U2803" s="101"/>
    </row>
    <row r="2804">
      <c r="A2804" s="49"/>
      <c r="C2804" s="13"/>
      <c r="D2804" s="13"/>
      <c r="E2804" s="2"/>
      <c r="F2804" s="655"/>
      <c r="G2804" s="2"/>
      <c r="H2804" s="2"/>
      <c r="I2804" s="13"/>
      <c r="J2804" s="656"/>
      <c r="K2804" s="13"/>
      <c r="L2804" s="13"/>
      <c r="M2804" s="13"/>
      <c r="N2804" s="2"/>
      <c r="O2804" s="2"/>
      <c r="P2804" s="2"/>
      <c r="Q2804" s="2"/>
      <c r="R2804" s="101"/>
      <c r="U2804" s="101"/>
    </row>
    <row r="2805">
      <c r="A2805" s="49"/>
      <c r="C2805" s="13"/>
      <c r="D2805" s="13"/>
      <c r="E2805" s="2"/>
      <c r="F2805" s="655"/>
      <c r="G2805" s="2"/>
      <c r="H2805" s="2"/>
      <c r="I2805" s="13"/>
      <c r="J2805" s="656"/>
      <c r="K2805" s="13"/>
      <c r="L2805" s="13"/>
      <c r="M2805" s="13"/>
      <c r="N2805" s="2"/>
      <c r="O2805" s="2"/>
      <c r="P2805" s="2"/>
      <c r="Q2805" s="2"/>
      <c r="R2805" s="101"/>
      <c r="U2805" s="101"/>
    </row>
    <row r="2806">
      <c r="A2806" s="49"/>
      <c r="C2806" s="13"/>
      <c r="D2806" s="13"/>
      <c r="E2806" s="2"/>
      <c r="F2806" s="655"/>
      <c r="G2806" s="2"/>
      <c r="H2806" s="2"/>
      <c r="I2806" s="13"/>
      <c r="J2806" s="656"/>
      <c r="K2806" s="13"/>
      <c r="L2806" s="13"/>
      <c r="M2806" s="13"/>
      <c r="N2806" s="2"/>
      <c r="O2806" s="2"/>
      <c r="P2806" s="2"/>
      <c r="Q2806" s="2"/>
      <c r="R2806" s="101"/>
      <c r="U2806" s="101"/>
    </row>
    <row r="2807">
      <c r="A2807" s="49"/>
      <c r="C2807" s="13"/>
      <c r="D2807" s="13"/>
      <c r="E2807" s="2"/>
      <c r="F2807" s="655"/>
      <c r="G2807" s="2"/>
      <c r="H2807" s="2"/>
      <c r="I2807" s="13"/>
      <c r="J2807" s="656"/>
      <c r="K2807" s="13"/>
      <c r="L2807" s="13"/>
      <c r="M2807" s="13"/>
      <c r="N2807" s="2"/>
      <c r="O2807" s="2"/>
      <c r="P2807" s="2"/>
      <c r="Q2807" s="2"/>
      <c r="R2807" s="101"/>
      <c r="U2807" s="101"/>
    </row>
    <row r="2808">
      <c r="A2808" s="49"/>
      <c r="C2808" s="13"/>
      <c r="D2808" s="13"/>
      <c r="E2808" s="2"/>
      <c r="F2808" s="655"/>
      <c r="G2808" s="2"/>
      <c r="H2808" s="2"/>
      <c r="I2808" s="13"/>
      <c r="J2808" s="656"/>
      <c r="K2808" s="13"/>
      <c r="L2808" s="13"/>
      <c r="M2808" s="13"/>
      <c r="N2808" s="2"/>
      <c r="O2808" s="2"/>
      <c r="P2808" s="2"/>
      <c r="Q2808" s="2"/>
      <c r="R2808" s="101"/>
      <c r="U2808" s="101"/>
    </row>
    <row r="2809">
      <c r="A2809" s="49"/>
      <c r="C2809" s="13"/>
      <c r="D2809" s="13"/>
      <c r="E2809" s="2"/>
      <c r="F2809" s="655"/>
      <c r="G2809" s="2"/>
      <c r="H2809" s="2"/>
      <c r="I2809" s="13"/>
      <c r="J2809" s="656"/>
      <c r="K2809" s="13"/>
      <c r="L2809" s="13"/>
      <c r="M2809" s="13"/>
      <c r="N2809" s="2"/>
      <c r="O2809" s="2"/>
      <c r="P2809" s="2"/>
      <c r="Q2809" s="2"/>
      <c r="R2809" s="101"/>
      <c r="U2809" s="101"/>
    </row>
    <row r="2810">
      <c r="A2810" s="49"/>
      <c r="C2810" s="13"/>
      <c r="D2810" s="13"/>
      <c r="E2810" s="2"/>
      <c r="F2810" s="655"/>
      <c r="G2810" s="2"/>
      <c r="H2810" s="2"/>
      <c r="I2810" s="13"/>
      <c r="J2810" s="656"/>
      <c r="K2810" s="13"/>
      <c r="L2810" s="13"/>
      <c r="M2810" s="13"/>
      <c r="N2810" s="2"/>
      <c r="O2810" s="2"/>
      <c r="P2810" s="2"/>
      <c r="Q2810" s="2"/>
      <c r="R2810" s="101"/>
      <c r="U2810" s="101"/>
    </row>
    <row r="2811">
      <c r="A2811" s="49"/>
      <c r="C2811" s="13"/>
      <c r="D2811" s="13"/>
      <c r="E2811" s="2"/>
      <c r="F2811" s="655"/>
      <c r="G2811" s="2"/>
      <c r="H2811" s="2"/>
      <c r="I2811" s="13"/>
      <c r="J2811" s="656"/>
      <c r="K2811" s="13"/>
      <c r="L2811" s="13"/>
      <c r="M2811" s="13"/>
      <c r="N2811" s="2"/>
      <c r="O2811" s="2"/>
      <c r="P2811" s="2"/>
      <c r="Q2811" s="2"/>
      <c r="R2811" s="101"/>
      <c r="U2811" s="101"/>
    </row>
    <row r="2812">
      <c r="A2812" s="49"/>
      <c r="C2812" s="13"/>
      <c r="D2812" s="13"/>
      <c r="E2812" s="2"/>
      <c r="F2812" s="655"/>
      <c r="G2812" s="2"/>
      <c r="H2812" s="2"/>
      <c r="I2812" s="13"/>
      <c r="J2812" s="656"/>
      <c r="K2812" s="13"/>
      <c r="L2812" s="13"/>
      <c r="M2812" s="13"/>
      <c r="N2812" s="2"/>
      <c r="O2812" s="2"/>
      <c r="P2812" s="2"/>
      <c r="Q2812" s="2"/>
      <c r="R2812" s="101"/>
      <c r="U2812" s="101"/>
    </row>
    <row r="2813">
      <c r="A2813" s="49"/>
      <c r="C2813" s="13"/>
      <c r="D2813" s="13"/>
      <c r="E2813" s="2"/>
      <c r="F2813" s="655"/>
      <c r="G2813" s="2"/>
      <c r="H2813" s="2"/>
      <c r="I2813" s="13"/>
      <c r="J2813" s="656"/>
      <c r="K2813" s="13"/>
      <c r="L2813" s="13"/>
      <c r="M2813" s="13"/>
      <c r="N2813" s="2"/>
      <c r="O2813" s="2"/>
      <c r="P2813" s="2"/>
      <c r="Q2813" s="2"/>
      <c r="R2813" s="101"/>
      <c r="U2813" s="101"/>
    </row>
    <row r="2814">
      <c r="A2814" s="49"/>
      <c r="C2814" s="13"/>
      <c r="D2814" s="13"/>
      <c r="E2814" s="2"/>
      <c r="F2814" s="655"/>
      <c r="G2814" s="2"/>
      <c r="H2814" s="2"/>
      <c r="I2814" s="13"/>
      <c r="J2814" s="656"/>
      <c r="K2814" s="13"/>
      <c r="L2814" s="13"/>
      <c r="M2814" s="13"/>
      <c r="N2814" s="2"/>
      <c r="O2814" s="2"/>
      <c r="P2814" s="2"/>
      <c r="Q2814" s="2"/>
      <c r="R2814" s="101"/>
      <c r="U2814" s="101"/>
    </row>
    <row r="2815">
      <c r="A2815" s="49"/>
      <c r="C2815" s="13"/>
      <c r="D2815" s="13"/>
      <c r="E2815" s="2"/>
      <c r="F2815" s="655"/>
      <c r="G2815" s="2"/>
      <c r="H2815" s="2"/>
      <c r="I2815" s="13"/>
      <c r="J2815" s="656"/>
      <c r="K2815" s="13"/>
      <c r="L2815" s="13"/>
      <c r="M2815" s="13"/>
      <c r="N2815" s="2"/>
      <c r="O2815" s="2"/>
      <c r="P2815" s="2"/>
      <c r="Q2815" s="2"/>
      <c r="R2815" s="101"/>
      <c r="U2815" s="101"/>
    </row>
    <row r="2816">
      <c r="A2816" s="49"/>
      <c r="C2816" s="13"/>
      <c r="D2816" s="13"/>
      <c r="E2816" s="2"/>
      <c r="F2816" s="655"/>
      <c r="G2816" s="2"/>
      <c r="H2816" s="2"/>
      <c r="I2816" s="13"/>
      <c r="J2816" s="656"/>
      <c r="K2816" s="13"/>
      <c r="L2816" s="13"/>
      <c r="M2816" s="13"/>
      <c r="N2816" s="2"/>
      <c r="O2816" s="2"/>
      <c r="P2816" s="2"/>
      <c r="Q2816" s="2"/>
      <c r="R2816" s="101"/>
      <c r="U2816" s="101"/>
    </row>
    <row r="2817">
      <c r="A2817" s="49"/>
      <c r="C2817" s="13"/>
      <c r="D2817" s="13"/>
      <c r="E2817" s="2"/>
      <c r="F2817" s="655"/>
      <c r="G2817" s="2"/>
      <c r="H2817" s="2"/>
      <c r="I2817" s="13"/>
      <c r="J2817" s="656"/>
      <c r="K2817" s="13"/>
      <c r="L2817" s="13"/>
      <c r="M2817" s="13"/>
      <c r="N2817" s="2"/>
      <c r="O2817" s="2"/>
      <c r="P2817" s="2"/>
      <c r="Q2817" s="2"/>
      <c r="R2817" s="101"/>
      <c r="U2817" s="101"/>
    </row>
    <row r="2818">
      <c r="A2818" s="49"/>
      <c r="C2818" s="13"/>
      <c r="D2818" s="13"/>
      <c r="E2818" s="2"/>
      <c r="F2818" s="655"/>
      <c r="G2818" s="2"/>
      <c r="H2818" s="2"/>
      <c r="I2818" s="13"/>
      <c r="J2818" s="656"/>
      <c r="K2818" s="13"/>
      <c r="L2818" s="13"/>
      <c r="M2818" s="13"/>
      <c r="N2818" s="2"/>
      <c r="O2818" s="2"/>
      <c r="P2818" s="2"/>
      <c r="Q2818" s="2"/>
      <c r="R2818" s="101"/>
      <c r="U2818" s="101"/>
    </row>
    <row r="2819">
      <c r="A2819" s="49"/>
      <c r="C2819" s="13"/>
      <c r="D2819" s="13"/>
      <c r="E2819" s="2"/>
      <c r="F2819" s="655"/>
      <c r="G2819" s="2"/>
      <c r="H2819" s="2"/>
      <c r="I2819" s="13"/>
      <c r="J2819" s="656"/>
      <c r="K2819" s="13"/>
      <c r="L2819" s="13"/>
      <c r="M2819" s="13"/>
      <c r="N2819" s="2"/>
      <c r="O2819" s="2"/>
      <c r="P2819" s="2"/>
      <c r="Q2819" s="2"/>
      <c r="R2819" s="101"/>
      <c r="U2819" s="101"/>
    </row>
    <row r="2820">
      <c r="A2820" s="49"/>
      <c r="C2820" s="13"/>
      <c r="D2820" s="13"/>
      <c r="E2820" s="2"/>
      <c r="F2820" s="655"/>
      <c r="G2820" s="2"/>
      <c r="H2820" s="2"/>
      <c r="I2820" s="13"/>
      <c r="J2820" s="656"/>
      <c r="K2820" s="13"/>
      <c r="L2820" s="13"/>
      <c r="M2820" s="13"/>
      <c r="N2820" s="2"/>
      <c r="O2820" s="2"/>
      <c r="P2820" s="2"/>
      <c r="Q2820" s="2"/>
      <c r="R2820" s="101"/>
      <c r="U2820" s="101"/>
    </row>
    <row r="2821">
      <c r="A2821" s="49"/>
      <c r="C2821" s="13"/>
      <c r="D2821" s="13"/>
      <c r="E2821" s="2"/>
      <c r="F2821" s="655"/>
      <c r="G2821" s="2"/>
      <c r="H2821" s="2"/>
      <c r="I2821" s="13"/>
      <c r="J2821" s="656"/>
      <c r="K2821" s="13"/>
      <c r="L2821" s="13"/>
      <c r="M2821" s="13"/>
      <c r="N2821" s="2"/>
      <c r="O2821" s="2"/>
      <c r="P2821" s="2"/>
      <c r="Q2821" s="2"/>
      <c r="R2821" s="101"/>
      <c r="U2821" s="101"/>
    </row>
    <row r="2822">
      <c r="A2822" s="49"/>
      <c r="C2822" s="13"/>
      <c r="D2822" s="13"/>
      <c r="E2822" s="2"/>
      <c r="F2822" s="655"/>
      <c r="G2822" s="2"/>
      <c r="H2822" s="2"/>
      <c r="I2822" s="13"/>
      <c r="J2822" s="656"/>
      <c r="K2822" s="13"/>
      <c r="L2822" s="13"/>
      <c r="M2822" s="13"/>
      <c r="N2822" s="2"/>
      <c r="O2822" s="2"/>
      <c r="P2822" s="2"/>
      <c r="Q2822" s="2"/>
      <c r="R2822" s="101"/>
      <c r="U2822" s="101"/>
    </row>
    <row r="2823">
      <c r="A2823" s="49"/>
      <c r="C2823" s="13"/>
      <c r="D2823" s="13"/>
      <c r="E2823" s="2"/>
      <c r="F2823" s="655"/>
      <c r="G2823" s="2"/>
      <c r="H2823" s="2"/>
      <c r="I2823" s="13"/>
      <c r="J2823" s="656"/>
      <c r="K2823" s="13"/>
      <c r="L2823" s="13"/>
      <c r="M2823" s="13"/>
      <c r="N2823" s="2"/>
      <c r="O2823" s="2"/>
      <c r="P2823" s="2"/>
      <c r="Q2823" s="2"/>
      <c r="R2823" s="101"/>
      <c r="U2823" s="101"/>
    </row>
    <row r="2824">
      <c r="A2824" s="49"/>
      <c r="C2824" s="13"/>
      <c r="D2824" s="13"/>
      <c r="E2824" s="2"/>
      <c r="F2824" s="655"/>
      <c r="G2824" s="2"/>
      <c r="H2824" s="2"/>
      <c r="I2824" s="13"/>
      <c r="J2824" s="656"/>
      <c r="K2824" s="13"/>
      <c r="L2824" s="13"/>
      <c r="M2824" s="13"/>
      <c r="N2824" s="2"/>
      <c r="O2824" s="2"/>
      <c r="P2824" s="2"/>
      <c r="Q2824" s="2"/>
      <c r="R2824" s="101"/>
      <c r="U2824" s="101"/>
    </row>
    <row r="2825">
      <c r="A2825" s="49"/>
      <c r="C2825" s="13"/>
      <c r="D2825" s="13"/>
      <c r="E2825" s="2"/>
      <c r="F2825" s="655"/>
      <c r="G2825" s="2"/>
      <c r="H2825" s="2"/>
      <c r="I2825" s="13"/>
      <c r="J2825" s="656"/>
      <c r="K2825" s="13"/>
      <c r="L2825" s="13"/>
      <c r="M2825" s="13"/>
      <c r="N2825" s="2"/>
      <c r="O2825" s="2"/>
      <c r="P2825" s="2"/>
      <c r="Q2825" s="2"/>
      <c r="R2825" s="101"/>
      <c r="U2825" s="101"/>
    </row>
    <row r="2826">
      <c r="A2826" s="49"/>
      <c r="C2826" s="13"/>
      <c r="D2826" s="13"/>
      <c r="E2826" s="2"/>
      <c r="F2826" s="655"/>
      <c r="G2826" s="2"/>
      <c r="H2826" s="2"/>
      <c r="I2826" s="13"/>
      <c r="J2826" s="656"/>
      <c r="K2826" s="13"/>
      <c r="L2826" s="13"/>
      <c r="M2826" s="13"/>
      <c r="N2826" s="2"/>
      <c r="O2826" s="2"/>
      <c r="P2826" s="2"/>
      <c r="Q2826" s="2"/>
      <c r="R2826" s="101"/>
      <c r="U2826" s="101"/>
    </row>
    <row r="2827">
      <c r="A2827" s="49"/>
      <c r="C2827" s="13"/>
      <c r="D2827" s="13"/>
      <c r="E2827" s="2"/>
      <c r="F2827" s="655"/>
      <c r="G2827" s="2"/>
      <c r="H2827" s="2"/>
      <c r="I2827" s="13"/>
      <c r="J2827" s="656"/>
      <c r="K2827" s="13"/>
      <c r="L2827" s="13"/>
      <c r="M2827" s="13"/>
      <c r="N2827" s="2"/>
      <c r="O2827" s="2"/>
      <c r="P2827" s="2"/>
      <c r="Q2827" s="2"/>
      <c r="R2827" s="101"/>
      <c r="U2827" s="101"/>
    </row>
    <row r="2828">
      <c r="A2828" s="49"/>
      <c r="C2828" s="13"/>
      <c r="D2828" s="13"/>
      <c r="E2828" s="2"/>
      <c r="F2828" s="655"/>
      <c r="G2828" s="2"/>
      <c r="H2828" s="2"/>
      <c r="I2828" s="13"/>
      <c r="J2828" s="656"/>
      <c r="K2828" s="13"/>
      <c r="L2828" s="13"/>
      <c r="M2828" s="13"/>
      <c r="N2828" s="2"/>
      <c r="O2828" s="2"/>
      <c r="P2828" s="2"/>
      <c r="Q2828" s="2"/>
      <c r="R2828" s="101"/>
      <c r="U2828" s="101"/>
    </row>
    <row r="2829">
      <c r="A2829" s="49"/>
      <c r="C2829" s="13"/>
      <c r="D2829" s="13"/>
      <c r="E2829" s="2"/>
      <c r="F2829" s="655"/>
      <c r="G2829" s="2"/>
      <c r="H2829" s="2"/>
      <c r="I2829" s="13"/>
      <c r="J2829" s="656"/>
      <c r="K2829" s="13"/>
      <c r="L2829" s="13"/>
      <c r="M2829" s="13"/>
      <c r="N2829" s="2"/>
      <c r="O2829" s="2"/>
      <c r="P2829" s="2"/>
      <c r="Q2829" s="2"/>
      <c r="R2829" s="101"/>
      <c r="U2829" s="101"/>
    </row>
    <row r="2830">
      <c r="A2830" s="49"/>
      <c r="C2830" s="13"/>
      <c r="D2830" s="13"/>
      <c r="E2830" s="2"/>
      <c r="F2830" s="655"/>
      <c r="G2830" s="2"/>
      <c r="H2830" s="2"/>
      <c r="I2830" s="13"/>
      <c r="J2830" s="656"/>
      <c r="K2830" s="13"/>
      <c r="L2830" s="13"/>
      <c r="M2830" s="13"/>
      <c r="N2830" s="2"/>
      <c r="O2830" s="2"/>
      <c r="P2830" s="2"/>
      <c r="Q2830" s="2"/>
      <c r="R2830" s="101"/>
      <c r="U2830" s="101"/>
    </row>
    <row r="2831">
      <c r="A2831" s="49"/>
      <c r="C2831" s="13"/>
      <c r="D2831" s="13"/>
      <c r="E2831" s="2"/>
      <c r="F2831" s="655"/>
      <c r="G2831" s="2"/>
      <c r="H2831" s="2"/>
      <c r="I2831" s="13"/>
      <c r="J2831" s="656"/>
      <c r="K2831" s="13"/>
      <c r="L2831" s="13"/>
      <c r="M2831" s="13"/>
      <c r="N2831" s="2"/>
      <c r="O2831" s="2"/>
      <c r="P2831" s="2"/>
      <c r="Q2831" s="2"/>
      <c r="R2831" s="101"/>
      <c r="U2831" s="101"/>
    </row>
    <row r="2832">
      <c r="A2832" s="49"/>
      <c r="C2832" s="13"/>
      <c r="D2832" s="13"/>
      <c r="E2832" s="2"/>
      <c r="F2832" s="655"/>
      <c r="G2832" s="2"/>
      <c r="H2832" s="2"/>
      <c r="I2832" s="13"/>
      <c r="J2832" s="656"/>
      <c r="K2832" s="13"/>
      <c r="L2832" s="13"/>
      <c r="M2832" s="13"/>
      <c r="N2832" s="2"/>
      <c r="O2832" s="2"/>
      <c r="P2832" s="2"/>
      <c r="Q2832" s="2"/>
      <c r="R2832" s="101"/>
      <c r="U2832" s="101"/>
    </row>
    <row r="2833">
      <c r="A2833" s="49"/>
      <c r="C2833" s="13"/>
      <c r="D2833" s="13"/>
      <c r="E2833" s="2"/>
      <c r="F2833" s="655"/>
      <c r="G2833" s="2"/>
      <c r="H2833" s="2"/>
      <c r="I2833" s="13"/>
      <c r="J2833" s="656"/>
      <c r="K2833" s="13"/>
      <c r="L2833" s="13"/>
      <c r="M2833" s="13"/>
      <c r="N2833" s="2"/>
      <c r="O2833" s="2"/>
      <c r="P2833" s="2"/>
      <c r="Q2833" s="2"/>
      <c r="R2833" s="101"/>
      <c r="U2833" s="101"/>
    </row>
    <row r="2834">
      <c r="A2834" s="49"/>
      <c r="C2834" s="13"/>
      <c r="D2834" s="13"/>
      <c r="E2834" s="2"/>
      <c r="F2834" s="655"/>
      <c r="G2834" s="2"/>
      <c r="H2834" s="2"/>
      <c r="I2834" s="13"/>
      <c r="J2834" s="656"/>
      <c r="K2834" s="13"/>
      <c r="L2834" s="13"/>
      <c r="M2834" s="13"/>
      <c r="N2834" s="2"/>
      <c r="O2834" s="2"/>
      <c r="P2834" s="2"/>
      <c r="Q2834" s="2"/>
      <c r="R2834" s="101"/>
      <c r="U2834" s="101"/>
    </row>
    <row r="2835">
      <c r="A2835" s="49"/>
      <c r="C2835" s="13"/>
      <c r="D2835" s="13"/>
      <c r="E2835" s="2"/>
      <c r="F2835" s="655"/>
      <c r="G2835" s="2"/>
      <c r="H2835" s="2"/>
      <c r="I2835" s="13"/>
      <c r="J2835" s="656"/>
      <c r="K2835" s="13"/>
      <c r="L2835" s="13"/>
      <c r="M2835" s="13"/>
      <c r="N2835" s="2"/>
      <c r="O2835" s="2"/>
      <c r="P2835" s="2"/>
      <c r="Q2835" s="2"/>
      <c r="R2835" s="101"/>
      <c r="U2835" s="101"/>
    </row>
    <row r="2836">
      <c r="A2836" s="49"/>
      <c r="C2836" s="13"/>
      <c r="D2836" s="13"/>
      <c r="E2836" s="2"/>
      <c r="F2836" s="655"/>
      <c r="G2836" s="2"/>
      <c r="H2836" s="2"/>
      <c r="I2836" s="13"/>
      <c r="J2836" s="656"/>
      <c r="K2836" s="13"/>
      <c r="L2836" s="13"/>
      <c r="M2836" s="13"/>
      <c r="N2836" s="2"/>
      <c r="O2836" s="2"/>
      <c r="P2836" s="2"/>
      <c r="Q2836" s="2"/>
      <c r="R2836" s="101"/>
      <c r="U2836" s="101"/>
    </row>
    <row r="2837">
      <c r="A2837" s="49"/>
      <c r="C2837" s="13"/>
      <c r="D2837" s="13"/>
      <c r="E2837" s="2"/>
      <c r="F2837" s="655"/>
      <c r="G2837" s="2"/>
      <c r="H2837" s="2"/>
      <c r="I2837" s="13"/>
      <c r="J2837" s="656"/>
      <c r="K2837" s="13"/>
      <c r="L2837" s="13"/>
      <c r="M2837" s="13"/>
      <c r="N2837" s="2"/>
      <c r="O2837" s="2"/>
      <c r="P2837" s="2"/>
      <c r="Q2837" s="2"/>
      <c r="R2837" s="101"/>
      <c r="U2837" s="101"/>
    </row>
    <row r="2838">
      <c r="A2838" s="49"/>
      <c r="C2838" s="13"/>
      <c r="D2838" s="13"/>
      <c r="E2838" s="2"/>
      <c r="F2838" s="655"/>
      <c r="G2838" s="2"/>
      <c r="H2838" s="2"/>
      <c r="I2838" s="13"/>
      <c r="J2838" s="656"/>
      <c r="K2838" s="13"/>
      <c r="L2838" s="13"/>
      <c r="M2838" s="13"/>
      <c r="N2838" s="2"/>
      <c r="O2838" s="2"/>
      <c r="P2838" s="2"/>
      <c r="Q2838" s="2"/>
      <c r="R2838" s="101"/>
      <c r="U2838" s="101"/>
    </row>
    <row r="2839">
      <c r="A2839" s="49"/>
      <c r="C2839" s="13"/>
      <c r="D2839" s="13"/>
      <c r="E2839" s="2"/>
      <c r="F2839" s="655"/>
      <c r="G2839" s="2"/>
      <c r="H2839" s="2"/>
      <c r="I2839" s="13"/>
      <c r="J2839" s="656"/>
      <c r="K2839" s="13"/>
      <c r="L2839" s="13"/>
      <c r="M2839" s="13"/>
      <c r="N2839" s="2"/>
      <c r="O2839" s="2"/>
      <c r="P2839" s="2"/>
      <c r="Q2839" s="2"/>
      <c r="R2839" s="101"/>
      <c r="U2839" s="101"/>
    </row>
    <row r="2840">
      <c r="A2840" s="49"/>
      <c r="C2840" s="13"/>
      <c r="D2840" s="13"/>
      <c r="E2840" s="2"/>
      <c r="F2840" s="655"/>
      <c r="G2840" s="2"/>
      <c r="H2840" s="2"/>
      <c r="I2840" s="13"/>
      <c r="J2840" s="656"/>
      <c r="K2840" s="13"/>
      <c r="L2840" s="13"/>
      <c r="M2840" s="13"/>
      <c r="N2840" s="2"/>
      <c r="O2840" s="2"/>
      <c r="P2840" s="2"/>
      <c r="Q2840" s="2"/>
      <c r="R2840" s="101"/>
      <c r="U2840" s="101"/>
    </row>
    <row r="2841">
      <c r="A2841" s="49"/>
      <c r="C2841" s="13"/>
      <c r="D2841" s="13"/>
      <c r="E2841" s="2"/>
      <c r="F2841" s="655"/>
      <c r="G2841" s="2"/>
      <c r="H2841" s="2"/>
      <c r="I2841" s="13"/>
      <c r="J2841" s="656"/>
      <c r="K2841" s="13"/>
      <c r="L2841" s="13"/>
      <c r="M2841" s="13"/>
      <c r="N2841" s="2"/>
      <c r="O2841" s="2"/>
      <c r="P2841" s="2"/>
      <c r="Q2841" s="2"/>
      <c r="R2841" s="101"/>
      <c r="U2841" s="101"/>
    </row>
    <row r="2842">
      <c r="A2842" s="49"/>
      <c r="C2842" s="13"/>
      <c r="D2842" s="13"/>
      <c r="E2842" s="2"/>
      <c r="F2842" s="655"/>
      <c r="G2842" s="2"/>
      <c r="H2842" s="2"/>
      <c r="I2842" s="13"/>
      <c r="J2842" s="656"/>
      <c r="K2842" s="13"/>
      <c r="L2842" s="13"/>
      <c r="M2842" s="13"/>
      <c r="N2842" s="2"/>
      <c r="O2842" s="2"/>
      <c r="P2842" s="2"/>
      <c r="Q2842" s="2"/>
      <c r="R2842" s="101"/>
      <c r="U2842" s="101"/>
    </row>
    <row r="2843">
      <c r="A2843" s="49"/>
      <c r="C2843" s="13"/>
      <c r="D2843" s="13"/>
      <c r="E2843" s="2"/>
      <c r="F2843" s="655"/>
      <c r="G2843" s="2"/>
      <c r="H2843" s="2"/>
      <c r="I2843" s="13"/>
      <c r="J2843" s="656"/>
      <c r="K2843" s="13"/>
      <c r="L2843" s="13"/>
      <c r="M2843" s="13"/>
      <c r="N2843" s="2"/>
      <c r="O2843" s="2"/>
      <c r="P2843" s="2"/>
      <c r="Q2843" s="2"/>
      <c r="R2843" s="101"/>
      <c r="U2843" s="101"/>
    </row>
    <row r="2844">
      <c r="A2844" s="49"/>
      <c r="C2844" s="13"/>
      <c r="D2844" s="13"/>
      <c r="E2844" s="2"/>
      <c r="F2844" s="655"/>
      <c r="G2844" s="2"/>
      <c r="H2844" s="2"/>
      <c r="I2844" s="13"/>
      <c r="J2844" s="656"/>
      <c r="K2844" s="13"/>
      <c r="L2844" s="13"/>
      <c r="M2844" s="13"/>
      <c r="N2844" s="2"/>
      <c r="O2844" s="2"/>
      <c r="P2844" s="2"/>
      <c r="Q2844" s="2"/>
      <c r="R2844" s="101"/>
      <c r="U2844" s="101"/>
    </row>
    <row r="2845">
      <c r="A2845" s="49"/>
      <c r="C2845" s="13"/>
      <c r="D2845" s="13"/>
      <c r="E2845" s="2"/>
      <c r="F2845" s="655"/>
      <c r="G2845" s="2"/>
      <c r="H2845" s="2"/>
      <c r="I2845" s="13"/>
      <c r="J2845" s="656"/>
      <c r="K2845" s="13"/>
      <c r="L2845" s="13"/>
      <c r="M2845" s="13"/>
      <c r="N2845" s="2"/>
      <c r="O2845" s="2"/>
      <c r="P2845" s="2"/>
      <c r="Q2845" s="2"/>
      <c r="R2845" s="101"/>
      <c r="U2845" s="101"/>
    </row>
    <row r="2846">
      <c r="A2846" s="49"/>
      <c r="C2846" s="13"/>
      <c r="D2846" s="13"/>
      <c r="E2846" s="2"/>
      <c r="F2846" s="655"/>
      <c r="G2846" s="2"/>
      <c r="H2846" s="2"/>
      <c r="I2846" s="13"/>
      <c r="J2846" s="656"/>
      <c r="K2846" s="13"/>
      <c r="L2846" s="13"/>
      <c r="M2846" s="13"/>
      <c r="N2846" s="2"/>
      <c r="O2846" s="2"/>
      <c r="P2846" s="2"/>
      <c r="Q2846" s="2"/>
      <c r="R2846" s="101"/>
      <c r="U2846" s="101"/>
    </row>
    <row r="2847">
      <c r="A2847" s="49"/>
      <c r="C2847" s="13"/>
      <c r="D2847" s="13"/>
      <c r="E2847" s="2"/>
      <c r="F2847" s="655"/>
      <c r="G2847" s="2"/>
      <c r="H2847" s="2"/>
      <c r="I2847" s="13"/>
      <c r="J2847" s="656"/>
      <c r="K2847" s="13"/>
      <c r="L2847" s="13"/>
      <c r="M2847" s="13"/>
      <c r="N2847" s="2"/>
      <c r="O2847" s="2"/>
      <c r="P2847" s="2"/>
      <c r="Q2847" s="2"/>
      <c r="R2847" s="101"/>
      <c r="U2847" s="101"/>
    </row>
    <row r="2848">
      <c r="A2848" s="49"/>
      <c r="C2848" s="13"/>
      <c r="D2848" s="13"/>
      <c r="E2848" s="2"/>
      <c r="F2848" s="655"/>
      <c r="G2848" s="2"/>
      <c r="H2848" s="2"/>
      <c r="I2848" s="13"/>
      <c r="J2848" s="656"/>
      <c r="K2848" s="13"/>
      <c r="L2848" s="13"/>
      <c r="M2848" s="13"/>
      <c r="N2848" s="2"/>
      <c r="O2848" s="2"/>
      <c r="P2848" s="2"/>
      <c r="Q2848" s="2"/>
      <c r="R2848" s="101"/>
      <c r="U2848" s="101"/>
    </row>
    <row r="2849">
      <c r="A2849" s="49"/>
      <c r="C2849" s="13"/>
      <c r="D2849" s="13"/>
      <c r="E2849" s="2"/>
      <c r="F2849" s="655"/>
      <c r="G2849" s="2"/>
      <c r="H2849" s="2"/>
      <c r="I2849" s="13"/>
      <c r="J2849" s="656"/>
      <c r="K2849" s="13"/>
      <c r="L2849" s="13"/>
      <c r="M2849" s="13"/>
      <c r="N2849" s="2"/>
      <c r="O2849" s="2"/>
      <c r="P2849" s="2"/>
      <c r="Q2849" s="2"/>
      <c r="R2849" s="101"/>
      <c r="U2849" s="101"/>
    </row>
    <row r="2850">
      <c r="A2850" s="49"/>
      <c r="C2850" s="13"/>
      <c r="D2850" s="13"/>
      <c r="E2850" s="2"/>
      <c r="F2850" s="655"/>
      <c r="G2850" s="2"/>
      <c r="H2850" s="2"/>
      <c r="I2850" s="13"/>
      <c r="J2850" s="656"/>
      <c r="K2850" s="13"/>
      <c r="L2850" s="13"/>
      <c r="M2850" s="13"/>
      <c r="N2850" s="2"/>
      <c r="O2850" s="2"/>
      <c r="P2850" s="2"/>
      <c r="Q2850" s="2"/>
      <c r="R2850" s="101"/>
      <c r="U2850" s="101"/>
    </row>
    <row r="2851">
      <c r="A2851" s="49"/>
      <c r="C2851" s="13"/>
      <c r="D2851" s="13"/>
      <c r="E2851" s="2"/>
      <c r="F2851" s="655"/>
      <c r="G2851" s="2"/>
      <c r="H2851" s="2"/>
      <c r="I2851" s="13"/>
      <c r="J2851" s="656"/>
      <c r="K2851" s="13"/>
      <c r="L2851" s="13"/>
      <c r="M2851" s="13"/>
      <c r="N2851" s="2"/>
      <c r="O2851" s="2"/>
      <c r="P2851" s="2"/>
      <c r="Q2851" s="2"/>
      <c r="R2851" s="101"/>
      <c r="U2851" s="101"/>
    </row>
    <row r="2852">
      <c r="A2852" s="49"/>
      <c r="C2852" s="13"/>
      <c r="D2852" s="13"/>
      <c r="E2852" s="2"/>
      <c r="F2852" s="655"/>
      <c r="G2852" s="2"/>
      <c r="H2852" s="2"/>
      <c r="I2852" s="13"/>
      <c r="J2852" s="656"/>
      <c r="K2852" s="13"/>
      <c r="L2852" s="13"/>
      <c r="M2852" s="13"/>
      <c r="N2852" s="2"/>
      <c r="O2852" s="2"/>
      <c r="P2852" s="2"/>
      <c r="Q2852" s="2"/>
      <c r="R2852" s="101"/>
      <c r="U2852" s="101"/>
    </row>
    <row r="2853">
      <c r="A2853" s="49"/>
      <c r="C2853" s="13"/>
      <c r="D2853" s="13"/>
      <c r="E2853" s="2"/>
      <c r="F2853" s="655"/>
      <c r="G2853" s="2"/>
      <c r="H2853" s="2"/>
      <c r="I2853" s="13"/>
      <c r="J2853" s="656"/>
      <c r="K2853" s="13"/>
      <c r="L2853" s="13"/>
      <c r="M2853" s="13"/>
      <c r="N2853" s="2"/>
      <c r="O2853" s="2"/>
      <c r="P2853" s="2"/>
      <c r="Q2853" s="2"/>
      <c r="R2853" s="101"/>
      <c r="U2853" s="101"/>
    </row>
    <row r="2854">
      <c r="A2854" s="49"/>
      <c r="C2854" s="13"/>
      <c r="D2854" s="13"/>
      <c r="E2854" s="2"/>
      <c r="F2854" s="655"/>
      <c r="G2854" s="2"/>
      <c r="H2854" s="2"/>
      <c r="I2854" s="13"/>
      <c r="J2854" s="656"/>
      <c r="K2854" s="13"/>
      <c r="L2854" s="13"/>
      <c r="M2854" s="13"/>
      <c r="N2854" s="2"/>
      <c r="O2854" s="2"/>
      <c r="P2854" s="2"/>
      <c r="Q2854" s="2"/>
      <c r="R2854" s="101"/>
      <c r="U2854" s="101"/>
    </row>
    <row r="2855">
      <c r="A2855" s="49"/>
      <c r="C2855" s="13"/>
      <c r="D2855" s="13"/>
      <c r="E2855" s="2"/>
      <c r="F2855" s="655"/>
      <c r="G2855" s="2"/>
      <c r="H2855" s="2"/>
      <c r="I2855" s="13"/>
      <c r="J2855" s="656"/>
      <c r="K2855" s="13"/>
      <c r="L2855" s="13"/>
      <c r="M2855" s="13"/>
      <c r="N2855" s="2"/>
      <c r="O2855" s="2"/>
      <c r="P2855" s="2"/>
      <c r="Q2855" s="2"/>
      <c r="R2855" s="101"/>
      <c r="U2855" s="101"/>
    </row>
    <row r="2856">
      <c r="A2856" s="49"/>
      <c r="C2856" s="13"/>
      <c r="D2856" s="13"/>
      <c r="E2856" s="2"/>
      <c r="F2856" s="655"/>
      <c r="G2856" s="2"/>
      <c r="H2856" s="2"/>
      <c r="I2856" s="13"/>
      <c r="J2856" s="656"/>
      <c r="K2856" s="13"/>
      <c r="L2856" s="13"/>
      <c r="M2856" s="13"/>
      <c r="N2856" s="2"/>
      <c r="O2856" s="2"/>
      <c r="P2856" s="2"/>
      <c r="Q2856" s="2"/>
      <c r="R2856" s="101"/>
      <c r="U2856" s="101"/>
    </row>
    <row r="2857">
      <c r="A2857" s="49"/>
      <c r="C2857" s="13"/>
      <c r="D2857" s="13"/>
      <c r="E2857" s="2"/>
      <c r="F2857" s="655"/>
      <c r="G2857" s="2"/>
      <c r="H2857" s="2"/>
      <c r="I2857" s="13"/>
      <c r="J2857" s="656"/>
      <c r="K2857" s="13"/>
      <c r="L2857" s="13"/>
      <c r="M2857" s="13"/>
      <c r="N2857" s="2"/>
      <c r="O2857" s="2"/>
      <c r="P2857" s="2"/>
      <c r="Q2857" s="2"/>
      <c r="R2857" s="101"/>
      <c r="U2857" s="101"/>
    </row>
    <row r="2858">
      <c r="A2858" s="49"/>
      <c r="C2858" s="13"/>
      <c r="D2858" s="13"/>
      <c r="E2858" s="2"/>
      <c r="F2858" s="655"/>
      <c r="G2858" s="2"/>
      <c r="H2858" s="2"/>
      <c r="I2858" s="13"/>
      <c r="J2858" s="656"/>
      <c r="K2858" s="13"/>
      <c r="L2858" s="13"/>
      <c r="M2858" s="13"/>
      <c r="N2858" s="2"/>
      <c r="O2858" s="2"/>
      <c r="P2858" s="2"/>
      <c r="Q2858" s="2"/>
      <c r="R2858" s="101"/>
      <c r="U2858" s="101"/>
    </row>
    <row r="2859">
      <c r="A2859" s="49"/>
      <c r="C2859" s="13"/>
      <c r="D2859" s="13"/>
      <c r="E2859" s="2"/>
      <c r="F2859" s="655"/>
      <c r="G2859" s="2"/>
      <c r="H2859" s="2"/>
      <c r="I2859" s="13"/>
      <c r="J2859" s="656"/>
      <c r="K2859" s="13"/>
      <c r="L2859" s="13"/>
      <c r="M2859" s="13"/>
      <c r="N2859" s="2"/>
      <c r="O2859" s="2"/>
      <c r="P2859" s="2"/>
      <c r="Q2859" s="2"/>
      <c r="R2859" s="101"/>
      <c r="U2859" s="101"/>
    </row>
    <row r="2860">
      <c r="A2860" s="49"/>
      <c r="C2860" s="13"/>
      <c r="D2860" s="13"/>
      <c r="E2860" s="2"/>
      <c r="F2860" s="655"/>
      <c r="G2860" s="2"/>
      <c r="H2860" s="2"/>
      <c r="I2860" s="13"/>
      <c r="J2860" s="656"/>
      <c r="K2860" s="13"/>
      <c r="L2860" s="13"/>
      <c r="M2860" s="13"/>
      <c r="N2860" s="2"/>
      <c r="O2860" s="2"/>
      <c r="P2860" s="2"/>
      <c r="Q2860" s="2"/>
      <c r="R2860" s="101"/>
      <c r="U2860" s="101"/>
    </row>
    <row r="2861">
      <c r="A2861" s="49"/>
      <c r="C2861" s="13"/>
      <c r="D2861" s="13"/>
      <c r="E2861" s="2"/>
      <c r="F2861" s="655"/>
      <c r="G2861" s="2"/>
      <c r="H2861" s="2"/>
      <c r="I2861" s="13"/>
      <c r="J2861" s="656"/>
      <c r="K2861" s="13"/>
      <c r="L2861" s="13"/>
      <c r="M2861" s="13"/>
      <c r="N2861" s="2"/>
      <c r="O2861" s="2"/>
      <c r="P2861" s="2"/>
      <c r="Q2861" s="2"/>
      <c r="R2861" s="101"/>
      <c r="U2861" s="101"/>
    </row>
    <row r="2862">
      <c r="A2862" s="49"/>
      <c r="C2862" s="13"/>
      <c r="D2862" s="13"/>
      <c r="E2862" s="2"/>
      <c r="F2862" s="655"/>
      <c r="G2862" s="2"/>
      <c r="H2862" s="2"/>
      <c r="I2862" s="13"/>
      <c r="J2862" s="656"/>
      <c r="K2862" s="13"/>
      <c r="L2862" s="13"/>
      <c r="M2862" s="13"/>
      <c r="N2862" s="2"/>
      <c r="O2862" s="2"/>
      <c r="P2862" s="2"/>
      <c r="Q2862" s="2"/>
      <c r="R2862" s="101"/>
      <c r="U2862" s="101"/>
    </row>
    <row r="2863">
      <c r="A2863" s="49"/>
      <c r="C2863" s="13"/>
      <c r="D2863" s="13"/>
      <c r="E2863" s="2"/>
      <c r="F2863" s="655"/>
      <c r="G2863" s="2"/>
      <c r="H2863" s="2"/>
      <c r="I2863" s="13"/>
      <c r="J2863" s="656"/>
      <c r="K2863" s="13"/>
      <c r="L2863" s="13"/>
      <c r="M2863" s="13"/>
      <c r="N2863" s="2"/>
      <c r="O2863" s="2"/>
      <c r="P2863" s="2"/>
      <c r="Q2863" s="2"/>
      <c r="R2863" s="101"/>
      <c r="U2863" s="101"/>
    </row>
    <row r="2864">
      <c r="A2864" s="49"/>
      <c r="C2864" s="13"/>
      <c r="D2864" s="13"/>
      <c r="E2864" s="2"/>
      <c r="F2864" s="655"/>
      <c r="G2864" s="2"/>
      <c r="H2864" s="2"/>
      <c r="I2864" s="13"/>
      <c r="J2864" s="656"/>
      <c r="K2864" s="13"/>
      <c r="L2864" s="13"/>
      <c r="M2864" s="13"/>
      <c r="N2864" s="2"/>
      <c r="O2864" s="2"/>
      <c r="P2864" s="2"/>
      <c r="Q2864" s="2"/>
      <c r="R2864" s="101"/>
      <c r="U2864" s="101"/>
    </row>
    <row r="2865">
      <c r="A2865" s="49"/>
      <c r="C2865" s="13"/>
      <c r="D2865" s="13"/>
      <c r="E2865" s="2"/>
      <c r="F2865" s="655"/>
      <c r="G2865" s="2"/>
      <c r="H2865" s="2"/>
      <c r="I2865" s="13"/>
      <c r="J2865" s="656"/>
      <c r="K2865" s="13"/>
      <c r="L2865" s="13"/>
      <c r="M2865" s="13"/>
      <c r="N2865" s="2"/>
      <c r="O2865" s="2"/>
      <c r="P2865" s="2"/>
      <c r="Q2865" s="2"/>
      <c r="R2865" s="101"/>
      <c r="U2865" s="101"/>
    </row>
    <row r="2866">
      <c r="A2866" s="49"/>
      <c r="C2866" s="13"/>
      <c r="D2866" s="13"/>
      <c r="E2866" s="2"/>
      <c r="F2866" s="655"/>
      <c r="G2866" s="2"/>
      <c r="H2866" s="2"/>
      <c r="I2866" s="13"/>
      <c r="J2866" s="656"/>
      <c r="K2866" s="13"/>
      <c r="L2866" s="13"/>
      <c r="M2866" s="13"/>
      <c r="N2866" s="2"/>
      <c r="O2866" s="2"/>
      <c r="P2866" s="2"/>
      <c r="Q2866" s="2"/>
      <c r="R2866" s="101"/>
      <c r="U2866" s="101"/>
    </row>
    <row r="2867">
      <c r="A2867" s="49"/>
      <c r="C2867" s="13"/>
      <c r="D2867" s="13"/>
      <c r="E2867" s="2"/>
      <c r="F2867" s="655"/>
      <c r="G2867" s="2"/>
      <c r="H2867" s="2"/>
      <c r="I2867" s="13"/>
      <c r="J2867" s="656"/>
      <c r="K2867" s="13"/>
      <c r="L2867" s="13"/>
      <c r="M2867" s="13"/>
      <c r="N2867" s="2"/>
      <c r="O2867" s="2"/>
      <c r="P2867" s="2"/>
      <c r="Q2867" s="2"/>
      <c r="R2867" s="101"/>
      <c r="U2867" s="101"/>
    </row>
    <row r="2868">
      <c r="A2868" s="49"/>
      <c r="C2868" s="13"/>
      <c r="D2868" s="13"/>
      <c r="E2868" s="2"/>
      <c r="F2868" s="655"/>
      <c r="G2868" s="2"/>
      <c r="H2868" s="2"/>
      <c r="I2868" s="13"/>
      <c r="J2868" s="656"/>
      <c r="K2868" s="13"/>
      <c r="L2868" s="13"/>
      <c r="M2868" s="13"/>
      <c r="N2868" s="2"/>
      <c r="O2868" s="2"/>
      <c r="P2868" s="2"/>
      <c r="Q2868" s="2"/>
      <c r="R2868" s="101"/>
      <c r="U2868" s="101"/>
    </row>
    <row r="2869">
      <c r="A2869" s="49"/>
      <c r="C2869" s="13"/>
      <c r="D2869" s="13"/>
      <c r="E2869" s="2"/>
      <c r="F2869" s="655"/>
      <c r="G2869" s="2"/>
      <c r="H2869" s="2"/>
      <c r="I2869" s="13"/>
      <c r="J2869" s="656"/>
      <c r="K2869" s="13"/>
      <c r="L2869" s="13"/>
      <c r="M2869" s="13"/>
      <c r="N2869" s="2"/>
      <c r="O2869" s="2"/>
      <c r="P2869" s="2"/>
      <c r="Q2869" s="2"/>
      <c r="R2869" s="101"/>
      <c r="U2869" s="101"/>
    </row>
    <row r="2870">
      <c r="A2870" s="49"/>
      <c r="C2870" s="13"/>
      <c r="D2870" s="13"/>
      <c r="E2870" s="2"/>
      <c r="F2870" s="655"/>
      <c r="G2870" s="2"/>
      <c r="H2870" s="2"/>
      <c r="I2870" s="13"/>
      <c r="J2870" s="656"/>
      <c r="K2870" s="13"/>
      <c r="L2870" s="13"/>
      <c r="M2870" s="13"/>
      <c r="N2870" s="2"/>
      <c r="O2870" s="2"/>
      <c r="P2870" s="2"/>
      <c r="Q2870" s="2"/>
      <c r="R2870" s="101"/>
      <c r="U2870" s="101"/>
    </row>
    <row r="2871">
      <c r="A2871" s="49"/>
      <c r="C2871" s="13"/>
      <c r="D2871" s="13"/>
      <c r="E2871" s="2"/>
      <c r="F2871" s="655"/>
      <c r="G2871" s="2"/>
      <c r="H2871" s="2"/>
      <c r="I2871" s="13"/>
      <c r="J2871" s="656"/>
      <c r="K2871" s="13"/>
      <c r="L2871" s="13"/>
      <c r="M2871" s="13"/>
      <c r="N2871" s="2"/>
      <c r="O2871" s="2"/>
      <c r="P2871" s="2"/>
      <c r="Q2871" s="2"/>
      <c r="R2871" s="101"/>
      <c r="U2871" s="101"/>
    </row>
    <row r="2872">
      <c r="A2872" s="49"/>
      <c r="C2872" s="13"/>
      <c r="D2872" s="13"/>
      <c r="E2872" s="2"/>
      <c r="F2872" s="655"/>
      <c r="G2872" s="2"/>
      <c r="H2872" s="2"/>
      <c r="I2872" s="13"/>
      <c r="J2872" s="656"/>
      <c r="K2872" s="13"/>
      <c r="L2872" s="13"/>
      <c r="M2872" s="13"/>
      <c r="N2872" s="2"/>
      <c r="O2872" s="2"/>
      <c r="P2872" s="2"/>
      <c r="Q2872" s="2"/>
      <c r="R2872" s="101"/>
      <c r="U2872" s="101"/>
    </row>
    <row r="2873">
      <c r="A2873" s="49"/>
      <c r="C2873" s="13"/>
      <c r="D2873" s="13"/>
      <c r="E2873" s="2"/>
      <c r="F2873" s="655"/>
      <c r="G2873" s="2"/>
      <c r="H2873" s="2"/>
      <c r="I2873" s="13"/>
      <c r="J2873" s="656"/>
      <c r="K2873" s="13"/>
      <c r="L2873" s="13"/>
      <c r="M2873" s="13"/>
      <c r="N2873" s="2"/>
      <c r="O2873" s="2"/>
      <c r="P2873" s="2"/>
      <c r="Q2873" s="2"/>
      <c r="R2873" s="101"/>
      <c r="U2873" s="101"/>
    </row>
    <row r="2874">
      <c r="A2874" s="49"/>
      <c r="C2874" s="13"/>
      <c r="D2874" s="13"/>
      <c r="E2874" s="2"/>
      <c r="F2874" s="655"/>
      <c r="G2874" s="2"/>
      <c r="H2874" s="2"/>
      <c r="I2874" s="13"/>
      <c r="J2874" s="656"/>
      <c r="K2874" s="13"/>
      <c r="L2874" s="13"/>
      <c r="M2874" s="13"/>
      <c r="N2874" s="2"/>
      <c r="O2874" s="2"/>
      <c r="P2874" s="2"/>
      <c r="Q2874" s="2"/>
      <c r="R2874" s="101"/>
      <c r="U2874" s="101"/>
    </row>
    <row r="2875">
      <c r="A2875" s="49"/>
      <c r="C2875" s="13"/>
      <c r="D2875" s="13"/>
      <c r="E2875" s="2"/>
      <c r="F2875" s="655"/>
      <c r="G2875" s="2"/>
      <c r="H2875" s="2"/>
      <c r="I2875" s="13"/>
      <c r="J2875" s="656"/>
      <c r="K2875" s="13"/>
      <c r="L2875" s="13"/>
      <c r="M2875" s="13"/>
      <c r="N2875" s="2"/>
      <c r="O2875" s="2"/>
      <c r="P2875" s="2"/>
      <c r="Q2875" s="2"/>
      <c r="R2875" s="101"/>
      <c r="U2875" s="101"/>
    </row>
    <row r="2876">
      <c r="A2876" s="49"/>
      <c r="C2876" s="13"/>
      <c r="D2876" s="13"/>
      <c r="E2876" s="2"/>
      <c r="F2876" s="655"/>
      <c r="G2876" s="2"/>
      <c r="H2876" s="2"/>
      <c r="I2876" s="13"/>
      <c r="J2876" s="656"/>
      <c r="K2876" s="13"/>
      <c r="L2876" s="13"/>
      <c r="M2876" s="13"/>
      <c r="N2876" s="2"/>
      <c r="O2876" s="2"/>
      <c r="P2876" s="2"/>
      <c r="Q2876" s="2"/>
      <c r="R2876" s="101"/>
      <c r="U2876" s="101"/>
    </row>
    <row r="2877">
      <c r="A2877" s="49"/>
      <c r="C2877" s="13"/>
      <c r="D2877" s="13"/>
      <c r="E2877" s="2"/>
      <c r="F2877" s="655"/>
      <c r="G2877" s="2"/>
      <c r="H2877" s="2"/>
      <c r="I2877" s="13"/>
      <c r="J2877" s="656"/>
      <c r="K2877" s="13"/>
      <c r="L2877" s="13"/>
      <c r="M2877" s="13"/>
      <c r="N2877" s="2"/>
      <c r="O2877" s="2"/>
      <c r="P2877" s="2"/>
      <c r="Q2877" s="2"/>
      <c r="R2877" s="101"/>
      <c r="U2877" s="101"/>
    </row>
    <row r="2878">
      <c r="A2878" s="49"/>
      <c r="C2878" s="13"/>
      <c r="D2878" s="13"/>
      <c r="E2878" s="2"/>
      <c r="F2878" s="655"/>
      <c r="G2878" s="2"/>
      <c r="H2878" s="2"/>
      <c r="I2878" s="13"/>
      <c r="J2878" s="656"/>
      <c r="K2878" s="13"/>
      <c r="L2878" s="13"/>
      <c r="M2878" s="13"/>
      <c r="N2878" s="2"/>
      <c r="O2878" s="2"/>
      <c r="P2878" s="2"/>
      <c r="Q2878" s="2"/>
      <c r="R2878" s="101"/>
      <c r="U2878" s="101"/>
    </row>
    <row r="2879">
      <c r="A2879" s="49"/>
      <c r="C2879" s="13"/>
      <c r="D2879" s="13"/>
      <c r="E2879" s="2"/>
      <c r="F2879" s="655"/>
      <c r="G2879" s="2"/>
      <c r="H2879" s="2"/>
      <c r="I2879" s="13"/>
      <c r="J2879" s="656"/>
      <c r="K2879" s="13"/>
      <c r="L2879" s="13"/>
      <c r="M2879" s="13"/>
      <c r="N2879" s="2"/>
      <c r="O2879" s="2"/>
      <c r="P2879" s="2"/>
      <c r="Q2879" s="2"/>
      <c r="R2879" s="101"/>
      <c r="U2879" s="101"/>
    </row>
    <row r="2880">
      <c r="A2880" s="49"/>
      <c r="C2880" s="13"/>
      <c r="D2880" s="13"/>
      <c r="E2880" s="2"/>
      <c r="F2880" s="655"/>
      <c r="G2880" s="2"/>
      <c r="H2880" s="2"/>
      <c r="I2880" s="13"/>
      <c r="J2880" s="656"/>
      <c r="K2880" s="13"/>
      <c r="L2880" s="13"/>
      <c r="M2880" s="13"/>
      <c r="N2880" s="2"/>
      <c r="O2880" s="2"/>
      <c r="P2880" s="2"/>
      <c r="Q2880" s="2"/>
      <c r="R2880" s="101"/>
      <c r="U2880" s="101"/>
    </row>
    <row r="2881">
      <c r="A2881" s="49"/>
      <c r="C2881" s="13"/>
      <c r="D2881" s="13"/>
      <c r="E2881" s="2"/>
      <c r="F2881" s="655"/>
      <c r="G2881" s="2"/>
      <c r="H2881" s="2"/>
      <c r="I2881" s="13"/>
      <c r="J2881" s="656"/>
      <c r="K2881" s="13"/>
      <c r="L2881" s="13"/>
      <c r="M2881" s="13"/>
      <c r="N2881" s="2"/>
      <c r="O2881" s="2"/>
      <c r="P2881" s="2"/>
      <c r="Q2881" s="2"/>
      <c r="R2881" s="101"/>
      <c r="U2881" s="101"/>
    </row>
    <row r="2882">
      <c r="A2882" s="49"/>
      <c r="C2882" s="13"/>
      <c r="D2882" s="13"/>
      <c r="E2882" s="2"/>
      <c r="F2882" s="655"/>
      <c r="G2882" s="2"/>
      <c r="H2882" s="2"/>
      <c r="I2882" s="13"/>
      <c r="J2882" s="656"/>
      <c r="K2882" s="13"/>
      <c r="L2882" s="13"/>
      <c r="M2882" s="13"/>
      <c r="N2882" s="2"/>
      <c r="O2882" s="2"/>
      <c r="P2882" s="2"/>
      <c r="Q2882" s="2"/>
      <c r="R2882" s="101"/>
      <c r="U2882" s="101"/>
    </row>
    <row r="2883">
      <c r="A2883" s="49"/>
      <c r="C2883" s="13"/>
      <c r="D2883" s="13"/>
      <c r="E2883" s="2"/>
      <c r="F2883" s="655"/>
      <c r="G2883" s="2"/>
      <c r="H2883" s="2"/>
      <c r="I2883" s="13"/>
      <c r="J2883" s="656"/>
      <c r="K2883" s="13"/>
      <c r="L2883" s="13"/>
      <c r="M2883" s="13"/>
      <c r="N2883" s="2"/>
      <c r="O2883" s="2"/>
      <c r="P2883" s="2"/>
      <c r="Q2883" s="2"/>
      <c r="R2883" s="101"/>
      <c r="U2883" s="101"/>
    </row>
    <row r="2884">
      <c r="A2884" s="49"/>
      <c r="C2884" s="13"/>
      <c r="D2884" s="13"/>
      <c r="E2884" s="2"/>
      <c r="F2884" s="655"/>
      <c r="G2884" s="2"/>
      <c r="H2884" s="2"/>
      <c r="I2884" s="13"/>
      <c r="J2884" s="656"/>
      <c r="K2884" s="13"/>
      <c r="L2884" s="13"/>
      <c r="M2884" s="13"/>
      <c r="N2884" s="2"/>
      <c r="O2884" s="2"/>
      <c r="P2884" s="2"/>
      <c r="Q2884" s="2"/>
      <c r="R2884" s="101"/>
      <c r="U2884" s="101"/>
    </row>
    <row r="2885">
      <c r="A2885" s="49"/>
      <c r="C2885" s="13"/>
      <c r="D2885" s="13"/>
      <c r="E2885" s="2"/>
      <c r="F2885" s="655"/>
      <c r="G2885" s="2"/>
      <c r="H2885" s="2"/>
      <c r="I2885" s="13"/>
      <c r="J2885" s="656"/>
      <c r="K2885" s="13"/>
      <c r="L2885" s="13"/>
      <c r="M2885" s="13"/>
      <c r="N2885" s="2"/>
      <c r="O2885" s="2"/>
      <c r="P2885" s="2"/>
      <c r="Q2885" s="2"/>
      <c r="R2885" s="101"/>
      <c r="U2885" s="101"/>
    </row>
    <row r="2886">
      <c r="A2886" s="49"/>
      <c r="C2886" s="13"/>
      <c r="D2886" s="13"/>
      <c r="E2886" s="2"/>
      <c r="F2886" s="655"/>
      <c r="G2886" s="2"/>
      <c r="H2886" s="2"/>
      <c r="I2886" s="13"/>
      <c r="J2886" s="656"/>
      <c r="K2886" s="13"/>
      <c r="L2886" s="13"/>
      <c r="M2886" s="13"/>
      <c r="N2886" s="2"/>
      <c r="O2886" s="2"/>
      <c r="P2886" s="2"/>
      <c r="Q2886" s="2"/>
      <c r="R2886" s="101"/>
      <c r="U2886" s="101"/>
    </row>
    <row r="2887">
      <c r="A2887" s="49"/>
      <c r="C2887" s="13"/>
      <c r="D2887" s="13"/>
      <c r="E2887" s="2"/>
      <c r="F2887" s="655"/>
      <c r="G2887" s="2"/>
      <c r="H2887" s="2"/>
      <c r="I2887" s="13"/>
      <c r="J2887" s="656"/>
      <c r="K2887" s="13"/>
      <c r="L2887" s="13"/>
      <c r="M2887" s="13"/>
      <c r="N2887" s="2"/>
      <c r="O2887" s="2"/>
      <c r="P2887" s="2"/>
      <c r="Q2887" s="2"/>
      <c r="R2887" s="101"/>
      <c r="U2887" s="101"/>
    </row>
    <row r="2888">
      <c r="A2888" s="49"/>
      <c r="C2888" s="13"/>
      <c r="D2888" s="13"/>
      <c r="E2888" s="2"/>
      <c r="F2888" s="655"/>
      <c r="G2888" s="2"/>
      <c r="H2888" s="2"/>
      <c r="I2888" s="13"/>
      <c r="J2888" s="656"/>
      <c r="K2888" s="13"/>
      <c r="L2888" s="13"/>
      <c r="M2888" s="13"/>
      <c r="N2888" s="2"/>
      <c r="O2888" s="2"/>
      <c r="P2888" s="2"/>
      <c r="Q2888" s="2"/>
      <c r="R2888" s="101"/>
      <c r="U2888" s="101"/>
    </row>
    <row r="2889">
      <c r="A2889" s="49"/>
      <c r="C2889" s="13"/>
      <c r="D2889" s="13"/>
      <c r="E2889" s="2"/>
      <c r="F2889" s="655"/>
      <c r="G2889" s="2"/>
      <c r="H2889" s="2"/>
      <c r="I2889" s="13"/>
      <c r="J2889" s="656"/>
      <c r="K2889" s="13"/>
      <c r="L2889" s="13"/>
      <c r="M2889" s="13"/>
      <c r="N2889" s="2"/>
      <c r="O2889" s="2"/>
      <c r="P2889" s="2"/>
      <c r="Q2889" s="2"/>
      <c r="R2889" s="101"/>
      <c r="U2889" s="101"/>
    </row>
    <row r="2890">
      <c r="A2890" s="49"/>
      <c r="C2890" s="13"/>
      <c r="D2890" s="13"/>
      <c r="E2890" s="2"/>
      <c r="F2890" s="655"/>
      <c r="G2890" s="2"/>
      <c r="H2890" s="2"/>
      <c r="I2890" s="13"/>
      <c r="J2890" s="656"/>
      <c r="K2890" s="13"/>
      <c r="L2890" s="13"/>
      <c r="M2890" s="13"/>
      <c r="N2890" s="2"/>
      <c r="O2890" s="2"/>
      <c r="P2890" s="2"/>
      <c r="Q2890" s="2"/>
      <c r="R2890" s="101"/>
      <c r="U2890" s="101"/>
    </row>
    <row r="2891">
      <c r="A2891" s="49"/>
      <c r="C2891" s="13"/>
      <c r="D2891" s="13"/>
      <c r="E2891" s="2"/>
      <c r="F2891" s="655"/>
      <c r="G2891" s="2"/>
      <c r="H2891" s="2"/>
      <c r="I2891" s="13"/>
      <c r="J2891" s="656"/>
      <c r="K2891" s="13"/>
      <c r="L2891" s="13"/>
      <c r="M2891" s="13"/>
      <c r="N2891" s="2"/>
      <c r="O2891" s="2"/>
      <c r="P2891" s="2"/>
      <c r="Q2891" s="2"/>
      <c r="R2891" s="101"/>
      <c r="U2891" s="101"/>
    </row>
    <row r="2892">
      <c r="A2892" s="49"/>
      <c r="C2892" s="13"/>
      <c r="D2892" s="13"/>
      <c r="E2892" s="2"/>
      <c r="F2892" s="655"/>
      <c r="G2892" s="2"/>
      <c r="H2892" s="2"/>
      <c r="I2892" s="13"/>
      <c r="J2892" s="656"/>
      <c r="K2892" s="13"/>
      <c r="L2892" s="13"/>
      <c r="M2892" s="13"/>
      <c r="N2892" s="2"/>
      <c r="O2892" s="2"/>
      <c r="P2892" s="2"/>
      <c r="Q2892" s="2"/>
      <c r="R2892" s="101"/>
      <c r="U2892" s="101"/>
    </row>
    <row r="2893">
      <c r="A2893" s="49"/>
      <c r="C2893" s="13"/>
      <c r="D2893" s="13"/>
      <c r="E2893" s="2"/>
      <c r="F2893" s="655"/>
      <c r="G2893" s="2"/>
      <c r="H2893" s="2"/>
      <c r="I2893" s="13"/>
      <c r="J2893" s="656"/>
      <c r="K2893" s="13"/>
      <c r="L2893" s="13"/>
      <c r="M2893" s="13"/>
      <c r="N2893" s="2"/>
      <c r="O2893" s="2"/>
      <c r="P2893" s="2"/>
      <c r="Q2893" s="2"/>
      <c r="R2893" s="101"/>
      <c r="U2893" s="101"/>
    </row>
    <row r="2894">
      <c r="A2894" s="49"/>
      <c r="C2894" s="13"/>
      <c r="D2894" s="13"/>
      <c r="E2894" s="2"/>
      <c r="F2894" s="655"/>
      <c r="G2894" s="2"/>
      <c r="H2894" s="2"/>
      <c r="I2894" s="13"/>
      <c r="J2894" s="656"/>
      <c r="K2894" s="13"/>
      <c r="L2894" s="13"/>
      <c r="M2894" s="13"/>
      <c r="N2894" s="2"/>
      <c r="O2894" s="2"/>
      <c r="P2894" s="2"/>
      <c r="Q2894" s="2"/>
      <c r="R2894" s="101"/>
      <c r="U2894" s="101"/>
    </row>
    <row r="2895">
      <c r="A2895" s="49"/>
      <c r="C2895" s="13"/>
      <c r="D2895" s="13"/>
      <c r="E2895" s="2"/>
      <c r="F2895" s="655"/>
      <c r="G2895" s="2"/>
      <c r="H2895" s="2"/>
      <c r="I2895" s="13"/>
      <c r="J2895" s="656"/>
      <c r="K2895" s="13"/>
      <c r="L2895" s="13"/>
      <c r="M2895" s="13"/>
      <c r="N2895" s="2"/>
      <c r="O2895" s="2"/>
      <c r="P2895" s="2"/>
      <c r="Q2895" s="2"/>
      <c r="R2895" s="101"/>
      <c r="U2895" s="101"/>
    </row>
    <row r="2896">
      <c r="A2896" s="49"/>
      <c r="C2896" s="13"/>
      <c r="D2896" s="13"/>
      <c r="E2896" s="2"/>
      <c r="F2896" s="655"/>
      <c r="G2896" s="2"/>
      <c r="H2896" s="2"/>
      <c r="I2896" s="13"/>
      <c r="J2896" s="656"/>
      <c r="K2896" s="13"/>
      <c r="L2896" s="13"/>
      <c r="M2896" s="13"/>
      <c r="N2896" s="2"/>
      <c r="O2896" s="2"/>
      <c r="P2896" s="2"/>
      <c r="Q2896" s="2"/>
      <c r="R2896" s="101"/>
      <c r="U2896" s="101"/>
    </row>
    <row r="2897">
      <c r="A2897" s="49"/>
      <c r="C2897" s="13"/>
      <c r="D2897" s="13"/>
      <c r="E2897" s="2"/>
      <c r="F2897" s="655"/>
      <c r="G2897" s="2"/>
      <c r="H2897" s="2"/>
      <c r="I2897" s="13"/>
      <c r="J2897" s="656"/>
      <c r="K2897" s="13"/>
      <c r="L2897" s="13"/>
      <c r="M2897" s="13"/>
      <c r="N2897" s="2"/>
      <c r="O2897" s="2"/>
      <c r="P2897" s="2"/>
      <c r="Q2897" s="2"/>
      <c r="R2897" s="101"/>
      <c r="U2897" s="101"/>
    </row>
    <row r="2898">
      <c r="A2898" s="49"/>
      <c r="C2898" s="13"/>
      <c r="D2898" s="13"/>
      <c r="E2898" s="2"/>
      <c r="F2898" s="655"/>
      <c r="G2898" s="2"/>
      <c r="H2898" s="2"/>
      <c r="I2898" s="13"/>
      <c r="J2898" s="656"/>
      <c r="K2898" s="13"/>
      <c r="L2898" s="13"/>
      <c r="M2898" s="13"/>
      <c r="N2898" s="2"/>
      <c r="O2898" s="2"/>
      <c r="P2898" s="2"/>
      <c r="Q2898" s="2"/>
      <c r="R2898" s="101"/>
      <c r="U2898" s="101"/>
    </row>
    <row r="2899">
      <c r="A2899" s="49"/>
      <c r="C2899" s="13"/>
      <c r="D2899" s="13"/>
      <c r="E2899" s="2"/>
      <c r="F2899" s="655"/>
      <c r="G2899" s="2"/>
      <c r="H2899" s="2"/>
      <c r="I2899" s="13"/>
      <c r="J2899" s="656"/>
      <c r="K2899" s="13"/>
      <c r="L2899" s="13"/>
      <c r="M2899" s="13"/>
      <c r="N2899" s="2"/>
      <c r="O2899" s="2"/>
      <c r="P2899" s="2"/>
      <c r="Q2899" s="2"/>
      <c r="R2899" s="101"/>
      <c r="U2899" s="101"/>
    </row>
    <row r="2900">
      <c r="A2900" s="49"/>
      <c r="C2900" s="13"/>
      <c r="D2900" s="13"/>
      <c r="E2900" s="2"/>
      <c r="F2900" s="655"/>
      <c r="G2900" s="2"/>
      <c r="H2900" s="2"/>
      <c r="I2900" s="13"/>
      <c r="J2900" s="656"/>
      <c r="K2900" s="13"/>
      <c r="L2900" s="13"/>
      <c r="M2900" s="13"/>
      <c r="N2900" s="2"/>
      <c r="O2900" s="2"/>
      <c r="P2900" s="2"/>
      <c r="Q2900" s="2"/>
      <c r="R2900" s="101"/>
      <c r="U2900" s="101"/>
    </row>
    <row r="2901">
      <c r="A2901" s="49"/>
      <c r="C2901" s="13"/>
      <c r="D2901" s="13"/>
      <c r="E2901" s="2"/>
      <c r="F2901" s="655"/>
      <c r="G2901" s="2"/>
      <c r="H2901" s="2"/>
      <c r="I2901" s="13"/>
      <c r="J2901" s="656"/>
      <c r="K2901" s="13"/>
      <c r="L2901" s="13"/>
      <c r="M2901" s="13"/>
      <c r="N2901" s="2"/>
      <c r="O2901" s="2"/>
      <c r="P2901" s="2"/>
      <c r="Q2901" s="2"/>
      <c r="R2901" s="101"/>
      <c r="U2901" s="101"/>
    </row>
    <row r="2902">
      <c r="A2902" s="49"/>
      <c r="C2902" s="13"/>
      <c r="D2902" s="13"/>
      <c r="E2902" s="2"/>
      <c r="F2902" s="655"/>
      <c r="G2902" s="2"/>
      <c r="H2902" s="2"/>
      <c r="I2902" s="13"/>
      <c r="J2902" s="656"/>
      <c r="K2902" s="13"/>
      <c r="L2902" s="13"/>
      <c r="M2902" s="13"/>
      <c r="N2902" s="2"/>
      <c r="O2902" s="2"/>
      <c r="P2902" s="2"/>
      <c r="Q2902" s="2"/>
      <c r="R2902" s="101"/>
      <c r="U2902" s="101"/>
    </row>
    <row r="2903">
      <c r="A2903" s="49"/>
      <c r="C2903" s="13"/>
      <c r="D2903" s="13"/>
      <c r="E2903" s="2"/>
      <c r="F2903" s="655"/>
      <c r="G2903" s="2"/>
      <c r="H2903" s="2"/>
      <c r="I2903" s="13"/>
      <c r="J2903" s="656"/>
      <c r="K2903" s="13"/>
      <c r="L2903" s="13"/>
      <c r="M2903" s="13"/>
      <c r="N2903" s="2"/>
      <c r="O2903" s="2"/>
      <c r="P2903" s="2"/>
      <c r="Q2903" s="2"/>
      <c r="R2903" s="101"/>
      <c r="U2903" s="101"/>
    </row>
    <row r="2904">
      <c r="A2904" s="49"/>
      <c r="C2904" s="13"/>
      <c r="D2904" s="13"/>
      <c r="E2904" s="2"/>
      <c r="F2904" s="655"/>
      <c r="G2904" s="2"/>
      <c r="H2904" s="2"/>
      <c r="I2904" s="13"/>
      <c r="J2904" s="656"/>
      <c r="K2904" s="13"/>
      <c r="L2904" s="13"/>
      <c r="M2904" s="13"/>
      <c r="N2904" s="2"/>
      <c r="O2904" s="2"/>
      <c r="P2904" s="2"/>
      <c r="Q2904" s="2"/>
      <c r="R2904" s="101"/>
      <c r="U2904" s="101"/>
    </row>
    <row r="2905">
      <c r="A2905" s="49"/>
      <c r="C2905" s="13"/>
      <c r="D2905" s="13"/>
      <c r="E2905" s="2"/>
      <c r="F2905" s="655"/>
      <c r="G2905" s="2"/>
      <c r="H2905" s="2"/>
      <c r="I2905" s="13"/>
      <c r="J2905" s="656"/>
      <c r="K2905" s="13"/>
      <c r="L2905" s="13"/>
      <c r="M2905" s="13"/>
      <c r="N2905" s="2"/>
      <c r="O2905" s="2"/>
      <c r="P2905" s="2"/>
      <c r="Q2905" s="2"/>
      <c r="R2905" s="101"/>
      <c r="U2905" s="101"/>
    </row>
    <row r="2906">
      <c r="A2906" s="49"/>
      <c r="C2906" s="13"/>
      <c r="D2906" s="13"/>
      <c r="E2906" s="2"/>
      <c r="F2906" s="655"/>
      <c r="G2906" s="2"/>
      <c r="H2906" s="2"/>
      <c r="I2906" s="13"/>
      <c r="J2906" s="656"/>
      <c r="K2906" s="13"/>
      <c r="L2906" s="13"/>
      <c r="M2906" s="13"/>
      <c r="N2906" s="2"/>
      <c r="O2906" s="2"/>
      <c r="P2906" s="2"/>
      <c r="Q2906" s="2"/>
      <c r="R2906" s="101"/>
      <c r="U2906" s="101"/>
    </row>
    <row r="2907">
      <c r="A2907" s="49"/>
      <c r="C2907" s="13"/>
      <c r="D2907" s="13"/>
      <c r="E2907" s="2"/>
      <c r="F2907" s="655"/>
      <c r="G2907" s="2"/>
      <c r="H2907" s="2"/>
      <c r="I2907" s="13"/>
      <c r="J2907" s="656"/>
      <c r="K2907" s="13"/>
      <c r="L2907" s="13"/>
      <c r="M2907" s="13"/>
      <c r="N2907" s="2"/>
      <c r="O2907" s="2"/>
      <c r="P2907" s="2"/>
      <c r="Q2907" s="2"/>
      <c r="R2907" s="101"/>
      <c r="U2907" s="101"/>
    </row>
    <row r="2908">
      <c r="A2908" s="49"/>
      <c r="C2908" s="13"/>
      <c r="D2908" s="13"/>
      <c r="E2908" s="2"/>
      <c r="F2908" s="655"/>
      <c r="G2908" s="2"/>
      <c r="H2908" s="2"/>
      <c r="I2908" s="13"/>
      <c r="J2908" s="656"/>
      <c r="K2908" s="13"/>
      <c r="L2908" s="13"/>
      <c r="M2908" s="13"/>
      <c r="N2908" s="2"/>
      <c r="O2908" s="2"/>
      <c r="P2908" s="2"/>
      <c r="Q2908" s="2"/>
      <c r="R2908" s="101"/>
      <c r="U2908" s="101"/>
    </row>
    <row r="2909">
      <c r="A2909" s="49"/>
      <c r="C2909" s="13"/>
      <c r="D2909" s="13"/>
      <c r="E2909" s="2"/>
      <c r="F2909" s="655"/>
      <c r="G2909" s="2"/>
      <c r="H2909" s="2"/>
      <c r="I2909" s="13"/>
      <c r="J2909" s="656"/>
      <c r="K2909" s="13"/>
      <c r="L2909" s="13"/>
      <c r="M2909" s="13"/>
      <c r="N2909" s="2"/>
      <c r="O2909" s="2"/>
      <c r="P2909" s="2"/>
      <c r="Q2909" s="2"/>
      <c r="R2909" s="101"/>
      <c r="U2909" s="101"/>
    </row>
    <row r="2910">
      <c r="A2910" s="49"/>
      <c r="C2910" s="13"/>
      <c r="D2910" s="13"/>
      <c r="E2910" s="2"/>
      <c r="F2910" s="655"/>
      <c r="G2910" s="2"/>
      <c r="H2910" s="2"/>
      <c r="I2910" s="13"/>
      <c r="J2910" s="656"/>
      <c r="K2910" s="13"/>
      <c r="L2910" s="13"/>
      <c r="M2910" s="13"/>
      <c r="N2910" s="2"/>
      <c r="O2910" s="2"/>
      <c r="P2910" s="2"/>
      <c r="Q2910" s="2"/>
      <c r="R2910" s="101"/>
      <c r="U2910" s="101"/>
    </row>
    <row r="2911">
      <c r="A2911" s="49"/>
      <c r="C2911" s="13"/>
      <c r="D2911" s="13"/>
      <c r="E2911" s="2"/>
      <c r="F2911" s="655"/>
      <c r="G2911" s="2"/>
      <c r="H2911" s="2"/>
      <c r="I2911" s="13"/>
      <c r="J2911" s="656"/>
      <c r="K2911" s="13"/>
      <c r="L2911" s="13"/>
      <c r="M2911" s="13"/>
      <c r="N2911" s="2"/>
      <c r="O2911" s="2"/>
      <c r="P2911" s="2"/>
      <c r="Q2911" s="2"/>
      <c r="R2911" s="101"/>
      <c r="U2911" s="101"/>
    </row>
    <row r="2912">
      <c r="A2912" s="49"/>
      <c r="C2912" s="13"/>
      <c r="D2912" s="13"/>
      <c r="E2912" s="2"/>
      <c r="F2912" s="655"/>
      <c r="G2912" s="2"/>
      <c r="H2912" s="2"/>
      <c r="I2912" s="13"/>
      <c r="J2912" s="656"/>
      <c r="K2912" s="13"/>
      <c r="L2912" s="13"/>
      <c r="M2912" s="13"/>
      <c r="N2912" s="2"/>
      <c r="O2912" s="2"/>
      <c r="P2912" s="2"/>
      <c r="Q2912" s="2"/>
      <c r="R2912" s="101"/>
      <c r="U2912" s="101"/>
    </row>
    <row r="2913">
      <c r="A2913" s="49"/>
      <c r="C2913" s="13"/>
      <c r="D2913" s="13"/>
      <c r="E2913" s="2"/>
      <c r="F2913" s="655"/>
      <c r="G2913" s="2"/>
      <c r="H2913" s="2"/>
      <c r="I2913" s="13"/>
      <c r="J2913" s="656"/>
      <c r="K2913" s="13"/>
      <c r="L2913" s="13"/>
      <c r="M2913" s="13"/>
      <c r="N2913" s="2"/>
      <c r="O2913" s="2"/>
      <c r="P2913" s="2"/>
      <c r="Q2913" s="2"/>
      <c r="R2913" s="101"/>
      <c r="U2913" s="101"/>
    </row>
    <row r="2914">
      <c r="A2914" s="49"/>
      <c r="C2914" s="13"/>
      <c r="D2914" s="13"/>
      <c r="E2914" s="2"/>
      <c r="F2914" s="655"/>
      <c r="G2914" s="2"/>
      <c r="H2914" s="2"/>
      <c r="I2914" s="13"/>
      <c r="J2914" s="656"/>
      <c r="K2914" s="13"/>
      <c r="L2914" s="13"/>
      <c r="M2914" s="13"/>
      <c r="N2914" s="2"/>
      <c r="O2914" s="2"/>
      <c r="P2914" s="2"/>
      <c r="Q2914" s="2"/>
      <c r="R2914" s="101"/>
      <c r="U2914" s="101"/>
    </row>
    <row r="2915">
      <c r="A2915" s="49"/>
      <c r="C2915" s="13"/>
      <c r="D2915" s="13"/>
      <c r="E2915" s="2"/>
      <c r="F2915" s="655"/>
      <c r="G2915" s="2"/>
      <c r="H2915" s="2"/>
      <c r="I2915" s="13"/>
      <c r="J2915" s="656"/>
      <c r="K2915" s="13"/>
      <c r="L2915" s="13"/>
      <c r="M2915" s="13"/>
      <c r="N2915" s="2"/>
      <c r="O2915" s="2"/>
      <c r="P2915" s="2"/>
      <c r="Q2915" s="2"/>
      <c r="R2915" s="101"/>
      <c r="U2915" s="101"/>
    </row>
    <row r="2916">
      <c r="A2916" s="49"/>
      <c r="C2916" s="13"/>
      <c r="D2916" s="13"/>
      <c r="E2916" s="2"/>
      <c r="F2916" s="655"/>
      <c r="G2916" s="2"/>
      <c r="H2916" s="2"/>
      <c r="I2916" s="13"/>
      <c r="J2916" s="656"/>
      <c r="K2916" s="13"/>
      <c r="L2916" s="13"/>
      <c r="M2916" s="13"/>
      <c r="N2916" s="2"/>
      <c r="O2916" s="2"/>
      <c r="P2916" s="2"/>
      <c r="Q2916" s="2"/>
      <c r="R2916" s="101"/>
      <c r="U2916" s="101"/>
    </row>
    <row r="2917">
      <c r="A2917" s="49"/>
      <c r="C2917" s="13"/>
      <c r="D2917" s="13"/>
      <c r="E2917" s="2"/>
      <c r="F2917" s="655"/>
      <c r="G2917" s="2"/>
      <c r="H2917" s="2"/>
      <c r="I2917" s="13"/>
      <c r="J2917" s="656"/>
      <c r="K2917" s="13"/>
      <c r="L2917" s="13"/>
      <c r="M2917" s="13"/>
      <c r="N2917" s="2"/>
      <c r="O2917" s="2"/>
      <c r="P2917" s="2"/>
      <c r="Q2917" s="2"/>
      <c r="R2917" s="101"/>
      <c r="U2917" s="101"/>
    </row>
    <row r="2918">
      <c r="A2918" s="49"/>
      <c r="C2918" s="13"/>
      <c r="D2918" s="13"/>
      <c r="E2918" s="2"/>
      <c r="F2918" s="655"/>
      <c r="G2918" s="2"/>
      <c r="H2918" s="2"/>
      <c r="I2918" s="13"/>
      <c r="J2918" s="656"/>
      <c r="K2918" s="13"/>
      <c r="L2918" s="13"/>
      <c r="M2918" s="13"/>
      <c r="N2918" s="2"/>
      <c r="O2918" s="2"/>
      <c r="P2918" s="2"/>
      <c r="Q2918" s="2"/>
      <c r="R2918" s="101"/>
      <c r="U2918" s="101"/>
    </row>
    <row r="2919">
      <c r="A2919" s="49"/>
      <c r="C2919" s="13"/>
      <c r="D2919" s="13"/>
      <c r="E2919" s="2"/>
      <c r="F2919" s="655"/>
      <c r="G2919" s="2"/>
      <c r="H2919" s="2"/>
      <c r="I2919" s="13"/>
      <c r="J2919" s="656"/>
      <c r="K2919" s="13"/>
      <c r="L2919" s="13"/>
      <c r="M2919" s="13"/>
      <c r="N2919" s="2"/>
      <c r="O2919" s="2"/>
      <c r="P2919" s="2"/>
      <c r="Q2919" s="2"/>
      <c r="R2919" s="101"/>
      <c r="U2919" s="101"/>
    </row>
    <row r="2920">
      <c r="A2920" s="49"/>
      <c r="C2920" s="13"/>
      <c r="D2920" s="13"/>
      <c r="E2920" s="2"/>
      <c r="F2920" s="655"/>
      <c r="G2920" s="2"/>
      <c r="H2920" s="2"/>
      <c r="I2920" s="13"/>
      <c r="J2920" s="656"/>
      <c r="K2920" s="13"/>
      <c r="L2920" s="13"/>
      <c r="M2920" s="13"/>
      <c r="N2920" s="2"/>
      <c r="O2920" s="2"/>
      <c r="P2920" s="2"/>
      <c r="Q2920" s="2"/>
      <c r="R2920" s="101"/>
      <c r="U2920" s="101"/>
    </row>
    <row r="2921">
      <c r="A2921" s="49"/>
      <c r="C2921" s="13"/>
      <c r="D2921" s="13"/>
      <c r="E2921" s="2"/>
      <c r="F2921" s="655"/>
      <c r="G2921" s="2"/>
      <c r="H2921" s="2"/>
      <c r="I2921" s="13"/>
      <c r="J2921" s="656"/>
      <c r="K2921" s="13"/>
      <c r="L2921" s="13"/>
      <c r="M2921" s="13"/>
      <c r="N2921" s="2"/>
      <c r="O2921" s="2"/>
      <c r="P2921" s="2"/>
      <c r="Q2921" s="2"/>
      <c r="R2921" s="101"/>
      <c r="U2921" s="101"/>
    </row>
    <row r="2922">
      <c r="A2922" s="49"/>
      <c r="C2922" s="13"/>
      <c r="D2922" s="13"/>
      <c r="E2922" s="2"/>
      <c r="F2922" s="655"/>
      <c r="G2922" s="2"/>
      <c r="H2922" s="2"/>
      <c r="I2922" s="13"/>
      <c r="J2922" s="656"/>
      <c r="K2922" s="13"/>
      <c r="L2922" s="13"/>
      <c r="M2922" s="13"/>
      <c r="N2922" s="2"/>
      <c r="O2922" s="2"/>
      <c r="P2922" s="2"/>
      <c r="Q2922" s="2"/>
      <c r="R2922" s="101"/>
      <c r="U2922" s="101"/>
    </row>
    <row r="2923">
      <c r="A2923" s="49"/>
      <c r="C2923" s="13"/>
      <c r="D2923" s="13"/>
      <c r="E2923" s="2"/>
      <c r="F2923" s="655"/>
      <c r="G2923" s="2"/>
      <c r="H2923" s="2"/>
      <c r="I2923" s="13"/>
      <c r="J2923" s="656"/>
      <c r="K2923" s="13"/>
      <c r="L2923" s="13"/>
      <c r="M2923" s="13"/>
      <c r="N2923" s="2"/>
      <c r="O2923" s="2"/>
      <c r="P2923" s="2"/>
      <c r="Q2923" s="2"/>
      <c r="R2923" s="101"/>
      <c r="U2923" s="101"/>
    </row>
    <row r="2924">
      <c r="A2924" s="49"/>
      <c r="C2924" s="13"/>
      <c r="D2924" s="13"/>
      <c r="E2924" s="2"/>
      <c r="F2924" s="655"/>
      <c r="G2924" s="2"/>
      <c r="H2924" s="2"/>
      <c r="I2924" s="13"/>
      <c r="J2924" s="656"/>
      <c r="K2924" s="13"/>
      <c r="L2924" s="13"/>
      <c r="M2924" s="13"/>
      <c r="N2924" s="2"/>
      <c r="O2924" s="2"/>
      <c r="P2924" s="2"/>
      <c r="Q2924" s="2"/>
      <c r="R2924" s="101"/>
      <c r="U2924" s="101"/>
    </row>
    <row r="2925">
      <c r="A2925" s="49"/>
      <c r="C2925" s="13"/>
      <c r="D2925" s="13"/>
      <c r="E2925" s="2"/>
      <c r="F2925" s="655"/>
      <c r="G2925" s="2"/>
      <c r="H2925" s="2"/>
      <c r="I2925" s="13"/>
      <c r="J2925" s="656"/>
      <c r="K2925" s="13"/>
      <c r="L2925" s="13"/>
      <c r="M2925" s="13"/>
      <c r="N2925" s="2"/>
      <c r="O2925" s="2"/>
      <c r="P2925" s="2"/>
      <c r="Q2925" s="2"/>
      <c r="R2925" s="101"/>
      <c r="U2925" s="101"/>
    </row>
    <row r="2926">
      <c r="A2926" s="49"/>
      <c r="C2926" s="13"/>
      <c r="D2926" s="13"/>
      <c r="E2926" s="2"/>
      <c r="F2926" s="655"/>
      <c r="G2926" s="2"/>
      <c r="H2926" s="2"/>
      <c r="I2926" s="13"/>
      <c r="J2926" s="656"/>
      <c r="K2926" s="13"/>
      <c r="L2926" s="13"/>
      <c r="M2926" s="13"/>
      <c r="N2926" s="2"/>
      <c r="O2926" s="2"/>
      <c r="P2926" s="2"/>
      <c r="Q2926" s="2"/>
      <c r="R2926" s="101"/>
      <c r="U2926" s="101"/>
    </row>
    <row r="2927">
      <c r="A2927" s="49"/>
      <c r="C2927" s="13"/>
      <c r="D2927" s="13"/>
      <c r="E2927" s="2"/>
      <c r="F2927" s="655"/>
      <c r="G2927" s="2"/>
      <c r="H2927" s="2"/>
      <c r="I2927" s="13"/>
      <c r="J2927" s="656"/>
      <c r="K2927" s="13"/>
      <c r="L2927" s="13"/>
      <c r="M2927" s="13"/>
      <c r="N2927" s="2"/>
      <c r="O2927" s="2"/>
      <c r="P2927" s="2"/>
      <c r="Q2927" s="2"/>
      <c r="R2927" s="101"/>
      <c r="U2927" s="101"/>
    </row>
    <row r="2928">
      <c r="A2928" s="49"/>
      <c r="C2928" s="13"/>
      <c r="D2928" s="13"/>
      <c r="E2928" s="2"/>
      <c r="F2928" s="655"/>
      <c r="G2928" s="2"/>
      <c r="H2928" s="2"/>
      <c r="I2928" s="13"/>
      <c r="J2928" s="656"/>
      <c r="K2928" s="13"/>
      <c r="L2928" s="13"/>
      <c r="M2928" s="13"/>
      <c r="N2928" s="2"/>
      <c r="O2928" s="2"/>
      <c r="P2928" s="2"/>
      <c r="Q2928" s="2"/>
      <c r="R2928" s="101"/>
      <c r="U2928" s="101"/>
    </row>
    <row r="2929">
      <c r="A2929" s="49"/>
      <c r="C2929" s="13"/>
      <c r="D2929" s="13"/>
      <c r="E2929" s="2"/>
      <c r="F2929" s="655"/>
      <c r="G2929" s="2"/>
      <c r="H2929" s="2"/>
      <c r="I2929" s="13"/>
      <c r="J2929" s="656"/>
      <c r="K2929" s="13"/>
      <c r="L2929" s="13"/>
      <c r="M2929" s="13"/>
      <c r="N2929" s="2"/>
      <c r="O2929" s="2"/>
      <c r="P2929" s="2"/>
      <c r="Q2929" s="2"/>
      <c r="R2929" s="101"/>
      <c r="U2929" s="101"/>
    </row>
    <row r="2930">
      <c r="A2930" s="49"/>
      <c r="C2930" s="13"/>
      <c r="D2930" s="13"/>
      <c r="E2930" s="2"/>
      <c r="F2930" s="655"/>
      <c r="G2930" s="2"/>
      <c r="H2930" s="2"/>
      <c r="I2930" s="13"/>
      <c r="J2930" s="656"/>
      <c r="K2930" s="13"/>
      <c r="L2930" s="13"/>
      <c r="M2930" s="13"/>
      <c r="N2930" s="2"/>
      <c r="O2930" s="2"/>
      <c r="P2930" s="2"/>
      <c r="Q2930" s="2"/>
      <c r="R2930" s="101"/>
      <c r="U2930" s="101"/>
    </row>
    <row r="2931">
      <c r="A2931" s="49"/>
      <c r="C2931" s="13"/>
      <c r="D2931" s="13"/>
      <c r="E2931" s="2"/>
      <c r="F2931" s="655"/>
      <c r="G2931" s="2"/>
      <c r="H2931" s="2"/>
      <c r="I2931" s="13"/>
      <c r="J2931" s="656"/>
      <c r="K2931" s="13"/>
      <c r="L2931" s="13"/>
      <c r="M2931" s="13"/>
      <c r="N2931" s="2"/>
      <c r="O2931" s="2"/>
      <c r="P2931" s="2"/>
      <c r="Q2931" s="2"/>
      <c r="R2931" s="101"/>
      <c r="U2931" s="101"/>
    </row>
    <row r="2932">
      <c r="A2932" s="49"/>
      <c r="C2932" s="13"/>
      <c r="D2932" s="13"/>
      <c r="E2932" s="2"/>
      <c r="F2932" s="655"/>
      <c r="G2932" s="2"/>
      <c r="H2932" s="2"/>
      <c r="I2932" s="13"/>
      <c r="J2932" s="656"/>
      <c r="K2932" s="13"/>
      <c r="L2932" s="13"/>
      <c r="M2932" s="13"/>
      <c r="N2932" s="2"/>
      <c r="O2932" s="2"/>
      <c r="P2932" s="2"/>
      <c r="Q2932" s="2"/>
      <c r="R2932" s="101"/>
      <c r="U2932" s="101"/>
    </row>
    <row r="2933">
      <c r="A2933" s="49"/>
      <c r="C2933" s="13"/>
      <c r="D2933" s="13"/>
      <c r="E2933" s="2"/>
      <c r="F2933" s="655"/>
      <c r="G2933" s="2"/>
      <c r="H2933" s="2"/>
      <c r="I2933" s="13"/>
      <c r="J2933" s="656"/>
      <c r="K2933" s="13"/>
      <c r="L2933" s="13"/>
      <c r="M2933" s="13"/>
      <c r="N2933" s="2"/>
      <c r="O2933" s="2"/>
      <c r="P2933" s="2"/>
      <c r="Q2933" s="2"/>
      <c r="R2933" s="101"/>
      <c r="U2933" s="101"/>
    </row>
    <row r="2934">
      <c r="A2934" s="49"/>
      <c r="C2934" s="13"/>
      <c r="D2934" s="13"/>
      <c r="E2934" s="2"/>
      <c r="F2934" s="655"/>
      <c r="G2934" s="2"/>
      <c r="H2934" s="2"/>
      <c r="I2934" s="13"/>
      <c r="J2934" s="656"/>
      <c r="K2934" s="13"/>
      <c r="L2934" s="13"/>
      <c r="M2934" s="13"/>
      <c r="N2934" s="2"/>
      <c r="O2934" s="2"/>
      <c r="P2934" s="2"/>
      <c r="Q2934" s="2"/>
      <c r="R2934" s="101"/>
      <c r="U2934" s="101"/>
    </row>
    <row r="2935">
      <c r="A2935" s="49"/>
      <c r="C2935" s="13"/>
      <c r="D2935" s="13"/>
      <c r="E2935" s="2"/>
      <c r="F2935" s="655"/>
      <c r="G2935" s="2"/>
      <c r="H2935" s="2"/>
      <c r="I2935" s="13"/>
      <c r="J2935" s="656"/>
      <c r="K2935" s="13"/>
      <c r="L2935" s="13"/>
      <c r="M2935" s="13"/>
      <c r="N2935" s="2"/>
      <c r="O2935" s="2"/>
      <c r="P2935" s="2"/>
      <c r="Q2935" s="2"/>
      <c r="R2935" s="101"/>
      <c r="U2935" s="101"/>
    </row>
    <row r="2936">
      <c r="A2936" s="49"/>
      <c r="C2936" s="13"/>
      <c r="D2936" s="13"/>
      <c r="E2936" s="2"/>
      <c r="F2936" s="655"/>
      <c r="G2936" s="2"/>
      <c r="H2936" s="2"/>
      <c r="I2936" s="13"/>
      <c r="J2936" s="656"/>
      <c r="K2936" s="13"/>
      <c r="L2936" s="13"/>
      <c r="M2936" s="13"/>
      <c r="N2936" s="2"/>
      <c r="O2936" s="2"/>
      <c r="P2936" s="2"/>
      <c r="Q2936" s="2"/>
      <c r="R2936" s="101"/>
      <c r="U2936" s="101"/>
    </row>
    <row r="2937">
      <c r="A2937" s="49"/>
      <c r="C2937" s="13"/>
      <c r="D2937" s="13"/>
      <c r="E2937" s="2"/>
      <c r="F2937" s="655"/>
      <c r="G2937" s="2"/>
      <c r="H2937" s="2"/>
      <c r="I2937" s="13"/>
      <c r="J2937" s="656"/>
      <c r="K2937" s="13"/>
      <c r="L2937" s="13"/>
      <c r="M2937" s="13"/>
      <c r="N2937" s="2"/>
      <c r="O2937" s="2"/>
      <c r="P2937" s="2"/>
      <c r="Q2937" s="2"/>
      <c r="R2937" s="101"/>
      <c r="U2937" s="101"/>
    </row>
    <row r="2938">
      <c r="A2938" s="49"/>
      <c r="C2938" s="13"/>
      <c r="D2938" s="13"/>
      <c r="E2938" s="2"/>
      <c r="F2938" s="655"/>
      <c r="G2938" s="2"/>
      <c r="H2938" s="2"/>
      <c r="I2938" s="13"/>
      <c r="J2938" s="656"/>
      <c r="K2938" s="13"/>
      <c r="L2938" s="13"/>
      <c r="M2938" s="13"/>
      <c r="N2938" s="2"/>
      <c r="O2938" s="2"/>
      <c r="P2938" s="2"/>
      <c r="Q2938" s="2"/>
      <c r="R2938" s="101"/>
      <c r="U2938" s="101"/>
    </row>
    <row r="2939">
      <c r="A2939" s="49"/>
      <c r="C2939" s="13"/>
      <c r="D2939" s="13"/>
      <c r="E2939" s="2"/>
      <c r="F2939" s="655"/>
      <c r="G2939" s="2"/>
      <c r="H2939" s="2"/>
      <c r="I2939" s="13"/>
      <c r="J2939" s="656"/>
      <c r="K2939" s="13"/>
      <c r="L2939" s="13"/>
      <c r="M2939" s="13"/>
      <c r="N2939" s="2"/>
      <c r="O2939" s="2"/>
      <c r="P2939" s="2"/>
      <c r="Q2939" s="2"/>
      <c r="R2939" s="101"/>
      <c r="U2939" s="101"/>
    </row>
    <row r="2940">
      <c r="A2940" s="49"/>
      <c r="C2940" s="13"/>
      <c r="D2940" s="13"/>
      <c r="E2940" s="2"/>
      <c r="F2940" s="655"/>
      <c r="G2940" s="2"/>
      <c r="H2940" s="2"/>
      <c r="I2940" s="13"/>
      <c r="J2940" s="656"/>
      <c r="K2940" s="13"/>
      <c r="L2940" s="13"/>
      <c r="M2940" s="13"/>
      <c r="N2940" s="2"/>
      <c r="O2940" s="2"/>
      <c r="P2940" s="2"/>
      <c r="Q2940" s="2"/>
      <c r="R2940" s="101"/>
      <c r="U2940" s="101"/>
    </row>
    <row r="2941">
      <c r="A2941" s="49"/>
      <c r="C2941" s="13"/>
      <c r="D2941" s="13"/>
      <c r="E2941" s="2"/>
      <c r="F2941" s="655"/>
      <c r="G2941" s="2"/>
      <c r="H2941" s="2"/>
      <c r="I2941" s="13"/>
      <c r="J2941" s="656"/>
      <c r="K2941" s="13"/>
      <c r="L2941" s="13"/>
      <c r="M2941" s="13"/>
      <c r="N2941" s="2"/>
      <c r="O2941" s="2"/>
      <c r="P2941" s="2"/>
      <c r="Q2941" s="2"/>
      <c r="R2941" s="101"/>
      <c r="U2941" s="101"/>
    </row>
    <row r="2942">
      <c r="A2942" s="49"/>
      <c r="C2942" s="13"/>
      <c r="D2942" s="13"/>
      <c r="E2942" s="2"/>
      <c r="F2942" s="655"/>
      <c r="G2942" s="2"/>
      <c r="H2942" s="2"/>
      <c r="I2942" s="13"/>
      <c r="J2942" s="656"/>
      <c r="K2942" s="13"/>
      <c r="L2942" s="13"/>
      <c r="M2942" s="13"/>
      <c r="N2942" s="2"/>
      <c r="O2942" s="2"/>
      <c r="P2942" s="2"/>
      <c r="Q2942" s="2"/>
      <c r="R2942" s="101"/>
      <c r="U2942" s="101"/>
    </row>
    <row r="2943">
      <c r="A2943" s="49"/>
      <c r="C2943" s="13"/>
      <c r="D2943" s="13"/>
      <c r="E2943" s="2"/>
      <c r="F2943" s="655"/>
      <c r="G2943" s="2"/>
      <c r="H2943" s="2"/>
      <c r="I2943" s="13"/>
      <c r="J2943" s="656"/>
      <c r="K2943" s="13"/>
      <c r="L2943" s="13"/>
      <c r="M2943" s="13"/>
      <c r="N2943" s="2"/>
      <c r="O2943" s="2"/>
      <c r="P2943" s="2"/>
      <c r="Q2943" s="2"/>
      <c r="R2943" s="101"/>
      <c r="U2943" s="101"/>
    </row>
    <row r="2944">
      <c r="A2944" s="49"/>
      <c r="C2944" s="13"/>
      <c r="D2944" s="13"/>
      <c r="E2944" s="2"/>
      <c r="F2944" s="655"/>
      <c r="G2944" s="2"/>
      <c r="H2944" s="2"/>
      <c r="I2944" s="13"/>
      <c r="J2944" s="656"/>
      <c r="K2944" s="13"/>
      <c r="L2944" s="13"/>
      <c r="M2944" s="13"/>
      <c r="N2944" s="2"/>
      <c r="O2944" s="2"/>
      <c r="P2944" s="2"/>
      <c r="Q2944" s="2"/>
      <c r="R2944" s="101"/>
      <c r="U2944" s="101"/>
    </row>
    <row r="2945">
      <c r="A2945" s="49"/>
      <c r="C2945" s="13"/>
      <c r="D2945" s="13"/>
      <c r="E2945" s="2"/>
      <c r="F2945" s="655"/>
      <c r="G2945" s="2"/>
      <c r="H2945" s="2"/>
      <c r="I2945" s="13"/>
      <c r="J2945" s="656"/>
      <c r="K2945" s="13"/>
      <c r="L2945" s="13"/>
      <c r="M2945" s="13"/>
      <c r="N2945" s="2"/>
      <c r="O2945" s="2"/>
      <c r="P2945" s="2"/>
      <c r="Q2945" s="2"/>
      <c r="R2945" s="101"/>
      <c r="U2945" s="101"/>
    </row>
    <row r="2946">
      <c r="A2946" s="49"/>
      <c r="C2946" s="13"/>
      <c r="D2946" s="13"/>
      <c r="E2946" s="2"/>
      <c r="F2946" s="655"/>
      <c r="G2946" s="2"/>
      <c r="H2946" s="2"/>
      <c r="I2946" s="13"/>
      <c r="J2946" s="656"/>
      <c r="K2946" s="13"/>
      <c r="L2946" s="13"/>
      <c r="M2946" s="13"/>
      <c r="N2946" s="2"/>
      <c r="O2946" s="2"/>
      <c r="P2946" s="2"/>
      <c r="Q2946" s="2"/>
      <c r="R2946" s="101"/>
      <c r="U2946" s="101"/>
    </row>
    <row r="2947">
      <c r="A2947" s="49"/>
      <c r="C2947" s="13"/>
      <c r="D2947" s="13"/>
      <c r="E2947" s="2"/>
      <c r="F2947" s="655"/>
      <c r="G2947" s="2"/>
      <c r="H2947" s="2"/>
      <c r="I2947" s="13"/>
      <c r="J2947" s="656"/>
      <c r="K2947" s="13"/>
      <c r="L2947" s="13"/>
      <c r="M2947" s="13"/>
      <c r="N2947" s="2"/>
      <c r="O2947" s="2"/>
      <c r="P2947" s="2"/>
      <c r="Q2947" s="2"/>
      <c r="R2947" s="101"/>
      <c r="U2947" s="101"/>
    </row>
    <row r="2948">
      <c r="A2948" s="49"/>
      <c r="C2948" s="13"/>
      <c r="D2948" s="13"/>
      <c r="E2948" s="2"/>
      <c r="F2948" s="655"/>
      <c r="G2948" s="2"/>
      <c r="H2948" s="2"/>
      <c r="I2948" s="13"/>
      <c r="J2948" s="656"/>
      <c r="K2948" s="13"/>
      <c r="L2948" s="13"/>
      <c r="M2948" s="13"/>
      <c r="N2948" s="2"/>
      <c r="O2948" s="2"/>
      <c r="P2948" s="2"/>
      <c r="Q2948" s="2"/>
      <c r="R2948" s="101"/>
      <c r="U2948" s="101"/>
    </row>
    <row r="2949">
      <c r="A2949" s="49"/>
      <c r="C2949" s="13"/>
      <c r="D2949" s="13"/>
      <c r="E2949" s="2"/>
      <c r="F2949" s="655"/>
      <c r="G2949" s="2"/>
      <c r="H2949" s="2"/>
      <c r="I2949" s="13"/>
      <c r="J2949" s="656"/>
      <c r="K2949" s="13"/>
      <c r="L2949" s="13"/>
      <c r="M2949" s="13"/>
      <c r="N2949" s="2"/>
      <c r="O2949" s="2"/>
      <c r="P2949" s="2"/>
      <c r="Q2949" s="2"/>
      <c r="R2949" s="101"/>
      <c r="U2949" s="101"/>
    </row>
    <row r="2950">
      <c r="A2950" s="49"/>
      <c r="C2950" s="13"/>
      <c r="D2950" s="13"/>
      <c r="E2950" s="2"/>
      <c r="F2950" s="655"/>
      <c r="G2950" s="2"/>
      <c r="H2950" s="2"/>
      <c r="I2950" s="13"/>
      <c r="J2950" s="656"/>
      <c r="K2950" s="13"/>
      <c r="L2950" s="13"/>
      <c r="M2950" s="13"/>
      <c r="N2950" s="2"/>
      <c r="O2950" s="2"/>
      <c r="P2950" s="2"/>
      <c r="Q2950" s="2"/>
      <c r="R2950" s="101"/>
      <c r="U2950" s="101"/>
    </row>
    <row r="2951">
      <c r="A2951" s="49"/>
      <c r="C2951" s="13"/>
      <c r="D2951" s="13"/>
      <c r="E2951" s="2"/>
      <c r="F2951" s="655"/>
      <c r="G2951" s="2"/>
      <c r="H2951" s="2"/>
      <c r="I2951" s="13"/>
      <c r="J2951" s="656"/>
      <c r="K2951" s="13"/>
      <c r="L2951" s="13"/>
      <c r="M2951" s="13"/>
      <c r="N2951" s="2"/>
      <c r="O2951" s="2"/>
      <c r="P2951" s="2"/>
      <c r="Q2951" s="2"/>
      <c r="R2951" s="101"/>
      <c r="U2951" s="101"/>
    </row>
    <row r="2952">
      <c r="A2952" s="49"/>
      <c r="C2952" s="13"/>
      <c r="D2952" s="13"/>
      <c r="E2952" s="2"/>
      <c r="F2952" s="655"/>
      <c r="G2952" s="2"/>
      <c r="H2952" s="2"/>
      <c r="I2952" s="13"/>
      <c r="J2952" s="656"/>
      <c r="K2952" s="13"/>
      <c r="L2952" s="13"/>
      <c r="M2952" s="13"/>
      <c r="N2952" s="2"/>
      <c r="O2952" s="2"/>
      <c r="P2952" s="2"/>
      <c r="Q2952" s="2"/>
      <c r="R2952" s="101"/>
      <c r="U2952" s="101"/>
    </row>
    <row r="2953">
      <c r="A2953" s="49"/>
      <c r="C2953" s="13"/>
      <c r="D2953" s="13"/>
      <c r="E2953" s="2"/>
      <c r="F2953" s="655"/>
      <c r="G2953" s="2"/>
      <c r="H2953" s="2"/>
      <c r="I2953" s="13"/>
      <c r="J2953" s="656"/>
      <c r="K2953" s="13"/>
      <c r="L2953" s="13"/>
      <c r="M2953" s="13"/>
      <c r="N2953" s="2"/>
      <c r="O2953" s="2"/>
      <c r="P2953" s="2"/>
      <c r="Q2953" s="2"/>
      <c r="R2953" s="101"/>
      <c r="U2953" s="101"/>
    </row>
    <row r="2954">
      <c r="A2954" s="49"/>
      <c r="C2954" s="13"/>
      <c r="D2954" s="13"/>
      <c r="E2954" s="2"/>
      <c r="F2954" s="655"/>
      <c r="G2954" s="2"/>
      <c r="H2954" s="2"/>
      <c r="I2954" s="13"/>
      <c r="J2954" s="656"/>
      <c r="K2954" s="13"/>
      <c r="L2954" s="13"/>
      <c r="M2954" s="13"/>
      <c r="N2954" s="2"/>
      <c r="O2954" s="2"/>
      <c r="P2954" s="2"/>
      <c r="Q2954" s="2"/>
      <c r="R2954" s="101"/>
      <c r="U2954" s="101"/>
    </row>
    <row r="2955">
      <c r="A2955" s="49"/>
      <c r="C2955" s="13"/>
      <c r="D2955" s="13"/>
      <c r="E2955" s="2"/>
      <c r="F2955" s="655"/>
      <c r="G2955" s="2"/>
      <c r="H2955" s="2"/>
      <c r="I2955" s="13"/>
      <c r="J2955" s="656"/>
      <c r="K2955" s="13"/>
      <c r="L2955" s="13"/>
      <c r="M2955" s="13"/>
      <c r="N2955" s="2"/>
      <c r="O2955" s="2"/>
      <c r="P2955" s="2"/>
      <c r="Q2955" s="2"/>
      <c r="R2955" s="101"/>
      <c r="U2955" s="101"/>
    </row>
    <row r="2956">
      <c r="A2956" s="49"/>
      <c r="C2956" s="13"/>
      <c r="D2956" s="13"/>
      <c r="E2956" s="2"/>
      <c r="F2956" s="655"/>
      <c r="G2956" s="2"/>
      <c r="H2956" s="2"/>
      <c r="I2956" s="13"/>
      <c r="J2956" s="656"/>
      <c r="K2956" s="13"/>
      <c r="L2956" s="13"/>
      <c r="M2956" s="13"/>
      <c r="N2956" s="2"/>
      <c r="O2956" s="2"/>
      <c r="P2956" s="2"/>
      <c r="Q2956" s="2"/>
      <c r="R2956" s="101"/>
      <c r="U2956" s="101"/>
    </row>
    <row r="2957">
      <c r="A2957" s="49"/>
      <c r="C2957" s="13"/>
      <c r="D2957" s="13"/>
      <c r="E2957" s="2"/>
      <c r="F2957" s="655"/>
      <c r="G2957" s="2"/>
      <c r="H2957" s="2"/>
      <c r="I2957" s="13"/>
      <c r="J2957" s="656"/>
      <c r="K2957" s="13"/>
      <c r="L2957" s="13"/>
      <c r="M2957" s="13"/>
      <c r="N2957" s="2"/>
      <c r="O2957" s="2"/>
      <c r="P2957" s="2"/>
      <c r="Q2957" s="2"/>
      <c r="R2957" s="101"/>
      <c r="U2957" s="101"/>
    </row>
    <row r="2958">
      <c r="A2958" s="49"/>
      <c r="C2958" s="13"/>
      <c r="D2958" s="13"/>
      <c r="E2958" s="2"/>
      <c r="F2958" s="655"/>
      <c r="G2958" s="2"/>
      <c r="H2958" s="2"/>
      <c r="I2958" s="13"/>
      <c r="J2958" s="656"/>
      <c r="K2958" s="13"/>
      <c r="L2958" s="13"/>
      <c r="M2958" s="13"/>
      <c r="N2958" s="2"/>
      <c r="O2958" s="2"/>
      <c r="P2958" s="2"/>
      <c r="Q2958" s="2"/>
      <c r="R2958" s="101"/>
      <c r="U2958" s="101"/>
    </row>
    <row r="2959">
      <c r="A2959" s="49"/>
      <c r="C2959" s="13"/>
      <c r="D2959" s="13"/>
      <c r="E2959" s="2"/>
      <c r="F2959" s="655"/>
      <c r="G2959" s="2"/>
      <c r="H2959" s="2"/>
      <c r="I2959" s="13"/>
      <c r="J2959" s="656"/>
      <c r="K2959" s="13"/>
      <c r="L2959" s="13"/>
      <c r="M2959" s="13"/>
      <c r="N2959" s="2"/>
      <c r="O2959" s="2"/>
      <c r="P2959" s="2"/>
      <c r="Q2959" s="2"/>
      <c r="R2959" s="101"/>
      <c r="U2959" s="101"/>
    </row>
    <row r="2960">
      <c r="A2960" s="49"/>
      <c r="C2960" s="13"/>
      <c r="D2960" s="13"/>
      <c r="E2960" s="2"/>
      <c r="F2960" s="655"/>
      <c r="G2960" s="2"/>
      <c r="H2960" s="2"/>
      <c r="I2960" s="13"/>
      <c r="J2960" s="656"/>
      <c r="K2960" s="13"/>
      <c r="L2960" s="13"/>
      <c r="M2960" s="13"/>
      <c r="N2960" s="2"/>
      <c r="O2960" s="2"/>
      <c r="P2960" s="2"/>
      <c r="Q2960" s="2"/>
      <c r="R2960" s="101"/>
      <c r="U2960" s="101"/>
    </row>
    <row r="2961">
      <c r="A2961" s="49"/>
      <c r="C2961" s="13"/>
      <c r="D2961" s="13"/>
      <c r="E2961" s="2"/>
      <c r="F2961" s="655"/>
      <c r="G2961" s="2"/>
      <c r="H2961" s="2"/>
      <c r="I2961" s="13"/>
      <c r="J2961" s="656"/>
      <c r="K2961" s="13"/>
      <c r="L2961" s="13"/>
      <c r="M2961" s="13"/>
      <c r="N2961" s="2"/>
      <c r="O2961" s="2"/>
      <c r="P2961" s="2"/>
      <c r="Q2961" s="2"/>
      <c r="R2961" s="101"/>
      <c r="U2961" s="101"/>
    </row>
    <row r="2962">
      <c r="A2962" s="49"/>
      <c r="C2962" s="13"/>
      <c r="D2962" s="13"/>
      <c r="E2962" s="2"/>
      <c r="F2962" s="655"/>
      <c r="G2962" s="2"/>
      <c r="H2962" s="2"/>
      <c r="I2962" s="13"/>
      <c r="J2962" s="656"/>
      <c r="K2962" s="13"/>
      <c r="L2962" s="13"/>
      <c r="M2962" s="13"/>
      <c r="N2962" s="2"/>
      <c r="O2962" s="2"/>
      <c r="P2962" s="2"/>
      <c r="Q2962" s="2"/>
      <c r="R2962" s="101"/>
      <c r="U2962" s="101"/>
    </row>
    <row r="2963">
      <c r="A2963" s="49"/>
      <c r="C2963" s="13"/>
      <c r="D2963" s="13"/>
      <c r="E2963" s="2"/>
      <c r="F2963" s="655"/>
      <c r="G2963" s="2"/>
      <c r="H2963" s="2"/>
      <c r="I2963" s="13"/>
      <c r="J2963" s="656"/>
      <c r="K2963" s="13"/>
      <c r="L2963" s="13"/>
      <c r="M2963" s="13"/>
      <c r="N2963" s="2"/>
      <c r="O2963" s="2"/>
      <c r="P2963" s="2"/>
      <c r="Q2963" s="2"/>
      <c r="R2963" s="101"/>
      <c r="U2963" s="101"/>
    </row>
    <row r="2964">
      <c r="A2964" s="49"/>
      <c r="C2964" s="13"/>
      <c r="D2964" s="13"/>
      <c r="E2964" s="2"/>
      <c r="F2964" s="655"/>
      <c r="G2964" s="2"/>
      <c r="H2964" s="2"/>
      <c r="I2964" s="13"/>
      <c r="J2964" s="656"/>
      <c r="K2964" s="13"/>
      <c r="L2964" s="13"/>
      <c r="M2964" s="13"/>
      <c r="N2964" s="2"/>
      <c r="O2964" s="2"/>
      <c r="P2964" s="2"/>
      <c r="Q2964" s="2"/>
      <c r="R2964" s="101"/>
      <c r="U2964" s="101"/>
    </row>
    <row r="2965">
      <c r="A2965" s="49"/>
      <c r="C2965" s="13"/>
      <c r="D2965" s="13"/>
      <c r="E2965" s="2"/>
      <c r="F2965" s="655"/>
      <c r="G2965" s="2"/>
      <c r="H2965" s="2"/>
      <c r="I2965" s="13"/>
      <c r="J2965" s="656"/>
      <c r="K2965" s="13"/>
      <c r="L2965" s="13"/>
      <c r="M2965" s="13"/>
      <c r="N2965" s="2"/>
      <c r="O2965" s="2"/>
      <c r="P2965" s="2"/>
      <c r="Q2965" s="2"/>
      <c r="R2965" s="101"/>
      <c r="U2965" s="101"/>
    </row>
    <row r="2966">
      <c r="A2966" s="49"/>
      <c r="C2966" s="13"/>
      <c r="D2966" s="13"/>
      <c r="E2966" s="2"/>
      <c r="F2966" s="655"/>
      <c r="G2966" s="2"/>
      <c r="H2966" s="2"/>
      <c r="I2966" s="13"/>
      <c r="J2966" s="656"/>
      <c r="K2966" s="13"/>
      <c r="L2966" s="13"/>
      <c r="M2966" s="13"/>
      <c r="N2966" s="2"/>
      <c r="O2966" s="2"/>
      <c r="P2966" s="2"/>
      <c r="Q2966" s="2"/>
      <c r="R2966" s="101"/>
      <c r="U2966" s="101"/>
    </row>
    <row r="2967">
      <c r="A2967" s="49"/>
      <c r="C2967" s="13"/>
      <c r="D2967" s="13"/>
      <c r="E2967" s="2"/>
      <c r="F2967" s="655"/>
      <c r="G2967" s="2"/>
      <c r="H2967" s="2"/>
      <c r="I2967" s="13"/>
      <c r="J2967" s="656"/>
      <c r="K2967" s="13"/>
      <c r="L2967" s="13"/>
      <c r="M2967" s="13"/>
      <c r="N2967" s="2"/>
      <c r="O2967" s="2"/>
      <c r="P2967" s="2"/>
      <c r="Q2967" s="2"/>
      <c r="R2967" s="101"/>
      <c r="U2967" s="101"/>
    </row>
    <row r="2968">
      <c r="A2968" s="49"/>
      <c r="C2968" s="13"/>
      <c r="D2968" s="13"/>
      <c r="E2968" s="2"/>
      <c r="F2968" s="655"/>
      <c r="G2968" s="2"/>
      <c r="H2968" s="2"/>
      <c r="I2968" s="13"/>
      <c r="J2968" s="656"/>
      <c r="K2968" s="13"/>
      <c r="L2968" s="13"/>
      <c r="M2968" s="13"/>
      <c r="N2968" s="2"/>
      <c r="O2968" s="2"/>
      <c r="P2968" s="2"/>
      <c r="Q2968" s="2"/>
      <c r="R2968" s="101"/>
      <c r="U2968" s="101"/>
    </row>
    <row r="2969">
      <c r="A2969" s="49"/>
      <c r="C2969" s="13"/>
      <c r="D2969" s="13"/>
      <c r="E2969" s="2"/>
      <c r="F2969" s="655"/>
      <c r="G2969" s="2"/>
      <c r="H2969" s="2"/>
      <c r="I2969" s="13"/>
      <c r="J2969" s="656"/>
      <c r="K2969" s="13"/>
      <c r="L2969" s="13"/>
      <c r="M2969" s="13"/>
      <c r="N2969" s="2"/>
      <c r="O2969" s="2"/>
      <c r="P2969" s="2"/>
      <c r="Q2969" s="2"/>
      <c r="R2969" s="101"/>
      <c r="U2969" s="101"/>
    </row>
    <row r="2970">
      <c r="A2970" s="49"/>
      <c r="C2970" s="13"/>
      <c r="D2970" s="13"/>
      <c r="E2970" s="2"/>
      <c r="F2970" s="655"/>
      <c r="G2970" s="2"/>
      <c r="H2970" s="2"/>
      <c r="I2970" s="13"/>
      <c r="J2970" s="656"/>
      <c r="K2970" s="13"/>
      <c r="L2970" s="13"/>
      <c r="M2970" s="13"/>
      <c r="N2970" s="2"/>
      <c r="O2970" s="2"/>
      <c r="P2970" s="2"/>
      <c r="Q2970" s="2"/>
      <c r="R2970" s="101"/>
      <c r="U2970" s="101"/>
    </row>
    <row r="2971">
      <c r="A2971" s="49"/>
      <c r="C2971" s="13"/>
      <c r="D2971" s="13"/>
      <c r="E2971" s="2"/>
      <c r="F2971" s="655"/>
      <c r="G2971" s="2"/>
      <c r="H2971" s="2"/>
      <c r="I2971" s="13"/>
      <c r="J2971" s="656"/>
      <c r="K2971" s="13"/>
      <c r="L2971" s="13"/>
      <c r="M2971" s="13"/>
      <c r="N2971" s="2"/>
      <c r="O2971" s="2"/>
      <c r="P2971" s="2"/>
      <c r="Q2971" s="2"/>
      <c r="R2971" s="101"/>
      <c r="U2971" s="101"/>
    </row>
    <row r="2972">
      <c r="A2972" s="49"/>
      <c r="C2972" s="13"/>
      <c r="D2972" s="13"/>
      <c r="E2972" s="2"/>
      <c r="F2972" s="655"/>
      <c r="G2972" s="2"/>
      <c r="H2972" s="2"/>
      <c r="I2972" s="13"/>
      <c r="J2972" s="656"/>
      <c r="K2972" s="13"/>
      <c r="L2972" s="13"/>
      <c r="M2972" s="13"/>
      <c r="N2972" s="2"/>
      <c r="O2972" s="2"/>
      <c r="P2972" s="2"/>
      <c r="Q2972" s="2"/>
      <c r="R2972" s="101"/>
      <c r="U2972" s="101"/>
    </row>
    <row r="2973">
      <c r="A2973" s="49"/>
      <c r="C2973" s="13"/>
      <c r="D2973" s="13"/>
      <c r="E2973" s="2"/>
      <c r="F2973" s="655"/>
      <c r="G2973" s="2"/>
      <c r="H2973" s="2"/>
      <c r="I2973" s="13"/>
      <c r="J2973" s="656"/>
      <c r="K2973" s="13"/>
      <c r="L2973" s="13"/>
      <c r="M2973" s="13"/>
      <c r="N2973" s="2"/>
      <c r="O2973" s="2"/>
      <c r="P2973" s="2"/>
      <c r="Q2973" s="2"/>
      <c r="R2973" s="101"/>
      <c r="U2973" s="101"/>
    </row>
    <row r="2974">
      <c r="A2974" s="49"/>
      <c r="C2974" s="13"/>
      <c r="D2974" s="13"/>
      <c r="E2974" s="2"/>
      <c r="F2974" s="655"/>
      <c r="G2974" s="2"/>
      <c r="H2974" s="2"/>
      <c r="I2974" s="13"/>
      <c r="J2974" s="656"/>
      <c r="K2974" s="13"/>
      <c r="L2974" s="13"/>
      <c r="M2974" s="13"/>
      <c r="N2974" s="2"/>
      <c r="O2974" s="2"/>
      <c r="P2974" s="2"/>
      <c r="Q2974" s="2"/>
      <c r="R2974" s="101"/>
      <c r="U2974" s="101"/>
    </row>
    <row r="2975">
      <c r="A2975" s="49"/>
      <c r="C2975" s="13"/>
      <c r="D2975" s="13"/>
      <c r="E2975" s="2"/>
      <c r="F2975" s="655"/>
      <c r="G2975" s="2"/>
      <c r="H2975" s="2"/>
      <c r="I2975" s="13"/>
      <c r="J2975" s="656"/>
      <c r="K2975" s="13"/>
      <c r="L2975" s="13"/>
      <c r="M2975" s="13"/>
      <c r="N2975" s="2"/>
      <c r="O2975" s="2"/>
      <c r="P2975" s="2"/>
      <c r="Q2975" s="2"/>
      <c r="R2975" s="101"/>
      <c r="U2975" s="101"/>
    </row>
    <row r="2976">
      <c r="A2976" s="49"/>
      <c r="C2976" s="13"/>
      <c r="D2976" s="13"/>
      <c r="E2976" s="2"/>
      <c r="F2976" s="655"/>
      <c r="G2976" s="2"/>
      <c r="H2976" s="2"/>
      <c r="I2976" s="13"/>
      <c r="J2976" s="656"/>
      <c r="K2976" s="13"/>
      <c r="L2976" s="13"/>
      <c r="M2976" s="13"/>
      <c r="N2976" s="2"/>
      <c r="O2976" s="2"/>
      <c r="P2976" s="2"/>
      <c r="Q2976" s="2"/>
      <c r="R2976" s="101"/>
      <c r="U2976" s="101"/>
    </row>
    <row r="2977">
      <c r="A2977" s="49"/>
      <c r="C2977" s="13"/>
      <c r="D2977" s="13"/>
      <c r="E2977" s="2"/>
      <c r="F2977" s="655"/>
      <c r="G2977" s="2"/>
      <c r="H2977" s="2"/>
      <c r="I2977" s="13"/>
      <c r="J2977" s="656"/>
      <c r="K2977" s="13"/>
      <c r="L2977" s="13"/>
      <c r="M2977" s="13"/>
      <c r="N2977" s="2"/>
      <c r="O2977" s="2"/>
      <c r="P2977" s="2"/>
      <c r="Q2977" s="2"/>
      <c r="R2977" s="101"/>
      <c r="U2977" s="101"/>
    </row>
    <row r="2978">
      <c r="A2978" s="49"/>
      <c r="C2978" s="13"/>
      <c r="D2978" s="13"/>
      <c r="E2978" s="2"/>
      <c r="F2978" s="655"/>
      <c r="G2978" s="2"/>
      <c r="H2978" s="2"/>
      <c r="I2978" s="13"/>
      <c r="J2978" s="656"/>
      <c r="K2978" s="13"/>
      <c r="L2978" s="13"/>
      <c r="M2978" s="13"/>
      <c r="N2978" s="2"/>
      <c r="O2978" s="2"/>
      <c r="P2978" s="2"/>
      <c r="Q2978" s="2"/>
      <c r="R2978" s="101"/>
      <c r="U2978" s="101"/>
    </row>
    <row r="2979">
      <c r="A2979" s="49"/>
      <c r="C2979" s="13"/>
      <c r="D2979" s="13"/>
      <c r="E2979" s="2"/>
      <c r="F2979" s="655"/>
      <c r="G2979" s="2"/>
      <c r="H2979" s="2"/>
      <c r="I2979" s="13"/>
      <c r="J2979" s="656"/>
      <c r="K2979" s="13"/>
      <c r="L2979" s="13"/>
      <c r="M2979" s="13"/>
      <c r="N2979" s="2"/>
      <c r="O2979" s="2"/>
      <c r="P2979" s="2"/>
      <c r="Q2979" s="2"/>
      <c r="R2979" s="101"/>
      <c r="U2979" s="101"/>
    </row>
    <row r="2980">
      <c r="A2980" s="49"/>
      <c r="C2980" s="13"/>
      <c r="D2980" s="13"/>
      <c r="E2980" s="2"/>
      <c r="F2980" s="655"/>
      <c r="G2980" s="2"/>
      <c r="H2980" s="2"/>
      <c r="I2980" s="13"/>
      <c r="J2980" s="656"/>
      <c r="K2980" s="13"/>
      <c r="L2980" s="13"/>
      <c r="M2980" s="13"/>
      <c r="N2980" s="2"/>
      <c r="O2980" s="2"/>
      <c r="P2980" s="2"/>
      <c r="Q2980" s="2"/>
      <c r="R2980" s="101"/>
      <c r="U2980" s="101"/>
    </row>
    <row r="2981">
      <c r="A2981" s="49"/>
      <c r="C2981" s="13"/>
      <c r="D2981" s="13"/>
      <c r="E2981" s="2"/>
      <c r="F2981" s="655"/>
      <c r="G2981" s="2"/>
      <c r="H2981" s="2"/>
      <c r="I2981" s="13"/>
      <c r="J2981" s="656"/>
      <c r="K2981" s="13"/>
      <c r="L2981" s="13"/>
      <c r="M2981" s="13"/>
      <c r="N2981" s="2"/>
      <c r="O2981" s="2"/>
      <c r="P2981" s="2"/>
      <c r="Q2981" s="2"/>
      <c r="R2981" s="101"/>
      <c r="U2981" s="101"/>
    </row>
    <row r="2982">
      <c r="A2982" s="49"/>
      <c r="C2982" s="13"/>
      <c r="D2982" s="13"/>
      <c r="E2982" s="2"/>
      <c r="F2982" s="655"/>
      <c r="G2982" s="2"/>
      <c r="H2982" s="2"/>
      <c r="I2982" s="13"/>
      <c r="J2982" s="656"/>
      <c r="K2982" s="13"/>
      <c r="L2982" s="13"/>
      <c r="M2982" s="13"/>
      <c r="N2982" s="2"/>
      <c r="O2982" s="2"/>
      <c r="P2982" s="2"/>
      <c r="Q2982" s="2"/>
      <c r="R2982" s="101"/>
      <c r="U2982" s="101"/>
    </row>
    <row r="2983">
      <c r="A2983" s="49"/>
      <c r="C2983" s="13"/>
      <c r="D2983" s="13"/>
      <c r="E2983" s="2"/>
      <c r="F2983" s="655"/>
      <c r="G2983" s="2"/>
      <c r="H2983" s="2"/>
      <c r="I2983" s="13"/>
      <c r="J2983" s="656"/>
      <c r="K2983" s="13"/>
      <c r="L2983" s="13"/>
      <c r="M2983" s="13"/>
      <c r="N2983" s="2"/>
      <c r="O2983" s="2"/>
      <c r="P2983" s="2"/>
      <c r="Q2983" s="2"/>
      <c r="R2983" s="101"/>
      <c r="U2983" s="101"/>
    </row>
    <row r="2984">
      <c r="A2984" s="49"/>
      <c r="C2984" s="13"/>
      <c r="D2984" s="13"/>
      <c r="E2984" s="2"/>
      <c r="F2984" s="655"/>
      <c r="G2984" s="2"/>
      <c r="H2984" s="2"/>
      <c r="I2984" s="13"/>
      <c r="J2984" s="656"/>
      <c r="K2984" s="13"/>
      <c r="L2984" s="13"/>
      <c r="M2984" s="13"/>
      <c r="N2984" s="2"/>
      <c r="O2984" s="2"/>
      <c r="P2984" s="2"/>
      <c r="Q2984" s="2"/>
      <c r="R2984" s="101"/>
      <c r="U2984" s="101"/>
    </row>
    <row r="2985">
      <c r="A2985" s="49"/>
      <c r="C2985" s="13"/>
      <c r="D2985" s="13"/>
      <c r="E2985" s="2"/>
      <c r="F2985" s="655"/>
      <c r="G2985" s="2"/>
      <c r="H2985" s="2"/>
      <c r="I2985" s="13"/>
      <c r="J2985" s="656"/>
      <c r="K2985" s="13"/>
      <c r="L2985" s="13"/>
      <c r="M2985" s="13"/>
      <c r="N2985" s="2"/>
      <c r="O2985" s="2"/>
      <c r="P2985" s="2"/>
      <c r="Q2985" s="2"/>
      <c r="R2985" s="101"/>
      <c r="U2985" s="101"/>
    </row>
    <row r="2986">
      <c r="A2986" s="49"/>
      <c r="C2986" s="13"/>
      <c r="D2986" s="13"/>
      <c r="E2986" s="2"/>
      <c r="F2986" s="655"/>
      <c r="G2986" s="2"/>
      <c r="H2986" s="2"/>
      <c r="I2986" s="13"/>
      <c r="J2986" s="656"/>
      <c r="K2986" s="13"/>
      <c r="L2986" s="13"/>
      <c r="M2986" s="13"/>
      <c r="N2986" s="2"/>
      <c r="O2986" s="2"/>
      <c r="P2986" s="2"/>
      <c r="Q2986" s="2"/>
      <c r="R2986" s="101"/>
      <c r="U2986" s="101"/>
    </row>
    <row r="2987">
      <c r="A2987" s="49"/>
      <c r="C2987" s="13"/>
      <c r="D2987" s="13"/>
      <c r="E2987" s="2"/>
      <c r="F2987" s="655"/>
      <c r="G2987" s="2"/>
      <c r="H2987" s="2"/>
      <c r="I2987" s="13"/>
      <c r="J2987" s="656"/>
      <c r="K2987" s="13"/>
      <c r="L2987" s="13"/>
      <c r="M2987" s="13"/>
      <c r="N2987" s="2"/>
      <c r="O2987" s="2"/>
      <c r="P2987" s="2"/>
      <c r="Q2987" s="2"/>
      <c r="R2987" s="101"/>
      <c r="U2987" s="101"/>
    </row>
    <row r="2988">
      <c r="A2988" s="49"/>
      <c r="C2988" s="13"/>
      <c r="D2988" s="13"/>
      <c r="E2988" s="2"/>
      <c r="F2988" s="655"/>
      <c r="G2988" s="2"/>
      <c r="H2988" s="2"/>
      <c r="I2988" s="13"/>
      <c r="J2988" s="656"/>
      <c r="K2988" s="13"/>
      <c r="L2988" s="13"/>
      <c r="M2988" s="13"/>
      <c r="N2988" s="2"/>
      <c r="O2988" s="2"/>
      <c r="P2988" s="2"/>
      <c r="Q2988" s="2"/>
      <c r="R2988" s="101"/>
      <c r="U2988" s="101"/>
    </row>
    <row r="2989">
      <c r="A2989" s="49"/>
      <c r="C2989" s="13"/>
      <c r="D2989" s="13"/>
      <c r="E2989" s="2"/>
      <c r="F2989" s="655"/>
      <c r="G2989" s="2"/>
      <c r="H2989" s="2"/>
      <c r="I2989" s="13"/>
      <c r="J2989" s="656"/>
      <c r="K2989" s="13"/>
      <c r="L2989" s="13"/>
      <c r="M2989" s="13"/>
      <c r="N2989" s="2"/>
      <c r="O2989" s="2"/>
      <c r="P2989" s="2"/>
      <c r="Q2989" s="2"/>
      <c r="R2989" s="101"/>
      <c r="U2989" s="101"/>
    </row>
    <row r="2990">
      <c r="A2990" s="49"/>
      <c r="C2990" s="13"/>
      <c r="D2990" s="13"/>
      <c r="E2990" s="2"/>
      <c r="F2990" s="655"/>
      <c r="G2990" s="2"/>
      <c r="H2990" s="2"/>
      <c r="I2990" s="13"/>
      <c r="J2990" s="656"/>
      <c r="K2990" s="13"/>
      <c r="L2990" s="13"/>
      <c r="M2990" s="13"/>
      <c r="N2990" s="2"/>
      <c r="O2990" s="2"/>
      <c r="P2990" s="2"/>
      <c r="Q2990" s="2"/>
      <c r="R2990" s="101"/>
      <c r="U2990" s="101"/>
    </row>
    <row r="2991">
      <c r="A2991" s="49"/>
      <c r="C2991" s="13"/>
      <c r="D2991" s="13"/>
      <c r="E2991" s="2"/>
      <c r="F2991" s="655"/>
      <c r="G2991" s="2"/>
      <c r="H2991" s="2"/>
      <c r="I2991" s="13"/>
      <c r="J2991" s="656"/>
      <c r="K2991" s="13"/>
      <c r="L2991" s="13"/>
      <c r="M2991" s="13"/>
      <c r="N2991" s="2"/>
      <c r="O2991" s="2"/>
      <c r="P2991" s="2"/>
      <c r="Q2991" s="2"/>
      <c r="R2991" s="101"/>
      <c r="U2991" s="101"/>
    </row>
    <row r="2992">
      <c r="A2992" s="49"/>
      <c r="C2992" s="13"/>
      <c r="D2992" s="13"/>
      <c r="E2992" s="2"/>
      <c r="F2992" s="655"/>
      <c r="G2992" s="2"/>
      <c r="H2992" s="2"/>
      <c r="I2992" s="13"/>
      <c r="J2992" s="656"/>
      <c r="K2992" s="13"/>
      <c r="L2992" s="13"/>
      <c r="M2992" s="13"/>
      <c r="N2992" s="2"/>
      <c r="O2992" s="2"/>
      <c r="P2992" s="2"/>
      <c r="Q2992" s="2"/>
      <c r="R2992" s="101"/>
      <c r="U2992" s="101"/>
    </row>
    <row r="2993">
      <c r="A2993" s="49"/>
      <c r="C2993" s="13"/>
      <c r="D2993" s="13"/>
      <c r="E2993" s="2"/>
      <c r="F2993" s="655"/>
      <c r="G2993" s="2"/>
      <c r="H2993" s="2"/>
      <c r="I2993" s="13"/>
      <c r="J2993" s="656"/>
      <c r="K2993" s="13"/>
      <c r="L2993" s="13"/>
      <c r="M2993" s="13"/>
      <c r="N2993" s="2"/>
      <c r="O2993" s="2"/>
      <c r="P2993" s="2"/>
      <c r="Q2993" s="2"/>
      <c r="R2993" s="101"/>
      <c r="U2993" s="101"/>
    </row>
    <row r="2994">
      <c r="A2994" s="49"/>
      <c r="C2994" s="13"/>
      <c r="D2994" s="13"/>
      <c r="E2994" s="2"/>
      <c r="F2994" s="655"/>
      <c r="G2994" s="2"/>
      <c r="H2994" s="2"/>
      <c r="I2994" s="13"/>
      <c r="J2994" s="656"/>
      <c r="K2994" s="13"/>
      <c r="L2994" s="13"/>
      <c r="M2994" s="13"/>
      <c r="N2994" s="2"/>
      <c r="O2994" s="2"/>
      <c r="P2994" s="2"/>
      <c r="Q2994" s="2"/>
      <c r="R2994" s="101"/>
      <c r="U2994" s="101"/>
    </row>
    <row r="2995">
      <c r="A2995" s="49"/>
      <c r="C2995" s="13"/>
      <c r="D2995" s="13"/>
      <c r="E2995" s="2"/>
      <c r="F2995" s="655"/>
      <c r="G2995" s="2"/>
      <c r="H2995" s="2"/>
      <c r="I2995" s="13"/>
      <c r="J2995" s="656"/>
      <c r="K2995" s="13"/>
      <c r="L2995" s="13"/>
      <c r="M2995" s="13"/>
      <c r="N2995" s="2"/>
      <c r="O2995" s="2"/>
      <c r="P2995" s="2"/>
      <c r="Q2995" s="2"/>
      <c r="R2995" s="101"/>
      <c r="U2995" s="101"/>
    </row>
    <row r="2996">
      <c r="A2996" s="49"/>
      <c r="C2996" s="13"/>
      <c r="D2996" s="13"/>
      <c r="E2996" s="2"/>
      <c r="F2996" s="655"/>
      <c r="G2996" s="2"/>
      <c r="H2996" s="2"/>
      <c r="I2996" s="13"/>
      <c r="J2996" s="656"/>
      <c r="K2996" s="13"/>
      <c r="L2996" s="13"/>
      <c r="M2996" s="13"/>
      <c r="N2996" s="2"/>
      <c r="O2996" s="2"/>
      <c r="P2996" s="2"/>
      <c r="Q2996" s="2"/>
      <c r="R2996" s="101"/>
      <c r="U2996" s="101"/>
    </row>
    <row r="2997">
      <c r="A2997" s="49"/>
      <c r="C2997" s="13"/>
      <c r="D2997" s="13"/>
      <c r="E2997" s="2"/>
      <c r="F2997" s="655"/>
      <c r="G2997" s="2"/>
      <c r="H2997" s="2"/>
      <c r="I2997" s="13"/>
      <c r="J2997" s="656"/>
      <c r="K2997" s="13"/>
      <c r="L2997" s="13"/>
      <c r="M2997" s="13"/>
      <c r="N2997" s="2"/>
      <c r="O2997" s="2"/>
      <c r="P2997" s="2"/>
      <c r="Q2997" s="2"/>
      <c r="R2997" s="101"/>
      <c r="U2997" s="101"/>
    </row>
    <row r="2998">
      <c r="A2998" s="49"/>
      <c r="C2998" s="13"/>
      <c r="D2998" s="13"/>
      <c r="E2998" s="2"/>
      <c r="F2998" s="655"/>
      <c r="G2998" s="2"/>
      <c r="H2998" s="2"/>
      <c r="I2998" s="13"/>
      <c r="J2998" s="656"/>
      <c r="K2998" s="13"/>
      <c r="L2998" s="13"/>
      <c r="M2998" s="13"/>
      <c r="N2998" s="2"/>
      <c r="O2998" s="2"/>
      <c r="P2998" s="2"/>
      <c r="Q2998" s="2"/>
      <c r="R2998" s="101"/>
      <c r="U2998" s="101"/>
    </row>
    <row r="2999">
      <c r="A2999" s="49"/>
      <c r="C2999" s="13"/>
      <c r="D2999" s="13"/>
      <c r="E2999" s="2"/>
      <c r="F2999" s="655"/>
      <c r="G2999" s="2"/>
      <c r="H2999" s="2"/>
      <c r="I2999" s="13"/>
      <c r="J2999" s="656"/>
      <c r="K2999" s="13"/>
      <c r="L2999" s="13"/>
      <c r="M2999" s="13"/>
      <c r="N2999" s="2"/>
      <c r="O2999" s="2"/>
      <c r="P2999" s="2"/>
      <c r="Q2999" s="2"/>
      <c r="R2999" s="101"/>
      <c r="U2999" s="101"/>
    </row>
    <row r="3000">
      <c r="A3000" s="49"/>
      <c r="C3000" s="13"/>
      <c r="D3000" s="13"/>
      <c r="E3000" s="2"/>
      <c r="F3000" s="655"/>
      <c r="G3000" s="2"/>
      <c r="H3000" s="2"/>
      <c r="I3000" s="13"/>
      <c r="J3000" s="656"/>
      <c r="K3000" s="13"/>
      <c r="L3000" s="13"/>
      <c r="M3000" s="13"/>
      <c r="N3000" s="2"/>
      <c r="O3000" s="2"/>
      <c r="P3000" s="2"/>
      <c r="Q3000" s="2"/>
      <c r="R3000" s="101"/>
      <c r="U3000" s="101"/>
    </row>
    <row r="3001">
      <c r="A3001" s="49"/>
      <c r="C3001" s="13"/>
      <c r="D3001" s="13"/>
      <c r="E3001" s="2"/>
      <c r="F3001" s="655"/>
      <c r="G3001" s="2"/>
      <c r="H3001" s="2"/>
      <c r="I3001" s="13"/>
      <c r="J3001" s="656"/>
      <c r="K3001" s="13"/>
      <c r="L3001" s="13"/>
      <c r="M3001" s="13"/>
      <c r="N3001" s="2"/>
      <c r="O3001" s="2"/>
      <c r="P3001" s="2"/>
      <c r="Q3001" s="2"/>
      <c r="R3001" s="101"/>
      <c r="U3001" s="101"/>
    </row>
    <row r="3002">
      <c r="A3002" s="49"/>
      <c r="C3002" s="13"/>
      <c r="D3002" s="13"/>
      <c r="E3002" s="2"/>
      <c r="F3002" s="655"/>
      <c r="G3002" s="2"/>
      <c r="H3002" s="2"/>
      <c r="I3002" s="13"/>
      <c r="J3002" s="656"/>
      <c r="K3002" s="13"/>
      <c r="L3002" s="13"/>
      <c r="M3002" s="13"/>
      <c r="N3002" s="2"/>
      <c r="O3002" s="2"/>
      <c r="P3002" s="2"/>
      <c r="Q3002" s="2"/>
      <c r="R3002" s="101"/>
      <c r="U3002" s="101"/>
    </row>
    <row r="3003">
      <c r="A3003" s="49"/>
      <c r="C3003" s="13"/>
      <c r="D3003" s="13"/>
      <c r="E3003" s="2"/>
      <c r="F3003" s="655"/>
      <c r="G3003" s="2"/>
      <c r="H3003" s="2"/>
      <c r="I3003" s="13"/>
      <c r="J3003" s="656"/>
      <c r="K3003" s="13"/>
      <c r="L3003" s="13"/>
      <c r="M3003" s="13"/>
      <c r="N3003" s="2"/>
      <c r="O3003" s="2"/>
      <c r="P3003" s="2"/>
      <c r="Q3003" s="2"/>
      <c r="R3003" s="101"/>
      <c r="U3003" s="101"/>
    </row>
  </sheetData>
  <dataValidations>
    <dataValidation type="custom" allowBlank="1" showDropDown="1" sqref="O2:O2002">
      <formula1>OR(NOT(ISERROR(DATEVALUE(O2))), AND(ISNUMBER(O2), LEFT(CELL("format", O2))="D"))</formula1>
    </dataValidation>
    <dataValidation type="custom" allowBlank="1" showDropDown="1" sqref="J2:N2002">
      <formula1>AND(ISNUMBER(J2),(NOT(OR(NOT(ISERROR(DATEVALUE(J2))), AND(ISNUMBER(J2), LEFT(CELL("format", J2))="D")))))</formula1>
    </dataValidation>
    <dataValidation allowBlank="1" showDropDown="1" sqref="F2:F2002"/>
  </dataValidations>
  <drawing r:id="rId2"/>
  <tableParts count="1">
    <tablePart r:id="rId4"/>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0"/>
    <col customWidth="1" min="2" max="2" width="2.13"/>
    <col customWidth="1" min="3" max="3" width="4.25"/>
    <col customWidth="1" min="4" max="4" width="12.75"/>
    <col customWidth="1" min="5" max="5" width="23.5"/>
    <col customWidth="1" min="6" max="6" width="4.0"/>
    <col customWidth="1" min="7" max="8" width="2.5"/>
    <col customWidth="1" min="9" max="9" width="4.25"/>
    <col customWidth="1" min="10" max="10" width="13.75"/>
    <col customWidth="1" min="11" max="11" width="22.88"/>
    <col customWidth="1" min="12" max="12" width="4.38"/>
    <col customWidth="1" min="13" max="14" width="2.5"/>
    <col customWidth="1" min="15" max="15" width="3.88"/>
    <col customWidth="1" min="17" max="17" width="23.38"/>
    <col customWidth="1" min="18" max="18" width="3.13"/>
    <col customWidth="1" min="19" max="20" width="2.5"/>
    <col customWidth="1" min="21" max="21" width="3.25"/>
    <col customWidth="1" min="23" max="23" width="23.88"/>
    <col customWidth="1" min="24" max="24" width="3.25"/>
    <col customWidth="1" min="25" max="25" width="2.5"/>
  </cols>
  <sheetData>
    <row r="1" ht="33.0" customHeight="1">
      <c r="A1" s="290" t="s">
        <v>1211</v>
      </c>
      <c r="B1" s="291"/>
      <c r="C1" s="291"/>
      <c r="D1" s="291"/>
      <c r="E1" s="291"/>
      <c r="F1" s="291"/>
      <c r="G1" s="291"/>
      <c r="H1" s="291"/>
      <c r="I1" s="291"/>
      <c r="J1" s="291"/>
      <c r="K1" s="291"/>
      <c r="L1" s="291"/>
      <c r="M1" s="291"/>
      <c r="N1" s="291"/>
      <c r="O1" s="291"/>
      <c r="P1" s="291"/>
      <c r="Q1" s="291"/>
      <c r="R1" s="291"/>
      <c r="S1" s="291"/>
      <c r="T1" s="291"/>
      <c r="U1" s="291"/>
      <c r="V1" s="291"/>
      <c r="W1" s="291"/>
      <c r="X1" s="291"/>
      <c r="Y1" s="292"/>
    </row>
    <row r="2" ht="33.0" customHeight="1">
      <c r="A2" s="294"/>
      <c r="B2" s="295"/>
      <c r="C2" s="295"/>
      <c r="D2" s="295"/>
      <c r="E2" s="295"/>
      <c r="F2" s="295"/>
      <c r="G2" s="295"/>
      <c r="H2" s="295"/>
      <c r="I2" s="295"/>
      <c r="J2" s="295"/>
      <c r="K2" s="295"/>
      <c r="L2" s="295"/>
      <c r="M2" s="295"/>
      <c r="N2" s="295"/>
      <c r="O2" s="295"/>
      <c r="P2" s="295"/>
      <c r="Q2" s="295"/>
      <c r="R2" s="295"/>
      <c r="S2" s="295"/>
      <c r="T2" s="295"/>
      <c r="U2" s="295"/>
      <c r="V2" s="295"/>
      <c r="W2" s="295"/>
      <c r="X2" s="295"/>
      <c r="Y2" s="296"/>
    </row>
    <row r="3" ht="20.25" customHeight="1">
      <c r="A3" s="297"/>
      <c r="B3" s="297"/>
      <c r="C3" s="298"/>
      <c r="D3" s="298"/>
      <c r="E3" s="298"/>
      <c r="F3" s="298"/>
      <c r="G3" s="298"/>
      <c r="H3" s="299"/>
      <c r="I3" s="291"/>
      <c r="J3" s="291"/>
      <c r="K3" s="291"/>
      <c r="L3" s="291"/>
      <c r="M3" s="292"/>
      <c r="N3" s="297"/>
      <c r="O3" s="298"/>
      <c r="P3" s="298"/>
      <c r="Q3" s="298"/>
      <c r="R3" s="298"/>
      <c r="S3" s="300"/>
      <c r="T3" s="298"/>
      <c r="U3" s="298"/>
      <c r="V3" s="298"/>
      <c r="W3" s="298"/>
      <c r="X3" s="298"/>
      <c r="Y3" s="300"/>
    </row>
    <row r="4" ht="27.0" customHeight="1">
      <c r="A4" s="301"/>
      <c r="B4" s="302" t="s">
        <v>1217</v>
      </c>
      <c r="C4" s="303" t="s">
        <v>1218</v>
      </c>
      <c r="D4" s="304"/>
      <c r="E4" s="304"/>
      <c r="F4" s="305"/>
      <c r="G4" s="49"/>
      <c r="H4" s="302" t="s">
        <v>1217</v>
      </c>
      <c r="I4" s="306" t="s">
        <v>1219</v>
      </c>
      <c r="J4" s="307"/>
      <c r="K4" s="307"/>
      <c r="L4" s="308"/>
      <c r="M4" s="309"/>
      <c r="N4" s="302" t="s">
        <v>1217</v>
      </c>
      <c r="O4" s="306" t="s">
        <v>1220</v>
      </c>
      <c r="P4" s="307"/>
      <c r="Q4" s="307"/>
      <c r="R4" s="308"/>
      <c r="S4" s="310"/>
      <c r="T4" s="49"/>
      <c r="U4" s="306" t="s">
        <v>1221</v>
      </c>
      <c r="V4" s="311"/>
      <c r="W4" s="311"/>
      <c r="X4" s="312"/>
      <c r="Y4" s="310"/>
    </row>
    <row r="5" ht="15.75" customHeight="1">
      <c r="A5" s="301"/>
      <c r="B5" s="301"/>
      <c r="C5" s="313"/>
      <c r="D5" s="314"/>
      <c r="E5" s="314"/>
      <c r="F5" s="315"/>
      <c r="G5" s="49"/>
      <c r="H5" s="316"/>
      <c r="I5" s="317"/>
      <c r="J5" s="318"/>
      <c r="K5" s="318"/>
      <c r="L5" s="319"/>
      <c r="M5" s="320"/>
      <c r="N5" s="301"/>
      <c r="O5" s="313"/>
      <c r="P5" s="314"/>
      <c r="Q5" s="314"/>
      <c r="R5" s="315"/>
      <c r="S5" s="310"/>
      <c r="T5" s="49"/>
      <c r="U5" s="317"/>
      <c r="V5" s="318"/>
      <c r="W5" s="318"/>
      <c r="X5" s="319"/>
      <c r="Y5" s="310"/>
    </row>
    <row r="6" ht="15.75" customHeight="1">
      <c r="A6" s="301"/>
      <c r="B6" s="301"/>
      <c r="C6" s="313"/>
      <c r="D6" s="321" t="s">
        <v>18</v>
      </c>
      <c r="E6" s="322"/>
      <c r="F6" s="315"/>
      <c r="G6" s="49"/>
      <c r="H6" s="316"/>
      <c r="I6" s="313"/>
      <c r="J6" s="321" t="s">
        <v>8</v>
      </c>
      <c r="K6" s="323">
        <f>today()</f>
        <v>46291</v>
      </c>
      <c r="L6" s="315"/>
      <c r="M6" s="310"/>
      <c r="N6" s="301"/>
      <c r="O6" s="313"/>
      <c r="P6" s="321" t="s">
        <v>496</v>
      </c>
      <c r="Q6" s="323">
        <f>TODAY()</f>
        <v>46291</v>
      </c>
      <c r="R6" s="315"/>
      <c r="S6" s="310"/>
      <c r="T6" s="49"/>
      <c r="U6" s="313"/>
      <c r="V6" s="324" t="s">
        <v>8</v>
      </c>
      <c r="W6" s="325">
        <f>TODAY()</f>
        <v>46291</v>
      </c>
      <c r="X6" s="315"/>
      <c r="Y6" s="310"/>
    </row>
    <row r="7" ht="3.0" customHeight="1">
      <c r="A7" s="301"/>
      <c r="B7" s="301"/>
      <c r="C7" s="313"/>
      <c r="D7" s="326"/>
      <c r="E7" s="314"/>
      <c r="F7" s="315"/>
      <c r="G7" s="49"/>
      <c r="H7" s="316"/>
      <c r="I7" s="313"/>
      <c r="J7" s="326"/>
      <c r="K7" s="314"/>
      <c r="L7" s="315"/>
      <c r="M7" s="320"/>
      <c r="N7" s="301"/>
      <c r="O7" s="313"/>
      <c r="P7" s="326"/>
      <c r="Q7" s="314"/>
      <c r="R7" s="315"/>
      <c r="S7" s="310"/>
      <c r="T7" s="49"/>
      <c r="U7" s="313"/>
      <c r="V7" s="326"/>
      <c r="W7" s="314"/>
      <c r="X7" s="315"/>
      <c r="Y7" s="310"/>
    </row>
    <row r="8" ht="15.75" customHeight="1">
      <c r="A8" s="301"/>
      <c r="B8" s="301"/>
      <c r="C8" s="313"/>
      <c r="D8" s="321" t="s">
        <v>20</v>
      </c>
      <c r="E8" s="322"/>
      <c r="F8" s="315"/>
      <c r="G8" s="49"/>
      <c r="H8" s="316"/>
      <c r="I8" s="313"/>
      <c r="J8" s="321" t="s">
        <v>501</v>
      </c>
      <c r="K8" s="322"/>
      <c r="L8" s="315"/>
      <c r="M8" s="310"/>
      <c r="N8" s="301"/>
      <c r="O8" s="313"/>
      <c r="P8" s="321" t="s">
        <v>499</v>
      </c>
      <c r="Q8" s="327">
        <v>46289.0</v>
      </c>
      <c r="R8" s="315"/>
      <c r="S8" s="310"/>
      <c r="T8" s="49"/>
      <c r="U8" s="313"/>
      <c r="V8" s="321" t="s">
        <v>499</v>
      </c>
      <c r="W8" s="328">
        <v>46256.0</v>
      </c>
      <c r="X8" s="315"/>
      <c r="Y8" s="310"/>
    </row>
    <row r="9" ht="1.5" customHeight="1">
      <c r="A9" s="301"/>
      <c r="B9" s="301"/>
      <c r="C9" s="313"/>
      <c r="D9" s="326"/>
      <c r="E9" s="314"/>
      <c r="F9" s="315"/>
      <c r="G9" s="49"/>
      <c r="H9" s="316"/>
      <c r="I9" s="313"/>
      <c r="J9" s="326"/>
      <c r="K9" s="329"/>
      <c r="L9" s="315"/>
      <c r="M9" s="320"/>
      <c r="N9" s="301"/>
      <c r="O9" s="313"/>
      <c r="P9" s="330"/>
      <c r="Q9" s="314"/>
      <c r="R9" s="315"/>
      <c r="S9" s="310"/>
      <c r="T9" s="49"/>
      <c r="U9" s="313"/>
      <c r="V9" s="330"/>
      <c r="W9" s="314"/>
      <c r="X9" s="315"/>
      <c r="Y9" s="310"/>
    </row>
    <row r="10" ht="15.75" customHeight="1">
      <c r="A10" s="301"/>
      <c r="B10" s="301"/>
      <c r="C10" s="313"/>
      <c r="D10" s="321" t="s">
        <v>21</v>
      </c>
      <c r="E10" s="322"/>
      <c r="F10" s="315"/>
      <c r="G10" s="49"/>
      <c r="H10" s="316"/>
      <c r="I10" s="313"/>
      <c r="J10" s="321" t="s">
        <v>12</v>
      </c>
      <c r="K10" s="322"/>
      <c r="L10" s="331"/>
      <c r="M10" s="332"/>
      <c r="N10" s="301"/>
      <c r="O10" s="313"/>
      <c r="P10" s="321" t="s">
        <v>500</v>
      </c>
      <c r="Q10" s="322"/>
      <c r="R10" s="315"/>
      <c r="S10" s="310"/>
      <c r="T10" s="49"/>
      <c r="U10" s="313"/>
      <c r="V10" s="321" t="s">
        <v>1239</v>
      </c>
      <c r="W10" s="322"/>
      <c r="X10" s="315"/>
      <c r="Y10" s="310"/>
    </row>
    <row r="11" ht="3.0" customHeight="1">
      <c r="A11" s="301"/>
      <c r="B11" s="301"/>
      <c r="C11" s="313"/>
      <c r="D11" s="326"/>
      <c r="E11" s="314"/>
      <c r="F11" s="315"/>
      <c r="G11" s="49"/>
      <c r="H11" s="316"/>
      <c r="I11" s="313"/>
      <c r="J11" s="326"/>
      <c r="K11" s="329"/>
      <c r="L11" s="315"/>
      <c r="M11" s="320"/>
      <c r="N11" s="301"/>
      <c r="O11" s="313"/>
      <c r="P11" s="326"/>
      <c r="Q11" s="314"/>
      <c r="R11" s="315"/>
      <c r="S11" s="310"/>
      <c r="T11" s="49"/>
      <c r="U11" s="313"/>
      <c r="V11" s="326"/>
      <c r="W11" s="314"/>
      <c r="X11" s="315"/>
      <c r="Y11" s="310"/>
    </row>
    <row r="12" ht="15.75" customHeight="1">
      <c r="A12" s="301"/>
      <c r="B12" s="301"/>
      <c r="C12" s="313"/>
      <c r="D12" s="321" t="s">
        <v>23</v>
      </c>
      <c r="E12" s="322"/>
      <c r="F12" s="315"/>
      <c r="G12" s="49"/>
      <c r="H12" s="316"/>
      <c r="I12" s="313"/>
      <c r="J12" s="321" t="s">
        <v>1243</v>
      </c>
      <c r="K12" s="322"/>
      <c r="L12" s="315"/>
      <c r="M12" s="310"/>
      <c r="N12" s="301"/>
      <c r="O12" s="313"/>
      <c r="P12" s="321" t="s">
        <v>1244</v>
      </c>
      <c r="Q12" s="322"/>
      <c r="R12" s="315"/>
      <c r="S12" s="310"/>
      <c r="T12" s="49"/>
      <c r="U12" s="313"/>
      <c r="V12" s="321" t="s">
        <v>10</v>
      </c>
      <c r="W12" s="333"/>
      <c r="X12" s="315"/>
      <c r="Y12" s="310"/>
    </row>
    <row r="13" ht="3.0" customHeight="1">
      <c r="A13" s="301"/>
      <c r="B13" s="301"/>
      <c r="C13" s="313"/>
      <c r="D13" s="326"/>
      <c r="E13" s="314"/>
      <c r="F13" s="315"/>
      <c r="G13" s="49"/>
      <c r="H13" s="316"/>
      <c r="I13" s="313"/>
      <c r="J13" s="326"/>
      <c r="K13" s="329"/>
      <c r="L13" s="315"/>
      <c r="M13" s="320"/>
      <c r="N13" s="301"/>
      <c r="O13" s="313"/>
      <c r="P13" s="326"/>
      <c r="Q13" s="314"/>
      <c r="R13" s="315"/>
      <c r="S13" s="310"/>
      <c r="T13" s="49"/>
      <c r="U13" s="313"/>
      <c r="V13" s="326"/>
      <c r="W13" s="329">
        <v>2.0</v>
      </c>
      <c r="X13" s="315"/>
      <c r="Y13" s="310"/>
    </row>
    <row r="14" ht="15.75" customHeight="1">
      <c r="A14" s="301"/>
      <c r="B14" s="301"/>
      <c r="C14" s="313"/>
      <c r="D14" s="321" t="s">
        <v>24</v>
      </c>
      <c r="E14" s="333"/>
      <c r="F14" s="315"/>
      <c r="G14" s="49"/>
      <c r="H14" s="316"/>
      <c r="I14" s="313"/>
      <c r="J14" s="321" t="s">
        <v>1245</v>
      </c>
      <c r="K14" s="333" t="str">
        <f>VLOOKUP(K10,DATABASE!C:Q,6,false)</f>
        <v>#N/A</v>
      </c>
      <c r="L14" s="315"/>
      <c r="M14" s="310"/>
      <c r="N14" s="301"/>
      <c r="O14" s="313"/>
      <c r="P14" s="321" t="s">
        <v>501</v>
      </c>
      <c r="Q14" s="322"/>
      <c r="R14" s="315"/>
      <c r="S14" s="310"/>
      <c r="T14" s="49"/>
      <c r="U14" s="313"/>
      <c r="V14" s="321" t="s">
        <v>78</v>
      </c>
      <c r="W14" s="333">
        <f>IF(COUNTIFS('PAYMENT CREDIT'!D:D, W8, 'PAYMENT CREDIT'!E:E, W10) &gt; 0, 
    0, 
    SUMIFS('SELLING CREDIT'!Q:Q, 'SELLING CREDIT'!C:C, W8, 'SELLING CREDIT'!E:E, W10) +
    SUMIFS('SELLING CREDIT'!K:K, 'SELLING CREDIT'!C:C, W8, 'SELLING CREDIT'!E:E, W10)
)</f>
        <v>0</v>
      </c>
      <c r="X14" s="315"/>
      <c r="Y14" s="310"/>
    </row>
    <row r="15" ht="3.0" customHeight="1">
      <c r="A15" s="301"/>
      <c r="B15" s="301"/>
      <c r="C15" s="313"/>
      <c r="D15" s="326"/>
      <c r="E15" s="329">
        <v>1.0</v>
      </c>
      <c r="F15" s="315"/>
      <c r="G15" s="49"/>
      <c r="H15" s="316"/>
      <c r="I15" s="313"/>
      <c r="J15" s="326"/>
      <c r="K15" s="329">
        <v>5000.0</v>
      </c>
      <c r="L15" s="315"/>
      <c r="M15" s="320"/>
      <c r="N15" s="301"/>
      <c r="O15" s="313"/>
      <c r="P15" s="326"/>
      <c r="Q15" s="314"/>
      <c r="R15" s="315"/>
      <c r="S15" s="310"/>
      <c r="T15" s="49"/>
      <c r="U15" s="313"/>
      <c r="V15" s="314"/>
      <c r="W15" s="314"/>
      <c r="X15" s="315"/>
      <c r="Y15" s="310"/>
    </row>
    <row r="16" ht="15.75" customHeight="1">
      <c r="A16" s="301"/>
      <c r="B16" s="301"/>
      <c r="C16" s="313"/>
      <c r="D16" s="321" t="s">
        <v>25</v>
      </c>
      <c r="E16" s="333"/>
      <c r="F16" s="315"/>
      <c r="G16" s="49"/>
      <c r="H16" s="316"/>
      <c r="I16" s="313"/>
      <c r="J16" s="321" t="s">
        <v>1255</v>
      </c>
      <c r="K16" s="333"/>
      <c r="L16" s="315"/>
      <c r="M16" s="310"/>
      <c r="N16" s="301"/>
      <c r="O16" s="313"/>
      <c r="P16" s="321" t="s">
        <v>26</v>
      </c>
      <c r="Q16" s="322"/>
      <c r="R16" s="315"/>
      <c r="S16" s="310"/>
      <c r="T16" s="49"/>
      <c r="U16" s="313"/>
      <c r="V16" s="326"/>
      <c r="W16" s="314"/>
      <c r="X16" s="315"/>
      <c r="Y16" s="310"/>
    </row>
    <row r="17" ht="3.0" customHeight="1">
      <c r="A17" s="301"/>
      <c r="B17" s="301"/>
      <c r="C17" s="313"/>
      <c r="D17" s="326"/>
      <c r="E17" s="314"/>
      <c r="F17" s="315"/>
      <c r="G17" s="49"/>
      <c r="H17" s="316"/>
      <c r="I17" s="313"/>
      <c r="J17" s="326"/>
      <c r="K17" s="329" t="s">
        <v>2</v>
      </c>
      <c r="L17" s="315"/>
      <c r="M17" s="320"/>
      <c r="N17" s="301"/>
      <c r="O17" s="313"/>
      <c r="P17" s="326"/>
      <c r="Q17" s="314"/>
      <c r="R17" s="315"/>
      <c r="S17" s="310"/>
      <c r="T17" s="49"/>
      <c r="U17" s="334"/>
      <c r="V17" s="335"/>
      <c r="W17" s="336"/>
      <c r="X17" s="337"/>
      <c r="Y17" s="310"/>
    </row>
    <row r="18" ht="15.75" customHeight="1">
      <c r="A18" s="301"/>
      <c r="B18" s="301"/>
      <c r="C18" s="313"/>
      <c r="D18" s="321" t="s">
        <v>26</v>
      </c>
      <c r="E18" s="333"/>
      <c r="F18" s="315"/>
      <c r="G18" s="49"/>
      <c r="H18" s="316"/>
      <c r="I18" s="313"/>
      <c r="J18" s="330"/>
      <c r="K18" s="329"/>
      <c r="L18" s="315"/>
      <c r="M18" s="310"/>
      <c r="N18" s="301"/>
      <c r="O18" s="313"/>
      <c r="P18" s="321" t="s">
        <v>12</v>
      </c>
      <c r="Q18" s="322"/>
      <c r="R18" s="315"/>
      <c r="S18" s="310"/>
      <c r="T18" s="49"/>
      <c r="Y18" s="310"/>
    </row>
    <row r="19" ht="3.0" customHeight="1">
      <c r="A19" s="301"/>
      <c r="B19" s="301"/>
      <c r="C19" s="313"/>
      <c r="D19" s="326"/>
      <c r="E19" s="338"/>
      <c r="F19" s="315"/>
      <c r="G19" s="49"/>
      <c r="H19" s="316"/>
      <c r="I19" s="313"/>
      <c r="J19" s="326"/>
      <c r="K19" s="314"/>
      <c r="L19" s="315"/>
      <c r="M19" s="320"/>
      <c r="N19" s="301"/>
      <c r="O19" s="313"/>
      <c r="P19" s="326"/>
      <c r="Q19" s="314"/>
      <c r="R19" s="315"/>
      <c r="S19" s="310"/>
      <c r="T19" s="49"/>
      <c r="U19" s="49"/>
      <c r="V19" s="49"/>
      <c r="W19" s="49"/>
      <c r="X19" s="49"/>
      <c r="Y19" s="310"/>
    </row>
    <row r="20" ht="15.75" customHeight="1">
      <c r="A20" s="301"/>
      <c r="B20" s="301"/>
      <c r="C20" s="313"/>
      <c r="D20" s="321" t="s">
        <v>27</v>
      </c>
      <c r="E20" s="339"/>
      <c r="F20" s="315"/>
      <c r="G20" s="49"/>
      <c r="H20" s="316"/>
      <c r="I20" s="334"/>
      <c r="J20" s="340"/>
      <c r="K20" s="341"/>
      <c r="L20" s="337"/>
      <c r="M20" s="310"/>
      <c r="N20" s="301"/>
      <c r="O20" s="313"/>
      <c r="P20" s="321" t="s">
        <v>504</v>
      </c>
      <c r="Q20" s="322"/>
      <c r="R20" s="315"/>
      <c r="S20" s="310"/>
      <c r="T20" s="49"/>
      <c r="U20" s="49"/>
      <c r="V20" s="342"/>
      <c r="W20" s="49"/>
      <c r="X20" s="49"/>
      <c r="Y20" s="310"/>
    </row>
    <row r="21" ht="3.0" customHeight="1">
      <c r="A21" s="301"/>
      <c r="B21" s="301"/>
      <c r="C21" s="313"/>
      <c r="D21" s="326"/>
      <c r="E21" s="314"/>
      <c r="F21" s="315"/>
      <c r="G21" s="49"/>
      <c r="H21" s="316"/>
      <c r="I21" s="314"/>
      <c r="J21" s="314"/>
      <c r="K21" s="329"/>
      <c r="L21" s="314"/>
      <c r="M21" s="320"/>
      <c r="N21" s="301"/>
      <c r="O21" s="313"/>
      <c r="P21" s="326"/>
      <c r="Q21" s="329"/>
      <c r="R21" s="315"/>
      <c r="S21" s="310"/>
      <c r="T21" s="49"/>
      <c r="U21" s="49"/>
      <c r="V21" s="49"/>
      <c r="W21" s="49"/>
      <c r="X21" s="49"/>
      <c r="Y21" s="310"/>
    </row>
    <row r="22" ht="15.75" customHeight="1">
      <c r="A22" s="301"/>
      <c r="B22" s="301"/>
      <c r="C22" s="313"/>
      <c r="D22" s="321" t="s">
        <v>28</v>
      </c>
      <c r="E22" s="333"/>
      <c r="F22" s="315"/>
      <c r="G22" s="49"/>
      <c r="H22" s="316"/>
      <c r="I22" s="49"/>
      <c r="J22" s="343"/>
      <c r="K22" s="1" t="str">
        <f>IF(B9="Transfer", (B7-B8)*B6, IF(B9="Mix", B11, ""))</f>
        <v/>
      </c>
      <c r="L22" s="49"/>
      <c r="M22" s="310"/>
      <c r="N22" s="301"/>
      <c r="O22" s="313"/>
      <c r="P22" s="321" t="s">
        <v>505</v>
      </c>
      <c r="Q22" s="344" t="str">
        <f>VLOOKUP(Q18,DATABASE!C:Q,7,FALSE)</f>
        <v>#N/A</v>
      </c>
      <c r="R22" s="315"/>
      <c r="S22" s="310"/>
      <c r="T22" s="49"/>
      <c r="U22" s="49"/>
      <c r="V22" s="342"/>
      <c r="W22" s="49"/>
      <c r="X22" s="49"/>
      <c r="Y22" s="310"/>
    </row>
    <row r="23" ht="3.0" customHeight="1">
      <c r="A23" s="301"/>
      <c r="B23" s="301"/>
      <c r="C23" s="313"/>
      <c r="D23" s="326"/>
      <c r="E23" s="314"/>
      <c r="F23" s="315"/>
      <c r="G23" s="49"/>
      <c r="H23" s="316"/>
      <c r="I23" s="49"/>
      <c r="J23" s="49"/>
      <c r="K23" s="49"/>
      <c r="L23" s="49"/>
      <c r="M23" s="320"/>
      <c r="N23" s="301"/>
      <c r="O23" s="313"/>
      <c r="P23" s="326"/>
      <c r="Q23" s="314"/>
      <c r="R23" s="315"/>
      <c r="S23" s="310"/>
      <c r="T23" s="49"/>
      <c r="U23" s="49"/>
      <c r="V23" s="49"/>
      <c r="W23" s="49"/>
      <c r="X23" s="49"/>
      <c r="Y23" s="310"/>
    </row>
    <row r="24" ht="15.75" customHeight="1">
      <c r="A24" s="301"/>
      <c r="B24" s="301"/>
      <c r="C24" s="313"/>
      <c r="D24" s="321" t="s">
        <v>15</v>
      </c>
      <c r="E24" s="322"/>
      <c r="F24" s="315"/>
      <c r="G24" s="49"/>
      <c r="H24" s="316"/>
      <c r="I24" s="49"/>
      <c r="J24" s="343"/>
      <c r="K24" s="1"/>
      <c r="L24" s="49"/>
      <c r="M24" s="310"/>
      <c r="N24" s="301"/>
      <c r="O24" s="313"/>
      <c r="P24" s="321" t="s">
        <v>506</v>
      </c>
      <c r="Q24" s="333"/>
      <c r="R24" s="315"/>
      <c r="S24" s="310"/>
      <c r="T24" s="49"/>
      <c r="U24" s="49"/>
      <c r="V24" s="342"/>
      <c r="W24" s="49"/>
      <c r="X24" s="49"/>
      <c r="Y24" s="310"/>
    </row>
    <row r="25" ht="3.0" customHeight="1">
      <c r="A25" s="301"/>
      <c r="B25" s="301"/>
      <c r="C25" s="313"/>
      <c r="D25" s="314"/>
      <c r="E25" s="314"/>
      <c r="F25" s="315"/>
      <c r="G25" s="49"/>
      <c r="H25" s="316"/>
      <c r="I25" s="49"/>
      <c r="J25" s="49"/>
      <c r="K25" s="345" t="s">
        <v>47</v>
      </c>
      <c r="L25" s="49"/>
      <c r="M25" s="320"/>
      <c r="N25" s="301"/>
      <c r="O25" s="313"/>
      <c r="P25" s="326"/>
      <c r="Q25" s="329"/>
      <c r="R25" s="315"/>
      <c r="S25" s="310"/>
      <c r="T25" s="49"/>
      <c r="U25" s="49"/>
      <c r="V25" s="49"/>
      <c r="W25" s="49"/>
      <c r="X25" s="49"/>
      <c r="Y25" s="310"/>
    </row>
    <row r="26" ht="15.75" customHeight="1">
      <c r="A26" s="301"/>
      <c r="B26" s="301"/>
      <c r="C26" s="334"/>
      <c r="D26" s="336"/>
      <c r="E26" s="341"/>
      <c r="F26" s="337"/>
      <c r="G26" s="49"/>
      <c r="H26" s="316"/>
      <c r="I26" s="49"/>
      <c r="J26" s="343"/>
      <c r="K26" s="1"/>
      <c r="L26" s="49"/>
      <c r="M26" s="310"/>
      <c r="N26" s="301"/>
      <c r="O26" s="313"/>
      <c r="P26" s="321" t="s">
        <v>17</v>
      </c>
      <c r="Q26" s="322"/>
      <c r="R26" s="315"/>
      <c r="S26" s="310"/>
      <c r="T26" s="49"/>
      <c r="U26" s="49"/>
      <c r="V26" s="49"/>
      <c r="W26" s="49"/>
      <c r="X26" s="49"/>
      <c r="Y26" s="310"/>
    </row>
    <row r="27" ht="3.0" customHeight="1">
      <c r="A27" s="301"/>
      <c r="B27" s="301"/>
      <c r="C27" s="346"/>
      <c r="D27" s="347"/>
      <c r="E27" s="346"/>
      <c r="F27" s="346"/>
      <c r="G27" s="49"/>
      <c r="H27" s="316"/>
      <c r="I27" s="49"/>
      <c r="J27" s="49"/>
      <c r="K27" s="49"/>
      <c r="L27" s="49"/>
      <c r="M27" s="320"/>
      <c r="N27" s="301"/>
      <c r="O27" s="313"/>
      <c r="P27" s="326"/>
      <c r="Q27" s="314"/>
      <c r="R27" s="315"/>
      <c r="S27" s="310"/>
      <c r="T27" s="49"/>
      <c r="U27" s="49"/>
      <c r="V27" s="49"/>
      <c r="W27" s="49"/>
      <c r="X27" s="49"/>
      <c r="Y27" s="310"/>
    </row>
    <row r="28" ht="15.75" customHeight="1">
      <c r="A28" s="301"/>
      <c r="B28" s="301"/>
      <c r="C28" s="49"/>
      <c r="D28" s="343"/>
      <c r="E28" s="49"/>
      <c r="F28" s="49"/>
      <c r="G28" s="49"/>
      <c r="H28" s="316"/>
      <c r="I28" s="49"/>
      <c r="J28" s="343"/>
      <c r="K28" s="1" t="s">
        <v>1277</v>
      </c>
      <c r="L28" s="49"/>
      <c r="M28" s="348"/>
      <c r="N28" s="349"/>
      <c r="O28" s="334"/>
      <c r="P28" s="336"/>
      <c r="Q28" s="336"/>
      <c r="R28" s="337"/>
      <c r="S28" s="310"/>
      <c r="T28" s="49"/>
      <c r="U28" s="49"/>
      <c r="V28" s="49"/>
      <c r="W28" s="49"/>
      <c r="X28" s="49"/>
      <c r="Y28" s="310"/>
    </row>
    <row r="29" ht="5.25" customHeight="1">
      <c r="A29" s="301"/>
      <c r="B29" s="301"/>
      <c r="C29" s="49"/>
      <c r="D29" s="49"/>
      <c r="E29" s="49"/>
      <c r="F29" s="49"/>
      <c r="G29" s="49"/>
      <c r="H29" s="316"/>
      <c r="I29" s="49"/>
      <c r="J29" s="49"/>
      <c r="K29" s="49"/>
      <c r="L29" s="49"/>
      <c r="M29" s="320"/>
      <c r="N29" s="301"/>
      <c r="O29" s="49"/>
      <c r="P29" s="350"/>
      <c r="Q29" s="49"/>
      <c r="R29" s="49"/>
      <c r="S29" s="310"/>
      <c r="T29" s="49"/>
      <c r="U29" s="49"/>
      <c r="V29" s="49"/>
      <c r="W29" s="49"/>
      <c r="X29" s="49"/>
      <c r="Y29" s="310"/>
    </row>
    <row r="30" ht="15.75" customHeight="1">
      <c r="A30" s="301"/>
      <c r="B30" s="301"/>
      <c r="C30" s="49"/>
      <c r="D30" s="49"/>
      <c r="E30" s="49"/>
      <c r="F30" s="49"/>
      <c r="G30" s="49"/>
      <c r="H30" s="316"/>
      <c r="I30" s="49"/>
      <c r="J30" s="49"/>
      <c r="K30" s="49"/>
      <c r="L30" s="49"/>
      <c r="M30" s="310"/>
      <c r="N30" s="301"/>
      <c r="O30" s="49"/>
      <c r="P30" s="343"/>
      <c r="Q30" s="29"/>
      <c r="R30" s="49"/>
      <c r="S30" s="310"/>
      <c r="T30" s="49"/>
      <c r="U30" s="49"/>
      <c r="V30" s="49"/>
      <c r="W30" s="49"/>
      <c r="X30" s="49"/>
      <c r="Y30" s="310"/>
    </row>
    <row r="31" ht="15.75" customHeight="1">
      <c r="A31" s="301"/>
      <c r="B31" s="301"/>
      <c r="C31" s="49"/>
      <c r="D31" s="49"/>
      <c r="E31" s="49"/>
      <c r="F31" s="49"/>
      <c r="G31" s="49"/>
      <c r="H31" s="316"/>
      <c r="I31" s="49"/>
      <c r="J31" s="49"/>
      <c r="K31" s="49"/>
      <c r="L31" s="49"/>
      <c r="M31" s="320"/>
      <c r="N31" s="301"/>
      <c r="O31" s="49"/>
      <c r="P31" s="49"/>
      <c r="Q31" s="49"/>
      <c r="R31" s="49"/>
      <c r="S31" s="310"/>
      <c r="T31" s="49"/>
      <c r="U31" s="49"/>
      <c r="V31" s="49"/>
      <c r="W31" s="49"/>
      <c r="X31" s="49"/>
      <c r="Y31" s="310"/>
    </row>
    <row r="32" ht="15.75" customHeight="1">
      <c r="A32" s="351"/>
      <c r="B32" s="351"/>
      <c r="C32" s="352"/>
      <c r="D32" s="352"/>
      <c r="E32" s="352"/>
      <c r="F32" s="352"/>
      <c r="G32" s="352"/>
      <c r="H32" s="353"/>
      <c r="I32" s="352"/>
      <c r="J32" s="352"/>
      <c r="K32" s="352"/>
      <c r="L32" s="352"/>
      <c r="M32" s="354"/>
      <c r="N32" s="353"/>
      <c r="O32" s="352"/>
      <c r="P32" s="352"/>
      <c r="Q32" s="352"/>
      <c r="R32" s="352"/>
      <c r="S32" s="354"/>
      <c r="T32" s="352"/>
      <c r="U32" s="352"/>
      <c r="V32" s="352"/>
      <c r="W32" s="352"/>
      <c r="X32" s="352"/>
      <c r="Y32" s="354"/>
    </row>
    <row r="33" ht="15.75" customHeight="1">
      <c r="A33" s="355"/>
      <c r="B33" s="297"/>
      <c r="C33" s="298"/>
      <c r="D33" s="298"/>
      <c r="E33" s="298"/>
      <c r="F33" s="298"/>
      <c r="G33" s="300"/>
      <c r="H33" s="49"/>
      <c r="I33" s="49"/>
      <c r="J33" s="49"/>
      <c r="K33" s="49"/>
      <c r="L33" s="49"/>
      <c r="M33" s="356"/>
      <c r="N33" s="316"/>
      <c r="O33" s="49"/>
      <c r="P33" s="49"/>
      <c r="Q33" s="49"/>
      <c r="R33" s="49"/>
      <c r="S33" s="310"/>
      <c r="T33" s="49"/>
      <c r="U33" s="49"/>
      <c r="V33" s="49"/>
      <c r="W33" s="49"/>
      <c r="X33" s="49"/>
      <c r="Y33" s="310"/>
    </row>
    <row r="34" ht="10.5" customHeight="1">
      <c r="A34" s="357"/>
      <c r="B34" s="316"/>
      <c r="C34" s="49"/>
      <c r="D34" s="49"/>
      <c r="E34" s="49"/>
      <c r="F34" s="49"/>
      <c r="G34" s="310"/>
      <c r="H34" s="49"/>
      <c r="I34" s="49"/>
      <c r="J34" s="49"/>
      <c r="K34" s="49"/>
      <c r="L34" s="49"/>
      <c r="M34" s="49"/>
      <c r="N34" s="316"/>
      <c r="O34" s="49"/>
      <c r="P34" s="49"/>
      <c r="Q34" s="49"/>
      <c r="R34" s="49"/>
      <c r="S34" s="310"/>
      <c r="T34" s="49"/>
      <c r="U34" s="49"/>
      <c r="V34" s="49"/>
      <c r="W34" s="49"/>
      <c r="X34" s="49"/>
      <c r="Y34" s="310"/>
    </row>
    <row r="35" ht="8.25" customHeight="1">
      <c r="A35" s="358"/>
      <c r="B35" s="359"/>
      <c r="C35" s="360"/>
      <c r="D35" s="360"/>
      <c r="E35" s="360"/>
      <c r="F35" s="360"/>
      <c r="G35" s="361"/>
      <c r="H35" s="360"/>
      <c r="I35" s="360"/>
      <c r="J35" s="360"/>
      <c r="K35" s="360"/>
      <c r="L35" s="360"/>
      <c r="M35" s="362"/>
      <c r="N35" s="316"/>
      <c r="O35" s="49"/>
      <c r="P35" s="49"/>
      <c r="Q35" s="49"/>
      <c r="R35" s="49"/>
      <c r="S35" s="310"/>
      <c r="T35" s="360"/>
      <c r="U35" s="360"/>
      <c r="V35" s="360"/>
      <c r="W35" s="360"/>
      <c r="X35" s="360"/>
      <c r="Y35" s="361"/>
    </row>
    <row r="36" ht="27.0" customHeight="1">
      <c r="A36" s="357"/>
      <c r="B36" s="302" t="s">
        <v>1217</v>
      </c>
      <c r="C36" s="306" t="s">
        <v>1287</v>
      </c>
      <c r="D36" s="307"/>
      <c r="E36" s="307"/>
      <c r="F36" s="308"/>
      <c r="G36" s="310"/>
      <c r="H36" s="363" t="s">
        <v>1217</v>
      </c>
      <c r="I36" s="306" t="s">
        <v>1289</v>
      </c>
      <c r="J36" s="307"/>
      <c r="K36" s="307"/>
      <c r="L36" s="308"/>
      <c r="M36" s="364"/>
      <c r="N36" s="302" t="s">
        <v>1217</v>
      </c>
      <c r="O36" s="306" t="s">
        <v>1291</v>
      </c>
      <c r="P36" s="307"/>
      <c r="Q36" s="307"/>
      <c r="R36" s="308"/>
      <c r="S36" s="310"/>
      <c r="T36" s="49"/>
      <c r="U36" s="306" t="s">
        <v>111</v>
      </c>
      <c r="V36" s="311"/>
      <c r="W36" s="311"/>
      <c r="X36" s="312"/>
      <c r="Y36" s="310"/>
    </row>
    <row r="37" ht="15.75" customHeight="1">
      <c r="A37" s="357"/>
      <c r="B37" s="316"/>
      <c r="C37" s="317"/>
      <c r="D37" s="318"/>
      <c r="E37" s="318"/>
      <c r="F37" s="319"/>
      <c r="G37" s="310"/>
      <c r="H37" s="49"/>
      <c r="I37" s="317"/>
      <c r="J37" s="318"/>
      <c r="K37" s="318"/>
      <c r="L37" s="319"/>
      <c r="M37" s="356"/>
      <c r="N37" s="316"/>
      <c r="O37" s="317"/>
      <c r="P37" s="318"/>
      <c r="Q37" s="318"/>
      <c r="R37" s="319"/>
      <c r="S37" s="310"/>
      <c r="T37" s="49"/>
      <c r="U37" s="317"/>
      <c r="V37" s="365"/>
      <c r="W37" s="318"/>
      <c r="X37" s="319"/>
      <c r="Y37" s="310"/>
    </row>
    <row r="38" ht="15.75" customHeight="1">
      <c r="A38" s="357"/>
      <c r="B38" s="316"/>
      <c r="C38" s="313"/>
      <c r="D38" s="321" t="s">
        <v>1293</v>
      </c>
      <c r="E38" s="322" t="str">
        <f>IFERROR(__xludf.DUMMYFUNCTION("""C-""&amp;TEXT(IFERROR(MAX(ARRAYFORMULA(IF(ISNUMBER(SEARCH(""C-"",DATABASE!V:V)),VALUE(REGEXEXTRACT(DATABASE!V:V,""[0-9]+"")),0))),0)+1,""0000"")"),"C-0114")</f>
        <v>C-0114</v>
      </c>
      <c r="F38" s="315"/>
      <c r="G38" s="310"/>
      <c r="H38" s="49"/>
      <c r="I38" s="313"/>
      <c r="J38" s="321" t="s">
        <v>8</v>
      </c>
      <c r="K38" s="323">
        <f>TODAY()</f>
        <v>46291</v>
      </c>
      <c r="L38" s="315"/>
      <c r="M38" s="49"/>
      <c r="N38" s="316"/>
      <c r="O38" s="313"/>
      <c r="P38" s="321" t="s">
        <v>8</v>
      </c>
      <c r="Q38" s="323">
        <f>TODAY()</f>
        <v>46291</v>
      </c>
      <c r="R38" s="315"/>
      <c r="S38" s="310"/>
      <c r="T38" s="49"/>
      <c r="U38" s="313"/>
      <c r="V38" s="321" t="s">
        <v>8</v>
      </c>
      <c r="W38" s="323">
        <f>TODAY()</f>
        <v>46291</v>
      </c>
      <c r="X38" s="315"/>
      <c r="Y38" s="310"/>
    </row>
    <row r="39" ht="2.25" customHeight="1">
      <c r="A39" s="357"/>
      <c r="B39" s="316"/>
      <c r="C39" s="313"/>
      <c r="D39" s="326"/>
      <c r="E39" s="314"/>
      <c r="F39" s="315"/>
      <c r="G39" s="310"/>
      <c r="H39" s="49"/>
      <c r="I39" s="313"/>
      <c r="J39" s="326"/>
      <c r="K39" s="314"/>
      <c r="L39" s="315"/>
      <c r="M39" s="356"/>
      <c r="N39" s="316"/>
      <c r="O39" s="313"/>
      <c r="P39" s="326"/>
      <c r="Q39" s="314"/>
      <c r="R39" s="315"/>
      <c r="S39" s="310"/>
      <c r="T39" s="49"/>
      <c r="U39" s="313"/>
      <c r="V39" s="326"/>
      <c r="W39" s="314"/>
      <c r="X39" s="315"/>
      <c r="Y39" s="310"/>
    </row>
    <row r="40" ht="15.75" customHeight="1">
      <c r="A40" s="357"/>
      <c r="B40" s="316"/>
      <c r="C40" s="313"/>
      <c r="D40" s="321" t="s">
        <v>1303</v>
      </c>
      <c r="E40" s="322" t="s">
        <v>1164</v>
      </c>
      <c r="F40" s="315"/>
      <c r="G40" s="310"/>
      <c r="H40" s="49"/>
      <c r="I40" s="313"/>
      <c r="J40" s="321" t="s">
        <v>1304</v>
      </c>
      <c r="K40" s="322"/>
      <c r="L40" s="315"/>
      <c r="M40" s="49"/>
      <c r="N40" s="316"/>
      <c r="O40" s="313"/>
      <c r="P40" s="321" t="s">
        <v>1239</v>
      </c>
      <c r="Q40" s="322"/>
      <c r="R40" s="315"/>
      <c r="S40" s="310"/>
      <c r="T40" s="49"/>
      <c r="U40" s="313"/>
      <c r="V40" s="321" t="s">
        <v>10</v>
      </c>
      <c r="W40" s="333"/>
      <c r="X40" s="315"/>
      <c r="Y40" s="310"/>
    </row>
    <row r="41" ht="2.25" customHeight="1">
      <c r="A41" s="357"/>
      <c r="B41" s="316"/>
      <c r="C41" s="313"/>
      <c r="D41" s="314"/>
      <c r="E41" s="314"/>
      <c r="F41" s="315"/>
      <c r="G41" s="310"/>
      <c r="H41" s="49"/>
      <c r="I41" s="313"/>
      <c r="J41" s="326"/>
      <c r="K41" s="314"/>
      <c r="L41" s="315"/>
      <c r="M41" s="356"/>
      <c r="N41" s="316"/>
      <c r="O41" s="313"/>
      <c r="P41" s="326"/>
      <c r="Q41" s="314"/>
      <c r="R41" s="315"/>
      <c r="S41" s="310"/>
      <c r="T41" s="49"/>
      <c r="U41" s="313"/>
      <c r="V41" s="326"/>
      <c r="W41" s="329"/>
      <c r="X41" s="315"/>
      <c r="Y41" s="310"/>
    </row>
    <row r="42" ht="15.75" customHeight="1">
      <c r="A42" s="357"/>
      <c r="B42" s="316"/>
      <c r="C42" s="334"/>
      <c r="D42" s="336"/>
      <c r="E42" s="336"/>
      <c r="F42" s="337"/>
      <c r="G42" s="310"/>
      <c r="H42" s="49"/>
      <c r="I42" s="313"/>
      <c r="J42" s="321" t="s">
        <v>1306</v>
      </c>
      <c r="K42" s="322"/>
      <c r="L42" s="315"/>
      <c r="M42" s="49"/>
      <c r="N42" s="316"/>
      <c r="O42" s="313"/>
      <c r="P42" s="321" t="s">
        <v>10</v>
      </c>
      <c r="Q42" s="333"/>
      <c r="R42" s="315"/>
      <c r="S42" s="310"/>
      <c r="T42" s="49"/>
      <c r="U42" s="313"/>
      <c r="V42" s="321" t="s">
        <v>13</v>
      </c>
      <c r="W42" s="322"/>
      <c r="X42" s="331" t="s">
        <v>471</v>
      </c>
      <c r="Y42" s="310"/>
    </row>
    <row r="43" ht="2.25" customHeight="1">
      <c r="A43" s="357"/>
      <c r="B43" s="316"/>
      <c r="C43" s="314"/>
      <c r="D43" s="314"/>
      <c r="E43" s="314"/>
      <c r="F43" s="314"/>
      <c r="G43" s="310"/>
      <c r="H43" s="49"/>
      <c r="I43" s="313"/>
      <c r="J43" s="326"/>
      <c r="K43" s="314"/>
      <c r="L43" s="315"/>
      <c r="M43" s="356"/>
      <c r="N43" s="316"/>
      <c r="O43" s="313"/>
      <c r="P43" s="326"/>
      <c r="Q43" s="366" t="s">
        <v>47</v>
      </c>
      <c r="R43" s="315"/>
      <c r="S43" s="310"/>
      <c r="T43" s="49"/>
      <c r="U43" s="313"/>
      <c r="V43" s="314"/>
      <c r="W43" s="314"/>
      <c r="X43" s="315"/>
      <c r="Y43" s="310"/>
    </row>
    <row r="44" ht="15.75" customHeight="1">
      <c r="A44" s="357"/>
      <c r="B44" s="316"/>
      <c r="C44" s="49"/>
      <c r="D44" s="49"/>
      <c r="E44" s="49"/>
      <c r="F44" s="49"/>
      <c r="G44" s="310"/>
      <c r="H44" s="49"/>
      <c r="I44" s="313"/>
      <c r="J44" s="321" t="s">
        <v>12</v>
      </c>
      <c r="K44" s="322"/>
      <c r="L44" s="315"/>
      <c r="M44" s="49"/>
      <c r="N44" s="316"/>
      <c r="O44" s="334"/>
      <c r="P44" s="340"/>
      <c r="Q44" s="367"/>
      <c r="R44" s="337"/>
      <c r="S44" s="310"/>
      <c r="T44" s="49"/>
      <c r="U44" s="313"/>
      <c r="V44" s="321" t="s">
        <v>15</v>
      </c>
      <c r="W44" s="322"/>
      <c r="X44" s="315"/>
      <c r="Y44" s="310"/>
    </row>
    <row r="45" ht="2.25" customHeight="1">
      <c r="A45" s="357"/>
      <c r="B45" s="316"/>
      <c r="C45" s="49"/>
      <c r="D45" s="49"/>
      <c r="E45" s="49"/>
      <c r="F45" s="49"/>
      <c r="G45" s="310"/>
      <c r="H45" s="49"/>
      <c r="I45" s="313"/>
      <c r="J45" s="314"/>
      <c r="K45" s="314"/>
      <c r="L45" s="315"/>
      <c r="M45" s="356"/>
      <c r="N45" s="316"/>
      <c r="O45" s="314"/>
      <c r="P45" s="326"/>
      <c r="Q45" s="314"/>
      <c r="R45" s="314"/>
      <c r="S45" s="310"/>
      <c r="T45" s="49"/>
      <c r="U45" s="313"/>
      <c r="V45" s="314"/>
      <c r="W45" s="314"/>
      <c r="X45" s="315"/>
      <c r="Y45" s="310"/>
    </row>
    <row r="46" ht="15.75" customHeight="1">
      <c r="A46" s="357"/>
      <c r="B46" s="316"/>
      <c r="C46" s="49"/>
      <c r="D46" s="49"/>
      <c r="E46" s="49"/>
      <c r="F46" s="49"/>
      <c r="G46" s="310"/>
      <c r="H46" s="49"/>
      <c r="I46" s="313"/>
      <c r="J46" s="321" t="s">
        <v>1243</v>
      </c>
      <c r="K46" s="322"/>
      <c r="L46" s="315"/>
      <c r="M46" s="49"/>
      <c r="N46" s="316"/>
      <c r="O46" s="49"/>
      <c r="P46" s="343"/>
      <c r="Q46" s="1"/>
      <c r="R46" s="49"/>
      <c r="S46" s="310"/>
      <c r="T46" s="49"/>
      <c r="U46" s="313"/>
      <c r="V46" s="321" t="s">
        <v>17</v>
      </c>
      <c r="W46" s="322"/>
      <c r="X46" s="315"/>
      <c r="Y46" s="310"/>
    </row>
    <row r="47" ht="2.25" customHeight="1">
      <c r="A47" s="357"/>
      <c r="B47" s="316"/>
      <c r="C47" s="49"/>
      <c r="D47" s="49"/>
      <c r="E47" s="49"/>
      <c r="F47" s="49"/>
      <c r="G47" s="310"/>
      <c r="H47" s="49"/>
      <c r="I47" s="313"/>
      <c r="J47" s="326"/>
      <c r="K47" s="329">
        <v>1.0</v>
      </c>
      <c r="L47" s="315"/>
      <c r="M47" s="356"/>
      <c r="N47" s="316"/>
      <c r="O47" s="49"/>
      <c r="P47" s="49"/>
      <c r="Q47" s="49"/>
      <c r="R47" s="49"/>
      <c r="S47" s="310"/>
      <c r="T47" s="49"/>
      <c r="U47" s="313"/>
      <c r="V47" s="314"/>
      <c r="W47" s="314"/>
      <c r="X47" s="315"/>
      <c r="Y47" s="310"/>
    </row>
    <row r="48" ht="15.75" customHeight="1">
      <c r="A48" s="357"/>
      <c r="B48" s="316"/>
      <c r="C48" s="49"/>
      <c r="D48" s="49"/>
      <c r="E48" s="49"/>
      <c r="F48" s="49"/>
      <c r="G48" s="310"/>
      <c r="H48" s="49"/>
      <c r="I48" s="313"/>
      <c r="J48" s="321" t="s">
        <v>1317</v>
      </c>
      <c r="K48" s="333"/>
      <c r="L48" s="315"/>
      <c r="M48" s="49"/>
      <c r="N48" s="316"/>
      <c r="O48" s="49"/>
      <c r="P48" s="342"/>
      <c r="Q48" s="49"/>
      <c r="R48" s="49"/>
      <c r="S48" s="310"/>
      <c r="T48" s="49"/>
      <c r="U48" s="334"/>
      <c r="V48" s="336"/>
      <c r="W48" s="336"/>
      <c r="X48" s="337"/>
      <c r="Y48" s="310"/>
    </row>
    <row r="49" ht="2.25" customHeight="1">
      <c r="A49" s="357"/>
      <c r="B49" s="316"/>
      <c r="C49" s="49"/>
      <c r="D49" s="49"/>
      <c r="E49" s="49"/>
      <c r="F49" s="49"/>
      <c r="G49" s="310"/>
      <c r="H49" s="49"/>
      <c r="I49" s="313"/>
      <c r="J49" s="326"/>
      <c r="K49" s="314"/>
      <c r="L49" s="315"/>
      <c r="M49" s="356"/>
      <c r="N49" s="316"/>
      <c r="O49" s="49"/>
      <c r="P49" s="49"/>
      <c r="Q49" s="49"/>
      <c r="R49" s="49"/>
      <c r="S49" s="310"/>
      <c r="T49" s="49"/>
      <c r="U49" s="49"/>
      <c r="V49" s="49"/>
      <c r="W49" s="49"/>
      <c r="X49" s="49"/>
      <c r="Y49" s="310"/>
    </row>
    <row r="50" ht="15.75" customHeight="1">
      <c r="A50" s="357"/>
      <c r="B50" s="316"/>
      <c r="C50" s="49"/>
      <c r="D50" s="49"/>
      <c r="E50" s="49"/>
      <c r="F50" s="49"/>
      <c r="G50" s="310"/>
      <c r="H50" s="49"/>
      <c r="I50" s="313"/>
      <c r="J50" s="321" t="s">
        <v>1319</v>
      </c>
      <c r="K50" s="333"/>
      <c r="L50" s="315"/>
      <c r="M50" s="49"/>
      <c r="N50" s="316"/>
      <c r="O50" s="49"/>
      <c r="P50" s="342"/>
      <c r="Q50" s="49"/>
      <c r="R50" s="49"/>
      <c r="S50" s="310"/>
      <c r="T50" s="49"/>
      <c r="U50" s="49"/>
      <c r="V50" s="49"/>
      <c r="W50" s="49"/>
      <c r="X50" s="49"/>
      <c r="Y50" s="310"/>
    </row>
    <row r="51" ht="2.25" customHeight="1">
      <c r="A51" s="357"/>
      <c r="B51" s="316"/>
      <c r="C51" s="49"/>
      <c r="D51" s="49"/>
      <c r="E51" s="49"/>
      <c r="F51" s="49"/>
      <c r="G51" s="310"/>
      <c r="H51" s="49"/>
      <c r="I51" s="313"/>
      <c r="J51" s="326"/>
      <c r="K51" s="329" t="s">
        <v>2</v>
      </c>
      <c r="L51" s="315"/>
      <c r="M51" s="356"/>
      <c r="N51" s="316"/>
      <c r="O51" s="49"/>
      <c r="P51" s="49"/>
      <c r="Q51" s="49"/>
      <c r="R51" s="49"/>
      <c r="S51" s="310"/>
      <c r="T51" s="49"/>
      <c r="U51" s="49"/>
      <c r="V51" s="49"/>
      <c r="W51" s="49"/>
      <c r="X51" s="49"/>
      <c r="Y51" s="310"/>
    </row>
    <row r="52">
      <c r="A52" s="357"/>
      <c r="B52" s="316"/>
      <c r="C52" s="49"/>
      <c r="D52" s="49"/>
      <c r="E52" s="49"/>
      <c r="F52" s="49"/>
      <c r="G52" s="310"/>
      <c r="H52" s="49"/>
      <c r="I52" s="313"/>
      <c r="J52" s="321" t="s">
        <v>511</v>
      </c>
      <c r="K52" s="323">
        <f>K38+30</f>
        <v>46321</v>
      </c>
      <c r="L52" s="315"/>
      <c r="M52" s="49"/>
      <c r="N52" s="316"/>
      <c r="O52" s="49"/>
      <c r="P52" s="342"/>
      <c r="Q52" s="49"/>
      <c r="R52" s="49"/>
      <c r="S52" s="310"/>
      <c r="T52" s="49"/>
      <c r="U52" s="49"/>
      <c r="V52" s="49"/>
      <c r="W52" s="49"/>
      <c r="X52" s="49"/>
      <c r="Y52" s="310"/>
    </row>
    <row r="53" ht="2.25" customHeight="1">
      <c r="A53" s="357"/>
      <c r="B53" s="316"/>
      <c r="C53" s="49"/>
      <c r="D53" s="49"/>
      <c r="E53" s="49"/>
      <c r="F53" s="49"/>
      <c r="G53" s="310"/>
      <c r="H53" s="49"/>
      <c r="I53" s="313"/>
      <c r="J53" s="314"/>
      <c r="K53" s="314"/>
      <c r="L53" s="315"/>
      <c r="M53" s="356"/>
      <c r="N53" s="316"/>
      <c r="O53" s="49"/>
      <c r="P53" s="49"/>
      <c r="Q53" s="49"/>
      <c r="R53" s="49"/>
      <c r="S53" s="310"/>
      <c r="T53" s="49"/>
      <c r="U53" s="49"/>
      <c r="V53" s="49"/>
      <c r="W53" s="49"/>
      <c r="X53" s="49"/>
      <c r="Y53" s="310"/>
    </row>
    <row r="54">
      <c r="A54" s="357"/>
      <c r="B54" s="316"/>
      <c r="C54" s="49"/>
      <c r="D54" s="49"/>
      <c r="E54" s="49"/>
      <c r="F54" s="49"/>
      <c r="G54" s="310"/>
      <c r="H54" s="49"/>
      <c r="I54" s="334"/>
      <c r="J54" s="340"/>
      <c r="K54" s="341"/>
      <c r="L54" s="337"/>
      <c r="M54" s="49"/>
      <c r="N54" s="316"/>
      <c r="O54" s="49"/>
      <c r="P54" s="342"/>
      <c r="Q54" s="49"/>
      <c r="R54" s="49"/>
      <c r="S54" s="310"/>
      <c r="T54" s="49"/>
      <c r="U54" s="49"/>
      <c r="V54" s="49"/>
      <c r="W54" s="49"/>
      <c r="X54" s="49"/>
      <c r="Y54" s="310"/>
    </row>
    <row r="55" ht="2.25" customHeight="1">
      <c r="A55" s="357"/>
      <c r="B55" s="316"/>
      <c r="C55" s="49"/>
      <c r="D55" s="49"/>
      <c r="E55" s="49"/>
      <c r="F55" s="49"/>
      <c r="G55" s="310"/>
      <c r="H55" s="49"/>
      <c r="I55" s="314"/>
      <c r="J55" s="326"/>
      <c r="K55" s="314"/>
      <c r="L55" s="314"/>
      <c r="M55" s="356"/>
      <c r="N55" s="301"/>
      <c r="O55" s="49"/>
      <c r="P55" s="350"/>
      <c r="Q55" s="49"/>
      <c r="R55" s="49"/>
      <c r="S55" s="310"/>
      <c r="T55" s="49"/>
      <c r="U55" s="49"/>
      <c r="V55" s="49"/>
      <c r="W55" s="49"/>
      <c r="X55" s="49"/>
      <c r="Y55" s="310"/>
    </row>
    <row r="56">
      <c r="A56" s="357"/>
      <c r="B56" s="316"/>
      <c r="C56" s="49"/>
      <c r="D56" s="49"/>
      <c r="E56" s="49"/>
      <c r="F56" s="49"/>
      <c r="G56" s="310"/>
      <c r="H56" s="49"/>
      <c r="I56" s="49"/>
      <c r="J56" s="343"/>
      <c r="K56" s="49"/>
      <c r="L56" s="49"/>
      <c r="M56" s="49"/>
      <c r="N56" s="301"/>
      <c r="O56" s="49"/>
      <c r="P56" s="343"/>
      <c r="Q56" s="49"/>
      <c r="R56" s="49"/>
      <c r="S56" s="310"/>
      <c r="T56" s="49"/>
      <c r="U56" s="49"/>
      <c r="V56" s="49"/>
      <c r="W56" s="49"/>
      <c r="X56" s="49"/>
      <c r="Y56" s="310"/>
    </row>
    <row r="57" ht="1.5" customHeight="1">
      <c r="A57" s="357"/>
      <c r="B57" s="316"/>
      <c r="C57" s="49"/>
      <c r="D57" s="49"/>
      <c r="E57" s="49"/>
      <c r="F57" s="49"/>
      <c r="G57" s="310"/>
      <c r="H57" s="49"/>
      <c r="I57" s="49"/>
      <c r="J57" s="49"/>
      <c r="K57" s="49"/>
      <c r="L57" s="49"/>
      <c r="M57" s="356"/>
      <c r="N57" s="301"/>
      <c r="O57" s="49"/>
      <c r="P57" s="49"/>
      <c r="Q57" s="49"/>
      <c r="R57" s="49"/>
      <c r="S57" s="310"/>
      <c r="T57" s="49"/>
      <c r="U57" s="49"/>
      <c r="V57" s="49"/>
      <c r="W57" s="49"/>
      <c r="X57" s="49"/>
      <c r="Y57" s="310"/>
    </row>
    <row r="58">
      <c r="A58" s="357"/>
      <c r="B58" s="316"/>
      <c r="C58" s="49"/>
      <c r="D58" s="49"/>
      <c r="E58" s="49"/>
      <c r="F58" s="49"/>
      <c r="G58" s="310"/>
      <c r="H58" s="49"/>
      <c r="I58" s="49"/>
      <c r="J58" s="343"/>
      <c r="K58" s="1"/>
      <c r="L58" s="49"/>
      <c r="M58" s="49"/>
      <c r="N58" s="301"/>
      <c r="O58" s="49"/>
      <c r="P58" s="49"/>
      <c r="Q58" s="49"/>
      <c r="R58" s="49"/>
      <c r="S58" s="310"/>
      <c r="T58" s="49"/>
      <c r="U58" s="49"/>
      <c r="V58" s="49"/>
      <c r="W58" s="49"/>
      <c r="X58" s="49"/>
      <c r="Y58" s="310"/>
    </row>
    <row r="59" ht="7.5" customHeight="1">
      <c r="A59" s="357"/>
      <c r="B59" s="316"/>
      <c r="C59" s="49"/>
      <c r="D59" s="49"/>
      <c r="E59" s="49"/>
      <c r="F59" s="49"/>
      <c r="G59" s="310"/>
      <c r="H59" s="49"/>
      <c r="I59" s="49"/>
      <c r="J59" s="49"/>
      <c r="K59" s="49"/>
      <c r="L59" s="49"/>
      <c r="M59" s="356"/>
      <c r="N59" s="301"/>
      <c r="O59" s="49"/>
      <c r="P59" s="49"/>
      <c r="Q59" s="49"/>
      <c r="R59" s="49"/>
      <c r="S59" s="310"/>
      <c r="T59" s="49"/>
      <c r="U59" s="49"/>
      <c r="V59" s="49"/>
      <c r="W59" s="49"/>
      <c r="X59" s="49"/>
      <c r="Y59" s="310"/>
    </row>
    <row r="60" ht="6.0" customHeight="1">
      <c r="A60" s="357"/>
      <c r="B60" s="316"/>
      <c r="C60" s="49"/>
      <c r="D60" s="49"/>
      <c r="E60" s="49"/>
      <c r="F60" s="49"/>
      <c r="G60" s="310"/>
      <c r="H60" s="49"/>
      <c r="I60" s="49"/>
      <c r="J60" s="342"/>
      <c r="K60" s="49"/>
      <c r="L60" s="49"/>
      <c r="M60" s="49"/>
      <c r="N60" s="301"/>
      <c r="O60" s="49"/>
      <c r="P60" s="49"/>
      <c r="Q60" s="49"/>
      <c r="R60" s="49"/>
      <c r="S60" s="310"/>
      <c r="T60" s="49"/>
      <c r="U60" s="49"/>
      <c r="V60" s="49"/>
      <c r="W60" s="49"/>
      <c r="X60" s="49"/>
      <c r="Y60" s="310"/>
    </row>
    <row r="61" ht="6.0" customHeight="1">
      <c r="A61" s="357"/>
      <c r="B61" s="316"/>
      <c r="C61" s="49"/>
      <c r="D61" s="49"/>
      <c r="E61" s="49"/>
      <c r="F61" s="49"/>
      <c r="G61" s="310"/>
      <c r="H61" s="49"/>
      <c r="I61" s="49"/>
      <c r="J61" s="49"/>
      <c r="K61" s="49"/>
      <c r="L61" s="49"/>
      <c r="M61" s="49"/>
      <c r="N61" s="301"/>
      <c r="O61" s="49"/>
      <c r="P61" s="49"/>
      <c r="Q61" s="49"/>
      <c r="R61" s="49"/>
      <c r="S61" s="310"/>
      <c r="T61" s="49"/>
      <c r="U61" s="49"/>
      <c r="V61" s="49"/>
      <c r="W61" s="49"/>
      <c r="X61" s="49"/>
      <c r="Y61" s="310"/>
    </row>
    <row r="62" ht="6.0" customHeight="1">
      <c r="A62" s="357"/>
      <c r="B62" s="316"/>
      <c r="C62" s="49"/>
      <c r="D62" s="49"/>
      <c r="E62" s="49"/>
      <c r="F62" s="49"/>
      <c r="G62" s="310"/>
      <c r="H62" s="49"/>
      <c r="I62" s="49"/>
      <c r="J62" s="49"/>
      <c r="K62" s="49"/>
      <c r="L62" s="49"/>
      <c r="M62" s="49"/>
      <c r="N62" s="316"/>
      <c r="O62" s="49"/>
      <c r="P62" s="49"/>
      <c r="Q62" s="49"/>
      <c r="R62" s="49"/>
      <c r="S62" s="310"/>
      <c r="T62" s="49"/>
      <c r="U62" s="49"/>
      <c r="V62" s="49"/>
      <c r="W62" s="49"/>
      <c r="X62" s="49"/>
      <c r="Y62" s="310"/>
    </row>
    <row r="63" ht="6.0" customHeight="1">
      <c r="A63" s="357"/>
      <c r="B63" s="316"/>
      <c r="C63" s="49"/>
      <c r="D63" s="49"/>
      <c r="E63" s="49"/>
      <c r="F63" s="49"/>
      <c r="G63" s="310"/>
      <c r="H63" s="49"/>
      <c r="I63" s="49"/>
      <c r="J63" s="49"/>
      <c r="K63" s="49"/>
      <c r="L63" s="49"/>
      <c r="M63" s="49"/>
      <c r="N63" s="316"/>
      <c r="O63" s="49"/>
      <c r="P63" s="49"/>
      <c r="Q63" s="49"/>
      <c r="R63" s="49"/>
      <c r="S63" s="310"/>
      <c r="T63" s="49"/>
      <c r="U63" s="49"/>
      <c r="V63" s="49"/>
      <c r="W63" s="49"/>
      <c r="X63" s="49"/>
      <c r="Y63" s="310"/>
    </row>
    <row r="64" ht="6.0" customHeight="1">
      <c r="A64" s="368"/>
      <c r="B64" s="353"/>
      <c r="C64" s="352"/>
      <c r="D64" s="352"/>
      <c r="E64" s="352"/>
      <c r="F64" s="352"/>
      <c r="G64" s="354"/>
      <c r="H64" s="49"/>
      <c r="I64" s="49"/>
      <c r="J64" s="49"/>
      <c r="K64" s="49"/>
      <c r="L64" s="49"/>
      <c r="M64" s="49"/>
      <c r="N64" s="353"/>
      <c r="O64" s="352"/>
      <c r="P64" s="352"/>
      <c r="Q64" s="352"/>
      <c r="R64" s="352"/>
      <c r="S64" s="354"/>
      <c r="T64" s="49"/>
      <c r="U64" s="49"/>
      <c r="V64" s="49"/>
      <c r="W64" s="49"/>
      <c r="X64" s="49"/>
      <c r="Y64" s="310"/>
    </row>
    <row r="65">
      <c r="A65" s="357"/>
      <c r="B65" s="370"/>
      <c r="C65" s="298"/>
      <c r="D65" s="298"/>
      <c r="E65" s="298"/>
      <c r="F65" s="298"/>
      <c r="G65" s="300"/>
      <c r="H65" s="370"/>
      <c r="I65" s="298"/>
      <c r="J65" s="298"/>
      <c r="K65" s="298"/>
      <c r="L65" s="298"/>
      <c r="M65" s="300"/>
      <c r="N65" s="370"/>
      <c r="O65" s="298"/>
      <c r="P65" s="298"/>
      <c r="Q65" s="298"/>
      <c r="R65" s="298"/>
      <c r="S65" s="300"/>
      <c r="T65" s="370"/>
      <c r="U65" s="298"/>
      <c r="V65" s="298"/>
      <c r="W65" s="298"/>
      <c r="X65" s="298"/>
      <c r="Y65" s="300"/>
    </row>
    <row r="66" ht="22.5" customHeight="1">
      <c r="A66" s="357"/>
      <c r="B66" s="302"/>
      <c r="C66" s="306" t="s">
        <v>1331</v>
      </c>
      <c r="D66" s="307"/>
      <c r="E66" s="307"/>
      <c r="F66" s="308"/>
      <c r="G66" s="310"/>
      <c r="H66" s="316"/>
      <c r="I66" s="306" t="s">
        <v>1333</v>
      </c>
      <c r="J66" s="311"/>
      <c r="K66" s="311"/>
      <c r="L66" s="312"/>
      <c r="M66" s="310"/>
      <c r="N66" s="316"/>
      <c r="O66" s="49"/>
      <c r="P66" s="49"/>
      <c r="Q66" s="49"/>
      <c r="R66" s="49"/>
      <c r="S66" s="310"/>
      <c r="T66" s="316"/>
      <c r="U66" s="371"/>
      <c r="Y66" s="310"/>
    </row>
    <row r="67" ht="9.0" customHeight="1">
      <c r="A67" s="357"/>
      <c r="B67" s="316"/>
      <c r="C67" s="317"/>
      <c r="D67" s="318"/>
      <c r="E67" s="318"/>
      <c r="F67" s="319"/>
      <c r="G67" s="310"/>
      <c r="H67" s="316"/>
      <c r="I67" s="317"/>
      <c r="J67" s="365"/>
      <c r="K67" s="318"/>
      <c r="L67" s="319"/>
      <c r="M67" s="310"/>
      <c r="N67" s="316"/>
      <c r="O67" s="49"/>
      <c r="P67" s="49"/>
      <c r="Q67" s="49"/>
      <c r="R67" s="49"/>
      <c r="S67" s="310"/>
      <c r="T67" s="316"/>
      <c r="U67" s="49"/>
      <c r="V67" s="350"/>
      <c r="W67" s="49"/>
      <c r="X67" s="49"/>
      <c r="Y67" s="310"/>
    </row>
    <row r="68" ht="16.5" customHeight="1">
      <c r="A68" s="357"/>
      <c r="B68" s="316"/>
      <c r="C68" s="313"/>
      <c r="D68" s="321" t="s">
        <v>1293</v>
      </c>
      <c r="E68" s="322" t="str">
        <f>IFERROR(__xludf.DUMMYFUNCTION("""D-""&amp;TEXT(IFERROR(MAX(ARRAYFORMULA(IF(ISNUMBER(SEARCH(""D-"",DATABASE!AD:AD)),VALUE(REGEXEXTRACT(DATABASE!AD:AD,""[0-9]+"")),0))),0)+1,""0000"")"),"D-0023")</f>
        <v>D-0023</v>
      </c>
      <c r="F68" s="315"/>
      <c r="G68" s="310"/>
      <c r="H68" s="316"/>
      <c r="I68" s="313"/>
      <c r="J68" s="321" t="s">
        <v>8</v>
      </c>
      <c r="K68" s="323">
        <f>TODAY()</f>
        <v>46291</v>
      </c>
      <c r="L68" s="315"/>
      <c r="M68" s="310"/>
      <c r="N68" s="316"/>
      <c r="O68" s="49"/>
      <c r="P68" s="49"/>
      <c r="Q68" s="49"/>
      <c r="R68" s="49"/>
      <c r="S68" s="310"/>
      <c r="T68" s="316"/>
      <c r="U68" s="49"/>
      <c r="V68" s="343"/>
      <c r="W68" s="49"/>
      <c r="X68" s="49"/>
      <c r="Y68" s="310"/>
    </row>
    <row r="69" ht="3.75" customHeight="1">
      <c r="A69" s="357"/>
      <c r="B69" s="316"/>
      <c r="C69" s="313"/>
      <c r="D69" s="326"/>
      <c r="E69" s="314"/>
      <c r="F69" s="315"/>
      <c r="G69" s="310"/>
      <c r="H69" s="316"/>
      <c r="I69" s="313"/>
      <c r="J69" s="326"/>
      <c r="K69" s="314"/>
      <c r="L69" s="315"/>
      <c r="M69" s="310"/>
      <c r="N69" s="316"/>
      <c r="O69" s="49"/>
      <c r="P69" s="49"/>
      <c r="Q69" s="49"/>
      <c r="R69" s="49"/>
      <c r="S69" s="310"/>
      <c r="T69" s="316"/>
      <c r="U69" s="49"/>
      <c r="V69" s="350"/>
      <c r="W69" s="49"/>
      <c r="X69" s="49"/>
      <c r="Y69" s="310"/>
    </row>
    <row r="70" ht="16.5" customHeight="1">
      <c r="A70" s="357"/>
      <c r="B70" s="316"/>
      <c r="C70" s="313"/>
      <c r="D70" s="321" t="s">
        <v>1303</v>
      </c>
      <c r="E70" s="322"/>
      <c r="F70" s="315"/>
      <c r="G70" s="310"/>
      <c r="H70" s="316"/>
      <c r="I70" s="313"/>
      <c r="J70" s="321" t="s">
        <v>10</v>
      </c>
      <c r="K70" s="333"/>
      <c r="L70" s="315"/>
      <c r="M70" s="310"/>
      <c r="N70" s="316"/>
      <c r="O70" s="49"/>
      <c r="P70" s="49"/>
      <c r="Q70" s="49"/>
      <c r="R70" s="49"/>
      <c r="S70" s="310"/>
      <c r="T70" s="316"/>
      <c r="U70" s="49"/>
      <c r="V70" s="343"/>
      <c r="W70" s="1"/>
      <c r="X70" s="49"/>
      <c r="Y70" s="310"/>
    </row>
    <row r="71" ht="4.5" customHeight="1">
      <c r="A71" s="357"/>
      <c r="B71" s="316"/>
      <c r="C71" s="313"/>
      <c r="D71" s="314"/>
      <c r="E71" s="314"/>
      <c r="F71" s="315"/>
      <c r="G71" s="310"/>
      <c r="H71" s="316"/>
      <c r="I71" s="313"/>
      <c r="J71" s="326"/>
      <c r="K71" s="329">
        <v>1420.0</v>
      </c>
      <c r="L71" s="315"/>
      <c r="M71" s="310"/>
      <c r="N71" s="316"/>
      <c r="O71" s="49"/>
      <c r="P71" s="49"/>
      <c r="Q71" s="49"/>
      <c r="R71" s="49"/>
      <c r="S71" s="310"/>
      <c r="T71" s="316"/>
      <c r="U71" s="49"/>
      <c r="V71" s="350"/>
      <c r="W71" s="49"/>
      <c r="X71" s="49"/>
      <c r="Y71" s="310"/>
    </row>
    <row r="72" ht="16.5" customHeight="1">
      <c r="A72" s="357"/>
      <c r="B72" s="316"/>
      <c r="C72" s="334"/>
      <c r="D72" s="336"/>
      <c r="E72" s="336"/>
      <c r="F72" s="337"/>
      <c r="G72" s="310"/>
      <c r="H72" s="316"/>
      <c r="I72" s="313"/>
      <c r="J72" s="321" t="s">
        <v>1345</v>
      </c>
      <c r="K72" s="372"/>
      <c r="L72" s="315"/>
      <c r="M72" s="310"/>
      <c r="N72" s="316"/>
      <c r="O72" s="49"/>
      <c r="P72" s="49"/>
      <c r="Q72" s="49"/>
      <c r="R72" s="49"/>
      <c r="S72" s="310"/>
      <c r="T72" s="316"/>
      <c r="U72" s="49"/>
      <c r="V72" s="343"/>
      <c r="W72" s="29"/>
      <c r="X72" s="49"/>
      <c r="Y72" s="310"/>
    </row>
    <row r="73" ht="6.0" customHeight="1">
      <c r="A73" s="357"/>
      <c r="B73" s="316"/>
      <c r="C73" s="49"/>
      <c r="D73" s="49"/>
      <c r="E73" s="49"/>
      <c r="F73" s="49"/>
      <c r="G73" s="310"/>
      <c r="H73" s="316"/>
      <c r="I73" s="313"/>
      <c r="J73" s="326"/>
      <c r="K73" s="314"/>
      <c r="L73" s="315"/>
      <c r="M73" s="373"/>
      <c r="N73" s="316"/>
      <c r="O73" s="49"/>
      <c r="P73" s="49"/>
      <c r="Q73" s="49"/>
      <c r="R73" s="49"/>
      <c r="S73" s="310"/>
      <c r="T73" s="316"/>
      <c r="U73" s="49"/>
      <c r="V73" s="49"/>
      <c r="W73" s="49"/>
      <c r="X73" s="49"/>
      <c r="Y73" s="310"/>
    </row>
    <row r="74">
      <c r="A74" s="357"/>
      <c r="B74" s="316"/>
      <c r="C74" s="49"/>
      <c r="D74" s="49"/>
      <c r="E74" s="49"/>
      <c r="F74" s="49"/>
      <c r="G74" s="310"/>
      <c r="H74" s="316"/>
      <c r="I74" s="334"/>
      <c r="J74" s="335"/>
      <c r="K74" s="336"/>
      <c r="L74" s="337"/>
      <c r="M74" s="310"/>
      <c r="N74" s="316"/>
      <c r="O74" s="49"/>
      <c r="P74" s="49"/>
      <c r="Q74" s="49"/>
      <c r="R74" s="49"/>
      <c r="S74" s="310"/>
      <c r="T74" s="316"/>
      <c r="U74" s="49"/>
      <c r="V74" s="343"/>
      <c r="W74" s="29"/>
      <c r="X74" s="49"/>
      <c r="Y74" s="310"/>
    </row>
    <row r="75">
      <c r="A75" s="357"/>
      <c r="B75" s="316"/>
      <c r="C75" s="49"/>
      <c r="D75" s="49"/>
      <c r="E75" s="49"/>
      <c r="F75" s="49"/>
      <c r="G75" s="310"/>
      <c r="H75" s="316"/>
      <c r="I75" s="49"/>
      <c r="J75" s="49"/>
      <c r="K75" s="49"/>
      <c r="L75" s="49"/>
      <c r="M75" s="310"/>
      <c r="N75" s="316"/>
      <c r="O75" s="49"/>
      <c r="P75" s="29" t="s">
        <v>1351</v>
      </c>
      <c r="Q75" s="49"/>
      <c r="R75" s="49"/>
      <c r="S75" s="310"/>
      <c r="T75" s="316"/>
      <c r="U75" s="49"/>
      <c r="V75" s="49"/>
      <c r="W75" s="49"/>
      <c r="X75" s="49"/>
      <c r="Y75" s="310"/>
    </row>
  </sheetData>
  <mergeCells count="13">
    <mergeCell ref="I36:L36"/>
    <mergeCell ref="O36:R36"/>
    <mergeCell ref="C66:F66"/>
    <mergeCell ref="I66:L66"/>
    <mergeCell ref="U66:X66"/>
    <mergeCell ref="A1:Y2"/>
    <mergeCell ref="H3:M3"/>
    <mergeCell ref="C4:F4"/>
    <mergeCell ref="I4:L4"/>
    <mergeCell ref="O4:R4"/>
    <mergeCell ref="U4:X4"/>
    <mergeCell ref="C36:F36"/>
    <mergeCell ref="U36:X36"/>
  </mergeCells>
  <dataValidations>
    <dataValidation type="list" allowBlank="1" showErrorMessage="1" sqref="W44">
      <formula1>"Store,Personal,Oil,Operational"</formula1>
    </dataValidation>
    <dataValidation type="list" allowBlank="1" showErrorMessage="1" sqref="K10 Q18 K44">
      <formula1>DATABASE!$C:$C</formula1>
    </dataValidation>
    <dataValidation type="list" allowBlank="1" showErrorMessage="1" sqref="Q10 Q40">
      <formula1>DATABASE!$AE:$AE</formula1>
    </dataValidation>
    <dataValidation type="list" allowBlank="1" showErrorMessage="1" sqref="W9">
      <formula1>DATABASE!$AA:$AA</formula1>
    </dataValidation>
    <dataValidation type="list" allowBlank="1" showErrorMessage="1" sqref="W46">
      <formula1>"Cashier,IBU"</formula1>
    </dataValidation>
    <dataValidation type="list" allowBlank="1" showErrorMessage="1" sqref="Q16">
      <formula1>"BIAN,IBU,non VAT"</formula1>
    </dataValidation>
    <dataValidation type="list" allowBlank="1" showErrorMessage="1" sqref="W10 K42">
      <formula1>DATABASE!$W:$W</formula1>
    </dataValidation>
    <dataValidation type="custom" allowBlank="1" showDropDown="1" showInputMessage="1" showErrorMessage="1" prompt="Enter a value that satisfies the formula: =K20=&quot;Cash&quot;&amp;&quot;MIX&quot;" sqref="K20">
      <formula1>K20="Cash"&amp;"MIX"</formula1>
    </dataValidation>
    <dataValidation type="list" allowBlank="1" showErrorMessage="1" sqref="E24">
      <formula1>DATABASE!$M:$M</formula1>
    </dataValidation>
    <dataValidation type="list" allowBlank="1" sqref="K72">
      <formula1>"BCA,BRI,BNI,DANAMON,EDC,QRIS"</formula1>
    </dataValidation>
    <dataValidation type="list" allowBlank="1" showErrorMessage="1" sqref="Q26">
      <formula1>"Cash,Tempo 14 Days,Tempo 30 Days,Tempo 2 Month,Tempo DUNLOP"</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38"/>
  </cols>
  <sheetData>
    <row r="1">
      <c r="A1" s="379" t="s">
        <v>2</v>
      </c>
      <c r="D1" s="13" t="s">
        <v>1840</v>
      </c>
    </row>
    <row r="2">
      <c r="A2" s="81" t="str">
        <f t="array" ref="A2:B2">{"Item", "Terjual"}</f>
        <v>Item</v>
      </c>
      <c r="B2" s="81" t="s">
        <v>2310</v>
      </c>
    </row>
    <row r="3">
      <c r="A3" s="13" t="str">
        <f>IFERROR(__xludf.DUMMYFUNCTION("QUERY({
    FILTER({'SELLING CASH'!E:F, TRIM('SELLING CASH'!R:R)}, 
      YEAR('SELLING CASH'!C:C) = VALUE(DASHBOARD!B4),
      TRIM('SELLING CASH'!R:R) = ""Tire"");
    FILTER({'SELLING CREDIT'!F:G, TRIM('SELLING CREDIT'!S:S)}, 
      YEAR('SELLING "&amp;"CREDIT'!C:C) = VALUE(DASHBOARD!B4),
      TRIM('SELLING CREDIT'!S:S) = ""Tire"")
  },
  ""SELECT Col1, SUM(Col2) 
   WHERE Col1 IS NOT NULL 
   GROUP BY Col1 
   ORDER BY SUM(Col2) DESC 
   LIMIT 15"")"),"")</f>
        <v/>
      </c>
      <c r="B3" s="81" t="str">
        <f>IFERROR(__xludf.DUMMYFUNCTION("""COMPUTED_VALUE"""),"sum ")</f>
        <v>sum </v>
      </c>
    </row>
    <row r="4">
      <c r="A4" s="81" t="str">
        <f>IFERROR(__xludf.DUMMYFUNCTION("""COMPUTED_VALUE"""),"Dunlop 175/13 LT5")</f>
        <v>Dunlop 175/13 LT5</v>
      </c>
      <c r="B4" s="81">
        <f>IFERROR(__xludf.DUMMYFUNCTION("""COMPUTED_VALUE"""),438.0)</f>
        <v>438</v>
      </c>
    </row>
    <row r="5">
      <c r="A5" s="81" t="str">
        <f>IFERROR(__xludf.DUMMYFUNCTION("""COMPUTED_VALUE"""),"Dunlop 185/14 LT5")</f>
        <v>Dunlop 185/14 LT5</v>
      </c>
      <c r="B5" s="81">
        <f>IFERROR(__xludf.DUMMYFUNCTION("""COMPUTED_VALUE"""),238.0)</f>
        <v>238</v>
      </c>
    </row>
    <row r="6">
      <c r="A6" s="81" t="str">
        <f>IFERROR(__xludf.DUMMYFUNCTION("""COMPUTED_VALUE"""),"GT 165/80 13 ECOTEC")</f>
        <v>GT 165/80 13 ECOTEC</v>
      </c>
      <c r="B6" s="81">
        <f>IFERROR(__xludf.DUMMYFUNCTION("""COMPUTED_VALUE"""),199.0)</f>
        <v>199</v>
      </c>
    </row>
    <row r="7">
      <c r="A7" s="81" t="str">
        <f>IFERROR(__xludf.DUMMYFUNCTION("""COMPUTED_VALUE"""),"Dunlop 185/70 14 SP10")</f>
        <v>Dunlop 185/70 14 SP10</v>
      </c>
      <c r="B7" s="81">
        <f>IFERROR(__xludf.DUMMYFUNCTION("""COMPUTED_VALUE"""),159.0)</f>
        <v>159</v>
      </c>
    </row>
    <row r="8">
      <c r="A8" s="81" t="str">
        <f>IFERROR(__xludf.DUMMYFUNCTION("""COMPUTED_VALUE"""),"Dunlop 165/13 LT5")</f>
        <v>Dunlop 165/13 LT5</v>
      </c>
      <c r="B8" s="81">
        <f>IFERROR(__xludf.DUMMYFUNCTION("""COMPUTED_VALUE"""),128.0)</f>
        <v>128</v>
      </c>
    </row>
    <row r="9">
      <c r="A9" s="81" t="str">
        <f>IFERROR(__xludf.DUMMYFUNCTION("""COMPUTED_VALUE"""),"BD 13 IBK")</f>
        <v>BD 13 IBK</v>
      </c>
      <c r="B9" s="81">
        <f>IFERROR(__xludf.DUMMYFUNCTION("""COMPUTED_VALUE"""),114.0)</f>
        <v>114</v>
      </c>
    </row>
    <row r="10">
      <c r="A10" s="81" t="str">
        <f>IFERROR(__xludf.DUMMYFUNCTION("""COMPUTED_VALUE"""),"Flap 16 GT")</f>
        <v>Flap 16 GT</v>
      </c>
      <c r="B10" s="81">
        <f>IFERROR(__xludf.DUMMYFUNCTION("""COMPUTED_VALUE"""),97.0)</f>
        <v>97</v>
      </c>
    </row>
    <row r="11">
      <c r="A11" s="81" t="str">
        <f>IFERROR(__xludf.DUMMYFUNCTION("""COMPUTED_VALUE"""),"TIRON 750/16")</f>
        <v>TIRON 750/16</v>
      </c>
      <c r="B11" s="81">
        <f>IFERROR(__xludf.DUMMYFUNCTION("""COMPUTED_VALUE"""),86.0)</f>
        <v>86</v>
      </c>
    </row>
    <row r="12">
      <c r="A12" s="81" t="str">
        <f>IFERROR(__xludf.DUMMYFUNCTION("""COMPUTED_VALUE"""),"Dunlop 185/65 15 EC300")</f>
        <v>Dunlop 185/65 15 EC300</v>
      </c>
      <c r="B12" s="81">
        <f>IFERROR(__xludf.DUMMYFUNCTION("""COMPUTED_VALUE"""),75.0)</f>
        <v>75</v>
      </c>
    </row>
    <row r="13">
      <c r="A13" s="81" t="str">
        <f>IFERROR(__xludf.DUMMYFUNCTION("""COMPUTED_VALUE"""),"Dunlop 175/65 14 EC300")</f>
        <v>Dunlop 175/65 14 EC300</v>
      </c>
      <c r="B13" s="81">
        <f>IFERROR(__xludf.DUMMYFUNCTION("""COMPUTED_VALUE"""),74.0)</f>
        <v>74</v>
      </c>
    </row>
    <row r="14">
      <c r="A14" s="81" t="str">
        <f>IFERROR(__xludf.DUMMYFUNCTION("""COMPUTED_VALUE"""),"GT 550/13 8PR")</f>
        <v>GT 550/13 8PR</v>
      </c>
      <c r="B14" s="81">
        <f>IFERROR(__xludf.DUMMYFUNCTION("""COMPUTED_VALUE"""),74.0)</f>
        <v>74</v>
      </c>
    </row>
    <row r="15">
      <c r="A15" s="81" t="str">
        <f>IFERROR(__xludf.DUMMYFUNCTION("""COMPUTED_VALUE"""),"TIRON 750/15 12PR")</f>
        <v>TIRON 750/15 12PR</v>
      </c>
      <c r="B15" s="81">
        <f>IFERROR(__xludf.DUMMYFUNCTION("""COMPUTED_VALUE"""),73.0)</f>
        <v>73</v>
      </c>
    </row>
    <row r="16">
      <c r="A16" s="81" t="str">
        <f>IFERROR(__xludf.DUMMYFUNCTION("""COMPUTED_VALUE"""),"Bridgestone 185/70 14 Ecopia")</f>
        <v>Bridgestone 185/70 14 Ecopia</v>
      </c>
      <c r="B16" s="81">
        <f>IFERROR(__xludf.DUMMYFUNCTION("""COMPUTED_VALUE"""),69.0)</f>
        <v>69</v>
      </c>
    </row>
    <row r="17">
      <c r="A17" s="81" t="str">
        <f>IFERROR(__xludf.DUMMYFUNCTION("""COMPUTED_VALUE"""),"Advance 750/16 k. tahu GL909A")</f>
        <v>Advance 750/16 k. tahu GL909A</v>
      </c>
      <c r="B17" s="81">
        <f>IFERROR(__xludf.DUMMYFUNCTION("""COMPUTED_VALUE"""),67.0)</f>
        <v>67</v>
      </c>
    </row>
    <row r="18">
      <c r="A18" s="81" t="str">
        <f>IFERROR(__xludf.DUMMYFUNCTION("""COMPUTED_VALUE"""),"Bridgestone 175/13 Duravis")</f>
        <v>Bridgestone 175/13 Duravis</v>
      </c>
      <c r="B18" s="81">
        <f>IFERROR(__xludf.DUMMYFUNCTION("""COMPUTED_VALUE"""),64.0)</f>
        <v>64</v>
      </c>
    </row>
    <row r="21">
      <c r="A21" s="13" t="s">
        <v>2323</v>
      </c>
      <c r="B21" s="13" t="s">
        <v>16</v>
      </c>
      <c r="C21" s="13" t="s">
        <v>78</v>
      </c>
      <c r="F21" s="13" t="s">
        <v>2324</v>
      </c>
    </row>
    <row r="22">
      <c r="A22" s="390">
        <f>DATE($B$4, 1, 1)</f>
        <v>159978</v>
      </c>
      <c r="B22" s="81" t="str">
        <f>SUMIFS(SELLING CASH!$I:$I, 
        SELLING CASH!$C:$C, "&gt;=" &amp; DATE(DASHBOARD!$B$4, $A22, 1), 
        SELLING CASH!$C:$C, "&lt;=" &amp; EOMONTH(DATE(DASHBOARD!$B$4, $A22, 1), 0)) 
 + 
 SUMIFS(PAYMENT CREDIT!$F:$F, 
        PAYMENT CREDIT!$C:$C, "&gt;=" &amp; DATE(DASHBOARD!$B$4, $A22, 1), 
        PAYMENT CREDIT!$C:$C, "&lt;=" &amp; EOMONTH(DATE(DASHBOARD!$B$4, $A22, 1), 0))</f>
        <v>#ERROR!</v>
      </c>
    </row>
    <row r="23">
      <c r="A23" s="390">
        <f>DATE($B$4, 2, 1)</f>
        <v>160009</v>
      </c>
    </row>
    <row r="24">
      <c r="A24" s="390">
        <f>DATE($B$4, 3, 1)</f>
        <v>160037</v>
      </c>
    </row>
    <row r="25">
      <c r="A25" s="390">
        <f>DATE($B$4, 4, 1)</f>
        <v>160068</v>
      </c>
    </row>
    <row r="26">
      <c r="A26" s="390">
        <f>DATE($B$4, 5, 1)</f>
        <v>160098</v>
      </c>
    </row>
    <row r="27">
      <c r="A27" s="390">
        <f>DATE($B$4, 6, 1)</f>
        <v>160129</v>
      </c>
    </row>
    <row r="28">
      <c r="A28" s="390">
        <f>DATE($B$4, 7, 1)</f>
        <v>160159</v>
      </c>
    </row>
    <row r="29">
      <c r="A29" s="390">
        <f>DATE($B$4, 8, 1)</f>
        <v>160190</v>
      </c>
    </row>
    <row r="30">
      <c r="A30" s="390">
        <f>DATE($B$4, 9, 1)</f>
        <v>160221</v>
      </c>
    </row>
    <row r="31">
      <c r="A31" s="390">
        <f>DATE($B$4, 10, 1)</f>
        <v>160251</v>
      </c>
    </row>
    <row r="32">
      <c r="A32" s="390">
        <f>DATE($B$4, 11, 1)</f>
        <v>160282</v>
      </c>
    </row>
    <row r="33">
      <c r="A33" s="390">
        <f>DATE($B$4, 12, 1)</f>
        <v>160312</v>
      </c>
    </row>
    <row r="34">
      <c r="A34" s="392"/>
    </row>
    <row r="35">
      <c r="A35" s="392"/>
    </row>
    <row r="36">
      <c r="A36" s="392"/>
    </row>
  </sheetData>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0"/>
    <col customWidth="1" min="2" max="2" width="2.13"/>
    <col customWidth="1" min="3" max="3" width="14.13"/>
    <col customWidth="1" min="4" max="4" width="17.0"/>
    <col customWidth="1" min="5" max="5" width="32.25"/>
    <col customWidth="1" min="6" max="6" width="11.88"/>
    <col customWidth="1" min="7" max="7" width="12.5"/>
    <col customWidth="1" min="8" max="8" width="13.88"/>
    <col customWidth="1" min="9" max="9" width="12.5"/>
    <col customWidth="1" min="10" max="10" width="17.25"/>
    <col customWidth="1" min="11" max="12" width="16.38"/>
    <col customWidth="1" min="13" max="13" width="20.75"/>
    <col customWidth="1" min="14" max="15" width="12.75"/>
    <col customWidth="1" min="16" max="16" width="8.13"/>
    <col customWidth="1" min="17" max="17" width="14.38"/>
    <col customWidth="1" min="18" max="18" width="16.38"/>
    <col customWidth="1" min="19" max="19" width="3.25"/>
    <col customWidth="1" min="21" max="21" width="23.88"/>
    <col customWidth="1" min="22" max="22" width="3.25"/>
    <col customWidth="1" min="23" max="23" width="2.5"/>
  </cols>
  <sheetData>
    <row r="1" ht="33.0" customHeight="1">
      <c r="A1" s="29" t="s">
        <v>2</v>
      </c>
      <c r="B1" s="2"/>
      <c r="C1" s="380" t="s">
        <v>8</v>
      </c>
      <c r="D1" s="37" t="s">
        <v>501</v>
      </c>
      <c r="E1" s="37" t="s">
        <v>12</v>
      </c>
      <c r="F1" s="381" t="s">
        <v>1243</v>
      </c>
      <c r="G1" s="41" t="s">
        <v>505</v>
      </c>
      <c r="H1" s="41" t="s">
        <v>2149</v>
      </c>
      <c r="I1" s="41" t="s">
        <v>239</v>
      </c>
      <c r="J1" s="41" t="s">
        <v>28</v>
      </c>
      <c r="K1" s="382" t="s">
        <v>2150</v>
      </c>
      <c r="L1" s="383" t="s">
        <v>2151</v>
      </c>
      <c r="M1" s="41" t="s">
        <v>2152</v>
      </c>
      <c r="N1" s="41" t="s">
        <v>78</v>
      </c>
      <c r="O1" s="37" t="s">
        <v>26</v>
      </c>
      <c r="P1" s="37" t="s">
        <v>1244</v>
      </c>
      <c r="Q1" s="37" t="s">
        <v>21</v>
      </c>
      <c r="R1" s="37" t="s">
        <v>15</v>
      </c>
      <c r="S1" s="81">
        <f>COUNTA(C:C)</f>
        <v>10490</v>
      </c>
      <c r="V1" s="2"/>
      <c r="W1" s="2"/>
      <c r="X1" s="2"/>
    </row>
    <row r="2" ht="16.5" customHeight="1">
      <c r="A2" s="39"/>
      <c r="B2" s="2"/>
      <c r="C2" s="384">
        <v>45658.0</v>
      </c>
      <c r="D2" s="93">
        <v>3761.0</v>
      </c>
      <c r="E2" s="385" t="s">
        <v>1009</v>
      </c>
      <c r="F2" s="386">
        <v>2.0</v>
      </c>
      <c r="G2" s="74">
        <v>670000.0</v>
      </c>
      <c r="H2" s="74">
        <v>0.0</v>
      </c>
      <c r="I2" s="74">
        <f t="shared" ref="I2:I9525" si="1">(G2-H2)*F2</f>
        <v>1340000</v>
      </c>
      <c r="J2" s="74">
        <f>IF(E2="SERVICE",I2-(I2*50%),Vlookup(E2,DATABASE!C:Q,10,false)*F2)</f>
        <v>0</v>
      </c>
      <c r="K2" s="74">
        <v>582500.0</v>
      </c>
      <c r="L2" s="74">
        <v>582500.0</v>
      </c>
      <c r="M2" s="74">
        <f t="shared" ref="M2:M7638" si="2">CEILING(L2, 5000)</f>
        <v>585000</v>
      </c>
      <c r="N2" s="74">
        <f t="shared" ref="N2:N10365" si="3">if(R2="SERVICE",I2-(J2+M2),
   IF(R2="COMPLEMENTARY",I2-((M2*F2)+J2),I2-(M2*F2)))</f>
        <v>170000</v>
      </c>
      <c r="O2" s="65" t="str">
        <f>VLOOKUP(E2,DATABASE!C:Q,8,false)</f>
        <v>BIAN</v>
      </c>
      <c r="P2" s="65">
        <f>VLOOKUP(E2,DATABASE!C:Q,9,False)</f>
        <v>1</v>
      </c>
      <c r="Q2" s="93" t="str">
        <f>VLOOKUP(E2,DATABASE!C:Q,4,false)</f>
        <v>GT</v>
      </c>
      <c r="R2" s="93" t="str">
        <f>VLOOKUP(E2,DATABASE!C:Q,11,false)</f>
        <v>Tire</v>
      </c>
      <c r="S2" s="2"/>
      <c r="U2" s="2"/>
      <c r="V2" s="2"/>
      <c r="W2" s="2"/>
      <c r="X2" s="2"/>
    </row>
    <row r="3" ht="14.25" customHeight="1">
      <c r="A3" s="49"/>
      <c r="C3" s="384">
        <v>45658.0</v>
      </c>
      <c r="D3" s="93">
        <v>3761.0</v>
      </c>
      <c r="E3" s="385" t="s">
        <v>299</v>
      </c>
      <c r="F3" s="386">
        <v>2.0</v>
      </c>
      <c r="G3" s="74">
        <v>30000.0</v>
      </c>
      <c r="H3" s="74">
        <v>0.0</v>
      </c>
      <c r="I3" s="74">
        <f t="shared" si="1"/>
        <v>60000</v>
      </c>
      <c r="J3" s="74">
        <f>IF(E3="SERVICE",I3-(I3*50%),Vlookup(E3,DATABASE!C:Q,10,false)*F3)</f>
        <v>0</v>
      </c>
      <c r="K3" s="74">
        <v>0.0</v>
      </c>
      <c r="L3" s="74">
        <v>0.0</v>
      </c>
      <c r="M3" s="74">
        <f t="shared" si="2"/>
        <v>0</v>
      </c>
      <c r="N3" s="74">
        <f t="shared" si="3"/>
        <v>60000</v>
      </c>
      <c r="O3" s="65" t="str">
        <f>VLOOKUP(E3,DATABASE!C:Q,8,false)</f>
        <v>BIAN</v>
      </c>
      <c r="P3" s="65">
        <f>VLOOKUP(E3,DATABASE!C:Q,9,False)</f>
        <v>0</v>
      </c>
      <c r="Q3" s="93" t="str">
        <f>VLOOKUP(E3,DATABASE!C:Q,4,false)</f>
        <v>Balancing</v>
      </c>
      <c r="R3" s="93" t="str">
        <f>VLOOKUP(E3,DATABASE!C:Q,11,false)</f>
        <v>COMPLEMENTARY</v>
      </c>
    </row>
    <row r="4" ht="17.25" customHeight="1">
      <c r="A4" s="49"/>
      <c r="C4" s="384">
        <v>45658.0</v>
      </c>
      <c r="D4" s="93">
        <v>3762.0</v>
      </c>
      <c r="E4" s="385" t="s">
        <v>246</v>
      </c>
      <c r="F4" s="387">
        <v>1.0</v>
      </c>
      <c r="G4" s="74">
        <v>30000.0</v>
      </c>
      <c r="H4" s="74">
        <v>0.0</v>
      </c>
      <c r="I4" s="74">
        <f t="shared" si="1"/>
        <v>30000</v>
      </c>
      <c r="J4" s="74">
        <f>IF(E4="SERVICE",I4-(I4*50%),Vlookup(E4,DATABASE!C:Q,10,false)*F4)</f>
        <v>0</v>
      </c>
      <c r="K4" s="74">
        <f>VLOOKUP(E4,DATABASE!C:Q,7,false)</f>
        <v>0</v>
      </c>
      <c r="L4" s="74">
        <v>0.0</v>
      </c>
      <c r="M4" s="74">
        <f t="shared" si="2"/>
        <v>0</v>
      </c>
      <c r="N4" s="74">
        <f t="shared" si="3"/>
        <v>30000</v>
      </c>
      <c r="O4" s="65" t="str">
        <f>VLOOKUP(E4,DATABASE!C:Q,8,false)</f>
        <v>IBU</v>
      </c>
      <c r="P4" s="65">
        <f>VLOOKUP(E4,DATABASE!C:Q,9,False)</f>
        <v>0</v>
      </c>
      <c r="Q4" s="93" t="str">
        <f>VLOOKUP(E4,DATABASE!C:Q,4,false)</f>
        <v>Bongkar Pasang</v>
      </c>
      <c r="R4" s="93" t="str">
        <f>VLOOKUP(E4,DATABASE!C:Q,11,false)</f>
        <v>SERVICE</v>
      </c>
      <c r="S4" s="2"/>
      <c r="U4" s="2"/>
      <c r="V4" s="2"/>
    </row>
    <row r="5" ht="15.0" customHeight="1">
      <c r="A5" s="49"/>
      <c r="C5" s="384">
        <v>45658.0</v>
      </c>
      <c r="D5" s="65">
        <v>3764.0</v>
      </c>
      <c r="E5" s="385" t="s">
        <v>256</v>
      </c>
      <c r="F5" s="386">
        <v>1.0</v>
      </c>
      <c r="G5" s="74">
        <v>130000.0</v>
      </c>
      <c r="H5" s="74">
        <v>0.0</v>
      </c>
      <c r="I5" s="74">
        <f t="shared" si="1"/>
        <v>130000</v>
      </c>
      <c r="J5" s="74">
        <f>IF(E5="SERVICE",I5-(I5*50%),Vlookup(E5,DATABASE!C:Q,10,false)*F5)</f>
        <v>10000</v>
      </c>
      <c r="K5" s="74">
        <f>VLOOKUP(E5,DATABASE!C:Q,7,false)</f>
        <v>0</v>
      </c>
      <c r="L5" s="74">
        <v>0.0</v>
      </c>
      <c r="M5" s="74">
        <f t="shared" si="2"/>
        <v>0</v>
      </c>
      <c r="N5" s="74">
        <f t="shared" si="3"/>
        <v>120000</v>
      </c>
      <c r="O5" s="65" t="str">
        <f>VLOOKUP(E5,DATABASE!C:Q,8,false)</f>
        <v>IBU</v>
      </c>
      <c r="P5" s="65">
        <f>VLOOKUP(E5,DATABASE!C:Q,9,False)</f>
        <v>0</v>
      </c>
      <c r="Q5" s="93" t="str">
        <f>VLOOKUP(E5,DATABASE!C:Q,4,false)</f>
        <v>SPOORING</v>
      </c>
      <c r="R5" s="93" t="str">
        <f>VLOOKUP(E5,DATABASE!C:Q,11,false)</f>
        <v>SERVICE</v>
      </c>
    </row>
    <row r="6" ht="15.0" customHeight="1">
      <c r="A6" s="49"/>
      <c r="C6" s="384">
        <v>45659.0</v>
      </c>
      <c r="D6" s="93">
        <v>3765.0</v>
      </c>
      <c r="E6" s="385" t="s">
        <v>2060</v>
      </c>
      <c r="F6" s="386">
        <v>2.0</v>
      </c>
      <c r="G6" s="74">
        <v>625000.0</v>
      </c>
      <c r="H6" s="74">
        <v>0.0</v>
      </c>
      <c r="I6" s="74">
        <f t="shared" si="1"/>
        <v>1250000</v>
      </c>
      <c r="J6" s="74">
        <f>IF(E6="SERVICE",I6-(I6*50%),Vlookup(E6,DATABASE!C:Q,10,false)*F6)</f>
        <v>0</v>
      </c>
      <c r="K6" s="74">
        <f>VLOOKUP(E6,DATABASE!C:Q,7,false)</f>
        <v>517000</v>
      </c>
      <c r="L6" s="74">
        <v>517000.0</v>
      </c>
      <c r="M6" s="74">
        <f t="shared" si="2"/>
        <v>520000</v>
      </c>
      <c r="N6" s="74">
        <f t="shared" si="3"/>
        <v>210000</v>
      </c>
      <c r="O6" s="65" t="str">
        <f>VLOOKUP(E6,DATABASE!C:Q,8,false)</f>
        <v>BIAN</v>
      </c>
      <c r="P6" s="65">
        <f>VLOOKUP(E6,DATABASE!C:Q,9,False)</f>
        <v>1</v>
      </c>
      <c r="Q6" s="93" t="str">
        <f>VLOOKUP(E6,DATABASE!C:Q,4,false)</f>
        <v>HANKOOK</v>
      </c>
      <c r="R6" s="93" t="str">
        <f>VLOOKUP(E6,DATABASE!C:Q,11,false)</f>
        <v>Tire</v>
      </c>
    </row>
    <row r="7" ht="15.0" customHeight="1">
      <c r="A7" s="49"/>
      <c r="C7" s="384">
        <v>45659.0</v>
      </c>
      <c r="D7" s="93">
        <v>3766.0</v>
      </c>
      <c r="E7" s="385" t="s">
        <v>1541</v>
      </c>
      <c r="F7" s="386">
        <v>1.0</v>
      </c>
      <c r="G7" s="74">
        <v>900000.0</v>
      </c>
      <c r="H7" s="74">
        <v>0.0</v>
      </c>
      <c r="I7" s="74">
        <f t="shared" si="1"/>
        <v>900000</v>
      </c>
      <c r="J7" s="74">
        <f>IF(E7="SERVICE",I7-(I7*50%),Vlookup(E7,DATABASE!C:Q,10,false)*F7)</f>
        <v>0</v>
      </c>
      <c r="K7" s="74">
        <v>805000.0</v>
      </c>
      <c r="L7" s="74">
        <v>805000.0</v>
      </c>
      <c r="M7" s="74">
        <f t="shared" si="2"/>
        <v>805000</v>
      </c>
      <c r="N7" s="74">
        <f t="shared" si="3"/>
        <v>95000</v>
      </c>
      <c r="O7" s="65" t="str">
        <f>VLOOKUP(E7,DATABASE!C:Q,8,false)</f>
        <v>IBU</v>
      </c>
      <c r="P7" s="65">
        <f>VLOOKUP(E7,DATABASE!C:Q,9,False)</f>
        <v>1</v>
      </c>
      <c r="Q7" s="93" t="str">
        <f>VLOOKUP(E7,DATABASE!C:Q,4,false)</f>
        <v>Dunlop</v>
      </c>
      <c r="R7" s="93" t="str">
        <f>VLOOKUP(E7,DATABASE!C:Q,11,false)</f>
        <v>Tire</v>
      </c>
    </row>
    <row r="8" ht="15.0" customHeight="1">
      <c r="A8" s="49"/>
      <c r="C8" s="384">
        <v>45659.0</v>
      </c>
      <c r="D8" s="93">
        <v>3768.0</v>
      </c>
      <c r="E8" s="385" t="s">
        <v>268</v>
      </c>
      <c r="F8" s="386">
        <v>2.0</v>
      </c>
      <c r="G8" s="74">
        <v>700000.0</v>
      </c>
      <c r="H8" s="74">
        <v>0.0</v>
      </c>
      <c r="I8" s="74">
        <f t="shared" si="1"/>
        <v>1400000</v>
      </c>
      <c r="J8" s="74">
        <f>IF(E8="SERVICE",I8-(I8*50%),Vlookup(E8,DATABASE!C:Q,10,false)*F8)</f>
        <v>0</v>
      </c>
      <c r="K8" s="74">
        <v>613000.0</v>
      </c>
      <c r="L8" s="74">
        <v>613000.0</v>
      </c>
      <c r="M8" s="74">
        <f t="shared" si="2"/>
        <v>615000</v>
      </c>
      <c r="N8" s="74">
        <f t="shared" si="3"/>
        <v>170000</v>
      </c>
      <c r="O8" s="65" t="str">
        <f>VLOOKUP(E8,DATABASE!C:Q,8,false)</f>
        <v>IBU</v>
      </c>
      <c r="P8" s="65">
        <f>VLOOKUP(E8,DATABASE!C:Q,9,False)</f>
        <v>1</v>
      </c>
      <c r="Q8" s="93" t="str">
        <f>VLOOKUP(E8,DATABASE!C:Q,4,false)</f>
        <v>Dunlop</v>
      </c>
      <c r="R8" s="93" t="str">
        <f>VLOOKUP(E8,DATABASE!C:Q,11,false)</f>
        <v>Tire</v>
      </c>
    </row>
    <row r="9" ht="15.0" customHeight="1">
      <c r="A9" s="49"/>
      <c r="C9" s="384">
        <v>45659.0</v>
      </c>
      <c r="D9" s="93">
        <v>3769.0</v>
      </c>
      <c r="E9" s="385" t="s">
        <v>256</v>
      </c>
      <c r="F9" s="386">
        <v>1.0</v>
      </c>
      <c r="G9" s="74">
        <v>130000.0</v>
      </c>
      <c r="H9" s="74">
        <v>0.0</v>
      </c>
      <c r="I9" s="74">
        <f t="shared" si="1"/>
        <v>130000</v>
      </c>
      <c r="J9" s="74">
        <f>IF(E9="SERVICE",I9-(I9*50%),Vlookup(E9,DATABASE!C:Q,10,false)*F9)</f>
        <v>10000</v>
      </c>
      <c r="K9" s="74">
        <f>VLOOKUP(E9,DATABASE!C:Q,7,false)</f>
        <v>0</v>
      </c>
      <c r="L9" s="74">
        <v>0.0</v>
      </c>
      <c r="M9" s="74">
        <f t="shared" si="2"/>
        <v>0</v>
      </c>
      <c r="N9" s="74">
        <f t="shared" si="3"/>
        <v>120000</v>
      </c>
      <c r="O9" s="65" t="str">
        <f>VLOOKUP(E9,DATABASE!C:Q,8,false)</f>
        <v>IBU</v>
      </c>
      <c r="P9" s="65">
        <f>VLOOKUP(E9,DATABASE!C:Q,9,False)</f>
        <v>0</v>
      </c>
      <c r="Q9" s="93" t="str">
        <f>VLOOKUP(E9,DATABASE!C:Q,4,false)</f>
        <v>SPOORING</v>
      </c>
      <c r="R9" s="93" t="str">
        <f>VLOOKUP(E9,DATABASE!C:Q,11,false)</f>
        <v>SERVICE</v>
      </c>
    </row>
    <row r="10" ht="15.0" customHeight="1">
      <c r="A10" s="49"/>
      <c r="C10" s="384">
        <v>45659.0</v>
      </c>
      <c r="D10" s="93">
        <v>3769.0</v>
      </c>
      <c r="E10" s="385" t="s">
        <v>299</v>
      </c>
      <c r="F10" s="386">
        <v>2.0</v>
      </c>
      <c r="G10" s="74">
        <v>30000.0</v>
      </c>
      <c r="H10" s="74">
        <v>0.0</v>
      </c>
      <c r="I10" s="74">
        <f t="shared" si="1"/>
        <v>60000</v>
      </c>
      <c r="J10" s="74">
        <f>IF(E10="SERVICE",I10-(I10*50%),Vlookup(E10,DATABASE!C:Q,10,false)*F10)</f>
        <v>0</v>
      </c>
      <c r="K10" s="74">
        <v>0.0</v>
      </c>
      <c r="L10" s="74">
        <v>0.0</v>
      </c>
      <c r="M10" s="74">
        <f t="shared" si="2"/>
        <v>0</v>
      </c>
      <c r="N10" s="74">
        <f t="shared" si="3"/>
        <v>60000</v>
      </c>
      <c r="O10" s="65" t="str">
        <f>VLOOKUP(E10,DATABASE!C:Q,8,false)</f>
        <v>BIAN</v>
      </c>
      <c r="P10" s="65">
        <f>VLOOKUP(E10,DATABASE!C:Q,9,False)</f>
        <v>0</v>
      </c>
      <c r="Q10" s="93" t="str">
        <f>VLOOKUP(E10,DATABASE!C:Q,4,false)</f>
        <v>Balancing</v>
      </c>
      <c r="R10" s="93" t="str">
        <f>VLOOKUP(E10,DATABASE!C:Q,11,false)</f>
        <v>COMPLEMENTARY</v>
      </c>
    </row>
    <row r="11" ht="15.0" customHeight="1">
      <c r="A11" s="49"/>
      <c r="C11" s="384">
        <v>45659.0</v>
      </c>
      <c r="D11" s="93">
        <v>3770.0</v>
      </c>
      <c r="E11" s="385" t="s">
        <v>275</v>
      </c>
      <c r="F11" s="386">
        <v>1.0</v>
      </c>
      <c r="G11" s="74">
        <v>830000.0</v>
      </c>
      <c r="H11" s="74">
        <v>0.0</v>
      </c>
      <c r="I11" s="74">
        <f t="shared" si="1"/>
        <v>830000</v>
      </c>
      <c r="J11" s="74">
        <f>IF(E11="SERVICE",I11-(I11*50%),Vlookup(E11,DATABASE!C:Q,10,false)*F11)</f>
        <v>0</v>
      </c>
      <c r="K11" s="74">
        <v>735000.0</v>
      </c>
      <c r="L11" s="74">
        <v>735000.0</v>
      </c>
      <c r="M11" s="74">
        <f t="shared" si="2"/>
        <v>735000</v>
      </c>
      <c r="N11" s="74">
        <f t="shared" si="3"/>
        <v>95000</v>
      </c>
      <c r="O11" s="65" t="str">
        <f>VLOOKUP(E11,DATABASE!C:Q,8,false)</f>
        <v>IBU</v>
      </c>
      <c r="P11" s="65">
        <f>VLOOKUP(E11,DATABASE!C:Q,9,False)</f>
        <v>1</v>
      </c>
      <c r="Q11" s="93" t="str">
        <f>VLOOKUP(E11,DATABASE!C:Q,4,false)</f>
        <v>Dunlop</v>
      </c>
      <c r="R11" s="93" t="str">
        <f>VLOOKUP(E11,DATABASE!C:Q,11,false)</f>
        <v>Tire</v>
      </c>
    </row>
    <row r="12" ht="15.0" customHeight="1">
      <c r="A12" s="49"/>
      <c r="C12" s="384">
        <v>45659.0</v>
      </c>
      <c r="D12" s="93">
        <v>3771.0</v>
      </c>
      <c r="E12" s="385" t="s">
        <v>256</v>
      </c>
      <c r="F12" s="386">
        <v>1.0</v>
      </c>
      <c r="G12" s="74">
        <v>130000.0</v>
      </c>
      <c r="H12" s="74">
        <v>0.0</v>
      </c>
      <c r="I12" s="74">
        <f t="shared" si="1"/>
        <v>130000</v>
      </c>
      <c r="J12" s="74">
        <f>IF(E12="SERVICE",I12-(I12*50%),Vlookup(E12,DATABASE!C:Q,10,false)*F12)</f>
        <v>10000</v>
      </c>
      <c r="K12" s="74">
        <f>VLOOKUP(E12,DATABASE!C:Q,7,false)</f>
        <v>0</v>
      </c>
      <c r="L12" s="74">
        <v>0.0</v>
      </c>
      <c r="M12" s="74">
        <f t="shared" si="2"/>
        <v>0</v>
      </c>
      <c r="N12" s="74">
        <f t="shared" si="3"/>
        <v>120000</v>
      </c>
      <c r="O12" s="65" t="str">
        <f>VLOOKUP(E12,DATABASE!C:Q,8,false)</f>
        <v>IBU</v>
      </c>
      <c r="P12" s="65">
        <f>VLOOKUP(E12,DATABASE!C:Q,9,False)</f>
        <v>0</v>
      </c>
      <c r="Q12" s="93" t="str">
        <f>VLOOKUP(E12,DATABASE!C:Q,4,false)</f>
        <v>SPOORING</v>
      </c>
      <c r="R12" s="93" t="str">
        <f>VLOOKUP(E12,DATABASE!C:Q,11,false)</f>
        <v>SERVICE</v>
      </c>
      <c r="U12" s="9"/>
    </row>
    <row r="13" ht="15.0" customHeight="1">
      <c r="A13" s="49"/>
      <c r="C13" s="384">
        <v>45659.0</v>
      </c>
      <c r="D13" s="93">
        <v>3771.0</v>
      </c>
      <c r="E13" s="385" t="s">
        <v>301</v>
      </c>
      <c r="F13" s="386">
        <v>1.0</v>
      </c>
      <c r="G13" s="74">
        <v>250000.0</v>
      </c>
      <c r="H13" s="74">
        <v>0.0</v>
      </c>
      <c r="I13" s="74">
        <f t="shared" si="1"/>
        <v>250000</v>
      </c>
      <c r="J13" s="74">
        <f>IF(E13="SERVICE",I13-(I13*50%),Vlookup(E13,DATABASE!C:Q,10,false)*F13)</f>
        <v>75000</v>
      </c>
      <c r="K13" s="74">
        <f>VLOOKUP(E13,DATABASE!C:Q,7,false)</f>
        <v>75000</v>
      </c>
      <c r="L13" s="74">
        <v>75000.0</v>
      </c>
      <c r="M13" s="74">
        <f t="shared" si="2"/>
        <v>75000</v>
      </c>
      <c r="N13" s="74">
        <f t="shared" si="3"/>
        <v>100000</v>
      </c>
      <c r="O13" s="65" t="str">
        <f>VLOOKUP(E13,DATABASE!C:Q,8,false)</f>
        <v>BIAN</v>
      </c>
      <c r="P13" s="65">
        <f>VLOOKUP(E13,DATABASE!C:Q,9,False)</f>
        <v>0</v>
      </c>
      <c r="Q13" s="93" t="str">
        <f>VLOOKUP(E13,DATABASE!C:Q,4,false)</f>
        <v>Baut Camber</v>
      </c>
      <c r="R13" s="93" t="str">
        <f>VLOOKUP(E13,DATABASE!C:Q,11,false)</f>
        <v>COMPLEMENTARY</v>
      </c>
    </row>
    <row r="14" ht="15.0" customHeight="1">
      <c r="A14" s="49"/>
      <c r="C14" s="384">
        <v>45659.0</v>
      </c>
      <c r="D14" s="93">
        <v>3772.0</v>
      </c>
      <c r="E14" s="385" t="s">
        <v>374</v>
      </c>
      <c r="F14" s="386">
        <v>4.0</v>
      </c>
      <c r="G14" s="74">
        <v>2050000.0</v>
      </c>
      <c r="H14" s="74">
        <v>0.0</v>
      </c>
      <c r="I14" s="74">
        <f t="shared" si="1"/>
        <v>8200000</v>
      </c>
      <c r="J14" s="74">
        <f>IF(E14="SERVICE",I14-(I14*50%),Vlookup(E14,DATABASE!C:Q,10,false)*F14)</f>
        <v>0</v>
      </c>
      <c r="K14" s="74">
        <v>1950000.0</v>
      </c>
      <c r="L14" s="74">
        <v>1950000.0</v>
      </c>
      <c r="M14" s="74">
        <f t="shared" si="2"/>
        <v>1950000</v>
      </c>
      <c r="N14" s="74">
        <f t="shared" si="3"/>
        <v>400000</v>
      </c>
      <c r="O14" s="65" t="str">
        <f>VLOOKUP(E14,DATABASE!C:Q,8,false)</f>
        <v>BIAN</v>
      </c>
      <c r="P14" s="65">
        <f>VLOOKUP(E14,DATABASE!C:Q,9,False)</f>
        <v>1</v>
      </c>
      <c r="Q14" s="93" t="str">
        <f>VLOOKUP(E14,DATABASE!C:Q,4,false)</f>
        <v>Advance</v>
      </c>
      <c r="R14" s="93" t="str">
        <f>VLOOKUP(E14,DATABASE!C:Q,11,false)</f>
        <v>Tire</v>
      </c>
      <c r="U14" s="9"/>
    </row>
    <row r="15" ht="15.0" customHeight="1">
      <c r="A15" s="49"/>
      <c r="C15" s="384">
        <v>45659.0</v>
      </c>
      <c r="D15" s="93">
        <v>3773.0</v>
      </c>
      <c r="E15" s="385" t="s">
        <v>856</v>
      </c>
      <c r="F15" s="386">
        <v>1.0</v>
      </c>
      <c r="G15" s="74">
        <v>640000.0</v>
      </c>
      <c r="H15" s="74">
        <v>0.0</v>
      </c>
      <c r="I15" s="74">
        <f t="shared" si="1"/>
        <v>640000</v>
      </c>
      <c r="J15" s="74">
        <f>IF(E15="SERVICE",I15-(I15*50%),Vlookup(E15,DATABASE!C:Q,10,false)*F15)</f>
        <v>0</v>
      </c>
      <c r="K15" s="74">
        <v>560000.0</v>
      </c>
      <c r="L15" s="74">
        <v>560000.0</v>
      </c>
      <c r="M15" s="74">
        <f t="shared" si="2"/>
        <v>560000</v>
      </c>
      <c r="N15" s="74">
        <f t="shared" si="3"/>
        <v>80000</v>
      </c>
      <c r="O15" s="65" t="str">
        <f>VLOOKUP(E15,DATABASE!C:Q,8,false)</f>
        <v>BIAN</v>
      </c>
      <c r="P15" s="65">
        <f>VLOOKUP(E15,DATABASE!C:Q,9,False)</f>
        <v>1</v>
      </c>
      <c r="Q15" s="93" t="str">
        <f>VLOOKUP(E15,DATABASE!C:Q,4,false)</f>
        <v>GT</v>
      </c>
      <c r="R15" s="93" t="str">
        <f>VLOOKUP(E15,DATABASE!C:Q,11,false)</f>
        <v>Tire</v>
      </c>
    </row>
    <row r="16" ht="15.0" customHeight="1">
      <c r="A16" s="49"/>
      <c r="C16" s="384">
        <v>45659.0</v>
      </c>
      <c r="D16" s="93">
        <v>3774.0</v>
      </c>
      <c r="E16" s="385" t="s">
        <v>937</v>
      </c>
      <c r="F16" s="386">
        <v>2.0</v>
      </c>
      <c r="G16" s="74">
        <v>900000.0</v>
      </c>
      <c r="H16" s="74">
        <v>0.0</v>
      </c>
      <c r="I16" s="74">
        <f t="shared" si="1"/>
        <v>1800000</v>
      </c>
      <c r="J16" s="74">
        <f>IF(E16="SERVICE",I16-(I16*50%),Vlookup(E16,DATABASE!C:Q,10,false)*F16)</f>
        <v>0</v>
      </c>
      <c r="K16" s="74">
        <f>VLOOKUP(E16,DATABASE!C:Q,7,false)</f>
        <v>825000</v>
      </c>
      <c r="L16" s="74">
        <v>790000.0</v>
      </c>
      <c r="M16" s="74">
        <f t="shared" si="2"/>
        <v>790000</v>
      </c>
      <c r="N16" s="74">
        <f t="shared" si="3"/>
        <v>220000</v>
      </c>
      <c r="O16" s="65" t="str">
        <f>VLOOKUP(E16,DATABASE!C:Q,8,false)</f>
        <v>IBU</v>
      </c>
      <c r="P16" s="65">
        <f>VLOOKUP(E16,DATABASE!C:Q,9,False)</f>
        <v>1</v>
      </c>
      <c r="Q16" s="93" t="str">
        <f>VLOOKUP(E16,DATABASE!C:Q,4,false)</f>
        <v>Bridgestone</v>
      </c>
      <c r="R16" s="93" t="str">
        <f>VLOOKUP(E16,DATABASE!C:Q,11,false)</f>
        <v>Tire</v>
      </c>
    </row>
    <row r="17" ht="15.0" customHeight="1">
      <c r="A17" s="49"/>
      <c r="C17" s="384">
        <v>45659.0</v>
      </c>
      <c r="D17" s="93">
        <v>3775.0</v>
      </c>
      <c r="E17" s="385" t="s">
        <v>275</v>
      </c>
      <c r="F17" s="386">
        <v>1.0</v>
      </c>
      <c r="G17" s="74">
        <v>830000.0</v>
      </c>
      <c r="H17" s="74">
        <v>0.0</v>
      </c>
      <c r="I17" s="74">
        <f t="shared" si="1"/>
        <v>830000</v>
      </c>
      <c r="J17" s="74">
        <f>IF(E17="SERVICE",I17-(I17*50%),Vlookup(E17,DATABASE!C:Q,10,false)*F17)</f>
        <v>0</v>
      </c>
      <c r="K17" s="74">
        <v>735000.0</v>
      </c>
      <c r="L17" s="74">
        <v>735000.0</v>
      </c>
      <c r="M17" s="74">
        <f t="shared" si="2"/>
        <v>735000</v>
      </c>
      <c r="N17" s="74">
        <f t="shared" si="3"/>
        <v>95000</v>
      </c>
      <c r="O17" s="65" t="str">
        <f>VLOOKUP(E17,DATABASE!C:Q,8,false)</f>
        <v>IBU</v>
      </c>
      <c r="P17" s="65">
        <f>VLOOKUP(E17,DATABASE!C:Q,9,False)</f>
        <v>1</v>
      </c>
      <c r="Q17" s="93" t="str">
        <f>VLOOKUP(E17,DATABASE!C:Q,4,false)</f>
        <v>Dunlop</v>
      </c>
      <c r="R17" s="93" t="str">
        <f>VLOOKUP(E17,DATABASE!C:Q,11,false)</f>
        <v>Tire</v>
      </c>
    </row>
    <row r="18" ht="15.0" customHeight="1">
      <c r="A18" s="49"/>
      <c r="C18" s="384">
        <v>45659.0</v>
      </c>
      <c r="D18" s="93">
        <v>3776.0</v>
      </c>
      <c r="E18" s="385" t="s">
        <v>268</v>
      </c>
      <c r="F18" s="386">
        <v>1.0</v>
      </c>
      <c r="G18" s="74">
        <v>700000.0</v>
      </c>
      <c r="H18" s="74">
        <v>0.0</v>
      </c>
      <c r="I18" s="74">
        <f t="shared" si="1"/>
        <v>700000</v>
      </c>
      <c r="J18" s="74">
        <f>IF(E18="SERVICE",I18-(I18*50%),Vlookup(E18,DATABASE!C:Q,10,false)*F18)</f>
        <v>0</v>
      </c>
      <c r="K18" s="74">
        <v>613000.0</v>
      </c>
      <c r="L18" s="74">
        <v>613000.0</v>
      </c>
      <c r="M18" s="74">
        <f t="shared" si="2"/>
        <v>615000</v>
      </c>
      <c r="N18" s="74">
        <f t="shared" si="3"/>
        <v>85000</v>
      </c>
      <c r="O18" s="65" t="str">
        <f>VLOOKUP(E18,DATABASE!C:Q,8,false)</f>
        <v>IBU</v>
      </c>
      <c r="P18" s="65">
        <f>VLOOKUP(E18,DATABASE!C:Q,9,False)</f>
        <v>1</v>
      </c>
      <c r="Q18" s="93" t="str">
        <f>VLOOKUP(E18,DATABASE!C:Q,4,false)</f>
        <v>Dunlop</v>
      </c>
      <c r="R18" s="93" t="str">
        <f>VLOOKUP(E18,DATABASE!C:Q,11,false)</f>
        <v>Tire</v>
      </c>
    </row>
    <row r="19" ht="15.0" customHeight="1">
      <c r="A19" s="49"/>
      <c r="C19" s="384">
        <v>45659.0</v>
      </c>
      <c r="D19" s="93">
        <v>3777.0</v>
      </c>
      <c r="E19" s="385" t="s">
        <v>1434</v>
      </c>
      <c r="F19" s="386">
        <v>2.0</v>
      </c>
      <c r="G19" s="74">
        <v>1020000.0</v>
      </c>
      <c r="H19" s="74">
        <v>0.0</v>
      </c>
      <c r="I19" s="74">
        <f t="shared" si="1"/>
        <v>2040000</v>
      </c>
      <c r="J19" s="74">
        <f>IF(E19="SERVICE",I19-(I19*50%),Vlookup(E19,DATABASE!C:Q,10,false)*F19)</f>
        <v>0</v>
      </c>
      <c r="K19" s="74">
        <f>VLOOKUP(E19,DATABASE!C:Q,7,false)</f>
        <v>904050</v>
      </c>
      <c r="L19" s="74">
        <v>904050.0</v>
      </c>
      <c r="M19" s="74">
        <f t="shared" si="2"/>
        <v>905000</v>
      </c>
      <c r="N19" s="74">
        <f t="shared" si="3"/>
        <v>230000</v>
      </c>
      <c r="O19" s="65" t="str">
        <f>VLOOKUP(E19,DATABASE!C:Q,8,false)</f>
        <v>BIAN</v>
      </c>
      <c r="P19" s="65">
        <f>VLOOKUP(E19,DATABASE!C:Q,9,False)</f>
        <v>1</v>
      </c>
      <c r="Q19" s="93" t="str">
        <f>VLOOKUP(E19,DATABASE!C:Q,4,false)</f>
        <v>GT</v>
      </c>
      <c r="R19" s="93" t="str">
        <f>VLOOKUP(E19,DATABASE!C:Q,11,false)</f>
        <v>Tire</v>
      </c>
    </row>
    <row r="20" ht="15.0" customHeight="1">
      <c r="A20" s="49"/>
      <c r="C20" s="384">
        <v>45659.0</v>
      </c>
      <c r="D20" s="93">
        <v>3778.0</v>
      </c>
      <c r="E20" s="385" t="s">
        <v>814</v>
      </c>
      <c r="F20" s="386">
        <v>1.0</v>
      </c>
      <c r="G20" s="74">
        <v>60000.0</v>
      </c>
      <c r="H20" s="74">
        <v>0.0</v>
      </c>
      <c r="I20" s="74">
        <f t="shared" si="1"/>
        <v>60000</v>
      </c>
      <c r="J20" s="74">
        <f>IF(E20="SERVICE",I20-(I20*50%),Vlookup(E20,DATABASE!C:Q,10,false)*F20)</f>
        <v>0</v>
      </c>
      <c r="K20" s="74">
        <f>VLOOKUP(E20,DATABASE!C:Q,7,false)</f>
        <v>39440</v>
      </c>
      <c r="L20" s="74">
        <v>39440.0</v>
      </c>
      <c r="M20" s="74">
        <f t="shared" si="2"/>
        <v>40000</v>
      </c>
      <c r="N20" s="74">
        <f t="shared" si="3"/>
        <v>20000</v>
      </c>
      <c r="O20" s="65" t="str">
        <f>VLOOKUP(E20,DATABASE!C:Q,8,false)</f>
        <v>BIAN</v>
      </c>
      <c r="P20" s="65">
        <f>VLOOKUP(E20,DATABASE!C:Q,9,False)</f>
        <v>1</v>
      </c>
      <c r="Q20" s="93" t="str">
        <f>VLOOKUP(E20,DATABASE!C:Q,4,false)</f>
        <v>Flap</v>
      </c>
      <c r="R20" s="93" t="str">
        <f>VLOOKUP(E20,DATABASE!C:Q,11,false)</f>
        <v>Tire</v>
      </c>
    </row>
    <row r="21" ht="15.0" customHeight="1">
      <c r="A21" s="49"/>
      <c r="C21" s="384">
        <v>45659.0</v>
      </c>
      <c r="D21" s="93">
        <v>3780.0</v>
      </c>
      <c r="E21" s="385" t="s">
        <v>265</v>
      </c>
      <c r="F21" s="386">
        <v>1.0</v>
      </c>
      <c r="G21" s="74">
        <v>670000.0</v>
      </c>
      <c r="H21" s="74">
        <v>0.0</v>
      </c>
      <c r="I21" s="74">
        <f t="shared" si="1"/>
        <v>670000</v>
      </c>
      <c r="J21" s="74">
        <f>IF(E21="SERVICE",I21-(I21*50%),Vlookup(E21,DATABASE!C:Q,10,false)*F21)</f>
        <v>0</v>
      </c>
      <c r="K21" s="74">
        <v>590000.0</v>
      </c>
      <c r="L21" s="74">
        <v>590000.0</v>
      </c>
      <c r="M21" s="74">
        <f t="shared" si="2"/>
        <v>590000</v>
      </c>
      <c r="N21" s="74">
        <f t="shared" si="3"/>
        <v>80000</v>
      </c>
      <c r="O21" s="65" t="str">
        <f>VLOOKUP(E21,DATABASE!C:Q,8,false)</f>
        <v>IBU</v>
      </c>
      <c r="P21" s="65">
        <f>VLOOKUP(E21,DATABASE!C:Q,9,False)</f>
        <v>1</v>
      </c>
      <c r="Q21" s="93" t="str">
        <f>VLOOKUP(E21,DATABASE!C:Q,4,false)</f>
        <v>Dunlop</v>
      </c>
      <c r="R21" s="93" t="str">
        <f>VLOOKUP(E21,DATABASE!C:Q,11,false)</f>
        <v>Tire</v>
      </c>
    </row>
    <row r="22" ht="15.0" customHeight="1">
      <c r="A22" s="49"/>
      <c r="C22" s="384">
        <v>45659.0</v>
      </c>
      <c r="D22" s="93">
        <v>3781.0</v>
      </c>
      <c r="E22" s="385" t="s">
        <v>251</v>
      </c>
      <c r="F22" s="386">
        <v>1.0</v>
      </c>
      <c r="G22" s="74">
        <v>150000.0</v>
      </c>
      <c r="H22" s="74">
        <v>0.0</v>
      </c>
      <c r="I22" s="74">
        <f t="shared" si="1"/>
        <v>150000</v>
      </c>
      <c r="J22" s="74">
        <f>IF(E22="SERVICE",I22-(I22*50%),Vlookup(E22,DATABASE!C:Q,10,false)*F22)</f>
        <v>75000</v>
      </c>
      <c r="K22" s="74">
        <f>VLOOKUP(E22,DATABASE!C:Q,7,false)</f>
        <v>0</v>
      </c>
      <c r="L22" s="74">
        <v>0.0</v>
      </c>
      <c r="M22" s="74">
        <f t="shared" si="2"/>
        <v>0</v>
      </c>
      <c r="N22" s="74">
        <f t="shared" si="3"/>
        <v>75000</v>
      </c>
      <c r="O22" s="65" t="str">
        <f>VLOOKUP(E22,DATABASE!C:Q,8,false)</f>
        <v>IBU</v>
      </c>
      <c r="P22" s="65">
        <f>VLOOKUP(E22,DATABASE!C:Q,9,False)</f>
        <v>0</v>
      </c>
      <c r="Q22" s="93" t="str">
        <f>VLOOKUP(E22,DATABASE!C:Q,4,false)</f>
        <v>SERVICE</v>
      </c>
      <c r="R22" s="93" t="str">
        <f>VLOOKUP(E22,DATABASE!C:Q,11,false)</f>
        <v>SERVICE</v>
      </c>
    </row>
    <row r="23" ht="15.0" customHeight="1">
      <c r="A23" s="49"/>
      <c r="C23" s="384">
        <v>45659.0</v>
      </c>
      <c r="D23" s="93">
        <v>3781.0</v>
      </c>
      <c r="E23" s="385" t="s">
        <v>262</v>
      </c>
      <c r="F23" s="386">
        <v>1.0</v>
      </c>
      <c r="G23" s="74">
        <v>110000.0</v>
      </c>
      <c r="H23" s="74">
        <v>0.0</v>
      </c>
      <c r="I23" s="74">
        <f t="shared" si="1"/>
        <v>110000</v>
      </c>
      <c r="J23" s="74">
        <f>IF(E23="SERVICE",I23-(I23*50%),Vlookup(E23,DATABASE!C:Q,10,false)*F23)</f>
        <v>5000</v>
      </c>
      <c r="K23" s="74">
        <f>VLOOKUP(E23,DATABASE!C:Q,7,false)</f>
        <v>0</v>
      </c>
      <c r="L23" s="74">
        <v>0.0</v>
      </c>
      <c r="M23" s="74">
        <f t="shared" si="2"/>
        <v>0</v>
      </c>
      <c r="N23" s="74">
        <f t="shared" si="3"/>
        <v>105000</v>
      </c>
      <c r="O23" s="65" t="str">
        <f>VLOOKUP(E23,DATABASE!C:Q,8,false)</f>
        <v>IBU</v>
      </c>
      <c r="P23" s="65">
        <f>VLOOKUP(E23,DATABASE!C:Q,9,False)</f>
        <v>0</v>
      </c>
      <c r="Q23" s="93" t="str">
        <f>VLOOKUP(E23,DATABASE!C:Q,4,false)</f>
        <v>SPOORING SS/CARRY LOS BAK</v>
      </c>
      <c r="R23" s="93" t="str">
        <f>VLOOKUP(E23,DATABASE!C:Q,11,false)</f>
        <v>SERVICE</v>
      </c>
    </row>
    <row r="24" ht="15.0" customHeight="1">
      <c r="A24" s="49"/>
      <c r="C24" s="384">
        <v>45659.0</v>
      </c>
      <c r="D24" s="93">
        <v>3782.0</v>
      </c>
      <c r="E24" s="385" t="s">
        <v>554</v>
      </c>
      <c r="F24" s="386">
        <v>2.0</v>
      </c>
      <c r="G24" s="74">
        <v>790000.0</v>
      </c>
      <c r="H24" s="74">
        <v>0.0</v>
      </c>
      <c r="I24" s="74">
        <f t="shared" si="1"/>
        <v>1580000</v>
      </c>
      <c r="J24" s="74">
        <f>IF(E24="SERVICE",I24-(I24*50%),Vlookup(E24,DATABASE!C:Q,10,false)*F24)</f>
        <v>0</v>
      </c>
      <c r="K24" s="74">
        <f>VLOOKUP(E24,DATABASE!C:Q,7,false)</f>
        <v>710000</v>
      </c>
      <c r="L24" s="74">
        <v>680000.0</v>
      </c>
      <c r="M24" s="74">
        <f t="shared" si="2"/>
        <v>680000</v>
      </c>
      <c r="N24" s="74">
        <f t="shared" si="3"/>
        <v>220000</v>
      </c>
      <c r="O24" s="65" t="str">
        <f>VLOOKUP(E24,DATABASE!C:Q,8,false)</f>
        <v>IBU</v>
      </c>
      <c r="P24" s="65">
        <f>VLOOKUP(E24,DATABASE!C:Q,9,False)</f>
        <v>1</v>
      </c>
      <c r="Q24" s="93" t="str">
        <f>VLOOKUP(E24,DATABASE!C:Q,4,false)</f>
        <v>Bridgestone</v>
      </c>
      <c r="R24" s="93" t="str">
        <f>VLOOKUP(E24,DATABASE!C:Q,11,false)</f>
        <v>Tire</v>
      </c>
    </row>
    <row r="25" ht="15.0" customHeight="1">
      <c r="A25" s="49"/>
      <c r="C25" s="384">
        <v>45659.0</v>
      </c>
      <c r="D25" s="93">
        <v>3783.0</v>
      </c>
      <c r="E25" s="385" t="s">
        <v>268</v>
      </c>
      <c r="F25" s="386">
        <v>2.0</v>
      </c>
      <c r="G25" s="74">
        <v>700000.0</v>
      </c>
      <c r="H25" s="74">
        <v>0.0</v>
      </c>
      <c r="I25" s="74">
        <f t="shared" si="1"/>
        <v>1400000</v>
      </c>
      <c r="J25" s="74">
        <f>IF(E25="SERVICE",I25-(I25*50%),Vlookup(E25,DATABASE!C:Q,10,false)*F25)</f>
        <v>0</v>
      </c>
      <c r="K25" s="74">
        <v>613000.0</v>
      </c>
      <c r="L25" s="74">
        <v>613000.0</v>
      </c>
      <c r="M25" s="74">
        <f t="shared" si="2"/>
        <v>615000</v>
      </c>
      <c r="N25" s="74">
        <f t="shared" si="3"/>
        <v>170000</v>
      </c>
      <c r="O25" s="65" t="str">
        <f>VLOOKUP(E25,DATABASE!C:Q,8,false)</f>
        <v>IBU</v>
      </c>
      <c r="P25" s="65">
        <f>VLOOKUP(E25,DATABASE!C:Q,9,False)</f>
        <v>1</v>
      </c>
      <c r="Q25" s="93" t="str">
        <f>VLOOKUP(E25,DATABASE!C:Q,4,false)</f>
        <v>Dunlop</v>
      </c>
      <c r="R25" s="93" t="str">
        <f>VLOOKUP(E25,DATABASE!C:Q,11,false)</f>
        <v>Tire</v>
      </c>
    </row>
    <row r="26" ht="15.0" customHeight="1">
      <c r="A26" s="49"/>
      <c r="C26" s="384">
        <v>45659.0</v>
      </c>
      <c r="D26" s="93">
        <v>3784.0</v>
      </c>
      <c r="E26" s="385" t="s">
        <v>286</v>
      </c>
      <c r="F26" s="386">
        <v>7.0</v>
      </c>
      <c r="G26" s="74">
        <v>530000.0</v>
      </c>
      <c r="H26" s="74">
        <v>0.0</v>
      </c>
      <c r="I26" s="74">
        <f t="shared" si="1"/>
        <v>3710000</v>
      </c>
      <c r="J26" s="74">
        <f>IF(E26="SERVICE",I26-(I26*50%),Vlookup(E26,DATABASE!C:Q,10,false)*F26)</f>
        <v>0</v>
      </c>
      <c r="K26" s="74">
        <v>441450.0</v>
      </c>
      <c r="L26" s="74">
        <v>441450.0</v>
      </c>
      <c r="M26" s="74">
        <f t="shared" si="2"/>
        <v>445000</v>
      </c>
      <c r="N26" s="74">
        <f t="shared" si="3"/>
        <v>595000</v>
      </c>
      <c r="O26" s="65" t="str">
        <f>VLOOKUP(E26,DATABASE!C:Q,8,false)</f>
        <v>BIAN</v>
      </c>
      <c r="P26" s="65">
        <f>VLOOKUP(E26,DATABASE!C:Q,9,False)</f>
        <v>1</v>
      </c>
      <c r="Q26" s="93" t="str">
        <f>VLOOKUP(E26,DATABASE!C:Q,4,false)</f>
        <v>GT</v>
      </c>
      <c r="R26" s="93" t="str">
        <f>VLOOKUP(E26,DATABASE!C:Q,11,false)</f>
        <v>Tire</v>
      </c>
    </row>
    <row r="27" ht="15.0" customHeight="1">
      <c r="A27" s="49"/>
      <c r="C27" s="384">
        <v>45659.0</v>
      </c>
      <c r="D27" s="93">
        <v>3785.0</v>
      </c>
      <c r="E27" s="385" t="s">
        <v>275</v>
      </c>
      <c r="F27" s="386">
        <v>2.0</v>
      </c>
      <c r="G27" s="74">
        <v>830000.0</v>
      </c>
      <c r="H27" s="74">
        <v>0.0</v>
      </c>
      <c r="I27" s="74">
        <f t="shared" si="1"/>
        <v>1660000</v>
      </c>
      <c r="J27" s="74">
        <f>IF(E27="SERVICE",I27-(I27*50%),Vlookup(E27,DATABASE!C:Q,10,false)*F27)</f>
        <v>0</v>
      </c>
      <c r="K27" s="74">
        <v>735000.0</v>
      </c>
      <c r="L27" s="74">
        <v>735000.0</v>
      </c>
      <c r="M27" s="74">
        <f t="shared" si="2"/>
        <v>735000</v>
      </c>
      <c r="N27" s="74">
        <f t="shared" si="3"/>
        <v>190000</v>
      </c>
      <c r="O27" s="65" t="str">
        <f>VLOOKUP(E27,DATABASE!C:Q,8,false)</f>
        <v>IBU</v>
      </c>
      <c r="P27" s="65">
        <f>VLOOKUP(E27,DATABASE!C:Q,9,False)</f>
        <v>1</v>
      </c>
      <c r="Q27" s="93" t="str">
        <f>VLOOKUP(E27,DATABASE!C:Q,4,false)</f>
        <v>Dunlop</v>
      </c>
      <c r="R27" s="93" t="str">
        <f>VLOOKUP(E27,DATABASE!C:Q,11,false)</f>
        <v>Tire</v>
      </c>
    </row>
    <row r="28" ht="15.0" customHeight="1">
      <c r="A28" s="49"/>
      <c r="C28" s="384">
        <v>45659.0</v>
      </c>
      <c r="D28" s="93">
        <v>3786.0</v>
      </c>
      <c r="E28" s="385" t="s">
        <v>1541</v>
      </c>
      <c r="F28" s="386">
        <v>1.0</v>
      </c>
      <c r="G28" s="74">
        <v>890000.0</v>
      </c>
      <c r="H28" s="74">
        <v>0.0</v>
      </c>
      <c r="I28" s="74">
        <f t="shared" si="1"/>
        <v>890000</v>
      </c>
      <c r="J28" s="74">
        <f>IF(E28="SERVICE",I28-(I28*50%),Vlookup(E28,DATABASE!C:Q,10,false)*F28)</f>
        <v>0</v>
      </c>
      <c r="K28" s="74">
        <f>VLOOKUP(E28,DATABASE!C:Q,7,false)</f>
        <v>818000</v>
      </c>
      <c r="L28" s="74">
        <v>818000.0</v>
      </c>
      <c r="M28" s="74">
        <f t="shared" si="2"/>
        <v>820000</v>
      </c>
      <c r="N28" s="74">
        <f t="shared" si="3"/>
        <v>70000</v>
      </c>
      <c r="O28" s="65" t="str">
        <f>VLOOKUP(E28,DATABASE!C:Q,8,false)</f>
        <v>IBU</v>
      </c>
      <c r="P28" s="65">
        <f>VLOOKUP(E28,DATABASE!C:Q,9,False)</f>
        <v>1</v>
      </c>
      <c r="Q28" s="93" t="str">
        <f>VLOOKUP(E28,DATABASE!C:Q,4,false)</f>
        <v>Dunlop</v>
      </c>
      <c r="R28" s="93" t="str">
        <f>VLOOKUP(E28,DATABASE!C:Q,11,false)</f>
        <v>Tire</v>
      </c>
    </row>
    <row r="29" ht="15.0" customHeight="1">
      <c r="A29" s="49"/>
      <c r="C29" s="384">
        <v>45660.0</v>
      </c>
      <c r="D29" s="93">
        <v>3788.0</v>
      </c>
      <c r="E29" s="385" t="s">
        <v>268</v>
      </c>
      <c r="F29" s="386">
        <v>2.0</v>
      </c>
      <c r="G29" s="74">
        <v>700000.0</v>
      </c>
      <c r="H29" s="74">
        <v>0.0</v>
      </c>
      <c r="I29" s="74">
        <f t="shared" si="1"/>
        <v>1400000</v>
      </c>
      <c r="J29" s="74">
        <f>IF(E29="SERVICE",I29-(I29*50%),Vlookup(E29,DATABASE!C:Q,10,false)*F29)</f>
        <v>0</v>
      </c>
      <c r="K29" s="74">
        <v>613000.0</v>
      </c>
      <c r="L29" s="74">
        <v>613000.0</v>
      </c>
      <c r="M29" s="74">
        <f t="shared" si="2"/>
        <v>615000</v>
      </c>
      <c r="N29" s="74">
        <f t="shared" si="3"/>
        <v>170000</v>
      </c>
      <c r="O29" s="65" t="str">
        <f>VLOOKUP(E29,DATABASE!C:Q,8,false)</f>
        <v>IBU</v>
      </c>
      <c r="P29" s="65">
        <f>VLOOKUP(E29,DATABASE!C:Q,9,False)</f>
        <v>1</v>
      </c>
      <c r="Q29" s="93" t="str">
        <f>VLOOKUP(E29,DATABASE!C:Q,4,false)</f>
        <v>Dunlop</v>
      </c>
      <c r="R29" s="93" t="str">
        <f>VLOOKUP(E29,DATABASE!C:Q,11,false)</f>
        <v>Tire</v>
      </c>
    </row>
    <row r="30" ht="15.0" customHeight="1">
      <c r="A30" s="49"/>
      <c r="C30" s="384">
        <v>45660.0</v>
      </c>
      <c r="D30" s="93">
        <v>3789.0</v>
      </c>
      <c r="E30" s="385" t="s">
        <v>275</v>
      </c>
      <c r="F30" s="386">
        <v>2.0</v>
      </c>
      <c r="G30" s="74">
        <v>830000.0</v>
      </c>
      <c r="H30" s="74">
        <v>0.0</v>
      </c>
      <c r="I30" s="74">
        <f t="shared" si="1"/>
        <v>1660000</v>
      </c>
      <c r="J30" s="74">
        <f>IF(E30="SERVICE",I30-(I30*50%),Vlookup(E30,DATABASE!C:Q,10,false)*F30)</f>
        <v>0</v>
      </c>
      <c r="K30" s="74">
        <v>735000.0</v>
      </c>
      <c r="L30" s="74">
        <v>735000.0</v>
      </c>
      <c r="M30" s="74">
        <f t="shared" si="2"/>
        <v>735000</v>
      </c>
      <c r="N30" s="74">
        <f t="shared" si="3"/>
        <v>190000</v>
      </c>
      <c r="O30" s="65" t="str">
        <f>VLOOKUP(E30,DATABASE!C:Q,8,false)</f>
        <v>IBU</v>
      </c>
      <c r="P30" s="65">
        <f>VLOOKUP(E30,DATABASE!C:Q,9,False)</f>
        <v>1</v>
      </c>
      <c r="Q30" s="93" t="str">
        <f>VLOOKUP(E30,DATABASE!C:Q,4,false)</f>
        <v>Dunlop</v>
      </c>
      <c r="R30" s="93" t="str">
        <f>VLOOKUP(E30,DATABASE!C:Q,11,false)</f>
        <v>Tire</v>
      </c>
    </row>
    <row r="31" ht="15.0" customHeight="1">
      <c r="A31" s="49"/>
      <c r="C31" s="384">
        <v>45660.0</v>
      </c>
      <c r="D31" s="93">
        <v>3790.0</v>
      </c>
      <c r="E31" s="385" t="s">
        <v>275</v>
      </c>
      <c r="F31" s="386">
        <v>1.0</v>
      </c>
      <c r="G31" s="74">
        <v>830000.0</v>
      </c>
      <c r="H31" s="74">
        <v>0.0</v>
      </c>
      <c r="I31" s="74">
        <f t="shared" si="1"/>
        <v>830000</v>
      </c>
      <c r="J31" s="74">
        <f>IF(E31="SERVICE",I31-(I31*50%),Vlookup(E31,DATABASE!C:Q,10,false)*F31)</f>
        <v>0</v>
      </c>
      <c r="K31" s="74">
        <v>735000.0</v>
      </c>
      <c r="L31" s="74">
        <v>735000.0</v>
      </c>
      <c r="M31" s="74">
        <f t="shared" si="2"/>
        <v>735000</v>
      </c>
      <c r="N31" s="74">
        <f t="shared" si="3"/>
        <v>95000</v>
      </c>
      <c r="O31" s="65" t="str">
        <f>VLOOKUP(E31,DATABASE!C:Q,8,false)</f>
        <v>IBU</v>
      </c>
      <c r="P31" s="65">
        <f>VLOOKUP(E31,DATABASE!C:Q,9,False)</f>
        <v>1</v>
      </c>
      <c r="Q31" s="93" t="str">
        <f>VLOOKUP(E31,DATABASE!C:Q,4,false)</f>
        <v>Dunlop</v>
      </c>
      <c r="R31" s="93" t="str">
        <f>VLOOKUP(E31,DATABASE!C:Q,11,false)</f>
        <v>Tire</v>
      </c>
    </row>
    <row r="32" ht="15.0" customHeight="1">
      <c r="A32" s="49"/>
      <c r="C32" s="384">
        <v>45660.0</v>
      </c>
      <c r="D32" s="93">
        <v>3791.0</v>
      </c>
      <c r="E32" s="385" t="s">
        <v>262</v>
      </c>
      <c r="F32" s="386">
        <v>1.0</v>
      </c>
      <c r="G32" s="74">
        <v>110000.0</v>
      </c>
      <c r="H32" s="74">
        <v>0.0</v>
      </c>
      <c r="I32" s="74">
        <f t="shared" si="1"/>
        <v>110000</v>
      </c>
      <c r="J32" s="74">
        <f>IF(E32="SERVICE",I32-(I32*50%),Vlookup(E32,DATABASE!C:Q,10,false)*F32)</f>
        <v>5000</v>
      </c>
      <c r="K32" s="74">
        <f>VLOOKUP(E32,DATABASE!C:Q,7,false)</f>
        <v>0</v>
      </c>
      <c r="L32" s="74">
        <v>0.0</v>
      </c>
      <c r="M32" s="74">
        <f t="shared" si="2"/>
        <v>0</v>
      </c>
      <c r="N32" s="74">
        <f t="shared" si="3"/>
        <v>105000</v>
      </c>
      <c r="O32" s="65" t="str">
        <f>VLOOKUP(E32,DATABASE!C:Q,8,false)</f>
        <v>IBU</v>
      </c>
      <c r="P32" s="65">
        <f>VLOOKUP(E32,DATABASE!C:Q,9,False)</f>
        <v>0</v>
      </c>
      <c r="Q32" s="93" t="str">
        <f>VLOOKUP(E32,DATABASE!C:Q,4,false)</f>
        <v>SPOORING SS/CARRY LOS BAK</v>
      </c>
      <c r="R32" s="93" t="str">
        <f>VLOOKUP(E32,DATABASE!C:Q,11,false)</f>
        <v>SERVICE</v>
      </c>
    </row>
    <row r="33" ht="15.0" customHeight="1">
      <c r="A33" s="49"/>
      <c r="C33" s="384">
        <v>45660.0</v>
      </c>
      <c r="D33" s="93">
        <v>3791.0</v>
      </c>
      <c r="E33" s="385" t="s">
        <v>478</v>
      </c>
      <c r="F33" s="386">
        <v>1.0</v>
      </c>
      <c r="G33" s="74">
        <v>200000.0</v>
      </c>
      <c r="H33" s="74">
        <v>0.0</v>
      </c>
      <c r="I33" s="74">
        <f t="shared" si="1"/>
        <v>200000</v>
      </c>
      <c r="J33" s="74">
        <f>IF(E33="SERVICE",I33-(I33*50%),Vlookup(E33,DATABASE!C:Q,10,false)*F33)</f>
        <v>25000</v>
      </c>
      <c r="K33" s="74">
        <f>VLOOKUP(E33,DATABASE!C:Q,7,false)</f>
        <v>75000</v>
      </c>
      <c r="L33" s="74">
        <v>75000.0</v>
      </c>
      <c r="M33" s="74">
        <f t="shared" si="2"/>
        <v>75000</v>
      </c>
      <c r="N33" s="74">
        <f t="shared" si="3"/>
        <v>100000</v>
      </c>
      <c r="O33" s="65" t="str">
        <f>VLOOKUP(E33,DATABASE!C:Q,8,false)</f>
        <v>BIAN</v>
      </c>
      <c r="P33" s="65">
        <f>VLOOKUP(E33,DATABASE!C:Q,9,False)</f>
        <v>0</v>
      </c>
      <c r="Q33" s="93" t="str">
        <f>VLOOKUP(E33,DATABASE!C:Q,4,false)</f>
        <v>Baut Camber ss-carry</v>
      </c>
      <c r="R33" s="93" t="str">
        <f>VLOOKUP(E33,DATABASE!C:Q,11,false)</f>
        <v>COMPLEMENTARY</v>
      </c>
    </row>
    <row r="34" ht="15.0" customHeight="1">
      <c r="A34" s="49"/>
      <c r="C34" s="384">
        <v>45660.0</v>
      </c>
      <c r="D34" s="93">
        <v>3792.0</v>
      </c>
      <c r="E34" s="385" t="s">
        <v>856</v>
      </c>
      <c r="F34" s="386">
        <v>4.0</v>
      </c>
      <c r="G34" s="74">
        <v>640000.0</v>
      </c>
      <c r="H34" s="74">
        <v>0.0</v>
      </c>
      <c r="I34" s="74">
        <f t="shared" si="1"/>
        <v>2560000</v>
      </c>
      <c r="J34" s="74">
        <f>IF(E34="SERVICE",I34-(I34*50%),Vlookup(E34,DATABASE!C:Q,10,false)*F34)</f>
        <v>0</v>
      </c>
      <c r="K34" s="74">
        <v>560000.0</v>
      </c>
      <c r="L34" s="74">
        <v>560000.0</v>
      </c>
      <c r="M34" s="74">
        <f t="shared" si="2"/>
        <v>560000</v>
      </c>
      <c r="N34" s="74">
        <f t="shared" si="3"/>
        <v>320000</v>
      </c>
      <c r="O34" s="65" t="str">
        <f>VLOOKUP(E34,DATABASE!C:Q,8,false)</f>
        <v>BIAN</v>
      </c>
      <c r="P34" s="65">
        <f>VLOOKUP(E34,DATABASE!C:Q,9,False)</f>
        <v>1</v>
      </c>
      <c r="Q34" s="93" t="str">
        <f>VLOOKUP(E34,DATABASE!C:Q,4,false)</f>
        <v>GT</v>
      </c>
      <c r="R34" s="93" t="str">
        <f>VLOOKUP(E34,DATABASE!C:Q,11,false)</f>
        <v>Tire</v>
      </c>
    </row>
    <row r="35" ht="15.0" customHeight="1">
      <c r="A35" s="49"/>
      <c r="C35" s="384">
        <v>45660.0</v>
      </c>
      <c r="D35" s="93">
        <v>3792.0</v>
      </c>
      <c r="E35" s="385" t="s">
        <v>301</v>
      </c>
      <c r="F35" s="386">
        <v>1.0</v>
      </c>
      <c r="G35" s="74">
        <v>250000.0</v>
      </c>
      <c r="H35" s="74">
        <v>0.0</v>
      </c>
      <c r="I35" s="74">
        <f t="shared" si="1"/>
        <v>250000</v>
      </c>
      <c r="J35" s="74">
        <f>IF(E35="SERVICE",I35-(I35*50%),Vlookup(E35,DATABASE!C:Q,10,false)*F35)</f>
        <v>75000</v>
      </c>
      <c r="K35" s="74">
        <f>VLOOKUP(E35,DATABASE!C:Q,7,false)</f>
        <v>75000</v>
      </c>
      <c r="L35" s="74">
        <v>75000.0</v>
      </c>
      <c r="M35" s="74">
        <f t="shared" si="2"/>
        <v>75000</v>
      </c>
      <c r="N35" s="74">
        <f t="shared" si="3"/>
        <v>100000</v>
      </c>
      <c r="O35" s="65" t="str">
        <f>VLOOKUP(E35,DATABASE!C:Q,8,false)</f>
        <v>BIAN</v>
      </c>
      <c r="P35" s="65">
        <f>VLOOKUP(E35,DATABASE!C:Q,9,False)</f>
        <v>0</v>
      </c>
      <c r="Q35" s="93" t="str">
        <f>VLOOKUP(E35,DATABASE!C:Q,4,false)</f>
        <v>Baut Camber</v>
      </c>
      <c r="R35" s="93" t="str">
        <f>VLOOKUP(E35,DATABASE!C:Q,11,false)</f>
        <v>COMPLEMENTARY</v>
      </c>
      <c r="S35" s="2"/>
      <c r="U35" s="2"/>
      <c r="V35" s="2"/>
    </row>
    <row r="36" ht="15.0" customHeight="1">
      <c r="A36" s="49"/>
      <c r="C36" s="384">
        <v>45660.0</v>
      </c>
      <c r="D36" s="93">
        <v>3792.0</v>
      </c>
      <c r="E36" s="385" t="s">
        <v>256</v>
      </c>
      <c r="F36" s="386">
        <v>1.0</v>
      </c>
      <c r="G36" s="74">
        <v>130000.0</v>
      </c>
      <c r="H36" s="74">
        <v>0.0</v>
      </c>
      <c r="I36" s="74">
        <f t="shared" si="1"/>
        <v>130000</v>
      </c>
      <c r="J36" s="74">
        <f>IF(E36="SERVICE",I36-(I36*50%),Vlookup(E36,DATABASE!C:Q,10,false)*F36)</f>
        <v>10000</v>
      </c>
      <c r="K36" s="74">
        <f>VLOOKUP(E36,DATABASE!C:Q,7,false)</f>
        <v>0</v>
      </c>
      <c r="L36" s="74">
        <v>0.0</v>
      </c>
      <c r="M36" s="74">
        <f t="shared" si="2"/>
        <v>0</v>
      </c>
      <c r="N36" s="74">
        <f t="shared" si="3"/>
        <v>120000</v>
      </c>
      <c r="O36" s="65" t="str">
        <f>VLOOKUP(E36,DATABASE!C:Q,8,false)</f>
        <v>IBU</v>
      </c>
      <c r="P36" s="65">
        <f>VLOOKUP(E36,DATABASE!C:Q,9,False)</f>
        <v>0</v>
      </c>
      <c r="Q36" s="93" t="str">
        <f>VLOOKUP(E36,DATABASE!C:Q,4,false)</f>
        <v>SPOORING</v>
      </c>
      <c r="R36" s="93" t="str">
        <f>VLOOKUP(E36,DATABASE!C:Q,11,false)</f>
        <v>SERVICE</v>
      </c>
    </row>
    <row r="37" ht="15.0" customHeight="1">
      <c r="A37" s="49"/>
      <c r="C37" s="384">
        <v>45660.0</v>
      </c>
      <c r="D37" s="93">
        <v>3794.0</v>
      </c>
      <c r="E37" s="385" t="s">
        <v>932</v>
      </c>
      <c r="F37" s="386">
        <v>2.0</v>
      </c>
      <c r="G37" s="74">
        <v>660000.0</v>
      </c>
      <c r="H37" s="74">
        <v>0.0</v>
      </c>
      <c r="I37" s="74">
        <f t="shared" si="1"/>
        <v>1320000</v>
      </c>
      <c r="J37" s="74">
        <f>IF(E37="SERVICE",I37-(I37*50%),Vlookup(E37,DATABASE!C:Q,10,false)*F37)</f>
        <v>0</v>
      </c>
      <c r="K37" s="74">
        <v>575000.0</v>
      </c>
      <c r="L37" s="74">
        <v>575000.0</v>
      </c>
      <c r="M37" s="74">
        <f t="shared" si="2"/>
        <v>575000</v>
      </c>
      <c r="N37" s="74">
        <f t="shared" si="3"/>
        <v>170000</v>
      </c>
      <c r="O37" s="65" t="str">
        <f>VLOOKUP(E37,DATABASE!C:Q,8,false)</f>
        <v>IBU</v>
      </c>
      <c r="P37" s="65">
        <f>VLOOKUP(E37,DATABASE!C:Q,9,False)</f>
        <v>1</v>
      </c>
      <c r="Q37" s="93" t="str">
        <f>VLOOKUP(E37,DATABASE!C:Q,4,false)</f>
        <v>Dunlop</v>
      </c>
      <c r="R37" s="93" t="str">
        <f>VLOOKUP(E37,DATABASE!C:Q,11,false)</f>
        <v>Tire</v>
      </c>
    </row>
    <row r="38" ht="15.0" customHeight="1">
      <c r="A38" s="49"/>
      <c r="C38" s="384">
        <v>45660.0</v>
      </c>
      <c r="D38" s="93">
        <v>3795.0</v>
      </c>
      <c r="E38" s="385" t="s">
        <v>268</v>
      </c>
      <c r="F38" s="386">
        <v>4.0</v>
      </c>
      <c r="G38" s="74">
        <v>700000.0</v>
      </c>
      <c r="H38" s="74">
        <v>0.0</v>
      </c>
      <c r="I38" s="74">
        <f t="shared" si="1"/>
        <v>2800000</v>
      </c>
      <c r="J38" s="74">
        <f>IF(E38="SERVICE",I38-(I38*50%),Vlookup(E38,DATABASE!C:Q,10,false)*F38)</f>
        <v>0</v>
      </c>
      <c r="K38" s="74">
        <v>613000.0</v>
      </c>
      <c r="L38" s="74">
        <v>613000.0</v>
      </c>
      <c r="M38" s="74">
        <f t="shared" si="2"/>
        <v>615000</v>
      </c>
      <c r="N38" s="74">
        <f t="shared" si="3"/>
        <v>340000</v>
      </c>
      <c r="O38" s="65" t="str">
        <f>VLOOKUP(E38,DATABASE!C:Q,8,false)</f>
        <v>IBU</v>
      </c>
      <c r="P38" s="65">
        <f>VLOOKUP(E38,DATABASE!C:Q,9,False)</f>
        <v>1</v>
      </c>
      <c r="Q38" s="93" t="str">
        <f>VLOOKUP(E38,DATABASE!C:Q,4,false)</f>
        <v>Dunlop</v>
      </c>
      <c r="R38" s="93" t="str">
        <f>VLOOKUP(E38,DATABASE!C:Q,11,false)</f>
        <v>Tire</v>
      </c>
    </row>
    <row r="39" ht="15.0" customHeight="1">
      <c r="A39" s="49"/>
      <c r="C39" s="384">
        <v>45660.0</v>
      </c>
      <c r="D39" s="93">
        <v>3796.0</v>
      </c>
      <c r="E39" s="385" t="s">
        <v>256</v>
      </c>
      <c r="F39" s="386">
        <v>1.0</v>
      </c>
      <c r="G39" s="74">
        <v>130000.0</v>
      </c>
      <c r="H39" s="74">
        <v>0.0</v>
      </c>
      <c r="I39" s="74">
        <f t="shared" si="1"/>
        <v>130000</v>
      </c>
      <c r="J39" s="74">
        <f>IF(E39="SERVICE",I39-(I39*50%),Vlookup(E39,DATABASE!C:Q,10,false)*F39)</f>
        <v>10000</v>
      </c>
      <c r="K39" s="74">
        <f>VLOOKUP(E39,DATABASE!C:Q,7,false)</f>
        <v>0</v>
      </c>
      <c r="L39" s="74">
        <v>0.0</v>
      </c>
      <c r="M39" s="74">
        <f t="shared" si="2"/>
        <v>0</v>
      </c>
      <c r="N39" s="74">
        <f t="shared" si="3"/>
        <v>120000</v>
      </c>
      <c r="O39" s="65" t="str">
        <f>VLOOKUP(E39,DATABASE!C:Q,8,false)</f>
        <v>IBU</v>
      </c>
      <c r="P39" s="65">
        <f>VLOOKUP(E39,DATABASE!C:Q,9,False)</f>
        <v>0</v>
      </c>
      <c r="Q39" s="93" t="str">
        <f>VLOOKUP(E39,DATABASE!C:Q,4,false)</f>
        <v>SPOORING</v>
      </c>
      <c r="R39" s="93" t="str">
        <f>VLOOKUP(E39,DATABASE!C:Q,11,false)</f>
        <v>SERVICE</v>
      </c>
      <c r="U39" s="9"/>
    </row>
    <row r="40" ht="15.0" customHeight="1">
      <c r="A40" s="49"/>
      <c r="C40" s="384">
        <v>45660.0</v>
      </c>
      <c r="D40" s="93">
        <v>3796.0</v>
      </c>
      <c r="E40" s="385" t="s">
        <v>301</v>
      </c>
      <c r="F40" s="386">
        <v>1.0</v>
      </c>
      <c r="G40" s="74">
        <v>250000.0</v>
      </c>
      <c r="H40" s="74">
        <v>0.0</v>
      </c>
      <c r="I40" s="74">
        <f t="shared" si="1"/>
        <v>250000</v>
      </c>
      <c r="J40" s="74">
        <f>IF(E40="SERVICE",I40-(I40*50%),Vlookup(E40,DATABASE!C:Q,10,false)*F40)</f>
        <v>75000</v>
      </c>
      <c r="K40" s="74">
        <f>VLOOKUP(E40,DATABASE!C:Q,7,false)</f>
        <v>75000</v>
      </c>
      <c r="L40" s="74">
        <v>75000.0</v>
      </c>
      <c r="M40" s="74">
        <f t="shared" si="2"/>
        <v>75000</v>
      </c>
      <c r="N40" s="74">
        <f t="shared" si="3"/>
        <v>100000</v>
      </c>
      <c r="O40" s="65" t="str">
        <f>VLOOKUP(E40,DATABASE!C:Q,8,false)</f>
        <v>BIAN</v>
      </c>
      <c r="P40" s="65">
        <f>VLOOKUP(E40,DATABASE!C:Q,9,False)</f>
        <v>0</v>
      </c>
      <c r="Q40" s="93" t="str">
        <f>VLOOKUP(E40,DATABASE!C:Q,4,false)</f>
        <v>Baut Camber</v>
      </c>
      <c r="R40" s="93" t="str">
        <f>VLOOKUP(E40,DATABASE!C:Q,11,false)</f>
        <v>COMPLEMENTARY</v>
      </c>
    </row>
    <row r="41" ht="15.0" customHeight="1">
      <c r="A41" s="49"/>
      <c r="C41" s="384">
        <v>45660.0</v>
      </c>
      <c r="D41" s="93">
        <v>3797.0</v>
      </c>
      <c r="E41" s="385" t="s">
        <v>301</v>
      </c>
      <c r="F41" s="386">
        <v>1.0</v>
      </c>
      <c r="G41" s="74">
        <v>250000.0</v>
      </c>
      <c r="H41" s="74">
        <v>0.0</v>
      </c>
      <c r="I41" s="74">
        <f t="shared" si="1"/>
        <v>250000</v>
      </c>
      <c r="J41" s="74">
        <f>IF(E41="SERVICE",I41-(I41*50%),Vlookup(E41,DATABASE!C:Q,10,false)*F41)</f>
        <v>75000</v>
      </c>
      <c r="K41" s="74">
        <f>VLOOKUP(E41,DATABASE!C:Q,7,false)</f>
        <v>75000</v>
      </c>
      <c r="L41" s="74">
        <v>75000.0</v>
      </c>
      <c r="M41" s="74">
        <f t="shared" si="2"/>
        <v>75000</v>
      </c>
      <c r="N41" s="74">
        <f t="shared" si="3"/>
        <v>100000</v>
      </c>
      <c r="O41" s="65" t="str">
        <f>VLOOKUP(E41,DATABASE!C:Q,8,false)</f>
        <v>BIAN</v>
      </c>
      <c r="P41" s="65">
        <f>VLOOKUP(E41,DATABASE!C:Q,9,False)</f>
        <v>0</v>
      </c>
      <c r="Q41" s="93" t="str">
        <f>VLOOKUP(E41,DATABASE!C:Q,4,false)</f>
        <v>Baut Camber</v>
      </c>
      <c r="R41" s="93" t="str">
        <f>VLOOKUP(E41,DATABASE!C:Q,11,false)</f>
        <v>COMPLEMENTARY</v>
      </c>
    </row>
    <row r="42" ht="15.0" customHeight="1">
      <c r="A42" s="49"/>
      <c r="C42" s="384">
        <v>45660.0</v>
      </c>
      <c r="D42" s="93">
        <v>3798.0</v>
      </c>
      <c r="E42" s="385" t="s">
        <v>299</v>
      </c>
      <c r="F42" s="386">
        <v>2.0</v>
      </c>
      <c r="G42" s="74">
        <v>30000.0</v>
      </c>
      <c r="H42" s="74">
        <v>0.0</v>
      </c>
      <c r="I42" s="74">
        <f t="shared" si="1"/>
        <v>60000</v>
      </c>
      <c r="J42" s="74">
        <f>IF(E42="SERVICE",I42-(I42*50%),Vlookup(E42,DATABASE!C:Q,10,false)*F42)</f>
        <v>0</v>
      </c>
      <c r="K42" s="74">
        <v>0.0</v>
      </c>
      <c r="L42" s="74">
        <v>0.0</v>
      </c>
      <c r="M42" s="74">
        <f t="shared" si="2"/>
        <v>0</v>
      </c>
      <c r="N42" s="74">
        <f t="shared" si="3"/>
        <v>60000</v>
      </c>
      <c r="O42" s="65" t="str">
        <f>VLOOKUP(E42,DATABASE!C:Q,8,false)</f>
        <v>BIAN</v>
      </c>
      <c r="P42" s="65">
        <f>VLOOKUP(E42,DATABASE!C:Q,9,False)</f>
        <v>0</v>
      </c>
      <c r="Q42" s="93" t="str">
        <f>VLOOKUP(E42,DATABASE!C:Q,4,false)</f>
        <v>Balancing</v>
      </c>
      <c r="R42" s="93" t="str">
        <f>VLOOKUP(E42,DATABASE!C:Q,11,false)</f>
        <v>COMPLEMENTARY</v>
      </c>
    </row>
    <row r="43" ht="15.0" customHeight="1">
      <c r="A43" s="49"/>
      <c r="C43" s="384">
        <v>45660.0</v>
      </c>
      <c r="D43" s="93">
        <v>3799.0</v>
      </c>
      <c r="E43" s="385" t="s">
        <v>1237</v>
      </c>
      <c r="F43" s="386">
        <v>2.0</v>
      </c>
      <c r="G43" s="74">
        <v>1285000.0</v>
      </c>
      <c r="H43" s="74">
        <v>0.0</v>
      </c>
      <c r="I43" s="74">
        <f t="shared" si="1"/>
        <v>2570000</v>
      </c>
      <c r="J43" s="74">
        <f>IF(E43="SERVICE",I43-(I43*50%),Vlookup(E43,DATABASE!C:Q,10,false)*F43)</f>
        <v>0</v>
      </c>
      <c r="K43" s="74">
        <v>1136064.0</v>
      </c>
      <c r="L43" s="74">
        <v>1136064.0</v>
      </c>
      <c r="M43" s="74">
        <f t="shared" si="2"/>
        <v>1140000</v>
      </c>
      <c r="N43" s="74">
        <f t="shared" si="3"/>
        <v>290000</v>
      </c>
      <c r="O43" s="65" t="str">
        <f>VLOOKUP(E43,DATABASE!C:Q,8,false)</f>
        <v>IBU</v>
      </c>
      <c r="P43" s="65">
        <f>VLOOKUP(E43,DATABASE!C:Q,9,False)</f>
        <v>1</v>
      </c>
      <c r="Q43" s="93" t="str">
        <f>VLOOKUP(E43,DATABASE!C:Q,4,false)</f>
        <v>Bridgestone</v>
      </c>
      <c r="R43" s="93" t="str">
        <f>VLOOKUP(E43,DATABASE!C:Q,11,false)</f>
        <v>Tire</v>
      </c>
    </row>
    <row r="44" ht="15.0" customHeight="1">
      <c r="A44" s="49"/>
      <c r="C44" s="384">
        <v>45660.0</v>
      </c>
      <c r="D44" s="93">
        <v>3799.0</v>
      </c>
      <c r="E44" s="385" t="s">
        <v>2135</v>
      </c>
      <c r="F44" s="386">
        <v>2.0</v>
      </c>
      <c r="G44" s="74">
        <v>15000.0</v>
      </c>
      <c r="H44" s="74">
        <v>0.0</v>
      </c>
      <c r="I44" s="74">
        <f t="shared" si="1"/>
        <v>30000</v>
      </c>
      <c r="J44" s="74">
        <f>IF(E44="SERVICE",I44-(I44*50%),Vlookup(E44,DATABASE!C:Q,10,false)*F44)</f>
        <v>0</v>
      </c>
      <c r="K44" s="74">
        <f>VLOOKUP(E44,DATABASE!C:Q,7,false)</f>
        <v>0</v>
      </c>
      <c r="L44" s="74">
        <v>0.0</v>
      </c>
      <c r="M44" s="74">
        <f t="shared" si="2"/>
        <v>0</v>
      </c>
      <c r="N44" s="74">
        <f t="shared" si="3"/>
        <v>30000</v>
      </c>
      <c r="O44" s="65" t="str">
        <f>VLOOKUP(E44,DATABASE!C:Q,8,false)</f>
        <v>IBU</v>
      </c>
      <c r="P44" s="65">
        <f>VLOOKUP(E44,DATABASE!C:Q,9,False)</f>
        <v>0</v>
      </c>
      <c r="Q44" s="93" t="str">
        <f>VLOOKUP(E44,DATABASE!C:Q,4,false)</f>
        <v>NITROGEN</v>
      </c>
      <c r="R44" s="93" t="str">
        <f>VLOOKUP(E44,DATABASE!C:Q,11,false)</f>
        <v>COMPLEMENTARY</v>
      </c>
    </row>
    <row r="45" ht="15.0" customHeight="1">
      <c r="A45" s="49"/>
      <c r="C45" s="384">
        <v>45660.0</v>
      </c>
      <c r="D45" s="93">
        <v>3800.0</v>
      </c>
      <c r="E45" s="385" t="s">
        <v>1237</v>
      </c>
      <c r="F45" s="386">
        <v>1.0</v>
      </c>
      <c r="G45" s="74">
        <v>1230000.0</v>
      </c>
      <c r="H45" s="74">
        <v>0.0</v>
      </c>
      <c r="I45" s="74">
        <f t="shared" si="1"/>
        <v>1230000</v>
      </c>
      <c r="J45" s="74">
        <f>IF(E45="SERVICE",I45-(I45*50%),Vlookup(E45,DATABASE!C:Q,10,false)*F45)</f>
        <v>0</v>
      </c>
      <c r="K45" s="74">
        <v>1136064.0</v>
      </c>
      <c r="L45" s="74">
        <v>1136064.0</v>
      </c>
      <c r="M45" s="74">
        <f t="shared" si="2"/>
        <v>1140000</v>
      </c>
      <c r="N45" s="74">
        <f t="shared" si="3"/>
        <v>90000</v>
      </c>
      <c r="O45" s="65" t="str">
        <f>VLOOKUP(E45,DATABASE!C:Q,8,false)</f>
        <v>IBU</v>
      </c>
      <c r="P45" s="65">
        <f>VLOOKUP(E45,DATABASE!C:Q,9,False)</f>
        <v>1</v>
      </c>
      <c r="Q45" s="93" t="str">
        <f>VLOOKUP(E45,DATABASE!C:Q,4,false)</f>
        <v>Bridgestone</v>
      </c>
      <c r="R45" s="93" t="str">
        <f>VLOOKUP(E45,DATABASE!C:Q,11,false)</f>
        <v>Tire</v>
      </c>
    </row>
    <row r="46" ht="15.0" customHeight="1">
      <c r="A46" s="49"/>
      <c r="C46" s="384">
        <v>45660.0</v>
      </c>
      <c r="D46" s="93">
        <v>3801.0</v>
      </c>
      <c r="E46" s="385" t="s">
        <v>554</v>
      </c>
      <c r="F46" s="386">
        <v>1.0</v>
      </c>
      <c r="G46" s="74">
        <v>790000.0</v>
      </c>
      <c r="H46" s="74">
        <v>0.0</v>
      </c>
      <c r="I46" s="74">
        <f t="shared" si="1"/>
        <v>790000</v>
      </c>
      <c r="J46" s="74">
        <f>IF(E46="SERVICE",I46-(I46*50%),Vlookup(E46,DATABASE!C:Q,10,false)*F46)</f>
        <v>0</v>
      </c>
      <c r="K46" s="74">
        <f>VLOOKUP(E46,DATABASE!C:Q,7,false)</f>
        <v>710000</v>
      </c>
      <c r="L46" s="74">
        <v>680000.0</v>
      </c>
      <c r="M46" s="74">
        <f t="shared" si="2"/>
        <v>680000</v>
      </c>
      <c r="N46" s="74">
        <f t="shared" si="3"/>
        <v>110000</v>
      </c>
      <c r="O46" s="65" t="str">
        <f>VLOOKUP(E46,DATABASE!C:Q,8,false)</f>
        <v>IBU</v>
      </c>
      <c r="P46" s="65">
        <f>VLOOKUP(E46,DATABASE!C:Q,9,False)</f>
        <v>1</v>
      </c>
      <c r="Q46" s="93" t="str">
        <f>VLOOKUP(E46,DATABASE!C:Q,4,false)</f>
        <v>Bridgestone</v>
      </c>
      <c r="R46" s="93" t="str">
        <f>VLOOKUP(E46,DATABASE!C:Q,11,false)</f>
        <v>Tire</v>
      </c>
    </row>
    <row r="47" ht="15.0" customHeight="1">
      <c r="A47" s="49"/>
      <c r="C47" s="384">
        <v>45660.0</v>
      </c>
      <c r="D47" s="93">
        <v>3802.0</v>
      </c>
      <c r="E47" s="385" t="s">
        <v>1831</v>
      </c>
      <c r="F47" s="386">
        <v>2.0</v>
      </c>
      <c r="G47" s="74">
        <v>645000.0</v>
      </c>
      <c r="H47" s="74">
        <v>0.0</v>
      </c>
      <c r="I47" s="74">
        <f t="shared" si="1"/>
        <v>1290000</v>
      </c>
      <c r="J47" s="74">
        <f>IF(E47="SERVICE",I47-(I47*50%),Vlookup(E47,DATABASE!C:Q,10,false)*F47)</f>
        <v>0</v>
      </c>
      <c r="K47" s="74">
        <f>VLOOKUP(E47,DATABASE!C:Q,7,false)</f>
        <v>595000</v>
      </c>
      <c r="L47" s="74">
        <v>595000.0</v>
      </c>
      <c r="M47" s="74">
        <f t="shared" si="2"/>
        <v>595000</v>
      </c>
      <c r="N47" s="74">
        <f t="shared" si="3"/>
        <v>100000</v>
      </c>
      <c r="O47" s="65" t="str">
        <f>VLOOKUP(E47,DATABASE!C:Q,8,false)</f>
        <v>BIAN</v>
      </c>
      <c r="P47" s="65">
        <f>VLOOKUP(E47,DATABASE!C:Q,9,False)</f>
        <v>1</v>
      </c>
      <c r="Q47" s="93" t="str">
        <f>VLOOKUP(E47,DATABASE!C:Q,4,false)</f>
        <v>G. YEAR</v>
      </c>
      <c r="R47" s="93" t="str">
        <f>VLOOKUP(E47,DATABASE!C:Q,11,false)</f>
        <v>Tire</v>
      </c>
    </row>
    <row r="48" ht="15.0" customHeight="1">
      <c r="A48" s="49"/>
      <c r="C48" s="384">
        <v>45660.0</v>
      </c>
      <c r="D48" s="93">
        <v>3802.0</v>
      </c>
      <c r="E48" s="385" t="s">
        <v>2135</v>
      </c>
      <c r="F48" s="386">
        <v>1.0</v>
      </c>
      <c r="G48" s="74">
        <v>15000.0</v>
      </c>
      <c r="H48" s="74">
        <v>0.0</v>
      </c>
      <c r="I48" s="74">
        <f t="shared" si="1"/>
        <v>15000</v>
      </c>
      <c r="J48" s="74">
        <f>IF(E48="SERVICE",I48-(I48*50%),Vlookup(E48,DATABASE!C:Q,10,false)*F48)</f>
        <v>0</v>
      </c>
      <c r="K48" s="74">
        <f>VLOOKUP(E48,DATABASE!C:Q,7,false)</f>
        <v>0</v>
      </c>
      <c r="L48" s="74">
        <v>0.0</v>
      </c>
      <c r="M48" s="74">
        <f t="shared" si="2"/>
        <v>0</v>
      </c>
      <c r="N48" s="74">
        <f t="shared" si="3"/>
        <v>15000</v>
      </c>
      <c r="O48" s="65" t="str">
        <f>VLOOKUP(E48,DATABASE!C:Q,8,false)</f>
        <v>IBU</v>
      </c>
      <c r="P48" s="65">
        <f>VLOOKUP(E48,DATABASE!C:Q,9,False)</f>
        <v>0</v>
      </c>
      <c r="Q48" s="93" t="str">
        <f>VLOOKUP(E48,DATABASE!C:Q,4,false)</f>
        <v>NITROGEN</v>
      </c>
      <c r="R48" s="93" t="str">
        <f>VLOOKUP(E48,DATABASE!C:Q,11,false)</f>
        <v>COMPLEMENTARY</v>
      </c>
    </row>
    <row r="49" ht="15.0" customHeight="1">
      <c r="A49" s="49"/>
      <c r="C49" s="384">
        <v>45660.0</v>
      </c>
      <c r="D49" s="93">
        <v>3803.0</v>
      </c>
      <c r="E49" s="385" t="s">
        <v>974</v>
      </c>
      <c r="F49" s="386">
        <v>2.0</v>
      </c>
      <c r="G49" s="74">
        <v>560000.0</v>
      </c>
      <c r="H49" s="74">
        <v>0.0</v>
      </c>
      <c r="I49" s="74">
        <f t="shared" si="1"/>
        <v>1120000</v>
      </c>
      <c r="J49" s="74">
        <f>IF(E49="SERVICE",I49-(I49*50%),Vlookup(E49,DATABASE!C:Q,10,false)*F49)</f>
        <v>0</v>
      </c>
      <c r="K49" s="74">
        <f>VLOOKUP(E49,DATABASE!C:Q,7,false)</f>
        <v>501500</v>
      </c>
      <c r="L49" s="74">
        <v>491000.0</v>
      </c>
      <c r="M49" s="74">
        <f t="shared" si="2"/>
        <v>495000</v>
      </c>
      <c r="N49" s="74">
        <f t="shared" si="3"/>
        <v>130000</v>
      </c>
      <c r="O49" s="65" t="str">
        <f>VLOOKUP(E49,DATABASE!C:Q,8,false)</f>
        <v>IBU</v>
      </c>
      <c r="P49" s="65">
        <f>VLOOKUP(E49,DATABASE!C:Q,9,False)</f>
        <v>1</v>
      </c>
      <c r="Q49" s="93" t="str">
        <f>VLOOKUP(E49,DATABASE!C:Q,4,false)</f>
        <v>Dunlop</v>
      </c>
      <c r="R49" s="93" t="str">
        <f>VLOOKUP(E49,DATABASE!C:Q,11,false)</f>
        <v>Tire</v>
      </c>
    </row>
    <row r="50" ht="15.0" customHeight="1">
      <c r="A50" s="49"/>
      <c r="C50" s="384">
        <v>45660.0</v>
      </c>
      <c r="D50" s="93">
        <v>3804.0</v>
      </c>
      <c r="E50" s="385" t="s">
        <v>878</v>
      </c>
      <c r="F50" s="386">
        <v>4.0</v>
      </c>
      <c r="G50" s="74">
        <v>50000.0</v>
      </c>
      <c r="H50" s="74">
        <v>0.0</v>
      </c>
      <c r="I50" s="74">
        <f t="shared" si="1"/>
        <v>200000</v>
      </c>
      <c r="J50" s="74">
        <f>IF(E50="SERVICE",I50-(I50*50%),Vlookup(E50,DATABASE!C:Q,10,false)*F50)</f>
        <v>0</v>
      </c>
      <c r="K50" s="74">
        <f>VLOOKUP(E50,DATABASE!C:Q,7,false)</f>
        <v>0</v>
      </c>
      <c r="L50" s="74">
        <v>0.0</v>
      </c>
      <c r="M50" s="74">
        <f t="shared" si="2"/>
        <v>0</v>
      </c>
      <c r="N50" s="74">
        <f t="shared" si="3"/>
        <v>200000</v>
      </c>
      <c r="O50" s="65" t="str">
        <f>VLOOKUP(E50,DATABASE!C:Q,8,false)</f>
        <v>IBU</v>
      </c>
      <c r="P50" s="65">
        <f>VLOOKUP(E50,DATABASE!C:Q,9,False)</f>
        <v>0</v>
      </c>
      <c r="Q50" s="93" t="str">
        <f>VLOOKUP(E50,DATABASE!C:Q,4,false)</f>
        <v>Bongkar Pasang 17</v>
      </c>
      <c r="R50" s="93" t="str">
        <f>VLOOKUP(E50,DATABASE!C:Q,11,false)</f>
        <v>SERVICE</v>
      </c>
    </row>
    <row r="51" ht="15.0" customHeight="1">
      <c r="A51" s="49"/>
      <c r="C51" s="384">
        <v>45660.0</v>
      </c>
      <c r="D51" s="93">
        <v>3804.0</v>
      </c>
      <c r="E51" s="385" t="s">
        <v>461</v>
      </c>
      <c r="F51" s="386">
        <v>2.0</v>
      </c>
      <c r="G51" s="74">
        <v>45000.0</v>
      </c>
      <c r="H51" s="74">
        <v>0.0</v>
      </c>
      <c r="I51" s="74">
        <f t="shared" si="1"/>
        <v>90000</v>
      </c>
      <c r="J51" s="74">
        <f>IF(E51="SERVICE",I51-(I51*50%),Vlookup(E51,DATABASE!C:Q,10,false)*F51)</f>
        <v>0</v>
      </c>
      <c r="K51" s="74">
        <v>0.0</v>
      </c>
      <c r="L51" s="74">
        <v>0.0</v>
      </c>
      <c r="M51" s="74">
        <f t="shared" si="2"/>
        <v>0</v>
      </c>
      <c r="N51" s="74">
        <f t="shared" si="3"/>
        <v>90000</v>
      </c>
      <c r="O51" s="65" t="str">
        <f>VLOOKUP(E51,DATABASE!C:Q,8,false)</f>
        <v>BIAN</v>
      </c>
      <c r="P51" s="65">
        <f>VLOOKUP(E51,DATABASE!C:Q,9,False)</f>
        <v>0</v>
      </c>
      <c r="Q51" s="93" t="str">
        <f>VLOOKUP(E51,DATABASE!C:Q,4,false)</f>
        <v>Balancing</v>
      </c>
      <c r="R51" s="93" t="str">
        <f>VLOOKUP(E51,DATABASE!C:Q,11,false)</f>
        <v>COMPLEMENTARY</v>
      </c>
    </row>
    <row r="52" ht="15.0" customHeight="1">
      <c r="A52" s="49"/>
      <c r="C52" s="384">
        <v>45660.0</v>
      </c>
      <c r="D52" s="93">
        <v>3805.0</v>
      </c>
      <c r="E52" s="385" t="s">
        <v>256</v>
      </c>
      <c r="F52" s="386">
        <v>1.0</v>
      </c>
      <c r="G52" s="74">
        <v>130000.0</v>
      </c>
      <c r="H52" s="74">
        <v>0.0</v>
      </c>
      <c r="I52" s="74">
        <f t="shared" si="1"/>
        <v>130000</v>
      </c>
      <c r="J52" s="74">
        <f>IF(E52="SERVICE",I52-(I52*50%),Vlookup(E52,DATABASE!C:Q,10,false)*F52)</f>
        <v>10000</v>
      </c>
      <c r="K52" s="74">
        <f>VLOOKUP(E52,DATABASE!C:Q,7,false)</f>
        <v>0</v>
      </c>
      <c r="L52" s="74">
        <v>0.0</v>
      </c>
      <c r="M52" s="74">
        <f t="shared" si="2"/>
        <v>0</v>
      </c>
      <c r="N52" s="74">
        <f t="shared" si="3"/>
        <v>120000</v>
      </c>
      <c r="O52" s="65" t="str">
        <f>VLOOKUP(E52,DATABASE!C:Q,8,false)</f>
        <v>IBU</v>
      </c>
      <c r="P52" s="65">
        <f>VLOOKUP(E52,DATABASE!C:Q,9,False)</f>
        <v>0</v>
      </c>
      <c r="Q52" s="93" t="str">
        <f>VLOOKUP(E52,DATABASE!C:Q,4,false)</f>
        <v>SPOORING</v>
      </c>
      <c r="R52" s="93" t="str">
        <f>VLOOKUP(E52,DATABASE!C:Q,11,false)</f>
        <v>SERVICE</v>
      </c>
    </row>
    <row r="53" ht="15.0" customHeight="1">
      <c r="A53" s="49"/>
      <c r="C53" s="384">
        <v>45660.0</v>
      </c>
      <c r="D53" s="93">
        <v>3805.0</v>
      </c>
      <c r="E53" s="385" t="s">
        <v>299</v>
      </c>
      <c r="F53" s="386">
        <v>2.0</v>
      </c>
      <c r="G53" s="74">
        <v>30000.0</v>
      </c>
      <c r="H53" s="74">
        <v>0.0</v>
      </c>
      <c r="I53" s="74">
        <f t="shared" si="1"/>
        <v>60000</v>
      </c>
      <c r="J53" s="74">
        <f>IF(E53="SERVICE",I53-(I53*50%),Vlookup(E53,DATABASE!C:Q,10,false)*F53)</f>
        <v>0</v>
      </c>
      <c r="K53" s="74">
        <v>0.0</v>
      </c>
      <c r="L53" s="74">
        <v>0.0</v>
      </c>
      <c r="M53" s="74">
        <f t="shared" si="2"/>
        <v>0</v>
      </c>
      <c r="N53" s="74">
        <f t="shared" si="3"/>
        <v>60000</v>
      </c>
      <c r="O53" s="65" t="str">
        <f>VLOOKUP(E53,DATABASE!C:Q,8,false)</f>
        <v>BIAN</v>
      </c>
      <c r="P53" s="65">
        <f>VLOOKUP(E53,DATABASE!C:Q,9,False)</f>
        <v>0</v>
      </c>
      <c r="Q53" s="93" t="str">
        <f>VLOOKUP(E53,DATABASE!C:Q,4,false)</f>
        <v>Balancing</v>
      </c>
      <c r="R53" s="93" t="str">
        <f>VLOOKUP(E53,DATABASE!C:Q,11,false)</f>
        <v>COMPLEMENTARY</v>
      </c>
    </row>
    <row r="54" ht="15.0" customHeight="1">
      <c r="A54" s="49"/>
      <c r="C54" s="384">
        <v>45660.0</v>
      </c>
      <c r="D54" s="93">
        <v>3805.0</v>
      </c>
      <c r="E54" s="385" t="s">
        <v>251</v>
      </c>
      <c r="F54" s="386">
        <v>1.0</v>
      </c>
      <c r="G54" s="74">
        <v>150000.0</v>
      </c>
      <c r="H54" s="74">
        <v>0.0</v>
      </c>
      <c r="I54" s="74">
        <f t="shared" si="1"/>
        <v>150000</v>
      </c>
      <c r="J54" s="74">
        <f>IF(E54="SERVICE",I54-(I54*50%),Vlookup(E54,DATABASE!C:Q,10,false)*F54)</f>
        <v>75000</v>
      </c>
      <c r="K54" s="74">
        <f>VLOOKUP(E54,DATABASE!C:Q,7,false)</f>
        <v>0</v>
      </c>
      <c r="L54" s="74">
        <v>0.0</v>
      </c>
      <c r="M54" s="74">
        <f t="shared" si="2"/>
        <v>0</v>
      </c>
      <c r="N54" s="74">
        <f t="shared" si="3"/>
        <v>75000</v>
      </c>
      <c r="O54" s="65" t="str">
        <f>VLOOKUP(E54,DATABASE!C:Q,8,false)</f>
        <v>IBU</v>
      </c>
      <c r="P54" s="65">
        <f>VLOOKUP(E54,DATABASE!C:Q,9,False)</f>
        <v>0</v>
      </c>
      <c r="Q54" s="93" t="str">
        <f>VLOOKUP(E54,DATABASE!C:Q,4,false)</f>
        <v>SERVICE</v>
      </c>
      <c r="R54" s="93" t="str">
        <f>VLOOKUP(E54,DATABASE!C:Q,11,false)</f>
        <v>SERVICE</v>
      </c>
    </row>
    <row r="55" ht="15.0" customHeight="1">
      <c r="A55" s="49"/>
      <c r="C55" s="384">
        <v>45660.0</v>
      </c>
      <c r="D55" s="93">
        <v>3807.0</v>
      </c>
      <c r="E55" s="385" t="s">
        <v>687</v>
      </c>
      <c r="F55" s="386">
        <v>1.0</v>
      </c>
      <c r="G55" s="74">
        <v>1035000.0</v>
      </c>
      <c r="H55" s="74">
        <v>0.0</v>
      </c>
      <c r="I55" s="74">
        <f t="shared" si="1"/>
        <v>1035000</v>
      </c>
      <c r="J55" s="74">
        <f>IF(E55="SERVICE",I55-(I55*50%),Vlookup(E55,DATABASE!C:Q,10,false)*F55)</f>
        <v>0</v>
      </c>
      <c r="K55" s="74">
        <f>VLOOKUP(E55,DATABASE!C:Q,7,false)</f>
        <v>959000</v>
      </c>
      <c r="L55" s="74">
        <v>949000.0</v>
      </c>
      <c r="M55" s="74">
        <f t="shared" si="2"/>
        <v>950000</v>
      </c>
      <c r="N55" s="74">
        <f t="shared" si="3"/>
        <v>85000</v>
      </c>
      <c r="O55" s="65" t="str">
        <f>VLOOKUP(E55,DATABASE!C:Q,8,false)</f>
        <v>IBU</v>
      </c>
      <c r="P55" s="65">
        <f>VLOOKUP(E55,DATABASE!C:Q,9,False)</f>
        <v>1</v>
      </c>
      <c r="Q55" s="93" t="str">
        <f>VLOOKUP(E55,DATABASE!C:Q,4,false)</f>
        <v>Dunlop</v>
      </c>
      <c r="R55" s="93" t="str">
        <f>VLOOKUP(E55,DATABASE!C:Q,11,false)</f>
        <v>Tire</v>
      </c>
    </row>
    <row r="56" ht="15.0" customHeight="1">
      <c r="A56" s="49"/>
      <c r="C56" s="384">
        <v>45661.0</v>
      </c>
      <c r="D56" s="93">
        <v>3808.0</v>
      </c>
      <c r="E56" s="385" t="s">
        <v>633</v>
      </c>
      <c r="F56" s="386">
        <v>1.0</v>
      </c>
      <c r="G56" s="74">
        <v>115000.0</v>
      </c>
      <c r="H56" s="74">
        <v>0.0</v>
      </c>
      <c r="I56" s="74">
        <f t="shared" si="1"/>
        <v>115000</v>
      </c>
      <c r="J56" s="74">
        <f>IF(E56="SERVICE",I56-(I56*50%),Vlookup(E56,DATABASE!C:Q,10,false)*F56)</f>
        <v>0</v>
      </c>
      <c r="K56" s="74">
        <f>VLOOKUP(E56,DATABASE!C:Q,7,false)</f>
        <v>81200</v>
      </c>
      <c r="L56" s="74">
        <v>81200.0</v>
      </c>
      <c r="M56" s="74">
        <f t="shared" si="2"/>
        <v>85000</v>
      </c>
      <c r="N56" s="74">
        <f t="shared" si="3"/>
        <v>30000</v>
      </c>
      <c r="O56" s="65" t="str">
        <f>VLOOKUP(E56,DATABASE!C:Q,8,false)</f>
        <v>BIAN</v>
      </c>
      <c r="P56" s="65">
        <f>VLOOKUP(E56,DATABASE!C:Q,9,False)</f>
        <v>1</v>
      </c>
      <c r="Q56" s="93" t="str">
        <f>VLOOKUP(E56,DATABASE!C:Q,4,false)</f>
        <v>BD</v>
      </c>
      <c r="R56" s="93" t="str">
        <f>VLOOKUP(E56,DATABASE!C:Q,11,false)</f>
        <v>Tire</v>
      </c>
    </row>
    <row r="57" ht="15.0" customHeight="1">
      <c r="A57" s="49"/>
      <c r="C57" s="384">
        <v>45661.0</v>
      </c>
      <c r="D57" s="93">
        <v>3809.0</v>
      </c>
      <c r="E57" s="385" t="s">
        <v>585</v>
      </c>
      <c r="F57" s="386">
        <v>1.0</v>
      </c>
      <c r="G57" s="74">
        <v>95000.0</v>
      </c>
      <c r="H57" s="74">
        <v>0.0</v>
      </c>
      <c r="I57" s="74">
        <f t="shared" si="1"/>
        <v>95000</v>
      </c>
      <c r="J57" s="74">
        <f>IF(E57="SERVICE",I57-(I57*50%),Vlookup(E57,DATABASE!C:Q,10,false)*F57)</f>
        <v>0</v>
      </c>
      <c r="K57" s="74">
        <f>VLOOKUP(E57,DATABASE!C:Q,7,false)</f>
        <v>61600</v>
      </c>
      <c r="L57" s="74">
        <v>61600.0</v>
      </c>
      <c r="M57" s="74">
        <f t="shared" si="2"/>
        <v>65000</v>
      </c>
      <c r="N57" s="74">
        <f t="shared" si="3"/>
        <v>30000</v>
      </c>
      <c r="O57" s="65" t="str">
        <f>VLOOKUP(E57,DATABASE!C:Q,8,false)</f>
        <v>BIAN</v>
      </c>
      <c r="P57" s="65">
        <f>VLOOKUP(E57,DATABASE!C:Q,9,False)</f>
        <v>1</v>
      </c>
      <c r="Q57" s="93" t="str">
        <f>VLOOKUP(E57,DATABASE!C:Q,4,false)</f>
        <v>BD</v>
      </c>
      <c r="R57" s="93" t="str">
        <f>VLOOKUP(E57,DATABASE!C:Q,11,false)</f>
        <v>Tire</v>
      </c>
    </row>
    <row r="58" ht="15.0" customHeight="1">
      <c r="A58" s="49"/>
      <c r="C58" s="384">
        <v>45661.0</v>
      </c>
      <c r="D58" s="93">
        <v>3810.0</v>
      </c>
      <c r="E58" s="385" t="s">
        <v>1926</v>
      </c>
      <c r="F58" s="386">
        <v>2.0</v>
      </c>
      <c r="G58" s="74">
        <v>730000.0</v>
      </c>
      <c r="H58" s="74">
        <v>0.0</v>
      </c>
      <c r="I58" s="74">
        <f t="shared" si="1"/>
        <v>1460000</v>
      </c>
      <c r="J58" s="74">
        <f>IF(E58="SERVICE",I58-(I58*50%),Vlookup(E58,DATABASE!C:Q,10,false)*F58)</f>
        <v>0</v>
      </c>
      <c r="K58" s="74">
        <f>VLOOKUP(E58,DATABASE!C:Q,7,false)</f>
        <v>643230</v>
      </c>
      <c r="L58" s="74">
        <v>643230.0</v>
      </c>
      <c r="M58" s="74">
        <f t="shared" si="2"/>
        <v>645000</v>
      </c>
      <c r="N58" s="74">
        <f t="shared" si="3"/>
        <v>170000</v>
      </c>
      <c r="O58" s="65" t="str">
        <f>VLOOKUP(E58,DATABASE!C:Q,8,false)</f>
        <v>BIAN</v>
      </c>
      <c r="P58" s="65">
        <f>VLOOKUP(E58,DATABASE!C:Q,9,False)</f>
        <v>1</v>
      </c>
      <c r="Q58" s="93" t="str">
        <f>VLOOKUP(E58,DATABASE!C:Q,4,false)</f>
        <v>GT</v>
      </c>
      <c r="R58" s="93" t="str">
        <f>VLOOKUP(E58,DATABASE!C:Q,11,false)</f>
        <v>Tire</v>
      </c>
    </row>
    <row r="59" ht="15.0" customHeight="1">
      <c r="A59" s="49"/>
      <c r="C59" s="384">
        <v>45661.0</v>
      </c>
      <c r="D59" s="93">
        <v>3810.0</v>
      </c>
      <c r="E59" s="385" t="s">
        <v>299</v>
      </c>
      <c r="F59" s="386">
        <v>2.0</v>
      </c>
      <c r="G59" s="74">
        <v>30000.0</v>
      </c>
      <c r="H59" s="74">
        <v>0.0</v>
      </c>
      <c r="I59" s="74">
        <f t="shared" si="1"/>
        <v>60000</v>
      </c>
      <c r="J59" s="74">
        <f>IF(E59="SERVICE",I59-(I59*50%),Vlookup(E59,DATABASE!C:Q,10,false)*F59)</f>
        <v>0</v>
      </c>
      <c r="K59" s="74">
        <v>0.0</v>
      </c>
      <c r="L59" s="74">
        <v>0.0</v>
      </c>
      <c r="M59" s="74">
        <f t="shared" si="2"/>
        <v>0</v>
      </c>
      <c r="N59" s="74">
        <f t="shared" si="3"/>
        <v>60000</v>
      </c>
      <c r="O59" s="65" t="str">
        <f>VLOOKUP(E59,DATABASE!C:Q,8,false)</f>
        <v>BIAN</v>
      </c>
      <c r="P59" s="65">
        <f>VLOOKUP(E59,DATABASE!C:Q,9,False)</f>
        <v>0</v>
      </c>
      <c r="Q59" s="93" t="str">
        <f>VLOOKUP(E59,DATABASE!C:Q,4,false)</f>
        <v>Balancing</v>
      </c>
      <c r="R59" s="93" t="str">
        <f>VLOOKUP(E59,DATABASE!C:Q,11,false)</f>
        <v>COMPLEMENTARY</v>
      </c>
    </row>
    <row r="60" ht="15.0" customHeight="1">
      <c r="A60" s="49"/>
      <c r="C60" s="384">
        <v>45661.0</v>
      </c>
      <c r="D60" s="93">
        <v>3811.0</v>
      </c>
      <c r="E60" s="385" t="s">
        <v>946</v>
      </c>
      <c r="F60" s="386">
        <v>2.0</v>
      </c>
      <c r="G60" s="74">
        <v>880000.0</v>
      </c>
      <c r="H60" s="74">
        <v>0.0</v>
      </c>
      <c r="I60" s="74">
        <f t="shared" si="1"/>
        <v>1760000</v>
      </c>
      <c r="J60" s="74">
        <f>IF(E60="SERVICE",I60-(I60*50%),Vlookup(E60,DATABASE!C:Q,10,false)*F60)</f>
        <v>0</v>
      </c>
      <c r="K60" s="74">
        <f>VLOOKUP(E60,DATABASE!C:Q,7,false)</f>
        <v>809000</v>
      </c>
      <c r="L60" s="74">
        <v>809000.0</v>
      </c>
      <c r="M60" s="74">
        <f t="shared" si="2"/>
        <v>810000</v>
      </c>
      <c r="N60" s="74">
        <f t="shared" si="3"/>
        <v>140000</v>
      </c>
      <c r="O60" s="65" t="str">
        <f>VLOOKUP(E60,DATABASE!C:Q,8,false)</f>
        <v>IBU</v>
      </c>
      <c r="P60" s="65">
        <f>VLOOKUP(E60,DATABASE!C:Q,9,False)</f>
        <v>1</v>
      </c>
      <c r="Q60" s="93" t="str">
        <f>VLOOKUP(E60,DATABASE!C:Q,4,false)</f>
        <v>Dunlop</v>
      </c>
      <c r="R60" s="93" t="str">
        <f>VLOOKUP(E60,DATABASE!C:Q,11,false)</f>
        <v>Tire</v>
      </c>
    </row>
    <row r="61" ht="15.0" customHeight="1">
      <c r="A61" s="49"/>
      <c r="C61" s="384">
        <v>45661.0</v>
      </c>
      <c r="D61" s="93">
        <v>3812.0</v>
      </c>
      <c r="E61" s="385" t="s">
        <v>268</v>
      </c>
      <c r="F61" s="386">
        <v>2.0</v>
      </c>
      <c r="G61" s="74">
        <v>700000.0</v>
      </c>
      <c r="H61" s="74">
        <v>0.0</v>
      </c>
      <c r="I61" s="74">
        <f t="shared" si="1"/>
        <v>1400000</v>
      </c>
      <c r="J61" s="74">
        <f>IF(E61="SERVICE",I61-(I61*50%),Vlookup(E61,DATABASE!C:Q,10,false)*F61)</f>
        <v>0</v>
      </c>
      <c r="K61" s="74">
        <v>613000.0</v>
      </c>
      <c r="L61" s="74">
        <v>613000.0</v>
      </c>
      <c r="M61" s="74">
        <f t="shared" si="2"/>
        <v>615000</v>
      </c>
      <c r="N61" s="74">
        <f t="shared" si="3"/>
        <v>170000</v>
      </c>
      <c r="O61" s="65" t="str">
        <f>VLOOKUP(E61,DATABASE!C:Q,8,false)</f>
        <v>IBU</v>
      </c>
      <c r="P61" s="65">
        <f>VLOOKUP(E61,DATABASE!C:Q,9,False)</f>
        <v>1</v>
      </c>
      <c r="Q61" s="93" t="str">
        <f>VLOOKUP(E61,DATABASE!C:Q,4,false)</f>
        <v>Dunlop</v>
      </c>
      <c r="R61" s="93" t="str">
        <f>VLOOKUP(E61,DATABASE!C:Q,11,false)</f>
        <v>Tire</v>
      </c>
    </row>
    <row r="62" ht="15.0" customHeight="1">
      <c r="A62" s="49"/>
      <c r="C62" s="384">
        <v>45661.0</v>
      </c>
      <c r="D62" s="93">
        <v>3813.0</v>
      </c>
      <c r="E62" s="385" t="s">
        <v>1894</v>
      </c>
      <c r="F62" s="386">
        <v>1.0</v>
      </c>
      <c r="G62" s="74">
        <v>520000.0</v>
      </c>
      <c r="H62" s="74">
        <v>0.0</v>
      </c>
      <c r="I62" s="74">
        <f t="shared" si="1"/>
        <v>520000</v>
      </c>
      <c r="J62" s="74">
        <f>IF(E62="SERVICE",I62-(I62*50%),Vlookup(E62,DATABASE!C:Q,10,false)*F62)</f>
        <v>0</v>
      </c>
      <c r="K62" s="74">
        <f>VLOOKUP(E62,DATABASE!C:Q,7,false)</f>
        <v>458600</v>
      </c>
      <c r="L62" s="74">
        <v>445400.0</v>
      </c>
      <c r="M62" s="74">
        <f t="shared" si="2"/>
        <v>450000</v>
      </c>
      <c r="N62" s="74">
        <f t="shared" si="3"/>
        <v>70000</v>
      </c>
      <c r="O62" s="65" t="str">
        <f>VLOOKUP(E62,DATABASE!C:Q,8,false)</f>
        <v>BIAN</v>
      </c>
      <c r="P62" s="65">
        <f>VLOOKUP(E62,DATABASE!C:Q,9,False)</f>
        <v>1</v>
      </c>
      <c r="Q62" s="93" t="str">
        <f>VLOOKUP(E62,DATABASE!C:Q,4,false)</f>
        <v>GT</v>
      </c>
      <c r="R62" s="93" t="str">
        <f>VLOOKUP(E62,DATABASE!C:Q,11,false)</f>
        <v>Tire</v>
      </c>
    </row>
    <row r="63" ht="15.0" customHeight="1">
      <c r="A63" s="49"/>
      <c r="C63" s="384">
        <v>45661.0</v>
      </c>
      <c r="D63" s="93">
        <v>3814.0</v>
      </c>
      <c r="E63" s="385" t="s">
        <v>937</v>
      </c>
      <c r="F63" s="386">
        <v>2.0</v>
      </c>
      <c r="G63" s="74">
        <v>900000.0</v>
      </c>
      <c r="H63" s="74">
        <v>0.0</v>
      </c>
      <c r="I63" s="74">
        <f t="shared" si="1"/>
        <v>1800000</v>
      </c>
      <c r="J63" s="74">
        <f>IF(E63="SERVICE",I63-(I63*50%),Vlookup(E63,DATABASE!C:Q,10,false)*F63)</f>
        <v>0</v>
      </c>
      <c r="K63" s="74">
        <f>VLOOKUP(E63,DATABASE!C:Q,7,false)</f>
        <v>825000</v>
      </c>
      <c r="L63" s="74">
        <v>790000.0</v>
      </c>
      <c r="M63" s="74">
        <f t="shared" si="2"/>
        <v>790000</v>
      </c>
      <c r="N63" s="74">
        <f t="shared" si="3"/>
        <v>220000</v>
      </c>
      <c r="O63" s="65" t="str">
        <f>VLOOKUP(E63,DATABASE!C:Q,8,false)</f>
        <v>IBU</v>
      </c>
      <c r="P63" s="65">
        <f>VLOOKUP(E63,DATABASE!C:Q,9,False)</f>
        <v>1</v>
      </c>
      <c r="Q63" s="93" t="str">
        <f>VLOOKUP(E63,DATABASE!C:Q,4,false)</f>
        <v>Bridgestone</v>
      </c>
      <c r="R63" s="93" t="str">
        <f>VLOOKUP(E63,DATABASE!C:Q,11,false)</f>
        <v>Tire</v>
      </c>
    </row>
    <row r="64" ht="15.0" customHeight="1">
      <c r="A64" s="49"/>
      <c r="C64" s="384">
        <v>45661.0</v>
      </c>
      <c r="D64" s="93">
        <v>3815.0</v>
      </c>
      <c r="E64" s="385" t="s">
        <v>1009</v>
      </c>
      <c r="F64" s="386">
        <v>1.0</v>
      </c>
      <c r="G64" s="74">
        <v>670000.0</v>
      </c>
      <c r="H64" s="74">
        <v>0.0</v>
      </c>
      <c r="I64" s="74">
        <f t="shared" si="1"/>
        <v>670000</v>
      </c>
      <c r="J64" s="74">
        <f>IF(E64="SERVICE",I64-(I64*50%),Vlookup(E64,DATABASE!C:Q,10,false)*F64)</f>
        <v>0</v>
      </c>
      <c r="K64" s="74">
        <f>VLOOKUP(E64,DATABASE!C:Q,7,false)</f>
        <v>609800</v>
      </c>
      <c r="L64" s="74">
        <v>592200.0</v>
      </c>
      <c r="M64" s="74">
        <f t="shared" si="2"/>
        <v>595000</v>
      </c>
      <c r="N64" s="74">
        <f t="shared" si="3"/>
        <v>75000</v>
      </c>
      <c r="O64" s="65" t="str">
        <f>VLOOKUP(E64,DATABASE!C:Q,8,false)</f>
        <v>BIAN</v>
      </c>
      <c r="P64" s="65">
        <f>VLOOKUP(E64,DATABASE!C:Q,9,False)</f>
        <v>1</v>
      </c>
      <c r="Q64" s="93" t="str">
        <f>VLOOKUP(E64,DATABASE!C:Q,4,false)</f>
        <v>GT</v>
      </c>
      <c r="R64" s="93" t="str">
        <f>VLOOKUP(E64,DATABASE!C:Q,11,false)</f>
        <v>Tire</v>
      </c>
    </row>
    <row r="65" ht="15.0" customHeight="1">
      <c r="A65" s="49"/>
      <c r="C65" s="384">
        <v>45661.0</v>
      </c>
      <c r="D65" s="93">
        <v>3816.0</v>
      </c>
      <c r="E65" s="385" t="s">
        <v>1009</v>
      </c>
      <c r="F65" s="386">
        <v>2.0</v>
      </c>
      <c r="G65" s="74">
        <v>670000.0</v>
      </c>
      <c r="H65" s="74">
        <v>0.0</v>
      </c>
      <c r="I65" s="74">
        <f t="shared" si="1"/>
        <v>1340000</v>
      </c>
      <c r="J65" s="74">
        <f>IF(E65="SERVICE",I65-(I65*50%),Vlookup(E65,DATABASE!C:Q,10,false)*F65)</f>
        <v>0</v>
      </c>
      <c r="K65" s="74">
        <f>VLOOKUP(E65,DATABASE!C:Q,7,false)</f>
        <v>609800</v>
      </c>
      <c r="L65" s="74">
        <v>592200.0</v>
      </c>
      <c r="M65" s="74">
        <f t="shared" si="2"/>
        <v>595000</v>
      </c>
      <c r="N65" s="74">
        <f t="shared" si="3"/>
        <v>150000</v>
      </c>
      <c r="O65" s="65" t="str">
        <f>VLOOKUP(E65,DATABASE!C:Q,8,false)</f>
        <v>BIAN</v>
      </c>
      <c r="P65" s="65">
        <f>VLOOKUP(E65,DATABASE!C:Q,9,False)</f>
        <v>1</v>
      </c>
      <c r="Q65" s="93" t="str">
        <f>VLOOKUP(E65,DATABASE!C:Q,4,false)</f>
        <v>GT</v>
      </c>
      <c r="R65" s="93" t="str">
        <f>VLOOKUP(E65,DATABASE!C:Q,11,false)</f>
        <v>Tire</v>
      </c>
    </row>
    <row r="66" ht="15.0" customHeight="1">
      <c r="A66" s="49"/>
      <c r="C66" s="384">
        <v>45661.0</v>
      </c>
      <c r="D66" s="93">
        <v>3817.0</v>
      </c>
      <c r="E66" s="385" t="s">
        <v>2135</v>
      </c>
      <c r="F66" s="386">
        <v>2.0</v>
      </c>
      <c r="G66" s="74">
        <v>15000.0</v>
      </c>
      <c r="H66" s="74">
        <v>0.0</v>
      </c>
      <c r="I66" s="74">
        <f t="shared" si="1"/>
        <v>30000</v>
      </c>
      <c r="J66" s="74">
        <f>IF(E66="SERVICE",I66-(I66*50%),Vlookup(E66,DATABASE!C:Q,10,false)*F66)</f>
        <v>0</v>
      </c>
      <c r="K66" s="74">
        <f>VLOOKUP(E66,DATABASE!C:Q,7,false)</f>
        <v>0</v>
      </c>
      <c r="L66" s="74">
        <v>0.0</v>
      </c>
      <c r="M66" s="74">
        <f t="shared" si="2"/>
        <v>0</v>
      </c>
      <c r="N66" s="74">
        <f t="shared" si="3"/>
        <v>30000</v>
      </c>
      <c r="O66" s="65" t="str">
        <f>VLOOKUP(E66,DATABASE!C:Q,8,false)</f>
        <v>IBU</v>
      </c>
      <c r="P66" s="65">
        <f>VLOOKUP(E66,DATABASE!C:Q,9,False)</f>
        <v>0</v>
      </c>
      <c r="Q66" s="93" t="str">
        <f>VLOOKUP(E66,DATABASE!C:Q,4,false)</f>
        <v>NITROGEN</v>
      </c>
      <c r="R66" s="93" t="str">
        <f>VLOOKUP(E66,DATABASE!C:Q,11,false)</f>
        <v>COMPLEMENTARY</v>
      </c>
    </row>
    <row r="67" ht="15.0" customHeight="1">
      <c r="A67" s="49"/>
      <c r="C67" s="384">
        <v>45661.0</v>
      </c>
      <c r="D67" s="93">
        <v>3818.0</v>
      </c>
      <c r="E67" s="385" t="s">
        <v>271</v>
      </c>
      <c r="F67" s="386">
        <v>2.0</v>
      </c>
      <c r="G67" s="74">
        <v>635000.0</v>
      </c>
      <c r="H67" s="74">
        <v>0.0</v>
      </c>
      <c r="I67" s="74">
        <f t="shared" si="1"/>
        <v>1270000</v>
      </c>
      <c r="J67" s="74">
        <f>IF(E67="SERVICE",I67-(I67*50%),Vlookup(E67,DATABASE!C:Q,10,false)*F67)</f>
        <v>0</v>
      </c>
      <c r="K67" s="74">
        <f>VLOOKUP(E67,DATABASE!C:Q,7,false)</f>
        <v>570000</v>
      </c>
      <c r="L67" s="74">
        <v>539000.0</v>
      </c>
      <c r="M67" s="74">
        <f t="shared" si="2"/>
        <v>540000</v>
      </c>
      <c r="N67" s="74">
        <f t="shared" si="3"/>
        <v>190000</v>
      </c>
      <c r="O67" s="65" t="str">
        <f>VLOOKUP(E67,DATABASE!C:Q,8,false)</f>
        <v>IBU</v>
      </c>
      <c r="P67" s="65">
        <f>VLOOKUP(E67,DATABASE!C:Q,9,False)</f>
        <v>1</v>
      </c>
      <c r="Q67" s="93" t="str">
        <f>VLOOKUP(E67,DATABASE!C:Q,4,false)</f>
        <v>Dunlop</v>
      </c>
      <c r="R67" s="93" t="str">
        <f>VLOOKUP(E67,DATABASE!C:Q,11,false)</f>
        <v>Tire</v>
      </c>
    </row>
    <row r="68" ht="15.0" customHeight="1">
      <c r="A68" s="49"/>
      <c r="C68" s="384">
        <v>45661.0</v>
      </c>
      <c r="D68" s="93">
        <v>3819.0</v>
      </c>
      <c r="E68" s="385" t="s">
        <v>268</v>
      </c>
      <c r="F68" s="386">
        <v>4.0</v>
      </c>
      <c r="G68" s="74">
        <v>700000.0</v>
      </c>
      <c r="H68" s="74">
        <v>0.0</v>
      </c>
      <c r="I68" s="74">
        <f t="shared" si="1"/>
        <v>2800000</v>
      </c>
      <c r="J68" s="74">
        <f>IF(E68="SERVICE",I68-(I68*50%),Vlookup(E68,DATABASE!C:Q,10,false)*F68)</f>
        <v>0</v>
      </c>
      <c r="K68" s="74">
        <v>613000.0</v>
      </c>
      <c r="L68" s="74">
        <v>613000.0</v>
      </c>
      <c r="M68" s="74">
        <f t="shared" si="2"/>
        <v>615000</v>
      </c>
      <c r="N68" s="74">
        <f t="shared" si="3"/>
        <v>340000</v>
      </c>
      <c r="O68" s="65" t="str">
        <f>VLOOKUP(E68,DATABASE!C:Q,8,false)</f>
        <v>IBU</v>
      </c>
      <c r="P68" s="65">
        <f>VLOOKUP(E68,DATABASE!C:Q,9,False)</f>
        <v>1</v>
      </c>
      <c r="Q68" s="93" t="str">
        <f>VLOOKUP(E68,DATABASE!C:Q,4,false)</f>
        <v>Dunlop</v>
      </c>
      <c r="R68" s="93" t="str">
        <f>VLOOKUP(E68,DATABASE!C:Q,11,false)</f>
        <v>Tire</v>
      </c>
    </row>
    <row r="69" ht="15.0" customHeight="1">
      <c r="A69" s="49"/>
      <c r="C69" s="384">
        <v>45661.0</v>
      </c>
      <c r="D69" s="93">
        <v>3820.0</v>
      </c>
      <c r="E69" s="385" t="s">
        <v>256</v>
      </c>
      <c r="F69" s="386">
        <v>1.0</v>
      </c>
      <c r="G69" s="74">
        <v>110000.0</v>
      </c>
      <c r="H69" s="74">
        <v>0.0</v>
      </c>
      <c r="I69" s="74">
        <f t="shared" si="1"/>
        <v>110000</v>
      </c>
      <c r="J69" s="74">
        <f>IF(E69="SERVICE",I69-(I69*50%),Vlookup(E69,DATABASE!C:Q,10,false)*F69)</f>
        <v>10000</v>
      </c>
      <c r="K69" s="74">
        <f>VLOOKUP(E69,DATABASE!C:Q,7,false)</f>
        <v>0</v>
      </c>
      <c r="L69" s="74">
        <v>0.0</v>
      </c>
      <c r="M69" s="74">
        <f t="shared" si="2"/>
        <v>0</v>
      </c>
      <c r="N69" s="74">
        <f t="shared" si="3"/>
        <v>100000</v>
      </c>
      <c r="O69" s="65" t="str">
        <f>VLOOKUP(E69,DATABASE!C:Q,8,false)</f>
        <v>IBU</v>
      </c>
      <c r="P69" s="65">
        <f>VLOOKUP(E69,DATABASE!C:Q,9,False)</f>
        <v>0</v>
      </c>
      <c r="Q69" s="93" t="str">
        <f>VLOOKUP(E69,DATABASE!C:Q,4,false)</f>
        <v>SPOORING</v>
      </c>
      <c r="R69" s="93" t="str">
        <f>VLOOKUP(E69,DATABASE!C:Q,11,false)</f>
        <v>SERVICE</v>
      </c>
    </row>
    <row r="70" ht="15.0" customHeight="1">
      <c r="A70" s="49"/>
      <c r="C70" s="384">
        <v>45661.0</v>
      </c>
      <c r="D70" s="93">
        <v>3820.0</v>
      </c>
      <c r="E70" s="385" t="s">
        <v>299</v>
      </c>
      <c r="F70" s="386">
        <v>2.0</v>
      </c>
      <c r="G70" s="74">
        <v>30000.0</v>
      </c>
      <c r="H70" s="74">
        <v>0.0</v>
      </c>
      <c r="I70" s="74">
        <f t="shared" si="1"/>
        <v>60000</v>
      </c>
      <c r="J70" s="74">
        <f>IF(E70="SERVICE",I70-(I70*50%),Vlookup(E70,DATABASE!C:Q,10,false)*F70)</f>
        <v>0</v>
      </c>
      <c r="K70" s="74">
        <v>0.0</v>
      </c>
      <c r="L70" s="74">
        <v>0.0</v>
      </c>
      <c r="M70" s="74">
        <f t="shared" si="2"/>
        <v>0</v>
      </c>
      <c r="N70" s="74">
        <f t="shared" si="3"/>
        <v>60000</v>
      </c>
      <c r="O70" s="65" t="str">
        <f>VLOOKUP(E70,DATABASE!C:Q,8,false)</f>
        <v>BIAN</v>
      </c>
      <c r="P70" s="65">
        <f>VLOOKUP(E70,DATABASE!C:Q,9,False)</f>
        <v>0</v>
      </c>
      <c r="Q70" s="93" t="str">
        <f>VLOOKUP(E70,DATABASE!C:Q,4,false)</f>
        <v>Balancing</v>
      </c>
      <c r="R70" s="93" t="str">
        <f>VLOOKUP(E70,DATABASE!C:Q,11,false)</f>
        <v>COMPLEMENTARY</v>
      </c>
    </row>
    <row r="71" ht="15.0" customHeight="1">
      <c r="A71" s="49"/>
      <c r="C71" s="384">
        <v>45661.0</v>
      </c>
      <c r="D71" s="93">
        <v>3820.0</v>
      </c>
      <c r="E71" s="385" t="s">
        <v>251</v>
      </c>
      <c r="F71" s="386">
        <v>1.0</v>
      </c>
      <c r="G71" s="74">
        <v>150000.0</v>
      </c>
      <c r="H71" s="74">
        <v>0.0</v>
      </c>
      <c r="I71" s="74">
        <f t="shared" si="1"/>
        <v>150000</v>
      </c>
      <c r="J71" s="74">
        <f>IF(E71="SERVICE",I71-(I71*50%),Vlookup(E71,DATABASE!C:Q,10,false)*F71)</f>
        <v>75000</v>
      </c>
      <c r="K71" s="74">
        <f>VLOOKUP(E71,DATABASE!C:Q,7,false)</f>
        <v>0</v>
      </c>
      <c r="L71" s="74">
        <v>0.0</v>
      </c>
      <c r="M71" s="74">
        <f t="shared" si="2"/>
        <v>0</v>
      </c>
      <c r="N71" s="74">
        <f t="shared" si="3"/>
        <v>75000</v>
      </c>
      <c r="O71" s="65" t="str">
        <f>VLOOKUP(E71,DATABASE!C:Q,8,false)</f>
        <v>IBU</v>
      </c>
      <c r="P71" s="65">
        <f>VLOOKUP(E71,DATABASE!C:Q,9,False)</f>
        <v>0</v>
      </c>
      <c r="Q71" s="93" t="str">
        <f>VLOOKUP(E71,DATABASE!C:Q,4,false)</f>
        <v>SERVICE</v>
      </c>
      <c r="R71" s="93" t="str">
        <f>VLOOKUP(E71,DATABASE!C:Q,11,false)</f>
        <v>SERVICE</v>
      </c>
    </row>
    <row r="72" ht="15.0" customHeight="1">
      <c r="A72" s="49"/>
      <c r="C72" s="384">
        <v>45661.0</v>
      </c>
      <c r="D72" s="93">
        <v>3821.0</v>
      </c>
      <c r="E72" s="385" t="s">
        <v>268</v>
      </c>
      <c r="F72" s="386">
        <v>2.0</v>
      </c>
      <c r="G72" s="74">
        <v>700000.0</v>
      </c>
      <c r="H72" s="74">
        <v>0.0</v>
      </c>
      <c r="I72" s="74">
        <f t="shared" si="1"/>
        <v>1400000</v>
      </c>
      <c r="J72" s="74">
        <f>IF(E72="SERVICE",I72-(I72*50%),Vlookup(E72,DATABASE!C:Q,10,false)*F72)</f>
        <v>0</v>
      </c>
      <c r="K72" s="74">
        <v>613000.0</v>
      </c>
      <c r="L72" s="74">
        <v>613000.0</v>
      </c>
      <c r="M72" s="74">
        <f t="shared" si="2"/>
        <v>615000</v>
      </c>
      <c r="N72" s="74">
        <f t="shared" si="3"/>
        <v>170000</v>
      </c>
      <c r="O72" s="65" t="str">
        <f>VLOOKUP(E72,DATABASE!C:Q,8,false)</f>
        <v>IBU</v>
      </c>
      <c r="P72" s="65">
        <f>VLOOKUP(E72,DATABASE!C:Q,9,False)</f>
        <v>1</v>
      </c>
      <c r="Q72" s="93" t="str">
        <f>VLOOKUP(E72,DATABASE!C:Q,4,false)</f>
        <v>Dunlop</v>
      </c>
      <c r="R72" s="93" t="str">
        <f>VLOOKUP(E72,DATABASE!C:Q,11,false)</f>
        <v>Tire</v>
      </c>
    </row>
    <row r="73" ht="15.0" customHeight="1">
      <c r="A73" s="49"/>
      <c r="C73" s="384">
        <v>45661.0</v>
      </c>
      <c r="D73" s="93">
        <v>3822.0</v>
      </c>
      <c r="E73" s="385" t="s">
        <v>777</v>
      </c>
      <c r="F73" s="386">
        <v>2.0</v>
      </c>
      <c r="G73" s="74">
        <v>585000.0</v>
      </c>
      <c r="H73" s="74">
        <v>0.0</v>
      </c>
      <c r="I73" s="74">
        <f t="shared" si="1"/>
        <v>1170000</v>
      </c>
      <c r="J73" s="74">
        <f>IF(E73="SERVICE",I73-(I73*50%),Vlookup(E73,DATABASE!C:Q,10,false)*F73)</f>
        <v>0</v>
      </c>
      <c r="K73" s="74">
        <f>VLOOKUP(E73,DATABASE!C:Q,7,false)</f>
        <v>540000</v>
      </c>
      <c r="L73" s="74">
        <v>507000.0</v>
      </c>
      <c r="M73" s="74">
        <f t="shared" si="2"/>
        <v>510000</v>
      </c>
      <c r="N73" s="74">
        <f t="shared" si="3"/>
        <v>150000</v>
      </c>
      <c r="O73" s="65" t="str">
        <f>VLOOKUP(E73,DATABASE!C:Q,8,false)</f>
        <v>BIAN</v>
      </c>
      <c r="P73" s="65">
        <f>VLOOKUP(E73,DATABASE!C:Q,9,False)</f>
        <v>1</v>
      </c>
      <c r="Q73" s="93" t="str">
        <f>VLOOKUP(E73,DATABASE!C:Q,4,false)</f>
        <v>GT</v>
      </c>
      <c r="R73" s="93" t="str">
        <f>VLOOKUP(E73,DATABASE!C:Q,11,false)</f>
        <v>Tire</v>
      </c>
    </row>
    <row r="74" ht="15.0" customHeight="1">
      <c r="A74" s="49"/>
      <c r="C74" s="384">
        <v>45661.0</v>
      </c>
      <c r="D74" s="93">
        <v>3823.0</v>
      </c>
      <c r="E74" s="385" t="s">
        <v>585</v>
      </c>
      <c r="F74" s="386">
        <v>1.0</v>
      </c>
      <c r="G74" s="74">
        <v>95000.0</v>
      </c>
      <c r="H74" s="74">
        <v>0.0</v>
      </c>
      <c r="I74" s="74">
        <f t="shared" si="1"/>
        <v>95000</v>
      </c>
      <c r="J74" s="74">
        <f>IF(E74="SERVICE",I74-(I74*50%),Vlookup(E74,DATABASE!C:Q,10,false)*F74)</f>
        <v>0</v>
      </c>
      <c r="K74" s="74">
        <f>VLOOKUP(E74,DATABASE!C:Q,7,false)</f>
        <v>61600</v>
      </c>
      <c r="L74" s="74">
        <v>61600.0</v>
      </c>
      <c r="M74" s="74">
        <f t="shared" si="2"/>
        <v>65000</v>
      </c>
      <c r="N74" s="74">
        <f t="shared" si="3"/>
        <v>30000</v>
      </c>
      <c r="O74" s="65" t="str">
        <f>VLOOKUP(E74,DATABASE!C:Q,8,false)</f>
        <v>BIAN</v>
      </c>
      <c r="P74" s="65">
        <f>VLOOKUP(E74,DATABASE!C:Q,9,False)</f>
        <v>1</v>
      </c>
      <c r="Q74" s="93" t="str">
        <f>VLOOKUP(E74,DATABASE!C:Q,4,false)</f>
        <v>BD</v>
      </c>
      <c r="R74" s="93" t="str">
        <f>VLOOKUP(E74,DATABASE!C:Q,11,false)</f>
        <v>Tire</v>
      </c>
    </row>
    <row r="75" ht="15.0" customHeight="1">
      <c r="A75" s="49"/>
      <c r="C75" s="384">
        <v>45661.0</v>
      </c>
      <c r="D75" s="93">
        <v>3824.0</v>
      </c>
      <c r="E75" s="385" t="s">
        <v>256</v>
      </c>
      <c r="F75" s="386">
        <v>1.0</v>
      </c>
      <c r="G75" s="74">
        <v>130000.0</v>
      </c>
      <c r="H75" s="74">
        <v>0.0</v>
      </c>
      <c r="I75" s="74">
        <f t="shared" si="1"/>
        <v>130000</v>
      </c>
      <c r="J75" s="74">
        <f>IF(E75="SERVICE",I75-(I75*50%),Vlookup(E75,DATABASE!C:Q,10,false)*F75)</f>
        <v>10000</v>
      </c>
      <c r="K75" s="74">
        <f>VLOOKUP(E75,DATABASE!C:Q,7,false)</f>
        <v>0</v>
      </c>
      <c r="L75" s="74">
        <v>0.0</v>
      </c>
      <c r="M75" s="74">
        <f t="shared" si="2"/>
        <v>0</v>
      </c>
      <c r="N75" s="74">
        <f t="shared" si="3"/>
        <v>120000</v>
      </c>
      <c r="O75" s="65" t="str">
        <f>VLOOKUP(E75,DATABASE!C:Q,8,false)</f>
        <v>IBU</v>
      </c>
      <c r="P75" s="65">
        <f>VLOOKUP(E75,DATABASE!C:Q,9,False)</f>
        <v>0</v>
      </c>
      <c r="Q75" s="93" t="str">
        <f>VLOOKUP(E75,DATABASE!C:Q,4,false)</f>
        <v>SPOORING</v>
      </c>
      <c r="R75" s="93" t="str">
        <f>VLOOKUP(E75,DATABASE!C:Q,11,false)</f>
        <v>SERVICE</v>
      </c>
    </row>
    <row r="76" ht="15.0" customHeight="1">
      <c r="A76" s="49"/>
      <c r="C76" s="384">
        <v>45661.0</v>
      </c>
      <c r="D76" s="93">
        <v>3824.0</v>
      </c>
      <c r="E76" s="385" t="s">
        <v>251</v>
      </c>
      <c r="F76" s="386">
        <v>1.0</v>
      </c>
      <c r="G76" s="74">
        <v>150000.0</v>
      </c>
      <c r="H76" s="74">
        <v>0.0</v>
      </c>
      <c r="I76" s="74">
        <f t="shared" si="1"/>
        <v>150000</v>
      </c>
      <c r="J76" s="74">
        <f>IF(E76="SERVICE",I76-(I76*50%),Vlookup(E76,DATABASE!C:Q,10,false)*F76)</f>
        <v>75000</v>
      </c>
      <c r="K76" s="74">
        <f>VLOOKUP(E76,DATABASE!C:Q,7,false)</f>
        <v>0</v>
      </c>
      <c r="L76" s="74">
        <v>0.0</v>
      </c>
      <c r="M76" s="74">
        <f t="shared" si="2"/>
        <v>0</v>
      </c>
      <c r="N76" s="74">
        <f t="shared" si="3"/>
        <v>75000</v>
      </c>
      <c r="O76" s="65" t="str">
        <f>VLOOKUP(E76,DATABASE!C:Q,8,false)</f>
        <v>IBU</v>
      </c>
      <c r="P76" s="65">
        <f>VLOOKUP(E76,DATABASE!C:Q,9,False)</f>
        <v>0</v>
      </c>
      <c r="Q76" s="93" t="str">
        <f>VLOOKUP(E76,DATABASE!C:Q,4,false)</f>
        <v>SERVICE</v>
      </c>
      <c r="R76" s="93" t="str">
        <f>VLOOKUP(E76,DATABASE!C:Q,11,false)</f>
        <v>SERVICE</v>
      </c>
    </row>
    <row r="77" ht="15.0" customHeight="1">
      <c r="A77" s="49"/>
      <c r="C77" s="384">
        <v>45661.0</v>
      </c>
      <c r="D77" s="93">
        <v>3826.0</v>
      </c>
      <c r="E77" s="385" t="s">
        <v>614</v>
      </c>
      <c r="F77" s="386">
        <v>2.0</v>
      </c>
      <c r="G77" s="74">
        <v>860000.0</v>
      </c>
      <c r="H77" s="74">
        <v>0.0</v>
      </c>
      <c r="I77" s="74">
        <f t="shared" si="1"/>
        <v>1720000</v>
      </c>
      <c r="J77" s="74">
        <f>IF(E77="SERVICE",I77-(I77*50%),Vlookup(E77,DATABASE!C:Q,10,false)*F77)</f>
        <v>0</v>
      </c>
      <c r="K77" s="74">
        <f>VLOOKUP(E77,DATABASE!C:Q,7,false)</f>
        <v>754660.6</v>
      </c>
      <c r="L77" s="74">
        <v>766438.4</v>
      </c>
      <c r="M77" s="74">
        <f t="shared" si="2"/>
        <v>770000</v>
      </c>
      <c r="N77" s="74">
        <f t="shared" si="3"/>
        <v>180000</v>
      </c>
      <c r="O77" s="65" t="str">
        <f>VLOOKUP(E77,DATABASE!C:Q,8,false)</f>
        <v>IBU</v>
      </c>
      <c r="P77" s="65">
        <f>VLOOKUP(E77,DATABASE!C:Q,9,False)</f>
        <v>1</v>
      </c>
      <c r="Q77" s="93" t="str">
        <f>VLOOKUP(E77,DATABASE!C:Q,4,false)</f>
        <v>Bridgestone</v>
      </c>
      <c r="R77" s="93" t="str">
        <f>VLOOKUP(E77,DATABASE!C:Q,11,false)</f>
        <v>Tire</v>
      </c>
    </row>
    <row r="78" ht="15.0" customHeight="1">
      <c r="A78" s="49"/>
      <c r="C78" s="384">
        <v>45661.0</v>
      </c>
      <c r="D78" s="93">
        <v>3827.0</v>
      </c>
      <c r="E78" s="385" t="s">
        <v>275</v>
      </c>
      <c r="F78" s="386">
        <v>2.0</v>
      </c>
      <c r="G78" s="74">
        <v>820000.0</v>
      </c>
      <c r="H78" s="74">
        <v>0.0</v>
      </c>
      <c r="I78" s="74">
        <f t="shared" si="1"/>
        <v>1640000</v>
      </c>
      <c r="J78" s="74">
        <f>IF(E78="SERVICE",I78-(I78*50%),Vlookup(E78,DATABASE!C:Q,10,false)*F78)</f>
        <v>0</v>
      </c>
      <c r="K78" s="74">
        <v>735000.0</v>
      </c>
      <c r="L78" s="74">
        <v>735000.0</v>
      </c>
      <c r="M78" s="74">
        <f t="shared" si="2"/>
        <v>735000</v>
      </c>
      <c r="N78" s="74">
        <f t="shared" si="3"/>
        <v>170000</v>
      </c>
      <c r="O78" s="65" t="str">
        <f>VLOOKUP(E78,DATABASE!C:Q,8,false)</f>
        <v>IBU</v>
      </c>
      <c r="P78" s="65">
        <f>VLOOKUP(E78,DATABASE!C:Q,9,False)</f>
        <v>1</v>
      </c>
      <c r="Q78" s="93" t="str">
        <f>VLOOKUP(E78,DATABASE!C:Q,4,false)</f>
        <v>Dunlop</v>
      </c>
      <c r="R78" s="93" t="str">
        <f>VLOOKUP(E78,DATABASE!C:Q,11,false)</f>
        <v>Tire</v>
      </c>
    </row>
    <row r="79" ht="15.0" customHeight="1">
      <c r="A79" s="49"/>
      <c r="C79" s="384">
        <v>45661.0</v>
      </c>
      <c r="D79" s="93">
        <v>3827.0</v>
      </c>
      <c r="E79" s="385" t="s">
        <v>937</v>
      </c>
      <c r="F79" s="386">
        <v>2.0</v>
      </c>
      <c r="G79" s="74">
        <v>890000.0</v>
      </c>
      <c r="H79" s="74">
        <v>0.0</v>
      </c>
      <c r="I79" s="74">
        <f t="shared" si="1"/>
        <v>1780000</v>
      </c>
      <c r="J79" s="74">
        <f>IF(E79="SERVICE",I79-(I79*50%),Vlookup(E79,DATABASE!C:Q,10,false)*F79)</f>
        <v>0</v>
      </c>
      <c r="K79" s="74">
        <f>VLOOKUP(E79,DATABASE!C:Q,7,false)</f>
        <v>825000</v>
      </c>
      <c r="L79" s="74">
        <v>790000.0</v>
      </c>
      <c r="M79" s="74">
        <f t="shared" si="2"/>
        <v>790000</v>
      </c>
      <c r="N79" s="74">
        <f t="shared" si="3"/>
        <v>200000</v>
      </c>
      <c r="O79" s="65" t="str">
        <f>VLOOKUP(E79,DATABASE!C:Q,8,false)</f>
        <v>IBU</v>
      </c>
      <c r="P79" s="65">
        <f>VLOOKUP(E79,DATABASE!C:Q,9,False)</f>
        <v>1</v>
      </c>
      <c r="Q79" s="93" t="str">
        <f>VLOOKUP(E79,DATABASE!C:Q,4,false)</f>
        <v>Bridgestone</v>
      </c>
      <c r="R79" s="93" t="str">
        <f>VLOOKUP(E79,DATABASE!C:Q,11,false)</f>
        <v>Tire</v>
      </c>
    </row>
    <row r="80" ht="15.0" customHeight="1">
      <c r="A80" s="49"/>
      <c r="C80" s="384">
        <v>45661.0</v>
      </c>
      <c r="D80" s="93">
        <v>3828.0</v>
      </c>
      <c r="E80" s="385" t="s">
        <v>932</v>
      </c>
      <c r="F80" s="386">
        <v>1.0</v>
      </c>
      <c r="G80" s="74">
        <v>660000.0</v>
      </c>
      <c r="H80" s="74">
        <v>0.0</v>
      </c>
      <c r="I80" s="74">
        <f t="shared" si="1"/>
        <v>660000</v>
      </c>
      <c r="J80" s="74">
        <f>IF(E80="SERVICE",I80-(I80*50%),Vlookup(E80,DATABASE!C:Q,10,false)*F80)</f>
        <v>0</v>
      </c>
      <c r="K80" s="74">
        <v>575000.0</v>
      </c>
      <c r="L80" s="74">
        <v>575000.0</v>
      </c>
      <c r="M80" s="74">
        <f t="shared" si="2"/>
        <v>575000</v>
      </c>
      <c r="N80" s="74">
        <f t="shared" si="3"/>
        <v>85000</v>
      </c>
      <c r="O80" s="65" t="str">
        <f>VLOOKUP(E80,DATABASE!C:Q,8,false)</f>
        <v>IBU</v>
      </c>
      <c r="P80" s="65">
        <f>VLOOKUP(E80,DATABASE!C:Q,9,False)</f>
        <v>1</v>
      </c>
      <c r="Q80" s="93" t="str">
        <f>VLOOKUP(E80,DATABASE!C:Q,4,false)</f>
        <v>Dunlop</v>
      </c>
      <c r="R80" s="93" t="str">
        <f>VLOOKUP(E80,DATABASE!C:Q,11,false)</f>
        <v>Tire</v>
      </c>
    </row>
    <row r="81" ht="15.0" customHeight="1">
      <c r="A81" s="49"/>
      <c r="C81" s="384">
        <v>45661.0</v>
      </c>
      <c r="D81" s="93">
        <v>3829.0</v>
      </c>
      <c r="E81" s="385" t="s">
        <v>932</v>
      </c>
      <c r="F81" s="386">
        <v>1.0</v>
      </c>
      <c r="G81" s="74">
        <v>660000.0</v>
      </c>
      <c r="H81" s="74">
        <v>0.0</v>
      </c>
      <c r="I81" s="74">
        <f t="shared" si="1"/>
        <v>660000</v>
      </c>
      <c r="J81" s="74">
        <f>IF(E81="SERVICE",I81-(I81*50%),Vlookup(E81,DATABASE!C:Q,10,false)*F81)</f>
        <v>0</v>
      </c>
      <c r="K81" s="74">
        <v>575000.0</v>
      </c>
      <c r="L81" s="74">
        <v>575000.0</v>
      </c>
      <c r="M81" s="74">
        <f t="shared" si="2"/>
        <v>575000</v>
      </c>
      <c r="N81" s="74">
        <f t="shared" si="3"/>
        <v>85000</v>
      </c>
      <c r="O81" s="65" t="str">
        <f>VLOOKUP(E81,DATABASE!C:Q,8,false)</f>
        <v>IBU</v>
      </c>
      <c r="P81" s="65">
        <f>VLOOKUP(E81,DATABASE!C:Q,9,False)</f>
        <v>1</v>
      </c>
      <c r="Q81" s="93" t="str">
        <f>VLOOKUP(E81,DATABASE!C:Q,4,false)</f>
        <v>Dunlop</v>
      </c>
      <c r="R81" s="93" t="str">
        <f>VLOOKUP(E81,DATABASE!C:Q,11,false)</f>
        <v>Tire</v>
      </c>
    </row>
    <row r="82" ht="15.0" customHeight="1">
      <c r="A82" s="49"/>
      <c r="C82" s="384">
        <v>45661.0</v>
      </c>
      <c r="D82" s="93">
        <v>3830.0</v>
      </c>
      <c r="E82" s="385" t="s">
        <v>932</v>
      </c>
      <c r="F82" s="386">
        <v>1.0</v>
      </c>
      <c r="G82" s="74">
        <v>660000.0</v>
      </c>
      <c r="H82" s="74">
        <v>0.0</v>
      </c>
      <c r="I82" s="74">
        <f t="shared" si="1"/>
        <v>660000</v>
      </c>
      <c r="J82" s="74">
        <f>IF(E82="SERVICE",I82-(I82*50%),Vlookup(E82,DATABASE!C:Q,10,false)*F82)</f>
        <v>0</v>
      </c>
      <c r="K82" s="74">
        <v>575000.0</v>
      </c>
      <c r="L82" s="74">
        <v>575000.0</v>
      </c>
      <c r="M82" s="74">
        <f t="shared" si="2"/>
        <v>575000</v>
      </c>
      <c r="N82" s="74">
        <f t="shared" si="3"/>
        <v>85000</v>
      </c>
      <c r="O82" s="65" t="str">
        <f>VLOOKUP(E82,DATABASE!C:Q,8,false)</f>
        <v>IBU</v>
      </c>
      <c r="P82" s="65">
        <f>VLOOKUP(E82,DATABASE!C:Q,9,False)</f>
        <v>1</v>
      </c>
      <c r="Q82" s="93" t="str">
        <f>VLOOKUP(E82,DATABASE!C:Q,4,false)</f>
        <v>Dunlop</v>
      </c>
      <c r="R82" s="93" t="str">
        <f>VLOOKUP(E82,DATABASE!C:Q,11,false)</f>
        <v>Tire</v>
      </c>
    </row>
    <row r="83" ht="22.5" customHeight="1">
      <c r="A83" s="49"/>
      <c r="C83" s="384">
        <v>45661.0</v>
      </c>
      <c r="D83" s="93">
        <v>3830.0</v>
      </c>
      <c r="E83" s="385" t="s">
        <v>262</v>
      </c>
      <c r="F83" s="386">
        <v>1.0</v>
      </c>
      <c r="G83" s="74">
        <v>110000.0</v>
      </c>
      <c r="H83" s="74">
        <v>0.0</v>
      </c>
      <c r="I83" s="74">
        <f t="shared" si="1"/>
        <v>110000</v>
      </c>
      <c r="J83" s="74">
        <f>IF(E83="SERVICE",I83-(I83*50%),Vlookup(E83,DATABASE!C:Q,10,false)*F83)</f>
        <v>5000</v>
      </c>
      <c r="K83" s="74">
        <f>VLOOKUP(E83,DATABASE!C:Q,7,false)</f>
        <v>0</v>
      </c>
      <c r="L83" s="74">
        <v>0.0</v>
      </c>
      <c r="M83" s="74">
        <f t="shared" si="2"/>
        <v>0</v>
      </c>
      <c r="N83" s="74">
        <f t="shared" si="3"/>
        <v>105000</v>
      </c>
      <c r="O83" s="65" t="str">
        <f>VLOOKUP(E83,DATABASE!C:Q,8,false)</f>
        <v>IBU</v>
      </c>
      <c r="P83" s="65">
        <f>VLOOKUP(E83,DATABASE!C:Q,9,False)</f>
        <v>0</v>
      </c>
      <c r="Q83" s="93" t="str">
        <f>VLOOKUP(E83,DATABASE!C:Q,4,false)</f>
        <v>SPOORING SS/CARRY LOS BAK</v>
      </c>
      <c r="R83" s="93" t="str">
        <f>VLOOKUP(E83,DATABASE!C:Q,11,false)</f>
        <v>SERVICE</v>
      </c>
    </row>
    <row r="84" ht="22.5" customHeight="1">
      <c r="A84" s="49"/>
      <c r="C84" s="384">
        <v>45661.0</v>
      </c>
      <c r="D84" s="93">
        <v>3830.0</v>
      </c>
      <c r="E84" s="385" t="s">
        <v>478</v>
      </c>
      <c r="F84" s="386">
        <v>1.0</v>
      </c>
      <c r="G84" s="74">
        <v>200000.0</v>
      </c>
      <c r="H84" s="74">
        <v>0.0</v>
      </c>
      <c r="I84" s="74">
        <f t="shared" si="1"/>
        <v>200000</v>
      </c>
      <c r="J84" s="74">
        <f>IF(E84="SERVICE",I84-(I84*50%),Vlookup(E84,DATABASE!C:Q,10,false)*F84)</f>
        <v>25000</v>
      </c>
      <c r="K84" s="74">
        <f>VLOOKUP(E84,DATABASE!C:Q,7,false)</f>
        <v>75000</v>
      </c>
      <c r="L84" s="74">
        <v>75000.0</v>
      </c>
      <c r="M84" s="74">
        <f t="shared" si="2"/>
        <v>75000</v>
      </c>
      <c r="N84" s="74">
        <f t="shared" si="3"/>
        <v>100000</v>
      </c>
      <c r="O84" s="65" t="str">
        <f>VLOOKUP(E84,DATABASE!C:Q,8,false)</f>
        <v>BIAN</v>
      </c>
      <c r="P84" s="65">
        <f>VLOOKUP(E84,DATABASE!C:Q,9,False)</f>
        <v>0</v>
      </c>
      <c r="Q84" s="93" t="str">
        <f>VLOOKUP(E84,DATABASE!C:Q,4,false)</f>
        <v>Baut Camber ss-carry</v>
      </c>
      <c r="R84" s="93" t="str">
        <f>VLOOKUP(E84,DATABASE!C:Q,11,false)</f>
        <v>COMPLEMENTARY</v>
      </c>
    </row>
    <row r="85" ht="22.5" customHeight="1">
      <c r="A85" s="49"/>
      <c r="C85" s="384">
        <v>45661.0</v>
      </c>
      <c r="D85" s="93">
        <v>3831.0</v>
      </c>
      <c r="E85" s="385" t="s">
        <v>256</v>
      </c>
      <c r="F85" s="386">
        <v>1.0</v>
      </c>
      <c r="G85" s="74">
        <v>130000.0</v>
      </c>
      <c r="H85" s="74">
        <v>0.0</v>
      </c>
      <c r="I85" s="74">
        <f t="shared" si="1"/>
        <v>130000</v>
      </c>
      <c r="J85" s="74">
        <f>IF(E85="SERVICE",I85-(I85*50%),Vlookup(E85,DATABASE!C:Q,10,false)*F85)</f>
        <v>10000</v>
      </c>
      <c r="K85" s="74">
        <f>VLOOKUP(E85,DATABASE!C:Q,7,false)</f>
        <v>0</v>
      </c>
      <c r="L85" s="74">
        <v>0.0</v>
      </c>
      <c r="M85" s="74">
        <f t="shared" si="2"/>
        <v>0</v>
      </c>
      <c r="N85" s="74">
        <f t="shared" si="3"/>
        <v>120000</v>
      </c>
      <c r="O85" s="65" t="str">
        <f>VLOOKUP(E85,DATABASE!C:Q,8,false)</f>
        <v>IBU</v>
      </c>
      <c r="P85" s="65">
        <f>VLOOKUP(E85,DATABASE!C:Q,9,False)</f>
        <v>0</v>
      </c>
      <c r="Q85" s="93" t="str">
        <f>VLOOKUP(E85,DATABASE!C:Q,4,false)</f>
        <v>SPOORING</v>
      </c>
      <c r="R85" s="93" t="str">
        <f>VLOOKUP(E85,DATABASE!C:Q,11,false)</f>
        <v>SERVICE</v>
      </c>
    </row>
    <row r="86" ht="22.5" customHeight="1">
      <c r="A86" s="49"/>
      <c r="C86" s="384">
        <v>45661.0</v>
      </c>
      <c r="D86" s="93">
        <v>3831.0</v>
      </c>
      <c r="E86" s="385" t="s">
        <v>251</v>
      </c>
      <c r="F86" s="386">
        <v>1.0</v>
      </c>
      <c r="G86" s="74">
        <v>150000.0</v>
      </c>
      <c r="H86" s="74">
        <v>0.0</v>
      </c>
      <c r="I86" s="74">
        <f t="shared" si="1"/>
        <v>150000</v>
      </c>
      <c r="J86" s="74">
        <f>IF(E86="SERVICE",I86-(I86*50%),Vlookup(E86,DATABASE!C:Q,10,false)*F86)</f>
        <v>75000</v>
      </c>
      <c r="K86" s="74">
        <f>VLOOKUP(E86,DATABASE!C:Q,7,false)</f>
        <v>0</v>
      </c>
      <c r="L86" s="74">
        <v>0.0</v>
      </c>
      <c r="M86" s="74">
        <f t="shared" si="2"/>
        <v>0</v>
      </c>
      <c r="N86" s="74">
        <f t="shared" si="3"/>
        <v>75000</v>
      </c>
      <c r="O86" s="65" t="str">
        <f>VLOOKUP(E86,DATABASE!C:Q,8,false)</f>
        <v>IBU</v>
      </c>
      <c r="P86" s="65">
        <f>VLOOKUP(E86,DATABASE!C:Q,9,False)</f>
        <v>0</v>
      </c>
      <c r="Q86" s="93" t="str">
        <f>VLOOKUP(E86,DATABASE!C:Q,4,false)</f>
        <v>SERVICE</v>
      </c>
      <c r="R86" s="93" t="str">
        <f>VLOOKUP(E86,DATABASE!C:Q,11,false)</f>
        <v>SERVICE</v>
      </c>
    </row>
    <row r="87" ht="22.5" customHeight="1">
      <c r="A87" s="49"/>
      <c r="C87" s="384">
        <v>45661.0</v>
      </c>
      <c r="D87" s="93">
        <v>3832.0</v>
      </c>
      <c r="E87" s="385" t="s">
        <v>292</v>
      </c>
      <c r="F87" s="386">
        <v>1.0</v>
      </c>
      <c r="G87" s="74">
        <v>400000.0</v>
      </c>
      <c r="H87" s="74">
        <v>0.0</v>
      </c>
      <c r="I87" s="74">
        <f t="shared" si="1"/>
        <v>400000</v>
      </c>
      <c r="J87" s="74">
        <f>IF(E87="SERVICE",I87-(I87*50%),Vlookup(E87,DATABASE!C:Q,10,false)*F87)</f>
        <v>0</v>
      </c>
      <c r="K87" s="74">
        <f>VLOOKUP(E87,DATABASE!C:Q,7,false)</f>
        <v>326700</v>
      </c>
      <c r="L87" s="74">
        <v>326700.0</v>
      </c>
      <c r="M87" s="74">
        <f t="shared" si="2"/>
        <v>330000</v>
      </c>
      <c r="N87" s="74">
        <f t="shared" si="3"/>
        <v>70000</v>
      </c>
      <c r="O87" s="65" t="str">
        <f>VLOOKUP(E87,DATABASE!C:Q,8,false)</f>
        <v>BIAN</v>
      </c>
      <c r="P87" s="65">
        <f>VLOOKUP(E87,DATABASE!C:Q,9,False)</f>
        <v>1</v>
      </c>
      <c r="Q87" s="93" t="str">
        <f>VLOOKUP(E87,DATABASE!C:Q,4,false)</f>
        <v>GT</v>
      </c>
      <c r="R87" s="93" t="str">
        <f>VLOOKUP(E87,DATABASE!C:Q,11,false)</f>
        <v>Tire</v>
      </c>
    </row>
    <row r="88" ht="22.5" customHeight="1">
      <c r="A88" s="49"/>
      <c r="C88" s="384">
        <v>45663.0</v>
      </c>
      <c r="D88" s="93">
        <v>3833.0</v>
      </c>
      <c r="E88" s="385" t="s">
        <v>268</v>
      </c>
      <c r="F88" s="386">
        <v>2.0</v>
      </c>
      <c r="G88" s="74">
        <v>700000.0</v>
      </c>
      <c r="H88" s="74">
        <v>0.0</v>
      </c>
      <c r="I88" s="74">
        <f t="shared" si="1"/>
        <v>1400000</v>
      </c>
      <c r="J88" s="74">
        <f>IF(E88="SERVICE",I88-(I88*50%),Vlookup(E88,DATABASE!C:Q,10,false)*F88)</f>
        <v>0</v>
      </c>
      <c r="K88" s="74">
        <v>613000.0</v>
      </c>
      <c r="L88" s="74">
        <v>613000.0</v>
      </c>
      <c r="M88" s="74">
        <f t="shared" si="2"/>
        <v>615000</v>
      </c>
      <c r="N88" s="74">
        <f t="shared" si="3"/>
        <v>170000</v>
      </c>
      <c r="O88" s="65" t="str">
        <f>VLOOKUP(E88,DATABASE!C:Q,8,false)</f>
        <v>IBU</v>
      </c>
      <c r="P88" s="65">
        <f>VLOOKUP(E88,DATABASE!C:Q,9,False)</f>
        <v>1</v>
      </c>
      <c r="Q88" s="93" t="str">
        <f>VLOOKUP(E88,DATABASE!C:Q,4,false)</f>
        <v>Dunlop</v>
      </c>
      <c r="R88" s="93" t="str">
        <f>VLOOKUP(E88,DATABASE!C:Q,11,false)</f>
        <v>Tire</v>
      </c>
    </row>
    <row r="89" ht="22.5" customHeight="1">
      <c r="A89" s="49"/>
      <c r="C89" s="384">
        <v>45663.0</v>
      </c>
      <c r="D89" s="93">
        <v>3835.0</v>
      </c>
      <c r="E89" s="385" t="s">
        <v>937</v>
      </c>
      <c r="F89" s="386">
        <v>2.0</v>
      </c>
      <c r="G89" s="74">
        <v>900000.0</v>
      </c>
      <c r="H89" s="74">
        <v>0.0</v>
      </c>
      <c r="I89" s="74">
        <f t="shared" si="1"/>
        <v>1800000</v>
      </c>
      <c r="J89" s="74">
        <f>IF(E89="SERVICE",I89-(I89*50%),Vlookup(E89,DATABASE!C:Q,10,false)*F89)</f>
        <v>0</v>
      </c>
      <c r="K89" s="74">
        <f>VLOOKUP(E89,DATABASE!C:Q,7,false)</f>
        <v>825000</v>
      </c>
      <c r="L89" s="74">
        <v>790000.0</v>
      </c>
      <c r="M89" s="74">
        <f t="shared" si="2"/>
        <v>790000</v>
      </c>
      <c r="N89" s="74">
        <f t="shared" si="3"/>
        <v>220000</v>
      </c>
      <c r="O89" s="65" t="str">
        <f>VLOOKUP(E89,DATABASE!C:Q,8,false)</f>
        <v>IBU</v>
      </c>
      <c r="P89" s="65">
        <f>VLOOKUP(E89,DATABASE!C:Q,9,False)</f>
        <v>1</v>
      </c>
      <c r="Q89" s="93" t="str">
        <f>VLOOKUP(E89,DATABASE!C:Q,4,false)</f>
        <v>Bridgestone</v>
      </c>
      <c r="R89" s="93" t="str">
        <f>VLOOKUP(E89,DATABASE!C:Q,11,false)</f>
        <v>Tire</v>
      </c>
    </row>
    <row r="90" ht="22.5" customHeight="1">
      <c r="A90" s="49"/>
      <c r="C90" s="384">
        <v>45663.0</v>
      </c>
      <c r="D90" s="93">
        <v>3836.0</v>
      </c>
      <c r="E90" s="385" t="s">
        <v>256</v>
      </c>
      <c r="F90" s="386">
        <v>1.0</v>
      </c>
      <c r="G90" s="74">
        <v>130000.0</v>
      </c>
      <c r="H90" s="74">
        <v>0.0</v>
      </c>
      <c r="I90" s="74">
        <f t="shared" si="1"/>
        <v>130000</v>
      </c>
      <c r="J90" s="74">
        <f>IF(E90="SERVICE",I90-(I90*50%),Vlookup(E90,DATABASE!C:Q,10,false)*F90)</f>
        <v>10000</v>
      </c>
      <c r="K90" s="74">
        <f>VLOOKUP(E90,DATABASE!C:Q,7,false)</f>
        <v>0</v>
      </c>
      <c r="L90" s="74">
        <v>0.0</v>
      </c>
      <c r="M90" s="74">
        <f t="shared" si="2"/>
        <v>0</v>
      </c>
      <c r="N90" s="74">
        <f t="shared" si="3"/>
        <v>120000</v>
      </c>
      <c r="O90" s="65" t="str">
        <f>VLOOKUP(E90,DATABASE!C:Q,8,false)</f>
        <v>IBU</v>
      </c>
      <c r="P90" s="65">
        <f>VLOOKUP(E90,DATABASE!C:Q,9,False)</f>
        <v>0</v>
      </c>
      <c r="Q90" s="93" t="str">
        <f>VLOOKUP(E90,DATABASE!C:Q,4,false)</f>
        <v>SPOORING</v>
      </c>
      <c r="R90" s="93" t="str">
        <f>VLOOKUP(E90,DATABASE!C:Q,11,false)</f>
        <v>SERVICE</v>
      </c>
    </row>
    <row r="91" ht="22.5" customHeight="1">
      <c r="A91" s="49"/>
      <c r="C91" s="384">
        <v>45663.0</v>
      </c>
      <c r="D91" s="93">
        <v>3837.0</v>
      </c>
      <c r="E91" s="385" t="s">
        <v>1439</v>
      </c>
      <c r="F91" s="386">
        <v>1.0</v>
      </c>
      <c r="G91" s="74">
        <v>625000.0</v>
      </c>
      <c r="H91" s="74">
        <v>0.0</v>
      </c>
      <c r="I91" s="74">
        <f t="shared" si="1"/>
        <v>625000</v>
      </c>
      <c r="J91" s="74">
        <f>IF(E91="SERVICE",I91-(I91*50%),Vlookup(E91,DATABASE!C:Q,10,false)*F91)</f>
        <v>0</v>
      </c>
      <c r="K91" s="74">
        <f>VLOOKUP(E91,DATABASE!C:Q,7,false)</f>
        <v>556800</v>
      </c>
      <c r="L91" s="74">
        <v>540800.0</v>
      </c>
      <c r="M91" s="74">
        <f t="shared" si="2"/>
        <v>545000</v>
      </c>
      <c r="N91" s="74">
        <f t="shared" si="3"/>
        <v>80000</v>
      </c>
      <c r="O91" s="65" t="str">
        <f>VLOOKUP(E91,DATABASE!C:Q,8,false)</f>
        <v>BIAN</v>
      </c>
      <c r="P91" s="65">
        <f>VLOOKUP(E91,DATABASE!C:Q,9,False)</f>
        <v>1</v>
      </c>
      <c r="Q91" s="93" t="str">
        <f>VLOOKUP(E91,DATABASE!C:Q,4,false)</f>
        <v>GT</v>
      </c>
      <c r="R91" s="93" t="str">
        <f>VLOOKUP(E91,DATABASE!C:Q,11,false)</f>
        <v>Tire</v>
      </c>
    </row>
    <row r="92" ht="22.5" customHeight="1">
      <c r="A92" s="49"/>
      <c r="C92" s="384">
        <v>45663.0</v>
      </c>
      <c r="D92" s="93">
        <v>3838.0</v>
      </c>
      <c r="E92" s="385" t="s">
        <v>256</v>
      </c>
      <c r="F92" s="386">
        <v>1.0</v>
      </c>
      <c r="G92" s="74">
        <v>130000.0</v>
      </c>
      <c r="H92" s="74">
        <v>0.0</v>
      </c>
      <c r="I92" s="74">
        <f t="shared" si="1"/>
        <v>130000</v>
      </c>
      <c r="J92" s="74">
        <f>IF(E92="SERVICE",I92-(I92*50%),Vlookup(E92,DATABASE!C:Q,10,false)*F92)</f>
        <v>10000</v>
      </c>
      <c r="K92" s="74">
        <f>VLOOKUP(E92,DATABASE!C:Q,7,false)</f>
        <v>0</v>
      </c>
      <c r="L92" s="74">
        <v>0.0</v>
      </c>
      <c r="M92" s="74">
        <f t="shared" si="2"/>
        <v>0</v>
      </c>
      <c r="N92" s="74">
        <f t="shared" si="3"/>
        <v>120000</v>
      </c>
      <c r="O92" s="65" t="str">
        <f>VLOOKUP(E92,DATABASE!C:Q,8,false)</f>
        <v>IBU</v>
      </c>
      <c r="P92" s="65">
        <f>VLOOKUP(E92,DATABASE!C:Q,9,False)</f>
        <v>0</v>
      </c>
      <c r="Q92" s="93" t="str">
        <f>VLOOKUP(E92,DATABASE!C:Q,4,false)</f>
        <v>SPOORING</v>
      </c>
      <c r="R92" s="93" t="str">
        <f>VLOOKUP(E92,DATABASE!C:Q,11,false)</f>
        <v>SERVICE</v>
      </c>
    </row>
    <row r="93" ht="22.5" customHeight="1">
      <c r="A93" s="49"/>
      <c r="C93" s="384">
        <v>45663.0</v>
      </c>
      <c r="D93" s="93">
        <v>3838.0</v>
      </c>
      <c r="E93" s="385" t="s">
        <v>251</v>
      </c>
      <c r="F93" s="386">
        <v>1.0</v>
      </c>
      <c r="G93" s="74">
        <v>90000.0</v>
      </c>
      <c r="H93" s="74">
        <v>0.0</v>
      </c>
      <c r="I93" s="74">
        <f t="shared" si="1"/>
        <v>90000</v>
      </c>
      <c r="J93" s="74">
        <f>IF(E93="SERVICE",I93-(I93*50%),Vlookup(E93,DATABASE!C:Q,10,false)*F93)</f>
        <v>45000</v>
      </c>
      <c r="K93" s="74">
        <f>VLOOKUP(E93,DATABASE!C:Q,7,false)</f>
        <v>0</v>
      </c>
      <c r="L93" s="74">
        <v>0.0</v>
      </c>
      <c r="M93" s="74">
        <f t="shared" si="2"/>
        <v>0</v>
      </c>
      <c r="N93" s="74">
        <f t="shared" si="3"/>
        <v>45000</v>
      </c>
      <c r="O93" s="65" t="str">
        <f>VLOOKUP(E93,DATABASE!C:Q,8,false)</f>
        <v>IBU</v>
      </c>
      <c r="P93" s="65">
        <f>VLOOKUP(E93,DATABASE!C:Q,9,False)</f>
        <v>0</v>
      </c>
      <c r="Q93" s="93" t="str">
        <f>VLOOKUP(E93,DATABASE!C:Q,4,false)</f>
        <v>SERVICE</v>
      </c>
      <c r="R93" s="93" t="str">
        <f>VLOOKUP(E93,DATABASE!C:Q,11,false)</f>
        <v>SERVICE</v>
      </c>
    </row>
    <row r="94" ht="22.5" customHeight="1">
      <c r="A94" s="49"/>
      <c r="C94" s="384">
        <v>45663.0</v>
      </c>
      <c r="D94" s="93">
        <v>3839.0</v>
      </c>
      <c r="E94" s="385" t="s">
        <v>591</v>
      </c>
      <c r="F94" s="386">
        <v>2.0</v>
      </c>
      <c r="G94" s="74">
        <v>775000.0</v>
      </c>
      <c r="H94" s="74">
        <v>0.0</v>
      </c>
      <c r="I94" s="74">
        <f t="shared" si="1"/>
        <v>1550000</v>
      </c>
      <c r="J94" s="74">
        <f>IF(E94="SERVICE",I94-(I94*50%),Vlookup(E94,DATABASE!C:Q,10,false)*F94)</f>
        <v>0</v>
      </c>
      <c r="K94" s="74">
        <v>676728.0</v>
      </c>
      <c r="L94" s="74">
        <v>676728.0</v>
      </c>
      <c r="M94" s="74">
        <f t="shared" si="2"/>
        <v>680000</v>
      </c>
      <c r="N94" s="74">
        <f t="shared" si="3"/>
        <v>190000</v>
      </c>
      <c r="O94" s="65" t="str">
        <f>VLOOKUP(E94,DATABASE!C:Q,8,false)</f>
        <v>IBU</v>
      </c>
      <c r="P94" s="65">
        <f>VLOOKUP(E94,DATABASE!C:Q,9,False)</f>
        <v>1</v>
      </c>
      <c r="Q94" s="93" t="str">
        <f>VLOOKUP(E94,DATABASE!C:Q,4,false)</f>
        <v>Bridgestone</v>
      </c>
      <c r="R94" s="93" t="str">
        <f>VLOOKUP(E94,DATABASE!C:Q,11,false)</f>
        <v>Tire</v>
      </c>
    </row>
    <row r="95" ht="22.5" customHeight="1">
      <c r="A95" s="49"/>
      <c r="C95" s="384">
        <v>45663.0</v>
      </c>
      <c r="D95" s="93">
        <v>3839.0</v>
      </c>
      <c r="E95" s="385" t="s">
        <v>299</v>
      </c>
      <c r="F95" s="386">
        <v>2.0</v>
      </c>
      <c r="G95" s="74">
        <v>30000.0</v>
      </c>
      <c r="H95" s="74">
        <v>0.0</v>
      </c>
      <c r="I95" s="74">
        <f t="shared" si="1"/>
        <v>60000</v>
      </c>
      <c r="J95" s="74">
        <f>IF(E95="SERVICE",I95-(I95*50%),Vlookup(E95,DATABASE!C:Q,10,false)*F95)</f>
        <v>0</v>
      </c>
      <c r="K95" s="74">
        <v>0.0</v>
      </c>
      <c r="L95" s="74">
        <v>0.0</v>
      </c>
      <c r="M95" s="74">
        <f t="shared" si="2"/>
        <v>0</v>
      </c>
      <c r="N95" s="74">
        <f t="shared" si="3"/>
        <v>60000</v>
      </c>
      <c r="O95" s="65" t="str">
        <f>VLOOKUP(E95,DATABASE!C:Q,8,false)</f>
        <v>BIAN</v>
      </c>
      <c r="P95" s="65">
        <f>VLOOKUP(E95,DATABASE!C:Q,9,False)</f>
        <v>0</v>
      </c>
      <c r="Q95" s="93" t="str">
        <f>VLOOKUP(E95,DATABASE!C:Q,4,false)</f>
        <v>Balancing</v>
      </c>
      <c r="R95" s="93" t="str">
        <f>VLOOKUP(E95,DATABASE!C:Q,11,false)</f>
        <v>COMPLEMENTARY</v>
      </c>
    </row>
    <row r="96" ht="22.5" customHeight="1">
      <c r="A96" s="49"/>
      <c r="C96" s="384">
        <v>45663.0</v>
      </c>
      <c r="D96" s="93">
        <v>3840.0</v>
      </c>
      <c r="E96" s="385" t="s">
        <v>256</v>
      </c>
      <c r="F96" s="386">
        <v>1.0</v>
      </c>
      <c r="G96" s="74">
        <v>130000.0</v>
      </c>
      <c r="H96" s="74">
        <v>0.0</v>
      </c>
      <c r="I96" s="74">
        <f t="shared" si="1"/>
        <v>130000</v>
      </c>
      <c r="J96" s="74">
        <f>IF(E96="SERVICE",I96-(I96*50%),Vlookup(E96,DATABASE!C:Q,10,false)*F96)</f>
        <v>10000</v>
      </c>
      <c r="K96" s="74">
        <f>VLOOKUP(E96,DATABASE!C:Q,7,false)</f>
        <v>0</v>
      </c>
      <c r="L96" s="74">
        <v>0.0</v>
      </c>
      <c r="M96" s="74">
        <f t="shared" si="2"/>
        <v>0</v>
      </c>
      <c r="N96" s="74">
        <f t="shared" si="3"/>
        <v>120000</v>
      </c>
      <c r="O96" s="65" t="str">
        <f>VLOOKUP(E96,DATABASE!C:Q,8,false)</f>
        <v>IBU</v>
      </c>
      <c r="P96" s="65">
        <f>VLOOKUP(E96,DATABASE!C:Q,9,False)</f>
        <v>0</v>
      </c>
      <c r="Q96" s="93" t="str">
        <f>VLOOKUP(E96,DATABASE!C:Q,4,false)</f>
        <v>SPOORING</v>
      </c>
      <c r="R96" s="93" t="str">
        <f>VLOOKUP(E96,DATABASE!C:Q,11,false)</f>
        <v>SERVICE</v>
      </c>
    </row>
    <row r="97" ht="22.5" customHeight="1">
      <c r="A97" s="49"/>
      <c r="C97" s="384">
        <v>45663.0</v>
      </c>
      <c r="D97" s="93">
        <v>3840.0</v>
      </c>
      <c r="E97" s="385" t="s">
        <v>301</v>
      </c>
      <c r="F97" s="386">
        <v>1.0</v>
      </c>
      <c r="G97" s="74">
        <v>250000.0</v>
      </c>
      <c r="H97" s="74">
        <v>0.0</v>
      </c>
      <c r="I97" s="74">
        <f t="shared" si="1"/>
        <v>250000</v>
      </c>
      <c r="J97" s="74">
        <f>IF(E97="SERVICE",I97-(I97*50%),Vlookup(E97,DATABASE!C:Q,10,false)*F97)</f>
        <v>75000</v>
      </c>
      <c r="K97" s="74">
        <f>VLOOKUP(E97,DATABASE!C:Q,7,false)</f>
        <v>75000</v>
      </c>
      <c r="L97" s="74">
        <v>75000.0</v>
      </c>
      <c r="M97" s="74">
        <f t="shared" si="2"/>
        <v>75000</v>
      </c>
      <c r="N97" s="74">
        <f t="shared" si="3"/>
        <v>100000</v>
      </c>
      <c r="O97" s="65" t="str">
        <f>VLOOKUP(E97,DATABASE!C:Q,8,false)</f>
        <v>BIAN</v>
      </c>
      <c r="P97" s="65">
        <f>VLOOKUP(E97,DATABASE!C:Q,9,False)</f>
        <v>0</v>
      </c>
      <c r="Q97" s="93" t="str">
        <f>VLOOKUP(E97,DATABASE!C:Q,4,false)</f>
        <v>Baut Camber</v>
      </c>
      <c r="R97" s="93" t="str">
        <f>VLOOKUP(E97,DATABASE!C:Q,11,false)</f>
        <v>COMPLEMENTARY</v>
      </c>
    </row>
    <row r="98" ht="22.5" customHeight="1">
      <c r="A98" s="49"/>
      <c r="C98" s="384">
        <v>45663.0</v>
      </c>
      <c r="D98" s="93">
        <v>3841.0</v>
      </c>
      <c r="E98" s="385" t="s">
        <v>268</v>
      </c>
      <c r="F98" s="386">
        <v>1.0</v>
      </c>
      <c r="G98" s="74">
        <v>700000.0</v>
      </c>
      <c r="H98" s="74">
        <v>0.0</v>
      </c>
      <c r="I98" s="74">
        <f t="shared" si="1"/>
        <v>700000</v>
      </c>
      <c r="J98" s="74">
        <f>IF(E98="SERVICE",I98-(I98*50%),Vlookup(E98,DATABASE!C:Q,10,false)*F98)</f>
        <v>0</v>
      </c>
      <c r="K98" s="74">
        <v>613000.0</v>
      </c>
      <c r="L98" s="74">
        <v>613000.0</v>
      </c>
      <c r="M98" s="74">
        <f t="shared" si="2"/>
        <v>615000</v>
      </c>
      <c r="N98" s="74">
        <f t="shared" si="3"/>
        <v>85000</v>
      </c>
      <c r="O98" s="65" t="str">
        <f>VLOOKUP(E98,DATABASE!C:Q,8,false)</f>
        <v>IBU</v>
      </c>
      <c r="P98" s="65">
        <f>VLOOKUP(E98,DATABASE!C:Q,9,False)</f>
        <v>1</v>
      </c>
      <c r="Q98" s="93" t="str">
        <f>VLOOKUP(E98,DATABASE!C:Q,4,false)</f>
        <v>Dunlop</v>
      </c>
      <c r="R98" s="93" t="str">
        <f>VLOOKUP(E98,DATABASE!C:Q,11,false)</f>
        <v>Tire</v>
      </c>
    </row>
    <row r="99" ht="22.5" customHeight="1">
      <c r="A99" s="49"/>
      <c r="C99" s="384">
        <v>45663.0</v>
      </c>
      <c r="D99" s="93">
        <v>3842.0</v>
      </c>
      <c r="E99" s="385" t="s">
        <v>251</v>
      </c>
      <c r="F99" s="386">
        <v>1.0</v>
      </c>
      <c r="G99" s="74">
        <v>150000.0</v>
      </c>
      <c r="H99" s="74">
        <v>0.0</v>
      </c>
      <c r="I99" s="74">
        <f t="shared" si="1"/>
        <v>150000</v>
      </c>
      <c r="J99" s="74">
        <f>IF(E99="SERVICE",I99-(I99*50%),Vlookup(E99,DATABASE!C:Q,10,false)*F99)</f>
        <v>75000</v>
      </c>
      <c r="K99" s="74">
        <f>VLOOKUP(E99,DATABASE!C:Q,7,false)</f>
        <v>0</v>
      </c>
      <c r="L99" s="74">
        <v>0.0</v>
      </c>
      <c r="M99" s="74">
        <f t="shared" si="2"/>
        <v>0</v>
      </c>
      <c r="N99" s="74">
        <f t="shared" si="3"/>
        <v>75000</v>
      </c>
      <c r="O99" s="65" t="str">
        <f>VLOOKUP(E99,DATABASE!C:Q,8,false)</f>
        <v>IBU</v>
      </c>
      <c r="P99" s="65">
        <f>VLOOKUP(E99,DATABASE!C:Q,9,False)</f>
        <v>0</v>
      </c>
      <c r="Q99" s="93" t="str">
        <f>VLOOKUP(E99,DATABASE!C:Q,4,false)</f>
        <v>SERVICE</v>
      </c>
      <c r="R99" s="93" t="str">
        <f>VLOOKUP(E99,DATABASE!C:Q,11,false)</f>
        <v>SERVICE</v>
      </c>
    </row>
    <row r="100" ht="22.5" customHeight="1">
      <c r="A100" s="49"/>
      <c r="C100" s="384">
        <v>45663.0</v>
      </c>
      <c r="D100" s="93">
        <v>3842.0</v>
      </c>
      <c r="E100" s="385" t="s">
        <v>256</v>
      </c>
      <c r="F100" s="386">
        <v>1.0</v>
      </c>
      <c r="G100" s="74">
        <v>130000.0</v>
      </c>
      <c r="H100" s="74">
        <v>0.0</v>
      </c>
      <c r="I100" s="74">
        <f t="shared" si="1"/>
        <v>130000</v>
      </c>
      <c r="J100" s="74">
        <f>IF(E100="SERVICE",I100-(I100*50%),Vlookup(E100,DATABASE!C:Q,10,false)*F100)</f>
        <v>10000</v>
      </c>
      <c r="K100" s="74">
        <f>VLOOKUP(E100,DATABASE!C:Q,7,false)</f>
        <v>0</v>
      </c>
      <c r="L100" s="74">
        <v>0.0</v>
      </c>
      <c r="M100" s="74">
        <f t="shared" si="2"/>
        <v>0</v>
      </c>
      <c r="N100" s="74">
        <f t="shared" si="3"/>
        <v>120000</v>
      </c>
      <c r="O100" s="65" t="str">
        <f>VLOOKUP(E100,DATABASE!C:Q,8,false)</f>
        <v>IBU</v>
      </c>
      <c r="P100" s="65">
        <f>VLOOKUP(E100,DATABASE!C:Q,9,False)</f>
        <v>0</v>
      </c>
      <c r="Q100" s="93" t="str">
        <f>VLOOKUP(E100,DATABASE!C:Q,4,false)</f>
        <v>SPOORING</v>
      </c>
      <c r="R100" s="93" t="str">
        <f>VLOOKUP(E100,DATABASE!C:Q,11,false)</f>
        <v>SERVICE</v>
      </c>
    </row>
    <row r="101" ht="22.5" customHeight="1">
      <c r="A101" s="49"/>
      <c r="C101" s="384">
        <v>45663.0</v>
      </c>
      <c r="D101" s="93">
        <v>3843.0</v>
      </c>
      <c r="E101" s="385" t="s">
        <v>271</v>
      </c>
      <c r="F101" s="386">
        <v>1.0</v>
      </c>
      <c r="G101" s="74">
        <v>635000.0</v>
      </c>
      <c r="H101" s="74">
        <v>0.0</v>
      </c>
      <c r="I101" s="74">
        <f t="shared" si="1"/>
        <v>635000</v>
      </c>
      <c r="J101" s="74">
        <f>IF(E101="SERVICE",I101-(I101*50%),Vlookup(E101,DATABASE!C:Q,10,false)*F101)</f>
        <v>0</v>
      </c>
      <c r="K101" s="74">
        <f>VLOOKUP(E101,DATABASE!C:Q,7,false)</f>
        <v>570000</v>
      </c>
      <c r="L101" s="74">
        <v>539000.0</v>
      </c>
      <c r="M101" s="74">
        <f t="shared" si="2"/>
        <v>540000</v>
      </c>
      <c r="N101" s="74">
        <f t="shared" si="3"/>
        <v>95000</v>
      </c>
      <c r="O101" s="65" t="str">
        <f>VLOOKUP(E101,DATABASE!C:Q,8,false)</f>
        <v>IBU</v>
      </c>
      <c r="P101" s="65">
        <f>VLOOKUP(E101,DATABASE!C:Q,9,False)</f>
        <v>1</v>
      </c>
      <c r="Q101" s="93" t="str">
        <f>VLOOKUP(E101,DATABASE!C:Q,4,false)</f>
        <v>Dunlop</v>
      </c>
      <c r="R101" s="93" t="str">
        <f>VLOOKUP(E101,DATABASE!C:Q,11,false)</f>
        <v>Tire</v>
      </c>
    </row>
    <row r="102" ht="22.5" customHeight="1">
      <c r="A102" s="49"/>
      <c r="C102" s="384">
        <v>45663.0</v>
      </c>
      <c r="D102" s="93">
        <v>3844.0</v>
      </c>
      <c r="E102" s="385" t="s">
        <v>1588</v>
      </c>
      <c r="F102" s="386">
        <v>1.0</v>
      </c>
      <c r="G102" s="74">
        <v>1050000.0</v>
      </c>
      <c r="H102" s="74">
        <v>0.0</v>
      </c>
      <c r="I102" s="74">
        <f t="shared" si="1"/>
        <v>1050000</v>
      </c>
      <c r="J102" s="74">
        <f>IF(E102="SERVICE",I102-(I102*50%),Vlookup(E102,DATABASE!C:Q,10,false)*F102)</f>
        <v>0</v>
      </c>
      <c r="K102" s="74">
        <f>VLOOKUP(E102,DATABASE!C:Q,7,false)</f>
        <v>930000</v>
      </c>
      <c r="L102" s="74">
        <v>940000.0</v>
      </c>
      <c r="M102" s="74">
        <f t="shared" si="2"/>
        <v>940000</v>
      </c>
      <c r="N102" s="74">
        <f t="shared" si="3"/>
        <v>110000</v>
      </c>
      <c r="O102" s="65" t="str">
        <f>VLOOKUP(E102,DATABASE!C:Q,8,false)</f>
        <v>IBU</v>
      </c>
      <c r="P102" s="65">
        <f>VLOOKUP(E102,DATABASE!C:Q,9,False)</f>
        <v>1</v>
      </c>
      <c r="Q102" s="93" t="str">
        <f>VLOOKUP(E102,DATABASE!C:Q,4,false)</f>
        <v>Dunlop</v>
      </c>
      <c r="R102" s="93" t="str">
        <f>VLOOKUP(E102,DATABASE!C:Q,11,false)</f>
        <v>Tire</v>
      </c>
    </row>
    <row r="103" ht="22.5" customHeight="1">
      <c r="A103" s="49"/>
      <c r="C103" s="384">
        <v>45663.0</v>
      </c>
      <c r="D103" s="93">
        <v>3844.0</v>
      </c>
      <c r="E103" s="385" t="s">
        <v>781</v>
      </c>
      <c r="F103" s="386">
        <v>2.0</v>
      </c>
      <c r="G103" s="74">
        <v>525000.0</v>
      </c>
      <c r="H103" s="74">
        <v>0.0</v>
      </c>
      <c r="I103" s="74">
        <f t="shared" si="1"/>
        <v>1050000</v>
      </c>
      <c r="J103" s="74">
        <f>IF(E103="SERVICE",I103-(I103*50%),Vlookup(E103,DATABASE!C:Q,10,false)*F103)</f>
        <v>0</v>
      </c>
      <c r="K103" s="74">
        <f>VLOOKUP(E103,DATABASE!C:Q,7,false)</f>
        <v>470000</v>
      </c>
      <c r="L103" s="74">
        <v>442500.0</v>
      </c>
      <c r="M103" s="74">
        <f t="shared" si="2"/>
        <v>445000</v>
      </c>
      <c r="N103" s="74">
        <f t="shared" si="3"/>
        <v>160000</v>
      </c>
      <c r="O103" s="65" t="str">
        <f>VLOOKUP(E103,DATABASE!C:Q,8,false)</f>
        <v>BIAN</v>
      </c>
      <c r="P103" s="65">
        <f>VLOOKUP(E103,DATABASE!C:Q,9,False)</f>
        <v>1</v>
      </c>
      <c r="Q103" s="93" t="str">
        <f>VLOOKUP(E103,DATABASE!C:Q,4,false)</f>
        <v>GT</v>
      </c>
      <c r="R103" s="93" t="str">
        <f>VLOOKUP(E103,DATABASE!C:Q,11,false)</f>
        <v>Tire</v>
      </c>
    </row>
    <row r="104" ht="22.5" customHeight="1">
      <c r="A104" s="49"/>
      <c r="C104" s="384">
        <v>45663.0</v>
      </c>
      <c r="D104" s="93">
        <v>3846.0</v>
      </c>
      <c r="E104" s="385" t="s">
        <v>268</v>
      </c>
      <c r="F104" s="386">
        <v>2.0</v>
      </c>
      <c r="G104" s="74">
        <v>700000.0</v>
      </c>
      <c r="H104" s="74">
        <v>0.0</v>
      </c>
      <c r="I104" s="74">
        <f t="shared" si="1"/>
        <v>1400000</v>
      </c>
      <c r="J104" s="74">
        <f>IF(E104="SERVICE",I104-(I104*50%),Vlookup(E104,DATABASE!C:Q,10,false)*F104)</f>
        <v>0</v>
      </c>
      <c r="K104" s="74">
        <v>613000.0</v>
      </c>
      <c r="L104" s="74">
        <v>613000.0</v>
      </c>
      <c r="M104" s="74">
        <f t="shared" si="2"/>
        <v>615000</v>
      </c>
      <c r="N104" s="74">
        <f t="shared" si="3"/>
        <v>170000</v>
      </c>
      <c r="O104" s="65" t="str">
        <f>VLOOKUP(E104,DATABASE!C:Q,8,false)</f>
        <v>IBU</v>
      </c>
      <c r="P104" s="65">
        <f>VLOOKUP(E104,DATABASE!C:Q,9,False)</f>
        <v>1</v>
      </c>
      <c r="Q104" s="93" t="str">
        <f>VLOOKUP(E104,DATABASE!C:Q,4,false)</f>
        <v>Dunlop</v>
      </c>
      <c r="R104" s="93" t="str">
        <f>VLOOKUP(E104,DATABASE!C:Q,11,false)</f>
        <v>Tire</v>
      </c>
    </row>
    <row r="105" ht="22.5" customHeight="1">
      <c r="A105" s="49"/>
      <c r="C105" s="384">
        <v>45663.0</v>
      </c>
      <c r="D105" s="93">
        <v>3847.0</v>
      </c>
      <c r="E105" s="385" t="s">
        <v>955</v>
      </c>
      <c r="F105" s="386">
        <v>1.0</v>
      </c>
      <c r="G105" s="74">
        <v>780000.0</v>
      </c>
      <c r="H105" s="74">
        <v>0.0</v>
      </c>
      <c r="I105" s="74">
        <f t="shared" si="1"/>
        <v>780000</v>
      </c>
      <c r="J105" s="74">
        <f>IF(E105="SERVICE",I105-(I105*50%),Vlookup(E105,DATABASE!C:Q,10,false)*F105)</f>
        <v>0</v>
      </c>
      <c r="K105" s="74">
        <f>VLOOKUP(E105,DATABASE!C:Q,7,false)</f>
        <v>712000</v>
      </c>
      <c r="L105" s="74">
        <v>674000.0</v>
      </c>
      <c r="M105" s="74">
        <f t="shared" si="2"/>
        <v>675000</v>
      </c>
      <c r="N105" s="74">
        <f t="shared" si="3"/>
        <v>105000</v>
      </c>
      <c r="O105" s="65" t="str">
        <f>VLOOKUP(E105,DATABASE!C:Q,8,false)</f>
        <v>IBU</v>
      </c>
      <c r="P105" s="65">
        <f>VLOOKUP(E105,DATABASE!C:Q,9,False)</f>
        <v>1</v>
      </c>
      <c r="Q105" s="93" t="str">
        <f>VLOOKUP(E105,DATABASE!C:Q,4,false)</f>
        <v>Dunlop</v>
      </c>
      <c r="R105" s="93" t="str">
        <f>VLOOKUP(E105,DATABASE!C:Q,11,false)</f>
        <v>Tire</v>
      </c>
    </row>
    <row r="106" ht="22.5" customHeight="1">
      <c r="A106" s="49"/>
      <c r="C106" s="384">
        <v>45663.0</v>
      </c>
      <c r="D106" s="93">
        <v>3848.0</v>
      </c>
      <c r="E106" s="385" t="s">
        <v>262</v>
      </c>
      <c r="F106" s="386">
        <v>1.0</v>
      </c>
      <c r="G106" s="74">
        <v>110000.0</v>
      </c>
      <c r="H106" s="74">
        <v>0.0</v>
      </c>
      <c r="I106" s="74">
        <f t="shared" si="1"/>
        <v>110000</v>
      </c>
      <c r="J106" s="74">
        <f>IF(E106="SERVICE",I106-(I106*50%),Vlookup(E106,DATABASE!C:Q,10,false)*F106)</f>
        <v>5000</v>
      </c>
      <c r="K106" s="74">
        <f>VLOOKUP(E106,DATABASE!C:Q,7,false)</f>
        <v>0</v>
      </c>
      <c r="L106" s="74">
        <v>0.0</v>
      </c>
      <c r="M106" s="74">
        <f t="shared" si="2"/>
        <v>0</v>
      </c>
      <c r="N106" s="74">
        <f t="shared" si="3"/>
        <v>105000</v>
      </c>
      <c r="O106" s="65" t="str">
        <f>VLOOKUP(E106,DATABASE!C:Q,8,false)</f>
        <v>IBU</v>
      </c>
      <c r="P106" s="65">
        <f>VLOOKUP(E106,DATABASE!C:Q,9,False)</f>
        <v>0</v>
      </c>
      <c r="Q106" s="93" t="str">
        <f>VLOOKUP(E106,DATABASE!C:Q,4,false)</f>
        <v>SPOORING SS/CARRY LOS BAK</v>
      </c>
      <c r="R106" s="93" t="str">
        <f>VLOOKUP(E106,DATABASE!C:Q,11,false)</f>
        <v>SERVICE</v>
      </c>
    </row>
    <row r="107" ht="22.5" customHeight="1">
      <c r="A107" s="49"/>
      <c r="C107" s="384">
        <v>45663.0</v>
      </c>
      <c r="D107" s="93">
        <v>3848.0</v>
      </c>
      <c r="E107" s="385" t="s">
        <v>478</v>
      </c>
      <c r="F107" s="386">
        <v>1.0</v>
      </c>
      <c r="G107" s="74">
        <v>200000.0</v>
      </c>
      <c r="H107" s="74">
        <v>0.0</v>
      </c>
      <c r="I107" s="74">
        <f t="shared" si="1"/>
        <v>200000</v>
      </c>
      <c r="J107" s="74">
        <f>IF(E107="SERVICE",I107-(I107*50%),Vlookup(E107,DATABASE!C:Q,10,false)*F107)</f>
        <v>25000</v>
      </c>
      <c r="K107" s="74">
        <f>VLOOKUP(E107,DATABASE!C:Q,7,false)</f>
        <v>75000</v>
      </c>
      <c r="L107" s="74">
        <v>75000.0</v>
      </c>
      <c r="M107" s="74">
        <f t="shared" si="2"/>
        <v>75000</v>
      </c>
      <c r="N107" s="74">
        <f t="shared" si="3"/>
        <v>100000</v>
      </c>
      <c r="O107" s="65" t="str">
        <f>VLOOKUP(E107,DATABASE!C:Q,8,false)</f>
        <v>BIAN</v>
      </c>
      <c r="P107" s="65">
        <f>VLOOKUP(E107,DATABASE!C:Q,9,False)</f>
        <v>0</v>
      </c>
      <c r="Q107" s="93" t="str">
        <f>VLOOKUP(E107,DATABASE!C:Q,4,false)</f>
        <v>Baut Camber ss-carry</v>
      </c>
      <c r="R107" s="93" t="str">
        <f>VLOOKUP(E107,DATABASE!C:Q,11,false)</f>
        <v>COMPLEMENTARY</v>
      </c>
    </row>
    <row r="108" ht="22.5" customHeight="1">
      <c r="A108" s="49"/>
      <c r="C108" s="384">
        <v>45663.0</v>
      </c>
      <c r="D108" s="93">
        <v>3849.0</v>
      </c>
      <c r="E108" s="385" t="s">
        <v>268</v>
      </c>
      <c r="F108" s="386">
        <v>2.0</v>
      </c>
      <c r="G108" s="74">
        <v>700000.0</v>
      </c>
      <c r="H108" s="74">
        <v>0.0</v>
      </c>
      <c r="I108" s="74">
        <f t="shared" si="1"/>
        <v>1400000</v>
      </c>
      <c r="J108" s="74">
        <f>IF(E108="SERVICE",I108-(I108*50%),Vlookup(E108,DATABASE!C:Q,10,false)*F108)</f>
        <v>0</v>
      </c>
      <c r="K108" s="74">
        <v>613000.0</v>
      </c>
      <c r="L108" s="74">
        <v>613000.0</v>
      </c>
      <c r="M108" s="74">
        <f t="shared" si="2"/>
        <v>615000</v>
      </c>
      <c r="N108" s="74">
        <f t="shared" si="3"/>
        <v>170000</v>
      </c>
      <c r="O108" s="65" t="str">
        <f>VLOOKUP(E108,DATABASE!C:Q,8,false)</f>
        <v>IBU</v>
      </c>
      <c r="P108" s="65">
        <f>VLOOKUP(E108,DATABASE!C:Q,9,False)</f>
        <v>1</v>
      </c>
      <c r="Q108" s="93" t="str">
        <f>VLOOKUP(E108,DATABASE!C:Q,4,false)</f>
        <v>Dunlop</v>
      </c>
      <c r="R108" s="93" t="str">
        <f>VLOOKUP(E108,DATABASE!C:Q,11,false)</f>
        <v>Tire</v>
      </c>
    </row>
    <row r="109" ht="22.5" customHeight="1">
      <c r="A109" s="49"/>
      <c r="C109" s="384">
        <v>45663.0</v>
      </c>
      <c r="D109" s="93">
        <v>3850.0</v>
      </c>
      <c r="E109" s="385" t="s">
        <v>256</v>
      </c>
      <c r="F109" s="386">
        <v>1.0</v>
      </c>
      <c r="G109" s="74">
        <v>130000.0</v>
      </c>
      <c r="H109" s="74">
        <v>0.0</v>
      </c>
      <c r="I109" s="74">
        <f t="shared" si="1"/>
        <v>130000</v>
      </c>
      <c r="J109" s="74">
        <f>IF(E109="SERVICE",I109-(I109*50%),Vlookup(E109,DATABASE!C:Q,10,false)*F109)</f>
        <v>10000</v>
      </c>
      <c r="K109" s="74">
        <f>VLOOKUP(E109,DATABASE!C:Q,7,false)</f>
        <v>0</v>
      </c>
      <c r="L109" s="74">
        <v>0.0</v>
      </c>
      <c r="M109" s="74">
        <f t="shared" si="2"/>
        <v>0</v>
      </c>
      <c r="N109" s="74">
        <f t="shared" si="3"/>
        <v>120000</v>
      </c>
      <c r="O109" s="65" t="str">
        <f>VLOOKUP(E109,DATABASE!C:Q,8,false)</f>
        <v>IBU</v>
      </c>
      <c r="P109" s="65">
        <f>VLOOKUP(E109,DATABASE!C:Q,9,False)</f>
        <v>0</v>
      </c>
      <c r="Q109" s="93" t="str">
        <f>VLOOKUP(E109,DATABASE!C:Q,4,false)</f>
        <v>SPOORING</v>
      </c>
      <c r="R109" s="93" t="str">
        <f>VLOOKUP(E109,DATABASE!C:Q,11,false)</f>
        <v>SERVICE</v>
      </c>
    </row>
    <row r="110" ht="22.5" customHeight="1">
      <c r="A110" s="49"/>
      <c r="C110" s="384">
        <v>45663.0</v>
      </c>
      <c r="D110" s="93">
        <v>3850.0</v>
      </c>
      <c r="E110" s="385" t="s">
        <v>299</v>
      </c>
      <c r="F110" s="386">
        <v>2.0</v>
      </c>
      <c r="G110" s="74">
        <v>30000.0</v>
      </c>
      <c r="H110" s="74">
        <v>0.0</v>
      </c>
      <c r="I110" s="74">
        <f t="shared" si="1"/>
        <v>60000</v>
      </c>
      <c r="J110" s="74">
        <f>IF(E110="SERVICE",I110-(I110*50%),Vlookup(E110,DATABASE!C:Q,10,false)*F110)</f>
        <v>0</v>
      </c>
      <c r="K110" s="74">
        <v>0.0</v>
      </c>
      <c r="L110" s="74">
        <v>0.0</v>
      </c>
      <c r="M110" s="74">
        <f t="shared" si="2"/>
        <v>0</v>
      </c>
      <c r="N110" s="74">
        <f t="shared" si="3"/>
        <v>60000</v>
      </c>
      <c r="O110" s="65" t="str">
        <f>VLOOKUP(E110,DATABASE!C:Q,8,false)</f>
        <v>BIAN</v>
      </c>
      <c r="P110" s="65">
        <f>VLOOKUP(E110,DATABASE!C:Q,9,False)</f>
        <v>0</v>
      </c>
      <c r="Q110" s="93" t="str">
        <f>VLOOKUP(E110,DATABASE!C:Q,4,false)</f>
        <v>Balancing</v>
      </c>
      <c r="R110" s="93" t="str">
        <f>VLOOKUP(E110,DATABASE!C:Q,11,false)</f>
        <v>COMPLEMENTARY</v>
      </c>
    </row>
    <row r="111" ht="22.5" customHeight="1">
      <c r="A111" s="49"/>
      <c r="C111" s="384">
        <v>45663.0</v>
      </c>
      <c r="D111" s="93">
        <v>3850.0</v>
      </c>
      <c r="E111" s="385" t="s">
        <v>251</v>
      </c>
      <c r="F111" s="386">
        <v>1.0</v>
      </c>
      <c r="G111" s="74">
        <v>150000.0</v>
      </c>
      <c r="H111" s="74">
        <v>0.0</v>
      </c>
      <c r="I111" s="74">
        <f t="shared" si="1"/>
        <v>150000</v>
      </c>
      <c r="J111" s="74">
        <f>IF(E111="SERVICE",I111-(I111*50%),Vlookup(E111,DATABASE!C:Q,10,false)*F111)</f>
        <v>75000</v>
      </c>
      <c r="K111" s="74">
        <f>VLOOKUP(E111,DATABASE!C:Q,7,false)</f>
        <v>0</v>
      </c>
      <c r="L111" s="74">
        <v>0.0</v>
      </c>
      <c r="M111" s="74">
        <f t="shared" si="2"/>
        <v>0</v>
      </c>
      <c r="N111" s="74">
        <f t="shared" si="3"/>
        <v>75000</v>
      </c>
      <c r="O111" s="65" t="str">
        <f>VLOOKUP(E111,DATABASE!C:Q,8,false)</f>
        <v>IBU</v>
      </c>
      <c r="P111" s="65">
        <f>VLOOKUP(E111,DATABASE!C:Q,9,False)</f>
        <v>0</v>
      </c>
      <c r="Q111" s="93" t="str">
        <f>VLOOKUP(E111,DATABASE!C:Q,4,false)</f>
        <v>SERVICE</v>
      </c>
      <c r="R111" s="93" t="str">
        <f>VLOOKUP(E111,DATABASE!C:Q,11,false)</f>
        <v>SERVICE</v>
      </c>
    </row>
    <row r="112" ht="22.5" customHeight="1">
      <c r="A112" s="49"/>
      <c r="C112" s="384">
        <v>45663.0</v>
      </c>
      <c r="D112" s="93">
        <v>3851.0</v>
      </c>
      <c r="E112" s="385" t="s">
        <v>201</v>
      </c>
      <c r="F112" s="386">
        <v>1.0</v>
      </c>
      <c r="G112" s="74">
        <v>870000.0</v>
      </c>
      <c r="H112" s="74">
        <v>0.0</v>
      </c>
      <c r="I112" s="74">
        <f t="shared" si="1"/>
        <v>870000</v>
      </c>
      <c r="J112" s="74">
        <f>IF(E112="SERVICE",I112-(I112*50%),Vlookup(E112,DATABASE!C:Q,10,false)*F112)</f>
        <v>0</v>
      </c>
      <c r="K112" s="74">
        <f>VLOOKUP(E112,DATABASE!C:Q,7,false)</f>
        <v>760239</v>
      </c>
      <c r="L112" s="74">
        <v>760239.0</v>
      </c>
      <c r="M112" s="74">
        <f t="shared" si="2"/>
        <v>765000</v>
      </c>
      <c r="N112" s="74">
        <f t="shared" si="3"/>
        <v>105000</v>
      </c>
      <c r="O112" s="65" t="str">
        <f>VLOOKUP(E112,DATABASE!C:Q,8,false)</f>
        <v>BIAN</v>
      </c>
      <c r="P112" s="65">
        <f>VLOOKUP(E112,DATABASE!C:Q,9,False)</f>
        <v>1</v>
      </c>
      <c r="Q112" s="93" t="str">
        <f>VLOOKUP(E112,DATABASE!C:Q,4,false)</f>
        <v>ACCELERA</v>
      </c>
      <c r="R112" s="93" t="str">
        <f>VLOOKUP(E112,DATABASE!C:Q,11,false)</f>
        <v>Tire</v>
      </c>
    </row>
    <row r="113" ht="22.5" customHeight="1">
      <c r="A113" s="49"/>
      <c r="C113" s="384">
        <v>45663.0</v>
      </c>
      <c r="D113" s="93">
        <v>3852.0</v>
      </c>
      <c r="E113" s="385" t="s">
        <v>268</v>
      </c>
      <c r="F113" s="386">
        <v>3.0</v>
      </c>
      <c r="G113" s="74">
        <v>700000.0</v>
      </c>
      <c r="H113" s="74">
        <v>0.0</v>
      </c>
      <c r="I113" s="74">
        <f t="shared" si="1"/>
        <v>2100000</v>
      </c>
      <c r="J113" s="74">
        <f>IF(E113="SERVICE",I113-(I113*50%),Vlookup(E113,DATABASE!C:Q,10,false)*F113)</f>
        <v>0</v>
      </c>
      <c r="K113" s="74">
        <v>613000.0</v>
      </c>
      <c r="L113" s="74">
        <v>613000.0</v>
      </c>
      <c r="M113" s="74">
        <f t="shared" si="2"/>
        <v>615000</v>
      </c>
      <c r="N113" s="74">
        <f t="shared" si="3"/>
        <v>255000</v>
      </c>
      <c r="O113" s="65" t="str">
        <f>VLOOKUP(E113,DATABASE!C:Q,8,false)</f>
        <v>IBU</v>
      </c>
      <c r="P113" s="65">
        <f>VLOOKUP(E113,DATABASE!C:Q,9,False)</f>
        <v>1</v>
      </c>
      <c r="Q113" s="93" t="str">
        <f>VLOOKUP(E113,DATABASE!C:Q,4,false)</f>
        <v>Dunlop</v>
      </c>
      <c r="R113" s="93" t="str">
        <f>VLOOKUP(E113,DATABASE!C:Q,11,false)</f>
        <v>Tire</v>
      </c>
    </row>
    <row r="114" ht="22.5" customHeight="1">
      <c r="A114" s="49"/>
      <c r="C114" s="384">
        <v>45663.0</v>
      </c>
      <c r="D114" s="93">
        <v>3853.0</v>
      </c>
      <c r="E114" s="385" t="s">
        <v>271</v>
      </c>
      <c r="F114" s="386">
        <v>2.0</v>
      </c>
      <c r="G114" s="74">
        <v>630000.0</v>
      </c>
      <c r="H114" s="74">
        <v>0.0</v>
      </c>
      <c r="I114" s="74">
        <f t="shared" si="1"/>
        <v>1260000</v>
      </c>
      <c r="J114" s="74">
        <f>IF(E114="SERVICE",I114-(I114*50%),Vlookup(E114,DATABASE!C:Q,10,false)*F114)</f>
        <v>0</v>
      </c>
      <c r="K114" s="74">
        <f>VLOOKUP(E114,DATABASE!C:Q,7,false)</f>
        <v>570000</v>
      </c>
      <c r="L114" s="74">
        <v>539000.0</v>
      </c>
      <c r="M114" s="74">
        <f t="shared" si="2"/>
        <v>540000</v>
      </c>
      <c r="N114" s="74">
        <f t="shared" si="3"/>
        <v>180000</v>
      </c>
      <c r="O114" s="65" t="str">
        <f>VLOOKUP(E114,DATABASE!C:Q,8,false)</f>
        <v>IBU</v>
      </c>
      <c r="P114" s="65">
        <f>VLOOKUP(E114,DATABASE!C:Q,9,False)</f>
        <v>1</v>
      </c>
      <c r="Q114" s="93" t="str">
        <f>VLOOKUP(E114,DATABASE!C:Q,4,false)</f>
        <v>Dunlop</v>
      </c>
      <c r="R114" s="93" t="str">
        <f>VLOOKUP(E114,DATABASE!C:Q,11,false)</f>
        <v>Tire</v>
      </c>
    </row>
    <row r="115" ht="22.5" customHeight="1">
      <c r="A115" s="49"/>
      <c r="C115" s="384">
        <v>45663.0</v>
      </c>
      <c r="D115" s="93">
        <v>3854.0</v>
      </c>
      <c r="E115" s="385" t="s">
        <v>1807</v>
      </c>
      <c r="F115" s="386">
        <v>1.0</v>
      </c>
      <c r="G115" s="74">
        <v>550000.0</v>
      </c>
      <c r="H115" s="74">
        <v>0.0</v>
      </c>
      <c r="I115" s="74">
        <f t="shared" si="1"/>
        <v>550000</v>
      </c>
      <c r="J115" s="74">
        <f>IF(E115="SERVICE",I115-(I115*50%),Vlookup(E115,DATABASE!C:Q,10,false)*F115)</f>
        <v>0</v>
      </c>
      <c r="K115" s="74">
        <f>VLOOKUP(E115,DATABASE!C:Q,7,false)</f>
        <v>473000</v>
      </c>
      <c r="L115" s="74">
        <v>473000.0</v>
      </c>
      <c r="M115" s="74">
        <f t="shared" si="2"/>
        <v>475000</v>
      </c>
      <c r="N115" s="74">
        <f t="shared" si="3"/>
        <v>75000</v>
      </c>
      <c r="O115" s="65" t="str">
        <f>VLOOKUP(E115,DATABASE!C:Q,8,false)</f>
        <v>BIAN</v>
      </c>
      <c r="P115" s="65">
        <f>VLOOKUP(E115,DATABASE!C:Q,9,False)</f>
        <v>1</v>
      </c>
      <c r="Q115" s="93" t="str">
        <f>VLOOKUP(E115,DATABASE!C:Q,4,false)</f>
        <v>G. YEAR</v>
      </c>
      <c r="R115" s="93" t="str">
        <f>VLOOKUP(E115,DATABASE!C:Q,11,false)</f>
        <v>Tire</v>
      </c>
    </row>
    <row r="116" ht="22.5" customHeight="1">
      <c r="A116" s="49"/>
      <c r="C116" s="384">
        <v>45664.0</v>
      </c>
      <c r="D116" s="93">
        <v>3855.0</v>
      </c>
      <c r="E116" s="385" t="s">
        <v>955</v>
      </c>
      <c r="F116" s="386">
        <v>1.0</v>
      </c>
      <c r="G116" s="74">
        <v>750000.0</v>
      </c>
      <c r="H116" s="74">
        <v>0.0</v>
      </c>
      <c r="I116" s="74">
        <f t="shared" si="1"/>
        <v>750000</v>
      </c>
      <c r="J116" s="74">
        <f>IF(E116="SERVICE",I116-(I116*50%),Vlookup(E116,DATABASE!C:Q,10,false)*F116)</f>
        <v>0</v>
      </c>
      <c r="K116" s="74">
        <f>VLOOKUP(E116,DATABASE!C:Q,7,false)</f>
        <v>712000</v>
      </c>
      <c r="L116" s="74">
        <v>674000.0</v>
      </c>
      <c r="M116" s="74">
        <f t="shared" si="2"/>
        <v>675000</v>
      </c>
      <c r="N116" s="74">
        <f t="shared" si="3"/>
        <v>75000</v>
      </c>
      <c r="O116" s="65" t="str">
        <f>VLOOKUP(E116,DATABASE!C:Q,8,false)</f>
        <v>IBU</v>
      </c>
      <c r="P116" s="65">
        <f>VLOOKUP(E116,DATABASE!C:Q,9,False)</f>
        <v>1</v>
      </c>
      <c r="Q116" s="93" t="str">
        <f>VLOOKUP(E116,DATABASE!C:Q,4,false)</f>
        <v>Dunlop</v>
      </c>
      <c r="R116" s="93" t="str">
        <f>VLOOKUP(E116,DATABASE!C:Q,11,false)</f>
        <v>Tire</v>
      </c>
    </row>
    <row r="117" ht="22.5" customHeight="1">
      <c r="A117" s="49"/>
      <c r="C117" s="384">
        <v>45664.0</v>
      </c>
      <c r="D117" s="93">
        <v>3856.0</v>
      </c>
      <c r="E117" s="385" t="s">
        <v>1541</v>
      </c>
      <c r="F117" s="386">
        <v>4.0</v>
      </c>
      <c r="G117" s="74">
        <v>830000.0</v>
      </c>
      <c r="H117" s="74">
        <v>0.0</v>
      </c>
      <c r="I117" s="74">
        <f t="shared" si="1"/>
        <v>3320000</v>
      </c>
      <c r="J117" s="74">
        <f>IF(E117="SERVICE",I117-(I117*50%),Vlookup(E117,DATABASE!C:Q,10,false)*F117)</f>
        <v>0</v>
      </c>
      <c r="K117" s="74">
        <f>VLOOKUP(E117,DATABASE!C:Q,7,false)</f>
        <v>818000</v>
      </c>
      <c r="L117" s="74">
        <v>818000.0</v>
      </c>
      <c r="M117" s="74">
        <f t="shared" si="2"/>
        <v>820000</v>
      </c>
      <c r="N117" s="74">
        <f t="shared" si="3"/>
        <v>40000</v>
      </c>
      <c r="O117" s="65" t="str">
        <f>VLOOKUP(E117,DATABASE!C:Q,8,false)</f>
        <v>IBU</v>
      </c>
      <c r="P117" s="65">
        <f>VLOOKUP(E117,DATABASE!C:Q,9,False)</f>
        <v>1</v>
      </c>
      <c r="Q117" s="93" t="str">
        <f>VLOOKUP(E117,DATABASE!C:Q,4,false)</f>
        <v>Dunlop</v>
      </c>
      <c r="R117" s="93" t="str">
        <f>VLOOKUP(E117,DATABASE!C:Q,11,false)</f>
        <v>Tire</v>
      </c>
    </row>
    <row r="118" ht="22.5" customHeight="1">
      <c r="A118" s="49"/>
      <c r="C118" s="384">
        <v>45664.0</v>
      </c>
      <c r="D118" s="93">
        <v>3856.0</v>
      </c>
      <c r="E118" s="385" t="s">
        <v>2135</v>
      </c>
      <c r="F118" s="386">
        <v>4.0</v>
      </c>
      <c r="G118" s="74">
        <v>10000.0</v>
      </c>
      <c r="H118" s="74">
        <v>0.0</v>
      </c>
      <c r="I118" s="74">
        <f t="shared" si="1"/>
        <v>40000</v>
      </c>
      <c r="J118" s="74">
        <f>IF(E118="SERVICE",I118-(I118*50%),Vlookup(E118,DATABASE!C:Q,10,false)*F118)</f>
        <v>0</v>
      </c>
      <c r="K118" s="74">
        <f>VLOOKUP(E118,DATABASE!C:Q,7,false)</f>
        <v>0</v>
      </c>
      <c r="L118" s="74">
        <v>0.0</v>
      </c>
      <c r="M118" s="74">
        <f t="shared" si="2"/>
        <v>0</v>
      </c>
      <c r="N118" s="74">
        <f t="shared" si="3"/>
        <v>40000</v>
      </c>
      <c r="O118" s="65" t="str">
        <f>VLOOKUP(E118,DATABASE!C:Q,8,false)</f>
        <v>IBU</v>
      </c>
      <c r="P118" s="65">
        <f>VLOOKUP(E118,DATABASE!C:Q,9,False)</f>
        <v>0</v>
      </c>
      <c r="Q118" s="93" t="str">
        <f>VLOOKUP(E118,DATABASE!C:Q,4,false)</f>
        <v>NITROGEN</v>
      </c>
      <c r="R118" s="93" t="str">
        <f>VLOOKUP(E118,DATABASE!C:Q,11,false)</f>
        <v>COMPLEMENTARY</v>
      </c>
    </row>
    <row r="119" ht="22.5" customHeight="1">
      <c r="A119" s="49"/>
      <c r="C119" s="384">
        <v>45664.0</v>
      </c>
      <c r="D119" s="93">
        <v>3856.0</v>
      </c>
      <c r="E119" s="385" t="s">
        <v>299</v>
      </c>
      <c r="F119" s="386">
        <v>2.0</v>
      </c>
      <c r="G119" s="74">
        <v>20000.0</v>
      </c>
      <c r="H119" s="74">
        <v>0.0</v>
      </c>
      <c r="I119" s="74">
        <f t="shared" si="1"/>
        <v>40000</v>
      </c>
      <c r="J119" s="74">
        <f>IF(E119="SERVICE",I119-(I119*50%),Vlookup(E119,DATABASE!C:Q,10,false)*F119)</f>
        <v>0</v>
      </c>
      <c r="K119" s="74">
        <v>0.0</v>
      </c>
      <c r="L119" s="74">
        <v>0.0</v>
      </c>
      <c r="M119" s="74">
        <f t="shared" si="2"/>
        <v>0</v>
      </c>
      <c r="N119" s="74">
        <f t="shared" si="3"/>
        <v>40000</v>
      </c>
      <c r="O119" s="65" t="str">
        <f>VLOOKUP(E119,DATABASE!C:Q,8,false)</f>
        <v>BIAN</v>
      </c>
      <c r="P119" s="65">
        <f>VLOOKUP(E119,DATABASE!C:Q,9,False)</f>
        <v>0</v>
      </c>
      <c r="Q119" s="93" t="str">
        <f>VLOOKUP(E119,DATABASE!C:Q,4,false)</f>
        <v>Balancing</v>
      </c>
      <c r="R119" s="93" t="str">
        <f>VLOOKUP(E119,DATABASE!C:Q,11,false)</f>
        <v>COMPLEMENTARY</v>
      </c>
    </row>
    <row r="120" ht="22.5" customHeight="1">
      <c r="A120" s="49"/>
      <c r="C120" s="384">
        <v>45664.0</v>
      </c>
      <c r="D120" s="93">
        <v>3857.0</v>
      </c>
      <c r="E120" s="385" t="s">
        <v>633</v>
      </c>
      <c r="F120" s="386">
        <v>4.0</v>
      </c>
      <c r="G120" s="74">
        <v>115000.0</v>
      </c>
      <c r="H120" s="74">
        <v>0.0</v>
      </c>
      <c r="I120" s="74">
        <f t="shared" si="1"/>
        <v>460000</v>
      </c>
      <c r="J120" s="74">
        <f>IF(E120="SERVICE",I120-(I120*50%),Vlookup(E120,DATABASE!C:Q,10,false)*F120)</f>
        <v>0</v>
      </c>
      <c r="K120" s="74">
        <f>VLOOKUP(E120,DATABASE!C:Q,7,false)</f>
        <v>81200</v>
      </c>
      <c r="L120" s="74">
        <v>81200.0</v>
      </c>
      <c r="M120" s="74">
        <f t="shared" si="2"/>
        <v>85000</v>
      </c>
      <c r="N120" s="74">
        <f t="shared" si="3"/>
        <v>120000</v>
      </c>
      <c r="O120" s="65" t="str">
        <f>VLOOKUP(E120,DATABASE!C:Q,8,false)</f>
        <v>BIAN</v>
      </c>
      <c r="P120" s="65">
        <f>VLOOKUP(E120,DATABASE!C:Q,9,False)</f>
        <v>1</v>
      </c>
      <c r="Q120" s="93" t="str">
        <f>VLOOKUP(E120,DATABASE!C:Q,4,false)</f>
        <v>BD</v>
      </c>
      <c r="R120" s="93" t="str">
        <f>VLOOKUP(E120,DATABASE!C:Q,11,false)</f>
        <v>Tire</v>
      </c>
    </row>
    <row r="121" ht="22.5" customHeight="1">
      <c r="A121" s="49"/>
      <c r="C121" s="384">
        <v>45664.0</v>
      </c>
      <c r="D121" s="93">
        <v>3858.0</v>
      </c>
      <c r="E121" s="385" t="s">
        <v>268</v>
      </c>
      <c r="F121" s="386">
        <v>2.0</v>
      </c>
      <c r="G121" s="74">
        <v>670000.0</v>
      </c>
      <c r="H121" s="74">
        <v>0.0</v>
      </c>
      <c r="I121" s="74">
        <f t="shared" si="1"/>
        <v>1340000</v>
      </c>
      <c r="J121" s="74">
        <f>IF(E121="SERVICE",I121-(I121*50%),Vlookup(E121,DATABASE!C:Q,10,false)*F121)</f>
        <v>0</v>
      </c>
      <c r="K121" s="74">
        <v>613000.0</v>
      </c>
      <c r="L121" s="74">
        <v>613000.0</v>
      </c>
      <c r="M121" s="74">
        <f t="shared" si="2"/>
        <v>615000</v>
      </c>
      <c r="N121" s="74">
        <f t="shared" si="3"/>
        <v>110000</v>
      </c>
      <c r="O121" s="65" t="str">
        <f>VLOOKUP(E121,DATABASE!C:Q,8,false)</f>
        <v>IBU</v>
      </c>
      <c r="P121" s="65">
        <f>VLOOKUP(E121,DATABASE!C:Q,9,False)</f>
        <v>1</v>
      </c>
      <c r="Q121" s="93" t="str">
        <f>VLOOKUP(E121,DATABASE!C:Q,4,false)</f>
        <v>Dunlop</v>
      </c>
      <c r="R121" s="93" t="str">
        <f>VLOOKUP(E121,DATABASE!C:Q,11,false)</f>
        <v>Tire</v>
      </c>
    </row>
    <row r="122" ht="22.5" customHeight="1">
      <c r="A122" s="49"/>
      <c r="C122" s="384">
        <v>45664.0</v>
      </c>
      <c r="D122" s="93">
        <v>3859.0</v>
      </c>
      <c r="E122" s="385" t="s">
        <v>246</v>
      </c>
      <c r="F122" s="386">
        <v>2.0</v>
      </c>
      <c r="G122" s="74">
        <v>25000.0</v>
      </c>
      <c r="H122" s="74">
        <v>0.0</v>
      </c>
      <c r="I122" s="74">
        <f t="shared" si="1"/>
        <v>50000</v>
      </c>
      <c r="J122" s="74">
        <f>IF(E122="SERVICE",I122-(I122*50%),Vlookup(E122,DATABASE!C:Q,10,false)*F122)</f>
        <v>0</v>
      </c>
      <c r="K122" s="74">
        <f>VLOOKUP(E122,DATABASE!C:Q,7,false)</f>
        <v>0</v>
      </c>
      <c r="L122" s="74">
        <v>0.0</v>
      </c>
      <c r="M122" s="74">
        <f t="shared" si="2"/>
        <v>0</v>
      </c>
      <c r="N122" s="74">
        <f t="shared" si="3"/>
        <v>50000</v>
      </c>
      <c r="O122" s="65" t="str">
        <f>VLOOKUP(E122,DATABASE!C:Q,8,false)</f>
        <v>IBU</v>
      </c>
      <c r="P122" s="65">
        <f>VLOOKUP(E122,DATABASE!C:Q,9,False)</f>
        <v>0</v>
      </c>
      <c r="Q122" s="93" t="str">
        <f>VLOOKUP(E122,DATABASE!C:Q,4,false)</f>
        <v>Bongkar Pasang</v>
      </c>
      <c r="R122" s="93" t="str">
        <f>VLOOKUP(E122,DATABASE!C:Q,11,false)</f>
        <v>SERVICE</v>
      </c>
    </row>
    <row r="123" ht="22.5" customHeight="1">
      <c r="A123" s="49"/>
      <c r="C123" s="384">
        <v>45664.0</v>
      </c>
      <c r="D123" s="93">
        <v>3861.0</v>
      </c>
      <c r="E123" s="385" t="s">
        <v>932</v>
      </c>
      <c r="F123" s="386">
        <v>1.0</v>
      </c>
      <c r="G123" s="74">
        <v>660000.0</v>
      </c>
      <c r="H123" s="74">
        <v>0.0</v>
      </c>
      <c r="I123" s="74">
        <f t="shared" si="1"/>
        <v>660000</v>
      </c>
      <c r="J123" s="74">
        <f>IF(E123="SERVICE",I123-(I123*50%),Vlookup(E123,DATABASE!C:Q,10,false)*F123)</f>
        <v>0</v>
      </c>
      <c r="K123" s="74">
        <v>575000.0</v>
      </c>
      <c r="L123" s="74">
        <v>575000.0</v>
      </c>
      <c r="M123" s="74">
        <f t="shared" si="2"/>
        <v>575000</v>
      </c>
      <c r="N123" s="74">
        <f t="shared" si="3"/>
        <v>85000</v>
      </c>
      <c r="O123" s="65" t="str">
        <f>VLOOKUP(E123,DATABASE!C:Q,8,false)</f>
        <v>IBU</v>
      </c>
      <c r="P123" s="65">
        <f>VLOOKUP(E123,DATABASE!C:Q,9,False)</f>
        <v>1</v>
      </c>
      <c r="Q123" s="93" t="str">
        <f>VLOOKUP(E123,DATABASE!C:Q,4,false)</f>
        <v>Dunlop</v>
      </c>
      <c r="R123" s="93" t="str">
        <f>VLOOKUP(E123,DATABASE!C:Q,11,false)</f>
        <v>Tire</v>
      </c>
    </row>
    <row r="124" ht="22.5" customHeight="1">
      <c r="A124" s="49"/>
      <c r="C124" s="384">
        <v>45664.0</v>
      </c>
      <c r="D124" s="93">
        <v>3862.0</v>
      </c>
      <c r="E124" s="385" t="s">
        <v>275</v>
      </c>
      <c r="F124" s="386">
        <v>2.0</v>
      </c>
      <c r="G124" s="74">
        <v>825000.0</v>
      </c>
      <c r="H124" s="74">
        <v>0.0</v>
      </c>
      <c r="I124" s="74">
        <f t="shared" si="1"/>
        <v>1650000</v>
      </c>
      <c r="J124" s="74">
        <f>IF(E124="SERVICE",I124-(I124*50%),Vlookup(E124,DATABASE!C:Q,10,false)*F124)</f>
        <v>0</v>
      </c>
      <c r="K124" s="74">
        <v>735000.0</v>
      </c>
      <c r="L124" s="74">
        <v>735000.0</v>
      </c>
      <c r="M124" s="74">
        <f t="shared" si="2"/>
        <v>735000</v>
      </c>
      <c r="N124" s="74">
        <f t="shared" si="3"/>
        <v>180000</v>
      </c>
      <c r="O124" s="65" t="str">
        <f>VLOOKUP(E124,DATABASE!C:Q,8,false)</f>
        <v>IBU</v>
      </c>
      <c r="P124" s="65">
        <f>VLOOKUP(E124,DATABASE!C:Q,9,False)</f>
        <v>1</v>
      </c>
      <c r="Q124" s="93" t="str">
        <f>VLOOKUP(E124,DATABASE!C:Q,4,false)</f>
        <v>Dunlop</v>
      </c>
      <c r="R124" s="93" t="str">
        <f>VLOOKUP(E124,DATABASE!C:Q,11,false)</f>
        <v>Tire</v>
      </c>
    </row>
    <row r="125" ht="22.5" customHeight="1">
      <c r="A125" s="49"/>
      <c r="C125" s="384">
        <v>45664.0</v>
      </c>
      <c r="D125" s="93">
        <v>3863.0</v>
      </c>
      <c r="E125" s="385" t="s">
        <v>262</v>
      </c>
      <c r="F125" s="386">
        <v>1.0</v>
      </c>
      <c r="G125" s="74">
        <v>110000.0</v>
      </c>
      <c r="H125" s="74">
        <v>0.0</v>
      </c>
      <c r="I125" s="74">
        <f t="shared" si="1"/>
        <v>110000</v>
      </c>
      <c r="J125" s="74">
        <f>IF(E125="SERVICE",I125-(I125*50%),Vlookup(E125,DATABASE!C:Q,10,false)*F125)</f>
        <v>5000</v>
      </c>
      <c r="K125" s="74">
        <f>VLOOKUP(E125,DATABASE!C:Q,7,false)</f>
        <v>0</v>
      </c>
      <c r="L125" s="74">
        <v>0.0</v>
      </c>
      <c r="M125" s="74">
        <f t="shared" si="2"/>
        <v>0</v>
      </c>
      <c r="N125" s="74">
        <f t="shared" si="3"/>
        <v>105000</v>
      </c>
      <c r="O125" s="65" t="str">
        <f>VLOOKUP(E125,DATABASE!C:Q,8,false)</f>
        <v>IBU</v>
      </c>
      <c r="P125" s="65">
        <f>VLOOKUP(E125,DATABASE!C:Q,9,False)</f>
        <v>0</v>
      </c>
      <c r="Q125" s="93" t="str">
        <f>VLOOKUP(E125,DATABASE!C:Q,4,false)</f>
        <v>SPOORING SS/CARRY LOS BAK</v>
      </c>
      <c r="R125" s="93" t="str">
        <f>VLOOKUP(E125,DATABASE!C:Q,11,false)</f>
        <v>SERVICE</v>
      </c>
    </row>
    <row r="126" ht="22.5" customHeight="1">
      <c r="A126" s="49"/>
      <c r="C126" s="384">
        <v>45664.0</v>
      </c>
      <c r="D126" s="93">
        <v>3863.0</v>
      </c>
      <c r="E126" s="385" t="s">
        <v>478</v>
      </c>
      <c r="F126" s="386">
        <v>1.0</v>
      </c>
      <c r="G126" s="74">
        <v>200000.0</v>
      </c>
      <c r="H126" s="74">
        <v>0.0</v>
      </c>
      <c r="I126" s="74">
        <f t="shared" si="1"/>
        <v>200000</v>
      </c>
      <c r="J126" s="74">
        <f>IF(E126="SERVICE",I126-(I126*50%),Vlookup(E126,DATABASE!C:Q,10,false)*F126)</f>
        <v>25000</v>
      </c>
      <c r="K126" s="74">
        <f>VLOOKUP(E126,DATABASE!C:Q,7,false)</f>
        <v>75000</v>
      </c>
      <c r="L126" s="74">
        <v>75000.0</v>
      </c>
      <c r="M126" s="74">
        <f t="shared" si="2"/>
        <v>75000</v>
      </c>
      <c r="N126" s="74">
        <f t="shared" si="3"/>
        <v>100000</v>
      </c>
      <c r="O126" s="65" t="str">
        <f>VLOOKUP(E126,DATABASE!C:Q,8,false)</f>
        <v>BIAN</v>
      </c>
      <c r="P126" s="65">
        <f>VLOOKUP(E126,DATABASE!C:Q,9,False)</f>
        <v>0</v>
      </c>
      <c r="Q126" s="93" t="str">
        <f>VLOOKUP(E126,DATABASE!C:Q,4,false)</f>
        <v>Baut Camber ss-carry</v>
      </c>
      <c r="R126" s="93" t="str">
        <f>VLOOKUP(E126,DATABASE!C:Q,11,false)</f>
        <v>COMPLEMENTARY</v>
      </c>
    </row>
    <row r="127" ht="22.5" customHeight="1">
      <c r="A127" s="49"/>
      <c r="C127" s="384">
        <v>45664.0</v>
      </c>
      <c r="D127" s="93">
        <v>3863.0</v>
      </c>
      <c r="E127" s="385" t="s">
        <v>305</v>
      </c>
      <c r="F127" s="386">
        <v>1.0</v>
      </c>
      <c r="G127" s="74">
        <v>225000.0</v>
      </c>
      <c r="H127" s="74">
        <v>0.0</v>
      </c>
      <c r="I127" s="74">
        <f t="shared" si="1"/>
        <v>225000</v>
      </c>
      <c r="J127" s="74">
        <f>IF(E127="SERVICE",I127-(I127*50%),Vlookup(E127,DATABASE!C:Q,10,false)*F127)</f>
        <v>40000</v>
      </c>
      <c r="K127" s="74">
        <f>VLOOKUP(E127,DATABASE!C:Q,7,false)</f>
        <v>158530.2</v>
      </c>
      <c r="L127" s="74">
        <v>151890.0</v>
      </c>
      <c r="M127" s="74">
        <f t="shared" si="2"/>
        <v>155000</v>
      </c>
      <c r="N127" s="74">
        <f t="shared" si="3"/>
        <v>30000</v>
      </c>
      <c r="O127" s="65" t="str">
        <f>VLOOKUP(E127,DATABASE!C:Q,8,false)</f>
        <v>BIAN</v>
      </c>
      <c r="P127" s="65">
        <f>VLOOKUP(E127,DATABASE!C:Q,9,False)</f>
        <v>1</v>
      </c>
      <c r="Q127" s="93" t="str">
        <f>VLOOKUP(E127,DATABASE!C:Q,4,false)</f>
        <v>Lower Arm</v>
      </c>
      <c r="R127" s="93" t="str">
        <f>VLOOKUP(E127,DATABASE!C:Q,11,false)</f>
        <v>COMPLEMENTARY</v>
      </c>
    </row>
    <row r="128" ht="22.5" customHeight="1">
      <c r="A128" s="49"/>
      <c r="C128" s="384">
        <v>45664.0</v>
      </c>
      <c r="D128" s="93">
        <v>3864.0</v>
      </c>
      <c r="E128" s="385" t="s">
        <v>2076</v>
      </c>
      <c r="F128" s="386">
        <v>2.0</v>
      </c>
      <c r="G128" s="74">
        <v>1950000.0</v>
      </c>
      <c r="H128" s="74">
        <v>0.0</v>
      </c>
      <c r="I128" s="74">
        <f t="shared" si="1"/>
        <v>3900000</v>
      </c>
      <c r="J128" s="74">
        <f>IF(E128="SERVICE",I128-(I128*50%),Vlookup(E128,DATABASE!C:Q,10,false)*F128)</f>
        <v>0</v>
      </c>
      <c r="K128" s="74">
        <f>VLOOKUP(E128,DATABASE!C:Q,7,false)</f>
        <v>1830000</v>
      </c>
      <c r="L128" s="74">
        <v>1830000.0</v>
      </c>
      <c r="M128" s="74">
        <f t="shared" si="2"/>
        <v>1830000</v>
      </c>
      <c r="N128" s="74">
        <f t="shared" si="3"/>
        <v>240000</v>
      </c>
      <c r="O128" s="65" t="str">
        <f>VLOOKUP(E128,DATABASE!C:Q,8,false)</f>
        <v>BIAN</v>
      </c>
      <c r="P128" s="65">
        <f>VLOOKUP(E128,DATABASE!C:Q,9,False)</f>
        <v>1</v>
      </c>
      <c r="Q128" s="93" t="str">
        <f>VLOOKUP(E128,DATABASE!C:Q,4,false)</f>
        <v>HANKOOK</v>
      </c>
      <c r="R128" s="93" t="str">
        <f>VLOOKUP(E128,DATABASE!C:Q,11,false)</f>
        <v>Tire</v>
      </c>
    </row>
    <row r="129" ht="22.5" customHeight="1">
      <c r="A129" s="49"/>
      <c r="C129" s="384">
        <v>45664.0</v>
      </c>
      <c r="D129" s="93">
        <v>3865.0</v>
      </c>
      <c r="E129" s="385" t="s">
        <v>946</v>
      </c>
      <c r="F129" s="386">
        <v>1.0</v>
      </c>
      <c r="G129" s="74">
        <v>900000.0</v>
      </c>
      <c r="H129" s="74">
        <v>0.0</v>
      </c>
      <c r="I129" s="74">
        <f t="shared" si="1"/>
        <v>900000</v>
      </c>
      <c r="J129" s="74">
        <f>IF(E129="SERVICE",I129-(I129*50%),Vlookup(E129,DATABASE!C:Q,10,false)*F129)</f>
        <v>0</v>
      </c>
      <c r="K129" s="74">
        <f>VLOOKUP(E129,DATABASE!C:Q,7,false)</f>
        <v>809000</v>
      </c>
      <c r="L129" s="74">
        <v>809000.0</v>
      </c>
      <c r="M129" s="74">
        <f t="shared" si="2"/>
        <v>810000</v>
      </c>
      <c r="N129" s="74">
        <f t="shared" si="3"/>
        <v>90000</v>
      </c>
      <c r="O129" s="65" t="str">
        <f>VLOOKUP(E129,DATABASE!C:Q,8,false)</f>
        <v>IBU</v>
      </c>
      <c r="P129" s="65">
        <f>VLOOKUP(E129,DATABASE!C:Q,9,False)</f>
        <v>1</v>
      </c>
      <c r="Q129" s="93" t="str">
        <f>VLOOKUP(E129,DATABASE!C:Q,4,false)</f>
        <v>Dunlop</v>
      </c>
      <c r="R129" s="93" t="str">
        <f>VLOOKUP(E129,DATABASE!C:Q,11,false)</f>
        <v>Tire</v>
      </c>
    </row>
    <row r="130" ht="22.5" customHeight="1">
      <c r="A130" s="49"/>
      <c r="C130" s="384">
        <v>45664.0</v>
      </c>
      <c r="D130" s="93">
        <v>3866.0</v>
      </c>
      <c r="E130" s="385" t="s">
        <v>275</v>
      </c>
      <c r="F130" s="386">
        <v>2.0</v>
      </c>
      <c r="G130" s="74">
        <v>830000.0</v>
      </c>
      <c r="H130" s="74">
        <v>0.0</v>
      </c>
      <c r="I130" s="74">
        <f t="shared" si="1"/>
        <v>1660000</v>
      </c>
      <c r="J130" s="74">
        <f>IF(E130="SERVICE",I130-(I130*50%),Vlookup(E130,DATABASE!C:Q,10,false)*F130)</f>
        <v>0</v>
      </c>
      <c r="K130" s="74">
        <v>735000.0</v>
      </c>
      <c r="L130" s="74">
        <v>735000.0</v>
      </c>
      <c r="M130" s="74">
        <f t="shared" si="2"/>
        <v>735000</v>
      </c>
      <c r="N130" s="74">
        <f t="shared" si="3"/>
        <v>190000</v>
      </c>
      <c r="O130" s="65" t="str">
        <f>VLOOKUP(E130,DATABASE!C:Q,8,false)</f>
        <v>IBU</v>
      </c>
      <c r="P130" s="65">
        <f>VLOOKUP(E130,DATABASE!C:Q,9,False)</f>
        <v>1</v>
      </c>
      <c r="Q130" s="93" t="str">
        <f>VLOOKUP(E130,DATABASE!C:Q,4,false)</f>
        <v>Dunlop</v>
      </c>
      <c r="R130" s="93" t="str">
        <f>VLOOKUP(E130,DATABASE!C:Q,11,false)</f>
        <v>Tire</v>
      </c>
    </row>
    <row r="131" ht="22.5" customHeight="1">
      <c r="A131" s="49"/>
      <c r="C131" s="384">
        <v>45664.0</v>
      </c>
      <c r="D131" s="93">
        <v>3867.0</v>
      </c>
      <c r="E131" s="385" t="s">
        <v>695</v>
      </c>
      <c r="F131" s="386">
        <v>2.0</v>
      </c>
      <c r="G131" s="74">
        <v>620000.0</v>
      </c>
      <c r="H131" s="74">
        <v>0.0</v>
      </c>
      <c r="I131" s="74">
        <f t="shared" si="1"/>
        <v>1240000</v>
      </c>
      <c r="J131" s="74">
        <f>IF(E131="SERVICE",I131-(I131*50%),Vlookup(E131,DATABASE!C:Q,10,false)*F131)</f>
        <v>0</v>
      </c>
      <c r="K131" s="74">
        <f>VLOOKUP(E131,DATABASE!C:Q,7,false)</f>
        <v>582000</v>
      </c>
      <c r="L131" s="74">
        <v>570000.0</v>
      </c>
      <c r="M131" s="74">
        <f t="shared" si="2"/>
        <v>570000</v>
      </c>
      <c r="N131" s="74">
        <f t="shared" si="3"/>
        <v>100000</v>
      </c>
      <c r="O131" s="65" t="str">
        <f>VLOOKUP(E131,DATABASE!C:Q,8,false)</f>
        <v>IBU</v>
      </c>
      <c r="P131" s="65">
        <f>VLOOKUP(E131,DATABASE!C:Q,9,False)</f>
        <v>1</v>
      </c>
      <c r="Q131" s="93" t="str">
        <f>VLOOKUP(E131,DATABASE!C:Q,4,false)</f>
        <v>Dunlop</v>
      </c>
      <c r="R131" s="93" t="str">
        <f>VLOOKUP(E131,DATABASE!C:Q,11,false)</f>
        <v>Tire</v>
      </c>
    </row>
    <row r="132" ht="22.5" customHeight="1">
      <c r="A132" s="49"/>
      <c r="C132" s="384">
        <v>45664.0</v>
      </c>
      <c r="D132" s="93">
        <v>3868.0</v>
      </c>
      <c r="E132" s="385" t="s">
        <v>299</v>
      </c>
      <c r="F132" s="386">
        <v>2.0</v>
      </c>
      <c r="G132" s="74">
        <v>30000.0</v>
      </c>
      <c r="H132" s="74">
        <v>0.0</v>
      </c>
      <c r="I132" s="74">
        <f t="shared" si="1"/>
        <v>60000</v>
      </c>
      <c r="J132" s="74">
        <f>IF(E132="SERVICE",I132-(I132*50%),Vlookup(E132,DATABASE!C:Q,10,false)*F132)</f>
        <v>0</v>
      </c>
      <c r="K132" s="74">
        <v>0.0</v>
      </c>
      <c r="L132" s="74">
        <v>0.0</v>
      </c>
      <c r="M132" s="74">
        <f t="shared" si="2"/>
        <v>0</v>
      </c>
      <c r="N132" s="74">
        <f t="shared" si="3"/>
        <v>60000</v>
      </c>
      <c r="O132" s="65" t="str">
        <f>VLOOKUP(E132,DATABASE!C:Q,8,false)</f>
        <v>BIAN</v>
      </c>
      <c r="P132" s="65">
        <f>VLOOKUP(E132,DATABASE!C:Q,9,False)</f>
        <v>0</v>
      </c>
      <c r="Q132" s="93" t="str">
        <f>VLOOKUP(E132,DATABASE!C:Q,4,false)</f>
        <v>Balancing</v>
      </c>
      <c r="R132" s="93" t="str">
        <f>VLOOKUP(E132,DATABASE!C:Q,11,false)</f>
        <v>COMPLEMENTARY</v>
      </c>
    </row>
    <row r="133" ht="22.5" customHeight="1">
      <c r="A133" s="49"/>
      <c r="C133" s="384">
        <v>45665.0</v>
      </c>
      <c r="D133" s="93">
        <v>3870.0</v>
      </c>
      <c r="E133" s="385" t="s">
        <v>974</v>
      </c>
      <c r="F133" s="386">
        <v>1.0</v>
      </c>
      <c r="G133" s="74">
        <v>530000.0</v>
      </c>
      <c r="H133" s="74">
        <v>0.0</v>
      </c>
      <c r="I133" s="74">
        <f t="shared" si="1"/>
        <v>530000</v>
      </c>
      <c r="J133" s="74">
        <f>IF(E133="SERVICE",I133-(I133*50%),Vlookup(E133,DATABASE!C:Q,10,false)*F133)</f>
        <v>0</v>
      </c>
      <c r="K133" s="74">
        <f>VLOOKUP(E133,DATABASE!C:Q,7,false)</f>
        <v>501500</v>
      </c>
      <c r="L133" s="74">
        <v>491000.0</v>
      </c>
      <c r="M133" s="74">
        <f t="shared" si="2"/>
        <v>495000</v>
      </c>
      <c r="N133" s="74">
        <f t="shared" si="3"/>
        <v>35000</v>
      </c>
      <c r="O133" s="65" t="str">
        <f>VLOOKUP(E133,DATABASE!C:Q,8,false)</f>
        <v>IBU</v>
      </c>
      <c r="P133" s="65">
        <f>VLOOKUP(E133,DATABASE!C:Q,9,False)</f>
        <v>1</v>
      </c>
      <c r="Q133" s="93" t="str">
        <f>VLOOKUP(E133,DATABASE!C:Q,4,false)</f>
        <v>Dunlop</v>
      </c>
      <c r="R133" s="93" t="str">
        <f>VLOOKUP(E133,DATABASE!C:Q,11,false)</f>
        <v>Tire</v>
      </c>
    </row>
    <row r="134" ht="22.5" customHeight="1">
      <c r="A134" s="49"/>
      <c r="C134" s="384">
        <v>45665.0</v>
      </c>
      <c r="D134" s="93">
        <v>3871.0</v>
      </c>
      <c r="E134" s="385" t="s">
        <v>744</v>
      </c>
      <c r="F134" s="386">
        <v>1.0</v>
      </c>
      <c r="G134" s="74">
        <v>230000.0</v>
      </c>
      <c r="H134" s="74">
        <v>0.0</v>
      </c>
      <c r="I134" s="74">
        <f t="shared" si="1"/>
        <v>230000</v>
      </c>
      <c r="J134" s="74">
        <f>IF(E134="SERVICE",I134-(I134*50%),Vlookup(E134,DATABASE!C:Q,10,false)*F134)</f>
        <v>0</v>
      </c>
      <c r="K134" s="74">
        <f>VLOOKUP(E134,DATABASE!C:Q,7,false)</f>
        <v>182200</v>
      </c>
      <c r="L134" s="74">
        <v>199920.0</v>
      </c>
      <c r="M134" s="74">
        <f t="shared" si="2"/>
        <v>200000</v>
      </c>
      <c r="N134" s="74">
        <f t="shared" si="3"/>
        <v>30000</v>
      </c>
      <c r="O134" s="65" t="str">
        <f>VLOOKUP(E134,DATABASE!C:Q,8,false)</f>
        <v>BIAN</v>
      </c>
      <c r="P134" s="65">
        <f>VLOOKUP(E134,DATABASE!C:Q,9,False)</f>
        <v>1</v>
      </c>
      <c r="Q134" s="93" t="str">
        <f>VLOOKUP(E134,DATABASE!C:Q,4,false)</f>
        <v>BD</v>
      </c>
      <c r="R134" s="93" t="str">
        <f>VLOOKUP(E134,DATABASE!C:Q,11,false)</f>
        <v>Tire</v>
      </c>
    </row>
    <row r="135" ht="22.5" customHeight="1">
      <c r="A135" s="49"/>
      <c r="C135" s="384">
        <v>45665.0</v>
      </c>
      <c r="D135" s="93">
        <v>3871.0</v>
      </c>
      <c r="E135" s="385" t="s">
        <v>1749</v>
      </c>
      <c r="F135" s="386">
        <v>1.0</v>
      </c>
      <c r="G135" s="74">
        <v>60000.0</v>
      </c>
      <c r="H135" s="74">
        <v>0.0</v>
      </c>
      <c r="I135" s="74">
        <f t="shared" si="1"/>
        <v>60000</v>
      </c>
      <c r="J135" s="74">
        <f>IF(E135="SERVICE",I135-(I135*50%),Vlookup(E135,DATABASE!C:Q,10,false)*F135)</f>
        <v>0</v>
      </c>
      <c r="K135" s="74">
        <f>VLOOKUP(E135,DATABASE!C:Q,7,false)</f>
        <v>40350</v>
      </c>
      <c r="L135" s="74">
        <v>40350.0</v>
      </c>
      <c r="M135" s="74">
        <f t="shared" si="2"/>
        <v>45000</v>
      </c>
      <c r="N135" s="74">
        <f t="shared" si="3"/>
        <v>15000</v>
      </c>
      <c r="O135" s="65" t="str">
        <f>VLOOKUP(E135,DATABASE!C:Q,8,false)</f>
        <v>BIAN</v>
      </c>
      <c r="P135" s="65">
        <f>VLOOKUP(E135,DATABASE!C:Q,9,False)</f>
        <v>1</v>
      </c>
      <c r="Q135" s="93" t="str">
        <f>VLOOKUP(E135,DATABASE!C:Q,4,false)</f>
        <v>Flap</v>
      </c>
      <c r="R135" s="93" t="str">
        <f>VLOOKUP(E135,DATABASE!C:Q,11,false)</f>
        <v>Tire</v>
      </c>
    </row>
    <row r="136" ht="22.5" customHeight="1">
      <c r="A136" s="49"/>
      <c r="C136" s="384">
        <v>45665.0</v>
      </c>
      <c r="D136" s="93">
        <v>3872.0</v>
      </c>
      <c r="E136" s="385" t="s">
        <v>1947</v>
      </c>
      <c r="F136" s="386">
        <v>1.0</v>
      </c>
      <c r="G136" s="74">
        <v>755000.0</v>
      </c>
      <c r="H136" s="74">
        <v>0.0</v>
      </c>
      <c r="I136" s="74">
        <f t="shared" si="1"/>
        <v>755000</v>
      </c>
      <c r="J136" s="74">
        <f>IF(E136="SERVICE",I136-(I136*50%),Vlookup(E136,DATABASE!C:Q,10,false)*F136)</f>
        <v>0</v>
      </c>
      <c r="K136" s="74">
        <f>VLOOKUP(E136,DATABASE!C:Q,7,false)</f>
        <v>694300</v>
      </c>
      <c r="L136" s="74">
        <v>670000.0</v>
      </c>
      <c r="M136" s="74">
        <f t="shared" si="2"/>
        <v>670000</v>
      </c>
      <c r="N136" s="74">
        <f t="shared" si="3"/>
        <v>85000</v>
      </c>
      <c r="O136" s="65" t="str">
        <f>VLOOKUP(E136,DATABASE!C:Q,8,false)</f>
        <v>BIAN</v>
      </c>
      <c r="P136" s="65">
        <f>VLOOKUP(E136,DATABASE!C:Q,9,False)</f>
        <v>1</v>
      </c>
      <c r="Q136" s="93" t="str">
        <f>VLOOKUP(E136,DATABASE!C:Q,4,false)</f>
        <v>GT</v>
      </c>
      <c r="R136" s="93" t="str">
        <f>VLOOKUP(E136,DATABASE!C:Q,11,false)</f>
        <v>Tire</v>
      </c>
    </row>
    <row r="137" ht="22.5" customHeight="1">
      <c r="A137" s="49"/>
      <c r="C137" s="384">
        <v>45665.0</v>
      </c>
      <c r="D137" s="93">
        <v>3873.0</v>
      </c>
      <c r="E137" s="385" t="s">
        <v>591</v>
      </c>
      <c r="F137" s="386">
        <v>1.0</v>
      </c>
      <c r="G137" s="74">
        <v>760000.0</v>
      </c>
      <c r="H137" s="74">
        <v>0.0</v>
      </c>
      <c r="I137" s="74">
        <f t="shared" si="1"/>
        <v>760000</v>
      </c>
      <c r="J137" s="74">
        <f>IF(E137="SERVICE",I137-(I137*50%),Vlookup(E137,DATABASE!C:Q,10,false)*F137)</f>
        <v>0</v>
      </c>
      <c r="K137" s="74">
        <v>676728.0</v>
      </c>
      <c r="L137" s="74">
        <v>676728.0</v>
      </c>
      <c r="M137" s="74">
        <f t="shared" si="2"/>
        <v>680000</v>
      </c>
      <c r="N137" s="74">
        <f t="shared" si="3"/>
        <v>80000</v>
      </c>
      <c r="O137" s="65" t="str">
        <f>VLOOKUP(E137,DATABASE!C:Q,8,false)</f>
        <v>IBU</v>
      </c>
      <c r="P137" s="65">
        <f>VLOOKUP(E137,DATABASE!C:Q,9,False)</f>
        <v>1</v>
      </c>
      <c r="Q137" s="93" t="str">
        <f>VLOOKUP(E137,DATABASE!C:Q,4,false)</f>
        <v>Bridgestone</v>
      </c>
      <c r="R137" s="93" t="str">
        <f>VLOOKUP(E137,DATABASE!C:Q,11,false)</f>
        <v>Tire</v>
      </c>
    </row>
    <row r="138" ht="22.5" customHeight="1">
      <c r="A138" s="49"/>
      <c r="C138" s="384">
        <v>45665.0</v>
      </c>
      <c r="D138" s="93">
        <v>3874.0</v>
      </c>
      <c r="E138" s="385" t="s">
        <v>256</v>
      </c>
      <c r="F138" s="386">
        <v>1.0</v>
      </c>
      <c r="G138" s="74">
        <v>130000.0</v>
      </c>
      <c r="H138" s="74">
        <v>0.0</v>
      </c>
      <c r="I138" s="74">
        <f t="shared" si="1"/>
        <v>130000</v>
      </c>
      <c r="J138" s="74">
        <f>IF(E138="SERVICE",I138-(I138*50%),Vlookup(E138,DATABASE!C:Q,10,false)*F138)</f>
        <v>10000</v>
      </c>
      <c r="K138" s="74">
        <f>VLOOKUP(E138,DATABASE!C:Q,7,false)</f>
        <v>0</v>
      </c>
      <c r="L138" s="74">
        <v>0.0</v>
      </c>
      <c r="M138" s="74">
        <f t="shared" si="2"/>
        <v>0</v>
      </c>
      <c r="N138" s="74">
        <f t="shared" si="3"/>
        <v>120000</v>
      </c>
      <c r="O138" s="65" t="str">
        <f>VLOOKUP(E138,DATABASE!C:Q,8,false)</f>
        <v>IBU</v>
      </c>
      <c r="P138" s="65">
        <f>VLOOKUP(E138,DATABASE!C:Q,9,False)</f>
        <v>0</v>
      </c>
      <c r="Q138" s="93" t="str">
        <f>VLOOKUP(E138,DATABASE!C:Q,4,false)</f>
        <v>SPOORING</v>
      </c>
      <c r="R138" s="93" t="str">
        <f>VLOOKUP(E138,DATABASE!C:Q,11,false)</f>
        <v>SERVICE</v>
      </c>
    </row>
    <row r="139" ht="22.5" customHeight="1">
      <c r="A139" s="49"/>
      <c r="C139" s="384">
        <v>45665.0</v>
      </c>
      <c r="D139" s="93">
        <v>3874.0</v>
      </c>
      <c r="E139" s="385" t="s">
        <v>299</v>
      </c>
      <c r="F139" s="386">
        <v>2.0</v>
      </c>
      <c r="G139" s="74">
        <v>30000.0</v>
      </c>
      <c r="H139" s="74">
        <v>0.0</v>
      </c>
      <c r="I139" s="74">
        <f t="shared" si="1"/>
        <v>60000</v>
      </c>
      <c r="J139" s="74">
        <f>IF(E139="SERVICE",I139-(I139*50%),Vlookup(E139,DATABASE!C:Q,10,false)*F139)</f>
        <v>0</v>
      </c>
      <c r="K139" s="74">
        <v>0.0</v>
      </c>
      <c r="L139" s="74">
        <v>0.0</v>
      </c>
      <c r="M139" s="74">
        <f t="shared" si="2"/>
        <v>0</v>
      </c>
      <c r="N139" s="74">
        <f t="shared" si="3"/>
        <v>60000</v>
      </c>
      <c r="O139" s="65" t="str">
        <f>VLOOKUP(E139,DATABASE!C:Q,8,false)</f>
        <v>BIAN</v>
      </c>
      <c r="P139" s="65">
        <f>VLOOKUP(E139,DATABASE!C:Q,9,False)</f>
        <v>0</v>
      </c>
      <c r="Q139" s="93" t="str">
        <f>VLOOKUP(E139,DATABASE!C:Q,4,false)</f>
        <v>Balancing</v>
      </c>
      <c r="R139" s="93" t="str">
        <f>VLOOKUP(E139,DATABASE!C:Q,11,false)</f>
        <v>COMPLEMENTARY</v>
      </c>
    </row>
    <row r="140" ht="22.5" customHeight="1">
      <c r="A140" s="49"/>
      <c r="C140" s="384">
        <v>45665.0</v>
      </c>
      <c r="D140" s="93">
        <v>3874.0</v>
      </c>
      <c r="E140" s="385" t="s">
        <v>301</v>
      </c>
      <c r="F140" s="386">
        <v>1.0</v>
      </c>
      <c r="G140" s="74">
        <v>250000.0</v>
      </c>
      <c r="H140" s="74">
        <v>0.0</v>
      </c>
      <c r="I140" s="74">
        <f t="shared" si="1"/>
        <v>250000</v>
      </c>
      <c r="J140" s="74">
        <f>IF(E140="SERVICE",I140-(I140*50%),Vlookup(E140,DATABASE!C:Q,10,false)*F140)</f>
        <v>75000</v>
      </c>
      <c r="K140" s="74">
        <f>VLOOKUP(E140,DATABASE!C:Q,7,false)</f>
        <v>75000</v>
      </c>
      <c r="L140" s="74">
        <v>75000.0</v>
      </c>
      <c r="M140" s="74">
        <f t="shared" si="2"/>
        <v>75000</v>
      </c>
      <c r="N140" s="74">
        <f t="shared" si="3"/>
        <v>100000</v>
      </c>
      <c r="O140" s="65" t="str">
        <f>VLOOKUP(E140,DATABASE!C:Q,8,false)</f>
        <v>BIAN</v>
      </c>
      <c r="P140" s="65">
        <f>VLOOKUP(E140,DATABASE!C:Q,9,False)</f>
        <v>0</v>
      </c>
      <c r="Q140" s="93" t="str">
        <f>VLOOKUP(E140,DATABASE!C:Q,4,false)</f>
        <v>Baut Camber</v>
      </c>
      <c r="R140" s="93" t="str">
        <f>VLOOKUP(E140,DATABASE!C:Q,11,false)</f>
        <v>COMPLEMENTARY</v>
      </c>
    </row>
    <row r="141" ht="22.5" customHeight="1">
      <c r="A141" s="49"/>
      <c r="C141" s="384">
        <v>45665.0</v>
      </c>
      <c r="D141" s="93">
        <v>3875.0</v>
      </c>
      <c r="E141" s="385" t="s">
        <v>265</v>
      </c>
      <c r="F141" s="386">
        <v>2.0</v>
      </c>
      <c r="G141" s="74">
        <v>650000.0</v>
      </c>
      <c r="H141" s="74">
        <v>0.0</v>
      </c>
      <c r="I141" s="74">
        <f t="shared" si="1"/>
        <v>1300000</v>
      </c>
      <c r="J141" s="74">
        <f>IF(E141="SERVICE",I141-(I141*50%),Vlookup(E141,DATABASE!C:Q,10,false)*F141)</f>
        <v>0</v>
      </c>
      <c r="K141" s="74">
        <v>590000.0</v>
      </c>
      <c r="L141" s="74">
        <v>590000.0</v>
      </c>
      <c r="M141" s="74">
        <f t="shared" si="2"/>
        <v>590000</v>
      </c>
      <c r="N141" s="74">
        <f t="shared" si="3"/>
        <v>120000</v>
      </c>
      <c r="O141" s="65" t="str">
        <f>VLOOKUP(E141,DATABASE!C:Q,8,false)</f>
        <v>IBU</v>
      </c>
      <c r="P141" s="65">
        <f>VLOOKUP(E141,DATABASE!C:Q,9,False)</f>
        <v>1</v>
      </c>
      <c r="Q141" s="93" t="str">
        <f>VLOOKUP(E141,DATABASE!C:Q,4,false)</f>
        <v>Dunlop</v>
      </c>
      <c r="R141" s="93" t="str">
        <f>VLOOKUP(E141,DATABASE!C:Q,11,false)</f>
        <v>Tire</v>
      </c>
    </row>
    <row r="142" ht="22.5" customHeight="1">
      <c r="A142" s="49"/>
      <c r="C142" s="384">
        <v>45665.0</v>
      </c>
      <c r="D142" s="93">
        <v>3876.0</v>
      </c>
      <c r="E142" s="385" t="s">
        <v>256</v>
      </c>
      <c r="F142" s="386">
        <v>1.0</v>
      </c>
      <c r="G142" s="74">
        <v>130000.0</v>
      </c>
      <c r="H142" s="74">
        <v>0.0</v>
      </c>
      <c r="I142" s="74">
        <f t="shared" si="1"/>
        <v>130000</v>
      </c>
      <c r="J142" s="74">
        <f>IF(E142="SERVICE",I142-(I142*50%),Vlookup(E142,DATABASE!C:Q,10,false)*F142)</f>
        <v>10000</v>
      </c>
      <c r="K142" s="74">
        <f>VLOOKUP(E142,DATABASE!C:Q,7,false)</f>
        <v>0</v>
      </c>
      <c r="L142" s="74">
        <v>0.0</v>
      </c>
      <c r="M142" s="74">
        <f t="shared" si="2"/>
        <v>0</v>
      </c>
      <c r="N142" s="74">
        <f t="shared" si="3"/>
        <v>120000</v>
      </c>
      <c r="O142" s="65" t="str">
        <f>VLOOKUP(E142,DATABASE!C:Q,8,false)</f>
        <v>IBU</v>
      </c>
      <c r="P142" s="65">
        <f>VLOOKUP(E142,DATABASE!C:Q,9,False)</f>
        <v>0</v>
      </c>
      <c r="Q142" s="93" t="str">
        <f>VLOOKUP(E142,DATABASE!C:Q,4,false)</f>
        <v>SPOORING</v>
      </c>
      <c r="R142" s="93" t="str">
        <f>VLOOKUP(E142,DATABASE!C:Q,11,false)</f>
        <v>SERVICE</v>
      </c>
    </row>
    <row r="143" ht="22.5" customHeight="1">
      <c r="A143" s="49"/>
      <c r="C143" s="384">
        <v>45665.0</v>
      </c>
      <c r="D143" s="93">
        <v>3876.0</v>
      </c>
      <c r="E143" s="385" t="s">
        <v>299</v>
      </c>
      <c r="F143" s="386">
        <v>2.0</v>
      </c>
      <c r="G143" s="74">
        <v>30000.0</v>
      </c>
      <c r="H143" s="74">
        <v>0.0</v>
      </c>
      <c r="I143" s="74">
        <f t="shared" si="1"/>
        <v>60000</v>
      </c>
      <c r="J143" s="74">
        <f>IF(E143="SERVICE",I143-(I143*50%),Vlookup(E143,DATABASE!C:Q,10,false)*F143)</f>
        <v>0</v>
      </c>
      <c r="K143" s="74">
        <v>0.0</v>
      </c>
      <c r="L143" s="74">
        <v>0.0</v>
      </c>
      <c r="M143" s="74">
        <f t="shared" si="2"/>
        <v>0</v>
      </c>
      <c r="N143" s="74">
        <f t="shared" si="3"/>
        <v>60000</v>
      </c>
      <c r="O143" s="65" t="str">
        <f>VLOOKUP(E143,DATABASE!C:Q,8,false)</f>
        <v>BIAN</v>
      </c>
      <c r="P143" s="65">
        <f>VLOOKUP(E143,DATABASE!C:Q,9,False)</f>
        <v>0</v>
      </c>
      <c r="Q143" s="93" t="str">
        <f>VLOOKUP(E143,DATABASE!C:Q,4,false)</f>
        <v>Balancing</v>
      </c>
      <c r="R143" s="93" t="str">
        <f>VLOOKUP(E143,DATABASE!C:Q,11,false)</f>
        <v>COMPLEMENTARY</v>
      </c>
    </row>
    <row r="144" ht="22.5" customHeight="1">
      <c r="A144" s="49"/>
      <c r="C144" s="384">
        <v>45665.0</v>
      </c>
      <c r="D144" s="93">
        <v>3877.0</v>
      </c>
      <c r="E144" s="385" t="s">
        <v>256</v>
      </c>
      <c r="F144" s="386">
        <v>1.0</v>
      </c>
      <c r="G144" s="74">
        <v>130000.0</v>
      </c>
      <c r="H144" s="74">
        <v>0.0</v>
      </c>
      <c r="I144" s="74">
        <f t="shared" si="1"/>
        <v>130000</v>
      </c>
      <c r="J144" s="74">
        <f>IF(E144="SERVICE",I144-(I144*50%),Vlookup(E144,DATABASE!C:Q,10,false)*F144)</f>
        <v>10000</v>
      </c>
      <c r="K144" s="74">
        <f>VLOOKUP(E144,DATABASE!C:Q,7,false)</f>
        <v>0</v>
      </c>
      <c r="L144" s="74">
        <v>0.0</v>
      </c>
      <c r="M144" s="74">
        <f t="shared" si="2"/>
        <v>0</v>
      </c>
      <c r="N144" s="74">
        <f t="shared" si="3"/>
        <v>120000</v>
      </c>
      <c r="O144" s="65" t="str">
        <f>VLOOKUP(E144,DATABASE!C:Q,8,false)</f>
        <v>IBU</v>
      </c>
      <c r="P144" s="65">
        <f>VLOOKUP(E144,DATABASE!C:Q,9,False)</f>
        <v>0</v>
      </c>
      <c r="Q144" s="93" t="str">
        <f>VLOOKUP(E144,DATABASE!C:Q,4,false)</f>
        <v>SPOORING</v>
      </c>
      <c r="R144" s="93" t="str">
        <f>VLOOKUP(E144,DATABASE!C:Q,11,false)</f>
        <v>SERVICE</v>
      </c>
    </row>
    <row r="145" ht="22.5" customHeight="1">
      <c r="A145" s="49"/>
      <c r="C145" s="384">
        <v>45665.0</v>
      </c>
      <c r="D145" s="93">
        <v>3877.0</v>
      </c>
      <c r="E145" s="385" t="s">
        <v>299</v>
      </c>
      <c r="F145" s="386">
        <v>3.0</v>
      </c>
      <c r="G145" s="74">
        <v>30000.0</v>
      </c>
      <c r="H145" s="74">
        <v>0.0</v>
      </c>
      <c r="I145" s="74">
        <f t="shared" si="1"/>
        <v>90000</v>
      </c>
      <c r="J145" s="74">
        <f>IF(E145="SERVICE",I145-(I145*50%),Vlookup(E145,DATABASE!C:Q,10,false)*F145)</f>
        <v>0</v>
      </c>
      <c r="K145" s="74">
        <v>0.0</v>
      </c>
      <c r="L145" s="74">
        <v>0.0</v>
      </c>
      <c r="M145" s="74">
        <f t="shared" si="2"/>
        <v>0</v>
      </c>
      <c r="N145" s="74">
        <f t="shared" si="3"/>
        <v>90000</v>
      </c>
      <c r="O145" s="65" t="str">
        <f>VLOOKUP(E145,DATABASE!C:Q,8,false)</f>
        <v>BIAN</v>
      </c>
      <c r="P145" s="65">
        <f>VLOOKUP(E145,DATABASE!C:Q,9,False)</f>
        <v>0</v>
      </c>
      <c r="Q145" s="93" t="str">
        <f>VLOOKUP(E145,DATABASE!C:Q,4,false)</f>
        <v>Balancing</v>
      </c>
      <c r="R145" s="93" t="str">
        <f>VLOOKUP(E145,DATABASE!C:Q,11,false)</f>
        <v>COMPLEMENTARY</v>
      </c>
    </row>
    <row r="146" ht="22.5" customHeight="1">
      <c r="A146" s="49"/>
      <c r="C146" s="384">
        <v>45665.0</v>
      </c>
      <c r="D146" s="93">
        <v>3878.0</v>
      </c>
      <c r="E146" s="385" t="s">
        <v>271</v>
      </c>
      <c r="F146" s="386">
        <v>2.0</v>
      </c>
      <c r="G146" s="74">
        <v>620000.0</v>
      </c>
      <c r="H146" s="74">
        <v>0.0</v>
      </c>
      <c r="I146" s="74">
        <f t="shared" si="1"/>
        <v>1240000</v>
      </c>
      <c r="J146" s="74">
        <f>IF(E146="SERVICE",I146-(I146*50%),Vlookup(E146,DATABASE!C:Q,10,false)*F146)</f>
        <v>0</v>
      </c>
      <c r="K146" s="74">
        <f>VLOOKUP(E146,DATABASE!C:Q,7,false)</f>
        <v>570000</v>
      </c>
      <c r="L146" s="74">
        <v>539000.0</v>
      </c>
      <c r="M146" s="74">
        <f t="shared" si="2"/>
        <v>540000</v>
      </c>
      <c r="N146" s="74">
        <f t="shared" si="3"/>
        <v>160000</v>
      </c>
      <c r="O146" s="65" t="str">
        <f>VLOOKUP(E146,DATABASE!C:Q,8,false)</f>
        <v>IBU</v>
      </c>
      <c r="P146" s="65">
        <f>VLOOKUP(E146,DATABASE!C:Q,9,False)</f>
        <v>1</v>
      </c>
      <c r="Q146" s="93" t="str">
        <f>VLOOKUP(E146,DATABASE!C:Q,4,false)</f>
        <v>Dunlop</v>
      </c>
      <c r="R146" s="93" t="str">
        <f>VLOOKUP(E146,DATABASE!C:Q,11,false)</f>
        <v>Tire</v>
      </c>
    </row>
    <row r="147" ht="22.5" customHeight="1">
      <c r="A147" s="49"/>
      <c r="C147" s="384">
        <v>45665.0</v>
      </c>
      <c r="D147" s="93">
        <v>3879.0</v>
      </c>
      <c r="E147" s="385" t="s">
        <v>275</v>
      </c>
      <c r="F147" s="386">
        <v>2.0</v>
      </c>
      <c r="G147" s="74">
        <v>830000.0</v>
      </c>
      <c r="H147" s="74">
        <v>0.0</v>
      </c>
      <c r="I147" s="74">
        <f t="shared" si="1"/>
        <v>1660000</v>
      </c>
      <c r="J147" s="74">
        <f>IF(E147="SERVICE",I147-(I147*50%),Vlookup(E147,DATABASE!C:Q,10,false)*F147)</f>
        <v>0</v>
      </c>
      <c r="K147" s="74">
        <v>735000.0</v>
      </c>
      <c r="L147" s="74">
        <v>735000.0</v>
      </c>
      <c r="M147" s="74">
        <f t="shared" si="2"/>
        <v>735000</v>
      </c>
      <c r="N147" s="74">
        <f t="shared" si="3"/>
        <v>190000</v>
      </c>
      <c r="O147" s="65" t="str">
        <f>VLOOKUP(E147,DATABASE!C:Q,8,false)</f>
        <v>IBU</v>
      </c>
      <c r="P147" s="65">
        <f>VLOOKUP(E147,DATABASE!C:Q,9,False)</f>
        <v>1</v>
      </c>
      <c r="Q147" s="93" t="str">
        <f>VLOOKUP(E147,DATABASE!C:Q,4,false)</f>
        <v>Dunlop</v>
      </c>
      <c r="R147" s="93" t="str">
        <f>VLOOKUP(E147,DATABASE!C:Q,11,false)</f>
        <v>Tire</v>
      </c>
    </row>
    <row r="148" ht="22.5" customHeight="1">
      <c r="A148" s="49"/>
      <c r="C148" s="384">
        <v>45665.0</v>
      </c>
      <c r="D148" s="93">
        <v>3881.0</v>
      </c>
      <c r="E148" s="385" t="s">
        <v>256</v>
      </c>
      <c r="F148" s="386">
        <v>1.0</v>
      </c>
      <c r="G148" s="74">
        <v>130000.0</v>
      </c>
      <c r="H148" s="74">
        <v>0.0</v>
      </c>
      <c r="I148" s="74">
        <f t="shared" si="1"/>
        <v>130000</v>
      </c>
      <c r="J148" s="74">
        <f>IF(E148="SERVICE",I148-(I148*50%),Vlookup(E148,DATABASE!C:Q,10,false)*F148)</f>
        <v>10000</v>
      </c>
      <c r="K148" s="74">
        <f>VLOOKUP(E148,DATABASE!C:Q,7,false)</f>
        <v>0</v>
      </c>
      <c r="L148" s="74">
        <v>0.0</v>
      </c>
      <c r="M148" s="74">
        <f t="shared" si="2"/>
        <v>0</v>
      </c>
      <c r="N148" s="74">
        <f t="shared" si="3"/>
        <v>120000</v>
      </c>
      <c r="O148" s="65" t="str">
        <f>VLOOKUP(E148,DATABASE!C:Q,8,false)</f>
        <v>IBU</v>
      </c>
      <c r="P148" s="65">
        <f>VLOOKUP(E148,DATABASE!C:Q,9,False)</f>
        <v>0</v>
      </c>
      <c r="Q148" s="93" t="str">
        <f>VLOOKUP(E148,DATABASE!C:Q,4,false)</f>
        <v>SPOORING</v>
      </c>
      <c r="R148" s="93" t="str">
        <f>VLOOKUP(E148,DATABASE!C:Q,11,false)</f>
        <v>SERVICE</v>
      </c>
    </row>
    <row r="149" ht="22.5" customHeight="1">
      <c r="A149" s="49"/>
      <c r="C149" s="384">
        <v>45665.0</v>
      </c>
      <c r="D149" s="93">
        <v>3881.0</v>
      </c>
      <c r="E149" s="385" t="s">
        <v>299</v>
      </c>
      <c r="F149" s="386">
        <v>2.0</v>
      </c>
      <c r="G149" s="74">
        <v>30000.0</v>
      </c>
      <c r="H149" s="74">
        <v>0.0</v>
      </c>
      <c r="I149" s="74">
        <f t="shared" si="1"/>
        <v>60000</v>
      </c>
      <c r="J149" s="74">
        <f>IF(E149="SERVICE",I149-(I149*50%),Vlookup(E149,DATABASE!C:Q,10,false)*F149)</f>
        <v>0</v>
      </c>
      <c r="K149" s="74">
        <v>0.0</v>
      </c>
      <c r="L149" s="74">
        <v>0.0</v>
      </c>
      <c r="M149" s="74">
        <f t="shared" si="2"/>
        <v>0</v>
      </c>
      <c r="N149" s="74">
        <f t="shared" si="3"/>
        <v>60000</v>
      </c>
      <c r="O149" s="65" t="str">
        <f>VLOOKUP(E149,DATABASE!C:Q,8,false)</f>
        <v>BIAN</v>
      </c>
      <c r="P149" s="65">
        <f>VLOOKUP(E149,DATABASE!C:Q,9,False)</f>
        <v>0</v>
      </c>
      <c r="Q149" s="93" t="str">
        <f>VLOOKUP(E149,DATABASE!C:Q,4,false)</f>
        <v>Balancing</v>
      </c>
      <c r="R149" s="93" t="str">
        <f>VLOOKUP(E149,DATABASE!C:Q,11,false)</f>
        <v>COMPLEMENTARY</v>
      </c>
    </row>
    <row r="150" ht="22.5" customHeight="1">
      <c r="A150" s="49"/>
      <c r="C150" s="384">
        <v>45665.0</v>
      </c>
      <c r="D150" s="93">
        <v>3881.0</v>
      </c>
      <c r="E150" s="385" t="s">
        <v>301</v>
      </c>
      <c r="F150" s="386">
        <v>1.0</v>
      </c>
      <c r="G150" s="74">
        <v>250000.0</v>
      </c>
      <c r="H150" s="74">
        <v>0.0</v>
      </c>
      <c r="I150" s="74">
        <f t="shared" si="1"/>
        <v>250000</v>
      </c>
      <c r="J150" s="74">
        <f>IF(E150="SERVICE",I150-(I150*50%),Vlookup(E150,DATABASE!C:Q,10,false)*F150)</f>
        <v>75000</v>
      </c>
      <c r="K150" s="74">
        <f>VLOOKUP(E150,DATABASE!C:Q,7,false)</f>
        <v>75000</v>
      </c>
      <c r="L150" s="74">
        <v>75000.0</v>
      </c>
      <c r="M150" s="74">
        <f t="shared" si="2"/>
        <v>75000</v>
      </c>
      <c r="N150" s="74">
        <f t="shared" si="3"/>
        <v>100000</v>
      </c>
      <c r="O150" s="65" t="str">
        <f>VLOOKUP(E150,DATABASE!C:Q,8,false)</f>
        <v>BIAN</v>
      </c>
      <c r="P150" s="65">
        <f>VLOOKUP(E150,DATABASE!C:Q,9,False)</f>
        <v>0</v>
      </c>
      <c r="Q150" s="93" t="str">
        <f>VLOOKUP(E150,DATABASE!C:Q,4,false)</f>
        <v>Baut Camber</v>
      </c>
      <c r="R150" s="93" t="str">
        <f>VLOOKUP(E150,DATABASE!C:Q,11,false)</f>
        <v>COMPLEMENTARY</v>
      </c>
    </row>
    <row r="151" ht="22.5" customHeight="1">
      <c r="A151" s="49"/>
      <c r="C151" s="384">
        <v>45665.0</v>
      </c>
      <c r="D151" s="93">
        <v>3884.0</v>
      </c>
      <c r="E151" s="385" t="s">
        <v>262</v>
      </c>
      <c r="F151" s="386">
        <v>1.0</v>
      </c>
      <c r="G151" s="74">
        <v>110000.0</v>
      </c>
      <c r="H151" s="74">
        <v>0.0</v>
      </c>
      <c r="I151" s="74">
        <f t="shared" si="1"/>
        <v>110000</v>
      </c>
      <c r="J151" s="74">
        <f>IF(E151="SERVICE",I151-(I151*50%),Vlookup(E151,DATABASE!C:Q,10,false)*F151)</f>
        <v>5000</v>
      </c>
      <c r="K151" s="74">
        <f>VLOOKUP(E151,DATABASE!C:Q,7,false)</f>
        <v>0</v>
      </c>
      <c r="L151" s="74">
        <v>0.0</v>
      </c>
      <c r="M151" s="74">
        <f t="shared" si="2"/>
        <v>0</v>
      </c>
      <c r="N151" s="74">
        <f t="shared" si="3"/>
        <v>105000</v>
      </c>
      <c r="O151" s="65" t="str">
        <f>VLOOKUP(E151,DATABASE!C:Q,8,false)</f>
        <v>IBU</v>
      </c>
      <c r="P151" s="65">
        <f>VLOOKUP(E151,DATABASE!C:Q,9,False)</f>
        <v>0</v>
      </c>
      <c r="Q151" s="93" t="str">
        <f>VLOOKUP(E151,DATABASE!C:Q,4,false)</f>
        <v>SPOORING SS/CARRY LOS BAK</v>
      </c>
      <c r="R151" s="93" t="str">
        <f>VLOOKUP(E151,DATABASE!C:Q,11,false)</f>
        <v>SERVICE</v>
      </c>
    </row>
    <row r="152" ht="22.5" customHeight="1">
      <c r="A152" s="49"/>
      <c r="C152" s="384">
        <v>45665.0</v>
      </c>
      <c r="D152" s="93">
        <v>3884.0</v>
      </c>
      <c r="E152" s="385" t="s">
        <v>251</v>
      </c>
      <c r="F152" s="386">
        <v>1.0</v>
      </c>
      <c r="G152" s="74">
        <v>90000.0</v>
      </c>
      <c r="H152" s="74">
        <v>0.0</v>
      </c>
      <c r="I152" s="74">
        <f t="shared" si="1"/>
        <v>90000</v>
      </c>
      <c r="J152" s="74">
        <f>IF(E152="SERVICE",I152-(I152*50%),Vlookup(E152,DATABASE!C:Q,10,false)*F152)</f>
        <v>45000</v>
      </c>
      <c r="K152" s="74">
        <f>VLOOKUP(E152,DATABASE!C:Q,7,false)</f>
        <v>0</v>
      </c>
      <c r="L152" s="74">
        <v>0.0</v>
      </c>
      <c r="M152" s="74">
        <f t="shared" si="2"/>
        <v>0</v>
      </c>
      <c r="N152" s="74">
        <f t="shared" si="3"/>
        <v>45000</v>
      </c>
      <c r="O152" s="65" t="str">
        <f>VLOOKUP(E152,DATABASE!C:Q,8,false)</f>
        <v>IBU</v>
      </c>
      <c r="P152" s="65">
        <f>VLOOKUP(E152,DATABASE!C:Q,9,False)</f>
        <v>0</v>
      </c>
      <c r="Q152" s="93" t="str">
        <f>VLOOKUP(E152,DATABASE!C:Q,4,false)</f>
        <v>SERVICE</v>
      </c>
      <c r="R152" s="93" t="str">
        <f>VLOOKUP(E152,DATABASE!C:Q,11,false)</f>
        <v>SERVICE</v>
      </c>
    </row>
    <row r="153" ht="22.5" customHeight="1">
      <c r="A153" s="49"/>
      <c r="C153" s="384">
        <v>45666.0</v>
      </c>
      <c r="D153" s="93">
        <v>3887.0</v>
      </c>
      <c r="E153" s="385" t="s">
        <v>256</v>
      </c>
      <c r="F153" s="386">
        <v>1.0</v>
      </c>
      <c r="G153" s="74">
        <v>130000.0</v>
      </c>
      <c r="H153" s="74">
        <v>0.0</v>
      </c>
      <c r="I153" s="74">
        <f t="shared" si="1"/>
        <v>130000</v>
      </c>
      <c r="J153" s="74">
        <f>IF(E153="SERVICE",I153-(I153*50%),Vlookup(E153,DATABASE!C:Q,10,false)*F153)</f>
        <v>10000</v>
      </c>
      <c r="K153" s="74">
        <f>VLOOKUP(E153,DATABASE!C:Q,7,false)</f>
        <v>0</v>
      </c>
      <c r="L153" s="74">
        <v>0.0</v>
      </c>
      <c r="M153" s="74">
        <f t="shared" si="2"/>
        <v>0</v>
      </c>
      <c r="N153" s="74">
        <f t="shared" si="3"/>
        <v>120000</v>
      </c>
      <c r="O153" s="65" t="str">
        <f>VLOOKUP(E153,DATABASE!C:Q,8,false)</f>
        <v>IBU</v>
      </c>
      <c r="P153" s="65">
        <f>VLOOKUP(E153,DATABASE!C:Q,9,False)</f>
        <v>0</v>
      </c>
      <c r="Q153" s="93" t="str">
        <f>VLOOKUP(E153,DATABASE!C:Q,4,false)</f>
        <v>SPOORING</v>
      </c>
      <c r="R153" s="93" t="str">
        <f>VLOOKUP(E153,DATABASE!C:Q,11,false)</f>
        <v>SERVICE</v>
      </c>
    </row>
    <row r="154" ht="22.5" customHeight="1">
      <c r="A154" s="49"/>
      <c r="C154" s="384">
        <v>45666.0</v>
      </c>
      <c r="D154" s="93">
        <v>3887.0</v>
      </c>
      <c r="E154" s="385" t="s">
        <v>268</v>
      </c>
      <c r="F154" s="386">
        <v>1.0</v>
      </c>
      <c r="G154" s="74">
        <v>700000.0</v>
      </c>
      <c r="H154" s="74">
        <v>0.0</v>
      </c>
      <c r="I154" s="74">
        <f t="shared" si="1"/>
        <v>700000</v>
      </c>
      <c r="J154" s="74">
        <f>IF(E154="SERVICE",I154-(I154*50%),Vlookup(E154,DATABASE!C:Q,10,false)*F154)</f>
        <v>0</v>
      </c>
      <c r="K154" s="74">
        <v>613000.0</v>
      </c>
      <c r="L154" s="74">
        <v>613000.0</v>
      </c>
      <c r="M154" s="74">
        <f t="shared" si="2"/>
        <v>615000</v>
      </c>
      <c r="N154" s="74">
        <f t="shared" si="3"/>
        <v>85000</v>
      </c>
      <c r="O154" s="65" t="str">
        <f>VLOOKUP(E154,DATABASE!C:Q,8,false)</f>
        <v>IBU</v>
      </c>
      <c r="P154" s="65">
        <f>VLOOKUP(E154,DATABASE!C:Q,9,False)</f>
        <v>1</v>
      </c>
      <c r="Q154" s="93" t="str">
        <f>VLOOKUP(E154,DATABASE!C:Q,4,false)</f>
        <v>Dunlop</v>
      </c>
      <c r="R154" s="93" t="str">
        <f>VLOOKUP(E154,DATABASE!C:Q,11,false)</f>
        <v>Tire</v>
      </c>
    </row>
    <row r="155" ht="22.5" customHeight="1">
      <c r="A155" s="49"/>
      <c r="C155" s="384">
        <v>45666.0</v>
      </c>
      <c r="D155" s="93">
        <v>3888.0</v>
      </c>
      <c r="E155" s="385" t="s">
        <v>2050</v>
      </c>
      <c r="F155" s="386">
        <v>4.0</v>
      </c>
      <c r="G155" s="74">
        <v>585000.0</v>
      </c>
      <c r="H155" s="74">
        <v>0.0</v>
      </c>
      <c r="I155" s="74">
        <f t="shared" si="1"/>
        <v>2340000</v>
      </c>
      <c r="J155" s="74">
        <f>IF(E155="SERVICE",I155-(I155*50%),Vlookup(E155,DATABASE!C:Q,10,false)*F155)</f>
        <v>0</v>
      </c>
      <c r="K155" s="74">
        <f>VLOOKUP(E155,DATABASE!C:Q,7,false)</f>
        <v>506000</v>
      </c>
      <c r="L155" s="74">
        <v>506000.0</v>
      </c>
      <c r="M155" s="74">
        <f t="shared" si="2"/>
        <v>510000</v>
      </c>
      <c r="N155" s="74">
        <f t="shared" si="3"/>
        <v>300000</v>
      </c>
      <c r="O155" s="65" t="str">
        <f>VLOOKUP(E155,DATABASE!C:Q,8,false)</f>
        <v>BIAN</v>
      </c>
      <c r="P155" s="65">
        <f>VLOOKUP(E155,DATABASE!C:Q,9,False)</f>
        <v>1</v>
      </c>
      <c r="Q155" s="93" t="str">
        <f>VLOOKUP(E155,DATABASE!C:Q,4,false)</f>
        <v>HANKOOK</v>
      </c>
      <c r="R155" s="93" t="str">
        <f>VLOOKUP(E155,DATABASE!C:Q,11,false)</f>
        <v>Tire</v>
      </c>
    </row>
    <row r="156" ht="22.5" customHeight="1">
      <c r="A156" s="49"/>
      <c r="C156" s="384">
        <v>45666.0</v>
      </c>
      <c r="D156" s="93">
        <v>3889.0</v>
      </c>
      <c r="E156" s="385" t="s">
        <v>301</v>
      </c>
      <c r="F156" s="386">
        <v>1.0</v>
      </c>
      <c r="G156" s="74">
        <v>250000.0</v>
      </c>
      <c r="H156" s="74">
        <v>0.0</v>
      </c>
      <c r="I156" s="74">
        <f t="shared" si="1"/>
        <v>250000</v>
      </c>
      <c r="J156" s="74">
        <f>IF(E156="SERVICE",I156-(I156*50%),Vlookup(E156,DATABASE!C:Q,10,false)*F156)</f>
        <v>75000</v>
      </c>
      <c r="K156" s="74">
        <f>VLOOKUP(E156,DATABASE!C:Q,7,false)</f>
        <v>75000</v>
      </c>
      <c r="L156" s="74">
        <v>75000.0</v>
      </c>
      <c r="M156" s="74">
        <f t="shared" si="2"/>
        <v>75000</v>
      </c>
      <c r="N156" s="74">
        <f t="shared" si="3"/>
        <v>100000</v>
      </c>
      <c r="O156" s="65" t="str">
        <f>VLOOKUP(E156,DATABASE!C:Q,8,false)</f>
        <v>BIAN</v>
      </c>
      <c r="P156" s="65">
        <f>VLOOKUP(E156,DATABASE!C:Q,9,False)</f>
        <v>0</v>
      </c>
      <c r="Q156" s="93" t="str">
        <f>VLOOKUP(E156,DATABASE!C:Q,4,false)</f>
        <v>Baut Camber</v>
      </c>
      <c r="R156" s="93" t="str">
        <f>VLOOKUP(E156,DATABASE!C:Q,11,false)</f>
        <v>COMPLEMENTARY</v>
      </c>
    </row>
    <row r="157" ht="22.5" customHeight="1">
      <c r="A157" s="49"/>
      <c r="C157" s="384">
        <v>45666.0</v>
      </c>
      <c r="D157" s="93">
        <v>3890.0</v>
      </c>
      <c r="E157" s="385" t="s">
        <v>275</v>
      </c>
      <c r="F157" s="386">
        <v>1.0</v>
      </c>
      <c r="G157" s="74">
        <v>830000.0</v>
      </c>
      <c r="H157" s="74">
        <v>0.0</v>
      </c>
      <c r="I157" s="74">
        <f t="shared" si="1"/>
        <v>830000</v>
      </c>
      <c r="J157" s="74">
        <f>IF(E157="SERVICE",I157-(I157*50%),Vlookup(E157,DATABASE!C:Q,10,false)*F157)</f>
        <v>0</v>
      </c>
      <c r="K157" s="74">
        <v>735000.0</v>
      </c>
      <c r="L157" s="74">
        <v>735000.0</v>
      </c>
      <c r="M157" s="74">
        <f t="shared" si="2"/>
        <v>735000</v>
      </c>
      <c r="N157" s="74">
        <f t="shared" si="3"/>
        <v>95000</v>
      </c>
      <c r="O157" s="65" t="str">
        <f>VLOOKUP(E157,DATABASE!C:Q,8,false)</f>
        <v>IBU</v>
      </c>
      <c r="P157" s="65">
        <f>VLOOKUP(E157,DATABASE!C:Q,9,False)</f>
        <v>1</v>
      </c>
      <c r="Q157" s="93" t="str">
        <f>VLOOKUP(E157,DATABASE!C:Q,4,false)</f>
        <v>Dunlop</v>
      </c>
      <c r="R157" s="93" t="str">
        <f>VLOOKUP(E157,DATABASE!C:Q,11,false)</f>
        <v>Tire</v>
      </c>
    </row>
    <row r="158" ht="22.5" customHeight="1">
      <c r="A158" s="49"/>
      <c r="C158" s="384">
        <v>45666.0</v>
      </c>
      <c r="D158" s="93">
        <v>3892.0</v>
      </c>
      <c r="E158" s="385" t="s">
        <v>265</v>
      </c>
      <c r="F158" s="386">
        <v>1.0</v>
      </c>
      <c r="G158" s="74">
        <v>660000.0</v>
      </c>
      <c r="H158" s="74">
        <v>0.0</v>
      </c>
      <c r="I158" s="74">
        <f t="shared" si="1"/>
        <v>660000</v>
      </c>
      <c r="J158" s="74">
        <f>IF(E158="SERVICE",I158-(I158*50%),Vlookup(E158,DATABASE!C:Q,10,false)*F158)</f>
        <v>0</v>
      </c>
      <c r="K158" s="74">
        <v>590000.0</v>
      </c>
      <c r="L158" s="74">
        <v>590000.0</v>
      </c>
      <c r="M158" s="74">
        <f t="shared" si="2"/>
        <v>590000</v>
      </c>
      <c r="N158" s="74">
        <f t="shared" si="3"/>
        <v>70000</v>
      </c>
      <c r="O158" s="65" t="str">
        <f>VLOOKUP(E158,DATABASE!C:Q,8,false)</f>
        <v>IBU</v>
      </c>
      <c r="P158" s="65">
        <f>VLOOKUP(E158,DATABASE!C:Q,9,False)</f>
        <v>1</v>
      </c>
      <c r="Q158" s="93" t="str">
        <f>VLOOKUP(E158,DATABASE!C:Q,4,false)</f>
        <v>Dunlop</v>
      </c>
      <c r="R158" s="93" t="str">
        <f>VLOOKUP(E158,DATABASE!C:Q,11,false)</f>
        <v>Tire</v>
      </c>
    </row>
    <row r="159" ht="22.5" customHeight="1">
      <c r="A159" s="49"/>
      <c r="C159" s="384">
        <v>45666.0</v>
      </c>
      <c r="D159" s="93">
        <v>3892.0</v>
      </c>
      <c r="E159" s="385" t="s">
        <v>262</v>
      </c>
      <c r="F159" s="386">
        <v>1.0</v>
      </c>
      <c r="G159" s="74">
        <v>110000.0</v>
      </c>
      <c r="H159" s="74">
        <v>0.0</v>
      </c>
      <c r="I159" s="74">
        <f t="shared" si="1"/>
        <v>110000</v>
      </c>
      <c r="J159" s="74">
        <f>IF(E159="SERVICE",I159-(I159*50%),Vlookup(E159,DATABASE!C:Q,10,false)*F159)</f>
        <v>5000</v>
      </c>
      <c r="K159" s="74">
        <f>VLOOKUP(E159,DATABASE!C:Q,7,false)</f>
        <v>0</v>
      </c>
      <c r="L159" s="74">
        <v>0.0</v>
      </c>
      <c r="M159" s="74">
        <f t="shared" si="2"/>
        <v>0</v>
      </c>
      <c r="N159" s="74">
        <f t="shared" si="3"/>
        <v>105000</v>
      </c>
      <c r="O159" s="65" t="str">
        <f>VLOOKUP(E159,DATABASE!C:Q,8,false)</f>
        <v>IBU</v>
      </c>
      <c r="P159" s="65">
        <f>VLOOKUP(E159,DATABASE!C:Q,9,False)</f>
        <v>0</v>
      </c>
      <c r="Q159" s="93" t="str">
        <f>VLOOKUP(E159,DATABASE!C:Q,4,false)</f>
        <v>SPOORING SS/CARRY LOS BAK</v>
      </c>
      <c r="R159" s="93" t="str">
        <f>VLOOKUP(E159,DATABASE!C:Q,11,false)</f>
        <v>SERVICE</v>
      </c>
    </row>
    <row r="160" ht="22.5" customHeight="1">
      <c r="A160" s="49"/>
      <c r="C160" s="384">
        <v>45666.0</v>
      </c>
      <c r="D160" s="93">
        <v>3892.0</v>
      </c>
      <c r="E160" s="385" t="s">
        <v>478</v>
      </c>
      <c r="F160" s="386">
        <v>1.0</v>
      </c>
      <c r="G160" s="74">
        <v>200000.0</v>
      </c>
      <c r="H160" s="74">
        <v>0.0</v>
      </c>
      <c r="I160" s="74">
        <f t="shared" si="1"/>
        <v>200000</v>
      </c>
      <c r="J160" s="74">
        <f>IF(E160="SERVICE",I160-(I160*50%),Vlookup(E160,DATABASE!C:Q,10,false)*F160)</f>
        <v>25000</v>
      </c>
      <c r="K160" s="74">
        <f>VLOOKUP(E160,DATABASE!C:Q,7,false)</f>
        <v>75000</v>
      </c>
      <c r="L160" s="74">
        <v>75000.0</v>
      </c>
      <c r="M160" s="74">
        <f t="shared" si="2"/>
        <v>75000</v>
      </c>
      <c r="N160" s="74">
        <f t="shared" si="3"/>
        <v>100000</v>
      </c>
      <c r="O160" s="65" t="str">
        <f>VLOOKUP(E160,DATABASE!C:Q,8,false)</f>
        <v>BIAN</v>
      </c>
      <c r="P160" s="65">
        <f>VLOOKUP(E160,DATABASE!C:Q,9,False)</f>
        <v>0</v>
      </c>
      <c r="Q160" s="93" t="str">
        <f>VLOOKUP(E160,DATABASE!C:Q,4,false)</f>
        <v>Baut Camber ss-carry</v>
      </c>
      <c r="R160" s="93" t="str">
        <f>VLOOKUP(E160,DATABASE!C:Q,11,false)</f>
        <v>COMPLEMENTARY</v>
      </c>
    </row>
    <row r="161" ht="22.5" customHeight="1">
      <c r="A161" s="49"/>
      <c r="C161" s="384">
        <v>45666.0</v>
      </c>
      <c r="D161" s="93">
        <v>3893.0</v>
      </c>
      <c r="E161" s="385" t="s">
        <v>268</v>
      </c>
      <c r="F161" s="386">
        <v>2.0</v>
      </c>
      <c r="G161" s="74">
        <v>700000.0</v>
      </c>
      <c r="H161" s="74">
        <v>0.0</v>
      </c>
      <c r="I161" s="74">
        <f t="shared" si="1"/>
        <v>1400000</v>
      </c>
      <c r="J161" s="74">
        <f>IF(E161="SERVICE",I161-(I161*50%),Vlookup(E161,DATABASE!C:Q,10,false)*F161)</f>
        <v>0</v>
      </c>
      <c r="K161" s="74">
        <v>613000.0</v>
      </c>
      <c r="L161" s="74">
        <v>613000.0</v>
      </c>
      <c r="M161" s="74">
        <f t="shared" si="2"/>
        <v>615000</v>
      </c>
      <c r="N161" s="74">
        <f t="shared" si="3"/>
        <v>170000</v>
      </c>
      <c r="O161" s="65" t="str">
        <f>VLOOKUP(E161,DATABASE!C:Q,8,false)</f>
        <v>IBU</v>
      </c>
      <c r="P161" s="65">
        <f>VLOOKUP(E161,DATABASE!C:Q,9,False)</f>
        <v>1</v>
      </c>
      <c r="Q161" s="93" t="str">
        <f>VLOOKUP(E161,DATABASE!C:Q,4,false)</f>
        <v>Dunlop</v>
      </c>
      <c r="R161" s="93" t="str">
        <f>VLOOKUP(E161,DATABASE!C:Q,11,false)</f>
        <v>Tire</v>
      </c>
    </row>
    <row r="162" ht="22.5" customHeight="1">
      <c r="A162" s="49"/>
      <c r="C162" s="384">
        <v>45666.0</v>
      </c>
      <c r="D162" s="93">
        <v>3894.0</v>
      </c>
      <c r="E162" s="385" t="s">
        <v>256</v>
      </c>
      <c r="F162" s="386">
        <v>1.0</v>
      </c>
      <c r="G162" s="74">
        <v>130000.0</v>
      </c>
      <c r="H162" s="74">
        <v>0.0</v>
      </c>
      <c r="I162" s="74">
        <f t="shared" si="1"/>
        <v>130000</v>
      </c>
      <c r="J162" s="74">
        <f>IF(E162="SERVICE",I162-(I162*50%),Vlookup(E162,DATABASE!C:Q,10,false)*F162)</f>
        <v>10000</v>
      </c>
      <c r="K162" s="74">
        <f>VLOOKUP(E162,DATABASE!C:Q,7,false)</f>
        <v>0</v>
      </c>
      <c r="L162" s="74">
        <v>0.0</v>
      </c>
      <c r="M162" s="74">
        <f t="shared" si="2"/>
        <v>0</v>
      </c>
      <c r="N162" s="74">
        <f t="shared" si="3"/>
        <v>120000</v>
      </c>
      <c r="O162" s="65" t="str">
        <f>VLOOKUP(E162,DATABASE!C:Q,8,false)</f>
        <v>IBU</v>
      </c>
      <c r="P162" s="65">
        <f>VLOOKUP(E162,DATABASE!C:Q,9,False)</f>
        <v>0</v>
      </c>
      <c r="Q162" s="93" t="str">
        <f>VLOOKUP(E162,DATABASE!C:Q,4,false)</f>
        <v>SPOORING</v>
      </c>
      <c r="R162" s="93" t="str">
        <f>VLOOKUP(E162,DATABASE!C:Q,11,false)</f>
        <v>SERVICE</v>
      </c>
    </row>
    <row r="163" ht="22.5" customHeight="1">
      <c r="A163" s="49"/>
      <c r="C163" s="384">
        <v>45666.0</v>
      </c>
      <c r="D163" s="93">
        <v>3894.0</v>
      </c>
      <c r="E163" s="385" t="s">
        <v>299</v>
      </c>
      <c r="F163" s="386">
        <v>2.0</v>
      </c>
      <c r="G163" s="74">
        <v>30000.0</v>
      </c>
      <c r="H163" s="74">
        <v>0.0</v>
      </c>
      <c r="I163" s="74">
        <f t="shared" si="1"/>
        <v>60000</v>
      </c>
      <c r="J163" s="74">
        <f>IF(E163="SERVICE",I163-(I163*50%),Vlookup(E163,DATABASE!C:Q,10,false)*F163)</f>
        <v>0</v>
      </c>
      <c r="K163" s="74">
        <v>0.0</v>
      </c>
      <c r="L163" s="74">
        <v>0.0</v>
      </c>
      <c r="M163" s="74">
        <f t="shared" si="2"/>
        <v>0</v>
      </c>
      <c r="N163" s="74">
        <f t="shared" si="3"/>
        <v>60000</v>
      </c>
      <c r="O163" s="65" t="str">
        <f>VLOOKUP(E163,DATABASE!C:Q,8,false)</f>
        <v>BIAN</v>
      </c>
      <c r="P163" s="65">
        <f>VLOOKUP(E163,DATABASE!C:Q,9,False)</f>
        <v>0</v>
      </c>
      <c r="Q163" s="93" t="str">
        <f>VLOOKUP(E163,DATABASE!C:Q,4,false)</f>
        <v>Balancing</v>
      </c>
      <c r="R163" s="93" t="str">
        <f>VLOOKUP(E163,DATABASE!C:Q,11,false)</f>
        <v>COMPLEMENTARY</v>
      </c>
    </row>
    <row r="164" ht="22.5" customHeight="1">
      <c r="A164" s="49"/>
      <c r="C164" s="384">
        <v>45666.0</v>
      </c>
      <c r="D164" s="93">
        <v>3894.0</v>
      </c>
      <c r="E164" s="385" t="s">
        <v>301</v>
      </c>
      <c r="F164" s="386">
        <v>1.0</v>
      </c>
      <c r="G164" s="74">
        <v>250000.0</v>
      </c>
      <c r="H164" s="74">
        <v>0.0</v>
      </c>
      <c r="I164" s="74">
        <f t="shared" si="1"/>
        <v>250000</v>
      </c>
      <c r="J164" s="74">
        <f>IF(E164="SERVICE",I164-(I164*50%),Vlookup(E164,DATABASE!C:Q,10,false)*F164)</f>
        <v>75000</v>
      </c>
      <c r="K164" s="74">
        <f>VLOOKUP(E164,DATABASE!C:Q,7,false)</f>
        <v>75000</v>
      </c>
      <c r="L164" s="74">
        <v>75000.0</v>
      </c>
      <c r="M164" s="74">
        <f t="shared" si="2"/>
        <v>75000</v>
      </c>
      <c r="N164" s="74">
        <f t="shared" si="3"/>
        <v>100000</v>
      </c>
      <c r="O164" s="65" t="str">
        <f>VLOOKUP(E164,DATABASE!C:Q,8,false)</f>
        <v>BIAN</v>
      </c>
      <c r="P164" s="65">
        <f>VLOOKUP(E164,DATABASE!C:Q,9,False)</f>
        <v>0</v>
      </c>
      <c r="Q164" s="93" t="str">
        <f>VLOOKUP(E164,DATABASE!C:Q,4,false)</f>
        <v>Baut Camber</v>
      </c>
      <c r="R164" s="93" t="str">
        <f>VLOOKUP(E164,DATABASE!C:Q,11,false)</f>
        <v>COMPLEMENTARY</v>
      </c>
    </row>
    <row r="165" ht="22.5" customHeight="1">
      <c r="A165" s="49"/>
      <c r="C165" s="384">
        <v>45666.0</v>
      </c>
      <c r="D165" s="93">
        <v>3895.0</v>
      </c>
      <c r="E165" s="385" t="s">
        <v>275</v>
      </c>
      <c r="F165" s="386">
        <v>2.0</v>
      </c>
      <c r="G165" s="74">
        <v>820000.0</v>
      </c>
      <c r="H165" s="74">
        <v>0.0</v>
      </c>
      <c r="I165" s="74">
        <f t="shared" si="1"/>
        <v>1640000</v>
      </c>
      <c r="J165" s="74">
        <f>IF(E165="SERVICE",I165-(I165*50%),Vlookup(E165,DATABASE!C:Q,10,false)*F165)</f>
        <v>0</v>
      </c>
      <c r="K165" s="74">
        <v>735000.0</v>
      </c>
      <c r="L165" s="74">
        <v>735000.0</v>
      </c>
      <c r="M165" s="74">
        <f t="shared" si="2"/>
        <v>735000</v>
      </c>
      <c r="N165" s="74">
        <f t="shared" si="3"/>
        <v>170000</v>
      </c>
      <c r="O165" s="65" t="str">
        <f>VLOOKUP(E165,DATABASE!C:Q,8,false)</f>
        <v>IBU</v>
      </c>
      <c r="P165" s="65">
        <f>VLOOKUP(E165,DATABASE!C:Q,9,False)</f>
        <v>1</v>
      </c>
      <c r="Q165" s="93" t="str">
        <f>VLOOKUP(E165,DATABASE!C:Q,4,false)</f>
        <v>Dunlop</v>
      </c>
      <c r="R165" s="93" t="str">
        <f>VLOOKUP(E165,DATABASE!C:Q,11,false)</f>
        <v>Tire</v>
      </c>
    </row>
    <row r="166" ht="22.5" customHeight="1">
      <c r="A166" s="49"/>
      <c r="C166" s="384">
        <v>45666.0</v>
      </c>
      <c r="D166" s="93">
        <v>3896.0</v>
      </c>
      <c r="E166" s="385" t="s">
        <v>932</v>
      </c>
      <c r="F166" s="386">
        <v>2.0</v>
      </c>
      <c r="G166" s="74">
        <v>650000.0</v>
      </c>
      <c r="H166" s="74">
        <v>0.0</v>
      </c>
      <c r="I166" s="74">
        <f t="shared" si="1"/>
        <v>1300000</v>
      </c>
      <c r="J166" s="74">
        <f>IF(E166="SERVICE",I166-(I166*50%),Vlookup(E166,DATABASE!C:Q,10,false)*F166)</f>
        <v>0</v>
      </c>
      <c r="K166" s="74">
        <v>575000.0</v>
      </c>
      <c r="L166" s="74">
        <v>575000.0</v>
      </c>
      <c r="M166" s="74">
        <f t="shared" si="2"/>
        <v>575000</v>
      </c>
      <c r="N166" s="74">
        <f t="shared" si="3"/>
        <v>150000</v>
      </c>
      <c r="O166" s="65" t="str">
        <f>VLOOKUP(E166,DATABASE!C:Q,8,false)</f>
        <v>IBU</v>
      </c>
      <c r="P166" s="65">
        <f>VLOOKUP(E166,DATABASE!C:Q,9,False)</f>
        <v>1</v>
      </c>
      <c r="Q166" s="93" t="str">
        <f>VLOOKUP(E166,DATABASE!C:Q,4,false)</f>
        <v>Dunlop</v>
      </c>
      <c r="R166" s="93" t="str">
        <f>VLOOKUP(E166,DATABASE!C:Q,11,false)</f>
        <v>Tire</v>
      </c>
    </row>
    <row r="167" ht="22.5" customHeight="1">
      <c r="A167" s="49"/>
      <c r="C167" s="384">
        <v>45667.0</v>
      </c>
      <c r="D167" s="93">
        <v>3897.0</v>
      </c>
      <c r="E167" s="385" t="s">
        <v>256</v>
      </c>
      <c r="F167" s="386">
        <v>1.0</v>
      </c>
      <c r="G167" s="74">
        <v>120000.0</v>
      </c>
      <c r="H167" s="74">
        <v>0.0</v>
      </c>
      <c r="I167" s="74">
        <f t="shared" si="1"/>
        <v>120000</v>
      </c>
      <c r="J167" s="74">
        <f>IF(E167="SERVICE",I167-(I167*50%),Vlookup(E167,DATABASE!C:Q,10,false)*F167)</f>
        <v>10000</v>
      </c>
      <c r="K167" s="74">
        <f>VLOOKUP(E167,DATABASE!C:Q,7,false)</f>
        <v>0</v>
      </c>
      <c r="L167" s="74">
        <v>0.0</v>
      </c>
      <c r="M167" s="74">
        <f t="shared" si="2"/>
        <v>0</v>
      </c>
      <c r="N167" s="74">
        <f t="shared" si="3"/>
        <v>110000</v>
      </c>
      <c r="O167" s="65" t="str">
        <f>VLOOKUP(E167,DATABASE!C:Q,8,false)</f>
        <v>IBU</v>
      </c>
      <c r="P167" s="65">
        <f>VLOOKUP(E167,DATABASE!C:Q,9,False)</f>
        <v>0</v>
      </c>
      <c r="Q167" s="93" t="str">
        <f>VLOOKUP(E167,DATABASE!C:Q,4,false)</f>
        <v>SPOORING</v>
      </c>
      <c r="R167" s="93" t="str">
        <f>VLOOKUP(E167,DATABASE!C:Q,11,false)</f>
        <v>SERVICE</v>
      </c>
    </row>
    <row r="168" ht="22.5" customHeight="1">
      <c r="A168" s="49"/>
      <c r="C168" s="384">
        <v>45667.0</v>
      </c>
      <c r="D168" s="93">
        <v>3897.0</v>
      </c>
      <c r="E168" s="385" t="s">
        <v>299</v>
      </c>
      <c r="F168" s="386">
        <v>2.0</v>
      </c>
      <c r="G168" s="74">
        <v>20000.0</v>
      </c>
      <c r="H168" s="74">
        <v>0.0</v>
      </c>
      <c r="I168" s="74">
        <f t="shared" si="1"/>
        <v>40000</v>
      </c>
      <c r="J168" s="74">
        <f>IF(E168="SERVICE",I168-(I168*50%),Vlookup(E168,DATABASE!C:Q,10,false)*F168)</f>
        <v>0</v>
      </c>
      <c r="K168" s="74">
        <v>0.0</v>
      </c>
      <c r="L168" s="74">
        <v>0.0</v>
      </c>
      <c r="M168" s="74">
        <f t="shared" si="2"/>
        <v>0</v>
      </c>
      <c r="N168" s="74">
        <f t="shared" si="3"/>
        <v>40000</v>
      </c>
      <c r="O168" s="65" t="str">
        <f>VLOOKUP(E168,DATABASE!C:Q,8,false)</f>
        <v>BIAN</v>
      </c>
      <c r="P168" s="65">
        <f>VLOOKUP(E168,DATABASE!C:Q,9,False)</f>
        <v>0</v>
      </c>
      <c r="Q168" s="93" t="str">
        <f>VLOOKUP(E168,DATABASE!C:Q,4,false)</f>
        <v>Balancing</v>
      </c>
      <c r="R168" s="93" t="str">
        <f>VLOOKUP(E168,DATABASE!C:Q,11,false)</f>
        <v>COMPLEMENTARY</v>
      </c>
    </row>
    <row r="169" ht="22.5" customHeight="1">
      <c r="A169" s="49"/>
      <c r="C169" s="384">
        <v>45667.0</v>
      </c>
      <c r="D169" s="93">
        <v>3898.0</v>
      </c>
      <c r="E169" s="385" t="s">
        <v>271</v>
      </c>
      <c r="F169" s="386">
        <v>2.0</v>
      </c>
      <c r="G169" s="74">
        <v>625000.0</v>
      </c>
      <c r="H169" s="74">
        <v>0.0</v>
      </c>
      <c r="I169" s="74">
        <f t="shared" si="1"/>
        <v>1250000</v>
      </c>
      <c r="J169" s="74">
        <f>IF(E169="SERVICE",I169-(I169*50%),Vlookup(E169,DATABASE!C:Q,10,false)*F169)</f>
        <v>0</v>
      </c>
      <c r="K169" s="74">
        <f>VLOOKUP(E169,DATABASE!C:Q,7,false)</f>
        <v>570000</v>
      </c>
      <c r="L169" s="74">
        <v>539000.0</v>
      </c>
      <c r="M169" s="74">
        <f t="shared" si="2"/>
        <v>540000</v>
      </c>
      <c r="N169" s="74">
        <f t="shared" si="3"/>
        <v>170000</v>
      </c>
      <c r="O169" s="65" t="str">
        <f>VLOOKUP(E169,DATABASE!C:Q,8,false)</f>
        <v>IBU</v>
      </c>
      <c r="P169" s="65">
        <f>VLOOKUP(E169,DATABASE!C:Q,9,False)</f>
        <v>1</v>
      </c>
      <c r="Q169" s="93" t="str">
        <f>VLOOKUP(E169,DATABASE!C:Q,4,false)</f>
        <v>Dunlop</v>
      </c>
      <c r="R169" s="93" t="str">
        <f>VLOOKUP(E169,DATABASE!C:Q,11,false)</f>
        <v>Tire</v>
      </c>
    </row>
    <row r="170" ht="22.5" customHeight="1">
      <c r="A170" s="49"/>
      <c r="C170" s="384">
        <v>45667.0</v>
      </c>
      <c r="D170" s="93">
        <v>3899.0</v>
      </c>
      <c r="E170" s="385" t="s">
        <v>163</v>
      </c>
      <c r="F170" s="386">
        <v>2.0</v>
      </c>
      <c r="G170" s="74">
        <v>550000.0</v>
      </c>
      <c r="H170" s="74">
        <v>0.0</v>
      </c>
      <c r="I170" s="74">
        <f t="shared" si="1"/>
        <v>1100000</v>
      </c>
      <c r="J170" s="74">
        <f>IF(E170="SERVICE",I170-(I170*50%),Vlookup(E170,DATABASE!C:Q,10,false)*F170)</f>
        <v>0</v>
      </c>
      <c r="K170" s="74">
        <v>473970.0</v>
      </c>
      <c r="L170" s="74">
        <v>473970.0</v>
      </c>
      <c r="M170" s="74">
        <f t="shared" si="2"/>
        <v>475000</v>
      </c>
      <c r="N170" s="74">
        <f t="shared" si="3"/>
        <v>150000</v>
      </c>
      <c r="O170" s="65" t="str">
        <f>VLOOKUP(E170,DATABASE!C:Q,8,false)</f>
        <v>BIAN</v>
      </c>
      <c r="P170" s="65">
        <f>VLOOKUP(E170,DATABASE!C:Q,9,False)</f>
        <v>1</v>
      </c>
      <c r="Q170" s="93" t="str">
        <f>VLOOKUP(E170,DATABASE!C:Q,4,false)</f>
        <v>Accelera</v>
      </c>
      <c r="R170" s="93" t="str">
        <f>VLOOKUP(E170,DATABASE!C:Q,11,false)</f>
        <v>Tire</v>
      </c>
    </row>
    <row r="171" ht="22.5" customHeight="1">
      <c r="A171" s="49"/>
      <c r="C171" s="384">
        <v>45667.0</v>
      </c>
      <c r="D171" s="93">
        <v>3900.0</v>
      </c>
      <c r="E171" s="385" t="s">
        <v>246</v>
      </c>
      <c r="F171" s="386">
        <v>4.0</v>
      </c>
      <c r="G171" s="74">
        <v>15000.0</v>
      </c>
      <c r="H171" s="74">
        <v>0.0</v>
      </c>
      <c r="I171" s="74">
        <f t="shared" si="1"/>
        <v>60000</v>
      </c>
      <c r="J171" s="74">
        <f>IF(E171="SERVICE",I171-(I171*50%),Vlookup(E171,DATABASE!C:Q,10,false)*F171)</f>
        <v>0</v>
      </c>
      <c r="K171" s="74">
        <f>VLOOKUP(E171,DATABASE!C:Q,7,false)</f>
        <v>0</v>
      </c>
      <c r="L171" s="74">
        <v>0.0</v>
      </c>
      <c r="M171" s="74">
        <f t="shared" si="2"/>
        <v>0</v>
      </c>
      <c r="N171" s="74">
        <f t="shared" si="3"/>
        <v>60000</v>
      </c>
      <c r="O171" s="65" t="str">
        <f>VLOOKUP(E171,DATABASE!C:Q,8,false)</f>
        <v>IBU</v>
      </c>
      <c r="P171" s="65">
        <f>VLOOKUP(E171,DATABASE!C:Q,9,False)</f>
        <v>0</v>
      </c>
      <c r="Q171" s="93" t="str">
        <f>VLOOKUP(E171,DATABASE!C:Q,4,false)</f>
        <v>Bongkar Pasang</v>
      </c>
      <c r="R171" s="93" t="str">
        <f>VLOOKUP(E171,DATABASE!C:Q,11,false)</f>
        <v>SERVICE</v>
      </c>
    </row>
    <row r="172" ht="22.5" customHeight="1">
      <c r="A172" s="49"/>
      <c r="C172" s="384">
        <v>45667.0</v>
      </c>
      <c r="D172" s="93">
        <v>3900.0</v>
      </c>
      <c r="E172" s="385" t="s">
        <v>2135</v>
      </c>
      <c r="F172" s="386">
        <v>1.0</v>
      </c>
      <c r="G172" s="74">
        <v>10000.0</v>
      </c>
      <c r="H172" s="74">
        <v>0.0</v>
      </c>
      <c r="I172" s="74">
        <f t="shared" si="1"/>
        <v>10000</v>
      </c>
      <c r="J172" s="74">
        <f>IF(E172="SERVICE",I172-(I172*50%),Vlookup(E172,DATABASE!C:Q,10,false)*F172)</f>
        <v>0</v>
      </c>
      <c r="K172" s="74">
        <f>VLOOKUP(E172,DATABASE!C:Q,7,false)</f>
        <v>0</v>
      </c>
      <c r="L172" s="74">
        <v>0.0</v>
      </c>
      <c r="M172" s="74">
        <f t="shared" si="2"/>
        <v>0</v>
      </c>
      <c r="N172" s="74">
        <f t="shared" si="3"/>
        <v>10000</v>
      </c>
      <c r="O172" s="65" t="str">
        <f>VLOOKUP(E172,DATABASE!C:Q,8,false)</f>
        <v>IBU</v>
      </c>
      <c r="P172" s="65">
        <f>VLOOKUP(E172,DATABASE!C:Q,9,False)</f>
        <v>0</v>
      </c>
      <c r="Q172" s="93" t="str">
        <f>VLOOKUP(E172,DATABASE!C:Q,4,false)</f>
        <v>NITROGEN</v>
      </c>
      <c r="R172" s="93" t="str">
        <f>VLOOKUP(E172,DATABASE!C:Q,11,false)</f>
        <v>COMPLEMENTARY</v>
      </c>
    </row>
    <row r="173" ht="22.5" customHeight="1">
      <c r="A173" s="49"/>
      <c r="C173" s="384">
        <v>45667.0</v>
      </c>
      <c r="D173" s="93">
        <v>3901.0</v>
      </c>
      <c r="E173" s="385" t="s">
        <v>2135</v>
      </c>
      <c r="F173" s="386">
        <v>3.0</v>
      </c>
      <c r="G173" s="74">
        <v>10000.0</v>
      </c>
      <c r="H173" s="74">
        <v>0.0</v>
      </c>
      <c r="I173" s="74">
        <f t="shared" si="1"/>
        <v>30000</v>
      </c>
      <c r="J173" s="74">
        <f>IF(E173="SERVICE",I173-(I173*50%),Vlookup(E173,DATABASE!C:Q,10,false)*F173)</f>
        <v>0</v>
      </c>
      <c r="K173" s="74">
        <f>VLOOKUP(E173,DATABASE!C:Q,7,false)</f>
        <v>0</v>
      </c>
      <c r="L173" s="74">
        <v>0.0</v>
      </c>
      <c r="M173" s="74">
        <f t="shared" si="2"/>
        <v>0</v>
      </c>
      <c r="N173" s="74">
        <f t="shared" si="3"/>
        <v>30000</v>
      </c>
      <c r="O173" s="65" t="str">
        <f>VLOOKUP(E173,DATABASE!C:Q,8,false)</f>
        <v>IBU</v>
      </c>
      <c r="P173" s="65">
        <f>VLOOKUP(E173,DATABASE!C:Q,9,False)</f>
        <v>0</v>
      </c>
      <c r="Q173" s="93" t="str">
        <f>VLOOKUP(E173,DATABASE!C:Q,4,false)</f>
        <v>NITROGEN</v>
      </c>
      <c r="R173" s="93" t="str">
        <f>VLOOKUP(E173,DATABASE!C:Q,11,false)</f>
        <v>COMPLEMENTARY</v>
      </c>
    </row>
    <row r="174" ht="22.5" customHeight="1">
      <c r="A174" s="49"/>
      <c r="C174" s="384">
        <v>45667.0</v>
      </c>
      <c r="D174" s="93">
        <v>3902.0</v>
      </c>
      <c r="E174" s="385" t="s">
        <v>600</v>
      </c>
      <c r="F174" s="386">
        <v>1.0</v>
      </c>
      <c r="G174" s="74">
        <v>740000.0</v>
      </c>
      <c r="H174" s="74">
        <v>0.0</v>
      </c>
      <c r="I174" s="74">
        <f t="shared" si="1"/>
        <v>740000</v>
      </c>
      <c r="J174" s="74">
        <f>IF(E174="SERVICE",I174-(I174*50%),Vlookup(E174,DATABASE!C:Q,10,false)*F174)</f>
        <v>0</v>
      </c>
      <c r="K174" s="74">
        <v>655200.0</v>
      </c>
      <c r="L174" s="74">
        <v>655200.0</v>
      </c>
      <c r="M174" s="74">
        <f t="shared" si="2"/>
        <v>660000</v>
      </c>
      <c r="N174" s="74">
        <f t="shared" si="3"/>
        <v>80000</v>
      </c>
      <c r="O174" s="65" t="str">
        <f>VLOOKUP(E174,DATABASE!C:Q,8,false)</f>
        <v>IBU</v>
      </c>
      <c r="P174" s="65">
        <f>VLOOKUP(E174,DATABASE!C:Q,9,False)</f>
        <v>1</v>
      </c>
      <c r="Q174" s="93" t="str">
        <f>VLOOKUP(E174,DATABASE!C:Q,4,false)</f>
        <v>Bridgestone</v>
      </c>
      <c r="R174" s="93" t="str">
        <f>VLOOKUP(E174,DATABASE!C:Q,11,false)</f>
        <v>Tire</v>
      </c>
    </row>
    <row r="175" ht="22.5" customHeight="1">
      <c r="A175" s="49"/>
      <c r="C175" s="384">
        <v>45667.0</v>
      </c>
      <c r="D175" s="93">
        <v>3903.0</v>
      </c>
      <c r="E175" s="385" t="s">
        <v>268</v>
      </c>
      <c r="F175" s="386">
        <v>1.0</v>
      </c>
      <c r="G175" s="74">
        <v>700000.0</v>
      </c>
      <c r="H175" s="74">
        <v>0.0</v>
      </c>
      <c r="I175" s="74">
        <f t="shared" si="1"/>
        <v>700000</v>
      </c>
      <c r="J175" s="74">
        <f>IF(E175="SERVICE",I175-(I175*50%),Vlookup(E175,DATABASE!C:Q,10,false)*F175)</f>
        <v>0</v>
      </c>
      <c r="K175" s="74">
        <v>613000.0</v>
      </c>
      <c r="L175" s="74">
        <v>613000.0</v>
      </c>
      <c r="M175" s="74">
        <f t="shared" si="2"/>
        <v>615000</v>
      </c>
      <c r="N175" s="74">
        <f t="shared" si="3"/>
        <v>85000</v>
      </c>
      <c r="O175" s="65" t="str">
        <f>VLOOKUP(E175,DATABASE!C:Q,8,false)</f>
        <v>IBU</v>
      </c>
      <c r="P175" s="65">
        <f>VLOOKUP(E175,DATABASE!C:Q,9,False)</f>
        <v>1</v>
      </c>
      <c r="Q175" s="93" t="str">
        <f>VLOOKUP(E175,DATABASE!C:Q,4,false)</f>
        <v>Dunlop</v>
      </c>
      <c r="R175" s="93" t="str">
        <f>VLOOKUP(E175,DATABASE!C:Q,11,false)</f>
        <v>Tire</v>
      </c>
    </row>
    <row r="176" ht="22.5" customHeight="1">
      <c r="A176" s="49"/>
      <c r="C176" s="384">
        <v>45667.0</v>
      </c>
      <c r="D176" s="93">
        <v>3904.0</v>
      </c>
      <c r="E176" s="385" t="s">
        <v>268</v>
      </c>
      <c r="F176" s="386">
        <v>2.0</v>
      </c>
      <c r="G176" s="74">
        <v>680000.0</v>
      </c>
      <c r="H176" s="74">
        <v>0.0</v>
      </c>
      <c r="I176" s="74">
        <f t="shared" si="1"/>
        <v>1360000</v>
      </c>
      <c r="J176" s="74">
        <f>IF(E176="SERVICE",I176-(I176*50%),Vlookup(E176,DATABASE!C:Q,10,false)*F176)</f>
        <v>0</v>
      </c>
      <c r="K176" s="74">
        <v>613000.0</v>
      </c>
      <c r="L176" s="74">
        <v>613000.0</v>
      </c>
      <c r="M176" s="74">
        <f t="shared" si="2"/>
        <v>615000</v>
      </c>
      <c r="N176" s="74">
        <f t="shared" si="3"/>
        <v>130000</v>
      </c>
      <c r="O176" s="65" t="str">
        <f>VLOOKUP(E176,DATABASE!C:Q,8,false)</f>
        <v>IBU</v>
      </c>
      <c r="P176" s="65">
        <f>VLOOKUP(E176,DATABASE!C:Q,9,False)</f>
        <v>1</v>
      </c>
      <c r="Q176" s="93" t="str">
        <f>VLOOKUP(E176,DATABASE!C:Q,4,false)</f>
        <v>Dunlop</v>
      </c>
      <c r="R176" s="93" t="str">
        <f>VLOOKUP(E176,DATABASE!C:Q,11,false)</f>
        <v>Tire</v>
      </c>
    </row>
    <row r="177" ht="22.5" customHeight="1">
      <c r="A177" s="49"/>
      <c r="C177" s="384">
        <v>45667.0</v>
      </c>
      <c r="D177" s="93">
        <v>3905.0</v>
      </c>
      <c r="E177" s="385" t="s">
        <v>585</v>
      </c>
      <c r="F177" s="386">
        <v>1.0</v>
      </c>
      <c r="G177" s="74">
        <v>95000.0</v>
      </c>
      <c r="H177" s="74">
        <v>0.0</v>
      </c>
      <c r="I177" s="74">
        <f t="shared" si="1"/>
        <v>95000</v>
      </c>
      <c r="J177" s="74">
        <f>IF(E177="SERVICE",I177-(I177*50%),Vlookup(E177,DATABASE!C:Q,10,false)*F177)</f>
        <v>0</v>
      </c>
      <c r="K177" s="74">
        <f>VLOOKUP(E177,DATABASE!C:Q,7,false)</f>
        <v>61600</v>
      </c>
      <c r="L177" s="74">
        <v>61600.0</v>
      </c>
      <c r="M177" s="74">
        <f t="shared" si="2"/>
        <v>65000</v>
      </c>
      <c r="N177" s="74">
        <f t="shared" si="3"/>
        <v>30000</v>
      </c>
      <c r="O177" s="65" t="str">
        <f>VLOOKUP(E177,DATABASE!C:Q,8,false)</f>
        <v>BIAN</v>
      </c>
      <c r="P177" s="65">
        <f>VLOOKUP(E177,DATABASE!C:Q,9,False)</f>
        <v>1</v>
      </c>
      <c r="Q177" s="93" t="str">
        <f>VLOOKUP(E177,DATABASE!C:Q,4,false)</f>
        <v>BD</v>
      </c>
      <c r="R177" s="93" t="str">
        <f>VLOOKUP(E177,DATABASE!C:Q,11,false)</f>
        <v>Tire</v>
      </c>
    </row>
    <row r="178" ht="22.5" customHeight="1">
      <c r="A178" s="49"/>
      <c r="C178" s="384">
        <v>45667.0</v>
      </c>
      <c r="D178" s="93">
        <v>3907.0</v>
      </c>
      <c r="E178" s="385" t="s">
        <v>268</v>
      </c>
      <c r="F178" s="386">
        <v>2.0</v>
      </c>
      <c r="G178" s="74">
        <v>680000.0</v>
      </c>
      <c r="H178" s="74">
        <v>0.0</v>
      </c>
      <c r="I178" s="74">
        <f t="shared" si="1"/>
        <v>1360000</v>
      </c>
      <c r="J178" s="74">
        <f>IF(E178="SERVICE",I178-(I178*50%),Vlookup(E178,DATABASE!C:Q,10,false)*F178)</f>
        <v>0</v>
      </c>
      <c r="K178" s="74">
        <v>613000.0</v>
      </c>
      <c r="L178" s="74">
        <v>613000.0</v>
      </c>
      <c r="M178" s="74">
        <f t="shared" si="2"/>
        <v>615000</v>
      </c>
      <c r="N178" s="74">
        <f t="shared" si="3"/>
        <v>130000</v>
      </c>
      <c r="O178" s="65" t="str">
        <f>VLOOKUP(E178,DATABASE!C:Q,8,false)</f>
        <v>IBU</v>
      </c>
      <c r="P178" s="65">
        <f>VLOOKUP(E178,DATABASE!C:Q,9,False)</f>
        <v>1</v>
      </c>
      <c r="Q178" s="93" t="str">
        <f>VLOOKUP(E178,DATABASE!C:Q,4,false)</f>
        <v>Dunlop</v>
      </c>
      <c r="R178" s="93" t="str">
        <f>VLOOKUP(E178,DATABASE!C:Q,11,false)</f>
        <v>Tire</v>
      </c>
    </row>
    <row r="179" ht="22.5" customHeight="1">
      <c r="A179" s="49"/>
      <c r="C179" s="384">
        <v>45667.0</v>
      </c>
      <c r="D179" s="93">
        <v>3908.0</v>
      </c>
      <c r="E179" s="385" t="s">
        <v>256</v>
      </c>
      <c r="F179" s="386">
        <v>1.0</v>
      </c>
      <c r="G179" s="74">
        <v>130000.0</v>
      </c>
      <c r="H179" s="74">
        <v>0.0</v>
      </c>
      <c r="I179" s="74">
        <f t="shared" si="1"/>
        <v>130000</v>
      </c>
      <c r="J179" s="74">
        <f>IF(E179="SERVICE",I179-(I179*50%),Vlookup(E179,DATABASE!C:Q,10,false)*F179)</f>
        <v>10000</v>
      </c>
      <c r="K179" s="74">
        <f>VLOOKUP(E179,DATABASE!C:Q,7,false)</f>
        <v>0</v>
      </c>
      <c r="L179" s="74">
        <v>0.0</v>
      </c>
      <c r="M179" s="74">
        <f t="shared" si="2"/>
        <v>0</v>
      </c>
      <c r="N179" s="74">
        <f t="shared" si="3"/>
        <v>120000</v>
      </c>
      <c r="O179" s="65" t="str">
        <f>VLOOKUP(E179,DATABASE!C:Q,8,false)</f>
        <v>IBU</v>
      </c>
      <c r="P179" s="65">
        <f>VLOOKUP(E179,DATABASE!C:Q,9,False)</f>
        <v>0</v>
      </c>
      <c r="Q179" s="93" t="str">
        <f>VLOOKUP(E179,DATABASE!C:Q,4,false)</f>
        <v>SPOORING</v>
      </c>
      <c r="R179" s="93" t="str">
        <f>VLOOKUP(E179,DATABASE!C:Q,11,false)</f>
        <v>SERVICE</v>
      </c>
    </row>
    <row r="180" ht="22.5" customHeight="1">
      <c r="A180" s="49"/>
      <c r="C180" s="384">
        <v>45667.0</v>
      </c>
      <c r="D180" s="93">
        <v>3908.0</v>
      </c>
      <c r="E180" s="385" t="s">
        <v>299</v>
      </c>
      <c r="F180" s="386">
        <v>2.0</v>
      </c>
      <c r="G180" s="74">
        <v>30000.0</v>
      </c>
      <c r="H180" s="74">
        <v>0.0</v>
      </c>
      <c r="I180" s="74">
        <f t="shared" si="1"/>
        <v>60000</v>
      </c>
      <c r="J180" s="74">
        <f>IF(E180="SERVICE",I180-(I180*50%),Vlookup(E180,DATABASE!C:Q,10,false)*F180)</f>
        <v>0</v>
      </c>
      <c r="K180" s="74">
        <v>0.0</v>
      </c>
      <c r="L180" s="74">
        <v>0.0</v>
      </c>
      <c r="M180" s="74">
        <f t="shared" si="2"/>
        <v>0</v>
      </c>
      <c r="N180" s="74">
        <f t="shared" si="3"/>
        <v>60000</v>
      </c>
      <c r="O180" s="65" t="str">
        <f>VLOOKUP(E180,DATABASE!C:Q,8,false)</f>
        <v>BIAN</v>
      </c>
      <c r="P180" s="65">
        <f>VLOOKUP(E180,DATABASE!C:Q,9,False)</f>
        <v>0</v>
      </c>
      <c r="Q180" s="93" t="str">
        <f>VLOOKUP(E180,DATABASE!C:Q,4,false)</f>
        <v>Balancing</v>
      </c>
      <c r="R180" s="93" t="str">
        <f>VLOOKUP(E180,DATABASE!C:Q,11,false)</f>
        <v>COMPLEMENTARY</v>
      </c>
    </row>
    <row r="181" ht="22.5" customHeight="1">
      <c r="A181" s="49"/>
      <c r="C181" s="384">
        <v>45667.0</v>
      </c>
      <c r="D181" s="93">
        <v>3908.0</v>
      </c>
      <c r="E181" s="385" t="s">
        <v>251</v>
      </c>
      <c r="F181" s="386">
        <v>1.0</v>
      </c>
      <c r="G181" s="74">
        <v>150000.0</v>
      </c>
      <c r="H181" s="74">
        <v>0.0</v>
      </c>
      <c r="I181" s="74">
        <f t="shared" si="1"/>
        <v>150000</v>
      </c>
      <c r="J181" s="74">
        <f>IF(E181="SERVICE",I181-(I181*50%),Vlookup(E181,DATABASE!C:Q,10,false)*F181)</f>
        <v>75000</v>
      </c>
      <c r="K181" s="74">
        <f>VLOOKUP(E181,DATABASE!C:Q,7,false)</f>
        <v>0</v>
      </c>
      <c r="L181" s="74">
        <v>0.0</v>
      </c>
      <c r="M181" s="74">
        <f t="shared" si="2"/>
        <v>0</v>
      </c>
      <c r="N181" s="74">
        <f t="shared" si="3"/>
        <v>75000</v>
      </c>
      <c r="O181" s="65" t="str">
        <f>VLOOKUP(E181,DATABASE!C:Q,8,false)</f>
        <v>IBU</v>
      </c>
      <c r="P181" s="65">
        <f>VLOOKUP(E181,DATABASE!C:Q,9,False)</f>
        <v>0</v>
      </c>
      <c r="Q181" s="93" t="str">
        <f>VLOOKUP(E181,DATABASE!C:Q,4,false)</f>
        <v>SERVICE</v>
      </c>
      <c r="R181" s="93" t="str">
        <f>VLOOKUP(E181,DATABASE!C:Q,11,false)</f>
        <v>SERVICE</v>
      </c>
    </row>
    <row r="182" ht="22.5" customHeight="1">
      <c r="A182" s="49"/>
      <c r="C182" s="384">
        <v>45667.0</v>
      </c>
      <c r="D182" s="93">
        <v>3910.0</v>
      </c>
      <c r="E182" s="385" t="s">
        <v>262</v>
      </c>
      <c r="F182" s="386">
        <v>1.0</v>
      </c>
      <c r="G182" s="74">
        <v>110000.0</v>
      </c>
      <c r="H182" s="74">
        <v>0.0</v>
      </c>
      <c r="I182" s="74">
        <f t="shared" si="1"/>
        <v>110000</v>
      </c>
      <c r="J182" s="74">
        <f>IF(E182="SERVICE",I182-(I182*50%),Vlookup(E182,DATABASE!C:Q,10,false)*F182)</f>
        <v>5000</v>
      </c>
      <c r="K182" s="74">
        <f>VLOOKUP(E182,DATABASE!C:Q,7,false)</f>
        <v>0</v>
      </c>
      <c r="L182" s="74">
        <v>0.0</v>
      </c>
      <c r="M182" s="74">
        <f t="shared" si="2"/>
        <v>0</v>
      </c>
      <c r="N182" s="74">
        <f t="shared" si="3"/>
        <v>105000</v>
      </c>
      <c r="O182" s="65" t="str">
        <f>VLOOKUP(E182,DATABASE!C:Q,8,false)</f>
        <v>IBU</v>
      </c>
      <c r="P182" s="65">
        <f>VLOOKUP(E182,DATABASE!C:Q,9,False)</f>
        <v>0</v>
      </c>
      <c r="Q182" s="93" t="str">
        <f>VLOOKUP(E182,DATABASE!C:Q,4,false)</f>
        <v>SPOORING SS/CARRY LOS BAK</v>
      </c>
      <c r="R182" s="93" t="str">
        <f>VLOOKUP(E182,DATABASE!C:Q,11,false)</f>
        <v>SERVICE</v>
      </c>
    </row>
    <row r="183" ht="22.5" customHeight="1">
      <c r="A183" s="49"/>
      <c r="C183" s="384">
        <v>45667.0</v>
      </c>
      <c r="D183" s="93">
        <v>3910.0</v>
      </c>
      <c r="E183" s="385" t="s">
        <v>305</v>
      </c>
      <c r="F183" s="386">
        <v>1.0</v>
      </c>
      <c r="G183" s="74">
        <v>225000.0</v>
      </c>
      <c r="H183" s="74">
        <v>0.0</v>
      </c>
      <c r="I183" s="74">
        <f t="shared" si="1"/>
        <v>225000</v>
      </c>
      <c r="J183" s="74">
        <f>IF(E183="SERVICE",I183-(I183*50%),Vlookup(E183,DATABASE!C:Q,10,false)*F183)</f>
        <v>40000</v>
      </c>
      <c r="K183" s="74">
        <f>VLOOKUP(E183,DATABASE!C:Q,7,false)</f>
        <v>158530.2</v>
      </c>
      <c r="L183" s="74">
        <v>151890.0</v>
      </c>
      <c r="M183" s="74">
        <f t="shared" si="2"/>
        <v>155000</v>
      </c>
      <c r="N183" s="74">
        <f t="shared" si="3"/>
        <v>30000</v>
      </c>
      <c r="O183" s="65" t="str">
        <f>VLOOKUP(E183,DATABASE!C:Q,8,false)</f>
        <v>BIAN</v>
      </c>
      <c r="P183" s="65">
        <f>VLOOKUP(E183,DATABASE!C:Q,9,False)</f>
        <v>1</v>
      </c>
      <c r="Q183" s="93" t="str">
        <f>VLOOKUP(E183,DATABASE!C:Q,4,false)</f>
        <v>Lower Arm</v>
      </c>
      <c r="R183" s="93" t="str">
        <f>VLOOKUP(E183,DATABASE!C:Q,11,false)</f>
        <v>COMPLEMENTARY</v>
      </c>
    </row>
    <row r="184" ht="22.5" customHeight="1">
      <c r="A184" s="49"/>
      <c r="C184" s="384">
        <v>45667.0</v>
      </c>
      <c r="D184" s="93">
        <v>3910.0</v>
      </c>
      <c r="E184" s="385" t="s">
        <v>251</v>
      </c>
      <c r="F184" s="386">
        <v>1.0</v>
      </c>
      <c r="G184" s="74">
        <v>90000.0</v>
      </c>
      <c r="H184" s="74">
        <v>0.0</v>
      </c>
      <c r="I184" s="74">
        <f t="shared" si="1"/>
        <v>90000</v>
      </c>
      <c r="J184" s="74">
        <f>IF(E184="SERVICE",I184-(I184*50%),Vlookup(E184,DATABASE!C:Q,10,false)*F184)</f>
        <v>45000</v>
      </c>
      <c r="K184" s="74">
        <f>VLOOKUP(E184,DATABASE!C:Q,7,false)</f>
        <v>0</v>
      </c>
      <c r="L184" s="74">
        <v>0.0</v>
      </c>
      <c r="M184" s="74">
        <f t="shared" si="2"/>
        <v>0</v>
      </c>
      <c r="N184" s="74">
        <f t="shared" si="3"/>
        <v>45000</v>
      </c>
      <c r="O184" s="65" t="str">
        <f>VLOOKUP(E184,DATABASE!C:Q,8,false)</f>
        <v>IBU</v>
      </c>
      <c r="P184" s="65">
        <f>VLOOKUP(E184,DATABASE!C:Q,9,False)</f>
        <v>0</v>
      </c>
      <c r="Q184" s="93" t="str">
        <f>VLOOKUP(E184,DATABASE!C:Q,4,false)</f>
        <v>SERVICE</v>
      </c>
      <c r="R184" s="93" t="str">
        <f>VLOOKUP(E184,DATABASE!C:Q,11,false)</f>
        <v>SERVICE</v>
      </c>
    </row>
    <row r="185" ht="22.5" customHeight="1">
      <c r="A185" s="49"/>
      <c r="C185" s="384">
        <v>45667.0</v>
      </c>
      <c r="D185" s="93">
        <v>3912.0</v>
      </c>
      <c r="E185" s="385" t="s">
        <v>268</v>
      </c>
      <c r="F185" s="386">
        <v>2.0</v>
      </c>
      <c r="G185" s="74">
        <v>680000.0</v>
      </c>
      <c r="H185" s="74">
        <v>0.0</v>
      </c>
      <c r="I185" s="74">
        <f t="shared" si="1"/>
        <v>1360000</v>
      </c>
      <c r="J185" s="74">
        <f>IF(E185="SERVICE",I185-(I185*50%),Vlookup(E185,DATABASE!C:Q,10,false)*F185)</f>
        <v>0</v>
      </c>
      <c r="K185" s="74">
        <v>613000.0</v>
      </c>
      <c r="L185" s="74">
        <v>613000.0</v>
      </c>
      <c r="M185" s="74">
        <f t="shared" si="2"/>
        <v>615000</v>
      </c>
      <c r="N185" s="74">
        <f t="shared" si="3"/>
        <v>130000</v>
      </c>
      <c r="O185" s="65" t="str">
        <f>VLOOKUP(E185,DATABASE!C:Q,8,false)</f>
        <v>IBU</v>
      </c>
      <c r="P185" s="65">
        <f>VLOOKUP(E185,DATABASE!C:Q,9,False)</f>
        <v>1</v>
      </c>
      <c r="Q185" s="93" t="str">
        <f>VLOOKUP(E185,DATABASE!C:Q,4,false)</f>
        <v>Dunlop</v>
      </c>
      <c r="R185" s="93" t="str">
        <f>VLOOKUP(E185,DATABASE!C:Q,11,false)</f>
        <v>Tire</v>
      </c>
    </row>
    <row r="186" ht="22.5" customHeight="1">
      <c r="A186" s="49"/>
      <c r="C186" s="384">
        <v>45667.0</v>
      </c>
      <c r="D186" s="93">
        <v>3912.0</v>
      </c>
      <c r="E186" s="385" t="s">
        <v>251</v>
      </c>
      <c r="F186" s="386">
        <v>1.0</v>
      </c>
      <c r="G186" s="74">
        <v>80000.0</v>
      </c>
      <c r="H186" s="74">
        <v>0.0</v>
      </c>
      <c r="I186" s="74">
        <f t="shared" si="1"/>
        <v>80000</v>
      </c>
      <c r="J186" s="74">
        <f>IF(E186="SERVICE",I186-(I186*50%),Vlookup(E186,DATABASE!C:Q,10,false)*F186)</f>
        <v>40000</v>
      </c>
      <c r="K186" s="74">
        <f>VLOOKUP(E186,DATABASE!C:Q,7,false)</f>
        <v>0</v>
      </c>
      <c r="L186" s="74">
        <v>0.0</v>
      </c>
      <c r="M186" s="74">
        <f t="shared" si="2"/>
        <v>0</v>
      </c>
      <c r="N186" s="74">
        <f t="shared" si="3"/>
        <v>40000</v>
      </c>
      <c r="O186" s="65" t="str">
        <f>VLOOKUP(E186,DATABASE!C:Q,8,false)</f>
        <v>IBU</v>
      </c>
      <c r="P186" s="65">
        <f>VLOOKUP(E186,DATABASE!C:Q,9,False)</f>
        <v>0</v>
      </c>
      <c r="Q186" s="93" t="str">
        <f>VLOOKUP(E186,DATABASE!C:Q,4,false)</f>
        <v>SERVICE</v>
      </c>
      <c r="R186" s="93" t="str">
        <f>VLOOKUP(E186,DATABASE!C:Q,11,false)</f>
        <v>SERVICE</v>
      </c>
    </row>
    <row r="187" ht="22.5" customHeight="1">
      <c r="A187" s="49"/>
      <c r="C187" s="384">
        <v>45667.0</v>
      </c>
      <c r="D187" s="93">
        <v>3912.0</v>
      </c>
      <c r="E187" s="385" t="s">
        <v>262</v>
      </c>
      <c r="F187" s="386">
        <v>1.0</v>
      </c>
      <c r="G187" s="74">
        <v>110000.0</v>
      </c>
      <c r="H187" s="74">
        <v>0.0</v>
      </c>
      <c r="I187" s="74">
        <f t="shared" si="1"/>
        <v>110000</v>
      </c>
      <c r="J187" s="74">
        <f>IF(E187="SERVICE",I187-(I187*50%),Vlookup(E187,DATABASE!C:Q,10,false)*F187)</f>
        <v>5000</v>
      </c>
      <c r="K187" s="74">
        <f>VLOOKUP(E187,DATABASE!C:Q,7,false)</f>
        <v>0</v>
      </c>
      <c r="L187" s="74">
        <v>0.0</v>
      </c>
      <c r="M187" s="74">
        <f t="shared" si="2"/>
        <v>0</v>
      </c>
      <c r="N187" s="74">
        <f t="shared" si="3"/>
        <v>105000</v>
      </c>
      <c r="O187" s="65" t="str">
        <f>VLOOKUP(E187,DATABASE!C:Q,8,false)</f>
        <v>IBU</v>
      </c>
      <c r="P187" s="65">
        <f>VLOOKUP(E187,DATABASE!C:Q,9,False)</f>
        <v>0</v>
      </c>
      <c r="Q187" s="93" t="str">
        <f>VLOOKUP(E187,DATABASE!C:Q,4,false)</f>
        <v>SPOORING SS/CARRY LOS BAK</v>
      </c>
      <c r="R187" s="93" t="str">
        <f>VLOOKUP(E187,DATABASE!C:Q,11,false)</f>
        <v>SERVICE</v>
      </c>
    </row>
    <row r="188" ht="22.5" customHeight="1">
      <c r="A188" s="49"/>
      <c r="C188" s="384">
        <v>45667.0</v>
      </c>
      <c r="D188" s="93">
        <v>3912.0</v>
      </c>
      <c r="E188" s="385" t="s">
        <v>305</v>
      </c>
      <c r="F188" s="386">
        <v>1.0</v>
      </c>
      <c r="G188" s="74">
        <v>225000.0</v>
      </c>
      <c r="H188" s="74">
        <v>0.0</v>
      </c>
      <c r="I188" s="74">
        <f t="shared" si="1"/>
        <v>225000</v>
      </c>
      <c r="J188" s="74">
        <f>IF(E188="SERVICE",I188-(I188*50%),Vlookup(E188,DATABASE!C:Q,10,false)*F188)</f>
        <v>40000</v>
      </c>
      <c r="K188" s="74">
        <f>VLOOKUP(E188,DATABASE!C:Q,7,false)</f>
        <v>158530.2</v>
      </c>
      <c r="L188" s="74">
        <v>151890.0</v>
      </c>
      <c r="M188" s="74">
        <f t="shared" si="2"/>
        <v>155000</v>
      </c>
      <c r="N188" s="74">
        <f t="shared" si="3"/>
        <v>30000</v>
      </c>
      <c r="O188" s="65" t="str">
        <f>VLOOKUP(E188,DATABASE!C:Q,8,false)</f>
        <v>BIAN</v>
      </c>
      <c r="P188" s="65">
        <f>VLOOKUP(E188,DATABASE!C:Q,9,False)</f>
        <v>1</v>
      </c>
      <c r="Q188" s="93" t="str">
        <f>VLOOKUP(E188,DATABASE!C:Q,4,false)</f>
        <v>Lower Arm</v>
      </c>
      <c r="R188" s="93" t="str">
        <f>VLOOKUP(E188,DATABASE!C:Q,11,false)</f>
        <v>COMPLEMENTARY</v>
      </c>
    </row>
    <row r="189" ht="22.5" customHeight="1">
      <c r="A189" s="49"/>
      <c r="C189" s="384">
        <v>45667.0</v>
      </c>
      <c r="D189" s="93">
        <v>3912.0</v>
      </c>
      <c r="E189" s="385" t="s">
        <v>478</v>
      </c>
      <c r="F189" s="386">
        <v>1.0</v>
      </c>
      <c r="G189" s="74">
        <v>200000.0</v>
      </c>
      <c r="H189" s="74">
        <v>0.0</v>
      </c>
      <c r="I189" s="74">
        <f t="shared" si="1"/>
        <v>200000</v>
      </c>
      <c r="J189" s="74">
        <f>IF(E189="SERVICE",I189-(I189*50%),Vlookup(E189,DATABASE!C:Q,10,false)*F189)</f>
        <v>25000</v>
      </c>
      <c r="K189" s="74">
        <f>VLOOKUP(E189,DATABASE!C:Q,7,false)</f>
        <v>75000</v>
      </c>
      <c r="L189" s="74">
        <v>75000.0</v>
      </c>
      <c r="M189" s="74">
        <f t="shared" si="2"/>
        <v>75000</v>
      </c>
      <c r="N189" s="74">
        <f t="shared" si="3"/>
        <v>100000</v>
      </c>
      <c r="O189" s="65" t="str">
        <f>VLOOKUP(E189,DATABASE!C:Q,8,false)</f>
        <v>BIAN</v>
      </c>
      <c r="P189" s="65">
        <f>VLOOKUP(E189,DATABASE!C:Q,9,False)</f>
        <v>0</v>
      </c>
      <c r="Q189" s="93" t="str">
        <f>VLOOKUP(E189,DATABASE!C:Q,4,false)</f>
        <v>Baut Camber ss-carry</v>
      </c>
      <c r="R189" s="93" t="str">
        <f>VLOOKUP(E189,DATABASE!C:Q,11,false)</f>
        <v>COMPLEMENTARY</v>
      </c>
    </row>
    <row r="190" ht="22.5" customHeight="1">
      <c r="A190" s="49"/>
      <c r="C190" s="384">
        <v>45668.0</v>
      </c>
      <c r="D190" s="93">
        <v>3913.0</v>
      </c>
      <c r="E190" s="385" t="s">
        <v>572</v>
      </c>
      <c r="F190" s="386">
        <v>1.0</v>
      </c>
      <c r="G190" s="74">
        <v>1385000.0</v>
      </c>
      <c r="H190" s="74">
        <v>0.0</v>
      </c>
      <c r="I190" s="74">
        <f t="shared" si="1"/>
        <v>1385000</v>
      </c>
      <c r="J190" s="74">
        <f>IF(E190="SERVICE",I190-(I190*50%),Vlookup(E190,DATABASE!C:Q,10,false)*F190)</f>
        <v>0</v>
      </c>
      <c r="K190" s="140">
        <v>1270000.0</v>
      </c>
      <c r="L190" s="140">
        <v>1270000.0</v>
      </c>
      <c r="M190" s="74">
        <f t="shared" si="2"/>
        <v>1270000</v>
      </c>
      <c r="N190" s="74">
        <f t="shared" si="3"/>
        <v>115000</v>
      </c>
      <c r="O190" s="65" t="str">
        <f>VLOOKUP(E190,DATABASE!C:Q,8,false)</f>
        <v>IBU</v>
      </c>
      <c r="P190" s="65">
        <f>VLOOKUP(E190,DATABASE!C:Q,9,False)</f>
        <v>1</v>
      </c>
      <c r="Q190" s="93" t="str">
        <f>VLOOKUP(E190,DATABASE!C:Q,4,false)</f>
        <v>Bridgestone</v>
      </c>
      <c r="R190" s="93" t="str">
        <f>VLOOKUP(E190,DATABASE!C:Q,11,false)</f>
        <v>Tire</v>
      </c>
    </row>
    <row r="191" ht="22.5" customHeight="1">
      <c r="A191" s="49"/>
      <c r="C191" s="384">
        <v>45668.0</v>
      </c>
      <c r="D191" s="93">
        <v>3913.0</v>
      </c>
      <c r="E191" s="385" t="s">
        <v>255</v>
      </c>
      <c r="F191" s="386">
        <v>1.0</v>
      </c>
      <c r="G191" s="74">
        <v>200000.0</v>
      </c>
      <c r="H191" s="74">
        <v>0.0</v>
      </c>
      <c r="I191" s="74">
        <f t="shared" si="1"/>
        <v>200000</v>
      </c>
      <c r="J191" s="74">
        <f>IF(E191="SERVICE",I191-(I191*50%),Vlookup(E191,DATABASE!C:Q,10,false)*F191)</f>
        <v>0</v>
      </c>
      <c r="K191" s="74">
        <f>VLOOKUP(E191,DATABASE!C:Q,7,false)</f>
        <v>161840</v>
      </c>
      <c r="L191" s="74">
        <v>161840.0</v>
      </c>
      <c r="M191" s="74">
        <f t="shared" si="2"/>
        <v>165000</v>
      </c>
      <c r="N191" s="74">
        <f t="shared" si="3"/>
        <v>35000</v>
      </c>
      <c r="O191" s="65" t="str">
        <f>VLOOKUP(E191,DATABASE!C:Q,8,false)</f>
        <v>BIAN</v>
      </c>
      <c r="P191" s="65">
        <f>VLOOKUP(E191,DATABASE!C:Q,9,False)</f>
        <v>1</v>
      </c>
      <c r="Q191" s="93" t="str">
        <f>VLOOKUP(E191,DATABASE!C:Q,4,false)</f>
        <v>BD</v>
      </c>
      <c r="R191" s="93" t="str">
        <f>VLOOKUP(E191,DATABASE!C:Q,11,false)</f>
        <v>Tire</v>
      </c>
    </row>
    <row r="192" ht="22.5" customHeight="1">
      <c r="A192" s="49"/>
      <c r="C192" s="384">
        <v>45668.0</v>
      </c>
      <c r="D192" s="93">
        <v>3913.0</v>
      </c>
      <c r="E192" s="385" t="s">
        <v>814</v>
      </c>
      <c r="F192" s="386">
        <v>1.0</v>
      </c>
      <c r="G192" s="74">
        <v>60000.0</v>
      </c>
      <c r="H192" s="74">
        <v>0.0</v>
      </c>
      <c r="I192" s="74">
        <f t="shared" si="1"/>
        <v>60000</v>
      </c>
      <c r="J192" s="74">
        <f>IF(E192="SERVICE",I192-(I192*50%),Vlookup(E192,DATABASE!C:Q,10,false)*F192)</f>
        <v>0</v>
      </c>
      <c r="K192" s="74">
        <f>VLOOKUP(E192,DATABASE!C:Q,7,false)</f>
        <v>39440</v>
      </c>
      <c r="L192" s="74">
        <v>39440.0</v>
      </c>
      <c r="M192" s="74">
        <f t="shared" si="2"/>
        <v>40000</v>
      </c>
      <c r="N192" s="74">
        <f t="shared" si="3"/>
        <v>20000</v>
      </c>
      <c r="O192" s="65" t="str">
        <f>VLOOKUP(E192,DATABASE!C:Q,8,false)</f>
        <v>BIAN</v>
      </c>
      <c r="P192" s="65">
        <f>VLOOKUP(E192,DATABASE!C:Q,9,False)</f>
        <v>1</v>
      </c>
      <c r="Q192" s="93" t="str">
        <f>VLOOKUP(E192,DATABASE!C:Q,4,false)</f>
        <v>Flap</v>
      </c>
      <c r="R192" s="93" t="str">
        <f>VLOOKUP(E192,DATABASE!C:Q,11,false)</f>
        <v>Tire</v>
      </c>
    </row>
    <row r="193" ht="22.5" customHeight="1">
      <c r="A193" s="49"/>
      <c r="C193" s="384">
        <v>45668.0</v>
      </c>
      <c r="D193" s="93">
        <v>3914.0</v>
      </c>
      <c r="E193" s="385" t="s">
        <v>268</v>
      </c>
      <c r="F193" s="386">
        <v>2.0</v>
      </c>
      <c r="G193" s="74">
        <v>680000.0</v>
      </c>
      <c r="H193" s="74">
        <v>0.0</v>
      </c>
      <c r="I193" s="74">
        <f t="shared" si="1"/>
        <v>1360000</v>
      </c>
      <c r="J193" s="74">
        <f>IF(E193="SERVICE",I193-(I193*50%),Vlookup(E193,DATABASE!C:Q,10,false)*F193)</f>
        <v>0</v>
      </c>
      <c r="K193" s="74">
        <v>613000.0</v>
      </c>
      <c r="L193" s="74">
        <v>613000.0</v>
      </c>
      <c r="M193" s="74">
        <f t="shared" si="2"/>
        <v>615000</v>
      </c>
      <c r="N193" s="74">
        <f t="shared" si="3"/>
        <v>130000</v>
      </c>
      <c r="O193" s="65" t="str">
        <f>VLOOKUP(E193,DATABASE!C:Q,8,false)</f>
        <v>IBU</v>
      </c>
      <c r="P193" s="65">
        <f>VLOOKUP(E193,DATABASE!C:Q,9,False)</f>
        <v>1</v>
      </c>
      <c r="Q193" s="93" t="str">
        <f>VLOOKUP(E193,DATABASE!C:Q,4,false)</f>
        <v>Dunlop</v>
      </c>
      <c r="R193" s="93" t="str">
        <f>VLOOKUP(E193,DATABASE!C:Q,11,false)</f>
        <v>Tire</v>
      </c>
    </row>
    <row r="194" ht="22.5" customHeight="1">
      <c r="A194" s="49"/>
      <c r="C194" s="384">
        <v>45668.0</v>
      </c>
      <c r="D194" s="93">
        <v>3915.0</v>
      </c>
      <c r="E194" s="445" t="s">
        <v>932</v>
      </c>
      <c r="F194" s="386">
        <v>1.0</v>
      </c>
      <c r="G194" s="74">
        <v>670000.0</v>
      </c>
      <c r="H194" s="74">
        <v>0.0</v>
      </c>
      <c r="I194" s="74">
        <f t="shared" si="1"/>
        <v>670000</v>
      </c>
      <c r="J194" s="74">
        <f>IF(E194="SERVICE",I194-(I194*50%),Vlookup(E194,DATABASE!C:Q,10,false)*F194)</f>
        <v>0</v>
      </c>
      <c r="K194" s="74">
        <v>575000.0</v>
      </c>
      <c r="L194" s="74">
        <v>575000.0</v>
      </c>
      <c r="M194" s="74">
        <f t="shared" si="2"/>
        <v>575000</v>
      </c>
      <c r="N194" s="74">
        <f t="shared" si="3"/>
        <v>95000</v>
      </c>
      <c r="O194" s="65" t="str">
        <f>VLOOKUP(E194,DATABASE!C:Q,8,false)</f>
        <v>IBU</v>
      </c>
      <c r="P194" s="65">
        <f>VLOOKUP(E194,DATABASE!C:Q,9,False)</f>
        <v>1</v>
      </c>
      <c r="Q194" s="93" t="str">
        <f>VLOOKUP(E194,DATABASE!C:Q,4,false)</f>
        <v>Dunlop</v>
      </c>
      <c r="R194" s="93" t="str">
        <f>VLOOKUP(E194,DATABASE!C:Q,11,false)</f>
        <v>Tire</v>
      </c>
    </row>
    <row r="195" ht="22.5" customHeight="1">
      <c r="A195" s="49"/>
      <c r="C195" s="384">
        <v>45668.0</v>
      </c>
      <c r="D195" s="93">
        <v>3916.0</v>
      </c>
      <c r="E195" s="385" t="s">
        <v>163</v>
      </c>
      <c r="F195" s="386">
        <v>4.0</v>
      </c>
      <c r="G195" s="74">
        <v>540000.0</v>
      </c>
      <c r="H195" s="74">
        <v>0.0</v>
      </c>
      <c r="I195" s="74">
        <f t="shared" si="1"/>
        <v>2160000</v>
      </c>
      <c r="J195" s="74">
        <f>IF(E195="SERVICE",I195-(I195*50%),Vlookup(E195,DATABASE!C:Q,10,false)*F195)</f>
        <v>0</v>
      </c>
      <c r="K195" s="74">
        <v>473970.0</v>
      </c>
      <c r="L195" s="74">
        <v>473970.0</v>
      </c>
      <c r="M195" s="74">
        <f t="shared" si="2"/>
        <v>475000</v>
      </c>
      <c r="N195" s="74">
        <f t="shared" si="3"/>
        <v>260000</v>
      </c>
      <c r="O195" s="65" t="str">
        <f>VLOOKUP(E195,DATABASE!C:Q,8,false)</f>
        <v>BIAN</v>
      </c>
      <c r="P195" s="65">
        <f>VLOOKUP(E195,DATABASE!C:Q,9,False)</f>
        <v>1</v>
      </c>
      <c r="Q195" s="93" t="str">
        <f>VLOOKUP(E195,DATABASE!C:Q,4,false)</f>
        <v>Accelera</v>
      </c>
      <c r="R195" s="93" t="str">
        <f>VLOOKUP(E195,DATABASE!C:Q,11,false)</f>
        <v>Tire</v>
      </c>
    </row>
    <row r="196" ht="22.5" customHeight="1">
      <c r="A196" s="49"/>
      <c r="C196" s="384">
        <v>45668.0</v>
      </c>
      <c r="D196" s="93">
        <v>3918.0</v>
      </c>
      <c r="E196" s="385" t="s">
        <v>256</v>
      </c>
      <c r="F196" s="386">
        <v>1.0</v>
      </c>
      <c r="G196" s="74">
        <v>130000.0</v>
      </c>
      <c r="H196" s="74">
        <v>0.0</v>
      </c>
      <c r="I196" s="74">
        <f t="shared" si="1"/>
        <v>130000</v>
      </c>
      <c r="J196" s="74">
        <f>IF(E196="SERVICE",I196-(I196*50%),Vlookup(E196,DATABASE!C:Q,10,false)*F196)</f>
        <v>10000</v>
      </c>
      <c r="K196" s="74">
        <f>VLOOKUP(E196,DATABASE!C:Q,7,false)</f>
        <v>0</v>
      </c>
      <c r="L196" s="74">
        <v>0.0</v>
      </c>
      <c r="M196" s="74">
        <f t="shared" si="2"/>
        <v>0</v>
      </c>
      <c r="N196" s="74">
        <f t="shared" si="3"/>
        <v>120000</v>
      </c>
      <c r="O196" s="65" t="str">
        <f>VLOOKUP(E196,DATABASE!C:Q,8,false)</f>
        <v>IBU</v>
      </c>
      <c r="P196" s="65">
        <f>VLOOKUP(E196,DATABASE!C:Q,9,False)</f>
        <v>0</v>
      </c>
      <c r="Q196" s="93" t="str">
        <f>VLOOKUP(E196,DATABASE!C:Q,4,false)</f>
        <v>SPOORING</v>
      </c>
      <c r="R196" s="93" t="str">
        <f>VLOOKUP(E196,DATABASE!C:Q,11,false)</f>
        <v>SERVICE</v>
      </c>
    </row>
    <row r="197" ht="22.5" customHeight="1">
      <c r="A197" s="49"/>
      <c r="C197" s="384">
        <v>45668.0</v>
      </c>
      <c r="D197" s="93">
        <v>3918.0</v>
      </c>
      <c r="E197" s="385" t="s">
        <v>301</v>
      </c>
      <c r="F197" s="386">
        <v>1.0</v>
      </c>
      <c r="G197" s="74">
        <v>250000.0</v>
      </c>
      <c r="H197" s="74">
        <v>0.0</v>
      </c>
      <c r="I197" s="74">
        <f t="shared" si="1"/>
        <v>250000</v>
      </c>
      <c r="J197" s="74">
        <f>IF(E197="SERVICE",I197-(I197*50%),Vlookup(E197,DATABASE!C:Q,10,false)*F197)</f>
        <v>75000</v>
      </c>
      <c r="K197" s="74">
        <f>VLOOKUP(E197,DATABASE!C:Q,7,false)</f>
        <v>75000</v>
      </c>
      <c r="L197" s="74">
        <v>75000.0</v>
      </c>
      <c r="M197" s="74">
        <f t="shared" si="2"/>
        <v>75000</v>
      </c>
      <c r="N197" s="74">
        <f t="shared" si="3"/>
        <v>100000</v>
      </c>
      <c r="O197" s="65" t="str">
        <f>VLOOKUP(E197,DATABASE!C:Q,8,false)</f>
        <v>BIAN</v>
      </c>
      <c r="P197" s="65">
        <f>VLOOKUP(E197,DATABASE!C:Q,9,False)</f>
        <v>0</v>
      </c>
      <c r="Q197" s="93" t="str">
        <f>VLOOKUP(E197,DATABASE!C:Q,4,false)</f>
        <v>Baut Camber</v>
      </c>
      <c r="R197" s="93" t="str">
        <f>VLOOKUP(E197,DATABASE!C:Q,11,false)</f>
        <v>COMPLEMENTARY</v>
      </c>
    </row>
    <row r="198" ht="22.5" customHeight="1">
      <c r="A198" s="49"/>
      <c r="C198" s="384">
        <v>45668.0</v>
      </c>
      <c r="D198" s="93">
        <v>3919.0</v>
      </c>
      <c r="E198" s="385" t="s">
        <v>256</v>
      </c>
      <c r="F198" s="386">
        <v>1.0</v>
      </c>
      <c r="G198" s="74">
        <v>130000.0</v>
      </c>
      <c r="H198" s="74">
        <v>0.0</v>
      </c>
      <c r="I198" s="74">
        <f t="shared" si="1"/>
        <v>130000</v>
      </c>
      <c r="J198" s="74">
        <f>IF(E198="SERVICE",I198-(I198*50%),Vlookup(E198,DATABASE!C:Q,10,false)*F198)</f>
        <v>10000</v>
      </c>
      <c r="K198" s="74">
        <f>VLOOKUP(E198,DATABASE!C:Q,7,false)</f>
        <v>0</v>
      </c>
      <c r="L198" s="74">
        <v>0.0</v>
      </c>
      <c r="M198" s="74">
        <f t="shared" si="2"/>
        <v>0</v>
      </c>
      <c r="N198" s="74">
        <f t="shared" si="3"/>
        <v>120000</v>
      </c>
      <c r="O198" s="65" t="str">
        <f>VLOOKUP(E198,DATABASE!C:Q,8,false)</f>
        <v>IBU</v>
      </c>
      <c r="P198" s="65">
        <f>VLOOKUP(E198,DATABASE!C:Q,9,False)</f>
        <v>0</v>
      </c>
      <c r="Q198" s="93" t="str">
        <f>VLOOKUP(E198,DATABASE!C:Q,4,false)</f>
        <v>SPOORING</v>
      </c>
      <c r="R198" s="93" t="str">
        <f>VLOOKUP(E198,DATABASE!C:Q,11,false)</f>
        <v>SERVICE</v>
      </c>
    </row>
    <row r="199" ht="22.5" customHeight="1">
      <c r="A199" s="49"/>
      <c r="C199" s="384">
        <v>45668.0</v>
      </c>
      <c r="D199" s="93">
        <v>3920.0</v>
      </c>
      <c r="E199" s="385" t="s">
        <v>256</v>
      </c>
      <c r="F199" s="386">
        <v>1.0</v>
      </c>
      <c r="G199" s="74">
        <v>130000.0</v>
      </c>
      <c r="H199" s="74">
        <v>0.0</v>
      </c>
      <c r="I199" s="74">
        <f t="shared" si="1"/>
        <v>130000</v>
      </c>
      <c r="J199" s="74">
        <f>IF(E199="SERVICE",I199-(I199*50%),Vlookup(E199,DATABASE!C:Q,10,false)*F199)</f>
        <v>10000</v>
      </c>
      <c r="K199" s="74">
        <f>VLOOKUP(E199,DATABASE!C:Q,7,false)</f>
        <v>0</v>
      </c>
      <c r="L199" s="74">
        <v>0.0</v>
      </c>
      <c r="M199" s="74">
        <f t="shared" si="2"/>
        <v>0</v>
      </c>
      <c r="N199" s="74">
        <f t="shared" si="3"/>
        <v>120000</v>
      </c>
      <c r="O199" s="65" t="str">
        <f>VLOOKUP(E199,DATABASE!C:Q,8,false)</f>
        <v>IBU</v>
      </c>
      <c r="P199" s="65">
        <f>VLOOKUP(E199,DATABASE!C:Q,9,False)</f>
        <v>0</v>
      </c>
      <c r="Q199" s="93" t="str">
        <f>VLOOKUP(E199,DATABASE!C:Q,4,false)</f>
        <v>SPOORING</v>
      </c>
      <c r="R199" s="93" t="str">
        <f>VLOOKUP(E199,DATABASE!C:Q,11,false)</f>
        <v>SERVICE</v>
      </c>
    </row>
    <row r="200" ht="22.5" customHeight="1">
      <c r="A200" s="49"/>
      <c r="C200" s="384">
        <v>45668.0</v>
      </c>
      <c r="D200" s="93">
        <v>3920.0</v>
      </c>
      <c r="E200" s="385" t="s">
        <v>251</v>
      </c>
      <c r="F200" s="386">
        <v>1.0</v>
      </c>
      <c r="G200" s="74">
        <v>150000.0</v>
      </c>
      <c r="H200" s="74">
        <v>0.0</v>
      </c>
      <c r="I200" s="74">
        <f t="shared" si="1"/>
        <v>150000</v>
      </c>
      <c r="J200" s="74">
        <f>IF(E200="SERVICE",I200-(I200*50%),Vlookup(E200,DATABASE!C:Q,10,false)*F200)</f>
        <v>75000</v>
      </c>
      <c r="K200" s="74">
        <f>VLOOKUP(E200,DATABASE!C:Q,7,false)</f>
        <v>0</v>
      </c>
      <c r="L200" s="74">
        <v>0.0</v>
      </c>
      <c r="M200" s="74">
        <f t="shared" si="2"/>
        <v>0</v>
      </c>
      <c r="N200" s="74">
        <f t="shared" si="3"/>
        <v>75000</v>
      </c>
      <c r="O200" s="65" t="str">
        <f>VLOOKUP(E200,DATABASE!C:Q,8,false)</f>
        <v>IBU</v>
      </c>
      <c r="P200" s="65">
        <f>VLOOKUP(E200,DATABASE!C:Q,9,False)</f>
        <v>0</v>
      </c>
      <c r="Q200" s="93" t="str">
        <f>VLOOKUP(E200,DATABASE!C:Q,4,false)</f>
        <v>SERVICE</v>
      </c>
      <c r="R200" s="93" t="str">
        <f>VLOOKUP(E200,DATABASE!C:Q,11,false)</f>
        <v>SERVICE</v>
      </c>
    </row>
    <row r="201" ht="22.5" customHeight="1">
      <c r="A201" s="49"/>
      <c r="C201" s="384">
        <v>45668.0</v>
      </c>
      <c r="D201" s="93">
        <v>3921.0</v>
      </c>
      <c r="E201" s="385" t="s">
        <v>605</v>
      </c>
      <c r="F201" s="386">
        <v>2.0</v>
      </c>
      <c r="G201" s="74">
        <v>740000.0</v>
      </c>
      <c r="H201" s="74">
        <v>0.0</v>
      </c>
      <c r="I201" s="74">
        <f t="shared" si="1"/>
        <v>1480000</v>
      </c>
      <c r="J201" s="74">
        <f>IF(E201="SERVICE",I201-(I201*50%),Vlookup(E201,DATABASE!C:Q,10,false)*F201)</f>
        <v>0</v>
      </c>
      <c r="K201" s="74">
        <v>670000.0</v>
      </c>
      <c r="L201" s="74">
        <v>670000.0</v>
      </c>
      <c r="M201" s="74">
        <f t="shared" si="2"/>
        <v>670000</v>
      </c>
      <c r="N201" s="74">
        <f t="shared" si="3"/>
        <v>140000</v>
      </c>
      <c r="O201" s="65" t="str">
        <f>VLOOKUP(E201,DATABASE!C:Q,8,false)</f>
        <v>IBU</v>
      </c>
      <c r="P201" s="65">
        <f>VLOOKUP(E201,DATABASE!C:Q,9,False)</f>
        <v>1</v>
      </c>
      <c r="Q201" s="93" t="str">
        <f>VLOOKUP(E201,DATABASE!C:Q,4,false)</f>
        <v>Bridgestone</v>
      </c>
      <c r="R201" s="93" t="str">
        <f>VLOOKUP(E201,DATABASE!C:Q,11,false)</f>
        <v>Tire</v>
      </c>
    </row>
    <row r="202" ht="22.5" customHeight="1">
      <c r="A202" s="49"/>
      <c r="C202" s="384">
        <v>45668.0</v>
      </c>
      <c r="D202" s="93">
        <v>3922.0</v>
      </c>
      <c r="E202" s="385" t="s">
        <v>1383</v>
      </c>
      <c r="F202" s="386">
        <v>1.0</v>
      </c>
      <c r="G202" s="74">
        <v>900000.0</v>
      </c>
      <c r="H202" s="74">
        <v>0.0</v>
      </c>
      <c r="I202" s="74">
        <f t="shared" si="1"/>
        <v>900000</v>
      </c>
      <c r="J202" s="74">
        <f>IF(E202="SERVICE",I202-(I202*50%),Vlookup(E202,DATABASE!C:Q,10,false)*F202)</f>
        <v>0</v>
      </c>
      <c r="K202" s="74">
        <f>VLOOKUP(E202,DATABASE!C:Q,7,false)</f>
        <v>812000</v>
      </c>
      <c r="L202" s="74">
        <v>812000.0</v>
      </c>
      <c r="M202" s="74">
        <f t="shared" si="2"/>
        <v>815000</v>
      </c>
      <c r="N202" s="74">
        <f t="shared" si="3"/>
        <v>85000</v>
      </c>
      <c r="O202" s="65" t="str">
        <f>VLOOKUP(E202,DATABASE!C:Q,8,false)</f>
        <v>IBU</v>
      </c>
      <c r="P202" s="65">
        <f>VLOOKUP(E202,DATABASE!C:Q,9,False)</f>
        <v>1</v>
      </c>
      <c r="Q202" s="93" t="str">
        <f>VLOOKUP(E202,DATABASE!C:Q,4,false)</f>
        <v>Dunlop</v>
      </c>
      <c r="R202" s="93" t="str">
        <f>VLOOKUP(E202,DATABASE!C:Q,11,false)</f>
        <v>Tire</v>
      </c>
    </row>
    <row r="203" ht="22.5" customHeight="1">
      <c r="A203" s="49"/>
      <c r="C203" s="384">
        <v>45670.0</v>
      </c>
      <c r="D203" s="93">
        <v>3923.0</v>
      </c>
      <c r="E203" s="385" t="s">
        <v>856</v>
      </c>
      <c r="F203" s="386">
        <v>1.0</v>
      </c>
      <c r="G203" s="74">
        <v>640000.0</v>
      </c>
      <c r="H203" s="74">
        <v>0.0</v>
      </c>
      <c r="I203" s="74">
        <f t="shared" si="1"/>
        <v>640000</v>
      </c>
      <c r="J203" s="74">
        <f>IF(E203="SERVICE",I203-(I203*50%),Vlookup(E203,DATABASE!C:Q,10,false)*F203)</f>
        <v>0</v>
      </c>
      <c r="K203" s="74">
        <v>560000.0</v>
      </c>
      <c r="L203" s="74">
        <v>560000.0</v>
      </c>
      <c r="M203" s="74">
        <f t="shared" si="2"/>
        <v>560000</v>
      </c>
      <c r="N203" s="74">
        <f t="shared" si="3"/>
        <v>80000</v>
      </c>
      <c r="O203" s="65" t="str">
        <f>VLOOKUP(E203,DATABASE!C:Q,8,false)</f>
        <v>BIAN</v>
      </c>
      <c r="P203" s="65">
        <f>VLOOKUP(E203,DATABASE!C:Q,9,False)</f>
        <v>1</v>
      </c>
      <c r="Q203" s="93" t="str">
        <f>VLOOKUP(E203,DATABASE!C:Q,4,false)</f>
        <v>GT</v>
      </c>
      <c r="R203" s="93" t="str">
        <f>VLOOKUP(E203,DATABASE!C:Q,11,false)</f>
        <v>Tire</v>
      </c>
    </row>
    <row r="204" ht="22.5" customHeight="1">
      <c r="A204" s="49"/>
      <c r="C204" s="384">
        <v>45670.0</v>
      </c>
      <c r="D204" s="93">
        <v>3923.0</v>
      </c>
      <c r="E204" s="385" t="s">
        <v>1439</v>
      </c>
      <c r="F204" s="386">
        <v>1.0</v>
      </c>
      <c r="G204" s="74">
        <v>625000.0</v>
      </c>
      <c r="H204" s="74">
        <v>0.0</v>
      </c>
      <c r="I204" s="74">
        <f t="shared" si="1"/>
        <v>625000</v>
      </c>
      <c r="J204" s="74">
        <f>IF(E204="SERVICE",I204-(I204*50%),Vlookup(E204,DATABASE!C:Q,10,false)*F204)</f>
        <v>0</v>
      </c>
      <c r="K204" s="74">
        <f>VLOOKUP(E204,DATABASE!C:Q,7,false)</f>
        <v>556800</v>
      </c>
      <c r="L204" s="74">
        <v>540800.0</v>
      </c>
      <c r="M204" s="74">
        <f t="shared" si="2"/>
        <v>545000</v>
      </c>
      <c r="N204" s="74">
        <f t="shared" si="3"/>
        <v>80000</v>
      </c>
      <c r="O204" s="65" t="str">
        <f>VLOOKUP(E204,DATABASE!C:Q,8,false)</f>
        <v>BIAN</v>
      </c>
      <c r="P204" s="65">
        <f>VLOOKUP(E204,DATABASE!C:Q,9,False)</f>
        <v>1</v>
      </c>
      <c r="Q204" s="93" t="str">
        <f>VLOOKUP(E204,DATABASE!C:Q,4,false)</f>
        <v>GT</v>
      </c>
      <c r="R204" s="93" t="str">
        <f>VLOOKUP(E204,DATABASE!C:Q,11,false)</f>
        <v>Tire</v>
      </c>
    </row>
    <row r="205" ht="22.5" customHeight="1">
      <c r="A205" s="49"/>
      <c r="C205" s="384">
        <v>45670.0</v>
      </c>
      <c r="D205" s="93">
        <v>3924.0</v>
      </c>
      <c r="E205" s="385" t="s">
        <v>518</v>
      </c>
      <c r="F205" s="386">
        <v>2.0</v>
      </c>
      <c r="G205" s="74">
        <v>1185000.0</v>
      </c>
      <c r="H205" s="74">
        <v>0.0</v>
      </c>
      <c r="I205" s="74">
        <f t="shared" si="1"/>
        <v>2370000</v>
      </c>
      <c r="J205" s="74">
        <f>IF(E205="SERVICE",I205-(I205*50%),Vlookup(E205,DATABASE!C:Q,10,false)*F205)</f>
        <v>0</v>
      </c>
      <c r="K205" s="74">
        <f>VLOOKUP(E205,DATABASE!C:Q,7,false)</f>
        <v>1085500</v>
      </c>
      <c r="L205" s="74">
        <v>1085500.0</v>
      </c>
      <c r="M205" s="74">
        <f t="shared" si="2"/>
        <v>1090000</v>
      </c>
      <c r="N205" s="74">
        <f t="shared" si="3"/>
        <v>190000</v>
      </c>
      <c r="O205" s="65" t="str">
        <f>VLOOKUP(E205,DATABASE!C:Q,8,false)</f>
        <v>IBU</v>
      </c>
      <c r="P205" s="65">
        <f>VLOOKUP(E205,DATABASE!C:Q,9,False)</f>
        <v>1</v>
      </c>
      <c r="Q205" s="93" t="str">
        <f>VLOOKUP(E205,DATABASE!C:Q,4,false)</f>
        <v>Bridgestone</v>
      </c>
      <c r="R205" s="93" t="str">
        <f>VLOOKUP(E205,DATABASE!C:Q,11,false)</f>
        <v>Tire</v>
      </c>
    </row>
    <row r="206" ht="22.5" customHeight="1">
      <c r="A206" s="49"/>
      <c r="C206" s="384">
        <v>45670.0</v>
      </c>
      <c r="D206" s="93">
        <v>3924.0</v>
      </c>
      <c r="E206" s="385" t="s">
        <v>299</v>
      </c>
      <c r="F206" s="386">
        <v>2.0</v>
      </c>
      <c r="G206" s="74">
        <v>30000.0</v>
      </c>
      <c r="H206" s="74">
        <v>0.0</v>
      </c>
      <c r="I206" s="74">
        <f t="shared" si="1"/>
        <v>60000</v>
      </c>
      <c r="J206" s="74">
        <f>IF(E206="SERVICE",I206-(I206*50%),Vlookup(E206,DATABASE!C:Q,10,false)*F206)</f>
        <v>0</v>
      </c>
      <c r="K206" s="74">
        <v>0.0</v>
      </c>
      <c r="L206" s="74">
        <v>0.0</v>
      </c>
      <c r="M206" s="74">
        <f t="shared" si="2"/>
        <v>0</v>
      </c>
      <c r="N206" s="74">
        <f t="shared" si="3"/>
        <v>60000</v>
      </c>
      <c r="O206" s="65" t="str">
        <f>VLOOKUP(E206,DATABASE!C:Q,8,false)</f>
        <v>BIAN</v>
      </c>
      <c r="P206" s="65">
        <f>VLOOKUP(E206,DATABASE!C:Q,9,False)</f>
        <v>0</v>
      </c>
      <c r="Q206" s="93" t="str">
        <f>VLOOKUP(E206,DATABASE!C:Q,4,false)</f>
        <v>Balancing</v>
      </c>
      <c r="R206" s="93" t="str">
        <f>VLOOKUP(E206,DATABASE!C:Q,11,false)</f>
        <v>COMPLEMENTARY</v>
      </c>
    </row>
    <row r="207" ht="22.5" customHeight="1">
      <c r="A207" s="49"/>
      <c r="C207" s="384">
        <v>45670.0</v>
      </c>
      <c r="D207" s="93">
        <v>3925.0</v>
      </c>
      <c r="E207" s="385" t="s">
        <v>554</v>
      </c>
      <c r="F207" s="386">
        <v>2.0</v>
      </c>
      <c r="G207" s="74">
        <v>790000.0</v>
      </c>
      <c r="H207" s="74">
        <v>0.0</v>
      </c>
      <c r="I207" s="74">
        <f t="shared" si="1"/>
        <v>1580000</v>
      </c>
      <c r="J207" s="74">
        <f>IF(E207="SERVICE",I207-(I207*50%),Vlookup(E207,DATABASE!C:Q,10,false)*F207)</f>
        <v>0</v>
      </c>
      <c r="K207" s="74">
        <f>VLOOKUP(E207,DATABASE!C:Q,7,false)</f>
        <v>710000</v>
      </c>
      <c r="L207" s="74">
        <v>680000.0</v>
      </c>
      <c r="M207" s="74">
        <f t="shared" si="2"/>
        <v>680000</v>
      </c>
      <c r="N207" s="74">
        <f t="shared" si="3"/>
        <v>220000</v>
      </c>
      <c r="O207" s="65" t="str">
        <f>VLOOKUP(E207,DATABASE!C:Q,8,false)</f>
        <v>IBU</v>
      </c>
      <c r="P207" s="65">
        <f>VLOOKUP(E207,DATABASE!C:Q,9,False)</f>
        <v>1</v>
      </c>
      <c r="Q207" s="93" t="str">
        <f>VLOOKUP(E207,DATABASE!C:Q,4,false)</f>
        <v>Bridgestone</v>
      </c>
      <c r="R207" s="93" t="str">
        <f>VLOOKUP(E207,DATABASE!C:Q,11,false)</f>
        <v>Tire</v>
      </c>
    </row>
    <row r="208" ht="22.5" customHeight="1">
      <c r="A208" s="49"/>
      <c r="C208" s="384">
        <v>45670.0</v>
      </c>
      <c r="D208" s="93">
        <v>3926.0</v>
      </c>
      <c r="E208" s="385" t="s">
        <v>447</v>
      </c>
      <c r="F208" s="386">
        <v>1.0</v>
      </c>
      <c r="G208" s="74">
        <v>1825000.0</v>
      </c>
      <c r="H208" s="74">
        <v>0.0</v>
      </c>
      <c r="I208" s="74">
        <f t="shared" si="1"/>
        <v>1825000</v>
      </c>
      <c r="J208" s="74">
        <f>IF(E208="SERVICE",I208-(I208*50%),Vlookup(E208,DATABASE!C:Q,10,false)*F208)</f>
        <v>0</v>
      </c>
      <c r="K208" s="74">
        <f>VLOOKUP(E208,DATABASE!C:Q,7,false)</f>
        <v>1725000</v>
      </c>
      <c r="L208" s="74">
        <v>1725000.0</v>
      </c>
      <c r="M208" s="74">
        <f t="shared" si="2"/>
        <v>1725000</v>
      </c>
      <c r="N208" s="74">
        <f t="shared" si="3"/>
        <v>100000</v>
      </c>
      <c r="O208" s="65" t="str">
        <f>VLOOKUP(E208,DATABASE!C:Q,8,false)</f>
        <v>BIAN</v>
      </c>
      <c r="P208" s="65">
        <f>VLOOKUP(E208,DATABASE!C:Q,9,False)</f>
        <v>0</v>
      </c>
      <c r="Q208" s="93" t="str">
        <f>VLOOKUP(E208,DATABASE!C:Q,4,false)</f>
        <v>Aspira</v>
      </c>
      <c r="R208" s="93" t="str">
        <f>VLOOKUP(E208,DATABASE!C:Q,11,false)</f>
        <v>Tire</v>
      </c>
    </row>
    <row r="209" ht="22.5" customHeight="1">
      <c r="A209" s="49"/>
      <c r="C209" s="384">
        <v>45670.0</v>
      </c>
      <c r="D209" s="93">
        <v>3928.0</v>
      </c>
      <c r="E209" s="385" t="s">
        <v>955</v>
      </c>
      <c r="F209" s="386">
        <v>2.0</v>
      </c>
      <c r="G209" s="74">
        <v>760000.0</v>
      </c>
      <c r="H209" s="74">
        <v>0.0</v>
      </c>
      <c r="I209" s="74">
        <f t="shared" si="1"/>
        <v>1520000</v>
      </c>
      <c r="J209" s="74">
        <f>IF(E209="SERVICE",I209-(I209*50%),Vlookup(E209,DATABASE!C:Q,10,false)*F209)</f>
        <v>0</v>
      </c>
      <c r="K209" s="74">
        <f>VLOOKUP(E209,DATABASE!C:Q,7,false)</f>
        <v>712000</v>
      </c>
      <c r="L209" s="74">
        <v>674000.0</v>
      </c>
      <c r="M209" s="74">
        <f t="shared" si="2"/>
        <v>675000</v>
      </c>
      <c r="N209" s="74">
        <f t="shared" si="3"/>
        <v>170000</v>
      </c>
      <c r="O209" s="65" t="str">
        <f>VLOOKUP(E209,DATABASE!C:Q,8,false)</f>
        <v>IBU</v>
      </c>
      <c r="P209" s="65">
        <f>VLOOKUP(E209,DATABASE!C:Q,9,False)</f>
        <v>1</v>
      </c>
      <c r="Q209" s="93" t="str">
        <f>VLOOKUP(E209,DATABASE!C:Q,4,false)</f>
        <v>Dunlop</v>
      </c>
      <c r="R209" s="93" t="str">
        <f>VLOOKUP(E209,DATABASE!C:Q,11,false)</f>
        <v>Tire</v>
      </c>
    </row>
    <row r="210" ht="22.5" customHeight="1">
      <c r="A210" s="49"/>
      <c r="C210" s="384">
        <v>45670.0</v>
      </c>
      <c r="D210" s="93">
        <v>3928.0</v>
      </c>
      <c r="E210" s="385" t="s">
        <v>299</v>
      </c>
      <c r="F210" s="386">
        <v>2.0</v>
      </c>
      <c r="G210" s="74">
        <v>30000.0</v>
      </c>
      <c r="H210" s="74">
        <v>0.0</v>
      </c>
      <c r="I210" s="74">
        <f t="shared" si="1"/>
        <v>60000</v>
      </c>
      <c r="J210" s="74">
        <f>IF(E210="SERVICE",I210-(I210*50%),Vlookup(E210,DATABASE!C:Q,10,false)*F210)</f>
        <v>0</v>
      </c>
      <c r="K210" s="74">
        <v>0.0</v>
      </c>
      <c r="L210" s="74">
        <v>0.0</v>
      </c>
      <c r="M210" s="74">
        <f t="shared" si="2"/>
        <v>0</v>
      </c>
      <c r="N210" s="74">
        <f t="shared" si="3"/>
        <v>60000</v>
      </c>
      <c r="O210" s="65" t="str">
        <f>VLOOKUP(E210,DATABASE!C:Q,8,false)</f>
        <v>BIAN</v>
      </c>
      <c r="P210" s="65">
        <f>VLOOKUP(E210,DATABASE!C:Q,9,False)</f>
        <v>0</v>
      </c>
      <c r="Q210" s="93" t="str">
        <f>VLOOKUP(E210,DATABASE!C:Q,4,false)</f>
        <v>Balancing</v>
      </c>
      <c r="R210" s="93" t="str">
        <f>VLOOKUP(E210,DATABASE!C:Q,11,false)</f>
        <v>COMPLEMENTARY</v>
      </c>
    </row>
    <row r="211" ht="22.5" customHeight="1">
      <c r="A211" s="49"/>
      <c r="C211" s="384">
        <v>45670.0</v>
      </c>
      <c r="D211" s="93">
        <v>3928.0</v>
      </c>
      <c r="E211" s="385" t="s">
        <v>256</v>
      </c>
      <c r="F211" s="386">
        <v>1.0</v>
      </c>
      <c r="G211" s="74">
        <v>130000.0</v>
      </c>
      <c r="H211" s="74">
        <v>0.0</v>
      </c>
      <c r="I211" s="74">
        <f t="shared" si="1"/>
        <v>130000</v>
      </c>
      <c r="J211" s="74">
        <f>IF(E211="SERVICE",I211-(I211*50%),Vlookup(E211,DATABASE!C:Q,10,false)*F211)</f>
        <v>10000</v>
      </c>
      <c r="K211" s="74">
        <f>VLOOKUP(E211,DATABASE!C:Q,7,false)</f>
        <v>0</v>
      </c>
      <c r="L211" s="74">
        <v>0.0</v>
      </c>
      <c r="M211" s="74">
        <f t="shared" si="2"/>
        <v>0</v>
      </c>
      <c r="N211" s="74">
        <f t="shared" si="3"/>
        <v>120000</v>
      </c>
      <c r="O211" s="65" t="str">
        <f>VLOOKUP(E211,DATABASE!C:Q,8,false)</f>
        <v>IBU</v>
      </c>
      <c r="P211" s="65">
        <f>VLOOKUP(E211,DATABASE!C:Q,9,False)</f>
        <v>0</v>
      </c>
      <c r="Q211" s="93" t="str">
        <f>VLOOKUP(E211,DATABASE!C:Q,4,false)</f>
        <v>SPOORING</v>
      </c>
      <c r="R211" s="93" t="str">
        <f>VLOOKUP(E211,DATABASE!C:Q,11,false)</f>
        <v>SERVICE</v>
      </c>
    </row>
    <row r="212" ht="22.5" customHeight="1">
      <c r="A212" s="49"/>
      <c r="C212" s="384">
        <v>45670.0</v>
      </c>
      <c r="D212" s="93">
        <v>3928.0</v>
      </c>
      <c r="E212" s="385" t="s">
        <v>301</v>
      </c>
      <c r="F212" s="386">
        <v>1.0</v>
      </c>
      <c r="G212" s="74">
        <v>250000.0</v>
      </c>
      <c r="H212" s="74">
        <v>0.0</v>
      </c>
      <c r="I212" s="74">
        <f t="shared" si="1"/>
        <v>250000</v>
      </c>
      <c r="J212" s="74">
        <f>IF(E212="SERVICE",I212-(I212*50%),Vlookup(E212,DATABASE!C:Q,10,false)*F212)</f>
        <v>75000</v>
      </c>
      <c r="K212" s="74">
        <f>VLOOKUP(E212,DATABASE!C:Q,7,false)</f>
        <v>75000</v>
      </c>
      <c r="L212" s="74">
        <v>75000.0</v>
      </c>
      <c r="M212" s="74">
        <f t="shared" si="2"/>
        <v>75000</v>
      </c>
      <c r="N212" s="74">
        <f t="shared" si="3"/>
        <v>100000</v>
      </c>
      <c r="O212" s="65" t="str">
        <f>VLOOKUP(E212,DATABASE!C:Q,8,false)</f>
        <v>BIAN</v>
      </c>
      <c r="P212" s="65">
        <f>VLOOKUP(E212,DATABASE!C:Q,9,False)</f>
        <v>0</v>
      </c>
      <c r="Q212" s="93" t="str">
        <f>VLOOKUP(E212,DATABASE!C:Q,4,false)</f>
        <v>Baut Camber</v>
      </c>
      <c r="R212" s="93" t="str">
        <f>VLOOKUP(E212,DATABASE!C:Q,11,false)</f>
        <v>COMPLEMENTARY</v>
      </c>
    </row>
    <row r="213" ht="22.5" customHeight="1">
      <c r="A213" s="49"/>
      <c r="C213" s="384">
        <v>45670.0</v>
      </c>
      <c r="D213" s="93">
        <v>3929.0</v>
      </c>
      <c r="E213" s="385" t="s">
        <v>268</v>
      </c>
      <c r="F213" s="386">
        <v>2.0</v>
      </c>
      <c r="G213" s="74">
        <v>675000.0</v>
      </c>
      <c r="H213" s="74">
        <v>0.0</v>
      </c>
      <c r="I213" s="74">
        <f t="shared" si="1"/>
        <v>1350000</v>
      </c>
      <c r="J213" s="74">
        <f>IF(E213="SERVICE",I213-(I213*50%),Vlookup(E213,DATABASE!C:Q,10,false)*F213)</f>
        <v>0</v>
      </c>
      <c r="K213" s="74">
        <v>613000.0</v>
      </c>
      <c r="L213" s="74">
        <v>613000.0</v>
      </c>
      <c r="M213" s="74">
        <f t="shared" si="2"/>
        <v>615000</v>
      </c>
      <c r="N213" s="74">
        <f t="shared" si="3"/>
        <v>120000</v>
      </c>
      <c r="O213" s="65" t="str">
        <f>VLOOKUP(E213,DATABASE!C:Q,8,false)</f>
        <v>IBU</v>
      </c>
      <c r="P213" s="65">
        <f>VLOOKUP(E213,DATABASE!C:Q,9,False)</f>
        <v>1</v>
      </c>
      <c r="Q213" s="93" t="str">
        <f>VLOOKUP(E213,DATABASE!C:Q,4,false)</f>
        <v>Dunlop</v>
      </c>
      <c r="R213" s="93" t="str">
        <f>VLOOKUP(E213,DATABASE!C:Q,11,false)</f>
        <v>Tire</v>
      </c>
    </row>
    <row r="214" ht="22.5" customHeight="1">
      <c r="A214" s="49"/>
      <c r="C214" s="384">
        <v>45670.0</v>
      </c>
      <c r="D214" s="93">
        <v>3930.0</v>
      </c>
      <c r="E214" s="385" t="s">
        <v>256</v>
      </c>
      <c r="F214" s="386">
        <v>1.0</v>
      </c>
      <c r="G214" s="74">
        <v>130000.0</v>
      </c>
      <c r="H214" s="74">
        <v>0.0</v>
      </c>
      <c r="I214" s="74">
        <f t="shared" si="1"/>
        <v>130000</v>
      </c>
      <c r="J214" s="74">
        <f>IF(E214="SERVICE",I214-(I214*50%),Vlookup(E214,DATABASE!C:Q,10,false)*F214)</f>
        <v>10000</v>
      </c>
      <c r="K214" s="74">
        <f>VLOOKUP(E214,DATABASE!C:Q,7,false)</f>
        <v>0</v>
      </c>
      <c r="L214" s="74">
        <v>0.0</v>
      </c>
      <c r="M214" s="74">
        <f t="shared" si="2"/>
        <v>0</v>
      </c>
      <c r="N214" s="74">
        <f t="shared" si="3"/>
        <v>120000</v>
      </c>
      <c r="O214" s="65" t="str">
        <f>VLOOKUP(E214,DATABASE!C:Q,8,false)</f>
        <v>IBU</v>
      </c>
      <c r="P214" s="65">
        <f>VLOOKUP(E214,DATABASE!C:Q,9,False)</f>
        <v>0</v>
      </c>
      <c r="Q214" s="93" t="str">
        <f>VLOOKUP(E214,DATABASE!C:Q,4,false)</f>
        <v>SPOORING</v>
      </c>
      <c r="R214" s="93" t="str">
        <f>VLOOKUP(E214,DATABASE!C:Q,11,false)</f>
        <v>SERVICE</v>
      </c>
    </row>
    <row r="215" ht="22.5" customHeight="1">
      <c r="A215" s="49"/>
      <c r="C215" s="384">
        <v>45670.0</v>
      </c>
      <c r="D215" s="93">
        <v>3930.0</v>
      </c>
      <c r="E215" s="385" t="s">
        <v>299</v>
      </c>
      <c r="F215" s="386">
        <v>2.0</v>
      </c>
      <c r="G215" s="74">
        <v>30000.0</v>
      </c>
      <c r="H215" s="74">
        <v>0.0</v>
      </c>
      <c r="I215" s="74">
        <f t="shared" si="1"/>
        <v>60000</v>
      </c>
      <c r="J215" s="74">
        <f>IF(E215="SERVICE",I215-(I215*50%),Vlookup(E215,DATABASE!C:Q,10,false)*F215)</f>
        <v>0</v>
      </c>
      <c r="K215" s="74">
        <v>0.0</v>
      </c>
      <c r="L215" s="74">
        <v>0.0</v>
      </c>
      <c r="M215" s="74">
        <f t="shared" si="2"/>
        <v>0</v>
      </c>
      <c r="N215" s="74">
        <f t="shared" si="3"/>
        <v>60000</v>
      </c>
      <c r="O215" s="65" t="str">
        <f>VLOOKUP(E215,DATABASE!C:Q,8,false)</f>
        <v>BIAN</v>
      </c>
      <c r="P215" s="65">
        <f>VLOOKUP(E215,DATABASE!C:Q,9,False)</f>
        <v>0</v>
      </c>
      <c r="Q215" s="93" t="str">
        <f>VLOOKUP(E215,DATABASE!C:Q,4,false)</f>
        <v>Balancing</v>
      </c>
      <c r="R215" s="93" t="str">
        <f>VLOOKUP(E215,DATABASE!C:Q,11,false)</f>
        <v>COMPLEMENTARY</v>
      </c>
    </row>
    <row r="216" ht="22.5" customHeight="1">
      <c r="A216" s="49"/>
      <c r="C216" s="384">
        <v>45670.0</v>
      </c>
      <c r="D216" s="93">
        <v>3930.0</v>
      </c>
      <c r="E216" s="385" t="s">
        <v>301</v>
      </c>
      <c r="F216" s="386">
        <v>1.0</v>
      </c>
      <c r="G216" s="74">
        <v>250000.0</v>
      </c>
      <c r="H216" s="74">
        <v>0.0</v>
      </c>
      <c r="I216" s="74">
        <f t="shared" si="1"/>
        <v>250000</v>
      </c>
      <c r="J216" s="74">
        <f>IF(E216="SERVICE",I216-(I216*50%),Vlookup(E216,DATABASE!C:Q,10,false)*F216)</f>
        <v>75000</v>
      </c>
      <c r="K216" s="74">
        <f>VLOOKUP(E216,DATABASE!C:Q,7,false)</f>
        <v>75000</v>
      </c>
      <c r="L216" s="74">
        <v>75000.0</v>
      </c>
      <c r="M216" s="74">
        <f t="shared" si="2"/>
        <v>75000</v>
      </c>
      <c r="N216" s="74">
        <f t="shared" si="3"/>
        <v>100000</v>
      </c>
      <c r="O216" s="65" t="str">
        <f>VLOOKUP(E216,DATABASE!C:Q,8,false)</f>
        <v>BIAN</v>
      </c>
      <c r="P216" s="65">
        <f>VLOOKUP(E216,DATABASE!C:Q,9,False)</f>
        <v>0</v>
      </c>
      <c r="Q216" s="93" t="str">
        <f>VLOOKUP(E216,DATABASE!C:Q,4,false)</f>
        <v>Baut Camber</v>
      </c>
      <c r="R216" s="93" t="str">
        <f>VLOOKUP(E216,DATABASE!C:Q,11,false)</f>
        <v>COMPLEMENTARY</v>
      </c>
    </row>
    <row r="217" ht="22.5" customHeight="1">
      <c r="A217" s="49"/>
      <c r="C217" s="384">
        <v>45670.0</v>
      </c>
      <c r="D217" s="93">
        <v>3931.0</v>
      </c>
      <c r="E217" s="385" t="s">
        <v>791</v>
      </c>
      <c r="F217" s="386">
        <v>2.0</v>
      </c>
      <c r="G217" s="74">
        <v>1250000.0</v>
      </c>
      <c r="H217" s="74">
        <v>0.0</v>
      </c>
      <c r="I217" s="74">
        <f t="shared" si="1"/>
        <v>2500000</v>
      </c>
      <c r="J217" s="74">
        <f>IF(E217="SERVICE",I217-(I217*50%),Vlookup(E217,DATABASE!C:Q,10,false)*F217)</f>
        <v>0</v>
      </c>
      <c r="K217" s="74">
        <f>VLOOKUP(E217,DATABASE!C:Q,7,false)</f>
        <v>1210000</v>
      </c>
      <c r="L217" s="74">
        <v>1180000.0</v>
      </c>
      <c r="M217" s="74">
        <f t="shared" si="2"/>
        <v>1180000</v>
      </c>
      <c r="N217" s="74">
        <f t="shared" si="3"/>
        <v>140000</v>
      </c>
      <c r="O217" s="65" t="str">
        <f>VLOOKUP(E217,DATABASE!C:Q,8,false)</f>
        <v>BIAN</v>
      </c>
      <c r="P217" s="65">
        <f>VLOOKUP(E217,DATABASE!C:Q,9,False)</f>
        <v>1</v>
      </c>
      <c r="Q217" s="93" t="str">
        <f>VLOOKUP(E217,DATABASE!C:Q,4,false)</f>
        <v>GT</v>
      </c>
      <c r="R217" s="93" t="str">
        <f>VLOOKUP(E217,DATABASE!C:Q,11,false)</f>
        <v>Tire</v>
      </c>
    </row>
    <row r="218" ht="22.5" customHeight="1">
      <c r="A218" s="49"/>
      <c r="C218" s="384">
        <v>45670.0</v>
      </c>
      <c r="D218" s="93">
        <v>3931.0</v>
      </c>
      <c r="E218" s="385" t="s">
        <v>255</v>
      </c>
      <c r="F218" s="386">
        <v>2.0</v>
      </c>
      <c r="G218" s="74">
        <v>200000.0</v>
      </c>
      <c r="H218" s="74">
        <v>0.0</v>
      </c>
      <c r="I218" s="74">
        <f t="shared" si="1"/>
        <v>400000</v>
      </c>
      <c r="J218" s="74">
        <f>IF(E218="SERVICE",I218-(I218*50%),Vlookup(E218,DATABASE!C:Q,10,false)*F218)</f>
        <v>0</v>
      </c>
      <c r="K218" s="74">
        <f>VLOOKUP(E218,DATABASE!C:Q,7,false)</f>
        <v>161840</v>
      </c>
      <c r="L218" s="74">
        <v>161840.0</v>
      </c>
      <c r="M218" s="74">
        <f t="shared" si="2"/>
        <v>165000</v>
      </c>
      <c r="N218" s="74">
        <f t="shared" si="3"/>
        <v>70000</v>
      </c>
      <c r="O218" s="65" t="str">
        <f>VLOOKUP(E218,DATABASE!C:Q,8,false)</f>
        <v>BIAN</v>
      </c>
      <c r="P218" s="65">
        <f>VLOOKUP(E218,DATABASE!C:Q,9,False)</f>
        <v>1</v>
      </c>
      <c r="Q218" s="93" t="str">
        <f>VLOOKUP(E218,DATABASE!C:Q,4,false)</f>
        <v>BD</v>
      </c>
      <c r="R218" s="93" t="str">
        <f>VLOOKUP(E218,DATABASE!C:Q,11,false)</f>
        <v>Tire</v>
      </c>
    </row>
    <row r="219" ht="22.5" customHeight="1">
      <c r="A219" s="49"/>
      <c r="C219" s="384">
        <v>45670.0</v>
      </c>
      <c r="D219" s="93">
        <v>3933.0</v>
      </c>
      <c r="E219" s="385" t="s">
        <v>932</v>
      </c>
      <c r="F219" s="386">
        <v>4.0</v>
      </c>
      <c r="G219" s="74">
        <v>650000.0</v>
      </c>
      <c r="H219" s="74">
        <v>0.0</v>
      </c>
      <c r="I219" s="74">
        <f t="shared" si="1"/>
        <v>2600000</v>
      </c>
      <c r="J219" s="74">
        <f>IF(E219="SERVICE",I219-(I219*50%),Vlookup(E219,DATABASE!C:Q,10,false)*F219)</f>
        <v>0</v>
      </c>
      <c r="K219" s="74">
        <v>575000.0</v>
      </c>
      <c r="L219" s="74">
        <v>575000.0</v>
      </c>
      <c r="M219" s="74">
        <f t="shared" si="2"/>
        <v>575000</v>
      </c>
      <c r="N219" s="74">
        <f t="shared" si="3"/>
        <v>300000</v>
      </c>
      <c r="O219" s="65" t="str">
        <f>VLOOKUP(E219,DATABASE!C:Q,8,false)</f>
        <v>IBU</v>
      </c>
      <c r="P219" s="65">
        <f>VLOOKUP(E219,DATABASE!C:Q,9,False)</f>
        <v>1</v>
      </c>
      <c r="Q219" s="93" t="str">
        <f>VLOOKUP(E219,DATABASE!C:Q,4,false)</f>
        <v>Dunlop</v>
      </c>
      <c r="R219" s="93" t="str">
        <f>VLOOKUP(E219,DATABASE!C:Q,11,false)</f>
        <v>Tire</v>
      </c>
    </row>
    <row r="220" ht="22.5" customHeight="1">
      <c r="A220" s="49"/>
      <c r="C220" s="384">
        <v>45670.0</v>
      </c>
      <c r="D220" s="93">
        <v>3933.0</v>
      </c>
      <c r="E220" s="385" t="s">
        <v>2135</v>
      </c>
      <c r="F220" s="386">
        <v>4.0</v>
      </c>
      <c r="G220" s="74">
        <v>15000.0</v>
      </c>
      <c r="H220" s="74">
        <v>0.0</v>
      </c>
      <c r="I220" s="74">
        <f t="shared" si="1"/>
        <v>60000</v>
      </c>
      <c r="J220" s="74">
        <f>IF(E220="SERVICE",I220-(I220*50%),Vlookup(E220,DATABASE!C:Q,10,false)*F220)</f>
        <v>0</v>
      </c>
      <c r="K220" s="74">
        <f>VLOOKUP(E220,DATABASE!C:Q,7,false)</f>
        <v>0</v>
      </c>
      <c r="L220" s="74">
        <v>0.0</v>
      </c>
      <c r="M220" s="74">
        <f t="shared" si="2"/>
        <v>0</v>
      </c>
      <c r="N220" s="74">
        <f t="shared" si="3"/>
        <v>60000</v>
      </c>
      <c r="O220" s="65" t="str">
        <f>VLOOKUP(E220,DATABASE!C:Q,8,false)</f>
        <v>IBU</v>
      </c>
      <c r="P220" s="65">
        <f>VLOOKUP(E220,DATABASE!C:Q,9,False)</f>
        <v>0</v>
      </c>
      <c r="Q220" s="93" t="str">
        <f>VLOOKUP(E220,DATABASE!C:Q,4,false)</f>
        <v>NITROGEN</v>
      </c>
      <c r="R220" s="93" t="str">
        <f>VLOOKUP(E220,DATABASE!C:Q,11,false)</f>
        <v>COMPLEMENTARY</v>
      </c>
    </row>
    <row r="221" ht="22.5" customHeight="1">
      <c r="A221" s="49"/>
      <c r="C221" s="384">
        <v>45670.0</v>
      </c>
      <c r="D221" s="93">
        <v>3934.0</v>
      </c>
      <c r="E221" s="445" t="s">
        <v>256</v>
      </c>
      <c r="F221" s="386">
        <v>1.0</v>
      </c>
      <c r="G221" s="74">
        <v>130000.0</v>
      </c>
      <c r="H221" s="74">
        <v>0.0</v>
      </c>
      <c r="I221" s="74">
        <f t="shared" si="1"/>
        <v>130000</v>
      </c>
      <c r="J221" s="74">
        <f>IF(E221="SERVICE",I221-(I221*50%),Vlookup(E221,DATABASE!C:Q,10,false)*F221)</f>
        <v>10000</v>
      </c>
      <c r="K221" s="74">
        <f>VLOOKUP(E221,DATABASE!C:Q,7,false)</f>
        <v>0</v>
      </c>
      <c r="L221" s="74">
        <v>0.0</v>
      </c>
      <c r="M221" s="74">
        <f t="shared" si="2"/>
        <v>0</v>
      </c>
      <c r="N221" s="74">
        <f t="shared" si="3"/>
        <v>120000</v>
      </c>
      <c r="O221" s="65" t="str">
        <f>VLOOKUP(E221,DATABASE!C:Q,8,false)</f>
        <v>IBU</v>
      </c>
      <c r="P221" s="65">
        <f>VLOOKUP(E221,DATABASE!C:Q,9,False)</f>
        <v>0</v>
      </c>
      <c r="Q221" s="93" t="str">
        <f>VLOOKUP(E221,DATABASE!C:Q,4,false)</f>
        <v>SPOORING</v>
      </c>
      <c r="R221" s="93" t="str">
        <f>VLOOKUP(E221,DATABASE!C:Q,11,false)</f>
        <v>SERVICE</v>
      </c>
    </row>
    <row r="222" ht="22.5" customHeight="1">
      <c r="A222" s="49"/>
      <c r="C222" s="384">
        <v>45670.0</v>
      </c>
      <c r="D222" s="93">
        <v>3934.0</v>
      </c>
      <c r="E222" s="385" t="s">
        <v>246</v>
      </c>
      <c r="F222" s="386">
        <v>1.0</v>
      </c>
      <c r="G222" s="74">
        <v>25000.0</v>
      </c>
      <c r="H222" s="74">
        <v>0.0</v>
      </c>
      <c r="I222" s="74">
        <f t="shared" si="1"/>
        <v>25000</v>
      </c>
      <c r="J222" s="74">
        <f>IF(E222="SERVICE",I222-(I222*50%),Vlookup(E222,DATABASE!C:Q,10,false)*F222)</f>
        <v>0</v>
      </c>
      <c r="K222" s="74">
        <f>VLOOKUP(E222,DATABASE!C:Q,7,false)</f>
        <v>0</v>
      </c>
      <c r="L222" s="74">
        <v>0.0</v>
      </c>
      <c r="M222" s="74">
        <f t="shared" si="2"/>
        <v>0</v>
      </c>
      <c r="N222" s="74">
        <f t="shared" si="3"/>
        <v>25000</v>
      </c>
      <c r="O222" s="65" t="str">
        <f>VLOOKUP(E222,DATABASE!C:Q,8,false)</f>
        <v>IBU</v>
      </c>
      <c r="P222" s="65">
        <f>VLOOKUP(E222,DATABASE!C:Q,9,False)</f>
        <v>0</v>
      </c>
      <c r="Q222" s="93" t="str">
        <f>VLOOKUP(E222,DATABASE!C:Q,4,false)</f>
        <v>Bongkar Pasang</v>
      </c>
      <c r="R222" s="93" t="str">
        <f>VLOOKUP(E222,DATABASE!C:Q,11,false)</f>
        <v>SERVICE</v>
      </c>
    </row>
    <row r="223" ht="22.5" customHeight="1">
      <c r="A223" s="49"/>
      <c r="C223" s="384">
        <v>45670.0</v>
      </c>
      <c r="D223" s="93">
        <v>3935.0</v>
      </c>
      <c r="E223" s="385" t="s">
        <v>275</v>
      </c>
      <c r="F223" s="386">
        <v>2.0</v>
      </c>
      <c r="G223" s="74">
        <v>820000.0</v>
      </c>
      <c r="H223" s="74">
        <v>0.0</v>
      </c>
      <c r="I223" s="74">
        <f t="shared" si="1"/>
        <v>1640000</v>
      </c>
      <c r="J223" s="74">
        <f>IF(E223="SERVICE",I223-(I223*50%),Vlookup(E223,DATABASE!C:Q,10,false)*F223)</f>
        <v>0</v>
      </c>
      <c r="K223" s="74">
        <v>735000.0</v>
      </c>
      <c r="L223" s="74">
        <v>735000.0</v>
      </c>
      <c r="M223" s="74">
        <f t="shared" si="2"/>
        <v>735000</v>
      </c>
      <c r="N223" s="74">
        <f t="shared" si="3"/>
        <v>170000</v>
      </c>
      <c r="O223" s="65" t="str">
        <f>VLOOKUP(E223,DATABASE!C:Q,8,false)</f>
        <v>IBU</v>
      </c>
      <c r="P223" s="65">
        <f>VLOOKUP(E223,DATABASE!C:Q,9,False)</f>
        <v>1</v>
      </c>
      <c r="Q223" s="93" t="str">
        <f>VLOOKUP(E223,DATABASE!C:Q,4,false)</f>
        <v>Dunlop</v>
      </c>
      <c r="R223" s="93" t="str">
        <f>VLOOKUP(E223,DATABASE!C:Q,11,false)</f>
        <v>Tire</v>
      </c>
    </row>
    <row r="224" ht="22.5" customHeight="1">
      <c r="A224" s="49"/>
      <c r="C224" s="384">
        <v>45670.0</v>
      </c>
      <c r="D224" s="93">
        <v>3936.0</v>
      </c>
      <c r="E224" s="385" t="s">
        <v>566</v>
      </c>
      <c r="F224" s="386">
        <v>2.0</v>
      </c>
      <c r="G224" s="74">
        <v>1670000.0</v>
      </c>
      <c r="H224" s="74">
        <v>0.0</v>
      </c>
      <c r="I224" s="74">
        <f t="shared" si="1"/>
        <v>3340000</v>
      </c>
      <c r="J224" s="74">
        <f>IF(E224="SERVICE",I224-(I224*50%),Vlookup(E224,DATABASE!C:Q,10,false)*F224)</f>
        <v>0</v>
      </c>
      <c r="K224" s="140">
        <v>1570000.0</v>
      </c>
      <c r="L224" s="140">
        <v>1570000.0</v>
      </c>
      <c r="M224" s="74">
        <f t="shared" si="2"/>
        <v>1570000</v>
      </c>
      <c r="N224" s="74">
        <f t="shared" si="3"/>
        <v>200000</v>
      </c>
      <c r="O224" s="65" t="str">
        <f>VLOOKUP(E224,DATABASE!C:Q,8,false)</f>
        <v>IBU</v>
      </c>
      <c r="P224" s="65">
        <f>VLOOKUP(E224,DATABASE!C:Q,9,False)</f>
        <v>1</v>
      </c>
      <c r="Q224" s="93" t="str">
        <f>VLOOKUP(E224,DATABASE!C:Q,4,false)</f>
        <v>Bridgestone</v>
      </c>
      <c r="R224" s="93" t="str">
        <f>VLOOKUP(E224,DATABASE!C:Q,11,false)</f>
        <v>Tire</v>
      </c>
    </row>
    <row r="225" ht="22.5" customHeight="1">
      <c r="A225" s="49"/>
      <c r="C225" s="384">
        <v>45670.0</v>
      </c>
      <c r="D225" s="93">
        <v>3937.0</v>
      </c>
      <c r="E225" s="385" t="s">
        <v>1009</v>
      </c>
      <c r="F225" s="386">
        <v>2.0</v>
      </c>
      <c r="G225" s="74">
        <v>660000.0</v>
      </c>
      <c r="H225" s="74">
        <v>0.0</v>
      </c>
      <c r="I225" s="74">
        <f t="shared" si="1"/>
        <v>1320000</v>
      </c>
      <c r="J225" s="74">
        <f>IF(E225="SERVICE",I225-(I225*50%),Vlookup(E225,DATABASE!C:Q,10,false)*F225)</f>
        <v>0</v>
      </c>
      <c r="K225" s="74">
        <f>VLOOKUP(E225,DATABASE!C:Q,7,false)</f>
        <v>609800</v>
      </c>
      <c r="L225" s="74">
        <v>592200.0</v>
      </c>
      <c r="M225" s="74">
        <f t="shared" si="2"/>
        <v>595000</v>
      </c>
      <c r="N225" s="74">
        <f t="shared" si="3"/>
        <v>130000</v>
      </c>
      <c r="O225" s="65" t="str">
        <f>VLOOKUP(E225,DATABASE!C:Q,8,false)</f>
        <v>BIAN</v>
      </c>
      <c r="P225" s="65">
        <f>VLOOKUP(E225,DATABASE!C:Q,9,False)</f>
        <v>1</v>
      </c>
      <c r="Q225" s="93" t="str">
        <f>VLOOKUP(E225,DATABASE!C:Q,4,false)</f>
        <v>GT</v>
      </c>
      <c r="R225" s="93" t="str">
        <f>VLOOKUP(E225,DATABASE!C:Q,11,false)</f>
        <v>Tire</v>
      </c>
    </row>
    <row r="226" ht="22.5" customHeight="1">
      <c r="A226" s="49"/>
      <c r="C226" s="384">
        <v>45670.0</v>
      </c>
      <c r="D226" s="93">
        <v>3937.0</v>
      </c>
      <c r="E226" s="385" t="s">
        <v>256</v>
      </c>
      <c r="F226" s="386">
        <v>1.0</v>
      </c>
      <c r="G226" s="74">
        <v>130000.0</v>
      </c>
      <c r="H226" s="74">
        <v>0.0</v>
      </c>
      <c r="I226" s="74">
        <f t="shared" si="1"/>
        <v>130000</v>
      </c>
      <c r="J226" s="74">
        <f>IF(E226="SERVICE",I226-(I226*50%),Vlookup(E226,DATABASE!C:Q,10,false)*F226)</f>
        <v>10000</v>
      </c>
      <c r="K226" s="74">
        <f>VLOOKUP(E226,DATABASE!C:Q,7,false)</f>
        <v>0</v>
      </c>
      <c r="L226" s="74">
        <v>0.0</v>
      </c>
      <c r="M226" s="74">
        <f t="shared" si="2"/>
        <v>0</v>
      </c>
      <c r="N226" s="74">
        <f t="shared" si="3"/>
        <v>120000</v>
      </c>
      <c r="O226" s="65" t="str">
        <f>VLOOKUP(E226,DATABASE!C:Q,8,false)</f>
        <v>IBU</v>
      </c>
      <c r="P226" s="65">
        <f>VLOOKUP(E226,DATABASE!C:Q,9,False)</f>
        <v>0</v>
      </c>
      <c r="Q226" s="93" t="str">
        <f>VLOOKUP(E226,DATABASE!C:Q,4,false)</f>
        <v>SPOORING</v>
      </c>
      <c r="R226" s="93" t="str">
        <f>VLOOKUP(E226,DATABASE!C:Q,11,false)</f>
        <v>SERVICE</v>
      </c>
    </row>
    <row r="227" ht="22.5" customHeight="1">
      <c r="A227" s="49"/>
      <c r="C227" s="384">
        <v>45670.0</v>
      </c>
      <c r="D227" s="93">
        <v>3937.0</v>
      </c>
      <c r="E227" s="385" t="s">
        <v>301</v>
      </c>
      <c r="F227" s="386">
        <v>1.0</v>
      </c>
      <c r="G227" s="74">
        <v>250000.0</v>
      </c>
      <c r="H227" s="74">
        <v>0.0</v>
      </c>
      <c r="I227" s="74">
        <f t="shared" si="1"/>
        <v>250000</v>
      </c>
      <c r="J227" s="74">
        <f>IF(E227="SERVICE",I227-(I227*50%),Vlookup(E227,DATABASE!C:Q,10,false)*F227)</f>
        <v>75000</v>
      </c>
      <c r="K227" s="74">
        <f>VLOOKUP(E227,DATABASE!C:Q,7,false)</f>
        <v>75000</v>
      </c>
      <c r="L227" s="74">
        <v>75000.0</v>
      </c>
      <c r="M227" s="74">
        <f t="shared" si="2"/>
        <v>75000</v>
      </c>
      <c r="N227" s="74">
        <f t="shared" si="3"/>
        <v>100000</v>
      </c>
      <c r="O227" s="65" t="str">
        <f>VLOOKUP(E227,DATABASE!C:Q,8,false)</f>
        <v>BIAN</v>
      </c>
      <c r="P227" s="65">
        <f>VLOOKUP(E227,DATABASE!C:Q,9,False)</f>
        <v>0</v>
      </c>
      <c r="Q227" s="93" t="str">
        <f>VLOOKUP(E227,DATABASE!C:Q,4,false)</f>
        <v>Baut Camber</v>
      </c>
      <c r="R227" s="93" t="str">
        <f>VLOOKUP(E227,DATABASE!C:Q,11,false)</f>
        <v>COMPLEMENTARY</v>
      </c>
    </row>
    <row r="228" ht="22.5" customHeight="1">
      <c r="A228" s="49"/>
      <c r="C228" s="384">
        <v>45670.0</v>
      </c>
      <c r="D228" s="93">
        <v>3939.0</v>
      </c>
      <c r="E228" s="445" t="s">
        <v>1749</v>
      </c>
      <c r="F228" s="386">
        <v>2.0</v>
      </c>
      <c r="G228" s="74">
        <v>65000.0</v>
      </c>
      <c r="H228" s="74">
        <v>0.0</v>
      </c>
      <c r="I228" s="74">
        <f t="shared" si="1"/>
        <v>130000</v>
      </c>
      <c r="J228" s="74">
        <f>IF(E228="SERVICE",I228-(I228*50%),Vlookup(E228,DATABASE!C:Q,10,false)*F228)</f>
        <v>0</v>
      </c>
      <c r="K228" s="74">
        <f>VLOOKUP(E228,DATABASE!C:Q,7,false)</f>
        <v>40350</v>
      </c>
      <c r="L228" s="74">
        <v>40350.0</v>
      </c>
      <c r="M228" s="74">
        <f t="shared" si="2"/>
        <v>45000</v>
      </c>
      <c r="N228" s="74">
        <f t="shared" si="3"/>
        <v>40000</v>
      </c>
      <c r="O228" s="65" t="str">
        <f>VLOOKUP(E228,DATABASE!C:Q,8,false)</f>
        <v>BIAN</v>
      </c>
      <c r="P228" s="65">
        <f>VLOOKUP(E228,DATABASE!C:Q,9,False)</f>
        <v>1</v>
      </c>
      <c r="Q228" s="93" t="str">
        <f>VLOOKUP(E228,DATABASE!C:Q,4,false)</f>
        <v>Flap</v>
      </c>
      <c r="R228" s="93" t="str">
        <f>VLOOKUP(E228,DATABASE!C:Q,11,false)</f>
        <v>Tire</v>
      </c>
    </row>
    <row r="229" ht="22.5" customHeight="1">
      <c r="A229" s="49"/>
      <c r="C229" s="384">
        <v>45670.0</v>
      </c>
      <c r="D229" s="93">
        <v>3940.0</v>
      </c>
      <c r="E229" s="445" t="s">
        <v>268</v>
      </c>
      <c r="F229" s="386">
        <v>3.0</v>
      </c>
      <c r="G229" s="74">
        <v>675000.0</v>
      </c>
      <c r="H229" s="74">
        <v>0.0</v>
      </c>
      <c r="I229" s="74">
        <f t="shared" si="1"/>
        <v>2025000</v>
      </c>
      <c r="J229" s="74">
        <f>IF(E229="SERVICE",I229-(I229*50%),Vlookup(E229,DATABASE!C:Q,10,false)*F229)</f>
        <v>0</v>
      </c>
      <c r="K229" s="74">
        <v>613000.0</v>
      </c>
      <c r="L229" s="74">
        <v>613000.0</v>
      </c>
      <c r="M229" s="74">
        <f t="shared" si="2"/>
        <v>615000</v>
      </c>
      <c r="N229" s="74">
        <f t="shared" si="3"/>
        <v>180000</v>
      </c>
      <c r="O229" s="65" t="str">
        <f>VLOOKUP(E229,DATABASE!C:Q,8,false)</f>
        <v>IBU</v>
      </c>
      <c r="P229" s="65">
        <f>VLOOKUP(E229,DATABASE!C:Q,9,False)</f>
        <v>1</v>
      </c>
      <c r="Q229" s="93" t="str">
        <f>VLOOKUP(E229,DATABASE!C:Q,4,false)</f>
        <v>Dunlop</v>
      </c>
      <c r="R229" s="93" t="str">
        <f>VLOOKUP(E229,DATABASE!C:Q,11,false)</f>
        <v>Tire</v>
      </c>
    </row>
    <row r="230" ht="22.5" customHeight="1">
      <c r="A230" s="49"/>
      <c r="C230" s="384">
        <v>45670.0</v>
      </c>
      <c r="D230" s="93">
        <v>3992.0</v>
      </c>
      <c r="E230" s="445" t="s">
        <v>265</v>
      </c>
      <c r="F230" s="386">
        <v>2.0</v>
      </c>
      <c r="G230" s="74">
        <v>660000.0</v>
      </c>
      <c r="H230" s="74">
        <v>0.0</v>
      </c>
      <c r="I230" s="74">
        <f t="shared" si="1"/>
        <v>1320000</v>
      </c>
      <c r="J230" s="74">
        <f>IF(E230="SERVICE",I230-(I230*50%),Vlookup(E230,DATABASE!C:Q,10,false)*F230)</f>
        <v>0</v>
      </c>
      <c r="K230" s="74">
        <v>590000.0</v>
      </c>
      <c r="L230" s="74">
        <v>590000.0</v>
      </c>
      <c r="M230" s="74">
        <f t="shared" si="2"/>
        <v>590000</v>
      </c>
      <c r="N230" s="74">
        <f t="shared" si="3"/>
        <v>140000</v>
      </c>
      <c r="O230" s="65" t="str">
        <f>VLOOKUP(E230,DATABASE!C:Q,8,false)</f>
        <v>IBU</v>
      </c>
      <c r="P230" s="65">
        <f>VLOOKUP(E230,DATABASE!C:Q,9,False)</f>
        <v>1</v>
      </c>
      <c r="Q230" s="93" t="str">
        <f>VLOOKUP(E230,DATABASE!C:Q,4,false)</f>
        <v>Dunlop</v>
      </c>
      <c r="R230" s="93" t="str">
        <f>VLOOKUP(E230,DATABASE!C:Q,11,false)</f>
        <v>Tire</v>
      </c>
    </row>
    <row r="231" ht="22.5" customHeight="1">
      <c r="A231" s="49"/>
      <c r="C231" s="384">
        <v>45671.0</v>
      </c>
      <c r="D231" s="93">
        <v>3942.0</v>
      </c>
      <c r="E231" s="445" t="s">
        <v>268</v>
      </c>
      <c r="F231" s="386">
        <v>1.0</v>
      </c>
      <c r="G231" s="74">
        <v>680000.0</v>
      </c>
      <c r="H231" s="74">
        <v>0.0</v>
      </c>
      <c r="I231" s="74">
        <f t="shared" si="1"/>
        <v>680000</v>
      </c>
      <c r="J231" s="74">
        <f>IF(E231="SERVICE",I231-(I231*50%),Vlookup(E231,DATABASE!C:Q,10,false)*F231)</f>
        <v>0</v>
      </c>
      <c r="K231" s="74">
        <v>613000.0</v>
      </c>
      <c r="L231" s="74">
        <v>613000.0</v>
      </c>
      <c r="M231" s="74">
        <f t="shared" si="2"/>
        <v>615000</v>
      </c>
      <c r="N231" s="74">
        <f t="shared" si="3"/>
        <v>65000</v>
      </c>
      <c r="O231" s="65" t="str">
        <f>VLOOKUP(E231,DATABASE!C:Q,8,false)</f>
        <v>IBU</v>
      </c>
      <c r="P231" s="65">
        <f>VLOOKUP(E231,DATABASE!C:Q,9,False)</f>
        <v>1</v>
      </c>
      <c r="Q231" s="93" t="str">
        <f>VLOOKUP(E231,DATABASE!C:Q,4,false)</f>
        <v>Dunlop</v>
      </c>
      <c r="R231" s="93" t="str">
        <f>VLOOKUP(E231,DATABASE!C:Q,11,false)</f>
        <v>Tire</v>
      </c>
    </row>
    <row r="232" ht="22.5" customHeight="1">
      <c r="A232" s="49"/>
      <c r="C232" s="384">
        <v>45671.0</v>
      </c>
      <c r="D232" s="93">
        <v>3943.0</v>
      </c>
      <c r="E232" s="445" t="s">
        <v>265</v>
      </c>
      <c r="F232" s="386">
        <v>2.0</v>
      </c>
      <c r="G232" s="74">
        <v>650000.0</v>
      </c>
      <c r="H232" s="74">
        <v>0.0</v>
      </c>
      <c r="I232" s="74">
        <f t="shared" si="1"/>
        <v>1300000</v>
      </c>
      <c r="J232" s="74">
        <f>IF(E232="SERVICE",I232-(I232*50%),Vlookup(E232,DATABASE!C:Q,10,false)*F232)</f>
        <v>0</v>
      </c>
      <c r="K232" s="74">
        <v>590000.0</v>
      </c>
      <c r="L232" s="74">
        <v>590000.0</v>
      </c>
      <c r="M232" s="74">
        <f t="shared" si="2"/>
        <v>590000</v>
      </c>
      <c r="N232" s="74">
        <f t="shared" si="3"/>
        <v>120000</v>
      </c>
      <c r="O232" s="65" t="str">
        <f>VLOOKUP(E232,DATABASE!C:Q,8,false)</f>
        <v>IBU</v>
      </c>
      <c r="P232" s="65">
        <f>VLOOKUP(E232,DATABASE!C:Q,9,False)</f>
        <v>1</v>
      </c>
      <c r="Q232" s="93" t="str">
        <f>VLOOKUP(E232,DATABASE!C:Q,4,false)</f>
        <v>Dunlop</v>
      </c>
      <c r="R232" s="93" t="str">
        <f>VLOOKUP(E232,DATABASE!C:Q,11,false)</f>
        <v>Tire</v>
      </c>
    </row>
    <row r="233" ht="22.5" customHeight="1">
      <c r="A233" s="49"/>
      <c r="C233" s="384">
        <v>45671.0</v>
      </c>
      <c r="D233" s="93">
        <v>3943.0</v>
      </c>
      <c r="E233" s="385" t="s">
        <v>299</v>
      </c>
      <c r="F233" s="386">
        <v>2.0</v>
      </c>
      <c r="G233" s="74">
        <v>30000.0</v>
      </c>
      <c r="H233" s="74">
        <v>0.0</v>
      </c>
      <c r="I233" s="74">
        <f t="shared" si="1"/>
        <v>60000</v>
      </c>
      <c r="J233" s="74">
        <f>IF(E233="SERVICE",I233-(I233*50%),Vlookup(E233,DATABASE!C:Q,10,false)*F233)</f>
        <v>0</v>
      </c>
      <c r="K233" s="74">
        <v>0.0</v>
      </c>
      <c r="L233" s="74">
        <v>0.0</v>
      </c>
      <c r="M233" s="74">
        <f t="shared" si="2"/>
        <v>0</v>
      </c>
      <c r="N233" s="74">
        <f t="shared" si="3"/>
        <v>60000</v>
      </c>
      <c r="O233" s="65" t="str">
        <f>VLOOKUP(E233,DATABASE!C:Q,8,false)</f>
        <v>BIAN</v>
      </c>
      <c r="P233" s="65">
        <f>VLOOKUP(E233,DATABASE!C:Q,9,False)</f>
        <v>0</v>
      </c>
      <c r="Q233" s="93" t="str">
        <f>VLOOKUP(E233,DATABASE!C:Q,4,false)</f>
        <v>Balancing</v>
      </c>
      <c r="R233" s="93" t="str">
        <f>VLOOKUP(E233,DATABASE!C:Q,11,false)</f>
        <v>COMPLEMENTARY</v>
      </c>
    </row>
    <row r="234" ht="22.5" customHeight="1">
      <c r="A234" s="49"/>
      <c r="C234" s="384">
        <v>45671.0</v>
      </c>
      <c r="D234" s="93">
        <v>3943.0</v>
      </c>
      <c r="E234" s="385" t="s">
        <v>256</v>
      </c>
      <c r="F234" s="386">
        <v>1.0</v>
      </c>
      <c r="G234" s="74">
        <v>130000.0</v>
      </c>
      <c r="H234" s="74">
        <v>0.0</v>
      </c>
      <c r="I234" s="74">
        <f t="shared" si="1"/>
        <v>130000</v>
      </c>
      <c r="J234" s="74">
        <f>IF(E234="SERVICE",I234-(I234*50%),Vlookup(E234,DATABASE!C:Q,10,false)*F234)</f>
        <v>10000</v>
      </c>
      <c r="K234" s="74">
        <f>VLOOKUP(E234,DATABASE!C:Q,7,false)</f>
        <v>0</v>
      </c>
      <c r="L234" s="74">
        <v>0.0</v>
      </c>
      <c r="M234" s="74">
        <f t="shared" si="2"/>
        <v>0</v>
      </c>
      <c r="N234" s="74">
        <f t="shared" si="3"/>
        <v>120000</v>
      </c>
      <c r="O234" s="65" t="str">
        <f>VLOOKUP(E234,DATABASE!C:Q,8,false)</f>
        <v>IBU</v>
      </c>
      <c r="P234" s="65">
        <f>VLOOKUP(E234,DATABASE!C:Q,9,False)</f>
        <v>0</v>
      </c>
      <c r="Q234" s="93" t="str">
        <f>VLOOKUP(E234,DATABASE!C:Q,4,false)</f>
        <v>SPOORING</v>
      </c>
      <c r="R234" s="93" t="str">
        <f>VLOOKUP(E234,DATABASE!C:Q,11,false)</f>
        <v>SERVICE</v>
      </c>
    </row>
    <row r="235" ht="22.5" customHeight="1">
      <c r="A235" s="49"/>
      <c r="C235" s="384">
        <v>45671.0</v>
      </c>
      <c r="D235" s="93">
        <v>3943.0</v>
      </c>
      <c r="E235" s="385" t="s">
        <v>301</v>
      </c>
      <c r="F235" s="386">
        <v>1.0</v>
      </c>
      <c r="G235" s="74">
        <v>250000.0</v>
      </c>
      <c r="H235" s="74">
        <v>0.0</v>
      </c>
      <c r="I235" s="74">
        <f t="shared" si="1"/>
        <v>250000</v>
      </c>
      <c r="J235" s="74">
        <f>IF(E235="SERVICE",I235-(I235*50%),Vlookup(E235,DATABASE!C:Q,10,false)*F235)</f>
        <v>75000</v>
      </c>
      <c r="K235" s="74">
        <f>VLOOKUP(E235,DATABASE!C:Q,7,false)</f>
        <v>75000</v>
      </c>
      <c r="L235" s="74">
        <v>75000.0</v>
      </c>
      <c r="M235" s="74">
        <f t="shared" si="2"/>
        <v>75000</v>
      </c>
      <c r="N235" s="74">
        <f t="shared" si="3"/>
        <v>100000</v>
      </c>
      <c r="O235" s="65" t="str">
        <f>VLOOKUP(E235,DATABASE!C:Q,8,false)</f>
        <v>BIAN</v>
      </c>
      <c r="P235" s="65">
        <f>VLOOKUP(E235,DATABASE!C:Q,9,False)</f>
        <v>0</v>
      </c>
      <c r="Q235" s="93" t="str">
        <f>VLOOKUP(E235,DATABASE!C:Q,4,false)</f>
        <v>Baut Camber</v>
      </c>
      <c r="R235" s="93" t="str">
        <f>VLOOKUP(E235,DATABASE!C:Q,11,false)</f>
        <v>COMPLEMENTARY</v>
      </c>
    </row>
    <row r="236" ht="22.5" customHeight="1">
      <c r="A236" s="49"/>
      <c r="C236" s="384">
        <v>45671.0</v>
      </c>
      <c r="D236" s="93">
        <v>3945.0</v>
      </c>
      <c r="E236" s="385" t="s">
        <v>275</v>
      </c>
      <c r="F236" s="386">
        <v>1.0</v>
      </c>
      <c r="G236" s="74">
        <v>830000.0</v>
      </c>
      <c r="H236" s="74">
        <v>0.0</v>
      </c>
      <c r="I236" s="74">
        <f t="shared" si="1"/>
        <v>830000</v>
      </c>
      <c r="J236" s="74">
        <f>IF(E236="SERVICE",I236-(I236*50%),Vlookup(E236,DATABASE!C:Q,10,false)*F236)</f>
        <v>0</v>
      </c>
      <c r="K236" s="74">
        <v>735000.0</v>
      </c>
      <c r="L236" s="74">
        <v>735000.0</v>
      </c>
      <c r="M236" s="74">
        <f t="shared" si="2"/>
        <v>735000</v>
      </c>
      <c r="N236" s="74">
        <f t="shared" si="3"/>
        <v>95000</v>
      </c>
      <c r="O236" s="65" t="str">
        <f>VLOOKUP(E236,DATABASE!C:Q,8,false)</f>
        <v>IBU</v>
      </c>
      <c r="P236" s="65">
        <f>VLOOKUP(E236,DATABASE!C:Q,9,False)</f>
        <v>1</v>
      </c>
      <c r="Q236" s="93" t="str">
        <f>VLOOKUP(E236,DATABASE!C:Q,4,false)</f>
        <v>Dunlop</v>
      </c>
      <c r="R236" s="93" t="str">
        <f>VLOOKUP(E236,DATABASE!C:Q,11,false)</f>
        <v>Tire</v>
      </c>
    </row>
    <row r="237" ht="22.5" customHeight="1">
      <c r="A237" s="49"/>
      <c r="C237" s="384">
        <v>45671.0</v>
      </c>
      <c r="D237" s="93">
        <v>3946.0</v>
      </c>
      <c r="E237" s="385" t="s">
        <v>268</v>
      </c>
      <c r="F237" s="386">
        <v>4.0</v>
      </c>
      <c r="G237" s="74">
        <v>670000.0</v>
      </c>
      <c r="H237" s="74">
        <v>0.0</v>
      </c>
      <c r="I237" s="74">
        <f t="shared" si="1"/>
        <v>2680000</v>
      </c>
      <c r="J237" s="74">
        <f>IF(E237="SERVICE",I237-(I237*50%),Vlookup(E237,DATABASE!C:Q,10,false)*F237)</f>
        <v>0</v>
      </c>
      <c r="K237" s="74">
        <v>613000.0</v>
      </c>
      <c r="L237" s="74">
        <v>613000.0</v>
      </c>
      <c r="M237" s="74">
        <f t="shared" si="2"/>
        <v>615000</v>
      </c>
      <c r="N237" s="74">
        <f t="shared" si="3"/>
        <v>220000</v>
      </c>
      <c r="O237" s="65" t="str">
        <f>VLOOKUP(E237,DATABASE!C:Q,8,false)</f>
        <v>IBU</v>
      </c>
      <c r="P237" s="65">
        <f>VLOOKUP(E237,DATABASE!C:Q,9,False)</f>
        <v>1</v>
      </c>
      <c r="Q237" s="93" t="str">
        <f>VLOOKUP(E237,DATABASE!C:Q,4,false)</f>
        <v>Dunlop</v>
      </c>
      <c r="R237" s="93" t="str">
        <f>VLOOKUP(E237,DATABASE!C:Q,11,false)</f>
        <v>Tire</v>
      </c>
    </row>
    <row r="238" ht="22.5" customHeight="1">
      <c r="A238" s="49"/>
      <c r="C238" s="384">
        <v>45671.0</v>
      </c>
      <c r="D238" s="93">
        <v>3947.0</v>
      </c>
      <c r="E238" s="385" t="s">
        <v>391</v>
      </c>
      <c r="F238" s="386">
        <v>2.0</v>
      </c>
      <c r="G238" s="74">
        <v>1950000.0</v>
      </c>
      <c r="H238" s="74">
        <v>0.0</v>
      </c>
      <c r="I238" s="74">
        <f t="shared" si="1"/>
        <v>3900000</v>
      </c>
      <c r="J238" s="74">
        <f>IF(E238="SERVICE",I238-(I238*50%),Vlookup(E238,DATABASE!C:Q,10,false)*F238)</f>
        <v>0</v>
      </c>
      <c r="K238" s="74">
        <f>VLOOKUP(E238,DATABASE!C:Q,7,false)</f>
        <v>1885000</v>
      </c>
      <c r="L238" s="74">
        <v>1840000.0</v>
      </c>
      <c r="M238" s="74">
        <f t="shared" si="2"/>
        <v>1840000</v>
      </c>
      <c r="N238" s="74">
        <f t="shared" si="3"/>
        <v>220000</v>
      </c>
      <c r="O238" s="65" t="str">
        <f>VLOOKUP(E238,DATABASE!C:Q,8,false)</f>
        <v>BIAN</v>
      </c>
      <c r="P238" s="65">
        <f>VLOOKUP(E238,DATABASE!C:Q,9,False)</f>
        <v>1</v>
      </c>
      <c r="Q238" s="93" t="str">
        <f>VLOOKUP(E238,DATABASE!C:Q,4,false)</f>
        <v>Advance</v>
      </c>
      <c r="R238" s="93" t="str">
        <f>VLOOKUP(E238,DATABASE!C:Q,11,false)</f>
        <v>Tire</v>
      </c>
    </row>
    <row r="239" ht="22.5" customHeight="1">
      <c r="A239" s="49"/>
      <c r="C239" s="384">
        <v>45672.0</v>
      </c>
      <c r="D239" s="93">
        <v>3948.0</v>
      </c>
      <c r="E239" s="385" t="s">
        <v>265</v>
      </c>
      <c r="F239" s="386">
        <v>1.0</v>
      </c>
      <c r="G239" s="74">
        <v>660000.0</v>
      </c>
      <c r="H239" s="74">
        <v>0.0</v>
      </c>
      <c r="I239" s="74">
        <f t="shared" si="1"/>
        <v>660000</v>
      </c>
      <c r="J239" s="74">
        <f>IF(E239="SERVICE",I239-(I239*50%),Vlookup(E239,DATABASE!C:Q,10,false)*F239)</f>
        <v>0</v>
      </c>
      <c r="K239" s="74">
        <v>590000.0</v>
      </c>
      <c r="L239" s="74">
        <v>590000.0</v>
      </c>
      <c r="M239" s="74">
        <f t="shared" si="2"/>
        <v>590000</v>
      </c>
      <c r="N239" s="74">
        <f t="shared" si="3"/>
        <v>70000</v>
      </c>
      <c r="O239" s="65" t="str">
        <f>VLOOKUP(E239,DATABASE!C:Q,8,false)</f>
        <v>IBU</v>
      </c>
      <c r="P239" s="65">
        <f>VLOOKUP(E239,DATABASE!C:Q,9,False)</f>
        <v>1</v>
      </c>
      <c r="Q239" s="93" t="str">
        <f>VLOOKUP(E239,DATABASE!C:Q,4,false)</f>
        <v>Dunlop</v>
      </c>
      <c r="R239" s="93" t="str">
        <f>VLOOKUP(E239,DATABASE!C:Q,11,false)</f>
        <v>Tire</v>
      </c>
    </row>
    <row r="240" ht="22.5" customHeight="1">
      <c r="A240" s="49"/>
      <c r="C240" s="384">
        <v>45672.0</v>
      </c>
      <c r="D240" s="93">
        <v>3949.0</v>
      </c>
      <c r="E240" s="385" t="s">
        <v>256</v>
      </c>
      <c r="F240" s="386">
        <v>1.0</v>
      </c>
      <c r="G240" s="74">
        <v>130000.0</v>
      </c>
      <c r="H240" s="74">
        <v>0.0</v>
      </c>
      <c r="I240" s="74">
        <f t="shared" si="1"/>
        <v>130000</v>
      </c>
      <c r="J240" s="74">
        <f>IF(E240="SERVICE",I240-(I240*50%),Vlookup(E240,DATABASE!C:Q,10,false)*F240)</f>
        <v>10000</v>
      </c>
      <c r="K240" s="74">
        <f>VLOOKUP(E240,DATABASE!C:Q,7,false)</f>
        <v>0</v>
      </c>
      <c r="L240" s="74">
        <v>0.0</v>
      </c>
      <c r="M240" s="74">
        <f t="shared" si="2"/>
        <v>0</v>
      </c>
      <c r="N240" s="74">
        <f t="shared" si="3"/>
        <v>120000</v>
      </c>
      <c r="O240" s="65" t="str">
        <f>VLOOKUP(E240,DATABASE!C:Q,8,false)</f>
        <v>IBU</v>
      </c>
      <c r="P240" s="65">
        <f>VLOOKUP(E240,DATABASE!C:Q,9,False)</f>
        <v>0</v>
      </c>
      <c r="Q240" s="93" t="str">
        <f>VLOOKUP(E240,DATABASE!C:Q,4,false)</f>
        <v>SPOORING</v>
      </c>
      <c r="R240" s="93" t="str">
        <f>VLOOKUP(E240,DATABASE!C:Q,11,false)</f>
        <v>SERVICE</v>
      </c>
    </row>
    <row r="241" ht="22.5" customHeight="1">
      <c r="A241" s="49"/>
      <c r="C241" s="384">
        <v>45672.0</v>
      </c>
      <c r="D241" s="93">
        <v>3950.0</v>
      </c>
      <c r="E241" s="385" t="s">
        <v>268</v>
      </c>
      <c r="F241" s="386">
        <v>2.0</v>
      </c>
      <c r="G241" s="74">
        <v>680000.0</v>
      </c>
      <c r="H241" s="74">
        <v>0.0</v>
      </c>
      <c r="I241" s="74">
        <f t="shared" si="1"/>
        <v>1360000</v>
      </c>
      <c r="J241" s="74">
        <f>IF(E241="SERVICE",I241-(I241*50%),Vlookup(E241,DATABASE!C:Q,10,false)*F241)</f>
        <v>0</v>
      </c>
      <c r="K241" s="74">
        <v>613000.0</v>
      </c>
      <c r="L241" s="74">
        <v>613000.0</v>
      </c>
      <c r="M241" s="74">
        <f t="shared" si="2"/>
        <v>615000</v>
      </c>
      <c r="N241" s="74">
        <f t="shared" si="3"/>
        <v>130000</v>
      </c>
      <c r="O241" s="65" t="str">
        <f>VLOOKUP(E241,DATABASE!C:Q,8,false)</f>
        <v>IBU</v>
      </c>
      <c r="P241" s="65">
        <f>VLOOKUP(E241,DATABASE!C:Q,9,False)</f>
        <v>1</v>
      </c>
      <c r="Q241" s="93" t="str">
        <f>VLOOKUP(E241,DATABASE!C:Q,4,false)</f>
        <v>Dunlop</v>
      </c>
      <c r="R241" s="93" t="str">
        <f>VLOOKUP(E241,DATABASE!C:Q,11,false)</f>
        <v>Tire</v>
      </c>
    </row>
    <row r="242" ht="22.5" customHeight="1">
      <c r="A242" s="49"/>
      <c r="C242" s="384">
        <v>45672.0</v>
      </c>
      <c r="D242" s="93">
        <v>3951.0</v>
      </c>
      <c r="E242" s="385" t="s">
        <v>305</v>
      </c>
      <c r="F242" s="386">
        <v>2.0</v>
      </c>
      <c r="G242" s="74">
        <v>225000.0</v>
      </c>
      <c r="H242" s="74">
        <v>0.0</v>
      </c>
      <c r="I242" s="74">
        <f t="shared" si="1"/>
        <v>450000</v>
      </c>
      <c r="J242" s="74">
        <f>IF(E242="SERVICE",I242-(I242*50%),Vlookup(E242,DATABASE!C:Q,10,false)*F242)</f>
        <v>80000</v>
      </c>
      <c r="K242" s="74">
        <f>VLOOKUP(E242,DATABASE!C:Q,7,false)</f>
        <v>158530.2</v>
      </c>
      <c r="L242" s="74">
        <v>151890.0</v>
      </c>
      <c r="M242" s="74">
        <f t="shared" si="2"/>
        <v>155000</v>
      </c>
      <c r="N242" s="74">
        <f t="shared" si="3"/>
        <v>60000</v>
      </c>
      <c r="O242" s="65" t="str">
        <f>VLOOKUP(E242,DATABASE!C:Q,8,false)</f>
        <v>BIAN</v>
      </c>
      <c r="P242" s="65">
        <f>VLOOKUP(E242,DATABASE!C:Q,9,False)</f>
        <v>1</v>
      </c>
      <c r="Q242" s="93" t="str">
        <f>VLOOKUP(E242,DATABASE!C:Q,4,false)</f>
        <v>Lower Arm</v>
      </c>
      <c r="R242" s="93" t="str">
        <f>VLOOKUP(E242,DATABASE!C:Q,11,false)</f>
        <v>COMPLEMENTARY</v>
      </c>
    </row>
    <row r="243" ht="22.5" customHeight="1">
      <c r="A243" s="49"/>
      <c r="C243" s="384">
        <v>45672.0</v>
      </c>
      <c r="D243" s="93">
        <v>3951.0</v>
      </c>
      <c r="E243" s="385" t="s">
        <v>251</v>
      </c>
      <c r="F243" s="386">
        <v>1.0</v>
      </c>
      <c r="G243" s="74">
        <v>70000.0</v>
      </c>
      <c r="H243" s="74">
        <v>0.0</v>
      </c>
      <c r="I243" s="74">
        <f t="shared" si="1"/>
        <v>70000</v>
      </c>
      <c r="J243" s="74">
        <f>IF(E243="SERVICE",I243-(I243*50%),Vlookup(E243,DATABASE!C:Q,10,false)*F243)</f>
        <v>35000</v>
      </c>
      <c r="K243" s="74">
        <f>VLOOKUP(E243,DATABASE!C:Q,7,false)</f>
        <v>0</v>
      </c>
      <c r="L243" s="74">
        <v>0.0</v>
      </c>
      <c r="M243" s="74">
        <f t="shared" si="2"/>
        <v>0</v>
      </c>
      <c r="N243" s="74">
        <f t="shared" si="3"/>
        <v>35000</v>
      </c>
      <c r="O243" s="65" t="str">
        <f>VLOOKUP(E243,DATABASE!C:Q,8,false)</f>
        <v>IBU</v>
      </c>
      <c r="P243" s="65">
        <f>VLOOKUP(E243,DATABASE!C:Q,9,False)</f>
        <v>0</v>
      </c>
      <c r="Q243" s="93" t="str">
        <f>VLOOKUP(E243,DATABASE!C:Q,4,false)</f>
        <v>SERVICE</v>
      </c>
      <c r="R243" s="93" t="str">
        <f>VLOOKUP(E243,DATABASE!C:Q,11,false)</f>
        <v>SERVICE</v>
      </c>
    </row>
    <row r="244" ht="22.5" customHeight="1">
      <c r="A244" s="49"/>
      <c r="C244" s="384">
        <v>45672.0</v>
      </c>
      <c r="D244" s="93">
        <v>3951.0</v>
      </c>
      <c r="E244" s="385" t="s">
        <v>262</v>
      </c>
      <c r="F244" s="386">
        <v>1.0</v>
      </c>
      <c r="G244" s="74">
        <v>110000.0</v>
      </c>
      <c r="H244" s="74">
        <v>0.0</v>
      </c>
      <c r="I244" s="74">
        <f t="shared" si="1"/>
        <v>110000</v>
      </c>
      <c r="J244" s="74">
        <f>IF(E244="SERVICE",I244-(I244*50%),Vlookup(E244,DATABASE!C:Q,10,false)*F244)</f>
        <v>5000</v>
      </c>
      <c r="K244" s="74">
        <f>VLOOKUP(E244,DATABASE!C:Q,7,false)</f>
        <v>0</v>
      </c>
      <c r="L244" s="74">
        <v>0.0</v>
      </c>
      <c r="M244" s="74">
        <f t="shared" si="2"/>
        <v>0</v>
      </c>
      <c r="N244" s="74">
        <f t="shared" si="3"/>
        <v>105000</v>
      </c>
      <c r="O244" s="65" t="str">
        <f>VLOOKUP(E244,DATABASE!C:Q,8,false)</f>
        <v>IBU</v>
      </c>
      <c r="P244" s="65">
        <f>VLOOKUP(E244,DATABASE!C:Q,9,False)</f>
        <v>0</v>
      </c>
      <c r="Q244" s="93" t="str">
        <f>VLOOKUP(E244,DATABASE!C:Q,4,false)</f>
        <v>SPOORING SS/CARRY LOS BAK</v>
      </c>
      <c r="R244" s="93" t="str">
        <f>VLOOKUP(E244,DATABASE!C:Q,11,false)</f>
        <v>SERVICE</v>
      </c>
    </row>
    <row r="245" ht="22.5" customHeight="1">
      <c r="A245" s="49"/>
      <c r="C245" s="384">
        <v>45672.0</v>
      </c>
      <c r="D245" s="93">
        <v>3952.0</v>
      </c>
      <c r="E245" s="385" t="s">
        <v>251</v>
      </c>
      <c r="F245" s="386">
        <v>1.0</v>
      </c>
      <c r="G245" s="74">
        <v>70000.0</v>
      </c>
      <c r="H245" s="74">
        <v>0.0</v>
      </c>
      <c r="I245" s="74">
        <f t="shared" si="1"/>
        <v>70000</v>
      </c>
      <c r="J245" s="74">
        <f>IF(E245="SERVICE",I245-(I245*50%),Vlookup(E245,DATABASE!C:Q,10,false)*F245)</f>
        <v>35000</v>
      </c>
      <c r="K245" s="74">
        <f>VLOOKUP(E245,DATABASE!C:Q,7,false)</f>
        <v>0</v>
      </c>
      <c r="L245" s="74">
        <v>0.0</v>
      </c>
      <c r="M245" s="74">
        <f t="shared" si="2"/>
        <v>0</v>
      </c>
      <c r="N245" s="74">
        <f t="shared" si="3"/>
        <v>35000</v>
      </c>
      <c r="O245" s="65" t="str">
        <f>VLOOKUP(E245,DATABASE!C:Q,8,false)</f>
        <v>IBU</v>
      </c>
      <c r="P245" s="65">
        <f>VLOOKUP(E245,DATABASE!C:Q,9,False)</f>
        <v>0</v>
      </c>
      <c r="Q245" s="93" t="str">
        <f>VLOOKUP(E245,DATABASE!C:Q,4,false)</f>
        <v>SERVICE</v>
      </c>
      <c r="R245" s="93" t="str">
        <f>VLOOKUP(E245,DATABASE!C:Q,11,false)</f>
        <v>SERVICE</v>
      </c>
    </row>
    <row r="246" ht="22.5" customHeight="1">
      <c r="A246" s="49"/>
      <c r="C246" s="384">
        <v>45672.0</v>
      </c>
      <c r="D246" s="93">
        <v>3953.0</v>
      </c>
      <c r="E246" s="385" t="s">
        <v>1947</v>
      </c>
      <c r="F246" s="386">
        <v>4.0</v>
      </c>
      <c r="G246" s="74">
        <v>770000.0</v>
      </c>
      <c r="H246" s="74">
        <v>0.0</v>
      </c>
      <c r="I246" s="74">
        <f t="shared" si="1"/>
        <v>3080000</v>
      </c>
      <c r="J246" s="74">
        <f>IF(E246="SERVICE",I246-(I246*50%),Vlookup(E246,DATABASE!C:Q,10,false)*F246)</f>
        <v>0</v>
      </c>
      <c r="K246" s="74">
        <f>VLOOKUP(E246,DATABASE!C:Q,7,false)</f>
        <v>694300</v>
      </c>
      <c r="L246" s="74">
        <v>670000.0</v>
      </c>
      <c r="M246" s="74">
        <f t="shared" si="2"/>
        <v>670000</v>
      </c>
      <c r="N246" s="74">
        <f t="shared" si="3"/>
        <v>400000</v>
      </c>
      <c r="O246" s="65" t="str">
        <f>VLOOKUP(E246,DATABASE!C:Q,8,false)</f>
        <v>BIAN</v>
      </c>
      <c r="P246" s="65">
        <f>VLOOKUP(E246,DATABASE!C:Q,9,False)</f>
        <v>1</v>
      </c>
      <c r="Q246" s="93" t="str">
        <f>VLOOKUP(E246,DATABASE!C:Q,4,false)</f>
        <v>GT</v>
      </c>
      <c r="R246" s="93" t="str">
        <f>VLOOKUP(E246,DATABASE!C:Q,11,false)</f>
        <v>Tire</v>
      </c>
    </row>
    <row r="247" ht="22.5" customHeight="1">
      <c r="A247" s="49"/>
      <c r="C247" s="384">
        <v>45672.0</v>
      </c>
      <c r="D247" s="93">
        <v>3954.0</v>
      </c>
      <c r="E247" s="385" t="s">
        <v>856</v>
      </c>
      <c r="F247" s="386">
        <v>2.0</v>
      </c>
      <c r="G247" s="74">
        <v>640000.0</v>
      </c>
      <c r="H247" s="74">
        <v>0.0</v>
      </c>
      <c r="I247" s="74">
        <f t="shared" si="1"/>
        <v>1280000</v>
      </c>
      <c r="J247" s="74">
        <f>IF(E247="SERVICE",I247-(I247*50%),Vlookup(E247,DATABASE!C:Q,10,false)*F247)</f>
        <v>0</v>
      </c>
      <c r="K247" s="74">
        <v>560000.0</v>
      </c>
      <c r="L247" s="74">
        <v>560000.0</v>
      </c>
      <c r="M247" s="74">
        <f t="shared" si="2"/>
        <v>560000</v>
      </c>
      <c r="N247" s="74">
        <f t="shared" si="3"/>
        <v>160000</v>
      </c>
      <c r="O247" s="65" t="str">
        <f>VLOOKUP(E247,DATABASE!C:Q,8,false)</f>
        <v>BIAN</v>
      </c>
      <c r="P247" s="65">
        <f>VLOOKUP(E247,DATABASE!C:Q,9,False)</f>
        <v>1</v>
      </c>
      <c r="Q247" s="93" t="str">
        <f>VLOOKUP(E247,DATABASE!C:Q,4,false)</f>
        <v>GT</v>
      </c>
      <c r="R247" s="93" t="str">
        <f>VLOOKUP(E247,DATABASE!C:Q,11,false)</f>
        <v>Tire</v>
      </c>
    </row>
    <row r="248" ht="22.5" customHeight="1">
      <c r="A248" s="49"/>
      <c r="C248" s="384">
        <v>45673.0</v>
      </c>
      <c r="D248" s="93">
        <v>3955.0</v>
      </c>
      <c r="E248" s="385" t="s">
        <v>1372</v>
      </c>
      <c r="F248" s="386">
        <v>2.0</v>
      </c>
      <c r="G248" s="74">
        <v>1125000.0</v>
      </c>
      <c r="H248" s="74">
        <v>0.0</v>
      </c>
      <c r="I248" s="74">
        <f t="shared" si="1"/>
        <v>2250000</v>
      </c>
      <c r="J248" s="74">
        <f>IF(E248="SERVICE",I248-(I248*50%),Vlookup(E248,DATABASE!C:Q,10,false)*F248)</f>
        <v>0</v>
      </c>
      <c r="K248" s="74">
        <f>VLOOKUP(E248,DATABASE!C:Q,7,false)</f>
        <v>1040000</v>
      </c>
      <c r="L248" s="74">
        <v>1040000.0</v>
      </c>
      <c r="M248" s="74">
        <f t="shared" si="2"/>
        <v>1040000</v>
      </c>
      <c r="N248" s="74">
        <f t="shared" si="3"/>
        <v>170000</v>
      </c>
      <c r="O248" s="65" t="str">
        <f>VLOOKUP(E248,DATABASE!C:Q,8,false)</f>
        <v>IBU</v>
      </c>
      <c r="P248" s="65">
        <f>VLOOKUP(E248,DATABASE!C:Q,9,False)</f>
        <v>1</v>
      </c>
      <c r="Q248" s="93" t="str">
        <f>VLOOKUP(E248,DATABASE!C:Q,4,false)</f>
        <v>Dunlop</v>
      </c>
      <c r="R248" s="93" t="str">
        <f>VLOOKUP(E248,DATABASE!C:Q,11,false)</f>
        <v>Tire</v>
      </c>
    </row>
    <row r="249" ht="22.5" customHeight="1">
      <c r="A249" s="49"/>
      <c r="C249" s="384">
        <v>45673.0</v>
      </c>
      <c r="D249" s="93">
        <v>3956.0</v>
      </c>
      <c r="E249" s="385" t="s">
        <v>265</v>
      </c>
      <c r="F249" s="386">
        <v>2.0</v>
      </c>
      <c r="G249" s="74">
        <v>650000.0</v>
      </c>
      <c r="H249" s="74">
        <v>0.0</v>
      </c>
      <c r="I249" s="74">
        <f t="shared" si="1"/>
        <v>1300000</v>
      </c>
      <c r="J249" s="74">
        <f>IF(E249="SERVICE",I249-(I249*50%),Vlookup(E249,DATABASE!C:Q,10,false)*F249)</f>
        <v>0</v>
      </c>
      <c r="K249" s="74">
        <v>590000.0</v>
      </c>
      <c r="L249" s="74">
        <v>590000.0</v>
      </c>
      <c r="M249" s="74">
        <f t="shared" si="2"/>
        <v>590000</v>
      </c>
      <c r="N249" s="74">
        <f t="shared" si="3"/>
        <v>120000</v>
      </c>
      <c r="O249" s="65" t="str">
        <f>VLOOKUP(E249,DATABASE!C:Q,8,false)</f>
        <v>IBU</v>
      </c>
      <c r="P249" s="65">
        <f>VLOOKUP(E249,DATABASE!C:Q,9,False)</f>
        <v>1</v>
      </c>
      <c r="Q249" s="93" t="str">
        <f>VLOOKUP(E249,DATABASE!C:Q,4,false)</f>
        <v>Dunlop</v>
      </c>
      <c r="R249" s="93" t="str">
        <f>VLOOKUP(E249,DATABASE!C:Q,11,false)</f>
        <v>Tire</v>
      </c>
    </row>
    <row r="250" ht="22.5" customHeight="1">
      <c r="A250" s="49"/>
      <c r="C250" s="384">
        <v>45673.0</v>
      </c>
      <c r="D250" s="93">
        <v>3956.0</v>
      </c>
      <c r="E250" s="385" t="s">
        <v>299</v>
      </c>
      <c r="F250" s="386">
        <v>2.0</v>
      </c>
      <c r="G250" s="74">
        <v>30000.0</v>
      </c>
      <c r="H250" s="74">
        <v>0.0</v>
      </c>
      <c r="I250" s="74">
        <f t="shared" si="1"/>
        <v>60000</v>
      </c>
      <c r="J250" s="74">
        <f>IF(E250="SERVICE",I250-(I250*50%),Vlookup(E250,DATABASE!C:Q,10,false)*F250)</f>
        <v>0</v>
      </c>
      <c r="K250" s="74">
        <v>0.0</v>
      </c>
      <c r="L250" s="74">
        <v>0.0</v>
      </c>
      <c r="M250" s="74">
        <f t="shared" si="2"/>
        <v>0</v>
      </c>
      <c r="N250" s="74">
        <f t="shared" si="3"/>
        <v>60000</v>
      </c>
      <c r="O250" s="65" t="str">
        <f>VLOOKUP(E250,DATABASE!C:Q,8,false)</f>
        <v>BIAN</v>
      </c>
      <c r="P250" s="65">
        <f>VLOOKUP(E250,DATABASE!C:Q,9,False)</f>
        <v>0</v>
      </c>
      <c r="Q250" s="93" t="str">
        <f>VLOOKUP(E250,DATABASE!C:Q,4,false)</f>
        <v>Balancing</v>
      </c>
      <c r="R250" s="93" t="str">
        <f>VLOOKUP(E250,DATABASE!C:Q,11,false)</f>
        <v>COMPLEMENTARY</v>
      </c>
    </row>
    <row r="251" ht="22.5" customHeight="1">
      <c r="A251" s="49"/>
      <c r="C251" s="384">
        <v>45673.0</v>
      </c>
      <c r="D251" s="93">
        <v>3956.0</v>
      </c>
      <c r="E251" s="385" t="s">
        <v>262</v>
      </c>
      <c r="F251" s="386">
        <v>1.0</v>
      </c>
      <c r="G251" s="74">
        <v>110000.0</v>
      </c>
      <c r="H251" s="74">
        <v>0.0</v>
      </c>
      <c r="I251" s="74">
        <f t="shared" si="1"/>
        <v>110000</v>
      </c>
      <c r="J251" s="74">
        <f>IF(E251="SERVICE",I251-(I251*50%),Vlookup(E251,DATABASE!C:Q,10,false)*F251)</f>
        <v>5000</v>
      </c>
      <c r="K251" s="74">
        <f>VLOOKUP(E251,DATABASE!C:Q,7,false)</f>
        <v>0</v>
      </c>
      <c r="L251" s="74">
        <v>0.0</v>
      </c>
      <c r="M251" s="74">
        <f t="shared" si="2"/>
        <v>0</v>
      </c>
      <c r="N251" s="74">
        <f t="shared" si="3"/>
        <v>105000</v>
      </c>
      <c r="O251" s="65" t="str">
        <f>VLOOKUP(E251,DATABASE!C:Q,8,false)</f>
        <v>IBU</v>
      </c>
      <c r="P251" s="65">
        <f>VLOOKUP(E251,DATABASE!C:Q,9,False)</f>
        <v>0</v>
      </c>
      <c r="Q251" s="93" t="str">
        <f>VLOOKUP(E251,DATABASE!C:Q,4,false)</f>
        <v>SPOORING SS/CARRY LOS BAK</v>
      </c>
      <c r="R251" s="93" t="str">
        <f>VLOOKUP(E251,DATABASE!C:Q,11,false)</f>
        <v>SERVICE</v>
      </c>
    </row>
    <row r="252" ht="22.5" customHeight="1">
      <c r="A252" s="49"/>
      <c r="C252" s="384">
        <v>45673.0</v>
      </c>
      <c r="D252" s="93">
        <v>3956.0</v>
      </c>
      <c r="E252" s="385" t="s">
        <v>478</v>
      </c>
      <c r="F252" s="386">
        <v>1.0</v>
      </c>
      <c r="G252" s="74">
        <v>200000.0</v>
      </c>
      <c r="H252" s="74">
        <v>0.0</v>
      </c>
      <c r="I252" s="74">
        <f t="shared" si="1"/>
        <v>200000</v>
      </c>
      <c r="J252" s="74">
        <f>IF(E252="SERVICE",I252-(I252*50%),Vlookup(E252,DATABASE!C:Q,10,false)*F252)</f>
        <v>25000</v>
      </c>
      <c r="K252" s="74">
        <f>VLOOKUP(E252,DATABASE!C:Q,7,false)</f>
        <v>75000</v>
      </c>
      <c r="L252" s="74">
        <v>75000.0</v>
      </c>
      <c r="M252" s="74">
        <f t="shared" si="2"/>
        <v>75000</v>
      </c>
      <c r="N252" s="74">
        <f t="shared" si="3"/>
        <v>100000</v>
      </c>
      <c r="O252" s="65" t="str">
        <f>VLOOKUP(E252,DATABASE!C:Q,8,false)</f>
        <v>BIAN</v>
      </c>
      <c r="P252" s="65">
        <f>VLOOKUP(E252,DATABASE!C:Q,9,False)</f>
        <v>0</v>
      </c>
      <c r="Q252" s="93" t="str">
        <f>VLOOKUP(E252,DATABASE!C:Q,4,false)</f>
        <v>Baut Camber ss-carry</v>
      </c>
      <c r="R252" s="93" t="str">
        <f>VLOOKUP(E252,DATABASE!C:Q,11,false)</f>
        <v>COMPLEMENTARY</v>
      </c>
    </row>
    <row r="253" ht="22.5" customHeight="1">
      <c r="A253" s="49"/>
      <c r="C253" s="384">
        <v>45673.0</v>
      </c>
      <c r="D253" s="93">
        <v>3957.0</v>
      </c>
      <c r="E253" s="385" t="s">
        <v>271</v>
      </c>
      <c r="F253" s="386">
        <v>2.0</v>
      </c>
      <c r="G253" s="74">
        <v>620000.0</v>
      </c>
      <c r="H253" s="74">
        <v>0.0</v>
      </c>
      <c r="I253" s="74">
        <f t="shared" si="1"/>
        <v>1240000</v>
      </c>
      <c r="J253" s="74">
        <f>IF(E253="SERVICE",I253-(I253*50%),Vlookup(E253,DATABASE!C:Q,10,false)*F253)</f>
        <v>0</v>
      </c>
      <c r="K253" s="74">
        <f>VLOOKUP(E253,DATABASE!C:Q,7,false)</f>
        <v>570000</v>
      </c>
      <c r="L253" s="74">
        <v>539000.0</v>
      </c>
      <c r="M253" s="74">
        <f t="shared" si="2"/>
        <v>540000</v>
      </c>
      <c r="N253" s="74">
        <f t="shared" si="3"/>
        <v>160000</v>
      </c>
      <c r="O253" s="65" t="str">
        <f>VLOOKUP(E253,DATABASE!C:Q,8,false)</f>
        <v>IBU</v>
      </c>
      <c r="P253" s="65">
        <f>VLOOKUP(E253,DATABASE!C:Q,9,False)</f>
        <v>1</v>
      </c>
      <c r="Q253" s="93" t="str">
        <f>VLOOKUP(E253,DATABASE!C:Q,4,false)</f>
        <v>Dunlop</v>
      </c>
      <c r="R253" s="93" t="str">
        <f>VLOOKUP(E253,DATABASE!C:Q,11,false)</f>
        <v>Tire</v>
      </c>
    </row>
    <row r="254" ht="22.5" customHeight="1">
      <c r="A254" s="49"/>
      <c r="C254" s="384">
        <v>45673.0</v>
      </c>
      <c r="D254" s="93">
        <v>3957.0</v>
      </c>
      <c r="E254" s="385" t="s">
        <v>299</v>
      </c>
      <c r="F254" s="386">
        <v>2.0</v>
      </c>
      <c r="G254" s="74">
        <v>30000.0</v>
      </c>
      <c r="H254" s="74">
        <v>0.0</v>
      </c>
      <c r="I254" s="74">
        <f t="shared" si="1"/>
        <v>60000</v>
      </c>
      <c r="J254" s="74">
        <f>IF(E254="SERVICE",I254-(I254*50%),Vlookup(E254,DATABASE!C:Q,10,false)*F254)</f>
        <v>0</v>
      </c>
      <c r="K254" s="74">
        <v>0.0</v>
      </c>
      <c r="L254" s="74">
        <v>0.0</v>
      </c>
      <c r="M254" s="74">
        <f t="shared" si="2"/>
        <v>0</v>
      </c>
      <c r="N254" s="74">
        <f t="shared" si="3"/>
        <v>60000</v>
      </c>
      <c r="O254" s="65" t="str">
        <f>VLOOKUP(E254,DATABASE!C:Q,8,false)</f>
        <v>BIAN</v>
      </c>
      <c r="P254" s="65">
        <f>VLOOKUP(E254,DATABASE!C:Q,9,False)</f>
        <v>0</v>
      </c>
      <c r="Q254" s="93" t="str">
        <f>VLOOKUP(E254,DATABASE!C:Q,4,false)</f>
        <v>Balancing</v>
      </c>
      <c r="R254" s="93" t="str">
        <f>VLOOKUP(E254,DATABASE!C:Q,11,false)</f>
        <v>COMPLEMENTARY</v>
      </c>
    </row>
    <row r="255" ht="22.5" customHeight="1">
      <c r="A255" s="49"/>
      <c r="C255" s="384">
        <v>45673.0</v>
      </c>
      <c r="D255" s="93">
        <v>3958.0</v>
      </c>
      <c r="E255" s="445" t="s">
        <v>1133</v>
      </c>
      <c r="F255" s="386">
        <v>2.0</v>
      </c>
      <c r="G255" s="74">
        <v>870000.0</v>
      </c>
      <c r="H255" s="74">
        <v>0.0</v>
      </c>
      <c r="I255" s="74">
        <f t="shared" si="1"/>
        <v>1740000</v>
      </c>
      <c r="J255" s="74">
        <f>IF(E255="SERVICE",I255-(I255*50%),Vlookup(E255,DATABASE!C:Q,10,false)*F255)</f>
        <v>0</v>
      </c>
      <c r="K255" s="74">
        <f>VLOOKUP(E255,DATABASE!C:Q,7,false)</f>
        <v>759539.2</v>
      </c>
      <c r="L255" s="74">
        <v>715635.0</v>
      </c>
      <c r="M255" s="74">
        <f t="shared" si="2"/>
        <v>720000</v>
      </c>
      <c r="N255" s="74">
        <f t="shared" si="3"/>
        <v>300000</v>
      </c>
      <c r="O255" s="65" t="str">
        <f>VLOOKUP(E255,DATABASE!C:Q,8,false)</f>
        <v>IBU</v>
      </c>
      <c r="P255" s="65">
        <f>VLOOKUP(E255,DATABASE!C:Q,9,False)</f>
        <v>1</v>
      </c>
      <c r="Q255" s="93" t="str">
        <f>VLOOKUP(E255,DATABASE!C:Q,4,false)</f>
        <v>Bridgestone</v>
      </c>
      <c r="R255" s="93" t="str">
        <f>VLOOKUP(E255,DATABASE!C:Q,11,false)</f>
        <v>Tire</v>
      </c>
    </row>
    <row r="256" ht="22.5" customHeight="1">
      <c r="A256" s="49"/>
      <c r="C256" s="384">
        <v>45673.0</v>
      </c>
      <c r="D256" s="93">
        <v>3960.0</v>
      </c>
      <c r="E256" s="385" t="s">
        <v>554</v>
      </c>
      <c r="F256" s="386">
        <v>2.0</v>
      </c>
      <c r="G256" s="74">
        <v>785000.0</v>
      </c>
      <c r="H256" s="74">
        <v>0.0</v>
      </c>
      <c r="I256" s="74">
        <f t="shared" si="1"/>
        <v>1570000</v>
      </c>
      <c r="J256" s="74">
        <f>IF(E256="SERVICE",I256-(I256*50%),Vlookup(E256,DATABASE!C:Q,10,false)*F256)</f>
        <v>0</v>
      </c>
      <c r="K256" s="74">
        <f>VLOOKUP(E256,DATABASE!C:Q,7,false)</f>
        <v>710000</v>
      </c>
      <c r="L256" s="74">
        <v>680000.0</v>
      </c>
      <c r="M256" s="74">
        <f t="shared" si="2"/>
        <v>680000</v>
      </c>
      <c r="N256" s="74">
        <f t="shared" si="3"/>
        <v>210000</v>
      </c>
      <c r="O256" s="65" t="str">
        <f>VLOOKUP(E256,DATABASE!C:Q,8,false)</f>
        <v>IBU</v>
      </c>
      <c r="P256" s="65">
        <f>VLOOKUP(E256,DATABASE!C:Q,9,False)</f>
        <v>1</v>
      </c>
      <c r="Q256" s="93" t="str">
        <f>VLOOKUP(E256,DATABASE!C:Q,4,false)</f>
        <v>Bridgestone</v>
      </c>
      <c r="R256" s="93" t="str">
        <f>VLOOKUP(E256,DATABASE!C:Q,11,false)</f>
        <v>Tire</v>
      </c>
    </row>
    <row r="257" ht="22.5" customHeight="1">
      <c r="A257" s="49"/>
      <c r="C257" s="384">
        <v>45673.0</v>
      </c>
      <c r="D257" s="93">
        <v>3961.0</v>
      </c>
      <c r="E257" s="385" t="s">
        <v>256</v>
      </c>
      <c r="F257" s="386">
        <v>1.0</v>
      </c>
      <c r="G257" s="74">
        <v>65000.0</v>
      </c>
      <c r="H257" s="74">
        <v>0.0</v>
      </c>
      <c r="I257" s="74">
        <f t="shared" si="1"/>
        <v>65000</v>
      </c>
      <c r="J257" s="74">
        <f>IF(E257="SERVICE",I257-(I257*50%),Vlookup(E257,DATABASE!C:Q,10,false)*F257)</f>
        <v>10000</v>
      </c>
      <c r="K257" s="74">
        <f>VLOOKUP(E257,DATABASE!C:Q,7,false)</f>
        <v>0</v>
      </c>
      <c r="L257" s="74">
        <v>0.0</v>
      </c>
      <c r="M257" s="74">
        <f t="shared" si="2"/>
        <v>0</v>
      </c>
      <c r="N257" s="74">
        <f t="shared" si="3"/>
        <v>55000</v>
      </c>
      <c r="O257" s="65" t="str">
        <f>VLOOKUP(E257,DATABASE!C:Q,8,false)</f>
        <v>IBU</v>
      </c>
      <c r="P257" s="65">
        <f>VLOOKUP(E257,DATABASE!C:Q,9,False)</f>
        <v>0</v>
      </c>
      <c r="Q257" s="93" t="str">
        <f>VLOOKUP(E257,DATABASE!C:Q,4,false)</f>
        <v>SPOORING</v>
      </c>
      <c r="R257" s="93" t="str">
        <f>VLOOKUP(E257,DATABASE!C:Q,11,false)</f>
        <v>SERVICE</v>
      </c>
    </row>
    <row r="258" ht="22.5" customHeight="1">
      <c r="A258" s="49"/>
      <c r="C258" s="384">
        <v>45673.0</v>
      </c>
      <c r="D258" s="93">
        <v>3961.0</v>
      </c>
      <c r="E258" s="385" t="s">
        <v>251</v>
      </c>
      <c r="F258" s="386">
        <v>1.0</v>
      </c>
      <c r="G258" s="74">
        <v>80000.0</v>
      </c>
      <c r="H258" s="74">
        <v>0.0</v>
      </c>
      <c r="I258" s="74">
        <f t="shared" si="1"/>
        <v>80000</v>
      </c>
      <c r="J258" s="74">
        <f>IF(E258="SERVICE",I258-(I258*50%),Vlookup(E258,DATABASE!C:Q,10,false)*F258)</f>
        <v>40000</v>
      </c>
      <c r="K258" s="74">
        <f>VLOOKUP(E258,DATABASE!C:Q,7,false)</f>
        <v>0</v>
      </c>
      <c r="L258" s="74">
        <v>0.0</v>
      </c>
      <c r="M258" s="74">
        <f t="shared" si="2"/>
        <v>0</v>
      </c>
      <c r="N258" s="74">
        <f t="shared" si="3"/>
        <v>40000</v>
      </c>
      <c r="O258" s="65" t="str">
        <f>VLOOKUP(E258,DATABASE!C:Q,8,false)</f>
        <v>IBU</v>
      </c>
      <c r="P258" s="65">
        <f>VLOOKUP(E258,DATABASE!C:Q,9,False)</f>
        <v>0</v>
      </c>
      <c r="Q258" s="93" t="str">
        <f>VLOOKUP(E258,DATABASE!C:Q,4,false)</f>
        <v>SERVICE</v>
      </c>
      <c r="R258" s="93" t="str">
        <f>VLOOKUP(E258,DATABASE!C:Q,11,false)</f>
        <v>SERVICE</v>
      </c>
    </row>
    <row r="259" ht="22.5" customHeight="1">
      <c r="A259" s="49"/>
      <c r="C259" s="384">
        <v>45673.0</v>
      </c>
      <c r="D259" s="93">
        <v>3963.0</v>
      </c>
      <c r="E259" s="385" t="s">
        <v>268</v>
      </c>
      <c r="F259" s="386">
        <v>2.0</v>
      </c>
      <c r="G259" s="74">
        <v>685000.0</v>
      </c>
      <c r="H259" s="74">
        <v>0.0</v>
      </c>
      <c r="I259" s="74">
        <f t="shared" si="1"/>
        <v>1370000</v>
      </c>
      <c r="J259" s="74">
        <f>IF(E259="SERVICE",I259-(I259*50%),Vlookup(E259,DATABASE!C:Q,10,false)*F259)</f>
        <v>0</v>
      </c>
      <c r="K259" s="74">
        <v>613000.0</v>
      </c>
      <c r="L259" s="74">
        <v>613000.0</v>
      </c>
      <c r="M259" s="74">
        <f t="shared" si="2"/>
        <v>615000</v>
      </c>
      <c r="N259" s="74">
        <f t="shared" si="3"/>
        <v>140000</v>
      </c>
      <c r="O259" s="65" t="str">
        <f>VLOOKUP(E259,DATABASE!C:Q,8,false)</f>
        <v>IBU</v>
      </c>
      <c r="P259" s="65">
        <f>VLOOKUP(E259,DATABASE!C:Q,9,False)</f>
        <v>1</v>
      </c>
      <c r="Q259" s="93" t="str">
        <f>VLOOKUP(E259,DATABASE!C:Q,4,false)</f>
        <v>Dunlop</v>
      </c>
      <c r="R259" s="93" t="str">
        <f>VLOOKUP(E259,DATABASE!C:Q,11,false)</f>
        <v>Tire</v>
      </c>
    </row>
    <row r="260" ht="22.5" customHeight="1">
      <c r="A260" s="49"/>
      <c r="C260" s="384">
        <v>45673.0</v>
      </c>
      <c r="D260" s="93">
        <v>3964.0</v>
      </c>
      <c r="E260" s="385" t="s">
        <v>256</v>
      </c>
      <c r="F260" s="386">
        <v>1.0</v>
      </c>
      <c r="G260" s="74">
        <v>130000.0</v>
      </c>
      <c r="H260" s="74">
        <v>0.0</v>
      </c>
      <c r="I260" s="74">
        <f t="shared" si="1"/>
        <v>130000</v>
      </c>
      <c r="J260" s="74">
        <f>IF(E260="SERVICE",I260-(I260*50%),Vlookup(E260,DATABASE!C:Q,10,false)*F260)</f>
        <v>10000</v>
      </c>
      <c r="K260" s="74">
        <f>VLOOKUP(E260,DATABASE!C:Q,7,false)</f>
        <v>0</v>
      </c>
      <c r="L260" s="74">
        <v>0.0</v>
      </c>
      <c r="M260" s="74">
        <f t="shared" si="2"/>
        <v>0</v>
      </c>
      <c r="N260" s="74">
        <f t="shared" si="3"/>
        <v>120000</v>
      </c>
      <c r="O260" s="65" t="str">
        <f>VLOOKUP(E260,DATABASE!C:Q,8,false)</f>
        <v>IBU</v>
      </c>
      <c r="P260" s="65">
        <f>VLOOKUP(E260,DATABASE!C:Q,9,False)</f>
        <v>0</v>
      </c>
      <c r="Q260" s="93" t="str">
        <f>VLOOKUP(E260,DATABASE!C:Q,4,false)</f>
        <v>SPOORING</v>
      </c>
      <c r="R260" s="93" t="str">
        <f>VLOOKUP(E260,DATABASE!C:Q,11,false)</f>
        <v>SERVICE</v>
      </c>
    </row>
    <row r="261" ht="22.5" customHeight="1">
      <c r="A261" s="49"/>
      <c r="C261" s="384">
        <v>45673.0</v>
      </c>
      <c r="D261" s="93">
        <v>3964.0</v>
      </c>
      <c r="E261" s="385" t="s">
        <v>251</v>
      </c>
      <c r="F261" s="386">
        <v>1.0</v>
      </c>
      <c r="G261" s="74">
        <v>150000.0</v>
      </c>
      <c r="H261" s="74">
        <v>0.0</v>
      </c>
      <c r="I261" s="74">
        <f t="shared" si="1"/>
        <v>150000</v>
      </c>
      <c r="J261" s="74">
        <f>IF(E261="SERVICE",I261-(I261*50%),Vlookup(E261,DATABASE!C:Q,10,false)*F261)</f>
        <v>75000</v>
      </c>
      <c r="K261" s="74">
        <f>VLOOKUP(E261,DATABASE!C:Q,7,false)</f>
        <v>0</v>
      </c>
      <c r="L261" s="74">
        <v>0.0</v>
      </c>
      <c r="M261" s="74">
        <f t="shared" si="2"/>
        <v>0</v>
      </c>
      <c r="N261" s="74">
        <f t="shared" si="3"/>
        <v>75000</v>
      </c>
      <c r="O261" s="65" t="str">
        <f>VLOOKUP(E261,DATABASE!C:Q,8,false)</f>
        <v>IBU</v>
      </c>
      <c r="P261" s="65">
        <f>VLOOKUP(E261,DATABASE!C:Q,9,False)</f>
        <v>0</v>
      </c>
      <c r="Q261" s="93" t="str">
        <f>VLOOKUP(E261,DATABASE!C:Q,4,false)</f>
        <v>SERVICE</v>
      </c>
      <c r="R261" s="93" t="str">
        <f>VLOOKUP(E261,DATABASE!C:Q,11,false)</f>
        <v>SERVICE</v>
      </c>
    </row>
    <row r="262" ht="22.5" customHeight="1">
      <c r="A262" s="49"/>
      <c r="C262" s="384">
        <v>45674.0</v>
      </c>
      <c r="D262" s="93">
        <v>3965.0</v>
      </c>
      <c r="E262" s="385" t="s">
        <v>585</v>
      </c>
      <c r="F262" s="386">
        <v>1.0</v>
      </c>
      <c r="G262" s="74">
        <v>95000.0</v>
      </c>
      <c r="H262" s="74">
        <v>0.0</v>
      </c>
      <c r="I262" s="74">
        <f t="shared" si="1"/>
        <v>95000</v>
      </c>
      <c r="J262" s="74">
        <f>IF(E262="SERVICE",I262-(I262*50%),Vlookup(E262,DATABASE!C:Q,10,false)*F262)</f>
        <v>0</v>
      </c>
      <c r="K262" s="74">
        <f>VLOOKUP(E262,DATABASE!C:Q,7,false)</f>
        <v>61600</v>
      </c>
      <c r="L262" s="74">
        <v>61600.0</v>
      </c>
      <c r="M262" s="74">
        <f t="shared" si="2"/>
        <v>65000</v>
      </c>
      <c r="N262" s="74">
        <f t="shared" si="3"/>
        <v>30000</v>
      </c>
      <c r="O262" s="65" t="str">
        <f>VLOOKUP(E262,DATABASE!C:Q,8,false)</f>
        <v>BIAN</v>
      </c>
      <c r="P262" s="65">
        <f>VLOOKUP(E262,DATABASE!C:Q,9,False)</f>
        <v>1</v>
      </c>
      <c r="Q262" s="93" t="str">
        <f>VLOOKUP(E262,DATABASE!C:Q,4,false)</f>
        <v>BD</v>
      </c>
      <c r="R262" s="93" t="str">
        <f>VLOOKUP(E262,DATABASE!C:Q,11,false)</f>
        <v>Tire</v>
      </c>
    </row>
    <row r="263" ht="22.5" customHeight="1">
      <c r="A263" s="49"/>
      <c r="C263" s="384">
        <v>45674.0</v>
      </c>
      <c r="D263" s="93">
        <v>3966.0</v>
      </c>
      <c r="E263" s="385" t="s">
        <v>585</v>
      </c>
      <c r="F263" s="386">
        <v>1.0</v>
      </c>
      <c r="G263" s="74">
        <v>95000.0</v>
      </c>
      <c r="H263" s="74">
        <v>0.0</v>
      </c>
      <c r="I263" s="74">
        <f t="shared" si="1"/>
        <v>95000</v>
      </c>
      <c r="J263" s="74">
        <f>IF(E263="SERVICE",I263-(I263*50%),Vlookup(E263,DATABASE!C:Q,10,false)*F263)</f>
        <v>0</v>
      </c>
      <c r="K263" s="74">
        <f>VLOOKUP(E263,DATABASE!C:Q,7,false)</f>
        <v>61600</v>
      </c>
      <c r="L263" s="74">
        <v>61600.0</v>
      </c>
      <c r="M263" s="74">
        <f t="shared" si="2"/>
        <v>65000</v>
      </c>
      <c r="N263" s="74">
        <f t="shared" si="3"/>
        <v>30000</v>
      </c>
      <c r="O263" s="65" t="str">
        <f>VLOOKUP(E263,DATABASE!C:Q,8,false)</f>
        <v>BIAN</v>
      </c>
      <c r="P263" s="65">
        <f>VLOOKUP(E263,DATABASE!C:Q,9,False)</f>
        <v>1</v>
      </c>
      <c r="Q263" s="93" t="str">
        <f>VLOOKUP(E263,DATABASE!C:Q,4,false)</f>
        <v>BD</v>
      </c>
      <c r="R263" s="93" t="str">
        <f>VLOOKUP(E263,DATABASE!C:Q,11,false)</f>
        <v>Tire</v>
      </c>
    </row>
    <row r="264" ht="22.5" customHeight="1">
      <c r="A264" s="49"/>
      <c r="C264" s="384">
        <v>45674.0</v>
      </c>
      <c r="D264" s="93">
        <v>3967.0</v>
      </c>
      <c r="E264" s="385" t="s">
        <v>391</v>
      </c>
      <c r="F264" s="386">
        <v>2.0</v>
      </c>
      <c r="G264" s="74">
        <v>1950000.0</v>
      </c>
      <c r="H264" s="74">
        <v>0.0</v>
      </c>
      <c r="I264" s="74">
        <f t="shared" si="1"/>
        <v>3900000</v>
      </c>
      <c r="J264" s="74">
        <f>IF(E264="SERVICE",I264-(I264*50%),Vlookup(E264,DATABASE!C:Q,10,false)*F264)</f>
        <v>0</v>
      </c>
      <c r="K264" s="74">
        <f>VLOOKUP(E264,DATABASE!C:Q,7,false)</f>
        <v>1885000</v>
      </c>
      <c r="L264" s="74">
        <v>1840000.0</v>
      </c>
      <c r="M264" s="74">
        <f t="shared" si="2"/>
        <v>1840000</v>
      </c>
      <c r="N264" s="74">
        <f t="shared" si="3"/>
        <v>220000</v>
      </c>
      <c r="O264" s="65" t="str">
        <f>VLOOKUP(E264,DATABASE!C:Q,8,false)</f>
        <v>BIAN</v>
      </c>
      <c r="P264" s="65">
        <f>VLOOKUP(E264,DATABASE!C:Q,9,False)</f>
        <v>1</v>
      </c>
      <c r="Q264" s="93" t="str">
        <f>VLOOKUP(E264,DATABASE!C:Q,4,false)</f>
        <v>Advance</v>
      </c>
      <c r="R264" s="93" t="str">
        <f>VLOOKUP(E264,DATABASE!C:Q,11,false)</f>
        <v>Tire</v>
      </c>
    </row>
    <row r="265" ht="22.5" customHeight="1">
      <c r="A265" s="49"/>
      <c r="C265" s="384">
        <v>45674.0</v>
      </c>
      <c r="D265" s="93">
        <v>3968.0</v>
      </c>
      <c r="E265" s="385" t="s">
        <v>974</v>
      </c>
      <c r="F265" s="386">
        <v>1.0</v>
      </c>
      <c r="G265" s="74">
        <v>550000.0</v>
      </c>
      <c r="H265" s="74">
        <v>0.0</v>
      </c>
      <c r="I265" s="74">
        <f t="shared" si="1"/>
        <v>550000</v>
      </c>
      <c r="J265" s="74">
        <f>IF(E265="SERVICE",I265-(I265*50%),Vlookup(E265,DATABASE!C:Q,10,false)*F265)</f>
        <v>0</v>
      </c>
      <c r="K265" s="74">
        <f>VLOOKUP(E265,DATABASE!C:Q,7,false)</f>
        <v>501500</v>
      </c>
      <c r="L265" s="74">
        <v>491000.0</v>
      </c>
      <c r="M265" s="74">
        <f t="shared" si="2"/>
        <v>495000</v>
      </c>
      <c r="N265" s="74">
        <f t="shared" si="3"/>
        <v>55000</v>
      </c>
      <c r="O265" s="65" t="str">
        <f>VLOOKUP(E265,DATABASE!C:Q,8,false)</f>
        <v>IBU</v>
      </c>
      <c r="P265" s="65">
        <f>VLOOKUP(E265,DATABASE!C:Q,9,False)</f>
        <v>1</v>
      </c>
      <c r="Q265" s="93" t="str">
        <f>VLOOKUP(E265,DATABASE!C:Q,4,false)</f>
        <v>Dunlop</v>
      </c>
      <c r="R265" s="93" t="str">
        <f>VLOOKUP(E265,DATABASE!C:Q,11,false)</f>
        <v>Tire</v>
      </c>
    </row>
    <row r="266" ht="22.5" customHeight="1">
      <c r="A266" s="49"/>
      <c r="C266" s="384">
        <v>45674.0</v>
      </c>
      <c r="D266" s="93">
        <v>3969.0</v>
      </c>
      <c r="E266" s="385" t="s">
        <v>614</v>
      </c>
      <c r="F266" s="386">
        <v>4.0</v>
      </c>
      <c r="G266" s="74">
        <v>835000.0</v>
      </c>
      <c r="H266" s="74">
        <v>0.0</v>
      </c>
      <c r="I266" s="74">
        <f t="shared" si="1"/>
        <v>3340000</v>
      </c>
      <c r="J266" s="74">
        <f>IF(E266="SERVICE",I266-(I266*50%),Vlookup(E266,DATABASE!C:Q,10,false)*F266)</f>
        <v>0</v>
      </c>
      <c r="K266" s="74">
        <f>VLOOKUP(E266,DATABASE!C:Q,7,false)</f>
        <v>754660.6</v>
      </c>
      <c r="L266" s="74">
        <v>766438.4</v>
      </c>
      <c r="M266" s="74">
        <f t="shared" si="2"/>
        <v>770000</v>
      </c>
      <c r="N266" s="74">
        <f t="shared" si="3"/>
        <v>260000</v>
      </c>
      <c r="O266" s="65" t="str">
        <f>VLOOKUP(E266,DATABASE!C:Q,8,false)</f>
        <v>IBU</v>
      </c>
      <c r="P266" s="65">
        <f>VLOOKUP(E266,DATABASE!C:Q,9,False)</f>
        <v>1</v>
      </c>
      <c r="Q266" s="93" t="str">
        <f>VLOOKUP(E266,DATABASE!C:Q,4,false)</f>
        <v>Bridgestone</v>
      </c>
      <c r="R266" s="93" t="str">
        <f>VLOOKUP(E266,DATABASE!C:Q,11,false)</f>
        <v>Tire</v>
      </c>
    </row>
    <row r="267" ht="22.5" customHeight="1">
      <c r="A267" s="49"/>
      <c r="C267" s="384">
        <v>45674.0</v>
      </c>
      <c r="D267" s="93">
        <v>3969.0</v>
      </c>
      <c r="E267" s="385" t="s">
        <v>299</v>
      </c>
      <c r="F267" s="386">
        <v>2.0</v>
      </c>
      <c r="G267" s="74">
        <v>30000.0</v>
      </c>
      <c r="H267" s="74">
        <v>0.0</v>
      </c>
      <c r="I267" s="74">
        <f t="shared" si="1"/>
        <v>60000</v>
      </c>
      <c r="J267" s="74">
        <f>IF(E267="SERVICE",I267-(I267*50%),Vlookup(E267,DATABASE!C:Q,10,false)*F267)</f>
        <v>0</v>
      </c>
      <c r="K267" s="74">
        <v>0.0</v>
      </c>
      <c r="L267" s="74">
        <v>0.0</v>
      </c>
      <c r="M267" s="74">
        <f t="shared" si="2"/>
        <v>0</v>
      </c>
      <c r="N267" s="74">
        <f t="shared" si="3"/>
        <v>60000</v>
      </c>
      <c r="O267" s="65" t="str">
        <f>VLOOKUP(E267,DATABASE!C:Q,8,false)</f>
        <v>BIAN</v>
      </c>
      <c r="P267" s="65">
        <f>VLOOKUP(E267,DATABASE!C:Q,9,False)</f>
        <v>0</v>
      </c>
      <c r="Q267" s="93" t="str">
        <f>VLOOKUP(E267,DATABASE!C:Q,4,false)</f>
        <v>Balancing</v>
      </c>
      <c r="R267" s="93" t="str">
        <f>VLOOKUP(E267,DATABASE!C:Q,11,false)</f>
        <v>COMPLEMENTARY</v>
      </c>
    </row>
    <row r="268" ht="22.5" customHeight="1">
      <c r="A268" s="49"/>
      <c r="C268" s="384">
        <v>45674.0</v>
      </c>
      <c r="D268" s="93">
        <v>3970.0</v>
      </c>
      <c r="E268" s="385" t="s">
        <v>268</v>
      </c>
      <c r="F268" s="386">
        <v>2.0</v>
      </c>
      <c r="G268" s="74">
        <v>680000.0</v>
      </c>
      <c r="H268" s="74">
        <v>0.0</v>
      </c>
      <c r="I268" s="74">
        <f t="shared" si="1"/>
        <v>1360000</v>
      </c>
      <c r="J268" s="74">
        <f>IF(E268="SERVICE",I268-(I268*50%),Vlookup(E268,DATABASE!C:Q,10,false)*F268)</f>
        <v>0</v>
      </c>
      <c r="K268" s="74">
        <v>613000.0</v>
      </c>
      <c r="L268" s="74">
        <v>613000.0</v>
      </c>
      <c r="M268" s="74">
        <f t="shared" si="2"/>
        <v>615000</v>
      </c>
      <c r="N268" s="74">
        <f t="shared" si="3"/>
        <v>130000</v>
      </c>
      <c r="O268" s="65" t="str">
        <f>VLOOKUP(E268,DATABASE!C:Q,8,false)</f>
        <v>IBU</v>
      </c>
      <c r="P268" s="65">
        <f>VLOOKUP(E268,DATABASE!C:Q,9,False)</f>
        <v>1</v>
      </c>
      <c r="Q268" s="93" t="str">
        <f>VLOOKUP(E268,DATABASE!C:Q,4,false)</f>
        <v>Dunlop</v>
      </c>
      <c r="R268" s="93" t="str">
        <f>VLOOKUP(E268,DATABASE!C:Q,11,false)</f>
        <v>Tire</v>
      </c>
    </row>
    <row r="269" ht="22.5" customHeight="1">
      <c r="A269" s="49"/>
      <c r="C269" s="384">
        <v>45674.0</v>
      </c>
      <c r="D269" s="93">
        <v>3970.0</v>
      </c>
      <c r="E269" s="385" t="s">
        <v>299</v>
      </c>
      <c r="F269" s="386">
        <v>2.0</v>
      </c>
      <c r="G269" s="74">
        <v>30000.0</v>
      </c>
      <c r="H269" s="74">
        <v>0.0</v>
      </c>
      <c r="I269" s="74">
        <f t="shared" si="1"/>
        <v>60000</v>
      </c>
      <c r="J269" s="74">
        <f>IF(E269="SERVICE",I269-(I269*50%),Vlookup(E269,DATABASE!C:Q,10,false)*F269)</f>
        <v>0</v>
      </c>
      <c r="K269" s="74">
        <v>0.0</v>
      </c>
      <c r="L269" s="74">
        <v>0.0</v>
      </c>
      <c r="M269" s="74">
        <f t="shared" si="2"/>
        <v>0</v>
      </c>
      <c r="N269" s="74">
        <f t="shared" si="3"/>
        <v>60000</v>
      </c>
      <c r="O269" s="65" t="str">
        <f>VLOOKUP(E269,DATABASE!C:Q,8,false)</f>
        <v>BIAN</v>
      </c>
      <c r="P269" s="65">
        <f>VLOOKUP(E269,DATABASE!C:Q,9,False)</f>
        <v>0</v>
      </c>
      <c r="Q269" s="93" t="str">
        <f>VLOOKUP(E269,DATABASE!C:Q,4,false)</f>
        <v>Balancing</v>
      </c>
      <c r="R269" s="93" t="str">
        <f>VLOOKUP(E269,DATABASE!C:Q,11,false)</f>
        <v>COMPLEMENTARY</v>
      </c>
    </row>
    <row r="270" ht="22.5" customHeight="1">
      <c r="A270" s="49"/>
      <c r="C270" s="384">
        <v>45674.0</v>
      </c>
      <c r="D270" s="93">
        <v>3970.0</v>
      </c>
      <c r="E270" s="385" t="s">
        <v>262</v>
      </c>
      <c r="F270" s="386">
        <v>1.0</v>
      </c>
      <c r="G270" s="74">
        <v>110000.0</v>
      </c>
      <c r="H270" s="74">
        <v>0.0</v>
      </c>
      <c r="I270" s="74">
        <f t="shared" si="1"/>
        <v>110000</v>
      </c>
      <c r="J270" s="74">
        <f>IF(E270="SERVICE",I270-(I270*50%),Vlookup(E270,DATABASE!C:Q,10,false)*F270)</f>
        <v>5000</v>
      </c>
      <c r="K270" s="74">
        <f>VLOOKUP(E270,DATABASE!C:Q,7,false)</f>
        <v>0</v>
      </c>
      <c r="L270" s="74">
        <v>0.0</v>
      </c>
      <c r="M270" s="74">
        <f t="shared" si="2"/>
        <v>0</v>
      </c>
      <c r="N270" s="74">
        <f t="shared" si="3"/>
        <v>105000</v>
      </c>
      <c r="O270" s="65" t="str">
        <f>VLOOKUP(E270,DATABASE!C:Q,8,false)</f>
        <v>IBU</v>
      </c>
      <c r="P270" s="65">
        <f>VLOOKUP(E270,DATABASE!C:Q,9,False)</f>
        <v>0</v>
      </c>
      <c r="Q270" s="93" t="str">
        <f>VLOOKUP(E270,DATABASE!C:Q,4,false)</f>
        <v>SPOORING SS/CARRY LOS BAK</v>
      </c>
      <c r="R270" s="93" t="str">
        <f>VLOOKUP(E270,DATABASE!C:Q,11,false)</f>
        <v>SERVICE</v>
      </c>
    </row>
    <row r="271" ht="22.5" customHeight="1">
      <c r="A271" s="49"/>
      <c r="C271" s="384">
        <v>45674.0</v>
      </c>
      <c r="D271" s="93">
        <v>3970.0</v>
      </c>
      <c r="E271" s="385" t="s">
        <v>478</v>
      </c>
      <c r="F271" s="386">
        <v>1.0</v>
      </c>
      <c r="G271" s="74">
        <v>200000.0</v>
      </c>
      <c r="H271" s="74">
        <v>0.0</v>
      </c>
      <c r="I271" s="74">
        <f t="shared" si="1"/>
        <v>200000</v>
      </c>
      <c r="J271" s="74">
        <f>IF(E271="SERVICE",I271-(I271*50%),Vlookup(E271,DATABASE!C:Q,10,false)*F271)</f>
        <v>25000</v>
      </c>
      <c r="K271" s="74">
        <f>VLOOKUP(E271,DATABASE!C:Q,7,false)</f>
        <v>75000</v>
      </c>
      <c r="L271" s="74">
        <v>75000.0</v>
      </c>
      <c r="M271" s="74">
        <f t="shared" si="2"/>
        <v>75000</v>
      </c>
      <c r="N271" s="74">
        <f t="shared" si="3"/>
        <v>100000</v>
      </c>
      <c r="O271" s="65" t="str">
        <f>VLOOKUP(E271,DATABASE!C:Q,8,false)</f>
        <v>BIAN</v>
      </c>
      <c r="P271" s="65">
        <f>VLOOKUP(E271,DATABASE!C:Q,9,False)</f>
        <v>0</v>
      </c>
      <c r="Q271" s="93" t="str">
        <f>VLOOKUP(E271,DATABASE!C:Q,4,false)</f>
        <v>Baut Camber ss-carry</v>
      </c>
      <c r="R271" s="93" t="str">
        <f>VLOOKUP(E271,DATABASE!C:Q,11,false)</f>
        <v>COMPLEMENTARY</v>
      </c>
    </row>
    <row r="272" ht="22.5" customHeight="1">
      <c r="A272" s="49"/>
      <c r="C272" s="384">
        <v>45674.0</v>
      </c>
      <c r="D272" s="93">
        <v>3970.0</v>
      </c>
      <c r="E272" s="385" t="s">
        <v>251</v>
      </c>
      <c r="F272" s="386">
        <v>1.0</v>
      </c>
      <c r="G272" s="74">
        <v>70000.0</v>
      </c>
      <c r="H272" s="74">
        <v>0.0</v>
      </c>
      <c r="I272" s="74">
        <f t="shared" si="1"/>
        <v>70000</v>
      </c>
      <c r="J272" s="74">
        <f>IF(E272="SERVICE",I272-(I272*50%),Vlookup(E272,DATABASE!C:Q,10,false)*F272)</f>
        <v>35000</v>
      </c>
      <c r="K272" s="74">
        <f>VLOOKUP(E272,DATABASE!C:Q,7,false)</f>
        <v>0</v>
      </c>
      <c r="L272" s="74">
        <v>0.0</v>
      </c>
      <c r="M272" s="74">
        <f t="shared" si="2"/>
        <v>0</v>
      </c>
      <c r="N272" s="74">
        <f t="shared" si="3"/>
        <v>35000</v>
      </c>
      <c r="O272" s="65" t="str">
        <f>VLOOKUP(E272,DATABASE!C:Q,8,false)</f>
        <v>IBU</v>
      </c>
      <c r="P272" s="65">
        <f>VLOOKUP(E272,DATABASE!C:Q,9,False)</f>
        <v>0</v>
      </c>
      <c r="Q272" s="93" t="str">
        <f>VLOOKUP(E272,DATABASE!C:Q,4,false)</f>
        <v>SERVICE</v>
      </c>
      <c r="R272" s="93" t="str">
        <f>VLOOKUP(E272,DATABASE!C:Q,11,false)</f>
        <v>SERVICE</v>
      </c>
    </row>
    <row r="273" ht="22.5" customHeight="1">
      <c r="A273" s="49"/>
      <c r="C273" s="384">
        <v>45674.0</v>
      </c>
      <c r="D273" s="93">
        <v>3972.0</v>
      </c>
      <c r="E273" s="385" t="s">
        <v>633</v>
      </c>
      <c r="F273" s="386">
        <v>1.0</v>
      </c>
      <c r="G273" s="74">
        <v>115000.0</v>
      </c>
      <c r="H273" s="74">
        <v>0.0</v>
      </c>
      <c r="I273" s="74">
        <f t="shared" si="1"/>
        <v>115000</v>
      </c>
      <c r="J273" s="74">
        <f>IF(E273="SERVICE",I273-(I273*50%),Vlookup(E273,DATABASE!C:Q,10,false)*F273)</f>
        <v>0</v>
      </c>
      <c r="K273" s="74">
        <f>VLOOKUP(E273,DATABASE!C:Q,7,false)</f>
        <v>81200</v>
      </c>
      <c r="L273" s="74">
        <v>81200.0</v>
      </c>
      <c r="M273" s="74">
        <f t="shared" si="2"/>
        <v>85000</v>
      </c>
      <c r="N273" s="74">
        <f t="shared" si="3"/>
        <v>30000</v>
      </c>
      <c r="O273" s="65" t="str">
        <f>VLOOKUP(E273,DATABASE!C:Q,8,false)</f>
        <v>BIAN</v>
      </c>
      <c r="P273" s="65">
        <f>VLOOKUP(E273,DATABASE!C:Q,9,False)</f>
        <v>1</v>
      </c>
      <c r="Q273" s="93" t="str">
        <f>VLOOKUP(E273,DATABASE!C:Q,4,false)</f>
        <v>BD</v>
      </c>
      <c r="R273" s="93" t="str">
        <f>VLOOKUP(E273,DATABASE!C:Q,11,false)</f>
        <v>Tire</v>
      </c>
    </row>
    <row r="274" ht="22.5" customHeight="1">
      <c r="A274" s="49"/>
      <c r="C274" s="384">
        <v>45674.0</v>
      </c>
      <c r="D274" s="93">
        <v>3973.0</v>
      </c>
      <c r="E274" s="385" t="s">
        <v>268</v>
      </c>
      <c r="F274" s="386">
        <v>2.0</v>
      </c>
      <c r="G274" s="74">
        <v>680000.0</v>
      </c>
      <c r="H274" s="74">
        <v>0.0</v>
      </c>
      <c r="I274" s="74">
        <f t="shared" si="1"/>
        <v>1360000</v>
      </c>
      <c r="J274" s="74">
        <f>IF(E274="SERVICE",I274-(I274*50%),Vlookup(E274,DATABASE!C:Q,10,false)*F274)</f>
        <v>0</v>
      </c>
      <c r="K274" s="74">
        <v>613000.0</v>
      </c>
      <c r="L274" s="74">
        <v>613000.0</v>
      </c>
      <c r="M274" s="74">
        <f t="shared" si="2"/>
        <v>615000</v>
      </c>
      <c r="N274" s="74">
        <f t="shared" si="3"/>
        <v>130000</v>
      </c>
      <c r="O274" s="65" t="str">
        <f>VLOOKUP(E274,DATABASE!C:Q,8,false)</f>
        <v>IBU</v>
      </c>
      <c r="P274" s="65">
        <f>VLOOKUP(E274,DATABASE!C:Q,9,False)</f>
        <v>1</v>
      </c>
      <c r="Q274" s="93" t="str">
        <f>VLOOKUP(E274,DATABASE!C:Q,4,false)</f>
        <v>Dunlop</v>
      </c>
      <c r="R274" s="93" t="str">
        <f>VLOOKUP(E274,DATABASE!C:Q,11,false)</f>
        <v>Tire</v>
      </c>
    </row>
    <row r="275" ht="22.5" customHeight="1">
      <c r="A275" s="49"/>
      <c r="C275" s="384">
        <v>45674.0</v>
      </c>
      <c r="D275" s="93">
        <v>3973.0</v>
      </c>
      <c r="E275" s="385" t="s">
        <v>299</v>
      </c>
      <c r="F275" s="386">
        <v>2.0</v>
      </c>
      <c r="G275" s="74">
        <v>30000.0</v>
      </c>
      <c r="H275" s="74">
        <v>0.0</v>
      </c>
      <c r="I275" s="74">
        <f t="shared" si="1"/>
        <v>60000</v>
      </c>
      <c r="J275" s="74">
        <f>IF(E275="SERVICE",I275-(I275*50%),Vlookup(E275,DATABASE!C:Q,10,false)*F275)</f>
        <v>0</v>
      </c>
      <c r="K275" s="74">
        <v>0.0</v>
      </c>
      <c r="L275" s="74">
        <v>0.0</v>
      </c>
      <c r="M275" s="74">
        <f t="shared" si="2"/>
        <v>0</v>
      </c>
      <c r="N275" s="74">
        <f t="shared" si="3"/>
        <v>60000</v>
      </c>
      <c r="O275" s="65" t="str">
        <f>VLOOKUP(E275,DATABASE!C:Q,8,false)</f>
        <v>BIAN</v>
      </c>
      <c r="P275" s="65">
        <f>VLOOKUP(E275,DATABASE!C:Q,9,False)</f>
        <v>0</v>
      </c>
      <c r="Q275" s="93" t="str">
        <f>VLOOKUP(E275,DATABASE!C:Q,4,false)</f>
        <v>Balancing</v>
      </c>
      <c r="R275" s="93" t="str">
        <f>VLOOKUP(E275,DATABASE!C:Q,11,false)</f>
        <v>COMPLEMENTARY</v>
      </c>
    </row>
    <row r="276" ht="22.5" customHeight="1">
      <c r="A276" s="49"/>
      <c r="C276" s="384">
        <v>45674.0</v>
      </c>
      <c r="D276" s="93">
        <v>3974.0</v>
      </c>
      <c r="E276" s="385" t="s">
        <v>268</v>
      </c>
      <c r="F276" s="386">
        <v>5.0</v>
      </c>
      <c r="G276" s="74">
        <v>670000.0</v>
      </c>
      <c r="H276" s="74">
        <v>0.0</v>
      </c>
      <c r="I276" s="74">
        <f t="shared" si="1"/>
        <v>3350000</v>
      </c>
      <c r="J276" s="74">
        <f>IF(E276="SERVICE",I276-(I276*50%),Vlookup(E276,DATABASE!C:Q,10,false)*F276)</f>
        <v>0</v>
      </c>
      <c r="K276" s="74">
        <v>613000.0</v>
      </c>
      <c r="L276" s="74">
        <v>613000.0</v>
      </c>
      <c r="M276" s="74">
        <f t="shared" si="2"/>
        <v>615000</v>
      </c>
      <c r="N276" s="74">
        <f t="shared" si="3"/>
        <v>275000</v>
      </c>
      <c r="O276" s="65" t="str">
        <f>VLOOKUP(E276,DATABASE!C:Q,8,false)</f>
        <v>IBU</v>
      </c>
      <c r="P276" s="65">
        <f>VLOOKUP(E276,DATABASE!C:Q,9,False)</f>
        <v>1</v>
      </c>
      <c r="Q276" s="93" t="str">
        <f>VLOOKUP(E276,DATABASE!C:Q,4,false)</f>
        <v>Dunlop</v>
      </c>
      <c r="R276" s="93" t="str">
        <f>VLOOKUP(E276,DATABASE!C:Q,11,false)</f>
        <v>Tire</v>
      </c>
    </row>
    <row r="277" ht="22.5" customHeight="1">
      <c r="A277" s="49"/>
      <c r="C277" s="384">
        <v>45674.0</v>
      </c>
      <c r="D277" s="93">
        <v>3975.0</v>
      </c>
      <c r="E277" s="445" t="s">
        <v>256</v>
      </c>
      <c r="F277" s="386">
        <v>1.0</v>
      </c>
      <c r="G277" s="74">
        <v>130000.0</v>
      </c>
      <c r="H277" s="74">
        <v>0.0</v>
      </c>
      <c r="I277" s="74">
        <f t="shared" si="1"/>
        <v>130000</v>
      </c>
      <c r="J277" s="74">
        <f>IF(E277="SERVICE",I277-(I277*50%),Vlookup(E277,DATABASE!C:Q,10,false)*F277)</f>
        <v>10000</v>
      </c>
      <c r="K277" s="74">
        <f>VLOOKUP(E277,DATABASE!C:Q,7,false)</f>
        <v>0</v>
      </c>
      <c r="L277" s="74">
        <v>0.0</v>
      </c>
      <c r="M277" s="74">
        <f t="shared" si="2"/>
        <v>0</v>
      </c>
      <c r="N277" s="74">
        <f t="shared" si="3"/>
        <v>120000</v>
      </c>
      <c r="O277" s="65" t="str">
        <f>VLOOKUP(E277,DATABASE!C:Q,8,false)</f>
        <v>IBU</v>
      </c>
      <c r="P277" s="65">
        <f>VLOOKUP(E277,DATABASE!C:Q,9,False)</f>
        <v>0</v>
      </c>
      <c r="Q277" s="93" t="str">
        <f>VLOOKUP(E277,DATABASE!C:Q,4,false)</f>
        <v>SPOORING</v>
      </c>
      <c r="R277" s="93" t="str">
        <f>VLOOKUP(E277,DATABASE!C:Q,11,false)</f>
        <v>SERVICE</v>
      </c>
    </row>
    <row r="278" ht="22.5" customHeight="1">
      <c r="A278" s="49"/>
      <c r="C278" s="384">
        <v>45674.0</v>
      </c>
      <c r="D278" s="93">
        <v>3975.0</v>
      </c>
      <c r="E278" s="385" t="s">
        <v>301</v>
      </c>
      <c r="F278" s="386">
        <v>1.0</v>
      </c>
      <c r="G278" s="74">
        <v>250000.0</v>
      </c>
      <c r="H278" s="74">
        <v>0.0</v>
      </c>
      <c r="I278" s="74">
        <f t="shared" si="1"/>
        <v>250000</v>
      </c>
      <c r="J278" s="74">
        <f>IF(E278="SERVICE",I278-(I278*50%),Vlookup(E278,DATABASE!C:Q,10,false)*F278)</f>
        <v>75000</v>
      </c>
      <c r="K278" s="74">
        <f>VLOOKUP(E278,DATABASE!C:Q,7,false)</f>
        <v>75000</v>
      </c>
      <c r="L278" s="74">
        <v>75000.0</v>
      </c>
      <c r="M278" s="74">
        <f t="shared" si="2"/>
        <v>75000</v>
      </c>
      <c r="N278" s="74">
        <f t="shared" si="3"/>
        <v>100000</v>
      </c>
      <c r="O278" s="65" t="str">
        <f>VLOOKUP(E278,DATABASE!C:Q,8,false)</f>
        <v>BIAN</v>
      </c>
      <c r="P278" s="65">
        <f>VLOOKUP(E278,DATABASE!C:Q,9,False)</f>
        <v>0</v>
      </c>
      <c r="Q278" s="93" t="str">
        <f>VLOOKUP(E278,DATABASE!C:Q,4,false)</f>
        <v>Baut Camber</v>
      </c>
      <c r="R278" s="93" t="str">
        <f>VLOOKUP(E278,DATABASE!C:Q,11,false)</f>
        <v>COMPLEMENTARY</v>
      </c>
    </row>
    <row r="279" ht="22.5" customHeight="1">
      <c r="A279" s="49"/>
      <c r="C279" s="384">
        <v>45674.0</v>
      </c>
      <c r="D279" s="93">
        <v>3976.0</v>
      </c>
      <c r="E279" s="385" t="s">
        <v>585</v>
      </c>
      <c r="F279" s="386">
        <v>1.0</v>
      </c>
      <c r="G279" s="74">
        <v>95000.0</v>
      </c>
      <c r="H279" s="74">
        <v>0.0</v>
      </c>
      <c r="I279" s="74">
        <f t="shared" si="1"/>
        <v>95000</v>
      </c>
      <c r="J279" s="74">
        <f>IF(E279="SERVICE",I279-(I279*50%),Vlookup(E279,DATABASE!C:Q,10,false)*F279)</f>
        <v>0</v>
      </c>
      <c r="K279" s="74">
        <f>VLOOKUP(E279,DATABASE!C:Q,7,false)</f>
        <v>61600</v>
      </c>
      <c r="L279" s="74">
        <v>61600.0</v>
      </c>
      <c r="M279" s="74">
        <f t="shared" si="2"/>
        <v>65000</v>
      </c>
      <c r="N279" s="74">
        <f t="shared" si="3"/>
        <v>30000</v>
      </c>
      <c r="O279" s="65" t="str">
        <f>VLOOKUP(E279,DATABASE!C:Q,8,false)</f>
        <v>BIAN</v>
      </c>
      <c r="P279" s="65">
        <f>VLOOKUP(E279,DATABASE!C:Q,9,False)</f>
        <v>1</v>
      </c>
      <c r="Q279" s="93" t="str">
        <f>VLOOKUP(E279,DATABASE!C:Q,4,false)</f>
        <v>BD</v>
      </c>
      <c r="R279" s="93" t="str">
        <f>VLOOKUP(E279,DATABASE!C:Q,11,false)</f>
        <v>Tire</v>
      </c>
    </row>
    <row r="280" ht="22.5" customHeight="1">
      <c r="A280" s="49"/>
      <c r="C280" s="384">
        <v>45674.0</v>
      </c>
      <c r="D280" s="93">
        <v>3976.0</v>
      </c>
      <c r="E280" s="385" t="s">
        <v>781</v>
      </c>
      <c r="F280" s="386">
        <v>1.0</v>
      </c>
      <c r="G280" s="74">
        <v>530000.0</v>
      </c>
      <c r="H280" s="74">
        <v>0.0</v>
      </c>
      <c r="I280" s="74">
        <f t="shared" si="1"/>
        <v>530000</v>
      </c>
      <c r="J280" s="74">
        <f>IF(E280="SERVICE",I280-(I280*50%),Vlookup(E280,DATABASE!C:Q,10,false)*F280)</f>
        <v>0</v>
      </c>
      <c r="K280" s="74">
        <f>VLOOKUP(E280,DATABASE!C:Q,7,false)</f>
        <v>470000</v>
      </c>
      <c r="L280" s="74">
        <v>442500.0</v>
      </c>
      <c r="M280" s="74">
        <f t="shared" si="2"/>
        <v>445000</v>
      </c>
      <c r="N280" s="74">
        <f t="shared" si="3"/>
        <v>85000</v>
      </c>
      <c r="O280" s="65" t="str">
        <f>VLOOKUP(E280,DATABASE!C:Q,8,false)</f>
        <v>BIAN</v>
      </c>
      <c r="P280" s="65">
        <f>VLOOKUP(E280,DATABASE!C:Q,9,False)</f>
        <v>1</v>
      </c>
      <c r="Q280" s="93" t="str">
        <f>VLOOKUP(E280,DATABASE!C:Q,4,false)</f>
        <v>GT</v>
      </c>
      <c r="R280" s="93" t="str">
        <f>VLOOKUP(E280,DATABASE!C:Q,11,false)</f>
        <v>Tire</v>
      </c>
    </row>
    <row r="281" ht="22.5" customHeight="1">
      <c r="A281" s="49"/>
      <c r="C281" s="384">
        <v>45674.0</v>
      </c>
      <c r="D281" s="93">
        <v>3977.0</v>
      </c>
      <c r="E281" s="385" t="s">
        <v>633</v>
      </c>
      <c r="F281" s="386">
        <v>1.0</v>
      </c>
      <c r="G281" s="74">
        <v>115000.0</v>
      </c>
      <c r="H281" s="74">
        <v>0.0</v>
      </c>
      <c r="I281" s="74">
        <f t="shared" si="1"/>
        <v>115000</v>
      </c>
      <c r="J281" s="74">
        <f>IF(E281="SERVICE",I281-(I281*50%),Vlookup(E281,DATABASE!C:Q,10,false)*F281)</f>
        <v>0</v>
      </c>
      <c r="K281" s="74">
        <f>VLOOKUP(E281,DATABASE!C:Q,7,false)</f>
        <v>81200</v>
      </c>
      <c r="L281" s="74">
        <v>81200.0</v>
      </c>
      <c r="M281" s="74">
        <f t="shared" si="2"/>
        <v>85000</v>
      </c>
      <c r="N281" s="74">
        <f t="shared" si="3"/>
        <v>30000</v>
      </c>
      <c r="O281" s="65" t="str">
        <f>VLOOKUP(E281,DATABASE!C:Q,8,false)</f>
        <v>BIAN</v>
      </c>
      <c r="P281" s="65">
        <f>VLOOKUP(E281,DATABASE!C:Q,9,False)</f>
        <v>1</v>
      </c>
      <c r="Q281" s="93" t="str">
        <f>VLOOKUP(E281,DATABASE!C:Q,4,false)</f>
        <v>BD</v>
      </c>
      <c r="R281" s="93" t="str">
        <f>VLOOKUP(E281,DATABASE!C:Q,11,false)</f>
        <v>Tire</v>
      </c>
    </row>
    <row r="282" ht="22.5" customHeight="1">
      <c r="A282" s="49"/>
      <c r="C282" s="384">
        <v>45674.0</v>
      </c>
      <c r="D282" s="93">
        <v>3978.0</v>
      </c>
      <c r="E282" s="385" t="s">
        <v>878</v>
      </c>
      <c r="F282" s="386">
        <v>4.0</v>
      </c>
      <c r="G282" s="74">
        <v>40000.0</v>
      </c>
      <c r="H282" s="74">
        <v>0.0</v>
      </c>
      <c r="I282" s="74">
        <f t="shared" si="1"/>
        <v>160000</v>
      </c>
      <c r="J282" s="74">
        <f>IF(E282="SERVICE",I282-(I282*50%),Vlookup(E282,DATABASE!C:Q,10,false)*F282)</f>
        <v>0</v>
      </c>
      <c r="K282" s="74">
        <f>VLOOKUP(E282,DATABASE!C:Q,7,false)</f>
        <v>0</v>
      </c>
      <c r="L282" s="74">
        <v>0.0</v>
      </c>
      <c r="M282" s="74">
        <f t="shared" si="2"/>
        <v>0</v>
      </c>
      <c r="N282" s="74">
        <f t="shared" si="3"/>
        <v>160000</v>
      </c>
      <c r="O282" s="65" t="str">
        <f>VLOOKUP(E282,DATABASE!C:Q,8,false)</f>
        <v>IBU</v>
      </c>
      <c r="P282" s="65">
        <f>VLOOKUP(E282,DATABASE!C:Q,9,False)</f>
        <v>0</v>
      </c>
      <c r="Q282" s="93" t="str">
        <f>VLOOKUP(E282,DATABASE!C:Q,4,false)</f>
        <v>Bongkar Pasang 17</v>
      </c>
      <c r="R282" s="93" t="str">
        <f>VLOOKUP(E282,DATABASE!C:Q,11,false)</f>
        <v>SERVICE</v>
      </c>
    </row>
    <row r="283" ht="22.5" customHeight="1">
      <c r="A283" s="49"/>
      <c r="C283" s="384">
        <v>45674.0</v>
      </c>
      <c r="D283" s="93">
        <v>3978.0</v>
      </c>
      <c r="E283" s="385" t="s">
        <v>299</v>
      </c>
      <c r="F283" s="386">
        <v>2.0</v>
      </c>
      <c r="G283" s="74">
        <v>40000.0</v>
      </c>
      <c r="H283" s="74">
        <v>0.0</v>
      </c>
      <c r="I283" s="74">
        <f t="shared" si="1"/>
        <v>80000</v>
      </c>
      <c r="J283" s="74">
        <f>IF(E283="SERVICE",I283-(I283*50%),Vlookup(E283,DATABASE!C:Q,10,false)*F283)</f>
        <v>0</v>
      </c>
      <c r="K283" s="74">
        <v>0.0</v>
      </c>
      <c r="L283" s="74">
        <v>0.0</v>
      </c>
      <c r="M283" s="74">
        <f t="shared" si="2"/>
        <v>0</v>
      </c>
      <c r="N283" s="74">
        <f t="shared" si="3"/>
        <v>80000</v>
      </c>
      <c r="O283" s="65" t="str">
        <f>VLOOKUP(E283,DATABASE!C:Q,8,false)</f>
        <v>BIAN</v>
      </c>
      <c r="P283" s="65">
        <f>VLOOKUP(E283,DATABASE!C:Q,9,False)</f>
        <v>0</v>
      </c>
      <c r="Q283" s="93" t="str">
        <f>VLOOKUP(E283,DATABASE!C:Q,4,false)</f>
        <v>Balancing</v>
      </c>
      <c r="R283" s="93" t="str">
        <f>VLOOKUP(E283,DATABASE!C:Q,11,false)</f>
        <v>COMPLEMENTARY</v>
      </c>
    </row>
    <row r="284" ht="22.5" customHeight="1">
      <c r="A284" s="49"/>
      <c r="C284" s="384">
        <v>45674.0</v>
      </c>
      <c r="D284" s="93">
        <v>3979.0</v>
      </c>
      <c r="E284" s="385" t="s">
        <v>275</v>
      </c>
      <c r="F284" s="386">
        <v>4.0</v>
      </c>
      <c r="G284" s="74">
        <v>800000.0</v>
      </c>
      <c r="H284" s="74">
        <v>0.0</v>
      </c>
      <c r="I284" s="74">
        <f t="shared" si="1"/>
        <v>3200000</v>
      </c>
      <c r="J284" s="74">
        <f>IF(E284="SERVICE",I284-(I284*50%),Vlookup(E284,DATABASE!C:Q,10,false)*F284)</f>
        <v>0</v>
      </c>
      <c r="K284" s="74">
        <v>735000.0</v>
      </c>
      <c r="L284" s="74">
        <v>735000.0</v>
      </c>
      <c r="M284" s="74">
        <f t="shared" si="2"/>
        <v>735000</v>
      </c>
      <c r="N284" s="74">
        <f t="shared" si="3"/>
        <v>260000</v>
      </c>
      <c r="O284" s="65" t="str">
        <f>VLOOKUP(E284,DATABASE!C:Q,8,false)</f>
        <v>IBU</v>
      </c>
      <c r="P284" s="65">
        <f>VLOOKUP(E284,DATABASE!C:Q,9,False)</f>
        <v>1</v>
      </c>
      <c r="Q284" s="93" t="str">
        <f>VLOOKUP(E284,DATABASE!C:Q,4,false)</f>
        <v>Dunlop</v>
      </c>
      <c r="R284" s="93" t="str">
        <f>VLOOKUP(E284,DATABASE!C:Q,11,false)</f>
        <v>Tire</v>
      </c>
    </row>
    <row r="285" ht="22.5" customHeight="1">
      <c r="A285" s="49"/>
      <c r="C285" s="384">
        <v>45674.0</v>
      </c>
      <c r="D285" s="93">
        <v>3980.0</v>
      </c>
      <c r="E285" s="385" t="s">
        <v>968</v>
      </c>
      <c r="F285" s="386">
        <v>2.0</v>
      </c>
      <c r="G285" s="74">
        <v>630000.0</v>
      </c>
      <c r="H285" s="74">
        <v>0.0</v>
      </c>
      <c r="I285" s="74">
        <f t="shared" si="1"/>
        <v>1260000</v>
      </c>
      <c r="J285" s="74">
        <f>IF(E285="SERVICE",I285-(I285*50%),Vlookup(E285,DATABASE!C:Q,10,false)*F285)</f>
        <v>0</v>
      </c>
      <c r="K285" s="74">
        <f>VLOOKUP(E285,DATABASE!C:Q,7,false)</f>
        <v>582500</v>
      </c>
      <c r="L285" s="74">
        <v>582500.0</v>
      </c>
      <c r="M285" s="74">
        <f t="shared" si="2"/>
        <v>585000</v>
      </c>
      <c r="N285" s="74">
        <f t="shared" si="3"/>
        <v>90000</v>
      </c>
      <c r="O285" s="65" t="str">
        <f>VLOOKUP(E285,DATABASE!C:Q,8,false)</f>
        <v>IBU</v>
      </c>
      <c r="P285" s="65">
        <f>VLOOKUP(E285,DATABASE!C:Q,9,False)</f>
        <v>1</v>
      </c>
      <c r="Q285" s="93" t="str">
        <f>VLOOKUP(E285,DATABASE!C:Q,4,false)</f>
        <v>Dunlop</v>
      </c>
      <c r="R285" s="93" t="str">
        <f>VLOOKUP(E285,DATABASE!C:Q,11,false)</f>
        <v>Tire</v>
      </c>
    </row>
    <row r="286" ht="22.5" customHeight="1">
      <c r="A286" s="49"/>
      <c r="C286" s="384">
        <v>45675.0</v>
      </c>
      <c r="D286" s="93">
        <v>3981.0</v>
      </c>
      <c r="E286" s="385" t="s">
        <v>1009</v>
      </c>
      <c r="F286" s="386">
        <v>1.0</v>
      </c>
      <c r="G286" s="74">
        <v>670000.0</v>
      </c>
      <c r="H286" s="74">
        <v>0.0</v>
      </c>
      <c r="I286" s="74">
        <f t="shared" si="1"/>
        <v>670000</v>
      </c>
      <c r="J286" s="74">
        <f>IF(E286="SERVICE",I286-(I286*50%),Vlookup(E286,DATABASE!C:Q,10,false)*F286)</f>
        <v>0</v>
      </c>
      <c r="K286" s="74">
        <f>VLOOKUP(E286,DATABASE!C:Q,7,false)</f>
        <v>609800</v>
      </c>
      <c r="L286" s="74">
        <v>592200.0</v>
      </c>
      <c r="M286" s="74">
        <f t="shared" si="2"/>
        <v>595000</v>
      </c>
      <c r="N286" s="74">
        <f t="shared" si="3"/>
        <v>75000</v>
      </c>
      <c r="O286" s="65" t="str">
        <f>VLOOKUP(E286,DATABASE!C:Q,8,false)</f>
        <v>BIAN</v>
      </c>
      <c r="P286" s="65">
        <f>VLOOKUP(E286,DATABASE!C:Q,9,False)</f>
        <v>1</v>
      </c>
      <c r="Q286" s="93" t="str">
        <f>VLOOKUP(E286,DATABASE!C:Q,4,false)</f>
        <v>GT</v>
      </c>
      <c r="R286" s="93" t="str">
        <f>VLOOKUP(E286,DATABASE!C:Q,11,false)</f>
        <v>Tire</v>
      </c>
    </row>
    <row r="287" ht="22.5" customHeight="1">
      <c r="A287" s="49"/>
      <c r="C287" s="384">
        <v>45675.0</v>
      </c>
      <c r="D287" s="93">
        <v>3982.0</v>
      </c>
      <c r="E287" s="385" t="s">
        <v>275</v>
      </c>
      <c r="F287" s="386">
        <v>1.0</v>
      </c>
      <c r="G287" s="74">
        <v>820000.0</v>
      </c>
      <c r="H287" s="74">
        <v>0.0</v>
      </c>
      <c r="I287" s="74">
        <f t="shared" si="1"/>
        <v>820000</v>
      </c>
      <c r="J287" s="74">
        <f>IF(E287="SERVICE",I287-(I287*50%),Vlookup(E287,DATABASE!C:Q,10,false)*F287)</f>
        <v>0</v>
      </c>
      <c r="K287" s="74">
        <v>735000.0</v>
      </c>
      <c r="L287" s="74">
        <v>735000.0</v>
      </c>
      <c r="M287" s="74">
        <f t="shared" si="2"/>
        <v>735000</v>
      </c>
      <c r="N287" s="74">
        <f t="shared" si="3"/>
        <v>85000</v>
      </c>
      <c r="O287" s="65" t="str">
        <f>VLOOKUP(E287,DATABASE!C:Q,8,false)</f>
        <v>IBU</v>
      </c>
      <c r="P287" s="65">
        <f>VLOOKUP(E287,DATABASE!C:Q,9,False)</f>
        <v>1</v>
      </c>
      <c r="Q287" s="93" t="str">
        <f>VLOOKUP(E287,DATABASE!C:Q,4,false)</f>
        <v>Dunlop</v>
      </c>
      <c r="R287" s="93" t="str">
        <f>VLOOKUP(E287,DATABASE!C:Q,11,false)</f>
        <v>Tire</v>
      </c>
    </row>
    <row r="288" ht="22.5" customHeight="1">
      <c r="A288" s="49"/>
      <c r="C288" s="384">
        <v>45675.0</v>
      </c>
      <c r="D288" s="93">
        <v>3983.0</v>
      </c>
      <c r="E288" s="385" t="s">
        <v>275</v>
      </c>
      <c r="F288" s="386">
        <v>1.0</v>
      </c>
      <c r="G288" s="74">
        <v>820000.0</v>
      </c>
      <c r="H288" s="74">
        <v>0.0</v>
      </c>
      <c r="I288" s="74">
        <f t="shared" si="1"/>
        <v>820000</v>
      </c>
      <c r="J288" s="74">
        <f>IF(E288="SERVICE",I288-(I288*50%),Vlookup(E288,DATABASE!C:Q,10,false)*F288)</f>
        <v>0</v>
      </c>
      <c r="K288" s="74">
        <v>735000.0</v>
      </c>
      <c r="L288" s="74">
        <v>735000.0</v>
      </c>
      <c r="M288" s="74">
        <f t="shared" si="2"/>
        <v>735000</v>
      </c>
      <c r="N288" s="74">
        <f t="shared" si="3"/>
        <v>85000</v>
      </c>
      <c r="O288" s="65" t="str">
        <f>VLOOKUP(E288,DATABASE!C:Q,8,false)</f>
        <v>IBU</v>
      </c>
      <c r="P288" s="65">
        <f>VLOOKUP(E288,DATABASE!C:Q,9,False)</f>
        <v>1</v>
      </c>
      <c r="Q288" s="93" t="str">
        <f>VLOOKUP(E288,DATABASE!C:Q,4,false)</f>
        <v>Dunlop</v>
      </c>
      <c r="R288" s="93" t="str">
        <f>VLOOKUP(E288,DATABASE!C:Q,11,false)</f>
        <v>Tire</v>
      </c>
    </row>
    <row r="289" ht="22.5" customHeight="1">
      <c r="A289" s="49"/>
      <c r="C289" s="384">
        <v>45675.0</v>
      </c>
      <c r="D289" s="93">
        <v>3984.0</v>
      </c>
      <c r="E289" s="385" t="s">
        <v>633</v>
      </c>
      <c r="F289" s="386">
        <v>1.0</v>
      </c>
      <c r="G289" s="74">
        <v>115000.0</v>
      </c>
      <c r="H289" s="74">
        <v>0.0</v>
      </c>
      <c r="I289" s="74">
        <f t="shared" si="1"/>
        <v>115000</v>
      </c>
      <c r="J289" s="74">
        <f>IF(E289="SERVICE",I289-(I289*50%),Vlookup(E289,DATABASE!C:Q,10,false)*F289)</f>
        <v>0</v>
      </c>
      <c r="K289" s="74">
        <f>VLOOKUP(E289,DATABASE!C:Q,7,false)</f>
        <v>81200</v>
      </c>
      <c r="L289" s="74">
        <v>81200.0</v>
      </c>
      <c r="M289" s="74">
        <f t="shared" si="2"/>
        <v>85000</v>
      </c>
      <c r="N289" s="74">
        <f t="shared" si="3"/>
        <v>30000</v>
      </c>
      <c r="O289" s="65" t="str">
        <f>VLOOKUP(E289,DATABASE!C:Q,8,false)</f>
        <v>BIAN</v>
      </c>
      <c r="P289" s="65">
        <f>VLOOKUP(E289,DATABASE!C:Q,9,False)</f>
        <v>1</v>
      </c>
      <c r="Q289" s="93" t="str">
        <f>VLOOKUP(E289,DATABASE!C:Q,4,false)</f>
        <v>BD</v>
      </c>
      <c r="R289" s="93" t="str">
        <f>VLOOKUP(E289,DATABASE!C:Q,11,false)</f>
        <v>Tire</v>
      </c>
    </row>
    <row r="290" ht="22.5" customHeight="1">
      <c r="A290" s="49"/>
      <c r="C290" s="384">
        <v>45675.0</v>
      </c>
      <c r="D290" s="93">
        <v>3985.0</v>
      </c>
      <c r="E290" s="385" t="s">
        <v>251</v>
      </c>
      <c r="F290" s="386">
        <v>1.0</v>
      </c>
      <c r="G290" s="74">
        <v>100000.0</v>
      </c>
      <c r="H290" s="74">
        <v>0.0</v>
      </c>
      <c r="I290" s="74">
        <f t="shared" si="1"/>
        <v>100000</v>
      </c>
      <c r="J290" s="74">
        <f>IF(E290="SERVICE",I290-(I290*50%),Vlookup(E290,DATABASE!C:Q,10,false)*F290)</f>
        <v>50000</v>
      </c>
      <c r="K290" s="74">
        <f>VLOOKUP(E290,DATABASE!C:Q,7,false)</f>
        <v>0</v>
      </c>
      <c r="L290" s="74">
        <v>0.0</v>
      </c>
      <c r="M290" s="74">
        <f t="shared" si="2"/>
        <v>0</v>
      </c>
      <c r="N290" s="74">
        <f t="shared" si="3"/>
        <v>50000</v>
      </c>
      <c r="O290" s="65" t="str">
        <f>VLOOKUP(E290,DATABASE!C:Q,8,false)</f>
        <v>IBU</v>
      </c>
      <c r="P290" s="65">
        <f>VLOOKUP(E290,DATABASE!C:Q,9,False)</f>
        <v>0</v>
      </c>
      <c r="Q290" s="93" t="str">
        <f>VLOOKUP(E290,DATABASE!C:Q,4,false)</f>
        <v>SERVICE</v>
      </c>
      <c r="R290" s="93" t="str">
        <f>VLOOKUP(E290,DATABASE!C:Q,11,false)</f>
        <v>SERVICE</v>
      </c>
    </row>
    <row r="291" ht="22.5" customHeight="1">
      <c r="A291" s="49"/>
      <c r="C291" s="384">
        <v>45675.0</v>
      </c>
      <c r="D291" s="93">
        <v>3986.0</v>
      </c>
      <c r="E291" s="385" t="s">
        <v>585</v>
      </c>
      <c r="F291" s="386">
        <v>1.0</v>
      </c>
      <c r="G291" s="74">
        <v>95000.0</v>
      </c>
      <c r="H291" s="74">
        <v>0.0</v>
      </c>
      <c r="I291" s="74">
        <f t="shared" si="1"/>
        <v>95000</v>
      </c>
      <c r="J291" s="74">
        <f>IF(E291="SERVICE",I291-(I291*50%),Vlookup(E291,DATABASE!C:Q,10,false)*F291)</f>
        <v>0</v>
      </c>
      <c r="K291" s="74">
        <f>VLOOKUP(E291,DATABASE!C:Q,7,false)</f>
        <v>61600</v>
      </c>
      <c r="L291" s="74">
        <v>61600.0</v>
      </c>
      <c r="M291" s="74">
        <f t="shared" si="2"/>
        <v>65000</v>
      </c>
      <c r="N291" s="74">
        <f t="shared" si="3"/>
        <v>30000</v>
      </c>
      <c r="O291" s="65" t="str">
        <f>VLOOKUP(E291,DATABASE!C:Q,8,false)</f>
        <v>BIAN</v>
      </c>
      <c r="P291" s="65">
        <f>VLOOKUP(E291,DATABASE!C:Q,9,False)</f>
        <v>1</v>
      </c>
      <c r="Q291" s="93" t="str">
        <f>VLOOKUP(E291,DATABASE!C:Q,4,false)</f>
        <v>BD</v>
      </c>
      <c r="R291" s="93" t="str">
        <f>VLOOKUP(E291,DATABASE!C:Q,11,false)</f>
        <v>Tire</v>
      </c>
    </row>
    <row r="292" ht="22.5" customHeight="1">
      <c r="A292" s="49"/>
      <c r="C292" s="384">
        <v>45675.0</v>
      </c>
      <c r="D292" s="93">
        <v>3987.0</v>
      </c>
      <c r="E292" s="385" t="s">
        <v>968</v>
      </c>
      <c r="F292" s="386">
        <v>4.0</v>
      </c>
      <c r="G292" s="74">
        <v>620000.0</v>
      </c>
      <c r="H292" s="74">
        <v>0.0</v>
      </c>
      <c r="I292" s="74">
        <f t="shared" si="1"/>
        <v>2480000</v>
      </c>
      <c r="J292" s="74">
        <f>IF(E292="SERVICE",I292-(I292*50%),Vlookup(E292,DATABASE!C:Q,10,false)*F292)</f>
        <v>0</v>
      </c>
      <c r="K292" s="74">
        <f>VLOOKUP(E292,DATABASE!C:Q,7,false)</f>
        <v>582500</v>
      </c>
      <c r="L292" s="74">
        <v>582500.0</v>
      </c>
      <c r="M292" s="74">
        <f t="shared" si="2"/>
        <v>585000</v>
      </c>
      <c r="N292" s="74">
        <f t="shared" si="3"/>
        <v>140000</v>
      </c>
      <c r="O292" s="65" t="str">
        <f>VLOOKUP(E292,DATABASE!C:Q,8,false)</f>
        <v>IBU</v>
      </c>
      <c r="P292" s="65">
        <f>VLOOKUP(E292,DATABASE!C:Q,9,False)</f>
        <v>1</v>
      </c>
      <c r="Q292" s="93" t="str">
        <f>VLOOKUP(E292,DATABASE!C:Q,4,false)</f>
        <v>Dunlop</v>
      </c>
      <c r="R292" s="93" t="str">
        <f>VLOOKUP(E292,DATABASE!C:Q,11,false)</f>
        <v>Tire</v>
      </c>
    </row>
    <row r="293" ht="22.5" customHeight="1">
      <c r="A293" s="49"/>
      <c r="C293" s="384">
        <v>45675.0</v>
      </c>
      <c r="D293" s="93">
        <v>3988.0</v>
      </c>
      <c r="E293" s="385" t="s">
        <v>290</v>
      </c>
      <c r="F293" s="386">
        <v>1.0</v>
      </c>
      <c r="G293" s="74">
        <v>675000.0</v>
      </c>
      <c r="H293" s="74">
        <v>0.0</v>
      </c>
      <c r="I293" s="74">
        <f t="shared" si="1"/>
        <v>675000</v>
      </c>
      <c r="J293" s="74">
        <f>IF(E293="SERVICE",I293-(I293*50%),Vlookup(E293,DATABASE!C:Q,10,false)*F293)</f>
        <v>0</v>
      </c>
      <c r="K293" s="74">
        <f>VLOOKUP(E293,DATABASE!C:Q,7,false)</f>
        <v>628100</v>
      </c>
      <c r="L293" s="74">
        <v>609804.0</v>
      </c>
      <c r="M293" s="74">
        <f t="shared" si="2"/>
        <v>610000</v>
      </c>
      <c r="N293" s="74">
        <f t="shared" si="3"/>
        <v>65000</v>
      </c>
      <c r="O293" s="65" t="str">
        <f>VLOOKUP(E293,DATABASE!C:Q,8,false)</f>
        <v>BIAN</v>
      </c>
      <c r="P293" s="65">
        <f>VLOOKUP(E293,DATABASE!C:Q,9,False)</f>
        <v>1</v>
      </c>
      <c r="Q293" s="93" t="str">
        <f>VLOOKUP(E293,DATABASE!C:Q,4,false)</f>
        <v>GT</v>
      </c>
      <c r="R293" s="93" t="str">
        <f>VLOOKUP(E293,DATABASE!C:Q,11,false)</f>
        <v>Tire</v>
      </c>
    </row>
    <row r="294" ht="22.5" customHeight="1">
      <c r="A294" s="49"/>
      <c r="C294" s="384">
        <v>45675.0</v>
      </c>
      <c r="D294" s="93">
        <v>3989.0</v>
      </c>
      <c r="E294" s="385" t="s">
        <v>2155</v>
      </c>
      <c r="F294" s="386">
        <v>1.0</v>
      </c>
      <c r="G294" s="74">
        <v>620000.0</v>
      </c>
      <c r="H294" s="74">
        <v>0.0</v>
      </c>
      <c r="I294" s="74">
        <f t="shared" si="1"/>
        <v>620000</v>
      </c>
      <c r="J294" s="74">
        <f>IF(E294="SERVICE",I294-(I294*50%),Vlookup(E294,DATABASE!C:Q,10,false)*F294)</f>
        <v>0</v>
      </c>
      <c r="K294" s="74">
        <f>VLOOKUP(E294,DATABASE!C:Q,7,false)</f>
        <v>555000</v>
      </c>
      <c r="L294" s="74">
        <v>555000.0</v>
      </c>
      <c r="M294" s="74">
        <f t="shared" si="2"/>
        <v>555000</v>
      </c>
      <c r="N294" s="74">
        <f t="shared" si="3"/>
        <v>65000</v>
      </c>
      <c r="O294" s="65" t="str">
        <f>VLOOKUP(E294,DATABASE!C:Q,8,false)</f>
        <v>BIAN</v>
      </c>
      <c r="P294" s="65">
        <f>VLOOKUP(E294,DATABASE!C:Q,9,False)</f>
        <v>1</v>
      </c>
      <c r="Q294" s="93" t="str">
        <f>VLOOKUP(E294,DATABASE!C:Q,4,false)</f>
        <v>SAILUN</v>
      </c>
      <c r="R294" s="93" t="str">
        <f>VLOOKUP(E294,DATABASE!C:Q,11,false)</f>
        <v>Tire</v>
      </c>
    </row>
    <row r="295" ht="22.5" customHeight="1">
      <c r="A295" s="49"/>
      <c r="C295" s="384">
        <v>45675.0</v>
      </c>
      <c r="D295" s="93">
        <v>3990.0</v>
      </c>
      <c r="E295" s="385" t="s">
        <v>290</v>
      </c>
      <c r="F295" s="386">
        <v>1.0</v>
      </c>
      <c r="G295" s="74">
        <v>900000.0</v>
      </c>
      <c r="H295" s="74">
        <v>0.0</v>
      </c>
      <c r="I295" s="74">
        <f t="shared" si="1"/>
        <v>900000</v>
      </c>
      <c r="J295" s="74">
        <f>IF(E295="SERVICE",I295-(I295*50%),Vlookup(E295,DATABASE!C:Q,10,false)*F295)</f>
        <v>0</v>
      </c>
      <c r="K295" s="74">
        <f>VLOOKUP(E295,DATABASE!C:Q,7,false)</f>
        <v>628100</v>
      </c>
      <c r="L295" s="74">
        <v>609804.0</v>
      </c>
      <c r="M295" s="74">
        <f t="shared" si="2"/>
        <v>610000</v>
      </c>
      <c r="N295" s="74">
        <f t="shared" si="3"/>
        <v>290000</v>
      </c>
      <c r="O295" s="65" t="str">
        <f>VLOOKUP(E295,DATABASE!C:Q,8,false)</f>
        <v>BIAN</v>
      </c>
      <c r="P295" s="65">
        <f>VLOOKUP(E295,DATABASE!C:Q,9,False)</f>
        <v>1</v>
      </c>
      <c r="Q295" s="93" t="str">
        <f>VLOOKUP(E295,DATABASE!C:Q,4,false)</f>
        <v>GT</v>
      </c>
      <c r="R295" s="93" t="str">
        <f>VLOOKUP(E295,DATABASE!C:Q,11,false)</f>
        <v>Tire</v>
      </c>
    </row>
    <row r="296" ht="22.5" customHeight="1">
      <c r="A296" s="49"/>
      <c r="C296" s="384">
        <v>45675.0</v>
      </c>
      <c r="D296" s="93">
        <v>3991.0</v>
      </c>
      <c r="E296" s="385" t="s">
        <v>268</v>
      </c>
      <c r="F296" s="386">
        <v>2.0</v>
      </c>
      <c r="G296" s="74">
        <v>685000.0</v>
      </c>
      <c r="H296" s="74">
        <v>0.0</v>
      </c>
      <c r="I296" s="74">
        <f t="shared" si="1"/>
        <v>1370000</v>
      </c>
      <c r="J296" s="74">
        <f>IF(E296="SERVICE",I296-(I296*50%),Vlookup(E296,DATABASE!C:Q,10,false)*F296)</f>
        <v>0</v>
      </c>
      <c r="K296" s="74">
        <v>613000.0</v>
      </c>
      <c r="L296" s="74">
        <v>613000.0</v>
      </c>
      <c r="M296" s="74">
        <f t="shared" si="2"/>
        <v>615000</v>
      </c>
      <c r="N296" s="74">
        <f t="shared" si="3"/>
        <v>140000</v>
      </c>
      <c r="O296" s="65" t="str">
        <f>VLOOKUP(E296,DATABASE!C:Q,8,false)</f>
        <v>IBU</v>
      </c>
      <c r="P296" s="65">
        <f>VLOOKUP(E296,DATABASE!C:Q,9,False)</f>
        <v>1</v>
      </c>
      <c r="Q296" s="93" t="str">
        <f>VLOOKUP(E296,DATABASE!C:Q,4,false)</f>
        <v>Dunlop</v>
      </c>
      <c r="R296" s="93" t="str">
        <f>VLOOKUP(E296,DATABASE!C:Q,11,false)</f>
        <v>Tire</v>
      </c>
    </row>
    <row r="297" ht="22.5" customHeight="1">
      <c r="A297" s="49"/>
      <c r="C297" s="384">
        <v>45675.0</v>
      </c>
      <c r="D297" s="93">
        <v>3992.0</v>
      </c>
      <c r="E297" s="385" t="s">
        <v>566</v>
      </c>
      <c r="F297" s="386">
        <v>2.0</v>
      </c>
      <c r="G297" s="74">
        <v>1670000.0</v>
      </c>
      <c r="H297" s="74">
        <v>0.0</v>
      </c>
      <c r="I297" s="74">
        <f t="shared" si="1"/>
        <v>3340000</v>
      </c>
      <c r="J297" s="74">
        <f>IF(E297="SERVICE",I297-(I297*50%),Vlookup(E297,DATABASE!C:Q,10,false)*F297)</f>
        <v>0</v>
      </c>
      <c r="K297" s="140">
        <v>1570000.0</v>
      </c>
      <c r="L297" s="140">
        <v>1570000.0</v>
      </c>
      <c r="M297" s="74">
        <f t="shared" si="2"/>
        <v>1570000</v>
      </c>
      <c r="N297" s="74">
        <f t="shared" si="3"/>
        <v>200000</v>
      </c>
      <c r="O297" s="65" t="str">
        <f>VLOOKUP(E297,DATABASE!C:Q,8,false)</f>
        <v>IBU</v>
      </c>
      <c r="P297" s="65">
        <f>VLOOKUP(E297,DATABASE!C:Q,9,False)</f>
        <v>1</v>
      </c>
      <c r="Q297" s="93" t="str">
        <f>VLOOKUP(E297,DATABASE!C:Q,4,false)</f>
        <v>Bridgestone</v>
      </c>
      <c r="R297" s="93" t="str">
        <f>VLOOKUP(E297,DATABASE!C:Q,11,false)</f>
        <v>Tire</v>
      </c>
    </row>
    <row r="298" ht="22.5" customHeight="1">
      <c r="A298" s="49"/>
      <c r="C298" s="384">
        <v>45675.0</v>
      </c>
      <c r="D298" s="93">
        <v>3992.0</v>
      </c>
      <c r="E298" s="385" t="s">
        <v>821</v>
      </c>
      <c r="F298" s="386">
        <v>2.0</v>
      </c>
      <c r="G298" s="74">
        <v>90000.0</v>
      </c>
      <c r="H298" s="74">
        <v>0.0</v>
      </c>
      <c r="I298" s="74">
        <f t="shared" si="1"/>
        <v>180000</v>
      </c>
      <c r="J298" s="74">
        <f>IF(E298="SERVICE",I298-(I298*50%),Vlookup(E298,DATABASE!C:Q,10,false)*F298)</f>
        <v>0</v>
      </c>
      <c r="K298" s="74">
        <f>VLOOKUP(E298,DATABASE!C:Q,7,false)</f>
        <v>43500</v>
      </c>
      <c r="L298" s="74">
        <v>43520.0</v>
      </c>
      <c r="M298" s="74">
        <f t="shared" si="2"/>
        <v>45000</v>
      </c>
      <c r="N298" s="74">
        <f t="shared" si="3"/>
        <v>90000</v>
      </c>
      <c r="O298" s="65" t="str">
        <f>VLOOKUP(E298,DATABASE!C:Q,8,false)</f>
        <v>BIAN</v>
      </c>
      <c r="P298" s="65">
        <f>VLOOKUP(E298,DATABASE!C:Q,9,False)</f>
        <v>1</v>
      </c>
      <c r="Q298" s="93" t="str">
        <f>VLOOKUP(E298,DATABASE!C:Q,4,false)</f>
        <v>Flap</v>
      </c>
      <c r="R298" s="93" t="str">
        <f>VLOOKUP(E298,DATABASE!C:Q,11,false)</f>
        <v>Tire</v>
      </c>
    </row>
    <row r="299" ht="22.5" customHeight="1">
      <c r="A299" s="49"/>
      <c r="C299" s="384">
        <v>45675.0</v>
      </c>
      <c r="D299" s="93">
        <v>3993.0</v>
      </c>
      <c r="E299" s="385" t="s">
        <v>2019</v>
      </c>
      <c r="F299" s="386">
        <v>1.0</v>
      </c>
      <c r="G299" s="74">
        <v>685000.0</v>
      </c>
      <c r="H299" s="74">
        <v>0.0</v>
      </c>
      <c r="I299" s="74">
        <f t="shared" si="1"/>
        <v>685000</v>
      </c>
      <c r="J299" s="74">
        <f>IF(E299="SERVICE",I299-(I299*50%),Vlookup(E299,DATABASE!C:Q,10,false)*F299)</f>
        <v>0</v>
      </c>
      <c r="K299" s="74">
        <f>VLOOKUP(E299,DATABASE!C:Q,7,false)</f>
        <v>620000</v>
      </c>
      <c r="L299" s="74">
        <v>585000.0</v>
      </c>
      <c r="M299" s="74">
        <f t="shared" si="2"/>
        <v>585000</v>
      </c>
      <c r="N299" s="74">
        <f t="shared" si="3"/>
        <v>100000</v>
      </c>
      <c r="O299" s="65" t="str">
        <f>VLOOKUP(E299,DATABASE!C:Q,8,false)</f>
        <v>BIAN</v>
      </c>
      <c r="P299" s="65">
        <f>VLOOKUP(E299,DATABASE!C:Q,9,False)</f>
        <v>1</v>
      </c>
      <c r="Q299" s="93" t="str">
        <f>VLOOKUP(E299,DATABASE!C:Q,4,false)</f>
        <v>GT</v>
      </c>
      <c r="R299" s="93" t="str">
        <f>VLOOKUP(E299,DATABASE!C:Q,11,false)</f>
        <v>Tire</v>
      </c>
    </row>
    <row r="300" ht="22.5" customHeight="1">
      <c r="A300" s="49"/>
      <c r="C300" s="384">
        <v>45675.0</v>
      </c>
      <c r="D300" s="93">
        <v>3995.0</v>
      </c>
      <c r="E300" s="385" t="s">
        <v>163</v>
      </c>
      <c r="F300" s="386">
        <v>1.0</v>
      </c>
      <c r="G300" s="74">
        <v>570000.0</v>
      </c>
      <c r="H300" s="74">
        <v>0.0</v>
      </c>
      <c r="I300" s="74">
        <f t="shared" si="1"/>
        <v>570000</v>
      </c>
      <c r="J300" s="74">
        <f>IF(E300="SERVICE",I300-(I300*50%),Vlookup(E300,DATABASE!C:Q,10,false)*F300)</f>
        <v>0</v>
      </c>
      <c r="K300" s="74">
        <v>473970.0</v>
      </c>
      <c r="L300" s="74">
        <v>473970.0</v>
      </c>
      <c r="M300" s="74">
        <f t="shared" si="2"/>
        <v>475000</v>
      </c>
      <c r="N300" s="74">
        <f t="shared" si="3"/>
        <v>95000</v>
      </c>
      <c r="O300" s="65" t="str">
        <f>VLOOKUP(E300,DATABASE!C:Q,8,false)</f>
        <v>BIAN</v>
      </c>
      <c r="P300" s="65">
        <f>VLOOKUP(E300,DATABASE!C:Q,9,False)</f>
        <v>1</v>
      </c>
      <c r="Q300" s="93" t="str">
        <f>VLOOKUP(E300,DATABASE!C:Q,4,false)</f>
        <v>Accelera</v>
      </c>
      <c r="R300" s="93" t="str">
        <f>VLOOKUP(E300,DATABASE!C:Q,11,false)</f>
        <v>Tire</v>
      </c>
    </row>
    <row r="301" ht="22.5" customHeight="1">
      <c r="A301" s="49"/>
      <c r="C301" s="384">
        <v>45675.0</v>
      </c>
      <c r="D301" s="93">
        <v>3996.0</v>
      </c>
      <c r="E301" s="385" t="s">
        <v>839</v>
      </c>
      <c r="F301" s="386">
        <v>1.0</v>
      </c>
      <c r="G301" s="74">
        <v>540000.0</v>
      </c>
      <c r="H301" s="74">
        <v>0.0</v>
      </c>
      <c r="I301" s="74">
        <f t="shared" si="1"/>
        <v>540000</v>
      </c>
      <c r="J301" s="74">
        <f>IF(E301="SERVICE",I301-(I301*50%),Vlookup(E301,DATABASE!C:Q,10,false)*F301)</f>
        <v>0</v>
      </c>
      <c r="K301" s="74">
        <f>VLOOKUP(E301,DATABASE!C:Q,7,false)</f>
        <v>512640</v>
      </c>
      <c r="L301" s="74">
        <v>475700.0</v>
      </c>
      <c r="M301" s="74">
        <f t="shared" si="2"/>
        <v>480000</v>
      </c>
      <c r="N301" s="74">
        <f t="shared" si="3"/>
        <v>60000</v>
      </c>
      <c r="O301" s="65" t="str">
        <f>VLOOKUP(E301,DATABASE!C:Q,8,false)</f>
        <v>BIAN</v>
      </c>
      <c r="P301" s="65">
        <f>VLOOKUP(E301,DATABASE!C:Q,9,False)</f>
        <v>1</v>
      </c>
      <c r="Q301" s="93" t="str">
        <f>VLOOKUP(E301,DATABASE!C:Q,4,false)</f>
        <v>GT</v>
      </c>
      <c r="R301" s="93" t="str">
        <f>VLOOKUP(E301,DATABASE!C:Q,11,false)</f>
        <v>Tire</v>
      </c>
    </row>
    <row r="302" ht="22.5" customHeight="1">
      <c r="A302" s="49"/>
      <c r="C302" s="384">
        <v>45675.0</v>
      </c>
      <c r="D302" s="93">
        <v>3997.0</v>
      </c>
      <c r="E302" s="385" t="s">
        <v>1160</v>
      </c>
      <c r="F302" s="386">
        <v>1.0</v>
      </c>
      <c r="G302" s="74">
        <v>1020000.0</v>
      </c>
      <c r="H302" s="74">
        <v>0.0</v>
      </c>
      <c r="I302" s="74">
        <f t="shared" si="1"/>
        <v>1020000</v>
      </c>
      <c r="J302" s="74">
        <f>IF(E302="SERVICE",I302-(I302*50%),Vlookup(E302,DATABASE!C:Q,10,false)*F302)</f>
        <v>0</v>
      </c>
      <c r="K302" s="74">
        <f>VLOOKUP(E302,DATABASE!C:Q,7,false)</f>
        <v>799425</v>
      </c>
      <c r="L302" s="74">
        <v>799425.0</v>
      </c>
      <c r="M302" s="74">
        <f t="shared" si="2"/>
        <v>800000</v>
      </c>
      <c r="N302" s="74">
        <f t="shared" si="3"/>
        <v>220000</v>
      </c>
      <c r="O302" s="65" t="str">
        <f>VLOOKUP(E302,DATABASE!C:Q,8,false)</f>
        <v>IBU</v>
      </c>
      <c r="P302" s="65">
        <f>VLOOKUP(E302,DATABASE!C:Q,9,False)</f>
        <v>1</v>
      </c>
      <c r="Q302" s="93" t="str">
        <f>VLOOKUP(E302,DATABASE!C:Q,4,false)</f>
        <v>Bridgestone</v>
      </c>
      <c r="R302" s="93" t="str">
        <f>VLOOKUP(E302,DATABASE!C:Q,11,false)</f>
        <v>Tire</v>
      </c>
    </row>
    <row r="303" ht="22.5" customHeight="1">
      <c r="A303" s="49"/>
      <c r="C303" s="384">
        <v>45675.0</v>
      </c>
      <c r="D303" s="93">
        <v>3998.0</v>
      </c>
      <c r="E303" s="385" t="s">
        <v>246</v>
      </c>
      <c r="F303" s="386">
        <v>1.0</v>
      </c>
      <c r="G303" s="74">
        <v>40000.0</v>
      </c>
      <c r="H303" s="74">
        <v>0.0</v>
      </c>
      <c r="I303" s="74">
        <f t="shared" si="1"/>
        <v>40000</v>
      </c>
      <c r="J303" s="74">
        <f>IF(E303="SERVICE",I303-(I303*50%),Vlookup(E303,DATABASE!C:Q,10,false)*F303)</f>
        <v>0</v>
      </c>
      <c r="K303" s="74">
        <f>VLOOKUP(E303,DATABASE!C:Q,7,false)</f>
        <v>0</v>
      </c>
      <c r="L303" s="74">
        <v>0.0</v>
      </c>
      <c r="M303" s="74">
        <f t="shared" si="2"/>
        <v>0</v>
      </c>
      <c r="N303" s="74">
        <f t="shared" si="3"/>
        <v>40000</v>
      </c>
      <c r="O303" s="65" t="str">
        <f>VLOOKUP(E303,DATABASE!C:Q,8,false)</f>
        <v>IBU</v>
      </c>
      <c r="P303" s="65">
        <f>VLOOKUP(E303,DATABASE!C:Q,9,False)</f>
        <v>0</v>
      </c>
      <c r="Q303" s="93" t="str">
        <f>VLOOKUP(E303,DATABASE!C:Q,4,false)</f>
        <v>Bongkar Pasang</v>
      </c>
      <c r="R303" s="93" t="str">
        <f>VLOOKUP(E303,DATABASE!C:Q,11,false)</f>
        <v>SERVICE</v>
      </c>
    </row>
    <row r="304" ht="22.5" customHeight="1">
      <c r="A304" s="49"/>
      <c r="C304" s="384">
        <v>45675.0</v>
      </c>
      <c r="D304" s="93">
        <v>3998.0</v>
      </c>
      <c r="E304" s="385" t="s">
        <v>2199</v>
      </c>
      <c r="F304" s="386">
        <v>1.0</v>
      </c>
      <c r="G304" s="74">
        <v>15000.0</v>
      </c>
      <c r="H304" s="74">
        <v>0.0</v>
      </c>
      <c r="I304" s="74">
        <f t="shared" si="1"/>
        <v>15000</v>
      </c>
      <c r="J304" s="74">
        <f>IF(E304="SERVICE",I304-(I304*50%),Vlookup(E304,DATABASE!C:Q,10,false)*F304)</f>
        <v>0</v>
      </c>
      <c r="K304" s="74">
        <f>VLOOKUP(E304,DATABASE!C:Q,7,false)</f>
        <v>5000</v>
      </c>
      <c r="L304" s="74">
        <v>0.0</v>
      </c>
      <c r="M304" s="74">
        <f t="shared" si="2"/>
        <v>0</v>
      </c>
      <c r="N304" s="74">
        <f t="shared" si="3"/>
        <v>15000</v>
      </c>
      <c r="O304" s="65" t="str">
        <f>VLOOKUP(E304,DATABASE!C:Q,8,false)</f>
        <v>BIAN</v>
      </c>
      <c r="P304" s="65">
        <f>VLOOKUP(E304,DATABASE!C:Q,9,False)</f>
        <v>0</v>
      </c>
      <c r="Q304" s="93" t="str">
        <f>VLOOKUP(E304,DATABASE!C:Q,4,false)</f>
        <v>TAMBAL TUBLES</v>
      </c>
      <c r="R304" s="93" t="str">
        <f>VLOOKUP(E304,DATABASE!C:Q,11,false)</f>
        <v>COMPLEMENTARY</v>
      </c>
    </row>
    <row r="305" ht="22.5" customHeight="1">
      <c r="A305" s="49"/>
      <c r="C305" s="384">
        <v>45677.0</v>
      </c>
      <c r="D305" s="93">
        <v>4000.0</v>
      </c>
      <c r="E305" s="385" t="s">
        <v>268</v>
      </c>
      <c r="F305" s="386">
        <v>2.0</v>
      </c>
      <c r="G305" s="74">
        <v>680000.0</v>
      </c>
      <c r="H305" s="74">
        <v>0.0</v>
      </c>
      <c r="I305" s="74">
        <f t="shared" si="1"/>
        <v>1360000</v>
      </c>
      <c r="J305" s="74">
        <f>IF(E305="SERVICE",I305-(I305*50%),Vlookup(E305,DATABASE!C:Q,10,false)*F305)</f>
        <v>0</v>
      </c>
      <c r="K305" s="74">
        <v>613000.0</v>
      </c>
      <c r="L305" s="74">
        <v>613000.0</v>
      </c>
      <c r="M305" s="74">
        <f t="shared" si="2"/>
        <v>615000</v>
      </c>
      <c r="N305" s="74">
        <f t="shared" si="3"/>
        <v>130000</v>
      </c>
      <c r="O305" s="65" t="str">
        <f>VLOOKUP(E305,DATABASE!C:Q,8,false)</f>
        <v>IBU</v>
      </c>
      <c r="P305" s="65">
        <f>VLOOKUP(E305,DATABASE!C:Q,9,False)</f>
        <v>1</v>
      </c>
      <c r="Q305" s="93" t="str">
        <f>VLOOKUP(E305,DATABASE!C:Q,4,false)</f>
        <v>Dunlop</v>
      </c>
      <c r="R305" s="93" t="str">
        <f>VLOOKUP(E305,DATABASE!C:Q,11,false)</f>
        <v>Tire</v>
      </c>
    </row>
    <row r="306" ht="22.5" customHeight="1">
      <c r="A306" s="49"/>
      <c r="C306" s="384">
        <v>45677.0</v>
      </c>
      <c r="D306" s="93">
        <v>4001.0</v>
      </c>
      <c r="E306" s="385" t="s">
        <v>256</v>
      </c>
      <c r="F306" s="386">
        <v>1.0</v>
      </c>
      <c r="G306" s="74">
        <v>130000.0</v>
      </c>
      <c r="H306" s="74">
        <v>0.0</v>
      </c>
      <c r="I306" s="74">
        <f t="shared" si="1"/>
        <v>130000</v>
      </c>
      <c r="J306" s="74">
        <f>IF(E306="SERVICE",I306-(I306*50%),Vlookup(E306,DATABASE!C:Q,10,false)*F306)</f>
        <v>10000</v>
      </c>
      <c r="K306" s="74">
        <f>VLOOKUP(E306,DATABASE!C:Q,7,false)</f>
        <v>0</v>
      </c>
      <c r="L306" s="74">
        <v>0.0</v>
      </c>
      <c r="M306" s="74">
        <f t="shared" si="2"/>
        <v>0</v>
      </c>
      <c r="N306" s="74">
        <f t="shared" si="3"/>
        <v>120000</v>
      </c>
      <c r="O306" s="65" t="str">
        <f>VLOOKUP(E306,DATABASE!C:Q,8,false)</f>
        <v>IBU</v>
      </c>
      <c r="P306" s="65">
        <f>VLOOKUP(E306,DATABASE!C:Q,9,False)</f>
        <v>0</v>
      </c>
      <c r="Q306" s="93" t="str">
        <f>VLOOKUP(E306,DATABASE!C:Q,4,false)</f>
        <v>SPOORING</v>
      </c>
      <c r="R306" s="93" t="str">
        <f>VLOOKUP(E306,DATABASE!C:Q,11,false)</f>
        <v>SERVICE</v>
      </c>
    </row>
    <row r="307" ht="22.5" customHeight="1">
      <c r="A307" s="49"/>
      <c r="C307" s="384">
        <v>45677.0</v>
      </c>
      <c r="D307" s="93">
        <v>4001.0</v>
      </c>
      <c r="E307" s="385" t="s">
        <v>251</v>
      </c>
      <c r="F307" s="386">
        <v>1.0</v>
      </c>
      <c r="G307" s="74">
        <v>150000.0</v>
      </c>
      <c r="H307" s="74">
        <v>0.0</v>
      </c>
      <c r="I307" s="74">
        <f t="shared" si="1"/>
        <v>150000</v>
      </c>
      <c r="J307" s="74">
        <f>IF(E307="SERVICE",I307-(I307*50%),Vlookup(E307,DATABASE!C:Q,10,false)*F307)</f>
        <v>75000</v>
      </c>
      <c r="K307" s="74">
        <f>VLOOKUP(E307,DATABASE!C:Q,7,false)</f>
        <v>0</v>
      </c>
      <c r="L307" s="74">
        <v>0.0</v>
      </c>
      <c r="M307" s="74">
        <f t="shared" si="2"/>
        <v>0</v>
      </c>
      <c r="N307" s="74">
        <f t="shared" si="3"/>
        <v>75000</v>
      </c>
      <c r="O307" s="65" t="str">
        <f>VLOOKUP(E307,DATABASE!C:Q,8,false)</f>
        <v>IBU</v>
      </c>
      <c r="P307" s="65">
        <f>VLOOKUP(E307,DATABASE!C:Q,9,False)</f>
        <v>0</v>
      </c>
      <c r="Q307" s="93" t="str">
        <f>VLOOKUP(E307,DATABASE!C:Q,4,false)</f>
        <v>SERVICE</v>
      </c>
      <c r="R307" s="93" t="str">
        <f>VLOOKUP(E307,DATABASE!C:Q,11,false)</f>
        <v>SERVICE</v>
      </c>
    </row>
    <row r="308" ht="22.5" customHeight="1">
      <c r="A308" s="49"/>
      <c r="C308" s="384">
        <v>45677.0</v>
      </c>
      <c r="D308" s="93">
        <v>4002.0</v>
      </c>
      <c r="E308" s="385" t="s">
        <v>461</v>
      </c>
      <c r="F308" s="386">
        <v>2.0</v>
      </c>
      <c r="G308" s="74">
        <v>60000.0</v>
      </c>
      <c r="H308" s="74">
        <v>0.0</v>
      </c>
      <c r="I308" s="74">
        <f t="shared" si="1"/>
        <v>120000</v>
      </c>
      <c r="J308" s="74">
        <f>IF(E308="SERVICE",I308-(I308*50%),Vlookup(E308,DATABASE!C:Q,10,false)*F308)</f>
        <v>0</v>
      </c>
      <c r="K308" s="74">
        <v>0.0</v>
      </c>
      <c r="L308" s="74">
        <v>0.0</v>
      </c>
      <c r="M308" s="74">
        <f t="shared" si="2"/>
        <v>0</v>
      </c>
      <c r="N308" s="74">
        <f t="shared" si="3"/>
        <v>120000</v>
      </c>
      <c r="O308" s="65" t="str">
        <f>VLOOKUP(E308,DATABASE!C:Q,8,false)</f>
        <v>BIAN</v>
      </c>
      <c r="P308" s="65">
        <f>VLOOKUP(E308,DATABASE!C:Q,9,False)</f>
        <v>0</v>
      </c>
      <c r="Q308" s="93" t="str">
        <f>VLOOKUP(E308,DATABASE!C:Q,4,false)</f>
        <v>Balancing</v>
      </c>
      <c r="R308" s="93" t="str">
        <f>VLOOKUP(E308,DATABASE!C:Q,11,false)</f>
        <v>COMPLEMENTARY</v>
      </c>
    </row>
    <row r="309" ht="22.5" customHeight="1">
      <c r="A309" s="49"/>
      <c r="C309" s="384">
        <v>45677.0</v>
      </c>
      <c r="D309" s="93">
        <v>4004.0</v>
      </c>
      <c r="E309" s="385" t="s">
        <v>256</v>
      </c>
      <c r="F309" s="386">
        <v>1.0</v>
      </c>
      <c r="G309" s="74">
        <v>130000.0</v>
      </c>
      <c r="H309" s="74">
        <v>0.0</v>
      </c>
      <c r="I309" s="74">
        <f t="shared" si="1"/>
        <v>130000</v>
      </c>
      <c r="J309" s="74">
        <f>IF(E309="SERVICE",I309-(I309*50%),Vlookup(E309,DATABASE!C:Q,10,false)*F309)</f>
        <v>10000</v>
      </c>
      <c r="K309" s="74">
        <f>VLOOKUP(E309,DATABASE!C:Q,7,false)</f>
        <v>0</v>
      </c>
      <c r="L309" s="74">
        <v>0.0</v>
      </c>
      <c r="M309" s="74">
        <f t="shared" si="2"/>
        <v>0</v>
      </c>
      <c r="N309" s="74">
        <f t="shared" si="3"/>
        <v>120000</v>
      </c>
      <c r="O309" s="65" t="str">
        <f>VLOOKUP(E309,DATABASE!C:Q,8,false)</f>
        <v>IBU</v>
      </c>
      <c r="P309" s="65">
        <f>VLOOKUP(E309,DATABASE!C:Q,9,False)</f>
        <v>0</v>
      </c>
      <c r="Q309" s="93" t="str">
        <f>VLOOKUP(E309,DATABASE!C:Q,4,false)</f>
        <v>SPOORING</v>
      </c>
      <c r="R309" s="93" t="str">
        <f>VLOOKUP(E309,DATABASE!C:Q,11,false)</f>
        <v>SERVICE</v>
      </c>
    </row>
    <row r="310" ht="22.5" customHeight="1">
      <c r="A310" s="49"/>
      <c r="C310" s="384">
        <v>45677.0</v>
      </c>
      <c r="D310" s="93">
        <v>4005.0</v>
      </c>
      <c r="E310" s="385" t="s">
        <v>1926</v>
      </c>
      <c r="F310" s="386">
        <v>1.0</v>
      </c>
      <c r="G310" s="74">
        <v>730000.0</v>
      </c>
      <c r="H310" s="74">
        <v>0.0</v>
      </c>
      <c r="I310" s="74">
        <f t="shared" si="1"/>
        <v>730000</v>
      </c>
      <c r="J310" s="74">
        <f>IF(E310="SERVICE",I310-(I310*50%),Vlookup(E310,DATABASE!C:Q,10,false)*F310)</f>
        <v>0</v>
      </c>
      <c r="K310" s="74">
        <f>VLOOKUP(E310,DATABASE!C:Q,7,false)</f>
        <v>643230</v>
      </c>
      <c r="L310" s="74">
        <v>643230.0</v>
      </c>
      <c r="M310" s="74">
        <f t="shared" si="2"/>
        <v>645000</v>
      </c>
      <c r="N310" s="74">
        <f t="shared" si="3"/>
        <v>85000</v>
      </c>
      <c r="O310" s="65" t="str">
        <f>VLOOKUP(E310,DATABASE!C:Q,8,false)</f>
        <v>BIAN</v>
      </c>
      <c r="P310" s="65">
        <f>VLOOKUP(E310,DATABASE!C:Q,9,False)</f>
        <v>1</v>
      </c>
      <c r="Q310" s="93" t="str">
        <f>VLOOKUP(E310,DATABASE!C:Q,4,false)</f>
        <v>GT</v>
      </c>
      <c r="R310" s="93" t="str">
        <f>VLOOKUP(E310,DATABASE!C:Q,11,false)</f>
        <v>Tire</v>
      </c>
    </row>
    <row r="311" ht="22.5" customHeight="1">
      <c r="A311" s="49"/>
      <c r="C311" s="384">
        <v>45677.0</v>
      </c>
      <c r="D311" s="93">
        <v>4006.0</v>
      </c>
      <c r="E311" s="385" t="s">
        <v>791</v>
      </c>
      <c r="F311" s="386">
        <v>2.0</v>
      </c>
      <c r="G311" s="74">
        <v>1260000.0</v>
      </c>
      <c r="H311" s="74">
        <v>0.0</v>
      </c>
      <c r="I311" s="74">
        <f t="shared" si="1"/>
        <v>2520000</v>
      </c>
      <c r="J311" s="74">
        <f>IF(E311="SERVICE",I311-(I311*50%),Vlookup(E311,DATABASE!C:Q,10,false)*F311)</f>
        <v>0</v>
      </c>
      <c r="K311" s="74">
        <f>VLOOKUP(E311,DATABASE!C:Q,7,false)</f>
        <v>1210000</v>
      </c>
      <c r="L311" s="74">
        <v>1180000.0</v>
      </c>
      <c r="M311" s="74">
        <f t="shared" si="2"/>
        <v>1180000</v>
      </c>
      <c r="N311" s="74">
        <f t="shared" si="3"/>
        <v>160000</v>
      </c>
      <c r="O311" s="65" t="str">
        <f>VLOOKUP(E311,DATABASE!C:Q,8,false)</f>
        <v>BIAN</v>
      </c>
      <c r="P311" s="65">
        <f>VLOOKUP(E311,DATABASE!C:Q,9,False)</f>
        <v>1</v>
      </c>
      <c r="Q311" s="93" t="str">
        <f>VLOOKUP(E311,DATABASE!C:Q,4,false)</f>
        <v>GT</v>
      </c>
      <c r="R311" s="93" t="str">
        <f>VLOOKUP(E311,DATABASE!C:Q,11,false)</f>
        <v>Tire</v>
      </c>
    </row>
    <row r="312" ht="22.5" customHeight="1">
      <c r="A312" s="49"/>
      <c r="C312" s="384">
        <v>45677.0</v>
      </c>
      <c r="D312" s="93">
        <v>4007.0</v>
      </c>
      <c r="E312" s="385" t="s">
        <v>268</v>
      </c>
      <c r="F312" s="386">
        <v>2.0</v>
      </c>
      <c r="G312" s="74">
        <v>680000.0</v>
      </c>
      <c r="H312" s="74">
        <v>0.0</v>
      </c>
      <c r="I312" s="74">
        <f t="shared" si="1"/>
        <v>1360000</v>
      </c>
      <c r="J312" s="74">
        <f>IF(E312="SERVICE",I312-(I312*50%),Vlookup(E312,DATABASE!C:Q,10,false)*F312)</f>
        <v>0</v>
      </c>
      <c r="K312" s="74">
        <v>613000.0</v>
      </c>
      <c r="L312" s="74">
        <v>613000.0</v>
      </c>
      <c r="M312" s="74">
        <f t="shared" si="2"/>
        <v>615000</v>
      </c>
      <c r="N312" s="74">
        <f t="shared" si="3"/>
        <v>130000</v>
      </c>
      <c r="O312" s="65" t="str">
        <f>VLOOKUP(E312,DATABASE!C:Q,8,false)</f>
        <v>IBU</v>
      </c>
      <c r="P312" s="65">
        <f>VLOOKUP(E312,DATABASE!C:Q,9,False)</f>
        <v>1</v>
      </c>
      <c r="Q312" s="93" t="str">
        <f>VLOOKUP(E312,DATABASE!C:Q,4,false)</f>
        <v>Dunlop</v>
      </c>
      <c r="R312" s="93" t="str">
        <f>VLOOKUP(E312,DATABASE!C:Q,11,false)</f>
        <v>Tire</v>
      </c>
    </row>
    <row r="313" ht="22.5" customHeight="1">
      <c r="A313" s="49"/>
      <c r="C313" s="384">
        <v>45677.0</v>
      </c>
      <c r="D313" s="93">
        <v>4007.0</v>
      </c>
      <c r="E313" s="385" t="s">
        <v>262</v>
      </c>
      <c r="F313" s="386">
        <v>1.0</v>
      </c>
      <c r="G313" s="74">
        <v>110000.0</v>
      </c>
      <c r="H313" s="74">
        <v>0.0</v>
      </c>
      <c r="I313" s="74">
        <f t="shared" si="1"/>
        <v>110000</v>
      </c>
      <c r="J313" s="74">
        <f>IF(E313="SERVICE",I313-(I313*50%),Vlookup(E313,DATABASE!C:Q,10,false)*F313)</f>
        <v>5000</v>
      </c>
      <c r="K313" s="74">
        <f>VLOOKUP(E313,DATABASE!C:Q,7,false)</f>
        <v>0</v>
      </c>
      <c r="L313" s="74">
        <v>0.0</v>
      </c>
      <c r="M313" s="74">
        <f t="shared" si="2"/>
        <v>0</v>
      </c>
      <c r="N313" s="74">
        <f t="shared" si="3"/>
        <v>105000</v>
      </c>
      <c r="O313" s="65" t="str">
        <f>VLOOKUP(E313,DATABASE!C:Q,8,false)</f>
        <v>IBU</v>
      </c>
      <c r="P313" s="65">
        <f>VLOOKUP(E313,DATABASE!C:Q,9,False)</f>
        <v>0</v>
      </c>
      <c r="Q313" s="93" t="str">
        <f>VLOOKUP(E313,DATABASE!C:Q,4,false)</f>
        <v>SPOORING SS/CARRY LOS BAK</v>
      </c>
      <c r="R313" s="93" t="str">
        <f>VLOOKUP(E313,DATABASE!C:Q,11,false)</f>
        <v>SERVICE</v>
      </c>
    </row>
    <row r="314" ht="22.5" customHeight="1">
      <c r="A314" s="49"/>
      <c r="C314" s="384">
        <v>45677.0</v>
      </c>
      <c r="D314" s="93">
        <v>4007.0</v>
      </c>
      <c r="E314" s="385" t="s">
        <v>299</v>
      </c>
      <c r="F314" s="386">
        <v>2.0</v>
      </c>
      <c r="G314" s="74">
        <v>30000.0</v>
      </c>
      <c r="H314" s="74">
        <v>0.0</v>
      </c>
      <c r="I314" s="74">
        <f t="shared" si="1"/>
        <v>60000</v>
      </c>
      <c r="J314" s="74">
        <f>IF(E314="SERVICE",I314-(I314*50%),Vlookup(E314,DATABASE!C:Q,10,false)*F314)</f>
        <v>0</v>
      </c>
      <c r="K314" s="74">
        <v>0.0</v>
      </c>
      <c r="L314" s="74">
        <v>0.0</v>
      </c>
      <c r="M314" s="74">
        <f t="shared" si="2"/>
        <v>0</v>
      </c>
      <c r="N314" s="74">
        <f t="shared" si="3"/>
        <v>60000</v>
      </c>
      <c r="O314" s="65" t="str">
        <f>VLOOKUP(E314,DATABASE!C:Q,8,false)</f>
        <v>BIAN</v>
      </c>
      <c r="P314" s="65">
        <f>VLOOKUP(E314,DATABASE!C:Q,9,False)</f>
        <v>0</v>
      </c>
      <c r="Q314" s="93" t="str">
        <f>VLOOKUP(E314,DATABASE!C:Q,4,false)</f>
        <v>Balancing</v>
      </c>
      <c r="R314" s="93" t="str">
        <f>VLOOKUP(E314,DATABASE!C:Q,11,false)</f>
        <v>COMPLEMENTARY</v>
      </c>
    </row>
    <row r="315" ht="22.5" customHeight="1">
      <c r="A315" s="49"/>
      <c r="C315" s="384">
        <v>45677.0</v>
      </c>
      <c r="D315" s="93">
        <v>4009.0</v>
      </c>
      <c r="E315" s="385" t="s">
        <v>275</v>
      </c>
      <c r="F315" s="386">
        <v>2.0</v>
      </c>
      <c r="G315" s="74">
        <v>820000.0</v>
      </c>
      <c r="H315" s="74">
        <v>0.0</v>
      </c>
      <c r="I315" s="74">
        <f t="shared" si="1"/>
        <v>1640000</v>
      </c>
      <c r="J315" s="74">
        <f>IF(E315="SERVICE",I315-(I315*50%),Vlookup(E315,DATABASE!C:Q,10,false)*F315)</f>
        <v>0</v>
      </c>
      <c r="K315" s="74">
        <v>735000.0</v>
      </c>
      <c r="L315" s="74">
        <v>735000.0</v>
      </c>
      <c r="M315" s="74">
        <f t="shared" si="2"/>
        <v>735000</v>
      </c>
      <c r="N315" s="74">
        <f t="shared" si="3"/>
        <v>170000</v>
      </c>
      <c r="O315" s="65" t="str">
        <f>VLOOKUP(E315,DATABASE!C:Q,8,false)</f>
        <v>IBU</v>
      </c>
      <c r="P315" s="65">
        <f>VLOOKUP(E315,DATABASE!C:Q,9,False)</f>
        <v>1</v>
      </c>
      <c r="Q315" s="93" t="str">
        <f>VLOOKUP(E315,DATABASE!C:Q,4,false)</f>
        <v>Dunlop</v>
      </c>
      <c r="R315" s="93" t="str">
        <f>VLOOKUP(E315,DATABASE!C:Q,11,false)</f>
        <v>Tire</v>
      </c>
    </row>
    <row r="316" ht="22.5" customHeight="1">
      <c r="A316" s="49"/>
      <c r="C316" s="384">
        <v>45677.0</v>
      </c>
      <c r="D316" s="93">
        <v>4010.0</v>
      </c>
      <c r="E316" s="445" t="s">
        <v>275</v>
      </c>
      <c r="F316" s="386">
        <v>2.0</v>
      </c>
      <c r="G316" s="74">
        <v>820000.0</v>
      </c>
      <c r="H316" s="74">
        <v>0.0</v>
      </c>
      <c r="I316" s="74">
        <f t="shared" si="1"/>
        <v>1640000</v>
      </c>
      <c r="J316" s="74">
        <f>IF(E316="SERVICE",I316-(I316*50%),Vlookup(E316,DATABASE!C:Q,10,false)*F316)</f>
        <v>0</v>
      </c>
      <c r="K316" s="74">
        <v>735000.0</v>
      </c>
      <c r="L316" s="74">
        <v>735000.0</v>
      </c>
      <c r="M316" s="74">
        <f t="shared" si="2"/>
        <v>735000</v>
      </c>
      <c r="N316" s="74">
        <f t="shared" si="3"/>
        <v>170000</v>
      </c>
      <c r="O316" s="65" t="str">
        <f>VLOOKUP(E316,DATABASE!C:Q,8,false)</f>
        <v>IBU</v>
      </c>
      <c r="P316" s="65">
        <f>VLOOKUP(E316,DATABASE!C:Q,9,False)</f>
        <v>1</v>
      </c>
      <c r="Q316" s="93" t="str">
        <f>VLOOKUP(E316,DATABASE!C:Q,4,false)</f>
        <v>Dunlop</v>
      </c>
      <c r="R316" s="93" t="str">
        <f>VLOOKUP(E316,DATABASE!C:Q,11,false)</f>
        <v>Tire</v>
      </c>
    </row>
    <row r="317" ht="22.5" customHeight="1">
      <c r="A317" s="49"/>
      <c r="C317" s="384">
        <v>45677.0</v>
      </c>
      <c r="D317" s="93">
        <v>4011.0</v>
      </c>
      <c r="E317" s="385" t="s">
        <v>1033</v>
      </c>
      <c r="F317" s="386">
        <v>2.0</v>
      </c>
      <c r="G317" s="74">
        <v>760000.0</v>
      </c>
      <c r="H317" s="74">
        <v>0.0</v>
      </c>
      <c r="I317" s="74">
        <f t="shared" si="1"/>
        <v>1520000</v>
      </c>
      <c r="J317" s="74">
        <f>IF(E317="SERVICE",I317-(I317*50%),Vlookup(E317,DATABASE!C:Q,10,false)*F317)</f>
        <v>0</v>
      </c>
      <c r="K317" s="74">
        <f>VLOOKUP(E317,DATABASE!C:Q,7,false)</f>
        <v>680512</v>
      </c>
      <c r="L317" s="74">
        <v>660000.0</v>
      </c>
      <c r="M317" s="74">
        <f t="shared" si="2"/>
        <v>660000</v>
      </c>
      <c r="N317" s="74">
        <f t="shared" si="3"/>
        <v>200000</v>
      </c>
      <c r="O317" s="65" t="str">
        <f>VLOOKUP(E317,DATABASE!C:Q,8,false)</f>
        <v>IBU</v>
      </c>
      <c r="P317" s="65">
        <f>VLOOKUP(E317,DATABASE!C:Q,9,False)</f>
        <v>1</v>
      </c>
      <c r="Q317" s="93" t="str">
        <f>VLOOKUP(E317,DATABASE!C:Q,4,false)</f>
        <v>Bridgestone</v>
      </c>
      <c r="R317" s="93" t="str">
        <f>VLOOKUP(E317,DATABASE!C:Q,11,false)</f>
        <v>Tire</v>
      </c>
    </row>
    <row r="318" ht="22.5" customHeight="1">
      <c r="A318" s="49"/>
      <c r="C318" s="384">
        <v>45677.0</v>
      </c>
      <c r="D318" s="93">
        <v>4012.0</v>
      </c>
      <c r="E318" s="385" t="s">
        <v>275</v>
      </c>
      <c r="F318" s="386">
        <v>1.0</v>
      </c>
      <c r="G318" s="74">
        <v>830000.0</v>
      </c>
      <c r="H318" s="74">
        <v>0.0</v>
      </c>
      <c r="I318" s="74">
        <f t="shared" si="1"/>
        <v>830000</v>
      </c>
      <c r="J318" s="74">
        <f>IF(E318="SERVICE",I318-(I318*50%),Vlookup(E318,DATABASE!C:Q,10,false)*F318)</f>
        <v>0</v>
      </c>
      <c r="K318" s="74">
        <v>735000.0</v>
      </c>
      <c r="L318" s="74">
        <v>735000.0</v>
      </c>
      <c r="M318" s="74">
        <f t="shared" si="2"/>
        <v>735000</v>
      </c>
      <c r="N318" s="74">
        <f t="shared" si="3"/>
        <v>95000</v>
      </c>
      <c r="O318" s="65" t="str">
        <f>VLOOKUP(E318,DATABASE!C:Q,8,false)</f>
        <v>IBU</v>
      </c>
      <c r="P318" s="65">
        <f>VLOOKUP(E318,DATABASE!C:Q,9,False)</f>
        <v>1</v>
      </c>
      <c r="Q318" s="93" t="str">
        <f>VLOOKUP(E318,DATABASE!C:Q,4,false)</f>
        <v>Dunlop</v>
      </c>
      <c r="R318" s="93" t="str">
        <f>VLOOKUP(E318,DATABASE!C:Q,11,false)</f>
        <v>Tire</v>
      </c>
    </row>
    <row r="319" ht="22.5" customHeight="1">
      <c r="A319" s="49"/>
      <c r="C319" s="384">
        <v>45677.0</v>
      </c>
      <c r="D319" s="93">
        <v>4013.0</v>
      </c>
      <c r="E319" s="385" t="s">
        <v>256</v>
      </c>
      <c r="F319" s="386">
        <v>1.0</v>
      </c>
      <c r="G319" s="74">
        <v>130000.0</v>
      </c>
      <c r="H319" s="74">
        <v>0.0</v>
      </c>
      <c r="I319" s="74">
        <f t="shared" si="1"/>
        <v>130000</v>
      </c>
      <c r="J319" s="74">
        <f>IF(E319="SERVICE",I319-(I319*50%),Vlookup(E319,DATABASE!C:Q,10,false)*F319)</f>
        <v>10000</v>
      </c>
      <c r="K319" s="74">
        <f>VLOOKUP(E319,DATABASE!C:Q,7,false)</f>
        <v>0</v>
      </c>
      <c r="L319" s="74">
        <v>0.0</v>
      </c>
      <c r="M319" s="74">
        <f t="shared" si="2"/>
        <v>0</v>
      </c>
      <c r="N319" s="74">
        <f t="shared" si="3"/>
        <v>120000</v>
      </c>
      <c r="O319" s="65" t="str">
        <f>VLOOKUP(E319,DATABASE!C:Q,8,false)</f>
        <v>IBU</v>
      </c>
      <c r="P319" s="65">
        <f>VLOOKUP(E319,DATABASE!C:Q,9,False)</f>
        <v>0</v>
      </c>
      <c r="Q319" s="93" t="str">
        <f>VLOOKUP(E319,DATABASE!C:Q,4,false)</f>
        <v>SPOORING</v>
      </c>
      <c r="R319" s="93" t="str">
        <f>VLOOKUP(E319,DATABASE!C:Q,11,false)</f>
        <v>SERVICE</v>
      </c>
    </row>
    <row r="320" ht="22.5" customHeight="1">
      <c r="A320" s="49"/>
      <c r="C320" s="384">
        <v>45677.0</v>
      </c>
      <c r="D320" s="93">
        <v>4013.0</v>
      </c>
      <c r="E320" s="385" t="s">
        <v>251</v>
      </c>
      <c r="F320" s="386">
        <v>1.0</v>
      </c>
      <c r="G320" s="74">
        <v>260000.0</v>
      </c>
      <c r="H320" s="74">
        <v>0.0</v>
      </c>
      <c r="I320" s="74">
        <f t="shared" si="1"/>
        <v>260000</v>
      </c>
      <c r="J320" s="74">
        <f>IF(E320="SERVICE",I320-(I320*50%),Vlookup(E320,DATABASE!C:Q,10,false)*F320)</f>
        <v>130000</v>
      </c>
      <c r="K320" s="74">
        <f>VLOOKUP(E320,DATABASE!C:Q,7,false)</f>
        <v>0</v>
      </c>
      <c r="L320" s="74">
        <v>0.0</v>
      </c>
      <c r="M320" s="74">
        <f t="shared" si="2"/>
        <v>0</v>
      </c>
      <c r="N320" s="74">
        <f t="shared" si="3"/>
        <v>130000</v>
      </c>
      <c r="O320" s="65" t="str">
        <f>VLOOKUP(E320,DATABASE!C:Q,8,false)</f>
        <v>IBU</v>
      </c>
      <c r="P320" s="65">
        <f>VLOOKUP(E320,DATABASE!C:Q,9,False)</f>
        <v>0</v>
      </c>
      <c r="Q320" s="93" t="str">
        <f>VLOOKUP(E320,DATABASE!C:Q,4,false)</f>
        <v>SERVICE</v>
      </c>
      <c r="R320" s="93" t="str">
        <f>VLOOKUP(E320,DATABASE!C:Q,11,false)</f>
        <v>SERVICE</v>
      </c>
    </row>
    <row r="321" ht="22.5" customHeight="1">
      <c r="A321" s="49"/>
      <c r="C321" s="384">
        <v>45677.0</v>
      </c>
      <c r="D321" s="93">
        <v>4014.0</v>
      </c>
      <c r="E321" s="385" t="s">
        <v>256</v>
      </c>
      <c r="F321" s="386">
        <v>1.0</v>
      </c>
      <c r="G321" s="74">
        <v>130000.0</v>
      </c>
      <c r="H321" s="74">
        <v>0.0</v>
      </c>
      <c r="I321" s="74">
        <f t="shared" si="1"/>
        <v>130000</v>
      </c>
      <c r="J321" s="74">
        <f>IF(E321="SERVICE",I321-(I321*50%),Vlookup(E321,DATABASE!C:Q,10,false)*F321)</f>
        <v>10000</v>
      </c>
      <c r="K321" s="74">
        <f>VLOOKUP(E321,DATABASE!C:Q,7,false)</f>
        <v>0</v>
      </c>
      <c r="L321" s="74">
        <v>0.0</v>
      </c>
      <c r="M321" s="74">
        <f t="shared" si="2"/>
        <v>0</v>
      </c>
      <c r="N321" s="74">
        <f t="shared" si="3"/>
        <v>120000</v>
      </c>
      <c r="O321" s="65" t="str">
        <f>VLOOKUP(E321,DATABASE!C:Q,8,false)</f>
        <v>IBU</v>
      </c>
      <c r="P321" s="65">
        <f>VLOOKUP(E321,DATABASE!C:Q,9,False)</f>
        <v>0</v>
      </c>
      <c r="Q321" s="93" t="str">
        <f>VLOOKUP(E321,DATABASE!C:Q,4,false)</f>
        <v>SPOORING</v>
      </c>
      <c r="R321" s="93" t="str">
        <f>VLOOKUP(E321,DATABASE!C:Q,11,false)</f>
        <v>SERVICE</v>
      </c>
    </row>
    <row r="322" ht="22.5" customHeight="1">
      <c r="A322" s="49"/>
      <c r="C322" s="384">
        <v>45677.0</v>
      </c>
      <c r="D322" s="93">
        <v>4014.0</v>
      </c>
      <c r="E322" s="385" t="s">
        <v>251</v>
      </c>
      <c r="F322" s="386">
        <v>1.0</v>
      </c>
      <c r="G322" s="74">
        <v>150000.0</v>
      </c>
      <c r="H322" s="74">
        <v>0.0</v>
      </c>
      <c r="I322" s="74">
        <f t="shared" si="1"/>
        <v>150000</v>
      </c>
      <c r="J322" s="74">
        <f>IF(E322="SERVICE",I322-(I322*50%),Vlookup(E322,DATABASE!C:Q,10,false)*F322)</f>
        <v>75000</v>
      </c>
      <c r="K322" s="74">
        <f>VLOOKUP(E322,DATABASE!C:Q,7,false)</f>
        <v>0</v>
      </c>
      <c r="L322" s="74">
        <v>0.0</v>
      </c>
      <c r="M322" s="74">
        <f t="shared" si="2"/>
        <v>0</v>
      </c>
      <c r="N322" s="74">
        <f t="shared" si="3"/>
        <v>75000</v>
      </c>
      <c r="O322" s="65" t="str">
        <f>VLOOKUP(E322,DATABASE!C:Q,8,false)</f>
        <v>IBU</v>
      </c>
      <c r="P322" s="65">
        <f>VLOOKUP(E322,DATABASE!C:Q,9,False)</f>
        <v>0</v>
      </c>
      <c r="Q322" s="93" t="str">
        <f>VLOOKUP(E322,DATABASE!C:Q,4,false)</f>
        <v>SERVICE</v>
      </c>
      <c r="R322" s="93" t="str">
        <f>VLOOKUP(E322,DATABASE!C:Q,11,false)</f>
        <v>SERVICE</v>
      </c>
    </row>
    <row r="323" ht="22.5" customHeight="1">
      <c r="A323" s="49"/>
      <c r="C323" s="384">
        <v>45678.0</v>
      </c>
      <c r="D323" s="93">
        <v>4015.0</v>
      </c>
      <c r="E323" s="385" t="s">
        <v>275</v>
      </c>
      <c r="F323" s="386">
        <v>1.0</v>
      </c>
      <c r="G323" s="74">
        <v>830000.0</v>
      </c>
      <c r="H323" s="74">
        <v>0.0</v>
      </c>
      <c r="I323" s="74">
        <f t="shared" si="1"/>
        <v>830000</v>
      </c>
      <c r="J323" s="74">
        <f>IF(E323="SERVICE",I323-(I323*50%),Vlookup(E323,DATABASE!C:Q,10,false)*F323)</f>
        <v>0</v>
      </c>
      <c r="K323" s="74">
        <v>735000.0</v>
      </c>
      <c r="L323" s="74">
        <v>735000.0</v>
      </c>
      <c r="M323" s="74">
        <f t="shared" si="2"/>
        <v>735000</v>
      </c>
      <c r="N323" s="74">
        <f t="shared" si="3"/>
        <v>95000</v>
      </c>
      <c r="O323" s="65" t="str">
        <f>VLOOKUP(E323,DATABASE!C:Q,8,false)</f>
        <v>IBU</v>
      </c>
      <c r="P323" s="65">
        <f>VLOOKUP(E323,DATABASE!C:Q,9,False)</f>
        <v>1</v>
      </c>
      <c r="Q323" s="93" t="str">
        <f>VLOOKUP(E323,DATABASE!C:Q,4,false)</f>
        <v>Dunlop</v>
      </c>
      <c r="R323" s="93" t="str">
        <f>VLOOKUP(E323,DATABASE!C:Q,11,false)</f>
        <v>Tire</v>
      </c>
    </row>
    <row r="324" ht="22.5" customHeight="1">
      <c r="A324" s="49"/>
      <c r="C324" s="384">
        <v>45678.0</v>
      </c>
      <c r="D324" s="93">
        <v>4016.0</v>
      </c>
      <c r="E324" s="385" t="s">
        <v>781</v>
      </c>
      <c r="F324" s="386">
        <v>2.0</v>
      </c>
      <c r="G324" s="74">
        <v>520000.0</v>
      </c>
      <c r="H324" s="74">
        <v>0.0</v>
      </c>
      <c r="I324" s="74">
        <f t="shared" si="1"/>
        <v>1040000</v>
      </c>
      <c r="J324" s="74">
        <f>IF(E324="SERVICE",I324-(I324*50%),Vlookup(E324,DATABASE!C:Q,10,false)*F324)</f>
        <v>0</v>
      </c>
      <c r="K324" s="74">
        <f>VLOOKUP(E324,DATABASE!C:Q,7,false)</f>
        <v>470000</v>
      </c>
      <c r="L324" s="74">
        <v>442500.0</v>
      </c>
      <c r="M324" s="74">
        <f t="shared" si="2"/>
        <v>445000</v>
      </c>
      <c r="N324" s="74">
        <f t="shared" si="3"/>
        <v>150000</v>
      </c>
      <c r="O324" s="65" t="str">
        <f>VLOOKUP(E324,DATABASE!C:Q,8,false)</f>
        <v>BIAN</v>
      </c>
      <c r="P324" s="65">
        <f>VLOOKUP(E324,DATABASE!C:Q,9,False)</f>
        <v>1</v>
      </c>
      <c r="Q324" s="93" t="str">
        <f>VLOOKUP(E324,DATABASE!C:Q,4,false)</f>
        <v>GT</v>
      </c>
      <c r="R324" s="93" t="str">
        <f>VLOOKUP(E324,DATABASE!C:Q,11,false)</f>
        <v>Tire</v>
      </c>
    </row>
    <row r="325" ht="22.5" customHeight="1">
      <c r="A325" s="49"/>
      <c r="C325" s="384">
        <v>45678.0</v>
      </c>
      <c r="D325" s="93">
        <v>4017.0</v>
      </c>
      <c r="E325" s="385" t="s">
        <v>256</v>
      </c>
      <c r="F325" s="386">
        <v>1.0</v>
      </c>
      <c r="G325" s="74">
        <v>130000.0</v>
      </c>
      <c r="H325" s="74">
        <v>0.0</v>
      </c>
      <c r="I325" s="74">
        <f t="shared" si="1"/>
        <v>130000</v>
      </c>
      <c r="J325" s="74">
        <f>IF(E325="SERVICE",I325-(I325*50%),Vlookup(E325,DATABASE!C:Q,10,false)*F325)</f>
        <v>10000</v>
      </c>
      <c r="K325" s="74">
        <f>VLOOKUP(E325,DATABASE!C:Q,7,false)</f>
        <v>0</v>
      </c>
      <c r="L325" s="74">
        <v>0.0</v>
      </c>
      <c r="M325" s="74">
        <f t="shared" si="2"/>
        <v>0</v>
      </c>
      <c r="N325" s="74">
        <f t="shared" si="3"/>
        <v>120000</v>
      </c>
      <c r="O325" s="65" t="str">
        <f>VLOOKUP(E325,DATABASE!C:Q,8,false)</f>
        <v>IBU</v>
      </c>
      <c r="P325" s="65">
        <f>VLOOKUP(E325,DATABASE!C:Q,9,False)</f>
        <v>0</v>
      </c>
      <c r="Q325" s="93" t="str">
        <f>VLOOKUP(E325,DATABASE!C:Q,4,false)</f>
        <v>SPOORING</v>
      </c>
      <c r="R325" s="93" t="str">
        <f>VLOOKUP(E325,DATABASE!C:Q,11,false)</f>
        <v>SERVICE</v>
      </c>
    </row>
    <row r="326" ht="22.5" customHeight="1">
      <c r="A326" s="49"/>
      <c r="C326" s="384">
        <v>45678.0</v>
      </c>
      <c r="D326" s="93">
        <v>4017.0</v>
      </c>
      <c r="E326" s="385" t="s">
        <v>299</v>
      </c>
      <c r="F326" s="386">
        <v>2.0</v>
      </c>
      <c r="G326" s="74">
        <v>30000.0</v>
      </c>
      <c r="H326" s="74">
        <v>0.0</v>
      </c>
      <c r="I326" s="74">
        <f t="shared" si="1"/>
        <v>60000</v>
      </c>
      <c r="J326" s="74">
        <f>IF(E326="SERVICE",I326-(I326*50%),Vlookup(E326,DATABASE!C:Q,10,false)*F326)</f>
        <v>0</v>
      </c>
      <c r="K326" s="74">
        <v>0.0</v>
      </c>
      <c r="L326" s="74">
        <v>0.0</v>
      </c>
      <c r="M326" s="74">
        <f t="shared" si="2"/>
        <v>0</v>
      </c>
      <c r="N326" s="74">
        <f t="shared" si="3"/>
        <v>60000</v>
      </c>
      <c r="O326" s="65" t="str">
        <f>VLOOKUP(E326,DATABASE!C:Q,8,false)</f>
        <v>BIAN</v>
      </c>
      <c r="P326" s="65">
        <f>VLOOKUP(E326,DATABASE!C:Q,9,False)</f>
        <v>0</v>
      </c>
      <c r="Q326" s="93" t="str">
        <f>VLOOKUP(E326,DATABASE!C:Q,4,false)</f>
        <v>Balancing</v>
      </c>
      <c r="R326" s="93" t="str">
        <f>VLOOKUP(E326,DATABASE!C:Q,11,false)</f>
        <v>COMPLEMENTARY</v>
      </c>
    </row>
    <row r="327" ht="22.5" customHeight="1">
      <c r="A327" s="49"/>
      <c r="C327" s="384">
        <v>45678.0</v>
      </c>
      <c r="D327" s="93">
        <v>4017.0</v>
      </c>
      <c r="E327" s="385" t="s">
        <v>301</v>
      </c>
      <c r="F327" s="386">
        <v>1.0</v>
      </c>
      <c r="G327" s="74">
        <v>250000.0</v>
      </c>
      <c r="H327" s="74">
        <v>0.0</v>
      </c>
      <c r="I327" s="74">
        <f t="shared" si="1"/>
        <v>250000</v>
      </c>
      <c r="J327" s="74">
        <f>IF(E327="SERVICE",I327-(I327*50%),Vlookup(E327,DATABASE!C:Q,10,false)*F327)</f>
        <v>75000</v>
      </c>
      <c r="K327" s="74">
        <f>VLOOKUP(E327,DATABASE!C:Q,7,false)</f>
        <v>75000</v>
      </c>
      <c r="L327" s="74">
        <v>75000.0</v>
      </c>
      <c r="M327" s="74">
        <f t="shared" si="2"/>
        <v>75000</v>
      </c>
      <c r="N327" s="74">
        <f t="shared" si="3"/>
        <v>100000</v>
      </c>
      <c r="O327" s="65" t="str">
        <f>VLOOKUP(E327,DATABASE!C:Q,8,false)</f>
        <v>BIAN</v>
      </c>
      <c r="P327" s="65">
        <f>VLOOKUP(E327,DATABASE!C:Q,9,False)</f>
        <v>0</v>
      </c>
      <c r="Q327" s="93" t="str">
        <f>VLOOKUP(E327,DATABASE!C:Q,4,false)</f>
        <v>Baut Camber</v>
      </c>
      <c r="R327" s="93" t="str">
        <f>VLOOKUP(E327,DATABASE!C:Q,11,false)</f>
        <v>COMPLEMENTARY</v>
      </c>
    </row>
    <row r="328" ht="22.5" customHeight="1">
      <c r="A328" s="49"/>
      <c r="C328" s="384">
        <v>45678.0</v>
      </c>
      <c r="D328" s="93">
        <v>4018.0</v>
      </c>
      <c r="E328" s="385" t="s">
        <v>265</v>
      </c>
      <c r="F328" s="386">
        <v>1.0</v>
      </c>
      <c r="G328" s="74">
        <v>670000.0</v>
      </c>
      <c r="H328" s="74">
        <v>0.0</v>
      </c>
      <c r="I328" s="74">
        <f t="shared" si="1"/>
        <v>670000</v>
      </c>
      <c r="J328" s="74">
        <f>IF(E328="SERVICE",I328-(I328*50%),Vlookup(E328,DATABASE!C:Q,10,false)*F328)</f>
        <v>0</v>
      </c>
      <c r="K328" s="74">
        <v>590000.0</v>
      </c>
      <c r="L328" s="74">
        <v>590000.0</v>
      </c>
      <c r="M328" s="74">
        <f t="shared" si="2"/>
        <v>590000</v>
      </c>
      <c r="N328" s="74">
        <f t="shared" si="3"/>
        <v>80000</v>
      </c>
      <c r="O328" s="65" t="str">
        <f>VLOOKUP(E328,DATABASE!C:Q,8,false)</f>
        <v>IBU</v>
      </c>
      <c r="P328" s="65">
        <f>VLOOKUP(E328,DATABASE!C:Q,9,False)</f>
        <v>1</v>
      </c>
      <c r="Q328" s="93" t="str">
        <f>VLOOKUP(E328,DATABASE!C:Q,4,false)</f>
        <v>Dunlop</v>
      </c>
      <c r="R328" s="93" t="str">
        <f>VLOOKUP(E328,DATABASE!C:Q,11,false)</f>
        <v>Tire</v>
      </c>
    </row>
    <row r="329" ht="22.5" customHeight="1">
      <c r="A329" s="49"/>
      <c r="C329" s="384">
        <v>45678.0</v>
      </c>
      <c r="D329" s="93">
        <v>4018.0</v>
      </c>
      <c r="E329" s="385" t="s">
        <v>585</v>
      </c>
      <c r="F329" s="386">
        <v>1.0</v>
      </c>
      <c r="G329" s="74">
        <v>95000.0</v>
      </c>
      <c r="H329" s="74">
        <v>0.0</v>
      </c>
      <c r="I329" s="74">
        <f t="shared" si="1"/>
        <v>95000</v>
      </c>
      <c r="J329" s="74">
        <f>IF(E329="SERVICE",I329-(I329*50%),Vlookup(E329,DATABASE!C:Q,10,false)*F329)</f>
        <v>0</v>
      </c>
      <c r="K329" s="74">
        <f>VLOOKUP(E329,DATABASE!C:Q,7,false)</f>
        <v>61600</v>
      </c>
      <c r="L329" s="74">
        <v>61600.0</v>
      </c>
      <c r="M329" s="74">
        <f t="shared" si="2"/>
        <v>65000</v>
      </c>
      <c r="N329" s="74">
        <f t="shared" si="3"/>
        <v>30000</v>
      </c>
      <c r="O329" s="65" t="str">
        <f>VLOOKUP(E329,DATABASE!C:Q,8,false)</f>
        <v>BIAN</v>
      </c>
      <c r="P329" s="65">
        <f>VLOOKUP(E329,DATABASE!C:Q,9,False)</f>
        <v>1</v>
      </c>
      <c r="Q329" s="93" t="str">
        <f>VLOOKUP(E329,DATABASE!C:Q,4,false)</f>
        <v>BD</v>
      </c>
      <c r="R329" s="93" t="str">
        <f>VLOOKUP(E329,DATABASE!C:Q,11,false)</f>
        <v>Tire</v>
      </c>
    </row>
    <row r="330" ht="22.5" customHeight="1">
      <c r="A330" s="49"/>
      <c r="C330" s="384">
        <v>45678.0</v>
      </c>
      <c r="D330" s="93">
        <v>4019.0</v>
      </c>
      <c r="E330" s="385" t="s">
        <v>671</v>
      </c>
      <c r="F330" s="386">
        <v>1.0</v>
      </c>
      <c r="G330" s="74">
        <v>190000.0</v>
      </c>
      <c r="H330" s="74">
        <v>0.0</v>
      </c>
      <c r="I330" s="74">
        <f t="shared" si="1"/>
        <v>190000</v>
      </c>
      <c r="J330" s="74">
        <f>IF(E330="SERVICE",I330-(I330*50%),Vlookup(E330,DATABASE!C:Q,10,false)*F330)</f>
        <v>0</v>
      </c>
      <c r="K330" s="74">
        <f>VLOOKUP(E330,DATABASE!C:Q,7,false)</f>
        <v>160000</v>
      </c>
      <c r="L330" s="74">
        <v>160000.0</v>
      </c>
      <c r="M330" s="74">
        <f t="shared" si="2"/>
        <v>160000</v>
      </c>
      <c r="N330" s="74">
        <f t="shared" si="3"/>
        <v>30000</v>
      </c>
      <c r="O330" s="65" t="str">
        <f>VLOOKUP(E330,DATABASE!C:Q,8,false)</f>
        <v>BIAN</v>
      </c>
      <c r="P330" s="65">
        <f>VLOOKUP(E330,DATABASE!C:Q,9,False)</f>
        <v>1</v>
      </c>
      <c r="Q330" s="93" t="str">
        <f>VLOOKUP(E330,DATABASE!C:Q,4,false)</f>
        <v>BD</v>
      </c>
      <c r="R330" s="93" t="str">
        <f>VLOOKUP(E330,DATABASE!C:Q,11,false)</f>
        <v>Tire</v>
      </c>
    </row>
    <row r="331" ht="22.5" customHeight="1">
      <c r="A331" s="49"/>
      <c r="C331" s="384">
        <v>45678.0</v>
      </c>
      <c r="D331" s="93">
        <v>4020.0</v>
      </c>
      <c r="E331" s="385" t="s">
        <v>932</v>
      </c>
      <c r="F331" s="386">
        <v>2.0</v>
      </c>
      <c r="G331" s="74">
        <v>660000.0</v>
      </c>
      <c r="H331" s="74">
        <v>0.0</v>
      </c>
      <c r="I331" s="74">
        <f t="shared" si="1"/>
        <v>1320000</v>
      </c>
      <c r="J331" s="74">
        <f>IF(E331="SERVICE",I331-(I331*50%),Vlookup(E331,DATABASE!C:Q,10,false)*F331)</f>
        <v>0</v>
      </c>
      <c r="K331" s="74">
        <v>575000.0</v>
      </c>
      <c r="L331" s="74">
        <v>575000.0</v>
      </c>
      <c r="M331" s="74">
        <f t="shared" si="2"/>
        <v>575000</v>
      </c>
      <c r="N331" s="74">
        <f t="shared" si="3"/>
        <v>170000</v>
      </c>
      <c r="O331" s="65" t="str">
        <f>VLOOKUP(E331,DATABASE!C:Q,8,false)</f>
        <v>IBU</v>
      </c>
      <c r="P331" s="65">
        <f>VLOOKUP(E331,DATABASE!C:Q,9,False)</f>
        <v>1</v>
      </c>
      <c r="Q331" s="93" t="str">
        <f>VLOOKUP(E331,DATABASE!C:Q,4,false)</f>
        <v>Dunlop</v>
      </c>
      <c r="R331" s="93" t="str">
        <f>VLOOKUP(E331,DATABASE!C:Q,11,false)</f>
        <v>Tire</v>
      </c>
    </row>
    <row r="332" ht="22.5" customHeight="1">
      <c r="A332" s="49"/>
      <c r="C332" s="384">
        <v>45678.0</v>
      </c>
      <c r="D332" s="93">
        <v>4021.0</v>
      </c>
      <c r="E332" s="385" t="s">
        <v>256</v>
      </c>
      <c r="F332" s="386">
        <v>1.0</v>
      </c>
      <c r="G332" s="74">
        <v>130000.0</v>
      </c>
      <c r="H332" s="74">
        <v>0.0</v>
      </c>
      <c r="I332" s="74">
        <f t="shared" si="1"/>
        <v>130000</v>
      </c>
      <c r="J332" s="74">
        <f>IF(E332="SERVICE",I332-(I332*50%),Vlookup(E332,DATABASE!C:Q,10,false)*F332)</f>
        <v>10000</v>
      </c>
      <c r="K332" s="74">
        <f>VLOOKUP(E332,DATABASE!C:Q,7,false)</f>
        <v>0</v>
      </c>
      <c r="L332" s="74">
        <v>0.0</v>
      </c>
      <c r="M332" s="74">
        <f t="shared" si="2"/>
        <v>0</v>
      </c>
      <c r="N332" s="74">
        <f t="shared" si="3"/>
        <v>120000</v>
      </c>
      <c r="O332" s="65" t="str">
        <f>VLOOKUP(E332,DATABASE!C:Q,8,false)</f>
        <v>IBU</v>
      </c>
      <c r="P332" s="65">
        <f>VLOOKUP(E332,DATABASE!C:Q,9,False)</f>
        <v>0</v>
      </c>
      <c r="Q332" s="93" t="str">
        <f>VLOOKUP(E332,DATABASE!C:Q,4,false)</f>
        <v>SPOORING</v>
      </c>
      <c r="R332" s="93" t="str">
        <f>VLOOKUP(E332,DATABASE!C:Q,11,false)</f>
        <v>SERVICE</v>
      </c>
    </row>
    <row r="333" ht="22.5" customHeight="1">
      <c r="A333" s="49"/>
      <c r="C333" s="384">
        <v>45678.0</v>
      </c>
      <c r="D333" s="93">
        <v>4021.0</v>
      </c>
      <c r="E333" s="385" t="s">
        <v>251</v>
      </c>
      <c r="F333" s="386">
        <v>1.0</v>
      </c>
      <c r="G333" s="74">
        <v>150000.0</v>
      </c>
      <c r="H333" s="74">
        <v>0.0</v>
      </c>
      <c r="I333" s="74">
        <f t="shared" si="1"/>
        <v>150000</v>
      </c>
      <c r="J333" s="74">
        <f>IF(E333="SERVICE",I333-(I333*50%),Vlookup(E333,DATABASE!C:Q,10,false)*F333)</f>
        <v>75000</v>
      </c>
      <c r="K333" s="74">
        <f>VLOOKUP(E333,DATABASE!C:Q,7,false)</f>
        <v>0</v>
      </c>
      <c r="L333" s="74">
        <v>0.0</v>
      </c>
      <c r="M333" s="74">
        <f t="shared" si="2"/>
        <v>0</v>
      </c>
      <c r="N333" s="74">
        <f t="shared" si="3"/>
        <v>75000</v>
      </c>
      <c r="O333" s="65" t="str">
        <f>VLOOKUP(E333,DATABASE!C:Q,8,false)</f>
        <v>IBU</v>
      </c>
      <c r="P333" s="65">
        <f>VLOOKUP(E333,DATABASE!C:Q,9,False)</f>
        <v>0</v>
      </c>
      <c r="Q333" s="93" t="str">
        <f>VLOOKUP(E333,DATABASE!C:Q,4,false)</f>
        <v>SERVICE</v>
      </c>
      <c r="R333" s="93" t="str">
        <f>VLOOKUP(E333,DATABASE!C:Q,11,false)</f>
        <v>SERVICE</v>
      </c>
    </row>
    <row r="334" ht="22.5" customHeight="1">
      <c r="A334" s="49"/>
      <c r="C334" s="384">
        <v>45678.0</v>
      </c>
      <c r="D334" s="93">
        <v>4022.0</v>
      </c>
      <c r="E334" s="385" t="s">
        <v>591</v>
      </c>
      <c r="F334" s="386">
        <v>4.0</v>
      </c>
      <c r="G334" s="74">
        <v>765000.0</v>
      </c>
      <c r="H334" s="74">
        <v>0.0</v>
      </c>
      <c r="I334" s="74">
        <f t="shared" si="1"/>
        <v>3060000</v>
      </c>
      <c r="J334" s="74">
        <f>IF(E334="SERVICE",I334-(I334*50%),Vlookup(E334,DATABASE!C:Q,10,false)*F334)</f>
        <v>0</v>
      </c>
      <c r="K334" s="74">
        <v>676728.0</v>
      </c>
      <c r="L334" s="74">
        <v>676728.0</v>
      </c>
      <c r="M334" s="74">
        <f t="shared" si="2"/>
        <v>680000</v>
      </c>
      <c r="N334" s="74">
        <f t="shared" si="3"/>
        <v>340000</v>
      </c>
      <c r="O334" s="65" t="str">
        <f>VLOOKUP(E334,DATABASE!C:Q,8,false)</f>
        <v>IBU</v>
      </c>
      <c r="P334" s="65">
        <f>VLOOKUP(E334,DATABASE!C:Q,9,False)</f>
        <v>1</v>
      </c>
      <c r="Q334" s="93" t="str">
        <f>VLOOKUP(E334,DATABASE!C:Q,4,false)</f>
        <v>Bridgestone</v>
      </c>
      <c r="R334" s="93" t="str">
        <f>VLOOKUP(E334,DATABASE!C:Q,11,false)</f>
        <v>Tire</v>
      </c>
    </row>
    <row r="335" ht="22.5" customHeight="1">
      <c r="A335" s="49"/>
      <c r="C335" s="384">
        <v>45678.0</v>
      </c>
      <c r="D335" s="93">
        <v>4022.0</v>
      </c>
      <c r="E335" s="385" t="s">
        <v>299</v>
      </c>
      <c r="F335" s="386">
        <v>2.0</v>
      </c>
      <c r="G335" s="74">
        <v>30000.0</v>
      </c>
      <c r="H335" s="74">
        <v>0.0</v>
      </c>
      <c r="I335" s="74">
        <f t="shared" si="1"/>
        <v>60000</v>
      </c>
      <c r="J335" s="74">
        <f>IF(E335="SERVICE",I335-(I335*50%),Vlookup(E335,DATABASE!C:Q,10,false)*F335)</f>
        <v>0</v>
      </c>
      <c r="K335" s="74">
        <v>0.0</v>
      </c>
      <c r="L335" s="74">
        <v>0.0</v>
      </c>
      <c r="M335" s="74">
        <f t="shared" si="2"/>
        <v>0</v>
      </c>
      <c r="N335" s="74">
        <f t="shared" si="3"/>
        <v>60000</v>
      </c>
      <c r="O335" s="65" t="str">
        <f>VLOOKUP(E335,DATABASE!C:Q,8,false)</f>
        <v>BIAN</v>
      </c>
      <c r="P335" s="65">
        <f>VLOOKUP(E335,DATABASE!C:Q,9,False)</f>
        <v>0</v>
      </c>
      <c r="Q335" s="93" t="str">
        <f>VLOOKUP(E335,DATABASE!C:Q,4,false)</f>
        <v>Balancing</v>
      </c>
      <c r="R335" s="93" t="str">
        <f>VLOOKUP(E335,DATABASE!C:Q,11,false)</f>
        <v>COMPLEMENTARY</v>
      </c>
    </row>
    <row r="336" ht="22.5" customHeight="1">
      <c r="A336" s="49"/>
      <c r="C336" s="384">
        <v>45678.0</v>
      </c>
      <c r="D336" s="93">
        <v>4023.0</v>
      </c>
      <c r="E336" s="385" t="s">
        <v>268</v>
      </c>
      <c r="F336" s="386">
        <v>2.0</v>
      </c>
      <c r="G336" s="74">
        <v>675000.0</v>
      </c>
      <c r="H336" s="74">
        <v>0.0</v>
      </c>
      <c r="I336" s="74">
        <f t="shared" si="1"/>
        <v>1350000</v>
      </c>
      <c r="J336" s="74">
        <f>IF(E336="SERVICE",I336-(I336*50%),Vlookup(E336,DATABASE!C:Q,10,false)*F336)</f>
        <v>0</v>
      </c>
      <c r="K336" s="74">
        <v>613000.0</v>
      </c>
      <c r="L336" s="74">
        <v>613000.0</v>
      </c>
      <c r="M336" s="74">
        <f t="shared" si="2"/>
        <v>615000</v>
      </c>
      <c r="N336" s="74">
        <f t="shared" si="3"/>
        <v>120000</v>
      </c>
      <c r="O336" s="65" t="str">
        <f>VLOOKUP(E336,DATABASE!C:Q,8,false)</f>
        <v>IBU</v>
      </c>
      <c r="P336" s="65">
        <f>VLOOKUP(E336,DATABASE!C:Q,9,False)</f>
        <v>1</v>
      </c>
      <c r="Q336" s="93" t="str">
        <f>VLOOKUP(E336,DATABASE!C:Q,4,false)</f>
        <v>Dunlop</v>
      </c>
      <c r="R336" s="93" t="str">
        <f>VLOOKUP(E336,DATABASE!C:Q,11,false)</f>
        <v>Tire</v>
      </c>
    </row>
    <row r="337" ht="22.5" customHeight="1">
      <c r="A337" s="49"/>
      <c r="C337" s="384">
        <v>45678.0</v>
      </c>
      <c r="D337" s="93">
        <v>4023.0</v>
      </c>
      <c r="E337" s="385" t="s">
        <v>554</v>
      </c>
      <c r="F337" s="386">
        <v>2.0</v>
      </c>
      <c r="G337" s="74">
        <v>775000.0</v>
      </c>
      <c r="H337" s="74">
        <v>0.0</v>
      </c>
      <c r="I337" s="74">
        <f t="shared" si="1"/>
        <v>1550000</v>
      </c>
      <c r="J337" s="74">
        <f>IF(E337="SERVICE",I337-(I337*50%),Vlookup(E337,DATABASE!C:Q,10,false)*F337)</f>
        <v>0</v>
      </c>
      <c r="K337" s="74">
        <f>VLOOKUP(E337,DATABASE!C:Q,7,false)</f>
        <v>710000</v>
      </c>
      <c r="L337" s="74">
        <v>680000.0</v>
      </c>
      <c r="M337" s="74">
        <f t="shared" si="2"/>
        <v>680000</v>
      </c>
      <c r="N337" s="74">
        <f t="shared" si="3"/>
        <v>190000</v>
      </c>
      <c r="O337" s="65" t="str">
        <f>VLOOKUP(E337,DATABASE!C:Q,8,false)</f>
        <v>IBU</v>
      </c>
      <c r="P337" s="65">
        <f>VLOOKUP(E337,DATABASE!C:Q,9,False)</f>
        <v>1</v>
      </c>
      <c r="Q337" s="93" t="str">
        <f>VLOOKUP(E337,DATABASE!C:Q,4,false)</f>
        <v>Bridgestone</v>
      </c>
      <c r="R337" s="93" t="str">
        <f>VLOOKUP(E337,DATABASE!C:Q,11,false)</f>
        <v>Tire</v>
      </c>
    </row>
    <row r="338" ht="22.5" customHeight="1">
      <c r="A338" s="49"/>
      <c r="C338" s="384">
        <v>45678.0</v>
      </c>
      <c r="D338" s="93">
        <v>4024.0</v>
      </c>
      <c r="E338" s="385" t="s">
        <v>839</v>
      </c>
      <c r="F338" s="386">
        <v>2.0</v>
      </c>
      <c r="G338" s="74">
        <v>550000.0</v>
      </c>
      <c r="H338" s="74">
        <v>0.0</v>
      </c>
      <c r="I338" s="74">
        <f t="shared" si="1"/>
        <v>1100000</v>
      </c>
      <c r="J338" s="74">
        <f>IF(E338="SERVICE",I338-(I338*50%),Vlookup(E338,DATABASE!C:Q,10,false)*F338)</f>
        <v>0</v>
      </c>
      <c r="K338" s="74">
        <f>VLOOKUP(E338,DATABASE!C:Q,7,false)</f>
        <v>512640</v>
      </c>
      <c r="L338" s="74">
        <v>475700.0</v>
      </c>
      <c r="M338" s="74">
        <f t="shared" si="2"/>
        <v>480000</v>
      </c>
      <c r="N338" s="74">
        <f t="shared" si="3"/>
        <v>140000</v>
      </c>
      <c r="O338" s="65" t="str">
        <f>VLOOKUP(E338,DATABASE!C:Q,8,false)</f>
        <v>BIAN</v>
      </c>
      <c r="P338" s="65">
        <f>VLOOKUP(E338,DATABASE!C:Q,9,False)</f>
        <v>1</v>
      </c>
      <c r="Q338" s="93" t="str">
        <f>VLOOKUP(E338,DATABASE!C:Q,4,false)</f>
        <v>GT</v>
      </c>
      <c r="R338" s="93" t="str">
        <f>VLOOKUP(E338,DATABASE!C:Q,11,false)</f>
        <v>Tire</v>
      </c>
    </row>
    <row r="339" ht="22.5" customHeight="1">
      <c r="A339" s="49"/>
      <c r="C339" s="384">
        <v>45678.0</v>
      </c>
      <c r="D339" s="93">
        <v>4024.0</v>
      </c>
      <c r="E339" s="385" t="s">
        <v>246</v>
      </c>
      <c r="F339" s="386">
        <v>1.0</v>
      </c>
      <c r="G339" s="74">
        <v>25000.0</v>
      </c>
      <c r="H339" s="74">
        <v>0.0</v>
      </c>
      <c r="I339" s="74">
        <f t="shared" si="1"/>
        <v>25000</v>
      </c>
      <c r="J339" s="74">
        <f>IF(E339="SERVICE",I339-(I339*50%),Vlookup(E339,DATABASE!C:Q,10,false)*F339)</f>
        <v>0</v>
      </c>
      <c r="K339" s="74">
        <f>VLOOKUP(E339,DATABASE!C:Q,7,false)</f>
        <v>0</v>
      </c>
      <c r="L339" s="74">
        <v>0.0</v>
      </c>
      <c r="M339" s="74">
        <f t="shared" si="2"/>
        <v>0</v>
      </c>
      <c r="N339" s="74">
        <f t="shared" si="3"/>
        <v>25000</v>
      </c>
      <c r="O339" s="65" t="str">
        <f>VLOOKUP(E339,DATABASE!C:Q,8,false)</f>
        <v>IBU</v>
      </c>
      <c r="P339" s="65">
        <f>VLOOKUP(E339,DATABASE!C:Q,9,False)</f>
        <v>0</v>
      </c>
      <c r="Q339" s="93" t="str">
        <f>VLOOKUP(E339,DATABASE!C:Q,4,false)</f>
        <v>Bongkar Pasang</v>
      </c>
      <c r="R339" s="93" t="str">
        <f>VLOOKUP(E339,DATABASE!C:Q,11,false)</f>
        <v>SERVICE</v>
      </c>
    </row>
    <row r="340" ht="22.5" customHeight="1">
      <c r="A340" s="49"/>
      <c r="C340" s="384">
        <v>45678.0</v>
      </c>
      <c r="D340" s="93">
        <v>4024.0</v>
      </c>
      <c r="E340" s="445" t="s">
        <v>2135</v>
      </c>
      <c r="F340" s="386">
        <v>2.0</v>
      </c>
      <c r="G340" s="74">
        <v>15000.0</v>
      </c>
      <c r="H340" s="74">
        <v>0.0</v>
      </c>
      <c r="I340" s="74">
        <f t="shared" si="1"/>
        <v>30000</v>
      </c>
      <c r="J340" s="74">
        <f>IF(E340="SERVICE",I340-(I340*50%),Vlookup(E340,DATABASE!C:Q,10,false)*F340)</f>
        <v>0</v>
      </c>
      <c r="K340" s="74">
        <f>VLOOKUP(E340,DATABASE!C:Q,7,false)</f>
        <v>0</v>
      </c>
      <c r="L340" s="74">
        <v>0.0</v>
      </c>
      <c r="M340" s="74">
        <f t="shared" si="2"/>
        <v>0</v>
      </c>
      <c r="N340" s="74">
        <f t="shared" si="3"/>
        <v>30000</v>
      </c>
      <c r="O340" s="65" t="str">
        <f>VLOOKUP(E340,DATABASE!C:Q,8,false)</f>
        <v>IBU</v>
      </c>
      <c r="P340" s="65">
        <f>VLOOKUP(E340,DATABASE!C:Q,9,False)</f>
        <v>0</v>
      </c>
      <c r="Q340" s="93" t="str">
        <f>VLOOKUP(E340,DATABASE!C:Q,4,false)</f>
        <v>NITROGEN</v>
      </c>
      <c r="R340" s="93" t="str">
        <f>VLOOKUP(E340,DATABASE!C:Q,11,false)</f>
        <v>COMPLEMENTARY</v>
      </c>
    </row>
    <row r="341" ht="22.5" customHeight="1">
      <c r="A341" s="49"/>
      <c r="C341" s="384">
        <v>45678.0</v>
      </c>
      <c r="D341" s="93">
        <v>4025.0</v>
      </c>
      <c r="E341" s="385" t="s">
        <v>268</v>
      </c>
      <c r="F341" s="386">
        <v>2.0</v>
      </c>
      <c r="G341" s="74">
        <v>685000.0</v>
      </c>
      <c r="H341" s="74">
        <v>0.0</v>
      </c>
      <c r="I341" s="74">
        <f t="shared" si="1"/>
        <v>1370000</v>
      </c>
      <c r="J341" s="74">
        <f>IF(E341="SERVICE",I341-(I341*50%),Vlookup(E341,DATABASE!C:Q,10,false)*F341)</f>
        <v>0</v>
      </c>
      <c r="K341" s="74">
        <v>613000.0</v>
      </c>
      <c r="L341" s="74">
        <v>613000.0</v>
      </c>
      <c r="M341" s="74">
        <f t="shared" si="2"/>
        <v>615000</v>
      </c>
      <c r="N341" s="74">
        <f t="shared" si="3"/>
        <v>140000</v>
      </c>
      <c r="O341" s="65" t="str">
        <f>VLOOKUP(E341,DATABASE!C:Q,8,false)</f>
        <v>IBU</v>
      </c>
      <c r="P341" s="65">
        <f>VLOOKUP(E341,DATABASE!C:Q,9,False)</f>
        <v>1</v>
      </c>
      <c r="Q341" s="93" t="str">
        <f>VLOOKUP(E341,DATABASE!C:Q,4,false)</f>
        <v>Dunlop</v>
      </c>
      <c r="R341" s="93" t="str">
        <f>VLOOKUP(E341,DATABASE!C:Q,11,false)</f>
        <v>Tire</v>
      </c>
    </row>
    <row r="342" ht="22.5" customHeight="1">
      <c r="A342" s="49"/>
      <c r="C342" s="384">
        <v>45678.0</v>
      </c>
      <c r="D342" s="93">
        <v>4025.0</v>
      </c>
      <c r="E342" s="445" t="s">
        <v>246</v>
      </c>
      <c r="F342" s="386">
        <v>2.0</v>
      </c>
      <c r="G342" s="74">
        <v>25000.0</v>
      </c>
      <c r="H342" s="74">
        <v>0.0</v>
      </c>
      <c r="I342" s="74">
        <f t="shared" si="1"/>
        <v>50000</v>
      </c>
      <c r="J342" s="74">
        <f>IF(E342="SERVICE",I342-(I342*50%),Vlookup(E342,DATABASE!C:Q,10,false)*F342)</f>
        <v>0</v>
      </c>
      <c r="K342" s="74">
        <f>VLOOKUP(E342,DATABASE!C:Q,7,false)</f>
        <v>0</v>
      </c>
      <c r="L342" s="74">
        <v>0.0</v>
      </c>
      <c r="M342" s="74">
        <f t="shared" si="2"/>
        <v>0</v>
      </c>
      <c r="N342" s="74">
        <f t="shared" si="3"/>
        <v>50000</v>
      </c>
      <c r="O342" s="65" t="str">
        <f>VLOOKUP(E342,DATABASE!C:Q,8,false)</f>
        <v>IBU</v>
      </c>
      <c r="P342" s="65">
        <f>VLOOKUP(E342,DATABASE!C:Q,9,False)</f>
        <v>0</v>
      </c>
      <c r="Q342" s="93" t="str">
        <f>VLOOKUP(E342,DATABASE!C:Q,4,false)</f>
        <v>Bongkar Pasang</v>
      </c>
      <c r="R342" s="93" t="str">
        <f>VLOOKUP(E342,DATABASE!C:Q,11,false)</f>
        <v>SERVICE</v>
      </c>
    </row>
    <row r="343" ht="22.5" customHeight="1">
      <c r="A343" s="49"/>
      <c r="C343" s="384">
        <v>45678.0</v>
      </c>
      <c r="D343" s="93">
        <v>4026.0</v>
      </c>
      <c r="E343" s="445" t="s">
        <v>262</v>
      </c>
      <c r="F343" s="386">
        <v>1.0</v>
      </c>
      <c r="G343" s="74">
        <v>100000.0</v>
      </c>
      <c r="H343" s="74">
        <v>0.0</v>
      </c>
      <c r="I343" s="74">
        <f t="shared" si="1"/>
        <v>100000</v>
      </c>
      <c r="J343" s="74">
        <f>IF(E343="SERVICE",I343-(I343*50%),Vlookup(E343,DATABASE!C:Q,10,false)*F343)</f>
        <v>5000</v>
      </c>
      <c r="K343" s="74">
        <f>VLOOKUP(E343,DATABASE!C:Q,7,false)</f>
        <v>0</v>
      </c>
      <c r="L343" s="74">
        <v>0.0</v>
      </c>
      <c r="M343" s="74">
        <f t="shared" si="2"/>
        <v>0</v>
      </c>
      <c r="N343" s="74">
        <f t="shared" si="3"/>
        <v>95000</v>
      </c>
      <c r="O343" s="65" t="str">
        <f>VLOOKUP(E343,DATABASE!C:Q,8,false)</f>
        <v>IBU</v>
      </c>
      <c r="P343" s="65">
        <f>VLOOKUP(E343,DATABASE!C:Q,9,False)</f>
        <v>0</v>
      </c>
      <c r="Q343" s="93" t="str">
        <f>VLOOKUP(E343,DATABASE!C:Q,4,false)</f>
        <v>SPOORING SS/CARRY LOS BAK</v>
      </c>
      <c r="R343" s="93" t="str">
        <f>VLOOKUP(E343,DATABASE!C:Q,11,false)</f>
        <v>SERVICE</v>
      </c>
    </row>
    <row r="344" ht="22.5" customHeight="1">
      <c r="A344" s="49"/>
      <c r="C344" s="384">
        <v>45678.0</v>
      </c>
      <c r="D344" s="93">
        <v>4026.0</v>
      </c>
      <c r="E344" s="385" t="s">
        <v>305</v>
      </c>
      <c r="F344" s="386">
        <v>1.0</v>
      </c>
      <c r="G344" s="74">
        <v>220000.0</v>
      </c>
      <c r="H344" s="74">
        <v>0.0</v>
      </c>
      <c r="I344" s="74">
        <f t="shared" si="1"/>
        <v>220000</v>
      </c>
      <c r="J344" s="74">
        <f>IF(E344="SERVICE",I344-(I344*50%),Vlookup(E344,DATABASE!C:Q,10,false)*F344)</f>
        <v>40000</v>
      </c>
      <c r="K344" s="74">
        <f>VLOOKUP(E344,DATABASE!C:Q,7,false)</f>
        <v>158530.2</v>
      </c>
      <c r="L344" s="74">
        <v>151890.0</v>
      </c>
      <c r="M344" s="74">
        <f t="shared" si="2"/>
        <v>155000</v>
      </c>
      <c r="N344" s="74">
        <f t="shared" si="3"/>
        <v>25000</v>
      </c>
      <c r="O344" s="65" t="str">
        <f>VLOOKUP(E344,DATABASE!C:Q,8,false)</f>
        <v>BIAN</v>
      </c>
      <c r="P344" s="65">
        <f>VLOOKUP(E344,DATABASE!C:Q,9,False)</f>
        <v>1</v>
      </c>
      <c r="Q344" s="93" t="str">
        <f>VLOOKUP(E344,DATABASE!C:Q,4,false)</f>
        <v>Lower Arm</v>
      </c>
      <c r="R344" s="93" t="str">
        <f>VLOOKUP(E344,DATABASE!C:Q,11,false)</f>
        <v>COMPLEMENTARY</v>
      </c>
    </row>
    <row r="345" ht="22.5" customHeight="1">
      <c r="A345" s="49"/>
      <c r="C345" s="384">
        <v>45678.0</v>
      </c>
      <c r="D345" s="93">
        <v>4026.0</v>
      </c>
      <c r="E345" s="445" t="s">
        <v>478</v>
      </c>
      <c r="F345" s="386">
        <v>1.0</v>
      </c>
      <c r="G345" s="74">
        <v>200000.0</v>
      </c>
      <c r="H345" s="74">
        <v>0.0</v>
      </c>
      <c r="I345" s="74">
        <f t="shared" si="1"/>
        <v>200000</v>
      </c>
      <c r="J345" s="74">
        <f>IF(E345="SERVICE",I345-(I345*50%),Vlookup(E345,DATABASE!C:Q,10,false)*F345)</f>
        <v>25000</v>
      </c>
      <c r="K345" s="74">
        <f>VLOOKUP(E345,DATABASE!C:Q,7,false)</f>
        <v>75000</v>
      </c>
      <c r="L345" s="74">
        <v>75000.0</v>
      </c>
      <c r="M345" s="74">
        <f t="shared" si="2"/>
        <v>75000</v>
      </c>
      <c r="N345" s="74">
        <f t="shared" si="3"/>
        <v>100000</v>
      </c>
      <c r="O345" s="65" t="str">
        <f>VLOOKUP(E345,DATABASE!C:Q,8,false)</f>
        <v>BIAN</v>
      </c>
      <c r="P345" s="65">
        <f>VLOOKUP(E345,DATABASE!C:Q,9,False)</f>
        <v>0</v>
      </c>
      <c r="Q345" s="93" t="str">
        <f>VLOOKUP(E345,DATABASE!C:Q,4,false)</f>
        <v>Baut Camber ss-carry</v>
      </c>
      <c r="R345" s="93" t="str">
        <f>VLOOKUP(E345,DATABASE!C:Q,11,false)</f>
        <v>COMPLEMENTARY</v>
      </c>
    </row>
    <row r="346" ht="22.5" customHeight="1">
      <c r="A346" s="49"/>
      <c r="C346" s="384">
        <v>45678.0</v>
      </c>
      <c r="D346" s="93">
        <v>4027.0</v>
      </c>
      <c r="E346" s="445" t="s">
        <v>572</v>
      </c>
      <c r="F346" s="386">
        <v>2.0</v>
      </c>
      <c r="G346" s="74">
        <v>1385000.0</v>
      </c>
      <c r="H346" s="74">
        <v>0.0</v>
      </c>
      <c r="I346" s="74">
        <f t="shared" si="1"/>
        <v>2770000</v>
      </c>
      <c r="J346" s="74">
        <f>IF(E346="SERVICE",I346-(I346*50%),Vlookup(E346,DATABASE!C:Q,10,false)*F346)</f>
        <v>0</v>
      </c>
      <c r="K346" s="140">
        <v>1270000.0</v>
      </c>
      <c r="L346" s="140">
        <v>1270000.0</v>
      </c>
      <c r="M346" s="74">
        <f t="shared" si="2"/>
        <v>1270000</v>
      </c>
      <c r="N346" s="74">
        <f t="shared" si="3"/>
        <v>230000</v>
      </c>
      <c r="O346" s="65" t="str">
        <f>VLOOKUP(E346,DATABASE!C:Q,8,false)</f>
        <v>IBU</v>
      </c>
      <c r="P346" s="65">
        <f>VLOOKUP(E346,DATABASE!C:Q,9,False)</f>
        <v>1</v>
      </c>
      <c r="Q346" s="93" t="str">
        <f>VLOOKUP(E346,DATABASE!C:Q,4,false)</f>
        <v>Bridgestone</v>
      </c>
      <c r="R346" s="93" t="str">
        <f>VLOOKUP(E346,DATABASE!C:Q,11,false)</f>
        <v>Tire</v>
      </c>
    </row>
    <row r="347" ht="22.5" customHeight="1">
      <c r="A347" s="49"/>
      <c r="C347" s="384">
        <v>45678.0</v>
      </c>
      <c r="D347" s="93">
        <v>4027.0</v>
      </c>
      <c r="E347" s="445" t="s">
        <v>652</v>
      </c>
      <c r="F347" s="386">
        <v>1.0</v>
      </c>
      <c r="G347" s="74">
        <v>260000.0</v>
      </c>
      <c r="H347" s="74">
        <v>0.0</v>
      </c>
      <c r="I347" s="74">
        <f t="shared" si="1"/>
        <v>260000</v>
      </c>
      <c r="J347" s="74">
        <f>IF(E347="SERVICE",I347-(I347*50%),Vlookup(E347,DATABASE!C:Q,10,false)*F347)</f>
        <v>0</v>
      </c>
      <c r="K347" s="74">
        <f>VLOOKUP(E347,DATABASE!C:Q,7,false)</f>
        <v>231268</v>
      </c>
      <c r="L347" s="74">
        <v>227850.0</v>
      </c>
      <c r="M347" s="74">
        <f t="shared" si="2"/>
        <v>230000</v>
      </c>
      <c r="N347" s="74">
        <f t="shared" si="3"/>
        <v>30000</v>
      </c>
      <c r="O347" s="65" t="str">
        <f>VLOOKUP(E347,DATABASE!C:Q,8,false)</f>
        <v>IBU</v>
      </c>
      <c r="P347" s="65">
        <f>VLOOKUP(E347,DATABASE!C:Q,9,False)</f>
        <v>1</v>
      </c>
      <c r="Q347" s="93" t="str">
        <f>VLOOKUP(E347,DATABASE!C:Q,4,false)</f>
        <v>BD</v>
      </c>
      <c r="R347" s="93" t="str">
        <f>VLOOKUP(E347,DATABASE!C:Q,11,false)</f>
        <v>Tire</v>
      </c>
    </row>
    <row r="348" ht="22.5" customHeight="1">
      <c r="A348" s="49"/>
      <c r="C348" s="384">
        <v>45678.0</v>
      </c>
      <c r="D348" s="93">
        <v>4027.0</v>
      </c>
      <c r="E348" s="445" t="s">
        <v>821</v>
      </c>
      <c r="F348" s="386">
        <v>1.0</v>
      </c>
      <c r="G348" s="74">
        <v>60000.0</v>
      </c>
      <c r="H348" s="74">
        <v>0.0</v>
      </c>
      <c r="I348" s="74">
        <f t="shared" si="1"/>
        <v>60000</v>
      </c>
      <c r="J348" s="74">
        <f>IF(E348="SERVICE",I348-(I348*50%),Vlookup(E348,DATABASE!C:Q,10,false)*F348)</f>
        <v>0</v>
      </c>
      <c r="K348" s="74">
        <f>VLOOKUP(E348,DATABASE!C:Q,7,false)</f>
        <v>43500</v>
      </c>
      <c r="L348" s="74">
        <v>43520.0</v>
      </c>
      <c r="M348" s="74">
        <f t="shared" si="2"/>
        <v>45000</v>
      </c>
      <c r="N348" s="74">
        <f t="shared" si="3"/>
        <v>15000</v>
      </c>
      <c r="O348" s="65" t="str">
        <f>VLOOKUP(E348,DATABASE!C:Q,8,false)</f>
        <v>BIAN</v>
      </c>
      <c r="P348" s="65">
        <f>VLOOKUP(E348,DATABASE!C:Q,9,False)</f>
        <v>1</v>
      </c>
      <c r="Q348" s="93" t="str">
        <f>VLOOKUP(E348,DATABASE!C:Q,4,false)</f>
        <v>Flap</v>
      </c>
      <c r="R348" s="93" t="str">
        <f>VLOOKUP(E348,DATABASE!C:Q,11,false)</f>
        <v>Tire</v>
      </c>
    </row>
    <row r="349" ht="22.5" customHeight="1">
      <c r="A349" s="49"/>
      <c r="C349" s="384">
        <v>45678.0</v>
      </c>
      <c r="D349" s="93" t="s">
        <v>2607</v>
      </c>
      <c r="E349" s="445" t="s">
        <v>246</v>
      </c>
      <c r="F349" s="386">
        <v>1.0</v>
      </c>
      <c r="G349" s="74">
        <v>25000.0</v>
      </c>
      <c r="H349" s="74">
        <v>0.0</v>
      </c>
      <c r="I349" s="74">
        <f t="shared" si="1"/>
        <v>25000</v>
      </c>
      <c r="J349" s="74">
        <f>IF(E349="SERVICE",I349-(I349*50%),Vlookup(E349,DATABASE!C:Q,10,false)*F349)</f>
        <v>0</v>
      </c>
      <c r="K349" s="74">
        <f>VLOOKUP(E349,DATABASE!C:Q,7,false)</f>
        <v>0</v>
      </c>
      <c r="L349" s="74">
        <v>0.0</v>
      </c>
      <c r="M349" s="74">
        <f t="shared" si="2"/>
        <v>0</v>
      </c>
      <c r="N349" s="74">
        <f t="shared" si="3"/>
        <v>25000</v>
      </c>
      <c r="O349" s="65" t="str">
        <f>VLOOKUP(E349,DATABASE!C:Q,8,false)</f>
        <v>IBU</v>
      </c>
      <c r="P349" s="65">
        <f>VLOOKUP(E349,DATABASE!C:Q,9,False)</f>
        <v>0</v>
      </c>
      <c r="Q349" s="93" t="str">
        <f>VLOOKUP(E349,DATABASE!C:Q,4,false)</f>
        <v>Bongkar Pasang</v>
      </c>
      <c r="R349" s="93" t="str">
        <f>VLOOKUP(E349,DATABASE!C:Q,11,false)</f>
        <v>SERVICE</v>
      </c>
    </row>
    <row r="350" ht="22.5" customHeight="1">
      <c r="A350" s="49"/>
      <c r="C350" s="384">
        <v>45679.0</v>
      </c>
      <c r="D350" s="93">
        <v>4028.0</v>
      </c>
      <c r="E350" s="445" t="s">
        <v>974</v>
      </c>
      <c r="F350" s="386">
        <v>1.0</v>
      </c>
      <c r="G350" s="74">
        <v>560000.0</v>
      </c>
      <c r="H350" s="74">
        <v>0.0</v>
      </c>
      <c r="I350" s="74">
        <f t="shared" si="1"/>
        <v>560000</v>
      </c>
      <c r="J350" s="74">
        <f>IF(E350="SERVICE",I350-(I350*50%),Vlookup(E350,DATABASE!C:Q,10,false)*F350)</f>
        <v>0</v>
      </c>
      <c r="K350" s="74">
        <f>VLOOKUP(E350,DATABASE!C:Q,7,false)</f>
        <v>501500</v>
      </c>
      <c r="L350" s="74">
        <v>491000.0</v>
      </c>
      <c r="M350" s="74">
        <f t="shared" si="2"/>
        <v>495000</v>
      </c>
      <c r="N350" s="74">
        <f t="shared" si="3"/>
        <v>65000</v>
      </c>
      <c r="O350" s="65" t="str">
        <f>VLOOKUP(E350,DATABASE!C:Q,8,false)</f>
        <v>IBU</v>
      </c>
      <c r="P350" s="65">
        <f>VLOOKUP(E350,DATABASE!C:Q,9,False)</f>
        <v>1</v>
      </c>
      <c r="Q350" s="93" t="str">
        <f>VLOOKUP(E350,DATABASE!C:Q,4,false)</f>
        <v>Dunlop</v>
      </c>
      <c r="R350" s="93" t="str">
        <f>VLOOKUP(E350,DATABASE!C:Q,11,false)</f>
        <v>Tire</v>
      </c>
    </row>
    <row r="351" ht="22.5" customHeight="1">
      <c r="A351" s="49"/>
      <c r="C351" s="384">
        <v>45679.0</v>
      </c>
      <c r="D351" s="93">
        <v>4029.0</v>
      </c>
      <c r="E351" s="445" t="s">
        <v>781</v>
      </c>
      <c r="F351" s="386">
        <v>2.0</v>
      </c>
      <c r="G351" s="74">
        <v>520000.0</v>
      </c>
      <c r="H351" s="74">
        <v>0.0</v>
      </c>
      <c r="I351" s="74">
        <f t="shared" si="1"/>
        <v>1040000</v>
      </c>
      <c r="J351" s="74">
        <f>IF(E351="SERVICE",I351-(I351*50%),Vlookup(E351,DATABASE!C:Q,10,false)*F351)</f>
        <v>0</v>
      </c>
      <c r="K351" s="74">
        <f>VLOOKUP(E351,DATABASE!C:Q,7,false)</f>
        <v>470000</v>
      </c>
      <c r="L351" s="74">
        <v>442500.0</v>
      </c>
      <c r="M351" s="74">
        <f t="shared" si="2"/>
        <v>445000</v>
      </c>
      <c r="N351" s="74">
        <f t="shared" si="3"/>
        <v>150000</v>
      </c>
      <c r="O351" s="65" t="str">
        <f>VLOOKUP(E351,DATABASE!C:Q,8,false)</f>
        <v>BIAN</v>
      </c>
      <c r="P351" s="65">
        <f>VLOOKUP(E351,DATABASE!C:Q,9,False)</f>
        <v>1</v>
      </c>
      <c r="Q351" s="93" t="str">
        <f>VLOOKUP(E351,DATABASE!C:Q,4,false)</f>
        <v>GT</v>
      </c>
      <c r="R351" s="93" t="str">
        <f>VLOOKUP(E351,DATABASE!C:Q,11,false)</f>
        <v>Tire</v>
      </c>
    </row>
    <row r="352" ht="22.5" customHeight="1">
      <c r="A352" s="49"/>
      <c r="C352" s="384">
        <v>45679.0</v>
      </c>
      <c r="D352" s="93">
        <v>4029.0</v>
      </c>
      <c r="E352" s="445" t="s">
        <v>585</v>
      </c>
      <c r="F352" s="386">
        <v>1.0</v>
      </c>
      <c r="G352" s="74">
        <v>95000.0</v>
      </c>
      <c r="H352" s="74">
        <v>0.0</v>
      </c>
      <c r="I352" s="74">
        <f t="shared" si="1"/>
        <v>95000</v>
      </c>
      <c r="J352" s="74">
        <f>IF(E352="SERVICE",I352-(I352*50%),Vlookup(E352,DATABASE!C:Q,10,false)*F352)</f>
        <v>0</v>
      </c>
      <c r="K352" s="74">
        <f>VLOOKUP(E352,DATABASE!C:Q,7,false)</f>
        <v>61600</v>
      </c>
      <c r="L352" s="74">
        <v>61600.0</v>
      </c>
      <c r="M352" s="74">
        <f t="shared" si="2"/>
        <v>65000</v>
      </c>
      <c r="N352" s="74">
        <f t="shared" si="3"/>
        <v>30000</v>
      </c>
      <c r="O352" s="65" t="str">
        <f>VLOOKUP(E352,DATABASE!C:Q,8,false)</f>
        <v>BIAN</v>
      </c>
      <c r="P352" s="65">
        <f>VLOOKUP(E352,DATABASE!C:Q,9,False)</f>
        <v>1</v>
      </c>
      <c r="Q352" s="93" t="str">
        <f>VLOOKUP(E352,DATABASE!C:Q,4,false)</f>
        <v>BD</v>
      </c>
      <c r="R352" s="93" t="str">
        <f>VLOOKUP(E352,DATABASE!C:Q,11,false)</f>
        <v>Tire</v>
      </c>
    </row>
    <row r="353" ht="22.5" customHeight="1">
      <c r="A353" s="49"/>
      <c r="C353" s="384">
        <v>45679.0</v>
      </c>
      <c r="D353" s="93">
        <v>4030.0</v>
      </c>
      <c r="E353" s="445" t="s">
        <v>1541</v>
      </c>
      <c r="F353" s="386">
        <v>2.0</v>
      </c>
      <c r="G353" s="74">
        <v>890000.0</v>
      </c>
      <c r="H353" s="74">
        <v>0.0</v>
      </c>
      <c r="I353" s="74">
        <f t="shared" si="1"/>
        <v>1780000</v>
      </c>
      <c r="J353" s="74">
        <f>IF(E353="SERVICE",I353-(I353*50%),Vlookup(E353,DATABASE!C:Q,10,false)*F353)</f>
        <v>0</v>
      </c>
      <c r="K353" s="74">
        <f>VLOOKUP(E353,DATABASE!C:Q,7,false)</f>
        <v>818000</v>
      </c>
      <c r="L353" s="74">
        <v>818000.0</v>
      </c>
      <c r="M353" s="74">
        <f t="shared" si="2"/>
        <v>820000</v>
      </c>
      <c r="N353" s="74">
        <f t="shared" si="3"/>
        <v>140000</v>
      </c>
      <c r="O353" s="65" t="str">
        <f>VLOOKUP(E353,DATABASE!C:Q,8,false)</f>
        <v>IBU</v>
      </c>
      <c r="P353" s="65">
        <f>VLOOKUP(E353,DATABASE!C:Q,9,False)</f>
        <v>1</v>
      </c>
      <c r="Q353" s="93" t="str">
        <f>VLOOKUP(E353,DATABASE!C:Q,4,false)</f>
        <v>Dunlop</v>
      </c>
      <c r="R353" s="93" t="str">
        <f>VLOOKUP(E353,DATABASE!C:Q,11,false)</f>
        <v>Tire</v>
      </c>
    </row>
    <row r="354" ht="22.5" customHeight="1">
      <c r="A354" s="49"/>
      <c r="C354" s="384">
        <v>45679.0</v>
      </c>
      <c r="D354" s="93">
        <v>4030.0</v>
      </c>
      <c r="E354" s="385" t="s">
        <v>299</v>
      </c>
      <c r="F354" s="386">
        <v>2.0</v>
      </c>
      <c r="G354" s="74">
        <v>30000.0</v>
      </c>
      <c r="H354" s="74">
        <v>0.0</v>
      </c>
      <c r="I354" s="74">
        <f t="shared" si="1"/>
        <v>60000</v>
      </c>
      <c r="J354" s="74">
        <f>IF(E354="SERVICE",I354-(I354*50%),Vlookup(E354,DATABASE!C:Q,10,false)*F354)</f>
        <v>0</v>
      </c>
      <c r="K354" s="74">
        <v>0.0</v>
      </c>
      <c r="L354" s="74">
        <v>0.0</v>
      </c>
      <c r="M354" s="74">
        <f t="shared" si="2"/>
        <v>0</v>
      </c>
      <c r="N354" s="74">
        <f t="shared" si="3"/>
        <v>60000</v>
      </c>
      <c r="O354" s="65" t="str">
        <f>VLOOKUP(E354,DATABASE!C:Q,8,false)</f>
        <v>BIAN</v>
      </c>
      <c r="P354" s="65">
        <f>VLOOKUP(E354,DATABASE!C:Q,9,False)</f>
        <v>0</v>
      </c>
      <c r="Q354" s="93" t="str">
        <f>VLOOKUP(E354,DATABASE!C:Q,4,false)</f>
        <v>Balancing</v>
      </c>
      <c r="R354" s="93" t="str">
        <f>VLOOKUP(E354,DATABASE!C:Q,11,false)</f>
        <v>COMPLEMENTARY</v>
      </c>
    </row>
    <row r="355" ht="22.5" customHeight="1">
      <c r="A355" s="49"/>
      <c r="C355" s="384">
        <v>45679.0</v>
      </c>
      <c r="D355" s="93">
        <v>4030.0</v>
      </c>
      <c r="E355" s="385" t="s">
        <v>256</v>
      </c>
      <c r="F355" s="386">
        <v>1.0</v>
      </c>
      <c r="G355" s="74">
        <v>130000.0</v>
      </c>
      <c r="H355" s="74">
        <v>0.0</v>
      </c>
      <c r="I355" s="74">
        <f t="shared" si="1"/>
        <v>130000</v>
      </c>
      <c r="J355" s="74">
        <f>IF(E355="SERVICE",I355-(I355*50%),Vlookup(E355,DATABASE!C:Q,10,false)*F355)</f>
        <v>10000</v>
      </c>
      <c r="K355" s="74">
        <f>VLOOKUP(E355,DATABASE!C:Q,7,false)</f>
        <v>0</v>
      </c>
      <c r="L355" s="74">
        <v>0.0</v>
      </c>
      <c r="M355" s="74">
        <f t="shared" si="2"/>
        <v>0</v>
      </c>
      <c r="N355" s="74">
        <f t="shared" si="3"/>
        <v>120000</v>
      </c>
      <c r="O355" s="65" t="str">
        <f>VLOOKUP(E355,DATABASE!C:Q,8,false)</f>
        <v>IBU</v>
      </c>
      <c r="P355" s="65">
        <f>VLOOKUP(E355,DATABASE!C:Q,9,False)</f>
        <v>0</v>
      </c>
      <c r="Q355" s="93" t="str">
        <f>VLOOKUP(E355,DATABASE!C:Q,4,false)</f>
        <v>SPOORING</v>
      </c>
      <c r="R355" s="93" t="str">
        <f>VLOOKUP(E355,DATABASE!C:Q,11,false)</f>
        <v>SERVICE</v>
      </c>
    </row>
    <row r="356" ht="22.5" customHeight="1">
      <c r="A356" s="49"/>
      <c r="C356" s="384">
        <v>45679.0</v>
      </c>
      <c r="D356" s="93">
        <v>4031.0</v>
      </c>
      <c r="E356" s="385" t="s">
        <v>1784</v>
      </c>
      <c r="F356" s="386">
        <v>1.0</v>
      </c>
      <c r="G356" s="74">
        <v>620000.0</v>
      </c>
      <c r="H356" s="74">
        <v>0.0</v>
      </c>
      <c r="I356" s="74">
        <f t="shared" si="1"/>
        <v>620000</v>
      </c>
      <c r="J356" s="74">
        <f>IF(E356="SERVICE",I356-(I356*50%),Vlookup(E356,DATABASE!C:Q,10,false)*F356)</f>
        <v>0</v>
      </c>
      <c r="K356" s="74">
        <f>VLOOKUP(E356,DATABASE!C:Q,7,false)</f>
        <v>530580</v>
      </c>
      <c r="L356" s="74">
        <v>530580.0</v>
      </c>
      <c r="M356" s="74">
        <f t="shared" si="2"/>
        <v>535000</v>
      </c>
      <c r="N356" s="74">
        <f t="shared" si="3"/>
        <v>85000</v>
      </c>
      <c r="O356" s="65" t="str">
        <f>VLOOKUP(E356,DATABASE!C:Q,8,false)</f>
        <v>BIAN</v>
      </c>
      <c r="P356" s="65">
        <f>VLOOKUP(E356,DATABASE!C:Q,9,False)</f>
        <v>1</v>
      </c>
      <c r="Q356" s="93" t="str">
        <f>VLOOKUP(E356,DATABASE!C:Q,4,false)</f>
        <v>Forceum</v>
      </c>
      <c r="R356" s="93" t="str">
        <f>VLOOKUP(E356,DATABASE!C:Q,11,false)</f>
        <v>Tire</v>
      </c>
    </row>
    <row r="357" ht="22.5" customHeight="1">
      <c r="A357" s="49"/>
      <c r="C357" s="384">
        <v>45679.0</v>
      </c>
      <c r="D357" s="93">
        <v>4032.0</v>
      </c>
      <c r="E357" s="445" t="s">
        <v>256</v>
      </c>
      <c r="F357" s="386">
        <v>1.0</v>
      </c>
      <c r="G357" s="74">
        <v>130000.0</v>
      </c>
      <c r="H357" s="74">
        <v>0.0</v>
      </c>
      <c r="I357" s="74">
        <f t="shared" si="1"/>
        <v>130000</v>
      </c>
      <c r="J357" s="74">
        <f>IF(E357="SERVICE",I357-(I357*50%),Vlookup(E357,DATABASE!C:Q,10,false)*F357)</f>
        <v>10000</v>
      </c>
      <c r="K357" s="74">
        <f>VLOOKUP(E357,DATABASE!C:Q,7,false)</f>
        <v>0</v>
      </c>
      <c r="L357" s="74">
        <v>0.0</v>
      </c>
      <c r="M357" s="74">
        <f t="shared" si="2"/>
        <v>0</v>
      </c>
      <c r="N357" s="74">
        <f t="shared" si="3"/>
        <v>120000</v>
      </c>
      <c r="O357" s="65" t="str">
        <f>VLOOKUP(E357,DATABASE!C:Q,8,false)</f>
        <v>IBU</v>
      </c>
      <c r="P357" s="65">
        <f>VLOOKUP(E357,DATABASE!C:Q,9,False)</f>
        <v>0</v>
      </c>
      <c r="Q357" s="93" t="str">
        <f>VLOOKUP(E357,DATABASE!C:Q,4,false)</f>
        <v>SPOORING</v>
      </c>
      <c r="R357" s="93" t="str">
        <f>VLOOKUP(E357,DATABASE!C:Q,11,false)</f>
        <v>SERVICE</v>
      </c>
    </row>
    <row r="358" ht="22.5" customHeight="1">
      <c r="A358" s="49"/>
      <c r="C358" s="384">
        <v>45679.0</v>
      </c>
      <c r="D358" s="93">
        <v>4033.0</v>
      </c>
      <c r="E358" s="385" t="s">
        <v>268</v>
      </c>
      <c r="F358" s="386">
        <v>2.0</v>
      </c>
      <c r="G358" s="74">
        <v>685000.0</v>
      </c>
      <c r="H358" s="74">
        <v>0.0</v>
      </c>
      <c r="I358" s="74">
        <f t="shared" si="1"/>
        <v>1370000</v>
      </c>
      <c r="J358" s="74">
        <f>IF(E358="SERVICE",I358-(I358*50%),Vlookup(E358,DATABASE!C:Q,10,false)*F358)</f>
        <v>0</v>
      </c>
      <c r="K358" s="74">
        <v>613000.0</v>
      </c>
      <c r="L358" s="74">
        <v>613000.0</v>
      </c>
      <c r="M358" s="74">
        <f t="shared" si="2"/>
        <v>615000</v>
      </c>
      <c r="N358" s="74">
        <f t="shared" si="3"/>
        <v>140000</v>
      </c>
      <c r="O358" s="65" t="str">
        <f>VLOOKUP(E358,DATABASE!C:Q,8,false)</f>
        <v>IBU</v>
      </c>
      <c r="P358" s="65">
        <f>VLOOKUP(E358,DATABASE!C:Q,9,False)</f>
        <v>1</v>
      </c>
      <c r="Q358" s="93" t="str">
        <f>VLOOKUP(E358,DATABASE!C:Q,4,false)</f>
        <v>Dunlop</v>
      </c>
      <c r="R358" s="93" t="str">
        <f>VLOOKUP(E358,DATABASE!C:Q,11,false)</f>
        <v>Tire</v>
      </c>
    </row>
    <row r="359" ht="22.5" customHeight="1">
      <c r="A359" s="49"/>
      <c r="C359" s="384">
        <v>45679.0</v>
      </c>
      <c r="D359" s="93">
        <v>4034.0</v>
      </c>
      <c r="E359" s="445" t="s">
        <v>256</v>
      </c>
      <c r="F359" s="386">
        <v>1.0</v>
      </c>
      <c r="G359" s="74">
        <v>130000.0</v>
      </c>
      <c r="H359" s="74">
        <v>0.0</v>
      </c>
      <c r="I359" s="74">
        <f t="shared" si="1"/>
        <v>130000</v>
      </c>
      <c r="J359" s="74">
        <f>IF(E359="SERVICE",I359-(I359*50%),Vlookup(E359,DATABASE!C:Q,10,false)*F359)</f>
        <v>10000</v>
      </c>
      <c r="K359" s="74">
        <f>VLOOKUP(E359,DATABASE!C:Q,7,false)</f>
        <v>0</v>
      </c>
      <c r="L359" s="74">
        <v>0.0</v>
      </c>
      <c r="M359" s="74">
        <f t="shared" si="2"/>
        <v>0</v>
      </c>
      <c r="N359" s="74">
        <f t="shared" si="3"/>
        <v>120000</v>
      </c>
      <c r="O359" s="65" t="str">
        <f>VLOOKUP(E359,DATABASE!C:Q,8,false)</f>
        <v>IBU</v>
      </c>
      <c r="P359" s="65">
        <f>VLOOKUP(E359,DATABASE!C:Q,9,False)</f>
        <v>0</v>
      </c>
      <c r="Q359" s="93" t="str">
        <f>VLOOKUP(E359,DATABASE!C:Q,4,false)</f>
        <v>SPOORING</v>
      </c>
      <c r="R359" s="93" t="str">
        <f>VLOOKUP(E359,DATABASE!C:Q,11,false)</f>
        <v>SERVICE</v>
      </c>
    </row>
    <row r="360" ht="22.5" customHeight="1">
      <c r="A360" s="49"/>
      <c r="C360" s="384">
        <v>45679.0</v>
      </c>
      <c r="D360" s="93">
        <v>4034.0</v>
      </c>
      <c r="E360" s="445" t="s">
        <v>301</v>
      </c>
      <c r="F360" s="386">
        <v>1.0</v>
      </c>
      <c r="G360" s="74">
        <v>250000.0</v>
      </c>
      <c r="H360" s="74">
        <v>0.0</v>
      </c>
      <c r="I360" s="74">
        <f t="shared" si="1"/>
        <v>250000</v>
      </c>
      <c r="J360" s="74">
        <f>IF(E360="SERVICE",I360-(I360*50%),Vlookup(E360,DATABASE!C:Q,10,false)*F360)</f>
        <v>75000</v>
      </c>
      <c r="K360" s="74">
        <f>VLOOKUP(E360,DATABASE!C:Q,7,false)</f>
        <v>75000</v>
      </c>
      <c r="L360" s="74">
        <v>75000.0</v>
      </c>
      <c r="M360" s="74">
        <f t="shared" si="2"/>
        <v>75000</v>
      </c>
      <c r="N360" s="74">
        <f t="shared" si="3"/>
        <v>100000</v>
      </c>
      <c r="O360" s="65" t="str">
        <f>VLOOKUP(E360,DATABASE!C:Q,8,false)</f>
        <v>BIAN</v>
      </c>
      <c r="P360" s="65">
        <f>VLOOKUP(E360,DATABASE!C:Q,9,False)</f>
        <v>0</v>
      </c>
      <c r="Q360" s="93" t="str">
        <f>VLOOKUP(E360,DATABASE!C:Q,4,false)</f>
        <v>Baut Camber</v>
      </c>
      <c r="R360" s="93" t="str">
        <f>VLOOKUP(E360,DATABASE!C:Q,11,false)</f>
        <v>COMPLEMENTARY</v>
      </c>
    </row>
    <row r="361" ht="22.5" customHeight="1">
      <c r="A361" s="49"/>
      <c r="C361" s="384">
        <v>45679.0</v>
      </c>
      <c r="D361" s="93">
        <v>4035.0</v>
      </c>
      <c r="E361" s="445" t="s">
        <v>706</v>
      </c>
      <c r="F361" s="386">
        <v>13.0</v>
      </c>
      <c r="G361" s="74">
        <v>580000.0</v>
      </c>
      <c r="H361" s="74">
        <v>0.0</v>
      </c>
      <c r="I361" s="74">
        <f t="shared" si="1"/>
        <v>7540000</v>
      </c>
      <c r="J361" s="74">
        <f>IF(E361="SERVICE",I361-(I361*50%),Vlookup(E361,DATABASE!C:Q,10,false)*F361)</f>
        <v>0</v>
      </c>
      <c r="K361" s="74">
        <f>VLOOKUP(E361,DATABASE!C:Q,7,false)</f>
        <v>485000</v>
      </c>
      <c r="L361" s="74">
        <v>485000.0</v>
      </c>
      <c r="M361" s="74">
        <f t="shared" si="2"/>
        <v>485000</v>
      </c>
      <c r="N361" s="74">
        <f t="shared" si="3"/>
        <v>1235000</v>
      </c>
      <c r="O361" s="65" t="str">
        <f>VLOOKUP(E361,DATABASE!C:Q,8,false)</f>
        <v>IBU</v>
      </c>
      <c r="P361" s="65">
        <f>VLOOKUP(E361,DATABASE!C:Q,9,False)</f>
        <v>1</v>
      </c>
      <c r="Q361" s="93" t="str">
        <f>VLOOKUP(E361,DATABASE!C:Q,4,false)</f>
        <v>Dunlop</v>
      </c>
      <c r="R361" s="93" t="str">
        <f>VLOOKUP(E361,DATABASE!C:Q,11,false)</f>
        <v>Tire</v>
      </c>
    </row>
    <row r="362" ht="22.5" customHeight="1">
      <c r="A362" s="49"/>
      <c r="C362" s="384">
        <v>45679.0</v>
      </c>
      <c r="D362" s="93">
        <v>4036.0</v>
      </c>
      <c r="E362" s="445" t="s">
        <v>695</v>
      </c>
      <c r="F362" s="386">
        <v>1.0</v>
      </c>
      <c r="G362" s="74">
        <v>630000.0</v>
      </c>
      <c r="H362" s="74">
        <v>0.0</v>
      </c>
      <c r="I362" s="74">
        <f t="shared" si="1"/>
        <v>630000</v>
      </c>
      <c r="J362" s="74">
        <f>IF(E362="SERVICE",I362-(I362*50%),Vlookup(E362,DATABASE!C:Q,10,false)*F362)</f>
        <v>0</v>
      </c>
      <c r="K362" s="74">
        <f>VLOOKUP(E362,DATABASE!C:Q,7,false)</f>
        <v>582000</v>
      </c>
      <c r="L362" s="74">
        <v>570000.0</v>
      </c>
      <c r="M362" s="74">
        <f t="shared" si="2"/>
        <v>570000</v>
      </c>
      <c r="N362" s="74">
        <f t="shared" si="3"/>
        <v>60000</v>
      </c>
      <c r="O362" s="65" t="str">
        <f>VLOOKUP(E362,DATABASE!C:Q,8,false)</f>
        <v>IBU</v>
      </c>
      <c r="P362" s="65">
        <f>VLOOKUP(E362,DATABASE!C:Q,9,False)</f>
        <v>1</v>
      </c>
      <c r="Q362" s="93" t="str">
        <f>VLOOKUP(E362,DATABASE!C:Q,4,false)</f>
        <v>Dunlop</v>
      </c>
      <c r="R362" s="93" t="str">
        <f>VLOOKUP(E362,DATABASE!C:Q,11,false)</f>
        <v>Tire</v>
      </c>
    </row>
    <row r="363" ht="22.5" customHeight="1">
      <c r="A363" s="49"/>
      <c r="C363" s="384">
        <v>45679.0</v>
      </c>
      <c r="D363" s="93">
        <v>4037.0</v>
      </c>
      <c r="E363" s="385" t="s">
        <v>299</v>
      </c>
      <c r="F363" s="386">
        <v>2.0</v>
      </c>
      <c r="G363" s="74">
        <v>30000.0</v>
      </c>
      <c r="H363" s="74">
        <v>0.0</v>
      </c>
      <c r="I363" s="74">
        <f t="shared" si="1"/>
        <v>60000</v>
      </c>
      <c r="J363" s="74">
        <f>IF(E363="SERVICE",I363-(I363*50%),Vlookup(E363,DATABASE!C:Q,10,false)*F363)</f>
        <v>0</v>
      </c>
      <c r="K363" s="74">
        <v>0.0</v>
      </c>
      <c r="L363" s="74">
        <v>0.0</v>
      </c>
      <c r="M363" s="74">
        <f t="shared" si="2"/>
        <v>0</v>
      </c>
      <c r="N363" s="74">
        <f t="shared" si="3"/>
        <v>60000</v>
      </c>
      <c r="O363" s="65" t="str">
        <f>VLOOKUP(E363,DATABASE!C:Q,8,false)</f>
        <v>BIAN</v>
      </c>
      <c r="P363" s="65">
        <f>VLOOKUP(E363,DATABASE!C:Q,9,False)</f>
        <v>0</v>
      </c>
      <c r="Q363" s="93" t="str">
        <f>VLOOKUP(E363,DATABASE!C:Q,4,false)</f>
        <v>Balancing</v>
      </c>
      <c r="R363" s="93" t="str">
        <f>VLOOKUP(E363,DATABASE!C:Q,11,false)</f>
        <v>COMPLEMENTARY</v>
      </c>
    </row>
    <row r="364" ht="22.5" customHeight="1">
      <c r="A364" s="49"/>
      <c r="C364" s="384">
        <v>45679.0</v>
      </c>
      <c r="D364" s="93">
        <v>4038.0</v>
      </c>
      <c r="E364" s="385" t="s">
        <v>932</v>
      </c>
      <c r="F364" s="386">
        <v>1.0</v>
      </c>
      <c r="G364" s="74">
        <v>660000.0</v>
      </c>
      <c r="H364" s="74">
        <v>0.0</v>
      </c>
      <c r="I364" s="74">
        <f t="shared" si="1"/>
        <v>660000</v>
      </c>
      <c r="J364" s="74">
        <f>IF(E364="SERVICE",I364-(I364*50%),Vlookup(E364,DATABASE!C:Q,10,false)*F364)</f>
        <v>0</v>
      </c>
      <c r="K364" s="74">
        <v>575000.0</v>
      </c>
      <c r="L364" s="74">
        <v>575000.0</v>
      </c>
      <c r="M364" s="74">
        <f t="shared" si="2"/>
        <v>575000</v>
      </c>
      <c r="N364" s="74">
        <f t="shared" si="3"/>
        <v>85000</v>
      </c>
      <c r="O364" s="65" t="str">
        <f>VLOOKUP(E364,DATABASE!C:Q,8,false)</f>
        <v>IBU</v>
      </c>
      <c r="P364" s="65">
        <f>VLOOKUP(E364,DATABASE!C:Q,9,False)</f>
        <v>1</v>
      </c>
      <c r="Q364" s="93" t="str">
        <f>VLOOKUP(E364,DATABASE!C:Q,4,false)</f>
        <v>Dunlop</v>
      </c>
      <c r="R364" s="93" t="str">
        <f>VLOOKUP(E364,DATABASE!C:Q,11,false)</f>
        <v>Tire</v>
      </c>
    </row>
    <row r="365" ht="22.5" customHeight="1">
      <c r="A365" s="49"/>
      <c r="C365" s="384">
        <v>45679.0</v>
      </c>
      <c r="D365" s="93">
        <v>4039.0</v>
      </c>
      <c r="E365" s="385" t="s">
        <v>256</v>
      </c>
      <c r="F365" s="386">
        <v>1.0</v>
      </c>
      <c r="G365" s="74">
        <v>130000.0</v>
      </c>
      <c r="H365" s="74">
        <v>0.0</v>
      </c>
      <c r="I365" s="74">
        <f t="shared" si="1"/>
        <v>130000</v>
      </c>
      <c r="J365" s="74">
        <f>IF(E365="SERVICE",I365-(I365*50%),Vlookup(E365,DATABASE!C:Q,10,false)*F365)</f>
        <v>10000</v>
      </c>
      <c r="K365" s="74">
        <f>VLOOKUP(E365,DATABASE!C:Q,7,false)</f>
        <v>0</v>
      </c>
      <c r="L365" s="74">
        <v>0.0</v>
      </c>
      <c r="M365" s="74">
        <f t="shared" si="2"/>
        <v>0</v>
      </c>
      <c r="N365" s="74">
        <f t="shared" si="3"/>
        <v>120000</v>
      </c>
      <c r="O365" s="65" t="str">
        <f>VLOOKUP(E365,DATABASE!C:Q,8,false)</f>
        <v>IBU</v>
      </c>
      <c r="P365" s="65">
        <f>VLOOKUP(E365,DATABASE!C:Q,9,False)</f>
        <v>0</v>
      </c>
      <c r="Q365" s="93" t="str">
        <f>VLOOKUP(E365,DATABASE!C:Q,4,false)</f>
        <v>SPOORING</v>
      </c>
      <c r="R365" s="93" t="str">
        <f>VLOOKUP(E365,DATABASE!C:Q,11,false)</f>
        <v>SERVICE</v>
      </c>
    </row>
    <row r="366" ht="22.5" customHeight="1">
      <c r="A366" s="49"/>
      <c r="C366" s="384">
        <v>45679.0</v>
      </c>
      <c r="D366" s="93">
        <v>4039.0</v>
      </c>
      <c r="E366" s="385" t="s">
        <v>301</v>
      </c>
      <c r="F366" s="386">
        <v>1.0</v>
      </c>
      <c r="G366" s="74">
        <v>250000.0</v>
      </c>
      <c r="H366" s="74">
        <v>0.0</v>
      </c>
      <c r="I366" s="74">
        <f t="shared" si="1"/>
        <v>250000</v>
      </c>
      <c r="J366" s="74">
        <f>IF(E366="SERVICE",I366-(I366*50%),Vlookup(E366,DATABASE!C:Q,10,false)*F366)</f>
        <v>75000</v>
      </c>
      <c r="K366" s="74">
        <f>VLOOKUP(E366,DATABASE!C:Q,7,false)</f>
        <v>75000</v>
      </c>
      <c r="L366" s="74">
        <v>75000.0</v>
      </c>
      <c r="M366" s="74">
        <f t="shared" si="2"/>
        <v>75000</v>
      </c>
      <c r="N366" s="74">
        <f t="shared" si="3"/>
        <v>100000</v>
      </c>
      <c r="O366" s="65" t="str">
        <f>VLOOKUP(E366,DATABASE!C:Q,8,false)</f>
        <v>BIAN</v>
      </c>
      <c r="P366" s="65">
        <f>VLOOKUP(E366,DATABASE!C:Q,9,False)</f>
        <v>0</v>
      </c>
      <c r="Q366" s="93" t="str">
        <f>VLOOKUP(E366,DATABASE!C:Q,4,false)</f>
        <v>Baut Camber</v>
      </c>
      <c r="R366" s="93" t="str">
        <f>VLOOKUP(E366,DATABASE!C:Q,11,false)</f>
        <v>COMPLEMENTARY</v>
      </c>
    </row>
    <row r="367" ht="22.5" customHeight="1">
      <c r="A367" s="49"/>
      <c r="C367" s="384">
        <v>45679.0</v>
      </c>
      <c r="D367" s="93">
        <v>4039.0</v>
      </c>
      <c r="E367" s="385" t="s">
        <v>299</v>
      </c>
      <c r="F367" s="386">
        <v>2.0</v>
      </c>
      <c r="G367" s="74">
        <v>30000.0</v>
      </c>
      <c r="H367" s="74">
        <v>0.0</v>
      </c>
      <c r="I367" s="74">
        <f t="shared" si="1"/>
        <v>60000</v>
      </c>
      <c r="J367" s="74">
        <f>IF(E367="SERVICE",I367-(I367*50%),Vlookup(E367,DATABASE!C:Q,10,false)*F367)</f>
        <v>0</v>
      </c>
      <c r="K367" s="74">
        <v>0.0</v>
      </c>
      <c r="L367" s="74">
        <v>0.0</v>
      </c>
      <c r="M367" s="74">
        <f t="shared" si="2"/>
        <v>0</v>
      </c>
      <c r="N367" s="74">
        <f t="shared" si="3"/>
        <v>60000</v>
      </c>
      <c r="O367" s="65" t="str">
        <f>VLOOKUP(E367,DATABASE!C:Q,8,false)</f>
        <v>BIAN</v>
      </c>
      <c r="P367" s="65">
        <f>VLOOKUP(E367,DATABASE!C:Q,9,False)</f>
        <v>0</v>
      </c>
      <c r="Q367" s="93" t="str">
        <f>VLOOKUP(E367,DATABASE!C:Q,4,false)</f>
        <v>Balancing</v>
      </c>
      <c r="R367" s="93" t="str">
        <f>VLOOKUP(E367,DATABASE!C:Q,11,false)</f>
        <v>COMPLEMENTARY</v>
      </c>
    </row>
    <row r="368" ht="22.5" customHeight="1">
      <c r="A368" s="49"/>
      <c r="C368" s="384">
        <v>45680.0</v>
      </c>
      <c r="D368" s="93">
        <v>4040.0</v>
      </c>
      <c r="E368" s="385" t="s">
        <v>566</v>
      </c>
      <c r="F368" s="386">
        <v>1.0</v>
      </c>
      <c r="G368" s="74">
        <v>1670000.0</v>
      </c>
      <c r="H368" s="74">
        <v>0.0</v>
      </c>
      <c r="I368" s="74">
        <f t="shared" si="1"/>
        <v>1670000</v>
      </c>
      <c r="J368" s="74">
        <f>IF(E368="SERVICE",I368-(I368*50%),Vlookup(E368,DATABASE!C:Q,10,false)*F368)</f>
        <v>0</v>
      </c>
      <c r="K368" s="140">
        <v>1570000.0</v>
      </c>
      <c r="L368" s="140">
        <v>1570000.0</v>
      </c>
      <c r="M368" s="74">
        <f t="shared" si="2"/>
        <v>1570000</v>
      </c>
      <c r="N368" s="74">
        <f t="shared" si="3"/>
        <v>100000</v>
      </c>
      <c r="O368" s="65" t="str">
        <f>VLOOKUP(E368,DATABASE!C:Q,8,false)</f>
        <v>IBU</v>
      </c>
      <c r="P368" s="65">
        <f>VLOOKUP(E368,DATABASE!C:Q,9,False)</f>
        <v>1</v>
      </c>
      <c r="Q368" s="93" t="str">
        <f>VLOOKUP(E368,DATABASE!C:Q,4,false)</f>
        <v>Bridgestone</v>
      </c>
      <c r="R368" s="93" t="str">
        <f>VLOOKUP(E368,DATABASE!C:Q,11,false)</f>
        <v>Tire</v>
      </c>
    </row>
    <row r="369" ht="22.5" customHeight="1">
      <c r="A369" s="49"/>
      <c r="C369" s="384">
        <v>45680.0</v>
      </c>
      <c r="D369" s="93">
        <v>4041.0</v>
      </c>
      <c r="E369" s="445" t="s">
        <v>1962</v>
      </c>
      <c r="F369" s="386">
        <v>2.0</v>
      </c>
      <c r="G369" s="74">
        <v>840000.0</v>
      </c>
      <c r="H369" s="74">
        <v>0.0</v>
      </c>
      <c r="I369" s="74">
        <f t="shared" si="1"/>
        <v>1680000</v>
      </c>
      <c r="J369" s="74">
        <f>IF(E369="SERVICE",I369-(I369*50%),Vlookup(E369,DATABASE!C:Q,10,false)*F369)</f>
        <v>0</v>
      </c>
      <c r="K369" s="74">
        <f>VLOOKUP(E369,DATABASE!C:Q,7,false)</f>
        <v>727260</v>
      </c>
      <c r="L369" s="74">
        <v>727260.0</v>
      </c>
      <c r="M369" s="74">
        <f t="shared" si="2"/>
        <v>730000</v>
      </c>
      <c r="N369" s="74">
        <f t="shared" si="3"/>
        <v>220000</v>
      </c>
      <c r="O369" s="65" t="str">
        <f>VLOOKUP(E369,DATABASE!C:Q,8,false)</f>
        <v>BIAN</v>
      </c>
      <c r="P369" s="65">
        <f>VLOOKUP(E369,DATABASE!C:Q,9,False)</f>
        <v>1</v>
      </c>
      <c r="Q369" s="93" t="str">
        <f>VLOOKUP(E369,DATABASE!C:Q,4,false)</f>
        <v>GT</v>
      </c>
      <c r="R369" s="93" t="str">
        <f>VLOOKUP(E369,DATABASE!C:Q,11,false)</f>
        <v>Tire</v>
      </c>
    </row>
    <row r="370" ht="22.5" customHeight="1">
      <c r="A370" s="49"/>
      <c r="C370" s="384">
        <v>45680.0</v>
      </c>
      <c r="D370" s="93">
        <v>4042.0</v>
      </c>
      <c r="E370" s="445" t="s">
        <v>256</v>
      </c>
      <c r="F370" s="386">
        <v>1.0</v>
      </c>
      <c r="G370" s="74">
        <v>130000.0</v>
      </c>
      <c r="H370" s="74">
        <v>0.0</v>
      </c>
      <c r="I370" s="74">
        <f t="shared" si="1"/>
        <v>130000</v>
      </c>
      <c r="J370" s="74">
        <f>IF(E370="SERVICE",I370-(I370*50%),Vlookup(E370,DATABASE!C:Q,10,false)*F370)</f>
        <v>10000</v>
      </c>
      <c r="K370" s="74">
        <f>VLOOKUP(E370,DATABASE!C:Q,7,false)</f>
        <v>0</v>
      </c>
      <c r="L370" s="74">
        <v>0.0</v>
      </c>
      <c r="M370" s="74">
        <f t="shared" si="2"/>
        <v>0</v>
      </c>
      <c r="N370" s="74">
        <f t="shared" si="3"/>
        <v>120000</v>
      </c>
      <c r="O370" s="65" t="str">
        <f>VLOOKUP(E370,DATABASE!C:Q,8,false)</f>
        <v>IBU</v>
      </c>
      <c r="P370" s="65">
        <f>VLOOKUP(E370,DATABASE!C:Q,9,False)</f>
        <v>0</v>
      </c>
      <c r="Q370" s="93" t="str">
        <f>VLOOKUP(E370,DATABASE!C:Q,4,false)</f>
        <v>SPOORING</v>
      </c>
      <c r="R370" s="93" t="str">
        <f>VLOOKUP(E370,DATABASE!C:Q,11,false)</f>
        <v>SERVICE</v>
      </c>
    </row>
    <row r="371" ht="22.5" customHeight="1">
      <c r="A371" s="49"/>
      <c r="C371" s="384">
        <v>45680.0</v>
      </c>
      <c r="D371" s="93">
        <v>4042.0</v>
      </c>
      <c r="E371" s="385" t="s">
        <v>299</v>
      </c>
      <c r="F371" s="386">
        <v>2.0</v>
      </c>
      <c r="G371" s="74">
        <v>30000.0</v>
      </c>
      <c r="H371" s="74">
        <v>0.0</v>
      </c>
      <c r="I371" s="74">
        <f t="shared" si="1"/>
        <v>60000</v>
      </c>
      <c r="J371" s="74">
        <f>IF(E371="SERVICE",I371-(I371*50%),Vlookup(E371,DATABASE!C:Q,10,false)*F371)</f>
        <v>0</v>
      </c>
      <c r="K371" s="74">
        <v>0.0</v>
      </c>
      <c r="L371" s="74">
        <v>0.0</v>
      </c>
      <c r="M371" s="74">
        <f t="shared" si="2"/>
        <v>0</v>
      </c>
      <c r="N371" s="74">
        <f t="shared" si="3"/>
        <v>60000</v>
      </c>
      <c r="O371" s="65" t="str">
        <f>VLOOKUP(E371,DATABASE!C:Q,8,false)</f>
        <v>BIAN</v>
      </c>
      <c r="P371" s="65">
        <f>VLOOKUP(E371,DATABASE!C:Q,9,False)</f>
        <v>0</v>
      </c>
      <c r="Q371" s="93" t="str">
        <f>VLOOKUP(E371,DATABASE!C:Q,4,false)</f>
        <v>Balancing</v>
      </c>
      <c r="R371" s="93" t="str">
        <f>VLOOKUP(E371,DATABASE!C:Q,11,false)</f>
        <v>COMPLEMENTARY</v>
      </c>
    </row>
    <row r="372" ht="22.5" customHeight="1">
      <c r="A372" s="49"/>
      <c r="C372" s="384">
        <v>45680.0</v>
      </c>
      <c r="D372" s="93">
        <v>4043.0</v>
      </c>
      <c r="E372" s="445" t="s">
        <v>271</v>
      </c>
      <c r="F372" s="386">
        <v>1.0</v>
      </c>
      <c r="G372" s="74">
        <v>620000.0</v>
      </c>
      <c r="H372" s="74">
        <v>0.0</v>
      </c>
      <c r="I372" s="74">
        <f t="shared" si="1"/>
        <v>620000</v>
      </c>
      <c r="J372" s="74">
        <f>IF(E372="SERVICE",I372-(I372*50%),Vlookup(E372,DATABASE!C:Q,10,false)*F372)</f>
        <v>0</v>
      </c>
      <c r="K372" s="74">
        <f>VLOOKUP(E372,DATABASE!C:Q,7,false)</f>
        <v>570000</v>
      </c>
      <c r="L372" s="74">
        <v>539000.0</v>
      </c>
      <c r="M372" s="74">
        <f t="shared" si="2"/>
        <v>540000</v>
      </c>
      <c r="N372" s="74">
        <f t="shared" si="3"/>
        <v>80000</v>
      </c>
      <c r="O372" s="65" t="str">
        <f>VLOOKUP(E372,DATABASE!C:Q,8,false)</f>
        <v>IBU</v>
      </c>
      <c r="P372" s="65">
        <f>VLOOKUP(E372,DATABASE!C:Q,9,False)</f>
        <v>1</v>
      </c>
      <c r="Q372" s="93" t="str">
        <f>VLOOKUP(E372,DATABASE!C:Q,4,false)</f>
        <v>Dunlop</v>
      </c>
      <c r="R372" s="93" t="str">
        <f>VLOOKUP(E372,DATABASE!C:Q,11,false)</f>
        <v>Tire</v>
      </c>
    </row>
    <row r="373" ht="22.5" customHeight="1">
      <c r="A373" s="49"/>
      <c r="C373" s="384">
        <v>45680.0</v>
      </c>
      <c r="D373" s="93">
        <v>4044.0</v>
      </c>
      <c r="E373" s="445" t="s">
        <v>275</v>
      </c>
      <c r="F373" s="386">
        <v>2.0</v>
      </c>
      <c r="G373" s="74">
        <v>825000.0</v>
      </c>
      <c r="H373" s="74">
        <v>0.0</v>
      </c>
      <c r="I373" s="74">
        <f t="shared" si="1"/>
        <v>1650000</v>
      </c>
      <c r="J373" s="74">
        <f>IF(E373="SERVICE",I373-(I373*50%),Vlookup(E373,DATABASE!C:Q,10,false)*F373)</f>
        <v>0</v>
      </c>
      <c r="K373" s="74">
        <v>735000.0</v>
      </c>
      <c r="L373" s="74">
        <v>735000.0</v>
      </c>
      <c r="M373" s="74">
        <f t="shared" si="2"/>
        <v>735000</v>
      </c>
      <c r="N373" s="74">
        <f t="shared" si="3"/>
        <v>180000</v>
      </c>
      <c r="O373" s="65" t="str">
        <f>VLOOKUP(E373,DATABASE!C:Q,8,false)</f>
        <v>IBU</v>
      </c>
      <c r="P373" s="65">
        <f>VLOOKUP(E373,DATABASE!C:Q,9,False)</f>
        <v>1</v>
      </c>
      <c r="Q373" s="93" t="str">
        <f>VLOOKUP(E373,DATABASE!C:Q,4,false)</f>
        <v>Dunlop</v>
      </c>
      <c r="R373" s="93" t="str">
        <f>VLOOKUP(E373,DATABASE!C:Q,11,false)</f>
        <v>Tire</v>
      </c>
    </row>
    <row r="374" ht="22.5" customHeight="1">
      <c r="A374" s="49"/>
      <c r="C374" s="384">
        <v>45680.0</v>
      </c>
      <c r="D374" s="93">
        <v>4044.0</v>
      </c>
      <c r="E374" s="445" t="s">
        <v>256</v>
      </c>
      <c r="F374" s="386">
        <v>1.0</v>
      </c>
      <c r="G374" s="74">
        <v>130000.0</v>
      </c>
      <c r="H374" s="74">
        <v>0.0</v>
      </c>
      <c r="I374" s="74">
        <f t="shared" si="1"/>
        <v>130000</v>
      </c>
      <c r="J374" s="74">
        <f>IF(E374="SERVICE",I374-(I374*50%),Vlookup(E374,DATABASE!C:Q,10,false)*F374)</f>
        <v>10000</v>
      </c>
      <c r="K374" s="74">
        <f>VLOOKUP(E374,DATABASE!C:Q,7,false)</f>
        <v>0</v>
      </c>
      <c r="L374" s="74">
        <v>0.0</v>
      </c>
      <c r="M374" s="74">
        <f t="shared" si="2"/>
        <v>0</v>
      </c>
      <c r="N374" s="74">
        <f t="shared" si="3"/>
        <v>120000</v>
      </c>
      <c r="O374" s="65" t="str">
        <f>VLOOKUP(E374,DATABASE!C:Q,8,false)</f>
        <v>IBU</v>
      </c>
      <c r="P374" s="65">
        <f>VLOOKUP(E374,DATABASE!C:Q,9,False)</f>
        <v>0</v>
      </c>
      <c r="Q374" s="93" t="str">
        <f>VLOOKUP(E374,DATABASE!C:Q,4,false)</f>
        <v>SPOORING</v>
      </c>
      <c r="R374" s="93" t="str">
        <f>VLOOKUP(E374,DATABASE!C:Q,11,false)</f>
        <v>SERVICE</v>
      </c>
    </row>
    <row r="375" ht="22.5" customHeight="1">
      <c r="A375" s="49"/>
      <c r="C375" s="384">
        <v>45680.0</v>
      </c>
      <c r="D375" s="93">
        <v>4044.0</v>
      </c>
      <c r="E375" s="385" t="s">
        <v>251</v>
      </c>
      <c r="F375" s="386">
        <v>1.0</v>
      </c>
      <c r="G375" s="74">
        <v>250000.0</v>
      </c>
      <c r="H375" s="74">
        <v>0.0</v>
      </c>
      <c r="I375" s="74">
        <f t="shared" si="1"/>
        <v>250000</v>
      </c>
      <c r="J375" s="74">
        <f>IF(E375="SERVICE",I375-(I375*50%),Vlookup(E375,DATABASE!C:Q,10,false)*F375)</f>
        <v>125000</v>
      </c>
      <c r="K375" s="74">
        <f>VLOOKUP(E375,DATABASE!C:Q,7,false)</f>
        <v>0</v>
      </c>
      <c r="L375" s="74">
        <v>0.0</v>
      </c>
      <c r="M375" s="74">
        <f t="shared" si="2"/>
        <v>0</v>
      </c>
      <c r="N375" s="74">
        <f t="shared" si="3"/>
        <v>125000</v>
      </c>
      <c r="O375" s="65" t="str">
        <f>VLOOKUP(E375,DATABASE!C:Q,8,false)</f>
        <v>IBU</v>
      </c>
      <c r="P375" s="65">
        <f>VLOOKUP(E375,DATABASE!C:Q,9,False)</f>
        <v>0</v>
      </c>
      <c r="Q375" s="93" t="str">
        <f>VLOOKUP(E375,DATABASE!C:Q,4,false)</f>
        <v>SERVICE</v>
      </c>
      <c r="R375" s="93" t="str">
        <f>VLOOKUP(E375,DATABASE!C:Q,11,false)</f>
        <v>SERVICE</v>
      </c>
    </row>
    <row r="376" ht="22.5" customHeight="1">
      <c r="A376" s="49"/>
      <c r="C376" s="384">
        <v>45680.0</v>
      </c>
      <c r="D376" s="93">
        <v>4046.0</v>
      </c>
      <c r="E376" s="445" t="s">
        <v>2155</v>
      </c>
      <c r="F376" s="386">
        <v>1.0</v>
      </c>
      <c r="G376" s="74">
        <v>640000.0</v>
      </c>
      <c r="H376" s="74">
        <v>0.0</v>
      </c>
      <c r="I376" s="74">
        <f t="shared" si="1"/>
        <v>640000</v>
      </c>
      <c r="J376" s="74">
        <f>IF(E376="SERVICE",I376-(I376*50%),Vlookup(E376,DATABASE!C:Q,10,false)*F376)</f>
        <v>0</v>
      </c>
      <c r="K376" s="74">
        <f>VLOOKUP(E376,DATABASE!C:Q,7,false)</f>
        <v>555000</v>
      </c>
      <c r="L376" s="74">
        <v>555000.0</v>
      </c>
      <c r="M376" s="74">
        <f t="shared" si="2"/>
        <v>555000</v>
      </c>
      <c r="N376" s="74">
        <f t="shared" si="3"/>
        <v>85000</v>
      </c>
      <c r="O376" s="65" t="str">
        <f>VLOOKUP(E376,DATABASE!C:Q,8,false)</f>
        <v>BIAN</v>
      </c>
      <c r="P376" s="65">
        <f>VLOOKUP(E376,DATABASE!C:Q,9,False)</f>
        <v>1</v>
      </c>
      <c r="Q376" s="93" t="str">
        <f>VLOOKUP(E376,DATABASE!C:Q,4,false)</f>
        <v>SAILUN</v>
      </c>
      <c r="R376" s="93" t="str">
        <f>VLOOKUP(E376,DATABASE!C:Q,11,false)</f>
        <v>Tire</v>
      </c>
    </row>
    <row r="377" ht="22.5" customHeight="1">
      <c r="A377" s="49"/>
      <c r="C377" s="384">
        <v>45680.0</v>
      </c>
      <c r="D377" s="93">
        <v>4047.0</v>
      </c>
      <c r="E377" s="385" t="s">
        <v>268</v>
      </c>
      <c r="F377" s="386">
        <v>2.0</v>
      </c>
      <c r="G377" s="74">
        <v>685000.0</v>
      </c>
      <c r="H377" s="74">
        <v>0.0</v>
      </c>
      <c r="I377" s="74">
        <f t="shared" si="1"/>
        <v>1370000</v>
      </c>
      <c r="J377" s="74">
        <f>IF(E377="SERVICE",I377-(I377*50%),Vlookup(E377,DATABASE!C:Q,10,false)*F377)</f>
        <v>0</v>
      </c>
      <c r="K377" s="74">
        <v>613000.0</v>
      </c>
      <c r="L377" s="74">
        <v>613000.0</v>
      </c>
      <c r="M377" s="74">
        <f t="shared" si="2"/>
        <v>615000</v>
      </c>
      <c r="N377" s="74">
        <f t="shared" si="3"/>
        <v>140000</v>
      </c>
      <c r="O377" s="65" t="str">
        <f>VLOOKUP(E377,DATABASE!C:Q,8,false)</f>
        <v>IBU</v>
      </c>
      <c r="P377" s="65">
        <f>VLOOKUP(E377,DATABASE!C:Q,9,False)</f>
        <v>1</v>
      </c>
      <c r="Q377" s="93" t="str">
        <f>VLOOKUP(E377,DATABASE!C:Q,4,false)</f>
        <v>Dunlop</v>
      </c>
      <c r="R377" s="93" t="str">
        <f>VLOOKUP(E377,DATABASE!C:Q,11,false)</f>
        <v>Tire</v>
      </c>
    </row>
    <row r="378" ht="22.5" customHeight="1">
      <c r="A378" s="49"/>
      <c r="C378" s="384">
        <v>45680.0</v>
      </c>
      <c r="D378" s="93">
        <v>4047.0</v>
      </c>
      <c r="E378" s="385" t="s">
        <v>299</v>
      </c>
      <c r="F378" s="386">
        <v>4.0</v>
      </c>
      <c r="G378" s="74">
        <v>25000.0</v>
      </c>
      <c r="H378" s="74">
        <v>0.0</v>
      </c>
      <c r="I378" s="74">
        <f t="shared" si="1"/>
        <v>100000</v>
      </c>
      <c r="J378" s="74">
        <f>IF(E378="SERVICE",I378-(I378*50%),Vlookup(E378,DATABASE!C:Q,10,false)*F378)</f>
        <v>0</v>
      </c>
      <c r="K378" s="74">
        <v>0.0</v>
      </c>
      <c r="L378" s="74">
        <v>0.0</v>
      </c>
      <c r="M378" s="74">
        <f t="shared" si="2"/>
        <v>0</v>
      </c>
      <c r="N378" s="74">
        <f t="shared" si="3"/>
        <v>100000</v>
      </c>
      <c r="O378" s="65" t="str">
        <f>VLOOKUP(E378,DATABASE!C:Q,8,false)</f>
        <v>BIAN</v>
      </c>
      <c r="P378" s="65">
        <f>VLOOKUP(E378,DATABASE!C:Q,9,False)</f>
        <v>0</v>
      </c>
      <c r="Q378" s="93" t="str">
        <f>VLOOKUP(E378,DATABASE!C:Q,4,false)</f>
        <v>Balancing</v>
      </c>
      <c r="R378" s="93" t="str">
        <f>VLOOKUP(E378,DATABASE!C:Q,11,false)</f>
        <v>COMPLEMENTARY</v>
      </c>
    </row>
    <row r="379" ht="22.5" customHeight="1">
      <c r="A379" s="49"/>
      <c r="C379" s="384">
        <v>45680.0</v>
      </c>
      <c r="D379" s="93">
        <v>4047.0</v>
      </c>
      <c r="E379" s="445" t="s">
        <v>262</v>
      </c>
      <c r="F379" s="386">
        <v>1.0</v>
      </c>
      <c r="G379" s="74">
        <v>110000.0</v>
      </c>
      <c r="H379" s="74">
        <v>0.0</v>
      </c>
      <c r="I379" s="74">
        <f t="shared" si="1"/>
        <v>110000</v>
      </c>
      <c r="J379" s="74">
        <f>IF(E379="SERVICE",I379-(I379*50%),Vlookup(E379,DATABASE!C:Q,10,false)*F379)</f>
        <v>5000</v>
      </c>
      <c r="K379" s="74">
        <f>VLOOKUP(E379,DATABASE!C:Q,7,false)</f>
        <v>0</v>
      </c>
      <c r="L379" s="74">
        <v>0.0</v>
      </c>
      <c r="M379" s="74">
        <f t="shared" si="2"/>
        <v>0</v>
      </c>
      <c r="N379" s="74">
        <f t="shared" si="3"/>
        <v>105000</v>
      </c>
      <c r="O379" s="65" t="str">
        <f>VLOOKUP(E379,DATABASE!C:Q,8,false)</f>
        <v>IBU</v>
      </c>
      <c r="P379" s="65">
        <f>VLOOKUP(E379,DATABASE!C:Q,9,False)</f>
        <v>0</v>
      </c>
      <c r="Q379" s="93" t="str">
        <f>VLOOKUP(E379,DATABASE!C:Q,4,false)</f>
        <v>SPOORING SS/CARRY LOS BAK</v>
      </c>
      <c r="R379" s="93" t="str">
        <f>VLOOKUP(E379,DATABASE!C:Q,11,false)</f>
        <v>SERVICE</v>
      </c>
    </row>
    <row r="380" ht="22.5" customHeight="1">
      <c r="A380" s="49"/>
      <c r="C380" s="384">
        <v>45680.0</v>
      </c>
      <c r="D380" s="93">
        <v>4047.0</v>
      </c>
      <c r="E380" s="445" t="s">
        <v>251</v>
      </c>
      <c r="F380" s="386">
        <v>1.0</v>
      </c>
      <c r="G380" s="74">
        <v>120000.0</v>
      </c>
      <c r="H380" s="74">
        <v>0.0</v>
      </c>
      <c r="I380" s="74">
        <f t="shared" si="1"/>
        <v>120000</v>
      </c>
      <c r="J380" s="74">
        <f>IF(E380="SERVICE",I380-(I380*50%),Vlookup(E380,DATABASE!C:Q,10,false)*F380)</f>
        <v>60000</v>
      </c>
      <c r="K380" s="74">
        <f>VLOOKUP(E380,DATABASE!C:Q,7,false)</f>
        <v>0</v>
      </c>
      <c r="L380" s="74">
        <v>0.0</v>
      </c>
      <c r="M380" s="74">
        <f t="shared" si="2"/>
        <v>0</v>
      </c>
      <c r="N380" s="74">
        <f t="shared" si="3"/>
        <v>60000</v>
      </c>
      <c r="O380" s="65" t="str">
        <f>VLOOKUP(E380,DATABASE!C:Q,8,false)</f>
        <v>IBU</v>
      </c>
      <c r="P380" s="65">
        <f>VLOOKUP(E380,DATABASE!C:Q,9,False)</f>
        <v>0</v>
      </c>
      <c r="Q380" s="93" t="str">
        <f>VLOOKUP(E380,DATABASE!C:Q,4,false)</f>
        <v>SERVICE</v>
      </c>
      <c r="R380" s="93" t="str">
        <f>VLOOKUP(E380,DATABASE!C:Q,11,false)</f>
        <v>SERVICE</v>
      </c>
    </row>
    <row r="381" ht="22.5" customHeight="1">
      <c r="A381" s="49"/>
      <c r="C381" s="384">
        <v>45680.0</v>
      </c>
      <c r="D381" s="93">
        <v>4048.0</v>
      </c>
      <c r="E381" s="445" t="s">
        <v>687</v>
      </c>
      <c r="F381" s="386">
        <v>2.0</v>
      </c>
      <c r="G381" s="74">
        <v>1035000.0</v>
      </c>
      <c r="H381" s="74">
        <v>0.0</v>
      </c>
      <c r="I381" s="74">
        <f t="shared" si="1"/>
        <v>2070000</v>
      </c>
      <c r="J381" s="74">
        <f>IF(E381="SERVICE",I381-(I381*50%),Vlookup(E381,DATABASE!C:Q,10,false)*F381)</f>
        <v>0</v>
      </c>
      <c r="K381" s="74">
        <f>VLOOKUP(E381,DATABASE!C:Q,7,false)</f>
        <v>959000</v>
      </c>
      <c r="L381" s="74">
        <v>949000.0</v>
      </c>
      <c r="M381" s="74">
        <f t="shared" si="2"/>
        <v>950000</v>
      </c>
      <c r="N381" s="74">
        <f t="shared" si="3"/>
        <v>170000</v>
      </c>
      <c r="O381" s="65" t="str">
        <f>VLOOKUP(E381,DATABASE!C:Q,8,false)</f>
        <v>IBU</v>
      </c>
      <c r="P381" s="65">
        <f>VLOOKUP(E381,DATABASE!C:Q,9,False)</f>
        <v>1</v>
      </c>
      <c r="Q381" s="93" t="str">
        <f>VLOOKUP(E381,DATABASE!C:Q,4,false)</f>
        <v>Dunlop</v>
      </c>
      <c r="R381" s="93" t="str">
        <f>VLOOKUP(E381,DATABASE!C:Q,11,false)</f>
        <v>Tire</v>
      </c>
    </row>
    <row r="382" ht="22.5" customHeight="1">
      <c r="A382" s="49"/>
      <c r="C382" s="384">
        <v>45680.0</v>
      </c>
      <c r="D382" s="93">
        <v>4048.0</v>
      </c>
      <c r="E382" s="385" t="s">
        <v>299</v>
      </c>
      <c r="F382" s="386">
        <v>2.0</v>
      </c>
      <c r="G382" s="74">
        <v>30000.0</v>
      </c>
      <c r="H382" s="74">
        <v>0.0</v>
      </c>
      <c r="I382" s="74">
        <f t="shared" si="1"/>
        <v>60000</v>
      </c>
      <c r="J382" s="74">
        <f>IF(E382="SERVICE",I382-(I382*50%),Vlookup(E382,DATABASE!C:Q,10,false)*F382)</f>
        <v>0</v>
      </c>
      <c r="K382" s="74">
        <v>0.0</v>
      </c>
      <c r="L382" s="74">
        <v>0.0</v>
      </c>
      <c r="M382" s="74">
        <f t="shared" si="2"/>
        <v>0</v>
      </c>
      <c r="N382" s="74">
        <f t="shared" si="3"/>
        <v>60000</v>
      </c>
      <c r="O382" s="65" t="str">
        <f>VLOOKUP(E382,DATABASE!C:Q,8,false)</f>
        <v>BIAN</v>
      </c>
      <c r="P382" s="65">
        <f>VLOOKUP(E382,DATABASE!C:Q,9,False)</f>
        <v>0</v>
      </c>
      <c r="Q382" s="93" t="str">
        <f>VLOOKUP(E382,DATABASE!C:Q,4,false)</f>
        <v>Balancing</v>
      </c>
      <c r="R382" s="93" t="str">
        <f>VLOOKUP(E382,DATABASE!C:Q,11,false)</f>
        <v>COMPLEMENTARY</v>
      </c>
    </row>
    <row r="383" ht="22.5" customHeight="1">
      <c r="A383" s="49"/>
      <c r="C383" s="384">
        <v>45680.0</v>
      </c>
      <c r="D383" s="93">
        <v>4050.0</v>
      </c>
      <c r="E383" s="445" t="s">
        <v>897</v>
      </c>
      <c r="F383" s="386">
        <v>1.0</v>
      </c>
      <c r="G383" s="74">
        <v>1585000.0</v>
      </c>
      <c r="H383" s="74">
        <v>0.0</v>
      </c>
      <c r="I383" s="74">
        <f t="shared" si="1"/>
        <v>1585000</v>
      </c>
      <c r="J383" s="74">
        <f>IF(E383="SERVICE",I383-(I383*50%),Vlookup(E383,DATABASE!C:Q,10,false)*F383)</f>
        <v>0</v>
      </c>
      <c r="K383" s="74">
        <f>VLOOKUP(E383,DATABASE!C:Q,7,false)</f>
        <v>1560000</v>
      </c>
      <c r="L383" s="74">
        <v>1500000.0</v>
      </c>
      <c r="M383" s="74">
        <f t="shared" si="2"/>
        <v>1500000</v>
      </c>
      <c r="N383" s="74">
        <f t="shared" si="3"/>
        <v>85000</v>
      </c>
      <c r="O383" s="65" t="str">
        <f>VLOOKUP(E383,DATABASE!C:Q,8,false)</f>
        <v>BIAN</v>
      </c>
      <c r="P383" s="65">
        <f>VLOOKUP(E383,DATABASE!C:Q,9,False)</f>
        <v>1</v>
      </c>
      <c r="Q383" s="93" t="str">
        <f>VLOOKUP(E383,DATABASE!C:Q,4,false)</f>
        <v>GT</v>
      </c>
      <c r="R383" s="93" t="str">
        <f>VLOOKUP(E383,DATABASE!C:Q,11,false)</f>
        <v>Tire</v>
      </c>
    </row>
    <row r="384" ht="22.5" customHeight="1">
      <c r="A384" s="49"/>
      <c r="C384" s="384">
        <v>45680.0</v>
      </c>
      <c r="D384" s="93">
        <v>4050.0</v>
      </c>
      <c r="E384" s="385" t="s">
        <v>744</v>
      </c>
      <c r="F384" s="386">
        <v>1.0</v>
      </c>
      <c r="G384" s="74">
        <v>230000.0</v>
      </c>
      <c r="H384" s="74">
        <v>0.0</v>
      </c>
      <c r="I384" s="74">
        <f t="shared" si="1"/>
        <v>230000</v>
      </c>
      <c r="J384" s="74">
        <f>IF(E384="SERVICE",I384-(I384*50%),Vlookup(E384,DATABASE!C:Q,10,false)*F384)</f>
        <v>0</v>
      </c>
      <c r="K384" s="74">
        <f>VLOOKUP(E384,DATABASE!C:Q,7,false)</f>
        <v>182200</v>
      </c>
      <c r="L384" s="74">
        <v>199920.0</v>
      </c>
      <c r="M384" s="74">
        <f t="shared" si="2"/>
        <v>200000</v>
      </c>
      <c r="N384" s="74">
        <f t="shared" si="3"/>
        <v>30000</v>
      </c>
      <c r="O384" s="65" t="str">
        <f>VLOOKUP(E384,DATABASE!C:Q,8,false)</f>
        <v>BIAN</v>
      </c>
      <c r="P384" s="65">
        <f>VLOOKUP(E384,DATABASE!C:Q,9,False)</f>
        <v>1</v>
      </c>
      <c r="Q384" s="93" t="str">
        <f>VLOOKUP(E384,DATABASE!C:Q,4,false)</f>
        <v>BD</v>
      </c>
      <c r="R384" s="93" t="str">
        <f>VLOOKUP(E384,DATABASE!C:Q,11,false)</f>
        <v>Tire</v>
      </c>
    </row>
    <row r="385" ht="22.5" customHeight="1">
      <c r="A385" s="49"/>
      <c r="C385" s="384">
        <v>45680.0</v>
      </c>
      <c r="D385" s="93">
        <v>4050.0</v>
      </c>
      <c r="E385" s="445" t="s">
        <v>1749</v>
      </c>
      <c r="F385" s="386">
        <v>1.0</v>
      </c>
      <c r="G385" s="74">
        <v>65000.0</v>
      </c>
      <c r="H385" s="74">
        <v>0.0</v>
      </c>
      <c r="I385" s="74">
        <f t="shared" si="1"/>
        <v>65000</v>
      </c>
      <c r="J385" s="74">
        <f>IF(E385="SERVICE",I385-(I385*50%),Vlookup(E385,DATABASE!C:Q,10,false)*F385)</f>
        <v>0</v>
      </c>
      <c r="K385" s="74">
        <f>VLOOKUP(E385,DATABASE!C:Q,7,false)</f>
        <v>40350</v>
      </c>
      <c r="L385" s="74">
        <v>40350.0</v>
      </c>
      <c r="M385" s="74">
        <f t="shared" si="2"/>
        <v>45000</v>
      </c>
      <c r="N385" s="74">
        <f t="shared" si="3"/>
        <v>20000</v>
      </c>
      <c r="O385" s="65" t="str">
        <f>VLOOKUP(E385,DATABASE!C:Q,8,false)</f>
        <v>BIAN</v>
      </c>
      <c r="P385" s="65">
        <f>VLOOKUP(E385,DATABASE!C:Q,9,False)</f>
        <v>1</v>
      </c>
      <c r="Q385" s="93" t="str">
        <f>VLOOKUP(E385,DATABASE!C:Q,4,false)</f>
        <v>Flap</v>
      </c>
      <c r="R385" s="93" t="str">
        <f>VLOOKUP(E385,DATABASE!C:Q,11,false)</f>
        <v>Tire</v>
      </c>
    </row>
    <row r="386" ht="22.5" customHeight="1">
      <c r="A386" s="49"/>
      <c r="C386" s="384">
        <v>45680.0</v>
      </c>
      <c r="D386" s="93">
        <v>4051.0</v>
      </c>
      <c r="E386" s="385" t="s">
        <v>1133</v>
      </c>
      <c r="F386" s="386">
        <v>1.0</v>
      </c>
      <c r="G386" s="74">
        <v>885000.0</v>
      </c>
      <c r="H386" s="74">
        <v>0.0</v>
      </c>
      <c r="I386" s="74">
        <f t="shared" si="1"/>
        <v>885000</v>
      </c>
      <c r="J386" s="74">
        <f>IF(E386="SERVICE",I386-(I386*50%),Vlookup(E386,DATABASE!C:Q,10,false)*F386)</f>
        <v>0</v>
      </c>
      <c r="K386" s="74">
        <f>VLOOKUP(E386,DATABASE!C:Q,7,false)</f>
        <v>759539.2</v>
      </c>
      <c r="L386" s="74">
        <v>715635.0</v>
      </c>
      <c r="M386" s="74">
        <f t="shared" si="2"/>
        <v>720000</v>
      </c>
      <c r="N386" s="74">
        <f t="shared" si="3"/>
        <v>165000</v>
      </c>
      <c r="O386" s="65" t="str">
        <f>VLOOKUP(E386,DATABASE!C:Q,8,false)</f>
        <v>IBU</v>
      </c>
      <c r="P386" s="65">
        <f>VLOOKUP(E386,DATABASE!C:Q,9,False)</f>
        <v>1</v>
      </c>
      <c r="Q386" s="93" t="str">
        <f>VLOOKUP(E386,DATABASE!C:Q,4,false)</f>
        <v>Bridgestone</v>
      </c>
      <c r="R386" s="93" t="str">
        <f>VLOOKUP(E386,DATABASE!C:Q,11,false)</f>
        <v>Tire</v>
      </c>
    </row>
    <row r="387" ht="22.5" customHeight="1">
      <c r="A387" s="49"/>
      <c r="C387" s="384">
        <v>45680.0</v>
      </c>
      <c r="D387" s="93">
        <v>4051.0</v>
      </c>
      <c r="E387" s="385" t="s">
        <v>2135</v>
      </c>
      <c r="F387" s="386">
        <v>1.0</v>
      </c>
      <c r="G387" s="74">
        <v>15000.0</v>
      </c>
      <c r="H387" s="74">
        <v>0.0</v>
      </c>
      <c r="I387" s="74">
        <f t="shared" si="1"/>
        <v>15000</v>
      </c>
      <c r="J387" s="74">
        <f>IF(E387="SERVICE",I387-(I387*50%),Vlookup(E387,DATABASE!C:Q,10,false)*F387)</f>
        <v>0</v>
      </c>
      <c r="K387" s="74">
        <f>VLOOKUP(E387,DATABASE!C:Q,7,false)</f>
        <v>0</v>
      </c>
      <c r="L387" s="74">
        <v>0.0</v>
      </c>
      <c r="M387" s="74">
        <f t="shared" si="2"/>
        <v>0</v>
      </c>
      <c r="N387" s="74">
        <f t="shared" si="3"/>
        <v>15000</v>
      </c>
      <c r="O387" s="65" t="str">
        <f>VLOOKUP(E387,DATABASE!C:Q,8,false)</f>
        <v>IBU</v>
      </c>
      <c r="P387" s="65">
        <f>VLOOKUP(E387,DATABASE!C:Q,9,False)</f>
        <v>0</v>
      </c>
      <c r="Q387" s="93" t="str">
        <f>VLOOKUP(E387,DATABASE!C:Q,4,false)</f>
        <v>NITROGEN</v>
      </c>
      <c r="R387" s="93" t="str">
        <f>VLOOKUP(E387,DATABASE!C:Q,11,false)</f>
        <v>COMPLEMENTARY</v>
      </c>
    </row>
    <row r="388" ht="22.5" customHeight="1">
      <c r="A388" s="49"/>
      <c r="C388" s="384">
        <v>45680.0</v>
      </c>
      <c r="D388" s="93">
        <v>4051.0</v>
      </c>
      <c r="E388" s="385" t="s">
        <v>299</v>
      </c>
      <c r="F388" s="386">
        <v>2.0</v>
      </c>
      <c r="G388" s="74">
        <v>30000.0</v>
      </c>
      <c r="H388" s="74">
        <v>0.0</v>
      </c>
      <c r="I388" s="74">
        <f t="shared" si="1"/>
        <v>60000</v>
      </c>
      <c r="J388" s="74">
        <f>IF(E388="SERVICE",I388-(I388*50%),Vlookup(E388,DATABASE!C:Q,10,false)*F388)</f>
        <v>0</v>
      </c>
      <c r="K388" s="74">
        <v>0.0</v>
      </c>
      <c r="L388" s="74">
        <v>0.0</v>
      </c>
      <c r="M388" s="74">
        <f t="shared" si="2"/>
        <v>0</v>
      </c>
      <c r="N388" s="74">
        <f t="shared" si="3"/>
        <v>60000</v>
      </c>
      <c r="O388" s="65" t="str">
        <f>VLOOKUP(E388,DATABASE!C:Q,8,false)</f>
        <v>BIAN</v>
      </c>
      <c r="P388" s="65">
        <f>VLOOKUP(E388,DATABASE!C:Q,9,False)</f>
        <v>0</v>
      </c>
      <c r="Q388" s="93" t="str">
        <f>VLOOKUP(E388,DATABASE!C:Q,4,false)</f>
        <v>Balancing</v>
      </c>
      <c r="R388" s="93" t="str">
        <f>VLOOKUP(E388,DATABASE!C:Q,11,false)</f>
        <v>COMPLEMENTARY</v>
      </c>
    </row>
    <row r="389" ht="22.5" customHeight="1">
      <c r="A389" s="49"/>
      <c r="C389" s="384">
        <v>45680.0</v>
      </c>
      <c r="D389" s="93">
        <v>4052.0</v>
      </c>
      <c r="E389" s="385" t="s">
        <v>262</v>
      </c>
      <c r="F389" s="386">
        <v>1.0</v>
      </c>
      <c r="G389" s="74">
        <v>110000.0</v>
      </c>
      <c r="H389" s="74">
        <v>0.0</v>
      </c>
      <c r="I389" s="74">
        <f t="shared" si="1"/>
        <v>110000</v>
      </c>
      <c r="J389" s="74">
        <f>IF(E389="SERVICE",I389-(I389*50%),Vlookup(E389,DATABASE!C:Q,10,false)*F389)</f>
        <v>5000</v>
      </c>
      <c r="K389" s="74">
        <f>VLOOKUP(E389,DATABASE!C:Q,7,false)</f>
        <v>0</v>
      </c>
      <c r="L389" s="74">
        <v>0.0</v>
      </c>
      <c r="M389" s="74">
        <f t="shared" si="2"/>
        <v>0</v>
      </c>
      <c r="N389" s="74">
        <f t="shared" si="3"/>
        <v>105000</v>
      </c>
      <c r="O389" s="65" t="str">
        <f>VLOOKUP(E389,DATABASE!C:Q,8,false)</f>
        <v>IBU</v>
      </c>
      <c r="P389" s="65">
        <f>VLOOKUP(E389,DATABASE!C:Q,9,False)</f>
        <v>0</v>
      </c>
      <c r="Q389" s="93" t="str">
        <f>VLOOKUP(E389,DATABASE!C:Q,4,false)</f>
        <v>SPOORING SS/CARRY LOS BAK</v>
      </c>
      <c r="R389" s="93" t="str">
        <f>VLOOKUP(E389,DATABASE!C:Q,11,false)</f>
        <v>SERVICE</v>
      </c>
    </row>
    <row r="390" ht="22.5" customHeight="1">
      <c r="A390" s="49"/>
      <c r="C390" s="384">
        <v>45680.0</v>
      </c>
      <c r="D390" s="93">
        <v>4052.0</v>
      </c>
      <c r="E390" s="385" t="s">
        <v>478</v>
      </c>
      <c r="F390" s="386">
        <v>1.0</v>
      </c>
      <c r="G390" s="74">
        <v>200000.0</v>
      </c>
      <c r="H390" s="74">
        <v>0.0</v>
      </c>
      <c r="I390" s="74">
        <f t="shared" si="1"/>
        <v>200000</v>
      </c>
      <c r="J390" s="74">
        <f>IF(E390="SERVICE",I390-(I390*50%),Vlookup(E390,DATABASE!C:Q,10,false)*F390)</f>
        <v>25000</v>
      </c>
      <c r="K390" s="74">
        <f>VLOOKUP(E390,DATABASE!C:Q,7,false)</f>
        <v>75000</v>
      </c>
      <c r="L390" s="74">
        <v>75000.0</v>
      </c>
      <c r="M390" s="74">
        <f t="shared" si="2"/>
        <v>75000</v>
      </c>
      <c r="N390" s="74">
        <f t="shared" si="3"/>
        <v>100000</v>
      </c>
      <c r="O390" s="65" t="str">
        <f>VLOOKUP(E390,DATABASE!C:Q,8,false)</f>
        <v>BIAN</v>
      </c>
      <c r="P390" s="65">
        <f>VLOOKUP(E390,DATABASE!C:Q,9,False)</f>
        <v>0</v>
      </c>
      <c r="Q390" s="93" t="str">
        <f>VLOOKUP(E390,DATABASE!C:Q,4,false)</f>
        <v>Baut Camber ss-carry</v>
      </c>
      <c r="R390" s="93" t="str">
        <f>VLOOKUP(E390,DATABASE!C:Q,11,false)</f>
        <v>COMPLEMENTARY</v>
      </c>
    </row>
    <row r="391" ht="22.5" customHeight="1">
      <c r="A391" s="49"/>
      <c r="C391" s="384">
        <v>45680.0</v>
      </c>
      <c r="D391" s="93">
        <v>4052.0</v>
      </c>
      <c r="E391" s="385" t="s">
        <v>305</v>
      </c>
      <c r="F391" s="386">
        <v>1.0</v>
      </c>
      <c r="G391" s="74">
        <v>225000.0</v>
      </c>
      <c r="H391" s="74">
        <v>0.0</v>
      </c>
      <c r="I391" s="74">
        <f t="shared" si="1"/>
        <v>225000</v>
      </c>
      <c r="J391" s="74">
        <f>IF(E391="SERVICE",I391-(I391*50%),Vlookup(E391,DATABASE!C:Q,10,false)*F391)</f>
        <v>40000</v>
      </c>
      <c r="K391" s="74">
        <f>VLOOKUP(E391,DATABASE!C:Q,7,false)</f>
        <v>158530.2</v>
      </c>
      <c r="L391" s="74">
        <v>151890.0</v>
      </c>
      <c r="M391" s="74">
        <f t="shared" si="2"/>
        <v>155000</v>
      </c>
      <c r="N391" s="74">
        <f t="shared" si="3"/>
        <v>30000</v>
      </c>
      <c r="O391" s="65" t="str">
        <f>VLOOKUP(E391,DATABASE!C:Q,8,false)</f>
        <v>BIAN</v>
      </c>
      <c r="P391" s="65">
        <f>VLOOKUP(E391,DATABASE!C:Q,9,False)</f>
        <v>1</v>
      </c>
      <c r="Q391" s="93" t="str">
        <f>VLOOKUP(E391,DATABASE!C:Q,4,false)</f>
        <v>Lower Arm</v>
      </c>
      <c r="R391" s="93" t="str">
        <f>VLOOKUP(E391,DATABASE!C:Q,11,false)</f>
        <v>COMPLEMENTARY</v>
      </c>
    </row>
    <row r="392" ht="22.5" customHeight="1">
      <c r="A392" s="49"/>
      <c r="C392" s="384">
        <v>45680.0</v>
      </c>
      <c r="D392" s="93">
        <v>4053.0</v>
      </c>
      <c r="E392" s="385" t="s">
        <v>262</v>
      </c>
      <c r="F392" s="386">
        <v>1.0</v>
      </c>
      <c r="G392" s="74">
        <v>110000.0</v>
      </c>
      <c r="H392" s="74">
        <v>0.0</v>
      </c>
      <c r="I392" s="74">
        <f t="shared" si="1"/>
        <v>110000</v>
      </c>
      <c r="J392" s="74">
        <f>IF(E392="SERVICE",I392-(I392*50%),Vlookup(E392,DATABASE!C:Q,10,false)*F392)</f>
        <v>5000</v>
      </c>
      <c r="K392" s="74">
        <f>VLOOKUP(E392,DATABASE!C:Q,7,false)</f>
        <v>0</v>
      </c>
      <c r="L392" s="74">
        <v>0.0</v>
      </c>
      <c r="M392" s="74">
        <f t="shared" si="2"/>
        <v>0</v>
      </c>
      <c r="N392" s="74">
        <f t="shared" si="3"/>
        <v>105000</v>
      </c>
      <c r="O392" s="65" t="str">
        <f>VLOOKUP(E392,DATABASE!C:Q,8,false)</f>
        <v>IBU</v>
      </c>
      <c r="P392" s="65">
        <f>VLOOKUP(E392,DATABASE!C:Q,9,False)</f>
        <v>0</v>
      </c>
      <c r="Q392" s="93" t="str">
        <f>VLOOKUP(E392,DATABASE!C:Q,4,false)</f>
        <v>SPOORING SS/CARRY LOS BAK</v>
      </c>
      <c r="R392" s="93" t="str">
        <f>VLOOKUP(E392,DATABASE!C:Q,11,false)</f>
        <v>SERVICE</v>
      </c>
    </row>
    <row r="393" ht="22.5" customHeight="1">
      <c r="A393" s="49"/>
      <c r="C393" s="384">
        <v>45680.0</v>
      </c>
      <c r="D393" s="93">
        <v>4053.0</v>
      </c>
      <c r="E393" s="385" t="s">
        <v>478</v>
      </c>
      <c r="F393" s="386">
        <v>1.0</v>
      </c>
      <c r="G393" s="74">
        <v>200000.0</v>
      </c>
      <c r="H393" s="74">
        <v>0.0</v>
      </c>
      <c r="I393" s="74">
        <f t="shared" si="1"/>
        <v>200000</v>
      </c>
      <c r="J393" s="74">
        <f>IF(E393="SERVICE",I393-(I393*50%),Vlookup(E393,DATABASE!C:Q,10,false)*F393)</f>
        <v>25000</v>
      </c>
      <c r="K393" s="74">
        <f>VLOOKUP(E393,DATABASE!C:Q,7,false)</f>
        <v>75000</v>
      </c>
      <c r="L393" s="74">
        <v>75000.0</v>
      </c>
      <c r="M393" s="74">
        <f t="shared" si="2"/>
        <v>75000</v>
      </c>
      <c r="N393" s="74">
        <f t="shared" si="3"/>
        <v>100000</v>
      </c>
      <c r="O393" s="65" t="str">
        <f>VLOOKUP(E393,DATABASE!C:Q,8,false)</f>
        <v>BIAN</v>
      </c>
      <c r="P393" s="65">
        <f>VLOOKUP(E393,DATABASE!C:Q,9,False)</f>
        <v>0</v>
      </c>
      <c r="Q393" s="93" t="str">
        <f>VLOOKUP(E393,DATABASE!C:Q,4,false)</f>
        <v>Baut Camber ss-carry</v>
      </c>
      <c r="R393" s="93" t="str">
        <f>VLOOKUP(E393,DATABASE!C:Q,11,false)</f>
        <v>COMPLEMENTARY</v>
      </c>
    </row>
    <row r="394" ht="22.5" customHeight="1">
      <c r="A394" s="49"/>
      <c r="C394" s="384">
        <v>45680.0</v>
      </c>
      <c r="D394" s="93">
        <v>4054.0</v>
      </c>
      <c r="E394" s="445" t="s">
        <v>268</v>
      </c>
      <c r="F394" s="386">
        <v>1.0</v>
      </c>
      <c r="G394" s="74">
        <v>700000.0</v>
      </c>
      <c r="H394" s="74">
        <v>0.0</v>
      </c>
      <c r="I394" s="74">
        <f t="shared" si="1"/>
        <v>700000</v>
      </c>
      <c r="J394" s="74">
        <f>IF(E394="SERVICE",I394-(I394*50%),Vlookup(E394,DATABASE!C:Q,10,false)*F394)</f>
        <v>0</v>
      </c>
      <c r="K394" s="74">
        <v>613000.0</v>
      </c>
      <c r="L394" s="74">
        <v>613000.0</v>
      </c>
      <c r="M394" s="74">
        <f t="shared" si="2"/>
        <v>615000</v>
      </c>
      <c r="N394" s="74">
        <f t="shared" si="3"/>
        <v>85000</v>
      </c>
      <c r="O394" s="65" t="str">
        <f>VLOOKUP(E394,DATABASE!C:Q,8,false)</f>
        <v>IBU</v>
      </c>
      <c r="P394" s="65">
        <f>VLOOKUP(E394,DATABASE!C:Q,9,False)</f>
        <v>1</v>
      </c>
      <c r="Q394" s="93" t="str">
        <f>VLOOKUP(E394,DATABASE!C:Q,4,false)</f>
        <v>Dunlop</v>
      </c>
      <c r="R394" s="93" t="str">
        <f>VLOOKUP(E394,DATABASE!C:Q,11,false)</f>
        <v>Tire</v>
      </c>
    </row>
    <row r="395" ht="22.5" customHeight="1">
      <c r="A395" s="49"/>
      <c r="C395" s="384">
        <v>45681.0</v>
      </c>
      <c r="D395" s="93">
        <v>4056.0</v>
      </c>
      <c r="E395" s="385" t="s">
        <v>1427</v>
      </c>
      <c r="F395" s="386">
        <v>2.0</v>
      </c>
      <c r="G395" s="74">
        <v>780000.0</v>
      </c>
      <c r="H395" s="74">
        <v>0.0</v>
      </c>
      <c r="I395" s="74">
        <f t="shared" si="1"/>
        <v>1560000</v>
      </c>
      <c r="J395" s="74">
        <f>IF(E395="SERVICE",I395-(I395*50%),Vlookup(E395,DATABASE!C:Q,10,false)*F395)</f>
        <v>0</v>
      </c>
      <c r="K395" s="74">
        <f>VLOOKUP(E395,DATABASE!C:Q,7,false)</f>
        <v>696500</v>
      </c>
      <c r="L395" s="74">
        <v>689000.0</v>
      </c>
      <c r="M395" s="74">
        <f t="shared" si="2"/>
        <v>690000</v>
      </c>
      <c r="N395" s="74">
        <f t="shared" si="3"/>
        <v>180000</v>
      </c>
      <c r="O395" s="65" t="str">
        <f>VLOOKUP(E395,DATABASE!C:Q,8,false)</f>
        <v>IBU</v>
      </c>
      <c r="P395" s="65">
        <f>VLOOKUP(E395,DATABASE!C:Q,9,False)</f>
        <v>1</v>
      </c>
      <c r="Q395" s="93" t="str">
        <f>VLOOKUP(E395,DATABASE!C:Q,4,false)</f>
        <v>Dunlop</v>
      </c>
      <c r="R395" s="93" t="str">
        <f>VLOOKUP(E395,DATABASE!C:Q,11,false)</f>
        <v>Tire</v>
      </c>
    </row>
    <row r="396" ht="22.5" customHeight="1">
      <c r="A396" s="49"/>
      <c r="C396" s="384">
        <v>45681.0</v>
      </c>
      <c r="D396" s="65">
        <v>4056.0</v>
      </c>
      <c r="E396" s="385" t="s">
        <v>299</v>
      </c>
      <c r="F396" s="386">
        <v>2.0</v>
      </c>
      <c r="G396" s="74">
        <v>30000.0</v>
      </c>
      <c r="H396" s="74">
        <v>0.0</v>
      </c>
      <c r="I396" s="74">
        <f t="shared" si="1"/>
        <v>60000</v>
      </c>
      <c r="J396" s="74">
        <f>IF(E396="SERVICE",I396-(I396*50%),Vlookup(E396,DATABASE!C:Q,10,false)*F396)</f>
        <v>0</v>
      </c>
      <c r="K396" s="74">
        <v>0.0</v>
      </c>
      <c r="L396" s="74">
        <v>0.0</v>
      </c>
      <c r="M396" s="74">
        <f t="shared" si="2"/>
        <v>0</v>
      </c>
      <c r="N396" s="74">
        <f t="shared" si="3"/>
        <v>60000</v>
      </c>
      <c r="O396" s="65" t="str">
        <f>VLOOKUP(E396,DATABASE!C:Q,8,false)</f>
        <v>BIAN</v>
      </c>
      <c r="P396" s="65">
        <f>VLOOKUP(E396,DATABASE!C:Q,9,False)</f>
        <v>0</v>
      </c>
      <c r="Q396" s="93" t="str">
        <f>VLOOKUP(E396,DATABASE!C:Q,4,false)</f>
        <v>Balancing</v>
      </c>
      <c r="R396" s="93" t="str">
        <f>VLOOKUP(E396,DATABASE!C:Q,11,false)</f>
        <v>COMPLEMENTARY</v>
      </c>
    </row>
    <row r="397" ht="22.5" customHeight="1">
      <c r="A397" s="49"/>
      <c r="C397" s="384">
        <v>45681.0</v>
      </c>
      <c r="D397" s="65">
        <v>4056.0</v>
      </c>
      <c r="E397" s="445" t="s">
        <v>246</v>
      </c>
      <c r="F397" s="386">
        <v>2.0</v>
      </c>
      <c r="G397" s="74">
        <v>30000.0</v>
      </c>
      <c r="H397" s="74">
        <v>0.0</v>
      </c>
      <c r="I397" s="74">
        <f t="shared" si="1"/>
        <v>60000</v>
      </c>
      <c r="J397" s="74">
        <f>IF(E397="SERVICE",I397-(I397*50%),Vlookup(E397,DATABASE!C:Q,10,false)*F397)</f>
        <v>0</v>
      </c>
      <c r="K397" s="74">
        <f>VLOOKUP(E397,DATABASE!C:Q,7,false)</f>
        <v>0</v>
      </c>
      <c r="L397" s="74">
        <v>0.0</v>
      </c>
      <c r="M397" s="74">
        <f t="shared" si="2"/>
        <v>0</v>
      </c>
      <c r="N397" s="74">
        <f t="shared" si="3"/>
        <v>60000</v>
      </c>
      <c r="O397" s="65" t="str">
        <f>VLOOKUP(E397,DATABASE!C:Q,8,false)</f>
        <v>IBU</v>
      </c>
      <c r="P397" s="65">
        <f>VLOOKUP(E397,DATABASE!C:Q,9,False)</f>
        <v>0</v>
      </c>
      <c r="Q397" s="93" t="str">
        <f>VLOOKUP(E397,DATABASE!C:Q,4,false)</f>
        <v>Bongkar Pasang</v>
      </c>
      <c r="R397" s="93" t="str">
        <f>VLOOKUP(E397,DATABASE!C:Q,11,false)</f>
        <v>SERVICE</v>
      </c>
    </row>
    <row r="398" ht="22.5" customHeight="1">
      <c r="A398" s="49"/>
      <c r="C398" s="384">
        <v>45681.0</v>
      </c>
      <c r="D398" s="65">
        <v>4057.0</v>
      </c>
      <c r="E398" s="445" t="s">
        <v>256</v>
      </c>
      <c r="F398" s="386">
        <v>1.0</v>
      </c>
      <c r="G398" s="74">
        <v>110000.0</v>
      </c>
      <c r="H398" s="74">
        <v>0.0</v>
      </c>
      <c r="I398" s="74">
        <f t="shared" si="1"/>
        <v>110000</v>
      </c>
      <c r="J398" s="74">
        <f>IF(E398="SERVICE",I398-(I398*50%),Vlookup(E398,DATABASE!C:Q,10,false)*F398)</f>
        <v>10000</v>
      </c>
      <c r="K398" s="74">
        <f>VLOOKUP(E398,DATABASE!C:Q,7,false)</f>
        <v>0</v>
      </c>
      <c r="L398" s="74">
        <v>0.0</v>
      </c>
      <c r="M398" s="74">
        <f t="shared" si="2"/>
        <v>0</v>
      </c>
      <c r="N398" s="74">
        <f t="shared" si="3"/>
        <v>100000</v>
      </c>
      <c r="O398" s="65" t="str">
        <f>VLOOKUP(E398,DATABASE!C:Q,8,false)</f>
        <v>IBU</v>
      </c>
      <c r="P398" s="65">
        <f>VLOOKUP(E398,DATABASE!C:Q,9,False)</f>
        <v>0</v>
      </c>
      <c r="Q398" s="93" t="str">
        <f>VLOOKUP(E398,DATABASE!C:Q,4,false)</f>
        <v>SPOORING</v>
      </c>
      <c r="R398" s="93" t="str">
        <f>VLOOKUP(E398,DATABASE!C:Q,11,false)</f>
        <v>SERVICE</v>
      </c>
    </row>
    <row r="399" ht="22.5" customHeight="1">
      <c r="A399" s="49"/>
      <c r="C399" s="384">
        <v>45681.0</v>
      </c>
      <c r="D399" s="65">
        <v>4057.0</v>
      </c>
      <c r="E399" s="445" t="s">
        <v>251</v>
      </c>
      <c r="F399" s="386">
        <v>1.0</v>
      </c>
      <c r="G399" s="74">
        <v>150000.0</v>
      </c>
      <c r="H399" s="74">
        <v>0.0</v>
      </c>
      <c r="I399" s="74">
        <f t="shared" si="1"/>
        <v>150000</v>
      </c>
      <c r="J399" s="74">
        <f>IF(E399="SERVICE",I399-(I399*50%),Vlookup(E399,DATABASE!C:Q,10,false)*F399)</f>
        <v>75000</v>
      </c>
      <c r="K399" s="74">
        <f>VLOOKUP(E399,DATABASE!C:Q,7,false)</f>
        <v>0</v>
      </c>
      <c r="L399" s="74">
        <v>0.0</v>
      </c>
      <c r="M399" s="74">
        <f t="shared" si="2"/>
        <v>0</v>
      </c>
      <c r="N399" s="74">
        <f t="shared" si="3"/>
        <v>75000</v>
      </c>
      <c r="O399" s="65" t="str">
        <f>VLOOKUP(E399,DATABASE!C:Q,8,false)</f>
        <v>IBU</v>
      </c>
      <c r="P399" s="65">
        <f>VLOOKUP(E399,DATABASE!C:Q,9,False)</f>
        <v>0</v>
      </c>
      <c r="Q399" s="93" t="str">
        <f>VLOOKUP(E399,DATABASE!C:Q,4,false)</f>
        <v>SERVICE</v>
      </c>
      <c r="R399" s="93" t="str">
        <f>VLOOKUP(E399,DATABASE!C:Q,11,false)</f>
        <v>SERVICE</v>
      </c>
    </row>
    <row r="400" ht="22.5" customHeight="1">
      <c r="A400" s="49"/>
      <c r="C400" s="384">
        <v>45681.0</v>
      </c>
      <c r="D400" s="65">
        <v>4058.0</v>
      </c>
      <c r="E400" s="445" t="s">
        <v>968</v>
      </c>
      <c r="F400" s="386">
        <v>4.0</v>
      </c>
      <c r="G400" s="74">
        <v>640000.0</v>
      </c>
      <c r="H400" s="74">
        <v>0.0</v>
      </c>
      <c r="I400" s="74">
        <f t="shared" si="1"/>
        <v>2560000</v>
      </c>
      <c r="J400" s="74">
        <f>IF(E400="SERVICE",I400-(I400*50%),Vlookup(E400,DATABASE!C:Q,10,false)*F400)</f>
        <v>0</v>
      </c>
      <c r="K400" s="74">
        <f>VLOOKUP(E400,DATABASE!C:Q,7,false)</f>
        <v>582500</v>
      </c>
      <c r="L400" s="74">
        <v>582500.0</v>
      </c>
      <c r="M400" s="74">
        <f t="shared" si="2"/>
        <v>585000</v>
      </c>
      <c r="N400" s="74">
        <f t="shared" si="3"/>
        <v>220000</v>
      </c>
      <c r="O400" s="65" t="str">
        <f>VLOOKUP(E400,DATABASE!C:Q,8,false)</f>
        <v>IBU</v>
      </c>
      <c r="P400" s="65">
        <f>VLOOKUP(E400,DATABASE!C:Q,9,False)</f>
        <v>1</v>
      </c>
      <c r="Q400" s="93" t="str">
        <f>VLOOKUP(E400,DATABASE!C:Q,4,false)</f>
        <v>Dunlop</v>
      </c>
      <c r="R400" s="93" t="str">
        <f>VLOOKUP(E400,DATABASE!C:Q,11,false)</f>
        <v>Tire</v>
      </c>
    </row>
    <row r="401" ht="22.5" customHeight="1">
      <c r="A401" s="49"/>
      <c r="C401" s="384">
        <v>45681.0</v>
      </c>
      <c r="D401" s="65">
        <v>4059.0</v>
      </c>
      <c r="E401" s="445" t="s">
        <v>605</v>
      </c>
      <c r="F401" s="386">
        <v>1.0</v>
      </c>
      <c r="G401" s="74">
        <v>760000.0</v>
      </c>
      <c r="H401" s="74">
        <v>0.0</v>
      </c>
      <c r="I401" s="74">
        <f t="shared" si="1"/>
        <v>760000</v>
      </c>
      <c r="J401" s="74">
        <f>IF(E401="SERVICE",I401-(I401*50%),Vlookup(E401,DATABASE!C:Q,10,false)*F401)</f>
        <v>0</v>
      </c>
      <c r="K401" s="74">
        <v>670000.0</v>
      </c>
      <c r="L401" s="74">
        <v>670000.0</v>
      </c>
      <c r="M401" s="74">
        <f t="shared" si="2"/>
        <v>670000</v>
      </c>
      <c r="N401" s="74">
        <f t="shared" si="3"/>
        <v>90000</v>
      </c>
      <c r="O401" s="65" t="str">
        <f>VLOOKUP(E401,DATABASE!C:Q,8,false)</f>
        <v>IBU</v>
      </c>
      <c r="P401" s="65">
        <f>VLOOKUP(E401,DATABASE!C:Q,9,False)</f>
        <v>1</v>
      </c>
      <c r="Q401" s="93" t="str">
        <f>VLOOKUP(E401,DATABASE!C:Q,4,false)</f>
        <v>Bridgestone</v>
      </c>
      <c r="R401" s="93" t="str">
        <f>VLOOKUP(E401,DATABASE!C:Q,11,false)</f>
        <v>Tire</v>
      </c>
    </row>
    <row r="402" ht="22.5" customHeight="1">
      <c r="A402" s="49"/>
      <c r="C402" s="384">
        <v>45681.0</v>
      </c>
      <c r="D402" s="65">
        <v>4060.0</v>
      </c>
      <c r="E402" s="445" t="s">
        <v>2155</v>
      </c>
      <c r="F402" s="386">
        <v>1.0</v>
      </c>
      <c r="G402" s="74">
        <v>640000.0</v>
      </c>
      <c r="H402" s="74">
        <v>0.0</v>
      </c>
      <c r="I402" s="74">
        <f t="shared" si="1"/>
        <v>640000</v>
      </c>
      <c r="J402" s="74">
        <f>IF(E402="SERVICE",I402-(I402*50%),Vlookup(E402,DATABASE!C:Q,10,false)*F402)</f>
        <v>0</v>
      </c>
      <c r="K402" s="74">
        <f>VLOOKUP(E402,DATABASE!C:Q,7,false)</f>
        <v>555000</v>
      </c>
      <c r="L402" s="74">
        <v>555000.0</v>
      </c>
      <c r="M402" s="74">
        <f t="shared" si="2"/>
        <v>555000</v>
      </c>
      <c r="N402" s="74">
        <f t="shared" si="3"/>
        <v>85000</v>
      </c>
      <c r="O402" s="65" t="str">
        <f>VLOOKUP(E402,DATABASE!C:Q,8,false)</f>
        <v>BIAN</v>
      </c>
      <c r="P402" s="65">
        <f>VLOOKUP(E402,DATABASE!C:Q,9,False)</f>
        <v>1</v>
      </c>
      <c r="Q402" s="93" t="str">
        <f>VLOOKUP(E402,DATABASE!C:Q,4,false)</f>
        <v>SAILUN</v>
      </c>
      <c r="R402" s="93" t="str">
        <f>VLOOKUP(E402,DATABASE!C:Q,11,false)</f>
        <v>Tire</v>
      </c>
    </row>
    <row r="403" ht="22.5" customHeight="1">
      <c r="A403" s="49"/>
      <c r="C403" s="384">
        <v>45681.0</v>
      </c>
      <c r="D403" s="65">
        <v>4061.0</v>
      </c>
      <c r="E403" s="445" t="s">
        <v>256</v>
      </c>
      <c r="F403" s="386">
        <v>1.0</v>
      </c>
      <c r="G403" s="74">
        <v>130000.0</v>
      </c>
      <c r="H403" s="74">
        <v>0.0</v>
      </c>
      <c r="I403" s="74">
        <f t="shared" si="1"/>
        <v>130000</v>
      </c>
      <c r="J403" s="74">
        <f>IF(E403="SERVICE",I403-(I403*50%),Vlookup(E403,DATABASE!C:Q,10,false)*F403)</f>
        <v>10000</v>
      </c>
      <c r="K403" s="74">
        <f>VLOOKUP(E403,DATABASE!C:Q,7,false)</f>
        <v>0</v>
      </c>
      <c r="L403" s="74">
        <v>0.0</v>
      </c>
      <c r="M403" s="74">
        <f t="shared" si="2"/>
        <v>0</v>
      </c>
      <c r="N403" s="74">
        <f t="shared" si="3"/>
        <v>120000</v>
      </c>
      <c r="O403" s="65" t="str">
        <f>VLOOKUP(E403,DATABASE!C:Q,8,false)</f>
        <v>IBU</v>
      </c>
      <c r="P403" s="65">
        <f>VLOOKUP(E403,DATABASE!C:Q,9,False)</f>
        <v>0</v>
      </c>
      <c r="Q403" s="93" t="str">
        <f>VLOOKUP(E403,DATABASE!C:Q,4,false)</f>
        <v>SPOORING</v>
      </c>
      <c r="R403" s="93" t="str">
        <f>VLOOKUP(E403,DATABASE!C:Q,11,false)</f>
        <v>SERVICE</v>
      </c>
    </row>
    <row r="404" ht="22.5" customHeight="1">
      <c r="A404" s="49"/>
      <c r="C404" s="384">
        <v>45681.0</v>
      </c>
      <c r="D404" s="65">
        <v>4061.0</v>
      </c>
      <c r="E404" s="445" t="s">
        <v>251</v>
      </c>
      <c r="F404" s="386">
        <v>1.0</v>
      </c>
      <c r="G404" s="74">
        <v>150000.0</v>
      </c>
      <c r="H404" s="74">
        <v>0.0</v>
      </c>
      <c r="I404" s="74">
        <f t="shared" si="1"/>
        <v>150000</v>
      </c>
      <c r="J404" s="74">
        <f>IF(E404="SERVICE",I404-(I404*50%),Vlookup(E404,DATABASE!C:Q,10,false)*F404)</f>
        <v>75000</v>
      </c>
      <c r="K404" s="74">
        <f>VLOOKUP(E404,DATABASE!C:Q,7,false)</f>
        <v>0</v>
      </c>
      <c r="L404" s="74">
        <v>0.0</v>
      </c>
      <c r="M404" s="74">
        <f t="shared" si="2"/>
        <v>0</v>
      </c>
      <c r="N404" s="74">
        <f t="shared" si="3"/>
        <v>75000</v>
      </c>
      <c r="O404" s="65" t="str">
        <f>VLOOKUP(E404,DATABASE!C:Q,8,false)</f>
        <v>IBU</v>
      </c>
      <c r="P404" s="65">
        <f>VLOOKUP(E404,DATABASE!C:Q,9,False)</f>
        <v>0</v>
      </c>
      <c r="Q404" s="93" t="str">
        <f>VLOOKUP(E404,DATABASE!C:Q,4,false)</f>
        <v>SERVICE</v>
      </c>
      <c r="R404" s="93" t="str">
        <f>VLOOKUP(E404,DATABASE!C:Q,11,false)</f>
        <v>SERVICE</v>
      </c>
    </row>
    <row r="405" ht="22.5" customHeight="1">
      <c r="A405" s="49"/>
      <c r="C405" s="384">
        <v>45681.0</v>
      </c>
      <c r="D405" s="65">
        <v>4062.0</v>
      </c>
      <c r="E405" s="445" t="s">
        <v>391</v>
      </c>
      <c r="F405" s="386">
        <v>1.0</v>
      </c>
      <c r="G405" s="74">
        <v>1950000.0</v>
      </c>
      <c r="H405" s="74">
        <v>0.0</v>
      </c>
      <c r="I405" s="74">
        <f t="shared" si="1"/>
        <v>1950000</v>
      </c>
      <c r="J405" s="74">
        <f>IF(E405="SERVICE",I405-(I405*50%),Vlookup(E405,DATABASE!C:Q,10,false)*F405)</f>
        <v>0</v>
      </c>
      <c r="K405" s="74">
        <f>VLOOKUP(E405,DATABASE!C:Q,7,false)</f>
        <v>1885000</v>
      </c>
      <c r="L405" s="74">
        <v>1840000.0</v>
      </c>
      <c r="M405" s="74">
        <f t="shared" si="2"/>
        <v>1840000</v>
      </c>
      <c r="N405" s="74">
        <f t="shared" si="3"/>
        <v>110000</v>
      </c>
      <c r="O405" s="65" t="str">
        <f>VLOOKUP(E405,DATABASE!C:Q,8,false)</f>
        <v>BIAN</v>
      </c>
      <c r="P405" s="65">
        <f>VLOOKUP(E405,DATABASE!C:Q,9,False)</f>
        <v>1</v>
      </c>
      <c r="Q405" s="93" t="str">
        <f>VLOOKUP(E405,DATABASE!C:Q,4,false)</f>
        <v>Advance</v>
      </c>
      <c r="R405" s="93" t="str">
        <f>VLOOKUP(E405,DATABASE!C:Q,11,false)</f>
        <v>Tire</v>
      </c>
    </row>
    <row r="406" ht="22.5" customHeight="1">
      <c r="A406" s="49"/>
      <c r="C406" s="384">
        <v>45681.0</v>
      </c>
      <c r="D406" s="65">
        <v>4063.0</v>
      </c>
      <c r="E406" s="445" t="s">
        <v>256</v>
      </c>
      <c r="F406" s="386">
        <v>1.0</v>
      </c>
      <c r="G406" s="74">
        <v>130000.0</v>
      </c>
      <c r="H406" s="74">
        <v>0.0</v>
      </c>
      <c r="I406" s="74">
        <f t="shared" si="1"/>
        <v>130000</v>
      </c>
      <c r="J406" s="74">
        <f>IF(E406="SERVICE",I406-(I406*50%),Vlookup(E406,DATABASE!C:Q,10,false)*F406)</f>
        <v>10000</v>
      </c>
      <c r="K406" s="74">
        <f>VLOOKUP(E406,DATABASE!C:Q,7,false)</f>
        <v>0</v>
      </c>
      <c r="L406" s="74">
        <v>0.0</v>
      </c>
      <c r="M406" s="74">
        <f t="shared" si="2"/>
        <v>0</v>
      </c>
      <c r="N406" s="74">
        <f t="shared" si="3"/>
        <v>120000</v>
      </c>
      <c r="O406" s="65" t="str">
        <f>VLOOKUP(E406,DATABASE!C:Q,8,false)</f>
        <v>IBU</v>
      </c>
      <c r="P406" s="65">
        <f>VLOOKUP(E406,DATABASE!C:Q,9,False)</f>
        <v>0</v>
      </c>
      <c r="Q406" s="93" t="str">
        <f>VLOOKUP(E406,DATABASE!C:Q,4,false)</f>
        <v>SPOORING</v>
      </c>
      <c r="R406" s="93" t="str">
        <f>VLOOKUP(E406,DATABASE!C:Q,11,false)</f>
        <v>SERVICE</v>
      </c>
    </row>
    <row r="407" ht="22.5" customHeight="1">
      <c r="A407" s="49"/>
      <c r="C407" s="384">
        <v>45681.0</v>
      </c>
      <c r="D407" s="65">
        <v>4063.0</v>
      </c>
      <c r="E407" s="445" t="s">
        <v>301</v>
      </c>
      <c r="F407" s="386">
        <v>1.0</v>
      </c>
      <c r="G407" s="74">
        <v>250000.0</v>
      </c>
      <c r="H407" s="74">
        <v>0.0</v>
      </c>
      <c r="I407" s="74">
        <f t="shared" si="1"/>
        <v>250000</v>
      </c>
      <c r="J407" s="74">
        <f>IF(E407="SERVICE",I407-(I407*50%),Vlookup(E407,DATABASE!C:Q,10,false)*F407)</f>
        <v>75000</v>
      </c>
      <c r="K407" s="74">
        <f>VLOOKUP(E407,DATABASE!C:Q,7,false)</f>
        <v>75000</v>
      </c>
      <c r="L407" s="74">
        <v>75000.0</v>
      </c>
      <c r="M407" s="74">
        <f t="shared" si="2"/>
        <v>75000</v>
      </c>
      <c r="N407" s="74">
        <f t="shared" si="3"/>
        <v>100000</v>
      </c>
      <c r="O407" s="65" t="str">
        <f>VLOOKUP(E407,DATABASE!C:Q,8,false)</f>
        <v>BIAN</v>
      </c>
      <c r="P407" s="65">
        <f>VLOOKUP(E407,DATABASE!C:Q,9,False)</f>
        <v>0</v>
      </c>
      <c r="Q407" s="93" t="str">
        <f>VLOOKUP(E407,DATABASE!C:Q,4,false)</f>
        <v>Baut Camber</v>
      </c>
      <c r="R407" s="93" t="str">
        <f>VLOOKUP(E407,DATABASE!C:Q,11,false)</f>
        <v>COMPLEMENTARY</v>
      </c>
    </row>
    <row r="408" ht="22.5" customHeight="1">
      <c r="A408" s="49"/>
      <c r="C408" s="384">
        <v>45681.0</v>
      </c>
      <c r="D408" s="65">
        <v>4063.0</v>
      </c>
      <c r="E408" s="385" t="s">
        <v>299</v>
      </c>
      <c r="F408" s="386">
        <v>2.0</v>
      </c>
      <c r="G408" s="74">
        <v>30000.0</v>
      </c>
      <c r="H408" s="74">
        <v>0.0</v>
      </c>
      <c r="I408" s="74">
        <f t="shared" si="1"/>
        <v>60000</v>
      </c>
      <c r="J408" s="74">
        <f>IF(E408="SERVICE",I408-(I408*50%),Vlookup(E408,DATABASE!C:Q,10,false)*F408)</f>
        <v>0</v>
      </c>
      <c r="K408" s="74">
        <v>0.0</v>
      </c>
      <c r="L408" s="74">
        <v>0.0</v>
      </c>
      <c r="M408" s="74">
        <f t="shared" si="2"/>
        <v>0</v>
      </c>
      <c r="N408" s="74">
        <f t="shared" si="3"/>
        <v>60000</v>
      </c>
      <c r="O408" s="65" t="str">
        <f>VLOOKUP(E408,DATABASE!C:Q,8,false)</f>
        <v>BIAN</v>
      </c>
      <c r="P408" s="65">
        <f>VLOOKUP(E408,DATABASE!C:Q,9,False)</f>
        <v>0</v>
      </c>
      <c r="Q408" s="93" t="str">
        <f>VLOOKUP(E408,DATABASE!C:Q,4,false)</f>
        <v>Balancing</v>
      </c>
      <c r="R408" s="93" t="str">
        <f>VLOOKUP(E408,DATABASE!C:Q,11,false)</f>
        <v>COMPLEMENTARY</v>
      </c>
    </row>
    <row r="409" ht="22.5" customHeight="1">
      <c r="A409" s="49"/>
      <c r="C409" s="384">
        <v>45681.0</v>
      </c>
      <c r="D409" s="65">
        <v>4064.0</v>
      </c>
      <c r="E409" s="445" t="s">
        <v>256</v>
      </c>
      <c r="F409" s="386">
        <v>1.0</v>
      </c>
      <c r="G409" s="74">
        <v>130000.0</v>
      </c>
      <c r="H409" s="74">
        <v>0.0</v>
      </c>
      <c r="I409" s="74">
        <f t="shared" si="1"/>
        <v>130000</v>
      </c>
      <c r="J409" s="74">
        <f>IF(E409="SERVICE",I409-(I409*50%),Vlookup(E409,DATABASE!C:Q,10,false)*F409)</f>
        <v>10000</v>
      </c>
      <c r="K409" s="74">
        <f>VLOOKUP(E409,DATABASE!C:Q,7,false)</f>
        <v>0</v>
      </c>
      <c r="L409" s="74">
        <v>0.0</v>
      </c>
      <c r="M409" s="74">
        <f t="shared" si="2"/>
        <v>0</v>
      </c>
      <c r="N409" s="74">
        <f t="shared" si="3"/>
        <v>120000</v>
      </c>
      <c r="O409" s="65" t="str">
        <f>VLOOKUP(E409,DATABASE!C:Q,8,false)</f>
        <v>IBU</v>
      </c>
      <c r="P409" s="65">
        <f>VLOOKUP(E409,DATABASE!C:Q,9,False)</f>
        <v>0</v>
      </c>
      <c r="Q409" s="93" t="str">
        <f>VLOOKUP(E409,DATABASE!C:Q,4,false)</f>
        <v>SPOORING</v>
      </c>
      <c r="R409" s="93" t="str">
        <f>VLOOKUP(E409,DATABASE!C:Q,11,false)</f>
        <v>SERVICE</v>
      </c>
    </row>
    <row r="410" ht="22.5" customHeight="1">
      <c r="A410" s="49"/>
      <c r="C410" s="384">
        <v>45682.0</v>
      </c>
      <c r="D410" s="65">
        <v>4065.0</v>
      </c>
      <c r="E410" s="445" t="s">
        <v>265</v>
      </c>
      <c r="F410" s="386">
        <v>2.0</v>
      </c>
      <c r="G410" s="74">
        <v>660000.0</v>
      </c>
      <c r="H410" s="74">
        <v>0.0</v>
      </c>
      <c r="I410" s="74">
        <f t="shared" si="1"/>
        <v>1320000</v>
      </c>
      <c r="J410" s="74">
        <f>IF(E410="SERVICE",I410-(I410*50%),Vlookup(E410,DATABASE!C:Q,10,false)*F410)</f>
        <v>0</v>
      </c>
      <c r="K410" s="74">
        <v>590000.0</v>
      </c>
      <c r="L410" s="74">
        <v>590000.0</v>
      </c>
      <c r="M410" s="74">
        <f t="shared" si="2"/>
        <v>590000</v>
      </c>
      <c r="N410" s="74">
        <f t="shared" si="3"/>
        <v>140000</v>
      </c>
      <c r="O410" s="65" t="str">
        <f>VLOOKUP(E410,DATABASE!C:Q,8,false)</f>
        <v>IBU</v>
      </c>
      <c r="P410" s="65">
        <f>VLOOKUP(E410,DATABASE!C:Q,9,False)</f>
        <v>1</v>
      </c>
      <c r="Q410" s="93" t="str">
        <f>VLOOKUP(E410,DATABASE!C:Q,4,false)</f>
        <v>Dunlop</v>
      </c>
      <c r="R410" s="93" t="str">
        <f>VLOOKUP(E410,DATABASE!C:Q,11,false)</f>
        <v>Tire</v>
      </c>
    </row>
    <row r="411" ht="22.5" customHeight="1">
      <c r="A411" s="49"/>
      <c r="C411" s="384">
        <v>45682.0</v>
      </c>
      <c r="D411" s="65">
        <v>4066.0</v>
      </c>
      <c r="E411" s="445" t="s">
        <v>932</v>
      </c>
      <c r="F411" s="386">
        <v>1.0</v>
      </c>
      <c r="G411" s="74">
        <v>670000.0</v>
      </c>
      <c r="H411" s="74">
        <v>0.0</v>
      </c>
      <c r="I411" s="74">
        <f t="shared" si="1"/>
        <v>670000</v>
      </c>
      <c r="J411" s="74">
        <f>IF(E411="SERVICE",I411-(I411*50%),Vlookup(E411,DATABASE!C:Q,10,false)*F411)</f>
        <v>0</v>
      </c>
      <c r="K411" s="74">
        <v>575000.0</v>
      </c>
      <c r="L411" s="74">
        <v>575000.0</v>
      </c>
      <c r="M411" s="74">
        <f t="shared" si="2"/>
        <v>575000</v>
      </c>
      <c r="N411" s="74">
        <f t="shared" si="3"/>
        <v>95000</v>
      </c>
      <c r="O411" s="65" t="str">
        <f>VLOOKUP(E411,DATABASE!C:Q,8,false)</f>
        <v>IBU</v>
      </c>
      <c r="P411" s="65">
        <f>VLOOKUP(E411,DATABASE!C:Q,9,False)</f>
        <v>1</v>
      </c>
      <c r="Q411" s="93" t="str">
        <f>VLOOKUP(E411,DATABASE!C:Q,4,false)</f>
        <v>Dunlop</v>
      </c>
      <c r="R411" s="93" t="str">
        <f>VLOOKUP(E411,DATABASE!C:Q,11,false)</f>
        <v>Tire</v>
      </c>
    </row>
    <row r="412" ht="22.5" customHeight="1">
      <c r="A412" s="49"/>
      <c r="C412" s="384">
        <v>45682.0</v>
      </c>
      <c r="D412" s="65">
        <v>4067.0</v>
      </c>
      <c r="E412" s="445" t="s">
        <v>301</v>
      </c>
      <c r="F412" s="386">
        <v>1.0</v>
      </c>
      <c r="G412" s="74">
        <v>250000.0</v>
      </c>
      <c r="H412" s="74">
        <v>0.0</v>
      </c>
      <c r="I412" s="74">
        <f t="shared" si="1"/>
        <v>250000</v>
      </c>
      <c r="J412" s="74">
        <f>IF(E412="SERVICE",I412-(I412*50%),Vlookup(E412,DATABASE!C:Q,10,false)*F412)</f>
        <v>75000</v>
      </c>
      <c r="K412" s="74">
        <f>VLOOKUP(E412,DATABASE!C:Q,7,false)</f>
        <v>75000</v>
      </c>
      <c r="L412" s="74">
        <v>75000.0</v>
      </c>
      <c r="M412" s="74">
        <f t="shared" si="2"/>
        <v>75000</v>
      </c>
      <c r="N412" s="74">
        <f t="shared" si="3"/>
        <v>100000</v>
      </c>
      <c r="O412" s="65" t="str">
        <f>VLOOKUP(E412,DATABASE!C:Q,8,false)</f>
        <v>BIAN</v>
      </c>
      <c r="P412" s="65">
        <f>VLOOKUP(E412,DATABASE!C:Q,9,False)</f>
        <v>0</v>
      </c>
      <c r="Q412" s="93" t="str">
        <f>VLOOKUP(E412,DATABASE!C:Q,4,false)</f>
        <v>Baut Camber</v>
      </c>
      <c r="R412" s="93" t="str">
        <f>VLOOKUP(E412,DATABASE!C:Q,11,false)</f>
        <v>COMPLEMENTARY</v>
      </c>
    </row>
    <row r="413" ht="22.5" customHeight="1">
      <c r="A413" s="49"/>
      <c r="C413" s="384">
        <v>45682.0</v>
      </c>
      <c r="D413" s="65">
        <v>4068.0</v>
      </c>
      <c r="E413" s="445" t="s">
        <v>932</v>
      </c>
      <c r="F413" s="386">
        <v>1.0</v>
      </c>
      <c r="G413" s="74">
        <v>670000.0</v>
      </c>
      <c r="H413" s="74">
        <v>0.0</v>
      </c>
      <c r="I413" s="74">
        <f t="shared" si="1"/>
        <v>670000</v>
      </c>
      <c r="J413" s="74">
        <f>IF(E413="SERVICE",I413-(I413*50%),Vlookup(E413,DATABASE!C:Q,10,false)*F413)</f>
        <v>0</v>
      </c>
      <c r="K413" s="74">
        <v>575000.0</v>
      </c>
      <c r="L413" s="74">
        <v>575000.0</v>
      </c>
      <c r="M413" s="74">
        <f t="shared" si="2"/>
        <v>575000</v>
      </c>
      <c r="N413" s="74">
        <f t="shared" si="3"/>
        <v>95000</v>
      </c>
      <c r="O413" s="65" t="str">
        <f>VLOOKUP(E413,DATABASE!C:Q,8,false)</f>
        <v>IBU</v>
      </c>
      <c r="P413" s="65">
        <f>VLOOKUP(E413,DATABASE!C:Q,9,False)</f>
        <v>1</v>
      </c>
      <c r="Q413" s="93" t="str">
        <f>VLOOKUP(E413,DATABASE!C:Q,4,false)</f>
        <v>Dunlop</v>
      </c>
      <c r="R413" s="93" t="str">
        <f>VLOOKUP(E413,DATABASE!C:Q,11,false)</f>
        <v>Tire</v>
      </c>
    </row>
    <row r="414" ht="22.5" customHeight="1">
      <c r="A414" s="49"/>
      <c r="C414" s="384">
        <v>45682.0</v>
      </c>
      <c r="D414" s="65">
        <v>4069.0</v>
      </c>
      <c r="E414" s="445" t="s">
        <v>777</v>
      </c>
      <c r="F414" s="386">
        <v>1.0</v>
      </c>
      <c r="G414" s="74">
        <v>585000.0</v>
      </c>
      <c r="H414" s="74">
        <v>0.0</v>
      </c>
      <c r="I414" s="74">
        <f t="shared" si="1"/>
        <v>585000</v>
      </c>
      <c r="J414" s="74">
        <f>IF(E414="SERVICE",I414-(I414*50%),Vlookup(E414,DATABASE!C:Q,10,false)*F414)</f>
        <v>0</v>
      </c>
      <c r="K414" s="74">
        <f>VLOOKUP(E414,DATABASE!C:Q,7,false)</f>
        <v>540000</v>
      </c>
      <c r="L414" s="74">
        <v>507000.0</v>
      </c>
      <c r="M414" s="74">
        <f t="shared" si="2"/>
        <v>510000</v>
      </c>
      <c r="N414" s="74">
        <f t="shared" si="3"/>
        <v>75000</v>
      </c>
      <c r="O414" s="65" t="str">
        <f>VLOOKUP(E414,DATABASE!C:Q,8,false)</f>
        <v>BIAN</v>
      </c>
      <c r="P414" s="65">
        <f>VLOOKUP(E414,DATABASE!C:Q,9,False)</f>
        <v>1</v>
      </c>
      <c r="Q414" s="93" t="str">
        <f>VLOOKUP(E414,DATABASE!C:Q,4,false)</f>
        <v>GT</v>
      </c>
      <c r="R414" s="93" t="str">
        <f>VLOOKUP(E414,DATABASE!C:Q,11,false)</f>
        <v>Tire</v>
      </c>
    </row>
    <row r="415" ht="22.5" customHeight="1">
      <c r="A415" s="49"/>
      <c r="C415" s="384">
        <v>45682.0</v>
      </c>
      <c r="D415" s="65">
        <v>4069.0</v>
      </c>
      <c r="E415" s="445" t="s">
        <v>585</v>
      </c>
      <c r="F415" s="386">
        <v>1.0</v>
      </c>
      <c r="G415" s="74">
        <v>95000.0</v>
      </c>
      <c r="H415" s="74">
        <v>0.0</v>
      </c>
      <c r="I415" s="74">
        <f t="shared" si="1"/>
        <v>95000</v>
      </c>
      <c r="J415" s="74">
        <f>IF(E415="SERVICE",I415-(I415*50%),Vlookup(E415,DATABASE!C:Q,10,false)*F415)</f>
        <v>0</v>
      </c>
      <c r="K415" s="74">
        <f>VLOOKUP(E415,DATABASE!C:Q,7,false)</f>
        <v>61600</v>
      </c>
      <c r="L415" s="74">
        <v>61600.0</v>
      </c>
      <c r="M415" s="74">
        <f t="shared" si="2"/>
        <v>65000</v>
      </c>
      <c r="N415" s="74">
        <f t="shared" si="3"/>
        <v>30000</v>
      </c>
      <c r="O415" s="65" t="str">
        <f>VLOOKUP(E415,DATABASE!C:Q,8,false)</f>
        <v>BIAN</v>
      </c>
      <c r="P415" s="65">
        <f>VLOOKUP(E415,DATABASE!C:Q,9,False)</f>
        <v>1</v>
      </c>
      <c r="Q415" s="93" t="str">
        <f>VLOOKUP(E415,DATABASE!C:Q,4,false)</f>
        <v>BD</v>
      </c>
      <c r="R415" s="93" t="str">
        <f>VLOOKUP(E415,DATABASE!C:Q,11,false)</f>
        <v>Tire</v>
      </c>
    </row>
    <row r="416" ht="22.5" customHeight="1">
      <c r="A416" s="49"/>
      <c r="C416" s="384">
        <v>45682.0</v>
      </c>
      <c r="D416" s="65">
        <v>4070.0</v>
      </c>
      <c r="E416" s="445" t="s">
        <v>897</v>
      </c>
      <c r="F416" s="386">
        <v>1.0</v>
      </c>
      <c r="G416" s="74">
        <v>1580000.0</v>
      </c>
      <c r="H416" s="74">
        <v>0.0</v>
      </c>
      <c r="I416" s="74">
        <f t="shared" si="1"/>
        <v>1580000</v>
      </c>
      <c r="J416" s="74">
        <f>IF(E416="SERVICE",I416-(I416*50%),Vlookup(E416,DATABASE!C:Q,10,false)*F416)</f>
        <v>0</v>
      </c>
      <c r="K416" s="74">
        <f>VLOOKUP(E416,DATABASE!C:Q,7,false)</f>
        <v>1560000</v>
      </c>
      <c r="L416" s="74">
        <v>1500000.0</v>
      </c>
      <c r="M416" s="74">
        <f t="shared" si="2"/>
        <v>1500000</v>
      </c>
      <c r="N416" s="74">
        <f t="shared" si="3"/>
        <v>80000</v>
      </c>
      <c r="O416" s="65" t="str">
        <f>VLOOKUP(E416,DATABASE!C:Q,8,false)</f>
        <v>BIAN</v>
      </c>
      <c r="P416" s="65">
        <f>VLOOKUP(E416,DATABASE!C:Q,9,False)</f>
        <v>1</v>
      </c>
      <c r="Q416" s="93" t="str">
        <f>VLOOKUP(E416,DATABASE!C:Q,4,false)</f>
        <v>GT</v>
      </c>
      <c r="R416" s="93" t="str">
        <f>VLOOKUP(E416,DATABASE!C:Q,11,false)</f>
        <v>Tire</v>
      </c>
    </row>
    <row r="417" ht="22.5" customHeight="1">
      <c r="A417" s="49"/>
      <c r="C417" s="384">
        <v>45682.0</v>
      </c>
      <c r="D417" s="65">
        <v>4071.0</v>
      </c>
      <c r="E417" s="445" t="s">
        <v>839</v>
      </c>
      <c r="F417" s="386">
        <v>2.0</v>
      </c>
      <c r="G417" s="74">
        <v>565000.0</v>
      </c>
      <c r="H417" s="74">
        <v>0.0</v>
      </c>
      <c r="I417" s="74">
        <f t="shared" si="1"/>
        <v>1130000</v>
      </c>
      <c r="J417" s="74">
        <f>IF(E417="SERVICE",I417-(I417*50%),Vlookup(E417,DATABASE!C:Q,10,false)*F417)</f>
        <v>0</v>
      </c>
      <c r="K417" s="74">
        <f>VLOOKUP(E417,DATABASE!C:Q,7,false)</f>
        <v>512640</v>
      </c>
      <c r="L417" s="74">
        <v>475700.0</v>
      </c>
      <c r="M417" s="74">
        <f t="shared" si="2"/>
        <v>480000</v>
      </c>
      <c r="N417" s="74">
        <f t="shared" si="3"/>
        <v>170000</v>
      </c>
      <c r="O417" s="65" t="str">
        <f>VLOOKUP(E417,DATABASE!C:Q,8,false)</f>
        <v>BIAN</v>
      </c>
      <c r="P417" s="65">
        <f>VLOOKUP(E417,DATABASE!C:Q,9,False)</f>
        <v>1</v>
      </c>
      <c r="Q417" s="93" t="str">
        <f>VLOOKUP(E417,DATABASE!C:Q,4,false)</f>
        <v>GT</v>
      </c>
      <c r="R417" s="93" t="str">
        <f>VLOOKUP(E417,DATABASE!C:Q,11,false)</f>
        <v>Tire</v>
      </c>
    </row>
    <row r="418" ht="22.5" customHeight="1">
      <c r="A418" s="49"/>
      <c r="C418" s="384">
        <v>45682.0</v>
      </c>
      <c r="D418" s="65">
        <v>4072.0</v>
      </c>
      <c r="E418" s="445" t="s">
        <v>940</v>
      </c>
      <c r="F418" s="386">
        <v>2.0</v>
      </c>
      <c r="G418" s="74">
        <v>800000.0</v>
      </c>
      <c r="H418" s="74">
        <v>0.0</v>
      </c>
      <c r="I418" s="74">
        <f t="shared" si="1"/>
        <v>1600000</v>
      </c>
      <c r="J418" s="74">
        <f>IF(E418="SERVICE",I418-(I418*50%),Vlookup(E418,DATABASE!C:Q,10,false)*F418)</f>
        <v>0</v>
      </c>
      <c r="K418" s="74">
        <f>VLOOKUP(E418,DATABASE!C:Q,7,false)</f>
        <v>716500</v>
      </c>
      <c r="L418" s="74">
        <v>709000.0</v>
      </c>
      <c r="M418" s="74">
        <f t="shared" si="2"/>
        <v>710000</v>
      </c>
      <c r="N418" s="74">
        <f t="shared" si="3"/>
        <v>180000</v>
      </c>
      <c r="O418" s="65" t="str">
        <f>VLOOKUP(E418,DATABASE!C:Q,8,false)</f>
        <v>IBU</v>
      </c>
      <c r="P418" s="65">
        <f>VLOOKUP(E418,DATABASE!C:Q,9,False)</f>
        <v>1</v>
      </c>
      <c r="Q418" s="93" t="str">
        <f>VLOOKUP(E418,DATABASE!C:Q,4,false)</f>
        <v>Dunlop</v>
      </c>
      <c r="R418" s="93" t="str">
        <f>VLOOKUP(E418,DATABASE!C:Q,11,false)</f>
        <v>Tire</v>
      </c>
    </row>
    <row r="419" ht="22.5" customHeight="1">
      <c r="A419" s="49"/>
      <c r="C419" s="384">
        <v>45682.0</v>
      </c>
      <c r="D419" s="65">
        <v>4072.0</v>
      </c>
      <c r="E419" s="445" t="s">
        <v>256</v>
      </c>
      <c r="F419" s="386">
        <v>1.0</v>
      </c>
      <c r="G419" s="74">
        <v>130000.0</v>
      </c>
      <c r="H419" s="74">
        <v>0.0</v>
      </c>
      <c r="I419" s="74">
        <f t="shared" si="1"/>
        <v>130000</v>
      </c>
      <c r="J419" s="74">
        <f>IF(E419="SERVICE",I419-(I419*50%),Vlookup(E419,DATABASE!C:Q,10,false)*F419)</f>
        <v>10000</v>
      </c>
      <c r="K419" s="74">
        <f>VLOOKUP(E419,DATABASE!C:Q,7,false)</f>
        <v>0</v>
      </c>
      <c r="L419" s="74">
        <v>0.0</v>
      </c>
      <c r="M419" s="74">
        <f t="shared" si="2"/>
        <v>0</v>
      </c>
      <c r="N419" s="74">
        <f t="shared" si="3"/>
        <v>120000</v>
      </c>
      <c r="O419" s="65" t="str">
        <f>VLOOKUP(E419,DATABASE!C:Q,8,false)</f>
        <v>IBU</v>
      </c>
      <c r="P419" s="65">
        <f>VLOOKUP(E419,DATABASE!C:Q,9,False)</f>
        <v>0</v>
      </c>
      <c r="Q419" s="93" t="str">
        <f>VLOOKUP(E419,DATABASE!C:Q,4,false)</f>
        <v>SPOORING</v>
      </c>
      <c r="R419" s="93" t="str">
        <f>VLOOKUP(E419,DATABASE!C:Q,11,false)</f>
        <v>SERVICE</v>
      </c>
    </row>
    <row r="420" ht="22.5" customHeight="1">
      <c r="A420" s="49"/>
      <c r="C420" s="384">
        <v>45682.0</v>
      </c>
      <c r="D420" s="65">
        <v>4072.0</v>
      </c>
      <c r="E420" s="445" t="s">
        <v>301</v>
      </c>
      <c r="F420" s="386">
        <v>1.0</v>
      </c>
      <c r="G420" s="74">
        <v>250000.0</v>
      </c>
      <c r="H420" s="74">
        <v>0.0</v>
      </c>
      <c r="I420" s="74">
        <f t="shared" si="1"/>
        <v>250000</v>
      </c>
      <c r="J420" s="74">
        <f>IF(E420="SERVICE",I420-(I420*50%),Vlookup(E420,DATABASE!C:Q,10,false)*F420)</f>
        <v>75000</v>
      </c>
      <c r="K420" s="74">
        <f>VLOOKUP(E420,DATABASE!C:Q,7,false)</f>
        <v>75000</v>
      </c>
      <c r="L420" s="74">
        <v>75000.0</v>
      </c>
      <c r="M420" s="74">
        <f t="shared" si="2"/>
        <v>75000</v>
      </c>
      <c r="N420" s="74">
        <f t="shared" si="3"/>
        <v>100000</v>
      </c>
      <c r="O420" s="65" t="str">
        <f>VLOOKUP(E420,DATABASE!C:Q,8,false)</f>
        <v>BIAN</v>
      </c>
      <c r="P420" s="65">
        <f>VLOOKUP(E420,DATABASE!C:Q,9,False)</f>
        <v>0</v>
      </c>
      <c r="Q420" s="93" t="str">
        <f>VLOOKUP(E420,DATABASE!C:Q,4,false)</f>
        <v>Baut Camber</v>
      </c>
      <c r="R420" s="93" t="str">
        <f>VLOOKUP(E420,DATABASE!C:Q,11,false)</f>
        <v>COMPLEMENTARY</v>
      </c>
    </row>
    <row r="421" ht="22.5" customHeight="1">
      <c r="A421" s="49"/>
      <c r="C421" s="384">
        <v>45682.0</v>
      </c>
      <c r="D421" s="65">
        <v>4073.0</v>
      </c>
      <c r="E421" s="445" t="s">
        <v>1427</v>
      </c>
      <c r="F421" s="386">
        <v>2.0</v>
      </c>
      <c r="G421" s="74">
        <v>785000.0</v>
      </c>
      <c r="H421" s="74">
        <v>0.0</v>
      </c>
      <c r="I421" s="74">
        <f t="shared" si="1"/>
        <v>1570000</v>
      </c>
      <c r="J421" s="74">
        <f>IF(E421="SERVICE",I421-(I421*50%),Vlookup(E421,DATABASE!C:Q,10,false)*F421)</f>
        <v>0</v>
      </c>
      <c r="K421" s="74">
        <f>VLOOKUP(E421,DATABASE!C:Q,7,false)</f>
        <v>696500</v>
      </c>
      <c r="L421" s="74">
        <v>689000.0</v>
      </c>
      <c r="M421" s="74">
        <f t="shared" si="2"/>
        <v>690000</v>
      </c>
      <c r="N421" s="74">
        <f t="shared" si="3"/>
        <v>190000</v>
      </c>
      <c r="O421" s="65" t="str">
        <f>VLOOKUP(E421,DATABASE!C:Q,8,false)</f>
        <v>IBU</v>
      </c>
      <c r="P421" s="65">
        <f>VLOOKUP(E421,DATABASE!C:Q,9,False)</f>
        <v>1</v>
      </c>
      <c r="Q421" s="93" t="str">
        <f>VLOOKUP(E421,DATABASE!C:Q,4,false)</f>
        <v>Dunlop</v>
      </c>
      <c r="R421" s="93" t="str">
        <f>VLOOKUP(E421,DATABASE!C:Q,11,false)</f>
        <v>Tire</v>
      </c>
    </row>
    <row r="422" ht="22.5" customHeight="1">
      <c r="A422" s="49"/>
      <c r="C422" s="384">
        <v>45682.0</v>
      </c>
      <c r="D422" s="65">
        <v>4074.0</v>
      </c>
      <c r="E422" s="445" t="s">
        <v>287</v>
      </c>
      <c r="F422" s="386">
        <v>2.0</v>
      </c>
      <c r="G422" s="74">
        <v>765000.0</v>
      </c>
      <c r="H422" s="74">
        <v>0.0</v>
      </c>
      <c r="I422" s="74">
        <f t="shared" si="1"/>
        <v>1530000</v>
      </c>
      <c r="J422" s="74">
        <f>IF(E422="SERVICE",I422-(I422*50%),Vlookup(E422,DATABASE!C:Q,10,false)*F422)</f>
        <v>0</v>
      </c>
      <c r="K422" s="74">
        <f>VLOOKUP(E422,DATABASE!C:Q,7,false)</f>
        <v>711000</v>
      </c>
      <c r="L422" s="74">
        <v>690600.0</v>
      </c>
      <c r="M422" s="74">
        <f t="shared" si="2"/>
        <v>695000</v>
      </c>
      <c r="N422" s="74">
        <f t="shared" si="3"/>
        <v>140000</v>
      </c>
      <c r="O422" s="65" t="str">
        <f>VLOOKUP(E422,DATABASE!C:Q,8,false)</f>
        <v>BIAN</v>
      </c>
      <c r="P422" s="65">
        <f>VLOOKUP(E422,DATABASE!C:Q,9,False)</f>
        <v>1</v>
      </c>
      <c r="Q422" s="93" t="str">
        <f>VLOOKUP(E422,DATABASE!C:Q,4,false)</f>
        <v>GT</v>
      </c>
      <c r="R422" s="93" t="str">
        <f>VLOOKUP(E422,DATABASE!C:Q,11,false)</f>
        <v>Tire</v>
      </c>
    </row>
    <row r="423" ht="22.5" customHeight="1">
      <c r="A423" s="49"/>
      <c r="C423" s="384">
        <v>45682.0</v>
      </c>
      <c r="D423" s="65">
        <v>4075.0</v>
      </c>
      <c r="E423" s="445" t="s">
        <v>1427</v>
      </c>
      <c r="F423" s="386">
        <v>2.0</v>
      </c>
      <c r="G423" s="74">
        <v>780000.0</v>
      </c>
      <c r="H423" s="74">
        <v>0.0</v>
      </c>
      <c r="I423" s="74">
        <f t="shared" si="1"/>
        <v>1560000</v>
      </c>
      <c r="J423" s="74">
        <f>IF(E423="SERVICE",I423-(I423*50%),Vlookup(E423,DATABASE!C:Q,10,false)*F423)</f>
        <v>0</v>
      </c>
      <c r="K423" s="74">
        <f>VLOOKUP(E423,DATABASE!C:Q,7,false)</f>
        <v>696500</v>
      </c>
      <c r="L423" s="74">
        <v>689000.0</v>
      </c>
      <c r="M423" s="74">
        <f t="shared" si="2"/>
        <v>690000</v>
      </c>
      <c r="N423" s="74">
        <f t="shared" si="3"/>
        <v>180000</v>
      </c>
      <c r="O423" s="65" t="str">
        <f>VLOOKUP(E423,DATABASE!C:Q,8,false)</f>
        <v>IBU</v>
      </c>
      <c r="P423" s="65">
        <f>VLOOKUP(E423,DATABASE!C:Q,9,False)</f>
        <v>1</v>
      </c>
      <c r="Q423" s="93" t="str">
        <f>VLOOKUP(E423,DATABASE!C:Q,4,false)</f>
        <v>Dunlop</v>
      </c>
      <c r="R423" s="93" t="str">
        <f>VLOOKUP(E423,DATABASE!C:Q,11,false)</f>
        <v>Tire</v>
      </c>
    </row>
    <row r="424" ht="22.5" customHeight="1">
      <c r="A424" s="49"/>
      <c r="C424" s="384">
        <v>45682.0</v>
      </c>
      <c r="D424" s="65">
        <v>4075.0</v>
      </c>
      <c r="E424" s="385" t="s">
        <v>299</v>
      </c>
      <c r="F424" s="386">
        <v>2.0</v>
      </c>
      <c r="G424" s="74">
        <v>30000.0</v>
      </c>
      <c r="H424" s="74">
        <v>0.0</v>
      </c>
      <c r="I424" s="74">
        <f t="shared" si="1"/>
        <v>60000</v>
      </c>
      <c r="J424" s="74">
        <f>IF(E424="SERVICE",I424-(I424*50%),Vlookup(E424,DATABASE!C:Q,10,false)*F424)</f>
        <v>0</v>
      </c>
      <c r="K424" s="74">
        <v>0.0</v>
      </c>
      <c r="L424" s="74">
        <v>0.0</v>
      </c>
      <c r="M424" s="74">
        <f t="shared" si="2"/>
        <v>0</v>
      </c>
      <c r="N424" s="74">
        <f t="shared" si="3"/>
        <v>60000</v>
      </c>
      <c r="O424" s="65" t="str">
        <f>VLOOKUP(E424,DATABASE!C:Q,8,false)</f>
        <v>BIAN</v>
      </c>
      <c r="P424" s="65">
        <f>VLOOKUP(E424,DATABASE!C:Q,9,False)</f>
        <v>0</v>
      </c>
      <c r="Q424" s="93" t="str">
        <f>VLOOKUP(E424,DATABASE!C:Q,4,false)</f>
        <v>Balancing</v>
      </c>
      <c r="R424" s="93" t="str">
        <f>VLOOKUP(E424,DATABASE!C:Q,11,false)</f>
        <v>COMPLEMENTARY</v>
      </c>
    </row>
    <row r="425" ht="22.5" customHeight="1">
      <c r="A425" s="49"/>
      <c r="C425" s="384">
        <v>45682.0</v>
      </c>
      <c r="D425" s="65">
        <v>4076.0</v>
      </c>
      <c r="E425" s="445" t="s">
        <v>256</v>
      </c>
      <c r="F425" s="386">
        <v>1.0</v>
      </c>
      <c r="G425" s="74">
        <v>130000.0</v>
      </c>
      <c r="H425" s="74">
        <v>0.0</v>
      </c>
      <c r="I425" s="74">
        <f t="shared" si="1"/>
        <v>130000</v>
      </c>
      <c r="J425" s="74">
        <f>IF(E425="SERVICE",I425-(I425*50%),Vlookup(E425,DATABASE!C:Q,10,false)*F425)</f>
        <v>10000</v>
      </c>
      <c r="K425" s="74">
        <f>VLOOKUP(E425,DATABASE!C:Q,7,false)</f>
        <v>0</v>
      </c>
      <c r="L425" s="74">
        <v>0.0</v>
      </c>
      <c r="M425" s="74">
        <f t="shared" si="2"/>
        <v>0</v>
      </c>
      <c r="N425" s="74">
        <f t="shared" si="3"/>
        <v>120000</v>
      </c>
      <c r="O425" s="65" t="str">
        <f>VLOOKUP(E425,DATABASE!C:Q,8,false)</f>
        <v>IBU</v>
      </c>
      <c r="P425" s="65">
        <f>VLOOKUP(E425,DATABASE!C:Q,9,False)</f>
        <v>0</v>
      </c>
      <c r="Q425" s="93" t="str">
        <f>VLOOKUP(E425,DATABASE!C:Q,4,false)</f>
        <v>SPOORING</v>
      </c>
      <c r="R425" s="93" t="str">
        <f>VLOOKUP(E425,DATABASE!C:Q,11,false)</f>
        <v>SERVICE</v>
      </c>
    </row>
    <row r="426" ht="22.5" customHeight="1">
      <c r="A426" s="49"/>
      <c r="C426" s="384">
        <v>45682.0</v>
      </c>
      <c r="D426" s="65">
        <v>4076.0</v>
      </c>
      <c r="E426" s="445" t="s">
        <v>301</v>
      </c>
      <c r="F426" s="386">
        <v>1.0</v>
      </c>
      <c r="G426" s="74">
        <v>250000.0</v>
      </c>
      <c r="H426" s="74">
        <v>0.0</v>
      </c>
      <c r="I426" s="74">
        <f t="shared" si="1"/>
        <v>250000</v>
      </c>
      <c r="J426" s="74">
        <f>IF(E426="SERVICE",I426-(I426*50%),Vlookup(E426,DATABASE!C:Q,10,false)*F426)</f>
        <v>75000</v>
      </c>
      <c r="K426" s="74">
        <f>VLOOKUP(E426,DATABASE!C:Q,7,false)</f>
        <v>75000</v>
      </c>
      <c r="L426" s="74">
        <v>75000.0</v>
      </c>
      <c r="M426" s="74">
        <f t="shared" si="2"/>
        <v>75000</v>
      </c>
      <c r="N426" s="74">
        <f t="shared" si="3"/>
        <v>100000</v>
      </c>
      <c r="O426" s="65" t="str">
        <f>VLOOKUP(E426,DATABASE!C:Q,8,false)</f>
        <v>BIAN</v>
      </c>
      <c r="P426" s="65">
        <f>VLOOKUP(E426,DATABASE!C:Q,9,False)</f>
        <v>0</v>
      </c>
      <c r="Q426" s="93" t="str">
        <f>VLOOKUP(E426,DATABASE!C:Q,4,false)</f>
        <v>Baut Camber</v>
      </c>
      <c r="R426" s="93" t="str">
        <f>VLOOKUP(E426,DATABASE!C:Q,11,false)</f>
        <v>COMPLEMENTARY</v>
      </c>
    </row>
    <row r="427" ht="22.5" customHeight="1">
      <c r="A427" s="49"/>
      <c r="C427" s="384">
        <v>45682.0</v>
      </c>
      <c r="D427" s="65">
        <v>4077.0</v>
      </c>
      <c r="E427" s="445" t="s">
        <v>566</v>
      </c>
      <c r="F427" s="386">
        <v>2.0</v>
      </c>
      <c r="G427" s="74">
        <v>1670000.0</v>
      </c>
      <c r="H427" s="74">
        <v>0.0</v>
      </c>
      <c r="I427" s="74">
        <f t="shared" si="1"/>
        <v>3340000</v>
      </c>
      <c r="J427" s="74">
        <f>IF(E427="SERVICE",I427-(I427*50%),Vlookup(E427,DATABASE!C:Q,10,false)*F427)</f>
        <v>0</v>
      </c>
      <c r="K427" s="140">
        <v>1570000.0</v>
      </c>
      <c r="L427" s="140">
        <v>1570000.0</v>
      </c>
      <c r="M427" s="74">
        <f t="shared" si="2"/>
        <v>1570000</v>
      </c>
      <c r="N427" s="74">
        <f t="shared" si="3"/>
        <v>200000</v>
      </c>
      <c r="O427" s="65" t="str">
        <f>VLOOKUP(E427,DATABASE!C:Q,8,false)</f>
        <v>IBU</v>
      </c>
      <c r="P427" s="65">
        <f>VLOOKUP(E427,DATABASE!C:Q,9,False)</f>
        <v>1</v>
      </c>
      <c r="Q427" s="93" t="str">
        <f>VLOOKUP(E427,DATABASE!C:Q,4,false)</f>
        <v>Bridgestone</v>
      </c>
      <c r="R427" s="93" t="str">
        <f>VLOOKUP(E427,DATABASE!C:Q,11,false)</f>
        <v>Tire</v>
      </c>
    </row>
    <row r="428" ht="22.5" customHeight="1">
      <c r="A428" s="49"/>
      <c r="C428" s="384">
        <v>45682.0</v>
      </c>
      <c r="D428" s="65">
        <v>4078.0</v>
      </c>
      <c r="E428" s="445" t="s">
        <v>955</v>
      </c>
      <c r="F428" s="386">
        <v>2.0</v>
      </c>
      <c r="G428" s="74">
        <v>780000.0</v>
      </c>
      <c r="H428" s="74">
        <v>0.0</v>
      </c>
      <c r="I428" s="74">
        <f t="shared" si="1"/>
        <v>1560000</v>
      </c>
      <c r="J428" s="74">
        <f>IF(E428="SERVICE",I428-(I428*50%),Vlookup(E428,DATABASE!C:Q,10,false)*F428)</f>
        <v>0</v>
      </c>
      <c r="K428" s="74">
        <f>VLOOKUP(E428,DATABASE!C:Q,7,false)</f>
        <v>712000</v>
      </c>
      <c r="L428" s="74">
        <v>674000.0</v>
      </c>
      <c r="M428" s="74">
        <f t="shared" si="2"/>
        <v>675000</v>
      </c>
      <c r="N428" s="74">
        <f t="shared" si="3"/>
        <v>210000</v>
      </c>
      <c r="O428" s="65" t="str">
        <f>VLOOKUP(E428,DATABASE!C:Q,8,false)</f>
        <v>IBU</v>
      </c>
      <c r="P428" s="65">
        <f>VLOOKUP(E428,DATABASE!C:Q,9,False)</f>
        <v>1</v>
      </c>
      <c r="Q428" s="93" t="str">
        <f>VLOOKUP(E428,DATABASE!C:Q,4,false)</f>
        <v>Dunlop</v>
      </c>
      <c r="R428" s="93" t="str">
        <f>VLOOKUP(E428,DATABASE!C:Q,11,false)</f>
        <v>Tire</v>
      </c>
    </row>
    <row r="429" ht="22.5" customHeight="1">
      <c r="A429" s="49"/>
      <c r="C429" s="384">
        <v>45682.0</v>
      </c>
      <c r="D429" s="65">
        <v>4079.0</v>
      </c>
      <c r="E429" s="445" t="s">
        <v>622</v>
      </c>
      <c r="F429" s="386">
        <v>1.0</v>
      </c>
      <c r="G429" s="74">
        <v>900000.0</v>
      </c>
      <c r="H429" s="74">
        <v>0.0</v>
      </c>
      <c r="I429" s="74">
        <f t="shared" si="1"/>
        <v>900000</v>
      </c>
      <c r="J429" s="74">
        <f>IF(E429="SERVICE",I429-(I429*50%),Vlookup(E429,DATABASE!C:Q,10,false)*F429)</f>
        <v>0</v>
      </c>
      <c r="K429" s="74">
        <f>VLOOKUP(E429,DATABASE!C:Q,7,false)</f>
        <v>851110.375</v>
      </c>
      <c r="L429" s="74">
        <v>810342.44</v>
      </c>
      <c r="M429" s="74">
        <f t="shared" si="2"/>
        <v>815000</v>
      </c>
      <c r="N429" s="74">
        <f t="shared" si="3"/>
        <v>85000</v>
      </c>
      <c r="O429" s="65" t="str">
        <f>VLOOKUP(E429,DATABASE!C:Q,8,false)</f>
        <v>IBU</v>
      </c>
      <c r="P429" s="65">
        <f>VLOOKUP(E429,DATABASE!C:Q,9,False)</f>
        <v>1</v>
      </c>
      <c r="Q429" s="93" t="str">
        <f>VLOOKUP(E429,DATABASE!C:Q,4,false)</f>
        <v>Bridgestone</v>
      </c>
      <c r="R429" s="93" t="str">
        <f>VLOOKUP(E429,DATABASE!C:Q,11,false)</f>
        <v>Tire</v>
      </c>
    </row>
    <row r="430" ht="22.5" customHeight="1">
      <c r="A430" s="49"/>
      <c r="C430" s="384">
        <v>45682.0</v>
      </c>
      <c r="D430" s="65">
        <v>4080.0</v>
      </c>
      <c r="E430" s="445" t="s">
        <v>256</v>
      </c>
      <c r="F430" s="386">
        <v>1.0</v>
      </c>
      <c r="G430" s="74">
        <v>130000.0</v>
      </c>
      <c r="H430" s="74">
        <v>0.0</v>
      </c>
      <c r="I430" s="74">
        <f t="shared" si="1"/>
        <v>130000</v>
      </c>
      <c r="J430" s="74">
        <f>IF(E430="SERVICE",I430-(I430*50%),Vlookup(E430,DATABASE!C:Q,10,false)*F430)</f>
        <v>10000</v>
      </c>
      <c r="K430" s="74">
        <f>VLOOKUP(E430,DATABASE!C:Q,7,false)</f>
        <v>0</v>
      </c>
      <c r="L430" s="74">
        <v>0.0</v>
      </c>
      <c r="M430" s="74">
        <f t="shared" si="2"/>
        <v>0</v>
      </c>
      <c r="N430" s="74">
        <f t="shared" si="3"/>
        <v>120000</v>
      </c>
      <c r="O430" s="65" t="str">
        <f>VLOOKUP(E430,DATABASE!C:Q,8,false)</f>
        <v>IBU</v>
      </c>
      <c r="P430" s="65">
        <f>VLOOKUP(E430,DATABASE!C:Q,9,False)</f>
        <v>0</v>
      </c>
      <c r="Q430" s="93" t="str">
        <f>VLOOKUP(E430,DATABASE!C:Q,4,false)</f>
        <v>SPOORING</v>
      </c>
      <c r="R430" s="93" t="str">
        <f>VLOOKUP(E430,DATABASE!C:Q,11,false)</f>
        <v>SERVICE</v>
      </c>
    </row>
    <row r="431" ht="22.5" customHeight="1">
      <c r="A431" s="49"/>
      <c r="C431" s="384">
        <v>45682.0</v>
      </c>
      <c r="D431" s="65">
        <v>4080.0</v>
      </c>
      <c r="E431" s="445" t="s">
        <v>301</v>
      </c>
      <c r="F431" s="386">
        <v>1.0</v>
      </c>
      <c r="G431" s="74">
        <v>250000.0</v>
      </c>
      <c r="H431" s="74">
        <v>0.0</v>
      </c>
      <c r="I431" s="74">
        <f t="shared" si="1"/>
        <v>250000</v>
      </c>
      <c r="J431" s="74">
        <f>IF(E431="SERVICE",I431-(I431*50%),Vlookup(E431,DATABASE!C:Q,10,false)*F431)</f>
        <v>75000</v>
      </c>
      <c r="K431" s="74">
        <f>VLOOKUP(E431,DATABASE!C:Q,7,false)</f>
        <v>75000</v>
      </c>
      <c r="L431" s="74">
        <v>75000.0</v>
      </c>
      <c r="M431" s="74">
        <f t="shared" si="2"/>
        <v>75000</v>
      </c>
      <c r="N431" s="74">
        <f t="shared" si="3"/>
        <v>100000</v>
      </c>
      <c r="O431" s="65" t="str">
        <f>VLOOKUP(E431,DATABASE!C:Q,8,false)</f>
        <v>BIAN</v>
      </c>
      <c r="P431" s="65">
        <f>VLOOKUP(E431,DATABASE!C:Q,9,False)</f>
        <v>0</v>
      </c>
      <c r="Q431" s="93" t="str">
        <f>VLOOKUP(E431,DATABASE!C:Q,4,false)</f>
        <v>Baut Camber</v>
      </c>
      <c r="R431" s="93" t="str">
        <f>VLOOKUP(E431,DATABASE!C:Q,11,false)</f>
        <v>COMPLEMENTARY</v>
      </c>
    </row>
    <row r="432" ht="22.5" customHeight="1">
      <c r="A432" s="49"/>
      <c r="C432" s="384">
        <v>45682.0</v>
      </c>
      <c r="D432" s="65">
        <v>4081.0</v>
      </c>
      <c r="E432" s="445" t="s">
        <v>1025</v>
      </c>
      <c r="F432" s="386">
        <v>3.0</v>
      </c>
      <c r="G432" s="74">
        <v>840000.0</v>
      </c>
      <c r="H432" s="74">
        <v>0.0</v>
      </c>
      <c r="I432" s="74">
        <f t="shared" si="1"/>
        <v>2520000</v>
      </c>
      <c r="J432" s="74">
        <f>IF(E432="SERVICE",I432-(I432*50%),Vlookup(E432,DATABASE!C:Q,10,false)*F432)</f>
        <v>0</v>
      </c>
      <c r="K432" s="74">
        <f>VLOOKUP(E432,DATABASE!C:Q,7,false)</f>
        <v>683020.8</v>
      </c>
      <c r="L432" s="74">
        <v>683020.8</v>
      </c>
      <c r="M432" s="74">
        <f t="shared" si="2"/>
        <v>685000</v>
      </c>
      <c r="N432" s="74">
        <f t="shared" si="3"/>
        <v>465000</v>
      </c>
      <c r="O432" s="65" t="str">
        <f>VLOOKUP(E432,DATABASE!C:Q,8,false)</f>
        <v>IBU</v>
      </c>
      <c r="P432" s="65">
        <f>VLOOKUP(E432,DATABASE!C:Q,9,False)</f>
        <v>1</v>
      </c>
      <c r="Q432" s="93" t="str">
        <f>VLOOKUP(E432,DATABASE!C:Q,4,false)</f>
        <v>Bridgestone</v>
      </c>
      <c r="R432" s="93" t="str">
        <f>VLOOKUP(E432,DATABASE!C:Q,11,false)</f>
        <v>Tire</v>
      </c>
    </row>
    <row r="433" ht="22.5" customHeight="1">
      <c r="A433" s="49"/>
      <c r="C433" s="384">
        <v>45682.0</v>
      </c>
      <c r="D433" s="65">
        <v>4082.0</v>
      </c>
      <c r="E433" s="445" t="s">
        <v>955</v>
      </c>
      <c r="F433" s="386">
        <v>2.0</v>
      </c>
      <c r="G433" s="74">
        <v>770000.0</v>
      </c>
      <c r="H433" s="74">
        <v>0.0</v>
      </c>
      <c r="I433" s="74">
        <f t="shared" si="1"/>
        <v>1540000</v>
      </c>
      <c r="J433" s="74">
        <f>IF(E433="SERVICE",I433-(I433*50%),Vlookup(E433,DATABASE!C:Q,10,false)*F433)</f>
        <v>0</v>
      </c>
      <c r="K433" s="74">
        <f>VLOOKUP(E433,DATABASE!C:Q,7,false)</f>
        <v>712000</v>
      </c>
      <c r="L433" s="74">
        <v>674000.0</v>
      </c>
      <c r="M433" s="74">
        <f t="shared" si="2"/>
        <v>675000</v>
      </c>
      <c r="N433" s="74">
        <f t="shared" si="3"/>
        <v>190000</v>
      </c>
      <c r="O433" s="65" t="str">
        <f>VLOOKUP(E433,DATABASE!C:Q,8,false)</f>
        <v>IBU</v>
      </c>
      <c r="P433" s="65">
        <f>VLOOKUP(E433,DATABASE!C:Q,9,False)</f>
        <v>1</v>
      </c>
      <c r="Q433" s="93" t="str">
        <f>VLOOKUP(E433,DATABASE!C:Q,4,false)</f>
        <v>Dunlop</v>
      </c>
      <c r="R433" s="93" t="str">
        <f>VLOOKUP(E433,DATABASE!C:Q,11,false)</f>
        <v>Tire</v>
      </c>
    </row>
    <row r="434" ht="22.5" customHeight="1">
      <c r="A434" s="49"/>
      <c r="C434" s="384">
        <v>45682.0</v>
      </c>
      <c r="D434" s="65">
        <v>4083.0</v>
      </c>
      <c r="E434" s="445" t="s">
        <v>256</v>
      </c>
      <c r="F434" s="386">
        <v>1.0</v>
      </c>
      <c r="G434" s="74">
        <v>130000.0</v>
      </c>
      <c r="H434" s="74">
        <v>0.0</v>
      </c>
      <c r="I434" s="74">
        <f t="shared" si="1"/>
        <v>130000</v>
      </c>
      <c r="J434" s="74">
        <f>IF(E434="SERVICE",I434-(I434*50%),Vlookup(E434,DATABASE!C:Q,10,false)*F434)</f>
        <v>10000</v>
      </c>
      <c r="K434" s="74">
        <f>VLOOKUP(E434,DATABASE!C:Q,7,false)</f>
        <v>0</v>
      </c>
      <c r="L434" s="74">
        <v>0.0</v>
      </c>
      <c r="M434" s="74">
        <f t="shared" si="2"/>
        <v>0</v>
      </c>
      <c r="N434" s="74">
        <f t="shared" si="3"/>
        <v>120000</v>
      </c>
      <c r="O434" s="65" t="str">
        <f>VLOOKUP(E434,DATABASE!C:Q,8,false)</f>
        <v>IBU</v>
      </c>
      <c r="P434" s="65">
        <f>VLOOKUP(E434,DATABASE!C:Q,9,False)</f>
        <v>0</v>
      </c>
      <c r="Q434" s="93" t="str">
        <f>VLOOKUP(E434,DATABASE!C:Q,4,false)</f>
        <v>SPOORING</v>
      </c>
      <c r="R434" s="93" t="str">
        <f>VLOOKUP(E434,DATABASE!C:Q,11,false)</f>
        <v>SERVICE</v>
      </c>
    </row>
    <row r="435" ht="22.5" customHeight="1">
      <c r="A435" s="49"/>
      <c r="C435" s="384">
        <v>45682.0</v>
      </c>
      <c r="D435" s="65">
        <v>4084.0</v>
      </c>
      <c r="E435" s="445" t="s">
        <v>251</v>
      </c>
      <c r="F435" s="386">
        <v>1.0</v>
      </c>
      <c r="G435" s="74">
        <v>150000.0</v>
      </c>
      <c r="H435" s="74">
        <v>0.0</v>
      </c>
      <c r="I435" s="74">
        <f t="shared" si="1"/>
        <v>150000</v>
      </c>
      <c r="J435" s="74">
        <f>IF(E435="SERVICE",I435-(I435*50%),Vlookup(E435,DATABASE!C:Q,10,false)*F435)</f>
        <v>75000</v>
      </c>
      <c r="K435" s="74">
        <f>VLOOKUP(E435,DATABASE!C:Q,7,false)</f>
        <v>0</v>
      </c>
      <c r="L435" s="74">
        <v>0.0</v>
      </c>
      <c r="M435" s="74">
        <f t="shared" si="2"/>
        <v>0</v>
      </c>
      <c r="N435" s="74">
        <f t="shared" si="3"/>
        <v>75000</v>
      </c>
      <c r="O435" s="65" t="str">
        <f>VLOOKUP(E435,DATABASE!C:Q,8,false)</f>
        <v>IBU</v>
      </c>
      <c r="P435" s="65">
        <f>VLOOKUP(E435,DATABASE!C:Q,9,False)</f>
        <v>0</v>
      </c>
      <c r="Q435" s="93" t="str">
        <f>VLOOKUP(E435,DATABASE!C:Q,4,false)</f>
        <v>SERVICE</v>
      </c>
      <c r="R435" s="93" t="str">
        <f>VLOOKUP(E435,DATABASE!C:Q,11,false)</f>
        <v>SERVICE</v>
      </c>
    </row>
    <row r="436" ht="22.5" customHeight="1">
      <c r="A436" s="49"/>
      <c r="C436" s="384">
        <v>45682.0</v>
      </c>
      <c r="D436" s="65">
        <v>4085.0</v>
      </c>
      <c r="E436" s="445" t="s">
        <v>246</v>
      </c>
      <c r="F436" s="386">
        <v>4.0</v>
      </c>
      <c r="G436" s="74">
        <v>20000.0</v>
      </c>
      <c r="H436" s="74">
        <v>0.0</v>
      </c>
      <c r="I436" s="74">
        <f t="shared" si="1"/>
        <v>80000</v>
      </c>
      <c r="J436" s="74">
        <f>IF(E436="SERVICE",I436-(I436*50%),Vlookup(E436,DATABASE!C:Q,10,false)*F436)</f>
        <v>0</v>
      </c>
      <c r="K436" s="74">
        <f>VLOOKUP(E436,DATABASE!C:Q,7,false)</f>
        <v>0</v>
      </c>
      <c r="L436" s="74">
        <v>0.0</v>
      </c>
      <c r="M436" s="74">
        <f t="shared" si="2"/>
        <v>0</v>
      </c>
      <c r="N436" s="74">
        <f t="shared" si="3"/>
        <v>80000</v>
      </c>
      <c r="O436" s="65" t="str">
        <f>VLOOKUP(E436,DATABASE!C:Q,8,false)</f>
        <v>IBU</v>
      </c>
      <c r="P436" s="65">
        <f>VLOOKUP(E436,DATABASE!C:Q,9,False)</f>
        <v>0</v>
      </c>
      <c r="Q436" s="93" t="str">
        <f>VLOOKUP(E436,DATABASE!C:Q,4,false)</f>
        <v>Bongkar Pasang</v>
      </c>
      <c r="R436" s="93" t="str">
        <f>VLOOKUP(E436,DATABASE!C:Q,11,false)</f>
        <v>SERVICE</v>
      </c>
    </row>
    <row r="437" ht="22.5" customHeight="1">
      <c r="A437" s="49"/>
      <c r="C437" s="384">
        <v>45684.0</v>
      </c>
      <c r="D437" s="65">
        <v>4088.0</v>
      </c>
      <c r="E437" s="445" t="s">
        <v>1237</v>
      </c>
      <c r="F437" s="386">
        <v>2.0</v>
      </c>
      <c r="G437" s="74">
        <v>1225000.0</v>
      </c>
      <c r="H437" s="74">
        <v>0.0</v>
      </c>
      <c r="I437" s="74">
        <f t="shared" si="1"/>
        <v>2450000</v>
      </c>
      <c r="J437" s="74">
        <f>IF(E437="SERVICE",I437-(I437*50%),Vlookup(E437,DATABASE!C:Q,10,false)*F437)</f>
        <v>0</v>
      </c>
      <c r="K437" s="74">
        <f>VLOOKUP(E437,DATABASE!C:Q,7,false)</f>
        <v>1170353.16</v>
      </c>
      <c r="L437" s="74">
        <v>1113907.2</v>
      </c>
      <c r="M437" s="74">
        <f t="shared" si="2"/>
        <v>1115000</v>
      </c>
      <c r="N437" s="74">
        <f t="shared" si="3"/>
        <v>220000</v>
      </c>
      <c r="O437" s="65" t="str">
        <f>VLOOKUP(E437,DATABASE!C:Q,8,false)</f>
        <v>IBU</v>
      </c>
      <c r="P437" s="65">
        <f>VLOOKUP(E437,DATABASE!C:Q,9,False)</f>
        <v>1</v>
      </c>
      <c r="Q437" s="93" t="str">
        <f>VLOOKUP(E437,DATABASE!C:Q,4,false)</f>
        <v>Bridgestone</v>
      </c>
      <c r="R437" s="93" t="str">
        <f>VLOOKUP(E437,DATABASE!C:Q,11,false)</f>
        <v>Tire</v>
      </c>
    </row>
    <row r="438" ht="22.5" customHeight="1">
      <c r="A438" s="49"/>
      <c r="C438" s="384">
        <v>45684.0</v>
      </c>
      <c r="D438" s="65">
        <v>4089.0</v>
      </c>
      <c r="E438" s="445" t="s">
        <v>695</v>
      </c>
      <c r="F438" s="386">
        <v>4.0</v>
      </c>
      <c r="G438" s="74">
        <v>627500.0</v>
      </c>
      <c r="H438" s="74">
        <v>0.0</v>
      </c>
      <c r="I438" s="74">
        <f t="shared" si="1"/>
        <v>2510000</v>
      </c>
      <c r="J438" s="74">
        <f>IF(E438="SERVICE",I438-(I438*50%),Vlookup(E438,DATABASE!C:Q,10,false)*F438)</f>
        <v>0</v>
      </c>
      <c r="K438" s="74">
        <f>VLOOKUP(E438,DATABASE!C:Q,7,false)</f>
        <v>582000</v>
      </c>
      <c r="L438" s="74">
        <v>570000.0</v>
      </c>
      <c r="M438" s="74">
        <f t="shared" si="2"/>
        <v>570000</v>
      </c>
      <c r="N438" s="74">
        <f t="shared" si="3"/>
        <v>230000</v>
      </c>
      <c r="O438" s="65" t="str">
        <f>VLOOKUP(E438,DATABASE!C:Q,8,false)</f>
        <v>IBU</v>
      </c>
      <c r="P438" s="65">
        <f>VLOOKUP(E438,DATABASE!C:Q,9,False)</f>
        <v>1</v>
      </c>
      <c r="Q438" s="93" t="str">
        <f>VLOOKUP(E438,DATABASE!C:Q,4,false)</f>
        <v>Dunlop</v>
      </c>
      <c r="R438" s="93" t="str">
        <f>VLOOKUP(E438,DATABASE!C:Q,11,false)</f>
        <v>Tire</v>
      </c>
    </row>
    <row r="439" ht="22.5" customHeight="1">
      <c r="A439" s="49"/>
      <c r="C439" s="384">
        <v>45684.0</v>
      </c>
      <c r="D439" s="65">
        <v>4089.0</v>
      </c>
      <c r="E439" s="445" t="s">
        <v>2135</v>
      </c>
      <c r="F439" s="386">
        <v>4.0</v>
      </c>
      <c r="G439" s="74">
        <v>10000.0</v>
      </c>
      <c r="H439" s="74">
        <v>0.0</v>
      </c>
      <c r="I439" s="74">
        <f t="shared" si="1"/>
        <v>40000</v>
      </c>
      <c r="J439" s="74">
        <f>IF(E439="SERVICE",I439-(I439*50%),Vlookup(E439,DATABASE!C:Q,10,false)*F439)</f>
        <v>0</v>
      </c>
      <c r="K439" s="74">
        <f>VLOOKUP(E439,DATABASE!C:Q,7,false)</f>
        <v>0</v>
      </c>
      <c r="L439" s="74">
        <v>0.0</v>
      </c>
      <c r="M439" s="74">
        <f t="shared" si="2"/>
        <v>0</v>
      </c>
      <c r="N439" s="74">
        <f t="shared" si="3"/>
        <v>40000</v>
      </c>
      <c r="O439" s="65" t="str">
        <f>VLOOKUP(E439,DATABASE!C:Q,8,false)</f>
        <v>IBU</v>
      </c>
      <c r="P439" s="65">
        <f>VLOOKUP(E439,DATABASE!C:Q,9,False)</f>
        <v>0</v>
      </c>
      <c r="Q439" s="93" t="str">
        <f>VLOOKUP(E439,DATABASE!C:Q,4,false)</f>
        <v>NITROGEN</v>
      </c>
      <c r="R439" s="93" t="str">
        <f>VLOOKUP(E439,DATABASE!C:Q,11,false)</f>
        <v>COMPLEMENTARY</v>
      </c>
    </row>
    <row r="440" ht="22.5" customHeight="1">
      <c r="A440" s="49"/>
      <c r="C440" s="384">
        <v>45684.0</v>
      </c>
      <c r="D440" s="65">
        <v>4091.0</v>
      </c>
      <c r="E440" s="445" t="s">
        <v>932</v>
      </c>
      <c r="F440" s="386">
        <v>2.0</v>
      </c>
      <c r="G440" s="74">
        <v>670000.0</v>
      </c>
      <c r="H440" s="74">
        <v>0.0</v>
      </c>
      <c r="I440" s="74">
        <f t="shared" si="1"/>
        <v>1340000</v>
      </c>
      <c r="J440" s="74">
        <f>IF(E440="SERVICE",I440-(I440*50%),Vlookup(E440,DATABASE!C:Q,10,false)*F440)</f>
        <v>0</v>
      </c>
      <c r="K440" s="74">
        <v>575000.0</v>
      </c>
      <c r="L440" s="74">
        <v>575000.0</v>
      </c>
      <c r="M440" s="74">
        <f t="shared" si="2"/>
        <v>575000</v>
      </c>
      <c r="N440" s="74">
        <f t="shared" si="3"/>
        <v>190000</v>
      </c>
      <c r="O440" s="65" t="str">
        <f>VLOOKUP(E440,DATABASE!C:Q,8,false)</f>
        <v>IBU</v>
      </c>
      <c r="P440" s="65">
        <f>VLOOKUP(E440,DATABASE!C:Q,9,False)</f>
        <v>1</v>
      </c>
      <c r="Q440" s="93" t="str">
        <f>VLOOKUP(E440,DATABASE!C:Q,4,false)</f>
        <v>Dunlop</v>
      </c>
      <c r="R440" s="93" t="str">
        <f>VLOOKUP(E440,DATABASE!C:Q,11,false)</f>
        <v>Tire</v>
      </c>
    </row>
    <row r="441" ht="22.5" customHeight="1">
      <c r="A441" s="49"/>
      <c r="C441" s="384">
        <v>45684.0</v>
      </c>
      <c r="D441" s="65">
        <v>4091.0</v>
      </c>
      <c r="E441" s="445" t="s">
        <v>2135</v>
      </c>
      <c r="F441" s="386">
        <v>2.0</v>
      </c>
      <c r="G441" s="74">
        <v>15000.0</v>
      </c>
      <c r="H441" s="74">
        <v>0.0</v>
      </c>
      <c r="I441" s="74">
        <f t="shared" si="1"/>
        <v>30000</v>
      </c>
      <c r="J441" s="74">
        <f>IF(E441="SERVICE",I441-(I441*50%),Vlookup(E441,DATABASE!C:Q,10,false)*F441)</f>
        <v>0</v>
      </c>
      <c r="K441" s="74">
        <f>VLOOKUP(E441,DATABASE!C:Q,7,false)</f>
        <v>0</v>
      </c>
      <c r="L441" s="74">
        <v>0.0</v>
      </c>
      <c r="M441" s="74">
        <f t="shared" si="2"/>
        <v>0</v>
      </c>
      <c r="N441" s="74">
        <f t="shared" si="3"/>
        <v>30000</v>
      </c>
      <c r="O441" s="65" t="str">
        <f>VLOOKUP(E441,DATABASE!C:Q,8,false)</f>
        <v>IBU</v>
      </c>
      <c r="P441" s="65">
        <f>VLOOKUP(E441,DATABASE!C:Q,9,False)</f>
        <v>0</v>
      </c>
      <c r="Q441" s="93" t="str">
        <f>VLOOKUP(E441,DATABASE!C:Q,4,false)</f>
        <v>NITROGEN</v>
      </c>
      <c r="R441" s="93" t="str">
        <f>VLOOKUP(E441,DATABASE!C:Q,11,false)</f>
        <v>COMPLEMENTARY</v>
      </c>
    </row>
    <row r="442" ht="22.5" customHeight="1">
      <c r="A442" s="49"/>
      <c r="C442" s="384">
        <v>45684.0</v>
      </c>
      <c r="D442" s="65">
        <v>4092.0</v>
      </c>
      <c r="E442" s="445" t="s">
        <v>604</v>
      </c>
      <c r="F442" s="386">
        <v>1.0</v>
      </c>
      <c r="G442" s="74">
        <v>160000.0</v>
      </c>
      <c r="H442" s="74">
        <v>0.0</v>
      </c>
      <c r="I442" s="74">
        <f t="shared" si="1"/>
        <v>160000</v>
      </c>
      <c r="J442" s="74">
        <f>IF(E442="SERVICE",I442-(I442*50%),Vlookup(E442,DATABASE!C:Q,10,false)*F442)</f>
        <v>0</v>
      </c>
      <c r="K442" s="74">
        <f>VLOOKUP(E442,DATABASE!C:Q,7,false)</f>
        <v>124000</v>
      </c>
      <c r="L442" s="74">
        <v>124000.0</v>
      </c>
      <c r="M442" s="74">
        <f t="shared" si="2"/>
        <v>125000</v>
      </c>
      <c r="N442" s="74">
        <f t="shared" si="3"/>
        <v>35000</v>
      </c>
      <c r="O442" s="65" t="str">
        <f>VLOOKUP(E442,DATABASE!C:Q,8,false)</f>
        <v>BIAN</v>
      </c>
      <c r="P442" s="65">
        <f>VLOOKUP(E442,DATABASE!C:Q,9,False)</f>
        <v>1</v>
      </c>
      <c r="Q442" s="93" t="str">
        <f>VLOOKUP(E442,DATABASE!C:Q,4,false)</f>
        <v>BD</v>
      </c>
      <c r="R442" s="93" t="str">
        <f>VLOOKUP(E442,DATABASE!C:Q,11,false)</f>
        <v>Tire</v>
      </c>
    </row>
    <row r="443" ht="22.5" customHeight="1">
      <c r="A443" s="49"/>
      <c r="C443" s="384">
        <v>45684.0</v>
      </c>
      <c r="D443" s="65">
        <v>4093.0</v>
      </c>
      <c r="E443" s="445" t="s">
        <v>955</v>
      </c>
      <c r="F443" s="386">
        <v>2.0</v>
      </c>
      <c r="G443" s="74">
        <v>770000.0</v>
      </c>
      <c r="H443" s="74">
        <v>0.0</v>
      </c>
      <c r="I443" s="74">
        <f t="shared" si="1"/>
        <v>1540000</v>
      </c>
      <c r="J443" s="74">
        <f>IF(E443="SERVICE",I443-(I443*50%),Vlookup(E443,DATABASE!C:Q,10,false)*F443)</f>
        <v>0</v>
      </c>
      <c r="K443" s="74">
        <f>VLOOKUP(E443,DATABASE!C:Q,7,false)</f>
        <v>712000</v>
      </c>
      <c r="L443" s="74">
        <v>674000.0</v>
      </c>
      <c r="M443" s="74">
        <f t="shared" si="2"/>
        <v>675000</v>
      </c>
      <c r="N443" s="74">
        <f t="shared" si="3"/>
        <v>190000</v>
      </c>
      <c r="O443" s="65" t="str">
        <f>VLOOKUP(E443,DATABASE!C:Q,8,false)</f>
        <v>IBU</v>
      </c>
      <c r="P443" s="65">
        <f>VLOOKUP(E443,DATABASE!C:Q,9,False)</f>
        <v>1</v>
      </c>
      <c r="Q443" s="93" t="str">
        <f>VLOOKUP(E443,DATABASE!C:Q,4,false)</f>
        <v>Dunlop</v>
      </c>
      <c r="R443" s="93" t="str">
        <f>VLOOKUP(E443,DATABASE!C:Q,11,false)</f>
        <v>Tire</v>
      </c>
    </row>
    <row r="444" ht="22.5" customHeight="1">
      <c r="A444" s="49"/>
      <c r="C444" s="384">
        <v>45684.0</v>
      </c>
      <c r="D444" s="65">
        <v>4093.0</v>
      </c>
      <c r="E444" s="445" t="s">
        <v>2135</v>
      </c>
      <c r="F444" s="386">
        <v>2.0</v>
      </c>
      <c r="G444" s="74">
        <v>30000.0</v>
      </c>
      <c r="H444" s="74">
        <v>0.0</v>
      </c>
      <c r="I444" s="74">
        <f t="shared" si="1"/>
        <v>60000</v>
      </c>
      <c r="J444" s="74">
        <f>IF(E444="SERVICE",I444-(I444*50%),Vlookup(E444,DATABASE!C:Q,10,false)*F444)</f>
        <v>0</v>
      </c>
      <c r="K444" s="74">
        <f>VLOOKUP(E444,DATABASE!C:Q,7,false)</f>
        <v>0</v>
      </c>
      <c r="L444" s="74">
        <v>0.0</v>
      </c>
      <c r="M444" s="74">
        <f t="shared" si="2"/>
        <v>0</v>
      </c>
      <c r="N444" s="74">
        <f t="shared" si="3"/>
        <v>60000</v>
      </c>
      <c r="O444" s="65" t="str">
        <f>VLOOKUP(E444,DATABASE!C:Q,8,false)</f>
        <v>IBU</v>
      </c>
      <c r="P444" s="65">
        <f>VLOOKUP(E444,DATABASE!C:Q,9,False)</f>
        <v>0</v>
      </c>
      <c r="Q444" s="93" t="str">
        <f>VLOOKUP(E444,DATABASE!C:Q,4,false)</f>
        <v>NITROGEN</v>
      </c>
      <c r="R444" s="93" t="str">
        <f>VLOOKUP(E444,DATABASE!C:Q,11,false)</f>
        <v>COMPLEMENTARY</v>
      </c>
    </row>
    <row r="445" ht="22.5" customHeight="1">
      <c r="A445" s="49"/>
      <c r="C445" s="384">
        <v>45684.0</v>
      </c>
      <c r="D445" s="65">
        <v>4093.0</v>
      </c>
      <c r="E445" s="445" t="s">
        <v>2140</v>
      </c>
      <c r="F445" s="386">
        <v>1.0</v>
      </c>
      <c r="G445" s="74">
        <v>10000.0</v>
      </c>
      <c r="H445" s="74">
        <v>0.0</v>
      </c>
      <c r="I445" s="74">
        <f t="shared" si="1"/>
        <v>10000</v>
      </c>
      <c r="J445" s="74">
        <f>IF(E445="SERVICE",I445-(I445*50%),Vlookup(E445,DATABASE!C:Q,10,false)*F445)</f>
        <v>0</v>
      </c>
      <c r="K445" s="74">
        <f>VLOOKUP(E445,DATABASE!C:Q,7,false)</f>
        <v>5000</v>
      </c>
      <c r="L445" s="74">
        <v>0.0</v>
      </c>
      <c r="M445" s="74">
        <f t="shared" si="2"/>
        <v>0</v>
      </c>
      <c r="N445" s="74">
        <f t="shared" si="3"/>
        <v>10000</v>
      </c>
      <c r="O445" s="65" t="str">
        <f>VLOOKUP(E445,DATABASE!C:Q,8,false)</f>
        <v>IBU</v>
      </c>
      <c r="P445" s="65">
        <f>VLOOKUP(E445,DATABASE!C:Q,9,False)</f>
        <v>0</v>
      </c>
      <c r="Q445" s="93" t="str">
        <f>VLOOKUP(E445,DATABASE!C:Q,4,false)</f>
        <v>PENTIL + PASANG</v>
      </c>
      <c r="R445" s="93" t="str">
        <f>VLOOKUP(E445,DATABASE!C:Q,11,false)</f>
        <v>COMPLEMENTARY</v>
      </c>
    </row>
    <row r="446" ht="22.5" customHeight="1">
      <c r="A446" s="49"/>
      <c r="C446" s="384">
        <v>45684.0</v>
      </c>
      <c r="D446" s="65">
        <v>4094.0</v>
      </c>
      <c r="E446" s="445" t="s">
        <v>256</v>
      </c>
      <c r="F446" s="386">
        <v>1.0</v>
      </c>
      <c r="G446" s="74">
        <v>130000.0</v>
      </c>
      <c r="H446" s="74">
        <v>0.0</v>
      </c>
      <c r="I446" s="74">
        <f t="shared" si="1"/>
        <v>130000</v>
      </c>
      <c r="J446" s="74">
        <f>IF(E446="SERVICE",I446-(I446*50%),Vlookup(E446,DATABASE!C:Q,10,false)*F446)</f>
        <v>10000</v>
      </c>
      <c r="K446" s="74">
        <f>VLOOKUP(E446,DATABASE!C:Q,7,false)</f>
        <v>0</v>
      </c>
      <c r="L446" s="74">
        <v>0.0</v>
      </c>
      <c r="M446" s="74">
        <f t="shared" si="2"/>
        <v>0</v>
      </c>
      <c r="N446" s="74">
        <f t="shared" si="3"/>
        <v>120000</v>
      </c>
      <c r="O446" s="65" t="str">
        <f>VLOOKUP(E446,DATABASE!C:Q,8,false)</f>
        <v>IBU</v>
      </c>
      <c r="P446" s="65">
        <f>VLOOKUP(E446,DATABASE!C:Q,9,False)</f>
        <v>0</v>
      </c>
      <c r="Q446" s="93" t="str">
        <f>VLOOKUP(E446,DATABASE!C:Q,4,false)</f>
        <v>SPOORING</v>
      </c>
      <c r="R446" s="93" t="str">
        <f>VLOOKUP(E446,DATABASE!C:Q,11,false)</f>
        <v>SERVICE</v>
      </c>
    </row>
    <row r="447" ht="22.5" customHeight="1">
      <c r="A447" s="49"/>
      <c r="C447" s="384">
        <v>45684.0</v>
      </c>
      <c r="D447" s="65">
        <v>4095.0</v>
      </c>
      <c r="E447" s="445" t="s">
        <v>781</v>
      </c>
      <c r="F447" s="386">
        <v>1.0</v>
      </c>
      <c r="G447" s="74">
        <v>520000.0</v>
      </c>
      <c r="H447" s="74">
        <v>0.0</v>
      </c>
      <c r="I447" s="74">
        <f t="shared" si="1"/>
        <v>520000</v>
      </c>
      <c r="J447" s="74">
        <f>IF(E447="SERVICE",I447-(I447*50%),Vlookup(E447,DATABASE!C:Q,10,false)*F447)</f>
        <v>0</v>
      </c>
      <c r="K447" s="74">
        <f>VLOOKUP(E447,DATABASE!C:Q,7,false)</f>
        <v>470000</v>
      </c>
      <c r="L447" s="74">
        <v>442500.0</v>
      </c>
      <c r="M447" s="74">
        <f t="shared" si="2"/>
        <v>445000</v>
      </c>
      <c r="N447" s="74">
        <f t="shared" si="3"/>
        <v>75000</v>
      </c>
      <c r="O447" s="65" t="str">
        <f>VLOOKUP(E447,DATABASE!C:Q,8,false)</f>
        <v>BIAN</v>
      </c>
      <c r="P447" s="65">
        <f>VLOOKUP(E447,DATABASE!C:Q,9,False)</f>
        <v>1</v>
      </c>
      <c r="Q447" s="93" t="str">
        <f>VLOOKUP(E447,DATABASE!C:Q,4,false)</f>
        <v>GT</v>
      </c>
      <c r="R447" s="93" t="str">
        <f>VLOOKUP(E447,DATABASE!C:Q,11,false)</f>
        <v>Tire</v>
      </c>
    </row>
    <row r="448" ht="22.5" customHeight="1">
      <c r="A448" s="49"/>
      <c r="C448" s="384">
        <v>45684.0</v>
      </c>
      <c r="D448" s="65">
        <v>4096.0</v>
      </c>
      <c r="E448" s="445" t="s">
        <v>262</v>
      </c>
      <c r="F448" s="386">
        <v>1.0</v>
      </c>
      <c r="G448" s="74">
        <v>110000.0</v>
      </c>
      <c r="H448" s="74">
        <v>0.0</v>
      </c>
      <c r="I448" s="74">
        <f t="shared" si="1"/>
        <v>110000</v>
      </c>
      <c r="J448" s="74">
        <f>IF(E448="SERVICE",I448-(I448*50%),Vlookup(E448,DATABASE!C:Q,10,false)*F448)</f>
        <v>5000</v>
      </c>
      <c r="K448" s="74">
        <f>VLOOKUP(E448,DATABASE!C:Q,7,false)</f>
        <v>0</v>
      </c>
      <c r="L448" s="74">
        <v>0.0</v>
      </c>
      <c r="M448" s="74">
        <f t="shared" si="2"/>
        <v>0</v>
      </c>
      <c r="N448" s="74">
        <f t="shared" si="3"/>
        <v>105000</v>
      </c>
      <c r="O448" s="65" t="str">
        <f>VLOOKUP(E448,DATABASE!C:Q,8,false)</f>
        <v>IBU</v>
      </c>
      <c r="P448" s="65">
        <f>VLOOKUP(E448,DATABASE!C:Q,9,False)</f>
        <v>0</v>
      </c>
      <c r="Q448" s="93" t="str">
        <f>VLOOKUP(E448,DATABASE!C:Q,4,false)</f>
        <v>SPOORING SS/CARRY LOS BAK</v>
      </c>
      <c r="R448" s="93" t="str">
        <f>VLOOKUP(E448,DATABASE!C:Q,11,false)</f>
        <v>SERVICE</v>
      </c>
    </row>
    <row r="449" ht="22.5" customHeight="1">
      <c r="A449" s="49"/>
      <c r="C449" s="384">
        <v>45684.0</v>
      </c>
      <c r="D449" s="65">
        <v>4096.0</v>
      </c>
      <c r="E449" s="445" t="s">
        <v>478</v>
      </c>
      <c r="F449" s="386">
        <v>1.0</v>
      </c>
      <c r="G449" s="74">
        <v>200000.0</v>
      </c>
      <c r="H449" s="74">
        <v>0.0</v>
      </c>
      <c r="I449" s="74">
        <f t="shared" si="1"/>
        <v>200000</v>
      </c>
      <c r="J449" s="74">
        <f>IF(E449="SERVICE",I449-(I449*50%),Vlookup(E449,DATABASE!C:Q,10,false)*F449)</f>
        <v>25000</v>
      </c>
      <c r="K449" s="74">
        <f>VLOOKUP(E449,DATABASE!C:Q,7,false)</f>
        <v>75000</v>
      </c>
      <c r="L449" s="74">
        <v>75000.0</v>
      </c>
      <c r="M449" s="74">
        <f t="shared" si="2"/>
        <v>75000</v>
      </c>
      <c r="N449" s="74">
        <f t="shared" si="3"/>
        <v>100000</v>
      </c>
      <c r="O449" s="65" t="str">
        <f>VLOOKUP(E449,DATABASE!C:Q,8,false)</f>
        <v>BIAN</v>
      </c>
      <c r="P449" s="65">
        <f>VLOOKUP(E449,DATABASE!C:Q,9,False)</f>
        <v>0</v>
      </c>
      <c r="Q449" s="93" t="str">
        <f>VLOOKUP(E449,DATABASE!C:Q,4,false)</f>
        <v>Baut Camber ss-carry</v>
      </c>
      <c r="R449" s="93" t="str">
        <f>VLOOKUP(E449,DATABASE!C:Q,11,false)</f>
        <v>COMPLEMENTARY</v>
      </c>
    </row>
    <row r="450" ht="22.5" customHeight="1">
      <c r="A450" s="49"/>
      <c r="C450" s="384">
        <v>45684.0</v>
      </c>
      <c r="D450" s="65">
        <v>4097.0</v>
      </c>
      <c r="E450" s="445" t="s">
        <v>268</v>
      </c>
      <c r="F450" s="386">
        <v>2.0</v>
      </c>
      <c r="G450" s="74">
        <v>690000.0</v>
      </c>
      <c r="H450" s="74">
        <v>0.0</v>
      </c>
      <c r="I450" s="74">
        <f t="shared" si="1"/>
        <v>1380000</v>
      </c>
      <c r="J450" s="74">
        <f>IF(E450="SERVICE",I450-(I450*50%),Vlookup(E450,DATABASE!C:Q,10,false)*F450)</f>
        <v>0</v>
      </c>
      <c r="K450" s="74">
        <v>613000.0</v>
      </c>
      <c r="L450" s="74">
        <v>613000.0</v>
      </c>
      <c r="M450" s="74">
        <f t="shared" si="2"/>
        <v>615000</v>
      </c>
      <c r="N450" s="74">
        <f t="shared" si="3"/>
        <v>150000</v>
      </c>
      <c r="O450" s="65" t="str">
        <f>VLOOKUP(E450,DATABASE!C:Q,8,false)</f>
        <v>IBU</v>
      </c>
      <c r="P450" s="65">
        <f>VLOOKUP(E450,DATABASE!C:Q,9,False)</f>
        <v>1</v>
      </c>
      <c r="Q450" s="93" t="str">
        <f>VLOOKUP(E450,DATABASE!C:Q,4,false)</f>
        <v>Dunlop</v>
      </c>
      <c r="R450" s="93" t="str">
        <f>VLOOKUP(E450,DATABASE!C:Q,11,false)</f>
        <v>Tire</v>
      </c>
    </row>
    <row r="451" ht="22.5" customHeight="1">
      <c r="A451" s="49"/>
      <c r="C451" s="384">
        <v>45684.0</v>
      </c>
      <c r="D451" s="65">
        <v>4098.0</v>
      </c>
      <c r="E451" s="385" t="s">
        <v>299</v>
      </c>
      <c r="F451" s="386">
        <v>2.0</v>
      </c>
      <c r="G451" s="74">
        <v>30000.0</v>
      </c>
      <c r="H451" s="74">
        <v>0.0</v>
      </c>
      <c r="I451" s="74">
        <f t="shared" si="1"/>
        <v>60000</v>
      </c>
      <c r="J451" s="74">
        <f>IF(E451="SERVICE",I451-(I451*50%),Vlookup(E451,DATABASE!C:Q,10,false)*F451)</f>
        <v>0</v>
      </c>
      <c r="K451" s="74">
        <v>0.0</v>
      </c>
      <c r="L451" s="74">
        <v>0.0</v>
      </c>
      <c r="M451" s="74">
        <f t="shared" si="2"/>
        <v>0</v>
      </c>
      <c r="N451" s="74">
        <f t="shared" si="3"/>
        <v>60000</v>
      </c>
      <c r="O451" s="65" t="str">
        <f>VLOOKUP(E451,DATABASE!C:Q,8,false)</f>
        <v>BIAN</v>
      </c>
      <c r="P451" s="65">
        <f>VLOOKUP(E451,DATABASE!C:Q,9,False)</f>
        <v>0</v>
      </c>
      <c r="Q451" s="93" t="str">
        <f>VLOOKUP(E451,DATABASE!C:Q,4,false)</f>
        <v>Balancing</v>
      </c>
      <c r="R451" s="93" t="str">
        <f>VLOOKUP(E451,DATABASE!C:Q,11,false)</f>
        <v>COMPLEMENTARY</v>
      </c>
    </row>
    <row r="452" ht="22.5" customHeight="1">
      <c r="A452" s="49"/>
      <c r="C452" s="384">
        <v>45684.0</v>
      </c>
      <c r="D452" s="65">
        <v>4099.0</v>
      </c>
      <c r="E452" s="445" t="s">
        <v>604</v>
      </c>
      <c r="F452" s="386">
        <v>1.0</v>
      </c>
      <c r="G452" s="74">
        <v>160000.0</v>
      </c>
      <c r="H452" s="74">
        <v>0.0</v>
      </c>
      <c r="I452" s="74">
        <f t="shared" si="1"/>
        <v>160000</v>
      </c>
      <c r="J452" s="74">
        <f>IF(E452="SERVICE",I452-(I452*50%),Vlookup(E452,DATABASE!C:Q,10,false)*F452)</f>
        <v>0</v>
      </c>
      <c r="K452" s="74">
        <f>VLOOKUP(E452,DATABASE!C:Q,7,false)</f>
        <v>124000</v>
      </c>
      <c r="L452" s="74">
        <v>124000.0</v>
      </c>
      <c r="M452" s="74">
        <f t="shared" si="2"/>
        <v>125000</v>
      </c>
      <c r="N452" s="74">
        <f t="shared" si="3"/>
        <v>35000</v>
      </c>
      <c r="O452" s="65" t="str">
        <f>VLOOKUP(E452,DATABASE!C:Q,8,false)</f>
        <v>BIAN</v>
      </c>
      <c r="P452" s="65">
        <f>VLOOKUP(E452,DATABASE!C:Q,9,False)</f>
        <v>1</v>
      </c>
      <c r="Q452" s="93" t="str">
        <f>VLOOKUP(E452,DATABASE!C:Q,4,false)</f>
        <v>BD</v>
      </c>
      <c r="R452" s="93" t="str">
        <f>VLOOKUP(E452,DATABASE!C:Q,11,false)</f>
        <v>Tire</v>
      </c>
    </row>
    <row r="453" ht="22.5" customHeight="1">
      <c r="A453" s="49"/>
      <c r="C453" s="384">
        <v>45684.0</v>
      </c>
      <c r="D453" s="65">
        <v>4100.0</v>
      </c>
      <c r="E453" s="445" t="s">
        <v>974</v>
      </c>
      <c r="F453" s="386">
        <v>1.0</v>
      </c>
      <c r="G453" s="74">
        <v>560000.0</v>
      </c>
      <c r="H453" s="74">
        <v>0.0</v>
      </c>
      <c r="I453" s="74">
        <f t="shared" si="1"/>
        <v>560000</v>
      </c>
      <c r="J453" s="74">
        <f>IF(E453="SERVICE",I453-(I453*50%),Vlookup(E453,DATABASE!C:Q,10,false)*F453)</f>
        <v>0</v>
      </c>
      <c r="K453" s="74">
        <f>VLOOKUP(E453,DATABASE!C:Q,7,false)</f>
        <v>501500</v>
      </c>
      <c r="L453" s="74">
        <v>491000.0</v>
      </c>
      <c r="M453" s="74">
        <f t="shared" si="2"/>
        <v>495000</v>
      </c>
      <c r="N453" s="74">
        <f t="shared" si="3"/>
        <v>65000</v>
      </c>
      <c r="O453" s="65" t="str">
        <f>VLOOKUP(E453,DATABASE!C:Q,8,false)</f>
        <v>IBU</v>
      </c>
      <c r="P453" s="65">
        <f>VLOOKUP(E453,DATABASE!C:Q,9,False)</f>
        <v>1</v>
      </c>
      <c r="Q453" s="93" t="str">
        <f>VLOOKUP(E453,DATABASE!C:Q,4,false)</f>
        <v>Dunlop</v>
      </c>
      <c r="R453" s="93" t="str">
        <f>VLOOKUP(E453,DATABASE!C:Q,11,false)</f>
        <v>Tire</v>
      </c>
    </row>
    <row r="454" ht="22.5" customHeight="1">
      <c r="A454" s="49"/>
      <c r="C454" s="384">
        <v>45685.0</v>
      </c>
      <c r="D454" s="65">
        <v>4102.0</v>
      </c>
      <c r="E454" s="445" t="s">
        <v>706</v>
      </c>
      <c r="F454" s="386">
        <v>1.0</v>
      </c>
      <c r="G454" s="74">
        <v>590000.0</v>
      </c>
      <c r="H454" s="74">
        <v>0.0</v>
      </c>
      <c r="I454" s="74">
        <f t="shared" si="1"/>
        <v>590000</v>
      </c>
      <c r="J454" s="74">
        <f>IF(E454="SERVICE",I454-(I454*50%),Vlookup(E454,DATABASE!C:Q,10,false)*F454)</f>
        <v>0</v>
      </c>
      <c r="K454" s="74">
        <f>VLOOKUP(E454,DATABASE!C:Q,7,false)</f>
        <v>485000</v>
      </c>
      <c r="L454" s="74">
        <v>485000.0</v>
      </c>
      <c r="M454" s="74">
        <f t="shared" si="2"/>
        <v>485000</v>
      </c>
      <c r="N454" s="74">
        <f t="shared" si="3"/>
        <v>105000</v>
      </c>
      <c r="O454" s="65" t="str">
        <f>VLOOKUP(E454,DATABASE!C:Q,8,false)</f>
        <v>IBU</v>
      </c>
      <c r="P454" s="65">
        <f>VLOOKUP(E454,DATABASE!C:Q,9,False)</f>
        <v>1</v>
      </c>
      <c r="Q454" s="93" t="str">
        <f>VLOOKUP(E454,DATABASE!C:Q,4,false)</f>
        <v>Dunlop</v>
      </c>
      <c r="R454" s="93" t="str">
        <f>VLOOKUP(E454,DATABASE!C:Q,11,false)</f>
        <v>Tire</v>
      </c>
    </row>
    <row r="455" ht="22.5" customHeight="1">
      <c r="A455" s="49"/>
      <c r="C455" s="384">
        <v>45685.0</v>
      </c>
      <c r="D455" s="65">
        <v>4104.0</v>
      </c>
      <c r="E455" s="445" t="s">
        <v>1890</v>
      </c>
      <c r="F455" s="386">
        <v>1.0</v>
      </c>
      <c r="G455" s="74">
        <v>820000.0</v>
      </c>
      <c r="H455" s="74">
        <v>0.0</v>
      </c>
      <c r="I455" s="74">
        <f t="shared" si="1"/>
        <v>820000</v>
      </c>
      <c r="J455" s="74">
        <f>IF(E455="SERVICE",I455-(I455*50%),Vlookup(E455,DATABASE!C:Q,10,false)*F455)</f>
        <v>0</v>
      </c>
      <c r="K455" s="74">
        <f>VLOOKUP(E455,DATABASE!C:Q,7,false)</f>
        <v>739600</v>
      </c>
      <c r="L455" s="74">
        <v>700000.0</v>
      </c>
      <c r="M455" s="74">
        <f t="shared" si="2"/>
        <v>700000</v>
      </c>
      <c r="N455" s="74">
        <f t="shared" si="3"/>
        <v>120000</v>
      </c>
      <c r="O455" s="65" t="str">
        <f>VLOOKUP(E455,DATABASE!C:Q,8,false)</f>
        <v>BIAN</v>
      </c>
      <c r="P455" s="65">
        <f>VLOOKUP(E455,DATABASE!C:Q,9,False)</f>
        <v>1</v>
      </c>
      <c r="Q455" s="93" t="str">
        <f>VLOOKUP(E455,DATABASE!C:Q,4,false)</f>
        <v>GT</v>
      </c>
      <c r="R455" s="93" t="str">
        <f>VLOOKUP(E455,DATABASE!C:Q,11,false)</f>
        <v>Tire</v>
      </c>
    </row>
    <row r="456" ht="22.5" customHeight="1">
      <c r="A456" s="49"/>
      <c r="C456" s="384">
        <v>45685.0</v>
      </c>
      <c r="D456" s="65">
        <v>4105.0</v>
      </c>
      <c r="E456" s="445" t="s">
        <v>932</v>
      </c>
      <c r="F456" s="386">
        <v>1.0</v>
      </c>
      <c r="G456" s="74">
        <v>670000.0</v>
      </c>
      <c r="H456" s="74">
        <v>0.0</v>
      </c>
      <c r="I456" s="74">
        <f t="shared" si="1"/>
        <v>670000</v>
      </c>
      <c r="J456" s="74">
        <f>IF(E456="SERVICE",I456-(I456*50%),Vlookup(E456,DATABASE!C:Q,10,false)*F456)</f>
        <v>0</v>
      </c>
      <c r="K456" s="74">
        <v>575000.0</v>
      </c>
      <c r="L456" s="74">
        <v>575000.0</v>
      </c>
      <c r="M456" s="74">
        <f t="shared" si="2"/>
        <v>575000</v>
      </c>
      <c r="N456" s="74">
        <f t="shared" si="3"/>
        <v>95000</v>
      </c>
      <c r="O456" s="65" t="str">
        <f>VLOOKUP(E456,DATABASE!C:Q,8,false)</f>
        <v>IBU</v>
      </c>
      <c r="P456" s="65">
        <f>VLOOKUP(E456,DATABASE!C:Q,9,False)</f>
        <v>1</v>
      </c>
      <c r="Q456" s="93" t="str">
        <f>VLOOKUP(E456,DATABASE!C:Q,4,false)</f>
        <v>Dunlop</v>
      </c>
      <c r="R456" s="93" t="str">
        <f>VLOOKUP(E456,DATABASE!C:Q,11,false)</f>
        <v>Tire</v>
      </c>
    </row>
    <row r="457" ht="22.5" customHeight="1">
      <c r="A457" s="49"/>
      <c r="C457" s="384">
        <v>45685.0</v>
      </c>
      <c r="D457" s="65">
        <v>4105.0</v>
      </c>
      <c r="E457" s="445" t="s">
        <v>250</v>
      </c>
      <c r="F457" s="386">
        <v>1.0</v>
      </c>
      <c r="G457" s="74">
        <v>135000.0</v>
      </c>
      <c r="H457" s="74">
        <v>0.0</v>
      </c>
      <c r="I457" s="74">
        <f t="shared" si="1"/>
        <v>135000</v>
      </c>
      <c r="J457" s="74">
        <f>IF(E457="SERVICE",I457-(I457*50%),Vlookup(E457,DATABASE!C:Q,10,false)*F457)</f>
        <v>0</v>
      </c>
      <c r="K457" s="74">
        <f>VLOOKUP(E457,DATABASE!C:Q,7,false)</f>
        <v>102000</v>
      </c>
      <c r="L457" s="74">
        <v>102000.0</v>
      </c>
      <c r="M457" s="74">
        <f t="shared" si="2"/>
        <v>105000</v>
      </c>
      <c r="N457" s="74">
        <f t="shared" si="3"/>
        <v>30000</v>
      </c>
      <c r="O457" s="65" t="str">
        <f>VLOOKUP(E457,DATABASE!C:Q,8,false)</f>
        <v>BIAN</v>
      </c>
      <c r="P457" s="65">
        <f>VLOOKUP(E457,DATABASE!C:Q,9,False)</f>
        <v>1</v>
      </c>
      <c r="Q457" s="93" t="str">
        <f>VLOOKUP(E457,DATABASE!C:Q,4,false)</f>
        <v>BD</v>
      </c>
      <c r="R457" s="93" t="str">
        <f>VLOOKUP(E457,DATABASE!C:Q,11,false)</f>
        <v>Tire</v>
      </c>
    </row>
    <row r="458" ht="22.5" customHeight="1">
      <c r="A458" s="49"/>
      <c r="C458" s="384">
        <v>45685.0</v>
      </c>
      <c r="D458" s="65">
        <v>4106.0</v>
      </c>
      <c r="E458" s="445" t="s">
        <v>246</v>
      </c>
      <c r="F458" s="386">
        <v>4.0</v>
      </c>
      <c r="G458" s="74">
        <v>20000.0</v>
      </c>
      <c r="H458" s="74">
        <v>0.0</v>
      </c>
      <c r="I458" s="74">
        <f t="shared" si="1"/>
        <v>80000</v>
      </c>
      <c r="J458" s="74">
        <f>IF(E458="SERVICE",I458-(I458*50%),Vlookup(E458,DATABASE!C:Q,10,false)*F458)</f>
        <v>0</v>
      </c>
      <c r="K458" s="74">
        <f>VLOOKUP(E458,DATABASE!C:Q,7,false)</f>
        <v>0</v>
      </c>
      <c r="L458" s="74">
        <v>0.0</v>
      </c>
      <c r="M458" s="74">
        <f t="shared" si="2"/>
        <v>0</v>
      </c>
      <c r="N458" s="74">
        <f t="shared" si="3"/>
        <v>80000</v>
      </c>
      <c r="O458" s="65" t="str">
        <f>VLOOKUP(E458,DATABASE!C:Q,8,false)</f>
        <v>IBU</v>
      </c>
      <c r="P458" s="65">
        <f>VLOOKUP(E458,DATABASE!C:Q,9,False)</f>
        <v>0</v>
      </c>
      <c r="Q458" s="93" t="str">
        <f>VLOOKUP(E458,DATABASE!C:Q,4,false)</f>
        <v>Bongkar Pasang</v>
      </c>
      <c r="R458" s="93" t="str">
        <f>VLOOKUP(E458,DATABASE!C:Q,11,false)</f>
        <v>SERVICE</v>
      </c>
    </row>
    <row r="459" ht="22.5" customHeight="1">
      <c r="A459" s="49"/>
      <c r="C459" s="384">
        <v>45685.0</v>
      </c>
      <c r="D459" s="65">
        <v>4106.0</v>
      </c>
      <c r="E459" s="445" t="s">
        <v>256</v>
      </c>
      <c r="F459" s="386">
        <v>1.0</v>
      </c>
      <c r="G459" s="74">
        <v>130000.0</v>
      </c>
      <c r="H459" s="74">
        <v>0.0</v>
      </c>
      <c r="I459" s="74">
        <f t="shared" si="1"/>
        <v>130000</v>
      </c>
      <c r="J459" s="74">
        <f>IF(E459="SERVICE",I459-(I459*50%),Vlookup(E459,DATABASE!C:Q,10,false)*F459)</f>
        <v>10000</v>
      </c>
      <c r="K459" s="74">
        <f>VLOOKUP(E459,DATABASE!C:Q,7,false)</f>
        <v>0</v>
      </c>
      <c r="L459" s="74">
        <v>0.0</v>
      </c>
      <c r="M459" s="74">
        <f t="shared" si="2"/>
        <v>0</v>
      </c>
      <c r="N459" s="74">
        <f t="shared" si="3"/>
        <v>120000</v>
      </c>
      <c r="O459" s="65" t="str">
        <f>VLOOKUP(E459,DATABASE!C:Q,8,false)</f>
        <v>IBU</v>
      </c>
      <c r="P459" s="65">
        <f>VLOOKUP(E459,DATABASE!C:Q,9,False)</f>
        <v>0</v>
      </c>
      <c r="Q459" s="93" t="str">
        <f>VLOOKUP(E459,DATABASE!C:Q,4,false)</f>
        <v>SPOORING</v>
      </c>
      <c r="R459" s="93" t="str">
        <f>VLOOKUP(E459,DATABASE!C:Q,11,false)</f>
        <v>SERVICE</v>
      </c>
    </row>
    <row r="460" ht="22.5" customHeight="1">
      <c r="A460" s="49"/>
      <c r="C460" s="384">
        <v>45685.0</v>
      </c>
      <c r="D460" s="65">
        <v>4107.0</v>
      </c>
      <c r="E460" s="445" t="s">
        <v>1196</v>
      </c>
      <c r="F460" s="386">
        <v>2.0</v>
      </c>
      <c r="G460" s="74">
        <v>1050000.0</v>
      </c>
      <c r="H460" s="74">
        <v>0.0</v>
      </c>
      <c r="I460" s="74">
        <f t="shared" si="1"/>
        <v>2100000</v>
      </c>
      <c r="J460" s="74">
        <f>IF(E460="SERVICE",I460-(I460*50%),Vlookup(E460,DATABASE!C:Q,10,false)*F460)</f>
        <v>0</v>
      </c>
      <c r="K460" s="74">
        <f>VLOOKUP(E460,DATABASE!C:Q,7,false)</f>
        <v>943430.5</v>
      </c>
      <c r="L460" s="74">
        <v>945190.375</v>
      </c>
      <c r="M460" s="74">
        <f t="shared" si="2"/>
        <v>950000</v>
      </c>
      <c r="N460" s="74">
        <f t="shared" si="3"/>
        <v>200000</v>
      </c>
      <c r="O460" s="65" t="str">
        <f>VLOOKUP(E460,DATABASE!C:Q,8,false)</f>
        <v>IBU</v>
      </c>
      <c r="P460" s="65">
        <f>VLOOKUP(E460,DATABASE!C:Q,9,False)</f>
        <v>1</v>
      </c>
      <c r="Q460" s="93" t="str">
        <f>VLOOKUP(E460,DATABASE!C:Q,4,false)</f>
        <v>Bridgestone</v>
      </c>
      <c r="R460" s="93" t="str">
        <f>VLOOKUP(E460,DATABASE!C:Q,11,false)</f>
        <v>Tire</v>
      </c>
    </row>
    <row r="461" ht="22.5" customHeight="1">
      <c r="A461" s="49"/>
      <c r="C461" s="384">
        <v>45685.0</v>
      </c>
      <c r="D461" s="65">
        <v>4108.0</v>
      </c>
      <c r="E461" s="445" t="s">
        <v>2140</v>
      </c>
      <c r="F461" s="386">
        <v>1.0</v>
      </c>
      <c r="G461" s="74">
        <v>35000.0</v>
      </c>
      <c r="H461" s="74">
        <v>0.0</v>
      </c>
      <c r="I461" s="74">
        <f t="shared" si="1"/>
        <v>35000</v>
      </c>
      <c r="J461" s="74">
        <f>IF(E461="SERVICE",I461-(I461*50%),Vlookup(E461,DATABASE!C:Q,10,false)*F461)</f>
        <v>0</v>
      </c>
      <c r="K461" s="74">
        <f>VLOOKUP(E461,DATABASE!C:Q,7,false)</f>
        <v>5000</v>
      </c>
      <c r="L461" s="74">
        <v>0.0</v>
      </c>
      <c r="M461" s="74">
        <f t="shared" si="2"/>
        <v>0</v>
      </c>
      <c r="N461" s="74">
        <f t="shared" si="3"/>
        <v>35000</v>
      </c>
      <c r="O461" s="65" t="str">
        <f>VLOOKUP(E461,DATABASE!C:Q,8,false)</f>
        <v>IBU</v>
      </c>
      <c r="P461" s="65">
        <f>VLOOKUP(E461,DATABASE!C:Q,9,False)</f>
        <v>0</v>
      </c>
      <c r="Q461" s="93" t="str">
        <f>VLOOKUP(E461,DATABASE!C:Q,4,false)</f>
        <v>PENTIL + PASANG</v>
      </c>
      <c r="R461" s="93" t="str">
        <f>VLOOKUP(E461,DATABASE!C:Q,11,false)</f>
        <v>COMPLEMENTARY</v>
      </c>
    </row>
    <row r="462" ht="22.5" customHeight="1">
      <c r="A462" s="49"/>
      <c r="C462" s="384">
        <v>45685.0</v>
      </c>
      <c r="D462" s="65">
        <v>4109.0</v>
      </c>
      <c r="E462" s="445" t="s">
        <v>265</v>
      </c>
      <c r="F462" s="386">
        <v>2.0</v>
      </c>
      <c r="G462" s="74">
        <v>660000.0</v>
      </c>
      <c r="H462" s="74">
        <v>0.0</v>
      </c>
      <c r="I462" s="74">
        <f t="shared" si="1"/>
        <v>1320000</v>
      </c>
      <c r="J462" s="74">
        <f>IF(E462="SERVICE",I462-(I462*50%),Vlookup(E462,DATABASE!C:Q,10,false)*F462)</f>
        <v>0</v>
      </c>
      <c r="K462" s="74">
        <v>590000.0</v>
      </c>
      <c r="L462" s="74">
        <v>590000.0</v>
      </c>
      <c r="M462" s="74">
        <f t="shared" si="2"/>
        <v>590000</v>
      </c>
      <c r="N462" s="74">
        <f t="shared" si="3"/>
        <v>140000</v>
      </c>
      <c r="O462" s="65" t="str">
        <f>VLOOKUP(E462,DATABASE!C:Q,8,false)</f>
        <v>IBU</v>
      </c>
      <c r="P462" s="65">
        <f>VLOOKUP(E462,DATABASE!C:Q,9,False)</f>
        <v>1</v>
      </c>
      <c r="Q462" s="93" t="str">
        <f>VLOOKUP(E462,DATABASE!C:Q,4,false)</f>
        <v>Dunlop</v>
      </c>
      <c r="R462" s="93" t="str">
        <f>VLOOKUP(E462,DATABASE!C:Q,11,false)</f>
        <v>Tire</v>
      </c>
    </row>
    <row r="463" ht="22.5" customHeight="1">
      <c r="A463" s="49"/>
      <c r="C463" s="384">
        <v>45685.0</v>
      </c>
      <c r="D463" s="65">
        <v>4109.0</v>
      </c>
      <c r="E463" s="445" t="s">
        <v>251</v>
      </c>
      <c r="F463" s="386">
        <v>1.0</v>
      </c>
      <c r="G463" s="74">
        <v>150000.0</v>
      </c>
      <c r="H463" s="74">
        <v>0.0</v>
      </c>
      <c r="I463" s="74">
        <f t="shared" si="1"/>
        <v>150000</v>
      </c>
      <c r="J463" s="74">
        <f>IF(E463="SERVICE",I463-(I463*50%),Vlookup(E463,DATABASE!C:Q,10,false)*F463)</f>
        <v>75000</v>
      </c>
      <c r="K463" s="74">
        <f>VLOOKUP(E463,DATABASE!C:Q,7,false)</f>
        <v>0</v>
      </c>
      <c r="L463" s="74">
        <v>0.0</v>
      </c>
      <c r="M463" s="74">
        <f t="shared" si="2"/>
        <v>0</v>
      </c>
      <c r="N463" s="74">
        <f t="shared" si="3"/>
        <v>75000</v>
      </c>
      <c r="O463" s="65" t="str">
        <f>VLOOKUP(E463,DATABASE!C:Q,8,false)</f>
        <v>IBU</v>
      </c>
      <c r="P463" s="65">
        <f>VLOOKUP(E463,DATABASE!C:Q,9,False)</f>
        <v>0</v>
      </c>
      <c r="Q463" s="93" t="str">
        <f>VLOOKUP(E463,DATABASE!C:Q,4,false)</f>
        <v>SERVICE</v>
      </c>
      <c r="R463" s="93" t="str">
        <f>VLOOKUP(E463,DATABASE!C:Q,11,false)</f>
        <v>SERVICE</v>
      </c>
    </row>
    <row r="464" ht="22.5" customHeight="1">
      <c r="A464" s="49"/>
      <c r="C464" s="384">
        <v>45685.0</v>
      </c>
      <c r="D464" s="65">
        <v>4109.0</v>
      </c>
      <c r="E464" s="445" t="s">
        <v>256</v>
      </c>
      <c r="F464" s="386">
        <v>1.0</v>
      </c>
      <c r="G464" s="74">
        <v>130000.0</v>
      </c>
      <c r="H464" s="74">
        <v>0.0</v>
      </c>
      <c r="I464" s="74">
        <f t="shared" si="1"/>
        <v>130000</v>
      </c>
      <c r="J464" s="74">
        <f>IF(E464="SERVICE",I464-(I464*50%),Vlookup(E464,DATABASE!C:Q,10,false)*F464)</f>
        <v>10000</v>
      </c>
      <c r="K464" s="74">
        <f>VLOOKUP(E464,DATABASE!C:Q,7,false)</f>
        <v>0</v>
      </c>
      <c r="L464" s="74">
        <v>0.0</v>
      </c>
      <c r="M464" s="74">
        <f t="shared" si="2"/>
        <v>0</v>
      </c>
      <c r="N464" s="74">
        <f t="shared" si="3"/>
        <v>120000</v>
      </c>
      <c r="O464" s="65" t="str">
        <f>VLOOKUP(E464,DATABASE!C:Q,8,false)</f>
        <v>IBU</v>
      </c>
      <c r="P464" s="65">
        <f>VLOOKUP(E464,DATABASE!C:Q,9,False)</f>
        <v>0</v>
      </c>
      <c r="Q464" s="93" t="str">
        <f>VLOOKUP(E464,DATABASE!C:Q,4,false)</f>
        <v>SPOORING</v>
      </c>
      <c r="R464" s="93" t="str">
        <f>VLOOKUP(E464,DATABASE!C:Q,11,false)</f>
        <v>SERVICE</v>
      </c>
    </row>
    <row r="465" ht="22.5" customHeight="1">
      <c r="A465" s="49"/>
      <c r="C465" s="384">
        <v>45685.0</v>
      </c>
      <c r="D465" s="65">
        <v>4110.0</v>
      </c>
      <c r="E465" s="445" t="s">
        <v>268</v>
      </c>
      <c r="F465" s="386">
        <v>2.0</v>
      </c>
      <c r="G465" s="74">
        <v>690000.0</v>
      </c>
      <c r="H465" s="74">
        <v>0.0</v>
      </c>
      <c r="I465" s="74">
        <f t="shared" si="1"/>
        <v>1380000</v>
      </c>
      <c r="J465" s="74">
        <f>IF(E465="SERVICE",I465-(I465*50%),Vlookup(E465,DATABASE!C:Q,10,false)*F465)</f>
        <v>0</v>
      </c>
      <c r="K465" s="74">
        <v>613000.0</v>
      </c>
      <c r="L465" s="74">
        <v>613000.0</v>
      </c>
      <c r="M465" s="74">
        <f t="shared" si="2"/>
        <v>615000</v>
      </c>
      <c r="N465" s="74">
        <f t="shared" si="3"/>
        <v>150000</v>
      </c>
      <c r="O465" s="65" t="str">
        <f>VLOOKUP(E465,DATABASE!C:Q,8,false)</f>
        <v>IBU</v>
      </c>
      <c r="P465" s="65">
        <f>VLOOKUP(E465,DATABASE!C:Q,9,False)</f>
        <v>1</v>
      </c>
      <c r="Q465" s="93" t="str">
        <f>VLOOKUP(E465,DATABASE!C:Q,4,false)</f>
        <v>Dunlop</v>
      </c>
      <c r="R465" s="93" t="str">
        <f>VLOOKUP(E465,DATABASE!C:Q,11,false)</f>
        <v>Tire</v>
      </c>
    </row>
    <row r="466" ht="22.5" customHeight="1">
      <c r="A466" s="49"/>
      <c r="C466" s="384">
        <v>45685.0</v>
      </c>
      <c r="D466" s="65">
        <v>4111.0</v>
      </c>
      <c r="E466" s="445" t="s">
        <v>1951</v>
      </c>
      <c r="F466" s="386">
        <v>1.0</v>
      </c>
      <c r="G466" s="74">
        <v>830000.0</v>
      </c>
      <c r="H466" s="74">
        <v>0.0</v>
      </c>
      <c r="I466" s="74">
        <f t="shared" si="1"/>
        <v>830000</v>
      </c>
      <c r="J466" s="74">
        <f>IF(E466="SERVICE",I466-(I466*50%),Vlookup(E466,DATABASE!C:Q,10,false)*F466)</f>
        <v>0</v>
      </c>
      <c r="K466" s="74">
        <f>VLOOKUP(E466,DATABASE!C:Q,7,false)</f>
        <v>757300</v>
      </c>
      <c r="L466" s="74">
        <v>757300.0</v>
      </c>
      <c r="M466" s="74">
        <f t="shared" si="2"/>
        <v>760000</v>
      </c>
      <c r="N466" s="74">
        <f t="shared" si="3"/>
        <v>70000</v>
      </c>
      <c r="O466" s="65" t="str">
        <f>VLOOKUP(E466,DATABASE!C:Q,8,false)</f>
        <v>BIAN</v>
      </c>
      <c r="P466" s="65">
        <f>VLOOKUP(E466,DATABASE!C:Q,9,False)</f>
        <v>1</v>
      </c>
      <c r="Q466" s="93" t="str">
        <f>VLOOKUP(E466,DATABASE!C:Q,4,false)</f>
        <v>GT</v>
      </c>
      <c r="R466" s="93" t="str">
        <f>VLOOKUP(E466,DATABASE!C:Q,11,false)</f>
        <v>Tire</v>
      </c>
    </row>
    <row r="467" ht="22.5" customHeight="1">
      <c r="A467" s="49"/>
      <c r="C467" s="384">
        <v>45685.0</v>
      </c>
      <c r="D467" s="65">
        <v>4111.0</v>
      </c>
      <c r="E467" s="445" t="s">
        <v>604</v>
      </c>
      <c r="F467" s="386">
        <v>1.0</v>
      </c>
      <c r="G467" s="74">
        <v>160000.0</v>
      </c>
      <c r="H467" s="74">
        <v>0.0</v>
      </c>
      <c r="I467" s="74">
        <f t="shared" si="1"/>
        <v>160000</v>
      </c>
      <c r="J467" s="74">
        <f>IF(E467="SERVICE",I467-(I467*50%),Vlookup(E467,DATABASE!C:Q,10,false)*F467)</f>
        <v>0</v>
      </c>
      <c r="K467" s="74">
        <f>VLOOKUP(E467,DATABASE!C:Q,7,false)</f>
        <v>124000</v>
      </c>
      <c r="L467" s="74">
        <v>124000.0</v>
      </c>
      <c r="M467" s="74">
        <f t="shared" si="2"/>
        <v>125000</v>
      </c>
      <c r="N467" s="74">
        <f t="shared" si="3"/>
        <v>35000</v>
      </c>
      <c r="O467" s="65" t="str">
        <f>VLOOKUP(E467,DATABASE!C:Q,8,false)</f>
        <v>BIAN</v>
      </c>
      <c r="P467" s="65">
        <f>VLOOKUP(E467,DATABASE!C:Q,9,False)</f>
        <v>1</v>
      </c>
      <c r="Q467" s="93" t="str">
        <f>VLOOKUP(E467,DATABASE!C:Q,4,false)</f>
        <v>BD</v>
      </c>
      <c r="R467" s="93" t="str">
        <f>VLOOKUP(E467,DATABASE!C:Q,11,false)</f>
        <v>Tire</v>
      </c>
    </row>
    <row r="468" ht="22.5" customHeight="1">
      <c r="A468" s="49"/>
      <c r="C468" s="384">
        <v>45685.0</v>
      </c>
      <c r="D468" s="65">
        <v>4112.0</v>
      </c>
      <c r="E468" s="445" t="s">
        <v>265</v>
      </c>
      <c r="F468" s="386">
        <v>1.0</v>
      </c>
      <c r="G468" s="74">
        <v>670000.0</v>
      </c>
      <c r="H468" s="74">
        <v>0.0</v>
      </c>
      <c r="I468" s="74">
        <f t="shared" si="1"/>
        <v>670000</v>
      </c>
      <c r="J468" s="74">
        <f>IF(E468="SERVICE",I468-(I468*50%),Vlookup(E468,DATABASE!C:Q,10,false)*F468)</f>
        <v>0</v>
      </c>
      <c r="K468" s="74">
        <v>590000.0</v>
      </c>
      <c r="L468" s="74">
        <v>590000.0</v>
      </c>
      <c r="M468" s="74">
        <f t="shared" si="2"/>
        <v>590000</v>
      </c>
      <c r="N468" s="74">
        <f t="shared" si="3"/>
        <v>80000</v>
      </c>
      <c r="O468" s="65" t="str">
        <f>VLOOKUP(E468,DATABASE!C:Q,8,false)</f>
        <v>IBU</v>
      </c>
      <c r="P468" s="65">
        <f>VLOOKUP(E468,DATABASE!C:Q,9,False)</f>
        <v>1</v>
      </c>
      <c r="Q468" s="93" t="str">
        <f>VLOOKUP(E468,DATABASE!C:Q,4,false)</f>
        <v>Dunlop</v>
      </c>
      <c r="R468" s="93" t="str">
        <f>VLOOKUP(E468,DATABASE!C:Q,11,false)</f>
        <v>Tire</v>
      </c>
    </row>
    <row r="469" ht="22.5" customHeight="1">
      <c r="A469" s="49"/>
      <c r="C469" s="384">
        <v>45685.0</v>
      </c>
      <c r="D469" s="65">
        <v>4113.0</v>
      </c>
      <c r="E469" s="445" t="s">
        <v>1389</v>
      </c>
      <c r="F469" s="386">
        <v>2.0</v>
      </c>
      <c r="G469" s="74">
        <v>985000.0</v>
      </c>
      <c r="H469" s="74">
        <v>0.0</v>
      </c>
      <c r="I469" s="74">
        <f t="shared" si="1"/>
        <v>1970000</v>
      </c>
      <c r="J469" s="74">
        <f>IF(E469="SERVICE",I469-(I469*50%),Vlookup(E469,DATABASE!C:Q,10,false)*F469)</f>
        <v>0</v>
      </c>
      <c r="K469" s="74">
        <f>VLOOKUP(E469,DATABASE!C:Q,7,false)</f>
        <v>908000</v>
      </c>
      <c r="L469" s="74">
        <v>897000.0</v>
      </c>
      <c r="M469" s="74">
        <f t="shared" si="2"/>
        <v>900000</v>
      </c>
      <c r="N469" s="74">
        <f t="shared" si="3"/>
        <v>170000</v>
      </c>
      <c r="O469" s="65" t="str">
        <f>VLOOKUP(E469,DATABASE!C:Q,8,false)</f>
        <v>IBU</v>
      </c>
      <c r="P469" s="65">
        <f>VLOOKUP(E469,DATABASE!C:Q,9,False)</f>
        <v>1</v>
      </c>
      <c r="Q469" s="93" t="str">
        <f>VLOOKUP(E469,DATABASE!C:Q,4,false)</f>
        <v>Dunlop</v>
      </c>
      <c r="R469" s="93" t="str">
        <f>VLOOKUP(E469,DATABASE!C:Q,11,false)</f>
        <v>Tire</v>
      </c>
    </row>
    <row r="470" ht="22.5" customHeight="1">
      <c r="A470" s="49"/>
      <c r="C470" s="384">
        <v>45685.0</v>
      </c>
      <c r="D470" s="65">
        <v>4113.0</v>
      </c>
      <c r="E470" s="445" t="s">
        <v>2135</v>
      </c>
      <c r="F470" s="386">
        <v>1.0</v>
      </c>
      <c r="G470" s="74">
        <v>15000.0</v>
      </c>
      <c r="H470" s="74">
        <v>0.0</v>
      </c>
      <c r="I470" s="74">
        <f t="shared" si="1"/>
        <v>15000</v>
      </c>
      <c r="J470" s="74">
        <f>IF(E470="SERVICE",I470-(I470*50%),Vlookup(E470,DATABASE!C:Q,10,false)*F470)</f>
        <v>0</v>
      </c>
      <c r="K470" s="74">
        <f>VLOOKUP(E470,DATABASE!C:Q,7,false)</f>
        <v>0</v>
      </c>
      <c r="L470" s="74">
        <v>0.0</v>
      </c>
      <c r="M470" s="74">
        <f t="shared" si="2"/>
        <v>0</v>
      </c>
      <c r="N470" s="74">
        <f t="shared" si="3"/>
        <v>15000</v>
      </c>
      <c r="O470" s="65" t="str">
        <f>VLOOKUP(E470,DATABASE!C:Q,8,false)</f>
        <v>IBU</v>
      </c>
      <c r="P470" s="65">
        <f>VLOOKUP(E470,DATABASE!C:Q,9,False)</f>
        <v>0</v>
      </c>
      <c r="Q470" s="93" t="str">
        <f>VLOOKUP(E470,DATABASE!C:Q,4,false)</f>
        <v>NITROGEN</v>
      </c>
      <c r="R470" s="93" t="str">
        <f>VLOOKUP(E470,DATABASE!C:Q,11,false)</f>
        <v>COMPLEMENTARY</v>
      </c>
    </row>
    <row r="471" ht="22.5" customHeight="1">
      <c r="A471" s="49"/>
      <c r="C471" s="384">
        <v>45685.0</v>
      </c>
      <c r="D471" s="65">
        <v>4114.0</v>
      </c>
      <c r="E471" s="445" t="s">
        <v>268</v>
      </c>
      <c r="F471" s="386">
        <v>2.0</v>
      </c>
      <c r="G471" s="74">
        <v>700000.0</v>
      </c>
      <c r="H471" s="74">
        <v>0.0</v>
      </c>
      <c r="I471" s="74">
        <f t="shared" si="1"/>
        <v>1400000</v>
      </c>
      <c r="J471" s="74">
        <f>IF(E471="SERVICE",I471-(I471*50%),Vlookup(E471,DATABASE!C:Q,10,false)*F471)</f>
        <v>0</v>
      </c>
      <c r="K471" s="74">
        <v>613000.0</v>
      </c>
      <c r="L471" s="74">
        <v>613000.0</v>
      </c>
      <c r="M471" s="74">
        <f t="shared" si="2"/>
        <v>615000</v>
      </c>
      <c r="N471" s="74">
        <f t="shared" si="3"/>
        <v>170000</v>
      </c>
      <c r="O471" s="65" t="str">
        <f>VLOOKUP(E471,DATABASE!C:Q,8,false)</f>
        <v>IBU</v>
      </c>
      <c r="P471" s="65">
        <f>VLOOKUP(E471,DATABASE!C:Q,9,False)</f>
        <v>1</v>
      </c>
      <c r="Q471" s="93" t="str">
        <f>VLOOKUP(E471,DATABASE!C:Q,4,false)</f>
        <v>Dunlop</v>
      </c>
      <c r="R471" s="93" t="str">
        <f>VLOOKUP(E471,DATABASE!C:Q,11,false)</f>
        <v>Tire</v>
      </c>
    </row>
    <row r="472" ht="22.5" customHeight="1">
      <c r="A472" s="49"/>
      <c r="C472" s="384">
        <v>45685.0</v>
      </c>
      <c r="D472" s="65">
        <v>4115.0</v>
      </c>
      <c r="E472" s="385" t="s">
        <v>299</v>
      </c>
      <c r="F472" s="386">
        <v>2.0</v>
      </c>
      <c r="G472" s="74">
        <v>30000.0</v>
      </c>
      <c r="H472" s="74">
        <v>0.0</v>
      </c>
      <c r="I472" s="74">
        <f t="shared" si="1"/>
        <v>60000</v>
      </c>
      <c r="J472" s="74">
        <f>IF(E472="SERVICE",I472-(I472*50%),Vlookup(E472,DATABASE!C:Q,10,false)*F472)</f>
        <v>0</v>
      </c>
      <c r="K472" s="74">
        <v>0.0</v>
      </c>
      <c r="L472" s="74">
        <v>0.0</v>
      </c>
      <c r="M472" s="74">
        <f t="shared" si="2"/>
        <v>0</v>
      </c>
      <c r="N472" s="74">
        <f t="shared" si="3"/>
        <v>60000</v>
      </c>
      <c r="O472" s="65" t="str">
        <f>VLOOKUP(E472,DATABASE!C:Q,8,false)</f>
        <v>BIAN</v>
      </c>
      <c r="P472" s="65">
        <f>VLOOKUP(E472,DATABASE!C:Q,9,False)</f>
        <v>0</v>
      </c>
      <c r="Q472" s="93" t="str">
        <f>VLOOKUP(E472,DATABASE!C:Q,4,false)</f>
        <v>Balancing</v>
      </c>
      <c r="R472" s="93" t="str">
        <f>VLOOKUP(E472,DATABASE!C:Q,11,false)</f>
        <v>COMPLEMENTARY</v>
      </c>
    </row>
    <row r="473" ht="22.5" customHeight="1">
      <c r="A473" s="49"/>
      <c r="C473" s="384">
        <v>45685.0</v>
      </c>
      <c r="D473" s="65">
        <v>4115.0</v>
      </c>
      <c r="E473" s="445" t="s">
        <v>256</v>
      </c>
      <c r="F473" s="386">
        <v>1.0</v>
      </c>
      <c r="G473" s="74">
        <v>130000.0</v>
      </c>
      <c r="H473" s="74">
        <v>0.0</v>
      </c>
      <c r="I473" s="74">
        <f t="shared" si="1"/>
        <v>130000</v>
      </c>
      <c r="J473" s="74">
        <f>IF(E473="SERVICE",I473-(I473*50%),Vlookup(E473,DATABASE!C:Q,10,false)*F473)</f>
        <v>10000</v>
      </c>
      <c r="K473" s="74">
        <f>VLOOKUP(E473,DATABASE!C:Q,7,false)</f>
        <v>0</v>
      </c>
      <c r="L473" s="74">
        <v>0.0</v>
      </c>
      <c r="M473" s="74">
        <f t="shared" si="2"/>
        <v>0</v>
      </c>
      <c r="N473" s="74">
        <f t="shared" si="3"/>
        <v>120000</v>
      </c>
      <c r="O473" s="65" t="str">
        <f>VLOOKUP(E473,DATABASE!C:Q,8,false)</f>
        <v>IBU</v>
      </c>
      <c r="P473" s="65">
        <f>VLOOKUP(E473,DATABASE!C:Q,9,False)</f>
        <v>0</v>
      </c>
      <c r="Q473" s="93" t="str">
        <f>VLOOKUP(E473,DATABASE!C:Q,4,false)</f>
        <v>SPOORING</v>
      </c>
      <c r="R473" s="93" t="str">
        <f>VLOOKUP(E473,DATABASE!C:Q,11,false)</f>
        <v>SERVICE</v>
      </c>
    </row>
    <row r="474" ht="22.5" customHeight="1">
      <c r="A474" s="49"/>
      <c r="C474" s="384">
        <v>45685.0</v>
      </c>
      <c r="D474" s="65">
        <v>4116.0</v>
      </c>
      <c r="E474" s="445" t="s">
        <v>932</v>
      </c>
      <c r="F474" s="386">
        <v>1.0</v>
      </c>
      <c r="G474" s="74">
        <v>665000.0</v>
      </c>
      <c r="H474" s="74">
        <v>0.0</v>
      </c>
      <c r="I474" s="74">
        <f t="shared" si="1"/>
        <v>665000</v>
      </c>
      <c r="J474" s="74">
        <f>IF(E474="SERVICE",I474-(I474*50%),Vlookup(E474,DATABASE!C:Q,10,false)*F474)</f>
        <v>0</v>
      </c>
      <c r="K474" s="74">
        <v>575000.0</v>
      </c>
      <c r="L474" s="74">
        <v>575000.0</v>
      </c>
      <c r="M474" s="74">
        <f t="shared" si="2"/>
        <v>575000</v>
      </c>
      <c r="N474" s="74">
        <f t="shared" si="3"/>
        <v>90000</v>
      </c>
      <c r="O474" s="65" t="str">
        <f>VLOOKUP(E474,DATABASE!C:Q,8,false)</f>
        <v>IBU</v>
      </c>
      <c r="P474" s="65">
        <f>VLOOKUP(E474,DATABASE!C:Q,9,False)</f>
        <v>1</v>
      </c>
      <c r="Q474" s="93" t="str">
        <f>VLOOKUP(E474,DATABASE!C:Q,4,false)</f>
        <v>Dunlop</v>
      </c>
      <c r="R474" s="93" t="str">
        <f>VLOOKUP(E474,DATABASE!C:Q,11,false)</f>
        <v>Tire</v>
      </c>
    </row>
    <row r="475" ht="22.5" customHeight="1">
      <c r="A475" s="49"/>
      <c r="C475" s="384">
        <v>45685.0</v>
      </c>
      <c r="D475" s="65">
        <v>4117.0</v>
      </c>
      <c r="E475" s="385" t="s">
        <v>299</v>
      </c>
      <c r="F475" s="386">
        <v>2.0</v>
      </c>
      <c r="G475" s="74">
        <v>30000.0</v>
      </c>
      <c r="H475" s="74">
        <v>0.0</v>
      </c>
      <c r="I475" s="74">
        <f t="shared" si="1"/>
        <v>60000</v>
      </c>
      <c r="J475" s="74">
        <f>IF(E475="SERVICE",I475-(I475*50%),Vlookup(E475,DATABASE!C:Q,10,false)*F475)</f>
        <v>0</v>
      </c>
      <c r="K475" s="74">
        <v>0.0</v>
      </c>
      <c r="L475" s="74">
        <v>0.0</v>
      </c>
      <c r="M475" s="74">
        <f t="shared" si="2"/>
        <v>0</v>
      </c>
      <c r="N475" s="74">
        <f t="shared" si="3"/>
        <v>60000</v>
      </c>
      <c r="O475" s="65" t="str">
        <f>VLOOKUP(E475,DATABASE!C:Q,8,false)</f>
        <v>BIAN</v>
      </c>
      <c r="P475" s="65">
        <f>VLOOKUP(E475,DATABASE!C:Q,9,False)</f>
        <v>0</v>
      </c>
      <c r="Q475" s="93" t="str">
        <f>VLOOKUP(E475,DATABASE!C:Q,4,false)</f>
        <v>Balancing</v>
      </c>
      <c r="R475" s="93" t="str">
        <f>VLOOKUP(E475,DATABASE!C:Q,11,false)</f>
        <v>COMPLEMENTARY</v>
      </c>
    </row>
    <row r="476" ht="22.5" customHeight="1">
      <c r="A476" s="49"/>
      <c r="C476" s="384">
        <v>45685.0</v>
      </c>
      <c r="D476" s="65">
        <v>4117.0</v>
      </c>
      <c r="E476" s="445" t="s">
        <v>256</v>
      </c>
      <c r="F476" s="386">
        <v>1.0</v>
      </c>
      <c r="G476" s="74">
        <v>130000.0</v>
      </c>
      <c r="H476" s="74">
        <v>0.0</v>
      </c>
      <c r="I476" s="74">
        <f t="shared" si="1"/>
        <v>130000</v>
      </c>
      <c r="J476" s="74">
        <f>IF(E476="SERVICE",I476-(I476*50%),Vlookup(E476,DATABASE!C:Q,10,false)*F476)</f>
        <v>10000</v>
      </c>
      <c r="K476" s="74">
        <f>VLOOKUP(E476,DATABASE!C:Q,7,false)</f>
        <v>0</v>
      </c>
      <c r="L476" s="74">
        <v>0.0</v>
      </c>
      <c r="M476" s="74">
        <f t="shared" si="2"/>
        <v>0</v>
      </c>
      <c r="N476" s="74">
        <f t="shared" si="3"/>
        <v>120000</v>
      </c>
      <c r="O476" s="65" t="str">
        <f>VLOOKUP(E476,DATABASE!C:Q,8,false)</f>
        <v>IBU</v>
      </c>
      <c r="P476" s="65">
        <f>VLOOKUP(E476,DATABASE!C:Q,9,False)</f>
        <v>0</v>
      </c>
      <c r="Q476" s="93" t="str">
        <f>VLOOKUP(E476,DATABASE!C:Q,4,false)</f>
        <v>SPOORING</v>
      </c>
      <c r="R476" s="93" t="str">
        <f>VLOOKUP(E476,DATABASE!C:Q,11,false)</f>
        <v>SERVICE</v>
      </c>
    </row>
    <row r="477" ht="22.5" customHeight="1">
      <c r="A477" s="49"/>
      <c r="C477" s="384">
        <v>45685.0</v>
      </c>
      <c r="D477" s="65">
        <v>4118.0</v>
      </c>
      <c r="E477" s="445" t="s">
        <v>932</v>
      </c>
      <c r="F477" s="386">
        <v>1.0</v>
      </c>
      <c r="G477" s="74">
        <v>670000.0</v>
      </c>
      <c r="H477" s="74">
        <v>0.0</v>
      </c>
      <c r="I477" s="74">
        <f t="shared" si="1"/>
        <v>670000</v>
      </c>
      <c r="J477" s="74">
        <f>IF(E477="SERVICE",I477-(I477*50%),Vlookup(E477,DATABASE!C:Q,10,false)*F477)</f>
        <v>0</v>
      </c>
      <c r="K477" s="74">
        <v>575000.0</v>
      </c>
      <c r="L477" s="74">
        <v>575000.0</v>
      </c>
      <c r="M477" s="74">
        <f t="shared" si="2"/>
        <v>575000</v>
      </c>
      <c r="N477" s="74">
        <f t="shared" si="3"/>
        <v>95000</v>
      </c>
      <c r="O477" s="65" t="str">
        <f>VLOOKUP(E477,DATABASE!C:Q,8,false)</f>
        <v>IBU</v>
      </c>
      <c r="P477" s="65">
        <f>VLOOKUP(E477,DATABASE!C:Q,9,False)</f>
        <v>1</v>
      </c>
      <c r="Q477" s="93" t="str">
        <f>VLOOKUP(E477,DATABASE!C:Q,4,false)</f>
        <v>Dunlop</v>
      </c>
      <c r="R477" s="93" t="str">
        <f>VLOOKUP(E477,DATABASE!C:Q,11,false)</f>
        <v>Tire</v>
      </c>
    </row>
    <row r="478" ht="22.5" customHeight="1">
      <c r="A478" s="49"/>
      <c r="C478" s="384">
        <v>45686.0</v>
      </c>
      <c r="D478" s="65">
        <v>4119.0</v>
      </c>
      <c r="E478" s="445" t="s">
        <v>1434</v>
      </c>
      <c r="F478" s="386">
        <v>2.0</v>
      </c>
      <c r="G478" s="74">
        <v>1005000.0</v>
      </c>
      <c r="H478" s="74">
        <v>0.0</v>
      </c>
      <c r="I478" s="74">
        <f t="shared" si="1"/>
        <v>2010000</v>
      </c>
      <c r="J478" s="74">
        <f>IF(E478="SERVICE",I478-(I478*50%),Vlookup(E478,DATABASE!C:Q,10,false)*F478)</f>
        <v>0</v>
      </c>
      <c r="K478" s="74">
        <f>VLOOKUP(E478,DATABASE!C:Q,7,false)</f>
        <v>904050</v>
      </c>
      <c r="L478" s="74">
        <v>904050.0</v>
      </c>
      <c r="M478" s="74">
        <f t="shared" si="2"/>
        <v>905000</v>
      </c>
      <c r="N478" s="74">
        <f t="shared" si="3"/>
        <v>200000</v>
      </c>
      <c r="O478" s="65" t="str">
        <f>VLOOKUP(E478,DATABASE!C:Q,8,false)</f>
        <v>BIAN</v>
      </c>
      <c r="P478" s="65">
        <f>VLOOKUP(E478,DATABASE!C:Q,9,False)</f>
        <v>1</v>
      </c>
      <c r="Q478" s="93" t="str">
        <f>VLOOKUP(E478,DATABASE!C:Q,4,false)</f>
        <v>GT</v>
      </c>
      <c r="R478" s="93" t="str">
        <f>VLOOKUP(E478,DATABASE!C:Q,11,false)</f>
        <v>Tire</v>
      </c>
    </row>
    <row r="479" ht="22.5" customHeight="1">
      <c r="A479" s="49"/>
      <c r="C479" s="384">
        <v>45686.0</v>
      </c>
      <c r="D479" s="65">
        <v>4119.0</v>
      </c>
      <c r="E479" s="445" t="s">
        <v>2135</v>
      </c>
      <c r="F479" s="386">
        <v>2.0</v>
      </c>
      <c r="G479" s="74">
        <v>15000.0</v>
      </c>
      <c r="H479" s="74">
        <v>0.0</v>
      </c>
      <c r="I479" s="74">
        <f t="shared" si="1"/>
        <v>30000</v>
      </c>
      <c r="J479" s="74">
        <f>IF(E479="SERVICE",I479-(I479*50%),Vlookup(E479,DATABASE!C:Q,10,false)*F479)</f>
        <v>0</v>
      </c>
      <c r="K479" s="74">
        <f>VLOOKUP(E479,DATABASE!C:Q,7,false)</f>
        <v>0</v>
      </c>
      <c r="L479" s="74">
        <v>0.0</v>
      </c>
      <c r="M479" s="74">
        <f t="shared" si="2"/>
        <v>0</v>
      </c>
      <c r="N479" s="74">
        <f t="shared" si="3"/>
        <v>30000</v>
      </c>
      <c r="O479" s="65" t="str">
        <f>VLOOKUP(E479,DATABASE!C:Q,8,false)</f>
        <v>IBU</v>
      </c>
      <c r="P479" s="65">
        <f>VLOOKUP(E479,DATABASE!C:Q,9,False)</f>
        <v>0</v>
      </c>
      <c r="Q479" s="93" t="str">
        <f>VLOOKUP(E479,DATABASE!C:Q,4,false)</f>
        <v>NITROGEN</v>
      </c>
      <c r="R479" s="93" t="str">
        <f>VLOOKUP(E479,DATABASE!C:Q,11,false)</f>
        <v>COMPLEMENTARY</v>
      </c>
    </row>
    <row r="480" ht="22.5" customHeight="1">
      <c r="A480" s="49"/>
      <c r="C480" s="384">
        <v>45686.0</v>
      </c>
      <c r="D480" s="65">
        <v>4122.0</v>
      </c>
      <c r="E480" s="445" t="s">
        <v>897</v>
      </c>
      <c r="F480" s="386">
        <v>2.0</v>
      </c>
      <c r="G480" s="74">
        <v>1585000.0</v>
      </c>
      <c r="H480" s="74">
        <v>0.0</v>
      </c>
      <c r="I480" s="74">
        <f t="shared" si="1"/>
        <v>3170000</v>
      </c>
      <c r="J480" s="74">
        <f>IF(E480="SERVICE",I480-(I480*50%),Vlookup(E480,DATABASE!C:Q,10,false)*F480)</f>
        <v>0</v>
      </c>
      <c r="K480" s="74">
        <f>VLOOKUP(E480,DATABASE!C:Q,7,false)</f>
        <v>1560000</v>
      </c>
      <c r="L480" s="74">
        <v>1500000.0</v>
      </c>
      <c r="M480" s="74">
        <f t="shared" si="2"/>
        <v>1500000</v>
      </c>
      <c r="N480" s="74">
        <f t="shared" si="3"/>
        <v>170000</v>
      </c>
      <c r="O480" s="65" t="str">
        <f>VLOOKUP(E480,DATABASE!C:Q,8,false)</f>
        <v>BIAN</v>
      </c>
      <c r="P480" s="65">
        <f>VLOOKUP(E480,DATABASE!C:Q,9,False)</f>
        <v>1</v>
      </c>
      <c r="Q480" s="93" t="str">
        <f>VLOOKUP(E480,DATABASE!C:Q,4,false)</f>
        <v>GT</v>
      </c>
      <c r="R480" s="93" t="str">
        <f>VLOOKUP(E480,DATABASE!C:Q,11,false)</f>
        <v>Tire</v>
      </c>
    </row>
    <row r="481" ht="22.5" customHeight="1">
      <c r="A481" s="49"/>
      <c r="C481" s="384">
        <v>45686.0</v>
      </c>
      <c r="D481" s="65">
        <v>4122.0</v>
      </c>
      <c r="E481" s="445" t="s">
        <v>744</v>
      </c>
      <c r="F481" s="386">
        <v>2.0</v>
      </c>
      <c r="G481" s="74">
        <v>230000.0</v>
      </c>
      <c r="H481" s="74">
        <v>0.0</v>
      </c>
      <c r="I481" s="74">
        <f t="shared" si="1"/>
        <v>460000</v>
      </c>
      <c r="J481" s="74">
        <f>IF(E481="SERVICE",I481-(I481*50%),Vlookup(E481,DATABASE!C:Q,10,false)*F481)</f>
        <v>0</v>
      </c>
      <c r="K481" s="74">
        <f>VLOOKUP(E481,DATABASE!C:Q,7,false)</f>
        <v>182200</v>
      </c>
      <c r="L481" s="74">
        <v>199920.0</v>
      </c>
      <c r="M481" s="74">
        <f t="shared" si="2"/>
        <v>200000</v>
      </c>
      <c r="N481" s="74">
        <f t="shared" si="3"/>
        <v>60000</v>
      </c>
      <c r="O481" s="65" t="str">
        <f>VLOOKUP(E481,DATABASE!C:Q,8,false)</f>
        <v>BIAN</v>
      </c>
      <c r="P481" s="65">
        <f>VLOOKUP(E481,DATABASE!C:Q,9,False)</f>
        <v>1</v>
      </c>
      <c r="Q481" s="93" t="str">
        <f>VLOOKUP(E481,DATABASE!C:Q,4,false)</f>
        <v>BD</v>
      </c>
      <c r="R481" s="93" t="str">
        <f>VLOOKUP(E481,DATABASE!C:Q,11,false)</f>
        <v>Tire</v>
      </c>
    </row>
    <row r="482" ht="22.5" customHeight="1">
      <c r="A482" s="49"/>
      <c r="C482" s="384">
        <v>45686.0</v>
      </c>
      <c r="D482" s="65">
        <v>4122.0</v>
      </c>
      <c r="E482" s="445" t="s">
        <v>821</v>
      </c>
      <c r="F482" s="386">
        <v>1.0</v>
      </c>
      <c r="G482" s="74">
        <v>70000.0</v>
      </c>
      <c r="H482" s="74">
        <v>0.0</v>
      </c>
      <c r="I482" s="74">
        <f t="shared" si="1"/>
        <v>70000</v>
      </c>
      <c r="J482" s="74">
        <f>IF(E482="SERVICE",I482-(I482*50%),Vlookup(E482,DATABASE!C:Q,10,false)*F482)</f>
        <v>0</v>
      </c>
      <c r="K482" s="74">
        <f>VLOOKUP(E482,DATABASE!C:Q,7,false)</f>
        <v>43500</v>
      </c>
      <c r="L482" s="74">
        <v>43520.0</v>
      </c>
      <c r="M482" s="74">
        <f t="shared" si="2"/>
        <v>45000</v>
      </c>
      <c r="N482" s="74">
        <f t="shared" si="3"/>
        <v>25000</v>
      </c>
      <c r="O482" s="65" t="str">
        <f>VLOOKUP(E482,DATABASE!C:Q,8,false)</f>
        <v>BIAN</v>
      </c>
      <c r="P482" s="65">
        <f>VLOOKUP(E482,DATABASE!C:Q,9,False)</f>
        <v>1</v>
      </c>
      <c r="Q482" s="93" t="str">
        <f>VLOOKUP(E482,DATABASE!C:Q,4,false)</f>
        <v>Flap</v>
      </c>
      <c r="R482" s="93" t="str">
        <f>VLOOKUP(E482,DATABASE!C:Q,11,false)</f>
        <v>Tire</v>
      </c>
    </row>
    <row r="483" ht="22.5" customHeight="1">
      <c r="A483" s="49"/>
      <c r="C483" s="384">
        <v>45686.0</v>
      </c>
      <c r="D483" s="65">
        <v>4123.0</v>
      </c>
      <c r="E483" s="445" t="s">
        <v>275</v>
      </c>
      <c r="F483" s="386">
        <v>1.0</v>
      </c>
      <c r="G483" s="74">
        <v>825000.0</v>
      </c>
      <c r="H483" s="74">
        <v>0.0</v>
      </c>
      <c r="I483" s="74">
        <f t="shared" si="1"/>
        <v>825000</v>
      </c>
      <c r="J483" s="74">
        <f>IF(E483="SERVICE",I483-(I483*50%),Vlookup(E483,DATABASE!C:Q,10,false)*F483)</f>
        <v>0</v>
      </c>
      <c r="K483" s="74">
        <v>735000.0</v>
      </c>
      <c r="L483" s="74">
        <v>735000.0</v>
      </c>
      <c r="M483" s="74">
        <f t="shared" si="2"/>
        <v>735000</v>
      </c>
      <c r="N483" s="74">
        <f t="shared" si="3"/>
        <v>90000</v>
      </c>
      <c r="O483" s="65" t="str">
        <f>VLOOKUP(E483,DATABASE!C:Q,8,false)</f>
        <v>IBU</v>
      </c>
      <c r="P483" s="65">
        <f>VLOOKUP(E483,DATABASE!C:Q,9,False)</f>
        <v>1</v>
      </c>
      <c r="Q483" s="93" t="str">
        <f>VLOOKUP(E483,DATABASE!C:Q,4,false)</f>
        <v>Dunlop</v>
      </c>
      <c r="R483" s="93" t="str">
        <f>VLOOKUP(E483,DATABASE!C:Q,11,false)</f>
        <v>Tire</v>
      </c>
    </row>
    <row r="484" ht="22.5" customHeight="1">
      <c r="A484" s="49"/>
      <c r="C484" s="384">
        <v>45686.0</v>
      </c>
      <c r="D484" s="65">
        <v>4124.0</v>
      </c>
      <c r="E484" s="445" t="s">
        <v>744</v>
      </c>
      <c r="F484" s="386">
        <v>1.0</v>
      </c>
      <c r="G484" s="74">
        <v>230000.0</v>
      </c>
      <c r="H484" s="74">
        <v>0.0</v>
      </c>
      <c r="I484" s="74">
        <f t="shared" si="1"/>
        <v>230000</v>
      </c>
      <c r="J484" s="74">
        <f>IF(E484="SERVICE",I484-(I484*50%),Vlookup(E484,DATABASE!C:Q,10,false)*F484)</f>
        <v>0</v>
      </c>
      <c r="K484" s="74">
        <f>VLOOKUP(E484,DATABASE!C:Q,7,false)</f>
        <v>182200</v>
      </c>
      <c r="L484" s="74">
        <v>199920.0</v>
      </c>
      <c r="M484" s="74">
        <f t="shared" si="2"/>
        <v>200000</v>
      </c>
      <c r="N484" s="74">
        <f t="shared" si="3"/>
        <v>30000</v>
      </c>
      <c r="O484" s="65" t="str">
        <f>VLOOKUP(E484,DATABASE!C:Q,8,false)</f>
        <v>BIAN</v>
      </c>
      <c r="P484" s="65">
        <f>VLOOKUP(E484,DATABASE!C:Q,9,False)</f>
        <v>1</v>
      </c>
      <c r="Q484" s="93" t="str">
        <f>VLOOKUP(E484,DATABASE!C:Q,4,false)</f>
        <v>BD</v>
      </c>
      <c r="R484" s="93" t="str">
        <f>VLOOKUP(E484,DATABASE!C:Q,11,false)</f>
        <v>Tire</v>
      </c>
    </row>
    <row r="485" ht="22.5" customHeight="1">
      <c r="A485" s="49"/>
      <c r="C485" s="384">
        <v>45686.0</v>
      </c>
      <c r="D485" s="65">
        <v>4125.0</v>
      </c>
      <c r="E485" s="445" t="s">
        <v>821</v>
      </c>
      <c r="F485" s="386">
        <v>1.0</v>
      </c>
      <c r="G485" s="74">
        <v>70000.0</v>
      </c>
      <c r="H485" s="74">
        <v>0.0</v>
      </c>
      <c r="I485" s="74">
        <f t="shared" si="1"/>
        <v>70000</v>
      </c>
      <c r="J485" s="74">
        <f>IF(E485="SERVICE",I485-(I485*50%),Vlookup(E485,DATABASE!C:Q,10,false)*F485)</f>
        <v>0</v>
      </c>
      <c r="K485" s="74">
        <f>VLOOKUP(E485,DATABASE!C:Q,7,false)</f>
        <v>43500</v>
      </c>
      <c r="L485" s="74">
        <v>43520.0</v>
      </c>
      <c r="M485" s="74">
        <f t="shared" si="2"/>
        <v>45000</v>
      </c>
      <c r="N485" s="74">
        <f t="shared" si="3"/>
        <v>25000</v>
      </c>
      <c r="O485" s="65" t="str">
        <f>VLOOKUP(E485,DATABASE!C:Q,8,false)</f>
        <v>BIAN</v>
      </c>
      <c r="P485" s="65">
        <f>VLOOKUP(E485,DATABASE!C:Q,9,False)</f>
        <v>1</v>
      </c>
      <c r="Q485" s="93" t="str">
        <f>VLOOKUP(E485,DATABASE!C:Q,4,false)</f>
        <v>Flap</v>
      </c>
      <c r="R485" s="93" t="str">
        <f>VLOOKUP(E485,DATABASE!C:Q,11,false)</f>
        <v>Tire</v>
      </c>
    </row>
    <row r="486" ht="22.5" customHeight="1">
      <c r="A486" s="49"/>
      <c r="C486" s="384">
        <v>45686.0</v>
      </c>
      <c r="D486" s="65">
        <v>4126.0</v>
      </c>
      <c r="E486" s="445" t="s">
        <v>821</v>
      </c>
      <c r="F486" s="386">
        <v>1.0</v>
      </c>
      <c r="G486" s="74">
        <v>70000.0</v>
      </c>
      <c r="H486" s="74">
        <v>0.0</v>
      </c>
      <c r="I486" s="74">
        <f t="shared" si="1"/>
        <v>70000</v>
      </c>
      <c r="J486" s="74">
        <f>IF(E486="SERVICE",I486-(I486*50%),Vlookup(E486,DATABASE!C:Q,10,false)*F486)</f>
        <v>0</v>
      </c>
      <c r="K486" s="74">
        <f>VLOOKUP(E486,DATABASE!C:Q,7,false)</f>
        <v>43500</v>
      </c>
      <c r="L486" s="74">
        <v>43520.0</v>
      </c>
      <c r="M486" s="74">
        <f t="shared" si="2"/>
        <v>45000</v>
      </c>
      <c r="N486" s="74">
        <f t="shared" si="3"/>
        <v>25000</v>
      </c>
      <c r="O486" s="65" t="str">
        <f>VLOOKUP(E486,DATABASE!C:Q,8,false)</f>
        <v>BIAN</v>
      </c>
      <c r="P486" s="65">
        <f>VLOOKUP(E486,DATABASE!C:Q,9,False)</f>
        <v>1</v>
      </c>
      <c r="Q486" s="93" t="str">
        <f>VLOOKUP(E486,DATABASE!C:Q,4,false)</f>
        <v>Flap</v>
      </c>
      <c r="R486" s="93" t="str">
        <f>VLOOKUP(E486,DATABASE!C:Q,11,false)</f>
        <v>Tire</v>
      </c>
    </row>
    <row r="487" ht="22.5" customHeight="1">
      <c r="A487" s="49"/>
      <c r="C487" s="384">
        <v>45686.0</v>
      </c>
      <c r="D487" s="65">
        <v>4127.0</v>
      </c>
      <c r="E487" s="385" t="s">
        <v>299</v>
      </c>
      <c r="F487" s="386">
        <v>2.0</v>
      </c>
      <c r="G487" s="74">
        <v>30000.0</v>
      </c>
      <c r="H487" s="74">
        <v>0.0</v>
      </c>
      <c r="I487" s="74">
        <f t="shared" si="1"/>
        <v>60000</v>
      </c>
      <c r="J487" s="74">
        <f>IF(E487="SERVICE",I487-(I487*50%),Vlookup(E487,DATABASE!C:Q,10,false)*F487)</f>
        <v>0</v>
      </c>
      <c r="K487" s="74">
        <v>0.0</v>
      </c>
      <c r="L487" s="74">
        <v>0.0</v>
      </c>
      <c r="M487" s="74">
        <f t="shared" si="2"/>
        <v>0</v>
      </c>
      <c r="N487" s="74">
        <f t="shared" si="3"/>
        <v>60000</v>
      </c>
      <c r="O487" s="65" t="str">
        <f>VLOOKUP(E487,DATABASE!C:Q,8,false)</f>
        <v>BIAN</v>
      </c>
      <c r="P487" s="65">
        <f>VLOOKUP(E487,DATABASE!C:Q,9,False)</f>
        <v>0</v>
      </c>
      <c r="Q487" s="93" t="str">
        <f>VLOOKUP(E487,DATABASE!C:Q,4,false)</f>
        <v>Balancing</v>
      </c>
      <c r="R487" s="93" t="str">
        <f>VLOOKUP(E487,DATABASE!C:Q,11,false)</f>
        <v>COMPLEMENTARY</v>
      </c>
    </row>
    <row r="488" ht="22.5" customHeight="1">
      <c r="A488" s="49"/>
      <c r="C488" s="384">
        <v>45686.0</v>
      </c>
      <c r="D488" s="65">
        <v>4128.0</v>
      </c>
      <c r="E488" s="445" t="s">
        <v>770</v>
      </c>
      <c r="F488" s="386">
        <v>1.0</v>
      </c>
      <c r="G488" s="74">
        <v>180000.0</v>
      </c>
      <c r="H488" s="74">
        <v>0.0</v>
      </c>
      <c r="I488" s="74">
        <f t="shared" si="1"/>
        <v>180000</v>
      </c>
      <c r="J488" s="74">
        <f>IF(E488="SERVICE",I488-(I488*50%),Vlookup(E488,DATABASE!C:Q,10,false)*F488)</f>
        <v>0</v>
      </c>
      <c r="K488" s="74">
        <f>VLOOKUP(E488,DATABASE!C:Q,7,false)</f>
        <v>145180</v>
      </c>
      <c r="L488" s="74">
        <v>145180.0</v>
      </c>
      <c r="M488" s="74">
        <f t="shared" si="2"/>
        <v>150000</v>
      </c>
      <c r="N488" s="74">
        <f t="shared" si="3"/>
        <v>30000</v>
      </c>
      <c r="O488" s="65" t="str">
        <f>VLOOKUP(E488,DATABASE!C:Q,8,false)</f>
        <v>BIAN</v>
      </c>
      <c r="P488" s="65">
        <f>VLOOKUP(E488,DATABASE!C:Q,9,False)</f>
        <v>1</v>
      </c>
      <c r="Q488" s="93" t="str">
        <f>VLOOKUP(E488,DATABASE!C:Q,4,false)</f>
        <v>BD</v>
      </c>
      <c r="R488" s="93" t="str">
        <f>VLOOKUP(E488,DATABASE!C:Q,11,false)</f>
        <v>Tire</v>
      </c>
    </row>
    <row r="489" ht="22.5" customHeight="1">
      <c r="A489" s="49"/>
      <c r="C489" s="384">
        <v>45686.0</v>
      </c>
      <c r="D489" s="65">
        <v>4130.0</v>
      </c>
      <c r="E489" s="445" t="s">
        <v>288</v>
      </c>
      <c r="F489" s="386">
        <v>1.0</v>
      </c>
      <c r="G489" s="74">
        <v>620000.0</v>
      </c>
      <c r="H489" s="74">
        <v>0.0</v>
      </c>
      <c r="I489" s="74">
        <f t="shared" si="1"/>
        <v>620000</v>
      </c>
      <c r="J489" s="74">
        <f>IF(E489="SERVICE",I489-(I489*50%),Vlookup(E489,DATABASE!C:Q,10,false)*F489)</f>
        <v>0</v>
      </c>
      <c r="K489" s="74">
        <f>VLOOKUP(E489,DATABASE!C:Q,7,false)</f>
        <v>565760</v>
      </c>
      <c r="L489" s="74">
        <v>524800.0</v>
      </c>
      <c r="M489" s="74">
        <f t="shared" si="2"/>
        <v>525000</v>
      </c>
      <c r="N489" s="74">
        <f t="shared" si="3"/>
        <v>95000</v>
      </c>
      <c r="O489" s="65" t="str">
        <f>VLOOKUP(E489,DATABASE!C:Q,8,false)</f>
        <v>BIAN</v>
      </c>
      <c r="P489" s="65">
        <f>VLOOKUP(E489,DATABASE!C:Q,9,False)</f>
        <v>1</v>
      </c>
      <c r="Q489" s="93" t="str">
        <f>VLOOKUP(E489,DATABASE!C:Q,4,false)</f>
        <v>GT</v>
      </c>
      <c r="R489" s="93" t="str">
        <f>VLOOKUP(E489,DATABASE!C:Q,11,false)</f>
        <v>Tire</v>
      </c>
    </row>
    <row r="490" ht="22.5" customHeight="1">
      <c r="A490" s="49"/>
      <c r="C490" s="384">
        <v>45686.0</v>
      </c>
      <c r="D490" s="65">
        <v>4133.0</v>
      </c>
      <c r="E490" s="445" t="s">
        <v>1009</v>
      </c>
      <c r="F490" s="386">
        <v>1.0</v>
      </c>
      <c r="G490" s="74">
        <v>670000.0</v>
      </c>
      <c r="H490" s="74">
        <v>0.0</v>
      </c>
      <c r="I490" s="74">
        <f t="shared" si="1"/>
        <v>670000</v>
      </c>
      <c r="J490" s="74">
        <f>IF(E490="SERVICE",I490-(I490*50%),Vlookup(E490,DATABASE!C:Q,10,false)*F490)</f>
        <v>0</v>
      </c>
      <c r="K490" s="74">
        <f>VLOOKUP(E490,DATABASE!C:Q,7,false)</f>
        <v>609800</v>
      </c>
      <c r="L490" s="74">
        <v>592200.0</v>
      </c>
      <c r="M490" s="74">
        <f t="shared" si="2"/>
        <v>595000</v>
      </c>
      <c r="N490" s="74">
        <f t="shared" si="3"/>
        <v>75000</v>
      </c>
      <c r="O490" s="65" t="str">
        <f>VLOOKUP(E490,DATABASE!C:Q,8,false)</f>
        <v>BIAN</v>
      </c>
      <c r="P490" s="65">
        <f>VLOOKUP(E490,DATABASE!C:Q,9,False)</f>
        <v>1</v>
      </c>
      <c r="Q490" s="93" t="str">
        <f>VLOOKUP(E490,DATABASE!C:Q,4,false)</f>
        <v>GT</v>
      </c>
      <c r="R490" s="93" t="str">
        <f>VLOOKUP(E490,DATABASE!C:Q,11,false)</f>
        <v>Tire</v>
      </c>
    </row>
    <row r="491" ht="22.5" customHeight="1">
      <c r="A491" s="49"/>
      <c r="C491" s="384">
        <v>45686.0</v>
      </c>
      <c r="D491" s="65">
        <v>4133.0</v>
      </c>
      <c r="E491" s="385" t="s">
        <v>299</v>
      </c>
      <c r="F491" s="386">
        <v>2.0</v>
      </c>
      <c r="G491" s="74">
        <v>30000.0</v>
      </c>
      <c r="H491" s="74">
        <v>0.0</v>
      </c>
      <c r="I491" s="74">
        <f t="shared" si="1"/>
        <v>60000</v>
      </c>
      <c r="J491" s="74">
        <f>IF(E491="SERVICE",I491-(I491*50%),Vlookup(E491,DATABASE!C:Q,10,false)*F491)</f>
        <v>0</v>
      </c>
      <c r="K491" s="74">
        <v>0.0</v>
      </c>
      <c r="L491" s="74">
        <v>0.0</v>
      </c>
      <c r="M491" s="74">
        <f t="shared" si="2"/>
        <v>0</v>
      </c>
      <c r="N491" s="74">
        <f t="shared" si="3"/>
        <v>60000</v>
      </c>
      <c r="O491" s="65" t="str">
        <f>VLOOKUP(E491,DATABASE!C:Q,8,false)</f>
        <v>BIAN</v>
      </c>
      <c r="P491" s="65">
        <f>VLOOKUP(E491,DATABASE!C:Q,9,False)</f>
        <v>0</v>
      </c>
      <c r="Q491" s="93" t="str">
        <f>VLOOKUP(E491,DATABASE!C:Q,4,false)</f>
        <v>Balancing</v>
      </c>
      <c r="R491" s="93" t="str">
        <f>VLOOKUP(E491,DATABASE!C:Q,11,false)</f>
        <v>COMPLEMENTARY</v>
      </c>
    </row>
    <row r="492" ht="22.5" customHeight="1">
      <c r="A492" s="49"/>
      <c r="C492" s="384">
        <v>45686.0</v>
      </c>
      <c r="D492" s="65">
        <v>4134.0</v>
      </c>
      <c r="E492" s="445" t="s">
        <v>1439</v>
      </c>
      <c r="F492" s="386">
        <v>1.0</v>
      </c>
      <c r="G492" s="74">
        <v>620000.0</v>
      </c>
      <c r="H492" s="74">
        <v>0.0</v>
      </c>
      <c r="I492" s="74">
        <f t="shared" si="1"/>
        <v>620000</v>
      </c>
      <c r="J492" s="74">
        <f>IF(E492="SERVICE",I492-(I492*50%),Vlookup(E492,DATABASE!C:Q,10,false)*F492)</f>
        <v>0</v>
      </c>
      <c r="K492" s="74">
        <f>VLOOKUP(E492,DATABASE!C:Q,7,false)</f>
        <v>556800</v>
      </c>
      <c r="L492" s="74">
        <v>540800.0</v>
      </c>
      <c r="M492" s="74">
        <f t="shared" si="2"/>
        <v>545000</v>
      </c>
      <c r="N492" s="74">
        <f t="shared" si="3"/>
        <v>75000</v>
      </c>
      <c r="O492" s="65" t="str">
        <f>VLOOKUP(E492,DATABASE!C:Q,8,false)</f>
        <v>BIAN</v>
      </c>
      <c r="P492" s="65">
        <f>VLOOKUP(E492,DATABASE!C:Q,9,False)</f>
        <v>1</v>
      </c>
      <c r="Q492" s="93" t="str">
        <f>VLOOKUP(E492,DATABASE!C:Q,4,false)</f>
        <v>GT</v>
      </c>
      <c r="R492" s="93" t="str">
        <f>VLOOKUP(E492,DATABASE!C:Q,11,false)</f>
        <v>Tire</v>
      </c>
    </row>
    <row r="493" ht="22.5" customHeight="1">
      <c r="A493" s="49"/>
      <c r="C493" s="384">
        <v>45686.0</v>
      </c>
      <c r="D493" s="65">
        <v>4135.0</v>
      </c>
      <c r="E493" s="445" t="s">
        <v>256</v>
      </c>
      <c r="F493" s="386">
        <v>1.0</v>
      </c>
      <c r="G493" s="74">
        <v>130000.0</v>
      </c>
      <c r="H493" s="74">
        <v>0.0</v>
      </c>
      <c r="I493" s="74">
        <f t="shared" si="1"/>
        <v>130000</v>
      </c>
      <c r="J493" s="74">
        <f>IF(E493="SERVICE",I493-(I493*50%),Vlookup(E493,DATABASE!C:Q,10,false)*F493)</f>
        <v>10000</v>
      </c>
      <c r="K493" s="74">
        <f>VLOOKUP(E493,DATABASE!C:Q,7,false)</f>
        <v>0</v>
      </c>
      <c r="L493" s="74">
        <v>0.0</v>
      </c>
      <c r="M493" s="74">
        <f t="shared" si="2"/>
        <v>0</v>
      </c>
      <c r="N493" s="74">
        <f t="shared" si="3"/>
        <v>120000</v>
      </c>
      <c r="O493" s="65" t="str">
        <f>VLOOKUP(E493,DATABASE!C:Q,8,false)</f>
        <v>IBU</v>
      </c>
      <c r="P493" s="65">
        <f>VLOOKUP(E493,DATABASE!C:Q,9,False)</f>
        <v>0</v>
      </c>
      <c r="Q493" s="93" t="str">
        <f>VLOOKUP(E493,DATABASE!C:Q,4,false)</f>
        <v>SPOORING</v>
      </c>
      <c r="R493" s="93" t="str">
        <f>VLOOKUP(E493,DATABASE!C:Q,11,false)</f>
        <v>SERVICE</v>
      </c>
    </row>
    <row r="494" ht="22.5" customHeight="1">
      <c r="A494" s="49"/>
      <c r="C494" s="384">
        <v>45686.0</v>
      </c>
      <c r="D494" s="65">
        <v>4135.0</v>
      </c>
      <c r="E494" s="385" t="s">
        <v>299</v>
      </c>
      <c r="F494" s="386">
        <v>2.0</v>
      </c>
      <c r="G494" s="74">
        <v>30000.0</v>
      </c>
      <c r="H494" s="74">
        <v>0.0</v>
      </c>
      <c r="I494" s="74">
        <f t="shared" si="1"/>
        <v>60000</v>
      </c>
      <c r="J494" s="74">
        <f>IF(E494="SERVICE",I494-(I494*50%),Vlookup(E494,DATABASE!C:Q,10,false)*F494)</f>
        <v>0</v>
      </c>
      <c r="K494" s="74">
        <v>0.0</v>
      </c>
      <c r="L494" s="74">
        <v>0.0</v>
      </c>
      <c r="M494" s="74">
        <f t="shared" si="2"/>
        <v>0</v>
      </c>
      <c r="N494" s="74">
        <f t="shared" si="3"/>
        <v>60000</v>
      </c>
      <c r="O494" s="65" t="str">
        <f>VLOOKUP(E494,DATABASE!C:Q,8,false)</f>
        <v>BIAN</v>
      </c>
      <c r="P494" s="65">
        <f>VLOOKUP(E494,DATABASE!C:Q,9,False)</f>
        <v>0</v>
      </c>
      <c r="Q494" s="93" t="str">
        <f>VLOOKUP(E494,DATABASE!C:Q,4,false)</f>
        <v>Balancing</v>
      </c>
      <c r="R494" s="93" t="str">
        <f>VLOOKUP(E494,DATABASE!C:Q,11,false)</f>
        <v>COMPLEMENTARY</v>
      </c>
    </row>
    <row r="495" ht="22.5" customHeight="1">
      <c r="A495" s="49"/>
      <c r="C495" s="384">
        <v>45686.0</v>
      </c>
      <c r="D495" s="65">
        <v>4135.0</v>
      </c>
      <c r="E495" s="445" t="s">
        <v>251</v>
      </c>
      <c r="F495" s="386">
        <v>1.0</v>
      </c>
      <c r="G495" s="74">
        <v>150000.0</v>
      </c>
      <c r="H495" s="74">
        <v>0.0</v>
      </c>
      <c r="I495" s="74">
        <f t="shared" si="1"/>
        <v>150000</v>
      </c>
      <c r="J495" s="74">
        <f>IF(E495="SERVICE",I495-(I495*50%),Vlookup(E495,DATABASE!C:Q,10,false)*F495)</f>
        <v>75000</v>
      </c>
      <c r="K495" s="74">
        <f>VLOOKUP(E495,DATABASE!C:Q,7,false)</f>
        <v>0</v>
      </c>
      <c r="L495" s="74">
        <v>0.0</v>
      </c>
      <c r="M495" s="74">
        <f t="shared" si="2"/>
        <v>0</v>
      </c>
      <c r="N495" s="74">
        <f t="shared" si="3"/>
        <v>75000</v>
      </c>
      <c r="O495" s="65" t="str">
        <f>VLOOKUP(E495,DATABASE!C:Q,8,false)</f>
        <v>IBU</v>
      </c>
      <c r="P495" s="65">
        <f>VLOOKUP(E495,DATABASE!C:Q,9,False)</f>
        <v>0</v>
      </c>
      <c r="Q495" s="93" t="str">
        <f>VLOOKUP(E495,DATABASE!C:Q,4,false)</f>
        <v>SERVICE</v>
      </c>
      <c r="R495" s="93" t="str">
        <f>VLOOKUP(E495,DATABASE!C:Q,11,false)</f>
        <v>SERVICE</v>
      </c>
    </row>
    <row r="496" ht="22.5" customHeight="1">
      <c r="A496" s="49"/>
      <c r="C496" s="384">
        <v>45686.0</v>
      </c>
      <c r="D496" s="65">
        <v>4137.0</v>
      </c>
      <c r="E496" s="445" t="s">
        <v>947</v>
      </c>
      <c r="F496" s="386">
        <v>2.0</v>
      </c>
      <c r="G496" s="74">
        <v>815000.0</v>
      </c>
      <c r="H496" s="74">
        <v>0.0</v>
      </c>
      <c r="I496" s="74">
        <f t="shared" si="1"/>
        <v>1630000</v>
      </c>
      <c r="J496" s="74">
        <f>IF(E496="SERVICE",I496-(I496*50%),Vlookup(E496,DATABASE!C:Q,10,false)*F496)</f>
        <v>0</v>
      </c>
      <c r="K496" s="74">
        <f>VLOOKUP(E496,DATABASE!C:Q,7,false)</f>
        <v>704346</v>
      </c>
      <c r="L496" s="74">
        <v>680512.0</v>
      </c>
      <c r="M496" s="74">
        <f t="shared" si="2"/>
        <v>685000</v>
      </c>
      <c r="N496" s="74">
        <f t="shared" si="3"/>
        <v>260000</v>
      </c>
      <c r="O496" s="65" t="str">
        <f>VLOOKUP(E496,DATABASE!C:Q,8,false)</f>
        <v>IBU</v>
      </c>
      <c r="P496" s="65">
        <f>VLOOKUP(E496,DATABASE!C:Q,9,False)</f>
        <v>1</v>
      </c>
      <c r="Q496" s="93" t="str">
        <f>VLOOKUP(E496,DATABASE!C:Q,4,false)</f>
        <v>Bridgestone</v>
      </c>
      <c r="R496" s="93" t="str">
        <f>VLOOKUP(E496,DATABASE!C:Q,11,false)</f>
        <v>Tire</v>
      </c>
    </row>
    <row r="497" ht="22.5" customHeight="1">
      <c r="A497" s="49"/>
      <c r="C497" s="384">
        <v>45687.0</v>
      </c>
      <c r="D497" s="65">
        <v>4138.0</v>
      </c>
      <c r="E497" s="445" t="s">
        <v>268</v>
      </c>
      <c r="F497" s="386">
        <v>2.0</v>
      </c>
      <c r="G497" s="74">
        <v>680000.0</v>
      </c>
      <c r="H497" s="74">
        <v>0.0</v>
      </c>
      <c r="I497" s="74">
        <f t="shared" si="1"/>
        <v>1360000</v>
      </c>
      <c r="J497" s="74">
        <f>IF(E497="SERVICE",I497-(I497*50%),Vlookup(E497,DATABASE!C:Q,10,false)*F497)</f>
        <v>0</v>
      </c>
      <c r="K497" s="74">
        <v>613000.0</v>
      </c>
      <c r="L497" s="74">
        <v>613000.0</v>
      </c>
      <c r="M497" s="74">
        <f t="shared" si="2"/>
        <v>615000</v>
      </c>
      <c r="N497" s="74">
        <f t="shared" si="3"/>
        <v>130000</v>
      </c>
      <c r="O497" s="65" t="str">
        <f>VLOOKUP(E497,DATABASE!C:Q,8,false)</f>
        <v>IBU</v>
      </c>
      <c r="P497" s="65">
        <f>VLOOKUP(E497,DATABASE!C:Q,9,False)</f>
        <v>1</v>
      </c>
      <c r="Q497" s="93" t="str">
        <f>VLOOKUP(E497,DATABASE!C:Q,4,false)</f>
        <v>Dunlop</v>
      </c>
      <c r="R497" s="93" t="str">
        <f>VLOOKUP(E497,DATABASE!C:Q,11,false)</f>
        <v>Tire</v>
      </c>
    </row>
    <row r="498" ht="22.5" customHeight="1">
      <c r="A498" s="49"/>
      <c r="C498" s="384">
        <v>45687.0</v>
      </c>
      <c r="D498" s="65">
        <v>4139.0</v>
      </c>
      <c r="E498" s="445" t="s">
        <v>604</v>
      </c>
      <c r="F498" s="386">
        <v>2.0</v>
      </c>
      <c r="G498" s="74">
        <v>160000.0</v>
      </c>
      <c r="H498" s="74">
        <v>0.0</v>
      </c>
      <c r="I498" s="74">
        <f t="shared" si="1"/>
        <v>320000</v>
      </c>
      <c r="J498" s="74">
        <f>IF(E498="SERVICE",I498-(I498*50%),Vlookup(E498,DATABASE!C:Q,10,false)*F498)</f>
        <v>0</v>
      </c>
      <c r="K498" s="74">
        <f>VLOOKUP(E498,DATABASE!C:Q,7,false)</f>
        <v>124000</v>
      </c>
      <c r="L498" s="74">
        <v>124000.0</v>
      </c>
      <c r="M498" s="74">
        <f t="shared" si="2"/>
        <v>125000</v>
      </c>
      <c r="N498" s="74">
        <f t="shared" si="3"/>
        <v>70000</v>
      </c>
      <c r="O498" s="65" t="str">
        <f>VLOOKUP(E498,DATABASE!C:Q,8,false)</f>
        <v>BIAN</v>
      </c>
      <c r="P498" s="65">
        <f>VLOOKUP(E498,DATABASE!C:Q,9,False)</f>
        <v>1</v>
      </c>
      <c r="Q498" s="93" t="str">
        <f>VLOOKUP(E498,DATABASE!C:Q,4,false)</f>
        <v>BD</v>
      </c>
      <c r="R498" s="93" t="str">
        <f>VLOOKUP(E498,DATABASE!C:Q,11,false)</f>
        <v>Tire</v>
      </c>
    </row>
    <row r="499" ht="22.5" customHeight="1">
      <c r="A499" s="49"/>
      <c r="C499" s="384">
        <v>45687.0</v>
      </c>
      <c r="D499" s="65">
        <v>4140.0</v>
      </c>
      <c r="E499" s="445" t="s">
        <v>268</v>
      </c>
      <c r="F499" s="386">
        <v>1.0</v>
      </c>
      <c r="G499" s="74">
        <v>700000.0</v>
      </c>
      <c r="H499" s="74">
        <v>0.0</v>
      </c>
      <c r="I499" s="74">
        <f t="shared" si="1"/>
        <v>700000</v>
      </c>
      <c r="J499" s="74">
        <f>IF(E499="SERVICE",I499-(I499*50%),Vlookup(E499,DATABASE!C:Q,10,false)*F499)</f>
        <v>0</v>
      </c>
      <c r="K499" s="74">
        <v>613000.0</v>
      </c>
      <c r="L499" s="74">
        <v>613000.0</v>
      </c>
      <c r="M499" s="74">
        <f t="shared" si="2"/>
        <v>615000</v>
      </c>
      <c r="N499" s="74">
        <f t="shared" si="3"/>
        <v>85000</v>
      </c>
      <c r="O499" s="65" t="str">
        <f>VLOOKUP(E499,DATABASE!C:Q,8,false)</f>
        <v>IBU</v>
      </c>
      <c r="P499" s="65">
        <f>VLOOKUP(E499,DATABASE!C:Q,9,False)</f>
        <v>1</v>
      </c>
      <c r="Q499" s="93" t="str">
        <f>VLOOKUP(E499,DATABASE!C:Q,4,false)</f>
        <v>Dunlop</v>
      </c>
      <c r="R499" s="93" t="str">
        <f>VLOOKUP(E499,DATABASE!C:Q,11,false)</f>
        <v>Tire</v>
      </c>
    </row>
    <row r="500" ht="22.5" customHeight="1">
      <c r="A500" s="49"/>
      <c r="C500" s="384">
        <v>45687.0</v>
      </c>
      <c r="D500" s="65">
        <v>4141.0</v>
      </c>
      <c r="E500" s="445" t="s">
        <v>604</v>
      </c>
      <c r="F500" s="386">
        <v>1.0</v>
      </c>
      <c r="G500" s="74">
        <v>160000.0</v>
      </c>
      <c r="H500" s="74">
        <v>0.0</v>
      </c>
      <c r="I500" s="74">
        <f t="shared" si="1"/>
        <v>160000</v>
      </c>
      <c r="J500" s="74">
        <f>IF(E500="SERVICE",I500-(I500*50%),Vlookup(E500,DATABASE!C:Q,10,false)*F500)</f>
        <v>0</v>
      </c>
      <c r="K500" s="74">
        <f>VLOOKUP(E500,DATABASE!C:Q,7,false)</f>
        <v>124000</v>
      </c>
      <c r="L500" s="74">
        <v>124000.0</v>
      </c>
      <c r="M500" s="74">
        <f t="shared" si="2"/>
        <v>125000</v>
      </c>
      <c r="N500" s="74">
        <f t="shared" si="3"/>
        <v>35000</v>
      </c>
      <c r="O500" s="65" t="str">
        <f>VLOOKUP(E500,DATABASE!C:Q,8,false)</f>
        <v>BIAN</v>
      </c>
      <c r="P500" s="65">
        <f>VLOOKUP(E500,DATABASE!C:Q,9,False)</f>
        <v>1</v>
      </c>
      <c r="Q500" s="93" t="str">
        <f>VLOOKUP(E500,DATABASE!C:Q,4,false)</f>
        <v>BD</v>
      </c>
      <c r="R500" s="93" t="str">
        <f>VLOOKUP(E500,DATABASE!C:Q,11,false)</f>
        <v>Tire</v>
      </c>
    </row>
    <row r="501" ht="22.5" customHeight="1">
      <c r="A501" s="49"/>
      <c r="C501" s="384">
        <v>45687.0</v>
      </c>
      <c r="D501" s="65">
        <v>4142.0</v>
      </c>
      <c r="E501" s="445" t="s">
        <v>288</v>
      </c>
      <c r="F501" s="386">
        <v>2.0</v>
      </c>
      <c r="G501" s="74">
        <v>620000.0</v>
      </c>
      <c r="H501" s="74">
        <v>0.0</v>
      </c>
      <c r="I501" s="74">
        <f t="shared" si="1"/>
        <v>1240000</v>
      </c>
      <c r="J501" s="74">
        <f>IF(E501="SERVICE",I501-(I501*50%),Vlookup(E501,DATABASE!C:Q,10,false)*F501)</f>
        <v>0</v>
      </c>
      <c r="K501" s="74">
        <f>VLOOKUP(E501,DATABASE!C:Q,7,false)</f>
        <v>565760</v>
      </c>
      <c r="L501" s="74">
        <v>524800.0</v>
      </c>
      <c r="M501" s="74">
        <f t="shared" si="2"/>
        <v>525000</v>
      </c>
      <c r="N501" s="74">
        <f t="shared" si="3"/>
        <v>190000</v>
      </c>
      <c r="O501" s="65" t="str">
        <f>VLOOKUP(E501,DATABASE!C:Q,8,false)</f>
        <v>BIAN</v>
      </c>
      <c r="P501" s="65">
        <f>VLOOKUP(E501,DATABASE!C:Q,9,False)</f>
        <v>1</v>
      </c>
      <c r="Q501" s="93" t="str">
        <f>VLOOKUP(E501,DATABASE!C:Q,4,false)</f>
        <v>GT</v>
      </c>
      <c r="R501" s="93" t="str">
        <f>VLOOKUP(E501,DATABASE!C:Q,11,false)</f>
        <v>Tire</v>
      </c>
    </row>
    <row r="502" ht="22.5" customHeight="1">
      <c r="A502" s="49"/>
      <c r="C502" s="384">
        <v>45687.0</v>
      </c>
      <c r="D502" s="65">
        <v>4143.0</v>
      </c>
      <c r="E502" s="445" t="s">
        <v>947</v>
      </c>
      <c r="F502" s="386">
        <v>1.0</v>
      </c>
      <c r="G502" s="74">
        <v>820000.0</v>
      </c>
      <c r="H502" s="74">
        <v>0.0</v>
      </c>
      <c r="I502" s="74">
        <f t="shared" si="1"/>
        <v>820000</v>
      </c>
      <c r="J502" s="74">
        <f>IF(E502="SERVICE",I502-(I502*50%),Vlookup(E502,DATABASE!C:Q,10,false)*F502)</f>
        <v>0</v>
      </c>
      <c r="K502" s="74">
        <f>VLOOKUP(E502,DATABASE!C:Q,7,false)</f>
        <v>704346</v>
      </c>
      <c r="L502" s="74">
        <v>680512.0</v>
      </c>
      <c r="M502" s="74">
        <f t="shared" si="2"/>
        <v>685000</v>
      </c>
      <c r="N502" s="74">
        <f t="shared" si="3"/>
        <v>135000</v>
      </c>
      <c r="O502" s="65" t="str">
        <f>VLOOKUP(E502,DATABASE!C:Q,8,false)</f>
        <v>IBU</v>
      </c>
      <c r="P502" s="65">
        <f>VLOOKUP(E502,DATABASE!C:Q,9,False)</f>
        <v>1</v>
      </c>
      <c r="Q502" s="93" t="str">
        <f>VLOOKUP(E502,DATABASE!C:Q,4,false)</f>
        <v>Bridgestone</v>
      </c>
      <c r="R502" s="93" t="str">
        <f>VLOOKUP(E502,DATABASE!C:Q,11,false)</f>
        <v>Tire</v>
      </c>
    </row>
    <row r="503" ht="22.5" customHeight="1">
      <c r="A503" s="49"/>
      <c r="C503" s="384">
        <v>45687.0</v>
      </c>
      <c r="D503" s="65">
        <v>4145.0</v>
      </c>
      <c r="E503" s="445" t="s">
        <v>268</v>
      </c>
      <c r="F503" s="386">
        <v>2.0</v>
      </c>
      <c r="G503" s="74">
        <v>690000.0</v>
      </c>
      <c r="H503" s="74">
        <v>0.0</v>
      </c>
      <c r="I503" s="74">
        <f t="shared" si="1"/>
        <v>1380000</v>
      </c>
      <c r="J503" s="74">
        <f>IF(E503="SERVICE",I503-(I503*50%),Vlookup(E503,DATABASE!C:Q,10,false)*F503)</f>
        <v>0</v>
      </c>
      <c r="K503" s="74">
        <v>613000.0</v>
      </c>
      <c r="L503" s="74">
        <v>613000.0</v>
      </c>
      <c r="M503" s="74">
        <f t="shared" si="2"/>
        <v>615000</v>
      </c>
      <c r="N503" s="74">
        <f t="shared" si="3"/>
        <v>150000</v>
      </c>
      <c r="O503" s="65" t="str">
        <f>VLOOKUP(E503,DATABASE!C:Q,8,false)</f>
        <v>IBU</v>
      </c>
      <c r="P503" s="65">
        <f>VLOOKUP(E503,DATABASE!C:Q,9,False)</f>
        <v>1</v>
      </c>
      <c r="Q503" s="93" t="str">
        <f>VLOOKUP(E503,DATABASE!C:Q,4,false)</f>
        <v>Dunlop</v>
      </c>
      <c r="R503" s="93" t="str">
        <f>VLOOKUP(E503,DATABASE!C:Q,11,false)</f>
        <v>Tire</v>
      </c>
    </row>
    <row r="504" ht="22.5" customHeight="1">
      <c r="A504" s="49"/>
      <c r="C504" s="384">
        <v>45687.0</v>
      </c>
      <c r="D504" s="65">
        <v>4145.0</v>
      </c>
      <c r="E504" s="445" t="s">
        <v>262</v>
      </c>
      <c r="F504" s="386">
        <v>1.0</v>
      </c>
      <c r="G504" s="74">
        <v>110000.0</v>
      </c>
      <c r="H504" s="74">
        <v>0.0</v>
      </c>
      <c r="I504" s="74">
        <f t="shared" si="1"/>
        <v>110000</v>
      </c>
      <c r="J504" s="74">
        <f>IF(E504="SERVICE",I504-(I504*50%),Vlookup(E504,DATABASE!C:Q,10,false)*F504)</f>
        <v>5000</v>
      </c>
      <c r="K504" s="74">
        <f>VLOOKUP(E504,DATABASE!C:Q,7,false)</f>
        <v>0</v>
      </c>
      <c r="L504" s="74">
        <v>0.0</v>
      </c>
      <c r="M504" s="74">
        <f t="shared" si="2"/>
        <v>0</v>
      </c>
      <c r="N504" s="74">
        <f t="shared" si="3"/>
        <v>105000</v>
      </c>
      <c r="O504" s="65" t="str">
        <f>VLOOKUP(E504,DATABASE!C:Q,8,false)</f>
        <v>IBU</v>
      </c>
      <c r="P504" s="65">
        <f>VLOOKUP(E504,DATABASE!C:Q,9,False)</f>
        <v>0</v>
      </c>
      <c r="Q504" s="93" t="str">
        <f>VLOOKUP(E504,DATABASE!C:Q,4,false)</f>
        <v>SPOORING SS/CARRY LOS BAK</v>
      </c>
      <c r="R504" s="93" t="str">
        <f>VLOOKUP(E504,DATABASE!C:Q,11,false)</f>
        <v>SERVICE</v>
      </c>
    </row>
    <row r="505" ht="22.5" customHeight="1">
      <c r="A505" s="49"/>
      <c r="C505" s="384">
        <v>45687.0</v>
      </c>
      <c r="D505" s="65">
        <v>4146.0</v>
      </c>
      <c r="E505" s="445" t="s">
        <v>250</v>
      </c>
      <c r="F505" s="386">
        <v>2.0</v>
      </c>
      <c r="G505" s="74">
        <v>135000.0</v>
      </c>
      <c r="H505" s="74">
        <v>0.0</v>
      </c>
      <c r="I505" s="74">
        <f t="shared" si="1"/>
        <v>270000</v>
      </c>
      <c r="J505" s="74">
        <f>IF(E505="SERVICE",I505-(I505*50%),Vlookup(E505,DATABASE!C:Q,10,false)*F505)</f>
        <v>0</v>
      </c>
      <c r="K505" s="74">
        <f>VLOOKUP(E505,DATABASE!C:Q,7,false)</f>
        <v>102000</v>
      </c>
      <c r="L505" s="74">
        <v>102000.0</v>
      </c>
      <c r="M505" s="74">
        <f t="shared" si="2"/>
        <v>105000</v>
      </c>
      <c r="N505" s="74">
        <f t="shared" si="3"/>
        <v>60000</v>
      </c>
      <c r="O505" s="65" t="str">
        <f>VLOOKUP(E505,DATABASE!C:Q,8,false)</f>
        <v>BIAN</v>
      </c>
      <c r="P505" s="65">
        <f>VLOOKUP(E505,DATABASE!C:Q,9,False)</f>
        <v>1</v>
      </c>
      <c r="Q505" s="93" t="str">
        <f>VLOOKUP(E505,DATABASE!C:Q,4,false)</f>
        <v>BD</v>
      </c>
      <c r="R505" s="93" t="str">
        <f>VLOOKUP(E505,DATABASE!C:Q,11,false)</f>
        <v>Tire</v>
      </c>
    </row>
    <row r="506" ht="22.5" customHeight="1">
      <c r="A506" s="49"/>
      <c r="C506" s="384">
        <v>45687.0</v>
      </c>
      <c r="D506" s="65">
        <v>4147.0</v>
      </c>
      <c r="E506" s="445" t="s">
        <v>1196</v>
      </c>
      <c r="F506" s="386">
        <v>1.0</v>
      </c>
      <c r="G506" s="74">
        <v>1045000.0</v>
      </c>
      <c r="H506" s="74">
        <v>0.0</v>
      </c>
      <c r="I506" s="74">
        <f t="shared" si="1"/>
        <v>1045000</v>
      </c>
      <c r="J506" s="74">
        <f>IF(E506="SERVICE",I506-(I506*50%),Vlookup(E506,DATABASE!C:Q,10,false)*F506)</f>
        <v>0</v>
      </c>
      <c r="K506" s="74">
        <f>VLOOKUP(E506,DATABASE!C:Q,7,false)</f>
        <v>943430.5</v>
      </c>
      <c r="L506" s="74">
        <v>945190.375</v>
      </c>
      <c r="M506" s="74">
        <f t="shared" si="2"/>
        <v>950000</v>
      </c>
      <c r="N506" s="74">
        <f t="shared" si="3"/>
        <v>95000</v>
      </c>
      <c r="O506" s="65" t="str">
        <f>VLOOKUP(E506,DATABASE!C:Q,8,false)</f>
        <v>IBU</v>
      </c>
      <c r="P506" s="65">
        <f>VLOOKUP(E506,DATABASE!C:Q,9,False)</f>
        <v>1</v>
      </c>
      <c r="Q506" s="93" t="str">
        <f>VLOOKUP(E506,DATABASE!C:Q,4,false)</f>
        <v>Bridgestone</v>
      </c>
      <c r="R506" s="93" t="str">
        <f>VLOOKUP(E506,DATABASE!C:Q,11,false)</f>
        <v>Tire</v>
      </c>
    </row>
    <row r="507" ht="22.5" customHeight="1">
      <c r="A507" s="49"/>
      <c r="C507" s="384">
        <v>45687.0</v>
      </c>
      <c r="D507" s="65">
        <v>4148.0</v>
      </c>
      <c r="E507" s="445" t="s">
        <v>897</v>
      </c>
      <c r="F507" s="386">
        <v>2.0</v>
      </c>
      <c r="G507" s="74">
        <v>1600000.0</v>
      </c>
      <c r="H507" s="74">
        <v>0.0</v>
      </c>
      <c r="I507" s="74">
        <f t="shared" si="1"/>
        <v>3200000</v>
      </c>
      <c r="J507" s="74">
        <f>IF(E507="SERVICE",I507-(I507*50%),Vlookup(E507,DATABASE!C:Q,10,false)*F507)</f>
        <v>0</v>
      </c>
      <c r="K507" s="74">
        <f>VLOOKUP(E507,DATABASE!C:Q,7,false)</f>
        <v>1560000</v>
      </c>
      <c r="L507" s="74">
        <v>1500000.0</v>
      </c>
      <c r="M507" s="74">
        <f t="shared" si="2"/>
        <v>1500000</v>
      </c>
      <c r="N507" s="74">
        <f t="shared" si="3"/>
        <v>200000</v>
      </c>
      <c r="O507" s="65" t="str">
        <f>VLOOKUP(E507,DATABASE!C:Q,8,false)</f>
        <v>BIAN</v>
      </c>
      <c r="P507" s="65">
        <f>VLOOKUP(E507,DATABASE!C:Q,9,False)</f>
        <v>1</v>
      </c>
      <c r="Q507" s="93" t="str">
        <f>VLOOKUP(E507,DATABASE!C:Q,4,false)</f>
        <v>GT</v>
      </c>
      <c r="R507" s="93" t="str">
        <f>VLOOKUP(E507,DATABASE!C:Q,11,false)</f>
        <v>Tire</v>
      </c>
    </row>
    <row r="508" ht="22.5" customHeight="1">
      <c r="A508" s="49"/>
      <c r="C508" s="384">
        <v>45687.0</v>
      </c>
      <c r="D508" s="65">
        <v>4148.0</v>
      </c>
      <c r="E508" s="445" t="s">
        <v>744</v>
      </c>
      <c r="F508" s="386">
        <v>2.0</v>
      </c>
      <c r="G508" s="74">
        <v>230000.0</v>
      </c>
      <c r="H508" s="74">
        <v>0.0</v>
      </c>
      <c r="I508" s="74">
        <f t="shared" si="1"/>
        <v>460000</v>
      </c>
      <c r="J508" s="74">
        <f>IF(E508="SERVICE",I508-(I508*50%),Vlookup(E508,DATABASE!C:Q,10,false)*F508)</f>
        <v>0</v>
      </c>
      <c r="K508" s="74">
        <f>VLOOKUP(E508,DATABASE!C:Q,7,false)</f>
        <v>182200</v>
      </c>
      <c r="L508" s="74">
        <v>199920.0</v>
      </c>
      <c r="M508" s="74">
        <f t="shared" si="2"/>
        <v>200000</v>
      </c>
      <c r="N508" s="74">
        <f t="shared" si="3"/>
        <v>60000</v>
      </c>
      <c r="O508" s="65" t="str">
        <f>VLOOKUP(E508,DATABASE!C:Q,8,false)</f>
        <v>BIAN</v>
      </c>
      <c r="P508" s="65">
        <f>VLOOKUP(E508,DATABASE!C:Q,9,False)</f>
        <v>1</v>
      </c>
      <c r="Q508" s="93" t="str">
        <f>VLOOKUP(E508,DATABASE!C:Q,4,false)</f>
        <v>BD</v>
      </c>
      <c r="R508" s="93" t="str">
        <f>VLOOKUP(E508,DATABASE!C:Q,11,false)</f>
        <v>Tire</v>
      </c>
    </row>
    <row r="509" ht="22.5" customHeight="1">
      <c r="A509" s="49"/>
      <c r="C509" s="384">
        <v>45687.0</v>
      </c>
      <c r="D509" s="65">
        <v>4148.0</v>
      </c>
      <c r="E509" s="445" t="s">
        <v>821</v>
      </c>
      <c r="F509" s="386">
        <v>2.0</v>
      </c>
      <c r="G509" s="74">
        <v>75000.0</v>
      </c>
      <c r="H509" s="74">
        <v>0.0</v>
      </c>
      <c r="I509" s="74">
        <f t="shared" si="1"/>
        <v>150000</v>
      </c>
      <c r="J509" s="74">
        <f>IF(E509="SERVICE",I509-(I509*50%),Vlookup(E509,DATABASE!C:Q,10,false)*F509)</f>
        <v>0</v>
      </c>
      <c r="K509" s="74">
        <f>VLOOKUP(E509,DATABASE!C:Q,7,false)</f>
        <v>43500</v>
      </c>
      <c r="L509" s="74">
        <v>43520.0</v>
      </c>
      <c r="M509" s="74">
        <f t="shared" si="2"/>
        <v>45000</v>
      </c>
      <c r="N509" s="74">
        <f t="shared" si="3"/>
        <v>60000</v>
      </c>
      <c r="O509" s="65" t="str">
        <f>VLOOKUP(E509,DATABASE!C:Q,8,false)</f>
        <v>BIAN</v>
      </c>
      <c r="P509" s="65">
        <f>VLOOKUP(E509,DATABASE!C:Q,9,False)</f>
        <v>1</v>
      </c>
      <c r="Q509" s="93" t="str">
        <f>VLOOKUP(E509,DATABASE!C:Q,4,false)</f>
        <v>Flap</v>
      </c>
      <c r="R509" s="93" t="str">
        <f>VLOOKUP(E509,DATABASE!C:Q,11,false)</f>
        <v>Tire</v>
      </c>
    </row>
    <row r="510" ht="22.5" customHeight="1">
      <c r="A510" s="49"/>
      <c r="C510" s="384">
        <v>45687.0</v>
      </c>
      <c r="D510" s="65">
        <v>4149.0</v>
      </c>
      <c r="E510" s="445" t="s">
        <v>286</v>
      </c>
      <c r="F510" s="386">
        <v>15.0</v>
      </c>
      <c r="G510" s="74">
        <v>545000.0</v>
      </c>
      <c r="H510" s="74">
        <v>0.0</v>
      </c>
      <c r="I510" s="74">
        <f t="shared" si="1"/>
        <v>8175000</v>
      </c>
      <c r="J510" s="74">
        <f>IF(E510="SERVICE",I510-(I510*50%),Vlookup(E510,DATABASE!C:Q,10,false)*F510)</f>
        <v>0</v>
      </c>
      <c r="K510" s="74">
        <f>VLOOKUP(E510,DATABASE!C:Q,7,false)</f>
        <v>488320</v>
      </c>
      <c r="L510" s="74">
        <v>452970.0</v>
      </c>
      <c r="M510" s="74">
        <f t="shared" si="2"/>
        <v>455000</v>
      </c>
      <c r="N510" s="74">
        <f t="shared" si="3"/>
        <v>1350000</v>
      </c>
      <c r="O510" s="65" t="str">
        <f>VLOOKUP(E510,DATABASE!C:Q,8,false)</f>
        <v>BIAN</v>
      </c>
      <c r="P510" s="65">
        <f>VLOOKUP(E510,DATABASE!C:Q,9,False)</f>
        <v>1</v>
      </c>
      <c r="Q510" s="93" t="str">
        <f>VLOOKUP(E510,DATABASE!C:Q,4,false)</f>
        <v>GT</v>
      </c>
      <c r="R510" s="93" t="str">
        <f>VLOOKUP(E510,DATABASE!C:Q,11,false)</f>
        <v>Tire</v>
      </c>
    </row>
    <row r="511" ht="22.5" customHeight="1">
      <c r="A511" s="49"/>
      <c r="C511" s="384">
        <v>45687.0</v>
      </c>
      <c r="D511" s="65">
        <v>4150.0</v>
      </c>
      <c r="E511" s="445" t="s">
        <v>777</v>
      </c>
      <c r="F511" s="386">
        <v>1.0</v>
      </c>
      <c r="G511" s="74">
        <v>585000.0</v>
      </c>
      <c r="H511" s="74">
        <v>0.0</v>
      </c>
      <c r="I511" s="74">
        <f t="shared" si="1"/>
        <v>585000</v>
      </c>
      <c r="J511" s="74">
        <f>IF(E511="SERVICE",I511-(I511*50%),Vlookup(E511,DATABASE!C:Q,10,false)*F511)</f>
        <v>0</v>
      </c>
      <c r="K511" s="74">
        <f>VLOOKUP(E511,DATABASE!C:Q,7,false)</f>
        <v>540000</v>
      </c>
      <c r="L511" s="74">
        <v>507000.0</v>
      </c>
      <c r="M511" s="74">
        <f t="shared" si="2"/>
        <v>510000</v>
      </c>
      <c r="N511" s="74">
        <f t="shared" si="3"/>
        <v>75000</v>
      </c>
      <c r="O511" s="65" t="str">
        <f>VLOOKUP(E511,DATABASE!C:Q,8,false)</f>
        <v>BIAN</v>
      </c>
      <c r="P511" s="65">
        <f>VLOOKUP(E511,DATABASE!C:Q,9,False)</f>
        <v>1</v>
      </c>
      <c r="Q511" s="93" t="str">
        <f>VLOOKUP(E511,DATABASE!C:Q,4,false)</f>
        <v>GT</v>
      </c>
      <c r="R511" s="93" t="str">
        <f>VLOOKUP(E511,DATABASE!C:Q,11,false)</f>
        <v>Tire</v>
      </c>
    </row>
    <row r="512" ht="22.5" customHeight="1">
      <c r="A512" s="49"/>
      <c r="C512" s="384">
        <v>45688.0</v>
      </c>
      <c r="D512" s="65">
        <v>4154.0</v>
      </c>
      <c r="E512" s="445" t="s">
        <v>591</v>
      </c>
      <c r="F512" s="386">
        <v>1.0</v>
      </c>
      <c r="G512" s="74">
        <v>775000.0</v>
      </c>
      <c r="H512" s="74">
        <v>0.0</v>
      </c>
      <c r="I512" s="74">
        <f t="shared" si="1"/>
        <v>775000</v>
      </c>
      <c r="J512" s="74">
        <f>IF(E512="SERVICE",I512-(I512*50%),Vlookup(E512,DATABASE!C:Q,10,false)*F512)</f>
        <v>0</v>
      </c>
      <c r="K512" s="74">
        <v>676728.0</v>
      </c>
      <c r="L512" s="74">
        <v>676728.0</v>
      </c>
      <c r="M512" s="74">
        <f t="shared" si="2"/>
        <v>680000</v>
      </c>
      <c r="N512" s="74">
        <f t="shared" si="3"/>
        <v>95000</v>
      </c>
      <c r="O512" s="65" t="str">
        <f>VLOOKUP(E512,DATABASE!C:Q,8,false)</f>
        <v>IBU</v>
      </c>
      <c r="P512" s="65">
        <f>VLOOKUP(E512,DATABASE!C:Q,9,False)</f>
        <v>1</v>
      </c>
      <c r="Q512" s="93" t="str">
        <f>VLOOKUP(E512,DATABASE!C:Q,4,false)</f>
        <v>Bridgestone</v>
      </c>
      <c r="R512" s="93" t="str">
        <f>VLOOKUP(E512,DATABASE!C:Q,11,false)</f>
        <v>Tire</v>
      </c>
    </row>
    <row r="513" ht="22.5" customHeight="1">
      <c r="A513" s="49"/>
      <c r="C513" s="384">
        <v>45688.0</v>
      </c>
      <c r="D513" s="65">
        <v>4155.0</v>
      </c>
      <c r="E513" s="445" t="s">
        <v>591</v>
      </c>
      <c r="F513" s="386">
        <v>1.0</v>
      </c>
      <c r="G513" s="74">
        <v>755000.0</v>
      </c>
      <c r="H513" s="74">
        <v>0.0</v>
      </c>
      <c r="I513" s="74">
        <f t="shared" si="1"/>
        <v>755000</v>
      </c>
      <c r="J513" s="74">
        <f>IF(E513="SERVICE",I513-(I513*50%),Vlookup(E513,DATABASE!C:Q,10,false)*F513)</f>
        <v>0</v>
      </c>
      <c r="K513" s="74">
        <v>676728.0</v>
      </c>
      <c r="L513" s="74">
        <v>676728.0</v>
      </c>
      <c r="M513" s="74">
        <f t="shared" si="2"/>
        <v>680000</v>
      </c>
      <c r="N513" s="74">
        <f t="shared" si="3"/>
        <v>75000</v>
      </c>
      <c r="O513" s="65" t="str">
        <f>VLOOKUP(E513,DATABASE!C:Q,8,false)</f>
        <v>IBU</v>
      </c>
      <c r="P513" s="65">
        <f>VLOOKUP(E513,DATABASE!C:Q,9,False)</f>
        <v>1</v>
      </c>
      <c r="Q513" s="93" t="str">
        <f>VLOOKUP(E513,DATABASE!C:Q,4,false)</f>
        <v>Bridgestone</v>
      </c>
      <c r="R513" s="93" t="str">
        <f>VLOOKUP(E513,DATABASE!C:Q,11,false)</f>
        <v>Tire</v>
      </c>
    </row>
    <row r="514" ht="22.5" customHeight="1">
      <c r="A514" s="49"/>
      <c r="C514" s="384">
        <v>45688.0</v>
      </c>
      <c r="D514" s="65">
        <v>4156.0</v>
      </c>
      <c r="E514" s="445" t="s">
        <v>256</v>
      </c>
      <c r="F514" s="386">
        <v>1.0</v>
      </c>
      <c r="G514" s="74">
        <v>130000.0</v>
      </c>
      <c r="H514" s="74">
        <v>0.0</v>
      </c>
      <c r="I514" s="74">
        <f t="shared" si="1"/>
        <v>130000</v>
      </c>
      <c r="J514" s="74">
        <f>IF(E514="SERVICE",I514-(I514*50%),Vlookup(E514,DATABASE!C:Q,10,false)*F514)</f>
        <v>10000</v>
      </c>
      <c r="K514" s="74">
        <f>VLOOKUP(E514,DATABASE!C:Q,7,false)</f>
        <v>0</v>
      </c>
      <c r="L514" s="74">
        <v>0.0</v>
      </c>
      <c r="M514" s="74">
        <f t="shared" si="2"/>
        <v>0</v>
      </c>
      <c r="N514" s="74">
        <f t="shared" si="3"/>
        <v>120000</v>
      </c>
      <c r="O514" s="65" t="str">
        <f>VLOOKUP(E514,DATABASE!C:Q,8,false)</f>
        <v>IBU</v>
      </c>
      <c r="P514" s="65">
        <f>VLOOKUP(E514,DATABASE!C:Q,9,False)</f>
        <v>0</v>
      </c>
      <c r="Q514" s="93" t="str">
        <f>VLOOKUP(E514,DATABASE!C:Q,4,false)</f>
        <v>SPOORING</v>
      </c>
      <c r="R514" s="93" t="str">
        <f>VLOOKUP(E514,DATABASE!C:Q,11,false)</f>
        <v>SERVICE</v>
      </c>
    </row>
    <row r="515" ht="22.5" customHeight="1">
      <c r="A515" s="49"/>
      <c r="C515" s="384">
        <v>45688.0</v>
      </c>
      <c r="D515" s="65">
        <v>4156.0</v>
      </c>
      <c r="E515" s="385" t="s">
        <v>299</v>
      </c>
      <c r="F515" s="386">
        <v>2.0</v>
      </c>
      <c r="G515" s="74">
        <v>30000.0</v>
      </c>
      <c r="H515" s="74">
        <v>0.0</v>
      </c>
      <c r="I515" s="74">
        <f t="shared" si="1"/>
        <v>60000</v>
      </c>
      <c r="J515" s="74">
        <f>IF(E515="SERVICE",I515-(I515*50%),Vlookup(E515,DATABASE!C:Q,10,false)*F515)</f>
        <v>0</v>
      </c>
      <c r="K515" s="74">
        <v>0.0</v>
      </c>
      <c r="L515" s="74">
        <v>0.0</v>
      </c>
      <c r="M515" s="74">
        <f t="shared" si="2"/>
        <v>0</v>
      </c>
      <c r="N515" s="74">
        <f t="shared" si="3"/>
        <v>60000</v>
      </c>
      <c r="O515" s="65" t="str">
        <f>VLOOKUP(E515,DATABASE!C:Q,8,false)</f>
        <v>BIAN</v>
      </c>
      <c r="P515" s="65">
        <f>VLOOKUP(E515,DATABASE!C:Q,9,False)</f>
        <v>0</v>
      </c>
      <c r="Q515" s="93" t="str">
        <f>VLOOKUP(E515,DATABASE!C:Q,4,false)</f>
        <v>Balancing</v>
      </c>
      <c r="R515" s="93" t="str">
        <f>VLOOKUP(E515,DATABASE!C:Q,11,false)</f>
        <v>COMPLEMENTARY</v>
      </c>
    </row>
    <row r="516" ht="22.5" customHeight="1">
      <c r="A516" s="49"/>
      <c r="C516" s="384">
        <v>45688.0</v>
      </c>
      <c r="D516" s="65">
        <v>4156.0</v>
      </c>
      <c r="E516" s="445" t="s">
        <v>301</v>
      </c>
      <c r="F516" s="386">
        <v>1.0</v>
      </c>
      <c r="G516" s="74">
        <v>250000.0</v>
      </c>
      <c r="H516" s="74">
        <v>0.0</v>
      </c>
      <c r="I516" s="74">
        <f t="shared" si="1"/>
        <v>250000</v>
      </c>
      <c r="J516" s="74">
        <f>IF(E516="SERVICE",I516-(I516*50%),Vlookup(E516,DATABASE!C:Q,10,false)*F516)</f>
        <v>75000</v>
      </c>
      <c r="K516" s="74">
        <f>VLOOKUP(E516,DATABASE!C:Q,7,false)</f>
        <v>75000</v>
      </c>
      <c r="L516" s="74">
        <v>75000.0</v>
      </c>
      <c r="M516" s="74">
        <f t="shared" si="2"/>
        <v>75000</v>
      </c>
      <c r="N516" s="74">
        <f t="shared" si="3"/>
        <v>100000</v>
      </c>
      <c r="O516" s="65" t="str">
        <f>VLOOKUP(E516,DATABASE!C:Q,8,false)</f>
        <v>BIAN</v>
      </c>
      <c r="P516" s="65">
        <f>VLOOKUP(E516,DATABASE!C:Q,9,False)</f>
        <v>0</v>
      </c>
      <c r="Q516" s="93" t="str">
        <f>VLOOKUP(E516,DATABASE!C:Q,4,false)</f>
        <v>Baut Camber</v>
      </c>
      <c r="R516" s="93" t="str">
        <f>VLOOKUP(E516,DATABASE!C:Q,11,false)</f>
        <v>COMPLEMENTARY</v>
      </c>
    </row>
    <row r="517" ht="22.5" customHeight="1">
      <c r="A517" s="49"/>
      <c r="C517" s="384">
        <v>45688.0</v>
      </c>
      <c r="D517" s="65">
        <v>4157.0</v>
      </c>
      <c r="E517" s="445" t="s">
        <v>1112</v>
      </c>
      <c r="F517" s="386">
        <v>2.0</v>
      </c>
      <c r="G517" s="74">
        <v>1100000.0</v>
      </c>
      <c r="H517" s="74">
        <v>0.0</v>
      </c>
      <c r="I517" s="74">
        <f t="shared" si="1"/>
        <v>2200000</v>
      </c>
      <c r="J517" s="74">
        <f>IF(E517="SERVICE",I517-(I517*50%),Vlookup(E517,DATABASE!C:Q,10,false)*F517)</f>
        <v>0</v>
      </c>
      <c r="K517" s="74">
        <f>VLOOKUP(E517,DATABASE!C:Q,7,false)</f>
        <v>980542.4</v>
      </c>
      <c r="L517" s="74">
        <v>990539.0</v>
      </c>
      <c r="M517" s="74">
        <f t="shared" si="2"/>
        <v>995000</v>
      </c>
      <c r="N517" s="74">
        <f t="shared" si="3"/>
        <v>210000</v>
      </c>
      <c r="O517" s="65" t="str">
        <f>VLOOKUP(E517,DATABASE!C:Q,8,false)</f>
        <v>IBU</v>
      </c>
      <c r="P517" s="65">
        <f>VLOOKUP(E517,DATABASE!C:Q,9,False)</f>
        <v>1</v>
      </c>
      <c r="Q517" s="93" t="str">
        <f>VLOOKUP(E517,DATABASE!C:Q,4,false)</f>
        <v>Bridgestone</v>
      </c>
      <c r="R517" s="93" t="str">
        <f>VLOOKUP(E517,DATABASE!C:Q,11,false)</f>
        <v>Tire</v>
      </c>
    </row>
    <row r="518" ht="22.5" customHeight="1">
      <c r="A518" s="49"/>
      <c r="C518" s="384">
        <v>45688.0</v>
      </c>
      <c r="D518" s="65">
        <v>4158.0</v>
      </c>
      <c r="E518" s="445" t="s">
        <v>275</v>
      </c>
      <c r="F518" s="386">
        <v>1.0</v>
      </c>
      <c r="G518" s="74">
        <v>820000.0</v>
      </c>
      <c r="H518" s="74">
        <v>0.0</v>
      </c>
      <c r="I518" s="74">
        <f t="shared" si="1"/>
        <v>820000</v>
      </c>
      <c r="J518" s="74">
        <f>IF(E518="SERVICE",I518-(I518*50%),Vlookup(E518,DATABASE!C:Q,10,false)*F518)</f>
        <v>0</v>
      </c>
      <c r="K518" s="74">
        <v>735000.0</v>
      </c>
      <c r="L518" s="74">
        <v>735000.0</v>
      </c>
      <c r="M518" s="74">
        <f t="shared" si="2"/>
        <v>735000</v>
      </c>
      <c r="N518" s="74">
        <f t="shared" si="3"/>
        <v>85000</v>
      </c>
      <c r="O518" s="65" t="str">
        <f>VLOOKUP(E518,DATABASE!C:Q,8,false)</f>
        <v>IBU</v>
      </c>
      <c r="P518" s="65">
        <f>VLOOKUP(E518,DATABASE!C:Q,9,False)</f>
        <v>1</v>
      </c>
      <c r="Q518" s="93" t="str">
        <f>VLOOKUP(E518,DATABASE!C:Q,4,false)</f>
        <v>Dunlop</v>
      </c>
      <c r="R518" s="93" t="str">
        <f>VLOOKUP(E518,DATABASE!C:Q,11,false)</f>
        <v>Tire</v>
      </c>
    </row>
    <row r="519" ht="22.5" customHeight="1">
      <c r="A519" s="49"/>
      <c r="C519" s="384">
        <v>45688.0</v>
      </c>
      <c r="D519" s="65">
        <v>4159.0</v>
      </c>
      <c r="E519" s="445" t="s">
        <v>781</v>
      </c>
      <c r="F519" s="386">
        <v>1.0</v>
      </c>
      <c r="G519" s="74">
        <v>520000.0</v>
      </c>
      <c r="H519" s="74">
        <v>0.0</v>
      </c>
      <c r="I519" s="74">
        <f t="shared" si="1"/>
        <v>520000</v>
      </c>
      <c r="J519" s="74">
        <f>IF(E519="SERVICE",I519-(I519*50%),Vlookup(E519,DATABASE!C:Q,10,false)*F519)</f>
        <v>0</v>
      </c>
      <c r="K519" s="74">
        <f>VLOOKUP(E519,DATABASE!C:Q,7,false)</f>
        <v>470000</v>
      </c>
      <c r="L519" s="74">
        <v>442500.0</v>
      </c>
      <c r="M519" s="74">
        <f t="shared" si="2"/>
        <v>445000</v>
      </c>
      <c r="N519" s="74">
        <f t="shared" si="3"/>
        <v>75000</v>
      </c>
      <c r="O519" s="65" t="str">
        <f>VLOOKUP(E519,DATABASE!C:Q,8,false)</f>
        <v>BIAN</v>
      </c>
      <c r="P519" s="65">
        <f>VLOOKUP(E519,DATABASE!C:Q,9,False)</f>
        <v>1</v>
      </c>
      <c r="Q519" s="93" t="str">
        <f>VLOOKUP(E519,DATABASE!C:Q,4,false)</f>
        <v>GT</v>
      </c>
      <c r="R519" s="93" t="str">
        <f>VLOOKUP(E519,DATABASE!C:Q,11,false)</f>
        <v>Tire</v>
      </c>
    </row>
    <row r="520" ht="22.5" customHeight="1">
      <c r="A520" s="49"/>
      <c r="C520" s="384">
        <v>45688.0</v>
      </c>
      <c r="D520" s="65">
        <v>4160.0</v>
      </c>
      <c r="E520" s="445" t="s">
        <v>268</v>
      </c>
      <c r="F520" s="386">
        <v>1.0</v>
      </c>
      <c r="G520" s="74">
        <v>700000.0</v>
      </c>
      <c r="H520" s="74">
        <v>0.0</v>
      </c>
      <c r="I520" s="74">
        <f t="shared" si="1"/>
        <v>700000</v>
      </c>
      <c r="J520" s="74">
        <f>IF(E520="SERVICE",I520-(I520*50%),Vlookup(E520,DATABASE!C:Q,10,false)*F520)</f>
        <v>0</v>
      </c>
      <c r="K520" s="74">
        <v>613000.0</v>
      </c>
      <c r="L520" s="74">
        <v>613000.0</v>
      </c>
      <c r="M520" s="74">
        <f t="shared" si="2"/>
        <v>615000</v>
      </c>
      <c r="N520" s="74">
        <f t="shared" si="3"/>
        <v>85000</v>
      </c>
      <c r="O520" s="65" t="str">
        <f>VLOOKUP(E520,DATABASE!C:Q,8,false)</f>
        <v>IBU</v>
      </c>
      <c r="P520" s="65">
        <f>VLOOKUP(E520,DATABASE!C:Q,9,False)</f>
        <v>1</v>
      </c>
      <c r="Q520" s="93" t="str">
        <f>VLOOKUP(E520,DATABASE!C:Q,4,false)</f>
        <v>Dunlop</v>
      </c>
      <c r="R520" s="93" t="str">
        <f>VLOOKUP(E520,DATABASE!C:Q,11,false)</f>
        <v>Tire</v>
      </c>
    </row>
    <row r="521" ht="22.5" customHeight="1">
      <c r="A521" s="49"/>
      <c r="C521" s="384">
        <v>45688.0</v>
      </c>
      <c r="D521" s="65">
        <v>4161.0</v>
      </c>
      <c r="E521" s="445" t="s">
        <v>974</v>
      </c>
      <c r="F521" s="386">
        <v>1.0</v>
      </c>
      <c r="G521" s="74">
        <v>560000.0</v>
      </c>
      <c r="H521" s="74">
        <v>0.0</v>
      </c>
      <c r="I521" s="74">
        <f t="shared" si="1"/>
        <v>560000</v>
      </c>
      <c r="J521" s="74">
        <f>IF(E521="SERVICE",I521-(I521*50%),Vlookup(E521,DATABASE!C:Q,10,false)*F521)</f>
        <v>0</v>
      </c>
      <c r="K521" s="74">
        <f>VLOOKUP(E521,DATABASE!C:Q,7,false)</f>
        <v>501500</v>
      </c>
      <c r="L521" s="74">
        <v>491000.0</v>
      </c>
      <c r="M521" s="74">
        <f t="shared" si="2"/>
        <v>495000</v>
      </c>
      <c r="N521" s="74">
        <f t="shared" si="3"/>
        <v>65000</v>
      </c>
      <c r="O521" s="65" t="str">
        <f>VLOOKUP(E521,DATABASE!C:Q,8,false)</f>
        <v>IBU</v>
      </c>
      <c r="P521" s="65">
        <f>VLOOKUP(E521,DATABASE!C:Q,9,False)</f>
        <v>1</v>
      </c>
      <c r="Q521" s="93" t="str">
        <f>VLOOKUP(E521,DATABASE!C:Q,4,false)</f>
        <v>Dunlop</v>
      </c>
      <c r="R521" s="93" t="str">
        <f>VLOOKUP(E521,DATABASE!C:Q,11,false)</f>
        <v>Tire</v>
      </c>
    </row>
    <row r="522" ht="22.5" customHeight="1">
      <c r="A522" s="49"/>
      <c r="C522" s="384">
        <v>45689.0</v>
      </c>
      <c r="D522" s="65">
        <v>4162.0</v>
      </c>
      <c r="E522" s="445" t="s">
        <v>323</v>
      </c>
      <c r="F522" s="386">
        <v>1.0</v>
      </c>
      <c r="G522" s="74">
        <v>1040000.0</v>
      </c>
      <c r="H522" s="74">
        <v>0.0</v>
      </c>
      <c r="I522" s="74">
        <f t="shared" si="1"/>
        <v>1040000</v>
      </c>
      <c r="J522" s="74">
        <f>IF(E522="SERVICE",I522-(I522*50%),Vlookup(E522,DATABASE!C:Q,10,false)*F522)</f>
        <v>0</v>
      </c>
      <c r="K522" s="74">
        <f>VLOOKUP(E522,DATABASE!C:Q,7,false)</f>
        <v>920000</v>
      </c>
      <c r="L522" s="74">
        <v>920000.0</v>
      </c>
      <c r="M522" s="74">
        <f t="shared" si="2"/>
        <v>920000</v>
      </c>
      <c r="N522" s="74">
        <f t="shared" si="3"/>
        <v>120000</v>
      </c>
      <c r="O522" s="65" t="str">
        <f>VLOOKUP(E522,DATABASE!C:Q,8,false)</f>
        <v>BIAN</v>
      </c>
      <c r="P522" s="65">
        <f>VLOOKUP(E522,DATABASE!C:Q,9,False)</f>
        <v>1</v>
      </c>
      <c r="Q522" s="93" t="str">
        <f>VLOOKUP(E522,DATABASE!C:Q,4,false)</f>
        <v>Accelera</v>
      </c>
      <c r="R522" s="93" t="str">
        <f>VLOOKUP(E522,DATABASE!C:Q,11,false)</f>
        <v>Tire</v>
      </c>
    </row>
    <row r="523" ht="22.5" customHeight="1">
      <c r="A523" s="49"/>
      <c r="C523" s="384">
        <v>45689.0</v>
      </c>
      <c r="D523" s="65">
        <v>4165.0</v>
      </c>
      <c r="E523" s="445" t="s">
        <v>275</v>
      </c>
      <c r="F523" s="386">
        <v>2.0</v>
      </c>
      <c r="G523" s="74">
        <v>820000.0</v>
      </c>
      <c r="H523" s="74">
        <v>0.0</v>
      </c>
      <c r="I523" s="74">
        <f t="shared" si="1"/>
        <v>1640000</v>
      </c>
      <c r="J523" s="74">
        <f>IF(E523="SERVICE",I523-(I523*50%),Vlookup(E523,DATABASE!C:Q,10,false)*F523)</f>
        <v>0</v>
      </c>
      <c r="K523" s="74">
        <v>735000.0</v>
      </c>
      <c r="L523" s="74">
        <v>735000.0</v>
      </c>
      <c r="M523" s="74">
        <f t="shared" si="2"/>
        <v>735000</v>
      </c>
      <c r="N523" s="74">
        <f t="shared" si="3"/>
        <v>170000</v>
      </c>
      <c r="O523" s="65" t="str">
        <f>VLOOKUP(E523,DATABASE!C:Q,8,false)</f>
        <v>IBU</v>
      </c>
      <c r="P523" s="65">
        <f>VLOOKUP(E523,DATABASE!C:Q,9,False)</f>
        <v>1</v>
      </c>
      <c r="Q523" s="93" t="str">
        <f>VLOOKUP(E523,DATABASE!C:Q,4,false)</f>
        <v>Dunlop</v>
      </c>
      <c r="R523" s="93" t="str">
        <f>VLOOKUP(E523,DATABASE!C:Q,11,false)</f>
        <v>Tire</v>
      </c>
    </row>
    <row r="524" ht="22.5" customHeight="1">
      <c r="A524" s="49"/>
      <c r="C524" s="384">
        <v>45689.0</v>
      </c>
      <c r="D524" s="65">
        <v>4166.0</v>
      </c>
      <c r="E524" s="445" t="s">
        <v>932</v>
      </c>
      <c r="F524" s="386">
        <v>1.0</v>
      </c>
      <c r="G524" s="74">
        <v>670000.0</v>
      </c>
      <c r="H524" s="74">
        <v>0.0</v>
      </c>
      <c r="I524" s="74">
        <f t="shared" si="1"/>
        <v>670000</v>
      </c>
      <c r="J524" s="74">
        <f>IF(E524="SERVICE",I524-(I524*50%),Vlookup(E524,DATABASE!C:Q,10,false)*F524)</f>
        <v>0</v>
      </c>
      <c r="K524" s="74">
        <v>575000.0</v>
      </c>
      <c r="L524" s="74">
        <v>575000.0</v>
      </c>
      <c r="M524" s="74">
        <f t="shared" si="2"/>
        <v>575000</v>
      </c>
      <c r="N524" s="74">
        <f t="shared" si="3"/>
        <v>95000</v>
      </c>
      <c r="O524" s="65" t="str">
        <f>VLOOKUP(E524,DATABASE!C:Q,8,false)</f>
        <v>IBU</v>
      </c>
      <c r="P524" s="65">
        <f>VLOOKUP(E524,DATABASE!C:Q,9,False)</f>
        <v>1</v>
      </c>
      <c r="Q524" s="93" t="str">
        <f>VLOOKUP(E524,DATABASE!C:Q,4,false)</f>
        <v>Dunlop</v>
      </c>
      <c r="R524" s="93" t="str">
        <f>VLOOKUP(E524,DATABASE!C:Q,11,false)</f>
        <v>Tire</v>
      </c>
    </row>
    <row r="525" ht="22.5" customHeight="1">
      <c r="A525" s="49"/>
      <c r="C525" s="384">
        <v>45689.0</v>
      </c>
      <c r="D525" s="65">
        <v>4167.0</v>
      </c>
      <c r="E525" s="445" t="s">
        <v>275</v>
      </c>
      <c r="F525" s="386">
        <v>2.0</v>
      </c>
      <c r="G525" s="74">
        <v>820000.0</v>
      </c>
      <c r="H525" s="74">
        <v>0.0</v>
      </c>
      <c r="I525" s="74">
        <f t="shared" si="1"/>
        <v>1640000</v>
      </c>
      <c r="J525" s="74">
        <f>IF(E525="SERVICE",I525-(I525*50%),Vlookup(E525,DATABASE!C:Q,10,false)*F525)</f>
        <v>0</v>
      </c>
      <c r="K525" s="74">
        <v>735000.0</v>
      </c>
      <c r="L525" s="74">
        <v>735000.0</v>
      </c>
      <c r="M525" s="74">
        <f t="shared" si="2"/>
        <v>735000</v>
      </c>
      <c r="N525" s="74">
        <f t="shared" si="3"/>
        <v>170000</v>
      </c>
      <c r="O525" s="65" t="str">
        <f>VLOOKUP(E525,DATABASE!C:Q,8,false)</f>
        <v>IBU</v>
      </c>
      <c r="P525" s="65">
        <f>VLOOKUP(E525,DATABASE!C:Q,9,False)</f>
        <v>1</v>
      </c>
      <c r="Q525" s="93" t="str">
        <f>VLOOKUP(E525,DATABASE!C:Q,4,false)</f>
        <v>Dunlop</v>
      </c>
      <c r="R525" s="93" t="str">
        <f>VLOOKUP(E525,DATABASE!C:Q,11,false)</f>
        <v>Tire</v>
      </c>
    </row>
    <row r="526" ht="22.5" customHeight="1">
      <c r="A526" s="49"/>
      <c r="C526" s="384">
        <v>45689.0</v>
      </c>
      <c r="D526" s="65">
        <v>4169.0</v>
      </c>
      <c r="E526" s="445" t="s">
        <v>268</v>
      </c>
      <c r="F526" s="386">
        <v>2.0</v>
      </c>
      <c r="G526" s="74">
        <v>700000.0</v>
      </c>
      <c r="H526" s="74">
        <v>0.0</v>
      </c>
      <c r="I526" s="74">
        <f t="shared" si="1"/>
        <v>1400000</v>
      </c>
      <c r="J526" s="74">
        <f>IF(E526="SERVICE",I526-(I526*50%),Vlookup(E526,DATABASE!C:Q,10,false)*F526)</f>
        <v>0</v>
      </c>
      <c r="K526" s="74">
        <v>613000.0</v>
      </c>
      <c r="L526" s="74">
        <v>613000.0</v>
      </c>
      <c r="M526" s="74">
        <f t="shared" si="2"/>
        <v>615000</v>
      </c>
      <c r="N526" s="74">
        <f t="shared" si="3"/>
        <v>170000</v>
      </c>
      <c r="O526" s="65" t="str">
        <f>VLOOKUP(E526,DATABASE!C:Q,8,false)</f>
        <v>IBU</v>
      </c>
      <c r="P526" s="65">
        <f>VLOOKUP(E526,DATABASE!C:Q,9,False)</f>
        <v>1</v>
      </c>
      <c r="Q526" s="93" t="str">
        <f>VLOOKUP(E526,DATABASE!C:Q,4,false)</f>
        <v>Dunlop</v>
      </c>
      <c r="R526" s="93" t="str">
        <f>VLOOKUP(E526,DATABASE!C:Q,11,false)</f>
        <v>Tire</v>
      </c>
    </row>
    <row r="527" ht="22.5" customHeight="1">
      <c r="A527" s="49"/>
      <c r="C527" s="384">
        <v>45689.0</v>
      </c>
      <c r="D527" s="65">
        <v>4170.0</v>
      </c>
      <c r="E527" s="445" t="s">
        <v>268</v>
      </c>
      <c r="F527" s="386">
        <v>1.0</v>
      </c>
      <c r="G527" s="74">
        <v>700000.0</v>
      </c>
      <c r="H527" s="74">
        <v>0.0</v>
      </c>
      <c r="I527" s="74">
        <f t="shared" si="1"/>
        <v>700000</v>
      </c>
      <c r="J527" s="74">
        <f>IF(E527="SERVICE",I527-(I527*50%),Vlookup(E527,DATABASE!C:Q,10,false)*F527)</f>
        <v>0</v>
      </c>
      <c r="K527" s="74">
        <v>613000.0</v>
      </c>
      <c r="L527" s="74">
        <v>613000.0</v>
      </c>
      <c r="M527" s="74">
        <f t="shared" si="2"/>
        <v>615000</v>
      </c>
      <c r="N527" s="74">
        <f t="shared" si="3"/>
        <v>85000</v>
      </c>
      <c r="O527" s="65" t="str">
        <f>VLOOKUP(E527,DATABASE!C:Q,8,false)</f>
        <v>IBU</v>
      </c>
      <c r="P527" s="65">
        <f>VLOOKUP(E527,DATABASE!C:Q,9,False)</f>
        <v>1</v>
      </c>
      <c r="Q527" s="93" t="str">
        <f>VLOOKUP(E527,DATABASE!C:Q,4,false)</f>
        <v>Dunlop</v>
      </c>
      <c r="R527" s="93" t="str">
        <f>VLOOKUP(E527,DATABASE!C:Q,11,false)</f>
        <v>Tire</v>
      </c>
    </row>
    <row r="528" ht="22.5" customHeight="1">
      <c r="A528" s="49"/>
      <c r="C528" s="384">
        <v>45689.0</v>
      </c>
      <c r="D528" s="65">
        <v>4171.0</v>
      </c>
      <c r="E528" s="445" t="s">
        <v>955</v>
      </c>
      <c r="F528" s="386">
        <v>1.0</v>
      </c>
      <c r="G528" s="74">
        <v>780000.0</v>
      </c>
      <c r="H528" s="74">
        <v>0.0</v>
      </c>
      <c r="I528" s="74">
        <f t="shared" si="1"/>
        <v>780000</v>
      </c>
      <c r="J528" s="74">
        <f>IF(E528="SERVICE",I528-(I528*50%),Vlookup(E528,DATABASE!C:Q,10,false)*F528)</f>
        <v>0</v>
      </c>
      <c r="K528" s="74">
        <f>VLOOKUP(E528,DATABASE!C:Q,7,false)</f>
        <v>712000</v>
      </c>
      <c r="L528" s="74">
        <v>674000.0</v>
      </c>
      <c r="M528" s="74">
        <f t="shared" si="2"/>
        <v>675000</v>
      </c>
      <c r="N528" s="74">
        <f t="shared" si="3"/>
        <v>105000</v>
      </c>
      <c r="O528" s="65" t="str">
        <f>VLOOKUP(E528,DATABASE!C:Q,8,false)</f>
        <v>IBU</v>
      </c>
      <c r="P528" s="65">
        <f>VLOOKUP(E528,DATABASE!C:Q,9,False)</f>
        <v>1</v>
      </c>
      <c r="Q528" s="93" t="str">
        <f>VLOOKUP(E528,DATABASE!C:Q,4,false)</f>
        <v>Dunlop</v>
      </c>
      <c r="R528" s="93" t="str">
        <f>VLOOKUP(E528,DATABASE!C:Q,11,false)</f>
        <v>Tire</v>
      </c>
    </row>
    <row r="529" ht="22.5" customHeight="1">
      <c r="A529" s="49"/>
      <c r="C529" s="384">
        <v>45689.0</v>
      </c>
      <c r="D529" s="65">
        <v>4172.0</v>
      </c>
      <c r="E529" s="445" t="s">
        <v>600</v>
      </c>
      <c r="F529" s="386">
        <v>2.0</v>
      </c>
      <c r="G529" s="74">
        <v>745000.0</v>
      </c>
      <c r="H529" s="74">
        <v>0.0</v>
      </c>
      <c r="I529" s="74">
        <f t="shared" si="1"/>
        <v>1490000</v>
      </c>
      <c r="J529" s="74">
        <f>IF(E529="SERVICE",I529-(I529*50%),Vlookup(E529,DATABASE!C:Q,10,false)*F529)</f>
        <v>0</v>
      </c>
      <c r="K529" s="74">
        <v>655200.0</v>
      </c>
      <c r="L529" s="74">
        <v>655200.0</v>
      </c>
      <c r="M529" s="74">
        <f t="shared" si="2"/>
        <v>660000</v>
      </c>
      <c r="N529" s="74">
        <f t="shared" si="3"/>
        <v>170000</v>
      </c>
      <c r="O529" s="65" t="str">
        <f>VLOOKUP(E529,DATABASE!C:Q,8,false)</f>
        <v>IBU</v>
      </c>
      <c r="P529" s="65">
        <f>VLOOKUP(E529,DATABASE!C:Q,9,False)</f>
        <v>1</v>
      </c>
      <c r="Q529" s="93" t="str">
        <f>VLOOKUP(E529,DATABASE!C:Q,4,false)</f>
        <v>Bridgestone</v>
      </c>
      <c r="R529" s="93" t="str">
        <f>VLOOKUP(E529,DATABASE!C:Q,11,false)</f>
        <v>Tire</v>
      </c>
    </row>
    <row r="530" ht="22.5" customHeight="1">
      <c r="A530" s="49"/>
      <c r="C530" s="384">
        <v>45689.0</v>
      </c>
      <c r="D530" s="65">
        <v>4172.0</v>
      </c>
      <c r="E530" s="445" t="s">
        <v>256</v>
      </c>
      <c r="F530" s="386">
        <v>1.0</v>
      </c>
      <c r="G530" s="74">
        <v>130000.0</v>
      </c>
      <c r="H530" s="74">
        <v>0.0</v>
      </c>
      <c r="I530" s="74">
        <f t="shared" si="1"/>
        <v>130000</v>
      </c>
      <c r="J530" s="74">
        <f>IF(E530="SERVICE",I530-(I530*50%),Vlookup(E530,DATABASE!C:Q,10,false)*F530)</f>
        <v>10000</v>
      </c>
      <c r="K530" s="74">
        <f>VLOOKUP(E530,DATABASE!C:Q,7,false)</f>
        <v>0</v>
      </c>
      <c r="L530" s="74">
        <v>0.0</v>
      </c>
      <c r="M530" s="74">
        <f t="shared" si="2"/>
        <v>0</v>
      </c>
      <c r="N530" s="74">
        <f t="shared" si="3"/>
        <v>120000</v>
      </c>
      <c r="O530" s="65" t="str">
        <f>VLOOKUP(E530,DATABASE!C:Q,8,false)</f>
        <v>IBU</v>
      </c>
      <c r="P530" s="65">
        <f>VLOOKUP(E530,DATABASE!C:Q,9,False)</f>
        <v>0</v>
      </c>
      <c r="Q530" s="93" t="str">
        <f>VLOOKUP(E530,DATABASE!C:Q,4,false)</f>
        <v>SPOORING</v>
      </c>
      <c r="R530" s="93" t="str">
        <f>VLOOKUP(E530,DATABASE!C:Q,11,false)</f>
        <v>SERVICE</v>
      </c>
    </row>
    <row r="531" ht="22.5" customHeight="1">
      <c r="A531" s="49"/>
      <c r="C531" s="384">
        <v>45689.0</v>
      </c>
      <c r="D531" s="65">
        <v>4172.0</v>
      </c>
      <c r="E531" s="385" t="s">
        <v>299</v>
      </c>
      <c r="F531" s="386">
        <v>2.0</v>
      </c>
      <c r="G531" s="74">
        <v>30000.0</v>
      </c>
      <c r="H531" s="74">
        <v>0.0</v>
      </c>
      <c r="I531" s="74">
        <f t="shared" si="1"/>
        <v>60000</v>
      </c>
      <c r="J531" s="74">
        <f>IF(E531="SERVICE",I531-(I531*50%),Vlookup(E531,DATABASE!C:Q,10,false)*F531)</f>
        <v>0</v>
      </c>
      <c r="K531" s="74">
        <v>0.0</v>
      </c>
      <c r="L531" s="74">
        <v>0.0</v>
      </c>
      <c r="M531" s="74">
        <f t="shared" si="2"/>
        <v>0</v>
      </c>
      <c r="N531" s="74">
        <f t="shared" si="3"/>
        <v>60000</v>
      </c>
      <c r="O531" s="65" t="str">
        <f>VLOOKUP(E531,DATABASE!C:Q,8,false)</f>
        <v>BIAN</v>
      </c>
      <c r="P531" s="65">
        <f>VLOOKUP(E531,DATABASE!C:Q,9,False)</f>
        <v>0</v>
      </c>
      <c r="Q531" s="93" t="str">
        <f>VLOOKUP(E531,DATABASE!C:Q,4,false)</f>
        <v>Balancing</v>
      </c>
      <c r="R531" s="93" t="str">
        <f>VLOOKUP(E531,DATABASE!C:Q,11,false)</f>
        <v>COMPLEMENTARY</v>
      </c>
    </row>
    <row r="532" ht="22.5" customHeight="1">
      <c r="A532" s="49"/>
      <c r="C532" s="384">
        <v>45689.0</v>
      </c>
      <c r="D532" s="65">
        <v>4172.0</v>
      </c>
      <c r="E532" s="445" t="s">
        <v>301</v>
      </c>
      <c r="F532" s="386">
        <v>1.0</v>
      </c>
      <c r="G532" s="74">
        <v>250000.0</v>
      </c>
      <c r="H532" s="74">
        <v>0.0</v>
      </c>
      <c r="I532" s="74">
        <f t="shared" si="1"/>
        <v>250000</v>
      </c>
      <c r="J532" s="74">
        <f>IF(E532="SERVICE",I532-(I532*50%),Vlookup(E532,DATABASE!C:Q,10,false)*F532)</f>
        <v>75000</v>
      </c>
      <c r="K532" s="74">
        <f>VLOOKUP(E532,DATABASE!C:Q,7,false)</f>
        <v>75000</v>
      </c>
      <c r="L532" s="74">
        <v>75000.0</v>
      </c>
      <c r="M532" s="74">
        <f t="shared" si="2"/>
        <v>75000</v>
      </c>
      <c r="N532" s="74">
        <f t="shared" si="3"/>
        <v>100000</v>
      </c>
      <c r="O532" s="65" t="str">
        <f>VLOOKUP(E532,DATABASE!C:Q,8,false)</f>
        <v>BIAN</v>
      </c>
      <c r="P532" s="65">
        <f>VLOOKUP(E532,DATABASE!C:Q,9,False)</f>
        <v>0</v>
      </c>
      <c r="Q532" s="93" t="str">
        <f>VLOOKUP(E532,DATABASE!C:Q,4,false)</f>
        <v>Baut Camber</v>
      </c>
      <c r="R532" s="93" t="str">
        <f>VLOOKUP(E532,DATABASE!C:Q,11,false)</f>
        <v>COMPLEMENTARY</v>
      </c>
    </row>
    <row r="533" ht="22.5" customHeight="1">
      <c r="A533" s="49"/>
      <c r="C533" s="384">
        <v>45689.0</v>
      </c>
      <c r="D533" s="65">
        <v>4174.0</v>
      </c>
      <c r="E533" s="445" t="s">
        <v>286</v>
      </c>
      <c r="F533" s="386">
        <v>16.0</v>
      </c>
      <c r="G533" s="74">
        <v>545000.0</v>
      </c>
      <c r="H533" s="74">
        <v>0.0</v>
      </c>
      <c r="I533" s="74">
        <f t="shared" si="1"/>
        <v>8720000</v>
      </c>
      <c r="J533" s="74">
        <f>IF(E533="SERVICE",I533-(I533*50%),Vlookup(E533,DATABASE!C:Q,10,false)*F533)</f>
        <v>0</v>
      </c>
      <c r="K533" s="74">
        <f>VLOOKUP(E533,DATABASE!C:Q,7,false)</f>
        <v>488320</v>
      </c>
      <c r="L533" s="74">
        <v>452970.0</v>
      </c>
      <c r="M533" s="74">
        <f t="shared" si="2"/>
        <v>455000</v>
      </c>
      <c r="N533" s="74">
        <f t="shared" si="3"/>
        <v>1440000</v>
      </c>
      <c r="O533" s="65" t="str">
        <f>VLOOKUP(E533,DATABASE!C:Q,8,false)</f>
        <v>BIAN</v>
      </c>
      <c r="P533" s="65">
        <f>VLOOKUP(E533,DATABASE!C:Q,9,False)</f>
        <v>1</v>
      </c>
      <c r="Q533" s="93" t="str">
        <f>VLOOKUP(E533,DATABASE!C:Q,4,false)</f>
        <v>GT</v>
      </c>
      <c r="R533" s="93" t="str">
        <f>VLOOKUP(E533,DATABASE!C:Q,11,false)</f>
        <v>Tire</v>
      </c>
    </row>
    <row r="534" ht="22.5" customHeight="1">
      <c r="A534" s="49"/>
      <c r="C534" s="384">
        <v>45689.0</v>
      </c>
      <c r="D534" s="65">
        <v>4174.0</v>
      </c>
      <c r="E534" s="445" t="s">
        <v>932</v>
      </c>
      <c r="F534" s="386">
        <v>4.0</v>
      </c>
      <c r="G534" s="74">
        <v>660000.0</v>
      </c>
      <c r="H534" s="74">
        <v>0.0</v>
      </c>
      <c r="I534" s="74">
        <f t="shared" si="1"/>
        <v>2640000</v>
      </c>
      <c r="J534" s="74">
        <f>IF(E534="SERVICE",I534-(I534*50%),Vlookup(E534,DATABASE!C:Q,10,false)*F534)</f>
        <v>0</v>
      </c>
      <c r="K534" s="74">
        <v>575000.0</v>
      </c>
      <c r="L534" s="74">
        <v>575000.0</v>
      </c>
      <c r="M534" s="74">
        <f t="shared" si="2"/>
        <v>575000</v>
      </c>
      <c r="N534" s="74">
        <f t="shared" si="3"/>
        <v>340000</v>
      </c>
      <c r="O534" s="65" t="str">
        <f>VLOOKUP(E534,DATABASE!C:Q,8,false)</f>
        <v>IBU</v>
      </c>
      <c r="P534" s="65">
        <f>VLOOKUP(E534,DATABASE!C:Q,9,False)</f>
        <v>1</v>
      </c>
      <c r="Q534" s="93" t="str">
        <f>VLOOKUP(E534,DATABASE!C:Q,4,false)</f>
        <v>Dunlop</v>
      </c>
      <c r="R534" s="93" t="str">
        <f>VLOOKUP(E534,DATABASE!C:Q,11,false)</f>
        <v>Tire</v>
      </c>
    </row>
    <row r="535" ht="22.5" customHeight="1">
      <c r="A535" s="49"/>
      <c r="C535" s="384">
        <v>45689.0</v>
      </c>
      <c r="D535" s="65">
        <v>4175.0</v>
      </c>
      <c r="E535" s="445" t="s">
        <v>781</v>
      </c>
      <c r="F535" s="386">
        <v>1.0</v>
      </c>
      <c r="G535" s="74">
        <v>530000.0</v>
      </c>
      <c r="H535" s="74">
        <v>0.0</v>
      </c>
      <c r="I535" s="74">
        <f t="shared" si="1"/>
        <v>530000</v>
      </c>
      <c r="J535" s="74">
        <f>IF(E535="SERVICE",I535-(I535*50%),Vlookup(E535,DATABASE!C:Q,10,false)*F535)</f>
        <v>0</v>
      </c>
      <c r="K535" s="74">
        <f>VLOOKUP(E535,DATABASE!C:Q,7,false)</f>
        <v>470000</v>
      </c>
      <c r="L535" s="74">
        <v>442500.0</v>
      </c>
      <c r="M535" s="74">
        <f t="shared" si="2"/>
        <v>445000</v>
      </c>
      <c r="N535" s="74">
        <f t="shared" si="3"/>
        <v>85000</v>
      </c>
      <c r="O535" s="65" t="str">
        <f>VLOOKUP(E535,DATABASE!C:Q,8,false)</f>
        <v>BIAN</v>
      </c>
      <c r="P535" s="65">
        <f>VLOOKUP(E535,DATABASE!C:Q,9,False)</f>
        <v>1</v>
      </c>
      <c r="Q535" s="93" t="str">
        <f>VLOOKUP(E535,DATABASE!C:Q,4,false)</f>
        <v>GT</v>
      </c>
      <c r="R535" s="93" t="str">
        <f>VLOOKUP(E535,DATABASE!C:Q,11,false)</f>
        <v>Tire</v>
      </c>
    </row>
    <row r="536" ht="22.5" customHeight="1">
      <c r="A536" s="49"/>
      <c r="C536" s="384">
        <v>45689.0</v>
      </c>
      <c r="D536" s="65">
        <v>4176.0</v>
      </c>
      <c r="E536" s="445" t="s">
        <v>591</v>
      </c>
      <c r="F536" s="386">
        <v>1.0</v>
      </c>
      <c r="G536" s="74">
        <v>775000.0</v>
      </c>
      <c r="H536" s="74">
        <v>0.0</v>
      </c>
      <c r="I536" s="74">
        <f t="shared" si="1"/>
        <v>775000</v>
      </c>
      <c r="J536" s="74">
        <f>IF(E536="SERVICE",I536-(I536*50%),Vlookup(E536,DATABASE!C:Q,10,false)*F536)</f>
        <v>0</v>
      </c>
      <c r="K536" s="74">
        <v>676728.0</v>
      </c>
      <c r="L536" s="74">
        <v>676728.0</v>
      </c>
      <c r="M536" s="74">
        <f t="shared" si="2"/>
        <v>680000</v>
      </c>
      <c r="N536" s="74">
        <f t="shared" si="3"/>
        <v>95000</v>
      </c>
      <c r="O536" s="65" t="str">
        <f>VLOOKUP(E536,DATABASE!C:Q,8,false)</f>
        <v>IBU</v>
      </c>
      <c r="P536" s="65">
        <f>VLOOKUP(E536,DATABASE!C:Q,9,False)</f>
        <v>1</v>
      </c>
      <c r="Q536" s="93" t="str">
        <f>VLOOKUP(E536,DATABASE!C:Q,4,false)</f>
        <v>Bridgestone</v>
      </c>
      <c r="R536" s="93" t="str">
        <f>VLOOKUP(E536,DATABASE!C:Q,11,false)</f>
        <v>Tire</v>
      </c>
    </row>
    <row r="537" ht="22.5" customHeight="1">
      <c r="A537" s="49"/>
      <c r="C537" s="384">
        <v>45689.0</v>
      </c>
      <c r="D537" s="65">
        <v>4177.0</v>
      </c>
      <c r="E537" s="445" t="s">
        <v>251</v>
      </c>
      <c r="F537" s="386">
        <v>1.0</v>
      </c>
      <c r="G537" s="74">
        <v>120000.0</v>
      </c>
      <c r="H537" s="74">
        <v>0.0</v>
      </c>
      <c r="I537" s="74">
        <f t="shared" si="1"/>
        <v>120000</v>
      </c>
      <c r="J537" s="74">
        <f>IF(E537="SERVICE",I537-(I537*50%),Vlookup(E537,DATABASE!C:Q,10,false)*F537)</f>
        <v>60000</v>
      </c>
      <c r="K537" s="74">
        <f>VLOOKUP(E537,DATABASE!C:Q,7,false)</f>
        <v>0</v>
      </c>
      <c r="L537" s="74">
        <v>0.0</v>
      </c>
      <c r="M537" s="74">
        <f t="shared" si="2"/>
        <v>0</v>
      </c>
      <c r="N537" s="74">
        <f t="shared" si="3"/>
        <v>60000</v>
      </c>
      <c r="O537" s="65" t="str">
        <f>VLOOKUP(E537,DATABASE!C:Q,8,false)</f>
        <v>IBU</v>
      </c>
      <c r="P537" s="65">
        <f>VLOOKUP(E537,DATABASE!C:Q,9,False)</f>
        <v>0</v>
      </c>
      <c r="Q537" s="93" t="str">
        <f>VLOOKUP(E537,DATABASE!C:Q,4,false)</f>
        <v>SERVICE</v>
      </c>
      <c r="R537" s="93" t="str">
        <f>VLOOKUP(E537,DATABASE!C:Q,11,false)</f>
        <v>SERVICE</v>
      </c>
    </row>
    <row r="538" ht="22.5" customHeight="1">
      <c r="A538" s="49"/>
      <c r="C538" s="384">
        <v>45689.0</v>
      </c>
      <c r="D538" s="65">
        <v>4177.0</v>
      </c>
      <c r="E538" s="445" t="s">
        <v>262</v>
      </c>
      <c r="F538" s="386">
        <v>1.0</v>
      </c>
      <c r="G538" s="74">
        <v>110000.0</v>
      </c>
      <c r="H538" s="74">
        <v>0.0</v>
      </c>
      <c r="I538" s="74">
        <f t="shared" si="1"/>
        <v>110000</v>
      </c>
      <c r="J538" s="74">
        <f>IF(E538="SERVICE",I538-(I538*50%),Vlookup(E538,DATABASE!C:Q,10,false)*F538)</f>
        <v>5000</v>
      </c>
      <c r="K538" s="74">
        <f>VLOOKUP(E538,DATABASE!C:Q,7,false)</f>
        <v>0</v>
      </c>
      <c r="L538" s="74">
        <v>0.0</v>
      </c>
      <c r="M538" s="74">
        <f t="shared" si="2"/>
        <v>0</v>
      </c>
      <c r="N538" s="74">
        <f t="shared" si="3"/>
        <v>105000</v>
      </c>
      <c r="O538" s="65" t="str">
        <f>VLOOKUP(E538,DATABASE!C:Q,8,false)</f>
        <v>IBU</v>
      </c>
      <c r="P538" s="65">
        <f>VLOOKUP(E538,DATABASE!C:Q,9,False)</f>
        <v>0</v>
      </c>
      <c r="Q538" s="93" t="str">
        <f>VLOOKUP(E538,DATABASE!C:Q,4,false)</f>
        <v>SPOORING SS/CARRY LOS BAK</v>
      </c>
      <c r="R538" s="93" t="str">
        <f>VLOOKUP(E538,DATABASE!C:Q,11,false)</f>
        <v>SERVICE</v>
      </c>
    </row>
    <row r="539" ht="22.5" customHeight="1">
      <c r="A539" s="49"/>
      <c r="C539" s="384">
        <v>45689.0</v>
      </c>
      <c r="D539" s="65">
        <v>4178.0</v>
      </c>
      <c r="E539" s="445" t="s">
        <v>1112</v>
      </c>
      <c r="F539" s="386">
        <v>1.0</v>
      </c>
      <c r="G539" s="74">
        <v>1100000.0</v>
      </c>
      <c r="H539" s="74">
        <v>0.0</v>
      </c>
      <c r="I539" s="74">
        <f t="shared" si="1"/>
        <v>1100000</v>
      </c>
      <c r="J539" s="74">
        <f>IF(E539="SERVICE",I539-(I539*50%),Vlookup(E539,DATABASE!C:Q,10,false)*F539)</f>
        <v>0</v>
      </c>
      <c r="K539" s="74">
        <f>VLOOKUP(E539,DATABASE!C:Q,7,false)</f>
        <v>980542.4</v>
      </c>
      <c r="L539" s="74">
        <v>990539.0</v>
      </c>
      <c r="M539" s="74">
        <f t="shared" si="2"/>
        <v>995000</v>
      </c>
      <c r="N539" s="74">
        <f t="shared" si="3"/>
        <v>105000</v>
      </c>
      <c r="O539" s="65" t="str">
        <f>VLOOKUP(E539,DATABASE!C:Q,8,false)</f>
        <v>IBU</v>
      </c>
      <c r="P539" s="65">
        <f>VLOOKUP(E539,DATABASE!C:Q,9,False)</f>
        <v>1</v>
      </c>
      <c r="Q539" s="93" t="str">
        <f>VLOOKUP(E539,DATABASE!C:Q,4,false)</f>
        <v>Bridgestone</v>
      </c>
      <c r="R539" s="93" t="str">
        <f>VLOOKUP(E539,DATABASE!C:Q,11,false)</f>
        <v>Tire</v>
      </c>
    </row>
    <row r="540" ht="22.5" customHeight="1">
      <c r="A540" s="49"/>
      <c r="C540" s="384">
        <v>45689.0</v>
      </c>
      <c r="D540" s="65">
        <v>4181.0</v>
      </c>
      <c r="E540" s="445" t="s">
        <v>777</v>
      </c>
      <c r="F540" s="386">
        <v>1.0</v>
      </c>
      <c r="G540" s="74">
        <v>585000.0</v>
      </c>
      <c r="H540" s="74">
        <v>0.0</v>
      </c>
      <c r="I540" s="74">
        <f t="shared" si="1"/>
        <v>585000</v>
      </c>
      <c r="J540" s="74">
        <f>IF(E540="SERVICE",I540-(I540*50%),Vlookup(E540,DATABASE!C:Q,10,false)*F540)</f>
        <v>0</v>
      </c>
      <c r="K540" s="74">
        <f>VLOOKUP(E540,DATABASE!C:Q,7,false)</f>
        <v>540000</v>
      </c>
      <c r="L540" s="74">
        <v>507000.0</v>
      </c>
      <c r="M540" s="74">
        <f t="shared" si="2"/>
        <v>510000</v>
      </c>
      <c r="N540" s="74">
        <f t="shared" si="3"/>
        <v>75000</v>
      </c>
      <c r="O540" s="65" t="str">
        <f>VLOOKUP(E540,DATABASE!C:Q,8,false)</f>
        <v>BIAN</v>
      </c>
      <c r="P540" s="65">
        <f>VLOOKUP(E540,DATABASE!C:Q,9,False)</f>
        <v>1</v>
      </c>
      <c r="Q540" s="93" t="str">
        <f>VLOOKUP(E540,DATABASE!C:Q,4,false)</f>
        <v>GT</v>
      </c>
      <c r="R540" s="93" t="str">
        <f>VLOOKUP(E540,DATABASE!C:Q,11,false)</f>
        <v>Tire</v>
      </c>
    </row>
    <row r="541" ht="22.5" customHeight="1">
      <c r="A541" s="49"/>
      <c r="C541" s="384">
        <v>45689.0</v>
      </c>
      <c r="D541" s="65">
        <v>4182.0</v>
      </c>
      <c r="E541" s="445" t="s">
        <v>256</v>
      </c>
      <c r="F541" s="386">
        <v>1.0</v>
      </c>
      <c r="G541" s="74">
        <v>130000.0</v>
      </c>
      <c r="H541" s="74">
        <v>0.0</v>
      </c>
      <c r="I541" s="74">
        <f t="shared" si="1"/>
        <v>130000</v>
      </c>
      <c r="J541" s="74">
        <f>IF(E541="SERVICE",I541-(I541*50%),Vlookup(E541,DATABASE!C:Q,10,false)*F541)</f>
        <v>10000</v>
      </c>
      <c r="K541" s="74">
        <f>VLOOKUP(E541,DATABASE!C:Q,7,false)</f>
        <v>0</v>
      </c>
      <c r="L541" s="74">
        <v>0.0</v>
      </c>
      <c r="M541" s="74">
        <f t="shared" si="2"/>
        <v>0</v>
      </c>
      <c r="N541" s="74">
        <f t="shared" si="3"/>
        <v>120000</v>
      </c>
      <c r="O541" s="65" t="str">
        <f>VLOOKUP(E541,DATABASE!C:Q,8,false)</f>
        <v>IBU</v>
      </c>
      <c r="P541" s="65">
        <f>VLOOKUP(E541,DATABASE!C:Q,9,False)</f>
        <v>0</v>
      </c>
      <c r="Q541" s="93" t="str">
        <f>VLOOKUP(E541,DATABASE!C:Q,4,false)</f>
        <v>SPOORING</v>
      </c>
      <c r="R541" s="93" t="str">
        <f>VLOOKUP(E541,DATABASE!C:Q,11,false)</f>
        <v>SERVICE</v>
      </c>
    </row>
    <row r="542" ht="22.5" customHeight="1">
      <c r="A542" s="49"/>
      <c r="C542" s="384">
        <v>45689.0</v>
      </c>
      <c r="D542" s="65">
        <v>4182.0</v>
      </c>
      <c r="E542" s="385" t="s">
        <v>299</v>
      </c>
      <c r="F542" s="386">
        <v>2.0</v>
      </c>
      <c r="G542" s="74">
        <v>30000.0</v>
      </c>
      <c r="H542" s="74">
        <v>0.0</v>
      </c>
      <c r="I542" s="74">
        <f t="shared" si="1"/>
        <v>60000</v>
      </c>
      <c r="J542" s="74">
        <f>IF(E542="SERVICE",I542-(I542*50%),Vlookup(E542,DATABASE!C:Q,10,false)*F542)</f>
        <v>0</v>
      </c>
      <c r="K542" s="74">
        <v>0.0</v>
      </c>
      <c r="L542" s="74">
        <v>0.0</v>
      </c>
      <c r="M542" s="74">
        <f t="shared" si="2"/>
        <v>0</v>
      </c>
      <c r="N542" s="74">
        <f t="shared" si="3"/>
        <v>60000</v>
      </c>
      <c r="O542" s="65" t="str">
        <f>VLOOKUP(E542,DATABASE!C:Q,8,false)</f>
        <v>BIAN</v>
      </c>
      <c r="P542" s="65">
        <f>VLOOKUP(E542,DATABASE!C:Q,9,False)</f>
        <v>0</v>
      </c>
      <c r="Q542" s="93" t="str">
        <f>VLOOKUP(E542,DATABASE!C:Q,4,false)</f>
        <v>Balancing</v>
      </c>
      <c r="R542" s="93" t="str">
        <f>VLOOKUP(E542,DATABASE!C:Q,11,false)</f>
        <v>COMPLEMENTARY</v>
      </c>
    </row>
    <row r="543" ht="22.5" customHeight="1">
      <c r="A543" s="49"/>
      <c r="C543" s="384">
        <v>45689.0</v>
      </c>
      <c r="D543" s="65">
        <v>4182.0</v>
      </c>
      <c r="E543" s="445" t="s">
        <v>301</v>
      </c>
      <c r="F543" s="386">
        <v>1.0</v>
      </c>
      <c r="G543" s="74">
        <v>250000.0</v>
      </c>
      <c r="H543" s="74">
        <v>0.0</v>
      </c>
      <c r="I543" s="74">
        <f t="shared" si="1"/>
        <v>250000</v>
      </c>
      <c r="J543" s="74">
        <f>IF(E543="SERVICE",I543-(I543*50%),Vlookup(E543,DATABASE!C:Q,10,false)*F543)</f>
        <v>75000</v>
      </c>
      <c r="K543" s="74">
        <f>VLOOKUP(E543,DATABASE!C:Q,7,false)</f>
        <v>75000</v>
      </c>
      <c r="L543" s="74">
        <v>75000.0</v>
      </c>
      <c r="M543" s="74">
        <f t="shared" si="2"/>
        <v>75000</v>
      </c>
      <c r="N543" s="74">
        <f t="shared" si="3"/>
        <v>100000</v>
      </c>
      <c r="O543" s="65" t="str">
        <f>VLOOKUP(E543,DATABASE!C:Q,8,false)</f>
        <v>BIAN</v>
      </c>
      <c r="P543" s="65">
        <f>VLOOKUP(E543,DATABASE!C:Q,9,False)</f>
        <v>0</v>
      </c>
      <c r="Q543" s="93" t="str">
        <f>VLOOKUP(E543,DATABASE!C:Q,4,false)</f>
        <v>Baut Camber</v>
      </c>
      <c r="R543" s="93" t="str">
        <f>VLOOKUP(E543,DATABASE!C:Q,11,false)</f>
        <v>COMPLEMENTARY</v>
      </c>
    </row>
    <row r="544" ht="22.5" customHeight="1">
      <c r="A544" s="49"/>
      <c r="C544" s="384">
        <v>45689.0</v>
      </c>
      <c r="D544" s="65">
        <v>4183.0</v>
      </c>
      <c r="E544" s="445" t="s">
        <v>963</v>
      </c>
      <c r="F544" s="386">
        <v>1.0</v>
      </c>
      <c r="G544" s="74">
        <v>750000.0</v>
      </c>
      <c r="H544" s="74">
        <v>0.0</v>
      </c>
      <c r="I544" s="74">
        <f t="shared" si="1"/>
        <v>750000</v>
      </c>
      <c r="J544" s="74">
        <f>IF(E544="SERVICE",I544-(I544*50%),Vlookup(E544,DATABASE!C:Q,10,false)*F544)</f>
        <v>0</v>
      </c>
      <c r="K544" s="74">
        <f>VLOOKUP(E544,DATABASE!C:Q,7,false)</f>
        <v>698000</v>
      </c>
      <c r="L544" s="74">
        <v>698000.0</v>
      </c>
      <c r="M544" s="74">
        <f t="shared" si="2"/>
        <v>700000</v>
      </c>
      <c r="N544" s="74">
        <f t="shared" si="3"/>
        <v>50000</v>
      </c>
      <c r="O544" s="65" t="str">
        <f>VLOOKUP(E544,DATABASE!C:Q,8,false)</f>
        <v>IBU</v>
      </c>
      <c r="P544" s="65">
        <f>VLOOKUP(E544,DATABASE!C:Q,9,False)</f>
        <v>1</v>
      </c>
      <c r="Q544" s="93" t="str">
        <f>VLOOKUP(E544,DATABASE!C:Q,4,false)</f>
        <v>Dunlop</v>
      </c>
      <c r="R544" s="93" t="str">
        <f>VLOOKUP(E544,DATABASE!C:Q,11,false)</f>
        <v>Tire</v>
      </c>
    </row>
    <row r="545" ht="22.5" customHeight="1">
      <c r="A545" s="49"/>
      <c r="C545" s="384">
        <v>45690.0</v>
      </c>
      <c r="D545" s="65">
        <v>4184.0</v>
      </c>
      <c r="E545" s="445" t="s">
        <v>955</v>
      </c>
      <c r="F545" s="386">
        <v>1.0</v>
      </c>
      <c r="G545" s="74">
        <v>750000.0</v>
      </c>
      <c r="H545" s="74">
        <v>0.0</v>
      </c>
      <c r="I545" s="74">
        <f t="shared" si="1"/>
        <v>750000</v>
      </c>
      <c r="J545" s="74">
        <f>IF(E545="SERVICE",I545-(I545*50%),Vlookup(E545,DATABASE!C:Q,10,false)*F545)</f>
        <v>0</v>
      </c>
      <c r="K545" s="74">
        <f>VLOOKUP(E545,DATABASE!C:Q,7,false)</f>
        <v>712000</v>
      </c>
      <c r="L545" s="74">
        <v>674000.0</v>
      </c>
      <c r="M545" s="74">
        <f t="shared" si="2"/>
        <v>675000</v>
      </c>
      <c r="N545" s="74">
        <f t="shared" si="3"/>
        <v>75000</v>
      </c>
      <c r="O545" s="65" t="str">
        <f>VLOOKUP(E545,DATABASE!C:Q,8,false)</f>
        <v>IBU</v>
      </c>
      <c r="P545" s="65">
        <f>VLOOKUP(E545,DATABASE!C:Q,9,False)</f>
        <v>1</v>
      </c>
      <c r="Q545" s="93" t="str">
        <f>VLOOKUP(E545,DATABASE!C:Q,4,false)</f>
        <v>Dunlop</v>
      </c>
      <c r="R545" s="93" t="str">
        <f>VLOOKUP(E545,DATABASE!C:Q,11,false)</f>
        <v>Tire</v>
      </c>
    </row>
    <row r="546" ht="22.5" customHeight="1">
      <c r="A546" s="49"/>
      <c r="C546" s="384">
        <v>45691.0</v>
      </c>
      <c r="D546" s="65">
        <v>4185.0</v>
      </c>
      <c r="E546" s="445" t="s">
        <v>268</v>
      </c>
      <c r="F546" s="386">
        <v>2.0</v>
      </c>
      <c r="G546" s="74">
        <v>685000.0</v>
      </c>
      <c r="H546" s="74">
        <v>0.0</v>
      </c>
      <c r="I546" s="74">
        <f t="shared" si="1"/>
        <v>1370000</v>
      </c>
      <c r="J546" s="74">
        <f>IF(E546="SERVICE",I546-(I546*50%),Vlookup(E546,DATABASE!C:Q,10,false)*F546)</f>
        <v>0</v>
      </c>
      <c r="K546" s="74">
        <v>613000.0</v>
      </c>
      <c r="L546" s="74">
        <v>613000.0</v>
      </c>
      <c r="M546" s="74">
        <f t="shared" si="2"/>
        <v>615000</v>
      </c>
      <c r="N546" s="74">
        <f t="shared" si="3"/>
        <v>140000</v>
      </c>
      <c r="O546" s="65" t="str">
        <f>VLOOKUP(E546,DATABASE!C:Q,8,false)</f>
        <v>IBU</v>
      </c>
      <c r="P546" s="65">
        <f>VLOOKUP(E546,DATABASE!C:Q,9,False)</f>
        <v>1</v>
      </c>
      <c r="Q546" s="93" t="str">
        <f>VLOOKUP(E546,DATABASE!C:Q,4,false)</f>
        <v>Dunlop</v>
      </c>
      <c r="R546" s="93" t="str">
        <f>VLOOKUP(E546,DATABASE!C:Q,11,false)</f>
        <v>Tire</v>
      </c>
    </row>
    <row r="547" ht="22.5" customHeight="1">
      <c r="A547" s="49"/>
      <c r="C547" s="384">
        <v>45691.0</v>
      </c>
      <c r="D547" s="65">
        <v>4186.0</v>
      </c>
      <c r="E547" s="445" t="s">
        <v>781</v>
      </c>
      <c r="F547" s="386">
        <v>1.0</v>
      </c>
      <c r="G547" s="74">
        <v>530000.0</v>
      </c>
      <c r="H547" s="74">
        <v>0.0</v>
      </c>
      <c r="I547" s="74">
        <f t="shared" si="1"/>
        <v>530000</v>
      </c>
      <c r="J547" s="74">
        <f>IF(E547="SERVICE",I547-(I547*50%),Vlookup(E547,DATABASE!C:Q,10,false)*F547)</f>
        <v>0</v>
      </c>
      <c r="K547" s="74">
        <f>VLOOKUP(E547,DATABASE!C:Q,7,false)</f>
        <v>470000</v>
      </c>
      <c r="L547" s="74">
        <v>442500.0</v>
      </c>
      <c r="M547" s="74">
        <f t="shared" si="2"/>
        <v>445000</v>
      </c>
      <c r="N547" s="74">
        <f t="shared" si="3"/>
        <v>85000</v>
      </c>
      <c r="O547" s="65" t="str">
        <f>VLOOKUP(E547,DATABASE!C:Q,8,false)</f>
        <v>BIAN</v>
      </c>
      <c r="P547" s="65">
        <f>VLOOKUP(E547,DATABASE!C:Q,9,False)</f>
        <v>1</v>
      </c>
      <c r="Q547" s="93" t="str">
        <f>VLOOKUP(E547,DATABASE!C:Q,4,false)</f>
        <v>GT</v>
      </c>
      <c r="R547" s="93" t="str">
        <f>VLOOKUP(E547,DATABASE!C:Q,11,false)</f>
        <v>Tire</v>
      </c>
    </row>
    <row r="548" ht="22.5" customHeight="1">
      <c r="A548" s="49"/>
      <c r="C548" s="384">
        <v>45691.0</v>
      </c>
      <c r="D548" s="65">
        <v>4187.0</v>
      </c>
      <c r="E548" s="445" t="s">
        <v>968</v>
      </c>
      <c r="F548" s="386">
        <v>2.0</v>
      </c>
      <c r="G548" s="74">
        <v>655000.0</v>
      </c>
      <c r="H548" s="74">
        <v>0.0</v>
      </c>
      <c r="I548" s="74">
        <f t="shared" si="1"/>
        <v>1310000</v>
      </c>
      <c r="J548" s="74">
        <f>IF(E548="SERVICE",I548-(I548*50%),Vlookup(E548,DATABASE!C:Q,10,false)*F548)</f>
        <v>0</v>
      </c>
      <c r="K548" s="74">
        <f>VLOOKUP(E548,DATABASE!C:Q,7,false)</f>
        <v>582500</v>
      </c>
      <c r="L548" s="74">
        <v>582500.0</v>
      </c>
      <c r="M548" s="74">
        <f t="shared" si="2"/>
        <v>585000</v>
      </c>
      <c r="N548" s="74">
        <f t="shared" si="3"/>
        <v>140000</v>
      </c>
      <c r="O548" s="65" t="str">
        <f>VLOOKUP(E548,DATABASE!C:Q,8,false)</f>
        <v>IBU</v>
      </c>
      <c r="P548" s="65">
        <f>VLOOKUP(E548,DATABASE!C:Q,9,False)</f>
        <v>1</v>
      </c>
      <c r="Q548" s="93" t="str">
        <f>VLOOKUP(E548,DATABASE!C:Q,4,false)</f>
        <v>Dunlop</v>
      </c>
      <c r="R548" s="93" t="str">
        <f>VLOOKUP(E548,DATABASE!C:Q,11,false)</f>
        <v>Tire</v>
      </c>
    </row>
    <row r="549" ht="22.5" customHeight="1">
      <c r="A549" s="49"/>
      <c r="C549" s="384">
        <v>45691.0</v>
      </c>
      <c r="D549" s="65">
        <v>4187.0</v>
      </c>
      <c r="E549" s="385" t="s">
        <v>299</v>
      </c>
      <c r="F549" s="386">
        <v>2.0</v>
      </c>
      <c r="G549" s="74">
        <v>30000.0</v>
      </c>
      <c r="H549" s="74">
        <v>0.0</v>
      </c>
      <c r="I549" s="74">
        <f t="shared" si="1"/>
        <v>60000</v>
      </c>
      <c r="J549" s="74">
        <f>IF(E549="SERVICE",I549-(I549*50%),Vlookup(E549,DATABASE!C:Q,10,false)*F549)</f>
        <v>0</v>
      </c>
      <c r="K549" s="74">
        <v>0.0</v>
      </c>
      <c r="L549" s="74">
        <v>0.0</v>
      </c>
      <c r="M549" s="74">
        <f t="shared" si="2"/>
        <v>0</v>
      </c>
      <c r="N549" s="74">
        <f t="shared" si="3"/>
        <v>60000</v>
      </c>
      <c r="O549" s="65" t="str">
        <f>VLOOKUP(E549,DATABASE!C:Q,8,false)</f>
        <v>BIAN</v>
      </c>
      <c r="P549" s="65">
        <f>VLOOKUP(E549,DATABASE!C:Q,9,False)</f>
        <v>0</v>
      </c>
      <c r="Q549" s="93" t="str">
        <f>VLOOKUP(E549,DATABASE!C:Q,4,false)</f>
        <v>Balancing</v>
      </c>
      <c r="R549" s="93" t="str">
        <f>VLOOKUP(E549,DATABASE!C:Q,11,false)</f>
        <v>COMPLEMENTARY</v>
      </c>
    </row>
    <row r="550" ht="22.5" customHeight="1">
      <c r="A550" s="49"/>
      <c r="C550" s="384">
        <v>45691.0</v>
      </c>
      <c r="D550" s="65">
        <v>4187.0</v>
      </c>
      <c r="E550" s="445" t="s">
        <v>256</v>
      </c>
      <c r="F550" s="386">
        <v>1.0</v>
      </c>
      <c r="G550" s="74">
        <v>130000.0</v>
      </c>
      <c r="H550" s="74">
        <v>0.0</v>
      </c>
      <c r="I550" s="74">
        <f t="shared" si="1"/>
        <v>130000</v>
      </c>
      <c r="J550" s="74">
        <f>IF(E550="SERVICE",I550-(I550*50%),Vlookup(E550,DATABASE!C:Q,10,false)*F550)</f>
        <v>10000</v>
      </c>
      <c r="K550" s="74">
        <f>VLOOKUP(E550,DATABASE!C:Q,7,false)</f>
        <v>0</v>
      </c>
      <c r="L550" s="74">
        <v>0.0</v>
      </c>
      <c r="M550" s="74">
        <f t="shared" si="2"/>
        <v>0</v>
      </c>
      <c r="N550" s="74">
        <f t="shared" si="3"/>
        <v>120000</v>
      </c>
      <c r="O550" s="65" t="str">
        <f>VLOOKUP(E550,DATABASE!C:Q,8,false)</f>
        <v>IBU</v>
      </c>
      <c r="P550" s="65">
        <f>VLOOKUP(E550,DATABASE!C:Q,9,False)</f>
        <v>0</v>
      </c>
      <c r="Q550" s="93" t="str">
        <f>VLOOKUP(E550,DATABASE!C:Q,4,false)</f>
        <v>SPOORING</v>
      </c>
      <c r="R550" s="93" t="str">
        <f>VLOOKUP(E550,DATABASE!C:Q,11,false)</f>
        <v>SERVICE</v>
      </c>
    </row>
    <row r="551" ht="22.5" customHeight="1">
      <c r="A551" s="49"/>
      <c r="C551" s="384">
        <v>45691.0</v>
      </c>
      <c r="D551" s="65">
        <v>4188.0</v>
      </c>
      <c r="E551" s="445" t="s">
        <v>251</v>
      </c>
      <c r="F551" s="386">
        <v>1.0</v>
      </c>
      <c r="G551" s="74">
        <v>150000.0</v>
      </c>
      <c r="H551" s="74">
        <v>0.0</v>
      </c>
      <c r="I551" s="74">
        <f t="shared" si="1"/>
        <v>150000</v>
      </c>
      <c r="J551" s="74">
        <f>IF(E551="SERVICE",I551-(I551*50%),Vlookup(E551,DATABASE!C:Q,10,false)*F551)</f>
        <v>75000</v>
      </c>
      <c r="K551" s="74">
        <f>VLOOKUP(E551,DATABASE!C:Q,7,false)</f>
        <v>0</v>
      </c>
      <c r="L551" s="74">
        <v>0.0</v>
      </c>
      <c r="M551" s="74">
        <f t="shared" si="2"/>
        <v>0</v>
      </c>
      <c r="N551" s="74">
        <f t="shared" si="3"/>
        <v>75000</v>
      </c>
      <c r="O551" s="65" t="str">
        <f>VLOOKUP(E551,DATABASE!C:Q,8,false)</f>
        <v>IBU</v>
      </c>
      <c r="P551" s="65">
        <f>VLOOKUP(E551,DATABASE!C:Q,9,False)</f>
        <v>0</v>
      </c>
      <c r="Q551" s="93" t="str">
        <f>VLOOKUP(E551,DATABASE!C:Q,4,false)</f>
        <v>SERVICE</v>
      </c>
      <c r="R551" s="93" t="str">
        <f>VLOOKUP(E551,DATABASE!C:Q,11,false)</f>
        <v>SERVICE</v>
      </c>
    </row>
    <row r="552" ht="22.5" customHeight="1">
      <c r="A552" s="49"/>
      <c r="C552" s="384">
        <v>45691.0</v>
      </c>
      <c r="D552" s="65">
        <v>4189.0</v>
      </c>
      <c r="E552" s="445" t="s">
        <v>791</v>
      </c>
      <c r="F552" s="386">
        <v>1.0</v>
      </c>
      <c r="G552" s="74">
        <v>1280000.0</v>
      </c>
      <c r="H552" s="74">
        <v>0.0</v>
      </c>
      <c r="I552" s="74">
        <f t="shared" si="1"/>
        <v>1280000</v>
      </c>
      <c r="J552" s="74">
        <f>IF(E552="SERVICE",I552-(I552*50%),Vlookup(E552,DATABASE!C:Q,10,false)*F552)</f>
        <v>0</v>
      </c>
      <c r="K552" s="74">
        <f>VLOOKUP(E552,DATABASE!C:Q,7,false)</f>
        <v>1210000</v>
      </c>
      <c r="L552" s="74">
        <v>1180000.0</v>
      </c>
      <c r="M552" s="74">
        <f t="shared" si="2"/>
        <v>1180000</v>
      </c>
      <c r="N552" s="74">
        <f t="shared" si="3"/>
        <v>100000</v>
      </c>
      <c r="O552" s="65" t="str">
        <f>VLOOKUP(E552,DATABASE!C:Q,8,false)</f>
        <v>BIAN</v>
      </c>
      <c r="P552" s="65">
        <f>VLOOKUP(E552,DATABASE!C:Q,9,False)</f>
        <v>1</v>
      </c>
      <c r="Q552" s="93" t="str">
        <f>VLOOKUP(E552,DATABASE!C:Q,4,false)</f>
        <v>GT</v>
      </c>
      <c r="R552" s="93" t="str">
        <f>VLOOKUP(E552,DATABASE!C:Q,11,false)</f>
        <v>Tire</v>
      </c>
    </row>
    <row r="553" ht="22.5" customHeight="1">
      <c r="A553" s="49"/>
      <c r="C553" s="384">
        <v>45691.0</v>
      </c>
      <c r="D553" s="65">
        <v>4190.0</v>
      </c>
      <c r="E553" s="445" t="s">
        <v>246</v>
      </c>
      <c r="F553" s="386">
        <v>1.0</v>
      </c>
      <c r="G553" s="74">
        <v>25000.0</v>
      </c>
      <c r="H553" s="74">
        <v>0.0</v>
      </c>
      <c r="I553" s="74">
        <f t="shared" si="1"/>
        <v>25000</v>
      </c>
      <c r="J553" s="74">
        <f>IF(E553="SERVICE",I553-(I553*50%),Vlookup(E553,DATABASE!C:Q,10,false)*F553)</f>
        <v>0</v>
      </c>
      <c r="K553" s="74">
        <f>VLOOKUP(E553,DATABASE!C:Q,7,false)</f>
        <v>0</v>
      </c>
      <c r="L553" s="74">
        <v>0.0</v>
      </c>
      <c r="M553" s="74">
        <f t="shared" si="2"/>
        <v>0</v>
      </c>
      <c r="N553" s="74">
        <f t="shared" si="3"/>
        <v>25000</v>
      </c>
      <c r="O553" s="65" t="str">
        <f>VLOOKUP(E553,DATABASE!C:Q,8,false)</f>
        <v>IBU</v>
      </c>
      <c r="P553" s="65">
        <f>VLOOKUP(E553,DATABASE!C:Q,9,False)</f>
        <v>0</v>
      </c>
      <c r="Q553" s="93" t="str">
        <f>VLOOKUP(E553,DATABASE!C:Q,4,false)</f>
        <v>Bongkar Pasang</v>
      </c>
      <c r="R553" s="93" t="str">
        <f>VLOOKUP(E553,DATABASE!C:Q,11,false)</f>
        <v>SERVICE</v>
      </c>
    </row>
    <row r="554" ht="22.5" customHeight="1">
      <c r="A554" s="49"/>
      <c r="C554" s="384">
        <v>45691.0</v>
      </c>
      <c r="D554" s="65">
        <v>4191.0</v>
      </c>
      <c r="E554" s="445" t="s">
        <v>268</v>
      </c>
      <c r="F554" s="386">
        <v>2.0</v>
      </c>
      <c r="G554" s="74">
        <v>685000.0</v>
      </c>
      <c r="H554" s="74">
        <v>0.0</v>
      </c>
      <c r="I554" s="74">
        <f t="shared" si="1"/>
        <v>1370000</v>
      </c>
      <c r="J554" s="74">
        <f>IF(E554="SERVICE",I554-(I554*50%),Vlookup(E554,DATABASE!C:Q,10,false)*F554)</f>
        <v>0</v>
      </c>
      <c r="K554" s="74">
        <v>613000.0</v>
      </c>
      <c r="L554" s="74">
        <v>613000.0</v>
      </c>
      <c r="M554" s="74">
        <f t="shared" si="2"/>
        <v>615000</v>
      </c>
      <c r="N554" s="74">
        <f t="shared" si="3"/>
        <v>140000</v>
      </c>
      <c r="O554" s="65" t="str">
        <f>VLOOKUP(E554,DATABASE!C:Q,8,false)</f>
        <v>IBU</v>
      </c>
      <c r="P554" s="65">
        <f>VLOOKUP(E554,DATABASE!C:Q,9,False)</f>
        <v>1</v>
      </c>
      <c r="Q554" s="93" t="str">
        <f>VLOOKUP(E554,DATABASE!C:Q,4,false)</f>
        <v>Dunlop</v>
      </c>
      <c r="R554" s="93" t="str">
        <f>VLOOKUP(E554,DATABASE!C:Q,11,false)</f>
        <v>Tire</v>
      </c>
    </row>
    <row r="555" ht="22.5" customHeight="1">
      <c r="A555" s="49"/>
      <c r="C555" s="384">
        <v>45691.0</v>
      </c>
      <c r="D555" s="65">
        <v>4191.0</v>
      </c>
      <c r="E555" s="385" t="s">
        <v>299</v>
      </c>
      <c r="F555" s="386">
        <v>2.0</v>
      </c>
      <c r="G555" s="74">
        <v>30000.0</v>
      </c>
      <c r="H555" s="74">
        <v>0.0</v>
      </c>
      <c r="I555" s="74">
        <f t="shared" si="1"/>
        <v>60000</v>
      </c>
      <c r="J555" s="74">
        <f>IF(E555="SERVICE",I555-(I555*50%),Vlookup(E555,DATABASE!C:Q,10,false)*F555)</f>
        <v>0</v>
      </c>
      <c r="K555" s="74">
        <v>0.0</v>
      </c>
      <c r="L555" s="74">
        <v>0.0</v>
      </c>
      <c r="M555" s="74">
        <f t="shared" si="2"/>
        <v>0</v>
      </c>
      <c r="N555" s="74">
        <f t="shared" si="3"/>
        <v>60000</v>
      </c>
      <c r="O555" s="65" t="str">
        <f>VLOOKUP(E555,DATABASE!C:Q,8,false)</f>
        <v>BIAN</v>
      </c>
      <c r="P555" s="65">
        <f>VLOOKUP(E555,DATABASE!C:Q,9,False)</f>
        <v>0</v>
      </c>
      <c r="Q555" s="93" t="str">
        <f>VLOOKUP(E555,DATABASE!C:Q,4,false)</f>
        <v>Balancing</v>
      </c>
      <c r="R555" s="93" t="str">
        <f>VLOOKUP(E555,DATABASE!C:Q,11,false)</f>
        <v>COMPLEMENTARY</v>
      </c>
    </row>
    <row r="556" ht="22.5" customHeight="1">
      <c r="A556" s="49"/>
      <c r="C556" s="384">
        <v>45691.0</v>
      </c>
      <c r="D556" s="65">
        <v>4191.0</v>
      </c>
      <c r="E556" s="445" t="s">
        <v>262</v>
      </c>
      <c r="F556" s="386">
        <v>1.0</v>
      </c>
      <c r="G556" s="74">
        <v>110000.0</v>
      </c>
      <c r="H556" s="74">
        <v>0.0</v>
      </c>
      <c r="I556" s="74">
        <f t="shared" si="1"/>
        <v>110000</v>
      </c>
      <c r="J556" s="74">
        <f>IF(E556="SERVICE",I556-(I556*50%),Vlookup(E556,DATABASE!C:Q,10,false)*F556)</f>
        <v>5000</v>
      </c>
      <c r="K556" s="74">
        <f>VLOOKUP(E556,DATABASE!C:Q,7,false)</f>
        <v>0</v>
      </c>
      <c r="L556" s="74">
        <v>0.0</v>
      </c>
      <c r="M556" s="74">
        <f t="shared" si="2"/>
        <v>0</v>
      </c>
      <c r="N556" s="74">
        <f t="shared" si="3"/>
        <v>105000</v>
      </c>
      <c r="O556" s="65" t="str">
        <f>VLOOKUP(E556,DATABASE!C:Q,8,false)</f>
        <v>IBU</v>
      </c>
      <c r="P556" s="65">
        <f>VLOOKUP(E556,DATABASE!C:Q,9,False)</f>
        <v>0</v>
      </c>
      <c r="Q556" s="93" t="str">
        <f>VLOOKUP(E556,DATABASE!C:Q,4,false)</f>
        <v>SPOORING SS/CARRY LOS BAK</v>
      </c>
      <c r="R556" s="93" t="str">
        <f>VLOOKUP(E556,DATABASE!C:Q,11,false)</f>
        <v>SERVICE</v>
      </c>
    </row>
    <row r="557" ht="22.5" customHeight="1">
      <c r="A557" s="49"/>
      <c r="C557" s="384">
        <v>45691.0</v>
      </c>
      <c r="D557" s="65">
        <v>4191.0</v>
      </c>
      <c r="E557" s="385" t="s">
        <v>305</v>
      </c>
      <c r="F557" s="386">
        <v>1.0</v>
      </c>
      <c r="G557" s="74">
        <v>225000.0</v>
      </c>
      <c r="H557" s="74">
        <v>0.0</v>
      </c>
      <c r="I557" s="74">
        <f t="shared" si="1"/>
        <v>225000</v>
      </c>
      <c r="J557" s="74">
        <f>IF(E557="SERVICE",I557-(I557*50%),Vlookup(E557,DATABASE!C:Q,10,false)*F557)</f>
        <v>40000</v>
      </c>
      <c r="K557" s="74">
        <f>VLOOKUP(E557,DATABASE!C:Q,7,false)</f>
        <v>158530.2</v>
      </c>
      <c r="L557" s="74">
        <v>151890.0</v>
      </c>
      <c r="M557" s="74">
        <f t="shared" si="2"/>
        <v>155000</v>
      </c>
      <c r="N557" s="74">
        <f t="shared" si="3"/>
        <v>30000</v>
      </c>
      <c r="O557" s="65" t="str">
        <f>VLOOKUP(E557,DATABASE!C:Q,8,false)</f>
        <v>BIAN</v>
      </c>
      <c r="P557" s="65">
        <f>VLOOKUP(E557,DATABASE!C:Q,9,False)</f>
        <v>1</v>
      </c>
      <c r="Q557" s="93" t="str">
        <f>VLOOKUP(E557,DATABASE!C:Q,4,false)</f>
        <v>Lower Arm</v>
      </c>
      <c r="R557" s="93" t="str">
        <f>VLOOKUP(E557,DATABASE!C:Q,11,false)</f>
        <v>COMPLEMENTARY</v>
      </c>
    </row>
    <row r="558" ht="22.5" customHeight="1">
      <c r="A558" s="49"/>
      <c r="C558" s="384">
        <v>45691.0</v>
      </c>
      <c r="D558" s="65">
        <v>4191.0</v>
      </c>
      <c r="E558" s="445" t="s">
        <v>251</v>
      </c>
      <c r="F558" s="386">
        <v>1.0</v>
      </c>
      <c r="G558" s="74">
        <v>90000.0</v>
      </c>
      <c r="H558" s="74">
        <v>0.0</v>
      </c>
      <c r="I558" s="74">
        <f t="shared" si="1"/>
        <v>90000</v>
      </c>
      <c r="J558" s="74">
        <f>IF(E558="SERVICE",I558-(I558*50%),Vlookup(E558,DATABASE!C:Q,10,false)*F558)</f>
        <v>45000</v>
      </c>
      <c r="K558" s="74">
        <f>VLOOKUP(E558,DATABASE!C:Q,7,false)</f>
        <v>0</v>
      </c>
      <c r="L558" s="74">
        <v>0.0</v>
      </c>
      <c r="M558" s="74">
        <f t="shared" si="2"/>
        <v>0</v>
      </c>
      <c r="N558" s="74">
        <f t="shared" si="3"/>
        <v>45000</v>
      </c>
      <c r="O558" s="65" t="str">
        <f>VLOOKUP(E558,DATABASE!C:Q,8,false)</f>
        <v>IBU</v>
      </c>
      <c r="P558" s="65">
        <f>VLOOKUP(E558,DATABASE!C:Q,9,False)</f>
        <v>0</v>
      </c>
      <c r="Q558" s="93" t="str">
        <f>VLOOKUP(E558,DATABASE!C:Q,4,false)</f>
        <v>SERVICE</v>
      </c>
      <c r="R558" s="93" t="str">
        <f>VLOOKUP(E558,DATABASE!C:Q,11,false)</f>
        <v>SERVICE</v>
      </c>
    </row>
    <row r="559" ht="22.5" customHeight="1">
      <c r="A559" s="49"/>
      <c r="C559" s="384">
        <v>45691.0</v>
      </c>
      <c r="D559" s="65">
        <v>4192.0</v>
      </c>
      <c r="E559" s="445" t="s">
        <v>262</v>
      </c>
      <c r="F559" s="386">
        <v>1.0</v>
      </c>
      <c r="G559" s="74">
        <v>110000.0</v>
      </c>
      <c r="H559" s="74">
        <v>0.0</v>
      </c>
      <c r="I559" s="74">
        <f t="shared" si="1"/>
        <v>110000</v>
      </c>
      <c r="J559" s="74">
        <f>IF(E559="SERVICE",I559-(I559*50%),Vlookup(E559,DATABASE!C:Q,10,false)*F559)</f>
        <v>5000</v>
      </c>
      <c r="K559" s="74">
        <f>VLOOKUP(E559,DATABASE!C:Q,7,false)</f>
        <v>0</v>
      </c>
      <c r="L559" s="74">
        <v>0.0</v>
      </c>
      <c r="M559" s="74">
        <f t="shared" si="2"/>
        <v>0</v>
      </c>
      <c r="N559" s="74">
        <f t="shared" si="3"/>
        <v>105000</v>
      </c>
      <c r="O559" s="65" t="str">
        <f>VLOOKUP(E559,DATABASE!C:Q,8,false)</f>
        <v>IBU</v>
      </c>
      <c r="P559" s="65">
        <f>VLOOKUP(E559,DATABASE!C:Q,9,False)</f>
        <v>0</v>
      </c>
      <c r="Q559" s="93" t="str">
        <f>VLOOKUP(E559,DATABASE!C:Q,4,false)</f>
        <v>SPOORING SS/CARRY LOS BAK</v>
      </c>
      <c r="R559" s="93" t="str">
        <f>VLOOKUP(E559,DATABASE!C:Q,11,false)</f>
        <v>SERVICE</v>
      </c>
    </row>
    <row r="560" ht="22.5" customHeight="1">
      <c r="A560" s="49"/>
      <c r="C560" s="384">
        <v>45691.0</v>
      </c>
      <c r="D560" s="65">
        <v>4192.0</v>
      </c>
      <c r="E560" s="385" t="s">
        <v>299</v>
      </c>
      <c r="F560" s="386">
        <v>2.0</v>
      </c>
      <c r="G560" s="74">
        <v>30000.0</v>
      </c>
      <c r="H560" s="74">
        <v>0.0</v>
      </c>
      <c r="I560" s="74">
        <f t="shared" si="1"/>
        <v>60000</v>
      </c>
      <c r="J560" s="74">
        <f>IF(E560="SERVICE",I560-(I560*50%),Vlookup(E560,DATABASE!C:Q,10,false)*F560)</f>
        <v>0</v>
      </c>
      <c r="K560" s="74">
        <v>0.0</v>
      </c>
      <c r="L560" s="74">
        <v>0.0</v>
      </c>
      <c r="M560" s="74">
        <f t="shared" si="2"/>
        <v>0</v>
      </c>
      <c r="N560" s="74">
        <f t="shared" si="3"/>
        <v>60000</v>
      </c>
      <c r="O560" s="65" t="str">
        <f>VLOOKUP(E560,DATABASE!C:Q,8,false)</f>
        <v>BIAN</v>
      </c>
      <c r="P560" s="65">
        <f>VLOOKUP(E560,DATABASE!C:Q,9,False)</f>
        <v>0</v>
      </c>
      <c r="Q560" s="93" t="str">
        <f>VLOOKUP(E560,DATABASE!C:Q,4,false)</f>
        <v>Balancing</v>
      </c>
      <c r="R560" s="93" t="str">
        <f>VLOOKUP(E560,DATABASE!C:Q,11,false)</f>
        <v>COMPLEMENTARY</v>
      </c>
    </row>
    <row r="561" ht="22.5" customHeight="1">
      <c r="A561" s="49"/>
      <c r="C561" s="384">
        <v>45691.0</v>
      </c>
      <c r="D561" s="65">
        <v>4192.0</v>
      </c>
      <c r="E561" s="445" t="s">
        <v>251</v>
      </c>
      <c r="F561" s="386">
        <v>1.0</v>
      </c>
      <c r="G561" s="74">
        <v>120000.0</v>
      </c>
      <c r="H561" s="74">
        <v>0.0</v>
      </c>
      <c r="I561" s="74">
        <f t="shared" si="1"/>
        <v>120000</v>
      </c>
      <c r="J561" s="74">
        <f>IF(E561="SERVICE",I561-(I561*50%),Vlookup(E561,DATABASE!C:Q,10,false)*F561)</f>
        <v>60000</v>
      </c>
      <c r="K561" s="74">
        <f>VLOOKUP(E561,DATABASE!C:Q,7,false)</f>
        <v>0</v>
      </c>
      <c r="L561" s="74">
        <v>0.0</v>
      </c>
      <c r="M561" s="74">
        <f t="shared" si="2"/>
        <v>0</v>
      </c>
      <c r="N561" s="74">
        <f t="shared" si="3"/>
        <v>60000</v>
      </c>
      <c r="O561" s="65" t="str">
        <f>VLOOKUP(E561,DATABASE!C:Q,8,false)</f>
        <v>IBU</v>
      </c>
      <c r="P561" s="65">
        <f>VLOOKUP(E561,DATABASE!C:Q,9,False)</f>
        <v>0</v>
      </c>
      <c r="Q561" s="93" t="str">
        <f>VLOOKUP(E561,DATABASE!C:Q,4,false)</f>
        <v>SERVICE</v>
      </c>
      <c r="R561" s="93" t="str">
        <f>VLOOKUP(E561,DATABASE!C:Q,11,false)</f>
        <v>SERVICE</v>
      </c>
    </row>
    <row r="562" ht="22.5" customHeight="1">
      <c r="A562" s="49"/>
      <c r="C562" s="384">
        <v>45691.0</v>
      </c>
      <c r="D562" s="65">
        <v>4193.0</v>
      </c>
      <c r="E562" s="445" t="s">
        <v>265</v>
      </c>
      <c r="F562" s="386">
        <v>2.0</v>
      </c>
      <c r="G562" s="74">
        <v>660000.0</v>
      </c>
      <c r="H562" s="74">
        <v>0.0</v>
      </c>
      <c r="I562" s="74">
        <f t="shared" si="1"/>
        <v>1320000</v>
      </c>
      <c r="J562" s="74">
        <f>IF(E562="SERVICE",I562-(I562*50%),Vlookup(E562,DATABASE!C:Q,10,false)*F562)</f>
        <v>0</v>
      </c>
      <c r="K562" s="74">
        <v>590000.0</v>
      </c>
      <c r="L562" s="74">
        <v>590000.0</v>
      </c>
      <c r="M562" s="74">
        <f t="shared" si="2"/>
        <v>590000</v>
      </c>
      <c r="N562" s="74">
        <f t="shared" si="3"/>
        <v>140000</v>
      </c>
      <c r="O562" s="65" t="str">
        <f>VLOOKUP(E562,DATABASE!C:Q,8,false)</f>
        <v>IBU</v>
      </c>
      <c r="P562" s="65">
        <f>VLOOKUP(E562,DATABASE!C:Q,9,False)</f>
        <v>1</v>
      </c>
      <c r="Q562" s="93" t="str">
        <f>VLOOKUP(E562,DATABASE!C:Q,4,false)</f>
        <v>Dunlop</v>
      </c>
      <c r="R562" s="93" t="str">
        <f>VLOOKUP(E562,DATABASE!C:Q,11,false)</f>
        <v>Tire</v>
      </c>
    </row>
    <row r="563" ht="22.5" customHeight="1">
      <c r="A563" s="49"/>
      <c r="C563" s="384">
        <v>45691.0</v>
      </c>
      <c r="D563" s="65">
        <v>4194.0</v>
      </c>
      <c r="E563" s="445" t="s">
        <v>265</v>
      </c>
      <c r="F563" s="386">
        <v>3.0</v>
      </c>
      <c r="G563" s="74">
        <v>660000.0</v>
      </c>
      <c r="H563" s="74">
        <v>0.0</v>
      </c>
      <c r="I563" s="74">
        <f t="shared" si="1"/>
        <v>1980000</v>
      </c>
      <c r="J563" s="74">
        <f>IF(E563="SERVICE",I563-(I563*50%),Vlookup(E563,DATABASE!C:Q,10,false)*F563)</f>
        <v>0</v>
      </c>
      <c r="K563" s="74">
        <v>590000.0</v>
      </c>
      <c r="L563" s="74">
        <v>590000.0</v>
      </c>
      <c r="M563" s="74">
        <f t="shared" si="2"/>
        <v>590000</v>
      </c>
      <c r="N563" s="74">
        <f t="shared" si="3"/>
        <v>210000</v>
      </c>
      <c r="O563" s="65" t="str">
        <f>VLOOKUP(E563,DATABASE!C:Q,8,false)</f>
        <v>IBU</v>
      </c>
      <c r="P563" s="65">
        <f>VLOOKUP(E563,DATABASE!C:Q,9,False)</f>
        <v>1</v>
      </c>
      <c r="Q563" s="93" t="str">
        <f>VLOOKUP(E563,DATABASE!C:Q,4,false)</f>
        <v>Dunlop</v>
      </c>
      <c r="R563" s="93" t="str">
        <f>VLOOKUP(E563,DATABASE!C:Q,11,false)</f>
        <v>Tire</v>
      </c>
    </row>
    <row r="564" ht="22.5" customHeight="1">
      <c r="A564" s="49"/>
      <c r="C564" s="384">
        <v>45692.0</v>
      </c>
      <c r="D564" s="65">
        <v>2404.0</v>
      </c>
      <c r="E564" s="445" t="s">
        <v>633</v>
      </c>
      <c r="F564" s="386">
        <v>1.0</v>
      </c>
      <c r="G564" s="74">
        <v>115000.0</v>
      </c>
      <c r="H564" s="74">
        <v>0.0</v>
      </c>
      <c r="I564" s="74">
        <f t="shared" si="1"/>
        <v>115000</v>
      </c>
      <c r="J564" s="74">
        <f>IF(E564="SERVICE",I564-(I564*50%),Vlookup(E564,DATABASE!C:Q,10,false)*F564)</f>
        <v>0</v>
      </c>
      <c r="K564" s="74">
        <f>VLOOKUP(E564,DATABASE!C:Q,7,false)</f>
        <v>81200</v>
      </c>
      <c r="L564" s="74">
        <v>81200.0</v>
      </c>
      <c r="M564" s="74">
        <f t="shared" si="2"/>
        <v>85000</v>
      </c>
      <c r="N564" s="74">
        <f t="shared" si="3"/>
        <v>30000</v>
      </c>
      <c r="O564" s="65" t="str">
        <f>VLOOKUP(E564,DATABASE!C:Q,8,false)</f>
        <v>BIAN</v>
      </c>
      <c r="P564" s="65">
        <f>VLOOKUP(E564,DATABASE!C:Q,9,False)</f>
        <v>1</v>
      </c>
      <c r="Q564" s="93" t="str">
        <f>VLOOKUP(E564,DATABASE!C:Q,4,false)</f>
        <v>BD</v>
      </c>
      <c r="R564" s="93" t="str">
        <f>VLOOKUP(E564,DATABASE!C:Q,11,false)</f>
        <v>Tire</v>
      </c>
    </row>
    <row r="565" ht="22.5" customHeight="1">
      <c r="A565" s="49"/>
      <c r="C565" s="384">
        <v>45692.0</v>
      </c>
      <c r="D565" s="65">
        <v>4195.0</v>
      </c>
      <c r="E565" s="445" t="s">
        <v>604</v>
      </c>
      <c r="F565" s="386">
        <v>1.0</v>
      </c>
      <c r="G565" s="74">
        <v>160000.0</v>
      </c>
      <c r="H565" s="74">
        <v>0.0</v>
      </c>
      <c r="I565" s="74">
        <f t="shared" si="1"/>
        <v>160000</v>
      </c>
      <c r="J565" s="74">
        <f>IF(E565="SERVICE",I565-(I565*50%),Vlookup(E565,DATABASE!C:Q,10,false)*F565)</f>
        <v>0</v>
      </c>
      <c r="K565" s="74">
        <f>VLOOKUP(E565,DATABASE!C:Q,7,false)</f>
        <v>124000</v>
      </c>
      <c r="L565" s="74">
        <v>124000.0</v>
      </c>
      <c r="M565" s="74">
        <f t="shared" si="2"/>
        <v>125000</v>
      </c>
      <c r="N565" s="74">
        <f t="shared" si="3"/>
        <v>35000</v>
      </c>
      <c r="O565" s="65" t="str">
        <f>VLOOKUP(E565,DATABASE!C:Q,8,false)</f>
        <v>BIAN</v>
      </c>
      <c r="P565" s="65">
        <f>VLOOKUP(E565,DATABASE!C:Q,9,False)</f>
        <v>1</v>
      </c>
      <c r="Q565" s="93" t="str">
        <f>VLOOKUP(E565,DATABASE!C:Q,4,false)</f>
        <v>BD</v>
      </c>
      <c r="R565" s="93" t="str">
        <f>VLOOKUP(E565,DATABASE!C:Q,11,false)</f>
        <v>Tire</v>
      </c>
    </row>
    <row r="566" ht="22.5" customHeight="1">
      <c r="A566" s="49"/>
      <c r="C566" s="384">
        <v>45692.0</v>
      </c>
      <c r="D566" s="65">
        <v>4196.0</v>
      </c>
      <c r="E566" s="445" t="s">
        <v>256</v>
      </c>
      <c r="F566" s="386">
        <v>1.0</v>
      </c>
      <c r="G566" s="74">
        <v>130000.0</v>
      </c>
      <c r="H566" s="74">
        <v>0.0</v>
      </c>
      <c r="I566" s="74">
        <f t="shared" si="1"/>
        <v>130000</v>
      </c>
      <c r="J566" s="74">
        <f>IF(E566="SERVICE",I566-(I566*50%),Vlookup(E566,DATABASE!C:Q,10,false)*F566)</f>
        <v>10000</v>
      </c>
      <c r="K566" s="74">
        <f>VLOOKUP(E566,DATABASE!C:Q,7,false)</f>
        <v>0</v>
      </c>
      <c r="L566" s="74">
        <v>0.0</v>
      </c>
      <c r="M566" s="74">
        <f t="shared" si="2"/>
        <v>0</v>
      </c>
      <c r="N566" s="74">
        <f t="shared" si="3"/>
        <v>120000</v>
      </c>
      <c r="O566" s="65" t="str">
        <f>VLOOKUP(E566,DATABASE!C:Q,8,false)</f>
        <v>IBU</v>
      </c>
      <c r="P566" s="65">
        <f>VLOOKUP(E566,DATABASE!C:Q,9,False)</f>
        <v>0</v>
      </c>
      <c r="Q566" s="93" t="str">
        <f>VLOOKUP(E566,DATABASE!C:Q,4,false)</f>
        <v>SPOORING</v>
      </c>
      <c r="R566" s="93" t="str">
        <f>VLOOKUP(E566,DATABASE!C:Q,11,false)</f>
        <v>SERVICE</v>
      </c>
    </row>
    <row r="567" ht="22.5" customHeight="1">
      <c r="A567" s="49"/>
      <c r="C567" s="384">
        <v>45692.0</v>
      </c>
      <c r="D567" s="65">
        <v>4196.0</v>
      </c>
      <c r="E567" s="385" t="s">
        <v>299</v>
      </c>
      <c r="F567" s="386">
        <v>2.0</v>
      </c>
      <c r="G567" s="74">
        <v>30000.0</v>
      </c>
      <c r="H567" s="74">
        <v>0.0</v>
      </c>
      <c r="I567" s="74">
        <f t="shared" si="1"/>
        <v>60000</v>
      </c>
      <c r="J567" s="74">
        <f>IF(E567="SERVICE",I567-(I567*50%),Vlookup(E567,DATABASE!C:Q,10,false)*F567)</f>
        <v>0</v>
      </c>
      <c r="K567" s="74">
        <v>0.0</v>
      </c>
      <c r="L567" s="74">
        <v>0.0</v>
      </c>
      <c r="M567" s="74">
        <f t="shared" si="2"/>
        <v>0</v>
      </c>
      <c r="N567" s="74">
        <f t="shared" si="3"/>
        <v>60000</v>
      </c>
      <c r="O567" s="65" t="str">
        <f>VLOOKUP(E567,DATABASE!C:Q,8,false)</f>
        <v>BIAN</v>
      </c>
      <c r="P567" s="65">
        <f>VLOOKUP(E567,DATABASE!C:Q,9,False)</f>
        <v>0</v>
      </c>
      <c r="Q567" s="93" t="str">
        <f>VLOOKUP(E567,DATABASE!C:Q,4,false)</f>
        <v>Balancing</v>
      </c>
      <c r="R567" s="93" t="str">
        <f>VLOOKUP(E567,DATABASE!C:Q,11,false)</f>
        <v>COMPLEMENTARY</v>
      </c>
    </row>
    <row r="568" ht="22.5" customHeight="1">
      <c r="A568" s="49"/>
      <c r="C568" s="384">
        <v>45692.0</v>
      </c>
      <c r="D568" s="65">
        <v>4196.0</v>
      </c>
      <c r="E568" s="445" t="s">
        <v>301</v>
      </c>
      <c r="F568" s="386">
        <v>1.0</v>
      </c>
      <c r="G568" s="74">
        <v>250000.0</v>
      </c>
      <c r="H568" s="74">
        <v>0.0</v>
      </c>
      <c r="I568" s="74">
        <f t="shared" si="1"/>
        <v>250000</v>
      </c>
      <c r="J568" s="74">
        <f>IF(E568="SERVICE",I568-(I568*50%),Vlookup(E568,DATABASE!C:Q,10,false)*F568)</f>
        <v>75000</v>
      </c>
      <c r="K568" s="74">
        <f>VLOOKUP(E568,DATABASE!C:Q,7,false)</f>
        <v>75000</v>
      </c>
      <c r="L568" s="74">
        <v>75000.0</v>
      </c>
      <c r="M568" s="74">
        <f t="shared" si="2"/>
        <v>75000</v>
      </c>
      <c r="N568" s="74">
        <f t="shared" si="3"/>
        <v>100000</v>
      </c>
      <c r="O568" s="65" t="str">
        <f>VLOOKUP(E568,DATABASE!C:Q,8,false)</f>
        <v>BIAN</v>
      </c>
      <c r="P568" s="65">
        <f>VLOOKUP(E568,DATABASE!C:Q,9,False)</f>
        <v>0</v>
      </c>
      <c r="Q568" s="93" t="str">
        <f>VLOOKUP(E568,DATABASE!C:Q,4,false)</f>
        <v>Baut Camber</v>
      </c>
      <c r="R568" s="93" t="str">
        <f>VLOOKUP(E568,DATABASE!C:Q,11,false)</f>
        <v>COMPLEMENTARY</v>
      </c>
    </row>
    <row r="569" ht="22.5" customHeight="1">
      <c r="A569" s="49"/>
      <c r="C569" s="384">
        <v>45692.0</v>
      </c>
      <c r="D569" s="65">
        <v>4197.0</v>
      </c>
      <c r="E569" s="445" t="s">
        <v>1051</v>
      </c>
      <c r="F569" s="386">
        <v>2.0</v>
      </c>
      <c r="G569" s="74">
        <v>970000.0</v>
      </c>
      <c r="H569" s="74">
        <v>0.0</v>
      </c>
      <c r="I569" s="74">
        <f t="shared" si="1"/>
        <v>1940000</v>
      </c>
      <c r="J569" s="74">
        <f>IF(E569="SERVICE",I569-(I569*50%),Vlookup(E569,DATABASE!C:Q,10,false)*F569)</f>
        <v>0</v>
      </c>
      <c r="K569" s="74">
        <f>VLOOKUP(E569,DATABASE!C:Q,7,false)</f>
        <v>895000</v>
      </c>
      <c r="L569" s="74">
        <v>895000.0</v>
      </c>
      <c r="M569" s="74">
        <f t="shared" si="2"/>
        <v>895000</v>
      </c>
      <c r="N569" s="74">
        <f t="shared" si="3"/>
        <v>150000</v>
      </c>
      <c r="O569" s="65" t="str">
        <f>VLOOKUP(E569,DATABASE!C:Q,8,false)</f>
        <v>IBU</v>
      </c>
      <c r="P569" s="65">
        <f>VLOOKUP(E569,DATABASE!C:Q,9,False)</f>
        <v>1</v>
      </c>
      <c r="Q569" s="93" t="str">
        <f>VLOOKUP(E569,DATABASE!C:Q,4,false)</f>
        <v>Dunlop</v>
      </c>
      <c r="R569" s="93" t="str">
        <f>VLOOKUP(E569,DATABASE!C:Q,11,false)</f>
        <v>Tire</v>
      </c>
    </row>
    <row r="570" ht="22.5" customHeight="1">
      <c r="A570" s="49"/>
      <c r="C570" s="384">
        <v>45692.0</v>
      </c>
      <c r="D570" s="65">
        <v>4199.0</v>
      </c>
      <c r="E570" s="445" t="s">
        <v>268</v>
      </c>
      <c r="F570" s="386">
        <v>1.0</v>
      </c>
      <c r="G570" s="74">
        <v>700000.0</v>
      </c>
      <c r="H570" s="74">
        <v>0.0</v>
      </c>
      <c r="I570" s="74">
        <f t="shared" si="1"/>
        <v>700000</v>
      </c>
      <c r="J570" s="74">
        <f>IF(E570="SERVICE",I570-(I570*50%),Vlookup(E570,DATABASE!C:Q,10,false)*F570)</f>
        <v>0</v>
      </c>
      <c r="K570" s="74">
        <v>613000.0</v>
      </c>
      <c r="L570" s="74">
        <v>613000.0</v>
      </c>
      <c r="M570" s="74">
        <f t="shared" si="2"/>
        <v>615000</v>
      </c>
      <c r="N570" s="74">
        <f t="shared" si="3"/>
        <v>85000</v>
      </c>
      <c r="O570" s="65" t="str">
        <f>VLOOKUP(E570,DATABASE!C:Q,8,false)</f>
        <v>IBU</v>
      </c>
      <c r="P570" s="65">
        <f>VLOOKUP(E570,DATABASE!C:Q,9,False)</f>
        <v>1</v>
      </c>
      <c r="Q570" s="93" t="str">
        <f>VLOOKUP(E570,DATABASE!C:Q,4,false)</f>
        <v>Dunlop</v>
      </c>
      <c r="R570" s="93" t="str">
        <f>VLOOKUP(E570,DATABASE!C:Q,11,false)</f>
        <v>Tire</v>
      </c>
    </row>
    <row r="571" ht="22.5" customHeight="1">
      <c r="A571" s="49"/>
      <c r="C571" s="384">
        <v>45692.0</v>
      </c>
      <c r="D571" s="65">
        <v>4200.0</v>
      </c>
      <c r="E571" s="445" t="s">
        <v>262</v>
      </c>
      <c r="F571" s="386">
        <v>1.0</v>
      </c>
      <c r="G571" s="74">
        <v>110000.0</v>
      </c>
      <c r="H571" s="74">
        <v>0.0</v>
      </c>
      <c r="I571" s="74">
        <f t="shared" si="1"/>
        <v>110000</v>
      </c>
      <c r="J571" s="74">
        <f>IF(E571="SERVICE",I571-(I571*50%),Vlookup(E571,DATABASE!C:Q,10,false)*F571)</f>
        <v>5000</v>
      </c>
      <c r="K571" s="74">
        <f>VLOOKUP(E571,DATABASE!C:Q,7,false)</f>
        <v>0</v>
      </c>
      <c r="L571" s="74">
        <v>0.0</v>
      </c>
      <c r="M571" s="74">
        <f t="shared" si="2"/>
        <v>0</v>
      </c>
      <c r="N571" s="74">
        <f t="shared" si="3"/>
        <v>105000</v>
      </c>
      <c r="O571" s="65" t="str">
        <f>VLOOKUP(E571,DATABASE!C:Q,8,false)</f>
        <v>IBU</v>
      </c>
      <c r="P571" s="65">
        <f>VLOOKUP(E571,DATABASE!C:Q,9,False)</f>
        <v>0</v>
      </c>
      <c r="Q571" s="93" t="str">
        <f>VLOOKUP(E571,DATABASE!C:Q,4,false)</f>
        <v>SPOORING SS/CARRY LOS BAK</v>
      </c>
      <c r="R571" s="93" t="str">
        <f>VLOOKUP(E571,DATABASE!C:Q,11,false)</f>
        <v>SERVICE</v>
      </c>
    </row>
    <row r="572" ht="22.5" customHeight="1">
      <c r="A572" s="49"/>
      <c r="C572" s="384">
        <v>45692.0</v>
      </c>
      <c r="D572" s="65">
        <v>4200.0</v>
      </c>
      <c r="E572" s="445" t="s">
        <v>478</v>
      </c>
      <c r="F572" s="386">
        <v>1.0</v>
      </c>
      <c r="G572" s="74">
        <v>200000.0</v>
      </c>
      <c r="H572" s="74">
        <v>0.0</v>
      </c>
      <c r="I572" s="74">
        <f t="shared" si="1"/>
        <v>200000</v>
      </c>
      <c r="J572" s="74">
        <f>IF(E572="SERVICE",I572-(I572*50%),Vlookup(E572,DATABASE!C:Q,10,false)*F572)</f>
        <v>25000</v>
      </c>
      <c r="K572" s="74">
        <f>VLOOKUP(E572,DATABASE!C:Q,7,false)</f>
        <v>75000</v>
      </c>
      <c r="L572" s="74">
        <v>75000.0</v>
      </c>
      <c r="M572" s="74">
        <f t="shared" si="2"/>
        <v>75000</v>
      </c>
      <c r="N572" s="74">
        <f t="shared" si="3"/>
        <v>100000</v>
      </c>
      <c r="O572" s="65" t="str">
        <f>VLOOKUP(E572,DATABASE!C:Q,8,false)</f>
        <v>BIAN</v>
      </c>
      <c r="P572" s="65">
        <f>VLOOKUP(E572,DATABASE!C:Q,9,False)</f>
        <v>0</v>
      </c>
      <c r="Q572" s="93" t="str">
        <f>VLOOKUP(E572,DATABASE!C:Q,4,false)</f>
        <v>Baut Camber ss-carry</v>
      </c>
      <c r="R572" s="93" t="str">
        <f>VLOOKUP(E572,DATABASE!C:Q,11,false)</f>
        <v>COMPLEMENTARY</v>
      </c>
    </row>
    <row r="573" ht="22.5" customHeight="1">
      <c r="A573" s="49"/>
      <c r="C573" s="384">
        <v>45692.0</v>
      </c>
      <c r="D573" s="65">
        <v>4200.0</v>
      </c>
      <c r="E573" s="385" t="s">
        <v>299</v>
      </c>
      <c r="F573" s="386">
        <v>2.0</v>
      </c>
      <c r="G573" s="74">
        <v>30000.0</v>
      </c>
      <c r="H573" s="74">
        <v>0.0</v>
      </c>
      <c r="I573" s="74">
        <f t="shared" si="1"/>
        <v>60000</v>
      </c>
      <c r="J573" s="74">
        <f>IF(E573="SERVICE",I573-(I573*50%),Vlookup(E573,DATABASE!C:Q,10,false)*F573)</f>
        <v>0</v>
      </c>
      <c r="K573" s="74">
        <v>0.0</v>
      </c>
      <c r="L573" s="74">
        <v>0.0</v>
      </c>
      <c r="M573" s="74">
        <f t="shared" si="2"/>
        <v>0</v>
      </c>
      <c r="N573" s="74">
        <f t="shared" si="3"/>
        <v>60000</v>
      </c>
      <c r="O573" s="65" t="str">
        <f>VLOOKUP(E573,DATABASE!C:Q,8,false)</f>
        <v>BIAN</v>
      </c>
      <c r="P573" s="65">
        <f>VLOOKUP(E573,DATABASE!C:Q,9,False)</f>
        <v>0</v>
      </c>
      <c r="Q573" s="93" t="str">
        <f>VLOOKUP(E573,DATABASE!C:Q,4,false)</f>
        <v>Balancing</v>
      </c>
      <c r="R573" s="93" t="str">
        <f>VLOOKUP(E573,DATABASE!C:Q,11,false)</f>
        <v>COMPLEMENTARY</v>
      </c>
    </row>
    <row r="574" ht="22.5" customHeight="1">
      <c r="A574" s="49"/>
      <c r="C574" s="384">
        <v>45692.0</v>
      </c>
      <c r="D574" s="65">
        <v>4201.0</v>
      </c>
      <c r="E574" s="445" t="s">
        <v>781</v>
      </c>
      <c r="F574" s="386">
        <v>1.0</v>
      </c>
      <c r="G574" s="74">
        <v>500000.0</v>
      </c>
      <c r="H574" s="74">
        <v>0.0</v>
      </c>
      <c r="I574" s="74">
        <f t="shared" si="1"/>
        <v>500000</v>
      </c>
      <c r="J574" s="74">
        <f>IF(E574="SERVICE",I574-(I574*50%),Vlookup(E574,DATABASE!C:Q,10,false)*F574)</f>
        <v>0</v>
      </c>
      <c r="K574" s="74">
        <f>VLOOKUP(E574,DATABASE!C:Q,7,false)</f>
        <v>470000</v>
      </c>
      <c r="L574" s="74">
        <v>442500.0</v>
      </c>
      <c r="M574" s="74">
        <f t="shared" si="2"/>
        <v>445000</v>
      </c>
      <c r="N574" s="74">
        <f t="shared" si="3"/>
        <v>55000</v>
      </c>
      <c r="O574" s="65" t="str">
        <f>VLOOKUP(E574,DATABASE!C:Q,8,false)</f>
        <v>BIAN</v>
      </c>
      <c r="P574" s="65">
        <f>VLOOKUP(E574,DATABASE!C:Q,9,False)</f>
        <v>1</v>
      </c>
      <c r="Q574" s="93" t="str">
        <f>VLOOKUP(E574,DATABASE!C:Q,4,false)</f>
        <v>GT</v>
      </c>
      <c r="R574" s="93" t="str">
        <f>VLOOKUP(E574,DATABASE!C:Q,11,false)</f>
        <v>Tire</v>
      </c>
    </row>
    <row r="575" ht="22.5" customHeight="1">
      <c r="A575" s="49"/>
      <c r="C575" s="384">
        <v>45692.0</v>
      </c>
      <c r="D575" s="65">
        <v>4202.0</v>
      </c>
      <c r="E575" s="445" t="s">
        <v>1630</v>
      </c>
      <c r="F575" s="386">
        <v>2.0</v>
      </c>
      <c r="G575" s="74">
        <v>1695000.0</v>
      </c>
      <c r="H575" s="74">
        <v>0.0</v>
      </c>
      <c r="I575" s="74">
        <f t="shared" si="1"/>
        <v>3390000</v>
      </c>
      <c r="J575" s="74">
        <f>IF(E575="SERVICE",I575-(I575*50%),Vlookup(E575,DATABASE!C:Q,10,false)*F575)</f>
        <v>0</v>
      </c>
      <c r="K575" s="74">
        <f>VLOOKUP(E575,DATABASE!C:Q,7,false)</f>
        <v>1595500</v>
      </c>
      <c r="L575" s="74">
        <v>1595500.0</v>
      </c>
      <c r="M575" s="74">
        <f t="shared" si="2"/>
        <v>1600000</v>
      </c>
      <c r="N575" s="74">
        <f t="shared" si="3"/>
        <v>190000</v>
      </c>
      <c r="O575" s="65" t="str">
        <f>VLOOKUP(E575,DATABASE!C:Q,8,false)</f>
        <v>BIAN</v>
      </c>
      <c r="P575" s="65">
        <f>VLOOKUP(E575,DATABASE!C:Q,9,False)</f>
        <v>1</v>
      </c>
      <c r="Q575" s="93" t="str">
        <f>VLOOKUP(E575,DATABASE!C:Q,4,false)</f>
        <v>DURATUN</v>
      </c>
      <c r="R575" s="93" t="str">
        <f>VLOOKUP(E575,DATABASE!C:Q,11,false)</f>
        <v>Tire</v>
      </c>
    </row>
    <row r="576" ht="22.5" customHeight="1">
      <c r="A576" s="49"/>
      <c r="C576" s="384">
        <v>45692.0</v>
      </c>
      <c r="D576" s="65">
        <v>4202.0</v>
      </c>
      <c r="E576" s="445" t="s">
        <v>255</v>
      </c>
      <c r="F576" s="386">
        <v>2.0</v>
      </c>
      <c r="G576" s="74">
        <v>200000.0</v>
      </c>
      <c r="H576" s="74">
        <v>0.0</v>
      </c>
      <c r="I576" s="74">
        <f t="shared" si="1"/>
        <v>400000</v>
      </c>
      <c r="J576" s="74">
        <f>IF(E576="SERVICE",I576-(I576*50%),Vlookup(E576,DATABASE!C:Q,10,false)*F576)</f>
        <v>0</v>
      </c>
      <c r="K576" s="74">
        <f>VLOOKUP(E576,DATABASE!C:Q,7,false)</f>
        <v>161840</v>
      </c>
      <c r="L576" s="74">
        <v>161840.0</v>
      </c>
      <c r="M576" s="74">
        <f t="shared" si="2"/>
        <v>165000</v>
      </c>
      <c r="N576" s="74">
        <f t="shared" si="3"/>
        <v>70000</v>
      </c>
      <c r="O576" s="65" t="str">
        <f>VLOOKUP(E576,DATABASE!C:Q,8,false)</f>
        <v>BIAN</v>
      </c>
      <c r="P576" s="65">
        <f>VLOOKUP(E576,DATABASE!C:Q,9,False)</f>
        <v>1</v>
      </c>
      <c r="Q576" s="93" t="str">
        <f>VLOOKUP(E576,DATABASE!C:Q,4,false)</f>
        <v>BD</v>
      </c>
      <c r="R576" s="93" t="str">
        <f>VLOOKUP(E576,DATABASE!C:Q,11,false)</f>
        <v>Tire</v>
      </c>
    </row>
    <row r="577" ht="22.5" customHeight="1">
      <c r="A577" s="49"/>
      <c r="C577" s="384">
        <v>45692.0</v>
      </c>
      <c r="D577" s="65">
        <v>4202.0</v>
      </c>
      <c r="E577" s="445" t="s">
        <v>814</v>
      </c>
      <c r="F577" s="386">
        <v>2.0</v>
      </c>
      <c r="G577" s="74">
        <v>60000.0</v>
      </c>
      <c r="H577" s="74">
        <v>0.0</v>
      </c>
      <c r="I577" s="74">
        <f t="shared" si="1"/>
        <v>120000</v>
      </c>
      <c r="J577" s="74">
        <f>IF(E577="SERVICE",I577-(I577*50%),Vlookup(E577,DATABASE!C:Q,10,false)*F577)</f>
        <v>0</v>
      </c>
      <c r="K577" s="74">
        <f>VLOOKUP(E577,DATABASE!C:Q,7,false)</f>
        <v>39440</v>
      </c>
      <c r="L577" s="74">
        <v>39440.0</v>
      </c>
      <c r="M577" s="74">
        <f t="shared" si="2"/>
        <v>40000</v>
      </c>
      <c r="N577" s="74">
        <f t="shared" si="3"/>
        <v>40000</v>
      </c>
      <c r="O577" s="65" t="str">
        <f>VLOOKUP(E577,DATABASE!C:Q,8,false)</f>
        <v>BIAN</v>
      </c>
      <c r="P577" s="65">
        <f>VLOOKUP(E577,DATABASE!C:Q,9,False)</f>
        <v>1</v>
      </c>
      <c r="Q577" s="93" t="str">
        <f>VLOOKUP(E577,DATABASE!C:Q,4,false)</f>
        <v>Flap</v>
      </c>
      <c r="R577" s="93" t="str">
        <f>VLOOKUP(E577,DATABASE!C:Q,11,false)</f>
        <v>Tire</v>
      </c>
    </row>
    <row r="578" ht="22.5" customHeight="1">
      <c r="A578" s="49"/>
      <c r="C578" s="384">
        <v>45692.0</v>
      </c>
      <c r="D578" s="65">
        <v>4203.0</v>
      </c>
      <c r="E578" s="445" t="s">
        <v>256</v>
      </c>
      <c r="F578" s="386">
        <v>1.0</v>
      </c>
      <c r="G578" s="74">
        <v>150000.0</v>
      </c>
      <c r="H578" s="74">
        <v>0.0</v>
      </c>
      <c r="I578" s="74">
        <f t="shared" si="1"/>
        <v>150000</v>
      </c>
      <c r="J578" s="74">
        <f>IF(E578="SERVICE",I578-(I578*50%),Vlookup(E578,DATABASE!C:Q,10,false)*F578)</f>
        <v>10000</v>
      </c>
      <c r="K578" s="74">
        <f>VLOOKUP(E578,DATABASE!C:Q,7,false)</f>
        <v>0</v>
      </c>
      <c r="L578" s="74">
        <v>0.0</v>
      </c>
      <c r="M578" s="74">
        <f t="shared" si="2"/>
        <v>0</v>
      </c>
      <c r="N578" s="74">
        <f t="shared" si="3"/>
        <v>140000</v>
      </c>
      <c r="O578" s="65" t="str">
        <f>VLOOKUP(E578,DATABASE!C:Q,8,false)</f>
        <v>IBU</v>
      </c>
      <c r="P578" s="65">
        <f>VLOOKUP(E578,DATABASE!C:Q,9,False)</f>
        <v>0</v>
      </c>
      <c r="Q578" s="93" t="str">
        <f>VLOOKUP(E578,DATABASE!C:Q,4,false)</f>
        <v>SPOORING</v>
      </c>
      <c r="R578" s="93" t="str">
        <f>VLOOKUP(E578,DATABASE!C:Q,11,false)</f>
        <v>SERVICE</v>
      </c>
    </row>
    <row r="579" ht="22.5" customHeight="1">
      <c r="A579" s="49"/>
      <c r="C579" s="384">
        <v>45692.0</v>
      </c>
      <c r="D579" s="65">
        <v>4203.0</v>
      </c>
      <c r="E579" s="445" t="s">
        <v>251</v>
      </c>
      <c r="F579" s="386">
        <v>1.0</v>
      </c>
      <c r="G579" s="74">
        <v>150000.0</v>
      </c>
      <c r="H579" s="74">
        <v>0.0</v>
      </c>
      <c r="I579" s="74">
        <f t="shared" si="1"/>
        <v>150000</v>
      </c>
      <c r="J579" s="74">
        <f>IF(E579="SERVICE",I579-(I579*50%),Vlookup(E579,DATABASE!C:Q,10,false)*F579)</f>
        <v>75000</v>
      </c>
      <c r="K579" s="74">
        <f>VLOOKUP(E579,DATABASE!C:Q,7,false)</f>
        <v>0</v>
      </c>
      <c r="L579" s="74">
        <v>0.0</v>
      </c>
      <c r="M579" s="74">
        <f t="shared" si="2"/>
        <v>0</v>
      </c>
      <c r="N579" s="74">
        <f t="shared" si="3"/>
        <v>75000</v>
      </c>
      <c r="O579" s="65" t="str">
        <f>VLOOKUP(E579,DATABASE!C:Q,8,false)</f>
        <v>IBU</v>
      </c>
      <c r="P579" s="65">
        <f>VLOOKUP(E579,DATABASE!C:Q,9,False)</f>
        <v>0</v>
      </c>
      <c r="Q579" s="93" t="str">
        <f>VLOOKUP(E579,DATABASE!C:Q,4,false)</f>
        <v>SERVICE</v>
      </c>
      <c r="R579" s="93" t="str">
        <f>VLOOKUP(E579,DATABASE!C:Q,11,false)</f>
        <v>SERVICE</v>
      </c>
    </row>
    <row r="580" ht="22.5" customHeight="1">
      <c r="A580" s="49"/>
      <c r="C580" s="384">
        <v>45693.0</v>
      </c>
      <c r="D580" s="65">
        <v>4206.0</v>
      </c>
      <c r="E580" s="445" t="s">
        <v>647</v>
      </c>
      <c r="F580" s="386">
        <v>2.0</v>
      </c>
      <c r="G580" s="74">
        <v>1460000.0</v>
      </c>
      <c r="H580" s="74">
        <v>0.0</v>
      </c>
      <c r="I580" s="74">
        <f t="shared" si="1"/>
        <v>2920000</v>
      </c>
      <c r="J580" s="74">
        <f>IF(E580="SERVICE",I580-(I580*50%),Vlookup(E580,DATABASE!C:Q,10,false)*F580)</f>
        <v>0</v>
      </c>
      <c r="K580" s="74">
        <f>VLOOKUP(E580,DATABASE!C:Q,7,false)</f>
        <v>1420000</v>
      </c>
      <c r="L580" s="74">
        <v>1420000.0</v>
      </c>
      <c r="M580" s="74">
        <f t="shared" si="2"/>
        <v>1420000</v>
      </c>
      <c r="N580" s="74">
        <f t="shared" si="3"/>
        <v>80000</v>
      </c>
      <c r="O580" s="65" t="str">
        <f>VLOOKUP(E580,DATABASE!C:Q,8,false)</f>
        <v>BIAN</v>
      </c>
      <c r="P580" s="65">
        <f>VLOOKUP(E580,DATABASE!C:Q,9,False)</f>
        <v>1</v>
      </c>
      <c r="Q580" s="93" t="str">
        <f>VLOOKUP(E580,DATABASE!C:Q,4,false)</f>
        <v>G. YEAR</v>
      </c>
      <c r="R580" s="93" t="str">
        <f>VLOOKUP(E580,DATABASE!C:Q,11,false)</f>
        <v>Tire</v>
      </c>
    </row>
    <row r="581" ht="22.5" customHeight="1">
      <c r="A581" s="49"/>
      <c r="C581" s="384">
        <v>45693.0</v>
      </c>
      <c r="D581" s="65">
        <v>4207.0</v>
      </c>
      <c r="E581" s="445" t="s">
        <v>946</v>
      </c>
      <c r="F581" s="386">
        <v>1.0</v>
      </c>
      <c r="G581" s="74">
        <v>880000.0</v>
      </c>
      <c r="H581" s="74">
        <v>0.0</v>
      </c>
      <c r="I581" s="74">
        <f t="shared" si="1"/>
        <v>880000</v>
      </c>
      <c r="J581" s="74">
        <f>IF(E581="SERVICE",I581-(I581*50%),Vlookup(E581,DATABASE!C:Q,10,false)*F581)</f>
        <v>0</v>
      </c>
      <c r="K581" s="74">
        <f>VLOOKUP(E581,DATABASE!C:Q,7,false)</f>
        <v>809000</v>
      </c>
      <c r="L581" s="74">
        <v>809000.0</v>
      </c>
      <c r="M581" s="74">
        <f t="shared" si="2"/>
        <v>810000</v>
      </c>
      <c r="N581" s="74">
        <f t="shared" si="3"/>
        <v>70000</v>
      </c>
      <c r="O581" s="65" t="str">
        <f>VLOOKUP(E581,DATABASE!C:Q,8,false)</f>
        <v>IBU</v>
      </c>
      <c r="P581" s="65">
        <f>VLOOKUP(E581,DATABASE!C:Q,9,False)</f>
        <v>1</v>
      </c>
      <c r="Q581" s="93" t="str">
        <f>VLOOKUP(E581,DATABASE!C:Q,4,false)</f>
        <v>Dunlop</v>
      </c>
      <c r="R581" s="93" t="str">
        <f>VLOOKUP(E581,DATABASE!C:Q,11,false)</f>
        <v>Tire</v>
      </c>
    </row>
    <row r="582" ht="22.5" customHeight="1">
      <c r="A582" s="49"/>
      <c r="C582" s="384">
        <v>45693.0</v>
      </c>
      <c r="D582" s="65">
        <v>4208.0</v>
      </c>
      <c r="E582" s="445" t="s">
        <v>955</v>
      </c>
      <c r="F582" s="386">
        <v>1.0</v>
      </c>
      <c r="G582" s="74">
        <v>780000.0</v>
      </c>
      <c r="H582" s="74">
        <v>0.0</v>
      </c>
      <c r="I582" s="74">
        <f t="shared" si="1"/>
        <v>780000</v>
      </c>
      <c r="J582" s="74">
        <f>IF(E582="SERVICE",I582-(I582*50%),Vlookup(E582,DATABASE!C:Q,10,false)*F582)</f>
        <v>0</v>
      </c>
      <c r="K582" s="74">
        <f>VLOOKUP(E582,DATABASE!C:Q,7,false)</f>
        <v>712000</v>
      </c>
      <c r="L582" s="74">
        <v>674000.0</v>
      </c>
      <c r="M582" s="74">
        <f t="shared" si="2"/>
        <v>675000</v>
      </c>
      <c r="N582" s="74">
        <f t="shared" si="3"/>
        <v>105000</v>
      </c>
      <c r="O582" s="65" t="str">
        <f>VLOOKUP(E582,DATABASE!C:Q,8,false)</f>
        <v>IBU</v>
      </c>
      <c r="P582" s="65">
        <f>VLOOKUP(E582,DATABASE!C:Q,9,False)</f>
        <v>1</v>
      </c>
      <c r="Q582" s="93" t="str">
        <f>VLOOKUP(E582,DATABASE!C:Q,4,false)</f>
        <v>Dunlop</v>
      </c>
      <c r="R582" s="93" t="str">
        <f>VLOOKUP(E582,DATABASE!C:Q,11,false)</f>
        <v>Tire</v>
      </c>
    </row>
    <row r="583" ht="22.5" customHeight="1">
      <c r="A583" s="49"/>
      <c r="C583" s="384">
        <v>45693.0</v>
      </c>
      <c r="D583" s="65">
        <v>4209.0</v>
      </c>
      <c r="E583" s="445" t="s">
        <v>256</v>
      </c>
      <c r="F583" s="386">
        <v>1.0</v>
      </c>
      <c r="G583" s="74">
        <v>130000.0</v>
      </c>
      <c r="H583" s="74">
        <v>0.0</v>
      </c>
      <c r="I583" s="74">
        <f t="shared" si="1"/>
        <v>130000</v>
      </c>
      <c r="J583" s="74">
        <f>IF(E583="SERVICE",I583-(I583*50%),Vlookup(E583,DATABASE!C:Q,10,false)*F583)</f>
        <v>10000</v>
      </c>
      <c r="K583" s="74">
        <f>VLOOKUP(E583,DATABASE!C:Q,7,false)</f>
        <v>0</v>
      </c>
      <c r="L583" s="74">
        <v>0.0</v>
      </c>
      <c r="M583" s="74">
        <f t="shared" si="2"/>
        <v>0</v>
      </c>
      <c r="N583" s="74">
        <f t="shared" si="3"/>
        <v>120000</v>
      </c>
      <c r="O583" s="65" t="str">
        <f>VLOOKUP(E583,DATABASE!C:Q,8,false)</f>
        <v>IBU</v>
      </c>
      <c r="P583" s="65">
        <f>VLOOKUP(E583,DATABASE!C:Q,9,False)</f>
        <v>0</v>
      </c>
      <c r="Q583" s="93" t="str">
        <f>VLOOKUP(E583,DATABASE!C:Q,4,false)</f>
        <v>SPOORING</v>
      </c>
      <c r="R583" s="93" t="str">
        <f>VLOOKUP(E583,DATABASE!C:Q,11,false)</f>
        <v>SERVICE</v>
      </c>
    </row>
    <row r="584" ht="22.5" customHeight="1">
      <c r="A584" s="49"/>
      <c r="C584" s="384">
        <v>45693.0</v>
      </c>
      <c r="D584" s="65">
        <v>4209.0</v>
      </c>
      <c r="E584" s="445" t="s">
        <v>301</v>
      </c>
      <c r="F584" s="386">
        <v>1.0</v>
      </c>
      <c r="G584" s="74">
        <v>250000.0</v>
      </c>
      <c r="H584" s="74">
        <v>0.0</v>
      </c>
      <c r="I584" s="74">
        <f t="shared" si="1"/>
        <v>250000</v>
      </c>
      <c r="J584" s="74">
        <f>IF(E584="SERVICE",I584-(I584*50%),Vlookup(E584,DATABASE!C:Q,10,false)*F584)</f>
        <v>75000</v>
      </c>
      <c r="K584" s="74">
        <f>VLOOKUP(E584,DATABASE!C:Q,7,false)</f>
        <v>75000</v>
      </c>
      <c r="L584" s="74">
        <v>75000.0</v>
      </c>
      <c r="M584" s="74">
        <f t="shared" si="2"/>
        <v>75000</v>
      </c>
      <c r="N584" s="74">
        <f t="shared" si="3"/>
        <v>100000</v>
      </c>
      <c r="O584" s="65" t="str">
        <f>VLOOKUP(E584,DATABASE!C:Q,8,false)</f>
        <v>BIAN</v>
      </c>
      <c r="P584" s="65">
        <f>VLOOKUP(E584,DATABASE!C:Q,9,False)</f>
        <v>0</v>
      </c>
      <c r="Q584" s="93" t="str">
        <f>VLOOKUP(E584,DATABASE!C:Q,4,false)</f>
        <v>Baut Camber</v>
      </c>
      <c r="R584" s="93" t="str">
        <f>VLOOKUP(E584,DATABASE!C:Q,11,false)</f>
        <v>COMPLEMENTARY</v>
      </c>
    </row>
    <row r="585" ht="22.5" customHeight="1">
      <c r="A585" s="49"/>
      <c r="C585" s="384">
        <v>45693.0</v>
      </c>
      <c r="D585" s="65">
        <v>4210.0</v>
      </c>
      <c r="E585" s="445" t="s">
        <v>255</v>
      </c>
      <c r="F585" s="386">
        <v>1.0</v>
      </c>
      <c r="G585" s="74">
        <v>200000.0</v>
      </c>
      <c r="H585" s="74">
        <v>0.0</v>
      </c>
      <c r="I585" s="74">
        <f t="shared" si="1"/>
        <v>200000</v>
      </c>
      <c r="J585" s="74">
        <f>IF(E585="SERVICE",I585-(I585*50%),Vlookup(E585,DATABASE!C:Q,10,false)*F585)</f>
        <v>0</v>
      </c>
      <c r="K585" s="74">
        <f>VLOOKUP(E585,DATABASE!C:Q,7,false)</f>
        <v>161840</v>
      </c>
      <c r="L585" s="74">
        <v>161840.0</v>
      </c>
      <c r="M585" s="74">
        <f t="shared" si="2"/>
        <v>165000</v>
      </c>
      <c r="N585" s="74">
        <f t="shared" si="3"/>
        <v>35000</v>
      </c>
      <c r="O585" s="65" t="str">
        <f>VLOOKUP(E585,DATABASE!C:Q,8,false)</f>
        <v>BIAN</v>
      </c>
      <c r="P585" s="65">
        <f>VLOOKUP(E585,DATABASE!C:Q,9,False)</f>
        <v>1</v>
      </c>
      <c r="Q585" s="93" t="str">
        <f>VLOOKUP(E585,DATABASE!C:Q,4,false)</f>
        <v>BD</v>
      </c>
      <c r="R585" s="93" t="str">
        <f>VLOOKUP(E585,DATABASE!C:Q,11,false)</f>
        <v>Tire</v>
      </c>
    </row>
    <row r="586" ht="22.5" customHeight="1">
      <c r="A586" s="49"/>
      <c r="C586" s="384">
        <v>45693.0</v>
      </c>
      <c r="D586" s="65">
        <v>4211.0</v>
      </c>
      <c r="E586" s="445" t="s">
        <v>268</v>
      </c>
      <c r="F586" s="386">
        <v>2.0</v>
      </c>
      <c r="G586" s="74">
        <v>690000.0</v>
      </c>
      <c r="H586" s="74">
        <v>0.0</v>
      </c>
      <c r="I586" s="74">
        <f t="shared" si="1"/>
        <v>1380000</v>
      </c>
      <c r="J586" s="74">
        <f>IF(E586="SERVICE",I586-(I586*50%),Vlookup(E586,DATABASE!C:Q,10,false)*F586)</f>
        <v>0</v>
      </c>
      <c r="K586" s="74">
        <v>613000.0</v>
      </c>
      <c r="L586" s="74">
        <v>613000.0</v>
      </c>
      <c r="M586" s="74">
        <f t="shared" si="2"/>
        <v>615000</v>
      </c>
      <c r="N586" s="74">
        <f t="shared" si="3"/>
        <v>150000</v>
      </c>
      <c r="O586" s="65" t="str">
        <f>VLOOKUP(E586,DATABASE!C:Q,8,false)</f>
        <v>IBU</v>
      </c>
      <c r="P586" s="65">
        <f>VLOOKUP(E586,DATABASE!C:Q,9,False)</f>
        <v>1</v>
      </c>
      <c r="Q586" s="93" t="str">
        <f>VLOOKUP(E586,DATABASE!C:Q,4,false)</f>
        <v>Dunlop</v>
      </c>
      <c r="R586" s="93" t="str">
        <f>VLOOKUP(E586,DATABASE!C:Q,11,false)</f>
        <v>Tire</v>
      </c>
    </row>
    <row r="587" ht="22.5" customHeight="1">
      <c r="A587" s="49"/>
      <c r="C587" s="384">
        <v>45693.0</v>
      </c>
      <c r="D587" s="65">
        <v>4211.0</v>
      </c>
      <c r="E587" s="445" t="s">
        <v>250</v>
      </c>
      <c r="F587" s="386">
        <v>1.0</v>
      </c>
      <c r="G587" s="74">
        <v>135000.0</v>
      </c>
      <c r="H587" s="74">
        <v>0.0</v>
      </c>
      <c r="I587" s="74">
        <f t="shared" si="1"/>
        <v>135000</v>
      </c>
      <c r="J587" s="74">
        <f>IF(E587="SERVICE",I587-(I587*50%),Vlookup(E587,DATABASE!C:Q,10,false)*F587)</f>
        <v>0</v>
      </c>
      <c r="K587" s="74">
        <f>VLOOKUP(E587,DATABASE!C:Q,7,false)</f>
        <v>102000</v>
      </c>
      <c r="L587" s="74">
        <v>102000.0</v>
      </c>
      <c r="M587" s="74">
        <f t="shared" si="2"/>
        <v>105000</v>
      </c>
      <c r="N587" s="74">
        <f t="shared" si="3"/>
        <v>30000</v>
      </c>
      <c r="O587" s="65" t="str">
        <f>VLOOKUP(E587,DATABASE!C:Q,8,false)</f>
        <v>BIAN</v>
      </c>
      <c r="P587" s="65">
        <f>VLOOKUP(E587,DATABASE!C:Q,9,False)</f>
        <v>1</v>
      </c>
      <c r="Q587" s="93" t="str">
        <f>VLOOKUP(E587,DATABASE!C:Q,4,false)</f>
        <v>BD</v>
      </c>
      <c r="R587" s="93" t="str">
        <f>VLOOKUP(E587,DATABASE!C:Q,11,false)</f>
        <v>Tire</v>
      </c>
    </row>
    <row r="588" ht="22.5" customHeight="1">
      <c r="A588" s="49"/>
      <c r="C588" s="384">
        <v>45693.0</v>
      </c>
      <c r="D588" s="65">
        <v>4212.0</v>
      </c>
      <c r="E588" s="385" t="s">
        <v>299</v>
      </c>
      <c r="F588" s="386">
        <v>2.0</v>
      </c>
      <c r="G588" s="74">
        <v>30000.0</v>
      </c>
      <c r="H588" s="74">
        <v>0.0</v>
      </c>
      <c r="I588" s="74">
        <f t="shared" si="1"/>
        <v>60000</v>
      </c>
      <c r="J588" s="74">
        <f>IF(E588="SERVICE",I588-(I588*50%),Vlookup(E588,DATABASE!C:Q,10,false)*F588)</f>
        <v>0</v>
      </c>
      <c r="K588" s="74">
        <v>0.0</v>
      </c>
      <c r="L588" s="74">
        <v>0.0</v>
      </c>
      <c r="M588" s="74">
        <f t="shared" si="2"/>
        <v>0</v>
      </c>
      <c r="N588" s="74">
        <f t="shared" si="3"/>
        <v>60000</v>
      </c>
      <c r="O588" s="65" t="str">
        <f>VLOOKUP(E588,DATABASE!C:Q,8,false)</f>
        <v>BIAN</v>
      </c>
      <c r="P588" s="65">
        <f>VLOOKUP(E588,DATABASE!C:Q,9,False)</f>
        <v>0</v>
      </c>
      <c r="Q588" s="93" t="str">
        <f>VLOOKUP(E588,DATABASE!C:Q,4,false)</f>
        <v>Balancing</v>
      </c>
      <c r="R588" s="93" t="str">
        <f>VLOOKUP(E588,DATABASE!C:Q,11,false)</f>
        <v>COMPLEMENTARY</v>
      </c>
    </row>
    <row r="589" ht="22.5" customHeight="1">
      <c r="A589" s="49"/>
      <c r="C589" s="384">
        <v>45693.0</v>
      </c>
      <c r="D589" s="65">
        <v>4213.0</v>
      </c>
      <c r="E589" s="445" t="s">
        <v>856</v>
      </c>
      <c r="F589" s="386">
        <v>1.0</v>
      </c>
      <c r="G589" s="74">
        <v>670000.0</v>
      </c>
      <c r="H589" s="74">
        <v>0.0</v>
      </c>
      <c r="I589" s="74">
        <f t="shared" si="1"/>
        <v>670000</v>
      </c>
      <c r="J589" s="74">
        <f>IF(E589="SERVICE",I589-(I589*50%),Vlookup(E589,DATABASE!C:Q,10,false)*F589)</f>
        <v>0</v>
      </c>
      <c r="K589" s="74">
        <f>VLOOKUP(E589,DATABASE!C:Q,7,false)</f>
        <v>615300</v>
      </c>
      <c r="L589" s="74">
        <v>581120.0</v>
      </c>
      <c r="M589" s="74">
        <f t="shared" si="2"/>
        <v>585000</v>
      </c>
      <c r="N589" s="74">
        <f t="shared" si="3"/>
        <v>85000</v>
      </c>
      <c r="O589" s="65" t="str">
        <f>VLOOKUP(E589,DATABASE!C:Q,8,false)</f>
        <v>BIAN</v>
      </c>
      <c r="P589" s="65">
        <f>VLOOKUP(E589,DATABASE!C:Q,9,False)</f>
        <v>1</v>
      </c>
      <c r="Q589" s="93" t="str">
        <f>VLOOKUP(E589,DATABASE!C:Q,4,false)</f>
        <v>GT</v>
      </c>
      <c r="R589" s="93" t="str">
        <f>VLOOKUP(E589,DATABASE!C:Q,11,false)</f>
        <v>Tire</v>
      </c>
    </row>
    <row r="590" ht="22.5" customHeight="1">
      <c r="A590" s="49"/>
      <c r="C590" s="384">
        <v>45693.0</v>
      </c>
      <c r="D590" s="65">
        <v>4214.0</v>
      </c>
      <c r="E590" s="445" t="s">
        <v>256</v>
      </c>
      <c r="F590" s="386">
        <v>1.0</v>
      </c>
      <c r="G590" s="74">
        <v>130000.0</v>
      </c>
      <c r="H590" s="74">
        <v>0.0</v>
      </c>
      <c r="I590" s="74">
        <f t="shared" si="1"/>
        <v>130000</v>
      </c>
      <c r="J590" s="74">
        <f>IF(E590="SERVICE",I590-(I590*50%),Vlookup(E590,DATABASE!C:Q,10,false)*F590)</f>
        <v>10000</v>
      </c>
      <c r="K590" s="74">
        <f>VLOOKUP(E590,DATABASE!C:Q,7,false)</f>
        <v>0</v>
      </c>
      <c r="L590" s="74">
        <v>0.0</v>
      </c>
      <c r="M590" s="74">
        <f t="shared" si="2"/>
        <v>0</v>
      </c>
      <c r="N590" s="74">
        <f t="shared" si="3"/>
        <v>120000</v>
      </c>
      <c r="O590" s="65" t="str">
        <f>VLOOKUP(E590,DATABASE!C:Q,8,false)</f>
        <v>IBU</v>
      </c>
      <c r="P590" s="65">
        <f>VLOOKUP(E590,DATABASE!C:Q,9,False)</f>
        <v>0</v>
      </c>
      <c r="Q590" s="93" t="str">
        <f>VLOOKUP(E590,DATABASE!C:Q,4,false)</f>
        <v>SPOORING</v>
      </c>
      <c r="R590" s="93" t="str">
        <f>VLOOKUP(E590,DATABASE!C:Q,11,false)</f>
        <v>SERVICE</v>
      </c>
    </row>
    <row r="591" ht="22.5" customHeight="1">
      <c r="A591" s="49"/>
      <c r="C591" s="384">
        <v>45693.0</v>
      </c>
      <c r="D591" s="65">
        <v>4214.0</v>
      </c>
      <c r="E591" s="445" t="s">
        <v>301</v>
      </c>
      <c r="F591" s="386">
        <v>1.0</v>
      </c>
      <c r="G591" s="74">
        <v>250000.0</v>
      </c>
      <c r="H591" s="74">
        <v>0.0</v>
      </c>
      <c r="I591" s="74">
        <f t="shared" si="1"/>
        <v>250000</v>
      </c>
      <c r="J591" s="74">
        <f>IF(E591="SERVICE",I591-(I591*50%),Vlookup(E591,DATABASE!C:Q,10,false)*F591)</f>
        <v>75000</v>
      </c>
      <c r="K591" s="74">
        <f>VLOOKUP(E591,DATABASE!C:Q,7,false)</f>
        <v>75000</v>
      </c>
      <c r="L591" s="74">
        <v>75000.0</v>
      </c>
      <c r="M591" s="74">
        <f t="shared" si="2"/>
        <v>75000</v>
      </c>
      <c r="N591" s="74">
        <f t="shared" si="3"/>
        <v>100000</v>
      </c>
      <c r="O591" s="65" t="str">
        <f>VLOOKUP(E591,DATABASE!C:Q,8,false)</f>
        <v>BIAN</v>
      </c>
      <c r="P591" s="65">
        <f>VLOOKUP(E591,DATABASE!C:Q,9,False)</f>
        <v>0</v>
      </c>
      <c r="Q591" s="93" t="str">
        <f>VLOOKUP(E591,DATABASE!C:Q,4,false)</f>
        <v>Baut Camber</v>
      </c>
      <c r="R591" s="93" t="str">
        <f>VLOOKUP(E591,DATABASE!C:Q,11,false)</f>
        <v>COMPLEMENTARY</v>
      </c>
    </row>
    <row r="592" ht="22.5" customHeight="1">
      <c r="A592" s="49"/>
      <c r="C592" s="384">
        <v>45693.0</v>
      </c>
      <c r="D592" s="65">
        <v>4214.0</v>
      </c>
      <c r="E592" s="385" t="s">
        <v>299</v>
      </c>
      <c r="F592" s="386">
        <v>2.0</v>
      </c>
      <c r="G592" s="74">
        <v>30000.0</v>
      </c>
      <c r="H592" s="74">
        <v>0.0</v>
      </c>
      <c r="I592" s="74">
        <f t="shared" si="1"/>
        <v>60000</v>
      </c>
      <c r="J592" s="74">
        <f>IF(E592="SERVICE",I592-(I592*50%),Vlookup(E592,DATABASE!C:Q,10,false)*F592)</f>
        <v>0</v>
      </c>
      <c r="K592" s="74">
        <v>0.0</v>
      </c>
      <c r="L592" s="74">
        <v>0.0</v>
      </c>
      <c r="M592" s="74">
        <f t="shared" si="2"/>
        <v>0</v>
      </c>
      <c r="N592" s="74">
        <f t="shared" si="3"/>
        <v>60000</v>
      </c>
      <c r="O592" s="65" t="str">
        <f>VLOOKUP(E592,DATABASE!C:Q,8,false)</f>
        <v>BIAN</v>
      </c>
      <c r="P592" s="65">
        <f>VLOOKUP(E592,DATABASE!C:Q,9,False)</f>
        <v>0</v>
      </c>
      <c r="Q592" s="93" t="str">
        <f>VLOOKUP(E592,DATABASE!C:Q,4,false)</f>
        <v>Balancing</v>
      </c>
      <c r="R592" s="93" t="str">
        <f>VLOOKUP(E592,DATABASE!C:Q,11,false)</f>
        <v>COMPLEMENTARY</v>
      </c>
    </row>
    <row r="593" ht="22.5" customHeight="1">
      <c r="A593" s="49"/>
      <c r="C593" s="384">
        <v>45693.0</v>
      </c>
      <c r="D593" s="65">
        <v>4214.0</v>
      </c>
      <c r="E593" s="445" t="s">
        <v>2199</v>
      </c>
      <c r="F593" s="386">
        <v>1.0</v>
      </c>
      <c r="G593" s="74">
        <v>150000.0</v>
      </c>
      <c r="H593" s="74">
        <v>0.0</v>
      </c>
      <c r="I593" s="74">
        <f t="shared" si="1"/>
        <v>150000</v>
      </c>
      <c r="J593" s="74">
        <f>IF(E593="SERVICE",I593-(I593*50%),Vlookup(E593,DATABASE!C:Q,10,false)*F593)</f>
        <v>0</v>
      </c>
      <c r="K593" s="74">
        <f>VLOOKUP(E593,DATABASE!C:Q,7,false)</f>
        <v>5000</v>
      </c>
      <c r="L593" s="74">
        <v>0.0</v>
      </c>
      <c r="M593" s="74">
        <f t="shared" si="2"/>
        <v>0</v>
      </c>
      <c r="N593" s="74">
        <f t="shared" si="3"/>
        <v>150000</v>
      </c>
      <c r="O593" s="65" t="str">
        <f>VLOOKUP(E593,DATABASE!C:Q,8,false)</f>
        <v>BIAN</v>
      </c>
      <c r="P593" s="65">
        <f>VLOOKUP(E593,DATABASE!C:Q,9,False)</f>
        <v>0</v>
      </c>
      <c r="Q593" s="93" t="str">
        <f>VLOOKUP(E593,DATABASE!C:Q,4,false)</f>
        <v>TAMBAL TUBLES</v>
      </c>
      <c r="R593" s="93" t="str">
        <f>VLOOKUP(E593,DATABASE!C:Q,11,false)</f>
        <v>COMPLEMENTARY</v>
      </c>
    </row>
    <row r="594" ht="22.5" customHeight="1">
      <c r="A594" s="49"/>
      <c r="C594" s="384">
        <v>45693.0</v>
      </c>
      <c r="D594" s="65">
        <v>4215.0</v>
      </c>
      <c r="E594" s="445" t="s">
        <v>781</v>
      </c>
      <c r="F594" s="386">
        <v>2.0</v>
      </c>
      <c r="G594" s="74">
        <v>525000.0</v>
      </c>
      <c r="H594" s="74">
        <v>0.0</v>
      </c>
      <c r="I594" s="74">
        <f t="shared" si="1"/>
        <v>1050000</v>
      </c>
      <c r="J594" s="74">
        <f>IF(E594="SERVICE",I594-(I594*50%),Vlookup(E594,DATABASE!C:Q,10,false)*F594)</f>
        <v>0</v>
      </c>
      <c r="K594" s="74">
        <f>VLOOKUP(E594,DATABASE!C:Q,7,false)</f>
        <v>470000</v>
      </c>
      <c r="L594" s="74">
        <v>442500.0</v>
      </c>
      <c r="M594" s="74">
        <f t="shared" si="2"/>
        <v>445000</v>
      </c>
      <c r="N594" s="74">
        <f t="shared" si="3"/>
        <v>160000</v>
      </c>
      <c r="O594" s="65" t="str">
        <f>VLOOKUP(E594,DATABASE!C:Q,8,false)</f>
        <v>BIAN</v>
      </c>
      <c r="P594" s="65">
        <f>VLOOKUP(E594,DATABASE!C:Q,9,False)</f>
        <v>1</v>
      </c>
      <c r="Q594" s="93" t="str">
        <f>VLOOKUP(E594,DATABASE!C:Q,4,false)</f>
        <v>GT</v>
      </c>
      <c r="R594" s="93" t="str">
        <f>VLOOKUP(E594,DATABASE!C:Q,11,false)</f>
        <v>Tire</v>
      </c>
    </row>
    <row r="595" ht="22.5" customHeight="1">
      <c r="A595" s="49"/>
      <c r="C595" s="384">
        <v>45693.0</v>
      </c>
      <c r="D595" s="65">
        <v>4216.0</v>
      </c>
      <c r="E595" s="445" t="s">
        <v>687</v>
      </c>
      <c r="F595" s="386">
        <v>1.0</v>
      </c>
      <c r="G595" s="74">
        <v>1035000.0</v>
      </c>
      <c r="H595" s="74">
        <v>0.0</v>
      </c>
      <c r="I595" s="74">
        <f t="shared" si="1"/>
        <v>1035000</v>
      </c>
      <c r="J595" s="74">
        <f>IF(E595="SERVICE",I595-(I595*50%),Vlookup(E595,DATABASE!C:Q,10,false)*F595)</f>
        <v>0</v>
      </c>
      <c r="K595" s="74">
        <f>VLOOKUP(E595,DATABASE!C:Q,7,false)</f>
        <v>959000</v>
      </c>
      <c r="L595" s="74">
        <v>949000.0</v>
      </c>
      <c r="M595" s="74">
        <f t="shared" si="2"/>
        <v>950000</v>
      </c>
      <c r="N595" s="74">
        <f t="shared" si="3"/>
        <v>85000</v>
      </c>
      <c r="O595" s="65" t="str">
        <f>VLOOKUP(E595,DATABASE!C:Q,8,false)</f>
        <v>IBU</v>
      </c>
      <c r="P595" s="65">
        <f>VLOOKUP(E595,DATABASE!C:Q,9,False)</f>
        <v>1</v>
      </c>
      <c r="Q595" s="93" t="str">
        <f>VLOOKUP(E595,DATABASE!C:Q,4,false)</f>
        <v>Dunlop</v>
      </c>
      <c r="R595" s="93" t="str">
        <f>VLOOKUP(E595,DATABASE!C:Q,11,false)</f>
        <v>Tire</v>
      </c>
    </row>
    <row r="596" ht="22.5" customHeight="1">
      <c r="A596" s="49"/>
      <c r="C596" s="384">
        <v>45693.0</v>
      </c>
      <c r="D596" s="65">
        <v>4217.0</v>
      </c>
      <c r="E596" s="445" t="s">
        <v>605</v>
      </c>
      <c r="F596" s="386">
        <v>2.0</v>
      </c>
      <c r="G596" s="74">
        <v>760000.0</v>
      </c>
      <c r="H596" s="74">
        <v>0.0</v>
      </c>
      <c r="I596" s="74">
        <f t="shared" si="1"/>
        <v>1520000</v>
      </c>
      <c r="J596" s="74">
        <f>IF(E596="SERVICE",I596-(I596*50%),Vlookup(E596,DATABASE!C:Q,10,false)*F596)</f>
        <v>0</v>
      </c>
      <c r="K596" s="74">
        <v>670000.0</v>
      </c>
      <c r="L596" s="74">
        <v>670000.0</v>
      </c>
      <c r="M596" s="74">
        <f t="shared" si="2"/>
        <v>670000</v>
      </c>
      <c r="N596" s="74">
        <f t="shared" si="3"/>
        <v>180000</v>
      </c>
      <c r="O596" s="65" t="str">
        <f>VLOOKUP(E596,DATABASE!C:Q,8,false)</f>
        <v>IBU</v>
      </c>
      <c r="P596" s="65">
        <f>VLOOKUP(E596,DATABASE!C:Q,9,False)</f>
        <v>1</v>
      </c>
      <c r="Q596" s="93" t="str">
        <f>VLOOKUP(E596,DATABASE!C:Q,4,false)</f>
        <v>Bridgestone</v>
      </c>
      <c r="R596" s="93" t="str">
        <f>VLOOKUP(E596,DATABASE!C:Q,11,false)</f>
        <v>Tire</v>
      </c>
    </row>
    <row r="597" ht="22.5" customHeight="1">
      <c r="A597" s="49"/>
      <c r="C597" s="384">
        <v>45693.0</v>
      </c>
      <c r="D597" s="65">
        <v>4218.0</v>
      </c>
      <c r="E597" s="445" t="s">
        <v>301</v>
      </c>
      <c r="F597" s="386">
        <v>1.0</v>
      </c>
      <c r="G597" s="74">
        <v>250000.0</v>
      </c>
      <c r="H597" s="74">
        <v>0.0</v>
      </c>
      <c r="I597" s="74">
        <f t="shared" si="1"/>
        <v>250000</v>
      </c>
      <c r="J597" s="74">
        <f>IF(E597="SERVICE",I597-(I597*50%),Vlookup(E597,DATABASE!C:Q,10,false)*F597)</f>
        <v>75000</v>
      </c>
      <c r="K597" s="74">
        <f>VLOOKUP(E597,DATABASE!C:Q,7,false)</f>
        <v>75000</v>
      </c>
      <c r="L597" s="74">
        <v>75000.0</v>
      </c>
      <c r="M597" s="74">
        <f t="shared" si="2"/>
        <v>75000</v>
      </c>
      <c r="N597" s="74">
        <f t="shared" si="3"/>
        <v>100000</v>
      </c>
      <c r="O597" s="65" t="str">
        <f>VLOOKUP(E597,DATABASE!C:Q,8,false)</f>
        <v>BIAN</v>
      </c>
      <c r="P597" s="65">
        <f>VLOOKUP(E597,DATABASE!C:Q,9,False)</f>
        <v>0</v>
      </c>
      <c r="Q597" s="93" t="str">
        <f>VLOOKUP(E597,DATABASE!C:Q,4,false)</f>
        <v>Baut Camber</v>
      </c>
      <c r="R597" s="93" t="str">
        <f>VLOOKUP(E597,DATABASE!C:Q,11,false)</f>
        <v>COMPLEMENTARY</v>
      </c>
    </row>
    <row r="598" ht="22.5" customHeight="1">
      <c r="A598" s="49"/>
      <c r="C598" s="384">
        <v>45693.0</v>
      </c>
      <c r="D598" s="65">
        <v>4218.0</v>
      </c>
      <c r="E598" s="445" t="s">
        <v>256</v>
      </c>
      <c r="F598" s="386">
        <v>1.0</v>
      </c>
      <c r="G598" s="74">
        <v>130000.0</v>
      </c>
      <c r="H598" s="74">
        <v>0.0</v>
      </c>
      <c r="I598" s="74">
        <f t="shared" si="1"/>
        <v>130000</v>
      </c>
      <c r="J598" s="74">
        <f>IF(E598="SERVICE",I598-(I598*50%),Vlookup(E598,DATABASE!C:Q,10,false)*F598)</f>
        <v>10000</v>
      </c>
      <c r="K598" s="74">
        <f>VLOOKUP(E598,DATABASE!C:Q,7,false)</f>
        <v>0</v>
      </c>
      <c r="L598" s="74">
        <v>0.0</v>
      </c>
      <c r="M598" s="74">
        <f t="shared" si="2"/>
        <v>0</v>
      </c>
      <c r="N598" s="74">
        <f t="shared" si="3"/>
        <v>120000</v>
      </c>
      <c r="O598" s="65" t="str">
        <f>VLOOKUP(E598,DATABASE!C:Q,8,false)</f>
        <v>IBU</v>
      </c>
      <c r="P598" s="65">
        <f>VLOOKUP(E598,DATABASE!C:Q,9,False)</f>
        <v>0</v>
      </c>
      <c r="Q598" s="93" t="str">
        <f>VLOOKUP(E598,DATABASE!C:Q,4,false)</f>
        <v>SPOORING</v>
      </c>
      <c r="R598" s="93" t="str">
        <f>VLOOKUP(E598,DATABASE!C:Q,11,false)</f>
        <v>SERVICE</v>
      </c>
    </row>
    <row r="599" ht="22.5" customHeight="1">
      <c r="A599" s="49"/>
      <c r="C599" s="384">
        <v>45693.0</v>
      </c>
      <c r="D599" s="65">
        <v>4218.0</v>
      </c>
      <c r="E599" s="385" t="s">
        <v>299</v>
      </c>
      <c r="F599" s="386">
        <v>2.0</v>
      </c>
      <c r="G599" s="74">
        <v>40000.0</v>
      </c>
      <c r="H599" s="74">
        <v>0.0</v>
      </c>
      <c r="I599" s="74">
        <f t="shared" si="1"/>
        <v>80000</v>
      </c>
      <c r="J599" s="74">
        <f>IF(E599="SERVICE",I599-(I599*50%),Vlookup(E599,DATABASE!C:Q,10,false)*F599)</f>
        <v>0</v>
      </c>
      <c r="K599" s="74">
        <v>0.0</v>
      </c>
      <c r="L599" s="74">
        <v>0.0</v>
      </c>
      <c r="M599" s="74">
        <f t="shared" si="2"/>
        <v>0</v>
      </c>
      <c r="N599" s="74">
        <f t="shared" si="3"/>
        <v>80000</v>
      </c>
      <c r="O599" s="65" t="str">
        <f>VLOOKUP(E599,DATABASE!C:Q,8,false)</f>
        <v>BIAN</v>
      </c>
      <c r="P599" s="65">
        <f>VLOOKUP(E599,DATABASE!C:Q,9,False)</f>
        <v>0</v>
      </c>
      <c r="Q599" s="93" t="str">
        <f>VLOOKUP(E599,DATABASE!C:Q,4,false)</f>
        <v>Balancing</v>
      </c>
      <c r="R599" s="93" t="str">
        <f>VLOOKUP(E599,DATABASE!C:Q,11,false)</f>
        <v>COMPLEMENTARY</v>
      </c>
    </row>
    <row r="600" ht="22.5" customHeight="1">
      <c r="A600" s="49"/>
      <c r="C600" s="384">
        <v>45693.0</v>
      </c>
      <c r="D600" s="65">
        <v>4219.0</v>
      </c>
      <c r="E600" s="445" t="s">
        <v>246</v>
      </c>
      <c r="F600" s="386">
        <v>2.0</v>
      </c>
      <c r="G600" s="74">
        <v>25000.0</v>
      </c>
      <c r="H600" s="74">
        <v>0.0</v>
      </c>
      <c r="I600" s="74">
        <f t="shared" si="1"/>
        <v>50000</v>
      </c>
      <c r="J600" s="74">
        <f>IF(E600="SERVICE",I600-(I600*50%),Vlookup(E600,DATABASE!C:Q,10,false)*F600)</f>
        <v>0</v>
      </c>
      <c r="K600" s="74">
        <f>VLOOKUP(E600,DATABASE!C:Q,7,false)</f>
        <v>0</v>
      </c>
      <c r="L600" s="74">
        <v>0.0</v>
      </c>
      <c r="M600" s="74">
        <f t="shared" si="2"/>
        <v>0</v>
      </c>
      <c r="N600" s="74">
        <f t="shared" si="3"/>
        <v>50000</v>
      </c>
      <c r="O600" s="65" t="str">
        <f>VLOOKUP(E600,DATABASE!C:Q,8,false)</f>
        <v>IBU</v>
      </c>
      <c r="P600" s="65">
        <f>VLOOKUP(E600,DATABASE!C:Q,9,False)</f>
        <v>0</v>
      </c>
      <c r="Q600" s="93" t="str">
        <f>VLOOKUP(E600,DATABASE!C:Q,4,false)</f>
        <v>Bongkar Pasang</v>
      </c>
      <c r="R600" s="93" t="str">
        <f>VLOOKUP(E600,DATABASE!C:Q,11,false)</f>
        <v>SERVICE</v>
      </c>
    </row>
    <row r="601" ht="22.5" customHeight="1">
      <c r="A601" s="49"/>
      <c r="C601" s="384">
        <v>45693.0</v>
      </c>
      <c r="D601" s="65">
        <v>4219.0</v>
      </c>
      <c r="E601" s="385" t="s">
        <v>299</v>
      </c>
      <c r="F601" s="386">
        <v>2.0</v>
      </c>
      <c r="G601" s="74">
        <v>30000.0</v>
      </c>
      <c r="H601" s="74">
        <v>0.0</v>
      </c>
      <c r="I601" s="74">
        <f t="shared" si="1"/>
        <v>60000</v>
      </c>
      <c r="J601" s="74">
        <f>IF(E601="SERVICE",I601-(I601*50%),Vlookup(E601,DATABASE!C:Q,10,false)*F601)</f>
        <v>0</v>
      </c>
      <c r="K601" s="74">
        <v>0.0</v>
      </c>
      <c r="L601" s="74">
        <v>0.0</v>
      </c>
      <c r="M601" s="74">
        <f t="shared" si="2"/>
        <v>0</v>
      </c>
      <c r="N601" s="74">
        <f t="shared" si="3"/>
        <v>60000</v>
      </c>
      <c r="O601" s="65" t="str">
        <f>VLOOKUP(E601,DATABASE!C:Q,8,false)</f>
        <v>BIAN</v>
      </c>
      <c r="P601" s="65">
        <f>VLOOKUP(E601,DATABASE!C:Q,9,False)</f>
        <v>0</v>
      </c>
      <c r="Q601" s="93" t="str">
        <f>VLOOKUP(E601,DATABASE!C:Q,4,false)</f>
        <v>Balancing</v>
      </c>
      <c r="R601" s="93" t="str">
        <f>VLOOKUP(E601,DATABASE!C:Q,11,false)</f>
        <v>COMPLEMENTARY</v>
      </c>
    </row>
    <row r="602" ht="22.5" customHeight="1">
      <c r="A602" s="49"/>
      <c r="C602" s="384">
        <v>45693.0</v>
      </c>
      <c r="D602" s="65">
        <v>4221.0</v>
      </c>
      <c r="E602" s="445" t="s">
        <v>268</v>
      </c>
      <c r="F602" s="386">
        <v>4.0</v>
      </c>
      <c r="G602" s="74">
        <v>685000.0</v>
      </c>
      <c r="H602" s="74">
        <v>0.0</v>
      </c>
      <c r="I602" s="74">
        <f t="shared" si="1"/>
        <v>2740000</v>
      </c>
      <c r="J602" s="74">
        <f>IF(E602="SERVICE",I602-(I602*50%),Vlookup(E602,DATABASE!C:Q,10,false)*F602)</f>
        <v>0</v>
      </c>
      <c r="K602" s="74">
        <v>613000.0</v>
      </c>
      <c r="L602" s="74">
        <v>613000.0</v>
      </c>
      <c r="M602" s="74">
        <f t="shared" si="2"/>
        <v>615000</v>
      </c>
      <c r="N602" s="74">
        <f t="shared" si="3"/>
        <v>280000</v>
      </c>
      <c r="O602" s="65" t="str">
        <f>VLOOKUP(E602,DATABASE!C:Q,8,false)</f>
        <v>IBU</v>
      </c>
      <c r="P602" s="65">
        <f>VLOOKUP(E602,DATABASE!C:Q,9,False)</f>
        <v>1</v>
      </c>
      <c r="Q602" s="93" t="str">
        <f>VLOOKUP(E602,DATABASE!C:Q,4,false)</f>
        <v>Dunlop</v>
      </c>
      <c r="R602" s="93" t="str">
        <f>VLOOKUP(E602,DATABASE!C:Q,11,false)</f>
        <v>Tire</v>
      </c>
    </row>
    <row r="603" ht="22.5" customHeight="1">
      <c r="A603" s="49"/>
      <c r="C603" s="384">
        <v>45693.0</v>
      </c>
      <c r="D603" s="65">
        <v>4221.0</v>
      </c>
      <c r="E603" s="445" t="s">
        <v>256</v>
      </c>
      <c r="F603" s="386">
        <v>1.0</v>
      </c>
      <c r="G603" s="74">
        <v>130000.0</v>
      </c>
      <c r="H603" s="74">
        <v>0.0</v>
      </c>
      <c r="I603" s="74">
        <f t="shared" si="1"/>
        <v>130000</v>
      </c>
      <c r="J603" s="74">
        <f>IF(E603="SERVICE",I603-(I603*50%),Vlookup(E603,DATABASE!C:Q,10,false)*F603)</f>
        <v>10000</v>
      </c>
      <c r="K603" s="74">
        <f>VLOOKUP(E603,DATABASE!C:Q,7,false)</f>
        <v>0</v>
      </c>
      <c r="L603" s="74">
        <v>0.0</v>
      </c>
      <c r="M603" s="74">
        <f t="shared" si="2"/>
        <v>0</v>
      </c>
      <c r="N603" s="74">
        <f t="shared" si="3"/>
        <v>120000</v>
      </c>
      <c r="O603" s="65" t="str">
        <f>VLOOKUP(E603,DATABASE!C:Q,8,false)</f>
        <v>IBU</v>
      </c>
      <c r="P603" s="65">
        <f>VLOOKUP(E603,DATABASE!C:Q,9,False)</f>
        <v>0</v>
      </c>
      <c r="Q603" s="93" t="str">
        <f>VLOOKUP(E603,DATABASE!C:Q,4,false)</f>
        <v>SPOORING</v>
      </c>
      <c r="R603" s="93" t="str">
        <f>VLOOKUP(E603,DATABASE!C:Q,11,false)</f>
        <v>SERVICE</v>
      </c>
    </row>
    <row r="604" ht="22.5" customHeight="1">
      <c r="A604" s="49"/>
      <c r="C604" s="384">
        <v>45693.0</v>
      </c>
      <c r="D604" s="65">
        <v>4221.0</v>
      </c>
      <c r="E604" s="445" t="s">
        <v>301</v>
      </c>
      <c r="F604" s="386">
        <v>1.0</v>
      </c>
      <c r="G604" s="74">
        <v>250000.0</v>
      </c>
      <c r="H604" s="74">
        <v>0.0</v>
      </c>
      <c r="I604" s="74">
        <f t="shared" si="1"/>
        <v>250000</v>
      </c>
      <c r="J604" s="74">
        <f>IF(E604="SERVICE",I604-(I604*50%),Vlookup(E604,DATABASE!C:Q,10,false)*F604)</f>
        <v>75000</v>
      </c>
      <c r="K604" s="74">
        <f>VLOOKUP(E604,DATABASE!C:Q,7,false)</f>
        <v>75000</v>
      </c>
      <c r="L604" s="74">
        <v>75000.0</v>
      </c>
      <c r="M604" s="74">
        <f t="shared" si="2"/>
        <v>75000</v>
      </c>
      <c r="N604" s="74">
        <f t="shared" si="3"/>
        <v>100000</v>
      </c>
      <c r="O604" s="65" t="str">
        <f>VLOOKUP(E604,DATABASE!C:Q,8,false)</f>
        <v>BIAN</v>
      </c>
      <c r="P604" s="65">
        <f>VLOOKUP(E604,DATABASE!C:Q,9,False)</f>
        <v>0</v>
      </c>
      <c r="Q604" s="93" t="str">
        <f>VLOOKUP(E604,DATABASE!C:Q,4,false)</f>
        <v>Baut Camber</v>
      </c>
      <c r="R604" s="93" t="str">
        <f>VLOOKUP(E604,DATABASE!C:Q,11,false)</f>
        <v>COMPLEMENTARY</v>
      </c>
    </row>
    <row r="605" ht="22.5" customHeight="1">
      <c r="A605" s="49"/>
      <c r="C605" s="384">
        <v>45694.0</v>
      </c>
      <c r="D605" s="65">
        <v>4222.0</v>
      </c>
      <c r="E605" s="445" t="s">
        <v>932</v>
      </c>
      <c r="F605" s="386">
        <v>1.0</v>
      </c>
      <c r="G605" s="74">
        <v>670000.0</v>
      </c>
      <c r="H605" s="74">
        <v>0.0</v>
      </c>
      <c r="I605" s="74">
        <f t="shared" si="1"/>
        <v>670000</v>
      </c>
      <c r="J605" s="74">
        <f>IF(E605="SERVICE",I605-(I605*50%),Vlookup(E605,DATABASE!C:Q,10,false)*F605)</f>
        <v>0</v>
      </c>
      <c r="K605" s="74">
        <v>575000.0</v>
      </c>
      <c r="L605" s="74">
        <v>575000.0</v>
      </c>
      <c r="M605" s="74">
        <f t="shared" si="2"/>
        <v>575000</v>
      </c>
      <c r="N605" s="74">
        <f t="shared" si="3"/>
        <v>95000</v>
      </c>
      <c r="O605" s="65" t="str">
        <f>VLOOKUP(E605,DATABASE!C:Q,8,false)</f>
        <v>IBU</v>
      </c>
      <c r="P605" s="65">
        <f>VLOOKUP(E605,DATABASE!C:Q,9,False)</f>
        <v>1</v>
      </c>
      <c r="Q605" s="93" t="str">
        <f>VLOOKUP(E605,DATABASE!C:Q,4,false)</f>
        <v>Dunlop</v>
      </c>
      <c r="R605" s="93" t="str">
        <f>VLOOKUP(E605,DATABASE!C:Q,11,false)</f>
        <v>Tire</v>
      </c>
    </row>
    <row r="606" ht="22.5" customHeight="1">
      <c r="A606" s="49"/>
      <c r="C606" s="384">
        <v>45694.0</v>
      </c>
      <c r="D606" s="65">
        <v>4223.0</v>
      </c>
      <c r="E606" s="445" t="s">
        <v>569</v>
      </c>
      <c r="F606" s="386">
        <v>1.0</v>
      </c>
      <c r="G606" s="74">
        <v>80000.0</v>
      </c>
      <c r="H606" s="74">
        <v>0.0</v>
      </c>
      <c r="I606" s="74">
        <f t="shared" si="1"/>
        <v>80000</v>
      </c>
      <c r="J606" s="74">
        <f>IF(E606="SERVICE",I606-(I606*50%),Vlookup(E606,DATABASE!C:Q,10,false)*F606)</f>
        <v>0</v>
      </c>
      <c r="K606" s="74">
        <f>VLOOKUP(E606,DATABASE!C:Q,7,false)</f>
        <v>45439.582</v>
      </c>
      <c r="L606" s="74">
        <v>45309.6</v>
      </c>
      <c r="M606" s="74">
        <f t="shared" si="2"/>
        <v>50000</v>
      </c>
      <c r="N606" s="74">
        <f t="shared" si="3"/>
        <v>30000</v>
      </c>
      <c r="O606" s="65" t="str">
        <f>VLOOKUP(E606,DATABASE!C:Q,8,false)</f>
        <v>BIAN</v>
      </c>
      <c r="P606" s="65">
        <f>VLOOKUP(E606,DATABASE!C:Q,9,False)</f>
        <v>1</v>
      </c>
      <c r="Q606" s="93" t="str">
        <f>VLOOKUP(E606,DATABASE!C:Q,4,false)</f>
        <v>BD</v>
      </c>
      <c r="R606" s="93" t="str">
        <f>VLOOKUP(E606,DATABASE!C:Q,11,false)</f>
        <v>Tire</v>
      </c>
    </row>
    <row r="607" ht="22.5" customHeight="1">
      <c r="A607" s="49"/>
      <c r="C607" s="384">
        <v>45694.0</v>
      </c>
      <c r="D607" s="65">
        <v>4224.0</v>
      </c>
      <c r="E607" s="445" t="s">
        <v>256</v>
      </c>
      <c r="F607" s="386">
        <v>1.0</v>
      </c>
      <c r="G607" s="74">
        <v>130000.0</v>
      </c>
      <c r="H607" s="74">
        <v>0.0</v>
      </c>
      <c r="I607" s="74">
        <f t="shared" si="1"/>
        <v>130000</v>
      </c>
      <c r="J607" s="74">
        <f>IF(E607="SERVICE",I607-(I607*50%),Vlookup(E607,DATABASE!C:Q,10,false)*F607)</f>
        <v>10000</v>
      </c>
      <c r="K607" s="74">
        <f>VLOOKUP(E607,DATABASE!C:Q,7,false)</f>
        <v>0</v>
      </c>
      <c r="L607" s="74">
        <v>0.0</v>
      </c>
      <c r="M607" s="74">
        <f t="shared" si="2"/>
        <v>0</v>
      </c>
      <c r="N607" s="74">
        <f t="shared" si="3"/>
        <v>120000</v>
      </c>
      <c r="O607" s="65" t="str">
        <f>VLOOKUP(E607,DATABASE!C:Q,8,false)</f>
        <v>IBU</v>
      </c>
      <c r="P607" s="65">
        <f>VLOOKUP(E607,DATABASE!C:Q,9,False)</f>
        <v>0</v>
      </c>
      <c r="Q607" s="93" t="str">
        <f>VLOOKUP(E607,DATABASE!C:Q,4,false)</f>
        <v>SPOORING</v>
      </c>
      <c r="R607" s="93" t="str">
        <f>VLOOKUP(E607,DATABASE!C:Q,11,false)</f>
        <v>SERVICE</v>
      </c>
    </row>
    <row r="608" ht="22.5" customHeight="1">
      <c r="A608" s="49"/>
      <c r="C608" s="384">
        <v>45694.0</v>
      </c>
      <c r="D608" s="65">
        <v>4224.0</v>
      </c>
      <c r="E608" s="445" t="s">
        <v>301</v>
      </c>
      <c r="F608" s="386">
        <v>1.0</v>
      </c>
      <c r="G608" s="74">
        <v>250000.0</v>
      </c>
      <c r="H608" s="74">
        <v>0.0</v>
      </c>
      <c r="I608" s="74">
        <f t="shared" si="1"/>
        <v>250000</v>
      </c>
      <c r="J608" s="74">
        <f>IF(E608="SERVICE",I608-(I608*50%),Vlookup(E608,DATABASE!C:Q,10,false)*F608)</f>
        <v>75000</v>
      </c>
      <c r="K608" s="74">
        <f>VLOOKUP(E608,DATABASE!C:Q,7,false)</f>
        <v>75000</v>
      </c>
      <c r="L608" s="74">
        <v>75000.0</v>
      </c>
      <c r="M608" s="74">
        <f t="shared" si="2"/>
        <v>75000</v>
      </c>
      <c r="N608" s="74">
        <f t="shared" si="3"/>
        <v>100000</v>
      </c>
      <c r="O608" s="65" t="str">
        <f>VLOOKUP(E608,DATABASE!C:Q,8,false)</f>
        <v>BIAN</v>
      </c>
      <c r="P608" s="65">
        <f>VLOOKUP(E608,DATABASE!C:Q,9,False)</f>
        <v>0</v>
      </c>
      <c r="Q608" s="93" t="str">
        <f>VLOOKUP(E608,DATABASE!C:Q,4,false)</f>
        <v>Baut Camber</v>
      </c>
      <c r="R608" s="93" t="str">
        <f>VLOOKUP(E608,DATABASE!C:Q,11,false)</f>
        <v>COMPLEMENTARY</v>
      </c>
    </row>
    <row r="609" ht="22.5" customHeight="1">
      <c r="A609" s="49"/>
      <c r="C609" s="384">
        <v>45694.0</v>
      </c>
      <c r="D609" s="65">
        <v>4225.0</v>
      </c>
      <c r="E609" s="445" t="s">
        <v>554</v>
      </c>
      <c r="F609" s="386">
        <v>1.0</v>
      </c>
      <c r="G609" s="74">
        <v>790000.0</v>
      </c>
      <c r="H609" s="74">
        <v>0.0</v>
      </c>
      <c r="I609" s="74">
        <f t="shared" si="1"/>
        <v>790000</v>
      </c>
      <c r="J609" s="74">
        <f>IF(E609="SERVICE",I609-(I609*50%),Vlookup(E609,DATABASE!C:Q,10,false)*F609)</f>
        <v>0</v>
      </c>
      <c r="K609" s="74">
        <f>VLOOKUP(E609,DATABASE!C:Q,7,false)</f>
        <v>710000</v>
      </c>
      <c r="L609" s="74">
        <v>680000.0</v>
      </c>
      <c r="M609" s="74">
        <f t="shared" si="2"/>
        <v>680000</v>
      </c>
      <c r="N609" s="74">
        <f t="shared" si="3"/>
        <v>110000</v>
      </c>
      <c r="O609" s="65" t="str">
        <f>VLOOKUP(E609,DATABASE!C:Q,8,false)</f>
        <v>IBU</v>
      </c>
      <c r="P609" s="65">
        <f>VLOOKUP(E609,DATABASE!C:Q,9,False)</f>
        <v>1</v>
      </c>
      <c r="Q609" s="93" t="str">
        <f>VLOOKUP(E609,DATABASE!C:Q,4,false)</f>
        <v>Bridgestone</v>
      </c>
      <c r="R609" s="93" t="str">
        <f>VLOOKUP(E609,DATABASE!C:Q,11,false)</f>
        <v>Tire</v>
      </c>
    </row>
    <row r="610" ht="22.5" customHeight="1">
      <c r="A610" s="49"/>
      <c r="C610" s="384">
        <v>45694.0</v>
      </c>
      <c r="D610" s="65">
        <v>4226.0</v>
      </c>
      <c r="E610" s="445" t="s">
        <v>286</v>
      </c>
      <c r="F610" s="386">
        <v>2.0</v>
      </c>
      <c r="G610" s="74">
        <v>550000.0</v>
      </c>
      <c r="H610" s="74">
        <v>0.0</v>
      </c>
      <c r="I610" s="74">
        <f t="shared" si="1"/>
        <v>1100000</v>
      </c>
      <c r="J610" s="74">
        <f>IF(E610="SERVICE",I610-(I610*50%),Vlookup(E610,DATABASE!C:Q,10,false)*F610)</f>
        <v>0</v>
      </c>
      <c r="K610" s="74">
        <f>VLOOKUP(E610,DATABASE!C:Q,7,false)</f>
        <v>488320</v>
      </c>
      <c r="L610" s="74">
        <v>452970.0</v>
      </c>
      <c r="M610" s="74">
        <f t="shared" si="2"/>
        <v>455000</v>
      </c>
      <c r="N610" s="74">
        <f t="shared" si="3"/>
        <v>190000</v>
      </c>
      <c r="O610" s="65" t="str">
        <f>VLOOKUP(E610,DATABASE!C:Q,8,false)</f>
        <v>BIAN</v>
      </c>
      <c r="P610" s="65">
        <f>VLOOKUP(E610,DATABASE!C:Q,9,False)</f>
        <v>1</v>
      </c>
      <c r="Q610" s="93" t="str">
        <f>VLOOKUP(E610,DATABASE!C:Q,4,false)</f>
        <v>GT</v>
      </c>
      <c r="R610" s="93" t="str">
        <f>VLOOKUP(E610,DATABASE!C:Q,11,false)</f>
        <v>Tire</v>
      </c>
    </row>
    <row r="611" ht="22.5" customHeight="1">
      <c r="A611" s="49"/>
      <c r="C611" s="384">
        <v>45694.0</v>
      </c>
      <c r="D611" s="65">
        <v>4228.0</v>
      </c>
      <c r="E611" s="445" t="s">
        <v>287</v>
      </c>
      <c r="F611" s="386">
        <v>1.0</v>
      </c>
      <c r="G611" s="74">
        <v>775000.0</v>
      </c>
      <c r="H611" s="74">
        <v>0.0</v>
      </c>
      <c r="I611" s="74">
        <f t="shared" si="1"/>
        <v>775000</v>
      </c>
      <c r="J611" s="74">
        <f>IF(E611="SERVICE",I611-(I611*50%),Vlookup(E611,DATABASE!C:Q,10,false)*F611)</f>
        <v>0</v>
      </c>
      <c r="K611" s="74">
        <f>VLOOKUP(E611,DATABASE!C:Q,7,false)</f>
        <v>711000</v>
      </c>
      <c r="L611" s="74">
        <v>690600.0</v>
      </c>
      <c r="M611" s="74">
        <f t="shared" si="2"/>
        <v>695000</v>
      </c>
      <c r="N611" s="74">
        <f t="shared" si="3"/>
        <v>80000</v>
      </c>
      <c r="O611" s="65" t="str">
        <f>VLOOKUP(E611,DATABASE!C:Q,8,false)</f>
        <v>BIAN</v>
      </c>
      <c r="P611" s="65">
        <f>VLOOKUP(E611,DATABASE!C:Q,9,False)</f>
        <v>1</v>
      </c>
      <c r="Q611" s="93" t="str">
        <f>VLOOKUP(E611,DATABASE!C:Q,4,false)</f>
        <v>GT</v>
      </c>
      <c r="R611" s="93" t="str">
        <f>VLOOKUP(E611,DATABASE!C:Q,11,false)</f>
        <v>Tire</v>
      </c>
    </row>
    <row r="612" ht="22.5" customHeight="1">
      <c r="A612" s="49"/>
      <c r="C612" s="384">
        <v>45694.0</v>
      </c>
      <c r="D612" s="65">
        <v>4228.0</v>
      </c>
      <c r="E612" s="445" t="s">
        <v>604</v>
      </c>
      <c r="F612" s="386">
        <v>1.0</v>
      </c>
      <c r="G612" s="74">
        <v>160000.0</v>
      </c>
      <c r="H612" s="74">
        <v>0.0</v>
      </c>
      <c r="I612" s="74">
        <f t="shared" si="1"/>
        <v>160000</v>
      </c>
      <c r="J612" s="74">
        <f>IF(E612="SERVICE",I612-(I612*50%),Vlookup(E612,DATABASE!C:Q,10,false)*F612)</f>
        <v>0</v>
      </c>
      <c r="K612" s="74">
        <f>VLOOKUP(E612,DATABASE!C:Q,7,false)</f>
        <v>124000</v>
      </c>
      <c r="L612" s="74">
        <v>124000.0</v>
      </c>
      <c r="M612" s="74">
        <f t="shared" si="2"/>
        <v>125000</v>
      </c>
      <c r="N612" s="74">
        <f t="shared" si="3"/>
        <v>35000</v>
      </c>
      <c r="O612" s="65" t="str">
        <f>VLOOKUP(E612,DATABASE!C:Q,8,false)</f>
        <v>BIAN</v>
      </c>
      <c r="P612" s="65">
        <f>VLOOKUP(E612,DATABASE!C:Q,9,False)</f>
        <v>1</v>
      </c>
      <c r="Q612" s="93" t="str">
        <f>VLOOKUP(E612,DATABASE!C:Q,4,false)</f>
        <v>BD</v>
      </c>
      <c r="R612" s="93" t="str">
        <f>VLOOKUP(E612,DATABASE!C:Q,11,false)</f>
        <v>Tire</v>
      </c>
    </row>
    <row r="613" ht="22.5" customHeight="1">
      <c r="A613" s="49"/>
      <c r="C613" s="384">
        <v>45694.0</v>
      </c>
      <c r="D613" s="65">
        <v>4229.0</v>
      </c>
      <c r="E613" s="445" t="s">
        <v>268</v>
      </c>
      <c r="F613" s="386">
        <v>1.0</v>
      </c>
      <c r="G613" s="74">
        <v>700000.0</v>
      </c>
      <c r="H613" s="74">
        <v>0.0</v>
      </c>
      <c r="I613" s="74">
        <f t="shared" si="1"/>
        <v>700000</v>
      </c>
      <c r="J613" s="74">
        <f>IF(E613="SERVICE",I613-(I613*50%),Vlookup(E613,DATABASE!C:Q,10,false)*F613)</f>
        <v>0</v>
      </c>
      <c r="K613" s="74">
        <v>613000.0</v>
      </c>
      <c r="L613" s="74">
        <v>613000.0</v>
      </c>
      <c r="M613" s="74">
        <f t="shared" si="2"/>
        <v>615000</v>
      </c>
      <c r="N613" s="74">
        <f t="shared" si="3"/>
        <v>85000</v>
      </c>
      <c r="O613" s="65" t="str">
        <f>VLOOKUP(E613,DATABASE!C:Q,8,false)</f>
        <v>IBU</v>
      </c>
      <c r="P613" s="65">
        <f>VLOOKUP(E613,DATABASE!C:Q,9,False)</f>
        <v>1</v>
      </c>
      <c r="Q613" s="93" t="str">
        <f>VLOOKUP(E613,DATABASE!C:Q,4,false)</f>
        <v>Dunlop</v>
      </c>
      <c r="R613" s="93" t="str">
        <f>VLOOKUP(E613,DATABASE!C:Q,11,false)</f>
        <v>Tire</v>
      </c>
    </row>
    <row r="614" ht="22.5" customHeight="1">
      <c r="A614" s="49"/>
      <c r="C614" s="384">
        <v>45694.0</v>
      </c>
      <c r="D614" s="65">
        <v>4230.0</v>
      </c>
      <c r="E614" s="445" t="s">
        <v>256</v>
      </c>
      <c r="F614" s="386">
        <v>1.0</v>
      </c>
      <c r="G614" s="74">
        <v>130000.0</v>
      </c>
      <c r="H614" s="74">
        <v>0.0</v>
      </c>
      <c r="I614" s="74">
        <f t="shared" si="1"/>
        <v>130000</v>
      </c>
      <c r="J614" s="74">
        <f>IF(E614="SERVICE",I614-(I614*50%),Vlookup(E614,DATABASE!C:Q,10,false)*F614)</f>
        <v>10000</v>
      </c>
      <c r="K614" s="74">
        <f>VLOOKUP(E614,DATABASE!C:Q,7,false)</f>
        <v>0</v>
      </c>
      <c r="L614" s="74">
        <v>0.0</v>
      </c>
      <c r="M614" s="74">
        <f t="shared" si="2"/>
        <v>0</v>
      </c>
      <c r="N614" s="74">
        <f t="shared" si="3"/>
        <v>120000</v>
      </c>
      <c r="O614" s="65" t="str">
        <f>VLOOKUP(E614,DATABASE!C:Q,8,false)</f>
        <v>IBU</v>
      </c>
      <c r="P614" s="65">
        <f>VLOOKUP(E614,DATABASE!C:Q,9,False)</f>
        <v>0</v>
      </c>
      <c r="Q614" s="93" t="str">
        <f>VLOOKUP(E614,DATABASE!C:Q,4,false)</f>
        <v>SPOORING</v>
      </c>
      <c r="R614" s="93" t="str">
        <f>VLOOKUP(E614,DATABASE!C:Q,11,false)</f>
        <v>SERVICE</v>
      </c>
    </row>
    <row r="615" ht="22.5" customHeight="1">
      <c r="A615" s="49"/>
      <c r="C615" s="384">
        <v>45694.0</v>
      </c>
      <c r="D615" s="65">
        <v>4230.0</v>
      </c>
      <c r="E615" s="385" t="s">
        <v>299</v>
      </c>
      <c r="F615" s="386">
        <v>2.0</v>
      </c>
      <c r="G615" s="74">
        <v>30000.0</v>
      </c>
      <c r="H615" s="74">
        <v>0.0</v>
      </c>
      <c r="I615" s="74">
        <f t="shared" si="1"/>
        <v>60000</v>
      </c>
      <c r="J615" s="74">
        <f>IF(E615="SERVICE",I615-(I615*50%),Vlookup(E615,DATABASE!C:Q,10,false)*F615)</f>
        <v>0</v>
      </c>
      <c r="K615" s="74">
        <v>0.0</v>
      </c>
      <c r="L615" s="74">
        <v>0.0</v>
      </c>
      <c r="M615" s="74">
        <f t="shared" si="2"/>
        <v>0</v>
      </c>
      <c r="N615" s="74">
        <f t="shared" si="3"/>
        <v>60000</v>
      </c>
      <c r="O615" s="65" t="str">
        <f>VLOOKUP(E615,DATABASE!C:Q,8,false)</f>
        <v>BIAN</v>
      </c>
      <c r="P615" s="65">
        <f>VLOOKUP(E615,DATABASE!C:Q,9,False)</f>
        <v>0</v>
      </c>
      <c r="Q615" s="93" t="str">
        <f>VLOOKUP(E615,DATABASE!C:Q,4,false)</f>
        <v>Balancing</v>
      </c>
      <c r="R615" s="93" t="str">
        <f>VLOOKUP(E615,DATABASE!C:Q,11,false)</f>
        <v>COMPLEMENTARY</v>
      </c>
    </row>
    <row r="616" ht="22.5" customHeight="1">
      <c r="A616" s="49"/>
      <c r="C616" s="384">
        <v>45694.0</v>
      </c>
      <c r="D616" s="65">
        <v>4230.0</v>
      </c>
      <c r="E616" s="445" t="s">
        <v>301</v>
      </c>
      <c r="F616" s="386">
        <v>1.0</v>
      </c>
      <c r="G616" s="74">
        <v>250000.0</v>
      </c>
      <c r="H616" s="74">
        <v>0.0</v>
      </c>
      <c r="I616" s="74">
        <f t="shared" si="1"/>
        <v>250000</v>
      </c>
      <c r="J616" s="74">
        <f>IF(E616="SERVICE",I616-(I616*50%),Vlookup(E616,DATABASE!C:Q,10,false)*F616)</f>
        <v>75000</v>
      </c>
      <c r="K616" s="74">
        <f>VLOOKUP(E616,DATABASE!C:Q,7,false)</f>
        <v>75000</v>
      </c>
      <c r="L616" s="74">
        <v>75000.0</v>
      </c>
      <c r="M616" s="74">
        <f t="shared" si="2"/>
        <v>75000</v>
      </c>
      <c r="N616" s="74">
        <f t="shared" si="3"/>
        <v>100000</v>
      </c>
      <c r="O616" s="65" t="str">
        <f>VLOOKUP(E616,DATABASE!C:Q,8,false)</f>
        <v>BIAN</v>
      </c>
      <c r="P616" s="65">
        <f>VLOOKUP(E616,DATABASE!C:Q,9,False)</f>
        <v>0</v>
      </c>
      <c r="Q616" s="93" t="str">
        <f>VLOOKUP(E616,DATABASE!C:Q,4,false)</f>
        <v>Baut Camber</v>
      </c>
      <c r="R616" s="93" t="str">
        <f>VLOOKUP(E616,DATABASE!C:Q,11,false)</f>
        <v>COMPLEMENTARY</v>
      </c>
    </row>
    <row r="617" ht="22.5" customHeight="1">
      <c r="A617" s="49"/>
      <c r="C617" s="384">
        <v>45694.0</v>
      </c>
      <c r="D617" s="65">
        <v>4231.0</v>
      </c>
      <c r="E617" s="445" t="s">
        <v>1084</v>
      </c>
      <c r="F617" s="386">
        <v>1.0</v>
      </c>
      <c r="G617" s="74">
        <v>1400000.0</v>
      </c>
      <c r="H617" s="74">
        <v>0.0</v>
      </c>
      <c r="I617" s="74">
        <f t="shared" si="1"/>
        <v>1400000</v>
      </c>
      <c r="J617" s="74">
        <f>IF(E617="SERVICE",I617-(I617*50%),Vlookup(E617,DATABASE!C:Q,10,false)*F617)</f>
        <v>0</v>
      </c>
      <c r="K617" s="74">
        <f>VLOOKUP(E617,DATABASE!C:Q,7,false)</f>
        <v>1285000</v>
      </c>
      <c r="L617" s="74">
        <v>1285000.0</v>
      </c>
      <c r="M617" s="74">
        <f t="shared" si="2"/>
        <v>1285000</v>
      </c>
      <c r="N617" s="74">
        <f t="shared" si="3"/>
        <v>115000</v>
      </c>
      <c r="O617" s="65" t="str">
        <f>VLOOKUP(E617,DATABASE!C:Q,8,false)</f>
        <v>BIAN</v>
      </c>
      <c r="P617" s="65">
        <f>VLOOKUP(E617,DATABASE!C:Q,9,False)</f>
        <v>1</v>
      </c>
      <c r="Q617" s="93" t="str">
        <f>VLOOKUP(E617,DATABASE!C:Q,4,false)</f>
        <v>GT</v>
      </c>
      <c r="R617" s="93" t="str">
        <f>VLOOKUP(E617,DATABASE!C:Q,11,false)</f>
        <v>Tire</v>
      </c>
    </row>
    <row r="618" ht="22.5" customHeight="1">
      <c r="A618" s="49"/>
      <c r="C618" s="384">
        <v>45694.0</v>
      </c>
      <c r="D618" s="65">
        <v>4233.0</v>
      </c>
      <c r="E618" s="445" t="s">
        <v>1002</v>
      </c>
      <c r="F618" s="386">
        <v>1.0</v>
      </c>
      <c r="G618" s="74">
        <v>1530000.0</v>
      </c>
      <c r="H618" s="74">
        <v>0.0</v>
      </c>
      <c r="I618" s="74">
        <f t="shared" si="1"/>
        <v>1530000</v>
      </c>
      <c r="J618" s="74">
        <f>IF(E618="SERVICE",I618-(I618*50%),Vlookup(E618,DATABASE!C:Q,10,false)*F618)</f>
        <v>0</v>
      </c>
      <c r="K618" s="74">
        <f>VLOOKUP(E618,DATABASE!C:Q,7,false)</f>
        <v>1447000</v>
      </c>
      <c r="L618" s="74">
        <v>1447000.0</v>
      </c>
      <c r="M618" s="74">
        <f t="shared" si="2"/>
        <v>1450000</v>
      </c>
      <c r="N618" s="74">
        <f t="shared" si="3"/>
        <v>80000</v>
      </c>
      <c r="O618" s="65" t="str">
        <f>VLOOKUP(E618,DATABASE!C:Q,8,false)</f>
        <v>IBU</v>
      </c>
      <c r="P618" s="65">
        <f>VLOOKUP(E618,DATABASE!C:Q,9,False)</f>
        <v>1</v>
      </c>
      <c r="Q618" s="93" t="str">
        <f>VLOOKUP(E618,DATABASE!C:Q,4,false)</f>
        <v>Dunlop</v>
      </c>
      <c r="R618" s="93" t="str">
        <f>VLOOKUP(E618,DATABASE!C:Q,11,false)</f>
        <v>Tire</v>
      </c>
    </row>
    <row r="619" ht="22.5" customHeight="1">
      <c r="A619" s="49"/>
      <c r="C619" s="384">
        <v>45694.0</v>
      </c>
      <c r="D619" s="65">
        <v>4233.0</v>
      </c>
      <c r="E619" s="445" t="s">
        <v>744</v>
      </c>
      <c r="F619" s="386">
        <v>1.0</v>
      </c>
      <c r="G619" s="74">
        <v>230000.0</v>
      </c>
      <c r="H619" s="74">
        <v>0.0</v>
      </c>
      <c r="I619" s="74">
        <f t="shared" si="1"/>
        <v>230000</v>
      </c>
      <c r="J619" s="74">
        <f>IF(E619="SERVICE",I619-(I619*50%),Vlookup(E619,DATABASE!C:Q,10,false)*F619)</f>
        <v>0</v>
      </c>
      <c r="K619" s="74">
        <f>VLOOKUP(E619,DATABASE!C:Q,7,false)</f>
        <v>182200</v>
      </c>
      <c r="L619" s="74">
        <v>199920.0</v>
      </c>
      <c r="M619" s="74">
        <f t="shared" si="2"/>
        <v>200000</v>
      </c>
      <c r="N619" s="74">
        <f t="shared" si="3"/>
        <v>30000</v>
      </c>
      <c r="O619" s="65" t="str">
        <f>VLOOKUP(E619,DATABASE!C:Q,8,false)</f>
        <v>BIAN</v>
      </c>
      <c r="P619" s="65">
        <f>VLOOKUP(E619,DATABASE!C:Q,9,False)</f>
        <v>1</v>
      </c>
      <c r="Q619" s="93" t="str">
        <f>VLOOKUP(E619,DATABASE!C:Q,4,false)</f>
        <v>BD</v>
      </c>
      <c r="R619" s="93" t="str">
        <f>VLOOKUP(E619,DATABASE!C:Q,11,false)</f>
        <v>Tire</v>
      </c>
    </row>
    <row r="620" ht="22.5" customHeight="1">
      <c r="A620" s="49"/>
      <c r="C620" s="384">
        <v>45694.0</v>
      </c>
      <c r="D620" s="65">
        <v>4233.0</v>
      </c>
      <c r="E620" s="445" t="s">
        <v>821</v>
      </c>
      <c r="F620" s="386">
        <v>1.0</v>
      </c>
      <c r="G620" s="74">
        <v>75000.0</v>
      </c>
      <c r="H620" s="74">
        <v>0.0</v>
      </c>
      <c r="I620" s="74">
        <f t="shared" si="1"/>
        <v>75000</v>
      </c>
      <c r="J620" s="74">
        <f>IF(E620="SERVICE",I620-(I620*50%),Vlookup(E620,DATABASE!C:Q,10,false)*F620)</f>
        <v>0</v>
      </c>
      <c r="K620" s="74">
        <f>VLOOKUP(E620,DATABASE!C:Q,7,false)</f>
        <v>43500</v>
      </c>
      <c r="L620" s="74">
        <v>43520.0</v>
      </c>
      <c r="M620" s="74">
        <f t="shared" si="2"/>
        <v>45000</v>
      </c>
      <c r="N620" s="74">
        <f t="shared" si="3"/>
        <v>30000</v>
      </c>
      <c r="O620" s="65" t="str">
        <f>VLOOKUP(E620,DATABASE!C:Q,8,false)</f>
        <v>BIAN</v>
      </c>
      <c r="P620" s="65">
        <f>VLOOKUP(E620,DATABASE!C:Q,9,False)</f>
        <v>1</v>
      </c>
      <c r="Q620" s="93" t="str">
        <f>VLOOKUP(E620,DATABASE!C:Q,4,false)</f>
        <v>Flap</v>
      </c>
      <c r="R620" s="93" t="str">
        <f>VLOOKUP(E620,DATABASE!C:Q,11,false)</f>
        <v>Tire</v>
      </c>
    </row>
    <row r="621" ht="22.5" customHeight="1">
      <c r="A621" s="49"/>
      <c r="C621" s="384">
        <v>45694.0</v>
      </c>
      <c r="D621" s="65">
        <v>4234.0</v>
      </c>
      <c r="E621" s="445" t="s">
        <v>265</v>
      </c>
      <c r="F621" s="386">
        <v>2.0</v>
      </c>
      <c r="G621" s="74">
        <v>670000.0</v>
      </c>
      <c r="H621" s="74">
        <v>0.0</v>
      </c>
      <c r="I621" s="74">
        <f t="shared" si="1"/>
        <v>1340000</v>
      </c>
      <c r="J621" s="74">
        <f>IF(E621="SERVICE",I621-(I621*50%),Vlookup(E621,DATABASE!C:Q,10,false)*F621)</f>
        <v>0</v>
      </c>
      <c r="K621" s="74">
        <v>590000.0</v>
      </c>
      <c r="L621" s="74">
        <v>590000.0</v>
      </c>
      <c r="M621" s="74">
        <f t="shared" si="2"/>
        <v>590000</v>
      </c>
      <c r="N621" s="74">
        <f t="shared" si="3"/>
        <v>160000</v>
      </c>
      <c r="O621" s="65" t="str">
        <f>VLOOKUP(E621,DATABASE!C:Q,8,false)</f>
        <v>IBU</v>
      </c>
      <c r="P621" s="65">
        <f>VLOOKUP(E621,DATABASE!C:Q,9,False)</f>
        <v>1</v>
      </c>
      <c r="Q621" s="93" t="str">
        <f>VLOOKUP(E621,DATABASE!C:Q,4,false)</f>
        <v>Dunlop</v>
      </c>
      <c r="R621" s="93" t="str">
        <f>VLOOKUP(E621,DATABASE!C:Q,11,false)</f>
        <v>Tire</v>
      </c>
    </row>
    <row r="622" ht="22.5" customHeight="1">
      <c r="A622" s="49"/>
      <c r="C622" s="384">
        <v>45694.0</v>
      </c>
      <c r="D622" s="65">
        <v>4235.0</v>
      </c>
      <c r="E622" s="445" t="s">
        <v>932</v>
      </c>
      <c r="F622" s="386">
        <v>2.0</v>
      </c>
      <c r="G622" s="74">
        <v>670000.0</v>
      </c>
      <c r="H622" s="74">
        <v>0.0</v>
      </c>
      <c r="I622" s="74">
        <f t="shared" si="1"/>
        <v>1340000</v>
      </c>
      <c r="J622" s="74">
        <f>IF(E622="SERVICE",I622-(I622*50%),Vlookup(E622,DATABASE!C:Q,10,false)*F622)</f>
        <v>0</v>
      </c>
      <c r="K622" s="74">
        <v>575000.0</v>
      </c>
      <c r="L622" s="74">
        <v>575000.0</v>
      </c>
      <c r="M622" s="74">
        <f t="shared" si="2"/>
        <v>575000</v>
      </c>
      <c r="N622" s="74">
        <f t="shared" si="3"/>
        <v>190000</v>
      </c>
      <c r="O622" s="65" t="str">
        <f>VLOOKUP(E622,DATABASE!C:Q,8,false)</f>
        <v>IBU</v>
      </c>
      <c r="P622" s="65">
        <f>VLOOKUP(E622,DATABASE!C:Q,9,False)</f>
        <v>1</v>
      </c>
      <c r="Q622" s="93" t="str">
        <f>VLOOKUP(E622,DATABASE!C:Q,4,false)</f>
        <v>Dunlop</v>
      </c>
      <c r="R622" s="93" t="str">
        <f>VLOOKUP(E622,DATABASE!C:Q,11,false)</f>
        <v>Tire</v>
      </c>
    </row>
    <row r="623" ht="22.5" customHeight="1">
      <c r="A623" s="49"/>
      <c r="C623" s="384">
        <v>45694.0</v>
      </c>
      <c r="D623" s="65">
        <v>4235.0</v>
      </c>
      <c r="E623" s="385" t="s">
        <v>299</v>
      </c>
      <c r="F623" s="386">
        <v>2.0</v>
      </c>
      <c r="G623" s="74">
        <v>30000.0</v>
      </c>
      <c r="H623" s="74">
        <v>0.0</v>
      </c>
      <c r="I623" s="74">
        <f t="shared" si="1"/>
        <v>60000</v>
      </c>
      <c r="J623" s="74">
        <f>IF(E623="SERVICE",I623-(I623*50%),Vlookup(E623,DATABASE!C:Q,10,false)*F623)</f>
        <v>0</v>
      </c>
      <c r="K623" s="74">
        <v>0.0</v>
      </c>
      <c r="L623" s="74">
        <v>0.0</v>
      </c>
      <c r="M623" s="74">
        <f t="shared" si="2"/>
        <v>0</v>
      </c>
      <c r="N623" s="74">
        <f t="shared" si="3"/>
        <v>60000</v>
      </c>
      <c r="O623" s="65" t="str">
        <f>VLOOKUP(E623,DATABASE!C:Q,8,false)</f>
        <v>BIAN</v>
      </c>
      <c r="P623" s="65">
        <f>VLOOKUP(E623,DATABASE!C:Q,9,False)</f>
        <v>0</v>
      </c>
      <c r="Q623" s="93" t="str">
        <f>VLOOKUP(E623,DATABASE!C:Q,4,false)</f>
        <v>Balancing</v>
      </c>
      <c r="R623" s="93" t="str">
        <f>VLOOKUP(E623,DATABASE!C:Q,11,false)</f>
        <v>COMPLEMENTARY</v>
      </c>
    </row>
    <row r="624" ht="22.5" customHeight="1">
      <c r="A624" s="49"/>
      <c r="C624" s="384">
        <v>45694.0</v>
      </c>
      <c r="D624" s="65">
        <v>4235.0</v>
      </c>
      <c r="E624" s="445" t="s">
        <v>256</v>
      </c>
      <c r="F624" s="386">
        <v>1.0</v>
      </c>
      <c r="G624" s="74">
        <v>130000.0</v>
      </c>
      <c r="H624" s="74">
        <v>0.0</v>
      </c>
      <c r="I624" s="74">
        <f t="shared" si="1"/>
        <v>130000</v>
      </c>
      <c r="J624" s="74">
        <f>IF(E624="SERVICE",I624-(I624*50%),Vlookup(E624,DATABASE!C:Q,10,false)*F624)</f>
        <v>10000</v>
      </c>
      <c r="K624" s="74">
        <f>VLOOKUP(E624,DATABASE!C:Q,7,false)</f>
        <v>0</v>
      </c>
      <c r="L624" s="74">
        <v>0.0</v>
      </c>
      <c r="M624" s="74">
        <f t="shared" si="2"/>
        <v>0</v>
      </c>
      <c r="N624" s="74">
        <f t="shared" si="3"/>
        <v>120000</v>
      </c>
      <c r="O624" s="65" t="str">
        <f>VLOOKUP(E624,DATABASE!C:Q,8,false)</f>
        <v>IBU</v>
      </c>
      <c r="P624" s="65">
        <f>VLOOKUP(E624,DATABASE!C:Q,9,False)</f>
        <v>0</v>
      </c>
      <c r="Q624" s="93" t="str">
        <f>VLOOKUP(E624,DATABASE!C:Q,4,false)</f>
        <v>SPOORING</v>
      </c>
      <c r="R624" s="93" t="str">
        <f>VLOOKUP(E624,DATABASE!C:Q,11,false)</f>
        <v>SERVICE</v>
      </c>
    </row>
    <row r="625" ht="22.5" customHeight="1">
      <c r="A625" s="49"/>
      <c r="C625" s="384">
        <v>45694.0</v>
      </c>
      <c r="D625" s="65">
        <v>4235.0</v>
      </c>
      <c r="E625" s="445" t="s">
        <v>301</v>
      </c>
      <c r="F625" s="386">
        <v>1.0</v>
      </c>
      <c r="G625" s="74">
        <v>250000.0</v>
      </c>
      <c r="H625" s="74">
        <v>0.0</v>
      </c>
      <c r="I625" s="74">
        <f t="shared" si="1"/>
        <v>250000</v>
      </c>
      <c r="J625" s="74">
        <f>IF(E625="SERVICE",I625-(I625*50%),Vlookup(E625,DATABASE!C:Q,10,false)*F625)</f>
        <v>75000</v>
      </c>
      <c r="K625" s="74">
        <f>VLOOKUP(E625,DATABASE!C:Q,7,false)</f>
        <v>75000</v>
      </c>
      <c r="L625" s="74">
        <v>75000.0</v>
      </c>
      <c r="M625" s="74">
        <f t="shared" si="2"/>
        <v>75000</v>
      </c>
      <c r="N625" s="74">
        <f t="shared" si="3"/>
        <v>100000</v>
      </c>
      <c r="O625" s="65" t="str">
        <f>VLOOKUP(E625,DATABASE!C:Q,8,false)</f>
        <v>BIAN</v>
      </c>
      <c r="P625" s="65">
        <f>VLOOKUP(E625,DATABASE!C:Q,9,False)</f>
        <v>0</v>
      </c>
      <c r="Q625" s="93" t="str">
        <f>VLOOKUP(E625,DATABASE!C:Q,4,false)</f>
        <v>Baut Camber</v>
      </c>
      <c r="R625" s="93" t="str">
        <f>VLOOKUP(E625,DATABASE!C:Q,11,false)</f>
        <v>COMPLEMENTARY</v>
      </c>
    </row>
    <row r="626" ht="22.5" customHeight="1">
      <c r="A626" s="49"/>
      <c r="C626" s="384">
        <v>45694.0</v>
      </c>
      <c r="D626" s="65">
        <v>4236.0</v>
      </c>
      <c r="E626" s="445" t="s">
        <v>256</v>
      </c>
      <c r="F626" s="386">
        <v>1.0</v>
      </c>
      <c r="G626" s="74">
        <v>130000.0</v>
      </c>
      <c r="H626" s="74">
        <v>0.0</v>
      </c>
      <c r="I626" s="74">
        <f t="shared" si="1"/>
        <v>130000</v>
      </c>
      <c r="J626" s="74">
        <f>IF(E626="SERVICE",I626-(I626*50%),Vlookup(E626,DATABASE!C:Q,10,false)*F626)</f>
        <v>10000</v>
      </c>
      <c r="K626" s="74">
        <f>VLOOKUP(E626,DATABASE!C:Q,7,false)</f>
        <v>0</v>
      </c>
      <c r="L626" s="74">
        <v>0.0</v>
      </c>
      <c r="M626" s="74">
        <f t="shared" si="2"/>
        <v>0</v>
      </c>
      <c r="N626" s="74">
        <f t="shared" si="3"/>
        <v>120000</v>
      </c>
      <c r="O626" s="65" t="str">
        <f>VLOOKUP(E626,DATABASE!C:Q,8,false)</f>
        <v>IBU</v>
      </c>
      <c r="P626" s="65">
        <f>VLOOKUP(E626,DATABASE!C:Q,9,False)</f>
        <v>0</v>
      </c>
      <c r="Q626" s="93" t="str">
        <f>VLOOKUP(E626,DATABASE!C:Q,4,false)</f>
        <v>SPOORING</v>
      </c>
      <c r="R626" s="93" t="str">
        <f>VLOOKUP(E626,DATABASE!C:Q,11,false)</f>
        <v>SERVICE</v>
      </c>
    </row>
    <row r="627" ht="22.5" customHeight="1">
      <c r="A627" s="49"/>
      <c r="C627" s="384">
        <v>45695.0</v>
      </c>
      <c r="D627" s="65">
        <v>4237.0</v>
      </c>
      <c r="E627" s="445" t="s">
        <v>268</v>
      </c>
      <c r="F627" s="386">
        <v>4.0</v>
      </c>
      <c r="G627" s="74">
        <v>685000.0</v>
      </c>
      <c r="H627" s="74">
        <v>0.0</v>
      </c>
      <c r="I627" s="74">
        <f t="shared" si="1"/>
        <v>2740000</v>
      </c>
      <c r="J627" s="74">
        <f>IF(E627="SERVICE",I627-(I627*50%),Vlookup(E627,DATABASE!C:Q,10,false)*F627)</f>
        <v>0</v>
      </c>
      <c r="K627" s="74">
        <v>613000.0</v>
      </c>
      <c r="L627" s="74">
        <v>613000.0</v>
      </c>
      <c r="M627" s="74">
        <f t="shared" si="2"/>
        <v>615000</v>
      </c>
      <c r="N627" s="74">
        <f t="shared" si="3"/>
        <v>280000</v>
      </c>
      <c r="O627" s="65" t="str">
        <f>VLOOKUP(E627,DATABASE!C:Q,8,false)</f>
        <v>IBU</v>
      </c>
      <c r="P627" s="65">
        <f>VLOOKUP(E627,DATABASE!C:Q,9,False)</f>
        <v>1</v>
      </c>
      <c r="Q627" s="93" t="str">
        <f>VLOOKUP(E627,DATABASE!C:Q,4,false)</f>
        <v>Dunlop</v>
      </c>
      <c r="R627" s="93" t="str">
        <f>VLOOKUP(E627,DATABASE!C:Q,11,false)</f>
        <v>Tire</v>
      </c>
    </row>
    <row r="628" ht="22.5" customHeight="1">
      <c r="A628" s="49"/>
      <c r="C628" s="384">
        <v>45695.0</v>
      </c>
      <c r="D628" s="65">
        <v>4238.0</v>
      </c>
      <c r="E628" s="445" t="s">
        <v>1009</v>
      </c>
      <c r="F628" s="386">
        <v>1.0</v>
      </c>
      <c r="G628" s="74">
        <v>685000.0</v>
      </c>
      <c r="H628" s="74">
        <v>0.0</v>
      </c>
      <c r="I628" s="74">
        <f t="shared" si="1"/>
        <v>685000</v>
      </c>
      <c r="J628" s="74">
        <f>IF(E628="SERVICE",I628-(I628*50%),Vlookup(E628,DATABASE!C:Q,10,false)*F628)</f>
        <v>0</v>
      </c>
      <c r="K628" s="74">
        <f>VLOOKUP(E628,DATABASE!C:Q,7,false)</f>
        <v>609800</v>
      </c>
      <c r="L628" s="74">
        <v>592200.0</v>
      </c>
      <c r="M628" s="74">
        <f t="shared" si="2"/>
        <v>595000</v>
      </c>
      <c r="N628" s="74">
        <f t="shared" si="3"/>
        <v>90000</v>
      </c>
      <c r="O628" s="65" t="str">
        <f>VLOOKUP(E628,DATABASE!C:Q,8,false)</f>
        <v>BIAN</v>
      </c>
      <c r="P628" s="65">
        <f>VLOOKUP(E628,DATABASE!C:Q,9,False)</f>
        <v>1</v>
      </c>
      <c r="Q628" s="93" t="str">
        <f>VLOOKUP(E628,DATABASE!C:Q,4,false)</f>
        <v>GT</v>
      </c>
      <c r="R628" s="93" t="str">
        <f>VLOOKUP(E628,DATABASE!C:Q,11,false)</f>
        <v>Tire</v>
      </c>
    </row>
    <row r="629" ht="22.5" customHeight="1">
      <c r="A629" s="49"/>
      <c r="C629" s="384">
        <v>45695.0</v>
      </c>
      <c r="D629" s="65">
        <v>4239.0</v>
      </c>
      <c r="E629" s="445" t="s">
        <v>268</v>
      </c>
      <c r="F629" s="386">
        <v>1.0</v>
      </c>
      <c r="G629" s="74">
        <v>700000.0</v>
      </c>
      <c r="H629" s="74">
        <v>0.0</v>
      </c>
      <c r="I629" s="74">
        <f t="shared" si="1"/>
        <v>700000</v>
      </c>
      <c r="J629" s="74">
        <f>IF(E629="SERVICE",I629-(I629*50%),Vlookup(E629,DATABASE!C:Q,10,false)*F629)</f>
        <v>0</v>
      </c>
      <c r="K629" s="74">
        <v>613000.0</v>
      </c>
      <c r="L629" s="74">
        <v>613000.0</v>
      </c>
      <c r="M629" s="74">
        <f t="shared" si="2"/>
        <v>615000</v>
      </c>
      <c r="N629" s="74">
        <f t="shared" si="3"/>
        <v>85000</v>
      </c>
      <c r="O629" s="65" t="str">
        <f>VLOOKUP(E629,DATABASE!C:Q,8,false)</f>
        <v>IBU</v>
      </c>
      <c r="P629" s="65">
        <f>VLOOKUP(E629,DATABASE!C:Q,9,False)</f>
        <v>1</v>
      </c>
      <c r="Q629" s="93" t="str">
        <f>VLOOKUP(E629,DATABASE!C:Q,4,false)</f>
        <v>Dunlop</v>
      </c>
      <c r="R629" s="93" t="str">
        <f>VLOOKUP(E629,DATABASE!C:Q,11,false)</f>
        <v>Tire</v>
      </c>
    </row>
    <row r="630" ht="22.5" customHeight="1">
      <c r="A630" s="49"/>
      <c r="C630" s="384">
        <v>45695.0</v>
      </c>
      <c r="D630" s="65">
        <v>4240.0</v>
      </c>
      <c r="E630" s="445" t="s">
        <v>275</v>
      </c>
      <c r="F630" s="386">
        <v>2.0</v>
      </c>
      <c r="G630" s="74">
        <v>830000.0</v>
      </c>
      <c r="H630" s="74">
        <v>0.0</v>
      </c>
      <c r="I630" s="74">
        <f t="shared" si="1"/>
        <v>1660000</v>
      </c>
      <c r="J630" s="74">
        <f>IF(E630="SERVICE",I630-(I630*50%),Vlookup(E630,DATABASE!C:Q,10,false)*F630)</f>
        <v>0</v>
      </c>
      <c r="K630" s="74">
        <v>735000.0</v>
      </c>
      <c r="L630" s="74">
        <v>735000.0</v>
      </c>
      <c r="M630" s="74">
        <f t="shared" si="2"/>
        <v>735000</v>
      </c>
      <c r="N630" s="74">
        <f t="shared" si="3"/>
        <v>190000</v>
      </c>
      <c r="O630" s="65" t="str">
        <f>VLOOKUP(E630,DATABASE!C:Q,8,false)</f>
        <v>IBU</v>
      </c>
      <c r="P630" s="65">
        <f>VLOOKUP(E630,DATABASE!C:Q,9,False)</f>
        <v>1</v>
      </c>
      <c r="Q630" s="93" t="str">
        <f>VLOOKUP(E630,DATABASE!C:Q,4,false)</f>
        <v>Dunlop</v>
      </c>
      <c r="R630" s="93" t="str">
        <f>VLOOKUP(E630,DATABASE!C:Q,11,false)</f>
        <v>Tire</v>
      </c>
    </row>
    <row r="631" ht="22.5" customHeight="1">
      <c r="A631" s="49"/>
      <c r="C631" s="384">
        <v>45695.0</v>
      </c>
      <c r="D631" s="65">
        <v>4241.0</v>
      </c>
      <c r="E631" s="445" t="s">
        <v>932</v>
      </c>
      <c r="F631" s="386">
        <v>4.0</v>
      </c>
      <c r="G631" s="74">
        <v>660000.0</v>
      </c>
      <c r="H631" s="74">
        <v>0.0</v>
      </c>
      <c r="I631" s="74">
        <f t="shared" si="1"/>
        <v>2640000</v>
      </c>
      <c r="J631" s="74">
        <f>IF(E631="SERVICE",I631-(I631*50%),Vlookup(E631,DATABASE!C:Q,10,false)*F631)</f>
        <v>0</v>
      </c>
      <c r="K631" s="74">
        <v>575000.0</v>
      </c>
      <c r="L631" s="74">
        <v>575000.0</v>
      </c>
      <c r="M631" s="74">
        <f t="shared" si="2"/>
        <v>575000</v>
      </c>
      <c r="N631" s="74">
        <f t="shared" si="3"/>
        <v>340000</v>
      </c>
      <c r="O631" s="65" t="str">
        <f>VLOOKUP(E631,DATABASE!C:Q,8,false)</f>
        <v>IBU</v>
      </c>
      <c r="P631" s="65">
        <f>VLOOKUP(E631,DATABASE!C:Q,9,False)</f>
        <v>1</v>
      </c>
      <c r="Q631" s="93" t="str">
        <f>VLOOKUP(E631,DATABASE!C:Q,4,false)</f>
        <v>Dunlop</v>
      </c>
      <c r="R631" s="93" t="str">
        <f>VLOOKUP(E631,DATABASE!C:Q,11,false)</f>
        <v>Tire</v>
      </c>
    </row>
    <row r="632" ht="22.5" customHeight="1">
      <c r="A632" s="49"/>
      <c r="C632" s="384">
        <v>45695.0</v>
      </c>
      <c r="D632" s="65">
        <v>4242.0</v>
      </c>
      <c r="E632" s="445" t="s">
        <v>1439</v>
      </c>
      <c r="F632" s="386">
        <v>2.0</v>
      </c>
      <c r="G632" s="74">
        <v>625000.0</v>
      </c>
      <c r="H632" s="74">
        <v>0.0</v>
      </c>
      <c r="I632" s="74">
        <f t="shared" si="1"/>
        <v>1250000</v>
      </c>
      <c r="J632" s="74">
        <f>IF(E632="SERVICE",I632-(I632*50%),Vlookup(E632,DATABASE!C:Q,10,false)*F632)</f>
        <v>0</v>
      </c>
      <c r="K632" s="74">
        <f>VLOOKUP(E632,DATABASE!C:Q,7,false)</f>
        <v>556800</v>
      </c>
      <c r="L632" s="74">
        <v>540800.0</v>
      </c>
      <c r="M632" s="74">
        <f t="shared" si="2"/>
        <v>545000</v>
      </c>
      <c r="N632" s="74">
        <f t="shared" si="3"/>
        <v>160000</v>
      </c>
      <c r="O632" s="65" t="str">
        <f>VLOOKUP(E632,DATABASE!C:Q,8,false)</f>
        <v>BIAN</v>
      </c>
      <c r="P632" s="65">
        <f>VLOOKUP(E632,DATABASE!C:Q,9,False)</f>
        <v>1</v>
      </c>
      <c r="Q632" s="93" t="str">
        <f>VLOOKUP(E632,DATABASE!C:Q,4,false)</f>
        <v>GT</v>
      </c>
      <c r="R632" s="93" t="str">
        <f>VLOOKUP(E632,DATABASE!C:Q,11,false)</f>
        <v>Tire</v>
      </c>
    </row>
    <row r="633" ht="22.5" customHeight="1">
      <c r="A633" s="49"/>
      <c r="C633" s="384">
        <v>45695.0</v>
      </c>
      <c r="D633" s="65">
        <v>4243.0</v>
      </c>
      <c r="E633" s="445" t="s">
        <v>256</v>
      </c>
      <c r="F633" s="386">
        <v>1.0</v>
      </c>
      <c r="G633" s="74">
        <v>130000.0</v>
      </c>
      <c r="H633" s="74">
        <v>0.0</v>
      </c>
      <c r="I633" s="74">
        <f t="shared" si="1"/>
        <v>130000</v>
      </c>
      <c r="J633" s="74">
        <f>IF(E633="SERVICE",I633-(I633*50%),Vlookup(E633,DATABASE!C:Q,10,false)*F633)</f>
        <v>10000</v>
      </c>
      <c r="K633" s="74">
        <f>VLOOKUP(E633,DATABASE!C:Q,7,false)</f>
        <v>0</v>
      </c>
      <c r="L633" s="74">
        <v>0.0</v>
      </c>
      <c r="M633" s="74">
        <f t="shared" si="2"/>
        <v>0</v>
      </c>
      <c r="N633" s="74">
        <f t="shared" si="3"/>
        <v>120000</v>
      </c>
      <c r="O633" s="65" t="str">
        <f>VLOOKUP(E633,DATABASE!C:Q,8,false)</f>
        <v>IBU</v>
      </c>
      <c r="P633" s="65">
        <f>VLOOKUP(E633,DATABASE!C:Q,9,False)</f>
        <v>0</v>
      </c>
      <c r="Q633" s="93" t="str">
        <f>VLOOKUP(E633,DATABASE!C:Q,4,false)</f>
        <v>SPOORING</v>
      </c>
      <c r="R633" s="93" t="str">
        <f>VLOOKUP(E633,DATABASE!C:Q,11,false)</f>
        <v>SERVICE</v>
      </c>
    </row>
    <row r="634" ht="22.5" customHeight="1">
      <c r="A634" s="49"/>
      <c r="C634" s="384">
        <v>45695.0</v>
      </c>
      <c r="D634" s="65">
        <v>4244.0</v>
      </c>
      <c r="E634" s="445" t="s">
        <v>261</v>
      </c>
      <c r="F634" s="386">
        <v>1.0</v>
      </c>
      <c r="G634" s="74">
        <v>635000.0</v>
      </c>
      <c r="H634" s="74">
        <v>0.0</v>
      </c>
      <c r="I634" s="74">
        <f t="shared" si="1"/>
        <v>635000</v>
      </c>
      <c r="J634" s="74">
        <f>IF(E634="SERVICE",I634-(I634*50%),Vlookup(E634,DATABASE!C:Q,10,false)*F634)</f>
        <v>0</v>
      </c>
      <c r="K634" s="74">
        <f>VLOOKUP(E634,DATABASE!C:Q,7,false)</f>
        <v>415000</v>
      </c>
      <c r="L634" s="74">
        <v>415000.0</v>
      </c>
      <c r="M634" s="74">
        <f t="shared" si="2"/>
        <v>415000</v>
      </c>
      <c r="N634" s="74">
        <f t="shared" si="3"/>
        <v>220000</v>
      </c>
      <c r="O634" s="65" t="str">
        <f>VLOOKUP(E634,DATABASE!C:Q,8,false)</f>
        <v>IBU</v>
      </c>
      <c r="P634" s="65">
        <f>VLOOKUP(E634,DATABASE!C:Q,9,False)</f>
        <v>1</v>
      </c>
      <c r="Q634" s="93" t="str">
        <f>VLOOKUP(E634,DATABASE!C:Q,4,false)</f>
        <v>Dunlop</v>
      </c>
      <c r="R634" s="93" t="str">
        <f>VLOOKUP(E634,DATABASE!C:Q,11,false)</f>
        <v>Tire</v>
      </c>
    </row>
    <row r="635" ht="22.5" customHeight="1">
      <c r="A635" s="49"/>
      <c r="C635" s="384">
        <v>45695.0</v>
      </c>
      <c r="D635" s="65">
        <v>4244.0</v>
      </c>
      <c r="E635" s="445" t="s">
        <v>531</v>
      </c>
      <c r="F635" s="386">
        <v>1.0</v>
      </c>
      <c r="G635" s="74">
        <v>70000.0</v>
      </c>
      <c r="H635" s="74">
        <v>0.0</v>
      </c>
      <c r="I635" s="74">
        <f t="shared" si="1"/>
        <v>70000</v>
      </c>
      <c r="J635" s="74">
        <f>IF(E635="SERVICE",I635-(I635*50%),Vlookup(E635,DATABASE!C:Q,10,false)*F635)</f>
        <v>0</v>
      </c>
      <c r="K635" s="74">
        <f>VLOOKUP(E635,DATABASE!C:Q,7,false)</f>
        <v>47000</v>
      </c>
      <c r="L635" s="74">
        <v>47000.0</v>
      </c>
      <c r="M635" s="74">
        <f t="shared" si="2"/>
        <v>50000</v>
      </c>
      <c r="N635" s="74">
        <f t="shared" si="3"/>
        <v>20000</v>
      </c>
      <c r="O635" s="65" t="str">
        <f>VLOOKUP(E635,DATABASE!C:Q,8,false)</f>
        <v>BIAN</v>
      </c>
      <c r="P635" s="65">
        <f>VLOOKUP(E635,DATABASE!C:Q,9,False)</f>
        <v>1</v>
      </c>
      <c r="Q635" s="93" t="str">
        <f>VLOOKUP(E635,DATABASE!C:Q,4,false)</f>
        <v>BD</v>
      </c>
      <c r="R635" s="93" t="str">
        <f>VLOOKUP(E635,DATABASE!C:Q,11,false)</f>
        <v>Tire</v>
      </c>
    </row>
    <row r="636" ht="22.5" customHeight="1">
      <c r="A636" s="49"/>
      <c r="C636" s="384">
        <v>45695.0</v>
      </c>
      <c r="D636" s="65">
        <v>4245.0</v>
      </c>
      <c r="E636" s="445" t="s">
        <v>932</v>
      </c>
      <c r="F636" s="386">
        <v>1.0</v>
      </c>
      <c r="G636" s="74">
        <v>660000.0</v>
      </c>
      <c r="H636" s="74">
        <v>0.0</v>
      </c>
      <c r="I636" s="74">
        <f t="shared" si="1"/>
        <v>660000</v>
      </c>
      <c r="J636" s="74">
        <f>IF(E636="SERVICE",I636-(I636*50%),Vlookup(E636,DATABASE!C:Q,10,false)*F636)</f>
        <v>0</v>
      </c>
      <c r="K636" s="74">
        <v>575000.0</v>
      </c>
      <c r="L636" s="74">
        <v>575000.0</v>
      </c>
      <c r="M636" s="74">
        <f t="shared" si="2"/>
        <v>575000</v>
      </c>
      <c r="N636" s="74">
        <f t="shared" si="3"/>
        <v>85000</v>
      </c>
      <c r="O636" s="65" t="str">
        <f>VLOOKUP(E636,DATABASE!C:Q,8,false)</f>
        <v>IBU</v>
      </c>
      <c r="P636" s="65">
        <f>VLOOKUP(E636,DATABASE!C:Q,9,False)</f>
        <v>1</v>
      </c>
      <c r="Q636" s="93" t="str">
        <f>VLOOKUP(E636,DATABASE!C:Q,4,false)</f>
        <v>Dunlop</v>
      </c>
      <c r="R636" s="93" t="str">
        <f>VLOOKUP(E636,DATABASE!C:Q,11,false)</f>
        <v>Tire</v>
      </c>
    </row>
    <row r="637" ht="22.5" customHeight="1">
      <c r="A637" s="49"/>
      <c r="C637" s="384">
        <v>45695.0</v>
      </c>
      <c r="D637" s="65">
        <v>4246.0</v>
      </c>
      <c r="E637" s="445" t="s">
        <v>2135</v>
      </c>
      <c r="F637" s="386">
        <v>4.0</v>
      </c>
      <c r="G637" s="74">
        <v>12500.0</v>
      </c>
      <c r="H637" s="74">
        <v>0.0</v>
      </c>
      <c r="I637" s="74">
        <f t="shared" si="1"/>
        <v>50000</v>
      </c>
      <c r="J637" s="74">
        <f>IF(E637="SERVICE",I637-(I637*50%),Vlookup(E637,DATABASE!C:Q,10,false)*F637)</f>
        <v>0</v>
      </c>
      <c r="K637" s="74">
        <f>VLOOKUP(E637,DATABASE!C:Q,7,false)</f>
        <v>0</v>
      </c>
      <c r="L637" s="74">
        <v>0.0</v>
      </c>
      <c r="M637" s="74">
        <f t="shared" si="2"/>
        <v>0</v>
      </c>
      <c r="N637" s="74">
        <f t="shared" si="3"/>
        <v>50000</v>
      </c>
      <c r="O637" s="65" t="str">
        <f>VLOOKUP(E637,DATABASE!C:Q,8,false)</f>
        <v>IBU</v>
      </c>
      <c r="P637" s="65">
        <f>VLOOKUP(E637,DATABASE!C:Q,9,False)</f>
        <v>0</v>
      </c>
      <c r="Q637" s="93" t="str">
        <f>VLOOKUP(E637,DATABASE!C:Q,4,false)</f>
        <v>NITROGEN</v>
      </c>
      <c r="R637" s="93" t="str">
        <f>VLOOKUP(E637,DATABASE!C:Q,11,false)</f>
        <v>COMPLEMENTARY</v>
      </c>
    </row>
    <row r="638" ht="22.5" customHeight="1">
      <c r="A638" s="49"/>
      <c r="C638" s="384">
        <v>45695.0</v>
      </c>
      <c r="D638" s="65">
        <v>4247.0</v>
      </c>
      <c r="E638" s="445" t="s">
        <v>647</v>
      </c>
      <c r="F638" s="386">
        <v>4.0</v>
      </c>
      <c r="G638" s="74">
        <v>1460000.0</v>
      </c>
      <c r="H638" s="74">
        <v>0.0</v>
      </c>
      <c r="I638" s="74">
        <f t="shared" si="1"/>
        <v>5840000</v>
      </c>
      <c r="J638" s="74">
        <f>IF(E638="SERVICE",I638-(I638*50%),Vlookup(E638,DATABASE!C:Q,10,false)*F638)</f>
        <v>0</v>
      </c>
      <c r="K638" s="74">
        <f>VLOOKUP(E638,DATABASE!C:Q,7,false)</f>
        <v>1420000</v>
      </c>
      <c r="L638" s="74">
        <v>1420000.0</v>
      </c>
      <c r="M638" s="74">
        <f t="shared" si="2"/>
        <v>1420000</v>
      </c>
      <c r="N638" s="74">
        <f t="shared" si="3"/>
        <v>160000</v>
      </c>
      <c r="O638" s="65" t="str">
        <f>VLOOKUP(E638,DATABASE!C:Q,8,false)</f>
        <v>BIAN</v>
      </c>
      <c r="P638" s="65">
        <f>VLOOKUP(E638,DATABASE!C:Q,9,False)</f>
        <v>1</v>
      </c>
      <c r="Q638" s="93" t="str">
        <f>VLOOKUP(E638,DATABASE!C:Q,4,false)</f>
        <v>G. YEAR</v>
      </c>
      <c r="R638" s="93" t="str">
        <f>VLOOKUP(E638,DATABASE!C:Q,11,false)</f>
        <v>Tire</v>
      </c>
    </row>
    <row r="639" ht="22.5" customHeight="1">
      <c r="A639" s="49"/>
      <c r="C639" s="384">
        <v>45695.0</v>
      </c>
      <c r="D639" s="65">
        <v>4247.0</v>
      </c>
      <c r="E639" s="445" t="s">
        <v>744</v>
      </c>
      <c r="F639" s="386">
        <v>4.0</v>
      </c>
      <c r="G639" s="74">
        <v>230000.0</v>
      </c>
      <c r="H639" s="74">
        <v>0.0</v>
      </c>
      <c r="I639" s="74">
        <f t="shared" si="1"/>
        <v>920000</v>
      </c>
      <c r="J639" s="74">
        <f>IF(E639="SERVICE",I639-(I639*50%),Vlookup(E639,DATABASE!C:Q,10,false)*F639)</f>
        <v>0</v>
      </c>
      <c r="K639" s="74">
        <f>VLOOKUP(E639,DATABASE!C:Q,7,false)</f>
        <v>182200</v>
      </c>
      <c r="L639" s="74">
        <v>199920.0</v>
      </c>
      <c r="M639" s="74">
        <f t="shared" si="2"/>
        <v>200000</v>
      </c>
      <c r="N639" s="74">
        <f t="shared" si="3"/>
        <v>120000</v>
      </c>
      <c r="O639" s="65" t="str">
        <f>VLOOKUP(E639,DATABASE!C:Q,8,false)</f>
        <v>BIAN</v>
      </c>
      <c r="P639" s="65">
        <f>VLOOKUP(E639,DATABASE!C:Q,9,False)</f>
        <v>1</v>
      </c>
      <c r="Q639" s="93" t="str">
        <f>VLOOKUP(E639,DATABASE!C:Q,4,false)</f>
        <v>BD</v>
      </c>
      <c r="R639" s="93" t="str">
        <f>VLOOKUP(E639,DATABASE!C:Q,11,false)</f>
        <v>Tire</v>
      </c>
    </row>
    <row r="640" ht="22.5" customHeight="1">
      <c r="A640" s="49"/>
      <c r="C640" s="384">
        <v>45695.0</v>
      </c>
      <c r="D640" s="65">
        <v>4247.0</v>
      </c>
      <c r="E640" s="445" t="s">
        <v>821</v>
      </c>
      <c r="F640" s="386">
        <v>4.0</v>
      </c>
      <c r="G640" s="74">
        <f>75000-12500</f>
        <v>62500</v>
      </c>
      <c r="H640" s="74">
        <v>0.0</v>
      </c>
      <c r="I640" s="74">
        <f t="shared" si="1"/>
        <v>250000</v>
      </c>
      <c r="J640" s="74">
        <f>IF(E640="SERVICE",I640-(I640*50%),Vlookup(E640,DATABASE!C:Q,10,false)*F640)</f>
        <v>0</v>
      </c>
      <c r="K640" s="74">
        <f>VLOOKUP(E640,DATABASE!C:Q,7,false)</f>
        <v>43500</v>
      </c>
      <c r="L640" s="74">
        <v>43520.0</v>
      </c>
      <c r="M640" s="74">
        <f t="shared" si="2"/>
        <v>45000</v>
      </c>
      <c r="N640" s="74">
        <f t="shared" si="3"/>
        <v>70000</v>
      </c>
      <c r="O640" s="65" t="str">
        <f>VLOOKUP(E640,DATABASE!C:Q,8,false)</f>
        <v>BIAN</v>
      </c>
      <c r="P640" s="65">
        <f>VLOOKUP(E640,DATABASE!C:Q,9,False)</f>
        <v>1</v>
      </c>
      <c r="Q640" s="93" t="str">
        <f>VLOOKUP(E640,DATABASE!C:Q,4,false)</f>
        <v>Flap</v>
      </c>
      <c r="R640" s="93" t="str">
        <f>VLOOKUP(E640,DATABASE!C:Q,11,false)</f>
        <v>Tire</v>
      </c>
    </row>
    <row r="641" ht="22.5" customHeight="1">
      <c r="A641" s="49"/>
      <c r="C641" s="384">
        <v>45695.0</v>
      </c>
      <c r="D641" s="65">
        <v>4248.0</v>
      </c>
      <c r="E641" s="445" t="s">
        <v>271</v>
      </c>
      <c r="F641" s="386">
        <v>2.0</v>
      </c>
      <c r="G641" s="74">
        <v>635000.0</v>
      </c>
      <c r="H641" s="74">
        <v>0.0</v>
      </c>
      <c r="I641" s="74">
        <f t="shared" si="1"/>
        <v>1270000</v>
      </c>
      <c r="J641" s="74">
        <f>IF(E641="SERVICE",I641-(I641*50%),Vlookup(E641,DATABASE!C:Q,10,false)*F641)</f>
        <v>0</v>
      </c>
      <c r="K641" s="74">
        <f>VLOOKUP(E641,DATABASE!C:Q,7,false)</f>
        <v>570000</v>
      </c>
      <c r="L641" s="74">
        <v>539000.0</v>
      </c>
      <c r="M641" s="74">
        <f t="shared" si="2"/>
        <v>540000</v>
      </c>
      <c r="N641" s="74">
        <f t="shared" si="3"/>
        <v>190000</v>
      </c>
      <c r="O641" s="65" t="str">
        <f>VLOOKUP(E641,DATABASE!C:Q,8,false)</f>
        <v>IBU</v>
      </c>
      <c r="P641" s="65">
        <f>VLOOKUP(E641,DATABASE!C:Q,9,False)</f>
        <v>1</v>
      </c>
      <c r="Q641" s="93" t="str">
        <f>VLOOKUP(E641,DATABASE!C:Q,4,false)</f>
        <v>Dunlop</v>
      </c>
      <c r="R641" s="93" t="str">
        <f>VLOOKUP(E641,DATABASE!C:Q,11,false)</f>
        <v>Tire</v>
      </c>
    </row>
    <row r="642" ht="22.5" customHeight="1">
      <c r="A642" s="49"/>
      <c r="C642" s="384">
        <v>45695.0</v>
      </c>
      <c r="D642" s="65">
        <v>4249.0</v>
      </c>
      <c r="E642" s="445" t="s">
        <v>256</v>
      </c>
      <c r="F642" s="386">
        <v>1.0</v>
      </c>
      <c r="G642" s="74">
        <v>130000.0</v>
      </c>
      <c r="H642" s="74">
        <v>0.0</v>
      </c>
      <c r="I642" s="74">
        <f t="shared" si="1"/>
        <v>130000</v>
      </c>
      <c r="J642" s="74">
        <f>IF(E642="SERVICE",I642-(I642*50%),Vlookup(E642,DATABASE!C:Q,10,false)*F642)</f>
        <v>10000</v>
      </c>
      <c r="K642" s="74">
        <f>VLOOKUP(E642,DATABASE!C:Q,7,false)</f>
        <v>0</v>
      </c>
      <c r="L642" s="74">
        <v>0.0</v>
      </c>
      <c r="M642" s="74">
        <f t="shared" si="2"/>
        <v>0</v>
      </c>
      <c r="N642" s="74">
        <f t="shared" si="3"/>
        <v>120000</v>
      </c>
      <c r="O642" s="65" t="str">
        <f>VLOOKUP(E642,DATABASE!C:Q,8,false)</f>
        <v>IBU</v>
      </c>
      <c r="P642" s="65">
        <f>VLOOKUP(E642,DATABASE!C:Q,9,False)</f>
        <v>0</v>
      </c>
      <c r="Q642" s="93" t="str">
        <f>VLOOKUP(E642,DATABASE!C:Q,4,false)</f>
        <v>SPOORING</v>
      </c>
      <c r="R642" s="93" t="str">
        <f>VLOOKUP(E642,DATABASE!C:Q,11,false)</f>
        <v>SERVICE</v>
      </c>
    </row>
    <row r="643" ht="22.5" customHeight="1">
      <c r="A643" s="49"/>
      <c r="C643" s="384">
        <v>45695.0</v>
      </c>
      <c r="D643" s="65">
        <v>4249.0</v>
      </c>
      <c r="E643" s="385" t="s">
        <v>299</v>
      </c>
      <c r="F643" s="386">
        <v>2.0</v>
      </c>
      <c r="G643" s="74">
        <v>30000.0</v>
      </c>
      <c r="H643" s="74">
        <v>0.0</v>
      </c>
      <c r="I643" s="74">
        <f t="shared" si="1"/>
        <v>60000</v>
      </c>
      <c r="J643" s="74">
        <f>IF(E643="SERVICE",I643-(I643*50%),Vlookup(E643,DATABASE!C:Q,10,false)*F643)</f>
        <v>0</v>
      </c>
      <c r="K643" s="74">
        <v>0.0</v>
      </c>
      <c r="L643" s="74">
        <v>0.0</v>
      </c>
      <c r="M643" s="74">
        <f t="shared" si="2"/>
        <v>0</v>
      </c>
      <c r="N643" s="74">
        <f t="shared" si="3"/>
        <v>60000</v>
      </c>
      <c r="O643" s="65" t="str">
        <f>VLOOKUP(E643,DATABASE!C:Q,8,false)</f>
        <v>BIAN</v>
      </c>
      <c r="P643" s="65">
        <f>VLOOKUP(E643,DATABASE!C:Q,9,False)</f>
        <v>0</v>
      </c>
      <c r="Q643" s="93" t="str">
        <f>VLOOKUP(E643,DATABASE!C:Q,4,false)</f>
        <v>Balancing</v>
      </c>
      <c r="R643" s="93" t="str">
        <f>VLOOKUP(E643,DATABASE!C:Q,11,false)</f>
        <v>COMPLEMENTARY</v>
      </c>
    </row>
    <row r="644" ht="22.5" customHeight="1">
      <c r="A644" s="49"/>
      <c r="C644" s="384">
        <v>45695.0</v>
      </c>
      <c r="D644" s="65">
        <v>4250.0</v>
      </c>
      <c r="E644" s="445" t="s">
        <v>265</v>
      </c>
      <c r="F644" s="386">
        <v>2.0</v>
      </c>
      <c r="G644" s="74">
        <v>670000.0</v>
      </c>
      <c r="H644" s="74">
        <v>0.0</v>
      </c>
      <c r="I644" s="74">
        <f t="shared" si="1"/>
        <v>1340000</v>
      </c>
      <c r="J644" s="74">
        <f>IF(E644="SERVICE",I644-(I644*50%),Vlookup(E644,DATABASE!C:Q,10,false)*F644)</f>
        <v>0</v>
      </c>
      <c r="K644" s="74">
        <v>590000.0</v>
      </c>
      <c r="L644" s="74">
        <v>590000.0</v>
      </c>
      <c r="M644" s="74">
        <f t="shared" si="2"/>
        <v>590000</v>
      </c>
      <c r="N644" s="74">
        <f t="shared" si="3"/>
        <v>160000</v>
      </c>
      <c r="O644" s="65" t="str">
        <f>VLOOKUP(E644,DATABASE!C:Q,8,false)</f>
        <v>IBU</v>
      </c>
      <c r="P644" s="65">
        <f>VLOOKUP(E644,DATABASE!C:Q,9,False)</f>
        <v>1</v>
      </c>
      <c r="Q644" s="93" t="str">
        <f>VLOOKUP(E644,DATABASE!C:Q,4,false)</f>
        <v>Dunlop</v>
      </c>
      <c r="R644" s="93" t="str">
        <f>VLOOKUP(E644,DATABASE!C:Q,11,false)</f>
        <v>Tire</v>
      </c>
    </row>
    <row r="645" ht="22.5" customHeight="1">
      <c r="A645" s="49"/>
      <c r="C645" s="384">
        <v>45695.0</v>
      </c>
      <c r="D645" s="65">
        <v>4253.0</v>
      </c>
      <c r="E645" s="445" t="s">
        <v>940</v>
      </c>
      <c r="F645" s="386">
        <v>2.0</v>
      </c>
      <c r="G645" s="74">
        <v>800000.0</v>
      </c>
      <c r="H645" s="74">
        <v>0.0</v>
      </c>
      <c r="I645" s="74">
        <f t="shared" si="1"/>
        <v>1600000</v>
      </c>
      <c r="J645" s="74">
        <f>IF(E645="SERVICE",I645-(I645*50%),Vlookup(E645,DATABASE!C:Q,10,false)*F645)</f>
        <v>0</v>
      </c>
      <c r="K645" s="74">
        <f>VLOOKUP(E645,DATABASE!C:Q,7,false)</f>
        <v>716500</v>
      </c>
      <c r="L645" s="74">
        <v>709000.0</v>
      </c>
      <c r="M645" s="74">
        <f t="shared" si="2"/>
        <v>710000</v>
      </c>
      <c r="N645" s="74">
        <f t="shared" si="3"/>
        <v>180000</v>
      </c>
      <c r="O645" s="65" t="str">
        <f>VLOOKUP(E645,DATABASE!C:Q,8,false)</f>
        <v>IBU</v>
      </c>
      <c r="P645" s="65">
        <f>VLOOKUP(E645,DATABASE!C:Q,9,False)</f>
        <v>1</v>
      </c>
      <c r="Q645" s="93" t="str">
        <f>VLOOKUP(E645,DATABASE!C:Q,4,false)</f>
        <v>Dunlop</v>
      </c>
      <c r="R645" s="93" t="str">
        <f>VLOOKUP(E645,DATABASE!C:Q,11,false)</f>
        <v>Tire</v>
      </c>
    </row>
    <row r="646" ht="22.5" customHeight="1">
      <c r="A646" s="49"/>
      <c r="C646" s="384">
        <v>45695.0</v>
      </c>
      <c r="D646" s="65">
        <v>4254.0</v>
      </c>
      <c r="E646" s="445" t="s">
        <v>268</v>
      </c>
      <c r="F646" s="386">
        <v>1.0</v>
      </c>
      <c r="G646" s="74">
        <v>700000.0</v>
      </c>
      <c r="H646" s="74">
        <v>0.0</v>
      </c>
      <c r="I646" s="74">
        <f t="shared" si="1"/>
        <v>700000</v>
      </c>
      <c r="J646" s="74">
        <f>IF(E646="SERVICE",I646-(I646*50%),Vlookup(E646,DATABASE!C:Q,10,false)*F646)</f>
        <v>0</v>
      </c>
      <c r="K646" s="74">
        <v>613000.0</v>
      </c>
      <c r="L646" s="74">
        <v>613000.0</v>
      </c>
      <c r="M646" s="74">
        <f t="shared" si="2"/>
        <v>615000</v>
      </c>
      <c r="N646" s="74">
        <f t="shared" si="3"/>
        <v>85000</v>
      </c>
      <c r="O646" s="65" t="str">
        <f>VLOOKUP(E646,DATABASE!C:Q,8,false)</f>
        <v>IBU</v>
      </c>
      <c r="P646" s="65">
        <f>VLOOKUP(E646,DATABASE!C:Q,9,False)</f>
        <v>1</v>
      </c>
      <c r="Q646" s="93" t="str">
        <f>VLOOKUP(E646,DATABASE!C:Q,4,false)</f>
        <v>Dunlop</v>
      </c>
      <c r="R646" s="93" t="str">
        <f>VLOOKUP(E646,DATABASE!C:Q,11,false)</f>
        <v>Tire</v>
      </c>
    </row>
    <row r="647" ht="22.5" customHeight="1">
      <c r="A647" s="49"/>
      <c r="C647" s="384">
        <v>45695.0</v>
      </c>
      <c r="D647" s="65">
        <v>4255.0</v>
      </c>
      <c r="E647" s="445" t="s">
        <v>777</v>
      </c>
      <c r="F647" s="386">
        <v>2.0</v>
      </c>
      <c r="G647" s="74">
        <v>585000.0</v>
      </c>
      <c r="H647" s="74">
        <v>0.0</v>
      </c>
      <c r="I647" s="74">
        <f t="shared" si="1"/>
        <v>1170000</v>
      </c>
      <c r="J647" s="74">
        <f>IF(E647="SERVICE",I647-(I647*50%),Vlookup(E647,DATABASE!C:Q,10,false)*F647)</f>
        <v>0</v>
      </c>
      <c r="K647" s="74">
        <f>VLOOKUP(E647,DATABASE!C:Q,7,false)</f>
        <v>540000</v>
      </c>
      <c r="L647" s="74">
        <v>507000.0</v>
      </c>
      <c r="M647" s="74">
        <f t="shared" si="2"/>
        <v>510000</v>
      </c>
      <c r="N647" s="74">
        <f t="shared" si="3"/>
        <v>150000</v>
      </c>
      <c r="O647" s="65" t="str">
        <f>VLOOKUP(E647,DATABASE!C:Q,8,false)</f>
        <v>BIAN</v>
      </c>
      <c r="P647" s="65">
        <f>VLOOKUP(E647,DATABASE!C:Q,9,False)</f>
        <v>1</v>
      </c>
      <c r="Q647" s="93" t="str">
        <f>VLOOKUP(E647,DATABASE!C:Q,4,false)</f>
        <v>GT</v>
      </c>
      <c r="R647" s="93" t="str">
        <f>VLOOKUP(E647,DATABASE!C:Q,11,false)</f>
        <v>Tire</v>
      </c>
    </row>
    <row r="648" ht="22.5" customHeight="1">
      <c r="A648" s="49"/>
      <c r="C648" s="384">
        <v>45695.0</v>
      </c>
      <c r="D648" s="65">
        <v>4256.0</v>
      </c>
      <c r="E648" s="445" t="s">
        <v>256</v>
      </c>
      <c r="F648" s="386">
        <v>1.0</v>
      </c>
      <c r="G648" s="74">
        <v>130000.0</v>
      </c>
      <c r="H648" s="74">
        <v>0.0</v>
      </c>
      <c r="I648" s="74">
        <f t="shared" si="1"/>
        <v>130000</v>
      </c>
      <c r="J648" s="74">
        <f>IF(E648="SERVICE",I648-(I648*50%),Vlookup(E648,DATABASE!C:Q,10,false)*F648)</f>
        <v>10000</v>
      </c>
      <c r="K648" s="74">
        <f>VLOOKUP(E648,DATABASE!C:Q,7,false)</f>
        <v>0</v>
      </c>
      <c r="L648" s="74">
        <v>0.0</v>
      </c>
      <c r="M648" s="74">
        <f t="shared" si="2"/>
        <v>0</v>
      </c>
      <c r="N648" s="74">
        <f t="shared" si="3"/>
        <v>120000</v>
      </c>
      <c r="O648" s="65" t="str">
        <f>VLOOKUP(E648,DATABASE!C:Q,8,false)</f>
        <v>IBU</v>
      </c>
      <c r="P648" s="65">
        <f>VLOOKUP(E648,DATABASE!C:Q,9,False)</f>
        <v>0</v>
      </c>
      <c r="Q648" s="93" t="str">
        <f>VLOOKUP(E648,DATABASE!C:Q,4,false)</f>
        <v>SPOORING</v>
      </c>
      <c r="R648" s="93" t="str">
        <f>VLOOKUP(E648,DATABASE!C:Q,11,false)</f>
        <v>SERVICE</v>
      </c>
    </row>
    <row r="649" ht="22.5" customHeight="1">
      <c r="A649" s="49"/>
      <c r="C649" s="384">
        <v>45695.0</v>
      </c>
      <c r="D649" s="65">
        <v>4256.0</v>
      </c>
      <c r="E649" s="385" t="s">
        <v>299</v>
      </c>
      <c r="F649" s="386">
        <v>2.0</v>
      </c>
      <c r="G649" s="74">
        <v>30000.0</v>
      </c>
      <c r="H649" s="74">
        <v>0.0</v>
      </c>
      <c r="I649" s="74">
        <f t="shared" si="1"/>
        <v>60000</v>
      </c>
      <c r="J649" s="74">
        <f>IF(E649="SERVICE",I649-(I649*50%),Vlookup(E649,DATABASE!C:Q,10,false)*F649)</f>
        <v>0</v>
      </c>
      <c r="K649" s="74">
        <v>0.0</v>
      </c>
      <c r="L649" s="74">
        <v>0.0</v>
      </c>
      <c r="M649" s="74">
        <f t="shared" si="2"/>
        <v>0</v>
      </c>
      <c r="N649" s="74">
        <f t="shared" si="3"/>
        <v>60000</v>
      </c>
      <c r="O649" s="65" t="str">
        <f>VLOOKUP(E649,DATABASE!C:Q,8,false)</f>
        <v>BIAN</v>
      </c>
      <c r="P649" s="65">
        <f>VLOOKUP(E649,DATABASE!C:Q,9,False)</f>
        <v>0</v>
      </c>
      <c r="Q649" s="93" t="str">
        <f>VLOOKUP(E649,DATABASE!C:Q,4,false)</f>
        <v>Balancing</v>
      </c>
      <c r="R649" s="93" t="str">
        <f>VLOOKUP(E649,DATABASE!C:Q,11,false)</f>
        <v>COMPLEMENTARY</v>
      </c>
    </row>
    <row r="650" ht="22.5" customHeight="1">
      <c r="A650" s="49"/>
      <c r="C650" s="384">
        <v>45695.0</v>
      </c>
      <c r="D650" s="65">
        <v>4256.0</v>
      </c>
      <c r="E650" s="445" t="s">
        <v>301</v>
      </c>
      <c r="F650" s="386">
        <v>1.0</v>
      </c>
      <c r="G650" s="74">
        <v>250000.0</v>
      </c>
      <c r="H650" s="74">
        <v>0.0</v>
      </c>
      <c r="I650" s="74">
        <f t="shared" si="1"/>
        <v>250000</v>
      </c>
      <c r="J650" s="74">
        <f>IF(E650="SERVICE",I650-(I650*50%),Vlookup(E650,DATABASE!C:Q,10,false)*F650)</f>
        <v>75000</v>
      </c>
      <c r="K650" s="74">
        <f>VLOOKUP(E650,DATABASE!C:Q,7,false)</f>
        <v>75000</v>
      </c>
      <c r="L650" s="74">
        <v>75000.0</v>
      </c>
      <c r="M650" s="74">
        <f t="shared" si="2"/>
        <v>75000</v>
      </c>
      <c r="N650" s="74">
        <f t="shared" si="3"/>
        <v>100000</v>
      </c>
      <c r="O650" s="65" t="str">
        <f>VLOOKUP(E650,DATABASE!C:Q,8,false)</f>
        <v>BIAN</v>
      </c>
      <c r="P650" s="65">
        <f>VLOOKUP(E650,DATABASE!C:Q,9,False)</f>
        <v>0</v>
      </c>
      <c r="Q650" s="93" t="str">
        <f>VLOOKUP(E650,DATABASE!C:Q,4,false)</f>
        <v>Baut Camber</v>
      </c>
      <c r="R650" s="93" t="str">
        <f>VLOOKUP(E650,DATABASE!C:Q,11,false)</f>
        <v>COMPLEMENTARY</v>
      </c>
    </row>
    <row r="651" ht="22.5" customHeight="1">
      <c r="A651" s="49"/>
      <c r="C651" s="384">
        <v>45695.0</v>
      </c>
      <c r="D651" s="65">
        <v>4256.0</v>
      </c>
      <c r="E651" s="445" t="s">
        <v>251</v>
      </c>
      <c r="F651" s="386">
        <v>1.0</v>
      </c>
      <c r="G651" s="74">
        <v>90000.0</v>
      </c>
      <c r="H651" s="74">
        <v>0.0</v>
      </c>
      <c r="I651" s="74">
        <f t="shared" si="1"/>
        <v>90000</v>
      </c>
      <c r="J651" s="74">
        <f>IF(E651="SERVICE",I651-(I651*50%),Vlookup(E651,DATABASE!C:Q,10,false)*F651)</f>
        <v>45000</v>
      </c>
      <c r="K651" s="74">
        <f>VLOOKUP(E651,DATABASE!C:Q,7,false)</f>
        <v>0</v>
      </c>
      <c r="L651" s="74">
        <v>0.0</v>
      </c>
      <c r="M651" s="74">
        <f t="shared" si="2"/>
        <v>0</v>
      </c>
      <c r="N651" s="74">
        <f t="shared" si="3"/>
        <v>45000</v>
      </c>
      <c r="O651" s="65" t="str">
        <f>VLOOKUP(E651,DATABASE!C:Q,8,false)</f>
        <v>IBU</v>
      </c>
      <c r="P651" s="65">
        <f>VLOOKUP(E651,DATABASE!C:Q,9,False)</f>
        <v>0</v>
      </c>
      <c r="Q651" s="93" t="str">
        <f>VLOOKUP(E651,DATABASE!C:Q,4,false)</f>
        <v>SERVICE</v>
      </c>
      <c r="R651" s="93" t="str">
        <f>VLOOKUP(E651,DATABASE!C:Q,11,false)</f>
        <v>SERVICE</v>
      </c>
    </row>
    <row r="652" ht="22.5" customHeight="1">
      <c r="A652" s="49"/>
      <c r="C652" s="384">
        <v>45695.0</v>
      </c>
      <c r="D652" s="65">
        <v>4257.0</v>
      </c>
      <c r="E652" s="445" t="s">
        <v>294</v>
      </c>
      <c r="F652" s="386">
        <v>2.0</v>
      </c>
      <c r="G652" s="74">
        <v>560000.0</v>
      </c>
      <c r="H652" s="74">
        <v>0.0</v>
      </c>
      <c r="I652" s="74">
        <f t="shared" si="1"/>
        <v>1120000</v>
      </c>
      <c r="J652" s="74">
        <f>IF(E652="SERVICE",I652-(I652*50%),Vlookup(E652,DATABASE!C:Q,10,false)*F652)</f>
        <v>0</v>
      </c>
      <c r="K652" s="74">
        <f>VLOOKUP(E652,DATABASE!C:Q,7,false)</f>
        <v>505000</v>
      </c>
      <c r="L652" s="74">
        <v>490000.0</v>
      </c>
      <c r="M652" s="74">
        <f t="shared" si="2"/>
        <v>490000</v>
      </c>
      <c r="N652" s="74">
        <f t="shared" si="3"/>
        <v>140000</v>
      </c>
      <c r="O652" s="65" t="str">
        <f>VLOOKUP(E652,DATABASE!C:Q,8,false)</f>
        <v>BIAN</v>
      </c>
      <c r="P652" s="65">
        <f>VLOOKUP(E652,DATABASE!C:Q,9,False)</f>
        <v>1</v>
      </c>
      <c r="Q652" s="93" t="str">
        <f>VLOOKUP(E652,DATABASE!C:Q,4,false)</f>
        <v>GT</v>
      </c>
      <c r="R652" s="93" t="str">
        <f>VLOOKUP(E652,DATABASE!C:Q,11,false)</f>
        <v>Tire</v>
      </c>
    </row>
    <row r="653" ht="22.5" customHeight="1">
      <c r="A653" s="49"/>
      <c r="C653" s="384">
        <v>45696.0</v>
      </c>
      <c r="D653" s="65">
        <v>4258.0</v>
      </c>
      <c r="E653" s="445" t="s">
        <v>268</v>
      </c>
      <c r="F653" s="386">
        <v>2.0</v>
      </c>
      <c r="G653" s="74">
        <v>690000.0</v>
      </c>
      <c r="H653" s="74">
        <v>0.0</v>
      </c>
      <c r="I653" s="74">
        <f t="shared" si="1"/>
        <v>1380000</v>
      </c>
      <c r="J653" s="74">
        <f>IF(E653="SERVICE",I653-(I653*50%),Vlookup(E653,DATABASE!C:Q,10,false)*F653)</f>
        <v>0</v>
      </c>
      <c r="K653" s="74">
        <v>613000.0</v>
      </c>
      <c r="L653" s="74">
        <v>613000.0</v>
      </c>
      <c r="M653" s="74">
        <f t="shared" si="2"/>
        <v>615000</v>
      </c>
      <c r="N653" s="74">
        <f t="shared" si="3"/>
        <v>150000</v>
      </c>
      <c r="O653" s="65" t="str">
        <f>VLOOKUP(E653,DATABASE!C:Q,8,false)</f>
        <v>IBU</v>
      </c>
      <c r="P653" s="65">
        <f>VLOOKUP(E653,DATABASE!C:Q,9,False)</f>
        <v>1</v>
      </c>
      <c r="Q653" s="93" t="str">
        <f>VLOOKUP(E653,DATABASE!C:Q,4,false)</f>
        <v>Dunlop</v>
      </c>
      <c r="R653" s="93" t="str">
        <f>VLOOKUP(E653,DATABASE!C:Q,11,false)</f>
        <v>Tire</v>
      </c>
    </row>
    <row r="654" ht="22.5" customHeight="1">
      <c r="A654" s="49"/>
      <c r="C654" s="384">
        <v>45696.0</v>
      </c>
      <c r="D654" s="65">
        <v>4259.0</v>
      </c>
      <c r="E654" s="445" t="s">
        <v>791</v>
      </c>
      <c r="F654" s="386">
        <v>1.0</v>
      </c>
      <c r="G654" s="74">
        <v>1280000.0</v>
      </c>
      <c r="H654" s="74">
        <v>0.0</v>
      </c>
      <c r="I654" s="74">
        <f t="shared" si="1"/>
        <v>1280000</v>
      </c>
      <c r="J654" s="74">
        <f>IF(E654="SERVICE",I654-(I654*50%),Vlookup(E654,DATABASE!C:Q,10,false)*F654)</f>
        <v>0</v>
      </c>
      <c r="K654" s="74">
        <f>VLOOKUP(E654,DATABASE!C:Q,7,false)</f>
        <v>1210000</v>
      </c>
      <c r="L654" s="74">
        <v>1180000.0</v>
      </c>
      <c r="M654" s="74">
        <f t="shared" si="2"/>
        <v>1180000</v>
      </c>
      <c r="N654" s="74">
        <f t="shared" si="3"/>
        <v>100000</v>
      </c>
      <c r="O654" s="65" t="str">
        <f>VLOOKUP(E654,DATABASE!C:Q,8,false)</f>
        <v>BIAN</v>
      </c>
      <c r="P654" s="65">
        <f>VLOOKUP(E654,DATABASE!C:Q,9,False)</f>
        <v>1</v>
      </c>
      <c r="Q654" s="93" t="str">
        <f>VLOOKUP(E654,DATABASE!C:Q,4,false)</f>
        <v>GT</v>
      </c>
      <c r="R654" s="93" t="str">
        <f>VLOOKUP(E654,DATABASE!C:Q,11,false)</f>
        <v>Tire</v>
      </c>
    </row>
    <row r="655" ht="22.5" customHeight="1">
      <c r="A655" s="49"/>
      <c r="C655" s="384">
        <v>45696.0</v>
      </c>
      <c r="D655" s="65">
        <v>4259.0</v>
      </c>
      <c r="E655" s="445" t="s">
        <v>255</v>
      </c>
      <c r="F655" s="386">
        <v>1.0</v>
      </c>
      <c r="G655" s="74">
        <v>200000.0</v>
      </c>
      <c r="H655" s="74">
        <v>0.0</v>
      </c>
      <c r="I655" s="74">
        <f t="shared" si="1"/>
        <v>200000</v>
      </c>
      <c r="J655" s="74">
        <f>IF(E655="SERVICE",I655-(I655*50%),Vlookup(E655,DATABASE!C:Q,10,false)*F655)</f>
        <v>0</v>
      </c>
      <c r="K655" s="74">
        <f>VLOOKUP(E655,DATABASE!C:Q,7,false)</f>
        <v>161840</v>
      </c>
      <c r="L655" s="74">
        <v>161840.0</v>
      </c>
      <c r="M655" s="74">
        <f t="shared" si="2"/>
        <v>165000</v>
      </c>
      <c r="N655" s="74">
        <f t="shared" si="3"/>
        <v>35000</v>
      </c>
      <c r="O655" s="65" t="str">
        <f>VLOOKUP(E655,DATABASE!C:Q,8,false)</f>
        <v>BIAN</v>
      </c>
      <c r="P655" s="65">
        <f>VLOOKUP(E655,DATABASE!C:Q,9,False)</f>
        <v>1</v>
      </c>
      <c r="Q655" s="93" t="str">
        <f>VLOOKUP(E655,DATABASE!C:Q,4,false)</f>
        <v>BD</v>
      </c>
      <c r="R655" s="93" t="str">
        <f>VLOOKUP(E655,DATABASE!C:Q,11,false)</f>
        <v>Tire</v>
      </c>
    </row>
    <row r="656" ht="22.5" customHeight="1">
      <c r="A656" s="49"/>
      <c r="C656" s="384">
        <v>45696.0</v>
      </c>
      <c r="D656" s="65">
        <v>4259.0</v>
      </c>
      <c r="E656" s="445" t="s">
        <v>814</v>
      </c>
      <c r="F656" s="386">
        <v>1.0</v>
      </c>
      <c r="G656" s="74">
        <v>60000.0</v>
      </c>
      <c r="H656" s="74">
        <v>0.0</v>
      </c>
      <c r="I656" s="74">
        <f t="shared" si="1"/>
        <v>60000</v>
      </c>
      <c r="J656" s="74">
        <f>IF(E656="SERVICE",I656-(I656*50%),Vlookup(E656,DATABASE!C:Q,10,false)*F656)</f>
        <v>0</v>
      </c>
      <c r="K656" s="74">
        <f>VLOOKUP(E656,DATABASE!C:Q,7,false)</f>
        <v>39440</v>
      </c>
      <c r="L656" s="74">
        <v>39440.0</v>
      </c>
      <c r="M656" s="74">
        <f t="shared" si="2"/>
        <v>40000</v>
      </c>
      <c r="N656" s="74">
        <f t="shared" si="3"/>
        <v>20000</v>
      </c>
      <c r="O656" s="65" t="str">
        <f>VLOOKUP(E656,DATABASE!C:Q,8,false)</f>
        <v>BIAN</v>
      </c>
      <c r="P656" s="65">
        <f>VLOOKUP(E656,DATABASE!C:Q,9,False)</f>
        <v>1</v>
      </c>
      <c r="Q656" s="93" t="str">
        <f>VLOOKUP(E656,DATABASE!C:Q,4,false)</f>
        <v>Flap</v>
      </c>
      <c r="R656" s="93" t="str">
        <f>VLOOKUP(E656,DATABASE!C:Q,11,false)</f>
        <v>Tire</v>
      </c>
    </row>
    <row r="657" ht="22.5" customHeight="1">
      <c r="A657" s="49"/>
      <c r="C657" s="384">
        <v>45696.0</v>
      </c>
      <c r="D657" s="65">
        <v>4260.0</v>
      </c>
      <c r="E657" s="445" t="s">
        <v>569</v>
      </c>
      <c r="F657" s="386">
        <v>1.0</v>
      </c>
      <c r="G657" s="74">
        <v>80000.0</v>
      </c>
      <c r="H657" s="74">
        <v>0.0</v>
      </c>
      <c r="I657" s="74">
        <f t="shared" si="1"/>
        <v>80000</v>
      </c>
      <c r="J657" s="74">
        <f>IF(E657="SERVICE",I657-(I657*50%),Vlookup(E657,DATABASE!C:Q,10,false)*F657)</f>
        <v>0</v>
      </c>
      <c r="K657" s="74">
        <f>VLOOKUP(E657,DATABASE!C:Q,7,false)</f>
        <v>45439.582</v>
      </c>
      <c r="L657" s="74">
        <v>45309.6</v>
      </c>
      <c r="M657" s="74">
        <f t="shared" si="2"/>
        <v>50000</v>
      </c>
      <c r="N657" s="74">
        <f t="shared" si="3"/>
        <v>30000</v>
      </c>
      <c r="O657" s="65" t="str">
        <f>VLOOKUP(E657,DATABASE!C:Q,8,false)</f>
        <v>BIAN</v>
      </c>
      <c r="P657" s="65">
        <f>VLOOKUP(E657,DATABASE!C:Q,9,False)</f>
        <v>1</v>
      </c>
      <c r="Q657" s="93" t="str">
        <f>VLOOKUP(E657,DATABASE!C:Q,4,false)</f>
        <v>BD</v>
      </c>
      <c r="R657" s="93" t="str">
        <f>VLOOKUP(E657,DATABASE!C:Q,11,false)</f>
        <v>Tire</v>
      </c>
    </row>
    <row r="658" ht="22.5" customHeight="1">
      <c r="A658" s="49"/>
      <c r="C658" s="384">
        <v>45696.0</v>
      </c>
      <c r="D658" s="65">
        <v>4261.0</v>
      </c>
      <c r="E658" s="445" t="s">
        <v>1009</v>
      </c>
      <c r="F658" s="386">
        <v>2.0</v>
      </c>
      <c r="G658" s="74">
        <v>680000.0</v>
      </c>
      <c r="H658" s="74">
        <v>0.0</v>
      </c>
      <c r="I658" s="74">
        <f t="shared" si="1"/>
        <v>1360000</v>
      </c>
      <c r="J658" s="74">
        <f>IF(E658="SERVICE",I658-(I658*50%),Vlookup(E658,DATABASE!C:Q,10,false)*F658)</f>
        <v>0</v>
      </c>
      <c r="K658" s="74">
        <f>VLOOKUP(E658,DATABASE!C:Q,7,false)</f>
        <v>609800</v>
      </c>
      <c r="L658" s="74">
        <v>592200.0</v>
      </c>
      <c r="M658" s="74">
        <f t="shared" si="2"/>
        <v>595000</v>
      </c>
      <c r="N658" s="74">
        <f t="shared" si="3"/>
        <v>170000</v>
      </c>
      <c r="O658" s="65" t="str">
        <f>VLOOKUP(E658,DATABASE!C:Q,8,false)</f>
        <v>BIAN</v>
      </c>
      <c r="P658" s="65">
        <f>VLOOKUP(E658,DATABASE!C:Q,9,False)</f>
        <v>1</v>
      </c>
      <c r="Q658" s="93" t="str">
        <f>VLOOKUP(E658,DATABASE!C:Q,4,false)</f>
        <v>GT</v>
      </c>
      <c r="R658" s="93" t="str">
        <f>VLOOKUP(E658,DATABASE!C:Q,11,false)</f>
        <v>Tire</v>
      </c>
    </row>
    <row r="659" ht="22.5" customHeight="1">
      <c r="A659" s="49"/>
      <c r="C659" s="384">
        <v>45696.0</v>
      </c>
      <c r="D659" s="65">
        <v>4261.0</v>
      </c>
      <c r="E659" s="385" t="s">
        <v>299</v>
      </c>
      <c r="F659" s="386">
        <v>2.0</v>
      </c>
      <c r="G659" s="74">
        <v>30000.0</v>
      </c>
      <c r="H659" s="74">
        <v>0.0</v>
      </c>
      <c r="I659" s="74">
        <f t="shared" si="1"/>
        <v>60000</v>
      </c>
      <c r="J659" s="74">
        <f>IF(E659="SERVICE",I659-(I659*50%),Vlookup(E659,DATABASE!C:Q,10,false)*F659)</f>
        <v>0</v>
      </c>
      <c r="K659" s="74">
        <v>0.0</v>
      </c>
      <c r="L659" s="74">
        <v>0.0</v>
      </c>
      <c r="M659" s="74">
        <f t="shared" si="2"/>
        <v>0</v>
      </c>
      <c r="N659" s="74">
        <f t="shared" si="3"/>
        <v>60000</v>
      </c>
      <c r="O659" s="65" t="str">
        <f>VLOOKUP(E659,DATABASE!C:Q,8,false)</f>
        <v>BIAN</v>
      </c>
      <c r="P659" s="65">
        <f>VLOOKUP(E659,DATABASE!C:Q,9,False)</f>
        <v>0</v>
      </c>
      <c r="Q659" s="93" t="str">
        <f>VLOOKUP(E659,DATABASE!C:Q,4,false)</f>
        <v>Balancing</v>
      </c>
      <c r="R659" s="93" t="str">
        <f>VLOOKUP(E659,DATABASE!C:Q,11,false)</f>
        <v>COMPLEMENTARY</v>
      </c>
    </row>
    <row r="660" ht="22.5" customHeight="1">
      <c r="A660" s="49"/>
      <c r="C660" s="384">
        <v>45696.0</v>
      </c>
      <c r="D660" s="65">
        <v>4261.0</v>
      </c>
      <c r="E660" s="445" t="s">
        <v>256</v>
      </c>
      <c r="F660" s="386">
        <v>1.0</v>
      </c>
      <c r="G660" s="74">
        <v>130000.0</v>
      </c>
      <c r="H660" s="74">
        <v>0.0</v>
      </c>
      <c r="I660" s="74">
        <f t="shared" si="1"/>
        <v>130000</v>
      </c>
      <c r="J660" s="74">
        <f>IF(E660="SERVICE",I660-(I660*50%),Vlookup(E660,DATABASE!C:Q,10,false)*F660)</f>
        <v>10000</v>
      </c>
      <c r="K660" s="74">
        <f>VLOOKUP(E660,DATABASE!C:Q,7,false)</f>
        <v>0</v>
      </c>
      <c r="L660" s="74">
        <v>0.0</v>
      </c>
      <c r="M660" s="74">
        <f t="shared" si="2"/>
        <v>0</v>
      </c>
      <c r="N660" s="74">
        <f t="shared" si="3"/>
        <v>120000</v>
      </c>
      <c r="O660" s="65" t="str">
        <f>VLOOKUP(E660,DATABASE!C:Q,8,false)</f>
        <v>IBU</v>
      </c>
      <c r="P660" s="65">
        <f>VLOOKUP(E660,DATABASE!C:Q,9,False)</f>
        <v>0</v>
      </c>
      <c r="Q660" s="93" t="str">
        <f>VLOOKUP(E660,DATABASE!C:Q,4,false)</f>
        <v>SPOORING</v>
      </c>
      <c r="R660" s="93" t="str">
        <f>VLOOKUP(E660,DATABASE!C:Q,11,false)</f>
        <v>SERVICE</v>
      </c>
    </row>
    <row r="661" ht="22.5" customHeight="1">
      <c r="A661" s="49"/>
      <c r="C661" s="384">
        <v>45696.0</v>
      </c>
      <c r="D661" s="65">
        <v>4261.0</v>
      </c>
      <c r="E661" s="445" t="s">
        <v>301</v>
      </c>
      <c r="F661" s="386">
        <v>1.0</v>
      </c>
      <c r="G661" s="74">
        <v>250000.0</v>
      </c>
      <c r="H661" s="74">
        <v>0.0</v>
      </c>
      <c r="I661" s="74">
        <f t="shared" si="1"/>
        <v>250000</v>
      </c>
      <c r="J661" s="74">
        <f>IF(E661="SERVICE",I661-(I661*50%),Vlookup(E661,DATABASE!C:Q,10,false)*F661)</f>
        <v>75000</v>
      </c>
      <c r="K661" s="74">
        <f>VLOOKUP(E661,DATABASE!C:Q,7,false)</f>
        <v>75000</v>
      </c>
      <c r="L661" s="74">
        <v>75000.0</v>
      </c>
      <c r="M661" s="74">
        <f t="shared" si="2"/>
        <v>75000</v>
      </c>
      <c r="N661" s="74">
        <f t="shared" si="3"/>
        <v>100000</v>
      </c>
      <c r="O661" s="65" t="str">
        <f>VLOOKUP(E661,DATABASE!C:Q,8,false)</f>
        <v>BIAN</v>
      </c>
      <c r="P661" s="65">
        <f>VLOOKUP(E661,DATABASE!C:Q,9,False)</f>
        <v>0</v>
      </c>
      <c r="Q661" s="93" t="str">
        <f>VLOOKUP(E661,DATABASE!C:Q,4,false)</f>
        <v>Baut Camber</v>
      </c>
      <c r="R661" s="93" t="str">
        <f>VLOOKUP(E661,DATABASE!C:Q,11,false)</f>
        <v>COMPLEMENTARY</v>
      </c>
    </row>
    <row r="662" ht="22.5" customHeight="1">
      <c r="A662" s="49"/>
      <c r="C662" s="384">
        <v>45696.0</v>
      </c>
      <c r="D662" s="65">
        <v>4262.0</v>
      </c>
      <c r="E662" s="445" t="s">
        <v>681</v>
      </c>
      <c r="F662" s="386">
        <v>1.0</v>
      </c>
      <c r="G662" s="74">
        <v>160000.0</v>
      </c>
      <c r="H662" s="74">
        <v>0.0</v>
      </c>
      <c r="I662" s="74">
        <f t="shared" si="1"/>
        <v>160000</v>
      </c>
      <c r="J662" s="74">
        <f>IF(E662="SERVICE",I662-(I662*50%),Vlookup(E662,DATABASE!C:Q,10,false)*F662)</f>
        <v>0</v>
      </c>
      <c r="K662" s="74">
        <f>VLOOKUP(E662,DATABASE!C:Q,7,false)</f>
        <v>91000</v>
      </c>
      <c r="L662" s="74">
        <v>91000.0</v>
      </c>
      <c r="M662" s="74">
        <f t="shared" si="2"/>
        <v>95000</v>
      </c>
      <c r="N662" s="74">
        <f t="shared" si="3"/>
        <v>65000</v>
      </c>
      <c r="O662" s="65" t="str">
        <f>VLOOKUP(E662,DATABASE!C:Q,8,false)</f>
        <v>BIAN</v>
      </c>
      <c r="P662" s="65">
        <f>VLOOKUP(E662,DATABASE!C:Q,9,False)</f>
        <v>1</v>
      </c>
      <c r="Q662" s="93" t="str">
        <f>VLOOKUP(E662,DATABASE!C:Q,4,false)</f>
        <v>BD</v>
      </c>
      <c r="R662" s="93" t="str">
        <f>VLOOKUP(E662,DATABASE!C:Q,11,false)</f>
        <v>Tire</v>
      </c>
    </row>
    <row r="663" ht="22.5" customHeight="1">
      <c r="A663" s="49"/>
      <c r="C663" s="384">
        <v>45696.0</v>
      </c>
      <c r="D663" s="65">
        <v>4264.0</v>
      </c>
      <c r="E663" s="445" t="s">
        <v>256</v>
      </c>
      <c r="F663" s="386">
        <v>1.0</v>
      </c>
      <c r="G663" s="74">
        <v>130000.0</v>
      </c>
      <c r="H663" s="74">
        <v>0.0</v>
      </c>
      <c r="I663" s="74">
        <f t="shared" si="1"/>
        <v>130000</v>
      </c>
      <c r="J663" s="74">
        <f>IF(E663="SERVICE",I663-(I663*50%),Vlookup(E663,DATABASE!C:Q,10,false)*F663)</f>
        <v>10000</v>
      </c>
      <c r="K663" s="74">
        <f>VLOOKUP(E663,DATABASE!C:Q,7,false)</f>
        <v>0</v>
      </c>
      <c r="L663" s="74">
        <v>0.0</v>
      </c>
      <c r="M663" s="74">
        <f t="shared" si="2"/>
        <v>0</v>
      </c>
      <c r="N663" s="74">
        <f t="shared" si="3"/>
        <v>120000</v>
      </c>
      <c r="O663" s="65" t="str">
        <f>VLOOKUP(E663,DATABASE!C:Q,8,false)</f>
        <v>IBU</v>
      </c>
      <c r="P663" s="65">
        <f>VLOOKUP(E663,DATABASE!C:Q,9,False)</f>
        <v>0</v>
      </c>
      <c r="Q663" s="93" t="str">
        <f>VLOOKUP(E663,DATABASE!C:Q,4,false)</f>
        <v>SPOORING</v>
      </c>
      <c r="R663" s="93" t="str">
        <f>VLOOKUP(E663,DATABASE!C:Q,11,false)</f>
        <v>SERVICE</v>
      </c>
    </row>
    <row r="664" ht="22.5" customHeight="1">
      <c r="A664" s="49"/>
      <c r="C664" s="384">
        <v>45696.0</v>
      </c>
      <c r="D664" s="65">
        <v>4264.0</v>
      </c>
      <c r="E664" s="445" t="s">
        <v>301</v>
      </c>
      <c r="F664" s="386">
        <v>1.0</v>
      </c>
      <c r="G664" s="74">
        <v>250000.0</v>
      </c>
      <c r="H664" s="74">
        <v>0.0</v>
      </c>
      <c r="I664" s="74">
        <f t="shared" si="1"/>
        <v>250000</v>
      </c>
      <c r="J664" s="74">
        <f>IF(E664="SERVICE",I664-(I664*50%),Vlookup(E664,DATABASE!C:Q,10,false)*F664)</f>
        <v>75000</v>
      </c>
      <c r="K664" s="74">
        <f>VLOOKUP(E664,DATABASE!C:Q,7,false)</f>
        <v>75000</v>
      </c>
      <c r="L664" s="74">
        <v>75000.0</v>
      </c>
      <c r="M664" s="74">
        <f t="shared" si="2"/>
        <v>75000</v>
      </c>
      <c r="N664" s="74">
        <f t="shared" si="3"/>
        <v>100000</v>
      </c>
      <c r="O664" s="65" t="str">
        <f>VLOOKUP(E664,DATABASE!C:Q,8,false)</f>
        <v>BIAN</v>
      </c>
      <c r="P664" s="65">
        <f>VLOOKUP(E664,DATABASE!C:Q,9,False)</f>
        <v>0</v>
      </c>
      <c r="Q664" s="93" t="str">
        <f>VLOOKUP(E664,DATABASE!C:Q,4,false)</f>
        <v>Baut Camber</v>
      </c>
      <c r="R664" s="93" t="str">
        <f>VLOOKUP(E664,DATABASE!C:Q,11,false)</f>
        <v>COMPLEMENTARY</v>
      </c>
    </row>
    <row r="665" ht="22.5" customHeight="1">
      <c r="A665" s="49"/>
      <c r="C665" s="384">
        <v>45696.0</v>
      </c>
      <c r="D665" s="65">
        <v>4265.0</v>
      </c>
      <c r="E665" s="445" t="s">
        <v>275</v>
      </c>
      <c r="F665" s="386">
        <v>4.0</v>
      </c>
      <c r="G665" s="74">
        <v>820000.0</v>
      </c>
      <c r="H665" s="74">
        <v>0.0</v>
      </c>
      <c r="I665" s="74">
        <f t="shared" si="1"/>
        <v>3280000</v>
      </c>
      <c r="J665" s="74">
        <f>IF(E665="SERVICE",I665-(I665*50%),Vlookup(E665,DATABASE!C:Q,10,false)*F665)</f>
        <v>0</v>
      </c>
      <c r="K665" s="74">
        <v>735000.0</v>
      </c>
      <c r="L665" s="74">
        <v>735000.0</v>
      </c>
      <c r="M665" s="74">
        <f t="shared" si="2"/>
        <v>735000</v>
      </c>
      <c r="N665" s="74">
        <f t="shared" si="3"/>
        <v>340000</v>
      </c>
      <c r="O665" s="65" t="str">
        <f>VLOOKUP(E665,DATABASE!C:Q,8,false)</f>
        <v>IBU</v>
      </c>
      <c r="P665" s="65">
        <f>VLOOKUP(E665,DATABASE!C:Q,9,False)</f>
        <v>1</v>
      </c>
      <c r="Q665" s="93" t="str">
        <f>VLOOKUP(E665,DATABASE!C:Q,4,false)</f>
        <v>Dunlop</v>
      </c>
      <c r="R665" s="93" t="str">
        <f>VLOOKUP(E665,DATABASE!C:Q,11,false)</f>
        <v>Tire</v>
      </c>
    </row>
    <row r="666" ht="22.5" customHeight="1">
      <c r="A666" s="49"/>
      <c r="C666" s="384">
        <v>45696.0</v>
      </c>
      <c r="D666" s="65">
        <v>4265.0</v>
      </c>
      <c r="E666" s="445" t="s">
        <v>604</v>
      </c>
      <c r="F666" s="386">
        <v>1.0</v>
      </c>
      <c r="G666" s="74">
        <v>160000.0</v>
      </c>
      <c r="H666" s="74">
        <v>0.0</v>
      </c>
      <c r="I666" s="74">
        <f t="shared" si="1"/>
        <v>160000</v>
      </c>
      <c r="J666" s="74">
        <f>IF(E666="SERVICE",I666-(I666*50%),Vlookup(E666,DATABASE!C:Q,10,false)*F666)</f>
        <v>0</v>
      </c>
      <c r="K666" s="74">
        <f>VLOOKUP(E666,DATABASE!C:Q,7,false)</f>
        <v>124000</v>
      </c>
      <c r="L666" s="74">
        <v>124000.0</v>
      </c>
      <c r="M666" s="74">
        <f t="shared" si="2"/>
        <v>125000</v>
      </c>
      <c r="N666" s="74">
        <f t="shared" si="3"/>
        <v>35000</v>
      </c>
      <c r="O666" s="65" t="str">
        <f>VLOOKUP(E666,DATABASE!C:Q,8,false)</f>
        <v>BIAN</v>
      </c>
      <c r="P666" s="65">
        <f>VLOOKUP(E666,DATABASE!C:Q,9,False)</f>
        <v>1</v>
      </c>
      <c r="Q666" s="93" t="str">
        <f>VLOOKUP(E666,DATABASE!C:Q,4,false)</f>
        <v>BD</v>
      </c>
      <c r="R666" s="93" t="str">
        <f>VLOOKUP(E666,DATABASE!C:Q,11,false)</f>
        <v>Tire</v>
      </c>
    </row>
    <row r="667" ht="22.5" customHeight="1">
      <c r="A667" s="49"/>
      <c r="C667" s="384">
        <v>45696.0</v>
      </c>
      <c r="D667" s="65">
        <v>4266.0</v>
      </c>
      <c r="E667" s="445" t="s">
        <v>275</v>
      </c>
      <c r="F667" s="386">
        <v>2.0</v>
      </c>
      <c r="G667" s="74">
        <v>830000.0</v>
      </c>
      <c r="H667" s="74">
        <v>0.0</v>
      </c>
      <c r="I667" s="74">
        <f t="shared" si="1"/>
        <v>1660000</v>
      </c>
      <c r="J667" s="74">
        <f>IF(E667="SERVICE",I667-(I667*50%),Vlookup(E667,DATABASE!C:Q,10,false)*F667)</f>
        <v>0</v>
      </c>
      <c r="K667" s="74">
        <v>735000.0</v>
      </c>
      <c r="L667" s="74">
        <v>735000.0</v>
      </c>
      <c r="M667" s="74">
        <f t="shared" si="2"/>
        <v>735000</v>
      </c>
      <c r="N667" s="74">
        <f t="shared" si="3"/>
        <v>190000</v>
      </c>
      <c r="O667" s="65" t="str">
        <f>VLOOKUP(E667,DATABASE!C:Q,8,false)</f>
        <v>IBU</v>
      </c>
      <c r="P667" s="65">
        <f>VLOOKUP(E667,DATABASE!C:Q,9,False)</f>
        <v>1</v>
      </c>
      <c r="Q667" s="93" t="str">
        <f>VLOOKUP(E667,DATABASE!C:Q,4,false)</f>
        <v>Dunlop</v>
      </c>
      <c r="R667" s="93" t="str">
        <f>VLOOKUP(E667,DATABASE!C:Q,11,false)</f>
        <v>Tire</v>
      </c>
    </row>
    <row r="668" ht="22.5" customHeight="1">
      <c r="A668" s="49"/>
      <c r="C668" s="384">
        <v>45696.0</v>
      </c>
      <c r="D668" s="65">
        <v>4267.0</v>
      </c>
      <c r="E668" s="445" t="s">
        <v>265</v>
      </c>
      <c r="F668" s="386">
        <v>1.0</v>
      </c>
      <c r="G668" s="74">
        <v>670000.0</v>
      </c>
      <c r="H668" s="74">
        <v>0.0</v>
      </c>
      <c r="I668" s="74">
        <f t="shared" si="1"/>
        <v>670000</v>
      </c>
      <c r="J668" s="74">
        <f>IF(E668="SERVICE",I668-(I668*50%),Vlookup(E668,DATABASE!C:Q,10,false)*F668)</f>
        <v>0</v>
      </c>
      <c r="K668" s="74">
        <v>590000.0</v>
      </c>
      <c r="L668" s="74">
        <v>590000.0</v>
      </c>
      <c r="M668" s="74">
        <f t="shared" si="2"/>
        <v>590000</v>
      </c>
      <c r="N668" s="74">
        <f t="shared" si="3"/>
        <v>80000</v>
      </c>
      <c r="O668" s="65" t="str">
        <f>VLOOKUP(E668,DATABASE!C:Q,8,false)</f>
        <v>IBU</v>
      </c>
      <c r="P668" s="65">
        <f>VLOOKUP(E668,DATABASE!C:Q,9,False)</f>
        <v>1</v>
      </c>
      <c r="Q668" s="93" t="str">
        <f>VLOOKUP(E668,DATABASE!C:Q,4,false)</f>
        <v>Dunlop</v>
      </c>
      <c r="R668" s="93" t="str">
        <f>VLOOKUP(E668,DATABASE!C:Q,11,false)</f>
        <v>Tire</v>
      </c>
    </row>
    <row r="669" ht="22.5" customHeight="1">
      <c r="A669" s="49"/>
      <c r="C669" s="384">
        <v>45696.0</v>
      </c>
      <c r="D669" s="65">
        <v>4268.0</v>
      </c>
      <c r="E669" s="445" t="s">
        <v>250</v>
      </c>
      <c r="F669" s="386">
        <v>1.0</v>
      </c>
      <c r="G669" s="74">
        <v>135000.0</v>
      </c>
      <c r="H669" s="74">
        <v>0.0</v>
      </c>
      <c r="I669" s="74">
        <f t="shared" si="1"/>
        <v>135000</v>
      </c>
      <c r="J669" s="74">
        <f>IF(E669="SERVICE",I669-(I669*50%),Vlookup(E669,DATABASE!C:Q,10,false)*F669)</f>
        <v>0</v>
      </c>
      <c r="K669" s="74">
        <f>VLOOKUP(E669,DATABASE!C:Q,7,false)</f>
        <v>102000</v>
      </c>
      <c r="L669" s="74">
        <v>102000.0</v>
      </c>
      <c r="M669" s="74">
        <f t="shared" si="2"/>
        <v>105000</v>
      </c>
      <c r="N669" s="74">
        <f t="shared" si="3"/>
        <v>30000</v>
      </c>
      <c r="O669" s="65" t="str">
        <f>VLOOKUP(E669,DATABASE!C:Q,8,false)</f>
        <v>BIAN</v>
      </c>
      <c r="P669" s="65">
        <f>VLOOKUP(E669,DATABASE!C:Q,9,False)</f>
        <v>1</v>
      </c>
      <c r="Q669" s="93" t="str">
        <f>VLOOKUP(E669,DATABASE!C:Q,4,false)</f>
        <v>BD</v>
      </c>
      <c r="R669" s="93" t="str">
        <f>VLOOKUP(E669,DATABASE!C:Q,11,false)</f>
        <v>Tire</v>
      </c>
    </row>
    <row r="670" ht="22.5" customHeight="1">
      <c r="A670" s="49"/>
      <c r="C670" s="384">
        <v>45696.0</v>
      </c>
      <c r="D670" s="65">
        <v>4269.0</v>
      </c>
      <c r="E670" s="445" t="s">
        <v>256</v>
      </c>
      <c r="F670" s="386">
        <v>1.0</v>
      </c>
      <c r="G670" s="74">
        <v>130000.0</v>
      </c>
      <c r="H670" s="74">
        <v>0.0</v>
      </c>
      <c r="I670" s="74">
        <f t="shared" si="1"/>
        <v>130000</v>
      </c>
      <c r="J670" s="74">
        <f>IF(E670="SERVICE",I670-(I670*50%),Vlookup(E670,DATABASE!C:Q,10,false)*F670)</f>
        <v>10000</v>
      </c>
      <c r="K670" s="74">
        <f>VLOOKUP(E670,DATABASE!C:Q,7,false)</f>
        <v>0</v>
      </c>
      <c r="L670" s="74">
        <v>0.0</v>
      </c>
      <c r="M670" s="74">
        <f t="shared" si="2"/>
        <v>0</v>
      </c>
      <c r="N670" s="74">
        <f t="shared" si="3"/>
        <v>120000</v>
      </c>
      <c r="O670" s="65" t="str">
        <f>VLOOKUP(E670,DATABASE!C:Q,8,false)</f>
        <v>IBU</v>
      </c>
      <c r="P670" s="65">
        <f>VLOOKUP(E670,DATABASE!C:Q,9,False)</f>
        <v>0</v>
      </c>
      <c r="Q670" s="93" t="str">
        <f>VLOOKUP(E670,DATABASE!C:Q,4,false)</f>
        <v>SPOORING</v>
      </c>
      <c r="R670" s="93" t="str">
        <f>VLOOKUP(E670,DATABASE!C:Q,11,false)</f>
        <v>SERVICE</v>
      </c>
    </row>
    <row r="671" ht="22.5" customHeight="1">
      <c r="A671" s="49"/>
      <c r="C671" s="384">
        <v>45696.0</v>
      </c>
      <c r="D671" s="65">
        <v>4269.0</v>
      </c>
      <c r="E671" s="445" t="s">
        <v>301</v>
      </c>
      <c r="F671" s="386">
        <v>1.0</v>
      </c>
      <c r="G671" s="74">
        <v>250000.0</v>
      </c>
      <c r="H671" s="74">
        <v>0.0</v>
      </c>
      <c r="I671" s="74">
        <f t="shared" si="1"/>
        <v>250000</v>
      </c>
      <c r="J671" s="74">
        <f>IF(E671="SERVICE",I671-(I671*50%),Vlookup(E671,DATABASE!C:Q,10,false)*F671)</f>
        <v>75000</v>
      </c>
      <c r="K671" s="74">
        <f>VLOOKUP(E671,DATABASE!C:Q,7,false)</f>
        <v>75000</v>
      </c>
      <c r="L671" s="74">
        <v>75000.0</v>
      </c>
      <c r="M671" s="74">
        <f t="shared" si="2"/>
        <v>75000</v>
      </c>
      <c r="N671" s="74">
        <f t="shared" si="3"/>
        <v>100000</v>
      </c>
      <c r="O671" s="65" t="str">
        <f>VLOOKUP(E671,DATABASE!C:Q,8,false)</f>
        <v>BIAN</v>
      </c>
      <c r="P671" s="65">
        <f>VLOOKUP(E671,DATABASE!C:Q,9,False)</f>
        <v>0</v>
      </c>
      <c r="Q671" s="93" t="str">
        <f>VLOOKUP(E671,DATABASE!C:Q,4,false)</f>
        <v>Baut Camber</v>
      </c>
      <c r="R671" s="93" t="str">
        <f>VLOOKUP(E671,DATABASE!C:Q,11,false)</f>
        <v>COMPLEMENTARY</v>
      </c>
    </row>
    <row r="672" ht="22.5" customHeight="1">
      <c r="A672" s="49"/>
      <c r="C672" s="384">
        <v>45696.0</v>
      </c>
      <c r="D672" s="65">
        <v>4270.0</v>
      </c>
      <c r="E672" s="445" t="s">
        <v>569</v>
      </c>
      <c r="F672" s="386">
        <v>2.0</v>
      </c>
      <c r="G672" s="74">
        <v>70000.0</v>
      </c>
      <c r="H672" s="74">
        <v>0.0</v>
      </c>
      <c r="I672" s="74">
        <f t="shared" si="1"/>
        <v>140000</v>
      </c>
      <c r="J672" s="74">
        <f>IF(E672="SERVICE",I672-(I672*50%),Vlookup(E672,DATABASE!C:Q,10,false)*F672)</f>
        <v>0</v>
      </c>
      <c r="K672" s="74">
        <f>VLOOKUP(E672,DATABASE!C:Q,7,false)</f>
        <v>45439.582</v>
      </c>
      <c r="L672" s="74">
        <v>45309.6</v>
      </c>
      <c r="M672" s="74">
        <f t="shared" si="2"/>
        <v>50000</v>
      </c>
      <c r="N672" s="74">
        <f t="shared" si="3"/>
        <v>40000</v>
      </c>
      <c r="O672" s="65" t="str">
        <f>VLOOKUP(E672,DATABASE!C:Q,8,false)</f>
        <v>BIAN</v>
      </c>
      <c r="P672" s="65">
        <f>VLOOKUP(E672,DATABASE!C:Q,9,False)</f>
        <v>1</v>
      </c>
      <c r="Q672" s="93" t="str">
        <f>VLOOKUP(E672,DATABASE!C:Q,4,false)</f>
        <v>BD</v>
      </c>
      <c r="R672" s="93" t="str">
        <f>VLOOKUP(E672,DATABASE!C:Q,11,false)</f>
        <v>Tire</v>
      </c>
    </row>
    <row r="673" ht="22.5" customHeight="1">
      <c r="A673" s="49"/>
      <c r="C673" s="384">
        <v>45696.0</v>
      </c>
      <c r="D673" s="65">
        <v>4271.0</v>
      </c>
      <c r="E673" s="385" t="s">
        <v>299</v>
      </c>
      <c r="F673" s="386">
        <v>2.0</v>
      </c>
      <c r="G673" s="74">
        <v>30000.0</v>
      </c>
      <c r="H673" s="74">
        <v>0.0</v>
      </c>
      <c r="I673" s="74">
        <f t="shared" si="1"/>
        <v>60000</v>
      </c>
      <c r="J673" s="74">
        <f>IF(E673="SERVICE",I673-(I673*50%),Vlookup(E673,DATABASE!C:Q,10,false)*F673)</f>
        <v>0</v>
      </c>
      <c r="K673" s="74">
        <v>0.0</v>
      </c>
      <c r="L673" s="74">
        <v>0.0</v>
      </c>
      <c r="M673" s="74">
        <f t="shared" si="2"/>
        <v>0</v>
      </c>
      <c r="N673" s="74">
        <f t="shared" si="3"/>
        <v>60000</v>
      </c>
      <c r="O673" s="65" t="str">
        <f>VLOOKUP(E673,DATABASE!C:Q,8,false)</f>
        <v>BIAN</v>
      </c>
      <c r="P673" s="65">
        <f>VLOOKUP(E673,DATABASE!C:Q,9,False)</f>
        <v>0</v>
      </c>
      <c r="Q673" s="93" t="str">
        <f>VLOOKUP(E673,DATABASE!C:Q,4,false)</f>
        <v>Balancing</v>
      </c>
      <c r="R673" s="93" t="str">
        <f>VLOOKUP(E673,DATABASE!C:Q,11,false)</f>
        <v>COMPLEMENTARY</v>
      </c>
    </row>
    <row r="674" ht="22.5" customHeight="1">
      <c r="A674" s="49"/>
      <c r="C674" s="384">
        <v>45696.0</v>
      </c>
      <c r="D674" s="65">
        <v>4272.0</v>
      </c>
      <c r="E674" s="445" t="s">
        <v>1301</v>
      </c>
      <c r="F674" s="386">
        <v>4.0</v>
      </c>
      <c r="G674" s="74">
        <v>1265000.0</v>
      </c>
      <c r="H674" s="74">
        <v>0.0</v>
      </c>
      <c r="I674" s="74">
        <f t="shared" si="1"/>
        <v>5060000</v>
      </c>
      <c r="J674" s="74">
        <f>IF(E674="SERVICE",I674-(I674*50%),Vlookup(E674,DATABASE!C:Q,10,false)*F674)</f>
        <v>0</v>
      </c>
      <c r="K674" s="74">
        <f>VLOOKUP(E674,DATABASE!C:Q,7,false)</f>
        <v>1194000</v>
      </c>
      <c r="L674" s="74">
        <v>1182000.0</v>
      </c>
      <c r="M674" s="74">
        <f t="shared" si="2"/>
        <v>1185000</v>
      </c>
      <c r="N674" s="74">
        <f t="shared" si="3"/>
        <v>320000</v>
      </c>
      <c r="O674" s="65" t="str">
        <f>VLOOKUP(E674,DATABASE!C:Q,8,false)</f>
        <v>IBU</v>
      </c>
      <c r="P674" s="65">
        <f>VLOOKUP(E674,DATABASE!C:Q,9,False)</f>
        <v>1</v>
      </c>
      <c r="Q674" s="93" t="str">
        <f>VLOOKUP(E674,DATABASE!C:Q,4,false)</f>
        <v>Dunlop</v>
      </c>
      <c r="R674" s="93" t="str">
        <f>VLOOKUP(E674,DATABASE!C:Q,11,false)</f>
        <v>Tire</v>
      </c>
    </row>
    <row r="675" ht="22.5" customHeight="1">
      <c r="A675" s="49"/>
      <c r="C675" s="384">
        <v>45696.0</v>
      </c>
      <c r="D675" s="65">
        <v>4272.0</v>
      </c>
      <c r="E675" s="445" t="s">
        <v>2135</v>
      </c>
      <c r="F675" s="386">
        <v>4.0</v>
      </c>
      <c r="G675" s="74">
        <v>12500.0</v>
      </c>
      <c r="H675" s="74">
        <v>0.0</v>
      </c>
      <c r="I675" s="74">
        <f t="shared" si="1"/>
        <v>50000</v>
      </c>
      <c r="J675" s="74">
        <f>IF(E675="SERVICE",I675-(I675*50%),Vlookup(E675,DATABASE!C:Q,10,false)*F675)</f>
        <v>0</v>
      </c>
      <c r="K675" s="74">
        <f>VLOOKUP(E675,DATABASE!C:Q,7,false)</f>
        <v>0</v>
      </c>
      <c r="L675" s="74">
        <v>0.0</v>
      </c>
      <c r="M675" s="74">
        <f t="shared" si="2"/>
        <v>0</v>
      </c>
      <c r="N675" s="74">
        <f t="shared" si="3"/>
        <v>50000</v>
      </c>
      <c r="O675" s="65" t="str">
        <f>VLOOKUP(E675,DATABASE!C:Q,8,false)</f>
        <v>IBU</v>
      </c>
      <c r="P675" s="65">
        <f>VLOOKUP(E675,DATABASE!C:Q,9,False)</f>
        <v>0</v>
      </c>
      <c r="Q675" s="93" t="str">
        <f>VLOOKUP(E675,DATABASE!C:Q,4,false)</f>
        <v>NITROGEN</v>
      </c>
      <c r="R675" s="93" t="str">
        <f>VLOOKUP(E675,DATABASE!C:Q,11,false)</f>
        <v>COMPLEMENTARY</v>
      </c>
    </row>
    <row r="676" ht="22.5" customHeight="1">
      <c r="A676" s="49"/>
      <c r="C676" s="384">
        <v>45696.0</v>
      </c>
      <c r="D676" s="65">
        <v>4273.0</v>
      </c>
      <c r="E676" s="445" t="s">
        <v>777</v>
      </c>
      <c r="F676" s="386">
        <v>2.0</v>
      </c>
      <c r="G676" s="74">
        <v>585000.0</v>
      </c>
      <c r="H676" s="74">
        <v>0.0</v>
      </c>
      <c r="I676" s="74">
        <f t="shared" si="1"/>
        <v>1170000</v>
      </c>
      <c r="J676" s="74">
        <f>IF(E676="SERVICE",I676-(I676*50%),Vlookup(E676,DATABASE!C:Q,10,false)*F676)</f>
        <v>0</v>
      </c>
      <c r="K676" s="74">
        <f>VLOOKUP(E676,DATABASE!C:Q,7,false)</f>
        <v>540000</v>
      </c>
      <c r="L676" s="74">
        <v>507000.0</v>
      </c>
      <c r="M676" s="74">
        <f t="shared" si="2"/>
        <v>510000</v>
      </c>
      <c r="N676" s="74">
        <f t="shared" si="3"/>
        <v>150000</v>
      </c>
      <c r="O676" s="65" t="str">
        <f>VLOOKUP(E676,DATABASE!C:Q,8,false)</f>
        <v>BIAN</v>
      </c>
      <c r="P676" s="65">
        <f>VLOOKUP(E676,DATABASE!C:Q,9,False)</f>
        <v>1</v>
      </c>
      <c r="Q676" s="93" t="str">
        <f>VLOOKUP(E676,DATABASE!C:Q,4,false)</f>
        <v>GT</v>
      </c>
      <c r="R676" s="93" t="str">
        <f>VLOOKUP(E676,DATABASE!C:Q,11,false)</f>
        <v>Tire</v>
      </c>
    </row>
    <row r="677" ht="22.5" customHeight="1">
      <c r="A677" s="49"/>
      <c r="C677" s="384">
        <v>45696.0</v>
      </c>
      <c r="D677" s="65">
        <v>4273.0</v>
      </c>
      <c r="E677" s="445" t="s">
        <v>250</v>
      </c>
      <c r="F677" s="386">
        <v>1.0</v>
      </c>
      <c r="G677" s="74">
        <v>135000.0</v>
      </c>
      <c r="H677" s="74">
        <v>0.0</v>
      </c>
      <c r="I677" s="74">
        <f t="shared" si="1"/>
        <v>135000</v>
      </c>
      <c r="J677" s="74">
        <f>IF(E677="SERVICE",I677-(I677*50%),Vlookup(E677,DATABASE!C:Q,10,false)*F677)</f>
        <v>0</v>
      </c>
      <c r="K677" s="74">
        <f>VLOOKUP(E677,DATABASE!C:Q,7,false)</f>
        <v>102000</v>
      </c>
      <c r="L677" s="74">
        <v>102000.0</v>
      </c>
      <c r="M677" s="74">
        <f t="shared" si="2"/>
        <v>105000</v>
      </c>
      <c r="N677" s="74">
        <f t="shared" si="3"/>
        <v>30000</v>
      </c>
      <c r="O677" s="65" t="str">
        <f>VLOOKUP(E677,DATABASE!C:Q,8,false)</f>
        <v>BIAN</v>
      </c>
      <c r="P677" s="65">
        <f>VLOOKUP(E677,DATABASE!C:Q,9,False)</f>
        <v>1</v>
      </c>
      <c r="Q677" s="93" t="str">
        <f>VLOOKUP(E677,DATABASE!C:Q,4,false)</f>
        <v>BD</v>
      </c>
      <c r="R677" s="93" t="str">
        <f>VLOOKUP(E677,DATABASE!C:Q,11,false)</f>
        <v>Tire</v>
      </c>
    </row>
    <row r="678" ht="22.5" customHeight="1">
      <c r="A678" s="49"/>
      <c r="C678" s="384">
        <v>45696.0</v>
      </c>
      <c r="D678" s="65">
        <v>4274.0</v>
      </c>
      <c r="E678" s="445" t="s">
        <v>292</v>
      </c>
      <c r="F678" s="386">
        <v>2.0</v>
      </c>
      <c r="G678" s="74">
        <v>415000.0</v>
      </c>
      <c r="H678" s="74">
        <v>0.0</v>
      </c>
      <c r="I678" s="74">
        <f t="shared" si="1"/>
        <v>830000</v>
      </c>
      <c r="J678" s="74">
        <f>IF(E678="SERVICE",I678-(I678*50%),Vlookup(E678,DATABASE!C:Q,10,false)*F678)</f>
        <v>0</v>
      </c>
      <c r="K678" s="74">
        <f>VLOOKUP(E678,DATABASE!C:Q,7,false)</f>
        <v>326700</v>
      </c>
      <c r="L678" s="74">
        <v>326700.0</v>
      </c>
      <c r="M678" s="74">
        <f t="shared" si="2"/>
        <v>330000</v>
      </c>
      <c r="N678" s="74">
        <f t="shared" si="3"/>
        <v>170000</v>
      </c>
      <c r="O678" s="65" t="str">
        <f>VLOOKUP(E678,DATABASE!C:Q,8,false)</f>
        <v>BIAN</v>
      </c>
      <c r="P678" s="65">
        <f>VLOOKUP(E678,DATABASE!C:Q,9,False)</f>
        <v>1</v>
      </c>
      <c r="Q678" s="93" t="str">
        <f>VLOOKUP(E678,DATABASE!C:Q,4,false)</f>
        <v>GT</v>
      </c>
      <c r="R678" s="93" t="str">
        <f>VLOOKUP(E678,DATABASE!C:Q,11,false)</f>
        <v>Tire</v>
      </c>
    </row>
    <row r="679" ht="22.5" customHeight="1">
      <c r="A679" s="49"/>
      <c r="C679" s="384">
        <v>45696.0</v>
      </c>
      <c r="D679" s="65">
        <v>4275.0</v>
      </c>
      <c r="E679" s="445" t="s">
        <v>256</v>
      </c>
      <c r="F679" s="386">
        <v>1.0</v>
      </c>
      <c r="G679" s="74">
        <v>130000.0</v>
      </c>
      <c r="H679" s="74">
        <v>0.0</v>
      </c>
      <c r="I679" s="74">
        <f t="shared" si="1"/>
        <v>130000</v>
      </c>
      <c r="J679" s="74">
        <f>IF(E679="SERVICE",I679-(I679*50%),Vlookup(E679,DATABASE!C:Q,10,false)*F679)</f>
        <v>10000</v>
      </c>
      <c r="K679" s="74">
        <f>VLOOKUP(E679,DATABASE!C:Q,7,false)</f>
        <v>0</v>
      </c>
      <c r="L679" s="74">
        <v>0.0</v>
      </c>
      <c r="M679" s="74">
        <f t="shared" si="2"/>
        <v>0</v>
      </c>
      <c r="N679" s="74">
        <f t="shared" si="3"/>
        <v>120000</v>
      </c>
      <c r="O679" s="65" t="str">
        <f>VLOOKUP(E679,DATABASE!C:Q,8,false)</f>
        <v>IBU</v>
      </c>
      <c r="P679" s="65">
        <f>VLOOKUP(E679,DATABASE!C:Q,9,False)</f>
        <v>0</v>
      </c>
      <c r="Q679" s="93" t="str">
        <f>VLOOKUP(E679,DATABASE!C:Q,4,false)</f>
        <v>SPOORING</v>
      </c>
      <c r="R679" s="93" t="str">
        <f>VLOOKUP(E679,DATABASE!C:Q,11,false)</f>
        <v>SERVICE</v>
      </c>
    </row>
    <row r="680" ht="22.5" customHeight="1">
      <c r="A680" s="49"/>
      <c r="C680" s="384">
        <v>45696.0</v>
      </c>
      <c r="D680" s="65">
        <v>4276.0</v>
      </c>
      <c r="E680" s="445" t="s">
        <v>256</v>
      </c>
      <c r="F680" s="386">
        <v>1.0</v>
      </c>
      <c r="G680" s="74">
        <v>130000.0</v>
      </c>
      <c r="H680" s="74">
        <v>0.0</v>
      </c>
      <c r="I680" s="74">
        <f t="shared" si="1"/>
        <v>130000</v>
      </c>
      <c r="J680" s="74">
        <f>IF(E680="SERVICE",I680-(I680*50%),Vlookup(E680,DATABASE!C:Q,10,false)*F680)</f>
        <v>10000</v>
      </c>
      <c r="K680" s="74">
        <f>VLOOKUP(E680,DATABASE!C:Q,7,false)</f>
        <v>0</v>
      </c>
      <c r="L680" s="74">
        <v>0.0</v>
      </c>
      <c r="M680" s="74">
        <f t="shared" si="2"/>
        <v>0</v>
      </c>
      <c r="N680" s="74">
        <f t="shared" si="3"/>
        <v>120000</v>
      </c>
      <c r="O680" s="65" t="str">
        <f>VLOOKUP(E680,DATABASE!C:Q,8,false)</f>
        <v>IBU</v>
      </c>
      <c r="P680" s="65">
        <f>VLOOKUP(E680,DATABASE!C:Q,9,False)</f>
        <v>0</v>
      </c>
      <c r="Q680" s="93" t="str">
        <f>VLOOKUP(E680,DATABASE!C:Q,4,false)</f>
        <v>SPOORING</v>
      </c>
      <c r="R680" s="93" t="str">
        <f>VLOOKUP(E680,DATABASE!C:Q,11,false)</f>
        <v>SERVICE</v>
      </c>
    </row>
    <row r="681" ht="22.5" customHeight="1">
      <c r="A681" s="49"/>
      <c r="C681" s="384">
        <v>45696.0</v>
      </c>
      <c r="D681" s="65">
        <v>4276.0</v>
      </c>
      <c r="E681" s="445" t="s">
        <v>251</v>
      </c>
      <c r="F681" s="386">
        <v>1.0</v>
      </c>
      <c r="G681" s="74">
        <v>150000.0</v>
      </c>
      <c r="H681" s="74">
        <v>0.0</v>
      </c>
      <c r="I681" s="74">
        <f t="shared" si="1"/>
        <v>150000</v>
      </c>
      <c r="J681" s="74">
        <f>IF(E681="SERVICE",I681-(I681*50%),Vlookup(E681,DATABASE!C:Q,10,false)*F681)</f>
        <v>75000</v>
      </c>
      <c r="K681" s="74">
        <f>VLOOKUP(E681,DATABASE!C:Q,7,false)</f>
        <v>0</v>
      </c>
      <c r="L681" s="74">
        <v>0.0</v>
      </c>
      <c r="M681" s="74">
        <f t="shared" si="2"/>
        <v>0</v>
      </c>
      <c r="N681" s="74">
        <f t="shared" si="3"/>
        <v>75000</v>
      </c>
      <c r="O681" s="65" t="str">
        <f>VLOOKUP(E681,DATABASE!C:Q,8,false)</f>
        <v>IBU</v>
      </c>
      <c r="P681" s="65">
        <f>VLOOKUP(E681,DATABASE!C:Q,9,False)</f>
        <v>0</v>
      </c>
      <c r="Q681" s="93" t="str">
        <f>VLOOKUP(E681,DATABASE!C:Q,4,false)</f>
        <v>SERVICE</v>
      </c>
      <c r="R681" s="93" t="str">
        <f>VLOOKUP(E681,DATABASE!C:Q,11,false)</f>
        <v>SERVICE</v>
      </c>
    </row>
    <row r="682" ht="22.5" customHeight="1">
      <c r="A682" s="49"/>
      <c r="C682" s="384">
        <v>45698.0</v>
      </c>
      <c r="D682" s="65">
        <v>4277.0</v>
      </c>
      <c r="E682" s="445" t="s">
        <v>856</v>
      </c>
      <c r="F682" s="386">
        <v>2.0</v>
      </c>
      <c r="G682" s="74">
        <v>670000.0</v>
      </c>
      <c r="H682" s="74">
        <v>0.0</v>
      </c>
      <c r="I682" s="74">
        <f t="shared" si="1"/>
        <v>1340000</v>
      </c>
      <c r="J682" s="74">
        <f>IF(E682="SERVICE",I682-(I682*50%),Vlookup(E682,DATABASE!C:Q,10,false)*F682)</f>
        <v>0</v>
      </c>
      <c r="K682" s="74">
        <f>VLOOKUP(E682,DATABASE!C:Q,7,false)</f>
        <v>615300</v>
      </c>
      <c r="L682" s="74">
        <v>581120.0</v>
      </c>
      <c r="M682" s="74">
        <f t="shared" si="2"/>
        <v>585000</v>
      </c>
      <c r="N682" s="74">
        <f t="shared" si="3"/>
        <v>170000</v>
      </c>
      <c r="O682" s="65" t="str">
        <f>VLOOKUP(E682,DATABASE!C:Q,8,false)</f>
        <v>BIAN</v>
      </c>
      <c r="P682" s="65">
        <f>VLOOKUP(E682,DATABASE!C:Q,9,False)</f>
        <v>1</v>
      </c>
      <c r="Q682" s="93" t="str">
        <f>VLOOKUP(E682,DATABASE!C:Q,4,false)</f>
        <v>GT</v>
      </c>
      <c r="R682" s="93" t="str">
        <f>VLOOKUP(E682,DATABASE!C:Q,11,false)</f>
        <v>Tire</v>
      </c>
    </row>
    <row r="683" ht="22.5" customHeight="1">
      <c r="A683" s="49"/>
      <c r="C683" s="384">
        <v>45698.0</v>
      </c>
      <c r="D683" s="65">
        <v>4278.0</v>
      </c>
      <c r="E683" s="445" t="s">
        <v>265</v>
      </c>
      <c r="F683" s="386">
        <v>2.0</v>
      </c>
      <c r="G683" s="74">
        <v>670000.0</v>
      </c>
      <c r="H683" s="74">
        <v>0.0</v>
      </c>
      <c r="I683" s="74">
        <f t="shared" si="1"/>
        <v>1340000</v>
      </c>
      <c r="J683" s="74">
        <f>IF(E683="SERVICE",I683-(I683*50%),Vlookup(E683,DATABASE!C:Q,10,false)*F683)</f>
        <v>0</v>
      </c>
      <c r="K683" s="74">
        <v>590000.0</v>
      </c>
      <c r="L683" s="74">
        <v>590000.0</v>
      </c>
      <c r="M683" s="74">
        <f t="shared" si="2"/>
        <v>590000</v>
      </c>
      <c r="N683" s="74">
        <f t="shared" si="3"/>
        <v>160000</v>
      </c>
      <c r="O683" s="65" t="str">
        <f>VLOOKUP(E683,DATABASE!C:Q,8,false)</f>
        <v>IBU</v>
      </c>
      <c r="P683" s="65">
        <f>VLOOKUP(E683,DATABASE!C:Q,9,False)</f>
        <v>1</v>
      </c>
      <c r="Q683" s="93" t="str">
        <f>VLOOKUP(E683,DATABASE!C:Q,4,false)</f>
        <v>Dunlop</v>
      </c>
      <c r="R683" s="93" t="str">
        <f>VLOOKUP(E683,DATABASE!C:Q,11,false)</f>
        <v>Tire</v>
      </c>
    </row>
    <row r="684" ht="22.5" customHeight="1">
      <c r="A684" s="49"/>
      <c r="C684" s="384">
        <v>45698.0</v>
      </c>
      <c r="D684" s="65">
        <v>4279.0</v>
      </c>
      <c r="E684" s="445" t="s">
        <v>1237</v>
      </c>
      <c r="F684" s="386">
        <v>2.0</v>
      </c>
      <c r="G684" s="74">
        <v>1200000.0</v>
      </c>
      <c r="H684" s="74">
        <v>0.0</v>
      </c>
      <c r="I684" s="74">
        <f t="shared" si="1"/>
        <v>2400000</v>
      </c>
      <c r="J684" s="74">
        <f>IF(E684="SERVICE",I684-(I684*50%),Vlookup(E684,DATABASE!C:Q,10,false)*F684)</f>
        <v>0</v>
      </c>
      <c r="K684" s="74">
        <f>VLOOKUP(E684,DATABASE!C:Q,7,false)</f>
        <v>1170353.16</v>
      </c>
      <c r="L684" s="74">
        <v>1113907.2</v>
      </c>
      <c r="M684" s="74">
        <f t="shared" si="2"/>
        <v>1115000</v>
      </c>
      <c r="N684" s="74">
        <f t="shared" si="3"/>
        <v>170000</v>
      </c>
      <c r="O684" s="65" t="str">
        <f>VLOOKUP(E684,DATABASE!C:Q,8,false)</f>
        <v>IBU</v>
      </c>
      <c r="P684" s="65">
        <f>VLOOKUP(E684,DATABASE!C:Q,9,False)</f>
        <v>1</v>
      </c>
      <c r="Q684" s="93" t="str">
        <f>VLOOKUP(E684,DATABASE!C:Q,4,false)</f>
        <v>Bridgestone</v>
      </c>
      <c r="R684" s="93" t="str">
        <f>VLOOKUP(E684,DATABASE!C:Q,11,false)</f>
        <v>Tire</v>
      </c>
    </row>
    <row r="685" ht="22.5" customHeight="1">
      <c r="A685" s="49"/>
      <c r="C685" s="384">
        <v>45698.0</v>
      </c>
      <c r="D685" s="65">
        <v>4280.0</v>
      </c>
      <c r="E685" s="445" t="s">
        <v>275</v>
      </c>
      <c r="F685" s="386">
        <v>1.0</v>
      </c>
      <c r="G685" s="74">
        <v>830000.0</v>
      </c>
      <c r="H685" s="74">
        <v>0.0</v>
      </c>
      <c r="I685" s="74">
        <f t="shared" si="1"/>
        <v>830000</v>
      </c>
      <c r="J685" s="74">
        <f>IF(E685="SERVICE",I685-(I685*50%),Vlookup(E685,DATABASE!C:Q,10,false)*F685)</f>
        <v>0</v>
      </c>
      <c r="K685" s="74">
        <v>735000.0</v>
      </c>
      <c r="L685" s="74">
        <v>735000.0</v>
      </c>
      <c r="M685" s="74">
        <f t="shared" si="2"/>
        <v>735000</v>
      </c>
      <c r="N685" s="74">
        <f t="shared" si="3"/>
        <v>95000</v>
      </c>
      <c r="O685" s="65" t="str">
        <f>VLOOKUP(E685,DATABASE!C:Q,8,false)</f>
        <v>IBU</v>
      </c>
      <c r="P685" s="65">
        <f>VLOOKUP(E685,DATABASE!C:Q,9,False)</f>
        <v>1</v>
      </c>
      <c r="Q685" s="93" t="str">
        <f>VLOOKUP(E685,DATABASE!C:Q,4,false)</f>
        <v>Dunlop</v>
      </c>
      <c r="R685" s="93" t="str">
        <f>VLOOKUP(E685,DATABASE!C:Q,11,false)</f>
        <v>Tire</v>
      </c>
    </row>
    <row r="686" ht="22.5" customHeight="1">
      <c r="A686" s="49"/>
      <c r="C686" s="384">
        <v>45698.0</v>
      </c>
      <c r="D686" s="65">
        <v>4281.0</v>
      </c>
      <c r="E686" s="445" t="s">
        <v>604</v>
      </c>
      <c r="F686" s="386">
        <v>1.0</v>
      </c>
      <c r="G686" s="74">
        <v>160000.0</v>
      </c>
      <c r="H686" s="74">
        <v>0.0</v>
      </c>
      <c r="I686" s="74">
        <f t="shared" si="1"/>
        <v>160000</v>
      </c>
      <c r="J686" s="74">
        <f>IF(E686="SERVICE",I686-(I686*50%),Vlookup(E686,DATABASE!C:Q,10,false)*F686)</f>
        <v>0</v>
      </c>
      <c r="K686" s="74">
        <f>VLOOKUP(E686,DATABASE!C:Q,7,false)</f>
        <v>124000</v>
      </c>
      <c r="L686" s="74">
        <v>124000.0</v>
      </c>
      <c r="M686" s="74">
        <f t="shared" si="2"/>
        <v>125000</v>
      </c>
      <c r="N686" s="74">
        <f t="shared" si="3"/>
        <v>35000</v>
      </c>
      <c r="O686" s="65" t="str">
        <f>VLOOKUP(E686,DATABASE!C:Q,8,false)</f>
        <v>BIAN</v>
      </c>
      <c r="P686" s="65">
        <f>VLOOKUP(E686,DATABASE!C:Q,9,False)</f>
        <v>1</v>
      </c>
      <c r="Q686" s="93" t="str">
        <f>VLOOKUP(E686,DATABASE!C:Q,4,false)</f>
        <v>BD</v>
      </c>
      <c r="R686" s="93" t="str">
        <f>VLOOKUP(E686,DATABASE!C:Q,11,false)</f>
        <v>Tire</v>
      </c>
    </row>
    <row r="687" ht="22.5" customHeight="1">
      <c r="A687" s="49"/>
      <c r="C687" s="384">
        <v>45698.0</v>
      </c>
      <c r="D687" s="65">
        <v>4282.0</v>
      </c>
      <c r="E687" s="445" t="s">
        <v>791</v>
      </c>
      <c r="F687" s="386">
        <v>2.0</v>
      </c>
      <c r="G687" s="74">
        <v>1280000.0</v>
      </c>
      <c r="H687" s="74">
        <v>0.0</v>
      </c>
      <c r="I687" s="74">
        <f t="shared" si="1"/>
        <v>2560000</v>
      </c>
      <c r="J687" s="74">
        <f>IF(E687="SERVICE",I687-(I687*50%),Vlookup(E687,DATABASE!C:Q,10,false)*F687)</f>
        <v>0</v>
      </c>
      <c r="K687" s="74">
        <f>VLOOKUP(E687,DATABASE!C:Q,7,false)</f>
        <v>1210000</v>
      </c>
      <c r="L687" s="74">
        <v>1180000.0</v>
      </c>
      <c r="M687" s="74">
        <f t="shared" si="2"/>
        <v>1180000</v>
      </c>
      <c r="N687" s="74">
        <f t="shared" si="3"/>
        <v>200000</v>
      </c>
      <c r="O687" s="65" t="str">
        <f>VLOOKUP(E687,DATABASE!C:Q,8,false)</f>
        <v>BIAN</v>
      </c>
      <c r="P687" s="65">
        <f>VLOOKUP(E687,DATABASE!C:Q,9,False)</f>
        <v>1</v>
      </c>
      <c r="Q687" s="93" t="str">
        <f>VLOOKUP(E687,DATABASE!C:Q,4,false)</f>
        <v>GT</v>
      </c>
      <c r="R687" s="93" t="str">
        <f>VLOOKUP(E687,DATABASE!C:Q,11,false)</f>
        <v>Tire</v>
      </c>
    </row>
    <row r="688" ht="22.5" customHeight="1">
      <c r="A688" s="49"/>
      <c r="C688" s="384">
        <v>45698.0</v>
      </c>
      <c r="D688" s="65">
        <v>4282.0</v>
      </c>
      <c r="E688" s="445" t="s">
        <v>255</v>
      </c>
      <c r="F688" s="386">
        <v>2.0</v>
      </c>
      <c r="G688" s="74">
        <v>200000.0</v>
      </c>
      <c r="H688" s="74">
        <v>0.0</v>
      </c>
      <c r="I688" s="74">
        <f t="shared" si="1"/>
        <v>400000</v>
      </c>
      <c r="J688" s="74">
        <f>IF(E688="SERVICE",I688-(I688*50%),Vlookup(E688,DATABASE!C:Q,10,false)*F688)</f>
        <v>0</v>
      </c>
      <c r="K688" s="74">
        <f>VLOOKUP(E688,DATABASE!C:Q,7,false)</f>
        <v>161840</v>
      </c>
      <c r="L688" s="74">
        <v>161840.0</v>
      </c>
      <c r="M688" s="74">
        <f t="shared" si="2"/>
        <v>165000</v>
      </c>
      <c r="N688" s="74">
        <f t="shared" si="3"/>
        <v>70000</v>
      </c>
      <c r="O688" s="65" t="str">
        <f>VLOOKUP(E688,DATABASE!C:Q,8,false)</f>
        <v>BIAN</v>
      </c>
      <c r="P688" s="65">
        <f>VLOOKUP(E688,DATABASE!C:Q,9,False)</f>
        <v>1</v>
      </c>
      <c r="Q688" s="93" t="str">
        <f>VLOOKUP(E688,DATABASE!C:Q,4,false)</f>
        <v>BD</v>
      </c>
      <c r="R688" s="93" t="str">
        <f>VLOOKUP(E688,DATABASE!C:Q,11,false)</f>
        <v>Tire</v>
      </c>
    </row>
    <row r="689" ht="22.5" customHeight="1">
      <c r="A689" s="49"/>
      <c r="C689" s="384">
        <v>45698.0</v>
      </c>
      <c r="D689" s="65">
        <v>4282.0</v>
      </c>
      <c r="E689" s="445" t="s">
        <v>814</v>
      </c>
      <c r="F689" s="386">
        <v>1.0</v>
      </c>
      <c r="G689" s="74">
        <v>60000.0</v>
      </c>
      <c r="H689" s="74">
        <v>0.0</v>
      </c>
      <c r="I689" s="74">
        <f t="shared" si="1"/>
        <v>60000</v>
      </c>
      <c r="J689" s="74">
        <f>IF(E689="SERVICE",I689-(I689*50%),Vlookup(E689,DATABASE!C:Q,10,false)*F689)</f>
        <v>0</v>
      </c>
      <c r="K689" s="74">
        <f>VLOOKUP(E689,DATABASE!C:Q,7,false)</f>
        <v>39440</v>
      </c>
      <c r="L689" s="74">
        <v>39440.0</v>
      </c>
      <c r="M689" s="74">
        <f t="shared" si="2"/>
        <v>40000</v>
      </c>
      <c r="N689" s="74">
        <f t="shared" si="3"/>
        <v>20000</v>
      </c>
      <c r="O689" s="65" t="str">
        <f>VLOOKUP(E689,DATABASE!C:Q,8,false)</f>
        <v>BIAN</v>
      </c>
      <c r="P689" s="65">
        <f>VLOOKUP(E689,DATABASE!C:Q,9,False)</f>
        <v>1</v>
      </c>
      <c r="Q689" s="93" t="str">
        <f>VLOOKUP(E689,DATABASE!C:Q,4,false)</f>
        <v>Flap</v>
      </c>
      <c r="R689" s="93" t="str">
        <f>VLOOKUP(E689,DATABASE!C:Q,11,false)</f>
        <v>Tire</v>
      </c>
    </row>
    <row r="690" ht="22.5" customHeight="1">
      <c r="A690" s="49"/>
      <c r="C690" s="384">
        <v>45698.0</v>
      </c>
      <c r="D690" s="65">
        <v>4283.0</v>
      </c>
      <c r="E690" s="445" t="s">
        <v>1196</v>
      </c>
      <c r="F690" s="386">
        <v>1.0</v>
      </c>
      <c r="G690" s="74">
        <v>1050000.0</v>
      </c>
      <c r="H690" s="74">
        <v>0.0</v>
      </c>
      <c r="I690" s="74">
        <f t="shared" si="1"/>
        <v>1050000</v>
      </c>
      <c r="J690" s="74">
        <f>IF(E690="SERVICE",I690-(I690*50%),Vlookup(E690,DATABASE!C:Q,10,false)*F690)</f>
        <v>0</v>
      </c>
      <c r="K690" s="74">
        <f>VLOOKUP(E690,DATABASE!C:Q,7,false)</f>
        <v>943430.5</v>
      </c>
      <c r="L690" s="74">
        <v>945190.375</v>
      </c>
      <c r="M690" s="74">
        <f t="shared" si="2"/>
        <v>950000</v>
      </c>
      <c r="N690" s="74">
        <f t="shared" si="3"/>
        <v>100000</v>
      </c>
      <c r="O690" s="65" t="str">
        <f>VLOOKUP(E690,DATABASE!C:Q,8,false)</f>
        <v>IBU</v>
      </c>
      <c r="P690" s="65">
        <f>VLOOKUP(E690,DATABASE!C:Q,9,False)</f>
        <v>1</v>
      </c>
      <c r="Q690" s="93" t="str">
        <f>VLOOKUP(E690,DATABASE!C:Q,4,false)</f>
        <v>Bridgestone</v>
      </c>
      <c r="R690" s="93" t="str">
        <f>VLOOKUP(E690,DATABASE!C:Q,11,false)</f>
        <v>Tire</v>
      </c>
    </row>
    <row r="691" ht="22.5" customHeight="1">
      <c r="A691" s="49"/>
      <c r="C691" s="384">
        <v>45698.0</v>
      </c>
      <c r="D691" s="65">
        <v>4285.0</v>
      </c>
      <c r="E691" s="445" t="s">
        <v>250</v>
      </c>
      <c r="F691" s="386">
        <v>1.0</v>
      </c>
      <c r="G691" s="74">
        <v>135000.0</v>
      </c>
      <c r="H691" s="74">
        <v>0.0</v>
      </c>
      <c r="I691" s="74">
        <f t="shared" si="1"/>
        <v>135000</v>
      </c>
      <c r="J691" s="74">
        <f>IF(E691="SERVICE",I691-(I691*50%),Vlookup(E691,DATABASE!C:Q,10,false)*F691)</f>
        <v>0</v>
      </c>
      <c r="K691" s="74">
        <f>VLOOKUP(E691,DATABASE!C:Q,7,false)</f>
        <v>102000</v>
      </c>
      <c r="L691" s="74">
        <v>102000.0</v>
      </c>
      <c r="M691" s="74">
        <f t="shared" si="2"/>
        <v>105000</v>
      </c>
      <c r="N691" s="74">
        <f t="shared" si="3"/>
        <v>30000</v>
      </c>
      <c r="O691" s="65" t="str">
        <f>VLOOKUP(E691,DATABASE!C:Q,8,false)</f>
        <v>BIAN</v>
      </c>
      <c r="P691" s="65">
        <f>VLOOKUP(E691,DATABASE!C:Q,9,False)</f>
        <v>1</v>
      </c>
      <c r="Q691" s="93" t="str">
        <f>VLOOKUP(E691,DATABASE!C:Q,4,false)</f>
        <v>BD</v>
      </c>
      <c r="R691" s="93" t="str">
        <f>VLOOKUP(E691,DATABASE!C:Q,11,false)</f>
        <v>Tire</v>
      </c>
    </row>
    <row r="692" ht="22.5" customHeight="1">
      <c r="A692" s="49"/>
      <c r="C692" s="384">
        <v>45698.0</v>
      </c>
      <c r="D692" s="65">
        <v>4286.0</v>
      </c>
      <c r="E692" s="445" t="s">
        <v>1301</v>
      </c>
      <c r="F692" s="386">
        <v>1.0</v>
      </c>
      <c r="G692" s="74">
        <v>1265000.0</v>
      </c>
      <c r="H692" s="74">
        <v>0.0</v>
      </c>
      <c r="I692" s="74">
        <f t="shared" si="1"/>
        <v>1265000</v>
      </c>
      <c r="J692" s="74">
        <f>IF(E692="SERVICE",I692-(I692*50%),Vlookup(E692,DATABASE!C:Q,10,false)*F692)</f>
        <v>0</v>
      </c>
      <c r="K692" s="74">
        <f>VLOOKUP(E692,DATABASE!C:Q,7,false)</f>
        <v>1194000</v>
      </c>
      <c r="L692" s="74">
        <v>1182000.0</v>
      </c>
      <c r="M692" s="74">
        <f t="shared" si="2"/>
        <v>1185000</v>
      </c>
      <c r="N692" s="74">
        <f t="shared" si="3"/>
        <v>80000</v>
      </c>
      <c r="O692" s="65" t="str">
        <f>VLOOKUP(E692,DATABASE!C:Q,8,false)</f>
        <v>IBU</v>
      </c>
      <c r="P692" s="65">
        <f>VLOOKUP(E692,DATABASE!C:Q,9,False)</f>
        <v>1</v>
      </c>
      <c r="Q692" s="93" t="str">
        <f>VLOOKUP(E692,DATABASE!C:Q,4,false)</f>
        <v>Dunlop</v>
      </c>
      <c r="R692" s="93" t="str">
        <f>VLOOKUP(E692,DATABASE!C:Q,11,false)</f>
        <v>Tire</v>
      </c>
    </row>
    <row r="693" ht="22.5" customHeight="1">
      <c r="A693" s="49"/>
      <c r="C693" s="384">
        <v>45698.0</v>
      </c>
      <c r="D693" s="65">
        <v>4287.0</v>
      </c>
      <c r="E693" s="445" t="s">
        <v>706</v>
      </c>
      <c r="F693" s="386">
        <v>1.0</v>
      </c>
      <c r="G693" s="74">
        <v>590000.0</v>
      </c>
      <c r="H693" s="74">
        <v>0.0</v>
      </c>
      <c r="I693" s="74">
        <f t="shared" si="1"/>
        <v>590000</v>
      </c>
      <c r="J693" s="74">
        <f>IF(E693="SERVICE",I693-(I693*50%),Vlookup(E693,DATABASE!C:Q,10,false)*F693)</f>
        <v>0</v>
      </c>
      <c r="K693" s="74">
        <f>VLOOKUP(E693,DATABASE!C:Q,7,false)</f>
        <v>485000</v>
      </c>
      <c r="L693" s="74">
        <v>485000.0</v>
      </c>
      <c r="M693" s="74">
        <f t="shared" si="2"/>
        <v>485000</v>
      </c>
      <c r="N693" s="74">
        <f t="shared" si="3"/>
        <v>105000</v>
      </c>
      <c r="O693" s="65" t="str">
        <f>VLOOKUP(E693,DATABASE!C:Q,8,false)</f>
        <v>IBU</v>
      </c>
      <c r="P693" s="65">
        <f>VLOOKUP(E693,DATABASE!C:Q,9,False)</f>
        <v>1</v>
      </c>
      <c r="Q693" s="93" t="str">
        <f>VLOOKUP(E693,DATABASE!C:Q,4,false)</f>
        <v>Dunlop</v>
      </c>
      <c r="R693" s="93" t="str">
        <f>VLOOKUP(E693,DATABASE!C:Q,11,false)</f>
        <v>Tire</v>
      </c>
    </row>
    <row r="694" ht="22.5" customHeight="1">
      <c r="A694" s="49"/>
      <c r="C694" s="384">
        <v>45698.0</v>
      </c>
      <c r="D694" s="65">
        <v>4288.0</v>
      </c>
      <c r="E694" s="445" t="s">
        <v>265</v>
      </c>
      <c r="F694" s="386">
        <v>2.0</v>
      </c>
      <c r="G694" s="74">
        <v>670000.0</v>
      </c>
      <c r="H694" s="74">
        <v>0.0</v>
      </c>
      <c r="I694" s="74">
        <f t="shared" si="1"/>
        <v>1340000</v>
      </c>
      <c r="J694" s="74">
        <f>IF(E694="SERVICE",I694-(I694*50%),Vlookup(E694,DATABASE!C:Q,10,false)*F694)</f>
        <v>0</v>
      </c>
      <c r="K694" s="74">
        <v>590000.0</v>
      </c>
      <c r="L694" s="74">
        <v>590000.0</v>
      </c>
      <c r="M694" s="74">
        <f t="shared" si="2"/>
        <v>590000</v>
      </c>
      <c r="N694" s="74">
        <f t="shared" si="3"/>
        <v>160000</v>
      </c>
      <c r="O694" s="65" t="str">
        <f>VLOOKUP(E694,DATABASE!C:Q,8,false)</f>
        <v>IBU</v>
      </c>
      <c r="P694" s="65">
        <f>VLOOKUP(E694,DATABASE!C:Q,9,False)</f>
        <v>1</v>
      </c>
      <c r="Q694" s="93" t="str">
        <f>VLOOKUP(E694,DATABASE!C:Q,4,false)</f>
        <v>Dunlop</v>
      </c>
      <c r="R694" s="93" t="str">
        <f>VLOOKUP(E694,DATABASE!C:Q,11,false)</f>
        <v>Tire</v>
      </c>
    </row>
    <row r="695" ht="22.5" customHeight="1">
      <c r="A695" s="49"/>
      <c r="C695" s="384">
        <v>45698.0</v>
      </c>
      <c r="D695" s="65">
        <v>4289.0</v>
      </c>
      <c r="E695" s="445" t="s">
        <v>268</v>
      </c>
      <c r="F695" s="386">
        <v>2.0</v>
      </c>
      <c r="G695" s="74">
        <v>695000.0</v>
      </c>
      <c r="H695" s="74">
        <v>0.0</v>
      </c>
      <c r="I695" s="74">
        <f t="shared" si="1"/>
        <v>1390000</v>
      </c>
      <c r="J695" s="74">
        <f>IF(E695="SERVICE",I695-(I695*50%),Vlookup(E695,DATABASE!C:Q,10,false)*F695)</f>
        <v>0</v>
      </c>
      <c r="K695" s="74">
        <v>613000.0</v>
      </c>
      <c r="L695" s="74">
        <v>613000.0</v>
      </c>
      <c r="M695" s="74">
        <f t="shared" si="2"/>
        <v>615000</v>
      </c>
      <c r="N695" s="74">
        <f t="shared" si="3"/>
        <v>160000</v>
      </c>
      <c r="O695" s="65" t="str">
        <f>VLOOKUP(E695,DATABASE!C:Q,8,false)</f>
        <v>IBU</v>
      </c>
      <c r="P695" s="65">
        <f>VLOOKUP(E695,DATABASE!C:Q,9,False)</f>
        <v>1</v>
      </c>
      <c r="Q695" s="93" t="str">
        <f>VLOOKUP(E695,DATABASE!C:Q,4,false)</f>
        <v>Dunlop</v>
      </c>
      <c r="R695" s="93" t="str">
        <f>VLOOKUP(E695,DATABASE!C:Q,11,false)</f>
        <v>Tire</v>
      </c>
    </row>
    <row r="696" ht="22.5" customHeight="1">
      <c r="A696" s="49"/>
      <c r="C696" s="384">
        <v>45698.0</v>
      </c>
      <c r="D696" s="65">
        <v>4290.0</v>
      </c>
      <c r="E696" s="445" t="s">
        <v>256</v>
      </c>
      <c r="F696" s="386">
        <v>1.0</v>
      </c>
      <c r="G696" s="74">
        <v>130000.0</v>
      </c>
      <c r="H696" s="74">
        <v>0.0</v>
      </c>
      <c r="I696" s="74">
        <f t="shared" si="1"/>
        <v>130000</v>
      </c>
      <c r="J696" s="74">
        <f>IF(E696="SERVICE",I696-(I696*50%),Vlookup(E696,DATABASE!C:Q,10,false)*F696)</f>
        <v>10000</v>
      </c>
      <c r="K696" s="74">
        <f>VLOOKUP(E696,DATABASE!C:Q,7,false)</f>
        <v>0</v>
      </c>
      <c r="L696" s="74">
        <v>0.0</v>
      </c>
      <c r="M696" s="74">
        <f t="shared" si="2"/>
        <v>0</v>
      </c>
      <c r="N696" s="74">
        <f t="shared" si="3"/>
        <v>120000</v>
      </c>
      <c r="O696" s="65" t="str">
        <f>VLOOKUP(E696,DATABASE!C:Q,8,false)</f>
        <v>IBU</v>
      </c>
      <c r="P696" s="65">
        <f>VLOOKUP(E696,DATABASE!C:Q,9,False)</f>
        <v>0</v>
      </c>
      <c r="Q696" s="93" t="str">
        <f>VLOOKUP(E696,DATABASE!C:Q,4,false)</f>
        <v>SPOORING</v>
      </c>
      <c r="R696" s="93" t="str">
        <f>VLOOKUP(E696,DATABASE!C:Q,11,false)</f>
        <v>SERVICE</v>
      </c>
    </row>
    <row r="697" ht="22.5" customHeight="1">
      <c r="A697" s="49"/>
      <c r="C697" s="384">
        <v>45698.0</v>
      </c>
      <c r="D697" s="65">
        <v>4290.0</v>
      </c>
      <c r="E697" s="445" t="s">
        <v>301</v>
      </c>
      <c r="F697" s="386">
        <v>1.0</v>
      </c>
      <c r="G697" s="74">
        <v>250000.0</v>
      </c>
      <c r="H697" s="74">
        <v>0.0</v>
      </c>
      <c r="I697" s="74">
        <f t="shared" si="1"/>
        <v>250000</v>
      </c>
      <c r="J697" s="74">
        <f>IF(E697="SERVICE",I697-(I697*50%),Vlookup(E697,DATABASE!C:Q,10,false)*F697)</f>
        <v>75000</v>
      </c>
      <c r="K697" s="74">
        <f>VLOOKUP(E697,DATABASE!C:Q,7,false)</f>
        <v>75000</v>
      </c>
      <c r="L697" s="74">
        <v>75000.0</v>
      </c>
      <c r="M697" s="74">
        <f t="shared" si="2"/>
        <v>75000</v>
      </c>
      <c r="N697" s="74">
        <f t="shared" si="3"/>
        <v>100000</v>
      </c>
      <c r="O697" s="65" t="str">
        <f>VLOOKUP(E697,DATABASE!C:Q,8,false)</f>
        <v>BIAN</v>
      </c>
      <c r="P697" s="65">
        <f>VLOOKUP(E697,DATABASE!C:Q,9,False)</f>
        <v>0</v>
      </c>
      <c r="Q697" s="93" t="str">
        <f>VLOOKUP(E697,DATABASE!C:Q,4,false)</f>
        <v>Baut Camber</v>
      </c>
      <c r="R697" s="93" t="str">
        <f>VLOOKUP(E697,DATABASE!C:Q,11,false)</f>
        <v>COMPLEMENTARY</v>
      </c>
    </row>
    <row r="698" ht="22.5" customHeight="1">
      <c r="A698" s="49"/>
      <c r="C698" s="384">
        <v>45698.0</v>
      </c>
      <c r="D698" s="65">
        <v>4291.0</v>
      </c>
      <c r="E698" s="445" t="s">
        <v>1372</v>
      </c>
      <c r="F698" s="386">
        <v>2.0</v>
      </c>
      <c r="G698" s="74">
        <v>1120000.0</v>
      </c>
      <c r="H698" s="74">
        <v>0.0</v>
      </c>
      <c r="I698" s="74">
        <f t="shared" si="1"/>
        <v>2240000</v>
      </c>
      <c r="J698" s="74">
        <f>IF(E698="SERVICE",I698-(I698*50%),Vlookup(E698,DATABASE!C:Q,10,false)*F698)</f>
        <v>0</v>
      </c>
      <c r="K698" s="74">
        <f>VLOOKUP(E698,DATABASE!C:Q,7,false)</f>
        <v>1040000</v>
      </c>
      <c r="L698" s="74">
        <v>1040000.0</v>
      </c>
      <c r="M698" s="74">
        <f t="shared" si="2"/>
        <v>1040000</v>
      </c>
      <c r="N698" s="74">
        <f t="shared" si="3"/>
        <v>160000</v>
      </c>
      <c r="O698" s="65" t="str">
        <f>VLOOKUP(E698,DATABASE!C:Q,8,false)</f>
        <v>IBU</v>
      </c>
      <c r="P698" s="65">
        <f>VLOOKUP(E698,DATABASE!C:Q,9,False)</f>
        <v>1</v>
      </c>
      <c r="Q698" s="93" t="str">
        <f>VLOOKUP(E698,DATABASE!C:Q,4,false)</f>
        <v>Dunlop</v>
      </c>
      <c r="R698" s="93" t="str">
        <f>VLOOKUP(E698,DATABASE!C:Q,11,false)</f>
        <v>Tire</v>
      </c>
    </row>
    <row r="699" ht="22.5" customHeight="1">
      <c r="A699" s="49"/>
      <c r="C699" s="384">
        <v>45698.0</v>
      </c>
      <c r="D699" s="65">
        <v>4292.0</v>
      </c>
      <c r="E699" s="445" t="s">
        <v>287</v>
      </c>
      <c r="F699" s="386">
        <v>2.0</v>
      </c>
      <c r="G699" s="74">
        <v>775000.0</v>
      </c>
      <c r="H699" s="74">
        <v>0.0</v>
      </c>
      <c r="I699" s="74">
        <f t="shared" si="1"/>
        <v>1550000</v>
      </c>
      <c r="J699" s="74">
        <f>IF(E699="SERVICE",I699-(I699*50%),Vlookup(E699,DATABASE!C:Q,10,false)*F699)</f>
        <v>0</v>
      </c>
      <c r="K699" s="74">
        <f>VLOOKUP(E699,DATABASE!C:Q,7,false)</f>
        <v>711000</v>
      </c>
      <c r="L699" s="74">
        <v>690600.0</v>
      </c>
      <c r="M699" s="74">
        <f t="shared" si="2"/>
        <v>695000</v>
      </c>
      <c r="N699" s="74">
        <f t="shared" si="3"/>
        <v>160000</v>
      </c>
      <c r="O699" s="65" t="str">
        <f>VLOOKUP(E699,DATABASE!C:Q,8,false)</f>
        <v>BIAN</v>
      </c>
      <c r="P699" s="65">
        <f>VLOOKUP(E699,DATABASE!C:Q,9,False)</f>
        <v>1</v>
      </c>
      <c r="Q699" s="93" t="str">
        <f>VLOOKUP(E699,DATABASE!C:Q,4,false)</f>
        <v>GT</v>
      </c>
      <c r="R699" s="93" t="str">
        <f>VLOOKUP(E699,DATABASE!C:Q,11,false)</f>
        <v>Tire</v>
      </c>
    </row>
    <row r="700" ht="22.5" customHeight="1">
      <c r="A700" s="49"/>
      <c r="C700" s="384">
        <v>45699.0</v>
      </c>
      <c r="D700" s="65">
        <v>4294.0</v>
      </c>
      <c r="E700" s="445" t="s">
        <v>256</v>
      </c>
      <c r="F700" s="386">
        <v>1.0</v>
      </c>
      <c r="G700" s="74">
        <v>130000.0</v>
      </c>
      <c r="H700" s="74">
        <v>0.0</v>
      </c>
      <c r="I700" s="74">
        <f t="shared" si="1"/>
        <v>130000</v>
      </c>
      <c r="J700" s="74">
        <f>IF(E700="SERVICE",I700-(I700*50%),Vlookup(E700,DATABASE!C:Q,10,false)*F700)</f>
        <v>10000</v>
      </c>
      <c r="K700" s="74">
        <f>VLOOKUP(E700,DATABASE!C:Q,7,false)</f>
        <v>0</v>
      </c>
      <c r="L700" s="74">
        <v>0.0</v>
      </c>
      <c r="M700" s="74">
        <f t="shared" si="2"/>
        <v>0</v>
      </c>
      <c r="N700" s="74">
        <f t="shared" si="3"/>
        <v>120000</v>
      </c>
      <c r="O700" s="65" t="str">
        <f>VLOOKUP(E700,DATABASE!C:Q,8,false)</f>
        <v>IBU</v>
      </c>
      <c r="P700" s="65">
        <f>VLOOKUP(E700,DATABASE!C:Q,9,False)</f>
        <v>0</v>
      </c>
      <c r="Q700" s="93" t="str">
        <f>VLOOKUP(E700,DATABASE!C:Q,4,false)</f>
        <v>SPOORING</v>
      </c>
      <c r="R700" s="93" t="str">
        <f>VLOOKUP(E700,DATABASE!C:Q,11,false)</f>
        <v>SERVICE</v>
      </c>
    </row>
    <row r="701" ht="22.5" customHeight="1">
      <c r="A701" s="49"/>
      <c r="C701" s="384">
        <v>45699.0</v>
      </c>
      <c r="D701" s="65">
        <v>4294.0</v>
      </c>
      <c r="E701" s="445" t="s">
        <v>301</v>
      </c>
      <c r="F701" s="386">
        <v>1.0</v>
      </c>
      <c r="G701" s="74">
        <v>250000.0</v>
      </c>
      <c r="H701" s="74">
        <v>0.0</v>
      </c>
      <c r="I701" s="74">
        <f t="shared" si="1"/>
        <v>250000</v>
      </c>
      <c r="J701" s="74">
        <f>IF(E701="SERVICE",I701-(I701*50%),Vlookup(E701,DATABASE!C:Q,10,false)*F701)</f>
        <v>75000</v>
      </c>
      <c r="K701" s="74">
        <f>VLOOKUP(E701,DATABASE!C:Q,7,false)</f>
        <v>75000</v>
      </c>
      <c r="L701" s="74">
        <v>75000.0</v>
      </c>
      <c r="M701" s="74">
        <f t="shared" si="2"/>
        <v>75000</v>
      </c>
      <c r="N701" s="74">
        <f t="shared" si="3"/>
        <v>100000</v>
      </c>
      <c r="O701" s="65" t="str">
        <f>VLOOKUP(E701,DATABASE!C:Q,8,false)</f>
        <v>BIAN</v>
      </c>
      <c r="P701" s="65">
        <f>VLOOKUP(E701,DATABASE!C:Q,9,False)</f>
        <v>0</v>
      </c>
      <c r="Q701" s="93" t="str">
        <f>VLOOKUP(E701,DATABASE!C:Q,4,false)</f>
        <v>Baut Camber</v>
      </c>
      <c r="R701" s="93" t="str">
        <f>VLOOKUP(E701,DATABASE!C:Q,11,false)</f>
        <v>COMPLEMENTARY</v>
      </c>
    </row>
    <row r="702" ht="22.5" customHeight="1">
      <c r="A702" s="49"/>
      <c r="C702" s="384">
        <v>45699.0</v>
      </c>
      <c r="D702" s="65">
        <v>4295.0</v>
      </c>
      <c r="E702" s="445" t="s">
        <v>265</v>
      </c>
      <c r="F702" s="386">
        <v>1.0</v>
      </c>
      <c r="G702" s="74">
        <v>670000.0</v>
      </c>
      <c r="H702" s="74">
        <v>0.0</v>
      </c>
      <c r="I702" s="74">
        <f t="shared" si="1"/>
        <v>670000</v>
      </c>
      <c r="J702" s="74">
        <f>IF(E702="SERVICE",I702-(I702*50%),Vlookup(E702,DATABASE!C:Q,10,false)*F702)</f>
        <v>0</v>
      </c>
      <c r="K702" s="74">
        <v>590000.0</v>
      </c>
      <c r="L702" s="74">
        <v>590000.0</v>
      </c>
      <c r="M702" s="74">
        <f t="shared" si="2"/>
        <v>590000</v>
      </c>
      <c r="N702" s="74">
        <f t="shared" si="3"/>
        <v>80000</v>
      </c>
      <c r="O702" s="65" t="str">
        <f>VLOOKUP(E702,DATABASE!C:Q,8,false)</f>
        <v>IBU</v>
      </c>
      <c r="P702" s="65">
        <f>VLOOKUP(E702,DATABASE!C:Q,9,False)</f>
        <v>1</v>
      </c>
      <c r="Q702" s="93" t="str">
        <f>VLOOKUP(E702,DATABASE!C:Q,4,false)</f>
        <v>Dunlop</v>
      </c>
      <c r="R702" s="93" t="str">
        <f>VLOOKUP(E702,DATABASE!C:Q,11,false)</f>
        <v>Tire</v>
      </c>
    </row>
    <row r="703" ht="22.5" customHeight="1">
      <c r="A703" s="49"/>
      <c r="C703" s="384">
        <v>45699.0</v>
      </c>
      <c r="D703" s="65">
        <v>4297.0</v>
      </c>
      <c r="E703" s="445" t="s">
        <v>268</v>
      </c>
      <c r="F703" s="386">
        <v>1.0</v>
      </c>
      <c r="G703" s="74">
        <v>700000.0</v>
      </c>
      <c r="H703" s="74">
        <v>0.0</v>
      </c>
      <c r="I703" s="74">
        <f t="shared" si="1"/>
        <v>700000</v>
      </c>
      <c r="J703" s="74">
        <f>IF(E703="SERVICE",I703-(I703*50%),Vlookup(E703,DATABASE!C:Q,10,false)*F703)</f>
        <v>0</v>
      </c>
      <c r="K703" s="74">
        <v>613000.0</v>
      </c>
      <c r="L703" s="74">
        <v>613000.0</v>
      </c>
      <c r="M703" s="74">
        <f t="shared" si="2"/>
        <v>615000</v>
      </c>
      <c r="N703" s="74">
        <f t="shared" si="3"/>
        <v>85000</v>
      </c>
      <c r="O703" s="65" t="str">
        <f>VLOOKUP(E703,DATABASE!C:Q,8,false)</f>
        <v>IBU</v>
      </c>
      <c r="P703" s="65">
        <f>VLOOKUP(E703,DATABASE!C:Q,9,False)</f>
        <v>1</v>
      </c>
      <c r="Q703" s="93" t="str">
        <f>VLOOKUP(E703,DATABASE!C:Q,4,false)</f>
        <v>Dunlop</v>
      </c>
      <c r="R703" s="93" t="str">
        <f>VLOOKUP(E703,DATABASE!C:Q,11,false)</f>
        <v>Tire</v>
      </c>
    </row>
    <row r="704" ht="22.5" customHeight="1">
      <c r="A704" s="49"/>
      <c r="C704" s="384">
        <v>45699.0</v>
      </c>
      <c r="D704" s="65">
        <v>4298.0</v>
      </c>
      <c r="E704" s="445" t="s">
        <v>2140</v>
      </c>
      <c r="F704" s="386">
        <v>1.0</v>
      </c>
      <c r="G704" s="74">
        <v>25000.0</v>
      </c>
      <c r="H704" s="74">
        <v>0.0</v>
      </c>
      <c r="I704" s="74">
        <f t="shared" si="1"/>
        <v>25000</v>
      </c>
      <c r="J704" s="74">
        <f>IF(E704="SERVICE",I704-(I704*50%),Vlookup(E704,DATABASE!C:Q,10,false)*F704)</f>
        <v>0</v>
      </c>
      <c r="K704" s="74">
        <f>VLOOKUP(E704,DATABASE!C:Q,7,false)</f>
        <v>5000</v>
      </c>
      <c r="L704" s="74">
        <v>0.0</v>
      </c>
      <c r="M704" s="74">
        <f t="shared" si="2"/>
        <v>0</v>
      </c>
      <c r="N704" s="74">
        <f t="shared" si="3"/>
        <v>25000</v>
      </c>
      <c r="O704" s="65" t="str">
        <f>VLOOKUP(E704,DATABASE!C:Q,8,false)</f>
        <v>IBU</v>
      </c>
      <c r="P704" s="65">
        <f>VLOOKUP(E704,DATABASE!C:Q,9,False)</f>
        <v>0</v>
      </c>
      <c r="Q704" s="93" t="str">
        <f>VLOOKUP(E704,DATABASE!C:Q,4,false)</f>
        <v>PENTIL + PASANG</v>
      </c>
      <c r="R704" s="93" t="str">
        <f>VLOOKUP(E704,DATABASE!C:Q,11,false)</f>
        <v>COMPLEMENTARY</v>
      </c>
    </row>
    <row r="705" ht="22.5" customHeight="1">
      <c r="A705" s="49"/>
      <c r="C705" s="384">
        <v>45699.0</v>
      </c>
      <c r="D705" s="65">
        <v>4299.0</v>
      </c>
      <c r="E705" s="445" t="s">
        <v>286</v>
      </c>
      <c r="F705" s="386">
        <v>2.0</v>
      </c>
      <c r="G705" s="74">
        <v>550000.0</v>
      </c>
      <c r="H705" s="74">
        <v>0.0</v>
      </c>
      <c r="I705" s="74">
        <f t="shared" si="1"/>
        <v>1100000</v>
      </c>
      <c r="J705" s="74">
        <f>IF(E705="SERVICE",I705-(I705*50%),Vlookup(E705,DATABASE!C:Q,10,false)*F705)</f>
        <v>0</v>
      </c>
      <c r="K705" s="74">
        <f>VLOOKUP(E705,DATABASE!C:Q,7,false)</f>
        <v>488320</v>
      </c>
      <c r="L705" s="74">
        <v>452970.0</v>
      </c>
      <c r="M705" s="74">
        <f t="shared" si="2"/>
        <v>455000</v>
      </c>
      <c r="N705" s="74">
        <f t="shared" si="3"/>
        <v>190000</v>
      </c>
      <c r="O705" s="65" t="str">
        <f>VLOOKUP(E705,DATABASE!C:Q,8,false)</f>
        <v>BIAN</v>
      </c>
      <c r="P705" s="65">
        <f>VLOOKUP(E705,DATABASE!C:Q,9,False)</f>
        <v>1</v>
      </c>
      <c r="Q705" s="93" t="str">
        <f>VLOOKUP(E705,DATABASE!C:Q,4,false)</f>
        <v>GT</v>
      </c>
      <c r="R705" s="93" t="str">
        <f>VLOOKUP(E705,DATABASE!C:Q,11,false)</f>
        <v>Tire</v>
      </c>
    </row>
    <row r="706" ht="22.5" customHeight="1">
      <c r="A706" s="49"/>
      <c r="C706" s="384">
        <v>45699.0</v>
      </c>
      <c r="D706" s="65">
        <v>4300.0</v>
      </c>
      <c r="E706" s="445" t="s">
        <v>275</v>
      </c>
      <c r="F706" s="386">
        <v>2.0</v>
      </c>
      <c r="G706" s="74">
        <v>830000.0</v>
      </c>
      <c r="H706" s="74">
        <v>0.0</v>
      </c>
      <c r="I706" s="74">
        <f t="shared" si="1"/>
        <v>1660000</v>
      </c>
      <c r="J706" s="74">
        <f>IF(E706="SERVICE",I706-(I706*50%),Vlookup(E706,DATABASE!C:Q,10,false)*F706)</f>
        <v>0</v>
      </c>
      <c r="K706" s="74">
        <v>735000.0</v>
      </c>
      <c r="L706" s="74">
        <v>735000.0</v>
      </c>
      <c r="M706" s="74">
        <f t="shared" si="2"/>
        <v>735000</v>
      </c>
      <c r="N706" s="74">
        <f t="shared" si="3"/>
        <v>190000</v>
      </c>
      <c r="O706" s="65" t="str">
        <f>VLOOKUP(E706,DATABASE!C:Q,8,false)</f>
        <v>IBU</v>
      </c>
      <c r="P706" s="65">
        <f>VLOOKUP(E706,DATABASE!C:Q,9,False)</f>
        <v>1</v>
      </c>
      <c r="Q706" s="93" t="str">
        <f>VLOOKUP(E706,DATABASE!C:Q,4,false)</f>
        <v>Dunlop</v>
      </c>
      <c r="R706" s="93" t="str">
        <f>VLOOKUP(E706,DATABASE!C:Q,11,false)</f>
        <v>Tire</v>
      </c>
    </row>
    <row r="707" ht="22.5" customHeight="1">
      <c r="A707" s="49"/>
      <c r="C707" s="384">
        <v>45699.0</v>
      </c>
      <c r="D707" s="65">
        <v>4302.0</v>
      </c>
      <c r="E707" s="445" t="s">
        <v>268</v>
      </c>
      <c r="F707" s="386">
        <v>1.0</v>
      </c>
      <c r="G707" s="74">
        <v>700000.0</v>
      </c>
      <c r="H707" s="74">
        <v>0.0</v>
      </c>
      <c r="I707" s="74">
        <f t="shared" si="1"/>
        <v>700000</v>
      </c>
      <c r="J707" s="74">
        <f>IF(E707="SERVICE",I707-(I707*50%),Vlookup(E707,DATABASE!C:Q,10,false)*F707)</f>
        <v>0</v>
      </c>
      <c r="K707" s="74">
        <v>613000.0</v>
      </c>
      <c r="L707" s="74">
        <v>613000.0</v>
      </c>
      <c r="M707" s="74">
        <f t="shared" si="2"/>
        <v>615000</v>
      </c>
      <c r="N707" s="74">
        <f t="shared" si="3"/>
        <v>85000</v>
      </c>
      <c r="O707" s="65" t="str">
        <f>VLOOKUP(E707,DATABASE!C:Q,8,false)</f>
        <v>IBU</v>
      </c>
      <c r="P707" s="65">
        <f>VLOOKUP(E707,DATABASE!C:Q,9,False)</f>
        <v>1</v>
      </c>
      <c r="Q707" s="93" t="str">
        <f>VLOOKUP(E707,DATABASE!C:Q,4,false)</f>
        <v>Dunlop</v>
      </c>
      <c r="R707" s="93" t="str">
        <f>VLOOKUP(E707,DATABASE!C:Q,11,false)</f>
        <v>Tire</v>
      </c>
    </row>
    <row r="708" ht="22.5" customHeight="1">
      <c r="A708" s="49"/>
      <c r="C708" s="384">
        <v>45699.0</v>
      </c>
      <c r="D708" s="65">
        <v>4303.0</v>
      </c>
      <c r="E708" s="445" t="s">
        <v>604</v>
      </c>
      <c r="F708" s="386">
        <v>1.0</v>
      </c>
      <c r="G708" s="74">
        <v>160000.0</v>
      </c>
      <c r="H708" s="74">
        <v>0.0</v>
      </c>
      <c r="I708" s="74">
        <f t="shared" si="1"/>
        <v>160000</v>
      </c>
      <c r="J708" s="74">
        <f>IF(E708="SERVICE",I708-(I708*50%),Vlookup(E708,DATABASE!C:Q,10,false)*F708)</f>
        <v>0</v>
      </c>
      <c r="K708" s="74">
        <f>VLOOKUP(E708,DATABASE!C:Q,7,false)</f>
        <v>124000</v>
      </c>
      <c r="L708" s="74">
        <v>124000.0</v>
      </c>
      <c r="M708" s="74">
        <f t="shared" si="2"/>
        <v>125000</v>
      </c>
      <c r="N708" s="74">
        <f t="shared" si="3"/>
        <v>35000</v>
      </c>
      <c r="O708" s="65" t="str">
        <f>VLOOKUP(E708,DATABASE!C:Q,8,false)</f>
        <v>BIAN</v>
      </c>
      <c r="P708" s="65">
        <f>VLOOKUP(E708,DATABASE!C:Q,9,False)</f>
        <v>1</v>
      </c>
      <c r="Q708" s="93" t="str">
        <f>VLOOKUP(E708,DATABASE!C:Q,4,false)</f>
        <v>BD</v>
      </c>
      <c r="R708" s="93" t="str">
        <f>VLOOKUP(E708,DATABASE!C:Q,11,false)</f>
        <v>Tire</v>
      </c>
    </row>
    <row r="709" ht="22.5" customHeight="1">
      <c r="A709" s="49"/>
      <c r="C709" s="384">
        <v>45699.0</v>
      </c>
      <c r="D709" s="65">
        <v>4303.0</v>
      </c>
      <c r="E709" s="445" t="s">
        <v>256</v>
      </c>
      <c r="F709" s="386">
        <v>1.0</v>
      </c>
      <c r="G709" s="74">
        <v>110000.0</v>
      </c>
      <c r="H709" s="74">
        <v>0.0</v>
      </c>
      <c r="I709" s="74">
        <f t="shared" si="1"/>
        <v>110000</v>
      </c>
      <c r="J709" s="74">
        <f>IF(E709="SERVICE",I709-(I709*50%),Vlookup(E709,DATABASE!C:Q,10,false)*F709)</f>
        <v>10000</v>
      </c>
      <c r="K709" s="74">
        <f>VLOOKUP(E709,DATABASE!C:Q,7,false)</f>
        <v>0</v>
      </c>
      <c r="L709" s="74">
        <v>0.0</v>
      </c>
      <c r="M709" s="74">
        <f t="shared" si="2"/>
        <v>0</v>
      </c>
      <c r="N709" s="74">
        <f t="shared" si="3"/>
        <v>100000</v>
      </c>
      <c r="O709" s="65" t="str">
        <f>VLOOKUP(E709,DATABASE!C:Q,8,false)</f>
        <v>IBU</v>
      </c>
      <c r="P709" s="65">
        <f>VLOOKUP(E709,DATABASE!C:Q,9,False)</f>
        <v>0</v>
      </c>
      <c r="Q709" s="93" t="str">
        <f>VLOOKUP(E709,DATABASE!C:Q,4,false)</f>
        <v>SPOORING</v>
      </c>
      <c r="R709" s="93" t="str">
        <f>VLOOKUP(E709,DATABASE!C:Q,11,false)</f>
        <v>SERVICE</v>
      </c>
    </row>
    <row r="710" ht="22.5" customHeight="1">
      <c r="A710" s="49"/>
      <c r="C710" s="384">
        <v>45699.0</v>
      </c>
      <c r="D710" s="65">
        <v>4303.0</v>
      </c>
      <c r="E710" s="385" t="s">
        <v>299</v>
      </c>
      <c r="F710" s="386">
        <v>2.0</v>
      </c>
      <c r="G710" s="74">
        <v>30000.0</v>
      </c>
      <c r="H710" s="74">
        <v>0.0</v>
      </c>
      <c r="I710" s="74">
        <f t="shared" si="1"/>
        <v>60000</v>
      </c>
      <c r="J710" s="74">
        <f>IF(E710="SERVICE",I710-(I710*50%),Vlookup(E710,DATABASE!C:Q,10,false)*F710)</f>
        <v>0</v>
      </c>
      <c r="K710" s="74">
        <v>0.0</v>
      </c>
      <c r="L710" s="74">
        <v>0.0</v>
      </c>
      <c r="M710" s="74">
        <f t="shared" si="2"/>
        <v>0</v>
      </c>
      <c r="N710" s="74">
        <f t="shared" si="3"/>
        <v>60000</v>
      </c>
      <c r="O710" s="65" t="str">
        <f>VLOOKUP(E710,DATABASE!C:Q,8,false)</f>
        <v>BIAN</v>
      </c>
      <c r="P710" s="65">
        <f>VLOOKUP(E710,DATABASE!C:Q,9,False)</f>
        <v>0</v>
      </c>
      <c r="Q710" s="93" t="str">
        <f>VLOOKUP(E710,DATABASE!C:Q,4,false)</f>
        <v>Balancing</v>
      </c>
      <c r="R710" s="93" t="str">
        <f>VLOOKUP(E710,DATABASE!C:Q,11,false)</f>
        <v>COMPLEMENTARY</v>
      </c>
    </row>
    <row r="711" ht="22.5" customHeight="1">
      <c r="A711" s="49"/>
      <c r="C711" s="384">
        <v>45699.0</v>
      </c>
      <c r="D711" s="65">
        <v>4303.0</v>
      </c>
      <c r="E711" s="445" t="s">
        <v>251</v>
      </c>
      <c r="F711" s="386">
        <v>1.0</v>
      </c>
      <c r="G711" s="74">
        <v>120000.0</v>
      </c>
      <c r="H711" s="74">
        <v>0.0</v>
      </c>
      <c r="I711" s="74">
        <f t="shared" si="1"/>
        <v>120000</v>
      </c>
      <c r="J711" s="74">
        <f>IF(E711="SERVICE",I711-(I711*50%),Vlookup(E711,DATABASE!C:Q,10,false)*F711)</f>
        <v>60000</v>
      </c>
      <c r="K711" s="74">
        <f>VLOOKUP(E711,DATABASE!C:Q,7,false)</f>
        <v>0</v>
      </c>
      <c r="L711" s="74">
        <v>0.0</v>
      </c>
      <c r="M711" s="74">
        <f t="shared" si="2"/>
        <v>0</v>
      </c>
      <c r="N711" s="74">
        <f t="shared" si="3"/>
        <v>60000</v>
      </c>
      <c r="O711" s="65" t="str">
        <f>VLOOKUP(E711,DATABASE!C:Q,8,false)</f>
        <v>IBU</v>
      </c>
      <c r="P711" s="65">
        <f>VLOOKUP(E711,DATABASE!C:Q,9,False)</f>
        <v>0</v>
      </c>
      <c r="Q711" s="93" t="str">
        <f>VLOOKUP(E711,DATABASE!C:Q,4,false)</f>
        <v>SERVICE</v>
      </c>
      <c r="R711" s="93" t="str">
        <f>VLOOKUP(E711,DATABASE!C:Q,11,false)</f>
        <v>SERVICE</v>
      </c>
    </row>
    <row r="712" ht="22.5" customHeight="1">
      <c r="A712" s="49"/>
      <c r="C712" s="384">
        <v>45700.0</v>
      </c>
      <c r="D712" s="65">
        <v>4231.0</v>
      </c>
      <c r="E712" s="445" t="s">
        <v>627</v>
      </c>
      <c r="F712" s="386">
        <v>1.0</v>
      </c>
      <c r="G712" s="74">
        <v>1010000.0</v>
      </c>
      <c r="H712" s="74">
        <v>0.0</v>
      </c>
      <c r="I712" s="74">
        <f t="shared" si="1"/>
        <v>1010000</v>
      </c>
      <c r="J712" s="74">
        <f>IF(E712="SERVICE",I712-(I712*50%),Vlookup(E712,DATABASE!C:Q,10,false)*F712)</f>
        <v>0</v>
      </c>
      <c r="K712" s="74">
        <f>VLOOKUP(E712,DATABASE!C:Q,7,false)</f>
        <v>879567</v>
      </c>
      <c r="L712" s="74">
        <v>884979.0</v>
      </c>
      <c r="M712" s="74">
        <f t="shared" si="2"/>
        <v>885000</v>
      </c>
      <c r="N712" s="74">
        <f t="shared" si="3"/>
        <v>125000</v>
      </c>
      <c r="O712" s="65" t="str">
        <f>VLOOKUP(E712,DATABASE!C:Q,8,false)</f>
        <v>IBU</v>
      </c>
      <c r="P712" s="65">
        <f>VLOOKUP(E712,DATABASE!C:Q,9,False)</f>
        <v>1</v>
      </c>
      <c r="Q712" s="93" t="str">
        <f>VLOOKUP(E712,DATABASE!C:Q,4,false)</f>
        <v>Bridgestone</v>
      </c>
      <c r="R712" s="93" t="str">
        <f>VLOOKUP(E712,DATABASE!C:Q,11,false)</f>
        <v>Tire</v>
      </c>
    </row>
    <row r="713" ht="22.5" customHeight="1">
      <c r="A713" s="49"/>
      <c r="C713" s="384">
        <v>45700.0</v>
      </c>
      <c r="D713" s="65">
        <v>4231.0</v>
      </c>
      <c r="E713" s="385" t="s">
        <v>299</v>
      </c>
      <c r="F713" s="386">
        <v>2.0</v>
      </c>
      <c r="G713" s="74">
        <v>30000.0</v>
      </c>
      <c r="H713" s="74">
        <v>0.0</v>
      </c>
      <c r="I713" s="74">
        <f t="shared" si="1"/>
        <v>60000</v>
      </c>
      <c r="J713" s="74">
        <f>IF(E713="SERVICE",I713-(I713*50%),Vlookup(E713,DATABASE!C:Q,10,false)*F713)</f>
        <v>0</v>
      </c>
      <c r="K713" s="74">
        <v>0.0</v>
      </c>
      <c r="L713" s="74">
        <v>0.0</v>
      </c>
      <c r="M713" s="74">
        <f t="shared" si="2"/>
        <v>0</v>
      </c>
      <c r="N713" s="74">
        <f t="shared" si="3"/>
        <v>60000</v>
      </c>
      <c r="O713" s="65" t="str">
        <f>VLOOKUP(E713,DATABASE!C:Q,8,false)</f>
        <v>BIAN</v>
      </c>
      <c r="P713" s="65">
        <f>VLOOKUP(E713,DATABASE!C:Q,9,False)</f>
        <v>0</v>
      </c>
      <c r="Q713" s="93" t="str">
        <f>VLOOKUP(E713,DATABASE!C:Q,4,false)</f>
        <v>Balancing</v>
      </c>
      <c r="R713" s="93" t="str">
        <f>VLOOKUP(E713,DATABASE!C:Q,11,false)</f>
        <v>COMPLEMENTARY</v>
      </c>
    </row>
    <row r="714" ht="22.5" customHeight="1">
      <c r="A714" s="49"/>
      <c r="C714" s="384">
        <v>45700.0</v>
      </c>
      <c r="D714" s="65">
        <v>4303.0</v>
      </c>
      <c r="E714" s="445" t="s">
        <v>262</v>
      </c>
      <c r="F714" s="386">
        <v>1.0</v>
      </c>
      <c r="G714" s="74">
        <v>110000.0</v>
      </c>
      <c r="H714" s="74">
        <v>0.0</v>
      </c>
      <c r="I714" s="74">
        <f t="shared" si="1"/>
        <v>110000</v>
      </c>
      <c r="J714" s="74">
        <f>IF(E714="SERVICE",I714-(I714*50%),Vlookup(E714,DATABASE!C:Q,10,false)*F714)</f>
        <v>5000</v>
      </c>
      <c r="K714" s="74">
        <f>VLOOKUP(E714,DATABASE!C:Q,7,false)</f>
        <v>0</v>
      </c>
      <c r="L714" s="74">
        <v>0.0</v>
      </c>
      <c r="M714" s="74">
        <f t="shared" si="2"/>
        <v>0</v>
      </c>
      <c r="N714" s="74">
        <f t="shared" si="3"/>
        <v>105000</v>
      </c>
      <c r="O714" s="65" t="str">
        <f>VLOOKUP(E714,DATABASE!C:Q,8,false)</f>
        <v>IBU</v>
      </c>
      <c r="P714" s="65">
        <f>VLOOKUP(E714,DATABASE!C:Q,9,False)</f>
        <v>0</v>
      </c>
      <c r="Q714" s="93" t="str">
        <f>VLOOKUP(E714,DATABASE!C:Q,4,false)</f>
        <v>SPOORING SS/CARRY LOS BAK</v>
      </c>
      <c r="R714" s="93" t="str">
        <f>VLOOKUP(E714,DATABASE!C:Q,11,false)</f>
        <v>SERVICE</v>
      </c>
    </row>
    <row r="715" ht="22.5" customHeight="1">
      <c r="A715" s="49"/>
      <c r="C715" s="384">
        <v>45700.0</v>
      </c>
      <c r="D715" s="65">
        <v>4303.0</v>
      </c>
      <c r="E715" s="445" t="s">
        <v>478</v>
      </c>
      <c r="F715" s="386">
        <v>1.0</v>
      </c>
      <c r="G715" s="74">
        <v>200000.0</v>
      </c>
      <c r="H715" s="74">
        <v>0.0</v>
      </c>
      <c r="I715" s="74">
        <f t="shared" si="1"/>
        <v>200000</v>
      </c>
      <c r="J715" s="74">
        <f>IF(E715="SERVICE",I715-(I715*50%),Vlookup(E715,DATABASE!C:Q,10,false)*F715)</f>
        <v>25000</v>
      </c>
      <c r="K715" s="74">
        <f>VLOOKUP(E715,DATABASE!C:Q,7,false)</f>
        <v>75000</v>
      </c>
      <c r="L715" s="74">
        <v>75000.0</v>
      </c>
      <c r="M715" s="74">
        <f t="shared" si="2"/>
        <v>75000</v>
      </c>
      <c r="N715" s="74">
        <f t="shared" si="3"/>
        <v>100000</v>
      </c>
      <c r="O715" s="65" t="str">
        <f>VLOOKUP(E715,DATABASE!C:Q,8,false)</f>
        <v>BIAN</v>
      </c>
      <c r="P715" s="65">
        <f>VLOOKUP(E715,DATABASE!C:Q,9,False)</f>
        <v>0</v>
      </c>
      <c r="Q715" s="93" t="str">
        <f>VLOOKUP(E715,DATABASE!C:Q,4,false)</f>
        <v>Baut Camber ss-carry</v>
      </c>
      <c r="R715" s="93" t="str">
        <f>VLOOKUP(E715,DATABASE!C:Q,11,false)</f>
        <v>COMPLEMENTARY</v>
      </c>
    </row>
    <row r="716" ht="22.5" customHeight="1">
      <c r="A716" s="49"/>
      <c r="C716" s="384">
        <v>45700.0</v>
      </c>
      <c r="D716" s="65">
        <v>4303.0</v>
      </c>
      <c r="E716" s="385" t="s">
        <v>305</v>
      </c>
      <c r="F716" s="386">
        <v>1.0</v>
      </c>
      <c r="G716" s="74">
        <v>235000.0</v>
      </c>
      <c r="H716" s="74">
        <v>0.0</v>
      </c>
      <c r="I716" s="74">
        <f t="shared" si="1"/>
        <v>235000</v>
      </c>
      <c r="J716" s="74">
        <f>IF(E716="SERVICE",I716-(I716*50%),Vlookup(E716,DATABASE!C:Q,10,false)*F716)</f>
        <v>40000</v>
      </c>
      <c r="K716" s="74">
        <f>VLOOKUP(E716,DATABASE!C:Q,7,false)</f>
        <v>158530.2</v>
      </c>
      <c r="L716" s="74">
        <v>151890.0</v>
      </c>
      <c r="M716" s="74">
        <f t="shared" si="2"/>
        <v>155000</v>
      </c>
      <c r="N716" s="74">
        <f t="shared" si="3"/>
        <v>40000</v>
      </c>
      <c r="O716" s="65" t="str">
        <f>VLOOKUP(E716,DATABASE!C:Q,8,false)</f>
        <v>BIAN</v>
      </c>
      <c r="P716" s="65">
        <f>VLOOKUP(E716,DATABASE!C:Q,9,False)</f>
        <v>1</v>
      </c>
      <c r="Q716" s="93" t="str">
        <f>VLOOKUP(E716,DATABASE!C:Q,4,false)</f>
        <v>Lower Arm</v>
      </c>
      <c r="R716" s="93" t="str">
        <f>VLOOKUP(E716,DATABASE!C:Q,11,false)</f>
        <v>COMPLEMENTARY</v>
      </c>
    </row>
    <row r="717" ht="22.5" customHeight="1">
      <c r="A717" s="49"/>
      <c r="C717" s="384">
        <v>45700.0</v>
      </c>
      <c r="D717" s="65">
        <v>4304.0</v>
      </c>
      <c r="E717" s="445" t="s">
        <v>781</v>
      </c>
      <c r="F717" s="386">
        <v>1.0</v>
      </c>
      <c r="G717" s="74">
        <v>530000.0</v>
      </c>
      <c r="H717" s="74">
        <v>0.0</v>
      </c>
      <c r="I717" s="74">
        <f t="shared" si="1"/>
        <v>530000</v>
      </c>
      <c r="J717" s="74">
        <f>IF(E717="SERVICE",I717-(I717*50%),Vlookup(E717,DATABASE!C:Q,10,false)*F717)</f>
        <v>0</v>
      </c>
      <c r="K717" s="74">
        <f>VLOOKUP(E717,DATABASE!C:Q,7,false)</f>
        <v>470000</v>
      </c>
      <c r="L717" s="74">
        <v>442500.0</v>
      </c>
      <c r="M717" s="74">
        <f t="shared" si="2"/>
        <v>445000</v>
      </c>
      <c r="N717" s="74">
        <f t="shared" si="3"/>
        <v>85000</v>
      </c>
      <c r="O717" s="65" t="str">
        <f>VLOOKUP(E717,DATABASE!C:Q,8,false)</f>
        <v>BIAN</v>
      </c>
      <c r="P717" s="65">
        <f>VLOOKUP(E717,DATABASE!C:Q,9,False)</f>
        <v>1</v>
      </c>
      <c r="Q717" s="93" t="str">
        <f>VLOOKUP(E717,DATABASE!C:Q,4,false)</f>
        <v>GT</v>
      </c>
      <c r="R717" s="93" t="str">
        <f>VLOOKUP(E717,DATABASE!C:Q,11,false)</f>
        <v>Tire</v>
      </c>
    </row>
    <row r="718" ht="22.5" customHeight="1">
      <c r="A718" s="49"/>
      <c r="C718" s="384">
        <v>45700.0</v>
      </c>
      <c r="D718" s="65">
        <v>4305.0</v>
      </c>
      <c r="E718" s="445" t="s">
        <v>1076</v>
      </c>
      <c r="F718" s="386">
        <v>1.0</v>
      </c>
      <c r="G718" s="74">
        <v>760000.0</v>
      </c>
      <c r="H718" s="74">
        <v>0.0</v>
      </c>
      <c r="I718" s="74">
        <f t="shared" si="1"/>
        <v>760000</v>
      </c>
      <c r="J718" s="74">
        <f>IF(E718="SERVICE",I718-(I718*50%),Vlookup(E718,DATABASE!C:Q,10,false)*F718)</f>
        <v>0</v>
      </c>
      <c r="K718" s="74">
        <f>VLOOKUP(E718,DATABASE!C:Q,7,false)</f>
        <v>666540</v>
      </c>
      <c r="L718" s="74">
        <v>666540.0</v>
      </c>
      <c r="M718" s="74">
        <f t="shared" si="2"/>
        <v>670000</v>
      </c>
      <c r="N718" s="74">
        <f t="shared" si="3"/>
        <v>90000</v>
      </c>
      <c r="O718" s="65" t="str">
        <f>VLOOKUP(E718,DATABASE!C:Q,8,false)</f>
        <v>BIAN</v>
      </c>
      <c r="P718" s="65">
        <f>VLOOKUP(E718,DATABASE!C:Q,9,False)</f>
        <v>1</v>
      </c>
      <c r="Q718" s="93" t="str">
        <f>VLOOKUP(E718,DATABASE!C:Q,4,false)</f>
        <v>GT</v>
      </c>
      <c r="R718" s="93" t="str">
        <f>VLOOKUP(E718,DATABASE!C:Q,11,false)</f>
        <v>Tire</v>
      </c>
    </row>
    <row r="719" ht="22.5" customHeight="1">
      <c r="A719" s="49"/>
      <c r="C719" s="384">
        <v>45700.0</v>
      </c>
      <c r="D719" s="65">
        <v>4306.0</v>
      </c>
      <c r="E719" s="445" t="s">
        <v>275</v>
      </c>
      <c r="F719" s="386">
        <v>4.0</v>
      </c>
      <c r="G719" s="74">
        <v>830000.0</v>
      </c>
      <c r="H719" s="74">
        <v>0.0</v>
      </c>
      <c r="I719" s="74">
        <f t="shared" si="1"/>
        <v>3320000</v>
      </c>
      <c r="J719" s="74">
        <f>IF(E719="SERVICE",I719-(I719*50%),Vlookup(E719,DATABASE!C:Q,10,false)*F719)</f>
        <v>0</v>
      </c>
      <c r="K719" s="74">
        <v>735000.0</v>
      </c>
      <c r="L719" s="74">
        <v>735000.0</v>
      </c>
      <c r="M719" s="74">
        <f t="shared" si="2"/>
        <v>735000</v>
      </c>
      <c r="N719" s="74">
        <f t="shared" si="3"/>
        <v>380000</v>
      </c>
      <c r="O719" s="65" t="str">
        <f>VLOOKUP(E719,DATABASE!C:Q,8,false)</f>
        <v>IBU</v>
      </c>
      <c r="P719" s="65">
        <f>VLOOKUP(E719,DATABASE!C:Q,9,False)</f>
        <v>1</v>
      </c>
      <c r="Q719" s="93" t="str">
        <f>VLOOKUP(E719,DATABASE!C:Q,4,false)</f>
        <v>Dunlop</v>
      </c>
      <c r="R719" s="93" t="str">
        <f>VLOOKUP(E719,DATABASE!C:Q,11,false)</f>
        <v>Tire</v>
      </c>
    </row>
    <row r="720" ht="22.5" customHeight="1">
      <c r="A720" s="49"/>
      <c r="C720" s="384">
        <v>45700.0</v>
      </c>
      <c r="D720" s="65">
        <v>4306.0</v>
      </c>
      <c r="E720" s="445" t="s">
        <v>262</v>
      </c>
      <c r="F720" s="386">
        <v>1.0</v>
      </c>
      <c r="G720" s="74">
        <v>110000.0</v>
      </c>
      <c r="H720" s="74">
        <v>0.0</v>
      </c>
      <c r="I720" s="74">
        <f t="shared" si="1"/>
        <v>110000</v>
      </c>
      <c r="J720" s="74">
        <f>IF(E720="SERVICE",I720-(I720*50%),Vlookup(E720,DATABASE!C:Q,10,false)*F720)</f>
        <v>5000</v>
      </c>
      <c r="K720" s="74">
        <f>VLOOKUP(E720,DATABASE!C:Q,7,false)</f>
        <v>0</v>
      </c>
      <c r="L720" s="74">
        <v>0.0</v>
      </c>
      <c r="M720" s="74">
        <f t="shared" si="2"/>
        <v>0</v>
      </c>
      <c r="N720" s="74">
        <f t="shared" si="3"/>
        <v>105000</v>
      </c>
      <c r="O720" s="65" t="str">
        <f>VLOOKUP(E720,DATABASE!C:Q,8,false)</f>
        <v>IBU</v>
      </c>
      <c r="P720" s="65">
        <f>VLOOKUP(E720,DATABASE!C:Q,9,False)</f>
        <v>0</v>
      </c>
      <c r="Q720" s="93" t="str">
        <f>VLOOKUP(E720,DATABASE!C:Q,4,false)</f>
        <v>SPOORING SS/CARRY LOS BAK</v>
      </c>
      <c r="R720" s="93" t="str">
        <f>VLOOKUP(E720,DATABASE!C:Q,11,false)</f>
        <v>SERVICE</v>
      </c>
    </row>
    <row r="721" ht="22.5" customHeight="1">
      <c r="A721" s="49"/>
      <c r="C721" s="384">
        <v>45700.0</v>
      </c>
      <c r="D721" s="65">
        <v>4306.0</v>
      </c>
      <c r="E721" s="445" t="s">
        <v>478</v>
      </c>
      <c r="F721" s="386">
        <v>1.0</v>
      </c>
      <c r="G721" s="74">
        <v>200000.0</v>
      </c>
      <c r="H721" s="74">
        <v>0.0</v>
      </c>
      <c r="I721" s="74">
        <f t="shared" si="1"/>
        <v>200000</v>
      </c>
      <c r="J721" s="74">
        <f>IF(E721="SERVICE",I721-(I721*50%),Vlookup(E721,DATABASE!C:Q,10,false)*F721)</f>
        <v>25000</v>
      </c>
      <c r="K721" s="74">
        <f>VLOOKUP(E721,DATABASE!C:Q,7,false)</f>
        <v>75000</v>
      </c>
      <c r="L721" s="74">
        <v>75000.0</v>
      </c>
      <c r="M721" s="74">
        <f t="shared" si="2"/>
        <v>75000</v>
      </c>
      <c r="N721" s="74">
        <f t="shared" si="3"/>
        <v>100000</v>
      </c>
      <c r="O721" s="65" t="str">
        <f>VLOOKUP(E721,DATABASE!C:Q,8,false)</f>
        <v>BIAN</v>
      </c>
      <c r="P721" s="65">
        <f>VLOOKUP(E721,DATABASE!C:Q,9,False)</f>
        <v>0</v>
      </c>
      <c r="Q721" s="93" t="str">
        <f>VLOOKUP(E721,DATABASE!C:Q,4,false)</f>
        <v>Baut Camber ss-carry</v>
      </c>
      <c r="R721" s="93" t="str">
        <f>VLOOKUP(E721,DATABASE!C:Q,11,false)</f>
        <v>COMPLEMENTARY</v>
      </c>
    </row>
    <row r="722" ht="22.5" customHeight="1">
      <c r="A722" s="49"/>
      <c r="C722" s="384">
        <v>45700.0</v>
      </c>
      <c r="D722" s="65">
        <v>4306.0</v>
      </c>
      <c r="E722" s="385" t="s">
        <v>299</v>
      </c>
      <c r="F722" s="386">
        <v>2.0</v>
      </c>
      <c r="G722" s="74">
        <v>30000.0</v>
      </c>
      <c r="H722" s="74">
        <v>0.0</v>
      </c>
      <c r="I722" s="74">
        <f t="shared" si="1"/>
        <v>60000</v>
      </c>
      <c r="J722" s="74">
        <f>IF(E722="SERVICE",I722-(I722*50%),Vlookup(E722,DATABASE!C:Q,10,false)*F722)</f>
        <v>0</v>
      </c>
      <c r="K722" s="74">
        <v>0.0</v>
      </c>
      <c r="L722" s="74">
        <v>0.0</v>
      </c>
      <c r="M722" s="74">
        <f t="shared" si="2"/>
        <v>0</v>
      </c>
      <c r="N722" s="74">
        <f t="shared" si="3"/>
        <v>60000</v>
      </c>
      <c r="O722" s="65" t="str">
        <f>VLOOKUP(E722,DATABASE!C:Q,8,false)</f>
        <v>BIAN</v>
      </c>
      <c r="P722" s="65">
        <f>VLOOKUP(E722,DATABASE!C:Q,9,False)</f>
        <v>0</v>
      </c>
      <c r="Q722" s="93" t="str">
        <f>VLOOKUP(E722,DATABASE!C:Q,4,false)</f>
        <v>Balancing</v>
      </c>
      <c r="R722" s="93" t="str">
        <f>VLOOKUP(E722,DATABASE!C:Q,11,false)</f>
        <v>COMPLEMENTARY</v>
      </c>
    </row>
    <row r="723" ht="22.5" customHeight="1">
      <c r="A723" s="49"/>
      <c r="C723" s="384">
        <v>45700.0</v>
      </c>
      <c r="D723" s="65">
        <v>4307.0</v>
      </c>
      <c r="E723" s="445" t="s">
        <v>1009</v>
      </c>
      <c r="F723" s="386">
        <v>1.0</v>
      </c>
      <c r="G723" s="74">
        <v>685000.0</v>
      </c>
      <c r="H723" s="74">
        <v>0.0</v>
      </c>
      <c r="I723" s="74">
        <f t="shared" si="1"/>
        <v>685000</v>
      </c>
      <c r="J723" s="74">
        <f>IF(E723="SERVICE",I723-(I723*50%),Vlookup(E723,DATABASE!C:Q,10,false)*F723)</f>
        <v>0</v>
      </c>
      <c r="K723" s="74">
        <f>VLOOKUP(E723,DATABASE!C:Q,7,false)</f>
        <v>609800</v>
      </c>
      <c r="L723" s="74">
        <v>592200.0</v>
      </c>
      <c r="M723" s="74">
        <f t="shared" si="2"/>
        <v>595000</v>
      </c>
      <c r="N723" s="74">
        <f t="shared" si="3"/>
        <v>90000</v>
      </c>
      <c r="O723" s="65" t="str">
        <f>VLOOKUP(E723,DATABASE!C:Q,8,false)</f>
        <v>BIAN</v>
      </c>
      <c r="P723" s="65">
        <f>VLOOKUP(E723,DATABASE!C:Q,9,False)</f>
        <v>1</v>
      </c>
      <c r="Q723" s="93" t="str">
        <f>VLOOKUP(E723,DATABASE!C:Q,4,false)</f>
        <v>GT</v>
      </c>
      <c r="R723" s="93" t="str">
        <f>VLOOKUP(E723,DATABASE!C:Q,11,false)</f>
        <v>Tire</v>
      </c>
    </row>
    <row r="724" ht="22.5" customHeight="1">
      <c r="A724" s="49"/>
      <c r="C724" s="384">
        <v>45700.0</v>
      </c>
      <c r="D724" s="65">
        <v>4308.0</v>
      </c>
      <c r="E724" s="445" t="s">
        <v>937</v>
      </c>
      <c r="F724" s="386">
        <v>2.0</v>
      </c>
      <c r="G724" s="74">
        <v>900000.0</v>
      </c>
      <c r="H724" s="74">
        <v>0.0</v>
      </c>
      <c r="I724" s="74">
        <f t="shared" si="1"/>
        <v>1800000</v>
      </c>
      <c r="J724" s="74">
        <f>IF(E724="SERVICE",I724-(I724*50%),Vlookup(E724,DATABASE!C:Q,10,false)*F724)</f>
        <v>0</v>
      </c>
      <c r="K724" s="74">
        <f>VLOOKUP(E724,DATABASE!C:Q,7,false)</f>
        <v>825000</v>
      </c>
      <c r="L724" s="74">
        <v>790000.0</v>
      </c>
      <c r="M724" s="74">
        <f t="shared" si="2"/>
        <v>790000</v>
      </c>
      <c r="N724" s="74">
        <f t="shared" si="3"/>
        <v>220000</v>
      </c>
      <c r="O724" s="65" t="str">
        <f>VLOOKUP(E724,DATABASE!C:Q,8,false)</f>
        <v>IBU</v>
      </c>
      <c r="P724" s="65">
        <f>VLOOKUP(E724,DATABASE!C:Q,9,False)</f>
        <v>1</v>
      </c>
      <c r="Q724" s="93" t="str">
        <f>VLOOKUP(E724,DATABASE!C:Q,4,false)</f>
        <v>Bridgestone</v>
      </c>
      <c r="R724" s="93" t="str">
        <f>VLOOKUP(E724,DATABASE!C:Q,11,false)</f>
        <v>Tire</v>
      </c>
    </row>
    <row r="725" ht="22.5" customHeight="1">
      <c r="A725" s="49"/>
      <c r="C725" s="384">
        <v>45700.0</v>
      </c>
      <c r="D725" s="65">
        <v>4309.0</v>
      </c>
      <c r="E725" s="385" t="s">
        <v>299</v>
      </c>
      <c r="F725" s="386">
        <v>2.0</v>
      </c>
      <c r="G725" s="74">
        <v>30000.0</v>
      </c>
      <c r="H725" s="74">
        <v>0.0</v>
      </c>
      <c r="I725" s="74">
        <f t="shared" si="1"/>
        <v>60000</v>
      </c>
      <c r="J725" s="74">
        <f>IF(E725="SERVICE",I725-(I725*50%),Vlookup(E725,DATABASE!C:Q,10,false)*F725)</f>
        <v>0</v>
      </c>
      <c r="K725" s="74">
        <v>0.0</v>
      </c>
      <c r="L725" s="74">
        <v>0.0</v>
      </c>
      <c r="M725" s="74">
        <f t="shared" si="2"/>
        <v>0</v>
      </c>
      <c r="N725" s="74">
        <f t="shared" si="3"/>
        <v>60000</v>
      </c>
      <c r="O725" s="65" t="str">
        <f>VLOOKUP(E725,DATABASE!C:Q,8,false)</f>
        <v>BIAN</v>
      </c>
      <c r="P725" s="65">
        <f>VLOOKUP(E725,DATABASE!C:Q,9,False)</f>
        <v>0</v>
      </c>
      <c r="Q725" s="93" t="str">
        <f>VLOOKUP(E725,DATABASE!C:Q,4,false)</f>
        <v>Balancing</v>
      </c>
      <c r="R725" s="93" t="str">
        <f>VLOOKUP(E725,DATABASE!C:Q,11,false)</f>
        <v>COMPLEMENTARY</v>
      </c>
    </row>
    <row r="726" ht="22.5" customHeight="1">
      <c r="A726" s="49"/>
      <c r="C726" s="384">
        <v>45700.0</v>
      </c>
      <c r="D726" s="65">
        <v>4311.0</v>
      </c>
      <c r="E726" s="445" t="s">
        <v>262</v>
      </c>
      <c r="F726" s="386">
        <v>1.0</v>
      </c>
      <c r="G726" s="74">
        <v>110000.0</v>
      </c>
      <c r="H726" s="74">
        <v>0.0</v>
      </c>
      <c r="I726" s="74">
        <f t="shared" si="1"/>
        <v>110000</v>
      </c>
      <c r="J726" s="74">
        <f>IF(E726="SERVICE",I726-(I726*50%),Vlookup(E726,DATABASE!C:Q,10,false)*F726)</f>
        <v>5000</v>
      </c>
      <c r="K726" s="74">
        <f>VLOOKUP(E726,DATABASE!C:Q,7,false)</f>
        <v>0</v>
      </c>
      <c r="L726" s="74">
        <v>0.0</v>
      </c>
      <c r="M726" s="74">
        <f t="shared" si="2"/>
        <v>0</v>
      </c>
      <c r="N726" s="74">
        <f t="shared" si="3"/>
        <v>105000</v>
      </c>
      <c r="O726" s="65" t="str">
        <f>VLOOKUP(E726,DATABASE!C:Q,8,false)</f>
        <v>IBU</v>
      </c>
      <c r="P726" s="65">
        <f>VLOOKUP(E726,DATABASE!C:Q,9,False)</f>
        <v>0</v>
      </c>
      <c r="Q726" s="93" t="str">
        <f>VLOOKUP(E726,DATABASE!C:Q,4,false)</f>
        <v>SPOORING SS/CARRY LOS BAK</v>
      </c>
      <c r="R726" s="93" t="str">
        <f>VLOOKUP(E726,DATABASE!C:Q,11,false)</f>
        <v>SERVICE</v>
      </c>
    </row>
    <row r="727" ht="22.5" customHeight="1">
      <c r="A727" s="49"/>
      <c r="C727" s="384">
        <v>45700.0</v>
      </c>
      <c r="D727" s="65">
        <v>4312.0</v>
      </c>
      <c r="E727" s="445" t="s">
        <v>1839</v>
      </c>
      <c r="F727" s="386">
        <v>4.0</v>
      </c>
      <c r="G727" s="74">
        <v>750000.0</v>
      </c>
      <c r="H727" s="74">
        <v>0.0</v>
      </c>
      <c r="I727" s="74">
        <f t="shared" si="1"/>
        <v>3000000</v>
      </c>
      <c r="J727" s="74">
        <f>IF(E727="SERVICE",I727-(I727*50%),Vlookup(E727,DATABASE!C:Q,10,false)*F727)</f>
        <v>0</v>
      </c>
      <c r="K727" s="74">
        <f>VLOOKUP(E727,DATABASE!C:Q,7,false)</f>
        <v>700000</v>
      </c>
      <c r="L727" s="74">
        <v>700000.0</v>
      </c>
      <c r="M727" s="74">
        <f t="shared" si="2"/>
        <v>700000</v>
      </c>
      <c r="N727" s="74">
        <f t="shared" si="3"/>
        <v>200000</v>
      </c>
      <c r="O727" s="65" t="str">
        <f>VLOOKUP(E727,DATABASE!C:Q,8,false)</f>
        <v>BIAN</v>
      </c>
      <c r="P727" s="65">
        <f>VLOOKUP(E727,DATABASE!C:Q,9,False)</f>
        <v>1</v>
      </c>
      <c r="Q727" s="93" t="str">
        <f>VLOOKUP(E727,DATABASE!C:Q,4,false)</f>
        <v>G. YEAR</v>
      </c>
      <c r="R727" s="93" t="str">
        <f>VLOOKUP(E727,DATABASE!C:Q,11,false)</f>
        <v>Tire</v>
      </c>
    </row>
    <row r="728" ht="22.5" customHeight="1">
      <c r="A728" s="49"/>
      <c r="C728" s="384">
        <v>45700.0</v>
      </c>
      <c r="D728" s="65">
        <v>4312.0</v>
      </c>
      <c r="E728" s="385" t="s">
        <v>299</v>
      </c>
      <c r="F728" s="386">
        <v>2.0</v>
      </c>
      <c r="G728" s="74">
        <v>30000.0</v>
      </c>
      <c r="H728" s="74">
        <v>0.0</v>
      </c>
      <c r="I728" s="74">
        <f t="shared" si="1"/>
        <v>60000</v>
      </c>
      <c r="J728" s="74">
        <f>IF(E728="SERVICE",I728-(I728*50%),Vlookup(E728,DATABASE!C:Q,10,false)*F728)</f>
        <v>0</v>
      </c>
      <c r="K728" s="74">
        <v>0.0</v>
      </c>
      <c r="L728" s="74">
        <v>0.0</v>
      </c>
      <c r="M728" s="74">
        <f t="shared" si="2"/>
        <v>0</v>
      </c>
      <c r="N728" s="74">
        <f t="shared" si="3"/>
        <v>60000</v>
      </c>
      <c r="O728" s="65" t="str">
        <f>VLOOKUP(E728,DATABASE!C:Q,8,false)</f>
        <v>BIAN</v>
      </c>
      <c r="P728" s="65">
        <f>VLOOKUP(E728,DATABASE!C:Q,9,False)</f>
        <v>0</v>
      </c>
      <c r="Q728" s="93" t="str">
        <f>VLOOKUP(E728,DATABASE!C:Q,4,false)</f>
        <v>Balancing</v>
      </c>
      <c r="R728" s="93" t="str">
        <f>VLOOKUP(E728,DATABASE!C:Q,11,false)</f>
        <v>COMPLEMENTARY</v>
      </c>
    </row>
    <row r="729" ht="22.5" customHeight="1">
      <c r="A729" s="49"/>
      <c r="C729" s="384">
        <v>45700.0</v>
      </c>
      <c r="D729" s="65">
        <v>4312.0</v>
      </c>
      <c r="E729" s="445" t="s">
        <v>256</v>
      </c>
      <c r="F729" s="386">
        <v>1.0</v>
      </c>
      <c r="G729" s="74">
        <v>130000.0</v>
      </c>
      <c r="H729" s="74">
        <v>0.0</v>
      </c>
      <c r="I729" s="74">
        <f t="shared" si="1"/>
        <v>130000</v>
      </c>
      <c r="J729" s="74">
        <f>IF(E729="SERVICE",I729-(I729*50%),Vlookup(E729,DATABASE!C:Q,10,false)*F729)</f>
        <v>10000</v>
      </c>
      <c r="K729" s="74">
        <f>VLOOKUP(E729,DATABASE!C:Q,7,false)</f>
        <v>0</v>
      </c>
      <c r="L729" s="74">
        <v>0.0</v>
      </c>
      <c r="M729" s="74">
        <f t="shared" si="2"/>
        <v>0</v>
      </c>
      <c r="N729" s="74">
        <f t="shared" si="3"/>
        <v>120000</v>
      </c>
      <c r="O729" s="65" t="str">
        <f>VLOOKUP(E729,DATABASE!C:Q,8,false)</f>
        <v>IBU</v>
      </c>
      <c r="P729" s="65">
        <f>VLOOKUP(E729,DATABASE!C:Q,9,False)</f>
        <v>0</v>
      </c>
      <c r="Q729" s="93" t="str">
        <f>VLOOKUP(E729,DATABASE!C:Q,4,false)</f>
        <v>SPOORING</v>
      </c>
      <c r="R729" s="93" t="str">
        <f>VLOOKUP(E729,DATABASE!C:Q,11,false)</f>
        <v>SERVICE</v>
      </c>
    </row>
    <row r="730" ht="22.5" customHeight="1">
      <c r="A730" s="49"/>
      <c r="C730" s="384">
        <v>45700.0</v>
      </c>
      <c r="D730" s="65">
        <v>4313.0</v>
      </c>
      <c r="E730" s="445" t="s">
        <v>250</v>
      </c>
      <c r="F730" s="386">
        <v>1.0</v>
      </c>
      <c r="G730" s="74">
        <v>130000.0</v>
      </c>
      <c r="H730" s="74">
        <v>0.0</v>
      </c>
      <c r="I730" s="74">
        <f t="shared" si="1"/>
        <v>130000</v>
      </c>
      <c r="J730" s="74">
        <f>IF(E730="SERVICE",I730-(I730*50%),Vlookup(E730,DATABASE!C:Q,10,false)*F730)</f>
        <v>0</v>
      </c>
      <c r="K730" s="74">
        <f>VLOOKUP(E730,DATABASE!C:Q,7,false)</f>
        <v>102000</v>
      </c>
      <c r="L730" s="74">
        <v>102000.0</v>
      </c>
      <c r="M730" s="74">
        <f t="shared" si="2"/>
        <v>105000</v>
      </c>
      <c r="N730" s="74">
        <f t="shared" si="3"/>
        <v>25000</v>
      </c>
      <c r="O730" s="65" t="str">
        <f>VLOOKUP(E730,DATABASE!C:Q,8,false)</f>
        <v>BIAN</v>
      </c>
      <c r="P730" s="65">
        <f>VLOOKUP(E730,DATABASE!C:Q,9,False)</f>
        <v>1</v>
      </c>
      <c r="Q730" s="93" t="str">
        <f>VLOOKUP(E730,DATABASE!C:Q,4,false)</f>
        <v>BD</v>
      </c>
      <c r="R730" s="93" t="str">
        <f>VLOOKUP(E730,DATABASE!C:Q,11,false)</f>
        <v>Tire</v>
      </c>
    </row>
    <row r="731" ht="22.5" customHeight="1">
      <c r="A731" s="49"/>
      <c r="C731" s="384">
        <v>45700.0</v>
      </c>
      <c r="D731" s="65">
        <v>4315.0</v>
      </c>
      <c r="E731" s="445" t="s">
        <v>268</v>
      </c>
      <c r="F731" s="386">
        <v>2.0</v>
      </c>
      <c r="G731" s="74">
        <v>700000.0</v>
      </c>
      <c r="H731" s="74">
        <v>0.0</v>
      </c>
      <c r="I731" s="74">
        <f t="shared" si="1"/>
        <v>1400000</v>
      </c>
      <c r="J731" s="74">
        <f>IF(E731="SERVICE",I731-(I731*50%),Vlookup(E731,DATABASE!C:Q,10,false)*F731)</f>
        <v>0</v>
      </c>
      <c r="K731" s="74">
        <v>613000.0</v>
      </c>
      <c r="L731" s="74">
        <v>613000.0</v>
      </c>
      <c r="M731" s="74">
        <f t="shared" si="2"/>
        <v>615000</v>
      </c>
      <c r="N731" s="74">
        <f t="shared" si="3"/>
        <v>170000</v>
      </c>
      <c r="O731" s="65" t="str">
        <f>VLOOKUP(E731,DATABASE!C:Q,8,false)</f>
        <v>IBU</v>
      </c>
      <c r="P731" s="65">
        <f>VLOOKUP(E731,DATABASE!C:Q,9,False)</f>
        <v>1</v>
      </c>
      <c r="Q731" s="93" t="str">
        <f>VLOOKUP(E731,DATABASE!C:Q,4,false)</f>
        <v>Dunlop</v>
      </c>
      <c r="R731" s="93" t="str">
        <f>VLOOKUP(E731,DATABASE!C:Q,11,false)</f>
        <v>Tire</v>
      </c>
    </row>
    <row r="732" ht="22.5" customHeight="1">
      <c r="A732" s="49"/>
      <c r="C732" s="384">
        <v>45700.0</v>
      </c>
      <c r="D732" s="65">
        <v>4315.0</v>
      </c>
      <c r="E732" s="385" t="s">
        <v>305</v>
      </c>
      <c r="F732" s="386">
        <v>1.0</v>
      </c>
      <c r="G732" s="74">
        <v>235000.0</v>
      </c>
      <c r="H732" s="74">
        <v>0.0</v>
      </c>
      <c r="I732" s="74">
        <f t="shared" si="1"/>
        <v>235000</v>
      </c>
      <c r="J732" s="74">
        <f>IF(E732="SERVICE",I732-(I732*50%),Vlookup(E732,DATABASE!C:Q,10,false)*F732)</f>
        <v>40000</v>
      </c>
      <c r="K732" s="74">
        <f>VLOOKUP(E732,DATABASE!C:Q,7,false)</f>
        <v>158530.2</v>
      </c>
      <c r="L732" s="74">
        <v>151890.0</v>
      </c>
      <c r="M732" s="74">
        <f t="shared" si="2"/>
        <v>155000</v>
      </c>
      <c r="N732" s="74">
        <f t="shared" si="3"/>
        <v>40000</v>
      </c>
      <c r="O732" s="65" t="str">
        <f>VLOOKUP(E732,DATABASE!C:Q,8,false)</f>
        <v>BIAN</v>
      </c>
      <c r="P732" s="65">
        <f>VLOOKUP(E732,DATABASE!C:Q,9,False)</f>
        <v>1</v>
      </c>
      <c r="Q732" s="93" t="str">
        <f>VLOOKUP(E732,DATABASE!C:Q,4,false)</f>
        <v>Lower Arm</v>
      </c>
      <c r="R732" s="93" t="str">
        <f>VLOOKUP(E732,DATABASE!C:Q,11,false)</f>
        <v>COMPLEMENTARY</v>
      </c>
    </row>
    <row r="733" ht="22.5" customHeight="1">
      <c r="A733" s="49"/>
      <c r="C733" s="384">
        <v>45700.0</v>
      </c>
      <c r="D733" s="65">
        <v>4315.0</v>
      </c>
      <c r="E733" s="445" t="s">
        <v>262</v>
      </c>
      <c r="F733" s="386">
        <v>1.0</v>
      </c>
      <c r="G733" s="74">
        <v>110000.0</v>
      </c>
      <c r="H733" s="74">
        <v>0.0</v>
      </c>
      <c r="I733" s="74">
        <f t="shared" si="1"/>
        <v>110000</v>
      </c>
      <c r="J733" s="74">
        <f>IF(E733="SERVICE",I733-(I733*50%),Vlookup(E733,DATABASE!C:Q,10,false)*F733)</f>
        <v>5000</v>
      </c>
      <c r="K733" s="74">
        <f>VLOOKUP(E733,DATABASE!C:Q,7,false)</f>
        <v>0</v>
      </c>
      <c r="L733" s="74">
        <v>0.0</v>
      </c>
      <c r="M733" s="74">
        <f t="shared" si="2"/>
        <v>0</v>
      </c>
      <c r="N733" s="74">
        <f t="shared" si="3"/>
        <v>105000</v>
      </c>
      <c r="O733" s="65" t="str">
        <f>VLOOKUP(E733,DATABASE!C:Q,8,false)</f>
        <v>IBU</v>
      </c>
      <c r="P733" s="65">
        <f>VLOOKUP(E733,DATABASE!C:Q,9,False)</f>
        <v>0</v>
      </c>
      <c r="Q733" s="93" t="str">
        <f>VLOOKUP(E733,DATABASE!C:Q,4,false)</f>
        <v>SPOORING SS/CARRY LOS BAK</v>
      </c>
      <c r="R733" s="93" t="str">
        <f>VLOOKUP(E733,DATABASE!C:Q,11,false)</f>
        <v>SERVICE</v>
      </c>
    </row>
    <row r="734" ht="22.5" customHeight="1">
      <c r="A734" s="49"/>
      <c r="C734" s="384">
        <v>45700.0</v>
      </c>
      <c r="D734" s="65">
        <v>4315.0</v>
      </c>
      <c r="E734" s="445" t="s">
        <v>478</v>
      </c>
      <c r="F734" s="386">
        <v>1.0</v>
      </c>
      <c r="G734" s="74">
        <v>200000.0</v>
      </c>
      <c r="H734" s="74">
        <v>0.0</v>
      </c>
      <c r="I734" s="74">
        <f t="shared" si="1"/>
        <v>200000</v>
      </c>
      <c r="J734" s="74">
        <f>IF(E734="SERVICE",I734-(I734*50%),Vlookup(E734,DATABASE!C:Q,10,false)*F734)</f>
        <v>25000</v>
      </c>
      <c r="K734" s="74">
        <f>VLOOKUP(E734,DATABASE!C:Q,7,false)</f>
        <v>75000</v>
      </c>
      <c r="L734" s="74">
        <v>75000.0</v>
      </c>
      <c r="M734" s="74">
        <f t="shared" si="2"/>
        <v>75000</v>
      </c>
      <c r="N734" s="74">
        <f t="shared" si="3"/>
        <v>100000</v>
      </c>
      <c r="O734" s="65" t="str">
        <f>VLOOKUP(E734,DATABASE!C:Q,8,false)</f>
        <v>BIAN</v>
      </c>
      <c r="P734" s="65">
        <f>VLOOKUP(E734,DATABASE!C:Q,9,False)</f>
        <v>0</v>
      </c>
      <c r="Q734" s="93" t="str">
        <f>VLOOKUP(E734,DATABASE!C:Q,4,false)</f>
        <v>Baut Camber ss-carry</v>
      </c>
      <c r="R734" s="93" t="str">
        <f>VLOOKUP(E734,DATABASE!C:Q,11,false)</f>
        <v>COMPLEMENTARY</v>
      </c>
    </row>
    <row r="735" ht="22.5" customHeight="1">
      <c r="A735" s="49"/>
      <c r="C735" s="384">
        <v>45700.0</v>
      </c>
      <c r="D735" s="65">
        <v>4315.0</v>
      </c>
      <c r="E735" s="385" t="s">
        <v>299</v>
      </c>
      <c r="F735" s="386">
        <v>2.0</v>
      </c>
      <c r="G735" s="74">
        <v>30000.0</v>
      </c>
      <c r="H735" s="74">
        <v>0.0</v>
      </c>
      <c r="I735" s="74">
        <f t="shared" si="1"/>
        <v>60000</v>
      </c>
      <c r="J735" s="74">
        <f>IF(E735="SERVICE",I735-(I735*50%),Vlookup(E735,DATABASE!C:Q,10,false)*F735)</f>
        <v>0</v>
      </c>
      <c r="K735" s="74">
        <v>0.0</v>
      </c>
      <c r="L735" s="74">
        <v>0.0</v>
      </c>
      <c r="M735" s="74">
        <f t="shared" si="2"/>
        <v>0</v>
      </c>
      <c r="N735" s="74">
        <f t="shared" si="3"/>
        <v>60000</v>
      </c>
      <c r="O735" s="65" t="str">
        <f>VLOOKUP(E735,DATABASE!C:Q,8,false)</f>
        <v>BIAN</v>
      </c>
      <c r="P735" s="65">
        <f>VLOOKUP(E735,DATABASE!C:Q,9,False)</f>
        <v>0</v>
      </c>
      <c r="Q735" s="93" t="str">
        <f>VLOOKUP(E735,DATABASE!C:Q,4,false)</f>
        <v>Balancing</v>
      </c>
      <c r="R735" s="93" t="str">
        <f>VLOOKUP(E735,DATABASE!C:Q,11,false)</f>
        <v>COMPLEMENTARY</v>
      </c>
    </row>
    <row r="736" ht="22.5" customHeight="1">
      <c r="A736" s="49"/>
      <c r="C736" s="384">
        <v>45700.0</v>
      </c>
      <c r="D736" s="65">
        <v>4316.0</v>
      </c>
      <c r="E736" s="385" t="s">
        <v>299</v>
      </c>
      <c r="F736" s="386">
        <v>2.0</v>
      </c>
      <c r="G736" s="74">
        <v>30000.0</v>
      </c>
      <c r="H736" s="74">
        <v>0.0</v>
      </c>
      <c r="I736" s="74">
        <f t="shared" si="1"/>
        <v>60000</v>
      </c>
      <c r="J736" s="74">
        <f>IF(E736="SERVICE",I736-(I736*50%),Vlookup(E736,DATABASE!C:Q,10,false)*F736)</f>
        <v>0</v>
      </c>
      <c r="K736" s="74">
        <v>0.0</v>
      </c>
      <c r="L736" s="74">
        <v>0.0</v>
      </c>
      <c r="M736" s="74">
        <f t="shared" si="2"/>
        <v>0</v>
      </c>
      <c r="N736" s="74">
        <f t="shared" si="3"/>
        <v>60000</v>
      </c>
      <c r="O736" s="65" t="str">
        <f>VLOOKUP(E736,DATABASE!C:Q,8,false)</f>
        <v>BIAN</v>
      </c>
      <c r="P736" s="65">
        <f>VLOOKUP(E736,DATABASE!C:Q,9,False)</f>
        <v>0</v>
      </c>
      <c r="Q736" s="93" t="str">
        <f>VLOOKUP(E736,DATABASE!C:Q,4,false)</f>
        <v>Balancing</v>
      </c>
      <c r="R736" s="93" t="str">
        <f>VLOOKUP(E736,DATABASE!C:Q,11,false)</f>
        <v>COMPLEMENTARY</v>
      </c>
    </row>
    <row r="737" ht="22.5" customHeight="1">
      <c r="A737" s="49"/>
      <c r="C737" s="384">
        <v>45700.0</v>
      </c>
      <c r="D737" s="65">
        <v>4316.0</v>
      </c>
      <c r="E737" s="445" t="s">
        <v>2135</v>
      </c>
      <c r="F737" s="386">
        <v>4.0</v>
      </c>
      <c r="G737" s="74">
        <v>15000.0</v>
      </c>
      <c r="H737" s="74">
        <v>0.0</v>
      </c>
      <c r="I737" s="74">
        <f t="shared" si="1"/>
        <v>60000</v>
      </c>
      <c r="J737" s="74">
        <f>IF(E737="SERVICE",I737-(I737*50%),Vlookup(E737,DATABASE!C:Q,10,false)*F737)</f>
        <v>0</v>
      </c>
      <c r="K737" s="74">
        <f>VLOOKUP(E737,DATABASE!C:Q,7,false)</f>
        <v>0</v>
      </c>
      <c r="L737" s="74">
        <v>0.0</v>
      </c>
      <c r="M737" s="74">
        <f t="shared" si="2"/>
        <v>0</v>
      </c>
      <c r="N737" s="74">
        <f t="shared" si="3"/>
        <v>60000</v>
      </c>
      <c r="O737" s="65" t="str">
        <f>VLOOKUP(E737,DATABASE!C:Q,8,false)</f>
        <v>IBU</v>
      </c>
      <c r="P737" s="65">
        <f>VLOOKUP(E737,DATABASE!C:Q,9,False)</f>
        <v>0</v>
      </c>
      <c r="Q737" s="93" t="str">
        <f>VLOOKUP(E737,DATABASE!C:Q,4,false)</f>
        <v>NITROGEN</v>
      </c>
      <c r="R737" s="93" t="str">
        <f>VLOOKUP(E737,DATABASE!C:Q,11,false)</f>
        <v>COMPLEMENTARY</v>
      </c>
    </row>
    <row r="738" ht="22.5" customHeight="1">
      <c r="A738" s="49"/>
      <c r="C738" s="384">
        <v>45700.0</v>
      </c>
      <c r="D738" s="65">
        <v>4317.0</v>
      </c>
      <c r="E738" s="445" t="s">
        <v>287</v>
      </c>
      <c r="F738" s="386">
        <v>2.0</v>
      </c>
      <c r="G738" s="74">
        <v>775000.0</v>
      </c>
      <c r="H738" s="74">
        <v>0.0</v>
      </c>
      <c r="I738" s="74">
        <f t="shared" si="1"/>
        <v>1550000</v>
      </c>
      <c r="J738" s="74">
        <f>IF(E738="SERVICE",I738-(I738*50%),Vlookup(E738,DATABASE!C:Q,10,false)*F738)</f>
        <v>0</v>
      </c>
      <c r="K738" s="74">
        <f>VLOOKUP(E738,DATABASE!C:Q,7,false)</f>
        <v>711000</v>
      </c>
      <c r="L738" s="74">
        <v>690600.0</v>
      </c>
      <c r="M738" s="74">
        <f t="shared" si="2"/>
        <v>695000</v>
      </c>
      <c r="N738" s="74">
        <f t="shared" si="3"/>
        <v>160000</v>
      </c>
      <c r="O738" s="65" t="str">
        <f>VLOOKUP(E738,DATABASE!C:Q,8,false)</f>
        <v>BIAN</v>
      </c>
      <c r="P738" s="65">
        <f>VLOOKUP(E738,DATABASE!C:Q,9,False)</f>
        <v>1</v>
      </c>
      <c r="Q738" s="93" t="str">
        <f>VLOOKUP(E738,DATABASE!C:Q,4,false)</f>
        <v>GT</v>
      </c>
      <c r="R738" s="93" t="str">
        <f>VLOOKUP(E738,DATABASE!C:Q,11,false)</f>
        <v>Tire</v>
      </c>
    </row>
    <row r="739" ht="22.5" customHeight="1">
      <c r="A739" s="49"/>
      <c r="C739" s="384">
        <v>45700.0</v>
      </c>
      <c r="D739" s="65">
        <v>4318.0</v>
      </c>
      <c r="E739" s="445" t="s">
        <v>256</v>
      </c>
      <c r="F739" s="386">
        <v>1.0</v>
      </c>
      <c r="G739" s="74">
        <v>130000.0</v>
      </c>
      <c r="H739" s="74">
        <v>0.0</v>
      </c>
      <c r="I739" s="74">
        <f t="shared" si="1"/>
        <v>130000</v>
      </c>
      <c r="J739" s="74">
        <f>IF(E739="SERVICE",I739-(I739*50%),Vlookup(E739,DATABASE!C:Q,10,false)*F739)</f>
        <v>10000</v>
      </c>
      <c r="K739" s="74">
        <f>VLOOKUP(E739,DATABASE!C:Q,7,false)</f>
        <v>0</v>
      </c>
      <c r="L739" s="74">
        <v>0.0</v>
      </c>
      <c r="M739" s="74">
        <f t="shared" si="2"/>
        <v>0</v>
      </c>
      <c r="N739" s="74">
        <f t="shared" si="3"/>
        <v>120000</v>
      </c>
      <c r="O739" s="65" t="str">
        <f>VLOOKUP(E739,DATABASE!C:Q,8,false)</f>
        <v>IBU</v>
      </c>
      <c r="P739" s="65">
        <f>VLOOKUP(E739,DATABASE!C:Q,9,False)</f>
        <v>0</v>
      </c>
      <c r="Q739" s="93" t="str">
        <f>VLOOKUP(E739,DATABASE!C:Q,4,false)</f>
        <v>SPOORING</v>
      </c>
      <c r="R739" s="93" t="str">
        <f>VLOOKUP(E739,DATABASE!C:Q,11,false)</f>
        <v>SERVICE</v>
      </c>
    </row>
    <row r="740" ht="22.5" customHeight="1">
      <c r="A740" s="49"/>
      <c r="C740" s="384">
        <v>45700.0</v>
      </c>
      <c r="D740" s="65">
        <v>4318.0</v>
      </c>
      <c r="E740" s="445" t="s">
        <v>251</v>
      </c>
      <c r="F740" s="386">
        <v>1.0</v>
      </c>
      <c r="G740" s="74">
        <v>150000.0</v>
      </c>
      <c r="H740" s="74">
        <v>0.0</v>
      </c>
      <c r="I740" s="74">
        <f t="shared" si="1"/>
        <v>150000</v>
      </c>
      <c r="J740" s="74">
        <f>IF(E740="SERVICE",I740-(I740*50%),Vlookup(E740,DATABASE!C:Q,10,false)*F740)</f>
        <v>75000</v>
      </c>
      <c r="K740" s="74">
        <f>VLOOKUP(E740,DATABASE!C:Q,7,false)</f>
        <v>0</v>
      </c>
      <c r="L740" s="74">
        <v>0.0</v>
      </c>
      <c r="M740" s="74">
        <f t="shared" si="2"/>
        <v>0</v>
      </c>
      <c r="N740" s="74">
        <f t="shared" si="3"/>
        <v>75000</v>
      </c>
      <c r="O740" s="65" t="str">
        <f>VLOOKUP(E740,DATABASE!C:Q,8,false)</f>
        <v>IBU</v>
      </c>
      <c r="P740" s="65">
        <f>VLOOKUP(E740,DATABASE!C:Q,9,False)</f>
        <v>0</v>
      </c>
      <c r="Q740" s="93" t="str">
        <f>VLOOKUP(E740,DATABASE!C:Q,4,false)</f>
        <v>SERVICE</v>
      </c>
      <c r="R740" s="93" t="str">
        <f>VLOOKUP(E740,DATABASE!C:Q,11,false)</f>
        <v>SERVICE</v>
      </c>
    </row>
    <row r="741" ht="22.5" customHeight="1">
      <c r="A741" s="49"/>
      <c r="C741" s="384">
        <v>45700.0</v>
      </c>
      <c r="D741" s="65">
        <v>4319.0</v>
      </c>
      <c r="E741" s="445" t="s">
        <v>268</v>
      </c>
      <c r="F741" s="386">
        <v>2.0</v>
      </c>
      <c r="G741" s="74">
        <v>700000.0</v>
      </c>
      <c r="H741" s="74">
        <v>0.0</v>
      </c>
      <c r="I741" s="74">
        <f t="shared" si="1"/>
        <v>1400000</v>
      </c>
      <c r="J741" s="74">
        <f>IF(E741="SERVICE",I741-(I741*50%),Vlookup(E741,DATABASE!C:Q,10,false)*F741)</f>
        <v>0</v>
      </c>
      <c r="K741" s="74">
        <v>613000.0</v>
      </c>
      <c r="L741" s="74">
        <v>613000.0</v>
      </c>
      <c r="M741" s="74">
        <f t="shared" si="2"/>
        <v>615000</v>
      </c>
      <c r="N741" s="74">
        <f t="shared" si="3"/>
        <v>170000</v>
      </c>
      <c r="O741" s="65" t="str">
        <f>VLOOKUP(E741,DATABASE!C:Q,8,false)</f>
        <v>IBU</v>
      </c>
      <c r="P741" s="65">
        <f>VLOOKUP(E741,DATABASE!C:Q,9,False)</f>
        <v>1</v>
      </c>
      <c r="Q741" s="93" t="str">
        <f>VLOOKUP(E741,DATABASE!C:Q,4,false)</f>
        <v>Dunlop</v>
      </c>
      <c r="R741" s="93" t="str">
        <f>VLOOKUP(E741,DATABASE!C:Q,11,false)</f>
        <v>Tire</v>
      </c>
    </row>
    <row r="742" ht="22.5" customHeight="1">
      <c r="A742" s="49"/>
      <c r="C742" s="384">
        <v>45700.0</v>
      </c>
      <c r="D742" s="65">
        <v>4321.0</v>
      </c>
      <c r="E742" s="445" t="s">
        <v>256</v>
      </c>
      <c r="F742" s="386">
        <v>1.0</v>
      </c>
      <c r="G742" s="74">
        <v>130000.0</v>
      </c>
      <c r="H742" s="74">
        <v>0.0</v>
      </c>
      <c r="I742" s="74">
        <f t="shared" si="1"/>
        <v>130000</v>
      </c>
      <c r="J742" s="74">
        <f>IF(E742="SERVICE",I742-(I742*50%),Vlookup(E742,DATABASE!C:Q,10,false)*F742)</f>
        <v>10000</v>
      </c>
      <c r="K742" s="74">
        <f>VLOOKUP(E742,DATABASE!C:Q,7,false)</f>
        <v>0</v>
      </c>
      <c r="L742" s="74">
        <v>0.0</v>
      </c>
      <c r="M742" s="74">
        <f t="shared" si="2"/>
        <v>0</v>
      </c>
      <c r="N742" s="74">
        <f t="shared" si="3"/>
        <v>120000</v>
      </c>
      <c r="O742" s="65" t="str">
        <f>VLOOKUP(E742,DATABASE!C:Q,8,false)</f>
        <v>IBU</v>
      </c>
      <c r="P742" s="65">
        <f>VLOOKUP(E742,DATABASE!C:Q,9,False)</f>
        <v>0</v>
      </c>
      <c r="Q742" s="93" t="str">
        <f>VLOOKUP(E742,DATABASE!C:Q,4,false)</f>
        <v>SPOORING</v>
      </c>
      <c r="R742" s="93" t="str">
        <f>VLOOKUP(E742,DATABASE!C:Q,11,false)</f>
        <v>SERVICE</v>
      </c>
    </row>
    <row r="743" ht="22.5" customHeight="1">
      <c r="A743" s="49"/>
      <c r="C743" s="384">
        <v>45700.0</v>
      </c>
      <c r="D743" s="65">
        <v>4321.0</v>
      </c>
      <c r="E743" s="445" t="s">
        <v>251</v>
      </c>
      <c r="F743" s="386">
        <v>1.0</v>
      </c>
      <c r="G743" s="74">
        <v>150000.0</v>
      </c>
      <c r="H743" s="74">
        <v>0.0</v>
      </c>
      <c r="I743" s="74">
        <f t="shared" si="1"/>
        <v>150000</v>
      </c>
      <c r="J743" s="74">
        <f>IF(E743="SERVICE",I743-(I743*50%),Vlookup(E743,DATABASE!C:Q,10,false)*F743)</f>
        <v>75000</v>
      </c>
      <c r="K743" s="74">
        <f>VLOOKUP(E743,DATABASE!C:Q,7,false)</f>
        <v>0</v>
      </c>
      <c r="L743" s="74">
        <v>0.0</v>
      </c>
      <c r="M743" s="74">
        <f t="shared" si="2"/>
        <v>0</v>
      </c>
      <c r="N743" s="74">
        <f t="shared" si="3"/>
        <v>75000</v>
      </c>
      <c r="O743" s="65" t="str">
        <f>VLOOKUP(E743,DATABASE!C:Q,8,false)</f>
        <v>IBU</v>
      </c>
      <c r="P743" s="65">
        <f>VLOOKUP(E743,DATABASE!C:Q,9,False)</f>
        <v>0</v>
      </c>
      <c r="Q743" s="93" t="str">
        <f>VLOOKUP(E743,DATABASE!C:Q,4,false)</f>
        <v>SERVICE</v>
      </c>
      <c r="R743" s="93" t="str">
        <f>VLOOKUP(E743,DATABASE!C:Q,11,false)</f>
        <v>SERVICE</v>
      </c>
    </row>
    <row r="744" ht="22.5" customHeight="1">
      <c r="A744" s="49"/>
      <c r="C744" s="384">
        <v>45701.0</v>
      </c>
      <c r="D744" s="65">
        <v>4322.0</v>
      </c>
      <c r="E744" s="445" t="s">
        <v>932</v>
      </c>
      <c r="F744" s="386">
        <v>2.0</v>
      </c>
      <c r="G744" s="74">
        <v>670000.0</v>
      </c>
      <c r="H744" s="74">
        <v>0.0</v>
      </c>
      <c r="I744" s="74">
        <f t="shared" si="1"/>
        <v>1340000</v>
      </c>
      <c r="J744" s="74">
        <f>IF(E744="SERVICE",I744-(I744*50%),Vlookup(E744,DATABASE!C:Q,10,false)*F744)</f>
        <v>0</v>
      </c>
      <c r="K744" s="74">
        <v>575000.0</v>
      </c>
      <c r="L744" s="74">
        <v>575000.0</v>
      </c>
      <c r="M744" s="74">
        <f t="shared" si="2"/>
        <v>575000</v>
      </c>
      <c r="N744" s="74">
        <f t="shared" si="3"/>
        <v>190000</v>
      </c>
      <c r="O744" s="65" t="str">
        <f>VLOOKUP(E744,DATABASE!C:Q,8,false)</f>
        <v>IBU</v>
      </c>
      <c r="P744" s="65">
        <f>VLOOKUP(E744,DATABASE!C:Q,9,False)</f>
        <v>1</v>
      </c>
      <c r="Q744" s="93" t="str">
        <f>VLOOKUP(E744,DATABASE!C:Q,4,false)</f>
        <v>Dunlop</v>
      </c>
      <c r="R744" s="93" t="str">
        <f>VLOOKUP(E744,DATABASE!C:Q,11,false)</f>
        <v>Tire</v>
      </c>
    </row>
    <row r="745" ht="22.5" customHeight="1">
      <c r="A745" s="49"/>
      <c r="C745" s="384">
        <v>45701.0</v>
      </c>
      <c r="D745" s="65">
        <v>4322.0</v>
      </c>
      <c r="E745" s="445" t="s">
        <v>566</v>
      </c>
      <c r="F745" s="386">
        <v>2.0</v>
      </c>
      <c r="G745" s="74">
        <v>1680000.0</v>
      </c>
      <c r="H745" s="74">
        <v>0.0</v>
      </c>
      <c r="I745" s="74">
        <f t="shared" si="1"/>
        <v>3360000</v>
      </c>
      <c r="J745" s="74">
        <f>IF(E745="SERVICE",I745-(I745*50%),Vlookup(E745,DATABASE!C:Q,10,false)*F745)</f>
        <v>0</v>
      </c>
      <c r="K745" s="140">
        <v>1570000.0</v>
      </c>
      <c r="L745" s="140">
        <v>1570000.0</v>
      </c>
      <c r="M745" s="74">
        <f t="shared" si="2"/>
        <v>1570000</v>
      </c>
      <c r="N745" s="74">
        <f t="shared" si="3"/>
        <v>220000</v>
      </c>
      <c r="O745" s="65" t="str">
        <f>VLOOKUP(E745,DATABASE!C:Q,8,false)</f>
        <v>IBU</v>
      </c>
      <c r="P745" s="65">
        <f>VLOOKUP(E745,DATABASE!C:Q,9,False)</f>
        <v>1</v>
      </c>
      <c r="Q745" s="93" t="str">
        <f>VLOOKUP(E745,DATABASE!C:Q,4,false)</f>
        <v>Bridgestone</v>
      </c>
      <c r="R745" s="93" t="str">
        <f>VLOOKUP(E745,DATABASE!C:Q,11,false)</f>
        <v>Tire</v>
      </c>
    </row>
    <row r="746" ht="22.5" customHeight="1">
      <c r="A746" s="49"/>
      <c r="C746" s="384">
        <v>45701.0</v>
      </c>
      <c r="D746" s="65">
        <v>4322.0</v>
      </c>
      <c r="E746" s="445" t="s">
        <v>744</v>
      </c>
      <c r="F746" s="386">
        <v>1.0</v>
      </c>
      <c r="G746" s="74">
        <v>230000.0</v>
      </c>
      <c r="H746" s="74">
        <v>0.0</v>
      </c>
      <c r="I746" s="74">
        <f t="shared" si="1"/>
        <v>230000</v>
      </c>
      <c r="J746" s="74">
        <f>IF(E746="SERVICE",I746-(I746*50%),Vlookup(E746,DATABASE!C:Q,10,false)*F746)</f>
        <v>0</v>
      </c>
      <c r="K746" s="74">
        <f>VLOOKUP(E746,DATABASE!C:Q,7,false)</f>
        <v>182200</v>
      </c>
      <c r="L746" s="74">
        <v>199920.0</v>
      </c>
      <c r="M746" s="74">
        <f t="shared" si="2"/>
        <v>200000</v>
      </c>
      <c r="N746" s="74">
        <f t="shared" si="3"/>
        <v>30000</v>
      </c>
      <c r="O746" s="65" t="str">
        <f>VLOOKUP(E746,DATABASE!C:Q,8,false)</f>
        <v>BIAN</v>
      </c>
      <c r="P746" s="65">
        <f>VLOOKUP(E746,DATABASE!C:Q,9,False)</f>
        <v>1</v>
      </c>
      <c r="Q746" s="93" t="str">
        <f>VLOOKUP(E746,DATABASE!C:Q,4,false)</f>
        <v>BD</v>
      </c>
      <c r="R746" s="93" t="str">
        <f>VLOOKUP(E746,DATABASE!C:Q,11,false)</f>
        <v>Tire</v>
      </c>
    </row>
    <row r="747" ht="22.5" customHeight="1">
      <c r="A747" s="49"/>
      <c r="C747" s="384">
        <v>45701.0</v>
      </c>
      <c r="D747" s="65">
        <v>4322.0</v>
      </c>
      <c r="E747" s="445" t="s">
        <v>821</v>
      </c>
      <c r="F747" s="386">
        <v>1.0</v>
      </c>
      <c r="G747" s="74">
        <v>75000.0</v>
      </c>
      <c r="H747" s="74">
        <v>0.0</v>
      </c>
      <c r="I747" s="74">
        <f t="shared" si="1"/>
        <v>75000</v>
      </c>
      <c r="J747" s="74">
        <f>IF(E747="SERVICE",I747-(I747*50%),Vlookup(E747,DATABASE!C:Q,10,false)*F747)</f>
        <v>0</v>
      </c>
      <c r="K747" s="74">
        <f>VLOOKUP(E747,DATABASE!C:Q,7,false)</f>
        <v>43500</v>
      </c>
      <c r="L747" s="74">
        <v>43520.0</v>
      </c>
      <c r="M747" s="74">
        <f t="shared" si="2"/>
        <v>45000</v>
      </c>
      <c r="N747" s="74">
        <f t="shared" si="3"/>
        <v>30000</v>
      </c>
      <c r="O747" s="65" t="str">
        <f>VLOOKUP(E747,DATABASE!C:Q,8,false)</f>
        <v>BIAN</v>
      </c>
      <c r="P747" s="65">
        <f>VLOOKUP(E747,DATABASE!C:Q,9,False)</f>
        <v>1</v>
      </c>
      <c r="Q747" s="93" t="str">
        <f>VLOOKUP(E747,DATABASE!C:Q,4,false)</f>
        <v>Flap</v>
      </c>
      <c r="R747" s="93" t="str">
        <f>VLOOKUP(E747,DATABASE!C:Q,11,false)</f>
        <v>Tire</v>
      </c>
    </row>
    <row r="748" ht="22.5" customHeight="1">
      <c r="A748" s="49"/>
      <c r="C748" s="384">
        <v>45701.0</v>
      </c>
      <c r="D748" s="65">
        <v>4324.0</v>
      </c>
      <c r="E748" s="445" t="s">
        <v>839</v>
      </c>
      <c r="F748" s="386">
        <v>2.0</v>
      </c>
      <c r="G748" s="74">
        <v>565000.0</v>
      </c>
      <c r="H748" s="74">
        <v>0.0</v>
      </c>
      <c r="I748" s="74">
        <f t="shared" si="1"/>
        <v>1130000</v>
      </c>
      <c r="J748" s="74">
        <f>IF(E748="SERVICE",I748-(I748*50%),Vlookup(E748,DATABASE!C:Q,10,false)*F748)</f>
        <v>0</v>
      </c>
      <c r="K748" s="74">
        <f>VLOOKUP(E748,DATABASE!C:Q,7,false)</f>
        <v>512640</v>
      </c>
      <c r="L748" s="74">
        <v>475700.0</v>
      </c>
      <c r="M748" s="74">
        <f t="shared" si="2"/>
        <v>480000</v>
      </c>
      <c r="N748" s="74">
        <f t="shared" si="3"/>
        <v>170000</v>
      </c>
      <c r="O748" s="65" t="str">
        <f>VLOOKUP(E748,DATABASE!C:Q,8,false)</f>
        <v>BIAN</v>
      </c>
      <c r="P748" s="65">
        <f>VLOOKUP(E748,DATABASE!C:Q,9,False)</f>
        <v>1</v>
      </c>
      <c r="Q748" s="93" t="str">
        <f>VLOOKUP(E748,DATABASE!C:Q,4,false)</f>
        <v>GT</v>
      </c>
      <c r="R748" s="93" t="str">
        <f>VLOOKUP(E748,DATABASE!C:Q,11,false)</f>
        <v>Tire</v>
      </c>
    </row>
    <row r="749" ht="22.5" customHeight="1">
      <c r="A749" s="49"/>
      <c r="C749" s="384">
        <v>45701.0</v>
      </c>
      <c r="D749" s="65">
        <v>4325.0</v>
      </c>
      <c r="E749" s="445" t="s">
        <v>744</v>
      </c>
      <c r="F749" s="386">
        <v>1.0</v>
      </c>
      <c r="G749" s="74">
        <v>230000.0</v>
      </c>
      <c r="H749" s="74">
        <v>0.0</v>
      </c>
      <c r="I749" s="74">
        <f t="shared" si="1"/>
        <v>230000</v>
      </c>
      <c r="J749" s="74">
        <f>IF(E749="SERVICE",I749-(I749*50%),Vlookup(E749,DATABASE!C:Q,10,false)*F749)</f>
        <v>0</v>
      </c>
      <c r="K749" s="74">
        <f>VLOOKUP(E749,DATABASE!C:Q,7,false)</f>
        <v>182200</v>
      </c>
      <c r="L749" s="74">
        <v>199920.0</v>
      </c>
      <c r="M749" s="74">
        <f t="shared" si="2"/>
        <v>200000</v>
      </c>
      <c r="N749" s="74">
        <f t="shared" si="3"/>
        <v>30000</v>
      </c>
      <c r="O749" s="65" t="str">
        <f>VLOOKUP(E749,DATABASE!C:Q,8,false)</f>
        <v>BIAN</v>
      </c>
      <c r="P749" s="65">
        <f>VLOOKUP(E749,DATABASE!C:Q,9,False)</f>
        <v>1</v>
      </c>
      <c r="Q749" s="93" t="str">
        <f>VLOOKUP(E749,DATABASE!C:Q,4,false)</f>
        <v>BD</v>
      </c>
      <c r="R749" s="93" t="str">
        <f>VLOOKUP(E749,DATABASE!C:Q,11,false)</f>
        <v>Tire</v>
      </c>
    </row>
    <row r="750" ht="22.5" customHeight="1">
      <c r="A750" s="49"/>
      <c r="C750" s="384">
        <v>45701.0</v>
      </c>
      <c r="D750" s="65">
        <v>4325.0</v>
      </c>
      <c r="E750" s="445" t="s">
        <v>821</v>
      </c>
      <c r="F750" s="386">
        <v>1.0</v>
      </c>
      <c r="G750" s="74">
        <v>70000.0</v>
      </c>
      <c r="H750" s="74">
        <v>0.0</v>
      </c>
      <c r="I750" s="74">
        <f t="shared" si="1"/>
        <v>70000</v>
      </c>
      <c r="J750" s="74">
        <f>IF(E750="SERVICE",I750-(I750*50%),Vlookup(E750,DATABASE!C:Q,10,false)*F750)</f>
        <v>0</v>
      </c>
      <c r="K750" s="74">
        <f>VLOOKUP(E750,DATABASE!C:Q,7,false)</f>
        <v>43500</v>
      </c>
      <c r="L750" s="74">
        <v>43520.0</v>
      </c>
      <c r="M750" s="74">
        <f t="shared" si="2"/>
        <v>45000</v>
      </c>
      <c r="N750" s="74">
        <f t="shared" si="3"/>
        <v>25000</v>
      </c>
      <c r="O750" s="65" t="str">
        <f>VLOOKUP(E750,DATABASE!C:Q,8,false)</f>
        <v>BIAN</v>
      </c>
      <c r="P750" s="65">
        <f>VLOOKUP(E750,DATABASE!C:Q,9,False)</f>
        <v>1</v>
      </c>
      <c r="Q750" s="93" t="str">
        <f>VLOOKUP(E750,DATABASE!C:Q,4,false)</f>
        <v>Flap</v>
      </c>
      <c r="R750" s="93" t="str">
        <f>VLOOKUP(E750,DATABASE!C:Q,11,false)</f>
        <v>Tire</v>
      </c>
    </row>
    <row r="751" ht="22.5" customHeight="1">
      <c r="A751" s="49"/>
      <c r="C751" s="384">
        <v>45701.0</v>
      </c>
      <c r="D751" s="65">
        <v>4326.0</v>
      </c>
      <c r="E751" s="445" t="s">
        <v>268</v>
      </c>
      <c r="F751" s="386">
        <v>4.0</v>
      </c>
      <c r="G751" s="74">
        <v>680000.0</v>
      </c>
      <c r="H751" s="74">
        <v>0.0</v>
      </c>
      <c r="I751" s="74">
        <f t="shared" si="1"/>
        <v>2720000</v>
      </c>
      <c r="J751" s="74">
        <f>IF(E751="SERVICE",I751-(I751*50%),Vlookup(E751,DATABASE!C:Q,10,false)*F751)</f>
        <v>0</v>
      </c>
      <c r="K751" s="74">
        <v>613000.0</v>
      </c>
      <c r="L751" s="74">
        <v>613000.0</v>
      </c>
      <c r="M751" s="74">
        <f t="shared" si="2"/>
        <v>615000</v>
      </c>
      <c r="N751" s="74">
        <f t="shared" si="3"/>
        <v>260000</v>
      </c>
      <c r="O751" s="65" t="str">
        <f>VLOOKUP(E751,DATABASE!C:Q,8,false)</f>
        <v>IBU</v>
      </c>
      <c r="P751" s="65">
        <f>VLOOKUP(E751,DATABASE!C:Q,9,False)</f>
        <v>1</v>
      </c>
      <c r="Q751" s="93" t="str">
        <f>VLOOKUP(E751,DATABASE!C:Q,4,false)</f>
        <v>Dunlop</v>
      </c>
      <c r="R751" s="93" t="str">
        <f>VLOOKUP(E751,DATABASE!C:Q,11,false)</f>
        <v>Tire</v>
      </c>
    </row>
    <row r="752" ht="22.5" customHeight="1">
      <c r="A752" s="49"/>
      <c r="C752" s="384">
        <v>45701.0</v>
      </c>
      <c r="D752" s="65">
        <v>4327.0</v>
      </c>
      <c r="E752" s="445" t="s">
        <v>1041</v>
      </c>
      <c r="F752" s="386">
        <v>2.0</v>
      </c>
      <c r="G752" s="74">
        <v>700000.0</v>
      </c>
      <c r="H752" s="74">
        <v>0.0</v>
      </c>
      <c r="I752" s="74">
        <f t="shared" si="1"/>
        <v>1400000</v>
      </c>
      <c r="J752" s="74">
        <f>IF(E752="SERVICE",I752-(I752*50%),Vlookup(E752,DATABASE!C:Q,10,false)*F752)</f>
        <v>0</v>
      </c>
      <c r="K752" s="74">
        <f>VLOOKUP(E752,DATABASE!C:Q,7,false)</f>
        <v>550000</v>
      </c>
      <c r="L752" s="74">
        <v>550000.0</v>
      </c>
      <c r="M752" s="74">
        <f t="shared" si="2"/>
        <v>550000</v>
      </c>
      <c r="N752" s="74">
        <f t="shared" si="3"/>
        <v>300000</v>
      </c>
      <c r="O752" s="65" t="str">
        <f>VLOOKUP(E752,DATABASE!C:Q,8,false)</f>
        <v>IBU</v>
      </c>
      <c r="P752" s="65">
        <f>VLOOKUP(E752,DATABASE!C:Q,9,False)</f>
        <v>0</v>
      </c>
      <c r="Q752" s="93" t="str">
        <f>VLOOKUP(E752,DATABASE!C:Q,4,false)</f>
        <v>Bridgestone</v>
      </c>
      <c r="R752" s="93" t="str">
        <f>VLOOKUP(E752,DATABASE!C:Q,11,false)</f>
        <v>Tire</v>
      </c>
    </row>
    <row r="753" ht="22.5" customHeight="1">
      <c r="A753" s="49"/>
      <c r="C753" s="384">
        <v>45701.0</v>
      </c>
      <c r="D753" s="65">
        <v>4327.0</v>
      </c>
      <c r="E753" s="385" t="s">
        <v>299</v>
      </c>
      <c r="F753" s="386">
        <v>2.0</v>
      </c>
      <c r="G753" s="74">
        <v>30000.0</v>
      </c>
      <c r="H753" s="74">
        <v>0.0</v>
      </c>
      <c r="I753" s="74">
        <f t="shared" si="1"/>
        <v>60000</v>
      </c>
      <c r="J753" s="74">
        <f>IF(E753="SERVICE",I753-(I753*50%),Vlookup(E753,DATABASE!C:Q,10,false)*F753)</f>
        <v>0</v>
      </c>
      <c r="K753" s="74">
        <v>0.0</v>
      </c>
      <c r="L753" s="74">
        <v>0.0</v>
      </c>
      <c r="M753" s="74">
        <f t="shared" si="2"/>
        <v>0</v>
      </c>
      <c r="N753" s="74">
        <f t="shared" si="3"/>
        <v>60000</v>
      </c>
      <c r="O753" s="65" t="str">
        <f>VLOOKUP(E753,DATABASE!C:Q,8,false)</f>
        <v>BIAN</v>
      </c>
      <c r="P753" s="65">
        <f>VLOOKUP(E753,DATABASE!C:Q,9,False)</f>
        <v>0</v>
      </c>
      <c r="Q753" s="93" t="str">
        <f>VLOOKUP(E753,DATABASE!C:Q,4,false)</f>
        <v>Balancing</v>
      </c>
      <c r="R753" s="93" t="str">
        <f>VLOOKUP(E753,DATABASE!C:Q,11,false)</f>
        <v>COMPLEMENTARY</v>
      </c>
    </row>
    <row r="754" ht="22.5" customHeight="1">
      <c r="A754" s="49"/>
      <c r="C754" s="384">
        <v>45701.0</v>
      </c>
      <c r="D754" s="65">
        <v>4327.0</v>
      </c>
      <c r="E754" s="445" t="s">
        <v>256</v>
      </c>
      <c r="F754" s="386">
        <v>1.0</v>
      </c>
      <c r="G754" s="74">
        <v>130000.0</v>
      </c>
      <c r="H754" s="74">
        <v>0.0</v>
      </c>
      <c r="I754" s="74">
        <f t="shared" si="1"/>
        <v>130000</v>
      </c>
      <c r="J754" s="74">
        <f>IF(E754="SERVICE",I754-(I754*50%),Vlookup(E754,DATABASE!C:Q,10,false)*F754)</f>
        <v>10000</v>
      </c>
      <c r="K754" s="74">
        <f>VLOOKUP(E754,DATABASE!C:Q,7,false)</f>
        <v>0</v>
      </c>
      <c r="L754" s="74">
        <v>0.0</v>
      </c>
      <c r="M754" s="74">
        <f t="shared" si="2"/>
        <v>0</v>
      </c>
      <c r="N754" s="74">
        <f t="shared" si="3"/>
        <v>120000</v>
      </c>
      <c r="O754" s="65" t="str">
        <f>VLOOKUP(E754,DATABASE!C:Q,8,false)</f>
        <v>IBU</v>
      </c>
      <c r="P754" s="65">
        <f>VLOOKUP(E754,DATABASE!C:Q,9,False)</f>
        <v>0</v>
      </c>
      <c r="Q754" s="93" t="str">
        <f>VLOOKUP(E754,DATABASE!C:Q,4,false)</f>
        <v>SPOORING</v>
      </c>
      <c r="R754" s="93" t="str">
        <f>VLOOKUP(E754,DATABASE!C:Q,11,false)</f>
        <v>SERVICE</v>
      </c>
    </row>
    <row r="755" ht="22.5" customHeight="1">
      <c r="A755" s="49"/>
      <c r="C755" s="384">
        <v>45701.0</v>
      </c>
      <c r="D755" s="65">
        <v>4328.0</v>
      </c>
      <c r="E755" s="445" t="s">
        <v>301</v>
      </c>
      <c r="F755" s="386">
        <v>1.0</v>
      </c>
      <c r="G755" s="74">
        <v>250000.0</v>
      </c>
      <c r="H755" s="74">
        <v>0.0</v>
      </c>
      <c r="I755" s="74">
        <f t="shared" si="1"/>
        <v>250000</v>
      </c>
      <c r="J755" s="74">
        <f>IF(E755="SERVICE",I755-(I755*50%),Vlookup(E755,DATABASE!C:Q,10,false)*F755)</f>
        <v>75000</v>
      </c>
      <c r="K755" s="74">
        <f>VLOOKUP(E755,DATABASE!C:Q,7,false)</f>
        <v>75000</v>
      </c>
      <c r="L755" s="74">
        <v>75000.0</v>
      </c>
      <c r="M755" s="74">
        <f t="shared" si="2"/>
        <v>75000</v>
      </c>
      <c r="N755" s="74">
        <f t="shared" si="3"/>
        <v>100000</v>
      </c>
      <c r="O755" s="65" t="str">
        <f>VLOOKUP(E755,DATABASE!C:Q,8,false)</f>
        <v>BIAN</v>
      </c>
      <c r="P755" s="65">
        <f>VLOOKUP(E755,DATABASE!C:Q,9,False)</f>
        <v>0</v>
      </c>
      <c r="Q755" s="93" t="str">
        <f>VLOOKUP(E755,DATABASE!C:Q,4,false)</f>
        <v>Baut Camber</v>
      </c>
      <c r="R755" s="93" t="str">
        <f>VLOOKUP(E755,DATABASE!C:Q,11,false)</f>
        <v>COMPLEMENTARY</v>
      </c>
    </row>
    <row r="756" ht="22.5" customHeight="1">
      <c r="A756" s="49"/>
      <c r="C756" s="384">
        <v>45701.0</v>
      </c>
      <c r="D756" s="65">
        <v>4330.0</v>
      </c>
      <c r="E756" s="445" t="s">
        <v>268</v>
      </c>
      <c r="F756" s="386">
        <v>2.0</v>
      </c>
      <c r="G756" s="74">
        <v>700000.0</v>
      </c>
      <c r="H756" s="74">
        <v>0.0</v>
      </c>
      <c r="I756" s="74">
        <f t="shared" si="1"/>
        <v>1400000</v>
      </c>
      <c r="J756" s="74">
        <f>IF(E756="SERVICE",I756-(I756*50%),Vlookup(E756,DATABASE!C:Q,10,false)*F756)</f>
        <v>0</v>
      </c>
      <c r="K756" s="74">
        <v>613000.0</v>
      </c>
      <c r="L756" s="74">
        <v>613000.0</v>
      </c>
      <c r="M756" s="74">
        <f t="shared" si="2"/>
        <v>615000</v>
      </c>
      <c r="N756" s="74">
        <f t="shared" si="3"/>
        <v>170000</v>
      </c>
      <c r="O756" s="65" t="str">
        <f>VLOOKUP(E756,DATABASE!C:Q,8,false)</f>
        <v>IBU</v>
      </c>
      <c r="P756" s="65">
        <f>VLOOKUP(E756,DATABASE!C:Q,9,False)</f>
        <v>1</v>
      </c>
      <c r="Q756" s="93" t="str">
        <f>VLOOKUP(E756,DATABASE!C:Q,4,false)</f>
        <v>Dunlop</v>
      </c>
      <c r="R756" s="93" t="str">
        <f>VLOOKUP(E756,DATABASE!C:Q,11,false)</f>
        <v>Tire</v>
      </c>
    </row>
    <row r="757" ht="22.5" customHeight="1">
      <c r="A757" s="49"/>
      <c r="C757" s="384">
        <v>45701.0</v>
      </c>
      <c r="D757" s="65">
        <v>4331.0</v>
      </c>
      <c r="E757" s="445" t="s">
        <v>256</v>
      </c>
      <c r="F757" s="386">
        <v>1.0</v>
      </c>
      <c r="G757" s="74">
        <v>110000.0</v>
      </c>
      <c r="H757" s="74">
        <v>0.0</v>
      </c>
      <c r="I757" s="74">
        <f t="shared" si="1"/>
        <v>110000</v>
      </c>
      <c r="J757" s="74">
        <f>IF(E757="SERVICE",I757-(I757*50%),Vlookup(E757,DATABASE!C:Q,10,false)*F757)</f>
        <v>10000</v>
      </c>
      <c r="K757" s="74">
        <f>VLOOKUP(E757,DATABASE!C:Q,7,false)</f>
        <v>0</v>
      </c>
      <c r="L757" s="74">
        <v>0.0</v>
      </c>
      <c r="M757" s="74">
        <f t="shared" si="2"/>
        <v>0</v>
      </c>
      <c r="N757" s="74">
        <f t="shared" si="3"/>
        <v>100000</v>
      </c>
      <c r="O757" s="65" t="str">
        <f>VLOOKUP(E757,DATABASE!C:Q,8,false)</f>
        <v>IBU</v>
      </c>
      <c r="P757" s="65">
        <f>VLOOKUP(E757,DATABASE!C:Q,9,False)</f>
        <v>0</v>
      </c>
      <c r="Q757" s="93" t="str">
        <f>VLOOKUP(E757,DATABASE!C:Q,4,false)</f>
        <v>SPOORING</v>
      </c>
      <c r="R757" s="93" t="str">
        <f>VLOOKUP(E757,DATABASE!C:Q,11,false)</f>
        <v>SERVICE</v>
      </c>
    </row>
    <row r="758" ht="22.5" customHeight="1">
      <c r="A758" s="49"/>
      <c r="C758" s="384">
        <v>45701.0</v>
      </c>
      <c r="D758" s="65">
        <v>4331.0</v>
      </c>
      <c r="E758" s="385" t="s">
        <v>305</v>
      </c>
      <c r="F758" s="386">
        <v>1.0</v>
      </c>
      <c r="G758" s="74">
        <v>235000.0</v>
      </c>
      <c r="H758" s="74">
        <v>0.0</v>
      </c>
      <c r="I758" s="74">
        <f t="shared" si="1"/>
        <v>235000</v>
      </c>
      <c r="J758" s="74">
        <f>IF(E758="SERVICE",I758-(I758*50%),Vlookup(E758,DATABASE!C:Q,10,false)*F758)</f>
        <v>40000</v>
      </c>
      <c r="K758" s="74">
        <f>VLOOKUP(E758,DATABASE!C:Q,7,false)</f>
        <v>158530.2</v>
      </c>
      <c r="L758" s="74">
        <v>151890.0</v>
      </c>
      <c r="M758" s="74">
        <f t="shared" si="2"/>
        <v>155000</v>
      </c>
      <c r="N758" s="74">
        <f t="shared" si="3"/>
        <v>40000</v>
      </c>
      <c r="O758" s="65" t="str">
        <f>VLOOKUP(E758,DATABASE!C:Q,8,false)</f>
        <v>BIAN</v>
      </c>
      <c r="P758" s="65">
        <f>VLOOKUP(E758,DATABASE!C:Q,9,False)</f>
        <v>1</v>
      </c>
      <c r="Q758" s="93" t="str">
        <f>VLOOKUP(E758,DATABASE!C:Q,4,false)</f>
        <v>Lower Arm</v>
      </c>
      <c r="R758" s="93" t="str">
        <f>VLOOKUP(E758,DATABASE!C:Q,11,false)</f>
        <v>COMPLEMENTARY</v>
      </c>
    </row>
    <row r="759" ht="22.5" customHeight="1">
      <c r="A759" s="49"/>
      <c r="C759" s="384">
        <v>45701.0</v>
      </c>
      <c r="D759" s="65">
        <v>4331.0</v>
      </c>
      <c r="E759" s="445" t="s">
        <v>251</v>
      </c>
      <c r="F759" s="386">
        <v>1.0</v>
      </c>
      <c r="G759" s="74">
        <v>120000.0</v>
      </c>
      <c r="H759" s="74">
        <v>0.0</v>
      </c>
      <c r="I759" s="74">
        <f t="shared" si="1"/>
        <v>120000</v>
      </c>
      <c r="J759" s="74">
        <f>IF(E759="SERVICE",I759-(I759*50%),Vlookup(E759,DATABASE!C:Q,10,false)*F759)</f>
        <v>60000</v>
      </c>
      <c r="K759" s="74">
        <f>VLOOKUP(E759,DATABASE!C:Q,7,false)</f>
        <v>0</v>
      </c>
      <c r="L759" s="74">
        <v>0.0</v>
      </c>
      <c r="M759" s="74">
        <f t="shared" si="2"/>
        <v>0</v>
      </c>
      <c r="N759" s="74">
        <f t="shared" si="3"/>
        <v>60000</v>
      </c>
      <c r="O759" s="65" t="str">
        <f>VLOOKUP(E759,DATABASE!C:Q,8,false)</f>
        <v>IBU</v>
      </c>
      <c r="P759" s="65">
        <f>VLOOKUP(E759,DATABASE!C:Q,9,False)</f>
        <v>0</v>
      </c>
      <c r="Q759" s="93" t="str">
        <f>VLOOKUP(E759,DATABASE!C:Q,4,false)</f>
        <v>SERVICE</v>
      </c>
      <c r="R759" s="93" t="str">
        <f>VLOOKUP(E759,DATABASE!C:Q,11,false)</f>
        <v>SERVICE</v>
      </c>
    </row>
    <row r="760" ht="22.5" customHeight="1">
      <c r="A760" s="49"/>
      <c r="C760" s="384">
        <v>45701.0</v>
      </c>
      <c r="D760" s="65">
        <v>4332.0</v>
      </c>
      <c r="E760" s="445" t="s">
        <v>265</v>
      </c>
      <c r="F760" s="386">
        <v>2.0</v>
      </c>
      <c r="G760" s="74">
        <v>670000.0</v>
      </c>
      <c r="H760" s="74">
        <v>0.0</v>
      </c>
      <c r="I760" s="74">
        <f t="shared" si="1"/>
        <v>1340000</v>
      </c>
      <c r="J760" s="74">
        <f>IF(E760="SERVICE",I760-(I760*50%),Vlookup(E760,DATABASE!C:Q,10,false)*F760)</f>
        <v>0</v>
      </c>
      <c r="K760" s="74">
        <v>590000.0</v>
      </c>
      <c r="L760" s="74">
        <v>590000.0</v>
      </c>
      <c r="M760" s="74">
        <f t="shared" si="2"/>
        <v>590000</v>
      </c>
      <c r="N760" s="74">
        <f t="shared" si="3"/>
        <v>160000</v>
      </c>
      <c r="O760" s="65" t="str">
        <f>VLOOKUP(E760,DATABASE!C:Q,8,false)</f>
        <v>IBU</v>
      </c>
      <c r="P760" s="65">
        <f>VLOOKUP(E760,DATABASE!C:Q,9,False)</f>
        <v>1</v>
      </c>
      <c r="Q760" s="93" t="str">
        <f>VLOOKUP(E760,DATABASE!C:Q,4,false)</f>
        <v>Dunlop</v>
      </c>
      <c r="R760" s="93" t="str">
        <f>VLOOKUP(E760,DATABASE!C:Q,11,false)</f>
        <v>Tire</v>
      </c>
    </row>
    <row r="761" ht="22.5" customHeight="1">
      <c r="A761" s="49"/>
      <c r="C761" s="384">
        <v>45701.0</v>
      </c>
      <c r="D761" s="65">
        <v>4333.0</v>
      </c>
      <c r="E761" s="445" t="s">
        <v>968</v>
      </c>
      <c r="F761" s="386">
        <v>2.0</v>
      </c>
      <c r="G761" s="74">
        <v>660000.0</v>
      </c>
      <c r="H761" s="74">
        <v>0.0</v>
      </c>
      <c r="I761" s="74">
        <f t="shared" si="1"/>
        <v>1320000</v>
      </c>
      <c r="J761" s="74">
        <f>IF(E761="SERVICE",I761-(I761*50%),Vlookup(E761,DATABASE!C:Q,10,false)*F761)</f>
        <v>0</v>
      </c>
      <c r="K761" s="74">
        <f>VLOOKUP(E761,DATABASE!C:Q,7,false)</f>
        <v>582500</v>
      </c>
      <c r="L761" s="74">
        <v>582500.0</v>
      </c>
      <c r="M761" s="74">
        <f t="shared" si="2"/>
        <v>585000</v>
      </c>
      <c r="N761" s="74">
        <f t="shared" si="3"/>
        <v>150000</v>
      </c>
      <c r="O761" s="65" t="str">
        <f>VLOOKUP(E761,DATABASE!C:Q,8,false)</f>
        <v>IBU</v>
      </c>
      <c r="P761" s="65">
        <f>VLOOKUP(E761,DATABASE!C:Q,9,False)</f>
        <v>1</v>
      </c>
      <c r="Q761" s="93" t="str">
        <f>VLOOKUP(E761,DATABASE!C:Q,4,false)</f>
        <v>Dunlop</v>
      </c>
      <c r="R761" s="93" t="str">
        <f>VLOOKUP(E761,DATABASE!C:Q,11,false)</f>
        <v>Tire</v>
      </c>
    </row>
    <row r="762" ht="22.5" customHeight="1">
      <c r="A762" s="49"/>
      <c r="C762" s="384">
        <v>45701.0</v>
      </c>
      <c r="D762" s="65">
        <v>43334.0</v>
      </c>
      <c r="E762" s="445" t="s">
        <v>1893</v>
      </c>
      <c r="F762" s="386">
        <v>5.0</v>
      </c>
      <c r="G762" s="74">
        <v>500000.0</v>
      </c>
      <c r="H762" s="74">
        <v>0.0</v>
      </c>
      <c r="I762" s="74">
        <f t="shared" si="1"/>
        <v>2500000</v>
      </c>
      <c r="J762" s="74">
        <f>IF(E762="SERVICE",I762-(I762*50%),Vlookup(E762,DATABASE!C:Q,10,false)*F762)</f>
        <v>0</v>
      </c>
      <c r="K762" s="74">
        <f>VLOOKUP(E762,DATABASE!C:Q,7,false)</f>
        <v>404900</v>
      </c>
      <c r="L762" s="74">
        <v>404900.0</v>
      </c>
      <c r="M762" s="74">
        <f t="shared" si="2"/>
        <v>405000</v>
      </c>
      <c r="N762" s="74">
        <f t="shared" si="3"/>
        <v>475000</v>
      </c>
      <c r="O762" s="65" t="str">
        <f>VLOOKUP(E762,DATABASE!C:Q,8,false)</f>
        <v>BIAN</v>
      </c>
      <c r="P762" s="65">
        <f>VLOOKUP(E762,DATABASE!C:Q,9,False)</f>
        <v>1</v>
      </c>
      <c r="Q762" s="93" t="str">
        <f>VLOOKUP(E762,DATABASE!C:Q,4,false)</f>
        <v>GT</v>
      </c>
      <c r="R762" s="93" t="str">
        <f>VLOOKUP(E762,DATABASE!C:Q,11,false)</f>
        <v>Tire</v>
      </c>
    </row>
    <row r="763" ht="22.5" customHeight="1">
      <c r="A763" s="49"/>
      <c r="C763" s="384">
        <v>45702.0</v>
      </c>
      <c r="D763" s="65">
        <v>4335.0</v>
      </c>
      <c r="E763" s="445" t="s">
        <v>271</v>
      </c>
      <c r="F763" s="386">
        <v>2.0</v>
      </c>
      <c r="G763" s="74">
        <v>635000.0</v>
      </c>
      <c r="H763" s="74">
        <v>0.0</v>
      </c>
      <c r="I763" s="74">
        <f t="shared" si="1"/>
        <v>1270000</v>
      </c>
      <c r="J763" s="74">
        <f>IF(E763="SERVICE",I763-(I763*50%),Vlookup(E763,DATABASE!C:Q,10,false)*F763)</f>
        <v>0</v>
      </c>
      <c r="K763" s="74">
        <f>VLOOKUP(E763,DATABASE!C:Q,7,false)</f>
        <v>570000</v>
      </c>
      <c r="L763" s="74">
        <v>539000.0</v>
      </c>
      <c r="M763" s="74">
        <f t="shared" si="2"/>
        <v>540000</v>
      </c>
      <c r="N763" s="74">
        <f t="shared" si="3"/>
        <v>190000</v>
      </c>
      <c r="O763" s="65" t="str">
        <f>VLOOKUP(E763,DATABASE!C:Q,8,false)</f>
        <v>IBU</v>
      </c>
      <c r="P763" s="65">
        <f>VLOOKUP(E763,DATABASE!C:Q,9,False)</f>
        <v>1</v>
      </c>
      <c r="Q763" s="93" t="str">
        <f>VLOOKUP(E763,DATABASE!C:Q,4,false)</f>
        <v>Dunlop</v>
      </c>
      <c r="R763" s="93" t="str">
        <f>VLOOKUP(E763,DATABASE!C:Q,11,false)</f>
        <v>Tire</v>
      </c>
    </row>
    <row r="764" ht="22.5" customHeight="1">
      <c r="A764" s="49"/>
      <c r="C764" s="384">
        <v>45702.0</v>
      </c>
      <c r="D764" s="65">
        <v>4336.0</v>
      </c>
      <c r="E764" s="445" t="s">
        <v>265</v>
      </c>
      <c r="F764" s="386">
        <v>2.0</v>
      </c>
      <c r="G764" s="74">
        <v>670000.0</v>
      </c>
      <c r="H764" s="74">
        <v>0.0</v>
      </c>
      <c r="I764" s="74">
        <f t="shared" si="1"/>
        <v>1340000</v>
      </c>
      <c r="J764" s="74">
        <f>IF(E764="SERVICE",I764-(I764*50%),Vlookup(E764,DATABASE!C:Q,10,false)*F764)</f>
        <v>0</v>
      </c>
      <c r="K764" s="74">
        <v>590000.0</v>
      </c>
      <c r="L764" s="74">
        <v>590000.0</v>
      </c>
      <c r="M764" s="74">
        <f t="shared" si="2"/>
        <v>590000</v>
      </c>
      <c r="N764" s="74">
        <f t="shared" si="3"/>
        <v>160000</v>
      </c>
      <c r="O764" s="65" t="str">
        <f>VLOOKUP(E764,DATABASE!C:Q,8,false)</f>
        <v>IBU</v>
      </c>
      <c r="P764" s="65">
        <f>VLOOKUP(E764,DATABASE!C:Q,9,False)</f>
        <v>1</v>
      </c>
      <c r="Q764" s="93" t="str">
        <f>VLOOKUP(E764,DATABASE!C:Q,4,false)</f>
        <v>Dunlop</v>
      </c>
      <c r="R764" s="93" t="str">
        <f>VLOOKUP(E764,DATABASE!C:Q,11,false)</f>
        <v>Tire</v>
      </c>
    </row>
    <row r="765" ht="22.5" customHeight="1">
      <c r="A765" s="49"/>
      <c r="C765" s="384">
        <v>45702.0</v>
      </c>
      <c r="D765" s="65">
        <v>4338.0</v>
      </c>
      <c r="E765" s="445" t="s">
        <v>268</v>
      </c>
      <c r="F765" s="386">
        <v>1.0</v>
      </c>
      <c r="G765" s="74">
        <v>700000.0</v>
      </c>
      <c r="H765" s="74">
        <v>0.0</v>
      </c>
      <c r="I765" s="74">
        <f t="shared" si="1"/>
        <v>700000</v>
      </c>
      <c r="J765" s="74">
        <f>IF(E765="SERVICE",I765-(I765*50%),Vlookup(E765,DATABASE!C:Q,10,false)*F765)</f>
        <v>0</v>
      </c>
      <c r="K765" s="74">
        <v>613000.0</v>
      </c>
      <c r="L765" s="74">
        <v>613000.0</v>
      </c>
      <c r="M765" s="74">
        <f t="shared" si="2"/>
        <v>615000</v>
      </c>
      <c r="N765" s="74">
        <f t="shared" si="3"/>
        <v>85000</v>
      </c>
      <c r="O765" s="65" t="str">
        <f>VLOOKUP(E765,DATABASE!C:Q,8,false)</f>
        <v>IBU</v>
      </c>
      <c r="P765" s="65">
        <f>VLOOKUP(E765,DATABASE!C:Q,9,False)</f>
        <v>1</v>
      </c>
      <c r="Q765" s="93" t="str">
        <f>VLOOKUP(E765,DATABASE!C:Q,4,false)</f>
        <v>Dunlop</v>
      </c>
      <c r="R765" s="93" t="str">
        <f>VLOOKUP(E765,DATABASE!C:Q,11,false)</f>
        <v>Tire</v>
      </c>
    </row>
    <row r="766" ht="22.5" customHeight="1">
      <c r="A766" s="49"/>
      <c r="C766" s="384">
        <v>45702.0</v>
      </c>
      <c r="D766" s="65">
        <v>4339.0</v>
      </c>
      <c r="E766" s="445" t="s">
        <v>275</v>
      </c>
      <c r="F766" s="386">
        <v>1.0</v>
      </c>
      <c r="G766" s="74">
        <v>830000.0</v>
      </c>
      <c r="H766" s="74">
        <v>0.0</v>
      </c>
      <c r="I766" s="74">
        <f t="shared" si="1"/>
        <v>830000</v>
      </c>
      <c r="J766" s="74">
        <f>IF(E766="SERVICE",I766-(I766*50%),Vlookup(E766,DATABASE!C:Q,10,false)*F766)</f>
        <v>0</v>
      </c>
      <c r="K766" s="74">
        <v>735000.0</v>
      </c>
      <c r="L766" s="74">
        <v>735000.0</v>
      </c>
      <c r="M766" s="74">
        <f t="shared" si="2"/>
        <v>735000</v>
      </c>
      <c r="N766" s="74">
        <f t="shared" si="3"/>
        <v>95000</v>
      </c>
      <c r="O766" s="65" t="str">
        <f>VLOOKUP(E766,DATABASE!C:Q,8,false)</f>
        <v>IBU</v>
      </c>
      <c r="P766" s="65">
        <f>VLOOKUP(E766,DATABASE!C:Q,9,False)</f>
        <v>1</v>
      </c>
      <c r="Q766" s="93" t="str">
        <f>VLOOKUP(E766,DATABASE!C:Q,4,false)</f>
        <v>Dunlop</v>
      </c>
      <c r="R766" s="93" t="str">
        <f>VLOOKUP(E766,DATABASE!C:Q,11,false)</f>
        <v>Tire</v>
      </c>
    </row>
    <row r="767" ht="22.5" customHeight="1">
      <c r="A767" s="49"/>
      <c r="C767" s="384">
        <v>45702.0</v>
      </c>
      <c r="D767" s="65">
        <v>4340.0</v>
      </c>
      <c r="E767" s="445" t="s">
        <v>791</v>
      </c>
      <c r="F767" s="386">
        <v>2.0</v>
      </c>
      <c r="G767" s="74">
        <v>1280000.0</v>
      </c>
      <c r="H767" s="74">
        <v>0.0</v>
      </c>
      <c r="I767" s="74">
        <f t="shared" si="1"/>
        <v>2560000</v>
      </c>
      <c r="J767" s="74">
        <f>IF(E767="SERVICE",I767-(I767*50%),Vlookup(E767,DATABASE!C:Q,10,false)*F767)</f>
        <v>0</v>
      </c>
      <c r="K767" s="74">
        <f>VLOOKUP(E767,DATABASE!C:Q,7,false)</f>
        <v>1210000</v>
      </c>
      <c r="L767" s="74">
        <v>1180000.0</v>
      </c>
      <c r="M767" s="74">
        <f t="shared" si="2"/>
        <v>1180000</v>
      </c>
      <c r="N767" s="74">
        <f t="shared" si="3"/>
        <v>200000</v>
      </c>
      <c r="O767" s="65" t="str">
        <f>VLOOKUP(E767,DATABASE!C:Q,8,false)</f>
        <v>BIAN</v>
      </c>
      <c r="P767" s="65">
        <f>VLOOKUP(E767,DATABASE!C:Q,9,False)</f>
        <v>1</v>
      </c>
      <c r="Q767" s="93" t="str">
        <f>VLOOKUP(E767,DATABASE!C:Q,4,false)</f>
        <v>GT</v>
      </c>
      <c r="R767" s="93" t="str">
        <f>VLOOKUP(E767,DATABASE!C:Q,11,false)</f>
        <v>Tire</v>
      </c>
    </row>
    <row r="768" ht="22.5" customHeight="1">
      <c r="A768" s="49"/>
      <c r="C768" s="384">
        <v>45702.0</v>
      </c>
      <c r="D768" s="65">
        <v>4340.0</v>
      </c>
      <c r="E768" s="445" t="s">
        <v>255</v>
      </c>
      <c r="F768" s="386">
        <v>2.0</v>
      </c>
      <c r="G768" s="74">
        <v>200000.0</v>
      </c>
      <c r="H768" s="74">
        <v>0.0</v>
      </c>
      <c r="I768" s="74">
        <f t="shared" si="1"/>
        <v>400000</v>
      </c>
      <c r="J768" s="74">
        <f>IF(E768="SERVICE",I768-(I768*50%),Vlookup(E768,DATABASE!C:Q,10,false)*F768)</f>
        <v>0</v>
      </c>
      <c r="K768" s="74">
        <f>VLOOKUP(E768,DATABASE!C:Q,7,false)</f>
        <v>161840</v>
      </c>
      <c r="L768" s="74">
        <v>161840.0</v>
      </c>
      <c r="M768" s="74">
        <f t="shared" si="2"/>
        <v>165000</v>
      </c>
      <c r="N768" s="74">
        <f t="shared" si="3"/>
        <v>70000</v>
      </c>
      <c r="O768" s="65" t="str">
        <f>VLOOKUP(E768,DATABASE!C:Q,8,false)</f>
        <v>BIAN</v>
      </c>
      <c r="P768" s="65">
        <f>VLOOKUP(E768,DATABASE!C:Q,9,False)</f>
        <v>1</v>
      </c>
      <c r="Q768" s="93" t="str">
        <f>VLOOKUP(E768,DATABASE!C:Q,4,false)</f>
        <v>BD</v>
      </c>
      <c r="R768" s="93" t="str">
        <f>VLOOKUP(E768,DATABASE!C:Q,11,false)</f>
        <v>Tire</v>
      </c>
    </row>
    <row r="769" ht="22.5" customHeight="1">
      <c r="A769" s="49"/>
      <c r="C769" s="384">
        <v>45702.0</v>
      </c>
      <c r="D769" s="65">
        <v>4340.0</v>
      </c>
      <c r="E769" s="445" t="s">
        <v>814</v>
      </c>
      <c r="F769" s="386">
        <v>2.0</v>
      </c>
      <c r="G769" s="74">
        <v>60000.0</v>
      </c>
      <c r="H769" s="74">
        <v>0.0</v>
      </c>
      <c r="I769" s="74">
        <f t="shared" si="1"/>
        <v>120000</v>
      </c>
      <c r="J769" s="74">
        <f>IF(E769="SERVICE",I769-(I769*50%),Vlookup(E769,DATABASE!C:Q,10,false)*F769)</f>
        <v>0</v>
      </c>
      <c r="K769" s="74">
        <f>VLOOKUP(E769,DATABASE!C:Q,7,false)</f>
        <v>39440</v>
      </c>
      <c r="L769" s="74">
        <v>39440.0</v>
      </c>
      <c r="M769" s="74">
        <f t="shared" si="2"/>
        <v>40000</v>
      </c>
      <c r="N769" s="74">
        <f t="shared" si="3"/>
        <v>40000</v>
      </c>
      <c r="O769" s="65" t="str">
        <f>VLOOKUP(E769,DATABASE!C:Q,8,false)</f>
        <v>BIAN</v>
      </c>
      <c r="P769" s="65">
        <f>VLOOKUP(E769,DATABASE!C:Q,9,False)</f>
        <v>1</v>
      </c>
      <c r="Q769" s="93" t="str">
        <f>VLOOKUP(E769,DATABASE!C:Q,4,false)</f>
        <v>Flap</v>
      </c>
      <c r="R769" s="93" t="str">
        <f>VLOOKUP(E769,DATABASE!C:Q,11,false)</f>
        <v>Tire</v>
      </c>
    </row>
    <row r="770" ht="22.5" customHeight="1">
      <c r="A770" s="49"/>
      <c r="C770" s="384">
        <v>45702.0</v>
      </c>
      <c r="D770" s="65">
        <v>4342.0</v>
      </c>
      <c r="E770" s="445" t="s">
        <v>126</v>
      </c>
      <c r="F770" s="386">
        <v>1.0</v>
      </c>
      <c r="G770" s="74">
        <v>525000.0</v>
      </c>
      <c r="H770" s="74">
        <v>0.0</v>
      </c>
      <c r="I770" s="74">
        <f t="shared" si="1"/>
        <v>525000</v>
      </c>
      <c r="J770" s="74">
        <f>IF(E770="SERVICE",I770-(I770*50%),Vlookup(E770,DATABASE!C:Q,10,false)*F770)</f>
        <v>0</v>
      </c>
      <c r="K770" s="74">
        <f>VLOOKUP(E770,DATABASE!C:Q,7,false)</f>
        <v>435000</v>
      </c>
      <c r="L770" s="74">
        <v>435000.0</v>
      </c>
      <c r="M770" s="74">
        <f t="shared" si="2"/>
        <v>435000</v>
      </c>
      <c r="N770" s="74">
        <f t="shared" si="3"/>
        <v>90000</v>
      </c>
      <c r="O770" s="65" t="str">
        <f>VLOOKUP(E770,DATABASE!C:Q,8,false)</f>
        <v>BIAN</v>
      </c>
      <c r="P770" s="65">
        <f>VLOOKUP(E770,DATABASE!C:Q,9,False)</f>
        <v>1</v>
      </c>
      <c r="Q770" s="93" t="str">
        <f>VLOOKUP(E770,DATABASE!C:Q,4,false)</f>
        <v>Accelera</v>
      </c>
      <c r="R770" s="93" t="str">
        <f>VLOOKUP(E770,DATABASE!C:Q,11,false)</f>
        <v>Tire</v>
      </c>
    </row>
    <row r="771" ht="22.5" customHeight="1">
      <c r="A771" s="49"/>
      <c r="C771" s="384">
        <v>45702.0</v>
      </c>
      <c r="D771" s="65">
        <v>4344.0</v>
      </c>
      <c r="E771" s="445" t="s">
        <v>126</v>
      </c>
      <c r="F771" s="386">
        <v>1.0</v>
      </c>
      <c r="G771" s="74">
        <v>525000.0</v>
      </c>
      <c r="H771" s="74">
        <v>0.0</v>
      </c>
      <c r="I771" s="74">
        <f t="shared" si="1"/>
        <v>525000</v>
      </c>
      <c r="J771" s="74">
        <f>IF(E771="SERVICE",I771-(I771*50%),Vlookup(E771,DATABASE!C:Q,10,false)*F771)</f>
        <v>0</v>
      </c>
      <c r="K771" s="74">
        <f>VLOOKUP(E771,DATABASE!C:Q,7,false)</f>
        <v>435000</v>
      </c>
      <c r="L771" s="74">
        <v>435000.0</v>
      </c>
      <c r="M771" s="74">
        <f t="shared" si="2"/>
        <v>435000</v>
      </c>
      <c r="N771" s="74">
        <f t="shared" si="3"/>
        <v>90000</v>
      </c>
      <c r="O771" s="65" t="str">
        <f>VLOOKUP(E771,DATABASE!C:Q,8,false)</f>
        <v>BIAN</v>
      </c>
      <c r="P771" s="65">
        <f>VLOOKUP(E771,DATABASE!C:Q,9,False)</f>
        <v>1</v>
      </c>
      <c r="Q771" s="93" t="str">
        <f>VLOOKUP(E771,DATABASE!C:Q,4,false)</f>
        <v>Accelera</v>
      </c>
      <c r="R771" s="93" t="str">
        <f>VLOOKUP(E771,DATABASE!C:Q,11,false)</f>
        <v>Tire</v>
      </c>
    </row>
    <row r="772" ht="22.5" customHeight="1">
      <c r="A772" s="49"/>
      <c r="C772" s="384">
        <v>45702.0</v>
      </c>
      <c r="D772" s="65">
        <v>4345.0</v>
      </c>
      <c r="E772" s="445" t="s">
        <v>1439</v>
      </c>
      <c r="F772" s="386">
        <v>1.0</v>
      </c>
      <c r="G772" s="74">
        <v>625000.0</v>
      </c>
      <c r="H772" s="74">
        <v>0.0</v>
      </c>
      <c r="I772" s="74">
        <f t="shared" si="1"/>
        <v>625000</v>
      </c>
      <c r="J772" s="74">
        <f>IF(E772="SERVICE",I772-(I772*50%),Vlookup(E772,DATABASE!C:Q,10,false)*F772)</f>
        <v>0</v>
      </c>
      <c r="K772" s="74">
        <f>VLOOKUP(E772,DATABASE!C:Q,7,false)</f>
        <v>556800</v>
      </c>
      <c r="L772" s="74">
        <v>540800.0</v>
      </c>
      <c r="M772" s="74">
        <f t="shared" si="2"/>
        <v>545000</v>
      </c>
      <c r="N772" s="74">
        <f t="shared" si="3"/>
        <v>80000</v>
      </c>
      <c r="O772" s="65" t="str">
        <f>VLOOKUP(E772,DATABASE!C:Q,8,false)</f>
        <v>BIAN</v>
      </c>
      <c r="P772" s="65">
        <f>VLOOKUP(E772,DATABASE!C:Q,9,False)</f>
        <v>1</v>
      </c>
      <c r="Q772" s="93" t="str">
        <f>VLOOKUP(E772,DATABASE!C:Q,4,false)</f>
        <v>GT</v>
      </c>
      <c r="R772" s="93" t="str">
        <f>VLOOKUP(E772,DATABASE!C:Q,11,false)</f>
        <v>Tire</v>
      </c>
    </row>
    <row r="773" ht="22.5" customHeight="1">
      <c r="A773" s="49"/>
      <c r="C773" s="384">
        <v>45702.0</v>
      </c>
      <c r="D773" s="65">
        <v>4346.0</v>
      </c>
      <c r="E773" s="445" t="s">
        <v>268</v>
      </c>
      <c r="F773" s="386">
        <v>2.0</v>
      </c>
      <c r="G773" s="74">
        <v>700000.0</v>
      </c>
      <c r="H773" s="74">
        <v>0.0</v>
      </c>
      <c r="I773" s="74">
        <f t="shared" si="1"/>
        <v>1400000</v>
      </c>
      <c r="J773" s="74">
        <f>IF(E773="SERVICE",I773-(I773*50%),Vlookup(E773,DATABASE!C:Q,10,false)*F773)</f>
        <v>0</v>
      </c>
      <c r="K773" s="74">
        <v>613000.0</v>
      </c>
      <c r="L773" s="74">
        <v>613000.0</v>
      </c>
      <c r="M773" s="74">
        <f t="shared" si="2"/>
        <v>615000</v>
      </c>
      <c r="N773" s="74">
        <f t="shared" si="3"/>
        <v>170000</v>
      </c>
      <c r="O773" s="65" t="str">
        <f>VLOOKUP(E773,DATABASE!C:Q,8,false)</f>
        <v>IBU</v>
      </c>
      <c r="P773" s="65">
        <f>VLOOKUP(E773,DATABASE!C:Q,9,False)</f>
        <v>1</v>
      </c>
      <c r="Q773" s="93" t="str">
        <f>VLOOKUP(E773,DATABASE!C:Q,4,false)</f>
        <v>Dunlop</v>
      </c>
      <c r="R773" s="93" t="str">
        <f>VLOOKUP(E773,DATABASE!C:Q,11,false)</f>
        <v>Tire</v>
      </c>
    </row>
    <row r="774" ht="22.5" customHeight="1">
      <c r="A774" s="49"/>
      <c r="C774" s="384">
        <v>45702.0</v>
      </c>
      <c r="D774" s="65">
        <v>4347.0</v>
      </c>
      <c r="E774" s="445" t="s">
        <v>262</v>
      </c>
      <c r="F774" s="386">
        <v>1.0</v>
      </c>
      <c r="G774" s="74">
        <v>110000.0</v>
      </c>
      <c r="H774" s="74">
        <v>0.0</v>
      </c>
      <c r="I774" s="74">
        <f t="shared" si="1"/>
        <v>110000</v>
      </c>
      <c r="J774" s="74">
        <f>IF(E774="SERVICE",I774-(I774*50%),Vlookup(E774,DATABASE!C:Q,10,false)*F774)</f>
        <v>5000</v>
      </c>
      <c r="K774" s="74">
        <f>VLOOKUP(E774,DATABASE!C:Q,7,false)</f>
        <v>0</v>
      </c>
      <c r="L774" s="74">
        <v>0.0</v>
      </c>
      <c r="M774" s="74">
        <f t="shared" si="2"/>
        <v>0</v>
      </c>
      <c r="N774" s="74">
        <f t="shared" si="3"/>
        <v>105000</v>
      </c>
      <c r="O774" s="65" t="str">
        <f>VLOOKUP(E774,DATABASE!C:Q,8,false)</f>
        <v>IBU</v>
      </c>
      <c r="P774" s="65">
        <f>VLOOKUP(E774,DATABASE!C:Q,9,False)</f>
        <v>0</v>
      </c>
      <c r="Q774" s="93" t="str">
        <f>VLOOKUP(E774,DATABASE!C:Q,4,false)</f>
        <v>SPOORING SS/CARRY LOS BAK</v>
      </c>
      <c r="R774" s="93" t="str">
        <f>VLOOKUP(E774,DATABASE!C:Q,11,false)</f>
        <v>SERVICE</v>
      </c>
    </row>
    <row r="775" ht="22.5" customHeight="1">
      <c r="A775" s="49"/>
      <c r="C775" s="384">
        <v>45702.0</v>
      </c>
      <c r="D775" s="65">
        <v>4347.0</v>
      </c>
      <c r="E775" s="445" t="s">
        <v>251</v>
      </c>
      <c r="F775" s="386">
        <v>1.0</v>
      </c>
      <c r="G775" s="74">
        <v>120000.0</v>
      </c>
      <c r="H775" s="74">
        <v>0.0</v>
      </c>
      <c r="I775" s="74">
        <f t="shared" si="1"/>
        <v>120000</v>
      </c>
      <c r="J775" s="74">
        <f>IF(E775="SERVICE",I775-(I775*50%),Vlookup(E775,DATABASE!C:Q,10,false)*F775)</f>
        <v>60000</v>
      </c>
      <c r="K775" s="74">
        <f>VLOOKUP(E775,DATABASE!C:Q,7,false)</f>
        <v>0</v>
      </c>
      <c r="L775" s="74">
        <v>0.0</v>
      </c>
      <c r="M775" s="74">
        <f t="shared" si="2"/>
        <v>0</v>
      </c>
      <c r="N775" s="74">
        <f t="shared" si="3"/>
        <v>60000</v>
      </c>
      <c r="O775" s="65" t="str">
        <f>VLOOKUP(E775,DATABASE!C:Q,8,false)</f>
        <v>IBU</v>
      </c>
      <c r="P775" s="65">
        <f>VLOOKUP(E775,DATABASE!C:Q,9,False)</f>
        <v>0</v>
      </c>
      <c r="Q775" s="93" t="str">
        <f>VLOOKUP(E775,DATABASE!C:Q,4,false)</f>
        <v>SERVICE</v>
      </c>
      <c r="R775" s="93" t="str">
        <f>VLOOKUP(E775,DATABASE!C:Q,11,false)</f>
        <v>SERVICE</v>
      </c>
    </row>
    <row r="776" ht="22.5" customHeight="1">
      <c r="A776" s="49"/>
      <c r="C776" s="384">
        <v>45702.0</v>
      </c>
      <c r="D776" s="65">
        <v>4348.0</v>
      </c>
      <c r="E776" s="445" t="s">
        <v>256</v>
      </c>
      <c r="F776" s="386">
        <v>1.0</v>
      </c>
      <c r="G776" s="74">
        <v>130000.0</v>
      </c>
      <c r="H776" s="74">
        <v>0.0</v>
      </c>
      <c r="I776" s="74">
        <f t="shared" si="1"/>
        <v>130000</v>
      </c>
      <c r="J776" s="74">
        <f>IF(E776="SERVICE",I776-(I776*50%),Vlookup(E776,DATABASE!C:Q,10,false)*F776)</f>
        <v>10000</v>
      </c>
      <c r="K776" s="74">
        <f>VLOOKUP(E776,DATABASE!C:Q,7,false)</f>
        <v>0</v>
      </c>
      <c r="L776" s="74">
        <v>0.0</v>
      </c>
      <c r="M776" s="74">
        <f t="shared" si="2"/>
        <v>0</v>
      </c>
      <c r="N776" s="74">
        <f t="shared" si="3"/>
        <v>120000</v>
      </c>
      <c r="O776" s="65" t="str">
        <f>VLOOKUP(E776,DATABASE!C:Q,8,false)</f>
        <v>IBU</v>
      </c>
      <c r="P776" s="65">
        <f>VLOOKUP(E776,DATABASE!C:Q,9,False)</f>
        <v>0</v>
      </c>
      <c r="Q776" s="93" t="str">
        <f>VLOOKUP(E776,DATABASE!C:Q,4,false)</f>
        <v>SPOORING</v>
      </c>
      <c r="R776" s="93" t="str">
        <f>VLOOKUP(E776,DATABASE!C:Q,11,false)</f>
        <v>SERVICE</v>
      </c>
    </row>
    <row r="777" ht="22.5" customHeight="1">
      <c r="A777" s="49"/>
      <c r="C777" s="384">
        <v>45702.0</v>
      </c>
      <c r="D777" s="65">
        <v>4348.0</v>
      </c>
      <c r="E777" s="385" t="s">
        <v>299</v>
      </c>
      <c r="F777" s="386">
        <v>2.0</v>
      </c>
      <c r="G777" s="74">
        <v>30000.0</v>
      </c>
      <c r="H777" s="74">
        <v>0.0</v>
      </c>
      <c r="I777" s="74">
        <f t="shared" si="1"/>
        <v>60000</v>
      </c>
      <c r="J777" s="74">
        <f>IF(E777="SERVICE",I777-(I777*50%),Vlookup(E777,DATABASE!C:Q,10,false)*F777)</f>
        <v>0</v>
      </c>
      <c r="K777" s="74">
        <v>0.0</v>
      </c>
      <c r="L777" s="74">
        <v>0.0</v>
      </c>
      <c r="M777" s="74">
        <f t="shared" si="2"/>
        <v>0</v>
      </c>
      <c r="N777" s="74">
        <f t="shared" si="3"/>
        <v>60000</v>
      </c>
      <c r="O777" s="65" t="str">
        <f>VLOOKUP(E777,DATABASE!C:Q,8,false)</f>
        <v>BIAN</v>
      </c>
      <c r="P777" s="65">
        <f>VLOOKUP(E777,DATABASE!C:Q,9,False)</f>
        <v>0</v>
      </c>
      <c r="Q777" s="93" t="str">
        <f>VLOOKUP(E777,DATABASE!C:Q,4,false)</f>
        <v>Balancing</v>
      </c>
      <c r="R777" s="93" t="str">
        <f>VLOOKUP(E777,DATABASE!C:Q,11,false)</f>
        <v>COMPLEMENTARY</v>
      </c>
    </row>
    <row r="778" ht="22.5" customHeight="1">
      <c r="A778" s="49"/>
      <c r="C778" s="384">
        <v>45702.0</v>
      </c>
      <c r="D778" s="65">
        <v>4349.0</v>
      </c>
      <c r="E778" s="445" t="s">
        <v>2135</v>
      </c>
      <c r="F778" s="386">
        <v>4.0</v>
      </c>
      <c r="G778" s="74">
        <v>20000.0</v>
      </c>
      <c r="H778" s="74">
        <v>0.0</v>
      </c>
      <c r="I778" s="74">
        <f t="shared" si="1"/>
        <v>80000</v>
      </c>
      <c r="J778" s="74">
        <f>IF(E778="SERVICE",I778-(I778*50%),Vlookup(E778,DATABASE!C:Q,10,false)*F778)</f>
        <v>0</v>
      </c>
      <c r="K778" s="74">
        <f>VLOOKUP(E778,DATABASE!C:Q,7,false)</f>
        <v>0</v>
      </c>
      <c r="L778" s="74">
        <v>0.0</v>
      </c>
      <c r="M778" s="74">
        <f t="shared" si="2"/>
        <v>0</v>
      </c>
      <c r="N778" s="74">
        <f t="shared" si="3"/>
        <v>80000</v>
      </c>
      <c r="O778" s="65" t="str">
        <f>VLOOKUP(E778,DATABASE!C:Q,8,false)</f>
        <v>IBU</v>
      </c>
      <c r="P778" s="65">
        <f>VLOOKUP(E778,DATABASE!C:Q,9,False)</f>
        <v>0</v>
      </c>
      <c r="Q778" s="93" t="str">
        <f>VLOOKUP(E778,DATABASE!C:Q,4,false)</f>
        <v>NITROGEN</v>
      </c>
      <c r="R778" s="93" t="str">
        <f>VLOOKUP(E778,DATABASE!C:Q,11,false)</f>
        <v>COMPLEMENTARY</v>
      </c>
    </row>
    <row r="779" ht="22.5" customHeight="1">
      <c r="A779" s="49"/>
      <c r="C779" s="384">
        <v>45702.0</v>
      </c>
      <c r="D779" s="65">
        <v>4350.0</v>
      </c>
      <c r="E779" s="445" t="s">
        <v>878</v>
      </c>
      <c r="F779" s="386">
        <v>2.0</v>
      </c>
      <c r="G779" s="74">
        <v>30000.0</v>
      </c>
      <c r="H779" s="74">
        <v>0.0</v>
      </c>
      <c r="I779" s="74">
        <f t="shared" si="1"/>
        <v>60000</v>
      </c>
      <c r="J779" s="74">
        <f>IF(E779="SERVICE",I779-(I779*50%),Vlookup(E779,DATABASE!C:Q,10,false)*F779)</f>
        <v>0</v>
      </c>
      <c r="K779" s="74">
        <f>VLOOKUP(E779,DATABASE!C:Q,7,false)</f>
        <v>0</v>
      </c>
      <c r="L779" s="74">
        <v>0.0</v>
      </c>
      <c r="M779" s="74">
        <f t="shared" si="2"/>
        <v>0</v>
      </c>
      <c r="N779" s="74">
        <f t="shared" si="3"/>
        <v>60000</v>
      </c>
      <c r="O779" s="65" t="str">
        <f>VLOOKUP(E779,DATABASE!C:Q,8,false)</f>
        <v>IBU</v>
      </c>
      <c r="P779" s="65">
        <f>VLOOKUP(E779,DATABASE!C:Q,9,False)</f>
        <v>0</v>
      </c>
      <c r="Q779" s="93" t="str">
        <f>VLOOKUP(E779,DATABASE!C:Q,4,false)</f>
        <v>Bongkar Pasang 17</v>
      </c>
      <c r="R779" s="93" t="str">
        <f>VLOOKUP(E779,DATABASE!C:Q,11,false)</f>
        <v>SERVICE</v>
      </c>
    </row>
    <row r="780" ht="22.5" customHeight="1">
      <c r="A780" s="49"/>
      <c r="C780" s="384">
        <v>45702.0</v>
      </c>
      <c r="D780" s="65">
        <v>4350.0</v>
      </c>
      <c r="E780" s="385" t="s">
        <v>299</v>
      </c>
      <c r="F780" s="386">
        <v>2.0</v>
      </c>
      <c r="G780" s="74">
        <v>30000.0</v>
      </c>
      <c r="H780" s="74">
        <v>0.0</v>
      </c>
      <c r="I780" s="74">
        <f t="shared" si="1"/>
        <v>60000</v>
      </c>
      <c r="J780" s="74">
        <f>IF(E780="SERVICE",I780-(I780*50%),Vlookup(E780,DATABASE!C:Q,10,false)*F780)</f>
        <v>0</v>
      </c>
      <c r="K780" s="74">
        <v>0.0</v>
      </c>
      <c r="L780" s="74">
        <v>0.0</v>
      </c>
      <c r="M780" s="74">
        <f t="shared" si="2"/>
        <v>0</v>
      </c>
      <c r="N780" s="74">
        <f t="shared" si="3"/>
        <v>60000</v>
      </c>
      <c r="O780" s="65" t="str">
        <f>VLOOKUP(E780,DATABASE!C:Q,8,false)</f>
        <v>BIAN</v>
      </c>
      <c r="P780" s="65">
        <f>VLOOKUP(E780,DATABASE!C:Q,9,False)</f>
        <v>0</v>
      </c>
      <c r="Q780" s="93" t="str">
        <f>VLOOKUP(E780,DATABASE!C:Q,4,false)</f>
        <v>Balancing</v>
      </c>
      <c r="R780" s="93" t="str">
        <f>VLOOKUP(E780,DATABASE!C:Q,11,false)</f>
        <v>COMPLEMENTARY</v>
      </c>
    </row>
    <row r="781" ht="22.5" customHeight="1">
      <c r="A781" s="49"/>
      <c r="C781" s="384">
        <v>45703.0</v>
      </c>
      <c r="D781" s="65">
        <v>4352.0</v>
      </c>
      <c r="E781" s="445" t="s">
        <v>937</v>
      </c>
      <c r="F781" s="386">
        <v>2.0</v>
      </c>
      <c r="G781" s="74">
        <v>900000.0</v>
      </c>
      <c r="H781" s="74">
        <v>0.0</v>
      </c>
      <c r="I781" s="74">
        <f t="shared" si="1"/>
        <v>1800000</v>
      </c>
      <c r="J781" s="74">
        <f>IF(E781="SERVICE",I781-(I781*50%),Vlookup(E781,DATABASE!C:Q,10,false)*F781)</f>
        <v>0</v>
      </c>
      <c r="K781" s="74">
        <f>VLOOKUP(E781,DATABASE!C:Q,7,false)</f>
        <v>825000</v>
      </c>
      <c r="L781" s="74">
        <v>790000.0</v>
      </c>
      <c r="M781" s="74">
        <f t="shared" si="2"/>
        <v>790000</v>
      </c>
      <c r="N781" s="74">
        <f t="shared" si="3"/>
        <v>220000</v>
      </c>
      <c r="O781" s="65" t="str">
        <f>VLOOKUP(E781,DATABASE!C:Q,8,false)</f>
        <v>IBU</v>
      </c>
      <c r="P781" s="65">
        <f>VLOOKUP(E781,DATABASE!C:Q,9,False)</f>
        <v>1</v>
      </c>
      <c r="Q781" s="93" t="str">
        <f>VLOOKUP(E781,DATABASE!C:Q,4,false)</f>
        <v>Bridgestone</v>
      </c>
      <c r="R781" s="93" t="str">
        <f>VLOOKUP(E781,DATABASE!C:Q,11,false)</f>
        <v>Tire</v>
      </c>
    </row>
    <row r="782" ht="22.5" customHeight="1">
      <c r="A782" s="49"/>
      <c r="C782" s="384">
        <v>45703.0</v>
      </c>
      <c r="D782" s="65">
        <v>4353.0</v>
      </c>
      <c r="E782" s="445" t="s">
        <v>1383</v>
      </c>
      <c r="F782" s="386">
        <v>1.0</v>
      </c>
      <c r="G782" s="74">
        <v>900000.0</v>
      </c>
      <c r="H782" s="74">
        <v>0.0</v>
      </c>
      <c r="I782" s="74">
        <f t="shared" si="1"/>
        <v>900000</v>
      </c>
      <c r="J782" s="74">
        <f>IF(E782="SERVICE",I782-(I782*50%),Vlookup(E782,DATABASE!C:Q,10,false)*F782)</f>
        <v>0</v>
      </c>
      <c r="K782" s="74">
        <f>VLOOKUP(E782,DATABASE!C:Q,7,false)</f>
        <v>812000</v>
      </c>
      <c r="L782" s="74">
        <v>812000.0</v>
      </c>
      <c r="M782" s="74">
        <f t="shared" si="2"/>
        <v>815000</v>
      </c>
      <c r="N782" s="74">
        <f t="shared" si="3"/>
        <v>85000</v>
      </c>
      <c r="O782" s="65" t="str">
        <f>VLOOKUP(E782,DATABASE!C:Q,8,false)</f>
        <v>IBU</v>
      </c>
      <c r="P782" s="65">
        <f>VLOOKUP(E782,DATABASE!C:Q,9,False)</f>
        <v>1</v>
      </c>
      <c r="Q782" s="93" t="str">
        <f>VLOOKUP(E782,DATABASE!C:Q,4,false)</f>
        <v>Dunlop</v>
      </c>
      <c r="R782" s="93" t="str">
        <f>VLOOKUP(E782,DATABASE!C:Q,11,false)</f>
        <v>Tire</v>
      </c>
    </row>
    <row r="783" ht="22.5" customHeight="1">
      <c r="A783" s="49"/>
      <c r="C783" s="384">
        <v>45703.0</v>
      </c>
      <c r="D783" s="65">
        <v>4354.0</v>
      </c>
      <c r="E783" s="445" t="s">
        <v>256</v>
      </c>
      <c r="F783" s="386">
        <v>1.0</v>
      </c>
      <c r="G783" s="74">
        <v>130000.0</v>
      </c>
      <c r="H783" s="74">
        <v>0.0</v>
      </c>
      <c r="I783" s="74">
        <f t="shared" si="1"/>
        <v>130000</v>
      </c>
      <c r="J783" s="74">
        <f>IF(E783="SERVICE",I783-(I783*50%),Vlookup(E783,DATABASE!C:Q,10,false)*F783)</f>
        <v>10000</v>
      </c>
      <c r="K783" s="74">
        <f>VLOOKUP(E783,DATABASE!C:Q,7,false)</f>
        <v>0</v>
      </c>
      <c r="L783" s="74">
        <v>0.0</v>
      </c>
      <c r="M783" s="74">
        <f t="shared" si="2"/>
        <v>0</v>
      </c>
      <c r="N783" s="74">
        <f t="shared" si="3"/>
        <v>120000</v>
      </c>
      <c r="O783" s="65" t="str">
        <f>VLOOKUP(E783,DATABASE!C:Q,8,false)</f>
        <v>IBU</v>
      </c>
      <c r="P783" s="65">
        <f>VLOOKUP(E783,DATABASE!C:Q,9,False)</f>
        <v>0</v>
      </c>
      <c r="Q783" s="93" t="str">
        <f>VLOOKUP(E783,DATABASE!C:Q,4,false)</f>
        <v>SPOORING</v>
      </c>
      <c r="R783" s="93" t="str">
        <f>VLOOKUP(E783,DATABASE!C:Q,11,false)</f>
        <v>SERVICE</v>
      </c>
    </row>
    <row r="784" ht="22.5" customHeight="1">
      <c r="A784" s="49"/>
      <c r="C784" s="384">
        <v>45703.0</v>
      </c>
      <c r="D784" s="65">
        <v>4354.0</v>
      </c>
      <c r="E784" s="445" t="s">
        <v>251</v>
      </c>
      <c r="F784" s="386">
        <v>1.0</v>
      </c>
      <c r="G784" s="74">
        <v>150000.0</v>
      </c>
      <c r="H784" s="74">
        <v>0.0</v>
      </c>
      <c r="I784" s="74">
        <f t="shared" si="1"/>
        <v>150000</v>
      </c>
      <c r="J784" s="74">
        <f>IF(E784="SERVICE",I784-(I784*50%),Vlookup(E784,DATABASE!C:Q,10,false)*F784)</f>
        <v>75000</v>
      </c>
      <c r="K784" s="74">
        <f>VLOOKUP(E784,DATABASE!C:Q,7,false)</f>
        <v>0</v>
      </c>
      <c r="L784" s="74">
        <v>0.0</v>
      </c>
      <c r="M784" s="74">
        <f t="shared" si="2"/>
        <v>0</v>
      </c>
      <c r="N784" s="74">
        <f t="shared" si="3"/>
        <v>75000</v>
      </c>
      <c r="O784" s="65" t="str">
        <f>VLOOKUP(E784,DATABASE!C:Q,8,false)</f>
        <v>IBU</v>
      </c>
      <c r="P784" s="65">
        <f>VLOOKUP(E784,DATABASE!C:Q,9,False)</f>
        <v>0</v>
      </c>
      <c r="Q784" s="93" t="str">
        <f>VLOOKUP(E784,DATABASE!C:Q,4,false)</f>
        <v>SERVICE</v>
      </c>
      <c r="R784" s="93" t="str">
        <f>VLOOKUP(E784,DATABASE!C:Q,11,false)</f>
        <v>SERVICE</v>
      </c>
    </row>
    <row r="785" ht="22.5" customHeight="1">
      <c r="A785" s="49"/>
      <c r="C785" s="384">
        <v>45703.0</v>
      </c>
      <c r="D785" s="65">
        <v>4355.0</v>
      </c>
      <c r="E785" s="445" t="s">
        <v>268</v>
      </c>
      <c r="F785" s="386">
        <v>1.0</v>
      </c>
      <c r="G785" s="74">
        <v>700000.0</v>
      </c>
      <c r="H785" s="74">
        <v>0.0</v>
      </c>
      <c r="I785" s="74">
        <f t="shared" si="1"/>
        <v>700000</v>
      </c>
      <c r="J785" s="74">
        <f>IF(E785="SERVICE",I785-(I785*50%),Vlookup(E785,DATABASE!C:Q,10,false)*F785)</f>
        <v>0</v>
      </c>
      <c r="K785" s="74">
        <v>613000.0</v>
      </c>
      <c r="L785" s="74">
        <v>613000.0</v>
      </c>
      <c r="M785" s="74">
        <f t="shared" si="2"/>
        <v>615000</v>
      </c>
      <c r="N785" s="74">
        <f t="shared" si="3"/>
        <v>85000</v>
      </c>
      <c r="O785" s="65" t="str">
        <f>VLOOKUP(E785,DATABASE!C:Q,8,false)</f>
        <v>IBU</v>
      </c>
      <c r="P785" s="65">
        <f>VLOOKUP(E785,DATABASE!C:Q,9,False)</f>
        <v>1</v>
      </c>
      <c r="Q785" s="93" t="str">
        <f>VLOOKUP(E785,DATABASE!C:Q,4,false)</f>
        <v>Dunlop</v>
      </c>
      <c r="R785" s="93" t="str">
        <f>VLOOKUP(E785,DATABASE!C:Q,11,false)</f>
        <v>Tire</v>
      </c>
    </row>
    <row r="786" ht="22.5" customHeight="1">
      <c r="A786" s="49"/>
      <c r="C786" s="384">
        <v>45703.0</v>
      </c>
      <c r="D786" s="65">
        <v>4356.0</v>
      </c>
      <c r="E786" s="445" t="s">
        <v>286</v>
      </c>
      <c r="F786" s="386">
        <v>1.0</v>
      </c>
      <c r="G786" s="74">
        <v>560000.0</v>
      </c>
      <c r="H786" s="74">
        <v>0.0</v>
      </c>
      <c r="I786" s="74">
        <f t="shared" si="1"/>
        <v>560000</v>
      </c>
      <c r="J786" s="74">
        <f>IF(E786="SERVICE",I786-(I786*50%),Vlookup(E786,DATABASE!C:Q,10,false)*F786)</f>
        <v>0</v>
      </c>
      <c r="K786" s="74">
        <f>VLOOKUP(E786,DATABASE!C:Q,7,false)</f>
        <v>488320</v>
      </c>
      <c r="L786" s="74">
        <v>452970.0</v>
      </c>
      <c r="M786" s="74">
        <f t="shared" si="2"/>
        <v>455000</v>
      </c>
      <c r="N786" s="74">
        <f t="shared" si="3"/>
        <v>105000</v>
      </c>
      <c r="O786" s="65" t="str">
        <f>VLOOKUP(E786,DATABASE!C:Q,8,false)</f>
        <v>BIAN</v>
      </c>
      <c r="P786" s="65">
        <f>VLOOKUP(E786,DATABASE!C:Q,9,False)</f>
        <v>1</v>
      </c>
      <c r="Q786" s="93" t="str">
        <f>VLOOKUP(E786,DATABASE!C:Q,4,false)</f>
        <v>GT</v>
      </c>
      <c r="R786" s="93" t="str">
        <f>VLOOKUP(E786,DATABASE!C:Q,11,false)</f>
        <v>Tire</v>
      </c>
    </row>
    <row r="787" ht="22.5" customHeight="1">
      <c r="A787" s="49"/>
      <c r="C787" s="384">
        <v>45703.0</v>
      </c>
      <c r="D787" s="65">
        <v>4357.0</v>
      </c>
      <c r="E787" s="445" t="s">
        <v>605</v>
      </c>
      <c r="F787" s="386">
        <v>1.0</v>
      </c>
      <c r="G787" s="74">
        <v>760000.0</v>
      </c>
      <c r="H787" s="74">
        <v>0.0</v>
      </c>
      <c r="I787" s="74">
        <f t="shared" si="1"/>
        <v>760000</v>
      </c>
      <c r="J787" s="74">
        <f>IF(E787="SERVICE",I787-(I787*50%),Vlookup(E787,DATABASE!C:Q,10,false)*F787)</f>
        <v>0</v>
      </c>
      <c r="K787" s="74">
        <v>670000.0</v>
      </c>
      <c r="L787" s="74">
        <v>670000.0</v>
      </c>
      <c r="M787" s="74">
        <f t="shared" si="2"/>
        <v>670000</v>
      </c>
      <c r="N787" s="74">
        <f t="shared" si="3"/>
        <v>90000</v>
      </c>
      <c r="O787" s="65" t="str">
        <f>VLOOKUP(E787,DATABASE!C:Q,8,false)</f>
        <v>IBU</v>
      </c>
      <c r="P787" s="65">
        <f>VLOOKUP(E787,DATABASE!C:Q,9,False)</f>
        <v>1</v>
      </c>
      <c r="Q787" s="93" t="str">
        <f>VLOOKUP(E787,DATABASE!C:Q,4,false)</f>
        <v>Bridgestone</v>
      </c>
      <c r="R787" s="93" t="str">
        <f>VLOOKUP(E787,DATABASE!C:Q,11,false)</f>
        <v>Tire</v>
      </c>
    </row>
    <row r="788" ht="22.5" customHeight="1">
      <c r="A788" s="49"/>
      <c r="C788" s="384">
        <v>45703.0</v>
      </c>
      <c r="D788" s="65">
        <v>4358.0</v>
      </c>
      <c r="E788" s="445" t="s">
        <v>821</v>
      </c>
      <c r="F788" s="386">
        <v>5.0</v>
      </c>
      <c r="G788" s="74">
        <v>80000.0</v>
      </c>
      <c r="H788" s="74">
        <v>0.0</v>
      </c>
      <c r="I788" s="74">
        <f t="shared" si="1"/>
        <v>400000</v>
      </c>
      <c r="J788" s="74">
        <f>IF(E788="SERVICE",I788-(I788*50%),Vlookup(E788,DATABASE!C:Q,10,false)*F788)</f>
        <v>0</v>
      </c>
      <c r="K788" s="74">
        <f>VLOOKUP(E788,DATABASE!C:Q,7,false)</f>
        <v>43500</v>
      </c>
      <c r="L788" s="74">
        <v>43520.0</v>
      </c>
      <c r="M788" s="74">
        <f t="shared" si="2"/>
        <v>45000</v>
      </c>
      <c r="N788" s="74">
        <f t="shared" si="3"/>
        <v>175000</v>
      </c>
      <c r="O788" s="65" t="str">
        <f>VLOOKUP(E788,DATABASE!C:Q,8,false)</f>
        <v>BIAN</v>
      </c>
      <c r="P788" s="65">
        <f>VLOOKUP(E788,DATABASE!C:Q,9,False)</f>
        <v>1</v>
      </c>
      <c r="Q788" s="93" t="str">
        <f>VLOOKUP(E788,DATABASE!C:Q,4,false)</f>
        <v>Flap</v>
      </c>
      <c r="R788" s="93" t="str">
        <f>VLOOKUP(E788,DATABASE!C:Q,11,false)</f>
        <v>Tire</v>
      </c>
    </row>
    <row r="789" ht="22.5" customHeight="1">
      <c r="A789" s="49"/>
      <c r="C789" s="384">
        <v>45703.0</v>
      </c>
      <c r="D789" s="65">
        <v>4358.0</v>
      </c>
      <c r="E789" s="445" t="s">
        <v>814</v>
      </c>
      <c r="F789" s="386">
        <v>4.0</v>
      </c>
      <c r="G789" s="74">
        <v>70000.0</v>
      </c>
      <c r="H789" s="74">
        <v>0.0</v>
      </c>
      <c r="I789" s="74">
        <f t="shared" si="1"/>
        <v>280000</v>
      </c>
      <c r="J789" s="74">
        <f>IF(E789="SERVICE",I789-(I789*50%),Vlookup(E789,DATABASE!C:Q,10,false)*F789)</f>
        <v>0</v>
      </c>
      <c r="K789" s="74">
        <f>VLOOKUP(E789,DATABASE!C:Q,7,false)</f>
        <v>39440</v>
      </c>
      <c r="L789" s="74">
        <v>39440.0</v>
      </c>
      <c r="M789" s="74">
        <f t="shared" si="2"/>
        <v>40000</v>
      </c>
      <c r="N789" s="74">
        <f t="shared" si="3"/>
        <v>120000</v>
      </c>
      <c r="O789" s="65" t="str">
        <f>VLOOKUP(E789,DATABASE!C:Q,8,false)</f>
        <v>BIAN</v>
      </c>
      <c r="P789" s="65">
        <f>VLOOKUP(E789,DATABASE!C:Q,9,False)</f>
        <v>1</v>
      </c>
      <c r="Q789" s="93" t="str">
        <f>VLOOKUP(E789,DATABASE!C:Q,4,false)</f>
        <v>Flap</v>
      </c>
      <c r="R789" s="93" t="str">
        <f>VLOOKUP(E789,DATABASE!C:Q,11,false)</f>
        <v>Tire</v>
      </c>
    </row>
    <row r="790" ht="22.5" customHeight="1">
      <c r="A790" s="49"/>
      <c r="C790" s="384">
        <v>45703.0</v>
      </c>
      <c r="D790" s="65">
        <v>4358.0</v>
      </c>
      <c r="E790" s="445" t="s">
        <v>749</v>
      </c>
      <c r="F790" s="386">
        <v>15.0</v>
      </c>
      <c r="G790" s="74">
        <v>160000.0</v>
      </c>
      <c r="H790" s="74">
        <v>0.0</v>
      </c>
      <c r="I790" s="74">
        <f t="shared" si="1"/>
        <v>2400000</v>
      </c>
      <c r="J790" s="74">
        <f>IF(E790="SERVICE",I790-(I790*50%),Vlookup(E790,DATABASE!C:Q,10,false)*F790)</f>
        <v>0</v>
      </c>
      <c r="K790" s="74">
        <f>VLOOKUP(E790,DATABASE!C:Q,7,false)</f>
        <v>140000</v>
      </c>
      <c r="L790" s="74">
        <v>140000.0</v>
      </c>
      <c r="M790" s="74">
        <f t="shared" si="2"/>
        <v>140000</v>
      </c>
      <c r="N790" s="74">
        <f t="shared" si="3"/>
        <v>300000</v>
      </c>
      <c r="O790" s="65" t="str">
        <f>VLOOKUP(E790,DATABASE!C:Q,8,false)</f>
        <v>BIAN</v>
      </c>
      <c r="P790" s="65">
        <f>VLOOKUP(E790,DATABASE!C:Q,9,False)</f>
        <v>1</v>
      </c>
      <c r="Q790" s="93" t="str">
        <f>VLOOKUP(E790,DATABASE!C:Q,4,false)</f>
        <v>BD</v>
      </c>
      <c r="R790" s="93" t="str">
        <f>VLOOKUP(E790,DATABASE!C:Q,11,false)</f>
        <v>Tire</v>
      </c>
    </row>
    <row r="791" ht="22.5" customHeight="1">
      <c r="A791" s="49"/>
      <c r="C791" s="384">
        <v>45703.0</v>
      </c>
      <c r="D791" s="65">
        <v>4358.0</v>
      </c>
      <c r="E791" s="445" t="s">
        <v>712</v>
      </c>
      <c r="F791" s="386">
        <v>15.0</v>
      </c>
      <c r="G791" s="74">
        <v>140000.0</v>
      </c>
      <c r="H791" s="74">
        <v>0.0</v>
      </c>
      <c r="I791" s="74">
        <f t="shared" si="1"/>
        <v>2100000</v>
      </c>
      <c r="J791" s="74">
        <f>IF(E791="SERVICE",I791-(I791*50%),Vlookup(E791,DATABASE!C:Q,10,false)*F791)</f>
        <v>0</v>
      </c>
      <c r="K791" s="74">
        <f>VLOOKUP(E791,DATABASE!C:Q,7,false)</f>
        <v>120960</v>
      </c>
      <c r="L791" s="74">
        <v>120960.0</v>
      </c>
      <c r="M791" s="74">
        <f t="shared" si="2"/>
        <v>125000</v>
      </c>
      <c r="N791" s="74">
        <f t="shared" si="3"/>
        <v>225000</v>
      </c>
      <c r="O791" s="65" t="str">
        <f>VLOOKUP(E791,DATABASE!C:Q,8,false)</f>
        <v>BIAN</v>
      </c>
      <c r="P791" s="65">
        <f>VLOOKUP(E791,DATABASE!C:Q,9,False)</f>
        <v>1</v>
      </c>
      <c r="Q791" s="93" t="str">
        <f>VLOOKUP(E791,DATABASE!C:Q,4,false)</f>
        <v>BD</v>
      </c>
      <c r="R791" s="93" t="str">
        <f>VLOOKUP(E791,DATABASE!C:Q,11,false)</f>
        <v>Tire</v>
      </c>
    </row>
    <row r="792" ht="22.5" customHeight="1">
      <c r="A792" s="49"/>
      <c r="C792" s="384">
        <v>45703.0</v>
      </c>
      <c r="D792" s="65">
        <v>4359.0</v>
      </c>
      <c r="E792" s="445" t="s">
        <v>271</v>
      </c>
      <c r="F792" s="386">
        <v>2.0</v>
      </c>
      <c r="G792" s="74">
        <v>635000.0</v>
      </c>
      <c r="H792" s="74">
        <v>0.0</v>
      </c>
      <c r="I792" s="74">
        <f t="shared" si="1"/>
        <v>1270000</v>
      </c>
      <c r="J792" s="74">
        <f>IF(E792="SERVICE",I792-(I792*50%),Vlookup(E792,DATABASE!C:Q,10,false)*F792)</f>
        <v>0</v>
      </c>
      <c r="K792" s="74">
        <f>VLOOKUP(E792,DATABASE!C:Q,7,false)</f>
        <v>570000</v>
      </c>
      <c r="L792" s="74">
        <v>539000.0</v>
      </c>
      <c r="M792" s="74">
        <f t="shared" si="2"/>
        <v>540000</v>
      </c>
      <c r="N792" s="74">
        <f t="shared" si="3"/>
        <v>190000</v>
      </c>
      <c r="O792" s="65" t="str">
        <f>VLOOKUP(E792,DATABASE!C:Q,8,false)</f>
        <v>IBU</v>
      </c>
      <c r="P792" s="65">
        <f>VLOOKUP(E792,DATABASE!C:Q,9,False)</f>
        <v>1</v>
      </c>
      <c r="Q792" s="93" t="str">
        <f>VLOOKUP(E792,DATABASE!C:Q,4,false)</f>
        <v>Dunlop</v>
      </c>
      <c r="R792" s="93" t="str">
        <f>VLOOKUP(E792,DATABASE!C:Q,11,false)</f>
        <v>Tire</v>
      </c>
    </row>
    <row r="793" ht="22.5" customHeight="1">
      <c r="A793" s="49"/>
      <c r="C793" s="384">
        <v>45703.0</v>
      </c>
      <c r="D793" s="65">
        <v>4360.0</v>
      </c>
      <c r="E793" s="385" t="s">
        <v>299</v>
      </c>
      <c r="F793" s="386">
        <v>2.0</v>
      </c>
      <c r="G793" s="74">
        <v>30000.0</v>
      </c>
      <c r="H793" s="74">
        <v>0.0</v>
      </c>
      <c r="I793" s="74">
        <f t="shared" si="1"/>
        <v>60000</v>
      </c>
      <c r="J793" s="74">
        <f>IF(E793="SERVICE",I793-(I793*50%),Vlookup(E793,DATABASE!C:Q,10,false)*F793)</f>
        <v>0</v>
      </c>
      <c r="K793" s="74">
        <v>0.0</v>
      </c>
      <c r="L793" s="74">
        <v>0.0</v>
      </c>
      <c r="M793" s="74">
        <f t="shared" si="2"/>
        <v>0</v>
      </c>
      <c r="N793" s="74">
        <f t="shared" si="3"/>
        <v>60000</v>
      </c>
      <c r="O793" s="65" t="str">
        <f>VLOOKUP(E793,DATABASE!C:Q,8,false)</f>
        <v>BIAN</v>
      </c>
      <c r="P793" s="65">
        <f>VLOOKUP(E793,DATABASE!C:Q,9,False)</f>
        <v>0</v>
      </c>
      <c r="Q793" s="93" t="str">
        <f>VLOOKUP(E793,DATABASE!C:Q,4,false)</f>
        <v>Balancing</v>
      </c>
      <c r="R793" s="93" t="str">
        <f>VLOOKUP(E793,DATABASE!C:Q,11,false)</f>
        <v>COMPLEMENTARY</v>
      </c>
    </row>
    <row r="794" ht="22.5" customHeight="1">
      <c r="A794" s="49"/>
      <c r="C794" s="384">
        <v>45703.0</v>
      </c>
      <c r="D794" s="65">
        <v>4361.0</v>
      </c>
      <c r="E794" s="445" t="s">
        <v>946</v>
      </c>
      <c r="F794" s="386">
        <v>1.0</v>
      </c>
      <c r="G794" s="74">
        <v>900000.0</v>
      </c>
      <c r="H794" s="74">
        <v>0.0</v>
      </c>
      <c r="I794" s="74">
        <f t="shared" si="1"/>
        <v>900000</v>
      </c>
      <c r="J794" s="74">
        <f>IF(E794="SERVICE",I794-(I794*50%),Vlookup(E794,DATABASE!C:Q,10,false)*F794)</f>
        <v>0</v>
      </c>
      <c r="K794" s="74">
        <f>VLOOKUP(E794,DATABASE!C:Q,7,false)</f>
        <v>809000</v>
      </c>
      <c r="L794" s="74">
        <v>809000.0</v>
      </c>
      <c r="M794" s="74">
        <f t="shared" si="2"/>
        <v>810000</v>
      </c>
      <c r="N794" s="74">
        <f t="shared" si="3"/>
        <v>90000</v>
      </c>
      <c r="O794" s="65" t="str">
        <f>VLOOKUP(E794,DATABASE!C:Q,8,false)</f>
        <v>IBU</v>
      </c>
      <c r="P794" s="65">
        <f>VLOOKUP(E794,DATABASE!C:Q,9,False)</f>
        <v>1</v>
      </c>
      <c r="Q794" s="93" t="str">
        <f>VLOOKUP(E794,DATABASE!C:Q,4,false)</f>
        <v>Dunlop</v>
      </c>
      <c r="R794" s="93" t="str">
        <f>VLOOKUP(E794,DATABASE!C:Q,11,false)</f>
        <v>Tire</v>
      </c>
    </row>
    <row r="795" ht="22.5" customHeight="1">
      <c r="A795" s="49"/>
      <c r="C795" s="384">
        <v>45703.0</v>
      </c>
      <c r="D795" s="65">
        <v>4361.0</v>
      </c>
      <c r="E795" s="385" t="s">
        <v>299</v>
      </c>
      <c r="F795" s="386">
        <v>2.0</v>
      </c>
      <c r="G795" s="74">
        <v>30000.0</v>
      </c>
      <c r="H795" s="74">
        <v>0.0</v>
      </c>
      <c r="I795" s="74">
        <f t="shared" si="1"/>
        <v>60000</v>
      </c>
      <c r="J795" s="74">
        <f>IF(E795="SERVICE",I795-(I795*50%),Vlookup(E795,DATABASE!C:Q,10,false)*F795)</f>
        <v>0</v>
      </c>
      <c r="K795" s="74">
        <v>0.0</v>
      </c>
      <c r="L795" s="74">
        <v>0.0</v>
      </c>
      <c r="M795" s="74">
        <f t="shared" si="2"/>
        <v>0</v>
      </c>
      <c r="N795" s="74">
        <f t="shared" si="3"/>
        <v>60000</v>
      </c>
      <c r="O795" s="65" t="str">
        <f>VLOOKUP(E795,DATABASE!C:Q,8,false)</f>
        <v>BIAN</v>
      </c>
      <c r="P795" s="65">
        <f>VLOOKUP(E795,DATABASE!C:Q,9,False)</f>
        <v>0</v>
      </c>
      <c r="Q795" s="93" t="str">
        <f>VLOOKUP(E795,DATABASE!C:Q,4,false)</f>
        <v>Balancing</v>
      </c>
      <c r="R795" s="93" t="str">
        <f>VLOOKUP(E795,DATABASE!C:Q,11,false)</f>
        <v>COMPLEMENTARY</v>
      </c>
    </row>
    <row r="796" ht="22.5" customHeight="1">
      <c r="A796" s="49"/>
      <c r="C796" s="384">
        <v>45703.0</v>
      </c>
      <c r="D796" s="65">
        <v>4361.0</v>
      </c>
      <c r="E796" s="445" t="s">
        <v>256</v>
      </c>
      <c r="F796" s="386">
        <v>1.0</v>
      </c>
      <c r="G796" s="74">
        <v>130000.0</v>
      </c>
      <c r="H796" s="74">
        <v>0.0</v>
      </c>
      <c r="I796" s="74">
        <f t="shared" si="1"/>
        <v>130000</v>
      </c>
      <c r="J796" s="74">
        <f>IF(E796="SERVICE",I796-(I796*50%),Vlookup(E796,DATABASE!C:Q,10,false)*F796)</f>
        <v>10000</v>
      </c>
      <c r="K796" s="74">
        <f>VLOOKUP(E796,DATABASE!C:Q,7,false)</f>
        <v>0</v>
      </c>
      <c r="L796" s="74">
        <v>0.0</v>
      </c>
      <c r="M796" s="74">
        <f t="shared" si="2"/>
        <v>0</v>
      </c>
      <c r="N796" s="74">
        <f t="shared" si="3"/>
        <v>120000</v>
      </c>
      <c r="O796" s="65" t="str">
        <f>VLOOKUP(E796,DATABASE!C:Q,8,false)</f>
        <v>IBU</v>
      </c>
      <c r="P796" s="65">
        <f>VLOOKUP(E796,DATABASE!C:Q,9,False)</f>
        <v>0</v>
      </c>
      <c r="Q796" s="93" t="str">
        <f>VLOOKUP(E796,DATABASE!C:Q,4,false)</f>
        <v>SPOORING</v>
      </c>
      <c r="R796" s="93" t="str">
        <f>VLOOKUP(E796,DATABASE!C:Q,11,false)</f>
        <v>SERVICE</v>
      </c>
    </row>
    <row r="797" ht="22.5" customHeight="1">
      <c r="A797" s="49"/>
      <c r="C797" s="384">
        <v>45703.0</v>
      </c>
      <c r="D797" s="65">
        <v>4361.0</v>
      </c>
      <c r="E797" s="445" t="s">
        <v>251</v>
      </c>
      <c r="F797" s="386">
        <v>1.0</v>
      </c>
      <c r="G797" s="74">
        <v>150000.0</v>
      </c>
      <c r="H797" s="74">
        <v>0.0</v>
      </c>
      <c r="I797" s="74">
        <f t="shared" si="1"/>
        <v>150000</v>
      </c>
      <c r="J797" s="74">
        <f>IF(E797="SERVICE",I797-(I797*50%),Vlookup(E797,DATABASE!C:Q,10,false)*F797)</f>
        <v>75000</v>
      </c>
      <c r="K797" s="74">
        <f>VLOOKUP(E797,DATABASE!C:Q,7,false)</f>
        <v>0</v>
      </c>
      <c r="L797" s="74">
        <v>0.0</v>
      </c>
      <c r="M797" s="74">
        <f t="shared" si="2"/>
        <v>0</v>
      </c>
      <c r="N797" s="74">
        <f t="shared" si="3"/>
        <v>75000</v>
      </c>
      <c r="O797" s="65" t="str">
        <f>VLOOKUP(E797,DATABASE!C:Q,8,false)</f>
        <v>IBU</v>
      </c>
      <c r="P797" s="65">
        <f>VLOOKUP(E797,DATABASE!C:Q,9,False)</f>
        <v>0</v>
      </c>
      <c r="Q797" s="93" t="str">
        <f>VLOOKUP(E797,DATABASE!C:Q,4,false)</f>
        <v>SERVICE</v>
      </c>
      <c r="R797" s="93" t="str">
        <f>VLOOKUP(E797,DATABASE!C:Q,11,false)</f>
        <v>SERVICE</v>
      </c>
    </row>
    <row r="798" ht="22.5" customHeight="1">
      <c r="A798" s="49"/>
      <c r="C798" s="384">
        <v>45703.0</v>
      </c>
      <c r="D798" s="65">
        <v>4362.0</v>
      </c>
      <c r="E798" s="445" t="s">
        <v>1172</v>
      </c>
      <c r="F798" s="386">
        <v>4.0</v>
      </c>
      <c r="G798" s="74">
        <v>960000.0</v>
      </c>
      <c r="H798" s="74">
        <v>0.0</v>
      </c>
      <c r="I798" s="74">
        <f t="shared" si="1"/>
        <v>3840000</v>
      </c>
      <c r="J798" s="74">
        <f>IF(E798="SERVICE",I798-(I798*50%),Vlookup(E798,DATABASE!C:Q,10,false)*F798)</f>
        <v>0</v>
      </c>
      <c r="K798" s="74">
        <f>VLOOKUP(E798,DATABASE!C:Q,7,false)</f>
        <v>860000</v>
      </c>
      <c r="L798" s="74">
        <v>860000.0</v>
      </c>
      <c r="M798" s="74">
        <f t="shared" si="2"/>
        <v>860000</v>
      </c>
      <c r="N798" s="74">
        <f t="shared" si="3"/>
        <v>400000</v>
      </c>
      <c r="O798" s="65" t="str">
        <f>VLOOKUP(E798,DATABASE!C:Q,8,false)</f>
        <v>BIAN</v>
      </c>
      <c r="P798" s="65">
        <f>VLOOKUP(E798,DATABASE!C:Q,9,False)</f>
        <v>1</v>
      </c>
      <c r="Q798" s="93" t="str">
        <f>VLOOKUP(E798,DATABASE!C:Q,4,false)</f>
        <v>GT</v>
      </c>
      <c r="R798" s="93" t="str">
        <f>VLOOKUP(E798,DATABASE!C:Q,11,false)</f>
        <v>Tire</v>
      </c>
    </row>
    <row r="799" ht="22.5" customHeight="1">
      <c r="A799" s="49"/>
      <c r="C799" s="384">
        <v>45703.0</v>
      </c>
      <c r="D799" s="65">
        <v>4363.0</v>
      </c>
      <c r="E799" s="445" t="s">
        <v>246</v>
      </c>
      <c r="F799" s="386">
        <v>4.0</v>
      </c>
      <c r="G799" s="74">
        <v>30000.0</v>
      </c>
      <c r="H799" s="74">
        <v>0.0</v>
      </c>
      <c r="I799" s="74">
        <f t="shared" si="1"/>
        <v>120000</v>
      </c>
      <c r="J799" s="74">
        <f>IF(E799="SERVICE",I799-(I799*50%),Vlookup(E799,DATABASE!C:Q,10,false)*F799)</f>
        <v>0</v>
      </c>
      <c r="K799" s="74">
        <f>VLOOKUP(E799,DATABASE!C:Q,7,false)</f>
        <v>0</v>
      </c>
      <c r="L799" s="74">
        <v>0.0</v>
      </c>
      <c r="M799" s="74">
        <f t="shared" si="2"/>
        <v>0</v>
      </c>
      <c r="N799" s="74">
        <f t="shared" si="3"/>
        <v>120000</v>
      </c>
      <c r="O799" s="65" t="str">
        <f>VLOOKUP(E799,DATABASE!C:Q,8,false)</f>
        <v>IBU</v>
      </c>
      <c r="P799" s="65">
        <f>VLOOKUP(E799,DATABASE!C:Q,9,False)</f>
        <v>0</v>
      </c>
      <c r="Q799" s="93" t="str">
        <f>VLOOKUP(E799,DATABASE!C:Q,4,false)</f>
        <v>Bongkar Pasang</v>
      </c>
      <c r="R799" s="93" t="str">
        <f>VLOOKUP(E799,DATABASE!C:Q,11,false)</f>
        <v>SERVICE</v>
      </c>
    </row>
    <row r="800" ht="22.5" customHeight="1">
      <c r="A800" s="49"/>
      <c r="C800" s="384">
        <v>45703.0</v>
      </c>
      <c r="D800" s="65">
        <v>4363.0</v>
      </c>
      <c r="E800" s="385" t="s">
        <v>299</v>
      </c>
      <c r="F800" s="386">
        <v>4.0</v>
      </c>
      <c r="G800" s="74">
        <v>30000.0</v>
      </c>
      <c r="H800" s="74">
        <v>0.0</v>
      </c>
      <c r="I800" s="74">
        <f t="shared" si="1"/>
        <v>120000</v>
      </c>
      <c r="J800" s="74">
        <f>IF(E800="SERVICE",I800-(I800*50%),Vlookup(E800,DATABASE!C:Q,10,false)*F800)</f>
        <v>0</v>
      </c>
      <c r="K800" s="74">
        <v>0.0</v>
      </c>
      <c r="L800" s="74">
        <v>0.0</v>
      </c>
      <c r="M800" s="74">
        <f t="shared" si="2"/>
        <v>0</v>
      </c>
      <c r="N800" s="74">
        <f t="shared" si="3"/>
        <v>120000</v>
      </c>
      <c r="O800" s="65" t="str">
        <f>VLOOKUP(E800,DATABASE!C:Q,8,false)</f>
        <v>BIAN</v>
      </c>
      <c r="P800" s="65">
        <f>VLOOKUP(E800,DATABASE!C:Q,9,False)</f>
        <v>0</v>
      </c>
      <c r="Q800" s="93" t="str">
        <f>VLOOKUP(E800,DATABASE!C:Q,4,false)</f>
        <v>Balancing</v>
      </c>
      <c r="R800" s="93" t="str">
        <f>VLOOKUP(E800,DATABASE!C:Q,11,false)</f>
        <v>COMPLEMENTARY</v>
      </c>
    </row>
    <row r="801" ht="22.5" customHeight="1">
      <c r="A801" s="49"/>
      <c r="C801" s="384">
        <v>45703.0</v>
      </c>
      <c r="D801" s="65">
        <v>4363.0</v>
      </c>
      <c r="E801" s="445" t="s">
        <v>2139</v>
      </c>
      <c r="F801" s="386">
        <v>1.0</v>
      </c>
      <c r="G801" s="74">
        <v>10000.0</v>
      </c>
      <c r="H801" s="74">
        <v>0.0</v>
      </c>
      <c r="I801" s="74">
        <f t="shared" si="1"/>
        <v>10000</v>
      </c>
      <c r="J801" s="74">
        <f>IF(E801="SERVICE",I801-(I801*50%),Vlookup(E801,DATABASE!C:Q,10,false)*F801)</f>
        <v>0</v>
      </c>
      <c r="K801" s="74">
        <f>VLOOKUP(E801,DATABASE!C:Q,7,false)</f>
        <v>0</v>
      </c>
      <c r="L801" s="74">
        <v>0.0</v>
      </c>
      <c r="M801" s="74">
        <f t="shared" si="2"/>
        <v>0</v>
      </c>
      <c r="N801" s="74">
        <f t="shared" si="3"/>
        <v>10000</v>
      </c>
      <c r="O801" s="65" t="str">
        <f>VLOOKUP(E801,DATABASE!C:Q,8,false)</f>
        <v>IBU</v>
      </c>
      <c r="P801" s="65">
        <f>VLOOKUP(E801,DATABASE!C:Q,9,False)</f>
        <v>0</v>
      </c>
      <c r="Q801" s="93" t="str">
        <f>VLOOKUP(E801,DATABASE!C:Q,4,false)</f>
        <v>PENTIL</v>
      </c>
      <c r="R801" s="93" t="str">
        <f>VLOOKUP(E801,DATABASE!C:Q,11,false)</f>
        <v>COMPLEMENTARY</v>
      </c>
    </row>
    <row r="802" ht="22.5" customHeight="1">
      <c r="A802" s="49"/>
      <c r="C802" s="384">
        <v>45703.0</v>
      </c>
      <c r="D802" s="65">
        <v>4364.0</v>
      </c>
      <c r="E802" s="445" t="s">
        <v>856</v>
      </c>
      <c r="F802" s="386">
        <v>2.0</v>
      </c>
      <c r="G802" s="74">
        <v>670000.0</v>
      </c>
      <c r="H802" s="74">
        <v>0.0</v>
      </c>
      <c r="I802" s="74">
        <f t="shared" si="1"/>
        <v>1340000</v>
      </c>
      <c r="J802" s="74">
        <f>IF(E802="SERVICE",I802-(I802*50%),Vlookup(E802,DATABASE!C:Q,10,false)*F802)</f>
        <v>0</v>
      </c>
      <c r="K802" s="74">
        <f>VLOOKUP(E802,DATABASE!C:Q,7,false)</f>
        <v>615300</v>
      </c>
      <c r="L802" s="74">
        <v>581120.0</v>
      </c>
      <c r="M802" s="74">
        <f t="shared" si="2"/>
        <v>585000</v>
      </c>
      <c r="N802" s="74">
        <f t="shared" si="3"/>
        <v>170000</v>
      </c>
      <c r="O802" s="65" t="str">
        <f>VLOOKUP(E802,DATABASE!C:Q,8,false)</f>
        <v>BIAN</v>
      </c>
      <c r="P802" s="65">
        <f>VLOOKUP(E802,DATABASE!C:Q,9,False)</f>
        <v>1</v>
      </c>
      <c r="Q802" s="93" t="str">
        <f>VLOOKUP(E802,DATABASE!C:Q,4,false)</f>
        <v>GT</v>
      </c>
      <c r="R802" s="93" t="str">
        <f>VLOOKUP(E802,DATABASE!C:Q,11,false)</f>
        <v>Tire</v>
      </c>
    </row>
    <row r="803" ht="22.5" customHeight="1">
      <c r="A803" s="49"/>
      <c r="C803" s="384">
        <v>45703.0</v>
      </c>
      <c r="D803" s="65">
        <v>4364.0</v>
      </c>
      <c r="E803" s="385" t="s">
        <v>299</v>
      </c>
      <c r="F803" s="386">
        <v>2.0</v>
      </c>
      <c r="G803" s="74">
        <v>30000.0</v>
      </c>
      <c r="H803" s="74">
        <v>0.0</v>
      </c>
      <c r="I803" s="74">
        <f t="shared" si="1"/>
        <v>60000</v>
      </c>
      <c r="J803" s="74">
        <f>IF(E803="SERVICE",I803-(I803*50%),Vlookup(E803,DATABASE!C:Q,10,false)*F803)</f>
        <v>0</v>
      </c>
      <c r="K803" s="74">
        <v>0.0</v>
      </c>
      <c r="L803" s="74">
        <v>0.0</v>
      </c>
      <c r="M803" s="74">
        <f t="shared" si="2"/>
        <v>0</v>
      </c>
      <c r="N803" s="74">
        <f t="shared" si="3"/>
        <v>60000</v>
      </c>
      <c r="O803" s="65" t="str">
        <f>VLOOKUP(E803,DATABASE!C:Q,8,false)</f>
        <v>BIAN</v>
      </c>
      <c r="P803" s="65">
        <f>VLOOKUP(E803,DATABASE!C:Q,9,False)</f>
        <v>0</v>
      </c>
      <c r="Q803" s="93" t="str">
        <f>VLOOKUP(E803,DATABASE!C:Q,4,false)</f>
        <v>Balancing</v>
      </c>
      <c r="R803" s="93" t="str">
        <f>VLOOKUP(E803,DATABASE!C:Q,11,false)</f>
        <v>COMPLEMENTARY</v>
      </c>
    </row>
    <row r="804" ht="22.5" customHeight="1">
      <c r="A804" s="49"/>
      <c r="C804" s="384">
        <v>45703.0</v>
      </c>
      <c r="D804" s="65">
        <v>4364.0</v>
      </c>
      <c r="E804" s="445" t="s">
        <v>256</v>
      </c>
      <c r="F804" s="386">
        <v>1.0</v>
      </c>
      <c r="G804" s="74">
        <v>130000.0</v>
      </c>
      <c r="H804" s="74">
        <v>0.0</v>
      </c>
      <c r="I804" s="74">
        <f t="shared" si="1"/>
        <v>130000</v>
      </c>
      <c r="J804" s="74">
        <f>IF(E804="SERVICE",I804-(I804*50%),Vlookup(E804,DATABASE!C:Q,10,false)*F804)</f>
        <v>10000</v>
      </c>
      <c r="K804" s="74">
        <f>VLOOKUP(E804,DATABASE!C:Q,7,false)</f>
        <v>0</v>
      </c>
      <c r="L804" s="74">
        <v>0.0</v>
      </c>
      <c r="M804" s="74">
        <f t="shared" si="2"/>
        <v>0</v>
      </c>
      <c r="N804" s="74">
        <f t="shared" si="3"/>
        <v>120000</v>
      </c>
      <c r="O804" s="65" t="str">
        <f>VLOOKUP(E804,DATABASE!C:Q,8,false)</f>
        <v>IBU</v>
      </c>
      <c r="P804" s="65">
        <f>VLOOKUP(E804,DATABASE!C:Q,9,False)</f>
        <v>0</v>
      </c>
      <c r="Q804" s="93" t="str">
        <f>VLOOKUP(E804,DATABASE!C:Q,4,false)</f>
        <v>SPOORING</v>
      </c>
      <c r="R804" s="93" t="str">
        <f>VLOOKUP(E804,DATABASE!C:Q,11,false)</f>
        <v>SERVICE</v>
      </c>
    </row>
    <row r="805" ht="22.5" customHeight="1">
      <c r="A805" s="49"/>
      <c r="C805" s="384">
        <v>45703.0</v>
      </c>
      <c r="D805" s="65">
        <v>4364.0</v>
      </c>
      <c r="E805" s="445" t="s">
        <v>301</v>
      </c>
      <c r="F805" s="386">
        <v>1.0</v>
      </c>
      <c r="G805" s="74">
        <v>250000.0</v>
      </c>
      <c r="H805" s="74">
        <v>0.0</v>
      </c>
      <c r="I805" s="74">
        <f t="shared" si="1"/>
        <v>250000</v>
      </c>
      <c r="J805" s="74">
        <f>IF(E805="SERVICE",I805-(I805*50%),Vlookup(E805,DATABASE!C:Q,10,false)*F805)</f>
        <v>75000</v>
      </c>
      <c r="K805" s="74">
        <f>VLOOKUP(E805,DATABASE!C:Q,7,false)</f>
        <v>75000</v>
      </c>
      <c r="L805" s="74">
        <v>75000.0</v>
      </c>
      <c r="M805" s="74">
        <f t="shared" si="2"/>
        <v>75000</v>
      </c>
      <c r="N805" s="74">
        <f t="shared" si="3"/>
        <v>100000</v>
      </c>
      <c r="O805" s="65" t="str">
        <f>VLOOKUP(E805,DATABASE!C:Q,8,false)</f>
        <v>BIAN</v>
      </c>
      <c r="P805" s="65">
        <f>VLOOKUP(E805,DATABASE!C:Q,9,False)</f>
        <v>0</v>
      </c>
      <c r="Q805" s="93" t="str">
        <f>VLOOKUP(E805,DATABASE!C:Q,4,false)</f>
        <v>Baut Camber</v>
      </c>
      <c r="R805" s="93" t="str">
        <f>VLOOKUP(E805,DATABASE!C:Q,11,false)</f>
        <v>COMPLEMENTARY</v>
      </c>
    </row>
    <row r="806" ht="22.5" customHeight="1">
      <c r="A806" s="49"/>
      <c r="C806" s="384">
        <v>45703.0</v>
      </c>
      <c r="D806" s="65">
        <v>4364.0</v>
      </c>
      <c r="E806" s="445" t="s">
        <v>251</v>
      </c>
      <c r="F806" s="386">
        <v>1.0</v>
      </c>
      <c r="G806" s="74">
        <v>60000.0</v>
      </c>
      <c r="H806" s="74">
        <v>0.0</v>
      </c>
      <c r="I806" s="74">
        <f t="shared" si="1"/>
        <v>60000</v>
      </c>
      <c r="J806" s="74">
        <f>IF(E806="SERVICE",I806-(I806*50%),Vlookup(E806,DATABASE!C:Q,10,false)*F806)</f>
        <v>30000</v>
      </c>
      <c r="K806" s="74">
        <f>VLOOKUP(E806,DATABASE!C:Q,7,false)</f>
        <v>0</v>
      </c>
      <c r="L806" s="74">
        <v>0.0</v>
      </c>
      <c r="M806" s="74">
        <f t="shared" si="2"/>
        <v>0</v>
      </c>
      <c r="N806" s="74">
        <f t="shared" si="3"/>
        <v>30000</v>
      </c>
      <c r="O806" s="65" t="str">
        <f>VLOOKUP(E806,DATABASE!C:Q,8,false)</f>
        <v>IBU</v>
      </c>
      <c r="P806" s="65">
        <f>VLOOKUP(E806,DATABASE!C:Q,9,False)</f>
        <v>0</v>
      </c>
      <c r="Q806" s="93" t="str">
        <f>VLOOKUP(E806,DATABASE!C:Q,4,false)</f>
        <v>SERVICE</v>
      </c>
      <c r="R806" s="93" t="str">
        <f>VLOOKUP(E806,DATABASE!C:Q,11,false)</f>
        <v>SERVICE</v>
      </c>
    </row>
    <row r="807" ht="22.5" customHeight="1">
      <c r="A807" s="49"/>
      <c r="C807" s="384">
        <v>45705.0</v>
      </c>
      <c r="D807" s="65">
        <v>4367.0</v>
      </c>
      <c r="E807" s="445" t="s">
        <v>614</v>
      </c>
      <c r="F807" s="386">
        <v>1.0</v>
      </c>
      <c r="G807" s="74">
        <v>860000.0</v>
      </c>
      <c r="H807" s="74">
        <v>0.0</v>
      </c>
      <c r="I807" s="74">
        <f t="shared" si="1"/>
        <v>860000</v>
      </c>
      <c r="J807" s="74">
        <f>IF(E807="SERVICE",I807-(I807*50%),Vlookup(E807,DATABASE!C:Q,10,false)*F807)</f>
        <v>0</v>
      </c>
      <c r="K807" s="74">
        <f>VLOOKUP(E807,DATABASE!C:Q,7,false)</f>
        <v>754660.6</v>
      </c>
      <c r="L807" s="74">
        <v>766438.4</v>
      </c>
      <c r="M807" s="74">
        <f t="shared" si="2"/>
        <v>770000</v>
      </c>
      <c r="N807" s="74">
        <f t="shared" si="3"/>
        <v>90000</v>
      </c>
      <c r="O807" s="65" t="str">
        <f>VLOOKUP(E807,DATABASE!C:Q,8,false)</f>
        <v>IBU</v>
      </c>
      <c r="P807" s="65">
        <f>VLOOKUP(E807,DATABASE!C:Q,9,False)</f>
        <v>1</v>
      </c>
      <c r="Q807" s="93" t="str">
        <f>VLOOKUP(E807,DATABASE!C:Q,4,false)</f>
        <v>Bridgestone</v>
      </c>
      <c r="R807" s="93" t="str">
        <f>VLOOKUP(E807,DATABASE!C:Q,11,false)</f>
        <v>Tire</v>
      </c>
    </row>
    <row r="808" ht="22.5" customHeight="1">
      <c r="A808" s="49"/>
      <c r="C808" s="384">
        <v>45705.0</v>
      </c>
      <c r="D808" s="65">
        <v>4368.0</v>
      </c>
      <c r="E808" s="445" t="s">
        <v>256</v>
      </c>
      <c r="F808" s="386">
        <v>1.0</v>
      </c>
      <c r="G808" s="74">
        <v>130000.0</v>
      </c>
      <c r="H808" s="74">
        <v>0.0</v>
      </c>
      <c r="I808" s="74">
        <f t="shared" si="1"/>
        <v>130000</v>
      </c>
      <c r="J808" s="74">
        <f>IF(E808="SERVICE",I808-(I808*50%),Vlookup(E808,DATABASE!C:Q,10,false)*F808)</f>
        <v>10000</v>
      </c>
      <c r="K808" s="74">
        <f>VLOOKUP(E808,DATABASE!C:Q,7,false)</f>
        <v>0</v>
      </c>
      <c r="L808" s="74">
        <v>0.0</v>
      </c>
      <c r="M808" s="74">
        <f t="shared" si="2"/>
        <v>0</v>
      </c>
      <c r="N808" s="74">
        <f t="shared" si="3"/>
        <v>120000</v>
      </c>
      <c r="O808" s="65" t="str">
        <f>VLOOKUP(E808,DATABASE!C:Q,8,false)</f>
        <v>IBU</v>
      </c>
      <c r="P808" s="65">
        <f>VLOOKUP(E808,DATABASE!C:Q,9,False)</f>
        <v>0</v>
      </c>
      <c r="Q808" s="93" t="str">
        <f>VLOOKUP(E808,DATABASE!C:Q,4,false)</f>
        <v>SPOORING</v>
      </c>
      <c r="R808" s="93" t="str">
        <f>VLOOKUP(E808,DATABASE!C:Q,11,false)</f>
        <v>SERVICE</v>
      </c>
    </row>
    <row r="809" ht="22.5" customHeight="1">
      <c r="A809" s="49"/>
      <c r="C809" s="384">
        <v>45705.0</v>
      </c>
      <c r="D809" s="65">
        <v>4369.0</v>
      </c>
      <c r="E809" s="445" t="s">
        <v>246</v>
      </c>
      <c r="F809" s="386">
        <v>2.0</v>
      </c>
      <c r="G809" s="74">
        <v>30000.0</v>
      </c>
      <c r="H809" s="74">
        <v>0.0</v>
      </c>
      <c r="I809" s="74">
        <f t="shared" si="1"/>
        <v>60000</v>
      </c>
      <c r="J809" s="74">
        <f>IF(E809="SERVICE",I809-(I809*50%),Vlookup(E809,DATABASE!C:Q,10,false)*F809)</f>
        <v>0</v>
      </c>
      <c r="K809" s="74">
        <f>VLOOKUP(E809,DATABASE!C:Q,7,false)</f>
        <v>0</v>
      </c>
      <c r="L809" s="74">
        <v>0.0</v>
      </c>
      <c r="M809" s="74">
        <f t="shared" si="2"/>
        <v>0</v>
      </c>
      <c r="N809" s="74">
        <f t="shared" si="3"/>
        <v>60000</v>
      </c>
      <c r="O809" s="65" t="str">
        <f>VLOOKUP(E809,DATABASE!C:Q,8,false)</f>
        <v>IBU</v>
      </c>
      <c r="P809" s="65">
        <f>VLOOKUP(E809,DATABASE!C:Q,9,False)</f>
        <v>0</v>
      </c>
      <c r="Q809" s="93" t="str">
        <f>VLOOKUP(E809,DATABASE!C:Q,4,false)</f>
        <v>Bongkar Pasang</v>
      </c>
      <c r="R809" s="93" t="str">
        <f>VLOOKUP(E809,DATABASE!C:Q,11,false)</f>
        <v>SERVICE</v>
      </c>
    </row>
    <row r="810" ht="22.5" customHeight="1">
      <c r="A810" s="49"/>
      <c r="C810" s="384">
        <v>45705.0</v>
      </c>
      <c r="D810" s="65">
        <v>4370.0</v>
      </c>
      <c r="E810" s="445" t="s">
        <v>268</v>
      </c>
      <c r="F810" s="386">
        <v>4.0</v>
      </c>
      <c r="G810" s="74">
        <v>685000.0</v>
      </c>
      <c r="H810" s="74">
        <v>0.0</v>
      </c>
      <c r="I810" s="74">
        <f t="shared" si="1"/>
        <v>2740000</v>
      </c>
      <c r="J810" s="74">
        <f>IF(E810="SERVICE",I810-(I810*50%),Vlookup(E810,DATABASE!C:Q,10,false)*F810)</f>
        <v>0</v>
      </c>
      <c r="K810" s="74">
        <v>613000.0</v>
      </c>
      <c r="L810" s="74">
        <v>613000.0</v>
      </c>
      <c r="M810" s="74">
        <f t="shared" si="2"/>
        <v>615000</v>
      </c>
      <c r="N810" s="74">
        <f t="shared" si="3"/>
        <v>280000</v>
      </c>
      <c r="O810" s="65" t="str">
        <f>VLOOKUP(E810,DATABASE!C:Q,8,false)</f>
        <v>IBU</v>
      </c>
      <c r="P810" s="65">
        <f>VLOOKUP(E810,DATABASE!C:Q,9,False)</f>
        <v>1</v>
      </c>
      <c r="Q810" s="93" t="str">
        <f>VLOOKUP(E810,DATABASE!C:Q,4,false)</f>
        <v>Dunlop</v>
      </c>
      <c r="R810" s="93" t="str">
        <f>VLOOKUP(E810,DATABASE!C:Q,11,false)</f>
        <v>Tire</v>
      </c>
    </row>
    <row r="811" ht="22.5" customHeight="1">
      <c r="A811" s="49"/>
      <c r="C811" s="384">
        <v>45705.0</v>
      </c>
      <c r="D811" s="65">
        <v>4370.0</v>
      </c>
      <c r="E811" s="385" t="s">
        <v>299</v>
      </c>
      <c r="F811" s="386">
        <v>2.0</v>
      </c>
      <c r="G811" s="74">
        <v>30000.0</v>
      </c>
      <c r="H811" s="74">
        <v>0.0</v>
      </c>
      <c r="I811" s="74">
        <f t="shared" si="1"/>
        <v>60000</v>
      </c>
      <c r="J811" s="74">
        <f>IF(E811="SERVICE",I811-(I811*50%),Vlookup(E811,DATABASE!C:Q,10,false)*F811)</f>
        <v>0</v>
      </c>
      <c r="K811" s="74">
        <v>0.0</v>
      </c>
      <c r="L811" s="74">
        <v>0.0</v>
      </c>
      <c r="M811" s="74">
        <f t="shared" si="2"/>
        <v>0</v>
      </c>
      <c r="N811" s="74">
        <f t="shared" si="3"/>
        <v>60000</v>
      </c>
      <c r="O811" s="65" t="str">
        <f>VLOOKUP(E811,DATABASE!C:Q,8,false)</f>
        <v>BIAN</v>
      </c>
      <c r="P811" s="65">
        <f>VLOOKUP(E811,DATABASE!C:Q,9,False)</f>
        <v>0</v>
      </c>
      <c r="Q811" s="93" t="str">
        <f>VLOOKUP(E811,DATABASE!C:Q,4,false)</f>
        <v>Balancing</v>
      </c>
      <c r="R811" s="93" t="str">
        <f>VLOOKUP(E811,DATABASE!C:Q,11,false)</f>
        <v>COMPLEMENTARY</v>
      </c>
    </row>
    <row r="812" ht="22.5" customHeight="1">
      <c r="A812" s="49"/>
      <c r="C812" s="384">
        <v>45705.0</v>
      </c>
      <c r="D812" s="65">
        <v>4370.0</v>
      </c>
      <c r="E812" s="445" t="s">
        <v>262</v>
      </c>
      <c r="F812" s="386">
        <v>1.0</v>
      </c>
      <c r="G812" s="74">
        <v>110000.0</v>
      </c>
      <c r="H812" s="74">
        <v>0.0</v>
      </c>
      <c r="I812" s="74">
        <f t="shared" si="1"/>
        <v>110000</v>
      </c>
      <c r="J812" s="74">
        <f>IF(E812="SERVICE",I812-(I812*50%),Vlookup(E812,DATABASE!C:Q,10,false)*F812)</f>
        <v>5000</v>
      </c>
      <c r="K812" s="74">
        <f>VLOOKUP(E812,DATABASE!C:Q,7,false)</f>
        <v>0</v>
      </c>
      <c r="L812" s="74">
        <v>0.0</v>
      </c>
      <c r="M812" s="74">
        <f t="shared" si="2"/>
        <v>0</v>
      </c>
      <c r="N812" s="74">
        <f t="shared" si="3"/>
        <v>105000</v>
      </c>
      <c r="O812" s="65" t="str">
        <f>VLOOKUP(E812,DATABASE!C:Q,8,false)</f>
        <v>IBU</v>
      </c>
      <c r="P812" s="65">
        <f>VLOOKUP(E812,DATABASE!C:Q,9,False)</f>
        <v>0</v>
      </c>
      <c r="Q812" s="93" t="str">
        <f>VLOOKUP(E812,DATABASE!C:Q,4,false)</f>
        <v>SPOORING SS/CARRY LOS BAK</v>
      </c>
      <c r="R812" s="93" t="str">
        <f>VLOOKUP(E812,DATABASE!C:Q,11,false)</f>
        <v>SERVICE</v>
      </c>
    </row>
    <row r="813" ht="22.5" customHeight="1">
      <c r="A813" s="49"/>
      <c r="C813" s="384">
        <v>45705.0</v>
      </c>
      <c r="D813" s="65">
        <v>4370.0</v>
      </c>
      <c r="E813" s="445" t="s">
        <v>251</v>
      </c>
      <c r="F813" s="386">
        <v>1.0</v>
      </c>
      <c r="G813" s="74">
        <v>120000.0</v>
      </c>
      <c r="H813" s="74">
        <v>0.0</v>
      </c>
      <c r="I813" s="74">
        <f t="shared" si="1"/>
        <v>120000</v>
      </c>
      <c r="J813" s="74">
        <f>IF(E813="SERVICE",I813-(I813*50%),Vlookup(E813,DATABASE!C:Q,10,false)*F813)</f>
        <v>60000</v>
      </c>
      <c r="K813" s="74">
        <f>VLOOKUP(E813,DATABASE!C:Q,7,false)</f>
        <v>0</v>
      </c>
      <c r="L813" s="74">
        <v>0.0</v>
      </c>
      <c r="M813" s="74">
        <f t="shared" si="2"/>
        <v>0</v>
      </c>
      <c r="N813" s="74">
        <f t="shared" si="3"/>
        <v>60000</v>
      </c>
      <c r="O813" s="65" t="str">
        <f>VLOOKUP(E813,DATABASE!C:Q,8,false)</f>
        <v>IBU</v>
      </c>
      <c r="P813" s="65">
        <f>VLOOKUP(E813,DATABASE!C:Q,9,False)</f>
        <v>0</v>
      </c>
      <c r="Q813" s="93" t="str">
        <f>VLOOKUP(E813,DATABASE!C:Q,4,false)</f>
        <v>SERVICE</v>
      </c>
      <c r="R813" s="93" t="str">
        <f>VLOOKUP(E813,DATABASE!C:Q,11,false)</f>
        <v>SERVICE</v>
      </c>
    </row>
    <row r="814" ht="22.5" customHeight="1">
      <c r="A814" s="49"/>
      <c r="C814" s="384">
        <v>45705.0</v>
      </c>
      <c r="D814" s="65">
        <v>4371.0</v>
      </c>
      <c r="E814" s="445" t="s">
        <v>968</v>
      </c>
      <c r="F814" s="386">
        <v>4.0</v>
      </c>
      <c r="G814" s="74">
        <v>660000.0</v>
      </c>
      <c r="H814" s="74">
        <v>0.0</v>
      </c>
      <c r="I814" s="74">
        <f t="shared" si="1"/>
        <v>2640000</v>
      </c>
      <c r="J814" s="74">
        <f>IF(E814="SERVICE",I814-(I814*50%),Vlookup(E814,DATABASE!C:Q,10,false)*F814)</f>
        <v>0</v>
      </c>
      <c r="K814" s="74">
        <f>VLOOKUP(E814,DATABASE!C:Q,7,false)</f>
        <v>582500</v>
      </c>
      <c r="L814" s="74">
        <v>582500.0</v>
      </c>
      <c r="M814" s="74">
        <f t="shared" si="2"/>
        <v>585000</v>
      </c>
      <c r="N814" s="74">
        <f t="shared" si="3"/>
        <v>300000</v>
      </c>
      <c r="O814" s="65" t="str">
        <f>VLOOKUP(E814,DATABASE!C:Q,8,false)</f>
        <v>IBU</v>
      </c>
      <c r="P814" s="65">
        <f>VLOOKUP(E814,DATABASE!C:Q,9,False)</f>
        <v>1</v>
      </c>
      <c r="Q814" s="93" t="str">
        <f>VLOOKUP(E814,DATABASE!C:Q,4,false)</f>
        <v>Dunlop</v>
      </c>
      <c r="R814" s="93" t="str">
        <f>VLOOKUP(E814,DATABASE!C:Q,11,false)</f>
        <v>Tire</v>
      </c>
    </row>
    <row r="815" ht="22.5" customHeight="1">
      <c r="A815" s="49"/>
      <c r="C815" s="384">
        <v>45705.0</v>
      </c>
      <c r="D815" s="65">
        <v>4371.0</v>
      </c>
      <c r="E815" s="385" t="s">
        <v>299</v>
      </c>
      <c r="F815" s="386">
        <v>2.0</v>
      </c>
      <c r="G815" s="74">
        <v>30000.0</v>
      </c>
      <c r="H815" s="74">
        <v>0.0</v>
      </c>
      <c r="I815" s="74">
        <f t="shared" si="1"/>
        <v>60000</v>
      </c>
      <c r="J815" s="74">
        <f>IF(E815="SERVICE",I815-(I815*50%),Vlookup(E815,DATABASE!C:Q,10,false)*F815)</f>
        <v>0</v>
      </c>
      <c r="K815" s="74">
        <v>0.0</v>
      </c>
      <c r="L815" s="74">
        <v>0.0</v>
      </c>
      <c r="M815" s="74">
        <f t="shared" si="2"/>
        <v>0</v>
      </c>
      <c r="N815" s="74">
        <f t="shared" si="3"/>
        <v>60000</v>
      </c>
      <c r="O815" s="65" t="str">
        <f>VLOOKUP(E815,DATABASE!C:Q,8,false)</f>
        <v>BIAN</v>
      </c>
      <c r="P815" s="65">
        <f>VLOOKUP(E815,DATABASE!C:Q,9,False)</f>
        <v>0</v>
      </c>
      <c r="Q815" s="93" t="str">
        <f>VLOOKUP(E815,DATABASE!C:Q,4,false)</f>
        <v>Balancing</v>
      </c>
      <c r="R815" s="93" t="str">
        <f>VLOOKUP(E815,DATABASE!C:Q,11,false)</f>
        <v>COMPLEMENTARY</v>
      </c>
    </row>
    <row r="816" ht="22.5" customHeight="1">
      <c r="A816" s="49"/>
      <c r="C816" s="384">
        <v>45705.0</v>
      </c>
      <c r="D816" s="65">
        <v>4372.0</v>
      </c>
      <c r="E816" s="445" t="s">
        <v>290</v>
      </c>
      <c r="F816" s="386">
        <v>2.0</v>
      </c>
      <c r="G816" s="74">
        <v>720000.0</v>
      </c>
      <c r="H816" s="74">
        <v>0.0</v>
      </c>
      <c r="I816" s="74">
        <f t="shared" si="1"/>
        <v>1440000</v>
      </c>
      <c r="J816" s="74">
        <f>IF(E816="SERVICE",I816-(I816*50%),Vlookup(E816,DATABASE!C:Q,10,false)*F816)</f>
        <v>0</v>
      </c>
      <c r="K816" s="74">
        <f>VLOOKUP(E816,DATABASE!C:Q,7,false)</f>
        <v>628100</v>
      </c>
      <c r="L816" s="74">
        <v>609804.0</v>
      </c>
      <c r="M816" s="74">
        <f t="shared" si="2"/>
        <v>610000</v>
      </c>
      <c r="N816" s="74">
        <f t="shared" si="3"/>
        <v>220000</v>
      </c>
      <c r="O816" s="65" t="str">
        <f>VLOOKUP(E816,DATABASE!C:Q,8,false)</f>
        <v>BIAN</v>
      </c>
      <c r="P816" s="65">
        <f>VLOOKUP(E816,DATABASE!C:Q,9,False)</f>
        <v>1</v>
      </c>
      <c r="Q816" s="93" t="str">
        <f>VLOOKUP(E816,DATABASE!C:Q,4,false)</f>
        <v>GT</v>
      </c>
      <c r="R816" s="93" t="str">
        <f>VLOOKUP(E816,DATABASE!C:Q,11,false)</f>
        <v>Tire</v>
      </c>
    </row>
    <row r="817" ht="22.5" customHeight="1">
      <c r="A817" s="49"/>
      <c r="C817" s="384">
        <v>45705.0</v>
      </c>
      <c r="D817" s="65">
        <v>4373.0</v>
      </c>
      <c r="E817" s="445" t="s">
        <v>256</v>
      </c>
      <c r="F817" s="386">
        <v>1.0</v>
      </c>
      <c r="G817" s="74">
        <v>150000.0</v>
      </c>
      <c r="H817" s="74">
        <v>0.0</v>
      </c>
      <c r="I817" s="74">
        <f t="shared" si="1"/>
        <v>150000</v>
      </c>
      <c r="J817" s="74">
        <f>IF(E817="SERVICE",I817-(I817*50%),Vlookup(E817,DATABASE!C:Q,10,false)*F817)</f>
        <v>10000</v>
      </c>
      <c r="K817" s="74">
        <f>VLOOKUP(E817,DATABASE!C:Q,7,false)</f>
        <v>0</v>
      </c>
      <c r="L817" s="74">
        <v>0.0</v>
      </c>
      <c r="M817" s="74">
        <f t="shared" si="2"/>
        <v>0</v>
      </c>
      <c r="N817" s="74">
        <f t="shared" si="3"/>
        <v>140000</v>
      </c>
      <c r="O817" s="65" t="str">
        <f>VLOOKUP(E817,DATABASE!C:Q,8,false)</f>
        <v>IBU</v>
      </c>
      <c r="P817" s="65">
        <f>VLOOKUP(E817,DATABASE!C:Q,9,False)</f>
        <v>0</v>
      </c>
      <c r="Q817" s="93" t="str">
        <f>VLOOKUP(E817,DATABASE!C:Q,4,false)</f>
        <v>SPOORING</v>
      </c>
      <c r="R817" s="93" t="str">
        <f>VLOOKUP(E817,DATABASE!C:Q,11,false)</f>
        <v>SERVICE</v>
      </c>
    </row>
    <row r="818" ht="22.5" customHeight="1">
      <c r="A818" s="49"/>
      <c r="C818" s="384">
        <v>45705.0</v>
      </c>
      <c r="D818" s="65">
        <v>4373.0</v>
      </c>
      <c r="E818" s="445" t="s">
        <v>251</v>
      </c>
      <c r="F818" s="386">
        <v>1.0</v>
      </c>
      <c r="G818" s="74">
        <v>150000.0</v>
      </c>
      <c r="H818" s="74">
        <v>0.0</v>
      </c>
      <c r="I818" s="74">
        <f t="shared" si="1"/>
        <v>150000</v>
      </c>
      <c r="J818" s="74">
        <f>IF(E818="SERVICE",I818-(I818*50%),Vlookup(E818,DATABASE!C:Q,10,false)*F818)</f>
        <v>75000</v>
      </c>
      <c r="K818" s="74">
        <f>VLOOKUP(E818,DATABASE!C:Q,7,false)</f>
        <v>0</v>
      </c>
      <c r="L818" s="74">
        <v>0.0</v>
      </c>
      <c r="M818" s="74">
        <f t="shared" si="2"/>
        <v>0</v>
      </c>
      <c r="N818" s="74">
        <f t="shared" si="3"/>
        <v>75000</v>
      </c>
      <c r="O818" s="65" t="str">
        <f>VLOOKUP(E818,DATABASE!C:Q,8,false)</f>
        <v>IBU</v>
      </c>
      <c r="P818" s="65">
        <f>VLOOKUP(E818,DATABASE!C:Q,9,False)</f>
        <v>0</v>
      </c>
      <c r="Q818" s="93" t="str">
        <f>VLOOKUP(E818,DATABASE!C:Q,4,false)</f>
        <v>SERVICE</v>
      </c>
      <c r="R818" s="93" t="str">
        <f>VLOOKUP(E818,DATABASE!C:Q,11,false)</f>
        <v>SERVICE</v>
      </c>
    </row>
    <row r="819" ht="22.5" customHeight="1">
      <c r="A819" s="49"/>
      <c r="C819" s="384">
        <v>45705.0</v>
      </c>
      <c r="D819" s="65">
        <v>4373.0</v>
      </c>
      <c r="E819" s="385" t="s">
        <v>299</v>
      </c>
      <c r="F819" s="386">
        <v>2.0</v>
      </c>
      <c r="G819" s="74">
        <v>40000.0</v>
      </c>
      <c r="H819" s="74">
        <v>0.0</v>
      </c>
      <c r="I819" s="74">
        <f t="shared" si="1"/>
        <v>80000</v>
      </c>
      <c r="J819" s="74">
        <f>IF(E819="SERVICE",I819-(I819*50%),Vlookup(E819,DATABASE!C:Q,10,false)*F819)</f>
        <v>0</v>
      </c>
      <c r="K819" s="74">
        <v>0.0</v>
      </c>
      <c r="L819" s="74">
        <v>0.0</v>
      </c>
      <c r="M819" s="74">
        <f t="shared" si="2"/>
        <v>0</v>
      </c>
      <c r="N819" s="74">
        <f t="shared" si="3"/>
        <v>80000</v>
      </c>
      <c r="O819" s="65" t="str">
        <f>VLOOKUP(E819,DATABASE!C:Q,8,false)</f>
        <v>BIAN</v>
      </c>
      <c r="P819" s="65">
        <f>VLOOKUP(E819,DATABASE!C:Q,9,False)</f>
        <v>0</v>
      </c>
      <c r="Q819" s="93" t="str">
        <f>VLOOKUP(E819,DATABASE!C:Q,4,false)</f>
        <v>Balancing</v>
      </c>
      <c r="R819" s="93" t="str">
        <f>VLOOKUP(E819,DATABASE!C:Q,11,false)</f>
        <v>COMPLEMENTARY</v>
      </c>
    </row>
    <row r="820" ht="22.5" customHeight="1">
      <c r="A820" s="49"/>
      <c r="C820" s="384">
        <v>45705.0</v>
      </c>
      <c r="D820" s="65">
        <v>4374.0</v>
      </c>
      <c r="E820" s="445" t="s">
        <v>268</v>
      </c>
      <c r="F820" s="386">
        <v>2.0</v>
      </c>
      <c r="G820" s="74">
        <v>700000.0</v>
      </c>
      <c r="H820" s="74">
        <v>0.0</v>
      </c>
      <c r="I820" s="74">
        <f t="shared" si="1"/>
        <v>1400000</v>
      </c>
      <c r="J820" s="74">
        <f>IF(E820="SERVICE",I820-(I820*50%),Vlookup(E820,DATABASE!C:Q,10,false)*F820)</f>
        <v>0</v>
      </c>
      <c r="K820" s="74">
        <v>613000.0</v>
      </c>
      <c r="L820" s="74">
        <v>613000.0</v>
      </c>
      <c r="M820" s="74">
        <f t="shared" si="2"/>
        <v>615000</v>
      </c>
      <c r="N820" s="74">
        <f t="shared" si="3"/>
        <v>170000</v>
      </c>
      <c r="O820" s="65" t="str">
        <f>VLOOKUP(E820,DATABASE!C:Q,8,false)</f>
        <v>IBU</v>
      </c>
      <c r="P820" s="65">
        <f>VLOOKUP(E820,DATABASE!C:Q,9,False)</f>
        <v>1</v>
      </c>
      <c r="Q820" s="93" t="str">
        <f>VLOOKUP(E820,DATABASE!C:Q,4,false)</f>
        <v>Dunlop</v>
      </c>
      <c r="R820" s="93" t="str">
        <f>VLOOKUP(E820,DATABASE!C:Q,11,false)</f>
        <v>Tire</v>
      </c>
    </row>
    <row r="821" ht="22.5" customHeight="1">
      <c r="A821" s="49"/>
      <c r="C821" s="384">
        <v>45705.0</v>
      </c>
      <c r="D821" s="65">
        <v>4374.0</v>
      </c>
      <c r="E821" s="445" t="s">
        <v>256</v>
      </c>
      <c r="F821" s="386">
        <v>1.0</v>
      </c>
      <c r="G821" s="74">
        <v>130000.0</v>
      </c>
      <c r="H821" s="74">
        <v>0.0</v>
      </c>
      <c r="I821" s="74">
        <f t="shared" si="1"/>
        <v>130000</v>
      </c>
      <c r="J821" s="74">
        <f>IF(E821="SERVICE",I821-(I821*50%),Vlookup(E821,DATABASE!C:Q,10,false)*F821)</f>
        <v>10000</v>
      </c>
      <c r="K821" s="74">
        <f>VLOOKUP(E821,DATABASE!C:Q,7,false)</f>
        <v>0</v>
      </c>
      <c r="L821" s="74">
        <v>0.0</v>
      </c>
      <c r="M821" s="74">
        <f t="shared" si="2"/>
        <v>0</v>
      </c>
      <c r="N821" s="74">
        <f t="shared" si="3"/>
        <v>120000</v>
      </c>
      <c r="O821" s="65" t="str">
        <f>VLOOKUP(E821,DATABASE!C:Q,8,false)</f>
        <v>IBU</v>
      </c>
      <c r="P821" s="65">
        <f>VLOOKUP(E821,DATABASE!C:Q,9,False)</f>
        <v>0</v>
      </c>
      <c r="Q821" s="93" t="str">
        <f>VLOOKUP(E821,DATABASE!C:Q,4,false)</f>
        <v>SPOORING</v>
      </c>
      <c r="R821" s="93" t="str">
        <f>VLOOKUP(E821,DATABASE!C:Q,11,false)</f>
        <v>SERVICE</v>
      </c>
    </row>
    <row r="822" ht="22.5" customHeight="1">
      <c r="A822" s="49"/>
      <c r="C822" s="384">
        <v>45705.0</v>
      </c>
      <c r="D822" s="65">
        <v>4374.0</v>
      </c>
      <c r="E822" s="445" t="s">
        <v>301</v>
      </c>
      <c r="F822" s="386">
        <v>1.0</v>
      </c>
      <c r="G822" s="74">
        <v>250000.0</v>
      </c>
      <c r="H822" s="74">
        <v>0.0</v>
      </c>
      <c r="I822" s="74">
        <f t="shared" si="1"/>
        <v>250000</v>
      </c>
      <c r="J822" s="74">
        <f>IF(E822="SERVICE",I822-(I822*50%),Vlookup(E822,DATABASE!C:Q,10,false)*F822)</f>
        <v>75000</v>
      </c>
      <c r="K822" s="74">
        <f>VLOOKUP(E822,DATABASE!C:Q,7,false)</f>
        <v>75000</v>
      </c>
      <c r="L822" s="74">
        <v>75000.0</v>
      </c>
      <c r="M822" s="74">
        <f t="shared" si="2"/>
        <v>75000</v>
      </c>
      <c r="N822" s="74">
        <f t="shared" si="3"/>
        <v>100000</v>
      </c>
      <c r="O822" s="65" t="str">
        <f>VLOOKUP(E822,DATABASE!C:Q,8,false)</f>
        <v>BIAN</v>
      </c>
      <c r="P822" s="65">
        <f>VLOOKUP(E822,DATABASE!C:Q,9,False)</f>
        <v>0</v>
      </c>
      <c r="Q822" s="93" t="str">
        <f>VLOOKUP(E822,DATABASE!C:Q,4,false)</f>
        <v>Baut Camber</v>
      </c>
      <c r="R822" s="93" t="str">
        <f>VLOOKUP(E822,DATABASE!C:Q,11,false)</f>
        <v>COMPLEMENTARY</v>
      </c>
    </row>
    <row r="823" ht="22.5" customHeight="1">
      <c r="A823" s="49"/>
      <c r="C823" s="384">
        <v>45705.0</v>
      </c>
      <c r="D823" s="65">
        <v>4375.0</v>
      </c>
      <c r="E823" s="385" t="s">
        <v>299</v>
      </c>
      <c r="F823" s="386">
        <v>2.0</v>
      </c>
      <c r="G823" s="74">
        <v>30000.0</v>
      </c>
      <c r="H823" s="74">
        <v>0.0</v>
      </c>
      <c r="I823" s="74">
        <f t="shared" si="1"/>
        <v>60000</v>
      </c>
      <c r="J823" s="74">
        <f>IF(E823="SERVICE",I823-(I823*50%),Vlookup(E823,DATABASE!C:Q,10,false)*F823)</f>
        <v>0</v>
      </c>
      <c r="K823" s="74">
        <v>0.0</v>
      </c>
      <c r="L823" s="74">
        <v>0.0</v>
      </c>
      <c r="M823" s="74">
        <f t="shared" si="2"/>
        <v>0</v>
      </c>
      <c r="N823" s="74">
        <f t="shared" si="3"/>
        <v>60000</v>
      </c>
      <c r="O823" s="65" t="str">
        <f>VLOOKUP(E823,DATABASE!C:Q,8,false)</f>
        <v>BIAN</v>
      </c>
      <c r="P823" s="65">
        <f>VLOOKUP(E823,DATABASE!C:Q,9,False)</f>
        <v>0</v>
      </c>
      <c r="Q823" s="93" t="str">
        <f>VLOOKUP(E823,DATABASE!C:Q,4,false)</f>
        <v>Balancing</v>
      </c>
      <c r="R823" s="93" t="str">
        <f>VLOOKUP(E823,DATABASE!C:Q,11,false)</f>
        <v>COMPLEMENTARY</v>
      </c>
    </row>
    <row r="824" ht="22.5" customHeight="1">
      <c r="A824" s="49"/>
      <c r="C824" s="384">
        <v>45705.0</v>
      </c>
      <c r="D824" s="65">
        <v>4376.0</v>
      </c>
      <c r="E824" s="445" t="s">
        <v>262</v>
      </c>
      <c r="F824" s="386">
        <v>1.0</v>
      </c>
      <c r="G824" s="74">
        <v>110000.0</v>
      </c>
      <c r="H824" s="74">
        <v>0.0</v>
      </c>
      <c r="I824" s="74">
        <f t="shared" si="1"/>
        <v>110000</v>
      </c>
      <c r="J824" s="74">
        <f>IF(E824="SERVICE",I824-(I824*50%),Vlookup(E824,DATABASE!C:Q,10,false)*F824)</f>
        <v>5000</v>
      </c>
      <c r="K824" s="74">
        <f>VLOOKUP(E824,DATABASE!C:Q,7,false)</f>
        <v>0</v>
      </c>
      <c r="L824" s="74">
        <v>0.0</v>
      </c>
      <c r="M824" s="74">
        <f t="shared" si="2"/>
        <v>0</v>
      </c>
      <c r="N824" s="74">
        <f t="shared" si="3"/>
        <v>105000</v>
      </c>
      <c r="O824" s="65" t="str">
        <f>VLOOKUP(E824,DATABASE!C:Q,8,false)</f>
        <v>IBU</v>
      </c>
      <c r="P824" s="65">
        <f>VLOOKUP(E824,DATABASE!C:Q,9,False)</f>
        <v>0</v>
      </c>
      <c r="Q824" s="93" t="str">
        <f>VLOOKUP(E824,DATABASE!C:Q,4,false)</f>
        <v>SPOORING SS/CARRY LOS BAK</v>
      </c>
      <c r="R824" s="93" t="str">
        <f>VLOOKUP(E824,DATABASE!C:Q,11,false)</f>
        <v>SERVICE</v>
      </c>
    </row>
    <row r="825" ht="22.5" customHeight="1">
      <c r="A825" s="49"/>
      <c r="C825" s="384">
        <v>45705.0</v>
      </c>
      <c r="D825" s="65">
        <v>4377.0</v>
      </c>
      <c r="E825" s="445" t="s">
        <v>262</v>
      </c>
      <c r="F825" s="386">
        <v>1.0</v>
      </c>
      <c r="G825" s="74">
        <v>110000.0</v>
      </c>
      <c r="H825" s="74">
        <v>0.0</v>
      </c>
      <c r="I825" s="74">
        <f t="shared" si="1"/>
        <v>110000</v>
      </c>
      <c r="J825" s="74">
        <f>IF(E825="SERVICE",I825-(I825*50%),Vlookup(E825,DATABASE!C:Q,10,false)*F825)</f>
        <v>5000</v>
      </c>
      <c r="K825" s="74">
        <f>VLOOKUP(E825,DATABASE!C:Q,7,false)</f>
        <v>0</v>
      </c>
      <c r="L825" s="74">
        <v>0.0</v>
      </c>
      <c r="M825" s="74">
        <f t="shared" si="2"/>
        <v>0</v>
      </c>
      <c r="N825" s="74">
        <f t="shared" si="3"/>
        <v>105000</v>
      </c>
      <c r="O825" s="65" t="str">
        <f>VLOOKUP(E825,DATABASE!C:Q,8,false)</f>
        <v>IBU</v>
      </c>
      <c r="P825" s="65">
        <f>VLOOKUP(E825,DATABASE!C:Q,9,False)</f>
        <v>0</v>
      </c>
      <c r="Q825" s="93" t="str">
        <f>VLOOKUP(E825,DATABASE!C:Q,4,false)</f>
        <v>SPOORING SS/CARRY LOS BAK</v>
      </c>
      <c r="R825" s="93" t="str">
        <f>VLOOKUP(E825,DATABASE!C:Q,11,false)</f>
        <v>SERVICE</v>
      </c>
    </row>
    <row r="826" ht="22.5" customHeight="1">
      <c r="A826" s="49"/>
      <c r="C826" s="384">
        <v>45705.0</v>
      </c>
      <c r="D826" s="65">
        <v>4378.0</v>
      </c>
      <c r="E826" s="445" t="s">
        <v>268</v>
      </c>
      <c r="F826" s="386">
        <v>2.0</v>
      </c>
      <c r="G826" s="74">
        <v>700000.0</v>
      </c>
      <c r="H826" s="74">
        <v>0.0</v>
      </c>
      <c r="I826" s="74">
        <f t="shared" si="1"/>
        <v>1400000</v>
      </c>
      <c r="J826" s="74">
        <f>IF(E826="SERVICE",I826-(I826*50%),Vlookup(E826,DATABASE!C:Q,10,false)*F826)</f>
        <v>0</v>
      </c>
      <c r="K826" s="74">
        <v>613000.0</v>
      </c>
      <c r="L826" s="74">
        <v>613000.0</v>
      </c>
      <c r="M826" s="74">
        <f t="shared" si="2"/>
        <v>615000</v>
      </c>
      <c r="N826" s="74">
        <f t="shared" si="3"/>
        <v>170000</v>
      </c>
      <c r="O826" s="65" t="str">
        <f>VLOOKUP(E826,DATABASE!C:Q,8,false)</f>
        <v>IBU</v>
      </c>
      <c r="P826" s="65">
        <f>VLOOKUP(E826,DATABASE!C:Q,9,False)</f>
        <v>1</v>
      </c>
      <c r="Q826" s="93" t="str">
        <f>VLOOKUP(E826,DATABASE!C:Q,4,false)</f>
        <v>Dunlop</v>
      </c>
      <c r="R826" s="93" t="str">
        <f>VLOOKUP(E826,DATABASE!C:Q,11,false)</f>
        <v>Tire</v>
      </c>
    </row>
    <row r="827" ht="22.5" customHeight="1">
      <c r="A827" s="49"/>
      <c r="C827" s="384">
        <v>45705.0</v>
      </c>
      <c r="D827" s="65">
        <v>4378.0</v>
      </c>
      <c r="E827" s="445" t="s">
        <v>256</v>
      </c>
      <c r="F827" s="386">
        <v>1.0</v>
      </c>
      <c r="G827" s="74">
        <v>130000.0</v>
      </c>
      <c r="H827" s="74">
        <v>0.0</v>
      </c>
      <c r="I827" s="74">
        <f t="shared" si="1"/>
        <v>130000</v>
      </c>
      <c r="J827" s="74">
        <f>IF(E827="SERVICE",I827-(I827*50%),Vlookup(E827,DATABASE!C:Q,10,false)*F827)</f>
        <v>10000</v>
      </c>
      <c r="K827" s="74">
        <f>VLOOKUP(E827,DATABASE!C:Q,7,false)</f>
        <v>0</v>
      </c>
      <c r="L827" s="74">
        <v>0.0</v>
      </c>
      <c r="M827" s="74">
        <f t="shared" si="2"/>
        <v>0</v>
      </c>
      <c r="N827" s="74">
        <f t="shared" si="3"/>
        <v>120000</v>
      </c>
      <c r="O827" s="65" t="str">
        <f>VLOOKUP(E827,DATABASE!C:Q,8,false)</f>
        <v>IBU</v>
      </c>
      <c r="P827" s="65">
        <f>VLOOKUP(E827,DATABASE!C:Q,9,False)</f>
        <v>0</v>
      </c>
      <c r="Q827" s="93" t="str">
        <f>VLOOKUP(E827,DATABASE!C:Q,4,false)</f>
        <v>SPOORING</v>
      </c>
      <c r="R827" s="93" t="str">
        <f>VLOOKUP(E827,DATABASE!C:Q,11,false)</f>
        <v>SERVICE</v>
      </c>
    </row>
    <row r="828" ht="22.5" customHeight="1">
      <c r="A828" s="49"/>
      <c r="C828" s="384">
        <v>45705.0</v>
      </c>
      <c r="D828" s="65">
        <v>4379.0</v>
      </c>
      <c r="E828" s="445" t="s">
        <v>262</v>
      </c>
      <c r="F828" s="386">
        <v>1.0</v>
      </c>
      <c r="G828" s="74">
        <v>110000.0</v>
      </c>
      <c r="H828" s="74">
        <v>0.0</v>
      </c>
      <c r="I828" s="74">
        <f t="shared" si="1"/>
        <v>110000</v>
      </c>
      <c r="J828" s="74">
        <f>IF(E828="SERVICE",I828-(I828*50%),Vlookup(E828,DATABASE!C:Q,10,false)*F828)</f>
        <v>5000</v>
      </c>
      <c r="K828" s="74">
        <f>VLOOKUP(E828,DATABASE!C:Q,7,false)</f>
        <v>0</v>
      </c>
      <c r="L828" s="74">
        <v>0.0</v>
      </c>
      <c r="M828" s="74">
        <f t="shared" si="2"/>
        <v>0</v>
      </c>
      <c r="N828" s="74">
        <f t="shared" si="3"/>
        <v>105000</v>
      </c>
      <c r="O828" s="65" t="str">
        <f>VLOOKUP(E828,DATABASE!C:Q,8,false)</f>
        <v>IBU</v>
      </c>
      <c r="P828" s="65">
        <f>VLOOKUP(E828,DATABASE!C:Q,9,False)</f>
        <v>0</v>
      </c>
      <c r="Q828" s="93" t="str">
        <f>VLOOKUP(E828,DATABASE!C:Q,4,false)</f>
        <v>SPOORING SS/CARRY LOS BAK</v>
      </c>
      <c r="R828" s="93" t="str">
        <f>VLOOKUP(E828,DATABASE!C:Q,11,false)</f>
        <v>SERVICE</v>
      </c>
    </row>
    <row r="829" ht="22.5" customHeight="1">
      <c r="A829" s="49"/>
      <c r="C829" s="384">
        <v>45706.0</v>
      </c>
      <c r="D829" s="65">
        <v>4381.0</v>
      </c>
      <c r="E829" s="445" t="s">
        <v>268</v>
      </c>
      <c r="F829" s="386">
        <v>2.0</v>
      </c>
      <c r="G829" s="74">
        <v>700000.0</v>
      </c>
      <c r="H829" s="74">
        <v>0.0</v>
      </c>
      <c r="I829" s="74">
        <f t="shared" si="1"/>
        <v>1400000</v>
      </c>
      <c r="J829" s="74">
        <f>IF(E829="SERVICE",I829-(I829*50%),Vlookup(E829,DATABASE!C:Q,10,false)*F829)</f>
        <v>0</v>
      </c>
      <c r="K829" s="74">
        <v>613000.0</v>
      </c>
      <c r="L829" s="74">
        <v>613000.0</v>
      </c>
      <c r="M829" s="74">
        <f t="shared" si="2"/>
        <v>615000</v>
      </c>
      <c r="N829" s="74">
        <f t="shared" si="3"/>
        <v>170000</v>
      </c>
      <c r="O829" s="65" t="str">
        <f>VLOOKUP(E829,DATABASE!C:Q,8,false)</f>
        <v>IBU</v>
      </c>
      <c r="P829" s="65">
        <f>VLOOKUP(E829,DATABASE!C:Q,9,False)</f>
        <v>1</v>
      </c>
      <c r="Q829" s="93" t="str">
        <f>VLOOKUP(E829,DATABASE!C:Q,4,false)</f>
        <v>Dunlop</v>
      </c>
      <c r="R829" s="93" t="str">
        <f>VLOOKUP(E829,DATABASE!C:Q,11,false)</f>
        <v>Tire</v>
      </c>
    </row>
    <row r="830" ht="22.5" customHeight="1">
      <c r="A830" s="49"/>
      <c r="C830" s="384">
        <v>45706.0</v>
      </c>
      <c r="D830" s="65">
        <v>4382.0</v>
      </c>
      <c r="E830" s="445" t="s">
        <v>275</v>
      </c>
      <c r="F830" s="386">
        <v>1.0</v>
      </c>
      <c r="G830" s="74">
        <v>830000.0</v>
      </c>
      <c r="H830" s="74">
        <v>0.0</v>
      </c>
      <c r="I830" s="74">
        <f t="shared" si="1"/>
        <v>830000</v>
      </c>
      <c r="J830" s="74">
        <f>IF(E830="SERVICE",I830-(I830*50%),Vlookup(E830,DATABASE!C:Q,10,false)*F830)</f>
        <v>0</v>
      </c>
      <c r="K830" s="74">
        <v>735000.0</v>
      </c>
      <c r="L830" s="74">
        <v>735000.0</v>
      </c>
      <c r="M830" s="74">
        <f t="shared" si="2"/>
        <v>735000</v>
      </c>
      <c r="N830" s="74">
        <f t="shared" si="3"/>
        <v>95000</v>
      </c>
      <c r="O830" s="65" t="str">
        <f>VLOOKUP(E830,DATABASE!C:Q,8,false)</f>
        <v>IBU</v>
      </c>
      <c r="P830" s="65">
        <f>VLOOKUP(E830,DATABASE!C:Q,9,False)</f>
        <v>1</v>
      </c>
      <c r="Q830" s="93" t="str">
        <f>VLOOKUP(E830,DATABASE!C:Q,4,false)</f>
        <v>Dunlop</v>
      </c>
      <c r="R830" s="93" t="str">
        <f>VLOOKUP(E830,DATABASE!C:Q,11,false)</f>
        <v>Tire</v>
      </c>
    </row>
    <row r="831" ht="22.5" customHeight="1">
      <c r="A831" s="49"/>
      <c r="C831" s="384">
        <v>45706.0</v>
      </c>
      <c r="D831" s="65">
        <v>4383.0</v>
      </c>
      <c r="E831" s="445" t="s">
        <v>282</v>
      </c>
      <c r="F831" s="386">
        <v>2.0</v>
      </c>
      <c r="G831" s="74">
        <v>870000.0</v>
      </c>
      <c r="H831" s="74">
        <v>0.0</v>
      </c>
      <c r="I831" s="74">
        <f t="shared" si="1"/>
        <v>1740000</v>
      </c>
      <c r="J831" s="74">
        <f>IF(E831="SERVICE",I831-(I831*50%),Vlookup(E831,DATABASE!C:Q,10,false)*F831)</f>
        <v>0</v>
      </c>
      <c r="K831" s="74">
        <f>VLOOKUP(E831,DATABASE!C:Q,7,false)</f>
        <v>779500</v>
      </c>
      <c r="L831" s="74">
        <v>771000.0</v>
      </c>
      <c r="M831" s="74">
        <f t="shared" si="2"/>
        <v>775000</v>
      </c>
      <c r="N831" s="74">
        <f t="shared" si="3"/>
        <v>190000</v>
      </c>
      <c r="O831" s="65" t="str">
        <f>VLOOKUP(E831,DATABASE!C:Q,8,false)</f>
        <v>IBU</v>
      </c>
      <c r="P831" s="65">
        <f>VLOOKUP(E831,DATABASE!C:Q,9,False)</f>
        <v>1</v>
      </c>
      <c r="Q831" s="93" t="str">
        <f>VLOOKUP(E831,DATABASE!C:Q,4,false)</f>
        <v>Dunlop</v>
      </c>
      <c r="R831" s="93" t="str">
        <f>VLOOKUP(E831,DATABASE!C:Q,11,false)</f>
        <v>Tire</v>
      </c>
    </row>
    <row r="832" ht="22.5" customHeight="1">
      <c r="A832" s="49"/>
      <c r="C832" s="384">
        <v>45706.0</v>
      </c>
      <c r="D832" s="65">
        <v>4384.0</v>
      </c>
      <c r="E832" s="445" t="s">
        <v>1541</v>
      </c>
      <c r="F832" s="386">
        <v>2.0</v>
      </c>
      <c r="G832" s="74">
        <v>890000.0</v>
      </c>
      <c r="H832" s="74">
        <v>0.0</v>
      </c>
      <c r="I832" s="74">
        <f t="shared" si="1"/>
        <v>1780000</v>
      </c>
      <c r="J832" s="74">
        <f>IF(E832="SERVICE",I832-(I832*50%),Vlookup(E832,DATABASE!C:Q,10,false)*F832)</f>
        <v>0</v>
      </c>
      <c r="K832" s="74">
        <f>VLOOKUP(E832,DATABASE!C:Q,7,false)</f>
        <v>818000</v>
      </c>
      <c r="L832" s="74">
        <v>818000.0</v>
      </c>
      <c r="M832" s="74">
        <f t="shared" si="2"/>
        <v>820000</v>
      </c>
      <c r="N832" s="74">
        <f t="shared" si="3"/>
        <v>140000</v>
      </c>
      <c r="O832" s="65" t="str">
        <f>VLOOKUP(E832,DATABASE!C:Q,8,false)</f>
        <v>IBU</v>
      </c>
      <c r="P832" s="65">
        <f>VLOOKUP(E832,DATABASE!C:Q,9,False)</f>
        <v>1</v>
      </c>
      <c r="Q832" s="93" t="str">
        <f>VLOOKUP(E832,DATABASE!C:Q,4,false)</f>
        <v>Dunlop</v>
      </c>
      <c r="R832" s="93" t="str">
        <f>VLOOKUP(E832,DATABASE!C:Q,11,false)</f>
        <v>Tire</v>
      </c>
    </row>
    <row r="833" ht="22.5" customHeight="1">
      <c r="A833" s="49"/>
      <c r="C833" s="384">
        <v>45706.0</v>
      </c>
      <c r="D833" s="65">
        <v>4385.0</v>
      </c>
      <c r="E833" s="445" t="s">
        <v>1565</v>
      </c>
      <c r="F833" s="386">
        <v>1.0</v>
      </c>
      <c r="G833" s="74">
        <v>1425000.0</v>
      </c>
      <c r="H833" s="74">
        <v>0.0</v>
      </c>
      <c r="I833" s="74">
        <f t="shared" si="1"/>
        <v>1425000</v>
      </c>
      <c r="J833" s="74">
        <f>IF(E833="SERVICE",I833-(I833*50%),Vlookup(E833,DATABASE!C:Q,10,false)*F833)</f>
        <v>0</v>
      </c>
      <c r="K833" s="74">
        <f>VLOOKUP(E833,DATABASE!C:Q,7,false)</f>
        <v>1292000</v>
      </c>
      <c r="L833" s="74">
        <v>1320000.0</v>
      </c>
      <c r="M833" s="74">
        <f t="shared" si="2"/>
        <v>1320000</v>
      </c>
      <c r="N833" s="74">
        <f t="shared" si="3"/>
        <v>105000</v>
      </c>
      <c r="O833" s="65" t="str">
        <f>VLOOKUP(E833,DATABASE!C:Q,8,false)</f>
        <v>IBU</v>
      </c>
      <c r="P833" s="65">
        <f>VLOOKUP(E833,DATABASE!C:Q,9,False)</f>
        <v>1</v>
      </c>
      <c r="Q833" s="93" t="str">
        <f>VLOOKUP(E833,DATABASE!C:Q,4,false)</f>
        <v>Dunlop</v>
      </c>
      <c r="R833" s="93" t="str">
        <f>VLOOKUP(E833,DATABASE!C:Q,11,false)</f>
        <v>Tire</v>
      </c>
    </row>
    <row r="834" ht="22.5" customHeight="1">
      <c r="A834" s="49"/>
      <c r="C834" s="384">
        <v>45706.0</v>
      </c>
      <c r="D834" s="65">
        <v>4386.0</v>
      </c>
      <c r="E834" s="445" t="s">
        <v>569</v>
      </c>
      <c r="F834" s="386">
        <v>2.0</v>
      </c>
      <c r="G834" s="74">
        <v>80000.0</v>
      </c>
      <c r="H834" s="74">
        <v>0.0</v>
      </c>
      <c r="I834" s="74">
        <f t="shared" si="1"/>
        <v>160000</v>
      </c>
      <c r="J834" s="74">
        <f>IF(E834="SERVICE",I834-(I834*50%),Vlookup(E834,DATABASE!C:Q,10,false)*F834)</f>
        <v>0</v>
      </c>
      <c r="K834" s="74">
        <f>VLOOKUP(E834,DATABASE!C:Q,7,false)</f>
        <v>45439.582</v>
      </c>
      <c r="L834" s="74">
        <v>45309.6</v>
      </c>
      <c r="M834" s="74">
        <f t="shared" si="2"/>
        <v>50000</v>
      </c>
      <c r="N834" s="74">
        <f t="shared" si="3"/>
        <v>60000</v>
      </c>
      <c r="O834" s="65" t="str">
        <f>VLOOKUP(E834,DATABASE!C:Q,8,false)</f>
        <v>BIAN</v>
      </c>
      <c r="P834" s="65">
        <f>VLOOKUP(E834,DATABASE!C:Q,9,False)</f>
        <v>1</v>
      </c>
      <c r="Q834" s="93" t="str">
        <f>VLOOKUP(E834,DATABASE!C:Q,4,false)</f>
        <v>BD</v>
      </c>
      <c r="R834" s="93" t="str">
        <f>VLOOKUP(E834,DATABASE!C:Q,11,false)</f>
        <v>Tire</v>
      </c>
    </row>
    <row r="835" ht="22.5" customHeight="1">
      <c r="A835" s="49"/>
      <c r="C835" s="384">
        <v>45706.0</v>
      </c>
      <c r="D835" s="65">
        <v>4387.0</v>
      </c>
      <c r="E835" s="445" t="s">
        <v>946</v>
      </c>
      <c r="F835" s="386">
        <v>4.0</v>
      </c>
      <c r="G835" s="74">
        <v>900000.0</v>
      </c>
      <c r="H835" s="74">
        <v>0.0</v>
      </c>
      <c r="I835" s="74">
        <f t="shared" si="1"/>
        <v>3600000</v>
      </c>
      <c r="J835" s="74">
        <f>IF(E835="SERVICE",I835-(I835*50%),Vlookup(E835,DATABASE!C:Q,10,false)*F835)</f>
        <v>0</v>
      </c>
      <c r="K835" s="74">
        <f>VLOOKUP(E835,DATABASE!C:Q,7,false)</f>
        <v>809000</v>
      </c>
      <c r="L835" s="74">
        <v>809000.0</v>
      </c>
      <c r="M835" s="74">
        <f t="shared" si="2"/>
        <v>810000</v>
      </c>
      <c r="N835" s="74">
        <f t="shared" si="3"/>
        <v>360000</v>
      </c>
      <c r="O835" s="65" t="str">
        <f>VLOOKUP(E835,DATABASE!C:Q,8,false)</f>
        <v>IBU</v>
      </c>
      <c r="P835" s="65">
        <f>VLOOKUP(E835,DATABASE!C:Q,9,False)</f>
        <v>1</v>
      </c>
      <c r="Q835" s="93" t="str">
        <f>VLOOKUP(E835,DATABASE!C:Q,4,false)</f>
        <v>Dunlop</v>
      </c>
      <c r="R835" s="93" t="str">
        <f>VLOOKUP(E835,DATABASE!C:Q,11,false)</f>
        <v>Tire</v>
      </c>
    </row>
    <row r="836" ht="22.5" customHeight="1">
      <c r="A836" s="49"/>
      <c r="C836" s="384">
        <v>45706.0</v>
      </c>
      <c r="D836" s="65">
        <v>4387.0</v>
      </c>
      <c r="E836" s="385" t="s">
        <v>299</v>
      </c>
      <c r="F836" s="386">
        <v>2.0</v>
      </c>
      <c r="G836" s="74">
        <v>30000.0</v>
      </c>
      <c r="H836" s="74">
        <v>0.0</v>
      </c>
      <c r="I836" s="74">
        <f t="shared" si="1"/>
        <v>60000</v>
      </c>
      <c r="J836" s="74">
        <f>IF(E836="SERVICE",I836-(I836*50%),Vlookup(E836,DATABASE!C:Q,10,false)*F836)</f>
        <v>0</v>
      </c>
      <c r="K836" s="74">
        <v>0.0</v>
      </c>
      <c r="L836" s="74">
        <v>0.0</v>
      </c>
      <c r="M836" s="74">
        <f t="shared" si="2"/>
        <v>0</v>
      </c>
      <c r="N836" s="74">
        <f t="shared" si="3"/>
        <v>60000</v>
      </c>
      <c r="O836" s="65" t="str">
        <f>VLOOKUP(E836,DATABASE!C:Q,8,false)</f>
        <v>BIAN</v>
      </c>
      <c r="P836" s="65">
        <f>VLOOKUP(E836,DATABASE!C:Q,9,False)</f>
        <v>0</v>
      </c>
      <c r="Q836" s="93" t="str">
        <f>VLOOKUP(E836,DATABASE!C:Q,4,false)</f>
        <v>Balancing</v>
      </c>
      <c r="R836" s="93" t="str">
        <f>VLOOKUP(E836,DATABASE!C:Q,11,false)</f>
        <v>COMPLEMENTARY</v>
      </c>
    </row>
    <row r="837" ht="22.5" customHeight="1">
      <c r="A837" s="49"/>
      <c r="C837" s="384">
        <v>45706.0</v>
      </c>
      <c r="D837" s="65">
        <v>4387.0</v>
      </c>
      <c r="E837" s="445" t="s">
        <v>256</v>
      </c>
      <c r="F837" s="386">
        <v>1.0</v>
      </c>
      <c r="G837" s="74">
        <v>130000.0</v>
      </c>
      <c r="H837" s="74">
        <v>0.0</v>
      </c>
      <c r="I837" s="74">
        <f t="shared" si="1"/>
        <v>130000</v>
      </c>
      <c r="J837" s="74">
        <f>IF(E837="SERVICE",I837-(I837*50%),Vlookup(E837,DATABASE!C:Q,10,false)*F837)</f>
        <v>10000</v>
      </c>
      <c r="K837" s="74">
        <f>VLOOKUP(E837,DATABASE!C:Q,7,false)</f>
        <v>0</v>
      </c>
      <c r="L837" s="74">
        <v>0.0</v>
      </c>
      <c r="M837" s="74">
        <f t="shared" si="2"/>
        <v>0</v>
      </c>
      <c r="N837" s="74">
        <f t="shared" si="3"/>
        <v>120000</v>
      </c>
      <c r="O837" s="65" t="str">
        <f>VLOOKUP(E837,DATABASE!C:Q,8,false)</f>
        <v>IBU</v>
      </c>
      <c r="P837" s="65">
        <f>VLOOKUP(E837,DATABASE!C:Q,9,False)</f>
        <v>0</v>
      </c>
      <c r="Q837" s="93" t="str">
        <f>VLOOKUP(E837,DATABASE!C:Q,4,false)</f>
        <v>SPOORING</v>
      </c>
      <c r="R837" s="93" t="str">
        <f>VLOOKUP(E837,DATABASE!C:Q,11,false)</f>
        <v>SERVICE</v>
      </c>
    </row>
    <row r="838" ht="22.5" customHeight="1">
      <c r="A838" s="49"/>
      <c r="C838" s="384">
        <v>45706.0</v>
      </c>
      <c r="D838" s="65">
        <v>4387.0</v>
      </c>
      <c r="E838" s="445" t="s">
        <v>251</v>
      </c>
      <c r="F838" s="386">
        <v>1.0</v>
      </c>
      <c r="G838" s="74">
        <v>150000.0</v>
      </c>
      <c r="H838" s="74">
        <v>0.0</v>
      </c>
      <c r="I838" s="74">
        <f t="shared" si="1"/>
        <v>150000</v>
      </c>
      <c r="J838" s="74">
        <f>IF(E838="SERVICE",I838-(I838*50%),Vlookup(E838,DATABASE!C:Q,10,false)*F838)</f>
        <v>75000</v>
      </c>
      <c r="K838" s="74">
        <f>VLOOKUP(E838,DATABASE!C:Q,7,false)</f>
        <v>0</v>
      </c>
      <c r="L838" s="74">
        <v>0.0</v>
      </c>
      <c r="M838" s="74">
        <f t="shared" si="2"/>
        <v>0</v>
      </c>
      <c r="N838" s="74">
        <f t="shared" si="3"/>
        <v>75000</v>
      </c>
      <c r="O838" s="65" t="str">
        <f>VLOOKUP(E838,DATABASE!C:Q,8,false)</f>
        <v>IBU</v>
      </c>
      <c r="P838" s="65">
        <f>VLOOKUP(E838,DATABASE!C:Q,9,False)</f>
        <v>0</v>
      </c>
      <c r="Q838" s="93" t="str">
        <f>VLOOKUP(E838,DATABASE!C:Q,4,false)</f>
        <v>SERVICE</v>
      </c>
      <c r="R838" s="93" t="str">
        <f>VLOOKUP(E838,DATABASE!C:Q,11,false)</f>
        <v>SERVICE</v>
      </c>
    </row>
    <row r="839" ht="22.5" customHeight="1">
      <c r="A839" s="49"/>
      <c r="C839" s="384">
        <v>45707.0</v>
      </c>
      <c r="D839" s="65">
        <v>4389.0</v>
      </c>
      <c r="E839" s="445" t="s">
        <v>268</v>
      </c>
      <c r="F839" s="386">
        <v>2.0</v>
      </c>
      <c r="G839" s="74">
        <v>700000.0</v>
      </c>
      <c r="H839" s="74">
        <v>0.0</v>
      </c>
      <c r="I839" s="74">
        <f t="shared" si="1"/>
        <v>1400000</v>
      </c>
      <c r="J839" s="74">
        <f>IF(E839="SERVICE",I839-(I839*50%),Vlookup(E839,DATABASE!C:Q,10,false)*F839)</f>
        <v>0</v>
      </c>
      <c r="K839" s="74">
        <v>613000.0</v>
      </c>
      <c r="L839" s="74">
        <v>613000.0</v>
      </c>
      <c r="M839" s="74">
        <f t="shared" si="2"/>
        <v>615000</v>
      </c>
      <c r="N839" s="74">
        <f t="shared" si="3"/>
        <v>170000</v>
      </c>
      <c r="O839" s="65" t="str">
        <f>VLOOKUP(E839,DATABASE!C:Q,8,false)</f>
        <v>IBU</v>
      </c>
      <c r="P839" s="65">
        <f>VLOOKUP(E839,DATABASE!C:Q,9,False)</f>
        <v>1</v>
      </c>
      <c r="Q839" s="93" t="str">
        <f>VLOOKUP(E839,DATABASE!C:Q,4,false)</f>
        <v>Dunlop</v>
      </c>
      <c r="R839" s="93" t="str">
        <f>VLOOKUP(E839,DATABASE!C:Q,11,false)</f>
        <v>Tire</v>
      </c>
    </row>
    <row r="840" ht="22.5" customHeight="1">
      <c r="A840" s="49"/>
      <c r="C840" s="384">
        <v>45707.0</v>
      </c>
      <c r="D840" s="65">
        <v>4391.0</v>
      </c>
      <c r="E840" s="445" t="s">
        <v>286</v>
      </c>
      <c r="F840" s="386">
        <v>1.0</v>
      </c>
      <c r="G840" s="74">
        <v>550000.0</v>
      </c>
      <c r="H840" s="74">
        <v>0.0</v>
      </c>
      <c r="I840" s="74">
        <f t="shared" si="1"/>
        <v>550000</v>
      </c>
      <c r="J840" s="74">
        <f>IF(E840="SERVICE",I840-(I840*50%),Vlookup(E840,DATABASE!C:Q,10,false)*F840)</f>
        <v>0</v>
      </c>
      <c r="K840" s="74">
        <f>VLOOKUP(E840,DATABASE!C:Q,7,false)</f>
        <v>488320</v>
      </c>
      <c r="L840" s="74">
        <v>452970.0</v>
      </c>
      <c r="M840" s="74">
        <f t="shared" si="2"/>
        <v>455000</v>
      </c>
      <c r="N840" s="74">
        <f t="shared" si="3"/>
        <v>95000</v>
      </c>
      <c r="O840" s="65" t="str">
        <f>VLOOKUP(E840,DATABASE!C:Q,8,false)</f>
        <v>BIAN</v>
      </c>
      <c r="P840" s="65">
        <f>VLOOKUP(E840,DATABASE!C:Q,9,False)</f>
        <v>1</v>
      </c>
      <c r="Q840" s="93" t="str">
        <f>VLOOKUP(E840,DATABASE!C:Q,4,false)</f>
        <v>GT</v>
      </c>
      <c r="R840" s="93" t="str">
        <f>VLOOKUP(E840,DATABASE!C:Q,11,false)</f>
        <v>Tire</v>
      </c>
    </row>
    <row r="841" ht="22.5" customHeight="1">
      <c r="A841" s="49"/>
      <c r="C841" s="384">
        <v>45707.0</v>
      </c>
      <c r="D841" s="65">
        <v>4392.0</v>
      </c>
      <c r="E841" s="445" t="s">
        <v>940</v>
      </c>
      <c r="F841" s="386">
        <v>1.0</v>
      </c>
      <c r="G841" s="74">
        <v>800000.0</v>
      </c>
      <c r="H841" s="74">
        <v>0.0</v>
      </c>
      <c r="I841" s="74">
        <f t="shared" si="1"/>
        <v>800000</v>
      </c>
      <c r="J841" s="74">
        <f>IF(E841="SERVICE",I841-(I841*50%),Vlookup(E841,DATABASE!C:Q,10,false)*F841)</f>
        <v>0</v>
      </c>
      <c r="K841" s="74">
        <f>VLOOKUP(E841,DATABASE!C:Q,7,false)</f>
        <v>716500</v>
      </c>
      <c r="L841" s="74">
        <v>709000.0</v>
      </c>
      <c r="M841" s="74">
        <f t="shared" si="2"/>
        <v>710000</v>
      </c>
      <c r="N841" s="74">
        <f t="shared" si="3"/>
        <v>90000</v>
      </c>
      <c r="O841" s="65" t="str">
        <f>VLOOKUP(E841,DATABASE!C:Q,8,false)</f>
        <v>IBU</v>
      </c>
      <c r="P841" s="65">
        <f>VLOOKUP(E841,DATABASE!C:Q,9,False)</f>
        <v>1</v>
      </c>
      <c r="Q841" s="93" t="str">
        <f>VLOOKUP(E841,DATABASE!C:Q,4,false)</f>
        <v>Dunlop</v>
      </c>
      <c r="R841" s="93" t="str">
        <f>VLOOKUP(E841,DATABASE!C:Q,11,false)</f>
        <v>Tire</v>
      </c>
    </row>
    <row r="842" ht="22.5" customHeight="1">
      <c r="A842" s="49"/>
      <c r="C842" s="384">
        <v>45707.0</v>
      </c>
      <c r="D842" s="65">
        <v>4393.0</v>
      </c>
      <c r="E842" s="445" t="s">
        <v>265</v>
      </c>
      <c r="F842" s="386">
        <v>2.0</v>
      </c>
      <c r="G842" s="74">
        <v>670000.0</v>
      </c>
      <c r="H842" s="74">
        <v>0.0</v>
      </c>
      <c r="I842" s="74">
        <f t="shared" si="1"/>
        <v>1340000</v>
      </c>
      <c r="J842" s="74">
        <f>IF(E842="SERVICE",I842-(I842*50%),Vlookup(E842,DATABASE!C:Q,10,false)*F842)</f>
        <v>0</v>
      </c>
      <c r="K842" s="74">
        <v>590000.0</v>
      </c>
      <c r="L842" s="74">
        <v>590000.0</v>
      </c>
      <c r="M842" s="74">
        <f t="shared" si="2"/>
        <v>590000</v>
      </c>
      <c r="N842" s="74">
        <f t="shared" si="3"/>
        <v>160000</v>
      </c>
      <c r="O842" s="65" t="str">
        <f>VLOOKUP(E842,DATABASE!C:Q,8,false)</f>
        <v>IBU</v>
      </c>
      <c r="P842" s="65">
        <f>VLOOKUP(E842,DATABASE!C:Q,9,False)</f>
        <v>1</v>
      </c>
      <c r="Q842" s="93" t="str">
        <f>VLOOKUP(E842,DATABASE!C:Q,4,false)</f>
        <v>Dunlop</v>
      </c>
      <c r="R842" s="93" t="str">
        <f>VLOOKUP(E842,DATABASE!C:Q,11,false)</f>
        <v>Tire</v>
      </c>
    </row>
    <row r="843" ht="22.5" customHeight="1">
      <c r="A843" s="49"/>
      <c r="C843" s="384">
        <v>45707.0</v>
      </c>
      <c r="D843" s="65">
        <v>4393.0</v>
      </c>
      <c r="E843" s="445" t="s">
        <v>262</v>
      </c>
      <c r="F843" s="386">
        <v>1.0</v>
      </c>
      <c r="G843" s="74">
        <v>110000.0</v>
      </c>
      <c r="H843" s="74">
        <v>0.0</v>
      </c>
      <c r="I843" s="74">
        <f t="shared" si="1"/>
        <v>110000</v>
      </c>
      <c r="J843" s="74">
        <f>IF(E843="SERVICE",I843-(I843*50%),Vlookup(E843,DATABASE!C:Q,10,false)*F843)</f>
        <v>5000</v>
      </c>
      <c r="K843" s="74">
        <f>VLOOKUP(E843,DATABASE!C:Q,7,false)</f>
        <v>0</v>
      </c>
      <c r="L843" s="74">
        <v>0.0</v>
      </c>
      <c r="M843" s="74">
        <f t="shared" si="2"/>
        <v>0</v>
      </c>
      <c r="N843" s="74">
        <f t="shared" si="3"/>
        <v>105000</v>
      </c>
      <c r="O843" s="65" t="str">
        <f>VLOOKUP(E843,DATABASE!C:Q,8,false)</f>
        <v>IBU</v>
      </c>
      <c r="P843" s="65">
        <f>VLOOKUP(E843,DATABASE!C:Q,9,False)</f>
        <v>0</v>
      </c>
      <c r="Q843" s="93" t="str">
        <f>VLOOKUP(E843,DATABASE!C:Q,4,false)</f>
        <v>SPOORING SS/CARRY LOS BAK</v>
      </c>
      <c r="R843" s="93" t="str">
        <f>VLOOKUP(E843,DATABASE!C:Q,11,false)</f>
        <v>SERVICE</v>
      </c>
    </row>
    <row r="844" ht="22.5" customHeight="1">
      <c r="A844" s="49"/>
      <c r="C844" s="384">
        <v>45707.0</v>
      </c>
      <c r="D844" s="65">
        <v>4394.0</v>
      </c>
      <c r="E844" s="445" t="s">
        <v>1429</v>
      </c>
      <c r="F844" s="386">
        <v>1.0</v>
      </c>
      <c r="G844" s="74">
        <v>900000.0</v>
      </c>
      <c r="H844" s="74">
        <v>0.0</v>
      </c>
      <c r="I844" s="74">
        <f t="shared" si="1"/>
        <v>900000</v>
      </c>
      <c r="J844" s="74">
        <f>IF(E844="SERVICE",I844-(I844*50%),Vlookup(E844,DATABASE!C:Q,10,false)*F844)</f>
        <v>0</v>
      </c>
      <c r="K844" s="74">
        <f>VLOOKUP(E844,DATABASE!C:Q,7,false)</f>
        <v>849000</v>
      </c>
      <c r="L844" s="74">
        <v>849000.0</v>
      </c>
      <c r="M844" s="74">
        <f t="shared" si="2"/>
        <v>850000</v>
      </c>
      <c r="N844" s="74">
        <f t="shared" si="3"/>
        <v>50000</v>
      </c>
      <c r="O844" s="65" t="str">
        <f>VLOOKUP(E844,DATABASE!C:Q,8,false)</f>
        <v>IBU</v>
      </c>
      <c r="P844" s="65">
        <f>VLOOKUP(E844,DATABASE!C:Q,9,False)</f>
        <v>1</v>
      </c>
      <c r="Q844" s="93" t="str">
        <f>VLOOKUP(E844,DATABASE!C:Q,4,false)</f>
        <v>Dunlop</v>
      </c>
      <c r="R844" s="93" t="str">
        <f>VLOOKUP(E844,DATABASE!C:Q,11,false)</f>
        <v>Tire</v>
      </c>
    </row>
    <row r="845" ht="22.5" customHeight="1">
      <c r="A845" s="49"/>
      <c r="C845" s="384">
        <v>45707.0</v>
      </c>
      <c r="D845" s="65">
        <v>4395.0</v>
      </c>
      <c r="E845" s="445" t="s">
        <v>897</v>
      </c>
      <c r="F845" s="386">
        <v>2.0</v>
      </c>
      <c r="G845" s="74">
        <v>1600000.0</v>
      </c>
      <c r="H845" s="74">
        <v>0.0</v>
      </c>
      <c r="I845" s="74">
        <f t="shared" si="1"/>
        <v>3200000</v>
      </c>
      <c r="J845" s="74">
        <f>IF(E845="SERVICE",I845-(I845*50%),Vlookup(E845,DATABASE!C:Q,10,false)*F845)</f>
        <v>0</v>
      </c>
      <c r="K845" s="74">
        <f>VLOOKUP(E845,DATABASE!C:Q,7,false)</f>
        <v>1560000</v>
      </c>
      <c r="L845" s="74">
        <v>1500000.0</v>
      </c>
      <c r="M845" s="74">
        <f t="shared" si="2"/>
        <v>1500000</v>
      </c>
      <c r="N845" s="74">
        <f t="shared" si="3"/>
        <v>200000</v>
      </c>
      <c r="O845" s="65" t="str">
        <f>VLOOKUP(E845,DATABASE!C:Q,8,false)</f>
        <v>BIAN</v>
      </c>
      <c r="P845" s="65">
        <f>VLOOKUP(E845,DATABASE!C:Q,9,False)</f>
        <v>1</v>
      </c>
      <c r="Q845" s="93" t="str">
        <f>VLOOKUP(E845,DATABASE!C:Q,4,false)</f>
        <v>GT</v>
      </c>
      <c r="R845" s="93" t="str">
        <f>VLOOKUP(E845,DATABASE!C:Q,11,false)</f>
        <v>Tire</v>
      </c>
    </row>
    <row r="846" ht="22.5" customHeight="1">
      <c r="A846" s="49"/>
      <c r="C846" s="384">
        <v>45707.0</v>
      </c>
      <c r="D846" s="65">
        <v>4395.0</v>
      </c>
      <c r="E846" s="445" t="s">
        <v>737</v>
      </c>
      <c r="F846" s="386">
        <v>2.0</v>
      </c>
      <c r="G846" s="74">
        <v>270000.0</v>
      </c>
      <c r="H846" s="74">
        <v>0.0</v>
      </c>
      <c r="I846" s="74">
        <f t="shared" si="1"/>
        <v>540000</v>
      </c>
      <c r="J846" s="74">
        <f>IF(E846="SERVICE",I846-(I846*50%),Vlookup(E846,DATABASE!C:Q,10,false)*F846)</f>
        <v>0</v>
      </c>
      <c r="K846" s="74">
        <f>VLOOKUP(E846,DATABASE!C:Q,7,false)</f>
        <v>241001.6</v>
      </c>
      <c r="L846" s="74">
        <v>237440.0</v>
      </c>
      <c r="M846" s="74">
        <f t="shared" si="2"/>
        <v>240000</v>
      </c>
      <c r="N846" s="74">
        <f t="shared" si="3"/>
        <v>60000</v>
      </c>
      <c r="O846" s="65" t="str">
        <f>VLOOKUP(E846,DATABASE!C:Q,8,false)</f>
        <v>IBU</v>
      </c>
      <c r="P846" s="65">
        <f>VLOOKUP(E846,DATABASE!C:Q,9,False)</f>
        <v>1</v>
      </c>
      <c r="Q846" s="93" t="str">
        <f>VLOOKUP(E846,DATABASE!C:Q,4,false)</f>
        <v>BD</v>
      </c>
      <c r="R846" s="93" t="str">
        <f>VLOOKUP(E846,DATABASE!C:Q,11,false)</f>
        <v>Tire</v>
      </c>
    </row>
    <row r="847" ht="22.5" customHeight="1">
      <c r="A847" s="49"/>
      <c r="C847" s="384">
        <v>45707.0</v>
      </c>
      <c r="D847" s="65">
        <v>4395.0</v>
      </c>
      <c r="E847" s="445" t="s">
        <v>821</v>
      </c>
      <c r="F847" s="386">
        <v>2.0</v>
      </c>
      <c r="G847" s="74">
        <v>80000.0</v>
      </c>
      <c r="H847" s="74">
        <v>0.0</v>
      </c>
      <c r="I847" s="74">
        <f t="shared" si="1"/>
        <v>160000</v>
      </c>
      <c r="J847" s="74">
        <f>IF(E847="SERVICE",I847-(I847*50%),Vlookup(E847,DATABASE!C:Q,10,false)*F847)</f>
        <v>0</v>
      </c>
      <c r="K847" s="74">
        <f>VLOOKUP(E847,DATABASE!C:Q,7,false)</f>
        <v>43500</v>
      </c>
      <c r="L847" s="74">
        <v>43520.0</v>
      </c>
      <c r="M847" s="74">
        <f t="shared" si="2"/>
        <v>45000</v>
      </c>
      <c r="N847" s="74">
        <f t="shared" si="3"/>
        <v>70000</v>
      </c>
      <c r="O847" s="65" t="str">
        <f>VLOOKUP(E847,DATABASE!C:Q,8,false)</f>
        <v>BIAN</v>
      </c>
      <c r="P847" s="65">
        <f>VLOOKUP(E847,DATABASE!C:Q,9,False)</f>
        <v>1</v>
      </c>
      <c r="Q847" s="93" t="str">
        <f>VLOOKUP(E847,DATABASE!C:Q,4,false)</f>
        <v>Flap</v>
      </c>
      <c r="R847" s="93" t="str">
        <f>VLOOKUP(E847,DATABASE!C:Q,11,false)</f>
        <v>Tire</v>
      </c>
    </row>
    <row r="848" ht="22.5" customHeight="1">
      <c r="A848" s="49"/>
      <c r="C848" s="384">
        <v>45707.0</v>
      </c>
      <c r="D848" s="65">
        <v>4396.0</v>
      </c>
      <c r="E848" s="445" t="s">
        <v>600</v>
      </c>
      <c r="F848" s="386">
        <v>4.0</v>
      </c>
      <c r="G848" s="74">
        <v>725000.0</v>
      </c>
      <c r="H848" s="74">
        <v>0.0</v>
      </c>
      <c r="I848" s="74">
        <f t="shared" si="1"/>
        <v>2900000</v>
      </c>
      <c r="J848" s="74">
        <f>IF(E848="SERVICE",I848-(I848*50%),Vlookup(E848,DATABASE!C:Q,10,false)*F848)</f>
        <v>0</v>
      </c>
      <c r="K848" s="74">
        <v>655200.0</v>
      </c>
      <c r="L848" s="74">
        <v>655200.0</v>
      </c>
      <c r="M848" s="74">
        <f t="shared" si="2"/>
        <v>660000</v>
      </c>
      <c r="N848" s="74">
        <f t="shared" si="3"/>
        <v>260000</v>
      </c>
      <c r="O848" s="65" t="str">
        <f>VLOOKUP(E848,DATABASE!C:Q,8,false)</f>
        <v>IBU</v>
      </c>
      <c r="P848" s="65">
        <f>VLOOKUP(E848,DATABASE!C:Q,9,False)</f>
        <v>1</v>
      </c>
      <c r="Q848" s="93" t="str">
        <f>VLOOKUP(E848,DATABASE!C:Q,4,false)</f>
        <v>Bridgestone</v>
      </c>
      <c r="R848" s="93" t="str">
        <f>VLOOKUP(E848,DATABASE!C:Q,11,false)</f>
        <v>Tire</v>
      </c>
    </row>
    <row r="849" ht="22.5" customHeight="1">
      <c r="A849" s="49"/>
      <c r="C849" s="384">
        <v>45707.0</v>
      </c>
      <c r="D849" s="65">
        <v>4397.0</v>
      </c>
      <c r="E849" s="445" t="s">
        <v>1377</v>
      </c>
      <c r="F849" s="386">
        <v>2.0</v>
      </c>
      <c r="G849" s="74">
        <v>935000.0</v>
      </c>
      <c r="H849" s="74">
        <v>0.0</v>
      </c>
      <c r="I849" s="74">
        <f t="shared" si="1"/>
        <v>1870000</v>
      </c>
      <c r="J849" s="74">
        <f>IF(E849="SERVICE",I849-(I849*50%),Vlookup(E849,DATABASE!C:Q,10,false)*F849)</f>
        <v>0</v>
      </c>
      <c r="K849" s="74">
        <f>VLOOKUP(E849,DATABASE!C:Q,7,false)</f>
        <v>844000</v>
      </c>
      <c r="L849" s="74">
        <v>853000.0</v>
      </c>
      <c r="M849" s="74">
        <f t="shared" si="2"/>
        <v>855000</v>
      </c>
      <c r="N849" s="74">
        <f t="shared" si="3"/>
        <v>160000</v>
      </c>
      <c r="O849" s="65" t="str">
        <f>VLOOKUP(E849,DATABASE!C:Q,8,false)</f>
        <v>IBU</v>
      </c>
      <c r="P849" s="65">
        <f>VLOOKUP(E849,DATABASE!C:Q,9,False)</f>
        <v>1</v>
      </c>
      <c r="Q849" s="93" t="str">
        <f>VLOOKUP(E849,DATABASE!C:Q,4,false)</f>
        <v>Dunlop</v>
      </c>
      <c r="R849" s="93" t="str">
        <f>VLOOKUP(E849,DATABASE!C:Q,11,false)</f>
        <v>Tire</v>
      </c>
    </row>
    <row r="850" ht="22.5" customHeight="1">
      <c r="A850" s="49"/>
      <c r="C850" s="384">
        <v>45707.0</v>
      </c>
      <c r="D850" s="65">
        <v>4398.0</v>
      </c>
      <c r="E850" s="445" t="s">
        <v>374</v>
      </c>
      <c r="F850" s="386">
        <v>1.0</v>
      </c>
      <c r="G850" s="74">
        <v>1950000.0</v>
      </c>
      <c r="H850" s="74">
        <v>0.0</v>
      </c>
      <c r="I850" s="74">
        <f t="shared" si="1"/>
        <v>1950000</v>
      </c>
      <c r="J850" s="74">
        <f>IF(E850="SERVICE",I850-(I850*50%),Vlookup(E850,DATABASE!C:Q,10,false)*F850)</f>
        <v>0</v>
      </c>
      <c r="K850" s="74">
        <f>VLOOKUP(E850,DATABASE!C:Q,7,false)</f>
        <v>1980000</v>
      </c>
      <c r="L850" s="74">
        <v>1850000.0</v>
      </c>
      <c r="M850" s="74">
        <f t="shared" si="2"/>
        <v>1850000</v>
      </c>
      <c r="N850" s="74">
        <f t="shared" si="3"/>
        <v>100000</v>
      </c>
      <c r="O850" s="65" t="str">
        <f>VLOOKUP(E850,DATABASE!C:Q,8,false)</f>
        <v>BIAN</v>
      </c>
      <c r="P850" s="65">
        <f>VLOOKUP(E850,DATABASE!C:Q,9,False)</f>
        <v>1</v>
      </c>
      <c r="Q850" s="93" t="str">
        <f>VLOOKUP(E850,DATABASE!C:Q,4,false)</f>
        <v>Advance</v>
      </c>
      <c r="R850" s="93" t="str">
        <f>VLOOKUP(E850,DATABASE!C:Q,11,false)</f>
        <v>Tire</v>
      </c>
    </row>
    <row r="851" ht="22.5" customHeight="1">
      <c r="A851" s="49"/>
      <c r="C851" s="384">
        <v>45707.0</v>
      </c>
      <c r="D851" s="65">
        <v>4399.0</v>
      </c>
      <c r="E851" s="385" t="s">
        <v>299</v>
      </c>
      <c r="F851" s="386">
        <v>2.0</v>
      </c>
      <c r="G851" s="74">
        <v>30000.0</v>
      </c>
      <c r="H851" s="74">
        <v>0.0</v>
      </c>
      <c r="I851" s="74">
        <f t="shared" si="1"/>
        <v>60000</v>
      </c>
      <c r="J851" s="74">
        <f>IF(E851="SERVICE",I851-(I851*50%),Vlookup(E851,DATABASE!C:Q,10,false)*F851)</f>
        <v>0</v>
      </c>
      <c r="K851" s="74">
        <v>0.0</v>
      </c>
      <c r="L851" s="74">
        <v>0.0</v>
      </c>
      <c r="M851" s="74">
        <f t="shared" si="2"/>
        <v>0</v>
      </c>
      <c r="N851" s="74">
        <f t="shared" si="3"/>
        <v>60000</v>
      </c>
      <c r="O851" s="65" t="str">
        <f>VLOOKUP(E851,DATABASE!C:Q,8,false)</f>
        <v>BIAN</v>
      </c>
      <c r="P851" s="65">
        <f>VLOOKUP(E851,DATABASE!C:Q,9,False)</f>
        <v>0</v>
      </c>
      <c r="Q851" s="93" t="str">
        <f>VLOOKUP(E851,DATABASE!C:Q,4,false)</f>
        <v>Balancing</v>
      </c>
      <c r="R851" s="93" t="str">
        <f>VLOOKUP(E851,DATABASE!C:Q,11,false)</f>
        <v>COMPLEMENTARY</v>
      </c>
    </row>
    <row r="852" ht="22.5" customHeight="1">
      <c r="A852" s="49"/>
      <c r="C852" s="384">
        <v>45707.0</v>
      </c>
      <c r="D852" s="65">
        <v>4400.0</v>
      </c>
      <c r="E852" s="445" t="s">
        <v>391</v>
      </c>
      <c r="F852" s="386">
        <v>2.0</v>
      </c>
      <c r="G852" s="74">
        <v>1950000.0</v>
      </c>
      <c r="H852" s="74">
        <v>0.0</v>
      </c>
      <c r="I852" s="74">
        <f t="shared" si="1"/>
        <v>3900000</v>
      </c>
      <c r="J852" s="74">
        <f>IF(E852="SERVICE",I852-(I852*50%),Vlookup(E852,DATABASE!C:Q,10,false)*F852)</f>
        <v>0</v>
      </c>
      <c r="K852" s="74">
        <f>VLOOKUP(E852,DATABASE!C:Q,7,false)</f>
        <v>1885000</v>
      </c>
      <c r="L852" s="74">
        <v>1840000.0</v>
      </c>
      <c r="M852" s="74">
        <f t="shared" si="2"/>
        <v>1840000</v>
      </c>
      <c r="N852" s="74">
        <f t="shared" si="3"/>
        <v>220000</v>
      </c>
      <c r="O852" s="65" t="str">
        <f>VLOOKUP(E852,DATABASE!C:Q,8,false)</f>
        <v>BIAN</v>
      </c>
      <c r="P852" s="65">
        <f>VLOOKUP(E852,DATABASE!C:Q,9,False)</f>
        <v>1</v>
      </c>
      <c r="Q852" s="93" t="str">
        <f>VLOOKUP(E852,DATABASE!C:Q,4,false)</f>
        <v>Advance</v>
      </c>
      <c r="R852" s="93" t="str">
        <f>VLOOKUP(E852,DATABASE!C:Q,11,false)</f>
        <v>Tire</v>
      </c>
    </row>
    <row r="853" ht="22.5" customHeight="1">
      <c r="A853" s="49"/>
      <c r="C853" s="384">
        <v>45707.0</v>
      </c>
      <c r="D853" s="65">
        <v>4400.0</v>
      </c>
      <c r="E853" s="445" t="s">
        <v>256</v>
      </c>
      <c r="F853" s="386">
        <v>1.0</v>
      </c>
      <c r="G853" s="74">
        <v>130000.0</v>
      </c>
      <c r="H853" s="74">
        <v>0.0</v>
      </c>
      <c r="I853" s="74">
        <f t="shared" si="1"/>
        <v>130000</v>
      </c>
      <c r="J853" s="74">
        <f>IF(E853="SERVICE",I853-(I853*50%),Vlookup(E853,DATABASE!C:Q,10,false)*F853)</f>
        <v>10000</v>
      </c>
      <c r="K853" s="74">
        <f>VLOOKUP(E853,DATABASE!C:Q,7,false)</f>
        <v>0</v>
      </c>
      <c r="L853" s="74">
        <v>0.0</v>
      </c>
      <c r="M853" s="74">
        <f t="shared" si="2"/>
        <v>0</v>
      </c>
      <c r="N853" s="74">
        <f t="shared" si="3"/>
        <v>120000</v>
      </c>
      <c r="O853" s="65" t="str">
        <f>VLOOKUP(E853,DATABASE!C:Q,8,false)</f>
        <v>IBU</v>
      </c>
      <c r="P853" s="65">
        <f>VLOOKUP(E853,DATABASE!C:Q,9,False)</f>
        <v>0</v>
      </c>
      <c r="Q853" s="93" t="str">
        <f>VLOOKUP(E853,DATABASE!C:Q,4,false)</f>
        <v>SPOORING</v>
      </c>
      <c r="R853" s="93" t="str">
        <f>VLOOKUP(E853,DATABASE!C:Q,11,false)</f>
        <v>SERVICE</v>
      </c>
    </row>
    <row r="854" ht="22.5" customHeight="1">
      <c r="A854" s="49"/>
      <c r="C854" s="384">
        <v>45707.0</v>
      </c>
      <c r="D854" s="65">
        <v>4400.0</v>
      </c>
      <c r="E854" s="445" t="s">
        <v>251</v>
      </c>
      <c r="F854" s="386">
        <v>1.0</v>
      </c>
      <c r="G854" s="74">
        <v>150000.0</v>
      </c>
      <c r="H854" s="74">
        <v>0.0</v>
      </c>
      <c r="I854" s="74">
        <f t="shared" si="1"/>
        <v>150000</v>
      </c>
      <c r="J854" s="74">
        <f>IF(E854="SERVICE",I854-(I854*50%),Vlookup(E854,DATABASE!C:Q,10,false)*F854)</f>
        <v>75000</v>
      </c>
      <c r="K854" s="74">
        <f>VLOOKUP(E854,DATABASE!C:Q,7,false)</f>
        <v>0</v>
      </c>
      <c r="L854" s="74">
        <v>0.0</v>
      </c>
      <c r="M854" s="74">
        <f t="shared" si="2"/>
        <v>0</v>
      </c>
      <c r="N854" s="74">
        <f t="shared" si="3"/>
        <v>75000</v>
      </c>
      <c r="O854" s="65" t="str">
        <f>VLOOKUP(E854,DATABASE!C:Q,8,false)</f>
        <v>IBU</v>
      </c>
      <c r="P854" s="65">
        <f>VLOOKUP(E854,DATABASE!C:Q,9,False)</f>
        <v>0</v>
      </c>
      <c r="Q854" s="93" t="str">
        <f>VLOOKUP(E854,DATABASE!C:Q,4,false)</f>
        <v>SERVICE</v>
      </c>
      <c r="R854" s="93" t="str">
        <f>VLOOKUP(E854,DATABASE!C:Q,11,false)</f>
        <v>SERVICE</v>
      </c>
    </row>
    <row r="855" ht="22.5" customHeight="1">
      <c r="A855" s="49"/>
      <c r="C855" s="384">
        <v>45707.0</v>
      </c>
      <c r="D855" s="65">
        <v>4402.0</v>
      </c>
      <c r="E855" s="445" t="s">
        <v>681</v>
      </c>
      <c r="F855" s="386">
        <v>2.0</v>
      </c>
      <c r="G855" s="74">
        <v>160000.0</v>
      </c>
      <c r="H855" s="74">
        <v>0.0</v>
      </c>
      <c r="I855" s="74">
        <f t="shared" si="1"/>
        <v>320000</v>
      </c>
      <c r="J855" s="74">
        <f>IF(E855="SERVICE",I855-(I855*50%),Vlookup(E855,DATABASE!C:Q,10,false)*F855)</f>
        <v>0</v>
      </c>
      <c r="K855" s="74">
        <f>VLOOKUP(E855,DATABASE!C:Q,7,false)</f>
        <v>91000</v>
      </c>
      <c r="L855" s="74">
        <v>91000.0</v>
      </c>
      <c r="M855" s="74">
        <f t="shared" si="2"/>
        <v>95000</v>
      </c>
      <c r="N855" s="74">
        <f t="shared" si="3"/>
        <v>130000</v>
      </c>
      <c r="O855" s="65" t="str">
        <f>VLOOKUP(E855,DATABASE!C:Q,8,false)</f>
        <v>BIAN</v>
      </c>
      <c r="P855" s="65">
        <f>VLOOKUP(E855,DATABASE!C:Q,9,False)</f>
        <v>1</v>
      </c>
      <c r="Q855" s="93" t="str">
        <f>VLOOKUP(E855,DATABASE!C:Q,4,false)</f>
        <v>BD</v>
      </c>
      <c r="R855" s="93" t="str">
        <f>VLOOKUP(E855,DATABASE!C:Q,11,false)</f>
        <v>Tire</v>
      </c>
    </row>
    <row r="856" ht="22.5" customHeight="1">
      <c r="A856" s="49"/>
      <c r="C856" s="384">
        <v>45707.0</v>
      </c>
      <c r="D856" s="65">
        <v>4402.0</v>
      </c>
      <c r="E856" s="445" t="s">
        <v>671</v>
      </c>
      <c r="F856" s="386">
        <v>2.0</v>
      </c>
      <c r="G856" s="74">
        <v>190000.0</v>
      </c>
      <c r="H856" s="74">
        <v>0.0</v>
      </c>
      <c r="I856" s="74">
        <f t="shared" si="1"/>
        <v>380000</v>
      </c>
      <c r="J856" s="74">
        <f>IF(E856="SERVICE",I856-(I856*50%),Vlookup(E856,DATABASE!C:Q,10,false)*F856)</f>
        <v>0</v>
      </c>
      <c r="K856" s="74">
        <f>VLOOKUP(E856,DATABASE!C:Q,7,false)</f>
        <v>160000</v>
      </c>
      <c r="L856" s="74">
        <v>160000.0</v>
      </c>
      <c r="M856" s="74">
        <f t="shared" si="2"/>
        <v>160000</v>
      </c>
      <c r="N856" s="74">
        <f t="shared" si="3"/>
        <v>60000</v>
      </c>
      <c r="O856" s="65" t="str">
        <f>VLOOKUP(E856,DATABASE!C:Q,8,false)</f>
        <v>BIAN</v>
      </c>
      <c r="P856" s="65">
        <f>VLOOKUP(E856,DATABASE!C:Q,9,False)</f>
        <v>1</v>
      </c>
      <c r="Q856" s="93" t="str">
        <f>VLOOKUP(E856,DATABASE!C:Q,4,false)</f>
        <v>BD</v>
      </c>
      <c r="R856" s="93" t="str">
        <f>VLOOKUP(E856,DATABASE!C:Q,11,false)</f>
        <v>Tire</v>
      </c>
    </row>
    <row r="857" ht="22.5" customHeight="1">
      <c r="A857" s="49"/>
      <c r="C857" s="384">
        <v>45707.0</v>
      </c>
      <c r="D857" s="65">
        <v>4403.0</v>
      </c>
      <c r="E857" s="445" t="s">
        <v>282</v>
      </c>
      <c r="F857" s="386">
        <v>2.0</v>
      </c>
      <c r="G857" s="74">
        <v>870000.0</v>
      </c>
      <c r="H857" s="74">
        <v>0.0</v>
      </c>
      <c r="I857" s="74">
        <f t="shared" si="1"/>
        <v>1740000</v>
      </c>
      <c r="J857" s="74">
        <f>IF(E857="SERVICE",I857-(I857*50%),Vlookup(E857,DATABASE!C:Q,10,false)*F857)</f>
        <v>0</v>
      </c>
      <c r="K857" s="74">
        <f>VLOOKUP(E857,DATABASE!C:Q,7,false)</f>
        <v>779500</v>
      </c>
      <c r="L857" s="74">
        <v>771000.0</v>
      </c>
      <c r="M857" s="74">
        <f t="shared" si="2"/>
        <v>775000</v>
      </c>
      <c r="N857" s="74">
        <f t="shared" si="3"/>
        <v>190000</v>
      </c>
      <c r="O857" s="65" t="str">
        <f>VLOOKUP(E857,DATABASE!C:Q,8,false)</f>
        <v>IBU</v>
      </c>
      <c r="P857" s="65">
        <f>VLOOKUP(E857,DATABASE!C:Q,9,False)</f>
        <v>1</v>
      </c>
      <c r="Q857" s="93" t="str">
        <f>VLOOKUP(E857,DATABASE!C:Q,4,false)</f>
        <v>Dunlop</v>
      </c>
      <c r="R857" s="93" t="str">
        <f>VLOOKUP(E857,DATABASE!C:Q,11,false)</f>
        <v>Tire</v>
      </c>
    </row>
    <row r="858" ht="22.5" customHeight="1">
      <c r="A858" s="49"/>
      <c r="C858" s="384">
        <v>45707.0</v>
      </c>
      <c r="D858" s="65">
        <v>4404.0</v>
      </c>
      <c r="E858" s="445" t="s">
        <v>256</v>
      </c>
      <c r="F858" s="386">
        <v>1.0</v>
      </c>
      <c r="G858" s="74">
        <v>110000.0</v>
      </c>
      <c r="H858" s="74">
        <v>0.0</v>
      </c>
      <c r="I858" s="74">
        <f t="shared" si="1"/>
        <v>110000</v>
      </c>
      <c r="J858" s="74">
        <f>IF(E858="SERVICE",I858-(I858*50%),Vlookup(E858,DATABASE!C:Q,10,false)*F858)</f>
        <v>10000</v>
      </c>
      <c r="K858" s="74">
        <f>VLOOKUP(E858,DATABASE!C:Q,7,false)</f>
        <v>0</v>
      </c>
      <c r="L858" s="74">
        <v>0.0</v>
      </c>
      <c r="M858" s="74">
        <f t="shared" si="2"/>
        <v>0</v>
      </c>
      <c r="N858" s="74">
        <f t="shared" si="3"/>
        <v>100000</v>
      </c>
      <c r="O858" s="65" t="str">
        <f>VLOOKUP(E858,DATABASE!C:Q,8,false)</f>
        <v>IBU</v>
      </c>
      <c r="P858" s="65">
        <f>VLOOKUP(E858,DATABASE!C:Q,9,False)</f>
        <v>0</v>
      </c>
      <c r="Q858" s="93" t="str">
        <f>VLOOKUP(E858,DATABASE!C:Q,4,false)</f>
        <v>SPOORING</v>
      </c>
      <c r="R858" s="93" t="str">
        <f>VLOOKUP(E858,DATABASE!C:Q,11,false)</f>
        <v>SERVICE</v>
      </c>
    </row>
    <row r="859" ht="22.5" customHeight="1">
      <c r="A859" s="49"/>
      <c r="C859" s="384">
        <v>45707.0</v>
      </c>
      <c r="D859" s="65">
        <v>4404.0</v>
      </c>
      <c r="E859" s="385" t="s">
        <v>299</v>
      </c>
      <c r="F859" s="386">
        <v>2.0</v>
      </c>
      <c r="G859" s="74">
        <v>30000.0</v>
      </c>
      <c r="H859" s="74">
        <v>0.0</v>
      </c>
      <c r="I859" s="74">
        <f t="shared" si="1"/>
        <v>60000</v>
      </c>
      <c r="J859" s="74">
        <f>IF(E859="SERVICE",I859-(I859*50%),Vlookup(E859,DATABASE!C:Q,10,false)*F859)</f>
        <v>0</v>
      </c>
      <c r="K859" s="74">
        <v>0.0</v>
      </c>
      <c r="L859" s="74">
        <v>0.0</v>
      </c>
      <c r="M859" s="74">
        <f t="shared" si="2"/>
        <v>0</v>
      </c>
      <c r="N859" s="74">
        <f t="shared" si="3"/>
        <v>60000</v>
      </c>
      <c r="O859" s="65" t="str">
        <f>VLOOKUP(E859,DATABASE!C:Q,8,false)</f>
        <v>BIAN</v>
      </c>
      <c r="P859" s="65">
        <f>VLOOKUP(E859,DATABASE!C:Q,9,False)</f>
        <v>0</v>
      </c>
      <c r="Q859" s="93" t="str">
        <f>VLOOKUP(E859,DATABASE!C:Q,4,false)</f>
        <v>Balancing</v>
      </c>
      <c r="R859" s="93" t="str">
        <f>VLOOKUP(E859,DATABASE!C:Q,11,false)</f>
        <v>COMPLEMENTARY</v>
      </c>
    </row>
    <row r="860" ht="22.5" customHeight="1">
      <c r="A860" s="49"/>
      <c r="C860" s="384">
        <v>45707.0</v>
      </c>
      <c r="D860" s="65">
        <v>4404.0</v>
      </c>
      <c r="E860" s="445" t="s">
        <v>301</v>
      </c>
      <c r="F860" s="386">
        <v>1.0</v>
      </c>
      <c r="G860" s="74">
        <v>250000.0</v>
      </c>
      <c r="H860" s="74">
        <v>0.0</v>
      </c>
      <c r="I860" s="74">
        <f t="shared" si="1"/>
        <v>250000</v>
      </c>
      <c r="J860" s="74">
        <f>IF(E860="SERVICE",I860-(I860*50%),Vlookup(E860,DATABASE!C:Q,10,false)*F860)</f>
        <v>75000</v>
      </c>
      <c r="K860" s="74">
        <f>VLOOKUP(E860,DATABASE!C:Q,7,false)</f>
        <v>75000</v>
      </c>
      <c r="L860" s="74">
        <v>75000.0</v>
      </c>
      <c r="M860" s="74">
        <f t="shared" si="2"/>
        <v>75000</v>
      </c>
      <c r="N860" s="74">
        <f t="shared" si="3"/>
        <v>100000</v>
      </c>
      <c r="O860" s="65" t="str">
        <f>VLOOKUP(E860,DATABASE!C:Q,8,false)</f>
        <v>BIAN</v>
      </c>
      <c r="P860" s="65">
        <f>VLOOKUP(E860,DATABASE!C:Q,9,False)</f>
        <v>0</v>
      </c>
      <c r="Q860" s="93" t="str">
        <f>VLOOKUP(E860,DATABASE!C:Q,4,false)</f>
        <v>Baut Camber</v>
      </c>
      <c r="R860" s="93" t="str">
        <f>VLOOKUP(E860,DATABASE!C:Q,11,false)</f>
        <v>COMPLEMENTARY</v>
      </c>
    </row>
    <row r="861" ht="22.5" customHeight="1">
      <c r="A861" s="49"/>
      <c r="C861" s="384">
        <v>45708.0</v>
      </c>
      <c r="D861" s="65">
        <v>4406.0</v>
      </c>
      <c r="E861" s="445" t="s">
        <v>262</v>
      </c>
      <c r="F861" s="386">
        <v>1.0</v>
      </c>
      <c r="G861" s="74">
        <v>110000.0</v>
      </c>
      <c r="H861" s="74">
        <v>0.0</v>
      </c>
      <c r="I861" s="74">
        <f t="shared" si="1"/>
        <v>110000</v>
      </c>
      <c r="J861" s="74">
        <f>IF(E861="SERVICE",I861-(I861*50%),Vlookup(E861,DATABASE!C:Q,10,false)*F861)</f>
        <v>5000</v>
      </c>
      <c r="K861" s="74">
        <f>VLOOKUP(E861,DATABASE!C:Q,7,false)</f>
        <v>0</v>
      </c>
      <c r="L861" s="74">
        <v>0.0</v>
      </c>
      <c r="M861" s="74">
        <f t="shared" si="2"/>
        <v>0</v>
      </c>
      <c r="N861" s="74">
        <f t="shared" si="3"/>
        <v>105000</v>
      </c>
      <c r="O861" s="65" t="str">
        <f>VLOOKUP(E861,DATABASE!C:Q,8,false)</f>
        <v>IBU</v>
      </c>
      <c r="P861" s="65">
        <f>VLOOKUP(E861,DATABASE!C:Q,9,False)</f>
        <v>0</v>
      </c>
      <c r="Q861" s="93" t="str">
        <f>VLOOKUP(E861,DATABASE!C:Q,4,false)</f>
        <v>SPOORING SS/CARRY LOS BAK</v>
      </c>
      <c r="R861" s="93" t="str">
        <f>VLOOKUP(E861,DATABASE!C:Q,11,false)</f>
        <v>SERVICE</v>
      </c>
    </row>
    <row r="862" ht="22.5" customHeight="1">
      <c r="A862" s="49"/>
      <c r="C862" s="384">
        <v>45708.0</v>
      </c>
      <c r="D862" s="65">
        <v>4406.0</v>
      </c>
      <c r="E862" s="385" t="s">
        <v>299</v>
      </c>
      <c r="F862" s="386">
        <v>2.0</v>
      </c>
      <c r="G862" s="74">
        <v>30000.0</v>
      </c>
      <c r="H862" s="74">
        <v>0.0</v>
      </c>
      <c r="I862" s="74">
        <f t="shared" si="1"/>
        <v>60000</v>
      </c>
      <c r="J862" s="74">
        <f>IF(E862="SERVICE",I862-(I862*50%),Vlookup(E862,DATABASE!C:Q,10,false)*F862)</f>
        <v>0</v>
      </c>
      <c r="K862" s="74">
        <v>0.0</v>
      </c>
      <c r="L862" s="74">
        <v>0.0</v>
      </c>
      <c r="M862" s="74">
        <f t="shared" si="2"/>
        <v>0</v>
      </c>
      <c r="N862" s="74">
        <f t="shared" si="3"/>
        <v>60000</v>
      </c>
      <c r="O862" s="65" t="str">
        <f>VLOOKUP(E862,DATABASE!C:Q,8,false)</f>
        <v>BIAN</v>
      </c>
      <c r="P862" s="65">
        <f>VLOOKUP(E862,DATABASE!C:Q,9,False)</f>
        <v>0</v>
      </c>
      <c r="Q862" s="93" t="str">
        <f>VLOOKUP(E862,DATABASE!C:Q,4,false)</f>
        <v>Balancing</v>
      </c>
      <c r="R862" s="93" t="str">
        <f>VLOOKUP(E862,DATABASE!C:Q,11,false)</f>
        <v>COMPLEMENTARY</v>
      </c>
    </row>
    <row r="863" ht="22.5" customHeight="1">
      <c r="A863" s="49"/>
      <c r="C863" s="384">
        <v>45708.0</v>
      </c>
      <c r="D863" s="65">
        <v>4406.0</v>
      </c>
      <c r="E863" s="445" t="s">
        <v>251</v>
      </c>
      <c r="F863" s="386">
        <v>1.0</v>
      </c>
      <c r="G863" s="74">
        <v>120000.0</v>
      </c>
      <c r="H863" s="74">
        <v>0.0</v>
      </c>
      <c r="I863" s="74">
        <f t="shared" si="1"/>
        <v>120000</v>
      </c>
      <c r="J863" s="74">
        <f>IF(E863="SERVICE",I863-(I863*50%),Vlookup(E863,DATABASE!C:Q,10,false)*F863)</f>
        <v>60000</v>
      </c>
      <c r="K863" s="74">
        <f>VLOOKUP(E863,DATABASE!C:Q,7,false)</f>
        <v>0</v>
      </c>
      <c r="L863" s="74">
        <v>0.0</v>
      </c>
      <c r="M863" s="74">
        <f t="shared" si="2"/>
        <v>0</v>
      </c>
      <c r="N863" s="74">
        <f t="shared" si="3"/>
        <v>60000</v>
      </c>
      <c r="O863" s="65" t="str">
        <f>VLOOKUP(E863,DATABASE!C:Q,8,false)</f>
        <v>IBU</v>
      </c>
      <c r="P863" s="65">
        <f>VLOOKUP(E863,DATABASE!C:Q,9,False)</f>
        <v>0</v>
      </c>
      <c r="Q863" s="93" t="str">
        <f>VLOOKUP(E863,DATABASE!C:Q,4,false)</f>
        <v>SERVICE</v>
      </c>
      <c r="R863" s="93" t="str">
        <f>VLOOKUP(E863,DATABASE!C:Q,11,false)</f>
        <v>SERVICE</v>
      </c>
    </row>
    <row r="864" ht="22.5" customHeight="1">
      <c r="A864" s="49"/>
      <c r="C864" s="384">
        <v>45708.0</v>
      </c>
      <c r="D864" s="65">
        <v>4407.0</v>
      </c>
      <c r="E864" s="445" t="s">
        <v>265</v>
      </c>
      <c r="F864" s="386">
        <v>2.0</v>
      </c>
      <c r="G864" s="74">
        <v>670000.0</v>
      </c>
      <c r="H864" s="74">
        <v>0.0</v>
      </c>
      <c r="I864" s="74">
        <f t="shared" si="1"/>
        <v>1340000</v>
      </c>
      <c r="J864" s="74">
        <f>IF(E864="SERVICE",I864-(I864*50%),Vlookup(E864,DATABASE!C:Q,10,false)*F864)</f>
        <v>0</v>
      </c>
      <c r="K864" s="74">
        <v>590000.0</v>
      </c>
      <c r="L864" s="74">
        <v>590000.0</v>
      </c>
      <c r="M864" s="74">
        <f t="shared" si="2"/>
        <v>590000</v>
      </c>
      <c r="N864" s="74">
        <f t="shared" si="3"/>
        <v>160000</v>
      </c>
      <c r="O864" s="65" t="str">
        <f>VLOOKUP(E864,DATABASE!C:Q,8,false)</f>
        <v>IBU</v>
      </c>
      <c r="P864" s="65">
        <f>VLOOKUP(E864,DATABASE!C:Q,9,False)</f>
        <v>1</v>
      </c>
      <c r="Q864" s="93" t="str">
        <f>VLOOKUP(E864,DATABASE!C:Q,4,false)</f>
        <v>Dunlop</v>
      </c>
      <c r="R864" s="93" t="str">
        <f>VLOOKUP(E864,DATABASE!C:Q,11,false)</f>
        <v>Tire</v>
      </c>
    </row>
    <row r="865" ht="22.5" customHeight="1">
      <c r="A865" s="49"/>
      <c r="C865" s="384">
        <v>45708.0</v>
      </c>
      <c r="D865" s="65">
        <v>4408.0</v>
      </c>
      <c r="E865" s="445" t="s">
        <v>256</v>
      </c>
      <c r="F865" s="386">
        <v>1.0</v>
      </c>
      <c r="G865" s="74">
        <v>130000.0</v>
      </c>
      <c r="H865" s="74">
        <v>0.0</v>
      </c>
      <c r="I865" s="74">
        <f t="shared" si="1"/>
        <v>130000</v>
      </c>
      <c r="J865" s="74">
        <f>IF(E865="SERVICE",I865-(I865*50%),Vlookup(E865,DATABASE!C:Q,10,false)*F865)</f>
        <v>10000</v>
      </c>
      <c r="K865" s="74">
        <f>VLOOKUP(E865,DATABASE!C:Q,7,false)</f>
        <v>0</v>
      </c>
      <c r="L865" s="74">
        <v>0.0</v>
      </c>
      <c r="M865" s="74">
        <f t="shared" si="2"/>
        <v>0</v>
      </c>
      <c r="N865" s="74">
        <f t="shared" si="3"/>
        <v>120000</v>
      </c>
      <c r="O865" s="65" t="str">
        <f>VLOOKUP(E865,DATABASE!C:Q,8,false)</f>
        <v>IBU</v>
      </c>
      <c r="P865" s="65">
        <f>VLOOKUP(E865,DATABASE!C:Q,9,False)</f>
        <v>0</v>
      </c>
      <c r="Q865" s="93" t="str">
        <f>VLOOKUP(E865,DATABASE!C:Q,4,false)</f>
        <v>SPOORING</v>
      </c>
      <c r="R865" s="93" t="str">
        <f>VLOOKUP(E865,DATABASE!C:Q,11,false)</f>
        <v>SERVICE</v>
      </c>
    </row>
    <row r="866" ht="22.5" customHeight="1">
      <c r="A866" s="49"/>
      <c r="C866" s="384">
        <v>45708.0</v>
      </c>
      <c r="D866" s="65">
        <v>4408.0</v>
      </c>
      <c r="E866" s="385" t="s">
        <v>299</v>
      </c>
      <c r="F866" s="386">
        <v>2.0</v>
      </c>
      <c r="G866" s="74">
        <v>30000.0</v>
      </c>
      <c r="H866" s="74">
        <v>0.0</v>
      </c>
      <c r="I866" s="74">
        <f t="shared" si="1"/>
        <v>60000</v>
      </c>
      <c r="J866" s="74">
        <f>IF(E866="SERVICE",I866-(I866*50%),Vlookup(E866,DATABASE!C:Q,10,false)*F866)</f>
        <v>0</v>
      </c>
      <c r="K866" s="74">
        <v>0.0</v>
      </c>
      <c r="L866" s="74">
        <v>0.0</v>
      </c>
      <c r="M866" s="74">
        <f t="shared" si="2"/>
        <v>0</v>
      </c>
      <c r="N866" s="74">
        <f t="shared" si="3"/>
        <v>60000</v>
      </c>
      <c r="O866" s="65" t="str">
        <f>VLOOKUP(E866,DATABASE!C:Q,8,false)</f>
        <v>BIAN</v>
      </c>
      <c r="P866" s="65">
        <f>VLOOKUP(E866,DATABASE!C:Q,9,False)</f>
        <v>0</v>
      </c>
      <c r="Q866" s="93" t="str">
        <f>VLOOKUP(E866,DATABASE!C:Q,4,false)</f>
        <v>Balancing</v>
      </c>
      <c r="R866" s="93" t="str">
        <f>VLOOKUP(E866,DATABASE!C:Q,11,false)</f>
        <v>COMPLEMENTARY</v>
      </c>
    </row>
    <row r="867" ht="22.5" customHeight="1">
      <c r="A867" s="49"/>
      <c r="C867" s="384">
        <v>45708.0</v>
      </c>
      <c r="D867" s="65">
        <v>4408.0</v>
      </c>
      <c r="E867" s="445" t="s">
        <v>251</v>
      </c>
      <c r="F867" s="386">
        <v>1.0</v>
      </c>
      <c r="G867" s="74">
        <v>150000.0</v>
      </c>
      <c r="H867" s="74">
        <v>0.0</v>
      </c>
      <c r="I867" s="74">
        <f t="shared" si="1"/>
        <v>150000</v>
      </c>
      <c r="J867" s="74">
        <f>IF(E867="SERVICE",I867-(I867*50%),Vlookup(E867,DATABASE!C:Q,10,false)*F867)</f>
        <v>75000</v>
      </c>
      <c r="K867" s="74">
        <f>VLOOKUP(E867,DATABASE!C:Q,7,false)</f>
        <v>0</v>
      </c>
      <c r="L867" s="74">
        <v>0.0</v>
      </c>
      <c r="M867" s="74">
        <f t="shared" si="2"/>
        <v>0</v>
      </c>
      <c r="N867" s="74">
        <f t="shared" si="3"/>
        <v>75000</v>
      </c>
      <c r="O867" s="65" t="str">
        <f>VLOOKUP(E867,DATABASE!C:Q,8,false)</f>
        <v>IBU</v>
      </c>
      <c r="P867" s="65">
        <f>VLOOKUP(E867,DATABASE!C:Q,9,False)</f>
        <v>0</v>
      </c>
      <c r="Q867" s="93" t="str">
        <f>VLOOKUP(E867,DATABASE!C:Q,4,false)</f>
        <v>SERVICE</v>
      </c>
      <c r="R867" s="93" t="str">
        <f>VLOOKUP(E867,DATABASE!C:Q,11,false)</f>
        <v>SERVICE</v>
      </c>
    </row>
    <row r="868" ht="22.5" customHeight="1">
      <c r="A868" s="49"/>
      <c r="C868" s="384">
        <v>45708.0</v>
      </c>
      <c r="D868" s="65">
        <v>4408.0</v>
      </c>
      <c r="E868" s="445" t="s">
        <v>2135</v>
      </c>
      <c r="F868" s="386">
        <v>1.0</v>
      </c>
      <c r="G868" s="74">
        <v>15000.0</v>
      </c>
      <c r="H868" s="74">
        <v>0.0</v>
      </c>
      <c r="I868" s="74">
        <f t="shared" si="1"/>
        <v>15000</v>
      </c>
      <c r="J868" s="74">
        <f>IF(E868="SERVICE",I868-(I868*50%),Vlookup(E868,DATABASE!C:Q,10,false)*F868)</f>
        <v>0</v>
      </c>
      <c r="K868" s="74">
        <f>VLOOKUP(E868,DATABASE!C:Q,7,false)</f>
        <v>0</v>
      </c>
      <c r="L868" s="74">
        <v>0.0</v>
      </c>
      <c r="M868" s="74">
        <f t="shared" si="2"/>
        <v>0</v>
      </c>
      <c r="N868" s="74">
        <f t="shared" si="3"/>
        <v>15000</v>
      </c>
      <c r="O868" s="65" t="str">
        <f>VLOOKUP(E868,DATABASE!C:Q,8,false)</f>
        <v>IBU</v>
      </c>
      <c r="P868" s="65">
        <f>VLOOKUP(E868,DATABASE!C:Q,9,False)</f>
        <v>0</v>
      </c>
      <c r="Q868" s="93" t="str">
        <f>VLOOKUP(E868,DATABASE!C:Q,4,false)</f>
        <v>NITROGEN</v>
      </c>
      <c r="R868" s="93" t="str">
        <f>VLOOKUP(E868,DATABASE!C:Q,11,false)</f>
        <v>COMPLEMENTARY</v>
      </c>
    </row>
    <row r="869" ht="22.5" customHeight="1">
      <c r="A869" s="49"/>
      <c r="C869" s="384">
        <v>45708.0</v>
      </c>
      <c r="D869" s="65">
        <v>4409.0</v>
      </c>
      <c r="E869" s="445" t="s">
        <v>1301</v>
      </c>
      <c r="F869" s="386">
        <v>2.0</v>
      </c>
      <c r="G869" s="74">
        <v>1270000.0</v>
      </c>
      <c r="H869" s="74">
        <v>0.0</v>
      </c>
      <c r="I869" s="74">
        <f t="shared" si="1"/>
        <v>2540000</v>
      </c>
      <c r="J869" s="74">
        <f>IF(E869="SERVICE",I869-(I869*50%),Vlookup(E869,DATABASE!C:Q,10,false)*F869)</f>
        <v>0</v>
      </c>
      <c r="K869" s="74">
        <f>VLOOKUP(E869,DATABASE!C:Q,7,false)</f>
        <v>1194000</v>
      </c>
      <c r="L869" s="74">
        <v>1182000.0</v>
      </c>
      <c r="M869" s="74">
        <f t="shared" si="2"/>
        <v>1185000</v>
      </c>
      <c r="N869" s="74">
        <f t="shared" si="3"/>
        <v>170000</v>
      </c>
      <c r="O869" s="65" t="str">
        <f>VLOOKUP(E869,DATABASE!C:Q,8,false)</f>
        <v>IBU</v>
      </c>
      <c r="P869" s="65">
        <f>VLOOKUP(E869,DATABASE!C:Q,9,False)</f>
        <v>1</v>
      </c>
      <c r="Q869" s="93" t="str">
        <f>VLOOKUP(E869,DATABASE!C:Q,4,false)</f>
        <v>Dunlop</v>
      </c>
      <c r="R869" s="93" t="str">
        <f>VLOOKUP(E869,DATABASE!C:Q,11,false)</f>
        <v>Tire</v>
      </c>
    </row>
    <row r="870" ht="22.5" customHeight="1">
      <c r="A870" s="49"/>
      <c r="C870" s="384">
        <v>45708.0</v>
      </c>
      <c r="D870" s="65">
        <v>4409.0</v>
      </c>
      <c r="E870" s="385" t="s">
        <v>299</v>
      </c>
      <c r="F870" s="386">
        <v>2.0</v>
      </c>
      <c r="G870" s="74">
        <v>30000.0</v>
      </c>
      <c r="H870" s="74">
        <v>0.0</v>
      </c>
      <c r="I870" s="74">
        <f t="shared" si="1"/>
        <v>60000</v>
      </c>
      <c r="J870" s="74">
        <f>IF(E870="SERVICE",I870-(I870*50%),Vlookup(E870,DATABASE!C:Q,10,false)*F870)</f>
        <v>0</v>
      </c>
      <c r="K870" s="74">
        <v>0.0</v>
      </c>
      <c r="L870" s="74">
        <v>0.0</v>
      </c>
      <c r="M870" s="74">
        <f t="shared" si="2"/>
        <v>0</v>
      </c>
      <c r="N870" s="74">
        <f t="shared" si="3"/>
        <v>60000</v>
      </c>
      <c r="O870" s="65" t="str">
        <f>VLOOKUP(E870,DATABASE!C:Q,8,false)</f>
        <v>BIAN</v>
      </c>
      <c r="P870" s="65">
        <f>VLOOKUP(E870,DATABASE!C:Q,9,False)</f>
        <v>0</v>
      </c>
      <c r="Q870" s="93" t="str">
        <f>VLOOKUP(E870,DATABASE!C:Q,4,false)</f>
        <v>Balancing</v>
      </c>
      <c r="R870" s="93" t="str">
        <f>VLOOKUP(E870,DATABASE!C:Q,11,false)</f>
        <v>COMPLEMENTARY</v>
      </c>
    </row>
    <row r="871" ht="22.5" customHeight="1">
      <c r="A871" s="49"/>
      <c r="C871" s="384">
        <v>45708.0</v>
      </c>
      <c r="D871" s="65">
        <v>4411.0</v>
      </c>
      <c r="E871" s="445" t="s">
        <v>591</v>
      </c>
      <c r="F871" s="386">
        <v>4.0</v>
      </c>
      <c r="G871" s="74">
        <v>770000.0</v>
      </c>
      <c r="H871" s="74">
        <v>0.0</v>
      </c>
      <c r="I871" s="74">
        <f t="shared" si="1"/>
        <v>3080000</v>
      </c>
      <c r="J871" s="74">
        <f>IF(E871="SERVICE",I871-(I871*50%),Vlookup(E871,DATABASE!C:Q,10,false)*F871)</f>
        <v>0</v>
      </c>
      <c r="K871" s="74">
        <v>676728.0</v>
      </c>
      <c r="L871" s="74">
        <v>676728.0</v>
      </c>
      <c r="M871" s="74">
        <f t="shared" si="2"/>
        <v>680000</v>
      </c>
      <c r="N871" s="74">
        <f t="shared" si="3"/>
        <v>360000</v>
      </c>
      <c r="O871" s="65" t="str">
        <f>VLOOKUP(E871,DATABASE!C:Q,8,false)</f>
        <v>IBU</v>
      </c>
      <c r="P871" s="65">
        <f>VLOOKUP(E871,DATABASE!C:Q,9,False)</f>
        <v>1</v>
      </c>
      <c r="Q871" s="93" t="str">
        <f>VLOOKUP(E871,DATABASE!C:Q,4,false)</f>
        <v>Bridgestone</v>
      </c>
      <c r="R871" s="93" t="str">
        <f>VLOOKUP(E871,DATABASE!C:Q,11,false)</f>
        <v>Tire</v>
      </c>
    </row>
    <row r="872" ht="22.5" customHeight="1">
      <c r="A872" s="49"/>
      <c r="C872" s="384">
        <v>45708.0</v>
      </c>
      <c r="D872" s="65">
        <v>4411.0</v>
      </c>
      <c r="E872" s="385" t="s">
        <v>299</v>
      </c>
      <c r="F872" s="386">
        <v>2.0</v>
      </c>
      <c r="G872" s="74">
        <v>30000.0</v>
      </c>
      <c r="H872" s="74">
        <v>0.0</v>
      </c>
      <c r="I872" s="74">
        <f t="shared" si="1"/>
        <v>60000</v>
      </c>
      <c r="J872" s="74">
        <f>IF(E872="SERVICE",I872-(I872*50%),Vlookup(E872,DATABASE!C:Q,10,false)*F872)</f>
        <v>0</v>
      </c>
      <c r="K872" s="74">
        <v>0.0</v>
      </c>
      <c r="L872" s="74">
        <v>0.0</v>
      </c>
      <c r="M872" s="74">
        <f t="shared" si="2"/>
        <v>0</v>
      </c>
      <c r="N872" s="74">
        <f t="shared" si="3"/>
        <v>60000</v>
      </c>
      <c r="O872" s="65" t="str">
        <f>VLOOKUP(E872,DATABASE!C:Q,8,false)</f>
        <v>BIAN</v>
      </c>
      <c r="P872" s="65">
        <f>VLOOKUP(E872,DATABASE!C:Q,9,False)</f>
        <v>0</v>
      </c>
      <c r="Q872" s="93" t="str">
        <f>VLOOKUP(E872,DATABASE!C:Q,4,false)</f>
        <v>Balancing</v>
      </c>
      <c r="R872" s="93" t="str">
        <f>VLOOKUP(E872,DATABASE!C:Q,11,false)</f>
        <v>COMPLEMENTARY</v>
      </c>
    </row>
    <row r="873" ht="22.5" customHeight="1">
      <c r="A873" s="49"/>
      <c r="C873" s="384">
        <v>45708.0</v>
      </c>
      <c r="D873" s="65">
        <v>4411.0</v>
      </c>
      <c r="E873" s="445" t="s">
        <v>256</v>
      </c>
      <c r="F873" s="386">
        <v>1.0</v>
      </c>
      <c r="G873" s="74">
        <v>130000.0</v>
      </c>
      <c r="H873" s="74">
        <v>0.0</v>
      </c>
      <c r="I873" s="74">
        <f t="shared" si="1"/>
        <v>130000</v>
      </c>
      <c r="J873" s="74">
        <f>IF(E873="SERVICE",I873-(I873*50%),Vlookup(E873,DATABASE!C:Q,10,false)*F873)</f>
        <v>10000</v>
      </c>
      <c r="K873" s="74">
        <f>VLOOKUP(E873,DATABASE!C:Q,7,false)</f>
        <v>0</v>
      </c>
      <c r="L873" s="74">
        <v>0.0</v>
      </c>
      <c r="M873" s="74">
        <f t="shared" si="2"/>
        <v>0</v>
      </c>
      <c r="N873" s="74">
        <f t="shared" si="3"/>
        <v>120000</v>
      </c>
      <c r="O873" s="65" t="str">
        <f>VLOOKUP(E873,DATABASE!C:Q,8,false)</f>
        <v>IBU</v>
      </c>
      <c r="P873" s="65">
        <f>VLOOKUP(E873,DATABASE!C:Q,9,False)</f>
        <v>0</v>
      </c>
      <c r="Q873" s="93" t="str">
        <f>VLOOKUP(E873,DATABASE!C:Q,4,false)</f>
        <v>SPOORING</v>
      </c>
      <c r="R873" s="93" t="str">
        <f>VLOOKUP(E873,DATABASE!C:Q,11,false)</f>
        <v>SERVICE</v>
      </c>
    </row>
    <row r="874" ht="22.5" customHeight="1">
      <c r="A874" s="49"/>
      <c r="C874" s="384">
        <v>45708.0</v>
      </c>
      <c r="D874" s="65">
        <v>4411.0</v>
      </c>
      <c r="E874" s="445" t="s">
        <v>301</v>
      </c>
      <c r="F874" s="386">
        <v>1.0</v>
      </c>
      <c r="G874" s="74">
        <v>250000.0</v>
      </c>
      <c r="H874" s="74">
        <v>0.0</v>
      </c>
      <c r="I874" s="74">
        <f t="shared" si="1"/>
        <v>250000</v>
      </c>
      <c r="J874" s="74">
        <f>IF(E874="SERVICE",I874-(I874*50%),Vlookup(E874,DATABASE!C:Q,10,false)*F874)</f>
        <v>75000</v>
      </c>
      <c r="K874" s="74">
        <f>VLOOKUP(E874,DATABASE!C:Q,7,false)</f>
        <v>75000</v>
      </c>
      <c r="L874" s="74">
        <v>75000.0</v>
      </c>
      <c r="M874" s="74">
        <f t="shared" si="2"/>
        <v>75000</v>
      </c>
      <c r="N874" s="74">
        <f t="shared" si="3"/>
        <v>100000</v>
      </c>
      <c r="O874" s="65" t="str">
        <f>VLOOKUP(E874,DATABASE!C:Q,8,false)</f>
        <v>BIAN</v>
      </c>
      <c r="P874" s="65">
        <f>VLOOKUP(E874,DATABASE!C:Q,9,False)</f>
        <v>0</v>
      </c>
      <c r="Q874" s="93" t="str">
        <f>VLOOKUP(E874,DATABASE!C:Q,4,false)</f>
        <v>Baut Camber</v>
      </c>
      <c r="R874" s="93" t="str">
        <f>VLOOKUP(E874,DATABASE!C:Q,11,false)</f>
        <v>COMPLEMENTARY</v>
      </c>
    </row>
    <row r="875" ht="22.5" customHeight="1">
      <c r="A875" s="49"/>
      <c r="C875" s="384">
        <v>45708.0</v>
      </c>
      <c r="D875" s="65">
        <v>4412.0</v>
      </c>
      <c r="E875" s="445" t="s">
        <v>256</v>
      </c>
      <c r="F875" s="386">
        <v>1.0</v>
      </c>
      <c r="G875" s="74">
        <v>130000.0</v>
      </c>
      <c r="H875" s="74">
        <v>0.0</v>
      </c>
      <c r="I875" s="74">
        <f t="shared" si="1"/>
        <v>130000</v>
      </c>
      <c r="J875" s="74">
        <f>IF(E875="SERVICE",I875-(I875*50%),Vlookup(E875,DATABASE!C:Q,10,false)*F875)</f>
        <v>10000</v>
      </c>
      <c r="K875" s="74">
        <f>VLOOKUP(E875,DATABASE!C:Q,7,false)</f>
        <v>0</v>
      </c>
      <c r="L875" s="74">
        <v>0.0</v>
      </c>
      <c r="M875" s="74">
        <f t="shared" si="2"/>
        <v>0</v>
      </c>
      <c r="N875" s="74">
        <f t="shared" si="3"/>
        <v>120000</v>
      </c>
      <c r="O875" s="65" t="str">
        <f>VLOOKUP(E875,DATABASE!C:Q,8,false)</f>
        <v>IBU</v>
      </c>
      <c r="P875" s="65">
        <f>VLOOKUP(E875,DATABASE!C:Q,9,False)</f>
        <v>0</v>
      </c>
      <c r="Q875" s="93" t="str">
        <f>VLOOKUP(E875,DATABASE!C:Q,4,false)</f>
        <v>SPOORING</v>
      </c>
      <c r="R875" s="93" t="str">
        <f>VLOOKUP(E875,DATABASE!C:Q,11,false)</f>
        <v>SERVICE</v>
      </c>
    </row>
    <row r="876" ht="22.5" customHeight="1">
      <c r="A876" s="49"/>
      <c r="C876" s="384">
        <v>45708.0</v>
      </c>
      <c r="D876" s="65">
        <v>4414.0</v>
      </c>
      <c r="E876" s="445" t="s">
        <v>781</v>
      </c>
      <c r="F876" s="386">
        <v>3.0</v>
      </c>
      <c r="G876" s="74">
        <v>530000.0</v>
      </c>
      <c r="H876" s="74">
        <v>0.0</v>
      </c>
      <c r="I876" s="74">
        <f t="shared" si="1"/>
        <v>1590000</v>
      </c>
      <c r="J876" s="74">
        <f>IF(E876="SERVICE",I876-(I876*50%),Vlookup(E876,DATABASE!C:Q,10,false)*F876)</f>
        <v>0</v>
      </c>
      <c r="K876" s="74">
        <f>VLOOKUP(E876,DATABASE!C:Q,7,false)</f>
        <v>470000</v>
      </c>
      <c r="L876" s="74">
        <v>442500.0</v>
      </c>
      <c r="M876" s="74">
        <f t="shared" si="2"/>
        <v>445000</v>
      </c>
      <c r="N876" s="74">
        <f t="shared" si="3"/>
        <v>255000</v>
      </c>
      <c r="O876" s="65" t="str">
        <f>VLOOKUP(E876,DATABASE!C:Q,8,false)</f>
        <v>BIAN</v>
      </c>
      <c r="P876" s="65">
        <f>VLOOKUP(E876,DATABASE!C:Q,9,False)</f>
        <v>1</v>
      </c>
      <c r="Q876" s="93" t="str">
        <f>VLOOKUP(E876,DATABASE!C:Q,4,false)</f>
        <v>GT</v>
      </c>
      <c r="R876" s="93" t="str">
        <f>VLOOKUP(E876,DATABASE!C:Q,11,false)</f>
        <v>Tire</v>
      </c>
    </row>
    <row r="877" ht="22.5" customHeight="1">
      <c r="A877" s="49"/>
      <c r="C877" s="384">
        <v>45708.0</v>
      </c>
      <c r="D877" s="65">
        <v>4415.0</v>
      </c>
      <c r="E877" s="445" t="s">
        <v>262</v>
      </c>
      <c r="F877" s="386">
        <v>1.0</v>
      </c>
      <c r="G877" s="74">
        <v>110000.0</v>
      </c>
      <c r="H877" s="74">
        <v>0.0</v>
      </c>
      <c r="I877" s="74">
        <f t="shared" si="1"/>
        <v>110000</v>
      </c>
      <c r="J877" s="74">
        <f>IF(E877="SERVICE",I877-(I877*50%),Vlookup(E877,DATABASE!C:Q,10,false)*F877)</f>
        <v>5000</v>
      </c>
      <c r="K877" s="74">
        <f>VLOOKUP(E877,DATABASE!C:Q,7,false)</f>
        <v>0</v>
      </c>
      <c r="L877" s="74">
        <v>0.0</v>
      </c>
      <c r="M877" s="74">
        <f t="shared" si="2"/>
        <v>0</v>
      </c>
      <c r="N877" s="74">
        <f t="shared" si="3"/>
        <v>105000</v>
      </c>
      <c r="O877" s="65" t="str">
        <f>VLOOKUP(E877,DATABASE!C:Q,8,false)</f>
        <v>IBU</v>
      </c>
      <c r="P877" s="65">
        <f>VLOOKUP(E877,DATABASE!C:Q,9,False)</f>
        <v>0</v>
      </c>
      <c r="Q877" s="93" t="str">
        <f>VLOOKUP(E877,DATABASE!C:Q,4,false)</f>
        <v>SPOORING SS/CARRY LOS BAK</v>
      </c>
      <c r="R877" s="93" t="str">
        <f>VLOOKUP(E877,DATABASE!C:Q,11,false)</f>
        <v>SERVICE</v>
      </c>
    </row>
    <row r="878" ht="22.5" customHeight="1">
      <c r="A878" s="49"/>
      <c r="C878" s="384">
        <v>45708.0</v>
      </c>
      <c r="D878" s="65">
        <v>4415.0</v>
      </c>
      <c r="E878" s="445" t="s">
        <v>478</v>
      </c>
      <c r="F878" s="386">
        <v>1.0</v>
      </c>
      <c r="G878" s="74">
        <v>200000.0</v>
      </c>
      <c r="H878" s="74">
        <v>0.0</v>
      </c>
      <c r="I878" s="74">
        <f t="shared" si="1"/>
        <v>200000</v>
      </c>
      <c r="J878" s="74">
        <f>IF(E878="SERVICE",I878-(I878*50%),Vlookup(E878,DATABASE!C:Q,10,false)*F878)</f>
        <v>25000</v>
      </c>
      <c r="K878" s="74">
        <f>VLOOKUP(E878,DATABASE!C:Q,7,false)</f>
        <v>75000</v>
      </c>
      <c r="L878" s="74">
        <v>75000.0</v>
      </c>
      <c r="M878" s="74">
        <f t="shared" si="2"/>
        <v>75000</v>
      </c>
      <c r="N878" s="74">
        <f t="shared" si="3"/>
        <v>100000</v>
      </c>
      <c r="O878" s="65" t="str">
        <f>VLOOKUP(E878,DATABASE!C:Q,8,false)</f>
        <v>BIAN</v>
      </c>
      <c r="P878" s="65">
        <f>VLOOKUP(E878,DATABASE!C:Q,9,False)</f>
        <v>0</v>
      </c>
      <c r="Q878" s="93" t="str">
        <f>VLOOKUP(E878,DATABASE!C:Q,4,false)</f>
        <v>Baut Camber ss-carry</v>
      </c>
      <c r="R878" s="93" t="str">
        <f>VLOOKUP(E878,DATABASE!C:Q,11,false)</f>
        <v>COMPLEMENTARY</v>
      </c>
    </row>
    <row r="879" ht="22.5" customHeight="1">
      <c r="A879" s="49"/>
      <c r="C879" s="384">
        <v>45708.0</v>
      </c>
      <c r="D879" s="65">
        <v>4416.0</v>
      </c>
      <c r="E879" s="445" t="s">
        <v>256</v>
      </c>
      <c r="F879" s="386">
        <v>1.0</v>
      </c>
      <c r="G879" s="74">
        <v>130000.0</v>
      </c>
      <c r="H879" s="74">
        <v>0.0</v>
      </c>
      <c r="I879" s="74">
        <f t="shared" si="1"/>
        <v>130000</v>
      </c>
      <c r="J879" s="74">
        <f>IF(E879="SERVICE",I879-(I879*50%),Vlookup(E879,DATABASE!C:Q,10,false)*F879)</f>
        <v>10000</v>
      </c>
      <c r="K879" s="74">
        <f>VLOOKUP(E879,DATABASE!C:Q,7,false)</f>
        <v>0</v>
      </c>
      <c r="L879" s="74">
        <v>0.0</v>
      </c>
      <c r="M879" s="74">
        <f t="shared" si="2"/>
        <v>0</v>
      </c>
      <c r="N879" s="74">
        <f t="shared" si="3"/>
        <v>120000</v>
      </c>
      <c r="O879" s="65" t="str">
        <f>VLOOKUP(E879,DATABASE!C:Q,8,false)</f>
        <v>IBU</v>
      </c>
      <c r="P879" s="65">
        <f>VLOOKUP(E879,DATABASE!C:Q,9,False)</f>
        <v>0</v>
      </c>
      <c r="Q879" s="93" t="str">
        <f>VLOOKUP(E879,DATABASE!C:Q,4,false)</f>
        <v>SPOORING</v>
      </c>
      <c r="R879" s="93" t="str">
        <f>VLOOKUP(E879,DATABASE!C:Q,11,false)</f>
        <v>SERVICE</v>
      </c>
    </row>
    <row r="880" ht="22.5" customHeight="1">
      <c r="A880" s="49"/>
      <c r="C880" s="384">
        <v>45708.0</v>
      </c>
      <c r="D880" s="65">
        <v>4416.0</v>
      </c>
      <c r="E880" s="445" t="s">
        <v>301</v>
      </c>
      <c r="F880" s="386">
        <v>1.0</v>
      </c>
      <c r="G880" s="74">
        <v>250000.0</v>
      </c>
      <c r="H880" s="74">
        <v>0.0</v>
      </c>
      <c r="I880" s="74">
        <f t="shared" si="1"/>
        <v>250000</v>
      </c>
      <c r="J880" s="74">
        <f>IF(E880="SERVICE",I880-(I880*50%),Vlookup(E880,DATABASE!C:Q,10,false)*F880)</f>
        <v>75000</v>
      </c>
      <c r="K880" s="74">
        <f>VLOOKUP(E880,DATABASE!C:Q,7,false)</f>
        <v>75000</v>
      </c>
      <c r="L880" s="74">
        <v>75000.0</v>
      </c>
      <c r="M880" s="74">
        <f t="shared" si="2"/>
        <v>75000</v>
      </c>
      <c r="N880" s="74">
        <f t="shared" si="3"/>
        <v>100000</v>
      </c>
      <c r="O880" s="65" t="str">
        <f>VLOOKUP(E880,DATABASE!C:Q,8,false)</f>
        <v>BIAN</v>
      </c>
      <c r="P880" s="65">
        <f>VLOOKUP(E880,DATABASE!C:Q,9,False)</f>
        <v>0</v>
      </c>
      <c r="Q880" s="93" t="str">
        <f>VLOOKUP(E880,DATABASE!C:Q,4,false)</f>
        <v>Baut Camber</v>
      </c>
      <c r="R880" s="93" t="str">
        <f>VLOOKUP(E880,DATABASE!C:Q,11,false)</f>
        <v>COMPLEMENTARY</v>
      </c>
    </row>
    <row r="881" ht="22.5" customHeight="1">
      <c r="A881" s="49"/>
      <c r="C881" s="384">
        <v>45709.0</v>
      </c>
      <c r="D881" s="65">
        <v>4417.0</v>
      </c>
      <c r="E881" s="445" t="s">
        <v>968</v>
      </c>
      <c r="F881" s="386">
        <v>1.0</v>
      </c>
      <c r="G881" s="74">
        <v>660000.0</v>
      </c>
      <c r="H881" s="74">
        <v>0.0</v>
      </c>
      <c r="I881" s="74">
        <f t="shared" si="1"/>
        <v>660000</v>
      </c>
      <c r="J881" s="74">
        <f>IF(E881="SERVICE",I881-(I881*50%),Vlookup(E881,DATABASE!C:Q,10,false)*F881)</f>
        <v>0</v>
      </c>
      <c r="K881" s="74">
        <f>VLOOKUP(E881,DATABASE!C:Q,7,false)</f>
        <v>582500</v>
      </c>
      <c r="L881" s="74">
        <v>582500.0</v>
      </c>
      <c r="M881" s="74">
        <f t="shared" si="2"/>
        <v>585000</v>
      </c>
      <c r="N881" s="74">
        <f t="shared" si="3"/>
        <v>75000</v>
      </c>
      <c r="O881" s="65" t="str">
        <f>VLOOKUP(E881,DATABASE!C:Q,8,false)</f>
        <v>IBU</v>
      </c>
      <c r="P881" s="65">
        <f>VLOOKUP(E881,DATABASE!C:Q,9,False)</f>
        <v>1</v>
      </c>
      <c r="Q881" s="93" t="str">
        <f>VLOOKUP(E881,DATABASE!C:Q,4,false)</f>
        <v>Dunlop</v>
      </c>
      <c r="R881" s="93" t="str">
        <f>VLOOKUP(E881,DATABASE!C:Q,11,false)</f>
        <v>Tire</v>
      </c>
    </row>
    <row r="882" ht="22.5" customHeight="1">
      <c r="A882" s="49"/>
      <c r="C882" s="384">
        <v>45709.0</v>
      </c>
      <c r="D882" s="65">
        <v>4418.0</v>
      </c>
      <c r="E882" s="445" t="s">
        <v>374</v>
      </c>
      <c r="F882" s="386">
        <v>2.0</v>
      </c>
      <c r="G882" s="74">
        <v>1950000.0</v>
      </c>
      <c r="H882" s="74">
        <v>0.0</v>
      </c>
      <c r="I882" s="74">
        <f t="shared" si="1"/>
        <v>3900000</v>
      </c>
      <c r="J882" s="74">
        <f>IF(E882="SERVICE",I882-(I882*50%),Vlookup(E882,DATABASE!C:Q,10,false)*F882)</f>
        <v>0</v>
      </c>
      <c r="K882" s="74">
        <f>VLOOKUP(E882,DATABASE!C:Q,7,false)</f>
        <v>1980000</v>
      </c>
      <c r="L882" s="74">
        <v>1850000.0</v>
      </c>
      <c r="M882" s="74">
        <f t="shared" si="2"/>
        <v>1850000</v>
      </c>
      <c r="N882" s="74">
        <f t="shared" si="3"/>
        <v>200000</v>
      </c>
      <c r="O882" s="65" t="str">
        <f>VLOOKUP(E882,DATABASE!C:Q,8,false)</f>
        <v>BIAN</v>
      </c>
      <c r="P882" s="65">
        <f>VLOOKUP(E882,DATABASE!C:Q,9,False)</f>
        <v>1</v>
      </c>
      <c r="Q882" s="93" t="str">
        <f>VLOOKUP(E882,DATABASE!C:Q,4,false)</f>
        <v>Advance</v>
      </c>
      <c r="R882" s="93" t="str">
        <f>VLOOKUP(E882,DATABASE!C:Q,11,false)</f>
        <v>Tire</v>
      </c>
    </row>
    <row r="883" ht="22.5" customHeight="1">
      <c r="A883" s="49"/>
      <c r="C883" s="384">
        <v>45709.0</v>
      </c>
      <c r="D883" s="65">
        <v>4420.0</v>
      </c>
      <c r="E883" s="445" t="s">
        <v>268</v>
      </c>
      <c r="F883" s="386">
        <v>5.0</v>
      </c>
      <c r="G883" s="74">
        <v>690000.0</v>
      </c>
      <c r="H883" s="74">
        <v>0.0</v>
      </c>
      <c r="I883" s="74">
        <f t="shared" si="1"/>
        <v>3450000</v>
      </c>
      <c r="J883" s="74">
        <f>IF(E883="SERVICE",I883-(I883*50%),Vlookup(E883,DATABASE!C:Q,10,false)*F883)</f>
        <v>0</v>
      </c>
      <c r="K883" s="74">
        <v>613000.0</v>
      </c>
      <c r="L883" s="74">
        <v>613000.0</v>
      </c>
      <c r="M883" s="74">
        <f t="shared" si="2"/>
        <v>615000</v>
      </c>
      <c r="N883" s="74">
        <f t="shared" si="3"/>
        <v>375000</v>
      </c>
      <c r="O883" s="65" t="str">
        <f>VLOOKUP(E883,DATABASE!C:Q,8,false)</f>
        <v>IBU</v>
      </c>
      <c r="P883" s="65">
        <f>VLOOKUP(E883,DATABASE!C:Q,9,False)</f>
        <v>1</v>
      </c>
      <c r="Q883" s="93" t="str">
        <f>VLOOKUP(E883,DATABASE!C:Q,4,false)</f>
        <v>Dunlop</v>
      </c>
      <c r="R883" s="93" t="str">
        <f>VLOOKUP(E883,DATABASE!C:Q,11,false)</f>
        <v>Tire</v>
      </c>
    </row>
    <row r="884" ht="22.5" customHeight="1">
      <c r="A884" s="49"/>
      <c r="C884" s="384">
        <v>45709.0</v>
      </c>
      <c r="D884" s="65">
        <v>4420.0</v>
      </c>
      <c r="E884" s="385" t="s">
        <v>299</v>
      </c>
      <c r="F884" s="386">
        <v>2.0</v>
      </c>
      <c r="G884" s="74">
        <v>30000.0</v>
      </c>
      <c r="H884" s="74">
        <v>0.0</v>
      </c>
      <c r="I884" s="74">
        <f t="shared" si="1"/>
        <v>60000</v>
      </c>
      <c r="J884" s="74">
        <f>IF(E884="SERVICE",I884-(I884*50%),Vlookup(E884,DATABASE!C:Q,10,false)*F884)</f>
        <v>0</v>
      </c>
      <c r="K884" s="74">
        <v>0.0</v>
      </c>
      <c r="L884" s="74">
        <v>0.0</v>
      </c>
      <c r="M884" s="74">
        <f t="shared" si="2"/>
        <v>0</v>
      </c>
      <c r="N884" s="74">
        <f t="shared" si="3"/>
        <v>60000</v>
      </c>
      <c r="O884" s="65" t="str">
        <f>VLOOKUP(E884,DATABASE!C:Q,8,false)</f>
        <v>BIAN</v>
      </c>
      <c r="P884" s="65">
        <f>VLOOKUP(E884,DATABASE!C:Q,9,False)</f>
        <v>0</v>
      </c>
      <c r="Q884" s="93" t="str">
        <f>VLOOKUP(E884,DATABASE!C:Q,4,false)</f>
        <v>Balancing</v>
      </c>
      <c r="R884" s="93" t="str">
        <f>VLOOKUP(E884,DATABASE!C:Q,11,false)</f>
        <v>COMPLEMENTARY</v>
      </c>
    </row>
    <row r="885" ht="22.5" customHeight="1">
      <c r="A885" s="49"/>
      <c r="C885" s="384">
        <v>45709.0</v>
      </c>
      <c r="D885" s="65">
        <v>4420.0</v>
      </c>
      <c r="E885" s="445" t="s">
        <v>256</v>
      </c>
      <c r="F885" s="386">
        <v>1.0</v>
      </c>
      <c r="G885" s="74">
        <v>130000.0</v>
      </c>
      <c r="H885" s="74">
        <v>0.0</v>
      </c>
      <c r="I885" s="74">
        <f t="shared" si="1"/>
        <v>130000</v>
      </c>
      <c r="J885" s="74">
        <f>IF(E885="SERVICE",I885-(I885*50%),Vlookup(E885,DATABASE!C:Q,10,false)*F885)</f>
        <v>10000</v>
      </c>
      <c r="K885" s="74">
        <f>VLOOKUP(E885,DATABASE!C:Q,7,false)</f>
        <v>0</v>
      </c>
      <c r="L885" s="74">
        <v>0.0</v>
      </c>
      <c r="M885" s="74">
        <f t="shared" si="2"/>
        <v>0</v>
      </c>
      <c r="N885" s="74">
        <f t="shared" si="3"/>
        <v>120000</v>
      </c>
      <c r="O885" s="65" t="str">
        <f>VLOOKUP(E885,DATABASE!C:Q,8,false)</f>
        <v>IBU</v>
      </c>
      <c r="P885" s="65">
        <f>VLOOKUP(E885,DATABASE!C:Q,9,False)</f>
        <v>0</v>
      </c>
      <c r="Q885" s="93" t="str">
        <f>VLOOKUP(E885,DATABASE!C:Q,4,false)</f>
        <v>SPOORING</v>
      </c>
      <c r="R885" s="93" t="str">
        <f>VLOOKUP(E885,DATABASE!C:Q,11,false)</f>
        <v>SERVICE</v>
      </c>
    </row>
    <row r="886" ht="22.5" customHeight="1">
      <c r="A886" s="49"/>
      <c r="C886" s="384">
        <v>45709.0</v>
      </c>
      <c r="D886" s="65">
        <v>4421.0</v>
      </c>
      <c r="E886" s="445" t="s">
        <v>256</v>
      </c>
      <c r="F886" s="386">
        <v>1.0</v>
      </c>
      <c r="G886" s="74">
        <v>130000.0</v>
      </c>
      <c r="H886" s="74">
        <v>0.0</v>
      </c>
      <c r="I886" s="74">
        <f t="shared" si="1"/>
        <v>130000</v>
      </c>
      <c r="J886" s="74">
        <f>IF(E886="SERVICE",I886-(I886*50%),Vlookup(E886,DATABASE!C:Q,10,false)*F886)</f>
        <v>10000</v>
      </c>
      <c r="K886" s="74">
        <f>VLOOKUP(E886,DATABASE!C:Q,7,false)</f>
        <v>0</v>
      </c>
      <c r="L886" s="74">
        <v>0.0</v>
      </c>
      <c r="M886" s="74">
        <f t="shared" si="2"/>
        <v>0</v>
      </c>
      <c r="N886" s="74">
        <f t="shared" si="3"/>
        <v>120000</v>
      </c>
      <c r="O886" s="65" t="str">
        <f>VLOOKUP(E886,DATABASE!C:Q,8,false)</f>
        <v>IBU</v>
      </c>
      <c r="P886" s="65">
        <f>VLOOKUP(E886,DATABASE!C:Q,9,False)</f>
        <v>0</v>
      </c>
      <c r="Q886" s="93" t="str">
        <f>VLOOKUP(E886,DATABASE!C:Q,4,false)</f>
        <v>SPOORING</v>
      </c>
      <c r="R886" s="93" t="str">
        <f>VLOOKUP(E886,DATABASE!C:Q,11,false)</f>
        <v>SERVICE</v>
      </c>
    </row>
    <row r="887" ht="22.5" customHeight="1">
      <c r="A887" s="49"/>
      <c r="C887" s="384">
        <v>45709.0</v>
      </c>
      <c r="D887" s="65">
        <v>4421.0</v>
      </c>
      <c r="E887" s="445" t="s">
        <v>301</v>
      </c>
      <c r="F887" s="386">
        <v>1.0</v>
      </c>
      <c r="G887" s="74">
        <v>250000.0</v>
      </c>
      <c r="H887" s="74">
        <v>0.0</v>
      </c>
      <c r="I887" s="74">
        <f t="shared" si="1"/>
        <v>250000</v>
      </c>
      <c r="J887" s="74">
        <f>IF(E887="SERVICE",I887-(I887*50%),Vlookup(E887,DATABASE!C:Q,10,false)*F887)</f>
        <v>75000</v>
      </c>
      <c r="K887" s="74">
        <f>VLOOKUP(E887,DATABASE!C:Q,7,false)</f>
        <v>75000</v>
      </c>
      <c r="L887" s="74">
        <v>75000.0</v>
      </c>
      <c r="M887" s="74">
        <f t="shared" si="2"/>
        <v>75000</v>
      </c>
      <c r="N887" s="74">
        <f t="shared" si="3"/>
        <v>100000</v>
      </c>
      <c r="O887" s="65" t="str">
        <f>VLOOKUP(E887,DATABASE!C:Q,8,false)</f>
        <v>BIAN</v>
      </c>
      <c r="P887" s="65">
        <f>VLOOKUP(E887,DATABASE!C:Q,9,False)</f>
        <v>0</v>
      </c>
      <c r="Q887" s="93" t="str">
        <f>VLOOKUP(E887,DATABASE!C:Q,4,false)</f>
        <v>Baut Camber</v>
      </c>
      <c r="R887" s="93" t="str">
        <f>VLOOKUP(E887,DATABASE!C:Q,11,false)</f>
        <v>COMPLEMENTARY</v>
      </c>
    </row>
    <row r="888" ht="22.5" customHeight="1">
      <c r="A888" s="49"/>
      <c r="C888" s="384">
        <v>45709.0</v>
      </c>
      <c r="D888" s="65">
        <v>4422.0</v>
      </c>
      <c r="E888" s="445" t="s">
        <v>1565</v>
      </c>
      <c r="F888" s="386">
        <v>2.0</v>
      </c>
      <c r="G888" s="74">
        <v>1425000.0</v>
      </c>
      <c r="H888" s="74">
        <v>0.0</v>
      </c>
      <c r="I888" s="74">
        <f t="shared" si="1"/>
        <v>2850000</v>
      </c>
      <c r="J888" s="74">
        <f>IF(E888="SERVICE",I888-(I888*50%),Vlookup(E888,DATABASE!C:Q,10,false)*F888)</f>
        <v>0</v>
      </c>
      <c r="K888" s="74">
        <f>VLOOKUP(E888,DATABASE!C:Q,7,false)</f>
        <v>1292000</v>
      </c>
      <c r="L888" s="74">
        <v>1320000.0</v>
      </c>
      <c r="M888" s="74">
        <f t="shared" si="2"/>
        <v>1320000</v>
      </c>
      <c r="N888" s="74">
        <f t="shared" si="3"/>
        <v>210000</v>
      </c>
      <c r="O888" s="65" t="str">
        <f>VLOOKUP(E888,DATABASE!C:Q,8,false)</f>
        <v>IBU</v>
      </c>
      <c r="P888" s="65">
        <f>VLOOKUP(E888,DATABASE!C:Q,9,False)</f>
        <v>1</v>
      </c>
      <c r="Q888" s="93" t="str">
        <f>VLOOKUP(E888,DATABASE!C:Q,4,false)</f>
        <v>Dunlop</v>
      </c>
      <c r="R888" s="93" t="str">
        <f>VLOOKUP(E888,DATABASE!C:Q,11,false)</f>
        <v>Tire</v>
      </c>
    </row>
    <row r="889" ht="22.5" customHeight="1">
      <c r="A889" s="49"/>
      <c r="C889" s="384">
        <v>45709.0</v>
      </c>
      <c r="D889" s="65">
        <v>4423.0</v>
      </c>
      <c r="E889" s="445" t="s">
        <v>932</v>
      </c>
      <c r="F889" s="386">
        <v>2.0</v>
      </c>
      <c r="G889" s="74">
        <v>670000.0</v>
      </c>
      <c r="H889" s="74">
        <v>0.0</v>
      </c>
      <c r="I889" s="74">
        <f t="shared" si="1"/>
        <v>1340000</v>
      </c>
      <c r="J889" s="74">
        <f>IF(E889="SERVICE",I889-(I889*50%),Vlookup(E889,DATABASE!C:Q,10,false)*F889)</f>
        <v>0</v>
      </c>
      <c r="K889" s="74">
        <v>575000.0</v>
      </c>
      <c r="L889" s="74">
        <v>575000.0</v>
      </c>
      <c r="M889" s="74">
        <f t="shared" si="2"/>
        <v>575000</v>
      </c>
      <c r="N889" s="74">
        <f t="shared" si="3"/>
        <v>190000</v>
      </c>
      <c r="O889" s="65" t="str">
        <f>VLOOKUP(E889,DATABASE!C:Q,8,false)</f>
        <v>IBU</v>
      </c>
      <c r="P889" s="65">
        <f>VLOOKUP(E889,DATABASE!C:Q,9,False)</f>
        <v>1</v>
      </c>
      <c r="Q889" s="93" t="str">
        <f>VLOOKUP(E889,DATABASE!C:Q,4,false)</f>
        <v>Dunlop</v>
      </c>
      <c r="R889" s="93" t="str">
        <f>VLOOKUP(E889,DATABASE!C:Q,11,false)</f>
        <v>Tire</v>
      </c>
    </row>
    <row r="890" ht="22.5" customHeight="1">
      <c r="A890" s="49"/>
      <c r="C890" s="384">
        <v>45709.0</v>
      </c>
      <c r="D890" s="65">
        <v>4424.0</v>
      </c>
      <c r="E890" s="445" t="s">
        <v>856</v>
      </c>
      <c r="F890" s="386">
        <v>2.0</v>
      </c>
      <c r="G890" s="74">
        <v>670000.0</v>
      </c>
      <c r="H890" s="74">
        <v>0.0</v>
      </c>
      <c r="I890" s="74">
        <f t="shared" si="1"/>
        <v>1340000</v>
      </c>
      <c r="J890" s="74">
        <f>IF(E890="SERVICE",I890-(I890*50%),Vlookup(E890,DATABASE!C:Q,10,false)*F890)</f>
        <v>0</v>
      </c>
      <c r="K890" s="74">
        <f>VLOOKUP(E890,DATABASE!C:Q,7,false)</f>
        <v>615300</v>
      </c>
      <c r="L890" s="74">
        <v>581120.0</v>
      </c>
      <c r="M890" s="74">
        <f t="shared" si="2"/>
        <v>585000</v>
      </c>
      <c r="N890" s="74">
        <f t="shared" si="3"/>
        <v>170000</v>
      </c>
      <c r="O890" s="65" t="str">
        <f>VLOOKUP(E890,DATABASE!C:Q,8,false)</f>
        <v>BIAN</v>
      </c>
      <c r="P890" s="65">
        <f>VLOOKUP(E890,DATABASE!C:Q,9,False)</f>
        <v>1</v>
      </c>
      <c r="Q890" s="93" t="str">
        <f>VLOOKUP(E890,DATABASE!C:Q,4,false)</f>
        <v>GT</v>
      </c>
      <c r="R890" s="93" t="str">
        <f>VLOOKUP(E890,DATABASE!C:Q,11,false)</f>
        <v>Tire</v>
      </c>
    </row>
    <row r="891" ht="22.5" customHeight="1">
      <c r="A891" s="49"/>
      <c r="C891" s="384">
        <v>45709.0</v>
      </c>
      <c r="D891" s="65">
        <v>4425.0</v>
      </c>
      <c r="E891" s="445" t="s">
        <v>256</v>
      </c>
      <c r="F891" s="386">
        <v>1.0</v>
      </c>
      <c r="G891" s="74">
        <v>130000.0</v>
      </c>
      <c r="H891" s="74">
        <v>0.0</v>
      </c>
      <c r="I891" s="74">
        <f t="shared" si="1"/>
        <v>130000</v>
      </c>
      <c r="J891" s="74">
        <f>IF(E891="SERVICE",I891-(I891*50%),Vlookup(E891,DATABASE!C:Q,10,false)*F891)</f>
        <v>10000</v>
      </c>
      <c r="K891" s="74">
        <f>VLOOKUP(E891,DATABASE!C:Q,7,false)</f>
        <v>0</v>
      </c>
      <c r="L891" s="74">
        <v>0.0</v>
      </c>
      <c r="M891" s="74">
        <f t="shared" si="2"/>
        <v>0</v>
      </c>
      <c r="N891" s="74">
        <f t="shared" si="3"/>
        <v>120000</v>
      </c>
      <c r="O891" s="65" t="str">
        <f>VLOOKUP(E891,DATABASE!C:Q,8,false)</f>
        <v>IBU</v>
      </c>
      <c r="P891" s="65">
        <f>VLOOKUP(E891,DATABASE!C:Q,9,False)</f>
        <v>0</v>
      </c>
      <c r="Q891" s="93" t="str">
        <f>VLOOKUP(E891,DATABASE!C:Q,4,false)</f>
        <v>SPOORING</v>
      </c>
      <c r="R891" s="93" t="str">
        <f>VLOOKUP(E891,DATABASE!C:Q,11,false)</f>
        <v>SERVICE</v>
      </c>
    </row>
    <row r="892" ht="22.5" customHeight="1">
      <c r="A892" s="49"/>
      <c r="C892" s="384">
        <v>45709.0</v>
      </c>
      <c r="D892" s="65">
        <v>4425.0</v>
      </c>
      <c r="E892" s="445" t="s">
        <v>301</v>
      </c>
      <c r="F892" s="386">
        <v>1.0</v>
      </c>
      <c r="G892" s="74">
        <v>250000.0</v>
      </c>
      <c r="H892" s="74">
        <v>0.0</v>
      </c>
      <c r="I892" s="74">
        <f t="shared" si="1"/>
        <v>250000</v>
      </c>
      <c r="J892" s="74">
        <f>IF(E892="SERVICE",I892-(I892*50%),Vlookup(E892,DATABASE!C:Q,10,false)*F892)</f>
        <v>75000</v>
      </c>
      <c r="K892" s="74">
        <f>VLOOKUP(E892,DATABASE!C:Q,7,false)</f>
        <v>75000</v>
      </c>
      <c r="L892" s="74">
        <v>75000.0</v>
      </c>
      <c r="M892" s="74">
        <f t="shared" si="2"/>
        <v>75000</v>
      </c>
      <c r="N892" s="74">
        <f t="shared" si="3"/>
        <v>100000</v>
      </c>
      <c r="O892" s="65" t="str">
        <f>VLOOKUP(E892,DATABASE!C:Q,8,false)</f>
        <v>BIAN</v>
      </c>
      <c r="P892" s="65">
        <f>VLOOKUP(E892,DATABASE!C:Q,9,False)</f>
        <v>0</v>
      </c>
      <c r="Q892" s="93" t="str">
        <f>VLOOKUP(E892,DATABASE!C:Q,4,false)</f>
        <v>Baut Camber</v>
      </c>
      <c r="R892" s="93" t="str">
        <f>VLOOKUP(E892,DATABASE!C:Q,11,false)</f>
        <v>COMPLEMENTARY</v>
      </c>
    </row>
    <row r="893" ht="22.5" customHeight="1">
      <c r="A893" s="49"/>
      <c r="C893" s="384">
        <v>45709.0</v>
      </c>
      <c r="D893" s="65">
        <v>4426.0</v>
      </c>
      <c r="E893" s="445" t="s">
        <v>1196</v>
      </c>
      <c r="F893" s="386">
        <v>2.0</v>
      </c>
      <c r="G893" s="74">
        <v>1045000.0</v>
      </c>
      <c r="H893" s="74">
        <v>0.0</v>
      </c>
      <c r="I893" s="74">
        <f t="shared" si="1"/>
        <v>2090000</v>
      </c>
      <c r="J893" s="74">
        <f>IF(E893="SERVICE",I893-(I893*50%),Vlookup(E893,DATABASE!C:Q,10,false)*F893)</f>
        <v>0</v>
      </c>
      <c r="K893" s="74">
        <f>VLOOKUP(E893,DATABASE!C:Q,7,false)</f>
        <v>943430.5</v>
      </c>
      <c r="L893" s="74">
        <v>945190.375</v>
      </c>
      <c r="M893" s="74">
        <f t="shared" si="2"/>
        <v>950000</v>
      </c>
      <c r="N893" s="74">
        <f t="shared" si="3"/>
        <v>190000</v>
      </c>
      <c r="O893" s="65" t="str">
        <f>VLOOKUP(E893,DATABASE!C:Q,8,false)</f>
        <v>IBU</v>
      </c>
      <c r="P893" s="65">
        <f>VLOOKUP(E893,DATABASE!C:Q,9,False)</f>
        <v>1</v>
      </c>
      <c r="Q893" s="93" t="str">
        <f>VLOOKUP(E893,DATABASE!C:Q,4,false)</f>
        <v>Bridgestone</v>
      </c>
      <c r="R893" s="93" t="str">
        <f>VLOOKUP(E893,DATABASE!C:Q,11,false)</f>
        <v>Tire</v>
      </c>
    </row>
    <row r="894" ht="22.5" customHeight="1">
      <c r="A894" s="49"/>
      <c r="C894" s="384">
        <v>45709.0</v>
      </c>
      <c r="D894" s="65">
        <v>4427.0</v>
      </c>
      <c r="E894" s="445" t="s">
        <v>937</v>
      </c>
      <c r="F894" s="386">
        <v>2.0</v>
      </c>
      <c r="G894" s="74">
        <v>900000.0</v>
      </c>
      <c r="H894" s="74">
        <v>0.0</v>
      </c>
      <c r="I894" s="74">
        <f t="shared" si="1"/>
        <v>1800000</v>
      </c>
      <c r="J894" s="74">
        <f>IF(E894="SERVICE",I894-(I894*50%),Vlookup(E894,DATABASE!C:Q,10,false)*F894)</f>
        <v>0</v>
      </c>
      <c r="K894" s="74">
        <f>VLOOKUP(E894,DATABASE!C:Q,7,false)</f>
        <v>825000</v>
      </c>
      <c r="L894" s="74">
        <v>790000.0</v>
      </c>
      <c r="M894" s="74">
        <f t="shared" si="2"/>
        <v>790000</v>
      </c>
      <c r="N894" s="74">
        <f t="shared" si="3"/>
        <v>220000</v>
      </c>
      <c r="O894" s="65" t="str">
        <f>VLOOKUP(E894,DATABASE!C:Q,8,false)</f>
        <v>IBU</v>
      </c>
      <c r="P894" s="65">
        <f>VLOOKUP(E894,DATABASE!C:Q,9,False)</f>
        <v>1</v>
      </c>
      <c r="Q894" s="93" t="str">
        <f>VLOOKUP(E894,DATABASE!C:Q,4,false)</f>
        <v>Bridgestone</v>
      </c>
      <c r="R894" s="93" t="str">
        <f>VLOOKUP(E894,DATABASE!C:Q,11,false)</f>
        <v>Tire</v>
      </c>
    </row>
    <row r="895" ht="22.5" customHeight="1">
      <c r="A895" s="49"/>
      <c r="C895" s="384">
        <v>45709.0</v>
      </c>
      <c r="D895" s="65">
        <v>4429.0</v>
      </c>
      <c r="E895" s="445" t="s">
        <v>246</v>
      </c>
      <c r="F895" s="386">
        <v>2.0</v>
      </c>
      <c r="G895" s="74">
        <v>30000.0</v>
      </c>
      <c r="H895" s="74">
        <v>0.0</v>
      </c>
      <c r="I895" s="74">
        <f t="shared" si="1"/>
        <v>60000</v>
      </c>
      <c r="J895" s="74">
        <f>IF(E895="SERVICE",I895-(I895*50%),Vlookup(E895,DATABASE!C:Q,10,false)*F895)</f>
        <v>0</v>
      </c>
      <c r="K895" s="74">
        <f>VLOOKUP(E895,DATABASE!C:Q,7,false)</f>
        <v>0</v>
      </c>
      <c r="L895" s="74">
        <v>0.0</v>
      </c>
      <c r="M895" s="74">
        <f t="shared" si="2"/>
        <v>0</v>
      </c>
      <c r="N895" s="74">
        <f t="shared" si="3"/>
        <v>60000</v>
      </c>
      <c r="O895" s="65" t="str">
        <f>VLOOKUP(E895,DATABASE!C:Q,8,false)</f>
        <v>IBU</v>
      </c>
      <c r="P895" s="65">
        <f>VLOOKUP(E895,DATABASE!C:Q,9,False)</f>
        <v>0</v>
      </c>
      <c r="Q895" s="93" t="str">
        <f>VLOOKUP(E895,DATABASE!C:Q,4,false)</f>
        <v>Bongkar Pasang</v>
      </c>
      <c r="R895" s="93" t="str">
        <f>VLOOKUP(E895,DATABASE!C:Q,11,false)</f>
        <v>SERVICE</v>
      </c>
    </row>
    <row r="896" ht="22.5" customHeight="1">
      <c r="A896" s="49"/>
      <c r="C896" s="384">
        <v>45709.0</v>
      </c>
      <c r="D896" s="65">
        <v>4429.0</v>
      </c>
      <c r="E896" s="385" t="s">
        <v>299</v>
      </c>
      <c r="F896" s="386">
        <v>2.0</v>
      </c>
      <c r="G896" s="74">
        <v>30000.0</v>
      </c>
      <c r="H896" s="74">
        <v>0.0</v>
      </c>
      <c r="I896" s="74">
        <f t="shared" si="1"/>
        <v>60000</v>
      </c>
      <c r="J896" s="74">
        <f>IF(E896="SERVICE",I896-(I896*50%),Vlookup(E896,DATABASE!C:Q,10,false)*F896)</f>
        <v>0</v>
      </c>
      <c r="K896" s="74">
        <v>0.0</v>
      </c>
      <c r="L896" s="74">
        <v>0.0</v>
      </c>
      <c r="M896" s="74">
        <f t="shared" si="2"/>
        <v>0</v>
      </c>
      <c r="N896" s="74">
        <f t="shared" si="3"/>
        <v>60000</v>
      </c>
      <c r="O896" s="65" t="str">
        <f>VLOOKUP(E896,DATABASE!C:Q,8,false)</f>
        <v>BIAN</v>
      </c>
      <c r="P896" s="65">
        <f>VLOOKUP(E896,DATABASE!C:Q,9,False)</f>
        <v>0</v>
      </c>
      <c r="Q896" s="93" t="str">
        <f>VLOOKUP(E896,DATABASE!C:Q,4,false)</f>
        <v>Balancing</v>
      </c>
      <c r="R896" s="93" t="str">
        <f>VLOOKUP(E896,DATABASE!C:Q,11,false)</f>
        <v>COMPLEMENTARY</v>
      </c>
    </row>
    <row r="897" ht="22.5" customHeight="1">
      <c r="A897" s="49"/>
      <c r="C897" s="384">
        <v>45709.0</v>
      </c>
      <c r="D897" s="65">
        <v>4429.0</v>
      </c>
      <c r="E897" s="445" t="s">
        <v>256</v>
      </c>
      <c r="F897" s="386">
        <v>1.0</v>
      </c>
      <c r="G897" s="74">
        <v>130000.0</v>
      </c>
      <c r="H897" s="74">
        <v>0.0</v>
      </c>
      <c r="I897" s="74">
        <f t="shared" si="1"/>
        <v>130000</v>
      </c>
      <c r="J897" s="74">
        <f>IF(E897="SERVICE",I897-(I897*50%),Vlookup(E897,DATABASE!C:Q,10,false)*F897)</f>
        <v>10000</v>
      </c>
      <c r="K897" s="74">
        <f>VLOOKUP(E897,DATABASE!C:Q,7,false)</f>
        <v>0</v>
      </c>
      <c r="L897" s="74">
        <v>0.0</v>
      </c>
      <c r="M897" s="74">
        <f t="shared" si="2"/>
        <v>0</v>
      </c>
      <c r="N897" s="74">
        <f t="shared" si="3"/>
        <v>120000</v>
      </c>
      <c r="O897" s="65" t="str">
        <f>VLOOKUP(E897,DATABASE!C:Q,8,false)</f>
        <v>IBU</v>
      </c>
      <c r="P897" s="65">
        <f>VLOOKUP(E897,DATABASE!C:Q,9,False)</f>
        <v>0</v>
      </c>
      <c r="Q897" s="93" t="str">
        <f>VLOOKUP(E897,DATABASE!C:Q,4,false)</f>
        <v>SPOORING</v>
      </c>
      <c r="R897" s="93" t="str">
        <f>VLOOKUP(E897,DATABASE!C:Q,11,false)</f>
        <v>SERVICE</v>
      </c>
    </row>
    <row r="898" ht="22.5" customHeight="1">
      <c r="A898" s="49"/>
      <c r="C898" s="384">
        <v>45709.0</v>
      </c>
      <c r="D898" s="65">
        <v>4429.0</v>
      </c>
      <c r="E898" s="445" t="s">
        <v>251</v>
      </c>
      <c r="F898" s="386">
        <v>1.0</v>
      </c>
      <c r="G898" s="74">
        <v>150000.0</v>
      </c>
      <c r="H898" s="74">
        <v>0.0</v>
      </c>
      <c r="I898" s="74">
        <f t="shared" si="1"/>
        <v>150000</v>
      </c>
      <c r="J898" s="74">
        <f>IF(E898="SERVICE",I898-(I898*50%),Vlookup(E898,DATABASE!C:Q,10,false)*F898)</f>
        <v>75000</v>
      </c>
      <c r="K898" s="74">
        <f>VLOOKUP(E898,DATABASE!C:Q,7,false)</f>
        <v>0</v>
      </c>
      <c r="L898" s="74">
        <v>0.0</v>
      </c>
      <c r="M898" s="74">
        <f t="shared" si="2"/>
        <v>0</v>
      </c>
      <c r="N898" s="74">
        <f t="shared" si="3"/>
        <v>75000</v>
      </c>
      <c r="O898" s="65" t="str">
        <f>VLOOKUP(E898,DATABASE!C:Q,8,false)</f>
        <v>IBU</v>
      </c>
      <c r="P898" s="65">
        <f>VLOOKUP(E898,DATABASE!C:Q,9,False)</f>
        <v>0</v>
      </c>
      <c r="Q898" s="93" t="str">
        <f>VLOOKUP(E898,DATABASE!C:Q,4,false)</f>
        <v>SERVICE</v>
      </c>
      <c r="R898" s="93" t="str">
        <f>VLOOKUP(E898,DATABASE!C:Q,11,false)</f>
        <v>SERVICE</v>
      </c>
    </row>
    <row r="899" ht="22.5" customHeight="1">
      <c r="A899" s="49"/>
      <c r="C899" s="384">
        <v>45709.0</v>
      </c>
      <c r="D899" s="65">
        <v>4430.0</v>
      </c>
      <c r="E899" s="445" t="s">
        <v>1439</v>
      </c>
      <c r="F899" s="386">
        <v>2.0</v>
      </c>
      <c r="G899" s="74">
        <v>625000.0</v>
      </c>
      <c r="H899" s="74">
        <v>0.0</v>
      </c>
      <c r="I899" s="74">
        <f t="shared" si="1"/>
        <v>1250000</v>
      </c>
      <c r="J899" s="74">
        <f>IF(E899="SERVICE",I899-(I899*50%),Vlookup(E899,DATABASE!C:Q,10,false)*F899)</f>
        <v>0</v>
      </c>
      <c r="K899" s="74">
        <f>VLOOKUP(E899,DATABASE!C:Q,7,false)</f>
        <v>556800</v>
      </c>
      <c r="L899" s="74">
        <v>540800.0</v>
      </c>
      <c r="M899" s="74">
        <f t="shared" si="2"/>
        <v>545000</v>
      </c>
      <c r="N899" s="74">
        <f t="shared" si="3"/>
        <v>160000</v>
      </c>
      <c r="O899" s="65" t="str">
        <f>VLOOKUP(E899,DATABASE!C:Q,8,false)</f>
        <v>BIAN</v>
      </c>
      <c r="P899" s="65">
        <f>VLOOKUP(E899,DATABASE!C:Q,9,False)</f>
        <v>1</v>
      </c>
      <c r="Q899" s="93" t="str">
        <f>VLOOKUP(E899,DATABASE!C:Q,4,false)</f>
        <v>GT</v>
      </c>
      <c r="R899" s="93" t="str">
        <f>VLOOKUP(E899,DATABASE!C:Q,11,false)</f>
        <v>Tire</v>
      </c>
    </row>
    <row r="900" ht="22.5" customHeight="1">
      <c r="A900" s="49"/>
      <c r="C900" s="384">
        <v>45709.0</v>
      </c>
      <c r="D900" s="65">
        <v>4431.0</v>
      </c>
      <c r="E900" s="445" t="s">
        <v>2155</v>
      </c>
      <c r="F900" s="386">
        <v>1.0</v>
      </c>
      <c r="G900" s="74">
        <v>640000.0</v>
      </c>
      <c r="H900" s="74">
        <v>0.0</v>
      </c>
      <c r="I900" s="74">
        <f t="shared" si="1"/>
        <v>640000</v>
      </c>
      <c r="J900" s="74">
        <f>IF(E900="SERVICE",I900-(I900*50%),Vlookup(E900,DATABASE!C:Q,10,false)*F900)</f>
        <v>0</v>
      </c>
      <c r="K900" s="74">
        <f>VLOOKUP(E900,DATABASE!C:Q,7,false)</f>
        <v>555000</v>
      </c>
      <c r="L900" s="74">
        <v>555000.0</v>
      </c>
      <c r="M900" s="74">
        <f t="shared" si="2"/>
        <v>555000</v>
      </c>
      <c r="N900" s="74">
        <f t="shared" si="3"/>
        <v>85000</v>
      </c>
      <c r="O900" s="65" t="str">
        <f>VLOOKUP(E900,DATABASE!C:Q,8,false)</f>
        <v>BIAN</v>
      </c>
      <c r="P900" s="65">
        <f>VLOOKUP(E900,DATABASE!C:Q,9,False)</f>
        <v>1</v>
      </c>
      <c r="Q900" s="93" t="str">
        <f>VLOOKUP(E900,DATABASE!C:Q,4,false)</f>
        <v>SAILUN</v>
      </c>
      <c r="R900" s="93" t="str">
        <f>VLOOKUP(E900,DATABASE!C:Q,11,false)</f>
        <v>Tire</v>
      </c>
    </row>
    <row r="901" ht="22.5" customHeight="1">
      <c r="A901" s="49"/>
      <c r="C901" s="384">
        <v>45709.0</v>
      </c>
      <c r="D901" s="65">
        <v>4432.0</v>
      </c>
      <c r="E901" s="385" t="s">
        <v>305</v>
      </c>
      <c r="F901" s="386">
        <v>2.0</v>
      </c>
      <c r="G901" s="74">
        <v>235000.0</v>
      </c>
      <c r="H901" s="74">
        <v>0.0</v>
      </c>
      <c r="I901" s="74">
        <f t="shared" si="1"/>
        <v>470000</v>
      </c>
      <c r="J901" s="74">
        <f>IF(E901="SERVICE",I901-(I901*50%),Vlookup(E901,DATABASE!C:Q,10,false)*F901)</f>
        <v>80000</v>
      </c>
      <c r="K901" s="74">
        <f>VLOOKUP(E901,DATABASE!C:Q,7,false)</f>
        <v>158530.2</v>
      </c>
      <c r="L901" s="74">
        <v>151890.0</v>
      </c>
      <c r="M901" s="74">
        <f t="shared" si="2"/>
        <v>155000</v>
      </c>
      <c r="N901" s="74">
        <f t="shared" si="3"/>
        <v>80000</v>
      </c>
      <c r="O901" s="65" t="str">
        <f>VLOOKUP(E901,DATABASE!C:Q,8,false)</f>
        <v>BIAN</v>
      </c>
      <c r="P901" s="65">
        <f>VLOOKUP(E901,DATABASE!C:Q,9,False)</f>
        <v>1</v>
      </c>
      <c r="Q901" s="93" t="str">
        <f>VLOOKUP(E901,DATABASE!C:Q,4,false)</f>
        <v>Lower Arm</v>
      </c>
      <c r="R901" s="93" t="str">
        <f>VLOOKUP(E901,DATABASE!C:Q,11,false)</f>
        <v>COMPLEMENTARY</v>
      </c>
    </row>
    <row r="902" ht="22.5" customHeight="1">
      <c r="A902" s="49"/>
      <c r="C902" s="384">
        <v>45709.0</v>
      </c>
      <c r="D902" s="65">
        <v>4432.0</v>
      </c>
      <c r="E902" s="445" t="s">
        <v>256</v>
      </c>
      <c r="F902" s="386">
        <v>1.0</v>
      </c>
      <c r="G902" s="74">
        <v>130000.0</v>
      </c>
      <c r="H902" s="74">
        <v>0.0</v>
      </c>
      <c r="I902" s="74">
        <f t="shared" si="1"/>
        <v>130000</v>
      </c>
      <c r="J902" s="74">
        <f>IF(E902="SERVICE",I902-(I902*50%),Vlookup(E902,DATABASE!C:Q,10,false)*F902)</f>
        <v>10000</v>
      </c>
      <c r="K902" s="74">
        <f>VLOOKUP(E902,DATABASE!C:Q,7,false)</f>
        <v>0</v>
      </c>
      <c r="L902" s="74">
        <v>0.0</v>
      </c>
      <c r="M902" s="74">
        <f t="shared" si="2"/>
        <v>0</v>
      </c>
      <c r="N902" s="74">
        <f t="shared" si="3"/>
        <v>120000</v>
      </c>
      <c r="O902" s="65" t="str">
        <f>VLOOKUP(E902,DATABASE!C:Q,8,false)</f>
        <v>IBU</v>
      </c>
      <c r="P902" s="65">
        <f>VLOOKUP(E902,DATABASE!C:Q,9,False)</f>
        <v>0</v>
      </c>
      <c r="Q902" s="93" t="str">
        <f>VLOOKUP(E902,DATABASE!C:Q,4,false)</f>
        <v>SPOORING</v>
      </c>
      <c r="R902" s="93" t="str">
        <f>VLOOKUP(E902,DATABASE!C:Q,11,false)</f>
        <v>SERVICE</v>
      </c>
    </row>
    <row r="903" ht="22.5" customHeight="1">
      <c r="A903" s="49"/>
      <c r="C903" s="384">
        <v>45709.0</v>
      </c>
      <c r="D903" s="65">
        <v>44333.0</v>
      </c>
      <c r="E903" s="445" t="s">
        <v>591</v>
      </c>
      <c r="F903" s="386">
        <v>2.0</v>
      </c>
      <c r="G903" s="74">
        <v>750000.0</v>
      </c>
      <c r="H903" s="74">
        <v>0.0</v>
      </c>
      <c r="I903" s="74">
        <f t="shared" si="1"/>
        <v>1500000</v>
      </c>
      <c r="J903" s="74">
        <f>IF(E903="SERVICE",I903-(I903*50%),Vlookup(E903,DATABASE!C:Q,10,false)*F903)</f>
        <v>0</v>
      </c>
      <c r="K903" s="74">
        <v>676728.0</v>
      </c>
      <c r="L903" s="74">
        <v>676728.0</v>
      </c>
      <c r="M903" s="74">
        <f t="shared" si="2"/>
        <v>680000</v>
      </c>
      <c r="N903" s="74">
        <f t="shared" si="3"/>
        <v>140000</v>
      </c>
      <c r="O903" s="65" t="str">
        <f>VLOOKUP(E903,DATABASE!C:Q,8,false)</f>
        <v>IBU</v>
      </c>
      <c r="P903" s="65">
        <f>VLOOKUP(E903,DATABASE!C:Q,9,False)</f>
        <v>1</v>
      </c>
      <c r="Q903" s="93" t="str">
        <f>VLOOKUP(E903,DATABASE!C:Q,4,false)</f>
        <v>Bridgestone</v>
      </c>
      <c r="R903" s="93" t="str">
        <f>VLOOKUP(E903,DATABASE!C:Q,11,false)</f>
        <v>Tire</v>
      </c>
    </row>
    <row r="904" ht="22.5" customHeight="1">
      <c r="A904" s="49"/>
      <c r="C904" s="384">
        <v>45710.0</v>
      </c>
      <c r="D904" s="65">
        <v>4434.0</v>
      </c>
      <c r="E904" s="445" t="s">
        <v>781</v>
      </c>
      <c r="F904" s="386">
        <v>1.0</v>
      </c>
      <c r="G904" s="74">
        <v>515000.0</v>
      </c>
      <c r="H904" s="74">
        <v>0.0</v>
      </c>
      <c r="I904" s="74">
        <f t="shared" si="1"/>
        <v>515000</v>
      </c>
      <c r="J904" s="74">
        <f>IF(E904="SERVICE",I904-(I904*50%),Vlookup(E904,DATABASE!C:Q,10,false)*F904)</f>
        <v>0</v>
      </c>
      <c r="K904" s="74">
        <f>VLOOKUP(E904,DATABASE!C:Q,7,false)</f>
        <v>470000</v>
      </c>
      <c r="L904" s="74">
        <v>442500.0</v>
      </c>
      <c r="M904" s="74">
        <f t="shared" si="2"/>
        <v>445000</v>
      </c>
      <c r="N904" s="74">
        <f t="shared" si="3"/>
        <v>70000</v>
      </c>
      <c r="O904" s="65" t="str">
        <f>VLOOKUP(E904,DATABASE!C:Q,8,false)</f>
        <v>BIAN</v>
      </c>
      <c r="P904" s="65">
        <f>VLOOKUP(E904,DATABASE!C:Q,9,False)</f>
        <v>1</v>
      </c>
      <c r="Q904" s="93" t="str">
        <f>VLOOKUP(E904,DATABASE!C:Q,4,false)</f>
        <v>GT</v>
      </c>
      <c r="R904" s="93" t="str">
        <f>VLOOKUP(E904,DATABASE!C:Q,11,false)</f>
        <v>Tire</v>
      </c>
    </row>
    <row r="905" ht="22.5" customHeight="1">
      <c r="A905" s="49"/>
      <c r="C905" s="384">
        <v>45710.0</v>
      </c>
      <c r="D905" s="65">
        <v>4435.0</v>
      </c>
      <c r="E905" s="445" t="s">
        <v>585</v>
      </c>
      <c r="F905" s="386">
        <v>1.0</v>
      </c>
      <c r="G905" s="74">
        <v>95000.0</v>
      </c>
      <c r="H905" s="74">
        <v>0.0</v>
      </c>
      <c r="I905" s="74">
        <f t="shared" si="1"/>
        <v>95000</v>
      </c>
      <c r="J905" s="74">
        <f>IF(E905="SERVICE",I905-(I905*50%),Vlookup(E905,DATABASE!C:Q,10,false)*F905)</f>
        <v>0</v>
      </c>
      <c r="K905" s="74">
        <f>VLOOKUP(E905,DATABASE!C:Q,7,false)</f>
        <v>61600</v>
      </c>
      <c r="L905" s="74">
        <v>61600.0</v>
      </c>
      <c r="M905" s="74">
        <f t="shared" si="2"/>
        <v>65000</v>
      </c>
      <c r="N905" s="74">
        <f t="shared" si="3"/>
        <v>30000</v>
      </c>
      <c r="O905" s="65" t="str">
        <f>VLOOKUP(E905,DATABASE!C:Q,8,false)</f>
        <v>BIAN</v>
      </c>
      <c r="P905" s="65">
        <f>VLOOKUP(E905,DATABASE!C:Q,9,False)</f>
        <v>1</v>
      </c>
      <c r="Q905" s="93" t="str">
        <f>VLOOKUP(E905,DATABASE!C:Q,4,false)</f>
        <v>BD</v>
      </c>
      <c r="R905" s="93" t="str">
        <f>VLOOKUP(E905,DATABASE!C:Q,11,false)</f>
        <v>Tire</v>
      </c>
    </row>
    <row r="906" ht="22.5" customHeight="1">
      <c r="A906" s="49"/>
      <c r="C906" s="384">
        <v>45710.0</v>
      </c>
      <c r="D906" s="65">
        <v>4436.0</v>
      </c>
      <c r="E906" s="445" t="s">
        <v>290</v>
      </c>
      <c r="F906" s="386">
        <v>1.0</v>
      </c>
      <c r="G906" s="74">
        <v>700000.0</v>
      </c>
      <c r="H906" s="74">
        <v>0.0</v>
      </c>
      <c r="I906" s="74">
        <f t="shared" si="1"/>
        <v>700000</v>
      </c>
      <c r="J906" s="74">
        <f>IF(E906="SERVICE",I906-(I906*50%),Vlookup(E906,DATABASE!C:Q,10,false)*F906)</f>
        <v>0</v>
      </c>
      <c r="K906" s="74">
        <f>VLOOKUP(E906,DATABASE!C:Q,7,false)</f>
        <v>628100</v>
      </c>
      <c r="L906" s="74">
        <v>609804.0</v>
      </c>
      <c r="M906" s="74">
        <f t="shared" si="2"/>
        <v>610000</v>
      </c>
      <c r="N906" s="74">
        <f t="shared" si="3"/>
        <v>90000</v>
      </c>
      <c r="O906" s="65" t="str">
        <f>VLOOKUP(E906,DATABASE!C:Q,8,false)</f>
        <v>BIAN</v>
      </c>
      <c r="P906" s="65">
        <f>VLOOKUP(E906,DATABASE!C:Q,9,False)</f>
        <v>1</v>
      </c>
      <c r="Q906" s="93" t="str">
        <f>VLOOKUP(E906,DATABASE!C:Q,4,false)</f>
        <v>GT</v>
      </c>
      <c r="R906" s="93" t="str">
        <f>VLOOKUP(E906,DATABASE!C:Q,11,false)</f>
        <v>Tire</v>
      </c>
    </row>
    <row r="907" ht="22.5" customHeight="1">
      <c r="A907" s="49"/>
      <c r="C907" s="384">
        <v>45710.0</v>
      </c>
      <c r="D907" s="65">
        <v>4438.0</v>
      </c>
      <c r="E907" s="445" t="s">
        <v>246</v>
      </c>
      <c r="F907" s="386">
        <v>1.0</v>
      </c>
      <c r="G907" s="74">
        <v>30000.0</v>
      </c>
      <c r="H907" s="74">
        <v>0.0</v>
      </c>
      <c r="I907" s="74">
        <f t="shared" si="1"/>
        <v>30000</v>
      </c>
      <c r="J907" s="74">
        <f>IF(E907="SERVICE",I907-(I907*50%),Vlookup(E907,DATABASE!C:Q,10,false)*F907)</f>
        <v>0</v>
      </c>
      <c r="K907" s="74">
        <f>VLOOKUP(E907,DATABASE!C:Q,7,false)</f>
        <v>0</v>
      </c>
      <c r="L907" s="74">
        <v>0.0</v>
      </c>
      <c r="M907" s="74">
        <f t="shared" si="2"/>
        <v>0</v>
      </c>
      <c r="N907" s="74">
        <f t="shared" si="3"/>
        <v>30000</v>
      </c>
      <c r="O907" s="65" t="str">
        <f>VLOOKUP(E907,DATABASE!C:Q,8,false)</f>
        <v>IBU</v>
      </c>
      <c r="P907" s="65">
        <f>VLOOKUP(E907,DATABASE!C:Q,9,False)</f>
        <v>0</v>
      </c>
      <c r="Q907" s="93" t="str">
        <f>VLOOKUP(E907,DATABASE!C:Q,4,false)</f>
        <v>Bongkar Pasang</v>
      </c>
      <c r="R907" s="93" t="str">
        <f>VLOOKUP(E907,DATABASE!C:Q,11,false)</f>
        <v>SERVICE</v>
      </c>
    </row>
    <row r="908" ht="22.5" customHeight="1">
      <c r="A908" s="49"/>
      <c r="C908" s="384">
        <v>45710.0</v>
      </c>
      <c r="D908" s="65">
        <v>4439.0</v>
      </c>
      <c r="E908" s="445" t="s">
        <v>256</v>
      </c>
      <c r="F908" s="386">
        <v>1.0</v>
      </c>
      <c r="G908" s="74">
        <v>130000.0</v>
      </c>
      <c r="H908" s="74">
        <v>0.0</v>
      </c>
      <c r="I908" s="74">
        <f t="shared" si="1"/>
        <v>130000</v>
      </c>
      <c r="J908" s="74">
        <f>IF(E908="SERVICE",I908-(I908*50%),Vlookup(E908,DATABASE!C:Q,10,false)*F908)</f>
        <v>10000</v>
      </c>
      <c r="K908" s="74">
        <f>VLOOKUP(E908,DATABASE!C:Q,7,false)</f>
        <v>0</v>
      </c>
      <c r="L908" s="74">
        <v>0.0</v>
      </c>
      <c r="M908" s="74">
        <f t="shared" si="2"/>
        <v>0</v>
      </c>
      <c r="N908" s="74">
        <f t="shared" si="3"/>
        <v>120000</v>
      </c>
      <c r="O908" s="65" t="str">
        <f>VLOOKUP(E908,DATABASE!C:Q,8,false)</f>
        <v>IBU</v>
      </c>
      <c r="P908" s="65">
        <f>VLOOKUP(E908,DATABASE!C:Q,9,False)</f>
        <v>0</v>
      </c>
      <c r="Q908" s="93" t="str">
        <f>VLOOKUP(E908,DATABASE!C:Q,4,false)</f>
        <v>SPOORING</v>
      </c>
      <c r="R908" s="93" t="str">
        <f>VLOOKUP(E908,DATABASE!C:Q,11,false)</f>
        <v>SERVICE</v>
      </c>
    </row>
    <row r="909" ht="22.5" customHeight="1">
      <c r="A909" s="49"/>
      <c r="C909" s="384">
        <v>45710.0</v>
      </c>
      <c r="D909" s="65">
        <v>4439.0</v>
      </c>
      <c r="E909" s="385" t="s">
        <v>299</v>
      </c>
      <c r="F909" s="386">
        <v>2.0</v>
      </c>
      <c r="G909" s="74">
        <v>30000.0</v>
      </c>
      <c r="H909" s="74">
        <v>0.0</v>
      </c>
      <c r="I909" s="74">
        <f t="shared" si="1"/>
        <v>60000</v>
      </c>
      <c r="J909" s="74">
        <f>IF(E909="SERVICE",I909-(I909*50%),Vlookup(E909,DATABASE!C:Q,10,false)*F909)</f>
        <v>0</v>
      </c>
      <c r="K909" s="74">
        <v>0.0</v>
      </c>
      <c r="L909" s="74">
        <v>0.0</v>
      </c>
      <c r="M909" s="74">
        <f t="shared" si="2"/>
        <v>0</v>
      </c>
      <c r="N909" s="74">
        <f t="shared" si="3"/>
        <v>60000</v>
      </c>
      <c r="O909" s="65" t="str">
        <f>VLOOKUP(E909,DATABASE!C:Q,8,false)</f>
        <v>BIAN</v>
      </c>
      <c r="P909" s="65">
        <f>VLOOKUP(E909,DATABASE!C:Q,9,False)</f>
        <v>0</v>
      </c>
      <c r="Q909" s="93" t="str">
        <f>VLOOKUP(E909,DATABASE!C:Q,4,false)</f>
        <v>Balancing</v>
      </c>
      <c r="R909" s="93" t="str">
        <f>VLOOKUP(E909,DATABASE!C:Q,11,false)</f>
        <v>COMPLEMENTARY</v>
      </c>
    </row>
    <row r="910" ht="22.5" customHeight="1">
      <c r="A910" s="49"/>
      <c r="C910" s="384">
        <v>45710.0</v>
      </c>
      <c r="D910" s="65">
        <v>4439.0</v>
      </c>
      <c r="E910" s="445" t="s">
        <v>301</v>
      </c>
      <c r="F910" s="386">
        <v>1.0</v>
      </c>
      <c r="G910" s="74">
        <v>250000.0</v>
      </c>
      <c r="H910" s="74">
        <v>0.0</v>
      </c>
      <c r="I910" s="74">
        <f t="shared" si="1"/>
        <v>250000</v>
      </c>
      <c r="J910" s="74">
        <f>IF(E910="SERVICE",I910-(I910*50%),Vlookup(E910,DATABASE!C:Q,10,false)*F910)</f>
        <v>75000</v>
      </c>
      <c r="K910" s="74">
        <f>VLOOKUP(E910,DATABASE!C:Q,7,false)</f>
        <v>75000</v>
      </c>
      <c r="L910" s="74">
        <v>75000.0</v>
      </c>
      <c r="M910" s="74">
        <f t="shared" si="2"/>
        <v>75000</v>
      </c>
      <c r="N910" s="74">
        <f t="shared" si="3"/>
        <v>100000</v>
      </c>
      <c r="O910" s="65" t="str">
        <f>VLOOKUP(E910,DATABASE!C:Q,8,false)</f>
        <v>BIAN</v>
      </c>
      <c r="P910" s="65">
        <f>VLOOKUP(E910,DATABASE!C:Q,9,False)</f>
        <v>0</v>
      </c>
      <c r="Q910" s="93" t="str">
        <f>VLOOKUP(E910,DATABASE!C:Q,4,false)</f>
        <v>Baut Camber</v>
      </c>
      <c r="R910" s="93" t="str">
        <f>VLOOKUP(E910,DATABASE!C:Q,11,false)</f>
        <v>COMPLEMENTARY</v>
      </c>
    </row>
    <row r="911" ht="22.5" customHeight="1">
      <c r="A911" s="49"/>
      <c r="C911" s="384">
        <v>45710.0</v>
      </c>
      <c r="D911" s="65">
        <v>4440.0</v>
      </c>
      <c r="E911" s="445" t="s">
        <v>262</v>
      </c>
      <c r="F911" s="386">
        <v>1.0</v>
      </c>
      <c r="G911" s="74">
        <v>110000.0</v>
      </c>
      <c r="H911" s="74">
        <v>0.0</v>
      </c>
      <c r="I911" s="74">
        <f t="shared" si="1"/>
        <v>110000</v>
      </c>
      <c r="J911" s="74">
        <f>IF(E911="SERVICE",I911-(I911*50%),Vlookup(E911,DATABASE!C:Q,10,false)*F911)</f>
        <v>5000</v>
      </c>
      <c r="K911" s="74">
        <f>VLOOKUP(E911,DATABASE!C:Q,7,false)</f>
        <v>0</v>
      </c>
      <c r="L911" s="74">
        <v>0.0</v>
      </c>
      <c r="M911" s="74">
        <f t="shared" si="2"/>
        <v>0</v>
      </c>
      <c r="N911" s="74">
        <f t="shared" si="3"/>
        <v>105000</v>
      </c>
      <c r="O911" s="65" t="str">
        <f>VLOOKUP(E911,DATABASE!C:Q,8,false)</f>
        <v>IBU</v>
      </c>
      <c r="P911" s="65">
        <f>VLOOKUP(E911,DATABASE!C:Q,9,False)</f>
        <v>0</v>
      </c>
      <c r="Q911" s="93" t="str">
        <f>VLOOKUP(E911,DATABASE!C:Q,4,false)</f>
        <v>SPOORING SS/CARRY LOS BAK</v>
      </c>
      <c r="R911" s="93" t="str">
        <f>VLOOKUP(E911,DATABASE!C:Q,11,false)</f>
        <v>SERVICE</v>
      </c>
    </row>
    <row r="912" ht="22.5" customHeight="1">
      <c r="A912" s="49"/>
      <c r="C912" s="384">
        <v>45710.0</v>
      </c>
      <c r="D912" s="65">
        <v>4440.0</v>
      </c>
      <c r="E912" s="445" t="s">
        <v>478</v>
      </c>
      <c r="F912" s="386">
        <v>1.0</v>
      </c>
      <c r="G912" s="74">
        <v>200000.0</v>
      </c>
      <c r="H912" s="74">
        <v>0.0</v>
      </c>
      <c r="I912" s="74">
        <f t="shared" si="1"/>
        <v>200000</v>
      </c>
      <c r="J912" s="74">
        <f>IF(E912="SERVICE",I912-(I912*50%),Vlookup(E912,DATABASE!C:Q,10,false)*F912)</f>
        <v>25000</v>
      </c>
      <c r="K912" s="74">
        <f>VLOOKUP(E912,DATABASE!C:Q,7,false)</f>
        <v>75000</v>
      </c>
      <c r="L912" s="74">
        <v>75000.0</v>
      </c>
      <c r="M912" s="74">
        <f t="shared" si="2"/>
        <v>75000</v>
      </c>
      <c r="N912" s="74">
        <f t="shared" si="3"/>
        <v>100000</v>
      </c>
      <c r="O912" s="65" t="str">
        <f>VLOOKUP(E912,DATABASE!C:Q,8,false)</f>
        <v>BIAN</v>
      </c>
      <c r="P912" s="65">
        <f>VLOOKUP(E912,DATABASE!C:Q,9,False)</f>
        <v>0</v>
      </c>
      <c r="Q912" s="93" t="str">
        <f>VLOOKUP(E912,DATABASE!C:Q,4,false)</f>
        <v>Baut Camber ss-carry</v>
      </c>
      <c r="R912" s="93" t="str">
        <f>VLOOKUP(E912,DATABASE!C:Q,11,false)</f>
        <v>COMPLEMENTARY</v>
      </c>
    </row>
    <row r="913" ht="22.5" customHeight="1">
      <c r="A913" s="49"/>
      <c r="C913" s="384">
        <v>45710.0</v>
      </c>
      <c r="D913" s="65">
        <v>4442.0</v>
      </c>
      <c r="E913" s="445" t="s">
        <v>518</v>
      </c>
      <c r="F913" s="386">
        <v>2.0</v>
      </c>
      <c r="G913" s="74">
        <v>1200000.0</v>
      </c>
      <c r="H913" s="74">
        <v>0.0</v>
      </c>
      <c r="I913" s="74">
        <f t="shared" si="1"/>
        <v>2400000</v>
      </c>
      <c r="J913" s="74">
        <f>IF(E913="SERVICE",I913-(I913*50%),Vlookup(E913,DATABASE!C:Q,10,false)*F913)</f>
        <v>0</v>
      </c>
      <c r="K913" s="74">
        <f>VLOOKUP(E913,DATABASE!C:Q,7,false)</f>
        <v>1085500</v>
      </c>
      <c r="L913" s="74">
        <v>1085500.0</v>
      </c>
      <c r="M913" s="74">
        <f t="shared" si="2"/>
        <v>1090000</v>
      </c>
      <c r="N913" s="74">
        <f t="shared" si="3"/>
        <v>220000</v>
      </c>
      <c r="O913" s="65" t="str">
        <f>VLOOKUP(E913,DATABASE!C:Q,8,false)</f>
        <v>IBU</v>
      </c>
      <c r="P913" s="65">
        <f>VLOOKUP(E913,DATABASE!C:Q,9,False)</f>
        <v>1</v>
      </c>
      <c r="Q913" s="93" t="str">
        <f>VLOOKUP(E913,DATABASE!C:Q,4,false)</f>
        <v>Bridgestone</v>
      </c>
      <c r="R913" s="93" t="str">
        <f>VLOOKUP(E913,DATABASE!C:Q,11,false)</f>
        <v>Tire</v>
      </c>
    </row>
    <row r="914" ht="22.5" customHeight="1">
      <c r="A914" s="49"/>
      <c r="C914" s="384">
        <v>45710.0</v>
      </c>
      <c r="D914" s="65">
        <v>4444.0</v>
      </c>
      <c r="E914" s="445" t="s">
        <v>566</v>
      </c>
      <c r="F914" s="386">
        <v>1.0</v>
      </c>
      <c r="G914" s="74">
        <v>1670000.0</v>
      </c>
      <c r="H914" s="74">
        <v>0.0</v>
      </c>
      <c r="I914" s="74">
        <f t="shared" si="1"/>
        <v>1670000</v>
      </c>
      <c r="J914" s="74">
        <f>IF(E914="SERVICE",I914-(I914*50%),Vlookup(E914,DATABASE!C:Q,10,false)*F914)</f>
        <v>0</v>
      </c>
      <c r="K914" s="140">
        <v>1570000.0</v>
      </c>
      <c r="L914" s="140">
        <v>1570000.0</v>
      </c>
      <c r="M914" s="74">
        <f t="shared" si="2"/>
        <v>1570000</v>
      </c>
      <c r="N914" s="74">
        <f t="shared" si="3"/>
        <v>100000</v>
      </c>
      <c r="O914" s="65" t="str">
        <f>VLOOKUP(E914,DATABASE!C:Q,8,false)</f>
        <v>IBU</v>
      </c>
      <c r="P914" s="65">
        <f>VLOOKUP(E914,DATABASE!C:Q,9,False)</f>
        <v>1</v>
      </c>
      <c r="Q914" s="93" t="str">
        <f>VLOOKUP(E914,DATABASE!C:Q,4,false)</f>
        <v>Bridgestone</v>
      </c>
      <c r="R914" s="93" t="str">
        <f>VLOOKUP(E914,DATABASE!C:Q,11,false)</f>
        <v>Tire</v>
      </c>
    </row>
    <row r="915" ht="22.5" customHeight="1">
      <c r="A915" s="49"/>
      <c r="C915" s="384">
        <v>45710.0</v>
      </c>
      <c r="D915" s="65">
        <v>4444.0</v>
      </c>
      <c r="E915" s="445" t="s">
        <v>744</v>
      </c>
      <c r="F915" s="386">
        <v>1.0</v>
      </c>
      <c r="G915" s="74">
        <v>230000.0</v>
      </c>
      <c r="H915" s="74">
        <v>0.0</v>
      </c>
      <c r="I915" s="74">
        <f t="shared" si="1"/>
        <v>230000</v>
      </c>
      <c r="J915" s="74">
        <f>IF(E915="SERVICE",I915-(I915*50%),Vlookup(E915,DATABASE!C:Q,10,false)*F915)</f>
        <v>0</v>
      </c>
      <c r="K915" s="74">
        <f>VLOOKUP(E915,DATABASE!C:Q,7,false)</f>
        <v>182200</v>
      </c>
      <c r="L915" s="74">
        <v>199920.0</v>
      </c>
      <c r="M915" s="74">
        <f t="shared" si="2"/>
        <v>200000</v>
      </c>
      <c r="N915" s="74">
        <f t="shared" si="3"/>
        <v>30000</v>
      </c>
      <c r="O915" s="65" t="str">
        <f>VLOOKUP(E915,DATABASE!C:Q,8,false)</f>
        <v>BIAN</v>
      </c>
      <c r="P915" s="65">
        <f>VLOOKUP(E915,DATABASE!C:Q,9,False)</f>
        <v>1</v>
      </c>
      <c r="Q915" s="93" t="str">
        <f>VLOOKUP(E915,DATABASE!C:Q,4,false)</f>
        <v>BD</v>
      </c>
      <c r="R915" s="93" t="str">
        <f>VLOOKUP(E915,DATABASE!C:Q,11,false)</f>
        <v>Tire</v>
      </c>
    </row>
    <row r="916" ht="22.5" customHeight="1">
      <c r="A916" s="49"/>
      <c r="C916" s="384">
        <v>45710.0</v>
      </c>
      <c r="D916" s="65">
        <v>4444.0</v>
      </c>
      <c r="E916" s="445" t="s">
        <v>821</v>
      </c>
      <c r="F916" s="386">
        <v>1.0</v>
      </c>
      <c r="G916" s="74">
        <v>80000.0</v>
      </c>
      <c r="H916" s="74">
        <v>0.0</v>
      </c>
      <c r="I916" s="74">
        <f t="shared" si="1"/>
        <v>80000</v>
      </c>
      <c r="J916" s="74">
        <f>IF(E916="SERVICE",I916-(I916*50%),Vlookup(E916,DATABASE!C:Q,10,false)*F916)</f>
        <v>0</v>
      </c>
      <c r="K916" s="74">
        <f>VLOOKUP(E916,DATABASE!C:Q,7,false)</f>
        <v>43500</v>
      </c>
      <c r="L916" s="74">
        <v>43520.0</v>
      </c>
      <c r="M916" s="74">
        <f t="shared" si="2"/>
        <v>45000</v>
      </c>
      <c r="N916" s="74">
        <f t="shared" si="3"/>
        <v>35000</v>
      </c>
      <c r="O916" s="65" t="str">
        <f>VLOOKUP(E916,DATABASE!C:Q,8,false)</f>
        <v>BIAN</v>
      </c>
      <c r="P916" s="65">
        <f>VLOOKUP(E916,DATABASE!C:Q,9,False)</f>
        <v>1</v>
      </c>
      <c r="Q916" s="93" t="str">
        <f>VLOOKUP(E916,DATABASE!C:Q,4,false)</f>
        <v>Flap</v>
      </c>
      <c r="R916" s="93" t="str">
        <f>VLOOKUP(E916,DATABASE!C:Q,11,false)</f>
        <v>Tire</v>
      </c>
    </row>
    <row r="917" ht="22.5" customHeight="1">
      <c r="A917" s="49"/>
      <c r="C917" s="384">
        <v>45710.0</v>
      </c>
      <c r="D917" s="65">
        <v>4445.0</v>
      </c>
      <c r="E917" s="445" t="s">
        <v>1076</v>
      </c>
      <c r="F917" s="386">
        <v>2.0</v>
      </c>
      <c r="G917" s="74">
        <v>760000.0</v>
      </c>
      <c r="H917" s="74">
        <v>0.0</v>
      </c>
      <c r="I917" s="74">
        <f t="shared" si="1"/>
        <v>1520000</v>
      </c>
      <c r="J917" s="74">
        <f>IF(E917="SERVICE",I917-(I917*50%),Vlookup(E917,DATABASE!C:Q,10,false)*F917)</f>
        <v>0</v>
      </c>
      <c r="K917" s="74">
        <f>VLOOKUP(E917,DATABASE!C:Q,7,false)</f>
        <v>666540</v>
      </c>
      <c r="L917" s="74">
        <v>666540.0</v>
      </c>
      <c r="M917" s="74">
        <f t="shared" si="2"/>
        <v>670000</v>
      </c>
      <c r="N917" s="74">
        <f t="shared" si="3"/>
        <v>180000</v>
      </c>
      <c r="O917" s="65" t="str">
        <f>VLOOKUP(E917,DATABASE!C:Q,8,false)</f>
        <v>BIAN</v>
      </c>
      <c r="P917" s="65">
        <f>VLOOKUP(E917,DATABASE!C:Q,9,False)</f>
        <v>1</v>
      </c>
      <c r="Q917" s="93" t="str">
        <f>VLOOKUP(E917,DATABASE!C:Q,4,false)</f>
        <v>GT</v>
      </c>
      <c r="R917" s="93" t="str">
        <f>VLOOKUP(E917,DATABASE!C:Q,11,false)</f>
        <v>Tire</v>
      </c>
    </row>
    <row r="918" ht="22.5" customHeight="1">
      <c r="A918" s="49"/>
      <c r="C918" s="384">
        <v>45710.0</v>
      </c>
      <c r="D918" s="65">
        <v>4447.0</v>
      </c>
      <c r="E918" s="445" t="s">
        <v>791</v>
      </c>
      <c r="F918" s="386">
        <v>2.0</v>
      </c>
      <c r="G918" s="74">
        <v>1280000.0</v>
      </c>
      <c r="H918" s="74">
        <v>0.0</v>
      </c>
      <c r="I918" s="74">
        <f t="shared" si="1"/>
        <v>2560000</v>
      </c>
      <c r="J918" s="74">
        <f>IF(E918="SERVICE",I918-(I918*50%),Vlookup(E918,DATABASE!C:Q,10,false)*F918)</f>
        <v>0</v>
      </c>
      <c r="K918" s="74">
        <f>VLOOKUP(E918,DATABASE!C:Q,7,false)</f>
        <v>1210000</v>
      </c>
      <c r="L918" s="74">
        <v>1180000.0</v>
      </c>
      <c r="M918" s="74">
        <f t="shared" si="2"/>
        <v>1180000</v>
      </c>
      <c r="N918" s="74">
        <f t="shared" si="3"/>
        <v>200000</v>
      </c>
      <c r="O918" s="65" t="str">
        <f>VLOOKUP(E918,DATABASE!C:Q,8,false)</f>
        <v>BIAN</v>
      </c>
      <c r="P918" s="65">
        <f>VLOOKUP(E918,DATABASE!C:Q,9,False)</f>
        <v>1</v>
      </c>
      <c r="Q918" s="93" t="str">
        <f>VLOOKUP(E918,DATABASE!C:Q,4,false)</f>
        <v>GT</v>
      </c>
      <c r="R918" s="93" t="str">
        <f>VLOOKUP(E918,DATABASE!C:Q,11,false)</f>
        <v>Tire</v>
      </c>
    </row>
    <row r="919" ht="22.5" customHeight="1">
      <c r="A919" s="49"/>
      <c r="C919" s="384">
        <v>45710.0</v>
      </c>
      <c r="D919" s="65">
        <v>4447.0</v>
      </c>
      <c r="E919" s="445" t="s">
        <v>712</v>
      </c>
      <c r="F919" s="386">
        <v>1.0</v>
      </c>
      <c r="G919" s="74">
        <v>150000.0</v>
      </c>
      <c r="H919" s="74">
        <v>0.0</v>
      </c>
      <c r="I919" s="74">
        <f t="shared" si="1"/>
        <v>150000</v>
      </c>
      <c r="J919" s="74">
        <f>IF(E919="SERVICE",I919-(I919*50%),Vlookup(E919,DATABASE!C:Q,10,false)*F919)</f>
        <v>0</v>
      </c>
      <c r="K919" s="74">
        <f>VLOOKUP(E919,DATABASE!C:Q,7,false)</f>
        <v>120960</v>
      </c>
      <c r="L919" s="74">
        <v>120960.0</v>
      </c>
      <c r="M919" s="74">
        <f t="shared" si="2"/>
        <v>125000</v>
      </c>
      <c r="N919" s="74">
        <f t="shared" si="3"/>
        <v>25000</v>
      </c>
      <c r="O919" s="65" t="str">
        <f>VLOOKUP(E919,DATABASE!C:Q,8,false)</f>
        <v>BIAN</v>
      </c>
      <c r="P919" s="65">
        <f>VLOOKUP(E919,DATABASE!C:Q,9,False)</f>
        <v>1</v>
      </c>
      <c r="Q919" s="93" t="str">
        <f>VLOOKUP(E919,DATABASE!C:Q,4,false)</f>
        <v>BD</v>
      </c>
      <c r="R919" s="93" t="str">
        <f>VLOOKUP(E919,DATABASE!C:Q,11,false)</f>
        <v>Tire</v>
      </c>
    </row>
    <row r="920" ht="22.5" customHeight="1">
      <c r="A920" s="49"/>
      <c r="C920" s="384">
        <v>45710.0</v>
      </c>
      <c r="D920" s="65">
        <v>4447.0</v>
      </c>
      <c r="E920" s="445" t="s">
        <v>814</v>
      </c>
      <c r="F920" s="386">
        <v>2.0</v>
      </c>
      <c r="G920" s="74">
        <v>70000.0</v>
      </c>
      <c r="H920" s="74">
        <v>0.0</v>
      </c>
      <c r="I920" s="74">
        <f t="shared" si="1"/>
        <v>140000</v>
      </c>
      <c r="J920" s="74">
        <f>IF(E920="SERVICE",I920-(I920*50%),Vlookup(E920,DATABASE!C:Q,10,false)*F920)</f>
        <v>0</v>
      </c>
      <c r="K920" s="74">
        <f>VLOOKUP(E920,DATABASE!C:Q,7,false)</f>
        <v>39440</v>
      </c>
      <c r="L920" s="74">
        <v>39440.0</v>
      </c>
      <c r="M920" s="74">
        <f t="shared" si="2"/>
        <v>40000</v>
      </c>
      <c r="N920" s="74">
        <f t="shared" si="3"/>
        <v>60000</v>
      </c>
      <c r="O920" s="65" t="str">
        <f>VLOOKUP(E920,DATABASE!C:Q,8,false)</f>
        <v>BIAN</v>
      </c>
      <c r="P920" s="65">
        <f>VLOOKUP(E920,DATABASE!C:Q,9,False)</f>
        <v>1</v>
      </c>
      <c r="Q920" s="93" t="str">
        <f>VLOOKUP(E920,DATABASE!C:Q,4,false)</f>
        <v>Flap</v>
      </c>
      <c r="R920" s="93" t="str">
        <f>VLOOKUP(E920,DATABASE!C:Q,11,false)</f>
        <v>Tire</v>
      </c>
    </row>
    <row r="921" ht="22.5" customHeight="1">
      <c r="A921" s="49"/>
      <c r="C921" s="384">
        <v>45710.0</v>
      </c>
      <c r="D921" s="65">
        <v>4448.0</v>
      </c>
      <c r="E921" s="445" t="s">
        <v>1944</v>
      </c>
      <c r="F921" s="386">
        <v>2.0</v>
      </c>
      <c r="G921" s="74">
        <v>790000.0</v>
      </c>
      <c r="H921" s="74">
        <v>0.0</v>
      </c>
      <c r="I921" s="74">
        <f t="shared" si="1"/>
        <v>1580000</v>
      </c>
      <c r="J921" s="74">
        <f>IF(E921="SERVICE",I921-(I921*50%),Vlookup(E921,DATABASE!C:Q,10,false)*F921)</f>
        <v>0</v>
      </c>
      <c r="K921" s="74">
        <f>VLOOKUP(E921,DATABASE!C:Q,7,false)</f>
        <v>690000</v>
      </c>
      <c r="L921" s="74">
        <v>690000.0</v>
      </c>
      <c r="M921" s="74">
        <f t="shared" si="2"/>
        <v>690000</v>
      </c>
      <c r="N921" s="74">
        <f t="shared" si="3"/>
        <v>200000</v>
      </c>
      <c r="O921" s="65" t="str">
        <f>VLOOKUP(E921,DATABASE!C:Q,8,false)</f>
        <v>BIAN</v>
      </c>
      <c r="P921" s="65">
        <f>VLOOKUP(E921,DATABASE!C:Q,9,False)</f>
        <v>1</v>
      </c>
      <c r="Q921" s="93" t="str">
        <f>VLOOKUP(E921,DATABASE!C:Q,4,false)</f>
        <v>GT</v>
      </c>
      <c r="R921" s="93" t="str">
        <f>VLOOKUP(E921,DATABASE!C:Q,11,false)</f>
        <v>Tire</v>
      </c>
    </row>
    <row r="922" ht="22.5" customHeight="1">
      <c r="A922" s="49"/>
      <c r="C922" s="384">
        <v>45710.0</v>
      </c>
      <c r="D922" s="65">
        <v>4448.0</v>
      </c>
      <c r="E922" s="445" t="s">
        <v>256</v>
      </c>
      <c r="F922" s="386">
        <v>1.0</v>
      </c>
      <c r="G922" s="74">
        <v>130000.0</v>
      </c>
      <c r="H922" s="74">
        <v>0.0</v>
      </c>
      <c r="I922" s="74">
        <f t="shared" si="1"/>
        <v>130000</v>
      </c>
      <c r="J922" s="74">
        <f>IF(E922="SERVICE",I922-(I922*50%),Vlookup(E922,DATABASE!C:Q,10,false)*F922)</f>
        <v>10000</v>
      </c>
      <c r="K922" s="74">
        <f>VLOOKUP(E922,DATABASE!C:Q,7,false)</f>
        <v>0</v>
      </c>
      <c r="L922" s="74">
        <v>0.0</v>
      </c>
      <c r="M922" s="74">
        <f t="shared" si="2"/>
        <v>0</v>
      </c>
      <c r="N922" s="74">
        <f t="shared" si="3"/>
        <v>120000</v>
      </c>
      <c r="O922" s="65" t="str">
        <f>VLOOKUP(E922,DATABASE!C:Q,8,false)</f>
        <v>IBU</v>
      </c>
      <c r="P922" s="65">
        <f>VLOOKUP(E922,DATABASE!C:Q,9,False)</f>
        <v>0</v>
      </c>
      <c r="Q922" s="93" t="str">
        <f>VLOOKUP(E922,DATABASE!C:Q,4,false)</f>
        <v>SPOORING</v>
      </c>
      <c r="R922" s="93" t="str">
        <f>VLOOKUP(E922,DATABASE!C:Q,11,false)</f>
        <v>SERVICE</v>
      </c>
    </row>
    <row r="923" ht="22.5" customHeight="1">
      <c r="A923" s="49"/>
      <c r="C923" s="384">
        <v>45710.0</v>
      </c>
      <c r="D923" s="65">
        <v>4448.0</v>
      </c>
      <c r="E923" s="445" t="s">
        <v>251</v>
      </c>
      <c r="F923" s="386">
        <v>1.0</v>
      </c>
      <c r="G923" s="74">
        <v>150000.0</v>
      </c>
      <c r="H923" s="74">
        <v>0.0</v>
      </c>
      <c r="I923" s="74">
        <f t="shared" si="1"/>
        <v>150000</v>
      </c>
      <c r="J923" s="74">
        <f>IF(E923="SERVICE",I923-(I923*50%),Vlookup(E923,DATABASE!C:Q,10,false)*F923)</f>
        <v>75000</v>
      </c>
      <c r="K923" s="74">
        <f>VLOOKUP(E923,DATABASE!C:Q,7,false)</f>
        <v>0</v>
      </c>
      <c r="L923" s="74">
        <v>0.0</v>
      </c>
      <c r="M923" s="74">
        <f t="shared" si="2"/>
        <v>0</v>
      </c>
      <c r="N923" s="74">
        <f t="shared" si="3"/>
        <v>75000</v>
      </c>
      <c r="O923" s="65" t="str">
        <f>VLOOKUP(E923,DATABASE!C:Q,8,false)</f>
        <v>IBU</v>
      </c>
      <c r="P923" s="65">
        <f>VLOOKUP(E923,DATABASE!C:Q,9,False)</f>
        <v>0</v>
      </c>
      <c r="Q923" s="93" t="str">
        <f>VLOOKUP(E923,DATABASE!C:Q,4,false)</f>
        <v>SERVICE</v>
      </c>
      <c r="R923" s="93" t="str">
        <f>VLOOKUP(E923,DATABASE!C:Q,11,false)</f>
        <v>SERVICE</v>
      </c>
    </row>
    <row r="924" ht="22.5" customHeight="1">
      <c r="A924" s="49"/>
      <c r="C924" s="384">
        <v>45710.0</v>
      </c>
      <c r="D924" s="65">
        <v>4449.0</v>
      </c>
      <c r="E924" s="445" t="s">
        <v>624</v>
      </c>
      <c r="F924" s="386">
        <v>3.0</v>
      </c>
      <c r="G924" s="74">
        <v>110000.0</v>
      </c>
      <c r="H924" s="74">
        <v>0.0</v>
      </c>
      <c r="I924" s="74">
        <f t="shared" si="1"/>
        <v>330000</v>
      </c>
      <c r="J924" s="74">
        <f>IF(E924="SERVICE",I924-(I924*50%),Vlookup(E924,DATABASE!C:Q,10,false)*F924)</f>
        <v>0</v>
      </c>
      <c r="K924" s="74">
        <f>VLOOKUP(E924,DATABASE!C:Q,7,false)</f>
        <v>60500</v>
      </c>
      <c r="L924" s="74">
        <v>60500.0</v>
      </c>
      <c r="M924" s="74">
        <f t="shared" si="2"/>
        <v>65000</v>
      </c>
      <c r="N924" s="74">
        <f t="shared" si="3"/>
        <v>135000</v>
      </c>
      <c r="O924" s="65" t="str">
        <f>VLOOKUP(E924,DATABASE!C:Q,8,false)</f>
        <v>BIAN</v>
      </c>
      <c r="P924" s="65">
        <f>VLOOKUP(E924,DATABASE!C:Q,9,False)</f>
        <v>1</v>
      </c>
      <c r="Q924" s="93" t="str">
        <f>VLOOKUP(E924,DATABASE!C:Q,4,false)</f>
        <v>BD</v>
      </c>
      <c r="R924" s="93" t="str">
        <f>VLOOKUP(E924,DATABASE!C:Q,11,false)</f>
        <v>Tire</v>
      </c>
    </row>
    <row r="925" ht="22.5" customHeight="1">
      <c r="A925" s="49"/>
      <c r="C925" s="384">
        <v>45710.0</v>
      </c>
      <c r="D925" s="65">
        <v>4450.0</v>
      </c>
      <c r="E925" s="445" t="s">
        <v>275</v>
      </c>
      <c r="F925" s="386">
        <v>1.0</v>
      </c>
      <c r="G925" s="74">
        <v>830000.0</v>
      </c>
      <c r="H925" s="74">
        <v>0.0</v>
      </c>
      <c r="I925" s="74">
        <f t="shared" si="1"/>
        <v>830000</v>
      </c>
      <c r="J925" s="74">
        <f>IF(E925="SERVICE",I925-(I925*50%),Vlookup(E925,DATABASE!C:Q,10,false)*F925)</f>
        <v>0</v>
      </c>
      <c r="K925" s="74">
        <v>735000.0</v>
      </c>
      <c r="L925" s="74">
        <v>735000.0</v>
      </c>
      <c r="M925" s="74">
        <f t="shared" si="2"/>
        <v>735000</v>
      </c>
      <c r="N925" s="74">
        <f t="shared" si="3"/>
        <v>95000</v>
      </c>
      <c r="O925" s="65" t="str">
        <f>VLOOKUP(E925,DATABASE!C:Q,8,false)</f>
        <v>IBU</v>
      </c>
      <c r="P925" s="65">
        <f>VLOOKUP(E925,DATABASE!C:Q,9,False)</f>
        <v>1</v>
      </c>
      <c r="Q925" s="93" t="str">
        <f>VLOOKUP(E925,DATABASE!C:Q,4,false)</f>
        <v>Dunlop</v>
      </c>
      <c r="R925" s="93" t="str">
        <f>VLOOKUP(E925,DATABASE!C:Q,11,false)</f>
        <v>Tire</v>
      </c>
    </row>
    <row r="926" ht="22.5" customHeight="1">
      <c r="A926" s="49"/>
      <c r="C926" s="384">
        <v>45710.0</v>
      </c>
      <c r="D926" s="65">
        <v>4451.0</v>
      </c>
      <c r="E926" s="445" t="s">
        <v>246</v>
      </c>
      <c r="F926" s="386">
        <v>4.0</v>
      </c>
      <c r="G926" s="74">
        <v>25000.0</v>
      </c>
      <c r="H926" s="74">
        <v>0.0</v>
      </c>
      <c r="I926" s="74">
        <f t="shared" si="1"/>
        <v>100000</v>
      </c>
      <c r="J926" s="74">
        <f>IF(E926="SERVICE",I926-(I926*50%),Vlookup(E926,DATABASE!C:Q,10,false)*F926)</f>
        <v>0</v>
      </c>
      <c r="K926" s="74">
        <f>VLOOKUP(E926,DATABASE!C:Q,7,false)</f>
        <v>0</v>
      </c>
      <c r="L926" s="74">
        <v>0.0</v>
      </c>
      <c r="M926" s="74">
        <f t="shared" si="2"/>
        <v>0</v>
      </c>
      <c r="N926" s="74">
        <f t="shared" si="3"/>
        <v>100000</v>
      </c>
      <c r="O926" s="65" t="str">
        <f>VLOOKUP(E926,DATABASE!C:Q,8,false)</f>
        <v>IBU</v>
      </c>
      <c r="P926" s="65">
        <f>VLOOKUP(E926,DATABASE!C:Q,9,False)</f>
        <v>0</v>
      </c>
      <c r="Q926" s="93" t="str">
        <f>VLOOKUP(E926,DATABASE!C:Q,4,false)</f>
        <v>Bongkar Pasang</v>
      </c>
      <c r="R926" s="93" t="str">
        <f>VLOOKUP(E926,DATABASE!C:Q,11,false)</f>
        <v>SERVICE</v>
      </c>
    </row>
    <row r="927" ht="22.5" customHeight="1">
      <c r="A927" s="49"/>
      <c r="C927" s="384">
        <v>45710.0</v>
      </c>
      <c r="D927" s="65">
        <v>4451.0</v>
      </c>
      <c r="E927" s="385" t="s">
        <v>299</v>
      </c>
      <c r="F927" s="386">
        <v>2.0</v>
      </c>
      <c r="G927" s="74">
        <v>30000.0</v>
      </c>
      <c r="H927" s="74">
        <v>0.0</v>
      </c>
      <c r="I927" s="74">
        <f t="shared" si="1"/>
        <v>60000</v>
      </c>
      <c r="J927" s="74">
        <f>IF(E927="SERVICE",I927-(I927*50%),Vlookup(E927,DATABASE!C:Q,10,false)*F927)</f>
        <v>0</v>
      </c>
      <c r="K927" s="74">
        <v>0.0</v>
      </c>
      <c r="L927" s="74">
        <v>0.0</v>
      </c>
      <c r="M927" s="74">
        <f t="shared" si="2"/>
        <v>0</v>
      </c>
      <c r="N927" s="74">
        <f t="shared" si="3"/>
        <v>60000</v>
      </c>
      <c r="O927" s="65" t="str">
        <f>VLOOKUP(E927,DATABASE!C:Q,8,false)</f>
        <v>BIAN</v>
      </c>
      <c r="P927" s="65">
        <f>VLOOKUP(E927,DATABASE!C:Q,9,False)</f>
        <v>0</v>
      </c>
      <c r="Q927" s="93" t="str">
        <f>VLOOKUP(E927,DATABASE!C:Q,4,false)</f>
        <v>Balancing</v>
      </c>
      <c r="R927" s="93" t="str">
        <f>VLOOKUP(E927,DATABASE!C:Q,11,false)</f>
        <v>COMPLEMENTARY</v>
      </c>
    </row>
    <row r="928" ht="22.5" customHeight="1">
      <c r="A928" s="49"/>
      <c r="C928" s="384">
        <v>45711.0</v>
      </c>
      <c r="D928" s="65">
        <v>4452.0</v>
      </c>
      <c r="E928" s="445" t="s">
        <v>572</v>
      </c>
      <c r="F928" s="386">
        <v>2.0</v>
      </c>
      <c r="G928" s="74">
        <v>1370000.0</v>
      </c>
      <c r="H928" s="74">
        <v>0.0</v>
      </c>
      <c r="I928" s="74">
        <f t="shared" si="1"/>
        <v>2740000</v>
      </c>
      <c r="J928" s="74">
        <f>IF(E928="SERVICE",I928-(I928*50%),Vlookup(E928,DATABASE!C:Q,10,false)*F928)</f>
        <v>0</v>
      </c>
      <c r="K928" s="140">
        <v>1270000.0</v>
      </c>
      <c r="L928" s="140">
        <v>1270000.0</v>
      </c>
      <c r="M928" s="74">
        <f t="shared" si="2"/>
        <v>1270000</v>
      </c>
      <c r="N928" s="74">
        <f t="shared" si="3"/>
        <v>200000</v>
      </c>
      <c r="O928" s="65" t="str">
        <f>VLOOKUP(E928,DATABASE!C:Q,8,false)</f>
        <v>IBU</v>
      </c>
      <c r="P928" s="65">
        <f>VLOOKUP(E928,DATABASE!C:Q,9,False)</f>
        <v>1</v>
      </c>
      <c r="Q928" s="93" t="str">
        <f>VLOOKUP(E928,DATABASE!C:Q,4,false)</f>
        <v>Bridgestone</v>
      </c>
      <c r="R928" s="93" t="str">
        <f>VLOOKUP(E928,DATABASE!C:Q,11,false)</f>
        <v>Tire</v>
      </c>
    </row>
    <row r="929" ht="22.5" customHeight="1">
      <c r="A929" s="49"/>
      <c r="C929" s="384">
        <v>45711.0</v>
      </c>
      <c r="D929" s="65">
        <v>4453.0</v>
      </c>
      <c r="E929" s="445" t="s">
        <v>255</v>
      </c>
      <c r="F929" s="386">
        <v>2.0</v>
      </c>
      <c r="G929" s="74">
        <v>200000.0</v>
      </c>
      <c r="H929" s="74">
        <v>0.0</v>
      </c>
      <c r="I929" s="74">
        <f t="shared" si="1"/>
        <v>400000</v>
      </c>
      <c r="J929" s="74">
        <f>IF(E929="SERVICE",I929-(I929*50%),Vlookup(E929,DATABASE!C:Q,10,false)*F929)</f>
        <v>0</v>
      </c>
      <c r="K929" s="74">
        <f>VLOOKUP(E929,DATABASE!C:Q,7,false)</f>
        <v>161840</v>
      </c>
      <c r="L929" s="74">
        <v>161840.0</v>
      </c>
      <c r="M929" s="74">
        <f t="shared" si="2"/>
        <v>165000</v>
      </c>
      <c r="N929" s="74">
        <f t="shared" si="3"/>
        <v>70000</v>
      </c>
      <c r="O929" s="65" t="str">
        <f>VLOOKUP(E929,DATABASE!C:Q,8,false)</f>
        <v>BIAN</v>
      </c>
      <c r="P929" s="65">
        <f>VLOOKUP(E929,DATABASE!C:Q,9,False)</f>
        <v>1</v>
      </c>
      <c r="Q929" s="93" t="str">
        <f>VLOOKUP(E929,DATABASE!C:Q,4,false)</f>
        <v>BD</v>
      </c>
      <c r="R929" s="93" t="str">
        <f>VLOOKUP(E929,DATABASE!C:Q,11,false)</f>
        <v>Tire</v>
      </c>
    </row>
    <row r="930" ht="22.5" customHeight="1">
      <c r="A930" s="49"/>
      <c r="C930" s="384">
        <v>45711.0</v>
      </c>
      <c r="D930" s="65">
        <v>4453.0</v>
      </c>
      <c r="E930" s="445" t="s">
        <v>814</v>
      </c>
      <c r="F930" s="386">
        <v>2.0</v>
      </c>
      <c r="G930" s="74">
        <v>60000.0</v>
      </c>
      <c r="H930" s="74">
        <v>0.0</v>
      </c>
      <c r="I930" s="74">
        <f t="shared" si="1"/>
        <v>120000</v>
      </c>
      <c r="J930" s="74">
        <f>IF(E930="SERVICE",I930-(I930*50%),Vlookup(E930,DATABASE!C:Q,10,false)*F930)</f>
        <v>0</v>
      </c>
      <c r="K930" s="74">
        <f>VLOOKUP(E930,DATABASE!C:Q,7,false)</f>
        <v>39440</v>
      </c>
      <c r="L930" s="74">
        <v>39440.0</v>
      </c>
      <c r="M930" s="74">
        <f t="shared" si="2"/>
        <v>40000</v>
      </c>
      <c r="N930" s="74">
        <f t="shared" si="3"/>
        <v>40000</v>
      </c>
      <c r="O930" s="65" t="str">
        <f>VLOOKUP(E930,DATABASE!C:Q,8,false)</f>
        <v>BIAN</v>
      </c>
      <c r="P930" s="65">
        <f>VLOOKUP(E930,DATABASE!C:Q,9,False)</f>
        <v>1</v>
      </c>
      <c r="Q930" s="93" t="str">
        <f>VLOOKUP(E930,DATABASE!C:Q,4,false)</f>
        <v>Flap</v>
      </c>
      <c r="R930" s="93" t="str">
        <f>VLOOKUP(E930,DATABASE!C:Q,11,false)</f>
        <v>Tire</v>
      </c>
    </row>
    <row r="931" ht="22.5" customHeight="1">
      <c r="A931" s="49"/>
      <c r="C931" s="384">
        <v>45711.0</v>
      </c>
      <c r="D931" s="65">
        <v>4455.0</v>
      </c>
      <c r="E931" s="445" t="s">
        <v>250</v>
      </c>
      <c r="F931" s="386">
        <v>1.0</v>
      </c>
      <c r="G931" s="74">
        <v>135000.0</v>
      </c>
      <c r="H931" s="74">
        <v>0.0</v>
      </c>
      <c r="I931" s="74">
        <f t="shared" si="1"/>
        <v>135000</v>
      </c>
      <c r="J931" s="74">
        <f>IF(E931="SERVICE",I931-(I931*50%),Vlookup(E931,DATABASE!C:Q,10,false)*F931)</f>
        <v>0</v>
      </c>
      <c r="K931" s="74">
        <f>VLOOKUP(E931,DATABASE!C:Q,7,false)</f>
        <v>102000</v>
      </c>
      <c r="L931" s="74">
        <v>102000.0</v>
      </c>
      <c r="M931" s="74">
        <f t="shared" si="2"/>
        <v>105000</v>
      </c>
      <c r="N931" s="74">
        <f t="shared" si="3"/>
        <v>30000</v>
      </c>
      <c r="O931" s="65" t="str">
        <f>VLOOKUP(E931,DATABASE!C:Q,8,false)</f>
        <v>BIAN</v>
      </c>
      <c r="P931" s="65">
        <f>VLOOKUP(E931,DATABASE!C:Q,9,False)</f>
        <v>1</v>
      </c>
      <c r="Q931" s="93" t="str">
        <f>VLOOKUP(E931,DATABASE!C:Q,4,false)</f>
        <v>BD</v>
      </c>
      <c r="R931" s="93" t="str">
        <f>VLOOKUP(E931,DATABASE!C:Q,11,false)</f>
        <v>Tire</v>
      </c>
    </row>
    <row r="932" ht="22.5" customHeight="1">
      <c r="A932" s="49"/>
      <c r="C932" s="384">
        <v>45711.0</v>
      </c>
      <c r="D932" s="65">
        <v>4455.0</v>
      </c>
      <c r="E932" s="445" t="s">
        <v>268</v>
      </c>
      <c r="F932" s="386">
        <v>1.0</v>
      </c>
      <c r="G932" s="74">
        <v>700000.0</v>
      </c>
      <c r="H932" s="74">
        <v>0.0</v>
      </c>
      <c r="I932" s="74">
        <f t="shared" si="1"/>
        <v>700000</v>
      </c>
      <c r="J932" s="74">
        <f>IF(E932="SERVICE",I932-(I932*50%),Vlookup(E932,DATABASE!C:Q,10,false)*F932)</f>
        <v>0</v>
      </c>
      <c r="K932" s="74">
        <v>613000.0</v>
      </c>
      <c r="L932" s="74">
        <v>613000.0</v>
      </c>
      <c r="M932" s="74">
        <f t="shared" si="2"/>
        <v>615000</v>
      </c>
      <c r="N932" s="74">
        <f t="shared" si="3"/>
        <v>85000</v>
      </c>
      <c r="O932" s="65" t="str">
        <f>VLOOKUP(E932,DATABASE!C:Q,8,false)</f>
        <v>IBU</v>
      </c>
      <c r="P932" s="65">
        <f>VLOOKUP(E932,DATABASE!C:Q,9,False)</f>
        <v>1</v>
      </c>
      <c r="Q932" s="93" t="str">
        <f>VLOOKUP(E932,DATABASE!C:Q,4,false)</f>
        <v>Dunlop</v>
      </c>
      <c r="R932" s="93" t="str">
        <f>VLOOKUP(E932,DATABASE!C:Q,11,false)</f>
        <v>Tire</v>
      </c>
    </row>
    <row r="933" ht="22.5" customHeight="1">
      <c r="A933" s="49"/>
      <c r="C933" s="384">
        <v>45712.0</v>
      </c>
      <c r="D933" s="65">
        <v>4458.0</v>
      </c>
      <c r="E933" s="445" t="s">
        <v>286</v>
      </c>
      <c r="F933" s="386">
        <v>1.0</v>
      </c>
      <c r="G933" s="74">
        <v>550000.0</v>
      </c>
      <c r="H933" s="74">
        <v>0.0</v>
      </c>
      <c r="I933" s="74">
        <f t="shared" si="1"/>
        <v>550000</v>
      </c>
      <c r="J933" s="74">
        <f>IF(E933="SERVICE",I933-(I933*50%),Vlookup(E933,DATABASE!C:Q,10,false)*F933)</f>
        <v>0</v>
      </c>
      <c r="K933" s="74">
        <f>VLOOKUP(E933,DATABASE!C:Q,7,false)</f>
        <v>488320</v>
      </c>
      <c r="L933" s="74">
        <v>452970.0</v>
      </c>
      <c r="M933" s="74">
        <f t="shared" si="2"/>
        <v>455000</v>
      </c>
      <c r="N933" s="74">
        <f t="shared" si="3"/>
        <v>95000</v>
      </c>
      <c r="O933" s="65" t="str">
        <f>VLOOKUP(E933,DATABASE!C:Q,8,false)</f>
        <v>BIAN</v>
      </c>
      <c r="P933" s="65">
        <f>VLOOKUP(E933,DATABASE!C:Q,9,False)</f>
        <v>1</v>
      </c>
      <c r="Q933" s="93" t="str">
        <f>VLOOKUP(E933,DATABASE!C:Q,4,false)</f>
        <v>GT</v>
      </c>
      <c r="R933" s="93" t="str">
        <f>VLOOKUP(E933,DATABASE!C:Q,11,false)</f>
        <v>Tire</v>
      </c>
    </row>
    <row r="934" ht="22.5" customHeight="1">
      <c r="A934" s="49"/>
      <c r="C934" s="384">
        <v>45712.0</v>
      </c>
      <c r="D934" s="65">
        <v>4459.0</v>
      </c>
      <c r="E934" s="445" t="s">
        <v>781</v>
      </c>
      <c r="F934" s="386">
        <v>2.0</v>
      </c>
      <c r="G934" s="74">
        <v>525000.0</v>
      </c>
      <c r="H934" s="74">
        <v>0.0</v>
      </c>
      <c r="I934" s="74">
        <f t="shared" si="1"/>
        <v>1050000</v>
      </c>
      <c r="J934" s="74">
        <f>IF(E934="SERVICE",I934-(I934*50%),Vlookup(E934,DATABASE!C:Q,10,false)*F934)</f>
        <v>0</v>
      </c>
      <c r="K934" s="74">
        <f>VLOOKUP(E934,DATABASE!C:Q,7,false)</f>
        <v>470000</v>
      </c>
      <c r="L934" s="74">
        <v>442500.0</v>
      </c>
      <c r="M934" s="74">
        <f t="shared" si="2"/>
        <v>445000</v>
      </c>
      <c r="N934" s="74">
        <f t="shared" si="3"/>
        <v>160000</v>
      </c>
      <c r="O934" s="65" t="str">
        <f>VLOOKUP(E934,DATABASE!C:Q,8,false)</f>
        <v>BIAN</v>
      </c>
      <c r="P934" s="65">
        <f>VLOOKUP(E934,DATABASE!C:Q,9,False)</f>
        <v>1</v>
      </c>
      <c r="Q934" s="93" t="str">
        <f>VLOOKUP(E934,DATABASE!C:Q,4,false)</f>
        <v>GT</v>
      </c>
      <c r="R934" s="93" t="str">
        <f>VLOOKUP(E934,DATABASE!C:Q,11,false)</f>
        <v>Tire</v>
      </c>
    </row>
    <row r="935" ht="22.5" customHeight="1">
      <c r="A935" s="49"/>
      <c r="C935" s="384">
        <v>45712.0</v>
      </c>
      <c r="D935" s="65">
        <v>4461.0</v>
      </c>
      <c r="E935" s="445" t="s">
        <v>627</v>
      </c>
      <c r="F935" s="386">
        <v>1.0</v>
      </c>
      <c r="G935" s="74">
        <v>980000.0</v>
      </c>
      <c r="H935" s="74">
        <v>0.0</v>
      </c>
      <c r="I935" s="74">
        <f t="shared" si="1"/>
        <v>980000</v>
      </c>
      <c r="J935" s="74">
        <f>IF(E935="SERVICE",I935-(I935*50%),Vlookup(E935,DATABASE!C:Q,10,false)*F935)</f>
        <v>0</v>
      </c>
      <c r="K935" s="74">
        <f>VLOOKUP(E935,DATABASE!C:Q,7,false)</f>
        <v>879567</v>
      </c>
      <c r="L935" s="74">
        <v>884979.0</v>
      </c>
      <c r="M935" s="74">
        <f t="shared" si="2"/>
        <v>885000</v>
      </c>
      <c r="N935" s="74">
        <f t="shared" si="3"/>
        <v>95000</v>
      </c>
      <c r="O935" s="65" t="str">
        <f>VLOOKUP(E935,DATABASE!C:Q,8,false)</f>
        <v>IBU</v>
      </c>
      <c r="P935" s="65">
        <f>VLOOKUP(E935,DATABASE!C:Q,9,False)</f>
        <v>1</v>
      </c>
      <c r="Q935" s="93" t="str">
        <f>VLOOKUP(E935,DATABASE!C:Q,4,false)</f>
        <v>Bridgestone</v>
      </c>
      <c r="R935" s="93" t="str">
        <f>VLOOKUP(E935,DATABASE!C:Q,11,false)</f>
        <v>Tire</v>
      </c>
    </row>
    <row r="936" ht="22.5" customHeight="1">
      <c r="A936" s="49"/>
      <c r="C936" s="384">
        <v>45712.0</v>
      </c>
      <c r="D936" s="65">
        <v>4462.0</v>
      </c>
      <c r="E936" s="445" t="s">
        <v>566</v>
      </c>
      <c r="F936" s="386">
        <v>2.0</v>
      </c>
      <c r="G936" s="74">
        <v>1665000.0</v>
      </c>
      <c r="H936" s="74">
        <v>0.0</v>
      </c>
      <c r="I936" s="74">
        <f t="shared" si="1"/>
        <v>3330000</v>
      </c>
      <c r="J936" s="74">
        <f>IF(E936="SERVICE",I936-(I936*50%),Vlookup(E936,DATABASE!C:Q,10,false)*F936)</f>
        <v>0</v>
      </c>
      <c r="K936" s="140">
        <v>1570000.0</v>
      </c>
      <c r="L936" s="140">
        <v>1570000.0</v>
      </c>
      <c r="M936" s="74">
        <f t="shared" si="2"/>
        <v>1570000</v>
      </c>
      <c r="N936" s="74">
        <f t="shared" si="3"/>
        <v>190000</v>
      </c>
      <c r="O936" s="65" t="str">
        <f>VLOOKUP(E936,DATABASE!C:Q,8,false)</f>
        <v>IBU</v>
      </c>
      <c r="P936" s="65">
        <f>VLOOKUP(E936,DATABASE!C:Q,9,False)</f>
        <v>1</v>
      </c>
      <c r="Q936" s="93" t="str">
        <f>VLOOKUP(E936,DATABASE!C:Q,4,false)</f>
        <v>Bridgestone</v>
      </c>
      <c r="R936" s="93" t="str">
        <f>VLOOKUP(E936,DATABASE!C:Q,11,false)</f>
        <v>Tire</v>
      </c>
    </row>
    <row r="937" ht="22.5" customHeight="1">
      <c r="A937" s="49"/>
      <c r="C937" s="384">
        <v>45712.0</v>
      </c>
      <c r="D937" s="65">
        <v>4462.0</v>
      </c>
      <c r="E937" s="445" t="s">
        <v>265</v>
      </c>
      <c r="F937" s="386">
        <v>2.0</v>
      </c>
      <c r="G937" s="74">
        <v>670000.0</v>
      </c>
      <c r="H937" s="74">
        <v>0.0</v>
      </c>
      <c r="I937" s="74">
        <f t="shared" si="1"/>
        <v>1340000</v>
      </c>
      <c r="J937" s="74">
        <f>IF(E937="SERVICE",I937-(I937*50%),Vlookup(E937,DATABASE!C:Q,10,false)*F937)</f>
        <v>0</v>
      </c>
      <c r="K937" s="74">
        <v>590000.0</v>
      </c>
      <c r="L937" s="74">
        <v>590000.0</v>
      </c>
      <c r="M937" s="74">
        <f t="shared" si="2"/>
        <v>590000</v>
      </c>
      <c r="N937" s="74">
        <f t="shared" si="3"/>
        <v>160000</v>
      </c>
      <c r="O937" s="65" t="str">
        <f>VLOOKUP(E937,DATABASE!C:Q,8,false)</f>
        <v>IBU</v>
      </c>
      <c r="P937" s="65">
        <f>VLOOKUP(E937,DATABASE!C:Q,9,False)</f>
        <v>1</v>
      </c>
      <c r="Q937" s="93" t="str">
        <f>VLOOKUP(E937,DATABASE!C:Q,4,false)</f>
        <v>Dunlop</v>
      </c>
      <c r="R937" s="93" t="str">
        <f>VLOOKUP(E937,DATABASE!C:Q,11,false)</f>
        <v>Tire</v>
      </c>
    </row>
    <row r="938" ht="22.5" customHeight="1">
      <c r="A938" s="49"/>
      <c r="C938" s="384">
        <v>45712.0</v>
      </c>
      <c r="D938" s="65">
        <v>4463.0</v>
      </c>
      <c r="E938" s="445" t="s">
        <v>262</v>
      </c>
      <c r="F938" s="386">
        <v>1.0</v>
      </c>
      <c r="G938" s="74">
        <v>110000.0</v>
      </c>
      <c r="H938" s="74">
        <v>0.0</v>
      </c>
      <c r="I938" s="74">
        <f t="shared" si="1"/>
        <v>110000</v>
      </c>
      <c r="J938" s="74">
        <f>IF(E938="SERVICE",I938-(I938*50%),Vlookup(E938,DATABASE!C:Q,10,false)*F938)</f>
        <v>5000</v>
      </c>
      <c r="K938" s="74">
        <f>VLOOKUP(E938,DATABASE!C:Q,7,false)</f>
        <v>0</v>
      </c>
      <c r="L938" s="74">
        <v>0.0</v>
      </c>
      <c r="M938" s="74">
        <f t="shared" si="2"/>
        <v>0</v>
      </c>
      <c r="N938" s="74">
        <f t="shared" si="3"/>
        <v>105000</v>
      </c>
      <c r="O938" s="65" t="str">
        <f>VLOOKUP(E938,DATABASE!C:Q,8,false)</f>
        <v>IBU</v>
      </c>
      <c r="P938" s="65">
        <f>VLOOKUP(E938,DATABASE!C:Q,9,False)</f>
        <v>0</v>
      </c>
      <c r="Q938" s="93" t="str">
        <f>VLOOKUP(E938,DATABASE!C:Q,4,false)</f>
        <v>SPOORING SS/CARRY LOS BAK</v>
      </c>
      <c r="R938" s="93" t="str">
        <f>VLOOKUP(E938,DATABASE!C:Q,11,false)</f>
        <v>SERVICE</v>
      </c>
    </row>
    <row r="939" ht="22.5" customHeight="1">
      <c r="A939" s="49"/>
      <c r="C939" s="384">
        <v>45712.0</v>
      </c>
      <c r="D939" s="65">
        <v>4463.0</v>
      </c>
      <c r="E939" s="445" t="s">
        <v>251</v>
      </c>
      <c r="F939" s="386">
        <v>1.0</v>
      </c>
      <c r="G939" s="74">
        <v>270000.0</v>
      </c>
      <c r="H939" s="74">
        <v>0.0</v>
      </c>
      <c r="I939" s="74">
        <f t="shared" si="1"/>
        <v>270000</v>
      </c>
      <c r="J939" s="74">
        <f>IF(E939="SERVICE",I939-(I939*50%),Vlookup(E939,DATABASE!C:Q,10,false)*F939)</f>
        <v>135000</v>
      </c>
      <c r="K939" s="74">
        <f>VLOOKUP(E939,DATABASE!C:Q,7,false)</f>
        <v>0</v>
      </c>
      <c r="L939" s="74">
        <v>0.0</v>
      </c>
      <c r="M939" s="74">
        <f t="shared" si="2"/>
        <v>0</v>
      </c>
      <c r="N939" s="74">
        <f t="shared" si="3"/>
        <v>135000</v>
      </c>
      <c r="O939" s="65" t="str">
        <f>VLOOKUP(E939,DATABASE!C:Q,8,false)</f>
        <v>IBU</v>
      </c>
      <c r="P939" s="65">
        <f>VLOOKUP(E939,DATABASE!C:Q,9,False)</f>
        <v>0</v>
      </c>
      <c r="Q939" s="93" t="str">
        <f>VLOOKUP(E939,DATABASE!C:Q,4,false)</f>
        <v>SERVICE</v>
      </c>
      <c r="R939" s="93" t="str">
        <f>VLOOKUP(E939,DATABASE!C:Q,11,false)</f>
        <v>SERVICE</v>
      </c>
    </row>
    <row r="940" ht="22.5" customHeight="1">
      <c r="A940" s="49"/>
      <c r="C940" s="384">
        <v>45712.0</v>
      </c>
      <c r="D940" s="65">
        <v>4463.0</v>
      </c>
      <c r="E940" s="385" t="s">
        <v>299</v>
      </c>
      <c r="F940" s="386">
        <v>2.0</v>
      </c>
      <c r="G940" s="74">
        <v>30000.0</v>
      </c>
      <c r="H940" s="74">
        <v>0.0</v>
      </c>
      <c r="I940" s="74">
        <f t="shared" si="1"/>
        <v>60000</v>
      </c>
      <c r="J940" s="74">
        <f>IF(E940="SERVICE",I940-(I940*50%),Vlookup(E940,DATABASE!C:Q,10,false)*F940)</f>
        <v>0</v>
      </c>
      <c r="K940" s="74">
        <v>0.0</v>
      </c>
      <c r="L940" s="74">
        <v>0.0</v>
      </c>
      <c r="M940" s="74">
        <f t="shared" si="2"/>
        <v>0</v>
      </c>
      <c r="N940" s="74">
        <f t="shared" si="3"/>
        <v>60000</v>
      </c>
      <c r="O940" s="65" t="str">
        <f>VLOOKUP(E940,DATABASE!C:Q,8,false)</f>
        <v>BIAN</v>
      </c>
      <c r="P940" s="65">
        <f>VLOOKUP(E940,DATABASE!C:Q,9,False)</f>
        <v>0</v>
      </c>
      <c r="Q940" s="93" t="str">
        <f>VLOOKUP(E940,DATABASE!C:Q,4,false)</f>
        <v>Balancing</v>
      </c>
      <c r="R940" s="93" t="str">
        <f>VLOOKUP(E940,DATABASE!C:Q,11,false)</f>
        <v>COMPLEMENTARY</v>
      </c>
    </row>
    <row r="941" ht="22.5" customHeight="1">
      <c r="A941" s="49"/>
      <c r="C941" s="384">
        <v>45712.0</v>
      </c>
      <c r="D941" s="65">
        <v>4464.0</v>
      </c>
      <c r="E941" s="445" t="s">
        <v>554</v>
      </c>
      <c r="F941" s="386">
        <v>2.0</v>
      </c>
      <c r="G941" s="74">
        <v>800000.0</v>
      </c>
      <c r="H941" s="74">
        <v>0.0</v>
      </c>
      <c r="I941" s="74">
        <f t="shared" si="1"/>
        <v>1600000</v>
      </c>
      <c r="J941" s="74">
        <f>IF(E941="SERVICE",I941-(I941*50%),Vlookup(E941,DATABASE!C:Q,10,false)*F941)</f>
        <v>0</v>
      </c>
      <c r="K941" s="74">
        <f>VLOOKUP(E941,DATABASE!C:Q,7,false)</f>
        <v>710000</v>
      </c>
      <c r="L941" s="74">
        <v>680000.0</v>
      </c>
      <c r="M941" s="74">
        <f t="shared" si="2"/>
        <v>680000</v>
      </c>
      <c r="N941" s="74">
        <f t="shared" si="3"/>
        <v>240000</v>
      </c>
      <c r="O941" s="65" t="str">
        <f>VLOOKUP(E941,DATABASE!C:Q,8,false)</f>
        <v>IBU</v>
      </c>
      <c r="P941" s="65">
        <f>VLOOKUP(E941,DATABASE!C:Q,9,False)</f>
        <v>1</v>
      </c>
      <c r="Q941" s="93" t="str">
        <f>VLOOKUP(E941,DATABASE!C:Q,4,false)</f>
        <v>Bridgestone</v>
      </c>
      <c r="R941" s="93" t="str">
        <f>VLOOKUP(E941,DATABASE!C:Q,11,false)</f>
        <v>Tire</v>
      </c>
    </row>
    <row r="942" ht="22.5" customHeight="1">
      <c r="A942" s="49"/>
      <c r="C942" s="384">
        <v>45712.0</v>
      </c>
      <c r="D942" s="65">
        <v>4465.0</v>
      </c>
      <c r="E942" s="445" t="s">
        <v>940</v>
      </c>
      <c r="F942" s="386">
        <v>2.0</v>
      </c>
      <c r="G942" s="74">
        <v>800000.0</v>
      </c>
      <c r="H942" s="74">
        <v>0.0</v>
      </c>
      <c r="I942" s="74">
        <f t="shared" si="1"/>
        <v>1600000</v>
      </c>
      <c r="J942" s="74">
        <f>IF(E942="SERVICE",I942-(I942*50%),Vlookup(E942,DATABASE!C:Q,10,false)*F942)</f>
        <v>0</v>
      </c>
      <c r="K942" s="74">
        <f>VLOOKUP(E942,DATABASE!C:Q,7,false)</f>
        <v>716500</v>
      </c>
      <c r="L942" s="74">
        <v>709000.0</v>
      </c>
      <c r="M942" s="74">
        <f t="shared" si="2"/>
        <v>710000</v>
      </c>
      <c r="N942" s="74">
        <f t="shared" si="3"/>
        <v>180000</v>
      </c>
      <c r="O942" s="65" t="str">
        <f>VLOOKUP(E942,DATABASE!C:Q,8,false)</f>
        <v>IBU</v>
      </c>
      <c r="P942" s="65">
        <f>VLOOKUP(E942,DATABASE!C:Q,9,False)</f>
        <v>1</v>
      </c>
      <c r="Q942" s="93" t="str">
        <f>VLOOKUP(E942,DATABASE!C:Q,4,false)</f>
        <v>Dunlop</v>
      </c>
      <c r="R942" s="93" t="str">
        <f>VLOOKUP(E942,DATABASE!C:Q,11,false)</f>
        <v>Tire</v>
      </c>
    </row>
    <row r="943" ht="22.5" customHeight="1">
      <c r="A943" s="49"/>
      <c r="C943" s="384">
        <v>45712.0</v>
      </c>
      <c r="D943" s="65">
        <v>4466.0</v>
      </c>
      <c r="E943" s="385" t="s">
        <v>299</v>
      </c>
      <c r="F943" s="386">
        <v>2.0</v>
      </c>
      <c r="G943" s="74">
        <v>30000.0</v>
      </c>
      <c r="H943" s="74">
        <v>0.0</v>
      </c>
      <c r="I943" s="74">
        <f t="shared" si="1"/>
        <v>60000</v>
      </c>
      <c r="J943" s="74">
        <f>IF(E943="SERVICE",I943-(I943*50%),Vlookup(E943,DATABASE!C:Q,10,false)*F943)</f>
        <v>0</v>
      </c>
      <c r="K943" s="74">
        <v>0.0</v>
      </c>
      <c r="L943" s="74">
        <v>0.0</v>
      </c>
      <c r="M943" s="74">
        <f t="shared" si="2"/>
        <v>0</v>
      </c>
      <c r="N943" s="74">
        <f t="shared" si="3"/>
        <v>60000</v>
      </c>
      <c r="O943" s="65" t="str">
        <f>VLOOKUP(E943,DATABASE!C:Q,8,false)</f>
        <v>BIAN</v>
      </c>
      <c r="P943" s="65">
        <f>VLOOKUP(E943,DATABASE!C:Q,9,False)</f>
        <v>0</v>
      </c>
      <c r="Q943" s="93" t="str">
        <f>VLOOKUP(E943,DATABASE!C:Q,4,false)</f>
        <v>Balancing</v>
      </c>
      <c r="R943" s="93" t="str">
        <f>VLOOKUP(E943,DATABASE!C:Q,11,false)</f>
        <v>COMPLEMENTARY</v>
      </c>
    </row>
    <row r="944" ht="22.5" customHeight="1">
      <c r="A944" s="49"/>
      <c r="C944" s="384">
        <v>45712.0</v>
      </c>
      <c r="D944" s="65">
        <v>4466.0</v>
      </c>
      <c r="E944" s="445" t="s">
        <v>256</v>
      </c>
      <c r="F944" s="386">
        <v>1.0</v>
      </c>
      <c r="G944" s="74">
        <v>130000.0</v>
      </c>
      <c r="H944" s="74">
        <v>0.0</v>
      </c>
      <c r="I944" s="74">
        <f t="shared" si="1"/>
        <v>130000</v>
      </c>
      <c r="J944" s="74">
        <f>IF(E944="SERVICE",I944-(I944*50%),Vlookup(E944,DATABASE!C:Q,10,false)*F944)</f>
        <v>10000</v>
      </c>
      <c r="K944" s="74">
        <f>VLOOKUP(E944,DATABASE!C:Q,7,false)</f>
        <v>0</v>
      </c>
      <c r="L944" s="74">
        <v>0.0</v>
      </c>
      <c r="M944" s="74">
        <f t="shared" si="2"/>
        <v>0</v>
      </c>
      <c r="N944" s="74">
        <f t="shared" si="3"/>
        <v>120000</v>
      </c>
      <c r="O944" s="65" t="str">
        <f>VLOOKUP(E944,DATABASE!C:Q,8,false)</f>
        <v>IBU</v>
      </c>
      <c r="P944" s="65">
        <f>VLOOKUP(E944,DATABASE!C:Q,9,False)</f>
        <v>0</v>
      </c>
      <c r="Q944" s="93" t="str">
        <f>VLOOKUP(E944,DATABASE!C:Q,4,false)</f>
        <v>SPOORING</v>
      </c>
      <c r="R944" s="93" t="str">
        <f>VLOOKUP(E944,DATABASE!C:Q,11,false)</f>
        <v>SERVICE</v>
      </c>
    </row>
    <row r="945" ht="22.5" customHeight="1">
      <c r="A945" s="49"/>
      <c r="C945" s="384">
        <v>45712.0</v>
      </c>
      <c r="D945" s="65">
        <v>4467.0</v>
      </c>
      <c r="E945" s="445" t="s">
        <v>301</v>
      </c>
      <c r="F945" s="386">
        <v>1.0</v>
      </c>
      <c r="G945" s="74">
        <v>250000.0</v>
      </c>
      <c r="H945" s="74">
        <v>0.0</v>
      </c>
      <c r="I945" s="74">
        <f t="shared" si="1"/>
        <v>250000</v>
      </c>
      <c r="J945" s="74">
        <f>IF(E945="SERVICE",I945-(I945*50%),Vlookup(E945,DATABASE!C:Q,10,false)*F945)</f>
        <v>75000</v>
      </c>
      <c r="K945" s="74">
        <f>VLOOKUP(E945,DATABASE!C:Q,7,false)</f>
        <v>75000</v>
      </c>
      <c r="L945" s="74">
        <v>75000.0</v>
      </c>
      <c r="M945" s="74">
        <f t="shared" si="2"/>
        <v>75000</v>
      </c>
      <c r="N945" s="74">
        <f t="shared" si="3"/>
        <v>100000</v>
      </c>
      <c r="O945" s="65" t="str">
        <f>VLOOKUP(E945,DATABASE!C:Q,8,false)</f>
        <v>BIAN</v>
      </c>
      <c r="P945" s="65">
        <f>VLOOKUP(E945,DATABASE!C:Q,9,False)</f>
        <v>0</v>
      </c>
      <c r="Q945" s="93" t="str">
        <f>VLOOKUP(E945,DATABASE!C:Q,4,false)</f>
        <v>Baut Camber</v>
      </c>
      <c r="R945" s="93" t="str">
        <f>VLOOKUP(E945,DATABASE!C:Q,11,false)</f>
        <v>COMPLEMENTARY</v>
      </c>
    </row>
    <row r="946" ht="22.5" customHeight="1">
      <c r="A946" s="49"/>
      <c r="C946" s="384">
        <v>45712.0</v>
      </c>
      <c r="D946" s="65">
        <v>4467.0</v>
      </c>
      <c r="E946" s="445" t="s">
        <v>256</v>
      </c>
      <c r="F946" s="386">
        <v>1.0</v>
      </c>
      <c r="G946" s="74">
        <v>130000.0</v>
      </c>
      <c r="H946" s="74">
        <v>0.0</v>
      </c>
      <c r="I946" s="74">
        <f t="shared" si="1"/>
        <v>130000</v>
      </c>
      <c r="J946" s="74">
        <f>IF(E946="SERVICE",I946-(I946*50%),Vlookup(E946,DATABASE!C:Q,10,false)*F946)</f>
        <v>10000</v>
      </c>
      <c r="K946" s="74">
        <f>VLOOKUP(E946,DATABASE!C:Q,7,false)</f>
        <v>0</v>
      </c>
      <c r="L946" s="74">
        <v>0.0</v>
      </c>
      <c r="M946" s="74">
        <f t="shared" si="2"/>
        <v>0</v>
      </c>
      <c r="N946" s="74">
        <f t="shared" si="3"/>
        <v>120000</v>
      </c>
      <c r="O946" s="65" t="str">
        <f>VLOOKUP(E946,DATABASE!C:Q,8,false)</f>
        <v>IBU</v>
      </c>
      <c r="P946" s="65">
        <f>VLOOKUP(E946,DATABASE!C:Q,9,False)</f>
        <v>0</v>
      </c>
      <c r="Q946" s="93" t="str">
        <f>VLOOKUP(E946,DATABASE!C:Q,4,false)</f>
        <v>SPOORING</v>
      </c>
      <c r="R946" s="93" t="str">
        <f>VLOOKUP(E946,DATABASE!C:Q,11,false)</f>
        <v>SERVICE</v>
      </c>
    </row>
    <row r="947" ht="22.5" customHeight="1">
      <c r="A947" s="49"/>
      <c r="C947" s="384">
        <v>45712.0</v>
      </c>
      <c r="D947" s="65">
        <v>4469.0</v>
      </c>
      <c r="E947" s="445" t="s">
        <v>1324</v>
      </c>
      <c r="F947" s="386">
        <v>1.0</v>
      </c>
      <c r="G947" s="74">
        <v>2800000.0</v>
      </c>
      <c r="H947" s="74">
        <v>0.0</v>
      </c>
      <c r="I947" s="74">
        <f t="shared" si="1"/>
        <v>2800000</v>
      </c>
      <c r="J947" s="74">
        <f>IF(E947="SERVICE",I947-(I947*50%),Vlookup(E947,DATABASE!C:Q,10,false)*F947)</f>
        <v>0</v>
      </c>
      <c r="K947" s="74">
        <f>VLOOKUP(E947,DATABASE!C:Q,7,false)</f>
        <v>2535000</v>
      </c>
      <c r="L947" s="74">
        <v>2535000.0</v>
      </c>
      <c r="M947" s="74">
        <f t="shared" si="2"/>
        <v>2535000</v>
      </c>
      <c r="N947" s="74">
        <f t="shared" si="3"/>
        <v>265000</v>
      </c>
      <c r="O947" s="65" t="str">
        <f>VLOOKUP(E947,DATABASE!C:Q,8,false)</f>
        <v>IBU</v>
      </c>
      <c r="P947" s="65">
        <f>VLOOKUP(E947,DATABASE!C:Q,9,False)</f>
        <v>1</v>
      </c>
      <c r="Q947" s="93" t="str">
        <f>VLOOKUP(E947,DATABASE!C:Q,4,false)</f>
        <v>Bridgestone</v>
      </c>
      <c r="R947" s="93" t="str">
        <f>VLOOKUP(E947,DATABASE!C:Q,11,false)</f>
        <v>Tire</v>
      </c>
    </row>
    <row r="948" ht="22.5" customHeight="1">
      <c r="A948" s="49"/>
      <c r="C948" s="384">
        <v>45712.0</v>
      </c>
      <c r="D948" s="65">
        <v>4469.0</v>
      </c>
      <c r="E948" s="445" t="s">
        <v>846</v>
      </c>
      <c r="F948" s="386">
        <v>1.0</v>
      </c>
      <c r="G948" s="74">
        <v>540000.0</v>
      </c>
      <c r="H948" s="74">
        <v>0.0</v>
      </c>
      <c r="I948" s="74">
        <f t="shared" si="1"/>
        <v>540000</v>
      </c>
      <c r="J948" s="74">
        <f>IF(E948="SERVICE",I948-(I948*50%),Vlookup(E948,DATABASE!C:Q,10,false)*F948)</f>
        <v>0</v>
      </c>
      <c r="K948" s="74">
        <f>VLOOKUP(E948,DATABASE!C:Q,7,false)</f>
        <v>415000</v>
      </c>
      <c r="L948" s="74">
        <v>415000.0</v>
      </c>
      <c r="M948" s="74">
        <f t="shared" si="2"/>
        <v>415000</v>
      </c>
      <c r="N948" s="74">
        <f t="shared" si="3"/>
        <v>125000</v>
      </c>
      <c r="O948" s="65" t="str">
        <f>VLOOKUP(E948,DATABASE!C:Q,8,false)</f>
        <v>IBU</v>
      </c>
      <c r="P948" s="65">
        <f>VLOOKUP(E948,DATABASE!C:Q,9,False)</f>
        <v>1</v>
      </c>
      <c r="Q948" s="93" t="str">
        <f>VLOOKUP(E948,DATABASE!C:Q,4,false)</f>
        <v>BD</v>
      </c>
      <c r="R948" s="93" t="str">
        <f>VLOOKUP(E948,DATABASE!C:Q,11,false)</f>
        <v>Tire</v>
      </c>
    </row>
    <row r="949" ht="22.5" customHeight="1">
      <c r="A949" s="49"/>
      <c r="C949" s="384">
        <v>45712.0</v>
      </c>
      <c r="D949" s="65">
        <v>4469.0</v>
      </c>
      <c r="E949" s="445" t="s">
        <v>1760</v>
      </c>
      <c r="F949" s="386">
        <v>1.0</v>
      </c>
      <c r="G949" s="74">
        <v>260000.0</v>
      </c>
      <c r="H949" s="74">
        <v>0.0</v>
      </c>
      <c r="I949" s="74">
        <f t="shared" si="1"/>
        <v>260000</v>
      </c>
      <c r="J949" s="74">
        <f>IF(E949="SERVICE",I949-(I949*50%),Vlookup(E949,DATABASE!C:Q,10,false)*F949)</f>
        <v>0</v>
      </c>
      <c r="K949" s="74">
        <f>VLOOKUP(E949,DATABASE!C:Q,7,false)</f>
        <v>228000</v>
      </c>
      <c r="L949" s="74">
        <v>228000.0</v>
      </c>
      <c r="M949" s="74">
        <f t="shared" si="2"/>
        <v>230000</v>
      </c>
      <c r="N949" s="74">
        <f t="shared" si="3"/>
        <v>30000</v>
      </c>
      <c r="O949" s="65" t="str">
        <f>VLOOKUP(E949,DATABASE!C:Q,8,false)</f>
        <v>IBU</v>
      </c>
      <c r="P949" s="65">
        <f>VLOOKUP(E949,DATABASE!C:Q,9,False)</f>
        <v>1</v>
      </c>
      <c r="Q949" s="93" t="str">
        <f>VLOOKUP(E949,DATABASE!C:Q,4,false)</f>
        <v>Flap</v>
      </c>
      <c r="R949" s="93" t="str">
        <f>VLOOKUP(E949,DATABASE!C:Q,11,false)</f>
        <v>Tire</v>
      </c>
    </row>
    <row r="950" ht="22.5" customHeight="1">
      <c r="A950" s="49"/>
      <c r="C950" s="384">
        <v>45712.0</v>
      </c>
      <c r="D950" s="65">
        <v>4470.0</v>
      </c>
      <c r="E950" s="445" t="s">
        <v>889</v>
      </c>
      <c r="F950" s="386">
        <v>2.0</v>
      </c>
      <c r="G950" s="74">
        <v>780000.0</v>
      </c>
      <c r="H950" s="74">
        <v>0.0</v>
      </c>
      <c r="I950" s="74">
        <f t="shared" si="1"/>
        <v>1560000</v>
      </c>
      <c r="J950" s="74">
        <f>IF(E950="SERVICE",I950-(I950*50%),Vlookup(E950,DATABASE!C:Q,10,false)*F950)</f>
        <v>0</v>
      </c>
      <c r="K950" s="74">
        <f>VLOOKUP(E950,DATABASE!C:Q,7,false)</f>
        <v>678000</v>
      </c>
      <c r="L950" s="74">
        <v>678000.0</v>
      </c>
      <c r="M950" s="74">
        <f t="shared" si="2"/>
        <v>680000</v>
      </c>
      <c r="N950" s="74">
        <f t="shared" si="3"/>
        <v>200000</v>
      </c>
      <c r="O950" s="65" t="str">
        <f>VLOOKUP(E950,DATABASE!C:Q,8,false)</f>
        <v>BIAN</v>
      </c>
      <c r="P950" s="65">
        <f>VLOOKUP(E950,DATABASE!C:Q,9,False)</f>
        <v>1</v>
      </c>
      <c r="Q950" s="93" t="str">
        <f>VLOOKUP(E950,DATABASE!C:Q,4,false)</f>
        <v>Sailun</v>
      </c>
      <c r="R950" s="93" t="str">
        <f>VLOOKUP(E950,DATABASE!C:Q,11,false)</f>
        <v>Tire</v>
      </c>
    </row>
    <row r="951" ht="22.5" customHeight="1">
      <c r="A951" s="49"/>
      <c r="C951" s="384">
        <v>45712.0</v>
      </c>
      <c r="D951" s="65">
        <v>4471.0</v>
      </c>
      <c r="E951" s="445" t="s">
        <v>262</v>
      </c>
      <c r="F951" s="386">
        <v>1.0</v>
      </c>
      <c r="G951" s="74">
        <v>110000.0</v>
      </c>
      <c r="H951" s="74">
        <v>0.0</v>
      </c>
      <c r="I951" s="74">
        <f t="shared" si="1"/>
        <v>110000</v>
      </c>
      <c r="J951" s="74">
        <f>IF(E951="SERVICE",I951-(I951*50%),Vlookup(E951,DATABASE!C:Q,10,false)*F951)</f>
        <v>5000</v>
      </c>
      <c r="K951" s="74">
        <f>VLOOKUP(E951,DATABASE!C:Q,7,false)</f>
        <v>0</v>
      </c>
      <c r="L951" s="74">
        <v>0.0</v>
      </c>
      <c r="M951" s="74">
        <f t="shared" si="2"/>
        <v>0</v>
      </c>
      <c r="N951" s="74">
        <f t="shared" si="3"/>
        <v>105000</v>
      </c>
      <c r="O951" s="65" t="str">
        <f>VLOOKUP(E951,DATABASE!C:Q,8,false)</f>
        <v>IBU</v>
      </c>
      <c r="P951" s="65">
        <f>VLOOKUP(E951,DATABASE!C:Q,9,False)</f>
        <v>0</v>
      </c>
      <c r="Q951" s="93" t="str">
        <f>VLOOKUP(E951,DATABASE!C:Q,4,false)</f>
        <v>SPOORING SS/CARRY LOS BAK</v>
      </c>
      <c r="R951" s="93" t="str">
        <f>VLOOKUP(E951,DATABASE!C:Q,11,false)</f>
        <v>SERVICE</v>
      </c>
    </row>
    <row r="952" ht="22.5" customHeight="1">
      <c r="A952" s="49"/>
      <c r="C952" s="384">
        <v>45712.0</v>
      </c>
      <c r="D952" s="65">
        <v>4471.0</v>
      </c>
      <c r="E952" s="445" t="s">
        <v>478</v>
      </c>
      <c r="F952" s="386">
        <v>1.0</v>
      </c>
      <c r="G952" s="74">
        <v>200000.0</v>
      </c>
      <c r="H952" s="74">
        <v>0.0</v>
      </c>
      <c r="I952" s="74">
        <f t="shared" si="1"/>
        <v>200000</v>
      </c>
      <c r="J952" s="74">
        <f>IF(E952="SERVICE",I952-(I952*50%),Vlookup(E952,DATABASE!C:Q,10,false)*F952)</f>
        <v>25000</v>
      </c>
      <c r="K952" s="74">
        <f>VLOOKUP(E952,DATABASE!C:Q,7,false)</f>
        <v>75000</v>
      </c>
      <c r="L952" s="74">
        <v>75000.0</v>
      </c>
      <c r="M952" s="74">
        <f t="shared" si="2"/>
        <v>75000</v>
      </c>
      <c r="N952" s="74">
        <f t="shared" si="3"/>
        <v>100000</v>
      </c>
      <c r="O952" s="65" t="str">
        <f>VLOOKUP(E952,DATABASE!C:Q,8,false)</f>
        <v>BIAN</v>
      </c>
      <c r="P952" s="65">
        <f>VLOOKUP(E952,DATABASE!C:Q,9,False)</f>
        <v>0</v>
      </c>
      <c r="Q952" s="93" t="str">
        <f>VLOOKUP(E952,DATABASE!C:Q,4,false)</f>
        <v>Baut Camber ss-carry</v>
      </c>
      <c r="R952" s="93" t="str">
        <f>VLOOKUP(E952,DATABASE!C:Q,11,false)</f>
        <v>COMPLEMENTARY</v>
      </c>
    </row>
    <row r="953" ht="22.5" customHeight="1">
      <c r="A953" s="49"/>
      <c r="C953" s="384">
        <v>45712.0</v>
      </c>
      <c r="D953" s="65">
        <v>4472.0</v>
      </c>
      <c r="E953" s="445" t="s">
        <v>256</v>
      </c>
      <c r="F953" s="386">
        <v>1.0</v>
      </c>
      <c r="G953" s="74">
        <v>150000.0</v>
      </c>
      <c r="H953" s="74">
        <v>0.0</v>
      </c>
      <c r="I953" s="74">
        <f t="shared" si="1"/>
        <v>150000</v>
      </c>
      <c r="J953" s="74">
        <f>IF(E953="SERVICE",I953-(I953*50%),Vlookup(E953,DATABASE!C:Q,10,false)*F953)</f>
        <v>10000</v>
      </c>
      <c r="K953" s="74">
        <f>VLOOKUP(E953,DATABASE!C:Q,7,false)</f>
        <v>0</v>
      </c>
      <c r="L953" s="74">
        <v>0.0</v>
      </c>
      <c r="M953" s="74">
        <f t="shared" si="2"/>
        <v>0</v>
      </c>
      <c r="N953" s="74">
        <f t="shared" si="3"/>
        <v>140000</v>
      </c>
      <c r="O953" s="65" t="str">
        <f>VLOOKUP(E953,DATABASE!C:Q,8,false)</f>
        <v>IBU</v>
      </c>
      <c r="P953" s="65">
        <f>VLOOKUP(E953,DATABASE!C:Q,9,False)</f>
        <v>0</v>
      </c>
      <c r="Q953" s="93" t="str">
        <f>VLOOKUP(E953,DATABASE!C:Q,4,false)</f>
        <v>SPOORING</v>
      </c>
      <c r="R953" s="93" t="str">
        <f>VLOOKUP(E953,DATABASE!C:Q,11,false)</f>
        <v>SERVICE</v>
      </c>
    </row>
    <row r="954" ht="22.5" customHeight="1">
      <c r="A954" s="49"/>
      <c r="C954" s="384">
        <v>45712.0</v>
      </c>
      <c r="D954" s="65">
        <v>4472.0</v>
      </c>
      <c r="E954" s="445" t="s">
        <v>251</v>
      </c>
      <c r="F954" s="386">
        <v>1.0</v>
      </c>
      <c r="G954" s="74">
        <v>150000.0</v>
      </c>
      <c r="H954" s="74">
        <v>0.0</v>
      </c>
      <c r="I954" s="74">
        <f t="shared" si="1"/>
        <v>150000</v>
      </c>
      <c r="J954" s="74">
        <f>IF(E954="SERVICE",I954-(I954*50%),Vlookup(E954,DATABASE!C:Q,10,false)*F954)</f>
        <v>75000</v>
      </c>
      <c r="K954" s="74">
        <f>VLOOKUP(E954,DATABASE!C:Q,7,false)</f>
        <v>0</v>
      </c>
      <c r="L954" s="74">
        <v>0.0</v>
      </c>
      <c r="M954" s="74">
        <f t="shared" si="2"/>
        <v>0</v>
      </c>
      <c r="N954" s="74">
        <f t="shared" si="3"/>
        <v>75000</v>
      </c>
      <c r="O954" s="65" t="str">
        <f>VLOOKUP(E954,DATABASE!C:Q,8,false)</f>
        <v>IBU</v>
      </c>
      <c r="P954" s="65">
        <f>VLOOKUP(E954,DATABASE!C:Q,9,False)</f>
        <v>0</v>
      </c>
      <c r="Q954" s="93" t="str">
        <f>VLOOKUP(E954,DATABASE!C:Q,4,false)</f>
        <v>SERVICE</v>
      </c>
      <c r="R954" s="93" t="str">
        <f>VLOOKUP(E954,DATABASE!C:Q,11,false)</f>
        <v>SERVICE</v>
      </c>
    </row>
    <row r="955" ht="22.5" customHeight="1">
      <c r="A955" s="49"/>
      <c r="C955" s="384">
        <v>45713.0</v>
      </c>
      <c r="D955" s="65">
        <v>4473.0</v>
      </c>
      <c r="E955" s="445" t="s">
        <v>271</v>
      </c>
      <c r="F955" s="386">
        <v>2.0</v>
      </c>
      <c r="G955" s="74">
        <v>635000.0</v>
      </c>
      <c r="H955" s="74">
        <v>0.0</v>
      </c>
      <c r="I955" s="74">
        <f t="shared" si="1"/>
        <v>1270000</v>
      </c>
      <c r="J955" s="74">
        <f>IF(E955="SERVICE",I955-(I955*50%),Vlookup(E955,DATABASE!C:Q,10,false)*F955)</f>
        <v>0</v>
      </c>
      <c r="K955" s="74">
        <f>VLOOKUP(E955,DATABASE!C:Q,7,false)</f>
        <v>570000</v>
      </c>
      <c r="L955" s="74">
        <v>539000.0</v>
      </c>
      <c r="M955" s="74">
        <f t="shared" si="2"/>
        <v>540000</v>
      </c>
      <c r="N955" s="74">
        <f t="shared" si="3"/>
        <v>190000</v>
      </c>
      <c r="O955" s="65" t="str">
        <f>VLOOKUP(E955,DATABASE!C:Q,8,false)</f>
        <v>IBU</v>
      </c>
      <c r="P955" s="65">
        <f>VLOOKUP(E955,DATABASE!C:Q,9,False)</f>
        <v>1</v>
      </c>
      <c r="Q955" s="93" t="str">
        <f>VLOOKUP(E955,DATABASE!C:Q,4,false)</f>
        <v>Dunlop</v>
      </c>
      <c r="R955" s="93" t="str">
        <f>VLOOKUP(E955,DATABASE!C:Q,11,false)</f>
        <v>Tire</v>
      </c>
    </row>
    <row r="956" ht="22.5" customHeight="1">
      <c r="A956" s="49"/>
      <c r="C956" s="384">
        <v>45713.0</v>
      </c>
      <c r="D956" s="65">
        <v>4474.0</v>
      </c>
      <c r="E956" s="445" t="s">
        <v>265</v>
      </c>
      <c r="F956" s="386">
        <v>2.0</v>
      </c>
      <c r="G956" s="74">
        <v>670000.0</v>
      </c>
      <c r="H956" s="74">
        <v>0.0</v>
      </c>
      <c r="I956" s="74">
        <f t="shared" si="1"/>
        <v>1340000</v>
      </c>
      <c r="J956" s="74">
        <f>IF(E956="SERVICE",I956-(I956*50%),Vlookup(E956,DATABASE!C:Q,10,false)*F956)</f>
        <v>0</v>
      </c>
      <c r="K956" s="74">
        <v>590000.0</v>
      </c>
      <c r="L956" s="74">
        <v>590000.0</v>
      </c>
      <c r="M956" s="74">
        <f t="shared" si="2"/>
        <v>590000</v>
      </c>
      <c r="N956" s="74">
        <f t="shared" si="3"/>
        <v>160000</v>
      </c>
      <c r="O956" s="65" t="str">
        <f>VLOOKUP(E956,DATABASE!C:Q,8,false)</f>
        <v>IBU</v>
      </c>
      <c r="P956" s="65">
        <f>VLOOKUP(E956,DATABASE!C:Q,9,False)</f>
        <v>1</v>
      </c>
      <c r="Q956" s="93" t="str">
        <f>VLOOKUP(E956,DATABASE!C:Q,4,false)</f>
        <v>Dunlop</v>
      </c>
      <c r="R956" s="93" t="str">
        <f>VLOOKUP(E956,DATABASE!C:Q,11,false)</f>
        <v>Tire</v>
      </c>
    </row>
    <row r="957" ht="22.5" customHeight="1">
      <c r="A957" s="49"/>
      <c r="C957" s="384">
        <v>45713.0</v>
      </c>
      <c r="D957" s="65">
        <v>4474.0</v>
      </c>
      <c r="E957" s="445" t="s">
        <v>256</v>
      </c>
      <c r="F957" s="386">
        <v>1.0</v>
      </c>
      <c r="G957" s="74">
        <v>130000.0</v>
      </c>
      <c r="H957" s="74">
        <v>0.0</v>
      </c>
      <c r="I957" s="74">
        <f t="shared" si="1"/>
        <v>130000</v>
      </c>
      <c r="J957" s="74">
        <f>IF(E957="SERVICE",I957-(I957*50%),Vlookup(E957,DATABASE!C:Q,10,false)*F957)</f>
        <v>10000</v>
      </c>
      <c r="K957" s="74">
        <f>VLOOKUP(E957,DATABASE!C:Q,7,false)</f>
        <v>0</v>
      </c>
      <c r="L957" s="74">
        <v>0.0</v>
      </c>
      <c r="M957" s="74">
        <f t="shared" si="2"/>
        <v>0</v>
      </c>
      <c r="N957" s="74">
        <f t="shared" si="3"/>
        <v>120000</v>
      </c>
      <c r="O957" s="65" t="str">
        <f>VLOOKUP(E957,DATABASE!C:Q,8,false)</f>
        <v>IBU</v>
      </c>
      <c r="P957" s="65">
        <f>VLOOKUP(E957,DATABASE!C:Q,9,False)</f>
        <v>0</v>
      </c>
      <c r="Q957" s="93" t="str">
        <f>VLOOKUP(E957,DATABASE!C:Q,4,false)</f>
        <v>SPOORING</v>
      </c>
      <c r="R957" s="93" t="str">
        <f>VLOOKUP(E957,DATABASE!C:Q,11,false)</f>
        <v>SERVICE</v>
      </c>
    </row>
    <row r="958" ht="22.5" customHeight="1">
      <c r="A958" s="49"/>
      <c r="C958" s="384">
        <v>45713.0</v>
      </c>
      <c r="D958" s="65">
        <v>4474.0</v>
      </c>
      <c r="E958" s="445" t="s">
        <v>301</v>
      </c>
      <c r="F958" s="386">
        <v>1.0</v>
      </c>
      <c r="G958" s="74">
        <v>250000.0</v>
      </c>
      <c r="H958" s="74">
        <v>0.0</v>
      </c>
      <c r="I958" s="74">
        <f t="shared" si="1"/>
        <v>250000</v>
      </c>
      <c r="J958" s="74">
        <f>IF(E958="SERVICE",I958-(I958*50%),Vlookup(E958,DATABASE!C:Q,10,false)*F958)</f>
        <v>75000</v>
      </c>
      <c r="K958" s="74">
        <f>VLOOKUP(E958,DATABASE!C:Q,7,false)</f>
        <v>75000</v>
      </c>
      <c r="L958" s="74">
        <v>75000.0</v>
      </c>
      <c r="M958" s="74">
        <f t="shared" si="2"/>
        <v>75000</v>
      </c>
      <c r="N958" s="74">
        <f t="shared" si="3"/>
        <v>100000</v>
      </c>
      <c r="O958" s="65" t="str">
        <f>VLOOKUP(E958,DATABASE!C:Q,8,false)</f>
        <v>BIAN</v>
      </c>
      <c r="P958" s="65">
        <f>VLOOKUP(E958,DATABASE!C:Q,9,False)</f>
        <v>0</v>
      </c>
      <c r="Q958" s="93" t="str">
        <f>VLOOKUP(E958,DATABASE!C:Q,4,false)</f>
        <v>Baut Camber</v>
      </c>
      <c r="R958" s="93" t="str">
        <f>VLOOKUP(E958,DATABASE!C:Q,11,false)</f>
        <v>COMPLEMENTARY</v>
      </c>
    </row>
    <row r="959" ht="22.5" customHeight="1">
      <c r="A959" s="49"/>
      <c r="C959" s="384">
        <v>45713.0</v>
      </c>
      <c r="D959" s="65">
        <v>4475.0</v>
      </c>
      <c r="E959" s="445" t="s">
        <v>1389</v>
      </c>
      <c r="F959" s="386">
        <v>2.0</v>
      </c>
      <c r="G959" s="74">
        <v>935000.0</v>
      </c>
      <c r="H959" s="74">
        <v>0.0</v>
      </c>
      <c r="I959" s="74">
        <f t="shared" si="1"/>
        <v>1870000</v>
      </c>
      <c r="J959" s="74">
        <f>IF(E959="SERVICE",I959-(I959*50%),Vlookup(E959,DATABASE!C:Q,10,false)*F959)</f>
        <v>0</v>
      </c>
      <c r="K959" s="74">
        <f>VLOOKUP(E959,DATABASE!C:Q,7,false)</f>
        <v>908000</v>
      </c>
      <c r="L959" s="74">
        <v>897000.0</v>
      </c>
      <c r="M959" s="74">
        <f t="shared" si="2"/>
        <v>900000</v>
      </c>
      <c r="N959" s="74">
        <f t="shared" si="3"/>
        <v>70000</v>
      </c>
      <c r="O959" s="65" t="str">
        <f>VLOOKUP(E959,DATABASE!C:Q,8,false)</f>
        <v>IBU</v>
      </c>
      <c r="P959" s="65">
        <f>VLOOKUP(E959,DATABASE!C:Q,9,False)</f>
        <v>1</v>
      </c>
      <c r="Q959" s="93" t="str">
        <f>VLOOKUP(E959,DATABASE!C:Q,4,false)</f>
        <v>Dunlop</v>
      </c>
      <c r="R959" s="93" t="str">
        <f>VLOOKUP(E959,DATABASE!C:Q,11,false)</f>
        <v>Tire</v>
      </c>
    </row>
    <row r="960" ht="22.5" customHeight="1">
      <c r="A960" s="49"/>
      <c r="C960" s="384">
        <v>45713.0</v>
      </c>
      <c r="D960" s="65">
        <v>4476.0</v>
      </c>
      <c r="E960" s="445" t="s">
        <v>246</v>
      </c>
      <c r="F960" s="386">
        <v>1.0</v>
      </c>
      <c r="G960" s="74">
        <v>30000.0</v>
      </c>
      <c r="H960" s="74">
        <v>0.0</v>
      </c>
      <c r="I960" s="74">
        <f t="shared" si="1"/>
        <v>30000</v>
      </c>
      <c r="J960" s="74">
        <f>IF(E960="SERVICE",I960-(I960*50%),Vlookup(E960,DATABASE!C:Q,10,false)*F960)</f>
        <v>0</v>
      </c>
      <c r="K960" s="74">
        <f>VLOOKUP(E960,DATABASE!C:Q,7,false)</f>
        <v>0</v>
      </c>
      <c r="L960" s="74">
        <v>0.0</v>
      </c>
      <c r="M960" s="74">
        <f t="shared" si="2"/>
        <v>0</v>
      </c>
      <c r="N960" s="74">
        <f t="shared" si="3"/>
        <v>30000</v>
      </c>
      <c r="O960" s="65" t="str">
        <f>VLOOKUP(E960,DATABASE!C:Q,8,false)</f>
        <v>IBU</v>
      </c>
      <c r="P960" s="65">
        <f>VLOOKUP(E960,DATABASE!C:Q,9,False)</f>
        <v>0</v>
      </c>
      <c r="Q960" s="93" t="str">
        <f>VLOOKUP(E960,DATABASE!C:Q,4,false)</f>
        <v>Bongkar Pasang</v>
      </c>
      <c r="R960" s="93" t="str">
        <f>VLOOKUP(E960,DATABASE!C:Q,11,false)</f>
        <v>SERVICE</v>
      </c>
    </row>
    <row r="961" ht="22.5" customHeight="1">
      <c r="A961" s="49"/>
      <c r="C961" s="384">
        <v>45713.0</v>
      </c>
      <c r="D961" s="65">
        <v>4477.0</v>
      </c>
      <c r="E961" s="385" t="s">
        <v>299</v>
      </c>
      <c r="F961" s="386">
        <v>2.0</v>
      </c>
      <c r="G961" s="74">
        <v>30000.0</v>
      </c>
      <c r="H961" s="74">
        <v>0.0</v>
      </c>
      <c r="I961" s="74">
        <f t="shared" si="1"/>
        <v>60000</v>
      </c>
      <c r="J961" s="74">
        <f>IF(E961="SERVICE",I961-(I961*50%),Vlookup(E961,DATABASE!C:Q,10,false)*F961)</f>
        <v>0</v>
      </c>
      <c r="K961" s="74">
        <v>0.0</v>
      </c>
      <c r="L961" s="74">
        <v>0.0</v>
      </c>
      <c r="M961" s="74">
        <f t="shared" si="2"/>
        <v>0</v>
      </c>
      <c r="N961" s="74">
        <f t="shared" si="3"/>
        <v>60000</v>
      </c>
      <c r="O961" s="65" t="str">
        <f>VLOOKUP(E961,DATABASE!C:Q,8,false)</f>
        <v>BIAN</v>
      </c>
      <c r="P961" s="65">
        <f>VLOOKUP(E961,DATABASE!C:Q,9,False)</f>
        <v>0</v>
      </c>
      <c r="Q961" s="93" t="str">
        <f>VLOOKUP(E961,DATABASE!C:Q,4,false)</f>
        <v>Balancing</v>
      </c>
      <c r="R961" s="93" t="str">
        <f>VLOOKUP(E961,DATABASE!C:Q,11,false)</f>
        <v>COMPLEMENTARY</v>
      </c>
    </row>
    <row r="962" ht="22.5" customHeight="1">
      <c r="A962" s="49"/>
      <c r="C962" s="384">
        <v>45713.0</v>
      </c>
      <c r="D962" s="65">
        <v>4477.0</v>
      </c>
      <c r="E962" s="445" t="s">
        <v>2206</v>
      </c>
      <c r="F962" s="386">
        <v>1.0</v>
      </c>
      <c r="G962" s="74">
        <v>200000.0</v>
      </c>
      <c r="H962" s="74">
        <v>0.0</v>
      </c>
      <c r="I962" s="74">
        <f t="shared" si="1"/>
        <v>200000</v>
      </c>
      <c r="J962" s="74">
        <f>IF(E962="SERVICE",I962-(I962*50%),Vlookup(E962,DATABASE!C:Q,10,false)*F962)</f>
        <v>40000</v>
      </c>
      <c r="K962" s="74">
        <f>VLOOKUP(E962,DATABASE!C:Q,7,false)</f>
        <v>95450</v>
      </c>
      <c r="L962" s="74">
        <v>61000.0</v>
      </c>
      <c r="M962" s="74">
        <f t="shared" si="2"/>
        <v>65000</v>
      </c>
      <c r="N962" s="74">
        <f t="shared" si="3"/>
        <v>95000</v>
      </c>
      <c r="O962" s="65" t="str">
        <f>VLOOKUP(E962,DATABASE!C:Q,8,false)</f>
        <v>IBU</v>
      </c>
      <c r="P962" s="65">
        <f>VLOOKUP(E962,DATABASE!C:Q,9,False)</f>
        <v>1</v>
      </c>
      <c r="Q962" s="93" t="str">
        <f>VLOOKUP(E962,DATABASE!C:Q,4,false)</f>
        <v>TIEROD</v>
      </c>
      <c r="R962" s="93" t="str">
        <f>VLOOKUP(E962,DATABASE!C:Q,11,false)</f>
        <v>COMPLEMENTARY</v>
      </c>
    </row>
    <row r="963" ht="22.5" customHeight="1">
      <c r="A963" s="49"/>
      <c r="C963" s="384">
        <v>45713.0</v>
      </c>
      <c r="D963" s="65">
        <v>4477.0</v>
      </c>
      <c r="E963" s="445" t="s">
        <v>251</v>
      </c>
      <c r="F963" s="386">
        <v>1.0</v>
      </c>
      <c r="G963" s="74">
        <v>120000.0</v>
      </c>
      <c r="H963" s="74">
        <v>0.0</v>
      </c>
      <c r="I963" s="74">
        <f t="shared" si="1"/>
        <v>120000</v>
      </c>
      <c r="J963" s="74">
        <f>IF(E963="SERVICE",I963-(I963*50%),Vlookup(E963,DATABASE!C:Q,10,false)*F963)</f>
        <v>60000</v>
      </c>
      <c r="K963" s="74">
        <f>VLOOKUP(E963,DATABASE!C:Q,7,false)</f>
        <v>0</v>
      </c>
      <c r="L963" s="74">
        <v>0.0</v>
      </c>
      <c r="M963" s="74">
        <f t="shared" si="2"/>
        <v>0</v>
      </c>
      <c r="N963" s="74">
        <f t="shared" si="3"/>
        <v>60000</v>
      </c>
      <c r="O963" s="65" t="str">
        <f>VLOOKUP(E963,DATABASE!C:Q,8,false)</f>
        <v>IBU</v>
      </c>
      <c r="P963" s="65">
        <f>VLOOKUP(E963,DATABASE!C:Q,9,False)</f>
        <v>0</v>
      </c>
      <c r="Q963" s="93" t="str">
        <f>VLOOKUP(E963,DATABASE!C:Q,4,false)</f>
        <v>SERVICE</v>
      </c>
      <c r="R963" s="93" t="str">
        <f>VLOOKUP(E963,DATABASE!C:Q,11,false)</f>
        <v>SERVICE</v>
      </c>
    </row>
    <row r="964" ht="22.5" customHeight="1">
      <c r="A964" s="49"/>
      <c r="C964" s="384">
        <v>45713.0</v>
      </c>
      <c r="D964" s="65">
        <v>4478.0</v>
      </c>
      <c r="E964" s="445" t="s">
        <v>1133</v>
      </c>
      <c r="F964" s="386">
        <v>2.0</v>
      </c>
      <c r="G964" s="74">
        <v>885000.0</v>
      </c>
      <c r="H964" s="74">
        <v>0.0</v>
      </c>
      <c r="I964" s="74">
        <f t="shared" si="1"/>
        <v>1770000</v>
      </c>
      <c r="J964" s="74">
        <f>IF(E964="SERVICE",I964-(I964*50%),Vlookup(E964,DATABASE!C:Q,10,false)*F964)</f>
        <v>0</v>
      </c>
      <c r="K964" s="74">
        <f>VLOOKUP(E964,DATABASE!C:Q,7,false)</f>
        <v>759539.2</v>
      </c>
      <c r="L964" s="74">
        <v>715635.0</v>
      </c>
      <c r="M964" s="74">
        <f t="shared" si="2"/>
        <v>720000</v>
      </c>
      <c r="N964" s="74">
        <f t="shared" si="3"/>
        <v>330000</v>
      </c>
      <c r="O964" s="65" t="str">
        <f>VLOOKUP(E964,DATABASE!C:Q,8,false)</f>
        <v>IBU</v>
      </c>
      <c r="P964" s="65">
        <f>VLOOKUP(E964,DATABASE!C:Q,9,False)</f>
        <v>1</v>
      </c>
      <c r="Q964" s="93" t="str">
        <f>VLOOKUP(E964,DATABASE!C:Q,4,false)</f>
        <v>Bridgestone</v>
      </c>
      <c r="R964" s="93" t="str">
        <f>VLOOKUP(E964,DATABASE!C:Q,11,false)</f>
        <v>Tire</v>
      </c>
    </row>
    <row r="965" ht="22.5" customHeight="1">
      <c r="A965" s="49"/>
      <c r="C965" s="384">
        <v>45713.0</v>
      </c>
      <c r="D965" s="65">
        <v>4479.0</v>
      </c>
      <c r="E965" s="445" t="s">
        <v>262</v>
      </c>
      <c r="F965" s="386">
        <v>1.0</v>
      </c>
      <c r="G965" s="74">
        <v>110000.0</v>
      </c>
      <c r="H965" s="74">
        <v>0.0</v>
      </c>
      <c r="I965" s="74">
        <f t="shared" si="1"/>
        <v>110000</v>
      </c>
      <c r="J965" s="74">
        <f>IF(E965="SERVICE",I965-(I965*50%),Vlookup(E965,DATABASE!C:Q,10,false)*F965)</f>
        <v>5000</v>
      </c>
      <c r="K965" s="74">
        <f>VLOOKUP(E965,DATABASE!C:Q,7,false)</f>
        <v>0</v>
      </c>
      <c r="L965" s="74">
        <v>0.0</v>
      </c>
      <c r="M965" s="74">
        <f t="shared" si="2"/>
        <v>0</v>
      </c>
      <c r="N965" s="74">
        <f t="shared" si="3"/>
        <v>105000</v>
      </c>
      <c r="O965" s="65" t="str">
        <f>VLOOKUP(E965,DATABASE!C:Q,8,false)</f>
        <v>IBU</v>
      </c>
      <c r="P965" s="65">
        <f>VLOOKUP(E965,DATABASE!C:Q,9,False)</f>
        <v>0</v>
      </c>
      <c r="Q965" s="93" t="str">
        <f>VLOOKUP(E965,DATABASE!C:Q,4,false)</f>
        <v>SPOORING SS/CARRY LOS BAK</v>
      </c>
      <c r="R965" s="93" t="str">
        <f>VLOOKUP(E965,DATABASE!C:Q,11,false)</f>
        <v>SERVICE</v>
      </c>
    </row>
    <row r="966" ht="22.5" customHeight="1">
      <c r="A966" s="49"/>
      <c r="C966" s="384">
        <v>45713.0</v>
      </c>
      <c r="D966" s="65">
        <v>4479.0</v>
      </c>
      <c r="E966" s="385" t="s">
        <v>299</v>
      </c>
      <c r="F966" s="386">
        <v>2.0</v>
      </c>
      <c r="G966" s="74">
        <v>30000.0</v>
      </c>
      <c r="H966" s="74">
        <v>0.0</v>
      </c>
      <c r="I966" s="74">
        <f t="shared" si="1"/>
        <v>60000</v>
      </c>
      <c r="J966" s="74">
        <f>IF(E966="SERVICE",I966-(I966*50%),Vlookup(E966,DATABASE!C:Q,10,false)*F966)</f>
        <v>0</v>
      </c>
      <c r="K966" s="74">
        <v>0.0</v>
      </c>
      <c r="L966" s="74">
        <v>0.0</v>
      </c>
      <c r="M966" s="74">
        <f t="shared" si="2"/>
        <v>0</v>
      </c>
      <c r="N966" s="74">
        <f t="shared" si="3"/>
        <v>60000</v>
      </c>
      <c r="O966" s="65" t="str">
        <f>VLOOKUP(E966,DATABASE!C:Q,8,false)</f>
        <v>BIAN</v>
      </c>
      <c r="P966" s="65">
        <f>VLOOKUP(E966,DATABASE!C:Q,9,False)</f>
        <v>0</v>
      </c>
      <c r="Q966" s="93" t="str">
        <f>VLOOKUP(E966,DATABASE!C:Q,4,false)</f>
        <v>Balancing</v>
      </c>
      <c r="R966" s="93" t="str">
        <f>VLOOKUP(E966,DATABASE!C:Q,11,false)</f>
        <v>COMPLEMENTARY</v>
      </c>
    </row>
    <row r="967" ht="22.5" customHeight="1">
      <c r="A967" s="49"/>
      <c r="C967" s="384">
        <v>45713.0</v>
      </c>
      <c r="D967" s="65">
        <v>4480.0</v>
      </c>
      <c r="E967" s="445" t="s">
        <v>627</v>
      </c>
      <c r="F967" s="386">
        <v>2.0</v>
      </c>
      <c r="G967" s="74">
        <v>935000.0</v>
      </c>
      <c r="H967" s="74">
        <v>0.0</v>
      </c>
      <c r="I967" s="74">
        <f t="shared" si="1"/>
        <v>1870000</v>
      </c>
      <c r="J967" s="74">
        <f>IF(E967="SERVICE",I967-(I967*50%),Vlookup(E967,DATABASE!C:Q,10,false)*F967)</f>
        <v>0</v>
      </c>
      <c r="K967" s="74">
        <f>VLOOKUP(E967,DATABASE!C:Q,7,false)</f>
        <v>879567</v>
      </c>
      <c r="L967" s="74">
        <v>884979.0</v>
      </c>
      <c r="M967" s="74">
        <f t="shared" si="2"/>
        <v>885000</v>
      </c>
      <c r="N967" s="74">
        <f t="shared" si="3"/>
        <v>100000</v>
      </c>
      <c r="O967" s="65" t="str">
        <f>VLOOKUP(E967,DATABASE!C:Q,8,false)</f>
        <v>IBU</v>
      </c>
      <c r="P967" s="65">
        <f>VLOOKUP(E967,DATABASE!C:Q,9,False)</f>
        <v>1</v>
      </c>
      <c r="Q967" s="93" t="str">
        <f>VLOOKUP(E967,DATABASE!C:Q,4,false)</f>
        <v>Bridgestone</v>
      </c>
      <c r="R967" s="93" t="str">
        <f>VLOOKUP(E967,DATABASE!C:Q,11,false)</f>
        <v>Tire</v>
      </c>
    </row>
    <row r="968" ht="22.5" customHeight="1">
      <c r="A968" s="49"/>
      <c r="C968" s="384">
        <v>45713.0</v>
      </c>
      <c r="D968" s="65">
        <v>4480.0</v>
      </c>
      <c r="E968" s="385" t="s">
        <v>299</v>
      </c>
      <c r="F968" s="386">
        <v>2.0</v>
      </c>
      <c r="G968" s="74">
        <v>30000.0</v>
      </c>
      <c r="H968" s="74">
        <v>0.0</v>
      </c>
      <c r="I968" s="74">
        <f t="shared" si="1"/>
        <v>60000</v>
      </c>
      <c r="J968" s="74">
        <f>IF(E968="SERVICE",I968-(I968*50%),Vlookup(E968,DATABASE!C:Q,10,false)*F968)</f>
        <v>0</v>
      </c>
      <c r="K968" s="74">
        <v>0.0</v>
      </c>
      <c r="L968" s="74">
        <v>0.0</v>
      </c>
      <c r="M968" s="74">
        <f t="shared" si="2"/>
        <v>0</v>
      </c>
      <c r="N968" s="74">
        <f t="shared" si="3"/>
        <v>60000</v>
      </c>
      <c r="O968" s="65" t="str">
        <f>VLOOKUP(E968,DATABASE!C:Q,8,false)</f>
        <v>BIAN</v>
      </c>
      <c r="P968" s="65">
        <f>VLOOKUP(E968,DATABASE!C:Q,9,False)</f>
        <v>0</v>
      </c>
      <c r="Q968" s="93" t="str">
        <f>VLOOKUP(E968,DATABASE!C:Q,4,false)</f>
        <v>Balancing</v>
      </c>
      <c r="R968" s="93" t="str">
        <f>VLOOKUP(E968,DATABASE!C:Q,11,false)</f>
        <v>COMPLEMENTARY</v>
      </c>
    </row>
    <row r="969" ht="22.5" customHeight="1">
      <c r="A969" s="49"/>
      <c r="C969" s="384">
        <v>45713.0</v>
      </c>
      <c r="D969" s="65">
        <v>4481.0</v>
      </c>
      <c r="E969" s="445" t="s">
        <v>647</v>
      </c>
      <c r="F969" s="386">
        <v>2.0</v>
      </c>
      <c r="G969" s="74">
        <v>1460000.0</v>
      </c>
      <c r="H969" s="74">
        <v>0.0</v>
      </c>
      <c r="I969" s="74">
        <f t="shared" si="1"/>
        <v>2920000</v>
      </c>
      <c r="J969" s="74">
        <f>IF(E969="SERVICE",I969-(I969*50%),Vlookup(E969,DATABASE!C:Q,10,false)*F969)</f>
        <v>0</v>
      </c>
      <c r="K969" s="74">
        <f>VLOOKUP(E969,DATABASE!C:Q,7,false)</f>
        <v>1420000</v>
      </c>
      <c r="L969" s="74">
        <v>1420000.0</v>
      </c>
      <c r="M969" s="74">
        <f t="shared" si="2"/>
        <v>1420000</v>
      </c>
      <c r="N969" s="74">
        <f t="shared" si="3"/>
        <v>80000</v>
      </c>
      <c r="O969" s="65" t="str">
        <f>VLOOKUP(E969,DATABASE!C:Q,8,false)</f>
        <v>BIAN</v>
      </c>
      <c r="P969" s="65">
        <f>VLOOKUP(E969,DATABASE!C:Q,9,False)</f>
        <v>1</v>
      </c>
      <c r="Q969" s="93" t="str">
        <f>VLOOKUP(E969,DATABASE!C:Q,4,false)</f>
        <v>G. YEAR</v>
      </c>
      <c r="R969" s="93" t="str">
        <f>VLOOKUP(E969,DATABASE!C:Q,11,false)</f>
        <v>Tire</v>
      </c>
    </row>
    <row r="970" ht="22.5" customHeight="1">
      <c r="A970" s="49"/>
      <c r="C970" s="384">
        <v>45713.0</v>
      </c>
      <c r="D970" s="65">
        <v>4482.0</v>
      </c>
      <c r="E970" s="445" t="s">
        <v>604</v>
      </c>
      <c r="F970" s="386">
        <v>1.0</v>
      </c>
      <c r="G970" s="74">
        <v>160000.0</v>
      </c>
      <c r="H970" s="74">
        <v>0.0</v>
      </c>
      <c r="I970" s="74">
        <f t="shared" si="1"/>
        <v>160000</v>
      </c>
      <c r="J970" s="74">
        <f>IF(E970="SERVICE",I970-(I970*50%),Vlookup(E970,DATABASE!C:Q,10,false)*F970)</f>
        <v>0</v>
      </c>
      <c r="K970" s="74">
        <f>VLOOKUP(E970,DATABASE!C:Q,7,false)</f>
        <v>124000</v>
      </c>
      <c r="L970" s="74">
        <v>124000.0</v>
      </c>
      <c r="M970" s="74">
        <f t="shared" si="2"/>
        <v>125000</v>
      </c>
      <c r="N970" s="74">
        <f t="shared" si="3"/>
        <v>35000</v>
      </c>
      <c r="O970" s="65" t="str">
        <f>VLOOKUP(E970,DATABASE!C:Q,8,false)</f>
        <v>BIAN</v>
      </c>
      <c r="P970" s="65">
        <f>VLOOKUP(E970,DATABASE!C:Q,9,False)</f>
        <v>1</v>
      </c>
      <c r="Q970" s="93" t="str">
        <f>VLOOKUP(E970,DATABASE!C:Q,4,false)</f>
        <v>BD</v>
      </c>
      <c r="R970" s="93" t="str">
        <f>VLOOKUP(E970,DATABASE!C:Q,11,false)</f>
        <v>Tire</v>
      </c>
    </row>
    <row r="971" ht="22.5" customHeight="1">
      <c r="A971" s="49"/>
      <c r="C971" s="384">
        <v>45713.0</v>
      </c>
      <c r="D971" s="65">
        <v>4482.0</v>
      </c>
      <c r="E971" s="445" t="s">
        <v>622</v>
      </c>
      <c r="F971" s="386">
        <v>4.0</v>
      </c>
      <c r="G971" s="74">
        <v>915000.0</v>
      </c>
      <c r="H971" s="74">
        <v>0.0</v>
      </c>
      <c r="I971" s="74">
        <f t="shared" si="1"/>
        <v>3660000</v>
      </c>
      <c r="J971" s="74">
        <f>IF(E971="SERVICE",I971-(I971*50%),Vlookup(E971,DATABASE!C:Q,10,false)*F971)</f>
        <v>0</v>
      </c>
      <c r="K971" s="74">
        <f>VLOOKUP(E971,DATABASE!C:Q,7,false)</f>
        <v>851110.375</v>
      </c>
      <c r="L971" s="74">
        <v>810342.44</v>
      </c>
      <c r="M971" s="74">
        <f t="shared" si="2"/>
        <v>815000</v>
      </c>
      <c r="N971" s="74">
        <f t="shared" si="3"/>
        <v>400000</v>
      </c>
      <c r="O971" s="65" t="str">
        <f>VLOOKUP(E971,DATABASE!C:Q,8,false)</f>
        <v>IBU</v>
      </c>
      <c r="P971" s="65">
        <f>VLOOKUP(E971,DATABASE!C:Q,9,False)</f>
        <v>1</v>
      </c>
      <c r="Q971" s="93" t="str">
        <f>VLOOKUP(E971,DATABASE!C:Q,4,false)</f>
        <v>Bridgestone</v>
      </c>
      <c r="R971" s="93" t="str">
        <f>VLOOKUP(E971,DATABASE!C:Q,11,false)</f>
        <v>Tire</v>
      </c>
    </row>
    <row r="972" ht="22.5" customHeight="1">
      <c r="A972" s="49"/>
      <c r="C972" s="384">
        <v>45713.0</v>
      </c>
      <c r="D972" s="65">
        <v>4482.0</v>
      </c>
      <c r="E972" s="445" t="s">
        <v>2135</v>
      </c>
      <c r="F972" s="386">
        <v>4.0</v>
      </c>
      <c r="G972" s="74">
        <v>15000.0</v>
      </c>
      <c r="H972" s="74">
        <v>0.0</v>
      </c>
      <c r="I972" s="74">
        <f t="shared" si="1"/>
        <v>60000</v>
      </c>
      <c r="J972" s="74">
        <f>IF(E972="SERVICE",I972-(I972*50%),Vlookup(E972,DATABASE!C:Q,10,false)*F972)</f>
        <v>0</v>
      </c>
      <c r="K972" s="74">
        <f>VLOOKUP(E972,DATABASE!C:Q,7,false)</f>
        <v>0</v>
      </c>
      <c r="L972" s="74">
        <v>0.0</v>
      </c>
      <c r="M972" s="74">
        <f t="shared" si="2"/>
        <v>0</v>
      </c>
      <c r="N972" s="74">
        <f t="shared" si="3"/>
        <v>60000</v>
      </c>
      <c r="O972" s="65" t="str">
        <f>VLOOKUP(E972,DATABASE!C:Q,8,false)</f>
        <v>IBU</v>
      </c>
      <c r="P972" s="65">
        <f>VLOOKUP(E972,DATABASE!C:Q,9,False)</f>
        <v>0</v>
      </c>
      <c r="Q972" s="93" t="str">
        <f>VLOOKUP(E972,DATABASE!C:Q,4,false)</f>
        <v>NITROGEN</v>
      </c>
      <c r="R972" s="93" t="str">
        <f>VLOOKUP(E972,DATABASE!C:Q,11,false)</f>
        <v>COMPLEMENTARY</v>
      </c>
    </row>
    <row r="973" ht="22.5" customHeight="1">
      <c r="A973" s="49"/>
      <c r="C973" s="384">
        <v>45713.0</v>
      </c>
      <c r="D973" s="65">
        <v>4483.0</v>
      </c>
      <c r="E973" s="445" t="s">
        <v>591</v>
      </c>
      <c r="F973" s="386">
        <v>2.0</v>
      </c>
      <c r="G973" s="74">
        <v>750000.0</v>
      </c>
      <c r="H973" s="74">
        <v>0.0</v>
      </c>
      <c r="I973" s="74">
        <f t="shared" si="1"/>
        <v>1500000</v>
      </c>
      <c r="J973" s="74">
        <f>IF(E973="SERVICE",I973-(I973*50%),Vlookup(E973,DATABASE!C:Q,10,false)*F973)</f>
        <v>0</v>
      </c>
      <c r="K973" s="74">
        <v>676728.0</v>
      </c>
      <c r="L973" s="74">
        <v>676728.0</v>
      </c>
      <c r="M973" s="74">
        <f t="shared" si="2"/>
        <v>680000</v>
      </c>
      <c r="N973" s="74">
        <f t="shared" si="3"/>
        <v>140000</v>
      </c>
      <c r="O973" s="65" t="str">
        <f>VLOOKUP(E973,DATABASE!C:Q,8,false)</f>
        <v>IBU</v>
      </c>
      <c r="P973" s="65">
        <f>VLOOKUP(E973,DATABASE!C:Q,9,False)</f>
        <v>1</v>
      </c>
      <c r="Q973" s="93" t="str">
        <f>VLOOKUP(E973,DATABASE!C:Q,4,false)</f>
        <v>Bridgestone</v>
      </c>
      <c r="R973" s="93" t="str">
        <f>VLOOKUP(E973,DATABASE!C:Q,11,false)</f>
        <v>Tire</v>
      </c>
    </row>
    <row r="974" ht="22.5" customHeight="1">
      <c r="A974" s="49"/>
      <c r="C974" s="384">
        <v>45713.0</v>
      </c>
      <c r="D974" s="65">
        <v>4484.0</v>
      </c>
      <c r="E974" s="445" t="s">
        <v>262</v>
      </c>
      <c r="F974" s="386">
        <v>1.0</v>
      </c>
      <c r="G974" s="74">
        <v>110000.0</v>
      </c>
      <c r="H974" s="74">
        <v>0.0</v>
      </c>
      <c r="I974" s="74">
        <f t="shared" si="1"/>
        <v>110000</v>
      </c>
      <c r="J974" s="74">
        <f>IF(E974="SERVICE",I974-(I974*50%),Vlookup(E974,DATABASE!C:Q,10,false)*F974)</f>
        <v>5000</v>
      </c>
      <c r="K974" s="74">
        <f>VLOOKUP(E974,DATABASE!C:Q,7,false)</f>
        <v>0</v>
      </c>
      <c r="L974" s="74">
        <v>0.0</v>
      </c>
      <c r="M974" s="74">
        <f t="shared" si="2"/>
        <v>0</v>
      </c>
      <c r="N974" s="74">
        <f t="shared" si="3"/>
        <v>105000</v>
      </c>
      <c r="O974" s="65" t="str">
        <f>VLOOKUP(E974,DATABASE!C:Q,8,false)</f>
        <v>IBU</v>
      </c>
      <c r="P974" s="65">
        <f>VLOOKUP(E974,DATABASE!C:Q,9,False)</f>
        <v>0</v>
      </c>
      <c r="Q974" s="93" t="str">
        <f>VLOOKUP(E974,DATABASE!C:Q,4,false)</f>
        <v>SPOORING SS/CARRY LOS BAK</v>
      </c>
      <c r="R974" s="93" t="str">
        <f>VLOOKUP(E974,DATABASE!C:Q,11,false)</f>
        <v>SERVICE</v>
      </c>
    </row>
    <row r="975" ht="22.5" customHeight="1">
      <c r="A975" s="49"/>
      <c r="C975" s="384">
        <v>45713.0</v>
      </c>
      <c r="D975" s="65">
        <v>4484.0</v>
      </c>
      <c r="E975" s="445" t="s">
        <v>251</v>
      </c>
      <c r="F975" s="386">
        <v>1.0</v>
      </c>
      <c r="G975" s="74">
        <v>80000.0</v>
      </c>
      <c r="H975" s="74">
        <v>0.0</v>
      </c>
      <c r="I975" s="74">
        <f t="shared" si="1"/>
        <v>80000</v>
      </c>
      <c r="J975" s="74">
        <f>IF(E975="SERVICE",I975-(I975*50%),Vlookup(E975,DATABASE!C:Q,10,false)*F975)</f>
        <v>40000</v>
      </c>
      <c r="K975" s="74">
        <f>VLOOKUP(E975,DATABASE!C:Q,7,false)</f>
        <v>0</v>
      </c>
      <c r="L975" s="74">
        <v>0.0</v>
      </c>
      <c r="M975" s="74">
        <f t="shared" si="2"/>
        <v>0</v>
      </c>
      <c r="N975" s="74">
        <f t="shared" si="3"/>
        <v>40000</v>
      </c>
      <c r="O975" s="65" t="str">
        <f>VLOOKUP(E975,DATABASE!C:Q,8,false)</f>
        <v>IBU</v>
      </c>
      <c r="P975" s="65">
        <f>VLOOKUP(E975,DATABASE!C:Q,9,False)</f>
        <v>0</v>
      </c>
      <c r="Q975" s="93" t="str">
        <f>VLOOKUP(E975,DATABASE!C:Q,4,false)</f>
        <v>SERVICE</v>
      </c>
      <c r="R975" s="93" t="str">
        <f>VLOOKUP(E975,DATABASE!C:Q,11,false)</f>
        <v>SERVICE</v>
      </c>
    </row>
    <row r="976" ht="22.5" customHeight="1">
      <c r="A976" s="49"/>
      <c r="C976" s="384">
        <v>45713.0</v>
      </c>
      <c r="D976" s="65">
        <v>4485.0</v>
      </c>
      <c r="E976" s="445" t="s">
        <v>572</v>
      </c>
      <c r="F976" s="386">
        <v>2.0</v>
      </c>
      <c r="G976" s="74">
        <v>1370000.0</v>
      </c>
      <c r="H976" s="74">
        <v>0.0</v>
      </c>
      <c r="I976" s="74">
        <f t="shared" si="1"/>
        <v>2740000</v>
      </c>
      <c r="J976" s="74">
        <f>IF(E976="SERVICE",I976-(I976*50%),Vlookup(E976,DATABASE!C:Q,10,false)*F976)</f>
        <v>0</v>
      </c>
      <c r="K976" s="140">
        <v>1270000.0</v>
      </c>
      <c r="L976" s="140">
        <v>1270000.0</v>
      </c>
      <c r="M976" s="74">
        <f t="shared" si="2"/>
        <v>1270000</v>
      </c>
      <c r="N976" s="74">
        <f t="shared" si="3"/>
        <v>200000</v>
      </c>
      <c r="O976" s="65" t="str">
        <f>VLOOKUP(E976,DATABASE!C:Q,8,false)</f>
        <v>IBU</v>
      </c>
      <c r="P976" s="65">
        <f>VLOOKUP(E976,DATABASE!C:Q,9,False)</f>
        <v>1</v>
      </c>
      <c r="Q976" s="93" t="str">
        <f>VLOOKUP(E976,DATABASE!C:Q,4,false)</f>
        <v>Bridgestone</v>
      </c>
      <c r="R976" s="93" t="str">
        <f>VLOOKUP(E976,DATABASE!C:Q,11,false)</f>
        <v>Tire</v>
      </c>
    </row>
    <row r="977" ht="22.5" customHeight="1">
      <c r="A977" s="49"/>
      <c r="C977" s="384">
        <v>45713.0</v>
      </c>
      <c r="D977" s="65">
        <v>4486.0</v>
      </c>
      <c r="E977" s="445" t="s">
        <v>839</v>
      </c>
      <c r="F977" s="386">
        <v>1.0</v>
      </c>
      <c r="G977" s="74">
        <v>565000.0</v>
      </c>
      <c r="H977" s="74">
        <v>0.0</v>
      </c>
      <c r="I977" s="74">
        <f t="shared" si="1"/>
        <v>565000</v>
      </c>
      <c r="J977" s="74">
        <f>IF(E977="SERVICE",I977-(I977*50%),Vlookup(E977,DATABASE!C:Q,10,false)*F977)</f>
        <v>0</v>
      </c>
      <c r="K977" s="74">
        <f>VLOOKUP(E977,DATABASE!C:Q,7,false)</f>
        <v>512640</v>
      </c>
      <c r="L977" s="74">
        <v>475700.0</v>
      </c>
      <c r="M977" s="74">
        <f t="shared" si="2"/>
        <v>480000</v>
      </c>
      <c r="N977" s="74">
        <f t="shared" si="3"/>
        <v>85000</v>
      </c>
      <c r="O977" s="65" t="str">
        <f>VLOOKUP(E977,DATABASE!C:Q,8,false)</f>
        <v>BIAN</v>
      </c>
      <c r="P977" s="65">
        <f>VLOOKUP(E977,DATABASE!C:Q,9,False)</f>
        <v>1</v>
      </c>
      <c r="Q977" s="93" t="str">
        <f>VLOOKUP(E977,DATABASE!C:Q,4,false)</f>
        <v>GT</v>
      </c>
      <c r="R977" s="93" t="str">
        <f>VLOOKUP(E977,DATABASE!C:Q,11,false)</f>
        <v>Tire</v>
      </c>
    </row>
    <row r="978" ht="22.5" customHeight="1">
      <c r="A978" s="49"/>
      <c r="C978" s="384">
        <v>45713.0</v>
      </c>
      <c r="D978" s="65">
        <v>4486.0</v>
      </c>
      <c r="E978" s="385" t="s">
        <v>299</v>
      </c>
      <c r="F978" s="386">
        <v>2.0</v>
      </c>
      <c r="G978" s="74">
        <v>30000.0</v>
      </c>
      <c r="H978" s="74">
        <v>0.0</v>
      </c>
      <c r="I978" s="74">
        <f t="shared" si="1"/>
        <v>60000</v>
      </c>
      <c r="J978" s="74">
        <f>IF(E978="SERVICE",I978-(I978*50%),Vlookup(E978,DATABASE!C:Q,10,false)*F978)</f>
        <v>0</v>
      </c>
      <c r="K978" s="74">
        <v>0.0</v>
      </c>
      <c r="L978" s="74">
        <v>0.0</v>
      </c>
      <c r="M978" s="74">
        <f t="shared" si="2"/>
        <v>0</v>
      </c>
      <c r="N978" s="74">
        <f t="shared" si="3"/>
        <v>60000</v>
      </c>
      <c r="O978" s="65" t="str">
        <f>VLOOKUP(E978,DATABASE!C:Q,8,false)</f>
        <v>BIAN</v>
      </c>
      <c r="P978" s="65">
        <f>VLOOKUP(E978,DATABASE!C:Q,9,False)</f>
        <v>0</v>
      </c>
      <c r="Q978" s="93" t="str">
        <f>VLOOKUP(E978,DATABASE!C:Q,4,false)</f>
        <v>Balancing</v>
      </c>
      <c r="R978" s="93" t="str">
        <f>VLOOKUP(E978,DATABASE!C:Q,11,false)</f>
        <v>COMPLEMENTARY</v>
      </c>
    </row>
    <row r="979" ht="22.5" customHeight="1">
      <c r="A979" s="49"/>
      <c r="C979" s="384">
        <v>45713.0</v>
      </c>
      <c r="D979" s="65">
        <v>4487.0</v>
      </c>
      <c r="E979" s="445" t="s">
        <v>374</v>
      </c>
      <c r="F979" s="386">
        <v>4.0</v>
      </c>
      <c r="G979" s="74">
        <v>1950000.0</v>
      </c>
      <c r="H979" s="74">
        <v>0.0</v>
      </c>
      <c r="I979" s="74">
        <f t="shared" si="1"/>
        <v>7800000</v>
      </c>
      <c r="J979" s="74">
        <f>IF(E979="SERVICE",I979-(I979*50%),Vlookup(E979,DATABASE!C:Q,10,false)*F979)</f>
        <v>0</v>
      </c>
      <c r="K979" s="74">
        <f>VLOOKUP(E979,DATABASE!C:Q,7,false)</f>
        <v>1980000</v>
      </c>
      <c r="L979" s="74">
        <v>1850000.0</v>
      </c>
      <c r="M979" s="74">
        <f t="shared" si="2"/>
        <v>1850000</v>
      </c>
      <c r="N979" s="74">
        <f t="shared" si="3"/>
        <v>400000</v>
      </c>
      <c r="O979" s="65" t="str">
        <f>VLOOKUP(E979,DATABASE!C:Q,8,false)</f>
        <v>BIAN</v>
      </c>
      <c r="P979" s="65">
        <f>VLOOKUP(E979,DATABASE!C:Q,9,False)</f>
        <v>1</v>
      </c>
      <c r="Q979" s="93" t="str">
        <f>VLOOKUP(E979,DATABASE!C:Q,4,false)</f>
        <v>Advance</v>
      </c>
      <c r="R979" s="93" t="str">
        <f>VLOOKUP(E979,DATABASE!C:Q,11,false)</f>
        <v>Tire</v>
      </c>
    </row>
    <row r="980" ht="22.5" customHeight="1">
      <c r="A980" s="49"/>
      <c r="C980" s="384">
        <v>45714.0</v>
      </c>
      <c r="D980" s="65">
        <v>4488.0</v>
      </c>
      <c r="E980" s="445" t="s">
        <v>294</v>
      </c>
      <c r="F980" s="386">
        <v>1.0</v>
      </c>
      <c r="G980" s="74">
        <v>570000.0</v>
      </c>
      <c r="H980" s="74">
        <v>0.0</v>
      </c>
      <c r="I980" s="74">
        <f t="shared" si="1"/>
        <v>570000</v>
      </c>
      <c r="J980" s="74">
        <f>IF(E980="SERVICE",I980-(I980*50%),Vlookup(E980,DATABASE!C:Q,10,false)*F980)</f>
        <v>0</v>
      </c>
      <c r="K980" s="74">
        <f>VLOOKUP(E980,DATABASE!C:Q,7,false)</f>
        <v>505000</v>
      </c>
      <c r="L980" s="74">
        <v>490000.0</v>
      </c>
      <c r="M980" s="74">
        <f t="shared" si="2"/>
        <v>490000</v>
      </c>
      <c r="N980" s="74">
        <f t="shared" si="3"/>
        <v>80000</v>
      </c>
      <c r="O980" s="65" t="str">
        <f>VLOOKUP(E980,DATABASE!C:Q,8,false)</f>
        <v>BIAN</v>
      </c>
      <c r="P980" s="65">
        <f>VLOOKUP(E980,DATABASE!C:Q,9,False)</f>
        <v>1</v>
      </c>
      <c r="Q980" s="93" t="str">
        <f>VLOOKUP(E980,DATABASE!C:Q,4,false)</f>
        <v>GT</v>
      </c>
      <c r="R980" s="93" t="str">
        <f>VLOOKUP(E980,DATABASE!C:Q,11,false)</f>
        <v>Tire</v>
      </c>
    </row>
    <row r="981" ht="22.5" customHeight="1">
      <c r="A981" s="49"/>
      <c r="C981" s="384">
        <v>45714.0</v>
      </c>
      <c r="D981" s="65">
        <v>4489.0</v>
      </c>
      <c r="E981" s="445" t="s">
        <v>268</v>
      </c>
      <c r="F981" s="386">
        <v>1.0</v>
      </c>
      <c r="G981" s="74">
        <v>700000.0</v>
      </c>
      <c r="H981" s="74">
        <v>0.0</v>
      </c>
      <c r="I981" s="74">
        <f t="shared" si="1"/>
        <v>700000</v>
      </c>
      <c r="J981" s="74">
        <f>IF(E981="SERVICE",I981-(I981*50%),Vlookup(E981,DATABASE!C:Q,10,false)*F981)</f>
        <v>0</v>
      </c>
      <c r="K981" s="74">
        <v>613000.0</v>
      </c>
      <c r="L981" s="74">
        <v>613000.0</v>
      </c>
      <c r="M981" s="74">
        <f t="shared" si="2"/>
        <v>615000</v>
      </c>
      <c r="N981" s="74">
        <f t="shared" si="3"/>
        <v>85000</v>
      </c>
      <c r="O981" s="65" t="str">
        <f>VLOOKUP(E981,DATABASE!C:Q,8,false)</f>
        <v>IBU</v>
      </c>
      <c r="P981" s="65">
        <f>VLOOKUP(E981,DATABASE!C:Q,9,False)</f>
        <v>1</v>
      </c>
      <c r="Q981" s="93" t="str">
        <f>VLOOKUP(E981,DATABASE!C:Q,4,false)</f>
        <v>Dunlop</v>
      </c>
      <c r="R981" s="93" t="str">
        <f>VLOOKUP(E981,DATABASE!C:Q,11,false)</f>
        <v>Tire</v>
      </c>
    </row>
    <row r="982" ht="22.5" customHeight="1">
      <c r="A982" s="49"/>
      <c r="C982" s="384">
        <v>45714.0</v>
      </c>
      <c r="D982" s="65">
        <v>4490.0</v>
      </c>
      <c r="E982" s="445" t="s">
        <v>265</v>
      </c>
      <c r="F982" s="386">
        <v>1.0</v>
      </c>
      <c r="G982" s="74">
        <v>670000.0</v>
      </c>
      <c r="H982" s="74">
        <v>0.0</v>
      </c>
      <c r="I982" s="74">
        <f t="shared" si="1"/>
        <v>670000</v>
      </c>
      <c r="J982" s="74">
        <f>IF(E982="SERVICE",I982-(I982*50%),Vlookup(E982,DATABASE!C:Q,10,false)*F982)</f>
        <v>0</v>
      </c>
      <c r="K982" s="74">
        <v>590000.0</v>
      </c>
      <c r="L982" s="74">
        <v>590000.0</v>
      </c>
      <c r="M982" s="74">
        <f t="shared" si="2"/>
        <v>590000</v>
      </c>
      <c r="N982" s="74">
        <f t="shared" si="3"/>
        <v>80000</v>
      </c>
      <c r="O982" s="65" t="str">
        <f>VLOOKUP(E982,DATABASE!C:Q,8,false)</f>
        <v>IBU</v>
      </c>
      <c r="P982" s="65">
        <f>VLOOKUP(E982,DATABASE!C:Q,9,False)</f>
        <v>1</v>
      </c>
      <c r="Q982" s="93" t="str">
        <f>VLOOKUP(E982,DATABASE!C:Q,4,false)</f>
        <v>Dunlop</v>
      </c>
      <c r="R982" s="93" t="str">
        <f>VLOOKUP(E982,DATABASE!C:Q,11,false)</f>
        <v>Tire</v>
      </c>
    </row>
    <row r="983" ht="22.5" customHeight="1">
      <c r="A983" s="49"/>
      <c r="C983" s="384">
        <v>45714.0</v>
      </c>
      <c r="D983" s="65">
        <v>4491.0</v>
      </c>
      <c r="E983" s="445" t="s">
        <v>1948</v>
      </c>
      <c r="F983" s="386">
        <v>2.0</v>
      </c>
      <c r="G983" s="74">
        <v>890000.0</v>
      </c>
      <c r="H983" s="74">
        <v>0.0</v>
      </c>
      <c r="I983" s="74">
        <f t="shared" si="1"/>
        <v>1780000</v>
      </c>
      <c r="J983" s="74">
        <f>IF(E983="SERVICE",I983-(I983*50%),Vlookup(E983,DATABASE!C:Q,10,false)*F983)</f>
        <v>0</v>
      </c>
      <c r="K983" s="74">
        <f>VLOOKUP(E983,DATABASE!C:Q,7,false)</f>
        <v>790700</v>
      </c>
      <c r="L983" s="74">
        <v>790700.0</v>
      </c>
      <c r="M983" s="74">
        <f t="shared" si="2"/>
        <v>795000</v>
      </c>
      <c r="N983" s="74">
        <f t="shared" si="3"/>
        <v>190000</v>
      </c>
      <c r="O983" s="65" t="str">
        <f>VLOOKUP(E983,DATABASE!C:Q,8,false)</f>
        <v>BIAN</v>
      </c>
      <c r="P983" s="65">
        <f>VLOOKUP(E983,DATABASE!C:Q,9,False)</f>
        <v>1</v>
      </c>
      <c r="Q983" s="93" t="str">
        <f>VLOOKUP(E983,DATABASE!C:Q,4,false)</f>
        <v>GT</v>
      </c>
      <c r="R983" s="93" t="str">
        <f>VLOOKUP(E983,DATABASE!C:Q,11,false)</f>
        <v>Tire</v>
      </c>
    </row>
    <row r="984" ht="22.5" customHeight="1">
      <c r="A984" s="49"/>
      <c r="C984" s="384">
        <v>45714.0</v>
      </c>
      <c r="D984" s="65">
        <v>4492.0</v>
      </c>
      <c r="E984" s="445" t="s">
        <v>1394</v>
      </c>
      <c r="F984" s="386">
        <v>1.0</v>
      </c>
      <c r="G984" s="74">
        <v>550000.0</v>
      </c>
      <c r="H984" s="74">
        <v>0.0</v>
      </c>
      <c r="I984" s="74">
        <f t="shared" si="1"/>
        <v>550000</v>
      </c>
      <c r="J984" s="74">
        <f>IF(E984="SERVICE",I984-(I984*50%),Vlookup(E984,DATABASE!C:Q,10,false)*F984)</f>
        <v>0</v>
      </c>
      <c r="K984" s="74">
        <f>VLOOKUP(E984,DATABASE!C:Q,7,false)</f>
        <v>465000</v>
      </c>
      <c r="L984" s="74">
        <v>455000.0</v>
      </c>
      <c r="M984" s="74">
        <f t="shared" si="2"/>
        <v>455000</v>
      </c>
      <c r="N984" s="74">
        <f t="shared" si="3"/>
        <v>95000</v>
      </c>
      <c r="O984" s="65" t="str">
        <f>VLOOKUP(E984,DATABASE!C:Q,8,false)</f>
        <v>IBU</v>
      </c>
      <c r="P984" s="65">
        <f>VLOOKUP(E984,DATABASE!C:Q,9,False)</f>
        <v>1</v>
      </c>
      <c r="Q984" s="93" t="str">
        <f>VLOOKUP(E984,DATABASE!C:Q,4,false)</f>
        <v>Dunlop</v>
      </c>
      <c r="R984" s="93" t="str">
        <f>VLOOKUP(E984,DATABASE!C:Q,11,false)</f>
        <v>Tire</v>
      </c>
    </row>
    <row r="985" ht="22.5" customHeight="1">
      <c r="A985" s="49"/>
      <c r="C985" s="384">
        <v>45714.0</v>
      </c>
      <c r="D985" s="65">
        <v>4493.0</v>
      </c>
      <c r="E985" s="445" t="s">
        <v>1389</v>
      </c>
      <c r="F985" s="386">
        <v>2.0</v>
      </c>
      <c r="G985" s="74">
        <v>970000.0</v>
      </c>
      <c r="H985" s="74">
        <v>0.0</v>
      </c>
      <c r="I985" s="74">
        <f t="shared" si="1"/>
        <v>1940000</v>
      </c>
      <c r="J985" s="74">
        <f>IF(E985="SERVICE",I985-(I985*50%),Vlookup(E985,DATABASE!C:Q,10,false)*F985)</f>
        <v>0</v>
      </c>
      <c r="K985" s="74">
        <f>VLOOKUP(E985,DATABASE!C:Q,7,false)</f>
        <v>908000</v>
      </c>
      <c r="L985" s="74">
        <v>897000.0</v>
      </c>
      <c r="M985" s="74">
        <f t="shared" si="2"/>
        <v>900000</v>
      </c>
      <c r="N985" s="74">
        <f t="shared" si="3"/>
        <v>140000</v>
      </c>
      <c r="O985" s="65" t="str">
        <f>VLOOKUP(E985,DATABASE!C:Q,8,false)</f>
        <v>IBU</v>
      </c>
      <c r="P985" s="65">
        <f>VLOOKUP(E985,DATABASE!C:Q,9,False)</f>
        <v>1</v>
      </c>
      <c r="Q985" s="93" t="str">
        <f>VLOOKUP(E985,DATABASE!C:Q,4,false)</f>
        <v>Dunlop</v>
      </c>
      <c r="R985" s="93" t="str">
        <f>VLOOKUP(E985,DATABASE!C:Q,11,false)</f>
        <v>Tire</v>
      </c>
    </row>
    <row r="986" ht="22.5" customHeight="1">
      <c r="A986" s="49"/>
      <c r="C986" s="384">
        <v>45714.0</v>
      </c>
      <c r="D986" s="65">
        <v>4493.0</v>
      </c>
      <c r="E986" s="385" t="s">
        <v>299</v>
      </c>
      <c r="F986" s="386">
        <v>2.0</v>
      </c>
      <c r="G986" s="74">
        <v>30000.0</v>
      </c>
      <c r="H986" s="74">
        <v>0.0</v>
      </c>
      <c r="I986" s="74">
        <f t="shared" si="1"/>
        <v>60000</v>
      </c>
      <c r="J986" s="74">
        <f>IF(E986="SERVICE",I986-(I986*50%),Vlookup(E986,DATABASE!C:Q,10,false)*F986)</f>
        <v>0</v>
      </c>
      <c r="K986" s="74">
        <v>0.0</v>
      </c>
      <c r="L986" s="74">
        <v>0.0</v>
      </c>
      <c r="M986" s="74">
        <f t="shared" si="2"/>
        <v>0</v>
      </c>
      <c r="N986" s="74">
        <f t="shared" si="3"/>
        <v>60000</v>
      </c>
      <c r="O986" s="65" t="str">
        <f>VLOOKUP(E986,DATABASE!C:Q,8,false)</f>
        <v>BIAN</v>
      </c>
      <c r="P986" s="65">
        <f>VLOOKUP(E986,DATABASE!C:Q,9,False)</f>
        <v>0</v>
      </c>
      <c r="Q986" s="93" t="str">
        <f>VLOOKUP(E986,DATABASE!C:Q,4,false)</f>
        <v>Balancing</v>
      </c>
      <c r="R986" s="93" t="str">
        <f>VLOOKUP(E986,DATABASE!C:Q,11,false)</f>
        <v>COMPLEMENTARY</v>
      </c>
    </row>
    <row r="987" ht="22.5" customHeight="1">
      <c r="A987" s="49"/>
      <c r="C987" s="384">
        <v>45714.0</v>
      </c>
      <c r="D987" s="65">
        <v>4493.0</v>
      </c>
      <c r="E987" s="445" t="s">
        <v>256</v>
      </c>
      <c r="F987" s="386">
        <v>1.0</v>
      </c>
      <c r="G987" s="74">
        <v>130000.0</v>
      </c>
      <c r="H987" s="74">
        <v>0.0</v>
      </c>
      <c r="I987" s="74">
        <f t="shared" si="1"/>
        <v>130000</v>
      </c>
      <c r="J987" s="74">
        <f>IF(E987="SERVICE",I987-(I987*50%),Vlookup(E987,DATABASE!C:Q,10,false)*F987)</f>
        <v>10000</v>
      </c>
      <c r="K987" s="74">
        <f>VLOOKUP(E987,DATABASE!C:Q,7,false)</f>
        <v>0</v>
      </c>
      <c r="L987" s="74">
        <v>0.0</v>
      </c>
      <c r="M987" s="74">
        <f t="shared" si="2"/>
        <v>0</v>
      </c>
      <c r="N987" s="74">
        <f t="shared" si="3"/>
        <v>120000</v>
      </c>
      <c r="O987" s="65" t="str">
        <f>VLOOKUP(E987,DATABASE!C:Q,8,false)</f>
        <v>IBU</v>
      </c>
      <c r="P987" s="65">
        <f>VLOOKUP(E987,DATABASE!C:Q,9,False)</f>
        <v>0</v>
      </c>
      <c r="Q987" s="93" t="str">
        <f>VLOOKUP(E987,DATABASE!C:Q,4,false)</f>
        <v>SPOORING</v>
      </c>
      <c r="R987" s="93" t="str">
        <f>VLOOKUP(E987,DATABASE!C:Q,11,false)</f>
        <v>SERVICE</v>
      </c>
    </row>
    <row r="988" ht="22.5" customHeight="1">
      <c r="A988" s="49"/>
      <c r="C988" s="384">
        <v>45714.0</v>
      </c>
      <c r="D988" s="65">
        <v>4494.0</v>
      </c>
      <c r="E988" s="445" t="s">
        <v>791</v>
      </c>
      <c r="F988" s="386">
        <v>1.0</v>
      </c>
      <c r="G988" s="74">
        <v>1280000.0</v>
      </c>
      <c r="H988" s="74">
        <v>0.0</v>
      </c>
      <c r="I988" s="74">
        <f t="shared" si="1"/>
        <v>1280000</v>
      </c>
      <c r="J988" s="74">
        <f>IF(E988="SERVICE",I988-(I988*50%),Vlookup(E988,DATABASE!C:Q,10,false)*F988)</f>
        <v>0</v>
      </c>
      <c r="K988" s="74">
        <f>VLOOKUP(E988,DATABASE!C:Q,7,false)</f>
        <v>1210000</v>
      </c>
      <c r="L988" s="74">
        <v>1180000.0</v>
      </c>
      <c r="M988" s="74">
        <f t="shared" si="2"/>
        <v>1180000</v>
      </c>
      <c r="N988" s="74">
        <f t="shared" si="3"/>
        <v>100000</v>
      </c>
      <c r="O988" s="65" t="str">
        <f>VLOOKUP(E988,DATABASE!C:Q,8,false)</f>
        <v>BIAN</v>
      </c>
      <c r="P988" s="65">
        <f>VLOOKUP(E988,DATABASE!C:Q,9,False)</f>
        <v>1</v>
      </c>
      <c r="Q988" s="93" t="str">
        <f>VLOOKUP(E988,DATABASE!C:Q,4,false)</f>
        <v>GT</v>
      </c>
      <c r="R988" s="93" t="str">
        <f>VLOOKUP(E988,DATABASE!C:Q,11,false)</f>
        <v>Tire</v>
      </c>
    </row>
    <row r="989" ht="22.5" customHeight="1">
      <c r="A989" s="49"/>
      <c r="C989" s="384">
        <v>45714.0</v>
      </c>
      <c r="D989" s="65">
        <v>4494.0</v>
      </c>
      <c r="E989" s="445" t="s">
        <v>255</v>
      </c>
      <c r="F989" s="386">
        <v>1.0</v>
      </c>
      <c r="G989" s="74">
        <v>200000.0</v>
      </c>
      <c r="H989" s="74">
        <v>0.0</v>
      </c>
      <c r="I989" s="74">
        <f t="shared" si="1"/>
        <v>200000</v>
      </c>
      <c r="J989" s="74">
        <f>IF(E989="SERVICE",I989-(I989*50%),Vlookup(E989,DATABASE!C:Q,10,false)*F989)</f>
        <v>0</v>
      </c>
      <c r="K989" s="74">
        <f>VLOOKUP(E989,DATABASE!C:Q,7,false)</f>
        <v>161840</v>
      </c>
      <c r="L989" s="74">
        <v>161840.0</v>
      </c>
      <c r="M989" s="74">
        <f t="shared" si="2"/>
        <v>165000</v>
      </c>
      <c r="N989" s="74">
        <f t="shared" si="3"/>
        <v>35000</v>
      </c>
      <c r="O989" s="65" t="str">
        <f>VLOOKUP(E989,DATABASE!C:Q,8,false)</f>
        <v>BIAN</v>
      </c>
      <c r="P989" s="65">
        <f>VLOOKUP(E989,DATABASE!C:Q,9,False)</f>
        <v>1</v>
      </c>
      <c r="Q989" s="93" t="str">
        <f>VLOOKUP(E989,DATABASE!C:Q,4,false)</f>
        <v>BD</v>
      </c>
      <c r="R989" s="93" t="str">
        <f>VLOOKUP(E989,DATABASE!C:Q,11,false)</f>
        <v>Tire</v>
      </c>
    </row>
    <row r="990" ht="22.5" customHeight="1">
      <c r="A990" s="49"/>
      <c r="C990" s="384">
        <v>45714.0</v>
      </c>
      <c r="D990" s="65">
        <v>4494.0</v>
      </c>
      <c r="E990" s="445" t="s">
        <v>1695</v>
      </c>
      <c r="F990" s="386">
        <v>1.0</v>
      </c>
      <c r="G990" s="74">
        <v>55000.0</v>
      </c>
      <c r="H990" s="74">
        <v>0.0</v>
      </c>
      <c r="I990" s="74">
        <f t="shared" si="1"/>
        <v>55000</v>
      </c>
      <c r="J990" s="74">
        <f>IF(E990="SERVICE",I990-(I990*50%),Vlookup(E990,DATABASE!C:Q,10,false)*F990)</f>
        <v>0</v>
      </c>
      <c r="K990" s="74">
        <f>VLOOKUP(E990,DATABASE!C:Q,7,false)</f>
        <v>34000</v>
      </c>
      <c r="L990" s="74">
        <v>34000.0</v>
      </c>
      <c r="M990" s="74">
        <f t="shared" si="2"/>
        <v>35000</v>
      </c>
      <c r="N990" s="74">
        <f t="shared" si="3"/>
        <v>20000</v>
      </c>
      <c r="O990" s="65" t="str">
        <f>VLOOKUP(E990,DATABASE!C:Q,8,false)</f>
        <v>BIAN</v>
      </c>
      <c r="P990" s="65">
        <f>VLOOKUP(E990,DATABASE!C:Q,9,False)</f>
        <v>1</v>
      </c>
      <c r="Q990" s="93" t="str">
        <f>VLOOKUP(E990,DATABASE!C:Q,4,false)</f>
        <v>Flap</v>
      </c>
      <c r="R990" s="93" t="str">
        <f>VLOOKUP(E990,DATABASE!C:Q,11,false)</f>
        <v>Tire</v>
      </c>
    </row>
    <row r="991" ht="22.5" customHeight="1">
      <c r="A991" s="49"/>
      <c r="C991" s="384">
        <v>45714.0</v>
      </c>
      <c r="D991" s="65">
        <v>4495.0</v>
      </c>
      <c r="E991" s="445" t="s">
        <v>605</v>
      </c>
      <c r="F991" s="386">
        <v>1.0</v>
      </c>
      <c r="G991" s="74">
        <v>760000.0</v>
      </c>
      <c r="H991" s="74">
        <v>0.0</v>
      </c>
      <c r="I991" s="74">
        <f t="shared" si="1"/>
        <v>760000</v>
      </c>
      <c r="J991" s="74">
        <f>IF(E991="SERVICE",I991-(I991*50%),Vlookup(E991,DATABASE!C:Q,10,false)*F991)</f>
        <v>0</v>
      </c>
      <c r="K991" s="74">
        <v>670000.0</v>
      </c>
      <c r="L991" s="74">
        <v>670000.0</v>
      </c>
      <c r="M991" s="74">
        <f t="shared" si="2"/>
        <v>670000</v>
      </c>
      <c r="N991" s="74">
        <f t="shared" si="3"/>
        <v>90000</v>
      </c>
      <c r="O991" s="65" t="str">
        <f>VLOOKUP(E991,DATABASE!C:Q,8,false)</f>
        <v>IBU</v>
      </c>
      <c r="P991" s="65">
        <f>VLOOKUP(E991,DATABASE!C:Q,9,False)</f>
        <v>1</v>
      </c>
      <c r="Q991" s="93" t="str">
        <f>VLOOKUP(E991,DATABASE!C:Q,4,false)</f>
        <v>Bridgestone</v>
      </c>
      <c r="R991" s="93" t="str">
        <f>VLOOKUP(E991,DATABASE!C:Q,11,false)</f>
        <v>Tire</v>
      </c>
    </row>
    <row r="992" ht="22.5" customHeight="1">
      <c r="A992" s="49"/>
      <c r="C992" s="384">
        <v>45714.0</v>
      </c>
      <c r="D992" s="65">
        <v>4496.0</v>
      </c>
      <c r="E992" s="445" t="s">
        <v>163</v>
      </c>
      <c r="F992" s="386">
        <v>2.0</v>
      </c>
      <c r="G992" s="74">
        <v>570000.0</v>
      </c>
      <c r="H992" s="74">
        <v>0.0</v>
      </c>
      <c r="I992" s="74">
        <f t="shared" si="1"/>
        <v>1140000</v>
      </c>
      <c r="J992" s="74">
        <f>IF(E992="SERVICE",I992-(I992*50%),Vlookup(E992,DATABASE!C:Q,10,false)*F992)</f>
        <v>0</v>
      </c>
      <c r="K992" s="74">
        <v>473970.0</v>
      </c>
      <c r="L992" s="74">
        <v>473970.0</v>
      </c>
      <c r="M992" s="74">
        <f t="shared" si="2"/>
        <v>475000</v>
      </c>
      <c r="N992" s="74">
        <f t="shared" si="3"/>
        <v>190000</v>
      </c>
      <c r="O992" s="65" t="str">
        <f>VLOOKUP(E992,DATABASE!C:Q,8,false)</f>
        <v>BIAN</v>
      </c>
      <c r="P992" s="65">
        <f>VLOOKUP(E992,DATABASE!C:Q,9,False)</f>
        <v>1</v>
      </c>
      <c r="Q992" s="93" t="str">
        <f>VLOOKUP(E992,DATABASE!C:Q,4,false)</f>
        <v>Accelera</v>
      </c>
      <c r="R992" s="93" t="str">
        <f>VLOOKUP(E992,DATABASE!C:Q,11,false)</f>
        <v>Tire</v>
      </c>
    </row>
    <row r="993" ht="22.5" customHeight="1">
      <c r="A993" s="49"/>
      <c r="C993" s="384">
        <v>45714.0</v>
      </c>
      <c r="D993" s="65">
        <v>4496.0</v>
      </c>
      <c r="E993" s="445" t="s">
        <v>163</v>
      </c>
      <c r="F993" s="386">
        <v>1.0</v>
      </c>
      <c r="G993" s="74">
        <v>570000.0</v>
      </c>
      <c r="H993" s="74">
        <v>0.0</v>
      </c>
      <c r="I993" s="74">
        <f t="shared" si="1"/>
        <v>570000</v>
      </c>
      <c r="J993" s="74">
        <f>IF(E993="SERVICE",I993-(I993*50%),Vlookup(E993,DATABASE!C:Q,10,false)*F993)</f>
        <v>0</v>
      </c>
      <c r="K993" s="74">
        <v>473970.0</v>
      </c>
      <c r="L993" s="74">
        <v>473970.0</v>
      </c>
      <c r="M993" s="74">
        <f t="shared" si="2"/>
        <v>475000</v>
      </c>
      <c r="N993" s="74">
        <f t="shared" si="3"/>
        <v>95000</v>
      </c>
      <c r="O993" s="65" t="str">
        <f>VLOOKUP(E993,DATABASE!C:Q,8,false)</f>
        <v>BIAN</v>
      </c>
      <c r="P993" s="65">
        <f>VLOOKUP(E993,DATABASE!C:Q,9,False)</f>
        <v>1</v>
      </c>
      <c r="Q993" s="93" t="str">
        <f>VLOOKUP(E993,DATABASE!C:Q,4,false)</f>
        <v>Accelera</v>
      </c>
      <c r="R993" s="93" t="str">
        <f>VLOOKUP(E993,DATABASE!C:Q,11,false)</f>
        <v>Tire</v>
      </c>
    </row>
    <row r="994" ht="22.5" customHeight="1">
      <c r="A994" s="49"/>
      <c r="C994" s="384">
        <v>45714.0</v>
      </c>
      <c r="D994" s="65">
        <v>4498.0</v>
      </c>
      <c r="E994" s="445" t="s">
        <v>1389</v>
      </c>
      <c r="F994" s="386">
        <v>2.0</v>
      </c>
      <c r="G994" s="74">
        <v>970000.0</v>
      </c>
      <c r="H994" s="74">
        <v>0.0</v>
      </c>
      <c r="I994" s="74">
        <f t="shared" si="1"/>
        <v>1940000</v>
      </c>
      <c r="J994" s="74">
        <f>IF(E994="SERVICE",I994-(I994*50%),Vlookup(E994,DATABASE!C:Q,10,false)*F994)</f>
        <v>0</v>
      </c>
      <c r="K994" s="74">
        <f>VLOOKUP(E994,DATABASE!C:Q,7,false)</f>
        <v>908000</v>
      </c>
      <c r="L994" s="74">
        <v>897000.0</v>
      </c>
      <c r="M994" s="74">
        <f t="shared" si="2"/>
        <v>900000</v>
      </c>
      <c r="N994" s="74">
        <f t="shared" si="3"/>
        <v>140000</v>
      </c>
      <c r="O994" s="65" t="str">
        <f>VLOOKUP(E994,DATABASE!C:Q,8,false)</f>
        <v>IBU</v>
      </c>
      <c r="P994" s="65">
        <f>VLOOKUP(E994,DATABASE!C:Q,9,False)</f>
        <v>1</v>
      </c>
      <c r="Q994" s="93" t="str">
        <f>VLOOKUP(E994,DATABASE!C:Q,4,false)</f>
        <v>Dunlop</v>
      </c>
      <c r="R994" s="93" t="str">
        <f>VLOOKUP(E994,DATABASE!C:Q,11,false)</f>
        <v>Tire</v>
      </c>
    </row>
    <row r="995" ht="22.5" customHeight="1">
      <c r="A995" s="49"/>
      <c r="C995" s="384">
        <v>45714.0</v>
      </c>
      <c r="D995" s="65">
        <v>4498.0</v>
      </c>
      <c r="E995" s="445" t="s">
        <v>301</v>
      </c>
      <c r="F995" s="386">
        <v>1.0</v>
      </c>
      <c r="G995" s="74">
        <v>250000.0</v>
      </c>
      <c r="H995" s="74">
        <v>0.0</v>
      </c>
      <c r="I995" s="74">
        <f t="shared" si="1"/>
        <v>250000</v>
      </c>
      <c r="J995" s="74">
        <f>IF(E995="SERVICE",I995-(I995*50%),Vlookup(E995,DATABASE!C:Q,10,false)*F995)</f>
        <v>75000</v>
      </c>
      <c r="K995" s="74">
        <f>VLOOKUP(E995,DATABASE!C:Q,7,false)</f>
        <v>75000</v>
      </c>
      <c r="L995" s="74">
        <v>75000.0</v>
      </c>
      <c r="M995" s="74">
        <f t="shared" si="2"/>
        <v>75000</v>
      </c>
      <c r="N995" s="74">
        <f t="shared" si="3"/>
        <v>100000</v>
      </c>
      <c r="O995" s="65" t="str">
        <f>VLOOKUP(E995,DATABASE!C:Q,8,false)</f>
        <v>BIAN</v>
      </c>
      <c r="P995" s="65">
        <f>VLOOKUP(E995,DATABASE!C:Q,9,False)</f>
        <v>0</v>
      </c>
      <c r="Q995" s="93" t="str">
        <f>VLOOKUP(E995,DATABASE!C:Q,4,false)</f>
        <v>Baut Camber</v>
      </c>
      <c r="R995" s="93" t="str">
        <f>VLOOKUP(E995,DATABASE!C:Q,11,false)</f>
        <v>COMPLEMENTARY</v>
      </c>
    </row>
    <row r="996" ht="22.5" customHeight="1">
      <c r="A996" s="49"/>
      <c r="C996" s="384">
        <v>45714.0</v>
      </c>
      <c r="D996" s="65">
        <v>4499.0</v>
      </c>
      <c r="E996" s="445" t="s">
        <v>604</v>
      </c>
      <c r="F996" s="386">
        <v>1.0</v>
      </c>
      <c r="G996" s="74">
        <v>160000.0</v>
      </c>
      <c r="H996" s="74">
        <v>0.0</v>
      </c>
      <c r="I996" s="74">
        <f t="shared" si="1"/>
        <v>160000</v>
      </c>
      <c r="J996" s="74">
        <f>IF(E996="SERVICE",I996-(I996*50%),Vlookup(E996,DATABASE!C:Q,10,false)*F996)</f>
        <v>0</v>
      </c>
      <c r="K996" s="74">
        <f>VLOOKUP(E996,DATABASE!C:Q,7,false)</f>
        <v>124000</v>
      </c>
      <c r="L996" s="74">
        <v>124000.0</v>
      </c>
      <c r="M996" s="74">
        <f t="shared" si="2"/>
        <v>125000</v>
      </c>
      <c r="N996" s="74">
        <f t="shared" si="3"/>
        <v>35000</v>
      </c>
      <c r="O996" s="65" t="str">
        <f>VLOOKUP(E996,DATABASE!C:Q,8,false)</f>
        <v>BIAN</v>
      </c>
      <c r="P996" s="65">
        <f>VLOOKUP(E996,DATABASE!C:Q,9,False)</f>
        <v>1</v>
      </c>
      <c r="Q996" s="93" t="str">
        <f>VLOOKUP(E996,DATABASE!C:Q,4,false)</f>
        <v>BD</v>
      </c>
      <c r="R996" s="93" t="str">
        <f>VLOOKUP(E996,DATABASE!C:Q,11,false)</f>
        <v>Tire</v>
      </c>
    </row>
    <row r="997" ht="22.5" customHeight="1">
      <c r="A997" s="49"/>
      <c r="C997" s="384">
        <v>45714.0</v>
      </c>
      <c r="D997" s="65">
        <v>4500.0</v>
      </c>
      <c r="E997" s="445" t="s">
        <v>246</v>
      </c>
      <c r="F997" s="386">
        <v>2.0</v>
      </c>
      <c r="G997" s="74">
        <v>30000.0</v>
      </c>
      <c r="H997" s="74">
        <v>0.0</v>
      </c>
      <c r="I997" s="74">
        <f t="shared" si="1"/>
        <v>60000</v>
      </c>
      <c r="J997" s="74">
        <f>IF(E997="SERVICE",I997-(I997*50%),Vlookup(E997,DATABASE!C:Q,10,false)*F997)</f>
        <v>0</v>
      </c>
      <c r="K997" s="74">
        <f>VLOOKUP(E997,DATABASE!C:Q,7,false)</f>
        <v>0</v>
      </c>
      <c r="L997" s="74">
        <v>0.0</v>
      </c>
      <c r="M997" s="74">
        <f t="shared" si="2"/>
        <v>0</v>
      </c>
      <c r="N997" s="74">
        <f t="shared" si="3"/>
        <v>60000</v>
      </c>
      <c r="O997" s="65" t="str">
        <f>VLOOKUP(E997,DATABASE!C:Q,8,false)</f>
        <v>IBU</v>
      </c>
      <c r="P997" s="65">
        <f>VLOOKUP(E997,DATABASE!C:Q,9,False)</f>
        <v>0</v>
      </c>
      <c r="Q997" s="93" t="str">
        <f>VLOOKUP(E997,DATABASE!C:Q,4,false)</f>
        <v>Bongkar Pasang</v>
      </c>
      <c r="R997" s="93" t="str">
        <f>VLOOKUP(E997,DATABASE!C:Q,11,false)</f>
        <v>SERVICE</v>
      </c>
    </row>
    <row r="998" ht="22.5" customHeight="1">
      <c r="A998" s="49"/>
      <c r="C998" s="384">
        <v>45714.0</v>
      </c>
      <c r="D998" s="65">
        <v>4501.0</v>
      </c>
      <c r="E998" s="445" t="s">
        <v>275</v>
      </c>
      <c r="F998" s="386">
        <v>2.0</v>
      </c>
      <c r="G998" s="74">
        <v>830000.0</v>
      </c>
      <c r="H998" s="74">
        <v>0.0</v>
      </c>
      <c r="I998" s="74">
        <f t="shared" si="1"/>
        <v>1660000</v>
      </c>
      <c r="J998" s="74">
        <f>IF(E998="SERVICE",I998-(I998*50%),Vlookup(E998,DATABASE!C:Q,10,false)*F998)</f>
        <v>0</v>
      </c>
      <c r="K998" s="74">
        <v>735000.0</v>
      </c>
      <c r="L998" s="74">
        <v>735000.0</v>
      </c>
      <c r="M998" s="74">
        <f t="shared" si="2"/>
        <v>735000</v>
      </c>
      <c r="N998" s="74">
        <f t="shared" si="3"/>
        <v>190000</v>
      </c>
      <c r="O998" s="65" t="str">
        <f>VLOOKUP(E998,DATABASE!C:Q,8,false)</f>
        <v>IBU</v>
      </c>
      <c r="P998" s="65">
        <f>VLOOKUP(E998,DATABASE!C:Q,9,False)</f>
        <v>1</v>
      </c>
      <c r="Q998" s="93" t="str">
        <f>VLOOKUP(E998,DATABASE!C:Q,4,false)</f>
        <v>Dunlop</v>
      </c>
      <c r="R998" s="93" t="str">
        <f>VLOOKUP(E998,DATABASE!C:Q,11,false)</f>
        <v>Tire</v>
      </c>
    </row>
    <row r="999" ht="22.5" customHeight="1">
      <c r="A999" s="49"/>
      <c r="C999" s="384">
        <v>45715.0</v>
      </c>
      <c r="D999" s="65">
        <v>4503.0</v>
      </c>
      <c r="E999" s="445" t="s">
        <v>572</v>
      </c>
      <c r="F999" s="386">
        <v>2.0</v>
      </c>
      <c r="G999" s="74">
        <v>1370000.0</v>
      </c>
      <c r="H999" s="74">
        <v>0.0</v>
      </c>
      <c r="I999" s="74">
        <f t="shared" si="1"/>
        <v>2740000</v>
      </c>
      <c r="J999" s="74">
        <f>IF(E999="SERVICE",I999-(I999*50%),Vlookup(E999,DATABASE!C:Q,10,false)*F999)</f>
        <v>0</v>
      </c>
      <c r="K999" s="140">
        <v>1270000.0</v>
      </c>
      <c r="L999" s="140">
        <v>1270000.0</v>
      </c>
      <c r="M999" s="74">
        <f t="shared" si="2"/>
        <v>1270000</v>
      </c>
      <c r="N999" s="74">
        <f t="shared" si="3"/>
        <v>200000</v>
      </c>
      <c r="O999" s="65" t="str">
        <f>VLOOKUP(E999,DATABASE!C:Q,8,false)</f>
        <v>IBU</v>
      </c>
      <c r="P999" s="65">
        <f>VLOOKUP(E999,DATABASE!C:Q,9,False)</f>
        <v>1</v>
      </c>
      <c r="Q999" s="93" t="str">
        <f>VLOOKUP(E999,DATABASE!C:Q,4,false)</f>
        <v>Bridgestone</v>
      </c>
      <c r="R999" s="93" t="str">
        <f>VLOOKUP(E999,DATABASE!C:Q,11,false)</f>
        <v>Tire</v>
      </c>
    </row>
    <row r="1000" ht="22.5" customHeight="1">
      <c r="A1000" s="49"/>
      <c r="C1000" s="384">
        <v>45715.0</v>
      </c>
      <c r="D1000" s="65">
        <v>4503.0</v>
      </c>
      <c r="E1000" s="445" t="s">
        <v>255</v>
      </c>
      <c r="F1000" s="386">
        <v>2.0</v>
      </c>
      <c r="G1000" s="74">
        <v>190000.0</v>
      </c>
      <c r="H1000" s="74">
        <v>0.0</v>
      </c>
      <c r="I1000" s="74">
        <f t="shared" si="1"/>
        <v>380000</v>
      </c>
      <c r="J1000" s="74">
        <f>IF(E1000="SERVICE",I1000-(I1000*50%),Vlookup(E1000,DATABASE!C:Q,10,false)*F1000)</f>
        <v>0</v>
      </c>
      <c r="K1000" s="74">
        <f>VLOOKUP(E1000,DATABASE!C:Q,7,false)</f>
        <v>161840</v>
      </c>
      <c r="L1000" s="74">
        <v>161840.0</v>
      </c>
      <c r="M1000" s="74">
        <f t="shared" si="2"/>
        <v>165000</v>
      </c>
      <c r="N1000" s="74">
        <f t="shared" si="3"/>
        <v>50000</v>
      </c>
      <c r="O1000" s="65" t="str">
        <f>VLOOKUP(E1000,DATABASE!C:Q,8,false)</f>
        <v>BIAN</v>
      </c>
      <c r="P1000" s="65">
        <f>VLOOKUP(E1000,DATABASE!C:Q,9,False)</f>
        <v>1</v>
      </c>
      <c r="Q1000" s="93" t="str">
        <f>VLOOKUP(E1000,DATABASE!C:Q,4,false)</f>
        <v>BD</v>
      </c>
      <c r="R1000" s="93" t="str">
        <f>VLOOKUP(E1000,DATABASE!C:Q,11,false)</f>
        <v>Tire</v>
      </c>
    </row>
    <row r="1001" ht="22.5" customHeight="1">
      <c r="A1001" s="49"/>
      <c r="C1001" s="384">
        <v>45715.0</v>
      </c>
      <c r="D1001" s="65">
        <v>4503.0</v>
      </c>
      <c r="E1001" s="445" t="s">
        <v>814</v>
      </c>
      <c r="F1001" s="386">
        <v>2.0</v>
      </c>
      <c r="G1001" s="74">
        <v>65000.0</v>
      </c>
      <c r="H1001" s="74">
        <v>0.0</v>
      </c>
      <c r="I1001" s="74">
        <f t="shared" si="1"/>
        <v>130000</v>
      </c>
      <c r="J1001" s="74">
        <f>IF(E1001="SERVICE",I1001-(I1001*50%),Vlookup(E1001,DATABASE!C:Q,10,false)*F1001)</f>
        <v>0</v>
      </c>
      <c r="K1001" s="74">
        <f>VLOOKUP(E1001,DATABASE!C:Q,7,false)</f>
        <v>39440</v>
      </c>
      <c r="L1001" s="74">
        <v>39440.0</v>
      </c>
      <c r="M1001" s="74">
        <f t="shared" si="2"/>
        <v>40000</v>
      </c>
      <c r="N1001" s="74">
        <f t="shared" si="3"/>
        <v>50000</v>
      </c>
      <c r="O1001" s="65" t="str">
        <f>VLOOKUP(E1001,DATABASE!C:Q,8,false)</f>
        <v>BIAN</v>
      </c>
      <c r="P1001" s="65">
        <f>VLOOKUP(E1001,DATABASE!C:Q,9,False)</f>
        <v>1</v>
      </c>
      <c r="Q1001" s="93" t="str">
        <f>VLOOKUP(E1001,DATABASE!C:Q,4,false)</f>
        <v>Flap</v>
      </c>
      <c r="R1001" s="93" t="str">
        <f>VLOOKUP(E1001,DATABASE!C:Q,11,false)</f>
        <v>Tire</v>
      </c>
    </row>
    <row r="1002" ht="22.5" customHeight="1">
      <c r="A1002" s="49"/>
      <c r="C1002" s="384">
        <v>45715.0</v>
      </c>
      <c r="D1002" s="65">
        <v>4504.0</v>
      </c>
      <c r="E1002" s="445" t="s">
        <v>932</v>
      </c>
      <c r="F1002" s="386">
        <v>2.0</v>
      </c>
      <c r="G1002" s="74">
        <v>670000.0</v>
      </c>
      <c r="H1002" s="74">
        <v>0.0</v>
      </c>
      <c r="I1002" s="74">
        <f t="shared" si="1"/>
        <v>1340000</v>
      </c>
      <c r="J1002" s="74">
        <f>IF(E1002="SERVICE",I1002-(I1002*50%),Vlookup(E1002,DATABASE!C:Q,10,false)*F1002)</f>
        <v>0</v>
      </c>
      <c r="K1002" s="74">
        <v>575000.0</v>
      </c>
      <c r="L1002" s="74">
        <v>575000.0</v>
      </c>
      <c r="M1002" s="74">
        <f t="shared" si="2"/>
        <v>575000</v>
      </c>
      <c r="N1002" s="74">
        <f t="shared" si="3"/>
        <v>190000</v>
      </c>
      <c r="O1002" s="65" t="str">
        <f>VLOOKUP(E1002,DATABASE!C:Q,8,false)</f>
        <v>IBU</v>
      </c>
      <c r="P1002" s="65">
        <f>VLOOKUP(E1002,DATABASE!C:Q,9,False)</f>
        <v>1</v>
      </c>
      <c r="Q1002" s="93" t="str">
        <f>VLOOKUP(E1002,DATABASE!C:Q,4,false)</f>
        <v>Dunlop</v>
      </c>
      <c r="R1002" s="93" t="str">
        <f>VLOOKUP(E1002,DATABASE!C:Q,11,false)</f>
        <v>Tire</v>
      </c>
    </row>
    <row r="1003" ht="22.5" customHeight="1">
      <c r="A1003" s="49"/>
      <c r="C1003" s="384">
        <v>45715.0</v>
      </c>
      <c r="D1003" s="65">
        <v>4504.0</v>
      </c>
      <c r="E1003" s="385" t="s">
        <v>299</v>
      </c>
      <c r="F1003" s="386">
        <v>2.0</v>
      </c>
      <c r="G1003" s="74">
        <v>30000.0</v>
      </c>
      <c r="H1003" s="74">
        <v>0.0</v>
      </c>
      <c r="I1003" s="74">
        <f t="shared" si="1"/>
        <v>60000</v>
      </c>
      <c r="J1003" s="74">
        <f>IF(E1003="SERVICE",I1003-(I1003*50%),Vlookup(E1003,DATABASE!C:Q,10,false)*F1003)</f>
        <v>0</v>
      </c>
      <c r="K1003" s="74">
        <v>0.0</v>
      </c>
      <c r="L1003" s="74">
        <v>0.0</v>
      </c>
      <c r="M1003" s="74">
        <f t="shared" si="2"/>
        <v>0</v>
      </c>
      <c r="N1003" s="74">
        <f t="shared" si="3"/>
        <v>60000</v>
      </c>
      <c r="O1003" s="65" t="str">
        <f>VLOOKUP(E1003,DATABASE!C:Q,8,false)</f>
        <v>BIAN</v>
      </c>
      <c r="P1003" s="65">
        <f>VLOOKUP(E1003,DATABASE!C:Q,9,False)</f>
        <v>0</v>
      </c>
      <c r="Q1003" s="93" t="str">
        <f>VLOOKUP(E1003,DATABASE!C:Q,4,false)</f>
        <v>Balancing</v>
      </c>
      <c r="R1003" s="93" t="str">
        <f>VLOOKUP(E1003,DATABASE!C:Q,11,false)</f>
        <v>COMPLEMENTARY</v>
      </c>
    </row>
    <row r="1004" ht="22.5" customHeight="1">
      <c r="A1004" s="49"/>
      <c r="C1004" s="384">
        <v>45715.0</v>
      </c>
      <c r="D1004" s="65">
        <v>4505.0</v>
      </c>
      <c r="E1004" s="445" t="s">
        <v>256</v>
      </c>
      <c r="F1004" s="386">
        <v>1.0</v>
      </c>
      <c r="G1004" s="74">
        <v>130000.0</v>
      </c>
      <c r="H1004" s="74">
        <v>0.0</v>
      </c>
      <c r="I1004" s="74">
        <f t="shared" si="1"/>
        <v>130000</v>
      </c>
      <c r="J1004" s="74">
        <f>IF(E1004="SERVICE",I1004-(I1004*50%),Vlookup(E1004,DATABASE!C:Q,10,false)*F1004)</f>
        <v>10000</v>
      </c>
      <c r="K1004" s="74">
        <f>VLOOKUP(E1004,DATABASE!C:Q,7,false)</f>
        <v>0</v>
      </c>
      <c r="L1004" s="74">
        <v>0.0</v>
      </c>
      <c r="M1004" s="74">
        <f t="shared" si="2"/>
        <v>0</v>
      </c>
      <c r="N1004" s="74">
        <f t="shared" si="3"/>
        <v>120000</v>
      </c>
      <c r="O1004" s="65" t="str">
        <f>VLOOKUP(E1004,DATABASE!C:Q,8,false)</f>
        <v>IBU</v>
      </c>
      <c r="P1004" s="65">
        <f>VLOOKUP(E1004,DATABASE!C:Q,9,False)</f>
        <v>0</v>
      </c>
      <c r="Q1004" s="93" t="str">
        <f>VLOOKUP(E1004,DATABASE!C:Q,4,false)</f>
        <v>SPOORING</v>
      </c>
      <c r="R1004" s="93" t="str">
        <f>VLOOKUP(E1004,DATABASE!C:Q,11,false)</f>
        <v>SERVICE</v>
      </c>
    </row>
    <row r="1005" ht="22.5" customHeight="1">
      <c r="A1005" s="49"/>
      <c r="C1005" s="384">
        <v>45715.0</v>
      </c>
      <c r="D1005" s="65">
        <v>4505.0</v>
      </c>
      <c r="E1005" s="445" t="s">
        <v>301</v>
      </c>
      <c r="F1005" s="386">
        <v>1.0</v>
      </c>
      <c r="G1005" s="74">
        <v>250000.0</v>
      </c>
      <c r="H1005" s="74">
        <v>0.0</v>
      </c>
      <c r="I1005" s="74">
        <f t="shared" si="1"/>
        <v>250000</v>
      </c>
      <c r="J1005" s="74">
        <f>IF(E1005="SERVICE",I1005-(I1005*50%),Vlookup(E1005,DATABASE!C:Q,10,false)*F1005)</f>
        <v>75000</v>
      </c>
      <c r="K1005" s="74">
        <f>VLOOKUP(E1005,DATABASE!C:Q,7,false)</f>
        <v>75000</v>
      </c>
      <c r="L1005" s="74">
        <v>75000.0</v>
      </c>
      <c r="M1005" s="74">
        <f t="shared" si="2"/>
        <v>75000</v>
      </c>
      <c r="N1005" s="74">
        <f t="shared" si="3"/>
        <v>100000</v>
      </c>
      <c r="O1005" s="65" t="str">
        <f>VLOOKUP(E1005,DATABASE!C:Q,8,false)</f>
        <v>BIAN</v>
      </c>
      <c r="P1005" s="65">
        <f>VLOOKUP(E1005,DATABASE!C:Q,9,False)</f>
        <v>0</v>
      </c>
      <c r="Q1005" s="93" t="str">
        <f>VLOOKUP(E1005,DATABASE!C:Q,4,false)</f>
        <v>Baut Camber</v>
      </c>
      <c r="R1005" s="93" t="str">
        <f>VLOOKUP(E1005,DATABASE!C:Q,11,false)</f>
        <v>COMPLEMENTARY</v>
      </c>
    </row>
    <row r="1006" ht="22.5" customHeight="1">
      <c r="A1006" s="49"/>
      <c r="C1006" s="384">
        <v>45715.0</v>
      </c>
      <c r="D1006" s="65">
        <v>4506.0</v>
      </c>
      <c r="E1006" s="445" t="s">
        <v>1909</v>
      </c>
      <c r="F1006" s="386">
        <v>1.0</v>
      </c>
      <c r="G1006" s="74">
        <v>600000.0</v>
      </c>
      <c r="H1006" s="74">
        <v>0.0</v>
      </c>
      <c r="I1006" s="74">
        <f t="shared" si="1"/>
        <v>600000</v>
      </c>
      <c r="J1006" s="74">
        <f>IF(E1006="SERVICE",I1006-(I1006*50%),Vlookup(E1006,DATABASE!C:Q,10,false)*F1006)</f>
        <v>0</v>
      </c>
      <c r="K1006" s="74">
        <f>VLOOKUP(E1006,DATABASE!C:Q,7,false)</f>
        <v>516500</v>
      </c>
      <c r="L1006" s="74">
        <v>516500.0</v>
      </c>
      <c r="M1006" s="74">
        <f t="shared" si="2"/>
        <v>520000</v>
      </c>
      <c r="N1006" s="74">
        <f t="shared" si="3"/>
        <v>80000</v>
      </c>
      <c r="O1006" s="65" t="str">
        <f>VLOOKUP(E1006,DATABASE!C:Q,8,false)</f>
        <v>BIAN</v>
      </c>
      <c r="P1006" s="65">
        <f>VLOOKUP(E1006,DATABASE!C:Q,9,False)</f>
        <v>1</v>
      </c>
      <c r="Q1006" s="93" t="str">
        <f>VLOOKUP(E1006,DATABASE!C:Q,4,false)</f>
        <v>GT</v>
      </c>
      <c r="R1006" s="93" t="str">
        <f>VLOOKUP(E1006,DATABASE!C:Q,11,false)</f>
        <v>Tire</v>
      </c>
    </row>
    <row r="1007" ht="22.5" customHeight="1">
      <c r="A1007" s="49"/>
      <c r="C1007" s="384">
        <v>45715.0</v>
      </c>
      <c r="D1007" s="65">
        <v>4507.0</v>
      </c>
      <c r="E1007" s="445" t="s">
        <v>268</v>
      </c>
      <c r="F1007" s="386">
        <v>1.0</v>
      </c>
      <c r="G1007" s="74">
        <v>700000.0</v>
      </c>
      <c r="H1007" s="74">
        <v>0.0</v>
      </c>
      <c r="I1007" s="74">
        <f t="shared" si="1"/>
        <v>700000</v>
      </c>
      <c r="J1007" s="74">
        <f>IF(E1007="SERVICE",I1007-(I1007*50%),Vlookup(E1007,DATABASE!C:Q,10,false)*F1007)</f>
        <v>0</v>
      </c>
      <c r="K1007" s="74">
        <v>613000.0</v>
      </c>
      <c r="L1007" s="74">
        <v>613000.0</v>
      </c>
      <c r="M1007" s="74">
        <f t="shared" si="2"/>
        <v>615000</v>
      </c>
      <c r="N1007" s="74">
        <f t="shared" si="3"/>
        <v>85000</v>
      </c>
      <c r="O1007" s="65" t="str">
        <f>VLOOKUP(E1007,DATABASE!C:Q,8,false)</f>
        <v>IBU</v>
      </c>
      <c r="P1007" s="65">
        <f>VLOOKUP(E1007,DATABASE!C:Q,9,False)</f>
        <v>1</v>
      </c>
      <c r="Q1007" s="93" t="str">
        <f>VLOOKUP(E1007,DATABASE!C:Q,4,false)</f>
        <v>Dunlop</v>
      </c>
      <c r="R1007" s="93" t="str">
        <f>VLOOKUP(E1007,DATABASE!C:Q,11,false)</f>
        <v>Tire</v>
      </c>
    </row>
    <row r="1008" ht="22.5" customHeight="1">
      <c r="A1008" s="49"/>
      <c r="C1008" s="384">
        <v>45715.0</v>
      </c>
      <c r="D1008" s="65">
        <v>4508.0</v>
      </c>
      <c r="E1008" s="445" t="s">
        <v>268</v>
      </c>
      <c r="F1008" s="386">
        <v>2.0</v>
      </c>
      <c r="G1008" s="74">
        <v>700000.0</v>
      </c>
      <c r="H1008" s="74">
        <v>0.0</v>
      </c>
      <c r="I1008" s="74">
        <f t="shared" si="1"/>
        <v>1400000</v>
      </c>
      <c r="J1008" s="74">
        <f>IF(E1008="SERVICE",I1008-(I1008*50%),Vlookup(E1008,DATABASE!C:Q,10,false)*F1008)</f>
        <v>0</v>
      </c>
      <c r="K1008" s="74">
        <v>613000.0</v>
      </c>
      <c r="L1008" s="74">
        <v>613000.0</v>
      </c>
      <c r="M1008" s="74">
        <f t="shared" si="2"/>
        <v>615000</v>
      </c>
      <c r="N1008" s="74">
        <f t="shared" si="3"/>
        <v>170000</v>
      </c>
      <c r="O1008" s="65" t="str">
        <f>VLOOKUP(E1008,DATABASE!C:Q,8,false)</f>
        <v>IBU</v>
      </c>
      <c r="P1008" s="65">
        <f>VLOOKUP(E1008,DATABASE!C:Q,9,False)</f>
        <v>1</v>
      </c>
      <c r="Q1008" s="93" t="str">
        <f>VLOOKUP(E1008,DATABASE!C:Q,4,false)</f>
        <v>Dunlop</v>
      </c>
      <c r="R1008" s="93" t="str">
        <f>VLOOKUP(E1008,DATABASE!C:Q,11,false)</f>
        <v>Tire</v>
      </c>
    </row>
    <row r="1009" ht="22.5" customHeight="1">
      <c r="A1009" s="49"/>
      <c r="C1009" s="384">
        <v>45715.0</v>
      </c>
      <c r="D1009" s="65">
        <v>4509.0</v>
      </c>
      <c r="E1009" s="445" t="s">
        <v>940</v>
      </c>
      <c r="F1009" s="386">
        <v>2.0</v>
      </c>
      <c r="G1009" s="74">
        <v>800000.0</v>
      </c>
      <c r="H1009" s="74">
        <v>0.0</v>
      </c>
      <c r="I1009" s="74">
        <f t="shared" si="1"/>
        <v>1600000</v>
      </c>
      <c r="J1009" s="74">
        <f>IF(E1009="SERVICE",I1009-(I1009*50%),Vlookup(E1009,DATABASE!C:Q,10,false)*F1009)</f>
        <v>0</v>
      </c>
      <c r="K1009" s="74">
        <f>VLOOKUP(E1009,DATABASE!C:Q,7,false)</f>
        <v>716500</v>
      </c>
      <c r="L1009" s="74">
        <v>709000.0</v>
      </c>
      <c r="M1009" s="74">
        <f t="shared" si="2"/>
        <v>710000</v>
      </c>
      <c r="N1009" s="74">
        <f t="shared" si="3"/>
        <v>180000</v>
      </c>
      <c r="O1009" s="65" t="str">
        <f>VLOOKUP(E1009,DATABASE!C:Q,8,false)</f>
        <v>IBU</v>
      </c>
      <c r="P1009" s="65">
        <f>VLOOKUP(E1009,DATABASE!C:Q,9,False)</f>
        <v>1</v>
      </c>
      <c r="Q1009" s="93" t="str">
        <f>VLOOKUP(E1009,DATABASE!C:Q,4,false)</f>
        <v>Dunlop</v>
      </c>
      <c r="R1009" s="93" t="str">
        <f>VLOOKUP(E1009,DATABASE!C:Q,11,false)</f>
        <v>Tire</v>
      </c>
    </row>
    <row r="1010" ht="22.5" customHeight="1">
      <c r="A1010" s="49"/>
      <c r="C1010" s="384">
        <v>45715.0</v>
      </c>
      <c r="D1010" s="65">
        <v>4509.0</v>
      </c>
      <c r="E1010" s="385" t="s">
        <v>299</v>
      </c>
      <c r="F1010" s="386">
        <v>2.0</v>
      </c>
      <c r="G1010" s="74">
        <v>30000.0</v>
      </c>
      <c r="H1010" s="74">
        <v>0.0</v>
      </c>
      <c r="I1010" s="74">
        <f t="shared" si="1"/>
        <v>60000</v>
      </c>
      <c r="J1010" s="74">
        <f>IF(E1010="SERVICE",I1010-(I1010*50%),Vlookup(E1010,DATABASE!C:Q,10,false)*F1010)</f>
        <v>0</v>
      </c>
      <c r="K1010" s="74">
        <v>0.0</v>
      </c>
      <c r="L1010" s="74">
        <v>0.0</v>
      </c>
      <c r="M1010" s="74">
        <f t="shared" si="2"/>
        <v>0</v>
      </c>
      <c r="N1010" s="74">
        <f t="shared" si="3"/>
        <v>60000</v>
      </c>
      <c r="O1010" s="65" t="str">
        <f>VLOOKUP(E1010,DATABASE!C:Q,8,false)</f>
        <v>BIAN</v>
      </c>
      <c r="P1010" s="65">
        <f>VLOOKUP(E1010,DATABASE!C:Q,9,False)</f>
        <v>0</v>
      </c>
      <c r="Q1010" s="93" t="str">
        <f>VLOOKUP(E1010,DATABASE!C:Q,4,false)</f>
        <v>Balancing</v>
      </c>
      <c r="R1010" s="93" t="str">
        <f>VLOOKUP(E1010,DATABASE!C:Q,11,false)</f>
        <v>COMPLEMENTARY</v>
      </c>
    </row>
    <row r="1011" ht="22.5" customHeight="1">
      <c r="A1011" s="49"/>
      <c r="C1011" s="384">
        <v>45715.0</v>
      </c>
      <c r="D1011" s="65">
        <v>4509.0</v>
      </c>
      <c r="E1011" s="445" t="s">
        <v>256</v>
      </c>
      <c r="F1011" s="386">
        <v>1.0</v>
      </c>
      <c r="G1011" s="74">
        <v>130000.0</v>
      </c>
      <c r="H1011" s="74">
        <v>0.0</v>
      </c>
      <c r="I1011" s="74">
        <f t="shared" si="1"/>
        <v>130000</v>
      </c>
      <c r="J1011" s="74">
        <f>IF(E1011="SERVICE",I1011-(I1011*50%),Vlookup(E1011,DATABASE!C:Q,10,false)*F1011)</f>
        <v>10000</v>
      </c>
      <c r="K1011" s="74">
        <f>VLOOKUP(E1011,DATABASE!C:Q,7,false)</f>
        <v>0</v>
      </c>
      <c r="L1011" s="74">
        <v>0.0</v>
      </c>
      <c r="M1011" s="74">
        <f t="shared" si="2"/>
        <v>0</v>
      </c>
      <c r="N1011" s="74">
        <f t="shared" si="3"/>
        <v>120000</v>
      </c>
      <c r="O1011" s="65" t="str">
        <f>VLOOKUP(E1011,DATABASE!C:Q,8,false)</f>
        <v>IBU</v>
      </c>
      <c r="P1011" s="65">
        <f>VLOOKUP(E1011,DATABASE!C:Q,9,False)</f>
        <v>0</v>
      </c>
      <c r="Q1011" s="93" t="str">
        <f>VLOOKUP(E1011,DATABASE!C:Q,4,false)</f>
        <v>SPOORING</v>
      </c>
      <c r="R1011" s="93" t="str">
        <f>VLOOKUP(E1011,DATABASE!C:Q,11,false)</f>
        <v>SERVICE</v>
      </c>
    </row>
    <row r="1012" ht="22.5" customHeight="1">
      <c r="A1012" s="49"/>
      <c r="C1012" s="384">
        <v>45715.0</v>
      </c>
      <c r="D1012" s="65">
        <v>4510.0</v>
      </c>
      <c r="E1012" s="445" t="s">
        <v>624</v>
      </c>
      <c r="F1012" s="386">
        <v>1.0</v>
      </c>
      <c r="G1012" s="74">
        <v>110000.0</v>
      </c>
      <c r="H1012" s="74">
        <v>0.0</v>
      </c>
      <c r="I1012" s="74">
        <f t="shared" si="1"/>
        <v>110000</v>
      </c>
      <c r="J1012" s="74">
        <f>IF(E1012="SERVICE",I1012-(I1012*50%),Vlookup(E1012,DATABASE!C:Q,10,false)*F1012)</f>
        <v>0</v>
      </c>
      <c r="K1012" s="74">
        <f>VLOOKUP(E1012,DATABASE!C:Q,7,false)</f>
        <v>60500</v>
      </c>
      <c r="L1012" s="74">
        <v>60500.0</v>
      </c>
      <c r="M1012" s="74">
        <f t="shared" si="2"/>
        <v>65000</v>
      </c>
      <c r="N1012" s="74">
        <f t="shared" si="3"/>
        <v>45000</v>
      </c>
      <c r="O1012" s="65" t="str">
        <f>VLOOKUP(E1012,DATABASE!C:Q,8,false)</f>
        <v>BIAN</v>
      </c>
      <c r="P1012" s="65">
        <f>VLOOKUP(E1012,DATABASE!C:Q,9,False)</f>
        <v>1</v>
      </c>
      <c r="Q1012" s="93" t="str">
        <f>VLOOKUP(E1012,DATABASE!C:Q,4,false)</f>
        <v>BD</v>
      </c>
      <c r="R1012" s="93" t="str">
        <f>VLOOKUP(E1012,DATABASE!C:Q,11,false)</f>
        <v>Tire</v>
      </c>
    </row>
    <row r="1013" ht="22.5" customHeight="1">
      <c r="A1013" s="49"/>
      <c r="C1013" s="384">
        <v>45715.0</v>
      </c>
      <c r="D1013" s="65">
        <v>4510.0</v>
      </c>
      <c r="E1013" s="445" t="s">
        <v>569</v>
      </c>
      <c r="F1013" s="386">
        <v>1.0</v>
      </c>
      <c r="G1013" s="74">
        <v>80000.0</v>
      </c>
      <c r="H1013" s="74">
        <v>0.0</v>
      </c>
      <c r="I1013" s="74">
        <f t="shared" si="1"/>
        <v>80000</v>
      </c>
      <c r="J1013" s="74">
        <f>IF(E1013="SERVICE",I1013-(I1013*50%),Vlookup(E1013,DATABASE!C:Q,10,false)*F1013)</f>
        <v>0</v>
      </c>
      <c r="K1013" s="74">
        <f>VLOOKUP(E1013,DATABASE!C:Q,7,false)</f>
        <v>45439.582</v>
      </c>
      <c r="L1013" s="74">
        <v>45309.6</v>
      </c>
      <c r="M1013" s="74">
        <f t="shared" si="2"/>
        <v>50000</v>
      </c>
      <c r="N1013" s="74">
        <f t="shared" si="3"/>
        <v>30000</v>
      </c>
      <c r="O1013" s="65" t="str">
        <f>VLOOKUP(E1013,DATABASE!C:Q,8,false)</f>
        <v>BIAN</v>
      </c>
      <c r="P1013" s="65">
        <f>VLOOKUP(E1013,DATABASE!C:Q,9,False)</f>
        <v>1</v>
      </c>
      <c r="Q1013" s="93" t="str">
        <f>VLOOKUP(E1013,DATABASE!C:Q,4,false)</f>
        <v>BD</v>
      </c>
      <c r="R1013" s="93" t="str">
        <f>VLOOKUP(E1013,DATABASE!C:Q,11,false)</f>
        <v>Tire</v>
      </c>
    </row>
    <row r="1014" ht="22.5" customHeight="1">
      <c r="A1014" s="49"/>
      <c r="C1014" s="384">
        <v>45715.0</v>
      </c>
      <c r="D1014" s="65">
        <v>4511.0</v>
      </c>
      <c r="E1014" s="445" t="s">
        <v>937</v>
      </c>
      <c r="F1014" s="386">
        <v>1.0</v>
      </c>
      <c r="G1014" s="74">
        <v>900000.0</v>
      </c>
      <c r="H1014" s="74">
        <v>0.0</v>
      </c>
      <c r="I1014" s="74">
        <f t="shared" si="1"/>
        <v>900000</v>
      </c>
      <c r="J1014" s="74">
        <f>IF(E1014="SERVICE",I1014-(I1014*50%),Vlookup(E1014,DATABASE!C:Q,10,false)*F1014)</f>
        <v>0</v>
      </c>
      <c r="K1014" s="74">
        <f>VLOOKUP(E1014,DATABASE!C:Q,7,false)</f>
        <v>825000</v>
      </c>
      <c r="L1014" s="74">
        <v>790000.0</v>
      </c>
      <c r="M1014" s="74">
        <f t="shared" si="2"/>
        <v>790000</v>
      </c>
      <c r="N1014" s="74">
        <f t="shared" si="3"/>
        <v>110000</v>
      </c>
      <c r="O1014" s="65" t="str">
        <f>VLOOKUP(E1014,DATABASE!C:Q,8,false)</f>
        <v>IBU</v>
      </c>
      <c r="P1014" s="65">
        <f>VLOOKUP(E1014,DATABASE!C:Q,9,False)</f>
        <v>1</v>
      </c>
      <c r="Q1014" s="93" t="str">
        <f>VLOOKUP(E1014,DATABASE!C:Q,4,false)</f>
        <v>Bridgestone</v>
      </c>
      <c r="R1014" s="93" t="str">
        <f>VLOOKUP(E1014,DATABASE!C:Q,11,false)</f>
        <v>Tire</v>
      </c>
    </row>
    <row r="1015" ht="22.5" customHeight="1">
      <c r="A1015" s="49"/>
      <c r="C1015" s="384">
        <v>45715.0</v>
      </c>
      <c r="D1015" s="65">
        <v>4512.0</v>
      </c>
      <c r="E1015" s="445" t="s">
        <v>301</v>
      </c>
      <c r="F1015" s="386">
        <v>1.0</v>
      </c>
      <c r="G1015" s="74">
        <v>250000.0</v>
      </c>
      <c r="H1015" s="74">
        <v>0.0</v>
      </c>
      <c r="I1015" s="74">
        <f t="shared" si="1"/>
        <v>250000</v>
      </c>
      <c r="J1015" s="74">
        <f>IF(E1015="SERVICE",I1015-(I1015*50%),Vlookup(E1015,DATABASE!C:Q,10,false)*F1015)</f>
        <v>75000</v>
      </c>
      <c r="K1015" s="74">
        <f>VLOOKUP(E1015,DATABASE!C:Q,7,false)</f>
        <v>75000</v>
      </c>
      <c r="L1015" s="74">
        <v>75000.0</v>
      </c>
      <c r="M1015" s="74">
        <f t="shared" si="2"/>
        <v>75000</v>
      </c>
      <c r="N1015" s="74">
        <f t="shared" si="3"/>
        <v>100000</v>
      </c>
      <c r="O1015" s="65" t="str">
        <f>VLOOKUP(E1015,DATABASE!C:Q,8,false)</f>
        <v>BIAN</v>
      </c>
      <c r="P1015" s="65">
        <f>VLOOKUP(E1015,DATABASE!C:Q,9,False)</f>
        <v>0</v>
      </c>
      <c r="Q1015" s="93" t="str">
        <f>VLOOKUP(E1015,DATABASE!C:Q,4,false)</f>
        <v>Baut Camber</v>
      </c>
      <c r="R1015" s="93" t="str">
        <f>VLOOKUP(E1015,DATABASE!C:Q,11,false)</f>
        <v>COMPLEMENTARY</v>
      </c>
    </row>
    <row r="1016" ht="22.5" customHeight="1">
      <c r="A1016" s="49"/>
      <c r="C1016" s="384">
        <v>45715.0</v>
      </c>
      <c r="D1016" s="65">
        <v>4512.0</v>
      </c>
      <c r="E1016" s="445" t="s">
        <v>251</v>
      </c>
      <c r="F1016" s="386">
        <v>1.0</v>
      </c>
      <c r="G1016" s="74">
        <v>100000.0</v>
      </c>
      <c r="H1016" s="74">
        <v>0.0</v>
      </c>
      <c r="I1016" s="74">
        <f t="shared" si="1"/>
        <v>100000</v>
      </c>
      <c r="J1016" s="74">
        <f>IF(E1016="SERVICE",I1016-(I1016*50%),Vlookup(E1016,DATABASE!C:Q,10,false)*F1016)</f>
        <v>50000</v>
      </c>
      <c r="K1016" s="74">
        <f>VLOOKUP(E1016,DATABASE!C:Q,7,false)</f>
        <v>0</v>
      </c>
      <c r="L1016" s="74">
        <v>0.0</v>
      </c>
      <c r="M1016" s="74">
        <f t="shared" si="2"/>
        <v>0</v>
      </c>
      <c r="N1016" s="74">
        <f t="shared" si="3"/>
        <v>50000</v>
      </c>
      <c r="O1016" s="65" t="str">
        <f>VLOOKUP(E1016,DATABASE!C:Q,8,false)</f>
        <v>IBU</v>
      </c>
      <c r="P1016" s="65">
        <f>VLOOKUP(E1016,DATABASE!C:Q,9,False)</f>
        <v>0</v>
      </c>
      <c r="Q1016" s="93" t="str">
        <f>VLOOKUP(E1016,DATABASE!C:Q,4,false)</f>
        <v>SERVICE</v>
      </c>
      <c r="R1016" s="93" t="str">
        <f>VLOOKUP(E1016,DATABASE!C:Q,11,false)</f>
        <v>SERVICE</v>
      </c>
    </row>
    <row r="1017" ht="22.5" customHeight="1">
      <c r="A1017" s="49"/>
      <c r="C1017" s="384">
        <v>45715.0</v>
      </c>
      <c r="D1017" s="65">
        <v>4513.0</v>
      </c>
      <c r="E1017" s="445" t="s">
        <v>265</v>
      </c>
      <c r="F1017" s="386">
        <v>2.0</v>
      </c>
      <c r="G1017" s="74">
        <v>670000.0</v>
      </c>
      <c r="H1017" s="74">
        <v>0.0</v>
      </c>
      <c r="I1017" s="74">
        <f t="shared" si="1"/>
        <v>1340000</v>
      </c>
      <c r="J1017" s="74">
        <f>IF(E1017="SERVICE",I1017-(I1017*50%),Vlookup(E1017,DATABASE!C:Q,10,false)*F1017)</f>
        <v>0</v>
      </c>
      <c r="K1017" s="74">
        <v>590000.0</v>
      </c>
      <c r="L1017" s="74">
        <v>590000.0</v>
      </c>
      <c r="M1017" s="74">
        <f t="shared" si="2"/>
        <v>590000</v>
      </c>
      <c r="N1017" s="74">
        <f t="shared" si="3"/>
        <v>160000</v>
      </c>
      <c r="O1017" s="65" t="str">
        <f>VLOOKUP(E1017,DATABASE!C:Q,8,false)</f>
        <v>IBU</v>
      </c>
      <c r="P1017" s="65">
        <f>VLOOKUP(E1017,DATABASE!C:Q,9,False)</f>
        <v>1</v>
      </c>
      <c r="Q1017" s="93" t="str">
        <f>VLOOKUP(E1017,DATABASE!C:Q,4,false)</f>
        <v>Dunlop</v>
      </c>
      <c r="R1017" s="93" t="str">
        <f>VLOOKUP(E1017,DATABASE!C:Q,11,false)</f>
        <v>Tire</v>
      </c>
    </row>
    <row r="1018" ht="22.5" customHeight="1">
      <c r="A1018" s="49"/>
      <c r="C1018" s="384">
        <v>45715.0</v>
      </c>
      <c r="D1018" s="65">
        <v>4514.0</v>
      </c>
      <c r="E1018" s="445" t="s">
        <v>955</v>
      </c>
      <c r="F1018" s="386">
        <v>1.0</v>
      </c>
      <c r="G1018" s="74">
        <v>780000.0</v>
      </c>
      <c r="H1018" s="74">
        <v>0.0</v>
      </c>
      <c r="I1018" s="74">
        <f t="shared" si="1"/>
        <v>780000</v>
      </c>
      <c r="J1018" s="74">
        <f>IF(E1018="SERVICE",I1018-(I1018*50%),Vlookup(E1018,DATABASE!C:Q,10,false)*F1018)</f>
        <v>0</v>
      </c>
      <c r="K1018" s="74">
        <f>VLOOKUP(E1018,DATABASE!C:Q,7,false)</f>
        <v>712000</v>
      </c>
      <c r="L1018" s="74">
        <v>674000.0</v>
      </c>
      <c r="M1018" s="74">
        <f t="shared" si="2"/>
        <v>675000</v>
      </c>
      <c r="N1018" s="74">
        <f t="shared" si="3"/>
        <v>105000</v>
      </c>
      <c r="O1018" s="65" t="str">
        <f>VLOOKUP(E1018,DATABASE!C:Q,8,false)</f>
        <v>IBU</v>
      </c>
      <c r="P1018" s="65">
        <f>VLOOKUP(E1018,DATABASE!C:Q,9,False)</f>
        <v>1</v>
      </c>
      <c r="Q1018" s="93" t="str">
        <f>VLOOKUP(E1018,DATABASE!C:Q,4,false)</f>
        <v>Dunlop</v>
      </c>
      <c r="R1018" s="93" t="str">
        <f>VLOOKUP(E1018,DATABASE!C:Q,11,false)</f>
        <v>Tire</v>
      </c>
    </row>
    <row r="1019" ht="22.5" customHeight="1">
      <c r="A1019" s="49"/>
      <c r="C1019" s="384">
        <v>45715.0</v>
      </c>
      <c r="D1019" s="65">
        <v>4514.0</v>
      </c>
      <c r="E1019" s="445" t="s">
        <v>271</v>
      </c>
      <c r="F1019" s="386">
        <v>1.0</v>
      </c>
      <c r="G1019" s="74">
        <v>635000.0</v>
      </c>
      <c r="H1019" s="74">
        <v>0.0</v>
      </c>
      <c r="I1019" s="74">
        <f t="shared" si="1"/>
        <v>635000</v>
      </c>
      <c r="J1019" s="74">
        <f>IF(E1019="SERVICE",I1019-(I1019*50%),Vlookup(E1019,DATABASE!C:Q,10,false)*F1019)</f>
        <v>0</v>
      </c>
      <c r="K1019" s="74">
        <f>VLOOKUP(E1019,DATABASE!C:Q,7,false)</f>
        <v>570000</v>
      </c>
      <c r="L1019" s="74">
        <v>539000.0</v>
      </c>
      <c r="M1019" s="74">
        <f t="shared" si="2"/>
        <v>540000</v>
      </c>
      <c r="N1019" s="74">
        <f t="shared" si="3"/>
        <v>95000</v>
      </c>
      <c r="O1019" s="65" t="str">
        <f>VLOOKUP(E1019,DATABASE!C:Q,8,false)</f>
        <v>IBU</v>
      </c>
      <c r="P1019" s="65">
        <f>VLOOKUP(E1019,DATABASE!C:Q,9,False)</f>
        <v>1</v>
      </c>
      <c r="Q1019" s="93" t="str">
        <f>VLOOKUP(E1019,DATABASE!C:Q,4,false)</f>
        <v>Dunlop</v>
      </c>
      <c r="R1019" s="93" t="str">
        <f>VLOOKUP(E1019,DATABASE!C:Q,11,false)</f>
        <v>Tire</v>
      </c>
    </row>
    <row r="1020" ht="22.5" customHeight="1">
      <c r="A1020" s="49"/>
      <c r="C1020" s="384">
        <v>45715.0</v>
      </c>
      <c r="D1020" s="65">
        <v>4516.0</v>
      </c>
      <c r="E1020" s="445" t="s">
        <v>781</v>
      </c>
      <c r="F1020" s="386">
        <v>2.0</v>
      </c>
      <c r="G1020" s="74">
        <v>530000.0</v>
      </c>
      <c r="H1020" s="74">
        <v>0.0</v>
      </c>
      <c r="I1020" s="74">
        <f t="shared" si="1"/>
        <v>1060000</v>
      </c>
      <c r="J1020" s="74">
        <f>IF(E1020="SERVICE",I1020-(I1020*50%),Vlookup(E1020,DATABASE!C:Q,10,false)*F1020)</f>
        <v>0</v>
      </c>
      <c r="K1020" s="74">
        <f>VLOOKUP(E1020,DATABASE!C:Q,7,false)</f>
        <v>470000</v>
      </c>
      <c r="L1020" s="74">
        <v>442500.0</v>
      </c>
      <c r="M1020" s="74">
        <f t="shared" si="2"/>
        <v>445000</v>
      </c>
      <c r="N1020" s="74">
        <f t="shared" si="3"/>
        <v>170000</v>
      </c>
      <c r="O1020" s="65" t="str">
        <f>VLOOKUP(E1020,DATABASE!C:Q,8,false)</f>
        <v>BIAN</v>
      </c>
      <c r="P1020" s="65">
        <f>VLOOKUP(E1020,DATABASE!C:Q,9,False)</f>
        <v>1</v>
      </c>
      <c r="Q1020" s="93" t="str">
        <f>VLOOKUP(E1020,DATABASE!C:Q,4,false)</f>
        <v>GT</v>
      </c>
      <c r="R1020" s="93" t="str">
        <f>VLOOKUP(E1020,DATABASE!C:Q,11,false)</f>
        <v>Tire</v>
      </c>
    </row>
    <row r="1021" ht="22.5" customHeight="1">
      <c r="A1021" s="49"/>
      <c r="C1021" s="384">
        <v>45715.0</v>
      </c>
      <c r="D1021" s="65">
        <v>4517.0</v>
      </c>
      <c r="E1021" s="445" t="s">
        <v>282</v>
      </c>
      <c r="F1021" s="386">
        <v>2.0</v>
      </c>
      <c r="G1021" s="74">
        <v>870000.0</v>
      </c>
      <c r="H1021" s="74">
        <v>0.0</v>
      </c>
      <c r="I1021" s="74">
        <f t="shared" si="1"/>
        <v>1740000</v>
      </c>
      <c r="J1021" s="74">
        <f>IF(E1021="SERVICE",I1021-(I1021*50%),Vlookup(E1021,DATABASE!C:Q,10,false)*F1021)</f>
        <v>0</v>
      </c>
      <c r="K1021" s="74">
        <f>VLOOKUP(E1021,DATABASE!C:Q,7,false)</f>
        <v>779500</v>
      </c>
      <c r="L1021" s="74">
        <v>771000.0</v>
      </c>
      <c r="M1021" s="74">
        <f t="shared" si="2"/>
        <v>775000</v>
      </c>
      <c r="N1021" s="74">
        <f t="shared" si="3"/>
        <v>190000</v>
      </c>
      <c r="O1021" s="65" t="str">
        <f>VLOOKUP(E1021,DATABASE!C:Q,8,false)</f>
        <v>IBU</v>
      </c>
      <c r="P1021" s="65">
        <f>VLOOKUP(E1021,DATABASE!C:Q,9,False)</f>
        <v>1</v>
      </c>
      <c r="Q1021" s="93" t="str">
        <f>VLOOKUP(E1021,DATABASE!C:Q,4,false)</f>
        <v>Dunlop</v>
      </c>
      <c r="R1021" s="93" t="str">
        <f>VLOOKUP(E1021,DATABASE!C:Q,11,false)</f>
        <v>Tire</v>
      </c>
    </row>
    <row r="1022" ht="22.5" customHeight="1">
      <c r="A1022" s="49"/>
      <c r="C1022" s="384">
        <v>45715.0</v>
      </c>
      <c r="D1022" s="65">
        <v>4518.0</v>
      </c>
      <c r="E1022" s="445" t="s">
        <v>781</v>
      </c>
      <c r="F1022" s="386">
        <v>2.0</v>
      </c>
      <c r="G1022" s="74">
        <v>530000.0</v>
      </c>
      <c r="H1022" s="74">
        <v>0.0</v>
      </c>
      <c r="I1022" s="74">
        <f t="shared" si="1"/>
        <v>1060000</v>
      </c>
      <c r="J1022" s="74">
        <f>IF(E1022="SERVICE",I1022-(I1022*50%),Vlookup(E1022,DATABASE!C:Q,10,false)*F1022)</f>
        <v>0</v>
      </c>
      <c r="K1022" s="74">
        <f>VLOOKUP(E1022,DATABASE!C:Q,7,false)</f>
        <v>470000</v>
      </c>
      <c r="L1022" s="74">
        <v>442500.0</v>
      </c>
      <c r="M1022" s="74">
        <f t="shared" si="2"/>
        <v>445000</v>
      </c>
      <c r="N1022" s="74">
        <f t="shared" si="3"/>
        <v>170000</v>
      </c>
      <c r="O1022" s="65" t="str">
        <f>VLOOKUP(E1022,DATABASE!C:Q,8,false)</f>
        <v>BIAN</v>
      </c>
      <c r="P1022" s="65">
        <f>VLOOKUP(E1022,DATABASE!C:Q,9,False)</f>
        <v>1</v>
      </c>
      <c r="Q1022" s="93" t="str">
        <f>VLOOKUP(E1022,DATABASE!C:Q,4,false)</f>
        <v>GT</v>
      </c>
      <c r="R1022" s="93" t="str">
        <f>VLOOKUP(E1022,DATABASE!C:Q,11,false)</f>
        <v>Tire</v>
      </c>
    </row>
    <row r="1023" ht="22.5" customHeight="1">
      <c r="A1023" s="49"/>
      <c r="C1023" s="384">
        <v>45715.0</v>
      </c>
      <c r="D1023" s="65">
        <v>4519.0</v>
      </c>
      <c r="E1023" s="445" t="s">
        <v>256</v>
      </c>
      <c r="F1023" s="386">
        <v>1.0</v>
      </c>
      <c r="G1023" s="74">
        <v>130000.0</v>
      </c>
      <c r="H1023" s="74">
        <v>0.0</v>
      </c>
      <c r="I1023" s="74">
        <f t="shared" si="1"/>
        <v>130000</v>
      </c>
      <c r="J1023" s="74">
        <f>IF(E1023="SERVICE",I1023-(I1023*50%),Vlookup(E1023,DATABASE!C:Q,10,false)*F1023)</f>
        <v>10000</v>
      </c>
      <c r="K1023" s="74">
        <f>VLOOKUP(E1023,DATABASE!C:Q,7,false)</f>
        <v>0</v>
      </c>
      <c r="L1023" s="74">
        <v>0.0</v>
      </c>
      <c r="M1023" s="74">
        <f t="shared" si="2"/>
        <v>0</v>
      </c>
      <c r="N1023" s="74">
        <f t="shared" si="3"/>
        <v>120000</v>
      </c>
      <c r="O1023" s="65" t="str">
        <f>VLOOKUP(E1023,DATABASE!C:Q,8,false)</f>
        <v>IBU</v>
      </c>
      <c r="P1023" s="65">
        <f>VLOOKUP(E1023,DATABASE!C:Q,9,False)</f>
        <v>0</v>
      </c>
      <c r="Q1023" s="93" t="str">
        <f>VLOOKUP(E1023,DATABASE!C:Q,4,false)</f>
        <v>SPOORING</v>
      </c>
      <c r="R1023" s="93" t="str">
        <f>VLOOKUP(E1023,DATABASE!C:Q,11,false)</f>
        <v>SERVICE</v>
      </c>
    </row>
    <row r="1024" ht="22.5" customHeight="1">
      <c r="A1024" s="49"/>
      <c r="C1024" s="384">
        <v>45715.0</v>
      </c>
      <c r="D1024" s="65">
        <v>4520.0</v>
      </c>
      <c r="E1024" s="445" t="s">
        <v>566</v>
      </c>
      <c r="F1024" s="386">
        <v>2.0</v>
      </c>
      <c r="G1024" s="74">
        <v>1670000.0</v>
      </c>
      <c r="H1024" s="74">
        <v>0.0</v>
      </c>
      <c r="I1024" s="74">
        <f t="shared" si="1"/>
        <v>3340000</v>
      </c>
      <c r="J1024" s="74">
        <f>IF(E1024="SERVICE",I1024-(I1024*50%),Vlookup(E1024,DATABASE!C:Q,10,false)*F1024)</f>
        <v>0</v>
      </c>
      <c r="K1024" s="140">
        <v>1570000.0</v>
      </c>
      <c r="L1024" s="140">
        <v>1570000.0</v>
      </c>
      <c r="M1024" s="74">
        <f t="shared" si="2"/>
        <v>1570000</v>
      </c>
      <c r="N1024" s="74">
        <f t="shared" si="3"/>
        <v>200000</v>
      </c>
      <c r="O1024" s="65" t="str">
        <f>VLOOKUP(E1024,DATABASE!C:Q,8,false)</f>
        <v>IBU</v>
      </c>
      <c r="P1024" s="65">
        <f>VLOOKUP(E1024,DATABASE!C:Q,9,False)</f>
        <v>1</v>
      </c>
      <c r="Q1024" s="93" t="str">
        <f>VLOOKUP(E1024,DATABASE!C:Q,4,false)</f>
        <v>Bridgestone</v>
      </c>
      <c r="R1024" s="93" t="str">
        <f>VLOOKUP(E1024,DATABASE!C:Q,11,false)</f>
        <v>Tire</v>
      </c>
    </row>
    <row r="1025" ht="22.5" customHeight="1">
      <c r="A1025" s="49"/>
      <c r="C1025" s="384">
        <v>45715.0</v>
      </c>
      <c r="D1025" s="65">
        <v>4520.0</v>
      </c>
      <c r="E1025" s="445" t="s">
        <v>744</v>
      </c>
      <c r="F1025" s="386">
        <v>2.0</v>
      </c>
      <c r="G1025" s="74">
        <v>230000.0</v>
      </c>
      <c r="H1025" s="74">
        <v>0.0</v>
      </c>
      <c r="I1025" s="74">
        <f t="shared" si="1"/>
        <v>460000</v>
      </c>
      <c r="J1025" s="74">
        <f>IF(E1025="SERVICE",I1025-(I1025*50%),Vlookup(E1025,DATABASE!C:Q,10,false)*F1025)</f>
        <v>0</v>
      </c>
      <c r="K1025" s="74">
        <f>VLOOKUP(E1025,DATABASE!C:Q,7,false)</f>
        <v>182200</v>
      </c>
      <c r="L1025" s="74">
        <v>199920.0</v>
      </c>
      <c r="M1025" s="74">
        <f t="shared" si="2"/>
        <v>200000</v>
      </c>
      <c r="N1025" s="74">
        <f t="shared" si="3"/>
        <v>60000</v>
      </c>
      <c r="O1025" s="65" t="str">
        <f>VLOOKUP(E1025,DATABASE!C:Q,8,false)</f>
        <v>BIAN</v>
      </c>
      <c r="P1025" s="65">
        <f>VLOOKUP(E1025,DATABASE!C:Q,9,False)</f>
        <v>1</v>
      </c>
      <c r="Q1025" s="93" t="str">
        <f>VLOOKUP(E1025,DATABASE!C:Q,4,false)</f>
        <v>BD</v>
      </c>
      <c r="R1025" s="93" t="str">
        <f>VLOOKUP(E1025,DATABASE!C:Q,11,false)</f>
        <v>Tire</v>
      </c>
    </row>
    <row r="1026" ht="22.5" customHeight="1">
      <c r="A1026" s="49"/>
      <c r="C1026" s="384">
        <v>45715.0</v>
      </c>
      <c r="D1026" s="65">
        <v>4520.0</v>
      </c>
      <c r="E1026" s="445" t="s">
        <v>821</v>
      </c>
      <c r="F1026" s="386">
        <v>2.0</v>
      </c>
      <c r="G1026" s="74">
        <v>80000.0</v>
      </c>
      <c r="H1026" s="74">
        <v>0.0</v>
      </c>
      <c r="I1026" s="74">
        <f t="shared" si="1"/>
        <v>160000</v>
      </c>
      <c r="J1026" s="74">
        <f>IF(E1026="SERVICE",I1026-(I1026*50%),Vlookup(E1026,DATABASE!C:Q,10,false)*F1026)</f>
        <v>0</v>
      </c>
      <c r="K1026" s="74">
        <f>VLOOKUP(E1026,DATABASE!C:Q,7,false)</f>
        <v>43500</v>
      </c>
      <c r="L1026" s="74">
        <v>43520.0</v>
      </c>
      <c r="M1026" s="74">
        <f t="shared" si="2"/>
        <v>45000</v>
      </c>
      <c r="N1026" s="74">
        <f t="shared" si="3"/>
        <v>70000</v>
      </c>
      <c r="O1026" s="65" t="str">
        <f>VLOOKUP(E1026,DATABASE!C:Q,8,false)</f>
        <v>BIAN</v>
      </c>
      <c r="P1026" s="65">
        <f>VLOOKUP(E1026,DATABASE!C:Q,9,False)</f>
        <v>1</v>
      </c>
      <c r="Q1026" s="93" t="str">
        <f>VLOOKUP(E1026,DATABASE!C:Q,4,false)</f>
        <v>Flap</v>
      </c>
      <c r="R1026" s="93" t="str">
        <f>VLOOKUP(E1026,DATABASE!C:Q,11,false)</f>
        <v>Tire</v>
      </c>
    </row>
    <row r="1027" ht="22.5" customHeight="1">
      <c r="A1027" s="49"/>
      <c r="C1027" s="384">
        <v>45715.0</v>
      </c>
      <c r="D1027" s="65">
        <v>4521.0</v>
      </c>
      <c r="E1027" s="445" t="s">
        <v>262</v>
      </c>
      <c r="F1027" s="386">
        <v>1.0</v>
      </c>
      <c r="G1027" s="74">
        <v>110000.0</v>
      </c>
      <c r="H1027" s="74">
        <v>0.0</v>
      </c>
      <c r="I1027" s="74">
        <f t="shared" si="1"/>
        <v>110000</v>
      </c>
      <c r="J1027" s="74">
        <f>IF(E1027="SERVICE",I1027-(I1027*50%),Vlookup(E1027,DATABASE!C:Q,10,false)*F1027)</f>
        <v>5000</v>
      </c>
      <c r="K1027" s="74">
        <f>VLOOKUP(E1027,DATABASE!C:Q,7,false)</f>
        <v>0</v>
      </c>
      <c r="L1027" s="74">
        <v>0.0</v>
      </c>
      <c r="M1027" s="74">
        <f t="shared" si="2"/>
        <v>0</v>
      </c>
      <c r="N1027" s="74">
        <f t="shared" si="3"/>
        <v>105000</v>
      </c>
      <c r="O1027" s="65" t="str">
        <f>VLOOKUP(E1027,DATABASE!C:Q,8,false)</f>
        <v>IBU</v>
      </c>
      <c r="P1027" s="65">
        <f>VLOOKUP(E1027,DATABASE!C:Q,9,False)</f>
        <v>0</v>
      </c>
      <c r="Q1027" s="93" t="str">
        <f>VLOOKUP(E1027,DATABASE!C:Q,4,false)</f>
        <v>SPOORING SS/CARRY LOS BAK</v>
      </c>
      <c r="R1027" s="93" t="str">
        <f>VLOOKUP(E1027,DATABASE!C:Q,11,false)</f>
        <v>SERVICE</v>
      </c>
    </row>
    <row r="1028" ht="22.5" customHeight="1">
      <c r="A1028" s="49"/>
      <c r="C1028" s="384">
        <v>45715.0</v>
      </c>
      <c r="D1028" s="65">
        <v>4521.0</v>
      </c>
      <c r="E1028" s="445" t="s">
        <v>478</v>
      </c>
      <c r="F1028" s="386">
        <v>2.0</v>
      </c>
      <c r="G1028" s="74">
        <v>200000.0</v>
      </c>
      <c r="H1028" s="74">
        <v>0.0</v>
      </c>
      <c r="I1028" s="74">
        <f t="shared" si="1"/>
        <v>400000</v>
      </c>
      <c r="J1028" s="74">
        <f>IF(E1028="SERVICE",I1028-(I1028*50%),Vlookup(E1028,DATABASE!C:Q,10,false)*F1028)</f>
        <v>50000</v>
      </c>
      <c r="K1028" s="74">
        <f>VLOOKUP(E1028,DATABASE!C:Q,7,false)</f>
        <v>75000</v>
      </c>
      <c r="L1028" s="74">
        <v>75000.0</v>
      </c>
      <c r="M1028" s="74">
        <f t="shared" si="2"/>
        <v>75000</v>
      </c>
      <c r="N1028" s="74">
        <f t="shared" si="3"/>
        <v>200000</v>
      </c>
      <c r="O1028" s="65" t="str">
        <f>VLOOKUP(E1028,DATABASE!C:Q,8,false)</f>
        <v>BIAN</v>
      </c>
      <c r="P1028" s="65">
        <f>VLOOKUP(E1028,DATABASE!C:Q,9,False)</f>
        <v>0</v>
      </c>
      <c r="Q1028" s="93" t="str">
        <f>VLOOKUP(E1028,DATABASE!C:Q,4,false)</f>
        <v>Baut Camber ss-carry</v>
      </c>
      <c r="R1028" s="93" t="str">
        <f>VLOOKUP(E1028,DATABASE!C:Q,11,false)</f>
        <v>COMPLEMENTARY</v>
      </c>
    </row>
    <row r="1029" ht="22.5" customHeight="1">
      <c r="A1029" s="49"/>
      <c r="C1029" s="384">
        <v>45716.0</v>
      </c>
      <c r="D1029" s="65">
        <v>4523.0</v>
      </c>
      <c r="E1029" s="445" t="s">
        <v>897</v>
      </c>
      <c r="F1029" s="386">
        <v>2.0</v>
      </c>
      <c r="G1029" s="74">
        <v>1600000.0</v>
      </c>
      <c r="H1029" s="74">
        <v>0.0</v>
      </c>
      <c r="I1029" s="74">
        <f t="shared" si="1"/>
        <v>3200000</v>
      </c>
      <c r="J1029" s="74">
        <f>IF(E1029="SERVICE",I1029-(I1029*50%),Vlookup(E1029,DATABASE!C:Q,10,false)*F1029)</f>
        <v>0</v>
      </c>
      <c r="K1029" s="74">
        <f>VLOOKUP(E1029,DATABASE!C:Q,7,false)</f>
        <v>1560000</v>
      </c>
      <c r="L1029" s="74">
        <v>1500000.0</v>
      </c>
      <c r="M1029" s="74">
        <f t="shared" si="2"/>
        <v>1500000</v>
      </c>
      <c r="N1029" s="74">
        <f t="shared" si="3"/>
        <v>200000</v>
      </c>
      <c r="O1029" s="65" t="str">
        <f>VLOOKUP(E1029,DATABASE!C:Q,8,false)</f>
        <v>BIAN</v>
      </c>
      <c r="P1029" s="65">
        <f>VLOOKUP(E1029,DATABASE!C:Q,9,False)</f>
        <v>1</v>
      </c>
      <c r="Q1029" s="93" t="str">
        <f>VLOOKUP(E1029,DATABASE!C:Q,4,false)</f>
        <v>GT</v>
      </c>
      <c r="R1029" s="93" t="str">
        <f>VLOOKUP(E1029,DATABASE!C:Q,11,false)</f>
        <v>Tire</v>
      </c>
    </row>
    <row r="1030" ht="22.5" customHeight="1">
      <c r="A1030" s="49"/>
      <c r="C1030" s="384">
        <v>45716.0</v>
      </c>
      <c r="D1030" s="65">
        <v>4523.0</v>
      </c>
      <c r="E1030" s="445" t="s">
        <v>744</v>
      </c>
      <c r="F1030" s="386">
        <v>1.0</v>
      </c>
      <c r="G1030" s="74">
        <v>230000.0</v>
      </c>
      <c r="H1030" s="74">
        <v>0.0</v>
      </c>
      <c r="I1030" s="74">
        <f t="shared" si="1"/>
        <v>230000</v>
      </c>
      <c r="J1030" s="74">
        <f>IF(E1030="SERVICE",I1030-(I1030*50%),Vlookup(E1030,DATABASE!C:Q,10,false)*F1030)</f>
        <v>0</v>
      </c>
      <c r="K1030" s="74">
        <f>VLOOKUP(E1030,DATABASE!C:Q,7,false)</f>
        <v>182200</v>
      </c>
      <c r="L1030" s="74">
        <v>199920.0</v>
      </c>
      <c r="M1030" s="74">
        <f t="shared" si="2"/>
        <v>200000</v>
      </c>
      <c r="N1030" s="74">
        <f t="shared" si="3"/>
        <v>30000</v>
      </c>
      <c r="O1030" s="65" t="str">
        <f>VLOOKUP(E1030,DATABASE!C:Q,8,false)</f>
        <v>BIAN</v>
      </c>
      <c r="P1030" s="65">
        <f>VLOOKUP(E1030,DATABASE!C:Q,9,False)</f>
        <v>1</v>
      </c>
      <c r="Q1030" s="93" t="str">
        <f>VLOOKUP(E1030,DATABASE!C:Q,4,false)</f>
        <v>BD</v>
      </c>
      <c r="R1030" s="93" t="str">
        <f>VLOOKUP(E1030,DATABASE!C:Q,11,false)</f>
        <v>Tire</v>
      </c>
    </row>
    <row r="1031" ht="22.5" customHeight="1">
      <c r="A1031" s="49"/>
      <c r="C1031" s="384">
        <v>45716.0</v>
      </c>
      <c r="D1031" s="65">
        <v>4523.0</v>
      </c>
      <c r="E1031" s="445" t="s">
        <v>821</v>
      </c>
      <c r="F1031" s="386">
        <v>2.0</v>
      </c>
      <c r="G1031" s="74">
        <v>80000.0</v>
      </c>
      <c r="H1031" s="74">
        <v>0.0</v>
      </c>
      <c r="I1031" s="74">
        <f t="shared" si="1"/>
        <v>160000</v>
      </c>
      <c r="J1031" s="74">
        <f>IF(E1031="SERVICE",I1031-(I1031*50%),Vlookup(E1031,DATABASE!C:Q,10,false)*F1031)</f>
        <v>0</v>
      </c>
      <c r="K1031" s="74">
        <f>VLOOKUP(E1031,DATABASE!C:Q,7,false)</f>
        <v>43500</v>
      </c>
      <c r="L1031" s="74">
        <v>43520.0</v>
      </c>
      <c r="M1031" s="74">
        <f t="shared" si="2"/>
        <v>45000</v>
      </c>
      <c r="N1031" s="74">
        <f t="shared" si="3"/>
        <v>70000</v>
      </c>
      <c r="O1031" s="65" t="str">
        <f>VLOOKUP(E1031,DATABASE!C:Q,8,false)</f>
        <v>BIAN</v>
      </c>
      <c r="P1031" s="65">
        <f>VLOOKUP(E1031,DATABASE!C:Q,9,False)</f>
        <v>1</v>
      </c>
      <c r="Q1031" s="93" t="str">
        <f>VLOOKUP(E1031,DATABASE!C:Q,4,false)</f>
        <v>Flap</v>
      </c>
      <c r="R1031" s="93" t="str">
        <f>VLOOKUP(E1031,DATABASE!C:Q,11,false)</f>
        <v>Tire</v>
      </c>
    </row>
    <row r="1032" ht="22.5" customHeight="1">
      <c r="A1032" s="49"/>
      <c r="C1032" s="384">
        <v>45716.0</v>
      </c>
      <c r="D1032" s="65">
        <v>4524.0</v>
      </c>
      <c r="E1032" s="445" t="s">
        <v>572</v>
      </c>
      <c r="F1032" s="386">
        <v>2.0</v>
      </c>
      <c r="G1032" s="74">
        <v>1370000.0</v>
      </c>
      <c r="H1032" s="74">
        <v>0.0</v>
      </c>
      <c r="I1032" s="74">
        <f t="shared" si="1"/>
        <v>2740000</v>
      </c>
      <c r="J1032" s="74">
        <f>IF(E1032="SERVICE",I1032-(I1032*50%),Vlookup(E1032,DATABASE!C:Q,10,false)*F1032)</f>
        <v>0</v>
      </c>
      <c r="K1032" s="140">
        <v>1270000.0</v>
      </c>
      <c r="L1032" s="140">
        <v>1270000.0</v>
      </c>
      <c r="M1032" s="74">
        <f t="shared" si="2"/>
        <v>1270000</v>
      </c>
      <c r="N1032" s="74">
        <f t="shared" si="3"/>
        <v>200000</v>
      </c>
      <c r="O1032" s="65" t="str">
        <f>VLOOKUP(E1032,DATABASE!C:Q,8,false)</f>
        <v>IBU</v>
      </c>
      <c r="P1032" s="65">
        <f>VLOOKUP(E1032,DATABASE!C:Q,9,False)</f>
        <v>1</v>
      </c>
      <c r="Q1032" s="93" t="str">
        <f>VLOOKUP(E1032,DATABASE!C:Q,4,false)</f>
        <v>Bridgestone</v>
      </c>
      <c r="R1032" s="93" t="str">
        <f>VLOOKUP(E1032,DATABASE!C:Q,11,false)</f>
        <v>Tire</v>
      </c>
    </row>
    <row r="1033" ht="22.5" customHeight="1">
      <c r="A1033" s="49"/>
      <c r="C1033" s="384">
        <v>45716.0</v>
      </c>
      <c r="D1033" s="65">
        <v>4527.0</v>
      </c>
      <c r="E1033" s="445" t="s">
        <v>256</v>
      </c>
      <c r="F1033" s="386">
        <v>1.0</v>
      </c>
      <c r="G1033" s="74">
        <v>130000.0</v>
      </c>
      <c r="H1033" s="74">
        <v>0.0</v>
      </c>
      <c r="I1033" s="74">
        <f t="shared" si="1"/>
        <v>130000</v>
      </c>
      <c r="J1033" s="74">
        <f>IF(E1033="SERVICE",I1033-(I1033*50%),Vlookup(E1033,DATABASE!C:Q,10,false)*F1033)</f>
        <v>10000</v>
      </c>
      <c r="K1033" s="74">
        <f>VLOOKUP(E1033,DATABASE!C:Q,7,false)</f>
        <v>0</v>
      </c>
      <c r="L1033" s="74">
        <v>0.0</v>
      </c>
      <c r="M1033" s="74">
        <f t="shared" si="2"/>
        <v>0</v>
      </c>
      <c r="N1033" s="74">
        <f t="shared" si="3"/>
        <v>120000</v>
      </c>
      <c r="O1033" s="65" t="str">
        <f>VLOOKUP(E1033,DATABASE!C:Q,8,false)</f>
        <v>IBU</v>
      </c>
      <c r="P1033" s="65">
        <f>VLOOKUP(E1033,DATABASE!C:Q,9,False)</f>
        <v>0</v>
      </c>
      <c r="Q1033" s="93" t="str">
        <f>VLOOKUP(E1033,DATABASE!C:Q,4,false)</f>
        <v>SPOORING</v>
      </c>
      <c r="R1033" s="93" t="str">
        <f>VLOOKUP(E1033,DATABASE!C:Q,11,false)</f>
        <v>SERVICE</v>
      </c>
    </row>
    <row r="1034" ht="22.5" customHeight="1">
      <c r="A1034" s="49"/>
      <c r="C1034" s="384">
        <v>45716.0</v>
      </c>
      <c r="D1034" s="65">
        <v>4527.0</v>
      </c>
      <c r="E1034" s="445" t="s">
        <v>251</v>
      </c>
      <c r="F1034" s="386">
        <v>1.0</v>
      </c>
      <c r="G1034" s="74">
        <v>150000.0</v>
      </c>
      <c r="H1034" s="74">
        <v>0.0</v>
      </c>
      <c r="I1034" s="74">
        <f t="shared" si="1"/>
        <v>150000</v>
      </c>
      <c r="J1034" s="74">
        <f>IF(E1034="SERVICE",I1034-(I1034*50%),Vlookup(E1034,DATABASE!C:Q,10,false)*F1034)</f>
        <v>75000</v>
      </c>
      <c r="K1034" s="74">
        <f>VLOOKUP(E1034,DATABASE!C:Q,7,false)</f>
        <v>0</v>
      </c>
      <c r="L1034" s="74">
        <v>0.0</v>
      </c>
      <c r="M1034" s="74">
        <f t="shared" si="2"/>
        <v>0</v>
      </c>
      <c r="N1034" s="74">
        <f t="shared" si="3"/>
        <v>75000</v>
      </c>
      <c r="O1034" s="65" t="str">
        <f>VLOOKUP(E1034,DATABASE!C:Q,8,false)</f>
        <v>IBU</v>
      </c>
      <c r="P1034" s="65">
        <f>VLOOKUP(E1034,DATABASE!C:Q,9,False)</f>
        <v>0</v>
      </c>
      <c r="Q1034" s="93" t="str">
        <f>VLOOKUP(E1034,DATABASE!C:Q,4,false)</f>
        <v>SERVICE</v>
      </c>
      <c r="R1034" s="93" t="str">
        <f>VLOOKUP(E1034,DATABASE!C:Q,11,false)</f>
        <v>SERVICE</v>
      </c>
    </row>
    <row r="1035" ht="22.5" customHeight="1">
      <c r="A1035" s="49"/>
      <c r="C1035" s="384">
        <v>45716.0</v>
      </c>
      <c r="D1035" s="65">
        <v>4528.0</v>
      </c>
      <c r="E1035" s="445" t="s">
        <v>600</v>
      </c>
      <c r="F1035" s="386">
        <v>4.0</v>
      </c>
      <c r="G1035" s="74">
        <v>750000.0</v>
      </c>
      <c r="H1035" s="74">
        <v>0.0</v>
      </c>
      <c r="I1035" s="74">
        <f t="shared" si="1"/>
        <v>3000000</v>
      </c>
      <c r="J1035" s="74">
        <f>IF(E1035="SERVICE",I1035-(I1035*50%),Vlookup(E1035,DATABASE!C:Q,10,false)*F1035)</f>
        <v>0</v>
      </c>
      <c r="K1035" s="74">
        <v>655200.0</v>
      </c>
      <c r="L1035" s="74">
        <v>655200.0</v>
      </c>
      <c r="M1035" s="74">
        <f t="shared" si="2"/>
        <v>660000</v>
      </c>
      <c r="N1035" s="74">
        <f t="shared" si="3"/>
        <v>360000</v>
      </c>
      <c r="O1035" s="65" t="str">
        <f>VLOOKUP(E1035,DATABASE!C:Q,8,false)</f>
        <v>IBU</v>
      </c>
      <c r="P1035" s="65">
        <f>VLOOKUP(E1035,DATABASE!C:Q,9,False)</f>
        <v>1</v>
      </c>
      <c r="Q1035" s="93" t="str">
        <f>VLOOKUP(E1035,DATABASE!C:Q,4,false)</f>
        <v>Bridgestone</v>
      </c>
      <c r="R1035" s="93" t="str">
        <f>VLOOKUP(E1035,DATABASE!C:Q,11,false)</f>
        <v>Tire</v>
      </c>
    </row>
    <row r="1036" ht="22.5" customHeight="1">
      <c r="A1036" s="49"/>
      <c r="C1036" s="384">
        <v>45716.0</v>
      </c>
      <c r="D1036" s="65">
        <v>4529.0</v>
      </c>
      <c r="E1036" s="445" t="s">
        <v>268</v>
      </c>
      <c r="F1036" s="386">
        <v>1.0</v>
      </c>
      <c r="G1036" s="74">
        <v>700000.0</v>
      </c>
      <c r="H1036" s="74">
        <v>0.0</v>
      </c>
      <c r="I1036" s="74">
        <f t="shared" si="1"/>
        <v>700000</v>
      </c>
      <c r="J1036" s="74">
        <f>IF(E1036="SERVICE",I1036-(I1036*50%),Vlookup(E1036,DATABASE!C:Q,10,false)*F1036)</f>
        <v>0</v>
      </c>
      <c r="K1036" s="74">
        <v>613000.0</v>
      </c>
      <c r="L1036" s="74">
        <v>613000.0</v>
      </c>
      <c r="M1036" s="74">
        <f t="shared" si="2"/>
        <v>615000</v>
      </c>
      <c r="N1036" s="74">
        <f t="shared" si="3"/>
        <v>85000</v>
      </c>
      <c r="O1036" s="65" t="str">
        <f>VLOOKUP(E1036,DATABASE!C:Q,8,false)</f>
        <v>IBU</v>
      </c>
      <c r="P1036" s="65">
        <f>VLOOKUP(E1036,DATABASE!C:Q,9,False)</f>
        <v>1</v>
      </c>
      <c r="Q1036" s="93" t="str">
        <f>VLOOKUP(E1036,DATABASE!C:Q,4,false)</f>
        <v>Dunlop</v>
      </c>
      <c r="R1036" s="93" t="str">
        <f>VLOOKUP(E1036,DATABASE!C:Q,11,false)</f>
        <v>Tire</v>
      </c>
    </row>
    <row r="1037" ht="22.5" customHeight="1">
      <c r="A1037" s="49"/>
      <c r="C1037" s="384">
        <v>45717.0</v>
      </c>
      <c r="D1037" s="65">
        <v>4530.0</v>
      </c>
      <c r="E1037" s="445" t="s">
        <v>937</v>
      </c>
      <c r="F1037" s="386">
        <v>1.0</v>
      </c>
      <c r="G1037" s="74">
        <v>900000.0</v>
      </c>
      <c r="H1037" s="74">
        <v>0.0</v>
      </c>
      <c r="I1037" s="74">
        <f t="shared" si="1"/>
        <v>900000</v>
      </c>
      <c r="J1037" s="74">
        <f>IF(E1037="SERVICE",I1037-(I1037*50%),Vlookup(E1037,DATABASE!C:Q,10,false)*F1037)</f>
        <v>0</v>
      </c>
      <c r="K1037" s="74">
        <f>VLOOKUP(E1037,DATABASE!C:Q,7,false)</f>
        <v>825000</v>
      </c>
      <c r="L1037" s="74">
        <v>790000.0</v>
      </c>
      <c r="M1037" s="74">
        <f t="shared" si="2"/>
        <v>790000</v>
      </c>
      <c r="N1037" s="74">
        <f t="shared" si="3"/>
        <v>110000</v>
      </c>
      <c r="O1037" s="65" t="str">
        <f>VLOOKUP(E1037,DATABASE!C:Q,8,false)</f>
        <v>IBU</v>
      </c>
      <c r="P1037" s="65">
        <f>VLOOKUP(E1037,DATABASE!C:Q,9,False)</f>
        <v>1</v>
      </c>
      <c r="Q1037" s="93" t="str">
        <f>VLOOKUP(E1037,DATABASE!C:Q,4,false)</f>
        <v>Bridgestone</v>
      </c>
      <c r="R1037" s="93" t="str">
        <f>VLOOKUP(E1037,DATABASE!C:Q,11,false)</f>
        <v>Tire</v>
      </c>
    </row>
    <row r="1038" ht="22.5" customHeight="1">
      <c r="A1038" s="49"/>
      <c r="C1038" s="384">
        <v>45717.0</v>
      </c>
      <c r="D1038" s="65">
        <v>4530.0</v>
      </c>
      <c r="E1038" s="445" t="s">
        <v>288</v>
      </c>
      <c r="F1038" s="386">
        <v>1.0</v>
      </c>
      <c r="G1038" s="74">
        <v>620000.0</v>
      </c>
      <c r="H1038" s="74">
        <v>0.0</v>
      </c>
      <c r="I1038" s="74">
        <f t="shared" si="1"/>
        <v>620000</v>
      </c>
      <c r="J1038" s="74">
        <f>IF(E1038="SERVICE",I1038-(I1038*50%),Vlookup(E1038,DATABASE!C:Q,10,false)*F1038)</f>
        <v>0</v>
      </c>
      <c r="K1038" s="74">
        <f>VLOOKUP(E1038,DATABASE!C:Q,7,false)</f>
        <v>565760</v>
      </c>
      <c r="L1038" s="74">
        <v>524800.0</v>
      </c>
      <c r="M1038" s="74">
        <f t="shared" si="2"/>
        <v>525000</v>
      </c>
      <c r="N1038" s="74">
        <f t="shared" si="3"/>
        <v>95000</v>
      </c>
      <c r="O1038" s="65" t="str">
        <f>VLOOKUP(E1038,DATABASE!C:Q,8,false)</f>
        <v>BIAN</v>
      </c>
      <c r="P1038" s="65">
        <f>VLOOKUP(E1038,DATABASE!C:Q,9,False)</f>
        <v>1</v>
      </c>
      <c r="Q1038" s="93" t="str">
        <f>VLOOKUP(E1038,DATABASE!C:Q,4,false)</f>
        <v>GT</v>
      </c>
      <c r="R1038" s="93" t="str">
        <f>VLOOKUP(E1038,DATABASE!C:Q,11,false)</f>
        <v>Tire</v>
      </c>
    </row>
    <row r="1039" ht="22.5" customHeight="1">
      <c r="A1039" s="49"/>
      <c r="C1039" s="384">
        <v>45717.0</v>
      </c>
      <c r="D1039" s="65">
        <v>4531.0</v>
      </c>
      <c r="E1039" s="445" t="s">
        <v>1196</v>
      </c>
      <c r="F1039" s="386">
        <v>4.0</v>
      </c>
      <c r="G1039" s="74">
        <v>1050000.0</v>
      </c>
      <c r="H1039" s="74">
        <v>0.0</v>
      </c>
      <c r="I1039" s="74">
        <f t="shared" si="1"/>
        <v>4200000</v>
      </c>
      <c r="J1039" s="74">
        <f>IF(E1039="SERVICE",I1039-(I1039*50%),Vlookup(E1039,DATABASE!C:Q,10,false)*F1039)</f>
        <v>0</v>
      </c>
      <c r="K1039" s="74">
        <f>VLOOKUP(E1039,DATABASE!C:Q,7,false)</f>
        <v>943430.5</v>
      </c>
      <c r="L1039" s="74">
        <v>945190.375</v>
      </c>
      <c r="M1039" s="74">
        <f t="shared" si="2"/>
        <v>950000</v>
      </c>
      <c r="N1039" s="74">
        <f t="shared" si="3"/>
        <v>400000</v>
      </c>
      <c r="O1039" s="65" t="str">
        <f>VLOOKUP(E1039,DATABASE!C:Q,8,false)</f>
        <v>IBU</v>
      </c>
      <c r="P1039" s="65">
        <f>VLOOKUP(E1039,DATABASE!C:Q,9,False)</f>
        <v>1</v>
      </c>
      <c r="Q1039" s="93" t="str">
        <f>VLOOKUP(E1039,DATABASE!C:Q,4,false)</f>
        <v>Bridgestone</v>
      </c>
      <c r="R1039" s="93" t="str">
        <f>VLOOKUP(E1039,DATABASE!C:Q,11,false)</f>
        <v>Tire</v>
      </c>
    </row>
    <row r="1040" ht="22.5" customHeight="1">
      <c r="A1040" s="49"/>
      <c r="C1040" s="384">
        <v>45717.0</v>
      </c>
      <c r="D1040" s="65">
        <v>4532.0</v>
      </c>
      <c r="E1040" s="445" t="s">
        <v>1886</v>
      </c>
      <c r="F1040" s="386">
        <v>1.0</v>
      </c>
      <c r="G1040" s="74">
        <v>500000.0</v>
      </c>
      <c r="H1040" s="74">
        <v>0.0</v>
      </c>
      <c r="I1040" s="74">
        <f t="shared" si="1"/>
        <v>500000</v>
      </c>
      <c r="J1040" s="74">
        <f>IF(E1040="SERVICE",I1040-(I1040*50%),Vlookup(E1040,DATABASE!C:Q,10,false)*F1040)</f>
        <v>0</v>
      </c>
      <c r="K1040" s="74">
        <f>VLOOKUP(E1040,DATABASE!C:Q,7,false)</f>
        <v>411100</v>
      </c>
      <c r="L1040" s="74">
        <v>411100.0</v>
      </c>
      <c r="M1040" s="74">
        <f t="shared" si="2"/>
        <v>415000</v>
      </c>
      <c r="N1040" s="74">
        <f t="shared" si="3"/>
        <v>85000</v>
      </c>
      <c r="O1040" s="65" t="str">
        <f>VLOOKUP(E1040,DATABASE!C:Q,8,false)</f>
        <v>BIAN</v>
      </c>
      <c r="P1040" s="65">
        <f>VLOOKUP(E1040,DATABASE!C:Q,9,False)</f>
        <v>1</v>
      </c>
      <c r="Q1040" s="93" t="str">
        <f>VLOOKUP(E1040,DATABASE!C:Q,4,false)</f>
        <v>GT</v>
      </c>
      <c r="R1040" s="93" t="str">
        <f>VLOOKUP(E1040,DATABASE!C:Q,11,false)</f>
        <v>Tire</v>
      </c>
    </row>
    <row r="1041" ht="22.5" customHeight="1">
      <c r="A1041" s="49"/>
      <c r="C1041" s="384">
        <v>45717.0</v>
      </c>
      <c r="D1041" s="65">
        <v>4533.0</v>
      </c>
      <c r="E1041" s="445" t="s">
        <v>889</v>
      </c>
      <c r="F1041" s="386">
        <v>2.0</v>
      </c>
      <c r="G1041" s="74">
        <v>780000.0</v>
      </c>
      <c r="H1041" s="74">
        <v>0.0</v>
      </c>
      <c r="I1041" s="74">
        <f t="shared" si="1"/>
        <v>1560000</v>
      </c>
      <c r="J1041" s="74">
        <f>IF(E1041="SERVICE",I1041-(I1041*50%),Vlookup(E1041,DATABASE!C:Q,10,false)*F1041)</f>
        <v>0</v>
      </c>
      <c r="K1041" s="74">
        <f>VLOOKUP(E1041,DATABASE!C:Q,7,false)</f>
        <v>678000</v>
      </c>
      <c r="L1041" s="74">
        <v>678000.0</v>
      </c>
      <c r="M1041" s="74">
        <f t="shared" si="2"/>
        <v>680000</v>
      </c>
      <c r="N1041" s="74">
        <f t="shared" si="3"/>
        <v>200000</v>
      </c>
      <c r="O1041" s="65" t="str">
        <f>VLOOKUP(E1041,DATABASE!C:Q,8,false)</f>
        <v>BIAN</v>
      </c>
      <c r="P1041" s="65">
        <f>VLOOKUP(E1041,DATABASE!C:Q,9,False)</f>
        <v>1</v>
      </c>
      <c r="Q1041" s="93" t="str">
        <f>VLOOKUP(E1041,DATABASE!C:Q,4,false)</f>
        <v>Sailun</v>
      </c>
      <c r="R1041" s="93" t="str">
        <f>VLOOKUP(E1041,DATABASE!C:Q,11,false)</f>
        <v>Tire</v>
      </c>
    </row>
    <row r="1042" ht="22.5" customHeight="1">
      <c r="A1042" s="49"/>
      <c r="C1042" s="384">
        <v>45717.0</v>
      </c>
      <c r="D1042" s="65">
        <v>4534.0</v>
      </c>
      <c r="E1042" s="445" t="s">
        <v>1784</v>
      </c>
      <c r="F1042" s="386">
        <v>1.0</v>
      </c>
      <c r="G1042" s="74">
        <v>640000.0</v>
      </c>
      <c r="H1042" s="74">
        <v>0.0</v>
      </c>
      <c r="I1042" s="74">
        <f t="shared" si="1"/>
        <v>640000</v>
      </c>
      <c r="J1042" s="74">
        <f>IF(E1042="SERVICE",I1042-(I1042*50%),Vlookup(E1042,DATABASE!C:Q,10,false)*F1042)</f>
        <v>0</v>
      </c>
      <c r="K1042" s="74">
        <f>VLOOKUP(E1042,DATABASE!C:Q,7,false)</f>
        <v>530580</v>
      </c>
      <c r="L1042" s="74">
        <v>530580.0</v>
      </c>
      <c r="M1042" s="74">
        <f t="shared" si="2"/>
        <v>535000</v>
      </c>
      <c r="N1042" s="74">
        <f t="shared" si="3"/>
        <v>105000</v>
      </c>
      <c r="O1042" s="65" t="str">
        <f>VLOOKUP(E1042,DATABASE!C:Q,8,false)</f>
        <v>BIAN</v>
      </c>
      <c r="P1042" s="65">
        <f>VLOOKUP(E1042,DATABASE!C:Q,9,False)</f>
        <v>1</v>
      </c>
      <c r="Q1042" s="93" t="str">
        <f>VLOOKUP(E1042,DATABASE!C:Q,4,false)</f>
        <v>Forceum</v>
      </c>
      <c r="R1042" s="93" t="str">
        <f>VLOOKUP(E1042,DATABASE!C:Q,11,false)</f>
        <v>Tire</v>
      </c>
    </row>
    <row r="1043" ht="22.5" customHeight="1">
      <c r="A1043" s="49"/>
      <c r="C1043" s="384">
        <v>45717.0</v>
      </c>
      <c r="D1043" s="65">
        <v>4535.0</v>
      </c>
      <c r="E1043" s="445" t="s">
        <v>932</v>
      </c>
      <c r="F1043" s="386">
        <v>2.0</v>
      </c>
      <c r="G1043" s="74">
        <v>670000.0</v>
      </c>
      <c r="H1043" s="74">
        <v>0.0</v>
      </c>
      <c r="I1043" s="74">
        <f t="shared" si="1"/>
        <v>1340000</v>
      </c>
      <c r="J1043" s="74">
        <f>IF(E1043="SERVICE",I1043-(I1043*50%),Vlookup(E1043,DATABASE!C:Q,10,false)*F1043)</f>
        <v>0</v>
      </c>
      <c r="K1043" s="74">
        <v>575000.0</v>
      </c>
      <c r="L1043" s="74">
        <v>575000.0</v>
      </c>
      <c r="M1043" s="74">
        <f t="shared" si="2"/>
        <v>575000</v>
      </c>
      <c r="N1043" s="74">
        <f t="shared" si="3"/>
        <v>190000</v>
      </c>
      <c r="O1043" s="65" t="str">
        <f>VLOOKUP(E1043,DATABASE!C:Q,8,false)</f>
        <v>IBU</v>
      </c>
      <c r="P1043" s="65">
        <f>VLOOKUP(E1043,DATABASE!C:Q,9,False)</f>
        <v>1</v>
      </c>
      <c r="Q1043" s="93" t="str">
        <f>VLOOKUP(E1043,DATABASE!C:Q,4,false)</f>
        <v>Dunlop</v>
      </c>
      <c r="R1043" s="93" t="str">
        <f>VLOOKUP(E1043,DATABASE!C:Q,11,false)</f>
        <v>Tire</v>
      </c>
    </row>
    <row r="1044" ht="22.5" customHeight="1">
      <c r="A1044" s="49"/>
      <c r="C1044" s="384">
        <v>45717.0</v>
      </c>
      <c r="D1044" s="65">
        <v>4536.0</v>
      </c>
      <c r="E1044" s="445" t="s">
        <v>1196</v>
      </c>
      <c r="F1044" s="386">
        <v>4.0</v>
      </c>
      <c r="G1044" s="74">
        <v>1050000.0</v>
      </c>
      <c r="H1044" s="74">
        <v>0.0</v>
      </c>
      <c r="I1044" s="74">
        <f t="shared" si="1"/>
        <v>4200000</v>
      </c>
      <c r="J1044" s="74">
        <f>IF(E1044="SERVICE",I1044-(I1044*50%),Vlookup(E1044,DATABASE!C:Q,10,false)*F1044)</f>
        <v>0</v>
      </c>
      <c r="K1044" s="74">
        <f>VLOOKUP(E1044,DATABASE!C:Q,7,false)</f>
        <v>943430.5</v>
      </c>
      <c r="L1044" s="74">
        <v>945190.375</v>
      </c>
      <c r="M1044" s="74">
        <f t="shared" si="2"/>
        <v>950000</v>
      </c>
      <c r="N1044" s="74">
        <f t="shared" si="3"/>
        <v>400000</v>
      </c>
      <c r="O1044" s="65" t="str">
        <f>VLOOKUP(E1044,DATABASE!C:Q,8,false)</f>
        <v>IBU</v>
      </c>
      <c r="P1044" s="65">
        <f>VLOOKUP(E1044,DATABASE!C:Q,9,False)</f>
        <v>1</v>
      </c>
      <c r="Q1044" s="93" t="str">
        <f>VLOOKUP(E1044,DATABASE!C:Q,4,false)</f>
        <v>Bridgestone</v>
      </c>
      <c r="R1044" s="93" t="str">
        <f>VLOOKUP(E1044,DATABASE!C:Q,11,false)</f>
        <v>Tire</v>
      </c>
    </row>
    <row r="1045" ht="22.5" customHeight="1">
      <c r="A1045" s="49"/>
      <c r="C1045" s="384">
        <v>45717.0</v>
      </c>
      <c r="D1045" s="65">
        <v>4536.0</v>
      </c>
      <c r="E1045" s="445" t="s">
        <v>2135</v>
      </c>
      <c r="F1045" s="386">
        <v>4.0</v>
      </c>
      <c r="G1045" s="74">
        <v>10000.0</v>
      </c>
      <c r="H1045" s="74">
        <v>0.0</v>
      </c>
      <c r="I1045" s="74">
        <f t="shared" si="1"/>
        <v>40000</v>
      </c>
      <c r="J1045" s="74">
        <f>IF(E1045="SERVICE",I1045-(I1045*50%),Vlookup(E1045,DATABASE!C:Q,10,false)*F1045)</f>
        <v>0</v>
      </c>
      <c r="K1045" s="74">
        <f>VLOOKUP(E1045,DATABASE!C:Q,7,false)</f>
        <v>0</v>
      </c>
      <c r="L1045" s="74">
        <v>0.0</v>
      </c>
      <c r="M1045" s="74">
        <f t="shared" si="2"/>
        <v>0</v>
      </c>
      <c r="N1045" s="74">
        <f t="shared" si="3"/>
        <v>40000</v>
      </c>
      <c r="O1045" s="65" t="str">
        <f>VLOOKUP(E1045,DATABASE!C:Q,8,false)</f>
        <v>IBU</v>
      </c>
      <c r="P1045" s="65">
        <f>VLOOKUP(E1045,DATABASE!C:Q,9,False)</f>
        <v>0</v>
      </c>
      <c r="Q1045" s="93" t="str">
        <f>VLOOKUP(E1045,DATABASE!C:Q,4,false)</f>
        <v>NITROGEN</v>
      </c>
      <c r="R1045" s="93" t="str">
        <f>VLOOKUP(E1045,DATABASE!C:Q,11,false)</f>
        <v>COMPLEMENTARY</v>
      </c>
    </row>
    <row r="1046" ht="22.5" customHeight="1">
      <c r="A1046" s="49"/>
      <c r="C1046" s="384">
        <v>45717.0</v>
      </c>
      <c r="D1046" s="65">
        <v>4537.0</v>
      </c>
      <c r="E1046" s="445" t="s">
        <v>256</v>
      </c>
      <c r="F1046" s="386">
        <v>1.0</v>
      </c>
      <c r="G1046" s="74">
        <v>130000.0</v>
      </c>
      <c r="H1046" s="74">
        <v>0.0</v>
      </c>
      <c r="I1046" s="74">
        <f t="shared" si="1"/>
        <v>130000</v>
      </c>
      <c r="J1046" s="74">
        <f>IF(E1046="SERVICE",I1046-(I1046*50%),Vlookup(E1046,DATABASE!C:Q,10,false)*F1046)</f>
        <v>10000</v>
      </c>
      <c r="K1046" s="74">
        <f>VLOOKUP(E1046,DATABASE!C:Q,7,false)</f>
        <v>0</v>
      </c>
      <c r="L1046" s="74">
        <v>0.0</v>
      </c>
      <c r="M1046" s="74">
        <f t="shared" si="2"/>
        <v>0</v>
      </c>
      <c r="N1046" s="74">
        <f t="shared" si="3"/>
        <v>120000</v>
      </c>
      <c r="O1046" s="65" t="str">
        <f>VLOOKUP(E1046,DATABASE!C:Q,8,false)</f>
        <v>IBU</v>
      </c>
      <c r="P1046" s="65">
        <f>VLOOKUP(E1046,DATABASE!C:Q,9,False)</f>
        <v>0</v>
      </c>
      <c r="Q1046" s="93" t="str">
        <f>VLOOKUP(E1046,DATABASE!C:Q,4,false)</f>
        <v>SPOORING</v>
      </c>
      <c r="R1046" s="93" t="str">
        <f>VLOOKUP(E1046,DATABASE!C:Q,11,false)</f>
        <v>SERVICE</v>
      </c>
    </row>
    <row r="1047" ht="22.5" customHeight="1">
      <c r="A1047" s="49"/>
      <c r="C1047" s="384">
        <v>45717.0</v>
      </c>
      <c r="D1047" s="65">
        <v>4537.0</v>
      </c>
      <c r="E1047" s="445" t="s">
        <v>251</v>
      </c>
      <c r="F1047" s="386">
        <v>1.0</v>
      </c>
      <c r="G1047" s="74">
        <v>150000.0</v>
      </c>
      <c r="H1047" s="74">
        <v>0.0</v>
      </c>
      <c r="I1047" s="74">
        <f t="shared" si="1"/>
        <v>150000</v>
      </c>
      <c r="J1047" s="74">
        <f>IF(E1047="SERVICE",I1047-(I1047*50%),Vlookup(E1047,DATABASE!C:Q,10,false)*F1047)</f>
        <v>75000</v>
      </c>
      <c r="K1047" s="74">
        <f>VLOOKUP(E1047,DATABASE!C:Q,7,false)</f>
        <v>0</v>
      </c>
      <c r="L1047" s="74">
        <v>0.0</v>
      </c>
      <c r="M1047" s="74">
        <f t="shared" si="2"/>
        <v>0</v>
      </c>
      <c r="N1047" s="74">
        <f t="shared" si="3"/>
        <v>75000</v>
      </c>
      <c r="O1047" s="65" t="str">
        <f>VLOOKUP(E1047,DATABASE!C:Q,8,false)</f>
        <v>IBU</v>
      </c>
      <c r="P1047" s="65">
        <f>VLOOKUP(E1047,DATABASE!C:Q,9,False)</f>
        <v>0</v>
      </c>
      <c r="Q1047" s="93" t="str">
        <f>VLOOKUP(E1047,DATABASE!C:Q,4,false)</f>
        <v>SERVICE</v>
      </c>
      <c r="R1047" s="93" t="str">
        <f>VLOOKUP(E1047,DATABASE!C:Q,11,false)</f>
        <v>SERVICE</v>
      </c>
    </row>
    <row r="1048" ht="22.5" customHeight="1">
      <c r="A1048" s="49"/>
      <c r="C1048" s="384">
        <v>45717.0</v>
      </c>
      <c r="D1048" s="65">
        <v>4538.0</v>
      </c>
      <c r="E1048" s="445" t="s">
        <v>572</v>
      </c>
      <c r="F1048" s="386">
        <v>1.0</v>
      </c>
      <c r="G1048" s="74">
        <v>1370000.0</v>
      </c>
      <c r="H1048" s="74">
        <v>0.0</v>
      </c>
      <c r="I1048" s="74">
        <f t="shared" si="1"/>
        <v>1370000</v>
      </c>
      <c r="J1048" s="74">
        <f>IF(E1048="SERVICE",I1048-(I1048*50%),Vlookup(E1048,DATABASE!C:Q,10,false)*F1048)</f>
        <v>0</v>
      </c>
      <c r="K1048" s="140">
        <v>1270000.0</v>
      </c>
      <c r="L1048" s="140">
        <v>1270000.0</v>
      </c>
      <c r="M1048" s="74">
        <f t="shared" si="2"/>
        <v>1270000</v>
      </c>
      <c r="N1048" s="74">
        <f t="shared" si="3"/>
        <v>100000</v>
      </c>
      <c r="O1048" s="65" t="str">
        <f>VLOOKUP(E1048,DATABASE!C:Q,8,false)</f>
        <v>IBU</v>
      </c>
      <c r="P1048" s="65">
        <f>VLOOKUP(E1048,DATABASE!C:Q,9,False)</f>
        <v>1</v>
      </c>
      <c r="Q1048" s="93" t="str">
        <f>VLOOKUP(E1048,DATABASE!C:Q,4,false)</f>
        <v>Bridgestone</v>
      </c>
      <c r="R1048" s="93" t="str">
        <f>VLOOKUP(E1048,DATABASE!C:Q,11,false)</f>
        <v>Tire</v>
      </c>
    </row>
    <row r="1049" ht="22.5" customHeight="1">
      <c r="A1049" s="49"/>
      <c r="C1049" s="384">
        <v>45717.0</v>
      </c>
      <c r="D1049" s="65">
        <v>4539.0</v>
      </c>
      <c r="E1049" s="445" t="s">
        <v>2199</v>
      </c>
      <c r="F1049" s="386">
        <v>1.0</v>
      </c>
      <c r="G1049" s="74">
        <v>15000.0</v>
      </c>
      <c r="H1049" s="74">
        <v>0.0</v>
      </c>
      <c r="I1049" s="74">
        <f t="shared" si="1"/>
        <v>15000</v>
      </c>
      <c r="J1049" s="74">
        <f>IF(E1049="SERVICE",I1049-(I1049*50%),Vlookup(E1049,DATABASE!C:Q,10,false)*F1049)</f>
        <v>0</v>
      </c>
      <c r="K1049" s="74">
        <f>VLOOKUP(E1049,DATABASE!C:Q,7,false)</f>
        <v>5000</v>
      </c>
      <c r="L1049" s="74">
        <v>0.0</v>
      </c>
      <c r="M1049" s="74">
        <f t="shared" si="2"/>
        <v>0</v>
      </c>
      <c r="N1049" s="74">
        <f t="shared" si="3"/>
        <v>15000</v>
      </c>
      <c r="O1049" s="65" t="str">
        <f>VLOOKUP(E1049,DATABASE!C:Q,8,false)</f>
        <v>BIAN</v>
      </c>
      <c r="P1049" s="65">
        <f>VLOOKUP(E1049,DATABASE!C:Q,9,False)</f>
        <v>0</v>
      </c>
      <c r="Q1049" s="93" t="str">
        <f>VLOOKUP(E1049,DATABASE!C:Q,4,false)</f>
        <v>TAMBAL TUBLES</v>
      </c>
      <c r="R1049" s="93" t="str">
        <f>VLOOKUP(E1049,DATABASE!C:Q,11,false)</f>
        <v>COMPLEMENTARY</v>
      </c>
    </row>
    <row r="1050" ht="22.5" customHeight="1">
      <c r="A1050" s="49"/>
      <c r="C1050" s="384">
        <v>45718.0</v>
      </c>
      <c r="D1050" s="65">
        <v>4540.0</v>
      </c>
      <c r="E1050" s="445" t="s">
        <v>627</v>
      </c>
      <c r="F1050" s="386">
        <v>1.0</v>
      </c>
      <c r="G1050" s="74">
        <v>950000.0</v>
      </c>
      <c r="H1050" s="74">
        <v>0.0</v>
      </c>
      <c r="I1050" s="74">
        <f t="shared" si="1"/>
        <v>950000</v>
      </c>
      <c r="J1050" s="74">
        <f>IF(E1050="SERVICE",I1050-(I1050*50%),Vlookup(E1050,DATABASE!C:Q,10,false)*F1050)</f>
        <v>0</v>
      </c>
      <c r="K1050" s="74">
        <f>VLOOKUP(E1050,DATABASE!C:Q,7,false)</f>
        <v>879567</v>
      </c>
      <c r="L1050" s="74">
        <v>884979.0</v>
      </c>
      <c r="M1050" s="74">
        <f t="shared" si="2"/>
        <v>885000</v>
      </c>
      <c r="N1050" s="74">
        <f t="shared" si="3"/>
        <v>65000</v>
      </c>
      <c r="O1050" s="65" t="str">
        <f>VLOOKUP(E1050,DATABASE!C:Q,8,false)</f>
        <v>IBU</v>
      </c>
      <c r="P1050" s="65">
        <f>VLOOKUP(E1050,DATABASE!C:Q,9,False)</f>
        <v>1</v>
      </c>
      <c r="Q1050" s="93" t="str">
        <f>VLOOKUP(E1050,DATABASE!C:Q,4,false)</f>
        <v>Bridgestone</v>
      </c>
      <c r="R1050" s="93" t="str">
        <f>VLOOKUP(E1050,DATABASE!C:Q,11,false)</f>
        <v>Tire</v>
      </c>
    </row>
    <row r="1051" ht="22.5" customHeight="1">
      <c r="A1051" s="49"/>
      <c r="C1051" s="384">
        <v>45718.0</v>
      </c>
      <c r="D1051" s="65">
        <v>4541.0</v>
      </c>
      <c r="E1051" s="445" t="s">
        <v>554</v>
      </c>
      <c r="F1051" s="386">
        <v>2.0</v>
      </c>
      <c r="G1051" s="74">
        <v>800000.0</v>
      </c>
      <c r="H1051" s="74">
        <v>0.0</v>
      </c>
      <c r="I1051" s="74">
        <f t="shared" si="1"/>
        <v>1600000</v>
      </c>
      <c r="J1051" s="74">
        <f>IF(E1051="SERVICE",I1051-(I1051*50%),Vlookup(E1051,DATABASE!C:Q,10,false)*F1051)</f>
        <v>0</v>
      </c>
      <c r="K1051" s="74">
        <f>VLOOKUP(E1051,DATABASE!C:Q,7,false)</f>
        <v>710000</v>
      </c>
      <c r="L1051" s="74">
        <v>680000.0</v>
      </c>
      <c r="M1051" s="74">
        <f t="shared" si="2"/>
        <v>680000</v>
      </c>
      <c r="N1051" s="74">
        <f t="shared" si="3"/>
        <v>240000</v>
      </c>
      <c r="O1051" s="65" t="str">
        <f>VLOOKUP(E1051,DATABASE!C:Q,8,false)</f>
        <v>IBU</v>
      </c>
      <c r="P1051" s="65">
        <f>VLOOKUP(E1051,DATABASE!C:Q,9,False)</f>
        <v>1</v>
      </c>
      <c r="Q1051" s="93" t="str">
        <f>VLOOKUP(E1051,DATABASE!C:Q,4,false)</f>
        <v>Bridgestone</v>
      </c>
      <c r="R1051" s="93" t="str">
        <f>VLOOKUP(E1051,DATABASE!C:Q,11,false)</f>
        <v>Tire</v>
      </c>
    </row>
    <row r="1052" ht="22.5" customHeight="1">
      <c r="A1052" s="49"/>
      <c r="C1052" s="384">
        <v>45718.0</v>
      </c>
      <c r="D1052" s="65">
        <v>4542.0</v>
      </c>
      <c r="E1052" s="445" t="s">
        <v>781</v>
      </c>
      <c r="F1052" s="386">
        <v>1.0</v>
      </c>
      <c r="G1052" s="74">
        <v>510000.0</v>
      </c>
      <c r="H1052" s="74">
        <v>0.0</v>
      </c>
      <c r="I1052" s="74">
        <f t="shared" si="1"/>
        <v>510000</v>
      </c>
      <c r="J1052" s="74">
        <f>IF(E1052="SERVICE",I1052-(I1052*50%),Vlookup(E1052,DATABASE!C:Q,10,false)*F1052)</f>
        <v>0</v>
      </c>
      <c r="K1052" s="74">
        <f>VLOOKUP(E1052,DATABASE!C:Q,7,false)</f>
        <v>470000</v>
      </c>
      <c r="L1052" s="74">
        <v>442500.0</v>
      </c>
      <c r="M1052" s="74">
        <f t="shared" si="2"/>
        <v>445000</v>
      </c>
      <c r="N1052" s="74">
        <f t="shared" si="3"/>
        <v>65000</v>
      </c>
      <c r="O1052" s="65" t="str">
        <f>VLOOKUP(E1052,DATABASE!C:Q,8,false)</f>
        <v>BIAN</v>
      </c>
      <c r="P1052" s="65">
        <f>VLOOKUP(E1052,DATABASE!C:Q,9,False)</f>
        <v>1</v>
      </c>
      <c r="Q1052" s="93" t="str">
        <f>VLOOKUP(E1052,DATABASE!C:Q,4,false)</f>
        <v>GT</v>
      </c>
      <c r="R1052" s="93" t="str">
        <f>VLOOKUP(E1052,DATABASE!C:Q,11,false)</f>
        <v>Tire</v>
      </c>
    </row>
    <row r="1053" ht="22.5" customHeight="1">
      <c r="A1053" s="49"/>
      <c r="C1053" s="384">
        <v>45718.0</v>
      </c>
      <c r="D1053" s="65">
        <v>4543.0</v>
      </c>
      <c r="E1053" s="445" t="s">
        <v>256</v>
      </c>
      <c r="F1053" s="386">
        <v>1.0</v>
      </c>
      <c r="G1053" s="74">
        <v>130000.0</v>
      </c>
      <c r="H1053" s="74">
        <v>0.0</v>
      </c>
      <c r="I1053" s="74">
        <f t="shared" si="1"/>
        <v>130000</v>
      </c>
      <c r="J1053" s="74">
        <f>IF(E1053="SERVICE",I1053-(I1053*50%),Vlookup(E1053,DATABASE!C:Q,10,false)*F1053)</f>
        <v>10000</v>
      </c>
      <c r="K1053" s="74">
        <f>VLOOKUP(E1053,DATABASE!C:Q,7,false)</f>
        <v>0</v>
      </c>
      <c r="L1053" s="74">
        <v>0.0</v>
      </c>
      <c r="M1053" s="74">
        <f t="shared" si="2"/>
        <v>0</v>
      </c>
      <c r="N1053" s="74">
        <f t="shared" si="3"/>
        <v>120000</v>
      </c>
      <c r="O1053" s="65" t="str">
        <f>VLOOKUP(E1053,DATABASE!C:Q,8,false)</f>
        <v>IBU</v>
      </c>
      <c r="P1053" s="65">
        <f>VLOOKUP(E1053,DATABASE!C:Q,9,False)</f>
        <v>0</v>
      </c>
      <c r="Q1053" s="93" t="str">
        <f>VLOOKUP(E1053,DATABASE!C:Q,4,false)</f>
        <v>SPOORING</v>
      </c>
      <c r="R1053" s="93" t="str">
        <f>VLOOKUP(E1053,DATABASE!C:Q,11,false)</f>
        <v>SERVICE</v>
      </c>
    </row>
    <row r="1054" ht="22.5" customHeight="1">
      <c r="A1054" s="49"/>
      <c r="C1054" s="384">
        <v>45718.0</v>
      </c>
      <c r="D1054" s="65">
        <v>4543.0</v>
      </c>
      <c r="E1054" s="445" t="s">
        <v>251</v>
      </c>
      <c r="F1054" s="386">
        <v>1.0</v>
      </c>
      <c r="G1054" s="74">
        <v>70000.0</v>
      </c>
      <c r="H1054" s="74">
        <v>0.0</v>
      </c>
      <c r="I1054" s="74">
        <f t="shared" si="1"/>
        <v>70000</v>
      </c>
      <c r="J1054" s="74">
        <f>IF(E1054="SERVICE",I1054-(I1054*50%),Vlookup(E1054,DATABASE!C:Q,10,false)*F1054)</f>
        <v>35000</v>
      </c>
      <c r="K1054" s="74">
        <f>VLOOKUP(E1054,DATABASE!C:Q,7,false)</f>
        <v>0</v>
      </c>
      <c r="L1054" s="74">
        <v>0.0</v>
      </c>
      <c r="M1054" s="74">
        <f t="shared" si="2"/>
        <v>0</v>
      </c>
      <c r="N1054" s="74">
        <f t="shared" si="3"/>
        <v>35000</v>
      </c>
      <c r="O1054" s="65" t="str">
        <f>VLOOKUP(E1054,DATABASE!C:Q,8,false)</f>
        <v>IBU</v>
      </c>
      <c r="P1054" s="65">
        <f>VLOOKUP(E1054,DATABASE!C:Q,9,False)</f>
        <v>0</v>
      </c>
      <c r="Q1054" s="93" t="str">
        <f>VLOOKUP(E1054,DATABASE!C:Q,4,false)</f>
        <v>SERVICE</v>
      </c>
      <c r="R1054" s="93" t="str">
        <f>VLOOKUP(E1054,DATABASE!C:Q,11,false)</f>
        <v>SERVICE</v>
      </c>
    </row>
    <row r="1055" ht="22.5" customHeight="1">
      <c r="A1055" s="49"/>
      <c r="C1055" s="384">
        <v>45718.0</v>
      </c>
      <c r="D1055" s="65">
        <v>4544.0</v>
      </c>
      <c r="E1055" s="445" t="s">
        <v>262</v>
      </c>
      <c r="F1055" s="386">
        <v>1.0</v>
      </c>
      <c r="G1055" s="74">
        <v>110000.0</v>
      </c>
      <c r="H1055" s="74">
        <v>0.0</v>
      </c>
      <c r="I1055" s="74">
        <f t="shared" si="1"/>
        <v>110000</v>
      </c>
      <c r="J1055" s="74">
        <f>IF(E1055="SERVICE",I1055-(I1055*50%),Vlookup(E1055,DATABASE!C:Q,10,false)*F1055)</f>
        <v>5000</v>
      </c>
      <c r="K1055" s="74">
        <f>VLOOKUP(E1055,DATABASE!C:Q,7,false)</f>
        <v>0</v>
      </c>
      <c r="L1055" s="74">
        <v>0.0</v>
      </c>
      <c r="M1055" s="74">
        <f t="shared" si="2"/>
        <v>0</v>
      </c>
      <c r="N1055" s="74">
        <f t="shared" si="3"/>
        <v>105000</v>
      </c>
      <c r="O1055" s="65" t="str">
        <f>VLOOKUP(E1055,DATABASE!C:Q,8,false)</f>
        <v>IBU</v>
      </c>
      <c r="P1055" s="65">
        <f>VLOOKUP(E1055,DATABASE!C:Q,9,False)</f>
        <v>0</v>
      </c>
      <c r="Q1055" s="93" t="str">
        <f>VLOOKUP(E1055,DATABASE!C:Q,4,false)</f>
        <v>SPOORING SS/CARRY LOS BAK</v>
      </c>
      <c r="R1055" s="93" t="str">
        <f>VLOOKUP(E1055,DATABASE!C:Q,11,false)</f>
        <v>SERVICE</v>
      </c>
    </row>
    <row r="1056" ht="22.5" customHeight="1">
      <c r="A1056" s="49"/>
      <c r="C1056" s="384">
        <v>45718.0</v>
      </c>
      <c r="D1056" s="65">
        <v>4544.0</v>
      </c>
      <c r="E1056" s="445" t="s">
        <v>478</v>
      </c>
      <c r="F1056" s="386">
        <v>1.0</v>
      </c>
      <c r="G1056" s="74">
        <v>200000.0</v>
      </c>
      <c r="H1056" s="74">
        <v>0.0</v>
      </c>
      <c r="I1056" s="74">
        <f t="shared" si="1"/>
        <v>200000</v>
      </c>
      <c r="J1056" s="74">
        <f>IF(E1056="SERVICE",I1056-(I1056*50%),Vlookup(E1056,DATABASE!C:Q,10,false)*F1056)</f>
        <v>25000</v>
      </c>
      <c r="K1056" s="74">
        <f>VLOOKUP(E1056,DATABASE!C:Q,7,false)</f>
        <v>75000</v>
      </c>
      <c r="L1056" s="74">
        <v>75000.0</v>
      </c>
      <c r="M1056" s="74">
        <f t="shared" si="2"/>
        <v>75000</v>
      </c>
      <c r="N1056" s="74">
        <f t="shared" si="3"/>
        <v>100000</v>
      </c>
      <c r="O1056" s="65" t="str">
        <f>VLOOKUP(E1056,DATABASE!C:Q,8,false)</f>
        <v>BIAN</v>
      </c>
      <c r="P1056" s="65">
        <f>VLOOKUP(E1056,DATABASE!C:Q,9,False)</f>
        <v>0</v>
      </c>
      <c r="Q1056" s="93" t="str">
        <f>VLOOKUP(E1056,DATABASE!C:Q,4,false)</f>
        <v>Baut Camber ss-carry</v>
      </c>
      <c r="R1056" s="93" t="str">
        <f>VLOOKUP(E1056,DATABASE!C:Q,11,false)</f>
        <v>COMPLEMENTARY</v>
      </c>
    </row>
    <row r="1057" ht="22.5" customHeight="1">
      <c r="A1057" s="49"/>
      <c r="C1057" s="384">
        <v>45718.0</v>
      </c>
      <c r="D1057" s="65">
        <v>4546.0</v>
      </c>
      <c r="E1057" s="445" t="s">
        <v>974</v>
      </c>
      <c r="F1057" s="386">
        <v>2.0</v>
      </c>
      <c r="G1057" s="74">
        <v>560000.0</v>
      </c>
      <c r="H1057" s="74">
        <v>0.0</v>
      </c>
      <c r="I1057" s="74">
        <f t="shared" si="1"/>
        <v>1120000</v>
      </c>
      <c r="J1057" s="74">
        <f>IF(E1057="SERVICE",I1057-(I1057*50%),Vlookup(E1057,DATABASE!C:Q,10,false)*F1057)</f>
        <v>0</v>
      </c>
      <c r="K1057" s="74">
        <f>VLOOKUP(E1057,DATABASE!C:Q,7,false)</f>
        <v>501500</v>
      </c>
      <c r="L1057" s="74">
        <v>491000.0</v>
      </c>
      <c r="M1057" s="74">
        <f t="shared" si="2"/>
        <v>495000</v>
      </c>
      <c r="N1057" s="74">
        <f t="shared" si="3"/>
        <v>130000</v>
      </c>
      <c r="O1057" s="65" t="str">
        <f>VLOOKUP(E1057,DATABASE!C:Q,8,false)</f>
        <v>IBU</v>
      </c>
      <c r="P1057" s="65">
        <f>VLOOKUP(E1057,DATABASE!C:Q,9,False)</f>
        <v>1</v>
      </c>
      <c r="Q1057" s="93" t="str">
        <f>VLOOKUP(E1057,DATABASE!C:Q,4,false)</f>
        <v>Dunlop</v>
      </c>
      <c r="R1057" s="93" t="str">
        <f>VLOOKUP(E1057,DATABASE!C:Q,11,false)</f>
        <v>Tire</v>
      </c>
    </row>
    <row r="1058" ht="22.5" customHeight="1">
      <c r="A1058" s="49"/>
      <c r="C1058" s="384">
        <v>45718.0</v>
      </c>
      <c r="D1058" s="65">
        <v>4546.0</v>
      </c>
      <c r="E1058" s="445" t="s">
        <v>262</v>
      </c>
      <c r="F1058" s="386">
        <v>1.0</v>
      </c>
      <c r="G1058" s="74">
        <v>110000.0</v>
      </c>
      <c r="H1058" s="74">
        <v>0.0</v>
      </c>
      <c r="I1058" s="74">
        <f t="shared" si="1"/>
        <v>110000</v>
      </c>
      <c r="J1058" s="74">
        <f>IF(E1058="SERVICE",I1058-(I1058*50%),Vlookup(E1058,DATABASE!C:Q,10,false)*F1058)</f>
        <v>5000</v>
      </c>
      <c r="K1058" s="74">
        <f>VLOOKUP(E1058,DATABASE!C:Q,7,false)</f>
        <v>0</v>
      </c>
      <c r="L1058" s="74">
        <v>0.0</v>
      </c>
      <c r="M1058" s="74">
        <f t="shared" si="2"/>
        <v>0</v>
      </c>
      <c r="N1058" s="74">
        <f t="shared" si="3"/>
        <v>105000</v>
      </c>
      <c r="O1058" s="65" t="str">
        <f>VLOOKUP(E1058,DATABASE!C:Q,8,false)</f>
        <v>IBU</v>
      </c>
      <c r="P1058" s="65">
        <f>VLOOKUP(E1058,DATABASE!C:Q,9,False)</f>
        <v>0</v>
      </c>
      <c r="Q1058" s="93" t="str">
        <f>VLOOKUP(E1058,DATABASE!C:Q,4,false)</f>
        <v>SPOORING SS/CARRY LOS BAK</v>
      </c>
      <c r="R1058" s="93" t="str">
        <f>VLOOKUP(E1058,DATABASE!C:Q,11,false)</f>
        <v>SERVICE</v>
      </c>
    </row>
    <row r="1059" ht="22.5" customHeight="1">
      <c r="A1059" s="49"/>
      <c r="C1059" s="384">
        <v>45718.0</v>
      </c>
      <c r="D1059" s="65">
        <v>4546.0</v>
      </c>
      <c r="E1059" s="445" t="s">
        <v>478</v>
      </c>
      <c r="F1059" s="386">
        <v>1.0</v>
      </c>
      <c r="G1059" s="74">
        <v>200000.0</v>
      </c>
      <c r="H1059" s="74">
        <v>0.0</v>
      </c>
      <c r="I1059" s="74">
        <f t="shared" si="1"/>
        <v>200000</v>
      </c>
      <c r="J1059" s="74">
        <f>IF(E1059="SERVICE",I1059-(I1059*50%),Vlookup(E1059,DATABASE!C:Q,10,false)*F1059)</f>
        <v>25000</v>
      </c>
      <c r="K1059" s="74">
        <f>VLOOKUP(E1059,DATABASE!C:Q,7,false)</f>
        <v>75000</v>
      </c>
      <c r="L1059" s="74">
        <v>75000.0</v>
      </c>
      <c r="M1059" s="74">
        <f t="shared" si="2"/>
        <v>75000</v>
      </c>
      <c r="N1059" s="74">
        <f t="shared" si="3"/>
        <v>100000</v>
      </c>
      <c r="O1059" s="65" t="str">
        <f>VLOOKUP(E1059,DATABASE!C:Q,8,false)</f>
        <v>BIAN</v>
      </c>
      <c r="P1059" s="65">
        <f>VLOOKUP(E1059,DATABASE!C:Q,9,False)</f>
        <v>0</v>
      </c>
      <c r="Q1059" s="93" t="str">
        <f>VLOOKUP(E1059,DATABASE!C:Q,4,false)</f>
        <v>Baut Camber ss-carry</v>
      </c>
      <c r="R1059" s="93" t="str">
        <f>VLOOKUP(E1059,DATABASE!C:Q,11,false)</f>
        <v>COMPLEMENTARY</v>
      </c>
    </row>
    <row r="1060" ht="22.5" customHeight="1">
      <c r="A1060" s="49"/>
      <c r="C1060" s="384">
        <v>45718.0</v>
      </c>
      <c r="D1060" s="65">
        <v>4547.0</v>
      </c>
      <c r="E1060" s="445" t="s">
        <v>391</v>
      </c>
      <c r="F1060" s="386">
        <v>1.0</v>
      </c>
      <c r="G1060" s="74">
        <v>1950000.0</v>
      </c>
      <c r="H1060" s="74">
        <v>0.0</v>
      </c>
      <c r="I1060" s="74">
        <f t="shared" si="1"/>
        <v>1950000</v>
      </c>
      <c r="J1060" s="74">
        <f>IF(E1060="SERVICE",I1060-(I1060*50%),Vlookup(E1060,DATABASE!C:Q,10,false)*F1060)</f>
        <v>0</v>
      </c>
      <c r="K1060" s="74">
        <f>VLOOKUP(E1060,DATABASE!C:Q,7,false)</f>
        <v>1885000</v>
      </c>
      <c r="L1060" s="74">
        <v>1840000.0</v>
      </c>
      <c r="M1060" s="74">
        <f t="shared" si="2"/>
        <v>1840000</v>
      </c>
      <c r="N1060" s="74">
        <f t="shared" si="3"/>
        <v>110000</v>
      </c>
      <c r="O1060" s="65" t="str">
        <f>VLOOKUP(E1060,DATABASE!C:Q,8,false)</f>
        <v>BIAN</v>
      </c>
      <c r="P1060" s="65">
        <f>VLOOKUP(E1060,DATABASE!C:Q,9,False)</f>
        <v>1</v>
      </c>
      <c r="Q1060" s="93" t="str">
        <f>VLOOKUP(E1060,DATABASE!C:Q,4,false)</f>
        <v>Advance</v>
      </c>
      <c r="R1060" s="93" t="str">
        <f>VLOOKUP(E1060,DATABASE!C:Q,11,false)</f>
        <v>Tire</v>
      </c>
    </row>
    <row r="1061" ht="22.5" customHeight="1">
      <c r="A1061" s="49"/>
      <c r="C1061" s="384">
        <v>45718.0</v>
      </c>
      <c r="D1061" s="65">
        <v>4547.0</v>
      </c>
      <c r="E1061" s="445" t="s">
        <v>256</v>
      </c>
      <c r="F1061" s="386">
        <v>1.0</v>
      </c>
      <c r="G1061" s="74">
        <v>130000.0</v>
      </c>
      <c r="H1061" s="74">
        <v>0.0</v>
      </c>
      <c r="I1061" s="74">
        <f t="shared" si="1"/>
        <v>130000</v>
      </c>
      <c r="J1061" s="74">
        <f>IF(E1061="SERVICE",I1061-(I1061*50%),Vlookup(E1061,DATABASE!C:Q,10,false)*F1061)</f>
        <v>10000</v>
      </c>
      <c r="K1061" s="74">
        <f>VLOOKUP(E1061,DATABASE!C:Q,7,false)</f>
        <v>0</v>
      </c>
      <c r="L1061" s="74">
        <v>0.0</v>
      </c>
      <c r="M1061" s="74">
        <f t="shared" si="2"/>
        <v>0</v>
      </c>
      <c r="N1061" s="74">
        <f t="shared" si="3"/>
        <v>120000</v>
      </c>
      <c r="O1061" s="65" t="str">
        <f>VLOOKUP(E1061,DATABASE!C:Q,8,false)</f>
        <v>IBU</v>
      </c>
      <c r="P1061" s="65">
        <f>VLOOKUP(E1061,DATABASE!C:Q,9,False)</f>
        <v>0</v>
      </c>
      <c r="Q1061" s="93" t="str">
        <f>VLOOKUP(E1061,DATABASE!C:Q,4,false)</f>
        <v>SPOORING</v>
      </c>
      <c r="R1061" s="93" t="str">
        <f>VLOOKUP(E1061,DATABASE!C:Q,11,false)</f>
        <v>SERVICE</v>
      </c>
    </row>
    <row r="1062" ht="22.5" customHeight="1">
      <c r="A1062" s="49"/>
      <c r="C1062" s="384">
        <v>45718.0</v>
      </c>
      <c r="D1062" s="65">
        <v>4547.0</v>
      </c>
      <c r="E1062" s="445" t="s">
        <v>301</v>
      </c>
      <c r="F1062" s="386">
        <v>1.0</v>
      </c>
      <c r="G1062" s="74">
        <v>250000.0</v>
      </c>
      <c r="H1062" s="74">
        <v>0.0</v>
      </c>
      <c r="I1062" s="74">
        <f t="shared" si="1"/>
        <v>250000</v>
      </c>
      <c r="J1062" s="74">
        <f>IF(E1062="SERVICE",I1062-(I1062*50%),Vlookup(E1062,DATABASE!C:Q,10,false)*F1062)</f>
        <v>75000</v>
      </c>
      <c r="K1062" s="74">
        <f>VLOOKUP(E1062,DATABASE!C:Q,7,false)</f>
        <v>75000</v>
      </c>
      <c r="L1062" s="74">
        <v>75000.0</v>
      </c>
      <c r="M1062" s="74">
        <f t="shared" si="2"/>
        <v>75000</v>
      </c>
      <c r="N1062" s="74">
        <f t="shared" si="3"/>
        <v>100000</v>
      </c>
      <c r="O1062" s="65" t="str">
        <f>VLOOKUP(E1062,DATABASE!C:Q,8,false)</f>
        <v>BIAN</v>
      </c>
      <c r="P1062" s="65">
        <f>VLOOKUP(E1062,DATABASE!C:Q,9,False)</f>
        <v>0</v>
      </c>
      <c r="Q1062" s="93" t="str">
        <f>VLOOKUP(E1062,DATABASE!C:Q,4,false)</f>
        <v>Baut Camber</v>
      </c>
      <c r="R1062" s="93" t="str">
        <f>VLOOKUP(E1062,DATABASE!C:Q,11,false)</f>
        <v>COMPLEMENTARY</v>
      </c>
    </row>
    <row r="1063" ht="22.5" customHeight="1">
      <c r="A1063" s="49"/>
      <c r="C1063" s="384">
        <v>45719.0</v>
      </c>
      <c r="D1063" s="65">
        <v>4549.0</v>
      </c>
      <c r="E1063" s="445" t="s">
        <v>932</v>
      </c>
      <c r="F1063" s="386">
        <v>1.0</v>
      </c>
      <c r="G1063" s="74">
        <v>670000.0</v>
      </c>
      <c r="H1063" s="74">
        <v>0.0</v>
      </c>
      <c r="I1063" s="74">
        <f t="shared" si="1"/>
        <v>670000</v>
      </c>
      <c r="J1063" s="74">
        <f>IF(E1063="SERVICE",I1063-(I1063*50%),Vlookup(E1063,DATABASE!C:Q,10,false)*F1063)</f>
        <v>0</v>
      </c>
      <c r="K1063" s="74">
        <v>575000.0</v>
      </c>
      <c r="L1063" s="74">
        <v>575000.0</v>
      </c>
      <c r="M1063" s="74">
        <f t="shared" si="2"/>
        <v>575000</v>
      </c>
      <c r="N1063" s="74">
        <f t="shared" si="3"/>
        <v>95000</v>
      </c>
      <c r="O1063" s="65" t="str">
        <f>VLOOKUP(E1063,DATABASE!C:Q,8,false)</f>
        <v>IBU</v>
      </c>
      <c r="P1063" s="65">
        <f>VLOOKUP(E1063,DATABASE!C:Q,9,False)</f>
        <v>1</v>
      </c>
      <c r="Q1063" s="93" t="str">
        <f>VLOOKUP(E1063,DATABASE!C:Q,4,false)</f>
        <v>Dunlop</v>
      </c>
      <c r="R1063" s="93" t="str">
        <f>VLOOKUP(E1063,DATABASE!C:Q,11,false)</f>
        <v>Tire</v>
      </c>
    </row>
    <row r="1064" ht="22.5" customHeight="1">
      <c r="A1064" s="49"/>
      <c r="C1064" s="384">
        <v>45719.0</v>
      </c>
      <c r="D1064" s="65">
        <v>4550.0</v>
      </c>
      <c r="E1064" s="445" t="s">
        <v>781</v>
      </c>
      <c r="F1064" s="386">
        <v>1.0</v>
      </c>
      <c r="G1064" s="74">
        <v>530000.0</v>
      </c>
      <c r="H1064" s="74">
        <v>0.0</v>
      </c>
      <c r="I1064" s="74">
        <f t="shared" si="1"/>
        <v>530000</v>
      </c>
      <c r="J1064" s="74">
        <f>IF(E1064="SERVICE",I1064-(I1064*50%),Vlookup(E1064,DATABASE!C:Q,10,false)*F1064)</f>
        <v>0</v>
      </c>
      <c r="K1064" s="74">
        <f>VLOOKUP(E1064,DATABASE!C:Q,7,false)</f>
        <v>470000</v>
      </c>
      <c r="L1064" s="74">
        <v>442500.0</v>
      </c>
      <c r="M1064" s="74">
        <f t="shared" si="2"/>
        <v>445000</v>
      </c>
      <c r="N1064" s="74">
        <f t="shared" si="3"/>
        <v>85000</v>
      </c>
      <c r="O1064" s="65" t="str">
        <f>VLOOKUP(E1064,DATABASE!C:Q,8,false)</f>
        <v>BIAN</v>
      </c>
      <c r="P1064" s="65">
        <f>VLOOKUP(E1064,DATABASE!C:Q,9,False)</f>
        <v>1</v>
      </c>
      <c r="Q1064" s="93" t="str">
        <f>VLOOKUP(E1064,DATABASE!C:Q,4,false)</f>
        <v>GT</v>
      </c>
      <c r="R1064" s="93" t="str">
        <f>VLOOKUP(E1064,DATABASE!C:Q,11,false)</f>
        <v>Tire</v>
      </c>
    </row>
    <row r="1065" ht="22.5" customHeight="1">
      <c r="A1065" s="49"/>
      <c r="C1065" s="384">
        <v>45719.0</v>
      </c>
      <c r="D1065" s="65">
        <v>4550.0</v>
      </c>
      <c r="E1065" s="445" t="s">
        <v>246</v>
      </c>
      <c r="F1065" s="386">
        <v>1.0</v>
      </c>
      <c r="G1065" s="74">
        <v>25000.0</v>
      </c>
      <c r="H1065" s="74">
        <v>0.0</v>
      </c>
      <c r="I1065" s="74">
        <f t="shared" si="1"/>
        <v>25000</v>
      </c>
      <c r="J1065" s="74">
        <f>IF(E1065="SERVICE",I1065-(I1065*50%),Vlookup(E1065,DATABASE!C:Q,10,false)*F1065)</f>
        <v>0</v>
      </c>
      <c r="K1065" s="74">
        <f>VLOOKUP(E1065,DATABASE!C:Q,7,false)</f>
        <v>0</v>
      </c>
      <c r="L1065" s="74">
        <v>0.0</v>
      </c>
      <c r="M1065" s="74">
        <f t="shared" si="2"/>
        <v>0</v>
      </c>
      <c r="N1065" s="74">
        <f t="shared" si="3"/>
        <v>25000</v>
      </c>
      <c r="O1065" s="65" t="str">
        <f>VLOOKUP(E1065,DATABASE!C:Q,8,false)</f>
        <v>IBU</v>
      </c>
      <c r="P1065" s="65">
        <f>VLOOKUP(E1065,DATABASE!C:Q,9,False)</f>
        <v>0</v>
      </c>
      <c r="Q1065" s="93" t="str">
        <f>VLOOKUP(E1065,DATABASE!C:Q,4,false)</f>
        <v>Bongkar Pasang</v>
      </c>
      <c r="R1065" s="93" t="str">
        <f>VLOOKUP(E1065,DATABASE!C:Q,11,false)</f>
        <v>SERVICE</v>
      </c>
    </row>
    <row r="1066" ht="22.5" customHeight="1">
      <c r="A1066" s="49"/>
      <c r="C1066" s="384">
        <v>45719.0</v>
      </c>
      <c r="D1066" s="65">
        <v>4551.0</v>
      </c>
      <c r="E1066" s="445" t="s">
        <v>554</v>
      </c>
      <c r="F1066" s="386">
        <v>1.0</v>
      </c>
      <c r="G1066" s="74">
        <v>800000.0</v>
      </c>
      <c r="H1066" s="74">
        <v>0.0</v>
      </c>
      <c r="I1066" s="74">
        <f t="shared" si="1"/>
        <v>800000</v>
      </c>
      <c r="J1066" s="74">
        <f>IF(E1066="SERVICE",I1066-(I1066*50%),Vlookup(E1066,DATABASE!C:Q,10,false)*F1066)</f>
        <v>0</v>
      </c>
      <c r="K1066" s="74">
        <f>VLOOKUP(E1066,DATABASE!C:Q,7,false)</f>
        <v>710000</v>
      </c>
      <c r="L1066" s="74">
        <v>680000.0</v>
      </c>
      <c r="M1066" s="74">
        <f t="shared" si="2"/>
        <v>680000</v>
      </c>
      <c r="N1066" s="74">
        <f t="shared" si="3"/>
        <v>120000</v>
      </c>
      <c r="O1066" s="65" t="str">
        <f>VLOOKUP(E1066,DATABASE!C:Q,8,false)</f>
        <v>IBU</v>
      </c>
      <c r="P1066" s="65">
        <f>VLOOKUP(E1066,DATABASE!C:Q,9,False)</f>
        <v>1</v>
      </c>
      <c r="Q1066" s="93" t="str">
        <f>VLOOKUP(E1066,DATABASE!C:Q,4,false)</f>
        <v>Bridgestone</v>
      </c>
      <c r="R1066" s="93" t="str">
        <f>VLOOKUP(E1066,DATABASE!C:Q,11,false)</f>
        <v>Tire</v>
      </c>
    </row>
    <row r="1067" ht="22.5" customHeight="1">
      <c r="A1067" s="49"/>
      <c r="C1067" s="384">
        <v>45719.0</v>
      </c>
      <c r="D1067" s="65">
        <v>4552.0</v>
      </c>
      <c r="E1067" s="445" t="s">
        <v>268</v>
      </c>
      <c r="F1067" s="386">
        <v>1.0</v>
      </c>
      <c r="G1067" s="74">
        <v>700000.0</v>
      </c>
      <c r="H1067" s="74">
        <v>0.0</v>
      </c>
      <c r="I1067" s="74">
        <f t="shared" si="1"/>
        <v>700000</v>
      </c>
      <c r="J1067" s="74">
        <f>IF(E1067="SERVICE",I1067-(I1067*50%),Vlookup(E1067,DATABASE!C:Q,10,false)*F1067)</f>
        <v>0</v>
      </c>
      <c r="K1067" s="74">
        <v>613000.0</v>
      </c>
      <c r="L1067" s="74">
        <v>613000.0</v>
      </c>
      <c r="M1067" s="74">
        <f t="shared" si="2"/>
        <v>615000</v>
      </c>
      <c r="N1067" s="74">
        <f t="shared" si="3"/>
        <v>85000</v>
      </c>
      <c r="O1067" s="65" t="str">
        <f>VLOOKUP(E1067,DATABASE!C:Q,8,false)</f>
        <v>IBU</v>
      </c>
      <c r="P1067" s="65">
        <f>VLOOKUP(E1067,DATABASE!C:Q,9,False)</f>
        <v>1</v>
      </c>
      <c r="Q1067" s="93" t="str">
        <f>VLOOKUP(E1067,DATABASE!C:Q,4,false)</f>
        <v>Dunlop</v>
      </c>
      <c r="R1067" s="93" t="str">
        <f>VLOOKUP(E1067,DATABASE!C:Q,11,false)</f>
        <v>Tire</v>
      </c>
    </row>
    <row r="1068" ht="22.5" customHeight="1">
      <c r="A1068" s="49"/>
      <c r="C1068" s="384">
        <v>45719.0</v>
      </c>
      <c r="D1068" s="65">
        <v>4553.0</v>
      </c>
      <c r="E1068" s="445" t="s">
        <v>647</v>
      </c>
      <c r="F1068" s="386">
        <v>2.0</v>
      </c>
      <c r="G1068" s="74">
        <v>1460000.0</v>
      </c>
      <c r="H1068" s="74">
        <v>0.0</v>
      </c>
      <c r="I1068" s="74">
        <f t="shared" si="1"/>
        <v>2920000</v>
      </c>
      <c r="J1068" s="74">
        <f>IF(E1068="SERVICE",I1068-(I1068*50%),Vlookup(E1068,DATABASE!C:Q,10,false)*F1068)</f>
        <v>0</v>
      </c>
      <c r="K1068" s="74">
        <f>VLOOKUP(E1068,DATABASE!C:Q,7,false)</f>
        <v>1420000</v>
      </c>
      <c r="L1068" s="74">
        <v>1420000.0</v>
      </c>
      <c r="M1068" s="74">
        <f t="shared" si="2"/>
        <v>1420000</v>
      </c>
      <c r="N1068" s="74">
        <f t="shared" si="3"/>
        <v>80000</v>
      </c>
      <c r="O1068" s="65" t="str">
        <f>VLOOKUP(E1068,DATABASE!C:Q,8,false)</f>
        <v>BIAN</v>
      </c>
      <c r="P1068" s="65">
        <f>VLOOKUP(E1068,DATABASE!C:Q,9,False)</f>
        <v>1</v>
      </c>
      <c r="Q1068" s="93" t="str">
        <f>VLOOKUP(E1068,DATABASE!C:Q,4,false)</f>
        <v>G. YEAR</v>
      </c>
      <c r="R1068" s="93" t="str">
        <f>VLOOKUP(E1068,DATABASE!C:Q,11,false)</f>
        <v>Tire</v>
      </c>
    </row>
    <row r="1069" ht="22.5" customHeight="1">
      <c r="A1069" s="49"/>
      <c r="C1069" s="384">
        <v>45719.0</v>
      </c>
      <c r="D1069" s="65">
        <v>4553.0</v>
      </c>
      <c r="E1069" s="445" t="s">
        <v>821</v>
      </c>
      <c r="F1069" s="386">
        <v>2.0</v>
      </c>
      <c r="G1069" s="74">
        <v>80000.0</v>
      </c>
      <c r="H1069" s="74">
        <v>0.0</v>
      </c>
      <c r="I1069" s="74">
        <f t="shared" si="1"/>
        <v>160000</v>
      </c>
      <c r="J1069" s="74">
        <f>IF(E1069="SERVICE",I1069-(I1069*50%),Vlookup(E1069,DATABASE!C:Q,10,false)*F1069)</f>
        <v>0</v>
      </c>
      <c r="K1069" s="74">
        <f>VLOOKUP(E1069,DATABASE!C:Q,7,false)</f>
        <v>43500</v>
      </c>
      <c r="L1069" s="74">
        <v>43520.0</v>
      </c>
      <c r="M1069" s="74">
        <f t="shared" si="2"/>
        <v>45000</v>
      </c>
      <c r="N1069" s="74">
        <f t="shared" si="3"/>
        <v>70000</v>
      </c>
      <c r="O1069" s="65" t="str">
        <f>VLOOKUP(E1069,DATABASE!C:Q,8,false)</f>
        <v>BIAN</v>
      </c>
      <c r="P1069" s="65">
        <f>VLOOKUP(E1069,DATABASE!C:Q,9,False)</f>
        <v>1</v>
      </c>
      <c r="Q1069" s="93" t="str">
        <f>VLOOKUP(E1069,DATABASE!C:Q,4,false)</f>
        <v>Flap</v>
      </c>
      <c r="R1069" s="93" t="str">
        <f>VLOOKUP(E1069,DATABASE!C:Q,11,false)</f>
        <v>Tire</v>
      </c>
    </row>
    <row r="1070" ht="22.5" customHeight="1">
      <c r="A1070" s="49"/>
      <c r="C1070" s="384">
        <v>45719.0</v>
      </c>
      <c r="D1070" s="65">
        <v>4554.0</v>
      </c>
      <c r="E1070" s="445" t="s">
        <v>554</v>
      </c>
      <c r="F1070" s="386">
        <v>2.0</v>
      </c>
      <c r="G1070" s="74">
        <v>800000.0</v>
      </c>
      <c r="H1070" s="74">
        <v>0.0</v>
      </c>
      <c r="I1070" s="74">
        <f t="shared" si="1"/>
        <v>1600000</v>
      </c>
      <c r="J1070" s="74">
        <f>IF(E1070="SERVICE",I1070-(I1070*50%),Vlookup(E1070,DATABASE!C:Q,10,false)*F1070)</f>
        <v>0</v>
      </c>
      <c r="K1070" s="74">
        <f>VLOOKUP(E1070,DATABASE!C:Q,7,false)</f>
        <v>710000</v>
      </c>
      <c r="L1070" s="74">
        <v>680000.0</v>
      </c>
      <c r="M1070" s="74">
        <f t="shared" si="2"/>
        <v>680000</v>
      </c>
      <c r="N1070" s="74">
        <f t="shared" si="3"/>
        <v>240000</v>
      </c>
      <c r="O1070" s="65" t="str">
        <f>VLOOKUP(E1070,DATABASE!C:Q,8,false)</f>
        <v>IBU</v>
      </c>
      <c r="P1070" s="65">
        <f>VLOOKUP(E1070,DATABASE!C:Q,9,False)</f>
        <v>1</v>
      </c>
      <c r="Q1070" s="93" t="str">
        <f>VLOOKUP(E1070,DATABASE!C:Q,4,false)</f>
        <v>Bridgestone</v>
      </c>
      <c r="R1070" s="93" t="str">
        <f>VLOOKUP(E1070,DATABASE!C:Q,11,false)</f>
        <v>Tire</v>
      </c>
    </row>
    <row r="1071" ht="22.5" customHeight="1">
      <c r="A1071" s="49"/>
      <c r="C1071" s="384">
        <v>45719.0</v>
      </c>
      <c r="D1071" s="65">
        <v>4555.0</v>
      </c>
      <c r="E1071" s="445" t="s">
        <v>777</v>
      </c>
      <c r="F1071" s="386">
        <v>1.0</v>
      </c>
      <c r="G1071" s="74">
        <v>585000.0</v>
      </c>
      <c r="H1071" s="74">
        <v>0.0</v>
      </c>
      <c r="I1071" s="74">
        <f t="shared" si="1"/>
        <v>585000</v>
      </c>
      <c r="J1071" s="74">
        <f>IF(E1071="SERVICE",I1071-(I1071*50%),Vlookup(E1071,DATABASE!C:Q,10,false)*F1071)</f>
        <v>0</v>
      </c>
      <c r="K1071" s="74">
        <f>VLOOKUP(E1071,DATABASE!C:Q,7,false)</f>
        <v>540000</v>
      </c>
      <c r="L1071" s="74">
        <v>507000.0</v>
      </c>
      <c r="M1071" s="74">
        <f t="shared" si="2"/>
        <v>510000</v>
      </c>
      <c r="N1071" s="74">
        <f t="shared" si="3"/>
        <v>75000</v>
      </c>
      <c r="O1071" s="65" t="str">
        <f>VLOOKUP(E1071,DATABASE!C:Q,8,false)</f>
        <v>BIAN</v>
      </c>
      <c r="P1071" s="65">
        <f>VLOOKUP(E1071,DATABASE!C:Q,9,False)</f>
        <v>1</v>
      </c>
      <c r="Q1071" s="93" t="str">
        <f>VLOOKUP(E1071,DATABASE!C:Q,4,false)</f>
        <v>GT</v>
      </c>
      <c r="R1071" s="93" t="str">
        <f>VLOOKUP(E1071,DATABASE!C:Q,11,false)</f>
        <v>Tire</v>
      </c>
    </row>
    <row r="1072" ht="22.5" customHeight="1">
      <c r="A1072" s="49"/>
      <c r="C1072" s="384">
        <v>45719.0</v>
      </c>
      <c r="D1072" s="65">
        <v>4555.0</v>
      </c>
      <c r="E1072" s="445" t="s">
        <v>585</v>
      </c>
      <c r="F1072" s="386">
        <v>1.0</v>
      </c>
      <c r="G1072" s="74">
        <v>95000.0</v>
      </c>
      <c r="H1072" s="74">
        <v>0.0</v>
      </c>
      <c r="I1072" s="74">
        <f t="shared" si="1"/>
        <v>95000</v>
      </c>
      <c r="J1072" s="74">
        <f>IF(E1072="SERVICE",I1072-(I1072*50%),Vlookup(E1072,DATABASE!C:Q,10,false)*F1072)</f>
        <v>0</v>
      </c>
      <c r="K1072" s="74">
        <f>VLOOKUP(E1072,DATABASE!C:Q,7,false)</f>
        <v>61600</v>
      </c>
      <c r="L1072" s="74">
        <v>61600.0</v>
      </c>
      <c r="M1072" s="74">
        <f t="shared" si="2"/>
        <v>65000</v>
      </c>
      <c r="N1072" s="74">
        <f t="shared" si="3"/>
        <v>30000</v>
      </c>
      <c r="O1072" s="65" t="str">
        <f>VLOOKUP(E1072,DATABASE!C:Q,8,false)</f>
        <v>BIAN</v>
      </c>
      <c r="P1072" s="65">
        <f>VLOOKUP(E1072,DATABASE!C:Q,9,False)</f>
        <v>1</v>
      </c>
      <c r="Q1072" s="93" t="str">
        <f>VLOOKUP(E1072,DATABASE!C:Q,4,false)</f>
        <v>BD</v>
      </c>
      <c r="R1072" s="93" t="str">
        <f>VLOOKUP(E1072,DATABASE!C:Q,11,false)</f>
        <v>Tire</v>
      </c>
    </row>
    <row r="1073" ht="22.5" customHeight="1">
      <c r="A1073" s="49"/>
      <c r="C1073" s="384">
        <v>45720.0</v>
      </c>
      <c r="D1073" s="65">
        <v>4558.0</v>
      </c>
      <c r="E1073" s="445" t="s">
        <v>554</v>
      </c>
      <c r="F1073" s="386">
        <v>1.0</v>
      </c>
      <c r="G1073" s="74">
        <v>800000.0</v>
      </c>
      <c r="H1073" s="74">
        <v>0.0</v>
      </c>
      <c r="I1073" s="74">
        <f t="shared" si="1"/>
        <v>800000</v>
      </c>
      <c r="J1073" s="74">
        <f>IF(E1073="SERVICE",I1073-(I1073*50%),Vlookup(E1073,DATABASE!C:Q,10,false)*F1073)</f>
        <v>0</v>
      </c>
      <c r="K1073" s="74">
        <f>VLOOKUP(E1073,DATABASE!C:Q,7,false)</f>
        <v>710000</v>
      </c>
      <c r="L1073" s="74">
        <v>680000.0</v>
      </c>
      <c r="M1073" s="74">
        <f t="shared" si="2"/>
        <v>680000</v>
      </c>
      <c r="N1073" s="74">
        <f t="shared" si="3"/>
        <v>120000</v>
      </c>
      <c r="O1073" s="65" t="str">
        <f>VLOOKUP(E1073,DATABASE!C:Q,8,false)</f>
        <v>IBU</v>
      </c>
      <c r="P1073" s="65">
        <f>VLOOKUP(E1073,DATABASE!C:Q,9,False)</f>
        <v>1</v>
      </c>
      <c r="Q1073" s="93" t="str">
        <f>VLOOKUP(E1073,DATABASE!C:Q,4,false)</f>
        <v>Bridgestone</v>
      </c>
      <c r="R1073" s="93" t="str">
        <f>VLOOKUP(E1073,DATABASE!C:Q,11,false)</f>
        <v>Tire</v>
      </c>
    </row>
    <row r="1074" ht="22.5" customHeight="1">
      <c r="A1074" s="49"/>
      <c r="C1074" s="384">
        <v>45720.0</v>
      </c>
      <c r="D1074" s="65">
        <v>4558.0</v>
      </c>
      <c r="E1074" s="445" t="s">
        <v>271</v>
      </c>
      <c r="F1074" s="386">
        <v>2.0</v>
      </c>
      <c r="G1074" s="74">
        <v>635000.0</v>
      </c>
      <c r="H1074" s="74">
        <v>0.0</v>
      </c>
      <c r="I1074" s="74">
        <f t="shared" si="1"/>
        <v>1270000</v>
      </c>
      <c r="J1074" s="74">
        <f>IF(E1074="SERVICE",I1074-(I1074*50%),Vlookup(E1074,DATABASE!C:Q,10,false)*F1074)</f>
        <v>0</v>
      </c>
      <c r="K1074" s="74">
        <f>VLOOKUP(E1074,DATABASE!C:Q,7,false)</f>
        <v>570000</v>
      </c>
      <c r="L1074" s="74">
        <v>539000.0</v>
      </c>
      <c r="M1074" s="74">
        <f t="shared" si="2"/>
        <v>540000</v>
      </c>
      <c r="N1074" s="74">
        <f t="shared" si="3"/>
        <v>190000</v>
      </c>
      <c r="O1074" s="65" t="str">
        <f>VLOOKUP(E1074,DATABASE!C:Q,8,false)</f>
        <v>IBU</v>
      </c>
      <c r="P1074" s="65">
        <f>VLOOKUP(E1074,DATABASE!C:Q,9,False)</f>
        <v>1</v>
      </c>
      <c r="Q1074" s="93" t="str">
        <f>VLOOKUP(E1074,DATABASE!C:Q,4,false)</f>
        <v>Dunlop</v>
      </c>
      <c r="R1074" s="93" t="str">
        <f>VLOOKUP(E1074,DATABASE!C:Q,11,false)</f>
        <v>Tire</v>
      </c>
    </row>
    <row r="1075" ht="22.5" customHeight="1">
      <c r="A1075" s="49"/>
      <c r="C1075" s="384">
        <v>45720.0</v>
      </c>
      <c r="D1075" s="65">
        <v>4559.0</v>
      </c>
      <c r="E1075" s="445" t="s">
        <v>256</v>
      </c>
      <c r="F1075" s="386">
        <v>1.0</v>
      </c>
      <c r="G1075" s="74">
        <v>130000.0</v>
      </c>
      <c r="H1075" s="74">
        <v>0.0</v>
      </c>
      <c r="I1075" s="74">
        <f t="shared" si="1"/>
        <v>130000</v>
      </c>
      <c r="J1075" s="74">
        <f>IF(E1075="SERVICE",I1075-(I1075*50%),Vlookup(E1075,DATABASE!C:Q,10,false)*F1075)</f>
        <v>10000</v>
      </c>
      <c r="K1075" s="74">
        <f>VLOOKUP(E1075,DATABASE!C:Q,7,false)</f>
        <v>0</v>
      </c>
      <c r="L1075" s="74">
        <v>0.0</v>
      </c>
      <c r="M1075" s="74">
        <f t="shared" si="2"/>
        <v>0</v>
      </c>
      <c r="N1075" s="74">
        <f t="shared" si="3"/>
        <v>120000</v>
      </c>
      <c r="O1075" s="65" t="str">
        <f>VLOOKUP(E1075,DATABASE!C:Q,8,false)</f>
        <v>IBU</v>
      </c>
      <c r="P1075" s="65">
        <f>VLOOKUP(E1075,DATABASE!C:Q,9,False)</f>
        <v>0</v>
      </c>
      <c r="Q1075" s="93" t="str">
        <f>VLOOKUP(E1075,DATABASE!C:Q,4,false)</f>
        <v>SPOORING</v>
      </c>
      <c r="R1075" s="93" t="str">
        <f>VLOOKUP(E1075,DATABASE!C:Q,11,false)</f>
        <v>SERVICE</v>
      </c>
    </row>
    <row r="1076" ht="22.5" customHeight="1">
      <c r="A1076" s="49"/>
      <c r="C1076" s="384">
        <v>45720.0</v>
      </c>
      <c r="D1076" s="65">
        <v>4559.0</v>
      </c>
      <c r="E1076" s="385" t="s">
        <v>299</v>
      </c>
      <c r="F1076" s="386">
        <v>2.0</v>
      </c>
      <c r="G1076" s="74">
        <v>30000.0</v>
      </c>
      <c r="H1076" s="74">
        <v>0.0</v>
      </c>
      <c r="I1076" s="74">
        <f t="shared" si="1"/>
        <v>60000</v>
      </c>
      <c r="J1076" s="74">
        <f>IF(E1076="SERVICE",I1076-(I1076*50%),Vlookup(E1076,DATABASE!C:Q,10,false)*F1076)</f>
        <v>0</v>
      </c>
      <c r="K1076" s="74">
        <v>0.0</v>
      </c>
      <c r="L1076" s="74">
        <v>0.0</v>
      </c>
      <c r="M1076" s="74">
        <f t="shared" si="2"/>
        <v>0</v>
      </c>
      <c r="N1076" s="74">
        <f t="shared" si="3"/>
        <v>60000</v>
      </c>
      <c r="O1076" s="65" t="str">
        <f>VLOOKUP(E1076,DATABASE!C:Q,8,false)</f>
        <v>BIAN</v>
      </c>
      <c r="P1076" s="65">
        <f>VLOOKUP(E1076,DATABASE!C:Q,9,False)</f>
        <v>0</v>
      </c>
      <c r="Q1076" s="93" t="str">
        <f>VLOOKUP(E1076,DATABASE!C:Q,4,false)</f>
        <v>Balancing</v>
      </c>
      <c r="R1076" s="93" t="str">
        <f>VLOOKUP(E1076,DATABASE!C:Q,11,false)</f>
        <v>COMPLEMENTARY</v>
      </c>
    </row>
    <row r="1077" ht="22.5" customHeight="1">
      <c r="A1077" s="49"/>
      <c r="C1077" s="384">
        <v>45720.0</v>
      </c>
      <c r="D1077" s="65">
        <v>4559.0</v>
      </c>
      <c r="E1077" s="445" t="s">
        <v>301</v>
      </c>
      <c r="F1077" s="386">
        <v>1.0</v>
      </c>
      <c r="G1077" s="74">
        <v>250000.0</v>
      </c>
      <c r="H1077" s="74">
        <v>0.0</v>
      </c>
      <c r="I1077" s="74">
        <f t="shared" si="1"/>
        <v>250000</v>
      </c>
      <c r="J1077" s="74">
        <f>IF(E1077="SERVICE",I1077-(I1077*50%),Vlookup(E1077,DATABASE!C:Q,10,false)*F1077)</f>
        <v>75000</v>
      </c>
      <c r="K1077" s="74">
        <f>VLOOKUP(E1077,DATABASE!C:Q,7,false)</f>
        <v>75000</v>
      </c>
      <c r="L1077" s="74">
        <v>75000.0</v>
      </c>
      <c r="M1077" s="74">
        <f t="shared" si="2"/>
        <v>75000</v>
      </c>
      <c r="N1077" s="74">
        <f t="shared" si="3"/>
        <v>100000</v>
      </c>
      <c r="O1077" s="65" t="str">
        <f>VLOOKUP(E1077,DATABASE!C:Q,8,false)</f>
        <v>BIAN</v>
      </c>
      <c r="P1077" s="65">
        <f>VLOOKUP(E1077,DATABASE!C:Q,9,False)</f>
        <v>0</v>
      </c>
      <c r="Q1077" s="93" t="str">
        <f>VLOOKUP(E1077,DATABASE!C:Q,4,false)</f>
        <v>Baut Camber</v>
      </c>
      <c r="R1077" s="93" t="str">
        <f>VLOOKUP(E1077,DATABASE!C:Q,11,false)</f>
        <v>COMPLEMENTARY</v>
      </c>
    </row>
    <row r="1078" ht="22.5" customHeight="1">
      <c r="A1078" s="49"/>
      <c r="C1078" s="384">
        <v>45720.0</v>
      </c>
      <c r="D1078" s="65">
        <v>4560.0</v>
      </c>
      <c r="E1078" s="445" t="s">
        <v>301</v>
      </c>
      <c r="F1078" s="386">
        <v>1.0</v>
      </c>
      <c r="G1078" s="74">
        <v>250000.0</v>
      </c>
      <c r="H1078" s="74">
        <v>0.0</v>
      </c>
      <c r="I1078" s="74">
        <f t="shared" si="1"/>
        <v>250000</v>
      </c>
      <c r="J1078" s="74">
        <f>IF(E1078="SERVICE",I1078-(I1078*50%),Vlookup(E1078,DATABASE!C:Q,10,false)*F1078)</f>
        <v>75000</v>
      </c>
      <c r="K1078" s="74">
        <f>VLOOKUP(E1078,DATABASE!C:Q,7,false)</f>
        <v>75000</v>
      </c>
      <c r="L1078" s="74">
        <v>75000.0</v>
      </c>
      <c r="M1078" s="74">
        <f t="shared" si="2"/>
        <v>75000</v>
      </c>
      <c r="N1078" s="74">
        <f t="shared" si="3"/>
        <v>100000</v>
      </c>
      <c r="O1078" s="65" t="str">
        <f>VLOOKUP(E1078,DATABASE!C:Q,8,false)</f>
        <v>BIAN</v>
      </c>
      <c r="P1078" s="65">
        <f>VLOOKUP(E1078,DATABASE!C:Q,9,False)</f>
        <v>0</v>
      </c>
      <c r="Q1078" s="93" t="str">
        <f>VLOOKUP(E1078,DATABASE!C:Q,4,false)</f>
        <v>Baut Camber</v>
      </c>
      <c r="R1078" s="93" t="str">
        <f>VLOOKUP(E1078,DATABASE!C:Q,11,false)</f>
        <v>COMPLEMENTARY</v>
      </c>
    </row>
    <row r="1079" ht="22.5" customHeight="1">
      <c r="A1079" s="49"/>
      <c r="C1079" s="384">
        <v>45720.0</v>
      </c>
      <c r="D1079" s="65">
        <v>4561.0</v>
      </c>
      <c r="E1079" s="445" t="s">
        <v>268</v>
      </c>
      <c r="F1079" s="386">
        <v>2.0</v>
      </c>
      <c r="G1079" s="74">
        <v>700000.0</v>
      </c>
      <c r="H1079" s="74">
        <v>0.0</v>
      </c>
      <c r="I1079" s="74">
        <f t="shared" si="1"/>
        <v>1400000</v>
      </c>
      <c r="J1079" s="74">
        <f>IF(E1079="SERVICE",I1079-(I1079*50%),Vlookup(E1079,DATABASE!C:Q,10,false)*F1079)</f>
        <v>0</v>
      </c>
      <c r="K1079" s="74">
        <v>613000.0</v>
      </c>
      <c r="L1079" s="74">
        <v>613000.0</v>
      </c>
      <c r="M1079" s="74">
        <f t="shared" si="2"/>
        <v>615000</v>
      </c>
      <c r="N1079" s="74">
        <f t="shared" si="3"/>
        <v>170000</v>
      </c>
      <c r="O1079" s="65" t="str">
        <f>VLOOKUP(E1079,DATABASE!C:Q,8,false)</f>
        <v>IBU</v>
      </c>
      <c r="P1079" s="65">
        <f>VLOOKUP(E1079,DATABASE!C:Q,9,False)</f>
        <v>1</v>
      </c>
      <c r="Q1079" s="93" t="str">
        <f>VLOOKUP(E1079,DATABASE!C:Q,4,false)</f>
        <v>Dunlop</v>
      </c>
      <c r="R1079" s="93" t="str">
        <f>VLOOKUP(E1079,DATABASE!C:Q,11,false)</f>
        <v>Tire</v>
      </c>
    </row>
    <row r="1080" ht="22.5" customHeight="1">
      <c r="A1080" s="49"/>
      <c r="C1080" s="384">
        <v>45720.0</v>
      </c>
      <c r="D1080" s="65">
        <v>4562.0</v>
      </c>
      <c r="E1080" s="445" t="s">
        <v>286</v>
      </c>
      <c r="F1080" s="386">
        <v>2.0</v>
      </c>
      <c r="G1080" s="74">
        <v>560000.0</v>
      </c>
      <c r="H1080" s="74">
        <v>0.0</v>
      </c>
      <c r="I1080" s="74">
        <f t="shared" si="1"/>
        <v>1120000</v>
      </c>
      <c r="J1080" s="74">
        <f>IF(E1080="SERVICE",I1080-(I1080*50%),Vlookup(E1080,DATABASE!C:Q,10,false)*F1080)</f>
        <v>0</v>
      </c>
      <c r="K1080" s="74">
        <f>VLOOKUP(E1080,DATABASE!C:Q,7,false)</f>
        <v>488320</v>
      </c>
      <c r="L1080" s="74">
        <v>452970.0</v>
      </c>
      <c r="M1080" s="74">
        <f t="shared" si="2"/>
        <v>455000</v>
      </c>
      <c r="N1080" s="74">
        <f t="shared" si="3"/>
        <v>210000</v>
      </c>
      <c r="O1080" s="65" t="str">
        <f>VLOOKUP(E1080,DATABASE!C:Q,8,false)</f>
        <v>BIAN</v>
      </c>
      <c r="P1080" s="65">
        <f>VLOOKUP(E1080,DATABASE!C:Q,9,False)</f>
        <v>1</v>
      </c>
      <c r="Q1080" s="93" t="str">
        <f>VLOOKUP(E1080,DATABASE!C:Q,4,false)</f>
        <v>GT</v>
      </c>
      <c r="R1080" s="93" t="str">
        <f>VLOOKUP(E1080,DATABASE!C:Q,11,false)</f>
        <v>Tire</v>
      </c>
    </row>
    <row r="1081" ht="22.5" customHeight="1">
      <c r="A1081" s="49"/>
      <c r="C1081" s="384">
        <v>45720.0</v>
      </c>
      <c r="D1081" s="65">
        <v>4563.0</v>
      </c>
      <c r="E1081" s="445" t="s">
        <v>937</v>
      </c>
      <c r="F1081" s="386">
        <v>2.0</v>
      </c>
      <c r="G1081" s="74">
        <v>900000.0</v>
      </c>
      <c r="H1081" s="74">
        <v>0.0</v>
      </c>
      <c r="I1081" s="74">
        <f t="shared" si="1"/>
        <v>1800000</v>
      </c>
      <c r="J1081" s="74">
        <f>IF(E1081="SERVICE",I1081-(I1081*50%),Vlookup(E1081,DATABASE!C:Q,10,false)*F1081)</f>
        <v>0</v>
      </c>
      <c r="K1081" s="74">
        <f>VLOOKUP(E1081,DATABASE!C:Q,7,false)</f>
        <v>825000</v>
      </c>
      <c r="L1081" s="74">
        <v>790000.0</v>
      </c>
      <c r="M1081" s="74">
        <f t="shared" si="2"/>
        <v>790000</v>
      </c>
      <c r="N1081" s="74">
        <f t="shared" si="3"/>
        <v>220000</v>
      </c>
      <c r="O1081" s="65" t="str">
        <f>VLOOKUP(E1081,DATABASE!C:Q,8,false)</f>
        <v>IBU</v>
      </c>
      <c r="P1081" s="65">
        <f>VLOOKUP(E1081,DATABASE!C:Q,9,False)</f>
        <v>1</v>
      </c>
      <c r="Q1081" s="93" t="str">
        <f>VLOOKUP(E1081,DATABASE!C:Q,4,false)</f>
        <v>Bridgestone</v>
      </c>
      <c r="R1081" s="93" t="str">
        <f>VLOOKUP(E1081,DATABASE!C:Q,11,false)</f>
        <v>Tire</v>
      </c>
    </row>
    <row r="1082" ht="22.5" customHeight="1">
      <c r="A1082" s="49"/>
      <c r="C1082" s="384">
        <v>45720.0</v>
      </c>
      <c r="D1082" s="65">
        <v>4563.0</v>
      </c>
      <c r="E1082" s="445" t="s">
        <v>251</v>
      </c>
      <c r="F1082" s="386">
        <v>1.0</v>
      </c>
      <c r="G1082" s="74">
        <v>150000.0</v>
      </c>
      <c r="H1082" s="74">
        <v>0.0</v>
      </c>
      <c r="I1082" s="74">
        <f t="shared" si="1"/>
        <v>150000</v>
      </c>
      <c r="J1082" s="74">
        <f>IF(E1082="SERVICE",I1082-(I1082*50%),Vlookup(E1082,DATABASE!C:Q,10,false)*F1082)</f>
        <v>75000</v>
      </c>
      <c r="K1082" s="74">
        <f>VLOOKUP(E1082,DATABASE!C:Q,7,false)</f>
        <v>0</v>
      </c>
      <c r="L1082" s="74">
        <v>0.0</v>
      </c>
      <c r="M1082" s="74">
        <f t="shared" si="2"/>
        <v>0</v>
      </c>
      <c r="N1082" s="74">
        <f t="shared" si="3"/>
        <v>75000</v>
      </c>
      <c r="O1082" s="65" t="str">
        <f>VLOOKUP(E1082,DATABASE!C:Q,8,false)</f>
        <v>IBU</v>
      </c>
      <c r="P1082" s="65">
        <f>VLOOKUP(E1082,DATABASE!C:Q,9,False)</f>
        <v>0</v>
      </c>
      <c r="Q1082" s="93" t="str">
        <f>VLOOKUP(E1082,DATABASE!C:Q,4,false)</f>
        <v>SERVICE</v>
      </c>
      <c r="R1082" s="93" t="str">
        <f>VLOOKUP(E1082,DATABASE!C:Q,11,false)</f>
        <v>SERVICE</v>
      </c>
    </row>
    <row r="1083" ht="22.5" customHeight="1">
      <c r="A1083" s="49"/>
      <c r="C1083" s="384">
        <v>45720.0</v>
      </c>
      <c r="D1083" s="65">
        <v>4563.0</v>
      </c>
      <c r="E1083" s="385" t="s">
        <v>299</v>
      </c>
      <c r="F1083" s="386">
        <v>2.0</v>
      </c>
      <c r="G1083" s="74">
        <v>30000.0</v>
      </c>
      <c r="H1083" s="74">
        <v>0.0</v>
      </c>
      <c r="I1083" s="74">
        <f t="shared" si="1"/>
        <v>60000</v>
      </c>
      <c r="J1083" s="74">
        <f>IF(E1083="SERVICE",I1083-(I1083*50%),Vlookup(E1083,DATABASE!C:Q,10,false)*F1083)</f>
        <v>0</v>
      </c>
      <c r="K1083" s="74">
        <v>0.0</v>
      </c>
      <c r="L1083" s="74">
        <v>0.0</v>
      </c>
      <c r="M1083" s="74">
        <f t="shared" si="2"/>
        <v>0</v>
      </c>
      <c r="N1083" s="74">
        <f t="shared" si="3"/>
        <v>60000</v>
      </c>
      <c r="O1083" s="65" t="str">
        <f>VLOOKUP(E1083,DATABASE!C:Q,8,false)</f>
        <v>BIAN</v>
      </c>
      <c r="P1083" s="65">
        <f>VLOOKUP(E1083,DATABASE!C:Q,9,False)</f>
        <v>0</v>
      </c>
      <c r="Q1083" s="93" t="str">
        <f>VLOOKUP(E1083,DATABASE!C:Q,4,false)</f>
        <v>Balancing</v>
      </c>
      <c r="R1083" s="93" t="str">
        <f>VLOOKUP(E1083,DATABASE!C:Q,11,false)</f>
        <v>COMPLEMENTARY</v>
      </c>
    </row>
    <row r="1084" ht="22.5" customHeight="1">
      <c r="A1084" s="49"/>
      <c r="C1084" s="384">
        <v>45720.0</v>
      </c>
      <c r="D1084" s="65">
        <v>4563.0</v>
      </c>
      <c r="E1084" s="445" t="s">
        <v>262</v>
      </c>
      <c r="F1084" s="386">
        <v>1.0</v>
      </c>
      <c r="G1084" s="74">
        <v>110000.0</v>
      </c>
      <c r="H1084" s="74">
        <v>0.0</v>
      </c>
      <c r="I1084" s="74">
        <f t="shared" si="1"/>
        <v>110000</v>
      </c>
      <c r="J1084" s="74">
        <f>IF(E1084="SERVICE",I1084-(I1084*50%),Vlookup(E1084,DATABASE!C:Q,10,false)*F1084)</f>
        <v>5000</v>
      </c>
      <c r="K1084" s="74">
        <f>VLOOKUP(E1084,DATABASE!C:Q,7,false)</f>
        <v>0</v>
      </c>
      <c r="L1084" s="74">
        <v>0.0</v>
      </c>
      <c r="M1084" s="74">
        <f t="shared" si="2"/>
        <v>0</v>
      </c>
      <c r="N1084" s="74">
        <f t="shared" si="3"/>
        <v>105000</v>
      </c>
      <c r="O1084" s="65" t="str">
        <f>VLOOKUP(E1084,DATABASE!C:Q,8,false)</f>
        <v>IBU</v>
      </c>
      <c r="P1084" s="65">
        <f>VLOOKUP(E1084,DATABASE!C:Q,9,False)</f>
        <v>0</v>
      </c>
      <c r="Q1084" s="93" t="str">
        <f>VLOOKUP(E1084,DATABASE!C:Q,4,false)</f>
        <v>SPOORING SS/CARRY LOS BAK</v>
      </c>
      <c r="R1084" s="93" t="str">
        <f>VLOOKUP(E1084,DATABASE!C:Q,11,false)</f>
        <v>SERVICE</v>
      </c>
    </row>
    <row r="1085" ht="22.5" customHeight="1">
      <c r="A1085" s="49"/>
      <c r="C1085" s="384">
        <v>45720.0</v>
      </c>
      <c r="D1085" s="65">
        <v>4565.0</v>
      </c>
      <c r="E1085" s="445" t="s">
        <v>1009</v>
      </c>
      <c r="F1085" s="386">
        <v>2.0</v>
      </c>
      <c r="G1085" s="74">
        <v>700000.0</v>
      </c>
      <c r="H1085" s="74">
        <v>0.0</v>
      </c>
      <c r="I1085" s="74">
        <f t="shared" si="1"/>
        <v>1400000</v>
      </c>
      <c r="J1085" s="74">
        <f>IF(E1085="SERVICE",I1085-(I1085*50%),Vlookup(E1085,DATABASE!C:Q,10,false)*F1085)</f>
        <v>0</v>
      </c>
      <c r="K1085" s="74">
        <f>VLOOKUP(E1085,DATABASE!C:Q,7,false)</f>
        <v>609800</v>
      </c>
      <c r="L1085" s="74">
        <v>592200.0</v>
      </c>
      <c r="M1085" s="74">
        <f t="shared" si="2"/>
        <v>595000</v>
      </c>
      <c r="N1085" s="74">
        <f t="shared" si="3"/>
        <v>210000</v>
      </c>
      <c r="O1085" s="65" t="str">
        <f>VLOOKUP(E1085,DATABASE!C:Q,8,false)</f>
        <v>BIAN</v>
      </c>
      <c r="P1085" s="65">
        <f>VLOOKUP(E1085,DATABASE!C:Q,9,False)</f>
        <v>1</v>
      </c>
      <c r="Q1085" s="93" t="str">
        <f>VLOOKUP(E1085,DATABASE!C:Q,4,false)</f>
        <v>GT</v>
      </c>
      <c r="R1085" s="93" t="str">
        <f>VLOOKUP(E1085,DATABASE!C:Q,11,false)</f>
        <v>Tire</v>
      </c>
    </row>
    <row r="1086" ht="22.5" customHeight="1">
      <c r="A1086" s="49"/>
      <c r="C1086" s="384">
        <v>45720.0</v>
      </c>
      <c r="D1086" s="65">
        <v>4566.0</v>
      </c>
      <c r="E1086" s="445" t="s">
        <v>271</v>
      </c>
      <c r="F1086" s="386">
        <v>2.0</v>
      </c>
      <c r="G1086" s="74">
        <v>635000.0</v>
      </c>
      <c r="H1086" s="74">
        <v>0.0</v>
      </c>
      <c r="I1086" s="74">
        <f t="shared" si="1"/>
        <v>1270000</v>
      </c>
      <c r="J1086" s="74">
        <f>IF(E1086="SERVICE",I1086-(I1086*50%),Vlookup(E1086,DATABASE!C:Q,10,false)*F1086)</f>
        <v>0</v>
      </c>
      <c r="K1086" s="74">
        <f>VLOOKUP(E1086,DATABASE!C:Q,7,false)</f>
        <v>570000</v>
      </c>
      <c r="L1086" s="74">
        <v>539000.0</v>
      </c>
      <c r="M1086" s="74">
        <f t="shared" si="2"/>
        <v>540000</v>
      </c>
      <c r="N1086" s="74">
        <f t="shared" si="3"/>
        <v>190000</v>
      </c>
      <c r="O1086" s="65" t="str">
        <f>VLOOKUP(E1086,DATABASE!C:Q,8,false)</f>
        <v>IBU</v>
      </c>
      <c r="P1086" s="65">
        <f>VLOOKUP(E1086,DATABASE!C:Q,9,False)</f>
        <v>1</v>
      </c>
      <c r="Q1086" s="93" t="str">
        <f>VLOOKUP(E1086,DATABASE!C:Q,4,false)</f>
        <v>Dunlop</v>
      </c>
      <c r="R1086" s="93" t="str">
        <f>VLOOKUP(E1086,DATABASE!C:Q,11,false)</f>
        <v>Tire</v>
      </c>
    </row>
    <row r="1087" ht="22.5" customHeight="1">
      <c r="A1087" s="49"/>
      <c r="C1087" s="384">
        <v>45720.0</v>
      </c>
      <c r="D1087" s="65">
        <v>4566.0</v>
      </c>
      <c r="E1087" s="385" t="s">
        <v>299</v>
      </c>
      <c r="F1087" s="386">
        <v>2.0</v>
      </c>
      <c r="G1087" s="74">
        <v>30000.0</v>
      </c>
      <c r="H1087" s="74">
        <v>0.0</v>
      </c>
      <c r="I1087" s="74">
        <f t="shared" si="1"/>
        <v>60000</v>
      </c>
      <c r="J1087" s="74">
        <f>IF(E1087="SERVICE",I1087-(I1087*50%),Vlookup(E1087,DATABASE!C:Q,10,false)*F1087)</f>
        <v>0</v>
      </c>
      <c r="K1087" s="74">
        <v>0.0</v>
      </c>
      <c r="L1087" s="74">
        <v>0.0</v>
      </c>
      <c r="M1087" s="74">
        <f t="shared" si="2"/>
        <v>0</v>
      </c>
      <c r="N1087" s="74">
        <f t="shared" si="3"/>
        <v>60000</v>
      </c>
      <c r="O1087" s="65" t="str">
        <f>VLOOKUP(E1087,DATABASE!C:Q,8,false)</f>
        <v>BIAN</v>
      </c>
      <c r="P1087" s="65">
        <f>VLOOKUP(E1087,DATABASE!C:Q,9,False)</f>
        <v>0</v>
      </c>
      <c r="Q1087" s="93" t="str">
        <f>VLOOKUP(E1087,DATABASE!C:Q,4,false)</f>
        <v>Balancing</v>
      </c>
      <c r="R1087" s="93" t="str">
        <f>VLOOKUP(E1087,DATABASE!C:Q,11,false)</f>
        <v>COMPLEMENTARY</v>
      </c>
    </row>
    <row r="1088" ht="22.5" customHeight="1">
      <c r="A1088" s="49"/>
      <c r="C1088" s="384">
        <v>45720.0</v>
      </c>
      <c r="D1088" s="65">
        <v>4566.0</v>
      </c>
      <c r="E1088" s="445" t="s">
        <v>301</v>
      </c>
      <c r="F1088" s="386">
        <v>1.0</v>
      </c>
      <c r="G1088" s="74">
        <v>250000.0</v>
      </c>
      <c r="H1088" s="74">
        <v>0.0</v>
      </c>
      <c r="I1088" s="74">
        <f t="shared" si="1"/>
        <v>250000</v>
      </c>
      <c r="J1088" s="74">
        <f>IF(E1088="SERVICE",I1088-(I1088*50%),Vlookup(E1088,DATABASE!C:Q,10,false)*F1088)</f>
        <v>75000</v>
      </c>
      <c r="K1088" s="74">
        <f>VLOOKUP(E1088,DATABASE!C:Q,7,false)</f>
        <v>75000</v>
      </c>
      <c r="L1088" s="74">
        <v>75000.0</v>
      </c>
      <c r="M1088" s="74">
        <f t="shared" si="2"/>
        <v>75000</v>
      </c>
      <c r="N1088" s="74">
        <f t="shared" si="3"/>
        <v>100000</v>
      </c>
      <c r="O1088" s="65" t="str">
        <f>VLOOKUP(E1088,DATABASE!C:Q,8,false)</f>
        <v>BIAN</v>
      </c>
      <c r="P1088" s="65">
        <f>VLOOKUP(E1088,DATABASE!C:Q,9,False)</f>
        <v>0</v>
      </c>
      <c r="Q1088" s="93" t="str">
        <f>VLOOKUP(E1088,DATABASE!C:Q,4,false)</f>
        <v>Baut Camber</v>
      </c>
      <c r="R1088" s="93" t="str">
        <f>VLOOKUP(E1088,DATABASE!C:Q,11,false)</f>
        <v>COMPLEMENTARY</v>
      </c>
    </row>
    <row r="1089" ht="22.5" customHeight="1">
      <c r="A1089" s="49"/>
      <c r="C1089" s="384">
        <v>45720.0</v>
      </c>
      <c r="D1089" s="65">
        <v>4566.0</v>
      </c>
      <c r="E1089" s="445" t="s">
        <v>256</v>
      </c>
      <c r="F1089" s="386">
        <v>1.0</v>
      </c>
      <c r="G1089" s="74">
        <v>130000.0</v>
      </c>
      <c r="H1089" s="74">
        <v>0.0</v>
      </c>
      <c r="I1089" s="74">
        <f t="shared" si="1"/>
        <v>130000</v>
      </c>
      <c r="J1089" s="74">
        <f>IF(E1089="SERVICE",I1089-(I1089*50%),Vlookup(E1089,DATABASE!C:Q,10,false)*F1089)</f>
        <v>10000</v>
      </c>
      <c r="K1089" s="74">
        <f>VLOOKUP(E1089,DATABASE!C:Q,7,false)</f>
        <v>0</v>
      </c>
      <c r="L1089" s="74">
        <v>0.0</v>
      </c>
      <c r="M1089" s="74">
        <f t="shared" si="2"/>
        <v>0</v>
      </c>
      <c r="N1089" s="74">
        <f t="shared" si="3"/>
        <v>120000</v>
      </c>
      <c r="O1089" s="65" t="str">
        <f>VLOOKUP(E1089,DATABASE!C:Q,8,false)</f>
        <v>IBU</v>
      </c>
      <c r="P1089" s="65">
        <f>VLOOKUP(E1089,DATABASE!C:Q,9,False)</f>
        <v>0</v>
      </c>
      <c r="Q1089" s="93" t="str">
        <f>VLOOKUP(E1089,DATABASE!C:Q,4,false)</f>
        <v>SPOORING</v>
      </c>
      <c r="R1089" s="93" t="str">
        <f>VLOOKUP(E1089,DATABASE!C:Q,11,false)</f>
        <v>SERVICE</v>
      </c>
    </row>
    <row r="1090" ht="22.5" customHeight="1">
      <c r="A1090" s="49"/>
      <c r="C1090" s="384">
        <v>45720.0</v>
      </c>
      <c r="D1090" s="65">
        <v>4567.0</v>
      </c>
      <c r="E1090" s="445" t="s">
        <v>744</v>
      </c>
      <c r="F1090" s="386">
        <v>1.0</v>
      </c>
      <c r="G1090" s="140">
        <v>230000.0</v>
      </c>
      <c r="H1090" s="74">
        <v>0.0</v>
      </c>
      <c r="I1090" s="74">
        <f t="shared" si="1"/>
        <v>230000</v>
      </c>
      <c r="J1090" s="74">
        <f>IF(E1090="SERVICE",I1090-(I1090*50%),Vlookup(E1090,DATABASE!C:Q,10,false)*F1090)</f>
        <v>0</v>
      </c>
      <c r="K1090" s="74">
        <f>VLOOKUP(E1090,DATABASE!C:Q,7,false)</f>
        <v>182200</v>
      </c>
      <c r="L1090" s="74">
        <v>199920.0</v>
      </c>
      <c r="M1090" s="74">
        <f t="shared" si="2"/>
        <v>200000</v>
      </c>
      <c r="N1090" s="74">
        <f t="shared" si="3"/>
        <v>30000</v>
      </c>
      <c r="O1090" s="65" t="str">
        <f>VLOOKUP(E1090,DATABASE!C:Q,8,false)</f>
        <v>BIAN</v>
      </c>
      <c r="P1090" s="65">
        <f>VLOOKUP(E1090,DATABASE!C:Q,9,False)</f>
        <v>1</v>
      </c>
      <c r="Q1090" s="93" t="str">
        <f>VLOOKUP(E1090,DATABASE!C:Q,4,false)</f>
        <v>BD</v>
      </c>
      <c r="R1090" s="93" t="str">
        <f>VLOOKUP(E1090,DATABASE!C:Q,11,false)</f>
        <v>Tire</v>
      </c>
    </row>
    <row r="1091" ht="22.5" customHeight="1">
      <c r="A1091" s="49"/>
      <c r="C1091" s="384">
        <v>45720.0</v>
      </c>
      <c r="D1091" s="65">
        <v>4568.0</v>
      </c>
      <c r="E1091" s="445" t="s">
        <v>262</v>
      </c>
      <c r="F1091" s="386">
        <v>1.0</v>
      </c>
      <c r="G1091" s="74">
        <v>110000.0</v>
      </c>
      <c r="H1091" s="74">
        <v>0.0</v>
      </c>
      <c r="I1091" s="74">
        <f t="shared" si="1"/>
        <v>110000</v>
      </c>
      <c r="J1091" s="74">
        <f>IF(E1091="SERVICE",I1091-(I1091*50%),Vlookup(E1091,DATABASE!C:Q,10,false)*F1091)</f>
        <v>5000</v>
      </c>
      <c r="K1091" s="74">
        <f>VLOOKUP(E1091,DATABASE!C:Q,7,false)</f>
        <v>0</v>
      </c>
      <c r="L1091" s="74">
        <v>0.0</v>
      </c>
      <c r="M1091" s="74">
        <f t="shared" si="2"/>
        <v>0</v>
      </c>
      <c r="N1091" s="74">
        <f t="shared" si="3"/>
        <v>105000</v>
      </c>
      <c r="O1091" s="65" t="str">
        <f>VLOOKUP(E1091,DATABASE!C:Q,8,false)</f>
        <v>IBU</v>
      </c>
      <c r="P1091" s="65">
        <f>VLOOKUP(E1091,DATABASE!C:Q,9,False)</f>
        <v>0</v>
      </c>
      <c r="Q1091" s="93" t="str">
        <f>VLOOKUP(E1091,DATABASE!C:Q,4,false)</f>
        <v>SPOORING SS/CARRY LOS BAK</v>
      </c>
      <c r="R1091" s="93" t="str">
        <f>VLOOKUP(E1091,DATABASE!C:Q,11,false)</f>
        <v>SERVICE</v>
      </c>
    </row>
    <row r="1092" ht="22.5" customHeight="1">
      <c r="A1092" s="49"/>
      <c r="C1092" s="384">
        <v>45720.0</v>
      </c>
      <c r="D1092" s="65">
        <v>4568.0</v>
      </c>
      <c r="E1092" s="445" t="s">
        <v>478</v>
      </c>
      <c r="F1092" s="386">
        <v>1.0</v>
      </c>
      <c r="G1092" s="74">
        <v>200000.0</v>
      </c>
      <c r="H1092" s="74">
        <v>0.0</v>
      </c>
      <c r="I1092" s="74">
        <f t="shared" si="1"/>
        <v>200000</v>
      </c>
      <c r="J1092" s="74">
        <f>IF(E1092="SERVICE",I1092-(I1092*50%),Vlookup(E1092,DATABASE!C:Q,10,false)*F1092)</f>
        <v>25000</v>
      </c>
      <c r="K1092" s="74">
        <f>VLOOKUP(E1092,DATABASE!C:Q,7,false)</f>
        <v>75000</v>
      </c>
      <c r="L1092" s="74">
        <v>75000.0</v>
      </c>
      <c r="M1092" s="74">
        <f t="shared" si="2"/>
        <v>75000</v>
      </c>
      <c r="N1092" s="74">
        <f t="shared" si="3"/>
        <v>100000</v>
      </c>
      <c r="O1092" s="65" t="str">
        <f>VLOOKUP(E1092,DATABASE!C:Q,8,false)</f>
        <v>BIAN</v>
      </c>
      <c r="P1092" s="65">
        <f>VLOOKUP(E1092,DATABASE!C:Q,9,False)</f>
        <v>0</v>
      </c>
      <c r="Q1092" s="93" t="str">
        <f>VLOOKUP(E1092,DATABASE!C:Q,4,false)</f>
        <v>Baut Camber ss-carry</v>
      </c>
      <c r="R1092" s="93" t="str">
        <f>VLOOKUP(E1092,DATABASE!C:Q,11,false)</f>
        <v>COMPLEMENTARY</v>
      </c>
    </row>
    <row r="1093" ht="22.5" customHeight="1">
      <c r="A1093" s="49"/>
      <c r="C1093" s="384">
        <v>45720.0</v>
      </c>
      <c r="D1093" s="65">
        <v>4568.0</v>
      </c>
      <c r="E1093" s="445" t="s">
        <v>275</v>
      </c>
      <c r="F1093" s="386">
        <v>1.0</v>
      </c>
      <c r="G1093" s="74">
        <v>830000.0</v>
      </c>
      <c r="H1093" s="74">
        <v>0.0</v>
      </c>
      <c r="I1093" s="74">
        <f t="shared" si="1"/>
        <v>830000</v>
      </c>
      <c r="J1093" s="74">
        <f>IF(E1093="SERVICE",I1093-(I1093*50%),Vlookup(E1093,DATABASE!C:Q,10,false)*F1093)</f>
        <v>0</v>
      </c>
      <c r="K1093" s="74">
        <v>735000.0</v>
      </c>
      <c r="L1093" s="74">
        <v>735000.0</v>
      </c>
      <c r="M1093" s="74">
        <f t="shared" si="2"/>
        <v>735000</v>
      </c>
      <c r="N1093" s="74">
        <f t="shared" si="3"/>
        <v>95000</v>
      </c>
      <c r="O1093" s="65" t="str">
        <f>VLOOKUP(E1093,DATABASE!C:Q,8,false)</f>
        <v>IBU</v>
      </c>
      <c r="P1093" s="65">
        <f>VLOOKUP(E1093,DATABASE!C:Q,9,False)</f>
        <v>1</v>
      </c>
      <c r="Q1093" s="93" t="str">
        <f>VLOOKUP(E1093,DATABASE!C:Q,4,false)</f>
        <v>Dunlop</v>
      </c>
      <c r="R1093" s="93" t="str">
        <f>VLOOKUP(E1093,DATABASE!C:Q,11,false)</f>
        <v>Tire</v>
      </c>
    </row>
    <row r="1094" ht="22.5" customHeight="1">
      <c r="A1094" s="49"/>
      <c r="C1094" s="384">
        <v>45720.0</v>
      </c>
      <c r="D1094" s="65">
        <v>4570.0</v>
      </c>
      <c r="E1094" s="445" t="s">
        <v>591</v>
      </c>
      <c r="F1094" s="386">
        <v>2.0</v>
      </c>
      <c r="G1094" s="74">
        <v>740000.0</v>
      </c>
      <c r="H1094" s="74">
        <v>0.0</v>
      </c>
      <c r="I1094" s="74">
        <f t="shared" si="1"/>
        <v>1480000</v>
      </c>
      <c r="J1094" s="74">
        <f>IF(E1094="SERVICE",I1094-(I1094*50%),Vlookup(E1094,DATABASE!C:Q,10,false)*F1094)</f>
        <v>0</v>
      </c>
      <c r="K1094" s="74">
        <f>VLOOKUP(E1094,DATABASE!C:Q,7,false)</f>
        <v>633035.16</v>
      </c>
      <c r="L1094" s="74">
        <v>593488.4</v>
      </c>
      <c r="M1094" s="74">
        <f t="shared" si="2"/>
        <v>595000</v>
      </c>
      <c r="N1094" s="74">
        <f t="shared" si="3"/>
        <v>290000</v>
      </c>
      <c r="O1094" s="65" t="str">
        <f>VLOOKUP(E1094,DATABASE!C:Q,8,false)</f>
        <v>IBU</v>
      </c>
      <c r="P1094" s="65">
        <f>VLOOKUP(E1094,DATABASE!C:Q,9,False)</f>
        <v>1</v>
      </c>
      <c r="Q1094" s="93" t="str">
        <f>VLOOKUP(E1094,DATABASE!C:Q,4,false)</f>
        <v>Bridgestone</v>
      </c>
      <c r="R1094" s="93" t="str">
        <f>VLOOKUP(E1094,DATABASE!C:Q,11,false)</f>
        <v>Tire</v>
      </c>
    </row>
    <row r="1095" ht="22.5" customHeight="1">
      <c r="A1095" s="49"/>
      <c r="C1095" s="384">
        <v>45721.0</v>
      </c>
      <c r="D1095" s="65">
        <v>4572.0</v>
      </c>
      <c r="E1095" s="445" t="s">
        <v>1514</v>
      </c>
      <c r="F1095" s="386">
        <v>4.0</v>
      </c>
      <c r="G1095" s="74">
        <v>2410000.0</v>
      </c>
      <c r="H1095" s="74">
        <v>0.0</v>
      </c>
      <c r="I1095" s="74">
        <f t="shared" si="1"/>
        <v>9640000</v>
      </c>
      <c r="J1095" s="74">
        <f>IF(E1095="SERVICE",I1095-(I1095*50%),Vlookup(E1095,DATABASE!C:Q,10,false)*F1095)</f>
        <v>0</v>
      </c>
      <c r="K1095" s="74">
        <f>VLOOKUP(E1095,DATABASE!C:Q,7,false)</f>
        <v>2300000</v>
      </c>
      <c r="L1095" s="74">
        <v>2300000.0</v>
      </c>
      <c r="M1095" s="74">
        <f t="shared" si="2"/>
        <v>2300000</v>
      </c>
      <c r="N1095" s="74">
        <f t="shared" si="3"/>
        <v>440000</v>
      </c>
      <c r="O1095" s="65" t="str">
        <f>VLOOKUP(E1095,DATABASE!C:Q,8,false)</f>
        <v>BIAN</v>
      </c>
      <c r="P1095" s="65">
        <f>VLOOKUP(E1095,DATABASE!C:Q,9,False)</f>
        <v>1</v>
      </c>
      <c r="Q1095" s="93" t="str">
        <f>VLOOKUP(E1095,DATABASE!C:Q,4,false)</f>
        <v>MAXXIS</v>
      </c>
      <c r="R1095" s="93" t="str">
        <f>VLOOKUP(E1095,DATABASE!C:Q,11,false)</f>
        <v>Tire</v>
      </c>
    </row>
    <row r="1096" ht="22.5" customHeight="1">
      <c r="A1096" s="49"/>
      <c r="C1096" s="384">
        <v>45721.0</v>
      </c>
      <c r="D1096" s="65">
        <v>4573.0</v>
      </c>
      <c r="E1096" s="445" t="s">
        <v>256</v>
      </c>
      <c r="F1096" s="386">
        <v>1.0</v>
      </c>
      <c r="G1096" s="74">
        <v>130000.0</v>
      </c>
      <c r="H1096" s="74">
        <v>0.0</v>
      </c>
      <c r="I1096" s="74">
        <f t="shared" si="1"/>
        <v>130000</v>
      </c>
      <c r="J1096" s="74">
        <f>IF(E1096="SERVICE",I1096-(I1096*50%),Vlookup(E1096,DATABASE!C:Q,10,false)*F1096)</f>
        <v>10000</v>
      </c>
      <c r="K1096" s="74">
        <f>VLOOKUP(E1096,DATABASE!C:Q,7,false)</f>
        <v>0</v>
      </c>
      <c r="L1096" s="74">
        <v>0.0</v>
      </c>
      <c r="M1096" s="74">
        <f t="shared" si="2"/>
        <v>0</v>
      </c>
      <c r="N1096" s="74">
        <f t="shared" si="3"/>
        <v>120000</v>
      </c>
      <c r="O1096" s="65" t="str">
        <f>VLOOKUP(E1096,DATABASE!C:Q,8,false)</f>
        <v>IBU</v>
      </c>
      <c r="P1096" s="65">
        <f>VLOOKUP(E1096,DATABASE!C:Q,9,False)</f>
        <v>0</v>
      </c>
      <c r="Q1096" s="93" t="str">
        <f>VLOOKUP(E1096,DATABASE!C:Q,4,false)</f>
        <v>SPOORING</v>
      </c>
      <c r="R1096" s="93" t="str">
        <f>VLOOKUP(E1096,DATABASE!C:Q,11,false)</f>
        <v>SERVICE</v>
      </c>
    </row>
    <row r="1097" ht="22.5" customHeight="1">
      <c r="A1097" s="49"/>
      <c r="C1097" s="384">
        <v>45721.0</v>
      </c>
      <c r="D1097" s="65">
        <v>4574.0</v>
      </c>
      <c r="E1097" s="445" t="s">
        <v>932</v>
      </c>
      <c r="F1097" s="386">
        <v>1.0</v>
      </c>
      <c r="G1097" s="74">
        <v>670000.0</v>
      </c>
      <c r="H1097" s="74">
        <v>0.0</v>
      </c>
      <c r="I1097" s="74">
        <f t="shared" si="1"/>
        <v>670000</v>
      </c>
      <c r="J1097" s="74">
        <f>IF(E1097="SERVICE",I1097-(I1097*50%),Vlookup(E1097,DATABASE!C:Q,10,false)*F1097)</f>
        <v>0</v>
      </c>
      <c r="K1097" s="74">
        <v>575000.0</v>
      </c>
      <c r="L1097" s="74">
        <v>575000.0</v>
      </c>
      <c r="M1097" s="74">
        <f t="shared" si="2"/>
        <v>575000</v>
      </c>
      <c r="N1097" s="74">
        <f t="shared" si="3"/>
        <v>95000</v>
      </c>
      <c r="O1097" s="65" t="str">
        <f>VLOOKUP(E1097,DATABASE!C:Q,8,false)</f>
        <v>IBU</v>
      </c>
      <c r="P1097" s="65">
        <f>VLOOKUP(E1097,DATABASE!C:Q,9,False)</f>
        <v>1</v>
      </c>
      <c r="Q1097" s="93" t="str">
        <f>VLOOKUP(E1097,DATABASE!C:Q,4,false)</f>
        <v>Dunlop</v>
      </c>
      <c r="R1097" s="93" t="str">
        <f>VLOOKUP(E1097,DATABASE!C:Q,11,false)</f>
        <v>Tire</v>
      </c>
    </row>
    <row r="1098" ht="22.5" customHeight="1">
      <c r="A1098" s="49"/>
      <c r="C1098" s="384">
        <v>45721.0</v>
      </c>
      <c r="D1098" s="65">
        <v>4576.0</v>
      </c>
      <c r="E1098" s="445" t="s">
        <v>287</v>
      </c>
      <c r="F1098" s="386">
        <v>2.0</v>
      </c>
      <c r="G1098" s="74">
        <v>780000.0</v>
      </c>
      <c r="H1098" s="74">
        <v>0.0</v>
      </c>
      <c r="I1098" s="74">
        <f t="shared" si="1"/>
        <v>1560000</v>
      </c>
      <c r="J1098" s="74">
        <f>IF(E1098="SERVICE",I1098-(I1098*50%),Vlookup(E1098,DATABASE!C:Q,10,false)*F1098)</f>
        <v>0</v>
      </c>
      <c r="K1098" s="74">
        <f>VLOOKUP(E1098,DATABASE!C:Q,7,false)</f>
        <v>711000</v>
      </c>
      <c r="L1098" s="74">
        <v>690600.0</v>
      </c>
      <c r="M1098" s="74">
        <f t="shared" si="2"/>
        <v>695000</v>
      </c>
      <c r="N1098" s="74">
        <f t="shared" si="3"/>
        <v>170000</v>
      </c>
      <c r="O1098" s="65" t="str">
        <f>VLOOKUP(E1098,DATABASE!C:Q,8,false)</f>
        <v>BIAN</v>
      </c>
      <c r="P1098" s="65">
        <f>VLOOKUP(E1098,DATABASE!C:Q,9,False)</f>
        <v>1</v>
      </c>
      <c r="Q1098" s="93" t="str">
        <f>VLOOKUP(E1098,DATABASE!C:Q,4,false)</f>
        <v>GT</v>
      </c>
      <c r="R1098" s="93" t="str">
        <f>VLOOKUP(E1098,DATABASE!C:Q,11,false)</f>
        <v>Tire</v>
      </c>
    </row>
    <row r="1099" ht="22.5" customHeight="1">
      <c r="A1099" s="49"/>
      <c r="C1099" s="384">
        <v>45721.0</v>
      </c>
      <c r="D1099" s="65">
        <v>4577.0</v>
      </c>
      <c r="E1099" s="445" t="s">
        <v>932</v>
      </c>
      <c r="F1099" s="386">
        <v>2.0</v>
      </c>
      <c r="G1099" s="74">
        <v>670000.0</v>
      </c>
      <c r="H1099" s="74">
        <v>0.0</v>
      </c>
      <c r="I1099" s="74">
        <f t="shared" si="1"/>
        <v>1340000</v>
      </c>
      <c r="J1099" s="74">
        <f>IF(E1099="SERVICE",I1099-(I1099*50%),Vlookup(E1099,DATABASE!C:Q,10,false)*F1099)</f>
        <v>0</v>
      </c>
      <c r="K1099" s="74">
        <v>575000.0</v>
      </c>
      <c r="L1099" s="74">
        <v>575000.0</v>
      </c>
      <c r="M1099" s="74">
        <f t="shared" si="2"/>
        <v>575000</v>
      </c>
      <c r="N1099" s="74">
        <f t="shared" si="3"/>
        <v>190000</v>
      </c>
      <c r="O1099" s="65" t="str">
        <f>VLOOKUP(E1099,DATABASE!C:Q,8,false)</f>
        <v>IBU</v>
      </c>
      <c r="P1099" s="65">
        <f>VLOOKUP(E1099,DATABASE!C:Q,9,False)</f>
        <v>1</v>
      </c>
      <c r="Q1099" s="93" t="str">
        <f>VLOOKUP(E1099,DATABASE!C:Q,4,false)</f>
        <v>Dunlop</v>
      </c>
      <c r="R1099" s="93" t="str">
        <f>VLOOKUP(E1099,DATABASE!C:Q,11,false)</f>
        <v>Tire</v>
      </c>
    </row>
    <row r="1100" ht="22.5" customHeight="1">
      <c r="A1100" s="49"/>
      <c r="C1100" s="384">
        <v>45721.0</v>
      </c>
      <c r="D1100" s="65">
        <v>4577.0</v>
      </c>
      <c r="E1100" s="385" t="s">
        <v>299</v>
      </c>
      <c r="F1100" s="386">
        <v>2.0</v>
      </c>
      <c r="G1100" s="74">
        <v>30000.0</v>
      </c>
      <c r="H1100" s="74">
        <v>0.0</v>
      </c>
      <c r="I1100" s="74">
        <f t="shared" si="1"/>
        <v>60000</v>
      </c>
      <c r="J1100" s="74">
        <f>IF(E1100="SERVICE",I1100-(I1100*50%),Vlookup(E1100,DATABASE!C:Q,10,false)*F1100)</f>
        <v>0</v>
      </c>
      <c r="K1100" s="74">
        <v>0.0</v>
      </c>
      <c r="L1100" s="74">
        <v>0.0</v>
      </c>
      <c r="M1100" s="74">
        <f t="shared" si="2"/>
        <v>0</v>
      </c>
      <c r="N1100" s="74">
        <f t="shared" si="3"/>
        <v>60000</v>
      </c>
      <c r="O1100" s="65" t="str">
        <f>VLOOKUP(E1100,DATABASE!C:Q,8,false)</f>
        <v>BIAN</v>
      </c>
      <c r="P1100" s="65">
        <f>VLOOKUP(E1100,DATABASE!C:Q,9,False)</f>
        <v>0</v>
      </c>
      <c r="Q1100" s="93" t="str">
        <f>VLOOKUP(E1100,DATABASE!C:Q,4,false)</f>
        <v>Balancing</v>
      </c>
      <c r="R1100" s="93" t="str">
        <f>VLOOKUP(E1100,DATABASE!C:Q,11,false)</f>
        <v>COMPLEMENTARY</v>
      </c>
    </row>
    <row r="1101" ht="22.5" customHeight="1">
      <c r="A1101" s="49"/>
      <c r="C1101" s="384">
        <v>45721.0</v>
      </c>
      <c r="D1101" s="65">
        <v>4577.0</v>
      </c>
      <c r="E1101" s="445" t="s">
        <v>256</v>
      </c>
      <c r="F1101" s="386">
        <v>1.0</v>
      </c>
      <c r="G1101" s="74">
        <v>130000.0</v>
      </c>
      <c r="H1101" s="74">
        <v>0.0</v>
      </c>
      <c r="I1101" s="74">
        <f t="shared" si="1"/>
        <v>130000</v>
      </c>
      <c r="J1101" s="74">
        <f>IF(E1101="SERVICE",I1101-(I1101*50%),Vlookup(E1101,DATABASE!C:Q,10,false)*F1101)</f>
        <v>10000</v>
      </c>
      <c r="K1101" s="74">
        <f>VLOOKUP(E1101,DATABASE!C:Q,7,false)</f>
        <v>0</v>
      </c>
      <c r="L1101" s="74">
        <v>0.0</v>
      </c>
      <c r="M1101" s="74">
        <f t="shared" si="2"/>
        <v>0</v>
      </c>
      <c r="N1101" s="74">
        <f t="shared" si="3"/>
        <v>120000</v>
      </c>
      <c r="O1101" s="65" t="str">
        <f>VLOOKUP(E1101,DATABASE!C:Q,8,false)</f>
        <v>IBU</v>
      </c>
      <c r="P1101" s="65">
        <f>VLOOKUP(E1101,DATABASE!C:Q,9,False)</f>
        <v>0</v>
      </c>
      <c r="Q1101" s="93" t="str">
        <f>VLOOKUP(E1101,DATABASE!C:Q,4,false)</f>
        <v>SPOORING</v>
      </c>
      <c r="R1101" s="93" t="str">
        <f>VLOOKUP(E1101,DATABASE!C:Q,11,false)</f>
        <v>SERVICE</v>
      </c>
    </row>
    <row r="1102" ht="22.5" customHeight="1">
      <c r="A1102" s="49"/>
      <c r="C1102" s="384">
        <v>45721.0</v>
      </c>
      <c r="D1102" s="65">
        <v>4577.0</v>
      </c>
      <c r="E1102" s="445" t="s">
        <v>301</v>
      </c>
      <c r="F1102" s="386">
        <v>1.0</v>
      </c>
      <c r="G1102" s="74">
        <v>250000.0</v>
      </c>
      <c r="H1102" s="74">
        <v>0.0</v>
      </c>
      <c r="I1102" s="74">
        <f t="shared" si="1"/>
        <v>250000</v>
      </c>
      <c r="J1102" s="74">
        <f>IF(E1102="SERVICE",I1102-(I1102*50%),Vlookup(E1102,DATABASE!C:Q,10,false)*F1102)</f>
        <v>75000</v>
      </c>
      <c r="K1102" s="74">
        <f>VLOOKUP(E1102,DATABASE!C:Q,7,false)</f>
        <v>75000</v>
      </c>
      <c r="L1102" s="74">
        <v>75000.0</v>
      </c>
      <c r="M1102" s="74">
        <f t="shared" si="2"/>
        <v>75000</v>
      </c>
      <c r="N1102" s="74">
        <f t="shared" si="3"/>
        <v>100000</v>
      </c>
      <c r="O1102" s="65" t="str">
        <f>VLOOKUP(E1102,DATABASE!C:Q,8,false)</f>
        <v>BIAN</v>
      </c>
      <c r="P1102" s="65">
        <f>VLOOKUP(E1102,DATABASE!C:Q,9,False)</f>
        <v>0</v>
      </c>
      <c r="Q1102" s="93" t="str">
        <f>VLOOKUP(E1102,DATABASE!C:Q,4,false)</f>
        <v>Baut Camber</v>
      </c>
      <c r="R1102" s="93" t="str">
        <f>VLOOKUP(E1102,DATABASE!C:Q,11,false)</f>
        <v>COMPLEMENTARY</v>
      </c>
    </row>
    <row r="1103" ht="22.5" customHeight="1">
      <c r="A1103" s="49"/>
      <c r="C1103" s="384">
        <v>45721.0</v>
      </c>
      <c r="D1103" s="65">
        <v>4577.0</v>
      </c>
      <c r="E1103" s="445" t="s">
        <v>1439</v>
      </c>
      <c r="F1103" s="386">
        <v>2.0</v>
      </c>
      <c r="G1103" s="74">
        <v>625000.0</v>
      </c>
      <c r="H1103" s="74">
        <v>0.0</v>
      </c>
      <c r="I1103" s="74">
        <f t="shared" si="1"/>
        <v>1250000</v>
      </c>
      <c r="J1103" s="74">
        <f>IF(E1103="SERVICE",I1103-(I1103*50%),Vlookup(E1103,DATABASE!C:Q,10,false)*F1103)</f>
        <v>0</v>
      </c>
      <c r="K1103" s="74">
        <f>VLOOKUP(E1103,DATABASE!C:Q,7,false)</f>
        <v>556800</v>
      </c>
      <c r="L1103" s="74">
        <v>540800.0</v>
      </c>
      <c r="M1103" s="74">
        <f t="shared" si="2"/>
        <v>545000</v>
      </c>
      <c r="N1103" s="74">
        <f t="shared" si="3"/>
        <v>160000</v>
      </c>
      <c r="O1103" s="65" t="str">
        <f>VLOOKUP(E1103,DATABASE!C:Q,8,false)</f>
        <v>BIAN</v>
      </c>
      <c r="P1103" s="65">
        <f>VLOOKUP(E1103,DATABASE!C:Q,9,False)</f>
        <v>1</v>
      </c>
      <c r="Q1103" s="93" t="str">
        <f>VLOOKUP(E1103,DATABASE!C:Q,4,false)</f>
        <v>GT</v>
      </c>
      <c r="R1103" s="93" t="str">
        <f>VLOOKUP(E1103,DATABASE!C:Q,11,false)</f>
        <v>Tire</v>
      </c>
    </row>
    <row r="1104" ht="22.5" customHeight="1">
      <c r="A1104" s="49"/>
      <c r="C1104" s="384">
        <v>45721.0</v>
      </c>
      <c r="D1104" s="65">
        <v>4579.0</v>
      </c>
      <c r="E1104" s="445" t="s">
        <v>947</v>
      </c>
      <c r="F1104" s="386">
        <v>1.0</v>
      </c>
      <c r="G1104" s="74">
        <v>830000.0</v>
      </c>
      <c r="H1104" s="74">
        <v>0.0</v>
      </c>
      <c r="I1104" s="74">
        <f t="shared" si="1"/>
        <v>830000</v>
      </c>
      <c r="J1104" s="74">
        <f>IF(E1104="SERVICE",I1104-(I1104*50%),Vlookup(E1104,DATABASE!C:Q,10,false)*F1104)</f>
        <v>0</v>
      </c>
      <c r="K1104" s="74">
        <f>VLOOKUP(E1104,DATABASE!C:Q,7,false)</f>
        <v>704346</v>
      </c>
      <c r="L1104" s="74">
        <v>680512.0</v>
      </c>
      <c r="M1104" s="74">
        <f t="shared" si="2"/>
        <v>685000</v>
      </c>
      <c r="N1104" s="74">
        <f t="shared" si="3"/>
        <v>145000</v>
      </c>
      <c r="O1104" s="65" t="str">
        <f>VLOOKUP(E1104,DATABASE!C:Q,8,false)</f>
        <v>IBU</v>
      </c>
      <c r="P1104" s="65">
        <f>VLOOKUP(E1104,DATABASE!C:Q,9,False)</f>
        <v>1</v>
      </c>
      <c r="Q1104" s="93" t="str">
        <f>VLOOKUP(E1104,DATABASE!C:Q,4,false)</f>
        <v>Bridgestone</v>
      </c>
      <c r="R1104" s="93" t="str">
        <f>VLOOKUP(E1104,DATABASE!C:Q,11,false)</f>
        <v>Tire</v>
      </c>
    </row>
    <row r="1105" ht="22.5" customHeight="1">
      <c r="A1105" s="49"/>
      <c r="C1105" s="384">
        <v>45722.0</v>
      </c>
      <c r="D1105" s="65">
        <v>4580.0</v>
      </c>
      <c r="E1105" s="445" t="s">
        <v>268</v>
      </c>
      <c r="F1105" s="386">
        <v>1.0</v>
      </c>
      <c r="G1105" s="74">
        <v>700000.0</v>
      </c>
      <c r="H1105" s="74">
        <v>0.0</v>
      </c>
      <c r="I1105" s="74">
        <f t="shared" si="1"/>
        <v>700000</v>
      </c>
      <c r="J1105" s="74">
        <f>IF(E1105="SERVICE",I1105-(I1105*50%),Vlookup(E1105,DATABASE!C:Q,10,false)*F1105)</f>
        <v>0</v>
      </c>
      <c r="K1105" s="74">
        <v>613000.0</v>
      </c>
      <c r="L1105" s="74">
        <v>613000.0</v>
      </c>
      <c r="M1105" s="74">
        <f t="shared" si="2"/>
        <v>615000</v>
      </c>
      <c r="N1105" s="74">
        <f t="shared" si="3"/>
        <v>85000</v>
      </c>
      <c r="O1105" s="65" t="str">
        <f>VLOOKUP(E1105,DATABASE!C:Q,8,false)</f>
        <v>IBU</v>
      </c>
      <c r="P1105" s="65">
        <f>VLOOKUP(E1105,DATABASE!C:Q,9,False)</f>
        <v>1</v>
      </c>
      <c r="Q1105" s="93" t="str">
        <f>VLOOKUP(E1105,DATABASE!C:Q,4,false)</f>
        <v>Dunlop</v>
      </c>
      <c r="R1105" s="93" t="str">
        <f>VLOOKUP(E1105,DATABASE!C:Q,11,false)</f>
        <v>Tire</v>
      </c>
    </row>
    <row r="1106" ht="22.5" customHeight="1">
      <c r="A1106" s="49"/>
      <c r="C1106" s="384">
        <v>45722.0</v>
      </c>
      <c r="D1106" s="65">
        <v>4581.0</v>
      </c>
      <c r="E1106" s="445" t="s">
        <v>268</v>
      </c>
      <c r="F1106" s="386">
        <v>2.0</v>
      </c>
      <c r="G1106" s="74">
        <v>700000.0</v>
      </c>
      <c r="H1106" s="74">
        <v>0.0</v>
      </c>
      <c r="I1106" s="74">
        <f t="shared" si="1"/>
        <v>1400000</v>
      </c>
      <c r="J1106" s="74">
        <f>IF(E1106="SERVICE",I1106-(I1106*50%),Vlookup(E1106,DATABASE!C:Q,10,false)*F1106)</f>
        <v>0</v>
      </c>
      <c r="K1106" s="74">
        <v>613000.0</v>
      </c>
      <c r="L1106" s="74">
        <v>613000.0</v>
      </c>
      <c r="M1106" s="74">
        <f t="shared" si="2"/>
        <v>615000</v>
      </c>
      <c r="N1106" s="74">
        <f t="shared" si="3"/>
        <v>170000</v>
      </c>
      <c r="O1106" s="65" t="str">
        <f>VLOOKUP(E1106,DATABASE!C:Q,8,false)</f>
        <v>IBU</v>
      </c>
      <c r="P1106" s="65">
        <f>VLOOKUP(E1106,DATABASE!C:Q,9,False)</f>
        <v>1</v>
      </c>
      <c r="Q1106" s="93" t="str">
        <f>VLOOKUP(E1106,DATABASE!C:Q,4,false)</f>
        <v>Dunlop</v>
      </c>
      <c r="R1106" s="93" t="str">
        <f>VLOOKUP(E1106,DATABASE!C:Q,11,false)</f>
        <v>Tire</v>
      </c>
    </row>
    <row r="1107" ht="22.5" customHeight="1">
      <c r="A1107" s="49"/>
      <c r="C1107" s="384">
        <v>45722.0</v>
      </c>
      <c r="D1107" s="65">
        <v>4582.0</v>
      </c>
      <c r="E1107" s="445" t="s">
        <v>878</v>
      </c>
      <c r="F1107" s="386">
        <v>4.0</v>
      </c>
      <c r="G1107" s="74">
        <v>40000.0</v>
      </c>
      <c r="H1107" s="74">
        <v>0.0</v>
      </c>
      <c r="I1107" s="74">
        <f t="shared" si="1"/>
        <v>160000</v>
      </c>
      <c r="J1107" s="74">
        <f>IF(E1107="SERVICE",I1107-(I1107*50%),Vlookup(E1107,DATABASE!C:Q,10,false)*F1107)</f>
        <v>0</v>
      </c>
      <c r="K1107" s="74">
        <f>VLOOKUP(E1107,DATABASE!C:Q,7,false)</f>
        <v>0</v>
      </c>
      <c r="L1107" s="74">
        <v>0.0</v>
      </c>
      <c r="M1107" s="74">
        <f t="shared" si="2"/>
        <v>0</v>
      </c>
      <c r="N1107" s="74">
        <f t="shared" si="3"/>
        <v>160000</v>
      </c>
      <c r="O1107" s="65" t="str">
        <f>VLOOKUP(E1107,DATABASE!C:Q,8,false)</f>
        <v>IBU</v>
      </c>
      <c r="P1107" s="65">
        <f>VLOOKUP(E1107,DATABASE!C:Q,9,False)</f>
        <v>0</v>
      </c>
      <c r="Q1107" s="93" t="str">
        <f>VLOOKUP(E1107,DATABASE!C:Q,4,false)</f>
        <v>Bongkar Pasang 17</v>
      </c>
      <c r="R1107" s="93" t="str">
        <f>VLOOKUP(E1107,DATABASE!C:Q,11,false)</f>
        <v>SERVICE</v>
      </c>
    </row>
    <row r="1108" ht="22.5" customHeight="1">
      <c r="A1108" s="49"/>
      <c r="C1108" s="384">
        <v>45722.0</v>
      </c>
      <c r="D1108" s="65">
        <v>4582.0</v>
      </c>
      <c r="E1108" s="385" t="s">
        <v>299</v>
      </c>
      <c r="F1108" s="386">
        <v>2.0</v>
      </c>
      <c r="G1108" s="74">
        <v>40000.0</v>
      </c>
      <c r="H1108" s="74">
        <v>0.0</v>
      </c>
      <c r="I1108" s="74">
        <f t="shared" si="1"/>
        <v>80000</v>
      </c>
      <c r="J1108" s="74">
        <f>IF(E1108="SERVICE",I1108-(I1108*50%),Vlookup(E1108,DATABASE!C:Q,10,false)*F1108)</f>
        <v>0</v>
      </c>
      <c r="K1108" s="74">
        <v>0.0</v>
      </c>
      <c r="L1108" s="74">
        <v>0.0</v>
      </c>
      <c r="M1108" s="74">
        <f t="shared" si="2"/>
        <v>0</v>
      </c>
      <c r="N1108" s="74">
        <f t="shared" si="3"/>
        <v>80000</v>
      </c>
      <c r="O1108" s="65" t="str">
        <f>VLOOKUP(E1108,DATABASE!C:Q,8,false)</f>
        <v>BIAN</v>
      </c>
      <c r="P1108" s="65">
        <f>VLOOKUP(E1108,DATABASE!C:Q,9,False)</f>
        <v>0</v>
      </c>
      <c r="Q1108" s="93" t="str">
        <f>VLOOKUP(E1108,DATABASE!C:Q,4,false)</f>
        <v>Balancing</v>
      </c>
      <c r="R1108" s="93" t="str">
        <f>VLOOKUP(E1108,DATABASE!C:Q,11,false)</f>
        <v>COMPLEMENTARY</v>
      </c>
    </row>
    <row r="1109" ht="22.5" customHeight="1">
      <c r="A1109" s="49"/>
      <c r="C1109" s="384">
        <v>45722.0</v>
      </c>
      <c r="D1109" s="65">
        <v>4582.0</v>
      </c>
      <c r="E1109" s="445" t="s">
        <v>2135</v>
      </c>
      <c r="F1109" s="386">
        <v>2.0</v>
      </c>
      <c r="G1109" s="74">
        <v>15000.0</v>
      </c>
      <c r="H1109" s="74">
        <v>0.0</v>
      </c>
      <c r="I1109" s="74">
        <f t="shared" si="1"/>
        <v>30000</v>
      </c>
      <c r="J1109" s="74">
        <f>IF(E1109="SERVICE",I1109-(I1109*50%),Vlookup(E1109,DATABASE!C:Q,10,false)*F1109)</f>
        <v>0</v>
      </c>
      <c r="K1109" s="74">
        <f>VLOOKUP(E1109,DATABASE!C:Q,7,false)</f>
        <v>0</v>
      </c>
      <c r="L1109" s="74">
        <v>0.0</v>
      </c>
      <c r="M1109" s="74">
        <f t="shared" si="2"/>
        <v>0</v>
      </c>
      <c r="N1109" s="74">
        <f t="shared" si="3"/>
        <v>30000</v>
      </c>
      <c r="O1109" s="65" t="str">
        <f>VLOOKUP(E1109,DATABASE!C:Q,8,false)</f>
        <v>IBU</v>
      </c>
      <c r="P1109" s="65">
        <f>VLOOKUP(E1109,DATABASE!C:Q,9,False)</f>
        <v>0</v>
      </c>
      <c r="Q1109" s="93" t="str">
        <f>VLOOKUP(E1109,DATABASE!C:Q,4,false)</f>
        <v>NITROGEN</v>
      </c>
      <c r="R1109" s="93" t="str">
        <f>VLOOKUP(E1109,DATABASE!C:Q,11,false)</f>
        <v>COMPLEMENTARY</v>
      </c>
    </row>
    <row r="1110" ht="22.5" customHeight="1">
      <c r="A1110" s="49"/>
      <c r="C1110" s="384">
        <v>45722.0</v>
      </c>
      <c r="D1110" s="65">
        <v>4584.0</v>
      </c>
      <c r="E1110" s="445" t="s">
        <v>2140</v>
      </c>
      <c r="F1110" s="386">
        <v>1.0</v>
      </c>
      <c r="G1110" s="74">
        <v>35000.0</v>
      </c>
      <c r="H1110" s="74">
        <v>0.0</v>
      </c>
      <c r="I1110" s="74">
        <f t="shared" si="1"/>
        <v>35000</v>
      </c>
      <c r="J1110" s="74">
        <f>IF(E1110="SERVICE",I1110-(I1110*50%),Vlookup(E1110,DATABASE!C:Q,10,false)*F1110)</f>
        <v>0</v>
      </c>
      <c r="K1110" s="74">
        <f>VLOOKUP(E1110,DATABASE!C:Q,7,false)</f>
        <v>5000</v>
      </c>
      <c r="L1110" s="74">
        <v>0.0</v>
      </c>
      <c r="M1110" s="74">
        <f t="shared" si="2"/>
        <v>0</v>
      </c>
      <c r="N1110" s="74">
        <f t="shared" si="3"/>
        <v>35000</v>
      </c>
      <c r="O1110" s="65" t="str">
        <f>VLOOKUP(E1110,DATABASE!C:Q,8,false)</f>
        <v>IBU</v>
      </c>
      <c r="P1110" s="65">
        <f>VLOOKUP(E1110,DATABASE!C:Q,9,False)</f>
        <v>0</v>
      </c>
      <c r="Q1110" s="93" t="str">
        <f>VLOOKUP(E1110,DATABASE!C:Q,4,false)</f>
        <v>PENTIL + PASANG</v>
      </c>
      <c r="R1110" s="93" t="str">
        <f>VLOOKUP(E1110,DATABASE!C:Q,11,false)</f>
        <v>COMPLEMENTARY</v>
      </c>
    </row>
    <row r="1111" ht="22.5" customHeight="1">
      <c r="A1111" s="49"/>
      <c r="C1111" s="384">
        <v>45722.0</v>
      </c>
      <c r="D1111" s="65">
        <v>4585.0</v>
      </c>
      <c r="E1111" s="445" t="s">
        <v>1530</v>
      </c>
      <c r="F1111" s="386">
        <v>2.0</v>
      </c>
      <c r="G1111" s="74">
        <v>560000.0</v>
      </c>
      <c r="H1111" s="74">
        <v>0.0</v>
      </c>
      <c r="I1111" s="74">
        <f t="shared" si="1"/>
        <v>1120000</v>
      </c>
      <c r="J1111" s="74">
        <f>IF(E1111="SERVICE",I1111-(I1111*50%),Vlookup(E1111,DATABASE!C:Q,10,false)*F1111)</f>
        <v>0</v>
      </c>
      <c r="K1111" s="74">
        <f>VLOOKUP(E1111,DATABASE!C:Q,7,false)</f>
        <v>467000</v>
      </c>
      <c r="L1111" s="74">
        <v>454000.0</v>
      </c>
      <c r="M1111" s="74">
        <f t="shared" si="2"/>
        <v>455000</v>
      </c>
      <c r="N1111" s="74">
        <f t="shared" si="3"/>
        <v>210000</v>
      </c>
      <c r="O1111" s="65" t="str">
        <f>VLOOKUP(E1111,DATABASE!C:Q,8,false)</f>
        <v>BIAN</v>
      </c>
      <c r="P1111" s="65">
        <f>VLOOKUP(E1111,DATABASE!C:Q,9,False)</f>
        <v>1</v>
      </c>
      <c r="Q1111" s="93" t="str">
        <f>VLOOKUP(E1111,DATABASE!C:Q,4,false)</f>
        <v>Laufen</v>
      </c>
      <c r="R1111" s="93" t="str">
        <f>VLOOKUP(E1111,DATABASE!C:Q,11,false)</f>
        <v>Tire</v>
      </c>
    </row>
    <row r="1112" ht="22.5" customHeight="1">
      <c r="A1112" s="49"/>
      <c r="C1112" s="384">
        <v>45722.0</v>
      </c>
      <c r="D1112" s="65">
        <v>4586.0</v>
      </c>
      <c r="E1112" s="445" t="s">
        <v>1427</v>
      </c>
      <c r="F1112" s="386">
        <v>1.0</v>
      </c>
      <c r="G1112" s="74">
        <v>800000.0</v>
      </c>
      <c r="H1112" s="74">
        <v>0.0</v>
      </c>
      <c r="I1112" s="74">
        <f t="shared" si="1"/>
        <v>800000</v>
      </c>
      <c r="J1112" s="74">
        <f>IF(E1112="SERVICE",I1112-(I1112*50%),Vlookup(E1112,DATABASE!C:Q,10,false)*F1112)</f>
        <v>0</v>
      </c>
      <c r="K1112" s="74">
        <f>VLOOKUP(E1112,DATABASE!C:Q,7,false)</f>
        <v>696500</v>
      </c>
      <c r="L1112" s="74">
        <v>689000.0</v>
      </c>
      <c r="M1112" s="74">
        <f t="shared" si="2"/>
        <v>690000</v>
      </c>
      <c r="N1112" s="74">
        <f t="shared" si="3"/>
        <v>110000</v>
      </c>
      <c r="O1112" s="65" t="str">
        <f>VLOOKUP(E1112,DATABASE!C:Q,8,false)</f>
        <v>IBU</v>
      </c>
      <c r="P1112" s="65">
        <f>VLOOKUP(E1112,DATABASE!C:Q,9,False)</f>
        <v>1</v>
      </c>
      <c r="Q1112" s="93" t="str">
        <f>VLOOKUP(E1112,DATABASE!C:Q,4,false)</f>
        <v>Dunlop</v>
      </c>
      <c r="R1112" s="93" t="str">
        <f>VLOOKUP(E1112,DATABASE!C:Q,11,false)</f>
        <v>Tire</v>
      </c>
    </row>
    <row r="1113" ht="22.5" customHeight="1">
      <c r="A1113" s="49"/>
      <c r="C1113" s="384">
        <v>45722.0</v>
      </c>
      <c r="D1113" s="65">
        <v>4587.0</v>
      </c>
      <c r="E1113" s="445" t="s">
        <v>265</v>
      </c>
      <c r="F1113" s="386">
        <v>1.0</v>
      </c>
      <c r="G1113" s="74">
        <v>670000.0</v>
      </c>
      <c r="H1113" s="74">
        <v>0.0</v>
      </c>
      <c r="I1113" s="74">
        <f t="shared" si="1"/>
        <v>670000</v>
      </c>
      <c r="J1113" s="74">
        <f>IF(E1113="SERVICE",I1113-(I1113*50%),Vlookup(E1113,DATABASE!C:Q,10,false)*F1113)</f>
        <v>0</v>
      </c>
      <c r="K1113" s="74">
        <v>590000.0</v>
      </c>
      <c r="L1113" s="74">
        <v>590000.0</v>
      </c>
      <c r="M1113" s="74">
        <f t="shared" si="2"/>
        <v>590000</v>
      </c>
      <c r="N1113" s="74">
        <f t="shared" si="3"/>
        <v>80000</v>
      </c>
      <c r="O1113" s="65" t="str">
        <f>VLOOKUP(E1113,DATABASE!C:Q,8,false)</f>
        <v>IBU</v>
      </c>
      <c r="P1113" s="65">
        <f>VLOOKUP(E1113,DATABASE!C:Q,9,False)</f>
        <v>1</v>
      </c>
      <c r="Q1113" s="93" t="str">
        <f>VLOOKUP(E1113,DATABASE!C:Q,4,false)</f>
        <v>Dunlop</v>
      </c>
      <c r="R1113" s="93" t="str">
        <f>VLOOKUP(E1113,DATABASE!C:Q,11,false)</f>
        <v>Tire</v>
      </c>
    </row>
    <row r="1114" ht="22.5" customHeight="1">
      <c r="A1114" s="49"/>
      <c r="C1114" s="384">
        <v>45722.0</v>
      </c>
      <c r="D1114" s="65">
        <v>4588.0</v>
      </c>
      <c r="E1114" s="445" t="s">
        <v>268</v>
      </c>
      <c r="F1114" s="386">
        <v>1.0</v>
      </c>
      <c r="G1114" s="74">
        <v>700000.0</v>
      </c>
      <c r="H1114" s="74">
        <v>0.0</v>
      </c>
      <c r="I1114" s="74">
        <f t="shared" si="1"/>
        <v>700000</v>
      </c>
      <c r="J1114" s="74">
        <f>IF(E1114="SERVICE",I1114-(I1114*50%),Vlookup(E1114,DATABASE!C:Q,10,false)*F1114)</f>
        <v>0</v>
      </c>
      <c r="K1114" s="74">
        <v>613000.0</v>
      </c>
      <c r="L1114" s="74">
        <v>613000.0</v>
      </c>
      <c r="M1114" s="74">
        <f t="shared" si="2"/>
        <v>615000</v>
      </c>
      <c r="N1114" s="74">
        <f t="shared" si="3"/>
        <v>85000</v>
      </c>
      <c r="O1114" s="65" t="str">
        <f>VLOOKUP(E1114,DATABASE!C:Q,8,false)</f>
        <v>IBU</v>
      </c>
      <c r="P1114" s="65">
        <f>VLOOKUP(E1114,DATABASE!C:Q,9,False)</f>
        <v>1</v>
      </c>
      <c r="Q1114" s="93" t="str">
        <f>VLOOKUP(E1114,DATABASE!C:Q,4,false)</f>
        <v>Dunlop</v>
      </c>
      <c r="R1114" s="93" t="str">
        <f>VLOOKUP(E1114,DATABASE!C:Q,11,false)</f>
        <v>Tire</v>
      </c>
    </row>
    <row r="1115" ht="22.5" customHeight="1">
      <c r="A1115" s="49"/>
      <c r="C1115" s="384">
        <v>45722.0</v>
      </c>
      <c r="D1115" s="65">
        <v>4589.0</v>
      </c>
      <c r="E1115" s="445" t="s">
        <v>946</v>
      </c>
      <c r="F1115" s="386">
        <v>2.0</v>
      </c>
      <c r="G1115" s="74">
        <v>870000.0</v>
      </c>
      <c r="H1115" s="74">
        <v>0.0</v>
      </c>
      <c r="I1115" s="74">
        <f t="shared" si="1"/>
        <v>1740000</v>
      </c>
      <c r="J1115" s="74">
        <f>IF(E1115="SERVICE",I1115-(I1115*50%),Vlookup(E1115,DATABASE!C:Q,10,false)*F1115)</f>
        <v>0</v>
      </c>
      <c r="K1115" s="74">
        <f>VLOOKUP(E1115,DATABASE!C:Q,7,false)</f>
        <v>809000</v>
      </c>
      <c r="L1115" s="74">
        <v>809000.0</v>
      </c>
      <c r="M1115" s="74">
        <f t="shared" si="2"/>
        <v>810000</v>
      </c>
      <c r="N1115" s="74">
        <f t="shared" si="3"/>
        <v>120000</v>
      </c>
      <c r="O1115" s="65" t="str">
        <f>VLOOKUP(E1115,DATABASE!C:Q,8,false)</f>
        <v>IBU</v>
      </c>
      <c r="P1115" s="65">
        <f>VLOOKUP(E1115,DATABASE!C:Q,9,False)</f>
        <v>1</v>
      </c>
      <c r="Q1115" s="93" t="str">
        <f>VLOOKUP(E1115,DATABASE!C:Q,4,false)</f>
        <v>Dunlop</v>
      </c>
      <c r="R1115" s="93" t="str">
        <f>VLOOKUP(E1115,DATABASE!C:Q,11,false)</f>
        <v>Tire</v>
      </c>
    </row>
    <row r="1116" ht="22.5" customHeight="1">
      <c r="A1116" s="49"/>
      <c r="C1116" s="384">
        <v>45722.0</v>
      </c>
      <c r="D1116" s="65">
        <v>4590.0</v>
      </c>
      <c r="E1116" s="445" t="s">
        <v>256</v>
      </c>
      <c r="F1116" s="386">
        <v>1.0</v>
      </c>
      <c r="G1116" s="74">
        <v>130000.0</v>
      </c>
      <c r="H1116" s="74">
        <v>0.0</v>
      </c>
      <c r="I1116" s="74">
        <f t="shared" si="1"/>
        <v>130000</v>
      </c>
      <c r="J1116" s="74">
        <f>IF(E1116="SERVICE",I1116-(I1116*50%),Vlookup(E1116,DATABASE!C:Q,10,false)*F1116)</f>
        <v>10000</v>
      </c>
      <c r="K1116" s="74">
        <f>VLOOKUP(E1116,DATABASE!C:Q,7,false)</f>
        <v>0</v>
      </c>
      <c r="L1116" s="74">
        <v>0.0</v>
      </c>
      <c r="M1116" s="74">
        <f t="shared" si="2"/>
        <v>0</v>
      </c>
      <c r="N1116" s="74">
        <f t="shared" si="3"/>
        <v>120000</v>
      </c>
      <c r="O1116" s="65" t="str">
        <f>VLOOKUP(E1116,DATABASE!C:Q,8,false)</f>
        <v>IBU</v>
      </c>
      <c r="P1116" s="65">
        <f>VLOOKUP(E1116,DATABASE!C:Q,9,False)</f>
        <v>0</v>
      </c>
      <c r="Q1116" s="93" t="str">
        <f>VLOOKUP(E1116,DATABASE!C:Q,4,false)</f>
        <v>SPOORING</v>
      </c>
      <c r="R1116" s="93" t="str">
        <f>VLOOKUP(E1116,DATABASE!C:Q,11,false)</f>
        <v>SERVICE</v>
      </c>
    </row>
    <row r="1117" ht="22.5" customHeight="1">
      <c r="A1117" s="49"/>
      <c r="C1117" s="384">
        <v>45722.0</v>
      </c>
      <c r="D1117" s="65">
        <v>4590.0</v>
      </c>
      <c r="E1117" s="445" t="s">
        <v>301</v>
      </c>
      <c r="F1117" s="386">
        <v>1.0</v>
      </c>
      <c r="G1117" s="74">
        <v>250000.0</v>
      </c>
      <c r="H1117" s="74">
        <v>0.0</v>
      </c>
      <c r="I1117" s="74">
        <f t="shared" si="1"/>
        <v>250000</v>
      </c>
      <c r="J1117" s="74">
        <f>IF(E1117="SERVICE",I1117-(I1117*50%),Vlookup(E1117,DATABASE!C:Q,10,false)*F1117)</f>
        <v>75000</v>
      </c>
      <c r="K1117" s="74">
        <f>VLOOKUP(E1117,DATABASE!C:Q,7,false)</f>
        <v>75000</v>
      </c>
      <c r="L1117" s="74">
        <v>75000.0</v>
      </c>
      <c r="M1117" s="74">
        <f t="shared" si="2"/>
        <v>75000</v>
      </c>
      <c r="N1117" s="74">
        <f t="shared" si="3"/>
        <v>100000</v>
      </c>
      <c r="O1117" s="65" t="str">
        <f>VLOOKUP(E1117,DATABASE!C:Q,8,false)</f>
        <v>BIAN</v>
      </c>
      <c r="P1117" s="65">
        <f>VLOOKUP(E1117,DATABASE!C:Q,9,False)</f>
        <v>0</v>
      </c>
      <c r="Q1117" s="93" t="str">
        <f>VLOOKUP(E1117,DATABASE!C:Q,4,false)</f>
        <v>Baut Camber</v>
      </c>
      <c r="R1117" s="93" t="str">
        <f>VLOOKUP(E1117,DATABASE!C:Q,11,false)</f>
        <v>COMPLEMENTARY</v>
      </c>
    </row>
    <row r="1118" ht="22.5" customHeight="1">
      <c r="A1118" s="49"/>
      <c r="C1118" s="384">
        <v>45722.0</v>
      </c>
      <c r="D1118" s="65">
        <v>4591.0</v>
      </c>
      <c r="E1118" s="445" t="s">
        <v>878</v>
      </c>
      <c r="F1118" s="386">
        <v>4.0</v>
      </c>
      <c r="G1118" s="74">
        <v>50000.0</v>
      </c>
      <c r="H1118" s="74">
        <v>0.0</v>
      </c>
      <c r="I1118" s="74">
        <f t="shared" si="1"/>
        <v>200000</v>
      </c>
      <c r="J1118" s="74">
        <f>IF(E1118="SERVICE",I1118-(I1118*50%),Vlookup(E1118,DATABASE!C:Q,10,false)*F1118)</f>
        <v>0</v>
      </c>
      <c r="K1118" s="74">
        <f>VLOOKUP(E1118,DATABASE!C:Q,7,false)</f>
        <v>0</v>
      </c>
      <c r="L1118" s="74">
        <v>0.0</v>
      </c>
      <c r="M1118" s="74">
        <f t="shared" si="2"/>
        <v>0</v>
      </c>
      <c r="N1118" s="74">
        <f t="shared" si="3"/>
        <v>200000</v>
      </c>
      <c r="O1118" s="65" t="str">
        <f>VLOOKUP(E1118,DATABASE!C:Q,8,false)</f>
        <v>IBU</v>
      </c>
      <c r="P1118" s="65">
        <f>VLOOKUP(E1118,DATABASE!C:Q,9,False)</f>
        <v>0</v>
      </c>
      <c r="Q1118" s="93" t="str">
        <f>VLOOKUP(E1118,DATABASE!C:Q,4,false)</f>
        <v>Bongkar Pasang 17</v>
      </c>
      <c r="R1118" s="93" t="str">
        <f>VLOOKUP(E1118,DATABASE!C:Q,11,false)</f>
        <v>SERVICE</v>
      </c>
    </row>
    <row r="1119" ht="22.5" customHeight="1">
      <c r="A1119" s="49"/>
      <c r="C1119" s="384">
        <v>45722.0</v>
      </c>
      <c r="D1119" s="65">
        <v>4591.0</v>
      </c>
      <c r="E1119" s="445" t="s">
        <v>2139</v>
      </c>
      <c r="F1119" s="386">
        <v>4.0</v>
      </c>
      <c r="G1119" s="74">
        <v>10000.0</v>
      </c>
      <c r="H1119" s="74">
        <v>0.0</v>
      </c>
      <c r="I1119" s="74">
        <f t="shared" si="1"/>
        <v>40000</v>
      </c>
      <c r="J1119" s="74">
        <f>IF(E1119="SERVICE",I1119-(I1119*50%),Vlookup(E1119,DATABASE!C:Q,10,false)*F1119)</f>
        <v>0</v>
      </c>
      <c r="K1119" s="74">
        <f>VLOOKUP(E1119,DATABASE!C:Q,7,false)</f>
        <v>0</v>
      </c>
      <c r="L1119" s="74">
        <v>0.0</v>
      </c>
      <c r="M1119" s="74">
        <f t="shared" si="2"/>
        <v>0</v>
      </c>
      <c r="N1119" s="74">
        <f t="shared" si="3"/>
        <v>40000</v>
      </c>
      <c r="O1119" s="65" t="str">
        <f>VLOOKUP(E1119,DATABASE!C:Q,8,false)</f>
        <v>IBU</v>
      </c>
      <c r="P1119" s="65">
        <f>VLOOKUP(E1119,DATABASE!C:Q,9,False)</f>
        <v>0</v>
      </c>
      <c r="Q1119" s="93" t="str">
        <f>VLOOKUP(E1119,DATABASE!C:Q,4,false)</f>
        <v>PENTIL</v>
      </c>
      <c r="R1119" s="93" t="str">
        <f>VLOOKUP(E1119,DATABASE!C:Q,11,false)</f>
        <v>COMPLEMENTARY</v>
      </c>
    </row>
    <row r="1120" ht="22.5" customHeight="1">
      <c r="A1120" s="49"/>
      <c r="C1120" s="384">
        <v>45722.0</v>
      </c>
      <c r="D1120" s="65">
        <v>4592.0</v>
      </c>
      <c r="E1120" s="445" t="s">
        <v>275</v>
      </c>
      <c r="F1120" s="386">
        <v>1.0</v>
      </c>
      <c r="G1120" s="74">
        <v>830000.0</v>
      </c>
      <c r="H1120" s="74">
        <v>0.0</v>
      </c>
      <c r="I1120" s="74">
        <f t="shared" si="1"/>
        <v>830000</v>
      </c>
      <c r="J1120" s="74">
        <f>IF(E1120="SERVICE",I1120-(I1120*50%),Vlookup(E1120,DATABASE!C:Q,10,false)*F1120)</f>
        <v>0</v>
      </c>
      <c r="K1120" s="74">
        <v>735000.0</v>
      </c>
      <c r="L1120" s="74">
        <v>735000.0</v>
      </c>
      <c r="M1120" s="74">
        <f t="shared" si="2"/>
        <v>735000</v>
      </c>
      <c r="N1120" s="74">
        <f t="shared" si="3"/>
        <v>95000</v>
      </c>
      <c r="O1120" s="65" t="str">
        <f>VLOOKUP(E1120,DATABASE!C:Q,8,false)</f>
        <v>IBU</v>
      </c>
      <c r="P1120" s="65">
        <f>VLOOKUP(E1120,DATABASE!C:Q,9,False)</f>
        <v>1</v>
      </c>
      <c r="Q1120" s="93" t="str">
        <f>VLOOKUP(E1120,DATABASE!C:Q,4,false)</f>
        <v>Dunlop</v>
      </c>
      <c r="R1120" s="93" t="str">
        <f>VLOOKUP(E1120,DATABASE!C:Q,11,false)</f>
        <v>Tire</v>
      </c>
    </row>
    <row r="1121" ht="22.5" customHeight="1">
      <c r="A1121" s="49"/>
      <c r="C1121" s="384">
        <v>45723.0</v>
      </c>
      <c r="D1121" s="65">
        <v>4593.0</v>
      </c>
      <c r="E1121" s="445" t="s">
        <v>781</v>
      </c>
      <c r="F1121" s="386">
        <v>2.0</v>
      </c>
      <c r="G1121" s="74">
        <v>525000.0</v>
      </c>
      <c r="H1121" s="74">
        <v>0.0</v>
      </c>
      <c r="I1121" s="74">
        <f t="shared" si="1"/>
        <v>1050000</v>
      </c>
      <c r="J1121" s="74">
        <f>IF(E1121="SERVICE",I1121-(I1121*50%),Vlookup(E1121,DATABASE!C:Q,10,false)*F1121)</f>
        <v>0</v>
      </c>
      <c r="K1121" s="74">
        <f>VLOOKUP(E1121,DATABASE!C:Q,7,false)</f>
        <v>470000</v>
      </c>
      <c r="L1121" s="74">
        <v>442500.0</v>
      </c>
      <c r="M1121" s="74">
        <f t="shared" si="2"/>
        <v>445000</v>
      </c>
      <c r="N1121" s="74">
        <f t="shared" si="3"/>
        <v>160000</v>
      </c>
      <c r="O1121" s="65" t="str">
        <f>VLOOKUP(E1121,DATABASE!C:Q,8,false)</f>
        <v>BIAN</v>
      </c>
      <c r="P1121" s="65">
        <f>VLOOKUP(E1121,DATABASE!C:Q,9,False)</f>
        <v>1</v>
      </c>
      <c r="Q1121" s="93" t="str">
        <f>VLOOKUP(E1121,DATABASE!C:Q,4,false)</f>
        <v>GT</v>
      </c>
      <c r="R1121" s="93" t="str">
        <f>VLOOKUP(E1121,DATABASE!C:Q,11,false)</f>
        <v>Tire</v>
      </c>
    </row>
    <row r="1122" ht="22.5" customHeight="1">
      <c r="A1122" s="49"/>
      <c r="C1122" s="384">
        <v>45723.0</v>
      </c>
      <c r="D1122" s="65">
        <v>4594.0</v>
      </c>
      <c r="E1122" s="445" t="s">
        <v>744</v>
      </c>
      <c r="F1122" s="386">
        <v>1.0</v>
      </c>
      <c r="G1122" s="74">
        <v>230000.0</v>
      </c>
      <c r="H1122" s="74">
        <v>0.0</v>
      </c>
      <c r="I1122" s="74">
        <f t="shared" si="1"/>
        <v>230000</v>
      </c>
      <c r="J1122" s="74">
        <f>IF(E1122="SERVICE",I1122-(I1122*50%),Vlookup(E1122,DATABASE!C:Q,10,false)*F1122)</f>
        <v>0</v>
      </c>
      <c r="K1122" s="74">
        <f>VLOOKUP(E1122,DATABASE!C:Q,7,false)</f>
        <v>182200</v>
      </c>
      <c r="L1122" s="74">
        <v>199920.0</v>
      </c>
      <c r="M1122" s="74">
        <f t="shared" si="2"/>
        <v>200000</v>
      </c>
      <c r="N1122" s="74">
        <f t="shared" si="3"/>
        <v>30000</v>
      </c>
      <c r="O1122" s="65" t="str">
        <f>VLOOKUP(E1122,DATABASE!C:Q,8,false)</f>
        <v>BIAN</v>
      </c>
      <c r="P1122" s="65">
        <f>VLOOKUP(E1122,DATABASE!C:Q,9,False)</f>
        <v>1</v>
      </c>
      <c r="Q1122" s="93" t="str">
        <f>VLOOKUP(E1122,DATABASE!C:Q,4,false)</f>
        <v>BD</v>
      </c>
      <c r="R1122" s="93" t="str">
        <f>VLOOKUP(E1122,DATABASE!C:Q,11,false)</f>
        <v>Tire</v>
      </c>
    </row>
    <row r="1123" ht="22.5" customHeight="1">
      <c r="A1123" s="49"/>
      <c r="C1123" s="384">
        <v>45723.0</v>
      </c>
      <c r="D1123" s="65">
        <v>4594.0</v>
      </c>
      <c r="E1123" s="445" t="s">
        <v>821</v>
      </c>
      <c r="F1123" s="386">
        <v>1.0</v>
      </c>
      <c r="G1123" s="74">
        <v>80000.0</v>
      </c>
      <c r="H1123" s="74">
        <v>0.0</v>
      </c>
      <c r="I1123" s="74">
        <f t="shared" si="1"/>
        <v>80000</v>
      </c>
      <c r="J1123" s="74">
        <f>IF(E1123="SERVICE",I1123-(I1123*50%),Vlookup(E1123,DATABASE!C:Q,10,false)*F1123)</f>
        <v>0</v>
      </c>
      <c r="K1123" s="74">
        <f>VLOOKUP(E1123,DATABASE!C:Q,7,false)</f>
        <v>43500</v>
      </c>
      <c r="L1123" s="74">
        <v>43520.0</v>
      </c>
      <c r="M1123" s="74">
        <f t="shared" si="2"/>
        <v>45000</v>
      </c>
      <c r="N1123" s="74">
        <f t="shared" si="3"/>
        <v>35000</v>
      </c>
      <c r="O1123" s="65" t="str">
        <f>VLOOKUP(E1123,DATABASE!C:Q,8,false)</f>
        <v>BIAN</v>
      </c>
      <c r="P1123" s="65">
        <f>VLOOKUP(E1123,DATABASE!C:Q,9,False)</f>
        <v>1</v>
      </c>
      <c r="Q1123" s="93" t="str">
        <f>VLOOKUP(E1123,DATABASE!C:Q,4,false)</f>
        <v>Flap</v>
      </c>
      <c r="R1123" s="93" t="str">
        <f>VLOOKUP(E1123,DATABASE!C:Q,11,false)</f>
        <v>Tire</v>
      </c>
    </row>
    <row r="1124" ht="22.5" customHeight="1">
      <c r="A1124" s="49"/>
      <c r="C1124" s="384">
        <v>45723.0</v>
      </c>
      <c r="D1124" s="65">
        <v>4596.0</v>
      </c>
      <c r="E1124" s="445" t="s">
        <v>1807</v>
      </c>
      <c r="F1124" s="386">
        <v>4.0</v>
      </c>
      <c r="G1124" s="74">
        <v>575000.0</v>
      </c>
      <c r="H1124" s="74">
        <v>0.0</v>
      </c>
      <c r="I1124" s="74">
        <f t="shared" si="1"/>
        <v>2300000</v>
      </c>
      <c r="J1124" s="74">
        <f>IF(E1124="SERVICE",I1124-(I1124*50%),Vlookup(E1124,DATABASE!C:Q,10,false)*F1124)</f>
        <v>0</v>
      </c>
      <c r="K1124" s="74">
        <f>VLOOKUP(E1124,DATABASE!C:Q,7,false)</f>
        <v>473000</v>
      </c>
      <c r="L1124" s="74">
        <v>473000.0</v>
      </c>
      <c r="M1124" s="74">
        <f t="shared" si="2"/>
        <v>475000</v>
      </c>
      <c r="N1124" s="74">
        <f t="shared" si="3"/>
        <v>400000</v>
      </c>
      <c r="O1124" s="65" t="str">
        <f>VLOOKUP(E1124,DATABASE!C:Q,8,false)</f>
        <v>BIAN</v>
      </c>
      <c r="P1124" s="65">
        <f>VLOOKUP(E1124,DATABASE!C:Q,9,False)</f>
        <v>1</v>
      </c>
      <c r="Q1124" s="93" t="str">
        <f>VLOOKUP(E1124,DATABASE!C:Q,4,false)</f>
        <v>G. YEAR</v>
      </c>
      <c r="R1124" s="93" t="str">
        <f>VLOOKUP(E1124,DATABASE!C:Q,11,false)</f>
        <v>Tire</v>
      </c>
    </row>
    <row r="1125" ht="22.5" customHeight="1">
      <c r="A1125" s="49"/>
      <c r="C1125" s="384">
        <v>45723.0</v>
      </c>
      <c r="D1125" s="65">
        <v>4598.0</v>
      </c>
      <c r="E1125" s="445" t="s">
        <v>268</v>
      </c>
      <c r="F1125" s="386">
        <v>2.0</v>
      </c>
      <c r="G1125" s="74">
        <v>700000.0</v>
      </c>
      <c r="H1125" s="74">
        <v>0.0</v>
      </c>
      <c r="I1125" s="74">
        <f t="shared" si="1"/>
        <v>1400000</v>
      </c>
      <c r="J1125" s="74">
        <f>IF(E1125="SERVICE",I1125-(I1125*50%),Vlookup(E1125,DATABASE!C:Q,10,false)*F1125)</f>
        <v>0</v>
      </c>
      <c r="K1125" s="74">
        <v>613000.0</v>
      </c>
      <c r="L1125" s="74">
        <v>613000.0</v>
      </c>
      <c r="M1125" s="74">
        <f t="shared" si="2"/>
        <v>615000</v>
      </c>
      <c r="N1125" s="74">
        <f t="shared" si="3"/>
        <v>170000</v>
      </c>
      <c r="O1125" s="65" t="str">
        <f>VLOOKUP(E1125,DATABASE!C:Q,8,false)</f>
        <v>IBU</v>
      </c>
      <c r="P1125" s="65">
        <f>VLOOKUP(E1125,DATABASE!C:Q,9,False)</f>
        <v>1</v>
      </c>
      <c r="Q1125" s="93" t="str">
        <f>VLOOKUP(E1125,DATABASE!C:Q,4,false)</f>
        <v>Dunlop</v>
      </c>
      <c r="R1125" s="93" t="str">
        <f>VLOOKUP(E1125,DATABASE!C:Q,11,false)</f>
        <v>Tire</v>
      </c>
    </row>
    <row r="1126" ht="22.5" customHeight="1">
      <c r="A1126" s="49"/>
      <c r="C1126" s="384">
        <v>45723.0</v>
      </c>
      <c r="D1126" s="65">
        <v>4598.0</v>
      </c>
      <c r="E1126" s="385" t="s">
        <v>299</v>
      </c>
      <c r="F1126" s="386">
        <v>2.0</v>
      </c>
      <c r="G1126" s="74">
        <v>30000.0</v>
      </c>
      <c r="H1126" s="74">
        <v>0.0</v>
      </c>
      <c r="I1126" s="74">
        <f t="shared" si="1"/>
        <v>60000</v>
      </c>
      <c r="J1126" s="74">
        <f>IF(E1126="SERVICE",I1126-(I1126*50%),Vlookup(E1126,DATABASE!C:Q,10,false)*F1126)</f>
        <v>0</v>
      </c>
      <c r="K1126" s="74">
        <v>0.0</v>
      </c>
      <c r="L1126" s="74">
        <v>0.0</v>
      </c>
      <c r="M1126" s="74">
        <f t="shared" si="2"/>
        <v>0</v>
      </c>
      <c r="N1126" s="74">
        <f t="shared" si="3"/>
        <v>60000</v>
      </c>
      <c r="O1126" s="65" t="str">
        <f>VLOOKUP(E1126,DATABASE!C:Q,8,false)</f>
        <v>BIAN</v>
      </c>
      <c r="P1126" s="65">
        <f>VLOOKUP(E1126,DATABASE!C:Q,9,False)</f>
        <v>0</v>
      </c>
      <c r="Q1126" s="93" t="str">
        <f>VLOOKUP(E1126,DATABASE!C:Q,4,false)</f>
        <v>Balancing</v>
      </c>
      <c r="R1126" s="93" t="str">
        <f>VLOOKUP(E1126,DATABASE!C:Q,11,false)</f>
        <v>COMPLEMENTARY</v>
      </c>
    </row>
    <row r="1127" ht="22.5" customHeight="1">
      <c r="A1127" s="49"/>
      <c r="C1127" s="384">
        <v>45723.0</v>
      </c>
      <c r="D1127" s="65">
        <v>4598.0</v>
      </c>
      <c r="E1127" s="445" t="s">
        <v>262</v>
      </c>
      <c r="F1127" s="386">
        <v>1.0</v>
      </c>
      <c r="G1127" s="74">
        <v>120000.0</v>
      </c>
      <c r="H1127" s="74">
        <v>0.0</v>
      </c>
      <c r="I1127" s="74">
        <f t="shared" si="1"/>
        <v>120000</v>
      </c>
      <c r="J1127" s="74">
        <f>IF(E1127="SERVICE",I1127-(I1127*50%),Vlookup(E1127,DATABASE!C:Q,10,false)*F1127)</f>
        <v>5000</v>
      </c>
      <c r="K1127" s="74">
        <f>VLOOKUP(E1127,DATABASE!C:Q,7,false)</f>
        <v>0</v>
      </c>
      <c r="L1127" s="74">
        <v>0.0</v>
      </c>
      <c r="M1127" s="74">
        <f t="shared" si="2"/>
        <v>0</v>
      </c>
      <c r="N1127" s="74">
        <f t="shared" si="3"/>
        <v>115000</v>
      </c>
      <c r="O1127" s="65" t="str">
        <f>VLOOKUP(E1127,DATABASE!C:Q,8,false)</f>
        <v>IBU</v>
      </c>
      <c r="P1127" s="65">
        <f>VLOOKUP(E1127,DATABASE!C:Q,9,False)</f>
        <v>0</v>
      </c>
      <c r="Q1127" s="93" t="str">
        <f>VLOOKUP(E1127,DATABASE!C:Q,4,false)</f>
        <v>SPOORING SS/CARRY LOS BAK</v>
      </c>
      <c r="R1127" s="93" t="str">
        <f>VLOOKUP(E1127,DATABASE!C:Q,11,false)</f>
        <v>SERVICE</v>
      </c>
    </row>
    <row r="1128" ht="22.5" customHeight="1">
      <c r="A1128" s="49"/>
      <c r="C1128" s="384">
        <v>45723.0</v>
      </c>
      <c r="D1128" s="65">
        <v>4598.0</v>
      </c>
      <c r="E1128" s="445" t="s">
        <v>251</v>
      </c>
      <c r="F1128" s="386">
        <v>1.0</v>
      </c>
      <c r="G1128" s="74">
        <v>120000.0</v>
      </c>
      <c r="H1128" s="74">
        <v>0.0</v>
      </c>
      <c r="I1128" s="74">
        <f t="shared" si="1"/>
        <v>120000</v>
      </c>
      <c r="J1128" s="74">
        <f>IF(E1128="SERVICE",I1128-(I1128*50%),Vlookup(E1128,DATABASE!C:Q,10,false)*F1128)</f>
        <v>60000</v>
      </c>
      <c r="K1128" s="74">
        <f>VLOOKUP(E1128,DATABASE!C:Q,7,false)</f>
        <v>0</v>
      </c>
      <c r="L1128" s="74">
        <v>0.0</v>
      </c>
      <c r="M1128" s="74">
        <f t="shared" si="2"/>
        <v>0</v>
      </c>
      <c r="N1128" s="74">
        <f t="shared" si="3"/>
        <v>60000</v>
      </c>
      <c r="O1128" s="65" t="str">
        <f>VLOOKUP(E1128,DATABASE!C:Q,8,false)</f>
        <v>IBU</v>
      </c>
      <c r="P1128" s="65">
        <f>VLOOKUP(E1128,DATABASE!C:Q,9,False)</f>
        <v>0</v>
      </c>
      <c r="Q1128" s="93" t="str">
        <f>VLOOKUP(E1128,DATABASE!C:Q,4,false)</f>
        <v>SERVICE</v>
      </c>
      <c r="R1128" s="93" t="str">
        <f>VLOOKUP(E1128,DATABASE!C:Q,11,false)</f>
        <v>SERVICE</v>
      </c>
    </row>
    <row r="1129" ht="22.5" customHeight="1">
      <c r="A1129" s="49"/>
      <c r="C1129" s="384">
        <v>45723.0</v>
      </c>
      <c r="D1129" s="65">
        <v>4599.0</v>
      </c>
      <c r="E1129" s="445" t="s">
        <v>268</v>
      </c>
      <c r="F1129" s="386">
        <v>1.0</v>
      </c>
      <c r="G1129" s="74">
        <v>700000.0</v>
      </c>
      <c r="H1129" s="74">
        <v>0.0</v>
      </c>
      <c r="I1129" s="74">
        <f t="shared" si="1"/>
        <v>700000</v>
      </c>
      <c r="J1129" s="74">
        <f>IF(E1129="SERVICE",I1129-(I1129*50%),Vlookup(E1129,DATABASE!C:Q,10,false)*F1129)</f>
        <v>0</v>
      </c>
      <c r="K1129" s="74">
        <v>613000.0</v>
      </c>
      <c r="L1129" s="74">
        <v>613000.0</v>
      </c>
      <c r="M1129" s="74">
        <f t="shared" si="2"/>
        <v>615000</v>
      </c>
      <c r="N1129" s="74">
        <f t="shared" si="3"/>
        <v>85000</v>
      </c>
      <c r="O1129" s="65" t="str">
        <f>VLOOKUP(E1129,DATABASE!C:Q,8,false)</f>
        <v>IBU</v>
      </c>
      <c r="P1129" s="65">
        <f>VLOOKUP(E1129,DATABASE!C:Q,9,False)</f>
        <v>1</v>
      </c>
      <c r="Q1129" s="93" t="str">
        <f>VLOOKUP(E1129,DATABASE!C:Q,4,false)</f>
        <v>Dunlop</v>
      </c>
      <c r="R1129" s="93" t="str">
        <f>VLOOKUP(E1129,DATABASE!C:Q,11,false)</f>
        <v>Tire</v>
      </c>
    </row>
    <row r="1130" ht="22.5" customHeight="1">
      <c r="A1130" s="49"/>
      <c r="C1130" s="384">
        <v>45723.0</v>
      </c>
      <c r="D1130" s="65">
        <v>4600.0</v>
      </c>
      <c r="E1130" s="445" t="s">
        <v>2135</v>
      </c>
      <c r="F1130" s="386">
        <v>4.0</v>
      </c>
      <c r="G1130" s="74">
        <v>15000.0</v>
      </c>
      <c r="H1130" s="74">
        <v>0.0</v>
      </c>
      <c r="I1130" s="74">
        <f t="shared" si="1"/>
        <v>60000</v>
      </c>
      <c r="J1130" s="74">
        <f>IF(E1130="SERVICE",I1130-(I1130*50%),Vlookup(E1130,DATABASE!C:Q,10,false)*F1130)</f>
        <v>0</v>
      </c>
      <c r="K1130" s="74">
        <f>VLOOKUP(E1130,DATABASE!C:Q,7,false)</f>
        <v>0</v>
      </c>
      <c r="L1130" s="74">
        <v>0.0</v>
      </c>
      <c r="M1130" s="74">
        <f t="shared" si="2"/>
        <v>0</v>
      </c>
      <c r="N1130" s="74">
        <f t="shared" si="3"/>
        <v>60000</v>
      </c>
      <c r="O1130" s="65" t="str">
        <f>VLOOKUP(E1130,DATABASE!C:Q,8,false)</f>
        <v>IBU</v>
      </c>
      <c r="P1130" s="65">
        <f>VLOOKUP(E1130,DATABASE!C:Q,9,False)</f>
        <v>0</v>
      </c>
      <c r="Q1130" s="93" t="str">
        <f>VLOOKUP(E1130,DATABASE!C:Q,4,false)</f>
        <v>NITROGEN</v>
      </c>
      <c r="R1130" s="93" t="str">
        <f>VLOOKUP(E1130,DATABASE!C:Q,11,false)</f>
        <v>COMPLEMENTARY</v>
      </c>
    </row>
    <row r="1131" ht="22.5" customHeight="1">
      <c r="A1131" s="49"/>
      <c r="C1131" s="384">
        <v>45723.0</v>
      </c>
      <c r="D1131" s="65">
        <v>4601.0</v>
      </c>
      <c r="E1131" s="445" t="s">
        <v>744</v>
      </c>
      <c r="F1131" s="386">
        <v>1.0</v>
      </c>
      <c r="G1131" s="74">
        <v>230000.0</v>
      </c>
      <c r="H1131" s="74">
        <v>0.0</v>
      </c>
      <c r="I1131" s="74">
        <f t="shared" si="1"/>
        <v>230000</v>
      </c>
      <c r="J1131" s="74">
        <f>IF(E1131="SERVICE",I1131-(I1131*50%),Vlookup(E1131,DATABASE!C:Q,10,false)*F1131)</f>
        <v>0</v>
      </c>
      <c r="K1131" s="74">
        <f>VLOOKUP(E1131,DATABASE!C:Q,7,false)</f>
        <v>182200</v>
      </c>
      <c r="L1131" s="74">
        <v>199920.0</v>
      </c>
      <c r="M1131" s="74">
        <f t="shared" si="2"/>
        <v>200000</v>
      </c>
      <c r="N1131" s="74">
        <f t="shared" si="3"/>
        <v>30000</v>
      </c>
      <c r="O1131" s="65" t="str">
        <f>VLOOKUP(E1131,DATABASE!C:Q,8,false)</f>
        <v>BIAN</v>
      </c>
      <c r="P1131" s="65">
        <f>VLOOKUP(E1131,DATABASE!C:Q,9,False)</f>
        <v>1</v>
      </c>
      <c r="Q1131" s="93" t="str">
        <f>VLOOKUP(E1131,DATABASE!C:Q,4,false)</f>
        <v>BD</v>
      </c>
      <c r="R1131" s="93" t="str">
        <f>VLOOKUP(E1131,DATABASE!C:Q,11,false)</f>
        <v>Tire</v>
      </c>
    </row>
    <row r="1132" ht="22.5" customHeight="1">
      <c r="A1132" s="49"/>
      <c r="C1132" s="384">
        <v>45723.0</v>
      </c>
      <c r="D1132" s="65">
        <v>4601.0</v>
      </c>
      <c r="E1132" s="445" t="s">
        <v>821</v>
      </c>
      <c r="F1132" s="386">
        <v>1.0</v>
      </c>
      <c r="G1132" s="74">
        <v>80000.0</v>
      </c>
      <c r="H1132" s="74">
        <v>0.0</v>
      </c>
      <c r="I1132" s="74">
        <f t="shared" si="1"/>
        <v>80000</v>
      </c>
      <c r="J1132" s="74">
        <f>IF(E1132="SERVICE",I1132-(I1132*50%),Vlookup(E1132,DATABASE!C:Q,10,false)*F1132)</f>
        <v>0</v>
      </c>
      <c r="K1132" s="74">
        <f>VLOOKUP(E1132,DATABASE!C:Q,7,false)</f>
        <v>43500</v>
      </c>
      <c r="L1132" s="74">
        <v>43520.0</v>
      </c>
      <c r="M1132" s="74">
        <f t="shared" si="2"/>
        <v>45000</v>
      </c>
      <c r="N1132" s="74">
        <f t="shared" si="3"/>
        <v>35000</v>
      </c>
      <c r="O1132" s="65" t="str">
        <f>VLOOKUP(E1132,DATABASE!C:Q,8,false)</f>
        <v>BIAN</v>
      </c>
      <c r="P1132" s="65">
        <f>VLOOKUP(E1132,DATABASE!C:Q,9,False)</f>
        <v>1</v>
      </c>
      <c r="Q1132" s="93" t="str">
        <f>VLOOKUP(E1132,DATABASE!C:Q,4,false)</f>
        <v>Flap</v>
      </c>
      <c r="R1132" s="93" t="str">
        <f>VLOOKUP(E1132,DATABASE!C:Q,11,false)</f>
        <v>Tire</v>
      </c>
    </row>
    <row r="1133" ht="22.5" customHeight="1">
      <c r="A1133" s="49"/>
      <c r="C1133" s="384">
        <v>45723.0</v>
      </c>
      <c r="D1133" s="65">
        <v>4603.0</v>
      </c>
      <c r="E1133" s="445" t="s">
        <v>1602</v>
      </c>
      <c r="F1133" s="386">
        <v>1.0</v>
      </c>
      <c r="G1133" s="74">
        <v>1850000.0</v>
      </c>
      <c r="H1133" s="74">
        <v>0.0</v>
      </c>
      <c r="I1133" s="74">
        <f t="shared" si="1"/>
        <v>1850000</v>
      </c>
      <c r="J1133" s="74">
        <f>IF(E1133="SERVICE",I1133-(I1133*50%),Vlookup(E1133,DATABASE!C:Q,10,false)*F1133)</f>
        <v>0</v>
      </c>
      <c r="K1133" s="74">
        <f>VLOOKUP(E1133,DATABASE!C:Q,7,false)</f>
        <v>1762000</v>
      </c>
      <c r="L1133" s="74">
        <v>1762000.0</v>
      </c>
      <c r="M1133" s="74">
        <f t="shared" si="2"/>
        <v>1765000</v>
      </c>
      <c r="N1133" s="74">
        <f t="shared" si="3"/>
        <v>85000</v>
      </c>
      <c r="O1133" s="65" t="str">
        <f>VLOOKUP(E1133,DATABASE!C:Q,8,false)</f>
        <v>IBU</v>
      </c>
      <c r="P1133" s="65">
        <f>VLOOKUP(E1133,DATABASE!C:Q,9,False)</f>
        <v>1</v>
      </c>
      <c r="Q1133" s="93" t="str">
        <f>VLOOKUP(E1133,DATABASE!C:Q,4,false)</f>
        <v>Dunlop</v>
      </c>
      <c r="R1133" s="93" t="str">
        <f>VLOOKUP(E1133,DATABASE!C:Q,11,false)</f>
        <v>Tire</v>
      </c>
    </row>
    <row r="1134" ht="22.5" customHeight="1">
      <c r="A1134" s="49"/>
      <c r="C1134" s="384">
        <v>45723.0</v>
      </c>
      <c r="D1134" s="65">
        <v>4604.0</v>
      </c>
      <c r="E1134" s="445" t="s">
        <v>1281</v>
      </c>
      <c r="F1134" s="386">
        <v>4.0</v>
      </c>
      <c r="G1134" s="74">
        <v>1790000.0</v>
      </c>
      <c r="H1134" s="74">
        <v>0.0</v>
      </c>
      <c r="I1134" s="74">
        <f t="shared" si="1"/>
        <v>7160000</v>
      </c>
      <c r="J1134" s="74">
        <f>IF(E1134="SERVICE",I1134-(I1134*50%),Vlookup(E1134,DATABASE!C:Q,10,false)*F1134)</f>
        <v>0</v>
      </c>
      <c r="K1134" s="74">
        <f>VLOOKUP(E1134,DATABASE!C:Q,7,false)</f>
        <v>1698000</v>
      </c>
      <c r="L1134" s="74">
        <v>1698000.0</v>
      </c>
      <c r="M1134" s="74">
        <f t="shared" si="2"/>
        <v>1700000</v>
      </c>
      <c r="N1134" s="74">
        <f t="shared" si="3"/>
        <v>360000</v>
      </c>
      <c r="O1134" s="65" t="str">
        <f>VLOOKUP(E1134,DATABASE!C:Q,8,false)</f>
        <v>IBU</v>
      </c>
      <c r="P1134" s="65">
        <f>VLOOKUP(E1134,DATABASE!C:Q,9,False)</f>
        <v>1</v>
      </c>
      <c r="Q1134" s="93" t="str">
        <f>VLOOKUP(E1134,DATABASE!C:Q,4,false)</f>
        <v>Bridgestone</v>
      </c>
      <c r="R1134" s="93" t="str">
        <f>VLOOKUP(E1134,DATABASE!C:Q,11,false)</f>
        <v>Tire</v>
      </c>
    </row>
    <row r="1135" ht="22.5" customHeight="1">
      <c r="A1135" s="49"/>
      <c r="C1135" s="384">
        <v>45723.0</v>
      </c>
      <c r="D1135" s="65">
        <v>4604.0</v>
      </c>
      <c r="E1135" s="445" t="s">
        <v>2135</v>
      </c>
      <c r="F1135" s="386">
        <v>4.0</v>
      </c>
      <c r="G1135" s="74">
        <v>15000.0</v>
      </c>
      <c r="H1135" s="74">
        <v>0.0</v>
      </c>
      <c r="I1135" s="74">
        <f t="shared" si="1"/>
        <v>60000</v>
      </c>
      <c r="J1135" s="74">
        <f>IF(E1135="SERVICE",I1135-(I1135*50%),Vlookup(E1135,DATABASE!C:Q,10,false)*F1135)</f>
        <v>0</v>
      </c>
      <c r="K1135" s="74">
        <f>VLOOKUP(E1135,DATABASE!C:Q,7,false)</f>
        <v>0</v>
      </c>
      <c r="L1135" s="74">
        <v>0.0</v>
      </c>
      <c r="M1135" s="74">
        <f t="shared" si="2"/>
        <v>0</v>
      </c>
      <c r="N1135" s="74">
        <f t="shared" si="3"/>
        <v>60000</v>
      </c>
      <c r="O1135" s="65" t="str">
        <f>VLOOKUP(E1135,DATABASE!C:Q,8,false)</f>
        <v>IBU</v>
      </c>
      <c r="P1135" s="65">
        <f>VLOOKUP(E1135,DATABASE!C:Q,9,False)</f>
        <v>0</v>
      </c>
      <c r="Q1135" s="93" t="str">
        <f>VLOOKUP(E1135,DATABASE!C:Q,4,false)</f>
        <v>NITROGEN</v>
      </c>
      <c r="R1135" s="93" t="str">
        <f>VLOOKUP(E1135,DATABASE!C:Q,11,false)</f>
        <v>COMPLEMENTARY</v>
      </c>
    </row>
    <row r="1136" ht="22.5" customHeight="1">
      <c r="A1136" s="49"/>
      <c r="C1136" s="384">
        <v>45723.0</v>
      </c>
      <c r="D1136" s="65">
        <v>4604.0</v>
      </c>
      <c r="E1136" s="385" t="s">
        <v>299</v>
      </c>
      <c r="F1136" s="386">
        <v>2.0</v>
      </c>
      <c r="G1136" s="74">
        <v>40000.0</v>
      </c>
      <c r="H1136" s="74">
        <v>0.0</v>
      </c>
      <c r="I1136" s="74">
        <f t="shared" si="1"/>
        <v>80000</v>
      </c>
      <c r="J1136" s="74">
        <f>IF(E1136="SERVICE",I1136-(I1136*50%),Vlookup(E1136,DATABASE!C:Q,10,false)*F1136)</f>
        <v>0</v>
      </c>
      <c r="K1136" s="74">
        <v>0.0</v>
      </c>
      <c r="L1136" s="74">
        <v>0.0</v>
      </c>
      <c r="M1136" s="74">
        <f t="shared" si="2"/>
        <v>0</v>
      </c>
      <c r="N1136" s="74">
        <f t="shared" si="3"/>
        <v>80000</v>
      </c>
      <c r="O1136" s="65" t="str">
        <f>VLOOKUP(E1136,DATABASE!C:Q,8,false)</f>
        <v>BIAN</v>
      </c>
      <c r="P1136" s="65">
        <f>VLOOKUP(E1136,DATABASE!C:Q,9,False)</f>
        <v>0</v>
      </c>
      <c r="Q1136" s="93" t="str">
        <f>VLOOKUP(E1136,DATABASE!C:Q,4,false)</f>
        <v>Balancing</v>
      </c>
      <c r="R1136" s="93" t="str">
        <f>VLOOKUP(E1136,DATABASE!C:Q,11,false)</f>
        <v>COMPLEMENTARY</v>
      </c>
    </row>
    <row r="1137" ht="22.5" customHeight="1">
      <c r="A1137" s="49"/>
      <c r="C1137" s="384">
        <v>45723.0</v>
      </c>
      <c r="D1137" s="65">
        <v>4605.0</v>
      </c>
      <c r="E1137" s="385" t="s">
        <v>299</v>
      </c>
      <c r="F1137" s="386">
        <v>2.0</v>
      </c>
      <c r="G1137" s="74">
        <v>40000.0</v>
      </c>
      <c r="H1137" s="74">
        <v>0.0</v>
      </c>
      <c r="I1137" s="74">
        <f t="shared" si="1"/>
        <v>80000</v>
      </c>
      <c r="J1137" s="74">
        <f>IF(E1137="SERVICE",I1137-(I1137*50%),Vlookup(E1137,DATABASE!C:Q,10,false)*F1137)</f>
        <v>0</v>
      </c>
      <c r="K1137" s="74">
        <v>0.0</v>
      </c>
      <c r="L1137" s="74">
        <v>0.0</v>
      </c>
      <c r="M1137" s="74">
        <f t="shared" si="2"/>
        <v>0</v>
      </c>
      <c r="N1137" s="74">
        <f t="shared" si="3"/>
        <v>80000</v>
      </c>
      <c r="O1137" s="65" t="str">
        <f>VLOOKUP(E1137,DATABASE!C:Q,8,false)</f>
        <v>BIAN</v>
      </c>
      <c r="P1137" s="65">
        <f>VLOOKUP(E1137,DATABASE!C:Q,9,False)</f>
        <v>0</v>
      </c>
      <c r="Q1137" s="93" t="str">
        <f>VLOOKUP(E1137,DATABASE!C:Q,4,false)</f>
        <v>Balancing</v>
      </c>
      <c r="R1137" s="93" t="str">
        <f>VLOOKUP(E1137,DATABASE!C:Q,11,false)</f>
        <v>COMPLEMENTARY</v>
      </c>
    </row>
    <row r="1138" ht="22.5" customHeight="1">
      <c r="A1138" s="49"/>
      <c r="C1138" s="384">
        <v>45724.0</v>
      </c>
      <c r="D1138" s="65">
        <v>4606.0</v>
      </c>
      <c r="E1138" s="445" t="s">
        <v>275</v>
      </c>
      <c r="F1138" s="386">
        <v>2.0</v>
      </c>
      <c r="G1138" s="74">
        <v>825000.0</v>
      </c>
      <c r="H1138" s="74">
        <v>0.0</v>
      </c>
      <c r="I1138" s="74">
        <f t="shared" si="1"/>
        <v>1650000</v>
      </c>
      <c r="J1138" s="74">
        <f>IF(E1138="SERVICE",I1138-(I1138*50%),Vlookup(E1138,DATABASE!C:Q,10,false)*F1138)</f>
        <v>0</v>
      </c>
      <c r="K1138" s="74">
        <v>735000.0</v>
      </c>
      <c r="L1138" s="74">
        <v>735000.0</v>
      </c>
      <c r="M1138" s="74">
        <f t="shared" si="2"/>
        <v>735000</v>
      </c>
      <c r="N1138" s="74">
        <f t="shared" si="3"/>
        <v>180000</v>
      </c>
      <c r="O1138" s="65" t="str">
        <f>VLOOKUP(E1138,DATABASE!C:Q,8,false)</f>
        <v>IBU</v>
      </c>
      <c r="P1138" s="65">
        <f>VLOOKUP(E1138,DATABASE!C:Q,9,False)</f>
        <v>1</v>
      </c>
      <c r="Q1138" s="93" t="str">
        <f>VLOOKUP(E1138,DATABASE!C:Q,4,false)</f>
        <v>Dunlop</v>
      </c>
      <c r="R1138" s="93" t="str">
        <f>VLOOKUP(E1138,DATABASE!C:Q,11,false)</f>
        <v>Tire</v>
      </c>
    </row>
    <row r="1139" ht="22.5" customHeight="1">
      <c r="A1139" s="49"/>
      <c r="C1139" s="384">
        <v>45724.0</v>
      </c>
      <c r="D1139" s="65">
        <v>4606.0</v>
      </c>
      <c r="E1139" s="445" t="s">
        <v>262</v>
      </c>
      <c r="F1139" s="386">
        <v>1.0</v>
      </c>
      <c r="G1139" s="74">
        <v>110000.0</v>
      </c>
      <c r="H1139" s="74">
        <v>0.0</v>
      </c>
      <c r="I1139" s="74">
        <f t="shared" si="1"/>
        <v>110000</v>
      </c>
      <c r="J1139" s="74">
        <f>IF(E1139="SERVICE",I1139-(I1139*50%),Vlookup(E1139,DATABASE!C:Q,10,false)*F1139)</f>
        <v>5000</v>
      </c>
      <c r="K1139" s="74">
        <f>VLOOKUP(E1139,DATABASE!C:Q,7,false)</f>
        <v>0</v>
      </c>
      <c r="L1139" s="74">
        <v>0.0</v>
      </c>
      <c r="M1139" s="74">
        <f t="shared" si="2"/>
        <v>0</v>
      </c>
      <c r="N1139" s="74">
        <f t="shared" si="3"/>
        <v>105000</v>
      </c>
      <c r="O1139" s="65" t="str">
        <f>VLOOKUP(E1139,DATABASE!C:Q,8,false)</f>
        <v>IBU</v>
      </c>
      <c r="P1139" s="65">
        <f>VLOOKUP(E1139,DATABASE!C:Q,9,False)</f>
        <v>0</v>
      </c>
      <c r="Q1139" s="93" t="str">
        <f>VLOOKUP(E1139,DATABASE!C:Q,4,false)</f>
        <v>SPOORING SS/CARRY LOS BAK</v>
      </c>
      <c r="R1139" s="93" t="str">
        <f>VLOOKUP(E1139,DATABASE!C:Q,11,false)</f>
        <v>SERVICE</v>
      </c>
    </row>
    <row r="1140" ht="22.5" customHeight="1">
      <c r="A1140" s="49"/>
      <c r="C1140" s="384">
        <v>45724.0</v>
      </c>
      <c r="D1140" s="65">
        <v>4606.0</v>
      </c>
      <c r="E1140" s="445" t="s">
        <v>251</v>
      </c>
      <c r="F1140" s="386">
        <v>1.0</v>
      </c>
      <c r="G1140" s="74">
        <v>120000.0</v>
      </c>
      <c r="H1140" s="74">
        <v>0.0</v>
      </c>
      <c r="I1140" s="74">
        <f t="shared" si="1"/>
        <v>120000</v>
      </c>
      <c r="J1140" s="74">
        <f>IF(E1140="SERVICE",I1140-(I1140*50%),Vlookup(E1140,DATABASE!C:Q,10,false)*F1140)</f>
        <v>60000</v>
      </c>
      <c r="K1140" s="74">
        <f>VLOOKUP(E1140,DATABASE!C:Q,7,false)</f>
        <v>0</v>
      </c>
      <c r="L1140" s="74">
        <v>0.0</v>
      </c>
      <c r="M1140" s="74">
        <f t="shared" si="2"/>
        <v>0</v>
      </c>
      <c r="N1140" s="74">
        <f t="shared" si="3"/>
        <v>60000</v>
      </c>
      <c r="O1140" s="65" t="str">
        <f>VLOOKUP(E1140,DATABASE!C:Q,8,false)</f>
        <v>IBU</v>
      </c>
      <c r="P1140" s="65">
        <f>VLOOKUP(E1140,DATABASE!C:Q,9,False)</f>
        <v>0</v>
      </c>
      <c r="Q1140" s="93" t="str">
        <f>VLOOKUP(E1140,DATABASE!C:Q,4,false)</f>
        <v>SERVICE</v>
      </c>
      <c r="R1140" s="93" t="str">
        <f>VLOOKUP(E1140,DATABASE!C:Q,11,false)</f>
        <v>SERVICE</v>
      </c>
    </row>
    <row r="1141" ht="22.5" customHeight="1">
      <c r="A1141" s="49"/>
      <c r="C1141" s="384">
        <v>45724.0</v>
      </c>
      <c r="D1141" s="65">
        <v>4607.0</v>
      </c>
      <c r="E1141" s="445" t="s">
        <v>932</v>
      </c>
      <c r="F1141" s="386">
        <v>2.0</v>
      </c>
      <c r="G1141" s="74">
        <v>670000.0</v>
      </c>
      <c r="H1141" s="74">
        <v>0.0</v>
      </c>
      <c r="I1141" s="74">
        <f t="shared" si="1"/>
        <v>1340000</v>
      </c>
      <c r="J1141" s="74">
        <f>IF(E1141="SERVICE",I1141-(I1141*50%),Vlookup(E1141,DATABASE!C:Q,10,false)*F1141)</f>
        <v>0</v>
      </c>
      <c r="K1141" s="74">
        <v>575000.0</v>
      </c>
      <c r="L1141" s="74">
        <v>575000.0</v>
      </c>
      <c r="M1141" s="74">
        <f t="shared" si="2"/>
        <v>575000</v>
      </c>
      <c r="N1141" s="74">
        <f t="shared" si="3"/>
        <v>190000</v>
      </c>
      <c r="O1141" s="65" t="str">
        <f>VLOOKUP(E1141,DATABASE!C:Q,8,false)</f>
        <v>IBU</v>
      </c>
      <c r="P1141" s="65">
        <f>VLOOKUP(E1141,DATABASE!C:Q,9,False)</f>
        <v>1</v>
      </c>
      <c r="Q1141" s="93" t="str">
        <f>VLOOKUP(E1141,DATABASE!C:Q,4,false)</f>
        <v>Dunlop</v>
      </c>
      <c r="R1141" s="93" t="str">
        <f>VLOOKUP(E1141,DATABASE!C:Q,11,false)</f>
        <v>Tire</v>
      </c>
    </row>
    <row r="1142" ht="22.5" customHeight="1">
      <c r="A1142" s="49"/>
      <c r="C1142" s="384">
        <v>45724.0</v>
      </c>
      <c r="D1142" s="65">
        <v>4608.0</v>
      </c>
      <c r="E1142" s="445" t="s">
        <v>286</v>
      </c>
      <c r="F1142" s="386">
        <v>1.0</v>
      </c>
      <c r="G1142" s="74">
        <v>560000.0</v>
      </c>
      <c r="H1142" s="74">
        <v>0.0</v>
      </c>
      <c r="I1142" s="74">
        <f t="shared" si="1"/>
        <v>560000</v>
      </c>
      <c r="J1142" s="74">
        <f>IF(E1142="SERVICE",I1142-(I1142*50%),Vlookup(E1142,DATABASE!C:Q,10,false)*F1142)</f>
        <v>0</v>
      </c>
      <c r="K1142" s="74">
        <f>VLOOKUP(E1142,DATABASE!C:Q,7,false)</f>
        <v>488320</v>
      </c>
      <c r="L1142" s="74">
        <v>452970.0</v>
      </c>
      <c r="M1142" s="74">
        <f t="shared" si="2"/>
        <v>455000</v>
      </c>
      <c r="N1142" s="74">
        <f t="shared" si="3"/>
        <v>105000</v>
      </c>
      <c r="O1142" s="65" t="str">
        <f>VLOOKUP(E1142,DATABASE!C:Q,8,false)</f>
        <v>BIAN</v>
      </c>
      <c r="P1142" s="65">
        <f>VLOOKUP(E1142,DATABASE!C:Q,9,False)</f>
        <v>1</v>
      </c>
      <c r="Q1142" s="93" t="str">
        <f>VLOOKUP(E1142,DATABASE!C:Q,4,false)</f>
        <v>GT</v>
      </c>
      <c r="R1142" s="93" t="str">
        <f>VLOOKUP(E1142,DATABASE!C:Q,11,false)</f>
        <v>Tire</v>
      </c>
    </row>
    <row r="1143" ht="22.5" customHeight="1">
      <c r="A1143" s="49"/>
      <c r="C1143" s="384">
        <v>45724.0</v>
      </c>
      <c r="D1143" s="65">
        <v>4609.0</v>
      </c>
      <c r="E1143" s="445" t="s">
        <v>1233</v>
      </c>
      <c r="F1143" s="386">
        <v>1.0</v>
      </c>
      <c r="G1143" s="74">
        <v>1410000.0</v>
      </c>
      <c r="H1143" s="74">
        <v>0.0</v>
      </c>
      <c r="I1143" s="74">
        <f t="shared" si="1"/>
        <v>1410000</v>
      </c>
      <c r="J1143" s="74">
        <f>IF(E1143="SERVICE",I1143-(I1143*50%),Vlookup(E1143,DATABASE!C:Q,10,false)*F1143)</f>
        <v>0</v>
      </c>
      <c r="K1143" s="74">
        <f>VLOOKUP(E1143,DATABASE!C:Q,7,false)</f>
        <v>1285000</v>
      </c>
      <c r="L1143" s="74">
        <v>1285000.0</v>
      </c>
      <c r="M1143" s="74">
        <f t="shared" si="2"/>
        <v>1285000</v>
      </c>
      <c r="N1143" s="74">
        <f t="shared" si="3"/>
        <v>125000</v>
      </c>
      <c r="O1143" s="65" t="str">
        <f>VLOOKUP(E1143,DATABASE!C:Q,8,false)</f>
        <v>IBU</v>
      </c>
      <c r="P1143" s="65">
        <f>VLOOKUP(E1143,DATABASE!C:Q,9,False)</f>
        <v>1</v>
      </c>
      <c r="Q1143" s="93" t="str">
        <f>VLOOKUP(E1143,DATABASE!C:Q,4,false)</f>
        <v>Bridgestone</v>
      </c>
      <c r="R1143" s="93" t="str">
        <f>VLOOKUP(E1143,DATABASE!C:Q,11,false)</f>
        <v>Tire</v>
      </c>
    </row>
    <row r="1144" ht="22.5" customHeight="1">
      <c r="A1144" s="49"/>
      <c r="C1144" s="384">
        <v>45724.0</v>
      </c>
      <c r="D1144" s="65">
        <v>4609.0</v>
      </c>
      <c r="E1144" s="385" t="s">
        <v>299</v>
      </c>
      <c r="F1144" s="386">
        <v>2.0</v>
      </c>
      <c r="G1144" s="74">
        <v>30000.0</v>
      </c>
      <c r="H1144" s="74">
        <v>0.0</v>
      </c>
      <c r="I1144" s="74">
        <f t="shared" si="1"/>
        <v>60000</v>
      </c>
      <c r="J1144" s="74">
        <f>IF(E1144="SERVICE",I1144-(I1144*50%),Vlookup(E1144,DATABASE!C:Q,10,false)*F1144)</f>
        <v>0</v>
      </c>
      <c r="K1144" s="74">
        <v>0.0</v>
      </c>
      <c r="L1144" s="74">
        <v>0.0</v>
      </c>
      <c r="M1144" s="74">
        <f t="shared" si="2"/>
        <v>0</v>
      </c>
      <c r="N1144" s="74">
        <f t="shared" si="3"/>
        <v>60000</v>
      </c>
      <c r="O1144" s="65" t="str">
        <f>VLOOKUP(E1144,DATABASE!C:Q,8,false)</f>
        <v>BIAN</v>
      </c>
      <c r="P1144" s="65">
        <f>VLOOKUP(E1144,DATABASE!C:Q,9,False)</f>
        <v>0</v>
      </c>
      <c r="Q1144" s="93" t="str">
        <f>VLOOKUP(E1144,DATABASE!C:Q,4,false)</f>
        <v>Balancing</v>
      </c>
      <c r="R1144" s="93" t="str">
        <f>VLOOKUP(E1144,DATABASE!C:Q,11,false)</f>
        <v>COMPLEMENTARY</v>
      </c>
    </row>
    <row r="1145" ht="22.5" customHeight="1">
      <c r="A1145" s="49"/>
      <c r="C1145" s="384">
        <v>45724.0</v>
      </c>
      <c r="D1145" s="65">
        <v>4609.0</v>
      </c>
      <c r="E1145" s="445" t="s">
        <v>256</v>
      </c>
      <c r="F1145" s="386">
        <v>1.0</v>
      </c>
      <c r="G1145" s="74">
        <v>130000.0</v>
      </c>
      <c r="H1145" s="74">
        <v>0.0</v>
      </c>
      <c r="I1145" s="74">
        <f t="shared" si="1"/>
        <v>130000</v>
      </c>
      <c r="J1145" s="74">
        <f>IF(E1145="SERVICE",I1145-(I1145*50%),Vlookup(E1145,DATABASE!C:Q,10,false)*F1145)</f>
        <v>10000</v>
      </c>
      <c r="K1145" s="74">
        <f>VLOOKUP(E1145,DATABASE!C:Q,7,false)</f>
        <v>0</v>
      </c>
      <c r="L1145" s="74">
        <v>0.0</v>
      </c>
      <c r="M1145" s="74">
        <f t="shared" si="2"/>
        <v>0</v>
      </c>
      <c r="N1145" s="74">
        <f t="shared" si="3"/>
        <v>120000</v>
      </c>
      <c r="O1145" s="65" t="str">
        <f>VLOOKUP(E1145,DATABASE!C:Q,8,false)</f>
        <v>IBU</v>
      </c>
      <c r="P1145" s="65">
        <f>VLOOKUP(E1145,DATABASE!C:Q,9,False)</f>
        <v>0</v>
      </c>
      <c r="Q1145" s="93" t="str">
        <f>VLOOKUP(E1145,DATABASE!C:Q,4,false)</f>
        <v>SPOORING</v>
      </c>
      <c r="R1145" s="93" t="str">
        <f>VLOOKUP(E1145,DATABASE!C:Q,11,false)</f>
        <v>SERVICE</v>
      </c>
    </row>
    <row r="1146" ht="22.5" customHeight="1">
      <c r="A1146" s="49"/>
      <c r="C1146" s="384">
        <v>45724.0</v>
      </c>
      <c r="D1146" s="65">
        <v>4609.0</v>
      </c>
      <c r="E1146" s="445" t="s">
        <v>301</v>
      </c>
      <c r="F1146" s="386">
        <v>1.0</v>
      </c>
      <c r="G1146" s="74">
        <v>250000.0</v>
      </c>
      <c r="H1146" s="74">
        <v>0.0</v>
      </c>
      <c r="I1146" s="74">
        <f t="shared" si="1"/>
        <v>250000</v>
      </c>
      <c r="J1146" s="74">
        <f>IF(E1146="SERVICE",I1146-(I1146*50%),Vlookup(E1146,DATABASE!C:Q,10,false)*F1146)</f>
        <v>75000</v>
      </c>
      <c r="K1146" s="74">
        <f>VLOOKUP(E1146,DATABASE!C:Q,7,false)</f>
        <v>75000</v>
      </c>
      <c r="L1146" s="74">
        <v>75000.0</v>
      </c>
      <c r="M1146" s="74">
        <f t="shared" si="2"/>
        <v>75000</v>
      </c>
      <c r="N1146" s="74">
        <f t="shared" si="3"/>
        <v>100000</v>
      </c>
      <c r="O1146" s="65" t="str">
        <f>VLOOKUP(E1146,DATABASE!C:Q,8,false)</f>
        <v>BIAN</v>
      </c>
      <c r="P1146" s="65">
        <f>VLOOKUP(E1146,DATABASE!C:Q,9,False)</f>
        <v>0</v>
      </c>
      <c r="Q1146" s="93" t="str">
        <f>VLOOKUP(E1146,DATABASE!C:Q,4,false)</f>
        <v>Baut Camber</v>
      </c>
      <c r="R1146" s="93" t="str">
        <f>VLOOKUP(E1146,DATABASE!C:Q,11,false)</f>
        <v>COMPLEMENTARY</v>
      </c>
    </row>
    <row r="1147" ht="22.5" customHeight="1">
      <c r="A1147" s="49"/>
      <c r="C1147" s="384">
        <v>45724.0</v>
      </c>
      <c r="D1147" s="65">
        <v>4610.0</v>
      </c>
      <c r="E1147" s="445" t="s">
        <v>256</v>
      </c>
      <c r="F1147" s="386">
        <v>1.0</v>
      </c>
      <c r="G1147" s="74">
        <v>130000.0</v>
      </c>
      <c r="H1147" s="74">
        <v>0.0</v>
      </c>
      <c r="I1147" s="74">
        <f t="shared" si="1"/>
        <v>130000</v>
      </c>
      <c r="J1147" s="74">
        <f>IF(E1147="SERVICE",I1147-(I1147*50%),Vlookup(E1147,DATABASE!C:Q,10,false)*F1147)</f>
        <v>10000</v>
      </c>
      <c r="K1147" s="74">
        <f>VLOOKUP(E1147,DATABASE!C:Q,7,false)</f>
        <v>0</v>
      </c>
      <c r="L1147" s="74">
        <v>0.0</v>
      </c>
      <c r="M1147" s="74">
        <f t="shared" si="2"/>
        <v>0</v>
      </c>
      <c r="N1147" s="74">
        <f t="shared" si="3"/>
        <v>120000</v>
      </c>
      <c r="O1147" s="65" t="str">
        <f>VLOOKUP(E1147,DATABASE!C:Q,8,false)</f>
        <v>IBU</v>
      </c>
      <c r="P1147" s="65">
        <f>VLOOKUP(E1147,DATABASE!C:Q,9,False)</f>
        <v>0</v>
      </c>
      <c r="Q1147" s="93" t="str">
        <f>VLOOKUP(E1147,DATABASE!C:Q,4,false)</f>
        <v>SPOORING</v>
      </c>
      <c r="R1147" s="93" t="str">
        <f>VLOOKUP(E1147,DATABASE!C:Q,11,false)</f>
        <v>SERVICE</v>
      </c>
    </row>
    <row r="1148" ht="22.5" customHeight="1">
      <c r="A1148" s="49"/>
      <c r="C1148" s="384">
        <v>45724.0</v>
      </c>
      <c r="D1148" s="65">
        <v>4610.0</v>
      </c>
      <c r="E1148" s="445" t="s">
        <v>301</v>
      </c>
      <c r="F1148" s="386">
        <v>1.0</v>
      </c>
      <c r="G1148" s="74">
        <v>250000.0</v>
      </c>
      <c r="H1148" s="74">
        <v>0.0</v>
      </c>
      <c r="I1148" s="74">
        <f t="shared" si="1"/>
        <v>250000</v>
      </c>
      <c r="J1148" s="74">
        <f>IF(E1148="SERVICE",I1148-(I1148*50%),Vlookup(E1148,DATABASE!C:Q,10,false)*F1148)</f>
        <v>75000</v>
      </c>
      <c r="K1148" s="74">
        <f>VLOOKUP(E1148,DATABASE!C:Q,7,false)</f>
        <v>75000</v>
      </c>
      <c r="L1148" s="74">
        <v>75000.0</v>
      </c>
      <c r="M1148" s="74">
        <f t="shared" si="2"/>
        <v>75000</v>
      </c>
      <c r="N1148" s="74">
        <f t="shared" si="3"/>
        <v>100000</v>
      </c>
      <c r="O1148" s="65" t="str">
        <f>VLOOKUP(E1148,DATABASE!C:Q,8,false)</f>
        <v>BIAN</v>
      </c>
      <c r="P1148" s="65">
        <f>VLOOKUP(E1148,DATABASE!C:Q,9,False)</f>
        <v>0</v>
      </c>
      <c r="Q1148" s="93" t="str">
        <f>VLOOKUP(E1148,DATABASE!C:Q,4,false)</f>
        <v>Baut Camber</v>
      </c>
      <c r="R1148" s="93" t="str">
        <f>VLOOKUP(E1148,DATABASE!C:Q,11,false)</f>
        <v>COMPLEMENTARY</v>
      </c>
    </row>
    <row r="1149" ht="22.5" customHeight="1">
      <c r="A1149" s="49"/>
      <c r="C1149" s="384">
        <v>45724.0</v>
      </c>
      <c r="D1149" s="65">
        <v>4611.0</v>
      </c>
      <c r="E1149" s="445" t="s">
        <v>268</v>
      </c>
      <c r="F1149" s="386">
        <v>2.0</v>
      </c>
      <c r="G1149" s="74">
        <v>700000.0</v>
      </c>
      <c r="H1149" s="74">
        <v>0.0</v>
      </c>
      <c r="I1149" s="74">
        <f t="shared" si="1"/>
        <v>1400000</v>
      </c>
      <c r="J1149" s="74">
        <f>IF(E1149="SERVICE",I1149-(I1149*50%),Vlookup(E1149,DATABASE!C:Q,10,false)*F1149)</f>
        <v>0</v>
      </c>
      <c r="K1149" s="74">
        <v>613000.0</v>
      </c>
      <c r="L1149" s="74">
        <v>613000.0</v>
      </c>
      <c r="M1149" s="74">
        <f t="shared" si="2"/>
        <v>615000</v>
      </c>
      <c r="N1149" s="74">
        <f t="shared" si="3"/>
        <v>170000</v>
      </c>
      <c r="O1149" s="65" t="str">
        <f>VLOOKUP(E1149,DATABASE!C:Q,8,false)</f>
        <v>IBU</v>
      </c>
      <c r="P1149" s="65">
        <f>VLOOKUP(E1149,DATABASE!C:Q,9,False)</f>
        <v>1</v>
      </c>
      <c r="Q1149" s="93" t="str">
        <f>VLOOKUP(E1149,DATABASE!C:Q,4,false)</f>
        <v>Dunlop</v>
      </c>
      <c r="R1149" s="93" t="str">
        <f>VLOOKUP(E1149,DATABASE!C:Q,11,false)</f>
        <v>Tire</v>
      </c>
    </row>
    <row r="1150" ht="22.5" customHeight="1">
      <c r="A1150" s="49"/>
      <c r="C1150" s="384">
        <v>45724.0</v>
      </c>
      <c r="D1150" s="65">
        <v>4612.0</v>
      </c>
      <c r="E1150" s="445" t="s">
        <v>256</v>
      </c>
      <c r="F1150" s="386">
        <v>1.0</v>
      </c>
      <c r="G1150" s="74">
        <v>130000.0</v>
      </c>
      <c r="H1150" s="74">
        <v>0.0</v>
      </c>
      <c r="I1150" s="74">
        <f t="shared" si="1"/>
        <v>130000</v>
      </c>
      <c r="J1150" s="74">
        <f>IF(E1150="SERVICE",I1150-(I1150*50%),Vlookup(E1150,DATABASE!C:Q,10,false)*F1150)</f>
        <v>10000</v>
      </c>
      <c r="K1150" s="74">
        <f>VLOOKUP(E1150,DATABASE!C:Q,7,false)</f>
        <v>0</v>
      </c>
      <c r="L1150" s="74">
        <v>0.0</v>
      </c>
      <c r="M1150" s="74">
        <f t="shared" si="2"/>
        <v>0</v>
      </c>
      <c r="N1150" s="74">
        <f t="shared" si="3"/>
        <v>120000</v>
      </c>
      <c r="O1150" s="65" t="str">
        <f>VLOOKUP(E1150,DATABASE!C:Q,8,false)</f>
        <v>IBU</v>
      </c>
      <c r="P1150" s="65">
        <f>VLOOKUP(E1150,DATABASE!C:Q,9,False)</f>
        <v>0</v>
      </c>
      <c r="Q1150" s="93" t="str">
        <f>VLOOKUP(E1150,DATABASE!C:Q,4,false)</f>
        <v>SPOORING</v>
      </c>
      <c r="R1150" s="93" t="str">
        <f>VLOOKUP(E1150,DATABASE!C:Q,11,false)</f>
        <v>SERVICE</v>
      </c>
    </row>
    <row r="1151" ht="22.5" customHeight="1">
      <c r="A1151" s="49"/>
      <c r="C1151" s="384">
        <v>45724.0</v>
      </c>
      <c r="D1151" s="65">
        <v>4612.0</v>
      </c>
      <c r="E1151" s="385" t="s">
        <v>299</v>
      </c>
      <c r="F1151" s="386">
        <v>2.0</v>
      </c>
      <c r="G1151" s="74">
        <v>30000.0</v>
      </c>
      <c r="H1151" s="74">
        <v>0.0</v>
      </c>
      <c r="I1151" s="74">
        <f t="shared" si="1"/>
        <v>60000</v>
      </c>
      <c r="J1151" s="74">
        <f>IF(E1151="SERVICE",I1151-(I1151*50%),Vlookup(E1151,DATABASE!C:Q,10,false)*F1151)</f>
        <v>0</v>
      </c>
      <c r="K1151" s="74">
        <v>0.0</v>
      </c>
      <c r="L1151" s="74">
        <v>0.0</v>
      </c>
      <c r="M1151" s="74">
        <f t="shared" si="2"/>
        <v>0</v>
      </c>
      <c r="N1151" s="74">
        <f t="shared" si="3"/>
        <v>60000</v>
      </c>
      <c r="O1151" s="65" t="str">
        <f>VLOOKUP(E1151,DATABASE!C:Q,8,false)</f>
        <v>BIAN</v>
      </c>
      <c r="P1151" s="65">
        <f>VLOOKUP(E1151,DATABASE!C:Q,9,False)</f>
        <v>0</v>
      </c>
      <c r="Q1151" s="93" t="str">
        <f>VLOOKUP(E1151,DATABASE!C:Q,4,false)</f>
        <v>Balancing</v>
      </c>
      <c r="R1151" s="93" t="str">
        <f>VLOOKUP(E1151,DATABASE!C:Q,11,false)</f>
        <v>COMPLEMENTARY</v>
      </c>
    </row>
    <row r="1152" ht="22.5" customHeight="1">
      <c r="A1152" s="49"/>
      <c r="C1152" s="384">
        <v>45725.0</v>
      </c>
      <c r="D1152" s="65">
        <v>4613.0</v>
      </c>
      <c r="E1152" s="445" t="s">
        <v>2140</v>
      </c>
      <c r="F1152" s="386">
        <v>1.0</v>
      </c>
      <c r="G1152" s="74">
        <v>35000.0</v>
      </c>
      <c r="H1152" s="74">
        <v>0.0</v>
      </c>
      <c r="I1152" s="74">
        <f t="shared" si="1"/>
        <v>35000</v>
      </c>
      <c r="J1152" s="74">
        <f>IF(E1152="SERVICE",I1152-(I1152*50%),Vlookup(E1152,DATABASE!C:Q,10,false)*F1152)</f>
        <v>0</v>
      </c>
      <c r="K1152" s="74">
        <f>VLOOKUP(E1152,DATABASE!C:Q,7,false)</f>
        <v>5000</v>
      </c>
      <c r="L1152" s="74">
        <v>0.0</v>
      </c>
      <c r="M1152" s="74">
        <f t="shared" si="2"/>
        <v>0</v>
      </c>
      <c r="N1152" s="74">
        <f t="shared" si="3"/>
        <v>35000</v>
      </c>
      <c r="O1152" s="65" t="str">
        <f>VLOOKUP(E1152,DATABASE!C:Q,8,false)</f>
        <v>IBU</v>
      </c>
      <c r="P1152" s="65">
        <f>VLOOKUP(E1152,DATABASE!C:Q,9,False)</f>
        <v>0</v>
      </c>
      <c r="Q1152" s="93" t="str">
        <f>VLOOKUP(E1152,DATABASE!C:Q,4,false)</f>
        <v>PENTIL + PASANG</v>
      </c>
      <c r="R1152" s="93" t="str">
        <f>VLOOKUP(E1152,DATABASE!C:Q,11,false)</f>
        <v>COMPLEMENTARY</v>
      </c>
    </row>
    <row r="1153" ht="22.5" customHeight="1">
      <c r="A1153" s="49"/>
      <c r="C1153" s="384">
        <v>45725.0</v>
      </c>
      <c r="D1153" s="65">
        <v>4614.0</v>
      </c>
      <c r="E1153" s="445" t="s">
        <v>1133</v>
      </c>
      <c r="F1153" s="386">
        <v>2.0</v>
      </c>
      <c r="G1153" s="74">
        <v>885000.0</v>
      </c>
      <c r="H1153" s="74">
        <v>0.0</v>
      </c>
      <c r="I1153" s="74">
        <f t="shared" si="1"/>
        <v>1770000</v>
      </c>
      <c r="J1153" s="74">
        <f>IF(E1153="SERVICE",I1153-(I1153*50%),Vlookup(E1153,DATABASE!C:Q,10,false)*F1153)</f>
        <v>0</v>
      </c>
      <c r="K1153" s="74">
        <f>VLOOKUP(E1153,DATABASE!C:Q,7,false)</f>
        <v>759539.2</v>
      </c>
      <c r="L1153" s="74">
        <v>715635.0</v>
      </c>
      <c r="M1153" s="74">
        <f t="shared" si="2"/>
        <v>720000</v>
      </c>
      <c r="N1153" s="74">
        <f t="shared" si="3"/>
        <v>330000</v>
      </c>
      <c r="O1153" s="65" t="str">
        <f>VLOOKUP(E1153,DATABASE!C:Q,8,false)</f>
        <v>IBU</v>
      </c>
      <c r="P1153" s="65">
        <f>VLOOKUP(E1153,DATABASE!C:Q,9,False)</f>
        <v>1</v>
      </c>
      <c r="Q1153" s="93" t="str">
        <f>VLOOKUP(E1153,DATABASE!C:Q,4,false)</f>
        <v>Bridgestone</v>
      </c>
      <c r="R1153" s="93" t="str">
        <f>VLOOKUP(E1153,DATABASE!C:Q,11,false)</f>
        <v>Tire</v>
      </c>
    </row>
    <row r="1154" ht="22.5" customHeight="1">
      <c r="A1154" s="49"/>
      <c r="C1154" s="384">
        <v>45725.0</v>
      </c>
      <c r="D1154" s="65">
        <v>4615.0</v>
      </c>
      <c r="E1154" s="445" t="s">
        <v>974</v>
      </c>
      <c r="F1154" s="386">
        <v>1.0</v>
      </c>
      <c r="G1154" s="74">
        <v>550000.0</v>
      </c>
      <c r="H1154" s="74">
        <v>0.0</v>
      </c>
      <c r="I1154" s="74">
        <f t="shared" si="1"/>
        <v>550000</v>
      </c>
      <c r="J1154" s="74">
        <f>IF(E1154="SERVICE",I1154-(I1154*50%),Vlookup(E1154,DATABASE!C:Q,10,false)*F1154)</f>
        <v>0</v>
      </c>
      <c r="K1154" s="74">
        <f>VLOOKUP(E1154,DATABASE!C:Q,7,false)</f>
        <v>501500</v>
      </c>
      <c r="L1154" s="74">
        <v>491000.0</v>
      </c>
      <c r="M1154" s="74">
        <f t="shared" si="2"/>
        <v>495000</v>
      </c>
      <c r="N1154" s="74">
        <f t="shared" si="3"/>
        <v>55000</v>
      </c>
      <c r="O1154" s="65" t="str">
        <f>VLOOKUP(E1154,DATABASE!C:Q,8,false)</f>
        <v>IBU</v>
      </c>
      <c r="P1154" s="65">
        <f>VLOOKUP(E1154,DATABASE!C:Q,9,False)</f>
        <v>1</v>
      </c>
      <c r="Q1154" s="93" t="str">
        <f>VLOOKUP(E1154,DATABASE!C:Q,4,false)</f>
        <v>Dunlop</v>
      </c>
      <c r="R1154" s="93" t="str">
        <f>VLOOKUP(E1154,DATABASE!C:Q,11,false)</f>
        <v>Tire</v>
      </c>
    </row>
    <row r="1155" ht="22.5" customHeight="1">
      <c r="A1155" s="49"/>
      <c r="C1155" s="384">
        <v>45725.0</v>
      </c>
      <c r="D1155" s="65">
        <v>4616.0</v>
      </c>
      <c r="E1155" s="445" t="s">
        <v>569</v>
      </c>
      <c r="F1155" s="386">
        <v>1.0</v>
      </c>
      <c r="G1155" s="74">
        <v>80000.0</v>
      </c>
      <c r="H1155" s="74">
        <v>0.0</v>
      </c>
      <c r="I1155" s="74">
        <f t="shared" si="1"/>
        <v>80000</v>
      </c>
      <c r="J1155" s="74">
        <f>IF(E1155="SERVICE",I1155-(I1155*50%),Vlookup(E1155,DATABASE!C:Q,10,false)*F1155)</f>
        <v>0</v>
      </c>
      <c r="K1155" s="74">
        <f>VLOOKUP(E1155,DATABASE!C:Q,7,false)</f>
        <v>45439.582</v>
      </c>
      <c r="L1155" s="74">
        <v>45309.6</v>
      </c>
      <c r="M1155" s="74">
        <f t="shared" si="2"/>
        <v>50000</v>
      </c>
      <c r="N1155" s="74">
        <f t="shared" si="3"/>
        <v>30000</v>
      </c>
      <c r="O1155" s="65" t="str">
        <f>VLOOKUP(E1155,DATABASE!C:Q,8,false)</f>
        <v>BIAN</v>
      </c>
      <c r="P1155" s="65">
        <f>VLOOKUP(E1155,DATABASE!C:Q,9,False)</f>
        <v>1</v>
      </c>
      <c r="Q1155" s="93" t="str">
        <f>VLOOKUP(E1155,DATABASE!C:Q,4,false)</f>
        <v>BD</v>
      </c>
      <c r="R1155" s="93" t="str">
        <f>VLOOKUP(E1155,DATABASE!C:Q,11,false)</f>
        <v>Tire</v>
      </c>
    </row>
    <row r="1156" ht="22.5" customHeight="1">
      <c r="A1156" s="49"/>
      <c r="C1156" s="384">
        <v>45725.0</v>
      </c>
      <c r="D1156" s="65">
        <v>4617.0</v>
      </c>
      <c r="E1156" s="445" t="s">
        <v>1209</v>
      </c>
      <c r="F1156" s="386">
        <v>1.0</v>
      </c>
      <c r="G1156" s="74">
        <v>65000.0</v>
      </c>
      <c r="H1156" s="74">
        <v>0.0</v>
      </c>
      <c r="I1156" s="74">
        <f t="shared" si="1"/>
        <v>65000</v>
      </c>
      <c r="J1156" s="74">
        <f>IF(E1156="SERVICE",I1156-(I1156*50%),Vlookup(E1156,DATABASE!C:Q,10,false)*F1156)</f>
        <v>0</v>
      </c>
      <c r="K1156" s="74">
        <f>VLOOKUP(E1156,DATABASE!C:Q,7,false)</f>
        <v>50000</v>
      </c>
      <c r="L1156" s="74">
        <v>50000.0</v>
      </c>
      <c r="M1156" s="74">
        <f t="shared" si="2"/>
        <v>50000</v>
      </c>
      <c r="N1156" s="74">
        <f t="shared" si="3"/>
        <v>15000</v>
      </c>
      <c r="O1156" s="65" t="str">
        <f>VLOOKUP(E1156,DATABASE!C:Q,8,false)</f>
        <v>BIAN</v>
      </c>
      <c r="P1156" s="65">
        <f>VLOOKUP(E1156,DATABASE!C:Q,9,False)</f>
        <v>1</v>
      </c>
      <c r="Q1156" s="93" t="str">
        <f>VLOOKUP(E1156,DATABASE!C:Q,4,false)</f>
        <v>Flap</v>
      </c>
      <c r="R1156" s="93" t="str">
        <f>VLOOKUP(E1156,DATABASE!C:Q,11,false)</f>
        <v>Tire</v>
      </c>
    </row>
    <row r="1157" ht="22.5" customHeight="1">
      <c r="A1157" s="49"/>
      <c r="C1157" s="384">
        <v>45725.0</v>
      </c>
      <c r="D1157" s="65">
        <v>4617.0</v>
      </c>
      <c r="E1157" s="445" t="s">
        <v>770</v>
      </c>
      <c r="F1157" s="386">
        <v>1.0</v>
      </c>
      <c r="G1157" s="74">
        <v>180000.0</v>
      </c>
      <c r="H1157" s="74">
        <v>0.0</v>
      </c>
      <c r="I1157" s="74">
        <f t="shared" si="1"/>
        <v>180000</v>
      </c>
      <c r="J1157" s="74">
        <f>IF(E1157="SERVICE",I1157-(I1157*50%),Vlookup(E1157,DATABASE!C:Q,10,false)*F1157)</f>
        <v>0</v>
      </c>
      <c r="K1157" s="74">
        <f>VLOOKUP(E1157,DATABASE!C:Q,7,false)</f>
        <v>145180</v>
      </c>
      <c r="L1157" s="74">
        <v>145180.0</v>
      </c>
      <c r="M1157" s="74">
        <f t="shared" si="2"/>
        <v>150000</v>
      </c>
      <c r="N1157" s="74">
        <f t="shared" si="3"/>
        <v>30000</v>
      </c>
      <c r="O1157" s="65" t="str">
        <f>VLOOKUP(E1157,DATABASE!C:Q,8,false)</f>
        <v>BIAN</v>
      </c>
      <c r="P1157" s="65">
        <f>VLOOKUP(E1157,DATABASE!C:Q,9,False)</f>
        <v>1</v>
      </c>
      <c r="Q1157" s="93" t="str">
        <f>VLOOKUP(E1157,DATABASE!C:Q,4,false)</f>
        <v>BD</v>
      </c>
      <c r="R1157" s="93" t="str">
        <f>VLOOKUP(E1157,DATABASE!C:Q,11,false)</f>
        <v>Tire</v>
      </c>
    </row>
    <row r="1158" ht="22.5" customHeight="1">
      <c r="A1158" s="49"/>
      <c r="C1158" s="384">
        <v>45725.0</v>
      </c>
      <c r="D1158" s="65">
        <v>4618.0</v>
      </c>
      <c r="E1158" s="445" t="s">
        <v>2140</v>
      </c>
      <c r="F1158" s="386">
        <v>1.0</v>
      </c>
      <c r="G1158" s="74">
        <v>30000.0</v>
      </c>
      <c r="H1158" s="74">
        <v>0.0</v>
      </c>
      <c r="I1158" s="74">
        <f t="shared" si="1"/>
        <v>30000</v>
      </c>
      <c r="J1158" s="74">
        <f>IF(E1158="SERVICE",I1158-(I1158*50%),Vlookup(E1158,DATABASE!C:Q,10,false)*F1158)</f>
        <v>0</v>
      </c>
      <c r="K1158" s="74">
        <f>VLOOKUP(E1158,DATABASE!C:Q,7,false)</f>
        <v>5000</v>
      </c>
      <c r="L1158" s="74">
        <v>0.0</v>
      </c>
      <c r="M1158" s="74">
        <f t="shared" si="2"/>
        <v>0</v>
      </c>
      <c r="N1158" s="74">
        <f t="shared" si="3"/>
        <v>30000</v>
      </c>
      <c r="O1158" s="65" t="str">
        <f>VLOOKUP(E1158,DATABASE!C:Q,8,false)</f>
        <v>IBU</v>
      </c>
      <c r="P1158" s="65">
        <f>VLOOKUP(E1158,DATABASE!C:Q,9,False)</f>
        <v>0</v>
      </c>
      <c r="Q1158" s="93" t="str">
        <f>VLOOKUP(E1158,DATABASE!C:Q,4,false)</f>
        <v>PENTIL + PASANG</v>
      </c>
      <c r="R1158" s="93" t="str">
        <f>VLOOKUP(E1158,DATABASE!C:Q,11,false)</f>
        <v>COMPLEMENTARY</v>
      </c>
    </row>
    <row r="1159" ht="22.5" customHeight="1">
      <c r="A1159" s="49"/>
      <c r="C1159" s="384">
        <v>45725.0</v>
      </c>
      <c r="D1159" s="65">
        <v>4619.0</v>
      </c>
      <c r="E1159" s="445" t="s">
        <v>290</v>
      </c>
      <c r="F1159" s="386">
        <v>1.0</v>
      </c>
      <c r="G1159" s="74">
        <v>700000.0</v>
      </c>
      <c r="H1159" s="74">
        <v>0.0</v>
      </c>
      <c r="I1159" s="74">
        <f t="shared" si="1"/>
        <v>700000</v>
      </c>
      <c r="J1159" s="74">
        <f>IF(E1159="SERVICE",I1159-(I1159*50%),Vlookup(E1159,DATABASE!C:Q,10,false)*F1159)</f>
        <v>0</v>
      </c>
      <c r="K1159" s="74">
        <f>VLOOKUP(E1159,DATABASE!C:Q,7,false)</f>
        <v>628100</v>
      </c>
      <c r="L1159" s="74">
        <v>609804.0</v>
      </c>
      <c r="M1159" s="74">
        <f t="shared" si="2"/>
        <v>610000</v>
      </c>
      <c r="N1159" s="74">
        <f t="shared" si="3"/>
        <v>90000</v>
      </c>
      <c r="O1159" s="65" t="str">
        <f>VLOOKUP(E1159,DATABASE!C:Q,8,false)</f>
        <v>BIAN</v>
      </c>
      <c r="P1159" s="65">
        <f>VLOOKUP(E1159,DATABASE!C:Q,9,False)</f>
        <v>1</v>
      </c>
      <c r="Q1159" s="93" t="str">
        <f>VLOOKUP(E1159,DATABASE!C:Q,4,false)</f>
        <v>GT</v>
      </c>
      <c r="R1159" s="93" t="str">
        <f>VLOOKUP(E1159,DATABASE!C:Q,11,false)</f>
        <v>Tire</v>
      </c>
    </row>
    <row r="1160" ht="22.5" customHeight="1">
      <c r="A1160" s="49"/>
      <c r="C1160" s="384">
        <v>45725.0</v>
      </c>
      <c r="D1160" s="65">
        <v>4620.0</v>
      </c>
      <c r="E1160" s="385" t="s">
        <v>299</v>
      </c>
      <c r="F1160" s="386">
        <v>2.0</v>
      </c>
      <c r="G1160" s="74">
        <v>30000.0</v>
      </c>
      <c r="H1160" s="74">
        <v>0.0</v>
      </c>
      <c r="I1160" s="74">
        <f t="shared" si="1"/>
        <v>60000</v>
      </c>
      <c r="J1160" s="74">
        <f>IF(E1160="SERVICE",I1160-(I1160*50%),Vlookup(E1160,DATABASE!C:Q,10,false)*F1160)</f>
        <v>0</v>
      </c>
      <c r="K1160" s="74">
        <v>0.0</v>
      </c>
      <c r="L1160" s="74">
        <v>0.0</v>
      </c>
      <c r="M1160" s="74">
        <f t="shared" si="2"/>
        <v>0</v>
      </c>
      <c r="N1160" s="74">
        <f t="shared" si="3"/>
        <v>60000</v>
      </c>
      <c r="O1160" s="65" t="str">
        <f>VLOOKUP(E1160,DATABASE!C:Q,8,false)</f>
        <v>BIAN</v>
      </c>
      <c r="P1160" s="65">
        <f>VLOOKUP(E1160,DATABASE!C:Q,9,False)</f>
        <v>0</v>
      </c>
      <c r="Q1160" s="93" t="str">
        <f>VLOOKUP(E1160,DATABASE!C:Q,4,false)</f>
        <v>Balancing</v>
      </c>
      <c r="R1160" s="93" t="str">
        <f>VLOOKUP(E1160,DATABASE!C:Q,11,false)</f>
        <v>COMPLEMENTARY</v>
      </c>
    </row>
    <row r="1161" ht="22.5" customHeight="1">
      <c r="A1161" s="49"/>
      <c r="C1161" s="384">
        <v>45725.0</v>
      </c>
      <c r="D1161" s="65">
        <v>4620.0</v>
      </c>
      <c r="E1161" s="445" t="s">
        <v>256</v>
      </c>
      <c r="F1161" s="386">
        <v>1.0</v>
      </c>
      <c r="G1161" s="74">
        <v>130000.0</v>
      </c>
      <c r="H1161" s="74">
        <v>0.0</v>
      </c>
      <c r="I1161" s="74">
        <f t="shared" si="1"/>
        <v>130000</v>
      </c>
      <c r="J1161" s="74">
        <f>IF(E1161="SERVICE",I1161-(I1161*50%),Vlookup(E1161,DATABASE!C:Q,10,false)*F1161)</f>
        <v>10000</v>
      </c>
      <c r="K1161" s="74">
        <f>VLOOKUP(E1161,DATABASE!C:Q,7,false)</f>
        <v>0</v>
      </c>
      <c r="L1161" s="74">
        <v>0.0</v>
      </c>
      <c r="M1161" s="74">
        <f t="shared" si="2"/>
        <v>0</v>
      </c>
      <c r="N1161" s="74">
        <f t="shared" si="3"/>
        <v>120000</v>
      </c>
      <c r="O1161" s="65" t="str">
        <f>VLOOKUP(E1161,DATABASE!C:Q,8,false)</f>
        <v>IBU</v>
      </c>
      <c r="P1161" s="65">
        <f>VLOOKUP(E1161,DATABASE!C:Q,9,False)</f>
        <v>0</v>
      </c>
      <c r="Q1161" s="93" t="str">
        <f>VLOOKUP(E1161,DATABASE!C:Q,4,false)</f>
        <v>SPOORING</v>
      </c>
      <c r="R1161" s="93" t="str">
        <f>VLOOKUP(E1161,DATABASE!C:Q,11,false)</f>
        <v>SERVICE</v>
      </c>
    </row>
    <row r="1162" ht="22.5" customHeight="1">
      <c r="A1162" s="49"/>
      <c r="C1162" s="384">
        <v>45725.0</v>
      </c>
      <c r="D1162" s="65">
        <v>4621.0</v>
      </c>
      <c r="E1162" s="445" t="s">
        <v>256</v>
      </c>
      <c r="F1162" s="386">
        <v>1.0</v>
      </c>
      <c r="G1162" s="74">
        <v>130000.0</v>
      </c>
      <c r="H1162" s="74">
        <v>0.0</v>
      </c>
      <c r="I1162" s="74">
        <f t="shared" si="1"/>
        <v>130000</v>
      </c>
      <c r="J1162" s="74">
        <f>IF(E1162="SERVICE",I1162-(I1162*50%),Vlookup(E1162,DATABASE!C:Q,10,false)*F1162)</f>
        <v>10000</v>
      </c>
      <c r="K1162" s="74">
        <f>VLOOKUP(E1162,DATABASE!C:Q,7,false)</f>
        <v>0</v>
      </c>
      <c r="L1162" s="74">
        <v>0.0</v>
      </c>
      <c r="M1162" s="74">
        <f t="shared" si="2"/>
        <v>0</v>
      </c>
      <c r="N1162" s="74">
        <f t="shared" si="3"/>
        <v>120000</v>
      </c>
      <c r="O1162" s="65" t="str">
        <f>VLOOKUP(E1162,DATABASE!C:Q,8,false)</f>
        <v>IBU</v>
      </c>
      <c r="P1162" s="65">
        <f>VLOOKUP(E1162,DATABASE!C:Q,9,False)</f>
        <v>0</v>
      </c>
      <c r="Q1162" s="93" t="str">
        <f>VLOOKUP(E1162,DATABASE!C:Q,4,false)</f>
        <v>SPOORING</v>
      </c>
      <c r="R1162" s="93" t="str">
        <f>VLOOKUP(E1162,DATABASE!C:Q,11,false)</f>
        <v>SERVICE</v>
      </c>
    </row>
    <row r="1163" ht="22.5" customHeight="1">
      <c r="A1163" s="49"/>
      <c r="C1163" s="384">
        <v>45725.0</v>
      </c>
      <c r="D1163" s="65">
        <v>4621.0</v>
      </c>
      <c r="E1163" s="445" t="s">
        <v>301</v>
      </c>
      <c r="F1163" s="386">
        <v>1.0</v>
      </c>
      <c r="G1163" s="74">
        <v>250000.0</v>
      </c>
      <c r="H1163" s="74">
        <v>0.0</v>
      </c>
      <c r="I1163" s="74">
        <f t="shared" si="1"/>
        <v>250000</v>
      </c>
      <c r="J1163" s="74">
        <f>IF(E1163="SERVICE",I1163-(I1163*50%),Vlookup(E1163,DATABASE!C:Q,10,false)*F1163)</f>
        <v>75000</v>
      </c>
      <c r="K1163" s="74">
        <f>VLOOKUP(E1163,DATABASE!C:Q,7,false)</f>
        <v>75000</v>
      </c>
      <c r="L1163" s="74">
        <v>75000.0</v>
      </c>
      <c r="M1163" s="74">
        <f t="shared" si="2"/>
        <v>75000</v>
      </c>
      <c r="N1163" s="74">
        <f t="shared" si="3"/>
        <v>100000</v>
      </c>
      <c r="O1163" s="65" t="str">
        <f>VLOOKUP(E1163,DATABASE!C:Q,8,false)</f>
        <v>BIAN</v>
      </c>
      <c r="P1163" s="65">
        <f>VLOOKUP(E1163,DATABASE!C:Q,9,False)</f>
        <v>0</v>
      </c>
      <c r="Q1163" s="93" t="str">
        <f>VLOOKUP(E1163,DATABASE!C:Q,4,false)</f>
        <v>Baut Camber</v>
      </c>
      <c r="R1163" s="93" t="str">
        <f>VLOOKUP(E1163,DATABASE!C:Q,11,false)</f>
        <v>COMPLEMENTARY</v>
      </c>
    </row>
    <row r="1164" ht="22.5" customHeight="1">
      <c r="A1164" s="49"/>
      <c r="C1164" s="384">
        <v>45726.0</v>
      </c>
      <c r="D1164" s="65">
        <v>4623.0</v>
      </c>
      <c r="E1164" s="445" t="s">
        <v>126</v>
      </c>
      <c r="F1164" s="386">
        <v>2.0</v>
      </c>
      <c r="G1164" s="74">
        <v>520000.0</v>
      </c>
      <c r="H1164" s="74">
        <v>0.0</v>
      </c>
      <c r="I1164" s="74">
        <f t="shared" si="1"/>
        <v>1040000</v>
      </c>
      <c r="J1164" s="74">
        <f>IF(E1164="SERVICE",I1164-(I1164*50%),Vlookup(E1164,DATABASE!C:Q,10,false)*F1164)</f>
        <v>0</v>
      </c>
      <c r="K1164" s="74">
        <f>VLOOKUP(E1164,DATABASE!C:Q,7,false)</f>
        <v>435000</v>
      </c>
      <c r="L1164" s="74">
        <v>435000.0</v>
      </c>
      <c r="M1164" s="74">
        <f t="shared" si="2"/>
        <v>435000</v>
      </c>
      <c r="N1164" s="74">
        <f t="shared" si="3"/>
        <v>170000</v>
      </c>
      <c r="O1164" s="65" t="str">
        <f>VLOOKUP(E1164,DATABASE!C:Q,8,false)</f>
        <v>BIAN</v>
      </c>
      <c r="P1164" s="65">
        <f>VLOOKUP(E1164,DATABASE!C:Q,9,False)</f>
        <v>1</v>
      </c>
      <c r="Q1164" s="93" t="str">
        <f>VLOOKUP(E1164,DATABASE!C:Q,4,false)</f>
        <v>Accelera</v>
      </c>
      <c r="R1164" s="93" t="str">
        <f>VLOOKUP(E1164,DATABASE!C:Q,11,false)</f>
        <v>Tire</v>
      </c>
    </row>
    <row r="1165" ht="22.5" customHeight="1">
      <c r="A1165" s="49"/>
      <c r="C1165" s="384">
        <v>45726.0</v>
      </c>
      <c r="D1165" s="65">
        <v>4624.0</v>
      </c>
      <c r="E1165" s="445" t="s">
        <v>275</v>
      </c>
      <c r="F1165" s="386">
        <v>2.0</v>
      </c>
      <c r="G1165" s="74">
        <v>830000.0</v>
      </c>
      <c r="H1165" s="74">
        <v>0.0</v>
      </c>
      <c r="I1165" s="74">
        <f t="shared" si="1"/>
        <v>1660000</v>
      </c>
      <c r="J1165" s="74">
        <f>IF(E1165="SERVICE",I1165-(I1165*50%),Vlookup(E1165,DATABASE!C:Q,10,false)*F1165)</f>
        <v>0</v>
      </c>
      <c r="K1165" s="74">
        <v>735000.0</v>
      </c>
      <c r="L1165" s="74">
        <v>735000.0</v>
      </c>
      <c r="M1165" s="74">
        <f t="shared" si="2"/>
        <v>735000</v>
      </c>
      <c r="N1165" s="74">
        <f t="shared" si="3"/>
        <v>190000</v>
      </c>
      <c r="O1165" s="65" t="str">
        <f>VLOOKUP(E1165,DATABASE!C:Q,8,false)</f>
        <v>IBU</v>
      </c>
      <c r="P1165" s="65">
        <f>VLOOKUP(E1165,DATABASE!C:Q,9,False)</f>
        <v>1</v>
      </c>
      <c r="Q1165" s="93" t="str">
        <f>VLOOKUP(E1165,DATABASE!C:Q,4,false)</f>
        <v>Dunlop</v>
      </c>
      <c r="R1165" s="93" t="str">
        <f>VLOOKUP(E1165,DATABASE!C:Q,11,false)</f>
        <v>Tire</v>
      </c>
    </row>
    <row r="1166" ht="22.5" customHeight="1">
      <c r="A1166" s="49"/>
      <c r="C1166" s="384">
        <v>45726.0</v>
      </c>
      <c r="D1166" s="65">
        <v>4625.0</v>
      </c>
      <c r="E1166" s="445" t="s">
        <v>256</v>
      </c>
      <c r="F1166" s="386">
        <v>1.0</v>
      </c>
      <c r="G1166" s="74">
        <v>130000.0</v>
      </c>
      <c r="H1166" s="74">
        <v>0.0</v>
      </c>
      <c r="I1166" s="74">
        <f t="shared" si="1"/>
        <v>130000</v>
      </c>
      <c r="J1166" s="74">
        <f>IF(E1166="SERVICE",I1166-(I1166*50%),Vlookup(E1166,DATABASE!C:Q,10,false)*F1166)</f>
        <v>10000</v>
      </c>
      <c r="K1166" s="74">
        <f>VLOOKUP(E1166,DATABASE!C:Q,7,false)</f>
        <v>0</v>
      </c>
      <c r="L1166" s="74">
        <v>0.0</v>
      </c>
      <c r="M1166" s="74">
        <f t="shared" si="2"/>
        <v>0</v>
      </c>
      <c r="N1166" s="74">
        <f t="shared" si="3"/>
        <v>120000</v>
      </c>
      <c r="O1166" s="65" t="str">
        <f>VLOOKUP(E1166,DATABASE!C:Q,8,false)</f>
        <v>IBU</v>
      </c>
      <c r="P1166" s="65">
        <f>VLOOKUP(E1166,DATABASE!C:Q,9,False)</f>
        <v>0</v>
      </c>
      <c r="Q1166" s="93" t="str">
        <f>VLOOKUP(E1166,DATABASE!C:Q,4,false)</f>
        <v>SPOORING</v>
      </c>
      <c r="R1166" s="93" t="str">
        <f>VLOOKUP(E1166,DATABASE!C:Q,11,false)</f>
        <v>SERVICE</v>
      </c>
    </row>
    <row r="1167" ht="22.5" customHeight="1">
      <c r="A1167" s="49"/>
      <c r="C1167" s="384">
        <v>45726.0</v>
      </c>
      <c r="D1167" s="65">
        <v>4625.0</v>
      </c>
      <c r="E1167" s="445" t="s">
        <v>301</v>
      </c>
      <c r="F1167" s="386">
        <v>1.0</v>
      </c>
      <c r="G1167" s="74">
        <v>250000.0</v>
      </c>
      <c r="H1167" s="74">
        <v>0.0</v>
      </c>
      <c r="I1167" s="74">
        <f t="shared" si="1"/>
        <v>250000</v>
      </c>
      <c r="J1167" s="74">
        <f>IF(E1167="SERVICE",I1167-(I1167*50%),Vlookup(E1167,DATABASE!C:Q,10,false)*F1167)</f>
        <v>75000</v>
      </c>
      <c r="K1167" s="74">
        <f>VLOOKUP(E1167,DATABASE!C:Q,7,false)</f>
        <v>75000</v>
      </c>
      <c r="L1167" s="74">
        <v>75000.0</v>
      </c>
      <c r="M1167" s="74">
        <f t="shared" si="2"/>
        <v>75000</v>
      </c>
      <c r="N1167" s="74">
        <f t="shared" si="3"/>
        <v>100000</v>
      </c>
      <c r="O1167" s="65" t="str">
        <f>VLOOKUP(E1167,DATABASE!C:Q,8,false)</f>
        <v>BIAN</v>
      </c>
      <c r="P1167" s="65">
        <f>VLOOKUP(E1167,DATABASE!C:Q,9,False)</f>
        <v>0</v>
      </c>
      <c r="Q1167" s="93" t="str">
        <f>VLOOKUP(E1167,DATABASE!C:Q,4,false)</f>
        <v>Baut Camber</v>
      </c>
      <c r="R1167" s="93" t="str">
        <f>VLOOKUP(E1167,DATABASE!C:Q,11,false)</f>
        <v>COMPLEMENTARY</v>
      </c>
    </row>
    <row r="1168" ht="22.5" customHeight="1">
      <c r="A1168" s="49"/>
      <c r="C1168" s="384">
        <v>45726.0</v>
      </c>
      <c r="D1168" s="65">
        <v>4627.0</v>
      </c>
      <c r="E1168" s="445" t="s">
        <v>1429</v>
      </c>
      <c r="F1168" s="386">
        <v>1.0</v>
      </c>
      <c r="G1168" s="74">
        <v>900000.0</v>
      </c>
      <c r="H1168" s="74">
        <v>0.0</v>
      </c>
      <c r="I1168" s="74">
        <f t="shared" si="1"/>
        <v>900000</v>
      </c>
      <c r="J1168" s="74">
        <f>IF(E1168="SERVICE",I1168-(I1168*50%),Vlookup(E1168,DATABASE!C:Q,10,false)*F1168)</f>
        <v>0</v>
      </c>
      <c r="K1168" s="74">
        <f>VLOOKUP(E1168,DATABASE!C:Q,7,false)</f>
        <v>849000</v>
      </c>
      <c r="L1168" s="74">
        <v>849000.0</v>
      </c>
      <c r="M1168" s="74">
        <f t="shared" si="2"/>
        <v>850000</v>
      </c>
      <c r="N1168" s="74">
        <f t="shared" si="3"/>
        <v>50000</v>
      </c>
      <c r="O1168" s="65" t="str">
        <f>VLOOKUP(E1168,DATABASE!C:Q,8,false)</f>
        <v>IBU</v>
      </c>
      <c r="P1168" s="65">
        <f>VLOOKUP(E1168,DATABASE!C:Q,9,False)</f>
        <v>1</v>
      </c>
      <c r="Q1168" s="93" t="str">
        <f>VLOOKUP(E1168,DATABASE!C:Q,4,false)</f>
        <v>Dunlop</v>
      </c>
      <c r="R1168" s="93" t="str">
        <f>VLOOKUP(E1168,DATABASE!C:Q,11,false)</f>
        <v>Tire</v>
      </c>
    </row>
    <row r="1169" ht="22.5" customHeight="1">
      <c r="A1169" s="49"/>
      <c r="C1169" s="384">
        <v>45726.0</v>
      </c>
      <c r="D1169" s="65">
        <v>4628.0</v>
      </c>
      <c r="E1169" s="445" t="s">
        <v>268</v>
      </c>
      <c r="F1169" s="386">
        <v>2.0</v>
      </c>
      <c r="G1169" s="74">
        <v>700000.0</v>
      </c>
      <c r="H1169" s="74">
        <v>0.0</v>
      </c>
      <c r="I1169" s="74">
        <f t="shared" si="1"/>
        <v>1400000</v>
      </c>
      <c r="J1169" s="74">
        <f>IF(E1169="SERVICE",I1169-(I1169*50%),Vlookup(E1169,DATABASE!C:Q,10,false)*F1169)</f>
        <v>0</v>
      </c>
      <c r="K1169" s="74">
        <v>613000.0</v>
      </c>
      <c r="L1169" s="74">
        <v>613000.0</v>
      </c>
      <c r="M1169" s="74">
        <f t="shared" si="2"/>
        <v>615000</v>
      </c>
      <c r="N1169" s="74">
        <f t="shared" si="3"/>
        <v>170000</v>
      </c>
      <c r="O1169" s="65" t="str">
        <f>VLOOKUP(E1169,DATABASE!C:Q,8,false)</f>
        <v>IBU</v>
      </c>
      <c r="P1169" s="65">
        <f>VLOOKUP(E1169,DATABASE!C:Q,9,False)</f>
        <v>1</v>
      </c>
      <c r="Q1169" s="93" t="str">
        <f>VLOOKUP(E1169,DATABASE!C:Q,4,false)</f>
        <v>Dunlop</v>
      </c>
      <c r="R1169" s="93" t="str">
        <f>VLOOKUP(E1169,DATABASE!C:Q,11,false)</f>
        <v>Tire</v>
      </c>
    </row>
    <row r="1170" ht="22.5" customHeight="1">
      <c r="A1170" s="49"/>
      <c r="C1170" s="384">
        <v>45726.0</v>
      </c>
      <c r="D1170" s="65">
        <v>4628.0</v>
      </c>
      <c r="E1170" s="445" t="s">
        <v>940</v>
      </c>
      <c r="F1170" s="386">
        <v>2.0</v>
      </c>
      <c r="G1170" s="74">
        <v>810000.0</v>
      </c>
      <c r="H1170" s="74">
        <v>0.0</v>
      </c>
      <c r="I1170" s="74">
        <f t="shared" si="1"/>
        <v>1620000</v>
      </c>
      <c r="J1170" s="74">
        <f>IF(E1170="SERVICE",I1170-(I1170*50%),Vlookup(E1170,DATABASE!C:Q,10,false)*F1170)</f>
        <v>0</v>
      </c>
      <c r="K1170" s="74">
        <f>VLOOKUP(E1170,DATABASE!C:Q,7,false)</f>
        <v>716500</v>
      </c>
      <c r="L1170" s="74">
        <v>709000.0</v>
      </c>
      <c r="M1170" s="74">
        <f t="shared" si="2"/>
        <v>710000</v>
      </c>
      <c r="N1170" s="74">
        <f t="shared" si="3"/>
        <v>200000</v>
      </c>
      <c r="O1170" s="65" t="str">
        <f>VLOOKUP(E1170,DATABASE!C:Q,8,false)</f>
        <v>IBU</v>
      </c>
      <c r="P1170" s="65">
        <f>VLOOKUP(E1170,DATABASE!C:Q,9,False)</f>
        <v>1</v>
      </c>
      <c r="Q1170" s="93" t="str">
        <f>VLOOKUP(E1170,DATABASE!C:Q,4,false)</f>
        <v>Dunlop</v>
      </c>
      <c r="R1170" s="93" t="str">
        <f>VLOOKUP(E1170,DATABASE!C:Q,11,false)</f>
        <v>Tire</v>
      </c>
    </row>
    <row r="1171" ht="22.5" customHeight="1">
      <c r="A1171" s="49"/>
      <c r="C1171" s="384">
        <v>45726.0</v>
      </c>
      <c r="D1171" s="65">
        <v>4630.0</v>
      </c>
      <c r="E1171" s="445" t="s">
        <v>569</v>
      </c>
      <c r="F1171" s="386">
        <v>1.0</v>
      </c>
      <c r="G1171" s="74">
        <v>80000.0</v>
      </c>
      <c r="H1171" s="74">
        <v>0.0</v>
      </c>
      <c r="I1171" s="74">
        <f t="shared" si="1"/>
        <v>80000</v>
      </c>
      <c r="J1171" s="74">
        <f>IF(E1171="SERVICE",I1171-(I1171*50%),Vlookup(E1171,DATABASE!C:Q,10,false)*F1171)</f>
        <v>0</v>
      </c>
      <c r="K1171" s="74">
        <f>VLOOKUP(E1171,DATABASE!C:Q,7,false)</f>
        <v>45439.582</v>
      </c>
      <c r="L1171" s="74">
        <v>45309.6</v>
      </c>
      <c r="M1171" s="74">
        <f t="shared" si="2"/>
        <v>50000</v>
      </c>
      <c r="N1171" s="74">
        <f t="shared" si="3"/>
        <v>30000</v>
      </c>
      <c r="O1171" s="65" t="str">
        <f>VLOOKUP(E1171,DATABASE!C:Q,8,false)</f>
        <v>BIAN</v>
      </c>
      <c r="P1171" s="65">
        <f>VLOOKUP(E1171,DATABASE!C:Q,9,False)</f>
        <v>1</v>
      </c>
      <c r="Q1171" s="93" t="str">
        <f>VLOOKUP(E1171,DATABASE!C:Q,4,false)</f>
        <v>BD</v>
      </c>
      <c r="R1171" s="93" t="str">
        <f>VLOOKUP(E1171,DATABASE!C:Q,11,false)</f>
        <v>Tire</v>
      </c>
    </row>
    <row r="1172" ht="22.5" customHeight="1">
      <c r="A1172" s="49"/>
      <c r="C1172" s="384">
        <v>45726.0</v>
      </c>
      <c r="D1172" s="65">
        <v>4631.0</v>
      </c>
      <c r="E1172" s="445" t="s">
        <v>374</v>
      </c>
      <c r="F1172" s="386">
        <v>1.0</v>
      </c>
      <c r="G1172" s="74">
        <v>1960000.0</v>
      </c>
      <c r="H1172" s="74">
        <v>0.0</v>
      </c>
      <c r="I1172" s="74">
        <f t="shared" si="1"/>
        <v>1960000</v>
      </c>
      <c r="J1172" s="74">
        <f>IF(E1172="SERVICE",I1172-(I1172*50%),Vlookup(E1172,DATABASE!C:Q,10,false)*F1172)</f>
        <v>0</v>
      </c>
      <c r="K1172" s="74">
        <f>VLOOKUP(E1172,DATABASE!C:Q,7,false)</f>
        <v>1980000</v>
      </c>
      <c r="L1172" s="74">
        <v>1850000.0</v>
      </c>
      <c r="M1172" s="74">
        <f t="shared" si="2"/>
        <v>1850000</v>
      </c>
      <c r="N1172" s="74">
        <f t="shared" si="3"/>
        <v>110000</v>
      </c>
      <c r="O1172" s="65" t="str">
        <f>VLOOKUP(E1172,DATABASE!C:Q,8,false)</f>
        <v>BIAN</v>
      </c>
      <c r="P1172" s="65">
        <f>VLOOKUP(E1172,DATABASE!C:Q,9,False)</f>
        <v>1</v>
      </c>
      <c r="Q1172" s="93" t="str">
        <f>VLOOKUP(E1172,DATABASE!C:Q,4,false)</f>
        <v>Advance</v>
      </c>
      <c r="R1172" s="93" t="str">
        <f>VLOOKUP(E1172,DATABASE!C:Q,11,false)</f>
        <v>Tire</v>
      </c>
    </row>
    <row r="1173" ht="22.5" customHeight="1">
      <c r="A1173" s="49"/>
      <c r="C1173" s="384">
        <v>45726.0</v>
      </c>
      <c r="D1173" s="65">
        <v>4632.0</v>
      </c>
      <c r="E1173" s="445" t="s">
        <v>791</v>
      </c>
      <c r="F1173" s="386">
        <v>2.0</v>
      </c>
      <c r="G1173" s="74">
        <v>1280000.0</v>
      </c>
      <c r="H1173" s="74">
        <v>0.0</v>
      </c>
      <c r="I1173" s="74">
        <f t="shared" si="1"/>
        <v>2560000</v>
      </c>
      <c r="J1173" s="74">
        <f>IF(E1173="SERVICE",I1173-(I1173*50%),Vlookup(E1173,DATABASE!C:Q,10,false)*F1173)</f>
        <v>0</v>
      </c>
      <c r="K1173" s="74">
        <f>VLOOKUP(E1173,DATABASE!C:Q,7,false)</f>
        <v>1210000</v>
      </c>
      <c r="L1173" s="74">
        <v>1180000.0</v>
      </c>
      <c r="M1173" s="74">
        <f t="shared" si="2"/>
        <v>1180000</v>
      </c>
      <c r="N1173" s="74">
        <f t="shared" si="3"/>
        <v>200000</v>
      </c>
      <c r="O1173" s="65" t="str">
        <f>VLOOKUP(E1173,DATABASE!C:Q,8,false)</f>
        <v>BIAN</v>
      </c>
      <c r="P1173" s="65">
        <f>VLOOKUP(E1173,DATABASE!C:Q,9,False)</f>
        <v>1</v>
      </c>
      <c r="Q1173" s="93" t="str">
        <f>VLOOKUP(E1173,DATABASE!C:Q,4,false)</f>
        <v>GT</v>
      </c>
      <c r="R1173" s="93" t="str">
        <f>VLOOKUP(E1173,DATABASE!C:Q,11,false)</f>
        <v>Tire</v>
      </c>
    </row>
    <row r="1174" ht="22.5" customHeight="1">
      <c r="A1174" s="49"/>
      <c r="C1174" s="384">
        <v>45726.0</v>
      </c>
      <c r="D1174" s="65">
        <v>4632.0</v>
      </c>
      <c r="E1174" s="445" t="s">
        <v>255</v>
      </c>
      <c r="F1174" s="386">
        <v>2.0</v>
      </c>
      <c r="G1174" s="74">
        <v>200000.0</v>
      </c>
      <c r="H1174" s="74">
        <v>0.0</v>
      </c>
      <c r="I1174" s="74">
        <f t="shared" si="1"/>
        <v>400000</v>
      </c>
      <c r="J1174" s="74">
        <f>IF(E1174="SERVICE",I1174-(I1174*50%),Vlookup(E1174,DATABASE!C:Q,10,false)*F1174)</f>
        <v>0</v>
      </c>
      <c r="K1174" s="74">
        <f>VLOOKUP(E1174,DATABASE!C:Q,7,false)</f>
        <v>161840</v>
      </c>
      <c r="L1174" s="74">
        <v>161840.0</v>
      </c>
      <c r="M1174" s="74">
        <f t="shared" si="2"/>
        <v>165000</v>
      </c>
      <c r="N1174" s="74">
        <f t="shared" si="3"/>
        <v>70000</v>
      </c>
      <c r="O1174" s="65" t="str">
        <f>VLOOKUP(E1174,DATABASE!C:Q,8,false)</f>
        <v>BIAN</v>
      </c>
      <c r="P1174" s="65">
        <f>VLOOKUP(E1174,DATABASE!C:Q,9,False)</f>
        <v>1</v>
      </c>
      <c r="Q1174" s="93" t="str">
        <f>VLOOKUP(E1174,DATABASE!C:Q,4,false)</f>
        <v>BD</v>
      </c>
      <c r="R1174" s="93" t="str">
        <f>VLOOKUP(E1174,DATABASE!C:Q,11,false)</f>
        <v>Tire</v>
      </c>
    </row>
    <row r="1175" ht="22.5" customHeight="1">
      <c r="A1175" s="49"/>
      <c r="C1175" s="384">
        <v>45726.0</v>
      </c>
      <c r="D1175" s="65">
        <v>4632.0</v>
      </c>
      <c r="E1175" s="445" t="s">
        <v>814</v>
      </c>
      <c r="F1175" s="386">
        <v>2.0</v>
      </c>
      <c r="G1175" s="74">
        <v>65000.0</v>
      </c>
      <c r="H1175" s="74">
        <v>0.0</v>
      </c>
      <c r="I1175" s="74">
        <f t="shared" si="1"/>
        <v>130000</v>
      </c>
      <c r="J1175" s="74">
        <f>IF(E1175="SERVICE",I1175-(I1175*50%),Vlookup(E1175,DATABASE!C:Q,10,false)*F1175)</f>
        <v>0</v>
      </c>
      <c r="K1175" s="74">
        <f>VLOOKUP(E1175,DATABASE!C:Q,7,false)</f>
        <v>39440</v>
      </c>
      <c r="L1175" s="74">
        <v>39440.0</v>
      </c>
      <c r="M1175" s="74">
        <f t="shared" si="2"/>
        <v>40000</v>
      </c>
      <c r="N1175" s="74">
        <f t="shared" si="3"/>
        <v>50000</v>
      </c>
      <c r="O1175" s="65" t="str">
        <f>VLOOKUP(E1175,DATABASE!C:Q,8,false)</f>
        <v>BIAN</v>
      </c>
      <c r="P1175" s="65">
        <f>VLOOKUP(E1175,DATABASE!C:Q,9,False)</f>
        <v>1</v>
      </c>
      <c r="Q1175" s="93" t="str">
        <f>VLOOKUP(E1175,DATABASE!C:Q,4,false)</f>
        <v>Flap</v>
      </c>
      <c r="R1175" s="93" t="str">
        <f>VLOOKUP(E1175,DATABASE!C:Q,11,false)</f>
        <v>Tire</v>
      </c>
    </row>
    <row r="1176" ht="22.5" customHeight="1">
      <c r="A1176" s="49"/>
      <c r="C1176" s="384">
        <v>45726.0</v>
      </c>
      <c r="D1176" s="65">
        <v>4634.0</v>
      </c>
      <c r="E1176" s="445" t="s">
        <v>1383</v>
      </c>
      <c r="F1176" s="386">
        <v>4.0</v>
      </c>
      <c r="G1176" s="74">
        <v>900000.0</v>
      </c>
      <c r="H1176" s="74">
        <v>0.0</v>
      </c>
      <c r="I1176" s="74">
        <f t="shared" si="1"/>
        <v>3600000</v>
      </c>
      <c r="J1176" s="74">
        <f>IF(E1176="SERVICE",I1176-(I1176*50%),Vlookup(E1176,DATABASE!C:Q,10,false)*F1176)</f>
        <v>0</v>
      </c>
      <c r="K1176" s="74">
        <f>VLOOKUP(E1176,DATABASE!C:Q,7,false)</f>
        <v>812000</v>
      </c>
      <c r="L1176" s="74">
        <v>812000.0</v>
      </c>
      <c r="M1176" s="74">
        <f t="shared" si="2"/>
        <v>815000</v>
      </c>
      <c r="N1176" s="74">
        <f t="shared" si="3"/>
        <v>340000</v>
      </c>
      <c r="O1176" s="65" t="str">
        <f>VLOOKUP(E1176,DATABASE!C:Q,8,false)</f>
        <v>IBU</v>
      </c>
      <c r="P1176" s="65">
        <f>VLOOKUP(E1176,DATABASE!C:Q,9,False)</f>
        <v>1</v>
      </c>
      <c r="Q1176" s="93" t="str">
        <f>VLOOKUP(E1176,DATABASE!C:Q,4,false)</f>
        <v>Dunlop</v>
      </c>
      <c r="R1176" s="93" t="str">
        <f>VLOOKUP(E1176,DATABASE!C:Q,11,false)</f>
        <v>Tire</v>
      </c>
    </row>
    <row r="1177" ht="22.5" customHeight="1">
      <c r="A1177" s="49"/>
      <c r="C1177" s="384">
        <v>45726.0</v>
      </c>
      <c r="D1177" s="65">
        <v>4634.0</v>
      </c>
      <c r="E1177" s="445" t="s">
        <v>2135</v>
      </c>
      <c r="F1177" s="386">
        <v>4.0</v>
      </c>
      <c r="G1177" s="74">
        <v>15000.0</v>
      </c>
      <c r="H1177" s="74">
        <v>0.0</v>
      </c>
      <c r="I1177" s="74">
        <f t="shared" si="1"/>
        <v>60000</v>
      </c>
      <c r="J1177" s="74">
        <f>IF(E1177="SERVICE",I1177-(I1177*50%),Vlookup(E1177,DATABASE!C:Q,10,false)*F1177)</f>
        <v>0</v>
      </c>
      <c r="K1177" s="74">
        <f>VLOOKUP(E1177,DATABASE!C:Q,7,false)</f>
        <v>0</v>
      </c>
      <c r="L1177" s="74">
        <v>0.0</v>
      </c>
      <c r="M1177" s="74">
        <f t="shared" si="2"/>
        <v>0</v>
      </c>
      <c r="N1177" s="74">
        <f t="shared" si="3"/>
        <v>60000</v>
      </c>
      <c r="O1177" s="65" t="str">
        <f>VLOOKUP(E1177,DATABASE!C:Q,8,false)</f>
        <v>IBU</v>
      </c>
      <c r="P1177" s="65">
        <f>VLOOKUP(E1177,DATABASE!C:Q,9,False)</f>
        <v>0</v>
      </c>
      <c r="Q1177" s="93" t="str">
        <f>VLOOKUP(E1177,DATABASE!C:Q,4,false)</f>
        <v>NITROGEN</v>
      </c>
      <c r="R1177" s="93" t="str">
        <f>VLOOKUP(E1177,DATABASE!C:Q,11,false)</f>
        <v>COMPLEMENTARY</v>
      </c>
    </row>
    <row r="1178" ht="22.5" customHeight="1">
      <c r="A1178" s="49"/>
      <c r="C1178" s="384">
        <v>45726.0</v>
      </c>
      <c r="D1178" s="65">
        <v>4634.0</v>
      </c>
      <c r="E1178" s="385" t="s">
        <v>299</v>
      </c>
      <c r="F1178" s="386">
        <v>4.0</v>
      </c>
      <c r="G1178" s="74">
        <v>30000.0</v>
      </c>
      <c r="H1178" s="74">
        <v>0.0</v>
      </c>
      <c r="I1178" s="74">
        <f t="shared" si="1"/>
        <v>120000</v>
      </c>
      <c r="J1178" s="74">
        <f>IF(E1178="SERVICE",I1178-(I1178*50%),Vlookup(E1178,DATABASE!C:Q,10,false)*F1178)</f>
        <v>0</v>
      </c>
      <c r="K1178" s="74">
        <v>0.0</v>
      </c>
      <c r="L1178" s="74">
        <v>0.0</v>
      </c>
      <c r="M1178" s="74">
        <f t="shared" si="2"/>
        <v>0</v>
      </c>
      <c r="N1178" s="74">
        <f t="shared" si="3"/>
        <v>120000</v>
      </c>
      <c r="O1178" s="65" t="str">
        <f>VLOOKUP(E1178,DATABASE!C:Q,8,false)</f>
        <v>BIAN</v>
      </c>
      <c r="P1178" s="65">
        <f>VLOOKUP(E1178,DATABASE!C:Q,9,False)</f>
        <v>0</v>
      </c>
      <c r="Q1178" s="93" t="str">
        <f>VLOOKUP(E1178,DATABASE!C:Q,4,false)</f>
        <v>Balancing</v>
      </c>
      <c r="R1178" s="93" t="str">
        <f>VLOOKUP(E1178,DATABASE!C:Q,11,false)</f>
        <v>COMPLEMENTARY</v>
      </c>
    </row>
    <row r="1179" ht="22.5" customHeight="1">
      <c r="A1179" s="49"/>
      <c r="C1179" s="384">
        <v>45726.0</v>
      </c>
      <c r="D1179" s="65">
        <v>4634.0</v>
      </c>
      <c r="E1179" s="445" t="s">
        <v>256</v>
      </c>
      <c r="F1179" s="386">
        <v>1.0</v>
      </c>
      <c r="G1179" s="74">
        <v>130000.0</v>
      </c>
      <c r="H1179" s="74">
        <v>0.0</v>
      </c>
      <c r="I1179" s="74">
        <f t="shared" si="1"/>
        <v>130000</v>
      </c>
      <c r="J1179" s="74">
        <f>IF(E1179="SERVICE",I1179-(I1179*50%),Vlookup(E1179,DATABASE!C:Q,10,false)*F1179)</f>
        <v>10000</v>
      </c>
      <c r="K1179" s="74">
        <f>VLOOKUP(E1179,DATABASE!C:Q,7,false)</f>
        <v>0</v>
      </c>
      <c r="L1179" s="74">
        <v>0.0</v>
      </c>
      <c r="M1179" s="74">
        <f t="shared" si="2"/>
        <v>0</v>
      </c>
      <c r="N1179" s="74">
        <f t="shared" si="3"/>
        <v>120000</v>
      </c>
      <c r="O1179" s="65" t="str">
        <f>VLOOKUP(E1179,DATABASE!C:Q,8,false)</f>
        <v>IBU</v>
      </c>
      <c r="P1179" s="65">
        <f>VLOOKUP(E1179,DATABASE!C:Q,9,False)</f>
        <v>0</v>
      </c>
      <c r="Q1179" s="93" t="str">
        <f>VLOOKUP(E1179,DATABASE!C:Q,4,false)</f>
        <v>SPOORING</v>
      </c>
      <c r="R1179" s="93" t="str">
        <f>VLOOKUP(E1179,DATABASE!C:Q,11,false)</f>
        <v>SERVICE</v>
      </c>
    </row>
    <row r="1180" ht="22.5" customHeight="1">
      <c r="A1180" s="49"/>
      <c r="C1180" s="384">
        <v>45726.0</v>
      </c>
      <c r="D1180" s="65">
        <v>4634.0</v>
      </c>
      <c r="E1180" s="445" t="s">
        <v>301</v>
      </c>
      <c r="F1180" s="386">
        <v>1.0</v>
      </c>
      <c r="G1180" s="74">
        <v>250000.0</v>
      </c>
      <c r="H1180" s="74">
        <v>0.0</v>
      </c>
      <c r="I1180" s="74">
        <f t="shared" si="1"/>
        <v>250000</v>
      </c>
      <c r="J1180" s="74">
        <f>IF(E1180="SERVICE",I1180-(I1180*50%),Vlookup(E1180,DATABASE!C:Q,10,false)*F1180)</f>
        <v>75000</v>
      </c>
      <c r="K1180" s="74">
        <f>VLOOKUP(E1180,DATABASE!C:Q,7,false)</f>
        <v>75000</v>
      </c>
      <c r="L1180" s="74">
        <v>75000.0</v>
      </c>
      <c r="M1180" s="74">
        <f t="shared" si="2"/>
        <v>75000</v>
      </c>
      <c r="N1180" s="74">
        <f t="shared" si="3"/>
        <v>100000</v>
      </c>
      <c r="O1180" s="65" t="str">
        <f>VLOOKUP(E1180,DATABASE!C:Q,8,false)</f>
        <v>BIAN</v>
      </c>
      <c r="P1180" s="65">
        <f>VLOOKUP(E1180,DATABASE!C:Q,9,False)</f>
        <v>0</v>
      </c>
      <c r="Q1180" s="93" t="str">
        <f>VLOOKUP(E1180,DATABASE!C:Q,4,false)</f>
        <v>Baut Camber</v>
      </c>
      <c r="R1180" s="93" t="str">
        <f>VLOOKUP(E1180,DATABASE!C:Q,11,false)</f>
        <v>COMPLEMENTARY</v>
      </c>
    </row>
    <row r="1181" ht="22.5" customHeight="1">
      <c r="A1181" s="49"/>
      <c r="C1181" s="384">
        <v>45726.0</v>
      </c>
      <c r="D1181" s="65">
        <v>4636.0</v>
      </c>
      <c r="E1181" s="445" t="s">
        <v>1831</v>
      </c>
      <c r="F1181" s="386">
        <v>2.0</v>
      </c>
      <c r="G1181" s="74">
        <v>685000.0</v>
      </c>
      <c r="H1181" s="74">
        <v>0.0</v>
      </c>
      <c r="I1181" s="74">
        <f t="shared" si="1"/>
        <v>1370000</v>
      </c>
      <c r="J1181" s="74">
        <f>IF(E1181="SERVICE",I1181-(I1181*50%),Vlookup(E1181,DATABASE!C:Q,10,false)*F1181)</f>
        <v>0</v>
      </c>
      <c r="K1181" s="74">
        <f>VLOOKUP(E1181,DATABASE!C:Q,7,false)</f>
        <v>595000</v>
      </c>
      <c r="L1181" s="74">
        <v>595000.0</v>
      </c>
      <c r="M1181" s="74">
        <f t="shared" si="2"/>
        <v>595000</v>
      </c>
      <c r="N1181" s="74">
        <f t="shared" si="3"/>
        <v>180000</v>
      </c>
      <c r="O1181" s="65" t="str">
        <f>VLOOKUP(E1181,DATABASE!C:Q,8,false)</f>
        <v>BIAN</v>
      </c>
      <c r="P1181" s="65">
        <f>VLOOKUP(E1181,DATABASE!C:Q,9,False)</f>
        <v>1</v>
      </c>
      <c r="Q1181" s="93" t="str">
        <f>VLOOKUP(E1181,DATABASE!C:Q,4,false)</f>
        <v>G. YEAR</v>
      </c>
      <c r="R1181" s="93" t="str">
        <f>VLOOKUP(E1181,DATABASE!C:Q,11,false)</f>
        <v>Tire</v>
      </c>
    </row>
    <row r="1182" ht="22.5" customHeight="1">
      <c r="A1182" s="49"/>
      <c r="C1182" s="384">
        <v>45726.0</v>
      </c>
      <c r="D1182" s="65">
        <v>4637.0</v>
      </c>
      <c r="E1182" s="445" t="s">
        <v>932</v>
      </c>
      <c r="F1182" s="386">
        <v>2.0</v>
      </c>
      <c r="G1182" s="74">
        <v>670000.0</v>
      </c>
      <c r="H1182" s="74">
        <v>0.0</v>
      </c>
      <c r="I1182" s="74">
        <f t="shared" si="1"/>
        <v>1340000</v>
      </c>
      <c r="J1182" s="74">
        <f>IF(E1182="SERVICE",I1182-(I1182*50%),Vlookup(E1182,DATABASE!C:Q,10,false)*F1182)</f>
        <v>0</v>
      </c>
      <c r="K1182" s="74">
        <v>575000.0</v>
      </c>
      <c r="L1182" s="74">
        <v>575000.0</v>
      </c>
      <c r="M1182" s="74">
        <f t="shared" si="2"/>
        <v>575000</v>
      </c>
      <c r="N1182" s="74">
        <f t="shared" si="3"/>
        <v>190000</v>
      </c>
      <c r="O1182" s="65" t="str">
        <f>VLOOKUP(E1182,DATABASE!C:Q,8,false)</f>
        <v>IBU</v>
      </c>
      <c r="P1182" s="65">
        <f>VLOOKUP(E1182,DATABASE!C:Q,9,False)</f>
        <v>1</v>
      </c>
      <c r="Q1182" s="93" t="str">
        <f>VLOOKUP(E1182,DATABASE!C:Q,4,false)</f>
        <v>Dunlop</v>
      </c>
      <c r="R1182" s="93" t="str">
        <f>VLOOKUP(E1182,DATABASE!C:Q,11,false)</f>
        <v>Tire</v>
      </c>
    </row>
    <row r="1183" ht="22.5" customHeight="1">
      <c r="A1183" s="49"/>
      <c r="C1183" s="384">
        <v>45726.0</v>
      </c>
      <c r="D1183" s="65">
        <v>4638.0</v>
      </c>
      <c r="E1183" s="445" t="s">
        <v>246</v>
      </c>
      <c r="F1183" s="386">
        <v>4.0</v>
      </c>
      <c r="G1183" s="74">
        <v>30000.0</v>
      </c>
      <c r="H1183" s="74">
        <v>0.0</v>
      </c>
      <c r="I1183" s="74">
        <f t="shared" si="1"/>
        <v>120000</v>
      </c>
      <c r="J1183" s="74">
        <f>IF(E1183="SERVICE",I1183-(I1183*50%),Vlookup(E1183,DATABASE!C:Q,10,false)*F1183)</f>
        <v>0</v>
      </c>
      <c r="K1183" s="74">
        <f>VLOOKUP(E1183,DATABASE!C:Q,7,false)</f>
        <v>0</v>
      </c>
      <c r="L1183" s="74">
        <v>0.0</v>
      </c>
      <c r="M1183" s="74">
        <f t="shared" si="2"/>
        <v>0</v>
      </c>
      <c r="N1183" s="74">
        <f t="shared" si="3"/>
        <v>120000</v>
      </c>
      <c r="O1183" s="65" t="str">
        <f>VLOOKUP(E1183,DATABASE!C:Q,8,false)</f>
        <v>IBU</v>
      </c>
      <c r="P1183" s="65">
        <f>VLOOKUP(E1183,DATABASE!C:Q,9,False)</f>
        <v>0</v>
      </c>
      <c r="Q1183" s="93" t="str">
        <f>VLOOKUP(E1183,DATABASE!C:Q,4,false)</f>
        <v>Bongkar Pasang</v>
      </c>
      <c r="R1183" s="93" t="str">
        <f>VLOOKUP(E1183,DATABASE!C:Q,11,false)</f>
        <v>SERVICE</v>
      </c>
    </row>
    <row r="1184" ht="22.5" customHeight="1">
      <c r="A1184" s="49"/>
      <c r="C1184" s="384">
        <v>45726.0</v>
      </c>
      <c r="D1184" s="65">
        <v>4638.0</v>
      </c>
      <c r="E1184" s="445" t="s">
        <v>2135</v>
      </c>
      <c r="F1184" s="386">
        <v>4.0</v>
      </c>
      <c r="G1184" s="74">
        <v>15000.0</v>
      </c>
      <c r="H1184" s="74">
        <v>0.0</v>
      </c>
      <c r="I1184" s="74">
        <f t="shared" si="1"/>
        <v>60000</v>
      </c>
      <c r="J1184" s="74">
        <f>IF(E1184="SERVICE",I1184-(I1184*50%),Vlookup(E1184,DATABASE!C:Q,10,false)*F1184)</f>
        <v>0</v>
      </c>
      <c r="K1184" s="74">
        <f>VLOOKUP(E1184,DATABASE!C:Q,7,false)</f>
        <v>0</v>
      </c>
      <c r="L1184" s="74">
        <v>0.0</v>
      </c>
      <c r="M1184" s="74">
        <f t="shared" si="2"/>
        <v>0</v>
      </c>
      <c r="N1184" s="74">
        <f t="shared" si="3"/>
        <v>60000</v>
      </c>
      <c r="O1184" s="65" t="str">
        <f>VLOOKUP(E1184,DATABASE!C:Q,8,false)</f>
        <v>IBU</v>
      </c>
      <c r="P1184" s="65">
        <f>VLOOKUP(E1184,DATABASE!C:Q,9,False)</f>
        <v>0</v>
      </c>
      <c r="Q1184" s="93" t="str">
        <f>VLOOKUP(E1184,DATABASE!C:Q,4,false)</f>
        <v>NITROGEN</v>
      </c>
      <c r="R1184" s="93" t="str">
        <f>VLOOKUP(E1184,DATABASE!C:Q,11,false)</f>
        <v>COMPLEMENTARY</v>
      </c>
    </row>
    <row r="1185" ht="22.5" customHeight="1">
      <c r="A1185" s="49"/>
      <c r="C1185" s="384">
        <v>45727.0</v>
      </c>
      <c r="D1185" s="65">
        <v>4562.0</v>
      </c>
      <c r="E1185" s="445" t="s">
        <v>878</v>
      </c>
      <c r="F1185" s="386">
        <v>4.0</v>
      </c>
      <c r="G1185" s="74">
        <v>40000.0</v>
      </c>
      <c r="H1185" s="74">
        <v>0.0</v>
      </c>
      <c r="I1185" s="74">
        <f t="shared" si="1"/>
        <v>160000</v>
      </c>
      <c r="J1185" s="74">
        <f>IF(E1185="SERVICE",I1185-(I1185*50%),Vlookup(E1185,DATABASE!C:Q,10,false)*F1185)</f>
        <v>0</v>
      </c>
      <c r="K1185" s="74">
        <f>VLOOKUP(E1185,DATABASE!C:Q,7,false)</f>
        <v>0</v>
      </c>
      <c r="L1185" s="74">
        <v>0.0</v>
      </c>
      <c r="M1185" s="74">
        <f t="shared" si="2"/>
        <v>0</v>
      </c>
      <c r="N1185" s="74">
        <f t="shared" si="3"/>
        <v>160000</v>
      </c>
      <c r="O1185" s="65" t="str">
        <f>VLOOKUP(E1185,DATABASE!C:Q,8,false)</f>
        <v>IBU</v>
      </c>
      <c r="P1185" s="65">
        <f>VLOOKUP(E1185,DATABASE!C:Q,9,False)</f>
        <v>0</v>
      </c>
      <c r="Q1185" s="93" t="str">
        <f>VLOOKUP(E1185,DATABASE!C:Q,4,false)</f>
        <v>Bongkar Pasang 17</v>
      </c>
      <c r="R1185" s="93" t="str">
        <f>VLOOKUP(E1185,DATABASE!C:Q,11,false)</f>
        <v>SERVICE</v>
      </c>
    </row>
    <row r="1186" ht="22.5" customHeight="1">
      <c r="A1186" s="49"/>
      <c r="C1186" s="384">
        <v>45727.0</v>
      </c>
      <c r="D1186" s="65">
        <v>4562.0</v>
      </c>
      <c r="E1186" s="385" t="s">
        <v>299</v>
      </c>
      <c r="F1186" s="386">
        <v>2.0</v>
      </c>
      <c r="G1186" s="74">
        <v>30000.0</v>
      </c>
      <c r="H1186" s="74">
        <v>0.0</v>
      </c>
      <c r="I1186" s="74">
        <f t="shared" si="1"/>
        <v>60000</v>
      </c>
      <c r="J1186" s="74">
        <f>IF(E1186="SERVICE",I1186-(I1186*50%),Vlookup(E1186,DATABASE!C:Q,10,false)*F1186)</f>
        <v>0</v>
      </c>
      <c r="K1186" s="74">
        <v>0.0</v>
      </c>
      <c r="L1186" s="74">
        <v>0.0</v>
      </c>
      <c r="M1186" s="74">
        <f t="shared" si="2"/>
        <v>0</v>
      </c>
      <c r="N1186" s="74">
        <f t="shared" si="3"/>
        <v>60000</v>
      </c>
      <c r="O1186" s="65" t="str">
        <f>VLOOKUP(E1186,DATABASE!C:Q,8,false)</f>
        <v>BIAN</v>
      </c>
      <c r="P1186" s="65">
        <f>VLOOKUP(E1186,DATABASE!C:Q,9,False)</f>
        <v>0</v>
      </c>
      <c r="Q1186" s="93" t="str">
        <f>VLOOKUP(E1186,DATABASE!C:Q,4,false)</f>
        <v>Balancing</v>
      </c>
      <c r="R1186" s="93" t="str">
        <f>VLOOKUP(E1186,DATABASE!C:Q,11,false)</f>
        <v>COMPLEMENTARY</v>
      </c>
    </row>
    <row r="1187" ht="22.5" customHeight="1">
      <c r="A1187" s="49"/>
      <c r="C1187" s="384">
        <v>45727.0</v>
      </c>
      <c r="D1187" s="65">
        <v>4562.0</v>
      </c>
      <c r="E1187" s="445" t="s">
        <v>256</v>
      </c>
      <c r="F1187" s="386">
        <v>1.0</v>
      </c>
      <c r="G1187" s="74">
        <v>130000.0</v>
      </c>
      <c r="H1187" s="74">
        <v>0.0</v>
      </c>
      <c r="I1187" s="74">
        <f t="shared" si="1"/>
        <v>130000</v>
      </c>
      <c r="J1187" s="74">
        <f>IF(E1187="SERVICE",I1187-(I1187*50%),Vlookup(E1187,DATABASE!C:Q,10,false)*F1187)</f>
        <v>10000</v>
      </c>
      <c r="K1187" s="74">
        <f>VLOOKUP(E1187,DATABASE!C:Q,7,false)</f>
        <v>0</v>
      </c>
      <c r="L1187" s="74">
        <v>0.0</v>
      </c>
      <c r="M1187" s="74">
        <f t="shared" si="2"/>
        <v>0</v>
      </c>
      <c r="N1187" s="74">
        <f t="shared" si="3"/>
        <v>120000</v>
      </c>
      <c r="O1187" s="65" t="str">
        <f>VLOOKUP(E1187,DATABASE!C:Q,8,false)</f>
        <v>IBU</v>
      </c>
      <c r="P1187" s="65">
        <f>VLOOKUP(E1187,DATABASE!C:Q,9,False)</f>
        <v>0</v>
      </c>
      <c r="Q1187" s="93" t="str">
        <f>VLOOKUP(E1187,DATABASE!C:Q,4,false)</f>
        <v>SPOORING</v>
      </c>
      <c r="R1187" s="93" t="str">
        <f>VLOOKUP(E1187,DATABASE!C:Q,11,false)</f>
        <v>SERVICE</v>
      </c>
    </row>
    <row r="1188" ht="22.5" customHeight="1">
      <c r="A1188" s="49"/>
      <c r="C1188" s="384">
        <v>45727.0</v>
      </c>
      <c r="D1188" s="65">
        <v>4562.0</v>
      </c>
      <c r="E1188" s="445" t="s">
        <v>301</v>
      </c>
      <c r="F1188" s="386">
        <v>1.0</v>
      </c>
      <c r="G1188" s="74">
        <v>250000.0</v>
      </c>
      <c r="H1188" s="74">
        <v>0.0</v>
      </c>
      <c r="I1188" s="74">
        <f t="shared" si="1"/>
        <v>250000</v>
      </c>
      <c r="J1188" s="74">
        <f>IF(E1188="SERVICE",I1188-(I1188*50%),Vlookup(E1188,DATABASE!C:Q,10,false)*F1188)</f>
        <v>75000</v>
      </c>
      <c r="K1188" s="74">
        <f>VLOOKUP(E1188,DATABASE!C:Q,7,false)</f>
        <v>75000</v>
      </c>
      <c r="L1188" s="74">
        <v>75000.0</v>
      </c>
      <c r="M1188" s="74">
        <f t="shared" si="2"/>
        <v>75000</v>
      </c>
      <c r="N1188" s="74">
        <f t="shared" si="3"/>
        <v>100000</v>
      </c>
      <c r="O1188" s="65" t="str">
        <f>VLOOKUP(E1188,DATABASE!C:Q,8,false)</f>
        <v>BIAN</v>
      </c>
      <c r="P1188" s="65">
        <f>VLOOKUP(E1188,DATABASE!C:Q,9,False)</f>
        <v>0</v>
      </c>
      <c r="Q1188" s="93" t="str">
        <f>VLOOKUP(E1188,DATABASE!C:Q,4,false)</f>
        <v>Baut Camber</v>
      </c>
      <c r="R1188" s="93" t="str">
        <f>VLOOKUP(E1188,DATABASE!C:Q,11,false)</f>
        <v>COMPLEMENTARY</v>
      </c>
    </row>
    <row r="1189" ht="22.5" customHeight="1">
      <c r="A1189" s="49"/>
      <c r="C1189" s="384">
        <v>45727.0</v>
      </c>
      <c r="D1189" s="65">
        <v>4643.0</v>
      </c>
      <c r="E1189" s="445" t="s">
        <v>256</v>
      </c>
      <c r="F1189" s="386">
        <v>1.0</v>
      </c>
      <c r="G1189" s="74">
        <v>130000.0</v>
      </c>
      <c r="H1189" s="74">
        <v>0.0</v>
      </c>
      <c r="I1189" s="74">
        <f t="shared" si="1"/>
        <v>130000</v>
      </c>
      <c r="J1189" s="74">
        <f>IF(E1189="SERVICE",I1189-(I1189*50%),Vlookup(E1189,DATABASE!C:Q,10,false)*F1189)</f>
        <v>10000</v>
      </c>
      <c r="K1189" s="74">
        <f>VLOOKUP(E1189,DATABASE!C:Q,7,false)</f>
        <v>0</v>
      </c>
      <c r="L1189" s="74">
        <v>0.0</v>
      </c>
      <c r="M1189" s="74">
        <f t="shared" si="2"/>
        <v>0</v>
      </c>
      <c r="N1189" s="74">
        <f t="shared" si="3"/>
        <v>120000</v>
      </c>
      <c r="O1189" s="65" t="str">
        <f>VLOOKUP(E1189,DATABASE!C:Q,8,false)</f>
        <v>IBU</v>
      </c>
      <c r="P1189" s="65">
        <f>VLOOKUP(E1189,DATABASE!C:Q,9,False)</f>
        <v>0</v>
      </c>
      <c r="Q1189" s="93" t="str">
        <f>VLOOKUP(E1189,DATABASE!C:Q,4,false)</f>
        <v>SPOORING</v>
      </c>
      <c r="R1189" s="93" t="str">
        <f>VLOOKUP(E1189,DATABASE!C:Q,11,false)</f>
        <v>SERVICE</v>
      </c>
    </row>
    <row r="1190" ht="22.5" customHeight="1">
      <c r="A1190" s="49"/>
      <c r="C1190" s="384">
        <v>45727.0</v>
      </c>
      <c r="D1190" s="65">
        <v>4643.0</v>
      </c>
      <c r="E1190" s="445" t="s">
        <v>251</v>
      </c>
      <c r="F1190" s="386">
        <v>1.0</v>
      </c>
      <c r="G1190" s="74">
        <v>150000.0</v>
      </c>
      <c r="H1190" s="74">
        <v>0.0</v>
      </c>
      <c r="I1190" s="74">
        <f t="shared" si="1"/>
        <v>150000</v>
      </c>
      <c r="J1190" s="74">
        <f>IF(E1190="SERVICE",I1190-(I1190*50%),Vlookup(E1190,DATABASE!C:Q,10,false)*F1190)</f>
        <v>75000</v>
      </c>
      <c r="K1190" s="74">
        <f>VLOOKUP(E1190,DATABASE!C:Q,7,false)</f>
        <v>0</v>
      </c>
      <c r="L1190" s="74">
        <v>0.0</v>
      </c>
      <c r="M1190" s="74">
        <f t="shared" si="2"/>
        <v>0</v>
      </c>
      <c r="N1190" s="74">
        <f t="shared" si="3"/>
        <v>75000</v>
      </c>
      <c r="O1190" s="65" t="str">
        <f>VLOOKUP(E1190,DATABASE!C:Q,8,false)</f>
        <v>IBU</v>
      </c>
      <c r="P1190" s="65">
        <f>VLOOKUP(E1190,DATABASE!C:Q,9,False)</f>
        <v>0</v>
      </c>
      <c r="Q1190" s="93" t="str">
        <f>VLOOKUP(E1190,DATABASE!C:Q,4,false)</f>
        <v>SERVICE</v>
      </c>
      <c r="R1190" s="93" t="str">
        <f>VLOOKUP(E1190,DATABASE!C:Q,11,false)</f>
        <v>SERVICE</v>
      </c>
    </row>
    <row r="1191" ht="22.5" customHeight="1">
      <c r="A1191" s="49"/>
      <c r="C1191" s="384">
        <v>45727.0</v>
      </c>
      <c r="D1191" s="65">
        <v>4644.0</v>
      </c>
      <c r="E1191" s="445" t="s">
        <v>265</v>
      </c>
      <c r="F1191" s="386">
        <v>2.0</v>
      </c>
      <c r="G1191" s="74">
        <v>670000.0</v>
      </c>
      <c r="H1191" s="74">
        <v>0.0</v>
      </c>
      <c r="I1191" s="74">
        <f t="shared" si="1"/>
        <v>1340000</v>
      </c>
      <c r="J1191" s="74">
        <f>IF(E1191="SERVICE",I1191-(I1191*50%),Vlookup(E1191,DATABASE!C:Q,10,false)*F1191)</f>
        <v>0</v>
      </c>
      <c r="K1191" s="74">
        <v>590000.0</v>
      </c>
      <c r="L1191" s="74">
        <v>590000.0</v>
      </c>
      <c r="M1191" s="74">
        <f t="shared" si="2"/>
        <v>590000</v>
      </c>
      <c r="N1191" s="74">
        <f t="shared" si="3"/>
        <v>160000</v>
      </c>
      <c r="O1191" s="65" t="str">
        <f>VLOOKUP(E1191,DATABASE!C:Q,8,false)</f>
        <v>IBU</v>
      </c>
      <c r="P1191" s="65">
        <f>VLOOKUP(E1191,DATABASE!C:Q,9,False)</f>
        <v>1</v>
      </c>
      <c r="Q1191" s="93" t="str">
        <f>VLOOKUP(E1191,DATABASE!C:Q,4,false)</f>
        <v>Dunlop</v>
      </c>
      <c r="R1191" s="93" t="str">
        <f>VLOOKUP(E1191,DATABASE!C:Q,11,false)</f>
        <v>Tire</v>
      </c>
    </row>
    <row r="1192" ht="22.5" customHeight="1">
      <c r="A1192" s="49"/>
      <c r="C1192" s="384">
        <v>45727.0</v>
      </c>
      <c r="D1192" s="65">
        <v>4644.0</v>
      </c>
      <c r="E1192" s="445" t="s">
        <v>478</v>
      </c>
      <c r="F1192" s="386">
        <v>1.0</v>
      </c>
      <c r="G1192" s="74">
        <v>200000.0</v>
      </c>
      <c r="H1192" s="74">
        <v>0.0</v>
      </c>
      <c r="I1192" s="74">
        <f t="shared" si="1"/>
        <v>200000</v>
      </c>
      <c r="J1192" s="74">
        <f>IF(E1192="SERVICE",I1192-(I1192*50%),Vlookup(E1192,DATABASE!C:Q,10,false)*F1192)</f>
        <v>25000</v>
      </c>
      <c r="K1192" s="74">
        <f>VLOOKUP(E1192,DATABASE!C:Q,7,false)</f>
        <v>75000</v>
      </c>
      <c r="L1192" s="74">
        <v>75000.0</v>
      </c>
      <c r="M1192" s="74">
        <f t="shared" si="2"/>
        <v>75000</v>
      </c>
      <c r="N1192" s="74">
        <f t="shared" si="3"/>
        <v>100000</v>
      </c>
      <c r="O1192" s="65" t="str">
        <f>VLOOKUP(E1192,DATABASE!C:Q,8,false)</f>
        <v>BIAN</v>
      </c>
      <c r="P1192" s="65">
        <f>VLOOKUP(E1192,DATABASE!C:Q,9,False)</f>
        <v>0</v>
      </c>
      <c r="Q1192" s="93" t="str">
        <f>VLOOKUP(E1192,DATABASE!C:Q,4,false)</f>
        <v>Baut Camber ss-carry</v>
      </c>
      <c r="R1192" s="93" t="str">
        <f>VLOOKUP(E1192,DATABASE!C:Q,11,false)</f>
        <v>COMPLEMENTARY</v>
      </c>
    </row>
    <row r="1193" ht="22.5" customHeight="1">
      <c r="A1193" s="49"/>
      <c r="C1193" s="384">
        <v>45727.0</v>
      </c>
      <c r="D1193" s="65">
        <v>4645.0</v>
      </c>
      <c r="E1193" s="445" t="s">
        <v>262</v>
      </c>
      <c r="F1193" s="386">
        <v>1.0</v>
      </c>
      <c r="G1193" s="74">
        <v>110000.0</v>
      </c>
      <c r="H1193" s="74">
        <v>0.0</v>
      </c>
      <c r="I1193" s="74">
        <f t="shared" si="1"/>
        <v>110000</v>
      </c>
      <c r="J1193" s="74">
        <f>IF(E1193="SERVICE",I1193-(I1193*50%),Vlookup(E1193,DATABASE!C:Q,10,false)*F1193)</f>
        <v>5000</v>
      </c>
      <c r="K1193" s="74">
        <f>VLOOKUP(E1193,DATABASE!C:Q,7,false)</f>
        <v>0</v>
      </c>
      <c r="L1193" s="74">
        <v>0.0</v>
      </c>
      <c r="M1193" s="74">
        <f t="shared" si="2"/>
        <v>0</v>
      </c>
      <c r="N1193" s="74">
        <f t="shared" si="3"/>
        <v>105000</v>
      </c>
      <c r="O1193" s="65" t="str">
        <f>VLOOKUP(E1193,DATABASE!C:Q,8,false)</f>
        <v>IBU</v>
      </c>
      <c r="P1193" s="65">
        <f>VLOOKUP(E1193,DATABASE!C:Q,9,False)</f>
        <v>0</v>
      </c>
      <c r="Q1193" s="93" t="str">
        <f>VLOOKUP(E1193,DATABASE!C:Q,4,false)</f>
        <v>SPOORING SS/CARRY LOS BAK</v>
      </c>
      <c r="R1193" s="93" t="str">
        <f>VLOOKUP(E1193,DATABASE!C:Q,11,false)</f>
        <v>SERVICE</v>
      </c>
    </row>
    <row r="1194" ht="22.5" customHeight="1">
      <c r="A1194" s="49"/>
      <c r="C1194" s="384">
        <v>45727.0</v>
      </c>
      <c r="D1194" s="65">
        <v>4646.0</v>
      </c>
      <c r="E1194" s="445" t="s">
        <v>868</v>
      </c>
      <c r="F1194" s="386">
        <v>4.0</v>
      </c>
      <c r="G1194" s="74">
        <v>950000.0</v>
      </c>
      <c r="H1194" s="74">
        <v>0.0</v>
      </c>
      <c r="I1194" s="74">
        <f t="shared" si="1"/>
        <v>3800000</v>
      </c>
      <c r="J1194" s="74">
        <f>IF(E1194="SERVICE",I1194-(I1194*50%),Vlookup(E1194,DATABASE!C:Q,10,false)*F1194)</f>
        <v>0</v>
      </c>
      <c r="K1194" s="74">
        <f>VLOOKUP(E1194,DATABASE!C:Q,7,false)</f>
        <v>861200</v>
      </c>
      <c r="L1194" s="74">
        <v>836000.0</v>
      </c>
      <c r="M1194" s="74">
        <f t="shared" si="2"/>
        <v>840000</v>
      </c>
      <c r="N1194" s="74">
        <f t="shared" si="3"/>
        <v>440000</v>
      </c>
      <c r="O1194" s="65" t="str">
        <f>VLOOKUP(E1194,DATABASE!C:Q,8,false)</f>
        <v>BIAN</v>
      </c>
      <c r="P1194" s="65">
        <f>VLOOKUP(E1194,DATABASE!C:Q,9,False)</f>
        <v>1</v>
      </c>
      <c r="Q1194" s="93" t="str">
        <f>VLOOKUP(E1194,DATABASE!C:Q,4,false)</f>
        <v>GT</v>
      </c>
      <c r="R1194" s="93" t="str">
        <f>VLOOKUP(E1194,DATABASE!C:Q,11,false)</f>
        <v>Tire</v>
      </c>
    </row>
    <row r="1195" ht="22.5" customHeight="1">
      <c r="A1195" s="49"/>
      <c r="C1195" s="384">
        <v>45727.0</v>
      </c>
      <c r="D1195" s="65">
        <v>4646.0</v>
      </c>
      <c r="E1195" s="445" t="s">
        <v>2135</v>
      </c>
      <c r="F1195" s="386">
        <v>4.0</v>
      </c>
      <c r="G1195" s="74">
        <v>15000.0</v>
      </c>
      <c r="H1195" s="74">
        <v>0.0</v>
      </c>
      <c r="I1195" s="74">
        <f t="shared" si="1"/>
        <v>60000</v>
      </c>
      <c r="J1195" s="74">
        <f>IF(E1195="SERVICE",I1195-(I1195*50%),Vlookup(E1195,DATABASE!C:Q,10,false)*F1195)</f>
        <v>0</v>
      </c>
      <c r="K1195" s="74">
        <f>VLOOKUP(E1195,DATABASE!C:Q,7,false)</f>
        <v>0</v>
      </c>
      <c r="L1195" s="74">
        <v>0.0</v>
      </c>
      <c r="M1195" s="74">
        <f t="shared" si="2"/>
        <v>0</v>
      </c>
      <c r="N1195" s="74">
        <f t="shared" si="3"/>
        <v>60000</v>
      </c>
      <c r="O1195" s="65" t="str">
        <f>VLOOKUP(E1195,DATABASE!C:Q,8,false)</f>
        <v>IBU</v>
      </c>
      <c r="P1195" s="65">
        <f>VLOOKUP(E1195,DATABASE!C:Q,9,False)</f>
        <v>0</v>
      </c>
      <c r="Q1195" s="93" t="str">
        <f>VLOOKUP(E1195,DATABASE!C:Q,4,false)</f>
        <v>NITROGEN</v>
      </c>
      <c r="R1195" s="93" t="str">
        <f>VLOOKUP(E1195,DATABASE!C:Q,11,false)</f>
        <v>COMPLEMENTARY</v>
      </c>
    </row>
    <row r="1196" ht="22.5" customHeight="1">
      <c r="A1196" s="49"/>
      <c r="C1196" s="384">
        <v>45727.0</v>
      </c>
      <c r="D1196" s="65">
        <v>4646.0</v>
      </c>
      <c r="E1196" s="445" t="s">
        <v>256</v>
      </c>
      <c r="F1196" s="386">
        <v>1.0</v>
      </c>
      <c r="G1196" s="74">
        <v>130000.0</v>
      </c>
      <c r="H1196" s="74">
        <v>0.0</v>
      </c>
      <c r="I1196" s="74">
        <f t="shared" si="1"/>
        <v>130000</v>
      </c>
      <c r="J1196" s="74">
        <f>IF(E1196="SERVICE",I1196-(I1196*50%),Vlookup(E1196,DATABASE!C:Q,10,false)*F1196)</f>
        <v>10000</v>
      </c>
      <c r="K1196" s="74">
        <f>VLOOKUP(E1196,DATABASE!C:Q,7,false)</f>
        <v>0</v>
      </c>
      <c r="L1196" s="74">
        <v>0.0</v>
      </c>
      <c r="M1196" s="74">
        <f t="shared" si="2"/>
        <v>0</v>
      </c>
      <c r="N1196" s="74">
        <f t="shared" si="3"/>
        <v>120000</v>
      </c>
      <c r="O1196" s="65" t="str">
        <f>VLOOKUP(E1196,DATABASE!C:Q,8,false)</f>
        <v>IBU</v>
      </c>
      <c r="P1196" s="65">
        <f>VLOOKUP(E1196,DATABASE!C:Q,9,False)</f>
        <v>0</v>
      </c>
      <c r="Q1196" s="93" t="str">
        <f>VLOOKUP(E1196,DATABASE!C:Q,4,false)</f>
        <v>SPOORING</v>
      </c>
      <c r="R1196" s="93" t="str">
        <f>VLOOKUP(E1196,DATABASE!C:Q,11,false)</f>
        <v>SERVICE</v>
      </c>
    </row>
    <row r="1197" ht="22.5" customHeight="1">
      <c r="A1197" s="49"/>
      <c r="C1197" s="384">
        <v>45727.0</v>
      </c>
      <c r="D1197" s="65">
        <v>4646.0</v>
      </c>
      <c r="E1197" s="445" t="s">
        <v>301</v>
      </c>
      <c r="F1197" s="386">
        <v>1.0</v>
      </c>
      <c r="G1197" s="74">
        <v>250000.0</v>
      </c>
      <c r="H1197" s="74">
        <v>0.0</v>
      </c>
      <c r="I1197" s="74">
        <f t="shared" si="1"/>
        <v>250000</v>
      </c>
      <c r="J1197" s="74">
        <f>IF(E1197="SERVICE",I1197-(I1197*50%),Vlookup(E1197,DATABASE!C:Q,10,false)*F1197)</f>
        <v>75000</v>
      </c>
      <c r="K1197" s="74">
        <f>VLOOKUP(E1197,DATABASE!C:Q,7,false)</f>
        <v>75000</v>
      </c>
      <c r="L1197" s="74">
        <v>75000.0</v>
      </c>
      <c r="M1197" s="74">
        <f t="shared" si="2"/>
        <v>75000</v>
      </c>
      <c r="N1197" s="74">
        <f t="shared" si="3"/>
        <v>100000</v>
      </c>
      <c r="O1197" s="65" t="str">
        <f>VLOOKUP(E1197,DATABASE!C:Q,8,false)</f>
        <v>BIAN</v>
      </c>
      <c r="P1197" s="65">
        <f>VLOOKUP(E1197,DATABASE!C:Q,9,False)</f>
        <v>0</v>
      </c>
      <c r="Q1197" s="93" t="str">
        <f>VLOOKUP(E1197,DATABASE!C:Q,4,false)</f>
        <v>Baut Camber</v>
      </c>
      <c r="R1197" s="93" t="str">
        <f>VLOOKUP(E1197,DATABASE!C:Q,11,false)</f>
        <v>COMPLEMENTARY</v>
      </c>
    </row>
    <row r="1198" ht="22.5" customHeight="1">
      <c r="A1198" s="49"/>
      <c r="C1198" s="384">
        <v>45727.0</v>
      </c>
      <c r="D1198" s="65">
        <v>4647.0</v>
      </c>
      <c r="E1198" s="445" t="s">
        <v>290</v>
      </c>
      <c r="F1198" s="386">
        <v>1.0</v>
      </c>
      <c r="G1198" s="74">
        <v>720000.0</v>
      </c>
      <c r="H1198" s="74">
        <v>0.0</v>
      </c>
      <c r="I1198" s="74">
        <f t="shared" si="1"/>
        <v>720000</v>
      </c>
      <c r="J1198" s="74">
        <f>IF(E1198="SERVICE",I1198-(I1198*50%),Vlookup(E1198,DATABASE!C:Q,10,false)*F1198)</f>
        <v>0</v>
      </c>
      <c r="K1198" s="74">
        <f>VLOOKUP(E1198,DATABASE!C:Q,7,false)</f>
        <v>628100</v>
      </c>
      <c r="L1198" s="74">
        <v>609804.0</v>
      </c>
      <c r="M1198" s="74">
        <f t="shared" si="2"/>
        <v>610000</v>
      </c>
      <c r="N1198" s="74">
        <f t="shared" si="3"/>
        <v>110000</v>
      </c>
      <c r="O1198" s="65" t="str">
        <f>VLOOKUP(E1198,DATABASE!C:Q,8,false)</f>
        <v>BIAN</v>
      </c>
      <c r="P1198" s="65">
        <f>VLOOKUP(E1198,DATABASE!C:Q,9,False)</f>
        <v>1</v>
      </c>
      <c r="Q1198" s="93" t="str">
        <f>VLOOKUP(E1198,DATABASE!C:Q,4,false)</f>
        <v>GT</v>
      </c>
      <c r="R1198" s="93" t="str">
        <f>VLOOKUP(E1198,DATABASE!C:Q,11,false)</f>
        <v>Tire</v>
      </c>
    </row>
    <row r="1199" ht="22.5" customHeight="1">
      <c r="A1199" s="49"/>
      <c r="C1199" s="384">
        <v>45727.0</v>
      </c>
      <c r="D1199" s="65">
        <v>4647.0</v>
      </c>
      <c r="E1199" s="445" t="s">
        <v>878</v>
      </c>
      <c r="F1199" s="386">
        <v>1.0</v>
      </c>
      <c r="G1199" s="74">
        <v>40000.0</v>
      </c>
      <c r="H1199" s="74">
        <v>0.0</v>
      </c>
      <c r="I1199" s="74">
        <f t="shared" si="1"/>
        <v>40000</v>
      </c>
      <c r="J1199" s="74">
        <f>IF(E1199="SERVICE",I1199-(I1199*50%),Vlookup(E1199,DATABASE!C:Q,10,false)*F1199)</f>
        <v>0</v>
      </c>
      <c r="K1199" s="74">
        <f>VLOOKUP(E1199,DATABASE!C:Q,7,false)</f>
        <v>0</v>
      </c>
      <c r="L1199" s="74">
        <v>0.0</v>
      </c>
      <c r="M1199" s="74">
        <f t="shared" si="2"/>
        <v>0</v>
      </c>
      <c r="N1199" s="74">
        <f t="shared" si="3"/>
        <v>40000</v>
      </c>
      <c r="O1199" s="65" t="str">
        <f>VLOOKUP(E1199,DATABASE!C:Q,8,false)</f>
        <v>IBU</v>
      </c>
      <c r="P1199" s="65">
        <f>VLOOKUP(E1199,DATABASE!C:Q,9,False)</f>
        <v>0</v>
      </c>
      <c r="Q1199" s="93" t="str">
        <f>VLOOKUP(E1199,DATABASE!C:Q,4,false)</f>
        <v>Bongkar Pasang 17</v>
      </c>
      <c r="R1199" s="93" t="str">
        <f>VLOOKUP(E1199,DATABASE!C:Q,11,false)</f>
        <v>SERVICE</v>
      </c>
    </row>
    <row r="1200" ht="22.5" customHeight="1">
      <c r="A1200" s="49"/>
      <c r="C1200" s="384">
        <v>45727.0</v>
      </c>
      <c r="D1200" s="65">
        <v>4649.0</v>
      </c>
      <c r="E1200" s="445" t="s">
        <v>569</v>
      </c>
      <c r="F1200" s="386">
        <v>1.0</v>
      </c>
      <c r="G1200" s="74">
        <v>80000.0</v>
      </c>
      <c r="H1200" s="74">
        <v>0.0</v>
      </c>
      <c r="I1200" s="74">
        <f t="shared" si="1"/>
        <v>80000</v>
      </c>
      <c r="J1200" s="74">
        <f>IF(E1200="SERVICE",I1200-(I1200*50%),Vlookup(E1200,DATABASE!C:Q,10,false)*F1200)</f>
        <v>0</v>
      </c>
      <c r="K1200" s="74">
        <f>VLOOKUP(E1200,DATABASE!C:Q,7,false)</f>
        <v>45439.582</v>
      </c>
      <c r="L1200" s="74">
        <v>45309.6</v>
      </c>
      <c r="M1200" s="74">
        <f t="shared" si="2"/>
        <v>50000</v>
      </c>
      <c r="N1200" s="74">
        <f t="shared" si="3"/>
        <v>30000</v>
      </c>
      <c r="O1200" s="65" t="str">
        <f>VLOOKUP(E1200,DATABASE!C:Q,8,false)</f>
        <v>BIAN</v>
      </c>
      <c r="P1200" s="65">
        <f>VLOOKUP(E1200,DATABASE!C:Q,9,False)</f>
        <v>1</v>
      </c>
      <c r="Q1200" s="93" t="str">
        <f>VLOOKUP(E1200,DATABASE!C:Q,4,false)</f>
        <v>BD</v>
      </c>
      <c r="R1200" s="93" t="str">
        <f>VLOOKUP(E1200,DATABASE!C:Q,11,false)</f>
        <v>Tire</v>
      </c>
    </row>
    <row r="1201" ht="22.5" customHeight="1">
      <c r="A1201" s="49"/>
      <c r="C1201" s="384">
        <v>45727.0</v>
      </c>
      <c r="D1201" s="65">
        <v>4649.0</v>
      </c>
      <c r="E1201" s="445" t="s">
        <v>265</v>
      </c>
      <c r="F1201" s="386">
        <v>2.0</v>
      </c>
      <c r="G1201" s="74">
        <v>670000.0</v>
      </c>
      <c r="H1201" s="74">
        <v>0.0</v>
      </c>
      <c r="I1201" s="74">
        <f t="shared" si="1"/>
        <v>1340000</v>
      </c>
      <c r="J1201" s="74">
        <f>IF(E1201="SERVICE",I1201-(I1201*50%),Vlookup(E1201,DATABASE!C:Q,10,false)*F1201)</f>
        <v>0</v>
      </c>
      <c r="K1201" s="74">
        <v>590000.0</v>
      </c>
      <c r="L1201" s="74">
        <v>590000.0</v>
      </c>
      <c r="M1201" s="74">
        <f t="shared" si="2"/>
        <v>590000</v>
      </c>
      <c r="N1201" s="74">
        <f t="shared" si="3"/>
        <v>160000</v>
      </c>
      <c r="O1201" s="65" t="str">
        <f>VLOOKUP(E1201,DATABASE!C:Q,8,false)</f>
        <v>IBU</v>
      </c>
      <c r="P1201" s="65">
        <f>VLOOKUP(E1201,DATABASE!C:Q,9,False)</f>
        <v>1</v>
      </c>
      <c r="Q1201" s="93" t="str">
        <f>VLOOKUP(E1201,DATABASE!C:Q,4,false)</f>
        <v>Dunlop</v>
      </c>
      <c r="R1201" s="93" t="str">
        <f>VLOOKUP(E1201,DATABASE!C:Q,11,false)</f>
        <v>Tire</v>
      </c>
    </row>
    <row r="1202" ht="22.5" customHeight="1">
      <c r="A1202" s="49"/>
      <c r="C1202" s="384">
        <v>45727.0</v>
      </c>
      <c r="D1202" s="65">
        <v>4650.0</v>
      </c>
      <c r="E1202" s="445" t="s">
        <v>681</v>
      </c>
      <c r="F1202" s="386">
        <v>2.0</v>
      </c>
      <c r="G1202" s="74">
        <v>160000.0</v>
      </c>
      <c r="H1202" s="74">
        <v>0.0</v>
      </c>
      <c r="I1202" s="74">
        <f t="shared" si="1"/>
        <v>320000</v>
      </c>
      <c r="J1202" s="74">
        <f>IF(E1202="SERVICE",I1202-(I1202*50%),Vlookup(E1202,DATABASE!C:Q,10,false)*F1202)</f>
        <v>0</v>
      </c>
      <c r="K1202" s="74">
        <f>VLOOKUP(E1202,DATABASE!C:Q,7,false)</f>
        <v>91000</v>
      </c>
      <c r="L1202" s="74">
        <v>91000.0</v>
      </c>
      <c r="M1202" s="74">
        <f t="shared" si="2"/>
        <v>95000</v>
      </c>
      <c r="N1202" s="74">
        <f t="shared" si="3"/>
        <v>130000</v>
      </c>
      <c r="O1202" s="65" t="str">
        <f>VLOOKUP(E1202,DATABASE!C:Q,8,false)</f>
        <v>BIAN</v>
      </c>
      <c r="P1202" s="65">
        <f>VLOOKUP(E1202,DATABASE!C:Q,9,False)</f>
        <v>1</v>
      </c>
      <c r="Q1202" s="93" t="str">
        <f>VLOOKUP(E1202,DATABASE!C:Q,4,false)</f>
        <v>BD</v>
      </c>
      <c r="R1202" s="93" t="str">
        <f>VLOOKUP(E1202,DATABASE!C:Q,11,false)</f>
        <v>Tire</v>
      </c>
    </row>
    <row r="1203" ht="22.5" customHeight="1">
      <c r="A1203" s="49"/>
      <c r="C1203" s="384">
        <v>45727.0</v>
      </c>
      <c r="D1203" s="65">
        <v>4651.0</v>
      </c>
      <c r="E1203" s="445" t="s">
        <v>275</v>
      </c>
      <c r="F1203" s="386">
        <v>1.0</v>
      </c>
      <c r="G1203" s="74">
        <v>830000.0</v>
      </c>
      <c r="H1203" s="74">
        <v>0.0</v>
      </c>
      <c r="I1203" s="74">
        <f t="shared" si="1"/>
        <v>830000</v>
      </c>
      <c r="J1203" s="74">
        <f>IF(E1203="SERVICE",I1203-(I1203*50%),Vlookup(E1203,DATABASE!C:Q,10,false)*F1203)</f>
        <v>0</v>
      </c>
      <c r="K1203" s="74">
        <v>735000.0</v>
      </c>
      <c r="L1203" s="74">
        <v>735000.0</v>
      </c>
      <c r="M1203" s="74">
        <f t="shared" si="2"/>
        <v>735000</v>
      </c>
      <c r="N1203" s="74">
        <f t="shared" si="3"/>
        <v>95000</v>
      </c>
      <c r="O1203" s="65" t="str">
        <f>VLOOKUP(E1203,DATABASE!C:Q,8,false)</f>
        <v>IBU</v>
      </c>
      <c r="P1203" s="65">
        <f>VLOOKUP(E1203,DATABASE!C:Q,9,False)</f>
        <v>1</v>
      </c>
      <c r="Q1203" s="93" t="str">
        <f>VLOOKUP(E1203,DATABASE!C:Q,4,false)</f>
        <v>Dunlop</v>
      </c>
      <c r="R1203" s="93" t="str">
        <f>VLOOKUP(E1203,DATABASE!C:Q,11,false)</f>
        <v>Tire</v>
      </c>
    </row>
    <row r="1204" ht="22.5" customHeight="1">
      <c r="A1204" s="49"/>
      <c r="C1204" s="384">
        <v>45727.0</v>
      </c>
      <c r="D1204" s="65">
        <v>4652.0</v>
      </c>
      <c r="E1204" s="445" t="s">
        <v>265</v>
      </c>
      <c r="F1204" s="386">
        <v>2.0</v>
      </c>
      <c r="G1204" s="74">
        <v>670000.0</v>
      </c>
      <c r="H1204" s="74">
        <v>0.0</v>
      </c>
      <c r="I1204" s="74">
        <f t="shared" si="1"/>
        <v>1340000</v>
      </c>
      <c r="J1204" s="74">
        <f>IF(E1204="SERVICE",I1204-(I1204*50%),Vlookup(E1204,DATABASE!C:Q,10,false)*F1204)</f>
        <v>0</v>
      </c>
      <c r="K1204" s="74">
        <v>590000.0</v>
      </c>
      <c r="L1204" s="74">
        <v>590000.0</v>
      </c>
      <c r="M1204" s="74">
        <f t="shared" si="2"/>
        <v>590000</v>
      </c>
      <c r="N1204" s="74">
        <f t="shared" si="3"/>
        <v>160000</v>
      </c>
      <c r="O1204" s="65" t="str">
        <f>VLOOKUP(E1204,DATABASE!C:Q,8,false)</f>
        <v>IBU</v>
      </c>
      <c r="P1204" s="65">
        <f>VLOOKUP(E1204,DATABASE!C:Q,9,False)</f>
        <v>1</v>
      </c>
      <c r="Q1204" s="93" t="str">
        <f>VLOOKUP(E1204,DATABASE!C:Q,4,false)</f>
        <v>Dunlop</v>
      </c>
      <c r="R1204" s="93" t="str">
        <f>VLOOKUP(E1204,DATABASE!C:Q,11,false)</f>
        <v>Tire</v>
      </c>
    </row>
    <row r="1205" ht="22.5" customHeight="1">
      <c r="A1205" s="49"/>
      <c r="C1205" s="384">
        <v>45727.0</v>
      </c>
      <c r="D1205" s="65">
        <v>4652.0</v>
      </c>
      <c r="E1205" s="385" t="s">
        <v>299</v>
      </c>
      <c r="F1205" s="386">
        <v>2.0</v>
      </c>
      <c r="G1205" s="74">
        <v>30000.0</v>
      </c>
      <c r="H1205" s="74">
        <v>0.0</v>
      </c>
      <c r="I1205" s="74">
        <f t="shared" si="1"/>
        <v>60000</v>
      </c>
      <c r="J1205" s="74">
        <f>IF(E1205="SERVICE",I1205-(I1205*50%),Vlookup(E1205,DATABASE!C:Q,10,false)*F1205)</f>
        <v>0</v>
      </c>
      <c r="K1205" s="74">
        <v>0.0</v>
      </c>
      <c r="L1205" s="74">
        <v>0.0</v>
      </c>
      <c r="M1205" s="74">
        <f t="shared" si="2"/>
        <v>0</v>
      </c>
      <c r="N1205" s="74">
        <f t="shared" si="3"/>
        <v>60000</v>
      </c>
      <c r="O1205" s="65" t="str">
        <f>VLOOKUP(E1205,DATABASE!C:Q,8,false)</f>
        <v>BIAN</v>
      </c>
      <c r="P1205" s="65">
        <f>VLOOKUP(E1205,DATABASE!C:Q,9,False)</f>
        <v>0</v>
      </c>
      <c r="Q1205" s="93" t="str">
        <f>VLOOKUP(E1205,DATABASE!C:Q,4,false)</f>
        <v>Balancing</v>
      </c>
      <c r="R1205" s="93" t="str">
        <f>VLOOKUP(E1205,DATABASE!C:Q,11,false)</f>
        <v>COMPLEMENTARY</v>
      </c>
    </row>
    <row r="1206" ht="22.5" customHeight="1">
      <c r="A1206" s="49"/>
      <c r="C1206" s="384">
        <v>45727.0</v>
      </c>
      <c r="D1206" s="65">
        <v>4652.0</v>
      </c>
      <c r="E1206" s="445" t="s">
        <v>256</v>
      </c>
      <c r="F1206" s="386">
        <v>1.0</v>
      </c>
      <c r="G1206" s="74">
        <v>130000.0</v>
      </c>
      <c r="H1206" s="74">
        <v>0.0</v>
      </c>
      <c r="I1206" s="74">
        <f t="shared" si="1"/>
        <v>130000</v>
      </c>
      <c r="J1206" s="74">
        <f>IF(E1206="SERVICE",I1206-(I1206*50%),Vlookup(E1206,DATABASE!C:Q,10,false)*F1206)</f>
        <v>10000</v>
      </c>
      <c r="K1206" s="74">
        <f>VLOOKUP(E1206,DATABASE!C:Q,7,false)</f>
        <v>0</v>
      </c>
      <c r="L1206" s="74">
        <v>0.0</v>
      </c>
      <c r="M1206" s="74">
        <f t="shared" si="2"/>
        <v>0</v>
      </c>
      <c r="N1206" s="74">
        <f t="shared" si="3"/>
        <v>120000</v>
      </c>
      <c r="O1206" s="65" t="str">
        <f>VLOOKUP(E1206,DATABASE!C:Q,8,false)</f>
        <v>IBU</v>
      </c>
      <c r="P1206" s="65">
        <f>VLOOKUP(E1206,DATABASE!C:Q,9,False)</f>
        <v>0</v>
      </c>
      <c r="Q1206" s="93" t="str">
        <f>VLOOKUP(E1206,DATABASE!C:Q,4,false)</f>
        <v>SPOORING</v>
      </c>
      <c r="R1206" s="93" t="str">
        <f>VLOOKUP(E1206,DATABASE!C:Q,11,false)</f>
        <v>SERVICE</v>
      </c>
    </row>
    <row r="1207" ht="22.5" customHeight="1">
      <c r="A1207" s="49"/>
      <c r="C1207" s="384">
        <v>45727.0</v>
      </c>
      <c r="D1207" s="65">
        <v>4652.0</v>
      </c>
      <c r="E1207" s="445" t="s">
        <v>301</v>
      </c>
      <c r="F1207" s="386">
        <v>1.0</v>
      </c>
      <c r="G1207" s="74">
        <v>250000.0</v>
      </c>
      <c r="H1207" s="74">
        <v>0.0</v>
      </c>
      <c r="I1207" s="74">
        <f t="shared" si="1"/>
        <v>250000</v>
      </c>
      <c r="J1207" s="74">
        <f>IF(E1207="SERVICE",I1207-(I1207*50%),Vlookup(E1207,DATABASE!C:Q,10,false)*F1207)</f>
        <v>75000</v>
      </c>
      <c r="K1207" s="74">
        <f>VLOOKUP(E1207,DATABASE!C:Q,7,false)</f>
        <v>75000</v>
      </c>
      <c r="L1207" s="74">
        <v>75000.0</v>
      </c>
      <c r="M1207" s="74">
        <f t="shared" si="2"/>
        <v>75000</v>
      </c>
      <c r="N1207" s="74">
        <f t="shared" si="3"/>
        <v>100000</v>
      </c>
      <c r="O1207" s="65" t="str">
        <f>VLOOKUP(E1207,DATABASE!C:Q,8,false)</f>
        <v>BIAN</v>
      </c>
      <c r="P1207" s="65">
        <f>VLOOKUP(E1207,DATABASE!C:Q,9,False)</f>
        <v>0</v>
      </c>
      <c r="Q1207" s="93" t="str">
        <f>VLOOKUP(E1207,DATABASE!C:Q,4,false)</f>
        <v>Baut Camber</v>
      </c>
      <c r="R1207" s="93" t="str">
        <f>VLOOKUP(E1207,DATABASE!C:Q,11,false)</f>
        <v>COMPLEMENTARY</v>
      </c>
    </row>
    <row r="1208" ht="22.5" customHeight="1">
      <c r="A1208" s="49"/>
      <c r="C1208" s="384">
        <v>45727.0</v>
      </c>
      <c r="D1208" s="65">
        <v>4653.0</v>
      </c>
      <c r="E1208" s="445" t="s">
        <v>569</v>
      </c>
      <c r="F1208" s="386">
        <v>1.0</v>
      </c>
      <c r="G1208" s="74">
        <v>80000.0</v>
      </c>
      <c r="H1208" s="74">
        <v>0.0</v>
      </c>
      <c r="I1208" s="74">
        <f t="shared" si="1"/>
        <v>80000</v>
      </c>
      <c r="J1208" s="74">
        <f>IF(E1208="SERVICE",I1208-(I1208*50%),Vlookup(E1208,DATABASE!C:Q,10,false)*F1208)</f>
        <v>0</v>
      </c>
      <c r="K1208" s="74">
        <f>VLOOKUP(E1208,DATABASE!C:Q,7,false)</f>
        <v>45439.582</v>
      </c>
      <c r="L1208" s="74">
        <v>45309.6</v>
      </c>
      <c r="M1208" s="74">
        <f t="shared" si="2"/>
        <v>50000</v>
      </c>
      <c r="N1208" s="74">
        <f t="shared" si="3"/>
        <v>30000</v>
      </c>
      <c r="O1208" s="65" t="str">
        <f>VLOOKUP(E1208,DATABASE!C:Q,8,false)</f>
        <v>BIAN</v>
      </c>
      <c r="P1208" s="65">
        <f>VLOOKUP(E1208,DATABASE!C:Q,9,False)</f>
        <v>1</v>
      </c>
      <c r="Q1208" s="93" t="str">
        <f>VLOOKUP(E1208,DATABASE!C:Q,4,false)</f>
        <v>BD</v>
      </c>
      <c r="R1208" s="93" t="str">
        <f>VLOOKUP(E1208,DATABASE!C:Q,11,false)</f>
        <v>Tire</v>
      </c>
    </row>
    <row r="1209" ht="22.5" customHeight="1">
      <c r="A1209" s="49"/>
      <c r="C1209" s="384">
        <v>45727.0</v>
      </c>
      <c r="D1209" s="65">
        <v>4654.0</v>
      </c>
      <c r="E1209" s="445" t="s">
        <v>294</v>
      </c>
      <c r="F1209" s="386">
        <v>1.0</v>
      </c>
      <c r="G1209" s="74">
        <v>570000.0</v>
      </c>
      <c r="H1209" s="74">
        <v>0.0</v>
      </c>
      <c r="I1209" s="74">
        <f t="shared" si="1"/>
        <v>570000</v>
      </c>
      <c r="J1209" s="74">
        <f>IF(E1209="SERVICE",I1209-(I1209*50%),Vlookup(E1209,DATABASE!C:Q,10,false)*F1209)</f>
        <v>0</v>
      </c>
      <c r="K1209" s="74">
        <f>VLOOKUP(E1209,DATABASE!C:Q,7,false)</f>
        <v>505000</v>
      </c>
      <c r="L1209" s="74">
        <v>490000.0</v>
      </c>
      <c r="M1209" s="74">
        <f t="shared" si="2"/>
        <v>490000</v>
      </c>
      <c r="N1209" s="74">
        <f t="shared" si="3"/>
        <v>80000</v>
      </c>
      <c r="O1209" s="65" t="str">
        <f>VLOOKUP(E1209,DATABASE!C:Q,8,false)</f>
        <v>BIAN</v>
      </c>
      <c r="P1209" s="65">
        <f>VLOOKUP(E1209,DATABASE!C:Q,9,False)</f>
        <v>1</v>
      </c>
      <c r="Q1209" s="93" t="str">
        <f>VLOOKUP(E1209,DATABASE!C:Q,4,false)</f>
        <v>GT</v>
      </c>
      <c r="R1209" s="93" t="str">
        <f>VLOOKUP(E1209,DATABASE!C:Q,11,false)</f>
        <v>Tire</v>
      </c>
    </row>
    <row r="1210" ht="22.5" customHeight="1">
      <c r="A1210" s="49"/>
      <c r="C1210" s="384">
        <v>45727.0</v>
      </c>
      <c r="D1210" s="65">
        <v>4655.0</v>
      </c>
      <c r="E1210" s="445" t="s">
        <v>569</v>
      </c>
      <c r="F1210" s="386">
        <v>1.0</v>
      </c>
      <c r="G1210" s="74">
        <v>80000.0</v>
      </c>
      <c r="H1210" s="74">
        <v>0.0</v>
      </c>
      <c r="I1210" s="74">
        <f t="shared" si="1"/>
        <v>80000</v>
      </c>
      <c r="J1210" s="74">
        <f>IF(E1210="SERVICE",I1210-(I1210*50%),Vlookup(E1210,DATABASE!C:Q,10,false)*F1210)</f>
        <v>0</v>
      </c>
      <c r="K1210" s="74">
        <f>VLOOKUP(E1210,DATABASE!C:Q,7,false)</f>
        <v>45439.582</v>
      </c>
      <c r="L1210" s="74">
        <v>45309.6</v>
      </c>
      <c r="M1210" s="74">
        <f t="shared" si="2"/>
        <v>50000</v>
      </c>
      <c r="N1210" s="74">
        <f t="shared" si="3"/>
        <v>30000</v>
      </c>
      <c r="O1210" s="65" t="str">
        <f>VLOOKUP(E1210,DATABASE!C:Q,8,false)</f>
        <v>BIAN</v>
      </c>
      <c r="P1210" s="65">
        <f>VLOOKUP(E1210,DATABASE!C:Q,9,False)</f>
        <v>1</v>
      </c>
      <c r="Q1210" s="93" t="str">
        <f>VLOOKUP(E1210,DATABASE!C:Q,4,false)</f>
        <v>BD</v>
      </c>
      <c r="R1210" s="93" t="str">
        <f>VLOOKUP(E1210,DATABASE!C:Q,11,false)</f>
        <v>Tire</v>
      </c>
    </row>
    <row r="1211" ht="22.5" customHeight="1">
      <c r="A1211" s="49"/>
      <c r="C1211" s="384">
        <v>45727.0</v>
      </c>
      <c r="D1211" s="65">
        <v>4656.0</v>
      </c>
      <c r="E1211" s="445" t="s">
        <v>256</v>
      </c>
      <c r="F1211" s="386">
        <v>1.0</v>
      </c>
      <c r="G1211" s="74">
        <v>150000.0</v>
      </c>
      <c r="H1211" s="74">
        <v>0.0</v>
      </c>
      <c r="I1211" s="74">
        <f t="shared" si="1"/>
        <v>150000</v>
      </c>
      <c r="J1211" s="74">
        <f>IF(E1211="SERVICE",I1211-(I1211*50%),Vlookup(E1211,DATABASE!C:Q,10,false)*F1211)</f>
        <v>10000</v>
      </c>
      <c r="K1211" s="74">
        <f>VLOOKUP(E1211,DATABASE!C:Q,7,false)</f>
        <v>0</v>
      </c>
      <c r="L1211" s="74">
        <v>0.0</v>
      </c>
      <c r="M1211" s="74">
        <f t="shared" si="2"/>
        <v>0</v>
      </c>
      <c r="N1211" s="74">
        <f t="shared" si="3"/>
        <v>140000</v>
      </c>
      <c r="O1211" s="65" t="str">
        <f>VLOOKUP(E1211,DATABASE!C:Q,8,false)</f>
        <v>IBU</v>
      </c>
      <c r="P1211" s="65">
        <f>VLOOKUP(E1211,DATABASE!C:Q,9,False)</f>
        <v>0</v>
      </c>
      <c r="Q1211" s="93" t="str">
        <f>VLOOKUP(E1211,DATABASE!C:Q,4,false)</f>
        <v>SPOORING</v>
      </c>
      <c r="R1211" s="93" t="str">
        <f>VLOOKUP(E1211,DATABASE!C:Q,11,false)</f>
        <v>SERVICE</v>
      </c>
    </row>
    <row r="1212" ht="22.5" customHeight="1">
      <c r="A1212" s="49"/>
      <c r="C1212" s="384">
        <v>45727.0</v>
      </c>
      <c r="D1212" s="65">
        <v>4656.0</v>
      </c>
      <c r="E1212" s="445" t="s">
        <v>251</v>
      </c>
      <c r="F1212" s="386">
        <v>1.0</v>
      </c>
      <c r="G1212" s="74">
        <v>150000.0</v>
      </c>
      <c r="H1212" s="74">
        <v>0.0</v>
      </c>
      <c r="I1212" s="74">
        <f t="shared" si="1"/>
        <v>150000</v>
      </c>
      <c r="J1212" s="74">
        <f>IF(E1212="SERVICE",I1212-(I1212*50%),Vlookup(E1212,DATABASE!C:Q,10,false)*F1212)</f>
        <v>75000</v>
      </c>
      <c r="K1212" s="74">
        <f>VLOOKUP(E1212,DATABASE!C:Q,7,false)</f>
        <v>0</v>
      </c>
      <c r="L1212" s="74">
        <v>0.0</v>
      </c>
      <c r="M1212" s="74">
        <f t="shared" si="2"/>
        <v>0</v>
      </c>
      <c r="N1212" s="74">
        <f t="shared" si="3"/>
        <v>75000</v>
      </c>
      <c r="O1212" s="65" t="str">
        <f>VLOOKUP(E1212,DATABASE!C:Q,8,false)</f>
        <v>IBU</v>
      </c>
      <c r="P1212" s="65">
        <f>VLOOKUP(E1212,DATABASE!C:Q,9,False)</f>
        <v>0</v>
      </c>
      <c r="Q1212" s="93" t="str">
        <f>VLOOKUP(E1212,DATABASE!C:Q,4,false)</f>
        <v>SERVICE</v>
      </c>
      <c r="R1212" s="93" t="str">
        <f>VLOOKUP(E1212,DATABASE!C:Q,11,false)</f>
        <v>SERVICE</v>
      </c>
    </row>
    <row r="1213" ht="22.5" customHeight="1">
      <c r="A1213" s="49"/>
      <c r="C1213" s="384">
        <v>45727.0</v>
      </c>
      <c r="D1213" s="65">
        <v>4657.0</v>
      </c>
      <c r="E1213" s="445" t="s">
        <v>262</v>
      </c>
      <c r="F1213" s="386">
        <v>1.0</v>
      </c>
      <c r="G1213" s="74">
        <v>110000.0</v>
      </c>
      <c r="H1213" s="74">
        <v>0.0</v>
      </c>
      <c r="I1213" s="74">
        <f t="shared" si="1"/>
        <v>110000</v>
      </c>
      <c r="J1213" s="74">
        <f>IF(E1213="SERVICE",I1213-(I1213*50%),Vlookup(E1213,DATABASE!C:Q,10,false)*F1213)</f>
        <v>5000</v>
      </c>
      <c r="K1213" s="74">
        <f>VLOOKUP(E1213,DATABASE!C:Q,7,false)</f>
        <v>0</v>
      </c>
      <c r="L1213" s="74">
        <v>0.0</v>
      </c>
      <c r="M1213" s="74">
        <f t="shared" si="2"/>
        <v>0</v>
      </c>
      <c r="N1213" s="74">
        <f t="shared" si="3"/>
        <v>105000</v>
      </c>
      <c r="O1213" s="65" t="str">
        <f>VLOOKUP(E1213,DATABASE!C:Q,8,false)</f>
        <v>IBU</v>
      </c>
      <c r="P1213" s="65">
        <f>VLOOKUP(E1213,DATABASE!C:Q,9,False)</f>
        <v>0</v>
      </c>
      <c r="Q1213" s="93" t="str">
        <f>VLOOKUP(E1213,DATABASE!C:Q,4,false)</f>
        <v>SPOORING SS/CARRY LOS BAK</v>
      </c>
      <c r="R1213" s="93" t="str">
        <f>VLOOKUP(E1213,DATABASE!C:Q,11,false)</f>
        <v>SERVICE</v>
      </c>
    </row>
    <row r="1214" ht="22.5" customHeight="1">
      <c r="A1214" s="49"/>
      <c r="C1214" s="384">
        <v>45727.0</v>
      </c>
      <c r="D1214" s="65">
        <v>4659.0</v>
      </c>
      <c r="E1214" s="445" t="s">
        <v>932</v>
      </c>
      <c r="F1214" s="386">
        <v>1.0</v>
      </c>
      <c r="G1214" s="74">
        <v>670000.0</v>
      </c>
      <c r="H1214" s="74">
        <v>0.0</v>
      </c>
      <c r="I1214" s="74">
        <f t="shared" si="1"/>
        <v>670000</v>
      </c>
      <c r="J1214" s="74">
        <f>IF(E1214="SERVICE",I1214-(I1214*50%),Vlookup(E1214,DATABASE!C:Q,10,false)*F1214)</f>
        <v>0</v>
      </c>
      <c r="K1214" s="74">
        <v>575000.0</v>
      </c>
      <c r="L1214" s="74">
        <v>575000.0</v>
      </c>
      <c r="M1214" s="74">
        <f t="shared" si="2"/>
        <v>575000</v>
      </c>
      <c r="N1214" s="74">
        <f t="shared" si="3"/>
        <v>95000</v>
      </c>
      <c r="O1214" s="65" t="str">
        <f>VLOOKUP(E1214,DATABASE!C:Q,8,false)</f>
        <v>IBU</v>
      </c>
      <c r="P1214" s="65">
        <f>VLOOKUP(E1214,DATABASE!C:Q,9,False)</f>
        <v>1</v>
      </c>
      <c r="Q1214" s="93" t="str">
        <f>VLOOKUP(E1214,DATABASE!C:Q,4,false)</f>
        <v>Dunlop</v>
      </c>
      <c r="R1214" s="93" t="str">
        <f>VLOOKUP(E1214,DATABASE!C:Q,11,false)</f>
        <v>Tire</v>
      </c>
    </row>
    <row r="1215" ht="22.5" customHeight="1">
      <c r="A1215" s="49"/>
      <c r="C1215" s="384">
        <v>45728.0</v>
      </c>
      <c r="D1215" s="65">
        <v>4658.0</v>
      </c>
      <c r="E1215" s="445" t="s">
        <v>569</v>
      </c>
      <c r="F1215" s="386">
        <v>2.0</v>
      </c>
      <c r="G1215" s="74">
        <v>80000.0</v>
      </c>
      <c r="H1215" s="74">
        <v>0.0</v>
      </c>
      <c r="I1215" s="74">
        <f t="shared" si="1"/>
        <v>160000</v>
      </c>
      <c r="J1215" s="74">
        <f>IF(E1215="SERVICE",I1215-(I1215*50%),Vlookup(E1215,DATABASE!C:Q,10,false)*F1215)</f>
        <v>0</v>
      </c>
      <c r="K1215" s="74">
        <f>VLOOKUP(E1215,DATABASE!C:Q,7,false)</f>
        <v>45439.582</v>
      </c>
      <c r="L1215" s="74">
        <v>45309.6</v>
      </c>
      <c r="M1215" s="74">
        <f t="shared" si="2"/>
        <v>50000</v>
      </c>
      <c r="N1215" s="74">
        <f t="shared" si="3"/>
        <v>60000</v>
      </c>
      <c r="O1215" s="65" t="str">
        <f>VLOOKUP(E1215,DATABASE!C:Q,8,false)</f>
        <v>BIAN</v>
      </c>
      <c r="P1215" s="65">
        <f>VLOOKUP(E1215,DATABASE!C:Q,9,False)</f>
        <v>1</v>
      </c>
      <c r="Q1215" s="93" t="str">
        <f>VLOOKUP(E1215,DATABASE!C:Q,4,false)</f>
        <v>BD</v>
      </c>
      <c r="R1215" s="93" t="str">
        <f>VLOOKUP(E1215,DATABASE!C:Q,11,false)</f>
        <v>Tire</v>
      </c>
    </row>
    <row r="1216" ht="22.5" customHeight="1">
      <c r="A1216" s="49"/>
      <c r="C1216" s="384">
        <v>45728.0</v>
      </c>
      <c r="D1216" s="65">
        <v>4660.0</v>
      </c>
      <c r="E1216" s="445" t="s">
        <v>251</v>
      </c>
      <c r="F1216" s="386">
        <v>1.0</v>
      </c>
      <c r="G1216" s="74">
        <v>150000.0</v>
      </c>
      <c r="H1216" s="74">
        <v>0.0</v>
      </c>
      <c r="I1216" s="74">
        <f t="shared" si="1"/>
        <v>150000</v>
      </c>
      <c r="J1216" s="74">
        <f>IF(E1216="SERVICE",I1216-(I1216*50%),Vlookup(E1216,DATABASE!C:Q,10,false)*F1216)</f>
        <v>75000</v>
      </c>
      <c r="K1216" s="74">
        <f>VLOOKUP(E1216,DATABASE!C:Q,7,false)</f>
        <v>0</v>
      </c>
      <c r="L1216" s="74">
        <v>0.0</v>
      </c>
      <c r="M1216" s="74">
        <f t="shared" si="2"/>
        <v>0</v>
      </c>
      <c r="N1216" s="74">
        <f t="shared" si="3"/>
        <v>75000</v>
      </c>
      <c r="O1216" s="65" t="str">
        <f>VLOOKUP(E1216,DATABASE!C:Q,8,false)</f>
        <v>IBU</v>
      </c>
      <c r="P1216" s="65">
        <f>VLOOKUP(E1216,DATABASE!C:Q,9,False)</f>
        <v>0</v>
      </c>
      <c r="Q1216" s="93" t="str">
        <f>VLOOKUP(E1216,DATABASE!C:Q,4,false)</f>
        <v>SERVICE</v>
      </c>
      <c r="R1216" s="93" t="str">
        <f>VLOOKUP(E1216,DATABASE!C:Q,11,false)</f>
        <v>SERVICE</v>
      </c>
    </row>
    <row r="1217" ht="22.5" customHeight="1">
      <c r="A1217" s="49"/>
      <c r="C1217" s="384">
        <v>45728.0</v>
      </c>
      <c r="D1217" s="65">
        <v>4661.0</v>
      </c>
      <c r="E1217" s="445" t="s">
        <v>265</v>
      </c>
      <c r="F1217" s="386">
        <v>1.0</v>
      </c>
      <c r="G1217" s="74">
        <v>670000.0</v>
      </c>
      <c r="H1217" s="74">
        <v>0.0</v>
      </c>
      <c r="I1217" s="74">
        <f t="shared" si="1"/>
        <v>670000</v>
      </c>
      <c r="J1217" s="74">
        <f>IF(E1217="SERVICE",I1217-(I1217*50%),Vlookup(E1217,DATABASE!C:Q,10,false)*F1217)</f>
        <v>0</v>
      </c>
      <c r="K1217" s="74">
        <v>590000.0</v>
      </c>
      <c r="L1217" s="74">
        <v>590000.0</v>
      </c>
      <c r="M1217" s="74">
        <f t="shared" si="2"/>
        <v>590000</v>
      </c>
      <c r="N1217" s="74">
        <f t="shared" si="3"/>
        <v>80000</v>
      </c>
      <c r="O1217" s="65" t="str">
        <f>VLOOKUP(E1217,DATABASE!C:Q,8,false)</f>
        <v>IBU</v>
      </c>
      <c r="P1217" s="65">
        <f>VLOOKUP(E1217,DATABASE!C:Q,9,False)</f>
        <v>1</v>
      </c>
      <c r="Q1217" s="93" t="str">
        <f>VLOOKUP(E1217,DATABASE!C:Q,4,false)</f>
        <v>Dunlop</v>
      </c>
      <c r="R1217" s="93" t="str">
        <f>VLOOKUP(E1217,DATABASE!C:Q,11,false)</f>
        <v>Tire</v>
      </c>
    </row>
    <row r="1218" ht="22.5" customHeight="1">
      <c r="A1218" s="49"/>
      <c r="C1218" s="384">
        <v>45728.0</v>
      </c>
      <c r="D1218" s="65">
        <v>4662.0</v>
      </c>
      <c r="E1218" s="445" t="s">
        <v>301</v>
      </c>
      <c r="F1218" s="386">
        <v>1.0</v>
      </c>
      <c r="G1218" s="74">
        <v>250000.0</v>
      </c>
      <c r="H1218" s="74">
        <v>0.0</v>
      </c>
      <c r="I1218" s="74">
        <f t="shared" si="1"/>
        <v>250000</v>
      </c>
      <c r="J1218" s="74">
        <f>IF(E1218="SERVICE",I1218-(I1218*50%),Vlookup(E1218,DATABASE!C:Q,10,false)*F1218)</f>
        <v>75000</v>
      </c>
      <c r="K1218" s="74">
        <f>VLOOKUP(E1218,DATABASE!C:Q,7,false)</f>
        <v>75000</v>
      </c>
      <c r="L1218" s="74">
        <v>75000.0</v>
      </c>
      <c r="M1218" s="74">
        <f t="shared" si="2"/>
        <v>75000</v>
      </c>
      <c r="N1218" s="74">
        <f t="shared" si="3"/>
        <v>100000</v>
      </c>
      <c r="O1218" s="65" t="str">
        <f>VLOOKUP(E1218,DATABASE!C:Q,8,false)</f>
        <v>BIAN</v>
      </c>
      <c r="P1218" s="65">
        <f>VLOOKUP(E1218,DATABASE!C:Q,9,False)</f>
        <v>0</v>
      </c>
      <c r="Q1218" s="93" t="str">
        <f>VLOOKUP(E1218,DATABASE!C:Q,4,false)</f>
        <v>Baut Camber</v>
      </c>
      <c r="R1218" s="93" t="str">
        <f>VLOOKUP(E1218,DATABASE!C:Q,11,false)</f>
        <v>COMPLEMENTARY</v>
      </c>
    </row>
    <row r="1219" ht="22.5" customHeight="1">
      <c r="A1219" s="49"/>
      <c r="C1219" s="384">
        <v>45728.0</v>
      </c>
      <c r="D1219" s="65">
        <v>4663.0</v>
      </c>
      <c r="E1219" s="445" t="s">
        <v>966</v>
      </c>
      <c r="F1219" s="386">
        <v>2.0</v>
      </c>
      <c r="G1219" s="74">
        <v>965000.0</v>
      </c>
      <c r="H1219" s="74">
        <v>0.0</v>
      </c>
      <c r="I1219" s="74">
        <f t="shared" si="1"/>
        <v>1930000</v>
      </c>
      <c r="J1219" s="74">
        <f>IF(E1219="SERVICE",I1219-(I1219*50%),Vlookup(E1219,DATABASE!C:Q,10,false)*F1219)</f>
        <v>0</v>
      </c>
      <c r="K1219" s="74">
        <f>VLOOKUP(E1219,DATABASE!C:Q,7,false)</f>
        <v>865000</v>
      </c>
      <c r="L1219" s="74">
        <v>865000.0</v>
      </c>
      <c r="M1219" s="74">
        <f t="shared" si="2"/>
        <v>865000</v>
      </c>
      <c r="N1219" s="74">
        <f t="shared" si="3"/>
        <v>200000</v>
      </c>
      <c r="O1219" s="65" t="str">
        <f>VLOOKUP(E1219,DATABASE!C:Q,8,false)</f>
        <v>IBU</v>
      </c>
      <c r="P1219" s="65">
        <f>VLOOKUP(E1219,DATABASE!C:Q,9,False)</f>
        <v>1</v>
      </c>
      <c r="Q1219" s="93" t="str">
        <f>VLOOKUP(E1219,DATABASE!C:Q,4,false)</f>
        <v>Bridgestone</v>
      </c>
      <c r="R1219" s="93" t="str">
        <f>VLOOKUP(E1219,DATABASE!C:Q,11,false)</f>
        <v>Tire</v>
      </c>
    </row>
    <row r="1220" ht="22.5" customHeight="1">
      <c r="A1220" s="49"/>
      <c r="C1220" s="384">
        <v>45728.0</v>
      </c>
      <c r="D1220" s="65">
        <v>4664.0</v>
      </c>
      <c r="E1220" s="445" t="s">
        <v>897</v>
      </c>
      <c r="F1220" s="386">
        <v>2.0</v>
      </c>
      <c r="G1220" s="74">
        <v>1600000.0</v>
      </c>
      <c r="H1220" s="74">
        <v>0.0</v>
      </c>
      <c r="I1220" s="74">
        <f t="shared" si="1"/>
        <v>3200000</v>
      </c>
      <c r="J1220" s="74">
        <f>IF(E1220="SERVICE",I1220-(I1220*50%),Vlookup(E1220,DATABASE!C:Q,10,false)*F1220)</f>
        <v>0</v>
      </c>
      <c r="K1220" s="74">
        <f>VLOOKUP(E1220,DATABASE!C:Q,7,false)</f>
        <v>1560000</v>
      </c>
      <c r="L1220" s="74">
        <v>1500000.0</v>
      </c>
      <c r="M1220" s="74">
        <f t="shared" si="2"/>
        <v>1500000</v>
      </c>
      <c r="N1220" s="74">
        <f t="shared" si="3"/>
        <v>200000</v>
      </c>
      <c r="O1220" s="65" t="str">
        <f>VLOOKUP(E1220,DATABASE!C:Q,8,false)</f>
        <v>BIAN</v>
      </c>
      <c r="P1220" s="65">
        <f>VLOOKUP(E1220,DATABASE!C:Q,9,False)</f>
        <v>1</v>
      </c>
      <c r="Q1220" s="93" t="str">
        <f>VLOOKUP(E1220,DATABASE!C:Q,4,false)</f>
        <v>GT</v>
      </c>
      <c r="R1220" s="93" t="str">
        <f>VLOOKUP(E1220,DATABASE!C:Q,11,false)</f>
        <v>Tire</v>
      </c>
    </row>
    <row r="1221" ht="22.5" customHeight="1">
      <c r="A1221" s="49"/>
      <c r="C1221" s="384">
        <v>45728.0</v>
      </c>
      <c r="D1221" s="65">
        <v>4664.0</v>
      </c>
      <c r="E1221" s="445" t="s">
        <v>744</v>
      </c>
      <c r="F1221" s="386">
        <v>2.0</v>
      </c>
      <c r="G1221" s="74">
        <v>230000.0</v>
      </c>
      <c r="H1221" s="74">
        <v>0.0</v>
      </c>
      <c r="I1221" s="74">
        <f t="shared" si="1"/>
        <v>460000</v>
      </c>
      <c r="J1221" s="74">
        <f>IF(E1221="SERVICE",I1221-(I1221*50%),Vlookup(E1221,DATABASE!C:Q,10,false)*F1221)</f>
        <v>0</v>
      </c>
      <c r="K1221" s="74">
        <f>VLOOKUP(E1221,DATABASE!C:Q,7,false)</f>
        <v>182200</v>
      </c>
      <c r="L1221" s="74">
        <v>199920.0</v>
      </c>
      <c r="M1221" s="74">
        <f t="shared" si="2"/>
        <v>200000</v>
      </c>
      <c r="N1221" s="74">
        <f t="shared" si="3"/>
        <v>60000</v>
      </c>
      <c r="O1221" s="65" t="str">
        <f>VLOOKUP(E1221,DATABASE!C:Q,8,false)</f>
        <v>BIAN</v>
      </c>
      <c r="P1221" s="65">
        <f>VLOOKUP(E1221,DATABASE!C:Q,9,False)</f>
        <v>1</v>
      </c>
      <c r="Q1221" s="93" t="str">
        <f>VLOOKUP(E1221,DATABASE!C:Q,4,false)</f>
        <v>BD</v>
      </c>
      <c r="R1221" s="93" t="str">
        <f>VLOOKUP(E1221,DATABASE!C:Q,11,false)</f>
        <v>Tire</v>
      </c>
    </row>
    <row r="1222" ht="22.5" customHeight="1">
      <c r="A1222" s="49"/>
      <c r="C1222" s="384">
        <v>45728.0</v>
      </c>
      <c r="D1222" s="65">
        <v>4664.0</v>
      </c>
      <c r="E1222" s="445" t="s">
        <v>821</v>
      </c>
      <c r="F1222" s="386">
        <v>2.0</v>
      </c>
      <c r="G1222" s="74">
        <v>80000.0</v>
      </c>
      <c r="H1222" s="74">
        <v>0.0</v>
      </c>
      <c r="I1222" s="74">
        <f t="shared" si="1"/>
        <v>160000</v>
      </c>
      <c r="J1222" s="74">
        <f>IF(E1222="SERVICE",I1222-(I1222*50%),Vlookup(E1222,DATABASE!C:Q,10,false)*F1222)</f>
        <v>0</v>
      </c>
      <c r="K1222" s="74">
        <f>VLOOKUP(E1222,DATABASE!C:Q,7,false)</f>
        <v>43500</v>
      </c>
      <c r="L1222" s="74">
        <v>43520.0</v>
      </c>
      <c r="M1222" s="74">
        <f t="shared" si="2"/>
        <v>45000</v>
      </c>
      <c r="N1222" s="74">
        <f t="shared" si="3"/>
        <v>70000</v>
      </c>
      <c r="O1222" s="65" t="str">
        <f>VLOOKUP(E1222,DATABASE!C:Q,8,false)</f>
        <v>BIAN</v>
      </c>
      <c r="P1222" s="65">
        <f>VLOOKUP(E1222,DATABASE!C:Q,9,False)</f>
        <v>1</v>
      </c>
      <c r="Q1222" s="93" t="str">
        <f>VLOOKUP(E1222,DATABASE!C:Q,4,false)</f>
        <v>Flap</v>
      </c>
      <c r="R1222" s="93" t="str">
        <f>VLOOKUP(E1222,DATABASE!C:Q,11,false)</f>
        <v>Tire</v>
      </c>
    </row>
    <row r="1223" ht="22.5" customHeight="1">
      <c r="A1223" s="49"/>
      <c r="C1223" s="384">
        <v>45728.0</v>
      </c>
      <c r="D1223" s="65">
        <v>4666.0</v>
      </c>
      <c r="E1223" s="445" t="s">
        <v>391</v>
      </c>
      <c r="F1223" s="386">
        <v>1.0</v>
      </c>
      <c r="G1223" s="74">
        <v>1950000.0</v>
      </c>
      <c r="H1223" s="74">
        <v>0.0</v>
      </c>
      <c r="I1223" s="74">
        <f t="shared" si="1"/>
        <v>1950000</v>
      </c>
      <c r="J1223" s="74">
        <f>IF(E1223="SERVICE",I1223-(I1223*50%),Vlookup(E1223,DATABASE!C:Q,10,false)*F1223)</f>
        <v>0</v>
      </c>
      <c r="K1223" s="74">
        <f>VLOOKUP(E1223,DATABASE!C:Q,7,false)</f>
        <v>1885000</v>
      </c>
      <c r="L1223" s="74">
        <v>1840000.0</v>
      </c>
      <c r="M1223" s="74">
        <f t="shared" si="2"/>
        <v>1840000</v>
      </c>
      <c r="N1223" s="74">
        <f t="shared" si="3"/>
        <v>110000</v>
      </c>
      <c r="O1223" s="65" t="str">
        <f>VLOOKUP(E1223,DATABASE!C:Q,8,false)</f>
        <v>BIAN</v>
      </c>
      <c r="P1223" s="65">
        <f>VLOOKUP(E1223,DATABASE!C:Q,9,False)</f>
        <v>1</v>
      </c>
      <c r="Q1223" s="93" t="str">
        <f>VLOOKUP(E1223,DATABASE!C:Q,4,false)</f>
        <v>Advance</v>
      </c>
      <c r="R1223" s="93" t="str">
        <f>VLOOKUP(E1223,DATABASE!C:Q,11,false)</f>
        <v>Tire</v>
      </c>
    </row>
    <row r="1224" ht="22.5" customHeight="1">
      <c r="A1224" s="49"/>
      <c r="C1224" s="384">
        <v>45728.0</v>
      </c>
      <c r="D1224" s="65">
        <v>4668.0</v>
      </c>
      <c r="E1224" s="445" t="s">
        <v>265</v>
      </c>
      <c r="F1224" s="386">
        <v>1.0</v>
      </c>
      <c r="G1224" s="74">
        <v>670000.0</v>
      </c>
      <c r="H1224" s="74">
        <v>0.0</v>
      </c>
      <c r="I1224" s="74">
        <f t="shared" si="1"/>
        <v>670000</v>
      </c>
      <c r="J1224" s="74">
        <f>IF(E1224="SERVICE",I1224-(I1224*50%),Vlookup(E1224,DATABASE!C:Q,10,false)*F1224)</f>
        <v>0</v>
      </c>
      <c r="K1224" s="74">
        <v>590000.0</v>
      </c>
      <c r="L1224" s="74">
        <v>590000.0</v>
      </c>
      <c r="M1224" s="74">
        <f t="shared" si="2"/>
        <v>590000</v>
      </c>
      <c r="N1224" s="74">
        <f t="shared" si="3"/>
        <v>80000</v>
      </c>
      <c r="O1224" s="65" t="str">
        <f>VLOOKUP(E1224,DATABASE!C:Q,8,false)</f>
        <v>IBU</v>
      </c>
      <c r="P1224" s="65">
        <f>VLOOKUP(E1224,DATABASE!C:Q,9,False)</f>
        <v>1</v>
      </c>
      <c r="Q1224" s="93" t="str">
        <f>VLOOKUP(E1224,DATABASE!C:Q,4,false)</f>
        <v>Dunlop</v>
      </c>
      <c r="R1224" s="93" t="str">
        <f>VLOOKUP(E1224,DATABASE!C:Q,11,false)</f>
        <v>Tire</v>
      </c>
    </row>
    <row r="1225" ht="22.5" customHeight="1">
      <c r="A1225" s="49"/>
      <c r="C1225" s="384">
        <v>45728.0</v>
      </c>
      <c r="D1225" s="65">
        <v>4669.0</v>
      </c>
      <c r="E1225" s="445" t="s">
        <v>2019</v>
      </c>
      <c r="F1225" s="386">
        <v>1.0</v>
      </c>
      <c r="G1225" s="74">
        <v>685000.0</v>
      </c>
      <c r="H1225" s="74">
        <v>0.0</v>
      </c>
      <c r="I1225" s="74">
        <f t="shared" si="1"/>
        <v>685000</v>
      </c>
      <c r="J1225" s="74">
        <f>IF(E1225="SERVICE",I1225-(I1225*50%),Vlookup(E1225,DATABASE!C:Q,10,false)*F1225)</f>
        <v>0</v>
      </c>
      <c r="K1225" s="74">
        <f>VLOOKUP(E1225,DATABASE!C:Q,7,false)</f>
        <v>620000</v>
      </c>
      <c r="L1225" s="74">
        <v>585000.0</v>
      </c>
      <c r="M1225" s="74">
        <f t="shared" si="2"/>
        <v>585000</v>
      </c>
      <c r="N1225" s="74">
        <f t="shared" si="3"/>
        <v>100000</v>
      </c>
      <c r="O1225" s="65" t="str">
        <f>VLOOKUP(E1225,DATABASE!C:Q,8,false)</f>
        <v>BIAN</v>
      </c>
      <c r="P1225" s="65">
        <f>VLOOKUP(E1225,DATABASE!C:Q,9,False)</f>
        <v>1</v>
      </c>
      <c r="Q1225" s="93" t="str">
        <f>VLOOKUP(E1225,DATABASE!C:Q,4,false)</f>
        <v>GT</v>
      </c>
      <c r="R1225" s="93" t="str">
        <f>VLOOKUP(E1225,DATABASE!C:Q,11,false)</f>
        <v>Tire</v>
      </c>
    </row>
    <row r="1226" ht="22.5" customHeight="1">
      <c r="A1226" s="49"/>
      <c r="C1226" s="384">
        <v>45728.0</v>
      </c>
      <c r="D1226" s="65">
        <v>4669.0</v>
      </c>
      <c r="E1226" s="445" t="s">
        <v>250</v>
      </c>
      <c r="F1226" s="386">
        <v>1.0</v>
      </c>
      <c r="G1226" s="74">
        <v>135000.0</v>
      </c>
      <c r="H1226" s="74">
        <v>0.0</v>
      </c>
      <c r="I1226" s="74">
        <f t="shared" si="1"/>
        <v>135000</v>
      </c>
      <c r="J1226" s="74">
        <f>IF(E1226="SERVICE",I1226-(I1226*50%),Vlookup(E1226,DATABASE!C:Q,10,false)*F1226)</f>
        <v>0</v>
      </c>
      <c r="K1226" s="74">
        <f>VLOOKUP(E1226,DATABASE!C:Q,7,false)</f>
        <v>102000</v>
      </c>
      <c r="L1226" s="74">
        <v>102000.0</v>
      </c>
      <c r="M1226" s="74">
        <f t="shared" si="2"/>
        <v>105000</v>
      </c>
      <c r="N1226" s="74">
        <f t="shared" si="3"/>
        <v>30000</v>
      </c>
      <c r="O1226" s="65" t="str">
        <f>VLOOKUP(E1226,DATABASE!C:Q,8,false)</f>
        <v>BIAN</v>
      </c>
      <c r="P1226" s="65">
        <f>VLOOKUP(E1226,DATABASE!C:Q,9,False)</f>
        <v>1</v>
      </c>
      <c r="Q1226" s="93" t="str">
        <f>VLOOKUP(E1226,DATABASE!C:Q,4,false)</f>
        <v>BD</v>
      </c>
      <c r="R1226" s="93" t="str">
        <f>VLOOKUP(E1226,DATABASE!C:Q,11,false)</f>
        <v>Tire</v>
      </c>
    </row>
    <row r="1227" ht="22.5" customHeight="1">
      <c r="A1227" s="49"/>
      <c r="C1227" s="384">
        <v>45728.0</v>
      </c>
      <c r="D1227" s="65">
        <v>4670.0</v>
      </c>
      <c r="E1227" s="445" t="s">
        <v>262</v>
      </c>
      <c r="F1227" s="386">
        <v>1.0</v>
      </c>
      <c r="G1227" s="74">
        <v>110000.0</v>
      </c>
      <c r="H1227" s="74">
        <v>0.0</v>
      </c>
      <c r="I1227" s="74">
        <f t="shared" si="1"/>
        <v>110000</v>
      </c>
      <c r="J1227" s="74">
        <f>IF(E1227="SERVICE",I1227-(I1227*50%),Vlookup(E1227,DATABASE!C:Q,10,false)*F1227)</f>
        <v>5000</v>
      </c>
      <c r="K1227" s="74">
        <f>VLOOKUP(E1227,DATABASE!C:Q,7,false)</f>
        <v>0</v>
      </c>
      <c r="L1227" s="74">
        <v>0.0</v>
      </c>
      <c r="M1227" s="74">
        <f t="shared" si="2"/>
        <v>0</v>
      </c>
      <c r="N1227" s="74">
        <f t="shared" si="3"/>
        <v>105000</v>
      </c>
      <c r="O1227" s="65" t="str">
        <f>VLOOKUP(E1227,DATABASE!C:Q,8,false)</f>
        <v>IBU</v>
      </c>
      <c r="P1227" s="65">
        <f>VLOOKUP(E1227,DATABASE!C:Q,9,False)</f>
        <v>0</v>
      </c>
      <c r="Q1227" s="93" t="str">
        <f>VLOOKUP(E1227,DATABASE!C:Q,4,false)</f>
        <v>SPOORING SS/CARRY LOS BAK</v>
      </c>
      <c r="R1227" s="93" t="str">
        <f>VLOOKUP(E1227,DATABASE!C:Q,11,false)</f>
        <v>SERVICE</v>
      </c>
    </row>
    <row r="1228" ht="22.5" customHeight="1">
      <c r="A1228" s="49"/>
      <c r="C1228" s="384">
        <v>45728.0</v>
      </c>
      <c r="D1228" s="65">
        <v>4670.0</v>
      </c>
      <c r="E1228" s="445" t="s">
        <v>478</v>
      </c>
      <c r="F1228" s="386">
        <v>1.0</v>
      </c>
      <c r="G1228" s="74">
        <v>200000.0</v>
      </c>
      <c r="H1228" s="74">
        <v>0.0</v>
      </c>
      <c r="I1228" s="74">
        <f t="shared" si="1"/>
        <v>200000</v>
      </c>
      <c r="J1228" s="74">
        <f>IF(E1228="SERVICE",I1228-(I1228*50%),Vlookup(E1228,DATABASE!C:Q,10,false)*F1228)</f>
        <v>25000</v>
      </c>
      <c r="K1228" s="74">
        <f>VLOOKUP(E1228,DATABASE!C:Q,7,false)</f>
        <v>75000</v>
      </c>
      <c r="L1228" s="74">
        <v>75000.0</v>
      </c>
      <c r="M1228" s="74">
        <f t="shared" si="2"/>
        <v>75000</v>
      </c>
      <c r="N1228" s="74">
        <f t="shared" si="3"/>
        <v>100000</v>
      </c>
      <c r="O1228" s="65" t="str">
        <f>VLOOKUP(E1228,DATABASE!C:Q,8,false)</f>
        <v>BIAN</v>
      </c>
      <c r="P1228" s="65">
        <f>VLOOKUP(E1228,DATABASE!C:Q,9,False)</f>
        <v>0</v>
      </c>
      <c r="Q1228" s="93" t="str">
        <f>VLOOKUP(E1228,DATABASE!C:Q,4,false)</f>
        <v>Baut Camber ss-carry</v>
      </c>
      <c r="R1228" s="93" t="str">
        <f>VLOOKUP(E1228,DATABASE!C:Q,11,false)</f>
        <v>COMPLEMENTARY</v>
      </c>
    </row>
    <row r="1229" ht="22.5" customHeight="1">
      <c r="A1229" s="49"/>
      <c r="C1229" s="384">
        <v>45728.0</v>
      </c>
      <c r="D1229" s="65">
        <v>4671.0</v>
      </c>
      <c r="E1229" s="445" t="s">
        <v>878</v>
      </c>
      <c r="F1229" s="386">
        <v>4.0</v>
      </c>
      <c r="G1229" s="74">
        <v>50000.0</v>
      </c>
      <c r="H1229" s="74">
        <v>0.0</v>
      </c>
      <c r="I1229" s="74">
        <f t="shared" si="1"/>
        <v>200000</v>
      </c>
      <c r="J1229" s="74">
        <f>IF(E1229="SERVICE",I1229-(I1229*50%),Vlookup(E1229,DATABASE!C:Q,10,false)*F1229)</f>
        <v>0</v>
      </c>
      <c r="K1229" s="74">
        <f>VLOOKUP(E1229,DATABASE!C:Q,7,false)</f>
        <v>0</v>
      </c>
      <c r="L1229" s="74">
        <v>0.0</v>
      </c>
      <c r="M1229" s="74">
        <f t="shared" si="2"/>
        <v>0</v>
      </c>
      <c r="N1229" s="74">
        <f t="shared" si="3"/>
        <v>200000</v>
      </c>
      <c r="O1229" s="65" t="str">
        <f>VLOOKUP(E1229,DATABASE!C:Q,8,false)</f>
        <v>IBU</v>
      </c>
      <c r="P1229" s="65">
        <f>VLOOKUP(E1229,DATABASE!C:Q,9,False)</f>
        <v>0</v>
      </c>
      <c r="Q1229" s="93" t="str">
        <f>VLOOKUP(E1229,DATABASE!C:Q,4,false)</f>
        <v>Bongkar Pasang 17</v>
      </c>
      <c r="R1229" s="93" t="str">
        <f>VLOOKUP(E1229,DATABASE!C:Q,11,false)</f>
        <v>SERVICE</v>
      </c>
    </row>
    <row r="1230" ht="22.5" customHeight="1">
      <c r="A1230" s="49"/>
      <c r="C1230" s="384">
        <v>45728.0</v>
      </c>
      <c r="D1230" s="65">
        <v>4672.0</v>
      </c>
      <c r="E1230" s="445" t="s">
        <v>614</v>
      </c>
      <c r="F1230" s="386">
        <v>2.0</v>
      </c>
      <c r="G1230" s="74">
        <v>860000.0</v>
      </c>
      <c r="H1230" s="74">
        <v>0.0</v>
      </c>
      <c r="I1230" s="74">
        <f t="shared" si="1"/>
        <v>1720000</v>
      </c>
      <c r="J1230" s="74">
        <f>IF(E1230="SERVICE",I1230-(I1230*50%),Vlookup(E1230,DATABASE!C:Q,10,false)*F1230)</f>
        <v>0</v>
      </c>
      <c r="K1230" s="74">
        <f>VLOOKUP(E1230,DATABASE!C:Q,7,false)</f>
        <v>754660.6</v>
      </c>
      <c r="L1230" s="74">
        <v>766438.4</v>
      </c>
      <c r="M1230" s="74">
        <f t="shared" si="2"/>
        <v>770000</v>
      </c>
      <c r="N1230" s="74">
        <f t="shared" si="3"/>
        <v>180000</v>
      </c>
      <c r="O1230" s="65" t="str">
        <f>VLOOKUP(E1230,DATABASE!C:Q,8,false)</f>
        <v>IBU</v>
      </c>
      <c r="P1230" s="65">
        <f>VLOOKUP(E1230,DATABASE!C:Q,9,False)</f>
        <v>1</v>
      </c>
      <c r="Q1230" s="93" t="str">
        <f>VLOOKUP(E1230,DATABASE!C:Q,4,false)</f>
        <v>Bridgestone</v>
      </c>
      <c r="R1230" s="93" t="str">
        <f>VLOOKUP(E1230,DATABASE!C:Q,11,false)</f>
        <v>Tire</v>
      </c>
    </row>
    <row r="1231" ht="22.5" customHeight="1">
      <c r="A1231" s="49"/>
      <c r="C1231" s="384">
        <v>45728.0</v>
      </c>
      <c r="D1231" s="65">
        <v>4673.0</v>
      </c>
      <c r="E1231" s="445" t="s">
        <v>1084</v>
      </c>
      <c r="F1231" s="386">
        <v>1.0</v>
      </c>
      <c r="G1231" s="74">
        <v>1400000.0</v>
      </c>
      <c r="H1231" s="74">
        <v>0.0</v>
      </c>
      <c r="I1231" s="74">
        <f t="shared" si="1"/>
        <v>1400000</v>
      </c>
      <c r="J1231" s="74">
        <f>IF(E1231="SERVICE",I1231-(I1231*50%),Vlookup(E1231,DATABASE!C:Q,10,false)*F1231)</f>
        <v>0</v>
      </c>
      <c r="K1231" s="74">
        <f>VLOOKUP(E1231,DATABASE!C:Q,7,false)</f>
        <v>1285000</v>
      </c>
      <c r="L1231" s="74">
        <v>1285000.0</v>
      </c>
      <c r="M1231" s="74">
        <f t="shared" si="2"/>
        <v>1285000</v>
      </c>
      <c r="N1231" s="74">
        <f t="shared" si="3"/>
        <v>115000</v>
      </c>
      <c r="O1231" s="65" t="str">
        <f>VLOOKUP(E1231,DATABASE!C:Q,8,false)</f>
        <v>BIAN</v>
      </c>
      <c r="P1231" s="65">
        <f>VLOOKUP(E1231,DATABASE!C:Q,9,False)</f>
        <v>1</v>
      </c>
      <c r="Q1231" s="93" t="str">
        <f>VLOOKUP(E1231,DATABASE!C:Q,4,false)</f>
        <v>GT</v>
      </c>
      <c r="R1231" s="93" t="str">
        <f>VLOOKUP(E1231,DATABASE!C:Q,11,false)</f>
        <v>Tire</v>
      </c>
    </row>
    <row r="1232" ht="22.5" customHeight="1">
      <c r="A1232" s="49"/>
      <c r="C1232" s="384">
        <v>45728.0</v>
      </c>
      <c r="D1232" s="65">
        <v>4674.0</v>
      </c>
      <c r="E1232" s="445" t="s">
        <v>781</v>
      </c>
      <c r="F1232" s="386">
        <v>1.0</v>
      </c>
      <c r="G1232" s="74">
        <v>530000.0</v>
      </c>
      <c r="H1232" s="74">
        <v>0.0</v>
      </c>
      <c r="I1232" s="74">
        <f t="shared" si="1"/>
        <v>530000</v>
      </c>
      <c r="J1232" s="74">
        <f>IF(E1232="SERVICE",I1232-(I1232*50%),Vlookup(E1232,DATABASE!C:Q,10,false)*F1232)</f>
        <v>0</v>
      </c>
      <c r="K1232" s="74">
        <f>VLOOKUP(E1232,DATABASE!C:Q,7,false)</f>
        <v>470000</v>
      </c>
      <c r="L1232" s="74">
        <v>442500.0</v>
      </c>
      <c r="M1232" s="74">
        <f t="shared" si="2"/>
        <v>445000</v>
      </c>
      <c r="N1232" s="74">
        <f t="shared" si="3"/>
        <v>85000</v>
      </c>
      <c r="O1232" s="65" t="str">
        <f>VLOOKUP(E1232,DATABASE!C:Q,8,false)</f>
        <v>BIAN</v>
      </c>
      <c r="P1232" s="65">
        <f>VLOOKUP(E1232,DATABASE!C:Q,9,False)</f>
        <v>1</v>
      </c>
      <c r="Q1232" s="93" t="str">
        <f>VLOOKUP(E1232,DATABASE!C:Q,4,false)</f>
        <v>GT</v>
      </c>
      <c r="R1232" s="93" t="str">
        <f>VLOOKUP(E1232,DATABASE!C:Q,11,false)</f>
        <v>Tire</v>
      </c>
    </row>
    <row r="1233" ht="22.5" customHeight="1">
      <c r="A1233" s="49"/>
      <c r="C1233" s="384">
        <v>45728.0</v>
      </c>
      <c r="D1233" s="65">
        <v>4675.0</v>
      </c>
      <c r="E1233" s="445" t="s">
        <v>1570</v>
      </c>
      <c r="F1233" s="386">
        <v>2.0</v>
      </c>
      <c r="G1233" s="74">
        <v>1650000.0</v>
      </c>
      <c r="H1233" s="74">
        <v>0.0</v>
      </c>
      <c r="I1233" s="74">
        <f t="shared" si="1"/>
        <v>3300000</v>
      </c>
      <c r="J1233" s="74">
        <f>IF(E1233="SERVICE",I1233-(I1233*50%),Vlookup(E1233,DATABASE!C:Q,10,false)*F1233)</f>
        <v>0</v>
      </c>
      <c r="K1233" s="74">
        <f>VLOOKUP(E1233,DATABASE!C:Q,7,false)</f>
        <v>1550000</v>
      </c>
      <c r="L1233" s="74">
        <v>1550000.0</v>
      </c>
      <c r="M1233" s="74">
        <f t="shared" si="2"/>
        <v>1550000</v>
      </c>
      <c r="N1233" s="74">
        <f t="shared" si="3"/>
        <v>200000</v>
      </c>
      <c r="O1233" s="65" t="str">
        <f>VLOOKUP(E1233,DATABASE!C:Q,8,false)</f>
        <v>BIAN</v>
      </c>
      <c r="P1233" s="65">
        <f>VLOOKUP(E1233,DATABASE!C:Q,9,False)</f>
        <v>1</v>
      </c>
      <c r="Q1233" s="93" t="str">
        <f>VLOOKUP(E1233,DATABASE!C:Q,4,false)</f>
        <v>Michelin</v>
      </c>
      <c r="R1233" s="93" t="str">
        <f>VLOOKUP(E1233,DATABASE!C:Q,11,false)</f>
        <v>Tire</v>
      </c>
    </row>
    <row r="1234" ht="22.5" customHeight="1">
      <c r="A1234" s="49"/>
      <c r="C1234" s="384">
        <v>45729.0</v>
      </c>
      <c r="D1234" s="65">
        <v>4676.0</v>
      </c>
      <c r="E1234" s="445" t="s">
        <v>604</v>
      </c>
      <c r="F1234" s="386">
        <v>1.0</v>
      </c>
      <c r="G1234" s="74">
        <v>160000.0</v>
      </c>
      <c r="H1234" s="74">
        <v>0.0</v>
      </c>
      <c r="I1234" s="74">
        <f t="shared" si="1"/>
        <v>160000</v>
      </c>
      <c r="J1234" s="74">
        <f>IF(E1234="SERVICE",I1234-(I1234*50%),Vlookup(E1234,DATABASE!C:Q,10,false)*F1234)</f>
        <v>0</v>
      </c>
      <c r="K1234" s="74">
        <f>VLOOKUP(E1234,DATABASE!C:Q,7,false)</f>
        <v>124000</v>
      </c>
      <c r="L1234" s="74">
        <v>124000.0</v>
      </c>
      <c r="M1234" s="74">
        <f t="shared" si="2"/>
        <v>125000</v>
      </c>
      <c r="N1234" s="74">
        <f t="shared" si="3"/>
        <v>35000</v>
      </c>
      <c r="O1234" s="65" t="str">
        <f>VLOOKUP(E1234,DATABASE!C:Q,8,false)</f>
        <v>BIAN</v>
      </c>
      <c r="P1234" s="65">
        <f>VLOOKUP(E1234,DATABASE!C:Q,9,False)</f>
        <v>1</v>
      </c>
      <c r="Q1234" s="93" t="str">
        <f>VLOOKUP(E1234,DATABASE!C:Q,4,false)</f>
        <v>BD</v>
      </c>
      <c r="R1234" s="93" t="str">
        <f>VLOOKUP(E1234,DATABASE!C:Q,11,false)</f>
        <v>Tire</v>
      </c>
    </row>
    <row r="1235" ht="22.5" customHeight="1">
      <c r="A1235" s="49"/>
      <c r="C1235" s="384">
        <v>45729.0</v>
      </c>
      <c r="D1235" s="65">
        <v>4677.0</v>
      </c>
      <c r="E1235" s="445" t="s">
        <v>294</v>
      </c>
      <c r="F1235" s="386">
        <v>2.0</v>
      </c>
      <c r="G1235" s="74">
        <v>570000.0</v>
      </c>
      <c r="H1235" s="74">
        <v>0.0</v>
      </c>
      <c r="I1235" s="74">
        <f t="shared" si="1"/>
        <v>1140000</v>
      </c>
      <c r="J1235" s="74">
        <f>IF(E1235="SERVICE",I1235-(I1235*50%),Vlookup(E1235,DATABASE!C:Q,10,false)*F1235)</f>
        <v>0</v>
      </c>
      <c r="K1235" s="74">
        <f>VLOOKUP(E1235,DATABASE!C:Q,7,false)</f>
        <v>505000</v>
      </c>
      <c r="L1235" s="74">
        <v>490000.0</v>
      </c>
      <c r="M1235" s="74">
        <f t="shared" si="2"/>
        <v>490000</v>
      </c>
      <c r="N1235" s="74">
        <f t="shared" si="3"/>
        <v>160000</v>
      </c>
      <c r="O1235" s="65" t="str">
        <f>VLOOKUP(E1235,DATABASE!C:Q,8,false)</f>
        <v>BIAN</v>
      </c>
      <c r="P1235" s="65">
        <f>VLOOKUP(E1235,DATABASE!C:Q,9,False)</f>
        <v>1</v>
      </c>
      <c r="Q1235" s="93" t="str">
        <f>VLOOKUP(E1235,DATABASE!C:Q,4,false)</f>
        <v>GT</v>
      </c>
      <c r="R1235" s="93" t="str">
        <f>VLOOKUP(E1235,DATABASE!C:Q,11,false)</f>
        <v>Tire</v>
      </c>
    </row>
    <row r="1236" ht="22.5" customHeight="1">
      <c r="A1236" s="49"/>
      <c r="C1236" s="384">
        <v>45729.0</v>
      </c>
      <c r="D1236" s="65">
        <v>4678.0</v>
      </c>
      <c r="E1236" s="445" t="s">
        <v>287</v>
      </c>
      <c r="F1236" s="386">
        <v>2.0</v>
      </c>
      <c r="G1236" s="74">
        <v>780000.0</v>
      </c>
      <c r="H1236" s="74">
        <v>0.0</v>
      </c>
      <c r="I1236" s="74">
        <f t="shared" si="1"/>
        <v>1560000</v>
      </c>
      <c r="J1236" s="74">
        <f>IF(E1236="SERVICE",I1236-(I1236*50%),Vlookup(E1236,DATABASE!C:Q,10,false)*F1236)</f>
        <v>0</v>
      </c>
      <c r="K1236" s="74">
        <f>VLOOKUP(E1236,DATABASE!C:Q,7,false)</f>
        <v>711000</v>
      </c>
      <c r="L1236" s="74">
        <v>690600.0</v>
      </c>
      <c r="M1236" s="74">
        <f t="shared" si="2"/>
        <v>695000</v>
      </c>
      <c r="N1236" s="74">
        <f t="shared" si="3"/>
        <v>170000</v>
      </c>
      <c r="O1236" s="65" t="str">
        <f>VLOOKUP(E1236,DATABASE!C:Q,8,false)</f>
        <v>BIAN</v>
      </c>
      <c r="P1236" s="65">
        <f>VLOOKUP(E1236,DATABASE!C:Q,9,False)</f>
        <v>1</v>
      </c>
      <c r="Q1236" s="93" t="str">
        <f>VLOOKUP(E1236,DATABASE!C:Q,4,false)</f>
        <v>GT</v>
      </c>
      <c r="R1236" s="93" t="str">
        <f>VLOOKUP(E1236,DATABASE!C:Q,11,false)</f>
        <v>Tire</v>
      </c>
    </row>
    <row r="1237" ht="22.5" customHeight="1">
      <c r="A1237" s="49"/>
      <c r="C1237" s="384">
        <v>45729.0</v>
      </c>
      <c r="D1237" s="65">
        <v>4678.0</v>
      </c>
      <c r="E1237" s="445" t="s">
        <v>256</v>
      </c>
      <c r="F1237" s="386">
        <v>1.0</v>
      </c>
      <c r="G1237" s="74">
        <v>130000.0</v>
      </c>
      <c r="H1237" s="74">
        <v>0.0</v>
      </c>
      <c r="I1237" s="74">
        <f t="shared" si="1"/>
        <v>130000</v>
      </c>
      <c r="J1237" s="74">
        <f>IF(E1237="SERVICE",I1237-(I1237*50%),Vlookup(E1237,DATABASE!C:Q,10,false)*F1237)</f>
        <v>10000</v>
      </c>
      <c r="K1237" s="74">
        <f>VLOOKUP(E1237,DATABASE!C:Q,7,false)</f>
        <v>0</v>
      </c>
      <c r="L1237" s="74">
        <v>0.0</v>
      </c>
      <c r="M1237" s="74">
        <f t="shared" si="2"/>
        <v>0</v>
      </c>
      <c r="N1237" s="74">
        <f t="shared" si="3"/>
        <v>120000</v>
      </c>
      <c r="O1237" s="65" t="str">
        <f>VLOOKUP(E1237,DATABASE!C:Q,8,false)</f>
        <v>IBU</v>
      </c>
      <c r="P1237" s="65">
        <f>VLOOKUP(E1237,DATABASE!C:Q,9,False)</f>
        <v>0</v>
      </c>
      <c r="Q1237" s="93" t="str">
        <f>VLOOKUP(E1237,DATABASE!C:Q,4,false)</f>
        <v>SPOORING</v>
      </c>
      <c r="R1237" s="93" t="str">
        <f>VLOOKUP(E1237,DATABASE!C:Q,11,false)</f>
        <v>SERVICE</v>
      </c>
    </row>
    <row r="1238" ht="22.5" customHeight="1">
      <c r="A1238" s="49"/>
      <c r="C1238" s="384">
        <v>45729.0</v>
      </c>
      <c r="D1238" s="65">
        <v>4678.0</v>
      </c>
      <c r="E1238" s="445" t="s">
        <v>301</v>
      </c>
      <c r="F1238" s="386">
        <v>1.0</v>
      </c>
      <c r="G1238" s="74">
        <v>250000.0</v>
      </c>
      <c r="H1238" s="74">
        <v>0.0</v>
      </c>
      <c r="I1238" s="74">
        <f t="shared" si="1"/>
        <v>250000</v>
      </c>
      <c r="J1238" s="74">
        <f>IF(E1238="SERVICE",I1238-(I1238*50%),Vlookup(E1238,DATABASE!C:Q,10,false)*F1238)</f>
        <v>75000</v>
      </c>
      <c r="K1238" s="74">
        <f>VLOOKUP(E1238,DATABASE!C:Q,7,false)</f>
        <v>75000</v>
      </c>
      <c r="L1238" s="74">
        <v>75000.0</v>
      </c>
      <c r="M1238" s="74">
        <f t="shared" si="2"/>
        <v>75000</v>
      </c>
      <c r="N1238" s="74">
        <f t="shared" si="3"/>
        <v>100000</v>
      </c>
      <c r="O1238" s="65" t="str">
        <f>VLOOKUP(E1238,DATABASE!C:Q,8,false)</f>
        <v>BIAN</v>
      </c>
      <c r="P1238" s="65">
        <f>VLOOKUP(E1238,DATABASE!C:Q,9,False)</f>
        <v>0</v>
      </c>
      <c r="Q1238" s="93" t="str">
        <f>VLOOKUP(E1238,DATABASE!C:Q,4,false)</f>
        <v>Baut Camber</v>
      </c>
      <c r="R1238" s="93" t="str">
        <f>VLOOKUP(E1238,DATABASE!C:Q,11,false)</f>
        <v>COMPLEMENTARY</v>
      </c>
    </row>
    <row r="1239" ht="22.5" customHeight="1">
      <c r="A1239" s="49"/>
      <c r="C1239" s="384">
        <v>45729.0</v>
      </c>
      <c r="D1239" s="65">
        <v>4679.0</v>
      </c>
      <c r="E1239" s="445" t="s">
        <v>777</v>
      </c>
      <c r="F1239" s="386">
        <v>2.0</v>
      </c>
      <c r="G1239" s="74">
        <v>585000.0</v>
      </c>
      <c r="H1239" s="74">
        <v>0.0</v>
      </c>
      <c r="I1239" s="74">
        <f t="shared" si="1"/>
        <v>1170000</v>
      </c>
      <c r="J1239" s="74">
        <f>IF(E1239="SERVICE",I1239-(I1239*50%),Vlookup(E1239,DATABASE!C:Q,10,false)*F1239)</f>
        <v>0</v>
      </c>
      <c r="K1239" s="74">
        <f>VLOOKUP(E1239,DATABASE!C:Q,7,false)</f>
        <v>540000</v>
      </c>
      <c r="L1239" s="74">
        <v>507000.0</v>
      </c>
      <c r="M1239" s="74">
        <f t="shared" si="2"/>
        <v>510000</v>
      </c>
      <c r="N1239" s="74">
        <f t="shared" si="3"/>
        <v>150000</v>
      </c>
      <c r="O1239" s="65" t="str">
        <f>VLOOKUP(E1239,DATABASE!C:Q,8,false)</f>
        <v>BIAN</v>
      </c>
      <c r="P1239" s="65">
        <f>VLOOKUP(E1239,DATABASE!C:Q,9,False)</f>
        <v>1</v>
      </c>
      <c r="Q1239" s="93" t="str">
        <f>VLOOKUP(E1239,DATABASE!C:Q,4,false)</f>
        <v>GT</v>
      </c>
      <c r="R1239" s="93" t="str">
        <f>VLOOKUP(E1239,DATABASE!C:Q,11,false)</f>
        <v>Tire</v>
      </c>
    </row>
    <row r="1240" ht="22.5" customHeight="1">
      <c r="A1240" s="49"/>
      <c r="C1240" s="384">
        <v>45729.0</v>
      </c>
      <c r="D1240" s="65">
        <v>4680.0</v>
      </c>
      <c r="E1240" s="445" t="s">
        <v>605</v>
      </c>
      <c r="F1240" s="386">
        <v>4.0</v>
      </c>
      <c r="G1240" s="74">
        <v>760000.0</v>
      </c>
      <c r="H1240" s="74">
        <v>0.0</v>
      </c>
      <c r="I1240" s="74">
        <f t="shared" si="1"/>
        <v>3040000</v>
      </c>
      <c r="J1240" s="74">
        <f>IF(E1240="SERVICE",I1240-(I1240*50%),Vlookup(E1240,DATABASE!C:Q,10,false)*F1240)</f>
        <v>0</v>
      </c>
      <c r="K1240" s="74">
        <v>670000.0</v>
      </c>
      <c r="L1240" s="74">
        <v>670000.0</v>
      </c>
      <c r="M1240" s="74">
        <f t="shared" si="2"/>
        <v>670000</v>
      </c>
      <c r="N1240" s="74">
        <f t="shared" si="3"/>
        <v>360000</v>
      </c>
      <c r="O1240" s="65" t="str">
        <f>VLOOKUP(E1240,DATABASE!C:Q,8,false)</f>
        <v>IBU</v>
      </c>
      <c r="P1240" s="65">
        <f>VLOOKUP(E1240,DATABASE!C:Q,9,False)</f>
        <v>1</v>
      </c>
      <c r="Q1240" s="93" t="str">
        <f>VLOOKUP(E1240,DATABASE!C:Q,4,false)</f>
        <v>Bridgestone</v>
      </c>
      <c r="R1240" s="93" t="str">
        <f>VLOOKUP(E1240,DATABASE!C:Q,11,false)</f>
        <v>Tire</v>
      </c>
    </row>
    <row r="1241" ht="22.5" customHeight="1">
      <c r="A1241" s="49"/>
      <c r="C1241" s="384">
        <v>45729.0</v>
      </c>
      <c r="D1241" s="65">
        <v>4681.0</v>
      </c>
      <c r="E1241" s="445" t="s">
        <v>271</v>
      </c>
      <c r="F1241" s="386">
        <v>1.0</v>
      </c>
      <c r="G1241" s="74">
        <v>635000.0</v>
      </c>
      <c r="H1241" s="74">
        <v>0.0</v>
      </c>
      <c r="I1241" s="74">
        <f t="shared" si="1"/>
        <v>635000</v>
      </c>
      <c r="J1241" s="74">
        <f>IF(E1241="SERVICE",I1241-(I1241*50%),Vlookup(E1241,DATABASE!C:Q,10,false)*F1241)</f>
        <v>0</v>
      </c>
      <c r="K1241" s="74">
        <f>VLOOKUP(E1241,DATABASE!C:Q,7,false)</f>
        <v>570000</v>
      </c>
      <c r="L1241" s="74">
        <v>539000.0</v>
      </c>
      <c r="M1241" s="74">
        <f t="shared" si="2"/>
        <v>540000</v>
      </c>
      <c r="N1241" s="74">
        <f t="shared" si="3"/>
        <v>95000</v>
      </c>
      <c r="O1241" s="65" t="str">
        <f>VLOOKUP(E1241,DATABASE!C:Q,8,false)</f>
        <v>IBU</v>
      </c>
      <c r="P1241" s="65">
        <f>VLOOKUP(E1241,DATABASE!C:Q,9,False)</f>
        <v>1</v>
      </c>
      <c r="Q1241" s="93" t="str">
        <f>VLOOKUP(E1241,DATABASE!C:Q,4,false)</f>
        <v>Dunlop</v>
      </c>
      <c r="R1241" s="93" t="str">
        <f>VLOOKUP(E1241,DATABASE!C:Q,11,false)</f>
        <v>Tire</v>
      </c>
    </row>
    <row r="1242" ht="22.5" customHeight="1">
      <c r="A1242" s="49"/>
      <c r="C1242" s="384">
        <v>45729.0</v>
      </c>
      <c r="D1242" s="65">
        <v>4682.0</v>
      </c>
      <c r="E1242" s="445" t="s">
        <v>1301</v>
      </c>
      <c r="F1242" s="386">
        <v>1.0</v>
      </c>
      <c r="G1242" s="74">
        <v>1270000.0</v>
      </c>
      <c r="H1242" s="74">
        <v>0.0</v>
      </c>
      <c r="I1242" s="74">
        <f t="shared" si="1"/>
        <v>1270000</v>
      </c>
      <c r="J1242" s="74">
        <f>IF(E1242="SERVICE",I1242-(I1242*50%),Vlookup(E1242,DATABASE!C:Q,10,false)*F1242)</f>
        <v>0</v>
      </c>
      <c r="K1242" s="74">
        <f>VLOOKUP(E1242,DATABASE!C:Q,7,false)</f>
        <v>1194000</v>
      </c>
      <c r="L1242" s="74">
        <v>1182000.0</v>
      </c>
      <c r="M1242" s="74">
        <f t="shared" si="2"/>
        <v>1185000</v>
      </c>
      <c r="N1242" s="74">
        <f t="shared" si="3"/>
        <v>85000</v>
      </c>
      <c r="O1242" s="65" t="str">
        <f>VLOOKUP(E1242,DATABASE!C:Q,8,false)</f>
        <v>IBU</v>
      </c>
      <c r="P1242" s="65">
        <f>VLOOKUP(E1242,DATABASE!C:Q,9,False)</f>
        <v>1</v>
      </c>
      <c r="Q1242" s="93" t="str">
        <f>VLOOKUP(E1242,DATABASE!C:Q,4,false)</f>
        <v>Dunlop</v>
      </c>
      <c r="R1242" s="93" t="str">
        <f>VLOOKUP(E1242,DATABASE!C:Q,11,false)</f>
        <v>Tire</v>
      </c>
    </row>
    <row r="1243" ht="22.5" customHeight="1">
      <c r="A1243" s="49"/>
      <c r="C1243" s="384">
        <v>45729.0</v>
      </c>
      <c r="D1243" s="65">
        <v>4683.0</v>
      </c>
      <c r="E1243" s="445" t="s">
        <v>271</v>
      </c>
      <c r="F1243" s="386">
        <v>2.0</v>
      </c>
      <c r="G1243" s="74">
        <v>635000.0</v>
      </c>
      <c r="H1243" s="74">
        <v>0.0</v>
      </c>
      <c r="I1243" s="74">
        <f t="shared" si="1"/>
        <v>1270000</v>
      </c>
      <c r="J1243" s="74">
        <f>IF(E1243="SERVICE",I1243-(I1243*50%),Vlookup(E1243,DATABASE!C:Q,10,false)*F1243)</f>
        <v>0</v>
      </c>
      <c r="K1243" s="74">
        <f>VLOOKUP(E1243,DATABASE!C:Q,7,false)</f>
        <v>570000</v>
      </c>
      <c r="L1243" s="74">
        <v>539000.0</v>
      </c>
      <c r="M1243" s="74">
        <f t="shared" si="2"/>
        <v>540000</v>
      </c>
      <c r="N1243" s="74">
        <f t="shared" si="3"/>
        <v>190000</v>
      </c>
      <c r="O1243" s="65" t="str">
        <f>VLOOKUP(E1243,DATABASE!C:Q,8,false)</f>
        <v>IBU</v>
      </c>
      <c r="P1243" s="65">
        <f>VLOOKUP(E1243,DATABASE!C:Q,9,False)</f>
        <v>1</v>
      </c>
      <c r="Q1243" s="93" t="str">
        <f>VLOOKUP(E1243,DATABASE!C:Q,4,false)</f>
        <v>Dunlop</v>
      </c>
      <c r="R1243" s="93" t="str">
        <f>VLOOKUP(E1243,DATABASE!C:Q,11,false)</f>
        <v>Tire</v>
      </c>
    </row>
    <row r="1244" ht="22.5" customHeight="1">
      <c r="A1244" s="49"/>
      <c r="C1244" s="384">
        <v>45729.0</v>
      </c>
      <c r="D1244" s="65">
        <v>4684.0</v>
      </c>
      <c r="E1244" s="445" t="s">
        <v>262</v>
      </c>
      <c r="F1244" s="386">
        <v>1.0</v>
      </c>
      <c r="G1244" s="74">
        <v>110000.0</v>
      </c>
      <c r="H1244" s="74">
        <v>0.0</v>
      </c>
      <c r="I1244" s="74">
        <f t="shared" si="1"/>
        <v>110000</v>
      </c>
      <c r="J1244" s="74">
        <f>IF(E1244="SERVICE",I1244-(I1244*50%),Vlookup(E1244,DATABASE!C:Q,10,false)*F1244)</f>
        <v>5000</v>
      </c>
      <c r="K1244" s="74">
        <f>VLOOKUP(E1244,DATABASE!C:Q,7,false)</f>
        <v>0</v>
      </c>
      <c r="L1244" s="74">
        <v>0.0</v>
      </c>
      <c r="M1244" s="74">
        <f t="shared" si="2"/>
        <v>0</v>
      </c>
      <c r="N1244" s="74">
        <f t="shared" si="3"/>
        <v>105000</v>
      </c>
      <c r="O1244" s="65" t="str">
        <f>VLOOKUP(E1244,DATABASE!C:Q,8,false)</f>
        <v>IBU</v>
      </c>
      <c r="P1244" s="65">
        <f>VLOOKUP(E1244,DATABASE!C:Q,9,False)</f>
        <v>0</v>
      </c>
      <c r="Q1244" s="93" t="str">
        <f>VLOOKUP(E1244,DATABASE!C:Q,4,false)</f>
        <v>SPOORING SS/CARRY LOS BAK</v>
      </c>
      <c r="R1244" s="93" t="str">
        <f>VLOOKUP(E1244,DATABASE!C:Q,11,false)</f>
        <v>SERVICE</v>
      </c>
    </row>
    <row r="1245" ht="22.5" customHeight="1">
      <c r="A1245" s="49"/>
      <c r="C1245" s="384">
        <v>45729.0</v>
      </c>
      <c r="D1245" s="65">
        <v>4685.0</v>
      </c>
      <c r="E1245" s="445" t="s">
        <v>839</v>
      </c>
      <c r="F1245" s="386">
        <v>1.0</v>
      </c>
      <c r="G1245" s="74">
        <v>560000.0</v>
      </c>
      <c r="H1245" s="74">
        <v>0.0</v>
      </c>
      <c r="I1245" s="74">
        <f t="shared" si="1"/>
        <v>560000</v>
      </c>
      <c r="J1245" s="74">
        <f>IF(E1245="SERVICE",I1245-(I1245*50%),Vlookup(E1245,DATABASE!C:Q,10,false)*F1245)</f>
        <v>0</v>
      </c>
      <c r="K1245" s="74">
        <f>VLOOKUP(E1245,DATABASE!C:Q,7,false)</f>
        <v>512640</v>
      </c>
      <c r="L1245" s="74">
        <v>475700.0</v>
      </c>
      <c r="M1245" s="74">
        <f t="shared" si="2"/>
        <v>480000</v>
      </c>
      <c r="N1245" s="74">
        <f t="shared" si="3"/>
        <v>80000</v>
      </c>
      <c r="O1245" s="65" t="str">
        <f>VLOOKUP(E1245,DATABASE!C:Q,8,false)</f>
        <v>BIAN</v>
      </c>
      <c r="P1245" s="65">
        <f>VLOOKUP(E1245,DATABASE!C:Q,9,False)</f>
        <v>1</v>
      </c>
      <c r="Q1245" s="93" t="str">
        <f>VLOOKUP(E1245,DATABASE!C:Q,4,false)</f>
        <v>GT</v>
      </c>
      <c r="R1245" s="93" t="str">
        <f>VLOOKUP(E1245,DATABASE!C:Q,11,false)</f>
        <v>Tire</v>
      </c>
    </row>
    <row r="1246" ht="22.5" customHeight="1">
      <c r="A1246" s="49"/>
      <c r="C1246" s="384">
        <v>45729.0</v>
      </c>
      <c r="D1246" s="65">
        <v>4686.0</v>
      </c>
      <c r="E1246" s="445" t="s">
        <v>1033</v>
      </c>
      <c r="F1246" s="386">
        <v>1.0</v>
      </c>
      <c r="G1246" s="74">
        <v>760000.0</v>
      </c>
      <c r="H1246" s="74">
        <v>0.0</v>
      </c>
      <c r="I1246" s="74">
        <f t="shared" si="1"/>
        <v>760000</v>
      </c>
      <c r="J1246" s="74">
        <f>IF(E1246="SERVICE",I1246-(I1246*50%),Vlookup(E1246,DATABASE!C:Q,10,false)*F1246)</f>
        <v>0</v>
      </c>
      <c r="K1246" s="74">
        <f>VLOOKUP(E1246,DATABASE!C:Q,7,false)</f>
        <v>680512</v>
      </c>
      <c r="L1246" s="74">
        <v>660000.0</v>
      </c>
      <c r="M1246" s="74">
        <f t="shared" si="2"/>
        <v>660000</v>
      </c>
      <c r="N1246" s="74">
        <f t="shared" si="3"/>
        <v>100000</v>
      </c>
      <c r="O1246" s="65" t="str">
        <f>VLOOKUP(E1246,DATABASE!C:Q,8,false)</f>
        <v>IBU</v>
      </c>
      <c r="P1246" s="65">
        <f>VLOOKUP(E1246,DATABASE!C:Q,9,False)</f>
        <v>1</v>
      </c>
      <c r="Q1246" s="93" t="str">
        <f>VLOOKUP(E1246,DATABASE!C:Q,4,false)</f>
        <v>Bridgestone</v>
      </c>
      <c r="R1246" s="93" t="str">
        <f>VLOOKUP(E1246,DATABASE!C:Q,11,false)</f>
        <v>Tire</v>
      </c>
    </row>
    <row r="1247" ht="22.5" customHeight="1">
      <c r="A1247" s="49"/>
      <c r="C1247" s="384">
        <v>45729.0</v>
      </c>
      <c r="D1247" s="65">
        <v>4688.0</v>
      </c>
      <c r="E1247" s="445" t="s">
        <v>569</v>
      </c>
      <c r="F1247" s="386">
        <v>12.0</v>
      </c>
      <c r="G1247" s="74">
        <v>75000.0</v>
      </c>
      <c r="H1247" s="74">
        <v>0.0</v>
      </c>
      <c r="I1247" s="74">
        <f t="shared" si="1"/>
        <v>900000</v>
      </c>
      <c r="J1247" s="74">
        <f>IF(E1247="SERVICE",I1247-(I1247*50%),Vlookup(E1247,DATABASE!C:Q,10,false)*F1247)</f>
        <v>0</v>
      </c>
      <c r="K1247" s="74">
        <f>VLOOKUP(E1247,DATABASE!C:Q,7,false)</f>
        <v>45439.582</v>
      </c>
      <c r="L1247" s="74">
        <v>45309.6</v>
      </c>
      <c r="M1247" s="74">
        <f t="shared" si="2"/>
        <v>50000</v>
      </c>
      <c r="N1247" s="74">
        <f t="shared" si="3"/>
        <v>300000</v>
      </c>
      <c r="O1247" s="65" t="str">
        <f>VLOOKUP(E1247,DATABASE!C:Q,8,false)</f>
        <v>BIAN</v>
      </c>
      <c r="P1247" s="65">
        <f>VLOOKUP(E1247,DATABASE!C:Q,9,False)</f>
        <v>1</v>
      </c>
      <c r="Q1247" s="93" t="str">
        <f>VLOOKUP(E1247,DATABASE!C:Q,4,false)</f>
        <v>BD</v>
      </c>
      <c r="R1247" s="93" t="str">
        <f>VLOOKUP(E1247,DATABASE!C:Q,11,false)</f>
        <v>Tire</v>
      </c>
    </row>
    <row r="1248" ht="22.5" customHeight="1">
      <c r="A1248" s="49"/>
      <c r="C1248" s="384">
        <v>45729.0</v>
      </c>
      <c r="D1248" s="65">
        <v>4688.0</v>
      </c>
      <c r="E1248" s="445" t="s">
        <v>712</v>
      </c>
      <c r="F1248" s="386">
        <v>4.0</v>
      </c>
      <c r="G1248" s="74">
        <v>140000.0</v>
      </c>
      <c r="H1248" s="74">
        <v>0.0</v>
      </c>
      <c r="I1248" s="74">
        <f t="shared" si="1"/>
        <v>560000</v>
      </c>
      <c r="J1248" s="74">
        <f>IF(E1248="SERVICE",I1248-(I1248*50%),Vlookup(E1248,DATABASE!C:Q,10,false)*F1248)</f>
        <v>0</v>
      </c>
      <c r="K1248" s="74">
        <f>VLOOKUP(E1248,DATABASE!C:Q,7,false)</f>
        <v>120960</v>
      </c>
      <c r="L1248" s="74">
        <v>120960.0</v>
      </c>
      <c r="M1248" s="74">
        <f t="shared" si="2"/>
        <v>125000</v>
      </c>
      <c r="N1248" s="74">
        <f t="shared" si="3"/>
        <v>60000</v>
      </c>
      <c r="O1248" s="65" t="str">
        <f>VLOOKUP(E1248,DATABASE!C:Q,8,false)</f>
        <v>BIAN</v>
      </c>
      <c r="P1248" s="65">
        <f>VLOOKUP(E1248,DATABASE!C:Q,9,False)</f>
        <v>1</v>
      </c>
      <c r="Q1248" s="93" t="str">
        <f>VLOOKUP(E1248,DATABASE!C:Q,4,false)</f>
        <v>BD</v>
      </c>
      <c r="R1248" s="93" t="str">
        <f>VLOOKUP(E1248,DATABASE!C:Q,11,false)</f>
        <v>Tire</v>
      </c>
    </row>
    <row r="1249" ht="22.5" customHeight="1">
      <c r="A1249" s="49"/>
      <c r="C1249" s="384">
        <v>45729.0</v>
      </c>
      <c r="D1249" s="65">
        <v>4688.0</v>
      </c>
      <c r="E1249" s="445" t="s">
        <v>770</v>
      </c>
      <c r="F1249" s="386">
        <v>8.0</v>
      </c>
      <c r="G1249" s="74">
        <v>170000.0</v>
      </c>
      <c r="H1249" s="74">
        <v>0.0</v>
      </c>
      <c r="I1249" s="74">
        <f t="shared" si="1"/>
        <v>1360000</v>
      </c>
      <c r="J1249" s="74">
        <f>IF(E1249="SERVICE",I1249-(I1249*50%),Vlookup(E1249,DATABASE!C:Q,10,false)*F1249)</f>
        <v>0</v>
      </c>
      <c r="K1249" s="74">
        <f>VLOOKUP(E1249,DATABASE!C:Q,7,false)</f>
        <v>145180</v>
      </c>
      <c r="L1249" s="74">
        <v>145180.0</v>
      </c>
      <c r="M1249" s="74">
        <f t="shared" si="2"/>
        <v>150000</v>
      </c>
      <c r="N1249" s="74">
        <f t="shared" si="3"/>
        <v>160000</v>
      </c>
      <c r="O1249" s="65" t="str">
        <f>VLOOKUP(E1249,DATABASE!C:Q,8,false)</f>
        <v>BIAN</v>
      </c>
      <c r="P1249" s="65">
        <f>VLOOKUP(E1249,DATABASE!C:Q,9,False)</f>
        <v>1</v>
      </c>
      <c r="Q1249" s="93" t="str">
        <f>VLOOKUP(E1249,DATABASE!C:Q,4,false)</f>
        <v>BD</v>
      </c>
      <c r="R1249" s="93" t="str">
        <f>VLOOKUP(E1249,DATABASE!C:Q,11,false)</f>
        <v>Tire</v>
      </c>
    </row>
    <row r="1250" ht="22.5" customHeight="1">
      <c r="A1250" s="49"/>
      <c r="C1250" s="384">
        <v>45730.0</v>
      </c>
      <c r="D1250" s="65">
        <v>4690.0</v>
      </c>
      <c r="E1250" s="445" t="s">
        <v>265</v>
      </c>
      <c r="F1250" s="386">
        <v>1.0</v>
      </c>
      <c r="G1250" s="74">
        <v>670000.0</v>
      </c>
      <c r="H1250" s="74">
        <v>0.0</v>
      </c>
      <c r="I1250" s="74">
        <f t="shared" si="1"/>
        <v>670000</v>
      </c>
      <c r="J1250" s="74">
        <f>IF(E1250="SERVICE",I1250-(I1250*50%),Vlookup(E1250,DATABASE!C:Q,10,false)*F1250)</f>
        <v>0</v>
      </c>
      <c r="K1250" s="74">
        <v>590000.0</v>
      </c>
      <c r="L1250" s="74">
        <v>590000.0</v>
      </c>
      <c r="M1250" s="74">
        <f t="shared" si="2"/>
        <v>590000</v>
      </c>
      <c r="N1250" s="74">
        <f t="shared" si="3"/>
        <v>80000</v>
      </c>
      <c r="O1250" s="65" t="str">
        <f>VLOOKUP(E1250,DATABASE!C:Q,8,false)</f>
        <v>IBU</v>
      </c>
      <c r="P1250" s="65">
        <f>VLOOKUP(E1250,DATABASE!C:Q,9,False)</f>
        <v>1</v>
      </c>
      <c r="Q1250" s="93" t="str">
        <f>VLOOKUP(E1250,DATABASE!C:Q,4,false)</f>
        <v>Dunlop</v>
      </c>
      <c r="R1250" s="93" t="str">
        <f>VLOOKUP(E1250,DATABASE!C:Q,11,false)</f>
        <v>Tire</v>
      </c>
    </row>
    <row r="1251" ht="22.5" customHeight="1">
      <c r="A1251" s="49"/>
      <c r="C1251" s="384">
        <v>45730.0</v>
      </c>
      <c r="D1251" s="65">
        <v>4691.0</v>
      </c>
      <c r="E1251" s="445" t="s">
        <v>932</v>
      </c>
      <c r="F1251" s="386">
        <v>2.0</v>
      </c>
      <c r="G1251" s="74">
        <v>670000.0</v>
      </c>
      <c r="H1251" s="74">
        <v>0.0</v>
      </c>
      <c r="I1251" s="74">
        <f t="shared" si="1"/>
        <v>1340000</v>
      </c>
      <c r="J1251" s="74">
        <f>IF(E1251="SERVICE",I1251-(I1251*50%),Vlookup(E1251,DATABASE!C:Q,10,false)*F1251)</f>
        <v>0</v>
      </c>
      <c r="K1251" s="74">
        <v>575000.0</v>
      </c>
      <c r="L1251" s="74">
        <v>575000.0</v>
      </c>
      <c r="M1251" s="74">
        <f t="shared" si="2"/>
        <v>575000</v>
      </c>
      <c r="N1251" s="74">
        <f t="shared" si="3"/>
        <v>190000</v>
      </c>
      <c r="O1251" s="65" t="str">
        <f>VLOOKUP(E1251,DATABASE!C:Q,8,false)</f>
        <v>IBU</v>
      </c>
      <c r="P1251" s="65">
        <f>VLOOKUP(E1251,DATABASE!C:Q,9,False)</f>
        <v>1</v>
      </c>
      <c r="Q1251" s="93" t="str">
        <f>VLOOKUP(E1251,DATABASE!C:Q,4,false)</f>
        <v>Dunlop</v>
      </c>
      <c r="R1251" s="93" t="str">
        <f>VLOOKUP(E1251,DATABASE!C:Q,11,false)</f>
        <v>Tire</v>
      </c>
    </row>
    <row r="1252" ht="22.5" customHeight="1">
      <c r="A1252" s="49"/>
      <c r="C1252" s="384">
        <v>45730.0</v>
      </c>
      <c r="D1252" s="65">
        <v>4693.0</v>
      </c>
      <c r="E1252" s="445" t="s">
        <v>256</v>
      </c>
      <c r="F1252" s="386">
        <v>1.0</v>
      </c>
      <c r="G1252" s="74">
        <v>150000.0</v>
      </c>
      <c r="H1252" s="74">
        <v>0.0</v>
      </c>
      <c r="I1252" s="74">
        <f t="shared" si="1"/>
        <v>150000</v>
      </c>
      <c r="J1252" s="74">
        <f>IF(E1252="SERVICE",I1252-(I1252*50%),Vlookup(E1252,DATABASE!C:Q,10,false)*F1252)</f>
        <v>10000</v>
      </c>
      <c r="K1252" s="74">
        <f>VLOOKUP(E1252,DATABASE!C:Q,7,false)</f>
        <v>0</v>
      </c>
      <c r="L1252" s="74">
        <v>0.0</v>
      </c>
      <c r="M1252" s="74">
        <f t="shared" si="2"/>
        <v>0</v>
      </c>
      <c r="N1252" s="74">
        <f t="shared" si="3"/>
        <v>140000</v>
      </c>
      <c r="O1252" s="65" t="str">
        <f>VLOOKUP(E1252,DATABASE!C:Q,8,false)</f>
        <v>IBU</v>
      </c>
      <c r="P1252" s="65">
        <f>VLOOKUP(E1252,DATABASE!C:Q,9,False)</f>
        <v>0</v>
      </c>
      <c r="Q1252" s="93" t="str">
        <f>VLOOKUP(E1252,DATABASE!C:Q,4,false)</f>
        <v>SPOORING</v>
      </c>
      <c r="R1252" s="93" t="str">
        <f>VLOOKUP(E1252,DATABASE!C:Q,11,false)</f>
        <v>SERVICE</v>
      </c>
    </row>
    <row r="1253" ht="22.5" customHeight="1">
      <c r="A1253" s="49"/>
      <c r="C1253" s="384">
        <v>45730.0</v>
      </c>
      <c r="D1253" s="65">
        <v>4694.0</v>
      </c>
      <c r="E1253" s="445" t="s">
        <v>1301</v>
      </c>
      <c r="F1253" s="386">
        <v>2.0</v>
      </c>
      <c r="G1253" s="74">
        <v>1170000.0</v>
      </c>
      <c r="H1253" s="74">
        <v>0.0</v>
      </c>
      <c r="I1253" s="74">
        <f t="shared" si="1"/>
        <v>2340000</v>
      </c>
      <c r="J1253" s="74">
        <f>IF(E1253="SERVICE",I1253-(I1253*50%),Vlookup(E1253,DATABASE!C:Q,10,false)*F1253)</f>
        <v>0</v>
      </c>
      <c r="K1253" s="140">
        <v>1050000.0</v>
      </c>
      <c r="L1253" s="74">
        <f>K1253</f>
        <v>1050000</v>
      </c>
      <c r="M1253" s="74">
        <f t="shared" si="2"/>
        <v>1050000</v>
      </c>
      <c r="N1253" s="74">
        <f t="shared" si="3"/>
        <v>240000</v>
      </c>
      <c r="O1253" s="65" t="str">
        <f>VLOOKUP(E1253,DATABASE!C:Q,8,false)</f>
        <v>IBU</v>
      </c>
      <c r="P1253" s="65">
        <f>VLOOKUP(E1253,DATABASE!C:Q,9,False)</f>
        <v>1</v>
      </c>
      <c r="Q1253" s="93" t="str">
        <f>VLOOKUP(E1253,DATABASE!C:Q,4,false)</f>
        <v>Dunlop</v>
      </c>
      <c r="R1253" s="93" t="str">
        <f>VLOOKUP(E1253,DATABASE!C:Q,11,false)</f>
        <v>Tire</v>
      </c>
    </row>
    <row r="1254" ht="22.5" customHeight="1">
      <c r="A1254" s="49"/>
      <c r="C1254" s="384">
        <v>45730.0</v>
      </c>
      <c r="D1254" s="65">
        <v>4695.0</v>
      </c>
      <c r="E1254" s="445" t="s">
        <v>275</v>
      </c>
      <c r="F1254" s="386">
        <v>1.0</v>
      </c>
      <c r="G1254" s="74">
        <v>830000.0</v>
      </c>
      <c r="H1254" s="74">
        <v>0.0</v>
      </c>
      <c r="I1254" s="74">
        <f t="shared" si="1"/>
        <v>830000</v>
      </c>
      <c r="J1254" s="74">
        <f>IF(E1254="SERVICE",I1254-(I1254*50%),Vlookup(E1254,DATABASE!C:Q,10,false)*F1254)</f>
        <v>0</v>
      </c>
      <c r="K1254" s="74">
        <v>735000.0</v>
      </c>
      <c r="L1254" s="74">
        <v>735000.0</v>
      </c>
      <c r="M1254" s="74">
        <f t="shared" si="2"/>
        <v>735000</v>
      </c>
      <c r="N1254" s="74">
        <f t="shared" si="3"/>
        <v>95000</v>
      </c>
      <c r="O1254" s="65" t="str">
        <f>VLOOKUP(E1254,DATABASE!C:Q,8,false)</f>
        <v>IBU</v>
      </c>
      <c r="P1254" s="65">
        <f>VLOOKUP(E1254,DATABASE!C:Q,9,False)</f>
        <v>1</v>
      </c>
      <c r="Q1254" s="93" t="str">
        <f>VLOOKUP(E1254,DATABASE!C:Q,4,false)</f>
        <v>Dunlop</v>
      </c>
      <c r="R1254" s="93" t="str">
        <f>VLOOKUP(E1254,DATABASE!C:Q,11,false)</f>
        <v>Tire</v>
      </c>
    </row>
    <row r="1255" ht="22.5" customHeight="1">
      <c r="A1255" s="49"/>
      <c r="C1255" s="384">
        <v>45730.0</v>
      </c>
      <c r="D1255" s="65">
        <v>4696.0</v>
      </c>
      <c r="E1255" s="445" t="s">
        <v>940</v>
      </c>
      <c r="F1255" s="386">
        <v>2.0</v>
      </c>
      <c r="G1255" s="74">
        <v>820000.0</v>
      </c>
      <c r="H1255" s="74">
        <v>0.0</v>
      </c>
      <c r="I1255" s="74">
        <f t="shared" si="1"/>
        <v>1640000</v>
      </c>
      <c r="J1255" s="74">
        <f>IF(E1255="SERVICE",I1255-(I1255*50%),Vlookup(E1255,DATABASE!C:Q,10,false)*F1255)</f>
        <v>0</v>
      </c>
      <c r="K1255" s="74">
        <f>VLOOKUP(E1255,DATABASE!C:Q,7,false)</f>
        <v>716500</v>
      </c>
      <c r="L1255" s="74">
        <v>709000.0</v>
      </c>
      <c r="M1255" s="74">
        <f t="shared" si="2"/>
        <v>710000</v>
      </c>
      <c r="N1255" s="74">
        <f t="shared" si="3"/>
        <v>220000</v>
      </c>
      <c r="O1255" s="65" t="str">
        <f>VLOOKUP(E1255,DATABASE!C:Q,8,false)</f>
        <v>IBU</v>
      </c>
      <c r="P1255" s="65">
        <f>VLOOKUP(E1255,DATABASE!C:Q,9,False)</f>
        <v>1</v>
      </c>
      <c r="Q1255" s="93" t="str">
        <f>VLOOKUP(E1255,DATABASE!C:Q,4,false)</f>
        <v>Dunlop</v>
      </c>
      <c r="R1255" s="93" t="str">
        <f>VLOOKUP(E1255,DATABASE!C:Q,11,false)</f>
        <v>Tire</v>
      </c>
    </row>
    <row r="1256" ht="22.5" customHeight="1">
      <c r="A1256" s="49"/>
      <c r="C1256" s="384">
        <v>45730.0</v>
      </c>
      <c r="D1256" s="65">
        <v>4697.0</v>
      </c>
      <c r="E1256" s="445" t="s">
        <v>1784</v>
      </c>
      <c r="F1256" s="386">
        <v>2.0</v>
      </c>
      <c r="G1256" s="74">
        <v>600000.0</v>
      </c>
      <c r="H1256" s="74">
        <v>0.0</v>
      </c>
      <c r="I1256" s="74">
        <f t="shared" si="1"/>
        <v>1200000</v>
      </c>
      <c r="J1256" s="74">
        <f>IF(E1256="SERVICE",I1256-(I1256*50%),Vlookup(E1256,DATABASE!C:Q,10,false)*F1256)</f>
        <v>0</v>
      </c>
      <c r="K1256" s="74">
        <f>VLOOKUP(E1256,DATABASE!C:Q,7,false)</f>
        <v>530580</v>
      </c>
      <c r="L1256" s="74">
        <v>530580.0</v>
      </c>
      <c r="M1256" s="74">
        <f t="shared" si="2"/>
        <v>535000</v>
      </c>
      <c r="N1256" s="74">
        <f t="shared" si="3"/>
        <v>130000</v>
      </c>
      <c r="O1256" s="65" t="str">
        <f>VLOOKUP(E1256,DATABASE!C:Q,8,false)</f>
        <v>BIAN</v>
      </c>
      <c r="P1256" s="65">
        <f>VLOOKUP(E1256,DATABASE!C:Q,9,False)</f>
        <v>1</v>
      </c>
      <c r="Q1256" s="93" t="str">
        <f>VLOOKUP(E1256,DATABASE!C:Q,4,false)</f>
        <v>Forceum</v>
      </c>
      <c r="R1256" s="93" t="str">
        <f>VLOOKUP(E1256,DATABASE!C:Q,11,false)</f>
        <v>Tire</v>
      </c>
    </row>
    <row r="1257" ht="22.5" customHeight="1">
      <c r="A1257" s="49"/>
      <c r="C1257" s="384">
        <v>45731.0</v>
      </c>
      <c r="D1257" s="65">
        <v>4698.0</v>
      </c>
      <c r="E1257" s="445" t="s">
        <v>1041</v>
      </c>
      <c r="F1257" s="386">
        <v>1.0</v>
      </c>
      <c r="G1257" s="74">
        <v>700000.0</v>
      </c>
      <c r="H1257" s="74">
        <v>0.0</v>
      </c>
      <c r="I1257" s="74">
        <f t="shared" si="1"/>
        <v>700000</v>
      </c>
      <c r="J1257" s="74">
        <f>IF(E1257="SERVICE",I1257-(I1257*50%),Vlookup(E1257,DATABASE!C:Q,10,false)*F1257)</f>
        <v>0</v>
      </c>
      <c r="K1257" s="74">
        <f>VLOOKUP(E1257,DATABASE!C:Q,7,false)</f>
        <v>550000</v>
      </c>
      <c r="L1257" s="74">
        <v>550000.0</v>
      </c>
      <c r="M1257" s="74">
        <f t="shared" si="2"/>
        <v>550000</v>
      </c>
      <c r="N1257" s="74">
        <f t="shared" si="3"/>
        <v>150000</v>
      </c>
      <c r="O1257" s="65" t="str">
        <f>VLOOKUP(E1257,DATABASE!C:Q,8,false)</f>
        <v>IBU</v>
      </c>
      <c r="P1257" s="65">
        <f>VLOOKUP(E1257,DATABASE!C:Q,9,False)</f>
        <v>0</v>
      </c>
      <c r="Q1257" s="93" t="str">
        <f>VLOOKUP(E1257,DATABASE!C:Q,4,false)</f>
        <v>Bridgestone</v>
      </c>
      <c r="R1257" s="93" t="str">
        <f>VLOOKUP(E1257,DATABASE!C:Q,11,false)</f>
        <v>Tire</v>
      </c>
    </row>
    <row r="1258" ht="22.5" customHeight="1">
      <c r="A1258" s="49"/>
      <c r="C1258" s="384">
        <v>45731.0</v>
      </c>
      <c r="D1258" s="65">
        <v>4699.0</v>
      </c>
      <c r="E1258" s="445" t="s">
        <v>781</v>
      </c>
      <c r="F1258" s="386">
        <v>2.0</v>
      </c>
      <c r="G1258" s="74">
        <v>530000.0</v>
      </c>
      <c r="H1258" s="74">
        <v>0.0</v>
      </c>
      <c r="I1258" s="74">
        <f t="shared" si="1"/>
        <v>1060000</v>
      </c>
      <c r="J1258" s="74">
        <f>IF(E1258="SERVICE",I1258-(I1258*50%),Vlookup(E1258,DATABASE!C:Q,10,false)*F1258)</f>
        <v>0</v>
      </c>
      <c r="K1258" s="74">
        <f>VLOOKUP(E1258,DATABASE!C:Q,7,false)</f>
        <v>470000</v>
      </c>
      <c r="L1258" s="74">
        <v>442500.0</v>
      </c>
      <c r="M1258" s="74">
        <f t="shared" si="2"/>
        <v>445000</v>
      </c>
      <c r="N1258" s="74">
        <f t="shared" si="3"/>
        <v>170000</v>
      </c>
      <c r="O1258" s="65" t="str">
        <f>VLOOKUP(E1258,DATABASE!C:Q,8,false)</f>
        <v>BIAN</v>
      </c>
      <c r="P1258" s="65">
        <f>VLOOKUP(E1258,DATABASE!C:Q,9,False)</f>
        <v>1</v>
      </c>
      <c r="Q1258" s="93" t="str">
        <f>VLOOKUP(E1258,DATABASE!C:Q,4,false)</f>
        <v>GT</v>
      </c>
      <c r="R1258" s="93" t="str">
        <f>VLOOKUP(E1258,DATABASE!C:Q,11,false)</f>
        <v>Tire</v>
      </c>
    </row>
    <row r="1259" ht="22.5" customHeight="1">
      <c r="A1259" s="49"/>
      <c r="C1259" s="384">
        <v>45731.0</v>
      </c>
      <c r="D1259" s="65">
        <v>4699.0</v>
      </c>
      <c r="E1259" s="445" t="s">
        <v>569</v>
      </c>
      <c r="F1259" s="386">
        <v>2.0</v>
      </c>
      <c r="G1259" s="74">
        <v>85000.0</v>
      </c>
      <c r="H1259" s="74">
        <v>0.0</v>
      </c>
      <c r="I1259" s="74">
        <f t="shared" si="1"/>
        <v>170000</v>
      </c>
      <c r="J1259" s="74">
        <f>IF(E1259="SERVICE",I1259-(I1259*50%),Vlookup(E1259,DATABASE!C:Q,10,false)*F1259)</f>
        <v>0</v>
      </c>
      <c r="K1259" s="74">
        <f>VLOOKUP(E1259,DATABASE!C:Q,7,false)</f>
        <v>45439.582</v>
      </c>
      <c r="L1259" s="74">
        <v>45309.6</v>
      </c>
      <c r="M1259" s="74">
        <f t="shared" si="2"/>
        <v>50000</v>
      </c>
      <c r="N1259" s="74">
        <f t="shared" si="3"/>
        <v>70000</v>
      </c>
      <c r="O1259" s="65" t="str">
        <f>VLOOKUP(E1259,DATABASE!C:Q,8,false)</f>
        <v>BIAN</v>
      </c>
      <c r="P1259" s="65">
        <f>VLOOKUP(E1259,DATABASE!C:Q,9,False)</f>
        <v>1</v>
      </c>
      <c r="Q1259" s="93" t="str">
        <f>VLOOKUP(E1259,DATABASE!C:Q,4,false)</f>
        <v>BD</v>
      </c>
      <c r="R1259" s="93" t="str">
        <f>VLOOKUP(E1259,DATABASE!C:Q,11,false)</f>
        <v>Tire</v>
      </c>
    </row>
    <row r="1260" ht="22.5" customHeight="1">
      <c r="A1260" s="49"/>
      <c r="C1260" s="384">
        <v>45731.0</v>
      </c>
      <c r="D1260" s="65">
        <v>4700.0</v>
      </c>
      <c r="E1260" s="445" t="s">
        <v>1009</v>
      </c>
      <c r="F1260" s="386">
        <v>2.0</v>
      </c>
      <c r="G1260" s="74">
        <v>700000.0</v>
      </c>
      <c r="H1260" s="74">
        <v>0.0</v>
      </c>
      <c r="I1260" s="74">
        <f t="shared" si="1"/>
        <v>1400000</v>
      </c>
      <c r="J1260" s="74">
        <f>IF(E1260="SERVICE",I1260-(I1260*50%),Vlookup(E1260,DATABASE!C:Q,10,false)*F1260)</f>
        <v>0</v>
      </c>
      <c r="K1260" s="74">
        <f>VLOOKUP(E1260,DATABASE!C:Q,7,false)</f>
        <v>609800</v>
      </c>
      <c r="L1260" s="74">
        <v>592200.0</v>
      </c>
      <c r="M1260" s="74">
        <f t="shared" si="2"/>
        <v>595000</v>
      </c>
      <c r="N1260" s="74">
        <f t="shared" si="3"/>
        <v>210000</v>
      </c>
      <c r="O1260" s="65" t="str">
        <f>VLOOKUP(E1260,DATABASE!C:Q,8,false)</f>
        <v>BIAN</v>
      </c>
      <c r="P1260" s="65">
        <f>VLOOKUP(E1260,DATABASE!C:Q,9,False)</f>
        <v>1</v>
      </c>
      <c r="Q1260" s="93" t="str">
        <f>VLOOKUP(E1260,DATABASE!C:Q,4,false)</f>
        <v>GT</v>
      </c>
      <c r="R1260" s="93" t="str">
        <f>VLOOKUP(E1260,DATABASE!C:Q,11,false)</f>
        <v>Tire</v>
      </c>
    </row>
    <row r="1261" ht="22.5" customHeight="1">
      <c r="A1261" s="49"/>
      <c r="C1261" s="384">
        <v>45731.0</v>
      </c>
      <c r="D1261" s="65">
        <v>4700.0</v>
      </c>
      <c r="E1261" s="385" t="s">
        <v>299</v>
      </c>
      <c r="F1261" s="386">
        <v>2.0</v>
      </c>
      <c r="G1261" s="74">
        <v>30000.0</v>
      </c>
      <c r="H1261" s="74">
        <v>0.0</v>
      </c>
      <c r="I1261" s="74">
        <f t="shared" si="1"/>
        <v>60000</v>
      </c>
      <c r="J1261" s="74">
        <f>IF(E1261="SERVICE",I1261-(I1261*50%),Vlookup(E1261,DATABASE!C:Q,10,false)*F1261)</f>
        <v>0</v>
      </c>
      <c r="K1261" s="74">
        <v>0.0</v>
      </c>
      <c r="L1261" s="74">
        <v>0.0</v>
      </c>
      <c r="M1261" s="74">
        <f t="shared" si="2"/>
        <v>0</v>
      </c>
      <c r="N1261" s="74">
        <f t="shared" si="3"/>
        <v>60000</v>
      </c>
      <c r="O1261" s="65" t="str">
        <f>VLOOKUP(E1261,DATABASE!C:Q,8,false)</f>
        <v>BIAN</v>
      </c>
      <c r="P1261" s="65">
        <f>VLOOKUP(E1261,DATABASE!C:Q,9,False)</f>
        <v>0</v>
      </c>
      <c r="Q1261" s="93" t="str">
        <f>VLOOKUP(E1261,DATABASE!C:Q,4,false)</f>
        <v>Balancing</v>
      </c>
      <c r="R1261" s="93" t="str">
        <f>VLOOKUP(E1261,DATABASE!C:Q,11,false)</f>
        <v>COMPLEMENTARY</v>
      </c>
    </row>
    <row r="1262" ht="22.5" customHeight="1">
      <c r="A1262" s="49"/>
      <c r="C1262" s="384">
        <v>45731.0</v>
      </c>
      <c r="D1262" s="65">
        <v>4700.0</v>
      </c>
      <c r="E1262" s="445" t="s">
        <v>256</v>
      </c>
      <c r="F1262" s="386">
        <v>1.0</v>
      </c>
      <c r="G1262" s="74">
        <v>130000.0</v>
      </c>
      <c r="H1262" s="74">
        <v>0.0</v>
      </c>
      <c r="I1262" s="74">
        <f t="shared" si="1"/>
        <v>130000</v>
      </c>
      <c r="J1262" s="74">
        <f>IF(E1262="SERVICE",I1262-(I1262*50%),Vlookup(E1262,DATABASE!C:Q,10,false)*F1262)</f>
        <v>10000</v>
      </c>
      <c r="K1262" s="74">
        <f>VLOOKUP(E1262,DATABASE!C:Q,7,false)</f>
        <v>0</v>
      </c>
      <c r="L1262" s="74">
        <v>0.0</v>
      </c>
      <c r="M1262" s="74">
        <f t="shared" si="2"/>
        <v>0</v>
      </c>
      <c r="N1262" s="74">
        <f t="shared" si="3"/>
        <v>120000</v>
      </c>
      <c r="O1262" s="65" t="str">
        <f>VLOOKUP(E1262,DATABASE!C:Q,8,false)</f>
        <v>IBU</v>
      </c>
      <c r="P1262" s="65">
        <f>VLOOKUP(E1262,DATABASE!C:Q,9,False)</f>
        <v>0</v>
      </c>
      <c r="Q1262" s="93" t="str">
        <f>VLOOKUP(E1262,DATABASE!C:Q,4,false)</f>
        <v>SPOORING</v>
      </c>
      <c r="R1262" s="93" t="str">
        <f>VLOOKUP(E1262,DATABASE!C:Q,11,false)</f>
        <v>SERVICE</v>
      </c>
    </row>
    <row r="1263" ht="22.5" customHeight="1">
      <c r="A1263" s="49"/>
      <c r="C1263" s="384">
        <v>45731.0</v>
      </c>
      <c r="D1263" s="65">
        <v>4700.0</v>
      </c>
      <c r="E1263" s="445" t="s">
        <v>301</v>
      </c>
      <c r="F1263" s="386">
        <v>1.0</v>
      </c>
      <c r="G1263" s="74">
        <v>250000.0</v>
      </c>
      <c r="H1263" s="74">
        <v>0.0</v>
      </c>
      <c r="I1263" s="74">
        <f t="shared" si="1"/>
        <v>250000</v>
      </c>
      <c r="J1263" s="74">
        <f>IF(E1263="SERVICE",I1263-(I1263*50%),Vlookup(E1263,DATABASE!C:Q,10,false)*F1263)</f>
        <v>75000</v>
      </c>
      <c r="K1263" s="74">
        <f>VLOOKUP(E1263,DATABASE!C:Q,7,false)</f>
        <v>75000</v>
      </c>
      <c r="L1263" s="74">
        <v>75000.0</v>
      </c>
      <c r="M1263" s="74">
        <f t="shared" si="2"/>
        <v>75000</v>
      </c>
      <c r="N1263" s="74">
        <f t="shared" si="3"/>
        <v>100000</v>
      </c>
      <c r="O1263" s="65" t="str">
        <f>VLOOKUP(E1263,DATABASE!C:Q,8,false)</f>
        <v>BIAN</v>
      </c>
      <c r="P1263" s="65">
        <f>VLOOKUP(E1263,DATABASE!C:Q,9,False)</f>
        <v>0</v>
      </c>
      <c r="Q1263" s="93" t="str">
        <f>VLOOKUP(E1263,DATABASE!C:Q,4,false)</f>
        <v>Baut Camber</v>
      </c>
      <c r="R1263" s="93" t="str">
        <f>VLOOKUP(E1263,DATABASE!C:Q,11,false)</f>
        <v>COMPLEMENTARY</v>
      </c>
    </row>
    <row r="1264" ht="22.5" customHeight="1">
      <c r="A1264" s="49"/>
      <c r="C1264" s="384">
        <v>45731.0</v>
      </c>
      <c r="D1264" s="65">
        <v>4701.0</v>
      </c>
      <c r="E1264" s="445" t="s">
        <v>290</v>
      </c>
      <c r="F1264" s="386">
        <v>1.0</v>
      </c>
      <c r="G1264" s="74">
        <v>720000.0</v>
      </c>
      <c r="H1264" s="74">
        <v>0.0</v>
      </c>
      <c r="I1264" s="74">
        <f t="shared" si="1"/>
        <v>720000</v>
      </c>
      <c r="J1264" s="74">
        <f>IF(E1264="SERVICE",I1264-(I1264*50%),Vlookup(E1264,DATABASE!C:Q,10,false)*F1264)</f>
        <v>0</v>
      </c>
      <c r="K1264" s="74">
        <f>VLOOKUP(E1264,DATABASE!C:Q,7,false)</f>
        <v>628100</v>
      </c>
      <c r="L1264" s="74">
        <v>609804.0</v>
      </c>
      <c r="M1264" s="74">
        <f t="shared" si="2"/>
        <v>610000</v>
      </c>
      <c r="N1264" s="74">
        <f t="shared" si="3"/>
        <v>110000</v>
      </c>
      <c r="O1264" s="65" t="str">
        <f>VLOOKUP(E1264,DATABASE!C:Q,8,false)</f>
        <v>BIAN</v>
      </c>
      <c r="P1264" s="65">
        <f>VLOOKUP(E1264,DATABASE!C:Q,9,False)</f>
        <v>1</v>
      </c>
      <c r="Q1264" s="93" t="str">
        <f>VLOOKUP(E1264,DATABASE!C:Q,4,false)</f>
        <v>GT</v>
      </c>
      <c r="R1264" s="93" t="str">
        <f>VLOOKUP(E1264,DATABASE!C:Q,11,false)</f>
        <v>Tire</v>
      </c>
    </row>
    <row r="1265" ht="22.5" customHeight="1">
      <c r="A1265" s="49"/>
      <c r="C1265" s="384">
        <v>45731.0</v>
      </c>
      <c r="D1265" s="65">
        <v>4702.0</v>
      </c>
      <c r="E1265" s="445" t="s">
        <v>966</v>
      </c>
      <c r="F1265" s="386">
        <v>1.0</v>
      </c>
      <c r="G1265" s="74">
        <v>965000.0</v>
      </c>
      <c r="H1265" s="74">
        <v>0.0</v>
      </c>
      <c r="I1265" s="74">
        <f t="shared" si="1"/>
        <v>965000</v>
      </c>
      <c r="J1265" s="74">
        <f>IF(E1265="SERVICE",I1265-(I1265*50%),Vlookup(E1265,DATABASE!C:Q,10,false)*F1265)</f>
        <v>0</v>
      </c>
      <c r="K1265" s="74">
        <f>VLOOKUP(E1265,DATABASE!C:Q,7,false)</f>
        <v>865000</v>
      </c>
      <c r="L1265" s="74">
        <v>865000.0</v>
      </c>
      <c r="M1265" s="74">
        <f t="shared" si="2"/>
        <v>865000</v>
      </c>
      <c r="N1265" s="74">
        <f t="shared" si="3"/>
        <v>100000</v>
      </c>
      <c r="O1265" s="65" t="str">
        <f>VLOOKUP(E1265,DATABASE!C:Q,8,false)</f>
        <v>IBU</v>
      </c>
      <c r="P1265" s="65">
        <f>VLOOKUP(E1265,DATABASE!C:Q,9,False)</f>
        <v>1</v>
      </c>
      <c r="Q1265" s="93" t="str">
        <f>VLOOKUP(E1265,DATABASE!C:Q,4,false)</f>
        <v>Bridgestone</v>
      </c>
      <c r="R1265" s="93" t="str">
        <f>VLOOKUP(E1265,DATABASE!C:Q,11,false)</f>
        <v>Tire</v>
      </c>
    </row>
    <row r="1266" ht="22.5" customHeight="1">
      <c r="A1266" s="49"/>
      <c r="C1266" s="384">
        <v>45731.0</v>
      </c>
      <c r="D1266" s="65">
        <v>4702.0</v>
      </c>
      <c r="E1266" s="385" t="s">
        <v>299</v>
      </c>
      <c r="F1266" s="386">
        <v>2.0</v>
      </c>
      <c r="G1266" s="74">
        <v>30000.0</v>
      </c>
      <c r="H1266" s="74">
        <v>0.0</v>
      </c>
      <c r="I1266" s="74">
        <f t="shared" si="1"/>
        <v>60000</v>
      </c>
      <c r="J1266" s="74">
        <f>IF(E1266="SERVICE",I1266-(I1266*50%),Vlookup(E1266,DATABASE!C:Q,10,false)*F1266)</f>
        <v>0</v>
      </c>
      <c r="K1266" s="74">
        <v>0.0</v>
      </c>
      <c r="L1266" s="74">
        <v>0.0</v>
      </c>
      <c r="M1266" s="74">
        <f t="shared" si="2"/>
        <v>0</v>
      </c>
      <c r="N1266" s="74">
        <f t="shared" si="3"/>
        <v>60000</v>
      </c>
      <c r="O1266" s="65" t="str">
        <f>VLOOKUP(E1266,DATABASE!C:Q,8,false)</f>
        <v>BIAN</v>
      </c>
      <c r="P1266" s="65">
        <f>VLOOKUP(E1266,DATABASE!C:Q,9,False)</f>
        <v>0</v>
      </c>
      <c r="Q1266" s="93" t="str">
        <f>VLOOKUP(E1266,DATABASE!C:Q,4,false)</f>
        <v>Balancing</v>
      </c>
      <c r="R1266" s="93" t="str">
        <f>VLOOKUP(E1266,DATABASE!C:Q,11,false)</f>
        <v>COMPLEMENTARY</v>
      </c>
    </row>
    <row r="1267" ht="22.5" customHeight="1">
      <c r="A1267" s="49"/>
      <c r="C1267" s="384">
        <v>45731.0</v>
      </c>
      <c r="D1267" s="65">
        <v>4703.0</v>
      </c>
      <c r="E1267" s="445" t="s">
        <v>256</v>
      </c>
      <c r="F1267" s="386">
        <v>1.0</v>
      </c>
      <c r="G1267" s="74">
        <v>130000.0</v>
      </c>
      <c r="H1267" s="74">
        <v>0.0</v>
      </c>
      <c r="I1267" s="74">
        <f t="shared" si="1"/>
        <v>130000</v>
      </c>
      <c r="J1267" s="74">
        <f>IF(E1267="SERVICE",I1267-(I1267*50%),Vlookup(E1267,DATABASE!C:Q,10,false)*F1267)</f>
        <v>10000</v>
      </c>
      <c r="K1267" s="74">
        <f>VLOOKUP(E1267,DATABASE!C:Q,7,false)</f>
        <v>0</v>
      </c>
      <c r="L1267" s="74">
        <v>0.0</v>
      </c>
      <c r="M1267" s="74">
        <f t="shared" si="2"/>
        <v>0</v>
      </c>
      <c r="N1267" s="74">
        <f t="shared" si="3"/>
        <v>120000</v>
      </c>
      <c r="O1267" s="65" t="str">
        <f>VLOOKUP(E1267,DATABASE!C:Q,8,false)</f>
        <v>IBU</v>
      </c>
      <c r="P1267" s="65">
        <f>VLOOKUP(E1267,DATABASE!C:Q,9,False)</f>
        <v>0</v>
      </c>
      <c r="Q1267" s="93" t="str">
        <f>VLOOKUP(E1267,DATABASE!C:Q,4,false)</f>
        <v>SPOORING</v>
      </c>
      <c r="R1267" s="93" t="str">
        <f>VLOOKUP(E1267,DATABASE!C:Q,11,false)</f>
        <v>SERVICE</v>
      </c>
    </row>
    <row r="1268" ht="22.5" customHeight="1">
      <c r="A1268" s="49"/>
      <c r="C1268" s="384">
        <v>45731.0</v>
      </c>
      <c r="D1268" s="65">
        <v>4705.0</v>
      </c>
      <c r="E1268" s="445" t="s">
        <v>897</v>
      </c>
      <c r="F1268" s="386">
        <v>1.0</v>
      </c>
      <c r="G1268" s="74">
        <v>1600000.0</v>
      </c>
      <c r="H1268" s="74">
        <v>0.0</v>
      </c>
      <c r="I1268" s="74">
        <f t="shared" si="1"/>
        <v>1600000</v>
      </c>
      <c r="J1268" s="74">
        <f>IF(E1268="SERVICE",I1268-(I1268*50%),Vlookup(E1268,DATABASE!C:Q,10,false)*F1268)</f>
        <v>0</v>
      </c>
      <c r="K1268" s="74">
        <f>VLOOKUP(E1268,DATABASE!C:Q,7,false)</f>
        <v>1560000</v>
      </c>
      <c r="L1268" s="74">
        <v>1500000.0</v>
      </c>
      <c r="M1268" s="74">
        <f t="shared" si="2"/>
        <v>1500000</v>
      </c>
      <c r="N1268" s="74">
        <f t="shared" si="3"/>
        <v>100000</v>
      </c>
      <c r="O1268" s="65" t="str">
        <f>VLOOKUP(E1268,DATABASE!C:Q,8,false)</f>
        <v>BIAN</v>
      </c>
      <c r="P1268" s="65">
        <f>VLOOKUP(E1268,DATABASE!C:Q,9,False)</f>
        <v>1</v>
      </c>
      <c r="Q1268" s="93" t="str">
        <f>VLOOKUP(E1268,DATABASE!C:Q,4,false)</f>
        <v>GT</v>
      </c>
      <c r="R1268" s="93" t="str">
        <f>VLOOKUP(E1268,DATABASE!C:Q,11,false)</f>
        <v>Tire</v>
      </c>
    </row>
    <row r="1269" ht="22.5" customHeight="1">
      <c r="A1269" s="49"/>
      <c r="C1269" s="384">
        <v>45731.0</v>
      </c>
      <c r="D1269" s="65">
        <v>4705.0</v>
      </c>
      <c r="E1269" s="445" t="s">
        <v>744</v>
      </c>
      <c r="F1269" s="386">
        <v>1.0</v>
      </c>
      <c r="G1269" s="74">
        <v>230000.0</v>
      </c>
      <c r="H1269" s="74">
        <v>0.0</v>
      </c>
      <c r="I1269" s="74">
        <f t="shared" si="1"/>
        <v>230000</v>
      </c>
      <c r="J1269" s="74">
        <f>IF(E1269="SERVICE",I1269-(I1269*50%),Vlookup(E1269,DATABASE!C:Q,10,false)*F1269)</f>
        <v>0</v>
      </c>
      <c r="K1269" s="74">
        <f>VLOOKUP(E1269,DATABASE!C:Q,7,false)</f>
        <v>182200</v>
      </c>
      <c r="L1269" s="74">
        <v>199920.0</v>
      </c>
      <c r="M1269" s="74">
        <f t="shared" si="2"/>
        <v>200000</v>
      </c>
      <c r="N1269" s="74">
        <f t="shared" si="3"/>
        <v>30000</v>
      </c>
      <c r="O1269" s="65" t="str">
        <f>VLOOKUP(E1269,DATABASE!C:Q,8,false)</f>
        <v>BIAN</v>
      </c>
      <c r="P1269" s="65">
        <f>VLOOKUP(E1269,DATABASE!C:Q,9,False)</f>
        <v>1</v>
      </c>
      <c r="Q1269" s="93" t="str">
        <f>VLOOKUP(E1269,DATABASE!C:Q,4,false)</f>
        <v>BD</v>
      </c>
      <c r="R1269" s="93" t="str">
        <f>VLOOKUP(E1269,DATABASE!C:Q,11,false)</f>
        <v>Tire</v>
      </c>
    </row>
    <row r="1270" ht="22.5" customHeight="1">
      <c r="A1270" s="49"/>
      <c r="C1270" s="384">
        <v>45731.0</v>
      </c>
      <c r="D1270" s="65">
        <v>4706.0</v>
      </c>
      <c r="E1270" s="445" t="s">
        <v>268</v>
      </c>
      <c r="F1270" s="386">
        <v>2.0</v>
      </c>
      <c r="G1270" s="74">
        <v>700000.0</v>
      </c>
      <c r="H1270" s="74">
        <v>0.0</v>
      </c>
      <c r="I1270" s="74">
        <f t="shared" si="1"/>
        <v>1400000</v>
      </c>
      <c r="J1270" s="74">
        <f>IF(E1270="SERVICE",I1270-(I1270*50%),Vlookup(E1270,DATABASE!C:Q,10,false)*F1270)</f>
        <v>0</v>
      </c>
      <c r="K1270" s="74">
        <v>613000.0</v>
      </c>
      <c r="L1270" s="74">
        <v>613000.0</v>
      </c>
      <c r="M1270" s="74">
        <f t="shared" si="2"/>
        <v>615000</v>
      </c>
      <c r="N1270" s="74">
        <f t="shared" si="3"/>
        <v>170000</v>
      </c>
      <c r="O1270" s="65" t="str">
        <f>VLOOKUP(E1270,DATABASE!C:Q,8,false)</f>
        <v>IBU</v>
      </c>
      <c r="P1270" s="65">
        <f>VLOOKUP(E1270,DATABASE!C:Q,9,False)</f>
        <v>1</v>
      </c>
      <c r="Q1270" s="93" t="str">
        <f>VLOOKUP(E1270,DATABASE!C:Q,4,false)</f>
        <v>Dunlop</v>
      </c>
      <c r="R1270" s="93" t="str">
        <f>VLOOKUP(E1270,DATABASE!C:Q,11,false)</f>
        <v>Tire</v>
      </c>
    </row>
    <row r="1271" ht="22.5" customHeight="1">
      <c r="A1271" s="49"/>
      <c r="C1271" s="384">
        <v>45731.0</v>
      </c>
      <c r="D1271" s="65">
        <v>4706.0</v>
      </c>
      <c r="E1271" s="445" t="s">
        <v>265</v>
      </c>
      <c r="F1271" s="386">
        <v>2.0</v>
      </c>
      <c r="G1271" s="74">
        <v>660000.0</v>
      </c>
      <c r="H1271" s="74">
        <v>0.0</v>
      </c>
      <c r="I1271" s="74">
        <f t="shared" si="1"/>
        <v>1320000</v>
      </c>
      <c r="J1271" s="74">
        <f>IF(E1271="SERVICE",I1271-(I1271*50%),Vlookup(E1271,DATABASE!C:Q,10,false)*F1271)</f>
        <v>0</v>
      </c>
      <c r="K1271" s="74">
        <v>590000.0</v>
      </c>
      <c r="L1271" s="74">
        <v>590000.0</v>
      </c>
      <c r="M1271" s="74">
        <f t="shared" si="2"/>
        <v>590000</v>
      </c>
      <c r="N1271" s="74">
        <f t="shared" si="3"/>
        <v>140000</v>
      </c>
      <c r="O1271" s="65" t="str">
        <f>VLOOKUP(E1271,DATABASE!C:Q,8,false)</f>
        <v>IBU</v>
      </c>
      <c r="P1271" s="65">
        <f>VLOOKUP(E1271,DATABASE!C:Q,9,False)</f>
        <v>1</v>
      </c>
      <c r="Q1271" s="93" t="str">
        <f>VLOOKUP(E1271,DATABASE!C:Q,4,false)</f>
        <v>Dunlop</v>
      </c>
      <c r="R1271" s="93" t="str">
        <f>VLOOKUP(E1271,DATABASE!C:Q,11,false)</f>
        <v>Tire</v>
      </c>
    </row>
    <row r="1272" ht="22.5" customHeight="1">
      <c r="A1272" s="49"/>
      <c r="C1272" s="384">
        <v>45731.0</v>
      </c>
      <c r="D1272" s="65">
        <v>4707.0</v>
      </c>
      <c r="E1272" s="445" t="s">
        <v>268</v>
      </c>
      <c r="F1272" s="386">
        <v>2.0</v>
      </c>
      <c r="G1272" s="74">
        <v>690000.0</v>
      </c>
      <c r="H1272" s="74">
        <v>0.0</v>
      </c>
      <c r="I1272" s="74">
        <f t="shared" si="1"/>
        <v>1380000</v>
      </c>
      <c r="J1272" s="74">
        <f>IF(E1272="SERVICE",I1272-(I1272*50%),Vlookup(E1272,DATABASE!C:Q,10,false)*F1272)</f>
        <v>0</v>
      </c>
      <c r="K1272" s="74">
        <v>613000.0</v>
      </c>
      <c r="L1272" s="74">
        <v>613000.0</v>
      </c>
      <c r="M1272" s="74">
        <f t="shared" si="2"/>
        <v>615000</v>
      </c>
      <c r="N1272" s="74">
        <f t="shared" si="3"/>
        <v>150000</v>
      </c>
      <c r="O1272" s="65" t="str">
        <f>VLOOKUP(E1272,DATABASE!C:Q,8,false)</f>
        <v>IBU</v>
      </c>
      <c r="P1272" s="65">
        <f>VLOOKUP(E1272,DATABASE!C:Q,9,False)</f>
        <v>1</v>
      </c>
      <c r="Q1272" s="93" t="str">
        <f>VLOOKUP(E1272,DATABASE!C:Q,4,false)</f>
        <v>Dunlop</v>
      </c>
      <c r="R1272" s="93" t="str">
        <f>VLOOKUP(E1272,DATABASE!C:Q,11,false)</f>
        <v>Tire</v>
      </c>
    </row>
    <row r="1273" ht="22.5" customHeight="1">
      <c r="A1273" s="49"/>
      <c r="C1273" s="384">
        <v>45731.0</v>
      </c>
      <c r="D1273" s="65">
        <v>4707.0</v>
      </c>
      <c r="E1273" s="445" t="s">
        <v>262</v>
      </c>
      <c r="F1273" s="386">
        <v>1.0</v>
      </c>
      <c r="G1273" s="74">
        <v>110000.0</v>
      </c>
      <c r="H1273" s="74">
        <v>0.0</v>
      </c>
      <c r="I1273" s="74">
        <f t="shared" si="1"/>
        <v>110000</v>
      </c>
      <c r="J1273" s="74">
        <f>IF(E1273="SERVICE",I1273-(I1273*50%),Vlookup(E1273,DATABASE!C:Q,10,false)*F1273)</f>
        <v>5000</v>
      </c>
      <c r="K1273" s="74">
        <f>VLOOKUP(E1273,DATABASE!C:Q,7,false)</f>
        <v>0</v>
      </c>
      <c r="L1273" s="74">
        <v>0.0</v>
      </c>
      <c r="M1273" s="74">
        <f t="shared" si="2"/>
        <v>0</v>
      </c>
      <c r="N1273" s="74">
        <f t="shared" si="3"/>
        <v>105000</v>
      </c>
      <c r="O1273" s="65" t="str">
        <f>VLOOKUP(E1273,DATABASE!C:Q,8,false)</f>
        <v>IBU</v>
      </c>
      <c r="P1273" s="65">
        <f>VLOOKUP(E1273,DATABASE!C:Q,9,False)</f>
        <v>0</v>
      </c>
      <c r="Q1273" s="93" t="str">
        <f>VLOOKUP(E1273,DATABASE!C:Q,4,false)</f>
        <v>SPOORING SS/CARRY LOS BAK</v>
      </c>
      <c r="R1273" s="93" t="str">
        <f>VLOOKUP(E1273,DATABASE!C:Q,11,false)</f>
        <v>SERVICE</v>
      </c>
    </row>
    <row r="1274" ht="22.5" customHeight="1">
      <c r="A1274" s="49"/>
      <c r="C1274" s="384">
        <v>45731.0</v>
      </c>
      <c r="D1274" s="65">
        <v>4707.0</v>
      </c>
      <c r="E1274" s="445" t="s">
        <v>478</v>
      </c>
      <c r="F1274" s="386">
        <v>1.0</v>
      </c>
      <c r="G1274" s="74">
        <v>200000.0</v>
      </c>
      <c r="H1274" s="74">
        <v>0.0</v>
      </c>
      <c r="I1274" s="74">
        <f t="shared" si="1"/>
        <v>200000</v>
      </c>
      <c r="J1274" s="74">
        <f>IF(E1274="SERVICE",I1274-(I1274*50%),Vlookup(E1274,DATABASE!C:Q,10,false)*F1274)</f>
        <v>25000</v>
      </c>
      <c r="K1274" s="74">
        <f>VLOOKUP(E1274,DATABASE!C:Q,7,false)</f>
        <v>75000</v>
      </c>
      <c r="L1274" s="74">
        <v>75000.0</v>
      </c>
      <c r="M1274" s="74">
        <f t="shared" si="2"/>
        <v>75000</v>
      </c>
      <c r="N1274" s="74">
        <f t="shared" si="3"/>
        <v>100000</v>
      </c>
      <c r="O1274" s="65" t="str">
        <f>VLOOKUP(E1274,DATABASE!C:Q,8,false)</f>
        <v>BIAN</v>
      </c>
      <c r="P1274" s="65">
        <f>VLOOKUP(E1274,DATABASE!C:Q,9,False)</f>
        <v>0</v>
      </c>
      <c r="Q1274" s="93" t="str">
        <f>VLOOKUP(E1274,DATABASE!C:Q,4,false)</f>
        <v>Baut Camber ss-carry</v>
      </c>
      <c r="R1274" s="93" t="str">
        <f>VLOOKUP(E1274,DATABASE!C:Q,11,false)</f>
        <v>COMPLEMENTARY</v>
      </c>
    </row>
    <row r="1275" ht="22.5" customHeight="1">
      <c r="A1275" s="49"/>
      <c r="C1275" s="384">
        <v>45731.0</v>
      </c>
      <c r="D1275" s="65">
        <v>4708.0</v>
      </c>
      <c r="E1275" s="445" t="s">
        <v>1372</v>
      </c>
      <c r="F1275" s="386">
        <v>2.0</v>
      </c>
      <c r="G1275" s="74">
        <v>1120000.0</v>
      </c>
      <c r="H1275" s="74">
        <v>0.0</v>
      </c>
      <c r="I1275" s="74">
        <f t="shared" si="1"/>
        <v>2240000</v>
      </c>
      <c r="J1275" s="74">
        <f>IF(E1275="SERVICE",I1275-(I1275*50%),Vlookup(E1275,DATABASE!C:Q,10,false)*F1275)</f>
        <v>0</v>
      </c>
      <c r="K1275" s="74">
        <f>VLOOKUP(E1275,DATABASE!C:Q,7,false)</f>
        <v>1040000</v>
      </c>
      <c r="L1275" s="74">
        <v>1040000.0</v>
      </c>
      <c r="M1275" s="74">
        <f t="shared" si="2"/>
        <v>1040000</v>
      </c>
      <c r="N1275" s="74">
        <f t="shared" si="3"/>
        <v>160000</v>
      </c>
      <c r="O1275" s="65" t="str">
        <f>VLOOKUP(E1275,DATABASE!C:Q,8,false)</f>
        <v>IBU</v>
      </c>
      <c r="P1275" s="65">
        <f>VLOOKUP(E1275,DATABASE!C:Q,9,False)</f>
        <v>1</v>
      </c>
      <c r="Q1275" s="93" t="str">
        <f>VLOOKUP(E1275,DATABASE!C:Q,4,false)</f>
        <v>Dunlop</v>
      </c>
      <c r="R1275" s="93" t="str">
        <f>VLOOKUP(E1275,DATABASE!C:Q,11,false)</f>
        <v>Tire</v>
      </c>
    </row>
    <row r="1276" ht="22.5" customHeight="1">
      <c r="A1276" s="49"/>
      <c r="C1276" s="384">
        <v>45731.0</v>
      </c>
      <c r="D1276" s="65">
        <v>4709.0</v>
      </c>
      <c r="E1276" s="445" t="s">
        <v>2155</v>
      </c>
      <c r="F1276" s="386">
        <v>4.0</v>
      </c>
      <c r="G1276" s="74">
        <v>625000.0</v>
      </c>
      <c r="H1276" s="74">
        <v>0.0</v>
      </c>
      <c r="I1276" s="74">
        <f t="shared" si="1"/>
        <v>2500000</v>
      </c>
      <c r="J1276" s="74">
        <f>IF(E1276="SERVICE",I1276-(I1276*50%),Vlookup(E1276,DATABASE!C:Q,10,false)*F1276)</f>
        <v>0</v>
      </c>
      <c r="K1276" s="74">
        <f>VLOOKUP(E1276,DATABASE!C:Q,7,false)</f>
        <v>555000</v>
      </c>
      <c r="L1276" s="74">
        <v>555000.0</v>
      </c>
      <c r="M1276" s="74">
        <f t="shared" si="2"/>
        <v>555000</v>
      </c>
      <c r="N1276" s="74">
        <f t="shared" si="3"/>
        <v>280000</v>
      </c>
      <c r="O1276" s="65" t="str">
        <f>VLOOKUP(E1276,DATABASE!C:Q,8,false)</f>
        <v>BIAN</v>
      </c>
      <c r="P1276" s="65">
        <f>VLOOKUP(E1276,DATABASE!C:Q,9,False)</f>
        <v>1</v>
      </c>
      <c r="Q1276" s="93" t="str">
        <f>VLOOKUP(E1276,DATABASE!C:Q,4,false)</f>
        <v>SAILUN</v>
      </c>
      <c r="R1276" s="93" t="str">
        <f>VLOOKUP(E1276,DATABASE!C:Q,11,false)</f>
        <v>Tire</v>
      </c>
    </row>
    <row r="1277" ht="22.5" customHeight="1">
      <c r="A1277" s="49"/>
      <c r="C1277" s="384">
        <v>45731.0</v>
      </c>
      <c r="D1277" s="65">
        <v>4709.0</v>
      </c>
      <c r="E1277" s="445" t="s">
        <v>777</v>
      </c>
      <c r="F1277" s="386">
        <v>1.0</v>
      </c>
      <c r="G1277" s="74">
        <v>585000.0</v>
      </c>
      <c r="H1277" s="74">
        <v>0.0</v>
      </c>
      <c r="I1277" s="74">
        <f t="shared" si="1"/>
        <v>585000</v>
      </c>
      <c r="J1277" s="74">
        <f>IF(E1277="SERVICE",I1277-(I1277*50%),Vlookup(E1277,DATABASE!C:Q,10,false)*F1277)</f>
        <v>0</v>
      </c>
      <c r="K1277" s="74">
        <f>VLOOKUP(E1277,DATABASE!C:Q,7,false)</f>
        <v>540000</v>
      </c>
      <c r="L1277" s="74">
        <v>507000.0</v>
      </c>
      <c r="M1277" s="74">
        <f t="shared" si="2"/>
        <v>510000</v>
      </c>
      <c r="N1277" s="74">
        <f t="shared" si="3"/>
        <v>75000</v>
      </c>
      <c r="O1277" s="65" t="str">
        <f>VLOOKUP(E1277,DATABASE!C:Q,8,false)</f>
        <v>BIAN</v>
      </c>
      <c r="P1277" s="65">
        <f>VLOOKUP(E1277,DATABASE!C:Q,9,False)</f>
        <v>1</v>
      </c>
      <c r="Q1277" s="93" t="str">
        <f>VLOOKUP(E1277,DATABASE!C:Q,4,false)</f>
        <v>GT</v>
      </c>
      <c r="R1277" s="93" t="str">
        <f>VLOOKUP(E1277,DATABASE!C:Q,11,false)</f>
        <v>Tire</v>
      </c>
    </row>
    <row r="1278" ht="22.5" customHeight="1">
      <c r="A1278" s="49"/>
      <c r="C1278" s="384">
        <v>45731.0</v>
      </c>
      <c r="D1278" s="65">
        <v>4711.0</v>
      </c>
      <c r="E1278" s="445" t="s">
        <v>268</v>
      </c>
      <c r="F1278" s="386">
        <v>1.0</v>
      </c>
      <c r="G1278" s="74">
        <v>700000.0</v>
      </c>
      <c r="H1278" s="74">
        <v>0.0</v>
      </c>
      <c r="I1278" s="74">
        <f t="shared" si="1"/>
        <v>700000</v>
      </c>
      <c r="J1278" s="74">
        <f>IF(E1278="SERVICE",I1278-(I1278*50%),Vlookup(E1278,DATABASE!C:Q,10,false)*F1278)</f>
        <v>0</v>
      </c>
      <c r="K1278" s="74">
        <v>613000.0</v>
      </c>
      <c r="L1278" s="74">
        <v>613000.0</v>
      </c>
      <c r="M1278" s="74">
        <f t="shared" si="2"/>
        <v>615000</v>
      </c>
      <c r="N1278" s="74">
        <f t="shared" si="3"/>
        <v>85000</v>
      </c>
      <c r="O1278" s="65" t="str">
        <f>VLOOKUP(E1278,DATABASE!C:Q,8,false)</f>
        <v>IBU</v>
      </c>
      <c r="P1278" s="65">
        <f>VLOOKUP(E1278,DATABASE!C:Q,9,False)</f>
        <v>1</v>
      </c>
      <c r="Q1278" s="93" t="str">
        <f>VLOOKUP(E1278,DATABASE!C:Q,4,false)</f>
        <v>Dunlop</v>
      </c>
      <c r="R1278" s="93" t="str">
        <f>VLOOKUP(E1278,DATABASE!C:Q,11,false)</f>
        <v>Tire</v>
      </c>
    </row>
    <row r="1279" ht="22.5" customHeight="1">
      <c r="A1279" s="49"/>
      <c r="C1279" s="384">
        <v>45731.0</v>
      </c>
      <c r="D1279" s="65">
        <v>4712.0</v>
      </c>
      <c r="E1279" s="445" t="s">
        <v>262</v>
      </c>
      <c r="F1279" s="386">
        <v>1.0</v>
      </c>
      <c r="G1279" s="74">
        <v>110000.0</v>
      </c>
      <c r="H1279" s="74">
        <v>0.0</v>
      </c>
      <c r="I1279" s="74">
        <f t="shared" si="1"/>
        <v>110000</v>
      </c>
      <c r="J1279" s="74">
        <f>IF(E1279="SERVICE",I1279-(I1279*50%),Vlookup(E1279,DATABASE!C:Q,10,false)*F1279)</f>
        <v>5000</v>
      </c>
      <c r="K1279" s="74">
        <f>VLOOKUP(E1279,DATABASE!C:Q,7,false)</f>
        <v>0</v>
      </c>
      <c r="L1279" s="74">
        <v>0.0</v>
      </c>
      <c r="M1279" s="74">
        <f t="shared" si="2"/>
        <v>0</v>
      </c>
      <c r="N1279" s="74">
        <f t="shared" si="3"/>
        <v>105000</v>
      </c>
      <c r="O1279" s="65" t="str">
        <f>VLOOKUP(E1279,DATABASE!C:Q,8,false)</f>
        <v>IBU</v>
      </c>
      <c r="P1279" s="65">
        <f>VLOOKUP(E1279,DATABASE!C:Q,9,False)</f>
        <v>0</v>
      </c>
      <c r="Q1279" s="93" t="str">
        <f>VLOOKUP(E1279,DATABASE!C:Q,4,false)</f>
        <v>SPOORING SS/CARRY LOS BAK</v>
      </c>
      <c r="R1279" s="93" t="str">
        <f>VLOOKUP(E1279,DATABASE!C:Q,11,false)</f>
        <v>SERVICE</v>
      </c>
    </row>
    <row r="1280" ht="22.5" customHeight="1">
      <c r="A1280" s="49"/>
      <c r="C1280" s="384">
        <v>45731.0</v>
      </c>
      <c r="D1280" s="65">
        <v>4714.0</v>
      </c>
      <c r="E1280" s="445" t="s">
        <v>262</v>
      </c>
      <c r="F1280" s="386">
        <v>1.0</v>
      </c>
      <c r="G1280" s="74">
        <v>110000.0</v>
      </c>
      <c r="H1280" s="74">
        <v>0.0</v>
      </c>
      <c r="I1280" s="74">
        <f t="shared" si="1"/>
        <v>110000</v>
      </c>
      <c r="J1280" s="74">
        <f>IF(E1280="SERVICE",I1280-(I1280*50%),Vlookup(E1280,DATABASE!C:Q,10,false)*F1280)</f>
        <v>5000</v>
      </c>
      <c r="K1280" s="74">
        <f>VLOOKUP(E1280,DATABASE!C:Q,7,false)</f>
        <v>0</v>
      </c>
      <c r="L1280" s="74">
        <v>0.0</v>
      </c>
      <c r="M1280" s="74">
        <f t="shared" si="2"/>
        <v>0</v>
      </c>
      <c r="N1280" s="74">
        <f t="shared" si="3"/>
        <v>105000</v>
      </c>
      <c r="O1280" s="65" t="str">
        <f>VLOOKUP(E1280,DATABASE!C:Q,8,false)</f>
        <v>IBU</v>
      </c>
      <c r="P1280" s="65">
        <f>VLOOKUP(E1280,DATABASE!C:Q,9,False)</f>
        <v>0</v>
      </c>
      <c r="Q1280" s="93" t="str">
        <f>VLOOKUP(E1280,DATABASE!C:Q,4,false)</f>
        <v>SPOORING SS/CARRY LOS BAK</v>
      </c>
      <c r="R1280" s="93" t="str">
        <f>VLOOKUP(E1280,DATABASE!C:Q,11,false)</f>
        <v>SERVICE</v>
      </c>
    </row>
    <row r="1281" ht="22.5" customHeight="1">
      <c r="A1281" s="49"/>
      <c r="C1281" s="384">
        <v>45731.0</v>
      </c>
      <c r="D1281" s="65">
        <v>4714.0</v>
      </c>
      <c r="E1281" s="445" t="s">
        <v>2206</v>
      </c>
      <c r="F1281" s="386">
        <v>1.0</v>
      </c>
      <c r="G1281" s="74">
        <v>200000.0</v>
      </c>
      <c r="H1281" s="74">
        <v>0.0</v>
      </c>
      <c r="I1281" s="74">
        <f t="shared" si="1"/>
        <v>200000</v>
      </c>
      <c r="J1281" s="74">
        <f>IF(E1281="SERVICE",I1281-(I1281*50%),Vlookup(E1281,DATABASE!C:Q,10,false)*F1281)</f>
        <v>40000</v>
      </c>
      <c r="K1281" s="74">
        <f>VLOOKUP(E1281,DATABASE!C:Q,7,false)</f>
        <v>95450</v>
      </c>
      <c r="L1281" s="74">
        <v>61000.0</v>
      </c>
      <c r="M1281" s="74">
        <f t="shared" si="2"/>
        <v>65000</v>
      </c>
      <c r="N1281" s="74">
        <f t="shared" si="3"/>
        <v>95000</v>
      </c>
      <c r="O1281" s="65" t="str">
        <f>VLOOKUP(E1281,DATABASE!C:Q,8,false)</f>
        <v>IBU</v>
      </c>
      <c r="P1281" s="65">
        <f>VLOOKUP(E1281,DATABASE!C:Q,9,False)</f>
        <v>1</v>
      </c>
      <c r="Q1281" s="93" t="str">
        <f>VLOOKUP(E1281,DATABASE!C:Q,4,false)</f>
        <v>TIEROD</v>
      </c>
      <c r="R1281" s="93" t="str">
        <f>VLOOKUP(E1281,DATABASE!C:Q,11,false)</f>
        <v>COMPLEMENTARY</v>
      </c>
    </row>
    <row r="1282" ht="22.5" customHeight="1">
      <c r="A1282" s="49"/>
      <c r="C1282" s="384">
        <v>45731.0</v>
      </c>
      <c r="D1282" s="65">
        <v>4715.0</v>
      </c>
      <c r="E1282" s="445" t="s">
        <v>246</v>
      </c>
      <c r="F1282" s="386">
        <v>4.0</v>
      </c>
      <c r="G1282" s="74">
        <v>40000.0</v>
      </c>
      <c r="H1282" s="74">
        <v>0.0</v>
      </c>
      <c r="I1282" s="74">
        <f t="shared" si="1"/>
        <v>160000</v>
      </c>
      <c r="J1282" s="74">
        <f>IF(E1282="SERVICE",I1282-(I1282*50%),Vlookup(E1282,DATABASE!C:Q,10,false)*F1282)</f>
        <v>0</v>
      </c>
      <c r="K1282" s="74">
        <f>VLOOKUP(E1282,DATABASE!C:Q,7,false)</f>
        <v>0</v>
      </c>
      <c r="L1282" s="74">
        <v>0.0</v>
      </c>
      <c r="M1282" s="74">
        <f t="shared" si="2"/>
        <v>0</v>
      </c>
      <c r="N1282" s="74">
        <f t="shared" si="3"/>
        <v>160000</v>
      </c>
      <c r="O1282" s="65" t="str">
        <f>VLOOKUP(E1282,DATABASE!C:Q,8,false)</f>
        <v>IBU</v>
      </c>
      <c r="P1282" s="65">
        <f>VLOOKUP(E1282,DATABASE!C:Q,9,False)</f>
        <v>0</v>
      </c>
      <c r="Q1282" s="93" t="str">
        <f>VLOOKUP(E1282,DATABASE!C:Q,4,false)</f>
        <v>Bongkar Pasang</v>
      </c>
      <c r="R1282" s="93" t="str">
        <f>VLOOKUP(E1282,DATABASE!C:Q,11,false)</f>
        <v>SERVICE</v>
      </c>
    </row>
    <row r="1283" ht="22.5" customHeight="1">
      <c r="A1283" s="49"/>
      <c r="C1283" s="384">
        <v>45731.0</v>
      </c>
      <c r="D1283" s="65">
        <v>4715.0</v>
      </c>
      <c r="E1283" s="385" t="s">
        <v>299</v>
      </c>
      <c r="F1283" s="386">
        <v>2.0</v>
      </c>
      <c r="G1283" s="74">
        <v>30000.0</v>
      </c>
      <c r="H1283" s="74">
        <v>0.0</v>
      </c>
      <c r="I1283" s="74">
        <f t="shared" si="1"/>
        <v>60000</v>
      </c>
      <c r="J1283" s="74">
        <f>IF(E1283="SERVICE",I1283-(I1283*50%),Vlookup(E1283,DATABASE!C:Q,10,false)*F1283)</f>
        <v>0</v>
      </c>
      <c r="K1283" s="74">
        <v>0.0</v>
      </c>
      <c r="L1283" s="74">
        <v>0.0</v>
      </c>
      <c r="M1283" s="74">
        <f t="shared" si="2"/>
        <v>0</v>
      </c>
      <c r="N1283" s="74">
        <f t="shared" si="3"/>
        <v>60000</v>
      </c>
      <c r="O1283" s="65" t="str">
        <f>VLOOKUP(E1283,DATABASE!C:Q,8,false)</f>
        <v>BIAN</v>
      </c>
      <c r="P1283" s="65">
        <f>VLOOKUP(E1283,DATABASE!C:Q,9,False)</f>
        <v>0</v>
      </c>
      <c r="Q1283" s="93" t="str">
        <f>VLOOKUP(E1283,DATABASE!C:Q,4,false)</f>
        <v>Balancing</v>
      </c>
      <c r="R1283" s="93" t="str">
        <f>VLOOKUP(E1283,DATABASE!C:Q,11,false)</f>
        <v>COMPLEMENTARY</v>
      </c>
    </row>
    <row r="1284" ht="22.5" customHeight="1">
      <c r="A1284" s="49"/>
      <c r="C1284" s="384">
        <v>45731.0</v>
      </c>
      <c r="D1284" s="65">
        <v>4715.0</v>
      </c>
      <c r="E1284" s="445" t="s">
        <v>256</v>
      </c>
      <c r="F1284" s="386">
        <v>1.0</v>
      </c>
      <c r="G1284" s="74">
        <v>130000.0</v>
      </c>
      <c r="H1284" s="74">
        <v>0.0</v>
      </c>
      <c r="I1284" s="74">
        <f t="shared" si="1"/>
        <v>130000</v>
      </c>
      <c r="J1284" s="74">
        <f>IF(E1284="SERVICE",I1284-(I1284*50%),Vlookup(E1284,DATABASE!C:Q,10,false)*F1284)</f>
        <v>10000</v>
      </c>
      <c r="K1284" s="74">
        <f>VLOOKUP(E1284,DATABASE!C:Q,7,false)</f>
        <v>0</v>
      </c>
      <c r="L1284" s="74">
        <v>0.0</v>
      </c>
      <c r="M1284" s="74">
        <f t="shared" si="2"/>
        <v>0</v>
      </c>
      <c r="N1284" s="74">
        <f t="shared" si="3"/>
        <v>120000</v>
      </c>
      <c r="O1284" s="65" t="str">
        <f>VLOOKUP(E1284,DATABASE!C:Q,8,false)</f>
        <v>IBU</v>
      </c>
      <c r="P1284" s="65">
        <f>VLOOKUP(E1284,DATABASE!C:Q,9,False)</f>
        <v>0</v>
      </c>
      <c r="Q1284" s="93" t="str">
        <f>VLOOKUP(E1284,DATABASE!C:Q,4,false)</f>
        <v>SPOORING</v>
      </c>
      <c r="R1284" s="93" t="str">
        <f>VLOOKUP(E1284,DATABASE!C:Q,11,false)</f>
        <v>SERVICE</v>
      </c>
    </row>
    <row r="1285" ht="22.5" customHeight="1">
      <c r="A1285" s="49"/>
      <c r="C1285" s="384">
        <v>45731.0</v>
      </c>
      <c r="D1285" s="65">
        <v>4716.0</v>
      </c>
      <c r="E1285" s="385" t="s">
        <v>299</v>
      </c>
      <c r="F1285" s="386">
        <v>2.0</v>
      </c>
      <c r="G1285" s="74">
        <v>30000.0</v>
      </c>
      <c r="H1285" s="74">
        <v>0.0</v>
      </c>
      <c r="I1285" s="74">
        <f t="shared" si="1"/>
        <v>60000</v>
      </c>
      <c r="J1285" s="74">
        <f>IF(E1285="SERVICE",I1285-(I1285*50%),Vlookup(E1285,DATABASE!C:Q,10,false)*F1285)</f>
        <v>0</v>
      </c>
      <c r="K1285" s="74">
        <v>0.0</v>
      </c>
      <c r="L1285" s="74">
        <v>0.0</v>
      </c>
      <c r="M1285" s="74">
        <f t="shared" si="2"/>
        <v>0</v>
      </c>
      <c r="N1285" s="74">
        <f t="shared" si="3"/>
        <v>60000</v>
      </c>
      <c r="O1285" s="65" t="str">
        <f>VLOOKUP(E1285,DATABASE!C:Q,8,false)</f>
        <v>BIAN</v>
      </c>
      <c r="P1285" s="65">
        <f>VLOOKUP(E1285,DATABASE!C:Q,9,False)</f>
        <v>0</v>
      </c>
      <c r="Q1285" s="93" t="str">
        <f>VLOOKUP(E1285,DATABASE!C:Q,4,false)</f>
        <v>Balancing</v>
      </c>
      <c r="R1285" s="93" t="str">
        <f>VLOOKUP(E1285,DATABASE!C:Q,11,false)</f>
        <v>COMPLEMENTARY</v>
      </c>
    </row>
    <row r="1286" ht="22.5" customHeight="1">
      <c r="A1286" s="49"/>
      <c r="C1286" s="384">
        <v>45731.0</v>
      </c>
      <c r="D1286" s="65">
        <v>4717.0</v>
      </c>
      <c r="E1286" s="445" t="s">
        <v>256</v>
      </c>
      <c r="F1286" s="386">
        <v>1.0</v>
      </c>
      <c r="G1286" s="74">
        <v>130000.0</v>
      </c>
      <c r="H1286" s="74">
        <v>0.0</v>
      </c>
      <c r="I1286" s="74">
        <f t="shared" si="1"/>
        <v>130000</v>
      </c>
      <c r="J1286" s="74">
        <f>IF(E1286="SERVICE",I1286-(I1286*50%),Vlookup(E1286,DATABASE!C:Q,10,false)*F1286)</f>
        <v>10000</v>
      </c>
      <c r="K1286" s="74">
        <f>VLOOKUP(E1286,DATABASE!C:Q,7,false)</f>
        <v>0</v>
      </c>
      <c r="L1286" s="74">
        <v>0.0</v>
      </c>
      <c r="M1286" s="74">
        <f t="shared" si="2"/>
        <v>0</v>
      </c>
      <c r="N1286" s="74">
        <f t="shared" si="3"/>
        <v>120000</v>
      </c>
      <c r="O1286" s="65" t="str">
        <f>VLOOKUP(E1286,DATABASE!C:Q,8,false)</f>
        <v>IBU</v>
      </c>
      <c r="P1286" s="65">
        <f>VLOOKUP(E1286,DATABASE!C:Q,9,False)</f>
        <v>0</v>
      </c>
      <c r="Q1286" s="93" t="str">
        <f>VLOOKUP(E1286,DATABASE!C:Q,4,false)</f>
        <v>SPOORING</v>
      </c>
      <c r="R1286" s="93" t="str">
        <f>VLOOKUP(E1286,DATABASE!C:Q,11,false)</f>
        <v>SERVICE</v>
      </c>
    </row>
    <row r="1287" ht="22.5" customHeight="1">
      <c r="A1287" s="49"/>
      <c r="C1287" s="384">
        <v>45732.0</v>
      </c>
      <c r="D1287" s="65">
        <v>4719.0</v>
      </c>
      <c r="E1287" s="445" t="s">
        <v>940</v>
      </c>
      <c r="F1287" s="386">
        <v>1.0</v>
      </c>
      <c r="G1287" s="74">
        <v>800000.0</v>
      </c>
      <c r="H1287" s="74">
        <v>0.0</v>
      </c>
      <c r="I1287" s="74">
        <f t="shared" si="1"/>
        <v>800000</v>
      </c>
      <c r="J1287" s="74">
        <f>IF(E1287="SERVICE",I1287-(I1287*50%),Vlookup(E1287,DATABASE!C:Q,10,false)*F1287)</f>
        <v>0</v>
      </c>
      <c r="K1287" s="74">
        <f>VLOOKUP(E1287,DATABASE!C:Q,7,false)</f>
        <v>716500</v>
      </c>
      <c r="L1287" s="74">
        <v>709000.0</v>
      </c>
      <c r="M1287" s="74">
        <f t="shared" si="2"/>
        <v>710000</v>
      </c>
      <c r="N1287" s="74">
        <f t="shared" si="3"/>
        <v>90000</v>
      </c>
      <c r="O1287" s="65" t="str">
        <f>VLOOKUP(E1287,DATABASE!C:Q,8,false)</f>
        <v>IBU</v>
      </c>
      <c r="P1287" s="65">
        <f>VLOOKUP(E1287,DATABASE!C:Q,9,False)</f>
        <v>1</v>
      </c>
      <c r="Q1287" s="93" t="str">
        <f>VLOOKUP(E1287,DATABASE!C:Q,4,false)</f>
        <v>Dunlop</v>
      </c>
      <c r="R1287" s="93" t="str">
        <f>VLOOKUP(E1287,DATABASE!C:Q,11,false)</f>
        <v>Tire</v>
      </c>
    </row>
    <row r="1288" ht="22.5" customHeight="1">
      <c r="A1288" s="49"/>
      <c r="C1288" s="384">
        <v>45732.0</v>
      </c>
      <c r="D1288" s="65">
        <v>4719.0</v>
      </c>
      <c r="E1288" s="445" t="s">
        <v>1783</v>
      </c>
      <c r="F1288" s="386">
        <v>2.0</v>
      </c>
      <c r="G1288" s="74">
        <v>670000.0</v>
      </c>
      <c r="H1288" s="74">
        <v>0.0</v>
      </c>
      <c r="I1288" s="74">
        <f t="shared" si="1"/>
        <v>1340000</v>
      </c>
      <c r="J1288" s="74">
        <f>IF(E1288="SERVICE",I1288-(I1288*50%),Vlookup(E1288,DATABASE!C:Q,10,false)*F1288)</f>
        <v>0</v>
      </c>
      <c r="K1288" s="74">
        <f>VLOOKUP(E1288,DATABASE!C:Q,7,false)</f>
        <v>628100</v>
      </c>
      <c r="L1288" s="74">
        <v>572900.0</v>
      </c>
      <c r="M1288" s="74">
        <f t="shared" si="2"/>
        <v>575000</v>
      </c>
      <c r="N1288" s="74">
        <f t="shared" si="3"/>
        <v>190000</v>
      </c>
      <c r="O1288" s="65" t="str">
        <f>VLOOKUP(E1288,DATABASE!C:Q,8,false)</f>
        <v>BIAN</v>
      </c>
      <c r="P1288" s="65">
        <f>VLOOKUP(E1288,DATABASE!C:Q,9,False)</f>
        <v>1</v>
      </c>
      <c r="Q1288" s="93" t="str">
        <f>VLOOKUP(E1288,DATABASE!C:Q,4,false)</f>
        <v>GT</v>
      </c>
      <c r="R1288" s="93" t="str">
        <f>VLOOKUP(E1288,DATABASE!C:Q,11,false)</f>
        <v>Tire</v>
      </c>
    </row>
    <row r="1289" ht="22.5" customHeight="1">
      <c r="A1289" s="49"/>
      <c r="C1289" s="384">
        <v>45732.0</v>
      </c>
      <c r="D1289" s="65">
        <v>4719.0</v>
      </c>
      <c r="E1289" s="445" t="s">
        <v>256</v>
      </c>
      <c r="F1289" s="386">
        <v>1.0</v>
      </c>
      <c r="G1289" s="74">
        <v>130000.0</v>
      </c>
      <c r="H1289" s="74">
        <v>0.0</v>
      </c>
      <c r="I1289" s="74">
        <f t="shared" si="1"/>
        <v>130000</v>
      </c>
      <c r="J1289" s="74">
        <f>IF(E1289="SERVICE",I1289-(I1289*50%),Vlookup(E1289,DATABASE!C:Q,10,false)*F1289)</f>
        <v>10000</v>
      </c>
      <c r="K1289" s="74">
        <f>VLOOKUP(E1289,DATABASE!C:Q,7,false)</f>
        <v>0</v>
      </c>
      <c r="L1289" s="74">
        <v>0.0</v>
      </c>
      <c r="M1289" s="74">
        <f t="shared" si="2"/>
        <v>0</v>
      </c>
      <c r="N1289" s="74">
        <f t="shared" si="3"/>
        <v>120000</v>
      </c>
      <c r="O1289" s="65" t="str">
        <f>VLOOKUP(E1289,DATABASE!C:Q,8,false)</f>
        <v>IBU</v>
      </c>
      <c r="P1289" s="65">
        <f>VLOOKUP(E1289,DATABASE!C:Q,9,False)</f>
        <v>0</v>
      </c>
      <c r="Q1289" s="93" t="str">
        <f>VLOOKUP(E1289,DATABASE!C:Q,4,false)</f>
        <v>SPOORING</v>
      </c>
      <c r="R1289" s="93" t="str">
        <f>VLOOKUP(E1289,DATABASE!C:Q,11,false)</f>
        <v>SERVICE</v>
      </c>
    </row>
    <row r="1290" ht="22.5" customHeight="1">
      <c r="A1290" s="49"/>
      <c r="C1290" s="384">
        <v>45732.0</v>
      </c>
      <c r="D1290" s="65">
        <v>4719.0</v>
      </c>
      <c r="E1290" s="445" t="s">
        <v>301</v>
      </c>
      <c r="F1290" s="386">
        <v>1.0</v>
      </c>
      <c r="G1290" s="74">
        <v>250000.0</v>
      </c>
      <c r="H1290" s="74">
        <v>0.0</v>
      </c>
      <c r="I1290" s="74">
        <f t="shared" si="1"/>
        <v>250000</v>
      </c>
      <c r="J1290" s="74">
        <f>IF(E1290="SERVICE",I1290-(I1290*50%),Vlookup(E1290,DATABASE!C:Q,10,false)*F1290)</f>
        <v>75000</v>
      </c>
      <c r="K1290" s="74">
        <f>VLOOKUP(E1290,DATABASE!C:Q,7,false)</f>
        <v>75000</v>
      </c>
      <c r="L1290" s="74">
        <v>75000.0</v>
      </c>
      <c r="M1290" s="74">
        <f t="shared" si="2"/>
        <v>75000</v>
      </c>
      <c r="N1290" s="74">
        <f t="shared" si="3"/>
        <v>100000</v>
      </c>
      <c r="O1290" s="65" t="str">
        <f>VLOOKUP(E1290,DATABASE!C:Q,8,false)</f>
        <v>BIAN</v>
      </c>
      <c r="P1290" s="65">
        <f>VLOOKUP(E1290,DATABASE!C:Q,9,False)</f>
        <v>0</v>
      </c>
      <c r="Q1290" s="93" t="str">
        <f>VLOOKUP(E1290,DATABASE!C:Q,4,false)</f>
        <v>Baut Camber</v>
      </c>
      <c r="R1290" s="93" t="str">
        <f>VLOOKUP(E1290,DATABASE!C:Q,11,false)</f>
        <v>COMPLEMENTARY</v>
      </c>
    </row>
    <row r="1291" ht="22.5" customHeight="1">
      <c r="A1291" s="49"/>
      <c r="C1291" s="384">
        <v>45732.0</v>
      </c>
      <c r="D1291" s="65">
        <v>4721.0</v>
      </c>
      <c r="E1291" s="445" t="s">
        <v>301</v>
      </c>
      <c r="F1291" s="386">
        <v>1.0</v>
      </c>
      <c r="G1291" s="74">
        <v>150000.0</v>
      </c>
      <c r="H1291" s="74">
        <v>0.0</v>
      </c>
      <c r="I1291" s="74">
        <f t="shared" si="1"/>
        <v>150000</v>
      </c>
      <c r="J1291" s="74">
        <f>IF(E1291="SERVICE",I1291-(I1291*50%),Vlookup(E1291,DATABASE!C:Q,10,false)*F1291)</f>
        <v>75000</v>
      </c>
      <c r="K1291" s="74">
        <f>VLOOKUP(E1291,DATABASE!C:Q,7,false)</f>
        <v>75000</v>
      </c>
      <c r="L1291" s="74">
        <v>75000.0</v>
      </c>
      <c r="M1291" s="74">
        <f t="shared" si="2"/>
        <v>75000</v>
      </c>
      <c r="N1291" s="74">
        <f t="shared" si="3"/>
        <v>0</v>
      </c>
      <c r="O1291" s="65" t="str">
        <f>VLOOKUP(E1291,DATABASE!C:Q,8,false)</f>
        <v>BIAN</v>
      </c>
      <c r="P1291" s="65">
        <f>VLOOKUP(E1291,DATABASE!C:Q,9,False)</f>
        <v>0</v>
      </c>
      <c r="Q1291" s="93" t="str">
        <f>VLOOKUP(E1291,DATABASE!C:Q,4,false)</f>
        <v>Baut Camber</v>
      </c>
      <c r="R1291" s="93" t="str">
        <f>VLOOKUP(E1291,DATABASE!C:Q,11,false)</f>
        <v>COMPLEMENTARY</v>
      </c>
    </row>
    <row r="1292" ht="22.5" customHeight="1">
      <c r="A1292" s="49"/>
      <c r="C1292" s="384">
        <v>45732.0</v>
      </c>
      <c r="D1292" s="65">
        <v>4722.0</v>
      </c>
      <c r="E1292" s="445" t="s">
        <v>262</v>
      </c>
      <c r="F1292" s="386">
        <v>1.0</v>
      </c>
      <c r="G1292" s="74">
        <v>110000.0</v>
      </c>
      <c r="H1292" s="74">
        <v>0.0</v>
      </c>
      <c r="I1292" s="74">
        <f t="shared" si="1"/>
        <v>110000</v>
      </c>
      <c r="J1292" s="74">
        <f>IF(E1292="SERVICE",I1292-(I1292*50%),Vlookup(E1292,DATABASE!C:Q,10,false)*F1292)</f>
        <v>5000</v>
      </c>
      <c r="K1292" s="74">
        <f>VLOOKUP(E1292,DATABASE!C:Q,7,false)</f>
        <v>0</v>
      </c>
      <c r="L1292" s="74">
        <v>0.0</v>
      </c>
      <c r="M1292" s="74">
        <f t="shared" si="2"/>
        <v>0</v>
      </c>
      <c r="N1292" s="74">
        <f t="shared" si="3"/>
        <v>105000</v>
      </c>
      <c r="O1292" s="65" t="str">
        <f>VLOOKUP(E1292,DATABASE!C:Q,8,false)</f>
        <v>IBU</v>
      </c>
      <c r="P1292" s="65">
        <f>VLOOKUP(E1292,DATABASE!C:Q,9,False)</f>
        <v>0</v>
      </c>
      <c r="Q1292" s="93" t="str">
        <f>VLOOKUP(E1292,DATABASE!C:Q,4,false)</f>
        <v>SPOORING SS/CARRY LOS BAK</v>
      </c>
      <c r="R1292" s="93" t="str">
        <f>VLOOKUP(E1292,DATABASE!C:Q,11,false)</f>
        <v>SERVICE</v>
      </c>
    </row>
    <row r="1293" ht="22.5" customHeight="1">
      <c r="A1293" s="49"/>
      <c r="C1293" s="384">
        <v>45732.0</v>
      </c>
      <c r="D1293" s="65">
        <v>4722.0</v>
      </c>
      <c r="E1293" s="445" t="s">
        <v>2206</v>
      </c>
      <c r="F1293" s="386">
        <v>1.0</v>
      </c>
      <c r="G1293" s="74">
        <v>200000.0</v>
      </c>
      <c r="H1293" s="74">
        <v>0.0</v>
      </c>
      <c r="I1293" s="74">
        <f t="shared" si="1"/>
        <v>200000</v>
      </c>
      <c r="J1293" s="74">
        <f>IF(E1293="SERVICE",I1293-(I1293*50%),Vlookup(E1293,DATABASE!C:Q,10,false)*F1293)</f>
        <v>40000</v>
      </c>
      <c r="K1293" s="74">
        <f>VLOOKUP(E1293,DATABASE!C:Q,7,false)</f>
        <v>95450</v>
      </c>
      <c r="L1293" s="74">
        <v>61000.0</v>
      </c>
      <c r="M1293" s="74">
        <f t="shared" si="2"/>
        <v>65000</v>
      </c>
      <c r="N1293" s="74">
        <f t="shared" si="3"/>
        <v>95000</v>
      </c>
      <c r="O1293" s="65" t="str">
        <f>VLOOKUP(E1293,DATABASE!C:Q,8,false)</f>
        <v>IBU</v>
      </c>
      <c r="P1293" s="65">
        <f>VLOOKUP(E1293,DATABASE!C:Q,9,False)</f>
        <v>1</v>
      </c>
      <c r="Q1293" s="93" t="str">
        <f>VLOOKUP(E1293,DATABASE!C:Q,4,false)</f>
        <v>TIEROD</v>
      </c>
      <c r="R1293" s="93" t="str">
        <f>VLOOKUP(E1293,DATABASE!C:Q,11,false)</f>
        <v>COMPLEMENTARY</v>
      </c>
    </row>
    <row r="1294" ht="22.5" customHeight="1">
      <c r="A1294" s="49"/>
      <c r="C1294" s="384">
        <v>45732.0</v>
      </c>
      <c r="D1294" s="65">
        <v>4722.0</v>
      </c>
      <c r="E1294" s="445" t="s">
        <v>251</v>
      </c>
      <c r="F1294" s="386">
        <v>1.0</v>
      </c>
      <c r="G1294" s="74">
        <v>120000.0</v>
      </c>
      <c r="H1294" s="74">
        <v>0.0</v>
      </c>
      <c r="I1294" s="74">
        <f t="shared" si="1"/>
        <v>120000</v>
      </c>
      <c r="J1294" s="74">
        <f>IF(E1294="SERVICE",I1294-(I1294*50%),Vlookup(E1294,DATABASE!C:Q,10,false)*F1294)</f>
        <v>60000</v>
      </c>
      <c r="K1294" s="74">
        <f>VLOOKUP(E1294,DATABASE!C:Q,7,false)</f>
        <v>0</v>
      </c>
      <c r="L1294" s="74">
        <v>0.0</v>
      </c>
      <c r="M1294" s="74">
        <f t="shared" si="2"/>
        <v>0</v>
      </c>
      <c r="N1294" s="74">
        <f t="shared" si="3"/>
        <v>60000</v>
      </c>
      <c r="O1294" s="65" t="str">
        <f>VLOOKUP(E1294,DATABASE!C:Q,8,false)</f>
        <v>IBU</v>
      </c>
      <c r="P1294" s="65">
        <f>VLOOKUP(E1294,DATABASE!C:Q,9,False)</f>
        <v>0</v>
      </c>
      <c r="Q1294" s="93" t="str">
        <f>VLOOKUP(E1294,DATABASE!C:Q,4,false)</f>
        <v>SERVICE</v>
      </c>
      <c r="R1294" s="93" t="str">
        <f>VLOOKUP(E1294,DATABASE!C:Q,11,false)</f>
        <v>SERVICE</v>
      </c>
    </row>
    <row r="1295" ht="22.5" customHeight="1">
      <c r="A1295" s="49"/>
      <c r="C1295" s="384">
        <v>45733.0</v>
      </c>
      <c r="D1295" s="65">
        <v>4378.0</v>
      </c>
      <c r="E1295" s="445" t="s">
        <v>600</v>
      </c>
      <c r="F1295" s="386">
        <v>2.0</v>
      </c>
      <c r="G1295" s="74">
        <v>675000.0</v>
      </c>
      <c r="H1295" s="74">
        <v>0.0</v>
      </c>
      <c r="I1295" s="74">
        <f t="shared" si="1"/>
        <v>1350000</v>
      </c>
      <c r="J1295" s="74">
        <f>IF(E1295="SERVICE",I1295-(I1295*50%),Vlookup(E1295,DATABASE!C:Q,10,false)*F1295)</f>
        <v>0</v>
      </c>
      <c r="K1295" s="74">
        <f>VLOOKUP(E1295,DATABASE!C:Q,7,false)</f>
        <v>611109.16</v>
      </c>
      <c r="L1295" s="74">
        <v>572762.4</v>
      </c>
      <c r="M1295" s="74">
        <f t="shared" si="2"/>
        <v>575000</v>
      </c>
      <c r="N1295" s="74">
        <f t="shared" si="3"/>
        <v>200000</v>
      </c>
      <c r="O1295" s="65" t="str">
        <f>VLOOKUP(E1295,DATABASE!C:Q,8,false)</f>
        <v>IBU</v>
      </c>
      <c r="P1295" s="65">
        <f>VLOOKUP(E1295,DATABASE!C:Q,9,False)</f>
        <v>1</v>
      </c>
      <c r="Q1295" s="93" t="str">
        <f>VLOOKUP(E1295,DATABASE!C:Q,4,false)</f>
        <v>Bridgestone</v>
      </c>
      <c r="R1295" s="93" t="str">
        <f>VLOOKUP(E1295,DATABASE!C:Q,11,false)</f>
        <v>Tire</v>
      </c>
    </row>
    <row r="1296" ht="22.5" customHeight="1">
      <c r="A1296" s="49"/>
      <c r="C1296" s="384">
        <v>45733.0</v>
      </c>
      <c r="D1296" s="65">
        <v>4724.0</v>
      </c>
      <c r="E1296" s="445" t="s">
        <v>706</v>
      </c>
      <c r="F1296" s="386">
        <v>1.0</v>
      </c>
      <c r="G1296" s="74">
        <v>590000.0</v>
      </c>
      <c r="H1296" s="74">
        <v>0.0</v>
      </c>
      <c r="I1296" s="74">
        <f t="shared" si="1"/>
        <v>590000</v>
      </c>
      <c r="J1296" s="74">
        <f>IF(E1296="SERVICE",I1296-(I1296*50%),Vlookup(E1296,DATABASE!C:Q,10,false)*F1296)</f>
        <v>0</v>
      </c>
      <c r="K1296" s="74">
        <f>VLOOKUP(E1296,DATABASE!C:Q,7,false)</f>
        <v>485000</v>
      </c>
      <c r="L1296" s="74">
        <v>485000.0</v>
      </c>
      <c r="M1296" s="74">
        <f t="shared" si="2"/>
        <v>485000</v>
      </c>
      <c r="N1296" s="74">
        <f t="shared" si="3"/>
        <v>105000</v>
      </c>
      <c r="O1296" s="65" t="str">
        <f>VLOOKUP(E1296,DATABASE!C:Q,8,false)</f>
        <v>IBU</v>
      </c>
      <c r="P1296" s="65">
        <f>VLOOKUP(E1296,DATABASE!C:Q,9,False)</f>
        <v>1</v>
      </c>
      <c r="Q1296" s="93" t="str">
        <f>VLOOKUP(E1296,DATABASE!C:Q,4,false)</f>
        <v>Dunlop</v>
      </c>
      <c r="R1296" s="93" t="str">
        <f>VLOOKUP(E1296,DATABASE!C:Q,11,false)</f>
        <v>Tire</v>
      </c>
    </row>
    <row r="1297" ht="22.5" customHeight="1">
      <c r="A1297" s="49"/>
      <c r="C1297" s="384">
        <v>45733.0</v>
      </c>
      <c r="D1297" s="65">
        <v>4725.0</v>
      </c>
      <c r="E1297" s="445" t="s">
        <v>781</v>
      </c>
      <c r="F1297" s="386">
        <v>2.0</v>
      </c>
      <c r="G1297" s="74">
        <v>530000.0</v>
      </c>
      <c r="H1297" s="74">
        <v>0.0</v>
      </c>
      <c r="I1297" s="74">
        <f t="shared" si="1"/>
        <v>1060000</v>
      </c>
      <c r="J1297" s="74">
        <f>IF(E1297="SERVICE",I1297-(I1297*50%),Vlookup(E1297,DATABASE!C:Q,10,false)*F1297)</f>
        <v>0</v>
      </c>
      <c r="K1297" s="74">
        <f>VLOOKUP(E1297,DATABASE!C:Q,7,false)</f>
        <v>470000</v>
      </c>
      <c r="L1297" s="74">
        <v>442500.0</v>
      </c>
      <c r="M1297" s="74">
        <f t="shared" si="2"/>
        <v>445000</v>
      </c>
      <c r="N1297" s="74">
        <f t="shared" si="3"/>
        <v>170000</v>
      </c>
      <c r="O1297" s="65" t="str">
        <f>VLOOKUP(E1297,DATABASE!C:Q,8,false)</f>
        <v>BIAN</v>
      </c>
      <c r="P1297" s="65">
        <f>VLOOKUP(E1297,DATABASE!C:Q,9,False)</f>
        <v>1</v>
      </c>
      <c r="Q1297" s="93" t="str">
        <f>VLOOKUP(E1297,DATABASE!C:Q,4,false)</f>
        <v>GT</v>
      </c>
      <c r="R1297" s="93" t="str">
        <f>VLOOKUP(E1297,DATABASE!C:Q,11,false)</f>
        <v>Tire</v>
      </c>
    </row>
    <row r="1298" ht="22.5" customHeight="1">
      <c r="A1298" s="49"/>
      <c r="C1298" s="384">
        <v>45733.0</v>
      </c>
      <c r="D1298" s="65">
        <v>4726.0</v>
      </c>
      <c r="E1298" s="445" t="s">
        <v>1433</v>
      </c>
      <c r="F1298" s="386">
        <v>2.0</v>
      </c>
      <c r="G1298" s="74">
        <v>800000.0</v>
      </c>
      <c r="H1298" s="74">
        <v>0.0</v>
      </c>
      <c r="I1298" s="74">
        <f t="shared" si="1"/>
        <v>1600000</v>
      </c>
      <c r="J1298" s="74">
        <f>IF(E1298="SERVICE",I1298-(I1298*50%),Vlookup(E1298,DATABASE!C:Q,10,false)*F1298)</f>
        <v>0</v>
      </c>
      <c r="K1298" s="74">
        <f>VLOOKUP(E1298,DATABASE!C:Q,7,false)</f>
        <v>762500</v>
      </c>
      <c r="L1298" s="74">
        <v>762500.0</v>
      </c>
      <c r="M1298" s="74">
        <f t="shared" si="2"/>
        <v>765000</v>
      </c>
      <c r="N1298" s="74">
        <f t="shared" si="3"/>
        <v>70000</v>
      </c>
      <c r="O1298" s="65" t="str">
        <f>VLOOKUP(E1298,DATABASE!C:Q,8,false)</f>
        <v>IBU</v>
      </c>
      <c r="P1298" s="65">
        <f>VLOOKUP(E1298,DATABASE!C:Q,9,False)</f>
        <v>1</v>
      </c>
      <c r="Q1298" s="93" t="str">
        <f>VLOOKUP(E1298,DATABASE!C:Q,4,false)</f>
        <v>Dunlop</v>
      </c>
      <c r="R1298" s="93" t="str">
        <f>VLOOKUP(E1298,DATABASE!C:Q,11,false)</f>
        <v>Tire</v>
      </c>
    </row>
    <row r="1299" ht="22.5" customHeight="1">
      <c r="A1299" s="49"/>
      <c r="C1299" s="384">
        <v>45733.0</v>
      </c>
      <c r="D1299" s="65">
        <v>4727.0</v>
      </c>
      <c r="E1299" s="445" t="s">
        <v>554</v>
      </c>
      <c r="F1299" s="386">
        <v>1.0</v>
      </c>
      <c r="G1299" s="74">
        <v>800000.0</v>
      </c>
      <c r="H1299" s="74">
        <v>0.0</v>
      </c>
      <c r="I1299" s="74">
        <f t="shared" si="1"/>
        <v>800000</v>
      </c>
      <c r="J1299" s="74">
        <f>IF(E1299="SERVICE",I1299-(I1299*50%),Vlookup(E1299,DATABASE!C:Q,10,false)*F1299)</f>
        <v>0</v>
      </c>
      <c r="K1299" s="74">
        <f>VLOOKUP(E1299,DATABASE!C:Q,7,false)</f>
        <v>710000</v>
      </c>
      <c r="L1299" s="74">
        <v>680000.0</v>
      </c>
      <c r="M1299" s="74">
        <f t="shared" si="2"/>
        <v>680000</v>
      </c>
      <c r="N1299" s="74">
        <f t="shared" si="3"/>
        <v>120000</v>
      </c>
      <c r="O1299" s="65" t="str">
        <f>VLOOKUP(E1299,DATABASE!C:Q,8,false)</f>
        <v>IBU</v>
      </c>
      <c r="P1299" s="65">
        <f>VLOOKUP(E1299,DATABASE!C:Q,9,False)</f>
        <v>1</v>
      </c>
      <c r="Q1299" s="93" t="str">
        <f>VLOOKUP(E1299,DATABASE!C:Q,4,false)</f>
        <v>Bridgestone</v>
      </c>
      <c r="R1299" s="93" t="str">
        <f>VLOOKUP(E1299,DATABASE!C:Q,11,false)</f>
        <v>Tire</v>
      </c>
    </row>
    <row r="1300" ht="22.5" customHeight="1">
      <c r="A1300" s="49"/>
      <c r="C1300" s="384">
        <v>45733.0</v>
      </c>
      <c r="D1300" s="65">
        <v>4728.0</v>
      </c>
      <c r="E1300" s="445" t="s">
        <v>256</v>
      </c>
      <c r="F1300" s="386">
        <v>1.0</v>
      </c>
      <c r="G1300" s="74">
        <v>130000.0</v>
      </c>
      <c r="H1300" s="74">
        <v>0.0</v>
      </c>
      <c r="I1300" s="74">
        <f t="shared" si="1"/>
        <v>130000</v>
      </c>
      <c r="J1300" s="74">
        <f>IF(E1300="SERVICE",I1300-(I1300*50%),Vlookup(E1300,DATABASE!C:Q,10,false)*F1300)</f>
        <v>10000</v>
      </c>
      <c r="K1300" s="74">
        <f>VLOOKUP(E1300,DATABASE!C:Q,7,false)</f>
        <v>0</v>
      </c>
      <c r="L1300" s="74">
        <v>0.0</v>
      </c>
      <c r="M1300" s="74">
        <f t="shared" si="2"/>
        <v>0</v>
      </c>
      <c r="N1300" s="74">
        <f t="shared" si="3"/>
        <v>120000</v>
      </c>
      <c r="O1300" s="65" t="str">
        <f>VLOOKUP(E1300,DATABASE!C:Q,8,false)</f>
        <v>IBU</v>
      </c>
      <c r="P1300" s="65">
        <f>VLOOKUP(E1300,DATABASE!C:Q,9,False)</f>
        <v>0</v>
      </c>
      <c r="Q1300" s="93" t="str">
        <f>VLOOKUP(E1300,DATABASE!C:Q,4,false)</f>
        <v>SPOORING</v>
      </c>
      <c r="R1300" s="93" t="str">
        <f>VLOOKUP(E1300,DATABASE!C:Q,11,false)</f>
        <v>SERVICE</v>
      </c>
    </row>
    <row r="1301" ht="22.5" customHeight="1">
      <c r="A1301" s="49"/>
      <c r="C1301" s="384">
        <v>45733.0</v>
      </c>
      <c r="D1301" s="65">
        <v>4728.0</v>
      </c>
      <c r="E1301" s="445" t="s">
        <v>301</v>
      </c>
      <c r="F1301" s="386">
        <v>1.0</v>
      </c>
      <c r="G1301" s="74">
        <v>250000.0</v>
      </c>
      <c r="H1301" s="74">
        <v>0.0</v>
      </c>
      <c r="I1301" s="74">
        <f t="shared" si="1"/>
        <v>250000</v>
      </c>
      <c r="J1301" s="74">
        <f>IF(E1301="SERVICE",I1301-(I1301*50%),Vlookup(E1301,DATABASE!C:Q,10,false)*F1301)</f>
        <v>75000</v>
      </c>
      <c r="K1301" s="74">
        <f>VLOOKUP(E1301,DATABASE!C:Q,7,false)</f>
        <v>75000</v>
      </c>
      <c r="L1301" s="74">
        <v>75000.0</v>
      </c>
      <c r="M1301" s="74">
        <f t="shared" si="2"/>
        <v>75000</v>
      </c>
      <c r="N1301" s="74">
        <f t="shared" si="3"/>
        <v>100000</v>
      </c>
      <c r="O1301" s="65" t="str">
        <f>VLOOKUP(E1301,DATABASE!C:Q,8,false)</f>
        <v>BIAN</v>
      </c>
      <c r="P1301" s="65">
        <f>VLOOKUP(E1301,DATABASE!C:Q,9,False)</f>
        <v>0</v>
      </c>
      <c r="Q1301" s="93" t="str">
        <f>VLOOKUP(E1301,DATABASE!C:Q,4,false)</f>
        <v>Baut Camber</v>
      </c>
      <c r="R1301" s="93" t="str">
        <f>VLOOKUP(E1301,DATABASE!C:Q,11,false)</f>
        <v>COMPLEMENTARY</v>
      </c>
    </row>
    <row r="1302" ht="22.5" customHeight="1">
      <c r="A1302" s="49"/>
      <c r="C1302" s="384">
        <v>45733.0</v>
      </c>
      <c r="D1302" s="65">
        <v>4728.0</v>
      </c>
      <c r="E1302" s="385" t="s">
        <v>299</v>
      </c>
      <c r="F1302" s="386">
        <v>2.0</v>
      </c>
      <c r="G1302" s="74">
        <v>30000.0</v>
      </c>
      <c r="H1302" s="74">
        <v>0.0</v>
      </c>
      <c r="I1302" s="74">
        <f t="shared" si="1"/>
        <v>60000</v>
      </c>
      <c r="J1302" s="74">
        <f>IF(E1302="SERVICE",I1302-(I1302*50%),Vlookup(E1302,DATABASE!C:Q,10,false)*F1302)</f>
        <v>0</v>
      </c>
      <c r="K1302" s="74">
        <v>0.0</v>
      </c>
      <c r="L1302" s="74">
        <v>0.0</v>
      </c>
      <c r="M1302" s="74">
        <f t="shared" si="2"/>
        <v>0</v>
      </c>
      <c r="N1302" s="74">
        <f t="shared" si="3"/>
        <v>60000</v>
      </c>
      <c r="O1302" s="65" t="str">
        <f>VLOOKUP(E1302,DATABASE!C:Q,8,false)</f>
        <v>BIAN</v>
      </c>
      <c r="P1302" s="65">
        <f>VLOOKUP(E1302,DATABASE!C:Q,9,False)</f>
        <v>0</v>
      </c>
      <c r="Q1302" s="93" t="str">
        <f>VLOOKUP(E1302,DATABASE!C:Q,4,false)</f>
        <v>Balancing</v>
      </c>
      <c r="R1302" s="93" t="str">
        <f>VLOOKUP(E1302,DATABASE!C:Q,11,false)</f>
        <v>COMPLEMENTARY</v>
      </c>
    </row>
    <row r="1303" ht="22.5" customHeight="1">
      <c r="A1303" s="49"/>
      <c r="C1303" s="384">
        <v>45733.0</v>
      </c>
      <c r="D1303" s="65">
        <v>4729.0</v>
      </c>
      <c r="E1303" s="445" t="s">
        <v>268</v>
      </c>
      <c r="F1303" s="386">
        <v>2.0</v>
      </c>
      <c r="G1303" s="74">
        <v>700000.0</v>
      </c>
      <c r="H1303" s="74">
        <v>0.0</v>
      </c>
      <c r="I1303" s="74">
        <f t="shared" si="1"/>
        <v>1400000</v>
      </c>
      <c r="J1303" s="74">
        <f>IF(E1303="SERVICE",I1303-(I1303*50%),Vlookup(E1303,DATABASE!C:Q,10,false)*F1303)</f>
        <v>0</v>
      </c>
      <c r="K1303" s="74">
        <v>613000.0</v>
      </c>
      <c r="L1303" s="74">
        <v>613000.0</v>
      </c>
      <c r="M1303" s="74">
        <f t="shared" si="2"/>
        <v>615000</v>
      </c>
      <c r="N1303" s="74">
        <f t="shared" si="3"/>
        <v>170000</v>
      </c>
      <c r="O1303" s="65" t="str">
        <f>VLOOKUP(E1303,DATABASE!C:Q,8,false)</f>
        <v>IBU</v>
      </c>
      <c r="P1303" s="65">
        <f>VLOOKUP(E1303,DATABASE!C:Q,9,False)</f>
        <v>1</v>
      </c>
      <c r="Q1303" s="93" t="str">
        <f>VLOOKUP(E1303,DATABASE!C:Q,4,false)</f>
        <v>Dunlop</v>
      </c>
      <c r="R1303" s="93" t="str">
        <f>VLOOKUP(E1303,DATABASE!C:Q,11,false)</f>
        <v>Tire</v>
      </c>
    </row>
    <row r="1304" ht="22.5" customHeight="1">
      <c r="A1304" s="49"/>
      <c r="C1304" s="384">
        <v>45733.0</v>
      </c>
      <c r="D1304" s="65">
        <v>4730.0</v>
      </c>
      <c r="E1304" s="445" t="s">
        <v>256</v>
      </c>
      <c r="F1304" s="386">
        <v>1.0</v>
      </c>
      <c r="G1304" s="74">
        <v>130000.0</v>
      </c>
      <c r="H1304" s="74">
        <v>0.0</v>
      </c>
      <c r="I1304" s="74">
        <f t="shared" si="1"/>
        <v>130000</v>
      </c>
      <c r="J1304" s="74">
        <f>IF(E1304="SERVICE",I1304-(I1304*50%),Vlookup(E1304,DATABASE!C:Q,10,false)*F1304)</f>
        <v>10000</v>
      </c>
      <c r="K1304" s="74">
        <f>VLOOKUP(E1304,DATABASE!C:Q,7,false)</f>
        <v>0</v>
      </c>
      <c r="L1304" s="74">
        <v>0.0</v>
      </c>
      <c r="M1304" s="74">
        <f t="shared" si="2"/>
        <v>0</v>
      </c>
      <c r="N1304" s="74">
        <f t="shared" si="3"/>
        <v>120000</v>
      </c>
      <c r="O1304" s="65" t="str">
        <f>VLOOKUP(E1304,DATABASE!C:Q,8,false)</f>
        <v>IBU</v>
      </c>
      <c r="P1304" s="65">
        <f>VLOOKUP(E1304,DATABASE!C:Q,9,False)</f>
        <v>0</v>
      </c>
      <c r="Q1304" s="93" t="str">
        <f>VLOOKUP(E1304,DATABASE!C:Q,4,false)</f>
        <v>SPOORING</v>
      </c>
      <c r="R1304" s="93" t="str">
        <f>VLOOKUP(E1304,DATABASE!C:Q,11,false)</f>
        <v>SERVICE</v>
      </c>
    </row>
    <row r="1305" ht="22.5" customHeight="1">
      <c r="A1305" s="49"/>
      <c r="C1305" s="384">
        <v>45733.0</v>
      </c>
      <c r="D1305" s="65">
        <v>4730.0</v>
      </c>
      <c r="E1305" s="445" t="s">
        <v>301</v>
      </c>
      <c r="F1305" s="386">
        <v>1.0</v>
      </c>
      <c r="G1305" s="74">
        <v>250000.0</v>
      </c>
      <c r="H1305" s="74">
        <v>0.0</v>
      </c>
      <c r="I1305" s="74">
        <f t="shared" si="1"/>
        <v>250000</v>
      </c>
      <c r="J1305" s="74">
        <f>IF(E1305="SERVICE",I1305-(I1305*50%),Vlookup(E1305,DATABASE!C:Q,10,false)*F1305)</f>
        <v>75000</v>
      </c>
      <c r="K1305" s="74">
        <f>VLOOKUP(E1305,DATABASE!C:Q,7,false)</f>
        <v>75000</v>
      </c>
      <c r="L1305" s="74">
        <v>75000.0</v>
      </c>
      <c r="M1305" s="74">
        <f t="shared" si="2"/>
        <v>75000</v>
      </c>
      <c r="N1305" s="74">
        <f t="shared" si="3"/>
        <v>100000</v>
      </c>
      <c r="O1305" s="65" t="str">
        <f>VLOOKUP(E1305,DATABASE!C:Q,8,false)</f>
        <v>BIAN</v>
      </c>
      <c r="P1305" s="65">
        <f>VLOOKUP(E1305,DATABASE!C:Q,9,False)</f>
        <v>0</v>
      </c>
      <c r="Q1305" s="93" t="str">
        <f>VLOOKUP(E1305,DATABASE!C:Q,4,false)</f>
        <v>Baut Camber</v>
      </c>
      <c r="R1305" s="93" t="str">
        <f>VLOOKUP(E1305,DATABASE!C:Q,11,false)</f>
        <v>COMPLEMENTARY</v>
      </c>
    </row>
    <row r="1306" ht="22.5" customHeight="1">
      <c r="A1306" s="49"/>
      <c r="C1306" s="384">
        <v>45733.0</v>
      </c>
      <c r="D1306" s="65">
        <v>4730.0</v>
      </c>
      <c r="E1306" s="385" t="s">
        <v>299</v>
      </c>
      <c r="F1306" s="386">
        <v>2.0</v>
      </c>
      <c r="G1306" s="74">
        <v>30000.0</v>
      </c>
      <c r="H1306" s="74">
        <v>0.0</v>
      </c>
      <c r="I1306" s="74">
        <f t="shared" si="1"/>
        <v>60000</v>
      </c>
      <c r="J1306" s="74">
        <f>IF(E1306="SERVICE",I1306-(I1306*50%),Vlookup(E1306,DATABASE!C:Q,10,false)*F1306)</f>
        <v>0</v>
      </c>
      <c r="K1306" s="74">
        <v>0.0</v>
      </c>
      <c r="L1306" s="74">
        <v>0.0</v>
      </c>
      <c r="M1306" s="74">
        <f t="shared" si="2"/>
        <v>0</v>
      </c>
      <c r="N1306" s="74">
        <f t="shared" si="3"/>
        <v>60000</v>
      </c>
      <c r="O1306" s="65" t="str">
        <f>VLOOKUP(E1306,DATABASE!C:Q,8,false)</f>
        <v>BIAN</v>
      </c>
      <c r="P1306" s="65">
        <f>VLOOKUP(E1306,DATABASE!C:Q,9,False)</f>
        <v>0</v>
      </c>
      <c r="Q1306" s="93" t="str">
        <f>VLOOKUP(E1306,DATABASE!C:Q,4,false)</f>
        <v>Balancing</v>
      </c>
      <c r="R1306" s="93" t="str">
        <f>VLOOKUP(E1306,DATABASE!C:Q,11,false)</f>
        <v>COMPLEMENTARY</v>
      </c>
    </row>
    <row r="1307" ht="22.5" customHeight="1">
      <c r="A1307" s="49"/>
      <c r="C1307" s="384">
        <v>45733.0</v>
      </c>
      <c r="D1307" s="65">
        <v>4731.0</v>
      </c>
      <c r="E1307" s="445" t="s">
        <v>268</v>
      </c>
      <c r="F1307" s="386">
        <v>1.0</v>
      </c>
      <c r="G1307" s="74">
        <v>700000.0</v>
      </c>
      <c r="H1307" s="74">
        <v>0.0</v>
      </c>
      <c r="I1307" s="74">
        <f t="shared" si="1"/>
        <v>700000</v>
      </c>
      <c r="J1307" s="74">
        <f>IF(E1307="SERVICE",I1307-(I1307*50%),Vlookup(E1307,DATABASE!C:Q,10,false)*F1307)</f>
        <v>0</v>
      </c>
      <c r="K1307" s="74">
        <v>613000.0</v>
      </c>
      <c r="L1307" s="74">
        <v>613000.0</v>
      </c>
      <c r="M1307" s="74">
        <f t="shared" si="2"/>
        <v>615000</v>
      </c>
      <c r="N1307" s="74">
        <f t="shared" si="3"/>
        <v>85000</v>
      </c>
      <c r="O1307" s="65" t="str">
        <f>VLOOKUP(E1307,DATABASE!C:Q,8,false)</f>
        <v>IBU</v>
      </c>
      <c r="P1307" s="65">
        <f>VLOOKUP(E1307,DATABASE!C:Q,9,False)</f>
        <v>1</v>
      </c>
      <c r="Q1307" s="93" t="str">
        <f>VLOOKUP(E1307,DATABASE!C:Q,4,false)</f>
        <v>Dunlop</v>
      </c>
      <c r="R1307" s="93" t="str">
        <f>VLOOKUP(E1307,DATABASE!C:Q,11,false)</f>
        <v>Tire</v>
      </c>
    </row>
    <row r="1308" ht="22.5" customHeight="1">
      <c r="A1308" s="49"/>
      <c r="C1308" s="384">
        <v>45733.0</v>
      </c>
      <c r="D1308" s="65">
        <v>4733.0</v>
      </c>
      <c r="E1308" s="445" t="s">
        <v>987</v>
      </c>
      <c r="F1308" s="386">
        <v>2.0</v>
      </c>
      <c r="G1308" s="74">
        <v>850000.0</v>
      </c>
      <c r="H1308" s="74">
        <v>0.0</v>
      </c>
      <c r="I1308" s="74">
        <f t="shared" si="1"/>
        <v>1700000</v>
      </c>
      <c r="J1308" s="74">
        <f>IF(E1308="SERVICE",I1308-(I1308*50%),Vlookup(E1308,DATABASE!C:Q,10,false)*F1308)</f>
        <v>0</v>
      </c>
      <c r="K1308" s="74">
        <f>VLOOKUP(E1308,DATABASE!C:Q,7,false)</f>
        <v>670000</v>
      </c>
      <c r="L1308" s="74">
        <v>670000.0</v>
      </c>
      <c r="M1308" s="74">
        <f t="shared" si="2"/>
        <v>670000</v>
      </c>
      <c r="N1308" s="74">
        <f t="shared" si="3"/>
        <v>360000</v>
      </c>
      <c r="O1308" s="65" t="str">
        <f>VLOOKUP(E1308,DATABASE!C:Q,8,false)</f>
        <v>IBU</v>
      </c>
      <c r="P1308" s="65">
        <f>VLOOKUP(E1308,DATABASE!C:Q,9,False)</f>
        <v>1</v>
      </c>
      <c r="Q1308" s="93" t="str">
        <f>VLOOKUP(E1308,DATABASE!C:Q,4,false)</f>
        <v>Bridgestone</v>
      </c>
      <c r="R1308" s="93" t="str">
        <f>VLOOKUP(E1308,DATABASE!C:Q,11,false)</f>
        <v>Tire</v>
      </c>
    </row>
    <row r="1309" ht="22.5" customHeight="1">
      <c r="A1309" s="49"/>
      <c r="C1309" s="384">
        <v>45733.0</v>
      </c>
      <c r="D1309" s="65">
        <v>4733.0</v>
      </c>
      <c r="E1309" s="445" t="s">
        <v>256</v>
      </c>
      <c r="F1309" s="386">
        <v>1.0</v>
      </c>
      <c r="G1309" s="74">
        <v>130000.0</v>
      </c>
      <c r="H1309" s="74">
        <v>0.0</v>
      </c>
      <c r="I1309" s="74">
        <f t="shared" si="1"/>
        <v>130000</v>
      </c>
      <c r="J1309" s="74">
        <f>IF(E1309="SERVICE",I1309-(I1309*50%),Vlookup(E1309,DATABASE!C:Q,10,false)*F1309)</f>
        <v>10000</v>
      </c>
      <c r="K1309" s="74">
        <f>VLOOKUP(E1309,DATABASE!C:Q,7,false)</f>
        <v>0</v>
      </c>
      <c r="L1309" s="74">
        <v>0.0</v>
      </c>
      <c r="M1309" s="74">
        <f t="shared" si="2"/>
        <v>0</v>
      </c>
      <c r="N1309" s="74">
        <f t="shared" si="3"/>
        <v>120000</v>
      </c>
      <c r="O1309" s="65" t="str">
        <f>VLOOKUP(E1309,DATABASE!C:Q,8,false)</f>
        <v>IBU</v>
      </c>
      <c r="P1309" s="65">
        <f>VLOOKUP(E1309,DATABASE!C:Q,9,False)</f>
        <v>0</v>
      </c>
      <c r="Q1309" s="93" t="str">
        <f>VLOOKUP(E1309,DATABASE!C:Q,4,false)</f>
        <v>SPOORING</v>
      </c>
      <c r="R1309" s="93" t="str">
        <f>VLOOKUP(E1309,DATABASE!C:Q,11,false)</f>
        <v>SERVICE</v>
      </c>
    </row>
    <row r="1310" ht="22.5" customHeight="1">
      <c r="A1310" s="49"/>
      <c r="C1310" s="384">
        <v>45733.0</v>
      </c>
      <c r="D1310" s="65">
        <v>4733.0</v>
      </c>
      <c r="E1310" s="385" t="s">
        <v>299</v>
      </c>
      <c r="F1310" s="386">
        <v>2.0</v>
      </c>
      <c r="G1310" s="74">
        <v>30000.0</v>
      </c>
      <c r="H1310" s="74">
        <v>0.0</v>
      </c>
      <c r="I1310" s="74">
        <f t="shared" si="1"/>
        <v>60000</v>
      </c>
      <c r="J1310" s="74">
        <f>IF(E1310="SERVICE",I1310-(I1310*50%),Vlookup(E1310,DATABASE!C:Q,10,false)*F1310)</f>
        <v>0</v>
      </c>
      <c r="K1310" s="74">
        <v>0.0</v>
      </c>
      <c r="L1310" s="74">
        <v>0.0</v>
      </c>
      <c r="M1310" s="74">
        <f t="shared" si="2"/>
        <v>0</v>
      </c>
      <c r="N1310" s="74">
        <f t="shared" si="3"/>
        <v>60000</v>
      </c>
      <c r="O1310" s="65" t="str">
        <f>VLOOKUP(E1310,DATABASE!C:Q,8,false)</f>
        <v>BIAN</v>
      </c>
      <c r="P1310" s="65">
        <f>VLOOKUP(E1310,DATABASE!C:Q,9,False)</f>
        <v>0</v>
      </c>
      <c r="Q1310" s="93" t="str">
        <f>VLOOKUP(E1310,DATABASE!C:Q,4,false)</f>
        <v>Balancing</v>
      </c>
      <c r="R1310" s="93" t="str">
        <f>VLOOKUP(E1310,DATABASE!C:Q,11,false)</f>
        <v>COMPLEMENTARY</v>
      </c>
    </row>
    <row r="1311" ht="22.5" customHeight="1">
      <c r="A1311" s="49"/>
      <c r="C1311" s="384">
        <v>45733.0</v>
      </c>
      <c r="D1311" s="65">
        <v>4733.0</v>
      </c>
      <c r="E1311" s="445" t="s">
        <v>301</v>
      </c>
      <c r="F1311" s="386">
        <v>1.0</v>
      </c>
      <c r="G1311" s="74">
        <v>250000.0</v>
      </c>
      <c r="H1311" s="74">
        <v>0.0</v>
      </c>
      <c r="I1311" s="74">
        <f t="shared" si="1"/>
        <v>250000</v>
      </c>
      <c r="J1311" s="74">
        <f>IF(E1311="SERVICE",I1311-(I1311*50%),Vlookup(E1311,DATABASE!C:Q,10,false)*F1311)</f>
        <v>75000</v>
      </c>
      <c r="K1311" s="74">
        <f>VLOOKUP(E1311,DATABASE!C:Q,7,false)</f>
        <v>75000</v>
      </c>
      <c r="L1311" s="74">
        <v>75000.0</v>
      </c>
      <c r="M1311" s="74">
        <f t="shared" si="2"/>
        <v>75000</v>
      </c>
      <c r="N1311" s="74">
        <f t="shared" si="3"/>
        <v>100000</v>
      </c>
      <c r="O1311" s="65" t="str">
        <f>VLOOKUP(E1311,DATABASE!C:Q,8,false)</f>
        <v>BIAN</v>
      </c>
      <c r="P1311" s="65">
        <f>VLOOKUP(E1311,DATABASE!C:Q,9,False)</f>
        <v>0</v>
      </c>
      <c r="Q1311" s="93" t="str">
        <f>VLOOKUP(E1311,DATABASE!C:Q,4,false)</f>
        <v>Baut Camber</v>
      </c>
      <c r="R1311" s="93" t="str">
        <f>VLOOKUP(E1311,DATABASE!C:Q,11,false)</f>
        <v>COMPLEMENTARY</v>
      </c>
    </row>
    <row r="1312" ht="22.5" customHeight="1">
      <c r="A1312" s="49"/>
      <c r="C1312" s="384">
        <v>45733.0</v>
      </c>
      <c r="D1312" s="65">
        <v>4734.0</v>
      </c>
      <c r="E1312" s="445" t="s">
        <v>1301</v>
      </c>
      <c r="F1312" s="386">
        <v>1.0</v>
      </c>
      <c r="G1312" s="74">
        <v>1270000.0</v>
      </c>
      <c r="H1312" s="74">
        <v>0.0</v>
      </c>
      <c r="I1312" s="74">
        <f t="shared" si="1"/>
        <v>1270000</v>
      </c>
      <c r="J1312" s="74">
        <f>IF(E1312="SERVICE",I1312-(I1312*50%),Vlookup(E1312,DATABASE!C:Q,10,false)*F1312)</f>
        <v>0</v>
      </c>
      <c r="K1312" s="74">
        <f>VLOOKUP(E1312,DATABASE!C:Q,7,false)</f>
        <v>1194000</v>
      </c>
      <c r="L1312" s="74">
        <v>1182000.0</v>
      </c>
      <c r="M1312" s="74">
        <f t="shared" si="2"/>
        <v>1185000</v>
      </c>
      <c r="N1312" s="74">
        <f t="shared" si="3"/>
        <v>85000</v>
      </c>
      <c r="O1312" s="65" t="str">
        <f>VLOOKUP(E1312,DATABASE!C:Q,8,false)</f>
        <v>IBU</v>
      </c>
      <c r="P1312" s="65">
        <f>VLOOKUP(E1312,DATABASE!C:Q,9,False)</f>
        <v>1</v>
      </c>
      <c r="Q1312" s="93" t="str">
        <f>VLOOKUP(E1312,DATABASE!C:Q,4,false)</f>
        <v>Dunlop</v>
      </c>
      <c r="R1312" s="93" t="str">
        <f>VLOOKUP(E1312,DATABASE!C:Q,11,false)</f>
        <v>Tire</v>
      </c>
    </row>
    <row r="1313" ht="22.5" customHeight="1">
      <c r="A1313" s="49"/>
      <c r="C1313" s="384">
        <v>45733.0</v>
      </c>
      <c r="D1313" s="65">
        <v>4735.0</v>
      </c>
      <c r="E1313" s="445" t="s">
        <v>282</v>
      </c>
      <c r="F1313" s="386">
        <v>2.0</v>
      </c>
      <c r="G1313" s="74">
        <v>850000.0</v>
      </c>
      <c r="H1313" s="74">
        <v>0.0</v>
      </c>
      <c r="I1313" s="74">
        <f t="shared" si="1"/>
        <v>1700000</v>
      </c>
      <c r="J1313" s="74">
        <f>IF(E1313="SERVICE",I1313-(I1313*50%),Vlookup(E1313,DATABASE!C:Q,10,false)*F1313)</f>
        <v>0</v>
      </c>
      <c r="K1313" s="74">
        <f>VLOOKUP(E1313,DATABASE!C:Q,7,false)</f>
        <v>779500</v>
      </c>
      <c r="L1313" s="74">
        <v>771000.0</v>
      </c>
      <c r="M1313" s="74">
        <f t="shared" si="2"/>
        <v>775000</v>
      </c>
      <c r="N1313" s="74">
        <f t="shared" si="3"/>
        <v>150000</v>
      </c>
      <c r="O1313" s="65" t="str">
        <f>VLOOKUP(E1313,DATABASE!C:Q,8,false)</f>
        <v>IBU</v>
      </c>
      <c r="P1313" s="65">
        <f>VLOOKUP(E1313,DATABASE!C:Q,9,False)</f>
        <v>1</v>
      </c>
      <c r="Q1313" s="93" t="str">
        <f>VLOOKUP(E1313,DATABASE!C:Q,4,false)</f>
        <v>Dunlop</v>
      </c>
      <c r="R1313" s="93" t="str">
        <f>VLOOKUP(E1313,DATABASE!C:Q,11,false)</f>
        <v>Tire</v>
      </c>
    </row>
    <row r="1314" ht="22.5" customHeight="1">
      <c r="A1314" s="49"/>
      <c r="C1314" s="384">
        <v>45733.0</v>
      </c>
      <c r="D1314" s="65">
        <v>4736.0</v>
      </c>
      <c r="E1314" s="445" t="s">
        <v>268</v>
      </c>
      <c r="F1314" s="386">
        <v>2.0</v>
      </c>
      <c r="G1314" s="74">
        <v>700000.0</v>
      </c>
      <c r="H1314" s="74">
        <v>0.0</v>
      </c>
      <c r="I1314" s="74">
        <f t="shared" si="1"/>
        <v>1400000</v>
      </c>
      <c r="J1314" s="74">
        <f>IF(E1314="SERVICE",I1314-(I1314*50%),Vlookup(E1314,DATABASE!C:Q,10,false)*F1314)</f>
        <v>0</v>
      </c>
      <c r="K1314" s="74">
        <v>613000.0</v>
      </c>
      <c r="L1314" s="74">
        <v>613000.0</v>
      </c>
      <c r="M1314" s="74">
        <f t="shared" si="2"/>
        <v>615000</v>
      </c>
      <c r="N1314" s="74">
        <f t="shared" si="3"/>
        <v>170000</v>
      </c>
      <c r="O1314" s="65" t="str">
        <f>VLOOKUP(E1314,DATABASE!C:Q,8,false)</f>
        <v>IBU</v>
      </c>
      <c r="P1314" s="65">
        <f>VLOOKUP(E1314,DATABASE!C:Q,9,False)</f>
        <v>1</v>
      </c>
      <c r="Q1314" s="93" t="str">
        <f>VLOOKUP(E1314,DATABASE!C:Q,4,false)</f>
        <v>Dunlop</v>
      </c>
      <c r="R1314" s="93" t="str">
        <f>VLOOKUP(E1314,DATABASE!C:Q,11,false)</f>
        <v>Tire</v>
      </c>
    </row>
    <row r="1315" ht="22.5" customHeight="1">
      <c r="A1315" s="49"/>
      <c r="C1315" s="384">
        <v>45733.0</v>
      </c>
      <c r="D1315" s="65">
        <v>4737.0</v>
      </c>
      <c r="E1315" s="445" t="s">
        <v>256</v>
      </c>
      <c r="F1315" s="386">
        <v>1.0</v>
      </c>
      <c r="G1315" s="74">
        <v>130000.0</v>
      </c>
      <c r="H1315" s="74">
        <v>0.0</v>
      </c>
      <c r="I1315" s="74">
        <f t="shared" si="1"/>
        <v>130000</v>
      </c>
      <c r="J1315" s="74">
        <f>IF(E1315="SERVICE",I1315-(I1315*50%),Vlookup(E1315,DATABASE!C:Q,10,false)*F1315)</f>
        <v>10000</v>
      </c>
      <c r="K1315" s="74">
        <f>VLOOKUP(E1315,DATABASE!C:Q,7,false)</f>
        <v>0</v>
      </c>
      <c r="L1315" s="74">
        <v>0.0</v>
      </c>
      <c r="M1315" s="74">
        <f t="shared" si="2"/>
        <v>0</v>
      </c>
      <c r="N1315" s="74">
        <f t="shared" si="3"/>
        <v>120000</v>
      </c>
      <c r="O1315" s="65" t="str">
        <f>VLOOKUP(E1315,DATABASE!C:Q,8,false)</f>
        <v>IBU</v>
      </c>
      <c r="P1315" s="65">
        <f>VLOOKUP(E1315,DATABASE!C:Q,9,False)</f>
        <v>0</v>
      </c>
      <c r="Q1315" s="93" t="str">
        <f>VLOOKUP(E1315,DATABASE!C:Q,4,false)</f>
        <v>SPOORING</v>
      </c>
      <c r="R1315" s="93" t="str">
        <f>VLOOKUP(E1315,DATABASE!C:Q,11,false)</f>
        <v>SERVICE</v>
      </c>
    </row>
    <row r="1316" ht="22.5" customHeight="1">
      <c r="A1316" s="49"/>
      <c r="C1316" s="384">
        <v>45733.0</v>
      </c>
      <c r="D1316" s="65">
        <v>4737.0</v>
      </c>
      <c r="E1316" s="445" t="s">
        <v>251</v>
      </c>
      <c r="F1316" s="386">
        <v>1.0</v>
      </c>
      <c r="G1316" s="74">
        <v>150000.0</v>
      </c>
      <c r="H1316" s="74">
        <v>0.0</v>
      </c>
      <c r="I1316" s="74">
        <f t="shared" si="1"/>
        <v>150000</v>
      </c>
      <c r="J1316" s="74">
        <f>IF(E1316="SERVICE",I1316-(I1316*50%),Vlookup(E1316,DATABASE!C:Q,10,false)*F1316)</f>
        <v>75000</v>
      </c>
      <c r="K1316" s="74">
        <f>VLOOKUP(E1316,DATABASE!C:Q,7,false)</f>
        <v>0</v>
      </c>
      <c r="L1316" s="74">
        <v>0.0</v>
      </c>
      <c r="M1316" s="74">
        <f t="shared" si="2"/>
        <v>0</v>
      </c>
      <c r="N1316" s="74">
        <f t="shared" si="3"/>
        <v>75000</v>
      </c>
      <c r="O1316" s="65" t="str">
        <f>VLOOKUP(E1316,DATABASE!C:Q,8,false)</f>
        <v>IBU</v>
      </c>
      <c r="P1316" s="65">
        <f>VLOOKUP(E1316,DATABASE!C:Q,9,False)</f>
        <v>0</v>
      </c>
      <c r="Q1316" s="93" t="str">
        <f>VLOOKUP(E1316,DATABASE!C:Q,4,false)</f>
        <v>SERVICE</v>
      </c>
      <c r="R1316" s="93" t="str">
        <f>VLOOKUP(E1316,DATABASE!C:Q,11,false)</f>
        <v>SERVICE</v>
      </c>
    </row>
    <row r="1317" ht="22.5" customHeight="1">
      <c r="A1317" s="49"/>
      <c r="C1317" s="384">
        <v>45733.0</v>
      </c>
      <c r="D1317" s="65">
        <v>4739.0</v>
      </c>
      <c r="E1317" s="445" t="s">
        <v>591</v>
      </c>
      <c r="F1317" s="386">
        <v>2.0</v>
      </c>
      <c r="G1317" s="74">
        <v>680000.0</v>
      </c>
      <c r="H1317" s="74">
        <v>0.0</v>
      </c>
      <c r="I1317" s="74">
        <f t="shared" si="1"/>
        <v>1360000</v>
      </c>
      <c r="J1317" s="74">
        <f>IF(E1317="SERVICE",I1317-(I1317*50%),Vlookup(E1317,DATABASE!C:Q,10,false)*F1317)</f>
        <v>0</v>
      </c>
      <c r="K1317" s="74">
        <f>VLOOKUP(E1317,DATABASE!C:Q,7,false)</f>
        <v>633035.16</v>
      </c>
      <c r="L1317" s="74">
        <v>593488.4</v>
      </c>
      <c r="M1317" s="74">
        <f t="shared" si="2"/>
        <v>595000</v>
      </c>
      <c r="N1317" s="74">
        <f t="shared" si="3"/>
        <v>170000</v>
      </c>
      <c r="O1317" s="65" t="str">
        <f>VLOOKUP(E1317,DATABASE!C:Q,8,false)</f>
        <v>IBU</v>
      </c>
      <c r="P1317" s="65">
        <f>VLOOKUP(E1317,DATABASE!C:Q,9,False)</f>
        <v>1</v>
      </c>
      <c r="Q1317" s="93" t="str">
        <f>VLOOKUP(E1317,DATABASE!C:Q,4,false)</f>
        <v>Bridgestone</v>
      </c>
      <c r="R1317" s="93" t="str">
        <f>VLOOKUP(E1317,DATABASE!C:Q,11,false)</f>
        <v>Tire</v>
      </c>
    </row>
    <row r="1318" ht="22.5" customHeight="1">
      <c r="A1318" s="49"/>
      <c r="C1318" s="384">
        <v>45733.0</v>
      </c>
      <c r="D1318" s="65">
        <v>4739.0</v>
      </c>
      <c r="E1318" s="385" t="s">
        <v>299</v>
      </c>
      <c r="F1318" s="386">
        <v>2.0</v>
      </c>
      <c r="G1318" s="74">
        <v>30000.0</v>
      </c>
      <c r="H1318" s="74">
        <v>0.0</v>
      </c>
      <c r="I1318" s="74">
        <f t="shared" si="1"/>
        <v>60000</v>
      </c>
      <c r="J1318" s="74">
        <f>IF(E1318="SERVICE",I1318-(I1318*50%),Vlookup(E1318,DATABASE!C:Q,10,false)*F1318)</f>
        <v>0</v>
      </c>
      <c r="K1318" s="74">
        <v>0.0</v>
      </c>
      <c r="L1318" s="74">
        <v>0.0</v>
      </c>
      <c r="M1318" s="74">
        <f t="shared" si="2"/>
        <v>0</v>
      </c>
      <c r="N1318" s="74">
        <f t="shared" si="3"/>
        <v>60000</v>
      </c>
      <c r="O1318" s="65" t="str">
        <f>VLOOKUP(E1318,DATABASE!C:Q,8,false)</f>
        <v>BIAN</v>
      </c>
      <c r="P1318" s="65">
        <f>VLOOKUP(E1318,DATABASE!C:Q,9,False)</f>
        <v>0</v>
      </c>
      <c r="Q1318" s="93" t="str">
        <f>VLOOKUP(E1318,DATABASE!C:Q,4,false)</f>
        <v>Balancing</v>
      </c>
      <c r="R1318" s="93" t="str">
        <f>VLOOKUP(E1318,DATABASE!C:Q,11,false)</f>
        <v>COMPLEMENTARY</v>
      </c>
    </row>
    <row r="1319" ht="22.5" customHeight="1">
      <c r="A1319" s="49"/>
      <c r="C1319" s="384">
        <v>45733.0</v>
      </c>
      <c r="D1319" s="65">
        <v>4740.0</v>
      </c>
      <c r="E1319" s="445" t="s">
        <v>591</v>
      </c>
      <c r="F1319" s="386">
        <v>2.0</v>
      </c>
      <c r="G1319" s="74">
        <v>665000.0</v>
      </c>
      <c r="H1319" s="74">
        <v>0.0</v>
      </c>
      <c r="I1319" s="74">
        <f t="shared" si="1"/>
        <v>1330000</v>
      </c>
      <c r="J1319" s="74">
        <f>IF(E1319="SERVICE",I1319-(I1319*50%),Vlookup(E1319,DATABASE!C:Q,10,false)*F1319)</f>
        <v>0</v>
      </c>
      <c r="K1319" s="74">
        <f>VLOOKUP(E1319,DATABASE!C:Q,7,false)</f>
        <v>633035.16</v>
      </c>
      <c r="L1319" s="74">
        <v>593488.4</v>
      </c>
      <c r="M1319" s="74">
        <f t="shared" si="2"/>
        <v>595000</v>
      </c>
      <c r="N1319" s="74">
        <f t="shared" si="3"/>
        <v>140000</v>
      </c>
      <c r="O1319" s="65" t="str">
        <f>VLOOKUP(E1319,DATABASE!C:Q,8,false)</f>
        <v>IBU</v>
      </c>
      <c r="P1319" s="65">
        <f>VLOOKUP(E1319,DATABASE!C:Q,9,False)</f>
        <v>1</v>
      </c>
      <c r="Q1319" s="93" t="str">
        <f>VLOOKUP(E1319,DATABASE!C:Q,4,false)</f>
        <v>Bridgestone</v>
      </c>
      <c r="R1319" s="93" t="str">
        <f>VLOOKUP(E1319,DATABASE!C:Q,11,false)</f>
        <v>Tire</v>
      </c>
    </row>
    <row r="1320" ht="22.5" customHeight="1">
      <c r="A1320" s="49"/>
      <c r="C1320" s="384">
        <v>45733.0</v>
      </c>
      <c r="D1320" s="65">
        <v>4741.0</v>
      </c>
      <c r="E1320" s="445" t="s">
        <v>256</v>
      </c>
      <c r="F1320" s="386">
        <v>1.0</v>
      </c>
      <c r="G1320" s="74">
        <v>130000.0</v>
      </c>
      <c r="H1320" s="74">
        <v>0.0</v>
      </c>
      <c r="I1320" s="74">
        <f t="shared" si="1"/>
        <v>130000</v>
      </c>
      <c r="J1320" s="74">
        <f>IF(E1320="SERVICE",I1320-(I1320*50%),Vlookup(E1320,DATABASE!C:Q,10,false)*F1320)</f>
        <v>10000</v>
      </c>
      <c r="K1320" s="74">
        <f>VLOOKUP(E1320,DATABASE!C:Q,7,false)</f>
        <v>0</v>
      </c>
      <c r="L1320" s="74">
        <v>0.0</v>
      </c>
      <c r="M1320" s="74">
        <f t="shared" si="2"/>
        <v>0</v>
      </c>
      <c r="N1320" s="74">
        <f t="shared" si="3"/>
        <v>120000</v>
      </c>
      <c r="O1320" s="65" t="str">
        <f>VLOOKUP(E1320,DATABASE!C:Q,8,false)</f>
        <v>IBU</v>
      </c>
      <c r="P1320" s="65">
        <f>VLOOKUP(E1320,DATABASE!C:Q,9,False)</f>
        <v>0</v>
      </c>
      <c r="Q1320" s="93" t="str">
        <f>VLOOKUP(E1320,DATABASE!C:Q,4,false)</f>
        <v>SPOORING</v>
      </c>
      <c r="R1320" s="93" t="str">
        <f>VLOOKUP(E1320,DATABASE!C:Q,11,false)</f>
        <v>SERVICE</v>
      </c>
    </row>
    <row r="1321" ht="22.5" customHeight="1">
      <c r="A1321" s="49"/>
      <c r="C1321" s="384">
        <v>45733.0</v>
      </c>
      <c r="D1321" s="65">
        <v>4741.0</v>
      </c>
      <c r="E1321" s="445" t="s">
        <v>301</v>
      </c>
      <c r="F1321" s="386">
        <v>1.0</v>
      </c>
      <c r="G1321" s="74">
        <v>250000.0</v>
      </c>
      <c r="H1321" s="74">
        <v>0.0</v>
      </c>
      <c r="I1321" s="74">
        <f t="shared" si="1"/>
        <v>250000</v>
      </c>
      <c r="J1321" s="74">
        <f>IF(E1321="SERVICE",I1321-(I1321*50%),Vlookup(E1321,DATABASE!C:Q,10,false)*F1321)</f>
        <v>75000</v>
      </c>
      <c r="K1321" s="74">
        <f>VLOOKUP(E1321,DATABASE!C:Q,7,false)</f>
        <v>75000</v>
      </c>
      <c r="L1321" s="74">
        <v>75000.0</v>
      </c>
      <c r="M1321" s="74">
        <f t="shared" si="2"/>
        <v>75000</v>
      </c>
      <c r="N1321" s="74">
        <f t="shared" si="3"/>
        <v>100000</v>
      </c>
      <c r="O1321" s="65" t="str">
        <f>VLOOKUP(E1321,DATABASE!C:Q,8,false)</f>
        <v>BIAN</v>
      </c>
      <c r="P1321" s="65">
        <f>VLOOKUP(E1321,DATABASE!C:Q,9,False)</f>
        <v>0</v>
      </c>
      <c r="Q1321" s="93" t="str">
        <f>VLOOKUP(E1321,DATABASE!C:Q,4,false)</f>
        <v>Baut Camber</v>
      </c>
      <c r="R1321" s="93" t="str">
        <f>VLOOKUP(E1321,DATABASE!C:Q,11,false)</f>
        <v>COMPLEMENTARY</v>
      </c>
    </row>
    <row r="1322" ht="22.5" customHeight="1">
      <c r="A1322" s="49"/>
      <c r="C1322" s="384">
        <v>45733.0</v>
      </c>
      <c r="D1322" s="65">
        <v>4742.0</v>
      </c>
      <c r="E1322" s="445" t="s">
        <v>591</v>
      </c>
      <c r="F1322" s="386">
        <v>2.0</v>
      </c>
      <c r="G1322" s="74">
        <v>680000.0</v>
      </c>
      <c r="H1322" s="74">
        <v>0.0</v>
      </c>
      <c r="I1322" s="74">
        <f t="shared" si="1"/>
        <v>1360000</v>
      </c>
      <c r="J1322" s="74">
        <f>IF(E1322="SERVICE",I1322-(I1322*50%),Vlookup(E1322,DATABASE!C:Q,10,false)*F1322)</f>
        <v>0</v>
      </c>
      <c r="K1322" s="74">
        <f>VLOOKUP(E1322,DATABASE!C:Q,7,false)</f>
        <v>633035.16</v>
      </c>
      <c r="L1322" s="74">
        <v>593488.4</v>
      </c>
      <c r="M1322" s="74">
        <f t="shared" si="2"/>
        <v>595000</v>
      </c>
      <c r="N1322" s="74">
        <f t="shared" si="3"/>
        <v>170000</v>
      </c>
      <c r="O1322" s="65" t="str">
        <f>VLOOKUP(E1322,DATABASE!C:Q,8,false)</f>
        <v>IBU</v>
      </c>
      <c r="P1322" s="65">
        <f>VLOOKUP(E1322,DATABASE!C:Q,9,False)</f>
        <v>1</v>
      </c>
      <c r="Q1322" s="93" t="str">
        <f>VLOOKUP(E1322,DATABASE!C:Q,4,false)</f>
        <v>Bridgestone</v>
      </c>
      <c r="R1322" s="93" t="str">
        <f>VLOOKUP(E1322,DATABASE!C:Q,11,false)</f>
        <v>Tire</v>
      </c>
    </row>
    <row r="1323" ht="22.5" customHeight="1">
      <c r="A1323" s="49"/>
      <c r="C1323" s="384">
        <v>45733.0</v>
      </c>
      <c r="D1323" s="65">
        <v>4743.0</v>
      </c>
      <c r="E1323" s="445" t="s">
        <v>271</v>
      </c>
      <c r="F1323" s="386">
        <v>2.0</v>
      </c>
      <c r="G1323" s="74">
        <v>630000.0</v>
      </c>
      <c r="H1323" s="74">
        <v>0.0</v>
      </c>
      <c r="I1323" s="74">
        <f t="shared" si="1"/>
        <v>1260000</v>
      </c>
      <c r="J1323" s="74">
        <f>IF(E1323="SERVICE",I1323-(I1323*50%),Vlookup(E1323,DATABASE!C:Q,10,false)*F1323)</f>
        <v>0</v>
      </c>
      <c r="K1323" s="74">
        <f>VLOOKUP(E1323,DATABASE!C:Q,7,false)</f>
        <v>570000</v>
      </c>
      <c r="L1323" s="74">
        <v>539000.0</v>
      </c>
      <c r="M1323" s="74">
        <f t="shared" si="2"/>
        <v>540000</v>
      </c>
      <c r="N1323" s="74">
        <f t="shared" si="3"/>
        <v>180000</v>
      </c>
      <c r="O1323" s="65" t="str">
        <f>VLOOKUP(E1323,DATABASE!C:Q,8,false)</f>
        <v>IBU</v>
      </c>
      <c r="P1323" s="65">
        <f>VLOOKUP(E1323,DATABASE!C:Q,9,False)</f>
        <v>1</v>
      </c>
      <c r="Q1323" s="93" t="str">
        <f>VLOOKUP(E1323,DATABASE!C:Q,4,false)</f>
        <v>Dunlop</v>
      </c>
      <c r="R1323" s="93" t="str">
        <f>VLOOKUP(E1323,DATABASE!C:Q,11,false)</f>
        <v>Tire</v>
      </c>
    </row>
    <row r="1324" ht="22.5" customHeight="1">
      <c r="A1324" s="49"/>
      <c r="C1324" s="384">
        <v>45733.0</v>
      </c>
      <c r="D1324" s="65">
        <v>4744.0</v>
      </c>
      <c r="E1324" s="385" t="s">
        <v>305</v>
      </c>
      <c r="F1324" s="386">
        <v>1.0</v>
      </c>
      <c r="G1324" s="74">
        <v>235000.0</v>
      </c>
      <c r="H1324" s="74">
        <v>0.0</v>
      </c>
      <c r="I1324" s="74">
        <f t="shared" si="1"/>
        <v>235000</v>
      </c>
      <c r="J1324" s="74">
        <f>IF(E1324="SERVICE",I1324-(I1324*50%),Vlookup(E1324,DATABASE!C:Q,10,false)*F1324)</f>
        <v>40000</v>
      </c>
      <c r="K1324" s="74">
        <f>VLOOKUP(E1324,DATABASE!C:Q,7,false)</f>
        <v>158530.2</v>
      </c>
      <c r="L1324" s="74">
        <v>151890.0</v>
      </c>
      <c r="M1324" s="74">
        <f t="shared" si="2"/>
        <v>155000</v>
      </c>
      <c r="N1324" s="74">
        <f t="shared" si="3"/>
        <v>40000</v>
      </c>
      <c r="O1324" s="65" t="str">
        <f>VLOOKUP(E1324,DATABASE!C:Q,8,false)</f>
        <v>BIAN</v>
      </c>
      <c r="P1324" s="65">
        <f>VLOOKUP(E1324,DATABASE!C:Q,9,False)</f>
        <v>1</v>
      </c>
      <c r="Q1324" s="93" t="str">
        <f>VLOOKUP(E1324,DATABASE!C:Q,4,false)</f>
        <v>Lower Arm</v>
      </c>
      <c r="R1324" s="93" t="str">
        <f>VLOOKUP(E1324,DATABASE!C:Q,11,false)</f>
        <v>COMPLEMENTARY</v>
      </c>
    </row>
    <row r="1325" ht="22.5" customHeight="1">
      <c r="A1325" s="49"/>
      <c r="C1325" s="384">
        <v>45733.0</v>
      </c>
      <c r="D1325" s="65">
        <v>4744.0</v>
      </c>
      <c r="E1325" s="445" t="s">
        <v>262</v>
      </c>
      <c r="F1325" s="386">
        <v>1.0</v>
      </c>
      <c r="G1325" s="74">
        <v>110000.0</v>
      </c>
      <c r="H1325" s="74">
        <v>0.0</v>
      </c>
      <c r="I1325" s="74">
        <f t="shared" si="1"/>
        <v>110000</v>
      </c>
      <c r="J1325" s="74">
        <f>IF(E1325="SERVICE",I1325-(I1325*50%),Vlookup(E1325,DATABASE!C:Q,10,false)*F1325)</f>
        <v>5000</v>
      </c>
      <c r="K1325" s="74">
        <f>VLOOKUP(E1325,DATABASE!C:Q,7,false)</f>
        <v>0</v>
      </c>
      <c r="L1325" s="74">
        <v>0.0</v>
      </c>
      <c r="M1325" s="74">
        <f t="shared" si="2"/>
        <v>0</v>
      </c>
      <c r="N1325" s="74">
        <f t="shared" si="3"/>
        <v>105000</v>
      </c>
      <c r="O1325" s="65" t="str">
        <f>VLOOKUP(E1325,DATABASE!C:Q,8,false)</f>
        <v>IBU</v>
      </c>
      <c r="P1325" s="65">
        <f>VLOOKUP(E1325,DATABASE!C:Q,9,False)</f>
        <v>0</v>
      </c>
      <c r="Q1325" s="93" t="str">
        <f>VLOOKUP(E1325,DATABASE!C:Q,4,false)</f>
        <v>SPOORING SS/CARRY LOS BAK</v>
      </c>
      <c r="R1325" s="93" t="str">
        <f>VLOOKUP(E1325,DATABASE!C:Q,11,false)</f>
        <v>SERVICE</v>
      </c>
    </row>
    <row r="1326" ht="22.5" customHeight="1">
      <c r="A1326" s="49"/>
      <c r="C1326" s="384">
        <v>45733.0</v>
      </c>
      <c r="D1326" s="65">
        <v>4745.0</v>
      </c>
      <c r="E1326" s="445" t="s">
        <v>256</v>
      </c>
      <c r="F1326" s="386">
        <v>1.0</v>
      </c>
      <c r="G1326" s="74">
        <v>150000.0</v>
      </c>
      <c r="H1326" s="74">
        <v>0.0</v>
      </c>
      <c r="I1326" s="74">
        <f t="shared" si="1"/>
        <v>150000</v>
      </c>
      <c r="J1326" s="74">
        <f>IF(E1326="SERVICE",I1326-(I1326*50%),Vlookup(E1326,DATABASE!C:Q,10,false)*F1326)</f>
        <v>10000</v>
      </c>
      <c r="K1326" s="74">
        <f>VLOOKUP(E1326,DATABASE!C:Q,7,false)</f>
        <v>0</v>
      </c>
      <c r="L1326" s="74">
        <v>0.0</v>
      </c>
      <c r="M1326" s="74">
        <f t="shared" si="2"/>
        <v>0</v>
      </c>
      <c r="N1326" s="74">
        <f t="shared" si="3"/>
        <v>140000</v>
      </c>
      <c r="O1326" s="65" t="str">
        <f>VLOOKUP(E1326,DATABASE!C:Q,8,false)</f>
        <v>IBU</v>
      </c>
      <c r="P1326" s="65">
        <f>VLOOKUP(E1326,DATABASE!C:Q,9,False)</f>
        <v>0</v>
      </c>
      <c r="Q1326" s="93" t="str">
        <f>VLOOKUP(E1326,DATABASE!C:Q,4,false)</f>
        <v>SPOORING</v>
      </c>
      <c r="R1326" s="93" t="str">
        <f>VLOOKUP(E1326,DATABASE!C:Q,11,false)</f>
        <v>SERVICE</v>
      </c>
    </row>
    <row r="1327" ht="22.5" customHeight="1">
      <c r="A1327" s="49"/>
      <c r="C1327" s="384">
        <v>45733.0</v>
      </c>
      <c r="D1327" s="65">
        <v>4745.0</v>
      </c>
      <c r="E1327" s="385" t="s">
        <v>299</v>
      </c>
      <c r="F1327" s="386">
        <v>2.0</v>
      </c>
      <c r="G1327" s="74">
        <v>35000.0</v>
      </c>
      <c r="H1327" s="74">
        <v>0.0</v>
      </c>
      <c r="I1327" s="74">
        <f t="shared" si="1"/>
        <v>70000</v>
      </c>
      <c r="J1327" s="74">
        <f>IF(E1327="SERVICE",I1327-(I1327*50%),Vlookup(E1327,DATABASE!C:Q,10,false)*F1327)</f>
        <v>0</v>
      </c>
      <c r="K1327" s="74">
        <v>0.0</v>
      </c>
      <c r="L1327" s="74">
        <v>0.0</v>
      </c>
      <c r="M1327" s="74">
        <f t="shared" si="2"/>
        <v>0</v>
      </c>
      <c r="N1327" s="74">
        <f t="shared" si="3"/>
        <v>70000</v>
      </c>
      <c r="O1327" s="65" t="str">
        <f>VLOOKUP(E1327,DATABASE!C:Q,8,false)</f>
        <v>BIAN</v>
      </c>
      <c r="P1327" s="65">
        <f>VLOOKUP(E1327,DATABASE!C:Q,9,False)</f>
        <v>0</v>
      </c>
      <c r="Q1327" s="93" t="str">
        <f>VLOOKUP(E1327,DATABASE!C:Q,4,false)</f>
        <v>Balancing</v>
      </c>
      <c r="R1327" s="93" t="str">
        <f>VLOOKUP(E1327,DATABASE!C:Q,11,false)</f>
        <v>COMPLEMENTARY</v>
      </c>
    </row>
    <row r="1328" ht="22.5" customHeight="1">
      <c r="A1328" s="49"/>
      <c r="C1328" s="384">
        <v>45733.0</v>
      </c>
      <c r="D1328" s="65">
        <v>4746.0</v>
      </c>
      <c r="E1328" s="445" t="s">
        <v>2019</v>
      </c>
      <c r="F1328" s="386">
        <v>1.0</v>
      </c>
      <c r="G1328" s="74">
        <v>675000.0</v>
      </c>
      <c r="H1328" s="74">
        <v>0.0</v>
      </c>
      <c r="I1328" s="74">
        <f t="shared" si="1"/>
        <v>675000</v>
      </c>
      <c r="J1328" s="74">
        <f>IF(E1328="SERVICE",I1328-(I1328*50%),Vlookup(E1328,DATABASE!C:Q,10,false)*F1328)</f>
        <v>0</v>
      </c>
      <c r="K1328" s="74">
        <f>VLOOKUP(E1328,DATABASE!C:Q,7,false)</f>
        <v>620000</v>
      </c>
      <c r="L1328" s="74">
        <v>585000.0</v>
      </c>
      <c r="M1328" s="74">
        <f t="shared" si="2"/>
        <v>585000</v>
      </c>
      <c r="N1328" s="74">
        <f t="shared" si="3"/>
        <v>90000</v>
      </c>
      <c r="O1328" s="65" t="str">
        <f>VLOOKUP(E1328,DATABASE!C:Q,8,false)</f>
        <v>BIAN</v>
      </c>
      <c r="P1328" s="65">
        <f>VLOOKUP(E1328,DATABASE!C:Q,9,False)</f>
        <v>1</v>
      </c>
      <c r="Q1328" s="93" t="str">
        <f>VLOOKUP(E1328,DATABASE!C:Q,4,false)</f>
        <v>GT</v>
      </c>
      <c r="R1328" s="93" t="str">
        <f>VLOOKUP(E1328,DATABASE!C:Q,11,false)</f>
        <v>Tire</v>
      </c>
    </row>
    <row r="1329" ht="22.5" customHeight="1">
      <c r="A1329" s="49"/>
      <c r="C1329" s="384">
        <v>45734.0</v>
      </c>
      <c r="D1329" s="65">
        <v>4747.0</v>
      </c>
      <c r="E1329" s="445" t="s">
        <v>937</v>
      </c>
      <c r="F1329" s="386">
        <v>2.0</v>
      </c>
      <c r="G1329" s="74">
        <v>900000.0</v>
      </c>
      <c r="H1329" s="74">
        <v>0.0</v>
      </c>
      <c r="I1329" s="74">
        <f t="shared" si="1"/>
        <v>1800000</v>
      </c>
      <c r="J1329" s="74">
        <f>IF(E1329="SERVICE",I1329-(I1329*50%),Vlookup(E1329,DATABASE!C:Q,10,false)*F1329)</f>
        <v>0</v>
      </c>
      <c r="K1329" s="74">
        <f>VLOOKUP(E1329,DATABASE!C:Q,7,false)</f>
        <v>825000</v>
      </c>
      <c r="L1329" s="74">
        <v>790000.0</v>
      </c>
      <c r="M1329" s="74">
        <f t="shared" si="2"/>
        <v>790000</v>
      </c>
      <c r="N1329" s="74">
        <f t="shared" si="3"/>
        <v>220000</v>
      </c>
      <c r="O1329" s="65" t="str">
        <f>VLOOKUP(E1329,DATABASE!C:Q,8,false)</f>
        <v>IBU</v>
      </c>
      <c r="P1329" s="65">
        <f>VLOOKUP(E1329,DATABASE!C:Q,9,False)</f>
        <v>1</v>
      </c>
      <c r="Q1329" s="93" t="str">
        <f>VLOOKUP(E1329,DATABASE!C:Q,4,false)</f>
        <v>Bridgestone</v>
      </c>
      <c r="R1329" s="93" t="str">
        <f>VLOOKUP(E1329,DATABASE!C:Q,11,false)</f>
        <v>Tire</v>
      </c>
    </row>
    <row r="1330" ht="22.5" customHeight="1">
      <c r="A1330" s="49"/>
      <c r="C1330" s="384">
        <v>45734.0</v>
      </c>
      <c r="D1330" s="65">
        <v>4748.0</v>
      </c>
      <c r="E1330" s="445" t="s">
        <v>256</v>
      </c>
      <c r="F1330" s="386">
        <v>1.0</v>
      </c>
      <c r="G1330" s="74">
        <v>130000.0</v>
      </c>
      <c r="H1330" s="74">
        <v>0.0</v>
      </c>
      <c r="I1330" s="74">
        <f t="shared" si="1"/>
        <v>130000</v>
      </c>
      <c r="J1330" s="74">
        <f>IF(E1330="SERVICE",I1330-(I1330*50%),Vlookup(E1330,DATABASE!C:Q,10,false)*F1330)</f>
        <v>10000</v>
      </c>
      <c r="K1330" s="74">
        <f>VLOOKUP(E1330,DATABASE!C:Q,7,false)</f>
        <v>0</v>
      </c>
      <c r="L1330" s="74">
        <v>0.0</v>
      </c>
      <c r="M1330" s="74">
        <f t="shared" si="2"/>
        <v>0</v>
      </c>
      <c r="N1330" s="74">
        <f t="shared" si="3"/>
        <v>120000</v>
      </c>
      <c r="O1330" s="65" t="str">
        <f>VLOOKUP(E1330,DATABASE!C:Q,8,false)</f>
        <v>IBU</v>
      </c>
      <c r="P1330" s="65">
        <f>VLOOKUP(E1330,DATABASE!C:Q,9,False)</f>
        <v>0</v>
      </c>
      <c r="Q1330" s="93" t="str">
        <f>VLOOKUP(E1330,DATABASE!C:Q,4,false)</f>
        <v>SPOORING</v>
      </c>
      <c r="R1330" s="93" t="str">
        <f>VLOOKUP(E1330,DATABASE!C:Q,11,false)</f>
        <v>SERVICE</v>
      </c>
    </row>
    <row r="1331" ht="22.5" customHeight="1">
      <c r="A1331" s="49"/>
      <c r="C1331" s="384">
        <v>45734.0</v>
      </c>
      <c r="D1331" s="65">
        <v>4749.0</v>
      </c>
      <c r="E1331" s="445" t="s">
        <v>1872</v>
      </c>
      <c r="F1331" s="386">
        <v>1.0</v>
      </c>
      <c r="G1331" s="74">
        <v>725000.0</v>
      </c>
      <c r="H1331" s="74">
        <v>0.0</v>
      </c>
      <c r="I1331" s="74">
        <f t="shared" si="1"/>
        <v>725000</v>
      </c>
      <c r="J1331" s="74">
        <f>IF(E1331="SERVICE",I1331-(I1331*50%),Vlookup(E1331,DATABASE!C:Q,10,false)*F1331)</f>
        <v>0</v>
      </c>
      <c r="K1331" s="74">
        <f>VLOOKUP(E1331,DATABASE!C:Q,7,false)</f>
        <v>648900</v>
      </c>
      <c r="L1331" s="74">
        <v>638600.0</v>
      </c>
      <c r="M1331" s="74">
        <f t="shared" si="2"/>
        <v>640000</v>
      </c>
      <c r="N1331" s="74">
        <f t="shared" si="3"/>
        <v>85000</v>
      </c>
      <c r="O1331" s="65" t="str">
        <f>VLOOKUP(E1331,DATABASE!C:Q,8,false)</f>
        <v>BIAN</v>
      </c>
      <c r="P1331" s="65">
        <f>VLOOKUP(E1331,DATABASE!C:Q,9,False)</f>
        <v>1</v>
      </c>
      <c r="Q1331" s="93" t="str">
        <f>VLOOKUP(E1331,DATABASE!C:Q,4,false)</f>
        <v>GT</v>
      </c>
      <c r="R1331" s="93" t="str">
        <f>VLOOKUP(E1331,DATABASE!C:Q,11,false)</f>
        <v>Tire</v>
      </c>
    </row>
    <row r="1332" ht="22.5" customHeight="1">
      <c r="A1332" s="49"/>
      <c r="C1332" s="384">
        <v>45734.0</v>
      </c>
      <c r="D1332" s="65">
        <v>4750.0</v>
      </c>
      <c r="E1332" s="445" t="s">
        <v>256</v>
      </c>
      <c r="F1332" s="386">
        <v>1.0</v>
      </c>
      <c r="G1332" s="74">
        <v>130000.0</v>
      </c>
      <c r="H1332" s="74">
        <v>0.0</v>
      </c>
      <c r="I1332" s="74">
        <f t="shared" si="1"/>
        <v>130000</v>
      </c>
      <c r="J1332" s="74">
        <f>IF(E1332="SERVICE",I1332-(I1332*50%),Vlookup(E1332,DATABASE!C:Q,10,false)*F1332)</f>
        <v>10000</v>
      </c>
      <c r="K1332" s="74">
        <f>VLOOKUP(E1332,DATABASE!C:Q,7,false)</f>
        <v>0</v>
      </c>
      <c r="L1332" s="74">
        <v>0.0</v>
      </c>
      <c r="M1332" s="74">
        <f t="shared" si="2"/>
        <v>0</v>
      </c>
      <c r="N1332" s="74">
        <f t="shared" si="3"/>
        <v>120000</v>
      </c>
      <c r="O1332" s="65" t="str">
        <f>VLOOKUP(E1332,DATABASE!C:Q,8,false)</f>
        <v>IBU</v>
      </c>
      <c r="P1332" s="65">
        <f>VLOOKUP(E1332,DATABASE!C:Q,9,False)</f>
        <v>0</v>
      </c>
      <c r="Q1332" s="93" t="str">
        <f>VLOOKUP(E1332,DATABASE!C:Q,4,false)</f>
        <v>SPOORING</v>
      </c>
      <c r="R1332" s="93" t="str">
        <f>VLOOKUP(E1332,DATABASE!C:Q,11,false)</f>
        <v>SERVICE</v>
      </c>
    </row>
    <row r="1333" ht="22.5" customHeight="1">
      <c r="A1333" s="49"/>
      <c r="C1333" s="384">
        <v>45734.0</v>
      </c>
      <c r="D1333" s="65">
        <v>4750.0</v>
      </c>
      <c r="E1333" s="445" t="s">
        <v>251</v>
      </c>
      <c r="F1333" s="386">
        <v>1.0</v>
      </c>
      <c r="G1333" s="74">
        <v>150000.0</v>
      </c>
      <c r="H1333" s="74">
        <v>0.0</v>
      </c>
      <c r="I1333" s="74">
        <f t="shared" si="1"/>
        <v>150000</v>
      </c>
      <c r="J1333" s="74">
        <f>IF(E1333="SERVICE",I1333-(I1333*50%),Vlookup(E1333,DATABASE!C:Q,10,false)*F1333)</f>
        <v>75000</v>
      </c>
      <c r="K1333" s="74">
        <f>VLOOKUP(E1333,DATABASE!C:Q,7,false)</f>
        <v>0</v>
      </c>
      <c r="L1333" s="74">
        <v>0.0</v>
      </c>
      <c r="M1333" s="74">
        <f t="shared" si="2"/>
        <v>0</v>
      </c>
      <c r="N1333" s="74">
        <f t="shared" si="3"/>
        <v>75000</v>
      </c>
      <c r="O1333" s="65" t="str">
        <f>VLOOKUP(E1333,DATABASE!C:Q,8,false)</f>
        <v>IBU</v>
      </c>
      <c r="P1333" s="65">
        <f>VLOOKUP(E1333,DATABASE!C:Q,9,False)</f>
        <v>0</v>
      </c>
      <c r="Q1333" s="93" t="str">
        <f>VLOOKUP(E1333,DATABASE!C:Q,4,false)</f>
        <v>SERVICE</v>
      </c>
      <c r="R1333" s="93" t="str">
        <f>VLOOKUP(E1333,DATABASE!C:Q,11,false)</f>
        <v>SERVICE</v>
      </c>
    </row>
    <row r="1334" ht="22.5" customHeight="1">
      <c r="A1334" s="49"/>
      <c r="C1334" s="384">
        <v>45734.0</v>
      </c>
      <c r="D1334" s="65">
        <v>4751.0</v>
      </c>
      <c r="E1334" s="385" t="s">
        <v>299</v>
      </c>
      <c r="F1334" s="386">
        <v>2.0</v>
      </c>
      <c r="G1334" s="74">
        <v>30000.0</v>
      </c>
      <c r="H1334" s="74">
        <v>0.0</v>
      </c>
      <c r="I1334" s="74">
        <f t="shared" si="1"/>
        <v>60000</v>
      </c>
      <c r="J1334" s="74">
        <f>IF(E1334="SERVICE",I1334-(I1334*50%),Vlookup(E1334,DATABASE!C:Q,10,false)*F1334)</f>
        <v>0</v>
      </c>
      <c r="K1334" s="74">
        <v>0.0</v>
      </c>
      <c r="L1334" s="74">
        <v>0.0</v>
      </c>
      <c r="M1334" s="74">
        <f t="shared" si="2"/>
        <v>0</v>
      </c>
      <c r="N1334" s="74">
        <f t="shared" si="3"/>
        <v>60000</v>
      </c>
      <c r="O1334" s="65" t="str">
        <f>VLOOKUP(E1334,DATABASE!C:Q,8,false)</f>
        <v>BIAN</v>
      </c>
      <c r="P1334" s="65">
        <f>VLOOKUP(E1334,DATABASE!C:Q,9,False)</f>
        <v>0</v>
      </c>
      <c r="Q1334" s="93" t="str">
        <f>VLOOKUP(E1334,DATABASE!C:Q,4,false)</f>
        <v>Balancing</v>
      </c>
      <c r="R1334" s="93" t="str">
        <f>VLOOKUP(E1334,DATABASE!C:Q,11,false)</f>
        <v>COMPLEMENTARY</v>
      </c>
    </row>
    <row r="1335" ht="22.5" customHeight="1">
      <c r="A1335" s="49"/>
      <c r="C1335" s="384">
        <v>45734.0</v>
      </c>
      <c r="D1335" s="65">
        <v>4753.0</v>
      </c>
      <c r="E1335" s="445" t="s">
        <v>268</v>
      </c>
      <c r="F1335" s="386">
        <v>2.0</v>
      </c>
      <c r="G1335" s="74">
        <v>700000.0</v>
      </c>
      <c r="H1335" s="74">
        <v>0.0</v>
      </c>
      <c r="I1335" s="74">
        <f t="shared" si="1"/>
        <v>1400000</v>
      </c>
      <c r="J1335" s="74">
        <f>IF(E1335="SERVICE",I1335-(I1335*50%),Vlookup(E1335,DATABASE!C:Q,10,false)*F1335)</f>
        <v>0</v>
      </c>
      <c r="K1335" s="74">
        <v>613000.0</v>
      </c>
      <c r="L1335" s="74">
        <v>613000.0</v>
      </c>
      <c r="M1335" s="74">
        <f t="shared" si="2"/>
        <v>615000</v>
      </c>
      <c r="N1335" s="74">
        <f t="shared" si="3"/>
        <v>170000</v>
      </c>
      <c r="O1335" s="65" t="str">
        <f>VLOOKUP(E1335,DATABASE!C:Q,8,false)</f>
        <v>IBU</v>
      </c>
      <c r="P1335" s="65">
        <f>VLOOKUP(E1335,DATABASE!C:Q,9,False)</f>
        <v>1</v>
      </c>
      <c r="Q1335" s="93" t="str">
        <f>VLOOKUP(E1335,DATABASE!C:Q,4,false)</f>
        <v>Dunlop</v>
      </c>
      <c r="R1335" s="93" t="str">
        <f>VLOOKUP(E1335,DATABASE!C:Q,11,false)</f>
        <v>Tire</v>
      </c>
    </row>
    <row r="1336" ht="22.5" customHeight="1">
      <c r="A1336" s="49"/>
      <c r="C1336" s="384">
        <v>45734.0</v>
      </c>
      <c r="D1336" s="65">
        <v>4754.0</v>
      </c>
      <c r="E1336" s="445" t="s">
        <v>256</v>
      </c>
      <c r="F1336" s="386">
        <v>1.0</v>
      </c>
      <c r="G1336" s="74">
        <v>130000.0</v>
      </c>
      <c r="H1336" s="74">
        <v>0.0</v>
      </c>
      <c r="I1336" s="74">
        <f t="shared" si="1"/>
        <v>130000</v>
      </c>
      <c r="J1336" s="74">
        <f>IF(E1336="SERVICE",I1336-(I1336*50%),Vlookup(E1336,DATABASE!C:Q,10,false)*F1336)</f>
        <v>10000</v>
      </c>
      <c r="K1336" s="74">
        <f>VLOOKUP(E1336,DATABASE!C:Q,7,false)</f>
        <v>0</v>
      </c>
      <c r="L1336" s="74">
        <v>0.0</v>
      </c>
      <c r="M1336" s="74">
        <f t="shared" si="2"/>
        <v>0</v>
      </c>
      <c r="N1336" s="74">
        <f t="shared" si="3"/>
        <v>120000</v>
      </c>
      <c r="O1336" s="65" t="str">
        <f>VLOOKUP(E1336,DATABASE!C:Q,8,false)</f>
        <v>IBU</v>
      </c>
      <c r="P1336" s="65">
        <f>VLOOKUP(E1336,DATABASE!C:Q,9,False)</f>
        <v>0</v>
      </c>
      <c r="Q1336" s="93" t="str">
        <f>VLOOKUP(E1336,DATABASE!C:Q,4,false)</f>
        <v>SPOORING</v>
      </c>
      <c r="R1336" s="93" t="str">
        <f>VLOOKUP(E1336,DATABASE!C:Q,11,false)</f>
        <v>SERVICE</v>
      </c>
    </row>
    <row r="1337" ht="22.5" customHeight="1">
      <c r="A1337" s="49"/>
      <c r="C1337" s="384">
        <v>45734.0</v>
      </c>
      <c r="D1337" s="65">
        <v>4754.0</v>
      </c>
      <c r="E1337" s="385" t="s">
        <v>299</v>
      </c>
      <c r="F1337" s="386">
        <v>2.0</v>
      </c>
      <c r="G1337" s="74">
        <v>30000.0</v>
      </c>
      <c r="H1337" s="74">
        <v>0.0</v>
      </c>
      <c r="I1337" s="74">
        <f t="shared" si="1"/>
        <v>60000</v>
      </c>
      <c r="J1337" s="74">
        <f>IF(E1337="SERVICE",I1337-(I1337*50%),Vlookup(E1337,DATABASE!C:Q,10,false)*F1337)</f>
        <v>0</v>
      </c>
      <c r="K1337" s="74">
        <v>0.0</v>
      </c>
      <c r="L1337" s="74">
        <v>0.0</v>
      </c>
      <c r="M1337" s="74">
        <f t="shared" si="2"/>
        <v>0</v>
      </c>
      <c r="N1337" s="74">
        <f t="shared" si="3"/>
        <v>60000</v>
      </c>
      <c r="O1337" s="65" t="str">
        <f>VLOOKUP(E1337,DATABASE!C:Q,8,false)</f>
        <v>BIAN</v>
      </c>
      <c r="P1337" s="65">
        <f>VLOOKUP(E1337,DATABASE!C:Q,9,False)</f>
        <v>0</v>
      </c>
      <c r="Q1337" s="93" t="str">
        <f>VLOOKUP(E1337,DATABASE!C:Q,4,false)</f>
        <v>Balancing</v>
      </c>
      <c r="R1337" s="93" t="str">
        <f>VLOOKUP(E1337,DATABASE!C:Q,11,false)</f>
        <v>COMPLEMENTARY</v>
      </c>
    </row>
    <row r="1338" ht="22.5" customHeight="1">
      <c r="A1338" s="49"/>
      <c r="C1338" s="384">
        <v>45734.0</v>
      </c>
      <c r="D1338" s="65">
        <v>4754.0</v>
      </c>
      <c r="E1338" s="445" t="s">
        <v>301</v>
      </c>
      <c r="F1338" s="386">
        <v>1.0</v>
      </c>
      <c r="G1338" s="74">
        <v>250000.0</v>
      </c>
      <c r="H1338" s="74">
        <v>0.0</v>
      </c>
      <c r="I1338" s="74">
        <f t="shared" si="1"/>
        <v>250000</v>
      </c>
      <c r="J1338" s="74">
        <f>IF(E1338="SERVICE",I1338-(I1338*50%),Vlookup(E1338,DATABASE!C:Q,10,false)*F1338)</f>
        <v>75000</v>
      </c>
      <c r="K1338" s="74">
        <f>VLOOKUP(E1338,DATABASE!C:Q,7,false)</f>
        <v>75000</v>
      </c>
      <c r="L1338" s="74">
        <v>75000.0</v>
      </c>
      <c r="M1338" s="74">
        <f t="shared" si="2"/>
        <v>75000</v>
      </c>
      <c r="N1338" s="74">
        <f t="shared" si="3"/>
        <v>100000</v>
      </c>
      <c r="O1338" s="65" t="str">
        <f>VLOOKUP(E1338,DATABASE!C:Q,8,false)</f>
        <v>BIAN</v>
      </c>
      <c r="P1338" s="65">
        <f>VLOOKUP(E1338,DATABASE!C:Q,9,False)</f>
        <v>0</v>
      </c>
      <c r="Q1338" s="93" t="str">
        <f>VLOOKUP(E1338,DATABASE!C:Q,4,false)</f>
        <v>Baut Camber</v>
      </c>
      <c r="R1338" s="93" t="str">
        <f>VLOOKUP(E1338,DATABASE!C:Q,11,false)</f>
        <v>COMPLEMENTARY</v>
      </c>
    </row>
    <row r="1339" ht="22.5" customHeight="1">
      <c r="A1339" s="49"/>
      <c r="C1339" s="384">
        <v>45734.0</v>
      </c>
      <c r="D1339" s="65">
        <v>4755.0</v>
      </c>
      <c r="E1339" s="445" t="s">
        <v>940</v>
      </c>
      <c r="F1339" s="386">
        <v>2.0</v>
      </c>
      <c r="G1339" s="74">
        <v>800000.0</v>
      </c>
      <c r="H1339" s="74">
        <v>0.0</v>
      </c>
      <c r="I1339" s="74">
        <f t="shared" si="1"/>
        <v>1600000</v>
      </c>
      <c r="J1339" s="74">
        <f>IF(E1339="SERVICE",I1339-(I1339*50%),Vlookup(E1339,DATABASE!C:Q,10,false)*F1339)</f>
        <v>0</v>
      </c>
      <c r="K1339" s="74">
        <f>VLOOKUP(E1339,DATABASE!C:Q,7,false)</f>
        <v>716500</v>
      </c>
      <c r="L1339" s="74">
        <v>709000.0</v>
      </c>
      <c r="M1339" s="74">
        <f t="shared" si="2"/>
        <v>710000</v>
      </c>
      <c r="N1339" s="74">
        <f t="shared" si="3"/>
        <v>180000</v>
      </c>
      <c r="O1339" s="65" t="str">
        <f>VLOOKUP(E1339,DATABASE!C:Q,8,false)</f>
        <v>IBU</v>
      </c>
      <c r="P1339" s="65">
        <f>VLOOKUP(E1339,DATABASE!C:Q,9,False)</f>
        <v>1</v>
      </c>
      <c r="Q1339" s="93" t="str">
        <f>VLOOKUP(E1339,DATABASE!C:Q,4,false)</f>
        <v>Dunlop</v>
      </c>
      <c r="R1339" s="93" t="str">
        <f>VLOOKUP(E1339,DATABASE!C:Q,11,false)</f>
        <v>Tire</v>
      </c>
    </row>
    <row r="1340" ht="22.5" customHeight="1">
      <c r="A1340" s="49"/>
      <c r="C1340" s="384">
        <v>45734.0</v>
      </c>
      <c r="D1340" s="65">
        <v>4756.0</v>
      </c>
      <c r="E1340" s="445" t="s">
        <v>781</v>
      </c>
      <c r="F1340" s="386">
        <v>1.0</v>
      </c>
      <c r="G1340" s="74">
        <v>530000.0</v>
      </c>
      <c r="H1340" s="74">
        <v>0.0</v>
      </c>
      <c r="I1340" s="74">
        <f t="shared" si="1"/>
        <v>530000</v>
      </c>
      <c r="J1340" s="74">
        <f>IF(E1340="SERVICE",I1340-(I1340*50%),Vlookup(E1340,DATABASE!C:Q,10,false)*F1340)</f>
        <v>0</v>
      </c>
      <c r="K1340" s="74">
        <f>VLOOKUP(E1340,DATABASE!C:Q,7,false)</f>
        <v>470000</v>
      </c>
      <c r="L1340" s="74">
        <v>442500.0</v>
      </c>
      <c r="M1340" s="74">
        <f t="shared" si="2"/>
        <v>445000</v>
      </c>
      <c r="N1340" s="74">
        <f t="shared" si="3"/>
        <v>85000</v>
      </c>
      <c r="O1340" s="65" t="str">
        <f>VLOOKUP(E1340,DATABASE!C:Q,8,false)</f>
        <v>BIAN</v>
      </c>
      <c r="P1340" s="65">
        <f>VLOOKUP(E1340,DATABASE!C:Q,9,False)</f>
        <v>1</v>
      </c>
      <c r="Q1340" s="93" t="str">
        <f>VLOOKUP(E1340,DATABASE!C:Q,4,false)</f>
        <v>GT</v>
      </c>
      <c r="R1340" s="93" t="str">
        <f>VLOOKUP(E1340,DATABASE!C:Q,11,false)</f>
        <v>Tire</v>
      </c>
    </row>
    <row r="1341" ht="22.5" customHeight="1">
      <c r="A1341" s="49"/>
      <c r="C1341" s="384">
        <v>45734.0</v>
      </c>
      <c r="D1341" s="65">
        <v>4756.0</v>
      </c>
      <c r="E1341" s="445" t="s">
        <v>554</v>
      </c>
      <c r="F1341" s="386">
        <v>2.0</v>
      </c>
      <c r="G1341" s="74">
        <v>800000.0</v>
      </c>
      <c r="H1341" s="74">
        <v>0.0</v>
      </c>
      <c r="I1341" s="74">
        <f t="shared" si="1"/>
        <v>1600000</v>
      </c>
      <c r="J1341" s="74">
        <f>IF(E1341="SERVICE",I1341-(I1341*50%),Vlookup(E1341,DATABASE!C:Q,10,false)*F1341)</f>
        <v>0</v>
      </c>
      <c r="K1341" s="74">
        <f>VLOOKUP(E1341,DATABASE!C:Q,7,false)</f>
        <v>710000</v>
      </c>
      <c r="L1341" s="74">
        <v>680000.0</v>
      </c>
      <c r="M1341" s="74">
        <f t="shared" si="2"/>
        <v>680000</v>
      </c>
      <c r="N1341" s="74">
        <f t="shared" si="3"/>
        <v>240000</v>
      </c>
      <c r="O1341" s="65" t="str">
        <f>VLOOKUP(E1341,DATABASE!C:Q,8,false)</f>
        <v>IBU</v>
      </c>
      <c r="P1341" s="65">
        <f>VLOOKUP(E1341,DATABASE!C:Q,9,False)</f>
        <v>1</v>
      </c>
      <c r="Q1341" s="93" t="str">
        <f>VLOOKUP(E1341,DATABASE!C:Q,4,false)</f>
        <v>Bridgestone</v>
      </c>
      <c r="R1341" s="93" t="str">
        <f>VLOOKUP(E1341,DATABASE!C:Q,11,false)</f>
        <v>Tire</v>
      </c>
    </row>
    <row r="1342" ht="22.5" customHeight="1">
      <c r="A1342" s="49"/>
      <c r="C1342" s="384">
        <v>45734.0</v>
      </c>
      <c r="D1342" s="65">
        <v>4757.0</v>
      </c>
      <c r="E1342" s="445" t="s">
        <v>275</v>
      </c>
      <c r="F1342" s="386">
        <v>2.0</v>
      </c>
      <c r="G1342" s="74">
        <v>830000.0</v>
      </c>
      <c r="H1342" s="74">
        <v>0.0</v>
      </c>
      <c r="I1342" s="74">
        <f t="shared" si="1"/>
        <v>1660000</v>
      </c>
      <c r="J1342" s="74">
        <f>IF(E1342="SERVICE",I1342-(I1342*50%),Vlookup(E1342,DATABASE!C:Q,10,false)*F1342)</f>
        <v>0</v>
      </c>
      <c r="K1342" s="74">
        <v>735000.0</v>
      </c>
      <c r="L1342" s="74">
        <v>735000.0</v>
      </c>
      <c r="M1342" s="74">
        <f t="shared" si="2"/>
        <v>735000</v>
      </c>
      <c r="N1342" s="74">
        <f t="shared" si="3"/>
        <v>190000</v>
      </c>
      <c r="O1342" s="65" t="str">
        <f>VLOOKUP(E1342,DATABASE!C:Q,8,false)</f>
        <v>IBU</v>
      </c>
      <c r="P1342" s="65">
        <f>VLOOKUP(E1342,DATABASE!C:Q,9,False)</f>
        <v>1</v>
      </c>
      <c r="Q1342" s="93" t="str">
        <f>VLOOKUP(E1342,DATABASE!C:Q,4,false)</f>
        <v>Dunlop</v>
      </c>
      <c r="R1342" s="93" t="str">
        <f>VLOOKUP(E1342,DATABASE!C:Q,11,false)</f>
        <v>Tire</v>
      </c>
    </row>
    <row r="1343" ht="22.5" customHeight="1">
      <c r="A1343" s="49"/>
      <c r="C1343" s="384">
        <v>45734.0</v>
      </c>
      <c r="D1343" s="65">
        <v>4758.0</v>
      </c>
      <c r="E1343" s="445" t="s">
        <v>256</v>
      </c>
      <c r="F1343" s="386">
        <v>1.0</v>
      </c>
      <c r="G1343" s="74">
        <v>130000.0</v>
      </c>
      <c r="H1343" s="74">
        <v>0.0</v>
      </c>
      <c r="I1343" s="74">
        <f t="shared" si="1"/>
        <v>130000</v>
      </c>
      <c r="J1343" s="74">
        <f>IF(E1343="SERVICE",I1343-(I1343*50%),Vlookup(E1343,DATABASE!C:Q,10,false)*F1343)</f>
        <v>10000</v>
      </c>
      <c r="K1343" s="74">
        <f>VLOOKUP(E1343,DATABASE!C:Q,7,false)</f>
        <v>0</v>
      </c>
      <c r="L1343" s="74">
        <v>0.0</v>
      </c>
      <c r="M1343" s="74">
        <f t="shared" si="2"/>
        <v>0</v>
      </c>
      <c r="N1343" s="74">
        <f t="shared" si="3"/>
        <v>120000</v>
      </c>
      <c r="O1343" s="65" t="str">
        <f>VLOOKUP(E1343,DATABASE!C:Q,8,false)</f>
        <v>IBU</v>
      </c>
      <c r="P1343" s="65">
        <f>VLOOKUP(E1343,DATABASE!C:Q,9,False)</f>
        <v>0</v>
      </c>
      <c r="Q1343" s="93" t="str">
        <f>VLOOKUP(E1343,DATABASE!C:Q,4,false)</f>
        <v>SPOORING</v>
      </c>
      <c r="R1343" s="93" t="str">
        <f>VLOOKUP(E1343,DATABASE!C:Q,11,false)</f>
        <v>SERVICE</v>
      </c>
    </row>
    <row r="1344" ht="22.5" customHeight="1">
      <c r="A1344" s="49"/>
      <c r="C1344" s="384">
        <v>45734.0</v>
      </c>
      <c r="D1344" s="65">
        <v>4758.0</v>
      </c>
      <c r="E1344" s="445" t="s">
        <v>251</v>
      </c>
      <c r="F1344" s="386">
        <v>1.0</v>
      </c>
      <c r="G1344" s="74">
        <v>150000.0</v>
      </c>
      <c r="H1344" s="74">
        <v>0.0</v>
      </c>
      <c r="I1344" s="74">
        <f t="shared" si="1"/>
        <v>150000</v>
      </c>
      <c r="J1344" s="74">
        <f>IF(E1344="SERVICE",I1344-(I1344*50%),Vlookup(E1344,DATABASE!C:Q,10,false)*F1344)</f>
        <v>75000</v>
      </c>
      <c r="K1344" s="74">
        <f>VLOOKUP(E1344,DATABASE!C:Q,7,false)</f>
        <v>0</v>
      </c>
      <c r="L1344" s="74">
        <v>0.0</v>
      </c>
      <c r="M1344" s="74">
        <f t="shared" si="2"/>
        <v>0</v>
      </c>
      <c r="N1344" s="74">
        <f t="shared" si="3"/>
        <v>75000</v>
      </c>
      <c r="O1344" s="65" t="str">
        <f>VLOOKUP(E1344,DATABASE!C:Q,8,false)</f>
        <v>IBU</v>
      </c>
      <c r="P1344" s="65">
        <f>VLOOKUP(E1344,DATABASE!C:Q,9,False)</f>
        <v>0</v>
      </c>
      <c r="Q1344" s="93" t="str">
        <f>VLOOKUP(E1344,DATABASE!C:Q,4,false)</f>
        <v>SERVICE</v>
      </c>
      <c r="R1344" s="93" t="str">
        <f>VLOOKUP(E1344,DATABASE!C:Q,11,false)</f>
        <v>SERVICE</v>
      </c>
    </row>
    <row r="1345" ht="22.5" customHeight="1">
      <c r="A1345" s="49"/>
      <c r="C1345" s="384">
        <v>45734.0</v>
      </c>
      <c r="D1345" s="65">
        <v>4758.0</v>
      </c>
      <c r="E1345" s="385" t="s">
        <v>299</v>
      </c>
      <c r="F1345" s="386">
        <v>2.0</v>
      </c>
      <c r="G1345" s="74">
        <v>30000.0</v>
      </c>
      <c r="H1345" s="74">
        <v>0.0</v>
      </c>
      <c r="I1345" s="74">
        <f t="shared" si="1"/>
        <v>60000</v>
      </c>
      <c r="J1345" s="74">
        <f>IF(E1345="SERVICE",I1345-(I1345*50%),Vlookup(E1345,DATABASE!C:Q,10,false)*F1345)</f>
        <v>0</v>
      </c>
      <c r="K1345" s="74">
        <v>0.0</v>
      </c>
      <c r="L1345" s="74">
        <v>0.0</v>
      </c>
      <c r="M1345" s="74">
        <f t="shared" si="2"/>
        <v>0</v>
      </c>
      <c r="N1345" s="74">
        <f t="shared" si="3"/>
        <v>60000</v>
      </c>
      <c r="O1345" s="65" t="str">
        <f>VLOOKUP(E1345,DATABASE!C:Q,8,false)</f>
        <v>BIAN</v>
      </c>
      <c r="P1345" s="65">
        <f>VLOOKUP(E1345,DATABASE!C:Q,9,False)</f>
        <v>0</v>
      </c>
      <c r="Q1345" s="93" t="str">
        <f>VLOOKUP(E1345,DATABASE!C:Q,4,false)</f>
        <v>Balancing</v>
      </c>
      <c r="R1345" s="93" t="str">
        <f>VLOOKUP(E1345,DATABASE!C:Q,11,false)</f>
        <v>COMPLEMENTARY</v>
      </c>
    </row>
    <row r="1346" ht="22.5" customHeight="1">
      <c r="A1346" s="49"/>
      <c r="C1346" s="384">
        <v>45734.0</v>
      </c>
      <c r="D1346" s="65">
        <v>4759.0</v>
      </c>
      <c r="E1346" s="445" t="s">
        <v>791</v>
      </c>
      <c r="F1346" s="386">
        <v>2.0</v>
      </c>
      <c r="G1346" s="74">
        <v>1275000.0</v>
      </c>
      <c r="H1346" s="74">
        <v>0.0</v>
      </c>
      <c r="I1346" s="74">
        <f t="shared" si="1"/>
        <v>2550000</v>
      </c>
      <c r="J1346" s="74">
        <f>IF(E1346="SERVICE",I1346-(I1346*50%),Vlookup(E1346,DATABASE!C:Q,10,false)*F1346)</f>
        <v>0</v>
      </c>
      <c r="K1346" s="74">
        <f>VLOOKUP(E1346,DATABASE!C:Q,7,false)</f>
        <v>1210000</v>
      </c>
      <c r="L1346" s="74">
        <v>1180000.0</v>
      </c>
      <c r="M1346" s="74">
        <f t="shared" si="2"/>
        <v>1180000</v>
      </c>
      <c r="N1346" s="74">
        <f t="shared" si="3"/>
        <v>190000</v>
      </c>
      <c r="O1346" s="65" t="str">
        <f>VLOOKUP(E1346,DATABASE!C:Q,8,false)</f>
        <v>BIAN</v>
      </c>
      <c r="P1346" s="65">
        <f>VLOOKUP(E1346,DATABASE!C:Q,9,False)</f>
        <v>1</v>
      </c>
      <c r="Q1346" s="93" t="str">
        <f>VLOOKUP(E1346,DATABASE!C:Q,4,false)</f>
        <v>GT</v>
      </c>
      <c r="R1346" s="93" t="str">
        <f>VLOOKUP(E1346,DATABASE!C:Q,11,false)</f>
        <v>Tire</v>
      </c>
    </row>
    <row r="1347" ht="22.5" customHeight="1">
      <c r="A1347" s="49"/>
      <c r="C1347" s="384">
        <v>45734.0</v>
      </c>
      <c r="D1347" s="65">
        <v>4759.0</v>
      </c>
      <c r="E1347" s="445" t="s">
        <v>255</v>
      </c>
      <c r="F1347" s="386">
        <v>1.0</v>
      </c>
      <c r="G1347" s="74">
        <v>200000.0</v>
      </c>
      <c r="H1347" s="74">
        <v>0.0</v>
      </c>
      <c r="I1347" s="74">
        <f t="shared" si="1"/>
        <v>200000</v>
      </c>
      <c r="J1347" s="74">
        <f>IF(E1347="SERVICE",I1347-(I1347*50%),Vlookup(E1347,DATABASE!C:Q,10,false)*F1347)</f>
        <v>0</v>
      </c>
      <c r="K1347" s="74">
        <f>VLOOKUP(E1347,DATABASE!C:Q,7,false)</f>
        <v>161840</v>
      </c>
      <c r="L1347" s="74">
        <v>161840.0</v>
      </c>
      <c r="M1347" s="74">
        <f t="shared" si="2"/>
        <v>165000</v>
      </c>
      <c r="N1347" s="74">
        <f t="shared" si="3"/>
        <v>35000</v>
      </c>
      <c r="O1347" s="65" t="str">
        <f>VLOOKUP(E1347,DATABASE!C:Q,8,false)</f>
        <v>BIAN</v>
      </c>
      <c r="P1347" s="65">
        <f>VLOOKUP(E1347,DATABASE!C:Q,9,False)</f>
        <v>1</v>
      </c>
      <c r="Q1347" s="93" t="str">
        <f>VLOOKUP(E1347,DATABASE!C:Q,4,false)</f>
        <v>BD</v>
      </c>
      <c r="R1347" s="93" t="str">
        <f>VLOOKUP(E1347,DATABASE!C:Q,11,false)</f>
        <v>Tire</v>
      </c>
    </row>
    <row r="1348" ht="22.5" customHeight="1">
      <c r="A1348" s="49"/>
      <c r="C1348" s="384">
        <v>45734.0</v>
      </c>
      <c r="D1348" s="65">
        <v>4760.0</v>
      </c>
      <c r="E1348" s="445" t="s">
        <v>1439</v>
      </c>
      <c r="F1348" s="386">
        <v>2.0</v>
      </c>
      <c r="G1348" s="74">
        <v>630000.0</v>
      </c>
      <c r="H1348" s="74">
        <v>0.0</v>
      </c>
      <c r="I1348" s="74">
        <f t="shared" si="1"/>
        <v>1260000</v>
      </c>
      <c r="J1348" s="74">
        <f>IF(E1348="SERVICE",I1348-(I1348*50%),Vlookup(E1348,DATABASE!C:Q,10,false)*F1348)</f>
        <v>0</v>
      </c>
      <c r="K1348" s="74">
        <f>VLOOKUP(E1348,DATABASE!C:Q,7,false)</f>
        <v>556800</v>
      </c>
      <c r="L1348" s="74">
        <v>540800.0</v>
      </c>
      <c r="M1348" s="74">
        <f t="shared" si="2"/>
        <v>545000</v>
      </c>
      <c r="N1348" s="74">
        <f t="shared" si="3"/>
        <v>170000</v>
      </c>
      <c r="O1348" s="65" t="str">
        <f>VLOOKUP(E1348,DATABASE!C:Q,8,false)</f>
        <v>BIAN</v>
      </c>
      <c r="P1348" s="65">
        <f>VLOOKUP(E1348,DATABASE!C:Q,9,False)</f>
        <v>1</v>
      </c>
      <c r="Q1348" s="93" t="str">
        <f>VLOOKUP(E1348,DATABASE!C:Q,4,false)</f>
        <v>GT</v>
      </c>
      <c r="R1348" s="93" t="str">
        <f>VLOOKUP(E1348,DATABASE!C:Q,11,false)</f>
        <v>Tire</v>
      </c>
    </row>
    <row r="1349" ht="22.5" customHeight="1">
      <c r="A1349" s="49"/>
      <c r="C1349" s="384">
        <v>45734.0</v>
      </c>
      <c r="D1349" s="65">
        <v>4761.0</v>
      </c>
      <c r="E1349" s="445" t="s">
        <v>2019</v>
      </c>
      <c r="F1349" s="386">
        <v>1.0</v>
      </c>
      <c r="G1349" s="74">
        <v>685000.0</v>
      </c>
      <c r="H1349" s="74">
        <v>0.0</v>
      </c>
      <c r="I1349" s="74">
        <f t="shared" si="1"/>
        <v>685000</v>
      </c>
      <c r="J1349" s="74">
        <f>IF(E1349="SERVICE",I1349-(I1349*50%),Vlookup(E1349,DATABASE!C:Q,10,false)*F1349)</f>
        <v>0</v>
      </c>
      <c r="K1349" s="74">
        <f>VLOOKUP(E1349,DATABASE!C:Q,7,false)</f>
        <v>620000</v>
      </c>
      <c r="L1349" s="74">
        <v>585000.0</v>
      </c>
      <c r="M1349" s="74">
        <f t="shared" si="2"/>
        <v>585000</v>
      </c>
      <c r="N1349" s="74">
        <f t="shared" si="3"/>
        <v>100000</v>
      </c>
      <c r="O1349" s="65" t="str">
        <f>VLOOKUP(E1349,DATABASE!C:Q,8,false)</f>
        <v>BIAN</v>
      </c>
      <c r="P1349" s="65">
        <f>VLOOKUP(E1349,DATABASE!C:Q,9,False)</f>
        <v>1</v>
      </c>
      <c r="Q1349" s="93" t="str">
        <f>VLOOKUP(E1349,DATABASE!C:Q,4,false)</f>
        <v>GT</v>
      </c>
      <c r="R1349" s="93" t="str">
        <f>VLOOKUP(E1349,DATABASE!C:Q,11,false)</f>
        <v>Tire</v>
      </c>
    </row>
    <row r="1350" ht="22.5" customHeight="1">
      <c r="A1350" s="49"/>
      <c r="C1350" s="384">
        <v>45734.0</v>
      </c>
      <c r="D1350" s="65">
        <v>4762.0</v>
      </c>
      <c r="E1350" s="445" t="s">
        <v>256</v>
      </c>
      <c r="F1350" s="386">
        <v>1.0</v>
      </c>
      <c r="G1350" s="74">
        <v>130000.0</v>
      </c>
      <c r="H1350" s="74">
        <v>0.0</v>
      </c>
      <c r="I1350" s="74">
        <f t="shared" si="1"/>
        <v>130000</v>
      </c>
      <c r="J1350" s="74">
        <f>IF(E1350="SERVICE",I1350-(I1350*50%),Vlookup(E1350,DATABASE!C:Q,10,false)*F1350)</f>
        <v>10000</v>
      </c>
      <c r="K1350" s="74">
        <f>VLOOKUP(E1350,DATABASE!C:Q,7,false)</f>
        <v>0</v>
      </c>
      <c r="L1350" s="74">
        <v>0.0</v>
      </c>
      <c r="M1350" s="74">
        <f t="shared" si="2"/>
        <v>0</v>
      </c>
      <c r="N1350" s="74">
        <f t="shared" si="3"/>
        <v>120000</v>
      </c>
      <c r="O1350" s="65" t="str">
        <f>VLOOKUP(E1350,DATABASE!C:Q,8,false)</f>
        <v>IBU</v>
      </c>
      <c r="P1350" s="65">
        <f>VLOOKUP(E1350,DATABASE!C:Q,9,False)</f>
        <v>0</v>
      </c>
      <c r="Q1350" s="93" t="str">
        <f>VLOOKUP(E1350,DATABASE!C:Q,4,false)</f>
        <v>SPOORING</v>
      </c>
      <c r="R1350" s="93" t="str">
        <f>VLOOKUP(E1350,DATABASE!C:Q,11,false)</f>
        <v>SERVICE</v>
      </c>
    </row>
    <row r="1351" ht="22.5" customHeight="1">
      <c r="A1351" s="49"/>
      <c r="C1351" s="384">
        <v>45734.0</v>
      </c>
      <c r="D1351" s="65">
        <v>4763.0</v>
      </c>
      <c r="E1351" s="445" t="s">
        <v>814</v>
      </c>
      <c r="F1351" s="386">
        <v>1.0</v>
      </c>
      <c r="G1351" s="74">
        <v>65000.0</v>
      </c>
      <c r="H1351" s="74">
        <v>0.0</v>
      </c>
      <c r="I1351" s="74">
        <f t="shared" si="1"/>
        <v>65000</v>
      </c>
      <c r="J1351" s="74">
        <f>IF(E1351="SERVICE",I1351-(I1351*50%),Vlookup(E1351,DATABASE!C:Q,10,false)*F1351)</f>
        <v>0</v>
      </c>
      <c r="K1351" s="74">
        <f>VLOOKUP(E1351,DATABASE!C:Q,7,false)</f>
        <v>39440</v>
      </c>
      <c r="L1351" s="74">
        <v>39440.0</v>
      </c>
      <c r="M1351" s="74">
        <f t="shared" si="2"/>
        <v>40000</v>
      </c>
      <c r="N1351" s="74">
        <f t="shared" si="3"/>
        <v>25000</v>
      </c>
      <c r="O1351" s="65" t="str">
        <f>VLOOKUP(E1351,DATABASE!C:Q,8,false)</f>
        <v>BIAN</v>
      </c>
      <c r="P1351" s="65">
        <f>VLOOKUP(E1351,DATABASE!C:Q,9,False)</f>
        <v>1</v>
      </c>
      <c r="Q1351" s="93" t="str">
        <f>VLOOKUP(E1351,DATABASE!C:Q,4,false)</f>
        <v>Flap</v>
      </c>
      <c r="R1351" s="93" t="str">
        <f>VLOOKUP(E1351,DATABASE!C:Q,11,false)</f>
        <v>Tire</v>
      </c>
    </row>
    <row r="1352" ht="22.5" customHeight="1">
      <c r="A1352" s="49"/>
      <c r="C1352" s="384">
        <v>45734.0</v>
      </c>
      <c r="D1352" s="65">
        <v>4764.0</v>
      </c>
      <c r="E1352" s="445" t="s">
        <v>777</v>
      </c>
      <c r="F1352" s="386">
        <v>2.0</v>
      </c>
      <c r="G1352" s="74">
        <v>565000.0</v>
      </c>
      <c r="H1352" s="74">
        <v>0.0</v>
      </c>
      <c r="I1352" s="74">
        <f t="shared" si="1"/>
        <v>1130000</v>
      </c>
      <c r="J1352" s="74">
        <f>IF(E1352="SERVICE",I1352-(I1352*50%),Vlookup(E1352,DATABASE!C:Q,10,false)*F1352)</f>
        <v>0</v>
      </c>
      <c r="K1352" s="74">
        <f>VLOOKUP(E1352,DATABASE!C:Q,7,false)</f>
        <v>540000</v>
      </c>
      <c r="L1352" s="74">
        <v>507000.0</v>
      </c>
      <c r="M1352" s="74">
        <f t="shared" si="2"/>
        <v>510000</v>
      </c>
      <c r="N1352" s="74">
        <f t="shared" si="3"/>
        <v>110000</v>
      </c>
      <c r="O1352" s="65" t="str">
        <f>VLOOKUP(E1352,DATABASE!C:Q,8,false)</f>
        <v>BIAN</v>
      </c>
      <c r="P1352" s="65">
        <f>VLOOKUP(E1352,DATABASE!C:Q,9,False)</f>
        <v>1</v>
      </c>
      <c r="Q1352" s="93" t="str">
        <f>VLOOKUP(E1352,DATABASE!C:Q,4,false)</f>
        <v>GT</v>
      </c>
      <c r="R1352" s="93" t="str">
        <f>VLOOKUP(E1352,DATABASE!C:Q,11,false)</f>
        <v>Tire</v>
      </c>
    </row>
    <row r="1353" ht="22.5" customHeight="1">
      <c r="A1353" s="49"/>
      <c r="C1353" s="384">
        <v>45734.0</v>
      </c>
      <c r="D1353" s="65">
        <v>4766.0</v>
      </c>
      <c r="E1353" s="445" t="s">
        <v>268</v>
      </c>
      <c r="F1353" s="386">
        <v>2.0</v>
      </c>
      <c r="G1353" s="74">
        <v>700000.0</v>
      </c>
      <c r="H1353" s="74">
        <v>0.0</v>
      </c>
      <c r="I1353" s="74">
        <f t="shared" si="1"/>
        <v>1400000</v>
      </c>
      <c r="J1353" s="74">
        <f>IF(E1353="SERVICE",I1353-(I1353*50%),Vlookup(E1353,DATABASE!C:Q,10,false)*F1353)</f>
        <v>0</v>
      </c>
      <c r="K1353" s="74">
        <v>613000.0</v>
      </c>
      <c r="L1353" s="74">
        <v>613000.0</v>
      </c>
      <c r="M1353" s="74">
        <f t="shared" si="2"/>
        <v>615000</v>
      </c>
      <c r="N1353" s="74">
        <f t="shared" si="3"/>
        <v>170000</v>
      </c>
      <c r="O1353" s="65" t="str">
        <f>VLOOKUP(E1353,DATABASE!C:Q,8,false)</f>
        <v>IBU</v>
      </c>
      <c r="P1353" s="65">
        <f>VLOOKUP(E1353,DATABASE!C:Q,9,False)</f>
        <v>1</v>
      </c>
      <c r="Q1353" s="93" t="str">
        <f>VLOOKUP(E1353,DATABASE!C:Q,4,false)</f>
        <v>Dunlop</v>
      </c>
      <c r="R1353" s="93" t="str">
        <f>VLOOKUP(E1353,DATABASE!C:Q,11,false)</f>
        <v>Tire</v>
      </c>
    </row>
    <row r="1354" ht="22.5" customHeight="1">
      <c r="A1354" s="49"/>
      <c r="C1354" s="384">
        <v>45734.0</v>
      </c>
      <c r="D1354" s="65">
        <v>4768.0</v>
      </c>
      <c r="E1354" s="445" t="s">
        <v>1301</v>
      </c>
      <c r="F1354" s="386">
        <v>2.0</v>
      </c>
      <c r="G1354" s="74">
        <v>1270000.0</v>
      </c>
      <c r="H1354" s="74">
        <v>0.0</v>
      </c>
      <c r="I1354" s="74">
        <f t="shared" si="1"/>
        <v>2540000</v>
      </c>
      <c r="J1354" s="74">
        <f>IF(E1354="SERVICE",I1354-(I1354*50%),Vlookup(E1354,DATABASE!C:Q,10,false)*F1354)</f>
        <v>0</v>
      </c>
      <c r="K1354" s="74">
        <f>VLOOKUP(E1354,DATABASE!C:Q,7,false)</f>
        <v>1194000</v>
      </c>
      <c r="L1354" s="74">
        <v>1182000.0</v>
      </c>
      <c r="M1354" s="74">
        <f t="shared" si="2"/>
        <v>1185000</v>
      </c>
      <c r="N1354" s="74">
        <f t="shared" si="3"/>
        <v>170000</v>
      </c>
      <c r="O1354" s="65" t="str">
        <f>VLOOKUP(E1354,DATABASE!C:Q,8,false)</f>
        <v>IBU</v>
      </c>
      <c r="P1354" s="65">
        <f>VLOOKUP(E1354,DATABASE!C:Q,9,False)</f>
        <v>1</v>
      </c>
      <c r="Q1354" s="93" t="str">
        <f>VLOOKUP(E1354,DATABASE!C:Q,4,false)</f>
        <v>Dunlop</v>
      </c>
      <c r="R1354" s="93" t="str">
        <f>VLOOKUP(E1354,DATABASE!C:Q,11,false)</f>
        <v>Tire</v>
      </c>
    </row>
    <row r="1355" ht="22.5" customHeight="1">
      <c r="A1355" s="49"/>
      <c r="C1355" s="384">
        <v>45734.0</v>
      </c>
      <c r="D1355" s="65">
        <v>4769.0</v>
      </c>
      <c r="E1355" s="445" t="s">
        <v>256</v>
      </c>
      <c r="F1355" s="386">
        <v>1.0</v>
      </c>
      <c r="G1355" s="74">
        <v>130000.0</v>
      </c>
      <c r="H1355" s="74">
        <v>0.0</v>
      </c>
      <c r="I1355" s="74">
        <f t="shared" si="1"/>
        <v>130000</v>
      </c>
      <c r="J1355" s="74">
        <f>IF(E1355="SERVICE",I1355-(I1355*50%),Vlookup(E1355,DATABASE!C:Q,10,false)*F1355)</f>
        <v>10000</v>
      </c>
      <c r="K1355" s="74">
        <f>VLOOKUP(E1355,DATABASE!C:Q,7,false)</f>
        <v>0</v>
      </c>
      <c r="L1355" s="74">
        <v>0.0</v>
      </c>
      <c r="M1355" s="74">
        <f t="shared" si="2"/>
        <v>0</v>
      </c>
      <c r="N1355" s="74">
        <f t="shared" si="3"/>
        <v>120000</v>
      </c>
      <c r="O1355" s="65" t="str">
        <f>VLOOKUP(E1355,DATABASE!C:Q,8,false)</f>
        <v>IBU</v>
      </c>
      <c r="P1355" s="65">
        <f>VLOOKUP(E1355,DATABASE!C:Q,9,False)</f>
        <v>0</v>
      </c>
      <c r="Q1355" s="93" t="str">
        <f>VLOOKUP(E1355,DATABASE!C:Q,4,false)</f>
        <v>SPOORING</v>
      </c>
      <c r="R1355" s="93" t="str">
        <f>VLOOKUP(E1355,DATABASE!C:Q,11,false)</f>
        <v>SERVICE</v>
      </c>
    </row>
    <row r="1356" ht="22.5" customHeight="1">
      <c r="A1356" s="49"/>
      <c r="C1356" s="384">
        <v>45734.0</v>
      </c>
      <c r="D1356" s="65">
        <v>4769.0</v>
      </c>
      <c r="E1356" s="445" t="s">
        <v>301</v>
      </c>
      <c r="F1356" s="386">
        <v>1.0</v>
      </c>
      <c r="G1356" s="74">
        <v>250000.0</v>
      </c>
      <c r="H1356" s="74">
        <v>0.0</v>
      </c>
      <c r="I1356" s="74">
        <f t="shared" si="1"/>
        <v>250000</v>
      </c>
      <c r="J1356" s="74">
        <f>IF(E1356="SERVICE",I1356-(I1356*50%),Vlookup(E1356,DATABASE!C:Q,10,false)*F1356)</f>
        <v>75000</v>
      </c>
      <c r="K1356" s="74">
        <f>VLOOKUP(E1356,DATABASE!C:Q,7,false)</f>
        <v>75000</v>
      </c>
      <c r="L1356" s="74">
        <v>75000.0</v>
      </c>
      <c r="M1356" s="74">
        <f t="shared" si="2"/>
        <v>75000</v>
      </c>
      <c r="N1356" s="74">
        <f t="shared" si="3"/>
        <v>100000</v>
      </c>
      <c r="O1356" s="65" t="str">
        <f>VLOOKUP(E1356,DATABASE!C:Q,8,false)</f>
        <v>BIAN</v>
      </c>
      <c r="P1356" s="65">
        <f>VLOOKUP(E1356,DATABASE!C:Q,9,False)</f>
        <v>0</v>
      </c>
      <c r="Q1356" s="93" t="str">
        <f>VLOOKUP(E1356,DATABASE!C:Q,4,false)</f>
        <v>Baut Camber</v>
      </c>
      <c r="R1356" s="93" t="str">
        <f>VLOOKUP(E1356,DATABASE!C:Q,11,false)</f>
        <v>COMPLEMENTARY</v>
      </c>
    </row>
    <row r="1357" ht="22.5" customHeight="1">
      <c r="A1357" s="49"/>
      <c r="C1357" s="384">
        <v>45734.0</v>
      </c>
      <c r="D1357" s="65">
        <v>4770.0</v>
      </c>
      <c r="E1357" s="445" t="s">
        <v>1526</v>
      </c>
      <c r="F1357" s="386">
        <v>2.0</v>
      </c>
      <c r="G1357" s="74">
        <v>530000.0</v>
      </c>
      <c r="H1357" s="74">
        <v>0.0</v>
      </c>
      <c r="I1357" s="74">
        <f t="shared" si="1"/>
        <v>1060000</v>
      </c>
      <c r="J1357" s="74">
        <f>IF(E1357="SERVICE",I1357-(I1357*50%),Vlookup(E1357,DATABASE!C:Q,10,false)*F1357)</f>
        <v>0</v>
      </c>
      <c r="K1357" s="74">
        <f>VLOOKUP(E1357,DATABASE!C:Q,7,false)</f>
        <v>450000</v>
      </c>
      <c r="L1357" s="74">
        <v>437000.0</v>
      </c>
      <c r="M1357" s="74">
        <f t="shared" si="2"/>
        <v>440000</v>
      </c>
      <c r="N1357" s="74">
        <f t="shared" si="3"/>
        <v>180000</v>
      </c>
      <c r="O1357" s="65" t="str">
        <f>VLOOKUP(E1357,DATABASE!C:Q,8,false)</f>
        <v>BIAN</v>
      </c>
      <c r="P1357" s="65">
        <f>VLOOKUP(E1357,DATABASE!C:Q,9,False)</f>
        <v>1</v>
      </c>
      <c r="Q1357" s="93" t="str">
        <f>VLOOKUP(E1357,DATABASE!C:Q,4,false)</f>
        <v>Laufen</v>
      </c>
      <c r="R1357" s="93" t="str">
        <f>VLOOKUP(E1357,DATABASE!C:Q,11,false)</f>
        <v>Tire</v>
      </c>
    </row>
    <row r="1358" ht="22.5" customHeight="1">
      <c r="A1358" s="49"/>
      <c r="C1358" s="384">
        <v>45735.0</v>
      </c>
      <c r="D1358" s="65">
        <v>4684.0</v>
      </c>
      <c r="E1358" s="385" t="s">
        <v>299</v>
      </c>
      <c r="F1358" s="386">
        <v>2.0</v>
      </c>
      <c r="G1358" s="74">
        <v>30000.0</v>
      </c>
      <c r="H1358" s="74">
        <v>0.0</v>
      </c>
      <c r="I1358" s="74">
        <f t="shared" si="1"/>
        <v>60000</v>
      </c>
      <c r="J1358" s="74">
        <f>IF(E1358="SERVICE",I1358-(I1358*50%),Vlookup(E1358,DATABASE!C:Q,10,false)*F1358)</f>
        <v>0</v>
      </c>
      <c r="K1358" s="74">
        <v>0.0</v>
      </c>
      <c r="L1358" s="74">
        <v>0.0</v>
      </c>
      <c r="M1358" s="74">
        <f t="shared" si="2"/>
        <v>0</v>
      </c>
      <c r="N1358" s="74">
        <f t="shared" si="3"/>
        <v>60000</v>
      </c>
      <c r="O1358" s="65" t="str">
        <f>VLOOKUP(E1358,DATABASE!C:Q,8,false)</f>
        <v>BIAN</v>
      </c>
      <c r="P1358" s="65">
        <f>VLOOKUP(E1358,DATABASE!C:Q,9,False)</f>
        <v>0</v>
      </c>
      <c r="Q1358" s="93" t="str">
        <f>VLOOKUP(E1358,DATABASE!C:Q,4,false)</f>
        <v>Balancing</v>
      </c>
      <c r="R1358" s="93" t="str">
        <f>VLOOKUP(E1358,DATABASE!C:Q,11,false)</f>
        <v>COMPLEMENTARY</v>
      </c>
    </row>
    <row r="1359" ht="22.5" customHeight="1">
      <c r="A1359" s="49"/>
      <c r="C1359" s="384">
        <v>45735.0</v>
      </c>
      <c r="D1359" s="65">
        <v>4771.0</v>
      </c>
      <c r="E1359" s="445" t="s">
        <v>647</v>
      </c>
      <c r="F1359" s="386">
        <v>1.0</v>
      </c>
      <c r="G1359" s="74">
        <v>1470000.0</v>
      </c>
      <c r="H1359" s="74">
        <v>0.0</v>
      </c>
      <c r="I1359" s="74">
        <f t="shared" si="1"/>
        <v>1470000</v>
      </c>
      <c r="J1359" s="74">
        <f>IF(E1359="SERVICE",I1359-(I1359*50%),Vlookup(E1359,DATABASE!C:Q,10,false)*F1359)</f>
        <v>0</v>
      </c>
      <c r="K1359" s="74">
        <f>VLOOKUP(E1359,DATABASE!C:Q,7,false)</f>
        <v>1420000</v>
      </c>
      <c r="L1359" s="74">
        <v>1420000.0</v>
      </c>
      <c r="M1359" s="74">
        <f t="shared" si="2"/>
        <v>1420000</v>
      </c>
      <c r="N1359" s="74">
        <f t="shared" si="3"/>
        <v>50000</v>
      </c>
      <c r="O1359" s="65" t="str">
        <f>VLOOKUP(E1359,DATABASE!C:Q,8,false)</f>
        <v>BIAN</v>
      </c>
      <c r="P1359" s="65">
        <f>VLOOKUP(E1359,DATABASE!C:Q,9,False)</f>
        <v>1</v>
      </c>
      <c r="Q1359" s="93" t="str">
        <f>VLOOKUP(E1359,DATABASE!C:Q,4,false)</f>
        <v>G. YEAR</v>
      </c>
      <c r="R1359" s="93" t="str">
        <f>VLOOKUP(E1359,DATABASE!C:Q,11,false)</f>
        <v>Tire</v>
      </c>
    </row>
    <row r="1360" ht="22.5" customHeight="1">
      <c r="A1360" s="49"/>
      <c r="C1360" s="384">
        <v>45735.0</v>
      </c>
      <c r="D1360" s="65">
        <v>4771.0</v>
      </c>
      <c r="E1360" s="445" t="s">
        <v>744</v>
      </c>
      <c r="F1360" s="386">
        <v>1.0</v>
      </c>
      <c r="G1360" s="74">
        <v>230000.0</v>
      </c>
      <c r="H1360" s="74">
        <v>0.0</v>
      </c>
      <c r="I1360" s="74">
        <f t="shared" si="1"/>
        <v>230000</v>
      </c>
      <c r="J1360" s="74">
        <f>IF(E1360="SERVICE",I1360-(I1360*50%),Vlookup(E1360,DATABASE!C:Q,10,false)*F1360)</f>
        <v>0</v>
      </c>
      <c r="K1360" s="74">
        <f>VLOOKUP(E1360,DATABASE!C:Q,7,false)</f>
        <v>182200</v>
      </c>
      <c r="L1360" s="74">
        <v>199920.0</v>
      </c>
      <c r="M1360" s="74">
        <f t="shared" si="2"/>
        <v>200000</v>
      </c>
      <c r="N1360" s="74">
        <f t="shared" si="3"/>
        <v>30000</v>
      </c>
      <c r="O1360" s="65" t="str">
        <f>VLOOKUP(E1360,DATABASE!C:Q,8,false)</f>
        <v>BIAN</v>
      </c>
      <c r="P1360" s="65">
        <f>VLOOKUP(E1360,DATABASE!C:Q,9,False)</f>
        <v>1</v>
      </c>
      <c r="Q1360" s="93" t="str">
        <f>VLOOKUP(E1360,DATABASE!C:Q,4,false)</f>
        <v>BD</v>
      </c>
      <c r="R1360" s="93" t="str">
        <f>VLOOKUP(E1360,DATABASE!C:Q,11,false)</f>
        <v>Tire</v>
      </c>
    </row>
    <row r="1361" ht="22.5" customHeight="1">
      <c r="A1361" s="49"/>
      <c r="C1361" s="384">
        <v>45735.0</v>
      </c>
      <c r="D1361" s="65">
        <v>4772.0</v>
      </c>
      <c r="E1361" s="445" t="s">
        <v>968</v>
      </c>
      <c r="F1361" s="386">
        <v>2.0</v>
      </c>
      <c r="G1361" s="74">
        <v>640000.0</v>
      </c>
      <c r="H1361" s="74">
        <v>0.0</v>
      </c>
      <c r="I1361" s="74">
        <f t="shared" si="1"/>
        <v>1280000</v>
      </c>
      <c r="J1361" s="74">
        <f>IF(E1361="SERVICE",I1361-(I1361*50%),Vlookup(E1361,DATABASE!C:Q,10,false)*F1361)</f>
        <v>0</v>
      </c>
      <c r="K1361" s="74">
        <f>VLOOKUP(E1361,DATABASE!C:Q,7,false)</f>
        <v>582500</v>
      </c>
      <c r="L1361" s="74">
        <v>582500.0</v>
      </c>
      <c r="M1361" s="74">
        <f t="shared" si="2"/>
        <v>585000</v>
      </c>
      <c r="N1361" s="74">
        <f t="shared" si="3"/>
        <v>110000</v>
      </c>
      <c r="O1361" s="65" t="str">
        <f>VLOOKUP(E1361,DATABASE!C:Q,8,false)</f>
        <v>IBU</v>
      </c>
      <c r="P1361" s="65">
        <f>VLOOKUP(E1361,DATABASE!C:Q,9,False)</f>
        <v>1</v>
      </c>
      <c r="Q1361" s="93" t="str">
        <f>VLOOKUP(E1361,DATABASE!C:Q,4,false)</f>
        <v>Dunlop</v>
      </c>
      <c r="R1361" s="93" t="str">
        <f>VLOOKUP(E1361,DATABASE!C:Q,11,false)</f>
        <v>Tire</v>
      </c>
    </row>
    <row r="1362" ht="22.5" customHeight="1">
      <c r="A1362" s="49"/>
      <c r="C1362" s="384">
        <v>45735.0</v>
      </c>
      <c r="D1362" s="65">
        <v>4773.0</v>
      </c>
      <c r="E1362" s="445" t="s">
        <v>275</v>
      </c>
      <c r="F1362" s="386">
        <v>2.0</v>
      </c>
      <c r="G1362" s="74">
        <v>830000.0</v>
      </c>
      <c r="H1362" s="74">
        <v>0.0</v>
      </c>
      <c r="I1362" s="74">
        <f t="shared" si="1"/>
        <v>1660000</v>
      </c>
      <c r="J1362" s="74">
        <f>IF(E1362="SERVICE",I1362-(I1362*50%),Vlookup(E1362,DATABASE!C:Q,10,false)*F1362)</f>
        <v>0</v>
      </c>
      <c r="K1362" s="74">
        <v>735000.0</v>
      </c>
      <c r="L1362" s="74">
        <v>735000.0</v>
      </c>
      <c r="M1362" s="74">
        <f t="shared" si="2"/>
        <v>735000</v>
      </c>
      <c r="N1362" s="74">
        <f t="shared" si="3"/>
        <v>190000</v>
      </c>
      <c r="O1362" s="65" t="str">
        <f>VLOOKUP(E1362,DATABASE!C:Q,8,false)</f>
        <v>IBU</v>
      </c>
      <c r="P1362" s="65">
        <f>VLOOKUP(E1362,DATABASE!C:Q,9,False)</f>
        <v>1</v>
      </c>
      <c r="Q1362" s="93" t="str">
        <f>VLOOKUP(E1362,DATABASE!C:Q,4,false)</f>
        <v>Dunlop</v>
      </c>
      <c r="R1362" s="93" t="str">
        <f>VLOOKUP(E1362,DATABASE!C:Q,11,false)</f>
        <v>Tire</v>
      </c>
    </row>
    <row r="1363" ht="22.5" customHeight="1">
      <c r="A1363" s="49"/>
      <c r="C1363" s="384">
        <v>45735.0</v>
      </c>
      <c r="D1363" s="65">
        <v>4774.0</v>
      </c>
      <c r="E1363" s="445" t="s">
        <v>275</v>
      </c>
      <c r="F1363" s="386">
        <v>1.0</v>
      </c>
      <c r="G1363" s="74">
        <v>830000.0</v>
      </c>
      <c r="H1363" s="74">
        <v>0.0</v>
      </c>
      <c r="I1363" s="74">
        <f t="shared" si="1"/>
        <v>830000</v>
      </c>
      <c r="J1363" s="74">
        <f>IF(E1363="SERVICE",I1363-(I1363*50%),Vlookup(E1363,DATABASE!C:Q,10,false)*F1363)</f>
        <v>0</v>
      </c>
      <c r="K1363" s="74">
        <v>735000.0</v>
      </c>
      <c r="L1363" s="74">
        <v>735000.0</v>
      </c>
      <c r="M1363" s="74">
        <f t="shared" si="2"/>
        <v>735000</v>
      </c>
      <c r="N1363" s="74">
        <f t="shared" si="3"/>
        <v>95000</v>
      </c>
      <c r="O1363" s="65" t="str">
        <f>VLOOKUP(E1363,DATABASE!C:Q,8,false)</f>
        <v>IBU</v>
      </c>
      <c r="P1363" s="65">
        <f>VLOOKUP(E1363,DATABASE!C:Q,9,False)</f>
        <v>1</v>
      </c>
      <c r="Q1363" s="93" t="str">
        <f>VLOOKUP(E1363,DATABASE!C:Q,4,false)</f>
        <v>Dunlop</v>
      </c>
      <c r="R1363" s="93" t="str">
        <f>VLOOKUP(E1363,DATABASE!C:Q,11,false)</f>
        <v>Tire</v>
      </c>
    </row>
    <row r="1364" ht="22.5" customHeight="1">
      <c r="A1364" s="49"/>
      <c r="C1364" s="384">
        <v>45735.0</v>
      </c>
      <c r="D1364" s="65">
        <v>4775.0</v>
      </c>
      <c r="E1364" s="445" t="s">
        <v>1237</v>
      </c>
      <c r="F1364" s="386">
        <v>1.0</v>
      </c>
      <c r="G1364" s="74">
        <v>1230000.0</v>
      </c>
      <c r="H1364" s="74">
        <v>0.0</v>
      </c>
      <c r="I1364" s="74">
        <f t="shared" si="1"/>
        <v>1230000</v>
      </c>
      <c r="J1364" s="74">
        <f>IF(E1364="SERVICE",I1364-(I1364*50%),Vlookup(E1364,DATABASE!C:Q,10,false)*F1364)</f>
        <v>0</v>
      </c>
      <c r="K1364" s="74">
        <f>VLOOKUP(E1364,DATABASE!C:Q,7,false)</f>
        <v>1170353.16</v>
      </c>
      <c r="L1364" s="74">
        <v>1113907.2</v>
      </c>
      <c r="M1364" s="74">
        <f t="shared" si="2"/>
        <v>1115000</v>
      </c>
      <c r="N1364" s="74">
        <f t="shared" si="3"/>
        <v>115000</v>
      </c>
      <c r="O1364" s="65" t="str">
        <f>VLOOKUP(E1364,DATABASE!C:Q,8,false)</f>
        <v>IBU</v>
      </c>
      <c r="P1364" s="65">
        <f>VLOOKUP(E1364,DATABASE!C:Q,9,False)</f>
        <v>1</v>
      </c>
      <c r="Q1364" s="93" t="str">
        <f>VLOOKUP(E1364,DATABASE!C:Q,4,false)</f>
        <v>Bridgestone</v>
      </c>
      <c r="R1364" s="93" t="str">
        <f>VLOOKUP(E1364,DATABASE!C:Q,11,false)</f>
        <v>Tire</v>
      </c>
    </row>
    <row r="1365" ht="22.5" customHeight="1">
      <c r="A1365" s="49"/>
      <c r="C1365" s="384">
        <v>45735.0</v>
      </c>
      <c r="D1365" s="65">
        <v>4776.0</v>
      </c>
      <c r="E1365" s="385" t="s">
        <v>299</v>
      </c>
      <c r="F1365" s="386">
        <v>2.0</v>
      </c>
      <c r="G1365" s="74">
        <v>30000.0</v>
      </c>
      <c r="H1365" s="74">
        <v>0.0</v>
      </c>
      <c r="I1365" s="74">
        <f t="shared" si="1"/>
        <v>60000</v>
      </c>
      <c r="J1365" s="74">
        <f>IF(E1365="SERVICE",I1365-(I1365*50%),Vlookup(E1365,DATABASE!C:Q,10,false)*F1365)</f>
        <v>0</v>
      </c>
      <c r="K1365" s="74">
        <v>0.0</v>
      </c>
      <c r="L1365" s="74">
        <v>0.0</v>
      </c>
      <c r="M1365" s="74">
        <f t="shared" si="2"/>
        <v>0</v>
      </c>
      <c r="N1365" s="74">
        <f t="shared" si="3"/>
        <v>60000</v>
      </c>
      <c r="O1365" s="65" t="str">
        <f>VLOOKUP(E1365,DATABASE!C:Q,8,false)</f>
        <v>BIAN</v>
      </c>
      <c r="P1365" s="65">
        <f>VLOOKUP(E1365,DATABASE!C:Q,9,False)</f>
        <v>0</v>
      </c>
      <c r="Q1365" s="93" t="str">
        <f>VLOOKUP(E1365,DATABASE!C:Q,4,false)</f>
        <v>Balancing</v>
      </c>
      <c r="R1365" s="93" t="str">
        <f>VLOOKUP(E1365,DATABASE!C:Q,11,false)</f>
        <v>COMPLEMENTARY</v>
      </c>
    </row>
    <row r="1366" ht="22.5" customHeight="1">
      <c r="A1366" s="49"/>
      <c r="C1366" s="384">
        <v>45735.0</v>
      </c>
      <c r="D1366" s="65">
        <v>4776.0</v>
      </c>
      <c r="E1366" s="445" t="s">
        <v>262</v>
      </c>
      <c r="F1366" s="386">
        <v>1.0</v>
      </c>
      <c r="G1366" s="74">
        <v>110000.0</v>
      </c>
      <c r="H1366" s="74">
        <v>0.0</v>
      </c>
      <c r="I1366" s="74">
        <f t="shared" si="1"/>
        <v>110000</v>
      </c>
      <c r="J1366" s="74">
        <f>IF(E1366="SERVICE",I1366-(I1366*50%),Vlookup(E1366,DATABASE!C:Q,10,false)*F1366)</f>
        <v>5000</v>
      </c>
      <c r="K1366" s="74">
        <f>VLOOKUP(E1366,DATABASE!C:Q,7,false)</f>
        <v>0</v>
      </c>
      <c r="L1366" s="74">
        <v>0.0</v>
      </c>
      <c r="M1366" s="74">
        <f t="shared" si="2"/>
        <v>0</v>
      </c>
      <c r="N1366" s="74">
        <f t="shared" si="3"/>
        <v>105000</v>
      </c>
      <c r="O1366" s="65" t="str">
        <f>VLOOKUP(E1366,DATABASE!C:Q,8,false)</f>
        <v>IBU</v>
      </c>
      <c r="P1366" s="65">
        <f>VLOOKUP(E1366,DATABASE!C:Q,9,False)</f>
        <v>0</v>
      </c>
      <c r="Q1366" s="93" t="str">
        <f>VLOOKUP(E1366,DATABASE!C:Q,4,false)</f>
        <v>SPOORING SS/CARRY LOS BAK</v>
      </c>
      <c r="R1366" s="93" t="str">
        <f>VLOOKUP(E1366,DATABASE!C:Q,11,false)</f>
        <v>SERVICE</v>
      </c>
    </row>
    <row r="1367" ht="22.5" customHeight="1">
      <c r="A1367" s="49"/>
      <c r="C1367" s="384">
        <v>45735.0</v>
      </c>
      <c r="D1367" s="65">
        <v>4776.0</v>
      </c>
      <c r="E1367" s="445" t="s">
        <v>478</v>
      </c>
      <c r="F1367" s="386">
        <v>1.0</v>
      </c>
      <c r="G1367" s="74">
        <v>200000.0</v>
      </c>
      <c r="H1367" s="74">
        <v>0.0</v>
      </c>
      <c r="I1367" s="74">
        <f t="shared" si="1"/>
        <v>200000</v>
      </c>
      <c r="J1367" s="74">
        <f>IF(E1367="SERVICE",I1367-(I1367*50%),Vlookup(E1367,DATABASE!C:Q,10,false)*F1367)</f>
        <v>25000</v>
      </c>
      <c r="K1367" s="74">
        <f>VLOOKUP(E1367,DATABASE!C:Q,7,false)</f>
        <v>75000</v>
      </c>
      <c r="L1367" s="74">
        <v>75000.0</v>
      </c>
      <c r="M1367" s="74">
        <f t="shared" si="2"/>
        <v>75000</v>
      </c>
      <c r="N1367" s="74">
        <f t="shared" si="3"/>
        <v>100000</v>
      </c>
      <c r="O1367" s="65" t="str">
        <f>VLOOKUP(E1367,DATABASE!C:Q,8,false)</f>
        <v>BIAN</v>
      </c>
      <c r="P1367" s="65">
        <f>VLOOKUP(E1367,DATABASE!C:Q,9,False)</f>
        <v>0</v>
      </c>
      <c r="Q1367" s="93" t="str">
        <f>VLOOKUP(E1367,DATABASE!C:Q,4,false)</f>
        <v>Baut Camber ss-carry</v>
      </c>
      <c r="R1367" s="93" t="str">
        <f>VLOOKUP(E1367,DATABASE!C:Q,11,false)</f>
        <v>COMPLEMENTARY</v>
      </c>
    </row>
    <row r="1368" ht="22.5" customHeight="1">
      <c r="A1368" s="49"/>
      <c r="C1368" s="384">
        <v>45735.0</v>
      </c>
      <c r="D1368" s="65">
        <v>4776.0</v>
      </c>
      <c r="E1368" s="445" t="s">
        <v>246</v>
      </c>
      <c r="F1368" s="386">
        <v>2.0</v>
      </c>
      <c r="G1368" s="74">
        <v>25000.0</v>
      </c>
      <c r="H1368" s="74">
        <v>0.0</v>
      </c>
      <c r="I1368" s="74">
        <f t="shared" si="1"/>
        <v>50000</v>
      </c>
      <c r="J1368" s="74">
        <f>IF(E1368="SERVICE",I1368-(I1368*50%),Vlookup(E1368,DATABASE!C:Q,10,false)*F1368)</f>
        <v>0</v>
      </c>
      <c r="K1368" s="74">
        <f>VLOOKUP(E1368,DATABASE!C:Q,7,false)</f>
        <v>0</v>
      </c>
      <c r="L1368" s="74">
        <v>0.0</v>
      </c>
      <c r="M1368" s="74">
        <f t="shared" si="2"/>
        <v>0</v>
      </c>
      <c r="N1368" s="74">
        <f t="shared" si="3"/>
        <v>50000</v>
      </c>
      <c r="O1368" s="65" t="str">
        <f>VLOOKUP(E1368,DATABASE!C:Q,8,false)</f>
        <v>IBU</v>
      </c>
      <c r="P1368" s="65">
        <f>VLOOKUP(E1368,DATABASE!C:Q,9,False)</f>
        <v>0</v>
      </c>
      <c r="Q1368" s="93" t="str">
        <f>VLOOKUP(E1368,DATABASE!C:Q,4,false)</f>
        <v>Bongkar Pasang</v>
      </c>
      <c r="R1368" s="93" t="str">
        <f>VLOOKUP(E1368,DATABASE!C:Q,11,false)</f>
        <v>SERVICE</v>
      </c>
    </row>
    <row r="1369" ht="22.5" customHeight="1">
      <c r="A1369" s="49"/>
      <c r="C1369" s="384">
        <v>45735.0</v>
      </c>
      <c r="D1369" s="65">
        <v>4777.0</v>
      </c>
      <c r="E1369" s="445" t="s">
        <v>268</v>
      </c>
      <c r="F1369" s="386">
        <v>2.0</v>
      </c>
      <c r="G1369" s="74">
        <v>700000.0</v>
      </c>
      <c r="H1369" s="74">
        <v>0.0</v>
      </c>
      <c r="I1369" s="74">
        <f t="shared" si="1"/>
        <v>1400000</v>
      </c>
      <c r="J1369" s="74">
        <f>IF(E1369="SERVICE",I1369-(I1369*50%),Vlookup(E1369,DATABASE!C:Q,10,false)*F1369)</f>
        <v>0</v>
      </c>
      <c r="K1369" s="74">
        <v>613000.0</v>
      </c>
      <c r="L1369" s="74">
        <v>613000.0</v>
      </c>
      <c r="M1369" s="74">
        <f t="shared" si="2"/>
        <v>615000</v>
      </c>
      <c r="N1369" s="74">
        <f t="shared" si="3"/>
        <v>170000</v>
      </c>
      <c r="O1369" s="65" t="str">
        <f>VLOOKUP(E1369,DATABASE!C:Q,8,false)</f>
        <v>IBU</v>
      </c>
      <c r="P1369" s="65">
        <f>VLOOKUP(E1369,DATABASE!C:Q,9,False)</f>
        <v>1</v>
      </c>
      <c r="Q1369" s="93" t="str">
        <f>VLOOKUP(E1369,DATABASE!C:Q,4,false)</f>
        <v>Dunlop</v>
      </c>
      <c r="R1369" s="93" t="str">
        <f>VLOOKUP(E1369,DATABASE!C:Q,11,false)</f>
        <v>Tire</v>
      </c>
    </row>
    <row r="1370" ht="22.5" customHeight="1">
      <c r="A1370" s="49"/>
      <c r="C1370" s="384">
        <v>45735.0</v>
      </c>
      <c r="D1370" s="65">
        <v>4778.0</v>
      </c>
      <c r="E1370" s="445" t="s">
        <v>1849</v>
      </c>
      <c r="F1370" s="386">
        <v>1.0</v>
      </c>
      <c r="G1370" s="74">
        <v>1130000.0</v>
      </c>
      <c r="H1370" s="74">
        <v>0.0</v>
      </c>
      <c r="I1370" s="74">
        <f t="shared" si="1"/>
        <v>1130000</v>
      </c>
      <c r="J1370" s="74">
        <f>IF(E1370="SERVICE",I1370-(I1370*50%),Vlookup(E1370,DATABASE!C:Q,10,false)*F1370)</f>
        <v>0</v>
      </c>
      <c r="K1370" s="74">
        <f>VLOOKUP(E1370,DATABASE!C:Q,7,false)</f>
        <v>1003000</v>
      </c>
      <c r="L1370" s="74">
        <v>1003000.0</v>
      </c>
      <c r="M1370" s="74">
        <f t="shared" si="2"/>
        <v>1005000</v>
      </c>
      <c r="N1370" s="74">
        <f t="shared" si="3"/>
        <v>125000</v>
      </c>
      <c r="O1370" s="65" t="str">
        <f>VLOOKUP(E1370,DATABASE!C:Q,8,false)</f>
        <v>BIAN</v>
      </c>
      <c r="P1370" s="65">
        <f>VLOOKUP(E1370,DATABASE!C:Q,9,False)</f>
        <v>1</v>
      </c>
      <c r="Q1370" s="93" t="str">
        <f>VLOOKUP(E1370,DATABASE!C:Q,4,false)</f>
        <v>GT</v>
      </c>
      <c r="R1370" s="93" t="str">
        <f>VLOOKUP(E1370,DATABASE!C:Q,11,false)</f>
        <v>Tire</v>
      </c>
    </row>
    <row r="1371" ht="22.5" customHeight="1">
      <c r="A1371" s="49"/>
      <c r="C1371" s="384">
        <v>45735.0</v>
      </c>
      <c r="D1371" s="65">
        <v>4778.0</v>
      </c>
      <c r="E1371" s="445" t="s">
        <v>812</v>
      </c>
      <c r="F1371" s="386">
        <v>1.0</v>
      </c>
      <c r="G1371" s="74">
        <v>200000.0</v>
      </c>
      <c r="H1371" s="74">
        <v>0.0</v>
      </c>
      <c r="I1371" s="74">
        <f t="shared" si="1"/>
        <v>200000</v>
      </c>
      <c r="J1371" s="74">
        <f>IF(E1371="SERVICE",I1371-(I1371*50%),Vlookup(E1371,DATABASE!C:Q,10,false)*F1371)</f>
        <v>0</v>
      </c>
      <c r="K1371" s="74">
        <f>VLOOKUP(E1371,DATABASE!C:Q,7,false)</f>
        <v>157500</v>
      </c>
      <c r="L1371" s="74">
        <v>157500.0</v>
      </c>
      <c r="M1371" s="74">
        <f t="shared" si="2"/>
        <v>160000</v>
      </c>
      <c r="N1371" s="74">
        <f t="shared" si="3"/>
        <v>40000</v>
      </c>
      <c r="O1371" s="65" t="str">
        <f>VLOOKUP(E1371,DATABASE!C:Q,8,false)</f>
        <v>BIAN</v>
      </c>
      <c r="P1371" s="65">
        <f>VLOOKUP(E1371,DATABASE!C:Q,9,False)</f>
        <v>1</v>
      </c>
      <c r="Q1371" s="93" t="str">
        <f>VLOOKUP(E1371,DATABASE!C:Q,4,false)</f>
        <v>BD</v>
      </c>
      <c r="R1371" s="93" t="str">
        <f>VLOOKUP(E1371,DATABASE!C:Q,11,false)</f>
        <v>Tire</v>
      </c>
    </row>
    <row r="1372" ht="22.5" customHeight="1">
      <c r="A1372" s="49"/>
      <c r="C1372" s="384">
        <v>45735.0</v>
      </c>
      <c r="D1372" s="65">
        <v>4778.0</v>
      </c>
      <c r="E1372" s="544" t="s">
        <v>1677</v>
      </c>
      <c r="F1372" s="386">
        <v>1.0</v>
      </c>
      <c r="G1372" s="74">
        <v>100000.0</v>
      </c>
      <c r="H1372" s="74">
        <v>0.0</v>
      </c>
      <c r="I1372" s="74">
        <f t="shared" si="1"/>
        <v>100000</v>
      </c>
      <c r="J1372" s="74">
        <f>IF(E1372="SERVICE",I1372-(I1372*50%),Vlookup(E1372,DATABASE!C:Q,10,false)*F1372)</f>
        <v>0</v>
      </c>
      <c r="K1372" s="74">
        <f>VLOOKUP(E1372,DATABASE!C:Q,7,false)</f>
        <v>76000</v>
      </c>
      <c r="L1372" s="140">
        <v>76000.0</v>
      </c>
      <c r="M1372" s="74">
        <f t="shared" si="2"/>
        <v>80000</v>
      </c>
      <c r="N1372" s="74">
        <f t="shared" si="3"/>
        <v>20000</v>
      </c>
      <c r="O1372" s="65" t="str">
        <f>VLOOKUP(E1372,DATABASE!C:Q,8,false)</f>
        <v>BIAN</v>
      </c>
      <c r="P1372" s="65">
        <f>VLOOKUP(E1372,DATABASE!C:Q,9,False)</f>
        <v>1</v>
      </c>
      <c r="Q1372" s="93" t="str">
        <f>VLOOKUP(E1372,DATABASE!C:Q,4,false)</f>
        <v>Flap</v>
      </c>
      <c r="R1372" s="93" t="str">
        <f>VLOOKUP(E1372,DATABASE!C:Q,11,false)</f>
        <v>Tire</v>
      </c>
    </row>
    <row r="1373" ht="22.5" customHeight="1">
      <c r="A1373" s="49"/>
      <c r="C1373" s="384">
        <v>45735.0</v>
      </c>
      <c r="D1373" s="65">
        <v>4779.0</v>
      </c>
      <c r="E1373" s="445" t="s">
        <v>246</v>
      </c>
      <c r="F1373" s="386">
        <v>1.0</v>
      </c>
      <c r="G1373" s="74">
        <v>40000.0</v>
      </c>
      <c r="H1373" s="74">
        <v>0.0</v>
      </c>
      <c r="I1373" s="74">
        <f t="shared" si="1"/>
        <v>40000</v>
      </c>
      <c r="J1373" s="74">
        <f>IF(E1373="SERVICE",I1373-(I1373*50%),Vlookup(E1373,DATABASE!C:Q,10,false)*F1373)</f>
        <v>0</v>
      </c>
      <c r="K1373" s="74">
        <f>VLOOKUP(E1373,DATABASE!C:Q,7,false)</f>
        <v>0</v>
      </c>
      <c r="L1373" s="74">
        <v>0.0</v>
      </c>
      <c r="M1373" s="74">
        <f t="shared" si="2"/>
        <v>0</v>
      </c>
      <c r="N1373" s="74">
        <f t="shared" si="3"/>
        <v>40000</v>
      </c>
      <c r="O1373" s="65" t="str">
        <f>VLOOKUP(E1373,DATABASE!C:Q,8,false)</f>
        <v>IBU</v>
      </c>
      <c r="P1373" s="65">
        <f>VLOOKUP(E1373,DATABASE!C:Q,9,False)</f>
        <v>0</v>
      </c>
      <c r="Q1373" s="93" t="str">
        <f>VLOOKUP(E1373,DATABASE!C:Q,4,false)</f>
        <v>Bongkar Pasang</v>
      </c>
      <c r="R1373" s="93" t="str">
        <f>VLOOKUP(E1373,DATABASE!C:Q,11,false)</f>
        <v>SERVICE</v>
      </c>
    </row>
    <row r="1374" ht="22.5" customHeight="1">
      <c r="A1374" s="49"/>
      <c r="C1374" s="384">
        <v>45735.0</v>
      </c>
      <c r="D1374" s="65">
        <v>4780.0</v>
      </c>
      <c r="E1374" s="445" t="s">
        <v>600</v>
      </c>
      <c r="F1374" s="386">
        <v>3.0</v>
      </c>
      <c r="G1374" s="74">
        <v>675000.0</v>
      </c>
      <c r="H1374" s="74">
        <v>0.0</v>
      </c>
      <c r="I1374" s="74">
        <f t="shared" si="1"/>
        <v>2025000</v>
      </c>
      <c r="J1374" s="74">
        <f>IF(E1374="SERVICE",I1374-(I1374*50%),Vlookup(E1374,DATABASE!C:Q,10,false)*F1374)</f>
        <v>0</v>
      </c>
      <c r="K1374" s="74">
        <f>VLOOKUP(E1374,DATABASE!C:Q,7,false)</f>
        <v>611109.16</v>
      </c>
      <c r="L1374" s="74">
        <v>572762.4</v>
      </c>
      <c r="M1374" s="74">
        <f t="shared" si="2"/>
        <v>575000</v>
      </c>
      <c r="N1374" s="74">
        <f t="shared" si="3"/>
        <v>300000</v>
      </c>
      <c r="O1374" s="65" t="str">
        <f>VLOOKUP(E1374,DATABASE!C:Q,8,false)</f>
        <v>IBU</v>
      </c>
      <c r="P1374" s="65">
        <f>VLOOKUP(E1374,DATABASE!C:Q,9,False)</f>
        <v>1</v>
      </c>
      <c r="Q1374" s="93" t="str">
        <f>VLOOKUP(E1374,DATABASE!C:Q,4,false)</f>
        <v>Bridgestone</v>
      </c>
      <c r="R1374" s="93" t="str">
        <f>VLOOKUP(E1374,DATABASE!C:Q,11,false)</f>
        <v>Tire</v>
      </c>
    </row>
    <row r="1375" ht="22.5" customHeight="1">
      <c r="A1375" s="49"/>
      <c r="C1375" s="384">
        <v>45735.0</v>
      </c>
      <c r="D1375" s="65">
        <v>4781.0</v>
      </c>
      <c r="E1375" s="445" t="s">
        <v>268</v>
      </c>
      <c r="F1375" s="386">
        <v>2.0</v>
      </c>
      <c r="G1375" s="74">
        <v>700000.0</v>
      </c>
      <c r="H1375" s="74">
        <v>0.0</v>
      </c>
      <c r="I1375" s="74">
        <f t="shared" si="1"/>
        <v>1400000</v>
      </c>
      <c r="J1375" s="74">
        <f>IF(E1375="SERVICE",I1375-(I1375*50%),Vlookup(E1375,DATABASE!C:Q,10,false)*F1375)</f>
        <v>0</v>
      </c>
      <c r="K1375" s="74">
        <v>613000.0</v>
      </c>
      <c r="L1375" s="74">
        <v>613000.0</v>
      </c>
      <c r="M1375" s="74">
        <f t="shared" si="2"/>
        <v>615000</v>
      </c>
      <c r="N1375" s="74">
        <f t="shared" si="3"/>
        <v>170000</v>
      </c>
      <c r="O1375" s="65" t="str">
        <f>VLOOKUP(E1375,DATABASE!C:Q,8,false)</f>
        <v>IBU</v>
      </c>
      <c r="P1375" s="65">
        <f>VLOOKUP(E1375,DATABASE!C:Q,9,False)</f>
        <v>1</v>
      </c>
      <c r="Q1375" s="93" t="str">
        <f>VLOOKUP(E1375,DATABASE!C:Q,4,false)</f>
        <v>Dunlop</v>
      </c>
      <c r="R1375" s="93" t="str">
        <f>VLOOKUP(E1375,DATABASE!C:Q,11,false)</f>
        <v>Tire</v>
      </c>
    </row>
    <row r="1376" ht="22.5" customHeight="1">
      <c r="A1376" s="49"/>
      <c r="C1376" s="384">
        <v>45735.0</v>
      </c>
      <c r="D1376" s="65">
        <v>4781.0</v>
      </c>
      <c r="E1376" s="445" t="s">
        <v>275</v>
      </c>
      <c r="F1376" s="386">
        <v>2.0</v>
      </c>
      <c r="G1376" s="74">
        <v>825000.0</v>
      </c>
      <c r="H1376" s="74">
        <v>0.0</v>
      </c>
      <c r="I1376" s="74">
        <f t="shared" si="1"/>
        <v>1650000</v>
      </c>
      <c r="J1376" s="74">
        <f>IF(E1376="SERVICE",I1376-(I1376*50%),Vlookup(E1376,DATABASE!C:Q,10,false)*F1376)</f>
        <v>0</v>
      </c>
      <c r="K1376" s="74">
        <v>735000.0</v>
      </c>
      <c r="L1376" s="74">
        <v>735000.0</v>
      </c>
      <c r="M1376" s="74">
        <f t="shared" si="2"/>
        <v>735000</v>
      </c>
      <c r="N1376" s="74">
        <f t="shared" si="3"/>
        <v>180000</v>
      </c>
      <c r="O1376" s="65" t="str">
        <f>VLOOKUP(E1376,DATABASE!C:Q,8,false)</f>
        <v>IBU</v>
      </c>
      <c r="P1376" s="65">
        <f>VLOOKUP(E1376,DATABASE!C:Q,9,False)</f>
        <v>1</v>
      </c>
      <c r="Q1376" s="93" t="str">
        <f>VLOOKUP(E1376,DATABASE!C:Q,4,false)</f>
        <v>Dunlop</v>
      </c>
      <c r="R1376" s="93" t="str">
        <f>VLOOKUP(E1376,DATABASE!C:Q,11,false)</f>
        <v>Tire</v>
      </c>
    </row>
    <row r="1377" ht="22.5" customHeight="1">
      <c r="A1377" s="49"/>
      <c r="C1377" s="384">
        <v>45735.0</v>
      </c>
      <c r="D1377" s="65">
        <v>4782.0</v>
      </c>
      <c r="E1377" s="445" t="s">
        <v>265</v>
      </c>
      <c r="F1377" s="386">
        <v>2.0</v>
      </c>
      <c r="G1377" s="74">
        <v>660000.0</v>
      </c>
      <c r="H1377" s="74">
        <v>0.0</v>
      </c>
      <c r="I1377" s="74">
        <f t="shared" si="1"/>
        <v>1320000</v>
      </c>
      <c r="J1377" s="74">
        <f>IF(E1377="SERVICE",I1377-(I1377*50%),Vlookup(E1377,DATABASE!C:Q,10,false)*F1377)</f>
        <v>0</v>
      </c>
      <c r="K1377" s="74">
        <v>590000.0</v>
      </c>
      <c r="L1377" s="74">
        <v>590000.0</v>
      </c>
      <c r="M1377" s="74">
        <f t="shared" si="2"/>
        <v>590000</v>
      </c>
      <c r="N1377" s="74">
        <f t="shared" si="3"/>
        <v>140000</v>
      </c>
      <c r="O1377" s="65" t="str">
        <f>VLOOKUP(E1377,DATABASE!C:Q,8,false)</f>
        <v>IBU</v>
      </c>
      <c r="P1377" s="65">
        <f>VLOOKUP(E1377,DATABASE!C:Q,9,False)</f>
        <v>1</v>
      </c>
      <c r="Q1377" s="93" t="str">
        <f>VLOOKUP(E1377,DATABASE!C:Q,4,false)</f>
        <v>Dunlop</v>
      </c>
      <c r="R1377" s="93" t="str">
        <f>VLOOKUP(E1377,DATABASE!C:Q,11,false)</f>
        <v>Tire</v>
      </c>
    </row>
    <row r="1378" ht="22.5" customHeight="1">
      <c r="A1378" s="49"/>
      <c r="C1378" s="384">
        <v>45735.0</v>
      </c>
      <c r="D1378" s="65">
        <v>4785.0</v>
      </c>
      <c r="E1378" s="445" t="s">
        <v>256</v>
      </c>
      <c r="F1378" s="386">
        <v>1.0</v>
      </c>
      <c r="G1378" s="74">
        <v>130000.0</v>
      </c>
      <c r="H1378" s="74">
        <v>0.0</v>
      </c>
      <c r="I1378" s="74">
        <f t="shared" si="1"/>
        <v>130000</v>
      </c>
      <c r="J1378" s="74">
        <f>IF(E1378="SERVICE",I1378-(I1378*50%),Vlookup(E1378,DATABASE!C:Q,10,false)*F1378)</f>
        <v>10000</v>
      </c>
      <c r="K1378" s="74">
        <f>VLOOKUP(E1378,DATABASE!C:Q,7,false)</f>
        <v>0</v>
      </c>
      <c r="L1378" s="74">
        <v>0.0</v>
      </c>
      <c r="M1378" s="74">
        <f t="shared" si="2"/>
        <v>0</v>
      </c>
      <c r="N1378" s="74">
        <f t="shared" si="3"/>
        <v>120000</v>
      </c>
      <c r="O1378" s="65" t="str">
        <f>VLOOKUP(E1378,DATABASE!C:Q,8,false)</f>
        <v>IBU</v>
      </c>
      <c r="P1378" s="65">
        <f>VLOOKUP(E1378,DATABASE!C:Q,9,False)</f>
        <v>0</v>
      </c>
      <c r="Q1378" s="93" t="str">
        <f>VLOOKUP(E1378,DATABASE!C:Q,4,false)</f>
        <v>SPOORING</v>
      </c>
      <c r="R1378" s="93" t="str">
        <f>VLOOKUP(E1378,DATABASE!C:Q,11,false)</f>
        <v>SERVICE</v>
      </c>
    </row>
    <row r="1379" ht="22.5" customHeight="1">
      <c r="A1379" s="49"/>
      <c r="C1379" s="384">
        <v>45735.0</v>
      </c>
      <c r="D1379" s="65">
        <v>4785.0</v>
      </c>
      <c r="E1379" s="445" t="s">
        <v>251</v>
      </c>
      <c r="F1379" s="386">
        <v>1.0</v>
      </c>
      <c r="G1379" s="74">
        <v>150000.0</v>
      </c>
      <c r="H1379" s="74">
        <v>0.0</v>
      </c>
      <c r="I1379" s="74">
        <f t="shared" si="1"/>
        <v>150000</v>
      </c>
      <c r="J1379" s="74">
        <f>IF(E1379="SERVICE",I1379-(I1379*50%),Vlookup(E1379,DATABASE!C:Q,10,false)*F1379)</f>
        <v>75000</v>
      </c>
      <c r="K1379" s="74">
        <f>VLOOKUP(E1379,DATABASE!C:Q,7,false)</f>
        <v>0</v>
      </c>
      <c r="L1379" s="74">
        <v>0.0</v>
      </c>
      <c r="M1379" s="74">
        <f t="shared" si="2"/>
        <v>0</v>
      </c>
      <c r="N1379" s="74">
        <f t="shared" si="3"/>
        <v>75000</v>
      </c>
      <c r="O1379" s="65" t="str">
        <f>VLOOKUP(E1379,DATABASE!C:Q,8,false)</f>
        <v>IBU</v>
      </c>
      <c r="P1379" s="65">
        <f>VLOOKUP(E1379,DATABASE!C:Q,9,False)</f>
        <v>0</v>
      </c>
      <c r="Q1379" s="93" t="str">
        <f>VLOOKUP(E1379,DATABASE!C:Q,4,false)</f>
        <v>SERVICE</v>
      </c>
      <c r="R1379" s="93" t="str">
        <f>VLOOKUP(E1379,DATABASE!C:Q,11,false)</f>
        <v>SERVICE</v>
      </c>
    </row>
    <row r="1380" ht="22.5" customHeight="1">
      <c r="A1380" s="49"/>
      <c r="C1380" s="384">
        <v>45735.0</v>
      </c>
      <c r="D1380" s="65">
        <v>4785.0</v>
      </c>
      <c r="E1380" s="385" t="s">
        <v>299</v>
      </c>
      <c r="F1380" s="386">
        <v>2.0</v>
      </c>
      <c r="G1380" s="74">
        <v>30000.0</v>
      </c>
      <c r="H1380" s="74">
        <v>0.0</v>
      </c>
      <c r="I1380" s="74">
        <f t="shared" si="1"/>
        <v>60000</v>
      </c>
      <c r="J1380" s="74">
        <f>IF(E1380="SERVICE",I1380-(I1380*50%),Vlookup(E1380,DATABASE!C:Q,10,false)*F1380)</f>
        <v>0</v>
      </c>
      <c r="K1380" s="74">
        <v>0.0</v>
      </c>
      <c r="L1380" s="74">
        <v>0.0</v>
      </c>
      <c r="M1380" s="74">
        <f t="shared" si="2"/>
        <v>0</v>
      </c>
      <c r="N1380" s="74">
        <f t="shared" si="3"/>
        <v>60000</v>
      </c>
      <c r="O1380" s="65" t="str">
        <f>VLOOKUP(E1380,DATABASE!C:Q,8,false)</f>
        <v>BIAN</v>
      </c>
      <c r="P1380" s="65">
        <f>VLOOKUP(E1380,DATABASE!C:Q,9,False)</f>
        <v>0</v>
      </c>
      <c r="Q1380" s="93" t="str">
        <f>VLOOKUP(E1380,DATABASE!C:Q,4,false)</f>
        <v>Balancing</v>
      </c>
      <c r="R1380" s="93" t="str">
        <f>VLOOKUP(E1380,DATABASE!C:Q,11,false)</f>
        <v>COMPLEMENTARY</v>
      </c>
    </row>
    <row r="1381" ht="22.5" customHeight="1">
      <c r="A1381" s="49"/>
      <c r="C1381" s="384">
        <v>45735.0</v>
      </c>
      <c r="D1381" s="65">
        <v>4786.0</v>
      </c>
      <c r="E1381" s="385" t="s">
        <v>299</v>
      </c>
      <c r="F1381" s="386">
        <v>2.0</v>
      </c>
      <c r="G1381" s="74">
        <v>30000.0</v>
      </c>
      <c r="H1381" s="74">
        <v>0.0</v>
      </c>
      <c r="I1381" s="74">
        <f t="shared" si="1"/>
        <v>60000</v>
      </c>
      <c r="J1381" s="74">
        <f>IF(E1381="SERVICE",I1381-(I1381*50%),Vlookup(E1381,DATABASE!C:Q,10,false)*F1381)</f>
        <v>0</v>
      </c>
      <c r="K1381" s="74">
        <v>0.0</v>
      </c>
      <c r="L1381" s="74">
        <v>0.0</v>
      </c>
      <c r="M1381" s="74">
        <f t="shared" si="2"/>
        <v>0</v>
      </c>
      <c r="N1381" s="74">
        <f t="shared" si="3"/>
        <v>60000</v>
      </c>
      <c r="O1381" s="65" t="str">
        <f>VLOOKUP(E1381,DATABASE!C:Q,8,false)</f>
        <v>BIAN</v>
      </c>
      <c r="P1381" s="65">
        <f>VLOOKUP(E1381,DATABASE!C:Q,9,False)</f>
        <v>0</v>
      </c>
      <c r="Q1381" s="93" t="str">
        <f>VLOOKUP(E1381,DATABASE!C:Q,4,false)</f>
        <v>Balancing</v>
      </c>
      <c r="R1381" s="93" t="str">
        <f>VLOOKUP(E1381,DATABASE!C:Q,11,false)</f>
        <v>COMPLEMENTARY</v>
      </c>
    </row>
    <row r="1382" ht="22.5" customHeight="1">
      <c r="A1382" s="49"/>
      <c r="C1382" s="384">
        <v>45735.0</v>
      </c>
      <c r="D1382" s="65">
        <v>4786.0</v>
      </c>
      <c r="E1382" s="445" t="s">
        <v>2135</v>
      </c>
      <c r="F1382" s="386">
        <v>3.0</v>
      </c>
      <c r="G1382" s="74">
        <v>15000.0</v>
      </c>
      <c r="H1382" s="74">
        <v>0.0</v>
      </c>
      <c r="I1382" s="74">
        <f t="shared" si="1"/>
        <v>45000</v>
      </c>
      <c r="J1382" s="74">
        <f>IF(E1382="SERVICE",I1382-(I1382*50%),Vlookup(E1382,DATABASE!C:Q,10,false)*F1382)</f>
        <v>0</v>
      </c>
      <c r="K1382" s="74">
        <f>VLOOKUP(E1382,DATABASE!C:Q,7,false)</f>
        <v>0</v>
      </c>
      <c r="L1382" s="74">
        <v>0.0</v>
      </c>
      <c r="M1382" s="74">
        <f t="shared" si="2"/>
        <v>0</v>
      </c>
      <c r="N1382" s="74">
        <f t="shared" si="3"/>
        <v>45000</v>
      </c>
      <c r="O1382" s="65" t="str">
        <f>VLOOKUP(E1382,DATABASE!C:Q,8,false)</f>
        <v>IBU</v>
      </c>
      <c r="P1382" s="65">
        <f>VLOOKUP(E1382,DATABASE!C:Q,9,False)</f>
        <v>0</v>
      </c>
      <c r="Q1382" s="93" t="str">
        <f>VLOOKUP(E1382,DATABASE!C:Q,4,false)</f>
        <v>NITROGEN</v>
      </c>
      <c r="R1382" s="93" t="str">
        <f>VLOOKUP(E1382,DATABASE!C:Q,11,false)</f>
        <v>COMPLEMENTARY</v>
      </c>
    </row>
    <row r="1383" ht="22.5" customHeight="1">
      <c r="A1383" s="49"/>
      <c r="C1383" s="384">
        <v>45736.0</v>
      </c>
      <c r="D1383" s="65">
        <v>4787.0</v>
      </c>
      <c r="E1383" s="445" t="s">
        <v>566</v>
      </c>
      <c r="F1383" s="386">
        <v>1.0</v>
      </c>
      <c r="G1383" s="74">
        <v>1670000.0</v>
      </c>
      <c r="H1383" s="74">
        <v>0.0</v>
      </c>
      <c r="I1383" s="74">
        <f t="shared" si="1"/>
        <v>1670000</v>
      </c>
      <c r="J1383" s="74">
        <f>IF(E1383="SERVICE",I1383-(I1383*50%),Vlookup(E1383,DATABASE!C:Q,10,false)*F1383)</f>
        <v>0</v>
      </c>
      <c r="K1383" s="140">
        <v>1570000.0</v>
      </c>
      <c r="L1383" s="140">
        <v>1570000.0</v>
      </c>
      <c r="M1383" s="74">
        <f t="shared" si="2"/>
        <v>1570000</v>
      </c>
      <c r="N1383" s="74">
        <f t="shared" si="3"/>
        <v>100000</v>
      </c>
      <c r="O1383" s="65" t="str">
        <f>VLOOKUP(E1383,DATABASE!C:Q,8,false)</f>
        <v>IBU</v>
      </c>
      <c r="P1383" s="65">
        <f>VLOOKUP(E1383,DATABASE!C:Q,9,False)</f>
        <v>1</v>
      </c>
      <c r="Q1383" s="93" t="str">
        <f>VLOOKUP(E1383,DATABASE!C:Q,4,false)</f>
        <v>Bridgestone</v>
      </c>
      <c r="R1383" s="93" t="str">
        <f>VLOOKUP(E1383,DATABASE!C:Q,11,false)</f>
        <v>Tire</v>
      </c>
    </row>
    <row r="1384" ht="22.5" customHeight="1">
      <c r="A1384" s="49"/>
      <c r="C1384" s="384">
        <v>45736.0</v>
      </c>
      <c r="D1384" s="65">
        <v>4788.0</v>
      </c>
      <c r="E1384" s="445" t="s">
        <v>604</v>
      </c>
      <c r="F1384" s="386">
        <v>1.0</v>
      </c>
      <c r="G1384" s="74">
        <v>160000.0</v>
      </c>
      <c r="H1384" s="74">
        <v>0.0</v>
      </c>
      <c r="I1384" s="74">
        <f t="shared" si="1"/>
        <v>160000</v>
      </c>
      <c r="J1384" s="74">
        <f>IF(E1384="SERVICE",I1384-(I1384*50%),Vlookup(E1384,DATABASE!C:Q,10,false)*F1384)</f>
        <v>0</v>
      </c>
      <c r="K1384" s="74">
        <f>VLOOKUP(E1384,DATABASE!C:Q,7,false)</f>
        <v>124000</v>
      </c>
      <c r="L1384" s="74">
        <v>124000.0</v>
      </c>
      <c r="M1384" s="74">
        <f t="shared" si="2"/>
        <v>125000</v>
      </c>
      <c r="N1384" s="74">
        <f t="shared" si="3"/>
        <v>35000</v>
      </c>
      <c r="O1384" s="65" t="str">
        <f>VLOOKUP(E1384,DATABASE!C:Q,8,false)</f>
        <v>BIAN</v>
      </c>
      <c r="P1384" s="65">
        <f>VLOOKUP(E1384,DATABASE!C:Q,9,False)</f>
        <v>1</v>
      </c>
      <c r="Q1384" s="93" t="str">
        <f>VLOOKUP(E1384,DATABASE!C:Q,4,false)</f>
        <v>BD</v>
      </c>
      <c r="R1384" s="93" t="str">
        <f>VLOOKUP(E1384,DATABASE!C:Q,11,false)</f>
        <v>Tire</v>
      </c>
    </row>
    <row r="1385" ht="22.5" customHeight="1">
      <c r="A1385" s="49"/>
      <c r="C1385" s="384">
        <v>45736.0</v>
      </c>
      <c r="D1385" s="65">
        <v>4789.0</v>
      </c>
      <c r="E1385" s="445" t="s">
        <v>1383</v>
      </c>
      <c r="F1385" s="386">
        <v>2.0</v>
      </c>
      <c r="G1385" s="74">
        <v>870000.0</v>
      </c>
      <c r="H1385" s="74">
        <v>0.0</v>
      </c>
      <c r="I1385" s="74">
        <f t="shared" si="1"/>
        <v>1740000</v>
      </c>
      <c r="J1385" s="74">
        <f>IF(E1385="SERVICE",I1385-(I1385*50%),Vlookup(E1385,DATABASE!C:Q,10,false)*F1385)</f>
        <v>0</v>
      </c>
      <c r="K1385" s="74">
        <f>VLOOKUP(E1385,DATABASE!C:Q,7,false)</f>
        <v>812000</v>
      </c>
      <c r="L1385" s="74">
        <v>812000.0</v>
      </c>
      <c r="M1385" s="74">
        <f t="shared" si="2"/>
        <v>815000</v>
      </c>
      <c r="N1385" s="74">
        <f t="shared" si="3"/>
        <v>110000</v>
      </c>
      <c r="O1385" s="65" t="str">
        <f>VLOOKUP(E1385,DATABASE!C:Q,8,false)</f>
        <v>IBU</v>
      </c>
      <c r="P1385" s="65">
        <f>VLOOKUP(E1385,DATABASE!C:Q,9,False)</f>
        <v>1</v>
      </c>
      <c r="Q1385" s="93" t="str">
        <f>VLOOKUP(E1385,DATABASE!C:Q,4,false)</f>
        <v>Dunlop</v>
      </c>
      <c r="R1385" s="93" t="str">
        <f>VLOOKUP(E1385,DATABASE!C:Q,11,false)</f>
        <v>Tire</v>
      </c>
    </row>
    <row r="1386" ht="22.5" customHeight="1">
      <c r="A1386" s="49"/>
      <c r="C1386" s="384">
        <v>45736.0</v>
      </c>
      <c r="D1386" s="65">
        <v>4790.0</v>
      </c>
      <c r="E1386" s="445" t="s">
        <v>246</v>
      </c>
      <c r="F1386" s="386">
        <v>1.0</v>
      </c>
      <c r="G1386" s="74">
        <v>30000.0</v>
      </c>
      <c r="H1386" s="74">
        <v>0.0</v>
      </c>
      <c r="I1386" s="74">
        <f t="shared" si="1"/>
        <v>30000</v>
      </c>
      <c r="J1386" s="74">
        <f>IF(E1386="SERVICE",I1386-(I1386*50%),Vlookup(E1386,DATABASE!C:Q,10,false)*F1386)</f>
        <v>0</v>
      </c>
      <c r="K1386" s="74">
        <f>VLOOKUP(E1386,DATABASE!C:Q,7,false)</f>
        <v>0</v>
      </c>
      <c r="L1386" s="74">
        <v>0.0</v>
      </c>
      <c r="M1386" s="74">
        <f t="shared" si="2"/>
        <v>0</v>
      </c>
      <c r="N1386" s="74">
        <f t="shared" si="3"/>
        <v>30000</v>
      </c>
      <c r="O1386" s="65" t="str">
        <f>VLOOKUP(E1386,DATABASE!C:Q,8,false)</f>
        <v>IBU</v>
      </c>
      <c r="P1386" s="65">
        <f>VLOOKUP(E1386,DATABASE!C:Q,9,False)</f>
        <v>0</v>
      </c>
      <c r="Q1386" s="93" t="str">
        <f>VLOOKUP(E1386,DATABASE!C:Q,4,false)</f>
        <v>Bongkar Pasang</v>
      </c>
      <c r="R1386" s="93" t="str">
        <f>VLOOKUP(E1386,DATABASE!C:Q,11,false)</f>
        <v>SERVICE</v>
      </c>
    </row>
    <row r="1387" ht="22.5" customHeight="1">
      <c r="A1387" s="49"/>
      <c r="C1387" s="384">
        <v>45736.0</v>
      </c>
      <c r="D1387" s="65">
        <v>4791.0</v>
      </c>
      <c r="E1387" s="445" t="s">
        <v>932</v>
      </c>
      <c r="F1387" s="386">
        <v>2.0</v>
      </c>
      <c r="G1387" s="74">
        <v>650000.0</v>
      </c>
      <c r="H1387" s="74">
        <v>0.0</v>
      </c>
      <c r="I1387" s="74">
        <f t="shared" si="1"/>
        <v>1300000</v>
      </c>
      <c r="J1387" s="74">
        <f>IF(E1387="SERVICE",I1387-(I1387*50%),Vlookup(E1387,DATABASE!C:Q,10,false)*F1387)</f>
        <v>0</v>
      </c>
      <c r="K1387" s="74">
        <v>575000.0</v>
      </c>
      <c r="L1387" s="74">
        <v>575000.0</v>
      </c>
      <c r="M1387" s="74">
        <f t="shared" si="2"/>
        <v>575000</v>
      </c>
      <c r="N1387" s="74">
        <f t="shared" si="3"/>
        <v>150000</v>
      </c>
      <c r="O1387" s="65" t="str">
        <f>VLOOKUP(E1387,DATABASE!C:Q,8,false)</f>
        <v>IBU</v>
      </c>
      <c r="P1387" s="65">
        <f>VLOOKUP(E1387,DATABASE!C:Q,9,False)</f>
        <v>1</v>
      </c>
      <c r="Q1387" s="93" t="str">
        <f>VLOOKUP(E1387,DATABASE!C:Q,4,false)</f>
        <v>Dunlop</v>
      </c>
      <c r="R1387" s="93" t="str">
        <f>VLOOKUP(E1387,DATABASE!C:Q,11,false)</f>
        <v>Tire</v>
      </c>
    </row>
    <row r="1388" ht="22.5" customHeight="1">
      <c r="A1388" s="49"/>
      <c r="C1388" s="384">
        <v>45736.0</v>
      </c>
      <c r="D1388" s="65">
        <v>4792.0</v>
      </c>
      <c r="E1388" s="445" t="s">
        <v>246</v>
      </c>
      <c r="F1388" s="386">
        <v>1.0</v>
      </c>
      <c r="G1388" s="74">
        <v>30000.0</v>
      </c>
      <c r="H1388" s="74">
        <v>0.0</v>
      </c>
      <c r="I1388" s="74">
        <f t="shared" si="1"/>
        <v>30000</v>
      </c>
      <c r="J1388" s="74">
        <f>IF(E1388="SERVICE",I1388-(I1388*50%),Vlookup(E1388,DATABASE!C:Q,10,false)*F1388)</f>
        <v>0</v>
      </c>
      <c r="K1388" s="74">
        <f>VLOOKUP(E1388,DATABASE!C:Q,7,false)</f>
        <v>0</v>
      </c>
      <c r="L1388" s="74">
        <v>0.0</v>
      </c>
      <c r="M1388" s="74">
        <f t="shared" si="2"/>
        <v>0</v>
      </c>
      <c r="N1388" s="74">
        <f t="shared" si="3"/>
        <v>30000</v>
      </c>
      <c r="O1388" s="65" t="str">
        <f>VLOOKUP(E1388,DATABASE!C:Q,8,false)</f>
        <v>IBU</v>
      </c>
      <c r="P1388" s="65">
        <f>VLOOKUP(E1388,DATABASE!C:Q,9,False)</f>
        <v>0</v>
      </c>
      <c r="Q1388" s="93" t="str">
        <f>VLOOKUP(E1388,DATABASE!C:Q,4,false)</f>
        <v>Bongkar Pasang</v>
      </c>
      <c r="R1388" s="93" t="str">
        <f>VLOOKUP(E1388,DATABASE!C:Q,11,false)</f>
        <v>SERVICE</v>
      </c>
    </row>
    <row r="1389" ht="22.5" customHeight="1">
      <c r="A1389" s="49"/>
      <c r="C1389" s="384">
        <v>45736.0</v>
      </c>
      <c r="D1389" s="65">
        <v>4793.0</v>
      </c>
      <c r="E1389" s="445" t="s">
        <v>955</v>
      </c>
      <c r="F1389" s="386">
        <v>1.0</v>
      </c>
      <c r="G1389" s="74">
        <v>770000.0</v>
      </c>
      <c r="H1389" s="74">
        <v>0.0</v>
      </c>
      <c r="I1389" s="74">
        <f t="shared" si="1"/>
        <v>770000</v>
      </c>
      <c r="J1389" s="74">
        <f>IF(E1389="SERVICE",I1389-(I1389*50%),Vlookup(E1389,DATABASE!C:Q,10,false)*F1389)</f>
        <v>0</v>
      </c>
      <c r="K1389" s="74">
        <f>VLOOKUP(E1389,DATABASE!C:Q,7,false)</f>
        <v>712000</v>
      </c>
      <c r="L1389" s="74">
        <v>674000.0</v>
      </c>
      <c r="M1389" s="74">
        <f t="shared" si="2"/>
        <v>675000</v>
      </c>
      <c r="N1389" s="74">
        <f t="shared" si="3"/>
        <v>95000</v>
      </c>
      <c r="O1389" s="65" t="str">
        <f>VLOOKUP(E1389,DATABASE!C:Q,8,false)</f>
        <v>IBU</v>
      </c>
      <c r="P1389" s="65">
        <f>VLOOKUP(E1389,DATABASE!C:Q,9,False)</f>
        <v>1</v>
      </c>
      <c r="Q1389" s="93" t="str">
        <f>VLOOKUP(E1389,DATABASE!C:Q,4,false)</f>
        <v>Dunlop</v>
      </c>
      <c r="R1389" s="93" t="str">
        <f>VLOOKUP(E1389,DATABASE!C:Q,11,false)</f>
        <v>Tire</v>
      </c>
    </row>
    <row r="1390" ht="22.5" customHeight="1">
      <c r="A1390" s="49"/>
      <c r="C1390" s="384">
        <v>45736.0</v>
      </c>
      <c r="D1390" s="65">
        <v>4794.0</v>
      </c>
      <c r="E1390" s="445" t="s">
        <v>251</v>
      </c>
      <c r="F1390" s="386">
        <v>1.0</v>
      </c>
      <c r="G1390" s="74">
        <v>150000.0</v>
      </c>
      <c r="H1390" s="74">
        <v>0.0</v>
      </c>
      <c r="I1390" s="74">
        <f t="shared" si="1"/>
        <v>150000</v>
      </c>
      <c r="J1390" s="74">
        <f>IF(E1390="SERVICE",I1390-(I1390*50%),Vlookup(E1390,DATABASE!C:Q,10,false)*F1390)</f>
        <v>75000</v>
      </c>
      <c r="K1390" s="74">
        <f>VLOOKUP(E1390,DATABASE!C:Q,7,false)</f>
        <v>0</v>
      </c>
      <c r="L1390" s="74">
        <v>0.0</v>
      </c>
      <c r="M1390" s="74">
        <f t="shared" si="2"/>
        <v>0</v>
      </c>
      <c r="N1390" s="74">
        <f t="shared" si="3"/>
        <v>75000</v>
      </c>
      <c r="O1390" s="65" t="str">
        <f>VLOOKUP(E1390,DATABASE!C:Q,8,false)</f>
        <v>IBU</v>
      </c>
      <c r="P1390" s="65">
        <f>VLOOKUP(E1390,DATABASE!C:Q,9,False)</f>
        <v>0</v>
      </c>
      <c r="Q1390" s="93" t="str">
        <f>VLOOKUP(E1390,DATABASE!C:Q,4,false)</f>
        <v>SERVICE</v>
      </c>
      <c r="R1390" s="93" t="str">
        <f>VLOOKUP(E1390,DATABASE!C:Q,11,false)</f>
        <v>SERVICE</v>
      </c>
    </row>
    <row r="1391" ht="22.5" customHeight="1">
      <c r="A1391" s="49"/>
      <c r="C1391" s="384">
        <v>45736.0</v>
      </c>
      <c r="D1391" s="65">
        <v>4795.0</v>
      </c>
      <c r="E1391" s="445" t="s">
        <v>268</v>
      </c>
      <c r="F1391" s="386">
        <v>2.0</v>
      </c>
      <c r="G1391" s="74">
        <v>700000.0</v>
      </c>
      <c r="H1391" s="74">
        <v>0.0</v>
      </c>
      <c r="I1391" s="74">
        <f t="shared" si="1"/>
        <v>1400000</v>
      </c>
      <c r="J1391" s="74">
        <f>IF(E1391="SERVICE",I1391-(I1391*50%),Vlookup(E1391,DATABASE!C:Q,10,false)*F1391)</f>
        <v>0</v>
      </c>
      <c r="K1391" s="74">
        <v>613000.0</v>
      </c>
      <c r="L1391" s="74">
        <v>613000.0</v>
      </c>
      <c r="M1391" s="74">
        <f t="shared" si="2"/>
        <v>615000</v>
      </c>
      <c r="N1391" s="74">
        <f t="shared" si="3"/>
        <v>170000</v>
      </c>
      <c r="O1391" s="65" t="str">
        <f>VLOOKUP(E1391,DATABASE!C:Q,8,false)</f>
        <v>IBU</v>
      </c>
      <c r="P1391" s="65">
        <f>VLOOKUP(E1391,DATABASE!C:Q,9,False)</f>
        <v>1</v>
      </c>
      <c r="Q1391" s="93" t="str">
        <f>VLOOKUP(E1391,DATABASE!C:Q,4,false)</f>
        <v>Dunlop</v>
      </c>
      <c r="R1391" s="93" t="str">
        <f>VLOOKUP(E1391,DATABASE!C:Q,11,false)</f>
        <v>Tire</v>
      </c>
    </row>
    <row r="1392" ht="22.5" customHeight="1">
      <c r="A1392" s="49"/>
      <c r="C1392" s="384">
        <v>45736.0</v>
      </c>
      <c r="D1392" s="65">
        <v>4796.0</v>
      </c>
      <c r="E1392" s="445" t="s">
        <v>781</v>
      </c>
      <c r="F1392" s="386">
        <v>2.0</v>
      </c>
      <c r="G1392" s="74">
        <v>530000.0</v>
      </c>
      <c r="H1392" s="74">
        <v>0.0</v>
      </c>
      <c r="I1392" s="74">
        <f t="shared" si="1"/>
        <v>1060000</v>
      </c>
      <c r="J1392" s="74">
        <f>IF(E1392="SERVICE",I1392-(I1392*50%),Vlookup(E1392,DATABASE!C:Q,10,false)*F1392)</f>
        <v>0</v>
      </c>
      <c r="K1392" s="74">
        <f>VLOOKUP(E1392,DATABASE!C:Q,7,false)</f>
        <v>470000</v>
      </c>
      <c r="L1392" s="74">
        <v>442500.0</v>
      </c>
      <c r="M1392" s="74">
        <f t="shared" si="2"/>
        <v>445000</v>
      </c>
      <c r="N1392" s="74">
        <f t="shared" si="3"/>
        <v>170000</v>
      </c>
      <c r="O1392" s="65" t="str">
        <f>VLOOKUP(E1392,DATABASE!C:Q,8,false)</f>
        <v>BIAN</v>
      </c>
      <c r="P1392" s="65">
        <f>VLOOKUP(E1392,DATABASE!C:Q,9,False)</f>
        <v>1</v>
      </c>
      <c r="Q1392" s="93" t="str">
        <f>VLOOKUP(E1392,DATABASE!C:Q,4,false)</f>
        <v>GT</v>
      </c>
      <c r="R1392" s="93" t="str">
        <f>VLOOKUP(E1392,DATABASE!C:Q,11,false)</f>
        <v>Tire</v>
      </c>
    </row>
    <row r="1393" ht="22.5" customHeight="1">
      <c r="A1393" s="49"/>
      <c r="C1393" s="384">
        <v>45736.0</v>
      </c>
      <c r="D1393" s="65">
        <v>4797.0</v>
      </c>
      <c r="E1393" s="445" t="s">
        <v>262</v>
      </c>
      <c r="F1393" s="386">
        <v>1.0</v>
      </c>
      <c r="G1393" s="74">
        <v>110000.0</v>
      </c>
      <c r="H1393" s="74">
        <v>0.0</v>
      </c>
      <c r="I1393" s="74">
        <f t="shared" si="1"/>
        <v>110000</v>
      </c>
      <c r="J1393" s="74">
        <f>IF(E1393="SERVICE",I1393-(I1393*50%),Vlookup(E1393,DATABASE!C:Q,10,false)*F1393)</f>
        <v>5000</v>
      </c>
      <c r="K1393" s="74">
        <f>VLOOKUP(E1393,DATABASE!C:Q,7,false)</f>
        <v>0</v>
      </c>
      <c r="L1393" s="74">
        <v>0.0</v>
      </c>
      <c r="M1393" s="74">
        <f t="shared" si="2"/>
        <v>0</v>
      </c>
      <c r="N1393" s="74">
        <f t="shared" si="3"/>
        <v>105000</v>
      </c>
      <c r="O1393" s="65" t="str">
        <f>VLOOKUP(E1393,DATABASE!C:Q,8,false)</f>
        <v>IBU</v>
      </c>
      <c r="P1393" s="65">
        <f>VLOOKUP(E1393,DATABASE!C:Q,9,False)</f>
        <v>0</v>
      </c>
      <c r="Q1393" s="93" t="str">
        <f>VLOOKUP(E1393,DATABASE!C:Q,4,false)</f>
        <v>SPOORING SS/CARRY LOS BAK</v>
      </c>
      <c r="R1393" s="93" t="str">
        <f>VLOOKUP(E1393,DATABASE!C:Q,11,false)</f>
        <v>SERVICE</v>
      </c>
    </row>
    <row r="1394" ht="22.5" customHeight="1">
      <c r="A1394" s="49"/>
      <c r="C1394" s="384">
        <v>45736.0</v>
      </c>
      <c r="D1394" s="65">
        <v>4797.0</v>
      </c>
      <c r="E1394" s="445" t="s">
        <v>478</v>
      </c>
      <c r="F1394" s="386">
        <v>1.0</v>
      </c>
      <c r="G1394" s="74">
        <v>200000.0</v>
      </c>
      <c r="H1394" s="74">
        <v>0.0</v>
      </c>
      <c r="I1394" s="74">
        <f t="shared" si="1"/>
        <v>200000</v>
      </c>
      <c r="J1394" s="74">
        <f>IF(E1394="SERVICE",I1394-(I1394*50%),Vlookup(E1394,DATABASE!C:Q,10,false)*F1394)</f>
        <v>25000</v>
      </c>
      <c r="K1394" s="74">
        <f>VLOOKUP(E1394,DATABASE!C:Q,7,false)</f>
        <v>75000</v>
      </c>
      <c r="L1394" s="74">
        <v>75000.0</v>
      </c>
      <c r="M1394" s="74">
        <f t="shared" si="2"/>
        <v>75000</v>
      </c>
      <c r="N1394" s="74">
        <f t="shared" si="3"/>
        <v>100000</v>
      </c>
      <c r="O1394" s="65" t="str">
        <f>VLOOKUP(E1394,DATABASE!C:Q,8,false)</f>
        <v>BIAN</v>
      </c>
      <c r="P1394" s="65">
        <f>VLOOKUP(E1394,DATABASE!C:Q,9,False)</f>
        <v>0</v>
      </c>
      <c r="Q1394" s="93" t="str">
        <f>VLOOKUP(E1394,DATABASE!C:Q,4,false)</f>
        <v>Baut Camber ss-carry</v>
      </c>
      <c r="R1394" s="93" t="str">
        <f>VLOOKUP(E1394,DATABASE!C:Q,11,false)</f>
        <v>COMPLEMENTARY</v>
      </c>
    </row>
    <row r="1395" ht="22.5" customHeight="1">
      <c r="A1395" s="49"/>
      <c r="C1395" s="384">
        <v>45736.0</v>
      </c>
      <c r="D1395" s="65">
        <v>4798.0</v>
      </c>
      <c r="E1395" s="445" t="s">
        <v>932</v>
      </c>
      <c r="F1395" s="386">
        <v>4.0</v>
      </c>
      <c r="G1395" s="74">
        <v>650000.0</v>
      </c>
      <c r="H1395" s="74">
        <v>0.0</v>
      </c>
      <c r="I1395" s="74">
        <f t="shared" si="1"/>
        <v>2600000</v>
      </c>
      <c r="J1395" s="74">
        <f>IF(E1395="SERVICE",I1395-(I1395*50%),Vlookup(E1395,DATABASE!C:Q,10,false)*F1395)</f>
        <v>0</v>
      </c>
      <c r="K1395" s="74">
        <v>575000.0</v>
      </c>
      <c r="L1395" s="74">
        <v>575000.0</v>
      </c>
      <c r="M1395" s="74">
        <f t="shared" si="2"/>
        <v>575000</v>
      </c>
      <c r="N1395" s="74">
        <f t="shared" si="3"/>
        <v>300000</v>
      </c>
      <c r="O1395" s="65" t="str">
        <f>VLOOKUP(E1395,DATABASE!C:Q,8,false)</f>
        <v>IBU</v>
      </c>
      <c r="P1395" s="65">
        <f>VLOOKUP(E1395,DATABASE!C:Q,9,False)</f>
        <v>1</v>
      </c>
      <c r="Q1395" s="93" t="str">
        <f>VLOOKUP(E1395,DATABASE!C:Q,4,false)</f>
        <v>Dunlop</v>
      </c>
      <c r="R1395" s="93" t="str">
        <f>VLOOKUP(E1395,DATABASE!C:Q,11,false)</f>
        <v>Tire</v>
      </c>
    </row>
    <row r="1396" ht="22.5" customHeight="1">
      <c r="A1396" s="49"/>
      <c r="C1396" s="384">
        <v>45736.0</v>
      </c>
      <c r="D1396" s="65">
        <v>4798.0</v>
      </c>
      <c r="E1396" s="445" t="s">
        <v>2135</v>
      </c>
      <c r="F1396" s="386">
        <v>4.0</v>
      </c>
      <c r="G1396" s="74">
        <v>15000.0</v>
      </c>
      <c r="H1396" s="74">
        <v>0.0</v>
      </c>
      <c r="I1396" s="74">
        <f t="shared" si="1"/>
        <v>60000</v>
      </c>
      <c r="J1396" s="74">
        <f>IF(E1396="SERVICE",I1396-(I1396*50%),Vlookup(E1396,DATABASE!C:Q,10,false)*F1396)</f>
        <v>0</v>
      </c>
      <c r="K1396" s="74">
        <f>VLOOKUP(E1396,DATABASE!C:Q,7,false)</f>
        <v>0</v>
      </c>
      <c r="L1396" s="74">
        <v>0.0</v>
      </c>
      <c r="M1396" s="74">
        <f t="shared" si="2"/>
        <v>0</v>
      </c>
      <c r="N1396" s="74">
        <f t="shared" si="3"/>
        <v>60000</v>
      </c>
      <c r="O1396" s="65" t="str">
        <f>VLOOKUP(E1396,DATABASE!C:Q,8,false)</f>
        <v>IBU</v>
      </c>
      <c r="P1396" s="65">
        <f>VLOOKUP(E1396,DATABASE!C:Q,9,False)</f>
        <v>0</v>
      </c>
      <c r="Q1396" s="93" t="str">
        <f>VLOOKUP(E1396,DATABASE!C:Q,4,false)</f>
        <v>NITROGEN</v>
      </c>
      <c r="R1396" s="93" t="str">
        <f>VLOOKUP(E1396,DATABASE!C:Q,11,false)</f>
        <v>COMPLEMENTARY</v>
      </c>
    </row>
    <row r="1397" ht="22.5" customHeight="1">
      <c r="A1397" s="49"/>
      <c r="C1397" s="384">
        <v>45736.0</v>
      </c>
      <c r="D1397" s="65">
        <v>4800.0</v>
      </c>
      <c r="E1397" s="385" t="s">
        <v>299</v>
      </c>
      <c r="F1397" s="386">
        <v>2.0</v>
      </c>
      <c r="G1397" s="74">
        <v>40000.0</v>
      </c>
      <c r="H1397" s="74">
        <v>0.0</v>
      </c>
      <c r="I1397" s="74">
        <f t="shared" si="1"/>
        <v>80000</v>
      </c>
      <c r="J1397" s="74">
        <f>IF(E1397="SERVICE",I1397-(I1397*50%),Vlookup(E1397,DATABASE!C:Q,10,false)*F1397)</f>
        <v>0</v>
      </c>
      <c r="K1397" s="74">
        <v>0.0</v>
      </c>
      <c r="L1397" s="74">
        <v>0.0</v>
      </c>
      <c r="M1397" s="74">
        <f t="shared" si="2"/>
        <v>0</v>
      </c>
      <c r="N1397" s="74">
        <f t="shared" si="3"/>
        <v>80000</v>
      </c>
      <c r="O1397" s="65" t="str">
        <f>VLOOKUP(E1397,DATABASE!C:Q,8,false)</f>
        <v>BIAN</v>
      </c>
      <c r="P1397" s="65">
        <f>VLOOKUP(E1397,DATABASE!C:Q,9,False)</f>
        <v>0</v>
      </c>
      <c r="Q1397" s="93" t="str">
        <f>VLOOKUP(E1397,DATABASE!C:Q,4,false)</f>
        <v>Balancing</v>
      </c>
      <c r="R1397" s="93" t="str">
        <f>VLOOKUP(E1397,DATABASE!C:Q,11,false)</f>
        <v>COMPLEMENTARY</v>
      </c>
    </row>
    <row r="1398" ht="22.5" customHeight="1">
      <c r="A1398" s="49"/>
      <c r="C1398" s="384">
        <v>45736.0</v>
      </c>
      <c r="D1398" s="65">
        <v>4800.0</v>
      </c>
      <c r="E1398" s="445" t="s">
        <v>256</v>
      </c>
      <c r="F1398" s="386">
        <v>1.0</v>
      </c>
      <c r="G1398" s="74">
        <v>130000.0</v>
      </c>
      <c r="H1398" s="74">
        <v>0.0</v>
      </c>
      <c r="I1398" s="74">
        <f t="shared" si="1"/>
        <v>130000</v>
      </c>
      <c r="J1398" s="74">
        <f>IF(E1398="SERVICE",I1398-(I1398*50%),Vlookup(E1398,DATABASE!C:Q,10,false)*F1398)</f>
        <v>10000</v>
      </c>
      <c r="K1398" s="74">
        <f>VLOOKUP(E1398,DATABASE!C:Q,7,false)</f>
        <v>0</v>
      </c>
      <c r="L1398" s="74">
        <v>0.0</v>
      </c>
      <c r="M1398" s="74">
        <f t="shared" si="2"/>
        <v>0</v>
      </c>
      <c r="N1398" s="74">
        <f t="shared" si="3"/>
        <v>120000</v>
      </c>
      <c r="O1398" s="65" t="str">
        <f>VLOOKUP(E1398,DATABASE!C:Q,8,false)</f>
        <v>IBU</v>
      </c>
      <c r="P1398" s="65">
        <f>VLOOKUP(E1398,DATABASE!C:Q,9,False)</f>
        <v>0</v>
      </c>
      <c r="Q1398" s="93" t="str">
        <f>VLOOKUP(E1398,DATABASE!C:Q,4,false)</f>
        <v>SPOORING</v>
      </c>
      <c r="R1398" s="93" t="str">
        <f>VLOOKUP(E1398,DATABASE!C:Q,11,false)</f>
        <v>SERVICE</v>
      </c>
    </row>
    <row r="1399" ht="22.5" customHeight="1">
      <c r="A1399" s="49"/>
      <c r="C1399" s="384">
        <v>45736.0</v>
      </c>
      <c r="D1399" s="65">
        <v>4801.0</v>
      </c>
      <c r="E1399" s="445" t="s">
        <v>569</v>
      </c>
      <c r="F1399" s="386">
        <v>1.0</v>
      </c>
      <c r="G1399" s="74">
        <v>85000.0</v>
      </c>
      <c r="H1399" s="74">
        <v>0.0</v>
      </c>
      <c r="I1399" s="74">
        <f t="shared" si="1"/>
        <v>85000</v>
      </c>
      <c r="J1399" s="74">
        <f>IF(E1399="SERVICE",I1399-(I1399*50%),Vlookup(E1399,DATABASE!C:Q,10,false)*F1399)</f>
        <v>0</v>
      </c>
      <c r="K1399" s="74">
        <f>VLOOKUP(E1399,DATABASE!C:Q,7,false)</f>
        <v>45439.582</v>
      </c>
      <c r="L1399" s="74">
        <v>45309.6</v>
      </c>
      <c r="M1399" s="74">
        <f t="shared" si="2"/>
        <v>50000</v>
      </c>
      <c r="N1399" s="74">
        <f t="shared" si="3"/>
        <v>35000</v>
      </c>
      <c r="O1399" s="65" t="str">
        <f>VLOOKUP(E1399,DATABASE!C:Q,8,false)</f>
        <v>BIAN</v>
      </c>
      <c r="P1399" s="65">
        <f>VLOOKUP(E1399,DATABASE!C:Q,9,False)</f>
        <v>1</v>
      </c>
      <c r="Q1399" s="93" t="str">
        <f>VLOOKUP(E1399,DATABASE!C:Q,4,false)</f>
        <v>BD</v>
      </c>
      <c r="R1399" s="93" t="str">
        <f>VLOOKUP(E1399,DATABASE!C:Q,11,false)</f>
        <v>Tire</v>
      </c>
    </row>
    <row r="1400" ht="22.5" customHeight="1">
      <c r="A1400" s="49"/>
      <c r="C1400" s="384">
        <v>45736.0</v>
      </c>
      <c r="D1400" s="65">
        <v>4802.0</v>
      </c>
      <c r="E1400" s="445" t="s">
        <v>256</v>
      </c>
      <c r="F1400" s="386">
        <v>1.0</v>
      </c>
      <c r="G1400" s="74">
        <v>130000.0</v>
      </c>
      <c r="H1400" s="74">
        <v>0.0</v>
      </c>
      <c r="I1400" s="74">
        <f t="shared" si="1"/>
        <v>130000</v>
      </c>
      <c r="J1400" s="74">
        <f>IF(E1400="SERVICE",I1400-(I1400*50%),Vlookup(E1400,DATABASE!C:Q,10,false)*F1400)</f>
        <v>10000</v>
      </c>
      <c r="K1400" s="74">
        <f>VLOOKUP(E1400,DATABASE!C:Q,7,false)</f>
        <v>0</v>
      </c>
      <c r="L1400" s="74">
        <v>0.0</v>
      </c>
      <c r="M1400" s="74">
        <f t="shared" si="2"/>
        <v>0</v>
      </c>
      <c r="N1400" s="74">
        <f t="shared" si="3"/>
        <v>120000</v>
      </c>
      <c r="O1400" s="65" t="str">
        <f>VLOOKUP(E1400,DATABASE!C:Q,8,false)</f>
        <v>IBU</v>
      </c>
      <c r="P1400" s="65">
        <f>VLOOKUP(E1400,DATABASE!C:Q,9,False)</f>
        <v>0</v>
      </c>
      <c r="Q1400" s="93" t="str">
        <f>VLOOKUP(E1400,DATABASE!C:Q,4,false)</f>
        <v>SPOORING</v>
      </c>
      <c r="R1400" s="93" t="str">
        <f>VLOOKUP(E1400,DATABASE!C:Q,11,false)</f>
        <v>SERVICE</v>
      </c>
    </row>
    <row r="1401" ht="22.5" customHeight="1">
      <c r="A1401" s="49"/>
      <c r="C1401" s="384">
        <v>45737.0</v>
      </c>
      <c r="D1401" s="65">
        <v>4803.0</v>
      </c>
      <c r="E1401" s="445" t="s">
        <v>1237</v>
      </c>
      <c r="F1401" s="386">
        <v>2.0</v>
      </c>
      <c r="G1401" s="74">
        <v>1200000.0</v>
      </c>
      <c r="H1401" s="74">
        <v>0.0</v>
      </c>
      <c r="I1401" s="74">
        <f t="shared" si="1"/>
        <v>2400000</v>
      </c>
      <c r="J1401" s="74">
        <f>IF(E1401="SERVICE",I1401-(I1401*50%),Vlookup(E1401,DATABASE!C:Q,10,false)*F1401)</f>
        <v>0</v>
      </c>
      <c r="K1401" s="74">
        <f>VLOOKUP(E1401,DATABASE!C:Q,7,false)</f>
        <v>1170353.16</v>
      </c>
      <c r="L1401" s="74">
        <v>1113907.2</v>
      </c>
      <c r="M1401" s="74">
        <f t="shared" si="2"/>
        <v>1115000</v>
      </c>
      <c r="N1401" s="74">
        <f t="shared" si="3"/>
        <v>170000</v>
      </c>
      <c r="O1401" s="65" t="str">
        <f>VLOOKUP(E1401,DATABASE!C:Q,8,false)</f>
        <v>IBU</v>
      </c>
      <c r="P1401" s="65">
        <f>VLOOKUP(E1401,DATABASE!C:Q,9,False)</f>
        <v>1</v>
      </c>
      <c r="Q1401" s="93" t="str">
        <f>VLOOKUP(E1401,DATABASE!C:Q,4,false)</f>
        <v>Bridgestone</v>
      </c>
      <c r="R1401" s="93" t="str">
        <f>VLOOKUP(E1401,DATABASE!C:Q,11,false)</f>
        <v>Tire</v>
      </c>
    </row>
    <row r="1402" ht="22.5" customHeight="1">
      <c r="A1402" s="49"/>
      <c r="C1402" s="384">
        <v>45737.0</v>
      </c>
      <c r="D1402" s="65">
        <v>4804.0</v>
      </c>
      <c r="E1402" s="445" t="s">
        <v>256</v>
      </c>
      <c r="F1402" s="386">
        <v>1.0</v>
      </c>
      <c r="G1402" s="74">
        <v>130000.0</v>
      </c>
      <c r="H1402" s="74">
        <v>0.0</v>
      </c>
      <c r="I1402" s="74">
        <f t="shared" si="1"/>
        <v>130000</v>
      </c>
      <c r="J1402" s="74">
        <f>IF(E1402="SERVICE",I1402-(I1402*50%),Vlookup(E1402,DATABASE!C:Q,10,false)*F1402)</f>
        <v>10000</v>
      </c>
      <c r="K1402" s="74">
        <f>VLOOKUP(E1402,DATABASE!C:Q,7,false)</f>
        <v>0</v>
      </c>
      <c r="L1402" s="74">
        <v>0.0</v>
      </c>
      <c r="M1402" s="74">
        <f t="shared" si="2"/>
        <v>0</v>
      </c>
      <c r="N1402" s="74">
        <f t="shared" si="3"/>
        <v>120000</v>
      </c>
      <c r="O1402" s="65" t="str">
        <f>VLOOKUP(E1402,DATABASE!C:Q,8,false)</f>
        <v>IBU</v>
      </c>
      <c r="P1402" s="65">
        <f>VLOOKUP(E1402,DATABASE!C:Q,9,False)</f>
        <v>0</v>
      </c>
      <c r="Q1402" s="93" t="str">
        <f>VLOOKUP(E1402,DATABASE!C:Q,4,false)</f>
        <v>SPOORING</v>
      </c>
      <c r="R1402" s="93" t="str">
        <f>VLOOKUP(E1402,DATABASE!C:Q,11,false)</f>
        <v>SERVICE</v>
      </c>
    </row>
    <row r="1403" ht="22.5" customHeight="1">
      <c r="A1403" s="49"/>
      <c r="C1403" s="384">
        <v>45737.0</v>
      </c>
      <c r="D1403" s="65">
        <v>4804.0</v>
      </c>
      <c r="E1403" s="445" t="s">
        <v>301</v>
      </c>
      <c r="F1403" s="386">
        <v>1.0</v>
      </c>
      <c r="G1403" s="74">
        <v>250000.0</v>
      </c>
      <c r="H1403" s="74">
        <v>0.0</v>
      </c>
      <c r="I1403" s="74">
        <f t="shared" si="1"/>
        <v>250000</v>
      </c>
      <c r="J1403" s="74">
        <f>IF(E1403="SERVICE",I1403-(I1403*50%),Vlookup(E1403,DATABASE!C:Q,10,false)*F1403)</f>
        <v>75000</v>
      </c>
      <c r="K1403" s="74">
        <f>VLOOKUP(E1403,DATABASE!C:Q,7,false)</f>
        <v>75000</v>
      </c>
      <c r="L1403" s="74">
        <v>75000.0</v>
      </c>
      <c r="M1403" s="74">
        <f t="shared" si="2"/>
        <v>75000</v>
      </c>
      <c r="N1403" s="74">
        <f t="shared" si="3"/>
        <v>100000</v>
      </c>
      <c r="O1403" s="65" t="str">
        <f>VLOOKUP(E1403,DATABASE!C:Q,8,false)</f>
        <v>BIAN</v>
      </c>
      <c r="P1403" s="65">
        <f>VLOOKUP(E1403,DATABASE!C:Q,9,False)</f>
        <v>0</v>
      </c>
      <c r="Q1403" s="93" t="str">
        <f>VLOOKUP(E1403,DATABASE!C:Q,4,false)</f>
        <v>Baut Camber</v>
      </c>
      <c r="R1403" s="93" t="str">
        <f>VLOOKUP(E1403,DATABASE!C:Q,11,false)</f>
        <v>COMPLEMENTARY</v>
      </c>
    </row>
    <row r="1404" ht="22.5" customHeight="1">
      <c r="A1404" s="49"/>
      <c r="C1404" s="384">
        <v>45737.0</v>
      </c>
      <c r="D1404" s="65">
        <v>4805.0</v>
      </c>
      <c r="E1404" s="445" t="s">
        <v>268</v>
      </c>
      <c r="F1404" s="386">
        <v>1.0</v>
      </c>
      <c r="G1404" s="74">
        <v>700000.0</v>
      </c>
      <c r="H1404" s="74">
        <v>0.0</v>
      </c>
      <c r="I1404" s="74">
        <f t="shared" si="1"/>
        <v>700000</v>
      </c>
      <c r="J1404" s="74">
        <f>IF(E1404="SERVICE",I1404-(I1404*50%),Vlookup(E1404,DATABASE!C:Q,10,false)*F1404)</f>
        <v>0</v>
      </c>
      <c r="K1404" s="74">
        <v>613000.0</v>
      </c>
      <c r="L1404" s="74">
        <v>613000.0</v>
      </c>
      <c r="M1404" s="74">
        <f t="shared" si="2"/>
        <v>615000</v>
      </c>
      <c r="N1404" s="74">
        <f t="shared" si="3"/>
        <v>85000</v>
      </c>
      <c r="O1404" s="65" t="str">
        <f>VLOOKUP(E1404,DATABASE!C:Q,8,false)</f>
        <v>IBU</v>
      </c>
      <c r="P1404" s="65">
        <f>VLOOKUP(E1404,DATABASE!C:Q,9,False)</f>
        <v>1</v>
      </c>
      <c r="Q1404" s="93" t="str">
        <f>VLOOKUP(E1404,DATABASE!C:Q,4,false)</f>
        <v>Dunlop</v>
      </c>
      <c r="R1404" s="93" t="str">
        <f>VLOOKUP(E1404,DATABASE!C:Q,11,false)</f>
        <v>Tire</v>
      </c>
    </row>
    <row r="1405" ht="22.5" customHeight="1">
      <c r="A1405" s="49"/>
      <c r="C1405" s="384">
        <v>45737.0</v>
      </c>
      <c r="D1405" s="65">
        <v>4806.0</v>
      </c>
      <c r="E1405" s="445" t="s">
        <v>256</v>
      </c>
      <c r="F1405" s="386">
        <v>1.0</v>
      </c>
      <c r="G1405" s="74">
        <v>130000.0</v>
      </c>
      <c r="H1405" s="74">
        <v>0.0</v>
      </c>
      <c r="I1405" s="74">
        <f t="shared" si="1"/>
        <v>130000</v>
      </c>
      <c r="J1405" s="74">
        <f>IF(E1405="SERVICE",I1405-(I1405*50%),Vlookup(E1405,DATABASE!C:Q,10,false)*F1405)</f>
        <v>10000</v>
      </c>
      <c r="K1405" s="74">
        <f>VLOOKUP(E1405,DATABASE!C:Q,7,false)</f>
        <v>0</v>
      </c>
      <c r="L1405" s="74">
        <v>0.0</v>
      </c>
      <c r="M1405" s="74">
        <f t="shared" si="2"/>
        <v>0</v>
      </c>
      <c r="N1405" s="74">
        <f t="shared" si="3"/>
        <v>120000</v>
      </c>
      <c r="O1405" s="65" t="str">
        <f>VLOOKUP(E1405,DATABASE!C:Q,8,false)</f>
        <v>IBU</v>
      </c>
      <c r="P1405" s="65">
        <f>VLOOKUP(E1405,DATABASE!C:Q,9,False)</f>
        <v>0</v>
      </c>
      <c r="Q1405" s="93" t="str">
        <f>VLOOKUP(E1405,DATABASE!C:Q,4,false)</f>
        <v>SPOORING</v>
      </c>
      <c r="R1405" s="93" t="str">
        <f>VLOOKUP(E1405,DATABASE!C:Q,11,false)</f>
        <v>SERVICE</v>
      </c>
    </row>
    <row r="1406" ht="22.5" customHeight="1">
      <c r="A1406" s="49"/>
      <c r="C1406" s="384">
        <v>45737.0</v>
      </c>
      <c r="D1406" s="65">
        <v>4807.0</v>
      </c>
      <c r="E1406" s="445" t="s">
        <v>262</v>
      </c>
      <c r="F1406" s="386">
        <v>1.0</v>
      </c>
      <c r="G1406" s="74">
        <v>100000.0</v>
      </c>
      <c r="H1406" s="74">
        <v>0.0</v>
      </c>
      <c r="I1406" s="74">
        <f t="shared" si="1"/>
        <v>100000</v>
      </c>
      <c r="J1406" s="74">
        <f>IF(E1406="SERVICE",I1406-(I1406*50%),Vlookup(E1406,DATABASE!C:Q,10,false)*F1406)</f>
        <v>5000</v>
      </c>
      <c r="K1406" s="74">
        <f>VLOOKUP(E1406,DATABASE!C:Q,7,false)</f>
        <v>0</v>
      </c>
      <c r="L1406" s="74">
        <v>0.0</v>
      </c>
      <c r="M1406" s="74">
        <f t="shared" si="2"/>
        <v>0</v>
      </c>
      <c r="N1406" s="74">
        <f t="shared" si="3"/>
        <v>95000</v>
      </c>
      <c r="O1406" s="65" t="str">
        <f>VLOOKUP(E1406,DATABASE!C:Q,8,false)</f>
        <v>IBU</v>
      </c>
      <c r="P1406" s="65">
        <f>VLOOKUP(E1406,DATABASE!C:Q,9,False)</f>
        <v>0</v>
      </c>
      <c r="Q1406" s="93" t="str">
        <f>VLOOKUP(E1406,DATABASE!C:Q,4,false)</f>
        <v>SPOORING SS/CARRY LOS BAK</v>
      </c>
      <c r="R1406" s="93" t="str">
        <f>VLOOKUP(E1406,DATABASE!C:Q,11,false)</f>
        <v>SERVICE</v>
      </c>
    </row>
    <row r="1407" ht="22.5" customHeight="1">
      <c r="A1407" s="49"/>
      <c r="C1407" s="384">
        <v>45737.0</v>
      </c>
      <c r="D1407" s="65">
        <v>4808.0</v>
      </c>
      <c r="E1407" s="445" t="s">
        <v>363</v>
      </c>
      <c r="F1407" s="386">
        <v>1.0</v>
      </c>
      <c r="G1407" s="74">
        <v>1950000.0</v>
      </c>
      <c r="H1407" s="74">
        <v>0.0</v>
      </c>
      <c r="I1407" s="74">
        <f t="shared" si="1"/>
        <v>1950000</v>
      </c>
      <c r="J1407" s="74">
        <f>IF(E1407="SERVICE",I1407-(I1407*50%),Vlookup(E1407,DATABASE!C:Q,10,false)*F1407)</f>
        <v>0</v>
      </c>
      <c r="K1407" s="74">
        <f>VLOOKUP(E1407,DATABASE!C:Q,7,false)</f>
        <v>1840000</v>
      </c>
      <c r="L1407" s="74">
        <v>1840000.0</v>
      </c>
      <c r="M1407" s="74">
        <f t="shared" si="2"/>
        <v>1840000</v>
      </c>
      <c r="N1407" s="74">
        <f t="shared" si="3"/>
        <v>110000</v>
      </c>
      <c r="O1407" s="65" t="str">
        <f>VLOOKUP(E1407,DATABASE!C:Q,8,false)</f>
        <v>BIAN</v>
      </c>
      <c r="P1407" s="65">
        <f>VLOOKUP(E1407,DATABASE!C:Q,9,False)</f>
        <v>1</v>
      </c>
      <c r="Q1407" s="93" t="str">
        <f>VLOOKUP(E1407,DATABASE!C:Q,4,false)</f>
        <v>ADVANCE</v>
      </c>
      <c r="R1407" s="93" t="str">
        <f>VLOOKUP(E1407,DATABASE!C:Q,11,false)</f>
        <v>Tire</v>
      </c>
    </row>
    <row r="1408" ht="22.5" customHeight="1">
      <c r="A1408" s="49"/>
      <c r="C1408" s="384">
        <v>45737.0</v>
      </c>
      <c r="D1408" s="65">
        <v>4809.0</v>
      </c>
      <c r="E1408" s="445" t="s">
        <v>286</v>
      </c>
      <c r="F1408" s="386">
        <v>2.0</v>
      </c>
      <c r="G1408" s="74">
        <v>560000.0</v>
      </c>
      <c r="H1408" s="74">
        <v>0.0</v>
      </c>
      <c r="I1408" s="74">
        <f t="shared" si="1"/>
        <v>1120000</v>
      </c>
      <c r="J1408" s="74">
        <f>IF(E1408="SERVICE",I1408-(I1408*50%),Vlookup(E1408,DATABASE!C:Q,10,false)*F1408)</f>
        <v>0</v>
      </c>
      <c r="K1408" s="74">
        <f>VLOOKUP(E1408,DATABASE!C:Q,7,false)</f>
        <v>488320</v>
      </c>
      <c r="L1408" s="74">
        <v>452970.0</v>
      </c>
      <c r="M1408" s="74">
        <f t="shared" si="2"/>
        <v>455000</v>
      </c>
      <c r="N1408" s="74">
        <f t="shared" si="3"/>
        <v>210000</v>
      </c>
      <c r="O1408" s="65" t="str">
        <f>VLOOKUP(E1408,DATABASE!C:Q,8,false)</f>
        <v>BIAN</v>
      </c>
      <c r="P1408" s="65">
        <f>VLOOKUP(E1408,DATABASE!C:Q,9,False)</f>
        <v>1</v>
      </c>
      <c r="Q1408" s="93" t="str">
        <f>VLOOKUP(E1408,DATABASE!C:Q,4,false)</f>
        <v>GT</v>
      </c>
      <c r="R1408" s="93" t="str">
        <f>VLOOKUP(E1408,DATABASE!C:Q,11,false)</f>
        <v>Tire</v>
      </c>
    </row>
    <row r="1409" ht="22.5" customHeight="1">
      <c r="A1409" s="49"/>
      <c r="C1409" s="384">
        <v>45737.0</v>
      </c>
      <c r="D1409" s="65">
        <v>4809.0</v>
      </c>
      <c r="E1409" s="445" t="s">
        <v>2135</v>
      </c>
      <c r="F1409" s="386">
        <v>2.0</v>
      </c>
      <c r="G1409" s="74">
        <v>15000.0</v>
      </c>
      <c r="H1409" s="74">
        <v>0.0</v>
      </c>
      <c r="I1409" s="74">
        <f t="shared" si="1"/>
        <v>30000</v>
      </c>
      <c r="J1409" s="74">
        <f>IF(E1409="SERVICE",I1409-(I1409*50%),Vlookup(E1409,DATABASE!C:Q,10,false)*F1409)</f>
        <v>0</v>
      </c>
      <c r="K1409" s="74">
        <f>VLOOKUP(E1409,DATABASE!C:Q,7,false)</f>
        <v>0</v>
      </c>
      <c r="L1409" s="74">
        <v>0.0</v>
      </c>
      <c r="M1409" s="74">
        <f t="shared" si="2"/>
        <v>0</v>
      </c>
      <c r="N1409" s="74">
        <f t="shared" si="3"/>
        <v>30000</v>
      </c>
      <c r="O1409" s="65" t="str">
        <f>VLOOKUP(E1409,DATABASE!C:Q,8,false)</f>
        <v>IBU</v>
      </c>
      <c r="P1409" s="65">
        <f>VLOOKUP(E1409,DATABASE!C:Q,9,False)</f>
        <v>0</v>
      </c>
      <c r="Q1409" s="93" t="str">
        <f>VLOOKUP(E1409,DATABASE!C:Q,4,false)</f>
        <v>NITROGEN</v>
      </c>
      <c r="R1409" s="93" t="str">
        <f>VLOOKUP(E1409,DATABASE!C:Q,11,false)</f>
        <v>COMPLEMENTARY</v>
      </c>
    </row>
    <row r="1410" ht="22.5" customHeight="1">
      <c r="A1410" s="49"/>
      <c r="C1410" s="384">
        <v>45737.0</v>
      </c>
      <c r="D1410" s="65">
        <v>4810.0</v>
      </c>
      <c r="E1410" s="445" t="s">
        <v>600</v>
      </c>
      <c r="F1410" s="386">
        <v>1.0</v>
      </c>
      <c r="G1410" s="74">
        <v>675000.0</v>
      </c>
      <c r="H1410" s="74">
        <v>0.0</v>
      </c>
      <c r="I1410" s="74">
        <f t="shared" si="1"/>
        <v>675000</v>
      </c>
      <c r="J1410" s="74">
        <f>IF(E1410="SERVICE",I1410-(I1410*50%),Vlookup(E1410,DATABASE!C:Q,10,false)*F1410)</f>
        <v>0</v>
      </c>
      <c r="K1410" s="74">
        <f>VLOOKUP(E1410,DATABASE!C:Q,7,false)</f>
        <v>611109.16</v>
      </c>
      <c r="L1410" s="74">
        <v>572762.4</v>
      </c>
      <c r="M1410" s="74">
        <f t="shared" si="2"/>
        <v>575000</v>
      </c>
      <c r="N1410" s="74">
        <f t="shared" si="3"/>
        <v>100000</v>
      </c>
      <c r="O1410" s="65" t="str">
        <f>VLOOKUP(E1410,DATABASE!C:Q,8,false)</f>
        <v>IBU</v>
      </c>
      <c r="P1410" s="65">
        <f>VLOOKUP(E1410,DATABASE!C:Q,9,False)</f>
        <v>1</v>
      </c>
      <c r="Q1410" s="93" t="str">
        <f>VLOOKUP(E1410,DATABASE!C:Q,4,false)</f>
        <v>Bridgestone</v>
      </c>
      <c r="R1410" s="93" t="str">
        <f>VLOOKUP(E1410,DATABASE!C:Q,11,false)</f>
        <v>Tire</v>
      </c>
    </row>
    <row r="1411" ht="22.5" customHeight="1">
      <c r="A1411" s="49"/>
      <c r="C1411" s="384">
        <v>45737.0</v>
      </c>
      <c r="D1411" s="65">
        <v>4811.0</v>
      </c>
      <c r="E1411" s="445" t="s">
        <v>256</v>
      </c>
      <c r="F1411" s="386">
        <v>1.0</v>
      </c>
      <c r="G1411" s="74">
        <v>130000.0</v>
      </c>
      <c r="H1411" s="74">
        <v>0.0</v>
      </c>
      <c r="I1411" s="74">
        <f t="shared" si="1"/>
        <v>130000</v>
      </c>
      <c r="J1411" s="74">
        <f>IF(E1411="SERVICE",I1411-(I1411*50%),Vlookup(E1411,DATABASE!C:Q,10,false)*F1411)</f>
        <v>10000</v>
      </c>
      <c r="K1411" s="74">
        <f>VLOOKUP(E1411,DATABASE!C:Q,7,false)</f>
        <v>0</v>
      </c>
      <c r="L1411" s="74">
        <v>0.0</v>
      </c>
      <c r="M1411" s="74">
        <f t="shared" si="2"/>
        <v>0</v>
      </c>
      <c r="N1411" s="74">
        <f t="shared" si="3"/>
        <v>120000</v>
      </c>
      <c r="O1411" s="65" t="str">
        <f>VLOOKUP(E1411,DATABASE!C:Q,8,false)</f>
        <v>IBU</v>
      </c>
      <c r="P1411" s="65">
        <f>VLOOKUP(E1411,DATABASE!C:Q,9,False)</f>
        <v>0</v>
      </c>
      <c r="Q1411" s="93" t="str">
        <f>VLOOKUP(E1411,DATABASE!C:Q,4,false)</f>
        <v>SPOORING</v>
      </c>
      <c r="R1411" s="93" t="str">
        <f>VLOOKUP(E1411,DATABASE!C:Q,11,false)</f>
        <v>SERVICE</v>
      </c>
    </row>
    <row r="1412" ht="22.5" customHeight="1">
      <c r="A1412" s="49"/>
      <c r="C1412" s="384">
        <v>45737.0</v>
      </c>
      <c r="D1412" s="65">
        <v>4811.0</v>
      </c>
      <c r="E1412" s="445" t="s">
        <v>301</v>
      </c>
      <c r="F1412" s="386">
        <v>1.0</v>
      </c>
      <c r="G1412" s="74">
        <v>250000.0</v>
      </c>
      <c r="H1412" s="74">
        <v>0.0</v>
      </c>
      <c r="I1412" s="74">
        <f t="shared" si="1"/>
        <v>250000</v>
      </c>
      <c r="J1412" s="74">
        <f>IF(E1412="SERVICE",I1412-(I1412*50%),Vlookup(E1412,DATABASE!C:Q,10,false)*F1412)</f>
        <v>75000</v>
      </c>
      <c r="K1412" s="74">
        <f>VLOOKUP(E1412,DATABASE!C:Q,7,false)</f>
        <v>75000</v>
      </c>
      <c r="L1412" s="74">
        <v>75000.0</v>
      </c>
      <c r="M1412" s="74">
        <f t="shared" si="2"/>
        <v>75000</v>
      </c>
      <c r="N1412" s="74">
        <f t="shared" si="3"/>
        <v>100000</v>
      </c>
      <c r="O1412" s="65" t="str">
        <f>VLOOKUP(E1412,DATABASE!C:Q,8,false)</f>
        <v>BIAN</v>
      </c>
      <c r="P1412" s="65">
        <f>VLOOKUP(E1412,DATABASE!C:Q,9,False)</f>
        <v>0</v>
      </c>
      <c r="Q1412" s="93" t="str">
        <f>VLOOKUP(E1412,DATABASE!C:Q,4,false)</f>
        <v>Baut Camber</v>
      </c>
      <c r="R1412" s="93" t="str">
        <f>VLOOKUP(E1412,DATABASE!C:Q,11,false)</f>
        <v>COMPLEMENTARY</v>
      </c>
    </row>
    <row r="1413" ht="22.5" customHeight="1">
      <c r="A1413" s="49"/>
      <c r="C1413" s="384">
        <v>45737.0</v>
      </c>
      <c r="D1413" s="65">
        <v>4812.0</v>
      </c>
      <c r="E1413" s="445" t="s">
        <v>1927</v>
      </c>
      <c r="F1413" s="386">
        <v>1.0</v>
      </c>
      <c r="G1413" s="74">
        <v>700000.0</v>
      </c>
      <c r="H1413" s="74">
        <v>0.0</v>
      </c>
      <c r="I1413" s="74">
        <f t="shared" si="1"/>
        <v>700000</v>
      </c>
      <c r="J1413" s="74">
        <f>IF(E1413="SERVICE",I1413-(I1413*50%),Vlookup(E1413,DATABASE!C:Q,10,false)*F1413)</f>
        <v>0</v>
      </c>
      <c r="K1413" s="74">
        <f>VLOOKUP(E1413,DATABASE!C:Q,7,false)</f>
        <v>590000</v>
      </c>
      <c r="L1413" s="74">
        <v>590000.0</v>
      </c>
      <c r="M1413" s="74">
        <f t="shared" si="2"/>
        <v>590000</v>
      </c>
      <c r="N1413" s="74">
        <f t="shared" si="3"/>
        <v>110000</v>
      </c>
      <c r="O1413" s="65" t="str">
        <f>VLOOKUP(E1413,DATABASE!C:Q,8,false)</f>
        <v>BIAN</v>
      </c>
      <c r="P1413" s="65">
        <f>VLOOKUP(E1413,DATABASE!C:Q,9,False)</f>
        <v>1</v>
      </c>
      <c r="Q1413" s="93" t="str">
        <f>VLOOKUP(E1413,DATABASE!C:Q,4,false)</f>
        <v>GT</v>
      </c>
      <c r="R1413" s="93" t="str">
        <f>VLOOKUP(E1413,DATABASE!C:Q,11,false)</f>
        <v>Tire</v>
      </c>
    </row>
    <row r="1414" ht="22.5" customHeight="1">
      <c r="A1414" s="49"/>
      <c r="C1414" s="384">
        <v>45737.0</v>
      </c>
      <c r="D1414" s="65">
        <v>4813.0</v>
      </c>
      <c r="E1414" s="445" t="s">
        <v>1097</v>
      </c>
      <c r="F1414" s="386">
        <v>2.0</v>
      </c>
      <c r="G1414" s="74">
        <v>950000.0</v>
      </c>
      <c r="H1414" s="74">
        <v>0.0</v>
      </c>
      <c r="I1414" s="74">
        <f t="shared" si="1"/>
        <v>1900000</v>
      </c>
      <c r="J1414" s="74">
        <f>IF(E1414="SERVICE",I1414-(I1414*50%),Vlookup(E1414,DATABASE!C:Q,10,false)*F1414)</f>
        <v>0</v>
      </c>
      <c r="K1414" s="74">
        <f>VLOOKUP(E1414,DATABASE!C:Q,7,false)</f>
        <v>844838.5</v>
      </c>
      <c r="L1414" s="74">
        <v>808945.0</v>
      </c>
      <c r="M1414" s="74">
        <f t="shared" si="2"/>
        <v>810000</v>
      </c>
      <c r="N1414" s="74">
        <f t="shared" si="3"/>
        <v>280000</v>
      </c>
      <c r="O1414" s="65" t="str">
        <f>VLOOKUP(E1414,DATABASE!C:Q,8,false)</f>
        <v>IBU</v>
      </c>
      <c r="P1414" s="65">
        <f>VLOOKUP(E1414,DATABASE!C:Q,9,False)</f>
        <v>1</v>
      </c>
      <c r="Q1414" s="93" t="str">
        <f>VLOOKUP(E1414,DATABASE!C:Q,4,false)</f>
        <v>Bridgestone</v>
      </c>
      <c r="R1414" s="93" t="str">
        <f>VLOOKUP(E1414,DATABASE!C:Q,11,false)</f>
        <v>Tire</v>
      </c>
    </row>
    <row r="1415" ht="22.5" customHeight="1">
      <c r="A1415" s="49"/>
      <c r="C1415" s="384">
        <v>45737.0</v>
      </c>
      <c r="D1415" s="65">
        <v>4814.0</v>
      </c>
      <c r="E1415" s="445" t="s">
        <v>581</v>
      </c>
      <c r="F1415" s="386">
        <v>2.0</v>
      </c>
      <c r="G1415" s="74">
        <v>670000.0</v>
      </c>
      <c r="H1415" s="74">
        <v>0.0</v>
      </c>
      <c r="I1415" s="74">
        <f t="shared" si="1"/>
        <v>1340000</v>
      </c>
      <c r="J1415" s="74">
        <f>IF(E1415="SERVICE",I1415-(I1415*50%),Vlookup(E1415,DATABASE!C:Q,10,false)*F1415)</f>
        <v>0</v>
      </c>
      <c r="K1415" s="74">
        <f>VLOOKUP(E1415,DATABASE!C:Q,7,false)</f>
        <v>542528</v>
      </c>
      <c r="L1415" s="74">
        <v>577500.0</v>
      </c>
      <c r="M1415" s="74">
        <f t="shared" si="2"/>
        <v>580000</v>
      </c>
      <c r="N1415" s="74">
        <f t="shared" si="3"/>
        <v>180000</v>
      </c>
      <c r="O1415" s="65" t="str">
        <f>VLOOKUP(E1415,DATABASE!C:Q,8,false)</f>
        <v>IBU</v>
      </c>
      <c r="P1415" s="65">
        <f>VLOOKUP(E1415,DATABASE!C:Q,9,False)</f>
        <v>1</v>
      </c>
      <c r="Q1415" s="93" t="str">
        <f>VLOOKUP(E1415,DATABASE!C:Q,4,false)</f>
        <v>Bridgestone</v>
      </c>
      <c r="R1415" s="93" t="str">
        <f>VLOOKUP(E1415,DATABASE!C:Q,11,false)</f>
        <v>Tire</v>
      </c>
    </row>
    <row r="1416" ht="22.5" customHeight="1">
      <c r="A1416" s="49"/>
      <c r="C1416" s="384">
        <v>45737.0</v>
      </c>
      <c r="D1416" s="65">
        <v>4815.0</v>
      </c>
      <c r="E1416" s="445" t="s">
        <v>968</v>
      </c>
      <c r="F1416" s="386">
        <v>2.0</v>
      </c>
      <c r="G1416" s="74">
        <v>640000.0</v>
      </c>
      <c r="H1416" s="74">
        <v>0.0</v>
      </c>
      <c r="I1416" s="74">
        <f t="shared" si="1"/>
        <v>1280000</v>
      </c>
      <c r="J1416" s="74">
        <f>IF(E1416="SERVICE",I1416-(I1416*50%),Vlookup(E1416,DATABASE!C:Q,10,false)*F1416)</f>
        <v>0</v>
      </c>
      <c r="K1416" s="74">
        <f>VLOOKUP(E1416,DATABASE!C:Q,7,false)</f>
        <v>582500</v>
      </c>
      <c r="L1416" s="74">
        <v>582500.0</v>
      </c>
      <c r="M1416" s="74">
        <f t="shared" si="2"/>
        <v>585000</v>
      </c>
      <c r="N1416" s="74">
        <f t="shared" si="3"/>
        <v>110000</v>
      </c>
      <c r="O1416" s="65" t="str">
        <f>VLOOKUP(E1416,DATABASE!C:Q,8,false)</f>
        <v>IBU</v>
      </c>
      <c r="P1416" s="65">
        <f>VLOOKUP(E1416,DATABASE!C:Q,9,False)</f>
        <v>1</v>
      </c>
      <c r="Q1416" s="93" t="str">
        <f>VLOOKUP(E1416,DATABASE!C:Q,4,false)</f>
        <v>Dunlop</v>
      </c>
      <c r="R1416" s="93" t="str">
        <f>VLOOKUP(E1416,DATABASE!C:Q,11,false)</f>
        <v>Tire</v>
      </c>
    </row>
    <row r="1417" ht="22.5" customHeight="1">
      <c r="A1417" s="49"/>
      <c r="C1417" s="384">
        <v>45737.0</v>
      </c>
      <c r="D1417" s="65">
        <v>4815.0</v>
      </c>
      <c r="E1417" s="445" t="s">
        <v>2135</v>
      </c>
      <c r="F1417" s="386">
        <v>2.0</v>
      </c>
      <c r="G1417" s="74">
        <v>15000.0</v>
      </c>
      <c r="H1417" s="74">
        <v>0.0</v>
      </c>
      <c r="I1417" s="74">
        <f t="shared" si="1"/>
        <v>30000</v>
      </c>
      <c r="J1417" s="74">
        <f>IF(E1417="SERVICE",I1417-(I1417*50%),Vlookup(E1417,DATABASE!C:Q,10,false)*F1417)</f>
        <v>0</v>
      </c>
      <c r="K1417" s="74">
        <f>VLOOKUP(E1417,DATABASE!C:Q,7,false)</f>
        <v>0</v>
      </c>
      <c r="L1417" s="74">
        <v>0.0</v>
      </c>
      <c r="M1417" s="74">
        <f t="shared" si="2"/>
        <v>0</v>
      </c>
      <c r="N1417" s="74">
        <f t="shared" si="3"/>
        <v>30000</v>
      </c>
      <c r="O1417" s="65" t="str">
        <f>VLOOKUP(E1417,DATABASE!C:Q,8,false)</f>
        <v>IBU</v>
      </c>
      <c r="P1417" s="65">
        <f>VLOOKUP(E1417,DATABASE!C:Q,9,False)</f>
        <v>0</v>
      </c>
      <c r="Q1417" s="93" t="str">
        <f>VLOOKUP(E1417,DATABASE!C:Q,4,false)</f>
        <v>NITROGEN</v>
      </c>
      <c r="R1417" s="93" t="str">
        <f>VLOOKUP(E1417,DATABASE!C:Q,11,false)</f>
        <v>COMPLEMENTARY</v>
      </c>
    </row>
    <row r="1418" ht="22.5" customHeight="1">
      <c r="A1418" s="49"/>
      <c r="C1418" s="384">
        <v>45737.0</v>
      </c>
      <c r="D1418" s="65">
        <v>4816.0</v>
      </c>
      <c r="E1418" s="445" t="s">
        <v>839</v>
      </c>
      <c r="F1418" s="386">
        <v>1.0</v>
      </c>
      <c r="G1418" s="74">
        <v>565000.0</v>
      </c>
      <c r="H1418" s="74">
        <v>0.0</v>
      </c>
      <c r="I1418" s="74">
        <f t="shared" si="1"/>
        <v>565000</v>
      </c>
      <c r="J1418" s="74">
        <f>IF(E1418="SERVICE",I1418-(I1418*50%),Vlookup(E1418,DATABASE!C:Q,10,false)*F1418)</f>
        <v>0</v>
      </c>
      <c r="K1418" s="74">
        <f>VLOOKUP(E1418,DATABASE!C:Q,7,false)</f>
        <v>512640</v>
      </c>
      <c r="L1418" s="74">
        <v>475700.0</v>
      </c>
      <c r="M1418" s="74">
        <f t="shared" si="2"/>
        <v>480000</v>
      </c>
      <c r="N1418" s="74">
        <f t="shared" si="3"/>
        <v>85000</v>
      </c>
      <c r="O1418" s="65" t="str">
        <f>VLOOKUP(E1418,DATABASE!C:Q,8,false)</f>
        <v>BIAN</v>
      </c>
      <c r="P1418" s="65">
        <f>VLOOKUP(E1418,DATABASE!C:Q,9,False)</f>
        <v>1</v>
      </c>
      <c r="Q1418" s="93" t="str">
        <f>VLOOKUP(E1418,DATABASE!C:Q,4,false)</f>
        <v>GT</v>
      </c>
      <c r="R1418" s="93" t="str">
        <f>VLOOKUP(E1418,DATABASE!C:Q,11,false)</f>
        <v>Tire</v>
      </c>
    </row>
    <row r="1419" ht="22.5" customHeight="1">
      <c r="A1419" s="49"/>
      <c r="C1419" s="384">
        <v>45737.0</v>
      </c>
      <c r="D1419" s="65">
        <v>4817.0</v>
      </c>
      <c r="E1419" s="445" t="s">
        <v>256</v>
      </c>
      <c r="F1419" s="386">
        <v>1.0</v>
      </c>
      <c r="G1419" s="74">
        <v>130000.0</v>
      </c>
      <c r="H1419" s="74">
        <v>0.0</v>
      </c>
      <c r="I1419" s="74">
        <f t="shared" si="1"/>
        <v>130000</v>
      </c>
      <c r="J1419" s="74">
        <f>IF(E1419="SERVICE",I1419-(I1419*50%),Vlookup(E1419,DATABASE!C:Q,10,false)*F1419)</f>
        <v>10000</v>
      </c>
      <c r="K1419" s="74">
        <f>VLOOKUP(E1419,DATABASE!C:Q,7,false)</f>
        <v>0</v>
      </c>
      <c r="L1419" s="74">
        <v>0.0</v>
      </c>
      <c r="M1419" s="74">
        <f t="shared" si="2"/>
        <v>0</v>
      </c>
      <c r="N1419" s="74">
        <f t="shared" si="3"/>
        <v>120000</v>
      </c>
      <c r="O1419" s="65" t="str">
        <f>VLOOKUP(E1419,DATABASE!C:Q,8,false)</f>
        <v>IBU</v>
      </c>
      <c r="P1419" s="65">
        <f>VLOOKUP(E1419,DATABASE!C:Q,9,False)</f>
        <v>0</v>
      </c>
      <c r="Q1419" s="93" t="str">
        <f>VLOOKUP(E1419,DATABASE!C:Q,4,false)</f>
        <v>SPOORING</v>
      </c>
      <c r="R1419" s="93" t="str">
        <f>VLOOKUP(E1419,DATABASE!C:Q,11,false)</f>
        <v>SERVICE</v>
      </c>
    </row>
    <row r="1420" ht="22.5" customHeight="1">
      <c r="A1420" s="49"/>
      <c r="C1420" s="384">
        <v>45737.0</v>
      </c>
      <c r="D1420" s="65">
        <v>4817.0</v>
      </c>
      <c r="E1420" s="445" t="s">
        <v>301</v>
      </c>
      <c r="F1420" s="386">
        <v>1.0</v>
      </c>
      <c r="G1420" s="74">
        <v>250000.0</v>
      </c>
      <c r="H1420" s="74">
        <v>0.0</v>
      </c>
      <c r="I1420" s="74">
        <f t="shared" si="1"/>
        <v>250000</v>
      </c>
      <c r="J1420" s="74">
        <f>IF(E1420="SERVICE",I1420-(I1420*50%),Vlookup(E1420,DATABASE!C:Q,10,false)*F1420)</f>
        <v>75000</v>
      </c>
      <c r="K1420" s="74">
        <f>VLOOKUP(E1420,DATABASE!C:Q,7,false)</f>
        <v>75000</v>
      </c>
      <c r="L1420" s="74">
        <v>75000.0</v>
      </c>
      <c r="M1420" s="74">
        <f t="shared" si="2"/>
        <v>75000</v>
      </c>
      <c r="N1420" s="74">
        <f t="shared" si="3"/>
        <v>100000</v>
      </c>
      <c r="O1420" s="65" t="str">
        <f>VLOOKUP(E1420,DATABASE!C:Q,8,false)</f>
        <v>BIAN</v>
      </c>
      <c r="P1420" s="65">
        <f>VLOOKUP(E1420,DATABASE!C:Q,9,False)</f>
        <v>0</v>
      </c>
      <c r="Q1420" s="93" t="str">
        <f>VLOOKUP(E1420,DATABASE!C:Q,4,false)</f>
        <v>Baut Camber</v>
      </c>
      <c r="R1420" s="93" t="str">
        <f>VLOOKUP(E1420,DATABASE!C:Q,11,false)</f>
        <v>COMPLEMENTARY</v>
      </c>
    </row>
    <row r="1421" ht="22.5" customHeight="1">
      <c r="A1421" s="49"/>
      <c r="C1421" s="384">
        <v>45737.0</v>
      </c>
      <c r="D1421" s="65">
        <v>4818.0</v>
      </c>
      <c r="E1421" s="445" t="s">
        <v>268</v>
      </c>
      <c r="F1421" s="386">
        <v>1.0</v>
      </c>
      <c r="G1421" s="74">
        <v>700000.0</v>
      </c>
      <c r="H1421" s="74">
        <v>0.0</v>
      </c>
      <c r="I1421" s="74">
        <f t="shared" si="1"/>
        <v>700000</v>
      </c>
      <c r="J1421" s="74">
        <f>IF(E1421="SERVICE",I1421-(I1421*50%),Vlookup(E1421,DATABASE!C:Q,10,false)*F1421)</f>
        <v>0</v>
      </c>
      <c r="K1421" s="74">
        <v>613000.0</v>
      </c>
      <c r="L1421" s="74">
        <v>613000.0</v>
      </c>
      <c r="M1421" s="74">
        <f t="shared" si="2"/>
        <v>615000</v>
      </c>
      <c r="N1421" s="74">
        <f t="shared" si="3"/>
        <v>85000</v>
      </c>
      <c r="O1421" s="65" t="str">
        <f>VLOOKUP(E1421,DATABASE!C:Q,8,false)</f>
        <v>IBU</v>
      </c>
      <c r="P1421" s="65">
        <f>VLOOKUP(E1421,DATABASE!C:Q,9,False)</f>
        <v>1</v>
      </c>
      <c r="Q1421" s="93" t="str">
        <f>VLOOKUP(E1421,DATABASE!C:Q,4,false)</f>
        <v>Dunlop</v>
      </c>
      <c r="R1421" s="93" t="str">
        <f>VLOOKUP(E1421,DATABASE!C:Q,11,false)</f>
        <v>Tire</v>
      </c>
    </row>
    <row r="1422" ht="22.5" customHeight="1">
      <c r="A1422" s="49"/>
      <c r="C1422" s="384">
        <v>45737.0</v>
      </c>
      <c r="D1422" s="65">
        <v>4819.0</v>
      </c>
      <c r="E1422" s="445" t="s">
        <v>288</v>
      </c>
      <c r="F1422" s="386">
        <v>1.0</v>
      </c>
      <c r="G1422" s="74">
        <v>620000.0</v>
      </c>
      <c r="H1422" s="74">
        <v>0.0</v>
      </c>
      <c r="I1422" s="74">
        <f t="shared" si="1"/>
        <v>620000</v>
      </c>
      <c r="J1422" s="74">
        <f>IF(E1422="SERVICE",I1422-(I1422*50%),Vlookup(E1422,DATABASE!C:Q,10,false)*F1422)</f>
        <v>0</v>
      </c>
      <c r="K1422" s="74">
        <f>VLOOKUP(E1422,DATABASE!C:Q,7,false)</f>
        <v>565760</v>
      </c>
      <c r="L1422" s="74">
        <v>524800.0</v>
      </c>
      <c r="M1422" s="74">
        <f t="shared" si="2"/>
        <v>525000</v>
      </c>
      <c r="N1422" s="74">
        <f t="shared" si="3"/>
        <v>95000</v>
      </c>
      <c r="O1422" s="65" t="str">
        <f>VLOOKUP(E1422,DATABASE!C:Q,8,false)</f>
        <v>BIAN</v>
      </c>
      <c r="P1422" s="65">
        <f>VLOOKUP(E1422,DATABASE!C:Q,9,False)</f>
        <v>1</v>
      </c>
      <c r="Q1422" s="93" t="str">
        <f>VLOOKUP(E1422,DATABASE!C:Q,4,false)</f>
        <v>GT</v>
      </c>
      <c r="R1422" s="93" t="str">
        <f>VLOOKUP(E1422,DATABASE!C:Q,11,false)</f>
        <v>Tire</v>
      </c>
    </row>
    <row r="1423" ht="22.5" customHeight="1">
      <c r="A1423" s="49"/>
      <c r="C1423" s="384">
        <v>45737.0</v>
      </c>
      <c r="D1423" s="65">
        <v>4820.0</v>
      </c>
      <c r="E1423" s="445" t="s">
        <v>256</v>
      </c>
      <c r="F1423" s="386">
        <v>1.0</v>
      </c>
      <c r="G1423" s="74">
        <v>130000.0</v>
      </c>
      <c r="H1423" s="74">
        <v>0.0</v>
      </c>
      <c r="I1423" s="74">
        <f t="shared" si="1"/>
        <v>130000</v>
      </c>
      <c r="J1423" s="74">
        <f>IF(E1423="SERVICE",I1423-(I1423*50%),Vlookup(E1423,DATABASE!C:Q,10,false)*F1423)</f>
        <v>10000</v>
      </c>
      <c r="K1423" s="74">
        <f>VLOOKUP(E1423,DATABASE!C:Q,7,false)</f>
        <v>0</v>
      </c>
      <c r="L1423" s="74">
        <v>0.0</v>
      </c>
      <c r="M1423" s="74">
        <f t="shared" si="2"/>
        <v>0</v>
      </c>
      <c r="N1423" s="74">
        <f t="shared" si="3"/>
        <v>120000</v>
      </c>
      <c r="O1423" s="65" t="str">
        <f>VLOOKUP(E1423,DATABASE!C:Q,8,false)</f>
        <v>IBU</v>
      </c>
      <c r="P1423" s="65">
        <f>VLOOKUP(E1423,DATABASE!C:Q,9,False)</f>
        <v>0</v>
      </c>
      <c r="Q1423" s="93" t="str">
        <f>VLOOKUP(E1423,DATABASE!C:Q,4,false)</f>
        <v>SPOORING</v>
      </c>
      <c r="R1423" s="93" t="str">
        <f>VLOOKUP(E1423,DATABASE!C:Q,11,false)</f>
        <v>SERVICE</v>
      </c>
    </row>
    <row r="1424" ht="22.5" customHeight="1">
      <c r="A1424" s="49"/>
      <c r="C1424" s="384">
        <v>45737.0</v>
      </c>
      <c r="D1424" s="65">
        <v>4820.0</v>
      </c>
      <c r="E1424" s="445" t="s">
        <v>301</v>
      </c>
      <c r="F1424" s="386">
        <v>1.0</v>
      </c>
      <c r="G1424" s="74">
        <v>250000.0</v>
      </c>
      <c r="H1424" s="74">
        <v>0.0</v>
      </c>
      <c r="I1424" s="74">
        <f t="shared" si="1"/>
        <v>250000</v>
      </c>
      <c r="J1424" s="74">
        <f>IF(E1424="SERVICE",I1424-(I1424*50%),Vlookup(E1424,DATABASE!C:Q,10,false)*F1424)</f>
        <v>75000</v>
      </c>
      <c r="K1424" s="74">
        <f>VLOOKUP(E1424,DATABASE!C:Q,7,false)</f>
        <v>75000</v>
      </c>
      <c r="L1424" s="74">
        <v>75000.0</v>
      </c>
      <c r="M1424" s="74">
        <f t="shared" si="2"/>
        <v>75000</v>
      </c>
      <c r="N1424" s="74">
        <f t="shared" si="3"/>
        <v>100000</v>
      </c>
      <c r="O1424" s="65" t="str">
        <f>VLOOKUP(E1424,DATABASE!C:Q,8,false)</f>
        <v>BIAN</v>
      </c>
      <c r="P1424" s="65">
        <f>VLOOKUP(E1424,DATABASE!C:Q,9,False)</f>
        <v>0</v>
      </c>
      <c r="Q1424" s="93" t="str">
        <f>VLOOKUP(E1424,DATABASE!C:Q,4,false)</f>
        <v>Baut Camber</v>
      </c>
      <c r="R1424" s="93" t="str">
        <f>VLOOKUP(E1424,DATABASE!C:Q,11,false)</f>
        <v>COMPLEMENTARY</v>
      </c>
    </row>
    <row r="1425" ht="22.5" customHeight="1">
      <c r="A1425" s="49"/>
      <c r="C1425" s="384">
        <v>45737.0</v>
      </c>
      <c r="D1425" s="65">
        <v>4821.0</v>
      </c>
      <c r="E1425" s="445" t="s">
        <v>604</v>
      </c>
      <c r="F1425" s="386">
        <v>1.0</v>
      </c>
      <c r="G1425" s="74">
        <v>160000.0</v>
      </c>
      <c r="H1425" s="74">
        <v>0.0</v>
      </c>
      <c r="I1425" s="74">
        <f t="shared" si="1"/>
        <v>160000</v>
      </c>
      <c r="J1425" s="74">
        <f>IF(E1425="SERVICE",I1425-(I1425*50%),Vlookup(E1425,DATABASE!C:Q,10,false)*F1425)</f>
        <v>0</v>
      </c>
      <c r="K1425" s="74">
        <f>VLOOKUP(E1425,DATABASE!C:Q,7,false)</f>
        <v>124000</v>
      </c>
      <c r="L1425" s="74">
        <v>124000.0</v>
      </c>
      <c r="M1425" s="74">
        <f t="shared" si="2"/>
        <v>125000</v>
      </c>
      <c r="N1425" s="74">
        <f t="shared" si="3"/>
        <v>35000</v>
      </c>
      <c r="O1425" s="65" t="str">
        <f>VLOOKUP(E1425,DATABASE!C:Q,8,false)</f>
        <v>BIAN</v>
      </c>
      <c r="P1425" s="65">
        <f>VLOOKUP(E1425,DATABASE!C:Q,9,False)</f>
        <v>1</v>
      </c>
      <c r="Q1425" s="93" t="str">
        <f>VLOOKUP(E1425,DATABASE!C:Q,4,false)</f>
        <v>BD</v>
      </c>
      <c r="R1425" s="93" t="str">
        <f>VLOOKUP(E1425,DATABASE!C:Q,11,false)</f>
        <v>Tire</v>
      </c>
    </row>
    <row r="1426" ht="22.5" customHeight="1">
      <c r="A1426" s="49"/>
      <c r="C1426" s="384">
        <v>45737.0</v>
      </c>
      <c r="D1426" s="65">
        <v>4822.0</v>
      </c>
      <c r="E1426" s="445" t="s">
        <v>932</v>
      </c>
      <c r="F1426" s="386">
        <v>1.0</v>
      </c>
      <c r="G1426" s="74">
        <v>650000.0</v>
      </c>
      <c r="H1426" s="74">
        <v>0.0</v>
      </c>
      <c r="I1426" s="74">
        <f t="shared" si="1"/>
        <v>650000</v>
      </c>
      <c r="J1426" s="74">
        <f>IF(E1426="SERVICE",I1426-(I1426*50%),Vlookup(E1426,DATABASE!C:Q,10,false)*F1426)</f>
        <v>0</v>
      </c>
      <c r="K1426" s="74">
        <v>575000.0</v>
      </c>
      <c r="L1426" s="74">
        <v>575000.0</v>
      </c>
      <c r="M1426" s="74">
        <f t="shared" si="2"/>
        <v>575000</v>
      </c>
      <c r="N1426" s="74">
        <f t="shared" si="3"/>
        <v>75000</v>
      </c>
      <c r="O1426" s="65" t="str">
        <f>VLOOKUP(E1426,DATABASE!C:Q,8,false)</f>
        <v>IBU</v>
      </c>
      <c r="P1426" s="65">
        <f>VLOOKUP(E1426,DATABASE!C:Q,9,False)</f>
        <v>1</v>
      </c>
      <c r="Q1426" s="93" t="str">
        <f>VLOOKUP(E1426,DATABASE!C:Q,4,false)</f>
        <v>Dunlop</v>
      </c>
      <c r="R1426" s="93" t="str">
        <f>VLOOKUP(E1426,DATABASE!C:Q,11,false)</f>
        <v>Tire</v>
      </c>
    </row>
    <row r="1427" ht="22.5" customHeight="1">
      <c r="A1427" s="49"/>
      <c r="C1427" s="384">
        <v>45737.0</v>
      </c>
      <c r="D1427" s="65">
        <v>4823.0</v>
      </c>
      <c r="E1427" s="445" t="s">
        <v>1167</v>
      </c>
      <c r="F1427" s="386">
        <v>1.0</v>
      </c>
      <c r="G1427" s="74">
        <v>1225000.0</v>
      </c>
      <c r="H1427" s="74">
        <v>0.0</v>
      </c>
      <c r="I1427" s="74">
        <f t="shared" si="1"/>
        <v>1225000</v>
      </c>
      <c r="J1427" s="74">
        <f>IF(E1427="SERVICE",I1427-(I1427*50%),Vlookup(E1427,DATABASE!C:Q,10,false)*F1427)</f>
        <v>0</v>
      </c>
      <c r="K1427" s="74">
        <f>VLOOKUP(E1427,DATABASE!C:Q,7,false)</f>
        <v>1120000</v>
      </c>
      <c r="L1427" s="74">
        <v>1120000.0</v>
      </c>
      <c r="M1427" s="74">
        <f t="shared" si="2"/>
        <v>1120000</v>
      </c>
      <c r="N1427" s="74">
        <f t="shared" si="3"/>
        <v>105000</v>
      </c>
      <c r="O1427" s="65" t="str">
        <f>VLOOKUP(E1427,DATABASE!C:Q,8,false)</f>
        <v>IBU</v>
      </c>
      <c r="P1427" s="65">
        <f>VLOOKUP(E1427,DATABASE!C:Q,9,False)</f>
        <v>1</v>
      </c>
      <c r="Q1427" s="93" t="str">
        <f>VLOOKUP(E1427,DATABASE!C:Q,4,false)</f>
        <v>Bridgestone</v>
      </c>
      <c r="R1427" s="93" t="str">
        <f>VLOOKUP(E1427,DATABASE!C:Q,11,false)</f>
        <v>Tire</v>
      </c>
    </row>
    <row r="1428" ht="22.5" customHeight="1">
      <c r="A1428" s="49"/>
      <c r="C1428" s="384">
        <v>45737.0</v>
      </c>
      <c r="D1428" s="65">
        <v>4824.0</v>
      </c>
      <c r="E1428" s="445" t="s">
        <v>246</v>
      </c>
      <c r="F1428" s="386">
        <v>1.0</v>
      </c>
      <c r="G1428" s="74">
        <v>35000.0</v>
      </c>
      <c r="H1428" s="74">
        <v>0.0</v>
      </c>
      <c r="I1428" s="74">
        <f t="shared" si="1"/>
        <v>35000</v>
      </c>
      <c r="J1428" s="74">
        <f>IF(E1428="SERVICE",I1428-(I1428*50%),Vlookup(E1428,DATABASE!C:Q,10,false)*F1428)</f>
        <v>0</v>
      </c>
      <c r="K1428" s="74">
        <f>VLOOKUP(E1428,DATABASE!C:Q,7,false)</f>
        <v>0</v>
      </c>
      <c r="L1428" s="74">
        <v>0.0</v>
      </c>
      <c r="M1428" s="74">
        <f t="shared" si="2"/>
        <v>0</v>
      </c>
      <c r="N1428" s="74">
        <f t="shared" si="3"/>
        <v>35000</v>
      </c>
      <c r="O1428" s="65" t="str">
        <f>VLOOKUP(E1428,DATABASE!C:Q,8,false)</f>
        <v>IBU</v>
      </c>
      <c r="P1428" s="65">
        <f>VLOOKUP(E1428,DATABASE!C:Q,9,False)</f>
        <v>0</v>
      </c>
      <c r="Q1428" s="93" t="str">
        <f>VLOOKUP(E1428,DATABASE!C:Q,4,false)</f>
        <v>Bongkar Pasang</v>
      </c>
      <c r="R1428" s="93" t="str">
        <f>VLOOKUP(E1428,DATABASE!C:Q,11,false)</f>
        <v>SERVICE</v>
      </c>
    </row>
    <row r="1429" ht="22.5" customHeight="1">
      <c r="A1429" s="49"/>
      <c r="C1429" s="384">
        <v>45738.0</v>
      </c>
      <c r="D1429" s="65">
        <v>4827.0</v>
      </c>
      <c r="E1429" s="445" t="s">
        <v>1009</v>
      </c>
      <c r="F1429" s="386">
        <v>1.0</v>
      </c>
      <c r="G1429" s="74">
        <v>700000.0</v>
      </c>
      <c r="H1429" s="74">
        <v>0.0</v>
      </c>
      <c r="I1429" s="74">
        <f t="shared" si="1"/>
        <v>700000</v>
      </c>
      <c r="J1429" s="74">
        <f>IF(E1429="SERVICE",I1429-(I1429*50%),Vlookup(E1429,DATABASE!C:Q,10,false)*F1429)</f>
        <v>0</v>
      </c>
      <c r="K1429" s="74">
        <f>VLOOKUP(E1429,DATABASE!C:Q,7,false)</f>
        <v>609800</v>
      </c>
      <c r="L1429" s="74">
        <v>592200.0</v>
      </c>
      <c r="M1429" s="74">
        <f t="shared" si="2"/>
        <v>595000</v>
      </c>
      <c r="N1429" s="74">
        <f t="shared" si="3"/>
        <v>105000</v>
      </c>
      <c r="O1429" s="65" t="str">
        <f>VLOOKUP(E1429,DATABASE!C:Q,8,false)</f>
        <v>BIAN</v>
      </c>
      <c r="P1429" s="65">
        <f>VLOOKUP(E1429,DATABASE!C:Q,9,False)</f>
        <v>1</v>
      </c>
      <c r="Q1429" s="93" t="str">
        <f>VLOOKUP(E1429,DATABASE!C:Q,4,false)</f>
        <v>GT</v>
      </c>
      <c r="R1429" s="93" t="str">
        <f>VLOOKUP(E1429,DATABASE!C:Q,11,false)</f>
        <v>Tire</v>
      </c>
    </row>
    <row r="1430" ht="22.5" customHeight="1">
      <c r="A1430" s="49"/>
      <c r="C1430" s="384">
        <v>45738.0</v>
      </c>
      <c r="D1430" s="65">
        <v>4828.0</v>
      </c>
      <c r="E1430" s="445" t="s">
        <v>275</v>
      </c>
      <c r="F1430" s="386">
        <v>2.0</v>
      </c>
      <c r="G1430" s="74">
        <v>830000.0</v>
      </c>
      <c r="H1430" s="74">
        <v>0.0</v>
      </c>
      <c r="I1430" s="74">
        <f t="shared" si="1"/>
        <v>1660000</v>
      </c>
      <c r="J1430" s="74">
        <f>IF(E1430="SERVICE",I1430-(I1430*50%),Vlookup(E1430,DATABASE!C:Q,10,false)*F1430)</f>
        <v>0</v>
      </c>
      <c r="K1430" s="74">
        <v>735000.0</v>
      </c>
      <c r="L1430" s="74">
        <v>735000.0</v>
      </c>
      <c r="M1430" s="74">
        <f t="shared" si="2"/>
        <v>735000</v>
      </c>
      <c r="N1430" s="74">
        <f t="shared" si="3"/>
        <v>190000</v>
      </c>
      <c r="O1430" s="65" t="str">
        <f>VLOOKUP(E1430,DATABASE!C:Q,8,false)</f>
        <v>IBU</v>
      </c>
      <c r="P1430" s="65">
        <f>VLOOKUP(E1430,DATABASE!C:Q,9,False)</f>
        <v>1</v>
      </c>
      <c r="Q1430" s="93" t="str">
        <f>VLOOKUP(E1430,DATABASE!C:Q,4,false)</f>
        <v>Dunlop</v>
      </c>
      <c r="R1430" s="93" t="str">
        <f>VLOOKUP(E1430,DATABASE!C:Q,11,false)</f>
        <v>Tire</v>
      </c>
    </row>
    <row r="1431" ht="22.5" customHeight="1">
      <c r="A1431" s="49"/>
      <c r="C1431" s="384">
        <v>45738.0</v>
      </c>
      <c r="D1431" s="65">
        <v>4828.0</v>
      </c>
      <c r="E1431" s="445" t="s">
        <v>262</v>
      </c>
      <c r="F1431" s="386">
        <v>1.0</v>
      </c>
      <c r="G1431" s="74">
        <v>110000.0</v>
      </c>
      <c r="H1431" s="74">
        <v>0.0</v>
      </c>
      <c r="I1431" s="74">
        <f t="shared" si="1"/>
        <v>110000</v>
      </c>
      <c r="J1431" s="74">
        <f>IF(E1431="SERVICE",I1431-(I1431*50%),Vlookup(E1431,DATABASE!C:Q,10,false)*F1431)</f>
        <v>5000</v>
      </c>
      <c r="K1431" s="74">
        <f>VLOOKUP(E1431,DATABASE!C:Q,7,false)</f>
        <v>0</v>
      </c>
      <c r="L1431" s="74">
        <v>0.0</v>
      </c>
      <c r="M1431" s="74">
        <f t="shared" si="2"/>
        <v>0</v>
      </c>
      <c r="N1431" s="74">
        <f t="shared" si="3"/>
        <v>105000</v>
      </c>
      <c r="O1431" s="65" t="str">
        <f>VLOOKUP(E1431,DATABASE!C:Q,8,false)</f>
        <v>IBU</v>
      </c>
      <c r="P1431" s="65">
        <f>VLOOKUP(E1431,DATABASE!C:Q,9,False)</f>
        <v>0</v>
      </c>
      <c r="Q1431" s="93" t="str">
        <f>VLOOKUP(E1431,DATABASE!C:Q,4,false)</f>
        <v>SPOORING SS/CARRY LOS BAK</v>
      </c>
      <c r="R1431" s="93" t="str">
        <f>VLOOKUP(E1431,DATABASE!C:Q,11,false)</f>
        <v>SERVICE</v>
      </c>
    </row>
    <row r="1432" ht="22.5" customHeight="1">
      <c r="A1432" s="49"/>
      <c r="C1432" s="384">
        <v>45738.0</v>
      </c>
      <c r="D1432" s="65">
        <v>4828.0</v>
      </c>
      <c r="E1432" s="445" t="s">
        <v>478</v>
      </c>
      <c r="F1432" s="386">
        <v>1.0</v>
      </c>
      <c r="G1432" s="74">
        <v>200000.0</v>
      </c>
      <c r="H1432" s="74">
        <v>0.0</v>
      </c>
      <c r="I1432" s="74">
        <f t="shared" si="1"/>
        <v>200000</v>
      </c>
      <c r="J1432" s="74">
        <f>IF(E1432="SERVICE",I1432-(I1432*50%),Vlookup(E1432,DATABASE!C:Q,10,false)*F1432)</f>
        <v>25000</v>
      </c>
      <c r="K1432" s="74">
        <f>VLOOKUP(E1432,DATABASE!C:Q,7,false)</f>
        <v>75000</v>
      </c>
      <c r="L1432" s="74">
        <v>75000.0</v>
      </c>
      <c r="M1432" s="74">
        <f t="shared" si="2"/>
        <v>75000</v>
      </c>
      <c r="N1432" s="74">
        <f t="shared" si="3"/>
        <v>100000</v>
      </c>
      <c r="O1432" s="65" t="str">
        <f>VLOOKUP(E1432,DATABASE!C:Q,8,false)</f>
        <v>BIAN</v>
      </c>
      <c r="P1432" s="65">
        <f>VLOOKUP(E1432,DATABASE!C:Q,9,False)</f>
        <v>0</v>
      </c>
      <c r="Q1432" s="93" t="str">
        <f>VLOOKUP(E1432,DATABASE!C:Q,4,false)</f>
        <v>Baut Camber ss-carry</v>
      </c>
      <c r="R1432" s="93" t="str">
        <f>VLOOKUP(E1432,DATABASE!C:Q,11,false)</f>
        <v>COMPLEMENTARY</v>
      </c>
    </row>
    <row r="1433" ht="22.5" customHeight="1">
      <c r="A1433" s="49"/>
      <c r="C1433" s="384">
        <v>45738.0</v>
      </c>
      <c r="D1433" s="65">
        <v>4829.0</v>
      </c>
      <c r="E1433" s="445" t="s">
        <v>265</v>
      </c>
      <c r="F1433" s="386">
        <v>2.0</v>
      </c>
      <c r="G1433" s="74">
        <v>670000.0</v>
      </c>
      <c r="H1433" s="74">
        <v>0.0</v>
      </c>
      <c r="I1433" s="74">
        <f t="shared" si="1"/>
        <v>1340000</v>
      </c>
      <c r="J1433" s="74">
        <f>IF(E1433="SERVICE",I1433-(I1433*50%),Vlookup(E1433,DATABASE!C:Q,10,false)*F1433)</f>
        <v>0</v>
      </c>
      <c r="K1433" s="74">
        <v>590000.0</v>
      </c>
      <c r="L1433" s="74">
        <v>590000.0</v>
      </c>
      <c r="M1433" s="74">
        <f t="shared" si="2"/>
        <v>590000</v>
      </c>
      <c r="N1433" s="74">
        <f t="shared" si="3"/>
        <v>160000</v>
      </c>
      <c r="O1433" s="65" t="str">
        <f>VLOOKUP(E1433,DATABASE!C:Q,8,false)</f>
        <v>IBU</v>
      </c>
      <c r="P1433" s="65">
        <f>VLOOKUP(E1433,DATABASE!C:Q,9,False)</f>
        <v>1</v>
      </c>
      <c r="Q1433" s="93" t="str">
        <f>VLOOKUP(E1433,DATABASE!C:Q,4,false)</f>
        <v>Dunlop</v>
      </c>
      <c r="R1433" s="93" t="str">
        <f>VLOOKUP(E1433,DATABASE!C:Q,11,false)</f>
        <v>Tire</v>
      </c>
    </row>
    <row r="1434" ht="22.5" customHeight="1">
      <c r="A1434" s="49"/>
      <c r="C1434" s="384">
        <v>45738.0</v>
      </c>
      <c r="D1434" s="65">
        <v>4830.0</v>
      </c>
      <c r="E1434" s="445" t="s">
        <v>821</v>
      </c>
      <c r="F1434" s="386">
        <v>1.0</v>
      </c>
      <c r="G1434" s="74">
        <v>80000.0</v>
      </c>
      <c r="H1434" s="74">
        <v>0.0</v>
      </c>
      <c r="I1434" s="74">
        <f t="shared" si="1"/>
        <v>80000</v>
      </c>
      <c r="J1434" s="74">
        <f>IF(E1434="SERVICE",I1434-(I1434*50%),Vlookup(E1434,DATABASE!C:Q,10,false)*F1434)</f>
        <v>0</v>
      </c>
      <c r="K1434" s="74">
        <f>VLOOKUP(E1434,DATABASE!C:Q,7,false)</f>
        <v>43500</v>
      </c>
      <c r="L1434" s="74">
        <v>43520.0</v>
      </c>
      <c r="M1434" s="74">
        <f t="shared" si="2"/>
        <v>45000</v>
      </c>
      <c r="N1434" s="74">
        <f t="shared" si="3"/>
        <v>35000</v>
      </c>
      <c r="O1434" s="65" t="str">
        <f>VLOOKUP(E1434,DATABASE!C:Q,8,false)</f>
        <v>BIAN</v>
      </c>
      <c r="P1434" s="65">
        <f>VLOOKUP(E1434,DATABASE!C:Q,9,False)</f>
        <v>1</v>
      </c>
      <c r="Q1434" s="93" t="str">
        <f>VLOOKUP(E1434,DATABASE!C:Q,4,false)</f>
        <v>Flap</v>
      </c>
      <c r="R1434" s="93" t="str">
        <f>VLOOKUP(E1434,DATABASE!C:Q,11,false)</f>
        <v>Tire</v>
      </c>
    </row>
    <row r="1435" ht="22.5" customHeight="1">
      <c r="A1435" s="49"/>
      <c r="C1435" s="384">
        <v>45738.0</v>
      </c>
      <c r="D1435" s="65">
        <v>4831.0</v>
      </c>
      <c r="E1435" s="445" t="s">
        <v>1009</v>
      </c>
      <c r="F1435" s="386">
        <v>1.0</v>
      </c>
      <c r="G1435" s="74">
        <v>700000.0</v>
      </c>
      <c r="H1435" s="74">
        <v>0.0</v>
      </c>
      <c r="I1435" s="74">
        <f t="shared" si="1"/>
        <v>700000</v>
      </c>
      <c r="J1435" s="74">
        <f>IF(E1435="SERVICE",I1435-(I1435*50%),Vlookup(E1435,DATABASE!C:Q,10,false)*F1435)</f>
        <v>0</v>
      </c>
      <c r="K1435" s="74">
        <f>VLOOKUP(E1435,DATABASE!C:Q,7,false)</f>
        <v>609800</v>
      </c>
      <c r="L1435" s="74">
        <v>592200.0</v>
      </c>
      <c r="M1435" s="74">
        <f t="shared" si="2"/>
        <v>595000</v>
      </c>
      <c r="N1435" s="74">
        <f t="shared" si="3"/>
        <v>105000</v>
      </c>
      <c r="O1435" s="65" t="str">
        <f>VLOOKUP(E1435,DATABASE!C:Q,8,false)</f>
        <v>BIAN</v>
      </c>
      <c r="P1435" s="65">
        <f>VLOOKUP(E1435,DATABASE!C:Q,9,False)</f>
        <v>1</v>
      </c>
      <c r="Q1435" s="93" t="str">
        <f>VLOOKUP(E1435,DATABASE!C:Q,4,false)</f>
        <v>GT</v>
      </c>
      <c r="R1435" s="93" t="str">
        <f>VLOOKUP(E1435,DATABASE!C:Q,11,false)</f>
        <v>Tire</v>
      </c>
    </row>
    <row r="1436" ht="22.5" customHeight="1">
      <c r="A1436" s="49"/>
      <c r="C1436" s="384">
        <v>45738.0</v>
      </c>
      <c r="D1436" s="65">
        <v>4833.0</v>
      </c>
      <c r="E1436" s="445" t="s">
        <v>569</v>
      </c>
      <c r="F1436" s="386">
        <v>1.0</v>
      </c>
      <c r="G1436" s="74">
        <v>80000.0</v>
      </c>
      <c r="H1436" s="74">
        <v>0.0</v>
      </c>
      <c r="I1436" s="74">
        <f t="shared" si="1"/>
        <v>80000</v>
      </c>
      <c r="J1436" s="74">
        <f>IF(E1436="SERVICE",I1436-(I1436*50%),Vlookup(E1436,DATABASE!C:Q,10,false)*F1436)</f>
        <v>0</v>
      </c>
      <c r="K1436" s="74">
        <f>VLOOKUP(E1436,DATABASE!C:Q,7,false)</f>
        <v>45439.582</v>
      </c>
      <c r="L1436" s="74">
        <v>45309.6</v>
      </c>
      <c r="M1436" s="74">
        <f t="shared" si="2"/>
        <v>50000</v>
      </c>
      <c r="N1436" s="74">
        <f t="shared" si="3"/>
        <v>30000</v>
      </c>
      <c r="O1436" s="65" t="str">
        <f>VLOOKUP(E1436,DATABASE!C:Q,8,false)</f>
        <v>BIAN</v>
      </c>
      <c r="P1436" s="65">
        <f>VLOOKUP(E1436,DATABASE!C:Q,9,False)</f>
        <v>1</v>
      </c>
      <c r="Q1436" s="93" t="str">
        <f>VLOOKUP(E1436,DATABASE!C:Q,4,false)</f>
        <v>BD</v>
      </c>
      <c r="R1436" s="93" t="str">
        <f>VLOOKUP(E1436,DATABASE!C:Q,11,false)</f>
        <v>Tire</v>
      </c>
    </row>
    <row r="1437" ht="22.5" customHeight="1">
      <c r="A1437" s="49"/>
      <c r="C1437" s="384">
        <v>45738.0</v>
      </c>
      <c r="D1437" s="65">
        <v>4834.0</v>
      </c>
      <c r="E1437" s="445" t="s">
        <v>246</v>
      </c>
      <c r="F1437" s="386">
        <v>1.0</v>
      </c>
      <c r="G1437" s="74">
        <v>20000.0</v>
      </c>
      <c r="H1437" s="74">
        <v>0.0</v>
      </c>
      <c r="I1437" s="74">
        <f t="shared" si="1"/>
        <v>20000</v>
      </c>
      <c r="J1437" s="74">
        <f>IF(E1437="SERVICE",I1437-(I1437*50%),Vlookup(E1437,DATABASE!C:Q,10,false)*F1437)</f>
        <v>0</v>
      </c>
      <c r="K1437" s="74">
        <f>VLOOKUP(E1437,DATABASE!C:Q,7,false)</f>
        <v>0</v>
      </c>
      <c r="L1437" s="74">
        <v>0.0</v>
      </c>
      <c r="M1437" s="74">
        <f t="shared" si="2"/>
        <v>0</v>
      </c>
      <c r="N1437" s="74">
        <f t="shared" si="3"/>
        <v>20000</v>
      </c>
      <c r="O1437" s="65" t="str">
        <f>VLOOKUP(E1437,DATABASE!C:Q,8,false)</f>
        <v>IBU</v>
      </c>
      <c r="P1437" s="65">
        <f>VLOOKUP(E1437,DATABASE!C:Q,9,False)</f>
        <v>0</v>
      </c>
      <c r="Q1437" s="93" t="str">
        <f>VLOOKUP(E1437,DATABASE!C:Q,4,false)</f>
        <v>Bongkar Pasang</v>
      </c>
      <c r="R1437" s="93" t="str">
        <f>VLOOKUP(E1437,DATABASE!C:Q,11,false)</f>
        <v>SERVICE</v>
      </c>
    </row>
    <row r="1438" ht="22.5" customHeight="1">
      <c r="A1438" s="49"/>
      <c r="C1438" s="384">
        <v>45738.0</v>
      </c>
      <c r="D1438" s="65">
        <v>4835.0</v>
      </c>
      <c r="E1438" s="445" t="s">
        <v>1597</v>
      </c>
      <c r="F1438" s="386">
        <v>2.0</v>
      </c>
      <c r="G1438" s="74">
        <v>640000.0</v>
      </c>
      <c r="H1438" s="74">
        <v>0.0</v>
      </c>
      <c r="I1438" s="74">
        <f t="shared" si="1"/>
        <v>1280000</v>
      </c>
      <c r="J1438" s="74">
        <f>IF(E1438="SERVICE",I1438-(I1438*50%),Vlookup(E1438,DATABASE!C:Q,10,false)*F1438)</f>
        <v>0</v>
      </c>
      <c r="K1438" s="74">
        <f>VLOOKUP(E1438,DATABASE!C:Q,7,false)</f>
        <v>560700</v>
      </c>
      <c r="L1438" s="74">
        <v>544300.0</v>
      </c>
      <c r="M1438" s="74">
        <f t="shared" si="2"/>
        <v>545000</v>
      </c>
      <c r="N1438" s="74">
        <f t="shared" si="3"/>
        <v>190000</v>
      </c>
      <c r="O1438" s="65" t="str">
        <f>VLOOKUP(E1438,DATABASE!C:Q,8,false)</f>
        <v>BIAN</v>
      </c>
      <c r="P1438" s="65">
        <f>VLOOKUP(E1438,DATABASE!C:Q,9,False)</f>
        <v>1</v>
      </c>
      <c r="Q1438" s="93" t="str">
        <f>VLOOKUP(E1438,DATABASE!C:Q,4,false)</f>
        <v>GT</v>
      </c>
      <c r="R1438" s="93" t="str">
        <f>VLOOKUP(E1438,DATABASE!C:Q,11,false)</f>
        <v>Tire</v>
      </c>
    </row>
    <row r="1439" ht="22.5" customHeight="1">
      <c r="A1439" s="49"/>
      <c r="C1439" s="384">
        <v>45738.0</v>
      </c>
      <c r="D1439" s="65">
        <v>4835.0</v>
      </c>
      <c r="E1439" s="445" t="s">
        <v>288</v>
      </c>
      <c r="F1439" s="386">
        <v>2.0</v>
      </c>
      <c r="G1439" s="74">
        <v>620000.0</v>
      </c>
      <c r="H1439" s="74">
        <v>0.0</v>
      </c>
      <c r="I1439" s="74">
        <f t="shared" si="1"/>
        <v>1240000</v>
      </c>
      <c r="J1439" s="74">
        <f>IF(E1439="SERVICE",I1439-(I1439*50%),Vlookup(E1439,DATABASE!C:Q,10,false)*F1439)</f>
        <v>0</v>
      </c>
      <c r="K1439" s="74">
        <f>VLOOKUP(E1439,DATABASE!C:Q,7,false)</f>
        <v>565760</v>
      </c>
      <c r="L1439" s="74">
        <v>524800.0</v>
      </c>
      <c r="M1439" s="74">
        <f t="shared" si="2"/>
        <v>525000</v>
      </c>
      <c r="N1439" s="74">
        <f t="shared" si="3"/>
        <v>190000</v>
      </c>
      <c r="O1439" s="65" t="str">
        <f>VLOOKUP(E1439,DATABASE!C:Q,8,false)</f>
        <v>BIAN</v>
      </c>
      <c r="P1439" s="65">
        <f>VLOOKUP(E1439,DATABASE!C:Q,9,False)</f>
        <v>1</v>
      </c>
      <c r="Q1439" s="93" t="str">
        <f>VLOOKUP(E1439,DATABASE!C:Q,4,false)</f>
        <v>GT</v>
      </c>
      <c r="R1439" s="93" t="str">
        <f>VLOOKUP(E1439,DATABASE!C:Q,11,false)</f>
        <v>Tire</v>
      </c>
    </row>
    <row r="1440" ht="22.5" customHeight="1">
      <c r="A1440" s="49"/>
      <c r="C1440" s="384">
        <v>45738.0</v>
      </c>
      <c r="D1440" s="65">
        <v>4836.0</v>
      </c>
      <c r="E1440" s="445" t="s">
        <v>286</v>
      </c>
      <c r="F1440" s="386">
        <v>10.0</v>
      </c>
      <c r="G1440" s="74">
        <v>550000.0</v>
      </c>
      <c r="H1440" s="74">
        <v>0.0</v>
      </c>
      <c r="I1440" s="74">
        <f t="shared" si="1"/>
        <v>5500000</v>
      </c>
      <c r="J1440" s="74">
        <f>IF(E1440="SERVICE",I1440-(I1440*50%),Vlookup(E1440,DATABASE!C:Q,10,false)*F1440)</f>
        <v>0</v>
      </c>
      <c r="K1440" s="74">
        <f>VLOOKUP(E1440,DATABASE!C:Q,7,false)</f>
        <v>488320</v>
      </c>
      <c r="L1440" s="74">
        <v>452970.0</v>
      </c>
      <c r="M1440" s="74">
        <f t="shared" si="2"/>
        <v>455000</v>
      </c>
      <c r="N1440" s="74">
        <f t="shared" si="3"/>
        <v>950000</v>
      </c>
      <c r="O1440" s="65" t="str">
        <f>VLOOKUP(E1440,DATABASE!C:Q,8,false)</f>
        <v>BIAN</v>
      </c>
      <c r="P1440" s="65">
        <f>VLOOKUP(E1440,DATABASE!C:Q,9,False)</f>
        <v>1</v>
      </c>
      <c r="Q1440" s="93" t="str">
        <f>VLOOKUP(E1440,DATABASE!C:Q,4,false)</f>
        <v>GT</v>
      </c>
      <c r="R1440" s="93" t="str">
        <f>VLOOKUP(E1440,DATABASE!C:Q,11,false)</f>
        <v>Tire</v>
      </c>
    </row>
    <row r="1441" ht="22.5" customHeight="1">
      <c r="A1441" s="49"/>
      <c r="C1441" s="384">
        <v>45738.0</v>
      </c>
      <c r="D1441" s="65">
        <v>4837.0</v>
      </c>
      <c r="E1441" s="385" t="s">
        <v>299</v>
      </c>
      <c r="F1441" s="386">
        <v>2.0</v>
      </c>
      <c r="G1441" s="74">
        <v>30000.0</v>
      </c>
      <c r="H1441" s="74">
        <v>0.0</v>
      </c>
      <c r="I1441" s="74">
        <f t="shared" si="1"/>
        <v>60000</v>
      </c>
      <c r="J1441" s="74">
        <f>IF(E1441="SERVICE",I1441-(I1441*50%),Vlookup(E1441,DATABASE!C:Q,10,false)*F1441)</f>
        <v>0</v>
      </c>
      <c r="K1441" s="74">
        <v>0.0</v>
      </c>
      <c r="L1441" s="74">
        <v>0.0</v>
      </c>
      <c r="M1441" s="74">
        <f t="shared" si="2"/>
        <v>0</v>
      </c>
      <c r="N1441" s="74">
        <f t="shared" si="3"/>
        <v>60000</v>
      </c>
      <c r="O1441" s="65" t="str">
        <f>VLOOKUP(E1441,DATABASE!C:Q,8,false)</f>
        <v>BIAN</v>
      </c>
      <c r="P1441" s="65">
        <f>VLOOKUP(E1441,DATABASE!C:Q,9,False)</f>
        <v>0</v>
      </c>
      <c r="Q1441" s="93" t="str">
        <f>VLOOKUP(E1441,DATABASE!C:Q,4,false)</f>
        <v>Balancing</v>
      </c>
      <c r="R1441" s="93" t="str">
        <f>VLOOKUP(E1441,DATABASE!C:Q,11,false)</f>
        <v>COMPLEMENTARY</v>
      </c>
    </row>
    <row r="1442" ht="22.5" customHeight="1">
      <c r="A1442" s="49"/>
      <c r="C1442" s="384">
        <v>45738.0</v>
      </c>
      <c r="D1442" s="65">
        <v>4838.0</v>
      </c>
      <c r="E1442" s="445" t="s">
        <v>256</v>
      </c>
      <c r="F1442" s="386">
        <v>1.0</v>
      </c>
      <c r="G1442" s="74">
        <v>130000.0</v>
      </c>
      <c r="H1442" s="74">
        <v>0.0</v>
      </c>
      <c r="I1442" s="74">
        <f t="shared" si="1"/>
        <v>130000</v>
      </c>
      <c r="J1442" s="74">
        <f>IF(E1442="SERVICE",I1442-(I1442*50%),Vlookup(E1442,DATABASE!C:Q,10,false)*F1442)</f>
        <v>10000</v>
      </c>
      <c r="K1442" s="74">
        <f>VLOOKUP(E1442,DATABASE!C:Q,7,false)</f>
        <v>0</v>
      </c>
      <c r="L1442" s="74">
        <v>0.0</v>
      </c>
      <c r="M1442" s="74">
        <f t="shared" si="2"/>
        <v>0</v>
      </c>
      <c r="N1442" s="74">
        <f t="shared" si="3"/>
        <v>120000</v>
      </c>
      <c r="O1442" s="65" t="str">
        <f>VLOOKUP(E1442,DATABASE!C:Q,8,false)</f>
        <v>IBU</v>
      </c>
      <c r="P1442" s="65">
        <f>VLOOKUP(E1442,DATABASE!C:Q,9,False)</f>
        <v>0</v>
      </c>
      <c r="Q1442" s="93" t="str">
        <f>VLOOKUP(E1442,DATABASE!C:Q,4,false)</f>
        <v>SPOORING</v>
      </c>
      <c r="R1442" s="93" t="str">
        <f>VLOOKUP(E1442,DATABASE!C:Q,11,false)</f>
        <v>SERVICE</v>
      </c>
    </row>
    <row r="1443" ht="22.5" customHeight="1">
      <c r="A1443" s="49"/>
      <c r="C1443" s="384">
        <v>45738.0</v>
      </c>
      <c r="D1443" s="65">
        <v>4838.0</v>
      </c>
      <c r="E1443" s="445" t="s">
        <v>301</v>
      </c>
      <c r="F1443" s="386">
        <v>1.0</v>
      </c>
      <c r="G1443" s="74">
        <v>250000.0</v>
      </c>
      <c r="H1443" s="74">
        <v>0.0</v>
      </c>
      <c r="I1443" s="74">
        <f t="shared" si="1"/>
        <v>250000</v>
      </c>
      <c r="J1443" s="74">
        <f>IF(E1443="SERVICE",I1443-(I1443*50%),Vlookup(E1443,DATABASE!C:Q,10,false)*F1443)</f>
        <v>75000</v>
      </c>
      <c r="K1443" s="74">
        <f>VLOOKUP(E1443,DATABASE!C:Q,7,false)</f>
        <v>75000</v>
      </c>
      <c r="L1443" s="74">
        <v>75000.0</v>
      </c>
      <c r="M1443" s="74">
        <f t="shared" si="2"/>
        <v>75000</v>
      </c>
      <c r="N1443" s="74">
        <f t="shared" si="3"/>
        <v>100000</v>
      </c>
      <c r="O1443" s="65" t="str">
        <f>VLOOKUP(E1443,DATABASE!C:Q,8,false)</f>
        <v>BIAN</v>
      </c>
      <c r="P1443" s="65">
        <f>VLOOKUP(E1443,DATABASE!C:Q,9,False)</f>
        <v>0</v>
      </c>
      <c r="Q1443" s="93" t="str">
        <f>VLOOKUP(E1443,DATABASE!C:Q,4,false)</f>
        <v>Baut Camber</v>
      </c>
      <c r="R1443" s="93" t="str">
        <f>VLOOKUP(E1443,DATABASE!C:Q,11,false)</f>
        <v>COMPLEMENTARY</v>
      </c>
    </row>
    <row r="1444" ht="22.5" customHeight="1">
      <c r="A1444" s="49"/>
      <c r="C1444" s="384">
        <v>45738.0</v>
      </c>
      <c r="D1444" s="65">
        <v>4839.0</v>
      </c>
      <c r="E1444" s="445" t="s">
        <v>1867</v>
      </c>
      <c r="F1444" s="386">
        <v>1.0</v>
      </c>
      <c r="G1444" s="74">
        <v>650000.0</v>
      </c>
      <c r="H1444" s="74">
        <v>0.0</v>
      </c>
      <c r="I1444" s="74">
        <f t="shared" si="1"/>
        <v>650000</v>
      </c>
      <c r="J1444" s="74">
        <f>IF(E1444="SERVICE",I1444-(I1444*50%),Vlookup(E1444,DATABASE!C:Q,10,false)*F1444)</f>
        <v>0</v>
      </c>
      <c r="K1444" s="74">
        <f>VLOOKUP(E1444,DATABASE!C:Q,7,false)</f>
        <v>575200</v>
      </c>
      <c r="L1444" s="74">
        <v>558200.0</v>
      </c>
      <c r="M1444" s="74">
        <f t="shared" si="2"/>
        <v>560000</v>
      </c>
      <c r="N1444" s="74">
        <f t="shared" si="3"/>
        <v>90000</v>
      </c>
      <c r="O1444" s="65" t="str">
        <f>VLOOKUP(E1444,DATABASE!C:Q,8,false)</f>
        <v>BIAN</v>
      </c>
      <c r="P1444" s="65">
        <f>VLOOKUP(E1444,DATABASE!C:Q,9,False)</f>
        <v>1</v>
      </c>
      <c r="Q1444" s="93" t="str">
        <f>VLOOKUP(E1444,DATABASE!C:Q,4,false)</f>
        <v>GT</v>
      </c>
      <c r="R1444" s="93" t="str">
        <f>VLOOKUP(E1444,DATABASE!C:Q,11,false)</f>
        <v>Tire</v>
      </c>
    </row>
    <row r="1445" ht="22.5" customHeight="1">
      <c r="A1445" s="49"/>
      <c r="C1445" s="384">
        <v>45738.0</v>
      </c>
      <c r="D1445" s="65">
        <v>4840.0</v>
      </c>
      <c r="E1445" s="445" t="s">
        <v>1530</v>
      </c>
      <c r="F1445" s="386">
        <v>1.0</v>
      </c>
      <c r="G1445" s="74">
        <v>560000.0</v>
      </c>
      <c r="H1445" s="74">
        <v>0.0</v>
      </c>
      <c r="I1445" s="74">
        <f t="shared" si="1"/>
        <v>560000</v>
      </c>
      <c r="J1445" s="74">
        <f>IF(E1445="SERVICE",I1445-(I1445*50%),Vlookup(E1445,DATABASE!C:Q,10,false)*F1445)</f>
        <v>0</v>
      </c>
      <c r="K1445" s="74">
        <f>VLOOKUP(E1445,DATABASE!C:Q,7,false)</f>
        <v>467000</v>
      </c>
      <c r="L1445" s="74">
        <v>454000.0</v>
      </c>
      <c r="M1445" s="74">
        <f t="shared" si="2"/>
        <v>455000</v>
      </c>
      <c r="N1445" s="74">
        <f t="shared" si="3"/>
        <v>105000</v>
      </c>
      <c r="O1445" s="65" t="str">
        <f>VLOOKUP(E1445,DATABASE!C:Q,8,false)</f>
        <v>BIAN</v>
      </c>
      <c r="P1445" s="65">
        <f>VLOOKUP(E1445,DATABASE!C:Q,9,False)</f>
        <v>1</v>
      </c>
      <c r="Q1445" s="93" t="str">
        <f>VLOOKUP(E1445,DATABASE!C:Q,4,false)</f>
        <v>Laufen</v>
      </c>
      <c r="R1445" s="93" t="str">
        <f>VLOOKUP(E1445,DATABASE!C:Q,11,false)</f>
        <v>Tire</v>
      </c>
    </row>
    <row r="1446" ht="22.5" customHeight="1">
      <c r="A1446" s="49"/>
      <c r="C1446" s="384">
        <v>45738.0</v>
      </c>
      <c r="D1446" s="65">
        <v>4841.0</v>
      </c>
      <c r="E1446" s="445" t="s">
        <v>1175</v>
      </c>
      <c r="F1446" s="386">
        <v>1.0</v>
      </c>
      <c r="G1446" s="74">
        <v>925000.0</v>
      </c>
      <c r="H1446" s="74">
        <v>0.0</v>
      </c>
      <c r="I1446" s="74">
        <f t="shared" si="1"/>
        <v>925000</v>
      </c>
      <c r="J1446" s="74">
        <f>IF(E1446="SERVICE",I1446-(I1446*50%),Vlookup(E1446,DATABASE!C:Q,10,false)*F1446)</f>
        <v>0</v>
      </c>
      <c r="K1446" s="74">
        <f>VLOOKUP(E1446,DATABASE!C:Q,7,false)</f>
        <v>889369.5</v>
      </c>
      <c r="L1446" s="74">
        <v>846720.0</v>
      </c>
      <c r="M1446" s="74">
        <f t="shared" si="2"/>
        <v>850000</v>
      </c>
      <c r="N1446" s="74">
        <f t="shared" si="3"/>
        <v>75000</v>
      </c>
      <c r="O1446" s="65" t="str">
        <f>VLOOKUP(E1446,DATABASE!C:Q,8,false)</f>
        <v>IBU</v>
      </c>
      <c r="P1446" s="65">
        <f>VLOOKUP(E1446,DATABASE!C:Q,9,False)</f>
        <v>1</v>
      </c>
      <c r="Q1446" s="93" t="str">
        <f>VLOOKUP(E1446,DATABASE!C:Q,4,false)</f>
        <v>Bridgestone</v>
      </c>
      <c r="R1446" s="93" t="str">
        <f>VLOOKUP(E1446,DATABASE!C:Q,11,false)</f>
        <v>Tire</v>
      </c>
    </row>
    <row r="1447" ht="22.5" customHeight="1">
      <c r="A1447" s="49"/>
      <c r="C1447" s="384">
        <v>45738.0</v>
      </c>
      <c r="D1447" s="65">
        <v>4842.0</v>
      </c>
      <c r="E1447" s="445" t="s">
        <v>1524</v>
      </c>
      <c r="F1447" s="386">
        <v>2.0</v>
      </c>
      <c r="G1447" s="140">
        <v>980000.0</v>
      </c>
      <c r="H1447" s="74">
        <v>0.0</v>
      </c>
      <c r="I1447" s="74">
        <f t="shared" si="1"/>
        <v>1960000</v>
      </c>
      <c r="J1447" s="74">
        <f>IF(E1447="SERVICE",I1447-(I1447*50%),Vlookup(E1447,DATABASE!C:Q,10,false)*F1447)</f>
        <v>0</v>
      </c>
      <c r="K1447" s="140">
        <v>880000.0</v>
      </c>
      <c r="L1447" s="74">
        <f>K1447</f>
        <v>880000</v>
      </c>
      <c r="M1447" s="74">
        <f t="shared" si="2"/>
        <v>880000</v>
      </c>
      <c r="N1447" s="74">
        <f t="shared" si="3"/>
        <v>200000</v>
      </c>
      <c r="O1447" s="65" t="str">
        <f>VLOOKUP(E1447,DATABASE!C:Q,8,false)</f>
        <v>IBU</v>
      </c>
      <c r="P1447" s="65">
        <f>VLOOKUP(E1447,DATABASE!C:Q,9,False)</f>
        <v>1</v>
      </c>
      <c r="Q1447" s="93" t="str">
        <f>VLOOKUP(E1447,DATABASE!C:Q,4,false)</f>
        <v>Dunlop</v>
      </c>
      <c r="R1447" s="93" t="str">
        <f>VLOOKUP(E1447,DATABASE!C:Q,11,false)</f>
        <v>Tire</v>
      </c>
    </row>
    <row r="1448" ht="22.5" customHeight="1">
      <c r="A1448" s="49"/>
      <c r="C1448" s="384">
        <v>45738.0</v>
      </c>
      <c r="D1448" s="65">
        <v>4842.0</v>
      </c>
      <c r="E1448" s="385" t="s">
        <v>299</v>
      </c>
      <c r="F1448" s="386">
        <v>2.0</v>
      </c>
      <c r="G1448" s="74">
        <v>30000.0</v>
      </c>
      <c r="H1448" s="74">
        <v>0.0</v>
      </c>
      <c r="I1448" s="74">
        <f t="shared" si="1"/>
        <v>60000</v>
      </c>
      <c r="J1448" s="74">
        <f>IF(E1448="SERVICE",I1448-(I1448*50%),Vlookup(E1448,DATABASE!C:Q,10,false)*F1448)</f>
        <v>0</v>
      </c>
      <c r="K1448" s="74">
        <v>0.0</v>
      </c>
      <c r="L1448" s="74">
        <v>0.0</v>
      </c>
      <c r="M1448" s="74">
        <f t="shared" si="2"/>
        <v>0</v>
      </c>
      <c r="N1448" s="74">
        <f t="shared" si="3"/>
        <v>60000</v>
      </c>
      <c r="O1448" s="65" t="str">
        <f>VLOOKUP(E1448,DATABASE!C:Q,8,false)</f>
        <v>BIAN</v>
      </c>
      <c r="P1448" s="65">
        <f>VLOOKUP(E1448,DATABASE!C:Q,9,False)</f>
        <v>0</v>
      </c>
      <c r="Q1448" s="93" t="str">
        <f>VLOOKUP(E1448,DATABASE!C:Q,4,false)</f>
        <v>Balancing</v>
      </c>
      <c r="R1448" s="93" t="str">
        <f>VLOOKUP(E1448,DATABASE!C:Q,11,false)</f>
        <v>COMPLEMENTARY</v>
      </c>
    </row>
    <row r="1449" ht="22.5" customHeight="1">
      <c r="A1449" s="49"/>
      <c r="C1449" s="384">
        <v>45738.0</v>
      </c>
      <c r="D1449" s="65">
        <v>4842.0</v>
      </c>
      <c r="E1449" s="445" t="s">
        <v>256</v>
      </c>
      <c r="F1449" s="386">
        <v>1.0</v>
      </c>
      <c r="G1449" s="74">
        <v>130000.0</v>
      </c>
      <c r="H1449" s="74">
        <v>0.0</v>
      </c>
      <c r="I1449" s="74">
        <f t="shared" si="1"/>
        <v>130000</v>
      </c>
      <c r="J1449" s="74">
        <f>IF(E1449="SERVICE",I1449-(I1449*50%),Vlookup(E1449,DATABASE!C:Q,10,false)*F1449)</f>
        <v>10000</v>
      </c>
      <c r="K1449" s="74">
        <f>VLOOKUP(E1449,DATABASE!C:Q,7,false)</f>
        <v>0</v>
      </c>
      <c r="L1449" s="74">
        <v>0.0</v>
      </c>
      <c r="M1449" s="74">
        <f t="shared" si="2"/>
        <v>0</v>
      </c>
      <c r="N1449" s="74">
        <f t="shared" si="3"/>
        <v>120000</v>
      </c>
      <c r="O1449" s="65" t="str">
        <f>VLOOKUP(E1449,DATABASE!C:Q,8,false)</f>
        <v>IBU</v>
      </c>
      <c r="P1449" s="65">
        <f>VLOOKUP(E1449,DATABASE!C:Q,9,False)</f>
        <v>0</v>
      </c>
      <c r="Q1449" s="93" t="str">
        <f>VLOOKUP(E1449,DATABASE!C:Q,4,false)</f>
        <v>SPOORING</v>
      </c>
      <c r="R1449" s="93" t="str">
        <f>VLOOKUP(E1449,DATABASE!C:Q,11,false)</f>
        <v>SERVICE</v>
      </c>
    </row>
    <row r="1450" ht="22.5" customHeight="1">
      <c r="A1450" s="49"/>
      <c r="C1450" s="384">
        <v>45738.0</v>
      </c>
      <c r="D1450" s="65">
        <v>4842.0</v>
      </c>
      <c r="E1450" s="445" t="s">
        <v>251</v>
      </c>
      <c r="F1450" s="386">
        <v>1.0</v>
      </c>
      <c r="G1450" s="74">
        <v>150000.0</v>
      </c>
      <c r="H1450" s="74">
        <v>0.0</v>
      </c>
      <c r="I1450" s="74">
        <f t="shared" si="1"/>
        <v>150000</v>
      </c>
      <c r="J1450" s="74">
        <f>IF(E1450="SERVICE",I1450-(I1450*50%),Vlookup(E1450,DATABASE!C:Q,10,false)*F1450)</f>
        <v>75000</v>
      </c>
      <c r="K1450" s="74">
        <f>VLOOKUP(E1450,DATABASE!C:Q,7,false)</f>
        <v>0</v>
      </c>
      <c r="L1450" s="74">
        <v>0.0</v>
      </c>
      <c r="M1450" s="74">
        <f t="shared" si="2"/>
        <v>0</v>
      </c>
      <c r="N1450" s="74">
        <f t="shared" si="3"/>
        <v>75000</v>
      </c>
      <c r="O1450" s="65" t="str">
        <f>VLOOKUP(E1450,DATABASE!C:Q,8,false)</f>
        <v>IBU</v>
      </c>
      <c r="P1450" s="65">
        <f>VLOOKUP(E1450,DATABASE!C:Q,9,False)</f>
        <v>0</v>
      </c>
      <c r="Q1450" s="93" t="str">
        <f>VLOOKUP(E1450,DATABASE!C:Q,4,false)</f>
        <v>SERVICE</v>
      </c>
      <c r="R1450" s="93" t="str">
        <f>VLOOKUP(E1450,DATABASE!C:Q,11,false)</f>
        <v>SERVICE</v>
      </c>
    </row>
    <row r="1451" ht="22.5" customHeight="1">
      <c r="A1451" s="49"/>
      <c r="C1451" s="384">
        <v>45738.0</v>
      </c>
      <c r="D1451" s="65">
        <v>4843.0</v>
      </c>
      <c r="E1451" s="445" t="s">
        <v>268</v>
      </c>
      <c r="F1451" s="386">
        <v>2.0</v>
      </c>
      <c r="G1451" s="74">
        <v>700000.0</v>
      </c>
      <c r="H1451" s="74">
        <v>0.0</v>
      </c>
      <c r="I1451" s="74">
        <f t="shared" si="1"/>
        <v>1400000</v>
      </c>
      <c r="J1451" s="74">
        <f>IF(E1451="SERVICE",I1451-(I1451*50%),Vlookup(E1451,DATABASE!C:Q,10,false)*F1451)</f>
        <v>0</v>
      </c>
      <c r="K1451" s="74">
        <v>613000.0</v>
      </c>
      <c r="L1451" s="74">
        <v>613000.0</v>
      </c>
      <c r="M1451" s="74">
        <f t="shared" si="2"/>
        <v>615000</v>
      </c>
      <c r="N1451" s="74">
        <f t="shared" si="3"/>
        <v>170000</v>
      </c>
      <c r="O1451" s="65" t="str">
        <f>VLOOKUP(E1451,DATABASE!C:Q,8,false)</f>
        <v>IBU</v>
      </c>
      <c r="P1451" s="65">
        <f>VLOOKUP(E1451,DATABASE!C:Q,9,False)</f>
        <v>1</v>
      </c>
      <c r="Q1451" s="93" t="str">
        <f>VLOOKUP(E1451,DATABASE!C:Q,4,false)</f>
        <v>Dunlop</v>
      </c>
      <c r="R1451" s="93" t="str">
        <f>VLOOKUP(E1451,DATABASE!C:Q,11,false)</f>
        <v>Tire</v>
      </c>
    </row>
    <row r="1452" ht="22.5" customHeight="1">
      <c r="A1452" s="49"/>
      <c r="C1452" s="384">
        <v>45738.0</v>
      </c>
      <c r="D1452" s="65">
        <v>4844.0</v>
      </c>
      <c r="E1452" s="445" t="s">
        <v>839</v>
      </c>
      <c r="F1452" s="386">
        <v>1.0</v>
      </c>
      <c r="G1452" s="74">
        <v>565000.0</v>
      </c>
      <c r="H1452" s="74">
        <v>0.0</v>
      </c>
      <c r="I1452" s="74">
        <f t="shared" si="1"/>
        <v>565000</v>
      </c>
      <c r="J1452" s="74">
        <f>IF(E1452="SERVICE",I1452-(I1452*50%),Vlookup(E1452,DATABASE!C:Q,10,false)*F1452)</f>
        <v>0</v>
      </c>
      <c r="K1452" s="74">
        <f>VLOOKUP(E1452,DATABASE!C:Q,7,false)</f>
        <v>512640</v>
      </c>
      <c r="L1452" s="74">
        <v>475700.0</v>
      </c>
      <c r="M1452" s="74">
        <f t="shared" si="2"/>
        <v>480000</v>
      </c>
      <c r="N1452" s="74">
        <f t="shared" si="3"/>
        <v>85000</v>
      </c>
      <c r="O1452" s="65" t="str">
        <f>VLOOKUP(E1452,DATABASE!C:Q,8,false)</f>
        <v>BIAN</v>
      </c>
      <c r="P1452" s="65">
        <f>VLOOKUP(E1452,DATABASE!C:Q,9,False)</f>
        <v>1</v>
      </c>
      <c r="Q1452" s="93" t="str">
        <f>VLOOKUP(E1452,DATABASE!C:Q,4,false)</f>
        <v>GT</v>
      </c>
      <c r="R1452" s="93" t="str">
        <f>VLOOKUP(E1452,DATABASE!C:Q,11,false)</f>
        <v>Tire</v>
      </c>
    </row>
    <row r="1453" ht="22.5" customHeight="1">
      <c r="A1453" s="49"/>
      <c r="C1453" s="384">
        <v>45738.0</v>
      </c>
      <c r="D1453" s="65">
        <v>4845.0</v>
      </c>
      <c r="E1453" s="385" t="s">
        <v>299</v>
      </c>
      <c r="F1453" s="386">
        <v>2.0</v>
      </c>
      <c r="G1453" s="74">
        <v>30000.0</v>
      </c>
      <c r="H1453" s="74">
        <v>0.0</v>
      </c>
      <c r="I1453" s="74">
        <f t="shared" si="1"/>
        <v>60000</v>
      </c>
      <c r="J1453" s="74">
        <f>IF(E1453="SERVICE",I1453-(I1453*50%),Vlookup(E1453,DATABASE!C:Q,10,false)*F1453)</f>
        <v>0</v>
      </c>
      <c r="K1453" s="74">
        <v>0.0</v>
      </c>
      <c r="L1453" s="74">
        <v>0.0</v>
      </c>
      <c r="M1453" s="74">
        <f t="shared" si="2"/>
        <v>0</v>
      </c>
      <c r="N1453" s="74">
        <f t="shared" si="3"/>
        <v>60000</v>
      </c>
      <c r="O1453" s="65" t="str">
        <f>VLOOKUP(E1453,DATABASE!C:Q,8,false)</f>
        <v>BIAN</v>
      </c>
      <c r="P1453" s="65">
        <f>VLOOKUP(E1453,DATABASE!C:Q,9,False)</f>
        <v>0</v>
      </c>
      <c r="Q1453" s="93" t="str">
        <f>VLOOKUP(E1453,DATABASE!C:Q,4,false)</f>
        <v>Balancing</v>
      </c>
      <c r="R1453" s="93" t="str">
        <f>VLOOKUP(E1453,DATABASE!C:Q,11,false)</f>
        <v>COMPLEMENTARY</v>
      </c>
    </row>
    <row r="1454" ht="22.5" customHeight="1">
      <c r="A1454" s="49"/>
      <c r="C1454" s="384">
        <v>45738.0</v>
      </c>
      <c r="D1454" s="65">
        <v>4846.0</v>
      </c>
      <c r="E1454" s="445" t="s">
        <v>288</v>
      </c>
      <c r="F1454" s="386">
        <v>1.0</v>
      </c>
      <c r="G1454" s="74">
        <v>620000.0</v>
      </c>
      <c r="H1454" s="74">
        <v>0.0</v>
      </c>
      <c r="I1454" s="74">
        <f t="shared" si="1"/>
        <v>620000</v>
      </c>
      <c r="J1454" s="74">
        <f>IF(E1454="SERVICE",I1454-(I1454*50%),Vlookup(E1454,DATABASE!C:Q,10,false)*F1454)</f>
        <v>0</v>
      </c>
      <c r="K1454" s="74">
        <f>VLOOKUP(E1454,DATABASE!C:Q,7,false)</f>
        <v>565760</v>
      </c>
      <c r="L1454" s="74">
        <v>524800.0</v>
      </c>
      <c r="M1454" s="74">
        <f t="shared" si="2"/>
        <v>525000</v>
      </c>
      <c r="N1454" s="74">
        <f t="shared" si="3"/>
        <v>95000</v>
      </c>
      <c r="O1454" s="65" t="str">
        <f>VLOOKUP(E1454,DATABASE!C:Q,8,false)</f>
        <v>BIAN</v>
      </c>
      <c r="P1454" s="65">
        <f>VLOOKUP(E1454,DATABASE!C:Q,9,False)</f>
        <v>1</v>
      </c>
      <c r="Q1454" s="93" t="str">
        <f>VLOOKUP(E1454,DATABASE!C:Q,4,false)</f>
        <v>GT</v>
      </c>
      <c r="R1454" s="93" t="str">
        <f>VLOOKUP(E1454,DATABASE!C:Q,11,false)</f>
        <v>Tire</v>
      </c>
    </row>
    <row r="1455" ht="22.5" customHeight="1">
      <c r="A1455" s="49"/>
      <c r="C1455" s="384">
        <v>45738.0</v>
      </c>
      <c r="D1455" s="65">
        <v>4847.0</v>
      </c>
      <c r="E1455" s="445" t="s">
        <v>1831</v>
      </c>
      <c r="F1455" s="386">
        <v>1.0</v>
      </c>
      <c r="G1455" s="74">
        <v>685000.0</v>
      </c>
      <c r="H1455" s="74">
        <v>0.0</v>
      </c>
      <c r="I1455" s="74">
        <f t="shared" si="1"/>
        <v>685000</v>
      </c>
      <c r="J1455" s="74">
        <f>IF(E1455="SERVICE",I1455-(I1455*50%),Vlookup(E1455,DATABASE!C:Q,10,false)*F1455)</f>
        <v>0</v>
      </c>
      <c r="K1455" s="74">
        <f>VLOOKUP(E1455,DATABASE!C:Q,7,false)</f>
        <v>595000</v>
      </c>
      <c r="L1455" s="74">
        <v>595000.0</v>
      </c>
      <c r="M1455" s="74">
        <f t="shared" si="2"/>
        <v>595000</v>
      </c>
      <c r="N1455" s="74">
        <f t="shared" si="3"/>
        <v>90000</v>
      </c>
      <c r="O1455" s="65" t="str">
        <f>VLOOKUP(E1455,DATABASE!C:Q,8,false)</f>
        <v>BIAN</v>
      </c>
      <c r="P1455" s="65">
        <f>VLOOKUP(E1455,DATABASE!C:Q,9,False)</f>
        <v>1</v>
      </c>
      <c r="Q1455" s="93" t="str">
        <f>VLOOKUP(E1455,DATABASE!C:Q,4,false)</f>
        <v>G. YEAR</v>
      </c>
      <c r="R1455" s="93" t="str">
        <f>VLOOKUP(E1455,DATABASE!C:Q,11,false)</f>
        <v>Tire</v>
      </c>
    </row>
    <row r="1456" ht="22.5" customHeight="1">
      <c r="A1456" s="49"/>
      <c r="C1456" s="384">
        <v>45738.0</v>
      </c>
      <c r="D1456" s="65">
        <v>4847.0</v>
      </c>
      <c r="E1456" s="385" t="s">
        <v>299</v>
      </c>
      <c r="F1456" s="386">
        <v>2.0</v>
      </c>
      <c r="G1456" s="74">
        <v>30000.0</v>
      </c>
      <c r="H1456" s="74">
        <v>0.0</v>
      </c>
      <c r="I1456" s="74">
        <f t="shared" si="1"/>
        <v>60000</v>
      </c>
      <c r="J1456" s="74">
        <f>IF(E1456="SERVICE",I1456-(I1456*50%),Vlookup(E1456,DATABASE!C:Q,10,false)*F1456)</f>
        <v>0</v>
      </c>
      <c r="K1456" s="74">
        <v>0.0</v>
      </c>
      <c r="L1456" s="74">
        <v>0.0</v>
      </c>
      <c r="M1456" s="74">
        <f t="shared" si="2"/>
        <v>0</v>
      </c>
      <c r="N1456" s="74">
        <f t="shared" si="3"/>
        <v>60000</v>
      </c>
      <c r="O1456" s="65" t="str">
        <f>VLOOKUP(E1456,DATABASE!C:Q,8,false)</f>
        <v>BIAN</v>
      </c>
      <c r="P1456" s="65">
        <f>VLOOKUP(E1456,DATABASE!C:Q,9,False)</f>
        <v>0</v>
      </c>
      <c r="Q1456" s="93" t="str">
        <f>VLOOKUP(E1456,DATABASE!C:Q,4,false)</f>
        <v>Balancing</v>
      </c>
      <c r="R1456" s="93" t="str">
        <f>VLOOKUP(E1456,DATABASE!C:Q,11,false)</f>
        <v>COMPLEMENTARY</v>
      </c>
    </row>
    <row r="1457" ht="22.5" customHeight="1">
      <c r="A1457" s="49"/>
      <c r="C1457" s="384">
        <v>45738.0</v>
      </c>
      <c r="D1457" s="65">
        <v>4847.0</v>
      </c>
      <c r="E1457" s="445" t="s">
        <v>256</v>
      </c>
      <c r="F1457" s="386">
        <v>1.0</v>
      </c>
      <c r="G1457" s="74">
        <v>130000.0</v>
      </c>
      <c r="H1457" s="74">
        <v>0.0</v>
      </c>
      <c r="I1457" s="74">
        <f t="shared" si="1"/>
        <v>130000</v>
      </c>
      <c r="J1457" s="74">
        <f>IF(E1457="SERVICE",I1457-(I1457*50%),Vlookup(E1457,DATABASE!C:Q,10,false)*F1457)</f>
        <v>10000</v>
      </c>
      <c r="K1457" s="74">
        <f>VLOOKUP(E1457,DATABASE!C:Q,7,false)</f>
        <v>0</v>
      </c>
      <c r="L1457" s="74">
        <v>0.0</v>
      </c>
      <c r="M1457" s="74">
        <f t="shared" si="2"/>
        <v>0</v>
      </c>
      <c r="N1457" s="74">
        <f t="shared" si="3"/>
        <v>120000</v>
      </c>
      <c r="O1457" s="65" t="str">
        <f>VLOOKUP(E1457,DATABASE!C:Q,8,false)</f>
        <v>IBU</v>
      </c>
      <c r="P1457" s="65">
        <f>VLOOKUP(E1457,DATABASE!C:Q,9,False)</f>
        <v>0</v>
      </c>
      <c r="Q1457" s="93" t="str">
        <f>VLOOKUP(E1457,DATABASE!C:Q,4,false)</f>
        <v>SPOORING</v>
      </c>
      <c r="R1457" s="93" t="str">
        <f>VLOOKUP(E1457,DATABASE!C:Q,11,false)</f>
        <v>SERVICE</v>
      </c>
    </row>
    <row r="1458" ht="22.5" customHeight="1">
      <c r="A1458" s="49"/>
      <c r="C1458" s="384">
        <v>45738.0</v>
      </c>
      <c r="D1458" s="65">
        <v>4847.0</v>
      </c>
      <c r="E1458" s="445" t="s">
        <v>251</v>
      </c>
      <c r="F1458" s="386">
        <v>1.0</v>
      </c>
      <c r="G1458" s="74">
        <v>150000.0</v>
      </c>
      <c r="H1458" s="74">
        <v>0.0</v>
      </c>
      <c r="I1458" s="74">
        <f t="shared" si="1"/>
        <v>150000</v>
      </c>
      <c r="J1458" s="74">
        <f>IF(E1458="SERVICE",I1458-(I1458*50%),Vlookup(E1458,DATABASE!C:Q,10,false)*F1458)</f>
        <v>75000</v>
      </c>
      <c r="K1458" s="74">
        <f>VLOOKUP(E1458,DATABASE!C:Q,7,false)</f>
        <v>0</v>
      </c>
      <c r="L1458" s="74">
        <v>0.0</v>
      </c>
      <c r="M1458" s="74">
        <f t="shared" si="2"/>
        <v>0</v>
      </c>
      <c r="N1458" s="74">
        <f t="shared" si="3"/>
        <v>75000</v>
      </c>
      <c r="O1458" s="65" t="str">
        <f>VLOOKUP(E1458,DATABASE!C:Q,8,false)</f>
        <v>IBU</v>
      </c>
      <c r="P1458" s="65">
        <f>VLOOKUP(E1458,DATABASE!C:Q,9,False)</f>
        <v>0</v>
      </c>
      <c r="Q1458" s="93" t="str">
        <f>VLOOKUP(E1458,DATABASE!C:Q,4,false)</f>
        <v>SERVICE</v>
      </c>
      <c r="R1458" s="93" t="str">
        <f>VLOOKUP(E1458,DATABASE!C:Q,11,false)</f>
        <v>SERVICE</v>
      </c>
    </row>
    <row r="1459" ht="22.5" customHeight="1">
      <c r="A1459" s="49"/>
      <c r="C1459" s="384">
        <v>45738.0</v>
      </c>
      <c r="D1459" s="65">
        <v>4848.0</v>
      </c>
      <c r="E1459" s="445" t="s">
        <v>262</v>
      </c>
      <c r="F1459" s="386">
        <v>1.0</v>
      </c>
      <c r="G1459" s="74">
        <v>110000.0</v>
      </c>
      <c r="H1459" s="74">
        <v>0.0</v>
      </c>
      <c r="I1459" s="74">
        <f t="shared" si="1"/>
        <v>110000</v>
      </c>
      <c r="J1459" s="74">
        <f>IF(E1459="SERVICE",I1459-(I1459*50%),Vlookup(E1459,DATABASE!C:Q,10,false)*F1459)</f>
        <v>5000</v>
      </c>
      <c r="K1459" s="74">
        <f>VLOOKUP(E1459,DATABASE!C:Q,7,false)</f>
        <v>0</v>
      </c>
      <c r="L1459" s="74">
        <v>0.0</v>
      </c>
      <c r="M1459" s="74">
        <f t="shared" si="2"/>
        <v>0</v>
      </c>
      <c r="N1459" s="74">
        <f t="shared" si="3"/>
        <v>105000</v>
      </c>
      <c r="O1459" s="65" t="str">
        <f>VLOOKUP(E1459,DATABASE!C:Q,8,false)</f>
        <v>IBU</v>
      </c>
      <c r="P1459" s="65">
        <f>VLOOKUP(E1459,DATABASE!C:Q,9,False)</f>
        <v>0</v>
      </c>
      <c r="Q1459" s="93" t="str">
        <f>VLOOKUP(E1459,DATABASE!C:Q,4,false)</f>
        <v>SPOORING SS/CARRY LOS BAK</v>
      </c>
      <c r="R1459" s="93" t="str">
        <f>VLOOKUP(E1459,DATABASE!C:Q,11,false)</f>
        <v>SERVICE</v>
      </c>
    </row>
    <row r="1460" ht="22.5" customHeight="1">
      <c r="A1460" s="49"/>
      <c r="C1460" s="384">
        <v>45738.0</v>
      </c>
      <c r="D1460" s="65">
        <v>4848.0</v>
      </c>
      <c r="E1460" s="385" t="s">
        <v>299</v>
      </c>
      <c r="F1460" s="386">
        <v>2.0</v>
      </c>
      <c r="G1460" s="74">
        <v>30000.0</v>
      </c>
      <c r="H1460" s="74">
        <v>0.0</v>
      </c>
      <c r="I1460" s="74">
        <f t="shared" si="1"/>
        <v>60000</v>
      </c>
      <c r="J1460" s="74">
        <f>IF(E1460="SERVICE",I1460-(I1460*50%),Vlookup(E1460,DATABASE!C:Q,10,false)*F1460)</f>
        <v>0</v>
      </c>
      <c r="K1460" s="74">
        <v>0.0</v>
      </c>
      <c r="L1460" s="74">
        <v>0.0</v>
      </c>
      <c r="M1460" s="74">
        <f t="shared" si="2"/>
        <v>0</v>
      </c>
      <c r="N1460" s="74">
        <f t="shared" si="3"/>
        <v>60000</v>
      </c>
      <c r="O1460" s="65" t="str">
        <f>VLOOKUP(E1460,DATABASE!C:Q,8,false)</f>
        <v>BIAN</v>
      </c>
      <c r="P1460" s="65">
        <f>VLOOKUP(E1460,DATABASE!C:Q,9,False)</f>
        <v>0</v>
      </c>
      <c r="Q1460" s="93" t="str">
        <f>VLOOKUP(E1460,DATABASE!C:Q,4,false)</f>
        <v>Balancing</v>
      </c>
      <c r="R1460" s="93" t="str">
        <f>VLOOKUP(E1460,DATABASE!C:Q,11,false)</f>
        <v>COMPLEMENTARY</v>
      </c>
    </row>
    <row r="1461" ht="22.5" customHeight="1">
      <c r="A1461" s="49"/>
      <c r="C1461" s="384">
        <v>45738.0</v>
      </c>
      <c r="D1461" s="65">
        <v>4848.0</v>
      </c>
      <c r="E1461" s="445" t="s">
        <v>478</v>
      </c>
      <c r="F1461" s="386">
        <v>1.0</v>
      </c>
      <c r="G1461" s="74">
        <v>200000.0</v>
      </c>
      <c r="H1461" s="74">
        <v>0.0</v>
      </c>
      <c r="I1461" s="74">
        <f t="shared" si="1"/>
        <v>200000</v>
      </c>
      <c r="J1461" s="74">
        <f>IF(E1461="SERVICE",I1461-(I1461*50%),Vlookup(E1461,DATABASE!C:Q,10,false)*F1461)</f>
        <v>25000</v>
      </c>
      <c r="K1461" s="74">
        <f>VLOOKUP(E1461,DATABASE!C:Q,7,false)</f>
        <v>75000</v>
      </c>
      <c r="L1461" s="74">
        <v>75000.0</v>
      </c>
      <c r="M1461" s="74">
        <f t="shared" si="2"/>
        <v>75000</v>
      </c>
      <c r="N1461" s="74">
        <f t="shared" si="3"/>
        <v>100000</v>
      </c>
      <c r="O1461" s="65" t="str">
        <f>VLOOKUP(E1461,DATABASE!C:Q,8,false)</f>
        <v>BIAN</v>
      </c>
      <c r="P1461" s="65">
        <f>VLOOKUP(E1461,DATABASE!C:Q,9,False)</f>
        <v>0</v>
      </c>
      <c r="Q1461" s="93" t="str">
        <f>VLOOKUP(E1461,DATABASE!C:Q,4,false)</f>
        <v>Baut Camber ss-carry</v>
      </c>
      <c r="R1461" s="93" t="str">
        <f>VLOOKUP(E1461,DATABASE!C:Q,11,false)</f>
        <v>COMPLEMENTARY</v>
      </c>
    </row>
    <row r="1462" ht="22.5" customHeight="1">
      <c r="A1462" s="49"/>
      <c r="C1462" s="384">
        <v>45738.0</v>
      </c>
      <c r="D1462" s="65">
        <v>4849.0</v>
      </c>
      <c r="E1462" s="445" t="s">
        <v>591</v>
      </c>
      <c r="F1462" s="386">
        <v>2.0</v>
      </c>
      <c r="G1462" s="74">
        <v>680000.0</v>
      </c>
      <c r="H1462" s="74">
        <v>0.0</v>
      </c>
      <c r="I1462" s="74">
        <f t="shared" si="1"/>
        <v>1360000</v>
      </c>
      <c r="J1462" s="74">
        <f>IF(E1462="SERVICE",I1462-(I1462*50%),Vlookup(E1462,DATABASE!C:Q,10,false)*F1462)</f>
        <v>0</v>
      </c>
      <c r="K1462" s="74">
        <f>VLOOKUP(E1462,DATABASE!C:Q,7,false)</f>
        <v>633035.16</v>
      </c>
      <c r="L1462" s="74">
        <v>593488.4</v>
      </c>
      <c r="M1462" s="74">
        <f t="shared" si="2"/>
        <v>595000</v>
      </c>
      <c r="N1462" s="74">
        <f t="shared" si="3"/>
        <v>170000</v>
      </c>
      <c r="O1462" s="65" t="str">
        <f>VLOOKUP(E1462,DATABASE!C:Q,8,false)</f>
        <v>IBU</v>
      </c>
      <c r="P1462" s="65">
        <f>VLOOKUP(E1462,DATABASE!C:Q,9,False)</f>
        <v>1</v>
      </c>
      <c r="Q1462" s="93" t="str">
        <f>VLOOKUP(E1462,DATABASE!C:Q,4,false)</f>
        <v>Bridgestone</v>
      </c>
      <c r="R1462" s="93" t="str">
        <f>VLOOKUP(E1462,DATABASE!C:Q,11,false)</f>
        <v>Tire</v>
      </c>
    </row>
    <row r="1463" ht="22.5" customHeight="1">
      <c r="A1463" s="49"/>
      <c r="C1463" s="384">
        <v>45739.0</v>
      </c>
      <c r="D1463" s="65">
        <v>4850.0</v>
      </c>
      <c r="E1463" s="385" t="s">
        <v>299</v>
      </c>
      <c r="F1463" s="386">
        <v>2.0</v>
      </c>
      <c r="G1463" s="74">
        <v>30000.0</v>
      </c>
      <c r="H1463" s="74">
        <v>0.0</v>
      </c>
      <c r="I1463" s="74">
        <f t="shared" si="1"/>
        <v>60000</v>
      </c>
      <c r="J1463" s="74">
        <f>IF(E1463="SERVICE",I1463-(I1463*50%),Vlookup(E1463,DATABASE!C:Q,10,false)*F1463)</f>
        <v>0</v>
      </c>
      <c r="K1463" s="74">
        <v>0.0</v>
      </c>
      <c r="L1463" s="74">
        <v>0.0</v>
      </c>
      <c r="M1463" s="74">
        <f t="shared" si="2"/>
        <v>0</v>
      </c>
      <c r="N1463" s="74">
        <f t="shared" si="3"/>
        <v>60000</v>
      </c>
      <c r="O1463" s="65" t="str">
        <f>VLOOKUP(E1463,DATABASE!C:Q,8,false)</f>
        <v>BIAN</v>
      </c>
      <c r="P1463" s="65">
        <f>VLOOKUP(E1463,DATABASE!C:Q,9,False)</f>
        <v>0</v>
      </c>
      <c r="Q1463" s="93" t="str">
        <f>VLOOKUP(E1463,DATABASE!C:Q,4,false)</f>
        <v>Balancing</v>
      </c>
      <c r="R1463" s="93" t="str">
        <f>VLOOKUP(E1463,DATABASE!C:Q,11,false)</f>
        <v>COMPLEMENTARY</v>
      </c>
    </row>
    <row r="1464" ht="22.5" customHeight="1">
      <c r="A1464" s="49"/>
      <c r="C1464" s="384">
        <v>45739.0</v>
      </c>
      <c r="D1464" s="65">
        <v>4851.0</v>
      </c>
      <c r="E1464" s="445" t="s">
        <v>246</v>
      </c>
      <c r="F1464" s="386">
        <v>2.0</v>
      </c>
      <c r="G1464" s="74">
        <v>50000.0</v>
      </c>
      <c r="H1464" s="74">
        <v>0.0</v>
      </c>
      <c r="I1464" s="74">
        <f t="shared" si="1"/>
        <v>100000</v>
      </c>
      <c r="J1464" s="74">
        <f>IF(E1464="SERVICE",I1464-(I1464*50%),Vlookup(E1464,DATABASE!C:Q,10,false)*F1464)</f>
        <v>0</v>
      </c>
      <c r="K1464" s="74">
        <f>VLOOKUP(E1464,DATABASE!C:Q,7,false)</f>
        <v>0</v>
      </c>
      <c r="L1464" s="74">
        <v>0.0</v>
      </c>
      <c r="M1464" s="74">
        <f t="shared" si="2"/>
        <v>0</v>
      </c>
      <c r="N1464" s="74">
        <f t="shared" si="3"/>
        <v>100000</v>
      </c>
      <c r="O1464" s="65" t="str">
        <f>VLOOKUP(E1464,DATABASE!C:Q,8,false)</f>
        <v>IBU</v>
      </c>
      <c r="P1464" s="65">
        <f>VLOOKUP(E1464,DATABASE!C:Q,9,False)</f>
        <v>0</v>
      </c>
      <c r="Q1464" s="93" t="str">
        <f>VLOOKUP(E1464,DATABASE!C:Q,4,false)</f>
        <v>Bongkar Pasang</v>
      </c>
      <c r="R1464" s="93" t="str">
        <f>VLOOKUP(E1464,DATABASE!C:Q,11,false)</f>
        <v>SERVICE</v>
      </c>
    </row>
    <row r="1465" ht="22.5" customHeight="1">
      <c r="A1465" s="49"/>
      <c r="C1465" s="384">
        <v>45739.0</v>
      </c>
      <c r="D1465" s="65">
        <v>4852.0</v>
      </c>
      <c r="E1465" s="445" t="s">
        <v>256</v>
      </c>
      <c r="F1465" s="386">
        <v>1.0</v>
      </c>
      <c r="G1465" s="74">
        <v>130000.0</v>
      </c>
      <c r="H1465" s="74">
        <v>0.0</v>
      </c>
      <c r="I1465" s="74">
        <f t="shared" si="1"/>
        <v>130000</v>
      </c>
      <c r="J1465" s="74">
        <f>IF(E1465="SERVICE",I1465-(I1465*50%),Vlookup(E1465,DATABASE!C:Q,10,false)*F1465)</f>
        <v>10000</v>
      </c>
      <c r="K1465" s="74">
        <f>VLOOKUP(E1465,DATABASE!C:Q,7,false)</f>
        <v>0</v>
      </c>
      <c r="L1465" s="74">
        <v>0.0</v>
      </c>
      <c r="M1465" s="74">
        <f t="shared" si="2"/>
        <v>0</v>
      </c>
      <c r="N1465" s="74">
        <f t="shared" si="3"/>
        <v>120000</v>
      </c>
      <c r="O1465" s="65" t="str">
        <f>VLOOKUP(E1465,DATABASE!C:Q,8,false)</f>
        <v>IBU</v>
      </c>
      <c r="P1465" s="65">
        <f>VLOOKUP(E1465,DATABASE!C:Q,9,False)</f>
        <v>0</v>
      </c>
      <c r="Q1465" s="93" t="str">
        <f>VLOOKUP(E1465,DATABASE!C:Q,4,false)</f>
        <v>SPOORING</v>
      </c>
      <c r="R1465" s="93" t="str">
        <f>VLOOKUP(E1465,DATABASE!C:Q,11,false)</f>
        <v>SERVICE</v>
      </c>
    </row>
    <row r="1466" ht="22.5" customHeight="1">
      <c r="A1466" s="49"/>
      <c r="C1466" s="384">
        <v>45739.0</v>
      </c>
      <c r="D1466" s="65">
        <v>4852.0</v>
      </c>
      <c r="E1466" s="385" t="s">
        <v>299</v>
      </c>
      <c r="F1466" s="386">
        <v>2.0</v>
      </c>
      <c r="G1466" s="74">
        <v>30000.0</v>
      </c>
      <c r="H1466" s="74">
        <v>0.0</v>
      </c>
      <c r="I1466" s="74">
        <f t="shared" si="1"/>
        <v>60000</v>
      </c>
      <c r="J1466" s="74">
        <f>IF(E1466="SERVICE",I1466-(I1466*50%),Vlookup(E1466,DATABASE!C:Q,10,false)*F1466)</f>
        <v>0</v>
      </c>
      <c r="K1466" s="74">
        <v>0.0</v>
      </c>
      <c r="L1466" s="74">
        <v>0.0</v>
      </c>
      <c r="M1466" s="74">
        <f t="shared" si="2"/>
        <v>0</v>
      </c>
      <c r="N1466" s="74">
        <f t="shared" si="3"/>
        <v>60000</v>
      </c>
      <c r="O1466" s="65" t="str">
        <f>VLOOKUP(E1466,DATABASE!C:Q,8,false)</f>
        <v>BIAN</v>
      </c>
      <c r="P1466" s="65">
        <f>VLOOKUP(E1466,DATABASE!C:Q,9,False)</f>
        <v>0</v>
      </c>
      <c r="Q1466" s="93" t="str">
        <f>VLOOKUP(E1466,DATABASE!C:Q,4,false)</f>
        <v>Balancing</v>
      </c>
      <c r="R1466" s="93" t="str">
        <f>VLOOKUP(E1466,DATABASE!C:Q,11,false)</f>
        <v>COMPLEMENTARY</v>
      </c>
    </row>
    <row r="1467" ht="22.5" customHeight="1">
      <c r="A1467" s="49"/>
      <c r="C1467" s="384">
        <v>45739.0</v>
      </c>
      <c r="D1467" s="65">
        <v>4852.0</v>
      </c>
      <c r="E1467" s="445" t="s">
        <v>301</v>
      </c>
      <c r="F1467" s="386">
        <v>1.0</v>
      </c>
      <c r="G1467" s="74">
        <v>250000.0</v>
      </c>
      <c r="H1467" s="74">
        <v>0.0</v>
      </c>
      <c r="I1467" s="74">
        <f t="shared" si="1"/>
        <v>250000</v>
      </c>
      <c r="J1467" s="74">
        <f>IF(E1467="SERVICE",I1467-(I1467*50%),Vlookup(E1467,DATABASE!C:Q,10,false)*F1467)</f>
        <v>75000</v>
      </c>
      <c r="K1467" s="74">
        <f>VLOOKUP(E1467,DATABASE!C:Q,7,false)</f>
        <v>75000</v>
      </c>
      <c r="L1467" s="74">
        <v>75000.0</v>
      </c>
      <c r="M1467" s="74">
        <f t="shared" si="2"/>
        <v>75000</v>
      </c>
      <c r="N1467" s="74">
        <f t="shared" si="3"/>
        <v>100000</v>
      </c>
      <c r="O1467" s="65" t="str">
        <f>VLOOKUP(E1467,DATABASE!C:Q,8,false)</f>
        <v>BIAN</v>
      </c>
      <c r="P1467" s="65">
        <f>VLOOKUP(E1467,DATABASE!C:Q,9,False)</f>
        <v>0</v>
      </c>
      <c r="Q1467" s="93" t="str">
        <f>VLOOKUP(E1467,DATABASE!C:Q,4,false)</f>
        <v>Baut Camber</v>
      </c>
      <c r="R1467" s="93" t="str">
        <f>VLOOKUP(E1467,DATABASE!C:Q,11,false)</f>
        <v>COMPLEMENTARY</v>
      </c>
    </row>
    <row r="1468" ht="22.5" customHeight="1">
      <c r="A1468" s="49"/>
      <c r="C1468" s="384">
        <v>45739.0</v>
      </c>
      <c r="D1468" s="65">
        <v>4853.0</v>
      </c>
      <c r="E1468" s="445" t="s">
        <v>614</v>
      </c>
      <c r="F1468" s="386">
        <v>4.0</v>
      </c>
      <c r="G1468" s="74">
        <v>840000.0</v>
      </c>
      <c r="H1468" s="74">
        <v>0.0</v>
      </c>
      <c r="I1468" s="74">
        <f t="shared" si="1"/>
        <v>3360000</v>
      </c>
      <c r="J1468" s="74">
        <f>IF(E1468="SERVICE",I1468-(I1468*50%),Vlookup(E1468,DATABASE!C:Q,10,false)*F1468)</f>
        <v>0</v>
      </c>
      <c r="K1468" s="74">
        <f>VLOOKUP(E1468,DATABASE!C:Q,7,false)</f>
        <v>754660.6</v>
      </c>
      <c r="L1468" s="74">
        <v>766438.4</v>
      </c>
      <c r="M1468" s="74">
        <f t="shared" si="2"/>
        <v>770000</v>
      </c>
      <c r="N1468" s="74">
        <f t="shared" si="3"/>
        <v>280000</v>
      </c>
      <c r="O1468" s="65" t="str">
        <f>VLOOKUP(E1468,DATABASE!C:Q,8,false)</f>
        <v>IBU</v>
      </c>
      <c r="P1468" s="65">
        <f>VLOOKUP(E1468,DATABASE!C:Q,9,False)</f>
        <v>1</v>
      </c>
      <c r="Q1468" s="93" t="str">
        <f>VLOOKUP(E1468,DATABASE!C:Q,4,false)</f>
        <v>Bridgestone</v>
      </c>
      <c r="R1468" s="93" t="str">
        <f>VLOOKUP(E1468,DATABASE!C:Q,11,false)</f>
        <v>Tire</v>
      </c>
    </row>
    <row r="1469" ht="22.5" customHeight="1">
      <c r="A1469" s="49"/>
      <c r="C1469" s="384">
        <v>45739.0</v>
      </c>
      <c r="D1469" s="65">
        <v>4853.0</v>
      </c>
      <c r="E1469" s="445" t="s">
        <v>256</v>
      </c>
      <c r="F1469" s="386">
        <v>1.0</v>
      </c>
      <c r="G1469" s="74">
        <v>130000.0</v>
      </c>
      <c r="H1469" s="74">
        <v>0.0</v>
      </c>
      <c r="I1469" s="74">
        <f t="shared" si="1"/>
        <v>130000</v>
      </c>
      <c r="J1469" s="74">
        <f>IF(E1469="SERVICE",I1469-(I1469*50%),Vlookup(E1469,DATABASE!C:Q,10,false)*F1469)</f>
        <v>10000</v>
      </c>
      <c r="K1469" s="74">
        <f>VLOOKUP(E1469,DATABASE!C:Q,7,false)</f>
        <v>0</v>
      </c>
      <c r="L1469" s="74">
        <v>0.0</v>
      </c>
      <c r="M1469" s="74">
        <f t="shared" si="2"/>
        <v>0</v>
      </c>
      <c r="N1469" s="74">
        <f t="shared" si="3"/>
        <v>120000</v>
      </c>
      <c r="O1469" s="65" t="str">
        <f>VLOOKUP(E1469,DATABASE!C:Q,8,false)</f>
        <v>IBU</v>
      </c>
      <c r="P1469" s="65">
        <f>VLOOKUP(E1469,DATABASE!C:Q,9,False)</f>
        <v>0</v>
      </c>
      <c r="Q1469" s="93" t="str">
        <f>VLOOKUP(E1469,DATABASE!C:Q,4,false)</f>
        <v>SPOORING</v>
      </c>
      <c r="R1469" s="93" t="str">
        <f>VLOOKUP(E1469,DATABASE!C:Q,11,false)</f>
        <v>SERVICE</v>
      </c>
    </row>
    <row r="1470" ht="22.5" customHeight="1">
      <c r="A1470" s="49"/>
      <c r="C1470" s="384">
        <v>45739.0</v>
      </c>
      <c r="D1470" s="65">
        <v>4853.0</v>
      </c>
      <c r="E1470" s="445" t="s">
        <v>301</v>
      </c>
      <c r="F1470" s="386">
        <v>1.0</v>
      </c>
      <c r="G1470" s="74">
        <v>250000.0</v>
      </c>
      <c r="H1470" s="74">
        <v>0.0</v>
      </c>
      <c r="I1470" s="74">
        <f t="shared" si="1"/>
        <v>250000</v>
      </c>
      <c r="J1470" s="74">
        <f>IF(E1470="SERVICE",I1470-(I1470*50%),Vlookup(E1470,DATABASE!C:Q,10,false)*F1470)</f>
        <v>75000</v>
      </c>
      <c r="K1470" s="74">
        <f>VLOOKUP(E1470,DATABASE!C:Q,7,false)</f>
        <v>75000</v>
      </c>
      <c r="L1470" s="74">
        <v>75000.0</v>
      </c>
      <c r="M1470" s="74">
        <f t="shared" si="2"/>
        <v>75000</v>
      </c>
      <c r="N1470" s="74">
        <f t="shared" si="3"/>
        <v>100000</v>
      </c>
      <c r="O1470" s="65" t="str">
        <f>VLOOKUP(E1470,DATABASE!C:Q,8,false)</f>
        <v>BIAN</v>
      </c>
      <c r="P1470" s="65">
        <f>VLOOKUP(E1470,DATABASE!C:Q,9,False)</f>
        <v>0</v>
      </c>
      <c r="Q1470" s="93" t="str">
        <f>VLOOKUP(E1470,DATABASE!C:Q,4,false)</f>
        <v>Baut Camber</v>
      </c>
      <c r="R1470" s="93" t="str">
        <f>VLOOKUP(E1470,DATABASE!C:Q,11,false)</f>
        <v>COMPLEMENTARY</v>
      </c>
    </row>
    <row r="1471" ht="22.5" customHeight="1">
      <c r="A1471" s="49"/>
      <c r="C1471" s="384">
        <v>45739.0</v>
      </c>
      <c r="D1471" s="65">
        <v>4853.0</v>
      </c>
      <c r="E1471" s="385" t="s">
        <v>299</v>
      </c>
      <c r="F1471" s="386">
        <v>2.0</v>
      </c>
      <c r="G1471" s="74">
        <v>30000.0</v>
      </c>
      <c r="H1471" s="74">
        <v>0.0</v>
      </c>
      <c r="I1471" s="74">
        <f t="shared" si="1"/>
        <v>60000</v>
      </c>
      <c r="J1471" s="74">
        <f>IF(E1471="SERVICE",I1471-(I1471*50%),Vlookup(E1471,DATABASE!C:Q,10,false)*F1471)</f>
        <v>0</v>
      </c>
      <c r="K1471" s="74">
        <v>0.0</v>
      </c>
      <c r="L1471" s="74">
        <v>0.0</v>
      </c>
      <c r="M1471" s="74">
        <f t="shared" si="2"/>
        <v>0</v>
      </c>
      <c r="N1471" s="74">
        <f t="shared" si="3"/>
        <v>60000</v>
      </c>
      <c r="O1471" s="65" t="str">
        <f>VLOOKUP(E1471,DATABASE!C:Q,8,false)</f>
        <v>BIAN</v>
      </c>
      <c r="P1471" s="65">
        <f>VLOOKUP(E1471,DATABASE!C:Q,9,False)</f>
        <v>0</v>
      </c>
      <c r="Q1471" s="93" t="str">
        <f>VLOOKUP(E1471,DATABASE!C:Q,4,false)</f>
        <v>Balancing</v>
      </c>
      <c r="R1471" s="93" t="str">
        <f>VLOOKUP(E1471,DATABASE!C:Q,11,false)</f>
        <v>COMPLEMENTARY</v>
      </c>
    </row>
    <row r="1472" ht="22.5" customHeight="1">
      <c r="A1472" s="49"/>
      <c r="C1472" s="384">
        <v>45740.0</v>
      </c>
      <c r="D1472" s="65">
        <v>4855.0</v>
      </c>
      <c r="E1472" s="445" t="s">
        <v>256</v>
      </c>
      <c r="F1472" s="386">
        <v>1.0</v>
      </c>
      <c r="G1472" s="74">
        <v>130000.0</v>
      </c>
      <c r="H1472" s="74">
        <v>0.0</v>
      </c>
      <c r="I1472" s="74">
        <f t="shared" si="1"/>
        <v>130000</v>
      </c>
      <c r="J1472" s="74">
        <f>IF(E1472="SERVICE",I1472-(I1472*50%),Vlookup(E1472,DATABASE!C:Q,10,false)*F1472)</f>
        <v>10000</v>
      </c>
      <c r="K1472" s="74">
        <f>VLOOKUP(E1472,DATABASE!C:Q,7,false)</f>
        <v>0</v>
      </c>
      <c r="L1472" s="74">
        <v>0.0</v>
      </c>
      <c r="M1472" s="74">
        <f t="shared" si="2"/>
        <v>0</v>
      </c>
      <c r="N1472" s="74">
        <f t="shared" si="3"/>
        <v>120000</v>
      </c>
      <c r="O1472" s="65" t="str">
        <f>VLOOKUP(E1472,DATABASE!C:Q,8,false)</f>
        <v>IBU</v>
      </c>
      <c r="P1472" s="65">
        <f>VLOOKUP(E1472,DATABASE!C:Q,9,False)</f>
        <v>0</v>
      </c>
      <c r="Q1472" s="93" t="str">
        <f>VLOOKUP(E1472,DATABASE!C:Q,4,false)</f>
        <v>SPOORING</v>
      </c>
      <c r="R1472" s="93" t="str">
        <f>VLOOKUP(E1472,DATABASE!C:Q,11,false)</f>
        <v>SERVICE</v>
      </c>
    </row>
    <row r="1473" ht="22.5" customHeight="1">
      <c r="A1473" s="49"/>
      <c r="C1473" s="384">
        <v>45740.0</v>
      </c>
      <c r="D1473" s="65">
        <v>4856.0</v>
      </c>
      <c r="E1473" s="445" t="s">
        <v>256</v>
      </c>
      <c r="F1473" s="386">
        <v>1.0</v>
      </c>
      <c r="G1473" s="74">
        <v>130000.0</v>
      </c>
      <c r="H1473" s="74">
        <v>0.0</v>
      </c>
      <c r="I1473" s="74">
        <f t="shared" si="1"/>
        <v>130000</v>
      </c>
      <c r="J1473" s="74">
        <f>IF(E1473="SERVICE",I1473-(I1473*50%),Vlookup(E1473,DATABASE!C:Q,10,false)*F1473)</f>
        <v>10000</v>
      </c>
      <c r="K1473" s="74">
        <f>VLOOKUP(E1473,DATABASE!C:Q,7,false)</f>
        <v>0</v>
      </c>
      <c r="L1473" s="74">
        <v>0.0</v>
      </c>
      <c r="M1473" s="74">
        <f t="shared" si="2"/>
        <v>0</v>
      </c>
      <c r="N1473" s="74">
        <f t="shared" si="3"/>
        <v>120000</v>
      </c>
      <c r="O1473" s="65" t="str">
        <f>VLOOKUP(E1473,DATABASE!C:Q,8,false)</f>
        <v>IBU</v>
      </c>
      <c r="P1473" s="65">
        <f>VLOOKUP(E1473,DATABASE!C:Q,9,False)</f>
        <v>0</v>
      </c>
      <c r="Q1473" s="93" t="str">
        <f>VLOOKUP(E1473,DATABASE!C:Q,4,false)</f>
        <v>SPOORING</v>
      </c>
      <c r="R1473" s="93" t="str">
        <f>VLOOKUP(E1473,DATABASE!C:Q,11,false)</f>
        <v>SERVICE</v>
      </c>
    </row>
    <row r="1474" ht="22.5" customHeight="1">
      <c r="A1474" s="49"/>
      <c r="C1474" s="384">
        <v>45740.0</v>
      </c>
      <c r="D1474" s="65">
        <v>4856.0</v>
      </c>
      <c r="E1474" s="385" t="s">
        <v>299</v>
      </c>
      <c r="F1474" s="386">
        <v>2.0</v>
      </c>
      <c r="G1474" s="74">
        <v>30000.0</v>
      </c>
      <c r="H1474" s="74">
        <v>0.0</v>
      </c>
      <c r="I1474" s="74">
        <f t="shared" si="1"/>
        <v>60000</v>
      </c>
      <c r="J1474" s="74">
        <f>IF(E1474="SERVICE",I1474-(I1474*50%),Vlookup(E1474,DATABASE!C:Q,10,false)*F1474)</f>
        <v>0</v>
      </c>
      <c r="K1474" s="74">
        <v>0.0</v>
      </c>
      <c r="L1474" s="74">
        <v>0.0</v>
      </c>
      <c r="M1474" s="74">
        <f t="shared" si="2"/>
        <v>0</v>
      </c>
      <c r="N1474" s="74">
        <f t="shared" si="3"/>
        <v>60000</v>
      </c>
      <c r="O1474" s="65" t="str">
        <f>VLOOKUP(E1474,DATABASE!C:Q,8,false)</f>
        <v>BIAN</v>
      </c>
      <c r="P1474" s="65">
        <f>VLOOKUP(E1474,DATABASE!C:Q,9,False)</f>
        <v>0</v>
      </c>
      <c r="Q1474" s="93" t="str">
        <f>VLOOKUP(E1474,DATABASE!C:Q,4,false)</f>
        <v>Balancing</v>
      </c>
      <c r="R1474" s="93" t="str">
        <f>VLOOKUP(E1474,DATABASE!C:Q,11,false)</f>
        <v>COMPLEMENTARY</v>
      </c>
    </row>
    <row r="1475" ht="22.5" customHeight="1">
      <c r="A1475" s="49"/>
      <c r="C1475" s="384">
        <v>45740.0</v>
      </c>
      <c r="D1475" s="65">
        <v>4857.0</v>
      </c>
      <c r="E1475" s="445" t="s">
        <v>569</v>
      </c>
      <c r="F1475" s="386">
        <v>1.0</v>
      </c>
      <c r="G1475" s="74">
        <v>80000.0</v>
      </c>
      <c r="H1475" s="74">
        <v>0.0</v>
      </c>
      <c r="I1475" s="74">
        <f t="shared" si="1"/>
        <v>80000</v>
      </c>
      <c r="J1475" s="74">
        <f>IF(E1475="SERVICE",I1475-(I1475*50%),Vlookup(E1475,DATABASE!C:Q,10,false)*F1475)</f>
        <v>0</v>
      </c>
      <c r="K1475" s="74">
        <f>VLOOKUP(E1475,DATABASE!C:Q,7,false)</f>
        <v>45439.582</v>
      </c>
      <c r="L1475" s="74">
        <v>45309.6</v>
      </c>
      <c r="M1475" s="74">
        <f t="shared" si="2"/>
        <v>50000</v>
      </c>
      <c r="N1475" s="74">
        <f t="shared" si="3"/>
        <v>30000</v>
      </c>
      <c r="O1475" s="65" t="str">
        <f>VLOOKUP(E1475,DATABASE!C:Q,8,false)</f>
        <v>BIAN</v>
      </c>
      <c r="P1475" s="65">
        <f>VLOOKUP(E1475,DATABASE!C:Q,9,False)</f>
        <v>1</v>
      </c>
      <c r="Q1475" s="93" t="str">
        <f>VLOOKUP(E1475,DATABASE!C:Q,4,false)</f>
        <v>BD</v>
      </c>
      <c r="R1475" s="93" t="str">
        <f>VLOOKUP(E1475,DATABASE!C:Q,11,false)</f>
        <v>Tire</v>
      </c>
    </row>
    <row r="1476" ht="22.5" customHeight="1">
      <c r="A1476" s="49"/>
      <c r="C1476" s="384">
        <v>45740.0</v>
      </c>
      <c r="D1476" s="65">
        <v>4858.0</v>
      </c>
      <c r="E1476" s="445" t="s">
        <v>937</v>
      </c>
      <c r="F1476" s="386">
        <v>1.0</v>
      </c>
      <c r="G1476" s="74">
        <v>900000.0</v>
      </c>
      <c r="H1476" s="74">
        <v>0.0</v>
      </c>
      <c r="I1476" s="74">
        <f t="shared" si="1"/>
        <v>900000</v>
      </c>
      <c r="J1476" s="74">
        <f>IF(E1476="SERVICE",I1476-(I1476*50%),Vlookup(E1476,DATABASE!C:Q,10,false)*F1476)</f>
        <v>0</v>
      </c>
      <c r="K1476" s="74">
        <f>VLOOKUP(E1476,DATABASE!C:Q,7,false)</f>
        <v>825000</v>
      </c>
      <c r="L1476" s="74">
        <v>790000.0</v>
      </c>
      <c r="M1476" s="74">
        <f t="shared" si="2"/>
        <v>790000</v>
      </c>
      <c r="N1476" s="74">
        <f t="shared" si="3"/>
        <v>110000</v>
      </c>
      <c r="O1476" s="65" t="str">
        <f>VLOOKUP(E1476,DATABASE!C:Q,8,false)</f>
        <v>IBU</v>
      </c>
      <c r="P1476" s="65">
        <f>VLOOKUP(E1476,DATABASE!C:Q,9,False)</f>
        <v>1</v>
      </c>
      <c r="Q1476" s="93" t="str">
        <f>VLOOKUP(E1476,DATABASE!C:Q,4,false)</f>
        <v>Bridgestone</v>
      </c>
      <c r="R1476" s="93" t="str">
        <f>VLOOKUP(E1476,DATABASE!C:Q,11,false)</f>
        <v>Tire</v>
      </c>
    </row>
    <row r="1477" ht="22.5" customHeight="1">
      <c r="A1477" s="49"/>
      <c r="C1477" s="384">
        <v>45740.0</v>
      </c>
      <c r="D1477" s="65">
        <v>4859.0</v>
      </c>
      <c r="E1477" s="445" t="s">
        <v>974</v>
      </c>
      <c r="F1477" s="386">
        <v>1.0</v>
      </c>
      <c r="G1477" s="74">
        <v>560000.0</v>
      </c>
      <c r="H1477" s="74">
        <v>0.0</v>
      </c>
      <c r="I1477" s="74">
        <f t="shared" si="1"/>
        <v>560000</v>
      </c>
      <c r="J1477" s="74">
        <f>IF(E1477="SERVICE",I1477-(I1477*50%),Vlookup(E1477,DATABASE!C:Q,10,false)*F1477)</f>
        <v>0</v>
      </c>
      <c r="K1477" s="74">
        <f>VLOOKUP(E1477,DATABASE!C:Q,7,false)</f>
        <v>501500</v>
      </c>
      <c r="L1477" s="74">
        <v>491000.0</v>
      </c>
      <c r="M1477" s="74">
        <f t="shared" si="2"/>
        <v>495000</v>
      </c>
      <c r="N1477" s="74">
        <f t="shared" si="3"/>
        <v>65000</v>
      </c>
      <c r="O1477" s="65" t="str">
        <f>VLOOKUP(E1477,DATABASE!C:Q,8,false)</f>
        <v>IBU</v>
      </c>
      <c r="P1477" s="65">
        <f>VLOOKUP(E1477,DATABASE!C:Q,9,False)</f>
        <v>1</v>
      </c>
      <c r="Q1477" s="93" t="str">
        <f>VLOOKUP(E1477,DATABASE!C:Q,4,false)</f>
        <v>Dunlop</v>
      </c>
      <c r="R1477" s="93" t="str">
        <f>VLOOKUP(E1477,DATABASE!C:Q,11,false)</f>
        <v>Tire</v>
      </c>
    </row>
    <row r="1478" ht="22.5" customHeight="1">
      <c r="A1478" s="49"/>
      <c r="C1478" s="384">
        <v>45740.0</v>
      </c>
      <c r="D1478" s="65">
        <v>4861.0</v>
      </c>
      <c r="E1478" s="445" t="s">
        <v>246</v>
      </c>
      <c r="F1478" s="386">
        <v>1.0</v>
      </c>
      <c r="G1478" s="74">
        <v>25000.0</v>
      </c>
      <c r="H1478" s="74">
        <v>0.0</v>
      </c>
      <c r="I1478" s="74">
        <f t="shared" si="1"/>
        <v>25000</v>
      </c>
      <c r="J1478" s="74">
        <f>IF(E1478="SERVICE",I1478-(I1478*50%),Vlookup(E1478,DATABASE!C:Q,10,false)*F1478)</f>
        <v>0</v>
      </c>
      <c r="K1478" s="74">
        <f>VLOOKUP(E1478,DATABASE!C:Q,7,false)</f>
        <v>0</v>
      </c>
      <c r="L1478" s="74">
        <v>0.0</v>
      </c>
      <c r="M1478" s="74">
        <f t="shared" si="2"/>
        <v>0</v>
      </c>
      <c r="N1478" s="74">
        <f t="shared" si="3"/>
        <v>25000</v>
      </c>
      <c r="O1478" s="65" t="str">
        <f>VLOOKUP(E1478,DATABASE!C:Q,8,false)</f>
        <v>IBU</v>
      </c>
      <c r="P1478" s="65">
        <f>VLOOKUP(E1478,DATABASE!C:Q,9,False)</f>
        <v>0</v>
      </c>
      <c r="Q1478" s="93" t="str">
        <f>VLOOKUP(E1478,DATABASE!C:Q,4,false)</f>
        <v>Bongkar Pasang</v>
      </c>
      <c r="R1478" s="93" t="str">
        <f>VLOOKUP(E1478,DATABASE!C:Q,11,false)</f>
        <v>SERVICE</v>
      </c>
    </row>
    <row r="1479" ht="22.5" customHeight="1">
      <c r="A1479" s="49"/>
      <c r="C1479" s="384">
        <v>45740.0</v>
      </c>
      <c r="D1479" s="65">
        <v>4862.0</v>
      </c>
      <c r="E1479" s="445" t="s">
        <v>250</v>
      </c>
      <c r="F1479" s="386">
        <v>1.0</v>
      </c>
      <c r="G1479" s="74">
        <v>135000.0</v>
      </c>
      <c r="H1479" s="74">
        <v>0.0</v>
      </c>
      <c r="I1479" s="74">
        <f t="shared" si="1"/>
        <v>135000</v>
      </c>
      <c r="J1479" s="74">
        <f>IF(E1479="SERVICE",I1479-(I1479*50%),Vlookup(E1479,DATABASE!C:Q,10,false)*F1479)</f>
        <v>0</v>
      </c>
      <c r="K1479" s="74">
        <f>VLOOKUP(E1479,DATABASE!C:Q,7,false)</f>
        <v>102000</v>
      </c>
      <c r="L1479" s="74">
        <v>102000.0</v>
      </c>
      <c r="M1479" s="74">
        <f t="shared" si="2"/>
        <v>105000</v>
      </c>
      <c r="N1479" s="74">
        <f t="shared" si="3"/>
        <v>30000</v>
      </c>
      <c r="O1479" s="65" t="str">
        <f>VLOOKUP(E1479,DATABASE!C:Q,8,false)</f>
        <v>BIAN</v>
      </c>
      <c r="P1479" s="65">
        <f>VLOOKUP(E1479,DATABASE!C:Q,9,False)</f>
        <v>1</v>
      </c>
      <c r="Q1479" s="93" t="str">
        <f>VLOOKUP(E1479,DATABASE!C:Q,4,false)</f>
        <v>BD</v>
      </c>
      <c r="R1479" s="93" t="str">
        <f>VLOOKUP(E1479,DATABASE!C:Q,11,false)</f>
        <v>Tire</v>
      </c>
    </row>
    <row r="1480" ht="22.5" customHeight="1">
      <c r="A1480" s="49"/>
      <c r="C1480" s="384">
        <v>45740.0</v>
      </c>
      <c r="D1480" s="65">
        <v>4863.0</v>
      </c>
      <c r="E1480" s="445" t="s">
        <v>268</v>
      </c>
      <c r="F1480" s="386">
        <v>1.0</v>
      </c>
      <c r="G1480" s="74">
        <v>700000.0</v>
      </c>
      <c r="H1480" s="74">
        <v>0.0</v>
      </c>
      <c r="I1480" s="74">
        <f t="shared" si="1"/>
        <v>700000</v>
      </c>
      <c r="J1480" s="74">
        <f>IF(E1480="SERVICE",I1480-(I1480*50%),Vlookup(E1480,DATABASE!C:Q,10,false)*F1480)</f>
        <v>0</v>
      </c>
      <c r="K1480" s="74">
        <v>613000.0</v>
      </c>
      <c r="L1480" s="74">
        <v>613000.0</v>
      </c>
      <c r="M1480" s="74">
        <f t="shared" si="2"/>
        <v>615000</v>
      </c>
      <c r="N1480" s="74">
        <f t="shared" si="3"/>
        <v>85000</v>
      </c>
      <c r="O1480" s="65" t="str">
        <f>VLOOKUP(E1480,DATABASE!C:Q,8,false)</f>
        <v>IBU</v>
      </c>
      <c r="P1480" s="65">
        <f>VLOOKUP(E1480,DATABASE!C:Q,9,False)</f>
        <v>1</v>
      </c>
      <c r="Q1480" s="93" t="str">
        <f>VLOOKUP(E1480,DATABASE!C:Q,4,false)</f>
        <v>Dunlop</v>
      </c>
      <c r="R1480" s="93" t="str">
        <f>VLOOKUP(E1480,DATABASE!C:Q,11,false)</f>
        <v>Tire</v>
      </c>
    </row>
    <row r="1481" ht="22.5" customHeight="1">
      <c r="A1481" s="49"/>
      <c r="C1481" s="384">
        <v>45740.0</v>
      </c>
      <c r="D1481" s="65">
        <v>4864.0</v>
      </c>
      <c r="E1481" s="445" t="s">
        <v>968</v>
      </c>
      <c r="F1481" s="386">
        <v>1.0</v>
      </c>
      <c r="G1481" s="74">
        <v>640000.0</v>
      </c>
      <c r="H1481" s="74">
        <v>0.0</v>
      </c>
      <c r="I1481" s="74">
        <f t="shared" si="1"/>
        <v>640000</v>
      </c>
      <c r="J1481" s="74">
        <f>IF(E1481="SERVICE",I1481-(I1481*50%),Vlookup(E1481,DATABASE!C:Q,10,false)*F1481)</f>
        <v>0</v>
      </c>
      <c r="K1481" s="74">
        <f>VLOOKUP(E1481,DATABASE!C:Q,7,false)</f>
        <v>582500</v>
      </c>
      <c r="L1481" s="74">
        <v>582500.0</v>
      </c>
      <c r="M1481" s="74">
        <f t="shared" si="2"/>
        <v>585000</v>
      </c>
      <c r="N1481" s="74">
        <f t="shared" si="3"/>
        <v>55000</v>
      </c>
      <c r="O1481" s="65" t="str">
        <f>VLOOKUP(E1481,DATABASE!C:Q,8,false)</f>
        <v>IBU</v>
      </c>
      <c r="P1481" s="65">
        <f>VLOOKUP(E1481,DATABASE!C:Q,9,False)</f>
        <v>1</v>
      </c>
      <c r="Q1481" s="93" t="str">
        <f>VLOOKUP(E1481,DATABASE!C:Q,4,false)</f>
        <v>Dunlop</v>
      </c>
      <c r="R1481" s="93" t="str">
        <f>VLOOKUP(E1481,DATABASE!C:Q,11,false)</f>
        <v>Tire</v>
      </c>
    </row>
    <row r="1482" ht="22.5" customHeight="1">
      <c r="A1482" s="49"/>
      <c r="C1482" s="384">
        <v>45740.0</v>
      </c>
      <c r="D1482" s="65">
        <v>4865.0</v>
      </c>
      <c r="E1482" s="445" t="s">
        <v>256</v>
      </c>
      <c r="F1482" s="386">
        <v>1.0</v>
      </c>
      <c r="G1482" s="74">
        <v>130000.0</v>
      </c>
      <c r="H1482" s="74">
        <v>0.0</v>
      </c>
      <c r="I1482" s="74">
        <f t="shared" si="1"/>
        <v>130000</v>
      </c>
      <c r="J1482" s="74">
        <f>IF(E1482="SERVICE",I1482-(I1482*50%),Vlookup(E1482,DATABASE!C:Q,10,false)*F1482)</f>
        <v>10000</v>
      </c>
      <c r="K1482" s="74">
        <f>VLOOKUP(E1482,DATABASE!C:Q,7,false)</f>
        <v>0</v>
      </c>
      <c r="L1482" s="74">
        <v>0.0</v>
      </c>
      <c r="M1482" s="74">
        <f t="shared" si="2"/>
        <v>0</v>
      </c>
      <c r="N1482" s="74">
        <f t="shared" si="3"/>
        <v>120000</v>
      </c>
      <c r="O1482" s="65" t="str">
        <f>VLOOKUP(E1482,DATABASE!C:Q,8,false)</f>
        <v>IBU</v>
      </c>
      <c r="P1482" s="65">
        <f>VLOOKUP(E1482,DATABASE!C:Q,9,False)</f>
        <v>0</v>
      </c>
      <c r="Q1482" s="93" t="str">
        <f>VLOOKUP(E1482,DATABASE!C:Q,4,false)</f>
        <v>SPOORING</v>
      </c>
      <c r="R1482" s="93" t="str">
        <f>VLOOKUP(E1482,DATABASE!C:Q,11,false)</f>
        <v>SERVICE</v>
      </c>
    </row>
    <row r="1483" ht="22.5" customHeight="1">
      <c r="A1483" s="49"/>
      <c r="C1483" s="384">
        <v>45740.0</v>
      </c>
      <c r="D1483" s="65">
        <v>4865.0</v>
      </c>
      <c r="E1483" s="385" t="s">
        <v>299</v>
      </c>
      <c r="F1483" s="386">
        <v>2.0</v>
      </c>
      <c r="G1483" s="74">
        <v>30000.0</v>
      </c>
      <c r="H1483" s="74">
        <v>0.0</v>
      </c>
      <c r="I1483" s="74">
        <f t="shared" si="1"/>
        <v>60000</v>
      </c>
      <c r="J1483" s="74">
        <f>IF(E1483="SERVICE",I1483-(I1483*50%),Vlookup(E1483,DATABASE!C:Q,10,false)*F1483)</f>
        <v>0</v>
      </c>
      <c r="K1483" s="74">
        <v>0.0</v>
      </c>
      <c r="L1483" s="74">
        <v>0.0</v>
      </c>
      <c r="M1483" s="74">
        <f t="shared" si="2"/>
        <v>0</v>
      </c>
      <c r="N1483" s="74">
        <f t="shared" si="3"/>
        <v>60000</v>
      </c>
      <c r="O1483" s="65" t="str">
        <f>VLOOKUP(E1483,DATABASE!C:Q,8,false)</f>
        <v>BIAN</v>
      </c>
      <c r="P1483" s="65">
        <f>VLOOKUP(E1483,DATABASE!C:Q,9,False)</f>
        <v>0</v>
      </c>
      <c r="Q1483" s="93" t="str">
        <f>VLOOKUP(E1483,DATABASE!C:Q,4,false)</f>
        <v>Balancing</v>
      </c>
      <c r="R1483" s="93" t="str">
        <f>VLOOKUP(E1483,DATABASE!C:Q,11,false)</f>
        <v>COMPLEMENTARY</v>
      </c>
    </row>
    <row r="1484" ht="22.5" customHeight="1">
      <c r="A1484" s="49"/>
      <c r="C1484" s="384">
        <v>45740.0</v>
      </c>
      <c r="D1484" s="65">
        <v>4865.0</v>
      </c>
      <c r="E1484" s="445" t="s">
        <v>301</v>
      </c>
      <c r="F1484" s="386">
        <v>1.0</v>
      </c>
      <c r="G1484" s="74">
        <v>250000.0</v>
      </c>
      <c r="H1484" s="74">
        <v>0.0</v>
      </c>
      <c r="I1484" s="74">
        <f t="shared" si="1"/>
        <v>250000</v>
      </c>
      <c r="J1484" s="74">
        <f>IF(E1484="SERVICE",I1484-(I1484*50%),Vlookup(E1484,DATABASE!C:Q,10,false)*F1484)</f>
        <v>75000</v>
      </c>
      <c r="K1484" s="74">
        <f>VLOOKUP(E1484,DATABASE!C:Q,7,false)</f>
        <v>75000</v>
      </c>
      <c r="L1484" s="74">
        <v>75000.0</v>
      </c>
      <c r="M1484" s="74">
        <f t="shared" si="2"/>
        <v>75000</v>
      </c>
      <c r="N1484" s="74">
        <f t="shared" si="3"/>
        <v>100000</v>
      </c>
      <c r="O1484" s="65" t="str">
        <f>VLOOKUP(E1484,DATABASE!C:Q,8,false)</f>
        <v>BIAN</v>
      </c>
      <c r="P1484" s="65">
        <f>VLOOKUP(E1484,DATABASE!C:Q,9,False)</f>
        <v>0</v>
      </c>
      <c r="Q1484" s="93" t="str">
        <f>VLOOKUP(E1484,DATABASE!C:Q,4,false)</f>
        <v>Baut Camber</v>
      </c>
      <c r="R1484" s="93" t="str">
        <f>VLOOKUP(E1484,DATABASE!C:Q,11,false)</f>
        <v>COMPLEMENTARY</v>
      </c>
    </row>
    <row r="1485" ht="22.5" customHeight="1">
      <c r="A1485" s="49"/>
      <c r="C1485" s="384">
        <v>45740.0</v>
      </c>
      <c r="D1485" s="65">
        <v>4866.0</v>
      </c>
      <c r="E1485" s="445" t="s">
        <v>265</v>
      </c>
      <c r="F1485" s="386">
        <v>2.0</v>
      </c>
      <c r="G1485" s="74">
        <v>670000.0</v>
      </c>
      <c r="H1485" s="74">
        <v>0.0</v>
      </c>
      <c r="I1485" s="74">
        <f t="shared" si="1"/>
        <v>1340000</v>
      </c>
      <c r="J1485" s="74">
        <f>IF(E1485="SERVICE",I1485-(I1485*50%),Vlookup(E1485,DATABASE!C:Q,10,false)*F1485)</f>
        <v>0</v>
      </c>
      <c r="K1485" s="74">
        <v>590000.0</v>
      </c>
      <c r="L1485" s="74">
        <v>590000.0</v>
      </c>
      <c r="M1485" s="74">
        <f t="shared" si="2"/>
        <v>590000</v>
      </c>
      <c r="N1485" s="74">
        <f t="shared" si="3"/>
        <v>160000</v>
      </c>
      <c r="O1485" s="65" t="str">
        <f>VLOOKUP(E1485,DATABASE!C:Q,8,false)</f>
        <v>IBU</v>
      </c>
      <c r="P1485" s="65">
        <f>VLOOKUP(E1485,DATABASE!C:Q,9,False)</f>
        <v>1</v>
      </c>
      <c r="Q1485" s="93" t="str">
        <f>VLOOKUP(E1485,DATABASE!C:Q,4,false)</f>
        <v>Dunlop</v>
      </c>
      <c r="R1485" s="93" t="str">
        <f>VLOOKUP(E1485,DATABASE!C:Q,11,false)</f>
        <v>Tire</v>
      </c>
    </row>
    <row r="1486" ht="22.5" customHeight="1">
      <c r="A1486" s="49"/>
      <c r="C1486" s="384">
        <v>45740.0</v>
      </c>
      <c r="D1486" s="65">
        <v>4867.0</v>
      </c>
      <c r="E1486" s="445" t="s">
        <v>282</v>
      </c>
      <c r="F1486" s="386">
        <v>4.0</v>
      </c>
      <c r="G1486" s="74">
        <v>860000.0</v>
      </c>
      <c r="H1486" s="74">
        <v>0.0</v>
      </c>
      <c r="I1486" s="74">
        <f t="shared" si="1"/>
        <v>3440000</v>
      </c>
      <c r="J1486" s="74">
        <f>IF(E1486="SERVICE",I1486-(I1486*50%),Vlookup(E1486,DATABASE!C:Q,10,false)*F1486)</f>
        <v>0</v>
      </c>
      <c r="K1486" s="74">
        <f>VLOOKUP(E1486,DATABASE!C:Q,7,false)</f>
        <v>779500</v>
      </c>
      <c r="L1486" s="74">
        <v>771000.0</v>
      </c>
      <c r="M1486" s="74">
        <f t="shared" si="2"/>
        <v>775000</v>
      </c>
      <c r="N1486" s="74">
        <f t="shared" si="3"/>
        <v>340000</v>
      </c>
      <c r="O1486" s="65" t="str">
        <f>VLOOKUP(E1486,DATABASE!C:Q,8,false)</f>
        <v>IBU</v>
      </c>
      <c r="P1486" s="65">
        <f>VLOOKUP(E1486,DATABASE!C:Q,9,False)</f>
        <v>1</v>
      </c>
      <c r="Q1486" s="93" t="str">
        <f>VLOOKUP(E1486,DATABASE!C:Q,4,false)</f>
        <v>Dunlop</v>
      </c>
      <c r="R1486" s="93" t="str">
        <f>VLOOKUP(E1486,DATABASE!C:Q,11,false)</f>
        <v>Tire</v>
      </c>
    </row>
    <row r="1487" ht="22.5" customHeight="1">
      <c r="A1487" s="49"/>
      <c r="C1487" s="384">
        <v>45740.0</v>
      </c>
      <c r="D1487" s="65">
        <v>4868.0</v>
      </c>
      <c r="E1487" s="445" t="s">
        <v>1433</v>
      </c>
      <c r="F1487" s="386">
        <v>3.0</v>
      </c>
      <c r="G1487" s="74">
        <v>800000.0</v>
      </c>
      <c r="H1487" s="74">
        <v>0.0</v>
      </c>
      <c r="I1487" s="74">
        <f t="shared" si="1"/>
        <v>2400000</v>
      </c>
      <c r="J1487" s="74">
        <f>IF(E1487="SERVICE",I1487-(I1487*50%),Vlookup(E1487,DATABASE!C:Q,10,false)*F1487)</f>
        <v>0</v>
      </c>
      <c r="K1487" s="74">
        <f>VLOOKUP(E1487,DATABASE!C:Q,7,false)</f>
        <v>762500</v>
      </c>
      <c r="L1487" s="74">
        <v>762500.0</v>
      </c>
      <c r="M1487" s="74">
        <f t="shared" si="2"/>
        <v>765000</v>
      </c>
      <c r="N1487" s="74">
        <f t="shared" si="3"/>
        <v>105000</v>
      </c>
      <c r="O1487" s="65" t="str">
        <f>VLOOKUP(E1487,DATABASE!C:Q,8,false)</f>
        <v>IBU</v>
      </c>
      <c r="P1487" s="65">
        <f>VLOOKUP(E1487,DATABASE!C:Q,9,False)</f>
        <v>1</v>
      </c>
      <c r="Q1487" s="93" t="str">
        <f>VLOOKUP(E1487,DATABASE!C:Q,4,false)</f>
        <v>Dunlop</v>
      </c>
      <c r="R1487" s="93" t="str">
        <f>VLOOKUP(E1487,DATABASE!C:Q,11,false)</f>
        <v>Tire</v>
      </c>
    </row>
    <row r="1488" ht="22.5" customHeight="1">
      <c r="A1488" s="49"/>
      <c r="C1488" s="384">
        <v>45740.0</v>
      </c>
      <c r="D1488" s="65">
        <v>4868.0</v>
      </c>
      <c r="E1488" s="445" t="s">
        <v>1433</v>
      </c>
      <c r="F1488" s="386">
        <v>1.0</v>
      </c>
      <c r="G1488" s="74">
        <v>760000.0</v>
      </c>
      <c r="H1488" s="74">
        <v>0.0</v>
      </c>
      <c r="I1488" s="74">
        <f t="shared" si="1"/>
        <v>760000</v>
      </c>
      <c r="J1488" s="74">
        <f>IF(E1488="SERVICE",I1488-(I1488*50%),Vlookup(E1488,DATABASE!C:Q,10,false)*F1488)</f>
        <v>0</v>
      </c>
      <c r="K1488" s="140">
        <v>700000.0</v>
      </c>
      <c r="L1488" s="140">
        <v>700000.0</v>
      </c>
      <c r="M1488" s="74">
        <f t="shared" si="2"/>
        <v>700000</v>
      </c>
      <c r="N1488" s="74">
        <f t="shared" si="3"/>
        <v>60000</v>
      </c>
      <c r="O1488" s="65" t="str">
        <f>VLOOKUP(E1488,DATABASE!C:Q,8,false)</f>
        <v>IBU</v>
      </c>
      <c r="P1488" s="65">
        <f>VLOOKUP(E1488,DATABASE!C:Q,9,False)</f>
        <v>1</v>
      </c>
      <c r="Q1488" s="93" t="str">
        <f>VLOOKUP(E1488,DATABASE!C:Q,4,false)</f>
        <v>Dunlop</v>
      </c>
      <c r="R1488" s="93" t="str">
        <f>VLOOKUP(E1488,DATABASE!C:Q,11,false)</f>
        <v>Tire</v>
      </c>
    </row>
    <row r="1489" ht="22.5" customHeight="1">
      <c r="A1489" s="49"/>
      <c r="C1489" s="384">
        <v>45740.0</v>
      </c>
      <c r="D1489" s="65">
        <v>4868.0</v>
      </c>
      <c r="E1489" s="445" t="s">
        <v>256</v>
      </c>
      <c r="F1489" s="386">
        <v>1.0</v>
      </c>
      <c r="G1489" s="74">
        <v>130000.0</v>
      </c>
      <c r="H1489" s="74">
        <v>0.0</v>
      </c>
      <c r="I1489" s="74">
        <f t="shared" si="1"/>
        <v>130000</v>
      </c>
      <c r="J1489" s="74">
        <f>IF(E1489="SERVICE",I1489-(I1489*50%),Vlookup(E1489,DATABASE!C:Q,10,false)*F1489)</f>
        <v>10000</v>
      </c>
      <c r="K1489" s="74">
        <f>VLOOKUP(E1489,DATABASE!C:Q,7,false)</f>
        <v>0</v>
      </c>
      <c r="L1489" s="74">
        <v>0.0</v>
      </c>
      <c r="M1489" s="74">
        <f t="shared" si="2"/>
        <v>0</v>
      </c>
      <c r="N1489" s="74">
        <f t="shared" si="3"/>
        <v>120000</v>
      </c>
      <c r="O1489" s="65" t="str">
        <f>VLOOKUP(E1489,DATABASE!C:Q,8,false)</f>
        <v>IBU</v>
      </c>
      <c r="P1489" s="65">
        <f>VLOOKUP(E1489,DATABASE!C:Q,9,False)</f>
        <v>0</v>
      </c>
      <c r="Q1489" s="93" t="str">
        <f>VLOOKUP(E1489,DATABASE!C:Q,4,false)</f>
        <v>SPOORING</v>
      </c>
      <c r="R1489" s="93" t="str">
        <f>VLOOKUP(E1489,DATABASE!C:Q,11,false)</f>
        <v>SERVICE</v>
      </c>
    </row>
    <row r="1490" ht="22.5" customHeight="1">
      <c r="A1490" s="49"/>
      <c r="C1490" s="384">
        <v>45740.0</v>
      </c>
      <c r="D1490" s="65">
        <v>4868.0</v>
      </c>
      <c r="E1490" s="385" t="s">
        <v>299</v>
      </c>
      <c r="F1490" s="386">
        <v>2.0</v>
      </c>
      <c r="G1490" s="74">
        <v>30000.0</v>
      </c>
      <c r="H1490" s="74">
        <v>0.0</v>
      </c>
      <c r="I1490" s="74">
        <f t="shared" si="1"/>
        <v>60000</v>
      </c>
      <c r="J1490" s="74">
        <f>IF(E1490="SERVICE",I1490-(I1490*50%),Vlookup(E1490,DATABASE!C:Q,10,false)*F1490)</f>
        <v>0</v>
      </c>
      <c r="K1490" s="74">
        <v>0.0</v>
      </c>
      <c r="L1490" s="74">
        <v>0.0</v>
      </c>
      <c r="M1490" s="74">
        <f t="shared" si="2"/>
        <v>0</v>
      </c>
      <c r="N1490" s="74">
        <f t="shared" si="3"/>
        <v>60000</v>
      </c>
      <c r="O1490" s="65" t="str">
        <f>VLOOKUP(E1490,DATABASE!C:Q,8,false)</f>
        <v>BIAN</v>
      </c>
      <c r="P1490" s="65">
        <f>VLOOKUP(E1490,DATABASE!C:Q,9,False)</f>
        <v>0</v>
      </c>
      <c r="Q1490" s="93" t="str">
        <f>VLOOKUP(E1490,DATABASE!C:Q,4,false)</f>
        <v>Balancing</v>
      </c>
      <c r="R1490" s="93" t="str">
        <f>VLOOKUP(E1490,DATABASE!C:Q,11,false)</f>
        <v>COMPLEMENTARY</v>
      </c>
    </row>
    <row r="1491" ht="22.5" customHeight="1">
      <c r="A1491" s="49"/>
      <c r="C1491" s="384">
        <v>45740.0</v>
      </c>
      <c r="D1491" s="65">
        <v>4868.0</v>
      </c>
      <c r="E1491" s="445" t="s">
        <v>301</v>
      </c>
      <c r="F1491" s="386">
        <v>1.0</v>
      </c>
      <c r="G1491" s="74">
        <v>250000.0</v>
      </c>
      <c r="H1491" s="74">
        <v>0.0</v>
      </c>
      <c r="I1491" s="74">
        <f t="shared" si="1"/>
        <v>250000</v>
      </c>
      <c r="J1491" s="74">
        <f>IF(E1491="SERVICE",I1491-(I1491*50%),Vlookup(E1491,DATABASE!C:Q,10,false)*F1491)</f>
        <v>75000</v>
      </c>
      <c r="K1491" s="74">
        <f>VLOOKUP(E1491,DATABASE!C:Q,7,false)</f>
        <v>75000</v>
      </c>
      <c r="L1491" s="74">
        <v>75000.0</v>
      </c>
      <c r="M1491" s="74">
        <f t="shared" si="2"/>
        <v>75000</v>
      </c>
      <c r="N1491" s="74">
        <f t="shared" si="3"/>
        <v>100000</v>
      </c>
      <c r="O1491" s="65" t="str">
        <f>VLOOKUP(E1491,DATABASE!C:Q,8,false)</f>
        <v>BIAN</v>
      </c>
      <c r="P1491" s="65">
        <f>VLOOKUP(E1491,DATABASE!C:Q,9,False)</f>
        <v>0</v>
      </c>
      <c r="Q1491" s="93" t="str">
        <f>VLOOKUP(E1491,DATABASE!C:Q,4,false)</f>
        <v>Baut Camber</v>
      </c>
      <c r="R1491" s="93" t="str">
        <f>VLOOKUP(E1491,DATABASE!C:Q,11,false)</f>
        <v>COMPLEMENTARY</v>
      </c>
    </row>
    <row r="1492" ht="22.5" customHeight="1">
      <c r="A1492" s="49"/>
      <c r="C1492" s="384">
        <v>45740.0</v>
      </c>
      <c r="D1492" s="65">
        <v>4869.0</v>
      </c>
      <c r="E1492" s="445" t="s">
        <v>1301</v>
      </c>
      <c r="F1492" s="386">
        <v>2.0</v>
      </c>
      <c r="G1492" s="74">
        <v>1270000.0</v>
      </c>
      <c r="H1492" s="74">
        <v>0.0</v>
      </c>
      <c r="I1492" s="74">
        <f t="shared" si="1"/>
        <v>2540000</v>
      </c>
      <c r="J1492" s="74">
        <f>IF(E1492="SERVICE",I1492-(I1492*50%),Vlookup(E1492,DATABASE!C:Q,10,false)*F1492)</f>
        <v>0</v>
      </c>
      <c r="K1492" s="74">
        <f>VLOOKUP(E1492,DATABASE!C:Q,7,false)</f>
        <v>1194000</v>
      </c>
      <c r="L1492" s="74">
        <v>1182000.0</v>
      </c>
      <c r="M1492" s="74">
        <f t="shared" si="2"/>
        <v>1185000</v>
      </c>
      <c r="N1492" s="74">
        <f t="shared" si="3"/>
        <v>170000</v>
      </c>
      <c r="O1492" s="65" t="str">
        <f>VLOOKUP(E1492,DATABASE!C:Q,8,false)</f>
        <v>IBU</v>
      </c>
      <c r="P1492" s="65">
        <f>VLOOKUP(E1492,DATABASE!C:Q,9,False)</f>
        <v>1</v>
      </c>
      <c r="Q1492" s="93" t="str">
        <f>VLOOKUP(E1492,DATABASE!C:Q,4,false)</f>
        <v>Dunlop</v>
      </c>
      <c r="R1492" s="93" t="str">
        <f>VLOOKUP(E1492,DATABASE!C:Q,11,false)</f>
        <v>Tire</v>
      </c>
    </row>
    <row r="1493" ht="22.5" customHeight="1">
      <c r="A1493" s="49"/>
      <c r="C1493" s="384">
        <v>45740.0</v>
      </c>
      <c r="D1493" s="65">
        <v>4872.0</v>
      </c>
      <c r="E1493" s="445" t="s">
        <v>930</v>
      </c>
      <c r="F1493" s="386">
        <v>2.0</v>
      </c>
      <c r="G1493" s="74">
        <v>750000.0</v>
      </c>
      <c r="H1493" s="74">
        <v>0.0</v>
      </c>
      <c r="I1493" s="74">
        <f t="shared" si="1"/>
        <v>1500000</v>
      </c>
      <c r="J1493" s="74">
        <f>IF(E1493="SERVICE",I1493-(I1493*50%),Vlookup(E1493,DATABASE!C:Q,10,false)*F1493)</f>
        <v>0</v>
      </c>
      <c r="K1493" s="74">
        <f>VLOOKUP(E1493,DATABASE!C:Q,7,false)</f>
        <v>634099.2</v>
      </c>
      <c r="L1493" s="74">
        <v>634099.2</v>
      </c>
      <c r="M1493" s="74">
        <f t="shared" si="2"/>
        <v>635000</v>
      </c>
      <c r="N1493" s="74">
        <f t="shared" si="3"/>
        <v>230000</v>
      </c>
      <c r="O1493" s="65" t="str">
        <f>VLOOKUP(E1493,DATABASE!C:Q,8,false)</f>
        <v>IBU</v>
      </c>
      <c r="P1493" s="65">
        <f>VLOOKUP(E1493,DATABASE!C:Q,9,False)</f>
        <v>1</v>
      </c>
      <c r="Q1493" s="93" t="str">
        <f>VLOOKUP(E1493,DATABASE!C:Q,4,false)</f>
        <v>Bridgestone</v>
      </c>
      <c r="R1493" s="93" t="str">
        <f>VLOOKUP(E1493,DATABASE!C:Q,11,false)</f>
        <v>Tire</v>
      </c>
    </row>
    <row r="1494" ht="22.5" customHeight="1">
      <c r="A1494" s="49"/>
      <c r="C1494" s="384">
        <v>45740.0</v>
      </c>
      <c r="D1494" s="65">
        <v>4873.0</v>
      </c>
      <c r="E1494" s="445" t="s">
        <v>256</v>
      </c>
      <c r="F1494" s="386">
        <v>1.0</v>
      </c>
      <c r="G1494" s="74">
        <v>130000.0</v>
      </c>
      <c r="H1494" s="74">
        <v>0.0</v>
      </c>
      <c r="I1494" s="74">
        <f t="shared" si="1"/>
        <v>130000</v>
      </c>
      <c r="J1494" s="74">
        <f>IF(E1494="SERVICE",I1494-(I1494*50%),Vlookup(E1494,DATABASE!C:Q,10,false)*F1494)</f>
        <v>10000</v>
      </c>
      <c r="K1494" s="74">
        <f>VLOOKUP(E1494,DATABASE!C:Q,7,false)</f>
        <v>0</v>
      </c>
      <c r="L1494" s="74">
        <v>0.0</v>
      </c>
      <c r="M1494" s="74">
        <f t="shared" si="2"/>
        <v>0</v>
      </c>
      <c r="N1494" s="74">
        <f t="shared" si="3"/>
        <v>120000</v>
      </c>
      <c r="O1494" s="65" t="str">
        <f>VLOOKUP(E1494,DATABASE!C:Q,8,false)</f>
        <v>IBU</v>
      </c>
      <c r="P1494" s="65">
        <f>VLOOKUP(E1494,DATABASE!C:Q,9,False)</f>
        <v>0</v>
      </c>
      <c r="Q1494" s="93" t="str">
        <f>VLOOKUP(E1494,DATABASE!C:Q,4,false)</f>
        <v>SPOORING</v>
      </c>
      <c r="R1494" s="93" t="str">
        <f>VLOOKUP(E1494,DATABASE!C:Q,11,false)</f>
        <v>SERVICE</v>
      </c>
    </row>
    <row r="1495" ht="22.5" customHeight="1">
      <c r="A1495" s="49"/>
      <c r="C1495" s="384">
        <v>45740.0</v>
      </c>
      <c r="D1495" s="65">
        <v>4873.0</v>
      </c>
      <c r="E1495" s="445" t="s">
        <v>301</v>
      </c>
      <c r="F1495" s="386">
        <v>1.0</v>
      </c>
      <c r="G1495" s="74">
        <v>250000.0</v>
      </c>
      <c r="H1495" s="74">
        <v>0.0</v>
      </c>
      <c r="I1495" s="74">
        <f t="shared" si="1"/>
        <v>250000</v>
      </c>
      <c r="J1495" s="74">
        <f>IF(E1495="SERVICE",I1495-(I1495*50%),Vlookup(E1495,DATABASE!C:Q,10,false)*F1495)</f>
        <v>75000</v>
      </c>
      <c r="K1495" s="74">
        <f>VLOOKUP(E1495,DATABASE!C:Q,7,false)</f>
        <v>75000</v>
      </c>
      <c r="L1495" s="74">
        <v>75000.0</v>
      </c>
      <c r="M1495" s="74">
        <f t="shared" si="2"/>
        <v>75000</v>
      </c>
      <c r="N1495" s="74">
        <f t="shared" si="3"/>
        <v>100000</v>
      </c>
      <c r="O1495" s="65" t="str">
        <f>VLOOKUP(E1495,DATABASE!C:Q,8,false)</f>
        <v>BIAN</v>
      </c>
      <c r="P1495" s="65">
        <f>VLOOKUP(E1495,DATABASE!C:Q,9,False)</f>
        <v>0</v>
      </c>
      <c r="Q1495" s="93" t="str">
        <f>VLOOKUP(E1495,DATABASE!C:Q,4,false)</f>
        <v>Baut Camber</v>
      </c>
      <c r="R1495" s="93" t="str">
        <f>VLOOKUP(E1495,DATABASE!C:Q,11,false)</f>
        <v>COMPLEMENTARY</v>
      </c>
    </row>
    <row r="1496" ht="22.5" customHeight="1">
      <c r="A1496" s="49"/>
      <c r="C1496" s="384">
        <v>45740.0</v>
      </c>
      <c r="D1496" s="65">
        <v>4874.0</v>
      </c>
      <c r="E1496" s="445" t="s">
        <v>2140</v>
      </c>
      <c r="F1496" s="386">
        <v>2.0</v>
      </c>
      <c r="G1496" s="74">
        <v>35000.0</v>
      </c>
      <c r="H1496" s="74">
        <v>0.0</v>
      </c>
      <c r="I1496" s="74">
        <f t="shared" si="1"/>
        <v>70000</v>
      </c>
      <c r="J1496" s="74">
        <f>IF(E1496="SERVICE",I1496-(I1496*50%),Vlookup(E1496,DATABASE!C:Q,10,false)*F1496)</f>
        <v>0</v>
      </c>
      <c r="K1496" s="74">
        <f>VLOOKUP(E1496,DATABASE!C:Q,7,false)</f>
        <v>5000</v>
      </c>
      <c r="L1496" s="74">
        <v>0.0</v>
      </c>
      <c r="M1496" s="74">
        <f t="shared" si="2"/>
        <v>0</v>
      </c>
      <c r="N1496" s="74">
        <f t="shared" si="3"/>
        <v>70000</v>
      </c>
      <c r="O1496" s="65" t="str">
        <f>VLOOKUP(E1496,DATABASE!C:Q,8,false)</f>
        <v>IBU</v>
      </c>
      <c r="P1496" s="65">
        <f>VLOOKUP(E1496,DATABASE!C:Q,9,False)</f>
        <v>0</v>
      </c>
      <c r="Q1496" s="93" t="str">
        <f>VLOOKUP(E1496,DATABASE!C:Q,4,false)</f>
        <v>PENTIL + PASANG</v>
      </c>
      <c r="R1496" s="93" t="str">
        <f>VLOOKUP(E1496,DATABASE!C:Q,11,false)</f>
        <v>COMPLEMENTARY</v>
      </c>
    </row>
    <row r="1497" ht="22.5" customHeight="1">
      <c r="A1497" s="49"/>
      <c r="C1497" s="384">
        <v>45740.0</v>
      </c>
      <c r="D1497" s="65">
        <v>4875.0</v>
      </c>
      <c r="E1497" s="445" t="s">
        <v>268</v>
      </c>
      <c r="F1497" s="386">
        <v>2.0</v>
      </c>
      <c r="G1497" s="74">
        <v>700000.0</v>
      </c>
      <c r="H1497" s="74">
        <v>0.0</v>
      </c>
      <c r="I1497" s="74">
        <f t="shared" si="1"/>
        <v>1400000</v>
      </c>
      <c r="J1497" s="74">
        <f>IF(E1497="SERVICE",I1497-(I1497*50%),Vlookup(E1497,DATABASE!C:Q,10,false)*F1497)</f>
        <v>0</v>
      </c>
      <c r="K1497" s="74">
        <v>613000.0</v>
      </c>
      <c r="L1497" s="74">
        <v>613000.0</v>
      </c>
      <c r="M1497" s="74">
        <f t="shared" si="2"/>
        <v>615000</v>
      </c>
      <c r="N1497" s="74">
        <f t="shared" si="3"/>
        <v>170000</v>
      </c>
      <c r="O1497" s="65" t="str">
        <f>VLOOKUP(E1497,DATABASE!C:Q,8,false)</f>
        <v>IBU</v>
      </c>
      <c r="P1497" s="65">
        <f>VLOOKUP(E1497,DATABASE!C:Q,9,False)</f>
        <v>1</v>
      </c>
      <c r="Q1497" s="93" t="str">
        <f>VLOOKUP(E1497,DATABASE!C:Q,4,false)</f>
        <v>Dunlop</v>
      </c>
      <c r="R1497" s="93" t="str">
        <f>VLOOKUP(E1497,DATABASE!C:Q,11,false)</f>
        <v>Tire</v>
      </c>
    </row>
    <row r="1498" ht="22.5" customHeight="1">
      <c r="A1498" s="49"/>
      <c r="C1498" s="384">
        <v>45740.0</v>
      </c>
      <c r="D1498" s="65">
        <v>4876.0</v>
      </c>
      <c r="E1498" s="445" t="s">
        <v>256</v>
      </c>
      <c r="F1498" s="386">
        <v>1.0</v>
      </c>
      <c r="G1498" s="74">
        <v>130000.0</v>
      </c>
      <c r="H1498" s="74">
        <v>0.0</v>
      </c>
      <c r="I1498" s="74">
        <f t="shared" si="1"/>
        <v>130000</v>
      </c>
      <c r="J1498" s="74">
        <f>IF(E1498="SERVICE",I1498-(I1498*50%),Vlookup(E1498,DATABASE!C:Q,10,false)*F1498)</f>
        <v>10000</v>
      </c>
      <c r="K1498" s="74">
        <f>VLOOKUP(E1498,DATABASE!C:Q,7,false)</f>
        <v>0</v>
      </c>
      <c r="L1498" s="74">
        <v>0.0</v>
      </c>
      <c r="M1498" s="74">
        <f t="shared" si="2"/>
        <v>0</v>
      </c>
      <c r="N1498" s="74">
        <f t="shared" si="3"/>
        <v>120000</v>
      </c>
      <c r="O1498" s="65" t="str">
        <f>VLOOKUP(E1498,DATABASE!C:Q,8,false)</f>
        <v>IBU</v>
      </c>
      <c r="P1498" s="65">
        <f>VLOOKUP(E1498,DATABASE!C:Q,9,False)</f>
        <v>0</v>
      </c>
      <c r="Q1498" s="93" t="str">
        <f>VLOOKUP(E1498,DATABASE!C:Q,4,false)</f>
        <v>SPOORING</v>
      </c>
      <c r="R1498" s="93" t="str">
        <f>VLOOKUP(E1498,DATABASE!C:Q,11,false)</f>
        <v>SERVICE</v>
      </c>
    </row>
    <row r="1499" ht="22.5" customHeight="1">
      <c r="A1499" s="49"/>
      <c r="C1499" s="384">
        <v>45740.0</v>
      </c>
      <c r="D1499" s="65">
        <v>4876.0</v>
      </c>
      <c r="E1499" s="445" t="s">
        <v>301</v>
      </c>
      <c r="F1499" s="386">
        <v>1.0</v>
      </c>
      <c r="G1499" s="74">
        <v>250000.0</v>
      </c>
      <c r="H1499" s="74">
        <v>0.0</v>
      </c>
      <c r="I1499" s="74">
        <f t="shared" si="1"/>
        <v>250000</v>
      </c>
      <c r="J1499" s="74">
        <f>IF(E1499="SERVICE",I1499-(I1499*50%),Vlookup(E1499,DATABASE!C:Q,10,false)*F1499)</f>
        <v>75000</v>
      </c>
      <c r="K1499" s="74">
        <f>VLOOKUP(E1499,DATABASE!C:Q,7,false)</f>
        <v>75000</v>
      </c>
      <c r="L1499" s="74">
        <v>75000.0</v>
      </c>
      <c r="M1499" s="74">
        <f t="shared" si="2"/>
        <v>75000</v>
      </c>
      <c r="N1499" s="74">
        <f t="shared" si="3"/>
        <v>100000</v>
      </c>
      <c r="O1499" s="65" t="str">
        <f>VLOOKUP(E1499,DATABASE!C:Q,8,false)</f>
        <v>BIAN</v>
      </c>
      <c r="P1499" s="65">
        <f>VLOOKUP(E1499,DATABASE!C:Q,9,False)</f>
        <v>0</v>
      </c>
      <c r="Q1499" s="93" t="str">
        <f>VLOOKUP(E1499,DATABASE!C:Q,4,false)</f>
        <v>Baut Camber</v>
      </c>
      <c r="R1499" s="93" t="str">
        <f>VLOOKUP(E1499,DATABASE!C:Q,11,false)</f>
        <v>COMPLEMENTARY</v>
      </c>
    </row>
    <row r="1500" ht="22.5" customHeight="1">
      <c r="A1500" s="49"/>
      <c r="C1500" s="384">
        <v>45740.0</v>
      </c>
      <c r="D1500" s="65">
        <v>4877.0</v>
      </c>
      <c r="E1500" s="445" t="s">
        <v>250</v>
      </c>
      <c r="F1500" s="386">
        <v>1.0</v>
      </c>
      <c r="G1500" s="74">
        <v>130000.0</v>
      </c>
      <c r="H1500" s="74">
        <v>0.0</v>
      </c>
      <c r="I1500" s="74">
        <f t="shared" si="1"/>
        <v>130000</v>
      </c>
      <c r="J1500" s="74">
        <f>IF(E1500="SERVICE",I1500-(I1500*50%),Vlookup(E1500,DATABASE!C:Q,10,false)*F1500)</f>
        <v>0</v>
      </c>
      <c r="K1500" s="74">
        <f>VLOOKUP(E1500,DATABASE!C:Q,7,false)</f>
        <v>102000</v>
      </c>
      <c r="L1500" s="74">
        <v>102000.0</v>
      </c>
      <c r="M1500" s="74">
        <f t="shared" si="2"/>
        <v>105000</v>
      </c>
      <c r="N1500" s="74">
        <f t="shared" si="3"/>
        <v>25000</v>
      </c>
      <c r="O1500" s="65" t="str">
        <f>VLOOKUP(E1500,DATABASE!C:Q,8,false)</f>
        <v>BIAN</v>
      </c>
      <c r="P1500" s="65">
        <f>VLOOKUP(E1500,DATABASE!C:Q,9,False)</f>
        <v>1</v>
      </c>
      <c r="Q1500" s="93" t="str">
        <f>VLOOKUP(E1500,DATABASE!C:Q,4,false)</f>
        <v>BD</v>
      </c>
      <c r="R1500" s="93" t="str">
        <f>VLOOKUP(E1500,DATABASE!C:Q,11,false)</f>
        <v>Tire</v>
      </c>
    </row>
    <row r="1501" ht="22.5" customHeight="1">
      <c r="A1501" s="49"/>
      <c r="C1501" s="384">
        <v>45740.0</v>
      </c>
      <c r="D1501" s="65">
        <v>4878.0</v>
      </c>
      <c r="E1501" s="445" t="s">
        <v>256</v>
      </c>
      <c r="F1501" s="386">
        <v>1.0</v>
      </c>
      <c r="G1501" s="74">
        <v>130000.0</v>
      </c>
      <c r="H1501" s="74">
        <v>0.0</v>
      </c>
      <c r="I1501" s="74">
        <f t="shared" si="1"/>
        <v>130000</v>
      </c>
      <c r="J1501" s="74">
        <f>IF(E1501="SERVICE",I1501-(I1501*50%),Vlookup(E1501,DATABASE!C:Q,10,false)*F1501)</f>
        <v>10000</v>
      </c>
      <c r="K1501" s="74">
        <f>VLOOKUP(E1501,DATABASE!C:Q,7,false)</f>
        <v>0</v>
      </c>
      <c r="L1501" s="74">
        <v>0.0</v>
      </c>
      <c r="M1501" s="74">
        <f t="shared" si="2"/>
        <v>0</v>
      </c>
      <c r="N1501" s="74">
        <f t="shared" si="3"/>
        <v>120000</v>
      </c>
      <c r="O1501" s="65" t="str">
        <f>VLOOKUP(E1501,DATABASE!C:Q,8,false)</f>
        <v>IBU</v>
      </c>
      <c r="P1501" s="65">
        <f>VLOOKUP(E1501,DATABASE!C:Q,9,False)</f>
        <v>0</v>
      </c>
      <c r="Q1501" s="93" t="str">
        <f>VLOOKUP(E1501,DATABASE!C:Q,4,false)</f>
        <v>SPOORING</v>
      </c>
      <c r="R1501" s="93" t="str">
        <f>VLOOKUP(E1501,DATABASE!C:Q,11,false)</f>
        <v>SERVICE</v>
      </c>
    </row>
    <row r="1502" ht="22.5" customHeight="1">
      <c r="A1502" s="49"/>
      <c r="C1502" s="384">
        <v>45740.0</v>
      </c>
      <c r="D1502" s="65">
        <v>4878.0</v>
      </c>
      <c r="E1502" s="445" t="s">
        <v>301</v>
      </c>
      <c r="F1502" s="386">
        <v>1.0</v>
      </c>
      <c r="G1502" s="74">
        <v>250000.0</v>
      </c>
      <c r="H1502" s="74">
        <v>0.0</v>
      </c>
      <c r="I1502" s="74">
        <f t="shared" si="1"/>
        <v>250000</v>
      </c>
      <c r="J1502" s="74">
        <f>IF(E1502="SERVICE",I1502-(I1502*50%),Vlookup(E1502,DATABASE!C:Q,10,false)*F1502)</f>
        <v>75000</v>
      </c>
      <c r="K1502" s="74">
        <f>VLOOKUP(E1502,DATABASE!C:Q,7,false)</f>
        <v>75000</v>
      </c>
      <c r="L1502" s="74">
        <v>75000.0</v>
      </c>
      <c r="M1502" s="74">
        <f t="shared" si="2"/>
        <v>75000</v>
      </c>
      <c r="N1502" s="74">
        <f t="shared" si="3"/>
        <v>100000</v>
      </c>
      <c r="O1502" s="65" t="str">
        <f>VLOOKUP(E1502,DATABASE!C:Q,8,false)</f>
        <v>BIAN</v>
      </c>
      <c r="P1502" s="65">
        <f>VLOOKUP(E1502,DATABASE!C:Q,9,False)</f>
        <v>0</v>
      </c>
      <c r="Q1502" s="93" t="str">
        <f>VLOOKUP(E1502,DATABASE!C:Q,4,false)</f>
        <v>Baut Camber</v>
      </c>
      <c r="R1502" s="93" t="str">
        <f>VLOOKUP(E1502,DATABASE!C:Q,11,false)</f>
        <v>COMPLEMENTARY</v>
      </c>
    </row>
    <row r="1503" ht="22.5" customHeight="1">
      <c r="A1503" s="49"/>
      <c r="C1503" s="384">
        <v>45740.0</v>
      </c>
      <c r="D1503" s="65">
        <v>4878.0</v>
      </c>
      <c r="E1503" s="445" t="s">
        <v>940</v>
      </c>
      <c r="F1503" s="386">
        <v>1.0</v>
      </c>
      <c r="G1503" s="74">
        <v>820000.0</v>
      </c>
      <c r="H1503" s="74">
        <v>0.0</v>
      </c>
      <c r="I1503" s="74">
        <f t="shared" si="1"/>
        <v>820000</v>
      </c>
      <c r="J1503" s="74">
        <f>IF(E1503="SERVICE",I1503-(I1503*50%),Vlookup(E1503,DATABASE!C:Q,10,false)*F1503)</f>
        <v>0</v>
      </c>
      <c r="K1503" s="74">
        <f>VLOOKUP(E1503,DATABASE!C:Q,7,false)</f>
        <v>716500</v>
      </c>
      <c r="L1503" s="74">
        <v>709000.0</v>
      </c>
      <c r="M1503" s="74">
        <f t="shared" si="2"/>
        <v>710000</v>
      </c>
      <c r="N1503" s="74">
        <f t="shared" si="3"/>
        <v>110000</v>
      </c>
      <c r="O1503" s="65" t="str">
        <f>VLOOKUP(E1503,DATABASE!C:Q,8,false)</f>
        <v>IBU</v>
      </c>
      <c r="P1503" s="65">
        <f>VLOOKUP(E1503,DATABASE!C:Q,9,False)</f>
        <v>1</v>
      </c>
      <c r="Q1503" s="93" t="str">
        <f>VLOOKUP(E1503,DATABASE!C:Q,4,false)</f>
        <v>Dunlop</v>
      </c>
      <c r="R1503" s="93" t="str">
        <f>VLOOKUP(E1503,DATABASE!C:Q,11,false)</f>
        <v>Tire</v>
      </c>
    </row>
    <row r="1504" ht="22.5" customHeight="1">
      <c r="A1504" s="49"/>
      <c r="C1504" s="384">
        <v>45740.0</v>
      </c>
      <c r="D1504" s="65">
        <v>4879.0</v>
      </c>
      <c r="E1504" s="445" t="s">
        <v>275</v>
      </c>
      <c r="F1504" s="386">
        <v>2.0</v>
      </c>
      <c r="G1504" s="74">
        <v>820000.0</v>
      </c>
      <c r="H1504" s="74">
        <v>0.0</v>
      </c>
      <c r="I1504" s="74">
        <f t="shared" si="1"/>
        <v>1640000</v>
      </c>
      <c r="J1504" s="74">
        <f>IF(E1504="SERVICE",I1504-(I1504*50%),Vlookup(E1504,DATABASE!C:Q,10,false)*F1504)</f>
        <v>0</v>
      </c>
      <c r="K1504" s="74">
        <v>735000.0</v>
      </c>
      <c r="L1504" s="74">
        <v>735000.0</v>
      </c>
      <c r="M1504" s="74">
        <f t="shared" si="2"/>
        <v>735000</v>
      </c>
      <c r="N1504" s="74">
        <f t="shared" si="3"/>
        <v>170000</v>
      </c>
      <c r="O1504" s="65" t="str">
        <f>VLOOKUP(E1504,DATABASE!C:Q,8,false)</f>
        <v>IBU</v>
      </c>
      <c r="P1504" s="65">
        <f>VLOOKUP(E1504,DATABASE!C:Q,9,False)</f>
        <v>1</v>
      </c>
      <c r="Q1504" s="93" t="str">
        <f>VLOOKUP(E1504,DATABASE!C:Q,4,false)</f>
        <v>Dunlop</v>
      </c>
      <c r="R1504" s="93" t="str">
        <f>VLOOKUP(E1504,DATABASE!C:Q,11,false)</f>
        <v>Tire</v>
      </c>
    </row>
    <row r="1505" ht="22.5" customHeight="1">
      <c r="A1505" s="49"/>
      <c r="C1505" s="384">
        <v>45740.0</v>
      </c>
      <c r="D1505" s="65">
        <v>4880.0</v>
      </c>
      <c r="E1505" s="445" t="s">
        <v>256</v>
      </c>
      <c r="F1505" s="386">
        <v>1.0</v>
      </c>
      <c r="G1505" s="74">
        <v>130000.0</v>
      </c>
      <c r="H1505" s="74">
        <v>0.0</v>
      </c>
      <c r="I1505" s="74">
        <f t="shared" si="1"/>
        <v>130000</v>
      </c>
      <c r="J1505" s="74">
        <f>IF(E1505="SERVICE",I1505-(I1505*50%),Vlookup(E1505,DATABASE!C:Q,10,false)*F1505)</f>
        <v>10000</v>
      </c>
      <c r="K1505" s="74">
        <f>VLOOKUP(E1505,DATABASE!C:Q,7,false)</f>
        <v>0</v>
      </c>
      <c r="L1505" s="74">
        <v>0.0</v>
      </c>
      <c r="M1505" s="74">
        <f t="shared" si="2"/>
        <v>0</v>
      </c>
      <c r="N1505" s="74">
        <f t="shared" si="3"/>
        <v>120000</v>
      </c>
      <c r="O1505" s="65" t="str">
        <f>VLOOKUP(E1505,DATABASE!C:Q,8,false)</f>
        <v>IBU</v>
      </c>
      <c r="P1505" s="65">
        <f>VLOOKUP(E1505,DATABASE!C:Q,9,False)</f>
        <v>0</v>
      </c>
      <c r="Q1505" s="93" t="str">
        <f>VLOOKUP(E1505,DATABASE!C:Q,4,false)</f>
        <v>SPOORING</v>
      </c>
      <c r="R1505" s="93" t="str">
        <f>VLOOKUP(E1505,DATABASE!C:Q,11,false)</f>
        <v>SERVICE</v>
      </c>
    </row>
    <row r="1506" ht="22.5" customHeight="1">
      <c r="A1506" s="49"/>
      <c r="C1506" s="384">
        <v>45740.0</v>
      </c>
      <c r="D1506" s="65">
        <v>4880.0</v>
      </c>
      <c r="E1506" s="385" t="s">
        <v>299</v>
      </c>
      <c r="F1506" s="386">
        <v>2.0</v>
      </c>
      <c r="G1506" s="74">
        <v>30000.0</v>
      </c>
      <c r="H1506" s="74">
        <v>0.0</v>
      </c>
      <c r="I1506" s="74">
        <f t="shared" si="1"/>
        <v>60000</v>
      </c>
      <c r="J1506" s="74">
        <f>IF(E1506="SERVICE",I1506-(I1506*50%),Vlookup(E1506,DATABASE!C:Q,10,false)*F1506)</f>
        <v>0</v>
      </c>
      <c r="K1506" s="74">
        <v>0.0</v>
      </c>
      <c r="L1506" s="74">
        <v>0.0</v>
      </c>
      <c r="M1506" s="74">
        <f t="shared" si="2"/>
        <v>0</v>
      </c>
      <c r="N1506" s="74">
        <f t="shared" si="3"/>
        <v>60000</v>
      </c>
      <c r="O1506" s="65" t="str">
        <f>VLOOKUP(E1506,DATABASE!C:Q,8,false)</f>
        <v>BIAN</v>
      </c>
      <c r="P1506" s="65">
        <f>VLOOKUP(E1506,DATABASE!C:Q,9,False)</f>
        <v>0</v>
      </c>
      <c r="Q1506" s="93" t="str">
        <f>VLOOKUP(E1506,DATABASE!C:Q,4,false)</f>
        <v>Balancing</v>
      </c>
      <c r="R1506" s="93" t="str">
        <f>VLOOKUP(E1506,DATABASE!C:Q,11,false)</f>
        <v>COMPLEMENTARY</v>
      </c>
    </row>
    <row r="1507" ht="22.5" customHeight="1">
      <c r="A1507" s="49"/>
      <c r="C1507" s="384">
        <v>45740.0</v>
      </c>
      <c r="D1507" s="65">
        <v>4880.0</v>
      </c>
      <c r="E1507" s="445" t="s">
        <v>301</v>
      </c>
      <c r="F1507" s="386">
        <v>1.0</v>
      </c>
      <c r="G1507" s="74">
        <v>250000.0</v>
      </c>
      <c r="H1507" s="74">
        <v>0.0</v>
      </c>
      <c r="I1507" s="74">
        <f t="shared" si="1"/>
        <v>250000</v>
      </c>
      <c r="J1507" s="74">
        <f>IF(E1507="SERVICE",I1507-(I1507*50%),Vlookup(E1507,DATABASE!C:Q,10,false)*F1507)</f>
        <v>75000</v>
      </c>
      <c r="K1507" s="74">
        <f>VLOOKUP(E1507,DATABASE!C:Q,7,false)</f>
        <v>75000</v>
      </c>
      <c r="L1507" s="74">
        <v>75000.0</v>
      </c>
      <c r="M1507" s="74">
        <f t="shared" si="2"/>
        <v>75000</v>
      </c>
      <c r="N1507" s="74">
        <f t="shared" si="3"/>
        <v>100000</v>
      </c>
      <c r="O1507" s="65" t="str">
        <f>VLOOKUP(E1507,DATABASE!C:Q,8,false)</f>
        <v>BIAN</v>
      </c>
      <c r="P1507" s="65">
        <f>VLOOKUP(E1507,DATABASE!C:Q,9,False)</f>
        <v>0</v>
      </c>
      <c r="Q1507" s="93" t="str">
        <f>VLOOKUP(E1507,DATABASE!C:Q,4,false)</f>
        <v>Baut Camber</v>
      </c>
      <c r="R1507" s="93" t="str">
        <f>VLOOKUP(E1507,DATABASE!C:Q,11,false)</f>
        <v>COMPLEMENTARY</v>
      </c>
    </row>
    <row r="1508" ht="22.5" customHeight="1">
      <c r="A1508" s="49"/>
      <c r="C1508" s="384">
        <v>45740.0</v>
      </c>
      <c r="D1508" s="65">
        <v>4882.0</v>
      </c>
      <c r="E1508" s="445" t="s">
        <v>268</v>
      </c>
      <c r="F1508" s="386">
        <v>2.0</v>
      </c>
      <c r="G1508" s="74">
        <v>700000.0</v>
      </c>
      <c r="H1508" s="74">
        <v>0.0</v>
      </c>
      <c r="I1508" s="74">
        <f t="shared" si="1"/>
        <v>1400000</v>
      </c>
      <c r="J1508" s="74">
        <f>IF(E1508="SERVICE",I1508-(I1508*50%),Vlookup(E1508,DATABASE!C:Q,10,false)*F1508)</f>
        <v>0</v>
      </c>
      <c r="K1508" s="74">
        <v>613000.0</v>
      </c>
      <c r="L1508" s="74">
        <v>613000.0</v>
      </c>
      <c r="M1508" s="74">
        <f t="shared" si="2"/>
        <v>615000</v>
      </c>
      <c r="N1508" s="74">
        <f t="shared" si="3"/>
        <v>170000</v>
      </c>
      <c r="O1508" s="65" t="str">
        <f>VLOOKUP(E1508,DATABASE!C:Q,8,false)</f>
        <v>IBU</v>
      </c>
      <c r="P1508" s="65">
        <f>VLOOKUP(E1508,DATABASE!C:Q,9,False)</f>
        <v>1</v>
      </c>
      <c r="Q1508" s="93" t="str">
        <f>VLOOKUP(E1508,DATABASE!C:Q,4,false)</f>
        <v>Dunlop</v>
      </c>
      <c r="R1508" s="93" t="str">
        <f>VLOOKUP(E1508,DATABASE!C:Q,11,false)</f>
        <v>Tire</v>
      </c>
    </row>
    <row r="1509" ht="22.5" customHeight="1">
      <c r="A1509" s="49"/>
      <c r="C1509" s="384">
        <v>45740.0</v>
      </c>
      <c r="D1509" s="65">
        <v>4882.0</v>
      </c>
      <c r="E1509" s="385" t="s">
        <v>299</v>
      </c>
      <c r="F1509" s="386">
        <v>2.0</v>
      </c>
      <c r="G1509" s="74">
        <v>30000.0</v>
      </c>
      <c r="H1509" s="74">
        <v>0.0</v>
      </c>
      <c r="I1509" s="74">
        <f t="shared" si="1"/>
        <v>60000</v>
      </c>
      <c r="J1509" s="74">
        <f>IF(E1509="SERVICE",I1509-(I1509*50%),Vlookup(E1509,DATABASE!C:Q,10,false)*F1509)</f>
        <v>0</v>
      </c>
      <c r="K1509" s="74">
        <v>0.0</v>
      </c>
      <c r="L1509" s="74">
        <v>0.0</v>
      </c>
      <c r="M1509" s="74">
        <f t="shared" si="2"/>
        <v>0</v>
      </c>
      <c r="N1509" s="74">
        <f t="shared" si="3"/>
        <v>60000</v>
      </c>
      <c r="O1509" s="65" t="str">
        <f>VLOOKUP(E1509,DATABASE!C:Q,8,false)</f>
        <v>BIAN</v>
      </c>
      <c r="P1509" s="65">
        <f>VLOOKUP(E1509,DATABASE!C:Q,9,False)</f>
        <v>0</v>
      </c>
      <c r="Q1509" s="93" t="str">
        <f>VLOOKUP(E1509,DATABASE!C:Q,4,false)</f>
        <v>Balancing</v>
      </c>
      <c r="R1509" s="93" t="str">
        <f>VLOOKUP(E1509,DATABASE!C:Q,11,false)</f>
        <v>COMPLEMENTARY</v>
      </c>
    </row>
    <row r="1510" ht="22.5" customHeight="1">
      <c r="A1510" s="49"/>
      <c r="C1510" s="384">
        <v>45741.0</v>
      </c>
      <c r="D1510" s="65">
        <v>4881.0</v>
      </c>
      <c r="E1510" s="445" t="s">
        <v>256</v>
      </c>
      <c r="F1510" s="386">
        <v>1.0</v>
      </c>
      <c r="G1510" s="74">
        <v>130000.0</v>
      </c>
      <c r="H1510" s="74">
        <v>0.0</v>
      </c>
      <c r="I1510" s="74">
        <f t="shared" si="1"/>
        <v>130000</v>
      </c>
      <c r="J1510" s="74">
        <f>IF(E1510="SERVICE",I1510-(I1510*50%),Vlookup(E1510,DATABASE!C:Q,10,false)*F1510)</f>
        <v>10000</v>
      </c>
      <c r="K1510" s="74">
        <f>VLOOKUP(E1510,DATABASE!C:Q,7,false)</f>
        <v>0</v>
      </c>
      <c r="L1510" s="74">
        <v>0.0</v>
      </c>
      <c r="M1510" s="74">
        <f t="shared" si="2"/>
        <v>0</v>
      </c>
      <c r="N1510" s="74">
        <f t="shared" si="3"/>
        <v>120000</v>
      </c>
      <c r="O1510" s="65" t="str">
        <f>VLOOKUP(E1510,DATABASE!C:Q,8,false)</f>
        <v>IBU</v>
      </c>
      <c r="P1510" s="65">
        <f>VLOOKUP(E1510,DATABASE!C:Q,9,False)</f>
        <v>0</v>
      </c>
      <c r="Q1510" s="93" t="str">
        <f>VLOOKUP(E1510,DATABASE!C:Q,4,false)</f>
        <v>SPOORING</v>
      </c>
      <c r="R1510" s="93" t="str">
        <f>VLOOKUP(E1510,DATABASE!C:Q,11,false)</f>
        <v>SERVICE</v>
      </c>
    </row>
    <row r="1511" ht="22.5" customHeight="1">
      <c r="A1511" s="49"/>
      <c r="C1511" s="384">
        <v>45741.0</v>
      </c>
      <c r="D1511" s="65">
        <v>4883.0</v>
      </c>
      <c r="E1511" s="445" t="s">
        <v>268</v>
      </c>
      <c r="F1511" s="386">
        <v>2.0</v>
      </c>
      <c r="G1511" s="74">
        <v>690000.0</v>
      </c>
      <c r="H1511" s="74">
        <v>0.0</v>
      </c>
      <c r="I1511" s="74">
        <f t="shared" si="1"/>
        <v>1380000</v>
      </c>
      <c r="J1511" s="74">
        <f>IF(E1511="SERVICE",I1511-(I1511*50%),Vlookup(E1511,DATABASE!C:Q,10,false)*F1511)</f>
        <v>0</v>
      </c>
      <c r="K1511" s="74">
        <v>613000.0</v>
      </c>
      <c r="L1511" s="74">
        <v>613000.0</v>
      </c>
      <c r="M1511" s="74">
        <f t="shared" si="2"/>
        <v>615000</v>
      </c>
      <c r="N1511" s="74">
        <f t="shared" si="3"/>
        <v>150000</v>
      </c>
      <c r="O1511" s="65" t="str">
        <f>VLOOKUP(E1511,DATABASE!C:Q,8,false)</f>
        <v>IBU</v>
      </c>
      <c r="P1511" s="65">
        <f>VLOOKUP(E1511,DATABASE!C:Q,9,False)</f>
        <v>1</v>
      </c>
      <c r="Q1511" s="93" t="str">
        <f>VLOOKUP(E1511,DATABASE!C:Q,4,false)</f>
        <v>Dunlop</v>
      </c>
      <c r="R1511" s="93" t="str">
        <f>VLOOKUP(E1511,DATABASE!C:Q,11,false)</f>
        <v>Tire</v>
      </c>
    </row>
    <row r="1512" ht="22.5" customHeight="1">
      <c r="A1512" s="49"/>
      <c r="C1512" s="384">
        <v>45741.0</v>
      </c>
      <c r="D1512" s="65">
        <v>4885.0</v>
      </c>
      <c r="E1512" s="445" t="s">
        <v>1389</v>
      </c>
      <c r="F1512" s="386">
        <v>1.0</v>
      </c>
      <c r="G1512" s="74">
        <v>980000.0</v>
      </c>
      <c r="H1512" s="74">
        <v>0.0</v>
      </c>
      <c r="I1512" s="74">
        <f t="shared" si="1"/>
        <v>980000</v>
      </c>
      <c r="J1512" s="74">
        <f>IF(E1512="SERVICE",I1512-(I1512*50%),Vlookup(E1512,DATABASE!C:Q,10,false)*F1512)</f>
        <v>0</v>
      </c>
      <c r="K1512" s="74">
        <f>VLOOKUP(E1512,DATABASE!C:Q,7,false)</f>
        <v>908000</v>
      </c>
      <c r="L1512" s="74">
        <v>897000.0</v>
      </c>
      <c r="M1512" s="74">
        <f t="shared" si="2"/>
        <v>900000</v>
      </c>
      <c r="N1512" s="74">
        <f t="shared" si="3"/>
        <v>80000</v>
      </c>
      <c r="O1512" s="65" t="str">
        <f>VLOOKUP(E1512,DATABASE!C:Q,8,false)</f>
        <v>IBU</v>
      </c>
      <c r="P1512" s="65">
        <f>VLOOKUP(E1512,DATABASE!C:Q,9,False)</f>
        <v>1</v>
      </c>
      <c r="Q1512" s="93" t="str">
        <f>VLOOKUP(E1512,DATABASE!C:Q,4,false)</f>
        <v>Dunlop</v>
      </c>
      <c r="R1512" s="93" t="str">
        <f>VLOOKUP(E1512,DATABASE!C:Q,11,false)</f>
        <v>Tire</v>
      </c>
    </row>
    <row r="1513" ht="22.5" customHeight="1">
      <c r="A1513" s="49"/>
      <c r="C1513" s="384">
        <v>45741.0</v>
      </c>
      <c r="D1513" s="65">
        <v>4885.0</v>
      </c>
      <c r="E1513" s="445" t="s">
        <v>2135</v>
      </c>
      <c r="F1513" s="386">
        <v>1.0</v>
      </c>
      <c r="G1513" s="74">
        <v>150000.0</v>
      </c>
      <c r="H1513" s="74">
        <v>0.0</v>
      </c>
      <c r="I1513" s="74">
        <f t="shared" si="1"/>
        <v>150000</v>
      </c>
      <c r="J1513" s="74">
        <f>IF(E1513="SERVICE",I1513-(I1513*50%),Vlookup(E1513,DATABASE!C:Q,10,false)*F1513)</f>
        <v>0</v>
      </c>
      <c r="K1513" s="74">
        <f>VLOOKUP(E1513,DATABASE!C:Q,7,false)</f>
        <v>0</v>
      </c>
      <c r="L1513" s="74">
        <v>0.0</v>
      </c>
      <c r="M1513" s="74">
        <f t="shared" si="2"/>
        <v>0</v>
      </c>
      <c r="N1513" s="74">
        <f t="shared" si="3"/>
        <v>150000</v>
      </c>
      <c r="O1513" s="65" t="str">
        <f>VLOOKUP(E1513,DATABASE!C:Q,8,false)</f>
        <v>IBU</v>
      </c>
      <c r="P1513" s="65">
        <f>VLOOKUP(E1513,DATABASE!C:Q,9,False)</f>
        <v>0</v>
      </c>
      <c r="Q1513" s="93" t="str">
        <f>VLOOKUP(E1513,DATABASE!C:Q,4,false)</f>
        <v>NITROGEN</v>
      </c>
      <c r="R1513" s="93" t="str">
        <f>VLOOKUP(E1513,DATABASE!C:Q,11,false)</f>
        <v>COMPLEMENTARY</v>
      </c>
    </row>
    <row r="1514" ht="22.5" customHeight="1">
      <c r="A1514" s="49"/>
      <c r="C1514" s="384">
        <v>45741.0</v>
      </c>
      <c r="D1514" s="65">
        <v>4886.0</v>
      </c>
      <c r="E1514" s="445" t="s">
        <v>1175</v>
      </c>
      <c r="F1514" s="386">
        <v>1.0</v>
      </c>
      <c r="G1514" s="74">
        <v>920000.0</v>
      </c>
      <c r="H1514" s="74">
        <v>0.0</v>
      </c>
      <c r="I1514" s="74">
        <f t="shared" si="1"/>
        <v>920000</v>
      </c>
      <c r="J1514" s="74">
        <f>IF(E1514="SERVICE",I1514-(I1514*50%),Vlookup(E1514,DATABASE!C:Q,10,false)*F1514)</f>
        <v>0</v>
      </c>
      <c r="K1514" s="74">
        <f>VLOOKUP(E1514,DATABASE!C:Q,7,false)</f>
        <v>889369.5</v>
      </c>
      <c r="L1514" s="74">
        <v>846720.0</v>
      </c>
      <c r="M1514" s="74">
        <f t="shared" si="2"/>
        <v>850000</v>
      </c>
      <c r="N1514" s="74">
        <f t="shared" si="3"/>
        <v>70000</v>
      </c>
      <c r="O1514" s="65" t="str">
        <f>VLOOKUP(E1514,DATABASE!C:Q,8,false)</f>
        <v>IBU</v>
      </c>
      <c r="P1514" s="65">
        <f>VLOOKUP(E1514,DATABASE!C:Q,9,False)</f>
        <v>1</v>
      </c>
      <c r="Q1514" s="93" t="str">
        <f>VLOOKUP(E1514,DATABASE!C:Q,4,false)</f>
        <v>Bridgestone</v>
      </c>
      <c r="R1514" s="93" t="str">
        <f>VLOOKUP(E1514,DATABASE!C:Q,11,false)</f>
        <v>Tire</v>
      </c>
    </row>
    <row r="1515" ht="22.5" customHeight="1">
      <c r="A1515" s="49"/>
      <c r="C1515" s="384">
        <v>45741.0</v>
      </c>
      <c r="D1515" s="65">
        <v>4886.0</v>
      </c>
      <c r="E1515" s="445" t="s">
        <v>256</v>
      </c>
      <c r="F1515" s="386">
        <v>1.0</v>
      </c>
      <c r="G1515" s="74">
        <v>130000.0</v>
      </c>
      <c r="H1515" s="74">
        <v>0.0</v>
      </c>
      <c r="I1515" s="74">
        <f t="shared" si="1"/>
        <v>130000</v>
      </c>
      <c r="J1515" s="74">
        <f>IF(E1515="SERVICE",I1515-(I1515*50%),Vlookup(E1515,DATABASE!C:Q,10,false)*F1515)</f>
        <v>10000</v>
      </c>
      <c r="K1515" s="74">
        <f>VLOOKUP(E1515,DATABASE!C:Q,7,false)</f>
        <v>0</v>
      </c>
      <c r="L1515" s="74">
        <v>0.0</v>
      </c>
      <c r="M1515" s="74">
        <f t="shared" si="2"/>
        <v>0</v>
      </c>
      <c r="N1515" s="74">
        <f t="shared" si="3"/>
        <v>120000</v>
      </c>
      <c r="O1515" s="65" t="str">
        <f>VLOOKUP(E1515,DATABASE!C:Q,8,false)</f>
        <v>IBU</v>
      </c>
      <c r="P1515" s="65">
        <f>VLOOKUP(E1515,DATABASE!C:Q,9,False)</f>
        <v>0</v>
      </c>
      <c r="Q1515" s="93" t="str">
        <f>VLOOKUP(E1515,DATABASE!C:Q,4,false)</f>
        <v>SPOORING</v>
      </c>
      <c r="R1515" s="93" t="str">
        <f>VLOOKUP(E1515,DATABASE!C:Q,11,false)</f>
        <v>SERVICE</v>
      </c>
    </row>
    <row r="1516" ht="22.5" customHeight="1">
      <c r="A1516" s="49"/>
      <c r="C1516" s="384">
        <v>45741.0</v>
      </c>
      <c r="D1516" s="65">
        <v>4886.0</v>
      </c>
      <c r="E1516" s="445" t="s">
        <v>301</v>
      </c>
      <c r="F1516" s="386">
        <v>1.0</v>
      </c>
      <c r="G1516" s="74">
        <v>250000.0</v>
      </c>
      <c r="H1516" s="74">
        <v>0.0</v>
      </c>
      <c r="I1516" s="74">
        <f t="shared" si="1"/>
        <v>250000</v>
      </c>
      <c r="J1516" s="74">
        <f>IF(E1516="SERVICE",I1516-(I1516*50%),Vlookup(E1516,DATABASE!C:Q,10,false)*F1516)</f>
        <v>75000</v>
      </c>
      <c r="K1516" s="74">
        <f>VLOOKUP(E1516,DATABASE!C:Q,7,false)</f>
        <v>75000</v>
      </c>
      <c r="L1516" s="74">
        <v>75000.0</v>
      </c>
      <c r="M1516" s="74">
        <f t="shared" si="2"/>
        <v>75000</v>
      </c>
      <c r="N1516" s="74">
        <f t="shared" si="3"/>
        <v>100000</v>
      </c>
      <c r="O1516" s="65" t="str">
        <f>VLOOKUP(E1516,DATABASE!C:Q,8,false)</f>
        <v>BIAN</v>
      </c>
      <c r="P1516" s="65">
        <f>VLOOKUP(E1516,DATABASE!C:Q,9,False)</f>
        <v>0</v>
      </c>
      <c r="Q1516" s="93" t="str">
        <f>VLOOKUP(E1516,DATABASE!C:Q,4,false)</f>
        <v>Baut Camber</v>
      </c>
      <c r="R1516" s="93" t="str">
        <f>VLOOKUP(E1516,DATABASE!C:Q,11,false)</f>
        <v>COMPLEMENTARY</v>
      </c>
    </row>
    <row r="1517" ht="22.5" customHeight="1">
      <c r="A1517" s="49"/>
      <c r="C1517" s="384">
        <v>45741.0</v>
      </c>
      <c r="D1517" s="65">
        <v>4887.0</v>
      </c>
      <c r="E1517" s="445" t="s">
        <v>1301</v>
      </c>
      <c r="F1517" s="386">
        <v>2.0</v>
      </c>
      <c r="G1517" s="74">
        <v>1270000.0</v>
      </c>
      <c r="H1517" s="74">
        <v>0.0</v>
      </c>
      <c r="I1517" s="74">
        <f t="shared" si="1"/>
        <v>2540000</v>
      </c>
      <c r="J1517" s="74">
        <f>IF(E1517="SERVICE",I1517-(I1517*50%),Vlookup(E1517,DATABASE!C:Q,10,false)*F1517)</f>
        <v>0</v>
      </c>
      <c r="K1517" s="74">
        <f>VLOOKUP(E1517,DATABASE!C:Q,7,false)</f>
        <v>1194000</v>
      </c>
      <c r="L1517" s="74">
        <v>1182000.0</v>
      </c>
      <c r="M1517" s="74">
        <f t="shared" si="2"/>
        <v>1185000</v>
      </c>
      <c r="N1517" s="74">
        <f t="shared" si="3"/>
        <v>170000</v>
      </c>
      <c r="O1517" s="65" t="str">
        <f>VLOOKUP(E1517,DATABASE!C:Q,8,false)</f>
        <v>IBU</v>
      </c>
      <c r="P1517" s="65">
        <f>VLOOKUP(E1517,DATABASE!C:Q,9,False)</f>
        <v>1</v>
      </c>
      <c r="Q1517" s="93" t="str">
        <f>VLOOKUP(E1517,DATABASE!C:Q,4,false)</f>
        <v>Dunlop</v>
      </c>
      <c r="R1517" s="93" t="str">
        <f>VLOOKUP(E1517,DATABASE!C:Q,11,false)</f>
        <v>Tire</v>
      </c>
    </row>
    <row r="1518" ht="22.5" customHeight="1">
      <c r="A1518" s="49"/>
      <c r="C1518" s="384">
        <v>45741.0</v>
      </c>
      <c r="D1518" s="65">
        <v>4887.0</v>
      </c>
      <c r="E1518" s="385" t="s">
        <v>299</v>
      </c>
      <c r="F1518" s="386">
        <v>2.0</v>
      </c>
      <c r="G1518" s="74">
        <v>30000.0</v>
      </c>
      <c r="H1518" s="74">
        <v>0.0</v>
      </c>
      <c r="I1518" s="74">
        <f t="shared" si="1"/>
        <v>60000</v>
      </c>
      <c r="J1518" s="74">
        <f>IF(E1518="SERVICE",I1518-(I1518*50%),Vlookup(E1518,DATABASE!C:Q,10,false)*F1518)</f>
        <v>0</v>
      </c>
      <c r="K1518" s="74">
        <v>0.0</v>
      </c>
      <c r="L1518" s="74">
        <v>0.0</v>
      </c>
      <c r="M1518" s="74">
        <f t="shared" si="2"/>
        <v>0</v>
      </c>
      <c r="N1518" s="74">
        <f t="shared" si="3"/>
        <v>60000</v>
      </c>
      <c r="O1518" s="65" t="str">
        <f>VLOOKUP(E1518,DATABASE!C:Q,8,false)</f>
        <v>BIAN</v>
      </c>
      <c r="P1518" s="65">
        <f>VLOOKUP(E1518,DATABASE!C:Q,9,False)</f>
        <v>0</v>
      </c>
      <c r="Q1518" s="93" t="str">
        <f>VLOOKUP(E1518,DATABASE!C:Q,4,false)</f>
        <v>Balancing</v>
      </c>
      <c r="R1518" s="93" t="str">
        <f>VLOOKUP(E1518,DATABASE!C:Q,11,false)</f>
        <v>COMPLEMENTARY</v>
      </c>
    </row>
    <row r="1519" ht="22.5" customHeight="1">
      <c r="A1519" s="49"/>
      <c r="C1519" s="384">
        <v>45741.0</v>
      </c>
      <c r="D1519" s="65">
        <v>4888.0</v>
      </c>
      <c r="E1519" s="445" t="s">
        <v>268</v>
      </c>
      <c r="F1519" s="386">
        <v>1.0</v>
      </c>
      <c r="G1519" s="74">
        <v>700000.0</v>
      </c>
      <c r="H1519" s="74">
        <v>0.0</v>
      </c>
      <c r="I1519" s="74">
        <f t="shared" si="1"/>
        <v>700000</v>
      </c>
      <c r="J1519" s="74">
        <f>IF(E1519="SERVICE",I1519-(I1519*50%),Vlookup(E1519,DATABASE!C:Q,10,false)*F1519)</f>
        <v>0</v>
      </c>
      <c r="K1519" s="74">
        <v>613000.0</v>
      </c>
      <c r="L1519" s="74">
        <v>613000.0</v>
      </c>
      <c r="M1519" s="74">
        <f t="shared" si="2"/>
        <v>615000</v>
      </c>
      <c r="N1519" s="74">
        <f t="shared" si="3"/>
        <v>85000</v>
      </c>
      <c r="O1519" s="65" t="str">
        <f>VLOOKUP(E1519,DATABASE!C:Q,8,false)</f>
        <v>IBU</v>
      </c>
      <c r="P1519" s="65">
        <f>VLOOKUP(E1519,DATABASE!C:Q,9,False)</f>
        <v>1</v>
      </c>
      <c r="Q1519" s="93" t="str">
        <f>VLOOKUP(E1519,DATABASE!C:Q,4,false)</f>
        <v>Dunlop</v>
      </c>
      <c r="R1519" s="93" t="str">
        <f>VLOOKUP(E1519,DATABASE!C:Q,11,false)</f>
        <v>Tire</v>
      </c>
    </row>
    <row r="1520" ht="22.5" customHeight="1">
      <c r="A1520" s="49"/>
      <c r="C1520" s="384">
        <v>45741.0</v>
      </c>
      <c r="D1520" s="65">
        <v>4889.0</v>
      </c>
      <c r="E1520" s="445" t="s">
        <v>1237</v>
      </c>
      <c r="F1520" s="386">
        <v>2.0</v>
      </c>
      <c r="G1520" s="74">
        <v>1220000.0</v>
      </c>
      <c r="H1520" s="74">
        <v>0.0</v>
      </c>
      <c r="I1520" s="74">
        <f t="shared" si="1"/>
        <v>2440000</v>
      </c>
      <c r="J1520" s="74">
        <f>IF(E1520="SERVICE",I1520-(I1520*50%),Vlookup(E1520,DATABASE!C:Q,10,false)*F1520)</f>
        <v>0</v>
      </c>
      <c r="K1520" s="74">
        <f>VLOOKUP(E1520,DATABASE!C:Q,7,false)</f>
        <v>1170353.16</v>
      </c>
      <c r="L1520" s="74">
        <v>1113907.2</v>
      </c>
      <c r="M1520" s="74">
        <f t="shared" si="2"/>
        <v>1115000</v>
      </c>
      <c r="N1520" s="74">
        <f t="shared" si="3"/>
        <v>210000</v>
      </c>
      <c r="O1520" s="65" t="str">
        <f>VLOOKUP(E1520,DATABASE!C:Q,8,false)</f>
        <v>IBU</v>
      </c>
      <c r="P1520" s="65">
        <f>VLOOKUP(E1520,DATABASE!C:Q,9,False)</f>
        <v>1</v>
      </c>
      <c r="Q1520" s="93" t="str">
        <f>VLOOKUP(E1520,DATABASE!C:Q,4,false)</f>
        <v>Bridgestone</v>
      </c>
      <c r="R1520" s="93" t="str">
        <f>VLOOKUP(E1520,DATABASE!C:Q,11,false)</f>
        <v>Tire</v>
      </c>
    </row>
    <row r="1521" ht="22.5" customHeight="1">
      <c r="A1521" s="49"/>
      <c r="C1521" s="384">
        <v>45741.0</v>
      </c>
      <c r="D1521" s="65">
        <v>4890.0</v>
      </c>
      <c r="E1521" s="445" t="s">
        <v>290</v>
      </c>
      <c r="F1521" s="386">
        <v>2.0</v>
      </c>
      <c r="G1521" s="74">
        <v>720000.0</v>
      </c>
      <c r="H1521" s="74">
        <v>0.0</v>
      </c>
      <c r="I1521" s="74">
        <f t="shared" si="1"/>
        <v>1440000</v>
      </c>
      <c r="J1521" s="74">
        <f>IF(E1521="SERVICE",I1521-(I1521*50%),Vlookup(E1521,DATABASE!C:Q,10,false)*F1521)</f>
        <v>0</v>
      </c>
      <c r="K1521" s="74">
        <f>VLOOKUP(E1521,DATABASE!C:Q,7,false)</f>
        <v>628100</v>
      </c>
      <c r="L1521" s="74">
        <v>609804.0</v>
      </c>
      <c r="M1521" s="74">
        <f t="shared" si="2"/>
        <v>610000</v>
      </c>
      <c r="N1521" s="74">
        <f t="shared" si="3"/>
        <v>220000</v>
      </c>
      <c r="O1521" s="65" t="str">
        <f>VLOOKUP(E1521,DATABASE!C:Q,8,false)</f>
        <v>BIAN</v>
      </c>
      <c r="P1521" s="65">
        <f>VLOOKUP(E1521,DATABASE!C:Q,9,False)</f>
        <v>1</v>
      </c>
      <c r="Q1521" s="93" t="str">
        <f>VLOOKUP(E1521,DATABASE!C:Q,4,false)</f>
        <v>GT</v>
      </c>
      <c r="R1521" s="93" t="str">
        <f>VLOOKUP(E1521,DATABASE!C:Q,11,false)</f>
        <v>Tire</v>
      </c>
    </row>
    <row r="1522" ht="22.5" customHeight="1">
      <c r="A1522" s="49"/>
      <c r="C1522" s="384">
        <v>45741.0</v>
      </c>
      <c r="D1522" s="65">
        <v>4890.0</v>
      </c>
      <c r="E1522" s="385" t="s">
        <v>299</v>
      </c>
      <c r="F1522" s="386">
        <v>2.0</v>
      </c>
      <c r="G1522" s="74">
        <v>30000.0</v>
      </c>
      <c r="H1522" s="74">
        <v>0.0</v>
      </c>
      <c r="I1522" s="74">
        <f t="shared" si="1"/>
        <v>60000</v>
      </c>
      <c r="J1522" s="74">
        <f>IF(E1522="SERVICE",I1522-(I1522*50%),Vlookup(E1522,DATABASE!C:Q,10,false)*F1522)</f>
        <v>0</v>
      </c>
      <c r="K1522" s="74">
        <v>0.0</v>
      </c>
      <c r="L1522" s="74">
        <v>0.0</v>
      </c>
      <c r="M1522" s="74">
        <f t="shared" si="2"/>
        <v>0</v>
      </c>
      <c r="N1522" s="74">
        <f t="shared" si="3"/>
        <v>60000</v>
      </c>
      <c r="O1522" s="65" t="str">
        <f>VLOOKUP(E1522,DATABASE!C:Q,8,false)</f>
        <v>BIAN</v>
      </c>
      <c r="P1522" s="65">
        <f>VLOOKUP(E1522,DATABASE!C:Q,9,False)</f>
        <v>0</v>
      </c>
      <c r="Q1522" s="93" t="str">
        <f>VLOOKUP(E1522,DATABASE!C:Q,4,false)</f>
        <v>Balancing</v>
      </c>
      <c r="R1522" s="93" t="str">
        <f>VLOOKUP(E1522,DATABASE!C:Q,11,false)</f>
        <v>COMPLEMENTARY</v>
      </c>
    </row>
    <row r="1523" ht="22.5" customHeight="1">
      <c r="A1523" s="49"/>
      <c r="C1523" s="384">
        <v>45741.0</v>
      </c>
      <c r="D1523" s="65">
        <v>4891.0</v>
      </c>
      <c r="E1523" s="445" t="s">
        <v>932</v>
      </c>
      <c r="F1523" s="386">
        <v>2.0</v>
      </c>
      <c r="G1523" s="74">
        <v>670000.0</v>
      </c>
      <c r="H1523" s="74">
        <v>0.0</v>
      </c>
      <c r="I1523" s="74">
        <f t="shared" si="1"/>
        <v>1340000</v>
      </c>
      <c r="J1523" s="74">
        <f>IF(E1523="SERVICE",I1523-(I1523*50%),Vlookup(E1523,DATABASE!C:Q,10,false)*F1523)</f>
        <v>0</v>
      </c>
      <c r="K1523" s="74">
        <v>575000.0</v>
      </c>
      <c r="L1523" s="74">
        <v>575000.0</v>
      </c>
      <c r="M1523" s="74">
        <f t="shared" si="2"/>
        <v>575000</v>
      </c>
      <c r="N1523" s="74">
        <f t="shared" si="3"/>
        <v>190000</v>
      </c>
      <c r="O1523" s="65" t="str">
        <f>VLOOKUP(E1523,DATABASE!C:Q,8,false)</f>
        <v>IBU</v>
      </c>
      <c r="P1523" s="65">
        <f>VLOOKUP(E1523,DATABASE!C:Q,9,False)</f>
        <v>1</v>
      </c>
      <c r="Q1523" s="93" t="str">
        <f>VLOOKUP(E1523,DATABASE!C:Q,4,false)</f>
        <v>Dunlop</v>
      </c>
      <c r="R1523" s="93" t="str">
        <f>VLOOKUP(E1523,DATABASE!C:Q,11,false)</f>
        <v>Tire</v>
      </c>
    </row>
    <row r="1524" ht="22.5" customHeight="1">
      <c r="A1524" s="49"/>
      <c r="C1524" s="384">
        <v>45741.0</v>
      </c>
      <c r="D1524" s="65">
        <v>4892.0</v>
      </c>
      <c r="E1524" s="445" t="s">
        <v>531</v>
      </c>
      <c r="F1524" s="386">
        <v>1.0</v>
      </c>
      <c r="G1524" s="74">
        <v>70000.0</v>
      </c>
      <c r="H1524" s="74">
        <v>0.0</v>
      </c>
      <c r="I1524" s="74">
        <f t="shared" si="1"/>
        <v>70000</v>
      </c>
      <c r="J1524" s="74">
        <f>IF(E1524="SERVICE",I1524-(I1524*50%),Vlookup(E1524,DATABASE!C:Q,10,false)*F1524)</f>
        <v>0</v>
      </c>
      <c r="K1524" s="74">
        <f>VLOOKUP(E1524,DATABASE!C:Q,7,false)</f>
        <v>47000</v>
      </c>
      <c r="L1524" s="74">
        <v>47000.0</v>
      </c>
      <c r="M1524" s="74">
        <f t="shared" si="2"/>
        <v>50000</v>
      </c>
      <c r="N1524" s="74">
        <f t="shared" si="3"/>
        <v>20000</v>
      </c>
      <c r="O1524" s="65" t="str">
        <f>VLOOKUP(E1524,DATABASE!C:Q,8,false)</f>
        <v>BIAN</v>
      </c>
      <c r="P1524" s="65">
        <f>VLOOKUP(E1524,DATABASE!C:Q,9,False)</f>
        <v>1</v>
      </c>
      <c r="Q1524" s="93" t="str">
        <f>VLOOKUP(E1524,DATABASE!C:Q,4,false)</f>
        <v>BD</v>
      </c>
      <c r="R1524" s="93" t="str">
        <f>VLOOKUP(E1524,DATABASE!C:Q,11,false)</f>
        <v>Tire</v>
      </c>
    </row>
    <row r="1525" ht="22.5" customHeight="1">
      <c r="A1525" s="49"/>
      <c r="C1525" s="384">
        <v>45741.0</v>
      </c>
      <c r="D1525" s="65">
        <v>4893.0</v>
      </c>
      <c r="E1525" s="445" t="s">
        <v>256</v>
      </c>
      <c r="F1525" s="386">
        <v>1.0</v>
      </c>
      <c r="G1525" s="74">
        <v>130000.0</v>
      </c>
      <c r="H1525" s="74">
        <v>0.0</v>
      </c>
      <c r="I1525" s="74">
        <f t="shared" si="1"/>
        <v>130000</v>
      </c>
      <c r="J1525" s="74">
        <f>IF(E1525="SERVICE",I1525-(I1525*50%),Vlookup(E1525,DATABASE!C:Q,10,false)*F1525)</f>
        <v>10000</v>
      </c>
      <c r="K1525" s="74">
        <f>VLOOKUP(E1525,DATABASE!C:Q,7,false)</f>
        <v>0</v>
      </c>
      <c r="L1525" s="74">
        <v>0.0</v>
      </c>
      <c r="M1525" s="74">
        <f t="shared" si="2"/>
        <v>0</v>
      </c>
      <c r="N1525" s="74">
        <f t="shared" si="3"/>
        <v>120000</v>
      </c>
      <c r="O1525" s="65" t="str">
        <f>VLOOKUP(E1525,DATABASE!C:Q,8,false)</f>
        <v>IBU</v>
      </c>
      <c r="P1525" s="65">
        <f>VLOOKUP(E1525,DATABASE!C:Q,9,False)</f>
        <v>0</v>
      </c>
      <c r="Q1525" s="93" t="str">
        <f>VLOOKUP(E1525,DATABASE!C:Q,4,false)</f>
        <v>SPOORING</v>
      </c>
      <c r="R1525" s="93" t="str">
        <f>VLOOKUP(E1525,DATABASE!C:Q,11,false)</f>
        <v>SERVICE</v>
      </c>
    </row>
    <row r="1526" ht="22.5" customHeight="1">
      <c r="A1526" s="49"/>
      <c r="C1526" s="384">
        <v>45741.0</v>
      </c>
      <c r="D1526" s="65">
        <v>4893.0</v>
      </c>
      <c r="E1526" s="445" t="s">
        <v>251</v>
      </c>
      <c r="F1526" s="386">
        <v>1.0</v>
      </c>
      <c r="G1526" s="74">
        <v>150000.0</v>
      </c>
      <c r="H1526" s="74">
        <v>0.0</v>
      </c>
      <c r="I1526" s="74">
        <f t="shared" si="1"/>
        <v>150000</v>
      </c>
      <c r="J1526" s="74">
        <f>IF(E1526="SERVICE",I1526-(I1526*50%),Vlookup(E1526,DATABASE!C:Q,10,false)*F1526)</f>
        <v>75000</v>
      </c>
      <c r="K1526" s="74">
        <f>VLOOKUP(E1526,DATABASE!C:Q,7,false)</f>
        <v>0</v>
      </c>
      <c r="L1526" s="74">
        <v>0.0</v>
      </c>
      <c r="M1526" s="74">
        <f t="shared" si="2"/>
        <v>0</v>
      </c>
      <c r="N1526" s="74">
        <f t="shared" si="3"/>
        <v>75000</v>
      </c>
      <c r="O1526" s="65" t="str">
        <f>VLOOKUP(E1526,DATABASE!C:Q,8,false)</f>
        <v>IBU</v>
      </c>
      <c r="P1526" s="65">
        <f>VLOOKUP(E1526,DATABASE!C:Q,9,False)</f>
        <v>0</v>
      </c>
      <c r="Q1526" s="93" t="str">
        <f>VLOOKUP(E1526,DATABASE!C:Q,4,false)</f>
        <v>SERVICE</v>
      </c>
      <c r="R1526" s="93" t="str">
        <f>VLOOKUP(E1526,DATABASE!C:Q,11,false)</f>
        <v>SERVICE</v>
      </c>
    </row>
    <row r="1527" ht="22.5" customHeight="1">
      <c r="A1527" s="49"/>
      <c r="C1527" s="384">
        <v>45741.0</v>
      </c>
      <c r="D1527" s="65">
        <v>4894.0</v>
      </c>
      <c r="E1527" s="445" t="s">
        <v>974</v>
      </c>
      <c r="F1527" s="386">
        <v>1.0</v>
      </c>
      <c r="G1527" s="74">
        <v>560000.0</v>
      </c>
      <c r="H1527" s="74">
        <v>0.0</v>
      </c>
      <c r="I1527" s="74">
        <f t="shared" si="1"/>
        <v>560000</v>
      </c>
      <c r="J1527" s="74">
        <f>IF(E1527="SERVICE",I1527-(I1527*50%),Vlookup(E1527,DATABASE!C:Q,10,false)*F1527)</f>
        <v>0</v>
      </c>
      <c r="K1527" s="74">
        <f>VLOOKUP(E1527,DATABASE!C:Q,7,false)</f>
        <v>501500</v>
      </c>
      <c r="L1527" s="74">
        <v>491000.0</v>
      </c>
      <c r="M1527" s="74">
        <f t="shared" si="2"/>
        <v>495000</v>
      </c>
      <c r="N1527" s="74">
        <f t="shared" si="3"/>
        <v>65000</v>
      </c>
      <c r="O1527" s="65" t="str">
        <f>VLOOKUP(E1527,DATABASE!C:Q,8,false)</f>
        <v>IBU</v>
      </c>
      <c r="P1527" s="65">
        <f>VLOOKUP(E1527,DATABASE!C:Q,9,False)</f>
        <v>1</v>
      </c>
      <c r="Q1527" s="93" t="str">
        <f>VLOOKUP(E1527,DATABASE!C:Q,4,false)</f>
        <v>Dunlop</v>
      </c>
      <c r="R1527" s="93" t="str">
        <f>VLOOKUP(E1527,DATABASE!C:Q,11,false)</f>
        <v>Tire</v>
      </c>
    </row>
    <row r="1528" ht="22.5" customHeight="1">
      <c r="A1528" s="49"/>
      <c r="C1528" s="384">
        <v>45741.0</v>
      </c>
      <c r="D1528" s="65">
        <v>4895.0</v>
      </c>
      <c r="E1528" s="445" t="s">
        <v>1565</v>
      </c>
      <c r="F1528" s="386">
        <v>1.0</v>
      </c>
      <c r="G1528" s="74">
        <v>1425000.0</v>
      </c>
      <c r="H1528" s="74">
        <v>0.0</v>
      </c>
      <c r="I1528" s="74">
        <f t="shared" si="1"/>
        <v>1425000</v>
      </c>
      <c r="J1528" s="74">
        <f>IF(E1528="SERVICE",I1528-(I1528*50%),Vlookup(E1528,DATABASE!C:Q,10,false)*F1528)</f>
        <v>0</v>
      </c>
      <c r="K1528" s="74">
        <f>VLOOKUP(E1528,DATABASE!C:Q,7,false)</f>
        <v>1292000</v>
      </c>
      <c r="L1528" s="74">
        <v>1320000.0</v>
      </c>
      <c r="M1528" s="74">
        <f t="shared" si="2"/>
        <v>1320000</v>
      </c>
      <c r="N1528" s="74">
        <f t="shared" si="3"/>
        <v>105000</v>
      </c>
      <c r="O1528" s="65" t="str">
        <f>VLOOKUP(E1528,DATABASE!C:Q,8,false)</f>
        <v>IBU</v>
      </c>
      <c r="P1528" s="65">
        <f>VLOOKUP(E1528,DATABASE!C:Q,9,False)</f>
        <v>1</v>
      </c>
      <c r="Q1528" s="93" t="str">
        <f>VLOOKUP(E1528,DATABASE!C:Q,4,false)</f>
        <v>Dunlop</v>
      </c>
      <c r="R1528" s="93" t="str">
        <f>VLOOKUP(E1528,DATABASE!C:Q,11,false)</f>
        <v>Tire</v>
      </c>
    </row>
    <row r="1529" ht="22.5" customHeight="1">
      <c r="A1529" s="49"/>
      <c r="C1529" s="384">
        <v>45741.0</v>
      </c>
      <c r="D1529" s="65">
        <v>4896.0</v>
      </c>
      <c r="E1529" s="445" t="s">
        <v>614</v>
      </c>
      <c r="F1529" s="386">
        <v>1.0</v>
      </c>
      <c r="G1529" s="74">
        <v>860000.0</v>
      </c>
      <c r="H1529" s="74">
        <v>0.0</v>
      </c>
      <c r="I1529" s="74">
        <f t="shared" si="1"/>
        <v>860000</v>
      </c>
      <c r="J1529" s="74">
        <f>IF(E1529="SERVICE",I1529-(I1529*50%),Vlookup(E1529,DATABASE!C:Q,10,false)*F1529)</f>
        <v>0</v>
      </c>
      <c r="K1529" s="74">
        <f>VLOOKUP(E1529,DATABASE!C:Q,7,false)</f>
        <v>754660.6</v>
      </c>
      <c r="L1529" s="74">
        <v>766438.4</v>
      </c>
      <c r="M1529" s="74">
        <f t="shared" si="2"/>
        <v>770000</v>
      </c>
      <c r="N1529" s="74">
        <f t="shared" si="3"/>
        <v>90000</v>
      </c>
      <c r="O1529" s="65" t="str">
        <f>VLOOKUP(E1529,DATABASE!C:Q,8,false)</f>
        <v>IBU</v>
      </c>
      <c r="P1529" s="65">
        <f>VLOOKUP(E1529,DATABASE!C:Q,9,False)</f>
        <v>1</v>
      </c>
      <c r="Q1529" s="93" t="str">
        <f>VLOOKUP(E1529,DATABASE!C:Q,4,false)</f>
        <v>Bridgestone</v>
      </c>
      <c r="R1529" s="93" t="str">
        <f>VLOOKUP(E1529,DATABASE!C:Q,11,false)</f>
        <v>Tire</v>
      </c>
    </row>
    <row r="1530" ht="22.5" customHeight="1">
      <c r="A1530" s="49"/>
      <c r="C1530" s="384">
        <v>45741.0</v>
      </c>
      <c r="D1530" s="65">
        <v>4897.0</v>
      </c>
      <c r="E1530" s="445" t="s">
        <v>256</v>
      </c>
      <c r="F1530" s="386">
        <v>1.0</v>
      </c>
      <c r="G1530" s="74">
        <v>130000.0</v>
      </c>
      <c r="H1530" s="74">
        <v>0.0</v>
      </c>
      <c r="I1530" s="74">
        <f t="shared" si="1"/>
        <v>130000</v>
      </c>
      <c r="J1530" s="74">
        <f>IF(E1530="SERVICE",I1530-(I1530*50%),Vlookup(E1530,DATABASE!C:Q,10,false)*F1530)</f>
        <v>10000</v>
      </c>
      <c r="K1530" s="74">
        <f>VLOOKUP(E1530,DATABASE!C:Q,7,false)</f>
        <v>0</v>
      </c>
      <c r="L1530" s="74">
        <v>0.0</v>
      </c>
      <c r="M1530" s="74">
        <f t="shared" si="2"/>
        <v>0</v>
      </c>
      <c r="N1530" s="74">
        <f t="shared" si="3"/>
        <v>120000</v>
      </c>
      <c r="O1530" s="65" t="str">
        <f>VLOOKUP(E1530,DATABASE!C:Q,8,false)</f>
        <v>IBU</v>
      </c>
      <c r="P1530" s="65">
        <f>VLOOKUP(E1530,DATABASE!C:Q,9,False)</f>
        <v>0</v>
      </c>
      <c r="Q1530" s="93" t="str">
        <f>VLOOKUP(E1530,DATABASE!C:Q,4,false)</f>
        <v>SPOORING</v>
      </c>
      <c r="R1530" s="93" t="str">
        <f>VLOOKUP(E1530,DATABASE!C:Q,11,false)</f>
        <v>SERVICE</v>
      </c>
    </row>
    <row r="1531" ht="22.5" customHeight="1">
      <c r="A1531" s="49"/>
      <c r="C1531" s="384">
        <v>45741.0</v>
      </c>
      <c r="D1531" s="65">
        <v>4898.0</v>
      </c>
      <c r="E1531" s="445" t="s">
        <v>262</v>
      </c>
      <c r="F1531" s="386">
        <v>1.0</v>
      </c>
      <c r="G1531" s="74">
        <v>110000.0</v>
      </c>
      <c r="H1531" s="74">
        <v>0.0</v>
      </c>
      <c r="I1531" s="74">
        <f t="shared" si="1"/>
        <v>110000</v>
      </c>
      <c r="J1531" s="74">
        <f>IF(E1531="SERVICE",I1531-(I1531*50%),Vlookup(E1531,DATABASE!C:Q,10,false)*F1531)</f>
        <v>5000</v>
      </c>
      <c r="K1531" s="74">
        <f>VLOOKUP(E1531,DATABASE!C:Q,7,false)</f>
        <v>0</v>
      </c>
      <c r="L1531" s="74">
        <v>0.0</v>
      </c>
      <c r="M1531" s="74">
        <f t="shared" si="2"/>
        <v>0</v>
      </c>
      <c r="N1531" s="74">
        <f t="shared" si="3"/>
        <v>105000</v>
      </c>
      <c r="O1531" s="65" t="str">
        <f>VLOOKUP(E1531,DATABASE!C:Q,8,false)</f>
        <v>IBU</v>
      </c>
      <c r="P1531" s="65">
        <f>VLOOKUP(E1531,DATABASE!C:Q,9,False)</f>
        <v>0</v>
      </c>
      <c r="Q1531" s="93" t="str">
        <f>VLOOKUP(E1531,DATABASE!C:Q,4,false)</f>
        <v>SPOORING SS/CARRY LOS BAK</v>
      </c>
      <c r="R1531" s="93" t="str">
        <f>VLOOKUP(E1531,DATABASE!C:Q,11,false)</f>
        <v>SERVICE</v>
      </c>
    </row>
    <row r="1532" ht="22.5" customHeight="1">
      <c r="A1532" s="49"/>
      <c r="C1532" s="384">
        <v>45741.0</v>
      </c>
      <c r="D1532" s="65">
        <v>4898.0</v>
      </c>
      <c r="E1532" s="445" t="s">
        <v>251</v>
      </c>
      <c r="F1532" s="386">
        <v>1.0</v>
      </c>
      <c r="G1532" s="74">
        <v>120000.0</v>
      </c>
      <c r="H1532" s="74">
        <v>0.0</v>
      </c>
      <c r="I1532" s="74">
        <f t="shared" si="1"/>
        <v>120000</v>
      </c>
      <c r="J1532" s="74">
        <f>IF(E1532="SERVICE",I1532-(I1532*50%),Vlookup(E1532,DATABASE!C:Q,10,false)*F1532)</f>
        <v>60000</v>
      </c>
      <c r="K1532" s="74">
        <f>VLOOKUP(E1532,DATABASE!C:Q,7,false)</f>
        <v>0</v>
      </c>
      <c r="L1532" s="74">
        <v>0.0</v>
      </c>
      <c r="M1532" s="74">
        <f t="shared" si="2"/>
        <v>0</v>
      </c>
      <c r="N1532" s="74">
        <f t="shared" si="3"/>
        <v>60000</v>
      </c>
      <c r="O1532" s="65" t="str">
        <f>VLOOKUP(E1532,DATABASE!C:Q,8,false)</f>
        <v>IBU</v>
      </c>
      <c r="P1532" s="65">
        <f>VLOOKUP(E1532,DATABASE!C:Q,9,False)</f>
        <v>0</v>
      </c>
      <c r="Q1532" s="93" t="str">
        <f>VLOOKUP(E1532,DATABASE!C:Q,4,false)</f>
        <v>SERVICE</v>
      </c>
      <c r="R1532" s="93" t="str">
        <f>VLOOKUP(E1532,DATABASE!C:Q,11,false)</f>
        <v>SERVICE</v>
      </c>
    </row>
    <row r="1533" ht="22.5" customHeight="1">
      <c r="A1533" s="49"/>
      <c r="C1533" s="384">
        <v>45741.0</v>
      </c>
      <c r="D1533" s="65">
        <v>4900.0</v>
      </c>
      <c r="E1533" s="445" t="s">
        <v>262</v>
      </c>
      <c r="F1533" s="386">
        <v>1.0</v>
      </c>
      <c r="G1533" s="74">
        <v>110000.0</v>
      </c>
      <c r="H1533" s="74">
        <v>0.0</v>
      </c>
      <c r="I1533" s="74">
        <f t="shared" si="1"/>
        <v>110000</v>
      </c>
      <c r="J1533" s="74">
        <f>IF(E1533="SERVICE",I1533-(I1533*50%),Vlookup(E1533,DATABASE!C:Q,10,false)*F1533)</f>
        <v>5000</v>
      </c>
      <c r="K1533" s="74">
        <f>VLOOKUP(E1533,DATABASE!C:Q,7,false)</f>
        <v>0</v>
      </c>
      <c r="L1533" s="74">
        <v>0.0</v>
      </c>
      <c r="M1533" s="74">
        <f t="shared" si="2"/>
        <v>0</v>
      </c>
      <c r="N1533" s="74">
        <f t="shared" si="3"/>
        <v>105000</v>
      </c>
      <c r="O1533" s="65" t="str">
        <f>VLOOKUP(E1533,DATABASE!C:Q,8,false)</f>
        <v>IBU</v>
      </c>
      <c r="P1533" s="65">
        <f>VLOOKUP(E1533,DATABASE!C:Q,9,False)</f>
        <v>0</v>
      </c>
      <c r="Q1533" s="93" t="str">
        <f>VLOOKUP(E1533,DATABASE!C:Q,4,false)</f>
        <v>SPOORING SS/CARRY LOS BAK</v>
      </c>
      <c r="R1533" s="93" t="str">
        <f>VLOOKUP(E1533,DATABASE!C:Q,11,false)</f>
        <v>SERVICE</v>
      </c>
    </row>
    <row r="1534" ht="22.5" customHeight="1">
      <c r="A1534" s="49"/>
      <c r="C1534" s="384">
        <v>45741.0</v>
      </c>
      <c r="D1534" s="65">
        <v>4900.0</v>
      </c>
      <c r="E1534" s="385" t="s">
        <v>299</v>
      </c>
      <c r="F1534" s="386">
        <v>2.0</v>
      </c>
      <c r="G1534" s="74">
        <v>30000.0</v>
      </c>
      <c r="H1534" s="74">
        <v>0.0</v>
      </c>
      <c r="I1534" s="74">
        <f t="shared" si="1"/>
        <v>60000</v>
      </c>
      <c r="J1534" s="74">
        <f>IF(E1534="SERVICE",I1534-(I1534*50%),Vlookup(E1534,DATABASE!C:Q,10,false)*F1534)</f>
        <v>0</v>
      </c>
      <c r="K1534" s="74">
        <v>0.0</v>
      </c>
      <c r="L1534" s="74">
        <v>0.0</v>
      </c>
      <c r="M1534" s="74">
        <f t="shared" si="2"/>
        <v>0</v>
      </c>
      <c r="N1534" s="74">
        <f t="shared" si="3"/>
        <v>60000</v>
      </c>
      <c r="O1534" s="65" t="str">
        <f>VLOOKUP(E1534,DATABASE!C:Q,8,false)</f>
        <v>BIAN</v>
      </c>
      <c r="P1534" s="65">
        <f>VLOOKUP(E1534,DATABASE!C:Q,9,False)</f>
        <v>0</v>
      </c>
      <c r="Q1534" s="93" t="str">
        <f>VLOOKUP(E1534,DATABASE!C:Q,4,false)</f>
        <v>Balancing</v>
      </c>
      <c r="R1534" s="93" t="str">
        <f>VLOOKUP(E1534,DATABASE!C:Q,11,false)</f>
        <v>COMPLEMENTARY</v>
      </c>
    </row>
    <row r="1535" ht="22.5" customHeight="1">
      <c r="A1535" s="49"/>
      <c r="C1535" s="384">
        <v>45741.0</v>
      </c>
      <c r="D1535" s="65">
        <v>4900.0</v>
      </c>
      <c r="E1535" s="445" t="s">
        <v>251</v>
      </c>
      <c r="F1535" s="386">
        <v>1.0</v>
      </c>
      <c r="G1535" s="74">
        <v>150000.0</v>
      </c>
      <c r="H1535" s="74">
        <v>0.0</v>
      </c>
      <c r="I1535" s="74">
        <f t="shared" si="1"/>
        <v>150000</v>
      </c>
      <c r="J1535" s="74">
        <f>IF(E1535="SERVICE",I1535-(I1535*50%),Vlookup(E1535,DATABASE!C:Q,10,false)*F1535)</f>
        <v>75000</v>
      </c>
      <c r="K1535" s="74">
        <f>VLOOKUP(E1535,DATABASE!C:Q,7,false)</f>
        <v>0</v>
      </c>
      <c r="L1535" s="74">
        <v>0.0</v>
      </c>
      <c r="M1535" s="74">
        <f t="shared" si="2"/>
        <v>0</v>
      </c>
      <c r="N1535" s="74">
        <f t="shared" si="3"/>
        <v>75000</v>
      </c>
      <c r="O1535" s="65" t="str">
        <f>VLOOKUP(E1535,DATABASE!C:Q,8,false)</f>
        <v>IBU</v>
      </c>
      <c r="P1535" s="65">
        <f>VLOOKUP(E1535,DATABASE!C:Q,9,False)</f>
        <v>0</v>
      </c>
      <c r="Q1535" s="93" t="str">
        <f>VLOOKUP(E1535,DATABASE!C:Q,4,false)</f>
        <v>SERVICE</v>
      </c>
      <c r="R1535" s="93" t="str">
        <f>VLOOKUP(E1535,DATABASE!C:Q,11,false)</f>
        <v>SERVICE</v>
      </c>
    </row>
    <row r="1536" ht="22.5" customHeight="1">
      <c r="A1536" s="49"/>
      <c r="C1536" s="384">
        <v>45741.0</v>
      </c>
      <c r="D1536" s="65">
        <v>4902.0</v>
      </c>
      <c r="E1536" s="445" t="s">
        <v>600</v>
      </c>
      <c r="F1536" s="386">
        <v>1.0</v>
      </c>
      <c r="G1536" s="74">
        <v>675000.0</v>
      </c>
      <c r="H1536" s="74">
        <v>0.0</v>
      </c>
      <c r="I1536" s="74">
        <f t="shared" si="1"/>
        <v>675000</v>
      </c>
      <c r="J1536" s="74">
        <f>IF(E1536="SERVICE",I1536-(I1536*50%),Vlookup(E1536,DATABASE!C:Q,10,false)*F1536)</f>
        <v>0</v>
      </c>
      <c r="K1536" s="74">
        <f>VLOOKUP(E1536,DATABASE!C:Q,7,false)</f>
        <v>611109.16</v>
      </c>
      <c r="L1536" s="74">
        <v>572762.4</v>
      </c>
      <c r="M1536" s="74">
        <f t="shared" si="2"/>
        <v>575000</v>
      </c>
      <c r="N1536" s="74">
        <f t="shared" si="3"/>
        <v>100000</v>
      </c>
      <c r="O1536" s="65" t="str">
        <f>VLOOKUP(E1536,DATABASE!C:Q,8,false)</f>
        <v>IBU</v>
      </c>
      <c r="P1536" s="65">
        <f>VLOOKUP(E1536,DATABASE!C:Q,9,False)</f>
        <v>1</v>
      </c>
      <c r="Q1536" s="93" t="str">
        <f>VLOOKUP(E1536,DATABASE!C:Q,4,false)</f>
        <v>Bridgestone</v>
      </c>
      <c r="R1536" s="93" t="str">
        <f>VLOOKUP(E1536,DATABASE!C:Q,11,false)</f>
        <v>Tire</v>
      </c>
    </row>
    <row r="1537" ht="22.5" customHeight="1">
      <c r="A1537" s="49"/>
      <c r="C1537" s="384">
        <v>45741.0</v>
      </c>
      <c r="D1537" s="65">
        <v>4903.0</v>
      </c>
      <c r="E1537" s="445" t="s">
        <v>265</v>
      </c>
      <c r="F1537" s="386">
        <v>2.0</v>
      </c>
      <c r="G1537" s="74">
        <v>670000.0</v>
      </c>
      <c r="H1537" s="74">
        <v>0.0</v>
      </c>
      <c r="I1537" s="74">
        <f t="shared" si="1"/>
        <v>1340000</v>
      </c>
      <c r="J1537" s="74">
        <f>IF(E1537="SERVICE",I1537-(I1537*50%),Vlookup(E1537,DATABASE!C:Q,10,false)*F1537)</f>
        <v>0</v>
      </c>
      <c r="K1537" s="74">
        <v>590000.0</v>
      </c>
      <c r="L1537" s="74">
        <v>590000.0</v>
      </c>
      <c r="M1537" s="74">
        <f t="shared" si="2"/>
        <v>590000</v>
      </c>
      <c r="N1537" s="74">
        <f t="shared" si="3"/>
        <v>160000</v>
      </c>
      <c r="O1537" s="65" t="str">
        <f>VLOOKUP(E1537,DATABASE!C:Q,8,false)</f>
        <v>IBU</v>
      </c>
      <c r="P1537" s="65">
        <f>VLOOKUP(E1537,DATABASE!C:Q,9,False)</f>
        <v>1</v>
      </c>
      <c r="Q1537" s="93" t="str">
        <f>VLOOKUP(E1537,DATABASE!C:Q,4,false)</f>
        <v>Dunlop</v>
      </c>
      <c r="R1537" s="93" t="str">
        <f>VLOOKUP(E1537,DATABASE!C:Q,11,false)</f>
        <v>Tire</v>
      </c>
    </row>
    <row r="1538" ht="22.5" customHeight="1">
      <c r="A1538" s="49"/>
      <c r="C1538" s="384">
        <v>45741.0</v>
      </c>
      <c r="D1538" s="65">
        <v>4904.0</v>
      </c>
      <c r="E1538" s="445" t="s">
        <v>290</v>
      </c>
      <c r="F1538" s="386">
        <v>4.0</v>
      </c>
      <c r="G1538" s="74">
        <v>710000.0</v>
      </c>
      <c r="H1538" s="74">
        <v>0.0</v>
      </c>
      <c r="I1538" s="74">
        <f t="shared" si="1"/>
        <v>2840000</v>
      </c>
      <c r="J1538" s="74">
        <f>IF(E1538="SERVICE",I1538-(I1538*50%),Vlookup(E1538,DATABASE!C:Q,10,false)*F1538)</f>
        <v>0</v>
      </c>
      <c r="K1538" s="74">
        <f>VLOOKUP(E1538,DATABASE!C:Q,7,false)</f>
        <v>628100</v>
      </c>
      <c r="L1538" s="74">
        <v>609804.0</v>
      </c>
      <c r="M1538" s="74">
        <f t="shared" si="2"/>
        <v>610000</v>
      </c>
      <c r="N1538" s="74">
        <f t="shared" si="3"/>
        <v>400000</v>
      </c>
      <c r="O1538" s="65" t="str">
        <f>VLOOKUP(E1538,DATABASE!C:Q,8,false)</f>
        <v>BIAN</v>
      </c>
      <c r="P1538" s="65">
        <f>VLOOKUP(E1538,DATABASE!C:Q,9,False)</f>
        <v>1</v>
      </c>
      <c r="Q1538" s="93" t="str">
        <f>VLOOKUP(E1538,DATABASE!C:Q,4,false)</f>
        <v>GT</v>
      </c>
      <c r="R1538" s="93" t="str">
        <f>VLOOKUP(E1538,DATABASE!C:Q,11,false)</f>
        <v>Tire</v>
      </c>
    </row>
    <row r="1539" ht="22.5" customHeight="1">
      <c r="A1539" s="49"/>
      <c r="C1539" s="384">
        <v>45741.0</v>
      </c>
      <c r="D1539" s="65">
        <v>4904.0</v>
      </c>
      <c r="E1539" s="445" t="s">
        <v>2135</v>
      </c>
      <c r="F1539" s="386">
        <v>4.0</v>
      </c>
      <c r="G1539" s="74">
        <v>15000.0</v>
      </c>
      <c r="H1539" s="74">
        <v>0.0</v>
      </c>
      <c r="I1539" s="74">
        <f t="shared" si="1"/>
        <v>60000</v>
      </c>
      <c r="J1539" s="74">
        <f>IF(E1539="SERVICE",I1539-(I1539*50%),Vlookup(E1539,DATABASE!C:Q,10,false)*F1539)</f>
        <v>0</v>
      </c>
      <c r="K1539" s="74">
        <f>VLOOKUP(E1539,DATABASE!C:Q,7,false)</f>
        <v>0</v>
      </c>
      <c r="L1539" s="74">
        <v>0.0</v>
      </c>
      <c r="M1539" s="74">
        <f t="shared" si="2"/>
        <v>0</v>
      </c>
      <c r="N1539" s="74">
        <f t="shared" si="3"/>
        <v>60000</v>
      </c>
      <c r="O1539" s="65" t="str">
        <f>VLOOKUP(E1539,DATABASE!C:Q,8,false)</f>
        <v>IBU</v>
      </c>
      <c r="P1539" s="65">
        <f>VLOOKUP(E1539,DATABASE!C:Q,9,False)</f>
        <v>0</v>
      </c>
      <c r="Q1539" s="93" t="str">
        <f>VLOOKUP(E1539,DATABASE!C:Q,4,false)</f>
        <v>NITROGEN</v>
      </c>
      <c r="R1539" s="93" t="str">
        <f>VLOOKUP(E1539,DATABASE!C:Q,11,false)</f>
        <v>COMPLEMENTARY</v>
      </c>
    </row>
    <row r="1540" ht="22.5" customHeight="1">
      <c r="A1540" s="49"/>
      <c r="C1540" s="384">
        <v>45741.0</v>
      </c>
      <c r="D1540" s="65">
        <v>4904.0</v>
      </c>
      <c r="E1540" s="445" t="s">
        <v>256</v>
      </c>
      <c r="F1540" s="386">
        <v>1.0</v>
      </c>
      <c r="G1540" s="74">
        <v>130000.0</v>
      </c>
      <c r="H1540" s="74">
        <v>0.0</v>
      </c>
      <c r="I1540" s="74">
        <f t="shared" si="1"/>
        <v>130000</v>
      </c>
      <c r="J1540" s="74">
        <f>IF(E1540="SERVICE",I1540-(I1540*50%),Vlookup(E1540,DATABASE!C:Q,10,false)*F1540)</f>
        <v>10000</v>
      </c>
      <c r="K1540" s="74">
        <f>VLOOKUP(E1540,DATABASE!C:Q,7,false)</f>
        <v>0</v>
      </c>
      <c r="L1540" s="74">
        <v>0.0</v>
      </c>
      <c r="M1540" s="74">
        <f t="shared" si="2"/>
        <v>0</v>
      </c>
      <c r="N1540" s="74">
        <f t="shared" si="3"/>
        <v>120000</v>
      </c>
      <c r="O1540" s="65" t="str">
        <f>VLOOKUP(E1540,DATABASE!C:Q,8,false)</f>
        <v>IBU</v>
      </c>
      <c r="P1540" s="65">
        <f>VLOOKUP(E1540,DATABASE!C:Q,9,False)</f>
        <v>0</v>
      </c>
      <c r="Q1540" s="93" t="str">
        <f>VLOOKUP(E1540,DATABASE!C:Q,4,false)</f>
        <v>SPOORING</v>
      </c>
      <c r="R1540" s="93" t="str">
        <f>VLOOKUP(E1540,DATABASE!C:Q,11,false)</f>
        <v>SERVICE</v>
      </c>
    </row>
    <row r="1541" ht="22.5" customHeight="1">
      <c r="A1541" s="49"/>
      <c r="C1541" s="384">
        <v>45741.0</v>
      </c>
      <c r="D1541" s="65">
        <v>4904.0</v>
      </c>
      <c r="E1541" s="445" t="s">
        <v>301</v>
      </c>
      <c r="F1541" s="386">
        <v>1.0</v>
      </c>
      <c r="G1541" s="74">
        <v>250000.0</v>
      </c>
      <c r="H1541" s="74">
        <v>0.0</v>
      </c>
      <c r="I1541" s="74">
        <f t="shared" si="1"/>
        <v>250000</v>
      </c>
      <c r="J1541" s="74">
        <f>IF(E1541="SERVICE",I1541-(I1541*50%),Vlookup(E1541,DATABASE!C:Q,10,false)*F1541)</f>
        <v>75000</v>
      </c>
      <c r="K1541" s="74">
        <f>VLOOKUP(E1541,DATABASE!C:Q,7,false)</f>
        <v>75000</v>
      </c>
      <c r="L1541" s="74">
        <v>75000.0</v>
      </c>
      <c r="M1541" s="74">
        <f t="shared" si="2"/>
        <v>75000</v>
      </c>
      <c r="N1541" s="74">
        <f t="shared" si="3"/>
        <v>100000</v>
      </c>
      <c r="O1541" s="65" t="str">
        <f>VLOOKUP(E1541,DATABASE!C:Q,8,false)</f>
        <v>BIAN</v>
      </c>
      <c r="P1541" s="65">
        <f>VLOOKUP(E1541,DATABASE!C:Q,9,False)</f>
        <v>0</v>
      </c>
      <c r="Q1541" s="93" t="str">
        <f>VLOOKUP(E1541,DATABASE!C:Q,4,false)</f>
        <v>Baut Camber</v>
      </c>
      <c r="R1541" s="93" t="str">
        <f>VLOOKUP(E1541,DATABASE!C:Q,11,false)</f>
        <v>COMPLEMENTARY</v>
      </c>
    </row>
    <row r="1542" ht="22.5" customHeight="1">
      <c r="A1542" s="49"/>
      <c r="C1542" s="384">
        <v>45741.0</v>
      </c>
      <c r="D1542" s="65">
        <v>4905.0</v>
      </c>
      <c r="E1542" s="445" t="s">
        <v>1489</v>
      </c>
      <c r="F1542" s="386">
        <v>4.0</v>
      </c>
      <c r="G1542" s="74">
        <v>670000.0</v>
      </c>
      <c r="H1542" s="74">
        <v>0.0</v>
      </c>
      <c r="I1542" s="74">
        <f t="shared" si="1"/>
        <v>2680000</v>
      </c>
      <c r="J1542" s="74">
        <f>IF(E1542="SERVICE",I1542-(I1542*50%),Vlookup(E1542,DATABASE!C:Q,10,false)*F1542)</f>
        <v>0</v>
      </c>
      <c r="K1542" s="74">
        <f>VLOOKUP(E1542,DATABASE!C:Q,7,false)</f>
        <v>609000</v>
      </c>
      <c r="L1542" s="74">
        <v>609000.0</v>
      </c>
      <c r="M1542" s="74">
        <f t="shared" si="2"/>
        <v>610000</v>
      </c>
      <c r="N1542" s="74">
        <f t="shared" si="3"/>
        <v>240000</v>
      </c>
      <c r="O1542" s="65" t="str">
        <f>VLOOKUP(E1542,DATABASE!C:Q,8,false)</f>
        <v>IBU</v>
      </c>
      <c r="P1542" s="65">
        <f>VLOOKUP(E1542,DATABASE!C:Q,9,False)</f>
        <v>1</v>
      </c>
      <c r="Q1542" s="93" t="str">
        <f>VLOOKUP(E1542,DATABASE!C:Q,4,false)</f>
        <v>Dunlop</v>
      </c>
      <c r="R1542" s="93" t="str">
        <f>VLOOKUP(E1542,DATABASE!C:Q,11,false)</f>
        <v>Tire</v>
      </c>
    </row>
    <row r="1543" ht="22.5" customHeight="1">
      <c r="A1543" s="49"/>
      <c r="C1543" s="384">
        <v>45741.0</v>
      </c>
      <c r="D1543" s="65">
        <v>4905.0</v>
      </c>
      <c r="E1543" s="385" t="s">
        <v>299</v>
      </c>
      <c r="F1543" s="386">
        <v>2.0</v>
      </c>
      <c r="G1543" s="74">
        <v>30000.0</v>
      </c>
      <c r="H1543" s="74">
        <v>0.0</v>
      </c>
      <c r="I1543" s="74">
        <f t="shared" si="1"/>
        <v>60000</v>
      </c>
      <c r="J1543" s="74">
        <f>IF(E1543="SERVICE",I1543-(I1543*50%),Vlookup(E1543,DATABASE!C:Q,10,false)*F1543)</f>
        <v>0</v>
      </c>
      <c r="K1543" s="74">
        <v>0.0</v>
      </c>
      <c r="L1543" s="74">
        <v>0.0</v>
      </c>
      <c r="M1543" s="74">
        <f t="shared" si="2"/>
        <v>0</v>
      </c>
      <c r="N1543" s="74">
        <f t="shared" si="3"/>
        <v>60000</v>
      </c>
      <c r="O1543" s="65" t="str">
        <f>VLOOKUP(E1543,DATABASE!C:Q,8,false)</f>
        <v>BIAN</v>
      </c>
      <c r="P1543" s="65">
        <f>VLOOKUP(E1543,DATABASE!C:Q,9,False)</f>
        <v>0</v>
      </c>
      <c r="Q1543" s="93" t="str">
        <f>VLOOKUP(E1543,DATABASE!C:Q,4,false)</f>
        <v>Balancing</v>
      </c>
      <c r="R1543" s="93" t="str">
        <f>VLOOKUP(E1543,DATABASE!C:Q,11,false)</f>
        <v>COMPLEMENTARY</v>
      </c>
    </row>
    <row r="1544" ht="22.5" customHeight="1">
      <c r="A1544" s="49"/>
      <c r="C1544" s="384">
        <v>45741.0</v>
      </c>
      <c r="D1544" s="65">
        <v>4905.0</v>
      </c>
      <c r="E1544" s="445" t="s">
        <v>256</v>
      </c>
      <c r="F1544" s="386">
        <v>1.0</v>
      </c>
      <c r="G1544" s="74">
        <v>130000.0</v>
      </c>
      <c r="H1544" s="74">
        <v>0.0</v>
      </c>
      <c r="I1544" s="74">
        <f t="shared" si="1"/>
        <v>130000</v>
      </c>
      <c r="J1544" s="74">
        <f>IF(E1544="SERVICE",I1544-(I1544*50%),Vlookup(E1544,DATABASE!C:Q,10,false)*F1544)</f>
        <v>10000</v>
      </c>
      <c r="K1544" s="74">
        <f>VLOOKUP(E1544,DATABASE!C:Q,7,false)</f>
        <v>0</v>
      </c>
      <c r="L1544" s="74">
        <v>0.0</v>
      </c>
      <c r="M1544" s="74">
        <f t="shared" si="2"/>
        <v>0</v>
      </c>
      <c r="N1544" s="74">
        <f t="shared" si="3"/>
        <v>120000</v>
      </c>
      <c r="O1544" s="65" t="str">
        <f>VLOOKUP(E1544,DATABASE!C:Q,8,false)</f>
        <v>IBU</v>
      </c>
      <c r="P1544" s="65">
        <f>VLOOKUP(E1544,DATABASE!C:Q,9,False)</f>
        <v>0</v>
      </c>
      <c r="Q1544" s="93" t="str">
        <f>VLOOKUP(E1544,DATABASE!C:Q,4,false)</f>
        <v>SPOORING</v>
      </c>
      <c r="R1544" s="93" t="str">
        <f>VLOOKUP(E1544,DATABASE!C:Q,11,false)</f>
        <v>SERVICE</v>
      </c>
    </row>
    <row r="1545" ht="22.5" customHeight="1">
      <c r="A1545" s="49"/>
      <c r="C1545" s="384">
        <v>45741.0</v>
      </c>
      <c r="D1545" s="65">
        <v>4905.0</v>
      </c>
      <c r="E1545" s="445" t="s">
        <v>301</v>
      </c>
      <c r="F1545" s="386">
        <v>1.0</v>
      </c>
      <c r="G1545" s="74">
        <v>250000.0</v>
      </c>
      <c r="H1545" s="74">
        <v>0.0</v>
      </c>
      <c r="I1545" s="74">
        <f t="shared" si="1"/>
        <v>250000</v>
      </c>
      <c r="J1545" s="74">
        <f>IF(E1545="SERVICE",I1545-(I1545*50%),Vlookup(E1545,DATABASE!C:Q,10,false)*F1545)</f>
        <v>75000</v>
      </c>
      <c r="K1545" s="74">
        <f>VLOOKUP(E1545,DATABASE!C:Q,7,false)</f>
        <v>75000</v>
      </c>
      <c r="L1545" s="74">
        <v>75000.0</v>
      </c>
      <c r="M1545" s="74">
        <f t="shared" si="2"/>
        <v>75000</v>
      </c>
      <c r="N1545" s="74">
        <f t="shared" si="3"/>
        <v>100000</v>
      </c>
      <c r="O1545" s="65" t="str">
        <f>VLOOKUP(E1545,DATABASE!C:Q,8,false)</f>
        <v>BIAN</v>
      </c>
      <c r="P1545" s="65">
        <f>VLOOKUP(E1545,DATABASE!C:Q,9,False)</f>
        <v>0</v>
      </c>
      <c r="Q1545" s="93" t="str">
        <f>VLOOKUP(E1545,DATABASE!C:Q,4,false)</f>
        <v>Baut Camber</v>
      </c>
      <c r="R1545" s="93" t="str">
        <f>VLOOKUP(E1545,DATABASE!C:Q,11,false)</f>
        <v>COMPLEMENTARY</v>
      </c>
    </row>
    <row r="1546" ht="22.5" customHeight="1">
      <c r="A1546" s="49"/>
      <c r="C1546" s="384">
        <v>45742.0</v>
      </c>
      <c r="D1546" s="65">
        <v>4906.0</v>
      </c>
      <c r="E1546" s="445" t="s">
        <v>968</v>
      </c>
      <c r="F1546" s="386">
        <v>1.0</v>
      </c>
      <c r="G1546" s="74">
        <v>640000.0</v>
      </c>
      <c r="H1546" s="74">
        <v>0.0</v>
      </c>
      <c r="I1546" s="74">
        <f t="shared" si="1"/>
        <v>640000</v>
      </c>
      <c r="J1546" s="74">
        <f>IF(E1546="SERVICE",I1546-(I1546*50%),Vlookup(E1546,DATABASE!C:Q,10,false)*F1546)</f>
        <v>0</v>
      </c>
      <c r="K1546" s="74">
        <f>VLOOKUP(E1546,DATABASE!C:Q,7,false)</f>
        <v>582500</v>
      </c>
      <c r="L1546" s="74">
        <v>582500.0</v>
      </c>
      <c r="M1546" s="74">
        <f t="shared" si="2"/>
        <v>585000</v>
      </c>
      <c r="N1546" s="74">
        <f t="shared" si="3"/>
        <v>55000</v>
      </c>
      <c r="O1546" s="65" t="str">
        <f>VLOOKUP(E1546,DATABASE!C:Q,8,false)</f>
        <v>IBU</v>
      </c>
      <c r="P1546" s="65">
        <f>VLOOKUP(E1546,DATABASE!C:Q,9,False)</f>
        <v>1</v>
      </c>
      <c r="Q1546" s="93" t="str">
        <f>VLOOKUP(E1546,DATABASE!C:Q,4,false)</f>
        <v>Dunlop</v>
      </c>
      <c r="R1546" s="93" t="str">
        <f>VLOOKUP(E1546,DATABASE!C:Q,11,false)</f>
        <v>Tire</v>
      </c>
    </row>
    <row r="1547" ht="22.5" customHeight="1">
      <c r="A1547" s="49"/>
      <c r="C1547" s="384">
        <v>45742.0</v>
      </c>
      <c r="D1547" s="65">
        <v>4907.0</v>
      </c>
      <c r="E1547" s="445" t="s">
        <v>275</v>
      </c>
      <c r="F1547" s="386">
        <v>2.0</v>
      </c>
      <c r="G1547" s="74">
        <v>830000.0</v>
      </c>
      <c r="H1547" s="74">
        <v>0.0</v>
      </c>
      <c r="I1547" s="74">
        <f t="shared" si="1"/>
        <v>1660000</v>
      </c>
      <c r="J1547" s="74">
        <f>IF(E1547="SERVICE",I1547-(I1547*50%),Vlookup(E1547,DATABASE!C:Q,10,false)*F1547)</f>
        <v>0</v>
      </c>
      <c r="K1547" s="74">
        <v>735000.0</v>
      </c>
      <c r="L1547" s="74">
        <v>735000.0</v>
      </c>
      <c r="M1547" s="74">
        <f t="shared" si="2"/>
        <v>735000</v>
      </c>
      <c r="N1547" s="74">
        <f t="shared" si="3"/>
        <v>190000</v>
      </c>
      <c r="O1547" s="65" t="str">
        <f>VLOOKUP(E1547,DATABASE!C:Q,8,false)</f>
        <v>IBU</v>
      </c>
      <c r="P1547" s="65">
        <f>VLOOKUP(E1547,DATABASE!C:Q,9,False)</f>
        <v>1</v>
      </c>
      <c r="Q1547" s="93" t="str">
        <f>VLOOKUP(E1547,DATABASE!C:Q,4,false)</f>
        <v>Dunlop</v>
      </c>
      <c r="R1547" s="93" t="str">
        <f>VLOOKUP(E1547,DATABASE!C:Q,11,false)</f>
        <v>Tire</v>
      </c>
    </row>
    <row r="1548" ht="22.5" customHeight="1">
      <c r="A1548" s="49"/>
      <c r="C1548" s="384">
        <v>45742.0</v>
      </c>
      <c r="D1548" s="65">
        <v>4908.0</v>
      </c>
      <c r="E1548" s="445" t="s">
        <v>932</v>
      </c>
      <c r="F1548" s="386">
        <v>1.0</v>
      </c>
      <c r="G1548" s="74">
        <v>650000.0</v>
      </c>
      <c r="H1548" s="74">
        <v>0.0</v>
      </c>
      <c r="I1548" s="74">
        <f t="shared" si="1"/>
        <v>650000</v>
      </c>
      <c r="J1548" s="74">
        <f>IF(E1548="SERVICE",I1548-(I1548*50%),Vlookup(E1548,DATABASE!C:Q,10,false)*F1548)</f>
        <v>0</v>
      </c>
      <c r="K1548" s="74">
        <v>575000.0</v>
      </c>
      <c r="L1548" s="74">
        <v>575000.0</v>
      </c>
      <c r="M1548" s="74">
        <f t="shared" si="2"/>
        <v>575000</v>
      </c>
      <c r="N1548" s="74">
        <f t="shared" si="3"/>
        <v>75000</v>
      </c>
      <c r="O1548" s="65" t="str">
        <f>VLOOKUP(E1548,DATABASE!C:Q,8,false)</f>
        <v>IBU</v>
      </c>
      <c r="P1548" s="65">
        <f>VLOOKUP(E1548,DATABASE!C:Q,9,False)</f>
        <v>1</v>
      </c>
      <c r="Q1548" s="93" t="str">
        <f>VLOOKUP(E1548,DATABASE!C:Q,4,false)</f>
        <v>Dunlop</v>
      </c>
      <c r="R1548" s="93" t="str">
        <f>VLOOKUP(E1548,DATABASE!C:Q,11,false)</f>
        <v>Tire</v>
      </c>
    </row>
    <row r="1549" ht="22.5" customHeight="1">
      <c r="A1549" s="49"/>
      <c r="C1549" s="384">
        <v>45742.0</v>
      </c>
      <c r="D1549" s="65">
        <v>4909.0</v>
      </c>
      <c r="E1549" s="445" t="s">
        <v>288</v>
      </c>
      <c r="F1549" s="386">
        <v>2.0</v>
      </c>
      <c r="G1549" s="74">
        <v>620000.0</v>
      </c>
      <c r="H1549" s="74">
        <v>0.0</v>
      </c>
      <c r="I1549" s="74">
        <f t="shared" si="1"/>
        <v>1240000</v>
      </c>
      <c r="J1549" s="74">
        <f>IF(E1549="SERVICE",I1549-(I1549*50%),Vlookup(E1549,DATABASE!C:Q,10,false)*F1549)</f>
        <v>0</v>
      </c>
      <c r="K1549" s="74">
        <f>VLOOKUP(E1549,DATABASE!C:Q,7,false)</f>
        <v>565760</v>
      </c>
      <c r="L1549" s="74">
        <v>524800.0</v>
      </c>
      <c r="M1549" s="74">
        <f t="shared" si="2"/>
        <v>525000</v>
      </c>
      <c r="N1549" s="74">
        <f t="shared" si="3"/>
        <v>190000</v>
      </c>
      <c r="O1549" s="65" t="str">
        <f>VLOOKUP(E1549,DATABASE!C:Q,8,false)</f>
        <v>BIAN</v>
      </c>
      <c r="P1549" s="65">
        <f>VLOOKUP(E1549,DATABASE!C:Q,9,False)</f>
        <v>1</v>
      </c>
      <c r="Q1549" s="93" t="str">
        <f>VLOOKUP(E1549,DATABASE!C:Q,4,false)</f>
        <v>GT</v>
      </c>
      <c r="R1549" s="93" t="str">
        <f>VLOOKUP(E1549,DATABASE!C:Q,11,false)</f>
        <v>Tire</v>
      </c>
    </row>
    <row r="1550" ht="22.5" customHeight="1">
      <c r="A1550" s="49"/>
      <c r="C1550" s="384">
        <v>45742.0</v>
      </c>
      <c r="D1550" s="65">
        <v>4909.0</v>
      </c>
      <c r="E1550" s="445" t="s">
        <v>256</v>
      </c>
      <c r="F1550" s="386">
        <v>1.0</v>
      </c>
      <c r="G1550" s="74">
        <v>130000.0</v>
      </c>
      <c r="H1550" s="74">
        <v>0.0</v>
      </c>
      <c r="I1550" s="74">
        <f t="shared" si="1"/>
        <v>130000</v>
      </c>
      <c r="J1550" s="74">
        <f>IF(E1550="SERVICE",I1550-(I1550*50%),Vlookup(E1550,DATABASE!C:Q,10,false)*F1550)</f>
        <v>10000</v>
      </c>
      <c r="K1550" s="74">
        <f>VLOOKUP(E1550,DATABASE!C:Q,7,false)</f>
        <v>0</v>
      </c>
      <c r="L1550" s="74">
        <v>0.0</v>
      </c>
      <c r="M1550" s="74">
        <f t="shared" si="2"/>
        <v>0</v>
      </c>
      <c r="N1550" s="74">
        <f t="shared" si="3"/>
        <v>120000</v>
      </c>
      <c r="O1550" s="65" t="str">
        <f>VLOOKUP(E1550,DATABASE!C:Q,8,false)</f>
        <v>IBU</v>
      </c>
      <c r="P1550" s="65">
        <f>VLOOKUP(E1550,DATABASE!C:Q,9,False)</f>
        <v>0</v>
      </c>
      <c r="Q1550" s="93" t="str">
        <f>VLOOKUP(E1550,DATABASE!C:Q,4,false)</f>
        <v>SPOORING</v>
      </c>
      <c r="R1550" s="93" t="str">
        <f>VLOOKUP(E1550,DATABASE!C:Q,11,false)</f>
        <v>SERVICE</v>
      </c>
    </row>
    <row r="1551" ht="22.5" customHeight="1">
      <c r="A1551" s="49"/>
      <c r="C1551" s="384">
        <v>45742.0</v>
      </c>
      <c r="D1551" s="65">
        <v>4909.0</v>
      </c>
      <c r="E1551" s="445" t="s">
        <v>251</v>
      </c>
      <c r="F1551" s="386">
        <v>1.0</v>
      </c>
      <c r="G1551" s="74">
        <v>150000.0</v>
      </c>
      <c r="H1551" s="74">
        <v>0.0</v>
      </c>
      <c r="I1551" s="74">
        <f t="shared" si="1"/>
        <v>150000</v>
      </c>
      <c r="J1551" s="74">
        <f>IF(E1551="SERVICE",I1551-(I1551*50%),Vlookup(E1551,DATABASE!C:Q,10,false)*F1551)</f>
        <v>75000</v>
      </c>
      <c r="K1551" s="74">
        <f>VLOOKUP(E1551,DATABASE!C:Q,7,false)</f>
        <v>0</v>
      </c>
      <c r="L1551" s="74">
        <v>0.0</v>
      </c>
      <c r="M1551" s="74">
        <f t="shared" si="2"/>
        <v>0</v>
      </c>
      <c r="N1551" s="74">
        <f t="shared" si="3"/>
        <v>75000</v>
      </c>
      <c r="O1551" s="65" t="str">
        <f>VLOOKUP(E1551,DATABASE!C:Q,8,false)</f>
        <v>IBU</v>
      </c>
      <c r="P1551" s="65">
        <f>VLOOKUP(E1551,DATABASE!C:Q,9,False)</f>
        <v>0</v>
      </c>
      <c r="Q1551" s="93" t="str">
        <f>VLOOKUP(E1551,DATABASE!C:Q,4,false)</f>
        <v>SERVICE</v>
      </c>
      <c r="R1551" s="93" t="str">
        <f>VLOOKUP(E1551,DATABASE!C:Q,11,false)</f>
        <v>SERVICE</v>
      </c>
    </row>
    <row r="1552" ht="22.5" customHeight="1">
      <c r="A1552" s="49"/>
      <c r="C1552" s="384">
        <v>45742.0</v>
      </c>
      <c r="D1552" s="65">
        <v>4910.0</v>
      </c>
      <c r="E1552" s="445" t="s">
        <v>1892</v>
      </c>
      <c r="F1552" s="386">
        <v>2.0</v>
      </c>
      <c r="G1552" s="74">
        <v>1280000.0</v>
      </c>
      <c r="H1552" s="74">
        <v>0.0</v>
      </c>
      <c r="I1552" s="74">
        <f t="shared" si="1"/>
        <v>2560000</v>
      </c>
      <c r="J1552" s="74">
        <f>IF(E1552="SERVICE",I1552-(I1552*50%),Vlookup(E1552,DATABASE!C:Q,10,false)*F1552)</f>
        <v>0</v>
      </c>
      <c r="K1552" s="74">
        <f>VLOOKUP(E1552,DATABASE!C:Q,7,false)</f>
        <v>1325000</v>
      </c>
      <c r="L1552" s="74">
        <v>1170000.0</v>
      </c>
      <c r="M1552" s="74">
        <f t="shared" si="2"/>
        <v>1170000</v>
      </c>
      <c r="N1552" s="74">
        <f t="shared" si="3"/>
        <v>220000</v>
      </c>
      <c r="O1552" s="65" t="str">
        <f>VLOOKUP(E1552,DATABASE!C:Q,8,false)</f>
        <v>BIAN</v>
      </c>
      <c r="P1552" s="65">
        <f>VLOOKUP(E1552,DATABASE!C:Q,9,False)</f>
        <v>1</v>
      </c>
      <c r="Q1552" s="93" t="str">
        <f>VLOOKUP(E1552,DATABASE!C:Q,4,false)</f>
        <v>Michellin</v>
      </c>
      <c r="R1552" s="93" t="str">
        <f>VLOOKUP(E1552,DATABASE!C:Q,11,false)</f>
        <v>Tire</v>
      </c>
    </row>
    <row r="1553" ht="22.5" customHeight="1">
      <c r="A1553" s="49"/>
      <c r="C1553" s="384">
        <v>45742.0</v>
      </c>
      <c r="D1553" s="65">
        <v>4910.0</v>
      </c>
      <c r="E1553" s="385" t="s">
        <v>299</v>
      </c>
      <c r="F1553" s="386">
        <v>2.0</v>
      </c>
      <c r="G1553" s="74">
        <v>30000.0</v>
      </c>
      <c r="H1553" s="74">
        <v>0.0</v>
      </c>
      <c r="I1553" s="74">
        <f t="shared" si="1"/>
        <v>60000</v>
      </c>
      <c r="J1553" s="74">
        <f>IF(E1553="SERVICE",I1553-(I1553*50%),Vlookup(E1553,DATABASE!C:Q,10,false)*F1553)</f>
        <v>0</v>
      </c>
      <c r="K1553" s="74">
        <v>0.0</v>
      </c>
      <c r="L1553" s="74">
        <v>0.0</v>
      </c>
      <c r="M1553" s="74">
        <f t="shared" si="2"/>
        <v>0</v>
      </c>
      <c r="N1553" s="74">
        <f t="shared" si="3"/>
        <v>60000</v>
      </c>
      <c r="O1553" s="65" t="str">
        <f>VLOOKUP(E1553,DATABASE!C:Q,8,false)</f>
        <v>BIAN</v>
      </c>
      <c r="P1553" s="65">
        <f>VLOOKUP(E1553,DATABASE!C:Q,9,False)</f>
        <v>0</v>
      </c>
      <c r="Q1553" s="93" t="str">
        <f>VLOOKUP(E1553,DATABASE!C:Q,4,false)</f>
        <v>Balancing</v>
      </c>
      <c r="R1553" s="93" t="str">
        <f>VLOOKUP(E1553,DATABASE!C:Q,11,false)</f>
        <v>COMPLEMENTARY</v>
      </c>
    </row>
    <row r="1554" ht="22.5" customHeight="1">
      <c r="A1554" s="49"/>
      <c r="C1554" s="384">
        <v>45742.0</v>
      </c>
      <c r="D1554" s="65">
        <v>4911.0</v>
      </c>
      <c r="E1554" s="445" t="s">
        <v>1009</v>
      </c>
      <c r="F1554" s="386">
        <v>2.0</v>
      </c>
      <c r="G1554" s="74">
        <v>700000.0</v>
      </c>
      <c r="H1554" s="74">
        <v>0.0</v>
      </c>
      <c r="I1554" s="74">
        <f t="shared" si="1"/>
        <v>1400000</v>
      </c>
      <c r="J1554" s="74">
        <f>IF(E1554="SERVICE",I1554-(I1554*50%),Vlookup(E1554,DATABASE!C:Q,10,false)*F1554)</f>
        <v>0</v>
      </c>
      <c r="K1554" s="74">
        <f>VLOOKUP(E1554,DATABASE!C:Q,7,false)</f>
        <v>609800</v>
      </c>
      <c r="L1554" s="74">
        <v>592200.0</v>
      </c>
      <c r="M1554" s="74">
        <f t="shared" si="2"/>
        <v>595000</v>
      </c>
      <c r="N1554" s="74">
        <f t="shared" si="3"/>
        <v>210000</v>
      </c>
      <c r="O1554" s="65" t="str">
        <f>VLOOKUP(E1554,DATABASE!C:Q,8,false)</f>
        <v>BIAN</v>
      </c>
      <c r="P1554" s="65">
        <f>VLOOKUP(E1554,DATABASE!C:Q,9,False)</f>
        <v>1</v>
      </c>
      <c r="Q1554" s="93" t="str">
        <f>VLOOKUP(E1554,DATABASE!C:Q,4,false)</f>
        <v>GT</v>
      </c>
      <c r="R1554" s="93" t="str">
        <f>VLOOKUP(E1554,DATABASE!C:Q,11,false)</f>
        <v>Tire</v>
      </c>
    </row>
    <row r="1555" ht="22.5" customHeight="1">
      <c r="A1555" s="49"/>
      <c r="C1555" s="384">
        <v>45742.0</v>
      </c>
      <c r="D1555" s="65">
        <v>4912.0</v>
      </c>
      <c r="E1555" s="445" t="s">
        <v>246</v>
      </c>
      <c r="F1555" s="386">
        <v>1.0</v>
      </c>
      <c r="G1555" s="74">
        <v>25000.0</v>
      </c>
      <c r="H1555" s="74">
        <v>0.0</v>
      </c>
      <c r="I1555" s="74">
        <f t="shared" si="1"/>
        <v>25000</v>
      </c>
      <c r="J1555" s="74">
        <f>IF(E1555="SERVICE",I1555-(I1555*50%),Vlookup(E1555,DATABASE!C:Q,10,false)*F1555)</f>
        <v>0</v>
      </c>
      <c r="K1555" s="74">
        <f>VLOOKUP(E1555,DATABASE!C:Q,7,false)</f>
        <v>0</v>
      </c>
      <c r="L1555" s="74">
        <v>0.0</v>
      </c>
      <c r="M1555" s="74">
        <f t="shared" si="2"/>
        <v>0</v>
      </c>
      <c r="N1555" s="74">
        <f t="shared" si="3"/>
        <v>25000</v>
      </c>
      <c r="O1555" s="65" t="str">
        <f>VLOOKUP(E1555,DATABASE!C:Q,8,false)</f>
        <v>IBU</v>
      </c>
      <c r="P1555" s="65">
        <f>VLOOKUP(E1555,DATABASE!C:Q,9,False)</f>
        <v>0</v>
      </c>
      <c r="Q1555" s="93" t="str">
        <f>VLOOKUP(E1555,DATABASE!C:Q,4,false)</f>
        <v>Bongkar Pasang</v>
      </c>
      <c r="R1555" s="93" t="str">
        <f>VLOOKUP(E1555,DATABASE!C:Q,11,false)</f>
        <v>SERVICE</v>
      </c>
    </row>
    <row r="1556" ht="22.5" customHeight="1">
      <c r="A1556" s="49"/>
      <c r="C1556" s="384">
        <v>45742.0</v>
      </c>
      <c r="D1556" s="65">
        <v>4913.0</v>
      </c>
      <c r="E1556" s="445" t="s">
        <v>256</v>
      </c>
      <c r="F1556" s="386">
        <v>1.0</v>
      </c>
      <c r="G1556" s="74">
        <v>110000.0</v>
      </c>
      <c r="H1556" s="74">
        <v>0.0</v>
      </c>
      <c r="I1556" s="74">
        <f t="shared" si="1"/>
        <v>110000</v>
      </c>
      <c r="J1556" s="74">
        <f>IF(E1556="SERVICE",I1556-(I1556*50%),Vlookup(E1556,DATABASE!C:Q,10,false)*F1556)</f>
        <v>10000</v>
      </c>
      <c r="K1556" s="74">
        <f>VLOOKUP(E1556,DATABASE!C:Q,7,false)</f>
        <v>0</v>
      </c>
      <c r="L1556" s="74">
        <v>0.0</v>
      </c>
      <c r="M1556" s="74">
        <f t="shared" si="2"/>
        <v>0</v>
      </c>
      <c r="N1556" s="74">
        <f t="shared" si="3"/>
        <v>100000</v>
      </c>
      <c r="O1556" s="65" t="str">
        <f>VLOOKUP(E1556,DATABASE!C:Q,8,false)</f>
        <v>IBU</v>
      </c>
      <c r="P1556" s="65">
        <f>VLOOKUP(E1556,DATABASE!C:Q,9,False)</f>
        <v>0</v>
      </c>
      <c r="Q1556" s="93" t="str">
        <f>VLOOKUP(E1556,DATABASE!C:Q,4,false)</f>
        <v>SPOORING</v>
      </c>
      <c r="R1556" s="93" t="str">
        <f>VLOOKUP(E1556,DATABASE!C:Q,11,false)</f>
        <v>SERVICE</v>
      </c>
    </row>
    <row r="1557" ht="22.5" customHeight="1">
      <c r="A1557" s="49"/>
      <c r="C1557" s="384">
        <v>45742.0</v>
      </c>
      <c r="D1557" s="65">
        <v>4914.0</v>
      </c>
      <c r="E1557" s="445" t="s">
        <v>268</v>
      </c>
      <c r="F1557" s="386">
        <v>2.0</v>
      </c>
      <c r="G1557" s="74">
        <v>700000.0</v>
      </c>
      <c r="H1557" s="74">
        <v>0.0</v>
      </c>
      <c r="I1557" s="74">
        <f t="shared" si="1"/>
        <v>1400000</v>
      </c>
      <c r="J1557" s="74">
        <f>IF(E1557="SERVICE",I1557-(I1557*50%),Vlookup(E1557,DATABASE!C:Q,10,false)*F1557)</f>
        <v>0</v>
      </c>
      <c r="K1557" s="74">
        <v>613000.0</v>
      </c>
      <c r="L1557" s="74">
        <v>613000.0</v>
      </c>
      <c r="M1557" s="74">
        <f t="shared" si="2"/>
        <v>615000</v>
      </c>
      <c r="N1557" s="74">
        <f t="shared" si="3"/>
        <v>170000</v>
      </c>
      <c r="O1557" s="65" t="str">
        <f>VLOOKUP(E1557,DATABASE!C:Q,8,false)</f>
        <v>IBU</v>
      </c>
      <c r="P1557" s="65">
        <f>VLOOKUP(E1557,DATABASE!C:Q,9,False)</f>
        <v>1</v>
      </c>
      <c r="Q1557" s="93" t="str">
        <f>VLOOKUP(E1557,DATABASE!C:Q,4,false)</f>
        <v>Dunlop</v>
      </c>
      <c r="R1557" s="93" t="str">
        <f>VLOOKUP(E1557,DATABASE!C:Q,11,false)</f>
        <v>Tire</v>
      </c>
    </row>
    <row r="1558" ht="22.5" customHeight="1">
      <c r="A1558" s="49"/>
      <c r="C1558" s="384">
        <v>45742.0</v>
      </c>
      <c r="D1558" s="65">
        <v>4915.0</v>
      </c>
      <c r="E1558" s="445" t="s">
        <v>250</v>
      </c>
      <c r="F1558" s="386">
        <v>1.0</v>
      </c>
      <c r="G1558" s="74">
        <v>135000.0</v>
      </c>
      <c r="H1558" s="74">
        <v>0.0</v>
      </c>
      <c r="I1558" s="74">
        <f t="shared" si="1"/>
        <v>135000</v>
      </c>
      <c r="J1558" s="74">
        <f>IF(E1558="SERVICE",I1558-(I1558*50%),Vlookup(E1558,DATABASE!C:Q,10,false)*F1558)</f>
        <v>0</v>
      </c>
      <c r="K1558" s="74">
        <f>VLOOKUP(E1558,DATABASE!C:Q,7,false)</f>
        <v>102000</v>
      </c>
      <c r="L1558" s="74">
        <v>102000.0</v>
      </c>
      <c r="M1558" s="74">
        <f t="shared" si="2"/>
        <v>105000</v>
      </c>
      <c r="N1558" s="74">
        <f t="shared" si="3"/>
        <v>30000</v>
      </c>
      <c r="O1558" s="65" t="str">
        <f>VLOOKUP(E1558,DATABASE!C:Q,8,false)</f>
        <v>BIAN</v>
      </c>
      <c r="P1558" s="65">
        <f>VLOOKUP(E1558,DATABASE!C:Q,9,False)</f>
        <v>1</v>
      </c>
      <c r="Q1558" s="93" t="str">
        <f>VLOOKUP(E1558,DATABASE!C:Q,4,false)</f>
        <v>BD</v>
      </c>
      <c r="R1558" s="93" t="str">
        <f>VLOOKUP(E1558,DATABASE!C:Q,11,false)</f>
        <v>Tire</v>
      </c>
    </row>
    <row r="1559" ht="22.5" customHeight="1">
      <c r="A1559" s="49"/>
      <c r="C1559" s="384">
        <v>45742.0</v>
      </c>
      <c r="D1559" s="65">
        <v>4916.0</v>
      </c>
      <c r="E1559" s="445" t="s">
        <v>256</v>
      </c>
      <c r="F1559" s="386">
        <v>1.0</v>
      </c>
      <c r="G1559" s="74">
        <v>130000.0</v>
      </c>
      <c r="H1559" s="74">
        <v>0.0</v>
      </c>
      <c r="I1559" s="74">
        <f t="shared" si="1"/>
        <v>130000</v>
      </c>
      <c r="J1559" s="74">
        <f>IF(E1559="SERVICE",I1559-(I1559*50%),Vlookup(E1559,DATABASE!C:Q,10,false)*F1559)</f>
        <v>10000</v>
      </c>
      <c r="K1559" s="74">
        <f>VLOOKUP(E1559,DATABASE!C:Q,7,false)</f>
        <v>0</v>
      </c>
      <c r="L1559" s="74">
        <v>0.0</v>
      </c>
      <c r="M1559" s="74">
        <f t="shared" si="2"/>
        <v>0</v>
      </c>
      <c r="N1559" s="74">
        <f t="shared" si="3"/>
        <v>120000</v>
      </c>
      <c r="O1559" s="65" t="str">
        <f>VLOOKUP(E1559,DATABASE!C:Q,8,false)</f>
        <v>IBU</v>
      </c>
      <c r="P1559" s="65">
        <f>VLOOKUP(E1559,DATABASE!C:Q,9,False)</f>
        <v>0</v>
      </c>
      <c r="Q1559" s="93" t="str">
        <f>VLOOKUP(E1559,DATABASE!C:Q,4,false)</f>
        <v>SPOORING</v>
      </c>
      <c r="R1559" s="93" t="str">
        <f>VLOOKUP(E1559,DATABASE!C:Q,11,false)</f>
        <v>SERVICE</v>
      </c>
    </row>
    <row r="1560" ht="22.5" customHeight="1">
      <c r="A1560" s="49"/>
      <c r="C1560" s="384">
        <v>45742.0</v>
      </c>
      <c r="D1560" s="65">
        <v>4916.0</v>
      </c>
      <c r="E1560" s="385" t="s">
        <v>299</v>
      </c>
      <c r="F1560" s="386">
        <v>2.0</v>
      </c>
      <c r="G1560" s="74">
        <v>30000.0</v>
      </c>
      <c r="H1560" s="74">
        <v>0.0</v>
      </c>
      <c r="I1560" s="74">
        <f t="shared" si="1"/>
        <v>60000</v>
      </c>
      <c r="J1560" s="74">
        <f>IF(E1560="SERVICE",I1560-(I1560*50%),Vlookup(E1560,DATABASE!C:Q,10,false)*F1560)</f>
        <v>0</v>
      </c>
      <c r="K1560" s="74">
        <v>0.0</v>
      </c>
      <c r="L1560" s="74">
        <v>0.0</v>
      </c>
      <c r="M1560" s="74">
        <f t="shared" si="2"/>
        <v>0</v>
      </c>
      <c r="N1560" s="74">
        <f t="shared" si="3"/>
        <v>60000</v>
      </c>
      <c r="O1560" s="65" t="str">
        <f>VLOOKUP(E1560,DATABASE!C:Q,8,false)</f>
        <v>BIAN</v>
      </c>
      <c r="P1560" s="65">
        <f>VLOOKUP(E1560,DATABASE!C:Q,9,False)</f>
        <v>0</v>
      </c>
      <c r="Q1560" s="93" t="str">
        <f>VLOOKUP(E1560,DATABASE!C:Q,4,false)</f>
        <v>Balancing</v>
      </c>
      <c r="R1560" s="93" t="str">
        <f>VLOOKUP(E1560,DATABASE!C:Q,11,false)</f>
        <v>COMPLEMENTARY</v>
      </c>
    </row>
    <row r="1561" ht="22.5" customHeight="1">
      <c r="A1561" s="49"/>
      <c r="C1561" s="384">
        <v>45742.0</v>
      </c>
      <c r="D1561" s="65">
        <v>4916.0</v>
      </c>
      <c r="E1561" s="445" t="s">
        <v>301</v>
      </c>
      <c r="F1561" s="386">
        <v>1.0</v>
      </c>
      <c r="G1561" s="74">
        <v>250000.0</v>
      </c>
      <c r="H1561" s="74">
        <v>0.0</v>
      </c>
      <c r="I1561" s="74">
        <f t="shared" si="1"/>
        <v>250000</v>
      </c>
      <c r="J1561" s="74">
        <f>IF(E1561="SERVICE",I1561-(I1561*50%),Vlookup(E1561,DATABASE!C:Q,10,false)*F1561)</f>
        <v>75000</v>
      </c>
      <c r="K1561" s="74">
        <f>VLOOKUP(E1561,DATABASE!C:Q,7,false)</f>
        <v>75000</v>
      </c>
      <c r="L1561" s="74">
        <v>75000.0</v>
      </c>
      <c r="M1561" s="74">
        <f t="shared" si="2"/>
        <v>75000</v>
      </c>
      <c r="N1561" s="74">
        <f t="shared" si="3"/>
        <v>100000</v>
      </c>
      <c r="O1561" s="65" t="str">
        <f>VLOOKUP(E1561,DATABASE!C:Q,8,false)</f>
        <v>BIAN</v>
      </c>
      <c r="P1561" s="65">
        <f>VLOOKUP(E1561,DATABASE!C:Q,9,False)</f>
        <v>0</v>
      </c>
      <c r="Q1561" s="93" t="str">
        <f>VLOOKUP(E1561,DATABASE!C:Q,4,false)</f>
        <v>Baut Camber</v>
      </c>
      <c r="R1561" s="93" t="str">
        <f>VLOOKUP(E1561,DATABASE!C:Q,11,false)</f>
        <v>COMPLEMENTARY</v>
      </c>
    </row>
    <row r="1562" ht="22.5" customHeight="1">
      <c r="A1562" s="49"/>
      <c r="C1562" s="384">
        <v>45742.0</v>
      </c>
      <c r="D1562" s="65">
        <v>4917.0</v>
      </c>
      <c r="E1562" s="445" t="s">
        <v>1530</v>
      </c>
      <c r="F1562" s="386">
        <v>1.0</v>
      </c>
      <c r="G1562" s="74">
        <v>560000.0</v>
      </c>
      <c r="H1562" s="74">
        <v>0.0</v>
      </c>
      <c r="I1562" s="74">
        <f t="shared" si="1"/>
        <v>560000</v>
      </c>
      <c r="J1562" s="74">
        <f>IF(E1562="SERVICE",I1562-(I1562*50%),Vlookup(E1562,DATABASE!C:Q,10,false)*F1562)</f>
        <v>0</v>
      </c>
      <c r="K1562" s="74">
        <f>VLOOKUP(E1562,DATABASE!C:Q,7,false)</f>
        <v>467000</v>
      </c>
      <c r="L1562" s="74">
        <v>454000.0</v>
      </c>
      <c r="M1562" s="74">
        <f t="shared" si="2"/>
        <v>455000</v>
      </c>
      <c r="N1562" s="74">
        <f t="shared" si="3"/>
        <v>105000</v>
      </c>
      <c r="O1562" s="65" t="str">
        <f>VLOOKUP(E1562,DATABASE!C:Q,8,false)</f>
        <v>BIAN</v>
      </c>
      <c r="P1562" s="65">
        <f>VLOOKUP(E1562,DATABASE!C:Q,9,False)</f>
        <v>1</v>
      </c>
      <c r="Q1562" s="93" t="str">
        <f>VLOOKUP(E1562,DATABASE!C:Q,4,false)</f>
        <v>Laufen</v>
      </c>
      <c r="R1562" s="93" t="str">
        <f>VLOOKUP(E1562,DATABASE!C:Q,11,false)</f>
        <v>Tire</v>
      </c>
    </row>
    <row r="1563" ht="22.5" customHeight="1">
      <c r="A1563" s="49"/>
      <c r="C1563" s="384">
        <v>45742.0</v>
      </c>
      <c r="D1563" s="65">
        <v>4918.0</v>
      </c>
      <c r="E1563" s="445" t="s">
        <v>1430</v>
      </c>
      <c r="F1563" s="386">
        <v>2.0</v>
      </c>
      <c r="G1563" s="74">
        <v>760000.0</v>
      </c>
      <c r="H1563" s="74">
        <v>0.0</v>
      </c>
      <c r="I1563" s="74">
        <f t="shared" si="1"/>
        <v>1520000</v>
      </c>
      <c r="J1563" s="74">
        <f>IF(E1563="SERVICE",I1563-(I1563*50%),Vlookup(E1563,DATABASE!C:Q,10,false)*F1563)</f>
        <v>0</v>
      </c>
      <c r="K1563" s="74">
        <f>VLOOKUP(E1563,DATABASE!C:Q,7,false)</f>
        <v>672800</v>
      </c>
      <c r="L1563" s="74">
        <v>659610.0</v>
      </c>
      <c r="M1563" s="74">
        <f t="shared" si="2"/>
        <v>660000</v>
      </c>
      <c r="N1563" s="74">
        <f t="shared" si="3"/>
        <v>200000</v>
      </c>
      <c r="O1563" s="65" t="str">
        <f>VLOOKUP(E1563,DATABASE!C:Q,8,false)</f>
        <v>BIAN</v>
      </c>
      <c r="P1563" s="65">
        <f>VLOOKUP(E1563,DATABASE!C:Q,9,False)</f>
        <v>1</v>
      </c>
      <c r="Q1563" s="93" t="str">
        <f>VLOOKUP(E1563,DATABASE!C:Q,4,false)</f>
        <v>GT</v>
      </c>
      <c r="R1563" s="93" t="str">
        <f>VLOOKUP(E1563,DATABASE!C:Q,11,false)</f>
        <v>Tire</v>
      </c>
    </row>
    <row r="1564" ht="22.5" customHeight="1">
      <c r="A1564" s="49"/>
      <c r="C1564" s="384">
        <v>45742.0</v>
      </c>
      <c r="D1564" s="65">
        <v>4918.0</v>
      </c>
      <c r="E1564" s="385" t="s">
        <v>299</v>
      </c>
      <c r="F1564" s="386">
        <v>2.0</v>
      </c>
      <c r="G1564" s="74">
        <v>30000.0</v>
      </c>
      <c r="H1564" s="74">
        <v>0.0</v>
      </c>
      <c r="I1564" s="74">
        <f t="shared" si="1"/>
        <v>60000</v>
      </c>
      <c r="J1564" s="74">
        <f>IF(E1564="SERVICE",I1564-(I1564*50%),Vlookup(E1564,DATABASE!C:Q,10,false)*F1564)</f>
        <v>0</v>
      </c>
      <c r="K1564" s="74">
        <v>0.0</v>
      </c>
      <c r="L1564" s="74">
        <v>0.0</v>
      </c>
      <c r="M1564" s="74">
        <f t="shared" si="2"/>
        <v>0</v>
      </c>
      <c r="N1564" s="74">
        <f t="shared" si="3"/>
        <v>60000</v>
      </c>
      <c r="O1564" s="65" t="str">
        <f>VLOOKUP(E1564,DATABASE!C:Q,8,false)</f>
        <v>BIAN</v>
      </c>
      <c r="P1564" s="65">
        <f>VLOOKUP(E1564,DATABASE!C:Q,9,False)</f>
        <v>0</v>
      </c>
      <c r="Q1564" s="93" t="str">
        <f>VLOOKUP(E1564,DATABASE!C:Q,4,false)</f>
        <v>Balancing</v>
      </c>
      <c r="R1564" s="93" t="str">
        <f>VLOOKUP(E1564,DATABASE!C:Q,11,false)</f>
        <v>COMPLEMENTARY</v>
      </c>
    </row>
    <row r="1565" ht="22.5" customHeight="1">
      <c r="A1565" s="49"/>
      <c r="C1565" s="384">
        <v>45742.0</v>
      </c>
      <c r="D1565" s="65">
        <v>4919.0</v>
      </c>
      <c r="E1565" s="445" t="s">
        <v>847</v>
      </c>
      <c r="F1565" s="386">
        <v>2.0</v>
      </c>
      <c r="G1565" s="74">
        <v>775000.0</v>
      </c>
      <c r="H1565" s="74">
        <v>0.0</v>
      </c>
      <c r="I1565" s="74">
        <f t="shared" si="1"/>
        <v>1550000</v>
      </c>
      <c r="J1565" s="74">
        <f>IF(E1565="SERVICE",I1565-(I1565*50%),Vlookup(E1565,DATABASE!C:Q,10,false)*F1565)</f>
        <v>0</v>
      </c>
      <c r="K1565" s="74">
        <f>VLOOKUP(E1565,DATABASE!C:Q,7,false)</f>
        <v>718080</v>
      </c>
      <c r="L1565" s="74">
        <v>672210.0</v>
      </c>
      <c r="M1565" s="74">
        <f t="shared" si="2"/>
        <v>675000</v>
      </c>
      <c r="N1565" s="74">
        <f t="shared" si="3"/>
        <v>200000</v>
      </c>
      <c r="O1565" s="65" t="str">
        <f>VLOOKUP(E1565,DATABASE!C:Q,8,false)</f>
        <v>BIAN</v>
      </c>
      <c r="P1565" s="65">
        <f>VLOOKUP(E1565,DATABASE!C:Q,9,False)</f>
        <v>1</v>
      </c>
      <c r="Q1565" s="93" t="str">
        <f>VLOOKUP(E1565,DATABASE!C:Q,4,false)</f>
        <v>GT</v>
      </c>
      <c r="R1565" s="93" t="str">
        <f>VLOOKUP(E1565,DATABASE!C:Q,11,false)</f>
        <v>Tire</v>
      </c>
    </row>
    <row r="1566" ht="22.5" customHeight="1">
      <c r="A1566" s="49"/>
      <c r="C1566" s="384">
        <v>45742.0</v>
      </c>
      <c r="D1566" s="65">
        <v>4920.0</v>
      </c>
      <c r="E1566" s="445" t="s">
        <v>2135</v>
      </c>
      <c r="F1566" s="386">
        <v>2.0</v>
      </c>
      <c r="G1566" s="74">
        <v>10000.0</v>
      </c>
      <c r="H1566" s="74">
        <v>0.0</v>
      </c>
      <c r="I1566" s="74">
        <f t="shared" si="1"/>
        <v>20000</v>
      </c>
      <c r="J1566" s="74">
        <f>IF(E1566="SERVICE",I1566-(I1566*50%),Vlookup(E1566,DATABASE!C:Q,10,false)*F1566)</f>
        <v>0</v>
      </c>
      <c r="K1566" s="74">
        <f>VLOOKUP(E1566,DATABASE!C:Q,7,false)</f>
        <v>0</v>
      </c>
      <c r="L1566" s="74">
        <v>0.0</v>
      </c>
      <c r="M1566" s="74">
        <f t="shared" si="2"/>
        <v>0</v>
      </c>
      <c r="N1566" s="74">
        <f t="shared" si="3"/>
        <v>20000</v>
      </c>
      <c r="O1566" s="65" t="str">
        <f>VLOOKUP(E1566,DATABASE!C:Q,8,false)</f>
        <v>IBU</v>
      </c>
      <c r="P1566" s="65">
        <f>VLOOKUP(E1566,DATABASE!C:Q,9,False)</f>
        <v>0</v>
      </c>
      <c r="Q1566" s="93" t="str">
        <f>VLOOKUP(E1566,DATABASE!C:Q,4,false)</f>
        <v>NITROGEN</v>
      </c>
      <c r="R1566" s="93" t="str">
        <f>VLOOKUP(E1566,DATABASE!C:Q,11,false)</f>
        <v>COMPLEMENTARY</v>
      </c>
    </row>
    <row r="1567" ht="22.5" customHeight="1">
      <c r="A1567" s="49"/>
      <c r="C1567" s="384">
        <v>45742.0</v>
      </c>
      <c r="D1567" s="65">
        <v>4921.0</v>
      </c>
      <c r="E1567" s="445" t="s">
        <v>591</v>
      </c>
      <c r="F1567" s="386">
        <v>2.0</v>
      </c>
      <c r="G1567" s="74">
        <v>680000.0</v>
      </c>
      <c r="H1567" s="74">
        <v>0.0</v>
      </c>
      <c r="I1567" s="74">
        <f t="shared" si="1"/>
        <v>1360000</v>
      </c>
      <c r="J1567" s="74">
        <f>IF(E1567="SERVICE",I1567-(I1567*50%),Vlookup(E1567,DATABASE!C:Q,10,false)*F1567)</f>
        <v>0</v>
      </c>
      <c r="K1567" s="74">
        <f>VLOOKUP(E1567,DATABASE!C:Q,7,false)</f>
        <v>633035.16</v>
      </c>
      <c r="L1567" s="74">
        <v>593488.4</v>
      </c>
      <c r="M1567" s="74">
        <f t="shared" si="2"/>
        <v>595000</v>
      </c>
      <c r="N1567" s="74">
        <f t="shared" si="3"/>
        <v>170000</v>
      </c>
      <c r="O1567" s="65" t="str">
        <f>VLOOKUP(E1567,DATABASE!C:Q,8,false)</f>
        <v>IBU</v>
      </c>
      <c r="P1567" s="65">
        <f>VLOOKUP(E1567,DATABASE!C:Q,9,False)</f>
        <v>1</v>
      </c>
      <c r="Q1567" s="93" t="str">
        <f>VLOOKUP(E1567,DATABASE!C:Q,4,false)</f>
        <v>Bridgestone</v>
      </c>
      <c r="R1567" s="93" t="str">
        <f>VLOOKUP(E1567,DATABASE!C:Q,11,false)</f>
        <v>Tire</v>
      </c>
    </row>
    <row r="1568" ht="22.5" customHeight="1">
      <c r="A1568" s="49"/>
      <c r="C1568" s="384">
        <v>45742.0</v>
      </c>
      <c r="D1568" s="65">
        <v>4921.0</v>
      </c>
      <c r="E1568" s="385" t="s">
        <v>299</v>
      </c>
      <c r="F1568" s="386">
        <v>2.0</v>
      </c>
      <c r="G1568" s="74">
        <v>30000.0</v>
      </c>
      <c r="H1568" s="74">
        <v>0.0</v>
      </c>
      <c r="I1568" s="74">
        <f t="shared" si="1"/>
        <v>60000</v>
      </c>
      <c r="J1568" s="74">
        <f>IF(E1568="SERVICE",I1568-(I1568*50%),Vlookup(E1568,DATABASE!C:Q,10,false)*F1568)</f>
        <v>0</v>
      </c>
      <c r="K1568" s="74">
        <v>0.0</v>
      </c>
      <c r="L1568" s="74">
        <v>0.0</v>
      </c>
      <c r="M1568" s="74">
        <f t="shared" si="2"/>
        <v>0</v>
      </c>
      <c r="N1568" s="74">
        <f t="shared" si="3"/>
        <v>60000</v>
      </c>
      <c r="O1568" s="65" t="str">
        <f>VLOOKUP(E1568,DATABASE!C:Q,8,false)</f>
        <v>BIAN</v>
      </c>
      <c r="P1568" s="65">
        <f>VLOOKUP(E1568,DATABASE!C:Q,9,False)</f>
        <v>0</v>
      </c>
      <c r="Q1568" s="93" t="str">
        <f>VLOOKUP(E1568,DATABASE!C:Q,4,false)</f>
        <v>Balancing</v>
      </c>
      <c r="R1568" s="93" t="str">
        <f>VLOOKUP(E1568,DATABASE!C:Q,11,false)</f>
        <v>COMPLEMENTARY</v>
      </c>
    </row>
    <row r="1569" ht="22.5" customHeight="1">
      <c r="A1569" s="49"/>
      <c r="C1569" s="384">
        <v>45742.0</v>
      </c>
      <c r="D1569" s="65">
        <v>4922.0</v>
      </c>
      <c r="E1569" s="445" t="s">
        <v>614</v>
      </c>
      <c r="F1569" s="386">
        <v>1.0</v>
      </c>
      <c r="G1569" s="74">
        <v>860000.0</v>
      </c>
      <c r="H1569" s="74">
        <v>0.0</v>
      </c>
      <c r="I1569" s="74">
        <f t="shared" si="1"/>
        <v>860000</v>
      </c>
      <c r="J1569" s="74">
        <f>IF(E1569="SERVICE",I1569-(I1569*50%),Vlookup(E1569,DATABASE!C:Q,10,false)*F1569)</f>
        <v>0</v>
      </c>
      <c r="K1569" s="74">
        <f>VLOOKUP(E1569,DATABASE!C:Q,7,false)</f>
        <v>754660.6</v>
      </c>
      <c r="L1569" s="74">
        <v>766438.4</v>
      </c>
      <c r="M1569" s="74">
        <f t="shared" si="2"/>
        <v>770000</v>
      </c>
      <c r="N1569" s="74">
        <f t="shared" si="3"/>
        <v>90000</v>
      </c>
      <c r="O1569" s="65" t="str">
        <f>VLOOKUP(E1569,DATABASE!C:Q,8,false)</f>
        <v>IBU</v>
      </c>
      <c r="P1569" s="65">
        <f>VLOOKUP(E1569,DATABASE!C:Q,9,False)</f>
        <v>1</v>
      </c>
      <c r="Q1569" s="93" t="str">
        <f>VLOOKUP(E1569,DATABASE!C:Q,4,false)</f>
        <v>Bridgestone</v>
      </c>
      <c r="R1569" s="93" t="str">
        <f>VLOOKUP(E1569,DATABASE!C:Q,11,false)</f>
        <v>Tire</v>
      </c>
    </row>
    <row r="1570" ht="22.5" customHeight="1">
      <c r="A1570" s="49"/>
      <c r="C1570" s="384">
        <v>45742.0</v>
      </c>
      <c r="D1570" s="65">
        <v>4922.0</v>
      </c>
      <c r="E1570" s="445" t="s">
        <v>2135</v>
      </c>
      <c r="F1570" s="386">
        <v>1.0</v>
      </c>
      <c r="G1570" s="74">
        <v>15000.0</v>
      </c>
      <c r="H1570" s="74">
        <v>0.0</v>
      </c>
      <c r="I1570" s="74">
        <f t="shared" si="1"/>
        <v>15000</v>
      </c>
      <c r="J1570" s="74">
        <f>IF(E1570="SERVICE",I1570-(I1570*50%),Vlookup(E1570,DATABASE!C:Q,10,false)*F1570)</f>
        <v>0</v>
      </c>
      <c r="K1570" s="74">
        <f>VLOOKUP(E1570,DATABASE!C:Q,7,false)</f>
        <v>0</v>
      </c>
      <c r="L1570" s="74">
        <v>0.0</v>
      </c>
      <c r="M1570" s="74">
        <f t="shared" si="2"/>
        <v>0</v>
      </c>
      <c r="N1570" s="74">
        <f t="shared" si="3"/>
        <v>15000</v>
      </c>
      <c r="O1570" s="65" t="str">
        <f>VLOOKUP(E1570,DATABASE!C:Q,8,false)</f>
        <v>IBU</v>
      </c>
      <c r="P1570" s="65">
        <f>VLOOKUP(E1570,DATABASE!C:Q,9,False)</f>
        <v>0</v>
      </c>
      <c r="Q1570" s="93" t="str">
        <f>VLOOKUP(E1570,DATABASE!C:Q,4,false)</f>
        <v>NITROGEN</v>
      </c>
      <c r="R1570" s="93" t="str">
        <f>VLOOKUP(E1570,DATABASE!C:Q,11,false)</f>
        <v>COMPLEMENTARY</v>
      </c>
    </row>
    <row r="1571" ht="22.5" customHeight="1">
      <c r="A1571" s="49"/>
      <c r="C1571" s="384">
        <v>45742.0</v>
      </c>
      <c r="D1571" s="65">
        <v>4923.0</v>
      </c>
      <c r="E1571" s="445" t="s">
        <v>1033</v>
      </c>
      <c r="F1571" s="386">
        <v>2.0</v>
      </c>
      <c r="G1571" s="74">
        <v>760000.0</v>
      </c>
      <c r="H1571" s="74">
        <v>0.0</v>
      </c>
      <c r="I1571" s="74">
        <f t="shared" si="1"/>
        <v>1520000</v>
      </c>
      <c r="J1571" s="74">
        <f>IF(E1571="SERVICE",I1571-(I1571*50%),Vlookup(E1571,DATABASE!C:Q,10,false)*F1571)</f>
        <v>0</v>
      </c>
      <c r="K1571" s="74">
        <f>VLOOKUP(E1571,DATABASE!C:Q,7,false)</f>
        <v>680512</v>
      </c>
      <c r="L1571" s="74">
        <v>660000.0</v>
      </c>
      <c r="M1571" s="74">
        <f t="shared" si="2"/>
        <v>660000</v>
      </c>
      <c r="N1571" s="74">
        <f t="shared" si="3"/>
        <v>200000</v>
      </c>
      <c r="O1571" s="65" t="str">
        <f>VLOOKUP(E1571,DATABASE!C:Q,8,false)</f>
        <v>IBU</v>
      </c>
      <c r="P1571" s="65">
        <f>VLOOKUP(E1571,DATABASE!C:Q,9,False)</f>
        <v>1</v>
      </c>
      <c r="Q1571" s="93" t="str">
        <f>VLOOKUP(E1571,DATABASE!C:Q,4,false)</f>
        <v>Bridgestone</v>
      </c>
      <c r="R1571" s="93" t="str">
        <f>VLOOKUP(E1571,DATABASE!C:Q,11,false)</f>
        <v>Tire</v>
      </c>
    </row>
    <row r="1572" ht="22.5" customHeight="1">
      <c r="A1572" s="49"/>
      <c r="C1572" s="384">
        <v>45742.0</v>
      </c>
      <c r="D1572" s="65">
        <v>4923.0</v>
      </c>
      <c r="E1572" s="445" t="s">
        <v>256</v>
      </c>
      <c r="F1572" s="386">
        <v>1.0</v>
      </c>
      <c r="G1572" s="74">
        <v>130000.0</v>
      </c>
      <c r="H1572" s="74">
        <v>0.0</v>
      </c>
      <c r="I1572" s="74">
        <f t="shared" si="1"/>
        <v>130000</v>
      </c>
      <c r="J1572" s="74">
        <f>IF(E1572="SERVICE",I1572-(I1572*50%),Vlookup(E1572,DATABASE!C:Q,10,false)*F1572)</f>
        <v>10000</v>
      </c>
      <c r="K1572" s="74">
        <f>VLOOKUP(E1572,DATABASE!C:Q,7,false)</f>
        <v>0</v>
      </c>
      <c r="L1572" s="74">
        <v>0.0</v>
      </c>
      <c r="M1572" s="74">
        <f t="shared" si="2"/>
        <v>0</v>
      </c>
      <c r="N1572" s="74">
        <f t="shared" si="3"/>
        <v>120000</v>
      </c>
      <c r="O1572" s="65" t="str">
        <f>VLOOKUP(E1572,DATABASE!C:Q,8,false)</f>
        <v>IBU</v>
      </c>
      <c r="P1572" s="65">
        <f>VLOOKUP(E1572,DATABASE!C:Q,9,False)</f>
        <v>0</v>
      </c>
      <c r="Q1572" s="93" t="str">
        <f>VLOOKUP(E1572,DATABASE!C:Q,4,false)</f>
        <v>SPOORING</v>
      </c>
      <c r="R1572" s="93" t="str">
        <f>VLOOKUP(E1572,DATABASE!C:Q,11,false)</f>
        <v>SERVICE</v>
      </c>
    </row>
    <row r="1573" ht="22.5" customHeight="1">
      <c r="A1573" s="49"/>
      <c r="C1573" s="384">
        <v>45742.0</v>
      </c>
      <c r="D1573" s="65">
        <v>4923.0</v>
      </c>
      <c r="E1573" s="445" t="s">
        <v>2105</v>
      </c>
      <c r="F1573" s="386">
        <v>1.0</v>
      </c>
      <c r="G1573" s="74">
        <v>150000.0</v>
      </c>
      <c r="H1573" s="74">
        <v>0.0</v>
      </c>
      <c r="I1573" s="74">
        <f t="shared" si="1"/>
        <v>150000</v>
      </c>
      <c r="J1573" s="74">
        <f>IF(E1573="SERVICE",I1573-(I1573*50%),Vlookup(E1573,DATABASE!C:Q,10,false)*F1573)</f>
        <v>40000</v>
      </c>
      <c r="K1573" s="74">
        <f>VLOOKUP(E1573,DATABASE!C:Q,7,false)</f>
        <v>70000</v>
      </c>
      <c r="L1573" s="74">
        <v>70000.0</v>
      </c>
      <c r="M1573" s="74">
        <f t="shared" si="2"/>
        <v>70000</v>
      </c>
      <c r="N1573" s="74">
        <f t="shared" si="3"/>
        <v>40000</v>
      </c>
      <c r="O1573" s="65" t="str">
        <f>VLOOKUP(E1573,DATABASE!C:Q,8,false)</f>
        <v>BIAN</v>
      </c>
      <c r="P1573" s="65">
        <f>VLOOKUP(E1573,DATABASE!C:Q,9,False)</f>
        <v>0</v>
      </c>
      <c r="Q1573" s="93" t="str">
        <f>VLOOKUP(E1573,DATABASE!C:Q,4,false)</f>
        <v>Service</v>
      </c>
      <c r="R1573" s="93" t="str">
        <f>VLOOKUP(E1573,DATABASE!C:Q,11,false)</f>
        <v>COMPLEMENTARY</v>
      </c>
    </row>
    <row r="1574" ht="22.5" customHeight="1">
      <c r="A1574" s="49"/>
      <c r="C1574" s="384">
        <v>45742.0</v>
      </c>
      <c r="D1574" s="65">
        <v>4923.0</v>
      </c>
      <c r="E1574" s="445" t="s">
        <v>301</v>
      </c>
      <c r="F1574" s="386">
        <v>1.0</v>
      </c>
      <c r="G1574" s="74">
        <v>250000.0</v>
      </c>
      <c r="H1574" s="74">
        <v>0.0</v>
      </c>
      <c r="I1574" s="74">
        <f t="shared" si="1"/>
        <v>250000</v>
      </c>
      <c r="J1574" s="74">
        <f>IF(E1574="SERVICE",I1574-(I1574*50%),Vlookup(E1574,DATABASE!C:Q,10,false)*F1574)</f>
        <v>75000</v>
      </c>
      <c r="K1574" s="74">
        <f>VLOOKUP(E1574,DATABASE!C:Q,7,false)</f>
        <v>75000</v>
      </c>
      <c r="L1574" s="74">
        <v>75000.0</v>
      </c>
      <c r="M1574" s="74">
        <f t="shared" si="2"/>
        <v>75000</v>
      </c>
      <c r="N1574" s="74">
        <f t="shared" si="3"/>
        <v>100000</v>
      </c>
      <c r="O1574" s="65" t="str">
        <f>VLOOKUP(E1574,DATABASE!C:Q,8,false)</f>
        <v>BIAN</v>
      </c>
      <c r="P1574" s="65">
        <f>VLOOKUP(E1574,DATABASE!C:Q,9,False)</f>
        <v>0</v>
      </c>
      <c r="Q1574" s="93" t="str">
        <f>VLOOKUP(E1574,DATABASE!C:Q,4,false)</f>
        <v>Baut Camber</v>
      </c>
      <c r="R1574" s="93" t="str">
        <f>VLOOKUP(E1574,DATABASE!C:Q,11,false)</f>
        <v>COMPLEMENTARY</v>
      </c>
    </row>
    <row r="1575" ht="22.5" customHeight="1">
      <c r="A1575" s="49"/>
      <c r="C1575" s="384">
        <v>45742.0</v>
      </c>
      <c r="D1575" s="65">
        <v>4924.0</v>
      </c>
      <c r="E1575" s="385" t="s">
        <v>299</v>
      </c>
      <c r="F1575" s="386">
        <v>2.0</v>
      </c>
      <c r="G1575" s="74">
        <v>30000.0</v>
      </c>
      <c r="H1575" s="74">
        <v>0.0</v>
      </c>
      <c r="I1575" s="74">
        <f t="shared" si="1"/>
        <v>60000</v>
      </c>
      <c r="J1575" s="74">
        <f>IF(E1575="SERVICE",I1575-(I1575*50%),Vlookup(E1575,DATABASE!C:Q,10,false)*F1575)</f>
        <v>0</v>
      </c>
      <c r="K1575" s="74">
        <v>0.0</v>
      </c>
      <c r="L1575" s="74">
        <v>0.0</v>
      </c>
      <c r="M1575" s="74">
        <f t="shared" si="2"/>
        <v>0</v>
      </c>
      <c r="N1575" s="74">
        <f t="shared" si="3"/>
        <v>60000</v>
      </c>
      <c r="O1575" s="65" t="str">
        <f>VLOOKUP(E1575,DATABASE!C:Q,8,false)</f>
        <v>BIAN</v>
      </c>
      <c r="P1575" s="65">
        <f>VLOOKUP(E1575,DATABASE!C:Q,9,False)</f>
        <v>0</v>
      </c>
      <c r="Q1575" s="93" t="str">
        <f>VLOOKUP(E1575,DATABASE!C:Q,4,false)</f>
        <v>Balancing</v>
      </c>
      <c r="R1575" s="93" t="str">
        <f>VLOOKUP(E1575,DATABASE!C:Q,11,false)</f>
        <v>COMPLEMENTARY</v>
      </c>
    </row>
    <row r="1576" ht="22.5" customHeight="1">
      <c r="A1576" s="49"/>
      <c r="C1576" s="384">
        <v>45742.0</v>
      </c>
      <c r="D1576" s="65">
        <v>4925.0</v>
      </c>
      <c r="E1576" s="445" t="s">
        <v>932</v>
      </c>
      <c r="F1576" s="386">
        <v>1.0</v>
      </c>
      <c r="G1576" s="74">
        <v>670000.0</v>
      </c>
      <c r="H1576" s="74">
        <v>0.0</v>
      </c>
      <c r="I1576" s="74">
        <f t="shared" si="1"/>
        <v>670000</v>
      </c>
      <c r="J1576" s="74">
        <f>IF(E1576="SERVICE",I1576-(I1576*50%),Vlookup(E1576,DATABASE!C:Q,10,false)*F1576)</f>
        <v>0</v>
      </c>
      <c r="K1576" s="74">
        <v>575000.0</v>
      </c>
      <c r="L1576" s="74">
        <v>575000.0</v>
      </c>
      <c r="M1576" s="74">
        <f t="shared" si="2"/>
        <v>575000</v>
      </c>
      <c r="N1576" s="74">
        <f t="shared" si="3"/>
        <v>95000</v>
      </c>
      <c r="O1576" s="65" t="str">
        <f>VLOOKUP(E1576,DATABASE!C:Q,8,false)</f>
        <v>IBU</v>
      </c>
      <c r="P1576" s="65">
        <f>VLOOKUP(E1576,DATABASE!C:Q,9,False)</f>
        <v>1</v>
      </c>
      <c r="Q1576" s="93" t="str">
        <f>VLOOKUP(E1576,DATABASE!C:Q,4,false)</f>
        <v>Dunlop</v>
      </c>
      <c r="R1576" s="93" t="str">
        <f>VLOOKUP(E1576,DATABASE!C:Q,11,false)</f>
        <v>Tire</v>
      </c>
    </row>
    <row r="1577" ht="22.5" customHeight="1">
      <c r="A1577" s="49"/>
      <c r="C1577" s="384">
        <v>45742.0</v>
      </c>
      <c r="D1577" s="65">
        <v>4926.0</v>
      </c>
      <c r="E1577" s="445" t="s">
        <v>624</v>
      </c>
      <c r="F1577" s="386">
        <v>1.0</v>
      </c>
      <c r="G1577" s="74">
        <v>110000.0</v>
      </c>
      <c r="H1577" s="74">
        <v>0.0</v>
      </c>
      <c r="I1577" s="74">
        <f t="shared" si="1"/>
        <v>110000</v>
      </c>
      <c r="J1577" s="74">
        <f>IF(E1577="SERVICE",I1577-(I1577*50%),Vlookup(E1577,DATABASE!C:Q,10,false)*F1577)</f>
        <v>0</v>
      </c>
      <c r="K1577" s="74">
        <f>VLOOKUP(E1577,DATABASE!C:Q,7,false)</f>
        <v>60500</v>
      </c>
      <c r="L1577" s="74">
        <v>60500.0</v>
      </c>
      <c r="M1577" s="74">
        <f t="shared" si="2"/>
        <v>65000</v>
      </c>
      <c r="N1577" s="74">
        <f t="shared" si="3"/>
        <v>45000</v>
      </c>
      <c r="O1577" s="65" t="str">
        <f>VLOOKUP(E1577,DATABASE!C:Q,8,false)</f>
        <v>BIAN</v>
      </c>
      <c r="P1577" s="65">
        <f>VLOOKUP(E1577,DATABASE!C:Q,9,False)</f>
        <v>1</v>
      </c>
      <c r="Q1577" s="93" t="str">
        <f>VLOOKUP(E1577,DATABASE!C:Q,4,false)</f>
        <v>BD</v>
      </c>
      <c r="R1577" s="93" t="str">
        <f>VLOOKUP(E1577,DATABASE!C:Q,11,false)</f>
        <v>Tire</v>
      </c>
    </row>
    <row r="1578" ht="22.5" customHeight="1">
      <c r="A1578" s="49"/>
      <c r="C1578" s="384">
        <v>45742.0</v>
      </c>
      <c r="D1578" s="65">
        <v>4927.0</v>
      </c>
      <c r="E1578" s="445" t="s">
        <v>268</v>
      </c>
      <c r="F1578" s="386">
        <v>2.0</v>
      </c>
      <c r="G1578" s="74">
        <v>700000.0</v>
      </c>
      <c r="H1578" s="74">
        <v>0.0</v>
      </c>
      <c r="I1578" s="74">
        <f t="shared" si="1"/>
        <v>1400000</v>
      </c>
      <c r="J1578" s="74">
        <f>IF(E1578="SERVICE",I1578-(I1578*50%),Vlookup(E1578,DATABASE!C:Q,10,false)*F1578)</f>
        <v>0</v>
      </c>
      <c r="K1578" s="74">
        <v>613000.0</v>
      </c>
      <c r="L1578" s="74">
        <v>613000.0</v>
      </c>
      <c r="M1578" s="74">
        <f t="shared" si="2"/>
        <v>615000</v>
      </c>
      <c r="N1578" s="74">
        <f t="shared" si="3"/>
        <v>170000</v>
      </c>
      <c r="O1578" s="65" t="str">
        <f>VLOOKUP(E1578,DATABASE!C:Q,8,false)</f>
        <v>IBU</v>
      </c>
      <c r="P1578" s="65">
        <f>VLOOKUP(E1578,DATABASE!C:Q,9,False)</f>
        <v>1</v>
      </c>
      <c r="Q1578" s="93" t="str">
        <f>VLOOKUP(E1578,DATABASE!C:Q,4,false)</f>
        <v>Dunlop</v>
      </c>
      <c r="R1578" s="93" t="str">
        <f>VLOOKUP(E1578,DATABASE!C:Q,11,false)</f>
        <v>Tire</v>
      </c>
    </row>
    <row r="1579" ht="22.5" customHeight="1">
      <c r="A1579" s="49"/>
      <c r="C1579" s="384">
        <v>45742.0</v>
      </c>
      <c r="D1579" s="65">
        <v>4928.0</v>
      </c>
      <c r="E1579" s="445" t="s">
        <v>279</v>
      </c>
      <c r="F1579" s="386">
        <v>2.0</v>
      </c>
      <c r="G1579" s="74">
        <v>660000.0</v>
      </c>
      <c r="H1579" s="74">
        <v>0.0</v>
      </c>
      <c r="I1579" s="74">
        <f t="shared" si="1"/>
        <v>1320000</v>
      </c>
      <c r="J1579" s="74">
        <f>IF(E1579="SERVICE",I1579-(I1579*50%),Vlookup(E1579,DATABASE!C:Q,10,false)*F1579)</f>
        <v>0</v>
      </c>
      <c r="K1579" s="74">
        <f>VLOOKUP(E1579,DATABASE!C:Q,7,false)</f>
        <v>623000</v>
      </c>
      <c r="L1579" s="74">
        <v>602000.0</v>
      </c>
      <c r="M1579" s="74">
        <f t="shared" si="2"/>
        <v>605000</v>
      </c>
      <c r="N1579" s="74">
        <f t="shared" si="3"/>
        <v>110000</v>
      </c>
      <c r="O1579" s="65" t="str">
        <f>VLOOKUP(E1579,DATABASE!C:Q,8,false)</f>
        <v>IBU</v>
      </c>
      <c r="P1579" s="65">
        <f>VLOOKUP(E1579,DATABASE!C:Q,9,False)</f>
        <v>1</v>
      </c>
      <c r="Q1579" s="93" t="str">
        <f>VLOOKUP(E1579,DATABASE!C:Q,4,false)</f>
        <v>Dunlop</v>
      </c>
      <c r="R1579" s="93" t="str">
        <f>VLOOKUP(E1579,DATABASE!C:Q,11,false)</f>
        <v>Tire</v>
      </c>
    </row>
    <row r="1580" ht="22.5" customHeight="1">
      <c r="A1580" s="49"/>
      <c r="C1580" s="384">
        <v>45742.0</v>
      </c>
      <c r="D1580" s="65">
        <v>4929.0</v>
      </c>
      <c r="E1580" s="445" t="s">
        <v>839</v>
      </c>
      <c r="F1580" s="386">
        <v>1.0</v>
      </c>
      <c r="G1580" s="74">
        <v>565000.0</v>
      </c>
      <c r="H1580" s="74">
        <v>0.0</v>
      </c>
      <c r="I1580" s="74">
        <f t="shared" si="1"/>
        <v>565000</v>
      </c>
      <c r="J1580" s="74">
        <f>IF(E1580="SERVICE",I1580-(I1580*50%),Vlookup(E1580,DATABASE!C:Q,10,false)*F1580)</f>
        <v>0</v>
      </c>
      <c r="K1580" s="74">
        <f>VLOOKUP(E1580,DATABASE!C:Q,7,false)</f>
        <v>512640</v>
      </c>
      <c r="L1580" s="74">
        <v>475700.0</v>
      </c>
      <c r="M1580" s="74">
        <f t="shared" si="2"/>
        <v>480000</v>
      </c>
      <c r="N1580" s="74">
        <f t="shared" si="3"/>
        <v>85000</v>
      </c>
      <c r="O1580" s="65" t="str">
        <f>VLOOKUP(E1580,DATABASE!C:Q,8,false)</f>
        <v>BIAN</v>
      </c>
      <c r="P1580" s="65">
        <f>VLOOKUP(E1580,DATABASE!C:Q,9,False)</f>
        <v>1</v>
      </c>
      <c r="Q1580" s="93" t="str">
        <f>VLOOKUP(E1580,DATABASE!C:Q,4,false)</f>
        <v>GT</v>
      </c>
      <c r="R1580" s="93" t="str">
        <f>VLOOKUP(E1580,DATABASE!C:Q,11,false)</f>
        <v>Tire</v>
      </c>
    </row>
    <row r="1581" ht="22.5" customHeight="1">
      <c r="A1581" s="49"/>
      <c r="C1581" s="384">
        <v>45742.0</v>
      </c>
      <c r="D1581" s="65">
        <v>4930.0</v>
      </c>
      <c r="E1581" s="445" t="s">
        <v>256</v>
      </c>
      <c r="F1581" s="386">
        <v>1.0</v>
      </c>
      <c r="G1581" s="74">
        <v>130000.0</v>
      </c>
      <c r="H1581" s="74">
        <v>0.0</v>
      </c>
      <c r="I1581" s="74">
        <f t="shared" si="1"/>
        <v>130000</v>
      </c>
      <c r="J1581" s="74">
        <f>IF(E1581="SERVICE",I1581-(I1581*50%),Vlookup(E1581,DATABASE!C:Q,10,false)*F1581)</f>
        <v>10000</v>
      </c>
      <c r="K1581" s="74">
        <f>VLOOKUP(E1581,DATABASE!C:Q,7,false)</f>
        <v>0</v>
      </c>
      <c r="L1581" s="74">
        <v>0.0</v>
      </c>
      <c r="M1581" s="74">
        <f t="shared" si="2"/>
        <v>0</v>
      </c>
      <c r="N1581" s="74">
        <f t="shared" si="3"/>
        <v>120000</v>
      </c>
      <c r="O1581" s="65" t="str">
        <f>VLOOKUP(E1581,DATABASE!C:Q,8,false)</f>
        <v>IBU</v>
      </c>
      <c r="P1581" s="65">
        <f>VLOOKUP(E1581,DATABASE!C:Q,9,False)</f>
        <v>0</v>
      </c>
      <c r="Q1581" s="93" t="str">
        <f>VLOOKUP(E1581,DATABASE!C:Q,4,false)</f>
        <v>SPOORING</v>
      </c>
      <c r="R1581" s="93" t="str">
        <f>VLOOKUP(E1581,DATABASE!C:Q,11,false)</f>
        <v>SERVICE</v>
      </c>
    </row>
    <row r="1582" ht="22.5" customHeight="1">
      <c r="A1582" s="49"/>
      <c r="C1582" s="384">
        <v>45742.0</v>
      </c>
      <c r="D1582" s="65">
        <v>4930.0</v>
      </c>
      <c r="E1582" s="445" t="s">
        <v>251</v>
      </c>
      <c r="F1582" s="386">
        <v>1.0</v>
      </c>
      <c r="G1582" s="74">
        <v>150000.0</v>
      </c>
      <c r="H1582" s="74">
        <v>0.0</v>
      </c>
      <c r="I1582" s="74">
        <f t="shared" si="1"/>
        <v>150000</v>
      </c>
      <c r="J1582" s="74">
        <f>IF(E1582="SERVICE",I1582-(I1582*50%),Vlookup(E1582,DATABASE!C:Q,10,false)*F1582)</f>
        <v>75000</v>
      </c>
      <c r="K1582" s="74">
        <f>VLOOKUP(E1582,DATABASE!C:Q,7,false)</f>
        <v>0</v>
      </c>
      <c r="L1582" s="74">
        <v>0.0</v>
      </c>
      <c r="M1582" s="74">
        <f t="shared" si="2"/>
        <v>0</v>
      </c>
      <c r="N1582" s="74">
        <f t="shared" si="3"/>
        <v>75000</v>
      </c>
      <c r="O1582" s="65" t="str">
        <f>VLOOKUP(E1582,DATABASE!C:Q,8,false)</f>
        <v>IBU</v>
      </c>
      <c r="P1582" s="65">
        <f>VLOOKUP(E1582,DATABASE!C:Q,9,False)</f>
        <v>0</v>
      </c>
      <c r="Q1582" s="93" t="str">
        <f>VLOOKUP(E1582,DATABASE!C:Q,4,false)</f>
        <v>SERVICE</v>
      </c>
      <c r="R1582" s="93" t="str">
        <f>VLOOKUP(E1582,DATABASE!C:Q,11,false)</f>
        <v>SERVICE</v>
      </c>
    </row>
    <row r="1583" ht="22.5" customHeight="1">
      <c r="A1583" s="49"/>
      <c r="C1583" s="384">
        <v>45742.0</v>
      </c>
      <c r="D1583" s="65">
        <v>4931.0</v>
      </c>
      <c r="E1583" s="385" t="s">
        <v>299</v>
      </c>
      <c r="F1583" s="386">
        <v>2.0</v>
      </c>
      <c r="G1583" s="74">
        <v>30000.0</v>
      </c>
      <c r="H1583" s="74">
        <v>0.0</v>
      </c>
      <c r="I1583" s="74">
        <f t="shared" si="1"/>
        <v>60000</v>
      </c>
      <c r="J1583" s="74">
        <f>IF(E1583="SERVICE",I1583-(I1583*50%),Vlookup(E1583,DATABASE!C:Q,10,false)*F1583)</f>
        <v>0</v>
      </c>
      <c r="K1583" s="74">
        <v>0.0</v>
      </c>
      <c r="L1583" s="74">
        <v>0.0</v>
      </c>
      <c r="M1583" s="74">
        <f t="shared" si="2"/>
        <v>0</v>
      </c>
      <c r="N1583" s="74">
        <f t="shared" si="3"/>
        <v>60000</v>
      </c>
      <c r="O1583" s="65" t="str">
        <f>VLOOKUP(E1583,DATABASE!C:Q,8,false)</f>
        <v>BIAN</v>
      </c>
      <c r="P1583" s="65">
        <f>VLOOKUP(E1583,DATABASE!C:Q,9,False)</f>
        <v>0</v>
      </c>
      <c r="Q1583" s="93" t="str">
        <f>VLOOKUP(E1583,DATABASE!C:Q,4,false)</f>
        <v>Balancing</v>
      </c>
      <c r="R1583" s="93" t="str">
        <f>VLOOKUP(E1583,DATABASE!C:Q,11,false)</f>
        <v>COMPLEMENTARY</v>
      </c>
    </row>
    <row r="1584" ht="22.5" customHeight="1">
      <c r="A1584" s="49"/>
      <c r="C1584" s="384">
        <v>45742.0</v>
      </c>
      <c r="D1584" s="65">
        <v>4932.0</v>
      </c>
      <c r="E1584" s="385" t="s">
        <v>299</v>
      </c>
      <c r="F1584" s="386">
        <v>2.0</v>
      </c>
      <c r="G1584" s="74">
        <v>30000.0</v>
      </c>
      <c r="H1584" s="74">
        <v>0.0</v>
      </c>
      <c r="I1584" s="74">
        <f t="shared" si="1"/>
        <v>60000</v>
      </c>
      <c r="J1584" s="74">
        <f>IF(E1584="SERVICE",I1584-(I1584*50%),Vlookup(E1584,DATABASE!C:Q,10,false)*F1584)</f>
        <v>0</v>
      </c>
      <c r="K1584" s="74">
        <v>0.0</v>
      </c>
      <c r="L1584" s="74">
        <v>0.0</v>
      </c>
      <c r="M1584" s="74">
        <f t="shared" si="2"/>
        <v>0</v>
      </c>
      <c r="N1584" s="74">
        <f t="shared" si="3"/>
        <v>60000</v>
      </c>
      <c r="O1584" s="65" t="str">
        <f>VLOOKUP(E1584,DATABASE!C:Q,8,false)</f>
        <v>BIAN</v>
      </c>
      <c r="P1584" s="65">
        <f>VLOOKUP(E1584,DATABASE!C:Q,9,False)</f>
        <v>0</v>
      </c>
      <c r="Q1584" s="93" t="str">
        <f>VLOOKUP(E1584,DATABASE!C:Q,4,false)</f>
        <v>Balancing</v>
      </c>
      <c r="R1584" s="93" t="str">
        <f>VLOOKUP(E1584,DATABASE!C:Q,11,false)</f>
        <v>COMPLEMENTARY</v>
      </c>
    </row>
    <row r="1585" ht="22.5" customHeight="1">
      <c r="A1585" s="49"/>
      <c r="C1585" s="384">
        <v>45742.0</v>
      </c>
      <c r="D1585" s="65">
        <v>4933.0</v>
      </c>
      <c r="E1585" s="445" t="s">
        <v>256</v>
      </c>
      <c r="F1585" s="386">
        <v>1.0</v>
      </c>
      <c r="G1585" s="74">
        <v>130000.0</v>
      </c>
      <c r="H1585" s="74">
        <v>0.0</v>
      </c>
      <c r="I1585" s="74">
        <f t="shared" si="1"/>
        <v>130000</v>
      </c>
      <c r="J1585" s="74">
        <f>IF(E1585="SERVICE",I1585-(I1585*50%),Vlookup(E1585,DATABASE!C:Q,10,false)*F1585)</f>
        <v>10000</v>
      </c>
      <c r="K1585" s="74">
        <f>VLOOKUP(E1585,DATABASE!C:Q,7,false)</f>
        <v>0</v>
      </c>
      <c r="L1585" s="74">
        <v>0.0</v>
      </c>
      <c r="M1585" s="74">
        <f t="shared" si="2"/>
        <v>0</v>
      </c>
      <c r="N1585" s="74">
        <f t="shared" si="3"/>
        <v>120000</v>
      </c>
      <c r="O1585" s="65" t="str">
        <f>VLOOKUP(E1585,DATABASE!C:Q,8,false)</f>
        <v>IBU</v>
      </c>
      <c r="P1585" s="65">
        <f>VLOOKUP(E1585,DATABASE!C:Q,9,False)</f>
        <v>0</v>
      </c>
      <c r="Q1585" s="93" t="str">
        <f>VLOOKUP(E1585,DATABASE!C:Q,4,false)</f>
        <v>SPOORING</v>
      </c>
      <c r="R1585" s="93" t="str">
        <f>VLOOKUP(E1585,DATABASE!C:Q,11,false)</f>
        <v>SERVICE</v>
      </c>
    </row>
    <row r="1586" ht="22.5" customHeight="1">
      <c r="A1586" s="49"/>
      <c r="C1586" s="384">
        <v>45742.0</v>
      </c>
      <c r="D1586" s="65">
        <v>4933.0</v>
      </c>
      <c r="E1586" s="445" t="s">
        <v>251</v>
      </c>
      <c r="F1586" s="386">
        <v>1.0</v>
      </c>
      <c r="G1586" s="74">
        <v>150000.0</v>
      </c>
      <c r="H1586" s="74">
        <v>0.0</v>
      </c>
      <c r="I1586" s="74">
        <f t="shared" si="1"/>
        <v>150000</v>
      </c>
      <c r="J1586" s="74">
        <f>IF(E1586="SERVICE",I1586-(I1586*50%),Vlookup(E1586,DATABASE!C:Q,10,false)*F1586)</f>
        <v>75000</v>
      </c>
      <c r="K1586" s="74">
        <f>VLOOKUP(E1586,DATABASE!C:Q,7,false)</f>
        <v>0</v>
      </c>
      <c r="L1586" s="74">
        <v>0.0</v>
      </c>
      <c r="M1586" s="74">
        <f t="shared" si="2"/>
        <v>0</v>
      </c>
      <c r="N1586" s="74">
        <f t="shared" si="3"/>
        <v>75000</v>
      </c>
      <c r="O1586" s="65" t="str">
        <f>VLOOKUP(E1586,DATABASE!C:Q,8,false)</f>
        <v>IBU</v>
      </c>
      <c r="P1586" s="65">
        <f>VLOOKUP(E1586,DATABASE!C:Q,9,False)</f>
        <v>0</v>
      </c>
      <c r="Q1586" s="93" t="str">
        <f>VLOOKUP(E1586,DATABASE!C:Q,4,false)</f>
        <v>SERVICE</v>
      </c>
      <c r="R1586" s="93" t="str">
        <f>VLOOKUP(E1586,DATABASE!C:Q,11,false)</f>
        <v>SERVICE</v>
      </c>
    </row>
    <row r="1587" ht="22.5" customHeight="1">
      <c r="A1587" s="49"/>
      <c r="C1587" s="384">
        <v>45742.0</v>
      </c>
      <c r="D1587" s="65">
        <v>4934.0</v>
      </c>
      <c r="E1587" s="445" t="s">
        <v>955</v>
      </c>
      <c r="F1587" s="386">
        <v>2.0</v>
      </c>
      <c r="G1587" s="74">
        <v>770000.0</v>
      </c>
      <c r="H1587" s="74">
        <v>0.0</v>
      </c>
      <c r="I1587" s="74">
        <f t="shared" si="1"/>
        <v>1540000</v>
      </c>
      <c r="J1587" s="74">
        <f>IF(E1587="SERVICE",I1587-(I1587*50%),Vlookup(E1587,DATABASE!C:Q,10,false)*F1587)</f>
        <v>0</v>
      </c>
      <c r="K1587" s="74">
        <f>VLOOKUP(E1587,DATABASE!C:Q,7,false)</f>
        <v>712000</v>
      </c>
      <c r="L1587" s="74">
        <v>674000.0</v>
      </c>
      <c r="M1587" s="74">
        <f t="shared" si="2"/>
        <v>675000</v>
      </c>
      <c r="N1587" s="74">
        <f t="shared" si="3"/>
        <v>190000</v>
      </c>
      <c r="O1587" s="65" t="str">
        <f>VLOOKUP(E1587,DATABASE!C:Q,8,false)</f>
        <v>IBU</v>
      </c>
      <c r="P1587" s="65">
        <f>VLOOKUP(E1587,DATABASE!C:Q,9,False)</f>
        <v>1</v>
      </c>
      <c r="Q1587" s="93" t="str">
        <f>VLOOKUP(E1587,DATABASE!C:Q,4,false)</f>
        <v>Dunlop</v>
      </c>
      <c r="R1587" s="93" t="str">
        <f>VLOOKUP(E1587,DATABASE!C:Q,11,false)</f>
        <v>Tire</v>
      </c>
    </row>
    <row r="1588" ht="22.5" customHeight="1">
      <c r="A1588" s="49"/>
      <c r="C1588" s="384">
        <v>45742.0</v>
      </c>
      <c r="D1588" s="65">
        <v>4935.0</v>
      </c>
      <c r="E1588" s="445" t="s">
        <v>878</v>
      </c>
      <c r="F1588" s="386">
        <v>4.0</v>
      </c>
      <c r="G1588" s="74">
        <v>50000.0</v>
      </c>
      <c r="H1588" s="74">
        <v>0.0</v>
      </c>
      <c r="I1588" s="74">
        <f t="shared" si="1"/>
        <v>200000</v>
      </c>
      <c r="J1588" s="74">
        <f>IF(E1588="SERVICE",I1588-(I1588*50%),Vlookup(E1588,DATABASE!C:Q,10,false)*F1588)</f>
        <v>0</v>
      </c>
      <c r="K1588" s="74">
        <f>VLOOKUP(E1588,DATABASE!C:Q,7,false)</f>
        <v>0</v>
      </c>
      <c r="L1588" s="74">
        <v>0.0</v>
      </c>
      <c r="M1588" s="74">
        <f t="shared" si="2"/>
        <v>0</v>
      </c>
      <c r="N1588" s="74">
        <f t="shared" si="3"/>
        <v>200000</v>
      </c>
      <c r="O1588" s="65" t="str">
        <f>VLOOKUP(E1588,DATABASE!C:Q,8,false)</f>
        <v>IBU</v>
      </c>
      <c r="P1588" s="65">
        <f>VLOOKUP(E1588,DATABASE!C:Q,9,False)</f>
        <v>0</v>
      </c>
      <c r="Q1588" s="93" t="str">
        <f>VLOOKUP(E1588,DATABASE!C:Q,4,false)</f>
        <v>Bongkar Pasang 17</v>
      </c>
      <c r="R1588" s="93" t="str">
        <f>VLOOKUP(E1588,DATABASE!C:Q,11,false)</f>
        <v>SERVICE</v>
      </c>
    </row>
    <row r="1589" ht="22.5" customHeight="1">
      <c r="A1589" s="49"/>
      <c r="C1589" s="384">
        <v>45742.0</v>
      </c>
      <c r="D1589" s="65">
        <v>4936.0</v>
      </c>
      <c r="E1589" s="445" t="s">
        <v>271</v>
      </c>
      <c r="F1589" s="386">
        <v>4.0</v>
      </c>
      <c r="G1589" s="74">
        <v>630000.0</v>
      </c>
      <c r="H1589" s="74">
        <v>0.0</v>
      </c>
      <c r="I1589" s="74">
        <f t="shared" si="1"/>
        <v>2520000</v>
      </c>
      <c r="J1589" s="74">
        <f>IF(E1589="SERVICE",I1589-(I1589*50%),Vlookup(E1589,DATABASE!C:Q,10,false)*F1589)</f>
        <v>0</v>
      </c>
      <c r="K1589" s="74">
        <f>VLOOKUP(E1589,DATABASE!C:Q,7,false)</f>
        <v>570000</v>
      </c>
      <c r="L1589" s="74">
        <v>539000.0</v>
      </c>
      <c r="M1589" s="74">
        <f t="shared" si="2"/>
        <v>540000</v>
      </c>
      <c r="N1589" s="74">
        <f t="shared" si="3"/>
        <v>360000</v>
      </c>
      <c r="O1589" s="65" t="str">
        <f>VLOOKUP(E1589,DATABASE!C:Q,8,false)</f>
        <v>IBU</v>
      </c>
      <c r="P1589" s="65">
        <f>VLOOKUP(E1589,DATABASE!C:Q,9,False)</f>
        <v>1</v>
      </c>
      <c r="Q1589" s="93" t="str">
        <f>VLOOKUP(E1589,DATABASE!C:Q,4,false)</f>
        <v>Dunlop</v>
      </c>
      <c r="R1589" s="93" t="str">
        <f>VLOOKUP(E1589,DATABASE!C:Q,11,false)</f>
        <v>Tire</v>
      </c>
    </row>
    <row r="1590" ht="22.5" customHeight="1">
      <c r="A1590" s="49"/>
      <c r="C1590" s="384">
        <v>45742.0</v>
      </c>
      <c r="D1590" s="65">
        <v>4936.0</v>
      </c>
      <c r="E1590" s="385" t="s">
        <v>299</v>
      </c>
      <c r="F1590" s="386">
        <v>2.0</v>
      </c>
      <c r="G1590" s="74">
        <v>30000.0</v>
      </c>
      <c r="H1590" s="74">
        <v>0.0</v>
      </c>
      <c r="I1590" s="74">
        <f t="shared" si="1"/>
        <v>60000</v>
      </c>
      <c r="J1590" s="74">
        <f>IF(E1590="SERVICE",I1590-(I1590*50%),Vlookup(E1590,DATABASE!C:Q,10,false)*F1590)</f>
        <v>0</v>
      </c>
      <c r="K1590" s="74">
        <v>0.0</v>
      </c>
      <c r="L1590" s="74">
        <v>0.0</v>
      </c>
      <c r="M1590" s="74">
        <f t="shared" si="2"/>
        <v>0</v>
      </c>
      <c r="N1590" s="74">
        <f t="shared" si="3"/>
        <v>60000</v>
      </c>
      <c r="O1590" s="65" t="str">
        <f>VLOOKUP(E1590,DATABASE!C:Q,8,false)</f>
        <v>BIAN</v>
      </c>
      <c r="P1590" s="65">
        <f>VLOOKUP(E1590,DATABASE!C:Q,9,False)</f>
        <v>0</v>
      </c>
      <c r="Q1590" s="93" t="str">
        <f>VLOOKUP(E1590,DATABASE!C:Q,4,false)</f>
        <v>Balancing</v>
      </c>
      <c r="R1590" s="93" t="str">
        <f>VLOOKUP(E1590,DATABASE!C:Q,11,false)</f>
        <v>COMPLEMENTARY</v>
      </c>
    </row>
    <row r="1591" ht="22.5" customHeight="1">
      <c r="A1591" s="49"/>
      <c r="C1591" s="384">
        <v>45742.0</v>
      </c>
      <c r="D1591" s="65">
        <v>4937.0</v>
      </c>
      <c r="E1591" s="445" t="s">
        <v>1009</v>
      </c>
      <c r="F1591" s="386">
        <v>2.0</v>
      </c>
      <c r="G1591" s="74">
        <v>700000.0</v>
      </c>
      <c r="H1591" s="74">
        <v>0.0</v>
      </c>
      <c r="I1591" s="74">
        <f t="shared" si="1"/>
        <v>1400000</v>
      </c>
      <c r="J1591" s="74">
        <f>IF(E1591="SERVICE",I1591-(I1591*50%),Vlookup(E1591,DATABASE!C:Q,10,false)*F1591)</f>
        <v>0</v>
      </c>
      <c r="K1591" s="74">
        <f>VLOOKUP(E1591,DATABASE!C:Q,7,false)</f>
        <v>609800</v>
      </c>
      <c r="L1591" s="74">
        <v>592200.0</v>
      </c>
      <c r="M1591" s="74">
        <f t="shared" si="2"/>
        <v>595000</v>
      </c>
      <c r="N1591" s="74">
        <f t="shared" si="3"/>
        <v>210000</v>
      </c>
      <c r="O1591" s="65" t="str">
        <f>VLOOKUP(E1591,DATABASE!C:Q,8,false)</f>
        <v>BIAN</v>
      </c>
      <c r="P1591" s="65">
        <f>VLOOKUP(E1591,DATABASE!C:Q,9,False)</f>
        <v>1</v>
      </c>
      <c r="Q1591" s="93" t="str">
        <f>VLOOKUP(E1591,DATABASE!C:Q,4,false)</f>
        <v>GT</v>
      </c>
      <c r="R1591" s="93" t="str">
        <f>VLOOKUP(E1591,DATABASE!C:Q,11,false)</f>
        <v>Tire</v>
      </c>
    </row>
    <row r="1592" ht="22.5" customHeight="1">
      <c r="A1592" s="49"/>
      <c r="C1592" s="384">
        <v>45742.0</v>
      </c>
      <c r="D1592" s="65">
        <v>4938.0</v>
      </c>
      <c r="E1592" s="445" t="s">
        <v>256</v>
      </c>
      <c r="F1592" s="386">
        <v>1.0</v>
      </c>
      <c r="G1592" s="74">
        <v>130000.0</v>
      </c>
      <c r="H1592" s="74">
        <v>0.0</v>
      </c>
      <c r="I1592" s="74">
        <f t="shared" si="1"/>
        <v>130000</v>
      </c>
      <c r="J1592" s="74">
        <f>IF(E1592="SERVICE",I1592-(I1592*50%),Vlookup(E1592,DATABASE!C:Q,10,false)*F1592)</f>
        <v>10000</v>
      </c>
      <c r="K1592" s="74">
        <f>VLOOKUP(E1592,DATABASE!C:Q,7,false)</f>
        <v>0</v>
      </c>
      <c r="L1592" s="74">
        <v>0.0</v>
      </c>
      <c r="M1592" s="74">
        <f t="shared" si="2"/>
        <v>0</v>
      </c>
      <c r="N1592" s="74">
        <f t="shared" si="3"/>
        <v>120000</v>
      </c>
      <c r="O1592" s="65" t="str">
        <f>VLOOKUP(E1592,DATABASE!C:Q,8,false)</f>
        <v>IBU</v>
      </c>
      <c r="P1592" s="65">
        <f>VLOOKUP(E1592,DATABASE!C:Q,9,False)</f>
        <v>0</v>
      </c>
      <c r="Q1592" s="93" t="str">
        <f>VLOOKUP(E1592,DATABASE!C:Q,4,false)</f>
        <v>SPOORING</v>
      </c>
      <c r="R1592" s="93" t="str">
        <f>VLOOKUP(E1592,DATABASE!C:Q,11,false)</f>
        <v>SERVICE</v>
      </c>
    </row>
    <row r="1593" ht="22.5" customHeight="1">
      <c r="A1593" s="49"/>
      <c r="C1593" s="384">
        <v>45742.0</v>
      </c>
      <c r="D1593" s="65">
        <v>4938.0</v>
      </c>
      <c r="E1593" s="445" t="s">
        <v>301</v>
      </c>
      <c r="F1593" s="386">
        <v>1.0</v>
      </c>
      <c r="G1593" s="74">
        <v>250000.0</v>
      </c>
      <c r="H1593" s="74">
        <v>0.0</v>
      </c>
      <c r="I1593" s="74">
        <f t="shared" si="1"/>
        <v>250000</v>
      </c>
      <c r="J1593" s="74">
        <f>IF(E1593="SERVICE",I1593-(I1593*50%),Vlookup(E1593,DATABASE!C:Q,10,false)*F1593)</f>
        <v>75000</v>
      </c>
      <c r="K1593" s="74">
        <f>VLOOKUP(E1593,DATABASE!C:Q,7,false)</f>
        <v>75000</v>
      </c>
      <c r="L1593" s="74">
        <v>75000.0</v>
      </c>
      <c r="M1593" s="74">
        <f t="shared" si="2"/>
        <v>75000</v>
      </c>
      <c r="N1593" s="74">
        <f t="shared" si="3"/>
        <v>100000</v>
      </c>
      <c r="O1593" s="65" t="str">
        <f>VLOOKUP(E1593,DATABASE!C:Q,8,false)</f>
        <v>BIAN</v>
      </c>
      <c r="P1593" s="65">
        <f>VLOOKUP(E1593,DATABASE!C:Q,9,False)</f>
        <v>0</v>
      </c>
      <c r="Q1593" s="93" t="str">
        <f>VLOOKUP(E1593,DATABASE!C:Q,4,false)</f>
        <v>Baut Camber</v>
      </c>
      <c r="R1593" s="93" t="str">
        <f>VLOOKUP(E1593,DATABASE!C:Q,11,false)</f>
        <v>COMPLEMENTARY</v>
      </c>
    </row>
    <row r="1594" ht="22.5" customHeight="1">
      <c r="A1594" s="49"/>
      <c r="C1594" s="384">
        <v>45742.0</v>
      </c>
      <c r="D1594" s="65">
        <v>4939.0</v>
      </c>
      <c r="E1594" s="445" t="s">
        <v>256</v>
      </c>
      <c r="F1594" s="386">
        <v>1.0</v>
      </c>
      <c r="G1594" s="74">
        <v>130000.0</v>
      </c>
      <c r="H1594" s="74">
        <v>0.0</v>
      </c>
      <c r="I1594" s="74">
        <f t="shared" si="1"/>
        <v>130000</v>
      </c>
      <c r="J1594" s="74">
        <f>IF(E1594="SERVICE",I1594-(I1594*50%),Vlookup(E1594,DATABASE!C:Q,10,false)*F1594)</f>
        <v>10000</v>
      </c>
      <c r="K1594" s="74">
        <f>VLOOKUP(E1594,DATABASE!C:Q,7,false)</f>
        <v>0</v>
      </c>
      <c r="L1594" s="74">
        <v>0.0</v>
      </c>
      <c r="M1594" s="74">
        <f t="shared" si="2"/>
        <v>0</v>
      </c>
      <c r="N1594" s="74">
        <f t="shared" si="3"/>
        <v>120000</v>
      </c>
      <c r="O1594" s="65" t="str">
        <f>VLOOKUP(E1594,DATABASE!C:Q,8,false)</f>
        <v>IBU</v>
      </c>
      <c r="P1594" s="65">
        <f>VLOOKUP(E1594,DATABASE!C:Q,9,False)</f>
        <v>0</v>
      </c>
      <c r="Q1594" s="93" t="str">
        <f>VLOOKUP(E1594,DATABASE!C:Q,4,false)</f>
        <v>SPOORING</v>
      </c>
      <c r="R1594" s="93" t="str">
        <f>VLOOKUP(E1594,DATABASE!C:Q,11,false)</f>
        <v>SERVICE</v>
      </c>
    </row>
    <row r="1595" ht="22.5" customHeight="1">
      <c r="A1595" s="49"/>
      <c r="C1595" s="384">
        <v>45743.0</v>
      </c>
      <c r="D1595" s="65">
        <v>4940.0</v>
      </c>
      <c r="E1595" s="445" t="s">
        <v>937</v>
      </c>
      <c r="F1595" s="386">
        <v>2.0</v>
      </c>
      <c r="G1595" s="74">
        <v>900000.0</v>
      </c>
      <c r="H1595" s="74">
        <v>0.0</v>
      </c>
      <c r="I1595" s="74">
        <f t="shared" si="1"/>
        <v>1800000</v>
      </c>
      <c r="J1595" s="74">
        <f>IF(E1595="SERVICE",I1595-(I1595*50%),Vlookup(E1595,DATABASE!C:Q,10,false)*F1595)</f>
        <v>0</v>
      </c>
      <c r="K1595" s="74">
        <f>VLOOKUP(E1595,DATABASE!C:Q,7,false)</f>
        <v>825000</v>
      </c>
      <c r="L1595" s="74">
        <v>790000.0</v>
      </c>
      <c r="M1595" s="74">
        <f t="shared" si="2"/>
        <v>790000</v>
      </c>
      <c r="N1595" s="74">
        <f t="shared" si="3"/>
        <v>220000</v>
      </c>
      <c r="O1595" s="65" t="str">
        <f>VLOOKUP(E1595,DATABASE!C:Q,8,false)</f>
        <v>IBU</v>
      </c>
      <c r="P1595" s="65">
        <f>VLOOKUP(E1595,DATABASE!C:Q,9,False)</f>
        <v>1</v>
      </c>
      <c r="Q1595" s="93" t="str">
        <f>VLOOKUP(E1595,DATABASE!C:Q,4,false)</f>
        <v>Bridgestone</v>
      </c>
      <c r="R1595" s="93" t="str">
        <f>VLOOKUP(E1595,DATABASE!C:Q,11,false)</f>
        <v>Tire</v>
      </c>
    </row>
    <row r="1596" ht="22.5" customHeight="1">
      <c r="A1596" s="49"/>
      <c r="C1596" s="384">
        <v>45743.0</v>
      </c>
      <c r="D1596" s="65">
        <v>4941.0</v>
      </c>
      <c r="E1596" s="445" t="s">
        <v>591</v>
      </c>
      <c r="F1596" s="386">
        <v>1.0</v>
      </c>
      <c r="G1596" s="74">
        <v>680000.0</v>
      </c>
      <c r="H1596" s="74">
        <v>0.0</v>
      </c>
      <c r="I1596" s="74">
        <f t="shared" si="1"/>
        <v>680000</v>
      </c>
      <c r="J1596" s="74">
        <f>IF(E1596="SERVICE",I1596-(I1596*50%),Vlookup(E1596,DATABASE!C:Q,10,false)*F1596)</f>
        <v>0</v>
      </c>
      <c r="K1596" s="74">
        <f>VLOOKUP(E1596,DATABASE!C:Q,7,false)</f>
        <v>633035.16</v>
      </c>
      <c r="L1596" s="74">
        <v>593488.4</v>
      </c>
      <c r="M1596" s="74">
        <f t="shared" si="2"/>
        <v>595000</v>
      </c>
      <c r="N1596" s="74">
        <f t="shared" si="3"/>
        <v>85000</v>
      </c>
      <c r="O1596" s="65" t="str">
        <f>VLOOKUP(E1596,DATABASE!C:Q,8,false)</f>
        <v>IBU</v>
      </c>
      <c r="P1596" s="65">
        <f>VLOOKUP(E1596,DATABASE!C:Q,9,False)</f>
        <v>1</v>
      </c>
      <c r="Q1596" s="93" t="str">
        <f>VLOOKUP(E1596,DATABASE!C:Q,4,false)</f>
        <v>Bridgestone</v>
      </c>
      <c r="R1596" s="93" t="str">
        <f>VLOOKUP(E1596,DATABASE!C:Q,11,false)</f>
        <v>Tire</v>
      </c>
    </row>
    <row r="1597" ht="22.5" customHeight="1">
      <c r="A1597" s="49"/>
      <c r="C1597" s="384">
        <v>45743.0</v>
      </c>
      <c r="D1597" s="65">
        <v>4941.0</v>
      </c>
      <c r="E1597" s="445" t="s">
        <v>250</v>
      </c>
      <c r="F1597" s="386">
        <v>1.0</v>
      </c>
      <c r="G1597" s="74">
        <v>135000.0</v>
      </c>
      <c r="H1597" s="74">
        <v>0.0</v>
      </c>
      <c r="I1597" s="74">
        <f t="shared" si="1"/>
        <v>135000</v>
      </c>
      <c r="J1597" s="74">
        <f>IF(E1597="SERVICE",I1597-(I1597*50%),Vlookup(E1597,DATABASE!C:Q,10,false)*F1597)</f>
        <v>0</v>
      </c>
      <c r="K1597" s="74">
        <f>VLOOKUP(E1597,DATABASE!C:Q,7,false)</f>
        <v>102000</v>
      </c>
      <c r="L1597" s="74">
        <v>102000.0</v>
      </c>
      <c r="M1597" s="74">
        <f t="shared" si="2"/>
        <v>105000</v>
      </c>
      <c r="N1597" s="74">
        <f t="shared" si="3"/>
        <v>30000</v>
      </c>
      <c r="O1597" s="65" t="str">
        <f>VLOOKUP(E1597,DATABASE!C:Q,8,false)</f>
        <v>BIAN</v>
      </c>
      <c r="P1597" s="65">
        <f>VLOOKUP(E1597,DATABASE!C:Q,9,False)</f>
        <v>1</v>
      </c>
      <c r="Q1597" s="93" t="str">
        <f>VLOOKUP(E1597,DATABASE!C:Q,4,false)</f>
        <v>BD</v>
      </c>
      <c r="R1597" s="93" t="str">
        <f>VLOOKUP(E1597,DATABASE!C:Q,11,false)</f>
        <v>Tire</v>
      </c>
    </row>
    <row r="1598" ht="22.5" customHeight="1">
      <c r="A1598" s="49"/>
      <c r="C1598" s="384">
        <v>45743.0</v>
      </c>
      <c r="D1598" s="65">
        <v>4942.0</v>
      </c>
      <c r="E1598" s="385" t="s">
        <v>305</v>
      </c>
      <c r="F1598" s="386">
        <v>1.0</v>
      </c>
      <c r="G1598" s="74">
        <v>235000.0</v>
      </c>
      <c r="H1598" s="74">
        <v>0.0</v>
      </c>
      <c r="I1598" s="74">
        <f t="shared" si="1"/>
        <v>235000</v>
      </c>
      <c r="J1598" s="74">
        <f>IF(E1598="SERVICE",I1598-(I1598*50%),Vlookup(E1598,DATABASE!C:Q,10,false)*F1598)</f>
        <v>40000</v>
      </c>
      <c r="K1598" s="74">
        <f>VLOOKUP(E1598,DATABASE!C:Q,7,false)</f>
        <v>158530.2</v>
      </c>
      <c r="L1598" s="74">
        <v>151890.0</v>
      </c>
      <c r="M1598" s="74">
        <f t="shared" si="2"/>
        <v>155000</v>
      </c>
      <c r="N1598" s="74">
        <f t="shared" si="3"/>
        <v>40000</v>
      </c>
      <c r="O1598" s="65" t="str">
        <f>VLOOKUP(E1598,DATABASE!C:Q,8,false)</f>
        <v>BIAN</v>
      </c>
      <c r="P1598" s="65">
        <f>VLOOKUP(E1598,DATABASE!C:Q,9,False)</f>
        <v>1</v>
      </c>
      <c r="Q1598" s="93" t="str">
        <f>VLOOKUP(E1598,DATABASE!C:Q,4,false)</f>
        <v>Lower Arm</v>
      </c>
      <c r="R1598" s="93" t="str">
        <f>VLOOKUP(E1598,DATABASE!C:Q,11,false)</f>
        <v>COMPLEMENTARY</v>
      </c>
    </row>
    <row r="1599" ht="22.5" customHeight="1">
      <c r="A1599" s="49"/>
      <c r="C1599" s="384">
        <v>45743.0</v>
      </c>
      <c r="D1599" s="65">
        <v>4942.0</v>
      </c>
      <c r="E1599" s="445" t="s">
        <v>262</v>
      </c>
      <c r="F1599" s="386">
        <v>1.0</v>
      </c>
      <c r="G1599" s="74">
        <v>110000.0</v>
      </c>
      <c r="H1599" s="74">
        <v>0.0</v>
      </c>
      <c r="I1599" s="74">
        <f t="shared" si="1"/>
        <v>110000</v>
      </c>
      <c r="J1599" s="74">
        <f>IF(E1599="SERVICE",I1599-(I1599*50%),Vlookup(E1599,DATABASE!C:Q,10,false)*F1599)</f>
        <v>5000</v>
      </c>
      <c r="K1599" s="74">
        <f>VLOOKUP(E1599,DATABASE!C:Q,7,false)</f>
        <v>0</v>
      </c>
      <c r="L1599" s="74">
        <v>0.0</v>
      </c>
      <c r="M1599" s="74">
        <f t="shared" si="2"/>
        <v>0</v>
      </c>
      <c r="N1599" s="74">
        <f t="shared" si="3"/>
        <v>105000</v>
      </c>
      <c r="O1599" s="65" t="str">
        <f>VLOOKUP(E1599,DATABASE!C:Q,8,false)</f>
        <v>IBU</v>
      </c>
      <c r="P1599" s="65">
        <f>VLOOKUP(E1599,DATABASE!C:Q,9,False)</f>
        <v>0</v>
      </c>
      <c r="Q1599" s="93" t="str">
        <f>VLOOKUP(E1599,DATABASE!C:Q,4,false)</f>
        <v>SPOORING SS/CARRY LOS BAK</v>
      </c>
      <c r="R1599" s="93" t="str">
        <f>VLOOKUP(E1599,DATABASE!C:Q,11,false)</f>
        <v>SERVICE</v>
      </c>
    </row>
    <row r="1600" ht="22.5" customHeight="1">
      <c r="A1600" s="49"/>
      <c r="C1600" s="384">
        <v>45743.0</v>
      </c>
      <c r="D1600" s="65">
        <v>4942.0</v>
      </c>
      <c r="E1600" s="445" t="s">
        <v>251</v>
      </c>
      <c r="F1600" s="386">
        <v>1.0</v>
      </c>
      <c r="G1600" s="74">
        <v>120000.0</v>
      </c>
      <c r="H1600" s="74">
        <v>0.0</v>
      </c>
      <c r="I1600" s="74">
        <f t="shared" si="1"/>
        <v>120000</v>
      </c>
      <c r="J1600" s="74">
        <f>IF(E1600="SERVICE",I1600-(I1600*50%),Vlookup(E1600,DATABASE!C:Q,10,false)*F1600)</f>
        <v>60000</v>
      </c>
      <c r="K1600" s="74">
        <f>VLOOKUP(E1600,DATABASE!C:Q,7,false)</f>
        <v>0</v>
      </c>
      <c r="L1600" s="74">
        <v>0.0</v>
      </c>
      <c r="M1600" s="74">
        <f t="shared" si="2"/>
        <v>0</v>
      </c>
      <c r="N1600" s="74">
        <f t="shared" si="3"/>
        <v>60000</v>
      </c>
      <c r="O1600" s="65" t="str">
        <f>VLOOKUP(E1600,DATABASE!C:Q,8,false)</f>
        <v>IBU</v>
      </c>
      <c r="P1600" s="65">
        <f>VLOOKUP(E1600,DATABASE!C:Q,9,False)</f>
        <v>0</v>
      </c>
      <c r="Q1600" s="93" t="str">
        <f>VLOOKUP(E1600,DATABASE!C:Q,4,false)</f>
        <v>SERVICE</v>
      </c>
      <c r="R1600" s="93" t="str">
        <f>VLOOKUP(E1600,DATABASE!C:Q,11,false)</f>
        <v>SERVICE</v>
      </c>
    </row>
    <row r="1601" ht="22.5" customHeight="1">
      <c r="A1601" s="49"/>
      <c r="C1601" s="384">
        <v>45743.0</v>
      </c>
      <c r="D1601" s="65">
        <v>4943.0</v>
      </c>
      <c r="E1601" s="445" t="s">
        <v>604</v>
      </c>
      <c r="F1601" s="386">
        <v>1.0</v>
      </c>
      <c r="G1601" s="74">
        <v>160000.0</v>
      </c>
      <c r="H1601" s="74">
        <v>0.0</v>
      </c>
      <c r="I1601" s="74">
        <f t="shared" si="1"/>
        <v>160000</v>
      </c>
      <c r="J1601" s="74">
        <f>IF(E1601="SERVICE",I1601-(I1601*50%),Vlookup(E1601,DATABASE!C:Q,10,false)*F1601)</f>
        <v>0</v>
      </c>
      <c r="K1601" s="74">
        <f>VLOOKUP(E1601,DATABASE!C:Q,7,false)</f>
        <v>124000</v>
      </c>
      <c r="L1601" s="74">
        <v>124000.0</v>
      </c>
      <c r="M1601" s="74">
        <f t="shared" si="2"/>
        <v>125000</v>
      </c>
      <c r="N1601" s="74">
        <f t="shared" si="3"/>
        <v>35000</v>
      </c>
      <c r="O1601" s="65" t="str">
        <f>VLOOKUP(E1601,DATABASE!C:Q,8,false)</f>
        <v>BIAN</v>
      </c>
      <c r="P1601" s="65">
        <f>VLOOKUP(E1601,DATABASE!C:Q,9,False)</f>
        <v>1</v>
      </c>
      <c r="Q1601" s="93" t="str">
        <f>VLOOKUP(E1601,DATABASE!C:Q,4,false)</f>
        <v>BD</v>
      </c>
      <c r="R1601" s="93" t="str">
        <f>VLOOKUP(E1601,DATABASE!C:Q,11,false)</f>
        <v>Tire</v>
      </c>
    </row>
    <row r="1602" ht="22.5" customHeight="1">
      <c r="A1602" s="49"/>
      <c r="C1602" s="384">
        <v>45743.0</v>
      </c>
      <c r="D1602" s="65">
        <v>4944.0</v>
      </c>
      <c r="E1602" s="445" t="s">
        <v>256</v>
      </c>
      <c r="F1602" s="386">
        <v>1.0</v>
      </c>
      <c r="G1602" s="74">
        <v>130000.0</v>
      </c>
      <c r="H1602" s="74">
        <v>0.0</v>
      </c>
      <c r="I1602" s="74">
        <f t="shared" si="1"/>
        <v>130000</v>
      </c>
      <c r="J1602" s="74">
        <f>IF(E1602="SERVICE",I1602-(I1602*50%),Vlookup(E1602,DATABASE!C:Q,10,false)*F1602)</f>
        <v>10000</v>
      </c>
      <c r="K1602" s="74">
        <f>VLOOKUP(E1602,DATABASE!C:Q,7,false)</f>
        <v>0</v>
      </c>
      <c r="L1602" s="74">
        <v>0.0</v>
      </c>
      <c r="M1602" s="74">
        <f t="shared" si="2"/>
        <v>0</v>
      </c>
      <c r="N1602" s="74">
        <f t="shared" si="3"/>
        <v>120000</v>
      </c>
      <c r="O1602" s="65" t="str">
        <f>VLOOKUP(E1602,DATABASE!C:Q,8,false)</f>
        <v>IBU</v>
      </c>
      <c r="P1602" s="65">
        <f>VLOOKUP(E1602,DATABASE!C:Q,9,False)</f>
        <v>0</v>
      </c>
      <c r="Q1602" s="93" t="str">
        <f>VLOOKUP(E1602,DATABASE!C:Q,4,false)</f>
        <v>SPOORING</v>
      </c>
      <c r="R1602" s="93" t="str">
        <f>VLOOKUP(E1602,DATABASE!C:Q,11,false)</f>
        <v>SERVICE</v>
      </c>
    </row>
    <row r="1603" ht="22.5" customHeight="1">
      <c r="A1603" s="49"/>
      <c r="C1603" s="384">
        <v>45743.0</v>
      </c>
      <c r="D1603" s="65">
        <v>4944.0</v>
      </c>
      <c r="E1603" s="445" t="s">
        <v>301</v>
      </c>
      <c r="F1603" s="386">
        <v>1.0</v>
      </c>
      <c r="G1603" s="74">
        <v>250000.0</v>
      </c>
      <c r="H1603" s="74">
        <v>0.0</v>
      </c>
      <c r="I1603" s="74">
        <f t="shared" si="1"/>
        <v>250000</v>
      </c>
      <c r="J1603" s="74">
        <f>IF(E1603="SERVICE",I1603-(I1603*50%),Vlookup(E1603,DATABASE!C:Q,10,false)*F1603)</f>
        <v>75000</v>
      </c>
      <c r="K1603" s="74">
        <f>VLOOKUP(E1603,DATABASE!C:Q,7,false)</f>
        <v>75000</v>
      </c>
      <c r="L1603" s="74">
        <v>75000.0</v>
      </c>
      <c r="M1603" s="74">
        <f t="shared" si="2"/>
        <v>75000</v>
      </c>
      <c r="N1603" s="74">
        <f t="shared" si="3"/>
        <v>100000</v>
      </c>
      <c r="O1603" s="65" t="str">
        <f>VLOOKUP(E1603,DATABASE!C:Q,8,false)</f>
        <v>BIAN</v>
      </c>
      <c r="P1603" s="65">
        <f>VLOOKUP(E1603,DATABASE!C:Q,9,False)</f>
        <v>0</v>
      </c>
      <c r="Q1603" s="93" t="str">
        <f>VLOOKUP(E1603,DATABASE!C:Q,4,false)</f>
        <v>Baut Camber</v>
      </c>
      <c r="R1603" s="93" t="str">
        <f>VLOOKUP(E1603,DATABASE!C:Q,11,false)</f>
        <v>COMPLEMENTARY</v>
      </c>
    </row>
    <row r="1604" ht="22.5" customHeight="1">
      <c r="A1604" s="49"/>
      <c r="C1604" s="384">
        <v>45743.0</v>
      </c>
      <c r="D1604" s="65">
        <v>4945.0</v>
      </c>
      <c r="E1604" s="445" t="s">
        <v>591</v>
      </c>
      <c r="F1604" s="386">
        <v>2.0</v>
      </c>
      <c r="G1604" s="74">
        <v>680000.0</v>
      </c>
      <c r="H1604" s="74">
        <v>0.0</v>
      </c>
      <c r="I1604" s="74">
        <f t="shared" si="1"/>
        <v>1360000</v>
      </c>
      <c r="J1604" s="74">
        <f>IF(E1604="SERVICE",I1604-(I1604*50%),Vlookup(E1604,DATABASE!C:Q,10,false)*F1604)</f>
        <v>0</v>
      </c>
      <c r="K1604" s="74">
        <f>VLOOKUP(E1604,DATABASE!C:Q,7,false)</f>
        <v>633035.16</v>
      </c>
      <c r="L1604" s="74">
        <v>593488.4</v>
      </c>
      <c r="M1604" s="74">
        <f t="shared" si="2"/>
        <v>595000</v>
      </c>
      <c r="N1604" s="74">
        <f t="shared" si="3"/>
        <v>170000</v>
      </c>
      <c r="O1604" s="65" t="str">
        <f>VLOOKUP(E1604,DATABASE!C:Q,8,false)</f>
        <v>IBU</v>
      </c>
      <c r="P1604" s="65">
        <f>VLOOKUP(E1604,DATABASE!C:Q,9,False)</f>
        <v>1</v>
      </c>
      <c r="Q1604" s="93" t="str">
        <f>VLOOKUP(E1604,DATABASE!C:Q,4,false)</f>
        <v>Bridgestone</v>
      </c>
      <c r="R1604" s="93" t="str">
        <f>VLOOKUP(E1604,DATABASE!C:Q,11,false)</f>
        <v>Tire</v>
      </c>
    </row>
    <row r="1605" ht="22.5" customHeight="1">
      <c r="A1605" s="49"/>
      <c r="C1605" s="384">
        <v>45743.0</v>
      </c>
      <c r="D1605" s="65">
        <v>4946.0</v>
      </c>
      <c r="E1605" s="445" t="s">
        <v>265</v>
      </c>
      <c r="F1605" s="386">
        <v>2.0</v>
      </c>
      <c r="G1605" s="74">
        <v>670000.0</v>
      </c>
      <c r="H1605" s="74">
        <v>0.0</v>
      </c>
      <c r="I1605" s="74">
        <f t="shared" si="1"/>
        <v>1340000</v>
      </c>
      <c r="J1605" s="74">
        <f>IF(E1605="SERVICE",I1605-(I1605*50%),Vlookup(E1605,DATABASE!C:Q,10,false)*F1605)</f>
        <v>0</v>
      </c>
      <c r="K1605" s="74">
        <v>590000.0</v>
      </c>
      <c r="L1605" s="74">
        <v>590000.0</v>
      </c>
      <c r="M1605" s="74">
        <f t="shared" si="2"/>
        <v>590000</v>
      </c>
      <c r="N1605" s="74">
        <f t="shared" si="3"/>
        <v>160000</v>
      </c>
      <c r="O1605" s="65" t="str">
        <f>VLOOKUP(E1605,DATABASE!C:Q,8,false)</f>
        <v>IBU</v>
      </c>
      <c r="P1605" s="65">
        <f>VLOOKUP(E1605,DATABASE!C:Q,9,False)</f>
        <v>1</v>
      </c>
      <c r="Q1605" s="93" t="str">
        <f>VLOOKUP(E1605,DATABASE!C:Q,4,false)</f>
        <v>Dunlop</v>
      </c>
      <c r="R1605" s="93" t="str">
        <f>VLOOKUP(E1605,DATABASE!C:Q,11,false)</f>
        <v>Tire</v>
      </c>
    </row>
    <row r="1606" ht="22.5" customHeight="1">
      <c r="A1606" s="49"/>
      <c r="C1606" s="384">
        <v>45743.0</v>
      </c>
      <c r="D1606" s="65">
        <v>4947.0</v>
      </c>
      <c r="E1606" s="445" t="s">
        <v>1783</v>
      </c>
      <c r="F1606" s="386">
        <v>2.0</v>
      </c>
      <c r="G1606" s="74">
        <v>680000.0</v>
      </c>
      <c r="H1606" s="74">
        <v>0.0</v>
      </c>
      <c r="I1606" s="74">
        <f t="shared" si="1"/>
        <v>1360000</v>
      </c>
      <c r="J1606" s="74">
        <f>IF(E1606="SERVICE",I1606-(I1606*50%),Vlookup(E1606,DATABASE!C:Q,10,false)*F1606)</f>
        <v>0</v>
      </c>
      <c r="K1606" s="74">
        <f>VLOOKUP(E1606,DATABASE!C:Q,7,false)</f>
        <v>628100</v>
      </c>
      <c r="L1606" s="74">
        <v>572900.0</v>
      </c>
      <c r="M1606" s="74">
        <f t="shared" si="2"/>
        <v>575000</v>
      </c>
      <c r="N1606" s="74">
        <f t="shared" si="3"/>
        <v>210000</v>
      </c>
      <c r="O1606" s="65" t="str">
        <f>VLOOKUP(E1606,DATABASE!C:Q,8,false)</f>
        <v>BIAN</v>
      </c>
      <c r="P1606" s="65">
        <f>VLOOKUP(E1606,DATABASE!C:Q,9,False)</f>
        <v>1</v>
      </c>
      <c r="Q1606" s="93" t="str">
        <f>VLOOKUP(E1606,DATABASE!C:Q,4,false)</f>
        <v>GT</v>
      </c>
      <c r="R1606" s="93" t="str">
        <f>VLOOKUP(E1606,DATABASE!C:Q,11,false)</f>
        <v>Tire</v>
      </c>
    </row>
    <row r="1607" ht="22.5" customHeight="1">
      <c r="A1607" s="49"/>
      <c r="C1607" s="384">
        <v>45743.0</v>
      </c>
      <c r="D1607" s="65">
        <v>4949.0</v>
      </c>
      <c r="E1607" s="445" t="s">
        <v>275</v>
      </c>
      <c r="F1607" s="386">
        <v>1.0</v>
      </c>
      <c r="G1607" s="74">
        <v>830000.0</v>
      </c>
      <c r="H1607" s="74">
        <v>0.0</v>
      </c>
      <c r="I1607" s="74">
        <f t="shared" si="1"/>
        <v>830000</v>
      </c>
      <c r="J1607" s="74">
        <f>IF(E1607="SERVICE",I1607-(I1607*50%),Vlookup(E1607,DATABASE!C:Q,10,false)*F1607)</f>
        <v>0</v>
      </c>
      <c r="K1607" s="74">
        <v>735000.0</v>
      </c>
      <c r="L1607" s="74">
        <v>735000.0</v>
      </c>
      <c r="M1607" s="74">
        <f t="shared" si="2"/>
        <v>735000</v>
      </c>
      <c r="N1607" s="74">
        <f t="shared" si="3"/>
        <v>95000</v>
      </c>
      <c r="O1607" s="65" t="str">
        <f>VLOOKUP(E1607,DATABASE!C:Q,8,false)</f>
        <v>IBU</v>
      </c>
      <c r="P1607" s="65">
        <f>VLOOKUP(E1607,DATABASE!C:Q,9,False)</f>
        <v>1</v>
      </c>
      <c r="Q1607" s="93" t="str">
        <f>VLOOKUP(E1607,DATABASE!C:Q,4,false)</f>
        <v>Dunlop</v>
      </c>
      <c r="R1607" s="93" t="str">
        <f>VLOOKUP(E1607,DATABASE!C:Q,11,false)</f>
        <v>Tire</v>
      </c>
    </row>
    <row r="1608" ht="22.5" customHeight="1">
      <c r="A1608" s="49"/>
      <c r="C1608" s="384">
        <v>45743.0</v>
      </c>
      <c r="D1608" s="65">
        <v>4950.0</v>
      </c>
      <c r="E1608" s="445" t="s">
        <v>569</v>
      </c>
      <c r="F1608" s="386">
        <v>1.0</v>
      </c>
      <c r="G1608" s="74">
        <v>80000.0</v>
      </c>
      <c r="H1608" s="74">
        <v>0.0</v>
      </c>
      <c r="I1608" s="74">
        <f t="shared" si="1"/>
        <v>80000</v>
      </c>
      <c r="J1608" s="74">
        <f>IF(E1608="SERVICE",I1608-(I1608*50%),Vlookup(E1608,DATABASE!C:Q,10,false)*F1608)</f>
        <v>0</v>
      </c>
      <c r="K1608" s="74">
        <f>VLOOKUP(E1608,DATABASE!C:Q,7,false)</f>
        <v>45439.582</v>
      </c>
      <c r="L1608" s="74">
        <v>45309.6</v>
      </c>
      <c r="M1608" s="74">
        <f t="shared" si="2"/>
        <v>50000</v>
      </c>
      <c r="N1608" s="74">
        <f t="shared" si="3"/>
        <v>30000</v>
      </c>
      <c r="O1608" s="65" t="str">
        <f>VLOOKUP(E1608,DATABASE!C:Q,8,false)</f>
        <v>BIAN</v>
      </c>
      <c r="P1608" s="65">
        <f>VLOOKUP(E1608,DATABASE!C:Q,9,False)</f>
        <v>1</v>
      </c>
      <c r="Q1608" s="93" t="str">
        <f>VLOOKUP(E1608,DATABASE!C:Q,4,false)</f>
        <v>BD</v>
      </c>
      <c r="R1608" s="93" t="str">
        <f>VLOOKUP(E1608,DATABASE!C:Q,11,false)</f>
        <v>Tire</v>
      </c>
    </row>
    <row r="1609" ht="22.5" customHeight="1">
      <c r="A1609" s="49"/>
      <c r="C1609" s="384">
        <v>45743.0</v>
      </c>
      <c r="D1609" s="65">
        <v>4951.0</v>
      </c>
      <c r="E1609" s="445" t="s">
        <v>1704</v>
      </c>
      <c r="F1609" s="386">
        <v>1.0</v>
      </c>
      <c r="G1609" s="74">
        <v>800000.0</v>
      </c>
      <c r="H1609" s="74">
        <v>0.0</v>
      </c>
      <c r="I1609" s="74">
        <f t="shared" si="1"/>
        <v>800000</v>
      </c>
      <c r="J1609" s="74">
        <f>IF(E1609="SERVICE",I1609-(I1609*50%),Vlookup(E1609,DATABASE!C:Q,10,false)*F1609)</f>
        <v>0</v>
      </c>
      <c r="K1609" s="74">
        <f>VLOOKUP(E1609,DATABASE!C:Q,7,false)</f>
        <v>787500</v>
      </c>
      <c r="L1609" s="74">
        <v>695000.0</v>
      </c>
      <c r="M1609" s="74">
        <f t="shared" si="2"/>
        <v>695000</v>
      </c>
      <c r="N1609" s="74">
        <f t="shared" si="3"/>
        <v>105000</v>
      </c>
      <c r="O1609" s="65" t="str">
        <f>VLOOKUP(E1609,DATABASE!C:Q,8,false)</f>
        <v>BIAN</v>
      </c>
      <c r="P1609" s="65">
        <f>VLOOKUP(E1609,DATABASE!C:Q,9,False)</f>
        <v>1</v>
      </c>
      <c r="Q1609" s="93" t="str">
        <f>VLOOKUP(E1609,DATABASE!C:Q,4,false)</f>
        <v>GT</v>
      </c>
      <c r="R1609" s="93" t="str">
        <f>VLOOKUP(E1609,DATABASE!C:Q,11,false)</f>
        <v>Tire</v>
      </c>
    </row>
    <row r="1610" ht="22.5" customHeight="1">
      <c r="A1610" s="49"/>
      <c r="C1610" s="384">
        <v>45743.0</v>
      </c>
      <c r="D1610" s="65">
        <v>4951.0</v>
      </c>
      <c r="E1610" s="385" t="s">
        <v>299</v>
      </c>
      <c r="F1610" s="386">
        <v>2.0</v>
      </c>
      <c r="G1610" s="74">
        <v>30000.0</v>
      </c>
      <c r="H1610" s="74">
        <v>0.0</v>
      </c>
      <c r="I1610" s="74">
        <f t="shared" si="1"/>
        <v>60000</v>
      </c>
      <c r="J1610" s="74">
        <f>IF(E1610="SERVICE",I1610-(I1610*50%),Vlookup(E1610,DATABASE!C:Q,10,false)*F1610)</f>
        <v>0</v>
      </c>
      <c r="K1610" s="74">
        <v>0.0</v>
      </c>
      <c r="L1610" s="74">
        <v>0.0</v>
      </c>
      <c r="M1610" s="74">
        <f t="shared" si="2"/>
        <v>0</v>
      </c>
      <c r="N1610" s="74">
        <f t="shared" si="3"/>
        <v>60000</v>
      </c>
      <c r="O1610" s="65" t="str">
        <f>VLOOKUP(E1610,DATABASE!C:Q,8,false)</f>
        <v>BIAN</v>
      </c>
      <c r="P1610" s="65">
        <f>VLOOKUP(E1610,DATABASE!C:Q,9,False)</f>
        <v>0</v>
      </c>
      <c r="Q1610" s="93" t="str">
        <f>VLOOKUP(E1610,DATABASE!C:Q,4,false)</f>
        <v>Balancing</v>
      </c>
      <c r="R1610" s="93" t="str">
        <f>VLOOKUP(E1610,DATABASE!C:Q,11,false)</f>
        <v>COMPLEMENTARY</v>
      </c>
    </row>
    <row r="1611" ht="22.5" customHeight="1">
      <c r="A1611" s="49"/>
      <c r="C1611" s="384">
        <v>45743.0</v>
      </c>
      <c r="D1611" s="65">
        <v>4951.0</v>
      </c>
      <c r="E1611" s="445" t="s">
        <v>256</v>
      </c>
      <c r="F1611" s="386">
        <v>1.0</v>
      </c>
      <c r="G1611" s="74">
        <v>130000.0</v>
      </c>
      <c r="H1611" s="74">
        <v>0.0</v>
      </c>
      <c r="I1611" s="74">
        <f t="shared" si="1"/>
        <v>130000</v>
      </c>
      <c r="J1611" s="74">
        <f>IF(E1611="SERVICE",I1611-(I1611*50%),Vlookup(E1611,DATABASE!C:Q,10,false)*F1611)</f>
        <v>10000</v>
      </c>
      <c r="K1611" s="74">
        <f>VLOOKUP(E1611,DATABASE!C:Q,7,false)</f>
        <v>0</v>
      </c>
      <c r="L1611" s="74">
        <v>0.0</v>
      </c>
      <c r="M1611" s="74">
        <f t="shared" si="2"/>
        <v>0</v>
      </c>
      <c r="N1611" s="74">
        <f t="shared" si="3"/>
        <v>120000</v>
      </c>
      <c r="O1611" s="65" t="str">
        <f>VLOOKUP(E1611,DATABASE!C:Q,8,false)</f>
        <v>IBU</v>
      </c>
      <c r="P1611" s="65">
        <f>VLOOKUP(E1611,DATABASE!C:Q,9,False)</f>
        <v>0</v>
      </c>
      <c r="Q1611" s="93" t="str">
        <f>VLOOKUP(E1611,DATABASE!C:Q,4,false)</f>
        <v>SPOORING</v>
      </c>
      <c r="R1611" s="93" t="str">
        <f>VLOOKUP(E1611,DATABASE!C:Q,11,false)</f>
        <v>SERVICE</v>
      </c>
    </row>
    <row r="1612" ht="22.5" customHeight="1">
      <c r="A1612" s="49"/>
      <c r="C1612" s="384">
        <v>45743.0</v>
      </c>
      <c r="D1612" s="65">
        <v>4951.0</v>
      </c>
      <c r="E1612" s="445" t="s">
        <v>301</v>
      </c>
      <c r="F1612" s="386">
        <v>1.0</v>
      </c>
      <c r="G1612" s="74">
        <v>250000.0</v>
      </c>
      <c r="H1612" s="74">
        <v>0.0</v>
      </c>
      <c r="I1612" s="74">
        <f t="shared" si="1"/>
        <v>250000</v>
      </c>
      <c r="J1612" s="74">
        <f>IF(E1612="SERVICE",I1612-(I1612*50%),Vlookup(E1612,DATABASE!C:Q,10,false)*F1612)</f>
        <v>75000</v>
      </c>
      <c r="K1612" s="74">
        <f>VLOOKUP(E1612,DATABASE!C:Q,7,false)</f>
        <v>75000</v>
      </c>
      <c r="L1612" s="74">
        <v>75000.0</v>
      </c>
      <c r="M1612" s="74">
        <f t="shared" si="2"/>
        <v>75000</v>
      </c>
      <c r="N1612" s="74">
        <f t="shared" si="3"/>
        <v>100000</v>
      </c>
      <c r="O1612" s="65" t="str">
        <f>VLOOKUP(E1612,DATABASE!C:Q,8,false)</f>
        <v>BIAN</v>
      </c>
      <c r="P1612" s="65">
        <f>VLOOKUP(E1612,DATABASE!C:Q,9,False)</f>
        <v>0</v>
      </c>
      <c r="Q1612" s="93" t="str">
        <f>VLOOKUP(E1612,DATABASE!C:Q,4,false)</f>
        <v>Baut Camber</v>
      </c>
      <c r="R1612" s="93" t="str">
        <f>VLOOKUP(E1612,DATABASE!C:Q,11,false)</f>
        <v>COMPLEMENTARY</v>
      </c>
    </row>
    <row r="1613" ht="22.5" customHeight="1">
      <c r="A1613" s="49"/>
      <c r="C1613" s="384">
        <v>45743.0</v>
      </c>
      <c r="D1613" s="65">
        <v>4952.0</v>
      </c>
      <c r="E1613" s="445" t="s">
        <v>265</v>
      </c>
      <c r="F1613" s="386">
        <v>2.0</v>
      </c>
      <c r="G1613" s="74">
        <v>670000.0</v>
      </c>
      <c r="H1613" s="74">
        <v>0.0</v>
      </c>
      <c r="I1613" s="74">
        <f t="shared" si="1"/>
        <v>1340000</v>
      </c>
      <c r="J1613" s="74">
        <f>IF(E1613="SERVICE",I1613-(I1613*50%),Vlookup(E1613,DATABASE!C:Q,10,false)*F1613)</f>
        <v>0</v>
      </c>
      <c r="K1613" s="74">
        <v>590000.0</v>
      </c>
      <c r="L1613" s="74">
        <v>590000.0</v>
      </c>
      <c r="M1613" s="74">
        <f t="shared" si="2"/>
        <v>590000</v>
      </c>
      <c r="N1613" s="74">
        <f t="shared" si="3"/>
        <v>160000</v>
      </c>
      <c r="O1613" s="65" t="str">
        <f>VLOOKUP(E1613,DATABASE!C:Q,8,false)</f>
        <v>IBU</v>
      </c>
      <c r="P1613" s="65">
        <f>VLOOKUP(E1613,DATABASE!C:Q,9,False)</f>
        <v>1</v>
      </c>
      <c r="Q1613" s="93" t="str">
        <f>VLOOKUP(E1613,DATABASE!C:Q,4,false)</f>
        <v>Dunlop</v>
      </c>
      <c r="R1613" s="93" t="str">
        <f>VLOOKUP(E1613,DATABASE!C:Q,11,false)</f>
        <v>Tire</v>
      </c>
    </row>
    <row r="1614" ht="22.5" customHeight="1">
      <c r="A1614" s="49"/>
      <c r="C1614" s="384">
        <v>45743.0</v>
      </c>
      <c r="D1614" s="65">
        <v>4953.0</v>
      </c>
      <c r="E1614" s="445" t="s">
        <v>251</v>
      </c>
      <c r="F1614" s="386">
        <v>1.0</v>
      </c>
      <c r="G1614" s="74">
        <v>150000.0</v>
      </c>
      <c r="H1614" s="74">
        <v>0.0</v>
      </c>
      <c r="I1614" s="74">
        <f t="shared" si="1"/>
        <v>150000</v>
      </c>
      <c r="J1614" s="74">
        <f>IF(E1614="SERVICE",I1614-(I1614*50%),Vlookup(E1614,DATABASE!C:Q,10,false)*F1614)</f>
        <v>75000</v>
      </c>
      <c r="K1614" s="74">
        <f>VLOOKUP(E1614,DATABASE!C:Q,7,false)</f>
        <v>0</v>
      </c>
      <c r="L1614" s="74">
        <v>0.0</v>
      </c>
      <c r="M1614" s="74">
        <f t="shared" si="2"/>
        <v>0</v>
      </c>
      <c r="N1614" s="74">
        <f t="shared" si="3"/>
        <v>75000</v>
      </c>
      <c r="O1614" s="65" t="str">
        <f>VLOOKUP(E1614,DATABASE!C:Q,8,false)</f>
        <v>IBU</v>
      </c>
      <c r="P1614" s="65">
        <f>VLOOKUP(E1614,DATABASE!C:Q,9,False)</f>
        <v>0</v>
      </c>
      <c r="Q1614" s="93" t="str">
        <f>VLOOKUP(E1614,DATABASE!C:Q,4,false)</f>
        <v>SERVICE</v>
      </c>
      <c r="R1614" s="93" t="str">
        <f>VLOOKUP(E1614,DATABASE!C:Q,11,false)</f>
        <v>SERVICE</v>
      </c>
    </row>
    <row r="1615" ht="22.5" customHeight="1">
      <c r="A1615" s="49"/>
      <c r="C1615" s="384">
        <v>45743.0</v>
      </c>
      <c r="D1615" s="65">
        <v>4953.0</v>
      </c>
      <c r="E1615" s="385" t="s">
        <v>299</v>
      </c>
      <c r="F1615" s="386">
        <v>2.0</v>
      </c>
      <c r="G1615" s="74">
        <v>30000.0</v>
      </c>
      <c r="H1615" s="74">
        <v>0.0</v>
      </c>
      <c r="I1615" s="74">
        <f t="shared" si="1"/>
        <v>60000</v>
      </c>
      <c r="J1615" s="74">
        <f>IF(E1615="SERVICE",I1615-(I1615*50%),Vlookup(E1615,DATABASE!C:Q,10,false)*F1615)</f>
        <v>0</v>
      </c>
      <c r="K1615" s="74">
        <v>0.0</v>
      </c>
      <c r="L1615" s="74">
        <v>0.0</v>
      </c>
      <c r="M1615" s="74">
        <f t="shared" si="2"/>
        <v>0</v>
      </c>
      <c r="N1615" s="74">
        <f t="shared" si="3"/>
        <v>60000</v>
      </c>
      <c r="O1615" s="65" t="str">
        <f>VLOOKUP(E1615,DATABASE!C:Q,8,false)</f>
        <v>BIAN</v>
      </c>
      <c r="P1615" s="65">
        <f>VLOOKUP(E1615,DATABASE!C:Q,9,False)</f>
        <v>0</v>
      </c>
      <c r="Q1615" s="93" t="str">
        <f>VLOOKUP(E1615,DATABASE!C:Q,4,false)</f>
        <v>Balancing</v>
      </c>
      <c r="R1615" s="93" t="str">
        <f>VLOOKUP(E1615,DATABASE!C:Q,11,false)</f>
        <v>COMPLEMENTARY</v>
      </c>
    </row>
    <row r="1616" ht="22.5" customHeight="1">
      <c r="A1616" s="49"/>
      <c r="C1616" s="384">
        <v>45743.0</v>
      </c>
      <c r="D1616" s="65">
        <v>4954.0</v>
      </c>
      <c r="E1616" s="445" t="s">
        <v>279</v>
      </c>
      <c r="F1616" s="386">
        <v>4.0</v>
      </c>
      <c r="G1616" s="74">
        <v>665000.0</v>
      </c>
      <c r="H1616" s="74">
        <v>0.0</v>
      </c>
      <c r="I1616" s="74">
        <f t="shared" si="1"/>
        <v>2660000</v>
      </c>
      <c r="J1616" s="74">
        <f>IF(E1616="SERVICE",I1616-(I1616*50%),Vlookup(E1616,DATABASE!C:Q,10,false)*F1616)</f>
        <v>0</v>
      </c>
      <c r="K1616" s="74">
        <f>VLOOKUP(E1616,DATABASE!C:Q,7,false)</f>
        <v>623000</v>
      </c>
      <c r="L1616" s="74">
        <v>602000.0</v>
      </c>
      <c r="M1616" s="74">
        <f t="shared" si="2"/>
        <v>605000</v>
      </c>
      <c r="N1616" s="74">
        <f t="shared" si="3"/>
        <v>240000</v>
      </c>
      <c r="O1616" s="65" t="str">
        <f>VLOOKUP(E1616,DATABASE!C:Q,8,false)</f>
        <v>IBU</v>
      </c>
      <c r="P1616" s="65">
        <f>VLOOKUP(E1616,DATABASE!C:Q,9,False)</f>
        <v>1</v>
      </c>
      <c r="Q1616" s="93" t="str">
        <f>VLOOKUP(E1616,DATABASE!C:Q,4,false)</f>
        <v>Dunlop</v>
      </c>
      <c r="R1616" s="93" t="str">
        <f>VLOOKUP(E1616,DATABASE!C:Q,11,false)</f>
        <v>Tire</v>
      </c>
    </row>
    <row r="1617" ht="22.5" customHeight="1">
      <c r="A1617" s="49"/>
      <c r="C1617" s="384">
        <v>45743.0</v>
      </c>
      <c r="D1617" s="65">
        <v>4954.0</v>
      </c>
      <c r="E1617" s="385" t="s">
        <v>299</v>
      </c>
      <c r="F1617" s="386">
        <v>2.0</v>
      </c>
      <c r="G1617" s="74">
        <v>30000.0</v>
      </c>
      <c r="H1617" s="74">
        <v>0.0</v>
      </c>
      <c r="I1617" s="74">
        <f t="shared" si="1"/>
        <v>60000</v>
      </c>
      <c r="J1617" s="74">
        <f>IF(E1617="SERVICE",I1617-(I1617*50%),Vlookup(E1617,DATABASE!C:Q,10,false)*F1617)</f>
        <v>0</v>
      </c>
      <c r="K1617" s="74">
        <v>0.0</v>
      </c>
      <c r="L1617" s="74">
        <v>0.0</v>
      </c>
      <c r="M1617" s="74">
        <f t="shared" si="2"/>
        <v>0</v>
      </c>
      <c r="N1617" s="74">
        <f t="shared" si="3"/>
        <v>60000</v>
      </c>
      <c r="O1617" s="65" t="str">
        <f>VLOOKUP(E1617,DATABASE!C:Q,8,false)</f>
        <v>BIAN</v>
      </c>
      <c r="P1617" s="65">
        <f>VLOOKUP(E1617,DATABASE!C:Q,9,False)</f>
        <v>0</v>
      </c>
      <c r="Q1617" s="93" t="str">
        <f>VLOOKUP(E1617,DATABASE!C:Q,4,false)</f>
        <v>Balancing</v>
      </c>
      <c r="R1617" s="93" t="str">
        <f>VLOOKUP(E1617,DATABASE!C:Q,11,false)</f>
        <v>COMPLEMENTARY</v>
      </c>
    </row>
    <row r="1618" ht="22.5" customHeight="1">
      <c r="A1618" s="49"/>
      <c r="C1618" s="384">
        <v>45743.0</v>
      </c>
      <c r="D1618" s="65">
        <v>4954.0</v>
      </c>
      <c r="E1618" s="445" t="s">
        <v>2135</v>
      </c>
      <c r="F1618" s="386">
        <v>4.0</v>
      </c>
      <c r="G1618" s="74">
        <v>15000.0</v>
      </c>
      <c r="H1618" s="74">
        <v>0.0</v>
      </c>
      <c r="I1618" s="74">
        <f t="shared" si="1"/>
        <v>60000</v>
      </c>
      <c r="J1618" s="74">
        <f>IF(E1618="SERVICE",I1618-(I1618*50%),Vlookup(E1618,DATABASE!C:Q,10,false)*F1618)</f>
        <v>0</v>
      </c>
      <c r="K1618" s="74">
        <f>VLOOKUP(E1618,DATABASE!C:Q,7,false)</f>
        <v>0</v>
      </c>
      <c r="L1618" s="74">
        <v>0.0</v>
      </c>
      <c r="M1618" s="74">
        <f t="shared" si="2"/>
        <v>0</v>
      </c>
      <c r="N1618" s="74">
        <f t="shared" si="3"/>
        <v>60000</v>
      </c>
      <c r="O1618" s="65" t="str">
        <f>VLOOKUP(E1618,DATABASE!C:Q,8,false)</f>
        <v>IBU</v>
      </c>
      <c r="P1618" s="65">
        <f>VLOOKUP(E1618,DATABASE!C:Q,9,False)</f>
        <v>0</v>
      </c>
      <c r="Q1618" s="93" t="str">
        <f>VLOOKUP(E1618,DATABASE!C:Q,4,false)</f>
        <v>NITROGEN</v>
      </c>
      <c r="R1618" s="93" t="str">
        <f>VLOOKUP(E1618,DATABASE!C:Q,11,false)</f>
        <v>COMPLEMENTARY</v>
      </c>
    </row>
    <row r="1619" ht="22.5" customHeight="1">
      <c r="A1619" s="49"/>
      <c r="C1619" s="384">
        <v>45743.0</v>
      </c>
      <c r="D1619" s="65">
        <v>4954.0</v>
      </c>
      <c r="E1619" s="445" t="s">
        <v>256</v>
      </c>
      <c r="F1619" s="386">
        <v>1.0</v>
      </c>
      <c r="G1619" s="74">
        <v>130000.0</v>
      </c>
      <c r="H1619" s="74">
        <v>0.0</v>
      </c>
      <c r="I1619" s="74">
        <f t="shared" si="1"/>
        <v>130000</v>
      </c>
      <c r="J1619" s="74">
        <f>IF(E1619="SERVICE",I1619-(I1619*50%),Vlookup(E1619,DATABASE!C:Q,10,false)*F1619)</f>
        <v>10000</v>
      </c>
      <c r="K1619" s="74">
        <f>VLOOKUP(E1619,DATABASE!C:Q,7,false)</f>
        <v>0</v>
      </c>
      <c r="L1619" s="74">
        <v>0.0</v>
      </c>
      <c r="M1619" s="74">
        <f t="shared" si="2"/>
        <v>0</v>
      </c>
      <c r="N1619" s="74">
        <f t="shared" si="3"/>
        <v>120000</v>
      </c>
      <c r="O1619" s="65" t="str">
        <f>VLOOKUP(E1619,DATABASE!C:Q,8,false)</f>
        <v>IBU</v>
      </c>
      <c r="P1619" s="65">
        <f>VLOOKUP(E1619,DATABASE!C:Q,9,False)</f>
        <v>0</v>
      </c>
      <c r="Q1619" s="93" t="str">
        <f>VLOOKUP(E1619,DATABASE!C:Q,4,false)</f>
        <v>SPOORING</v>
      </c>
      <c r="R1619" s="93" t="str">
        <f>VLOOKUP(E1619,DATABASE!C:Q,11,false)</f>
        <v>SERVICE</v>
      </c>
    </row>
    <row r="1620" ht="22.5" customHeight="1">
      <c r="A1620" s="49"/>
      <c r="C1620" s="384">
        <v>45743.0</v>
      </c>
      <c r="D1620" s="65">
        <v>4955.0</v>
      </c>
      <c r="E1620" s="445" t="s">
        <v>288</v>
      </c>
      <c r="F1620" s="386">
        <v>1.0</v>
      </c>
      <c r="G1620" s="74">
        <v>620000.0</v>
      </c>
      <c r="H1620" s="74">
        <v>0.0</v>
      </c>
      <c r="I1620" s="74">
        <f t="shared" si="1"/>
        <v>620000</v>
      </c>
      <c r="J1620" s="74">
        <f>IF(E1620="SERVICE",I1620-(I1620*50%),Vlookup(E1620,DATABASE!C:Q,10,false)*F1620)</f>
        <v>0</v>
      </c>
      <c r="K1620" s="74">
        <f>VLOOKUP(E1620,DATABASE!C:Q,7,false)</f>
        <v>565760</v>
      </c>
      <c r="L1620" s="74">
        <v>524800.0</v>
      </c>
      <c r="M1620" s="74">
        <f t="shared" si="2"/>
        <v>525000</v>
      </c>
      <c r="N1620" s="74">
        <f t="shared" si="3"/>
        <v>95000</v>
      </c>
      <c r="O1620" s="65" t="str">
        <f>VLOOKUP(E1620,DATABASE!C:Q,8,false)</f>
        <v>BIAN</v>
      </c>
      <c r="P1620" s="65">
        <f>VLOOKUP(E1620,DATABASE!C:Q,9,False)</f>
        <v>1</v>
      </c>
      <c r="Q1620" s="93" t="str">
        <f>VLOOKUP(E1620,DATABASE!C:Q,4,false)</f>
        <v>GT</v>
      </c>
      <c r="R1620" s="93" t="str">
        <f>VLOOKUP(E1620,DATABASE!C:Q,11,false)</f>
        <v>Tire</v>
      </c>
    </row>
    <row r="1621" ht="22.5" customHeight="1">
      <c r="A1621" s="49"/>
      <c r="C1621" s="384">
        <v>45743.0</v>
      </c>
      <c r="D1621" s="65">
        <v>4956.0</v>
      </c>
      <c r="E1621" s="445" t="s">
        <v>246</v>
      </c>
      <c r="F1621" s="386">
        <v>2.0</v>
      </c>
      <c r="G1621" s="74">
        <v>25000.0</v>
      </c>
      <c r="H1621" s="74">
        <v>0.0</v>
      </c>
      <c r="I1621" s="74">
        <f t="shared" si="1"/>
        <v>50000</v>
      </c>
      <c r="J1621" s="74">
        <f>IF(E1621="SERVICE",I1621-(I1621*50%),Vlookup(E1621,DATABASE!C:Q,10,false)*F1621)</f>
        <v>0</v>
      </c>
      <c r="K1621" s="74">
        <f>VLOOKUP(E1621,DATABASE!C:Q,7,false)</f>
        <v>0</v>
      </c>
      <c r="L1621" s="74">
        <v>0.0</v>
      </c>
      <c r="M1621" s="74">
        <f t="shared" si="2"/>
        <v>0</v>
      </c>
      <c r="N1621" s="74">
        <f t="shared" si="3"/>
        <v>50000</v>
      </c>
      <c r="O1621" s="65" t="str">
        <f>VLOOKUP(E1621,DATABASE!C:Q,8,false)</f>
        <v>IBU</v>
      </c>
      <c r="P1621" s="65">
        <f>VLOOKUP(E1621,DATABASE!C:Q,9,False)</f>
        <v>0</v>
      </c>
      <c r="Q1621" s="93" t="str">
        <f>VLOOKUP(E1621,DATABASE!C:Q,4,false)</f>
        <v>Bongkar Pasang</v>
      </c>
      <c r="R1621" s="93" t="str">
        <f>VLOOKUP(E1621,DATABASE!C:Q,11,false)</f>
        <v>SERVICE</v>
      </c>
    </row>
    <row r="1622" ht="22.5" customHeight="1">
      <c r="A1622" s="49"/>
      <c r="C1622" s="384">
        <v>45743.0</v>
      </c>
      <c r="D1622" s="65">
        <v>4957.0</v>
      </c>
      <c r="E1622" s="445" t="s">
        <v>932</v>
      </c>
      <c r="F1622" s="386">
        <v>1.0</v>
      </c>
      <c r="G1622" s="74">
        <v>670000.0</v>
      </c>
      <c r="H1622" s="74">
        <v>0.0</v>
      </c>
      <c r="I1622" s="74">
        <f t="shared" si="1"/>
        <v>670000</v>
      </c>
      <c r="J1622" s="74">
        <f>IF(E1622="SERVICE",I1622-(I1622*50%),Vlookup(E1622,DATABASE!C:Q,10,false)*F1622)</f>
        <v>0</v>
      </c>
      <c r="K1622" s="74">
        <v>575000.0</v>
      </c>
      <c r="L1622" s="74">
        <v>575000.0</v>
      </c>
      <c r="M1622" s="74">
        <f t="shared" si="2"/>
        <v>575000</v>
      </c>
      <c r="N1622" s="74">
        <f t="shared" si="3"/>
        <v>95000</v>
      </c>
      <c r="O1622" s="65" t="str">
        <f>VLOOKUP(E1622,DATABASE!C:Q,8,false)</f>
        <v>IBU</v>
      </c>
      <c r="P1622" s="65">
        <f>VLOOKUP(E1622,DATABASE!C:Q,9,False)</f>
        <v>1</v>
      </c>
      <c r="Q1622" s="93" t="str">
        <f>VLOOKUP(E1622,DATABASE!C:Q,4,false)</f>
        <v>Dunlop</v>
      </c>
      <c r="R1622" s="93" t="str">
        <f>VLOOKUP(E1622,DATABASE!C:Q,11,false)</f>
        <v>Tire</v>
      </c>
    </row>
    <row r="1623" ht="22.5" customHeight="1">
      <c r="A1623" s="49"/>
      <c r="C1623" s="384">
        <v>45743.0</v>
      </c>
      <c r="D1623" s="65">
        <v>4958.0</v>
      </c>
      <c r="E1623" s="445" t="s">
        <v>1439</v>
      </c>
      <c r="F1623" s="386">
        <v>2.0</v>
      </c>
      <c r="G1623" s="74">
        <v>625000.0</v>
      </c>
      <c r="H1623" s="74">
        <v>0.0</v>
      </c>
      <c r="I1623" s="74">
        <f t="shared" si="1"/>
        <v>1250000</v>
      </c>
      <c r="J1623" s="74">
        <f>IF(E1623="SERVICE",I1623-(I1623*50%),Vlookup(E1623,DATABASE!C:Q,10,false)*F1623)</f>
        <v>0</v>
      </c>
      <c r="K1623" s="74">
        <f>VLOOKUP(E1623,DATABASE!C:Q,7,false)</f>
        <v>556800</v>
      </c>
      <c r="L1623" s="74">
        <v>540800.0</v>
      </c>
      <c r="M1623" s="74">
        <f t="shared" si="2"/>
        <v>545000</v>
      </c>
      <c r="N1623" s="74">
        <f t="shared" si="3"/>
        <v>160000</v>
      </c>
      <c r="O1623" s="65" t="str">
        <f>VLOOKUP(E1623,DATABASE!C:Q,8,false)</f>
        <v>BIAN</v>
      </c>
      <c r="P1623" s="65">
        <f>VLOOKUP(E1623,DATABASE!C:Q,9,False)</f>
        <v>1</v>
      </c>
      <c r="Q1623" s="93" t="str">
        <f>VLOOKUP(E1623,DATABASE!C:Q,4,false)</f>
        <v>GT</v>
      </c>
      <c r="R1623" s="93" t="str">
        <f>VLOOKUP(E1623,DATABASE!C:Q,11,false)</f>
        <v>Tire</v>
      </c>
    </row>
    <row r="1624" ht="22.5" customHeight="1">
      <c r="A1624" s="49"/>
      <c r="C1624" s="384">
        <v>45743.0</v>
      </c>
      <c r="D1624" s="65">
        <v>4959.0</v>
      </c>
      <c r="E1624" s="445" t="s">
        <v>256</v>
      </c>
      <c r="F1624" s="386">
        <v>1.0</v>
      </c>
      <c r="G1624" s="74">
        <v>130000.0</v>
      </c>
      <c r="H1624" s="74">
        <v>0.0</v>
      </c>
      <c r="I1624" s="74">
        <f t="shared" si="1"/>
        <v>130000</v>
      </c>
      <c r="J1624" s="74">
        <f>IF(E1624="SERVICE",I1624-(I1624*50%),Vlookup(E1624,DATABASE!C:Q,10,false)*F1624)</f>
        <v>10000</v>
      </c>
      <c r="K1624" s="74">
        <f>VLOOKUP(E1624,DATABASE!C:Q,7,false)</f>
        <v>0</v>
      </c>
      <c r="L1624" s="74">
        <v>0.0</v>
      </c>
      <c r="M1624" s="74">
        <f t="shared" si="2"/>
        <v>0</v>
      </c>
      <c r="N1624" s="74">
        <f t="shared" si="3"/>
        <v>120000</v>
      </c>
      <c r="O1624" s="65" t="str">
        <f>VLOOKUP(E1624,DATABASE!C:Q,8,false)</f>
        <v>IBU</v>
      </c>
      <c r="P1624" s="65">
        <f>VLOOKUP(E1624,DATABASE!C:Q,9,False)</f>
        <v>0</v>
      </c>
      <c r="Q1624" s="93" t="str">
        <f>VLOOKUP(E1624,DATABASE!C:Q,4,false)</f>
        <v>SPOORING</v>
      </c>
      <c r="R1624" s="93" t="str">
        <f>VLOOKUP(E1624,DATABASE!C:Q,11,false)</f>
        <v>SERVICE</v>
      </c>
    </row>
    <row r="1625" ht="22.5" customHeight="1">
      <c r="A1625" s="49"/>
      <c r="C1625" s="384">
        <v>45743.0</v>
      </c>
      <c r="D1625" s="65">
        <v>4959.0</v>
      </c>
      <c r="E1625" s="445" t="s">
        <v>301</v>
      </c>
      <c r="F1625" s="386">
        <v>1.0</v>
      </c>
      <c r="G1625" s="74">
        <v>250000.0</v>
      </c>
      <c r="H1625" s="74">
        <v>0.0</v>
      </c>
      <c r="I1625" s="74">
        <f t="shared" si="1"/>
        <v>250000</v>
      </c>
      <c r="J1625" s="74">
        <f>IF(E1625="SERVICE",I1625-(I1625*50%),Vlookup(E1625,DATABASE!C:Q,10,false)*F1625)</f>
        <v>75000</v>
      </c>
      <c r="K1625" s="74">
        <f>VLOOKUP(E1625,DATABASE!C:Q,7,false)</f>
        <v>75000</v>
      </c>
      <c r="L1625" s="74">
        <v>75000.0</v>
      </c>
      <c r="M1625" s="74">
        <f t="shared" si="2"/>
        <v>75000</v>
      </c>
      <c r="N1625" s="74">
        <f t="shared" si="3"/>
        <v>100000</v>
      </c>
      <c r="O1625" s="65" t="str">
        <f>VLOOKUP(E1625,DATABASE!C:Q,8,false)</f>
        <v>BIAN</v>
      </c>
      <c r="P1625" s="65">
        <f>VLOOKUP(E1625,DATABASE!C:Q,9,False)</f>
        <v>0</v>
      </c>
      <c r="Q1625" s="93" t="str">
        <f>VLOOKUP(E1625,DATABASE!C:Q,4,false)</f>
        <v>Baut Camber</v>
      </c>
      <c r="R1625" s="93" t="str">
        <f>VLOOKUP(E1625,DATABASE!C:Q,11,false)</f>
        <v>COMPLEMENTARY</v>
      </c>
    </row>
    <row r="1626" ht="22.5" customHeight="1">
      <c r="A1626" s="49"/>
      <c r="C1626" s="384">
        <v>45743.0</v>
      </c>
      <c r="D1626" s="65">
        <v>4959.0</v>
      </c>
      <c r="E1626" s="385" t="s">
        <v>299</v>
      </c>
      <c r="F1626" s="386">
        <v>2.0</v>
      </c>
      <c r="G1626" s="74">
        <v>30000.0</v>
      </c>
      <c r="H1626" s="74">
        <v>0.0</v>
      </c>
      <c r="I1626" s="74">
        <f t="shared" si="1"/>
        <v>60000</v>
      </c>
      <c r="J1626" s="74">
        <f>IF(E1626="SERVICE",I1626-(I1626*50%),Vlookup(E1626,DATABASE!C:Q,10,false)*F1626)</f>
        <v>0</v>
      </c>
      <c r="K1626" s="74">
        <v>0.0</v>
      </c>
      <c r="L1626" s="74">
        <v>0.0</v>
      </c>
      <c r="M1626" s="74">
        <f t="shared" si="2"/>
        <v>0</v>
      </c>
      <c r="N1626" s="74">
        <f t="shared" si="3"/>
        <v>60000</v>
      </c>
      <c r="O1626" s="65" t="str">
        <f>VLOOKUP(E1626,DATABASE!C:Q,8,false)</f>
        <v>BIAN</v>
      </c>
      <c r="P1626" s="65">
        <f>VLOOKUP(E1626,DATABASE!C:Q,9,False)</f>
        <v>0</v>
      </c>
      <c r="Q1626" s="93" t="str">
        <f>VLOOKUP(E1626,DATABASE!C:Q,4,false)</f>
        <v>Balancing</v>
      </c>
      <c r="R1626" s="93" t="str">
        <f>VLOOKUP(E1626,DATABASE!C:Q,11,false)</f>
        <v>COMPLEMENTARY</v>
      </c>
    </row>
    <row r="1627" ht="22.5" customHeight="1">
      <c r="A1627" s="49"/>
      <c r="C1627" s="384">
        <v>45743.0</v>
      </c>
      <c r="D1627" s="65">
        <v>4960.0</v>
      </c>
      <c r="E1627" s="445" t="s">
        <v>932</v>
      </c>
      <c r="F1627" s="386">
        <v>2.0</v>
      </c>
      <c r="G1627" s="74">
        <v>670000.0</v>
      </c>
      <c r="H1627" s="74">
        <v>0.0</v>
      </c>
      <c r="I1627" s="74">
        <f t="shared" si="1"/>
        <v>1340000</v>
      </c>
      <c r="J1627" s="74">
        <f>IF(E1627="SERVICE",I1627-(I1627*50%),Vlookup(E1627,DATABASE!C:Q,10,false)*F1627)</f>
        <v>0</v>
      </c>
      <c r="K1627" s="74">
        <v>575000.0</v>
      </c>
      <c r="L1627" s="74">
        <v>575000.0</v>
      </c>
      <c r="M1627" s="74">
        <f t="shared" si="2"/>
        <v>575000</v>
      </c>
      <c r="N1627" s="74">
        <f t="shared" si="3"/>
        <v>190000</v>
      </c>
      <c r="O1627" s="65" t="str">
        <f>VLOOKUP(E1627,DATABASE!C:Q,8,false)</f>
        <v>IBU</v>
      </c>
      <c r="P1627" s="65">
        <f>VLOOKUP(E1627,DATABASE!C:Q,9,False)</f>
        <v>1</v>
      </c>
      <c r="Q1627" s="93" t="str">
        <f>VLOOKUP(E1627,DATABASE!C:Q,4,false)</f>
        <v>Dunlop</v>
      </c>
      <c r="R1627" s="93" t="str">
        <f>VLOOKUP(E1627,DATABASE!C:Q,11,false)</f>
        <v>Tire</v>
      </c>
    </row>
    <row r="1628" ht="22.5" customHeight="1">
      <c r="A1628" s="49"/>
      <c r="C1628" s="384">
        <v>45743.0</v>
      </c>
      <c r="D1628" s="65">
        <v>4960.0</v>
      </c>
      <c r="E1628" s="385" t="s">
        <v>299</v>
      </c>
      <c r="F1628" s="386">
        <v>2.0</v>
      </c>
      <c r="G1628" s="74">
        <v>30000.0</v>
      </c>
      <c r="H1628" s="74">
        <v>0.0</v>
      </c>
      <c r="I1628" s="74">
        <f t="shared" si="1"/>
        <v>60000</v>
      </c>
      <c r="J1628" s="74">
        <f>IF(E1628="SERVICE",I1628-(I1628*50%),Vlookup(E1628,DATABASE!C:Q,10,false)*F1628)</f>
        <v>0</v>
      </c>
      <c r="K1628" s="74">
        <v>0.0</v>
      </c>
      <c r="L1628" s="74">
        <v>0.0</v>
      </c>
      <c r="M1628" s="74">
        <f t="shared" si="2"/>
        <v>0</v>
      </c>
      <c r="N1628" s="74">
        <f t="shared" si="3"/>
        <v>60000</v>
      </c>
      <c r="O1628" s="65" t="str">
        <f>VLOOKUP(E1628,DATABASE!C:Q,8,false)</f>
        <v>BIAN</v>
      </c>
      <c r="P1628" s="65">
        <f>VLOOKUP(E1628,DATABASE!C:Q,9,False)</f>
        <v>0</v>
      </c>
      <c r="Q1628" s="93" t="str">
        <f>VLOOKUP(E1628,DATABASE!C:Q,4,false)</f>
        <v>Balancing</v>
      </c>
      <c r="R1628" s="93" t="str">
        <f>VLOOKUP(E1628,DATABASE!C:Q,11,false)</f>
        <v>COMPLEMENTARY</v>
      </c>
    </row>
    <row r="1629" ht="22.5" customHeight="1">
      <c r="A1629" s="49"/>
      <c r="C1629" s="384">
        <v>45743.0</v>
      </c>
      <c r="D1629" s="65">
        <v>4961.0</v>
      </c>
      <c r="E1629" s="445" t="s">
        <v>301</v>
      </c>
      <c r="F1629" s="386">
        <v>1.0</v>
      </c>
      <c r="G1629" s="74">
        <v>250000.0</v>
      </c>
      <c r="H1629" s="74">
        <v>0.0</v>
      </c>
      <c r="I1629" s="74">
        <f t="shared" si="1"/>
        <v>250000</v>
      </c>
      <c r="J1629" s="74">
        <f>IF(E1629="SERVICE",I1629-(I1629*50%),Vlookup(E1629,DATABASE!C:Q,10,false)*F1629)</f>
        <v>75000</v>
      </c>
      <c r="K1629" s="74">
        <f>VLOOKUP(E1629,DATABASE!C:Q,7,false)</f>
        <v>75000</v>
      </c>
      <c r="L1629" s="74">
        <v>75000.0</v>
      </c>
      <c r="M1629" s="74">
        <f t="shared" si="2"/>
        <v>75000</v>
      </c>
      <c r="N1629" s="74">
        <f t="shared" si="3"/>
        <v>100000</v>
      </c>
      <c r="O1629" s="65" t="str">
        <f>VLOOKUP(E1629,DATABASE!C:Q,8,false)</f>
        <v>BIAN</v>
      </c>
      <c r="P1629" s="65">
        <f>VLOOKUP(E1629,DATABASE!C:Q,9,False)</f>
        <v>0</v>
      </c>
      <c r="Q1629" s="93" t="str">
        <f>VLOOKUP(E1629,DATABASE!C:Q,4,false)</f>
        <v>Baut Camber</v>
      </c>
      <c r="R1629" s="93" t="str">
        <f>VLOOKUP(E1629,DATABASE!C:Q,11,false)</f>
        <v>COMPLEMENTARY</v>
      </c>
    </row>
    <row r="1630" ht="22.5" customHeight="1">
      <c r="A1630" s="49"/>
      <c r="C1630" s="384">
        <v>45743.0</v>
      </c>
      <c r="D1630" s="65">
        <v>4962.0</v>
      </c>
      <c r="E1630" s="445" t="s">
        <v>554</v>
      </c>
      <c r="F1630" s="386">
        <v>2.0</v>
      </c>
      <c r="G1630" s="74">
        <v>800000.0</v>
      </c>
      <c r="H1630" s="74">
        <v>0.0</v>
      </c>
      <c r="I1630" s="74">
        <f t="shared" si="1"/>
        <v>1600000</v>
      </c>
      <c r="J1630" s="74">
        <f>IF(E1630="SERVICE",I1630-(I1630*50%),Vlookup(E1630,DATABASE!C:Q,10,false)*F1630)</f>
        <v>0</v>
      </c>
      <c r="K1630" s="74">
        <f>VLOOKUP(E1630,DATABASE!C:Q,7,false)</f>
        <v>710000</v>
      </c>
      <c r="L1630" s="74">
        <v>680000.0</v>
      </c>
      <c r="M1630" s="74">
        <f t="shared" si="2"/>
        <v>680000</v>
      </c>
      <c r="N1630" s="74">
        <f t="shared" si="3"/>
        <v>240000</v>
      </c>
      <c r="O1630" s="65" t="str">
        <f>VLOOKUP(E1630,DATABASE!C:Q,8,false)</f>
        <v>IBU</v>
      </c>
      <c r="P1630" s="65">
        <f>VLOOKUP(E1630,DATABASE!C:Q,9,False)</f>
        <v>1</v>
      </c>
      <c r="Q1630" s="93" t="str">
        <f>VLOOKUP(E1630,DATABASE!C:Q,4,false)</f>
        <v>Bridgestone</v>
      </c>
      <c r="R1630" s="93" t="str">
        <f>VLOOKUP(E1630,DATABASE!C:Q,11,false)</f>
        <v>Tire</v>
      </c>
    </row>
    <row r="1631" ht="22.5" customHeight="1">
      <c r="A1631" s="49"/>
      <c r="C1631" s="384">
        <v>45743.0</v>
      </c>
      <c r="D1631" s="65">
        <v>4962.0</v>
      </c>
      <c r="E1631" s="445" t="s">
        <v>262</v>
      </c>
      <c r="F1631" s="386">
        <v>1.0</v>
      </c>
      <c r="G1631" s="74">
        <v>110000.0</v>
      </c>
      <c r="H1631" s="74">
        <v>0.0</v>
      </c>
      <c r="I1631" s="74">
        <f t="shared" si="1"/>
        <v>110000</v>
      </c>
      <c r="J1631" s="74">
        <f>IF(E1631="SERVICE",I1631-(I1631*50%),Vlookup(E1631,DATABASE!C:Q,10,false)*F1631)</f>
        <v>5000</v>
      </c>
      <c r="K1631" s="74">
        <f>VLOOKUP(E1631,DATABASE!C:Q,7,false)</f>
        <v>0</v>
      </c>
      <c r="L1631" s="74">
        <v>0.0</v>
      </c>
      <c r="M1631" s="74">
        <f t="shared" si="2"/>
        <v>0</v>
      </c>
      <c r="N1631" s="74">
        <f t="shared" si="3"/>
        <v>105000</v>
      </c>
      <c r="O1631" s="65" t="str">
        <f>VLOOKUP(E1631,DATABASE!C:Q,8,false)</f>
        <v>IBU</v>
      </c>
      <c r="P1631" s="65">
        <f>VLOOKUP(E1631,DATABASE!C:Q,9,False)</f>
        <v>0</v>
      </c>
      <c r="Q1631" s="93" t="str">
        <f>VLOOKUP(E1631,DATABASE!C:Q,4,false)</f>
        <v>SPOORING SS/CARRY LOS BAK</v>
      </c>
      <c r="R1631" s="93" t="str">
        <f>VLOOKUP(E1631,DATABASE!C:Q,11,false)</f>
        <v>SERVICE</v>
      </c>
    </row>
    <row r="1632" ht="22.5" customHeight="1">
      <c r="A1632" s="49"/>
      <c r="C1632" s="384">
        <v>45743.0</v>
      </c>
      <c r="D1632" s="65">
        <v>4962.0</v>
      </c>
      <c r="E1632" s="445" t="s">
        <v>478</v>
      </c>
      <c r="F1632" s="386">
        <v>1.0</v>
      </c>
      <c r="G1632" s="74">
        <v>200000.0</v>
      </c>
      <c r="H1632" s="74">
        <v>0.0</v>
      </c>
      <c r="I1632" s="74">
        <f t="shared" si="1"/>
        <v>200000</v>
      </c>
      <c r="J1632" s="74">
        <f>IF(E1632="SERVICE",I1632-(I1632*50%),Vlookup(E1632,DATABASE!C:Q,10,false)*F1632)</f>
        <v>25000</v>
      </c>
      <c r="K1632" s="74">
        <f>VLOOKUP(E1632,DATABASE!C:Q,7,false)</f>
        <v>75000</v>
      </c>
      <c r="L1632" s="74">
        <v>75000.0</v>
      </c>
      <c r="M1632" s="74">
        <f t="shared" si="2"/>
        <v>75000</v>
      </c>
      <c r="N1632" s="74">
        <f t="shared" si="3"/>
        <v>100000</v>
      </c>
      <c r="O1632" s="65" t="str">
        <f>VLOOKUP(E1632,DATABASE!C:Q,8,false)</f>
        <v>BIAN</v>
      </c>
      <c r="P1632" s="65">
        <f>VLOOKUP(E1632,DATABASE!C:Q,9,False)</f>
        <v>0</v>
      </c>
      <c r="Q1632" s="93" t="str">
        <f>VLOOKUP(E1632,DATABASE!C:Q,4,false)</f>
        <v>Baut Camber ss-carry</v>
      </c>
      <c r="R1632" s="93" t="str">
        <f>VLOOKUP(E1632,DATABASE!C:Q,11,false)</f>
        <v>COMPLEMENTARY</v>
      </c>
    </row>
    <row r="1633" ht="22.5" customHeight="1">
      <c r="A1633" s="49"/>
      <c r="C1633" s="384">
        <v>45743.0</v>
      </c>
      <c r="D1633" s="65">
        <v>4962.0</v>
      </c>
      <c r="E1633" s="445" t="s">
        <v>251</v>
      </c>
      <c r="F1633" s="386">
        <v>1.0</v>
      </c>
      <c r="G1633" s="74">
        <v>70000.0</v>
      </c>
      <c r="H1633" s="74">
        <v>0.0</v>
      </c>
      <c r="I1633" s="74">
        <f t="shared" si="1"/>
        <v>70000</v>
      </c>
      <c r="J1633" s="74">
        <f>IF(E1633="SERVICE",I1633-(I1633*50%),Vlookup(E1633,DATABASE!C:Q,10,false)*F1633)</f>
        <v>35000</v>
      </c>
      <c r="K1633" s="74">
        <f>VLOOKUP(E1633,DATABASE!C:Q,7,false)</f>
        <v>0</v>
      </c>
      <c r="L1633" s="74">
        <v>0.0</v>
      </c>
      <c r="M1633" s="74">
        <f t="shared" si="2"/>
        <v>0</v>
      </c>
      <c r="N1633" s="74">
        <f t="shared" si="3"/>
        <v>35000</v>
      </c>
      <c r="O1633" s="65" t="str">
        <f>VLOOKUP(E1633,DATABASE!C:Q,8,false)</f>
        <v>IBU</v>
      </c>
      <c r="P1633" s="65">
        <f>VLOOKUP(E1633,DATABASE!C:Q,9,False)</f>
        <v>0</v>
      </c>
      <c r="Q1633" s="93" t="str">
        <f>VLOOKUP(E1633,DATABASE!C:Q,4,false)</f>
        <v>SERVICE</v>
      </c>
      <c r="R1633" s="93" t="str">
        <f>VLOOKUP(E1633,DATABASE!C:Q,11,false)</f>
        <v>SERVICE</v>
      </c>
    </row>
    <row r="1634" ht="22.5" customHeight="1">
      <c r="A1634" s="49"/>
      <c r="C1634" s="384">
        <v>45743.0</v>
      </c>
      <c r="D1634" s="65">
        <v>4963.0</v>
      </c>
      <c r="E1634" s="445" t="s">
        <v>614</v>
      </c>
      <c r="F1634" s="386">
        <v>2.0</v>
      </c>
      <c r="G1634" s="74">
        <v>850000.0</v>
      </c>
      <c r="H1634" s="74">
        <v>0.0</v>
      </c>
      <c r="I1634" s="74">
        <f t="shared" si="1"/>
        <v>1700000</v>
      </c>
      <c r="J1634" s="74">
        <f>IF(E1634="SERVICE",I1634-(I1634*50%),Vlookup(E1634,DATABASE!C:Q,10,false)*F1634)</f>
        <v>0</v>
      </c>
      <c r="K1634" s="74">
        <f>VLOOKUP(E1634,DATABASE!C:Q,7,false)</f>
        <v>754660.6</v>
      </c>
      <c r="L1634" s="74">
        <v>766438.4</v>
      </c>
      <c r="M1634" s="74">
        <f t="shared" si="2"/>
        <v>770000</v>
      </c>
      <c r="N1634" s="74">
        <f t="shared" si="3"/>
        <v>160000</v>
      </c>
      <c r="O1634" s="65" t="str">
        <f>VLOOKUP(E1634,DATABASE!C:Q,8,false)</f>
        <v>IBU</v>
      </c>
      <c r="P1634" s="65">
        <f>VLOOKUP(E1634,DATABASE!C:Q,9,False)</f>
        <v>1</v>
      </c>
      <c r="Q1634" s="93" t="str">
        <f>VLOOKUP(E1634,DATABASE!C:Q,4,false)</f>
        <v>Bridgestone</v>
      </c>
      <c r="R1634" s="93" t="str">
        <f>VLOOKUP(E1634,DATABASE!C:Q,11,false)</f>
        <v>Tire</v>
      </c>
    </row>
    <row r="1635" ht="22.5" customHeight="1">
      <c r="A1635" s="49"/>
      <c r="C1635" s="384">
        <v>45743.0</v>
      </c>
      <c r="D1635" s="65">
        <v>4964.0</v>
      </c>
      <c r="E1635" s="445" t="s">
        <v>268</v>
      </c>
      <c r="F1635" s="386">
        <v>2.0</v>
      </c>
      <c r="G1635" s="74">
        <v>700000.0</v>
      </c>
      <c r="H1635" s="74">
        <v>0.0</v>
      </c>
      <c r="I1635" s="74">
        <f t="shared" si="1"/>
        <v>1400000</v>
      </c>
      <c r="J1635" s="74">
        <f>IF(E1635="SERVICE",I1635-(I1635*50%),Vlookup(E1635,DATABASE!C:Q,10,false)*F1635)</f>
        <v>0</v>
      </c>
      <c r="K1635" s="74">
        <v>613000.0</v>
      </c>
      <c r="L1635" s="74">
        <v>613000.0</v>
      </c>
      <c r="M1635" s="74">
        <f t="shared" si="2"/>
        <v>615000</v>
      </c>
      <c r="N1635" s="74">
        <f t="shared" si="3"/>
        <v>170000</v>
      </c>
      <c r="O1635" s="65" t="str">
        <f>VLOOKUP(E1635,DATABASE!C:Q,8,false)</f>
        <v>IBU</v>
      </c>
      <c r="P1635" s="65">
        <f>VLOOKUP(E1635,DATABASE!C:Q,9,False)</f>
        <v>1</v>
      </c>
      <c r="Q1635" s="93" t="str">
        <f>VLOOKUP(E1635,DATABASE!C:Q,4,false)</f>
        <v>Dunlop</v>
      </c>
      <c r="R1635" s="93" t="str">
        <f>VLOOKUP(E1635,DATABASE!C:Q,11,false)</f>
        <v>Tire</v>
      </c>
    </row>
    <row r="1636" ht="22.5" customHeight="1">
      <c r="A1636" s="49"/>
      <c r="C1636" s="384">
        <v>45743.0</v>
      </c>
      <c r="D1636" s="65">
        <v>4965.0</v>
      </c>
      <c r="E1636" s="445" t="s">
        <v>1927</v>
      </c>
      <c r="F1636" s="386">
        <v>1.0</v>
      </c>
      <c r="G1636" s="74">
        <v>700000.0</v>
      </c>
      <c r="H1636" s="74">
        <v>0.0</v>
      </c>
      <c r="I1636" s="74">
        <f t="shared" si="1"/>
        <v>700000</v>
      </c>
      <c r="J1636" s="74">
        <f>IF(E1636="SERVICE",I1636-(I1636*50%),Vlookup(E1636,DATABASE!C:Q,10,false)*F1636)</f>
        <v>0</v>
      </c>
      <c r="K1636" s="74">
        <f>VLOOKUP(E1636,DATABASE!C:Q,7,false)</f>
        <v>590000</v>
      </c>
      <c r="L1636" s="74">
        <v>590000.0</v>
      </c>
      <c r="M1636" s="74">
        <f t="shared" si="2"/>
        <v>590000</v>
      </c>
      <c r="N1636" s="74">
        <f t="shared" si="3"/>
        <v>110000</v>
      </c>
      <c r="O1636" s="65" t="str">
        <f>VLOOKUP(E1636,DATABASE!C:Q,8,false)</f>
        <v>BIAN</v>
      </c>
      <c r="P1636" s="65">
        <f>VLOOKUP(E1636,DATABASE!C:Q,9,False)</f>
        <v>1</v>
      </c>
      <c r="Q1636" s="93" t="str">
        <f>VLOOKUP(E1636,DATABASE!C:Q,4,false)</f>
        <v>GT</v>
      </c>
      <c r="R1636" s="93" t="str">
        <f>VLOOKUP(E1636,DATABASE!C:Q,11,false)</f>
        <v>Tire</v>
      </c>
    </row>
    <row r="1637" ht="22.5" customHeight="1">
      <c r="A1637" s="49"/>
      <c r="C1637" s="384">
        <v>45743.0</v>
      </c>
      <c r="D1637" s="65">
        <v>4965.0</v>
      </c>
      <c r="E1637" s="385" t="s">
        <v>299</v>
      </c>
      <c r="F1637" s="386">
        <v>2.0</v>
      </c>
      <c r="G1637" s="74">
        <v>30000.0</v>
      </c>
      <c r="H1637" s="74">
        <v>0.0</v>
      </c>
      <c r="I1637" s="74">
        <f t="shared" si="1"/>
        <v>60000</v>
      </c>
      <c r="J1637" s="74">
        <f>IF(E1637="SERVICE",I1637-(I1637*50%),Vlookup(E1637,DATABASE!C:Q,10,false)*F1637)</f>
        <v>0</v>
      </c>
      <c r="K1637" s="74">
        <v>0.0</v>
      </c>
      <c r="L1637" s="74">
        <v>0.0</v>
      </c>
      <c r="M1637" s="74">
        <f t="shared" si="2"/>
        <v>0</v>
      </c>
      <c r="N1637" s="74">
        <f t="shared" si="3"/>
        <v>60000</v>
      </c>
      <c r="O1637" s="65" t="str">
        <f>VLOOKUP(E1637,DATABASE!C:Q,8,false)</f>
        <v>BIAN</v>
      </c>
      <c r="P1637" s="65">
        <f>VLOOKUP(E1637,DATABASE!C:Q,9,False)</f>
        <v>0</v>
      </c>
      <c r="Q1637" s="93" t="str">
        <f>VLOOKUP(E1637,DATABASE!C:Q,4,false)</f>
        <v>Balancing</v>
      </c>
      <c r="R1637" s="93" t="str">
        <f>VLOOKUP(E1637,DATABASE!C:Q,11,false)</f>
        <v>COMPLEMENTARY</v>
      </c>
    </row>
    <row r="1638" ht="22.5" customHeight="1">
      <c r="A1638" s="49"/>
      <c r="C1638" s="384">
        <v>45743.0</v>
      </c>
      <c r="D1638" s="65">
        <v>4965.0</v>
      </c>
      <c r="E1638" s="445" t="s">
        <v>256</v>
      </c>
      <c r="F1638" s="386">
        <v>1.0</v>
      </c>
      <c r="G1638" s="74">
        <v>130000.0</v>
      </c>
      <c r="H1638" s="74">
        <v>0.0</v>
      </c>
      <c r="I1638" s="74">
        <f t="shared" si="1"/>
        <v>130000</v>
      </c>
      <c r="J1638" s="74">
        <f>IF(E1638="SERVICE",I1638-(I1638*50%),Vlookup(E1638,DATABASE!C:Q,10,false)*F1638)</f>
        <v>10000</v>
      </c>
      <c r="K1638" s="74">
        <f>VLOOKUP(E1638,DATABASE!C:Q,7,false)</f>
        <v>0</v>
      </c>
      <c r="L1638" s="74">
        <v>0.0</v>
      </c>
      <c r="M1638" s="74">
        <f t="shared" si="2"/>
        <v>0</v>
      </c>
      <c r="N1638" s="74">
        <f t="shared" si="3"/>
        <v>120000</v>
      </c>
      <c r="O1638" s="65" t="str">
        <f>VLOOKUP(E1638,DATABASE!C:Q,8,false)</f>
        <v>IBU</v>
      </c>
      <c r="P1638" s="65">
        <f>VLOOKUP(E1638,DATABASE!C:Q,9,False)</f>
        <v>0</v>
      </c>
      <c r="Q1638" s="93" t="str">
        <f>VLOOKUP(E1638,DATABASE!C:Q,4,false)</f>
        <v>SPOORING</v>
      </c>
      <c r="R1638" s="93" t="str">
        <f>VLOOKUP(E1638,DATABASE!C:Q,11,false)</f>
        <v>SERVICE</v>
      </c>
    </row>
    <row r="1639" ht="22.5" customHeight="1">
      <c r="A1639" s="49"/>
      <c r="C1639" s="384">
        <v>45743.0</v>
      </c>
      <c r="D1639" s="65">
        <v>4966.0</v>
      </c>
      <c r="E1639" s="445" t="s">
        <v>268</v>
      </c>
      <c r="F1639" s="386">
        <v>2.0</v>
      </c>
      <c r="G1639" s="74">
        <v>700000.0</v>
      </c>
      <c r="H1639" s="74">
        <v>0.0</v>
      </c>
      <c r="I1639" s="74">
        <f t="shared" si="1"/>
        <v>1400000</v>
      </c>
      <c r="J1639" s="74">
        <f>IF(E1639="SERVICE",I1639-(I1639*50%),Vlookup(E1639,DATABASE!C:Q,10,false)*F1639)</f>
        <v>0</v>
      </c>
      <c r="K1639" s="74">
        <v>613000.0</v>
      </c>
      <c r="L1639" s="74">
        <v>613000.0</v>
      </c>
      <c r="M1639" s="74">
        <f t="shared" si="2"/>
        <v>615000</v>
      </c>
      <c r="N1639" s="74">
        <f t="shared" si="3"/>
        <v>170000</v>
      </c>
      <c r="O1639" s="65" t="str">
        <f>VLOOKUP(E1639,DATABASE!C:Q,8,false)</f>
        <v>IBU</v>
      </c>
      <c r="P1639" s="65">
        <f>VLOOKUP(E1639,DATABASE!C:Q,9,False)</f>
        <v>1</v>
      </c>
      <c r="Q1639" s="93" t="str">
        <f>VLOOKUP(E1639,DATABASE!C:Q,4,false)</f>
        <v>Dunlop</v>
      </c>
      <c r="R1639" s="93" t="str">
        <f>VLOOKUP(E1639,DATABASE!C:Q,11,false)</f>
        <v>Tire</v>
      </c>
    </row>
    <row r="1640" ht="22.5" customHeight="1">
      <c r="A1640" s="49"/>
      <c r="C1640" s="384">
        <v>45743.0</v>
      </c>
      <c r="D1640" s="65">
        <v>4967.0</v>
      </c>
      <c r="E1640" s="445" t="s">
        <v>957</v>
      </c>
      <c r="F1640" s="386">
        <v>2.0</v>
      </c>
      <c r="G1640" s="74">
        <v>870000.0</v>
      </c>
      <c r="H1640" s="74">
        <v>0.0</v>
      </c>
      <c r="I1640" s="74">
        <f t="shared" si="1"/>
        <v>1740000</v>
      </c>
      <c r="J1640" s="74">
        <f>IF(E1640="SERVICE",I1640-(I1640*50%),Vlookup(E1640,DATABASE!C:Q,10,false)*F1640)</f>
        <v>0</v>
      </c>
      <c r="K1640" s="74">
        <f>VLOOKUP(E1640,DATABASE!C:Q,7,false)</f>
        <v>773337.5</v>
      </c>
      <c r="L1640" s="74">
        <v>762048.0</v>
      </c>
      <c r="M1640" s="74">
        <f t="shared" si="2"/>
        <v>765000</v>
      </c>
      <c r="N1640" s="74">
        <f t="shared" si="3"/>
        <v>210000</v>
      </c>
      <c r="O1640" s="65" t="str">
        <f>VLOOKUP(E1640,DATABASE!C:Q,8,false)</f>
        <v>IBU</v>
      </c>
      <c r="P1640" s="65">
        <f>VLOOKUP(E1640,DATABASE!C:Q,9,False)</f>
        <v>1</v>
      </c>
      <c r="Q1640" s="93" t="str">
        <f>VLOOKUP(E1640,DATABASE!C:Q,4,false)</f>
        <v>Bridgestone</v>
      </c>
      <c r="R1640" s="93" t="str">
        <f>VLOOKUP(E1640,DATABASE!C:Q,11,false)</f>
        <v>Tire</v>
      </c>
    </row>
    <row r="1641" ht="22.5" customHeight="1">
      <c r="A1641" s="49"/>
      <c r="C1641" s="384">
        <v>45743.0</v>
      </c>
      <c r="D1641" s="65">
        <v>4968.0</v>
      </c>
      <c r="E1641" s="445" t="s">
        <v>2135</v>
      </c>
      <c r="F1641" s="386">
        <v>2.0</v>
      </c>
      <c r="G1641" s="74">
        <v>15000.0</v>
      </c>
      <c r="H1641" s="74">
        <v>0.0</v>
      </c>
      <c r="I1641" s="74">
        <f t="shared" si="1"/>
        <v>30000</v>
      </c>
      <c r="J1641" s="74">
        <f>IF(E1641="SERVICE",I1641-(I1641*50%),Vlookup(E1641,DATABASE!C:Q,10,false)*F1641)</f>
        <v>0</v>
      </c>
      <c r="K1641" s="74">
        <f>VLOOKUP(E1641,DATABASE!C:Q,7,false)</f>
        <v>0</v>
      </c>
      <c r="L1641" s="74">
        <v>0.0</v>
      </c>
      <c r="M1641" s="74">
        <f t="shared" si="2"/>
        <v>0</v>
      </c>
      <c r="N1641" s="74">
        <f t="shared" si="3"/>
        <v>30000</v>
      </c>
      <c r="O1641" s="65" t="str">
        <f>VLOOKUP(E1641,DATABASE!C:Q,8,false)</f>
        <v>IBU</v>
      </c>
      <c r="P1641" s="65">
        <f>VLOOKUP(E1641,DATABASE!C:Q,9,False)</f>
        <v>0</v>
      </c>
      <c r="Q1641" s="93" t="str">
        <f>VLOOKUP(E1641,DATABASE!C:Q,4,false)</f>
        <v>NITROGEN</v>
      </c>
      <c r="R1641" s="93" t="str">
        <f>VLOOKUP(E1641,DATABASE!C:Q,11,false)</f>
        <v>COMPLEMENTARY</v>
      </c>
    </row>
    <row r="1642" ht="22.5" customHeight="1">
      <c r="A1642" s="49"/>
      <c r="C1642" s="384">
        <v>45743.0</v>
      </c>
      <c r="D1642" s="65">
        <v>4969.0</v>
      </c>
      <c r="E1642" s="445" t="s">
        <v>256</v>
      </c>
      <c r="F1642" s="386">
        <v>1.0</v>
      </c>
      <c r="G1642" s="74">
        <v>130000.0</v>
      </c>
      <c r="H1642" s="74">
        <v>0.0</v>
      </c>
      <c r="I1642" s="74">
        <f t="shared" si="1"/>
        <v>130000</v>
      </c>
      <c r="J1642" s="74">
        <f>IF(E1642="SERVICE",I1642-(I1642*50%),Vlookup(E1642,DATABASE!C:Q,10,false)*F1642)</f>
        <v>10000</v>
      </c>
      <c r="K1642" s="74">
        <f>VLOOKUP(E1642,DATABASE!C:Q,7,false)</f>
        <v>0</v>
      </c>
      <c r="L1642" s="74">
        <v>0.0</v>
      </c>
      <c r="M1642" s="74">
        <f t="shared" si="2"/>
        <v>0</v>
      </c>
      <c r="N1642" s="74">
        <f t="shared" si="3"/>
        <v>120000</v>
      </c>
      <c r="O1642" s="65" t="str">
        <f>VLOOKUP(E1642,DATABASE!C:Q,8,false)</f>
        <v>IBU</v>
      </c>
      <c r="P1642" s="65">
        <f>VLOOKUP(E1642,DATABASE!C:Q,9,False)</f>
        <v>0</v>
      </c>
      <c r="Q1642" s="93" t="str">
        <f>VLOOKUP(E1642,DATABASE!C:Q,4,false)</f>
        <v>SPOORING</v>
      </c>
      <c r="R1642" s="93" t="str">
        <f>VLOOKUP(E1642,DATABASE!C:Q,11,false)</f>
        <v>SERVICE</v>
      </c>
    </row>
    <row r="1643" ht="22.5" customHeight="1">
      <c r="A1643" s="49"/>
      <c r="C1643" s="384">
        <v>45743.0</v>
      </c>
      <c r="D1643" s="65">
        <v>4970.0</v>
      </c>
      <c r="E1643" s="445" t="s">
        <v>256</v>
      </c>
      <c r="F1643" s="386">
        <v>1.0</v>
      </c>
      <c r="G1643" s="74">
        <v>130000.0</v>
      </c>
      <c r="H1643" s="74">
        <v>0.0</v>
      </c>
      <c r="I1643" s="74">
        <f t="shared" si="1"/>
        <v>130000</v>
      </c>
      <c r="J1643" s="74">
        <f>IF(E1643="SERVICE",I1643-(I1643*50%),Vlookup(E1643,DATABASE!C:Q,10,false)*F1643)</f>
        <v>10000</v>
      </c>
      <c r="K1643" s="74">
        <f>VLOOKUP(E1643,DATABASE!C:Q,7,false)</f>
        <v>0</v>
      </c>
      <c r="L1643" s="74">
        <v>0.0</v>
      </c>
      <c r="M1643" s="74">
        <f t="shared" si="2"/>
        <v>0</v>
      </c>
      <c r="N1643" s="74">
        <f t="shared" si="3"/>
        <v>120000</v>
      </c>
      <c r="O1643" s="65" t="str">
        <f>VLOOKUP(E1643,DATABASE!C:Q,8,false)</f>
        <v>IBU</v>
      </c>
      <c r="P1643" s="65">
        <f>VLOOKUP(E1643,DATABASE!C:Q,9,False)</f>
        <v>0</v>
      </c>
      <c r="Q1643" s="93" t="str">
        <f>VLOOKUP(E1643,DATABASE!C:Q,4,false)</f>
        <v>SPOORING</v>
      </c>
      <c r="R1643" s="93" t="str">
        <f>VLOOKUP(E1643,DATABASE!C:Q,11,false)</f>
        <v>SERVICE</v>
      </c>
    </row>
    <row r="1644" ht="22.5" customHeight="1">
      <c r="A1644" s="49"/>
      <c r="C1644" s="384">
        <v>45743.0</v>
      </c>
      <c r="D1644" s="65">
        <v>4972.0</v>
      </c>
      <c r="E1644" s="445" t="s">
        <v>126</v>
      </c>
      <c r="F1644" s="386">
        <v>2.0</v>
      </c>
      <c r="G1644" s="74">
        <v>500000.0</v>
      </c>
      <c r="H1644" s="74">
        <v>0.0</v>
      </c>
      <c r="I1644" s="74">
        <f t="shared" si="1"/>
        <v>1000000</v>
      </c>
      <c r="J1644" s="74">
        <f>IF(E1644="SERVICE",I1644-(I1644*50%),Vlookup(E1644,DATABASE!C:Q,10,false)*F1644)</f>
        <v>0</v>
      </c>
      <c r="K1644" s="74">
        <v>432345.0</v>
      </c>
      <c r="L1644" s="74">
        <v>432345.0</v>
      </c>
      <c r="M1644" s="74">
        <f t="shared" si="2"/>
        <v>435000</v>
      </c>
      <c r="N1644" s="74">
        <f t="shared" si="3"/>
        <v>130000</v>
      </c>
      <c r="O1644" s="65" t="str">
        <f>VLOOKUP(E1644,DATABASE!C:Q,8,false)</f>
        <v>BIAN</v>
      </c>
      <c r="P1644" s="65">
        <f>VLOOKUP(E1644,DATABASE!C:Q,9,False)</f>
        <v>1</v>
      </c>
      <c r="Q1644" s="93" t="str">
        <f>VLOOKUP(E1644,DATABASE!C:Q,4,false)</f>
        <v>Accelera</v>
      </c>
      <c r="R1644" s="93" t="str">
        <f>VLOOKUP(E1644,DATABASE!C:Q,11,false)</f>
        <v>Tire</v>
      </c>
    </row>
    <row r="1645" ht="22.5" customHeight="1">
      <c r="A1645" s="49"/>
      <c r="C1645" s="384">
        <v>45744.0</v>
      </c>
      <c r="D1645" s="65">
        <v>4971.0</v>
      </c>
      <c r="E1645" s="445" t="s">
        <v>271</v>
      </c>
      <c r="F1645" s="386">
        <v>4.0</v>
      </c>
      <c r="G1645" s="74">
        <v>630000.0</v>
      </c>
      <c r="H1645" s="74">
        <v>0.0</v>
      </c>
      <c r="I1645" s="74">
        <f t="shared" si="1"/>
        <v>2520000</v>
      </c>
      <c r="J1645" s="74">
        <f>IF(E1645="SERVICE",I1645-(I1645*50%),Vlookup(E1645,DATABASE!C:Q,10,false)*F1645)</f>
        <v>0</v>
      </c>
      <c r="K1645" s="74">
        <f>VLOOKUP(E1645,DATABASE!C:Q,7,false)</f>
        <v>570000</v>
      </c>
      <c r="L1645" s="74">
        <v>539000.0</v>
      </c>
      <c r="M1645" s="74">
        <f t="shared" si="2"/>
        <v>540000</v>
      </c>
      <c r="N1645" s="74">
        <f t="shared" si="3"/>
        <v>360000</v>
      </c>
      <c r="O1645" s="65" t="str">
        <f>VLOOKUP(E1645,DATABASE!C:Q,8,false)</f>
        <v>IBU</v>
      </c>
      <c r="P1645" s="65">
        <f>VLOOKUP(E1645,DATABASE!C:Q,9,False)</f>
        <v>1</v>
      </c>
      <c r="Q1645" s="93" t="str">
        <f>VLOOKUP(E1645,DATABASE!C:Q,4,false)</f>
        <v>Dunlop</v>
      </c>
      <c r="R1645" s="93" t="str">
        <f>VLOOKUP(E1645,DATABASE!C:Q,11,false)</f>
        <v>Tire</v>
      </c>
    </row>
    <row r="1646" ht="22.5" customHeight="1">
      <c r="A1646" s="49"/>
      <c r="C1646" s="384">
        <v>45744.0</v>
      </c>
      <c r="D1646" s="65">
        <v>4973.0</v>
      </c>
      <c r="E1646" s="445" t="s">
        <v>275</v>
      </c>
      <c r="F1646" s="386">
        <v>2.0</v>
      </c>
      <c r="G1646" s="74">
        <v>830000.0</v>
      </c>
      <c r="H1646" s="74">
        <v>0.0</v>
      </c>
      <c r="I1646" s="74">
        <f t="shared" si="1"/>
        <v>1660000</v>
      </c>
      <c r="J1646" s="74">
        <f>IF(E1646="SERVICE",I1646-(I1646*50%),Vlookup(E1646,DATABASE!C:Q,10,false)*F1646)</f>
        <v>0</v>
      </c>
      <c r="K1646" s="74">
        <v>735000.0</v>
      </c>
      <c r="L1646" s="74">
        <v>735000.0</v>
      </c>
      <c r="M1646" s="74">
        <f t="shared" si="2"/>
        <v>735000</v>
      </c>
      <c r="N1646" s="74">
        <f t="shared" si="3"/>
        <v>190000</v>
      </c>
      <c r="O1646" s="65" t="str">
        <f>VLOOKUP(E1646,DATABASE!C:Q,8,false)</f>
        <v>IBU</v>
      </c>
      <c r="P1646" s="65">
        <f>VLOOKUP(E1646,DATABASE!C:Q,9,False)</f>
        <v>1</v>
      </c>
      <c r="Q1646" s="93" t="str">
        <f>VLOOKUP(E1646,DATABASE!C:Q,4,false)</f>
        <v>Dunlop</v>
      </c>
      <c r="R1646" s="93" t="str">
        <f>VLOOKUP(E1646,DATABASE!C:Q,11,false)</f>
        <v>Tire</v>
      </c>
    </row>
    <row r="1647" ht="22.5" customHeight="1">
      <c r="A1647" s="49"/>
      <c r="C1647" s="384">
        <v>45744.0</v>
      </c>
      <c r="D1647" s="65">
        <v>4974.0</v>
      </c>
      <c r="E1647" s="445" t="s">
        <v>268</v>
      </c>
      <c r="F1647" s="386">
        <v>2.0</v>
      </c>
      <c r="G1647" s="74">
        <v>700000.0</v>
      </c>
      <c r="H1647" s="74">
        <v>0.0</v>
      </c>
      <c r="I1647" s="74">
        <f t="shared" si="1"/>
        <v>1400000</v>
      </c>
      <c r="J1647" s="74">
        <f>IF(E1647="SERVICE",I1647-(I1647*50%),Vlookup(E1647,DATABASE!C:Q,10,false)*F1647)</f>
        <v>0</v>
      </c>
      <c r="K1647" s="74">
        <v>613000.0</v>
      </c>
      <c r="L1647" s="74">
        <v>613000.0</v>
      </c>
      <c r="M1647" s="74">
        <f t="shared" si="2"/>
        <v>615000</v>
      </c>
      <c r="N1647" s="74">
        <f t="shared" si="3"/>
        <v>170000</v>
      </c>
      <c r="O1647" s="65" t="str">
        <f>VLOOKUP(E1647,DATABASE!C:Q,8,false)</f>
        <v>IBU</v>
      </c>
      <c r="P1647" s="65">
        <f>VLOOKUP(E1647,DATABASE!C:Q,9,False)</f>
        <v>1</v>
      </c>
      <c r="Q1647" s="93" t="str">
        <f>VLOOKUP(E1647,DATABASE!C:Q,4,false)</f>
        <v>Dunlop</v>
      </c>
      <c r="R1647" s="93" t="str">
        <f>VLOOKUP(E1647,DATABASE!C:Q,11,false)</f>
        <v>Tire</v>
      </c>
    </row>
    <row r="1648" ht="22.5" customHeight="1">
      <c r="A1648" s="49"/>
      <c r="C1648" s="384">
        <v>45744.0</v>
      </c>
      <c r="D1648" s="65">
        <v>4974.0</v>
      </c>
      <c r="E1648" s="385" t="s">
        <v>299</v>
      </c>
      <c r="F1648" s="386">
        <v>2.0</v>
      </c>
      <c r="G1648" s="74">
        <v>30000.0</v>
      </c>
      <c r="H1648" s="74">
        <v>0.0</v>
      </c>
      <c r="I1648" s="74">
        <f t="shared" si="1"/>
        <v>60000</v>
      </c>
      <c r="J1648" s="74">
        <f>IF(E1648="SERVICE",I1648-(I1648*50%),Vlookup(E1648,DATABASE!C:Q,10,false)*F1648)</f>
        <v>0</v>
      </c>
      <c r="K1648" s="74">
        <v>0.0</v>
      </c>
      <c r="L1648" s="74">
        <v>0.0</v>
      </c>
      <c r="M1648" s="74">
        <f t="shared" si="2"/>
        <v>0</v>
      </c>
      <c r="N1648" s="74">
        <f t="shared" si="3"/>
        <v>60000</v>
      </c>
      <c r="O1648" s="65" t="str">
        <f>VLOOKUP(E1648,DATABASE!C:Q,8,false)</f>
        <v>BIAN</v>
      </c>
      <c r="P1648" s="65">
        <f>VLOOKUP(E1648,DATABASE!C:Q,9,False)</f>
        <v>0</v>
      </c>
      <c r="Q1648" s="93" t="str">
        <f>VLOOKUP(E1648,DATABASE!C:Q,4,false)</f>
        <v>Balancing</v>
      </c>
      <c r="R1648" s="93" t="str">
        <f>VLOOKUP(E1648,DATABASE!C:Q,11,false)</f>
        <v>COMPLEMENTARY</v>
      </c>
    </row>
    <row r="1649" ht="22.5" customHeight="1">
      <c r="A1649" s="49"/>
      <c r="C1649" s="384">
        <v>45744.0</v>
      </c>
      <c r="D1649" s="65">
        <v>4974.0</v>
      </c>
      <c r="E1649" s="445" t="s">
        <v>262</v>
      </c>
      <c r="F1649" s="386">
        <v>1.0</v>
      </c>
      <c r="G1649" s="74">
        <v>110000.0</v>
      </c>
      <c r="H1649" s="74">
        <v>0.0</v>
      </c>
      <c r="I1649" s="74">
        <f t="shared" si="1"/>
        <v>110000</v>
      </c>
      <c r="J1649" s="74">
        <f>IF(E1649="SERVICE",I1649-(I1649*50%),Vlookup(E1649,DATABASE!C:Q,10,false)*F1649)</f>
        <v>5000</v>
      </c>
      <c r="K1649" s="74">
        <f>VLOOKUP(E1649,DATABASE!C:Q,7,false)</f>
        <v>0</v>
      </c>
      <c r="L1649" s="74">
        <v>0.0</v>
      </c>
      <c r="M1649" s="74">
        <f t="shared" si="2"/>
        <v>0</v>
      </c>
      <c r="N1649" s="74">
        <f t="shared" si="3"/>
        <v>105000</v>
      </c>
      <c r="O1649" s="65" t="str">
        <f>VLOOKUP(E1649,DATABASE!C:Q,8,false)</f>
        <v>IBU</v>
      </c>
      <c r="P1649" s="65">
        <f>VLOOKUP(E1649,DATABASE!C:Q,9,False)</f>
        <v>0</v>
      </c>
      <c r="Q1649" s="93" t="str">
        <f>VLOOKUP(E1649,DATABASE!C:Q,4,false)</f>
        <v>SPOORING SS/CARRY LOS BAK</v>
      </c>
      <c r="R1649" s="93" t="str">
        <f>VLOOKUP(E1649,DATABASE!C:Q,11,false)</f>
        <v>SERVICE</v>
      </c>
    </row>
    <row r="1650" ht="22.5" customHeight="1">
      <c r="A1650" s="49"/>
      <c r="C1650" s="384">
        <v>45744.0</v>
      </c>
      <c r="D1650" s="65">
        <v>4974.0</v>
      </c>
      <c r="E1650" s="445" t="s">
        <v>251</v>
      </c>
      <c r="F1650" s="386">
        <v>1.0</v>
      </c>
      <c r="G1650" s="74">
        <v>120000.0</v>
      </c>
      <c r="H1650" s="74">
        <v>0.0</v>
      </c>
      <c r="I1650" s="74">
        <f t="shared" si="1"/>
        <v>120000</v>
      </c>
      <c r="J1650" s="74">
        <f>IF(E1650="SERVICE",I1650-(I1650*50%),Vlookup(E1650,DATABASE!C:Q,10,false)*F1650)</f>
        <v>60000</v>
      </c>
      <c r="K1650" s="74">
        <f>VLOOKUP(E1650,DATABASE!C:Q,7,false)</f>
        <v>0</v>
      </c>
      <c r="L1650" s="74">
        <v>0.0</v>
      </c>
      <c r="M1650" s="74">
        <f t="shared" si="2"/>
        <v>0</v>
      </c>
      <c r="N1650" s="74">
        <f t="shared" si="3"/>
        <v>60000</v>
      </c>
      <c r="O1650" s="65" t="str">
        <f>VLOOKUP(E1650,DATABASE!C:Q,8,false)</f>
        <v>IBU</v>
      </c>
      <c r="P1650" s="65">
        <f>VLOOKUP(E1650,DATABASE!C:Q,9,False)</f>
        <v>0</v>
      </c>
      <c r="Q1650" s="93" t="str">
        <f>VLOOKUP(E1650,DATABASE!C:Q,4,false)</f>
        <v>SERVICE</v>
      </c>
      <c r="R1650" s="93" t="str">
        <f>VLOOKUP(E1650,DATABASE!C:Q,11,false)</f>
        <v>SERVICE</v>
      </c>
    </row>
    <row r="1651" ht="22.5" customHeight="1">
      <c r="A1651" s="49"/>
      <c r="C1651" s="384">
        <v>45744.0</v>
      </c>
      <c r="D1651" s="65">
        <v>4975.0</v>
      </c>
      <c r="E1651" s="445" t="s">
        <v>781</v>
      </c>
      <c r="F1651" s="386">
        <v>1.0</v>
      </c>
      <c r="G1651" s="74">
        <v>520000.0</v>
      </c>
      <c r="H1651" s="74">
        <v>0.0</v>
      </c>
      <c r="I1651" s="74">
        <f t="shared" si="1"/>
        <v>520000</v>
      </c>
      <c r="J1651" s="74">
        <f>IF(E1651="SERVICE",I1651-(I1651*50%),Vlookup(E1651,DATABASE!C:Q,10,false)*F1651)</f>
        <v>0</v>
      </c>
      <c r="K1651" s="74">
        <f>VLOOKUP(E1651,DATABASE!C:Q,7,false)</f>
        <v>470000</v>
      </c>
      <c r="L1651" s="74">
        <v>442500.0</v>
      </c>
      <c r="M1651" s="74">
        <f t="shared" si="2"/>
        <v>445000</v>
      </c>
      <c r="N1651" s="74">
        <f t="shared" si="3"/>
        <v>75000</v>
      </c>
      <c r="O1651" s="65" t="str">
        <f>VLOOKUP(E1651,DATABASE!C:Q,8,false)</f>
        <v>BIAN</v>
      </c>
      <c r="P1651" s="65">
        <f>VLOOKUP(E1651,DATABASE!C:Q,9,False)</f>
        <v>1</v>
      </c>
      <c r="Q1651" s="93" t="str">
        <f>VLOOKUP(E1651,DATABASE!C:Q,4,false)</f>
        <v>GT</v>
      </c>
      <c r="R1651" s="93" t="str">
        <f>VLOOKUP(E1651,DATABASE!C:Q,11,false)</f>
        <v>Tire</v>
      </c>
    </row>
    <row r="1652" ht="22.5" customHeight="1">
      <c r="A1652" s="49"/>
      <c r="C1652" s="384">
        <v>45744.0</v>
      </c>
      <c r="D1652" s="65">
        <v>4976.0</v>
      </c>
      <c r="E1652" s="445" t="s">
        <v>282</v>
      </c>
      <c r="F1652" s="386">
        <v>4.0</v>
      </c>
      <c r="G1652" s="74">
        <v>850000.0</v>
      </c>
      <c r="H1652" s="74">
        <v>0.0</v>
      </c>
      <c r="I1652" s="74">
        <f t="shared" si="1"/>
        <v>3400000</v>
      </c>
      <c r="J1652" s="74">
        <f>IF(E1652="SERVICE",I1652-(I1652*50%),Vlookup(E1652,DATABASE!C:Q,10,false)*F1652)</f>
        <v>0</v>
      </c>
      <c r="K1652" s="74">
        <f>VLOOKUP(E1652,DATABASE!C:Q,7,false)</f>
        <v>779500</v>
      </c>
      <c r="L1652" s="74">
        <v>771000.0</v>
      </c>
      <c r="M1652" s="74">
        <f t="shared" si="2"/>
        <v>775000</v>
      </c>
      <c r="N1652" s="74">
        <f t="shared" si="3"/>
        <v>300000</v>
      </c>
      <c r="O1652" s="65" t="str">
        <f>VLOOKUP(E1652,DATABASE!C:Q,8,false)</f>
        <v>IBU</v>
      </c>
      <c r="P1652" s="65">
        <f>VLOOKUP(E1652,DATABASE!C:Q,9,False)</f>
        <v>1</v>
      </c>
      <c r="Q1652" s="93" t="str">
        <f>VLOOKUP(E1652,DATABASE!C:Q,4,false)</f>
        <v>Dunlop</v>
      </c>
      <c r="R1652" s="93" t="str">
        <f>VLOOKUP(E1652,DATABASE!C:Q,11,false)</f>
        <v>Tire</v>
      </c>
    </row>
    <row r="1653" ht="22.5" customHeight="1">
      <c r="A1653" s="49"/>
      <c r="C1653" s="384">
        <v>45744.0</v>
      </c>
      <c r="D1653" s="65">
        <v>4976.0</v>
      </c>
      <c r="E1653" s="445" t="s">
        <v>2135</v>
      </c>
      <c r="F1653" s="386">
        <v>4.0</v>
      </c>
      <c r="G1653" s="74">
        <v>15000.0</v>
      </c>
      <c r="H1653" s="74">
        <v>0.0</v>
      </c>
      <c r="I1653" s="74">
        <f t="shared" si="1"/>
        <v>60000</v>
      </c>
      <c r="J1653" s="74">
        <f>IF(E1653="SERVICE",I1653-(I1653*50%),Vlookup(E1653,DATABASE!C:Q,10,false)*F1653)</f>
        <v>0</v>
      </c>
      <c r="K1653" s="74">
        <f>VLOOKUP(E1653,DATABASE!C:Q,7,false)</f>
        <v>0</v>
      </c>
      <c r="L1653" s="74">
        <v>0.0</v>
      </c>
      <c r="M1653" s="74">
        <f t="shared" si="2"/>
        <v>0</v>
      </c>
      <c r="N1653" s="74">
        <f t="shared" si="3"/>
        <v>60000</v>
      </c>
      <c r="O1653" s="65" t="str">
        <f>VLOOKUP(E1653,DATABASE!C:Q,8,false)</f>
        <v>IBU</v>
      </c>
      <c r="P1653" s="65">
        <f>VLOOKUP(E1653,DATABASE!C:Q,9,False)</f>
        <v>0</v>
      </c>
      <c r="Q1653" s="93" t="str">
        <f>VLOOKUP(E1653,DATABASE!C:Q,4,false)</f>
        <v>NITROGEN</v>
      </c>
      <c r="R1653" s="93" t="str">
        <f>VLOOKUP(E1653,DATABASE!C:Q,11,false)</f>
        <v>COMPLEMENTARY</v>
      </c>
    </row>
    <row r="1654" ht="22.5" customHeight="1">
      <c r="A1654" s="49"/>
      <c r="C1654" s="384">
        <v>45744.0</v>
      </c>
      <c r="D1654" s="65">
        <v>4977.0</v>
      </c>
      <c r="E1654" s="445" t="s">
        <v>301</v>
      </c>
      <c r="F1654" s="386">
        <v>1.0</v>
      </c>
      <c r="G1654" s="74">
        <v>250000.0</v>
      </c>
      <c r="H1654" s="74">
        <v>0.0</v>
      </c>
      <c r="I1654" s="74">
        <f t="shared" si="1"/>
        <v>250000</v>
      </c>
      <c r="J1654" s="74">
        <f>IF(E1654="SERVICE",I1654-(I1654*50%),Vlookup(E1654,DATABASE!C:Q,10,false)*F1654)</f>
        <v>75000</v>
      </c>
      <c r="K1654" s="74">
        <f>VLOOKUP(E1654,DATABASE!C:Q,7,false)</f>
        <v>75000</v>
      </c>
      <c r="L1654" s="74">
        <v>75000.0</v>
      </c>
      <c r="M1654" s="74">
        <f t="shared" si="2"/>
        <v>75000</v>
      </c>
      <c r="N1654" s="74">
        <f t="shared" si="3"/>
        <v>100000</v>
      </c>
      <c r="O1654" s="65" t="str">
        <f>VLOOKUP(E1654,DATABASE!C:Q,8,false)</f>
        <v>BIAN</v>
      </c>
      <c r="P1654" s="65">
        <f>VLOOKUP(E1654,DATABASE!C:Q,9,False)</f>
        <v>0</v>
      </c>
      <c r="Q1654" s="93" t="str">
        <f>VLOOKUP(E1654,DATABASE!C:Q,4,false)</f>
        <v>Baut Camber</v>
      </c>
      <c r="R1654" s="93" t="str">
        <f>VLOOKUP(E1654,DATABASE!C:Q,11,false)</f>
        <v>COMPLEMENTARY</v>
      </c>
    </row>
    <row r="1655" ht="22.5" customHeight="1">
      <c r="A1655" s="49"/>
      <c r="C1655" s="384">
        <v>45744.0</v>
      </c>
      <c r="D1655" s="65">
        <v>4978.0</v>
      </c>
      <c r="E1655" s="445" t="s">
        <v>256</v>
      </c>
      <c r="F1655" s="386">
        <v>1.0</v>
      </c>
      <c r="G1655" s="74">
        <v>130000.0</v>
      </c>
      <c r="H1655" s="74">
        <v>0.0</v>
      </c>
      <c r="I1655" s="74">
        <f t="shared" si="1"/>
        <v>130000</v>
      </c>
      <c r="J1655" s="74">
        <f>IF(E1655="SERVICE",I1655-(I1655*50%),Vlookup(E1655,DATABASE!C:Q,10,false)*F1655)</f>
        <v>10000</v>
      </c>
      <c r="K1655" s="74">
        <f>VLOOKUP(E1655,DATABASE!C:Q,7,false)</f>
        <v>0</v>
      </c>
      <c r="L1655" s="74">
        <v>0.0</v>
      </c>
      <c r="M1655" s="74">
        <f t="shared" si="2"/>
        <v>0</v>
      </c>
      <c r="N1655" s="74">
        <f t="shared" si="3"/>
        <v>120000</v>
      </c>
      <c r="O1655" s="65" t="str">
        <f>VLOOKUP(E1655,DATABASE!C:Q,8,false)</f>
        <v>IBU</v>
      </c>
      <c r="P1655" s="65">
        <f>VLOOKUP(E1655,DATABASE!C:Q,9,False)</f>
        <v>0</v>
      </c>
      <c r="Q1655" s="93" t="str">
        <f>VLOOKUP(E1655,DATABASE!C:Q,4,false)</f>
        <v>SPOORING</v>
      </c>
      <c r="R1655" s="93" t="str">
        <f>VLOOKUP(E1655,DATABASE!C:Q,11,false)</f>
        <v>SERVICE</v>
      </c>
    </row>
    <row r="1656" ht="22.5" customHeight="1">
      <c r="A1656" s="49"/>
      <c r="C1656" s="384">
        <v>45744.0</v>
      </c>
      <c r="D1656" s="65">
        <v>4979.0</v>
      </c>
      <c r="E1656" s="445" t="s">
        <v>288</v>
      </c>
      <c r="F1656" s="386">
        <v>2.0</v>
      </c>
      <c r="G1656" s="74">
        <v>620000.0</v>
      </c>
      <c r="H1656" s="74">
        <v>0.0</v>
      </c>
      <c r="I1656" s="74">
        <f t="shared" si="1"/>
        <v>1240000</v>
      </c>
      <c r="J1656" s="74">
        <f>IF(E1656="SERVICE",I1656-(I1656*50%),Vlookup(E1656,DATABASE!C:Q,10,false)*F1656)</f>
        <v>0</v>
      </c>
      <c r="K1656" s="74">
        <f>VLOOKUP(E1656,DATABASE!C:Q,7,false)</f>
        <v>565760</v>
      </c>
      <c r="L1656" s="74">
        <v>524800.0</v>
      </c>
      <c r="M1656" s="74">
        <f t="shared" si="2"/>
        <v>525000</v>
      </c>
      <c r="N1656" s="74">
        <f t="shared" si="3"/>
        <v>190000</v>
      </c>
      <c r="O1656" s="65" t="str">
        <f>VLOOKUP(E1656,DATABASE!C:Q,8,false)</f>
        <v>BIAN</v>
      </c>
      <c r="P1656" s="65">
        <f>VLOOKUP(E1656,DATABASE!C:Q,9,False)</f>
        <v>1</v>
      </c>
      <c r="Q1656" s="93" t="str">
        <f>VLOOKUP(E1656,DATABASE!C:Q,4,false)</f>
        <v>GT</v>
      </c>
      <c r="R1656" s="93" t="str">
        <f>VLOOKUP(E1656,DATABASE!C:Q,11,false)</f>
        <v>Tire</v>
      </c>
    </row>
    <row r="1657" ht="22.5" customHeight="1">
      <c r="A1657" s="49"/>
      <c r="C1657" s="384">
        <v>45744.0</v>
      </c>
      <c r="D1657" s="65">
        <v>4980.0</v>
      </c>
      <c r="E1657" s="445" t="s">
        <v>256</v>
      </c>
      <c r="F1657" s="386">
        <v>1.0</v>
      </c>
      <c r="G1657" s="74">
        <v>130000.0</v>
      </c>
      <c r="H1657" s="74">
        <v>0.0</v>
      </c>
      <c r="I1657" s="74">
        <f t="shared" si="1"/>
        <v>130000</v>
      </c>
      <c r="J1657" s="74">
        <f>IF(E1657="SERVICE",I1657-(I1657*50%),Vlookup(E1657,DATABASE!C:Q,10,false)*F1657)</f>
        <v>10000</v>
      </c>
      <c r="K1657" s="74">
        <f>VLOOKUP(E1657,DATABASE!C:Q,7,false)</f>
        <v>0</v>
      </c>
      <c r="L1657" s="74">
        <v>0.0</v>
      </c>
      <c r="M1657" s="74">
        <f t="shared" si="2"/>
        <v>0</v>
      </c>
      <c r="N1657" s="74">
        <f t="shared" si="3"/>
        <v>120000</v>
      </c>
      <c r="O1657" s="65" t="str">
        <f>VLOOKUP(E1657,DATABASE!C:Q,8,false)</f>
        <v>IBU</v>
      </c>
      <c r="P1657" s="65">
        <f>VLOOKUP(E1657,DATABASE!C:Q,9,False)</f>
        <v>0</v>
      </c>
      <c r="Q1657" s="93" t="str">
        <f>VLOOKUP(E1657,DATABASE!C:Q,4,false)</f>
        <v>SPOORING</v>
      </c>
      <c r="R1657" s="93" t="str">
        <f>VLOOKUP(E1657,DATABASE!C:Q,11,false)</f>
        <v>SERVICE</v>
      </c>
    </row>
    <row r="1658" ht="22.5" customHeight="1">
      <c r="A1658" s="49"/>
      <c r="C1658" s="384">
        <v>45744.0</v>
      </c>
      <c r="D1658" s="65">
        <v>4980.0</v>
      </c>
      <c r="E1658" s="445" t="s">
        <v>301</v>
      </c>
      <c r="F1658" s="386">
        <v>1.0</v>
      </c>
      <c r="G1658" s="74">
        <v>250000.0</v>
      </c>
      <c r="H1658" s="74">
        <v>0.0</v>
      </c>
      <c r="I1658" s="74">
        <f t="shared" si="1"/>
        <v>250000</v>
      </c>
      <c r="J1658" s="74">
        <f>IF(E1658="SERVICE",I1658-(I1658*50%),Vlookup(E1658,DATABASE!C:Q,10,false)*F1658)</f>
        <v>75000</v>
      </c>
      <c r="K1658" s="74">
        <f>VLOOKUP(E1658,DATABASE!C:Q,7,false)</f>
        <v>75000</v>
      </c>
      <c r="L1658" s="74">
        <v>75000.0</v>
      </c>
      <c r="M1658" s="74">
        <f t="shared" si="2"/>
        <v>75000</v>
      </c>
      <c r="N1658" s="74">
        <f t="shared" si="3"/>
        <v>100000</v>
      </c>
      <c r="O1658" s="65" t="str">
        <f>VLOOKUP(E1658,DATABASE!C:Q,8,false)</f>
        <v>BIAN</v>
      </c>
      <c r="P1658" s="65">
        <f>VLOOKUP(E1658,DATABASE!C:Q,9,False)</f>
        <v>0</v>
      </c>
      <c r="Q1658" s="93" t="str">
        <f>VLOOKUP(E1658,DATABASE!C:Q,4,false)</f>
        <v>Baut Camber</v>
      </c>
      <c r="R1658" s="93" t="str">
        <f>VLOOKUP(E1658,DATABASE!C:Q,11,false)</f>
        <v>COMPLEMENTARY</v>
      </c>
    </row>
    <row r="1659" ht="22.5" customHeight="1">
      <c r="A1659" s="49"/>
      <c r="C1659" s="384">
        <v>45744.0</v>
      </c>
      <c r="D1659" s="65">
        <v>4980.0</v>
      </c>
      <c r="E1659" s="445" t="s">
        <v>2135</v>
      </c>
      <c r="F1659" s="386">
        <v>4.0</v>
      </c>
      <c r="G1659" s="74">
        <v>15000.0</v>
      </c>
      <c r="H1659" s="74">
        <v>0.0</v>
      </c>
      <c r="I1659" s="74">
        <f t="shared" si="1"/>
        <v>60000</v>
      </c>
      <c r="J1659" s="74">
        <f>IF(E1659="SERVICE",I1659-(I1659*50%),Vlookup(E1659,DATABASE!C:Q,10,false)*F1659)</f>
        <v>0</v>
      </c>
      <c r="K1659" s="74">
        <f>VLOOKUP(E1659,DATABASE!C:Q,7,false)</f>
        <v>0</v>
      </c>
      <c r="L1659" s="74">
        <v>0.0</v>
      </c>
      <c r="M1659" s="74">
        <f t="shared" si="2"/>
        <v>0</v>
      </c>
      <c r="N1659" s="74">
        <f t="shared" si="3"/>
        <v>60000</v>
      </c>
      <c r="O1659" s="65" t="str">
        <f>VLOOKUP(E1659,DATABASE!C:Q,8,false)</f>
        <v>IBU</v>
      </c>
      <c r="P1659" s="65">
        <f>VLOOKUP(E1659,DATABASE!C:Q,9,False)</f>
        <v>0</v>
      </c>
      <c r="Q1659" s="93" t="str">
        <f>VLOOKUP(E1659,DATABASE!C:Q,4,false)</f>
        <v>NITROGEN</v>
      </c>
      <c r="R1659" s="93" t="str">
        <f>VLOOKUP(E1659,DATABASE!C:Q,11,false)</f>
        <v>COMPLEMENTARY</v>
      </c>
    </row>
    <row r="1660" ht="22.5" customHeight="1">
      <c r="A1660" s="49"/>
      <c r="C1660" s="384">
        <v>45744.0</v>
      </c>
      <c r="D1660" s="65">
        <v>4981.0</v>
      </c>
      <c r="E1660" s="445" t="s">
        <v>937</v>
      </c>
      <c r="F1660" s="386">
        <v>1.0</v>
      </c>
      <c r="G1660" s="74">
        <v>900000.0</v>
      </c>
      <c r="H1660" s="74">
        <v>0.0</v>
      </c>
      <c r="I1660" s="74">
        <f t="shared" si="1"/>
        <v>900000</v>
      </c>
      <c r="J1660" s="74">
        <f>IF(E1660="SERVICE",I1660-(I1660*50%),Vlookup(E1660,DATABASE!C:Q,10,false)*F1660)</f>
        <v>0</v>
      </c>
      <c r="K1660" s="74">
        <f>VLOOKUP(E1660,DATABASE!C:Q,7,false)</f>
        <v>825000</v>
      </c>
      <c r="L1660" s="74">
        <v>790000.0</v>
      </c>
      <c r="M1660" s="74">
        <f t="shared" si="2"/>
        <v>790000</v>
      </c>
      <c r="N1660" s="74">
        <f t="shared" si="3"/>
        <v>110000</v>
      </c>
      <c r="O1660" s="65" t="str">
        <f>VLOOKUP(E1660,DATABASE!C:Q,8,false)</f>
        <v>IBU</v>
      </c>
      <c r="P1660" s="65">
        <f>VLOOKUP(E1660,DATABASE!C:Q,9,False)</f>
        <v>1</v>
      </c>
      <c r="Q1660" s="93" t="str">
        <f>VLOOKUP(E1660,DATABASE!C:Q,4,false)</f>
        <v>Bridgestone</v>
      </c>
      <c r="R1660" s="93" t="str">
        <f>VLOOKUP(E1660,DATABASE!C:Q,11,false)</f>
        <v>Tire</v>
      </c>
    </row>
    <row r="1661" ht="22.5" customHeight="1">
      <c r="A1661" s="49"/>
      <c r="C1661" s="384">
        <v>45744.0</v>
      </c>
      <c r="D1661" s="65">
        <v>4982.0</v>
      </c>
      <c r="E1661" s="445" t="s">
        <v>271</v>
      </c>
      <c r="F1661" s="386">
        <v>1.0</v>
      </c>
      <c r="G1661" s="74">
        <v>630000.0</v>
      </c>
      <c r="H1661" s="74">
        <v>0.0</v>
      </c>
      <c r="I1661" s="74">
        <f t="shared" si="1"/>
        <v>630000</v>
      </c>
      <c r="J1661" s="74">
        <f>IF(E1661="SERVICE",I1661-(I1661*50%),Vlookup(E1661,DATABASE!C:Q,10,false)*F1661)</f>
        <v>0</v>
      </c>
      <c r="K1661" s="74">
        <f>VLOOKUP(E1661,DATABASE!C:Q,7,false)</f>
        <v>570000</v>
      </c>
      <c r="L1661" s="74">
        <v>539000.0</v>
      </c>
      <c r="M1661" s="74">
        <f t="shared" si="2"/>
        <v>540000</v>
      </c>
      <c r="N1661" s="74">
        <f t="shared" si="3"/>
        <v>90000</v>
      </c>
      <c r="O1661" s="65" t="str">
        <f>VLOOKUP(E1661,DATABASE!C:Q,8,false)</f>
        <v>IBU</v>
      </c>
      <c r="P1661" s="65">
        <f>VLOOKUP(E1661,DATABASE!C:Q,9,False)</f>
        <v>1</v>
      </c>
      <c r="Q1661" s="93" t="str">
        <f>VLOOKUP(E1661,DATABASE!C:Q,4,false)</f>
        <v>Dunlop</v>
      </c>
      <c r="R1661" s="93" t="str">
        <f>VLOOKUP(E1661,DATABASE!C:Q,11,false)</f>
        <v>Tire</v>
      </c>
    </row>
    <row r="1662" ht="22.5" customHeight="1">
      <c r="A1662" s="49"/>
      <c r="C1662" s="384">
        <v>45744.0</v>
      </c>
      <c r="D1662" s="65">
        <v>4983.0</v>
      </c>
      <c r="E1662" s="445" t="s">
        <v>591</v>
      </c>
      <c r="F1662" s="386">
        <v>1.0</v>
      </c>
      <c r="G1662" s="74">
        <v>680000.0</v>
      </c>
      <c r="H1662" s="74">
        <v>0.0</v>
      </c>
      <c r="I1662" s="74">
        <f t="shared" si="1"/>
        <v>680000</v>
      </c>
      <c r="J1662" s="74">
        <f>IF(E1662="SERVICE",I1662-(I1662*50%),Vlookup(E1662,DATABASE!C:Q,10,false)*F1662)</f>
        <v>0</v>
      </c>
      <c r="K1662" s="74">
        <f>VLOOKUP(E1662,DATABASE!C:Q,7,false)</f>
        <v>633035.16</v>
      </c>
      <c r="L1662" s="74">
        <v>593488.4</v>
      </c>
      <c r="M1662" s="74">
        <f t="shared" si="2"/>
        <v>595000</v>
      </c>
      <c r="N1662" s="74">
        <f t="shared" si="3"/>
        <v>85000</v>
      </c>
      <c r="O1662" s="65" t="str">
        <f>VLOOKUP(E1662,DATABASE!C:Q,8,false)</f>
        <v>IBU</v>
      </c>
      <c r="P1662" s="65">
        <f>VLOOKUP(E1662,DATABASE!C:Q,9,False)</f>
        <v>1</v>
      </c>
      <c r="Q1662" s="93" t="str">
        <f>VLOOKUP(E1662,DATABASE!C:Q,4,false)</f>
        <v>Bridgestone</v>
      </c>
      <c r="R1662" s="93" t="str">
        <f>VLOOKUP(E1662,DATABASE!C:Q,11,false)</f>
        <v>Tire</v>
      </c>
    </row>
    <row r="1663" ht="22.5" customHeight="1">
      <c r="A1663" s="49"/>
      <c r="C1663" s="384">
        <v>45744.0</v>
      </c>
      <c r="D1663" s="65">
        <v>4984.0</v>
      </c>
      <c r="E1663" s="445" t="s">
        <v>932</v>
      </c>
      <c r="F1663" s="386">
        <v>2.0</v>
      </c>
      <c r="G1663" s="74">
        <v>670000.0</v>
      </c>
      <c r="H1663" s="74">
        <v>0.0</v>
      </c>
      <c r="I1663" s="74">
        <f t="shared" si="1"/>
        <v>1340000</v>
      </c>
      <c r="J1663" s="74">
        <f>IF(E1663="SERVICE",I1663-(I1663*50%),Vlookup(E1663,DATABASE!C:Q,10,false)*F1663)</f>
        <v>0</v>
      </c>
      <c r="K1663" s="74">
        <v>575000.0</v>
      </c>
      <c r="L1663" s="74">
        <v>575000.0</v>
      </c>
      <c r="M1663" s="74">
        <f t="shared" si="2"/>
        <v>575000</v>
      </c>
      <c r="N1663" s="74">
        <f t="shared" si="3"/>
        <v>190000</v>
      </c>
      <c r="O1663" s="65" t="str">
        <f>VLOOKUP(E1663,DATABASE!C:Q,8,false)</f>
        <v>IBU</v>
      </c>
      <c r="P1663" s="65">
        <f>VLOOKUP(E1663,DATABASE!C:Q,9,False)</f>
        <v>1</v>
      </c>
      <c r="Q1663" s="93" t="str">
        <f>VLOOKUP(E1663,DATABASE!C:Q,4,false)</f>
        <v>Dunlop</v>
      </c>
      <c r="R1663" s="93" t="str">
        <f>VLOOKUP(E1663,DATABASE!C:Q,11,false)</f>
        <v>Tire</v>
      </c>
    </row>
    <row r="1664" ht="22.5" customHeight="1">
      <c r="A1664" s="49"/>
      <c r="C1664" s="384">
        <v>45744.0</v>
      </c>
      <c r="D1664" s="65">
        <v>4984.0</v>
      </c>
      <c r="E1664" s="385" t="s">
        <v>299</v>
      </c>
      <c r="F1664" s="386">
        <v>2.0</v>
      </c>
      <c r="G1664" s="74">
        <v>30000.0</v>
      </c>
      <c r="H1664" s="74">
        <v>0.0</v>
      </c>
      <c r="I1664" s="74">
        <f t="shared" si="1"/>
        <v>60000</v>
      </c>
      <c r="J1664" s="74">
        <f>IF(E1664="SERVICE",I1664-(I1664*50%),Vlookup(E1664,DATABASE!C:Q,10,false)*F1664)</f>
        <v>0</v>
      </c>
      <c r="K1664" s="74">
        <v>0.0</v>
      </c>
      <c r="L1664" s="74">
        <v>0.0</v>
      </c>
      <c r="M1664" s="74">
        <f t="shared" si="2"/>
        <v>0</v>
      </c>
      <c r="N1664" s="74">
        <f t="shared" si="3"/>
        <v>60000</v>
      </c>
      <c r="O1664" s="65" t="str">
        <f>VLOOKUP(E1664,DATABASE!C:Q,8,false)</f>
        <v>BIAN</v>
      </c>
      <c r="P1664" s="65">
        <f>VLOOKUP(E1664,DATABASE!C:Q,9,False)</f>
        <v>0</v>
      </c>
      <c r="Q1664" s="93" t="str">
        <f>VLOOKUP(E1664,DATABASE!C:Q,4,false)</f>
        <v>Balancing</v>
      </c>
      <c r="R1664" s="93" t="str">
        <f>VLOOKUP(E1664,DATABASE!C:Q,11,false)</f>
        <v>COMPLEMENTARY</v>
      </c>
    </row>
    <row r="1665" ht="22.5" customHeight="1">
      <c r="A1665" s="49"/>
      <c r="C1665" s="384">
        <v>45744.0</v>
      </c>
      <c r="D1665" s="65">
        <v>4985.0</v>
      </c>
      <c r="E1665" s="445" t="s">
        <v>974</v>
      </c>
      <c r="F1665" s="386">
        <v>1.0</v>
      </c>
      <c r="G1665" s="74">
        <v>565000.0</v>
      </c>
      <c r="H1665" s="74">
        <v>0.0</v>
      </c>
      <c r="I1665" s="74">
        <f t="shared" si="1"/>
        <v>565000</v>
      </c>
      <c r="J1665" s="74">
        <f>IF(E1665="SERVICE",I1665-(I1665*50%),Vlookup(E1665,DATABASE!C:Q,10,false)*F1665)</f>
        <v>0</v>
      </c>
      <c r="K1665" s="74">
        <f>VLOOKUP(E1665,DATABASE!C:Q,7,false)</f>
        <v>501500</v>
      </c>
      <c r="L1665" s="74">
        <v>491000.0</v>
      </c>
      <c r="M1665" s="74">
        <f t="shared" si="2"/>
        <v>495000</v>
      </c>
      <c r="N1665" s="74">
        <f t="shared" si="3"/>
        <v>70000</v>
      </c>
      <c r="O1665" s="65" t="str">
        <f>VLOOKUP(E1665,DATABASE!C:Q,8,false)</f>
        <v>IBU</v>
      </c>
      <c r="P1665" s="65">
        <f>VLOOKUP(E1665,DATABASE!C:Q,9,False)</f>
        <v>1</v>
      </c>
      <c r="Q1665" s="93" t="str">
        <f>VLOOKUP(E1665,DATABASE!C:Q,4,false)</f>
        <v>Dunlop</v>
      </c>
      <c r="R1665" s="93" t="str">
        <f>VLOOKUP(E1665,DATABASE!C:Q,11,false)</f>
        <v>Tire</v>
      </c>
    </row>
    <row r="1666" ht="22.5" customHeight="1">
      <c r="A1666" s="49"/>
      <c r="C1666" s="384">
        <v>45744.0</v>
      </c>
      <c r="D1666" s="65">
        <v>4986.0</v>
      </c>
      <c r="E1666" s="445" t="s">
        <v>256</v>
      </c>
      <c r="F1666" s="386">
        <v>1.0</v>
      </c>
      <c r="G1666" s="74">
        <v>130000.0</v>
      </c>
      <c r="H1666" s="74">
        <v>0.0</v>
      </c>
      <c r="I1666" s="74">
        <f t="shared" si="1"/>
        <v>130000</v>
      </c>
      <c r="J1666" s="74">
        <f>IF(E1666="SERVICE",I1666-(I1666*50%),Vlookup(E1666,DATABASE!C:Q,10,false)*F1666)</f>
        <v>10000</v>
      </c>
      <c r="K1666" s="74">
        <f>VLOOKUP(E1666,DATABASE!C:Q,7,false)</f>
        <v>0</v>
      </c>
      <c r="L1666" s="74">
        <v>0.0</v>
      </c>
      <c r="M1666" s="74">
        <f t="shared" si="2"/>
        <v>0</v>
      </c>
      <c r="N1666" s="74">
        <f t="shared" si="3"/>
        <v>120000</v>
      </c>
      <c r="O1666" s="65" t="str">
        <f>VLOOKUP(E1666,DATABASE!C:Q,8,false)</f>
        <v>IBU</v>
      </c>
      <c r="P1666" s="65">
        <f>VLOOKUP(E1666,DATABASE!C:Q,9,False)</f>
        <v>0</v>
      </c>
      <c r="Q1666" s="93" t="str">
        <f>VLOOKUP(E1666,DATABASE!C:Q,4,false)</f>
        <v>SPOORING</v>
      </c>
      <c r="R1666" s="93" t="str">
        <f>VLOOKUP(E1666,DATABASE!C:Q,11,false)</f>
        <v>SERVICE</v>
      </c>
    </row>
    <row r="1667" ht="22.5" customHeight="1">
      <c r="A1667" s="49"/>
      <c r="C1667" s="384">
        <v>45744.0</v>
      </c>
      <c r="D1667" s="65">
        <v>4986.0</v>
      </c>
      <c r="E1667" s="445" t="s">
        <v>301</v>
      </c>
      <c r="F1667" s="386">
        <v>1.0</v>
      </c>
      <c r="G1667" s="74">
        <v>250000.0</v>
      </c>
      <c r="H1667" s="74">
        <v>0.0</v>
      </c>
      <c r="I1667" s="74">
        <f t="shared" si="1"/>
        <v>250000</v>
      </c>
      <c r="J1667" s="74">
        <f>IF(E1667="SERVICE",I1667-(I1667*50%),Vlookup(E1667,DATABASE!C:Q,10,false)*F1667)</f>
        <v>75000</v>
      </c>
      <c r="K1667" s="74">
        <f>VLOOKUP(E1667,DATABASE!C:Q,7,false)</f>
        <v>75000</v>
      </c>
      <c r="L1667" s="74">
        <v>75000.0</v>
      </c>
      <c r="M1667" s="74">
        <f t="shared" si="2"/>
        <v>75000</v>
      </c>
      <c r="N1667" s="74">
        <f t="shared" si="3"/>
        <v>100000</v>
      </c>
      <c r="O1667" s="65" t="str">
        <f>VLOOKUP(E1667,DATABASE!C:Q,8,false)</f>
        <v>BIAN</v>
      </c>
      <c r="P1667" s="65">
        <f>VLOOKUP(E1667,DATABASE!C:Q,9,False)</f>
        <v>0</v>
      </c>
      <c r="Q1667" s="93" t="str">
        <f>VLOOKUP(E1667,DATABASE!C:Q,4,false)</f>
        <v>Baut Camber</v>
      </c>
      <c r="R1667" s="93" t="str">
        <f>VLOOKUP(E1667,DATABASE!C:Q,11,false)</f>
        <v>COMPLEMENTARY</v>
      </c>
    </row>
    <row r="1668" ht="22.5" customHeight="1">
      <c r="A1668" s="49"/>
      <c r="C1668" s="384">
        <v>45744.0</v>
      </c>
      <c r="D1668" s="65">
        <v>4987.0</v>
      </c>
      <c r="E1668" s="385" t="s">
        <v>299</v>
      </c>
      <c r="F1668" s="386">
        <v>2.0</v>
      </c>
      <c r="G1668" s="74">
        <v>30000.0</v>
      </c>
      <c r="H1668" s="74">
        <v>0.0</v>
      </c>
      <c r="I1668" s="74">
        <f t="shared" si="1"/>
        <v>60000</v>
      </c>
      <c r="J1668" s="74">
        <f>IF(E1668="SERVICE",I1668-(I1668*50%),Vlookup(E1668,DATABASE!C:Q,10,false)*F1668)</f>
        <v>0</v>
      </c>
      <c r="K1668" s="74">
        <v>0.0</v>
      </c>
      <c r="L1668" s="74">
        <v>0.0</v>
      </c>
      <c r="M1668" s="74">
        <f t="shared" si="2"/>
        <v>0</v>
      </c>
      <c r="N1668" s="74">
        <f t="shared" si="3"/>
        <v>60000</v>
      </c>
      <c r="O1668" s="65" t="str">
        <f>VLOOKUP(E1668,DATABASE!C:Q,8,false)</f>
        <v>BIAN</v>
      </c>
      <c r="P1668" s="65">
        <f>VLOOKUP(E1668,DATABASE!C:Q,9,False)</f>
        <v>0</v>
      </c>
      <c r="Q1668" s="93" t="str">
        <f>VLOOKUP(E1668,DATABASE!C:Q,4,false)</f>
        <v>Balancing</v>
      </c>
      <c r="R1668" s="93" t="str">
        <f>VLOOKUP(E1668,DATABASE!C:Q,11,false)</f>
        <v>COMPLEMENTARY</v>
      </c>
    </row>
    <row r="1669" ht="22.5" customHeight="1">
      <c r="A1669" s="49"/>
      <c r="C1669" s="384">
        <v>45744.0</v>
      </c>
      <c r="D1669" s="65">
        <v>4988.0</v>
      </c>
      <c r="E1669" s="445" t="s">
        <v>695</v>
      </c>
      <c r="F1669" s="386">
        <v>2.0</v>
      </c>
      <c r="G1669" s="74">
        <v>640000.0</v>
      </c>
      <c r="H1669" s="74">
        <v>0.0</v>
      </c>
      <c r="I1669" s="74">
        <f t="shared" si="1"/>
        <v>1280000</v>
      </c>
      <c r="J1669" s="74">
        <f>IF(E1669="SERVICE",I1669-(I1669*50%),Vlookup(E1669,DATABASE!C:Q,10,false)*F1669)</f>
        <v>0</v>
      </c>
      <c r="K1669" s="74">
        <f>VLOOKUP(E1669,DATABASE!C:Q,7,false)</f>
        <v>582000</v>
      </c>
      <c r="L1669" s="74">
        <v>570000.0</v>
      </c>
      <c r="M1669" s="74">
        <f t="shared" si="2"/>
        <v>570000</v>
      </c>
      <c r="N1669" s="74">
        <f t="shared" si="3"/>
        <v>140000</v>
      </c>
      <c r="O1669" s="65" t="str">
        <f>VLOOKUP(E1669,DATABASE!C:Q,8,false)</f>
        <v>IBU</v>
      </c>
      <c r="P1669" s="65">
        <f>VLOOKUP(E1669,DATABASE!C:Q,9,False)</f>
        <v>1</v>
      </c>
      <c r="Q1669" s="93" t="str">
        <f>VLOOKUP(E1669,DATABASE!C:Q,4,false)</f>
        <v>Dunlop</v>
      </c>
      <c r="R1669" s="93" t="str">
        <f>VLOOKUP(E1669,DATABASE!C:Q,11,false)</f>
        <v>Tire</v>
      </c>
    </row>
    <row r="1670" ht="22.5" customHeight="1">
      <c r="A1670" s="49"/>
      <c r="C1670" s="384">
        <v>45744.0</v>
      </c>
      <c r="D1670" s="65">
        <v>4989.0</v>
      </c>
      <c r="E1670" s="445" t="s">
        <v>622</v>
      </c>
      <c r="F1670" s="386">
        <v>1.0</v>
      </c>
      <c r="G1670" s="74">
        <v>900000.0</v>
      </c>
      <c r="H1670" s="74">
        <v>0.0</v>
      </c>
      <c r="I1670" s="74">
        <f t="shared" si="1"/>
        <v>900000</v>
      </c>
      <c r="J1670" s="74">
        <f>IF(E1670="SERVICE",I1670-(I1670*50%),Vlookup(E1670,DATABASE!C:Q,10,false)*F1670)</f>
        <v>0</v>
      </c>
      <c r="K1670" s="74">
        <f>VLOOKUP(E1670,DATABASE!C:Q,7,false)</f>
        <v>851110.375</v>
      </c>
      <c r="L1670" s="74">
        <v>810342.44</v>
      </c>
      <c r="M1670" s="74">
        <f t="shared" si="2"/>
        <v>815000</v>
      </c>
      <c r="N1670" s="74">
        <f t="shared" si="3"/>
        <v>85000</v>
      </c>
      <c r="O1670" s="65" t="str">
        <f>VLOOKUP(E1670,DATABASE!C:Q,8,false)</f>
        <v>IBU</v>
      </c>
      <c r="P1670" s="65">
        <f>VLOOKUP(E1670,DATABASE!C:Q,9,False)</f>
        <v>1</v>
      </c>
      <c r="Q1670" s="93" t="str">
        <f>VLOOKUP(E1670,DATABASE!C:Q,4,false)</f>
        <v>Bridgestone</v>
      </c>
      <c r="R1670" s="93" t="str">
        <f>VLOOKUP(E1670,DATABASE!C:Q,11,false)</f>
        <v>Tire</v>
      </c>
    </row>
    <row r="1671" ht="22.5" customHeight="1">
      <c r="A1671" s="49"/>
      <c r="C1671" s="384">
        <v>45744.0</v>
      </c>
      <c r="D1671" s="65">
        <v>4990.0</v>
      </c>
      <c r="E1671" s="445" t="s">
        <v>1278</v>
      </c>
      <c r="F1671" s="386">
        <v>4.0</v>
      </c>
      <c r="G1671" s="74">
        <v>1565000.0</v>
      </c>
      <c r="H1671" s="74">
        <v>0.0</v>
      </c>
      <c r="I1671" s="74">
        <f t="shared" si="1"/>
        <v>6260000</v>
      </c>
      <c r="J1671" s="74">
        <f>IF(E1671="SERVICE",I1671-(I1671*50%),Vlookup(E1671,DATABASE!C:Q,10,false)*F1671)</f>
        <v>0</v>
      </c>
      <c r="K1671" s="74">
        <f>VLOOKUP(E1671,DATABASE!C:Q,7,false)</f>
        <v>1466393.5</v>
      </c>
      <c r="L1671" s="74">
        <v>1466393.5</v>
      </c>
      <c r="M1671" s="74">
        <f t="shared" si="2"/>
        <v>1470000</v>
      </c>
      <c r="N1671" s="74">
        <f t="shared" si="3"/>
        <v>380000</v>
      </c>
      <c r="O1671" s="65" t="str">
        <f>VLOOKUP(E1671,DATABASE!C:Q,8,false)</f>
        <v>IBU</v>
      </c>
      <c r="P1671" s="65">
        <f>VLOOKUP(E1671,DATABASE!C:Q,9,False)</f>
        <v>1</v>
      </c>
      <c r="Q1671" s="93" t="str">
        <f>VLOOKUP(E1671,DATABASE!C:Q,4,false)</f>
        <v>Bridgestone</v>
      </c>
      <c r="R1671" s="93" t="str">
        <f>VLOOKUP(E1671,DATABASE!C:Q,11,false)</f>
        <v>Tire</v>
      </c>
    </row>
    <row r="1672" ht="22.5" customHeight="1">
      <c r="A1672" s="49"/>
      <c r="C1672" s="384">
        <v>45744.0</v>
      </c>
      <c r="D1672" s="65">
        <v>4990.0</v>
      </c>
      <c r="E1672" s="445" t="s">
        <v>2135</v>
      </c>
      <c r="F1672" s="386">
        <v>4.0</v>
      </c>
      <c r="G1672" s="74">
        <v>15000.0</v>
      </c>
      <c r="H1672" s="74">
        <v>0.0</v>
      </c>
      <c r="I1672" s="74">
        <f t="shared" si="1"/>
        <v>60000</v>
      </c>
      <c r="J1672" s="74">
        <f>IF(E1672="SERVICE",I1672-(I1672*50%),Vlookup(E1672,DATABASE!C:Q,10,false)*F1672)</f>
        <v>0</v>
      </c>
      <c r="K1672" s="74">
        <f>VLOOKUP(E1672,DATABASE!C:Q,7,false)</f>
        <v>0</v>
      </c>
      <c r="L1672" s="74">
        <v>0.0</v>
      </c>
      <c r="M1672" s="74">
        <f t="shared" si="2"/>
        <v>0</v>
      </c>
      <c r="N1672" s="74">
        <f t="shared" si="3"/>
        <v>60000</v>
      </c>
      <c r="O1672" s="65" t="str">
        <f>VLOOKUP(E1672,DATABASE!C:Q,8,false)</f>
        <v>IBU</v>
      </c>
      <c r="P1672" s="65">
        <f>VLOOKUP(E1672,DATABASE!C:Q,9,False)</f>
        <v>0</v>
      </c>
      <c r="Q1672" s="93" t="str">
        <f>VLOOKUP(E1672,DATABASE!C:Q,4,false)</f>
        <v>NITROGEN</v>
      </c>
      <c r="R1672" s="93" t="str">
        <f>VLOOKUP(E1672,DATABASE!C:Q,11,false)</f>
        <v>COMPLEMENTARY</v>
      </c>
    </row>
    <row r="1673" ht="22.5" customHeight="1">
      <c r="A1673" s="49"/>
      <c r="C1673" s="384">
        <v>45744.0</v>
      </c>
      <c r="D1673" s="65">
        <v>4990.0</v>
      </c>
      <c r="E1673" s="445" t="s">
        <v>256</v>
      </c>
      <c r="F1673" s="386">
        <v>1.0</v>
      </c>
      <c r="G1673" s="74">
        <v>130000.0</v>
      </c>
      <c r="H1673" s="74">
        <v>0.0</v>
      </c>
      <c r="I1673" s="74">
        <f t="shared" si="1"/>
        <v>130000</v>
      </c>
      <c r="J1673" s="74">
        <f>IF(E1673="SERVICE",I1673-(I1673*50%),Vlookup(E1673,DATABASE!C:Q,10,false)*F1673)</f>
        <v>10000</v>
      </c>
      <c r="K1673" s="74">
        <f>VLOOKUP(E1673,DATABASE!C:Q,7,false)</f>
        <v>0</v>
      </c>
      <c r="L1673" s="74">
        <v>0.0</v>
      </c>
      <c r="M1673" s="74">
        <f t="shared" si="2"/>
        <v>0</v>
      </c>
      <c r="N1673" s="74">
        <f t="shared" si="3"/>
        <v>120000</v>
      </c>
      <c r="O1673" s="65" t="str">
        <f>VLOOKUP(E1673,DATABASE!C:Q,8,false)</f>
        <v>IBU</v>
      </c>
      <c r="P1673" s="65">
        <f>VLOOKUP(E1673,DATABASE!C:Q,9,False)</f>
        <v>0</v>
      </c>
      <c r="Q1673" s="93" t="str">
        <f>VLOOKUP(E1673,DATABASE!C:Q,4,false)</f>
        <v>SPOORING</v>
      </c>
      <c r="R1673" s="93" t="str">
        <f>VLOOKUP(E1673,DATABASE!C:Q,11,false)</f>
        <v>SERVICE</v>
      </c>
    </row>
    <row r="1674" ht="22.5" customHeight="1">
      <c r="A1674" s="49"/>
      <c r="C1674" s="384">
        <v>45744.0</v>
      </c>
      <c r="D1674" s="65">
        <v>4990.0</v>
      </c>
      <c r="E1674" s="445" t="s">
        <v>301</v>
      </c>
      <c r="F1674" s="386">
        <v>1.0</v>
      </c>
      <c r="G1674" s="74">
        <v>250000.0</v>
      </c>
      <c r="H1674" s="74">
        <v>0.0</v>
      </c>
      <c r="I1674" s="74">
        <f t="shared" si="1"/>
        <v>250000</v>
      </c>
      <c r="J1674" s="74">
        <f>IF(E1674="SERVICE",I1674-(I1674*50%),Vlookup(E1674,DATABASE!C:Q,10,false)*F1674)</f>
        <v>75000</v>
      </c>
      <c r="K1674" s="74">
        <f>VLOOKUP(E1674,DATABASE!C:Q,7,false)</f>
        <v>75000</v>
      </c>
      <c r="L1674" s="74">
        <v>75000.0</v>
      </c>
      <c r="M1674" s="74">
        <f t="shared" si="2"/>
        <v>75000</v>
      </c>
      <c r="N1674" s="74">
        <f t="shared" si="3"/>
        <v>100000</v>
      </c>
      <c r="O1674" s="65" t="str">
        <f>VLOOKUP(E1674,DATABASE!C:Q,8,false)</f>
        <v>BIAN</v>
      </c>
      <c r="P1674" s="65">
        <f>VLOOKUP(E1674,DATABASE!C:Q,9,False)</f>
        <v>0</v>
      </c>
      <c r="Q1674" s="93" t="str">
        <f>VLOOKUP(E1674,DATABASE!C:Q,4,false)</f>
        <v>Baut Camber</v>
      </c>
      <c r="R1674" s="93" t="str">
        <f>VLOOKUP(E1674,DATABASE!C:Q,11,false)</f>
        <v>COMPLEMENTARY</v>
      </c>
    </row>
    <row r="1675" ht="22.5" customHeight="1">
      <c r="A1675" s="49"/>
      <c r="C1675" s="384">
        <v>45744.0</v>
      </c>
      <c r="D1675" s="65">
        <v>4991.0</v>
      </c>
      <c r="E1675" s="445" t="s">
        <v>279</v>
      </c>
      <c r="F1675" s="386">
        <v>2.0</v>
      </c>
      <c r="G1675" s="74">
        <v>660000.0</v>
      </c>
      <c r="H1675" s="74">
        <v>0.0</v>
      </c>
      <c r="I1675" s="74">
        <f t="shared" si="1"/>
        <v>1320000</v>
      </c>
      <c r="J1675" s="74">
        <f>IF(E1675="SERVICE",I1675-(I1675*50%),Vlookup(E1675,DATABASE!C:Q,10,false)*F1675)</f>
        <v>0</v>
      </c>
      <c r="K1675" s="74">
        <f>VLOOKUP(E1675,DATABASE!C:Q,7,false)</f>
        <v>623000</v>
      </c>
      <c r="L1675" s="74">
        <v>602000.0</v>
      </c>
      <c r="M1675" s="74">
        <f t="shared" si="2"/>
        <v>605000</v>
      </c>
      <c r="N1675" s="74">
        <f t="shared" si="3"/>
        <v>110000</v>
      </c>
      <c r="O1675" s="65" t="str">
        <f>VLOOKUP(E1675,DATABASE!C:Q,8,false)</f>
        <v>IBU</v>
      </c>
      <c r="P1675" s="65">
        <f>VLOOKUP(E1675,DATABASE!C:Q,9,False)</f>
        <v>1</v>
      </c>
      <c r="Q1675" s="93" t="str">
        <f>VLOOKUP(E1675,DATABASE!C:Q,4,false)</f>
        <v>Dunlop</v>
      </c>
      <c r="R1675" s="93" t="str">
        <f>VLOOKUP(E1675,DATABASE!C:Q,11,false)</f>
        <v>Tire</v>
      </c>
    </row>
    <row r="1676" ht="22.5" customHeight="1">
      <c r="A1676" s="49"/>
      <c r="C1676" s="384">
        <v>45744.0</v>
      </c>
      <c r="D1676" s="65">
        <v>4992.0</v>
      </c>
      <c r="E1676" s="445" t="s">
        <v>932</v>
      </c>
      <c r="F1676" s="386">
        <v>2.0</v>
      </c>
      <c r="G1676" s="74">
        <v>670000.0</v>
      </c>
      <c r="H1676" s="74">
        <v>0.0</v>
      </c>
      <c r="I1676" s="74">
        <f t="shared" si="1"/>
        <v>1340000</v>
      </c>
      <c r="J1676" s="74">
        <f>IF(E1676="SERVICE",I1676-(I1676*50%),Vlookup(E1676,DATABASE!C:Q,10,false)*F1676)</f>
        <v>0</v>
      </c>
      <c r="K1676" s="74">
        <v>575000.0</v>
      </c>
      <c r="L1676" s="74">
        <v>575000.0</v>
      </c>
      <c r="M1676" s="74">
        <f t="shared" si="2"/>
        <v>575000</v>
      </c>
      <c r="N1676" s="74">
        <f t="shared" si="3"/>
        <v>190000</v>
      </c>
      <c r="O1676" s="65" t="str">
        <f>VLOOKUP(E1676,DATABASE!C:Q,8,false)</f>
        <v>IBU</v>
      </c>
      <c r="P1676" s="65">
        <f>VLOOKUP(E1676,DATABASE!C:Q,9,False)</f>
        <v>1</v>
      </c>
      <c r="Q1676" s="93" t="str">
        <f>VLOOKUP(E1676,DATABASE!C:Q,4,false)</f>
        <v>Dunlop</v>
      </c>
      <c r="R1676" s="93" t="str">
        <f>VLOOKUP(E1676,DATABASE!C:Q,11,false)</f>
        <v>Tire</v>
      </c>
    </row>
    <row r="1677" ht="22.5" customHeight="1">
      <c r="A1677" s="49"/>
      <c r="C1677" s="384">
        <v>45744.0</v>
      </c>
      <c r="D1677" s="65">
        <v>4993.0</v>
      </c>
      <c r="E1677" s="385" t="s">
        <v>299</v>
      </c>
      <c r="F1677" s="386">
        <v>2.0</v>
      </c>
      <c r="G1677" s="74">
        <v>30000.0</v>
      </c>
      <c r="H1677" s="74">
        <v>0.0</v>
      </c>
      <c r="I1677" s="74">
        <f t="shared" si="1"/>
        <v>60000</v>
      </c>
      <c r="J1677" s="74">
        <f>IF(E1677="SERVICE",I1677-(I1677*50%),Vlookup(E1677,DATABASE!C:Q,10,false)*F1677)</f>
        <v>0</v>
      </c>
      <c r="K1677" s="74">
        <v>0.0</v>
      </c>
      <c r="L1677" s="74">
        <v>0.0</v>
      </c>
      <c r="M1677" s="74">
        <f t="shared" si="2"/>
        <v>0</v>
      </c>
      <c r="N1677" s="74">
        <f t="shared" si="3"/>
        <v>60000</v>
      </c>
      <c r="O1677" s="65" t="str">
        <f>VLOOKUP(E1677,DATABASE!C:Q,8,false)</f>
        <v>BIAN</v>
      </c>
      <c r="P1677" s="65">
        <f>VLOOKUP(E1677,DATABASE!C:Q,9,False)</f>
        <v>0</v>
      </c>
      <c r="Q1677" s="93" t="str">
        <f>VLOOKUP(E1677,DATABASE!C:Q,4,false)</f>
        <v>Balancing</v>
      </c>
      <c r="R1677" s="93" t="str">
        <f>VLOOKUP(E1677,DATABASE!C:Q,11,false)</f>
        <v>COMPLEMENTARY</v>
      </c>
    </row>
    <row r="1678" ht="22.5" customHeight="1">
      <c r="A1678" s="49"/>
      <c r="C1678" s="384">
        <v>45744.0</v>
      </c>
      <c r="D1678" s="65">
        <v>4994.0</v>
      </c>
      <c r="E1678" s="445" t="s">
        <v>955</v>
      </c>
      <c r="F1678" s="386">
        <v>4.0</v>
      </c>
      <c r="G1678" s="74">
        <v>770000.0</v>
      </c>
      <c r="H1678" s="74">
        <v>0.0</v>
      </c>
      <c r="I1678" s="74">
        <f t="shared" si="1"/>
        <v>3080000</v>
      </c>
      <c r="J1678" s="74">
        <f>IF(E1678="SERVICE",I1678-(I1678*50%),Vlookup(E1678,DATABASE!C:Q,10,false)*F1678)</f>
        <v>0</v>
      </c>
      <c r="K1678" s="74">
        <f>VLOOKUP(E1678,DATABASE!C:Q,7,false)</f>
        <v>712000</v>
      </c>
      <c r="L1678" s="74">
        <v>674000.0</v>
      </c>
      <c r="M1678" s="74">
        <f t="shared" si="2"/>
        <v>675000</v>
      </c>
      <c r="N1678" s="74">
        <f t="shared" si="3"/>
        <v>380000</v>
      </c>
      <c r="O1678" s="65" t="str">
        <f>VLOOKUP(E1678,DATABASE!C:Q,8,false)</f>
        <v>IBU</v>
      </c>
      <c r="P1678" s="65">
        <f>VLOOKUP(E1678,DATABASE!C:Q,9,False)</f>
        <v>1</v>
      </c>
      <c r="Q1678" s="93" t="str">
        <f>VLOOKUP(E1678,DATABASE!C:Q,4,false)</f>
        <v>Dunlop</v>
      </c>
      <c r="R1678" s="93" t="str">
        <f>VLOOKUP(E1678,DATABASE!C:Q,11,false)</f>
        <v>Tire</v>
      </c>
    </row>
    <row r="1679" ht="22.5" customHeight="1">
      <c r="A1679" s="49"/>
      <c r="C1679" s="384">
        <v>45744.0</v>
      </c>
      <c r="D1679" s="65">
        <v>4994.0</v>
      </c>
      <c r="E1679" s="385" t="s">
        <v>299</v>
      </c>
      <c r="F1679" s="386">
        <v>2.0</v>
      </c>
      <c r="G1679" s="74">
        <v>30000.0</v>
      </c>
      <c r="H1679" s="74">
        <v>0.0</v>
      </c>
      <c r="I1679" s="74">
        <f t="shared" si="1"/>
        <v>60000</v>
      </c>
      <c r="J1679" s="74">
        <f>IF(E1679="SERVICE",I1679-(I1679*50%),Vlookup(E1679,DATABASE!C:Q,10,false)*F1679)</f>
        <v>0</v>
      </c>
      <c r="K1679" s="74">
        <v>0.0</v>
      </c>
      <c r="L1679" s="74">
        <v>0.0</v>
      </c>
      <c r="M1679" s="74">
        <f t="shared" si="2"/>
        <v>0</v>
      </c>
      <c r="N1679" s="74">
        <f t="shared" si="3"/>
        <v>60000</v>
      </c>
      <c r="O1679" s="65" t="str">
        <f>VLOOKUP(E1679,DATABASE!C:Q,8,false)</f>
        <v>BIAN</v>
      </c>
      <c r="P1679" s="65">
        <f>VLOOKUP(E1679,DATABASE!C:Q,9,False)</f>
        <v>0</v>
      </c>
      <c r="Q1679" s="93" t="str">
        <f>VLOOKUP(E1679,DATABASE!C:Q,4,false)</f>
        <v>Balancing</v>
      </c>
      <c r="R1679" s="93" t="str">
        <f>VLOOKUP(E1679,DATABASE!C:Q,11,false)</f>
        <v>COMPLEMENTARY</v>
      </c>
    </row>
    <row r="1680" ht="22.5" customHeight="1">
      <c r="A1680" s="49"/>
      <c r="C1680" s="384">
        <v>45744.0</v>
      </c>
      <c r="D1680" s="65">
        <v>4994.0</v>
      </c>
      <c r="E1680" s="445" t="s">
        <v>256</v>
      </c>
      <c r="F1680" s="386">
        <v>1.0</v>
      </c>
      <c r="G1680" s="74">
        <v>130000.0</v>
      </c>
      <c r="H1680" s="74">
        <v>0.0</v>
      </c>
      <c r="I1680" s="74">
        <f t="shared" si="1"/>
        <v>130000</v>
      </c>
      <c r="J1680" s="74">
        <f>IF(E1680="SERVICE",I1680-(I1680*50%),Vlookup(E1680,DATABASE!C:Q,10,false)*F1680)</f>
        <v>10000</v>
      </c>
      <c r="K1680" s="74">
        <f>VLOOKUP(E1680,DATABASE!C:Q,7,false)</f>
        <v>0</v>
      </c>
      <c r="L1680" s="74">
        <v>0.0</v>
      </c>
      <c r="M1680" s="74">
        <f t="shared" si="2"/>
        <v>0</v>
      </c>
      <c r="N1680" s="74">
        <f t="shared" si="3"/>
        <v>120000</v>
      </c>
      <c r="O1680" s="65" t="str">
        <f>VLOOKUP(E1680,DATABASE!C:Q,8,false)</f>
        <v>IBU</v>
      </c>
      <c r="P1680" s="65">
        <f>VLOOKUP(E1680,DATABASE!C:Q,9,False)</f>
        <v>0</v>
      </c>
      <c r="Q1680" s="93" t="str">
        <f>VLOOKUP(E1680,DATABASE!C:Q,4,false)</f>
        <v>SPOORING</v>
      </c>
      <c r="R1680" s="93" t="str">
        <f>VLOOKUP(E1680,DATABASE!C:Q,11,false)</f>
        <v>SERVICE</v>
      </c>
    </row>
    <row r="1681" ht="22.5" customHeight="1">
      <c r="A1681" s="49"/>
      <c r="C1681" s="384">
        <v>45744.0</v>
      </c>
      <c r="D1681" s="65">
        <v>4994.0</v>
      </c>
      <c r="E1681" s="445" t="s">
        <v>301</v>
      </c>
      <c r="F1681" s="386">
        <v>1.0</v>
      </c>
      <c r="G1681" s="74">
        <v>250000.0</v>
      </c>
      <c r="H1681" s="74">
        <v>0.0</v>
      </c>
      <c r="I1681" s="74">
        <f t="shared" si="1"/>
        <v>250000</v>
      </c>
      <c r="J1681" s="74">
        <f>IF(E1681="SERVICE",I1681-(I1681*50%),Vlookup(E1681,DATABASE!C:Q,10,false)*F1681)</f>
        <v>75000</v>
      </c>
      <c r="K1681" s="74">
        <f>VLOOKUP(E1681,DATABASE!C:Q,7,false)</f>
        <v>75000</v>
      </c>
      <c r="L1681" s="74">
        <v>75000.0</v>
      </c>
      <c r="M1681" s="74">
        <f t="shared" si="2"/>
        <v>75000</v>
      </c>
      <c r="N1681" s="74">
        <f t="shared" si="3"/>
        <v>100000</v>
      </c>
      <c r="O1681" s="65" t="str">
        <f>VLOOKUP(E1681,DATABASE!C:Q,8,false)</f>
        <v>BIAN</v>
      </c>
      <c r="P1681" s="65">
        <f>VLOOKUP(E1681,DATABASE!C:Q,9,False)</f>
        <v>0</v>
      </c>
      <c r="Q1681" s="93" t="str">
        <f>VLOOKUP(E1681,DATABASE!C:Q,4,false)</f>
        <v>Baut Camber</v>
      </c>
      <c r="R1681" s="93" t="str">
        <f>VLOOKUP(E1681,DATABASE!C:Q,11,false)</f>
        <v>COMPLEMENTARY</v>
      </c>
    </row>
    <row r="1682" ht="22.5" customHeight="1">
      <c r="A1682" s="49"/>
      <c r="C1682" s="384">
        <v>45745.0</v>
      </c>
      <c r="D1682" s="65">
        <v>4995.0</v>
      </c>
      <c r="E1682" s="445" t="s">
        <v>265</v>
      </c>
      <c r="F1682" s="386">
        <v>2.0</v>
      </c>
      <c r="G1682" s="74">
        <v>670000.0</v>
      </c>
      <c r="H1682" s="74">
        <v>0.0</v>
      </c>
      <c r="I1682" s="74">
        <f t="shared" si="1"/>
        <v>1340000</v>
      </c>
      <c r="J1682" s="74">
        <f>IF(E1682="SERVICE",I1682-(I1682*50%),Vlookup(E1682,DATABASE!C:Q,10,false)*F1682)</f>
        <v>0</v>
      </c>
      <c r="K1682" s="74">
        <v>590000.0</v>
      </c>
      <c r="L1682" s="74">
        <v>590000.0</v>
      </c>
      <c r="M1682" s="74">
        <f t="shared" si="2"/>
        <v>590000</v>
      </c>
      <c r="N1682" s="74">
        <f t="shared" si="3"/>
        <v>160000</v>
      </c>
      <c r="O1682" s="65" t="str">
        <f>VLOOKUP(E1682,DATABASE!C:Q,8,false)</f>
        <v>IBU</v>
      </c>
      <c r="P1682" s="65">
        <f>VLOOKUP(E1682,DATABASE!C:Q,9,False)</f>
        <v>1</v>
      </c>
      <c r="Q1682" s="93" t="str">
        <f>VLOOKUP(E1682,DATABASE!C:Q,4,false)</f>
        <v>Dunlop</v>
      </c>
      <c r="R1682" s="93" t="str">
        <f>VLOOKUP(E1682,DATABASE!C:Q,11,false)</f>
        <v>Tire</v>
      </c>
    </row>
    <row r="1683" ht="22.5" customHeight="1">
      <c r="A1683" s="49"/>
      <c r="C1683" s="384">
        <v>45745.0</v>
      </c>
      <c r="D1683" s="65">
        <v>4996.0</v>
      </c>
      <c r="E1683" s="445" t="s">
        <v>256</v>
      </c>
      <c r="F1683" s="386">
        <v>1.0</v>
      </c>
      <c r="G1683" s="74">
        <v>130000.0</v>
      </c>
      <c r="H1683" s="74">
        <v>0.0</v>
      </c>
      <c r="I1683" s="74">
        <f t="shared" si="1"/>
        <v>130000</v>
      </c>
      <c r="J1683" s="74">
        <f>IF(E1683="SERVICE",I1683-(I1683*50%),Vlookup(E1683,DATABASE!C:Q,10,false)*F1683)</f>
        <v>10000</v>
      </c>
      <c r="K1683" s="74">
        <f>VLOOKUP(E1683,DATABASE!C:Q,7,false)</f>
        <v>0</v>
      </c>
      <c r="L1683" s="74">
        <v>0.0</v>
      </c>
      <c r="M1683" s="74">
        <f t="shared" si="2"/>
        <v>0</v>
      </c>
      <c r="N1683" s="74">
        <f t="shared" si="3"/>
        <v>120000</v>
      </c>
      <c r="O1683" s="65" t="str">
        <f>VLOOKUP(E1683,DATABASE!C:Q,8,false)</f>
        <v>IBU</v>
      </c>
      <c r="P1683" s="65">
        <f>VLOOKUP(E1683,DATABASE!C:Q,9,False)</f>
        <v>0</v>
      </c>
      <c r="Q1683" s="93" t="str">
        <f>VLOOKUP(E1683,DATABASE!C:Q,4,false)</f>
        <v>SPOORING</v>
      </c>
      <c r="R1683" s="93" t="str">
        <f>VLOOKUP(E1683,DATABASE!C:Q,11,false)</f>
        <v>SERVICE</v>
      </c>
    </row>
    <row r="1684" ht="22.5" customHeight="1">
      <c r="A1684" s="49"/>
      <c r="C1684" s="384">
        <v>45745.0</v>
      </c>
      <c r="D1684" s="65">
        <v>4996.0</v>
      </c>
      <c r="E1684" s="445" t="s">
        <v>301</v>
      </c>
      <c r="F1684" s="386">
        <v>1.0</v>
      </c>
      <c r="G1684" s="74">
        <v>250000.0</v>
      </c>
      <c r="H1684" s="74">
        <v>0.0</v>
      </c>
      <c r="I1684" s="74">
        <f t="shared" si="1"/>
        <v>250000</v>
      </c>
      <c r="J1684" s="74">
        <f>IF(E1684="SERVICE",I1684-(I1684*50%),Vlookup(E1684,DATABASE!C:Q,10,false)*F1684)</f>
        <v>75000</v>
      </c>
      <c r="K1684" s="74">
        <f>VLOOKUP(E1684,DATABASE!C:Q,7,false)</f>
        <v>75000</v>
      </c>
      <c r="L1684" s="74">
        <v>75000.0</v>
      </c>
      <c r="M1684" s="74">
        <f t="shared" si="2"/>
        <v>75000</v>
      </c>
      <c r="N1684" s="74">
        <f t="shared" si="3"/>
        <v>100000</v>
      </c>
      <c r="O1684" s="65" t="str">
        <f>VLOOKUP(E1684,DATABASE!C:Q,8,false)</f>
        <v>BIAN</v>
      </c>
      <c r="P1684" s="65">
        <f>VLOOKUP(E1684,DATABASE!C:Q,9,False)</f>
        <v>0</v>
      </c>
      <c r="Q1684" s="93" t="str">
        <f>VLOOKUP(E1684,DATABASE!C:Q,4,false)</f>
        <v>Baut Camber</v>
      </c>
      <c r="R1684" s="93" t="str">
        <f>VLOOKUP(E1684,DATABASE!C:Q,11,false)</f>
        <v>COMPLEMENTARY</v>
      </c>
    </row>
    <row r="1685" ht="22.5" customHeight="1">
      <c r="A1685" s="49"/>
      <c r="C1685" s="384">
        <v>45745.0</v>
      </c>
      <c r="D1685" s="65">
        <v>4997.0</v>
      </c>
      <c r="E1685" s="445" t="s">
        <v>1970</v>
      </c>
      <c r="F1685" s="386">
        <v>2.0</v>
      </c>
      <c r="G1685" s="74">
        <v>850000.0</v>
      </c>
      <c r="H1685" s="74">
        <v>0.0</v>
      </c>
      <c r="I1685" s="74">
        <f t="shared" si="1"/>
        <v>1700000</v>
      </c>
      <c r="J1685" s="74">
        <f>IF(E1685="SERVICE",I1685-(I1685*50%),Vlookup(E1685,DATABASE!C:Q,10,false)*F1685)</f>
        <v>0</v>
      </c>
      <c r="K1685" s="74">
        <f>VLOOKUP(E1685,DATABASE!C:Q,7,false)</f>
        <v>813300</v>
      </c>
      <c r="L1685" s="74">
        <v>750000.0</v>
      </c>
      <c r="M1685" s="74">
        <f t="shared" si="2"/>
        <v>750000</v>
      </c>
      <c r="N1685" s="74">
        <f t="shared" si="3"/>
        <v>200000</v>
      </c>
      <c r="O1685" s="65" t="str">
        <f>VLOOKUP(E1685,DATABASE!C:Q,8,false)</f>
        <v>BIAN</v>
      </c>
      <c r="P1685" s="65">
        <f>VLOOKUP(E1685,DATABASE!C:Q,9,False)</f>
        <v>1</v>
      </c>
      <c r="Q1685" s="93" t="str">
        <f>VLOOKUP(E1685,DATABASE!C:Q,4,false)</f>
        <v>GT</v>
      </c>
      <c r="R1685" s="93" t="str">
        <f>VLOOKUP(E1685,DATABASE!C:Q,11,false)</f>
        <v>Tire</v>
      </c>
    </row>
    <row r="1686" ht="22.5" customHeight="1">
      <c r="A1686" s="49"/>
      <c r="C1686" s="384">
        <v>45745.0</v>
      </c>
      <c r="D1686" s="65">
        <v>4998.0</v>
      </c>
      <c r="E1686" s="445" t="s">
        <v>1424</v>
      </c>
      <c r="F1686" s="386">
        <v>1.0</v>
      </c>
      <c r="G1686" s="74">
        <v>780000.0</v>
      </c>
      <c r="H1686" s="74">
        <v>0.0</v>
      </c>
      <c r="I1686" s="74">
        <f t="shared" si="1"/>
        <v>780000</v>
      </c>
      <c r="J1686" s="74">
        <f>IF(E1686="SERVICE",I1686-(I1686*50%),Vlookup(E1686,DATABASE!C:Q,10,false)*F1686)</f>
        <v>0</v>
      </c>
      <c r="K1686" s="74">
        <f>VLOOKUP(E1686,DATABASE!C:Q,7,false)</f>
        <v>671600</v>
      </c>
      <c r="L1686" s="74">
        <v>671600.0</v>
      </c>
      <c r="M1686" s="74">
        <f t="shared" si="2"/>
        <v>675000</v>
      </c>
      <c r="N1686" s="74">
        <f t="shared" si="3"/>
        <v>105000</v>
      </c>
      <c r="O1686" s="65" t="str">
        <f>VLOOKUP(E1686,DATABASE!C:Q,8,false)</f>
        <v>BIAN</v>
      </c>
      <c r="P1686" s="65">
        <f>VLOOKUP(E1686,DATABASE!C:Q,9,False)</f>
        <v>1</v>
      </c>
      <c r="Q1686" s="93" t="str">
        <f>VLOOKUP(E1686,DATABASE!C:Q,4,false)</f>
        <v>GT</v>
      </c>
      <c r="R1686" s="93" t="str">
        <f>VLOOKUP(E1686,DATABASE!C:Q,11,false)</f>
        <v>Tire</v>
      </c>
    </row>
    <row r="1687" ht="22.5" customHeight="1">
      <c r="A1687" s="49"/>
      <c r="C1687" s="384">
        <v>45745.0</v>
      </c>
      <c r="D1687" s="65">
        <v>4999.0</v>
      </c>
      <c r="E1687" s="445" t="s">
        <v>897</v>
      </c>
      <c r="F1687" s="386">
        <v>2.0</v>
      </c>
      <c r="G1687" s="74">
        <v>1600000.0</v>
      </c>
      <c r="H1687" s="74">
        <v>0.0</v>
      </c>
      <c r="I1687" s="74">
        <f t="shared" si="1"/>
        <v>3200000</v>
      </c>
      <c r="J1687" s="74">
        <f>IF(E1687="SERVICE",I1687-(I1687*50%),Vlookup(E1687,DATABASE!C:Q,10,false)*F1687)</f>
        <v>0</v>
      </c>
      <c r="K1687" s="74">
        <f>VLOOKUP(E1687,DATABASE!C:Q,7,false)</f>
        <v>1560000</v>
      </c>
      <c r="L1687" s="74">
        <v>1500000.0</v>
      </c>
      <c r="M1687" s="74">
        <f t="shared" si="2"/>
        <v>1500000</v>
      </c>
      <c r="N1687" s="74">
        <f t="shared" si="3"/>
        <v>200000</v>
      </c>
      <c r="O1687" s="65" t="str">
        <f>VLOOKUP(E1687,DATABASE!C:Q,8,false)</f>
        <v>BIAN</v>
      </c>
      <c r="P1687" s="65">
        <f>VLOOKUP(E1687,DATABASE!C:Q,9,False)</f>
        <v>1</v>
      </c>
      <c r="Q1687" s="93" t="str">
        <f>VLOOKUP(E1687,DATABASE!C:Q,4,false)</f>
        <v>GT</v>
      </c>
      <c r="R1687" s="93" t="str">
        <f>VLOOKUP(E1687,DATABASE!C:Q,11,false)</f>
        <v>Tire</v>
      </c>
    </row>
    <row r="1688" ht="22.5" customHeight="1">
      <c r="A1688" s="49"/>
      <c r="C1688" s="384">
        <v>45745.0</v>
      </c>
      <c r="D1688" s="65">
        <v>4999.0</v>
      </c>
      <c r="E1688" s="445" t="s">
        <v>744</v>
      </c>
      <c r="F1688" s="386">
        <v>1.0</v>
      </c>
      <c r="G1688" s="74">
        <v>225000.0</v>
      </c>
      <c r="H1688" s="74">
        <v>0.0</v>
      </c>
      <c r="I1688" s="74">
        <f t="shared" si="1"/>
        <v>225000</v>
      </c>
      <c r="J1688" s="74">
        <f>IF(E1688="SERVICE",I1688-(I1688*50%),Vlookup(E1688,DATABASE!C:Q,10,false)*F1688)</f>
        <v>0</v>
      </c>
      <c r="K1688" s="74">
        <f>VLOOKUP(E1688,DATABASE!C:Q,7,false)</f>
        <v>182200</v>
      </c>
      <c r="L1688" s="74">
        <v>199920.0</v>
      </c>
      <c r="M1688" s="74">
        <f t="shared" si="2"/>
        <v>200000</v>
      </c>
      <c r="N1688" s="74">
        <f t="shared" si="3"/>
        <v>25000</v>
      </c>
      <c r="O1688" s="65" t="str">
        <f>VLOOKUP(E1688,DATABASE!C:Q,8,false)</f>
        <v>BIAN</v>
      </c>
      <c r="P1688" s="65">
        <f>VLOOKUP(E1688,DATABASE!C:Q,9,False)</f>
        <v>1</v>
      </c>
      <c r="Q1688" s="93" t="str">
        <f>VLOOKUP(E1688,DATABASE!C:Q,4,false)</f>
        <v>BD</v>
      </c>
      <c r="R1688" s="93" t="str">
        <f>VLOOKUP(E1688,DATABASE!C:Q,11,false)</f>
        <v>Tire</v>
      </c>
    </row>
    <row r="1689" ht="22.5" customHeight="1">
      <c r="A1689" s="49"/>
      <c r="C1689" s="384">
        <v>45745.0</v>
      </c>
      <c r="D1689" s="65">
        <v>4999.0</v>
      </c>
      <c r="E1689" s="445" t="s">
        <v>821</v>
      </c>
      <c r="F1689" s="386">
        <v>1.0</v>
      </c>
      <c r="G1689" s="74">
        <v>75000.0</v>
      </c>
      <c r="H1689" s="74">
        <v>0.0</v>
      </c>
      <c r="I1689" s="74">
        <f t="shared" si="1"/>
        <v>75000</v>
      </c>
      <c r="J1689" s="74">
        <f>IF(E1689="SERVICE",I1689-(I1689*50%),Vlookup(E1689,DATABASE!C:Q,10,false)*F1689)</f>
        <v>0</v>
      </c>
      <c r="K1689" s="74">
        <f>VLOOKUP(E1689,DATABASE!C:Q,7,false)</f>
        <v>43500</v>
      </c>
      <c r="L1689" s="74">
        <v>43520.0</v>
      </c>
      <c r="M1689" s="74">
        <f t="shared" si="2"/>
        <v>45000</v>
      </c>
      <c r="N1689" s="74">
        <f t="shared" si="3"/>
        <v>30000</v>
      </c>
      <c r="O1689" s="65" t="str">
        <f>VLOOKUP(E1689,DATABASE!C:Q,8,false)</f>
        <v>BIAN</v>
      </c>
      <c r="P1689" s="65">
        <f>VLOOKUP(E1689,DATABASE!C:Q,9,False)</f>
        <v>1</v>
      </c>
      <c r="Q1689" s="93" t="str">
        <f>VLOOKUP(E1689,DATABASE!C:Q,4,false)</f>
        <v>Flap</v>
      </c>
      <c r="R1689" s="93" t="str">
        <f>VLOOKUP(E1689,DATABASE!C:Q,11,false)</f>
        <v>Tire</v>
      </c>
    </row>
    <row r="1690" ht="22.5" customHeight="1">
      <c r="A1690" s="49"/>
      <c r="C1690" s="384">
        <v>45745.0</v>
      </c>
      <c r="D1690" s="65">
        <v>5001.0</v>
      </c>
      <c r="E1690" s="445" t="s">
        <v>932</v>
      </c>
      <c r="F1690" s="386">
        <v>1.0</v>
      </c>
      <c r="G1690" s="74">
        <v>670000.0</v>
      </c>
      <c r="H1690" s="74">
        <v>0.0</v>
      </c>
      <c r="I1690" s="74">
        <f t="shared" si="1"/>
        <v>670000</v>
      </c>
      <c r="J1690" s="74">
        <f>IF(E1690="SERVICE",I1690-(I1690*50%),Vlookup(E1690,DATABASE!C:Q,10,false)*F1690)</f>
        <v>0</v>
      </c>
      <c r="K1690" s="74">
        <v>575000.0</v>
      </c>
      <c r="L1690" s="74">
        <v>575000.0</v>
      </c>
      <c r="M1690" s="74">
        <f t="shared" si="2"/>
        <v>575000</v>
      </c>
      <c r="N1690" s="74">
        <f t="shared" si="3"/>
        <v>95000</v>
      </c>
      <c r="O1690" s="65" t="str">
        <f>VLOOKUP(E1690,DATABASE!C:Q,8,false)</f>
        <v>IBU</v>
      </c>
      <c r="P1690" s="65">
        <f>VLOOKUP(E1690,DATABASE!C:Q,9,False)</f>
        <v>1</v>
      </c>
      <c r="Q1690" s="93" t="str">
        <f>VLOOKUP(E1690,DATABASE!C:Q,4,false)</f>
        <v>Dunlop</v>
      </c>
      <c r="R1690" s="93" t="str">
        <f>VLOOKUP(E1690,DATABASE!C:Q,11,false)</f>
        <v>Tire</v>
      </c>
    </row>
    <row r="1691" ht="22.5" customHeight="1">
      <c r="A1691" s="49"/>
      <c r="C1691" s="384">
        <v>45745.0</v>
      </c>
      <c r="D1691" s="65">
        <v>5002.0</v>
      </c>
      <c r="E1691" s="445" t="s">
        <v>250</v>
      </c>
      <c r="F1691" s="386">
        <v>1.0</v>
      </c>
      <c r="G1691" s="74">
        <v>135000.0</v>
      </c>
      <c r="H1691" s="74">
        <v>0.0</v>
      </c>
      <c r="I1691" s="74">
        <f t="shared" si="1"/>
        <v>135000</v>
      </c>
      <c r="J1691" s="74">
        <f>IF(E1691="SERVICE",I1691-(I1691*50%),Vlookup(E1691,DATABASE!C:Q,10,false)*F1691)</f>
        <v>0</v>
      </c>
      <c r="K1691" s="74">
        <f>VLOOKUP(E1691,DATABASE!C:Q,7,false)</f>
        <v>102000</v>
      </c>
      <c r="L1691" s="74">
        <v>102000.0</v>
      </c>
      <c r="M1691" s="74">
        <f t="shared" si="2"/>
        <v>105000</v>
      </c>
      <c r="N1691" s="74">
        <f t="shared" si="3"/>
        <v>30000</v>
      </c>
      <c r="O1691" s="65" t="str">
        <f>VLOOKUP(E1691,DATABASE!C:Q,8,false)</f>
        <v>BIAN</v>
      </c>
      <c r="P1691" s="65">
        <f>VLOOKUP(E1691,DATABASE!C:Q,9,False)</f>
        <v>1</v>
      </c>
      <c r="Q1691" s="93" t="str">
        <f>VLOOKUP(E1691,DATABASE!C:Q,4,false)</f>
        <v>BD</v>
      </c>
      <c r="R1691" s="93" t="str">
        <f>VLOOKUP(E1691,DATABASE!C:Q,11,false)</f>
        <v>Tire</v>
      </c>
    </row>
    <row r="1692" ht="22.5" customHeight="1">
      <c r="A1692" s="49"/>
      <c r="C1692" s="384">
        <v>45745.0</v>
      </c>
      <c r="D1692" s="65">
        <v>5003.0</v>
      </c>
      <c r="E1692" s="445" t="s">
        <v>256</v>
      </c>
      <c r="F1692" s="386">
        <v>1.0</v>
      </c>
      <c r="G1692" s="74">
        <v>130000.0</v>
      </c>
      <c r="H1692" s="74">
        <v>0.0</v>
      </c>
      <c r="I1692" s="74">
        <f t="shared" si="1"/>
        <v>130000</v>
      </c>
      <c r="J1692" s="74">
        <f>IF(E1692="SERVICE",I1692-(I1692*50%),Vlookup(E1692,DATABASE!C:Q,10,false)*F1692)</f>
        <v>10000</v>
      </c>
      <c r="K1692" s="74">
        <f>VLOOKUP(E1692,DATABASE!C:Q,7,false)</f>
        <v>0</v>
      </c>
      <c r="L1692" s="74">
        <v>0.0</v>
      </c>
      <c r="M1692" s="74">
        <f t="shared" si="2"/>
        <v>0</v>
      </c>
      <c r="N1692" s="74">
        <f t="shared" si="3"/>
        <v>120000</v>
      </c>
      <c r="O1692" s="65" t="str">
        <f>VLOOKUP(E1692,DATABASE!C:Q,8,false)</f>
        <v>IBU</v>
      </c>
      <c r="P1692" s="65">
        <f>VLOOKUP(E1692,DATABASE!C:Q,9,False)</f>
        <v>0</v>
      </c>
      <c r="Q1692" s="93" t="str">
        <f>VLOOKUP(E1692,DATABASE!C:Q,4,false)</f>
        <v>SPOORING</v>
      </c>
      <c r="R1692" s="93" t="str">
        <f>VLOOKUP(E1692,DATABASE!C:Q,11,false)</f>
        <v>SERVICE</v>
      </c>
    </row>
    <row r="1693" ht="22.5" customHeight="1">
      <c r="A1693" s="49"/>
      <c r="C1693" s="384">
        <v>45745.0</v>
      </c>
      <c r="D1693" s="65">
        <v>5004.0</v>
      </c>
      <c r="E1693" s="445" t="s">
        <v>569</v>
      </c>
      <c r="F1693" s="386">
        <v>1.0</v>
      </c>
      <c r="G1693" s="74">
        <v>80000.0</v>
      </c>
      <c r="H1693" s="74">
        <v>0.0</v>
      </c>
      <c r="I1693" s="74">
        <f t="shared" si="1"/>
        <v>80000</v>
      </c>
      <c r="J1693" s="74">
        <f>IF(E1693="SERVICE",I1693-(I1693*50%),Vlookup(E1693,DATABASE!C:Q,10,false)*F1693)</f>
        <v>0</v>
      </c>
      <c r="K1693" s="74">
        <f>VLOOKUP(E1693,DATABASE!C:Q,7,false)</f>
        <v>45439.582</v>
      </c>
      <c r="L1693" s="74">
        <v>45309.6</v>
      </c>
      <c r="M1693" s="74">
        <f t="shared" si="2"/>
        <v>50000</v>
      </c>
      <c r="N1693" s="74">
        <f t="shared" si="3"/>
        <v>30000</v>
      </c>
      <c r="O1693" s="65" t="str">
        <f>VLOOKUP(E1693,DATABASE!C:Q,8,false)</f>
        <v>BIAN</v>
      </c>
      <c r="P1693" s="65">
        <f>VLOOKUP(E1693,DATABASE!C:Q,9,False)</f>
        <v>1</v>
      </c>
      <c r="Q1693" s="93" t="str">
        <f>VLOOKUP(E1693,DATABASE!C:Q,4,false)</f>
        <v>BD</v>
      </c>
      <c r="R1693" s="93" t="str">
        <f>VLOOKUP(E1693,DATABASE!C:Q,11,false)</f>
        <v>Tire</v>
      </c>
    </row>
    <row r="1694" ht="22.5" customHeight="1">
      <c r="A1694" s="49"/>
      <c r="C1694" s="384">
        <v>45745.0</v>
      </c>
      <c r="D1694" s="65">
        <v>5005.0</v>
      </c>
      <c r="E1694" s="445" t="s">
        <v>600</v>
      </c>
      <c r="F1694" s="386">
        <v>1.0</v>
      </c>
      <c r="G1694" s="74">
        <v>675000.0</v>
      </c>
      <c r="H1694" s="74">
        <v>0.0</v>
      </c>
      <c r="I1694" s="74">
        <f t="shared" si="1"/>
        <v>675000</v>
      </c>
      <c r="J1694" s="74">
        <f>IF(E1694="SERVICE",I1694-(I1694*50%),Vlookup(E1694,DATABASE!C:Q,10,false)*F1694)</f>
        <v>0</v>
      </c>
      <c r="K1694" s="74">
        <f>VLOOKUP(E1694,DATABASE!C:Q,7,false)</f>
        <v>611109.16</v>
      </c>
      <c r="L1694" s="74">
        <v>572762.4</v>
      </c>
      <c r="M1694" s="74">
        <f t="shared" si="2"/>
        <v>575000</v>
      </c>
      <c r="N1694" s="74">
        <f t="shared" si="3"/>
        <v>100000</v>
      </c>
      <c r="O1694" s="65" t="str">
        <f>VLOOKUP(E1694,DATABASE!C:Q,8,false)</f>
        <v>IBU</v>
      </c>
      <c r="P1694" s="65">
        <f>VLOOKUP(E1694,DATABASE!C:Q,9,False)</f>
        <v>1</v>
      </c>
      <c r="Q1694" s="93" t="str">
        <f>VLOOKUP(E1694,DATABASE!C:Q,4,false)</f>
        <v>Bridgestone</v>
      </c>
      <c r="R1694" s="93" t="str">
        <f>VLOOKUP(E1694,DATABASE!C:Q,11,false)</f>
        <v>Tire</v>
      </c>
    </row>
    <row r="1695" ht="22.5" customHeight="1">
      <c r="A1695" s="49"/>
      <c r="C1695" s="384">
        <v>45745.0</v>
      </c>
      <c r="D1695" s="65">
        <v>5006.0</v>
      </c>
      <c r="E1695" s="445" t="s">
        <v>932</v>
      </c>
      <c r="F1695" s="386">
        <v>4.0</v>
      </c>
      <c r="G1695" s="74">
        <v>670000.0</v>
      </c>
      <c r="H1695" s="74">
        <v>0.0</v>
      </c>
      <c r="I1695" s="74">
        <f t="shared" si="1"/>
        <v>2680000</v>
      </c>
      <c r="J1695" s="74">
        <f>IF(E1695="SERVICE",I1695-(I1695*50%),Vlookup(E1695,DATABASE!C:Q,10,false)*F1695)</f>
        <v>0</v>
      </c>
      <c r="K1695" s="74">
        <v>575000.0</v>
      </c>
      <c r="L1695" s="74">
        <v>575000.0</v>
      </c>
      <c r="M1695" s="74">
        <f t="shared" si="2"/>
        <v>575000</v>
      </c>
      <c r="N1695" s="74">
        <f t="shared" si="3"/>
        <v>380000</v>
      </c>
      <c r="O1695" s="65" t="str">
        <f>VLOOKUP(E1695,DATABASE!C:Q,8,false)</f>
        <v>IBU</v>
      </c>
      <c r="P1695" s="65">
        <f>VLOOKUP(E1695,DATABASE!C:Q,9,False)</f>
        <v>1</v>
      </c>
      <c r="Q1695" s="93" t="str">
        <f>VLOOKUP(E1695,DATABASE!C:Q,4,false)</f>
        <v>Dunlop</v>
      </c>
      <c r="R1695" s="93" t="str">
        <f>VLOOKUP(E1695,DATABASE!C:Q,11,false)</f>
        <v>Tire</v>
      </c>
    </row>
    <row r="1696" ht="22.5" customHeight="1">
      <c r="A1696" s="49"/>
      <c r="C1696" s="384">
        <v>45745.0</v>
      </c>
      <c r="D1696" s="65">
        <v>5007.0</v>
      </c>
      <c r="E1696" s="445" t="s">
        <v>591</v>
      </c>
      <c r="F1696" s="386">
        <v>1.0</v>
      </c>
      <c r="G1696" s="74">
        <v>680000.0</v>
      </c>
      <c r="H1696" s="74">
        <v>0.0</v>
      </c>
      <c r="I1696" s="74">
        <f t="shared" si="1"/>
        <v>680000</v>
      </c>
      <c r="J1696" s="74">
        <f>IF(E1696="SERVICE",I1696-(I1696*50%),Vlookup(E1696,DATABASE!C:Q,10,false)*F1696)</f>
        <v>0</v>
      </c>
      <c r="K1696" s="74">
        <f>VLOOKUP(E1696,DATABASE!C:Q,7,false)</f>
        <v>633035.16</v>
      </c>
      <c r="L1696" s="74">
        <v>593488.4</v>
      </c>
      <c r="M1696" s="74">
        <f t="shared" si="2"/>
        <v>595000</v>
      </c>
      <c r="N1696" s="74">
        <f t="shared" si="3"/>
        <v>85000</v>
      </c>
      <c r="O1696" s="65" t="str">
        <f>VLOOKUP(E1696,DATABASE!C:Q,8,false)</f>
        <v>IBU</v>
      </c>
      <c r="P1696" s="65">
        <f>VLOOKUP(E1696,DATABASE!C:Q,9,False)</f>
        <v>1</v>
      </c>
      <c r="Q1696" s="93" t="str">
        <f>VLOOKUP(E1696,DATABASE!C:Q,4,false)</f>
        <v>Bridgestone</v>
      </c>
      <c r="R1696" s="93" t="str">
        <f>VLOOKUP(E1696,DATABASE!C:Q,11,false)</f>
        <v>Tire</v>
      </c>
    </row>
    <row r="1697" ht="22.5" customHeight="1">
      <c r="A1697" s="49"/>
      <c r="C1697" s="384">
        <v>45745.0</v>
      </c>
      <c r="D1697" s="65">
        <v>5008.0</v>
      </c>
      <c r="E1697" s="445" t="s">
        <v>268</v>
      </c>
      <c r="F1697" s="386">
        <v>4.0</v>
      </c>
      <c r="G1697" s="74">
        <v>700000.0</v>
      </c>
      <c r="H1697" s="74">
        <v>0.0</v>
      </c>
      <c r="I1697" s="74">
        <f t="shared" si="1"/>
        <v>2800000</v>
      </c>
      <c r="J1697" s="74">
        <f>IF(E1697="SERVICE",I1697-(I1697*50%),Vlookup(E1697,DATABASE!C:Q,10,false)*F1697)</f>
        <v>0</v>
      </c>
      <c r="K1697" s="74">
        <v>613000.0</v>
      </c>
      <c r="L1697" s="74">
        <v>613000.0</v>
      </c>
      <c r="M1697" s="74">
        <f t="shared" si="2"/>
        <v>615000</v>
      </c>
      <c r="N1697" s="74">
        <f t="shared" si="3"/>
        <v>340000</v>
      </c>
      <c r="O1697" s="65" t="str">
        <f>VLOOKUP(E1697,DATABASE!C:Q,8,false)</f>
        <v>IBU</v>
      </c>
      <c r="P1697" s="65">
        <f>VLOOKUP(E1697,DATABASE!C:Q,9,False)</f>
        <v>1</v>
      </c>
      <c r="Q1697" s="93" t="str">
        <f>VLOOKUP(E1697,DATABASE!C:Q,4,false)</f>
        <v>Dunlop</v>
      </c>
      <c r="R1697" s="93" t="str">
        <f>VLOOKUP(E1697,DATABASE!C:Q,11,false)</f>
        <v>Tire</v>
      </c>
    </row>
    <row r="1698" ht="22.5" customHeight="1">
      <c r="A1698" s="49"/>
      <c r="C1698" s="384">
        <v>45745.0</v>
      </c>
      <c r="D1698" s="65">
        <v>5009.0</v>
      </c>
      <c r="E1698" s="445" t="s">
        <v>569</v>
      </c>
      <c r="F1698" s="386">
        <v>1.0</v>
      </c>
      <c r="G1698" s="74">
        <v>80000.0</v>
      </c>
      <c r="H1698" s="74">
        <v>0.0</v>
      </c>
      <c r="I1698" s="74">
        <f t="shared" si="1"/>
        <v>80000</v>
      </c>
      <c r="J1698" s="74">
        <f>IF(E1698="SERVICE",I1698-(I1698*50%),Vlookup(E1698,DATABASE!C:Q,10,false)*F1698)</f>
        <v>0</v>
      </c>
      <c r="K1698" s="74">
        <f>VLOOKUP(E1698,DATABASE!C:Q,7,false)</f>
        <v>45439.582</v>
      </c>
      <c r="L1698" s="74">
        <v>45309.6</v>
      </c>
      <c r="M1698" s="74">
        <f t="shared" si="2"/>
        <v>50000</v>
      </c>
      <c r="N1698" s="74">
        <f t="shared" si="3"/>
        <v>30000</v>
      </c>
      <c r="O1698" s="65" t="str">
        <f>VLOOKUP(E1698,DATABASE!C:Q,8,false)</f>
        <v>BIAN</v>
      </c>
      <c r="P1698" s="65">
        <f>VLOOKUP(E1698,DATABASE!C:Q,9,False)</f>
        <v>1</v>
      </c>
      <c r="Q1698" s="93" t="str">
        <f>VLOOKUP(E1698,DATABASE!C:Q,4,false)</f>
        <v>BD</v>
      </c>
      <c r="R1698" s="93" t="str">
        <f>VLOOKUP(E1698,DATABASE!C:Q,11,false)</f>
        <v>Tire</v>
      </c>
    </row>
    <row r="1699" ht="22.5" customHeight="1">
      <c r="A1699" s="49"/>
      <c r="C1699" s="384">
        <v>45745.0</v>
      </c>
      <c r="D1699" s="65">
        <v>5010.0</v>
      </c>
      <c r="E1699" s="445" t="s">
        <v>1427</v>
      </c>
      <c r="F1699" s="386">
        <v>2.0</v>
      </c>
      <c r="G1699" s="74">
        <v>800000.0</v>
      </c>
      <c r="H1699" s="74">
        <v>0.0</v>
      </c>
      <c r="I1699" s="74">
        <f t="shared" si="1"/>
        <v>1600000</v>
      </c>
      <c r="J1699" s="74">
        <f>IF(E1699="SERVICE",I1699-(I1699*50%),Vlookup(E1699,DATABASE!C:Q,10,false)*F1699)</f>
        <v>0</v>
      </c>
      <c r="K1699" s="74">
        <f>VLOOKUP(E1699,DATABASE!C:Q,7,false)</f>
        <v>696500</v>
      </c>
      <c r="L1699" s="74">
        <v>689000.0</v>
      </c>
      <c r="M1699" s="74">
        <f t="shared" si="2"/>
        <v>690000</v>
      </c>
      <c r="N1699" s="74">
        <f t="shared" si="3"/>
        <v>220000</v>
      </c>
      <c r="O1699" s="65" t="str">
        <f>VLOOKUP(E1699,DATABASE!C:Q,8,false)</f>
        <v>IBU</v>
      </c>
      <c r="P1699" s="65">
        <f>VLOOKUP(E1699,DATABASE!C:Q,9,False)</f>
        <v>1</v>
      </c>
      <c r="Q1699" s="93" t="str">
        <f>VLOOKUP(E1699,DATABASE!C:Q,4,false)</f>
        <v>Dunlop</v>
      </c>
      <c r="R1699" s="93" t="str">
        <f>VLOOKUP(E1699,DATABASE!C:Q,11,false)</f>
        <v>Tire</v>
      </c>
    </row>
    <row r="1700" ht="22.5" customHeight="1">
      <c r="A1700" s="49"/>
      <c r="C1700" s="384">
        <v>45745.0</v>
      </c>
      <c r="D1700" s="65">
        <v>5011.0</v>
      </c>
      <c r="E1700" s="445" t="s">
        <v>1009</v>
      </c>
      <c r="F1700" s="386">
        <v>2.0</v>
      </c>
      <c r="G1700" s="74">
        <v>700000.0</v>
      </c>
      <c r="H1700" s="74">
        <v>0.0</v>
      </c>
      <c r="I1700" s="74">
        <f t="shared" si="1"/>
        <v>1400000</v>
      </c>
      <c r="J1700" s="74">
        <f>IF(E1700="SERVICE",I1700-(I1700*50%),Vlookup(E1700,DATABASE!C:Q,10,false)*F1700)</f>
        <v>0</v>
      </c>
      <c r="K1700" s="74">
        <f>VLOOKUP(E1700,DATABASE!C:Q,7,false)</f>
        <v>609800</v>
      </c>
      <c r="L1700" s="74">
        <v>592200.0</v>
      </c>
      <c r="M1700" s="74">
        <f t="shared" si="2"/>
        <v>595000</v>
      </c>
      <c r="N1700" s="74">
        <f t="shared" si="3"/>
        <v>210000</v>
      </c>
      <c r="O1700" s="65" t="str">
        <f>VLOOKUP(E1700,DATABASE!C:Q,8,false)</f>
        <v>BIAN</v>
      </c>
      <c r="P1700" s="65">
        <f>VLOOKUP(E1700,DATABASE!C:Q,9,False)</f>
        <v>1</v>
      </c>
      <c r="Q1700" s="93" t="str">
        <f>VLOOKUP(E1700,DATABASE!C:Q,4,false)</f>
        <v>GT</v>
      </c>
      <c r="R1700" s="93" t="str">
        <f>VLOOKUP(E1700,DATABASE!C:Q,11,false)</f>
        <v>Tire</v>
      </c>
    </row>
    <row r="1701" ht="22.5" customHeight="1">
      <c r="A1701" s="49"/>
      <c r="C1701" s="384">
        <v>45745.0</v>
      </c>
      <c r="D1701" s="65">
        <v>5012.0</v>
      </c>
      <c r="E1701" s="445" t="s">
        <v>256</v>
      </c>
      <c r="F1701" s="386">
        <v>1.0</v>
      </c>
      <c r="G1701" s="74">
        <v>130000.0</v>
      </c>
      <c r="H1701" s="74">
        <v>0.0</v>
      </c>
      <c r="I1701" s="74">
        <f t="shared" si="1"/>
        <v>130000</v>
      </c>
      <c r="J1701" s="74">
        <f>IF(E1701="SERVICE",I1701-(I1701*50%),Vlookup(E1701,DATABASE!C:Q,10,false)*F1701)</f>
        <v>10000</v>
      </c>
      <c r="K1701" s="74">
        <f>VLOOKUP(E1701,DATABASE!C:Q,7,false)</f>
        <v>0</v>
      </c>
      <c r="L1701" s="74">
        <v>0.0</v>
      </c>
      <c r="M1701" s="74">
        <f t="shared" si="2"/>
        <v>0</v>
      </c>
      <c r="N1701" s="74">
        <f t="shared" si="3"/>
        <v>120000</v>
      </c>
      <c r="O1701" s="65" t="str">
        <f>VLOOKUP(E1701,DATABASE!C:Q,8,false)</f>
        <v>IBU</v>
      </c>
      <c r="P1701" s="65">
        <f>VLOOKUP(E1701,DATABASE!C:Q,9,False)</f>
        <v>0</v>
      </c>
      <c r="Q1701" s="93" t="str">
        <f>VLOOKUP(E1701,DATABASE!C:Q,4,false)</f>
        <v>SPOORING</v>
      </c>
      <c r="R1701" s="93" t="str">
        <f>VLOOKUP(E1701,DATABASE!C:Q,11,false)</f>
        <v>SERVICE</v>
      </c>
    </row>
    <row r="1702" ht="22.5" customHeight="1">
      <c r="A1702" s="49"/>
      <c r="C1702" s="384">
        <v>45745.0</v>
      </c>
      <c r="D1702" s="65">
        <v>5012.0</v>
      </c>
      <c r="E1702" s="445" t="s">
        <v>301</v>
      </c>
      <c r="F1702" s="386">
        <v>1.0</v>
      </c>
      <c r="G1702" s="74">
        <v>250000.0</v>
      </c>
      <c r="H1702" s="74">
        <v>0.0</v>
      </c>
      <c r="I1702" s="74">
        <f t="shared" si="1"/>
        <v>250000</v>
      </c>
      <c r="J1702" s="74">
        <f>IF(E1702="SERVICE",I1702-(I1702*50%),Vlookup(E1702,DATABASE!C:Q,10,false)*F1702)</f>
        <v>75000</v>
      </c>
      <c r="K1702" s="74">
        <f>VLOOKUP(E1702,DATABASE!C:Q,7,false)</f>
        <v>75000</v>
      </c>
      <c r="L1702" s="74">
        <v>75000.0</v>
      </c>
      <c r="M1702" s="74">
        <f t="shared" si="2"/>
        <v>75000</v>
      </c>
      <c r="N1702" s="74">
        <f t="shared" si="3"/>
        <v>100000</v>
      </c>
      <c r="O1702" s="65" t="str">
        <f>VLOOKUP(E1702,DATABASE!C:Q,8,false)</f>
        <v>BIAN</v>
      </c>
      <c r="P1702" s="65">
        <f>VLOOKUP(E1702,DATABASE!C:Q,9,False)</f>
        <v>0</v>
      </c>
      <c r="Q1702" s="93" t="str">
        <f>VLOOKUP(E1702,DATABASE!C:Q,4,false)</f>
        <v>Baut Camber</v>
      </c>
      <c r="R1702" s="93" t="str">
        <f>VLOOKUP(E1702,DATABASE!C:Q,11,false)</f>
        <v>COMPLEMENTARY</v>
      </c>
    </row>
    <row r="1703" ht="22.5" customHeight="1">
      <c r="A1703" s="49"/>
      <c r="C1703" s="384">
        <v>45745.0</v>
      </c>
      <c r="D1703" s="65">
        <v>5013.0</v>
      </c>
      <c r="E1703" s="445" t="s">
        <v>271</v>
      </c>
      <c r="F1703" s="386">
        <v>2.0</v>
      </c>
      <c r="G1703" s="74">
        <v>630000.0</v>
      </c>
      <c r="H1703" s="74">
        <v>0.0</v>
      </c>
      <c r="I1703" s="74">
        <f t="shared" si="1"/>
        <v>1260000</v>
      </c>
      <c r="J1703" s="74">
        <f>IF(E1703="SERVICE",I1703-(I1703*50%),Vlookup(E1703,DATABASE!C:Q,10,false)*F1703)</f>
        <v>0</v>
      </c>
      <c r="K1703" s="74">
        <f>VLOOKUP(E1703,DATABASE!C:Q,7,false)</f>
        <v>570000</v>
      </c>
      <c r="L1703" s="74">
        <v>539000.0</v>
      </c>
      <c r="M1703" s="74">
        <f t="shared" si="2"/>
        <v>540000</v>
      </c>
      <c r="N1703" s="74">
        <f t="shared" si="3"/>
        <v>180000</v>
      </c>
      <c r="O1703" s="65" t="str">
        <f>VLOOKUP(E1703,DATABASE!C:Q,8,false)</f>
        <v>IBU</v>
      </c>
      <c r="P1703" s="65">
        <f>VLOOKUP(E1703,DATABASE!C:Q,9,False)</f>
        <v>1</v>
      </c>
      <c r="Q1703" s="93" t="str">
        <f>VLOOKUP(E1703,DATABASE!C:Q,4,false)</f>
        <v>Dunlop</v>
      </c>
      <c r="R1703" s="93" t="str">
        <f>VLOOKUP(E1703,DATABASE!C:Q,11,false)</f>
        <v>Tire</v>
      </c>
    </row>
    <row r="1704" ht="22.5" customHeight="1">
      <c r="A1704" s="49"/>
      <c r="C1704" s="384">
        <v>45745.0</v>
      </c>
      <c r="D1704" s="65">
        <v>5014.0</v>
      </c>
      <c r="E1704" s="445" t="s">
        <v>246</v>
      </c>
      <c r="F1704" s="386">
        <v>1.0</v>
      </c>
      <c r="G1704" s="74">
        <v>30000.0</v>
      </c>
      <c r="H1704" s="74">
        <v>0.0</v>
      </c>
      <c r="I1704" s="74">
        <f t="shared" si="1"/>
        <v>30000</v>
      </c>
      <c r="J1704" s="74">
        <f>IF(E1704="SERVICE",I1704-(I1704*50%),Vlookup(E1704,DATABASE!C:Q,10,false)*F1704)</f>
        <v>0</v>
      </c>
      <c r="K1704" s="74">
        <f>VLOOKUP(E1704,DATABASE!C:Q,7,false)</f>
        <v>0</v>
      </c>
      <c r="L1704" s="74">
        <v>0.0</v>
      </c>
      <c r="M1704" s="74">
        <f t="shared" si="2"/>
        <v>0</v>
      </c>
      <c r="N1704" s="74">
        <f t="shared" si="3"/>
        <v>30000</v>
      </c>
      <c r="O1704" s="65" t="str">
        <f>VLOOKUP(E1704,DATABASE!C:Q,8,false)</f>
        <v>IBU</v>
      </c>
      <c r="P1704" s="65">
        <f>VLOOKUP(E1704,DATABASE!C:Q,9,False)</f>
        <v>0</v>
      </c>
      <c r="Q1704" s="93" t="str">
        <f>VLOOKUP(E1704,DATABASE!C:Q,4,false)</f>
        <v>Bongkar Pasang</v>
      </c>
      <c r="R1704" s="93" t="str">
        <f>VLOOKUP(E1704,DATABASE!C:Q,11,false)</f>
        <v>SERVICE</v>
      </c>
    </row>
    <row r="1705" ht="22.5" customHeight="1">
      <c r="A1705" s="49"/>
      <c r="C1705" s="384">
        <v>45745.0</v>
      </c>
      <c r="D1705" s="65">
        <v>5015.0</v>
      </c>
      <c r="E1705" s="445" t="s">
        <v>1974</v>
      </c>
      <c r="F1705" s="386">
        <v>2.0</v>
      </c>
      <c r="G1705" s="74">
        <v>1250000.0</v>
      </c>
      <c r="H1705" s="74">
        <v>0.0</v>
      </c>
      <c r="I1705" s="74">
        <f t="shared" si="1"/>
        <v>2500000</v>
      </c>
      <c r="J1705" s="74">
        <f>IF(E1705="SERVICE",I1705-(I1705*50%),Vlookup(E1705,DATABASE!C:Q,10,false)*F1705)</f>
        <v>0</v>
      </c>
      <c r="K1705" s="74">
        <f>VLOOKUP(E1705,DATABASE!C:Q,7,false)</f>
        <v>1221100</v>
      </c>
      <c r="L1705" s="74">
        <v>1150700.0</v>
      </c>
      <c r="M1705" s="74">
        <f t="shared" si="2"/>
        <v>1155000</v>
      </c>
      <c r="N1705" s="74">
        <f t="shared" si="3"/>
        <v>190000</v>
      </c>
      <c r="O1705" s="65" t="str">
        <f>VLOOKUP(E1705,DATABASE!C:Q,8,false)</f>
        <v>BIAN</v>
      </c>
      <c r="P1705" s="65">
        <f>VLOOKUP(E1705,DATABASE!C:Q,9,False)</f>
        <v>1</v>
      </c>
      <c r="Q1705" s="93" t="str">
        <f>VLOOKUP(E1705,DATABASE!C:Q,4,false)</f>
        <v>GT</v>
      </c>
      <c r="R1705" s="93" t="str">
        <f>VLOOKUP(E1705,DATABASE!C:Q,11,false)</f>
        <v>Tire</v>
      </c>
    </row>
    <row r="1706" ht="22.5" customHeight="1">
      <c r="A1706" s="49"/>
      <c r="C1706" s="384">
        <v>45745.0</v>
      </c>
      <c r="D1706" s="65">
        <v>5016.0</v>
      </c>
      <c r="E1706" s="445" t="s">
        <v>262</v>
      </c>
      <c r="F1706" s="386">
        <v>1.0</v>
      </c>
      <c r="G1706" s="74">
        <v>110000.0</v>
      </c>
      <c r="H1706" s="74">
        <v>0.0</v>
      </c>
      <c r="I1706" s="74">
        <f t="shared" si="1"/>
        <v>110000</v>
      </c>
      <c r="J1706" s="74">
        <f>IF(E1706="SERVICE",I1706-(I1706*50%),Vlookup(E1706,DATABASE!C:Q,10,false)*F1706)</f>
        <v>5000</v>
      </c>
      <c r="K1706" s="74">
        <f>VLOOKUP(E1706,DATABASE!C:Q,7,false)</f>
        <v>0</v>
      </c>
      <c r="L1706" s="74">
        <v>0.0</v>
      </c>
      <c r="M1706" s="74">
        <f t="shared" si="2"/>
        <v>0</v>
      </c>
      <c r="N1706" s="74">
        <f t="shared" si="3"/>
        <v>105000</v>
      </c>
      <c r="O1706" s="65" t="str">
        <f>VLOOKUP(E1706,DATABASE!C:Q,8,false)</f>
        <v>IBU</v>
      </c>
      <c r="P1706" s="65">
        <f>VLOOKUP(E1706,DATABASE!C:Q,9,False)</f>
        <v>0</v>
      </c>
      <c r="Q1706" s="93" t="str">
        <f>VLOOKUP(E1706,DATABASE!C:Q,4,false)</f>
        <v>SPOORING SS/CARRY LOS BAK</v>
      </c>
      <c r="R1706" s="93" t="str">
        <f>VLOOKUP(E1706,DATABASE!C:Q,11,false)</f>
        <v>SERVICE</v>
      </c>
    </row>
    <row r="1707" ht="22.5" customHeight="1">
      <c r="A1707" s="49"/>
      <c r="C1707" s="384">
        <v>45745.0</v>
      </c>
      <c r="D1707" s="65">
        <v>5016.0</v>
      </c>
      <c r="E1707" s="445" t="s">
        <v>2206</v>
      </c>
      <c r="F1707" s="386">
        <v>1.0</v>
      </c>
      <c r="G1707" s="74">
        <v>200000.0</v>
      </c>
      <c r="H1707" s="74">
        <v>0.0</v>
      </c>
      <c r="I1707" s="74">
        <f t="shared" si="1"/>
        <v>200000</v>
      </c>
      <c r="J1707" s="74">
        <f>IF(E1707="SERVICE",I1707-(I1707*50%),Vlookup(E1707,DATABASE!C:Q,10,false)*F1707)</f>
        <v>40000</v>
      </c>
      <c r="K1707" s="74">
        <f>VLOOKUP(E1707,DATABASE!C:Q,7,false)</f>
        <v>95450</v>
      </c>
      <c r="L1707" s="74">
        <v>61000.0</v>
      </c>
      <c r="M1707" s="74">
        <f t="shared" si="2"/>
        <v>65000</v>
      </c>
      <c r="N1707" s="74">
        <f t="shared" si="3"/>
        <v>95000</v>
      </c>
      <c r="O1707" s="65" t="str">
        <f>VLOOKUP(E1707,DATABASE!C:Q,8,false)</f>
        <v>IBU</v>
      </c>
      <c r="P1707" s="65">
        <f>VLOOKUP(E1707,DATABASE!C:Q,9,False)</f>
        <v>1</v>
      </c>
      <c r="Q1707" s="93" t="str">
        <f>VLOOKUP(E1707,DATABASE!C:Q,4,false)</f>
        <v>TIEROD</v>
      </c>
      <c r="R1707" s="93" t="str">
        <f>VLOOKUP(E1707,DATABASE!C:Q,11,false)</f>
        <v>COMPLEMENTARY</v>
      </c>
    </row>
    <row r="1708" ht="22.5" customHeight="1">
      <c r="A1708" s="49"/>
      <c r="C1708" s="384">
        <v>45745.0</v>
      </c>
      <c r="D1708" s="65">
        <v>5016.0</v>
      </c>
      <c r="E1708" s="445" t="s">
        <v>251</v>
      </c>
      <c r="F1708" s="386">
        <v>1.0</v>
      </c>
      <c r="G1708" s="74">
        <v>70000.0</v>
      </c>
      <c r="H1708" s="74">
        <v>0.0</v>
      </c>
      <c r="I1708" s="74">
        <f t="shared" si="1"/>
        <v>70000</v>
      </c>
      <c r="J1708" s="74">
        <f>IF(E1708="SERVICE",I1708-(I1708*50%),Vlookup(E1708,DATABASE!C:Q,10,false)*F1708)</f>
        <v>35000</v>
      </c>
      <c r="K1708" s="74">
        <f>VLOOKUP(E1708,DATABASE!C:Q,7,false)</f>
        <v>0</v>
      </c>
      <c r="L1708" s="74">
        <v>0.0</v>
      </c>
      <c r="M1708" s="74">
        <f t="shared" si="2"/>
        <v>0</v>
      </c>
      <c r="N1708" s="74">
        <f t="shared" si="3"/>
        <v>35000</v>
      </c>
      <c r="O1708" s="65" t="str">
        <f>VLOOKUP(E1708,DATABASE!C:Q,8,false)</f>
        <v>IBU</v>
      </c>
      <c r="P1708" s="65">
        <f>VLOOKUP(E1708,DATABASE!C:Q,9,False)</f>
        <v>0</v>
      </c>
      <c r="Q1708" s="93" t="str">
        <f>VLOOKUP(E1708,DATABASE!C:Q,4,false)</f>
        <v>SERVICE</v>
      </c>
      <c r="R1708" s="93" t="str">
        <f>VLOOKUP(E1708,DATABASE!C:Q,11,false)</f>
        <v>SERVICE</v>
      </c>
    </row>
    <row r="1709" ht="22.5" customHeight="1">
      <c r="A1709" s="49"/>
      <c r="C1709" s="384">
        <v>45745.0</v>
      </c>
      <c r="D1709" s="65">
        <v>5017.0</v>
      </c>
      <c r="E1709" s="445" t="s">
        <v>256</v>
      </c>
      <c r="F1709" s="386">
        <v>1.0</v>
      </c>
      <c r="G1709" s="74">
        <v>130000.0</v>
      </c>
      <c r="H1709" s="74">
        <v>0.0</v>
      </c>
      <c r="I1709" s="74">
        <f t="shared" si="1"/>
        <v>130000</v>
      </c>
      <c r="J1709" s="74">
        <f>IF(E1709="SERVICE",I1709-(I1709*50%),Vlookup(E1709,DATABASE!C:Q,10,false)*F1709)</f>
        <v>10000</v>
      </c>
      <c r="K1709" s="74">
        <f>VLOOKUP(E1709,DATABASE!C:Q,7,false)</f>
        <v>0</v>
      </c>
      <c r="L1709" s="74">
        <v>0.0</v>
      </c>
      <c r="M1709" s="74">
        <f t="shared" si="2"/>
        <v>0</v>
      </c>
      <c r="N1709" s="74">
        <f t="shared" si="3"/>
        <v>120000</v>
      </c>
      <c r="O1709" s="65" t="str">
        <f>VLOOKUP(E1709,DATABASE!C:Q,8,false)</f>
        <v>IBU</v>
      </c>
      <c r="P1709" s="65">
        <f>VLOOKUP(E1709,DATABASE!C:Q,9,False)</f>
        <v>0</v>
      </c>
      <c r="Q1709" s="93" t="str">
        <f>VLOOKUP(E1709,DATABASE!C:Q,4,false)</f>
        <v>SPOORING</v>
      </c>
      <c r="R1709" s="93" t="str">
        <f>VLOOKUP(E1709,DATABASE!C:Q,11,false)</f>
        <v>SERVICE</v>
      </c>
    </row>
    <row r="1710" ht="22.5" customHeight="1">
      <c r="A1710" s="49"/>
      <c r="C1710" s="384">
        <v>45745.0</v>
      </c>
      <c r="D1710" s="65">
        <v>5017.0</v>
      </c>
      <c r="E1710" s="385" t="s">
        <v>299</v>
      </c>
      <c r="F1710" s="386">
        <v>2.0</v>
      </c>
      <c r="G1710" s="74">
        <v>30000.0</v>
      </c>
      <c r="H1710" s="74">
        <v>0.0</v>
      </c>
      <c r="I1710" s="74">
        <f t="shared" si="1"/>
        <v>60000</v>
      </c>
      <c r="J1710" s="74">
        <f>IF(E1710="SERVICE",I1710-(I1710*50%),Vlookup(E1710,DATABASE!C:Q,10,false)*F1710)</f>
        <v>0</v>
      </c>
      <c r="K1710" s="74">
        <v>0.0</v>
      </c>
      <c r="L1710" s="74">
        <v>0.0</v>
      </c>
      <c r="M1710" s="74">
        <f t="shared" si="2"/>
        <v>0</v>
      </c>
      <c r="N1710" s="74">
        <f t="shared" si="3"/>
        <v>60000</v>
      </c>
      <c r="O1710" s="65" t="str">
        <f>VLOOKUP(E1710,DATABASE!C:Q,8,false)</f>
        <v>BIAN</v>
      </c>
      <c r="P1710" s="65">
        <f>VLOOKUP(E1710,DATABASE!C:Q,9,False)</f>
        <v>0</v>
      </c>
      <c r="Q1710" s="93" t="str">
        <f>VLOOKUP(E1710,DATABASE!C:Q,4,false)</f>
        <v>Balancing</v>
      </c>
      <c r="R1710" s="93" t="str">
        <f>VLOOKUP(E1710,DATABASE!C:Q,11,false)</f>
        <v>COMPLEMENTARY</v>
      </c>
    </row>
    <row r="1711" ht="22.5" customHeight="1">
      <c r="A1711" s="49"/>
      <c r="C1711" s="384">
        <v>45745.0</v>
      </c>
      <c r="D1711" s="65">
        <v>5018.0</v>
      </c>
      <c r="E1711" s="385" t="s">
        <v>299</v>
      </c>
      <c r="F1711" s="386">
        <v>2.0</v>
      </c>
      <c r="G1711" s="74">
        <v>30000.0</v>
      </c>
      <c r="H1711" s="74">
        <v>0.0</v>
      </c>
      <c r="I1711" s="74">
        <f t="shared" si="1"/>
        <v>60000</v>
      </c>
      <c r="J1711" s="74">
        <f>IF(E1711="SERVICE",I1711-(I1711*50%),Vlookup(E1711,DATABASE!C:Q,10,false)*F1711)</f>
        <v>0</v>
      </c>
      <c r="K1711" s="74">
        <v>0.0</v>
      </c>
      <c r="L1711" s="74">
        <v>0.0</v>
      </c>
      <c r="M1711" s="74">
        <f t="shared" si="2"/>
        <v>0</v>
      </c>
      <c r="N1711" s="74">
        <f t="shared" si="3"/>
        <v>60000</v>
      </c>
      <c r="O1711" s="65" t="str">
        <f>VLOOKUP(E1711,DATABASE!C:Q,8,false)</f>
        <v>BIAN</v>
      </c>
      <c r="P1711" s="65">
        <f>VLOOKUP(E1711,DATABASE!C:Q,9,False)</f>
        <v>0</v>
      </c>
      <c r="Q1711" s="93" t="str">
        <f>VLOOKUP(E1711,DATABASE!C:Q,4,false)</f>
        <v>Balancing</v>
      </c>
      <c r="R1711" s="93" t="str">
        <f>VLOOKUP(E1711,DATABASE!C:Q,11,false)</f>
        <v>COMPLEMENTARY</v>
      </c>
    </row>
    <row r="1712" ht="22.5" customHeight="1">
      <c r="A1712" s="49"/>
      <c r="C1712" s="384">
        <v>45745.0</v>
      </c>
      <c r="D1712" s="65">
        <v>5019.0</v>
      </c>
      <c r="E1712" s="445" t="s">
        <v>268</v>
      </c>
      <c r="F1712" s="386">
        <v>2.0</v>
      </c>
      <c r="G1712" s="74">
        <v>700000.0</v>
      </c>
      <c r="H1712" s="74">
        <v>0.0</v>
      </c>
      <c r="I1712" s="74">
        <f t="shared" si="1"/>
        <v>1400000</v>
      </c>
      <c r="J1712" s="74">
        <f>IF(E1712="SERVICE",I1712-(I1712*50%),Vlookup(E1712,DATABASE!C:Q,10,false)*F1712)</f>
        <v>0</v>
      </c>
      <c r="K1712" s="74">
        <v>613000.0</v>
      </c>
      <c r="L1712" s="74">
        <v>613000.0</v>
      </c>
      <c r="M1712" s="74">
        <f t="shared" si="2"/>
        <v>615000</v>
      </c>
      <c r="N1712" s="74">
        <f t="shared" si="3"/>
        <v>170000</v>
      </c>
      <c r="O1712" s="65" t="str">
        <f>VLOOKUP(E1712,DATABASE!C:Q,8,false)</f>
        <v>IBU</v>
      </c>
      <c r="P1712" s="65">
        <f>VLOOKUP(E1712,DATABASE!C:Q,9,False)</f>
        <v>1</v>
      </c>
      <c r="Q1712" s="93" t="str">
        <f>VLOOKUP(E1712,DATABASE!C:Q,4,false)</f>
        <v>Dunlop</v>
      </c>
      <c r="R1712" s="93" t="str">
        <f>VLOOKUP(E1712,DATABASE!C:Q,11,false)</f>
        <v>Tire</v>
      </c>
    </row>
    <row r="1713" ht="22.5" customHeight="1">
      <c r="A1713" s="49"/>
      <c r="C1713" s="384">
        <v>45745.0</v>
      </c>
      <c r="D1713" s="65">
        <v>5020.0</v>
      </c>
      <c r="E1713" s="445" t="s">
        <v>246</v>
      </c>
      <c r="F1713" s="386">
        <v>2.0</v>
      </c>
      <c r="G1713" s="74">
        <v>30000.0</v>
      </c>
      <c r="H1713" s="74">
        <v>0.0</v>
      </c>
      <c r="I1713" s="74">
        <f t="shared" si="1"/>
        <v>60000</v>
      </c>
      <c r="J1713" s="74">
        <f>IF(E1713="SERVICE",I1713-(I1713*50%),Vlookup(E1713,DATABASE!C:Q,10,false)*F1713)</f>
        <v>0</v>
      </c>
      <c r="K1713" s="74">
        <f>VLOOKUP(E1713,DATABASE!C:Q,7,false)</f>
        <v>0</v>
      </c>
      <c r="L1713" s="74">
        <v>0.0</v>
      </c>
      <c r="M1713" s="74">
        <f t="shared" si="2"/>
        <v>0</v>
      </c>
      <c r="N1713" s="74">
        <f t="shared" si="3"/>
        <v>60000</v>
      </c>
      <c r="O1713" s="65" t="str">
        <f>VLOOKUP(E1713,DATABASE!C:Q,8,false)</f>
        <v>IBU</v>
      </c>
      <c r="P1713" s="65">
        <f>VLOOKUP(E1713,DATABASE!C:Q,9,False)</f>
        <v>0</v>
      </c>
      <c r="Q1713" s="93" t="str">
        <f>VLOOKUP(E1713,DATABASE!C:Q,4,false)</f>
        <v>Bongkar Pasang</v>
      </c>
      <c r="R1713" s="93" t="str">
        <f>VLOOKUP(E1713,DATABASE!C:Q,11,false)</f>
        <v>SERVICE</v>
      </c>
    </row>
    <row r="1714" ht="22.5" customHeight="1">
      <c r="A1714" s="49"/>
      <c r="C1714" s="384">
        <v>45745.0</v>
      </c>
      <c r="D1714" s="65">
        <v>5021.0</v>
      </c>
      <c r="E1714" s="445" t="s">
        <v>963</v>
      </c>
      <c r="F1714" s="386">
        <v>2.0</v>
      </c>
      <c r="G1714" s="74">
        <v>750000.0</v>
      </c>
      <c r="H1714" s="74">
        <v>0.0</v>
      </c>
      <c r="I1714" s="74">
        <f t="shared" si="1"/>
        <v>1500000</v>
      </c>
      <c r="J1714" s="74">
        <f>IF(E1714="SERVICE",I1714-(I1714*50%),Vlookup(E1714,DATABASE!C:Q,10,false)*F1714)</f>
        <v>0</v>
      </c>
      <c r="K1714" s="74">
        <f>VLOOKUP(E1714,DATABASE!C:Q,7,false)</f>
        <v>698000</v>
      </c>
      <c r="L1714" s="74">
        <v>698000.0</v>
      </c>
      <c r="M1714" s="74">
        <f t="shared" si="2"/>
        <v>700000</v>
      </c>
      <c r="N1714" s="74">
        <f t="shared" si="3"/>
        <v>100000</v>
      </c>
      <c r="O1714" s="65" t="str">
        <f>VLOOKUP(E1714,DATABASE!C:Q,8,false)</f>
        <v>IBU</v>
      </c>
      <c r="P1714" s="65">
        <f>VLOOKUP(E1714,DATABASE!C:Q,9,False)</f>
        <v>1</v>
      </c>
      <c r="Q1714" s="93" t="str">
        <f>VLOOKUP(E1714,DATABASE!C:Q,4,false)</f>
        <v>Dunlop</v>
      </c>
      <c r="R1714" s="93" t="str">
        <f>VLOOKUP(E1714,DATABASE!C:Q,11,false)</f>
        <v>Tire</v>
      </c>
    </row>
    <row r="1715" ht="22.5" customHeight="1">
      <c r="A1715" s="49"/>
      <c r="C1715" s="384">
        <v>45745.0</v>
      </c>
      <c r="D1715" s="65">
        <v>50000.0</v>
      </c>
      <c r="E1715" s="445" t="s">
        <v>246</v>
      </c>
      <c r="F1715" s="386">
        <v>4.0</v>
      </c>
      <c r="G1715" s="74">
        <v>50000.0</v>
      </c>
      <c r="H1715" s="74">
        <v>0.0</v>
      </c>
      <c r="I1715" s="74">
        <f t="shared" si="1"/>
        <v>200000</v>
      </c>
      <c r="J1715" s="74">
        <f>IF(E1715="SERVICE",I1715-(I1715*50%),Vlookup(E1715,DATABASE!C:Q,10,false)*F1715)</f>
        <v>0</v>
      </c>
      <c r="K1715" s="74">
        <f>VLOOKUP(E1715,DATABASE!C:Q,7,false)</f>
        <v>0</v>
      </c>
      <c r="L1715" s="74">
        <v>0.0</v>
      </c>
      <c r="M1715" s="74">
        <f t="shared" si="2"/>
        <v>0</v>
      </c>
      <c r="N1715" s="74">
        <f t="shared" si="3"/>
        <v>200000</v>
      </c>
      <c r="O1715" s="65" t="str">
        <f>VLOOKUP(E1715,DATABASE!C:Q,8,false)</f>
        <v>IBU</v>
      </c>
      <c r="P1715" s="65">
        <f>VLOOKUP(E1715,DATABASE!C:Q,9,False)</f>
        <v>0</v>
      </c>
      <c r="Q1715" s="93" t="str">
        <f>VLOOKUP(E1715,DATABASE!C:Q,4,false)</f>
        <v>Bongkar Pasang</v>
      </c>
      <c r="R1715" s="93" t="str">
        <f>VLOOKUP(E1715,DATABASE!C:Q,11,false)</f>
        <v>SERVICE</v>
      </c>
    </row>
    <row r="1716" ht="22.5" customHeight="1">
      <c r="A1716" s="49"/>
      <c r="C1716" s="384">
        <v>45746.0</v>
      </c>
      <c r="D1716" s="65">
        <v>5023.0</v>
      </c>
      <c r="E1716" s="445" t="s">
        <v>1167</v>
      </c>
      <c r="F1716" s="386">
        <v>1.0</v>
      </c>
      <c r="G1716" s="74">
        <v>1225000.0</v>
      </c>
      <c r="H1716" s="74">
        <v>0.0</v>
      </c>
      <c r="I1716" s="74">
        <f t="shared" si="1"/>
        <v>1225000</v>
      </c>
      <c r="J1716" s="74">
        <f>IF(E1716="SERVICE",I1716-(I1716*50%),Vlookup(E1716,DATABASE!C:Q,10,false)*F1716)</f>
        <v>0</v>
      </c>
      <c r="K1716" s="74">
        <f>VLOOKUP(E1716,DATABASE!C:Q,7,false)</f>
        <v>1120000</v>
      </c>
      <c r="L1716" s="74">
        <v>1120000.0</v>
      </c>
      <c r="M1716" s="74">
        <f t="shared" si="2"/>
        <v>1120000</v>
      </c>
      <c r="N1716" s="74">
        <f t="shared" si="3"/>
        <v>105000</v>
      </c>
      <c r="O1716" s="65" t="str">
        <f>VLOOKUP(E1716,DATABASE!C:Q,8,false)</f>
        <v>IBU</v>
      </c>
      <c r="P1716" s="65">
        <f>VLOOKUP(E1716,DATABASE!C:Q,9,False)</f>
        <v>1</v>
      </c>
      <c r="Q1716" s="93" t="str">
        <f>VLOOKUP(E1716,DATABASE!C:Q,4,false)</f>
        <v>Bridgestone</v>
      </c>
      <c r="R1716" s="93" t="str">
        <f>VLOOKUP(E1716,DATABASE!C:Q,11,false)</f>
        <v>Tire</v>
      </c>
    </row>
    <row r="1717" ht="22.5" customHeight="1">
      <c r="A1717" s="49"/>
      <c r="C1717" s="384">
        <v>45746.0</v>
      </c>
      <c r="D1717" s="65">
        <v>5024.0</v>
      </c>
      <c r="E1717" s="445" t="s">
        <v>256</v>
      </c>
      <c r="F1717" s="386">
        <v>1.0</v>
      </c>
      <c r="G1717" s="74">
        <v>130000.0</v>
      </c>
      <c r="H1717" s="74">
        <v>0.0</v>
      </c>
      <c r="I1717" s="74">
        <f t="shared" si="1"/>
        <v>130000</v>
      </c>
      <c r="J1717" s="74">
        <f>IF(E1717="SERVICE",I1717-(I1717*50%),Vlookup(E1717,DATABASE!C:Q,10,false)*F1717)</f>
        <v>10000</v>
      </c>
      <c r="K1717" s="74">
        <f>VLOOKUP(E1717,DATABASE!C:Q,7,false)</f>
        <v>0</v>
      </c>
      <c r="L1717" s="74">
        <v>0.0</v>
      </c>
      <c r="M1717" s="74">
        <f t="shared" si="2"/>
        <v>0</v>
      </c>
      <c r="N1717" s="74">
        <f t="shared" si="3"/>
        <v>120000</v>
      </c>
      <c r="O1717" s="65" t="str">
        <f>VLOOKUP(E1717,DATABASE!C:Q,8,false)</f>
        <v>IBU</v>
      </c>
      <c r="P1717" s="65">
        <f>VLOOKUP(E1717,DATABASE!C:Q,9,False)</f>
        <v>0</v>
      </c>
      <c r="Q1717" s="93" t="str">
        <f>VLOOKUP(E1717,DATABASE!C:Q,4,false)</f>
        <v>SPOORING</v>
      </c>
      <c r="R1717" s="93" t="str">
        <f>VLOOKUP(E1717,DATABASE!C:Q,11,false)</f>
        <v>SERVICE</v>
      </c>
    </row>
    <row r="1718" ht="22.5" customHeight="1">
      <c r="A1718" s="49"/>
      <c r="C1718" s="384">
        <v>45746.0</v>
      </c>
      <c r="D1718" s="65">
        <v>5024.0</v>
      </c>
      <c r="E1718" s="445" t="s">
        <v>251</v>
      </c>
      <c r="F1718" s="386">
        <v>1.0</v>
      </c>
      <c r="G1718" s="74">
        <v>150000.0</v>
      </c>
      <c r="H1718" s="74">
        <v>0.0</v>
      </c>
      <c r="I1718" s="74">
        <f t="shared" si="1"/>
        <v>150000</v>
      </c>
      <c r="J1718" s="74">
        <f>IF(E1718="SERVICE",I1718-(I1718*50%),Vlookup(E1718,DATABASE!C:Q,10,false)*F1718)</f>
        <v>75000</v>
      </c>
      <c r="K1718" s="74">
        <f>VLOOKUP(E1718,DATABASE!C:Q,7,false)</f>
        <v>0</v>
      </c>
      <c r="L1718" s="74">
        <v>0.0</v>
      </c>
      <c r="M1718" s="74">
        <f t="shared" si="2"/>
        <v>0</v>
      </c>
      <c r="N1718" s="74">
        <f t="shared" si="3"/>
        <v>75000</v>
      </c>
      <c r="O1718" s="65" t="str">
        <f>VLOOKUP(E1718,DATABASE!C:Q,8,false)</f>
        <v>IBU</v>
      </c>
      <c r="P1718" s="65">
        <f>VLOOKUP(E1718,DATABASE!C:Q,9,False)</f>
        <v>0</v>
      </c>
      <c r="Q1718" s="93" t="str">
        <f>VLOOKUP(E1718,DATABASE!C:Q,4,false)</f>
        <v>SERVICE</v>
      </c>
      <c r="R1718" s="93" t="str">
        <f>VLOOKUP(E1718,DATABASE!C:Q,11,false)</f>
        <v>SERVICE</v>
      </c>
    </row>
    <row r="1719" ht="22.5" customHeight="1">
      <c r="A1719" s="49"/>
      <c r="C1719" s="384">
        <v>45746.0</v>
      </c>
      <c r="D1719" s="65">
        <v>5025.0</v>
      </c>
      <c r="E1719" s="445" t="s">
        <v>288</v>
      </c>
      <c r="F1719" s="386">
        <v>2.0</v>
      </c>
      <c r="G1719" s="74">
        <v>620000.0</v>
      </c>
      <c r="H1719" s="74">
        <v>0.0</v>
      </c>
      <c r="I1719" s="74">
        <f t="shared" si="1"/>
        <v>1240000</v>
      </c>
      <c r="J1719" s="74">
        <f>IF(E1719="SERVICE",I1719-(I1719*50%),Vlookup(E1719,DATABASE!C:Q,10,false)*F1719)</f>
        <v>0</v>
      </c>
      <c r="K1719" s="74">
        <f>VLOOKUP(E1719,DATABASE!C:Q,7,false)</f>
        <v>565760</v>
      </c>
      <c r="L1719" s="74">
        <v>524800.0</v>
      </c>
      <c r="M1719" s="74">
        <f t="shared" si="2"/>
        <v>525000</v>
      </c>
      <c r="N1719" s="74">
        <f t="shared" si="3"/>
        <v>190000</v>
      </c>
      <c r="O1719" s="65" t="str">
        <f>VLOOKUP(E1719,DATABASE!C:Q,8,false)</f>
        <v>BIAN</v>
      </c>
      <c r="P1719" s="65">
        <f>VLOOKUP(E1719,DATABASE!C:Q,9,False)</f>
        <v>1</v>
      </c>
      <c r="Q1719" s="93" t="str">
        <f>VLOOKUP(E1719,DATABASE!C:Q,4,false)</f>
        <v>GT</v>
      </c>
      <c r="R1719" s="93" t="str">
        <f>VLOOKUP(E1719,DATABASE!C:Q,11,false)</f>
        <v>Tire</v>
      </c>
    </row>
    <row r="1720" ht="22.5" customHeight="1">
      <c r="A1720" s="49"/>
      <c r="C1720" s="384">
        <v>45746.0</v>
      </c>
      <c r="D1720" s="65">
        <v>5025.0</v>
      </c>
      <c r="E1720" s="385" t="s">
        <v>299</v>
      </c>
      <c r="F1720" s="386">
        <v>2.0</v>
      </c>
      <c r="G1720" s="74">
        <v>30000.0</v>
      </c>
      <c r="H1720" s="74">
        <v>0.0</v>
      </c>
      <c r="I1720" s="74">
        <f t="shared" si="1"/>
        <v>60000</v>
      </c>
      <c r="J1720" s="74">
        <f>IF(E1720="SERVICE",I1720-(I1720*50%),Vlookup(E1720,DATABASE!C:Q,10,false)*F1720)</f>
        <v>0</v>
      </c>
      <c r="K1720" s="74">
        <v>0.0</v>
      </c>
      <c r="L1720" s="74">
        <v>0.0</v>
      </c>
      <c r="M1720" s="74">
        <f t="shared" si="2"/>
        <v>0</v>
      </c>
      <c r="N1720" s="74">
        <f t="shared" si="3"/>
        <v>60000</v>
      </c>
      <c r="O1720" s="65" t="str">
        <f>VLOOKUP(E1720,DATABASE!C:Q,8,false)</f>
        <v>BIAN</v>
      </c>
      <c r="P1720" s="65">
        <f>VLOOKUP(E1720,DATABASE!C:Q,9,False)</f>
        <v>0</v>
      </c>
      <c r="Q1720" s="93" t="str">
        <f>VLOOKUP(E1720,DATABASE!C:Q,4,false)</f>
        <v>Balancing</v>
      </c>
      <c r="R1720" s="93" t="str">
        <f>VLOOKUP(E1720,DATABASE!C:Q,11,false)</f>
        <v>COMPLEMENTARY</v>
      </c>
    </row>
    <row r="1721" ht="22.5" customHeight="1">
      <c r="A1721" s="49"/>
      <c r="C1721" s="384">
        <v>45746.0</v>
      </c>
      <c r="D1721" s="65">
        <v>5025.0</v>
      </c>
      <c r="E1721" s="445" t="s">
        <v>256</v>
      </c>
      <c r="F1721" s="386">
        <v>1.0</v>
      </c>
      <c r="G1721" s="74">
        <v>130000.0</v>
      </c>
      <c r="H1721" s="74">
        <v>0.0</v>
      </c>
      <c r="I1721" s="74">
        <f t="shared" si="1"/>
        <v>130000</v>
      </c>
      <c r="J1721" s="74">
        <f>IF(E1721="SERVICE",I1721-(I1721*50%),Vlookup(E1721,DATABASE!C:Q,10,false)*F1721)</f>
        <v>10000</v>
      </c>
      <c r="K1721" s="74">
        <f>VLOOKUP(E1721,DATABASE!C:Q,7,false)</f>
        <v>0</v>
      </c>
      <c r="L1721" s="74">
        <v>0.0</v>
      </c>
      <c r="M1721" s="74">
        <f t="shared" si="2"/>
        <v>0</v>
      </c>
      <c r="N1721" s="74">
        <f t="shared" si="3"/>
        <v>120000</v>
      </c>
      <c r="O1721" s="65" t="str">
        <f>VLOOKUP(E1721,DATABASE!C:Q,8,false)</f>
        <v>IBU</v>
      </c>
      <c r="P1721" s="65">
        <f>VLOOKUP(E1721,DATABASE!C:Q,9,False)</f>
        <v>0</v>
      </c>
      <c r="Q1721" s="93" t="str">
        <f>VLOOKUP(E1721,DATABASE!C:Q,4,false)</f>
        <v>SPOORING</v>
      </c>
      <c r="R1721" s="93" t="str">
        <f>VLOOKUP(E1721,DATABASE!C:Q,11,false)</f>
        <v>SERVICE</v>
      </c>
    </row>
    <row r="1722" ht="22.5" customHeight="1">
      <c r="A1722" s="49"/>
      <c r="C1722" s="384">
        <v>45746.0</v>
      </c>
      <c r="D1722" s="65">
        <v>5025.0</v>
      </c>
      <c r="E1722" s="445" t="s">
        <v>301</v>
      </c>
      <c r="F1722" s="386">
        <v>1.0</v>
      </c>
      <c r="G1722" s="74">
        <v>250000.0</v>
      </c>
      <c r="H1722" s="74">
        <v>0.0</v>
      </c>
      <c r="I1722" s="74">
        <f t="shared" si="1"/>
        <v>250000</v>
      </c>
      <c r="J1722" s="74">
        <f>IF(E1722="SERVICE",I1722-(I1722*50%),Vlookup(E1722,DATABASE!C:Q,10,false)*F1722)</f>
        <v>75000</v>
      </c>
      <c r="K1722" s="74">
        <f>VLOOKUP(E1722,DATABASE!C:Q,7,false)</f>
        <v>75000</v>
      </c>
      <c r="L1722" s="74">
        <v>75000.0</v>
      </c>
      <c r="M1722" s="74">
        <f t="shared" si="2"/>
        <v>75000</v>
      </c>
      <c r="N1722" s="74">
        <f t="shared" si="3"/>
        <v>100000</v>
      </c>
      <c r="O1722" s="65" t="str">
        <f>VLOOKUP(E1722,DATABASE!C:Q,8,false)</f>
        <v>BIAN</v>
      </c>
      <c r="P1722" s="65">
        <f>VLOOKUP(E1722,DATABASE!C:Q,9,False)</f>
        <v>0</v>
      </c>
      <c r="Q1722" s="93" t="str">
        <f>VLOOKUP(E1722,DATABASE!C:Q,4,false)</f>
        <v>Baut Camber</v>
      </c>
      <c r="R1722" s="93" t="str">
        <f>VLOOKUP(E1722,DATABASE!C:Q,11,false)</f>
        <v>COMPLEMENTARY</v>
      </c>
    </row>
    <row r="1723" ht="22.5" customHeight="1">
      <c r="A1723" s="49"/>
      <c r="C1723" s="384">
        <v>45746.0</v>
      </c>
      <c r="D1723" s="65">
        <v>5026.0</v>
      </c>
      <c r="E1723" s="445" t="s">
        <v>624</v>
      </c>
      <c r="F1723" s="386">
        <v>1.0</v>
      </c>
      <c r="G1723" s="74">
        <v>110000.0</v>
      </c>
      <c r="H1723" s="74">
        <v>0.0</v>
      </c>
      <c r="I1723" s="74">
        <f t="shared" si="1"/>
        <v>110000</v>
      </c>
      <c r="J1723" s="74">
        <f>IF(E1723="SERVICE",I1723-(I1723*50%),Vlookup(E1723,DATABASE!C:Q,10,false)*F1723)</f>
        <v>0</v>
      </c>
      <c r="K1723" s="74">
        <f>VLOOKUP(E1723,DATABASE!C:Q,7,false)</f>
        <v>60500</v>
      </c>
      <c r="L1723" s="74">
        <v>60500.0</v>
      </c>
      <c r="M1723" s="74">
        <f t="shared" si="2"/>
        <v>65000</v>
      </c>
      <c r="N1723" s="74">
        <f t="shared" si="3"/>
        <v>45000</v>
      </c>
      <c r="O1723" s="65" t="str">
        <f>VLOOKUP(E1723,DATABASE!C:Q,8,false)</f>
        <v>BIAN</v>
      </c>
      <c r="P1723" s="65">
        <f>VLOOKUP(E1723,DATABASE!C:Q,9,False)</f>
        <v>1</v>
      </c>
      <c r="Q1723" s="93" t="str">
        <f>VLOOKUP(E1723,DATABASE!C:Q,4,false)</f>
        <v>BD</v>
      </c>
      <c r="R1723" s="93" t="str">
        <f>VLOOKUP(E1723,DATABASE!C:Q,11,false)</f>
        <v>Tire</v>
      </c>
    </row>
    <row r="1724" ht="22.5" customHeight="1">
      <c r="A1724" s="49"/>
      <c r="C1724" s="384">
        <v>45746.0</v>
      </c>
      <c r="D1724" s="65">
        <v>5027.0</v>
      </c>
      <c r="E1724" s="445" t="s">
        <v>2140</v>
      </c>
      <c r="F1724" s="386">
        <v>1.0</v>
      </c>
      <c r="G1724" s="74">
        <v>30000.0</v>
      </c>
      <c r="H1724" s="74">
        <v>0.0</v>
      </c>
      <c r="I1724" s="74">
        <f t="shared" si="1"/>
        <v>30000</v>
      </c>
      <c r="J1724" s="74">
        <f>IF(E1724="SERVICE",I1724-(I1724*50%),Vlookup(E1724,DATABASE!C:Q,10,false)*F1724)</f>
        <v>0</v>
      </c>
      <c r="K1724" s="74">
        <f>VLOOKUP(E1724,DATABASE!C:Q,7,false)</f>
        <v>5000</v>
      </c>
      <c r="L1724" s="74">
        <v>0.0</v>
      </c>
      <c r="M1724" s="74">
        <f t="shared" si="2"/>
        <v>0</v>
      </c>
      <c r="N1724" s="74">
        <f t="shared" si="3"/>
        <v>30000</v>
      </c>
      <c r="O1724" s="65" t="str">
        <f>VLOOKUP(E1724,DATABASE!C:Q,8,false)</f>
        <v>IBU</v>
      </c>
      <c r="P1724" s="65">
        <f>VLOOKUP(E1724,DATABASE!C:Q,9,False)</f>
        <v>0</v>
      </c>
      <c r="Q1724" s="93" t="str">
        <f>VLOOKUP(E1724,DATABASE!C:Q,4,false)</f>
        <v>PENTIL + PASANG</v>
      </c>
      <c r="R1724" s="93" t="str">
        <f>VLOOKUP(E1724,DATABASE!C:Q,11,false)</f>
        <v>COMPLEMENTARY</v>
      </c>
    </row>
    <row r="1725" ht="22.5" customHeight="1">
      <c r="A1725" s="49"/>
      <c r="C1725" s="384">
        <v>45746.0</v>
      </c>
      <c r="D1725" s="65">
        <v>5028.0</v>
      </c>
      <c r="E1725" s="445" t="s">
        <v>554</v>
      </c>
      <c r="F1725" s="386">
        <v>1.0</v>
      </c>
      <c r="G1725" s="74">
        <v>800000.0</v>
      </c>
      <c r="H1725" s="74">
        <v>0.0</v>
      </c>
      <c r="I1725" s="74">
        <f t="shared" si="1"/>
        <v>800000</v>
      </c>
      <c r="J1725" s="74">
        <f>IF(E1725="SERVICE",I1725-(I1725*50%),Vlookup(E1725,DATABASE!C:Q,10,false)*F1725)</f>
        <v>0</v>
      </c>
      <c r="K1725" s="74">
        <f>VLOOKUP(E1725,DATABASE!C:Q,7,false)</f>
        <v>710000</v>
      </c>
      <c r="L1725" s="74">
        <v>680000.0</v>
      </c>
      <c r="M1725" s="74">
        <f t="shared" si="2"/>
        <v>680000</v>
      </c>
      <c r="N1725" s="74">
        <f t="shared" si="3"/>
        <v>120000</v>
      </c>
      <c r="O1725" s="65" t="str">
        <f>VLOOKUP(E1725,DATABASE!C:Q,8,false)</f>
        <v>IBU</v>
      </c>
      <c r="P1725" s="65">
        <f>VLOOKUP(E1725,DATABASE!C:Q,9,False)</f>
        <v>1</v>
      </c>
      <c r="Q1725" s="93" t="str">
        <f>VLOOKUP(E1725,DATABASE!C:Q,4,false)</f>
        <v>Bridgestone</v>
      </c>
      <c r="R1725" s="93" t="str">
        <f>VLOOKUP(E1725,DATABASE!C:Q,11,false)</f>
        <v>Tire</v>
      </c>
    </row>
    <row r="1726" ht="22.5" customHeight="1">
      <c r="A1726" s="49"/>
      <c r="C1726" s="384">
        <v>45746.0</v>
      </c>
      <c r="D1726" s="65">
        <v>5029.0</v>
      </c>
      <c r="E1726" s="445" t="s">
        <v>256</v>
      </c>
      <c r="F1726" s="386">
        <v>1.0</v>
      </c>
      <c r="G1726" s="74">
        <v>130000.0</v>
      </c>
      <c r="H1726" s="74">
        <v>0.0</v>
      </c>
      <c r="I1726" s="74">
        <f t="shared" si="1"/>
        <v>130000</v>
      </c>
      <c r="J1726" s="74">
        <f>IF(E1726="SERVICE",I1726-(I1726*50%),Vlookup(E1726,DATABASE!C:Q,10,false)*F1726)</f>
        <v>10000</v>
      </c>
      <c r="K1726" s="74">
        <f>VLOOKUP(E1726,DATABASE!C:Q,7,false)</f>
        <v>0</v>
      </c>
      <c r="L1726" s="74">
        <v>0.0</v>
      </c>
      <c r="M1726" s="74">
        <f t="shared" si="2"/>
        <v>0</v>
      </c>
      <c r="N1726" s="74">
        <f t="shared" si="3"/>
        <v>120000</v>
      </c>
      <c r="O1726" s="65" t="str">
        <f>VLOOKUP(E1726,DATABASE!C:Q,8,false)</f>
        <v>IBU</v>
      </c>
      <c r="P1726" s="65">
        <f>VLOOKUP(E1726,DATABASE!C:Q,9,False)</f>
        <v>0</v>
      </c>
      <c r="Q1726" s="93" t="str">
        <f>VLOOKUP(E1726,DATABASE!C:Q,4,false)</f>
        <v>SPOORING</v>
      </c>
      <c r="R1726" s="93" t="str">
        <f>VLOOKUP(E1726,DATABASE!C:Q,11,false)</f>
        <v>SERVICE</v>
      </c>
    </row>
    <row r="1727" ht="22.5" customHeight="1">
      <c r="A1727" s="49"/>
      <c r="C1727" s="384">
        <v>45746.0</v>
      </c>
      <c r="D1727" s="65">
        <v>5029.0</v>
      </c>
      <c r="E1727" s="445" t="s">
        <v>301</v>
      </c>
      <c r="F1727" s="386">
        <v>1.0</v>
      </c>
      <c r="G1727" s="74">
        <v>250000.0</v>
      </c>
      <c r="H1727" s="74">
        <v>0.0</v>
      </c>
      <c r="I1727" s="74">
        <f t="shared" si="1"/>
        <v>250000</v>
      </c>
      <c r="J1727" s="74">
        <f>IF(E1727="SERVICE",I1727-(I1727*50%),Vlookup(E1727,DATABASE!C:Q,10,false)*F1727)</f>
        <v>75000</v>
      </c>
      <c r="K1727" s="74">
        <f>VLOOKUP(E1727,DATABASE!C:Q,7,false)</f>
        <v>75000</v>
      </c>
      <c r="L1727" s="74">
        <v>75000.0</v>
      </c>
      <c r="M1727" s="74">
        <f t="shared" si="2"/>
        <v>75000</v>
      </c>
      <c r="N1727" s="74">
        <f t="shared" si="3"/>
        <v>100000</v>
      </c>
      <c r="O1727" s="65" t="str">
        <f>VLOOKUP(E1727,DATABASE!C:Q,8,false)</f>
        <v>BIAN</v>
      </c>
      <c r="P1727" s="65">
        <f>VLOOKUP(E1727,DATABASE!C:Q,9,False)</f>
        <v>0</v>
      </c>
      <c r="Q1727" s="93" t="str">
        <f>VLOOKUP(E1727,DATABASE!C:Q,4,false)</f>
        <v>Baut Camber</v>
      </c>
      <c r="R1727" s="93" t="str">
        <f>VLOOKUP(E1727,DATABASE!C:Q,11,false)</f>
        <v>COMPLEMENTARY</v>
      </c>
    </row>
    <row r="1728" ht="22.5" customHeight="1">
      <c r="A1728" s="49"/>
      <c r="C1728" s="384">
        <v>45746.0</v>
      </c>
      <c r="D1728" s="65">
        <v>5030.0</v>
      </c>
      <c r="E1728" s="445" t="s">
        <v>275</v>
      </c>
      <c r="F1728" s="386">
        <v>2.0</v>
      </c>
      <c r="G1728" s="74">
        <v>830000.0</v>
      </c>
      <c r="H1728" s="74">
        <v>0.0</v>
      </c>
      <c r="I1728" s="74">
        <f t="shared" si="1"/>
        <v>1660000</v>
      </c>
      <c r="J1728" s="74">
        <f>IF(E1728="SERVICE",I1728-(I1728*50%),Vlookup(E1728,DATABASE!C:Q,10,false)*F1728)</f>
        <v>0</v>
      </c>
      <c r="K1728" s="74">
        <v>735000.0</v>
      </c>
      <c r="L1728" s="74">
        <v>735000.0</v>
      </c>
      <c r="M1728" s="74">
        <f t="shared" si="2"/>
        <v>735000</v>
      </c>
      <c r="N1728" s="74">
        <f t="shared" si="3"/>
        <v>190000</v>
      </c>
      <c r="O1728" s="65" t="str">
        <f>VLOOKUP(E1728,DATABASE!C:Q,8,false)</f>
        <v>IBU</v>
      </c>
      <c r="P1728" s="65">
        <f>VLOOKUP(E1728,DATABASE!C:Q,9,False)</f>
        <v>1</v>
      </c>
      <c r="Q1728" s="93" t="str">
        <f>VLOOKUP(E1728,DATABASE!C:Q,4,false)</f>
        <v>Dunlop</v>
      </c>
      <c r="R1728" s="93" t="str">
        <f>VLOOKUP(E1728,DATABASE!C:Q,11,false)</f>
        <v>Tire</v>
      </c>
    </row>
    <row r="1729" ht="22.5" customHeight="1">
      <c r="A1729" s="49"/>
      <c r="C1729" s="384">
        <v>45746.0</v>
      </c>
      <c r="D1729" s="65">
        <v>5031.0</v>
      </c>
      <c r="E1729" s="445" t="s">
        <v>932</v>
      </c>
      <c r="F1729" s="386">
        <v>1.0</v>
      </c>
      <c r="G1729" s="74">
        <v>670000.0</v>
      </c>
      <c r="H1729" s="74">
        <v>0.0</v>
      </c>
      <c r="I1729" s="74">
        <f t="shared" si="1"/>
        <v>670000</v>
      </c>
      <c r="J1729" s="74">
        <f>IF(E1729="SERVICE",I1729-(I1729*50%),Vlookup(E1729,DATABASE!C:Q,10,false)*F1729)</f>
        <v>0</v>
      </c>
      <c r="K1729" s="74">
        <v>575000.0</v>
      </c>
      <c r="L1729" s="74">
        <v>575000.0</v>
      </c>
      <c r="M1729" s="74">
        <f t="shared" si="2"/>
        <v>575000</v>
      </c>
      <c r="N1729" s="74">
        <f t="shared" si="3"/>
        <v>95000</v>
      </c>
      <c r="O1729" s="65" t="str">
        <f>VLOOKUP(E1729,DATABASE!C:Q,8,false)</f>
        <v>IBU</v>
      </c>
      <c r="P1729" s="65">
        <f>VLOOKUP(E1729,DATABASE!C:Q,9,False)</f>
        <v>1</v>
      </c>
      <c r="Q1729" s="93" t="str">
        <f>VLOOKUP(E1729,DATABASE!C:Q,4,false)</f>
        <v>Dunlop</v>
      </c>
      <c r="R1729" s="93" t="str">
        <f>VLOOKUP(E1729,DATABASE!C:Q,11,false)</f>
        <v>Tire</v>
      </c>
    </row>
    <row r="1730" ht="22.5" customHeight="1">
      <c r="A1730" s="49"/>
      <c r="C1730" s="384">
        <v>45746.0</v>
      </c>
      <c r="D1730" s="65">
        <v>5032.0</v>
      </c>
      <c r="E1730" s="445" t="s">
        <v>271</v>
      </c>
      <c r="F1730" s="386">
        <v>1.0</v>
      </c>
      <c r="G1730" s="74">
        <v>630000.0</v>
      </c>
      <c r="H1730" s="74">
        <v>0.0</v>
      </c>
      <c r="I1730" s="74">
        <f t="shared" si="1"/>
        <v>630000</v>
      </c>
      <c r="J1730" s="74">
        <f>IF(E1730="SERVICE",I1730-(I1730*50%),Vlookup(E1730,DATABASE!C:Q,10,false)*F1730)</f>
        <v>0</v>
      </c>
      <c r="K1730" s="74">
        <f>VLOOKUP(E1730,DATABASE!C:Q,7,false)</f>
        <v>570000</v>
      </c>
      <c r="L1730" s="74">
        <v>539000.0</v>
      </c>
      <c r="M1730" s="74">
        <f t="shared" si="2"/>
        <v>540000</v>
      </c>
      <c r="N1730" s="74">
        <f t="shared" si="3"/>
        <v>90000</v>
      </c>
      <c r="O1730" s="65" t="str">
        <f>VLOOKUP(E1730,DATABASE!C:Q,8,false)</f>
        <v>IBU</v>
      </c>
      <c r="P1730" s="65">
        <f>VLOOKUP(E1730,DATABASE!C:Q,9,False)</f>
        <v>1</v>
      </c>
      <c r="Q1730" s="93" t="str">
        <f>VLOOKUP(E1730,DATABASE!C:Q,4,false)</f>
        <v>Dunlop</v>
      </c>
      <c r="R1730" s="93" t="str">
        <f>VLOOKUP(E1730,DATABASE!C:Q,11,false)</f>
        <v>Tire</v>
      </c>
    </row>
    <row r="1731" ht="22.5" customHeight="1">
      <c r="A1731" s="49"/>
      <c r="C1731" s="384">
        <v>45746.0</v>
      </c>
      <c r="D1731" s="65">
        <v>5033.0</v>
      </c>
      <c r="E1731" s="445" t="s">
        <v>301</v>
      </c>
      <c r="F1731" s="386">
        <v>1.0</v>
      </c>
      <c r="G1731" s="74">
        <v>250000.0</v>
      </c>
      <c r="H1731" s="74">
        <v>0.0</v>
      </c>
      <c r="I1731" s="74">
        <f t="shared" si="1"/>
        <v>250000</v>
      </c>
      <c r="J1731" s="74">
        <f>IF(E1731="SERVICE",I1731-(I1731*50%),Vlookup(E1731,DATABASE!C:Q,10,false)*F1731)</f>
        <v>75000</v>
      </c>
      <c r="K1731" s="74">
        <f>VLOOKUP(E1731,DATABASE!C:Q,7,false)</f>
        <v>75000</v>
      </c>
      <c r="L1731" s="74">
        <v>75000.0</v>
      </c>
      <c r="M1731" s="74">
        <f t="shared" si="2"/>
        <v>75000</v>
      </c>
      <c r="N1731" s="74">
        <f t="shared" si="3"/>
        <v>100000</v>
      </c>
      <c r="O1731" s="65" t="str">
        <f>VLOOKUP(E1731,DATABASE!C:Q,8,false)</f>
        <v>BIAN</v>
      </c>
      <c r="P1731" s="65">
        <f>VLOOKUP(E1731,DATABASE!C:Q,9,False)</f>
        <v>0</v>
      </c>
      <c r="Q1731" s="93" t="str">
        <f>VLOOKUP(E1731,DATABASE!C:Q,4,false)</f>
        <v>Baut Camber</v>
      </c>
      <c r="R1731" s="93" t="str">
        <f>VLOOKUP(E1731,DATABASE!C:Q,11,false)</f>
        <v>COMPLEMENTARY</v>
      </c>
    </row>
    <row r="1732" ht="22.5" customHeight="1">
      <c r="A1732" s="49"/>
      <c r="C1732" s="384">
        <v>45746.0</v>
      </c>
      <c r="D1732" s="65">
        <v>5033.0</v>
      </c>
      <c r="E1732" s="445" t="s">
        <v>256</v>
      </c>
      <c r="F1732" s="386">
        <v>1.0</v>
      </c>
      <c r="G1732" s="74">
        <v>130000.0</v>
      </c>
      <c r="H1732" s="74">
        <v>0.0</v>
      </c>
      <c r="I1732" s="74">
        <f t="shared" si="1"/>
        <v>130000</v>
      </c>
      <c r="J1732" s="74">
        <f>IF(E1732="SERVICE",I1732-(I1732*50%),Vlookup(E1732,DATABASE!C:Q,10,false)*F1732)</f>
        <v>10000</v>
      </c>
      <c r="K1732" s="74">
        <f>VLOOKUP(E1732,DATABASE!C:Q,7,false)</f>
        <v>0</v>
      </c>
      <c r="L1732" s="74">
        <v>0.0</v>
      </c>
      <c r="M1732" s="74">
        <f t="shared" si="2"/>
        <v>0</v>
      </c>
      <c r="N1732" s="74">
        <f t="shared" si="3"/>
        <v>120000</v>
      </c>
      <c r="O1732" s="65" t="str">
        <f>VLOOKUP(E1732,DATABASE!C:Q,8,false)</f>
        <v>IBU</v>
      </c>
      <c r="P1732" s="65">
        <f>VLOOKUP(E1732,DATABASE!C:Q,9,False)</f>
        <v>0</v>
      </c>
      <c r="Q1732" s="93" t="str">
        <f>VLOOKUP(E1732,DATABASE!C:Q,4,false)</f>
        <v>SPOORING</v>
      </c>
      <c r="R1732" s="93" t="str">
        <f>VLOOKUP(E1732,DATABASE!C:Q,11,false)</f>
        <v>SERVICE</v>
      </c>
    </row>
    <row r="1733" ht="22.5" customHeight="1">
      <c r="A1733" s="49"/>
      <c r="C1733" s="384">
        <v>45746.0</v>
      </c>
      <c r="D1733" s="65">
        <v>5034.0</v>
      </c>
      <c r="E1733" s="445" t="s">
        <v>265</v>
      </c>
      <c r="F1733" s="386">
        <v>2.0</v>
      </c>
      <c r="G1733" s="74">
        <v>620000.0</v>
      </c>
      <c r="H1733" s="74">
        <v>0.0</v>
      </c>
      <c r="I1733" s="74">
        <f t="shared" si="1"/>
        <v>1240000</v>
      </c>
      <c r="J1733" s="74">
        <f>IF(E1733="SERVICE",I1733-(I1733*50%),Vlookup(E1733,DATABASE!C:Q,10,false)*F1733)</f>
        <v>0</v>
      </c>
      <c r="K1733" s="74">
        <v>590000.0</v>
      </c>
      <c r="L1733" s="74">
        <v>590000.0</v>
      </c>
      <c r="M1733" s="74">
        <f t="shared" si="2"/>
        <v>590000</v>
      </c>
      <c r="N1733" s="74">
        <f t="shared" si="3"/>
        <v>60000</v>
      </c>
      <c r="O1733" s="65" t="str">
        <f>VLOOKUP(E1733,DATABASE!C:Q,8,false)</f>
        <v>IBU</v>
      </c>
      <c r="P1733" s="65">
        <f>VLOOKUP(E1733,DATABASE!C:Q,9,False)</f>
        <v>1</v>
      </c>
      <c r="Q1733" s="93" t="str">
        <f>VLOOKUP(E1733,DATABASE!C:Q,4,false)</f>
        <v>Dunlop</v>
      </c>
      <c r="R1733" s="93" t="str">
        <f>VLOOKUP(E1733,DATABASE!C:Q,11,false)</f>
        <v>Tire</v>
      </c>
    </row>
    <row r="1734" ht="22.5" customHeight="1">
      <c r="A1734" s="49"/>
      <c r="C1734" s="384">
        <v>45746.0</v>
      </c>
      <c r="D1734" s="65">
        <v>5035.0</v>
      </c>
      <c r="E1734" s="445" t="s">
        <v>246</v>
      </c>
      <c r="F1734" s="386">
        <v>2.0</v>
      </c>
      <c r="G1734" s="74">
        <v>30000.0</v>
      </c>
      <c r="H1734" s="74">
        <v>0.0</v>
      </c>
      <c r="I1734" s="74">
        <f t="shared" si="1"/>
        <v>60000</v>
      </c>
      <c r="J1734" s="74">
        <f>IF(E1734="SERVICE",I1734-(I1734*50%),Vlookup(E1734,DATABASE!C:Q,10,false)*F1734)</f>
        <v>0</v>
      </c>
      <c r="K1734" s="74">
        <f>VLOOKUP(E1734,DATABASE!C:Q,7,false)</f>
        <v>0</v>
      </c>
      <c r="L1734" s="74">
        <v>0.0</v>
      </c>
      <c r="M1734" s="74">
        <f t="shared" si="2"/>
        <v>0</v>
      </c>
      <c r="N1734" s="74">
        <f t="shared" si="3"/>
        <v>60000</v>
      </c>
      <c r="O1734" s="65" t="str">
        <f>VLOOKUP(E1734,DATABASE!C:Q,8,false)</f>
        <v>IBU</v>
      </c>
      <c r="P1734" s="65">
        <f>VLOOKUP(E1734,DATABASE!C:Q,9,False)</f>
        <v>0</v>
      </c>
      <c r="Q1734" s="93" t="str">
        <f>VLOOKUP(E1734,DATABASE!C:Q,4,false)</f>
        <v>Bongkar Pasang</v>
      </c>
      <c r="R1734" s="93" t="str">
        <f>VLOOKUP(E1734,DATABASE!C:Q,11,false)</f>
        <v>SERVICE</v>
      </c>
    </row>
    <row r="1735" ht="22.5" customHeight="1">
      <c r="A1735" s="49"/>
      <c r="C1735" s="384">
        <v>45746.0</v>
      </c>
      <c r="D1735" s="65">
        <v>5035.0</v>
      </c>
      <c r="E1735" s="385" t="s">
        <v>299</v>
      </c>
      <c r="F1735" s="386">
        <v>2.0</v>
      </c>
      <c r="G1735" s="74">
        <v>30000.0</v>
      </c>
      <c r="H1735" s="74">
        <v>0.0</v>
      </c>
      <c r="I1735" s="74">
        <f t="shared" si="1"/>
        <v>60000</v>
      </c>
      <c r="J1735" s="74">
        <f>IF(E1735="SERVICE",I1735-(I1735*50%),Vlookup(E1735,DATABASE!C:Q,10,false)*F1735)</f>
        <v>0</v>
      </c>
      <c r="K1735" s="74">
        <v>0.0</v>
      </c>
      <c r="L1735" s="74">
        <v>0.0</v>
      </c>
      <c r="M1735" s="74">
        <f t="shared" si="2"/>
        <v>0</v>
      </c>
      <c r="N1735" s="74">
        <f t="shared" si="3"/>
        <v>60000</v>
      </c>
      <c r="O1735" s="65" t="str">
        <f>VLOOKUP(E1735,DATABASE!C:Q,8,false)</f>
        <v>BIAN</v>
      </c>
      <c r="P1735" s="65">
        <f>VLOOKUP(E1735,DATABASE!C:Q,9,False)</f>
        <v>0</v>
      </c>
      <c r="Q1735" s="93" t="str">
        <f>VLOOKUP(E1735,DATABASE!C:Q,4,false)</f>
        <v>Balancing</v>
      </c>
      <c r="R1735" s="93" t="str">
        <f>VLOOKUP(E1735,DATABASE!C:Q,11,false)</f>
        <v>COMPLEMENTARY</v>
      </c>
    </row>
    <row r="1736" ht="22.5" customHeight="1">
      <c r="A1736" s="49"/>
      <c r="C1736" s="384">
        <v>45746.0</v>
      </c>
      <c r="D1736" s="65">
        <v>5035.0</v>
      </c>
      <c r="E1736" s="445" t="s">
        <v>301</v>
      </c>
      <c r="F1736" s="386">
        <v>1.0</v>
      </c>
      <c r="G1736" s="74">
        <v>250000.0</v>
      </c>
      <c r="H1736" s="74">
        <v>0.0</v>
      </c>
      <c r="I1736" s="74">
        <f t="shared" si="1"/>
        <v>250000</v>
      </c>
      <c r="J1736" s="74">
        <f>IF(E1736="SERVICE",I1736-(I1736*50%),Vlookup(E1736,DATABASE!C:Q,10,false)*F1736)</f>
        <v>75000</v>
      </c>
      <c r="K1736" s="74">
        <f>VLOOKUP(E1736,DATABASE!C:Q,7,false)</f>
        <v>75000</v>
      </c>
      <c r="L1736" s="74">
        <v>75000.0</v>
      </c>
      <c r="M1736" s="74">
        <f t="shared" si="2"/>
        <v>75000</v>
      </c>
      <c r="N1736" s="74">
        <f t="shared" si="3"/>
        <v>100000</v>
      </c>
      <c r="O1736" s="65" t="str">
        <f>VLOOKUP(E1736,DATABASE!C:Q,8,false)</f>
        <v>BIAN</v>
      </c>
      <c r="P1736" s="65">
        <f>VLOOKUP(E1736,DATABASE!C:Q,9,False)</f>
        <v>0</v>
      </c>
      <c r="Q1736" s="93" t="str">
        <f>VLOOKUP(E1736,DATABASE!C:Q,4,false)</f>
        <v>Baut Camber</v>
      </c>
      <c r="R1736" s="93" t="str">
        <f>VLOOKUP(E1736,DATABASE!C:Q,11,false)</f>
        <v>COMPLEMENTARY</v>
      </c>
    </row>
    <row r="1737" ht="22.5" customHeight="1">
      <c r="A1737" s="49"/>
      <c r="C1737" s="384">
        <v>45746.0</v>
      </c>
      <c r="D1737" s="65">
        <v>5035.0</v>
      </c>
      <c r="E1737" s="445" t="s">
        <v>256</v>
      </c>
      <c r="F1737" s="386">
        <v>1.0</v>
      </c>
      <c r="G1737" s="74">
        <v>130000.0</v>
      </c>
      <c r="H1737" s="74">
        <v>0.0</v>
      </c>
      <c r="I1737" s="74">
        <f t="shared" si="1"/>
        <v>130000</v>
      </c>
      <c r="J1737" s="74">
        <f>IF(E1737="SERVICE",I1737-(I1737*50%),Vlookup(E1737,DATABASE!C:Q,10,false)*F1737)</f>
        <v>10000</v>
      </c>
      <c r="K1737" s="74">
        <f>VLOOKUP(E1737,DATABASE!C:Q,7,false)</f>
        <v>0</v>
      </c>
      <c r="L1737" s="74">
        <v>0.0</v>
      </c>
      <c r="M1737" s="74">
        <f t="shared" si="2"/>
        <v>0</v>
      </c>
      <c r="N1737" s="74">
        <f t="shared" si="3"/>
        <v>120000</v>
      </c>
      <c r="O1737" s="65" t="str">
        <f>VLOOKUP(E1737,DATABASE!C:Q,8,false)</f>
        <v>IBU</v>
      </c>
      <c r="P1737" s="65">
        <f>VLOOKUP(E1737,DATABASE!C:Q,9,False)</f>
        <v>0</v>
      </c>
      <c r="Q1737" s="93" t="str">
        <f>VLOOKUP(E1737,DATABASE!C:Q,4,false)</f>
        <v>SPOORING</v>
      </c>
      <c r="R1737" s="93" t="str">
        <f>VLOOKUP(E1737,DATABASE!C:Q,11,false)</f>
        <v>SERVICE</v>
      </c>
    </row>
    <row r="1738" ht="22.5" customHeight="1">
      <c r="A1738" s="49"/>
      <c r="C1738" s="384">
        <v>45746.0</v>
      </c>
      <c r="D1738" s="65">
        <v>5036.0</v>
      </c>
      <c r="E1738" s="445" t="s">
        <v>955</v>
      </c>
      <c r="F1738" s="386">
        <v>2.0</v>
      </c>
      <c r="G1738" s="74">
        <v>770000.0</v>
      </c>
      <c r="H1738" s="74">
        <v>0.0</v>
      </c>
      <c r="I1738" s="74">
        <f t="shared" si="1"/>
        <v>1540000</v>
      </c>
      <c r="J1738" s="74">
        <f>IF(E1738="SERVICE",I1738-(I1738*50%),Vlookup(E1738,DATABASE!C:Q,10,false)*F1738)</f>
        <v>0</v>
      </c>
      <c r="K1738" s="74">
        <f>VLOOKUP(E1738,DATABASE!C:Q,7,false)</f>
        <v>712000</v>
      </c>
      <c r="L1738" s="74">
        <v>674000.0</v>
      </c>
      <c r="M1738" s="74">
        <f t="shared" si="2"/>
        <v>675000</v>
      </c>
      <c r="N1738" s="74">
        <f t="shared" si="3"/>
        <v>190000</v>
      </c>
      <c r="O1738" s="65" t="str">
        <f>VLOOKUP(E1738,DATABASE!C:Q,8,false)</f>
        <v>IBU</v>
      </c>
      <c r="P1738" s="65">
        <f>VLOOKUP(E1738,DATABASE!C:Q,9,False)</f>
        <v>1</v>
      </c>
      <c r="Q1738" s="93" t="str">
        <f>VLOOKUP(E1738,DATABASE!C:Q,4,false)</f>
        <v>Dunlop</v>
      </c>
      <c r="R1738" s="93" t="str">
        <f>VLOOKUP(E1738,DATABASE!C:Q,11,false)</f>
        <v>Tire</v>
      </c>
    </row>
    <row r="1739" ht="22.5" customHeight="1">
      <c r="A1739" s="49"/>
      <c r="C1739" s="384">
        <v>45746.0</v>
      </c>
      <c r="D1739" s="65">
        <v>5057.0</v>
      </c>
      <c r="E1739" s="445" t="s">
        <v>268</v>
      </c>
      <c r="F1739" s="386">
        <v>2.0</v>
      </c>
      <c r="G1739" s="74">
        <v>700000.0</v>
      </c>
      <c r="H1739" s="74">
        <v>0.0</v>
      </c>
      <c r="I1739" s="74">
        <f t="shared" si="1"/>
        <v>1400000</v>
      </c>
      <c r="J1739" s="74">
        <f>IF(E1739="SERVICE",I1739-(I1739*50%),Vlookup(E1739,DATABASE!C:Q,10,false)*F1739)</f>
        <v>0</v>
      </c>
      <c r="K1739" s="74">
        <v>613000.0</v>
      </c>
      <c r="L1739" s="74">
        <v>613000.0</v>
      </c>
      <c r="M1739" s="74">
        <f t="shared" si="2"/>
        <v>615000</v>
      </c>
      <c r="N1739" s="74">
        <f t="shared" si="3"/>
        <v>170000</v>
      </c>
      <c r="O1739" s="65" t="str">
        <f>VLOOKUP(E1739,DATABASE!C:Q,8,false)</f>
        <v>IBU</v>
      </c>
      <c r="P1739" s="65">
        <f>VLOOKUP(E1739,DATABASE!C:Q,9,False)</f>
        <v>1</v>
      </c>
      <c r="Q1739" s="93" t="str">
        <f>VLOOKUP(E1739,DATABASE!C:Q,4,false)</f>
        <v>Dunlop</v>
      </c>
      <c r="R1739" s="93" t="str">
        <f>VLOOKUP(E1739,DATABASE!C:Q,11,false)</f>
        <v>Tire</v>
      </c>
    </row>
    <row r="1740" ht="22.5" customHeight="1">
      <c r="A1740" s="49"/>
      <c r="C1740" s="384">
        <v>45751.0</v>
      </c>
      <c r="D1740" s="65">
        <v>5037.0</v>
      </c>
      <c r="E1740" s="445" t="s">
        <v>2140</v>
      </c>
      <c r="F1740" s="386">
        <v>1.0</v>
      </c>
      <c r="G1740" s="74">
        <v>350000.0</v>
      </c>
      <c r="H1740" s="74">
        <v>0.0</v>
      </c>
      <c r="I1740" s="74">
        <f t="shared" si="1"/>
        <v>350000</v>
      </c>
      <c r="J1740" s="74">
        <f>IF(E1740="SERVICE",I1740-(I1740*50%),Vlookup(E1740,DATABASE!C:Q,10,false)*F1740)</f>
        <v>0</v>
      </c>
      <c r="K1740" s="74">
        <f>VLOOKUP(E1740,DATABASE!C:Q,7,false)</f>
        <v>5000</v>
      </c>
      <c r="L1740" s="74">
        <v>0.0</v>
      </c>
      <c r="M1740" s="74">
        <f t="shared" si="2"/>
        <v>0</v>
      </c>
      <c r="N1740" s="74">
        <f t="shared" si="3"/>
        <v>350000</v>
      </c>
      <c r="O1740" s="65" t="str">
        <f>VLOOKUP(E1740,DATABASE!C:Q,8,false)</f>
        <v>IBU</v>
      </c>
      <c r="P1740" s="65">
        <f>VLOOKUP(E1740,DATABASE!C:Q,9,False)</f>
        <v>0</v>
      </c>
      <c r="Q1740" s="93" t="str">
        <f>VLOOKUP(E1740,DATABASE!C:Q,4,false)</f>
        <v>PENTIL + PASANG</v>
      </c>
      <c r="R1740" s="93" t="str">
        <f>VLOOKUP(E1740,DATABASE!C:Q,11,false)</f>
        <v>COMPLEMENTARY</v>
      </c>
    </row>
    <row r="1741" ht="22.5" customHeight="1">
      <c r="A1741" s="49"/>
      <c r="C1741" s="384">
        <v>45751.0</v>
      </c>
      <c r="D1741" s="65">
        <v>5038.0</v>
      </c>
      <c r="E1741" s="445" t="s">
        <v>932</v>
      </c>
      <c r="F1741" s="386">
        <v>1.0</v>
      </c>
      <c r="G1741" s="74">
        <v>660000.0</v>
      </c>
      <c r="H1741" s="74">
        <v>0.0</v>
      </c>
      <c r="I1741" s="74">
        <f t="shared" si="1"/>
        <v>660000</v>
      </c>
      <c r="J1741" s="74">
        <f>IF(E1741="SERVICE",I1741-(I1741*50%),Vlookup(E1741,DATABASE!C:Q,10,false)*F1741)</f>
        <v>0</v>
      </c>
      <c r="K1741" s="74">
        <v>575000.0</v>
      </c>
      <c r="L1741" s="74">
        <v>575000.0</v>
      </c>
      <c r="M1741" s="74">
        <f t="shared" si="2"/>
        <v>575000</v>
      </c>
      <c r="N1741" s="74">
        <f t="shared" si="3"/>
        <v>85000</v>
      </c>
      <c r="O1741" s="65" t="str">
        <f>VLOOKUP(E1741,DATABASE!C:Q,8,false)</f>
        <v>IBU</v>
      </c>
      <c r="P1741" s="65">
        <f>VLOOKUP(E1741,DATABASE!C:Q,9,False)</f>
        <v>1</v>
      </c>
      <c r="Q1741" s="93" t="str">
        <f>VLOOKUP(E1741,DATABASE!C:Q,4,false)</f>
        <v>Dunlop</v>
      </c>
      <c r="R1741" s="93" t="str">
        <f>VLOOKUP(E1741,DATABASE!C:Q,11,false)</f>
        <v>Tire</v>
      </c>
    </row>
    <row r="1742" ht="22.5" customHeight="1">
      <c r="A1742" s="49"/>
      <c r="C1742" s="384">
        <v>45751.0</v>
      </c>
      <c r="D1742" s="65">
        <v>5038.0</v>
      </c>
      <c r="E1742" s="385" t="s">
        <v>299</v>
      </c>
      <c r="F1742" s="386">
        <v>2.0</v>
      </c>
      <c r="G1742" s="74">
        <v>25000.0</v>
      </c>
      <c r="H1742" s="74">
        <v>0.0</v>
      </c>
      <c r="I1742" s="74">
        <f t="shared" si="1"/>
        <v>50000</v>
      </c>
      <c r="J1742" s="74">
        <f>IF(E1742="SERVICE",I1742-(I1742*50%),Vlookup(E1742,DATABASE!C:Q,10,false)*F1742)</f>
        <v>0</v>
      </c>
      <c r="K1742" s="74">
        <v>0.0</v>
      </c>
      <c r="L1742" s="74">
        <v>0.0</v>
      </c>
      <c r="M1742" s="74">
        <f t="shared" si="2"/>
        <v>0</v>
      </c>
      <c r="N1742" s="74">
        <f t="shared" si="3"/>
        <v>50000</v>
      </c>
      <c r="O1742" s="65" t="str">
        <f>VLOOKUP(E1742,DATABASE!C:Q,8,false)</f>
        <v>BIAN</v>
      </c>
      <c r="P1742" s="65">
        <f>VLOOKUP(E1742,DATABASE!C:Q,9,False)</f>
        <v>0</v>
      </c>
      <c r="Q1742" s="93" t="str">
        <f>VLOOKUP(E1742,DATABASE!C:Q,4,false)</f>
        <v>Balancing</v>
      </c>
      <c r="R1742" s="93" t="str">
        <f>VLOOKUP(E1742,DATABASE!C:Q,11,false)</f>
        <v>COMPLEMENTARY</v>
      </c>
    </row>
    <row r="1743" ht="22.5" customHeight="1">
      <c r="A1743" s="49"/>
      <c r="C1743" s="384">
        <v>45751.0</v>
      </c>
      <c r="D1743" s="65">
        <v>5038.0</v>
      </c>
      <c r="E1743" s="445" t="s">
        <v>256</v>
      </c>
      <c r="F1743" s="386">
        <v>1.0</v>
      </c>
      <c r="G1743" s="74">
        <v>130000.0</v>
      </c>
      <c r="H1743" s="74">
        <v>0.0</v>
      </c>
      <c r="I1743" s="74">
        <f t="shared" si="1"/>
        <v>130000</v>
      </c>
      <c r="J1743" s="74">
        <f>IF(E1743="SERVICE",I1743-(I1743*50%),Vlookup(E1743,DATABASE!C:Q,10,false)*F1743)</f>
        <v>10000</v>
      </c>
      <c r="K1743" s="74">
        <f>VLOOKUP(E1743,DATABASE!C:Q,7,false)</f>
        <v>0</v>
      </c>
      <c r="L1743" s="74">
        <v>0.0</v>
      </c>
      <c r="M1743" s="74">
        <f t="shared" si="2"/>
        <v>0</v>
      </c>
      <c r="N1743" s="74">
        <f t="shared" si="3"/>
        <v>120000</v>
      </c>
      <c r="O1743" s="65" t="str">
        <f>VLOOKUP(E1743,DATABASE!C:Q,8,false)</f>
        <v>IBU</v>
      </c>
      <c r="P1743" s="65">
        <f>VLOOKUP(E1743,DATABASE!C:Q,9,False)</f>
        <v>0</v>
      </c>
      <c r="Q1743" s="93" t="str">
        <f>VLOOKUP(E1743,DATABASE!C:Q,4,false)</f>
        <v>SPOORING</v>
      </c>
      <c r="R1743" s="93" t="str">
        <f>VLOOKUP(E1743,DATABASE!C:Q,11,false)</f>
        <v>SERVICE</v>
      </c>
    </row>
    <row r="1744" ht="22.5" customHeight="1">
      <c r="A1744" s="49"/>
      <c r="C1744" s="384">
        <v>45751.0</v>
      </c>
      <c r="D1744" s="65">
        <v>5039.0</v>
      </c>
      <c r="E1744" s="445" t="s">
        <v>566</v>
      </c>
      <c r="F1744" s="386">
        <v>1.0</v>
      </c>
      <c r="G1744" s="74">
        <v>1670000.0</v>
      </c>
      <c r="H1744" s="74">
        <v>0.0</v>
      </c>
      <c r="I1744" s="74">
        <f t="shared" si="1"/>
        <v>1670000</v>
      </c>
      <c r="J1744" s="74">
        <f>IF(E1744="SERVICE",I1744-(I1744*50%),Vlookup(E1744,DATABASE!C:Q,10,false)*F1744)</f>
        <v>0</v>
      </c>
      <c r="K1744" s="140">
        <v>1570000.0</v>
      </c>
      <c r="L1744" s="140">
        <v>1570000.0</v>
      </c>
      <c r="M1744" s="74">
        <f t="shared" si="2"/>
        <v>1570000</v>
      </c>
      <c r="N1744" s="74">
        <f t="shared" si="3"/>
        <v>100000</v>
      </c>
      <c r="O1744" s="65" t="str">
        <f>VLOOKUP(E1744,DATABASE!C:Q,8,false)</f>
        <v>IBU</v>
      </c>
      <c r="P1744" s="65">
        <f>VLOOKUP(E1744,DATABASE!C:Q,9,False)</f>
        <v>1</v>
      </c>
      <c r="Q1744" s="93" t="str">
        <f>VLOOKUP(E1744,DATABASE!C:Q,4,false)</f>
        <v>Bridgestone</v>
      </c>
      <c r="R1744" s="93" t="str">
        <f>VLOOKUP(E1744,DATABASE!C:Q,11,false)</f>
        <v>Tire</v>
      </c>
    </row>
    <row r="1745" ht="22.5" customHeight="1">
      <c r="A1745" s="49"/>
      <c r="C1745" s="384">
        <v>45751.0</v>
      </c>
      <c r="D1745" s="65">
        <v>5040.0</v>
      </c>
      <c r="E1745" s="445" t="s">
        <v>256</v>
      </c>
      <c r="F1745" s="386">
        <v>1.0</v>
      </c>
      <c r="G1745" s="74">
        <v>130000.0</v>
      </c>
      <c r="H1745" s="74">
        <v>0.0</v>
      </c>
      <c r="I1745" s="74">
        <f t="shared" si="1"/>
        <v>130000</v>
      </c>
      <c r="J1745" s="74">
        <f>IF(E1745="SERVICE",I1745-(I1745*50%),Vlookup(E1745,DATABASE!C:Q,10,false)*F1745)</f>
        <v>10000</v>
      </c>
      <c r="K1745" s="74">
        <f>VLOOKUP(E1745,DATABASE!C:Q,7,false)</f>
        <v>0</v>
      </c>
      <c r="L1745" s="74">
        <v>0.0</v>
      </c>
      <c r="M1745" s="74">
        <f t="shared" si="2"/>
        <v>0</v>
      </c>
      <c r="N1745" s="74">
        <f t="shared" si="3"/>
        <v>120000</v>
      </c>
      <c r="O1745" s="65" t="str">
        <f>VLOOKUP(E1745,DATABASE!C:Q,8,false)</f>
        <v>IBU</v>
      </c>
      <c r="P1745" s="65">
        <f>VLOOKUP(E1745,DATABASE!C:Q,9,False)</f>
        <v>0</v>
      </c>
      <c r="Q1745" s="93" t="str">
        <f>VLOOKUP(E1745,DATABASE!C:Q,4,false)</f>
        <v>SPOORING</v>
      </c>
      <c r="R1745" s="93" t="str">
        <f>VLOOKUP(E1745,DATABASE!C:Q,11,false)</f>
        <v>SERVICE</v>
      </c>
    </row>
    <row r="1746" ht="22.5" customHeight="1">
      <c r="A1746" s="49"/>
      <c r="C1746" s="384">
        <v>45751.0</v>
      </c>
      <c r="D1746" s="65">
        <v>5040.0</v>
      </c>
      <c r="E1746" s="445" t="s">
        <v>251</v>
      </c>
      <c r="F1746" s="386">
        <v>1.0</v>
      </c>
      <c r="G1746" s="74">
        <v>150000.0</v>
      </c>
      <c r="H1746" s="74">
        <v>0.0</v>
      </c>
      <c r="I1746" s="74">
        <f t="shared" si="1"/>
        <v>150000</v>
      </c>
      <c r="J1746" s="74">
        <f>IF(E1746="SERVICE",I1746-(I1746*50%),Vlookup(E1746,DATABASE!C:Q,10,false)*F1746)</f>
        <v>75000</v>
      </c>
      <c r="K1746" s="74">
        <f>VLOOKUP(E1746,DATABASE!C:Q,7,false)</f>
        <v>0</v>
      </c>
      <c r="L1746" s="74">
        <v>0.0</v>
      </c>
      <c r="M1746" s="74">
        <f t="shared" si="2"/>
        <v>0</v>
      </c>
      <c r="N1746" s="74">
        <f t="shared" si="3"/>
        <v>75000</v>
      </c>
      <c r="O1746" s="65" t="str">
        <f>VLOOKUP(E1746,DATABASE!C:Q,8,false)</f>
        <v>IBU</v>
      </c>
      <c r="P1746" s="65">
        <f>VLOOKUP(E1746,DATABASE!C:Q,9,False)</f>
        <v>0</v>
      </c>
      <c r="Q1746" s="93" t="str">
        <f>VLOOKUP(E1746,DATABASE!C:Q,4,false)</f>
        <v>SERVICE</v>
      </c>
      <c r="R1746" s="93" t="str">
        <f>VLOOKUP(E1746,DATABASE!C:Q,11,false)</f>
        <v>SERVICE</v>
      </c>
    </row>
    <row r="1747" ht="22.5" customHeight="1">
      <c r="A1747" s="49"/>
      <c r="C1747" s="384">
        <v>45751.0</v>
      </c>
      <c r="D1747" s="65">
        <v>5043.0</v>
      </c>
      <c r="E1747" s="445" t="s">
        <v>251</v>
      </c>
      <c r="F1747" s="386">
        <v>1.0</v>
      </c>
      <c r="G1747" s="74">
        <v>150000.0</v>
      </c>
      <c r="H1747" s="74">
        <v>0.0</v>
      </c>
      <c r="I1747" s="74">
        <f t="shared" si="1"/>
        <v>150000</v>
      </c>
      <c r="J1747" s="74">
        <f>IF(E1747="SERVICE",I1747-(I1747*50%),Vlookup(E1747,DATABASE!C:Q,10,false)*F1747)</f>
        <v>75000</v>
      </c>
      <c r="K1747" s="74">
        <f>VLOOKUP(E1747,DATABASE!C:Q,7,false)</f>
        <v>0</v>
      </c>
      <c r="L1747" s="74">
        <v>0.0</v>
      </c>
      <c r="M1747" s="74">
        <f t="shared" si="2"/>
        <v>0</v>
      </c>
      <c r="N1747" s="74">
        <f t="shared" si="3"/>
        <v>75000</v>
      </c>
      <c r="O1747" s="65" t="str">
        <f>VLOOKUP(E1747,DATABASE!C:Q,8,false)</f>
        <v>IBU</v>
      </c>
      <c r="P1747" s="65">
        <f>VLOOKUP(E1747,DATABASE!C:Q,9,False)</f>
        <v>0</v>
      </c>
      <c r="Q1747" s="93" t="str">
        <f>VLOOKUP(E1747,DATABASE!C:Q,4,false)</f>
        <v>SERVICE</v>
      </c>
      <c r="R1747" s="93" t="str">
        <f>VLOOKUP(E1747,DATABASE!C:Q,11,false)</f>
        <v>SERVICE</v>
      </c>
    </row>
    <row r="1748" ht="22.5" customHeight="1">
      <c r="A1748" s="49"/>
      <c r="C1748" s="384">
        <v>45751.0</v>
      </c>
      <c r="D1748" s="65">
        <v>5044.0</v>
      </c>
      <c r="E1748" s="445" t="s">
        <v>1974</v>
      </c>
      <c r="F1748" s="386">
        <v>1.0</v>
      </c>
      <c r="G1748" s="74">
        <v>1240000.0</v>
      </c>
      <c r="H1748" s="74">
        <v>0.0</v>
      </c>
      <c r="I1748" s="74">
        <f t="shared" si="1"/>
        <v>1240000</v>
      </c>
      <c r="J1748" s="74">
        <f>IF(E1748="SERVICE",I1748-(I1748*50%),Vlookup(E1748,DATABASE!C:Q,10,false)*F1748)</f>
        <v>0</v>
      </c>
      <c r="K1748" s="74">
        <f>VLOOKUP(E1748,DATABASE!C:Q,7,false)</f>
        <v>1221100</v>
      </c>
      <c r="L1748" s="74">
        <v>1150700.0</v>
      </c>
      <c r="M1748" s="74">
        <f t="shared" si="2"/>
        <v>1155000</v>
      </c>
      <c r="N1748" s="74">
        <f t="shared" si="3"/>
        <v>85000</v>
      </c>
      <c r="O1748" s="65" t="str">
        <f>VLOOKUP(E1748,DATABASE!C:Q,8,false)</f>
        <v>BIAN</v>
      </c>
      <c r="P1748" s="65">
        <f>VLOOKUP(E1748,DATABASE!C:Q,9,False)</f>
        <v>1</v>
      </c>
      <c r="Q1748" s="93" t="str">
        <f>VLOOKUP(E1748,DATABASE!C:Q,4,false)</f>
        <v>GT</v>
      </c>
      <c r="R1748" s="93" t="str">
        <f>VLOOKUP(E1748,DATABASE!C:Q,11,false)</f>
        <v>Tire</v>
      </c>
    </row>
    <row r="1749" ht="22.5" customHeight="1">
      <c r="A1749" s="49"/>
      <c r="C1749" s="384">
        <v>45751.0</v>
      </c>
      <c r="D1749" s="65">
        <v>5045.0</v>
      </c>
      <c r="E1749" s="445" t="s">
        <v>250</v>
      </c>
      <c r="F1749" s="386">
        <v>1.0</v>
      </c>
      <c r="G1749" s="74">
        <v>135000.0</v>
      </c>
      <c r="H1749" s="74">
        <v>0.0</v>
      </c>
      <c r="I1749" s="74">
        <f t="shared" si="1"/>
        <v>135000</v>
      </c>
      <c r="J1749" s="74">
        <f>IF(E1749="SERVICE",I1749-(I1749*50%),Vlookup(E1749,DATABASE!C:Q,10,false)*F1749)</f>
        <v>0</v>
      </c>
      <c r="K1749" s="74">
        <f>VLOOKUP(E1749,DATABASE!C:Q,7,false)</f>
        <v>102000</v>
      </c>
      <c r="L1749" s="74">
        <v>102000.0</v>
      </c>
      <c r="M1749" s="74">
        <f t="shared" si="2"/>
        <v>105000</v>
      </c>
      <c r="N1749" s="74">
        <f t="shared" si="3"/>
        <v>30000</v>
      </c>
      <c r="O1749" s="65" t="str">
        <f>VLOOKUP(E1749,DATABASE!C:Q,8,false)</f>
        <v>BIAN</v>
      </c>
      <c r="P1749" s="65">
        <f>VLOOKUP(E1749,DATABASE!C:Q,9,False)</f>
        <v>1</v>
      </c>
      <c r="Q1749" s="93" t="str">
        <f>VLOOKUP(E1749,DATABASE!C:Q,4,false)</f>
        <v>BD</v>
      </c>
      <c r="R1749" s="93" t="str">
        <f>VLOOKUP(E1749,DATABASE!C:Q,11,false)</f>
        <v>Tire</v>
      </c>
    </row>
    <row r="1750" ht="22.5" customHeight="1">
      <c r="A1750" s="49"/>
      <c r="C1750" s="384">
        <v>45751.0</v>
      </c>
      <c r="D1750" s="65">
        <v>5046.0</v>
      </c>
      <c r="E1750" s="445" t="s">
        <v>268</v>
      </c>
      <c r="F1750" s="386">
        <v>2.0</v>
      </c>
      <c r="G1750" s="74">
        <v>700000.0</v>
      </c>
      <c r="H1750" s="74">
        <v>0.0</v>
      </c>
      <c r="I1750" s="74">
        <f t="shared" si="1"/>
        <v>1400000</v>
      </c>
      <c r="J1750" s="74">
        <f>IF(E1750="SERVICE",I1750-(I1750*50%),Vlookup(E1750,DATABASE!C:Q,10,false)*F1750)</f>
        <v>0</v>
      </c>
      <c r="K1750" s="74">
        <v>613000.0</v>
      </c>
      <c r="L1750" s="74">
        <v>613000.0</v>
      </c>
      <c r="M1750" s="74">
        <f t="shared" si="2"/>
        <v>615000</v>
      </c>
      <c r="N1750" s="74">
        <f t="shared" si="3"/>
        <v>170000</v>
      </c>
      <c r="O1750" s="65" t="str">
        <f>VLOOKUP(E1750,DATABASE!C:Q,8,false)</f>
        <v>IBU</v>
      </c>
      <c r="P1750" s="65">
        <f>VLOOKUP(E1750,DATABASE!C:Q,9,False)</f>
        <v>1</v>
      </c>
      <c r="Q1750" s="93" t="str">
        <f>VLOOKUP(E1750,DATABASE!C:Q,4,false)</f>
        <v>Dunlop</v>
      </c>
      <c r="R1750" s="93" t="str">
        <f>VLOOKUP(E1750,DATABASE!C:Q,11,false)</f>
        <v>Tire</v>
      </c>
    </row>
    <row r="1751" ht="22.5" customHeight="1">
      <c r="A1751" s="49"/>
      <c r="C1751" s="384">
        <v>45751.0</v>
      </c>
      <c r="D1751" s="65">
        <v>5047.0</v>
      </c>
      <c r="E1751" s="445" t="s">
        <v>1507</v>
      </c>
      <c r="F1751" s="386">
        <v>1.0</v>
      </c>
      <c r="G1751" s="74">
        <v>680000.0</v>
      </c>
      <c r="H1751" s="74">
        <v>0.0</v>
      </c>
      <c r="I1751" s="74">
        <f t="shared" si="1"/>
        <v>680000</v>
      </c>
      <c r="J1751" s="74">
        <f>IF(E1751="SERVICE",I1751-(I1751*50%),Vlookup(E1751,DATABASE!C:Q,10,false)*F1751)</f>
        <v>0</v>
      </c>
      <c r="K1751" s="74">
        <f>VLOOKUP(E1751,DATABASE!C:Q,7,false)</f>
        <v>638500</v>
      </c>
      <c r="L1751" s="74">
        <v>638500.0</v>
      </c>
      <c r="M1751" s="74">
        <f t="shared" si="2"/>
        <v>640000</v>
      </c>
      <c r="N1751" s="74">
        <f t="shared" si="3"/>
        <v>40000</v>
      </c>
      <c r="O1751" s="65" t="str">
        <f>VLOOKUP(E1751,DATABASE!C:Q,8,false)</f>
        <v>IBU</v>
      </c>
      <c r="P1751" s="65">
        <f>VLOOKUP(E1751,DATABASE!C:Q,9,False)</f>
        <v>1</v>
      </c>
      <c r="Q1751" s="93" t="str">
        <f>VLOOKUP(E1751,DATABASE!C:Q,4,false)</f>
        <v>Dunlop</v>
      </c>
      <c r="R1751" s="93" t="str">
        <f>VLOOKUP(E1751,DATABASE!C:Q,11,false)</f>
        <v>Tire</v>
      </c>
    </row>
    <row r="1752" ht="22.5" customHeight="1">
      <c r="A1752" s="49"/>
      <c r="C1752" s="384">
        <v>45751.0</v>
      </c>
      <c r="D1752" s="65">
        <v>5048.0</v>
      </c>
      <c r="E1752" s="445" t="s">
        <v>271</v>
      </c>
      <c r="F1752" s="386">
        <v>1.0</v>
      </c>
      <c r="G1752" s="74">
        <v>630000.0</v>
      </c>
      <c r="H1752" s="74">
        <v>0.0</v>
      </c>
      <c r="I1752" s="74">
        <f t="shared" si="1"/>
        <v>630000</v>
      </c>
      <c r="J1752" s="74">
        <f>IF(E1752="SERVICE",I1752-(I1752*50%),Vlookup(E1752,DATABASE!C:Q,10,false)*F1752)</f>
        <v>0</v>
      </c>
      <c r="K1752" s="74">
        <f>VLOOKUP(E1752,DATABASE!C:Q,7,false)</f>
        <v>570000</v>
      </c>
      <c r="L1752" s="74">
        <v>539000.0</v>
      </c>
      <c r="M1752" s="74">
        <f t="shared" si="2"/>
        <v>540000</v>
      </c>
      <c r="N1752" s="74">
        <f t="shared" si="3"/>
        <v>90000</v>
      </c>
      <c r="O1752" s="65" t="str">
        <f>VLOOKUP(E1752,DATABASE!C:Q,8,false)</f>
        <v>IBU</v>
      </c>
      <c r="P1752" s="65">
        <f>VLOOKUP(E1752,DATABASE!C:Q,9,False)</f>
        <v>1</v>
      </c>
      <c r="Q1752" s="93" t="str">
        <f>VLOOKUP(E1752,DATABASE!C:Q,4,false)</f>
        <v>Dunlop</v>
      </c>
      <c r="R1752" s="93" t="str">
        <f>VLOOKUP(E1752,DATABASE!C:Q,11,false)</f>
        <v>Tire</v>
      </c>
    </row>
    <row r="1753" ht="22.5" customHeight="1">
      <c r="A1753" s="49"/>
      <c r="C1753" s="384">
        <v>45751.0</v>
      </c>
      <c r="D1753" s="65">
        <v>5048.0</v>
      </c>
      <c r="E1753" s="445" t="s">
        <v>2199</v>
      </c>
      <c r="F1753" s="386">
        <v>2.0</v>
      </c>
      <c r="G1753" s="74">
        <v>15000.0</v>
      </c>
      <c r="H1753" s="74">
        <v>0.0</v>
      </c>
      <c r="I1753" s="74">
        <f t="shared" si="1"/>
        <v>30000</v>
      </c>
      <c r="J1753" s="74">
        <f>IF(E1753="SERVICE",I1753-(I1753*50%),Vlookup(E1753,DATABASE!C:Q,10,false)*F1753)</f>
        <v>0</v>
      </c>
      <c r="K1753" s="74">
        <f>VLOOKUP(E1753,DATABASE!C:Q,7,false)</f>
        <v>5000</v>
      </c>
      <c r="L1753" s="74">
        <v>0.0</v>
      </c>
      <c r="M1753" s="74">
        <f t="shared" si="2"/>
        <v>0</v>
      </c>
      <c r="N1753" s="74">
        <f t="shared" si="3"/>
        <v>30000</v>
      </c>
      <c r="O1753" s="65" t="str">
        <f>VLOOKUP(E1753,DATABASE!C:Q,8,false)</f>
        <v>BIAN</v>
      </c>
      <c r="P1753" s="65">
        <f>VLOOKUP(E1753,DATABASE!C:Q,9,False)</f>
        <v>0</v>
      </c>
      <c r="Q1753" s="93" t="str">
        <f>VLOOKUP(E1753,DATABASE!C:Q,4,false)</f>
        <v>TAMBAL TUBLES</v>
      </c>
      <c r="R1753" s="93" t="str">
        <f>VLOOKUP(E1753,DATABASE!C:Q,11,false)</f>
        <v>COMPLEMENTARY</v>
      </c>
    </row>
    <row r="1754" ht="22.5" customHeight="1">
      <c r="A1754" s="49"/>
      <c r="C1754" s="384">
        <v>45751.0</v>
      </c>
      <c r="D1754" s="65">
        <v>5049.0</v>
      </c>
      <c r="E1754" s="445" t="s">
        <v>301</v>
      </c>
      <c r="F1754" s="386">
        <v>1.0</v>
      </c>
      <c r="G1754" s="74">
        <v>250000.0</v>
      </c>
      <c r="H1754" s="74">
        <v>0.0</v>
      </c>
      <c r="I1754" s="74">
        <f t="shared" si="1"/>
        <v>250000</v>
      </c>
      <c r="J1754" s="74">
        <f>IF(E1754="SERVICE",I1754-(I1754*50%),Vlookup(E1754,DATABASE!C:Q,10,false)*F1754)</f>
        <v>75000</v>
      </c>
      <c r="K1754" s="74">
        <f>VLOOKUP(E1754,DATABASE!C:Q,7,false)</f>
        <v>75000</v>
      </c>
      <c r="L1754" s="74">
        <v>75000.0</v>
      </c>
      <c r="M1754" s="74">
        <f t="shared" si="2"/>
        <v>75000</v>
      </c>
      <c r="N1754" s="74">
        <f t="shared" si="3"/>
        <v>100000</v>
      </c>
      <c r="O1754" s="65" t="str">
        <f>VLOOKUP(E1754,DATABASE!C:Q,8,false)</f>
        <v>BIAN</v>
      </c>
      <c r="P1754" s="65">
        <f>VLOOKUP(E1754,DATABASE!C:Q,9,False)</f>
        <v>0</v>
      </c>
      <c r="Q1754" s="93" t="str">
        <f>VLOOKUP(E1754,DATABASE!C:Q,4,false)</f>
        <v>Baut Camber</v>
      </c>
      <c r="R1754" s="93" t="str">
        <f>VLOOKUP(E1754,DATABASE!C:Q,11,false)</f>
        <v>COMPLEMENTARY</v>
      </c>
    </row>
    <row r="1755" ht="22.5" customHeight="1">
      <c r="A1755" s="49"/>
      <c r="C1755" s="384">
        <v>45751.0</v>
      </c>
      <c r="D1755" s="65">
        <v>5049.0</v>
      </c>
      <c r="E1755" s="445" t="s">
        <v>256</v>
      </c>
      <c r="F1755" s="386">
        <v>1.0</v>
      </c>
      <c r="G1755" s="74">
        <v>130000.0</v>
      </c>
      <c r="H1755" s="74">
        <v>0.0</v>
      </c>
      <c r="I1755" s="74">
        <f t="shared" si="1"/>
        <v>130000</v>
      </c>
      <c r="J1755" s="74">
        <f>IF(E1755="SERVICE",I1755-(I1755*50%),Vlookup(E1755,DATABASE!C:Q,10,false)*F1755)</f>
        <v>10000</v>
      </c>
      <c r="K1755" s="74">
        <f>VLOOKUP(E1755,DATABASE!C:Q,7,false)</f>
        <v>0</v>
      </c>
      <c r="L1755" s="74">
        <v>0.0</v>
      </c>
      <c r="M1755" s="74">
        <f t="shared" si="2"/>
        <v>0</v>
      </c>
      <c r="N1755" s="74">
        <f t="shared" si="3"/>
        <v>120000</v>
      </c>
      <c r="O1755" s="65" t="str">
        <f>VLOOKUP(E1755,DATABASE!C:Q,8,false)</f>
        <v>IBU</v>
      </c>
      <c r="P1755" s="65">
        <f>VLOOKUP(E1755,DATABASE!C:Q,9,False)</f>
        <v>0</v>
      </c>
      <c r="Q1755" s="93" t="str">
        <f>VLOOKUP(E1755,DATABASE!C:Q,4,false)</f>
        <v>SPOORING</v>
      </c>
      <c r="R1755" s="93" t="str">
        <f>VLOOKUP(E1755,DATABASE!C:Q,11,false)</f>
        <v>SERVICE</v>
      </c>
    </row>
    <row r="1756" ht="22.5" customHeight="1">
      <c r="A1756" s="49"/>
      <c r="C1756" s="384">
        <v>45751.0</v>
      </c>
      <c r="D1756" s="65">
        <v>5050.0</v>
      </c>
      <c r="E1756" s="445" t="s">
        <v>268</v>
      </c>
      <c r="F1756" s="386">
        <v>4.0</v>
      </c>
      <c r="G1756" s="74">
        <v>700000.0</v>
      </c>
      <c r="H1756" s="74">
        <v>0.0</v>
      </c>
      <c r="I1756" s="74">
        <f t="shared" si="1"/>
        <v>2800000</v>
      </c>
      <c r="J1756" s="74">
        <f>IF(E1756="SERVICE",I1756-(I1756*50%),Vlookup(E1756,DATABASE!C:Q,10,false)*F1756)</f>
        <v>0</v>
      </c>
      <c r="K1756" s="74">
        <v>613000.0</v>
      </c>
      <c r="L1756" s="74">
        <v>613000.0</v>
      </c>
      <c r="M1756" s="74">
        <f t="shared" si="2"/>
        <v>615000</v>
      </c>
      <c r="N1756" s="74">
        <f t="shared" si="3"/>
        <v>340000</v>
      </c>
      <c r="O1756" s="65" t="str">
        <f>VLOOKUP(E1756,DATABASE!C:Q,8,false)</f>
        <v>IBU</v>
      </c>
      <c r="P1756" s="65">
        <f>VLOOKUP(E1756,DATABASE!C:Q,9,False)</f>
        <v>1</v>
      </c>
      <c r="Q1756" s="93" t="str">
        <f>VLOOKUP(E1756,DATABASE!C:Q,4,false)</f>
        <v>Dunlop</v>
      </c>
      <c r="R1756" s="93" t="str">
        <f>VLOOKUP(E1756,DATABASE!C:Q,11,false)</f>
        <v>Tire</v>
      </c>
    </row>
    <row r="1757" ht="22.5" customHeight="1">
      <c r="A1757" s="49"/>
      <c r="C1757" s="384">
        <v>45751.0</v>
      </c>
      <c r="D1757" s="65">
        <v>5051.0</v>
      </c>
      <c r="E1757" s="445" t="s">
        <v>279</v>
      </c>
      <c r="F1757" s="386">
        <v>2.0</v>
      </c>
      <c r="G1757" s="74">
        <v>665000.0</v>
      </c>
      <c r="H1757" s="74">
        <v>0.0</v>
      </c>
      <c r="I1757" s="74">
        <f t="shared" si="1"/>
        <v>1330000</v>
      </c>
      <c r="J1757" s="74">
        <f>IF(E1757="SERVICE",I1757-(I1757*50%),Vlookup(E1757,DATABASE!C:Q,10,false)*F1757)</f>
        <v>0</v>
      </c>
      <c r="K1757" s="74">
        <f>VLOOKUP(E1757,DATABASE!C:Q,7,false)</f>
        <v>623000</v>
      </c>
      <c r="L1757" s="74">
        <v>602000.0</v>
      </c>
      <c r="M1757" s="74">
        <f t="shared" si="2"/>
        <v>605000</v>
      </c>
      <c r="N1757" s="74">
        <f t="shared" si="3"/>
        <v>120000</v>
      </c>
      <c r="O1757" s="65" t="str">
        <f>VLOOKUP(E1757,DATABASE!C:Q,8,false)</f>
        <v>IBU</v>
      </c>
      <c r="P1757" s="65">
        <f>VLOOKUP(E1757,DATABASE!C:Q,9,False)</f>
        <v>1</v>
      </c>
      <c r="Q1757" s="93" t="str">
        <f>VLOOKUP(E1757,DATABASE!C:Q,4,false)</f>
        <v>Dunlop</v>
      </c>
      <c r="R1757" s="93" t="str">
        <f>VLOOKUP(E1757,DATABASE!C:Q,11,false)</f>
        <v>Tire</v>
      </c>
    </row>
    <row r="1758" ht="22.5" customHeight="1">
      <c r="A1758" s="49"/>
      <c r="C1758" s="384">
        <v>45751.0</v>
      </c>
      <c r="D1758" s="65">
        <v>5052.0</v>
      </c>
      <c r="E1758" s="445" t="s">
        <v>262</v>
      </c>
      <c r="F1758" s="386">
        <v>1.0</v>
      </c>
      <c r="G1758" s="74">
        <v>110000.0</v>
      </c>
      <c r="H1758" s="74">
        <v>0.0</v>
      </c>
      <c r="I1758" s="74">
        <f t="shared" si="1"/>
        <v>110000</v>
      </c>
      <c r="J1758" s="74">
        <f>IF(E1758="SERVICE",I1758-(I1758*50%),Vlookup(E1758,DATABASE!C:Q,10,false)*F1758)</f>
        <v>5000</v>
      </c>
      <c r="K1758" s="74">
        <f>VLOOKUP(E1758,DATABASE!C:Q,7,false)</f>
        <v>0</v>
      </c>
      <c r="L1758" s="74">
        <v>0.0</v>
      </c>
      <c r="M1758" s="74">
        <f t="shared" si="2"/>
        <v>0</v>
      </c>
      <c r="N1758" s="74">
        <f t="shared" si="3"/>
        <v>105000</v>
      </c>
      <c r="O1758" s="65" t="str">
        <f>VLOOKUP(E1758,DATABASE!C:Q,8,false)</f>
        <v>IBU</v>
      </c>
      <c r="P1758" s="65">
        <f>VLOOKUP(E1758,DATABASE!C:Q,9,False)</f>
        <v>0</v>
      </c>
      <c r="Q1758" s="93" t="str">
        <f>VLOOKUP(E1758,DATABASE!C:Q,4,false)</f>
        <v>SPOORING SS/CARRY LOS BAK</v>
      </c>
      <c r="R1758" s="93" t="str">
        <f>VLOOKUP(E1758,DATABASE!C:Q,11,false)</f>
        <v>SERVICE</v>
      </c>
    </row>
    <row r="1759" ht="22.5" customHeight="1">
      <c r="A1759" s="49"/>
      <c r="C1759" s="384">
        <v>45751.0</v>
      </c>
      <c r="D1759" s="65">
        <v>5052.0</v>
      </c>
      <c r="E1759" s="445" t="s">
        <v>268</v>
      </c>
      <c r="F1759" s="386">
        <v>2.0</v>
      </c>
      <c r="G1759" s="74">
        <v>700000.0</v>
      </c>
      <c r="H1759" s="74">
        <v>0.0</v>
      </c>
      <c r="I1759" s="74">
        <f t="shared" si="1"/>
        <v>1400000</v>
      </c>
      <c r="J1759" s="74">
        <f>IF(E1759="SERVICE",I1759-(I1759*50%),Vlookup(E1759,DATABASE!C:Q,10,false)*F1759)</f>
        <v>0</v>
      </c>
      <c r="K1759" s="74">
        <v>613000.0</v>
      </c>
      <c r="L1759" s="74">
        <v>613000.0</v>
      </c>
      <c r="M1759" s="74">
        <f t="shared" si="2"/>
        <v>615000</v>
      </c>
      <c r="N1759" s="74">
        <f t="shared" si="3"/>
        <v>170000</v>
      </c>
      <c r="O1759" s="65" t="str">
        <f>VLOOKUP(E1759,DATABASE!C:Q,8,false)</f>
        <v>IBU</v>
      </c>
      <c r="P1759" s="65">
        <f>VLOOKUP(E1759,DATABASE!C:Q,9,False)</f>
        <v>1</v>
      </c>
      <c r="Q1759" s="93" t="str">
        <f>VLOOKUP(E1759,DATABASE!C:Q,4,false)</f>
        <v>Dunlop</v>
      </c>
      <c r="R1759" s="93" t="str">
        <f>VLOOKUP(E1759,DATABASE!C:Q,11,false)</f>
        <v>Tire</v>
      </c>
    </row>
    <row r="1760" ht="22.5" customHeight="1">
      <c r="A1760" s="49"/>
      <c r="C1760" s="384">
        <v>45751.0</v>
      </c>
      <c r="D1760" s="65">
        <v>5052.0</v>
      </c>
      <c r="E1760" s="445" t="s">
        <v>275</v>
      </c>
      <c r="F1760" s="386">
        <v>1.0</v>
      </c>
      <c r="G1760" s="74">
        <v>830000.0</v>
      </c>
      <c r="H1760" s="74">
        <v>0.0</v>
      </c>
      <c r="I1760" s="74">
        <f t="shared" si="1"/>
        <v>830000</v>
      </c>
      <c r="J1760" s="74">
        <f>IF(E1760="SERVICE",I1760-(I1760*50%),Vlookup(E1760,DATABASE!C:Q,10,false)*F1760)</f>
        <v>0</v>
      </c>
      <c r="K1760" s="74">
        <v>735000.0</v>
      </c>
      <c r="L1760" s="74">
        <v>735000.0</v>
      </c>
      <c r="M1760" s="74">
        <f t="shared" si="2"/>
        <v>735000</v>
      </c>
      <c r="N1760" s="74">
        <f t="shared" si="3"/>
        <v>95000</v>
      </c>
      <c r="O1760" s="65" t="str">
        <f>VLOOKUP(E1760,DATABASE!C:Q,8,false)</f>
        <v>IBU</v>
      </c>
      <c r="P1760" s="65">
        <f>VLOOKUP(E1760,DATABASE!C:Q,9,False)</f>
        <v>1</v>
      </c>
      <c r="Q1760" s="93" t="str">
        <f>VLOOKUP(E1760,DATABASE!C:Q,4,false)</f>
        <v>Dunlop</v>
      </c>
      <c r="R1760" s="93" t="str">
        <f>VLOOKUP(E1760,DATABASE!C:Q,11,false)</f>
        <v>Tire</v>
      </c>
    </row>
    <row r="1761" ht="22.5" customHeight="1">
      <c r="A1761" s="49"/>
      <c r="C1761" s="384">
        <v>45751.0</v>
      </c>
      <c r="D1761" s="65">
        <v>5053.0</v>
      </c>
      <c r="E1761" s="385" t="s">
        <v>299</v>
      </c>
      <c r="F1761" s="386">
        <v>2.0</v>
      </c>
      <c r="G1761" s="74">
        <v>30000.0</v>
      </c>
      <c r="H1761" s="74">
        <v>0.0</v>
      </c>
      <c r="I1761" s="74">
        <f t="shared" si="1"/>
        <v>60000</v>
      </c>
      <c r="J1761" s="74">
        <f>IF(E1761="SERVICE",I1761-(I1761*50%),Vlookup(E1761,DATABASE!C:Q,10,false)*F1761)</f>
        <v>0</v>
      </c>
      <c r="K1761" s="74">
        <v>0.0</v>
      </c>
      <c r="L1761" s="74">
        <v>0.0</v>
      </c>
      <c r="M1761" s="74">
        <f t="shared" si="2"/>
        <v>0</v>
      </c>
      <c r="N1761" s="74">
        <f t="shared" si="3"/>
        <v>60000</v>
      </c>
      <c r="O1761" s="65" t="str">
        <f>VLOOKUP(E1761,DATABASE!C:Q,8,false)</f>
        <v>BIAN</v>
      </c>
      <c r="P1761" s="65">
        <f>VLOOKUP(E1761,DATABASE!C:Q,9,False)</f>
        <v>0</v>
      </c>
      <c r="Q1761" s="93" t="str">
        <f>VLOOKUP(E1761,DATABASE!C:Q,4,false)</f>
        <v>Balancing</v>
      </c>
      <c r="R1761" s="93" t="str">
        <f>VLOOKUP(E1761,DATABASE!C:Q,11,false)</f>
        <v>COMPLEMENTARY</v>
      </c>
    </row>
    <row r="1762" ht="22.5" customHeight="1">
      <c r="A1762" s="49"/>
      <c r="C1762" s="384">
        <v>45751.0</v>
      </c>
      <c r="D1762" s="65">
        <v>5054.0</v>
      </c>
      <c r="E1762" s="445" t="s">
        <v>268</v>
      </c>
      <c r="F1762" s="386">
        <v>2.0</v>
      </c>
      <c r="G1762" s="74">
        <v>700000.0</v>
      </c>
      <c r="H1762" s="74">
        <v>0.0</v>
      </c>
      <c r="I1762" s="74">
        <f t="shared" si="1"/>
        <v>1400000</v>
      </c>
      <c r="J1762" s="74">
        <f>IF(E1762="SERVICE",I1762-(I1762*50%),Vlookup(E1762,DATABASE!C:Q,10,false)*F1762)</f>
        <v>0</v>
      </c>
      <c r="K1762" s="74">
        <v>613000.0</v>
      </c>
      <c r="L1762" s="74">
        <v>613000.0</v>
      </c>
      <c r="M1762" s="74">
        <f t="shared" si="2"/>
        <v>615000</v>
      </c>
      <c r="N1762" s="74">
        <f t="shared" si="3"/>
        <v>170000</v>
      </c>
      <c r="O1762" s="65" t="str">
        <f>VLOOKUP(E1762,DATABASE!C:Q,8,false)</f>
        <v>IBU</v>
      </c>
      <c r="P1762" s="65">
        <f>VLOOKUP(E1762,DATABASE!C:Q,9,False)</f>
        <v>1</v>
      </c>
      <c r="Q1762" s="93" t="str">
        <f>VLOOKUP(E1762,DATABASE!C:Q,4,false)</f>
        <v>Dunlop</v>
      </c>
      <c r="R1762" s="93" t="str">
        <f>VLOOKUP(E1762,DATABASE!C:Q,11,false)</f>
        <v>Tire</v>
      </c>
    </row>
    <row r="1763" ht="22.5" customHeight="1">
      <c r="A1763" s="49"/>
      <c r="C1763" s="384">
        <v>45752.0</v>
      </c>
      <c r="D1763" s="65">
        <v>5055.0</v>
      </c>
      <c r="E1763" s="445" t="s">
        <v>265</v>
      </c>
      <c r="F1763" s="386">
        <v>2.0</v>
      </c>
      <c r="G1763" s="74">
        <v>670000.0</v>
      </c>
      <c r="H1763" s="74">
        <v>0.0</v>
      </c>
      <c r="I1763" s="74">
        <f t="shared" si="1"/>
        <v>1340000</v>
      </c>
      <c r="J1763" s="74">
        <f>IF(E1763="SERVICE",I1763-(I1763*50%),Vlookup(E1763,DATABASE!C:Q,10,false)*F1763)</f>
        <v>0</v>
      </c>
      <c r="K1763" s="74">
        <v>590000.0</v>
      </c>
      <c r="L1763" s="74">
        <v>590000.0</v>
      </c>
      <c r="M1763" s="74">
        <f t="shared" si="2"/>
        <v>590000</v>
      </c>
      <c r="N1763" s="74">
        <f t="shared" si="3"/>
        <v>160000</v>
      </c>
      <c r="O1763" s="65" t="str">
        <f>VLOOKUP(E1763,DATABASE!C:Q,8,false)</f>
        <v>IBU</v>
      </c>
      <c r="P1763" s="65">
        <f>VLOOKUP(E1763,DATABASE!C:Q,9,False)</f>
        <v>1</v>
      </c>
      <c r="Q1763" s="93" t="str">
        <f>VLOOKUP(E1763,DATABASE!C:Q,4,false)</f>
        <v>Dunlop</v>
      </c>
      <c r="R1763" s="93" t="str">
        <f>VLOOKUP(E1763,DATABASE!C:Q,11,false)</f>
        <v>Tire</v>
      </c>
    </row>
    <row r="1764" ht="22.5" customHeight="1">
      <c r="A1764" s="49"/>
      <c r="C1764" s="384">
        <v>45752.0</v>
      </c>
      <c r="D1764" s="65">
        <v>5056.0</v>
      </c>
      <c r="E1764" s="445" t="s">
        <v>839</v>
      </c>
      <c r="F1764" s="386">
        <v>2.0</v>
      </c>
      <c r="G1764" s="74">
        <v>565000.0</v>
      </c>
      <c r="H1764" s="74">
        <v>0.0</v>
      </c>
      <c r="I1764" s="74">
        <f t="shared" si="1"/>
        <v>1130000</v>
      </c>
      <c r="J1764" s="74">
        <f>IF(E1764="SERVICE",I1764-(I1764*50%),Vlookup(E1764,DATABASE!C:Q,10,false)*F1764)</f>
        <v>0</v>
      </c>
      <c r="K1764" s="74">
        <f>VLOOKUP(E1764,DATABASE!C:Q,7,false)</f>
        <v>512640</v>
      </c>
      <c r="L1764" s="74">
        <v>475700.0</v>
      </c>
      <c r="M1764" s="74">
        <f t="shared" si="2"/>
        <v>480000</v>
      </c>
      <c r="N1764" s="74">
        <f t="shared" si="3"/>
        <v>170000</v>
      </c>
      <c r="O1764" s="65" t="str">
        <f>VLOOKUP(E1764,DATABASE!C:Q,8,false)</f>
        <v>BIAN</v>
      </c>
      <c r="P1764" s="65">
        <f>VLOOKUP(E1764,DATABASE!C:Q,9,False)</f>
        <v>1</v>
      </c>
      <c r="Q1764" s="93" t="str">
        <f>VLOOKUP(E1764,DATABASE!C:Q,4,false)</f>
        <v>GT</v>
      </c>
      <c r="R1764" s="93" t="str">
        <f>VLOOKUP(E1764,DATABASE!C:Q,11,false)</f>
        <v>Tire</v>
      </c>
    </row>
    <row r="1765" ht="22.5" customHeight="1">
      <c r="A1765" s="49"/>
      <c r="C1765" s="384">
        <v>45752.0</v>
      </c>
      <c r="D1765" s="65">
        <v>5058.0</v>
      </c>
      <c r="E1765" s="445" t="s">
        <v>271</v>
      </c>
      <c r="F1765" s="386">
        <v>2.0</v>
      </c>
      <c r="G1765" s="74">
        <v>630000.0</v>
      </c>
      <c r="H1765" s="74">
        <v>0.0</v>
      </c>
      <c r="I1765" s="74">
        <f t="shared" si="1"/>
        <v>1260000</v>
      </c>
      <c r="J1765" s="74">
        <f>IF(E1765="SERVICE",I1765-(I1765*50%),Vlookup(E1765,DATABASE!C:Q,10,false)*F1765)</f>
        <v>0</v>
      </c>
      <c r="K1765" s="74">
        <f>VLOOKUP(E1765,DATABASE!C:Q,7,false)</f>
        <v>570000</v>
      </c>
      <c r="L1765" s="74">
        <v>539000.0</v>
      </c>
      <c r="M1765" s="74">
        <f t="shared" si="2"/>
        <v>540000</v>
      </c>
      <c r="N1765" s="74">
        <f t="shared" si="3"/>
        <v>180000</v>
      </c>
      <c r="O1765" s="65" t="str">
        <f>VLOOKUP(E1765,DATABASE!C:Q,8,false)</f>
        <v>IBU</v>
      </c>
      <c r="P1765" s="65">
        <f>VLOOKUP(E1765,DATABASE!C:Q,9,False)</f>
        <v>1</v>
      </c>
      <c r="Q1765" s="93" t="str">
        <f>VLOOKUP(E1765,DATABASE!C:Q,4,false)</f>
        <v>Dunlop</v>
      </c>
      <c r="R1765" s="93" t="str">
        <f>VLOOKUP(E1765,DATABASE!C:Q,11,false)</f>
        <v>Tire</v>
      </c>
    </row>
    <row r="1766" ht="22.5" customHeight="1">
      <c r="A1766" s="49"/>
      <c r="C1766" s="384">
        <v>45752.0</v>
      </c>
      <c r="D1766" s="65">
        <v>5059.0</v>
      </c>
      <c r="E1766" s="445" t="s">
        <v>256</v>
      </c>
      <c r="F1766" s="386">
        <v>1.0</v>
      </c>
      <c r="G1766" s="74">
        <v>130000.0</v>
      </c>
      <c r="H1766" s="74">
        <v>0.0</v>
      </c>
      <c r="I1766" s="74">
        <f t="shared" si="1"/>
        <v>130000</v>
      </c>
      <c r="J1766" s="74">
        <f>IF(E1766="SERVICE",I1766-(I1766*50%),Vlookup(E1766,DATABASE!C:Q,10,false)*F1766)</f>
        <v>10000</v>
      </c>
      <c r="K1766" s="74">
        <f>VLOOKUP(E1766,DATABASE!C:Q,7,false)</f>
        <v>0</v>
      </c>
      <c r="L1766" s="74">
        <v>0.0</v>
      </c>
      <c r="M1766" s="74">
        <f t="shared" si="2"/>
        <v>0</v>
      </c>
      <c r="N1766" s="74">
        <f t="shared" si="3"/>
        <v>120000</v>
      </c>
      <c r="O1766" s="65" t="str">
        <f>VLOOKUP(E1766,DATABASE!C:Q,8,false)</f>
        <v>IBU</v>
      </c>
      <c r="P1766" s="65">
        <f>VLOOKUP(E1766,DATABASE!C:Q,9,False)</f>
        <v>0</v>
      </c>
      <c r="Q1766" s="93" t="str">
        <f>VLOOKUP(E1766,DATABASE!C:Q,4,false)</f>
        <v>SPOORING</v>
      </c>
      <c r="R1766" s="93" t="str">
        <f>VLOOKUP(E1766,DATABASE!C:Q,11,false)</f>
        <v>SERVICE</v>
      </c>
    </row>
    <row r="1767" ht="22.5" customHeight="1">
      <c r="A1767" s="49"/>
      <c r="C1767" s="384">
        <v>45752.0</v>
      </c>
      <c r="D1767" s="65">
        <v>5059.0</v>
      </c>
      <c r="E1767" s="445" t="s">
        <v>301</v>
      </c>
      <c r="F1767" s="386">
        <v>1.0</v>
      </c>
      <c r="G1767" s="74">
        <v>250000.0</v>
      </c>
      <c r="H1767" s="74">
        <v>0.0</v>
      </c>
      <c r="I1767" s="74">
        <f t="shared" si="1"/>
        <v>250000</v>
      </c>
      <c r="J1767" s="74">
        <f>IF(E1767="SERVICE",I1767-(I1767*50%),Vlookup(E1767,DATABASE!C:Q,10,false)*F1767)</f>
        <v>75000</v>
      </c>
      <c r="K1767" s="74">
        <f>VLOOKUP(E1767,DATABASE!C:Q,7,false)</f>
        <v>75000</v>
      </c>
      <c r="L1767" s="74">
        <v>75000.0</v>
      </c>
      <c r="M1767" s="74">
        <f t="shared" si="2"/>
        <v>75000</v>
      </c>
      <c r="N1767" s="74">
        <f t="shared" si="3"/>
        <v>100000</v>
      </c>
      <c r="O1767" s="65" t="str">
        <f>VLOOKUP(E1767,DATABASE!C:Q,8,false)</f>
        <v>BIAN</v>
      </c>
      <c r="P1767" s="65">
        <f>VLOOKUP(E1767,DATABASE!C:Q,9,False)</f>
        <v>0</v>
      </c>
      <c r="Q1767" s="93" t="str">
        <f>VLOOKUP(E1767,DATABASE!C:Q,4,false)</f>
        <v>Baut Camber</v>
      </c>
      <c r="R1767" s="93" t="str">
        <f>VLOOKUP(E1767,DATABASE!C:Q,11,false)</f>
        <v>COMPLEMENTARY</v>
      </c>
    </row>
    <row r="1768" ht="22.5" customHeight="1">
      <c r="A1768" s="49"/>
      <c r="C1768" s="384">
        <v>45752.0</v>
      </c>
      <c r="D1768" s="65">
        <v>5060.0</v>
      </c>
      <c r="E1768" s="445" t="s">
        <v>271</v>
      </c>
      <c r="F1768" s="386">
        <v>2.0</v>
      </c>
      <c r="G1768" s="74">
        <v>630000.0</v>
      </c>
      <c r="H1768" s="74">
        <v>0.0</v>
      </c>
      <c r="I1768" s="74">
        <f t="shared" si="1"/>
        <v>1260000</v>
      </c>
      <c r="J1768" s="74">
        <f>IF(E1768="SERVICE",I1768-(I1768*50%),Vlookup(E1768,DATABASE!C:Q,10,false)*F1768)</f>
        <v>0</v>
      </c>
      <c r="K1768" s="74">
        <f>VLOOKUP(E1768,DATABASE!C:Q,7,false)</f>
        <v>570000</v>
      </c>
      <c r="L1768" s="74">
        <v>539000.0</v>
      </c>
      <c r="M1768" s="74">
        <f t="shared" si="2"/>
        <v>540000</v>
      </c>
      <c r="N1768" s="74">
        <f t="shared" si="3"/>
        <v>180000</v>
      </c>
      <c r="O1768" s="65" t="str">
        <f>VLOOKUP(E1768,DATABASE!C:Q,8,false)</f>
        <v>IBU</v>
      </c>
      <c r="P1768" s="65">
        <f>VLOOKUP(E1768,DATABASE!C:Q,9,False)</f>
        <v>1</v>
      </c>
      <c r="Q1768" s="93" t="str">
        <f>VLOOKUP(E1768,DATABASE!C:Q,4,false)</f>
        <v>Dunlop</v>
      </c>
      <c r="R1768" s="93" t="str">
        <f>VLOOKUP(E1768,DATABASE!C:Q,11,false)</f>
        <v>Tire</v>
      </c>
    </row>
    <row r="1769" ht="22.5" customHeight="1">
      <c r="A1769" s="49"/>
      <c r="C1769" s="384">
        <v>45752.0</v>
      </c>
      <c r="D1769" s="65">
        <v>5061.0</v>
      </c>
      <c r="E1769" s="445" t="s">
        <v>256</v>
      </c>
      <c r="F1769" s="386">
        <v>1.0</v>
      </c>
      <c r="G1769" s="74">
        <v>130000.0</v>
      </c>
      <c r="H1769" s="74">
        <v>0.0</v>
      </c>
      <c r="I1769" s="74">
        <f t="shared" si="1"/>
        <v>130000</v>
      </c>
      <c r="J1769" s="74">
        <f>IF(E1769="SERVICE",I1769-(I1769*50%),Vlookup(E1769,DATABASE!C:Q,10,false)*F1769)</f>
        <v>10000</v>
      </c>
      <c r="K1769" s="74">
        <f>VLOOKUP(E1769,DATABASE!C:Q,7,false)</f>
        <v>0</v>
      </c>
      <c r="L1769" s="74">
        <v>0.0</v>
      </c>
      <c r="M1769" s="74">
        <f t="shared" si="2"/>
        <v>0</v>
      </c>
      <c r="N1769" s="74">
        <f t="shared" si="3"/>
        <v>120000</v>
      </c>
      <c r="O1769" s="65" t="str">
        <f>VLOOKUP(E1769,DATABASE!C:Q,8,false)</f>
        <v>IBU</v>
      </c>
      <c r="P1769" s="65">
        <f>VLOOKUP(E1769,DATABASE!C:Q,9,False)</f>
        <v>0</v>
      </c>
      <c r="Q1769" s="93" t="str">
        <f>VLOOKUP(E1769,DATABASE!C:Q,4,false)</f>
        <v>SPOORING</v>
      </c>
      <c r="R1769" s="93" t="str">
        <f>VLOOKUP(E1769,DATABASE!C:Q,11,false)</f>
        <v>SERVICE</v>
      </c>
    </row>
    <row r="1770" ht="22.5" customHeight="1">
      <c r="A1770" s="49"/>
      <c r="C1770" s="384">
        <v>45752.0</v>
      </c>
      <c r="D1770" s="65">
        <v>5061.0</v>
      </c>
      <c r="E1770" s="445" t="s">
        <v>301</v>
      </c>
      <c r="F1770" s="386">
        <v>1.0</v>
      </c>
      <c r="G1770" s="74">
        <v>250000.0</v>
      </c>
      <c r="H1770" s="74">
        <v>0.0</v>
      </c>
      <c r="I1770" s="74">
        <f t="shared" si="1"/>
        <v>250000</v>
      </c>
      <c r="J1770" s="74">
        <f>IF(E1770="SERVICE",I1770-(I1770*50%),Vlookup(E1770,DATABASE!C:Q,10,false)*F1770)</f>
        <v>75000</v>
      </c>
      <c r="K1770" s="74">
        <f>VLOOKUP(E1770,DATABASE!C:Q,7,false)</f>
        <v>75000</v>
      </c>
      <c r="L1770" s="74">
        <v>75000.0</v>
      </c>
      <c r="M1770" s="74">
        <f t="shared" si="2"/>
        <v>75000</v>
      </c>
      <c r="N1770" s="74">
        <f t="shared" si="3"/>
        <v>100000</v>
      </c>
      <c r="O1770" s="65" t="str">
        <f>VLOOKUP(E1770,DATABASE!C:Q,8,false)</f>
        <v>BIAN</v>
      </c>
      <c r="P1770" s="65">
        <f>VLOOKUP(E1770,DATABASE!C:Q,9,False)</f>
        <v>0</v>
      </c>
      <c r="Q1770" s="93" t="str">
        <f>VLOOKUP(E1770,DATABASE!C:Q,4,false)</f>
        <v>Baut Camber</v>
      </c>
      <c r="R1770" s="93" t="str">
        <f>VLOOKUP(E1770,DATABASE!C:Q,11,false)</f>
        <v>COMPLEMENTARY</v>
      </c>
    </row>
    <row r="1771" ht="22.5" customHeight="1">
      <c r="A1771" s="49"/>
      <c r="C1771" s="384">
        <v>45752.0</v>
      </c>
      <c r="D1771" s="65">
        <v>5062.0</v>
      </c>
      <c r="E1771" s="445" t="s">
        <v>246</v>
      </c>
      <c r="F1771" s="386">
        <v>1.0</v>
      </c>
      <c r="G1771" s="74">
        <v>25000.0</v>
      </c>
      <c r="H1771" s="74">
        <v>0.0</v>
      </c>
      <c r="I1771" s="74">
        <f t="shared" si="1"/>
        <v>25000</v>
      </c>
      <c r="J1771" s="74">
        <f>IF(E1771="SERVICE",I1771-(I1771*50%),Vlookup(E1771,DATABASE!C:Q,10,false)*F1771)</f>
        <v>0</v>
      </c>
      <c r="K1771" s="74">
        <f>VLOOKUP(E1771,DATABASE!C:Q,7,false)</f>
        <v>0</v>
      </c>
      <c r="L1771" s="74">
        <v>0.0</v>
      </c>
      <c r="M1771" s="74">
        <f t="shared" si="2"/>
        <v>0</v>
      </c>
      <c r="N1771" s="74">
        <f t="shared" si="3"/>
        <v>25000</v>
      </c>
      <c r="O1771" s="65" t="str">
        <f>VLOOKUP(E1771,DATABASE!C:Q,8,false)</f>
        <v>IBU</v>
      </c>
      <c r="P1771" s="65">
        <f>VLOOKUP(E1771,DATABASE!C:Q,9,False)</f>
        <v>0</v>
      </c>
      <c r="Q1771" s="93" t="str">
        <f>VLOOKUP(E1771,DATABASE!C:Q,4,false)</f>
        <v>Bongkar Pasang</v>
      </c>
      <c r="R1771" s="93" t="str">
        <f>VLOOKUP(E1771,DATABASE!C:Q,11,false)</f>
        <v>SERVICE</v>
      </c>
    </row>
    <row r="1772" ht="22.5" customHeight="1">
      <c r="A1772" s="49"/>
      <c r="C1772" s="384">
        <v>45752.0</v>
      </c>
      <c r="D1772" s="65">
        <v>5063.0</v>
      </c>
      <c r="E1772" s="385" t="s">
        <v>299</v>
      </c>
      <c r="F1772" s="386">
        <v>2.0</v>
      </c>
      <c r="G1772" s="74">
        <v>30000.0</v>
      </c>
      <c r="H1772" s="74">
        <v>0.0</v>
      </c>
      <c r="I1772" s="74">
        <f t="shared" si="1"/>
        <v>60000</v>
      </c>
      <c r="J1772" s="74">
        <f>IF(E1772="SERVICE",I1772-(I1772*50%),Vlookup(E1772,DATABASE!C:Q,10,false)*F1772)</f>
        <v>0</v>
      </c>
      <c r="K1772" s="74">
        <v>0.0</v>
      </c>
      <c r="L1772" s="74">
        <v>0.0</v>
      </c>
      <c r="M1772" s="74">
        <f t="shared" si="2"/>
        <v>0</v>
      </c>
      <c r="N1772" s="74">
        <f t="shared" si="3"/>
        <v>60000</v>
      </c>
      <c r="O1772" s="65" t="str">
        <f>VLOOKUP(E1772,DATABASE!C:Q,8,false)</f>
        <v>BIAN</v>
      </c>
      <c r="P1772" s="65">
        <f>VLOOKUP(E1772,DATABASE!C:Q,9,False)</f>
        <v>0</v>
      </c>
      <c r="Q1772" s="93" t="str">
        <f>VLOOKUP(E1772,DATABASE!C:Q,4,false)</f>
        <v>Balancing</v>
      </c>
      <c r="R1772" s="93" t="str">
        <f>VLOOKUP(E1772,DATABASE!C:Q,11,false)</f>
        <v>COMPLEMENTARY</v>
      </c>
    </row>
    <row r="1773" ht="22.5" customHeight="1">
      <c r="A1773" s="49"/>
      <c r="C1773" s="384">
        <v>45752.0</v>
      </c>
      <c r="D1773" s="65">
        <v>5064.0</v>
      </c>
      <c r="E1773" s="445" t="s">
        <v>2155</v>
      </c>
      <c r="F1773" s="386">
        <v>2.0</v>
      </c>
      <c r="G1773" s="74">
        <v>625000.0</v>
      </c>
      <c r="H1773" s="74">
        <v>0.0</v>
      </c>
      <c r="I1773" s="74">
        <f t="shared" si="1"/>
        <v>1250000</v>
      </c>
      <c r="J1773" s="74">
        <f>IF(E1773="SERVICE",I1773-(I1773*50%),Vlookup(E1773,DATABASE!C:Q,10,false)*F1773)</f>
        <v>0</v>
      </c>
      <c r="K1773" s="74">
        <f>VLOOKUP(E1773,DATABASE!C:Q,7,false)</f>
        <v>555000</v>
      </c>
      <c r="L1773" s="74">
        <v>555000.0</v>
      </c>
      <c r="M1773" s="74">
        <f t="shared" si="2"/>
        <v>555000</v>
      </c>
      <c r="N1773" s="74">
        <f t="shared" si="3"/>
        <v>140000</v>
      </c>
      <c r="O1773" s="65" t="str">
        <f>VLOOKUP(E1773,DATABASE!C:Q,8,false)</f>
        <v>BIAN</v>
      </c>
      <c r="P1773" s="65">
        <f>VLOOKUP(E1773,DATABASE!C:Q,9,False)</f>
        <v>1</v>
      </c>
      <c r="Q1773" s="93" t="str">
        <f>VLOOKUP(E1773,DATABASE!C:Q,4,false)</f>
        <v>SAILUN</v>
      </c>
      <c r="R1773" s="93" t="str">
        <f>VLOOKUP(E1773,DATABASE!C:Q,11,false)</f>
        <v>Tire</v>
      </c>
    </row>
    <row r="1774" ht="22.5" customHeight="1">
      <c r="A1774" s="49"/>
      <c r="C1774" s="384">
        <v>45752.0</v>
      </c>
      <c r="D1774" s="65">
        <v>5065.0</v>
      </c>
      <c r="E1774" s="445" t="s">
        <v>1951</v>
      </c>
      <c r="F1774" s="386">
        <v>4.0</v>
      </c>
      <c r="G1774" s="74">
        <v>837500.0</v>
      </c>
      <c r="H1774" s="74">
        <v>0.0</v>
      </c>
      <c r="I1774" s="74">
        <f t="shared" si="1"/>
        <v>3350000</v>
      </c>
      <c r="J1774" s="74">
        <f>IF(E1774="SERVICE",I1774-(I1774*50%),Vlookup(E1774,DATABASE!C:Q,10,false)*F1774)</f>
        <v>0</v>
      </c>
      <c r="K1774" s="74">
        <f>VLOOKUP(E1774,DATABASE!C:Q,7,false)</f>
        <v>757300</v>
      </c>
      <c r="L1774" s="74">
        <v>757300.0</v>
      </c>
      <c r="M1774" s="74">
        <f t="shared" si="2"/>
        <v>760000</v>
      </c>
      <c r="N1774" s="74">
        <f t="shared" si="3"/>
        <v>310000</v>
      </c>
      <c r="O1774" s="65" t="str">
        <f>VLOOKUP(E1774,DATABASE!C:Q,8,false)</f>
        <v>BIAN</v>
      </c>
      <c r="P1774" s="65">
        <f>VLOOKUP(E1774,DATABASE!C:Q,9,False)</f>
        <v>1</v>
      </c>
      <c r="Q1774" s="93" t="str">
        <f>VLOOKUP(E1774,DATABASE!C:Q,4,false)</f>
        <v>GT</v>
      </c>
      <c r="R1774" s="93" t="str">
        <f>VLOOKUP(E1774,DATABASE!C:Q,11,false)</f>
        <v>Tire</v>
      </c>
    </row>
    <row r="1775" ht="22.5" customHeight="1">
      <c r="A1775" s="49"/>
      <c r="C1775" s="384">
        <v>45752.0</v>
      </c>
      <c r="D1775" s="65">
        <v>5065.0</v>
      </c>
      <c r="E1775" s="385" t="s">
        <v>299</v>
      </c>
      <c r="F1775" s="386">
        <v>2.0</v>
      </c>
      <c r="G1775" s="74">
        <v>25000.0</v>
      </c>
      <c r="H1775" s="74">
        <v>0.0</v>
      </c>
      <c r="I1775" s="74">
        <f t="shared" si="1"/>
        <v>50000</v>
      </c>
      <c r="J1775" s="74">
        <f>IF(E1775="SERVICE",I1775-(I1775*50%),Vlookup(E1775,DATABASE!C:Q,10,false)*F1775)</f>
        <v>0</v>
      </c>
      <c r="K1775" s="74">
        <v>0.0</v>
      </c>
      <c r="L1775" s="74">
        <v>0.0</v>
      </c>
      <c r="M1775" s="74">
        <f t="shared" si="2"/>
        <v>0</v>
      </c>
      <c r="N1775" s="74">
        <f t="shared" si="3"/>
        <v>50000</v>
      </c>
      <c r="O1775" s="65" t="str">
        <f>VLOOKUP(E1775,DATABASE!C:Q,8,false)</f>
        <v>BIAN</v>
      </c>
      <c r="P1775" s="65">
        <f>VLOOKUP(E1775,DATABASE!C:Q,9,False)</f>
        <v>0</v>
      </c>
      <c r="Q1775" s="93" t="str">
        <f>VLOOKUP(E1775,DATABASE!C:Q,4,false)</f>
        <v>Balancing</v>
      </c>
      <c r="R1775" s="93" t="str">
        <f>VLOOKUP(E1775,DATABASE!C:Q,11,false)</f>
        <v>COMPLEMENTARY</v>
      </c>
    </row>
    <row r="1776" ht="22.5" customHeight="1">
      <c r="A1776" s="49"/>
      <c r="C1776" s="384">
        <v>45752.0</v>
      </c>
      <c r="D1776" s="65">
        <v>5066.0</v>
      </c>
      <c r="E1776" s="445" t="s">
        <v>878</v>
      </c>
      <c r="F1776" s="386">
        <v>1.0</v>
      </c>
      <c r="G1776" s="74">
        <v>40000.0</v>
      </c>
      <c r="H1776" s="74">
        <v>0.0</v>
      </c>
      <c r="I1776" s="74">
        <f t="shared" si="1"/>
        <v>40000</v>
      </c>
      <c r="J1776" s="74">
        <f>IF(E1776="SERVICE",I1776-(I1776*50%),Vlookup(E1776,DATABASE!C:Q,10,false)*F1776)</f>
        <v>0</v>
      </c>
      <c r="K1776" s="74">
        <f>VLOOKUP(E1776,DATABASE!C:Q,7,false)</f>
        <v>0</v>
      </c>
      <c r="L1776" s="74">
        <v>0.0</v>
      </c>
      <c r="M1776" s="74">
        <f t="shared" si="2"/>
        <v>0</v>
      </c>
      <c r="N1776" s="74">
        <f t="shared" si="3"/>
        <v>40000</v>
      </c>
      <c r="O1776" s="65" t="str">
        <f>VLOOKUP(E1776,DATABASE!C:Q,8,false)</f>
        <v>IBU</v>
      </c>
      <c r="P1776" s="65">
        <f>VLOOKUP(E1776,DATABASE!C:Q,9,False)</f>
        <v>0</v>
      </c>
      <c r="Q1776" s="93" t="str">
        <f>VLOOKUP(E1776,DATABASE!C:Q,4,false)</f>
        <v>Bongkar Pasang 17</v>
      </c>
      <c r="R1776" s="93" t="str">
        <f>VLOOKUP(E1776,DATABASE!C:Q,11,false)</f>
        <v>SERVICE</v>
      </c>
    </row>
    <row r="1777" ht="22.5" customHeight="1">
      <c r="A1777" s="49"/>
      <c r="C1777" s="384">
        <v>45752.0</v>
      </c>
      <c r="D1777" s="65">
        <v>5067.0</v>
      </c>
      <c r="E1777" s="445" t="s">
        <v>262</v>
      </c>
      <c r="F1777" s="386">
        <v>1.0</v>
      </c>
      <c r="G1777" s="74">
        <v>110000.0</v>
      </c>
      <c r="H1777" s="74">
        <v>0.0</v>
      </c>
      <c r="I1777" s="74">
        <f t="shared" si="1"/>
        <v>110000</v>
      </c>
      <c r="J1777" s="74">
        <f>IF(E1777="SERVICE",I1777-(I1777*50%),Vlookup(E1777,DATABASE!C:Q,10,false)*F1777)</f>
        <v>5000</v>
      </c>
      <c r="K1777" s="74">
        <f>VLOOKUP(E1777,DATABASE!C:Q,7,false)</f>
        <v>0</v>
      </c>
      <c r="L1777" s="74">
        <v>0.0</v>
      </c>
      <c r="M1777" s="74">
        <f t="shared" si="2"/>
        <v>0</v>
      </c>
      <c r="N1777" s="74">
        <f t="shared" si="3"/>
        <v>105000</v>
      </c>
      <c r="O1777" s="65" t="str">
        <f>VLOOKUP(E1777,DATABASE!C:Q,8,false)</f>
        <v>IBU</v>
      </c>
      <c r="P1777" s="65">
        <f>VLOOKUP(E1777,DATABASE!C:Q,9,False)</f>
        <v>0</v>
      </c>
      <c r="Q1777" s="93" t="str">
        <f>VLOOKUP(E1777,DATABASE!C:Q,4,false)</f>
        <v>SPOORING SS/CARRY LOS BAK</v>
      </c>
      <c r="R1777" s="93" t="str">
        <f>VLOOKUP(E1777,DATABASE!C:Q,11,false)</f>
        <v>SERVICE</v>
      </c>
    </row>
    <row r="1778" ht="22.5" customHeight="1">
      <c r="A1778" s="49"/>
      <c r="C1778" s="384">
        <v>45752.0</v>
      </c>
      <c r="D1778" s="65">
        <v>5067.0</v>
      </c>
      <c r="E1778" s="445" t="s">
        <v>478</v>
      </c>
      <c r="F1778" s="386">
        <v>1.0</v>
      </c>
      <c r="G1778" s="74">
        <v>200000.0</v>
      </c>
      <c r="H1778" s="74">
        <v>0.0</v>
      </c>
      <c r="I1778" s="74">
        <f t="shared" si="1"/>
        <v>200000</v>
      </c>
      <c r="J1778" s="74">
        <f>IF(E1778="SERVICE",I1778-(I1778*50%),Vlookup(E1778,DATABASE!C:Q,10,false)*F1778)</f>
        <v>25000</v>
      </c>
      <c r="K1778" s="74">
        <f>VLOOKUP(E1778,DATABASE!C:Q,7,false)</f>
        <v>75000</v>
      </c>
      <c r="L1778" s="74">
        <v>75000.0</v>
      </c>
      <c r="M1778" s="74">
        <f t="shared" si="2"/>
        <v>75000</v>
      </c>
      <c r="N1778" s="74">
        <f t="shared" si="3"/>
        <v>100000</v>
      </c>
      <c r="O1778" s="65" t="str">
        <f>VLOOKUP(E1778,DATABASE!C:Q,8,false)</f>
        <v>BIAN</v>
      </c>
      <c r="P1778" s="65">
        <f>VLOOKUP(E1778,DATABASE!C:Q,9,False)</f>
        <v>0</v>
      </c>
      <c r="Q1778" s="93" t="str">
        <f>VLOOKUP(E1778,DATABASE!C:Q,4,false)</f>
        <v>Baut Camber ss-carry</v>
      </c>
      <c r="R1778" s="93" t="str">
        <f>VLOOKUP(E1778,DATABASE!C:Q,11,false)</f>
        <v>COMPLEMENTARY</v>
      </c>
    </row>
    <row r="1779" ht="22.5" customHeight="1">
      <c r="A1779" s="49"/>
      <c r="C1779" s="384">
        <v>45752.0</v>
      </c>
      <c r="D1779" s="65">
        <v>5067.0</v>
      </c>
      <c r="E1779" s="445" t="s">
        <v>251</v>
      </c>
      <c r="F1779" s="386">
        <v>1.0</v>
      </c>
      <c r="G1779" s="74">
        <v>70000.0</v>
      </c>
      <c r="H1779" s="74">
        <v>0.0</v>
      </c>
      <c r="I1779" s="74">
        <f t="shared" si="1"/>
        <v>70000</v>
      </c>
      <c r="J1779" s="74">
        <f>IF(E1779="SERVICE",I1779-(I1779*50%),Vlookup(E1779,DATABASE!C:Q,10,false)*F1779)</f>
        <v>35000</v>
      </c>
      <c r="K1779" s="74">
        <f>VLOOKUP(E1779,DATABASE!C:Q,7,false)</f>
        <v>0</v>
      </c>
      <c r="L1779" s="74">
        <v>0.0</v>
      </c>
      <c r="M1779" s="74">
        <f t="shared" si="2"/>
        <v>0</v>
      </c>
      <c r="N1779" s="74">
        <f t="shared" si="3"/>
        <v>35000</v>
      </c>
      <c r="O1779" s="65" t="str">
        <f>VLOOKUP(E1779,DATABASE!C:Q,8,false)</f>
        <v>IBU</v>
      </c>
      <c r="P1779" s="65">
        <f>VLOOKUP(E1779,DATABASE!C:Q,9,False)</f>
        <v>0</v>
      </c>
      <c r="Q1779" s="93" t="str">
        <f>VLOOKUP(E1779,DATABASE!C:Q,4,false)</f>
        <v>SERVICE</v>
      </c>
      <c r="R1779" s="93" t="str">
        <f>VLOOKUP(E1779,DATABASE!C:Q,11,false)</f>
        <v>SERVICE</v>
      </c>
    </row>
    <row r="1780" ht="22.5" customHeight="1">
      <c r="A1780" s="49"/>
      <c r="C1780" s="384">
        <v>45752.0</v>
      </c>
      <c r="D1780" s="65">
        <v>5068.0</v>
      </c>
      <c r="E1780" s="445" t="s">
        <v>955</v>
      </c>
      <c r="F1780" s="386">
        <v>2.0</v>
      </c>
      <c r="G1780" s="74">
        <v>770000.0</v>
      </c>
      <c r="H1780" s="74">
        <v>0.0</v>
      </c>
      <c r="I1780" s="74">
        <f t="shared" si="1"/>
        <v>1540000</v>
      </c>
      <c r="J1780" s="74">
        <f>IF(E1780="SERVICE",I1780-(I1780*50%),Vlookup(E1780,DATABASE!C:Q,10,false)*F1780)</f>
        <v>0</v>
      </c>
      <c r="K1780" s="74">
        <f>VLOOKUP(E1780,DATABASE!C:Q,7,false)</f>
        <v>712000</v>
      </c>
      <c r="L1780" s="74">
        <v>674000.0</v>
      </c>
      <c r="M1780" s="74">
        <f t="shared" si="2"/>
        <v>675000</v>
      </c>
      <c r="N1780" s="74">
        <f t="shared" si="3"/>
        <v>190000</v>
      </c>
      <c r="O1780" s="65" t="str">
        <f>VLOOKUP(E1780,DATABASE!C:Q,8,false)</f>
        <v>IBU</v>
      </c>
      <c r="P1780" s="65">
        <f>VLOOKUP(E1780,DATABASE!C:Q,9,False)</f>
        <v>1</v>
      </c>
      <c r="Q1780" s="93" t="str">
        <f>VLOOKUP(E1780,DATABASE!C:Q,4,false)</f>
        <v>Dunlop</v>
      </c>
      <c r="R1780" s="93" t="str">
        <f>VLOOKUP(E1780,DATABASE!C:Q,11,false)</f>
        <v>Tire</v>
      </c>
    </row>
    <row r="1781" ht="22.5" customHeight="1">
      <c r="A1781" s="49"/>
      <c r="C1781" s="384">
        <v>45752.0</v>
      </c>
      <c r="D1781" s="65">
        <v>5069.0</v>
      </c>
      <c r="E1781" s="445" t="s">
        <v>265</v>
      </c>
      <c r="F1781" s="386">
        <v>4.0</v>
      </c>
      <c r="G1781" s="74">
        <v>670000.0</v>
      </c>
      <c r="H1781" s="74">
        <v>0.0</v>
      </c>
      <c r="I1781" s="74">
        <f t="shared" si="1"/>
        <v>2680000</v>
      </c>
      <c r="J1781" s="74">
        <f>IF(E1781="SERVICE",I1781-(I1781*50%),Vlookup(E1781,DATABASE!C:Q,10,false)*F1781)</f>
        <v>0</v>
      </c>
      <c r="K1781" s="74">
        <v>590000.0</v>
      </c>
      <c r="L1781" s="74">
        <v>590000.0</v>
      </c>
      <c r="M1781" s="74">
        <f t="shared" si="2"/>
        <v>590000</v>
      </c>
      <c r="N1781" s="74">
        <f t="shared" si="3"/>
        <v>320000</v>
      </c>
      <c r="O1781" s="65" t="str">
        <f>VLOOKUP(E1781,DATABASE!C:Q,8,false)</f>
        <v>IBU</v>
      </c>
      <c r="P1781" s="65">
        <f>VLOOKUP(E1781,DATABASE!C:Q,9,False)</f>
        <v>1</v>
      </c>
      <c r="Q1781" s="93" t="str">
        <f>VLOOKUP(E1781,DATABASE!C:Q,4,false)</f>
        <v>Dunlop</v>
      </c>
      <c r="R1781" s="93" t="str">
        <f>VLOOKUP(E1781,DATABASE!C:Q,11,false)</f>
        <v>Tire</v>
      </c>
    </row>
    <row r="1782" ht="22.5" customHeight="1">
      <c r="A1782" s="49"/>
      <c r="C1782" s="384">
        <v>45752.0</v>
      </c>
      <c r="D1782" s="65">
        <v>5070.0</v>
      </c>
      <c r="E1782" s="445" t="s">
        <v>1909</v>
      </c>
      <c r="F1782" s="386">
        <v>1.0</v>
      </c>
      <c r="G1782" s="74">
        <v>600000.0</v>
      </c>
      <c r="H1782" s="74">
        <v>0.0</v>
      </c>
      <c r="I1782" s="74">
        <f t="shared" si="1"/>
        <v>600000</v>
      </c>
      <c r="J1782" s="74">
        <f>IF(E1782="SERVICE",I1782-(I1782*50%),Vlookup(E1782,DATABASE!C:Q,10,false)*F1782)</f>
        <v>0</v>
      </c>
      <c r="K1782" s="74">
        <f>VLOOKUP(E1782,DATABASE!C:Q,7,false)</f>
        <v>516500</v>
      </c>
      <c r="L1782" s="74">
        <v>516500.0</v>
      </c>
      <c r="M1782" s="74">
        <f t="shared" si="2"/>
        <v>520000</v>
      </c>
      <c r="N1782" s="74">
        <f t="shared" si="3"/>
        <v>80000</v>
      </c>
      <c r="O1782" s="65" t="str">
        <f>VLOOKUP(E1782,DATABASE!C:Q,8,false)</f>
        <v>BIAN</v>
      </c>
      <c r="P1782" s="65">
        <f>VLOOKUP(E1782,DATABASE!C:Q,9,False)</f>
        <v>1</v>
      </c>
      <c r="Q1782" s="93" t="str">
        <f>VLOOKUP(E1782,DATABASE!C:Q,4,false)</f>
        <v>GT</v>
      </c>
      <c r="R1782" s="93" t="str">
        <f>VLOOKUP(E1782,DATABASE!C:Q,11,false)</f>
        <v>Tire</v>
      </c>
    </row>
    <row r="1783" ht="22.5" customHeight="1">
      <c r="A1783" s="49"/>
      <c r="C1783" s="384">
        <v>45753.0</v>
      </c>
      <c r="D1783" s="65">
        <v>5071.0</v>
      </c>
      <c r="E1783" s="445" t="s">
        <v>290</v>
      </c>
      <c r="F1783" s="386">
        <v>1.0</v>
      </c>
      <c r="G1783" s="74">
        <v>720000.0</v>
      </c>
      <c r="H1783" s="74">
        <v>0.0</v>
      </c>
      <c r="I1783" s="74">
        <f t="shared" si="1"/>
        <v>720000</v>
      </c>
      <c r="J1783" s="74">
        <f>IF(E1783="SERVICE",I1783-(I1783*50%),Vlookup(E1783,DATABASE!C:Q,10,false)*F1783)</f>
        <v>0</v>
      </c>
      <c r="K1783" s="74">
        <f>VLOOKUP(E1783,DATABASE!C:Q,7,false)</f>
        <v>628100</v>
      </c>
      <c r="L1783" s="74">
        <v>609804.0</v>
      </c>
      <c r="M1783" s="74">
        <f t="shared" si="2"/>
        <v>610000</v>
      </c>
      <c r="N1783" s="74">
        <f t="shared" si="3"/>
        <v>110000</v>
      </c>
      <c r="O1783" s="65" t="str">
        <f>VLOOKUP(E1783,DATABASE!C:Q,8,false)</f>
        <v>BIAN</v>
      </c>
      <c r="P1783" s="65">
        <f>VLOOKUP(E1783,DATABASE!C:Q,9,False)</f>
        <v>1</v>
      </c>
      <c r="Q1783" s="93" t="str">
        <f>VLOOKUP(E1783,DATABASE!C:Q,4,false)</f>
        <v>GT</v>
      </c>
      <c r="R1783" s="93" t="str">
        <f>VLOOKUP(E1783,DATABASE!C:Q,11,false)</f>
        <v>Tire</v>
      </c>
    </row>
    <row r="1784" ht="22.5" customHeight="1">
      <c r="A1784" s="49"/>
      <c r="C1784" s="384">
        <v>45753.0</v>
      </c>
      <c r="D1784" s="65">
        <v>5072.0</v>
      </c>
      <c r="E1784" s="445" t="s">
        <v>1434</v>
      </c>
      <c r="F1784" s="386">
        <v>2.0</v>
      </c>
      <c r="G1784" s="74">
        <v>1000000.0</v>
      </c>
      <c r="H1784" s="74">
        <v>0.0</v>
      </c>
      <c r="I1784" s="74">
        <f t="shared" si="1"/>
        <v>2000000</v>
      </c>
      <c r="J1784" s="74">
        <f>IF(E1784="SERVICE",I1784-(I1784*50%),Vlookup(E1784,DATABASE!C:Q,10,false)*F1784)</f>
        <v>0</v>
      </c>
      <c r="K1784" s="74">
        <f>VLOOKUP(E1784,DATABASE!C:Q,7,false)</f>
        <v>904050</v>
      </c>
      <c r="L1784" s="74">
        <v>904050.0</v>
      </c>
      <c r="M1784" s="74">
        <f t="shared" si="2"/>
        <v>905000</v>
      </c>
      <c r="N1784" s="74">
        <f t="shared" si="3"/>
        <v>190000</v>
      </c>
      <c r="O1784" s="65" t="str">
        <f>VLOOKUP(E1784,DATABASE!C:Q,8,false)</f>
        <v>BIAN</v>
      </c>
      <c r="P1784" s="65">
        <f>VLOOKUP(E1784,DATABASE!C:Q,9,False)</f>
        <v>1</v>
      </c>
      <c r="Q1784" s="93" t="str">
        <f>VLOOKUP(E1784,DATABASE!C:Q,4,false)</f>
        <v>GT</v>
      </c>
      <c r="R1784" s="93" t="str">
        <f>VLOOKUP(E1784,DATABASE!C:Q,11,false)</f>
        <v>Tire</v>
      </c>
    </row>
    <row r="1785" ht="22.5" customHeight="1">
      <c r="A1785" s="49"/>
      <c r="C1785" s="384">
        <v>45753.0</v>
      </c>
      <c r="D1785" s="65">
        <v>5072.0</v>
      </c>
      <c r="E1785" s="385" t="s">
        <v>299</v>
      </c>
      <c r="F1785" s="386">
        <v>2.0</v>
      </c>
      <c r="G1785" s="74">
        <v>30000.0</v>
      </c>
      <c r="H1785" s="74">
        <v>0.0</v>
      </c>
      <c r="I1785" s="74">
        <f t="shared" si="1"/>
        <v>60000</v>
      </c>
      <c r="J1785" s="74">
        <f>IF(E1785="SERVICE",I1785-(I1785*50%),Vlookup(E1785,DATABASE!C:Q,10,false)*F1785)</f>
        <v>0</v>
      </c>
      <c r="K1785" s="74">
        <v>0.0</v>
      </c>
      <c r="L1785" s="74">
        <v>0.0</v>
      </c>
      <c r="M1785" s="74">
        <f t="shared" si="2"/>
        <v>0</v>
      </c>
      <c r="N1785" s="74">
        <f t="shared" si="3"/>
        <v>60000</v>
      </c>
      <c r="O1785" s="65" t="str">
        <f>VLOOKUP(E1785,DATABASE!C:Q,8,false)</f>
        <v>BIAN</v>
      </c>
      <c r="P1785" s="65">
        <f>VLOOKUP(E1785,DATABASE!C:Q,9,False)</f>
        <v>0</v>
      </c>
      <c r="Q1785" s="93" t="str">
        <f>VLOOKUP(E1785,DATABASE!C:Q,4,false)</f>
        <v>Balancing</v>
      </c>
      <c r="R1785" s="93" t="str">
        <f>VLOOKUP(E1785,DATABASE!C:Q,11,false)</f>
        <v>COMPLEMENTARY</v>
      </c>
    </row>
    <row r="1786" ht="22.5" customHeight="1">
      <c r="A1786" s="49"/>
      <c r="C1786" s="384">
        <v>45753.0</v>
      </c>
      <c r="D1786" s="65">
        <v>5072.0</v>
      </c>
      <c r="E1786" s="445" t="s">
        <v>256</v>
      </c>
      <c r="F1786" s="386">
        <v>1.0</v>
      </c>
      <c r="G1786" s="74">
        <v>130000.0</v>
      </c>
      <c r="H1786" s="74">
        <v>0.0</v>
      </c>
      <c r="I1786" s="74">
        <f t="shared" si="1"/>
        <v>130000</v>
      </c>
      <c r="J1786" s="74">
        <f>IF(E1786="SERVICE",I1786-(I1786*50%),Vlookup(E1786,DATABASE!C:Q,10,false)*F1786)</f>
        <v>10000</v>
      </c>
      <c r="K1786" s="74">
        <f>VLOOKUP(E1786,DATABASE!C:Q,7,false)</f>
        <v>0</v>
      </c>
      <c r="L1786" s="74">
        <v>0.0</v>
      </c>
      <c r="M1786" s="74">
        <f t="shared" si="2"/>
        <v>0</v>
      </c>
      <c r="N1786" s="74">
        <f t="shared" si="3"/>
        <v>120000</v>
      </c>
      <c r="O1786" s="65" t="str">
        <f>VLOOKUP(E1786,DATABASE!C:Q,8,false)</f>
        <v>IBU</v>
      </c>
      <c r="P1786" s="65">
        <f>VLOOKUP(E1786,DATABASE!C:Q,9,False)</f>
        <v>0</v>
      </c>
      <c r="Q1786" s="93" t="str">
        <f>VLOOKUP(E1786,DATABASE!C:Q,4,false)</f>
        <v>SPOORING</v>
      </c>
      <c r="R1786" s="93" t="str">
        <f>VLOOKUP(E1786,DATABASE!C:Q,11,false)</f>
        <v>SERVICE</v>
      </c>
    </row>
    <row r="1787" ht="22.5" customHeight="1">
      <c r="A1787" s="49"/>
      <c r="C1787" s="384">
        <v>45753.0</v>
      </c>
      <c r="D1787" s="65">
        <v>5072.0</v>
      </c>
      <c r="E1787" s="445" t="s">
        <v>251</v>
      </c>
      <c r="F1787" s="386">
        <v>1.0</v>
      </c>
      <c r="G1787" s="74">
        <v>150000.0</v>
      </c>
      <c r="H1787" s="74">
        <v>0.0</v>
      </c>
      <c r="I1787" s="74">
        <f t="shared" si="1"/>
        <v>150000</v>
      </c>
      <c r="J1787" s="74">
        <f>IF(E1787="SERVICE",I1787-(I1787*50%),Vlookup(E1787,DATABASE!C:Q,10,false)*F1787)</f>
        <v>75000</v>
      </c>
      <c r="K1787" s="74">
        <f>VLOOKUP(E1787,DATABASE!C:Q,7,false)</f>
        <v>0</v>
      </c>
      <c r="L1787" s="74">
        <v>0.0</v>
      </c>
      <c r="M1787" s="74">
        <f t="shared" si="2"/>
        <v>0</v>
      </c>
      <c r="N1787" s="74">
        <f t="shared" si="3"/>
        <v>75000</v>
      </c>
      <c r="O1787" s="65" t="str">
        <f>VLOOKUP(E1787,DATABASE!C:Q,8,false)</f>
        <v>IBU</v>
      </c>
      <c r="P1787" s="65">
        <f>VLOOKUP(E1787,DATABASE!C:Q,9,False)</f>
        <v>0</v>
      </c>
      <c r="Q1787" s="93" t="str">
        <f>VLOOKUP(E1787,DATABASE!C:Q,4,false)</f>
        <v>SERVICE</v>
      </c>
      <c r="R1787" s="93" t="str">
        <f>VLOOKUP(E1787,DATABASE!C:Q,11,false)</f>
        <v>SERVICE</v>
      </c>
    </row>
    <row r="1788" ht="22.5" customHeight="1">
      <c r="A1788" s="49"/>
      <c r="C1788" s="384">
        <v>45753.0</v>
      </c>
      <c r="D1788" s="65">
        <v>5073.0</v>
      </c>
      <c r="E1788" s="445" t="s">
        <v>622</v>
      </c>
      <c r="F1788" s="386">
        <v>1.0</v>
      </c>
      <c r="G1788" s="74">
        <v>915000.0</v>
      </c>
      <c r="H1788" s="74">
        <v>0.0</v>
      </c>
      <c r="I1788" s="74">
        <f t="shared" si="1"/>
        <v>915000</v>
      </c>
      <c r="J1788" s="74">
        <f>IF(E1788="SERVICE",I1788-(I1788*50%),Vlookup(E1788,DATABASE!C:Q,10,false)*F1788)</f>
        <v>0</v>
      </c>
      <c r="K1788" s="74">
        <f>VLOOKUP(E1788,DATABASE!C:Q,7,false)</f>
        <v>851110.375</v>
      </c>
      <c r="L1788" s="74">
        <v>810342.44</v>
      </c>
      <c r="M1788" s="74">
        <f t="shared" si="2"/>
        <v>815000</v>
      </c>
      <c r="N1788" s="74">
        <f t="shared" si="3"/>
        <v>100000</v>
      </c>
      <c r="O1788" s="65" t="str">
        <f>VLOOKUP(E1788,DATABASE!C:Q,8,false)</f>
        <v>IBU</v>
      </c>
      <c r="P1788" s="65">
        <f>VLOOKUP(E1788,DATABASE!C:Q,9,False)</f>
        <v>1</v>
      </c>
      <c r="Q1788" s="93" t="str">
        <f>VLOOKUP(E1788,DATABASE!C:Q,4,false)</f>
        <v>Bridgestone</v>
      </c>
      <c r="R1788" s="93" t="str">
        <f>VLOOKUP(E1788,DATABASE!C:Q,11,false)</f>
        <v>Tire</v>
      </c>
    </row>
    <row r="1789" ht="22.5" customHeight="1">
      <c r="A1789" s="49"/>
      <c r="C1789" s="384">
        <v>45753.0</v>
      </c>
      <c r="D1789" s="65">
        <v>5074.0</v>
      </c>
      <c r="E1789" s="445" t="s">
        <v>695</v>
      </c>
      <c r="F1789" s="386">
        <v>4.0</v>
      </c>
      <c r="G1789" s="74">
        <v>640000.0</v>
      </c>
      <c r="H1789" s="74">
        <v>0.0</v>
      </c>
      <c r="I1789" s="74">
        <f t="shared" si="1"/>
        <v>2560000</v>
      </c>
      <c r="J1789" s="74">
        <f>IF(E1789="SERVICE",I1789-(I1789*50%),Vlookup(E1789,DATABASE!C:Q,10,false)*F1789)</f>
        <v>0</v>
      </c>
      <c r="K1789" s="74">
        <f>VLOOKUP(E1789,DATABASE!C:Q,7,false)</f>
        <v>582000</v>
      </c>
      <c r="L1789" s="74">
        <v>570000.0</v>
      </c>
      <c r="M1789" s="74">
        <f t="shared" si="2"/>
        <v>570000</v>
      </c>
      <c r="N1789" s="74">
        <f t="shared" si="3"/>
        <v>280000</v>
      </c>
      <c r="O1789" s="65" t="str">
        <f>VLOOKUP(E1789,DATABASE!C:Q,8,false)</f>
        <v>IBU</v>
      </c>
      <c r="P1789" s="65">
        <f>VLOOKUP(E1789,DATABASE!C:Q,9,False)</f>
        <v>1</v>
      </c>
      <c r="Q1789" s="93" t="str">
        <f>VLOOKUP(E1789,DATABASE!C:Q,4,false)</f>
        <v>Dunlop</v>
      </c>
      <c r="R1789" s="93" t="str">
        <f>VLOOKUP(E1789,DATABASE!C:Q,11,false)</f>
        <v>Tire</v>
      </c>
    </row>
    <row r="1790" ht="22.5" customHeight="1">
      <c r="A1790" s="49"/>
      <c r="C1790" s="384">
        <v>45753.0</v>
      </c>
      <c r="D1790" s="65">
        <v>5075.0</v>
      </c>
      <c r="E1790" s="445" t="s">
        <v>955</v>
      </c>
      <c r="F1790" s="386">
        <v>2.0</v>
      </c>
      <c r="G1790" s="74">
        <v>770000.0</v>
      </c>
      <c r="H1790" s="74">
        <v>0.0</v>
      </c>
      <c r="I1790" s="74">
        <f t="shared" si="1"/>
        <v>1540000</v>
      </c>
      <c r="J1790" s="74">
        <f>IF(E1790="SERVICE",I1790-(I1790*50%),Vlookup(E1790,DATABASE!C:Q,10,false)*F1790)</f>
        <v>0</v>
      </c>
      <c r="K1790" s="74">
        <f>VLOOKUP(E1790,DATABASE!C:Q,7,false)</f>
        <v>712000</v>
      </c>
      <c r="L1790" s="74">
        <v>674000.0</v>
      </c>
      <c r="M1790" s="74">
        <f t="shared" si="2"/>
        <v>675000</v>
      </c>
      <c r="N1790" s="74">
        <f t="shared" si="3"/>
        <v>190000</v>
      </c>
      <c r="O1790" s="65" t="str">
        <f>VLOOKUP(E1790,DATABASE!C:Q,8,false)</f>
        <v>IBU</v>
      </c>
      <c r="P1790" s="65">
        <f>VLOOKUP(E1790,DATABASE!C:Q,9,False)</f>
        <v>1</v>
      </c>
      <c r="Q1790" s="93" t="str">
        <f>VLOOKUP(E1790,DATABASE!C:Q,4,false)</f>
        <v>Dunlop</v>
      </c>
      <c r="R1790" s="93" t="str">
        <f>VLOOKUP(E1790,DATABASE!C:Q,11,false)</f>
        <v>Tire</v>
      </c>
    </row>
    <row r="1791" ht="22.5" customHeight="1">
      <c r="A1791" s="49"/>
      <c r="C1791" s="384">
        <v>45753.0</v>
      </c>
      <c r="D1791" s="65">
        <v>5075.0</v>
      </c>
      <c r="E1791" s="445" t="s">
        <v>256</v>
      </c>
      <c r="F1791" s="386">
        <v>1.0</v>
      </c>
      <c r="G1791" s="74">
        <v>130000.0</v>
      </c>
      <c r="H1791" s="74">
        <v>0.0</v>
      </c>
      <c r="I1791" s="74">
        <f t="shared" si="1"/>
        <v>130000</v>
      </c>
      <c r="J1791" s="74">
        <f>IF(E1791="SERVICE",I1791-(I1791*50%),Vlookup(E1791,DATABASE!C:Q,10,false)*F1791)</f>
        <v>10000</v>
      </c>
      <c r="K1791" s="74">
        <f>VLOOKUP(E1791,DATABASE!C:Q,7,false)</f>
        <v>0</v>
      </c>
      <c r="L1791" s="74">
        <v>0.0</v>
      </c>
      <c r="M1791" s="74">
        <f t="shared" si="2"/>
        <v>0</v>
      </c>
      <c r="N1791" s="74">
        <f t="shared" si="3"/>
        <v>120000</v>
      </c>
      <c r="O1791" s="65" t="str">
        <f>VLOOKUP(E1791,DATABASE!C:Q,8,false)</f>
        <v>IBU</v>
      </c>
      <c r="P1791" s="65">
        <f>VLOOKUP(E1791,DATABASE!C:Q,9,False)</f>
        <v>0</v>
      </c>
      <c r="Q1791" s="93" t="str">
        <f>VLOOKUP(E1791,DATABASE!C:Q,4,false)</f>
        <v>SPOORING</v>
      </c>
      <c r="R1791" s="93" t="str">
        <f>VLOOKUP(E1791,DATABASE!C:Q,11,false)</f>
        <v>SERVICE</v>
      </c>
    </row>
    <row r="1792" ht="22.5" customHeight="1">
      <c r="A1792" s="49"/>
      <c r="C1792" s="384">
        <v>45753.0</v>
      </c>
      <c r="D1792" s="65">
        <v>5075.0</v>
      </c>
      <c r="E1792" s="445" t="s">
        <v>301</v>
      </c>
      <c r="F1792" s="386">
        <v>1.0</v>
      </c>
      <c r="G1792" s="74">
        <v>250000.0</v>
      </c>
      <c r="H1792" s="74">
        <v>0.0</v>
      </c>
      <c r="I1792" s="74">
        <f t="shared" si="1"/>
        <v>250000</v>
      </c>
      <c r="J1792" s="74">
        <f>IF(E1792="SERVICE",I1792-(I1792*50%),Vlookup(E1792,DATABASE!C:Q,10,false)*F1792)</f>
        <v>75000</v>
      </c>
      <c r="K1792" s="74">
        <f>VLOOKUP(E1792,DATABASE!C:Q,7,false)</f>
        <v>75000</v>
      </c>
      <c r="L1792" s="74">
        <v>75000.0</v>
      </c>
      <c r="M1792" s="74">
        <f t="shared" si="2"/>
        <v>75000</v>
      </c>
      <c r="N1792" s="74">
        <f t="shared" si="3"/>
        <v>100000</v>
      </c>
      <c r="O1792" s="65" t="str">
        <f>VLOOKUP(E1792,DATABASE!C:Q,8,false)</f>
        <v>BIAN</v>
      </c>
      <c r="P1792" s="65">
        <f>VLOOKUP(E1792,DATABASE!C:Q,9,False)</f>
        <v>0</v>
      </c>
      <c r="Q1792" s="93" t="str">
        <f>VLOOKUP(E1792,DATABASE!C:Q,4,false)</f>
        <v>Baut Camber</v>
      </c>
      <c r="R1792" s="93" t="str">
        <f>VLOOKUP(E1792,DATABASE!C:Q,11,false)</f>
        <v>COMPLEMENTARY</v>
      </c>
    </row>
    <row r="1793" ht="22.5" customHeight="1">
      <c r="A1793" s="49"/>
      <c r="C1793" s="384">
        <v>45754.0</v>
      </c>
      <c r="D1793" s="65">
        <v>5076.0</v>
      </c>
      <c r="E1793" s="445" t="s">
        <v>246</v>
      </c>
      <c r="F1793" s="386">
        <v>2.0</v>
      </c>
      <c r="G1793" s="74">
        <v>30000.0</v>
      </c>
      <c r="H1793" s="74">
        <v>0.0</v>
      </c>
      <c r="I1793" s="74">
        <f t="shared" si="1"/>
        <v>60000</v>
      </c>
      <c r="J1793" s="74">
        <f>IF(E1793="SERVICE",I1793-(I1793*50%),Vlookup(E1793,DATABASE!C:Q,10,false)*F1793)</f>
        <v>0</v>
      </c>
      <c r="K1793" s="74">
        <f>VLOOKUP(E1793,DATABASE!C:Q,7,false)</f>
        <v>0</v>
      </c>
      <c r="L1793" s="74">
        <v>0.0</v>
      </c>
      <c r="M1793" s="74">
        <f t="shared" si="2"/>
        <v>0</v>
      </c>
      <c r="N1793" s="74">
        <f t="shared" si="3"/>
        <v>60000</v>
      </c>
      <c r="O1793" s="65" t="str">
        <f>VLOOKUP(E1793,DATABASE!C:Q,8,false)</f>
        <v>IBU</v>
      </c>
      <c r="P1793" s="65">
        <f>VLOOKUP(E1793,DATABASE!C:Q,9,False)</f>
        <v>0</v>
      </c>
      <c r="Q1793" s="93" t="str">
        <f>VLOOKUP(E1793,DATABASE!C:Q,4,false)</f>
        <v>Bongkar Pasang</v>
      </c>
      <c r="R1793" s="93" t="str">
        <f>VLOOKUP(E1793,DATABASE!C:Q,11,false)</f>
        <v>SERVICE</v>
      </c>
    </row>
    <row r="1794" ht="22.5" customHeight="1">
      <c r="A1794" s="49"/>
      <c r="C1794" s="384">
        <v>45754.0</v>
      </c>
      <c r="D1794" s="65">
        <v>5077.0</v>
      </c>
      <c r="E1794" s="445" t="s">
        <v>1076</v>
      </c>
      <c r="F1794" s="386">
        <v>4.0</v>
      </c>
      <c r="G1794" s="74">
        <v>770000.0</v>
      </c>
      <c r="H1794" s="74">
        <v>0.0</v>
      </c>
      <c r="I1794" s="74">
        <f t="shared" si="1"/>
        <v>3080000</v>
      </c>
      <c r="J1794" s="74">
        <f>IF(E1794="SERVICE",I1794-(I1794*50%),Vlookup(E1794,DATABASE!C:Q,10,false)*F1794)</f>
        <v>0</v>
      </c>
      <c r="K1794" s="74">
        <f>VLOOKUP(E1794,DATABASE!C:Q,7,false)</f>
        <v>666540</v>
      </c>
      <c r="L1794" s="74">
        <v>666540.0</v>
      </c>
      <c r="M1794" s="74">
        <f t="shared" si="2"/>
        <v>670000</v>
      </c>
      <c r="N1794" s="74">
        <f t="shared" si="3"/>
        <v>400000</v>
      </c>
      <c r="O1794" s="65" t="str">
        <f>VLOOKUP(E1794,DATABASE!C:Q,8,false)</f>
        <v>BIAN</v>
      </c>
      <c r="P1794" s="65">
        <f>VLOOKUP(E1794,DATABASE!C:Q,9,False)</f>
        <v>1</v>
      </c>
      <c r="Q1794" s="93" t="str">
        <f>VLOOKUP(E1794,DATABASE!C:Q,4,false)</f>
        <v>GT</v>
      </c>
      <c r="R1794" s="93" t="str">
        <f>VLOOKUP(E1794,DATABASE!C:Q,11,false)</f>
        <v>Tire</v>
      </c>
    </row>
    <row r="1795" ht="22.5" customHeight="1">
      <c r="A1795" s="49"/>
      <c r="C1795" s="384">
        <v>45754.0</v>
      </c>
      <c r="D1795" s="65">
        <v>5077.0</v>
      </c>
      <c r="E1795" s="385" t="s">
        <v>299</v>
      </c>
      <c r="F1795" s="386">
        <v>2.0</v>
      </c>
      <c r="G1795" s="74">
        <v>30000.0</v>
      </c>
      <c r="H1795" s="74">
        <v>0.0</v>
      </c>
      <c r="I1795" s="74">
        <f t="shared" si="1"/>
        <v>60000</v>
      </c>
      <c r="J1795" s="74">
        <f>IF(E1795="SERVICE",I1795-(I1795*50%),Vlookup(E1795,DATABASE!C:Q,10,false)*F1795)</f>
        <v>0</v>
      </c>
      <c r="K1795" s="74">
        <v>0.0</v>
      </c>
      <c r="L1795" s="74">
        <v>0.0</v>
      </c>
      <c r="M1795" s="74">
        <f t="shared" si="2"/>
        <v>0</v>
      </c>
      <c r="N1795" s="74">
        <f t="shared" si="3"/>
        <v>60000</v>
      </c>
      <c r="O1795" s="65" t="str">
        <f>VLOOKUP(E1795,DATABASE!C:Q,8,false)</f>
        <v>BIAN</v>
      </c>
      <c r="P1795" s="65">
        <f>VLOOKUP(E1795,DATABASE!C:Q,9,False)</f>
        <v>0</v>
      </c>
      <c r="Q1795" s="93" t="str">
        <f>VLOOKUP(E1795,DATABASE!C:Q,4,false)</f>
        <v>Balancing</v>
      </c>
      <c r="R1795" s="93" t="str">
        <f>VLOOKUP(E1795,DATABASE!C:Q,11,false)</f>
        <v>COMPLEMENTARY</v>
      </c>
    </row>
    <row r="1796" ht="22.5" customHeight="1">
      <c r="A1796" s="49"/>
      <c r="C1796" s="384">
        <v>45754.0</v>
      </c>
      <c r="D1796" s="65">
        <v>5077.0</v>
      </c>
      <c r="E1796" s="445" t="s">
        <v>256</v>
      </c>
      <c r="F1796" s="386">
        <v>1.0</v>
      </c>
      <c r="G1796" s="74">
        <v>130000.0</v>
      </c>
      <c r="H1796" s="74">
        <v>0.0</v>
      </c>
      <c r="I1796" s="74">
        <f t="shared" si="1"/>
        <v>130000</v>
      </c>
      <c r="J1796" s="74">
        <f>IF(E1796="SERVICE",I1796-(I1796*50%),Vlookup(E1796,DATABASE!C:Q,10,false)*F1796)</f>
        <v>10000</v>
      </c>
      <c r="K1796" s="74">
        <f>VLOOKUP(E1796,DATABASE!C:Q,7,false)</f>
        <v>0</v>
      </c>
      <c r="L1796" s="74">
        <v>0.0</v>
      </c>
      <c r="M1796" s="74">
        <f t="shared" si="2"/>
        <v>0</v>
      </c>
      <c r="N1796" s="74">
        <f t="shared" si="3"/>
        <v>120000</v>
      </c>
      <c r="O1796" s="65" t="str">
        <f>VLOOKUP(E1796,DATABASE!C:Q,8,false)</f>
        <v>IBU</v>
      </c>
      <c r="P1796" s="65">
        <f>VLOOKUP(E1796,DATABASE!C:Q,9,False)</f>
        <v>0</v>
      </c>
      <c r="Q1796" s="93" t="str">
        <f>VLOOKUP(E1796,DATABASE!C:Q,4,false)</f>
        <v>SPOORING</v>
      </c>
      <c r="R1796" s="93" t="str">
        <f>VLOOKUP(E1796,DATABASE!C:Q,11,false)</f>
        <v>SERVICE</v>
      </c>
    </row>
    <row r="1797" ht="22.5" customHeight="1">
      <c r="A1797" s="49"/>
      <c r="C1797" s="384">
        <v>45754.0</v>
      </c>
      <c r="D1797" s="65">
        <v>5077.0</v>
      </c>
      <c r="E1797" s="445" t="s">
        <v>251</v>
      </c>
      <c r="F1797" s="386">
        <v>1.0</v>
      </c>
      <c r="G1797" s="74">
        <v>150000.0</v>
      </c>
      <c r="H1797" s="74">
        <v>0.0</v>
      </c>
      <c r="I1797" s="74">
        <f t="shared" si="1"/>
        <v>150000</v>
      </c>
      <c r="J1797" s="74">
        <f>IF(E1797="SERVICE",I1797-(I1797*50%),Vlookup(E1797,DATABASE!C:Q,10,false)*F1797)</f>
        <v>75000</v>
      </c>
      <c r="K1797" s="74">
        <f>VLOOKUP(E1797,DATABASE!C:Q,7,false)</f>
        <v>0</v>
      </c>
      <c r="L1797" s="74">
        <v>0.0</v>
      </c>
      <c r="M1797" s="74">
        <f t="shared" si="2"/>
        <v>0</v>
      </c>
      <c r="N1797" s="74">
        <f t="shared" si="3"/>
        <v>75000</v>
      </c>
      <c r="O1797" s="65" t="str">
        <f>VLOOKUP(E1797,DATABASE!C:Q,8,false)</f>
        <v>IBU</v>
      </c>
      <c r="P1797" s="65">
        <f>VLOOKUP(E1797,DATABASE!C:Q,9,False)</f>
        <v>0</v>
      </c>
      <c r="Q1797" s="93" t="str">
        <f>VLOOKUP(E1797,DATABASE!C:Q,4,false)</f>
        <v>SERVICE</v>
      </c>
      <c r="R1797" s="93" t="str">
        <f>VLOOKUP(E1797,DATABASE!C:Q,11,false)</f>
        <v>SERVICE</v>
      </c>
    </row>
    <row r="1798" ht="22.5" customHeight="1">
      <c r="A1798" s="49"/>
      <c r="C1798" s="384">
        <v>45754.0</v>
      </c>
      <c r="D1798" s="65">
        <v>5078.0</v>
      </c>
      <c r="E1798" s="445" t="s">
        <v>605</v>
      </c>
      <c r="F1798" s="386">
        <v>2.0</v>
      </c>
      <c r="G1798" s="74">
        <v>760000.0</v>
      </c>
      <c r="H1798" s="74">
        <v>0.0</v>
      </c>
      <c r="I1798" s="74">
        <f t="shared" si="1"/>
        <v>1520000</v>
      </c>
      <c r="J1798" s="74">
        <f>IF(E1798="SERVICE",I1798-(I1798*50%),Vlookup(E1798,DATABASE!C:Q,10,false)*F1798)</f>
        <v>0</v>
      </c>
      <c r="K1798" s="74">
        <v>670000.0</v>
      </c>
      <c r="L1798" s="74">
        <v>670000.0</v>
      </c>
      <c r="M1798" s="74">
        <f t="shared" si="2"/>
        <v>670000</v>
      </c>
      <c r="N1798" s="74">
        <f t="shared" si="3"/>
        <v>180000</v>
      </c>
      <c r="O1798" s="65" t="str">
        <f>VLOOKUP(E1798,DATABASE!C:Q,8,false)</f>
        <v>IBU</v>
      </c>
      <c r="P1798" s="65">
        <f>VLOOKUP(E1798,DATABASE!C:Q,9,False)</f>
        <v>1</v>
      </c>
      <c r="Q1798" s="93" t="str">
        <f>VLOOKUP(E1798,DATABASE!C:Q,4,false)</f>
        <v>Bridgestone</v>
      </c>
      <c r="R1798" s="93" t="str">
        <f>VLOOKUP(E1798,DATABASE!C:Q,11,false)</f>
        <v>Tire</v>
      </c>
    </row>
    <row r="1799" ht="22.5" customHeight="1">
      <c r="A1799" s="49"/>
      <c r="C1799" s="384">
        <v>45754.0</v>
      </c>
      <c r="D1799" s="65">
        <v>5080.0</v>
      </c>
      <c r="E1799" s="445" t="s">
        <v>256</v>
      </c>
      <c r="F1799" s="386">
        <v>1.0</v>
      </c>
      <c r="G1799" s="74">
        <v>130000.0</v>
      </c>
      <c r="H1799" s="74">
        <v>0.0</v>
      </c>
      <c r="I1799" s="74">
        <f t="shared" si="1"/>
        <v>130000</v>
      </c>
      <c r="J1799" s="74">
        <f>IF(E1799="SERVICE",I1799-(I1799*50%),Vlookup(E1799,DATABASE!C:Q,10,false)*F1799)</f>
        <v>10000</v>
      </c>
      <c r="K1799" s="74">
        <f>VLOOKUP(E1799,DATABASE!C:Q,7,false)</f>
        <v>0</v>
      </c>
      <c r="L1799" s="74">
        <v>0.0</v>
      </c>
      <c r="M1799" s="74">
        <f t="shared" si="2"/>
        <v>0</v>
      </c>
      <c r="N1799" s="74">
        <f t="shared" si="3"/>
        <v>120000</v>
      </c>
      <c r="O1799" s="65" t="str">
        <f>VLOOKUP(E1799,DATABASE!C:Q,8,false)</f>
        <v>IBU</v>
      </c>
      <c r="P1799" s="65">
        <f>VLOOKUP(E1799,DATABASE!C:Q,9,False)</f>
        <v>0</v>
      </c>
      <c r="Q1799" s="93" t="str">
        <f>VLOOKUP(E1799,DATABASE!C:Q,4,false)</f>
        <v>SPOORING</v>
      </c>
      <c r="R1799" s="93" t="str">
        <f>VLOOKUP(E1799,DATABASE!C:Q,11,false)</f>
        <v>SERVICE</v>
      </c>
    </row>
    <row r="1800" ht="22.5" customHeight="1">
      <c r="A1800" s="49"/>
      <c r="C1800" s="384">
        <v>45754.0</v>
      </c>
      <c r="D1800" s="65">
        <v>5080.0</v>
      </c>
      <c r="E1800" s="445" t="s">
        <v>301</v>
      </c>
      <c r="F1800" s="386">
        <v>1.0</v>
      </c>
      <c r="G1800" s="74">
        <v>250000.0</v>
      </c>
      <c r="H1800" s="74">
        <v>0.0</v>
      </c>
      <c r="I1800" s="74">
        <f t="shared" si="1"/>
        <v>250000</v>
      </c>
      <c r="J1800" s="74">
        <f>IF(E1800="SERVICE",I1800-(I1800*50%),Vlookup(E1800,DATABASE!C:Q,10,false)*F1800)</f>
        <v>75000</v>
      </c>
      <c r="K1800" s="74">
        <f>VLOOKUP(E1800,DATABASE!C:Q,7,false)</f>
        <v>75000</v>
      </c>
      <c r="L1800" s="74">
        <v>75000.0</v>
      </c>
      <c r="M1800" s="74">
        <f t="shared" si="2"/>
        <v>75000</v>
      </c>
      <c r="N1800" s="74">
        <f t="shared" si="3"/>
        <v>100000</v>
      </c>
      <c r="O1800" s="65" t="str">
        <f>VLOOKUP(E1800,DATABASE!C:Q,8,false)</f>
        <v>BIAN</v>
      </c>
      <c r="P1800" s="65">
        <f>VLOOKUP(E1800,DATABASE!C:Q,9,False)</f>
        <v>0</v>
      </c>
      <c r="Q1800" s="93" t="str">
        <f>VLOOKUP(E1800,DATABASE!C:Q,4,false)</f>
        <v>Baut Camber</v>
      </c>
      <c r="R1800" s="93" t="str">
        <f>VLOOKUP(E1800,DATABASE!C:Q,11,false)</f>
        <v>COMPLEMENTARY</v>
      </c>
    </row>
    <row r="1801" ht="22.5" customHeight="1">
      <c r="A1801" s="49"/>
      <c r="C1801" s="384">
        <v>45754.0</v>
      </c>
      <c r="D1801" s="65">
        <v>5082.0</v>
      </c>
      <c r="E1801" s="445" t="s">
        <v>256</v>
      </c>
      <c r="F1801" s="386">
        <v>1.0</v>
      </c>
      <c r="G1801" s="74">
        <v>130000.0</v>
      </c>
      <c r="H1801" s="74">
        <v>0.0</v>
      </c>
      <c r="I1801" s="74">
        <f t="shared" si="1"/>
        <v>130000</v>
      </c>
      <c r="J1801" s="74">
        <f>IF(E1801="SERVICE",I1801-(I1801*50%),Vlookup(E1801,DATABASE!C:Q,10,false)*F1801)</f>
        <v>10000</v>
      </c>
      <c r="K1801" s="74">
        <f>VLOOKUP(E1801,DATABASE!C:Q,7,false)</f>
        <v>0</v>
      </c>
      <c r="L1801" s="74">
        <v>0.0</v>
      </c>
      <c r="M1801" s="74">
        <f t="shared" si="2"/>
        <v>0</v>
      </c>
      <c r="N1801" s="74">
        <f t="shared" si="3"/>
        <v>120000</v>
      </c>
      <c r="O1801" s="65" t="str">
        <f>VLOOKUP(E1801,DATABASE!C:Q,8,false)</f>
        <v>IBU</v>
      </c>
      <c r="P1801" s="65">
        <f>VLOOKUP(E1801,DATABASE!C:Q,9,False)</f>
        <v>0</v>
      </c>
      <c r="Q1801" s="93" t="str">
        <f>VLOOKUP(E1801,DATABASE!C:Q,4,false)</f>
        <v>SPOORING</v>
      </c>
      <c r="R1801" s="93" t="str">
        <f>VLOOKUP(E1801,DATABASE!C:Q,11,false)</f>
        <v>SERVICE</v>
      </c>
    </row>
    <row r="1802" ht="22.5" customHeight="1">
      <c r="A1802" s="49"/>
      <c r="C1802" s="384">
        <v>45754.0</v>
      </c>
      <c r="D1802" s="65">
        <v>5082.0</v>
      </c>
      <c r="E1802" s="445" t="s">
        <v>251</v>
      </c>
      <c r="F1802" s="386">
        <v>1.0</v>
      </c>
      <c r="G1802" s="74">
        <v>150000.0</v>
      </c>
      <c r="H1802" s="74">
        <v>0.0</v>
      </c>
      <c r="I1802" s="74">
        <f t="shared" si="1"/>
        <v>150000</v>
      </c>
      <c r="J1802" s="74">
        <f>IF(E1802="SERVICE",I1802-(I1802*50%),Vlookup(E1802,DATABASE!C:Q,10,false)*F1802)</f>
        <v>75000</v>
      </c>
      <c r="K1802" s="74">
        <f>VLOOKUP(E1802,DATABASE!C:Q,7,false)</f>
        <v>0</v>
      </c>
      <c r="L1802" s="74">
        <v>0.0</v>
      </c>
      <c r="M1802" s="74">
        <f t="shared" si="2"/>
        <v>0</v>
      </c>
      <c r="N1802" s="74">
        <f t="shared" si="3"/>
        <v>75000</v>
      </c>
      <c r="O1802" s="65" t="str">
        <f>VLOOKUP(E1802,DATABASE!C:Q,8,false)</f>
        <v>IBU</v>
      </c>
      <c r="P1802" s="65">
        <f>VLOOKUP(E1802,DATABASE!C:Q,9,False)</f>
        <v>0</v>
      </c>
      <c r="Q1802" s="93" t="str">
        <f>VLOOKUP(E1802,DATABASE!C:Q,4,false)</f>
        <v>SERVICE</v>
      </c>
      <c r="R1802" s="93" t="str">
        <f>VLOOKUP(E1802,DATABASE!C:Q,11,false)</f>
        <v>SERVICE</v>
      </c>
    </row>
    <row r="1803" ht="22.5" customHeight="1">
      <c r="A1803" s="49"/>
      <c r="C1803" s="384">
        <v>45754.0</v>
      </c>
      <c r="D1803" s="65">
        <v>5083.0</v>
      </c>
      <c r="E1803" s="445" t="s">
        <v>968</v>
      </c>
      <c r="F1803" s="386">
        <v>1.0</v>
      </c>
      <c r="G1803" s="74">
        <v>640000.0</v>
      </c>
      <c r="H1803" s="74">
        <v>0.0</v>
      </c>
      <c r="I1803" s="74">
        <f t="shared" si="1"/>
        <v>640000</v>
      </c>
      <c r="J1803" s="74">
        <f>IF(E1803="SERVICE",I1803-(I1803*50%),Vlookup(E1803,DATABASE!C:Q,10,false)*F1803)</f>
        <v>0</v>
      </c>
      <c r="K1803" s="74">
        <f>VLOOKUP(E1803,DATABASE!C:Q,7,false)</f>
        <v>582500</v>
      </c>
      <c r="L1803" s="74">
        <v>582500.0</v>
      </c>
      <c r="M1803" s="74">
        <f t="shared" si="2"/>
        <v>585000</v>
      </c>
      <c r="N1803" s="74">
        <f t="shared" si="3"/>
        <v>55000</v>
      </c>
      <c r="O1803" s="65" t="str">
        <f>VLOOKUP(E1803,DATABASE!C:Q,8,false)</f>
        <v>IBU</v>
      </c>
      <c r="P1803" s="65">
        <f>VLOOKUP(E1803,DATABASE!C:Q,9,False)</f>
        <v>1</v>
      </c>
      <c r="Q1803" s="93" t="str">
        <f>VLOOKUP(E1803,DATABASE!C:Q,4,false)</f>
        <v>Dunlop</v>
      </c>
      <c r="R1803" s="93" t="str">
        <f>VLOOKUP(E1803,DATABASE!C:Q,11,false)</f>
        <v>Tire</v>
      </c>
    </row>
    <row r="1804" ht="22.5" customHeight="1">
      <c r="A1804" s="49"/>
      <c r="C1804" s="384">
        <v>45754.0</v>
      </c>
      <c r="D1804" s="65">
        <v>5084.0</v>
      </c>
      <c r="E1804" s="445" t="s">
        <v>256</v>
      </c>
      <c r="F1804" s="386">
        <v>1.0</v>
      </c>
      <c r="G1804" s="74">
        <v>130000.0</v>
      </c>
      <c r="H1804" s="74">
        <v>0.0</v>
      </c>
      <c r="I1804" s="74">
        <f t="shared" si="1"/>
        <v>130000</v>
      </c>
      <c r="J1804" s="74">
        <f>IF(E1804="SERVICE",I1804-(I1804*50%),Vlookup(E1804,DATABASE!C:Q,10,false)*F1804)</f>
        <v>10000</v>
      </c>
      <c r="K1804" s="74">
        <f>VLOOKUP(E1804,DATABASE!C:Q,7,false)</f>
        <v>0</v>
      </c>
      <c r="L1804" s="74">
        <v>0.0</v>
      </c>
      <c r="M1804" s="74">
        <f t="shared" si="2"/>
        <v>0</v>
      </c>
      <c r="N1804" s="74">
        <f t="shared" si="3"/>
        <v>120000</v>
      </c>
      <c r="O1804" s="65" t="str">
        <f>VLOOKUP(E1804,DATABASE!C:Q,8,false)</f>
        <v>IBU</v>
      </c>
      <c r="P1804" s="65">
        <f>VLOOKUP(E1804,DATABASE!C:Q,9,False)</f>
        <v>0</v>
      </c>
      <c r="Q1804" s="93" t="str">
        <f>VLOOKUP(E1804,DATABASE!C:Q,4,false)</f>
        <v>SPOORING</v>
      </c>
      <c r="R1804" s="93" t="str">
        <f>VLOOKUP(E1804,DATABASE!C:Q,11,false)</f>
        <v>SERVICE</v>
      </c>
    </row>
    <row r="1805" ht="22.5" customHeight="1">
      <c r="A1805" s="49"/>
      <c r="C1805" s="384">
        <v>45754.0</v>
      </c>
      <c r="D1805" s="65">
        <v>5084.0</v>
      </c>
      <c r="E1805" s="385" t="s">
        <v>299</v>
      </c>
      <c r="F1805" s="386">
        <v>2.0</v>
      </c>
      <c r="G1805" s="74">
        <v>30000.0</v>
      </c>
      <c r="H1805" s="74">
        <v>0.0</v>
      </c>
      <c r="I1805" s="74">
        <f t="shared" si="1"/>
        <v>60000</v>
      </c>
      <c r="J1805" s="74">
        <f>IF(E1805="SERVICE",I1805-(I1805*50%),Vlookup(E1805,DATABASE!C:Q,10,false)*F1805)</f>
        <v>0</v>
      </c>
      <c r="K1805" s="74">
        <v>0.0</v>
      </c>
      <c r="L1805" s="74">
        <v>0.0</v>
      </c>
      <c r="M1805" s="74">
        <f t="shared" si="2"/>
        <v>0</v>
      </c>
      <c r="N1805" s="74">
        <f t="shared" si="3"/>
        <v>60000</v>
      </c>
      <c r="O1805" s="65" t="str">
        <f>VLOOKUP(E1805,DATABASE!C:Q,8,false)</f>
        <v>BIAN</v>
      </c>
      <c r="P1805" s="65">
        <f>VLOOKUP(E1805,DATABASE!C:Q,9,False)</f>
        <v>0</v>
      </c>
      <c r="Q1805" s="93" t="str">
        <f>VLOOKUP(E1805,DATABASE!C:Q,4,false)</f>
        <v>Balancing</v>
      </c>
      <c r="R1805" s="93" t="str">
        <f>VLOOKUP(E1805,DATABASE!C:Q,11,false)</f>
        <v>COMPLEMENTARY</v>
      </c>
    </row>
    <row r="1806" ht="22.5" customHeight="1">
      <c r="A1806" s="49"/>
      <c r="C1806" s="384">
        <v>45754.0</v>
      </c>
      <c r="D1806" s="65">
        <v>5084.0</v>
      </c>
      <c r="E1806" s="445" t="s">
        <v>251</v>
      </c>
      <c r="F1806" s="386">
        <v>1.0</v>
      </c>
      <c r="G1806" s="74">
        <v>150000.0</v>
      </c>
      <c r="H1806" s="74">
        <v>0.0</v>
      </c>
      <c r="I1806" s="74">
        <f t="shared" si="1"/>
        <v>150000</v>
      </c>
      <c r="J1806" s="74">
        <f>IF(E1806="SERVICE",I1806-(I1806*50%),Vlookup(E1806,DATABASE!C:Q,10,false)*F1806)</f>
        <v>75000</v>
      </c>
      <c r="K1806" s="74">
        <f>VLOOKUP(E1806,DATABASE!C:Q,7,false)</f>
        <v>0</v>
      </c>
      <c r="L1806" s="74">
        <v>0.0</v>
      </c>
      <c r="M1806" s="74">
        <f t="shared" si="2"/>
        <v>0</v>
      </c>
      <c r="N1806" s="74">
        <f t="shared" si="3"/>
        <v>75000</v>
      </c>
      <c r="O1806" s="65" t="str">
        <f>VLOOKUP(E1806,DATABASE!C:Q,8,false)</f>
        <v>IBU</v>
      </c>
      <c r="P1806" s="65">
        <f>VLOOKUP(E1806,DATABASE!C:Q,9,False)</f>
        <v>0</v>
      </c>
      <c r="Q1806" s="93" t="str">
        <f>VLOOKUP(E1806,DATABASE!C:Q,4,false)</f>
        <v>SERVICE</v>
      </c>
      <c r="R1806" s="93" t="str">
        <f>VLOOKUP(E1806,DATABASE!C:Q,11,false)</f>
        <v>SERVICE</v>
      </c>
    </row>
    <row r="1807" ht="22.5" customHeight="1">
      <c r="A1807" s="49"/>
      <c r="C1807" s="384">
        <v>45754.0</v>
      </c>
      <c r="D1807" s="65">
        <v>5085.0</v>
      </c>
      <c r="E1807" s="445" t="s">
        <v>627</v>
      </c>
      <c r="F1807" s="386">
        <v>2.0</v>
      </c>
      <c r="G1807" s="74">
        <v>935000.0</v>
      </c>
      <c r="H1807" s="74">
        <v>0.0</v>
      </c>
      <c r="I1807" s="74">
        <f t="shared" si="1"/>
        <v>1870000</v>
      </c>
      <c r="J1807" s="74">
        <f>IF(E1807="SERVICE",I1807-(I1807*50%),Vlookup(E1807,DATABASE!C:Q,10,false)*F1807)</f>
        <v>0</v>
      </c>
      <c r="K1807" s="74">
        <f>VLOOKUP(E1807,DATABASE!C:Q,7,false)</f>
        <v>879567</v>
      </c>
      <c r="L1807" s="74">
        <v>884979.0</v>
      </c>
      <c r="M1807" s="74">
        <f t="shared" si="2"/>
        <v>885000</v>
      </c>
      <c r="N1807" s="74">
        <f t="shared" si="3"/>
        <v>100000</v>
      </c>
      <c r="O1807" s="65" t="str">
        <f>VLOOKUP(E1807,DATABASE!C:Q,8,false)</f>
        <v>IBU</v>
      </c>
      <c r="P1807" s="65">
        <f>VLOOKUP(E1807,DATABASE!C:Q,9,False)</f>
        <v>1</v>
      </c>
      <c r="Q1807" s="93" t="str">
        <f>VLOOKUP(E1807,DATABASE!C:Q,4,false)</f>
        <v>Bridgestone</v>
      </c>
      <c r="R1807" s="93" t="str">
        <f>VLOOKUP(E1807,DATABASE!C:Q,11,false)</f>
        <v>Tire</v>
      </c>
    </row>
    <row r="1808" ht="22.5" customHeight="1">
      <c r="A1808" s="49"/>
      <c r="C1808" s="384">
        <v>45754.0</v>
      </c>
      <c r="D1808" s="65">
        <v>5085.0</v>
      </c>
      <c r="E1808" s="445" t="s">
        <v>2135</v>
      </c>
      <c r="F1808" s="386">
        <v>2.0</v>
      </c>
      <c r="G1808" s="74">
        <v>15000.0</v>
      </c>
      <c r="H1808" s="74">
        <v>0.0</v>
      </c>
      <c r="I1808" s="74">
        <f t="shared" si="1"/>
        <v>30000</v>
      </c>
      <c r="J1808" s="74">
        <f>IF(E1808="SERVICE",I1808-(I1808*50%),Vlookup(E1808,DATABASE!C:Q,10,false)*F1808)</f>
        <v>0</v>
      </c>
      <c r="K1808" s="74">
        <f>VLOOKUP(E1808,DATABASE!C:Q,7,false)</f>
        <v>0</v>
      </c>
      <c r="L1808" s="74">
        <v>0.0</v>
      </c>
      <c r="M1808" s="74">
        <f t="shared" si="2"/>
        <v>0</v>
      </c>
      <c r="N1808" s="74">
        <f t="shared" si="3"/>
        <v>30000</v>
      </c>
      <c r="O1808" s="65" t="str">
        <f>VLOOKUP(E1808,DATABASE!C:Q,8,false)</f>
        <v>IBU</v>
      </c>
      <c r="P1808" s="65">
        <f>VLOOKUP(E1808,DATABASE!C:Q,9,False)</f>
        <v>0</v>
      </c>
      <c r="Q1808" s="93" t="str">
        <f>VLOOKUP(E1808,DATABASE!C:Q,4,false)</f>
        <v>NITROGEN</v>
      </c>
      <c r="R1808" s="93" t="str">
        <f>VLOOKUP(E1808,DATABASE!C:Q,11,false)</f>
        <v>COMPLEMENTARY</v>
      </c>
    </row>
    <row r="1809" ht="22.5" customHeight="1">
      <c r="A1809" s="49"/>
      <c r="C1809" s="384">
        <v>45754.0</v>
      </c>
      <c r="D1809" s="65">
        <v>5086.0</v>
      </c>
      <c r="E1809" s="385" t="s">
        <v>299</v>
      </c>
      <c r="F1809" s="386">
        <v>2.0</v>
      </c>
      <c r="G1809" s="74">
        <v>30000.0</v>
      </c>
      <c r="H1809" s="74">
        <v>0.0</v>
      </c>
      <c r="I1809" s="74">
        <f t="shared" si="1"/>
        <v>60000</v>
      </c>
      <c r="J1809" s="74">
        <f>IF(E1809="SERVICE",I1809-(I1809*50%),Vlookup(E1809,DATABASE!C:Q,10,false)*F1809)</f>
        <v>0</v>
      </c>
      <c r="K1809" s="74">
        <v>0.0</v>
      </c>
      <c r="L1809" s="74">
        <v>0.0</v>
      </c>
      <c r="M1809" s="74">
        <f t="shared" si="2"/>
        <v>0</v>
      </c>
      <c r="N1809" s="74">
        <f t="shared" si="3"/>
        <v>60000</v>
      </c>
      <c r="O1809" s="65" t="str">
        <f>VLOOKUP(E1809,DATABASE!C:Q,8,false)</f>
        <v>BIAN</v>
      </c>
      <c r="P1809" s="65">
        <f>VLOOKUP(E1809,DATABASE!C:Q,9,False)</f>
        <v>0</v>
      </c>
      <c r="Q1809" s="93" t="str">
        <f>VLOOKUP(E1809,DATABASE!C:Q,4,false)</f>
        <v>Balancing</v>
      </c>
      <c r="R1809" s="93" t="str">
        <f>VLOOKUP(E1809,DATABASE!C:Q,11,false)</f>
        <v>COMPLEMENTARY</v>
      </c>
    </row>
    <row r="1810" ht="22.5" customHeight="1">
      <c r="A1810" s="49"/>
      <c r="C1810" s="384">
        <v>45754.0</v>
      </c>
      <c r="D1810" s="65">
        <v>5087.0</v>
      </c>
      <c r="E1810" s="445" t="s">
        <v>1486</v>
      </c>
      <c r="F1810" s="386">
        <v>1.0</v>
      </c>
      <c r="G1810" s="74">
        <v>940000.0</v>
      </c>
      <c r="H1810" s="74">
        <v>0.0</v>
      </c>
      <c r="I1810" s="74">
        <f t="shared" si="1"/>
        <v>940000</v>
      </c>
      <c r="J1810" s="74">
        <f>IF(E1810="SERVICE",I1810-(I1810*50%),Vlookup(E1810,DATABASE!C:Q,10,false)*F1810)</f>
        <v>0</v>
      </c>
      <c r="K1810" s="74">
        <f>VLOOKUP(E1810,DATABASE!C:Q,7,false)</f>
        <v>888000</v>
      </c>
      <c r="L1810" s="74">
        <v>877000.0</v>
      </c>
      <c r="M1810" s="74">
        <f t="shared" si="2"/>
        <v>880000</v>
      </c>
      <c r="N1810" s="74">
        <f t="shared" si="3"/>
        <v>60000</v>
      </c>
      <c r="O1810" s="65" t="str">
        <f>VLOOKUP(E1810,DATABASE!C:Q,8,false)</f>
        <v>IBU</v>
      </c>
      <c r="P1810" s="65">
        <f>VLOOKUP(E1810,DATABASE!C:Q,9,False)</f>
        <v>1</v>
      </c>
      <c r="Q1810" s="93" t="str">
        <f>VLOOKUP(E1810,DATABASE!C:Q,4,false)</f>
        <v>Dunlop</v>
      </c>
      <c r="R1810" s="93" t="str">
        <f>VLOOKUP(E1810,DATABASE!C:Q,11,false)</f>
        <v>Tire</v>
      </c>
    </row>
    <row r="1811" ht="22.5" customHeight="1">
      <c r="A1811" s="49"/>
      <c r="C1811" s="384">
        <v>45754.0</v>
      </c>
      <c r="D1811" s="65">
        <v>5088.0</v>
      </c>
      <c r="E1811" s="445" t="s">
        <v>256</v>
      </c>
      <c r="F1811" s="386">
        <v>1.0</v>
      </c>
      <c r="G1811" s="74">
        <v>130000.0</v>
      </c>
      <c r="H1811" s="74">
        <v>0.0</v>
      </c>
      <c r="I1811" s="74">
        <f t="shared" si="1"/>
        <v>130000</v>
      </c>
      <c r="J1811" s="74">
        <f>IF(E1811="SERVICE",I1811-(I1811*50%),Vlookup(E1811,DATABASE!C:Q,10,false)*F1811)</f>
        <v>10000</v>
      </c>
      <c r="K1811" s="74">
        <f>VLOOKUP(E1811,DATABASE!C:Q,7,false)</f>
        <v>0</v>
      </c>
      <c r="L1811" s="74">
        <v>0.0</v>
      </c>
      <c r="M1811" s="74">
        <f t="shared" si="2"/>
        <v>0</v>
      </c>
      <c r="N1811" s="74">
        <f t="shared" si="3"/>
        <v>120000</v>
      </c>
      <c r="O1811" s="65" t="str">
        <f>VLOOKUP(E1811,DATABASE!C:Q,8,false)</f>
        <v>IBU</v>
      </c>
      <c r="P1811" s="65">
        <f>VLOOKUP(E1811,DATABASE!C:Q,9,False)</f>
        <v>0</v>
      </c>
      <c r="Q1811" s="93" t="str">
        <f>VLOOKUP(E1811,DATABASE!C:Q,4,false)</f>
        <v>SPOORING</v>
      </c>
      <c r="R1811" s="93" t="str">
        <f>VLOOKUP(E1811,DATABASE!C:Q,11,false)</f>
        <v>SERVICE</v>
      </c>
    </row>
    <row r="1812" ht="22.5" customHeight="1">
      <c r="A1812" s="49"/>
      <c r="C1812" s="384">
        <v>45754.0</v>
      </c>
      <c r="D1812" s="65">
        <v>5088.0</v>
      </c>
      <c r="E1812" s="385" t="s">
        <v>299</v>
      </c>
      <c r="F1812" s="386">
        <v>2.0</v>
      </c>
      <c r="G1812" s="74">
        <v>30000.0</v>
      </c>
      <c r="H1812" s="74">
        <v>0.0</v>
      </c>
      <c r="I1812" s="74">
        <f t="shared" si="1"/>
        <v>60000</v>
      </c>
      <c r="J1812" s="74">
        <f>IF(E1812="SERVICE",I1812-(I1812*50%),Vlookup(E1812,DATABASE!C:Q,10,false)*F1812)</f>
        <v>0</v>
      </c>
      <c r="K1812" s="74">
        <v>0.0</v>
      </c>
      <c r="L1812" s="74">
        <v>0.0</v>
      </c>
      <c r="M1812" s="74">
        <f t="shared" si="2"/>
        <v>0</v>
      </c>
      <c r="N1812" s="74">
        <f t="shared" si="3"/>
        <v>60000</v>
      </c>
      <c r="O1812" s="65" t="str">
        <f>VLOOKUP(E1812,DATABASE!C:Q,8,false)</f>
        <v>BIAN</v>
      </c>
      <c r="P1812" s="65">
        <f>VLOOKUP(E1812,DATABASE!C:Q,9,False)</f>
        <v>0</v>
      </c>
      <c r="Q1812" s="93" t="str">
        <f>VLOOKUP(E1812,DATABASE!C:Q,4,false)</f>
        <v>Balancing</v>
      </c>
      <c r="R1812" s="93" t="str">
        <f>VLOOKUP(E1812,DATABASE!C:Q,11,false)</f>
        <v>COMPLEMENTARY</v>
      </c>
    </row>
    <row r="1813" ht="22.5" customHeight="1">
      <c r="A1813" s="49"/>
      <c r="C1813" s="384">
        <v>45754.0</v>
      </c>
      <c r="D1813" s="65">
        <v>5088.0</v>
      </c>
      <c r="E1813" s="445" t="s">
        <v>251</v>
      </c>
      <c r="F1813" s="386">
        <v>1.0</v>
      </c>
      <c r="G1813" s="74">
        <v>150000.0</v>
      </c>
      <c r="H1813" s="74">
        <v>0.0</v>
      </c>
      <c r="I1813" s="74">
        <f t="shared" si="1"/>
        <v>150000</v>
      </c>
      <c r="J1813" s="74">
        <f>IF(E1813="SERVICE",I1813-(I1813*50%),Vlookup(E1813,DATABASE!C:Q,10,false)*F1813)</f>
        <v>75000</v>
      </c>
      <c r="K1813" s="74">
        <f>VLOOKUP(E1813,DATABASE!C:Q,7,false)</f>
        <v>0</v>
      </c>
      <c r="L1813" s="74">
        <v>0.0</v>
      </c>
      <c r="M1813" s="74">
        <f t="shared" si="2"/>
        <v>0</v>
      </c>
      <c r="N1813" s="74">
        <f t="shared" si="3"/>
        <v>75000</v>
      </c>
      <c r="O1813" s="65" t="str">
        <f>VLOOKUP(E1813,DATABASE!C:Q,8,false)</f>
        <v>IBU</v>
      </c>
      <c r="P1813" s="65">
        <f>VLOOKUP(E1813,DATABASE!C:Q,9,False)</f>
        <v>0</v>
      </c>
      <c r="Q1813" s="93" t="str">
        <f>VLOOKUP(E1813,DATABASE!C:Q,4,false)</f>
        <v>SERVICE</v>
      </c>
      <c r="R1813" s="93" t="str">
        <f>VLOOKUP(E1813,DATABASE!C:Q,11,false)</f>
        <v>SERVICE</v>
      </c>
    </row>
    <row r="1814" ht="22.5" customHeight="1">
      <c r="A1814" s="49"/>
      <c r="C1814" s="384">
        <v>45754.0</v>
      </c>
      <c r="D1814" s="65">
        <v>5089.0</v>
      </c>
      <c r="E1814" s="445" t="s">
        <v>256</v>
      </c>
      <c r="F1814" s="386">
        <v>1.0</v>
      </c>
      <c r="G1814" s="74">
        <v>130000.0</v>
      </c>
      <c r="H1814" s="74">
        <v>0.0</v>
      </c>
      <c r="I1814" s="74">
        <f t="shared" si="1"/>
        <v>130000</v>
      </c>
      <c r="J1814" s="74">
        <f>IF(E1814="SERVICE",I1814-(I1814*50%),Vlookup(E1814,DATABASE!C:Q,10,false)*F1814)</f>
        <v>10000</v>
      </c>
      <c r="K1814" s="74">
        <f>VLOOKUP(E1814,DATABASE!C:Q,7,false)</f>
        <v>0</v>
      </c>
      <c r="L1814" s="74">
        <v>0.0</v>
      </c>
      <c r="M1814" s="74">
        <f t="shared" si="2"/>
        <v>0</v>
      </c>
      <c r="N1814" s="74">
        <f t="shared" si="3"/>
        <v>120000</v>
      </c>
      <c r="O1814" s="65" t="str">
        <f>VLOOKUP(E1814,DATABASE!C:Q,8,false)</f>
        <v>IBU</v>
      </c>
      <c r="P1814" s="65">
        <f>VLOOKUP(E1814,DATABASE!C:Q,9,False)</f>
        <v>0</v>
      </c>
      <c r="Q1814" s="93" t="str">
        <f>VLOOKUP(E1814,DATABASE!C:Q,4,false)</f>
        <v>SPOORING</v>
      </c>
      <c r="R1814" s="93" t="str">
        <f>VLOOKUP(E1814,DATABASE!C:Q,11,false)</f>
        <v>SERVICE</v>
      </c>
    </row>
    <row r="1815" ht="22.5" customHeight="1">
      <c r="A1815" s="49"/>
      <c r="C1815" s="384">
        <v>45754.0</v>
      </c>
      <c r="D1815" s="65">
        <v>5089.0</v>
      </c>
      <c r="E1815" s="385" t="s">
        <v>299</v>
      </c>
      <c r="F1815" s="386">
        <v>2.0</v>
      </c>
      <c r="G1815" s="74">
        <v>30000.0</v>
      </c>
      <c r="H1815" s="74">
        <v>0.0</v>
      </c>
      <c r="I1815" s="74">
        <f t="shared" si="1"/>
        <v>60000</v>
      </c>
      <c r="J1815" s="74">
        <f>IF(E1815="SERVICE",I1815-(I1815*50%),Vlookup(E1815,DATABASE!C:Q,10,false)*F1815)</f>
        <v>0</v>
      </c>
      <c r="K1815" s="74">
        <v>0.0</v>
      </c>
      <c r="L1815" s="74">
        <v>0.0</v>
      </c>
      <c r="M1815" s="74">
        <f t="shared" si="2"/>
        <v>0</v>
      </c>
      <c r="N1815" s="74">
        <f t="shared" si="3"/>
        <v>60000</v>
      </c>
      <c r="O1815" s="65" t="str">
        <f>VLOOKUP(E1815,DATABASE!C:Q,8,false)</f>
        <v>BIAN</v>
      </c>
      <c r="P1815" s="65">
        <f>VLOOKUP(E1815,DATABASE!C:Q,9,False)</f>
        <v>0</v>
      </c>
      <c r="Q1815" s="93" t="str">
        <f>VLOOKUP(E1815,DATABASE!C:Q,4,false)</f>
        <v>Balancing</v>
      </c>
      <c r="R1815" s="93" t="str">
        <f>VLOOKUP(E1815,DATABASE!C:Q,11,false)</f>
        <v>COMPLEMENTARY</v>
      </c>
    </row>
    <row r="1816" ht="22.5" customHeight="1">
      <c r="A1816" s="49"/>
      <c r="C1816" s="384">
        <v>45754.0</v>
      </c>
      <c r="D1816" s="65">
        <v>5089.0</v>
      </c>
      <c r="E1816" s="445" t="s">
        <v>301</v>
      </c>
      <c r="F1816" s="386">
        <v>1.0</v>
      </c>
      <c r="G1816" s="74">
        <v>250000.0</v>
      </c>
      <c r="H1816" s="74">
        <v>0.0</v>
      </c>
      <c r="I1816" s="74">
        <f t="shared" si="1"/>
        <v>250000</v>
      </c>
      <c r="J1816" s="74">
        <f>IF(E1816="SERVICE",I1816-(I1816*50%),Vlookup(E1816,DATABASE!C:Q,10,false)*F1816)</f>
        <v>75000</v>
      </c>
      <c r="K1816" s="74">
        <f>VLOOKUP(E1816,DATABASE!C:Q,7,false)</f>
        <v>75000</v>
      </c>
      <c r="L1816" s="74">
        <v>75000.0</v>
      </c>
      <c r="M1816" s="74">
        <f t="shared" si="2"/>
        <v>75000</v>
      </c>
      <c r="N1816" s="74">
        <f t="shared" si="3"/>
        <v>100000</v>
      </c>
      <c r="O1816" s="65" t="str">
        <f>VLOOKUP(E1816,DATABASE!C:Q,8,false)</f>
        <v>BIAN</v>
      </c>
      <c r="P1816" s="65">
        <f>VLOOKUP(E1816,DATABASE!C:Q,9,False)</f>
        <v>0</v>
      </c>
      <c r="Q1816" s="93" t="str">
        <f>VLOOKUP(E1816,DATABASE!C:Q,4,false)</f>
        <v>Baut Camber</v>
      </c>
      <c r="R1816" s="93" t="str">
        <f>VLOOKUP(E1816,DATABASE!C:Q,11,false)</f>
        <v>COMPLEMENTARY</v>
      </c>
    </row>
    <row r="1817" ht="22.5" customHeight="1">
      <c r="A1817" s="49"/>
      <c r="C1817" s="384">
        <v>45754.0</v>
      </c>
      <c r="D1817" s="65">
        <v>5090.0</v>
      </c>
      <c r="E1817" s="445" t="s">
        <v>600</v>
      </c>
      <c r="F1817" s="386">
        <v>2.0</v>
      </c>
      <c r="G1817" s="74">
        <v>675000.0</v>
      </c>
      <c r="H1817" s="74">
        <v>0.0</v>
      </c>
      <c r="I1817" s="74">
        <f t="shared" si="1"/>
        <v>1350000</v>
      </c>
      <c r="J1817" s="74">
        <f>IF(E1817="SERVICE",I1817-(I1817*50%),Vlookup(E1817,DATABASE!C:Q,10,false)*F1817)</f>
        <v>0</v>
      </c>
      <c r="K1817" s="74">
        <f>VLOOKUP(E1817,DATABASE!C:Q,7,false)</f>
        <v>611109.16</v>
      </c>
      <c r="L1817" s="74">
        <v>572762.4</v>
      </c>
      <c r="M1817" s="74">
        <f t="shared" si="2"/>
        <v>575000</v>
      </c>
      <c r="N1817" s="74">
        <f t="shared" si="3"/>
        <v>200000</v>
      </c>
      <c r="O1817" s="65" t="str">
        <f>VLOOKUP(E1817,DATABASE!C:Q,8,false)</f>
        <v>IBU</v>
      </c>
      <c r="P1817" s="65">
        <f>VLOOKUP(E1817,DATABASE!C:Q,9,False)</f>
        <v>1</v>
      </c>
      <c r="Q1817" s="93" t="str">
        <f>VLOOKUP(E1817,DATABASE!C:Q,4,false)</f>
        <v>Bridgestone</v>
      </c>
      <c r="R1817" s="93" t="str">
        <f>VLOOKUP(E1817,DATABASE!C:Q,11,false)</f>
        <v>Tire</v>
      </c>
    </row>
    <row r="1818" ht="22.5" customHeight="1">
      <c r="A1818" s="49"/>
      <c r="C1818" s="384">
        <v>45754.0</v>
      </c>
      <c r="D1818" s="65">
        <v>5090.0</v>
      </c>
      <c r="E1818" s="445" t="s">
        <v>2135</v>
      </c>
      <c r="F1818" s="386">
        <v>2.0</v>
      </c>
      <c r="G1818" s="74">
        <v>15000.0</v>
      </c>
      <c r="H1818" s="74">
        <v>0.0</v>
      </c>
      <c r="I1818" s="74">
        <f t="shared" si="1"/>
        <v>30000</v>
      </c>
      <c r="J1818" s="74">
        <f>IF(E1818="SERVICE",I1818-(I1818*50%),Vlookup(E1818,DATABASE!C:Q,10,false)*F1818)</f>
        <v>0</v>
      </c>
      <c r="K1818" s="74">
        <f>VLOOKUP(E1818,DATABASE!C:Q,7,false)</f>
        <v>0</v>
      </c>
      <c r="L1818" s="74">
        <v>0.0</v>
      </c>
      <c r="M1818" s="74">
        <f t="shared" si="2"/>
        <v>0</v>
      </c>
      <c r="N1818" s="74">
        <f t="shared" si="3"/>
        <v>30000</v>
      </c>
      <c r="O1818" s="65" t="str">
        <f>VLOOKUP(E1818,DATABASE!C:Q,8,false)</f>
        <v>IBU</v>
      </c>
      <c r="P1818" s="65">
        <f>VLOOKUP(E1818,DATABASE!C:Q,9,False)</f>
        <v>0</v>
      </c>
      <c r="Q1818" s="93" t="str">
        <f>VLOOKUP(E1818,DATABASE!C:Q,4,false)</f>
        <v>NITROGEN</v>
      </c>
      <c r="R1818" s="93" t="str">
        <f>VLOOKUP(E1818,DATABASE!C:Q,11,false)</f>
        <v>COMPLEMENTARY</v>
      </c>
    </row>
    <row r="1819" ht="22.5" customHeight="1">
      <c r="A1819" s="49"/>
      <c r="C1819" s="384">
        <v>45754.0</v>
      </c>
      <c r="D1819" s="65">
        <v>5092.0</v>
      </c>
      <c r="E1819" s="445" t="s">
        <v>624</v>
      </c>
      <c r="F1819" s="386">
        <v>1.0</v>
      </c>
      <c r="G1819" s="74">
        <v>110000.0</v>
      </c>
      <c r="H1819" s="74">
        <v>0.0</v>
      </c>
      <c r="I1819" s="74">
        <f t="shared" si="1"/>
        <v>110000</v>
      </c>
      <c r="J1819" s="74">
        <f>IF(E1819="SERVICE",I1819-(I1819*50%),Vlookup(E1819,DATABASE!C:Q,10,false)*F1819)</f>
        <v>0</v>
      </c>
      <c r="K1819" s="74">
        <f>VLOOKUP(E1819,DATABASE!C:Q,7,false)</f>
        <v>60500</v>
      </c>
      <c r="L1819" s="74">
        <v>60500.0</v>
      </c>
      <c r="M1819" s="74">
        <f t="shared" si="2"/>
        <v>65000</v>
      </c>
      <c r="N1819" s="74">
        <f t="shared" si="3"/>
        <v>45000</v>
      </c>
      <c r="O1819" s="65" t="str">
        <f>VLOOKUP(E1819,DATABASE!C:Q,8,false)</f>
        <v>BIAN</v>
      </c>
      <c r="P1819" s="65">
        <f>VLOOKUP(E1819,DATABASE!C:Q,9,False)</f>
        <v>1</v>
      </c>
      <c r="Q1819" s="93" t="str">
        <f>VLOOKUP(E1819,DATABASE!C:Q,4,false)</f>
        <v>BD</v>
      </c>
      <c r="R1819" s="93" t="str">
        <f>VLOOKUP(E1819,DATABASE!C:Q,11,false)</f>
        <v>Tire</v>
      </c>
    </row>
    <row r="1820" ht="22.5" customHeight="1">
      <c r="A1820" s="49"/>
      <c r="C1820" s="384">
        <v>45754.0</v>
      </c>
      <c r="D1820" s="65">
        <v>5093.0</v>
      </c>
      <c r="E1820" s="445" t="s">
        <v>246</v>
      </c>
      <c r="F1820" s="386">
        <v>4.0</v>
      </c>
      <c r="G1820" s="74">
        <v>25000.0</v>
      </c>
      <c r="H1820" s="74">
        <v>0.0</v>
      </c>
      <c r="I1820" s="74">
        <f t="shared" si="1"/>
        <v>100000</v>
      </c>
      <c r="J1820" s="74">
        <f>IF(E1820="SERVICE",I1820-(I1820*50%),Vlookup(E1820,DATABASE!C:Q,10,false)*F1820)</f>
        <v>0</v>
      </c>
      <c r="K1820" s="74">
        <f>VLOOKUP(E1820,DATABASE!C:Q,7,false)</f>
        <v>0</v>
      </c>
      <c r="L1820" s="74">
        <v>0.0</v>
      </c>
      <c r="M1820" s="74">
        <f t="shared" si="2"/>
        <v>0</v>
      </c>
      <c r="N1820" s="74">
        <f t="shared" si="3"/>
        <v>100000</v>
      </c>
      <c r="O1820" s="65" t="str">
        <f>VLOOKUP(E1820,DATABASE!C:Q,8,false)</f>
        <v>IBU</v>
      </c>
      <c r="P1820" s="65">
        <f>VLOOKUP(E1820,DATABASE!C:Q,9,False)</f>
        <v>0</v>
      </c>
      <c r="Q1820" s="93" t="str">
        <f>VLOOKUP(E1820,DATABASE!C:Q,4,false)</f>
        <v>Bongkar Pasang</v>
      </c>
      <c r="R1820" s="93" t="str">
        <f>VLOOKUP(E1820,DATABASE!C:Q,11,false)</f>
        <v>SERVICE</v>
      </c>
    </row>
    <row r="1821" ht="22.5" customHeight="1">
      <c r="A1821" s="49"/>
      <c r="C1821" s="384">
        <v>45754.0</v>
      </c>
      <c r="D1821" s="65">
        <v>5093.0</v>
      </c>
      <c r="E1821" s="385" t="s">
        <v>299</v>
      </c>
      <c r="F1821" s="386">
        <v>2.0</v>
      </c>
      <c r="G1821" s="74">
        <v>30000.0</v>
      </c>
      <c r="H1821" s="74">
        <v>0.0</v>
      </c>
      <c r="I1821" s="74">
        <f t="shared" si="1"/>
        <v>60000</v>
      </c>
      <c r="J1821" s="74">
        <f>IF(E1821="SERVICE",I1821-(I1821*50%),Vlookup(E1821,DATABASE!C:Q,10,false)*F1821)</f>
        <v>0</v>
      </c>
      <c r="K1821" s="74">
        <v>0.0</v>
      </c>
      <c r="L1821" s="74">
        <v>0.0</v>
      </c>
      <c r="M1821" s="74">
        <f t="shared" si="2"/>
        <v>0</v>
      </c>
      <c r="N1821" s="74">
        <f t="shared" si="3"/>
        <v>60000</v>
      </c>
      <c r="O1821" s="65" t="str">
        <f>VLOOKUP(E1821,DATABASE!C:Q,8,false)</f>
        <v>BIAN</v>
      </c>
      <c r="P1821" s="65">
        <f>VLOOKUP(E1821,DATABASE!C:Q,9,False)</f>
        <v>0</v>
      </c>
      <c r="Q1821" s="93" t="str">
        <f>VLOOKUP(E1821,DATABASE!C:Q,4,false)</f>
        <v>Balancing</v>
      </c>
      <c r="R1821" s="93" t="str">
        <f>VLOOKUP(E1821,DATABASE!C:Q,11,false)</f>
        <v>COMPLEMENTARY</v>
      </c>
    </row>
    <row r="1822" ht="22.5" customHeight="1">
      <c r="A1822" s="49"/>
      <c r="C1822" s="384">
        <v>45754.0</v>
      </c>
      <c r="D1822" s="65">
        <v>5095.0</v>
      </c>
      <c r="E1822" s="445" t="s">
        <v>275</v>
      </c>
      <c r="F1822" s="386">
        <v>1.0</v>
      </c>
      <c r="G1822" s="74">
        <v>830000.0</v>
      </c>
      <c r="H1822" s="74">
        <v>0.0</v>
      </c>
      <c r="I1822" s="74">
        <f t="shared" si="1"/>
        <v>830000</v>
      </c>
      <c r="J1822" s="74">
        <f>IF(E1822="SERVICE",I1822-(I1822*50%),Vlookup(E1822,DATABASE!C:Q,10,false)*F1822)</f>
        <v>0</v>
      </c>
      <c r="K1822" s="74">
        <v>735000.0</v>
      </c>
      <c r="L1822" s="74">
        <v>735000.0</v>
      </c>
      <c r="M1822" s="74">
        <f t="shared" si="2"/>
        <v>735000</v>
      </c>
      <c r="N1822" s="74">
        <f t="shared" si="3"/>
        <v>95000</v>
      </c>
      <c r="O1822" s="65" t="str">
        <f>VLOOKUP(E1822,DATABASE!C:Q,8,false)</f>
        <v>IBU</v>
      </c>
      <c r="P1822" s="65">
        <f>VLOOKUP(E1822,DATABASE!C:Q,9,False)</f>
        <v>1</v>
      </c>
      <c r="Q1822" s="93" t="str">
        <f>VLOOKUP(E1822,DATABASE!C:Q,4,false)</f>
        <v>Dunlop</v>
      </c>
      <c r="R1822" s="93" t="str">
        <f>VLOOKUP(E1822,DATABASE!C:Q,11,false)</f>
        <v>Tire</v>
      </c>
    </row>
    <row r="1823" ht="22.5" customHeight="1">
      <c r="A1823" s="49"/>
      <c r="C1823" s="384">
        <v>45754.0</v>
      </c>
      <c r="D1823" s="65">
        <v>5096.0</v>
      </c>
      <c r="E1823" s="445" t="s">
        <v>262</v>
      </c>
      <c r="F1823" s="386">
        <v>1.0</v>
      </c>
      <c r="G1823" s="74">
        <v>110000.0</v>
      </c>
      <c r="H1823" s="74">
        <v>0.0</v>
      </c>
      <c r="I1823" s="74">
        <f t="shared" si="1"/>
        <v>110000</v>
      </c>
      <c r="J1823" s="74">
        <f>IF(E1823="SERVICE",I1823-(I1823*50%),Vlookup(E1823,DATABASE!C:Q,10,false)*F1823)</f>
        <v>5000</v>
      </c>
      <c r="K1823" s="74">
        <f>VLOOKUP(E1823,DATABASE!C:Q,7,false)</f>
        <v>0</v>
      </c>
      <c r="L1823" s="74">
        <v>0.0</v>
      </c>
      <c r="M1823" s="74">
        <f t="shared" si="2"/>
        <v>0</v>
      </c>
      <c r="N1823" s="74">
        <f t="shared" si="3"/>
        <v>105000</v>
      </c>
      <c r="O1823" s="65" t="str">
        <f>VLOOKUP(E1823,DATABASE!C:Q,8,false)</f>
        <v>IBU</v>
      </c>
      <c r="P1823" s="65">
        <f>VLOOKUP(E1823,DATABASE!C:Q,9,False)</f>
        <v>0</v>
      </c>
      <c r="Q1823" s="93" t="str">
        <f>VLOOKUP(E1823,DATABASE!C:Q,4,false)</f>
        <v>SPOORING SS/CARRY LOS BAK</v>
      </c>
      <c r="R1823" s="93" t="str">
        <f>VLOOKUP(E1823,DATABASE!C:Q,11,false)</f>
        <v>SERVICE</v>
      </c>
    </row>
    <row r="1824" ht="22.5" customHeight="1">
      <c r="A1824" s="49"/>
      <c r="C1824" s="384">
        <v>45754.0</v>
      </c>
      <c r="D1824" s="65">
        <v>5096.0</v>
      </c>
      <c r="E1824" s="385" t="s">
        <v>299</v>
      </c>
      <c r="F1824" s="386">
        <v>2.0</v>
      </c>
      <c r="G1824" s="74">
        <v>30000.0</v>
      </c>
      <c r="H1824" s="74">
        <v>0.0</v>
      </c>
      <c r="I1824" s="74">
        <f t="shared" si="1"/>
        <v>60000</v>
      </c>
      <c r="J1824" s="74">
        <f>IF(E1824="SERVICE",I1824-(I1824*50%),Vlookup(E1824,DATABASE!C:Q,10,false)*F1824)</f>
        <v>0</v>
      </c>
      <c r="K1824" s="74">
        <v>0.0</v>
      </c>
      <c r="L1824" s="74">
        <v>0.0</v>
      </c>
      <c r="M1824" s="74">
        <f t="shared" si="2"/>
        <v>0</v>
      </c>
      <c r="N1824" s="74">
        <f t="shared" si="3"/>
        <v>60000</v>
      </c>
      <c r="O1824" s="65" t="str">
        <f>VLOOKUP(E1824,DATABASE!C:Q,8,false)</f>
        <v>BIAN</v>
      </c>
      <c r="P1824" s="65">
        <f>VLOOKUP(E1824,DATABASE!C:Q,9,False)</f>
        <v>0</v>
      </c>
      <c r="Q1824" s="93" t="str">
        <f>VLOOKUP(E1824,DATABASE!C:Q,4,false)</f>
        <v>Balancing</v>
      </c>
      <c r="R1824" s="93" t="str">
        <f>VLOOKUP(E1824,DATABASE!C:Q,11,false)</f>
        <v>COMPLEMENTARY</v>
      </c>
    </row>
    <row r="1825" ht="22.5" customHeight="1">
      <c r="A1825" s="49"/>
      <c r="C1825" s="384">
        <v>45754.0</v>
      </c>
      <c r="D1825" s="65">
        <v>5096.0</v>
      </c>
      <c r="E1825" s="445" t="s">
        <v>2206</v>
      </c>
      <c r="F1825" s="386">
        <v>1.0</v>
      </c>
      <c r="G1825" s="74">
        <v>200000.0</v>
      </c>
      <c r="H1825" s="74">
        <v>0.0</v>
      </c>
      <c r="I1825" s="74">
        <f t="shared" si="1"/>
        <v>200000</v>
      </c>
      <c r="J1825" s="74">
        <f>IF(E1825="SERVICE",I1825-(I1825*50%),Vlookup(E1825,DATABASE!C:Q,10,false)*F1825)</f>
        <v>40000</v>
      </c>
      <c r="K1825" s="74">
        <f>VLOOKUP(E1825,DATABASE!C:Q,7,false)</f>
        <v>95450</v>
      </c>
      <c r="L1825" s="74">
        <v>61000.0</v>
      </c>
      <c r="M1825" s="74">
        <f t="shared" si="2"/>
        <v>65000</v>
      </c>
      <c r="N1825" s="74">
        <f t="shared" si="3"/>
        <v>95000</v>
      </c>
      <c r="O1825" s="65" t="str">
        <f>VLOOKUP(E1825,DATABASE!C:Q,8,false)</f>
        <v>IBU</v>
      </c>
      <c r="P1825" s="65">
        <f>VLOOKUP(E1825,DATABASE!C:Q,9,False)</f>
        <v>1</v>
      </c>
      <c r="Q1825" s="93" t="str">
        <f>VLOOKUP(E1825,DATABASE!C:Q,4,false)</f>
        <v>TIEROD</v>
      </c>
      <c r="R1825" s="93" t="str">
        <f>VLOOKUP(E1825,DATABASE!C:Q,11,false)</f>
        <v>COMPLEMENTARY</v>
      </c>
    </row>
    <row r="1826" ht="22.5" customHeight="1">
      <c r="A1826" s="49"/>
      <c r="C1826" s="384">
        <v>45754.0</v>
      </c>
      <c r="D1826" s="65">
        <v>5096.0</v>
      </c>
      <c r="E1826" s="445" t="s">
        <v>251</v>
      </c>
      <c r="F1826" s="386">
        <v>1.0</v>
      </c>
      <c r="G1826" s="74">
        <v>40000.0</v>
      </c>
      <c r="H1826" s="74">
        <v>0.0</v>
      </c>
      <c r="I1826" s="74">
        <f t="shared" si="1"/>
        <v>40000</v>
      </c>
      <c r="J1826" s="74">
        <f>IF(E1826="SERVICE",I1826-(I1826*50%),Vlookup(E1826,DATABASE!C:Q,10,false)*F1826)</f>
        <v>20000</v>
      </c>
      <c r="K1826" s="74">
        <f>VLOOKUP(E1826,DATABASE!C:Q,7,false)</f>
        <v>0</v>
      </c>
      <c r="L1826" s="74">
        <v>0.0</v>
      </c>
      <c r="M1826" s="74">
        <f t="shared" si="2"/>
        <v>0</v>
      </c>
      <c r="N1826" s="74">
        <f t="shared" si="3"/>
        <v>20000</v>
      </c>
      <c r="O1826" s="65" t="str">
        <f>VLOOKUP(E1826,DATABASE!C:Q,8,false)</f>
        <v>IBU</v>
      </c>
      <c r="P1826" s="65">
        <f>VLOOKUP(E1826,DATABASE!C:Q,9,False)</f>
        <v>0</v>
      </c>
      <c r="Q1826" s="93" t="str">
        <f>VLOOKUP(E1826,DATABASE!C:Q,4,false)</f>
        <v>SERVICE</v>
      </c>
      <c r="R1826" s="93" t="str">
        <f>VLOOKUP(E1826,DATABASE!C:Q,11,false)</f>
        <v>SERVICE</v>
      </c>
    </row>
    <row r="1827" ht="22.5" customHeight="1">
      <c r="A1827" s="49"/>
      <c r="C1827" s="384">
        <v>45754.0</v>
      </c>
      <c r="D1827" s="65">
        <v>5097.0</v>
      </c>
      <c r="E1827" s="445" t="s">
        <v>1928</v>
      </c>
      <c r="F1827" s="386">
        <v>2.0</v>
      </c>
      <c r="G1827" s="74">
        <v>650000.0</v>
      </c>
      <c r="H1827" s="74">
        <v>0.0</v>
      </c>
      <c r="I1827" s="74">
        <f t="shared" si="1"/>
        <v>1300000</v>
      </c>
      <c r="J1827" s="74">
        <f>IF(E1827="SERVICE",I1827-(I1827*50%),Vlookup(E1827,DATABASE!C:Q,10,false)*F1827)</f>
        <v>0</v>
      </c>
      <c r="K1827" s="74">
        <f>VLOOKUP(E1827,DATABASE!C:Q,7,false)</f>
        <v>589700</v>
      </c>
      <c r="L1827" s="74">
        <v>572700.0</v>
      </c>
      <c r="M1827" s="74">
        <f t="shared" si="2"/>
        <v>575000</v>
      </c>
      <c r="N1827" s="74">
        <f t="shared" si="3"/>
        <v>150000</v>
      </c>
      <c r="O1827" s="65" t="str">
        <f>VLOOKUP(E1827,DATABASE!C:Q,8,false)</f>
        <v>BIAN</v>
      </c>
      <c r="P1827" s="65">
        <f>VLOOKUP(E1827,DATABASE!C:Q,9,False)</f>
        <v>1</v>
      </c>
      <c r="Q1827" s="93" t="str">
        <f>VLOOKUP(E1827,DATABASE!C:Q,4,false)</f>
        <v>GT</v>
      </c>
      <c r="R1827" s="93" t="str">
        <f>VLOOKUP(E1827,DATABASE!C:Q,11,false)</f>
        <v>Tire</v>
      </c>
    </row>
    <row r="1828" ht="22.5" customHeight="1">
      <c r="A1828" s="49"/>
      <c r="C1828" s="384">
        <v>45754.0</v>
      </c>
      <c r="D1828" s="65">
        <v>5097.0</v>
      </c>
      <c r="E1828" s="385" t="s">
        <v>299</v>
      </c>
      <c r="F1828" s="386">
        <v>2.0</v>
      </c>
      <c r="G1828" s="74">
        <v>30000.0</v>
      </c>
      <c r="H1828" s="74">
        <v>0.0</v>
      </c>
      <c r="I1828" s="74">
        <f t="shared" si="1"/>
        <v>60000</v>
      </c>
      <c r="J1828" s="74">
        <f>IF(E1828="SERVICE",I1828-(I1828*50%),Vlookup(E1828,DATABASE!C:Q,10,false)*F1828)</f>
        <v>0</v>
      </c>
      <c r="K1828" s="74">
        <v>0.0</v>
      </c>
      <c r="L1828" s="74">
        <v>0.0</v>
      </c>
      <c r="M1828" s="74">
        <f t="shared" si="2"/>
        <v>0</v>
      </c>
      <c r="N1828" s="74">
        <f t="shared" si="3"/>
        <v>60000</v>
      </c>
      <c r="O1828" s="65" t="str">
        <f>VLOOKUP(E1828,DATABASE!C:Q,8,false)</f>
        <v>BIAN</v>
      </c>
      <c r="P1828" s="65">
        <f>VLOOKUP(E1828,DATABASE!C:Q,9,False)</f>
        <v>0</v>
      </c>
      <c r="Q1828" s="93" t="str">
        <f>VLOOKUP(E1828,DATABASE!C:Q,4,false)</f>
        <v>Balancing</v>
      </c>
      <c r="R1828" s="93" t="str">
        <f>VLOOKUP(E1828,DATABASE!C:Q,11,false)</f>
        <v>COMPLEMENTARY</v>
      </c>
    </row>
    <row r="1829" ht="22.5" customHeight="1">
      <c r="A1829" s="49"/>
      <c r="C1829" s="384">
        <v>45755.0</v>
      </c>
      <c r="D1829" s="65">
        <v>5098.0</v>
      </c>
      <c r="E1829" s="445" t="s">
        <v>288</v>
      </c>
      <c r="F1829" s="386">
        <v>2.0</v>
      </c>
      <c r="G1829" s="74">
        <v>620000.0</v>
      </c>
      <c r="H1829" s="74">
        <v>0.0</v>
      </c>
      <c r="I1829" s="74">
        <f t="shared" si="1"/>
        <v>1240000</v>
      </c>
      <c r="J1829" s="74">
        <f>IF(E1829="SERVICE",I1829-(I1829*50%),Vlookup(E1829,DATABASE!C:Q,10,false)*F1829)</f>
        <v>0</v>
      </c>
      <c r="K1829" s="74">
        <f>VLOOKUP(E1829,DATABASE!C:Q,7,false)</f>
        <v>565760</v>
      </c>
      <c r="L1829" s="74">
        <v>524800.0</v>
      </c>
      <c r="M1829" s="74">
        <f t="shared" si="2"/>
        <v>525000</v>
      </c>
      <c r="N1829" s="74">
        <f t="shared" si="3"/>
        <v>190000</v>
      </c>
      <c r="O1829" s="65" t="str">
        <f>VLOOKUP(E1829,DATABASE!C:Q,8,false)</f>
        <v>BIAN</v>
      </c>
      <c r="P1829" s="65">
        <f>VLOOKUP(E1829,DATABASE!C:Q,9,False)</f>
        <v>1</v>
      </c>
      <c r="Q1829" s="93" t="str">
        <f>VLOOKUP(E1829,DATABASE!C:Q,4,false)</f>
        <v>GT</v>
      </c>
      <c r="R1829" s="93" t="str">
        <f>VLOOKUP(E1829,DATABASE!C:Q,11,false)</f>
        <v>Tire</v>
      </c>
    </row>
    <row r="1830" ht="22.5" customHeight="1">
      <c r="A1830" s="49"/>
      <c r="C1830" s="384">
        <v>45755.0</v>
      </c>
      <c r="D1830" s="65">
        <v>5099.0</v>
      </c>
      <c r="E1830" s="385" t="s">
        <v>299</v>
      </c>
      <c r="F1830" s="386">
        <v>2.0</v>
      </c>
      <c r="G1830" s="74">
        <v>30000.0</v>
      </c>
      <c r="H1830" s="74">
        <v>0.0</v>
      </c>
      <c r="I1830" s="74">
        <f t="shared" si="1"/>
        <v>60000</v>
      </c>
      <c r="J1830" s="74">
        <f>IF(E1830="SERVICE",I1830-(I1830*50%),Vlookup(E1830,DATABASE!C:Q,10,false)*F1830)</f>
        <v>0</v>
      </c>
      <c r="K1830" s="74">
        <v>0.0</v>
      </c>
      <c r="L1830" s="74">
        <v>0.0</v>
      </c>
      <c r="M1830" s="74">
        <f t="shared" si="2"/>
        <v>0</v>
      </c>
      <c r="N1830" s="74">
        <f t="shared" si="3"/>
        <v>60000</v>
      </c>
      <c r="O1830" s="65" t="str">
        <f>VLOOKUP(E1830,DATABASE!C:Q,8,false)</f>
        <v>BIAN</v>
      </c>
      <c r="P1830" s="65">
        <f>VLOOKUP(E1830,DATABASE!C:Q,9,False)</f>
        <v>0</v>
      </c>
      <c r="Q1830" s="93" t="str">
        <f>VLOOKUP(E1830,DATABASE!C:Q,4,false)</f>
        <v>Balancing</v>
      </c>
      <c r="R1830" s="93" t="str">
        <f>VLOOKUP(E1830,DATABASE!C:Q,11,false)</f>
        <v>COMPLEMENTARY</v>
      </c>
    </row>
    <row r="1831" ht="22.5" customHeight="1">
      <c r="A1831" s="49"/>
      <c r="C1831" s="384">
        <v>45755.0</v>
      </c>
      <c r="D1831" s="65">
        <v>5101.0</v>
      </c>
      <c r="E1831" s="445" t="s">
        <v>256</v>
      </c>
      <c r="F1831" s="386">
        <v>1.0</v>
      </c>
      <c r="G1831" s="74">
        <v>130000.0</v>
      </c>
      <c r="H1831" s="74">
        <v>0.0</v>
      </c>
      <c r="I1831" s="74">
        <f t="shared" si="1"/>
        <v>130000</v>
      </c>
      <c r="J1831" s="74">
        <f>IF(E1831="SERVICE",I1831-(I1831*50%),Vlookup(E1831,DATABASE!C:Q,10,false)*F1831)</f>
        <v>10000</v>
      </c>
      <c r="K1831" s="74">
        <f>VLOOKUP(E1831,DATABASE!C:Q,7,false)</f>
        <v>0</v>
      </c>
      <c r="L1831" s="74">
        <v>0.0</v>
      </c>
      <c r="M1831" s="74">
        <f t="shared" si="2"/>
        <v>0</v>
      </c>
      <c r="N1831" s="74">
        <f t="shared" si="3"/>
        <v>120000</v>
      </c>
      <c r="O1831" s="65" t="str">
        <f>VLOOKUP(E1831,DATABASE!C:Q,8,false)</f>
        <v>IBU</v>
      </c>
      <c r="P1831" s="65">
        <f>VLOOKUP(E1831,DATABASE!C:Q,9,False)</f>
        <v>0</v>
      </c>
      <c r="Q1831" s="93" t="str">
        <f>VLOOKUP(E1831,DATABASE!C:Q,4,false)</f>
        <v>SPOORING</v>
      </c>
      <c r="R1831" s="93" t="str">
        <f>VLOOKUP(E1831,DATABASE!C:Q,11,false)</f>
        <v>SERVICE</v>
      </c>
    </row>
    <row r="1832" ht="22.5" customHeight="1">
      <c r="A1832" s="49"/>
      <c r="C1832" s="384">
        <v>45755.0</v>
      </c>
      <c r="D1832" s="65">
        <v>5101.0</v>
      </c>
      <c r="E1832" s="385" t="s">
        <v>299</v>
      </c>
      <c r="F1832" s="386">
        <v>2.0</v>
      </c>
      <c r="G1832" s="74">
        <v>30000.0</v>
      </c>
      <c r="H1832" s="74">
        <v>0.0</v>
      </c>
      <c r="I1832" s="74">
        <f t="shared" si="1"/>
        <v>60000</v>
      </c>
      <c r="J1832" s="74">
        <f>IF(E1832="SERVICE",I1832-(I1832*50%),Vlookup(E1832,DATABASE!C:Q,10,false)*F1832)</f>
        <v>0</v>
      </c>
      <c r="K1832" s="74">
        <v>0.0</v>
      </c>
      <c r="L1832" s="74">
        <v>0.0</v>
      </c>
      <c r="M1832" s="74">
        <f t="shared" si="2"/>
        <v>0</v>
      </c>
      <c r="N1832" s="74">
        <f t="shared" si="3"/>
        <v>60000</v>
      </c>
      <c r="O1832" s="65" t="str">
        <f>VLOOKUP(E1832,DATABASE!C:Q,8,false)</f>
        <v>BIAN</v>
      </c>
      <c r="P1832" s="65">
        <f>VLOOKUP(E1832,DATABASE!C:Q,9,False)</f>
        <v>0</v>
      </c>
      <c r="Q1832" s="93" t="str">
        <f>VLOOKUP(E1832,DATABASE!C:Q,4,false)</f>
        <v>Balancing</v>
      </c>
      <c r="R1832" s="93" t="str">
        <f>VLOOKUP(E1832,DATABASE!C:Q,11,false)</f>
        <v>COMPLEMENTARY</v>
      </c>
    </row>
    <row r="1833" ht="22.5" customHeight="1">
      <c r="A1833" s="49"/>
      <c r="C1833" s="384">
        <v>45755.0</v>
      </c>
      <c r="D1833" s="65">
        <v>5101.0</v>
      </c>
      <c r="E1833" s="445" t="s">
        <v>301</v>
      </c>
      <c r="F1833" s="386">
        <v>1.0</v>
      </c>
      <c r="G1833" s="74">
        <v>250000.0</v>
      </c>
      <c r="H1833" s="74">
        <v>0.0</v>
      </c>
      <c r="I1833" s="74">
        <f t="shared" si="1"/>
        <v>250000</v>
      </c>
      <c r="J1833" s="74">
        <f>IF(E1833="SERVICE",I1833-(I1833*50%),Vlookup(E1833,DATABASE!C:Q,10,false)*F1833)</f>
        <v>75000</v>
      </c>
      <c r="K1833" s="74">
        <f>VLOOKUP(E1833,DATABASE!C:Q,7,false)</f>
        <v>75000</v>
      </c>
      <c r="L1833" s="74">
        <v>75000.0</v>
      </c>
      <c r="M1833" s="74">
        <f t="shared" si="2"/>
        <v>75000</v>
      </c>
      <c r="N1833" s="74">
        <f t="shared" si="3"/>
        <v>100000</v>
      </c>
      <c r="O1833" s="65" t="str">
        <f>VLOOKUP(E1833,DATABASE!C:Q,8,false)</f>
        <v>BIAN</v>
      </c>
      <c r="P1833" s="65">
        <f>VLOOKUP(E1833,DATABASE!C:Q,9,False)</f>
        <v>0</v>
      </c>
      <c r="Q1833" s="93" t="str">
        <f>VLOOKUP(E1833,DATABASE!C:Q,4,false)</f>
        <v>Baut Camber</v>
      </c>
      <c r="R1833" s="93" t="str">
        <f>VLOOKUP(E1833,DATABASE!C:Q,11,false)</f>
        <v>COMPLEMENTARY</v>
      </c>
    </row>
    <row r="1834" ht="22.5" customHeight="1">
      <c r="A1834" s="49"/>
      <c r="C1834" s="384">
        <v>45755.0</v>
      </c>
      <c r="D1834" s="65">
        <v>5102.0</v>
      </c>
      <c r="E1834" s="445" t="s">
        <v>955</v>
      </c>
      <c r="F1834" s="386">
        <v>1.0</v>
      </c>
      <c r="G1834" s="74">
        <v>770000.0</v>
      </c>
      <c r="H1834" s="74">
        <v>0.0</v>
      </c>
      <c r="I1834" s="74">
        <f t="shared" si="1"/>
        <v>770000</v>
      </c>
      <c r="J1834" s="74">
        <f>IF(E1834="SERVICE",I1834-(I1834*50%),Vlookup(E1834,DATABASE!C:Q,10,false)*F1834)</f>
        <v>0</v>
      </c>
      <c r="K1834" s="74">
        <f>VLOOKUP(E1834,DATABASE!C:Q,7,false)</f>
        <v>712000</v>
      </c>
      <c r="L1834" s="74">
        <v>674000.0</v>
      </c>
      <c r="M1834" s="74">
        <f t="shared" si="2"/>
        <v>675000</v>
      </c>
      <c r="N1834" s="74">
        <f t="shared" si="3"/>
        <v>95000</v>
      </c>
      <c r="O1834" s="65" t="str">
        <f>VLOOKUP(E1834,DATABASE!C:Q,8,false)</f>
        <v>IBU</v>
      </c>
      <c r="P1834" s="65">
        <f>VLOOKUP(E1834,DATABASE!C:Q,9,False)</f>
        <v>1</v>
      </c>
      <c r="Q1834" s="93" t="str">
        <f>VLOOKUP(E1834,DATABASE!C:Q,4,false)</f>
        <v>Dunlop</v>
      </c>
      <c r="R1834" s="93" t="str">
        <f>VLOOKUP(E1834,DATABASE!C:Q,11,false)</f>
        <v>Tire</v>
      </c>
    </row>
    <row r="1835" ht="22.5" customHeight="1">
      <c r="A1835" s="49"/>
      <c r="C1835" s="384">
        <v>45755.0</v>
      </c>
      <c r="D1835" s="65">
        <v>5103.0</v>
      </c>
      <c r="E1835" s="385" t="s">
        <v>299</v>
      </c>
      <c r="F1835" s="386">
        <v>2.0</v>
      </c>
      <c r="G1835" s="74">
        <v>30000.0</v>
      </c>
      <c r="H1835" s="74">
        <v>0.0</v>
      </c>
      <c r="I1835" s="74">
        <f t="shared" si="1"/>
        <v>60000</v>
      </c>
      <c r="J1835" s="74">
        <f>IF(E1835="SERVICE",I1835-(I1835*50%),Vlookup(E1835,DATABASE!C:Q,10,false)*F1835)</f>
        <v>0</v>
      </c>
      <c r="K1835" s="74">
        <v>0.0</v>
      </c>
      <c r="L1835" s="74">
        <v>0.0</v>
      </c>
      <c r="M1835" s="74">
        <f t="shared" si="2"/>
        <v>0</v>
      </c>
      <c r="N1835" s="74">
        <f t="shared" si="3"/>
        <v>60000</v>
      </c>
      <c r="O1835" s="65" t="str">
        <f>VLOOKUP(E1835,DATABASE!C:Q,8,false)</f>
        <v>BIAN</v>
      </c>
      <c r="P1835" s="65">
        <f>VLOOKUP(E1835,DATABASE!C:Q,9,False)</f>
        <v>0</v>
      </c>
      <c r="Q1835" s="93" t="str">
        <f>VLOOKUP(E1835,DATABASE!C:Q,4,false)</f>
        <v>Balancing</v>
      </c>
      <c r="R1835" s="93" t="str">
        <f>VLOOKUP(E1835,DATABASE!C:Q,11,false)</f>
        <v>COMPLEMENTARY</v>
      </c>
    </row>
    <row r="1836" ht="22.5" customHeight="1">
      <c r="A1836" s="49"/>
      <c r="C1836" s="384">
        <v>45755.0</v>
      </c>
      <c r="D1836" s="65">
        <v>5104.0</v>
      </c>
      <c r="E1836" s="445" t="s">
        <v>288</v>
      </c>
      <c r="F1836" s="386">
        <v>2.0</v>
      </c>
      <c r="G1836" s="74">
        <v>620000.0</v>
      </c>
      <c r="H1836" s="74">
        <v>0.0</v>
      </c>
      <c r="I1836" s="74">
        <f t="shared" si="1"/>
        <v>1240000</v>
      </c>
      <c r="J1836" s="74">
        <f>IF(E1836="SERVICE",I1836-(I1836*50%),Vlookup(E1836,DATABASE!C:Q,10,false)*F1836)</f>
        <v>0</v>
      </c>
      <c r="K1836" s="74">
        <f>VLOOKUP(E1836,DATABASE!C:Q,7,false)</f>
        <v>565760</v>
      </c>
      <c r="L1836" s="74">
        <v>524800.0</v>
      </c>
      <c r="M1836" s="74">
        <f t="shared" si="2"/>
        <v>525000</v>
      </c>
      <c r="N1836" s="74">
        <f t="shared" si="3"/>
        <v>190000</v>
      </c>
      <c r="O1836" s="65" t="str">
        <f>VLOOKUP(E1836,DATABASE!C:Q,8,false)</f>
        <v>BIAN</v>
      </c>
      <c r="P1836" s="65">
        <f>VLOOKUP(E1836,DATABASE!C:Q,9,False)</f>
        <v>1</v>
      </c>
      <c r="Q1836" s="93" t="str">
        <f>VLOOKUP(E1836,DATABASE!C:Q,4,false)</f>
        <v>GT</v>
      </c>
      <c r="R1836" s="93" t="str">
        <f>VLOOKUP(E1836,DATABASE!C:Q,11,false)</f>
        <v>Tire</v>
      </c>
    </row>
    <row r="1837" ht="22.5" customHeight="1">
      <c r="A1837" s="49"/>
      <c r="C1837" s="384">
        <v>45755.0</v>
      </c>
      <c r="D1837" s="65">
        <v>5104.0</v>
      </c>
      <c r="E1837" s="445" t="s">
        <v>839</v>
      </c>
      <c r="F1837" s="386">
        <v>1.0</v>
      </c>
      <c r="G1837" s="74">
        <v>560000.0</v>
      </c>
      <c r="H1837" s="74">
        <v>0.0</v>
      </c>
      <c r="I1837" s="74">
        <f t="shared" si="1"/>
        <v>560000</v>
      </c>
      <c r="J1837" s="74">
        <f>IF(E1837="SERVICE",I1837-(I1837*50%),Vlookup(E1837,DATABASE!C:Q,10,false)*F1837)</f>
        <v>0</v>
      </c>
      <c r="K1837" s="74">
        <f>VLOOKUP(E1837,DATABASE!C:Q,7,false)</f>
        <v>512640</v>
      </c>
      <c r="L1837" s="74">
        <v>475700.0</v>
      </c>
      <c r="M1837" s="74">
        <f t="shared" si="2"/>
        <v>480000</v>
      </c>
      <c r="N1837" s="74">
        <f t="shared" si="3"/>
        <v>80000</v>
      </c>
      <c r="O1837" s="65" t="str">
        <f>VLOOKUP(E1837,DATABASE!C:Q,8,false)</f>
        <v>BIAN</v>
      </c>
      <c r="P1837" s="65">
        <f>VLOOKUP(E1837,DATABASE!C:Q,9,False)</f>
        <v>1</v>
      </c>
      <c r="Q1837" s="93" t="str">
        <f>VLOOKUP(E1837,DATABASE!C:Q,4,false)</f>
        <v>GT</v>
      </c>
      <c r="R1837" s="93" t="str">
        <f>VLOOKUP(E1837,DATABASE!C:Q,11,false)</f>
        <v>Tire</v>
      </c>
    </row>
    <row r="1838" ht="22.5" customHeight="1">
      <c r="A1838" s="49"/>
      <c r="C1838" s="384">
        <v>45755.0</v>
      </c>
      <c r="D1838" s="65">
        <v>5105.0</v>
      </c>
      <c r="E1838" s="445" t="s">
        <v>1237</v>
      </c>
      <c r="F1838" s="386">
        <v>2.0</v>
      </c>
      <c r="G1838" s="74">
        <v>1220000.0</v>
      </c>
      <c r="H1838" s="74">
        <v>0.0</v>
      </c>
      <c r="I1838" s="74">
        <f t="shared" si="1"/>
        <v>2440000</v>
      </c>
      <c r="J1838" s="74">
        <f>IF(E1838="SERVICE",I1838-(I1838*50%),Vlookup(E1838,DATABASE!C:Q,10,false)*F1838)</f>
        <v>0</v>
      </c>
      <c r="K1838" s="74">
        <f>VLOOKUP(E1838,DATABASE!C:Q,7,false)</f>
        <v>1170353.16</v>
      </c>
      <c r="L1838" s="74">
        <v>1113907.2</v>
      </c>
      <c r="M1838" s="74">
        <f t="shared" si="2"/>
        <v>1115000</v>
      </c>
      <c r="N1838" s="74">
        <f t="shared" si="3"/>
        <v>210000</v>
      </c>
      <c r="O1838" s="65" t="str">
        <f>VLOOKUP(E1838,DATABASE!C:Q,8,false)</f>
        <v>IBU</v>
      </c>
      <c r="P1838" s="65">
        <f>VLOOKUP(E1838,DATABASE!C:Q,9,False)</f>
        <v>1</v>
      </c>
      <c r="Q1838" s="93" t="str">
        <f>VLOOKUP(E1838,DATABASE!C:Q,4,false)</f>
        <v>Bridgestone</v>
      </c>
      <c r="R1838" s="93" t="str">
        <f>VLOOKUP(E1838,DATABASE!C:Q,11,false)</f>
        <v>Tire</v>
      </c>
    </row>
    <row r="1839" ht="22.5" customHeight="1">
      <c r="A1839" s="49"/>
      <c r="C1839" s="384">
        <v>45755.0</v>
      </c>
      <c r="D1839" s="65">
        <v>5106.0</v>
      </c>
      <c r="E1839" s="445" t="s">
        <v>605</v>
      </c>
      <c r="F1839" s="386">
        <v>2.0</v>
      </c>
      <c r="G1839" s="74">
        <v>760000.0</v>
      </c>
      <c r="H1839" s="74">
        <v>0.0</v>
      </c>
      <c r="I1839" s="74">
        <f t="shared" si="1"/>
        <v>1520000</v>
      </c>
      <c r="J1839" s="74">
        <f>IF(E1839="SERVICE",I1839-(I1839*50%),Vlookup(E1839,DATABASE!C:Q,10,false)*F1839)</f>
        <v>0</v>
      </c>
      <c r="K1839" s="74">
        <v>670000.0</v>
      </c>
      <c r="L1839" s="74">
        <v>670000.0</v>
      </c>
      <c r="M1839" s="74">
        <f t="shared" si="2"/>
        <v>670000</v>
      </c>
      <c r="N1839" s="74">
        <f t="shared" si="3"/>
        <v>180000</v>
      </c>
      <c r="O1839" s="65" t="str">
        <f>VLOOKUP(E1839,DATABASE!C:Q,8,false)</f>
        <v>IBU</v>
      </c>
      <c r="P1839" s="65">
        <f>VLOOKUP(E1839,DATABASE!C:Q,9,False)</f>
        <v>1</v>
      </c>
      <c r="Q1839" s="93" t="str">
        <f>VLOOKUP(E1839,DATABASE!C:Q,4,false)</f>
        <v>Bridgestone</v>
      </c>
      <c r="R1839" s="93" t="str">
        <f>VLOOKUP(E1839,DATABASE!C:Q,11,false)</f>
        <v>Tire</v>
      </c>
    </row>
    <row r="1840" ht="22.5" customHeight="1">
      <c r="A1840" s="49"/>
      <c r="C1840" s="384">
        <v>45755.0</v>
      </c>
      <c r="D1840" s="65">
        <v>5106.0</v>
      </c>
      <c r="E1840" s="385" t="s">
        <v>299</v>
      </c>
      <c r="F1840" s="386">
        <v>2.0</v>
      </c>
      <c r="G1840" s="74">
        <v>30000.0</v>
      </c>
      <c r="H1840" s="74">
        <v>0.0</v>
      </c>
      <c r="I1840" s="74">
        <f t="shared" si="1"/>
        <v>60000</v>
      </c>
      <c r="J1840" s="74">
        <f>IF(E1840="SERVICE",I1840-(I1840*50%),Vlookup(E1840,DATABASE!C:Q,10,false)*F1840)</f>
        <v>0</v>
      </c>
      <c r="K1840" s="74">
        <v>0.0</v>
      </c>
      <c r="L1840" s="74">
        <v>0.0</v>
      </c>
      <c r="M1840" s="74">
        <f t="shared" si="2"/>
        <v>0</v>
      </c>
      <c r="N1840" s="74">
        <f t="shared" si="3"/>
        <v>60000</v>
      </c>
      <c r="O1840" s="65" t="str">
        <f>VLOOKUP(E1840,DATABASE!C:Q,8,false)</f>
        <v>BIAN</v>
      </c>
      <c r="P1840" s="65">
        <f>VLOOKUP(E1840,DATABASE!C:Q,9,False)</f>
        <v>0</v>
      </c>
      <c r="Q1840" s="93" t="str">
        <f>VLOOKUP(E1840,DATABASE!C:Q,4,false)</f>
        <v>Balancing</v>
      </c>
      <c r="R1840" s="93" t="str">
        <f>VLOOKUP(E1840,DATABASE!C:Q,11,false)</f>
        <v>COMPLEMENTARY</v>
      </c>
    </row>
    <row r="1841" ht="22.5" customHeight="1">
      <c r="A1841" s="49"/>
      <c r="C1841" s="384">
        <v>45755.0</v>
      </c>
      <c r="D1841" s="65">
        <v>5106.0</v>
      </c>
      <c r="E1841" s="445" t="s">
        <v>256</v>
      </c>
      <c r="F1841" s="386">
        <v>1.0</v>
      </c>
      <c r="G1841" s="74">
        <v>130000.0</v>
      </c>
      <c r="H1841" s="74">
        <v>0.0</v>
      </c>
      <c r="I1841" s="74">
        <f t="shared" si="1"/>
        <v>130000</v>
      </c>
      <c r="J1841" s="74">
        <f>IF(E1841="SERVICE",I1841-(I1841*50%),Vlookup(E1841,DATABASE!C:Q,10,false)*F1841)</f>
        <v>10000</v>
      </c>
      <c r="K1841" s="74">
        <f>VLOOKUP(E1841,DATABASE!C:Q,7,false)</f>
        <v>0</v>
      </c>
      <c r="L1841" s="74">
        <v>0.0</v>
      </c>
      <c r="M1841" s="74">
        <f t="shared" si="2"/>
        <v>0</v>
      </c>
      <c r="N1841" s="74">
        <f t="shared" si="3"/>
        <v>120000</v>
      </c>
      <c r="O1841" s="65" t="str">
        <f>VLOOKUP(E1841,DATABASE!C:Q,8,false)</f>
        <v>IBU</v>
      </c>
      <c r="P1841" s="65">
        <f>VLOOKUP(E1841,DATABASE!C:Q,9,False)</f>
        <v>0</v>
      </c>
      <c r="Q1841" s="93" t="str">
        <f>VLOOKUP(E1841,DATABASE!C:Q,4,false)</f>
        <v>SPOORING</v>
      </c>
      <c r="R1841" s="93" t="str">
        <f>VLOOKUP(E1841,DATABASE!C:Q,11,false)</f>
        <v>SERVICE</v>
      </c>
    </row>
    <row r="1842" ht="22.5" customHeight="1">
      <c r="A1842" s="49"/>
      <c r="C1842" s="384">
        <v>45755.0</v>
      </c>
      <c r="D1842" s="65">
        <v>5107.0</v>
      </c>
      <c r="E1842" s="445" t="s">
        <v>937</v>
      </c>
      <c r="F1842" s="386">
        <v>2.0</v>
      </c>
      <c r="G1842" s="74">
        <v>900000.0</v>
      </c>
      <c r="H1842" s="74">
        <v>0.0</v>
      </c>
      <c r="I1842" s="74">
        <f t="shared" si="1"/>
        <v>1800000</v>
      </c>
      <c r="J1842" s="74">
        <f>IF(E1842="SERVICE",I1842-(I1842*50%),Vlookup(E1842,DATABASE!C:Q,10,false)*F1842)</f>
        <v>0</v>
      </c>
      <c r="K1842" s="74">
        <f>VLOOKUP(E1842,DATABASE!C:Q,7,false)</f>
        <v>825000</v>
      </c>
      <c r="L1842" s="74">
        <v>790000.0</v>
      </c>
      <c r="M1842" s="74">
        <f t="shared" si="2"/>
        <v>790000</v>
      </c>
      <c r="N1842" s="74">
        <f t="shared" si="3"/>
        <v>220000</v>
      </c>
      <c r="O1842" s="65" t="str">
        <f>VLOOKUP(E1842,DATABASE!C:Q,8,false)</f>
        <v>IBU</v>
      </c>
      <c r="P1842" s="65">
        <f>VLOOKUP(E1842,DATABASE!C:Q,9,False)</f>
        <v>1</v>
      </c>
      <c r="Q1842" s="93" t="str">
        <f>VLOOKUP(E1842,DATABASE!C:Q,4,false)</f>
        <v>Bridgestone</v>
      </c>
      <c r="R1842" s="93" t="str">
        <f>VLOOKUP(E1842,DATABASE!C:Q,11,false)</f>
        <v>Tire</v>
      </c>
    </row>
    <row r="1843" ht="22.5" customHeight="1">
      <c r="A1843" s="49"/>
      <c r="C1843" s="384">
        <v>45755.0</v>
      </c>
      <c r="D1843" s="65">
        <v>5108.0</v>
      </c>
      <c r="E1843" s="445" t="s">
        <v>897</v>
      </c>
      <c r="F1843" s="386">
        <v>2.0</v>
      </c>
      <c r="G1843" s="74">
        <v>1600000.0</v>
      </c>
      <c r="H1843" s="74">
        <v>0.0</v>
      </c>
      <c r="I1843" s="74">
        <f t="shared" si="1"/>
        <v>3200000</v>
      </c>
      <c r="J1843" s="74">
        <f>IF(E1843="SERVICE",I1843-(I1843*50%),Vlookup(E1843,DATABASE!C:Q,10,false)*F1843)</f>
        <v>0</v>
      </c>
      <c r="K1843" s="74">
        <f>VLOOKUP(E1843,DATABASE!C:Q,7,false)</f>
        <v>1560000</v>
      </c>
      <c r="L1843" s="74">
        <v>1500000.0</v>
      </c>
      <c r="M1843" s="74">
        <f t="shared" si="2"/>
        <v>1500000</v>
      </c>
      <c r="N1843" s="74">
        <f t="shared" si="3"/>
        <v>200000</v>
      </c>
      <c r="O1843" s="65" t="str">
        <f>VLOOKUP(E1843,DATABASE!C:Q,8,false)</f>
        <v>BIAN</v>
      </c>
      <c r="P1843" s="65">
        <f>VLOOKUP(E1843,DATABASE!C:Q,9,False)</f>
        <v>1</v>
      </c>
      <c r="Q1843" s="93" t="str">
        <f>VLOOKUP(E1843,DATABASE!C:Q,4,false)</f>
        <v>GT</v>
      </c>
      <c r="R1843" s="93" t="str">
        <f>VLOOKUP(E1843,DATABASE!C:Q,11,false)</f>
        <v>Tire</v>
      </c>
    </row>
    <row r="1844" ht="22.5" customHeight="1">
      <c r="A1844" s="49"/>
      <c r="C1844" s="384">
        <v>45755.0</v>
      </c>
      <c r="D1844" s="65">
        <v>5108.0</v>
      </c>
      <c r="E1844" s="445" t="s">
        <v>744</v>
      </c>
      <c r="F1844" s="386">
        <v>1.0</v>
      </c>
      <c r="G1844" s="74">
        <v>230000.0</v>
      </c>
      <c r="H1844" s="74">
        <v>0.0</v>
      </c>
      <c r="I1844" s="74">
        <f t="shared" si="1"/>
        <v>230000</v>
      </c>
      <c r="J1844" s="74">
        <f>IF(E1844="SERVICE",I1844-(I1844*50%),Vlookup(E1844,DATABASE!C:Q,10,false)*F1844)</f>
        <v>0</v>
      </c>
      <c r="K1844" s="74">
        <f>VLOOKUP(E1844,DATABASE!C:Q,7,false)</f>
        <v>182200</v>
      </c>
      <c r="L1844" s="74">
        <v>199920.0</v>
      </c>
      <c r="M1844" s="74">
        <f t="shared" si="2"/>
        <v>200000</v>
      </c>
      <c r="N1844" s="74">
        <f t="shared" si="3"/>
        <v>30000</v>
      </c>
      <c r="O1844" s="65" t="str">
        <f>VLOOKUP(E1844,DATABASE!C:Q,8,false)</f>
        <v>BIAN</v>
      </c>
      <c r="P1844" s="65">
        <f>VLOOKUP(E1844,DATABASE!C:Q,9,False)</f>
        <v>1</v>
      </c>
      <c r="Q1844" s="93" t="str">
        <f>VLOOKUP(E1844,DATABASE!C:Q,4,false)</f>
        <v>BD</v>
      </c>
      <c r="R1844" s="93" t="str">
        <f>VLOOKUP(E1844,DATABASE!C:Q,11,false)</f>
        <v>Tire</v>
      </c>
    </row>
    <row r="1845" ht="22.5" customHeight="1">
      <c r="A1845" s="49"/>
      <c r="C1845" s="384">
        <v>45755.0</v>
      </c>
      <c r="D1845" s="65">
        <v>5109.0</v>
      </c>
      <c r="E1845" s="445" t="s">
        <v>1940</v>
      </c>
      <c r="F1845" s="386">
        <v>2.0</v>
      </c>
      <c r="G1845" s="74">
        <v>800000.0</v>
      </c>
      <c r="H1845" s="74">
        <v>0.0</v>
      </c>
      <c r="I1845" s="74">
        <f t="shared" si="1"/>
        <v>1600000</v>
      </c>
      <c r="J1845" s="74">
        <f>IF(E1845="SERVICE",I1845-(I1845*50%),Vlookup(E1845,DATABASE!C:Q,10,false)*F1845)</f>
        <v>0</v>
      </c>
      <c r="K1845" s="74">
        <f>VLOOKUP(E1845,DATABASE!C:Q,7,false)</f>
        <v>775500</v>
      </c>
      <c r="L1845" s="74">
        <v>716940.0</v>
      </c>
      <c r="M1845" s="74">
        <f t="shared" si="2"/>
        <v>720000</v>
      </c>
      <c r="N1845" s="74">
        <f t="shared" si="3"/>
        <v>160000</v>
      </c>
      <c r="O1845" s="65" t="str">
        <f>VLOOKUP(E1845,DATABASE!C:Q,8,false)</f>
        <v>BIAN</v>
      </c>
      <c r="P1845" s="65">
        <f>VLOOKUP(E1845,DATABASE!C:Q,9,False)</f>
        <v>1</v>
      </c>
      <c r="Q1845" s="93" t="str">
        <f>VLOOKUP(E1845,DATABASE!C:Q,4,false)</f>
        <v>GT</v>
      </c>
      <c r="R1845" s="93" t="str">
        <f>VLOOKUP(E1845,DATABASE!C:Q,11,false)</f>
        <v>Tire</v>
      </c>
    </row>
    <row r="1846" ht="22.5" customHeight="1">
      <c r="A1846" s="49"/>
      <c r="C1846" s="384">
        <v>45755.0</v>
      </c>
      <c r="D1846" s="65">
        <v>5110.0</v>
      </c>
      <c r="E1846" s="445" t="s">
        <v>268</v>
      </c>
      <c r="F1846" s="386">
        <v>2.0</v>
      </c>
      <c r="G1846" s="74">
        <v>700000.0</v>
      </c>
      <c r="H1846" s="74">
        <v>0.0</v>
      </c>
      <c r="I1846" s="74">
        <f t="shared" si="1"/>
        <v>1400000</v>
      </c>
      <c r="J1846" s="74">
        <f>IF(E1846="SERVICE",I1846-(I1846*50%),Vlookup(E1846,DATABASE!C:Q,10,false)*F1846)</f>
        <v>0</v>
      </c>
      <c r="K1846" s="74">
        <v>613000.0</v>
      </c>
      <c r="L1846" s="74">
        <v>613000.0</v>
      </c>
      <c r="M1846" s="74">
        <f t="shared" si="2"/>
        <v>615000</v>
      </c>
      <c r="N1846" s="74">
        <f t="shared" si="3"/>
        <v>170000</v>
      </c>
      <c r="O1846" s="65" t="str">
        <f>VLOOKUP(E1846,DATABASE!C:Q,8,false)</f>
        <v>IBU</v>
      </c>
      <c r="P1846" s="65">
        <f>VLOOKUP(E1846,DATABASE!C:Q,9,False)</f>
        <v>1</v>
      </c>
      <c r="Q1846" s="93" t="str">
        <f>VLOOKUP(E1846,DATABASE!C:Q,4,false)</f>
        <v>Dunlop</v>
      </c>
      <c r="R1846" s="93" t="str">
        <f>VLOOKUP(E1846,DATABASE!C:Q,11,false)</f>
        <v>Tire</v>
      </c>
    </row>
    <row r="1847" ht="22.5" customHeight="1">
      <c r="A1847" s="49"/>
      <c r="C1847" s="384">
        <v>45755.0</v>
      </c>
      <c r="D1847" s="65">
        <v>5111.0</v>
      </c>
      <c r="E1847" s="445" t="s">
        <v>268</v>
      </c>
      <c r="F1847" s="386">
        <v>2.0</v>
      </c>
      <c r="G1847" s="74">
        <v>700000.0</v>
      </c>
      <c r="H1847" s="74">
        <v>0.0</v>
      </c>
      <c r="I1847" s="74">
        <f t="shared" si="1"/>
        <v>1400000</v>
      </c>
      <c r="J1847" s="74">
        <f>IF(E1847="SERVICE",I1847-(I1847*50%),Vlookup(E1847,DATABASE!C:Q,10,false)*F1847)</f>
        <v>0</v>
      </c>
      <c r="K1847" s="74">
        <v>613000.0</v>
      </c>
      <c r="L1847" s="74">
        <v>613000.0</v>
      </c>
      <c r="M1847" s="74">
        <f t="shared" si="2"/>
        <v>615000</v>
      </c>
      <c r="N1847" s="74">
        <f t="shared" si="3"/>
        <v>170000</v>
      </c>
      <c r="O1847" s="65" t="str">
        <f>VLOOKUP(E1847,DATABASE!C:Q,8,false)</f>
        <v>IBU</v>
      </c>
      <c r="P1847" s="65">
        <f>VLOOKUP(E1847,DATABASE!C:Q,9,False)</f>
        <v>1</v>
      </c>
      <c r="Q1847" s="93" t="str">
        <f>VLOOKUP(E1847,DATABASE!C:Q,4,false)</f>
        <v>Dunlop</v>
      </c>
      <c r="R1847" s="93" t="str">
        <f>VLOOKUP(E1847,DATABASE!C:Q,11,false)</f>
        <v>Tire</v>
      </c>
    </row>
    <row r="1848" ht="22.5" customHeight="1">
      <c r="A1848" s="49"/>
      <c r="C1848" s="384">
        <v>45755.0</v>
      </c>
      <c r="D1848" s="65">
        <v>5111.0</v>
      </c>
      <c r="E1848" s="445" t="s">
        <v>256</v>
      </c>
      <c r="F1848" s="386">
        <v>1.0</v>
      </c>
      <c r="G1848" s="74">
        <v>130000.0</v>
      </c>
      <c r="H1848" s="74">
        <v>0.0</v>
      </c>
      <c r="I1848" s="74">
        <f t="shared" si="1"/>
        <v>130000</v>
      </c>
      <c r="J1848" s="74">
        <f>IF(E1848="SERVICE",I1848-(I1848*50%),Vlookup(E1848,DATABASE!C:Q,10,false)*F1848)</f>
        <v>10000</v>
      </c>
      <c r="K1848" s="74">
        <f>VLOOKUP(E1848,DATABASE!C:Q,7,false)</f>
        <v>0</v>
      </c>
      <c r="L1848" s="74">
        <v>0.0</v>
      </c>
      <c r="M1848" s="74">
        <f t="shared" si="2"/>
        <v>0</v>
      </c>
      <c r="N1848" s="74">
        <f t="shared" si="3"/>
        <v>120000</v>
      </c>
      <c r="O1848" s="65" t="str">
        <f>VLOOKUP(E1848,DATABASE!C:Q,8,false)</f>
        <v>IBU</v>
      </c>
      <c r="P1848" s="65">
        <f>VLOOKUP(E1848,DATABASE!C:Q,9,False)</f>
        <v>0</v>
      </c>
      <c r="Q1848" s="93" t="str">
        <f>VLOOKUP(E1848,DATABASE!C:Q,4,false)</f>
        <v>SPOORING</v>
      </c>
      <c r="R1848" s="93" t="str">
        <f>VLOOKUP(E1848,DATABASE!C:Q,11,false)</f>
        <v>SERVICE</v>
      </c>
    </row>
    <row r="1849" ht="22.5" customHeight="1">
      <c r="A1849" s="49"/>
      <c r="C1849" s="384">
        <v>45755.0</v>
      </c>
      <c r="D1849" s="65">
        <v>5111.0</v>
      </c>
      <c r="E1849" s="385" t="s">
        <v>299</v>
      </c>
      <c r="F1849" s="386">
        <v>2.0</v>
      </c>
      <c r="G1849" s="74">
        <v>30000.0</v>
      </c>
      <c r="H1849" s="74">
        <v>0.0</v>
      </c>
      <c r="I1849" s="74">
        <f t="shared" si="1"/>
        <v>60000</v>
      </c>
      <c r="J1849" s="74">
        <f>IF(E1849="SERVICE",I1849-(I1849*50%),Vlookup(E1849,DATABASE!C:Q,10,false)*F1849)</f>
        <v>0</v>
      </c>
      <c r="K1849" s="74">
        <v>0.0</v>
      </c>
      <c r="L1849" s="74">
        <v>0.0</v>
      </c>
      <c r="M1849" s="74">
        <f t="shared" si="2"/>
        <v>0</v>
      </c>
      <c r="N1849" s="74">
        <f t="shared" si="3"/>
        <v>60000</v>
      </c>
      <c r="O1849" s="65" t="str">
        <f>VLOOKUP(E1849,DATABASE!C:Q,8,false)</f>
        <v>BIAN</v>
      </c>
      <c r="P1849" s="65">
        <f>VLOOKUP(E1849,DATABASE!C:Q,9,False)</f>
        <v>0</v>
      </c>
      <c r="Q1849" s="93" t="str">
        <f>VLOOKUP(E1849,DATABASE!C:Q,4,false)</f>
        <v>Balancing</v>
      </c>
      <c r="R1849" s="93" t="str">
        <f>VLOOKUP(E1849,DATABASE!C:Q,11,false)</f>
        <v>COMPLEMENTARY</v>
      </c>
    </row>
    <row r="1850" ht="22.5" customHeight="1">
      <c r="A1850" s="49"/>
      <c r="C1850" s="384">
        <v>45755.0</v>
      </c>
      <c r="D1850" s="65">
        <v>5112.0</v>
      </c>
      <c r="E1850" s="445" t="s">
        <v>968</v>
      </c>
      <c r="F1850" s="386">
        <v>1.0</v>
      </c>
      <c r="G1850" s="74">
        <v>630000.0</v>
      </c>
      <c r="H1850" s="74">
        <v>0.0</v>
      </c>
      <c r="I1850" s="74">
        <f t="shared" si="1"/>
        <v>630000</v>
      </c>
      <c r="J1850" s="74">
        <f>IF(E1850="SERVICE",I1850-(I1850*50%),Vlookup(E1850,DATABASE!C:Q,10,false)*F1850)</f>
        <v>0</v>
      </c>
      <c r="K1850" s="74">
        <f>VLOOKUP(E1850,DATABASE!C:Q,7,false)</f>
        <v>582500</v>
      </c>
      <c r="L1850" s="74">
        <v>582500.0</v>
      </c>
      <c r="M1850" s="74">
        <f t="shared" si="2"/>
        <v>585000</v>
      </c>
      <c r="N1850" s="74">
        <f t="shared" si="3"/>
        <v>45000</v>
      </c>
      <c r="O1850" s="65" t="str">
        <f>VLOOKUP(E1850,DATABASE!C:Q,8,false)</f>
        <v>IBU</v>
      </c>
      <c r="P1850" s="65">
        <f>VLOOKUP(E1850,DATABASE!C:Q,9,False)</f>
        <v>1</v>
      </c>
      <c r="Q1850" s="93" t="str">
        <f>VLOOKUP(E1850,DATABASE!C:Q,4,false)</f>
        <v>Dunlop</v>
      </c>
      <c r="R1850" s="93" t="str">
        <f>VLOOKUP(E1850,DATABASE!C:Q,11,false)</f>
        <v>Tire</v>
      </c>
    </row>
    <row r="1851" ht="22.5" customHeight="1">
      <c r="A1851" s="49"/>
      <c r="C1851" s="384">
        <v>45755.0</v>
      </c>
      <c r="D1851" s="65">
        <v>5113.0</v>
      </c>
      <c r="E1851" s="445" t="s">
        <v>288</v>
      </c>
      <c r="F1851" s="386">
        <v>1.0</v>
      </c>
      <c r="G1851" s="74">
        <v>620000.0</v>
      </c>
      <c r="H1851" s="74">
        <v>0.0</v>
      </c>
      <c r="I1851" s="74">
        <f t="shared" si="1"/>
        <v>620000</v>
      </c>
      <c r="J1851" s="74">
        <f>IF(E1851="SERVICE",I1851-(I1851*50%),Vlookup(E1851,DATABASE!C:Q,10,false)*F1851)</f>
        <v>0</v>
      </c>
      <c r="K1851" s="74">
        <f>VLOOKUP(E1851,DATABASE!C:Q,7,false)</f>
        <v>565760</v>
      </c>
      <c r="L1851" s="74">
        <v>524800.0</v>
      </c>
      <c r="M1851" s="74">
        <f t="shared" si="2"/>
        <v>525000</v>
      </c>
      <c r="N1851" s="74">
        <f t="shared" si="3"/>
        <v>95000</v>
      </c>
      <c r="O1851" s="65" t="str">
        <f>VLOOKUP(E1851,DATABASE!C:Q,8,false)</f>
        <v>BIAN</v>
      </c>
      <c r="P1851" s="65">
        <f>VLOOKUP(E1851,DATABASE!C:Q,9,False)</f>
        <v>1</v>
      </c>
      <c r="Q1851" s="93" t="str">
        <f>VLOOKUP(E1851,DATABASE!C:Q,4,false)</f>
        <v>GT</v>
      </c>
      <c r="R1851" s="93" t="str">
        <f>VLOOKUP(E1851,DATABASE!C:Q,11,false)</f>
        <v>Tire</v>
      </c>
    </row>
    <row r="1852" ht="22.5" customHeight="1">
      <c r="A1852" s="49"/>
      <c r="C1852" s="384">
        <v>45755.0</v>
      </c>
      <c r="D1852" s="65">
        <v>5113.0</v>
      </c>
      <c r="E1852" s="445" t="s">
        <v>569</v>
      </c>
      <c r="F1852" s="386">
        <v>1.0</v>
      </c>
      <c r="G1852" s="74">
        <v>80000.0</v>
      </c>
      <c r="H1852" s="74">
        <v>0.0</v>
      </c>
      <c r="I1852" s="74">
        <f t="shared" si="1"/>
        <v>80000</v>
      </c>
      <c r="J1852" s="74">
        <f>IF(E1852="SERVICE",I1852-(I1852*50%),Vlookup(E1852,DATABASE!C:Q,10,false)*F1852)</f>
        <v>0</v>
      </c>
      <c r="K1852" s="74">
        <f>VLOOKUP(E1852,DATABASE!C:Q,7,false)</f>
        <v>45439.582</v>
      </c>
      <c r="L1852" s="74">
        <v>45309.6</v>
      </c>
      <c r="M1852" s="74">
        <f t="shared" si="2"/>
        <v>50000</v>
      </c>
      <c r="N1852" s="74">
        <f t="shared" si="3"/>
        <v>30000</v>
      </c>
      <c r="O1852" s="65" t="str">
        <f>VLOOKUP(E1852,DATABASE!C:Q,8,false)</f>
        <v>BIAN</v>
      </c>
      <c r="P1852" s="65">
        <f>VLOOKUP(E1852,DATABASE!C:Q,9,False)</f>
        <v>1</v>
      </c>
      <c r="Q1852" s="93" t="str">
        <f>VLOOKUP(E1852,DATABASE!C:Q,4,false)</f>
        <v>BD</v>
      </c>
      <c r="R1852" s="93" t="str">
        <f>VLOOKUP(E1852,DATABASE!C:Q,11,false)</f>
        <v>Tire</v>
      </c>
    </row>
    <row r="1853" ht="22.5" customHeight="1">
      <c r="A1853" s="49"/>
      <c r="C1853" s="384">
        <v>45755.0</v>
      </c>
      <c r="D1853" s="65">
        <v>5115.0</v>
      </c>
      <c r="E1853" s="445" t="s">
        <v>292</v>
      </c>
      <c r="F1853" s="386">
        <v>1.0</v>
      </c>
      <c r="G1853" s="74">
        <v>415000.0</v>
      </c>
      <c r="H1853" s="74">
        <v>0.0</v>
      </c>
      <c r="I1853" s="74">
        <f t="shared" si="1"/>
        <v>415000</v>
      </c>
      <c r="J1853" s="74">
        <f>IF(E1853="SERVICE",I1853-(I1853*50%),Vlookup(E1853,DATABASE!C:Q,10,false)*F1853)</f>
        <v>0</v>
      </c>
      <c r="K1853" s="74">
        <f>VLOOKUP(E1853,DATABASE!C:Q,7,false)</f>
        <v>326700</v>
      </c>
      <c r="L1853" s="74">
        <v>326700.0</v>
      </c>
      <c r="M1853" s="74">
        <f t="shared" si="2"/>
        <v>330000</v>
      </c>
      <c r="N1853" s="74">
        <f t="shared" si="3"/>
        <v>85000</v>
      </c>
      <c r="O1853" s="65" t="str">
        <f>VLOOKUP(E1853,DATABASE!C:Q,8,false)</f>
        <v>BIAN</v>
      </c>
      <c r="P1853" s="65">
        <f>VLOOKUP(E1853,DATABASE!C:Q,9,False)</f>
        <v>1</v>
      </c>
      <c r="Q1853" s="93" t="str">
        <f>VLOOKUP(E1853,DATABASE!C:Q,4,false)</f>
        <v>GT</v>
      </c>
      <c r="R1853" s="93" t="str">
        <f>VLOOKUP(E1853,DATABASE!C:Q,11,false)</f>
        <v>Tire</v>
      </c>
    </row>
    <row r="1854" ht="22.5" customHeight="1">
      <c r="A1854" s="49"/>
      <c r="C1854" s="384">
        <v>45755.0</v>
      </c>
      <c r="D1854" s="65">
        <v>5116.0</v>
      </c>
      <c r="E1854" s="445" t="s">
        <v>251</v>
      </c>
      <c r="F1854" s="386">
        <v>1.0</v>
      </c>
      <c r="G1854" s="74">
        <v>150000.0</v>
      </c>
      <c r="H1854" s="74">
        <v>0.0</v>
      </c>
      <c r="I1854" s="74">
        <f t="shared" si="1"/>
        <v>150000</v>
      </c>
      <c r="J1854" s="74">
        <f>IF(E1854="SERVICE",I1854-(I1854*50%),Vlookup(E1854,DATABASE!C:Q,10,false)*F1854)</f>
        <v>75000</v>
      </c>
      <c r="K1854" s="74">
        <f>VLOOKUP(E1854,DATABASE!C:Q,7,false)</f>
        <v>0</v>
      </c>
      <c r="L1854" s="74">
        <v>0.0</v>
      </c>
      <c r="M1854" s="74">
        <f t="shared" si="2"/>
        <v>0</v>
      </c>
      <c r="N1854" s="74">
        <f t="shared" si="3"/>
        <v>75000</v>
      </c>
      <c r="O1854" s="65" t="str">
        <f>VLOOKUP(E1854,DATABASE!C:Q,8,false)</f>
        <v>IBU</v>
      </c>
      <c r="P1854" s="65">
        <f>VLOOKUP(E1854,DATABASE!C:Q,9,False)</f>
        <v>0</v>
      </c>
      <c r="Q1854" s="93" t="str">
        <f>VLOOKUP(E1854,DATABASE!C:Q,4,false)</f>
        <v>SERVICE</v>
      </c>
      <c r="R1854" s="93" t="str">
        <f>VLOOKUP(E1854,DATABASE!C:Q,11,false)</f>
        <v>SERVICE</v>
      </c>
    </row>
    <row r="1855" ht="22.5" customHeight="1">
      <c r="A1855" s="49"/>
      <c r="C1855" s="384">
        <v>45755.0</v>
      </c>
      <c r="D1855" s="65">
        <v>5116.0</v>
      </c>
      <c r="E1855" s="445" t="s">
        <v>256</v>
      </c>
      <c r="F1855" s="386">
        <v>1.0</v>
      </c>
      <c r="G1855" s="74">
        <v>130000.0</v>
      </c>
      <c r="H1855" s="74">
        <v>0.0</v>
      </c>
      <c r="I1855" s="74">
        <f t="shared" si="1"/>
        <v>130000</v>
      </c>
      <c r="J1855" s="74">
        <f>IF(E1855="SERVICE",I1855-(I1855*50%),Vlookup(E1855,DATABASE!C:Q,10,false)*F1855)</f>
        <v>10000</v>
      </c>
      <c r="K1855" s="74">
        <f>VLOOKUP(E1855,DATABASE!C:Q,7,false)</f>
        <v>0</v>
      </c>
      <c r="L1855" s="74">
        <v>0.0</v>
      </c>
      <c r="M1855" s="74">
        <f t="shared" si="2"/>
        <v>0</v>
      </c>
      <c r="N1855" s="74">
        <f t="shared" si="3"/>
        <v>120000</v>
      </c>
      <c r="O1855" s="65" t="str">
        <f>VLOOKUP(E1855,DATABASE!C:Q,8,false)</f>
        <v>IBU</v>
      </c>
      <c r="P1855" s="65">
        <f>VLOOKUP(E1855,DATABASE!C:Q,9,False)</f>
        <v>0</v>
      </c>
      <c r="Q1855" s="93" t="str">
        <f>VLOOKUP(E1855,DATABASE!C:Q,4,false)</f>
        <v>SPOORING</v>
      </c>
      <c r="R1855" s="93" t="str">
        <f>VLOOKUP(E1855,DATABASE!C:Q,11,false)</f>
        <v>SERVICE</v>
      </c>
    </row>
    <row r="1856" ht="22.5" customHeight="1">
      <c r="A1856" s="49"/>
      <c r="C1856" s="384">
        <v>45755.0</v>
      </c>
      <c r="D1856" s="65">
        <v>5117.0</v>
      </c>
      <c r="E1856" s="445" t="s">
        <v>256</v>
      </c>
      <c r="F1856" s="386">
        <v>1.0</v>
      </c>
      <c r="G1856" s="74">
        <v>130000.0</v>
      </c>
      <c r="H1856" s="74">
        <v>0.0</v>
      </c>
      <c r="I1856" s="74">
        <f t="shared" si="1"/>
        <v>130000</v>
      </c>
      <c r="J1856" s="74">
        <f>IF(E1856="SERVICE",I1856-(I1856*50%),Vlookup(E1856,DATABASE!C:Q,10,false)*F1856)</f>
        <v>10000</v>
      </c>
      <c r="K1856" s="74">
        <f>VLOOKUP(E1856,DATABASE!C:Q,7,false)</f>
        <v>0</v>
      </c>
      <c r="L1856" s="74">
        <v>0.0</v>
      </c>
      <c r="M1856" s="74">
        <f t="shared" si="2"/>
        <v>0</v>
      </c>
      <c r="N1856" s="74">
        <f t="shared" si="3"/>
        <v>120000</v>
      </c>
      <c r="O1856" s="65" t="str">
        <f>VLOOKUP(E1856,DATABASE!C:Q,8,false)</f>
        <v>IBU</v>
      </c>
      <c r="P1856" s="65">
        <f>VLOOKUP(E1856,DATABASE!C:Q,9,False)</f>
        <v>0</v>
      </c>
      <c r="Q1856" s="93" t="str">
        <f>VLOOKUP(E1856,DATABASE!C:Q,4,false)</f>
        <v>SPOORING</v>
      </c>
      <c r="R1856" s="93" t="str">
        <f>VLOOKUP(E1856,DATABASE!C:Q,11,false)</f>
        <v>SERVICE</v>
      </c>
    </row>
    <row r="1857" ht="22.5" customHeight="1">
      <c r="A1857" s="49"/>
      <c r="C1857" s="384">
        <v>45755.0</v>
      </c>
      <c r="D1857" s="65">
        <v>5118.0</v>
      </c>
      <c r="E1857" s="445" t="s">
        <v>937</v>
      </c>
      <c r="F1857" s="386">
        <v>1.0</v>
      </c>
      <c r="G1857" s="74">
        <v>900000.0</v>
      </c>
      <c r="H1857" s="74">
        <v>0.0</v>
      </c>
      <c r="I1857" s="74">
        <f t="shared" si="1"/>
        <v>900000</v>
      </c>
      <c r="J1857" s="74">
        <f>IF(E1857="SERVICE",I1857-(I1857*50%),Vlookup(E1857,DATABASE!C:Q,10,false)*F1857)</f>
        <v>0</v>
      </c>
      <c r="K1857" s="74">
        <f>VLOOKUP(E1857,DATABASE!C:Q,7,false)</f>
        <v>825000</v>
      </c>
      <c r="L1857" s="74">
        <v>790000.0</v>
      </c>
      <c r="M1857" s="74">
        <f t="shared" si="2"/>
        <v>790000</v>
      </c>
      <c r="N1857" s="74">
        <f t="shared" si="3"/>
        <v>110000</v>
      </c>
      <c r="O1857" s="65" t="str">
        <f>VLOOKUP(E1857,DATABASE!C:Q,8,false)</f>
        <v>IBU</v>
      </c>
      <c r="P1857" s="65">
        <f>VLOOKUP(E1857,DATABASE!C:Q,9,False)</f>
        <v>1</v>
      </c>
      <c r="Q1857" s="93" t="str">
        <f>VLOOKUP(E1857,DATABASE!C:Q,4,false)</f>
        <v>Bridgestone</v>
      </c>
      <c r="R1857" s="93" t="str">
        <f>VLOOKUP(E1857,DATABASE!C:Q,11,false)</f>
        <v>Tire</v>
      </c>
    </row>
    <row r="1858" ht="22.5" customHeight="1">
      <c r="A1858" s="49"/>
      <c r="C1858" s="384">
        <v>45755.0</v>
      </c>
      <c r="D1858" s="65">
        <v>5119.0</v>
      </c>
      <c r="E1858" s="445" t="s">
        <v>897</v>
      </c>
      <c r="F1858" s="386">
        <v>2.0</v>
      </c>
      <c r="G1858" s="74">
        <v>1600000.0</v>
      </c>
      <c r="H1858" s="74">
        <v>0.0</v>
      </c>
      <c r="I1858" s="74">
        <f t="shared" si="1"/>
        <v>3200000</v>
      </c>
      <c r="J1858" s="74">
        <f>IF(E1858="SERVICE",I1858-(I1858*50%),Vlookup(E1858,DATABASE!C:Q,10,false)*F1858)</f>
        <v>0</v>
      </c>
      <c r="K1858" s="74">
        <f>VLOOKUP(E1858,DATABASE!C:Q,7,false)</f>
        <v>1560000</v>
      </c>
      <c r="L1858" s="74">
        <v>1500000.0</v>
      </c>
      <c r="M1858" s="74">
        <f t="shared" si="2"/>
        <v>1500000</v>
      </c>
      <c r="N1858" s="74">
        <f t="shared" si="3"/>
        <v>200000</v>
      </c>
      <c r="O1858" s="65" t="str">
        <f>VLOOKUP(E1858,DATABASE!C:Q,8,false)</f>
        <v>BIAN</v>
      </c>
      <c r="P1858" s="65">
        <f>VLOOKUP(E1858,DATABASE!C:Q,9,False)</f>
        <v>1</v>
      </c>
      <c r="Q1858" s="93" t="str">
        <f>VLOOKUP(E1858,DATABASE!C:Q,4,false)</f>
        <v>GT</v>
      </c>
      <c r="R1858" s="93" t="str">
        <f>VLOOKUP(E1858,DATABASE!C:Q,11,false)</f>
        <v>Tire</v>
      </c>
    </row>
    <row r="1859" ht="22.5" customHeight="1">
      <c r="A1859" s="49"/>
      <c r="C1859" s="384">
        <v>45755.0</v>
      </c>
      <c r="D1859" s="65">
        <v>5120.0</v>
      </c>
      <c r="E1859" s="445" t="s">
        <v>251</v>
      </c>
      <c r="F1859" s="386">
        <v>1.0</v>
      </c>
      <c r="G1859" s="74">
        <v>120000.0</v>
      </c>
      <c r="H1859" s="74">
        <v>0.0</v>
      </c>
      <c r="I1859" s="74">
        <f t="shared" si="1"/>
        <v>120000</v>
      </c>
      <c r="J1859" s="74">
        <f>IF(E1859="SERVICE",I1859-(I1859*50%),Vlookup(E1859,DATABASE!C:Q,10,false)*F1859)</f>
        <v>60000</v>
      </c>
      <c r="K1859" s="74">
        <f>VLOOKUP(E1859,DATABASE!C:Q,7,false)</f>
        <v>0</v>
      </c>
      <c r="L1859" s="74">
        <v>0.0</v>
      </c>
      <c r="M1859" s="74">
        <f t="shared" si="2"/>
        <v>0</v>
      </c>
      <c r="N1859" s="74">
        <f t="shared" si="3"/>
        <v>60000</v>
      </c>
      <c r="O1859" s="65" t="str">
        <f>VLOOKUP(E1859,DATABASE!C:Q,8,false)</f>
        <v>IBU</v>
      </c>
      <c r="P1859" s="65">
        <f>VLOOKUP(E1859,DATABASE!C:Q,9,False)</f>
        <v>0</v>
      </c>
      <c r="Q1859" s="93" t="str">
        <f>VLOOKUP(E1859,DATABASE!C:Q,4,false)</f>
        <v>SERVICE</v>
      </c>
      <c r="R1859" s="93" t="str">
        <f>VLOOKUP(E1859,DATABASE!C:Q,11,false)</f>
        <v>SERVICE</v>
      </c>
    </row>
    <row r="1860" ht="22.5" customHeight="1">
      <c r="A1860" s="49"/>
      <c r="C1860" s="384">
        <v>45755.0</v>
      </c>
      <c r="D1860" s="65">
        <v>5122.0</v>
      </c>
      <c r="E1860" s="445" t="s">
        <v>1524</v>
      </c>
      <c r="F1860" s="386">
        <v>2.0</v>
      </c>
      <c r="G1860" s="74">
        <v>1040000.0</v>
      </c>
      <c r="H1860" s="74">
        <v>0.0</v>
      </c>
      <c r="I1860" s="74">
        <f t="shared" si="1"/>
        <v>2080000</v>
      </c>
      <c r="J1860" s="74">
        <f>IF(E1860="SERVICE",I1860-(I1860*50%),Vlookup(E1860,DATABASE!C:Q,10,false)*F1860)</f>
        <v>0</v>
      </c>
      <c r="K1860" s="74">
        <f>VLOOKUP(E1860,DATABASE!C:Q,7,false)</f>
        <v>1028000</v>
      </c>
      <c r="L1860" s="74">
        <v>1028000.0</v>
      </c>
      <c r="M1860" s="74">
        <f t="shared" si="2"/>
        <v>1030000</v>
      </c>
      <c r="N1860" s="74">
        <f t="shared" si="3"/>
        <v>20000</v>
      </c>
      <c r="O1860" s="65" t="str">
        <f>VLOOKUP(E1860,DATABASE!C:Q,8,false)</f>
        <v>IBU</v>
      </c>
      <c r="P1860" s="65">
        <f>VLOOKUP(E1860,DATABASE!C:Q,9,False)</f>
        <v>1</v>
      </c>
      <c r="Q1860" s="93" t="str">
        <f>VLOOKUP(E1860,DATABASE!C:Q,4,false)</f>
        <v>Dunlop</v>
      </c>
      <c r="R1860" s="93" t="str">
        <f>VLOOKUP(E1860,DATABASE!C:Q,11,false)</f>
        <v>Tire</v>
      </c>
    </row>
    <row r="1861" ht="22.5" customHeight="1">
      <c r="A1861" s="49"/>
      <c r="C1861" s="384">
        <v>45756.0</v>
      </c>
      <c r="D1861" s="65">
        <v>5123.0</v>
      </c>
      <c r="E1861" s="445" t="s">
        <v>275</v>
      </c>
      <c r="F1861" s="386">
        <v>2.0</v>
      </c>
      <c r="G1861" s="74">
        <v>830000.0</v>
      </c>
      <c r="H1861" s="74">
        <v>0.0</v>
      </c>
      <c r="I1861" s="74">
        <f t="shared" si="1"/>
        <v>1660000</v>
      </c>
      <c r="J1861" s="74">
        <f>IF(E1861="SERVICE",I1861-(I1861*50%),Vlookup(E1861,DATABASE!C:Q,10,false)*F1861)</f>
        <v>0</v>
      </c>
      <c r="K1861" s="74">
        <v>735000.0</v>
      </c>
      <c r="L1861" s="74">
        <v>735000.0</v>
      </c>
      <c r="M1861" s="74">
        <f t="shared" si="2"/>
        <v>735000</v>
      </c>
      <c r="N1861" s="74">
        <f t="shared" si="3"/>
        <v>190000</v>
      </c>
      <c r="O1861" s="65" t="str">
        <f>VLOOKUP(E1861,DATABASE!C:Q,8,false)</f>
        <v>IBU</v>
      </c>
      <c r="P1861" s="65">
        <f>VLOOKUP(E1861,DATABASE!C:Q,9,False)</f>
        <v>1</v>
      </c>
      <c r="Q1861" s="93" t="str">
        <f>VLOOKUP(E1861,DATABASE!C:Q,4,false)</f>
        <v>Dunlop</v>
      </c>
      <c r="R1861" s="93" t="str">
        <f>VLOOKUP(E1861,DATABASE!C:Q,11,false)</f>
        <v>Tire</v>
      </c>
    </row>
    <row r="1862" ht="22.5" customHeight="1">
      <c r="A1862" s="49"/>
      <c r="C1862" s="384">
        <v>45756.0</v>
      </c>
      <c r="D1862" s="65">
        <v>5125.0</v>
      </c>
      <c r="E1862" s="445" t="s">
        <v>262</v>
      </c>
      <c r="F1862" s="386">
        <v>1.0</v>
      </c>
      <c r="G1862" s="74">
        <v>110000.0</v>
      </c>
      <c r="H1862" s="74">
        <v>0.0</v>
      </c>
      <c r="I1862" s="74">
        <f t="shared" si="1"/>
        <v>110000</v>
      </c>
      <c r="J1862" s="74">
        <f>IF(E1862="SERVICE",I1862-(I1862*50%),Vlookup(E1862,DATABASE!C:Q,10,false)*F1862)</f>
        <v>5000</v>
      </c>
      <c r="K1862" s="74">
        <f>VLOOKUP(E1862,DATABASE!C:Q,7,false)</f>
        <v>0</v>
      </c>
      <c r="L1862" s="74">
        <v>0.0</v>
      </c>
      <c r="M1862" s="74">
        <f t="shared" si="2"/>
        <v>0</v>
      </c>
      <c r="N1862" s="74">
        <f t="shared" si="3"/>
        <v>105000</v>
      </c>
      <c r="O1862" s="65" t="str">
        <f>VLOOKUP(E1862,DATABASE!C:Q,8,false)</f>
        <v>IBU</v>
      </c>
      <c r="P1862" s="65">
        <f>VLOOKUP(E1862,DATABASE!C:Q,9,False)</f>
        <v>0</v>
      </c>
      <c r="Q1862" s="93" t="str">
        <f>VLOOKUP(E1862,DATABASE!C:Q,4,false)</f>
        <v>SPOORING SS/CARRY LOS BAK</v>
      </c>
      <c r="R1862" s="93" t="str">
        <f>VLOOKUP(E1862,DATABASE!C:Q,11,false)</f>
        <v>SERVICE</v>
      </c>
    </row>
    <row r="1863" ht="22.5" customHeight="1">
      <c r="A1863" s="49"/>
      <c r="C1863" s="384">
        <v>45756.0</v>
      </c>
      <c r="D1863" s="65">
        <v>5125.0</v>
      </c>
      <c r="E1863" s="385" t="s">
        <v>299</v>
      </c>
      <c r="F1863" s="386">
        <v>2.0</v>
      </c>
      <c r="G1863" s="74">
        <v>30000.0</v>
      </c>
      <c r="H1863" s="74">
        <v>0.0</v>
      </c>
      <c r="I1863" s="74">
        <f t="shared" si="1"/>
        <v>60000</v>
      </c>
      <c r="J1863" s="74">
        <f>IF(E1863="SERVICE",I1863-(I1863*50%),Vlookup(E1863,DATABASE!C:Q,10,false)*F1863)</f>
        <v>0</v>
      </c>
      <c r="K1863" s="74">
        <v>0.0</v>
      </c>
      <c r="L1863" s="74">
        <v>0.0</v>
      </c>
      <c r="M1863" s="74">
        <f t="shared" si="2"/>
        <v>0</v>
      </c>
      <c r="N1863" s="74">
        <f t="shared" si="3"/>
        <v>60000</v>
      </c>
      <c r="O1863" s="65" t="str">
        <f>VLOOKUP(E1863,DATABASE!C:Q,8,false)</f>
        <v>BIAN</v>
      </c>
      <c r="P1863" s="65">
        <f>VLOOKUP(E1863,DATABASE!C:Q,9,False)</f>
        <v>0</v>
      </c>
      <c r="Q1863" s="93" t="str">
        <f>VLOOKUP(E1863,DATABASE!C:Q,4,false)</f>
        <v>Balancing</v>
      </c>
      <c r="R1863" s="93" t="str">
        <f>VLOOKUP(E1863,DATABASE!C:Q,11,false)</f>
        <v>COMPLEMENTARY</v>
      </c>
    </row>
    <row r="1864" ht="22.5" customHeight="1">
      <c r="A1864" s="49"/>
      <c r="C1864" s="384">
        <v>45756.0</v>
      </c>
      <c r="D1864" s="65">
        <v>5125.0</v>
      </c>
      <c r="E1864" s="445" t="s">
        <v>478</v>
      </c>
      <c r="F1864" s="386">
        <v>1.0</v>
      </c>
      <c r="G1864" s="74">
        <v>200000.0</v>
      </c>
      <c r="H1864" s="74">
        <v>0.0</v>
      </c>
      <c r="I1864" s="74">
        <f t="shared" si="1"/>
        <v>200000</v>
      </c>
      <c r="J1864" s="74">
        <f>IF(E1864="SERVICE",I1864-(I1864*50%),Vlookup(E1864,DATABASE!C:Q,10,false)*F1864)</f>
        <v>25000</v>
      </c>
      <c r="K1864" s="74">
        <f>VLOOKUP(E1864,DATABASE!C:Q,7,false)</f>
        <v>75000</v>
      </c>
      <c r="L1864" s="74">
        <v>75000.0</v>
      </c>
      <c r="M1864" s="74">
        <f t="shared" si="2"/>
        <v>75000</v>
      </c>
      <c r="N1864" s="74">
        <f t="shared" si="3"/>
        <v>100000</v>
      </c>
      <c r="O1864" s="65" t="str">
        <f>VLOOKUP(E1864,DATABASE!C:Q,8,false)</f>
        <v>BIAN</v>
      </c>
      <c r="P1864" s="65">
        <f>VLOOKUP(E1864,DATABASE!C:Q,9,False)</f>
        <v>0</v>
      </c>
      <c r="Q1864" s="93" t="str">
        <f>VLOOKUP(E1864,DATABASE!C:Q,4,false)</f>
        <v>Baut Camber ss-carry</v>
      </c>
      <c r="R1864" s="93" t="str">
        <f>VLOOKUP(E1864,DATABASE!C:Q,11,false)</f>
        <v>COMPLEMENTARY</v>
      </c>
    </row>
    <row r="1865" ht="22.5" customHeight="1">
      <c r="A1865" s="49"/>
      <c r="C1865" s="384">
        <v>45756.0</v>
      </c>
      <c r="D1865" s="65">
        <v>5126.0</v>
      </c>
      <c r="E1865" s="445" t="s">
        <v>288</v>
      </c>
      <c r="F1865" s="386">
        <v>2.0</v>
      </c>
      <c r="G1865" s="74">
        <v>620000.0</v>
      </c>
      <c r="H1865" s="74">
        <v>0.0</v>
      </c>
      <c r="I1865" s="74">
        <f t="shared" si="1"/>
        <v>1240000</v>
      </c>
      <c r="J1865" s="74">
        <f>IF(E1865="SERVICE",I1865-(I1865*50%),Vlookup(E1865,DATABASE!C:Q,10,false)*F1865)</f>
        <v>0</v>
      </c>
      <c r="K1865" s="74">
        <f>VLOOKUP(E1865,DATABASE!C:Q,7,false)</f>
        <v>565760</v>
      </c>
      <c r="L1865" s="74">
        <v>524800.0</v>
      </c>
      <c r="M1865" s="74">
        <f t="shared" si="2"/>
        <v>525000</v>
      </c>
      <c r="N1865" s="74">
        <f t="shared" si="3"/>
        <v>190000</v>
      </c>
      <c r="O1865" s="65" t="str">
        <f>VLOOKUP(E1865,DATABASE!C:Q,8,false)</f>
        <v>BIAN</v>
      </c>
      <c r="P1865" s="65">
        <f>VLOOKUP(E1865,DATABASE!C:Q,9,False)</f>
        <v>1</v>
      </c>
      <c r="Q1865" s="93" t="str">
        <f>VLOOKUP(E1865,DATABASE!C:Q,4,false)</f>
        <v>GT</v>
      </c>
      <c r="R1865" s="93" t="str">
        <f>VLOOKUP(E1865,DATABASE!C:Q,11,false)</f>
        <v>Tire</v>
      </c>
    </row>
    <row r="1866" ht="22.5" customHeight="1">
      <c r="A1866" s="49"/>
      <c r="C1866" s="384">
        <v>45756.0</v>
      </c>
      <c r="D1866" s="65">
        <v>5127.0</v>
      </c>
      <c r="E1866" s="445" t="s">
        <v>256</v>
      </c>
      <c r="F1866" s="386">
        <v>1.0</v>
      </c>
      <c r="G1866" s="74">
        <v>130000.0</v>
      </c>
      <c r="H1866" s="74">
        <v>0.0</v>
      </c>
      <c r="I1866" s="74">
        <f t="shared" si="1"/>
        <v>130000</v>
      </c>
      <c r="J1866" s="74">
        <f>IF(E1866="SERVICE",I1866-(I1866*50%),Vlookup(E1866,DATABASE!C:Q,10,false)*F1866)</f>
        <v>10000</v>
      </c>
      <c r="K1866" s="74">
        <f>VLOOKUP(E1866,DATABASE!C:Q,7,false)</f>
        <v>0</v>
      </c>
      <c r="L1866" s="74">
        <v>0.0</v>
      </c>
      <c r="M1866" s="74">
        <f t="shared" si="2"/>
        <v>0</v>
      </c>
      <c r="N1866" s="74">
        <f t="shared" si="3"/>
        <v>120000</v>
      </c>
      <c r="O1866" s="65" t="str">
        <f>VLOOKUP(E1866,DATABASE!C:Q,8,false)</f>
        <v>IBU</v>
      </c>
      <c r="P1866" s="65">
        <f>VLOOKUP(E1866,DATABASE!C:Q,9,False)</f>
        <v>0</v>
      </c>
      <c r="Q1866" s="93" t="str">
        <f>VLOOKUP(E1866,DATABASE!C:Q,4,false)</f>
        <v>SPOORING</v>
      </c>
      <c r="R1866" s="93" t="str">
        <f>VLOOKUP(E1866,DATABASE!C:Q,11,false)</f>
        <v>SERVICE</v>
      </c>
    </row>
    <row r="1867" ht="22.5" customHeight="1">
      <c r="A1867" s="49"/>
      <c r="C1867" s="384">
        <v>45756.0</v>
      </c>
      <c r="D1867" s="65">
        <v>5127.0</v>
      </c>
      <c r="E1867" s="385" t="s">
        <v>299</v>
      </c>
      <c r="F1867" s="386">
        <v>2.0</v>
      </c>
      <c r="G1867" s="74">
        <v>30000.0</v>
      </c>
      <c r="H1867" s="74">
        <v>0.0</v>
      </c>
      <c r="I1867" s="74">
        <f t="shared" si="1"/>
        <v>60000</v>
      </c>
      <c r="J1867" s="74">
        <f>IF(E1867="SERVICE",I1867-(I1867*50%),Vlookup(E1867,DATABASE!C:Q,10,false)*F1867)</f>
        <v>0</v>
      </c>
      <c r="K1867" s="74">
        <v>0.0</v>
      </c>
      <c r="L1867" s="74">
        <v>0.0</v>
      </c>
      <c r="M1867" s="74">
        <f t="shared" si="2"/>
        <v>0</v>
      </c>
      <c r="N1867" s="74">
        <f t="shared" si="3"/>
        <v>60000</v>
      </c>
      <c r="O1867" s="65" t="str">
        <f>VLOOKUP(E1867,DATABASE!C:Q,8,false)</f>
        <v>BIAN</v>
      </c>
      <c r="P1867" s="65">
        <f>VLOOKUP(E1867,DATABASE!C:Q,9,False)</f>
        <v>0</v>
      </c>
      <c r="Q1867" s="93" t="str">
        <f>VLOOKUP(E1867,DATABASE!C:Q,4,false)</f>
        <v>Balancing</v>
      </c>
      <c r="R1867" s="93" t="str">
        <f>VLOOKUP(E1867,DATABASE!C:Q,11,false)</f>
        <v>COMPLEMENTARY</v>
      </c>
    </row>
    <row r="1868" ht="22.5" customHeight="1">
      <c r="A1868" s="49"/>
      <c r="C1868" s="384">
        <v>45756.0</v>
      </c>
      <c r="D1868" s="65">
        <v>5128.0</v>
      </c>
      <c r="E1868" s="445" t="s">
        <v>1507</v>
      </c>
      <c r="F1868" s="386">
        <v>4.0</v>
      </c>
      <c r="G1868" s="74">
        <v>680000.0</v>
      </c>
      <c r="H1868" s="74">
        <v>0.0</v>
      </c>
      <c r="I1868" s="74">
        <f t="shared" si="1"/>
        <v>2720000</v>
      </c>
      <c r="J1868" s="74">
        <f>IF(E1868="SERVICE",I1868-(I1868*50%),Vlookup(E1868,DATABASE!C:Q,10,false)*F1868)</f>
        <v>0</v>
      </c>
      <c r="K1868" s="74">
        <f>VLOOKUP(E1868,DATABASE!C:Q,7,false)</f>
        <v>638500</v>
      </c>
      <c r="L1868" s="74">
        <v>638500.0</v>
      </c>
      <c r="M1868" s="74">
        <f t="shared" si="2"/>
        <v>640000</v>
      </c>
      <c r="N1868" s="74">
        <f t="shared" si="3"/>
        <v>160000</v>
      </c>
      <c r="O1868" s="65" t="str">
        <f>VLOOKUP(E1868,DATABASE!C:Q,8,false)</f>
        <v>IBU</v>
      </c>
      <c r="P1868" s="65">
        <f>VLOOKUP(E1868,DATABASE!C:Q,9,False)</f>
        <v>1</v>
      </c>
      <c r="Q1868" s="93" t="str">
        <f>VLOOKUP(E1868,DATABASE!C:Q,4,false)</f>
        <v>Dunlop</v>
      </c>
      <c r="R1868" s="93" t="str">
        <f>VLOOKUP(E1868,DATABASE!C:Q,11,false)</f>
        <v>Tire</v>
      </c>
    </row>
    <row r="1869" ht="22.5" customHeight="1">
      <c r="A1869" s="49"/>
      <c r="C1869" s="384">
        <v>45756.0</v>
      </c>
      <c r="D1869" s="65">
        <v>5128.0</v>
      </c>
      <c r="E1869" s="385" t="s">
        <v>299</v>
      </c>
      <c r="F1869" s="386">
        <v>2.0</v>
      </c>
      <c r="G1869" s="74">
        <v>30000.0</v>
      </c>
      <c r="H1869" s="74">
        <v>0.0</v>
      </c>
      <c r="I1869" s="74">
        <f t="shared" si="1"/>
        <v>60000</v>
      </c>
      <c r="J1869" s="74">
        <f>IF(E1869="SERVICE",I1869-(I1869*50%),Vlookup(E1869,DATABASE!C:Q,10,false)*F1869)</f>
        <v>0</v>
      </c>
      <c r="K1869" s="74">
        <v>0.0</v>
      </c>
      <c r="L1869" s="74">
        <v>0.0</v>
      </c>
      <c r="M1869" s="74">
        <f t="shared" si="2"/>
        <v>0</v>
      </c>
      <c r="N1869" s="74">
        <f t="shared" si="3"/>
        <v>60000</v>
      </c>
      <c r="O1869" s="65" t="str">
        <f>VLOOKUP(E1869,DATABASE!C:Q,8,false)</f>
        <v>BIAN</v>
      </c>
      <c r="P1869" s="65">
        <f>VLOOKUP(E1869,DATABASE!C:Q,9,False)</f>
        <v>0</v>
      </c>
      <c r="Q1869" s="93" t="str">
        <f>VLOOKUP(E1869,DATABASE!C:Q,4,false)</f>
        <v>Balancing</v>
      </c>
      <c r="R1869" s="93" t="str">
        <f>VLOOKUP(E1869,DATABASE!C:Q,11,false)</f>
        <v>COMPLEMENTARY</v>
      </c>
    </row>
    <row r="1870" ht="22.5" customHeight="1">
      <c r="A1870" s="49"/>
      <c r="C1870" s="384">
        <v>45756.0</v>
      </c>
      <c r="D1870" s="65">
        <v>5128.0</v>
      </c>
      <c r="E1870" s="445" t="s">
        <v>256</v>
      </c>
      <c r="F1870" s="386">
        <v>1.0</v>
      </c>
      <c r="G1870" s="74">
        <v>130000.0</v>
      </c>
      <c r="H1870" s="74">
        <v>0.0</v>
      </c>
      <c r="I1870" s="74">
        <f t="shared" si="1"/>
        <v>130000</v>
      </c>
      <c r="J1870" s="74">
        <f>IF(E1870="SERVICE",I1870-(I1870*50%),Vlookup(E1870,DATABASE!C:Q,10,false)*F1870)</f>
        <v>10000</v>
      </c>
      <c r="K1870" s="74">
        <f>VLOOKUP(E1870,DATABASE!C:Q,7,false)</f>
        <v>0</v>
      </c>
      <c r="L1870" s="74">
        <v>0.0</v>
      </c>
      <c r="M1870" s="74">
        <f t="shared" si="2"/>
        <v>0</v>
      </c>
      <c r="N1870" s="74">
        <f t="shared" si="3"/>
        <v>120000</v>
      </c>
      <c r="O1870" s="65" t="str">
        <f>VLOOKUP(E1870,DATABASE!C:Q,8,false)</f>
        <v>IBU</v>
      </c>
      <c r="P1870" s="65">
        <f>VLOOKUP(E1870,DATABASE!C:Q,9,False)</f>
        <v>0</v>
      </c>
      <c r="Q1870" s="93" t="str">
        <f>VLOOKUP(E1870,DATABASE!C:Q,4,false)</f>
        <v>SPOORING</v>
      </c>
      <c r="R1870" s="93" t="str">
        <f>VLOOKUP(E1870,DATABASE!C:Q,11,false)</f>
        <v>SERVICE</v>
      </c>
    </row>
    <row r="1871" ht="22.5" customHeight="1">
      <c r="A1871" s="49"/>
      <c r="C1871" s="384">
        <v>45756.0</v>
      </c>
      <c r="D1871" s="65">
        <v>5128.0</v>
      </c>
      <c r="E1871" s="445" t="s">
        <v>301</v>
      </c>
      <c r="F1871" s="386">
        <v>1.0</v>
      </c>
      <c r="G1871" s="74">
        <v>250000.0</v>
      </c>
      <c r="H1871" s="74">
        <v>0.0</v>
      </c>
      <c r="I1871" s="74">
        <f t="shared" si="1"/>
        <v>250000</v>
      </c>
      <c r="J1871" s="74">
        <f>IF(E1871="SERVICE",I1871-(I1871*50%),Vlookup(E1871,DATABASE!C:Q,10,false)*F1871)</f>
        <v>75000</v>
      </c>
      <c r="K1871" s="74">
        <f>VLOOKUP(E1871,DATABASE!C:Q,7,false)</f>
        <v>75000</v>
      </c>
      <c r="L1871" s="74">
        <v>75000.0</v>
      </c>
      <c r="M1871" s="74">
        <f t="shared" si="2"/>
        <v>75000</v>
      </c>
      <c r="N1871" s="74">
        <f t="shared" si="3"/>
        <v>100000</v>
      </c>
      <c r="O1871" s="65" t="str">
        <f>VLOOKUP(E1871,DATABASE!C:Q,8,false)</f>
        <v>BIAN</v>
      </c>
      <c r="P1871" s="65">
        <f>VLOOKUP(E1871,DATABASE!C:Q,9,False)</f>
        <v>0</v>
      </c>
      <c r="Q1871" s="93" t="str">
        <f>VLOOKUP(E1871,DATABASE!C:Q,4,false)</f>
        <v>Baut Camber</v>
      </c>
      <c r="R1871" s="93" t="str">
        <f>VLOOKUP(E1871,DATABASE!C:Q,11,false)</f>
        <v>COMPLEMENTARY</v>
      </c>
    </row>
    <row r="1872" ht="22.5" customHeight="1">
      <c r="A1872" s="49"/>
      <c r="C1872" s="384">
        <v>45756.0</v>
      </c>
      <c r="D1872" s="65">
        <v>5129.0</v>
      </c>
      <c r="E1872" s="445" t="s">
        <v>1784</v>
      </c>
      <c r="F1872" s="386">
        <v>2.0</v>
      </c>
      <c r="G1872" s="74">
        <v>610000.0</v>
      </c>
      <c r="H1872" s="74">
        <v>0.0</v>
      </c>
      <c r="I1872" s="74">
        <f t="shared" si="1"/>
        <v>1220000</v>
      </c>
      <c r="J1872" s="74">
        <f>IF(E1872="SERVICE",I1872-(I1872*50%),Vlookup(E1872,DATABASE!C:Q,10,false)*F1872)</f>
        <v>0</v>
      </c>
      <c r="K1872" s="74">
        <f>VLOOKUP(E1872,DATABASE!C:Q,7,false)</f>
        <v>530580</v>
      </c>
      <c r="L1872" s="74">
        <v>530580.0</v>
      </c>
      <c r="M1872" s="74">
        <f t="shared" si="2"/>
        <v>535000</v>
      </c>
      <c r="N1872" s="74">
        <f t="shared" si="3"/>
        <v>150000</v>
      </c>
      <c r="O1872" s="65" t="str">
        <f>VLOOKUP(E1872,DATABASE!C:Q,8,false)</f>
        <v>BIAN</v>
      </c>
      <c r="P1872" s="65">
        <f>VLOOKUP(E1872,DATABASE!C:Q,9,False)</f>
        <v>1</v>
      </c>
      <c r="Q1872" s="93" t="str">
        <f>VLOOKUP(E1872,DATABASE!C:Q,4,false)</f>
        <v>Forceum</v>
      </c>
      <c r="R1872" s="93" t="str">
        <f>VLOOKUP(E1872,DATABASE!C:Q,11,false)</f>
        <v>Tire</v>
      </c>
    </row>
    <row r="1873" ht="22.5" customHeight="1">
      <c r="A1873" s="49"/>
      <c r="C1873" s="384">
        <v>45756.0</v>
      </c>
      <c r="D1873" s="65">
        <v>5130.0</v>
      </c>
      <c r="E1873" s="445" t="s">
        <v>1867</v>
      </c>
      <c r="F1873" s="386">
        <v>2.0</v>
      </c>
      <c r="G1873" s="74">
        <v>650000.0</v>
      </c>
      <c r="H1873" s="74">
        <v>0.0</v>
      </c>
      <c r="I1873" s="74">
        <f t="shared" si="1"/>
        <v>1300000</v>
      </c>
      <c r="J1873" s="74">
        <f>IF(E1873="SERVICE",I1873-(I1873*50%),Vlookup(E1873,DATABASE!C:Q,10,false)*F1873)</f>
        <v>0</v>
      </c>
      <c r="K1873" s="74">
        <f>VLOOKUP(E1873,DATABASE!C:Q,7,false)</f>
        <v>575200</v>
      </c>
      <c r="L1873" s="74">
        <v>558200.0</v>
      </c>
      <c r="M1873" s="74">
        <f t="shared" si="2"/>
        <v>560000</v>
      </c>
      <c r="N1873" s="74">
        <f t="shared" si="3"/>
        <v>180000</v>
      </c>
      <c r="O1873" s="65" t="str">
        <f>VLOOKUP(E1873,DATABASE!C:Q,8,false)</f>
        <v>BIAN</v>
      </c>
      <c r="P1873" s="65">
        <f>VLOOKUP(E1873,DATABASE!C:Q,9,False)</f>
        <v>1</v>
      </c>
      <c r="Q1873" s="93" t="str">
        <f>VLOOKUP(E1873,DATABASE!C:Q,4,false)</f>
        <v>GT</v>
      </c>
      <c r="R1873" s="93" t="str">
        <f>VLOOKUP(E1873,DATABASE!C:Q,11,false)</f>
        <v>Tire</v>
      </c>
    </row>
    <row r="1874" ht="22.5" customHeight="1">
      <c r="A1874" s="49"/>
      <c r="C1874" s="384">
        <v>45756.0</v>
      </c>
      <c r="D1874" s="65">
        <v>5131.0</v>
      </c>
      <c r="E1874" s="445" t="s">
        <v>1927</v>
      </c>
      <c r="F1874" s="386">
        <v>2.0</v>
      </c>
      <c r="G1874" s="74">
        <v>700000.0</v>
      </c>
      <c r="H1874" s="74">
        <v>0.0</v>
      </c>
      <c r="I1874" s="74">
        <f t="shared" si="1"/>
        <v>1400000</v>
      </c>
      <c r="J1874" s="74">
        <f>IF(E1874="SERVICE",I1874-(I1874*50%),Vlookup(E1874,DATABASE!C:Q,10,false)*F1874)</f>
        <v>0</v>
      </c>
      <c r="K1874" s="74">
        <f>VLOOKUP(E1874,DATABASE!C:Q,7,false)</f>
        <v>590000</v>
      </c>
      <c r="L1874" s="74">
        <v>590000.0</v>
      </c>
      <c r="M1874" s="74">
        <f t="shared" si="2"/>
        <v>590000</v>
      </c>
      <c r="N1874" s="74">
        <f t="shared" si="3"/>
        <v>220000</v>
      </c>
      <c r="O1874" s="65" t="str">
        <f>VLOOKUP(E1874,DATABASE!C:Q,8,false)</f>
        <v>BIAN</v>
      </c>
      <c r="P1874" s="65">
        <f>VLOOKUP(E1874,DATABASE!C:Q,9,False)</f>
        <v>1</v>
      </c>
      <c r="Q1874" s="93" t="str">
        <f>VLOOKUP(E1874,DATABASE!C:Q,4,false)</f>
        <v>GT</v>
      </c>
      <c r="R1874" s="93" t="str">
        <f>VLOOKUP(E1874,DATABASE!C:Q,11,false)</f>
        <v>Tire</v>
      </c>
    </row>
    <row r="1875" ht="22.5" customHeight="1">
      <c r="A1875" s="49"/>
      <c r="C1875" s="384">
        <v>45756.0</v>
      </c>
      <c r="D1875" s="65">
        <v>5132.0</v>
      </c>
      <c r="E1875" s="445" t="s">
        <v>288</v>
      </c>
      <c r="F1875" s="386">
        <v>2.0</v>
      </c>
      <c r="G1875" s="74">
        <v>620000.0</v>
      </c>
      <c r="H1875" s="74">
        <v>0.0</v>
      </c>
      <c r="I1875" s="74">
        <f t="shared" si="1"/>
        <v>1240000</v>
      </c>
      <c r="J1875" s="74">
        <f>IF(E1875="SERVICE",I1875-(I1875*50%),Vlookup(E1875,DATABASE!C:Q,10,false)*F1875)</f>
        <v>0</v>
      </c>
      <c r="K1875" s="74">
        <f>VLOOKUP(E1875,DATABASE!C:Q,7,false)</f>
        <v>565760</v>
      </c>
      <c r="L1875" s="74">
        <v>524800.0</v>
      </c>
      <c r="M1875" s="74">
        <f t="shared" si="2"/>
        <v>525000</v>
      </c>
      <c r="N1875" s="74">
        <f t="shared" si="3"/>
        <v>190000</v>
      </c>
      <c r="O1875" s="65" t="str">
        <f>VLOOKUP(E1875,DATABASE!C:Q,8,false)</f>
        <v>BIAN</v>
      </c>
      <c r="P1875" s="65">
        <f>VLOOKUP(E1875,DATABASE!C:Q,9,False)</f>
        <v>1</v>
      </c>
      <c r="Q1875" s="93" t="str">
        <f>VLOOKUP(E1875,DATABASE!C:Q,4,false)</f>
        <v>GT</v>
      </c>
      <c r="R1875" s="93" t="str">
        <f>VLOOKUP(E1875,DATABASE!C:Q,11,false)</f>
        <v>Tire</v>
      </c>
    </row>
    <row r="1876" ht="22.5" customHeight="1">
      <c r="A1876" s="49"/>
      <c r="C1876" s="384">
        <v>45756.0</v>
      </c>
      <c r="D1876" s="65">
        <v>5132.0</v>
      </c>
      <c r="E1876" s="385" t="s">
        <v>299</v>
      </c>
      <c r="F1876" s="386">
        <v>2.0</v>
      </c>
      <c r="G1876" s="74">
        <v>30000.0</v>
      </c>
      <c r="H1876" s="74">
        <v>0.0</v>
      </c>
      <c r="I1876" s="74">
        <f t="shared" si="1"/>
        <v>60000</v>
      </c>
      <c r="J1876" s="74">
        <f>IF(E1876="SERVICE",I1876-(I1876*50%),Vlookup(E1876,DATABASE!C:Q,10,false)*F1876)</f>
        <v>0</v>
      </c>
      <c r="K1876" s="74">
        <v>0.0</v>
      </c>
      <c r="L1876" s="74">
        <v>0.0</v>
      </c>
      <c r="M1876" s="74">
        <f t="shared" si="2"/>
        <v>0</v>
      </c>
      <c r="N1876" s="74">
        <f t="shared" si="3"/>
        <v>60000</v>
      </c>
      <c r="O1876" s="65" t="str">
        <f>VLOOKUP(E1876,DATABASE!C:Q,8,false)</f>
        <v>BIAN</v>
      </c>
      <c r="P1876" s="65">
        <f>VLOOKUP(E1876,DATABASE!C:Q,9,False)</f>
        <v>0</v>
      </c>
      <c r="Q1876" s="93" t="str">
        <f>VLOOKUP(E1876,DATABASE!C:Q,4,false)</f>
        <v>Balancing</v>
      </c>
      <c r="R1876" s="93" t="str">
        <f>VLOOKUP(E1876,DATABASE!C:Q,11,false)</f>
        <v>COMPLEMENTARY</v>
      </c>
    </row>
    <row r="1877" ht="22.5" customHeight="1">
      <c r="A1877" s="49"/>
      <c r="C1877" s="384">
        <v>45756.0</v>
      </c>
      <c r="D1877" s="65">
        <v>5133.0</v>
      </c>
      <c r="E1877" s="445" t="s">
        <v>265</v>
      </c>
      <c r="F1877" s="386">
        <v>2.0</v>
      </c>
      <c r="G1877" s="74">
        <v>670000.0</v>
      </c>
      <c r="H1877" s="74">
        <v>0.0</v>
      </c>
      <c r="I1877" s="74">
        <f t="shared" si="1"/>
        <v>1340000</v>
      </c>
      <c r="J1877" s="74">
        <f>IF(E1877="SERVICE",I1877-(I1877*50%),Vlookup(E1877,DATABASE!C:Q,10,false)*F1877)</f>
        <v>0</v>
      </c>
      <c r="K1877" s="74">
        <v>590000.0</v>
      </c>
      <c r="L1877" s="74">
        <v>590000.0</v>
      </c>
      <c r="M1877" s="74">
        <f t="shared" si="2"/>
        <v>590000</v>
      </c>
      <c r="N1877" s="74">
        <f t="shared" si="3"/>
        <v>160000</v>
      </c>
      <c r="O1877" s="65" t="str">
        <f>VLOOKUP(E1877,DATABASE!C:Q,8,false)</f>
        <v>IBU</v>
      </c>
      <c r="P1877" s="65">
        <f>VLOOKUP(E1877,DATABASE!C:Q,9,False)</f>
        <v>1</v>
      </c>
      <c r="Q1877" s="93" t="str">
        <f>VLOOKUP(E1877,DATABASE!C:Q,4,false)</f>
        <v>Dunlop</v>
      </c>
      <c r="R1877" s="93" t="str">
        <f>VLOOKUP(E1877,DATABASE!C:Q,11,false)</f>
        <v>Tire</v>
      </c>
    </row>
    <row r="1878" ht="22.5" customHeight="1">
      <c r="A1878" s="49"/>
      <c r="C1878" s="384">
        <v>45756.0</v>
      </c>
      <c r="D1878" s="65">
        <v>5134.0</v>
      </c>
      <c r="E1878" s="385" t="s">
        <v>305</v>
      </c>
      <c r="F1878" s="386">
        <v>1.0</v>
      </c>
      <c r="G1878" s="74">
        <v>235000.0</v>
      </c>
      <c r="H1878" s="74">
        <v>0.0</v>
      </c>
      <c r="I1878" s="74">
        <f t="shared" si="1"/>
        <v>235000</v>
      </c>
      <c r="J1878" s="74">
        <f>IF(E1878="SERVICE",I1878-(I1878*50%),Vlookup(E1878,DATABASE!C:Q,10,false)*F1878)</f>
        <v>40000</v>
      </c>
      <c r="K1878" s="74">
        <f>VLOOKUP(E1878,DATABASE!C:Q,7,false)</f>
        <v>158530.2</v>
      </c>
      <c r="L1878" s="74">
        <v>151890.0</v>
      </c>
      <c r="M1878" s="74">
        <f t="shared" si="2"/>
        <v>155000</v>
      </c>
      <c r="N1878" s="74">
        <f t="shared" si="3"/>
        <v>40000</v>
      </c>
      <c r="O1878" s="65" t="str">
        <f>VLOOKUP(E1878,DATABASE!C:Q,8,false)</f>
        <v>BIAN</v>
      </c>
      <c r="P1878" s="65">
        <f>VLOOKUP(E1878,DATABASE!C:Q,9,False)</f>
        <v>1</v>
      </c>
      <c r="Q1878" s="93" t="str">
        <f>VLOOKUP(E1878,DATABASE!C:Q,4,false)</f>
        <v>Lower Arm</v>
      </c>
      <c r="R1878" s="93" t="str">
        <f>VLOOKUP(E1878,DATABASE!C:Q,11,false)</f>
        <v>COMPLEMENTARY</v>
      </c>
    </row>
    <row r="1879" ht="22.5" customHeight="1">
      <c r="A1879" s="49"/>
      <c r="C1879" s="384">
        <v>45756.0</v>
      </c>
      <c r="D1879" s="65">
        <v>5134.0</v>
      </c>
      <c r="E1879" s="445" t="s">
        <v>262</v>
      </c>
      <c r="F1879" s="386">
        <v>1.0</v>
      </c>
      <c r="G1879" s="74">
        <v>110000.0</v>
      </c>
      <c r="H1879" s="74">
        <v>0.0</v>
      </c>
      <c r="I1879" s="74">
        <f t="shared" si="1"/>
        <v>110000</v>
      </c>
      <c r="J1879" s="74">
        <f>IF(E1879="SERVICE",I1879-(I1879*50%),Vlookup(E1879,DATABASE!C:Q,10,false)*F1879)</f>
        <v>5000</v>
      </c>
      <c r="K1879" s="74">
        <f>VLOOKUP(E1879,DATABASE!C:Q,7,false)</f>
        <v>0</v>
      </c>
      <c r="L1879" s="74">
        <v>0.0</v>
      </c>
      <c r="M1879" s="74">
        <f t="shared" si="2"/>
        <v>0</v>
      </c>
      <c r="N1879" s="74">
        <f t="shared" si="3"/>
        <v>105000</v>
      </c>
      <c r="O1879" s="65" t="str">
        <f>VLOOKUP(E1879,DATABASE!C:Q,8,false)</f>
        <v>IBU</v>
      </c>
      <c r="P1879" s="65">
        <f>VLOOKUP(E1879,DATABASE!C:Q,9,False)</f>
        <v>0</v>
      </c>
      <c r="Q1879" s="93" t="str">
        <f>VLOOKUP(E1879,DATABASE!C:Q,4,false)</f>
        <v>SPOORING SS/CARRY LOS BAK</v>
      </c>
      <c r="R1879" s="93" t="str">
        <f>VLOOKUP(E1879,DATABASE!C:Q,11,false)</f>
        <v>SERVICE</v>
      </c>
    </row>
    <row r="1880" ht="22.5" customHeight="1">
      <c r="A1880" s="49"/>
      <c r="C1880" s="384">
        <v>45756.0</v>
      </c>
      <c r="D1880" s="65">
        <v>5134.0</v>
      </c>
      <c r="E1880" s="385" t="s">
        <v>299</v>
      </c>
      <c r="F1880" s="386">
        <v>2.0</v>
      </c>
      <c r="G1880" s="74">
        <v>30000.0</v>
      </c>
      <c r="H1880" s="74">
        <v>0.0</v>
      </c>
      <c r="I1880" s="74">
        <f t="shared" si="1"/>
        <v>60000</v>
      </c>
      <c r="J1880" s="74">
        <f>IF(E1880="SERVICE",I1880-(I1880*50%),Vlookup(E1880,DATABASE!C:Q,10,false)*F1880)</f>
        <v>0</v>
      </c>
      <c r="K1880" s="74">
        <v>0.0</v>
      </c>
      <c r="L1880" s="74">
        <v>0.0</v>
      </c>
      <c r="M1880" s="74">
        <f t="shared" si="2"/>
        <v>0</v>
      </c>
      <c r="N1880" s="74">
        <f t="shared" si="3"/>
        <v>60000</v>
      </c>
      <c r="O1880" s="65" t="str">
        <f>VLOOKUP(E1880,DATABASE!C:Q,8,false)</f>
        <v>BIAN</v>
      </c>
      <c r="P1880" s="65">
        <f>VLOOKUP(E1880,DATABASE!C:Q,9,False)</f>
        <v>0</v>
      </c>
      <c r="Q1880" s="93" t="str">
        <f>VLOOKUP(E1880,DATABASE!C:Q,4,false)</f>
        <v>Balancing</v>
      </c>
      <c r="R1880" s="93" t="str">
        <f>VLOOKUP(E1880,DATABASE!C:Q,11,false)</f>
        <v>COMPLEMENTARY</v>
      </c>
    </row>
    <row r="1881" ht="22.5" customHeight="1">
      <c r="A1881" s="49"/>
      <c r="C1881" s="384">
        <v>45756.0</v>
      </c>
      <c r="D1881" s="65">
        <v>5134.0</v>
      </c>
      <c r="E1881" s="445" t="s">
        <v>478</v>
      </c>
      <c r="F1881" s="386">
        <v>1.0</v>
      </c>
      <c r="G1881" s="74">
        <v>200000.0</v>
      </c>
      <c r="H1881" s="74">
        <v>0.0</v>
      </c>
      <c r="I1881" s="74">
        <f t="shared" si="1"/>
        <v>200000</v>
      </c>
      <c r="J1881" s="74">
        <f>IF(E1881="SERVICE",I1881-(I1881*50%),Vlookup(E1881,DATABASE!C:Q,10,false)*F1881)</f>
        <v>25000</v>
      </c>
      <c r="K1881" s="74">
        <f>VLOOKUP(E1881,DATABASE!C:Q,7,false)</f>
        <v>75000</v>
      </c>
      <c r="L1881" s="74">
        <v>75000.0</v>
      </c>
      <c r="M1881" s="74">
        <f t="shared" si="2"/>
        <v>75000</v>
      </c>
      <c r="N1881" s="74">
        <f t="shared" si="3"/>
        <v>100000</v>
      </c>
      <c r="O1881" s="65" t="str">
        <f>VLOOKUP(E1881,DATABASE!C:Q,8,false)</f>
        <v>BIAN</v>
      </c>
      <c r="P1881" s="65">
        <f>VLOOKUP(E1881,DATABASE!C:Q,9,False)</f>
        <v>0</v>
      </c>
      <c r="Q1881" s="93" t="str">
        <f>VLOOKUP(E1881,DATABASE!C:Q,4,false)</f>
        <v>Baut Camber ss-carry</v>
      </c>
      <c r="R1881" s="93" t="str">
        <f>VLOOKUP(E1881,DATABASE!C:Q,11,false)</f>
        <v>COMPLEMENTARY</v>
      </c>
    </row>
    <row r="1882" ht="22.5" customHeight="1">
      <c r="A1882" s="49"/>
      <c r="C1882" s="384">
        <v>45756.0</v>
      </c>
      <c r="D1882" s="65">
        <v>5135.0</v>
      </c>
      <c r="E1882" s="445" t="s">
        <v>1433</v>
      </c>
      <c r="F1882" s="386">
        <v>2.0</v>
      </c>
      <c r="G1882" s="74">
        <v>800000.0</v>
      </c>
      <c r="H1882" s="74">
        <v>0.0</v>
      </c>
      <c r="I1882" s="74">
        <f t="shared" si="1"/>
        <v>1600000</v>
      </c>
      <c r="J1882" s="74">
        <f>IF(E1882="SERVICE",I1882-(I1882*50%),Vlookup(E1882,DATABASE!C:Q,10,false)*F1882)</f>
        <v>0</v>
      </c>
      <c r="K1882" s="74">
        <f>VLOOKUP(E1882,DATABASE!C:Q,7,false)</f>
        <v>762500</v>
      </c>
      <c r="L1882" s="74">
        <v>762500.0</v>
      </c>
      <c r="M1882" s="74">
        <f t="shared" si="2"/>
        <v>765000</v>
      </c>
      <c r="N1882" s="74">
        <f t="shared" si="3"/>
        <v>70000</v>
      </c>
      <c r="O1882" s="65" t="str">
        <f>VLOOKUP(E1882,DATABASE!C:Q,8,false)</f>
        <v>IBU</v>
      </c>
      <c r="P1882" s="65">
        <f>VLOOKUP(E1882,DATABASE!C:Q,9,False)</f>
        <v>1</v>
      </c>
      <c r="Q1882" s="93" t="str">
        <f>VLOOKUP(E1882,DATABASE!C:Q,4,false)</f>
        <v>Dunlop</v>
      </c>
      <c r="R1882" s="93" t="str">
        <f>VLOOKUP(E1882,DATABASE!C:Q,11,false)</f>
        <v>Tire</v>
      </c>
    </row>
    <row r="1883" ht="22.5" customHeight="1">
      <c r="A1883" s="49"/>
      <c r="C1883" s="384">
        <v>45756.0</v>
      </c>
      <c r="D1883" s="65">
        <v>5135.0</v>
      </c>
      <c r="E1883" s="445" t="s">
        <v>262</v>
      </c>
      <c r="F1883" s="386">
        <v>1.0</v>
      </c>
      <c r="G1883" s="74">
        <v>110000.0</v>
      </c>
      <c r="H1883" s="74">
        <v>0.0</v>
      </c>
      <c r="I1883" s="74">
        <f t="shared" si="1"/>
        <v>110000</v>
      </c>
      <c r="J1883" s="74">
        <f>IF(E1883="SERVICE",I1883-(I1883*50%),Vlookup(E1883,DATABASE!C:Q,10,false)*F1883)</f>
        <v>5000</v>
      </c>
      <c r="K1883" s="74">
        <f>VLOOKUP(E1883,DATABASE!C:Q,7,false)</f>
        <v>0</v>
      </c>
      <c r="L1883" s="74">
        <v>0.0</v>
      </c>
      <c r="M1883" s="74">
        <f t="shared" si="2"/>
        <v>0</v>
      </c>
      <c r="N1883" s="74">
        <f t="shared" si="3"/>
        <v>105000</v>
      </c>
      <c r="O1883" s="65" t="str">
        <f>VLOOKUP(E1883,DATABASE!C:Q,8,false)</f>
        <v>IBU</v>
      </c>
      <c r="P1883" s="65">
        <f>VLOOKUP(E1883,DATABASE!C:Q,9,False)</f>
        <v>0</v>
      </c>
      <c r="Q1883" s="93" t="str">
        <f>VLOOKUP(E1883,DATABASE!C:Q,4,false)</f>
        <v>SPOORING SS/CARRY LOS BAK</v>
      </c>
      <c r="R1883" s="93" t="str">
        <f>VLOOKUP(E1883,DATABASE!C:Q,11,false)</f>
        <v>SERVICE</v>
      </c>
    </row>
    <row r="1884" ht="22.5" customHeight="1">
      <c r="A1884" s="49"/>
      <c r="C1884" s="384">
        <v>45756.0</v>
      </c>
      <c r="D1884" s="65">
        <v>5135.0</v>
      </c>
      <c r="E1884" s="445" t="s">
        <v>478</v>
      </c>
      <c r="F1884" s="386">
        <v>1.0</v>
      </c>
      <c r="G1884" s="74">
        <v>200000.0</v>
      </c>
      <c r="H1884" s="74">
        <v>0.0</v>
      </c>
      <c r="I1884" s="74">
        <f t="shared" si="1"/>
        <v>200000</v>
      </c>
      <c r="J1884" s="74">
        <f>IF(E1884="SERVICE",I1884-(I1884*50%),Vlookup(E1884,DATABASE!C:Q,10,false)*F1884)</f>
        <v>25000</v>
      </c>
      <c r="K1884" s="74">
        <f>VLOOKUP(E1884,DATABASE!C:Q,7,false)</f>
        <v>75000</v>
      </c>
      <c r="L1884" s="74">
        <v>75000.0</v>
      </c>
      <c r="M1884" s="74">
        <f t="shared" si="2"/>
        <v>75000</v>
      </c>
      <c r="N1884" s="74">
        <f t="shared" si="3"/>
        <v>100000</v>
      </c>
      <c r="O1884" s="65" t="str">
        <f>VLOOKUP(E1884,DATABASE!C:Q,8,false)</f>
        <v>BIAN</v>
      </c>
      <c r="P1884" s="65">
        <f>VLOOKUP(E1884,DATABASE!C:Q,9,False)</f>
        <v>0</v>
      </c>
      <c r="Q1884" s="93" t="str">
        <f>VLOOKUP(E1884,DATABASE!C:Q,4,false)</f>
        <v>Baut Camber ss-carry</v>
      </c>
      <c r="R1884" s="93" t="str">
        <f>VLOOKUP(E1884,DATABASE!C:Q,11,false)</f>
        <v>COMPLEMENTARY</v>
      </c>
    </row>
    <row r="1885" ht="22.5" customHeight="1">
      <c r="A1885" s="49"/>
      <c r="C1885" s="384">
        <v>45756.0</v>
      </c>
      <c r="D1885" s="65">
        <v>5136.0</v>
      </c>
      <c r="E1885" s="445" t="s">
        <v>1133</v>
      </c>
      <c r="F1885" s="386">
        <v>2.0</v>
      </c>
      <c r="G1885" s="74">
        <v>820000.0</v>
      </c>
      <c r="H1885" s="74">
        <v>0.0</v>
      </c>
      <c r="I1885" s="74">
        <f t="shared" si="1"/>
        <v>1640000</v>
      </c>
      <c r="J1885" s="74">
        <f>IF(E1885="SERVICE",I1885-(I1885*50%),Vlookup(E1885,DATABASE!C:Q,10,false)*F1885)</f>
        <v>0</v>
      </c>
      <c r="K1885" s="74">
        <f>VLOOKUP(E1885,DATABASE!C:Q,7,false)</f>
        <v>759539.2</v>
      </c>
      <c r="L1885" s="74">
        <v>715635.0</v>
      </c>
      <c r="M1885" s="74">
        <f t="shared" si="2"/>
        <v>720000</v>
      </c>
      <c r="N1885" s="74">
        <f t="shared" si="3"/>
        <v>200000</v>
      </c>
      <c r="O1885" s="65" t="str">
        <f>VLOOKUP(E1885,DATABASE!C:Q,8,false)</f>
        <v>IBU</v>
      </c>
      <c r="P1885" s="65">
        <f>VLOOKUP(E1885,DATABASE!C:Q,9,False)</f>
        <v>1</v>
      </c>
      <c r="Q1885" s="93" t="str">
        <f>VLOOKUP(E1885,DATABASE!C:Q,4,false)</f>
        <v>Bridgestone</v>
      </c>
      <c r="R1885" s="93" t="str">
        <f>VLOOKUP(E1885,DATABASE!C:Q,11,false)</f>
        <v>Tire</v>
      </c>
    </row>
    <row r="1886" ht="22.5" customHeight="1">
      <c r="A1886" s="49"/>
      <c r="C1886" s="384">
        <v>45756.0</v>
      </c>
      <c r="D1886" s="65">
        <v>5137.0</v>
      </c>
      <c r="E1886" s="445" t="s">
        <v>955</v>
      </c>
      <c r="F1886" s="386">
        <v>2.0</v>
      </c>
      <c r="G1886" s="74">
        <v>770000.0</v>
      </c>
      <c r="H1886" s="74">
        <v>0.0</v>
      </c>
      <c r="I1886" s="74">
        <f t="shared" si="1"/>
        <v>1540000</v>
      </c>
      <c r="J1886" s="74">
        <f>IF(E1886="SERVICE",I1886-(I1886*50%),Vlookup(E1886,DATABASE!C:Q,10,false)*F1886)</f>
        <v>0</v>
      </c>
      <c r="K1886" s="74">
        <f>VLOOKUP(E1886,DATABASE!C:Q,7,false)</f>
        <v>712000</v>
      </c>
      <c r="L1886" s="74">
        <v>674000.0</v>
      </c>
      <c r="M1886" s="74">
        <f t="shared" si="2"/>
        <v>675000</v>
      </c>
      <c r="N1886" s="74">
        <f t="shared" si="3"/>
        <v>190000</v>
      </c>
      <c r="O1886" s="65" t="str">
        <f>VLOOKUP(E1886,DATABASE!C:Q,8,false)</f>
        <v>IBU</v>
      </c>
      <c r="P1886" s="65">
        <f>VLOOKUP(E1886,DATABASE!C:Q,9,False)</f>
        <v>1</v>
      </c>
      <c r="Q1886" s="93" t="str">
        <f>VLOOKUP(E1886,DATABASE!C:Q,4,false)</f>
        <v>Dunlop</v>
      </c>
      <c r="R1886" s="93" t="str">
        <f>VLOOKUP(E1886,DATABASE!C:Q,11,false)</f>
        <v>Tire</v>
      </c>
    </row>
    <row r="1887" ht="22.5" customHeight="1">
      <c r="A1887" s="49"/>
      <c r="C1887" s="384">
        <v>45756.0</v>
      </c>
      <c r="D1887" s="65">
        <v>5138.0</v>
      </c>
      <c r="E1887" s="445" t="s">
        <v>265</v>
      </c>
      <c r="F1887" s="386">
        <v>2.0</v>
      </c>
      <c r="G1887" s="74">
        <v>670000.0</v>
      </c>
      <c r="H1887" s="74">
        <v>0.0</v>
      </c>
      <c r="I1887" s="74">
        <f t="shared" si="1"/>
        <v>1340000</v>
      </c>
      <c r="J1887" s="74">
        <f>IF(E1887="SERVICE",I1887-(I1887*50%),Vlookup(E1887,DATABASE!C:Q,10,false)*F1887)</f>
        <v>0</v>
      </c>
      <c r="K1887" s="74">
        <v>590000.0</v>
      </c>
      <c r="L1887" s="74">
        <v>590000.0</v>
      </c>
      <c r="M1887" s="74">
        <f t="shared" si="2"/>
        <v>590000</v>
      </c>
      <c r="N1887" s="74">
        <f t="shared" si="3"/>
        <v>160000</v>
      </c>
      <c r="O1887" s="65" t="str">
        <f>VLOOKUP(E1887,DATABASE!C:Q,8,false)</f>
        <v>IBU</v>
      </c>
      <c r="P1887" s="65">
        <f>VLOOKUP(E1887,DATABASE!C:Q,9,False)</f>
        <v>1</v>
      </c>
      <c r="Q1887" s="93" t="str">
        <f>VLOOKUP(E1887,DATABASE!C:Q,4,false)</f>
        <v>Dunlop</v>
      </c>
      <c r="R1887" s="93" t="str">
        <f>VLOOKUP(E1887,DATABASE!C:Q,11,false)</f>
        <v>Tire</v>
      </c>
    </row>
    <row r="1888" ht="22.5" customHeight="1">
      <c r="A1888" s="49"/>
      <c r="C1888" s="384">
        <v>45756.0</v>
      </c>
      <c r="D1888" s="65">
        <v>5138.0</v>
      </c>
      <c r="E1888" s="385" t="s">
        <v>299</v>
      </c>
      <c r="F1888" s="386">
        <v>2.0</v>
      </c>
      <c r="G1888" s="74">
        <v>30000.0</v>
      </c>
      <c r="H1888" s="74">
        <v>0.0</v>
      </c>
      <c r="I1888" s="74">
        <f t="shared" si="1"/>
        <v>60000</v>
      </c>
      <c r="J1888" s="74">
        <f>IF(E1888="SERVICE",I1888-(I1888*50%),Vlookup(E1888,DATABASE!C:Q,10,false)*F1888)</f>
        <v>0</v>
      </c>
      <c r="K1888" s="74">
        <v>0.0</v>
      </c>
      <c r="L1888" s="74">
        <v>0.0</v>
      </c>
      <c r="M1888" s="74">
        <f t="shared" si="2"/>
        <v>0</v>
      </c>
      <c r="N1888" s="74">
        <f t="shared" si="3"/>
        <v>60000</v>
      </c>
      <c r="O1888" s="65" t="str">
        <f>VLOOKUP(E1888,DATABASE!C:Q,8,false)</f>
        <v>BIAN</v>
      </c>
      <c r="P1888" s="65">
        <f>VLOOKUP(E1888,DATABASE!C:Q,9,False)</f>
        <v>0</v>
      </c>
      <c r="Q1888" s="93" t="str">
        <f>VLOOKUP(E1888,DATABASE!C:Q,4,false)</f>
        <v>Balancing</v>
      </c>
      <c r="R1888" s="93" t="str">
        <f>VLOOKUP(E1888,DATABASE!C:Q,11,false)</f>
        <v>COMPLEMENTARY</v>
      </c>
    </row>
    <row r="1889" ht="22.5" customHeight="1">
      <c r="A1889" s="49"/>
      <c r="C1889" s="384">
        <v>45756.0</v>
      </c>
      <c r="D1889" s="65">
        <v>5138.0</v>
      </c>
      <c r="E1889" s="445" t="s">
        <v>262</v>
      </c>
      <c r="F1889" s="386">
        <v>1.0</v>
      </c>
      <c r="G1889" s="74">
        <v>110000.0</v>
      </c>
      <c r="H1889" s="74">
        <v>0.0</v>
      </c>
      <c r="I1889" s="74">
        <f t="shared" si="1"/>
        <v>110000</v>
      </c>
      <c r="J1889" s="74">
        <f>IF(E1889="SERVICE",I1889-(I1889*50%),Vlookup(E1889,DATABASE!C:Q,10,false)*F1889)</f>
        <v>5000</v>
      </c>
      <c r="K1889" s="74">
        <f>VLOOKUP(E1889,DATABASE!C:Q,7,false)</f>
        <v>0</v>
      </c>
      <c r="L1889" s="74">
        <v>0.0</v>
      </c>
      <c r="M1889" s="74">
        <f t="shared" si="2"/>
        <v>0</v>
      </c>
      <c r="N1889" s="74">
        <f t="shared" si="3"/>
        <v>105000</v>
      </c>
      <c r="O1889" s="65" t="str">
        <f>VLOOKUP(E1889,DATABASE!C:Q,8,false)</f>
        <v>IBU</v>
      </c>
      <c r="P1889" s="65">
        <f>VLOOKUP(E1889,DATABASE!C:Q,9,False)</f>
        <v>0</v>
      </c>
      <c r="Q1889" s="93" t="str">
        <f>VLOOKUP(E1889,DATABASE!C:Q,4,false)</f>
        <v>SPOORING SS/CARRY LOS BAK</v>
      </c>
      <c r="R1889" s="93" t="str">
        <f>VLOOKUP(E1889,DATABASE!C:Q,11,false)</f>
        <v>SERVICE</v>
      </c>
    </row>
    <row r="1890" ht="22.5" customHeight="1">
      <c r="A1890" s="49"/>
      <c r="C1890" s="384">
        <v>45756.0</v>
      </c>
      <c r="D1890" s="65">
        <v>5138.0</v>
      </c>
      <c r="E1890" s="445" t="s">
        <v>478</v>
      </c>
      <c r="F1890" s="386">
        <v>1.0</v>
      </c>
      <c r="G1890" s="74">
        <v>200000.0</v>
      </c>
      <c r="H1890" s="74">
        <v>0.0</v>
      </c>
      <c r="I1890" s="74">
        <f t="shared" si="1"/>
        <v>200000</v>
      </c>
      <c r="J1890" s="74">
        <f>IF(E1890="SERVICE",I1890-(I1890*50%),Vlookup(E1890,DATABASE!C:Q,10,false)*F1890)</f>
        <v>25000</v>
      </c>
      <c r="K1890" s="74">
        <f>VLOOKUP(E1890,DATABASE!C:Q,7,false)</f>
        <v>75000</v>
      </c>
      <c r="L1890" s="74">
        <v>75000.0</v>
      </c>
      <c r="M1890" s="74">
        <f t="shared" si="2"/>
        <v>75000</v>
      </c>
      <c r="N1890" s="74">
        <f t="shared" si="3"/>
        <v>100000</v>
      </c>
      <c r="O1890" s="65" t="str">
        <f>VLOOKUP(E1890,DATABASE!C:Q,8,false)</f>
        <v>BIAN</v>
      </c>
      <c r="P1890" s="65">
        <f>VLOOKUP(E1890,DATABASE!C:Q,9,False)</f>
        <v>0</v>
      </c>
      <c r="Q1890" s="93" t="str">
        <f>VLOOKUP(E1890,DATABASE!C:Q,4,false)</f>
        <v>Baut Camber ss-carry</v>
      </c>
      <c r="R1890" s="93" t="str">
        <f>VLOOKUP(E1890,DATABASE!C:Q,11,false)</f>
        <v>COMPLEMENTARY</v>
      </c>
    </row>
    <row r="1891" ht="22.5" customHeight="1">
      <c r="A1891" s="49"/>
      <c r="C1891" s="384">
        <v>45756.0</v>
      </c>
      <c r="D1891" s="65">
        <v>5138.0</v>
      </c>
      <c r="E1891" s="445" t="s">
        <v>251</v>
      </c>
      <c r="F1891" s="386">
        <v>1.0</v>
      </c>
      <c r="G1891" s="74">
        <v>80000.0</v>
      </c>
      <c r="H1891" s="74">
        <v>0.0</v>
      </c>
      <c r="I1891" s="74">
        <f t="shared" si="1"/>
        <v>80000</v>
      </c>
      <c r="J1891" s="74">
        <f>IF(E1891="SERVICE",I1891-(I1891*50%),Vlookup(E1891,DATABASE!C:Q,10,false)*F1891)</f>
        <v>40000</v>
      </c>
      <c r="K1891" s="74">
        <f>VLOOKUP(E1891,DATABASE!C:Q,7,false)</f>
        <v>0</v>
      </c>
      <c r="L1891" s="74">
        <v>0.0</v>
      </c>
      <c r="M1891" s="74">
        <f t="shared" si="2"/>
        <v>0</v>
      </c>
      <c r="N1891" s="74">
        <f t="shared" si="3"/>
        <v>40000</v>
      </c>
      <c r="O1891" s="65" t="str">
        <f>VLOOKUP(E1891,DATABASE!C:Q,8,false)</f>
        <v>IBU</v>
      </c>
      <c r="P1891" s="65">
        <f>VLOOKUP(E1891,DATABASE!C:Q,9,False)</f>
        <v>0</v>
      </c>
      <c r="Q1891" s="93" t="str">
        <f>VLOOKUP(E1891,DATABASE!C:Q,4,false)</f>
        <v>SERVICE</v>
      </c>
      <c r="R1891" s="93" t="str">
        <f>VLOOKUP(E1891,DATABASE!C:Q,11,false)</f>
        <v>SERVICE</v>
      </c>
    </row>
    <row r="1892" ht="22.5" customHeight="1">
      <c r="A1892" s="49"/>
      <c r="C1892" s="384">
        <v>45756.0</v>
      </c>
      <c r="D1892" s="65">
        <v>5139.0</v>
      </c>
      <c r="E1892" s="445" t="s">
        <v>1507</v>
      </c>
      <c r="F1892" s="386">
        <v>1.0</v>
      </c>
      <c r="G1892" s="74">
        <v>680000.0</v>
      </c>
      <c r="H1892" s="74">
        <v>0.0</v>
      </c>
      <c r="I1892" s="74">
        <f t="shared" si="1"/>
        <v>680000</v>
      </c>
      <c r="J1892" s="74">
        <f>IF(E1892="SERVICE",I1892-(I1892*50%),Vlookup(E1892,DATABASE!C:Q,10,false)*F1892)</f>
        <v>0</v>
      </c>
      <c r="K1892" s="74">
        <f>VLOOKUP(E1892,DATABASE!C:Q,7,false)</f>
        <v>638500</v>
      </c>
      <c r="L1892" s="74">
        <v>638500.0</v>
      </c>
      <c r="M1892" s="74">
        <f t="shared" si="2"/>
        <v>640000</v>
      </c>
      <c r="N1892" s="74">
        <f t="shared" si="3"/>
        <v>40000</v>
      </c>
      <c r="O1892" s="65" t="str">
        <f>VLOOKUP(E1892,DATABASE!C:Q,8,false)</f>
        <v>IBU</v>
      </c>
      <c r="P1892" s="65">
        <f>VLOOKUP(E1892,DATABASE!C:Q,9,False)</f>
        <v>1</v>
      </c>
      <c r="Q1892" s="93" t="str">
        <f>VLOOKUP(E1892,DATABASE!C:Q,4,false)</f>
        <v>Dunlop</v>
      </c>
      <c r="R1892" s="93" t="str">
        <f>VLOOKUP(E1892,DATABASE!C:Q,11,false)</f>
        <v>Tire</v>
      </c>
    </row>
    <row r="1893" ht="22.5" customHeight="1">
      <c r="A1893" s="49"/>
      <c r="C1893" s="384">
        <v>45756.0</v>
      </c>
      <c r="D1893" s="65">
        <v>5140.0</v>
      </c>
      <c r="E1893" s="445" t="s">
        <v>687</v>
      </c>
      <c r="F1893" s="386">
        <v>1.0</v>
      </c>
      <c r="G1893" s="74">
        <v>1050000.0</v>
      </c>
      <c r="H1893" s="74">
        <v>0.0</v>
      </c>
      <c r="I1893" s="74">
        <f t="shared" si="1"/>
        <v>1050000</v>
      </c>
      <c r="J1893" s="74">
        <f>IF(E1893="SERVICE",I1893-(I1893*50%),Vlookup(E1893,DATABASE!C:Q,10,false)*F1893)</f>
        <v>0</v>
      </c>
      <c r="K1893" s="74">
        <f>VLOOKUP(E1893,DATABASE!C:Q,7,false)</f>
        <v>959000</v>
      </c>
      <c r="L1893" s="74">
        <v>949000.0</v>
      </c>
      <c r="M1893" s="74">
        <f t="shared" si="2"/>
        <v>950000</v>
      </c>
      <c r="N1893" s="74">
        <f t="shared" si="3"/>
        <v>100000</v>
      </c>
      <c r="O1893" s="65" t="str">
        <f>VLOOKUP(E1893,DATABASE!C:Q,8,false)</f>
        <v>IBU</v>
      </c>
      <c r="P1893" s="65">
        <f>VLOOKUP(E1893,DATABASE!C:Q,9,False)</f>
        <v>1</v>
      </c>
      <c r="Q1893" s="93" t="str">
        <f>VLOOKUP(E1893,DATABASE!C:Q,4,false)</f>
        <v>Dunlop</v>
      </c>
      <c r="R1893" s="93" t="str">
        <f>VLOOKUP(E1893,DATABASE!C:Q,11,false)</f>
        <v>Tire</v>
      </c>
    </row>
    <row r="1894" ht="22.5" customHeight="1">
      <c r="A1894" s="49"/>
      <c r="C1894" s="384">
        <v>45756.0</v>
      </c>
      <c r="D1894" s="65">
        <v>5141.0</v>
      </c>
      <c r="E1894" s="445" t="s">
        <v>1009</v>
      </c>
      <c r="F1894" s="386">
        <v>1.0</v>
      </c>
      <c r="G1894" s="74">
        <v>700000.0</v>
      </c>
      <c r="H1894" s="74">
        <v>0.0</v>
      </c>
      <c r="I1894" s="74">
        <f t="shared" si="1"/>
        <v>700000</v>
      </c>
      <c r="J1894" s="74">
        <f>IF(E1894="SERVICE",I1894-(I1894*50%),Vlookup(E1894,DATABASE!C:Q,10,false)*F1894)</f>
        <v>0</v>
      </c>
      <c r="K1894" s="74">
        <f>VLOOKUP(E1894,DATABASE!C:Q,7,false)</f>
        <v>609800</v>
      </c>
      <c r="L1894" s="74">
        <v>592200.0</v>
      </c>
      <c r="M1894" s="74">
        <f t="shared" si="2"/>
        <v>595000</v>
      </c>
      <c r="N1894" s="74">
        <f t="shared" si="3"/>
        <v>105000</v>
      </c>
      <c r="O1894" s="65" t="str">
        <f>VLOOKUP(E1894,DATABASE!C:Q,8,false)</f>
        <v>BIAN</v>
      </c>
      <c r="P1894" s="65">
        <f>VLOOKUP(E1894,DATABASE!C:Q,9,False)</f>
        <v>1</v>
      </c>
      <c r="Q1894" s="93" t="str">
        <f>VLOOKUP(E1894,DATABASE!C:Q,4,false)</f>
        <v>GT</v>
      </c>
      <c r="R1894" s="93" t="str">
        <f>VLOOKUP(E1894,DATABASE!C:Q,11,false)</f>
        <v>Tire</v>
      </c>
    </row>
    <row r="1895" ht="22.5" customHeight="1">
      <c r="A1895" s="49"/>
      <c r="C1895" s="384">
        <v>45756.0</v>
      </c>
      <c r="D1895" s="65">
        <v>5142.0</v>
      </c>
      <c r="E1895" s="385" t="s">
        <v>305</v>
      </c>
      <c r="F1895" s="386">
        <v>1.0</v>
      </c>
      <c r="G1895" s="74">
        <v>235000.0</v>
      </c>
      <c r="H1895" s="74">
        <v>0.0</v>
      </c>
      <c r="I1895" s="74">
        <f t="shared" si="1"/>
        <v>235000</v>
      </c>
      <c r="J1895" s="74">
        <f>IF(E1895="SERVICE",I1895-(I1895*50%),Vlookup(E1895,DATABASE!C:Q,10,false)*F1895)</f>
        <v>40000</v>
      </c>
      <c r="K1895" s="74">
        <f>VLOOKUP(E1895,DATABASE!C:Q,7,false)</f>
        <v>158530.2</v>
      </c>
      <c r="L1895" s="74">
        <v>151890.0</v>
      </c>
      <c r="M1895" s="74">
        <f t="shared" si="2"/>
        <v>155000</v>
      </c>
      <c r="N1895" s="74">
        <f t="shared" si="3"/>
        <v>40000</v>
      </c>
      <c r="O1895" s="65" t="str">
        <f>VLOOKUP(E1895,DATABASE!C:Q,8,false)</f>
        <v>BIAN</v>
      </c>
      <c r="P1895" s="65">
        <f>VLOOKUP(E1895,DATABASE!C:Q,9,False)</f>
        <v>1</v>
      </c>
      <c r="Q1895" s="93" t="str">
        <f>VLOOKUP(E1895,DATABASE!C:Q,4,false)</f>
        <v>Lower Arm</v>
      </c>
      <c r="R1895" s="93" t="str">
        <f>VLOOKUP(E1895,DATABASE!C:Q,11,false)</f>
        <v>COMPLEMENTARY</v>
      </c>
    </row>
    <row r="1896" ht="22.5" customHeight="1">
      <c r="A1896" s="49"/>
      <c r="C1896" s="384">
        <v>45756.0</v>
      </c>
      <c r="D1896" s="65">
        <v>5144.0</v>
      </c>
      <c r="E1896" s="445" t="s">
        <v>268</v>
      </c>
      <c r="F1896" s="386">
        <v>2.0</v>
      </c>
      <c r="G1896" s="74">
        <v>700000.0</v>
      </c>
      <c r="H1896" s="74">
        <v>0.0</v>
      </c>
      <c r="I1896" s="74">
        <f t="shared" si="1"/>
        <v>1400000</v>
      </c>
      <c r="J1896" s="74">
        <f>IF(E1896="SERVICE",I1896-(I1896*50%),Vlookup(E1896,DATABASE!C:Q,10,false)*F1896)</f>
        <v>0</v>
      </c>
      <c r="K1896" s="74">
        <v>613000.0</v>
      </c>
      <c r="L1896" s="74">
        <v>613000.0</v>
      </c>
      <c r="M1896" s="74">
        <f t="shared" si="2"/>
        <v>615000</v>
      </c>
      <c r="N1896" s="74">
        <f t="shared" si="3"/>
        <v>170000</v>
      </c>
      <c r="O1896" s="65" t="str">
        <f>VLOOKUP(E1896,DATABASE!C:Q,8,false)</f>
        <v>IBU</v>
      </c>
      <c r="P1896" s="65">
        <f>VLOOKUP(E1896,DATABASE!C:Q,9,False)</f>
        <v>1</v>
      </c>
      <c r="Q1896" s="93" t="str">
        <f>VLOOKUP(E1896,DATABASE!C:Q,4,false)</f>
        <v>Dunlop</v>
      </c>
      <c r="R1896" s="93" t="str">
        <f>VLOOKUP(E1896,DATABASE!C:Q,11,false)</f>
        <v>Tire</v>
      </c>
    </row>
    <row r="1897" ht="22.5" customHeight="1">
      <c r="A1897" s="49"/>
      <c r="C1897" s="384">
        <v>45756.0</v>
      </c>
      <c r="D1897" s="65">
        <v>5145.0</v>
      </c>
      <c r="E1897" s="445" t="s">
        <v>250</v>
      </c>
      <c r="F1897" s="386">
        <v>1.0</v>
      </c>
      <c r="G1897" s="74">
        <v>135000.0</v>
      </c>
      <c r="H1897" s="74">
        <v>0.0</v>
      </c>
      <c r="I1897" s="74">
        <f t="shared" si="1"/>
        <v>135000</v>
      </c>
      <c r="J1897" s="74">
        <f>IF(E1897="SERVICE",I1897-(I1897*50%),Vlookup(E1897,DATABASE!C:Q,10,false)*F1897)</f>
        <v>0</v>
      </c>
      <c r="K1897" s="74">
        <f>VLOOKUP(E1897,DATABASE!C:Q,7,false)</f>
        <v>102000</v>
      </c>
      <c r="L1897" s="74">
        <v>102000.0</v>
      </c>
      <c r="M1897" s="74">
        <f t="shared" si="2"/>
        <v>105000</v>
      </c>
      <c r="N1897" s="74">
        <f t="shared" si="3"/>
        <v>30000</v>
      </c>
      <c r="O1897" s="65" t="str">
        <f>VLOOKUP(E1897,DATABASE!C:Q,8,false)</f>
        <v>BIAN</v>
      </c>
      <c r="P1897" s="65">
        <f>VLOOKUP(E1897,DATABASE!C:Q,9,False)</f>
        <v>1</v>
      </c>
      <c r="Q1897" s="93" t="str">
        <f>VLOOKUP(E1897,DATABASE!C:Q,4,false)</f>
        <v>BD</v>
      </c>
      <c r="R1897" s="93" t="str">
        <f>VLOOKUP(E1897,DATABASE!C:Q,11,false)</f>
        <v>Tire</v>
      </c>
    </row>
    <row r="1898" ht="22.5" customHeight="1">
      <c r="A1898" s="49"/>
      <c r="C1898" s="384">
        <v>45756.0</v>
      </c>
      <c r="D1898" s="65">
        <v>5146.0</v>
      </c>
      <c r="E1898" s="445" t="s">
        <v>268</v>
      </c>
      <c r="F1898" s="386">
        <v>1.0</v>
      </c>
      <c r="G1898" s="74">
        <v>700000.0</v>
      </c>
      <c r="H1898" s="74">
        <v>0.0</v>
      </c>
      <c r="I1898" s="74">
        <f t="shared" si="1"/>
        <v>700000</v>
      </c>
      <c r="J1898" s="74">
        <f>IF(E1898="SERVICE",I1898-(I1898*50%),Vlookup(E1898,DATABASE!C:Q,10,false)*F1898)</f>
        <v>0</v>
      </c>
      <c r="K1898" s="74">
        <v>613000.0</v>
      </c>
      <c r="L1898" s="74">
        <v>613000.0</v>
      </c>
      <c r="M1898" s="74">
        <f t="shared" si="2"/>
        <v>615000</v>
      </c>
      <c r="N1898" s="74">
        <f t="shared" si="3"/>
        <v>85000</v>
      </c>
      <c r="O1898" s="65" t="str">
        <f>VLOOKUP(E1898,DATABASE!C:Q,8,false)</f>
        <v>IBU</v>
      </c>
      <c r="P1898" s="65">
        <f>VLOOKUP(E1898,DATABASE!C:Q,9,False)</f>
        <v>1</v>
      </c>
      <c r="Q1898" s="93" t="str">
        <f>VLOOKUP(E1898,DATABASE!C:Q,4,false)</f>
        <v>Dunlop</v>
      </c>
      <c r="R1898" s="93" t="str">
        <f>VLOOKUP(E1898,DATABASE!C:Q,11,false)</f>
        <v>Tire</v>
      </c>
    </row>
    <row r="1899" ht="22.5" customHeight="1">
      <c r="A1899" s="49"/>
      <c r="C1899" s="384">
        <v>45756.0</v>
      </c>
      <c r="D1899" s="65">
        <v>5147.0</v>
      </c>
      <c r="E1899" s="445" t="s">
        <v>974</v>
      </c>
      <c r="F1899" s="386">
        <v>2.0</v>
      </c>
      <c r="G1899" s="74">
        <v>550000.0</v>
      </c>
      <c r="H1899" s="74">
        <v>0.0</v>
      </c>
      <c r="I1899" s="74">
        <f t="shared" si="1"/>
        <v>1100000</v>
      </c>
      <c r="J1899" s="74">
        <f>IF(E1899="SERVICE",I1899-(I1899*50%),Vlookup(E1899,DATABASE!C:Q,10,false)*F1899)</f>
        <v>0</v>
      </c>
      <c r="K1899" s="74">
        <f>VLOOKUP(E1899,DATABASE!C:Q,7,false)</f>
        <v>501500</v>
      </c>
      <c r="L1899" s="74">
        <v>491000.0</v>
      </c>
      <c r="M1899" s="74">
        <f t="shared" si="2"/>
        <v>495000</v>
      </c>
      <c r="N1899" s="74">
        <f t="shared" si="3"/>
        <v>110000</v>
      </c>
      <c r="O1899" s="65" t="str">
        <f>VLOOKUP(E1899,DATABASE!C:Q,8,false)</f>
        <v>IBU</v>
      </c>
      <c r="P1899" s="65">
        <f>VLOOKUP(E1899,DATABASE!C:Q,9,False)</f>
        <v>1</v>
      </c>
      <c r="Q1899" s="93" t="str">
        <f>VLOOKUP(E1899,DATABASE!C:Q,4,false)</f>
        <v>Dunlop</v>
      </c>
      <c r="R1899" s="93" t="str">
        <f>VLOOKUP(E1899,DATABASE!C:Q,11,false)</f>
        <v>Tire</v>
      </c>
    </row>
    <row r="1900" ht="22.5" customHeight="1">
      <c r="A1900" s="49"/>
      <c r="C1900" s="384">
        <v>45756.0</v>
      </c>
      <c r="D1900" s="65">
        <v>5148.0</v>
      </c>
      <c r="E1900" s="445" t="s">
        <v>262</v>
      </c>
      <c r="F1900" s="386">
        <v>1.0</v>
      </c>
      <c r="G1900" s="74">
        <v>110000.0</v>
      </c>
      <c r="H1900" s="74">
        <v>0.0</v>
      </c>
      <c r="I1900" s="74">
        <f t="shared" si="1"/>
        <v>110000</v>
      </c>
      <c r="J1900" s="74">
        <f>IF(E1900="SERVICE",I1900-(I1900*50%),Vlookup(E1900,DATABASE!C:Q,10,false)*F1900)</f>
        <v>5000</v>
      </c>
      <c r="K1900" s="74">
        <f>VLOOKUP(E1900,DATABASE!C:Q,7,false)</f>
        <v>0</v>
      </c>
      <c r="L1900" s="74">
        <v>0.0</v>
      </c>
      <c r="M1900" s="74">
        <f t="shared" si="2"/>
        <v>0</v>
      </c>
      <c r="N1900" s="74">
        <f t="shared" si="3"/>
        <v>105000</v>
      </c>
      <c r="O1900" s="65" t="str">
        <f>VLOOKUP(E1900,DATABASE!C:Q,8,false)</f>
        <v>IBU</v>
      </c>
      <c r="P1900" s="65">
        <f>VLOOKUP(E1900,DATABASE!C:Q,9,False)</f>
        <v>0</v>
      </c>
      <c r="Q1900" s="93" t="str">
        <f>VLOOKUP(E1900,DATABASE!C:Q,4,false)</f>
        <v>SPOORING SS/CARRY LOS BAK</v>
      </c>
      <c r="R1900" s="93" t="str">
        <f>VLOOKUP(E1900,DATABASE!C:Q,11,false)</f>
        <v>SERVICE</v>
      </c>
    </row>
    <row r="1901" ht="22.5" customHeight="1">
      <c r="A1901" s="49"/>
      <c r="C1901" s="384">
        <v>45756.0</v>
      </c>
      <c r="D1901" s="65">
        <v>5243.0</v>
      </c>
      <c r="E1901" s="445" t="s">
        <v>246</v>
      </c>
      <c r="F1901" s="386">
        <v>1.0</v>
      </c>
      <c r="G1901" s="74">
        <v>25000.0</v>
      </c>
      <c r="H1901" s="74">
        <v>0.0</v>
      </c>
      <c r="I1901" s="74">
        <f t="shared" si="1"/>
        <v>25000</v>
      </c>
      <c r="J1901" s="74">
        <f>IF(E1901="SERVICE",I1901-(I1901*50%),Vlookup(E1901,DATABASE!C:Q,10,false)*F1901)</f>
        <v>0</v>
      </c>
      <c r="K1901" s="74">
        <f>VLOOKUP(E1901,DATABASE!C:Q,7,false)</f>
        <v>0</v>
      </c>
      <c r="L1901" s="74">
        <v>0.0</v>
      </c>
      <c r="M1901" s="74">
        <f t="shared" si="2"/>
        <v>0</v>
      </c>
      <c r="N1901" s="74">
        <f t="shared" si="3"/>
        <v>25000</v>
      </c>
      <c r="O1901" s="65" t="str">
        <f>VLOOKUP(E1901,DATABASE!C:Q,8,false)</f>
        <v>IBU</v>
      </c>
      <c r="P1901" s="65">
        <f>VLOOKUP(E1901,DATABASE!C:Q,9,False)</f>
        <v>0</v>
      </c>
      <c r="Q1901" s="93" t="str">
        <f>VLOOKUP(E1901,DATABASE!C:Q,4,false)</f>
        <v>Bongkar Pasang</v>
      </c>
      <c r="R1901" s="93" t="str">
        <f>VLOOKUP(E1901,DATABASE!C:Q,11,false)</f>
        <v>SERVICE</v>
      </c>
    </row>
    <row r="1902" ht="22.5" customHeight="1">
      <c r="A1902" s="49"/>
      <c r="C1902" s="384">
        <v>45757.0</v>
      </c>
      <c r="D1902" s="65">
        <v>5149.0</v>
      </c>
      <c r="E1902" s="445" t="s">
        <v>1009</v>
      </c>
      <c r="F1902" s="386">
        <v>1.0</v>
      </c>
      <c r="G1902" s="74">
        <v>690000.0</v>
      </c>
      <c r="H1902" s="74">
        <v>0.0</v>
      </c>
      <c r="I1902" s="74">
        <f t="shared" si="1"/>
        <v>690000</v>
      </c>
      <c r="J1902" s="74">
        <f>IF(E1902="SERVICE",I1902-(I1902*50%),Vlookup(E1902,DATABASE!C:Q,10,false)*F1902)</f>
        <v>0</v>
      </c>
      <c r="K1902" s="74">
        <f>VLOOKUP(E1902,DATABASE!C:Q,7,false)</f>
        <v>609800</v>
      </c>
      <c r="L1902" s="74">
        <v>592200.0</v>
      </c>
      <c r="M1902" s="74">
        <f t="shared" si="2"/>
        <v>595000</v>
      </c>
      <c r="N1902" s="74">
        <f t="shared" si="3"/>
        <v>95000</v>
      </c>
      <c r="O1902" s="65" t="str">
        <f>VLOOKUP(E1902,DATABASE!C:Q,8,false)</f>
        <v>BIAN</v>
      </c>
      <c r="P1902" s="65">
        <f>VLOOKUP(E1902,DATABASE!C:Q,9,False)</f>
        <v>1</v>
      </c>
      <c r="Q1902" s="93" t="str">
        <f>VLOOKUP(E1902,DATABASE!C:Q,4,false)</f>
        <v>GT</v>
      </c>
      <c r="R1902" s="93" t="str">
        <f>VLOOKUP(E1902,DATABASE!C:Q,11,false)</f>
        <v>Tire</v>
      </c>
    </row>
    <row r="1903" ht="22.5" customHeight="1">
      <c r="A1903" s="49"/>
      <c r="C1903" s="384">
        <v>45757.0</v>
      </c>
      <c r="D1903" s="65">
        <v>5150.0</v>
      </c>
      <c r="E1903" s="445" t="s">
        <v>287</v>
      </c>
      <c r="F1903" s="386">
        <v>2.0</v>
      </c>
      <c r="G1903" s="74">
        <v>780000.0</v>
      </c>
      <c r="H1903" s="74">
        <v>0.0</v>
      </c>
      <c r="I1903" s="74">
        <f t="shared" si="1"/>
        <v>1560000</v>
      </c>
      <c r="J1903" s="74">
        <f>IF(E1903="SERVICE",I1903-(I1903*50%),Vlookup(E1903,DATABASE!C:Q,10,false)*F1903)</f>
        <v>0</v>
      </c>
      <c r="K1903" s="74">
        <f>VLOOKUP(E1903,DATABASE!C:Q,7,false)</f>
        <v>711000</v>
      </c>
      <c r="L1903" s="74">
        <v>690600.0</v>
      </c>
      <c r="M1903" s="74">
        <f t="shared" si="2"/>
        <v>695000</v>
      </c>
      <c r="N1903" s="74">
        <f t="shared" si="3"/>
        <v>170000</v>
      </c>
      <c r="O1903" s="65" t="str">
        <f>VLOOKUP(E1903,DATABASE!C:Q,8,false)</f>
        <v>BIAN</v>
      </c>
      <c r="P1903" s="65">
        <f>VLOOKUP(E1903,DATABASE!C:Q,9,False)</f>
        <v>1</v>
      </c>
      <c r="Q1903" s="93" t="str">
        <f>VLOOKUP(E1903,DATABASE!C:Q,4,false)</f>
        <v>GT</v>
      </c>
      <c r="R1903" s="93" t="str">
        <f>VLOOKUP(E1903,DATABASE!C:Q,11,false)</f>
        <v>Tire</v>
      </c>
    </row>
    <row r="1904" ht="22.5" customHeight="1">
      <c r="A1904" s="49"/>
      <c r="C1904" s="384">
        <v>45757.0</v>
      </c>
      <c r="D1904" s="65">
        <v>5151.0</v>
      </c>
      <c r="E1904" s="445" t="s">
        <v>256</v>
      </c>
      <c r="F1904" s="386">
        <v>1.0</v>
      </c>
      <c r="G1904" s="74">
        <v>130000.0</v>
      </c>
      <c r="H1904" s="74">
        <v>0.0</v>
      </c>
      <c r="I1904" s="74">
        <f t="shared" si="1"/>
        <v>130000</v>
      </c>
      <c r="J1904" s="74">
        <f>IF(E1904="SERVICE",I1904-(I1904*50%),Vlookup(E1904,DATABASE!C:Q,10,false)*F1904)</f>
        <v>10000</v>
      </c>
      <c r="K1904" s="74">
        <f>VLOOKUP(E1904,DATABASE!C:Q,7,false)</f>
        <v>0</v>
      </c>
      <c r="L1904" s="74">
        <v>0.0</v>
      </c>
      <c r="M1904" s="74">
        <f t="shared" si="2"/>
        <v>0</v>
      </c>
      <c r="N1904" s="74">
        <f t="shared" si="3"/>
        <v>120000</v>
      </c>
      <c r="O1904" s="65" t="str">
        <f>VLOOKUP(E1904,DATABASE!C:Q,8,false)</f>
        <v>IBU</v>
      </c>
      <c r="P1904" s="65">
        <f>VLOOKUP(E1904,DATABASE!C:Q,9,False)</f>
        <v>0</v>
      </c>
      <c r="Q1904" s="93" t="str">
        <f>VLOOKUP(E1904,DATABASE!C:Q,4,false)</f>
        <v>SPOORING</v>
      </c>
      <c r="R1904" s="93" t="str">
        <f>VLOOKUP(E1904,DATABASE!C:Q,11,false)</f>
        <v>SERVICE</v>
      </c>
    </row>
    <row r="1905" ht="22.5" customHeight="1">
      <c r="A1905" s="49"/>
      <c r="C1905" s="384">
        <v>45757.0</v>
      </c>
      <c r="D1905" s="65">
        <v>5151.0</v>
      </c>
      <c r="E1905" s="445" t="s">
        <v>251</v>
      </c>
      <c r="F1905" s="386">
        <v>1.0</v>
      </c>
      <c r="G1905" s="74">
        <v>150000.0</v>
      </c>
      <c r="H1905" s="74">
        <v>0.0</v>
      </c>
      <c r="I1905" s="74">
        <f t="shared" si="1"/>
        <v>150000</v>
      </c>
      <c r="J1905" s="74">
        <f>IF(E1905="SERVICE",I1905-(I1905*50%),Vlookup(E1905,DATABASE!C:Q,10,false)*F1905)</f>
        <v>75000</v>
      </c>
      <c r="K1905" s="74">
        <f>VLOOKUP(E1905,DATABASE!C:Q,7,false)</f>
        <v>0</v>
      </c>
      <c r="L1905" s="74">
        <v>0.0</v>
      </c>
      <c r="M1905" s="74">
        <f t="shared" si="2"/>
        <v>0</v>
      </c>
      <c r="N1905" s="74">
        <f t="shared" si="3"/>
        <v>75000</v>
      </c>
      <c r="O1905" s="65" t="str">
        <f>VLOOKUP(E1905,DATABASE!C:Q,8,false)</f>
        <v>IBU</v>
      </c>
      <c r="P1905" s="65">
        <f>VLOOKUP(E1905,DATABASE!C:Q,9,False)</f>
        <v>0</v>
      </c>
      <c r="Q1905" s="93" t="str">
        <f>VLOOKUP(E1905,DATABASE!C:Q,4,false)</f>
        <v>SERVICE</v>
      </c>
      <c r="R1905" s="93" t="str">
        <f>VLOOKUP(E1905,DATABASE!C:Q,11,false)</f>
        <v>SERVICE</v>
      </c>
    </row>
    <row r="1906" ht="22.5" customHeight="1">
      <c r="A1906" s="49"/>
      <c r="C1906" s="384">
        <v>45757.0</v>
      </c>
      <c r="D1906" s="65">
        <v>5152.0</v>
      </c>
      <c r="E1906" s="445" t="s">
        <v>271</v>
      </c>
      <c r="F1906" s="386">
        <v>2.0</v>
      </c>
      <c r="G1906" s="74">
        <v>630000.0</v>
      </c>
      <c r="H1906" s="74">
        <v>0.0</v>
      </c>
      <c r="I1906" s="74">
        <f t="shared" si="1"/>
        <v>1260000</v>
      </c>
      <c r="J1906" s="74">
        <f>IF(E1906="SERVICE",I1906-(I1906*50%),Vlookup(E1906,DATABASE!C:Q,10,false)*F1906)</f>
        <v>0</v>
      </c>
      <c r="K1906" s="74">
        <f>VLOOKUP(E1906,DATABASE!C:Q,7,false)</f>
        <v>570000</v>
      </c>
      <c r="L1906" s="74">
        <v>539000.0</v>
      </c>
      <c r="M1906" s="74">
        <f t="shared" si="2"/>
        <v>540000</v>
      </c>
      <c r="N1906" s="74">
        <f t="shared" si="3"/>
        <v>180000</v>
      </c>
      <c r="O1906" s="65" t="str">
        <f>VLOOKUP(E1906,DATABASE!C:Q,8,false)</f>
        <v>IBU</v>
      </c>
      <c r="P1906" s="65">
        <f>VLOOKUP(E1906,DATABASE!C:Q,9,False)</f>
        <v>1</v>
      </c>
      <c r="Q1906" s="93" t="str">
        <f>VLOOKUP(E1906,DATABASE!C:Q,4,false)</f>
        <v>Dunlop</v>
      </c>
      <c r="R1906" s="93" t="str">
        <f>VLOOKUP(E1906,DATABASE!C:Q,11,false)</f>
        <v>Tire</v>
      </c>
    </row>
    <row r="1907" ht="22.5" customHeight="1">
      <c r="A1907" s="49"/>
      <c r="C1907" s="384">
        <v>45757.0</v>
      </c>
      <c r="D1907" s="65">
        <v>5152.0</v>
      </c>
      <c r="E1907" s="445" t="s">
        <v>256</v>
      </c>
      <c r="F1907" s="386">
        <v>1.0</v>
      </c>
      <c r="G1907" s="74">
        <v>130000.0</v>
      </c>
      <c r="H1907" s="74">
        <v>0.0</v>
      </c>
      <c r="I1907" s="74">
        <f t="shared" si="1"/>
        <v>130000</v>
      </c>
      <c r="J1907" s="74">
        <f>IF(E1907="SERVICE",I1907-(I1907*50%),Vlookup(E1907,DATABASE!C:Q,10,false)*F1907)</f>
        <v>10000</v>
      </c>
      <c r="K1907" s="74">
        <f>VLOOKUP(E1907,DATABASE!C:Q,7,false)</f>
        <v>0</v>
      </c>
      <c r="L1907" s="74">
        <v>0.0</v>
      </c>
      <c r="M1907" s="74">
        <f t="shared" si="2"/>
        <v>0</v>
      </c>
      <c r="N1907" s="74">
        <f t="shared" si="3"/>
        <v>120000</v>
      </c>
      <c r="O1907" s="65" t="str">
        <f>VLOOKUP(E1907,DATABASE!C:Q,8,false)</f>
        <v>IBU</v>
      </c>
      <c r="P1907" s="65">
        <f>VLOOKUP(E1907,DATABASE!C:Q,9,False)</f>
        <v>0</v>
      </c>
      <c r="Q1907" s="93" t="str">
        <f>VLOOKUP(E1907,DATABASE!C:Q,4,false)</f>
        <v>SPOORING</v>
      </c>
      <c r="R1907" s="93" t="str">
        <f>VLOOKUP(E1907,DATABASE!C:Q,11,false)</f>
        <v>SERVICE</v>
      </c>
    </row>
    <row r="1908" ht="22.5" customHeight="1">
      <c r="A1908" s="49"/>
      <c r="C1908" s="384">
        <v>45757.0</v>
      </c>
      <c r="D1908" s="65">
        <v>5152.0</v>
      </c>
      <c r="E1908" s="445" t="s">
        <v>301</v>
      </c>
      <c r="F1908" s="386">
        <v>1.0</v>
      </c>
      <c r="G1908" s="74">
        <v>250000.0</v>
      </c>
      <c r="H1908" s="74">
        <v>0.0</v>
      </c>
      <c r="I1908" s="74">
        <f t="shared" si="1"/>
        <v>250000</v>
      </c>
      <c r="J1908" s="74">
        <f>IF(E1908="SERVICE",I1908-(I1908*50%),Vlookup(E1908,DATABASE!C:Q,10,false)*F1908)</f>
        <v>75000</v>
      </c>
      <c r="K1908" s="74">
        <f>VLOOKUP(E1908,DATABASE!C:Q,7,false)</f>
        <v>75000</v>
      </c>
      <c r="L1908" s="74">
        <v>75000.0</v>
      </c>
      <c r="M1908" s="74">
        <f t="shared" si="2"/>
        <v>75000</v>
      </c>
      <c r="N1908" s="74">
        <f t="shared" si="3"/>
        <v>100000</v>
      </c>
      <c r="O1908" s="65" t="str">
        <f>VLOOKUP(E1908,DATABASE!C:Q,8,false)</f>
        <v>BIAN</v>
      </c>
      <c r="P1908" s="65">
        <f>VLOOKUP(E1908,DATABASE!C:Q,9,False)</f>
        <v>0</v>
      </c>
      <c r="Q1908" s="93" t="str">
        <f>VLOOKUP(E1908,DATABASE!C:Q,4,false)</f>
        <v>Baut Camber</v>
      </c>
      <c r="R1908" s="93" t="str">
        <f>VLOOKUP(E1908,DATABASE!C:Q,11,false)</f>
        <v>COMPLEMENTARY</v>
      </c>
    </row>
    <row r="1909" ht="22.5" customHeight="1">
      <c r="A1909" s="49"/>
      <c r="C1909" s="384">
        <v>45757.0</v>
      </c>
      <c r="D1909" s="65">
        <v>5153.0</v>
      </c>
      <c r="E1909" s="445" t="s">
        <v>275</v>
      </c>
      <c r="F1909" s="386">
        <v>2.0</v>
      </c>
      <c r="G1909" s="74">
        <v>830000.0</v>
      </c>
      <c r="H1909" s="74">
        <v>0.0</v>
      </c>
      <c r="I1909" s="74">
        <f t="shared" si="1"/>
        <v>1660000</v>
      </c>
      <c r="J1909" s="74">
        <f>IF(E1909="SERVICE",I1909-(I1909*50%),Vlookup(E1909,DATABASE!C:Q,10,false)*F1909)</f>
        <v>0</v>
      </c>
      <c r="K1909" s="74">
        <v>735000.0</v>
      </c>
      <c r="L1909" s="74">
        <v>735000.0</v>
      </c>
      <c r="M1909" s="74">
        <f t="shared" si="2"/>
        <v>735000</v>
      </c>
      <c r="N1909" s="74">
        <f t="shared" si="3"/>
        <v>190000</v>
      </c>
      <c r="O1909" s="65" t="str">
        <f>VLOOKUP(E1909,DATABASE!C:Q,8,false)</f>
        <v>IBU</v>
      </c>
      <c r="P1909" s="65">
        <f>VLOOKUP(E1909,DATABASE!C:Q,9,False)</f>
        <v>1</v>
      </c>
      <c r="Q1909" s="93" t="str">
        <f>VLOOKUP(E1909,DATABASE!C:Q,4,false)</f>
        <v>Dunlop</v>
      </c>
      <c r="R1909" s="93" t="str">
        <f>VLOOKUP(E1909,DATABASE!C:Q,11,false)</f>
        <v>Tire</v>
      </c>
    </row>
    <row r="1910" ht="22.5" customHeight="1">
      <c r="A1910" s="49"/>
      <c r="C1910" s="384">
        <v>45757.0</v>
      </c>
      <c r="D1910" s="65">
        <v>5154.0</v>
      </c>
      <c r="E1910" s="445" t="s">
        <v>262</v>
      </c>
      <c r="F1910" s="386">
        <v>1.0</v>
      </c>
      <c r="G1910" s="74">
        <v>110000.0</v>
      </c>
      <c r="H1910" s="74">
        <v>0.0</v>
      </c>
      <c r="I1910" s="74">
        <f t="shared" si="1"/>
        <v>110000</v>
      </c>
      <c r="J1910" s="74">
        <f>IF(E1910="SERVICE",I1910-(I1910*50%),Vlookup(E1910,DATABASE!C:Q,10,false)*F1910)</f>
        <v>5000</v>
      </c>
      <c r="K1910" s="74">
        <f>VLOOKUP(E1910,DATABASE!C:Q,7,false)</f>
        <v>0</v>
      </c>
      <c r="L1910" s="74">
        <v>0.0</v>
      </c>
      <c r="M1910" s="74">
        <f t="shared" si="2"/>
        <v>0</v>
      </c>
      <c r="N1910" s="74">
        <f t="shared" si="3"/>
        <v>105000</v>
      </c>
      <c r="O1910" s="65" t="str">
        <f>VLOOKUP(E1910,DATABASE!C:Q,8,false)</f>
        <v>IBU</v>
      </c>
      <c r="P1910" s="65">
        <f>VLOOKUP(E1910,DATABASE!C:Q,9,False)</f>
        <v>0</v>
      </c>
      <c r="Q1910" s="93" t="str">
        <f>VLOOKUP(E1910,DATABASE!C:Q,4,false)</f>
        <v>SPOORING SS/CARRY LOS BAK</v>
      </c>
      <c r="R1910" s="93" t="str">
        <f>VLOOKUP(E1910,DATABASE!C:Q,11,false)</f>
        <v>SERVICE</v>
      </c>
    </row>
    <row r="1911" ht="22.5" customHeight="1">
      <c r="A1911" s="49"/>
      <c r="C1911" s="384">
        <v>45757.0</v>
      </c>
      <c r="D1911" s="65">
        <v>5155.0</v>
      </c>
      <c r="E1911" s="445" t="s">
        <v>955</v>
      </c>
      <c r="F1911" s="386">
        <v>1.0</v>
      </c>
      <c r="G1911" s="74">
        <v>770000.0</v>
      </c>
      <c r="H1911" s="74">
        <v>0.0</v>
      </c>
      <c r="I1911" s="74">
        <f t="shared" si="1"/>
        <v>770000</v>
      </c>
      <c r="J1911" s="74">
        <f>IF(E1911="SERVICE",I1911-(I1911*50%),Vlookup(E1911,DATABASE!C:Q,10,false)*F1911)</f>
        <v>0</v>
      </c>
      <c r="K1911" s="74">
        <f>VLOOKUP(E1911,DATABASE!C:Q,7,false)</f>
        <v>712000</v>
      </c>
      <c r="L1911" s="74">
        <v>674000.0</v>
      </c>
      <c r="M1911" s="74">
        <f t="shared" si="2"/>
        <v>675000</v>
      </c>
      <c r="N1911" s="74">
        <f t="shared" si="3"/>
        <v>95000</v>
      </c>
      <c r="O1911" s="65" t="str">
        <f>VLOOKUP(E1911,DATABASE!C:Q,8,false)</f>
        <v>IBU</v>
      </c>
      <c r="P1911" s="65">
        <f>VLOOKUP(E1911,DATABASE!C:Q,9,False)</f>
        <v>1</v>
      </c>
      <c r="Q1911" s="93" t="str">
        <f>VLOOKUP(E1911,DATABASE!C:Q,4,false)</f>
        <v>Dunlop</v>
      </c>
      <c r="R1911" s="93" t="str">
        <f>VLOOKUP(E1911,DATABASE!C:Q,11,false)</f>
        <v>Tire</v>
      </c>
    </row>
    <row r="1912" ht="22.5" customHeight="1">
      <c r="A1912" s="49"/>
      <c r="C1912" s="384">
        <v>45757.0</v>
      </c>
      <c r="D1912" s="65">
        <v>5156.0</v>
      </c>
      <c r="E1912" s="445" t="s">
        <v>256</v>
      </c>
      <c r="F1912" s="386">
        <v>1.0</v>
      </c>
      <c r="G1912" s="74">
        <v>130000.0</v>
      </c>
      <c r="H1912" s="74">
        <v>0.0</v>
      </c>
      <c r="I1912" s="74">
        <f t="shared" si="1"/>
        <v>130000</v>
      </c>
      <c r="J1912" s="74">
        <f>IF(E1912="SERVICE",I1912-(I1912*50%),Vlookup(E1912,DATABASE!C:Q,10,false)*F1912)</f>
        <v>10000</v>
      </c>
      <c r="K1912" s="74">
        <f>VLOOKUP(E1912,DATABASE!C:Q,7,false)</f>
        <v>0</v>
      </c>
      <c r="L1912" s="74">
        <v>0.0</v>
      </c>
      <c r="M1912" s="74">
        <f t="shared" si="2"/>
        <v>0</v>
      </c>
      <c r="N1912" s="74">
        <f t="shared" si="3"/>
        <v>120000</v>
      </c>
      <c r="O1912" s="65" t="str">
        <f>VLOOKUP(E1912,DATABASE!C:Q,8,false)</f>
        <v>IBU</v>
      </c>
      <c r="P1912" s="65">
        <f>VLOOKUP(E1912,DATABASE!C:Q,9,False)</f>
        <v>0</v>
      </c>
      <c r="Q1912" s="93" t="str">
        <f>VLOOKUP(E1912,DATABASE!C:Q,4,false)</f>
        <v>SPOORING</v>
      </c>
      <c r="R1912" s="93" t="str">
        <f>VLOOKUP(E1912,DATABASE!C:Q,11,false)</f>
        <v>SERVICE</v>
      </c>
    </row>
    <row r="1913" ht="22.5" customHeight="1">
      <c r="A1913" s="49"/>
      <c r="C1913" s="384">
        <v>45757.0</v>
      </c>
      <c r="D1913" s="65">
        <v>5156.0</v>
      </c>
      <c r="E1913" s="445" t="s">
        <v>301</v>
      </c>
      <c r="F1913" s="386">
        <v>1.0</v>
      </c>
      <c r="G1913" s="74">
        <v>250000.0</v>
      </c>
      <c r="H1913" s="74">
        <v>0.0</v>
      </c>
      <c r="I1913" s="74">
        <f t="shared" si="1"/>
        <v>250000</v>
      </c>
      <c r="J1913" s="74">
        <f>IF(E1913="SERVICE",I1913-(I1913*50%),Vlookup(E1913,DATABASE!C:Q,10,false)*F1913)</f>
        <v>75000</v>
      </c>
      <c r="K1913" s="74">
        <f>VLOOKUP(E1913,DATABASE!C:Q,7,false)</f>
        <v>75000</v>
      </c>
      <c r="L1913" s="74">
        <v>75000.0</v>
      </c>
      <c r="M1913" s="74">
        <f t="shared" si="2"/>
        <v>75000</v>
      </c>
      <c r="N1913" s="74">
        <f t="shared" si="3"/>
        <v>100000</v>
      </c>
      <c r="O1913" s="65" t="str">
        <f>VLOOKUP(E1913,DATABASE!C:Q,8,false)</f>
        <v>BIAN</v>
      </c>
      <c r="P1913" s="65">
        <f>VLOOKUP(E1913,DATABASE!C:Q,9,False)</f>
        <v>0</v>
      </c>
      <c r="Q1913" s="93" t="str">
        <f>VLOOKUP(E1913,DATABASE!C:Q,4,false)</f>
        <v>Baut Camber</v>
      </c>
      <c r="R1913" s="93" t="str">
        <f>VLOOKUP(E1913,DATABASE!C:Q,11,false)</f>
        <v>COMPLEMENTARY</v>
      </c>
    </row>
    <row r="1914" ht="22.5" customHeight="1">
      <c r="A1914" s="49"/>
      <c r="C1914" s="384">
        <v>45757.0</v>
      </c>
      <c r="D1914" s="65">
        <v>5156.0</v>
      </c>
      <c r="E1914" s="445" t="s">
        <v>288</v>
      </c>
      <c r="F1914" s="386">
        <v>1.0</v>
      </c>
      <c r="G1914" s="74">
        <v>620000.0</v>
      </c>
      <c r="H1914" s="74">
        <v>0.0</v>
      </c>
      <c r="I1914" s="74">
        <f t="shared" si="1"/>
        <v>620000</v>
      </c>
      <c r="J1914" s="74">
        <f>IF(E1914="SERVICE",I1914-(I1914*50%),Vlookup(E1914,DATABASE!C:Q,10,false)*F1914)</f>
        <v>0</v>
      </c>
      <c r="K1914" s="74">
        <f>VLOOKUP(E1914,DATABASE!C:Q,7,false)</f>
        <v>565760</v>
      </c>
      <c r="L1914" s="74">
        <v>524800.0</v>
      </c>
      <c r="M1914" s="74">
        <f t="shared" si="2"/>
        <v>525000</v>
      </c>
      <c r="N1914" s="74">
        <f t="shared" si="3"/>
        <v>95000</v>
      </c>
      <c r="O1914" s="65" t="str">
        <f>VLOOKUP(E1914,DATABASE!C:Q,8,false)</f>
        <v>BIAN</v>
      </c>
      <c r="P1914" s="65">
        <f>VLOOKUP(E1914,DATABASE!C:Q,9,False)</f>
        <v>1</v>
      </c>
      <c r="Q1914" s="93" t="str">
        <f>VLOOKUP(E1914,DATABASE!C:Q,4,false)</f>
        <v>GT</v>
      </c>
      <c r="R1914" s="93" t="str">
        <f>VLOOKUP(E1914,DATABASE!C:Q,11,false)</f>
        <v>Tire</v>
      </c>
    </row>
    <row r="1915" ht="22.5" customHeight="1">
      <c r="A1915" s="49"/>
      <c r="C1915" s="384">
        <v>45757.0</v>
      </c>
      <c r="D1915" s="65">
        <v>5157.0</v>
      </c>
      <c r="E1915" s="445" t="s">
        <v>268</v>
      </c>
      <c r="F1915" s="386">
        <v>1.0</v>
      </c>
      <c r="G1915" s="74">
        <v>700000.0</v>
      </c>
      <c r="H1915" s="74">
        <v>0.0</v>
      </c>
      <c r="I1915" s="74">
        <f t="shared" si="1"/>
        <v>700000</v>
      </c>
      <c r="J1915" s="74">
        <f>IF(E1915="SERVICE",I1915-(I1915*50%),Vlookup(E1915,DATABASE!C:Q,10,false)*F1915)</f>
        <v>0</v>
      </c>
      <c r="K1915" s="74">
        <v>613000.0</v>
      </c>
      <c r="L1915" s="74">
        <v>613000.0</v>
      </c>
      <c r="M1915" s="74">
        <f t="shared" si="2"/>
        <v>615000</v>
      </c>
      <c r="N1915" s="74">
        <f t="shared" si="3"/>
        <v>85000</v>
      </c>
      <c r="O1915" s="65" t="str">
        <f>VLOOKUP(E1915,DATABASE!C:Q,8,false)</f>
        <v>IBU</v>
      </c>
      <c r="P1915" s="65">
        <f>VLOOKUP(E1915,DATABASE!C:Q,9,False)</f>
        <v>1</v>
      </c>
      <c r="Q1915" s="93" t="str">
        <f>VLOOKUP(E1915,DATABASE!C:Q,4,false)</f>
        <v>Dunlop</v>
      </c>
      <c r="R1915" s="93" t="str">
        <f>VLOOKUP(E1915,DATABASE!C:Q,11,false)</f>
        <v>Tire</v>
      </c>
    </row>
    <row r="1916" ht="22.5" customHeight="1">
      <c r="A1916" s="49"/>
      <c r="C1916" s="384">
        <v>45757.0</v>
      </c>
      <c r="D1916" s="65">
        <v>5157.0</v>
      </c>
      <c r="E1916" s="445" t="s">
        <v>275</v>
      </c>
      <c r="F1916" s="386">
        <v>1.0</v>
      </c>
      <c r="G1916" s="74">
        <v>830000.0</v>
      </c>
      <c r="H1916" s="74">
        <v>0.0</v>
      </c>
      <c r="I1916" s="74">
        <f t="shared" si="1"/>
        <v>830000</v>
      </c>
      <c r="J1916" s="74">
        <f>IF(E1916="SERVICE",I1916-(I1916*50%),Vlookup(E1916,DATABASE!C:Q,10,false)*F1916)</f>
        <v>0</v>
      </c>
      <c r="K1916" s="74">
        <v>735000.0</v>
      </c>
      <c r="L1916" s="74">
        <v>735000.0</v>
      </c>
      <c r="M1916" s="74">
        <f t="shared" si="2"/>
        <v>735000</v>
      </c>
      <c r="N1916" s="74">
        <f t="shared" si="3"/>
        <v>95000</v>
      </c>
      <c r="O1916" s="65" t="str">
        <f>VLOOKUP(E1916,DATABASE!C:Q,8,false)</f>
        <v>IBU</v>
      </c>
      <c r="P1916" s="65">
        <f>VLOOKUP(E1916,DATABASE!C:Q,9,False)</f>
        <v>1</v>
      </c>
      <c r="Q1916" s="93" t="str">
        <f>VLOOKUP(E1916,DATABASE!C:Q,4,false)</f>
        <v>Dunlop</v>
      </c>
      <c r="R1916" s="93" t="str">
        <f>VLOOKUP(E1916,DATABASE!C:Q,11,false)</f>
        <v>Tire</v>
      </c>
    </row>
    <row r="1917" ht="22.5" customHeight="1">
      <c r="A1917" s="49"/>
      <c r="C1917" s="384">
        <v>45757.0</v>
      </c>
      <c r="D1917" s="65">
        <v>5158.0</v>
      </c>
      <c r="E1917" s="445" t="s">
        <v>1617</v>
      </c>
      <c r="F1917" s="386">
        <v>4.0</v>
      </c>
      <c r="G1917" s="74">
        <v>830000.0</v>
      </c>
      <c r="H1917" s="74">
        <v>0.0</v>
      </c>
      <c r="I1917" s="74">
        <f t="shared" si="1"/>
        <v>3320000</v>
      </c>
      <c r="J1917" s="74">
        <f>IF(E1917="SERVICE",I1917-(I1917*50%),Vlookup(E1917,DATABASE!C:Q,10,false)*F1917)</f>
        <v>0</v>
      </c>
      <c r="K1917" s="74">
        <f>VLOOKUP(E1917,DATABASE!C:Q,7,false)</f>
        <v>739000</v>
      </c>
      <c r="L1917" s="74">
        <v>739000.0</v>
      </c>
      <c r="M1917" s="74">
        <f t="shared" si="2"/>
        <v>740000</v>
      </c>
      <c r="N1917" s="74">
        <f t="shared" si="3"/>
        <v>360000</v>
      </c>
      <c r="O1917" s="65" t="str">
        <f>VLOOKUP(E1917,DATABASE!C:Q,8,false)</f>
        <v>BIAN</v>
      </c>
      <c r="P1917" s="65">
        <f>VLOOKUP(E1917,DATABASE!C:Q,9,False)</f>
        <v>1</v>
      </c>
      <c r="Q1917" s="93" t="str">
        <f>VLOOKUP(E1917,DATABASE!C:Q,4,false)</f>
        <v>GT</v>
      </c>
      <c r="R1917" s="93" t="str">
        <f>VLOOKUP(E1917,DATABASE!C:Q,11,false)</f>
        <v>Tire</v>
      </c>
    </row>
    <row r="1918" ht="22.5" customHeight="1">
      <c r="A1918" s="49"/>
      <c r="C1918" s="384">
        <v>45757.0</v>
      </c>
      <c r="D1918" s="65">
        <v>5158.0</v>
      </c>
      <c r="E1918" s="385" t="s">
        <v>299</v>
      </c>
      <c r="F1918" s="386">
        <v>2.0</v>
      </c>
      <c r="G1918" s="74">
        <v>30000.0</v>
      </c>
      <c r="H1918" s="74">
        <v>0.0</v>
      </c>
      <c r="I1918" s="74">
        <f t="shared" si="1"/>
        <v>60000</v>
      </c>
      <c r="J1918" s="74">
        <f>IF(E1918="SERVICE",I1918-(I1918*50%),Vlookup(E1918,DATABASE!C:Q,10,false)*F1918)</f>
        <v>0</v>
      </c>
      <c r="K1918" s="74">
        <v>0.0</v>
      </c>
      <c r="L1918" s="74">
        <v>0.0</v>
      </c>
      <c r="M1918" s="74">
        <f t="shared" si="2"/>
        <v>0</v>
      </c>
      <c r="N1918" s="74">
        <f t="shared" si="3"/>
        <v>60000</v>
      </c>
      <c r="O1918" s="65" t="str">
        <f>VLOOKUP(E1918,DATABASE!C:Q,8,false)</f>
        <v>BIAN</v>
      </c>
      <c r="P1918" s="65">
        <f>VLOOKUP(E1918,DATABASE!C:Q,9,False)</f>
        <v>0</v>
      </c>
      <c r="Q1918" s="93" t="str">
        <f>VLOOKUP(E1918,DATABASE!C:Q,4,false)</f>
        <v>Balancing</v>
      </c>
      <c r="R1918" s="93" t="str">
        <f>VLOOKUP(E1918,DATABASE!C:Q,11,false)</f>
        <v>COMPLEMENTARY</v>
      </c>
    </row>
    <row r="1919" ht="22.5" customHeight="1">
      <c r="A1919" s="49"/>
      <c r="C1919" s="384">
        <v>45757.0</v>
      </c>
      <c r="D1919" s="65">
        <v>5158.0</v>
      </c>
      <c r="E1919" s="445" t="s">
        <v>256</v>
      </c>
      <c r="F1919" s="386">
        <v>1.0</v>
      </c>
      <c r="G1919" s="74">
        <v>120000.0</v>
      </c>
      <c r="H1919" s="74">
        <v>0.0</v>
      </c>
      <c r="I1919" s="74">
        <f t="shared" si="1"/>
        <v>120000</v>
      </c>
      <c r="J1919" s="74">
        <f>IF(E1919="SERVICE",I1919-(I1919*50%),Vlookup(E1919,DATABASE!C:Q,10,false)*F1919)</f>
        <v>10000</v>
      </c>
      <c r="K1919" s="74">
        <f>VLOOKUP(E1919,DATABASE!C:Q,7,false)</f>
        <v>0</v>
      </c>
      <c r="L1919" s="74">
        <v>0.0</v>
      </c>
      <c r="M1919" s="74">
        <f t="shared" si="2"/>
        <v>0</v>
      </c>
      <c r="N1919" s="74">
        <f t="shared" si="3"/>
        <v>110000</v>
      </c>
      <c r="O1919" s="65" t="str">
        <f>VLOOKUP(E1919,DATABASE!C:Q,8,false)</f>
        <v>IBU</v>
      </c>
      <c r="P1919" s="65">
        <f>VLOOKUP(E1919,DATABASE!C:Q,9,False)</f>
        <v>0</v>
      </c>
      <c r="Q1919" s="93" t="str">
        <f>VLOOKUP(E1919,DATABASE!C:Q,4,false)</f>
        <v>SPOORING</v>
      </c>
      <c r="R1919" s="93" t="str">
        <f>VLOOKUP(E1919,DATABASE!C:Q,11,false)</f>
        <v>SERVICE</v>
      </c>
    </row>
    <row r="1920" ht="22.5" customHeight="1">
      <c r="A1920" s="49"/>
      <c r="C1920" s="384">
        <v>45757.0</v>
      </c>
      <c r="D1920" s="65">
        <v>5159.0</v>
      </c>
      <c r="E1920" s="445" t="s">
        <v>1584</v>
      </c>
      <c r="F1920" s="386">
        <v>2.0</v>
      </c>
      <c r="G1920" s="74">
        <v>1450000.0</v>
      </c>
      <c r="H1920" s="74">
        <v>0.0</v>
      </c>
      <c r="I1920" s="74">
        <f t="shared" si="1"/>
        <v>2900000</v>
      </c>
      <c r="J1920" s="74">
        <f>IF(E1920="SERVICE",I1920-(I1920*50%),Vlookup(E1920,DATABASE!C:Q,10,false)*F1920)</f>
        <v>0</v>
      </c>
      <c r="K1920" s="74">
        <f>VLOOKUP(E1920,DATABASE!C:Q,7,false)</f>
        <v>1346000</v>
      </c>
      <c r="L1920" s="74">
        <v>1346000.0</v>
      </c>
      <c r="M1920" s="74">
        <f t="shared" si="2"/>
        <v>1350000</v>
      </c>
      <c r="N1920" s="74">
        <f t="shared" si="3"/>
        <v>200000</v>
      </c>
      <c r="O1920" s="65" t="str">
        <f>VLOOKUP(E1920,DATABASE!C:Q,8,false)</f>
        <v>IBU</v>
      </c>
      <c r="P1920" s="65">
        <f>VLOOKUP(E1920,DATABASE!C:Q,9,False)</f>
        <v>1</v>
      </c>
      <c r="Q1920" s="93" t="str">
        <f>VLOOKUP(E1920,DATABASE!C:Q,4,false)</f>
        <v>DUNLOP</v>
      </c>
      <c r="R1920" s="93" t="str">
        <f>VLOOKUP(E1920,DATABASE!C:Q,11,false)</f>
        <v>Tire</v>
      </c>
    </row>
    <row r="1921" ht="22.5" customHeight="1">
      <c r="A1921" s="49"/>
      <c r="C1921" s="384">
        <v>45757.0</v>
      </c>
      <c r="D1921" s="65">
        <v>5159.0</v>
      </c>
      <c r="E1921" s="385" t="s">
        <v>299</v>
      </c>
      <c r="F1921" s="386">
        <v>2.0</v>
      </c>
      <c r="G1921" s="74">
        <v>30000.0</v>
      </c>
      <c r="H1921" s="74">
        <v>0.0</v>
      </c>
      <c r="I1921" s="74">
        <f t="shared" si="1"/>
        <v>60000</v>
      </c>
      <c r="J1921" s="74">
        <f>IF(E1921="SERVICE",I1921-(I1921*50%),Vlookup(E1921,DATABASE!C:Q,10,false)*F1921)</f>
        <v>0</v>
      </c>
      <c r="K1921" s="74">
        <v>0.0</v>
      </c>
      <c r="L1921" s="74">
        <v>0.0</v>
      </c>
      <c r="M1921" s="74">
        <f t="shared" si="2"/>
        <v>0</v>
      </c>
      <c r="N1921" s="74">
        <f t="shared" si="3"/>
        <v>60000</v>
      </c>
      <c r="O1921" s="65" t="str">
        <f>VLOOKUP(E1921,DATABASE!C:Q,8,false)</f>
        <v>BIAN</v>
      </c>
      <c r="P1921" s="65">
        <f>VLOOKUP(E1921,DATABASE!C:Q,9,False)</f>
        <v>0</v>
      </c>
      <c r="Q1921" s="93" t="str">
        <f>VLOOKUP(E1921,DATABASE!C:Q,4,false)</f>
        <v>Balancing</v>
      </c>
      <c r="R1921" s="93" t="str">
        <f>VLOOKUP(E1921,DATABASE!C:Q,11,false)</f>
        <v>COMPLEMENTARY</v>
      </c>
    </row>
    <row r="1922" ht="22.5" customHeight="1">
      <c r="A1922" s="49"/>
      <c r="C1922" s="384">
        <v>45757.0</v>
      </c>
      <c r="D1922" s="65">
        <v>5159.0</v>
      </c>
      <c r="E1922" s="445" t="s">
        <v>256</v>
      </c>
      <c r="F1922" s="386">
        <v>1.0</v>
      </c>
      <c r="G1922" s="74">
        <v>130000.0</v>
      </c>
      <c r="H1922" s="74">
        <v>0.0</v>
      </c>
      <c r="I1922" s="74">
        <f t="shared" si="1"/>
        <v>130000</v>
      </c>
      <c r="J1922" s="74">
        <f>IF(E1922="SERVICE",I1922-(I1922*50%),Vlookup(E1922,DATABASE!C:Q,10,false)*F1922)</f>
        <v>10000</v>
      </c>
      <c r="K1922" s="74">
        <f>VLOOKUP(E1922,DATABASE!C:Q,7,false)</f>
        <v>0</v>
      </c>
      <c r="L1922" s="74">
        <v>0.0</v>
      </c>
      <c r="M1922" s="74">
        <f t="shared" si="2"/>
        <v>0</v>
      </c>
      <c r="N1922" s="74">
        <f t="shared" si="3"/>
        <v>120000</v>
      </c>
      <c r="O1922" s="65" t="str">
        <f>VLOOKUP(E1922,DATABASE!C:Q,8,false)</f>
        <v>IBU</v>
      </c>
      <c r="P1922" s="65">
        <f>VLOOKUP(E1922,DATABASE!C:Q,9,False)</f>
        <v>0</v>
      </c>
      <c r="Q1922" s="93" t="str">
        <f>VLOOKUP(E1922,DATABASE!C:Q,4,false)</f>
        <v>SPOORING</v>
      </c>
      <c r="R1922" s="93" t="str">
        <f>VLOOKUP(E1922,DATABASE!C:Q,11,false)</f>
        <v>SERVICE</v>
      </c>
    </row>
    <row r="1923" ht="22.5" customHeight="1">
      <c r="A1923" s="49"/>
      <c r="C1923" s="384">
        <v>45758.0</v>
      </c>
      <c r="D1923" s="65">
        <v>5160.0</v>
      </c>
      <c r="E1923" s="445" t="s">
        <v>955</v>
      </c>
      <c r="F1923" s="386">
        <v>2.0</v>
      </c>
      <c r="G1923" s="74">
        <v>770000.0</v>
      </c>
      <c r="H1923" s="74">
        <v>0.0</v>
      </c>
      <c r="I1923" s="74">
        <f t="shared" si="1"/>
        <v>1540000</v>
      </c>
      <c r="J1923" s="74">
        <f>IF(E1923="SERVICE",I1923-(I1923*50%),Vlookup(E1923,DATABASE!C:Q,10,false)*F1923)</f>
        <v>0</v>
      </c>
      <c r="K1923" s="74">
        <f>VLOOKUP(E1923,DATABASE!C:Q,7,false)</f>
        <v>712000</v>
      </c>
      <c r="L1923" s="74">
        <v>674000.0</v>
      </c>
      <c r="M1923" s="74">
        <f t="shared" si="2"/>
        <v>675000</v>
      </c>
      <c r="N1923" s="74">
        <f t="shared" si="3"/>
        <v>190000</v>
      </c>
      <c r="O1923" s="65" t="str">
        <f>VLOOKUP(E1923,DATABASE!C:Q,8,false)</f>
        <v>IBU</v>
      </c>
      <c r="P1923" s="65">
        <f>VLOOKUP(E1923,DATABASE!C:Q,9,False)</f>
        <v>1</v>
      </c>
      <c r="Q1923" s="93" t="str">
        <f>VLOOKUP(E1923,DATABASE!C:Q,4,false)</f>
        <v>Dunlop</v>
      </c>
      <c r="R1923" s="93" t="str">
        <f>VLOOKUP(E1923,DATABASE!C:Q,11,false)</f>
        <v>Tire</v>
      </c>
    </row>
    <row r="1924" ht="22.5" customHeight="1">
      <c r="A1924" s="49"/>
      <c r="C1924" s="384">
        <v>45758.0</v>
      </c>
      <c r="D1924" s="65">
        <v>5160.0</v>
      </c>
      <c r="E1924" s="445" t="s">
        <v>268</v>
      </c>
      <c r="F1924" s="386">
        <v>2.0</v>
      </c>
      <c r="G1924" s="74">
        <v>700000.0</v>
      </c>
      <c r="H1924" s="74">
        <v>0.0</v>
      </c>
      <c r="I1924" s="74">
        <f t="shared" si="1"/>
        <v>1400000</v>
      </c>
      <c r="J1924" s="74">
        <f>IF(E1924="SERVICE",I1924-(I1924*50%),Vlookup(E1924,DATABASE!C:Q,10,false)*F1924)</f>
        <v>0</v>
      </c>
      <c r="K1924" s="74">
        <v>613000.0</v>
      </c>
      <c r="L1924" s="74">
        <v>613000.0</v>
      </c>
      <c r="M1924" s="74">
        <f t="shared" si="2"/>
        <v>615000</v>
      </c>
      <c r="N1924" s="74">
        <f t="shared" si="3"/>
        <v>170000</v>
      </c>
      <c r="O1924" s="65" t="str">
        <f>VLOOKUP(E1924,DATABASE!C:Q,8,false)</f>
        <v>IBU</v>
      </c>
      <c r="P1924" s="65">
        <f>VLOOKUP(E1924,DATABASE!C:Q,9,False)</f>
        <v>1</v>
      </c>
      <c r="Q1924" s="93" t="str">
        <f>VLOOKUP(E1924,DATABASE!C:Q,4,false)</f>
        <v>Dunlop</v>
      </c>
      <c r="R1924" s="93" t="str">
        <f>VLOOKUP(E1924,DATABASE!C:Q,11,false)</f>
        <v>Tire</v>
      </c>
    </row>
    <row r="1925" ht="22.5" customHeight="1">
      <c r="A1925" s="49"/>
      <c r="C1925" s="384">
        <v>45758.0</v>
      </c>
      <c r="D1925" s="65">
        <v>5161.0</v>
      </c>
      <c r="E1925" s="445" t="s">
        <v>301</v>
      </c>
      <c r="F1925" s="386">
        <v>1.0</v>
      </c>
      <c r="G1925" s="74">
        <v>250000.0</v>
      </c>
      <c r="H1925" s="74">
        <v>0.0</v>
      </c>
      <c r="I1925" s="74">
        <f t="shared" si="1"/>
        <v>250000</v>
      </c>
      <c r="J1925" s="74">
        <f>IF(E1925="SERVICE",I1925-(I1925*50%),Vlookup(E1925,DATABASE!C:Q,10,false)*F1925)</f>
        <v>75000</v>
      </c>
      <c r="K1925" s="74">
        <f>VLOOKUP(E1925,DATABASE!C:Q,7,false)</f>
        <v>75000</v>
      </c>
      <c r="L1925" s="74">
        <v>75000.0</v>
      </c>
      <c r="M1925" s="74">
        <f t="shared" si="2"/>
        <v>75000</v>
      </c>
      <c r="N1925" s="74">
        <f t="shared" si="3"/>
        <v>100000</v>
      </c>
      <c r="O1925" s="65" t="str">
        <f>VLOOKUP(E1925,DATABASE!C:Q,8,false)</f>
        <v>BIAN</v>
      </c>
      <c r="P1925" s="65">
        <f>VLOOKUP(E1925,DATABASE!C:Q,9,False)</f>
        <v>0</v>
      </c>
      <c r="Q1925" s="93" t="str">
        <f>VLOOKUP(E1925,DATABASE!C:Q,4,false)</f>
        <v>Baut Camber</v>
      </c>
      <c r="R1925" s="93" t="str">
        <f>VLOOKUP(E1925,DATABASE!C:Q,11,false)</f>
        <v>COMPLEMENTARY</v>
      </c>
    </row>
    <row r="1926" ht="22.5" customHeight="1">
      <c r="A1926" s="49"/>
      <c r="C1926" s="384">
        <v>45758.0</v>
      </c>
      <c r="D1926" s="65">
        <v>5163.0</v>
      </c>
      <c r="E1926" s="445" t="s">
        <v>1424</v>
      </c>
      <c r="F1926" s="386">
        <v>2.0</v>
      </c>
      <c r="G1926" s="74">
        <v>780000.0</v>
      </c>
      <c r="H1926" s="74">
        <v>0.0</v>
      </c>
      <c r="I1926" s="74">
        <f t="shared" si="1"/>
        <v>1560000</v>
      </c>
      <c r="J1926" s="74">
        <f>IF(E1926="SERVICE",I1926-(I1926*50%),Vlookup(E1926,DATABASE!C:Q,10,false)*F1926)</f>
        <v>0</v>
      </c>
      <c r="K1926" s="74">
        <f>VLOOKUP(E1926,DATABASE!C:Q,7,false)</f>
        <v>671600</v>
      </c>
      <c r="L1926" s="74">
        <v>671600.0</v>
      </c>
      <c r="M1926" s="74">
        <f t="shared" si="2"/>
        <v>675000</v>
      </c>
      <c r="N1926" s="74">
        <f t="shared" si="3"/>
        <v>210000</v>
      </c>
      <c r="O1926" s="65" t="str">
        <f>VLOOKUP(E1926,DATABASE!C:Q,8,false)</f>
        <v>BIAN</v>
      </c>
      <c r="P1926" s="65">
        <f>VLOOKUP(E1926,DATABASE!C:Q,9,False)</f>
        <v>1</v>
      </c>
      <c r="Q1926" s="93" t="str">
        <f>VLOOKUP(E1926,DATABASE!C:Q,4,false)</f>
        <v>GT</v>
      </c>
      <c r="R1926" s="93" t="str">
        <f>VLOOKUP(E1926,DATABASE!C:Q,11,false)</f>
        <v>Tire</v>
      </c>
    </row>
    <row r="1927" ht="22.5" customHeight="1">
      <c r="A1927" s="49"/>
      <c r="C1927" s="384">
        <v>45758.0</v>
      </c>
      <c r="D1927" s="65">
        <v>5163.0</v>
      </c>
      <c r="E1927" s="385" t="s">
        <v>299</v>
      </c>
      <c r="F1927" s="386">
        <v>2.0</v>
      </c>
      <c r="G1927" s="74">
        <v>30000.0</v>
      </c>
      <c r="H1927" s="74">
        <v>0.0</v>
      </c>
      <c r="I1927" s="74">
        <f t="shared" si="1"/>
        <v>60000</v>
      </c>
      <c r="J1927" s="74">
        <f>IF(E1927="SERVICE",I1927-(I1927*50%),Vlookup(E1927,DATABASE!C:Q,10,false)*F1927)</f>
        <v>0</v>
      </c>
      <c r="K1927" s="74">
        <v>0.0</v>
      </c>
      <c r="L1927" s="74">
        <v>0.0</v>
      </c>
      <c r="M1927" s="74">
        <f t="shared" si="2"/>
        <v>0</v>
      </c>
      <c r="N1927" s="74">
        <f t="shared" si="3"/>
        <v>60000</v>
      </c>
      <c r="O1927" s="65" t="str">
        <f>VLOOKUP(E1927,DATABASE!C:Q,8,false)</f>
        <v>BIAN</v>
      </c>
      <c r="P1927" s="65">
        <f>VLOOKUP(E1927,DATABASE!C:Q,9,False)</f>
        <v>0</v>
      </c>
      <c r="Q1927" s="93" t="str">
        <f>VLOOKUP(E1927,DATABASE!C:Q,4,false)</f>
        <v>Balancing</v>
      </c>
      <c r="R1927" s="93" t="str">
        <f>VLOOKUP(E1927,DATABASE!C:Q,11,false)</f>
        <v>COMPLEMENTARY</v>
      </c>
    </row>
    <row r="1928" ht="22.5" customHeight="1">
      <c r="A1928" s="49"/>
      <c r="C1928" s="384">
        <v>45758.0</v>
      </c>
      <c r="D1928" s="65">
        <v>5165.0</v>
      </c>
      <c r="E1928" s="445" t="s">
        <v>275</v>
      </c>
      <c r="F1928" s="386">
        <v>1.0</v>
      </c>
      <c r="G1928" s="74">
        <v>830000.0</v>
      </c>
      <c r="H1928" s="74">
        <v>0.0</v>
      </c>
      <c r="I1928" s="74">
        <f t="shared" si="1"/>
        <v>830000</v>
      </c>
      <c r="J1928" s="74">
        <f>IF(E1928="SERVICE",I1928-(I1928*50%),Vlookup(E1928,DATABASE!C:Q,10,false)*F1928)</f>
        <v>0</v>
      </c>
      <c r="K1928" s="74">
        <v>735000.0</v>
      </c>
      <c r="L1928" s="74">
        <v>735000.0</v>
      </c>
      <c r="M1928" s="74">
        <f t="shared" si="2"/>
        <v>735000</v>
      </c>
      <c r="N1928" s="74">
        <f t="shared" si="3"/>
        <v>95000</v>
      </c>
      <c r="O1928" s="65" t="str">
        <f>VLOOKUP(E1928,DATABASE!C:Q,8,false)</f>
        <v>IBU</v>
      </c>
      <c r="P1928" s="65">
        <f>VLOOKUP(E1928,DATABASE!C:Q,9,False)</f>
        <v>1</v>
      </c>
      <c r="Q1928" s="93" t="str">
        <f>VLOOKUP(E1928,DATABASE!C:Q,4,false)</f>
        <v>Dunlop</v>
      </c>
      <c r="R1928" s="93" t="str">
        <f>VLOOKUP(E1928,DATABASE!C:Q,11,false)</f>
        <v>Tire</v>
      </c>
    </row>
    <row r="1929" ht="22.5" customHeight="1">
      <c r="A1929" s="49"/>
      <c r="C1929" s="384">
        <v>45758.0</v>
      </c>
      <c r="D1929" s="65">
        <v>5166.0</v>
      </c>
      <c r="E1929" s="445" t="s">
        <v>288</v>
      </c>
      <c r="F1929" s="386">
        <v>4.0</v>
      </c>
      <c r="G1929" s="74">
        <v>620000.0</v>
      </c>
      <c r="H1929" s="74">
        <v>0.0</v>
      </c>
      <c r="I1929" s="74">
        <f t="shared" si="1"/>
        <v>2480000</v>
      </c>
      <c r="J1929" s="74">
        <f>IF(E1929="SERVICE",I1929-(I1929*50%),Vlookup(E1929,DATABASE!C:Q,10,false)*F1929)</f>
        <v>0</v>
      </c>
      <c r="K1929" s="74">
        <f>VLOOKUP(E1929,DATABASE!C:Q,7,false)</f>
        <v>565760</v>
      </c>
      <c r="L1929" s="74">
        <v>524800.0</v>
      </c>
      <c r="M1929" s="74">
        <f t="shared" si="2"/>
        <v>525000</v>
      </c>
      <c r="N1929" s="74">
        <f t="shared" si="3"/>
        <v>380000</v>
      </c>
      <c r="O1929" s="65" t="str">
        <f>VLOOKUP(E1929,DATABASE!C:Q,8,false)</f>
        <v>BIAN</v>
      </c>
      <c r="P1929" s="65">
        <f>VLOOKUP(E1929,DATABASE!C:Q,9,False)</f>
        <v>1</v>
      </c>
      <c r="Q1929" s="93" t="str">
        <f>VLOOKUP(E1929,DATABASE!C:Q,4,false)</f>
        <v>GT</v>
      </c>
      <c r="R1929" s="93" t="str">
        <f>VLOOKUP(E1929,DATABASE!C:Q,11,false)</f>
        <v>Tire</v>
      </c>
    </row>
    <row r="1930" ht="22.5" customHeight="1">
      <c r="A1930" s="49"/>
      <c r="C1930" s="384">
        <v>45758.0</v>
      </c>
      <c r="D1930" s="65">
        <v>5166.0</v>
      </c>
      <c r="E1930" s="385" t="s">
        <v>299</v>
      </c>
      <c r="F1930" s="386">
        <v>2.0</v>
      </c>
      <c r="G1930" s="74">
        <v>30000.0</v>
      </c>
      <c r="H1930" s="74">
        <v>0.0</v>
      </c>
      <c r="I1930" s="74">
        <f t="shared" si="1"/>
        <v>60000</v>
      </c>
      <c r="J1930" s="74">
        <f>IF(E1930="SERVICE",I1930-(I1930*50%),Vlookup(E1930,DATABASE!C:Q,10,false)*F1930)</f>
        <v>0</v>
      </c>
      <c r="K1930" s="74">
        <v>0.0</v>
      </c>
      <c r="L1930" s="74">
        <v>0.0</v>
      </c>
      <c r="M1930" s="74">
        <f t="shared" si="2"/>
        <v>0</v>
      </c>
      <c r="N1930" s="74">
        <f t="shared" si="3"/>
        <v>60000</v>
      </c>
      <c r="O1930" s="65" t="str">
        <f>VLOOKUP(E1930,DATABASE!C:Q,8,false)</f>
        <v>BIAN</v>
      </c>
      <c r="P1930" s="65">
        <f>VLOOKUP(E1930,DATABASE!C:Q,9,False)</f>
        <v>0</v>
      </c>
      <c r="Q1930" s="93" t="str">
        <f>VLOOKUP(E1930,DATABASE!C:Q,4,false)</f>
        <v>Balancing</v>
      </c>
      <c r="R1930" s="93" t="str">
        <f>VLOOKUP(E1930,DATABASE!C:Q,11,false)</f>
        <v>COMPLEMENTARY</v>
      </c>
    </row>
    <row r="1931" ht="22.5" customHeight="1">
      <c r="A1931" s="49"/>
      <c r="C1931" s="384">
        <v>45758.0</v>
      </c>
      <c r="D1931" s="65">
        <v>5166.0</v>
      </c>
      <c r="E1931" s="445" t="s">
        <v>256</v>
      </c>
      <c r="F1931" s="386">
        <v>1.0</v>
      </c>
      <c r="G1931" s="74">
        <v>130000.0</v>
      </c>
      <c r="H1931" s="74">
        <v>0.0</v>
      </c>
      <c r="I1931" s="74">
        <f t="shared" si="1"/>
        <v>130000</v>
      </c>
      <c r="J1931" s="74">
        <f>IF(E1931="SERVICE",I1931-(I1931*50%),Vlookup(E1931,DATABASE!C:Q,10,false)*F1931)</f>
        <v>10000</v>
      </c>
      <c r="K1931" s="74">
        <f>VLOOKUP(E1931,DATABASE!C:Q,7,false)</f>
        <v>0</v>
      </c>
      <c r="L1931" s="74">
        <v>0.0</v>
      </c>
      <c r="M1931" s="74">
        <f t="shared" si="2"/>
        <v>0</v>
      </c>
      <c r="N1931" s="74">
        <f t="shared" si="3"/>
        <v>120000</v>
      </c>
      <c r="O1931" s="65" t="str">
        <f>VLOOKUP(E1931,DATABASE!C:Q,8,false)</f>
        <v>IBU</v>
      </c>
      <c r="P1931" s="65">
        <f>VLOOKUP(E1931,DATABASE!C:Q,9,False)</f>
        <v>0</v>
      </c>
      <c r="Q1931" s="93" t="str">
        <f>VLOOKUP(E1931,DATABASE!C:Q,4,false)</f>
        <v>SPOORING</v>
      </c>
      <c r="R1931" s="93" t="str">
        <f>VLOOKUP(E1931,DATABASE!C:Q,11,false)</f>
        <v>SERVICE</v>
      </c>
    </row>
    <row r="1932" ht="22.5" customHeight="1">
      <c r="A1932" s="49"/>
      <c r="C1932" s="384">
        <v>45758.0</v>
      </c>
      <c r="D1932" s="65">
        <v>5166.0</v>
      </c>
      <c r="E1932" s="445" t="s">
        <v>301</v>
      </c>
      <c r="F1932" s="386">
        <v>1.0</v>
      </c>
      <c r="G1932" s="74">
        <v>250000.0</v>
      </c>
      <c r="H1932" s="74">
        <v>0.0</v>
      </c>
      <c r="I1932" s="74">
        <f t="shared" si="1"/>
        <v>250000</v>
      </c>
      <c r="J1932" s="74">
        <f>IF(E1932="SERVICE",I1932-(I1932*50%),Vlookup(E1932,DATABASE!C:Q,10,false)*F1932)</f>
        <v>75000</v>
      </c>
      <c r="K1932" s="74">
        <f>VLOOKUP(E1932,DATABASE!C:Q,7,false)</f>
        <v>75000</v>
      </c>
      <c r="L1932" s="74">
        <v>75000.0</v>
      </c>
      <c r="M1932" s="74">
        <f t="shared" si="2"/>
        <v>75000</v>
      </c>
      <c r="N1932" s="74">
        <f t="shared" si="3"/>
        <v>100000</v>
      </c>
      <c r="O1932" s="65" t="str">
        <f>VLOOKUP(E1932,DATABASE!C:Q,8,false)</f>
        <v>BIAN</v>
      </c>
      <c r="P1932" s="65">
        <f>VLOOKUP(E1932,DATABASE!C:Q,9,False)</f>
        <v>0</v>
      </c>
      <c r="Q1932" s="93" t="str">
        <f>VLOOKUP(E1932,DATABASE!C:Q,4,false)</f>
        <v>Baut Camber</v>
      </c>
      <c r="R1932" s="93" t="str">
        <f>VLOOKUP(E1932,DATABASE!C:Q,11,false)</f>
        <v>COMPLEMENTARY</v>
      </c>
    </row>
    <row r="1933" ht="22.5" customHeight="1">
      <c r="A1933" s="49"/>
      <c r="C1933" s="384">
        <v>45758.0</v>
      </c>
      <c r="D1933" s="65">
        <v>5167.0</v>
      </c>
      <c r="E1933" s="445" t="s">
        <v>268</v>
      </c>
      <c r="F1933" s="386">
        <v>2.0</v>
      </c>
      <c r="G1933" s="74">
        <v>700000.0</v>
      </c>
      <c r="H1933" s="74">
        <v>0.0</v>
      </c>
      <c r="I1933" s="74">
        <f t="shared" si="1"/>
        <v>1400000</v>
      </c>
      <c r="J1933" s="74">
        <f>IF(E1933="SERVICE",I1933-(I1933*50%),Vlookup(E1933,DATABASE!C:Q,10,false)*F1933)</f>
        <v>0</v>
      </c>
      <c r="K1933" s="74">
        <v>613000.0</v>
      </c>
      <c r="L1933" s="74">
        <v>613000.0</v>
      </c>
      <c r="M1933" s="74">
        <f t="shared" si="2"/>
        <v>615000</v>
      </c>
      <c r="N1933" s="74">
        <f t="shared" si="3"/>
        <v>170000</v>
      </c>
      <c r="O1933" s="65" t="str">
        <f>VLOOKUP(E1933,DATABASE!C:Q,8,false)</f>
        <v>IBU</v>
      </c>
      <c r="P1933" s="65">
        <f>VLOOKUP(E1933,DATABASE!C:Q,9,False)</f>
        <v>1</v>
      </c>
      <c r="Q1933" s="93" t="str">
        <f>VLOOKUP(E1933,DATABASE!C:Q,4,false)</f>
        <v>Dunlop</v>
      </c>
      <c r="R1933" s="93" t="str">
        <f>VLOOKUP(E1933,DATABASE!C:Q,11,false)</f>
        <v>Tire</v>
      </c>
    </row>
    <row r="1934" ht="22.5" customHeight="1">
      <c r="A1934" s="49"/>
      <c r="C1934" s="384">
        <v>45758.0</v>
      </c>
      <c r="D1934" s="65">
        <v>5167.0</v>
      </c>
      <c r="E1934" s="445" t="s">
        <v>256</v>
      </c>
      <c r="F1934" s="386">
        <v>1.0</v>
      </c>
      <c r="G1934" s="74">
        <v>130000.0</v>
      </c>
      <c r="H1934" s="74">
        <v>0.0</v>
      </c>
      <c r="I1934" s="74">
        <f t="shared" si="1"/>
        <v>130000</v>
      </c>
      <c r="J1934" s="74">
        <f>IF(E1934="SERVICE",I1934-(I1934*50%),Vlookup(E1934,DATABASE!C:Q,10,false)*F1934)</f>
        <v>10000</v>
      </c>
      <c r="K1934" s="74">
        <f>VLOOKUP(E1934,DATABASE!C:Q,7,false)</f>
        <v>0</v>
      </c>
      <c r="L1934" s="74">
        <v>0.0</v>
      </c>
      <c r="M1934" s="74">
        <f t="shared" si="2"/>
        <v>0</v>
      </c>
      <c r="N1934" s="74">
        <f t="shared" si="3"/>
        <v>120000</v>
      </c>
      <c r="O1934" s="65" t="str">
        <f>VLOOKUP(E1934,DATABASE!C:Q,8,false)</f>
        <v>IBU</v>
      </c>
      <c r="P1934" s="65">
        <f>VLOOKUP(E1934,DATABASE!C:Q,9,False)</f>
        <v>0</v>
      </c>
      <c r="Q1934" s="93" t="str">
        <f>VLOOKUP(E1934,DATABASE!C:Q,4,false)</f>
        <v>SPOORING</v>
      </c>
      <c r="R1934" s="93" t="str">
        <f>VLOOKUP(E1934,DATABASE!C:Q,11,false)</f>
        <v>SERVICE</v>
      </c>
    </row>
    <row r="1935" ht="22.5" customHeight="1">
      <c r="A1935" s="49"/>
      <c r="C1935" s="384">
        <v>45758.0</v>
      </c>
      <c r="D1935" s="65">
        <v>5167.0</v>
      </c>
      <c r="E1935" s="445" t="s">
        <v>251</v>
      </c>
      <c r="F1935" s="386">
        <v>1.0</v>
      </c>
      <c r="G1935" s="74">
        <v>150000.0</v>
      </c>
      <c r="H1935" s="74">
        <v>0.0</v>
      </c>
      <c r="I1935" s="74">
        <f t="shared" si="1"/>
        <v>150000</v>
      </c>
      <c r="J1935" s="74">
        <f>IF(E1935="SERVICE",I1935-(I1935*50%),Vlookup(E1935,DATABASE!C:Q,10,false)*F1935)</f>
        <v>75000</v>
      </c>
      <c r="K1935" s="74">
        <f>VLOOKUP(E1935,DATABASE!C:Q,7,false)</f>
        <v>0</v>
      </c>
      <c r="L1935" s="74">
        <v>0.0</v>
      </c>
      <c r="M1935" s="74">
        <f t="shared" si="2"/>
        <v>0</v>
      </c>
      <c r="N1935" s="74">
        <f t="shared" si="3"/>
        <v>75000</v>
      </c>
      <c r="O1935" s="65" t="str">
        <f>VLOOKUP(E1935,DATABASE!C:Q,8,false)</f>
        <v>IBU</v>
      </c>
      <c r="P1935" s="65">
        <f>VLOOKUP(E1935,DATABASE!C:Q,9,False)</f>
        <v>0</v>
      </c>
      <c r="Q1935" s="93" t="str">
        <f>VLOOKUP(E1935,DATABASE!C:Q,4,false)</f>
        <v>SERVICE</v>
      </c>
      <c r="R1935" s="93" t="str">
        <f>VLOOKUP(E1935,DATABASE!C:Q,11,false)</f>
        <v>SERVICE</v>
      </c>
    </row>
    <row r="1936" ht="22.5" customHeight="1">
      <c r="A1936" s="49"/>
      <c r="C1936" s="384">
        <v>45758.0</v>
      </c>
      <c r="D1936" s="65">
        <v>5168.0</v>
      </c>
      <c r="E1936" s="445" t="s">
        <v>275</v>
      </c>
      <c r="F1936" s="386">
        <v>2.0</v>
      </c>
      <c r="G1936" s="74">
        <v>830000.0</v>
      </c>
      <c r="H1936" s="74">
        <v>0.0</v>
      </c>
      <c r="I1936" s="74">
        <f t="shared" si="1"/>
        <v>1660000</v>
      </c>
      <c r="J1936" s="74">
        <f>IF(E1936="SERVICE",I1936-(I1936*50%),Vlookup(E1936,DATABASE!C:Q,10,false)*F1936)</f>
        <v>0</v>
      </c>
      <c r="K1936" s="74">
        <v>735000.0</v>
      </c>
      <c r="L1936" s="74">
        <v>735000.0</v>
      </c>
      <c r="M1936" s="74">
        <f t="shared" si="2"/>
        <v>735000</v>
      </c>
      <c r="N1936" s="74">
        <f t="shared" si="3"/>
        <v>190000</v>
      </c>
      <c r="O1936" s="65" t="str">
        <f>VLOOKUP(E1936,DATABASE!C:Q,8,false)</f>
        <v>IBU</v>
      </c>
      <c r="P1936" s="65">
        <f>VLOOKUP(E1936,DATABASE!C:Q,9,False)</f>
        <v>1</v>
      </c>
      <c r="Q1936" s="93" t="str">
        <f>VLOOKUP(E1936,DATABASE!C:Q,4,false)</f>
        <v>Dunlop</v>
      </c>
      <c r="R1936" s="93" t="str">
        <f>VLOOKUP(E1936,DATABASE!C:Q,11,false)</f>
        <v>Tire</v>
      </c>
    </row>
    <row r="1937" ht="22.5" customHeight="1">
      <c r="A1937" s="49"/>
      <c r="C1937" s="384">
        <v>45758.0</v>
      </c>
      <c r="D1937" s="65">
        <v>5169.0</v>
      </c>
      <c r="E1937" s="445" t="s">
        <v>268</v>
      </c>
      <c r="F1937" s="386">
        <v>2.0</v>
      </c>
      <c r="G1937" s="74">
        <v>700000.0</v>
      </c>
      <c r="H1937" s="74">
        <v>0.0</v>
      </c>
      <c r="I1937" s="74">
        <f t="shared" si="1"/>
        <v>1400000</v>
      </c>
      <c r="J1937" s="74">
        <f>IF(E1937="SERVICE",I1937-(I1937*50%),Vlookup(E1937,DATABASE!C:Q,10,false)*F1937)</f>
        <v>0</v>
      </c>
      <c r="K1937" s="74">
        <v>613000.0</v>
      </c>
      <c r="L1937" s="74">
        <v>613000.0</v>
      </c>
      <c r="M1937" s="74">
        <f t="shared" si="2"/>
        <v>615000</v>
      </c>
      <c r="N1937" s="74">
        <f t="shared" si="3"/>
        <v>170000</v>
      </c>
      <c r="O1937" s="65" t="str">
        <f>VLOOKUP(E1937,DATABASE!C:Q,8,false)</f>
        <v>IBU</v>
      </c>
      <c r="P1937" s="65">
        <f>VLOOKUP(E1937,DATABASE!C:Q,9,False)</f>
        <v>1</v>
      </c>
      <c r="Q1937" s="93" t="str">
        <f>VLOOKUP(E1937,DATABASE!C:Q,4,false)</f>
        <v>Dunlop</v>
      </c>
      <c r="R1937" s="93" t="str">
        <f>VLOOKUP(E1937,DATABASE!C:Q,11,false)</f>
        <v>Tire</v>
      </c>
    </row>
    <row r="1938" ht="22.5" customHeight="1">
      <c r="A1938" s="49"/>
      <c r="C1938" s="384">
        <v>45758.0</v>
      </c>
      <c r="D1938" s="65">
        <v>5170.0</v>
      </c>
      <c r="E1938" s="445" t="s">
        <v>250</v>
      </c>
      <c r="F1938" s="386">
        <v>1.0</v>
      </c>
      <c r="G1938" s="74">
        <v>130000.0</v>
      </c>
      <c r="H1938" s="74">
        <v>0.0</v>
      </c>
      <c r="I1938" s="74">
        <f t="shared" si="1"/>
        <v>130000</v>
      </c>
      <c r="J1938" s="74">
        <f>IF(E1938="SERVICE",I1938-(I1938*50%),Vlookup(E1938,DATABASE!C:Q,10,false)*F1938)</f>
        <v>0</v>
      </c>
      <c r="K1938" s="74">
        <f>VLOOKUP(E1938,DATABASE!C:Q,7,false)</f>
        <v>102000</v>
      </c>
      <c r="L1938" s="74">
        <v>102000.0</v>
      </c>
      <c r="M1938" s="74">
        <f t="shared" si="2"/>
        <v>105000</v>
      </c>
      <c r="N1938" s="74">
        <f t="shared" si="3"/>
        <v>25000</v>
      </c>
      <c r="O1938" s="65" t="str">
        <f>VLOOKUP(E1938,DATABASE!C:Q,8,false)</f>
        <v>BIAN</v>
      </c>
      <c r="P1938" s="65">
        <f>VLOOKUP(E1938,DATABASE!C:Q,9,False)</f>
        <v>1</v>
      </c>
      <c r="Q1938" s="93" t="str">
        <f>VLOOKUP(E1938,DATABASE!C:Q,4,false)</f>
        <v>BD</v>
      </c>
      <c r="R1938" s="93" t="str">
        <f>VLOOKUP(E1938,DATABASE!C:Q,11,false)</f>
        <v>Tire</v>
      </c>
    </row>
    <row r="1939" ht="22.5" customHeight="1">
      <c r="A1939" s="49"/>
      <c r="C1939" s="384">
        <v>45758.0</v>
      </c>
      <c r="D1939" s="65">
        <v>5171.0</v>
      </c>
      <c r="E1939" s="445" t="s">
        <v>275</v>
      </c>
      <c r="F1939" s="386">
        <v>2.0</v>
      </c>
      <c r="G1939" s="74">
        <v>830000.0</v>
      </c>
      <c r="H1939" s="74">
        <v>0.0</v>
      </c>
      <c r="I1939" s="74">
        <f t="shared" si="1"/>
        <v>1660000</v>
      </c>
      <c r="J1939" s="74">
        <f>IF(E1939="SERVICE",I1939-(I1939*50%),Vlookup(E1939,DATABASE!C:Q,10,false)*F1939)</f>
        <v>0</v>
      </c>
      <c r="K1939" s="74">
        <v>735000.0</v>
      </c>
      <c r="L1939" s="74">
        <v>735000.0</v>
      </c>
      <c r="M1939" s="74">
        <f t="shared" si="2"/>
        <v>735000</v>
      </c>
      <c r="N1939" s="74">
        <f t="shared" si="3"/>
        <v>190000</v>
      </c>
      <c r="O1939" s="65" t="str">
        <f>VLOOKUP(E1939,DATABASE!C:Q,8,false)</f>
        <v>IBU</v>
      </c>
      <c r="P1939" s="65">
        <f>VLOOKUP(E1939,DATABASE!C:Q,9,False)</f>
        <v>1</v>
      </c>
      <c r="Q1939" s="93" t="str">
        <f>VLOOKUP(E1939,DATABASE!C:Q,4,false)</f>
        <v>Dunlop</v>
      </c>
      <c r="R1939" s="93" t="str">
        <f>VLOOKUP(E1939,DATABASE!C:Q,11,false)</f>
        <v>Tire</v>
      </c>
    </row>
    <row r="1940" ht="22.5" customHeight="1">
      <c r="A1940" s="49"/>
      <c r="C1940" s="384">
        <v>45758.0</v>
      </c>
      <c r="D1940" s="65">
        <v>5171.0</v>
      </c>
      <c r="E1940" s="445" t="s">
        <v>2139</v>
      </c>
      <c r="F1940" s="386">
        <v>1.0</v>
      </c>
      <c r="G1940" s="74">
        <v>10000.0</v>
      </c>
      <c r="H1940" s="74">
        <v>0.0</v>
      </c>
      <c r="I1940" s="74">
        <f t="shared" si="1"/>
        <v>10000</v>
      </c>
      <c r="J1940" s="74">
        <f>IF(E1940="SERVICE",I1940-(I1940*50%),Vlookup(E1940,DATABASE!C:Q,10,false)*F1940)</f>
        <v>0</v>
      </c>
      <c r="K1940" s="74">
        <f>VLOOKUP(E1940,DATABASE!C:Q,7,false)</f>
        <v>0</v>
      </c>
      <c r="L1940" s="74">
        <v>0.0</v>
      </c>
      <c r="M1940" s="74">
        <f t="shared" si="2"/>
        <v>0</v>
      </c>
      <c r="N1940" s="74">
        <f t="shared" si="3"/>
        <v>10000</v>
      </c>
      <c r="O1940" s="65" t="str">
        <f>VLOOKUP(E1940,DATABASE!C:Q,8,false)</f>
        <v>IBU</v>
      </c>
      <c r="P1940" s="65">
        <f>VLOOKUP(E1940,DATABASE!C:Q,9,False)</f>
        <v>0</v>
      </c>
      <c r="Q1940" s="93" t="str">
        <f>VLOOKUP(E1940,DATABASE!C:Q,4,false)</f>
        <v>PENTIL</v>
      </c>
      <c r="R1940" s="93" t="str">
        <f>VLOOKUP(E1940,DATABASE!C:Q,11,false)</f>
        <v>COMPLEMENTARY</v>
      </c>
    </row>
    <row r="1941" ht="22.5" customHeight="1">
      <c r="A1941" s="49"/>
      <c r="C1941" s="384">
        <v>45758.0</v>
      </c>
      <c r="D1941" s="65">
        <v>5172.0</v>
      </c>
      <c r="E1941" s="445" t="s">
        <v>566</v>
      </c>
      <c r="F1941" s="386">
        <v>2.0</v>
      </c>
      <c r="G1941" s="74">
        <v>1670000.0</v>
      </c>
      <c r="H1941" s="74">
        <v>0.0</v>
      </c>
      <c r="I1941" s="74">
        <f t="shared" si="1"/>
        <v>3340000</v>
      </c>
      <c r="J1941" s="74">
        <f>IF(E1941="SERVICE",I1941-(I1941*50%),Vlookup(E1941,DATABASE!C:Q,10,false)*F1941)</f>
        <v>0</v>
      </c>
      <c r="K1941" s="140">
        <v>1570000.0</v>
      </c>
      <c r="L1941" s="140">
        <v>1570000.0</v>
      </c>
      <c r="M1941" s="74">
        <f t="shared" si="2"/>
        <v>1570000</v>
      </c>
      <c r="N1941" s="74">
        <f t="shared" si="3"/>
        <v>200000</v>
      </c>
      <c r="O1941" s="65" t="str">
        <f>VLOOKUP(E1941,DATABASE!C:Q,8,false)</f>
        <v>IBU</v>
      </c>
      <c r="P1941" s="65">
        <f>VLOOKUP(E1941,DATABASE!C:Q,9,False)</f>
        <v>1</v>
      </c>
      <c r="Q1941" s="93" t="str">
        <f>VLOOKUP(E1941,DATABASE!C:Q,4,false)</f>
        <v>Bridgestone</v>
      </c>
      <c r="R1941" s="93" t="str">
        <f>VLOOKUP(E1941,DATABASE!C:Q,11,false)</f>
        <v>Tire</v>
      </c>
    </row>
    <row r="1942" ht="22.5" customHeight="1">
      <c r="A1942" s="49"/>
      <c r="C1942" s="384">
        <v>45758.0</v>
      </c>
      <c r="D1942" s="65">
        <v>5172.0</v>
      </c>
      <c r="E1942" s="445" t="s">
        <v>744</v>
      </c>
      <c r="F1942" s="386">
        <v>2.0</v>
      </c>
      <c r="G1942" s="74">
        <v>220000.0</v>
      </c>
      <c r="H1942" s="74">
        <v>0.0</v>
      </c>
      <c r="I1942" s="74">
        <f t="shared" si="1"/>
        <v>440000</v>
      </c>
      <c r="J1942" s="74">
        <f>IF(E1942="SERVICE",I1942-(I1942*50%),Vlookup(E1942,DATABASE!C:Q,10,false)*F1942)</f>
        <v>0</v>
      </c>
      <c r="K1942" s="74">
        <f>VLOOKUP(E1942,DATABASE!C:Q,7,false)</f>
        <v>182200</v>
      </c>
      <c r="L1942" s="74">
        <v>199920.0</v>
      </c>
      <c r="M1942" s="74">
        <f t="shared" si="2"/>
        <v>200000</v>
      </c>
      <c r="N1942" s="74">
        <f t="shared" si="3"/>
        <v>40000</v>
      </c>
      <c r="O1942" s="65" t="str">
        <f>VLOOKUP(E1942,DATABASE!C:Q,8,false)</f>
        <v>BIAN</v>
      </c>
      <c r="P1942" s="65">
        <f>VLOOKUP(E1942,DATABASE!C:Q,9,False)</f>
        <v>1</v>
      </c>
      <c r="Q1942" s="93" t="str">
        <f>VLOOKUP(E1942,DATABASE!C:Q,4,false)</f>
        <v>BD</v>
      </c>
      <c r="R1942" s="93" t="str">
        <f>VLOOKUP(E1942,DATABASE!C:Q,11,false)</f>
        <v>Tire</v>
      </c>
    </row>
    <row r="1943" ht="22.5" customHeight="1">
      <c r="A1943" s="49"/>
      <c r="C1943" s="384">
        <v>45758.0</v>
      </c>
      <c r="D1943" s="65">
        <v>5172.0</v>
      </c>
      <c r="E1943" s="445" t="s">
        <v>821</v>
      </c>
      <c r="F1943" s="386">
        <v>2.0</v>
      </c>
      <c r="G1943" s="74">
        <v>80000.0</v>
      </c>
      <c r="H1943" s="74">
        <v>0.0</v>
      </c>
      <c r="I1943" s="74">
        <f t="shared" si="1"/>
        <v>160000</v>
      </c>
      <c r="J1943" s="74">
        <f>IF(E1943="SERVICE",I1943-(I1943*50%),Vlookup(E1943,DATABASE!C:Q,10,false)*F1943)</f>
        <v>0</v>
      </c>
      <c r="K1943" s="74">
        <f>VLOOKUP(E1943,DATABASE!C:Q,7,false)</f>
        <v>43500</v>
      </c>
      <c r="L1943" s="74">
        <v>43520.0</v>
      </c>
      <c r="M1943" s="74">
        <f t="shared" si="2"/>
        <v>45000</v>
      </c>
      <c r="N1943" s="74">
        <f t="shared" si="3"/>
        <v>70000</v>
      </c>
      <c r="O1943" s="65" t="str">
        <f>VLOOKUP(E1943,DATABASE!C:Q,8,false)</f>
        <v>BIAN</v>
      </c>
      <c r="P1943" s="65">
        <f>VLOOKUP(E1943,DATABASE!C:Q,9,False)</f>
        <v>1</v>
      </c>
      <c r="Q1943" s="93" t="str">
        <f>VLOOKUP(E1943,DATABASE!C:Q,4,false)</f>
        <v>Flap</v>
      </c>
      <c r="R1943" s="93" t="str">
        <f>VLOOKUP(E1943,DATABASE!C:Q,11,false)</f>
        <v>Tire</v>
      </c>
    </row>
    <row r="1944" ht="22.5" customHeight="1">
      <c r="A1944" s="49"/>
      <c r="C1944" s="384">
        <v>45758.0</v>
      </c>
      <c r="D1944" s="65">
        <v>5174.0</v>
      </c>
      <c r="E1944" s="445" t="s">
        <v>1858</v>
      </c>
      <c r="F1944" s="386">
        <v>2.0</v>
      </c>
      <c r="G1944" s="74">
        <v>2155000.0</v>
      </c>
      <c r="H1944" s="74">
        <v>0.0</v>
      </c>
      <c r="I1944" s="74">
        <f t="shared" si="1"/>
        <v>4310000</v>
      </c>
      <c r="J1944" s="74">
        <f>IF(E1944="SERVICE",I1944-(I1944*50%),Vlookup(E1944,DATABASE!C:Q,10,false)*F1944)</f>
        <v>0</v>
      </c>
      <c r="K1944" s="74">
        <f>VLOOKUP(E1944,DATABASE!C:Q,7,false)</f>
        <v>2030000</v>
      </c>
      <c r="L1944" s="74">
        <v>2025000.0</v>
      </c>
      <c r="M1944" s="74">
        <f t="shared" si="2"/>
        <v>2025000</v>
      </c>
      <c r="N1944" s="74">
        <f t="shared" si="3"/>
        <v>260000</v>
      </c>
      <c r="O1944" s="65" t="str">
        <f>VLOOKUP(E1944,DATABASE!C:Q,8,false)</f>
        <v>BIAN</v>
      </c>
      <c r="P1944" s="65">
        <f>VLOOKUP(E1944,DATABASE!C:Q,9,False)</f>
        <v>1</v>
      </c>
      <c r="Q1944" s="93" t="str">
        <f>VLOOKUP(E1944,DATABASE!C:Q,4,false)</f>
        <v>GiTi</v>
      </c>
      <c r="R1944" s="93" t="str">
        <f>VLOOKUP(E1944,DATABASE!C:Q,11,false)</f>
        <v>Tire</v>
      </c>
    </row>
    <row r="1945" ht="22.5" customHeight="1">
      <c r="A1945" s="49"/>
      <c r="C1945" s="384">
        <v>45758.0</v>
      </c>
      <c r="D1945" s="65">
        <v>5175.0</v>
      </c>
      <c r="E1945" s="445" t="s">
        <v>256</v>
      </c>
      <c r="F1945" s="386">
        <v>1.0</v>
      </c>
      <c r="G1945" s="74">
        <v>130000.0</v>
      </c>
      <c r="H1945" s="74">
        <v>0.0</v>
      </c>
      <c r="I1945" s="74">
        <f t="shared" si="1"/>
        <v>130000</v>
      </c>
      <c r="J1945" s="74">
        <f>IF(E1945="SERVICE",I1945-(I1945*50%),Vlookup(E1945,DATABASE!C:Q,10,false)*F1945)</f>
        <v>10000</v>
      </c>
      <c r="K1945" s="74">
        <f>VLOOKUP(E1945,DATABASE!C:Q,7,false)</f>
        <v>0</v>
      </c>
      <c r="L1945" s="74">
        <v>0.0</v>
      </c>
      <c r="M1945" s="74">
        <f t="shared" si="2"/>
        <v>0</v>
      </c>
      <c r="N1945" s="74">
        <f t="shared" si="3"/>
        <v>120000</v>
      </c>
      <c r="O1945" s="65" t="str">
        <f>VLOOKUP(E1945,DATABASE!C:Q,8,false)</f>
        <v>IBU</v>
      </c>
      <c r="P1945" s="65">
        <f>VLOOKUP(E1945,DATABASE!C:Q,9,False)</f>
        <v>0</v>
      </c>
      <c r="Q1945" s="93" t="str">
        <f>VLOOKUP(E1945,DATABASE!C:Q,4,false)</f>
        <v>SPOORING</v>
      </c>
      <c r="R1945" s="93" t="str">
        <f>VLOOKUP(E1945,DATABASE!C:Q,11,false)</f>
        <v>SERVICE</v>
      </c>
    </row>
    <row r="1946" ht="22.5" customHeight="1">
      <c r="A1946" s="49"/>
      <c r="C1946" s="384">
        <v>45758.0</v>
      </c>
      <c r="D1946" s="65">
        <v>5175.0</v>
      </c>
      <c r="E1946" s="445" t="s">
        <v>301</v>
      </c>
      <c r="F1946" s="386">
        <v>1.0</v>
      </c>
      <c r="G1946" s="74">
        <v>250000.0</v>
      </c>
      <c r="H1946" s="74">
        <v>0.0</v>
      </c>
      <c r="I1946" s="74">
        <f t="shared" si="1"/>
        <v>250000</v>
      </c>
      <c r="J1946" s="74">
        <f>IF(E1946="SERVICE",I1946-(I1946*50%),Vlookup(E1946,DATABASE!C:Q,10,false)*F1946)</f>
        <v>75000</v>
      </c>
      <c r="K1946" s="74">
        <f>VLOOKUP(E1946,DATABASE!C:Q,7,false)</f>
        <v>75000</v>
      </c>
      <c r="L1946" s="74">
        <v>75000.0</v>
      </c>
      <c r="M1946" s="74">
        <f t="shared" si="2"/>
        <v>75000</v>
      </c>
      <c r="N1946" s="74">
        <f t="shared" si="3"/>
        <v>100000</v>
      </c>
      <c r="O1946" s="65" t="str">
        <f>VLOOKUP(E1946,DATABASE!C:Q,8,false)</f>
        <v>BIAN</v>
      </c>
      <c r="P1946" s="65">
        <f>VLOOKUP(E1946,DATABASE!C:Q,9,False)</f>
        <v>0</v>
      </c>
      <c r="Q1946" s="93" t="str">
        <f>VLOOKUP(E1946,DATABASE!C:Q,4,false)</f>
        <v>Baut Camber</v>
      </c>
      <c r="R1946" s="93" t="str">
        <f>VLOOKUP(E1946,DATABASE!C:Q,11,false)</f>
        <v>COMPLEMENTARY</v>
      </c>
    </row>
    <row r="1947" ht="22.5" customHeight="1">
      <c r="A1947" s="49"/>
      <c r="C1947" s="384">
        <v>45759.0</v>
      </c>
      <c r="D1947" s="65">
        <v>5176.0</v>
      </c>
      <c r="E1947" s="445" t="s">
        <v>265</v>
      </c>
      <c r="F1947" s="386">
        <v>2.0</v>
      </c>
      <c r="G1947" s="74">
        <v>670000.0</v>
      </c>
      <c r="H1947" s="74">
        <v>0.0</v>
      </c>
      <c r="I1947" s="74">
        <f t="shared" si="1"/>
        <v>1340000</v>
      </c>
      <c r="J1947" s="74">
        <f>IF(E1947="SERVICE",I1947-(I1947*50%),Vlookup(E1947,DATABASE!C:Q,10,false)*F1947)</f>
        <v>0</v>
      </c>
      <c r="K1947" s="74">
        <v>590000.0</v>
      </c>
      <c r="L1947" s="74">
        <v>590000.0</v>
      </c>
      <c r="M1947" s="74">
        <f t="shared" si="2"/>
        <v>590000</v>
      </c>
      <c r="N1947" s="74">
        <f t="shared" si="3"/>
        <v>160000</v>
      </c>
      <c r="O1947" s="65" t="str">
        <f>VLOOKUP(E1947,DATABASE!C:Q,8,false)</f>
        <v>IBU</v>
      </c>
      <c r="P1947" s="65">
        <f>VLOOKUP(E1947,DATABASE!C:Q,9,False)</f>
        <v>1</v>
      </c>
      <c r="Q1947" s="93" t="str">
        <f>VLOOKUP(E1947,DATABASE!C:Q,4,false)</f>
        <v>Dunlop</v>
      </c>
      <c r="R1947" s="93" t="str">
        <f>VLOOKUP(E1947,DATABASE!C:Q,11,false)</f>
        <v>Tire</v>
      </c>
    </row>
    <row r="1948" ht="22.5" customHeight="1">
      <c r="A1948" s="49"/>
      <c r="C1948" s="384">
        <v>45759.0</v>
      </c>
      <c r="D1948" s="65">
        <v>5177.0</v>
      </c>
      <c r="E1948" s="445" t="s">
        <v>605</v>
      </c>
      <c r="F1948" s="386">
        <v>2.0</v>
      </c>
      <c r="G1948" s="74">
        <v>750000.0</v>
      </c>
      <c r="H1948" s="74">
        <v>0.0</v>
      </c>
      <c r="I1948" s="74">
        <f t="shared" si="1"/>
        <v>1500000</v>
      </c>
      <c r="J1948" s="74">
        <f>IF(E1948="SERVICE",I1948-(I1948*50%),Vlookup(E1948,DATABASE!C:Q,10,false)*F1948)</f>
        <v>0</v>
      </c>
      <c r="K1948" s="74">
        <v>670000.0</v>
      </c>
      <c r="L1948" s="74">
        <v>670000.0</v>
      </c>
      <c r="M1948" s="74">
        <f t="shared" si="2"/>
        <v>670000</v>
      </c>
      <c r="N1948" s="74">
        <f t="shared" si="3"/>
        <v>160000</v>
      </c>
      <c r="O1948" s="65" t="str">
        <f>VLOOKUP(E1948,DATABASE!C:Q,8,false)</f>
        <v>IBU</v>
      </c>
      <c r="P1948" s="65">
        <f>VLOOKUP(E1948,DATABASE!C:Q,9,False)</f>
        <v>1</v>
      </c>
      <c r="Q1948" s="93" t="str">
        <f>VLOOKUP(E1948,DATABASE!C:Q,4,false)</f>
        <v>Bridgestone</v>
      </c>
      <c r="R1948" s="93" t="str">
        <f>VLOOKUP(E1948,DATABASE!C:Q,11,false)</f>
        <v>Tire</v>
      </c>
    </row>
    <row r="1949" ht="22.5" customHeight="1">
      <c r="A1949" s="49"/>
      <c r="C1949" s="384">
        <v>45759.0</v>
      </c>
      <c r="D1949" s="65">
        <v>5178.0</v>
      </c>
      <c r="E1949" s="445" t="s">
        <v>932</v>
      </c>
      <c r="F1949" s="386">
        <v>1.0</v>
      </c>
      <c r="G1949" s="74">
        <v>670000.0</v>
      </c>
      <c r="H1949" s="74">
        <v>0.0</v>
      </c>
      <c r="I1949" s="74">
        <f t="shared" si="1"/>
        <v>670000</v>
      </c>
      <c r="J1949" s="74">
        <f>IF(E1949="SERVICE",I1949-(I1949*50%),Vlookup(E1949,DATABASE!C:Q,10,false)*F1949)</f>
        <v>0</v>
      </c>
      <c r="K1949" s="74">
        <v>575000.0</v>
      </c>
      <c r="L1949" s="74">
        <v>575000.0</v>
      </c>
      <c r="M1949" s="74">
        <f t="shared" si="2"/>
        <v>575000</v>
      </c>
      <c r="N1949" s="74">
        <f t="shared" si="3"/>
        <v>95000</v>
      </c>
      <c r="O1949" s="65" t="str">
        <f>VLOOKUP(E1949,DATABASE!C:Q,8,false)</f>
        <v>IBU</v>
      </c>
      <c r="P1949" s="65">
        <f>VLOOKUP(E1949,DATABASE!C:Q,9,False)</f>
        <v>1</v>
      </c>
      <c r="Q1949" s="93" t="str">
        <f>VLOOKUP(E1949,DATABASE!C:Q,4,false)</f>
        <v>Dunlop</v>
      </c>
      <c r="R1949" s="93" t="str">
        <f>VLOOKUP(E1949,DATABASE!C:Q,11,false)</f>
        <v>Tire</v>
      </c>
    </row>
    <row r="1950" ht="22.5" customHeight="1">
      <c r="A1950" s="49"/>
      <c r="C1950" s="384">
        <v>45759.0</v>
      </c>
      <c r="D1950" s="65">
        <v>5179.0</v>
      </c>
      <c r="E1950" s="445" t="s">
        <v>1507</v>
      </c>
      <c r="F1950" s="386">
        <v>2.0</v>
      </c>
      <c r="G1950" s="74">
        <v>670000.0</v>
      </c>
      <c r="H1950" s="74">
        <v>0.0</v>
      </c>
      <c r="I1950" s="74">
        <f t="shared" si="1"/>
        <v>1340000</v>
      </c>
      <c r="J1950" s="74">
        <f>IF(E1950="SERVICE",I1950-(I1950*50%),Vlookup(E1950,DATABASE!C:Q,10,false)*F1950)</f>
        <v>0</v>
      </c>
      <c r="K1950" s="74">
        <f>VLOOKUP(E1950,DATABASE!C:Q,7,false)</f>
        <v>638500</v>
      </c>
      <c r="L1950" s="74">
        <v>638500.0</v>
      </c>
      <c r="M1950" s="74">
        <f t="shared" si="2"/>
        <v>640000</v>
      </c>
      <c r="N1950" s="74">
        <f t="shared" si="3"/>
        <v>60000</v>
      </c>
      <c r="O1950" s="65" t="str">
        <f>VLOOKUP(E1950,DATABASE!C:Q,8,false)</f>
        <v>IBU</v>
      </c>
      <c r="P1950" s="65">
        <f>VLOOKUP(E1950,DATABASE!C:Q,9,False)</f>
        <v>1</v>
      </c>
      <c r="Q1950" s="93" t="str">
        <f>VLOOKUP(E1950,DATABASE!C:Q,4,false)</f>
        <v>Dunlop</v>
      </c>
      <c r="R1950" s="93" t="str">
        <f>VLOOKUP(E1950,DATABASE!C:Q,11,false)</f>
        <v>Tire</v>
      </c>
    </row>
    <row r="1951" ht="22.5" customHeight="1">
      <c r="A1951" s="49"/>
      <c r="C1951" s="384">
        <v>45759.0</v>
      </c>
      <c r="D1951" s="65">
        <v>5179.0</v>
      </c>
      <c r="E1951" s="445" t="s">
        <v>2135</v>
      </c>
      <c r="F1951" s="386">
        <v>2.0</v>
      </c>
      <c r="G1951" s="74">
        <v>15000.0</v>
      </c>
      <c r="H1951" s="74">
        <v>0.0</v>
      </c>
      <c r="I1951" s="74">
        <f t="shared" si="1"/>
        <v>30000</v>
      </c>
      <c r="J1951" s="74">
        <f>IF(E1951="SERVICE",I1951-(I1951*50%),Vlookup(E1951,DATABASE!C:Q,10,false)*F1951)</f>
        <v>0</v>
      </c>
      <c r="K1951" s="74">
        <f>VLOOKUP(E1951,DATABASE!C:Q,7,false)</f>
        <v>0</v>
      </c>
      <c r="L1951" s="74">
        <v>0.0</v>
      </c>
      <c r="M1951" s="74">
        <f t="shared" si="2"/>
        <v>0</v>
      </c>
      <c r="N1951" s="74">
        <f t="shared" si="3"/>
        <v>30000</v>
      </c>
      <c r="O1951" s="65" t="str">
        <f>VLOOKUP(E1951,DATABASE!C:Q,8,false)</f>
        <v>IBU</v>
      </c>
      <c r="P1951" s="65">
        <f>VLOOKUP(E1951,DATABASE!C:Q,9,False)</f>
        <v>0</v>
      </c>
      <c r="Q1951" s="93" t="str">
        <f>VLOOKUP(E1951,DATABASE!C:Q,4,false)</f>
        <v>NITROGEN</v>
      </c>
      <c r="R1951" s="93" t="str">
        <f>VLOOKUP(E1951,DATABASE!C:Q,11,false)</f>
        <v>COMPLEMENTARY</v>
      </c>
    </row>
    <row r="1952" ht="22.5" customHeight="1">
      <c r="A1952" s="49"/>
      <c r="C1952" s="384">
        <v>45759.0</v>
      </c>
      <c r="D1952" s="65">
        <v>5180.0</v>
      </c>
      <c r="E1952" s="445" t="s">
        <v>791</v>
      </c>
      <c r="F1952" s="386">
        <v>2.0</v>
      </c>
      <c r="G1952" s="74">
        <v>1280000.0</v>
      </c>
      <c r="H1952" s="74">
        <v>0.0</v>
      </c>
      <c r="I1952" s="74">
        <f t="shared" si="1"/>
        <v>2560000</v>
      </c>
      <c r="J1952" s="74">
        <f>IF(E1952="SERVICE",I1952-(I1952*50%),Vlookup(E1952,DATABASE!C:Q,10,false)*F1952)</f>
        <v>0</v>
      </c>
      <c r="K1952" s="74">
        <f>VLOOKUP(E1952,DATABASE!C:Q,7,false)</f>
        <v>1210000</v>
      </c>
      <c r="L1952" s="74">
        <v>1180000.0</v>
      </c>
      <c r="M1952" s="74">
        <f t="shared" si="2"/>
        <v>1180000</v>
      </c>
      <c r="N1952" s="74">
        <f t="shared" si="3"/>
        <v>200000</v>
      </c>
      <c r="O1952" s="65" t="str">
        <f>VLOOKUP(E1952,DATABASE!C:Q,8,false)</f>
        <v>BIAN</v>
      </c>
      <c r="P1952" s="65">
        <f>VLOOKUP(E1952,DATABASE!C:Q,9,False)</f>
        <v>1</v>
      </c>
      <c r="Q1952" s="93" t="str">
        <f>VLOOKUP(E1952,DATABASE!C:Q,4,false)</f>
        <v>GT</v>
      </c>
      <c r="R1952" s="93" t="str">
        <f>VLOOKUP(E1952,DATABASE!C:Q,11,false)</f>
        <v>Tire</v>
      </c>
    </row>
    <row r="1953" ht="22.5" customHeight="1">
      <c r="A1953" s="49"/>
      <c r="C1953" s="384">
        <v>45759.0</v>
      </c>
      <c r="D1953" s="65">
        <v>5181.0</v>
      </c>
      <c r="E1953" s="445" t="s">
        <v>814</v>
      </c>
      <c r="F1953" s="386">
        <v>1.0</v>
      </c>
      <c r="G1953" s="74">
        <v>65000.0</v>
      </c>
      <c r="H1953" s="74">
        <v>0.0</v>
      </c>
      <c r="I1953" s="74">
        <f t="shared" si="1"/>
        <v>65000</v>
      </c>
      <c r="J1953" s="74">
        <f>IF(E1953="SERVICE",I1953-(I1953*50%),Vlookup(E1953,DATABASE!C:Q,10,false)*F1953)</f>
        <v>0</v>
      </c>
      <c r="K1953" s="74">
        <f>VLOOKUP(E1953,DATABASE!C:Q,7,false)</f>
        <v>39440</v>
      </c>
      <c r="L1953" s="74">
        <v>39440.0</v>
      </c>
      <c r="M1953" s="74">
        <f t="shared" si="2"/>
        <v>40000</v>
      </c>
      <c r="N1953" s="74">
        <f t="shared" si="3"/>
        <v>25000</v>
      </c>
      <c r="O1953" s="65" t="str">
        <f>VLOOKUP(E1953,DATABASE!C:Q,8,false)</f>
        <v>BIAN</v>
      </c>
      <c r="P1953" s="65">
        <f>VLOOKUP(E1953,DATABASE!C:Q,9,False)</f>
        <v>1</v>
      </c>
      <c r="Q1953" s="93" t="str">
        <f>VLOOKUP(E1953,DATABASE!C:Q,4,false)</f>
        <v>Flap</v>
      </c>
      <c r="R1953" s="93" t="str">
        <f>VLOOKUP(E1953,DATABASE!C:Q,11,false)</f>
        <v>Tire</v>
      </c>
    </row>
    <row r="1954" ht="22.5" customHeight="1">
      <c r="A1954" s="49"/>
      <c r="C1954" s="384">
        <v>45759.0</v>
      </c>
      <c r="D1954" s="65">
        <v>5182.0</v>
      </c>
      <c r="E1954" s="445" t="s">
        <v>932</v>
      </c>
      <c r="F1954" s="386">
        <v>4.0</v>
      </c>
      <c r="G1954" s="74">
        <v>670000.0</v>
      </c>
      <c r="H1954" s="74">
        <v>0.0</v>
      </c>
      <c r="I1954" s="74">
        <f t="shared" si="1"/>
        <v>2680000</v>
      </c>
      <c r="J1954" s="74">
        <f>IF(E1954="SERVICE",I1954-(I1954*50%),Vlookup(E1954,DATABASE!C:Q,10,false)*F1954)</f>
        <v>0</v>
      </c>
      <c r="K1954" s="74">
        <v>575000.0</v>
      </c>
      <c r="L1954" s="74">
        <v>575000.0</v>
      </c>
      <c r="M1954" s="74">
        <f t="shared" si="2"/>
        <v>575000</v>
      </c>
      <c r="N1954" s="74">
        <f t="shared" si="3"/>
        <v>380000</v>
      </c>
      <c r="O1954" s="65" t="str">
        <f>VLOOKUP(E1954,DATABASE!C:Q,8,false)</f>
        <v>IBU</v>
      </c>
      <c r="P1954" s="65">
        <f>VLOOKUP(E1954,DATABASE!C:Q,9,False)</f>
        <v>1</v>
      </c>
      <c r="Q1954" s="93" t="str">
        <f>VLOOKUP(E1954,DATABASE!C:Q,4,false)</f>
        <v>Dunlop</v>
      </c>
      <c r="R1954" s="93" t="str">
        <f>VLOOKUP(E1954,DATABASE!C:Q,11,false)</f>
        <v>Tire</v>
      </c>
    </row>
    <row r="1955" ht="22.5" customHeight="1">
      <c r="A1955" s="49"/>
      <c r="C1955" s="384">
        <v>45759.0</v>
      </c>
      <c r="D1955" s="65">
        <v>5182.0</v>
      </c>
      <c r="E1955" s="385" t="s">
        <v>299</v>
      </c>
      <c r="F1955" s="386">
        <v>2.0</v>
      </c>
      <c r="G1955" s="74">
        <v>30000.0</v>
      </c>
      <c r="H1955" s="74">
        <v>0.0</v>
      </c>
      <c r="I1955" s="74">
        <f t="shared" si="1"/>
        <v>60000</v>
      </c>
      <c r="J1955" s="74">
        <f>IF(E1955="SERVICE",I1955-(I1955*50%),Vlookup(E1955,DATABASE!C:Q,10,false)*F1955)</f>
        <v>0</v>
      </c>
      <c r="K1955" s="74">
        <v>0.0</v>
      </c>
      <c r="L1955" s="74">
        <v>0.0</v>
      </c>
      <c r="M1955" s="74">
        <f t="shared" si="2"/>
        <v>0</v>
      </c>
      <c r="N1955" s="74">
        <f t="shared" si="3"/>
        <v>60000</v>
      </c>
      <c r="O1955" s="65" t="str">
        <f>VLOOKUP(E1955,DATABASE!C:Q,8,false)</f>
        <v>BIAN</v>
      </c>
      <c r="P1955" s="65">
        <f>VLOOKUP(E1955,DATABASE!C:Q,9,False)</f>
        <v>0</v>
      </c>
      <c r="Q1955" s="93" t="str">
        <f>VLOOKUP(E1955,DATABASE!C:Q,4,false)</f>
        <v>Balancing</v>
      </c>
      <c r="R1955" s="93" t="str">
        <f>VLOOKUP(E1955,DATABASE!C:Q,11,false)</f>
        <v>COMPLEMENTARY</v>
      </c>
    </row>
    <row r="1956" ht="22.5" customHeight="1">
      <c r="A1956" s="49"/>
      <c r="C1956" s="384">
        <v>45759.0</v>
      </c>
      <c r="D1956" s="65">
        <v>5182.0</v>
      </c>
      <c r="E1956" s="445" t="s">
        <v>256</v>
      </c>
      <c r="F1956" s="386">
        <v>1.0</v>
      </c>
      <c r="G1956" s="74">
        <v>130000.0</v>
      </c>
      <c r="H1956" s="74">
        <v>0.0</v>
      </c>
      <c r="I1956" s="74">
        <f t="shared" si="1"/>
        <v>130000</v>
      </c>
      <c r="J1956" s="74">
        <f>IF(E1956="SERVICE",I1956-(I1956*50%),Vlookup(E1956,DATABASE!C:Q,10,false)*F1956)</f>
        <v>10000</v>
      </c>
      <c r="K1956" s="74">
        <f>VLOOKUP(E1956,DATABASE!C:Q,7,false)</f>
        <v>0</v>
      </c>
      <c r="L1956" s="74">
        <v>0.0</v>
      </c>
      <c r="M1956" s="74">
        <f t="shared" si="2"/>
        <v>0</v>
      </c>
      <c r="N1956" s="74">
        <f t="shared" si="3"/>
        <v>120000</v>
      </c>
      <c r="O1956" s="65" t="str">
        <f>VLOOKUP(E1956,DATABASE!C:Q,8,false)</f>
        <v>IBU</v>
      </c>
      <c r="P1956" s="65">
        <f>VLOOKUP(E1956,DATABASE!C:Q,9,False)</f>
        <v>0</v>
      </c>
      <c r="Q1956" s="93" t="str">
        <f>VLOOKUP(E1956,DATABASE!C:Q,4,false)</f>
        <v>SPOORING</v>
      </c>
      <c r="R1956" s="93" t="str">
        <f>VLOOKUP(E1956,DATABASE!C:Q,11,false)</f>
        <v>SERVICE</v>
      </c>
    </row>
    <row r="1957" ht="22.5" customHeight="1">
      <c r="A1957" s="49"/>
      <c r="C1957" s="384">
        <v>45759.0</v>
      </c>
      <c r="D1957" s="65">
        <v>5182.0</v>
      </c>
      <c r="E1957" s="445" t="s">
        <v>301</v>
      </c>
      <c r="F1957" s="386">
        <v>1.0</v>
      </c>
      <c r="G1957" s="74">
        <v>250000.0</v>
      </c>
      <c r="H1957" s="74">
        <v>0.0</v>
      </c>
      <c r="I1957" s="74">
        <f t="shared" si="1"/>
        <v>250000</v>
      </c>
      <c r="J1957" s="74">
        <f>IF(E1957="SERVICE",I1957-(I1957*50%),Vlookup(E1957,DATABASE!C:Q,10,false)*F1957)</f>
        <v>75000</v>
      </c>
      <c r="K1957" s="74">
        <f>VLOOKUP(E1957,DATABASE!C:Q,7,false)</f>
        <v>75000</v>
      </c>
      <c r="L1957" s="74">
        <v>75000.0</v>
      </c>
      <c r="M1957" s="74">
        <f t="shared" si="2"/>
        <v>75000</v>
      </c>
      <c r="N1957" s="74">
        <f t="shared" si="3"/>
        <v>100000</v>
      </c>
      <c r="O1957" s="65" t="str">
        <f>VLOOKUP(E1957,DATABASE!C:Q,8,false)</f>
        <v>BIAN</v>
      </c>
      <c r="P1957" s="65">
        <f>VLOOKUP(E1957,DATABASE!C:Q,9,False)</f>
        <v>0</v>
      </c>
      <c r="Q1957" s="93" t="str">
        <f>VLOOKUP(E1957,DATABASE!C:Q,4,false)</f>
        <v>Baut Camber</v>
      </c>
      <c r="R1957" s="93" t="str">
        <f>VLOOKUP(E1957,DATABASE!C:Q,11,false)</f>
        <v>COMPLEMENTARY</v>
      </c>
    </row>
    <row r="1958" ht="22.5" customHeight="1">
      <c r="A1958" s="49"/>
      <c r="C1958" s="384">
        <v>45759.0</v>
      </c>
      <c r="D1958" s="65">
        <v>5183.0</v>
      </c>
      <c r="E1958" s="445" t="s">
        <v>572</v>
      </c>
      <c r="F1958" s="386">
        <v>2.0</v>
      </c>
      <c r="G1958" s="74">
        <v>1370000.0</v>
      </c>
      <c r="H1958" s="74">
        <v>0.0</v>
      </c>
      <c r="I1958" s="74">
        <f t="shared" si="1"/>
        <v>2740000</v>
      </c>
      <c r="J1958" s="74">
        <f>IF(E1958="SERVICE",I1958-(I1958*50%),Vlookup(E1958,DATABASE!C:Q,10,false)*F1958)</f>
        <v>0</v>
      </c>
      <c r="K1958" s="140">
        <v>1270000.0</v>
      </c>
      <c r="L1958" s="140">
        <v>1270000.0</v>
      </c>
      <c r="M1958" s="74">
        <f t="shared" si="2"/>
        <v>1270000</v>
      </c>
      <c r="N1958" s="74">
        <f t="shared" si="3"/>
        <v>200000</v>
      </c>
      <c r="O1958" s="65" t="str">
        <f>VLOOKUP(E1958,DATABASE!C:Q,8,false)</f>
        <v>IBU</v>
      </c>
      <c r="P1958" s="65">
        <f>VLOOKUP(E1958,DATABASE!C:Q,9,False)</f>
        <v>1</v>
      </c>
      <c r="Q1958" s="93" t="str">
        <f>VLOOKUP(E1958,DATABASE!C:Q,4,false)</f>
        <v>Bridgestone</v>
      </c>
      <c r="R1958" s="93" t="str">
        <f>VLOOKUP(E1958,DATABASE!C:Q,11,false)</f>
        <v>Tire</v>
      </c>
    </row>
    <row r="1959" ht="22.5" customHeight="1">
      <c r="A1959" s="49"/>
      <c r="C1959" s="384">
        <v>45759.0</v>
      </c>
      <c r="D1959" s="65">
        <v>5184.0</v>
      </c>
      <c r="E1959" s="445" t="s">
        <v>275</v>
      </c>
      <c r="F1959" s="386">
        <v>2.0</v>
      </c>
      <c r="G1959" s="74">
        <v>830000.0</v>
      </c>
      <c r="H1959" s="74">
        <v>0.0</v>
      </c>
      <c r="I1959" s="74">
        <f t="shared" si="1"/>
        <v>1660000</v>
      </c>
      <c r="J1959" s="74">
        <f>IF(E1959="SERVICE",I1959-(I1959*50%),Vlookup(E1959,DATABASE!C:Q,10,false)*F1959)</f>
        <v>0</v>
      </c>
      <c r="K1959" s="74">
        <v>735000.0</v>
      </c>
      <c r="L1959" s="74">
        <v>735000.0</v>
      </c>
      <c r="M1959" s="74">
        <f t="shared" si="2"/>
        <v>735000</v>
      </c>
      <c r="N1959" s="74">
        <f t="shared" si="3"/>
        <v>190000</v>
      </c>
      <c r="O1959" s="65" t="str">
        <f>VLOOKUP(E1959,DATABASE!C:Q,8,false)</f>
        <v>IBU</v>
      </c>
      <c r="P1959" s="65">
        <f>VLOOKUP(E1959,DATABASE!C:Q,9,False)</f>
        <v>1</v>
      </c>
      <c r="Q1959" s="93" t="str">
        <f>VLOOKUP(E1959,DATABASE!C:Q,4,false)</f>
        <v>Dunlop</v>
      </c>
      <c r="R1959" s="93" t="str">
        <f>VLOOKUP(E1959,DATABASE!C:Q,11,false)</f>
        <v>Tire</v>
      </c>
    </row>
    <row r="1960" ht="22.5" customHeight="1">
      <c r="A1960" s="49"/>
      <c r="C1960" s="384">
        <v>45759.0</v>
      </c>
      <c r="D1960" s="65">
        <v>5185.0</v>
      </c>
      <c r="E1960" s="445" t="s">
        <v>246</v>
      </c>
      <c r="F1960" s="386">
        <v>1.0</v>
      </c>
      <c r="G1960" s="74">
        <v>25000.0</v>
      </c>
      <c r="H1960" s="74">
        <v>0.0</v>
      </c>
      <c r="I1960" s="74">
        <f t="shared" si="1"/>
        <v>25000</v>
      </c>
      <c r="J1960" s="74">
        <f>IF(E1960="SERVICE",I1960-(I1960*50%),Vlookup(E1960,DATABASE!C:Q,10,false)*F1960)</f>
        <v>0</v>
      </c>
      <c r="K1960" s="74">
        <f>VLOOKUP(E1960,DATABASE!C:Q,7,false)</f>
        <v>0</v>
      </c>
      <c r="L1960" s="74">
        <v>0.0</v>
      </c>
      <c r="M1960" s="74">
        <f t="shared" si="2"/>
        <v>0</v>
      </c>
      <c r="N1960" s="74">
        <f t="shared" si="3"/>
        <v>25000</v>
      </c>
      <c r="O1960" s="65" t="str">
        <f>VLOOKUP(E1960,DATABASE!C:Q,8,false)</f>
        <v>IBU</v>
      </c>
      <c r="P1960" s="65">
        <f>VLOOKUP(E1960,DATABASE!C:Q,9,False)</f>
        <v>0</v>
      </c>
      <c r="Q1960" s="93" t="str">
        <f>VLOOKUP(E1960,DATABASE!C:Q,4,false)</f>
        <v>Bongkar Pasang</v>
      </c>
      <c r="R1960" s="93" t="str">
        <f>VLOOKUP(E1960,DATABASE!C:Q,11,false)</f>
        <v>SERVICE</v>
      </c>
    </row>
    <row r="1961" ht="22.5" customHeight="1">
      <c r="A1961" s="49"/>
      <c r="C1961" s="384">
        <v>45759.0</v>
      </c>
      <c r="D1961" s="65">
        <v>5186.0</v>
      </c>
      <c r="E1961" s="385" t="s">
        <v>299</v>
      </c>
      <c r="F1961" s="386">
        <v>2.0</v>
      </c>
      <c r="G1961" s="74">
        <v>30000.0</v>
      </c>
      <c r="H1961" s="74">
        <v>0.0</v>
      </c>
      <c r="I1961" s="74">
        <f t="shared" si="1"/>
        <v>60000</v>
      </c>
      <c r="J1961" s="74">
        <f>IF(E1961="SERVICE",I1961-(I1961*50%),Vlookup(E1961,DATABASE!C:Q,10,false)*F1961)</f>
        <v>0</v>
      </c>
      <c r="K1961" s="74">
        <v>0.0</v>
      </c>
      <c r="L1961" s="74">
        <v>0.0</v>
      </c>
      <c r="M1961" s="74">
        <f t="shared" si="2"/>
        <v>0</v>
      </c>
      <c r="N1961" s="74">
        <f t="shared" si="3"/>
        <v>60000</v>
      </c>
      <c r="O1961" s="65" t="str">
        <f>VLOOKUP(E1961,DATABASE!C:Q,8,false)</f>
        <v>BIAN</v>
      </c>
      <c r="P1961" s="65">
        <f>VLOOKUP(E1961,DATABASE!C:Q,9,False)</f>
        <v>0</v>
      </c>
      <c r="Q1961" s="93" t="str">
        <f>VLOOKUP(E1961,DATABASE!C:Q,4,false)</f>
        <v>Balancing</v>
      </c>
      <c r="R1961" s="93" t="str">
        <f>VLOOKUP(E1961,DATABASE!C:Q,11,false)</f>
        <v>COMPLEMENTARY</v>
      </c>
    </row>
    <row r="1962" ht="22.5" customHeight="1">
      <c r="A1962" s="49"/>
      <c r="C1962" s="384">
        <v>45759.0</v>
      </c>
      <c r="D1962" s="65">
        <v>5186.0</v>
      </c>
      <c r="E1962" s="445" t="s">
        <v>256</v>
      </c>
      <c r="F1962" s="386">
        <v>1.0</v>
      </c>
      <c r="G1962" s="74">
        <v>130000.0</v>
      </c>
      <c r="H1962" s="74">
        <v>0.0</v>
      </c>
      <c r="I1962" s="74">
        <f t="shared" si="1"/>
        <v>130000</v>
      </c>
      <c r="J1962" s="74">
        <f>IF(E1962="SERVICE",I1962-(I1962*50%),Vlookup(E1962,DATABASE!C:Q,10,false)*F1962)</f>
        <v>10000</v>
      </c>
      <c r="K1962" s="74">
        <f>VLOOKUP(E1962,DATABASE!C:Q,7,false)</f>
        <v>0</v>
      </c>
      <c r="L1962" s="74">
        <v>0.0</v>
      </c>
      <c r="M1962" s="74">
        <f t="shared" si="2"/>
        <v>0</v>
      </c>
      <c r="N1962" s="74">
        <f t="shared" si="3"/>
        <v>120000</v>
      </c>
      <c r="O1962" s="65" t="str">
        <f>VLOOKUP(E1962,DATABASE!C:Q,8,false)</f>
        <v>IBU</v>
      </c>
      <c r="P1962" s="65">
        <f>VLOOKUP(E1962,DATABASE!C:Q,9,False)</f>
        <v>0</v>
      </c>
      <c r="Q1962" s="93" t="str">
        <f>VLOOKUP(E1962,DATABASE!C:Q,4,false)</f>
        <v>SPOORING</v>
      </c>
      <c r="R1962" s="93" t="str">
        <f>VLOOKUP(E1962,DATABASE!C:Q,11,false)</f>
        <v>SERVICE</v>
      </c>
    </row>
    <row r="1963" ht="22.5" customHeight="1">
      <c r="A1963" s="49"/>
      <c r="C1963" s="384">
        <v>45759.0</v>
      </c>
      <c r="D1963" s="65">
        <v>5186.0</v>
      </c>
      <c r="E1963" s="445" t="s">
        <v>301</v>
      </c>
      <c r="F1963" s="386">
        <v>1.0</v>
      </c>
      <c r="G1963" s="74">
        <v>250000.0</v>
      </c>
      <c r="H1963" s="74">
        <v>0.0</v>
      </c>
      <c r="I1963" s="74">
        <f t="shared" si="1"/>
        <v>250000</v>
      </c>
      <c r="J1963" s="74">
        <f>IF(E1963="SERVICE",I1963-(I1963*50%),Vlookup(E1963,DATABASE!C:Q,10,false)*F1963)</f>
        <v>75000</v>
      </c>
      <c r="K1963" s="74">
        <f>VLOOKUP(E1963,DATABASE!C:Q,7,false)</f>
        <v>75000</v>
      </c>
      <c r="L1963" s="74">
        <v>75000.0</v>
      </c>
      <c r="M1963" s="74">
        <f t="shared" si="2"/>
        <v>75000</v>
      </c>
      <c r="N1963" s="74">
        <f t="shared" si="3"/>
        <v>100000</v>
      </c>
      <c r="O1963" s="65" t="str">
        <f>VLOOKUP(E1963,DATABASE!C:Q,8,false)</f>
        <v>BIAN</v>
      </c>
      <c r="P1963" s="65">
        <f>VLOOKUP(E1963,DATABASE!C:Q,9,False)</f>
        <v>0</v>
      </c>
      <c r="Q1963" s="93" t="str">
        <f>VLOOKUP(E1963,DATABASE!C:Q,4,false)</f>
        <v>Baut Camber</v>
      </c>
      <c r="R1963" s="93" t="str">
        <f>VLOOKUP(E1963,DATABASE!C:Q,11,false)</f>
        <v>COMPLEMENTARY</v>
      </c>
    </row>
    <row r="1964" ht="22.5" customHeight="1">
      <c r="A1964" s="49"/>
      <c r="C1964" s="384">
        <v>45759.0</v>
      </c>
      <c r="D1964" s="65">
        <v>5187.0</v>
      </c>
      <c r="E1964" s="445" t="s">
        <v>250</v>
      </c>
      <c r="F1964" s="386">
        <v>1.0</v>
      </c>
      <c r="G1964" s="74">
        <v>135000.0</v>
      </c>
      <c r="H1964" s="74">
        <v>0.0</v>
      </c>
      <c r="I1964" s="74">
        <f t="shared" si="1"/>
        <v>135000</v>
      </c>
      <c r="J1964" s="74">
        <f>IF(E1964="SERVICE",I1964-(I1964*50%),Vlookup(E1964,DATABASE!C:Q,10,false)*F1964)</f>
        <v>0</v>
      </c>
      <c r="K1964" s="74">
        <f>VLOOKUP(E1964,DATABASE!C:Q,7,false)</f>
        <v>102000</v>
      </c>
      <c r="L1964" s="74">
        <v>102000.0</v>
      </c>
      <c r="M1964" s="74">
        <f t="shared" si="2"/>
        <v>105000</v>
      </c>
      <c r="N1964" s="74">
        <f t="shared" si="3"/>
        <v>30000</v>
      </c>
      <c r="O1964" s="65" t="str">
        <f>VLOOKUP(E1964,DATABASE!C:Q,8,false)</f>
        <v>BIAN</v>
      </c>
      <c r="P1964" s="65">
        <f>VLOOKUP(E1964,DATABASE!C:Q,9,False)</f>
        <v>1</v>
      </c>
      <c r="Q1964" s="93" t="str">
        <f>VLOOKUP(E1964,DATABASE!C:Q,4,false)</f>
        <v>BD</v>
      </c>
      <c r="R1964" s="93" t="str">
        <f>VLOOKUP(E1964,DATABASE!C:Q,11,false)</f>
        <v>Tire</v>
      </c>
    </row>
    <row r="1965" ht="22.5" customHeight="1">
      <c r="A1965" s="49"/>
      <c r="C1965" s="384">
        <v>45759.0</v>
      </c>
      <c r="D1965" s="65">
        <v>5188.0</v>
      </c>
      <c r="E1965" s="445" t="s">
        <v>605</v>
      </c>
      <c r="F1965" s="386">
        <v>1.0</v>
      </c>
      <c r="G1965" s="74">
        <v>760000.0</v>
      </c>
      <c r="H1965" s="74">
        <v>0.0</v>
      </c>
      <c r="I1965" s="74">
        <f t="shared" si="1"/>
        <v>760000</v>
      </c>
      <c r="J1965" s="74">
        <f>IF(E1965="SERVICE",I1965-(I1965*50%),Vlookup(E1965,DATABASE!C:Q,10,false)*F1965)</f>
        <v>0</v>
      </c>
      <c r="K1965" s="74">
        <v>670000.0</v>
      </c>
      <c r="L1965" s="74">
        <v>670000.0</v>
      </c>
      <c r="M1965" s="74">
        <f t="shared" si="2"/>
        <v>670000</v>
      </c>
      <c r="N1965" s="74">
        <f t="shared" si="3"/>
        <v>90000</v>
      </c>
      <c r="O1965" s="65" t="str">
        <f>VLOOKUP(E1965,DATABASE!C:Q,8,false)</f>
        <v>IBU</v>
      </c>
      <c r="P1965" s="65">
        <f>VLOOKUP(E1965,DATABASE!C:Q,9,False)</f>
        <v>1</v>
      </c>
      <c r="Q1965" s="93" t="str">
        <f>VLOOKUP(E1965,DATABASE!C:Q,4,false)</f>
        <v>Bridgestone</v>
      </c>
      <c r="R1965" s="93" t="str">
        <f>VLOOKUP(E1965,DATABASE!C:Q,11,false)</f>
        <v>Tire</v>
      </c>
    </row>
    <row r="1966" ht="22.5" customHeight="1">
      <c r="A1966" s="49"/>
      <c r="C1966" s="384">
        <v>45759.0</v>
      </c>
      <c r="D1966" s="65">
        <v>5189.0</v>
      </c>
      <c r="E1966" s="445" t="s">
        <v>531</v>
      </c>
      <c r="F1966" s="386">
        <v>1.0</v>
      </c>
      <c r="G1966" s="74">
        <v>70000.0</v>
      </c>
      <c r="H1966" s="74">
        <v>0.0</v>
      </c>
      <c r="I1966" s="74">
        <f t="shared" si="1"/>
        <v>70000</v>
      </c>
      <c r="J1966" s="74">
        <f>IF(E1966="SERVICE",I1966-(I1966*50%),Vlookup(E1966,DATABASE!C:Q,10,false)*F1966)</f>
        <v>0</v>
      </c>
      <c r="K1966" s="74">
        <f>VLOOKUP(E1966,DATABASE!C:Q,7,false)</f>
        <v>47000</v>
      </c>
      <c r="L1966" s="74">
        <v>47000.0</v>
      </c>
      <c r="M1966" s="74">
        <f t="shared" si="2"/>
        <v>50000</v>
      </c>
      <c r="N1966" s="74">
        <f t="shared" si="3"/>
        <v>20000</v>
      </c>
      <c r="O1966" s="65" t="str">
        <f>VLOOKUP(E1966,DATABASE!C:Q,8,false)</f>
        <v>BIAN</v>
      </c>
      <c r="P1966" s="65">
        <f>VLOOKUP(E1966,DATABASE!C:Q,9,False)</f>
        <v>1</v>
      </c>
      <c r="Q1966" s="93" t="str">
        <f>VLOOKUP(E1966,DATABASE!C:Q,4,false)</f>
        <v>BD</v>
      </c>
      <c r="R1966" s="93" t="str">
        <f>VLOOKUP(E1966,DATABASE!C:Q,11,false)</f>
        <v>Tire</v>
      </c>
    </row>
    <row r="1967" ht="22.5" customHeight="1">
      <c r="A1967" s="49"/>
      <c r="C1967" s="384">
        <v>45759.0</v>
      </c>
      <c r="D1967" s="65">
        <v>5190.0</v>
      </c>
      <c r="E1967" s="445" t="s">
        <v>554</v>
      </c>
      <c r="F1967" s="386">
        <v>2.0</v>
      </c>
      <c r="G1967" s="74">
        <v>800000.0</v>
      </c>
      <c r="H1967" s="74">
        <v>0.0</v>
      </c>
      <c r="I1967" s="74">
        <f t="shared" si="1"/>
        <v>1600000</v>
      </c>
      <c r="J1967" s="74">
        <f>IF(E1967="SERVICE",I1967-(I1967*50%),Vlookup(E1967,DATABASE!C:Q,10,false)*F1967)</f>
        <v>0</v>
      </c>
      <c r="K1967" s="74">
        <f>VLOOKUP(E1967,DATABASE!C:Q,7,false)</f>
        <v>710000</v>
      </c>
      <c r="L1967" s="74">
        <v>680000.0</v>
      </c>
      <c r="M1967" s="74">
        <f t="shared" si="2"/>
        <v>680000</v>
      </c>
      <c r="N1967" s="74">
        <f t="shared" si="3"/>
        <v>240000</v>
      </c>
      <c r="O1967" s="65" t="str">
        <f>VLOOKUP(E1967,DATABASE!C:Q,8,false)</f>
        <v>IBU</v>
      </c>
      <c r="P1967" s="65">
        <f>VLOOKUP(E1967,DATABASE!C:Q,9,False)</f>
        <v>1</v>
      </c>
      <c r="Q1967" s="93" t="str">
        <f>VLOOKUP(E1967,DATABASE!C:Q,4,false)</f>
        <v>Bridgestone</v>
      </c>
      <c r="R1967" s="93" t="str">
        <f>VLOOKUP(E1967,DATABASE!C:Q,11,false)</f>
        <v>Tire</v>
      </c>
    </row>
    <row r="1968" ht="22.5" customHeight="1">
      <c r="A1968" s="49"/>
      <c r="C1968" s="384">
        <v>45759.0</v>
      </c>
      <c r="D1968" s="65">
        <v>5192.0</v>
      </c>
      <c r="E1968" s="445" t="s">
        <v>262</v>
      </c>
      <c r="F1968" s="386">
        <v>1.0</v>
      </c>
      <c r="G1968" s="74">
        <v>110000.0</v>
      </c>
      <c r="H1968" s="74">
        <v>0.0</v>
      </c>
      <c r="I1968" s="74">
        <f t="shared" si="1"/>
        <v>110000</v>
      </c>
      <c r="J1968" s="74">
        <f>IF(E1968="SERVICE",I1968-(I1968*50%),Vlookup(E1968,DATABASE!C:Q,10,false)*F1968)</f>
        <v>5000</v>
      </c>
      <c r="K1968" s="74">
        <f>VLOOKUP(E1968,DATABASE!C:Q,7,false)</f>
        <v>0</v>
      </c>
      <c r="L1968" s="74">
        <v>0.0</v>
      </c>
      <c r="M1968" s="74">
        <f t="shared" si="2"/>
        <v>0</v>
      </c>
      <c r="N1968" s="74">
        <f t="shared" si="3"/>
        <v>105000</v>
      </c>
      <c r="O1968" s="65" t="str">
        <f>VLOOKUP(E1968,DATABASE!C:Q,8,false)</f>
        <v>IBU</v>
      </c>
      <c r="P1968" s="65">
        <f>VLOOKUP(E1968,DATABASE!C:Q,9,False)</f>
        <v>0</v>
      </c>
      <c r="Q1968" s="93" t="str">
        <f>VLOOKUP(E1968,DATABASE!C:Q,4,false)</f>
        <v>SPOORING SS/CARRY LOS BAK</v>
      </c>
      <c r="R1968" s="93" t="str">
        <f>VLOOKUP(E1968,DATABASE!C:Q,11,false)</f>
        <v>SERVICE</v>
      </c>
    </row>
    <row r="1969" ht="22.5" customHeight="1">
      <c r="A1969" s="49"/>
      <c r="C1969" s="384">
        <v>45759.0</v>
      </c>
      <c r="D1969" s="65">
        <v>5192.0</v>
      </c>
      <c r="E1969" s="445" t="s">
        <v>251</v>
      </c>
      <c r="F1969" s="386">
        <v>1.0</v>
      </c>
      <c r="G1969" s="74">
        <v>120000.0</v>
      </c>
      <c r="H1969" s="74">
        <v>0.0</v>
      </c>
      <c r="I1969" s="74">
        <f t="shared" si="1"/>
        <v>120000</v>
      </c>
      <c r="J1969" s="74">
        <f>IF(E1969="SERVICE",I1969-(I1969*50%),Vlookup(E1969,DATABASE!C:Q,10,false)*F1969)</f>
        <v>60000</v>
      </c>
      <c r="K1969" s="74">
        <f>VLOOKUP(E1969,DATABASE!C:Q,7,false)</f>
        <v>0</v>
      </c>
      <c r="L1969" s="74">
        <v>0.0</v>
      </c>
      <c r="M1969" s="74">
        <f t="shared" si="2"/>
        <v>0</v>
      </c>
      <c r="N1969" s="74">
        <f t="shared" si="3"/>
        <v>60000</v>
      </c>
      <c r="O1969" s="65" t="str">
        <f>VLOOKUP(E1969,DATABASE!C:Q,8,false)</f>
        <v>IBU</v>
      </c>
      <c r="P1969" s="65">
        <f>VLOOKUP(E1969,DATABASE!C:Q,9,False)</f>
        <v>0</v>
      </c>
      <c r="Q1969" s="93" t="str">
        <f>VLOOKUP(E1969,DATABASE!C:Q,4,false)</f>
        <v>SERVICE</v>
      </c>
      <c r="R1969" s="93" t="str">
        <f>VLOOKUP(E1969,DATABASE!C:Q,11,false)</f>
        <v>SERVICE</v>
      </c>
    </row>
    <row r="1970" ht="22.5" customHeight="1">
      <c r="A1970" s="49"/>
      <c r="C1970" s="384">
        <v>45759.0</v>
      </c>
      <c r="D1970" s="65">
        <v>5193.0</v>
      </c>
      <c r="E1970" s="445" t="s">
        <v>932</v>
      </c>
      <c r="F1970" s="386">
        <v>1.0</v>
      </c>
      <c r="G1970" s="74">
        <v>670000.0</v>
      </c>
      <c r="H1970" s="74">
        <v>0.0</v>
      </c>
      <c r="I1970" s="74">
        <f t="shared" si="1"/>
        <v>670000</v>
      </c>
      <c r="J1970" s="74">
        <f>IF(E1970="SERVICE",I1970-(I1970*50%),Vlookup(E1970,DATABASE!C:Q,10,false)*F1970)</f>
        <v>0</v>
      </c>
      <c r="K1970" s="74">
        <v>575000.0</v>
      </c>
      <c r="L1970" s="74">
        <v>575000.0</v>
      </c>
      <c r="M1970" s="74">
        <f t="shared" si="2"/>
        <v>575000</v>
      </c>
      <c r="N1970" s="74">
        <f t="shared" si="3"/>
        <v>95000</v>
      </c>
      <c r="O1970" s="65" t="str">
        <f>VLOOKUP(E1970,DATABASE!C:Q,8,false)</f>
        <v>IBU</v>
      </c>
      <c r="P1970" s="65">
        <f>VLOOKUP(E1970,DATABASE!C:Q,9,False)</f>
        <v>1</v>
      </c>
      <c r="Q1970" s="93" t="str">
        <f>VLOOKUP(E1970,DATABASE!C:Q,4,false)</f>
        <v>Dunlop</v>
      </c>
      <c r="R1970" s="93" t="str">
        <f>VLOOKUP(E1970,DATABASE!C:Q,11,false)</f>
        <v>Tire</v>
      </c>
    </row>
    <row r="1971" ht="22.5" customHeight="1">
      <c r="A1971" s="49"/>
      <c r="C1971" s="384">
        <v>45760.0</v>
      </c>
      <c r="D1971" s="65">
        <v>5194.0</v>
      </c>
      <c r="E1971" s="445" t="s">
        <v>271</v>
      </c>
      <c r="F1971" s="386">
        <v>1.0</v>
      </c>
      <c r="G1971" s="74">
        <v>630000.0</v>
      </c>
      <c r="H1971" s="74">
        <v>0.0</v>
      </c>
      <c r="I1971" s="74">
        <f t="shared" si="1"/>
        <v>630000</v>
      </c>
      <c r="J1971" s="74">
        <f>IF(E1971="SERVICE",I1971-(I1971*50%),Vlookup(E1971,DATABASE!C:Q,10,false)*F1971)</f>
        <v>0</v>
      </c>
      <c r="K1971" s="74">
        <f>VLOOKUP(E1971,DATABASE!C:Q,7,false)</f>
        <v>570000</v>
      </c>
      <c r="L1971" s="74">
        <v>539000.0</v>
      </c>
      <c r="M1971" s="74">
        <f t="shared" si="2"/>
        <v>540000</v>
      </c>
      <c r="N1971" s="74">
        <f t="shared" si="3"/>
        <v>90000</v>
      </c>
      <c r="O1971" s="65" t="str">
        <f>VLOOKUP(E1971,DATABASE!C:Q,8,false)</f>
        <v>IBU</v>
      </c>
      <c r="P1971" s="65">
        <f>VLOOKUP(E1971,DATABASE!C:Q,9,False)</f>
        <v>1</v>
      </c>
      <c r="Q1971" s="93" t="str">
        <f>VLOOKUP(E1971,DATABASE!C:Q,4,false)</f>
        <v>Dunlop</v>
      </c>
      <c r="R1971" s="93" t="str">
        <f>VLOOKUP(E1971,DATABASE!C:Q,11,false)</f>
        <v>Tire</v>
      </c>
    </row>
    <row r="1972" ht="22.5" customHeight="1">
      <c r="A1972" s="49"/>
      <c r="C1972" s="384">
        <v>45760.0</v>
      </c>
      <c r="D1972" s="65">
        <v>5194.0</v>
      </c>
      <c r="E1972" s="385" t="s">
        <v>299</v>
      </c>
      <c r="F1972" s="386">
        <v>2.0</v>
      </c>
      <c r="G1972" s="74">
        <v>30000.0</v>
      </c>
      <c r="H1972" s="74">
        <v>0.0</v>
      </c>
      <c r="I1972" s="74">
        <f t="shared" si="1"/>
        <v>60000</v>
      </c>
      <c r="J1972" s="74">
        <f>IF(E1972="SERVICE",I1972-(I1972*50%),Vlookup(E1972,DATABASE!C:Q,10,false)*F1972)</f>
        <v>0</v>
      </c>
      <c r="K1972" s="74">
        <v>0.0</v>
      </c>
      <c r="L1972" s="74">
        <v>0.0</v>
      </c>
      <c r="M1972" s="74">
        <f t="shared" si="2"/>
        <v>0</v>
      </c>
      <c r="N1972" s="74">
        <f t="shared" si="3"/>
        <v>60000</v>
      </c>
      <c r="O1972" s="65" t="str">
        <f>VLOOKUP(E1972,DATABASE!C:Q,8,false)</f>
        <v>BIAN</v>
      </c>
      <c r="P1972" s="65">
        <f>VLOOKUP(E1972,DATABASE!C:Q,9,False)</f>
        <v>0</v>
      </c>
      <c r="Q1972" s="93" t="str">
        <f>VLOOKUP(E1972,DATABASE!C:Q,4,false)</f>
        <v>Balancing</v>
      </c>
      <c r="R1972" s="93" t="str">
        <f>VLOOKUP(E1972,DATABASE!C:Q,11,false)</f>
        <v>COMPLEMENTARY</v>
      </c>
    </row>
    <row r="1973" ht="22.5" customHeight="1">
      <c r="A1973" s="49"/>
      <c r="C1973" s="384">
        <v>45760.0</v>
      </c>
      <c r="D1973" s="65">
        <v>5195.0</v>
      </c>
      <c r="E1973" s="445" t="s">
        <v>256</v>
      </c>
      <c r="F1973" s="386">
        <v>1.0</v>
      </c>
      <c r="G1973" s="74">
        <v>130000.0</v>
      </c>
      <c r="H1973" s="74">
        <v>0.0</v>
      </c>
      <c r="I1973" s="74">
        <f t="shared" si="1"/>
        <v>130000</v>
      </c>
      <c r="J1973" s="74">
        <f>IF(E1973="SERVICE",I1973-(I1973*50%),Vlookup(E1973,DATABASE!C:Q,10,false)*F1973)</f>
        <v>10000</v>
      </c>
      <c r="K1973" s="74">
        <f>VLOOKUP(E1973,DATABASE!C:Q,7,false)</f>
        <v>0</v>
      </c>
      <c r="L1973" s="74">
        <v>0.0</v>
      </c>
      <c r="M1973" s="74">
        <f t="shared" si="2"/>
        <v>0</v>
      </c>
      <c r="N1973" s="74">
        <f t="shared" si="3"/>
        <v>120000</v>
      </c>
      <c r="O1973" s="65" t="str">
        <f>VLOOKUP(E1973,DATABASE!C:Q,8,false)</f>
        <v>IBU</v>
      </c>
      <c r="P1973" s="65">
        <f>VLOOKUP(E1973,DATABASE!C:Q,9,False)</f>
        <v>0</v>
      </c>
      <c r="Q1973" s="93" t="str">
        <f>VLOOKUP(E1973,DATABASE!C:Q,4,false)</f>
        <v>SPOORING</v>
      </c>
      <c r="R1973" s="93" t="str">
        <f>VLOOKUP(E1973,DATABASE!C:Q,11,false)</f>
        <v>SERVICE</v>
      </c>
    </row>
    <row r="1974" ht="22.5" customHeight="1">
      <c r="A1974" s="49"/>
      <c r="C1974" s="384">
        <v>45760.0</v>
      </c>
      <c r="D1974" s="65">
        <v>5195.0</v>
      </c>
      <c r="E1974" s="445" t="s">
        <v>251</v>
      </c>
      <c r="F1974" s="386">
        <v>1.0</v>
      </c>
      <c r="G1974" s="74">
        <v>150000.0</v>
      </c>
      <c r="H1974" s="74">
        <v>0.0</v>
      </c>
      <c r="I1974" s="74">
        <f t="shared" si="1"/>
        <v>150000</v>
      </c>
      <c r="J1974" s="74">
        <f>IF(E1974="SERVICE",I1974-(I1974*50%),Vlookup(E1974,DATABASE!C:Q,10,false)*F1974)</f>
        <v>75000</v>
      </c>
      <c r="K1974" s="74">
        <f>VLOOKUP(E1974,DATABASE!C:Q,7,false)</f>
        <v>0</v>
      </c>
      <c r="L1974" s="74">
        <v>0.0</v>
      </c>
      <c r="M1974" s="74">
        <f t="shared" si="2"/>
        <v>0</v>
      </c>
      <c r="N1974" s="74">
        <f t="shared" si="3"/>
        <v>75000</v>
      </c>
      <c r="O1974" s="65" t="str">
        <f>VLOOKUP(E1974,DATABASE!C:Q,8,false)</f>
        <v>IBU</v>
      </c>
      <c r="P1974" s="65">
        <f>VLOOKUP(E1974,DATABASE!C:Q,9,False)</f>
        <v>0</v>
      </c>
      <c r="Q1974" s="93" t="str">
        <f>VLOOKUP(E1974,DATABASE!C:Q,4,false)</f>
        <v>SERVICE</v>
      </c>
      <c r="R1974" s="93" t="str">
        <f>VLOOKUP(E1974,DATABASE!C:Q,11,false)</f>
        <v>SERVICE</v>
      </c>
    </row>
    <row r="1975" ht="22.5" customHeight="1">
      <c r="A1975" s="49"/>
      <c r="C1975" s="384">
        <v>45760.0</v>
      </c>
      <c r="D1975" s="65">
        <v>5196.0</v>
      </c>
      <c r="E1975" s="445" t="s">
        <v>1009</v>
      </c>
      <c r="F1975" s="386">
        <v>1.0</v>
      </c>
      <c r="G1975" s="74">
        <v>700000.0</v>
      </c>
      <c r="H1975" s="74">
        <v>0.0</v>
      </c>
      <c r="I1975" s="74">
        <f t="shared" si="1"/>
        <v>700000</v>
      </c>
      <c r="J1975" s="74">
        <f>IF(E1975="SERVICE",I1975-(I1975*50%),Vlookup(E1975,DATABASE!C:Q,10,false)*F1975)</f>
        <v>0</v>
      </c>
      <c r="K1975" s="74">
        <f>VLOOKUP(E1975,DATABASE!C:Q,7,false)</f>
        <v>609800</v>
      </c>
      <c r="L1975" s="74">
        <v>592200.0</v>
      </c>
      <c r="M1975" s="74">
        <f t="shared" si="2"/>
        <v>595000</v>
      </c>
      <c r="N1975" s="74">
        <f t="shared" si="3"/>
        <v>105000</v>
      </c>
      <c r="O1975" s="65" t="str">
        <f>VLOOKUP(E1975,DATABASE!C:Q,8,false)</f>
        <v>BIAN</v>
      </c>
      <c r="P1975" s="65">
        <f>VLOOKUP(E1975,DATABASE!C:Q,9,False)</f>
        <v>1</v>
      </c>
      <c r="Q1975" s="93" t="str">
        <f>VLOOKUP(E1975,DATABASE!C:Q,4,false)</f>
        <v>GT</v>
      </c>
      <c r="R1975" s="93" t="str">
        <f>VLOOKUP(E1975,DATABASE!C:Q,11,false)</f>
        <v>Tire</v>
      </c>
    </row>
    <row r="1976" ht="22.5" customHeight="1">
      <c r="A1976" s="49"/>
      <c r="C1976" s="384">
        <v>45760.0</v>
      </c>
      <c r="D1976" s="65">
        <v>5197.0</v>
      </c>
      <c r="E1976" s="385" t="s">
        <v>299</v>
      </c>
      <c r="F1976" s="386">
        <v>2.0</v>
      </c>
      <c r="G1976" s="74">
        <v>30000.0</v>
      </c>
      <c r="H1976" s="74">
        <v>0.0</v>
      </c>
      <c r="I1976" s="74">
        <f t="shared" si="1"/>
        <v>60000</v>
      </c>
      <c r="J1976" s="74">
        <f>IF(E1976="SERVICE",I1976-(I1976*50%),Vlookup(E1976,DATABASE!C:Q,10,false)*F1976)</f>
        <v>0</v>
      </c>
      <c r="K1976" s="74">
        <v>0.0</v>
      </c>
      <c r="L1976" s="74">
        <v>0.0</v>
      </c>
      <c r="M1976" s="74">
        <f t="shared" si="2"/>
        <v>0</v>
      </c>
      <c r="N1976" s="74">
        <f t="shared" si="3"/>
        <v>60000</v>
      </c>
      <c r="O1976" s="65" t="str">
        <f>VLOOKUP(E1976,DATABASE!C:Q,8,false)</f>
        <v>BIAN</v>
      </c>
      <c r="P1976" s="65">
        <f>VLOOKUP(E1976,DATABASE!C:Q,9,False)</f>
        <v>0</v>
      </c>
      <c r="Q1976" s="93" t="str">
        <f>VLOOKUP(E1976,DATABASE!C:Q,4,false)</f>
        <v>Balancing</v>
      </c>
      <c r="R1976" s="93" t="str">
        <f>VLOOKUP(E1976,DATABASE!C:Q,11,false)</f>
        <v>COMPLEMENTARY</v>
      </c>
    </row>
    <row r="1977" ht="22.5" customHeight="1">
      <c r="A1977" s="49"/>
      <c r="C1977" s="384">
        <v>45760.0</v>
      </c>
      <c r="D1977" s="65">
        <v>5198.0</v>
      </c>
      <c r="E1977" s="445" t="s">
        <v>566</v>
      </c>
      <c r="F1977" s="386">
        <v>2.0</v>
      </c>
      <c r="G1977" s="74">
        <v>1670000.0</v>
      </c>
      <c r="H1977" s="74">
        <v>0.0</v>
      </c>
      <c r="I1977" s="74">
        <f t="shared" si="1"/>
        <v>3340000</v>
      </c>
      <c r="J1977" s="74">
        <f>IF(E1977="SERVICE",I1977-(I1977*50%),Vlookup(E1977,DATABASE!C:Q,10,false)*F1977)</f>
        <v>0</v>
      </c>
      <c r="K1977" s="140">
        <v>1570000.0</v>
      </c>
      <c r="L1977" s="140">
        <v>1570000.0</v>
      </c>
      <c r="M1977" s="74">
        <f t="shared" si="2"/>
        <v>1570000</v>
      </c>
      <c r="N1977" s="74">
        <f t="shared" si="3"/>
        <v>200000</v>
      </c>
      <c r="O1977" s="65" t="str">
        <f>VLOOKUP(E1977,DATABASE!C:Q,8,false)</f>
        <v>IBU</v>
      </c>
      <c r="P1977" s="65">
        <f>VLOOKUP(E1977,DATABASE!C:Q,9,False)</f>
        <v>1</v>
      </c>
      <c r="Q1977" s="93" t="str">
        <f>VLOOKUP(E1977,DATABASE!C:Q,4,false)</f>
        <v>Bridgestone</v>
      </c>
      <c r="R1977" s="93" t="str">
        <f>VLOOKUP(E1977,DATABASE!C:Q,11,false)</f>
        <v>Tire</v>
      </c>
    </row>
    <row r="1978" ht="22.5" customHeight="1">
      <c r="A1978" s="49"/>
      <c r="C1978" s="384">
        <v>45760.0</v>
      </c>
      <c r="D1978" s="65">
        <v>5199.0</v>
      </c>
      <c r="E1978" s="445" t="s">
        <v>256</v>
      </c>
      <c r="F1978" s="386">
        <v>1.0</v>
      </c>
      <c r="G1978" s="74">
        <v>130000.0</v>
      </c>
      <c r="H1978" s="74">
        <v>0.0</v>
      </c>
      <c r="I1978" s="74">
        <f t="shared" si="1"/>
        <v>130000</v>
      </c>
      <c r="J1978" s="74">
        <f>IF(E1978="SERVICE",I1978-(I1978*50%),Vlookup(E1978,DATABASE!C:Q,10,false)*F1978)</f>
        <v>10000</v>
      </c>
      <c r="K1978" s="74">
        <f>VLOOKUP(E1978,DATABASE!C:Q,7,false)</f>
        <v>0</v>
      </c>
      <c r="L1978" s="74">
        <v>0.0</v>
      </c>
      <c r="M1978" s="74">
        <f t="shared" si="2"/>
        <v>0</v>
      </c>
      <c r="N1978" s="74">
        <f t="shared" si="3"/>
        <v>120000</v>
      </c>
      <c r="O1978" s="65" t="str">
        <f>VLOOKUP(E1978,DATABASE!C:Q,8,false)</f>
        <v>IBU</v>
      </c>
      <c r="P1978" s="65">
        <f>VLOOKUP(E1978,DATABASE!C:Q,9,False)</f>
        <v>0</v>
      </c>
      <c r="Q1978" s="93" t="str">
        <f>VLOOKUP(E1978,DATABASE!C:Q,4,false)</f>
        <v>SPOORING</v>
      </c>
      <c r="R1978" s="93" t="str">
        <f>VLOOKUP(E1978,DATABASE!C:Q,11,false)</f>
        <v>SERVICE</v>
      </c>
    </row>
    <row r="1979" ht="22.5" customHeight="1">
      <c r="A1979" s="49"/>
      <c r="C1979" s="384">
        <v>45760.0</v>
      </c>
      <c r="D1979" s="65">
        <v>5199.0</v>
      </c>
      <c r="E1979" s="385" t="s">
        <v>299</v>
      </c>
      <c r="F1979" s="386">
        <v>2.0</v>
      </c>
      <c r="G1979" s="74">
        <v>30000.0</v>
      </c>
      <c r="H1979" s="74">
        <v>0.0</v>
      </c>
      <c r="I1979" s="74">
        <f t="shared" si="1"/>
        <v>60000</v>
      </c>
      <c r="J1979" s="74">
        <f>IF(E1979="SERVICE",I1979-(I1979*50%),Vlookup(E1979,DATABASE!C:Q,10,false)*F1979)</f>
        <v>0</v>
      </c>
      <c r="K1979" s="74">
        <v>0.0</v>
      </c>
      <c r="L1979" s="74">
        <v>0.0</v>
      </c>
      <c r="M1979" s="74">
        <f t="shared" si="2"/>
        <v>0</v>
      </c>
      <c r="N1979" s="74">
        <f t="shared" si="3"/>
        <v>60000</v>
      </c>
      <c r="O1979" s="65" t="str">
        <f>VLOOKUP(E1979,DATABASE!C:Q,8,false)</f>
        <v>BIAN</v>
      </c>
      <c r="P1979" s="65">
        <f>VLOOKUP(E1979,DATABASE!C:Q,9,False)</f>
        <v>0</v>
      </c>
      <c r="Q1979" s="93" t="str">
        <f>VLOOKUP(E1979,DATABASE!C:Q,4,false)</f>
        <v>Balancing</v>
      </c>
      <c r="R1979" s="93" t="str">
        <f>VLOOKUP(E1979,DATABASE!C:Q,11,false)</f>
        <v>COMPLEMENTARY</v>
      </c>
    </row>
    <row r="1980" ht="22.5" customHeight="1">
      <c r="A1980" s="49"/>
      <c r="C1980" s="384">
        <v>45760.0</v>
      </c>
      <c r="D1980" s="65">
        <v>5199.0</v>
      </c>
      <c r="E1980" s="445" t="s">
        <v>301</v>
      </c>
      <c r="F1980" s="386">
        <v>1.0</v>
      </c>
      <c r="G1980" s="74">
        <v>250000.0</v>
      </c>
      <c r="H1980" s="74">
        <v>0.0</v>
      </c>
      <c r="I1980" s="74">
        <f t="shared" si="1"/>
        <v>250000</v>
      </c>
      <c r="J1980" s="74">
        <f>IF(E1980="SERVICE",I1980-(I1980*50%),Vlookup(E1980,DATABASE!C:Q,10,false)*F1980)</f>
        <v>75000</v>
      </c>
      <c r="K1980" s="74">
        <f>VLOOKUP(E1980,DATABASE!C:Q,7,false)</f>
        <v>75000</v>
      </c>
      <c r="L1980" s="74">
        <v>75000.0</v>
      </c>
      <c r="M1980" s="74">
        <f t="shared" si="2"/>
        <v>75000</v>
      </c>
      <c r="N1980" s="74">
        <f t="shared" si="3"/>
        <v>100000</v>
      </c>
      <c r="O1980" s="65" t="str">
        <f>VLOOKUP(E1980,DATABASE!C:Q,8,false)</f>
        <v>BIAN</v>
      </c>
      <c r="P1980" s="65">
        <f>VLOOKUP(E1980,DATABASE!C:Q,9,False)</f>
        <v>0</v>
      </c>
      <c r="Q1980" s="93" t="str">
        <f>VLOOKUP(E1980,DATABASE!C:Q,4,false)</f>
        <v>Baut Camber</v>
      </c>
      <c r="R1980" s="93" t="str">
        <f>VLOOKUP(E1980,DATABASE!C:Q,11,false)</f>
        <v>COMPLEMENTARY</v>
      </c>
    </row>
    <row r="1981" ht="22.5" customHeight="1">
      <c r="A1981" s="49"/>
      <c r="C1981" s="384">
        <v>45760.0</v>
      </c>
      <c r="D1981" s="65">
        <v>5200.0</v>
      </c>
      <c r="E1981" s="445" t="s">
        <v>744</v>
      </c>
      <c r="F1981" s="386">
        <v>2.0</v>
      </c>
      <c r="G1981" s="74">
        <v>230000.0</v>
      </c>
      <c r="H1981" s="74">
        <v>0.0</v>
      </c>
      <c r="I1981" s="74">
        <f t="shared" si="1"/>
        <v>460000</v>
      </c>
      <c r="J1981" s="74">
        <f>IF(E1981="SERVICE",I1981-(I1981*50%),Vlookup(E1981,DATABASE!C:Q,10,false)*F1981)</f>
        <v>0</v>
      </c>
      <c r="K1981" s="74">
        <f>VLOOKUP(E1981,DATABASE!C:Q,7,false)</f>
        <v>182200</v>
      </c>
      <c r="L1981" s="74">
        <v>199920.0</v>
      </c>
      <c r="M1981" s="74">
        <f t="shared" si="2"/>
        <v>200000</v>
      </c>
      <c r="N1981" s="74">
        <f t="shared" si="3"/>
        <v>60000</v>
      </c>
      <c r="O1981" s="65" t="str">
        <f>VLOOKUP(E1981,DATABASE!C:Q,8,false)</f>
        <v>BIAN</v>
      </c>
      <c r="P1981" s="65">
        <f>VLOOKUP(E1981,DATABASE!C:Q,9,False)</f>
        <v>1</v>
      </c>
      <c r="Q1981" s="93" t="str">
        <f>VLOOKUP(E1981,DATABASE!C:Q,4,false)</f>
        <v>BD</v>
      </c>
      <c r="R1981" s="93" t="str">
        <f>VLOOKUP(E1981,DATABASE!C:Q,11,false)</f>
        <v>Tire</v>
      </c>
    </row>
    <row r="1982" ht="22.5" customHeight="1">
      <c r="A1982" s="49"/>
      <c r="C1982" s="384">
        <v>45760.0</v>
      </c>
      <c r="D1982" s="65">
        <v>5201.0</v>
      </c>
      <c r="E1982" s="445" t="s">
        <v>256</v>
      </c>
      <c r="F1982" s="386">
        <v>1.0</v>
      </c>
      <c r="G1982" s="74">
        <v>130000.0</v>
      </c>
      <c r="H1982" s="74">
        <v>0.0</v>
      </c>
      <c r="I1982" s="74">
        <f t="shared" si="1"/>
        <v>130000</v>
      </c>
      <c r="J1982" s="74">
        <f>IF(E1982="SERVICE",I1982-(I1982*50%),Vlookup(E1982,DATABASE!C:Q,10,false)*F1982)</f>
        <v>10000</v>
      </c>
      <c r="K1982" s="74">
        <f>VLOOKUP(E1982,DATABASE!C:Q,7,false)</f>
        <v>0</v>
      </c>
      <c r="L1982" s="74">
        <v>0.0</v>
      </c>
      <c r="M1982" s="74">
        <f t="shared" si="2"/>
        <v>0</v>
      </c>
      <c r="N1982" s="74">
        <f t="shared" si="3"/>
        <v>120000</v>
      </c>
      <c r="O1982" s="65" t="str">
        <f>VLOOKUP(E1982,DATABASE!C:Q,8,false)</f>
        <v>IBU</v>
      </c>
      <c r="P1982" s="65">
        <f>VLOOKUP(E1982,DATABASE!C:Q,9,False)</f>
        <v>0</v>
      </c>
      <c r="Q1982" s="93" t="str">
        <f>VLOOKUP(E1982,DATABASE!C:Q,4,false)</f>
        <v>SPOORING</v>
      </c>
      <c r="R1982" s="93" t="str">
        <f>VLOOKUP(E1982,DATABASE!C:Q,11,false)</f>
        <v>SERVICE</v>
      </c>
    </row>
    <row r="1983" ht="22.5" customHeight="1">
      <c r="A1983" s="49"/>
      <c r="C1983" s="384">
        <v>45760.0</v>
      </c>
      <c r="D1983" s="65">
        <v>5201.0</v>
      </c>
      <c r="E1983" s="445" t="s">
        <v>301</v>
      </c>
      <c r="F1983" s="386">
        <v>1.0</v>
      </c>
      <c r="G1983" s="74">
        <v>250000.0</v>
      </c>
      <c r="H1983" s="74">
        <v>0.0</v>
      </c>
      <c r="I1983" s="74">
        <f t="shared" si="1"/>
        <v>250000</v>
      </c>
      <c r="J1983" s="74">
        <f>IF(E1983="SERVICE",I1983-(I1983*50%),Vlookup(E1983,DATABASE!C:Q,10,false)*F1983)</f>
        <v>75000</v>
      </c>
      <c r="K1983" s="74">
        <f>VLOOKUP(E1983,DATABASE!C:Q,7,false)</f>
        <v>75000</v>
      </c>
      <c r="L1983" s="74">
        <v>75000.0</v>
      </c>
      <c r="M1983" s="74">
        <f t="shared" si="2"/>
        <v>75000</v>
      </c>
      <c r="N1983" s="74">
        <f t="shared" si="3"/>
        <v>100000</v>
      </c>
      <c r="O1983" s="65" t="str">
        <f>VLOOKUP(E1983,DATABASE!C:Q,8,false)</f>
        <v>BIAN</v>
      </c>
      <c r="P1983" s="65">
        <f>VLOOKUP(E1983,DATABASE!C:Q,9,False)</f>
        <v>0</v>
      </c>
      <c r="Q1983" s="93" t="str">
        <f>VLOOKUP(E1983,DATABASE!C:Q,4,false)</f>
        <v>Baut Camber</v>
      </c>
      <c r="R1983" s="93" t="str">
        <f>VLOOKUP(E1983,DATABASE!C:Q,11,false)</f>
        <v>COMPLEMENTARY</v>
      </c>
    </row>
    <row r="1984" ht="22.5" customHeight="1">
      <c r="A1984" s="49"/>
      <c r="C1984" s="384">
        <v>45760.0</v>
      </c>
      <c r="D1984" s="65">
        <v>5202.0</v>
      </c>
      <c r="E1984" s="445" t="s">
        <v>256</v>
      </c>
      <c r="F1984" s="386">
        <v>1.0</v>
      </c>
      <c r="G1984" s="74">
        <v>130000.0</v>
      </c>
      <c r="H1984" s="74">
        <v>0.0</v>
      </c>
      <c r="I1984" s="74">
        <f t="shared" si="1"/>
        <v>130000</v>
      </c>
      <c r="J1984" s="74">
        <f>IF(E1984="SERVICE",I1984-(I1984*50%),Vlookup(E1984,DATABASE!C:Q,10,false)*F1984)</f>
        <v>10000</v>
      </c>
      <c r="K1984" s="74">
        <f>VLOOKUP(E1984,DATABASE!C:Q,7,false)</f>
        <v>0</v>
      </c>
      <c r="L1984" s="74">
        <v>0.0</v>
      </c>
      <c r="M1984" s="74">
        <f t="shared" si="2"/>
        <v>0</v>
      </c>
      <c r="N1984" s="74">
        <f t="shared" si="3"/>
        <v>120000</v>
      </c>
      <c r="O1984" s="65" t="str">
        <f>VLOOKUP(E1984,DATABASE!C:Q,8,false)</f>
        <v>IBU</v>
      </c>
      <c r="P1984" s="65">
        <f>VLOOKUP(E1984,DATABASE!C:Q,9,False)</f>
        <v>0</v>
      </c>
      <c r="Q1984" s="93" t="str">
        <f>VLOOKUP(E1984,DATABASE!C:Q,4,false)</f>
        <v>SPOORING</v>
      </c>
      <c r="R1984" s="93" t="str">
        <f>VLOOKUP(E1984,DATABASE!C:Q,11,false)</f>
        <v>SERVICE</v>
      </c>
    </row>
    <row r="1985" ht="22.5" customHeight="1">
      <c r="A1985" s="49"/>
      <c r="C1985" s="384">
        <v>45760.0</v>
      </c>
      <c r="D1985" s="65">
        <v>5202.0</v>
      </c>
      <c r="E1985" s="385" t="s">
        <v>299</v>
      </c>
      <c r="F1985" s="386">
        <v>2.0</v>
      </c>
      <c r="G1985" s="74">
        <v>30000.0</v>
      </c>
      <c r="H1985" s="74">
        <v>0.0</v>
      </c>
      <c r="I1985" s="74">
        <f t="shared" si="1"/>
        <v>60000</v>
      </c>
      <c r="J1985" s="74">
        <f>IF(E1985="SERVICE",I1985-(I1985*50%),Vlookup(E1985,DATABASE!C:Q,10,false)*F1985)</f>
        <v>0</v>
      </c>
      <c r="K1985" s="74">
        <v>0.0</v>
      </c>
      <c r="L1985" s="74">
        <v>0.0</v>
      </c>
      <c r="M1985" s="74">
        <f t="shared" si="2"/>
        <v>0</v>
      </c>
      <c r="N1985" s="74">
        <f t="shared" si="3"/>
        <v>60000</v>
      </c>
      <c r="O1985" s="65" t="str">
        <f>VLOOKUP(E1985,DATABASE!C:Q,8,false)</f>
        <v>BIAN</v>
      </c>
      <c r="P1985" s="65">
        <f>VLOOKUP(E1985,DATABASE!C:Q,9,False)</f>
        <v>0</v>
      </c>
      <c r="Q1985" s="93" t="str">
        <f>VLOOKUP(E1985,DATABASE!C:Q,4,false)</f>
        <v>Balancing</v>
      </c>
      <c r="R1985" s="93" t="str">
        <f>VLOOKUP(E1985,DATABASE!C:Q,11,false)</f>
        <v>COMPLEMENTARY</v>
      </c>
    </row>
    <row r="1986" ht="22.5" customHeight="1">
      <c r="A1986" s="49"/>
      <c r="C1986" s="384">
        <v>45760.0</v>
      </c>
      <c r="D1986" s="65">
        <v>5203.0</v>
      </c>
      <c r="E1986" s="445" t="s">
        <v>262</v>
      </c>
      <c r="F1986" s="386">
        <v>1.0</v>
      </c>
      <c r="G1986" s="74">
        <v>110000.0</v>
      </c>
      <c r="H1986" s="74">
        <v>0.0</v>
      </c>
      <c r="I1986" s="74">
        <f t="shared" si="1"/>
        <v>110000</v>
      </c>
      <c r="J1986" s="74">
        <f>IF(E1986="SERVICE",I1986-(I1986*50%),Vlookup(E1986,DATABASE!C:Q,10,false)*F1986)</f>
        <v>5000</v>
      </c>
      <c r="K1986" s="74">
        <f>VLOOKUP(E1986,DATABASE!C:Q,7,false)</f>
        <v>0</v>
      </c>
      <c r="L1986" s="74">
        <v>0.0</v>
      </c>
      <c r="M1986" s="74">
        <f t="shared" si="2"/>
        <v>0</v>
      </c>
      <c r="N1986" s="74">
        <f t="shared" si="3"/>
        <v>105000</v>
      </c>
      <c r="O1986" s="65" t="str">
        <f>VLOOKUP(E1986,DATABASE!C:Q,8,false)</f>
        <v>IBU</v>
      </c>
      <c r="P1986" s="65">
        <f>VLOOKUP(E1986,DATABASE!C:Q,9,False)</f>
        <v>0</v>
      </c>
      <c r="Q1986" s="93" t="str">
        <f>VLOOKUP(E1986,DATABASE!C:Q,4,false)</f>
        <v>SPOORING SS/CARRY LOS BAK</v>
      </c>
      <c r="R1986" s="93" t="str">
        <f>VLOOKUP(E1986,DATABASE!C:Q,11,false)</f>
        <v>SERVICE</v>
      </c>
    </row>
    <row r="1987" ht="22.5" customHeight="1">
      <c r="A1987" s="49"/>
      <c r="C1987" s="384">
        <v>45760.0</v>
      </c>
      <c r="D1987" s="65">
        <v>5203.0</v>
      </c>
      <c r="E1987" s="385" t="s">
        <v>299</v>
      </c>
      <c r="F1987" s="386">
        <v>2.0</v>
      </c>
      <c r="G1987" s="74">
        <v>30000.0</v>
      </c>
      <c r="H1987" s="74">
        <v>0.0</v>
      </c>
      <c r="I1987" s="74">
        <f t="shared" si="1"/>
        <v>60000</v>
      </c>
      <c r="J1987" s="74">
        <f>IF(E1987="SERVICE",I1987-(I1987*50%),Vlookup(E1987,DATABASE!C:Q,10,false)*F1987)</f>
        <v>0</v>
      </c>
      <c r="K1987" s="74">
        <v>0.0</v>
      </c>
      <c r="L1987" s="74">
        <v>0.0</v>
      </c>
      <c r="M1987" s="74">
        <f t="shared" si="2"/>
        <v>0</v>
      </c>
      <c r="N1987" s="74">
        <f t="shared" si="3"/>
        <v>60000</v>
      </c>
      <c r="O1987" s="65" t="str">
        <f>VLOOKUP(E1987,DATABASE!C:Q,8,false)</f>
        <v>BIAN</v>
      </c>
      <c r="P1987" s="65">
        <f>VLOOKUP(E1987,DATABASE!C:Q,9,False)</f>
        <v>0</v>
      </c>
      <c r="Q1987" s="93" t="str">
        <f>VLOOKUP(E1987,DATABASE!C:Q,4,false)</f>
        <v>Balancing</v>
      </c>
      <c r="R1987" s="93" t="str">
        <f>VLOOKUP(E1987,DATABASE!C:Q,11,false)</f>
        <v>COMPLEMENTARY</v>
      </c>
    </row>
    <row r="1988" ht="22.5" customHeight="1">
      <c r="A1988" s="49"/>
      <c r="C1988" s="384">
        <v>45760.0</v>
      </c>
      <c r="D1988" s="65">
        <v>5203.0</v>
      </c>
      <c r="E1988" s="445" t="s">
        <v>478</v>
      </c>
      <c r="F1988" s="386">
        <v>1.0</v>
      </c>
      <c r="G1988" s="74">
        <v>200000.0</v>
      </c>
      <c r="H1988" s="74">
        <v>0.0</v>
      </c>
      <c r="I1988" s="74">
        <f t="shared" si="1"/>
        <v>200000</v>
      </c>
      <c r="J1988" s="74">
        <f>IF(E1988="SERVICE",I1988-(I1988*50%),Vlookup(E1988,DATABASE!C:Q,10,false)*F1988)</f>
        <v>25000</v>
      </c>
      <c r="K1988" s="74">
        <f>VLOOKUP(E1988,DATABASE!C:Q,7,false)</f>
        <v>75000</v>
      </c>
      <c r="L1988" s="74">
        <v>75000.0</v>
      </c>
      <c r="M1988" s="74">
        <f t="shared" si="2"/>
        <v>75000</v>
      </c>
      <c r="N1988" s="74">
        <f t="shared" si="3"/>
        <v>100000</v>
      </c>
      <c r="O1988" s="65" t="str">
        <f>VLOOKUP(E1988,DATABASE!C:Q,8,false)</f>
        <v>BIAN</v>
      </c>
      <c r="P1988" s="65">
        <f>VLOOKUP(E1988,DATABASE!C:Q,9,False)</f>
        <v>0</v>
      </c>
      <c r="Q1988" s="93" t="str">
        <f>VLOOKUP(E1988,DATABASE!C:Q,4,false)</f>
        <v>Baut Camber ss-carry</v>
      </c>
      <c r="R1988" s="93" t="str">
        <f>VLOOKUP(E1988,DATABASE!C:Q,11,false)</f>
        <v>COMPLEMENTARY</v>
      </c>
    </row>
    <row r="1989" ht="22.5" customHeight="1">
      <c r="A1989" s="49"/>
      <c r="C1989" s="384">
        <v>45760.0</v>
      </c>
      <c r="D1989" s="65">
        <v>5203.0</v>
      </c>
      <c r="E1989" s="445" t="s">
        <v>251</v>
      </c>
      <c r="F1989" s="386">
        <v>1.0</v>
      </c>
      <c r="G1989" s="74">
        <v>80000.0</v>
      </c>
      <c r="H1989" s="74">
        <v>0.0</v>
      </c>
      <c r="I1989" s="74">
        <f t="shared" si="1"/>
        <v>80000</v>
      </c>
      <c r="J1989" s="74">
        <f>IF(E1989="SERVICE",I1989-(I1989*50%),Vlookup(E1989,DATABASE!C:Q,10,false)*F1989)</f>
        <v>40000</v>
      </c>
      <c r="K1989" s="74">
        <f>VLOOKUP(E1989,DATABASE!C:Q,7,false)</f>
        <v>0</v>
      </c>
      <c r="L1989" s="74">
        <v>0.0</v>
      </c>
      <c r="M1989" s="74">
        <f t="shared" si="2"/>
        <v>0</v>
      </c>
      <c r="N1989" s="74">
        <f t="shared" si="3"/>
        <v>40000</v>
      </c>
      <c r="O1989" s="65" t="str">
        <f>VLOOKUP(E1989,DATABASE!C:Q,8,false)</f>
        <v>IBU</v>
      </c>
      <c r="P1989" s="65">
        <f>VLOOKUP(E1989,DATABASE!C:Q,9,False)</f>
        <v>0</v>
      </c>
      <c r="Q1989" s="93" t="str">
        <f>VLOOKUP(E1989,DATABASE!C:Q,4,false)</f>
        <v>SERVICE</v>
      </c>
      <c r="R1989" s="93" t="str">
        <f>VLOOKUP(E1989,DATABASE!C:Q,11,false)</f>
        <v>SERVICE</v>
      </c>
    </row>
    <row r="1990" ht="22.5" customHeight="1">
      <c r="A1990" s="49"/>
      <c r="C1990" s="384">
        <v>45761.0</v>
      </c>
      <c r="D1990" s="65">
        <v>5204.0</v>
      </c>
      <c r="E1990" s="445" t="s">
        <v>847</v>
      </c>
      <c r="F1990" s="386">
        <v>1.0</v>
      </c>
      <c r="G1990" s="74">
        <v>775000.0</v>
      </c>
      <c r="H1990" s="74">
        <v>0.0</v>
      </c>
      <c r="I1990" s="74">
        <f t="shared" si="1"/>
        <v>775000</v>
      </c>
      <c r="J1990" s="74">
        <f>IF(E1990="SERVICE",I1990-(I1990*50%),Vlookup(E1990,DATABASE!C:Q,10,false)*F1990)</f>
        <v>0</v>
      </c>
      <c r="K1990" s="74">
        <f>VLOOKUP(E1990,DATABASE!C:Q,7,false)</f>
        <v>718080</v>
      </c>
      <c r="L1990" s="74">
        <v>672210.0</v>
      </c>
      <c r="M1990" s="74">
        <f t="shared" si="2"/>
        <v>675000</v>
      </c>
      <c r="N1990" s="74">
        <f t="shared" si="3"/>
        <v>100000</v>
      </c>
      <c r="O1990" s="65" t="str">
        <f>VLOOKUP(E1990,DATABASE!C:Q,8,false)</f>
        <v>BIAN</v>
      </c>
      <c r="P1990" s="65">
        <f>VLOOKUP(E1990,DATABASE!C:Q,9,False)</f>
        <v>1</v>
      </c>
      <c r="Q1990" s="93" t="str">
        <f>VLOOKUP(E1990,DATABASE!C:Q,4,false)</f>
        <v>GT</v>
      </c>
      <c r="R1990" s="93" t="str">
        <f>VLOOKUP(E1990,DATABASE!C:Q,11,false)</f>
        <v>Tire</v>
      </c>
    </row>
    <row r="1991" ht="22.5" customHeight="1">
      <c r="A1991" s="49"/>
      <c r="C1991" s="384">
        <v>45761.0</v>
      </c>
      <c r="D1991" s="65">
        <v>5205.0</v>
      </c>
      <c r="E1991" s="445" t="s">
        <v>1160</v>
      </c>
      <c r="F1991" s="386">
        <v>2.0</v>
      </c>
      <c r="G1991" s="74">
        <v>880000.0</v>
      </c>
      <c r="H1991" s="74">
        <v>0.0</v>
      </c>
      <c r="I1991" s="74">
        <f t="shared" si="1"/>
        <v>1760000</v>
      </c>
      <c r="J1991" s="74">
        <f>IF(E1991="SERVICE",I1991-(I1991*50%),Vlookup(E1991,DATABASE!C:Q,10,false)*F1991)</f>
        <v>0</v>
      </c>
      <c r="K1991" s="74">
        <f>VLOOKUP(E1991,DATABASE!C:Q,7,false)</f>
        <v>799425</v>
      </c>
      <c r="L1991" s="74">
        <v>799425.0</v>
      </c>
      <c r="M1991" s="74">
        <f t="shared" si="2"/>
        <v>800000</v>
      </c>
      <c r="N1991" s="74">
        <f t="shared" si="3"/>
        <v>160000</v>
      </c>
      <c r="O1991" s="65" t="str">
        <f>VLOOKUP(E1991,DATABASE!C:Q,8,false)</f>
        <v>IBU</v>
      </c>
      <c r="P1991" s="65">
        <f>VLOOKUP(E1991,DATABASE!C:Q,9,False)</f>
        <v>1</v>
      </c>
      <c r="Q1991" s="93" t="str">
        <f>VLOOKUP(E1991,DATABASE!C:Q,4,false)</f>
        <v>Bridgestone</v>
      </c>
      <c r="R1991" s="93" t="str">
        <f>VLOOKUP(E1991,DATABASE!C:Q,11,false)</f>
        <v>Tire</v>
      </c>
    </row>
    <row r="1992" ht="22.5" customHeight="1">
      <c r="A1992" s="49"/>
      <c r="C1992" s="384">
        <v>45761.0</v>
      </c>
      <c r="D1992" s="65">
        <v>5206.0</v>
      </c>
      <c r="E1992" s="385" t="s">
        <v>299</v>
      </c>
      <c r="F1992" s="386">
        <v>2.0</v>
      </c>
      <c r="G1992" s="74">
        <v>30000.0</v>
      </c>
      <c r="H1992" s="74">
        <v>0.0</v>
      </c>
      <c r="I1992" s="74">
        <f t="shared" si="1"/>
        <v>60000</v>
      </c>
      <c r="J1992" s="74">
        <f>IF(E1992="SERVICE",I1992-(I1992*50%),Vlookup(E1992,DATABASE!C:Q,10,false)*F1992)</f>
        <v>0</v>
      </c>
      <c r="K1992" s="74">
        <v>0.0</v>
      </c>
      <c r="L1992" s="74">
        <v>0.0</v>
      </c>
      <c r="M1992" s="74">
        <f t="shared" si="2"/>
        <v>0</v>
      </c>
      <c r="N1992" s="74">
        <f t="shared" si="3"/>
        <v>60000</v>
      </c>
      <c r="O1992" s="65" t="str">
        <f>VLOOKUP(E1992,DATABASE!C:Q,8,false)</f>
        <v>BIAN</v>
      </c>
      <c r="P1992" s="65">
        <f>VLOOKUP(E1992,DATABASE!C:Q,9,False)</f>
        <v>0</v>
      </c>
      <c r="Q1992" s="93" t="str">
        <f>VLOOKUP(E1992,DATABASE!C:Q,4,false)</f>
        <v>Balancing</v>
      </c>
      <c r="R1992" s="93" t="str">
        <f>VLOOKUP(E1992,DATABASE!C:Q,11,false)</f>
        <v>COMPLEMENTARY</v>
      </c>
    </row>
    <row r="1993" ht="22.5" customHeight="1">
      <c r="A1993" s="49"/>
      <c r="C1993" s="384">
        <v>45761.0</v>
      </c>
      <c r="D1993" s="65">
        <v>5207.0</v>
      </c>
      <c r="E1993" s="445" t="s">
        <v>1009</v>
      </c>
      <c r="F1993" s="386">
        <v>1.0</v>
      </c>
      <c r="G1993" s="74">
        <v>700000.0</v>
      </c>
      <c r="H1993" s="74">
        <v>0.0</v>
      </c>
      <c r="I1993" s="74">
        <f t="shared" si="1"/>
        <v>700000</v>
      </c>
      <c r="J1993" s="74">
        <f>IF(E1993="SERVICE",I1993-(I1993*50%),Vlookup(E1993,DATABASE!C:Q,10,false)*F1993)</f>
        <v>0</v>
      </c>
      <c r="K1993" s="74">
        <f>VLOOKUP(E1993,DATABASE!C:Q,7,false)</f>
        <v>609800</v>
      </c>
      <c r="L1993" s="74">
        <v>592200.0</v>
      </c>
      <c r="M1993" s="74">
        <f t="shared" si="2"/>
        <v>595000</v>
      </c>
      <c r="N1993" s="74">
        <f t="shared" si="3"/>
        <v>105000</v>
      </c>
      <c r="O1993" s="65" t="str">
        <f>VLOOKUP(E1993,DATABASE!C:Q,8,false)</f>
        <v>BIAN</v>
      </c>
      <c r="P1993" s="65">
        <f>VLOOKUP(E1993,DATABASE!C:Q,9,False)</f>
        <v>1</v>
      </c>
      <c r="Q1993" s="93" t="str">
        <f>VLOOKUP(E1993,DATABASE!C:Q,4,false)</f>
        <v>GT</v>
      </c>
      <c r="R1993" s="93" t="str">
        <f>VLOOKUP(E1993,DATABASE!C:Q,11,false)</f>
        <v>Tire</v>
      </c>
    </row>
    <row r="1994" ht="22.5" customHeight="1">
      <c r="A1994" s="49"/>
      <c r="C1994" s="384">
        <v>45761.0</v>
      </c>
      <c r="D1994" s="65">
        <v>5207.0</v>
      </c>
      <c r="E1994" s="445" t="s">
        <v>256</v>
      </c>
      <c r="F1994" s="386">
        <v>1.0</v>
      </c>
      <c r="G1994" s="74">
        <v>130000.0</v>
      </c>
      <c r="H1994" s="74">
        <v>0.0</v>
      </c>
      <c r="I1994" s="74">
        <f t="shared" si="1"/>
        <v>130000</v>
      </c>
      <c r="J1994" s="74">
        <f>IF(E1994="SERVICE",I1994-(I1994*50%),Vlookup(E1994,DATABASE!C:Q,10,false)*F1994)</f>
        <v>10000</v>
      </c>
      <c r="K1994" s="74">
        <f>VLOOKUP(E1994,DATABASE!C:Q,7,false)</f>
        <v>0</v>
      </c>
      <c r="L1994" s="74">
        <v>0.0</v>
      </c>
      <c r="M1994" s="74">
        <f t="shared" si="2"/>
        <v>0</v>
      </c>
      <c r="N1994" s="74">
        <f t="shared" si="3"/>
        <v>120000</v>
      </c>
      <c r="O1994" s="65" t="str">
        <f>VLOOKUP(E1994,DATABASE!C:Q,8,false)</f>
        <v>IBU</v>
      </c>
      <c r="P1994" s="65">
        <f>VLOOKUP(E1994,DATABASE!C:Q,9,False)</f>
        <v>0</v>
      </c>
      <c r="Q1994" s="93" t="str">
        <f>VLOOKUP(E1994,DATABASE!C:Q,4,false)</f>
        <v>SPOORING</v>
      </c>
      <c r="R1994" s="93" t="str">
        <f>VLOOKUP(E1994,DATABASE!C:Q,11,false)</f>
        <v>SERVICE</v>
      </c>
    </row>
    <row r="1995" ht="22.5" customHeight="1">
      <c r="A1995" s="49"/>
      <c r="C1995" s="384">
        <v>45761.0</v>
      </c>
      <c r="D1995" s="65">
        <v>5207.0</v>
      </c>
      <c r="E1995" s="445" t="s">
        <v>301</v>
      </c>
      <c r="F1995" s="386">
        <v>1.0</v>
      </c>
      <c r="G1995" s="74">
        <v>250000.0</v>
      </c>
      <c r="H1995" s="74">
        <v>0.0</v>
      </c>
      <c r="I1995" s="74">
        <f t="shared" si="1"/>
        <v>250000</v>
      </c>
      <c r="J1995" s="74">
        <f>IF(E1995="SERVICE",I1995-(I1995*50%),Vlookup(E1995,DATABASE!C:Q,10,false)*F1995)</f>
        <v>75000</v>
      </c>
      <c r="K1995" s="74">
        <f>VLOOKUP(E1995,DATABASE!C:Q,7,false)</f>
        <v>75000</v>
      </c>
      <c r="L1995" s="74">
        <v>75000.0</v>
      </c>
      <c r="M1995" s="74">
        <f t="shared" si="2"/>
        <v>75000</v>
      </c>
      <c r="N1995" s="74">
        <f t="shared" si="3"/>
        <v>100000</v>
      </c>
      <c r="O1995" s="65" t="str">
        <f>VLOOKUP(E1995,DATABASE!C:Q,8,false)</f>
        <v>BIAN</v>
      </c>
      <c r="P1995" s="65">
        <f>VLOOKUP(E1995,DATABASE!C:Q,9,False)</f>
        <v>0</v>
      </c>
      <c r="Q1995" s="93" t="str">
        <f>VLOOKUP(E1995,DATABASE!C:Q,4,false)</f>
        <v>Baut Camber</v>
      </c>
      <c r="R1995" s="93" t="str">
        <f>VLOOKUP(E1995,DATABASE!C:Q,11,false)</f>
        <v>COMPLEMENTARY</v>
      </c>
    </row>
    <row r="1996" ht="22.5" customHeight="1">
      <c r="A1996" s="49"/>
      <c r="C1996" s="384">
        <v>45761.0</v>
      </c>
      <c r="D1996" s="65">
        <v>5208.0</v>
      </c>
      <c r="E1996" s="445" t="s">
        <v>777</v>
      </c>
      <c r="F1996" s="386">
        <v>1.0</v>
      </c>
      <c r="G1996" s="74">
        <v>585000.0</v>
      </c>
      <c r="H1996" s="74">
        <v>0.0</v>
      </c>
      <c r="I1996" s="74">
        <f t="shared" si="1"/>
        <v>585000</v>
      </c>
      <c r="J1996" s="74">
        <f>IF(E1996="SERVICE",I1996-(I1996*50%),Vlookup(E1996,DATABASE!C:Q,10,false)*F1996)</f>
        <v>0</v>
      </c>
      <c r="K1996" s="74">
        <f>VLOOKUP(E1996,DATABASE!C:Q,7,false)</f>
        <v>540000</v>
      </c>
      <c r="L1996" s="74">
        <v>507000.0</v>
      </c>
      <c r="M1996" s="74">
        <f t="shared" si="2"/>
        <v>510000</v>
      </c>
      <c r="N1996" s="74">
        <f t="shared" si="3"/>
        <v>75000</v>
      </c>
      <c r="O1996" s="65" t="str">
        <f>VLOOKUP(E1996,DATABASE!C:Q,8,false)</f>
        <v>BIAN</v>
      </c>
      <c r="P1996" s="65">
        <f>VLOOKUP(E1996,DATABASE!C:Q,9,False)</f>
        <v>1</v>
      </c>
      <c r="Q1996" s="93" t="str">
        <f>VLOOKUP(E1996,DATABASE!C:Q,4,false)</f>
        <v>GT</v>
      </c>
      <c r="R1996" s="93" t="str">
        <f>VLOOKUP(E1996,DATABASE!C:Q,11,false)</f>
        <v>Tire</v>
      </c>
    </row>
    <row r="1997" ht="22.5" customHeight="1">
      <c r="A1997" s="49"/>
      <c r="C1997" s="384">
        <v>45761.0</v>
      </c>
      <c r="D1997" s="65">
        <v>5209.0</v>
      </c>
      <c r="E1997" s="445" t="s">
        <v>290</v>
      </c>
      <c r="F1997" s="386">
        <v>1.0</v>
      </c>
      <c r="G1997" s="74">
        <v>720000.0</v>
      </c>
      <c r="H1997" s="74">
        <v>0.0</v>
      </c>
      <c r="I1997" s="74">
        <f t="shared" si="1"/>
        <v>720000</v>
      </c>
      <c r="J1997" s="74">
        <f>IF(E1997="SERVICE",I1997-(I1997*50%),Vlookup(E1997,DATABASE!C:Q,10,false)*F1997)</f>
        <v>0</v>
      </c>
      <c r="K1997" s="74">
        <f>VLOOKUP(E1997,DATABASE!C:Q,7,false)</f>
        <v>628100</v>
      </c>
      <c r="L1997" s="74">
        <v>609804.0</v>
      </c>
      <c r="M1997" s="74">
        <f t="shared" si="2"/>
        <v>610000</v>
      </c>
      <c r="N1997" s="74">
        <f t="shared" si="3"/>
        <v>110000</v>
      </c>
      <c r="O1997" s="65" t="str">
        <f>VLOOKUP(E1997,DATABASE!C:Q,8,false)</f>
        <v>BIAN</v>
      </c>
      <c r="P1997" s="65">
        <f>VLOOKUP(E1997,DATABASE!C:Q,9,False)</f>
        <v>1</v>
      </c>
      <c r="Q1997" s="93" t="str">
        <f>VLOOKUP(E1997,DATABASE!C:Q,4,false)</f>
        <v>GT</v>
      </c>
      <c r="R1997" s="93" t="str">
        <f>VLOOKUP(E1997,DATABASE!C:Q,11,false)</f>
        <v>Tire</v>
      </c>
    </row>
    <row r="1998" ht="22.5" customHeight="1">
      <c r="A1998" s="49"/>
      <c r="C1998" s="384">
        <v>45761.0</v>
      </c>
      <c r="D1998" s="65">
        <v>5210.0</v>
      </c>
      <c r="E1998" s="445" t="s">
        <v>287</v>
      </c>
      <c r="F1998" s="386">
        <v>2.0</v>
      </c>
      <c r="G1998" s="74">
        <v>780000.0</v>
      </c>
      <c r="H1998" s="74">
        <v>0.0</v>
      </c>
      <c r="I1998" s="74">
        <f t="shared" si="1"/>
        <v>1560000</v>
      </c>
      <c r="J1998" s="74">
        <f>IF(E1998="SERVICE",I1998-(I1998*50%),Vlookup(E1998,DATABASE!C:Q,10,false)*F1998)</f>
        <v>0</v>
      </c>
      <c r="K1998" s="74">
        <f>VLOOKUP(E1998,DATABASE!C:Q,7,false)</f>
        <v>711000</v>
      </c>
      <c r="L1998" s="74">
        <v>690600.0</v>
      </c>
      <c r="M1998" s="74">
        <f t="shared" si="2"/>
        <v>695000</v>
      </c>
      <c r="N1998" s="74">
        <f t="shared" si="3"/>
        <v>170000</v>
      </c>
      <c r="O1998" s="65" t="str">
        <f>VLOOKUP(E1998,DATABASE!C:Q,8,false)</f>
        <v>BIAN</v>
      </c>
      <c r="P1998" s="65">
        <f>VLOOKUP(E1998,DATABASE!C:Q,9,False)</f>
        <v>1</v>
      </c>
      <c r="Q1998" s="93" t="str">
        <f>VLOOKUP(E1998,DATABASE!C:Q,4,false)</f>
        <v>GT</v>
      </c>
      <c r="R1998" s="93" t="str">
        <f>VLOOKUP(E1998,DATABASE!C:Q,11,false)</f>
        <v>Tire</v>
      </c>
    </row>
    <row r="1999" ht="22.5" customHeight="1">
      <c r="A1999" s="49"/>
      <c r="C1999" s="384">
        <v>45761.0</v>
      </c>
      <c r="D1999" s="65">
        <v>5211.0</v>
      </c>
      <c r="E1999" s="445" t="s">
        <v>572</v>
      </c>
      <c r="F1999" s="386">
        <v>2.0</v>
      </c>
      <c r="G1999" s="74">
        <v>1370000.0</v>
      </c>
      <c r="H1999" s="74">
        <v>0.0</v>
      </c>
      <c r="I1999" s="74">
        <f t="shared" si="1"/>
        <v>2740000</v>
      </c>
      <c r="J1999" s="74">
        <f>IF(E1999="SERVICE",I1999-(I1999*50%),Vlookup(E1999,DATABASE!C:Q,10,false)*F1999)</f>
        <v>0</v>
      </c>
      <c r="K1999" s="140">
        <v>1270000.0</v>
      </c>
      <c r="L1999" s="140">
        <v>1270000.0</v>
      </c>
      <c r="M1999" s="74">
        <f t="shared" si="2"/>
        <v>1270000</v>
      </c>
      <c r="N1999" s="74">
        <f t="shared" si="3"/>
        <v>200000</v>
      </c>
      <c r="O1999" s="65" t="str">
        <f>VLOOKUP(E1999,DATABASE!C:Q,8,false)</f>
        <v>IBU</v>
      </c>
      <c r="P1999" s="65">
        <f>VLOOKUP(E1999,DATABASE!C:Q,9,False)</f>
        <v>1</v>
      </c>
      <c r="Q1999" s="93" t="str">
        <f>VLOOKUP(E1999,DATABASE!C:Q,4,false)</f>
        <v>Bridgestone</v>
      </c>
      <c r="R1999" s="93" t="str">
        <f>VLOOKUP(E1999,DATABASE!C:Q,11,false)</f>
        <v>Tire</v>
      </c>
    </row>
    <row r="2000" ht="22.5" customHeight="1">
      <c r="A2000" s="49"/>
      <c r="C2000" s="384">
        <v>45761.0</v>
      </c>
      <c r="D2000" s="65">
        <v>5212.0</v>
      </c>
      <c r="E2000" s="445" t="s">
        <v>1507</v>
      </c>
      <c r="F2000" s="386">
        <v>2.0</v>
      </c>
      <c r="G2000" s="74">
        <v>680000.0</v>
      </c>
      <c r="H2000" s="74">
        <v>0.0</v>
      </c>
      <c r="I2000" s="74">
        <f t="shared" si="1"/>
        <v>1360000</v>
      </c>
      <c r="J2000" s="74">
        <f>IF(E2000="SERVICE",I2000-(I2000*50%),Vlookup(E2000,DATABASE!C:Q,10,false)*F2000)</f>
        <v>0</v>
      </c>
      <c r="K2000" s="74">
        <f>VLOOKUP(E2000,DATABASE!C:Q,7,false)</f>
        <v>638500</v>
      </c>
      <c r="L2000" s="74">
        <v>638500.0</v>
      </c>
      <c r="M2000" s="74">
        <f t="shared" si="2"/>
        <v>640000</v>
      </c>
      <c r="N2000" s="74">
        <f t="shared" si="3"/>
        <v>80000</v>
      </c>
      <c r="O2000" s="65" t="str">
        <f>VLOOKUP(E2000,DATABASE!C:Q,8,false)</f>
        <v>IBU</v>
      </c>
      <c r="P2000" s="65">
        <f>VLOOKUP(E2000,DATABASE!C:Q,9,False)</f>
        <v>1</v>
      </c>
      <c r="Q2000" s="93" t="str">
        <f>VLOOKUP(E2000,DATABASE!C:Q,4,false)</f>
        <v>Dunlop</v>
      </c>
      <c r="R2000" s="93" t="str">
        <f>VLOOKUP(E2000,DATABASE!C:Q,11,false)</f>
        <v>Tire</v>
      </c>
    </row>
    <row r="2001" ht="22.5" customHeight="1">
      <c r="A2001" s="49"/>
      <c r="C2001" s="384">
        <v>45761.0</v>
      </c>
      <c r="D2001" s="65">
        <v>5213.0</v>
      </c>
      <c r="E2001" s="445" t="s">
        <v>627</v>
      </c>
      <c r="F2001" s="386">
        <v>3.0</v>
      </c>
      <c r="G2001" s="74">
        <v>935000.0</v>
      </c>
      <c r="H2001" s="74">
        <v>0.0</v>
      </c>
      <c r="I2001" s="74">
        <f t="shared" si="1"/>
        <v>2805000</v>
      </c>
      <c r="J2001" s="74">
        <f>IF(E2001="SERVICE",I2001-(I2001*50%),Vlookup(E2001,DATABASE!C:Q,10,false)*F2001)</f>
        <v>0</v>
      </c>
      <c r="K2001" s="74">
        <f>VLOOKUP(E2001,DATABASE!C:Q,7,false)</f>
        <v>879567</v>
      </c>
      <c r="L2001" s="74">
        <v>884979.0</v>
      </c>
      <c r="M2001" s="74">
        <f t="shared" si="2"/>
        <v>885000</v>
      </c>
      <c r="N2001" s="74">
        <f t="shared" si="3"/>
        <v>150000</v>
      </c>
      <c r="O2001" s="65" t="str">
        <f>VLOOKUP(E2001,DATABASE!C:Q,8,false)</f>
        <v>IBU</v>
      </c>
      <c r="P2001" s="65">
        <f>VLOOKUP(E2001,DATABASE!C:Q,9,False)</f>
        <v>1</v>
      </c>
      <c r="Q2001" s="93" t="str">
        <f>VLOOKUP(E2001,DATABASE!C:Q,4,false)</f>
        <v>Bridgestone</v>
      </c>
      <c r="R2001" s="93" t="str">
        <f>VLOOKUP(E2001,DATABASE!C:Q,11,false)</f>
        <v>Tire</v>
      </c>
    </row>
    <row r="2002" ht="22.5" customHeight="1">
      <c r="A2002" s="49"/>
      <c r="C2002" s="384">
        <v>45761.0</v>
      </c>
      <c r="D2002" s="65">
        <v>5214.0</v>
      </c>
      <c r="E2002" s="445" t="s">
        <v>251</v>
      </c>
      <c r="F2002" s="386">
        <v>1.0</v>
      </c>
      <c r="G2002" s="74">
        <v>80000.0</v>
      </c>
      <c r="H2002" s="74">
        <v>0.0</v>
      </c>
      <c r="I2002" s="74">
        <f t="shared" si="1"/>
        <v>80000</v>
      </c>
      <c r="J2002" s="74">
        <f>IF(E2002="SERVICE",I2002-(I2002*50%),Vlookup(E2002,DATABASE!C:Q,10,false)*F2002)</f>
        <v>40000</v>
      </c>
      <c r="K2002" s="74">
        <f>VLOOKUP(E2002,DATABASE!C:Q,7,false)</f>
        <v>0</v>
      </c>
      <c r="L2002" s="74">
        <v>0.0</v>
      </c>
      <c r="M2002" s="74">
        <f t="shared" si="2"/>
        <v>0</v>
      </c>
      <c r="N2002" s="74">
        <f t="shared" si="3"/>
        <v>40000</v>
      </c>
      <c r="O2002" s="65" t="str">
        <f>VLOOKUP(E2002,DATABASE!C:Q,8,false)</f>
        <v>IBU</v>
      </c>
      <c r="P2002" s="65">
        <f>VLOOKUP(E2002,DATABASE!C:Q,9,False)</f>
        <v>0</v>
      </c>
      <c r="Q2002" s="93" t="str">
        <f>VLOOKUP(E2002,DATABASE!C:Q,4,false)</f>
        <v>SERVICE</v>
      </c>
      <c r="R2002" s="93" t="str">
        <f>VLOOKUP(E2002,DATABASE!C:Q,11,false)</f>
        <v>SERVICE</v>
      </c>
    </row>
    <row r="2003" ht="22.5" customHeight="1">
      <c r="A2003" s="49"/>
      <c r="C2003" s="384">
        <v>45761.0</v>
      </c>
      <c r="D2003" s="65">
        <v>5215.0</v>
      </c>
      <c r="E2003" s="445" t="s">
        <v>624</v>
      </c>
      <c r="F2003" s="386">
        <v>1.0</v>
      </c>
      <c r="G2003" s="74">
        <v>110000.0</v>
      </c>
      <c r="H2003" s="74">
        <v>0.0</v>
      </c>
      <c r="I2003" s="74">
        <f t="shared" si="1"/>
        <v>110000</v>
      </c>
      <c r="J2003" s="74">
        <f>IF(E2003="SERVICE",I2003-(I2003*50%),Vlookup(E2003,DATABASE!C:Q,10,false)*F2003)</f>
        <v>0</v>
      </c>
      <c r="K2003" s="74">
        <f>VLOOKUP(E2003,DATABASE!C:Q,7,false)</f>
        <v>60500</v>
      </c>
      <c r="L2003" s="74">
        <v>60500.0</v>
      </c>
      <c r="M2003" s="74">
        <f t="shared" si="2"/>
        <v>65000</v>
      </c>
      <c r="N2003" s="74">
        <f t="shared" si="3"/>
        <v>45000</v>
      </c>
      <c r="O2003" s="65" t="str">
        <f>VLOOKUP(E2003,DATABASE!C:Q,8,false)</f>
        <v>BIAN</v>
      </c>
      <c r="P2003" s="65">
        <f>VLOOKUP(E2003,DATABASE!C:Q,9,False)</f>
        <v>1</v>
      </c>
      <c r="Q2003" s="93" t="str">
        <f>VLOOKUP(E2003,DATABASE!C:Q,4,false)</f>
        <v>BD</v>
      </c>
      <c r="R2003" s="93" t="str">
        <f>VLOOKUP(E2003,DATABASE!C:Q,11,false)</f>
        <v>Tire</v>
      </c>
    </row>
    <row r="2004" ht="22.5" customHeight="1">
      <c r="A2004" s="49"/>
      <c r="C2004" s="384">
        <v>45761.0</v>
      </c>
      <c r="D2004" s="65">
        <v>5216.0</v>
      </c>
      <c r="E2004" s="445" t="s">
        <v>256</v>
      </c>
      <c r="F2004" s="386">
        <v>1.0</v>
      </c>
      <c r="G2004" s="74">
        <v>130000.0</v>
      </c>
      <c r="H2004" s="74">
        <v>0.0</v>
      </c>
      <c r="I2004" s="74">
        <f t="shared" si="1"/>
        <v>130000</v>
      </c>
      <c r="J2004" s="74">
        <f>IF(E2004="SERVICE",I2004-(I2004*50%),Vlookup(E2004,DATABASE!C:Q,10,false)*F2004)</f>
        <v>10000</v>
      </c>
      <c r="K2004" s="74">
        <f>VLOOKUP(E2004,DATABASE!C:Q,7,false)</f>
        <v>0</v>
      </c>
      <c r="L2004" s="74">
        <v>0.0</v>
      </c>
      <c r="M2004" s="74">
        <f t="shared" si="2"/>
        <v>0</v>
      </c>
      <c r="N2004" s="74">
        <f t="shared" si="3"/>
        <v>120000</v>
      </c>
      <c r="O2004" s="65" t="str">
        <f>VLOOKUP(E2004,DATABASE!C:Q,8,false)</f>
        <v>IBU</v>
      </c>
      <c r="P2004" s="65">
        <f>VLOOKUP(E2004,DATABASE!C:Q,9,False)</f>
        <v>0</v>
      </c>
      <c r="Q2004" s="93" t="str">
        <f>VLOOKUP(E2004,DATABASE!C:Q,4,false)</f>
        <v>SPOORING</v>
      </c>
      <c r="R2004" s="93" t="str">
        <f>VLOOKUP(E2004,DATABASE!C:Q,11,false)</f>
        <v>SERVICE</v>
      </c>
    </row>
    <row r="2005" ht="22.5" customHeight="1">
      <c r="A2005" s="49"/>
      <c r="C2005" s="384">
        <v>45761.0</v>
      </c>
      <c r="D2005" s="65">
        <v>5217.0</v>
      </c>
      <c r="E2005" s="445" t="s">
        <v>256</v>
      </c>
      <c r="F2005" s="386">
        <v>1.0</v>
      </c>
      <c r="G2005" s="74">
        <v>130000.0</v>
      </c>
      <c r="H2005" s="74">
        <v>0.0</v>
      </c>
      <c r="I2005" s="74">
        <f t="shared" si="1"/>
        <v>130000</v>
      </c>
      <c r="J2005" s="74">
        <f>IF(E2005="SERVICE",I2005-(I2005*50%),Vlookup(E2005,DATABASE!C:Q,10,false)*F2005)</f>
        <v>10000</v>
      </c>
      <c r="K2005" s="74">
        <f>VLOOKUP(E2005,DATABASE!C:Q,7,false)</f>
        <v>0</v>
      </c>
      <c r="L2005" s="74">
        <v>0.0</v>
      </c>
      <c r="M2005" s="74">
        <f t="shared" si="2"/>
        <v>0</v>
      </c>
      <c r="N2005" s="74">
        <f t="shared" si="3"/>
        <v>120000</v>
      </c>
      <c r="O2005" s="65" t="str">
        <f>VLOOKUP(E2005,DATABASE!C:Q,8,false)</f>
        <v>IBU</v>
      </c>
      <c r="P2005" s="65">
        <f>VLOOKUP(E2005,DATABASE!C:Q,9,False)</f>
        <v>0</v>
      </c>
      <c r="Q2005" s="93" t="str">
        <f>VLOOKUP(E2005,DATABASE!C:Q,4,false)</f>
        <v>SPOORING</v>
      </c>
      <c r="R2005" s="93" t="str">
        <f>VLOOKUP(E2005,DATABASE!C:Q,11,false)</f>
        <v>SERVICE</v>
      </c>
    </row>
    <row r="2006" ht="22.5" customHeight="1">
      <c r="A2006" s="49"/>
      <c r="C2006" s="384">
        <v>45761.0</v>
      </c>
      <c r="D2006" s="65">
        <v>5217.0</v>
      </c>
      <c r="E2006" s="445" t="s">
        <v>301</v>
      </c>
      <c r="F2006" s="386">
        <v>1.0</v>
      </c>
      <c r="G2006" s="74">
        <v>250000.0</v>
      </c>
      <c r="H2006" s="74">
        <v>0.0</v>
      </c>
      <c r="I2006" s="74">
        <f t="shared" si="1"/>
        <v>250000</v>
      </c>
      <c r="J2006" s="74">
        <f>IF(E2006="SERVICE",I2006-(I2006*50%),Vlookup(E2006,DATABASE!C:Q,10,false)*F2006)</f>
        <v>75000</v>
      </c>
      <c r="K2006" s="74">
        <f>VLOOKUP(E2006,DATABASE!C:Q,7,false)</f>
        <v>75000</v>
      </c>
      <c r="L2006" s="74">
        <v>75000.0</v>
      </c>
      <c r="M2006" s="74">
        <f t="shared" si="2"/>
        <v>75000</v>
      </c>
      <c r="N2006" s="74">
        <f t="shared" si="3"/>
        <v>100000</v>
      </c>
      <c r="O2006" s="65" t="str">
        <f>VLOOKUP(E2006,DATABASE!C:Q,8,false)</f>
        <v>BIAN</v>
      </c>
      <c r="P2006" s="65">
        <f>VLOOKUP(E2006,DATABASE!C:Q,9,False)</f>
        <v>0</v>
      </c>
      <c r="Q2006" s="93" t="str">
        <f>VLOOKUP(E2006,DATABASE!C:Q,4,false)</f>
        <v>Baut Camber</v>
      </c>
      <c r="R2006" s="93" t="str">
        <f>VLOOKUP(E2006,DATABASE!C:Q,11,false)</f>
        <v>COMPLEMENTARY</v>
      </c>
    </row>
    <row r="2007" ht="22.5" customHeight="1">
      <c r="A2007" s="49"/>
      <c r="C2007" s="384">
        <v>45761.0</v>
      </c>
      <c r="D2007" s="65">
        <v>5218.0</v>
      </c>
      <c r="E2007" s="445" t="s">
        <v>777</v>
      </c>
      <c r="F2007" s="386">
        <v>2.0</v>
      </c>
      <c r="G2007" s="74">
        <v>585000.0</v>
      </c>
      <c r="H2007" s="74">
        <v>0.0</v>
      </c>
      <c r="I2007" s="74">
        <f t="shared" si="1"/>
        <v>1170000</v>
      </c>
      <c r="J2007" s="74">
        <f>IF(E2007="SERVICE",I2007-(I2007*50%),Vlookup(E2007,DATABASE!C:Q,10,false)*F2007)</f>
        <v>0</v>
      </c>
      <c r="K2007" s="74">
        <f>VLOOKUP(E2007,DATABASE!C:Q,7,false)</f>
        <v>540000</v>
      </c>
      <c r="L2007" s="74">
        <v>507000.0</v>
      </c>
      <c r="M2007" s="74">
        <f t="shared" si="2"/>
        <v>510000</v>
      </c>
      <c r="N2007" s="74">
        <f t="shared" si="3"/>
        <v>150000</v>
      </c>
      <c r="O2007" s="65" t="str">
        <f>VLOOKUP(E2007,DATABASE!C:Q,8,false)</f>
        <v>BIAN</v>
      </c>
      <c r="P2007" s="65">
        <f>VLOOKUP(E2007,DATABASE!C:Q,9,False)</f>
        <v>1</v>
      </c>
      <c r="Q2007" s="93" t="str">
        <f>VLOOKUP(E2007,DATABASE!C:Q,4,false)</f>
        <v>GT</v>
      </c>
      <c r="R2007" s="93" t="str">
        <f>VLOOKUP(E2007,DATABASE!C:Q,11,false)</f>
        <v>Tire</v>
      </c>
    </row>
    <row r="2008" ht="22.5" customHeight="1">
      <c r="A2008" s="49"/>
      <c r="C2008" s="384">
        <v>45761.0</v>
      </c>
      <c r="D2008" s="65">
        <v>5219.0</v>
      </c>
      <c r="E2008" s="445" t="s">
        <v>627</v>
      </c>
      <c r="F2008" s="386">
        <v>1.0</v>
      </c>
      <c r="G2008" s="74">
        <v>935000.0</v>
      </c>
      <c r="H2008" s="74">
        <v>0.0</v>
      </c>
      <c r="I2008" s="74">
        <f t="shared" si="1"/>
        <v>935000</v>
      </c>
      <c r="J2008" s="74">
        <f>IF(E2008="SERVICE",I2008-(I2008*50%),Vlookup(E2008,DATABASE!C:Q,10,false)*F2008)</f>
        <v>0</v>
      </c>
      <c r="K2008" s="74">
        <f>VLOOKUP(E2008,DATABASE!C:Q,7,false)</f>
        <v>879567</v>
      </c>
      <c r="L2008" s="74">
        <v>884979.0</v>
      </c>
      <c r="M2008" s="74">
        <f t="shared" si="2"/>
        <v>885000</v>
      </c>
      <c r="N2008" s="74">
        <f t="shared" si="3"/>
        <v>50000</v>
      </c>
      <c r="O2008" s="65" t="str">
        <f>VLOOKUP(E2008,DATABASE!C:Q,8,false)</f>
        <v>IBU</v>
      </c>
      <c r="P2008" s="65">
        <f>VLOOKUP(E2008,DATABASE!C:Q,9,False)</f>
        <v>1</v>
      </c>
      <c r="Q2008" s="93" t="str">
        <f>VLOOKUP(E2008,DATABASE!C:Q,4,false)</f>
        <v>Bridgestone</v>
      </c>
      <c r="R2008" s="93" t="str">
        <f>VLOOKUP(E2008,DATABASE!C:Q,11,false)</f>
        <v>Tire</v>
      </c>
    </row>
    <row r="2009" ht="22.5" customHeight="1">
      <c r="A2009" s="49"/>
      <c r="C2009" s="384">
        <v>45761.0</v>
      </c>
      <c r="D2009" s="65">
        <v>5219.0</v>
      </c>
      <c r="E2009" s="445" t="s">
        <v>2135</v>
      </c>
      <c r="F2009" s="386">
        <v>4.0</v>
      </c>
      <c r="G2009" s="74">
        <v>15000.0</v>
      </c>
      <c r="H2009" s="74">
        <v>0.0</v>
      </c>
      <c r="I2009" s="74">
        <f t="shared" si="1"/>
        <v>60000</v>
      </c>
      <c r="J2009" s="74">
        <f>IF(E2009="SERVICE",I2009-(I2009*50%),Vlookup(E2009,DATABASE!C:Q,10,false)*F2009)</f>
        <v>0</v>
      </c>
      <c r="K2009" s="74">
        <f>VLOOKUP(E2009,DATABASE!C:Q,7,false)</f>
        <v>0</v>
      </c>
      <c r="L2009" s="74">
        <v>0.0</v>
      </c>
      <c r="M2009" s="74">
        <f t="shared" si="2"/>
        <v>0</v>
      </c>
      <c r="N2009" s="74">
        <f t="shared" si="3"/>
        <v>60000</v>
      </c>
      <c r="O2009" s="65" t="str">
        <f>VLOOKUP(E2009,DATABASE!C:Q,8,false)</f>
        <v>IBU</v>
      </c>
      <c r="P2009" s="65">
        <f>VLOOKUP(E2009,DATABASE!C:Q,9,False)</f>
        <v>0</v>
      </c>
      <c r="Q2009" s="93" t="str">
        <f>VLOOKUP(E2009,DATABASE!C:Q,4,false)</f>
        <v>NITROGEN</v>
      </c>
      <c r="R2009" s="93" t="str">
        <f>VLOOKUP(E2009,DATABASE!C:Q,11,false)</f>
        <v>COMPLEMENTARY</v>
      </c>
    </row>
    <row r="2010" ht="22.5" customHeight="1">
      <c r="A2010" s="49"/>
      <c r="C2010" s="384">
        <v>45761.0</v>
      </c>
      <c r="D2010" s="65">
        <v>5220.0</v>
      </c>
      <c r="E2010" s="445" t="s">
        <v>791</v>
      </c>
      <c r="F2010" s="386">
        <v>2.0</v>
      </c>
      <c r="G2010" s="74">
        <v>1280000.0</v>
      </c>
      <c r="H2010" s="74">
        <v>0.0</v>
      </c>
      <c r="I2010" s="74">
        <f t="shared" si="1"/>
        <v>2560000</v>
      </c>
      <c r="J2010" s="74">
        <f>IF(E2010="SERVICE",I2010-(I2010*50%),Vlookup(E2010,DATABASE!C:Q,10,false)*F2010)</f>
        <v>0</v>
      </c>
      <c r="K2010" s="74">
        <f>VLOOKUP(E2010,DATABASE!C:Q,7,false)</f>
        <v>1210000</v>
      </c>
      <c r="L2010" s="74">
        <v>1180000.0</v>
      </c>
      <c r="M2010" s="74">
        <f t="shared" si="2"/>
        <v>1180000</v>
      </c>
      <c r="N2010" s="74">
        <f t="shared" si="3"/>
        <v>200000</v>
      </c>
      <c r="O2010" s="65" t="str">
        <f>VLOOKUP(E2010,DATABASE!C:Q,8,false)</f>
        <v>BIAN</v>
      </c>
      <c r="P2010" s="65">
        <f>VLOOKUP(E2010,DATABASE!C:Q,9,False)</f>
        <v>1</v>
      </c>
      <c r="Q2010" s="93" t="str">
        <f>VLOOKUP(E2010,DATABASE!C:Q,4,false)</f>
        <v>GT</v>
      </c>
      <c r="R2010" s="93" t="str">
        <f>VLOOKUP(E2010,DATABASE!C:Q,11,false)</f>
        <v>Tire</v>
      </c>
    </row>
    <row r="2011" ht="22.5" customHeight="1">
      <c r="A2011" s="49"/>
      <c r="C2011" s="384">
        <v>45761.0</v>
      </c>
      <c r="D2011" s="65">
        <v>5220.0</v>
      </c>
      <c r="E2011" s="445" t="s">
        <v>255</v>
      </c>
      <c r="F2011" s="386">
        <v>1.0</v>
      </c>
      <c r="G2011" s="74">
        <v>200000.0</v>
      </c>
      <c r="H2011" s="74">
        <v>0.0</v>
      </c>
      <c r="I2011" s="74">
        <f t="shared" si="1"/>
        <v>200000</v>
      </c>
      <c r="J2011" s="74">
        <f>IF(E2011="SERVICE",I2011-(I2011*50%),Vlookup(E2011,DATABASE!C:Q,10,false)*F2011)</f>
        <v>0</v>
      </c>
      <c r="K2011" s="74">
        <f>VLOOKUP(E2011,DATABASE!C:Q,7,false)</f>
        <v>161840</v>
      </c>
      <c r="L2011" s="74">
        <v>161840.0</v>
      </c>
      <c r="M2011" s="74">
        <f t="shared" si="2"/>
        <v>165000</v>
      </c>
      <c r="N2011" s="74">
        <f t="shared" si="3"/>
        <v>35000</v>
      </c>
      <c r="O2011" s="65" t="str">
        <f>VLOOKUP(E2011,DATABASE!C:Q,8,false)</f>
        <v>BIAN</v>
      </c>
      <c r="P2011" s="65">
        <f>VLOOKUP(E2011,DATABASE!C:Q,9,False)</f>
        <v>1</v>
      </c>
      <c r="Q2011" s="93" t="str">
        <f>VLOOKUP(E2011,DATABASE!C:Q,4,false)</f>
        <v>BD</v>
      </c>
      <c r="R2011" s="93" t="str">
        <f>VLOOKUP(E2011,DATABASE!C:Q,11,false)</f>
        <v>Tire</v>
      </c>
    </row>
    <row r="2012" ht="22.5" customHeight="1">
      <c r="A2012" s="49"/>
      <c r="C2012" s="384">
        <v>45761.0</v>
      </c>
      <c r="D2012" s="65">
        <v>5221.0</v>
      </c>
      <c r="E2012" s="445" t="s">
        <v>268</v>
      </c>
      <c r="F2012" s="386">
        <v>2.0</v>
      </c>
      <c r="G2012" s="74">
        <v>700000.0</v>
      </c>
      <c r="H2012" s="74">
        <v>0.0</v>
      </c>
      <c r="I2012" s="74">
        <f t="shared" si="1"/>
        <v>1400000</v>
      </c>
      <c r="J2012" s="74">
        <f>IF(E2012="SERVICE",I2012-(I2012*50%),Vlookup(E2012,DATABASE!C:Q,10,false)*F2012)</f>
        <v>0</v>
      </c>
      <c r="K2012" s="74">
        <v>613000.0</v>
      </c>
      <c r="L2012" s="74">
        <v>613000.0</v>
      </c>
      <c r="M2012" s="74">
        <f t="shared" si="2"/>
        <v>615000</v>
      </c>
      <c r="N2012" s="74">
        <f t="shared" si="3"/>
        <v>170000</v>
      </c>
      <c r="O2012" s="65" t="str">
        <f>VLOOKUP(E2012,DATABASE!C:Q,8,false)</f>
        <v>IBU</v>
      </c>
      <c r="P2012" s="65">
        <f>VLOOKUP(E2012,DATABASE!C:Q,9,False)</f>
        <v>1</v>
      </c>
      <c r="Q2012" s="93" t="str">
        <f>VLOOKUP(E2012,DATABASE!C:Q,4,false)</f>
        <v>Dunlop</v>
      </c>
      <c r="R2012" s="93" t="str">
        <f>VLOOKUP(E2012,DATABASE!C:Q,11,false)</f>
        <v>Tire</v>
      </c>
    </row>
    <row r="2013" ht="22.5" customHeight="1">
      <c r="A2013" s="49"/>
      <c r="C2013" s="384">
        <v>45761.0</v>
      </c>
      <c r="D2013" s="65">
        <v>5222.0</v>
      </c>
      <c r="E2013" s="445" t="s">
        <v>932</v>
      </c>
      <c r="F2013" s="386">
        <v>1.0</v>
      </c>
      <c r="G2013" s="74">
        <v>670000.0</v>
      </c>
      <c r="H2013" s="74">
        <v>0.0</v>
      </c>
      <c r="I2013" s="74">
        <f t="shared" si="1"/>
        <v>670000</v>
      </c>
      <c r="J2013" s="74">
        <f>IF(E2013="SERVICE",I2013-(I2013*50%),Vlookup(E2013,DATABASE!C:Q,10,false)*F2013)</f>
        <v>0</v>
      </c>
      <c r="K2013" s="74">
        <v>575000.0</v>
      </c>
      <c r="L2013" s="74">
        <v>575000.0</v>
      </c>
      <c r="M2013" s="74">
        <f t="shared" si="2"/>
        <v>575000</v>
      </c>
      <c r="N2013" s="74">
        <f t="shared" si="3"/>
        <v>95000</v>
      </c>
      <c r="O2013" s="65" t="str">
        <f>VLOOKUP(E2013,DATABASE!C:Q,8,false)</f>
        <v>IBU</v>
      </c>
      <c r="P2013" s="65">
        <f>VLOOKUP(E2013,DATABASE!C:Q,9,False)</f>
        <v>1</v>
      </c>
      <c r="Q2013" s="93" t="str">
        <f>VLOOKUP(E2013,DATABASE!C:Q,4,false)</f>
        <v>Dunlop</v>
      </c>
      <c r="R2013" s="93" t="str">
        <f>VLOOKUP(E2013,DATABASE!C:Q,11,false)</f>
        <v>Tire</v>
      </c>
    </row>
    <row r="2014" ht="22.5" customHeight="1">
      <c r="A2014" s="49"/>
      <c r="C2014" s="384">
        <v>45762.0</v>
      </c>
      <c r="D2014" s="65">
        <v>5224.0</v>
      </c>
      <c r="E2014" s="445" t="s">
        <v>839</v>
      </c>
      <c r="F2014" s="386">
        <v>1.0</v>
      </c>
      <c r="G2014" s="74">
        <v>565000.0</v>
      </c>
      <c r="H2014" s="74">
        <v>0.0</v>
      </c>
      <c r="I2014" s="74">
        <f t="shared" si="1"/>
        <v>565000</v>
      </c>
      <c r="J2014" s="74">
        <f>IF(E2014="SERVICE",I2014-(I2014*50%),Vlookup(E2014,DATABASE!C:Q,10,false)*F2014)</f>
        <v>0</v>
      </c>
      <c r="K2014" s="74">
        <f>VLOOKUP(E2014,DATABASE!C:Q,7,false)</f>
        <v>512640</v>
      </c>
      <c r="L2014" s="74">
        <v>475700.0</v>
      </c>
      <c r="M2014" s="74">
        <f t="shared" si="2"/>
        <v>480000</v>
      </c>
      <c r="N2014" s="74">
        <f t="shared" si="3"/>
        <v>85000</v>
      </c>
      <c r="O2014" s="65" t="str">
        <f>VLOOKUP(E2014,DATABASE!C:Q,8,false)</f>
        <v>BIAN</v>
      </c>
      <c r="P2014" s="65">
        <f>VLOOKUP(E2014,DATABASE!C:Q,9,False)</f>
        <v>1</v>
      </c>
      <c r="Q2014" s="93" t="str">
        <f>VLOOKUP(E2014,DATABASE!C:Q,4,false)</f>
        <v>GT</v>
      </c>
      <c r="R2014" s="93" t="str">
        <f>VLOOKUP(E2014,DATABASE!C:Q,11,false)</f>
        <v>Tire</v>
      </c>
    </row>
    <row r="2015" ht="22.5" customHeight="1">
      <c r="A2015" s="49"/>
      <c r="C2015" s="384">
        <v>45762.0</v>
      </c>
      <c r="D2015" s="65">
        <v>5225.0</v>
      </c>
      <c r="E2015" s="445" t="s">
        <v>1507</v>
      </c>
      <c r="F2015" s="386">
        <v>2.0</v>
      </c>
      <c r="G2015" s="74">
        <v>680000.0</v>
      </c>
      <c r="H2015" s="74">
        <v>0.0</v>
      </c>
      <c r="I2015" s="74">
        <f t="shared" si="1"/>
        <v>1360000</v>
      </c>
      <c r="J2015" s="74">
        <f>IF(E2015="SERVICE",I2015-(I2015*50%),Vlookup(E2015,DATABASE!C:Q,10,false)*F2015)</f>
        <v>0</v>
      </c>
      <c r="K2015" s="74">
        <f>VLOOKUP(E2015,DATABASE!C:Q,7,false)</f>
        <v>638500</v>
      </c>
      <c r="L2015" s="74">
        <v>638500.0</v>
      </c>
      <c r="M2015" s="74">
        <f t="shared" si="2"/>
        <v>640000</v>
      </c>
      <c r="N2015" s="74">
        <f t="shared" si="3"/>
        <v>80000</v>
      </c>
      <c r="O2015" s="65" t="str">
        <f>VLOOKUP(E2015,DATABASE!C:Q,8,false)</f>
        <v>IBU</v>
      </c>
      <c r="P2015" s="65">
        <f>VLOOKUP(E2015,DATABASE!C:Q,9,False)</f>
        <v>1</v>
      </c>
      <c r="Q2015" s="93" t="str">
        <f>VLOOKUP(E2015,DATABASE!C:Q,4,false)</f>
        <v>Dunlop</v>
      </c>
      <c r="R2015" s="93" t="str">
        <f>VLOOKUP(E2015,DATABASE!C:Q,11,false)</f>
        <v>Tire</v>
      </c>
    </row>
    <row r="2016" ht="22.5" customHeight="1">
      <c r="A2016" s="49"/>
      <c r="C2016" s="384">
        <v>45762.0</v>
      </c>
      <c r="D2016" s="65">
        <v>5225.0</v>
      </c>
      <c r="E2016" s="385" t="s">
        <v>299</v>
      </c>
      <c r="F2016" s="386">
        <v>2.0</v>
      </c>
      <c r="G2016" s="74">
        <v>30000.0</v>
      </c>
      <c r="H2016" s="74">
        <v>0.0</v>
      </c>
      <c r="I2016" s="74">
        <f t="shared" si="1"/>
        <v>60000</v>
      </c>
      <c r="J2016" s="74">
        <f>IF(E2016="SERVICE",I2016-(I2016*50%),Vlookup(E2016,DATABASE!C:Q,10,false)*F2016)</f>
        <v>0</v>
      </c>
      <c r="K2016" s="74">
        <v>0.0</v>
      </c>
      <c r="L2016" s="74">
        <v>0.0</v>
      </c>
      <c r="M2016" s="74">
        <f t="shared" si="2"/>
        <v>0</v>
      </c>
      <c r="N2016" s="74">
        <f t="shared" si="3"/>
        <v>60000</v>
      </c>
      <c r="O2016" s="65" t="str">
        <f>VLOOKUP(E2016,DATABASE!C:Q,8,false)</f>
        <v>BIAN</v>
      </c>
      <c r="P2016" s="65">
        <f>VLOOKUP(E2016,DATABASE!C:Q,9,False)</f>
        <v>0</v>
      </c>
      <c r="Q2016" s="93" t="str">
        <f>VLOOKUP(E2016,DATABASE!C:Q,4,false)</f>
        <v>Balancing</v>
      </c>
      <c r="R2016" s="93" t="str">
        <f>VLOOKUP(E2016,DATABASE!C:Q,11,false)</f>
        <v>COMPLEMENTARY</v>
      </c>
    </row>
    <row r="2017" ht="22.5" customHeight="1">
      <c r="A2017" s="49"/>
      <c r="C2017" s="384">
        <v>45762.0</v>
      </c>
      <c r="D2017" s="65">
        <v>5226.0</v>
      </c>
      <c r="E2017" s="445" t="s">
        <v>884</v>
      </c>
      <c r="F2017" s="386">
        <v>2.0</v>
      </c>
      <c r="G2017" s="74">
        <v>3560000.0</v>
      </c>
      <c r="H2017" s="74">
        <v>0.0</v>
      </c>
      <c r="I2017" s="74">
        <f t="shared" si="1"/>
        <v>7120000</v>
      </c>
      <c r="J2017" s="74">
        <f>IF(E2017="SERVICE",I2017-(I2017*50%),Vlookup(E2017,DATABASE!C:Q,10,false)*F2017)</f>
        <v>0</v>
      </c>
      <c r="K2017" s="74">
        <f>VLOOKUP(E2017,DATABASE!C:Q,7,false)</f>
        <v>3365000</v>
      </c>
      <c r="L2017" s="74">
        <v>3365000.0</v>
      </c>
      <c r="M2017" s="74">
        <f t="shared" si="2"/>
        <v>3365000</v>
      </c>
      <c r="N2017" s="74">
        <f t="shared" si="3"/>
        <v>390000</v>
      </c>
      <c r="O2017" s="65" t="str">
        <f>VLOOKUP(E2017,DATABASE!C:Q,8,false)</f>
        <v>IBU</v>
      </c>
      <c r="P2017" s="65">
        <f>VLOOKUP(E2017,DATABASE!C:Q,9,False)</f>
        <v>1</v>
      </c>
      <c r="Q2017" s="93" t="str">
        <f>VLOOKUP(E2017,DATABASE!C:Q,4,false)</f>
        <v>Bridgestone</v>
      </c>
      <c r="R2017" s="93" t="str">
        <f>VLOOKUP(E2017,DATABASE!C:Q,11,false)</f>
        <v>Tire</v>
      </c>
    </row>
    <row r="2018" ht="22.5" customHeight="1">
      <c r="A2018" s="49"/>
      <c r="C2018" s="384">
        <v>45762.0</v>
      </c>
      <c r="D2018" s="65">
        <v>5226.0</v>
      </c>
      <c r="E2018" s="445" t="s">
        <v>487</v>
      </c>
      <c r="F2018" s="386">
        <v>2.0</v>
      </c>
      <c r="G2018" s="74">
        <v>585000.0</v>
      </c>
      <c r="H2018" s="74">
        <v>0.0</v>
      </c>
      <c r="I2018" s="74">
        <f t="shared" si="1"/>
        <v>1170000</v>
      </c>
      <c r="J2018" s="74">
        <f>IF(E2018="SERVICE",I2018-(I2018*50%),Vlookup(E2018,DATABASE!C:Q,10,false)*F2018)</f>
        <v>0</v>
      </c>
      <c r="K2018" s="74">
        <f>VLOOKUP(E2018,DATABASE!C:Q,7,false)</f>
        <v>535000</v>
      </c>
      <c r="L2018" s="74">
        <v>535000.0</v>
      </c>
      <c r="M2018" s="74">
        <f t="shared" si="2"/>
        <v>535000</v>
      </c>
      <c r="N2018" s="74">
        <f t="shared" si="3"/>
        <v>100000</v>
      </c>
      <c r="O2018" s="65" t="str">
        <f>VLOOKUP(E2018,DATABASE!C:Q,8,false)</f>
        <v>IBU</v>
      </c>
      <c r="P2018" s="65">
        <f>VLOOKUP(E2018,DATABASE!C:Q,9,False)</f>
        <v>1</v>
      </c>
      <c r="Q2018" s="93" t="str">
        <f>VLOOKUP(E2018,DATABASE!C:Q,4,false)</f>
        <v>BD</v>
      </c>
      <c r="R2018" s="93" t="str">
        <f>VLOOKUP(E2018,DATABASE!C:Q,11,false)</f>
        <v>Tire</v>
      </c>
    </row>
    <row r="2019" ht="22.5" customHeight="1">
      <c r="A2019" s="49"/>
      <c r="C2019" s="384">
        <v>45762.0</v>
      </c>
      <c r="D2019" s="65">
        <v>5226.0</v>
      </c>
      <c r="E2019" s="445" t="s">
        <v>1669</v>
      </c>
      <c r="F2019" s="386">
        <v>2.0</v>
      </c>
      <c r="G2019" s="74">
        <v>300000.0</v>
      </c>
      <c r="H2019" s="74">
        <v>0.0</v>
      </c>
      <c r="I2019" s="74">
        <f t="shared" si="1"/>
        <v>600000</v>
      </c>
      <c r="J2019" s="74">
        <f>IF(E2019="SERVICE",I2019-(I2019*50%),Vlookup(E2019,DATABASE!C:Q,10,false)*F2019)</f>
        <v>0</v>
      </c>
      <c r="K2019" s="74">
        <f>VLOOKUP(E2019,DATABASE!C:Q,7,false)</f>
        <v>253000</v>
      </c>
      <c r="L2019" s="74">
        <v>253000.0</v>
      </c>
      <c r="M2019" s="74">
        <f t="shared" si="2"/>
        <v>255000</v>
      </c>
      <c r="N2019" s="74">
        <f t="shared" si="3"/>
        <v>90000</v>
      </c>
      <c r="O2019" s="65" t="str">
        <f>VLOOKUP(E2019,DATABASE!C:Q,8,false)</f>
        <v>IBU</v>
      </c>
      <c r="P2019" s="65">
        <f>VLOOKUP(E2019,DATABASE!C:Q,9,False)</f>
        <v>1</v>
      </c>
      <c r="Q2019" s="93" t="str">
        <f>VLOOKUP(E2019,DATABASE!C:Q,4,false)</f>
        <v>Flap</v>
      </c>
      <c r="R2019" s="93" t="str">
        <f>VLOOKUP(E2019,DATABASE!C:Q,11,false)</f>
        <v>Tire</v>
      </c>
    </row>
    <row r="2020" ht="22.5" customHeight="1">
      <c r="A2020" s="49"/>
      <c r="C2020" s="384">
        <v>45762.0</v>
      </c>
      <c r="D2020" s="65">
        <v>5227.0</v>
      </c>
      <c r="E2020" s="445" t="s">
        <v>256</v>
      </c>
      <c r="F2020" s="386">
        <v>1.0</v>
      </c>
      <c r="G2020" s="74">
        <v>130000.0</v>
      </c>
      <c r="H2020" s="74">
        <v>0.0</v>
      </c>
      <c r="I2020" s="74">
        <f t="shared" si="1"/>
        <v>130000</v>
      </c>
      <c r="J2020" s="74">
        <f>IF(E2020="SERVICE",I2020-(I2020*50%),Vlookup(E2020,DATABASE!C:Q,10,false)*F2020)</f>
        <v>10000</v>
      </c>
      <c r="K2020" s="74">
        <f>VLOOKUP(E2020,DATABASE!C:Q,7,false)</f>
        <v>0</v>
      </c>
      <c r="L2020" s="74">
        <v>0.0</v>
      </c>
      <c r="M2020" s="74">
        <f t="shared" si="2"/>
        <v>0</v>
      </c>
      <c r="N2020" s="74">
        <f t="shared" si="3"/>
        <v>120000</v>
      </c>
      <c r="O2020" s="65" t="str">
        <f>VLOOKUP(E2020,DATABASE!C:Q,8,false)</f>
        <v>IBU</v>
      </c>
      <c r="P2020" s="65">
        <f>VLOOKUP(E2020,DATABASE!C:Q,9,False)</f>
        <v>0</v>
      </c>
      <c r="Q2020" s="93" t="str">
        <f>VLOOKUP(E2020,DATABASE!C:Q,4,false)</f>
        <v>SPOORING</v>
      </c>
      <c r="R2020" s="93" t="str">
        <f>VLOOKUP(E2020,DATABASE!C:Q,11,false)</f>
        <v>SERVICE</v>
      </c>
    </row>
    <row r="2021" ht="22.5" customHeight="1">
      <c r="A2021" s="49"/>
      <c r="C2021" s="384">
        <v>45762.0</v>
      </c>
      <c r="D2021" s="65">
        <v>5228.0</v>
      </c>
      <c r="E2021" s="445" t="s">
        <v>932</v>
      </c>
      <c r="F2021" s="386">
        <v>1.0</v>
      </c>
      <c r="G2021" s="74">
        <v>670000.0</v>
      </c>
      <c r="H2021" s="74">
        <v>0.0</v>
      </c>
      <c r="I2021" s="74">
        <f t="shared" si="1"/>
        <v>670000</v>
      </c>
      <c r="J2021" s="74">
        <f>IF(E2021="SERVICE",I2021-(I2021*50%),Vlookup(E2021,DATABASE!C:Q,10,false)*F2021)</f>
        <v>0</v>
      </c>
      <c r="K2021" s="74">
        <v>575000.0</v>
      </c>
      <c r="L2021" s="74">
        <v>575000.0</v>
      </c>
      <c r="M2021" s="74">
        <f t="shared" si="2"/>
        <v>575000</v>
      </c>
      <c r="N2021" s="74">
        <f t="shared" si="3"/>
        <v>95000</v>
      </c>
      <c r="O2021" s="65" t="str">
        <f>VLOOKUP(E2021,DATABASE!C:Q,8,false)</f>
        <v>IBU</v>
      </c>
      <c r="P2021" s="65">
        <f>VLOOKUP(E2021,DATABASE!C:Q,9,False)</f>
        <v>1</v>
      </c>
      <c r="Q2021" s="93" t="str">
        <f>VLOOKUP(E2021,DATABASE!C:Q,4,false)</f>
        <v>Dunlop</v>
      </c>
      <c r="R2021" s="93" t="str">
        <f>VLOOKUP(E2021,DATABASE!C:Q,11,false)</f>
        <v>Tire</v>
      </c>
    </row>
    <row r="2022" ht="22.5" customHeight="1">
      <c r="A2022" s="49"/>
      <c r="C2022" s="384">
        <v>45762.0</v>
      </c>
      <c r="D2022" s="65">
        <v>5229.0</v>
      </c>
      <c r="E2022" s="445" t="s">
        <v>1133</v>
      </c>
      <c r="F2022" s="386">
        <v>1.0</v>
      </c>
      <c r="G2022" s="74">
        <v>820000.0</v>
      </c>
      <c r="H2022" s="74">
        <v>0.0</v>
      </c>
      <c r="I2022" s="74">
        <f t="shared" si="1"/>
        <v>820000</v>
      </c>
      <c r="J2022" s="74">
        <f>IF(E2022="SERVICE",I2022-(I2022*50%),Vlookup(E2022,DATABASE!C:Q,10,false)*F2022)</f>
        <v>0</v>
      </c>
      <c r="K2022" s="74">
        <f>VLOOKUP(E2022,DATABASE!C:Q,7,false)</f>
        <v>759539.2</v>
      </c>
      <c r="L2022" s="74">
        <v>715635.0</v>
      </c>
      <c r="M2022" s="74">
        <f t="shared" si="2"/>
        <v>720000</v>
      </c>
      <c r="N2022" s="74">
        <f t="shared" si="3"/>
        <v>100000</v>
      </c>
      <c r="O2022" s="65" t="str">
        <f>VLOOKUP(E2022,DATABASE!C:Q,8,false)</f>
        <v>IBU</v>
      </c>
      <c r="P2022" s="65">
        <f>VLOOKUP(E2022,DATABASE!C:Q,9,False)</f>
        <v>1</v>
      </c>
      <c r="Q2022" s="93" t="str">
        <f>VLOOKUP(E2022,DATABASE!C:Q,4,false)</f>
        <v>Bridgestone</v>
      </c>
      <c r="R2022" s="93" t="str">
        <f>VLOOKUP(E2022,DATABASE!C:Q,11,false)</f>
        <v>Tire</v>
      </c>
    </row>
    <row r="2023" ht="22.5" customHeight="1">
      <c r="A2023" s="49"/>
      <c r="C2023" s="384">
        <v>45762.0</v>
      </c>
      <c r="D2023" s="65">
        <v>5230.0</v>
      </c>
      <c r="E2023" s="445" t="s">
        <v>974</v>
      </c>
      <c r="F2023" s="386">
        <v>2.0</v>
      </c>
      <c r="G2023" s="74">
        <v>565000.0</v>
      </c>
      <c r="H2023" s="74">
        <v>0.0</v>
      </c>
      <c r="I2023" s="74">
        <f t="shared" si="1"/>
        <v>1130000</v>
      </c>
      <c r="J2023" s="74">
        <f>IF(E2023="SERVICE",I2023-(I2023*50%),Vlookup(E2023,DATABASE!C:Q,10,false)*F2023)</f>
        <v>0</v>
      </c>
      <c r="K2023" s="74">
        <f>VLOOKUP(E2023,DATABASE!C:Q,7,false)</f>
        <v>501500</v>
      </c>
      <c r="L2023" s="74">
        <v>491000.0</v>
      </c>
      <c r="M2023" s="74">
        <f t="shared" si="2"/>
        <v>495000</v>
      </c>
      <c r="N2023" s="74">
        <f t="shared" si="3"/>
        <v>140000</v>
      </c>
      <c r="O2023" s="65" t="str">
        <f>VLOOKUP(E2023,DATABASE!C:Q,8,false)</f>
        <v>IBU</v>
      </c>
      <c r="P2023" s="65">
        <f>VLOOKUP(E2023,DATABASE!C:Q,9,False)</f>
        <v>1</v>
      </c>
      <c r="Q2023" s="93" t="str">
        <f>VLOOKUP(E2023,DATABASE!C:Q,4,false)</f>
        <v>Dunlop</v>
      </c>
      <c r="R2023" s="93" t="str">
        <f>VLOOKUP(E2023,DATABASE!C:Q,11,false)</f>
        <v>Tire</v>
      </c>
    </row>
    <row r="2024" ht="22.5" customHeight="1">
      <c r="A2024" s="49"/>
      <c r="C2024" s="384">
        <v>45762.0</v>
      </c>
      <c r="D2024" s="65">
        <v>5230.0</v>
      </c>
      <c r="E2024" s="445" t="s">
        <v>932</v>
      </c>
      <c r="F2024" s="386">
        <v>2.0</v>
      </c>
      <c r="G2024" s="74">
        <v>670000.0</v>
      </c>
      <c r="H2024" s="74">
        <v>0.0</v>
      </c>
      <c r="I2024" s="74">
        <f t="shared" si="1"/>
        <v>1340000</v>
      </c>
      <c r="J2024" s="74">
        <f>IF(E2024="SERVICE",I2024-(I2024*50%),Vlookup(E2024,DATABASE!C:Q,10,false)*F2024)</f>
        <v>0</v>
      </c>
      <c r="K2024" s="74">
        <v>575000.0</v>
      </c>
      <c r="L2024" s="74">
        <v>575000.0</v>
      </c>
      <c r="M2024" s="74">
        <f t="shared" si="2"/>
        <v>575000</v>
      </c>
      <c r="N2024" s="74">
        <f t="shared" si="3"/>
        <v>190000</v>
      </c>
      <c r="O2024" s="65" t="str">
        <f>VLOOKUP(E2024,DATABASE!C:Q,8,false)</f>
        <v>IBU</v>
      </c>
      <c r="P2024" s="65">
        <f>VLOOKUP(E2024,DATABASE!C:Q,9,False)</f>
        <v>1</v>
      </c>
      <c r="Q2024" s="93" t="str">
        <f>VLOOKUP(E2024,DATABASE!C:Q,4,false)</f>
        <v>Dunlop</v>
      </c>
      <c r="R2024" s="93" t="str">
        <f>VLOOKUP(E2024,DATABASE!C:Q,11,false)</f>
        <v>Tire</v>
      </c>
    </row>
    <row r="2025" ht="22.5" customHeight="1">
      <c r="A2025" s="49"/>
      <c r="C2025" s="384">
        <v>45762.0</v>
      </c>
      <c r="D2025" s="65">
        <v>5231.0</v>
      </c>
      <c r="E2025" s="445" t="s">
        <v>569</v>
      </c>
      <c r="F2025" s="386">
        <v>1.0</v>
      </c>
      <c r="G2025" s="74">
        <v>80000.0</v>
      </c>
      <c r="H2025" s="74">
        <v>0.0</v>
      </c>
      <c r="I2025" s="74">
        <f t="shared" si="1"/>
        <v>80000</v>
      </c>
      <c r="J2025" s="74">
        <f>IF(E2025="SERVICE",I2025-(I2025*50%),Vlookup(E2025,DATABASE!C:Q,10,false)*F2025)</f>
        <v>0</v>
      </c>
      <c r="K2025" s="74">
        <f>VLOOKUP(E2025,DATABASE!C:Q,7,false)</f>
        <v>45439.582</v>
      </c>
      <c r="L2025" s="74">
        <v>45309.6</v>
      </c>
      <c r="M2025" s="74">
        <f t="shared" si="2"/>
        <v>50000</v>
      </c>
      <c r="N2025" s="74">
        <f t="shared" si="3"/>
        <v>30000</v>
      </c>
      <c r="O2025" s="65" t="str">
        <f>VLOOKUP(E2025,DATABASE!C:Q,8,false)</f>
        <v>BIAN</v>
      </c>
      <c r="P2025" s="65">
        <f>VLOOKUP(E2025,DATABASE!C:Q,9,False)</f>
        <v>1</v>
      </c>
      <c r="Q2025" s="93" t="str">
        <f>VLOOKUP(E2025,DATABASE!C:Q,4,false)</f>
        <v>BD</v>
      </c>
      <c r="R2025" s="93" t="str">
        <f>VLOOKUP(E2025,DATABASE!C:Q,11,false)</f>
        <v>Tire</v>
      </c>
    </row>
    <row r="2026" ht="22.5" customHeight="1">
      <c r="A2026" s="49"/>
      <c r="C2026" s="384">
        <v>45762.0</v>
      </c>
      <c r="D2026" s="65">
        <v>5232.0</v>
      </c>
      <c r="E2026" s="445" t="s">
        <v>1530</v>
      </c>
      <c r="F2026" s="386">
        <v>4.0</v>
      </c>
      <c r="G2026" s="74">
        <v>560000.0</v>
      </c>
      <c r="H2026" s="74">
        <v>0.0</v>
      </c>
      <c r="I2026" s="74">
        <f t="shared" si="1"/>
        <v>2240000</v>
      </c>
      <c r="J2026" s="74">
        <f>IF(E2026="SERVICE",I2026-(I2026*50%),Vlookup(E2026,DATABASE!C:Q,10,false)*F2026)</f>
        <v>0</v>
      </c>
      <c r="K2026" s="74">
        <f>VLOOKUP(E2026,DATABASE!C:Q,7,false)</f>
        <v>467000</v>
      </c>
      <c r="L2026" s="74">
        <v>454000.0</v>
      </c>
      <c r="M2026" s="74">
        <f t="shared" si="2"/>
        <v>455000</v>
      </c>
      <c r="N2026" s="74">
        <f t="shared" si="3"/>
        <v>420000</v>
      </c>
      <c r="O2026" s="65" t="str">
        <f>VLOOKUP(E2026,DATABASE!C:Q,8,false)</f>
        <v>BIAN</v>
      </c>
      <c r="P2026" s="65">
        <f>VLOOKUP(E2026,DATABASE!C:Q,9,False)</f>
        <v>1</v>
      </c>
      <c r="Q2026" s="93" t="str">
        <f>VLOOKUP(E2026,DATABASE!C:Q,4,false)</f>
        <v>Laufen</v>
      </c>
      <c r="R2026" s="93" t="str">
        <f>VLOOKUP(E2026,DATABASE!C:Q,11,false)</f>
        <v>Tire</v>
      </c>
    </row>
    <row r="2027" ht="22.5" customHeight="1">
      <c r="A2027" s="49"/>
      <c r="C2027" s="384">
        <v>45762.0</v>
      </c>
      <c r="D2027" s="65">
        <v>5232.0</v>
      </c>
      <c r="E2027" s="385" t="s">
        <v>299</v>
      </c>
      <c r="F2027" s="386">
        <v>2.0</v>
      </c>
      <c r="G2027" s="74">
        <v>30000.0</v>
      </c>
      <c r="H2027" s="74">
        <v>0.0</v>
      </c>
      <c r="I2027" s="74">
        <f t="shared" si="1"/>
        <v>60000</v>
      </c>
      <c r="J2027" s="74">
        <f>IF(E2027="SERVICE",I2027-(I2027*50%),Vlookup(E2027,DATABASE!C:Q,10,false)*F2027)</f>
        <v>0</v>
      </c>
      <c r="K2027" s="74">
        <v>0.0</v>
      </c>
      <c r="L2027" s="74">
        <v>0.0</v>
      </c>
      <c r="M2027" s="74">
        <f t="shared" si="2"/>
        <v>0</v>
      </c>
      <c r="N2027" s="74">
        <f t="shared" si="3"/>
        <v>60000</v>
      </c>
      <c r="O2027" s="65" t="str">
        <f>VLOOKUP(E2027,DATABASE!C:Q,8,false)</f>
        <v>BIAN</v>
      </c>
      <c r="P2027" s="65">
        <f>VLOOKUP(E2027,DATABASE!C:Q,9,False)</f>
        <v>0</v>
      </c>
      <c r="Q2027" s="93" t="str">
        <f>VLOOKUP(E2027,DATABASE!C:Q,4,false)</f>
        <v>Balancing</v>
      </c>
      <c r="R2027" s="93" t="str">
        <f>VLOOKUP(E2027,DATABASE!C:Q,11,false)</f>
        <v>COMPLEMENTARY</v>
      </c>
    </row>
    <row r="2028" ht="22.5" customHeight="1">
      <c r="A2028" s="49"/>
      <c r="C2028" s="384">
        <v>45762.0</v>
      </c>
      <c r="D2028" s="65">
        <v>5232.0</v>
      </c>
      <c r="E2028" s="445" t="s">
        <v>256</v>
      </c>
      <c r="F2028" s="386">
        <v>1.0</v>
      </c>
      <c r="G2028" s="74">
        <v>130000.0</v>
      </c>
      <c r="H2028" s="74">
        <v>0.0</v>
      </c>
      <c r="I2028" s="74">
        <f t="shared" si="1"/>
        <v>130000</v>
      </c>
      <c r="J2028" s="74">
        <f>IF(E2028="SERVICE",I2028-(I2028*50%),Vlookup(E2028,DATABASE!C:Q,10,false)*F2028)</f>
        <v>10000</v>
      </c>
      <c r="K2028" s="74">
        <f>VLOOKUP(E2028,DATABASE!C:Q,7,false)</f>
        <v>0</v>
      </c>
      <c r="L2028" s="74">
        <v>0.0</v>
      </c>
      <c r="M2028" s="74">
        <f t="shared" si="2"/>
        <v>0</v>
      </c>
      <c r="N2028" s="74">
        <f t="shared" si="3"/>
        <v>120000</v>
      </c>
      <c r="O2028" s="65" t="str">
        <f>VLOOKUP(E2028,DATABASE!C:Q,8,false)</f>
        <v>IBU</v>
      </c>
      <c r="P2028" s="65">
        <f>VLOOKUP(E2028,DATABASE!C:Q,9,False)</f>
        <v>0</v>
      </c>
      <c r="Q2028" s="93" t="str">
        <f>VLOOKUP(E2028,DATABASE!C:Q,4,false)</f>
        <v>SPOORING</v>
      </c>
      <c r="R2028" s="93" t="str">
        <f>VLOOKUP(E2028,DATABASE!C:Q,11,false)</f>
        <v>SERVICE</v>
      </c>
    </row>
    <row r="2029" ht="22.5" customHeight="1">
      <c r="A2029" s="49"/>
      <c r="C2029" s="384">
        <v>45762.0</v>
      </c>
      <c r="D2029" s="65">
        <v>5232.0</v>
      </c>
      <c r="E2029" s="445" t="s">
        <v>301</v>
      </c>
      <c r="F2029" s="386">
        <v>1.0</v>
      </c>
      <c r="G2029" s="74">
        <v>250000.0</v>
      </c>
      <c r="H2029" s="74">
        <v>0.0</v>
      </c>
      <c r="I2029" s="74">
        <f t="shared" si="1"/>
        <v>250000</v>
      </c>
      <c r="J2029" s="74">
        <f>IF(E2029="SERVICE",I2029-(I2029*50%),Vlookup(E2029,DATABASE!C:Q,10,false)*F2029)</f>
        <v>75000</v>
      </c>
      <c r="K2029" s="74">
        <f>VLOOKUP(E2029,DATABASE!C:Q,7,false)</f>
        <v>75000</v>
      </c>
      <c r="L2029" s="74">
        <v>75000.0</v>
      </c>
      <c r="M2029" s="74">
        <f t="shared" si="2"/>
        <v>75000</v>
      </c>
      <c r="N2029" s="74">
        <f t="shared" si="3"/>
        <v>100000</v>
      </c>
      <c r="O2029" s="65" t="str">
        <f>VLOOKUP(E2029,DATABASE!C:Q,8,false)</f>
        <v>BIAN</v>
      </c>
      <c r="P2029" s="65">
        <f>VLOOKUP(E2029,DATABASE!C:Q,9,False)</f>
        <v>0</v>
      </c>
      <c r="Q2029" s="93" t="str">
        <f>VLOOKUP(E2029,DATABASE!C:Q,4,false)</f>
        <v>Baut Camber</v>
      </c>
      <c r="R2029" s="93" t="str">
        <f>VLOOKUP(E2029,DATABASE!C:Q,11,false)</f>
        <v>COMPLEMENTARY</v>
      </c>
    </row>
    <row r="2030" ht="22.5" customHeight="1">
      <c r="A2030" s="49"/>
      <c r="C2030" s="384">
        <v>45762.0</v>
      </c>
      <c r="D2030" s="65">
        <v>5233.0</v>
      </c>
      <c r="E2030" s="445" t="s">
        <v>275</v>
      </c>
      <c r="F2030" s="386">
        <v>1.0</v>
      </c>
      <c r="G2030" s="74">
        <v>830000.0</v>
      </c>
      <c r="H2030" s="74">
        <v>0.0</v>
      </c>
      <c r="I2030" s="74">
        <f t="shared" si="1"/>
        <v>830000</v>
      </c>
      <c r="J2030" s="74">
        <f>IF(E2030="SERVICE",I2030-(I2030*50%),Vlookup(E2030,DATABASE!C:Q,10,false)*F2030)</f>
        <v>0</v>
      </c>
      <c r="K2030" s="74">
        <v>735000.0</v>
      </c>
      <c r="L2030" s="74">
        <v>735000.0</v>
      </c>
      <c r="M2030" s="74">
        <f t="shared" si="2"/>
        <v>735000</v>
      </c>
      <c r="N2030" s="74">
        <f t="shared" si="3"/>
        <v>95000</v>
      </c>
      <c r="O2030" s="65" t="str">
        <f>VLOOKUP(E2030,DATABASE!C:Q,8,false)</f>
        <v>IBU</v>
      </c>
      <c r="P2030" s="65">
        <f>VLOOKUP(E2030,DATABASE!C:Q,9,False)</f>
        <v>1</v>
      </c>
      <c r="Q2030" s="93" t="str">
        <f>VLOOKUP(E2030,DATABASE!C:Q,4,false)</f>
        <v>Dunlop</v>
      </c>
      <c r="R2030" s="93" t="str">
        <f>VLOOKUP(E2030,DATABASE!C:Q,11,false)</f>
        <v>Tire</v>
      </c>
    </row>
    <row r="2031" ht="22.5" customHeight="1">
      <c r="A2031" s="49"/>
      <c r="C2031" s="384">
        <v>45762.0</v>
      </c>
      <c r="D2031" s="65">
        <v>5234.0</v>
      </c>
      <c r="E2031" s="445" t="s">
        <v>781</v>
      </c>
      <c r="F2031" s="386">
        <v>2.0</v>
      </c>
      <c r="G2031" s="74">
        <v>530000.0</v>
      </c>
      <c r="H2031" s="74">
        <v>0.0</v>
      </c>
      <c r="I2031" s="74">
        <f t="shared" si="1"/>
        <v>1060000</v>
      </c>
      <c r="J2031" s="74">
        <f>IF(E2031="SERVICE",I2031-(I2031*50%),Vlookup(E2031,DATABASE!C:Q,10,false)*F2031)</f>
        <v>0</v>
      </c>
      <c r="K2031" s="74">
        <f>VLOOKUP(E2031,DATABASE!C:Q,7,false)</f>
        <v>470000</v>
      </c>
      <c r="L2031" s="74">
        <v>442500.0</v>
      </c>
      <c r="M2031" s="74">
        <f t="shared" si="2"/>
        <v>445000</v>
      </c>
      <c r="N2031" s="74">
        <f t="shared" si="3"/>
        <v>170000</v>
      </c>
      <c r="O2031" s="65" t="str">
        <f>VLOOKUP(E2031,DATABASE!C:Q,8,false)</f>
        <v>BIAN</v>
      </c>
      <c r="P2031" s="65">
        <f>VLOOKUP(E2031,DATABASE!C:Q,9,False)</f>
        <v>1</v>
      </c>
      <c r="Q2031" s="93" t="str">
        <f>VLOOKUP(E2031,DATABASE!C:Q,4,false)</f>
        <v>GT</v>
      </c>
      <c r="R2031" s="93" t="str">
        <f>VLOOKUP(E2031,DATABASE!C:Q,11,false)</f>
        <v>Tire</v>
      </c>
    </row>
    <row r="2032" ht="22.5" customHeight="1">
      <c r="A2032" s="49"/>
      <c r="C2032" s="384">
        <v>45762.0</v>
      </c>
      <c r="D2032" s="65">
        <v>5235.0</v>
      </c>
      <c r="E2032" s="445" t="s">
        <v>265</v>
      </c>
      <c r="F2032" s="386">
        <v>1.0</v>
      </c>
      <c r="G2032" s="74">
        <v>670000.0</v>
      </c>
      <c r="H2032" s="74">
        <v>0.0</v>
      </c>
      <c r="I2032" s="74">
        <f t="shared" si="1"/>
        <v>670000</v>
      </c>
      <c r="J2032" s="74">
        <f>IF(E2032="SERVICE",I2032-(I2032*50%),Vlookup(E2032,DATABASE!C:Q,10,false)*F2032)</f>
        <v>0</v>
      </c>
      <c r="K2032" s="74">
        <v>590000.0</v>
      </c>
      <c r="L2032" s="74">
        <v>590000.0</v>
      </c>
      <c r="M2032" s="74">
        <f t="shared" si="2"/>
        <v>590000</v>
      </c>
      <c r="N2032" s="74">
        <f t="shared" si="3"/>
        <v>80000</v>
      </c>
      <c r="O2032" s="65" t="str">
        <f>VLOOKUP(E2032,DATABASE!C:Q,8,false)</f>
        <v>IBU</v>
      </c>
      <c r="P2032" s="65">
        <f>VLOOKUP(E2032,DATABASE!C:Q,9,False)</f>
        <v>1</v>
      </c>
      <c r="Q2032" s="93" t="str">
        <f>VLOOKUP(E2032,DATABASE!C:Q,4,false)</f>
        <v>Dunlop</v>
      </c>
      <c r="R2032" s="93" t="str">
        <f>VLOOKUP(E2032,DATABASE!C:Q,11,false)</f>
        <v>Tire</v>
      </c>
    </row>
    <row r="2033" ht="22.5" customHeight="1">
      <c r="A2033" s="49"/>
      <c r="C2033" s="384">
        <v>45762.0</v>
      </c>
      <c r="D2033" s="65">
        <v>5238.0</v>
      </c>
      <c r="E2033" s="445" t="s">
        <v>627</v>
      </c>
      <c r="F2033" s="386">
        <v>4.0</v>
      </c>
      <c r="G2033" s="74">
        <v>935000.0</v>
      </c>
      <c r="H2033" s="74">
        <v>0.0</v>
      </c>
      <c r="I2033" s="74">
        <f t="shared" si="1"/>
        <v>3740000</v>
      </c>
      <c r="J2033" s="74">
        <f>IF(E2033="SERVICE",I2033-(I2033*50%),Vlookup(E2033,DATABASE!C:Q,10,false)*F2033)</f>
        <v>0</v>
      </c>
      <c r="K2033" s="74">
        <f>VLOOKUP(E2033,DATABASE!C:Q,7,false)</f>
        <v>879567</v>
      </c>
      <c r="L2033" s="74">
        <v>884979.0</v>
      </c>
      <c r="M2033" s="74">
        <f t="shared" si="2"/>
        <v>885000</v>
      </c>
      <c r="N2033" s="74">
        <f t="shared" si="3"/>
        <v>200000</v>
      </c>
      <c r="O2033" s="65" t="str">
        <f>VLOOKUP(E2033,DATABASE!C:Q,8,false)</f>
        <v>IBU</v>
      </c>
      <c r="P2033" s="65">
        <f>VLOOKUP(E2033,DATABASE!C:Q,9,False)</f>
        <v>1</v>
      </c>
      <c r="Q2033" s="93" t="str">
        <f>VLOOKUP(E2033,DATABASE!C:Q,4,false)</f>
        <v>Bridgestone</v>
      </c>
      <c r="R2033" s="93" t="str">
        <f>VLOOKUP(E2033,DATABASE!C:Q,11,false)</f>
        <v>Tire</v>
      </c>
    </row>
    <row r="2034" ht="22.5" customHeight="1">
      <c r="A2034" s="49"/>
      <c r="C2034" s="384">
        <v>45762.0</v>
      </c>
      <c r="D2034" s="65">
        <v>5238.0</v>
      </c>
      <c r="E2034" s="385" t="s">
        <v>299</v>
      </c>
      <c r="F2034" s="386">
        <v>2.0</v>
      </c>
      <c r="G2034" s="74">
        <v>30000.0</v>
      </c>
      <c r="H2034" s="74">
        <v>0.0</v>
      </c>
      <c r="I2034" s="74">
        <f t="shared" si="1"/>
        <v>60000</v>
      </c>
      <c r="J2034" s="74">
        <f>IF(E2034="SERVICE",I2034-(I2034*50%),Vlookup(E2034,DATABASE!C:Q,10,false)*F2034)</f>
        <v>0</v>
      </c>
      <c r="K2034" s="74">
        <v>0.0</v>
      </c>
      <c r="L2034" s="74">
        <v>0.0</v>
      </c>
      <c r="M2034" s="74">
        <f t="shared" si="2"/>
        <v>0</v>
      </c>
      <c r="N2034" s="74">
        <f t="shared" si="3"/>
        <v>60000</v>
      </c>
      <c r="O2034" s="65" t="str">
        <f>VLOOKUP(E2034,DATABASE!C:Q,8,false)</f>
        <v>BIAN</v>
      </c>
      <c r="P2034" s="65">
        <f>VLOOKUP(E2034,DATABASE!C:Q,9,False)</f>
        <v>0</v>
      </c>
      <c r="Q2034" s="93" t="str">
        <f>VLOOKUP(E2034,DATABASE!C:Q,4,false)</f>
        <v>Balancing</v>
      </c>
      <c r="R2034" s="93" t="str">
        <f>VLOOKUP(E2034,DATABASE!C:Q,11,false)</f>
        <v>COMPLEMENTARY</v>
      </c>
    </row>
    <row r="2035" ht="22.5" customHeight="1">
      <c r="A2035" s="49"/>
      <c r="C2035" s="384">
        <v>45762.0</v>
      </c>
      <c r="D2035" s="65">
        <v>5239.0</v>
      </c>
      <c r="E2035" s="445" t="s">
        <v>1424</v>
      </c>
      <c r="F2035" s="386">
        <v>2.0</v>
      </c>
      <c r="G2035" s="74">
        <v>770000.0</v>
      </c>
      <c r="H2035" s="74">
        <v>0.0</v>
      </c>
      <c r="I2035" s="74">
        <f t="shared" si="1"/>
        <v>1540000</v>
      </c>
      <c r="J2035" s="74">
        <f>IF(E2035="SERVICE",I2035-(I2035*50%),Vlookup(E2035,DATABASE!C:Q,10,false)*F2035)</f>
        <v>0</v>
      </c>
      <c r="K2035" s="74">
        <f>VLOOKUP(E2035,DATABASE!C:Q,7,false)</f>
        <v>671600</v>
      </c>
      <c r="L2035" s="74">
        <v>671600.0</v>
      </c>
      <c r="M2035" s="74">
        <f t="shared" si="2"/>
        <v>675000</v>
      </c>
      <c r="N2035" s="74">
        <f t="shared" si="3"/>
        <v>190000</v>
      </c>
      <c r="O2035" s="65" t="str">
        <f>VLOOKUP(E2035,DATABASE!C:Q,8,false)</f>
        <v>BIAN</v>
      </c>
      <c r="P2035" s="65">
        <f>VLOOKUP(E2035,DATABASE!C:Q,9,False)</f>
        <v>1</v>
      </c>
      <c r="Q2035" s="93" t="str">
        <f>VLOOKUP(E2035,DATABASE!C:Q,4,false)</f>
        <v>GT</v>
      </c>
      <c r="R2035" s="93" t="str">
        <f>VLOOKUP(E2035,DATABASE!C:Q,11,false)</f>
        <v>Tire</v>
      </c>
    </row>
    <row r="2036" ht="22.5" customHeight="1">
      <c r="A2036" s="49"/>
      <c r="C2036" s="384">
        <v>45762.0</v>
      </c>
      <c r="D2036" s="65">
        <v>5240.0</v>
      </c>
      <c r="E2036" s="385" t="s">
        <v>299</v>
      </c>
      <c r="F2036" s="386">
        <v>2.0</v>
      </c>
      <c r="G2036" s="74">
        <v>30000.0</v>
      </c>
      <c r="H2036" s="74">
        <v>0.0</v>
      </c>
      <c r="I2036" s="74">
        <f t="shared" si="1"/>
        <v>60000</v>
      </c>
      <c r="J2036" s="74">
        <f>IF(E2036="SERVICE",I2036-(I2036*50%),Vlookup(E2036,DATABASE!C:Q,10,false)*F2036)</f>
        <v>0</v>
      </c>
      <c r="K2036" s="74">
        <v>0.0</v>
      </c>
      <c r="L2036" s="74">
        <v>0.0</v>
      </c>
      <c r="M2036" s="74">
        <f t="shared" si="2"/>
        <v>0</v>
      </c>
      <c r="N2036" s="74">
        <f t="shared" si="3"/>
        <v>60000</v>
      </c>
      <c r="O2036" s="65" t="str">
        <f>VLOOKUP(E2036,DATABASE!C:Q,8,false)</f>
        <v>BIAN</v>
      </c>
      <c r="P2036" s="65">
        <f>VLOOKUP(E2036,DATABASE!C:Q,9,False)</f>
        <v>0</v>
      </c>
      <c r="Q2036" s="93" t="str">
        <f>VLOOKUP(E2036,DATABASE!C:Q,4,false)</f>
        <v>Balancing</v>
      </c>
      <c r="R2036" s="93" t="str">
        <f>VLOOKUP(E2036,DATABASE!C:Q,11,false)</f>
        <v>COMPLEMENTARY</v>
      </c>
    </row>
    <row r="2037" ht="22.5" customHeight="1">
      <c r="A2037" s="49"/>
      <c r="C2037" s="384">
        <v>45762.0</v>
      </c>
      <c r="D2037" s="65">
        <v>5241.0</v>
      </c>
      <c r="E2037" s="445" t="s">
        <v>275</v>
      </c>
      <c r="F2037" s="386">
        <v>2.0</v>
      </c>
      <c r="G2037" s="74">
        <v>830000.0</v>
      </c>
      <c r="H2037" s="74">
        <v>0.0</v>
      </c>
      <c r="I2037" s="74">
        <f t="shared" si="1"/>
        <v>1660000</v>
      </c>
      <c r="J2037" s="74">
        <f>IF(E2037="SERVICE",I2037-(I2037*50%),Vlookup(E2037,DATABASE!C:Q,10,false)*F2037)</f>
        <v>0</v>
      </c>
      <c r="K2037" s="74">
        <v>735000.0</v>
      </c>
      <c r="L2037" s="74">
        <v>735000.0</v>
      </c>
      <c r="M2037" s="74">
        <f t="shared" si="2"/>
        <v>735000</v>
      </c>
      <c r="N2037" s="74">
        <f t="shared" si="3"/>
        <v>190000</v>
      </c>
      <c r="O2037" s="65" t="str">
        <f>VLOOKUP(E2037,DATABASE!C:Q,8,false)</f>
        <v>IBU</v>
      </c>
      <c r="P2037" s="65">
        <f>VLOOKUP(E2037,DATABASE!C:Q,9,False)</f>
        <v>1</v>
      </c>
      <c r="Q2037" s="93" t="str">
        <f>VLOOKUP(E2037,DATABASE!C:Q,4,false)</f>
        <v>Dunlop</v>
      </c>
      <c r="R2037" s="93" t="str">
        <f>VLOOKUP(E2037,DATABASE!C:Q,11,false)</f>
        <v>Tire</v>
      </c>
    </row>
    <row r="2038" ht="22.5" customHeight="1">
      <c r="A2038" s="49"/>
      <c r="C2038" s="384">
        <v>45762.0</v>
      </c>
      <c r="D2038" s="65">
        <v>5242.0</v>
      </c>
      <c r="E2038" s="445" t="s">
        <v>604</v>
      </c>
      <c r="F2038" s="386">
        <v>1.0</v>
      </c>
      <c r="G2038" s="74">
        <v>160000.0</v>
      </c>
      <c r="H2038" s="74">
        <v>0.0</v>
      </c>
      <c r="I2038" s="74">
        <f t="shared" si="1"/>
        <v>160000</v>
      </c>
      <c r="J2038" s="74">
        <f>IF(E2038="SERVICE",I2038-(I2038*50%),Vlookup(E2038,DATABASE!C:Q,10,false)*F2038)</f>
        <v>0</v>
      </c>
      <c r="K2038" s="74">
        <f>VLOOKUP(E2038,DATABASE!C:Q,7,false)</f>
        <v>124000</v>
      </c>
      <c r="L2038" s="74">
        <v>124000.0</v>
      </c>
      <c r="M2038" s="74">
        <f t="shared" si="2"/>
        <v>125000</v>
      </c>
      <c r="N2038" s="74">
        <f t="shared" si="3"/>
        <v>35000</v>
      </c>
      <c r="O2038" s="65" t="str">
        <f>VLOOKUP(E2038,DATABASE!C:Q,8,false)</f>
        <v>BIAN</v>
      </c>
      <c r="P2038" s="65">
        <f>VLOOKUP(E2038,DATABASE!C:Q,9,False)</f>
        <v>1</v>
      </c>
      <c r="Q2038" s="93" t="str">
        <f>VLOOKUP(E2038,DATABASE!C:Q,4,false)</f>
        <v>BD</v>
      </c>
      <c r="R2038" s="93" t="str">
        <f>VLOOKUP(E2038,DATABASE!C:Q,11,false)</f>
        <v>Tire</v>
      </c>
    </row>
    <row r="2039" ht="22.5" customHeight="1">
      <c r="A2039" s="49"/>
      <c r="C2039" s="384">
        <v>45762.0</v>
      </c>
      <c r="D2039" s="65">
        <v>5243.0</v>
      </c>
      <c r="E2039" s="445" t="s">
        <v>1009</v>
      </c>
      <c r="F2039" s="386">
        <v>4.0</v>
      </c>
      <c r="G2039" s="74">
        <v>700000.0</v>
      </c>
      <c r="H2039" s="74">
        <v>0.0</v>
      </c>
      <c r="I2039" s="74">
        <f t="shared" si="1"/>
        <v>2800000</v>
      </c>
      <c r="J2039" s="74">
        <f>IF(E2039="SERVICE",I2039-(I2039*50%),Vlookup(E2039,DATABASE!C:Q,10,false)*F2039)</f>
        <v>0</v>
      </c>
      <c r="K2039" s="74">
        <f>VLOOKUP(E2039,DATABASE!C:Q,7,false)</f>
        <v>609800</v>
      </c>
      <c r="L2039" s="74">
        <v>592200.0</v>
      </c>
      <c r="M2039" s="74">
        <f t="shared" si="2"/>
        <v>595000</v>
      </c>
      <c r="N2039" s="74">
        <f t="shared" si="3"/>
        <v>420000</v>
      </c>
      <c r="O2039" s="65" t="str">
        <f>VLOOKUP(E2039,DATABASE!C:Q,8,false)</f>
        <v>BIAN</v>
      </c>
      <c r="P2039" s="65">
        <f>VLOOKUP(E2039,DATABASE!C:Q,9,False)</f>
        <v>1</v>
      </c>
      <c r="Q2039" s="93" t="str">
        <f>VLOOKUP(E2039,DATABASE!C:Q,4,false)</f>
        <v>GT</v>
      </c>
      <c r="R2039" s="93" t="str">
        <f>VLOOKUP(E2039,DATABASE!C:Q,11,false)</f>
        <v>Tire</v>
      </c>
    </row>
    <row r="2040" ht="22.5" customHeight="1">
      <c r="A2040" s="49"/>
      <c r="C2040" s="384">
        <v>45762.0</v>
      </c>
      <c r="D2040" s="65">
        <v>5244.0</v>
      </c>
      <c r="E2040" s="445" t="s">
        <v>265</v>
      </c>
      <c r="F2040" s="386">
        <v>2.0</v>
      </c>
      <c r="G2040" s="74">
        <v>670000.0</v>
      </c>
      <c r="H2040" s="74">
        <v>0.0</v>
      </c>
      <c r="I2040" s="74">
        <f t="shared" si="1"/>
        <v>1340000</v>
      </c>
      <c r="J2040" s="74">
        <f>IF(E2040="SERVICE",I2040-(I2040*50%),Vlookup(E2040,DATABASE!C:Q,10,false)*F2040)</f>
        <v>0</v>
      </c>
      <c r="K2040" s="74">
        <v>590000.0</v>
      </c>
      <c r="L2040" s="74">
        <v>590000.0</v>
      </c>
      <c r="M2040" s="74">
        <f t="shared" si="2"/>
        <v>590000</v>
      </c>
      <c r="N2040" s="74">
        <f t="shared" si="3"/>
        <v>160000</v>
      </c>
      <c r="O2040" s="65" t="str">
        <f>VLOOKUP(E2040,DATABASE!C:Q,8,false)</f>
        <v>IBU</v>
      </c>
      <c r="P2040" s="65">
        <f>VLOOKUP(E2040,DATABASE!C:Q,9,False)</f>
        <v>1</v>
      </c>
      <c r="Q2040" s="93" t="str">
        <f>VLOOKUP(E2040,DATABASE!C:Q,4,false)</f>
        <v>Dunlop</v>
      </c>
      <c r="R2040" s="93" t="str">
        <f>VLOOKUP(E2040,DATABASE!C:Q,11,false)</f>
        <v>Tire</v>
      </c>
    </row>
    <row r="2041" ht="22.5" customHeight="1">
      <c r="A2041" s="49"/>
      <c r="C2041" s="384">
        <v>45762.0</v>
      </c>
      <c r="D2041" s="65">
        <v>5245.0</v>
      </c>
      <c r="E2041" s="445" t="s">
        <v>1009</v>
      </c>
      <c r="F2041" s="386">
        <v>2.0</v>
      </c>
      <c r="G2041" s="74">
        <v>690000.0</v>
      </c>
      <c r="H2041" s="74">
        <v>0.0</v>
      </c>
      <c r="I2041" s="74">
        <f t="shared" si="1"/>
        <v>1380000</v>
      </c>
      <c r="J2041" s="74">
        <f>IF(E2041="SERVICE",I2041-(I2041*50%),Vlookup(E2041,DATABASE!C:Q,10,false)*F2041)</f>
        <v>0</v>
      </c>
      <c r="K2041" s="74">
        <f>VLOOKUP(E2041,DATABASE!C:Q,7,false)</f>
        <v>609800</v>
      </c>
      <c r="L2041" s="74">
        <v>592200.0</v>
      </c>
      <c r="M2041" s="74">
        <f t="shared" si="2"/>
        <v>595000</v>
      </c>
      <c r="N2041" s="74">
        <f t="shared" si="3"/>
        <v>190000</v>
      </c>
      <c r="O2041" s="65" t="str">
        <f>VLOOKUP(E2041,DATABASE!C:Q,8,false)</f>
        <v>BIAN</v>
      </c>
      <c r="P2041" s="65">
        <f>VLOOKUP(E2041,DATABASE!C:Q,9,False)</f>
        <v>1</v>
      </c>
      <c r="Q2041" s="93" t="str">
        <f>VLOOKUP(E2041,DATABASE!C:Q,4,false)</f>
        <v>GT</v>
      </c>
      <c r="R2041" s="93" t="str">
        <f>VLOOKUP(E2041,DATABASE!C:Q,11,false)</f>
        <v>Tire</v>
      </c>
    </row>
    <row r="2042" ht="22.5" customHeight="1">
      <c r="A2042" s="49"/>
      <c r="C2042" s="384">
        <v>45762.0</v>
      </c>
      <c r="D2042" s="65">
        <v>5246.0</v>
      </c>
      <c r="E2042" s="445" t="s">
        <v>781</v>
      </c>
      <c r="F2042" s="386">
        <v>2.0</v>
      </c>
      <c r="G2042" s="74">
        <v>520000.0</v>
      </c>
      <c r="H2042" s="74">
        <v>0.0</v>
      </c>
      <c r="I2042" s="74">
        <f t="shared" si="1"/>
        <v>1040000</v>
      </c>
      <c r="J2042" s="74">
        <f>IF(E2042="SERVICE",I2042-(I2042*50%),Vlookup(E2042,DATABASE!C:Q,10,false)*F2042)</f>
        <v>0</v>
      </c>
      <c r="K2042" s="74">
        <f>VLOOKUP(E2042,DATABASE!C:Q,7,false)</f>
        <v>470000</v>
      </c>
      <c r="L2042" s="74">
        <v>442500.0</v>
      </c>
      <c r="M2042" s="74">
        <f t="shared" si="2"/>
        <v>445000</v>
      </c>
      <c r="N2042" s="74">
        <f t="shared" si="3"/>
        <v>150000</v>
      </c>
      <c r="O2042" s="65" t="str">
        <f>VLOOKUP(E2042,DATABASE!C:Q,8,false)</f>
        <v>BIAN</v>
      </c>
      <c r="P2042" s="65">
        <f>VLOOKUP(E2042,DATABASE!C:Q,9,False)</f>
        <v>1</v>
      </c>
      <c r="Q2042" s="93" t="str">
        <f>VLOOKUP(E2042,DATABASE!C:Q,4,false)</f>
        <v>GT</v>
      </c>
      <c r="R2042" s="93" t="str">
        <f>VLOOKUP(E2042,DATABASE!C:Q,11,false)</f>
        <v>Tire</v>
      </c>
    </row>
    <row r="2043" ht="22.5" customHeight="1">
      <c r="A2043" s="49"/>
      <c r="C2043" s="384">
        <v>45762.0</v>
      </c>
      <c r="D2043" s="65">
        <v>5247.0</v>
      </c>
      <c r="E2043" s="445" t="s">
        <v>268</v>
      </c>
      <c r="F2043" s="386">
        <v>1.0</v>
      </c>
      <c r="G2043" s="74">
        <v>700000.0</v>
      </c>
      <c r="H2043" s="74">
        <v>0.0</v>
      </c>
      <c r="I2043" s="74">
        <f t="shared" si="1"/>
        <v>700000</v>
      </c>
      <c r="J2043" s="74">
        <f>IF(E2043="SERVICE",I2043-(I2043*50%),Vlookup(E2043,DATABASE!C:Q,10,false)*F2043)</f>
        <v>0</v>
      </c>
      <c r="K2043" s="74">
        <v>613000.0</v>
      </c>
      <c r="L2043" s="74">
        <v>613000.0</v>
      </c>
      <c r="M2043" s="74">
        <f t="shared" si="2"/>
        <v>615000</v>
      </c>
      <c r="N2043" s="74">
        <f t="shared" si="3"/>
        <v>85000</v>
      </c>
      <c r="O2043" s="65" t="str">
        <f>VLOOKUP(E2043,DATABASE!C:Q,8,false)</f>
        <v>IBU</v>
      </c>
      <c r="P2043" s="65">
        <f>VLOOKUP(E2043,DATABASE!C:Q,9,False)</f>
        <v>1</v>
      </c>
      <c r="Q2043" s="93" t="str">
        <f>VLOOKUP(E2043,DATABASE!C:Q,4,false)</f>
        <v>Dunlop</v>
      </c>
      <c r="R2043" s="93" t="str">
        <f>VLOOKUP(E2043,DATABASE!C:Q,11,false)</f>
        <v>Tire</v>
      </c>
    </row>
    <row r="2044" ht="22.5" customHeight="1">
      <c r="A2044" s="49"/>
      <c r="C2044" s="384">
        <v>45762.0</v>
      </c>
      <c r="D2044" s="65">
        <v>5248.0</v>
      </c>
      <c r="E2044" s="445" t="s">
        <v>781</v>
      </c>
      <c r="F2044" s="386">
        <v>2.0</v>
      </c>
      <c r="G2044" s="74">
        <v>525000.0</v>
      </c>
      <c r="H2044" s="74">
        <v>0.0</v>
      </c>
      <c r="I2044" s="74">
        <f t="shared" si="1"/>
        <v>1050000</v>
      </c>
      <c r="J2044" s="74">
        <f>IF(E2044="SERVICE",I2044-(I2044*50%),Vlookup(E2044,DATABASE!C:Q,10,false)*F2044)</f>
        <v>0</v>
      </c>
      <c r="K2044" s="74">
        <f>VLOOKUP(E2044,DATABASE!C:Q,7,false)</f>
        <v>470000</v>
      </c>
      <c r="L2044" s="74">
        <v>442500.0</v>
      </c>
      <c r="M2044" s="74">
        <f t="shared" si="2"/>
        <v>445000</v>
      </c>
      <c r="N2044" s="74">
        <f t="shared" si="3"/>
        <v>160000</v>
      </c>
      <c r="O2044" s="65" t="str">
        <f>VLOOKUP(E2044,DATABASE!C:Q,8,false)</f>
        <v>BIAN</v>
      </c>
      <c r="P2044" s="65">
        <f>VLOOKUP(E2044,DATABASE!C:Q,9,False)</f>
        <v>1</v>
      </c>
      <c r="Q2044" s="93" t="str">
        <f>VLOOKUP(E2044,DATABASE!C:Q,4,false)</f>
        <v>GT</v>
      </c>
      <c r="R2044" s="93" t="str">
        <f>VLOOKUP(E2044,DATABASE!C:Q,11,false)</f>
        <v>Tire</v>
      </c>
    </row>
    <row r="2045" ht="22.5" customHeight="1">
      <c r="A2045" s="49"/>
      <c r="C2045" s="384">
        <v>45762.0</v>
      </c>
      <c r="D2045" s="65">
        <v>5249.0</v>
      </c>
      <c r="E2045" s="445" t="s">
        <v>301</v>
      </c>
      <c r="F2045" s="386">
        <v>1.0</v>
      </c>
      <c r="G2045" s="74">
        <v>250000.0</v>
      </c>
      <c r="H2045" s="74">
        <v>0.0</v>
      </c>
      <c r="I2045" s="74">
        <f t="shared" si="1"/>
        <v>250000</v>
      </c>
      <c r="J2045" s="74">
        <f>IF(E2045="SERVICE",I2045-(I2045*50%),Vlookup(E2045,DATABASE!C:Q,10,false)*F2045)</f>
        <v>75000</v>
      </c>
      <c r="K2045" s="74">
        <f>VLOOKUP(E2045,DATABASE!C:Q,7,false)</f>
        <v>75000</v>
      </c>
      <c r="L2045" s="74">
        <v>75000.0</v>
      </c>
      <c r="M2045" s="74">
        <f t="shared" si="2"/>
        <v>75000</v>
      </c>
      <c r="N2045" s="74">
        <f t="shared" si="3"/>
        <v>100000</v>
      </c>
      <c r="O2045" s="65" t="str">
        <f>VLOOKUP(E2045,DATABASE!C:Q,8,false)</f>
        <v>BIAN</v>
      </c>
      <c r="P2045" s="65">
        <f>VLOOKUP(E2045,DATABASE!C:Q,9,False)</f>
        <v>0</v>
      </c>
      <c r="Q2045" s="93" t="str">
        <f>VLOOKUP(E2045,DATABASE!C:Q,4,false)</f>
        <v>Baut Camber</v>
      </c>
      <c r="R2045" s="93" t="str">
        <f>VLOOKUP(E2045,DATABASE!C:Q,11,false)</f>
        <v>COMPLEMENTARY</v>
      </c>
    </row>
    <row r="2046" ht="22.5" customHeight="1">
      <c r="A2046" s="49"/>
      <c r="C2046" s="384">
        <v>45762.0</v>
      </c>
      <c r="D2046" s="65">
        <v>5250.0</v>
      </c>
      <c r="E2046" s="445" t="s">
        <v>250</v>
      </c>
      <c r="F2046" s="386">
        <v>1.0</v>
      </c>
      <c r="G2046" s="74">
        <v>135000.0</v>
      </c>
      <c r="H2046" s="74">
        <v>0.0</v>
      </c>
      <c r="I2046" s="74">
        <f t="shared" si="1"/>
        <v>135000</v>
      </c>
      <c r="J2046" s="74">
        <f>IF(E2046="SERVICE",I2046-(I2046*50%),Vlookup(E2046,DATABASE!C:Q,10,false)*F2046)</f>
        <v>0</v>
      </c>
      <c r="K2046" s="74">
        <f>VLOOKUP(E2046,DATABASE!C:Q,7,false)</f>
        <v>102000</v>
      </c>
      <c r="L2046" s="74">
        <v>102000.0</v>
      </c>
      <c r="M2046" s="74">
        <f t="shared" si="2"/>
        <v>105000</v>
      </c>
      <c r="N2046" s="74">
        <f t="shared" si="3"/>
        <v>30000</v>
      </c>
      <c r="O2046" s="65" t="str">
        <f>VLOOKUP(E2046,DATABASE!C:Q,8,false)</f>
        <v>BIAN</v>
      </c>
      <c r="P2046" s="65">
        <f>VLOOKUP(E2046,DATABASE!C:Q,9,False)</f>
        <v>1</v>
      </c>
      <c r="Q2046" s="93" t="str">
        <f>VLOOKUP(E2046,DATABASE!C:Q,4,false)</f>
        <v>BD</v>
      </c>
      <c r="R2046" s="93" t="str">
        <f>VLOOKUP(E2046,DATABASE!C:Q,11,false)</f>
        <v>Tire</v>
      </c>
    </row>
    <row r="2047" ht="22.5" customHeight="1">
      <c r="A2047" s="49"/>
      <c r="C2047" s="384">
        <v>45762.0</v>
      </c>
      <c r="D2047" s="65">
        <v>5251.0</v>
      </c>
      <c r="E2047" s="445" t="s">
        <v>262</v>
      </c>
      <c r="F2047" s="386">
        <v>1.0</v>
      </c>
      <c r="G2047" s="74">
        <v>110000.0</v>
      </c>
      <c r="H2047" s="74">
        <v>0.0</v>
      </c>
      <c r="I2047" s="74">
        <f t="shared" si="1"/>
        <v>110000</v>
      </c>
      <c r="J2047" s="74">
        <f>IF(E2047="SERVICE",I2047-(I2047*50%),Vlookup(E2047,DATABASE!C:Q,10,false)*F2047)</f>
        <v>5000</v>
      </c>
      <c r="K2047" s="74">
        <f>VLOOKUP(E2047,DATABASE!C:Q,7,false)</f>
        <v>0</v>
      </c>
      <c r="L2047" s="74">
        <v>0.0</v>
      </c>
      <c r="M2047" s="74">
        <f t="shared" si="2"/>
        <v>0</v>
      </c>
      <c r="N2047" s="74">
        <f t="shared" si="3"/>
        <v>105000</v>
      </c>
      <c r="O2047" s="65" t="str">
        <f>VLOOKUP(E2047,DATABASE!C:Q,8,false)</f>
        <v>IBU</v>
      </c>
      <c r="P2047" s="65">
        <f>VLOOKUP(E2047,DATABASE!C:Q,9,False)</f>
        <v>0</v>
      </c>
      <c r="Q2047" s="93" t="str">
        <f>VLOOKUP(E2047,DATABASE!C:Q,4,false)</f>
        <v>SPOORING SS/CARRY LOS BAK</v>
      </c>
      <c r="R2047" s="93" t="str">
        <f>VLOOKUP(E2047,DATABASE!C:Q,11,false)</f>
        <v>SERVICE</v>
      </c>
    </row>
    <row r="2048" ht="22.5" customHeight="1">
      <c r="A2048" s="49"/>
      <c r="C2048" s="384">
        <v>45762.0</v>
      </c>
      <c r="D2048" s="65">
        <v>5251.0</v>
      </c>
      <c r="E2048" s="385" t="s">
        <v>299</v>
      </c>
      <c r="F2048" s="386">
        <v>2.0</v>
      </c>
      <c r="G2048" s="74">
        <v>30000.0</v>
      </c>
      <c r="H2048" s="74">
        <v>0.0</v>
      </c>
      <c r="I2048" s="74">
        <f t="shared" si="1"/>
        <v>60000</v>
      </c>
      <c r="J2048" s="74">
        <f>IF(E2048="SERVICE",I2048-(I2048*50%),Vlookup(E2048,DATABASE!C:Q,10,false)*F2048)</f>
        <v>0</v>
      </c>
      <c r="K2048" s="74">
        <v>0.0</v>
      </c>
      <c r="L2048" s="74">
        <v>0.0</v>
      </c>
      <c r="M2048" s="74">
        <f t="shared" si="2"/>
        <v>0</v>
      </c>
      <c r="N2048" s="74">
        <f t="shared" si="3"/>
        <v>60000</v>
      </c>
      <c r="O2048" s="65" t="str">
        <f>VLOOKUP(E2048,DATABASE!C:Q,8,false)</f>
        <v>BIAN</v>
      </c>
      <c r="P2048" s="65">
        <f>VLOOKUP(E2048,DATABASE!C:Q,9,False)</f>
        <v>0</v>
      </c>
      <c r="Q2048" s="93" t="str">
        <f>VLOOKUP(E2048,DATABASE!C:Q,4,false)</f>
        <v>Balancing</v>
      </c>
      <c r="R2048" s="93" t="str">
        <f>VLOOKUP(E2048,DATABASE!C:Q,11,false)</f>
        <v>COMPLEMENTARY</v>
      </c>
    </row>
    <row r="2049" ht="22.5" customHeight="1">
      <c r="A2049" s="49"/>
      <c r="C2049" s="384">
        <v>45763.0</v>
      </c>
      <c r="D2049" s="65">
        <v>5252.0</v>
      </c>
      <c r="E2049" s="445" t="s">
        <v>271</v>
      </c>
      <c r="F2049" s="386">
        <v>1.0</v>
      </c>
      <c r="G2049" s="74">
        <v>630000.0</v>
      </c>
      <c r="H2049" s="74">
        <v>0.0</v>
      </c>
      <c r="I2049" s="74">
        <f t="shared" si="1"/>
        <v>630000</v>
      </c>
      <c r="J2049" s="74">
        <f>IF(E2049="SERVICE",I2049-(I2049*50%),Vlookup(E2049,DATABASE!C:Q,10,false)*F2049)</f>
        <v>0</v>
      </c>
      <c r="K2049" s="74">
        <f>VLOOKUP(E2049,DATABASE!C:Q,7,false)</f>
        <v>570000</v>
      </c>
      <c r="L2049" s="74">
        <v>539000.0</v>
      </c>
      <c r="M2049" s="74">
        <f t="shared" si="2"/>
        <v>540000</v>
      </c>
      <c r="N2049" s="74">
        <f t="shared" si="3"/>
        <v>90000</v>
      </c>
      <c r="O2049" s="65" t="str">
        <f>VLOOKUP(E2049,DATABASE!C:Q,8,false)</f>
        <v>IBU</v>
      </c>
      <c r="P2049" s="65">
        <f>VLOOKUP(E2049,DATABASE!C:Q,9,False)</f>
        <v>1</v>
      </c>
      <c r="Q2049" s="93" t="str">
        <f>VLOOKUP(E2049,DATABASE!C:Q,4,false)</f>
        <v>Dunlop</v>
      </c>
      <c r="R2049" s="93" t="str">
        <f>VLOOKUP(E2049,DATABASE!C:Q,11,false)</f>
        <v>Tire</v>
      </c>
    </row>
    <row r="2050" ht="22.5" customHeight="1">
      <c r="A2050" s="49"/>
      <c r="C2050" s="384">
        <v>45763.0</v>
      </c>
      <c r="D2050" s="65">
        <v>5252.0</v>
      </c>
      <c r="E2050" s="445" t="s">
        <v>268</v>
      </c>
      <c r="F2050" s="386">
        <v>1.0</v>
      </c>
      <c r="G2050" s="74">
        <v>700000.0</v>
      </c>
      <c r="H2050" s="74">
        <v>0.0</v>
      </c>
      <c r="I2050" s="74">
        <f t="shared" si="1"/>
        <v>700000</v>
      </c>
      <c r="J2050" s="74">
        <f>IF(E2050="SERVICE",I2050-(I2050*50%),Vlookup(E2050,DATABASE!C:Q,10,false)*F2050)</f>
        <v>0</v>
      </c>
      <c r="K2050" s="74">
        <v>613000.0</v>
      </c>
      <c r="L2050" s="74">
        <v>613000.0</v>
      </c>
      <c r="M2050" s="74">
        <f t="shared" si="2"/>
        <v>615000</v>
      </c>
      <c r="N2050" s="74">
        <f t="shared" si="3"/>
        <v>85000</v>
      </c>
      <c r="O2050" s="65" t="str">
        <f>VLOOKUP(E2050,DATABASE!C:Q,8,false)</f>
        <v>IBU</v>
      </c>
      <c r="P2050" s="65">
        <f>VLOOKUP(E2050,DATABASE!C:Q,9,False)</f>
        <v>1</v>
      </c>
      <c r="Q2050" s="93" t="str">
        <f>VLOOKUP(E2050,DATABASE!C:Q,4,false)</f>
        <v>Dunlop</v>
      </c>
      <c r="R2050" s="93" t="str">
        <f>VLOOKUP(E2050,DATABASE!C:Q,11,false)</f>
        <v>Tire</v>
      </c>
    </row>
    <row r="2051" ht="22.5" customHeight="1">
      <c r="A2051" s="49"/>
      <c r="C2051" s="384">
        <v>45763.0</v>
      </c>
      <c r="D2051" s="65">
        <v>5253.0</v>
      </c>
      <c r="E2051" s="445" t="s">
        <v>268</v>
      </c>
      <c r="F2051" s="386">
        <v>1.0</v>
      </c>
      <c r="G2051" s="74">
        <v>700000.0</v>
      </c>
      <c r="H2051" s="74">
        <v>0.0</v>
      </c>
      <c r="I2051" s="74">
        <f t="shared" si="1"/>
        <v>700000</v>
      </c>
      <c r="J2051" s="74">
        <f>IF(E2051="SERVICE",I2051-(I2051*50%),Vlookup(E2051,DATABASE!C:Q,10,false)*F2051)</f>
        <v>0</v>
      </c>
      <c r="K2051" s="74">
        <v>613000.0</v>
      </c>
      <c r="L2051" s="74">
        <v>613000.0</v>
      </c>
      <c r="M2051" s="74">
        <f t="shared" si="2"/>
        <v>615000</v>
      </c>
      <c r="N2051" s="74">
        <f t="shared" si="3"/>
        <v>85000</v>
      </c>
      <c r="O2051" s="65" t="str">
        <f>VLOOKUP(E2051,DATABASE!C:Q,8,false)</f>
        <v>IBU</v>
      </c>
      <c r="P2051" s="65">
        <f>VLOOKUP(E2051,DATABASE!C:Q,9,False)</f>
        <v>1</v>
      </c>
      <c r="Q2051" s="93" t="str">
        <f>VLOOKUP(E2051,DATABASE!C:Q,4,false)</f>
        <v>Dunlop</v>
      </c>
      <c r="R2051" s="93" t="str">
        <f>VLOOKUP(E2051,DATABASE!C:Q,11,false)</f>
        <v>Tire</v>
      </c>
    </row>
    <row r="2052" ht="22.5" customHeight="1">
      <c r="A2052" s="49"/>
      <c r="C2052" s="384">
        <v>45763.0</v>
      </c>
      <c r="D2052" s="65">
        <v>5256.0</v>
      </c>
      <c r="E2052" s="445" t="s">
        <v>268</v>
      </c>
      <c r="F2052" s="386">
        <v>2.0</v>
      </c>
      <c r="G2052" s="74">
        <v>700000.0</v>
      </c>
      <c r="H2052" s="74">
        <v>0.0</v>
      </c>
      <c r="I2052" s="74">
        <f t="shared" si="1"/>
        <v>1400000</v>
      </c>
      <c r="J2052" s="74">
        <f>IF(E2052="SERVICE",I2052-(I2052*50%),Vlookup(E2052,DATABASE!C:Q,10,false)*F2052)</f>
        <v>0</v>
      </c>
      <c r="K2052" s="74">
        <v>613000.0</v>
      </c>
      <c r="L2052" s="74">
        <v>613000.0</v>
      </c>
      <c r="M2052" s="74">
        <f t="shared" si="2"/>
        <v>615000</v>
      </c>
      <c r="N2052" s="74">
        <f t="shared" si="3"/>
        <v>170000</v>
      </c>
      <c r="O2052" s="65" t="str">
        <f>VLOOKUP(E2052,DATABASE!C:Q,8,false)</f>
        <v>IBU</v>
      </c>
      <c r="P2052" s="65">
        <f>VLOOKUP(E2052,DATABASE!C:Q,9,False)</f>
        <v>1</v>
      </c>
      <c r="Q2052" s="93" t="str">
        <f>VLOOKUP(E2052,DATABASE!C:Q,4,false)</f>
        <v>Dunlop</v>
      </c>
      <c r="R2052" s="93" t="str">
        <f>VLOOKUP(E2052,DATABASE!C:Q,11,false)</f>
        <v>Tire</v>
      </c>
    </row>
    <row r="2053" ht="22.5" customHeight="1">
      <c r="A2053" s="49"/>
      <c r="C2053" s="384">
        <v>45763.0</v>
      </c>
      <c r="D2053" s="65">
        <v>5256.0</v>
      </c>
      <c r="E2053" s="385" t="s">
        <v>305</v>
      </c>
      <c r="F2053" s="386">
        <v>1.0</v>
      </c>
      <c r="G2053" s="74">
        <v>235000.0</v>
      </c>
      <c r="H2053" s="74">
        <v>0.0</v>
      </c>
      <c r="I2053" s="74">
        <f t="shared" si="1"/>
        <v>235000</v>
      </c>
      <c r="J2053" s="74">
        <f>IF(E2053="SERVICE",I2053-(I2053*50%),Vlookup(E2053,DATABASE!C:Q,10,false)*F2053)</f>
        <v>40000</v>
      </c>
      <c r="K2053" s="74">
        <f>VLOOKUP(E2053,DATABASE!C:Q,7,false)</f>
        <v>158530.2</v>
      </c>
      <c r="L2053" s="74">
        <v>151890.0</v>
      </c>
      <c r="M2053" s="74">
        <f t="shared" si="2"/>
        <v>155000</v>
      </c>
      <c r="N2053" s="74">
        <f t="shared" si="3"/>
        <v>40000</v>
      </c>
      <c r="O2053" s="65" t="str">
        <f>VLOOKUP(E2053,DATABASE!C:Q,8,false)</f>
        <v>BIAN</v>
      </c>
      <c r="P2053" s="65">
        <f>VLOOKUP(E2053,DATABASE!C:Q,9,False)</f>
        <v>1</v>
      </c>
      <c r="Q2053" s="93" t="str">
        <f>VLOOKUP(E2053,DATABASE!C:Q,4,false)</f>
        <v>Lower Arm</v>
      </c>
      <c r="R2053" s="93" t="str">
        <f>VLOOKUP(E2053,DATABASE!C:Q,11,false)</f>
        <v>COMPLEMENTARY</v>
      </c>
    </row>
    <row r="2054" ht="22.5" customHeight="1">
      <c r="A2054" s="49"/>
      <c r="C2054" s="384">
        <v>45763.0</v>
      </c>
      <c r="D2054" s="65">
        <v>5256.0</v>
      </c>
      <c r="E2054" s="445" t="s">
        <v>262</v>
      </c>
      <c r="F2054" s="386">
        <v>1.0</v>
      </c>
      <c r="G2054" s="74">
        <v>105000.0</v>
      </c>
      <c r="H2054" s="74">
        <v>0.0</v>
      </c>
      <c r="I2054" s="74">
        <f t="shared" si="1"/>
        <v>105000</v>
      </c>
      <c r="J2054" s="74">
        <f>IF(E2054="SERVICE",I2054-(I2054*50%),Vlookup(E2054,DATABASE!C:Q,10,false)*F2054)</f>
        <v>5000</v>
      </c>
      <c r="K2054" s="74">
        <f>VLOOKUP(E2054,DATABASE!C:Q,7,false)</f>
        <v>0</v>
      </c>
      <c r="L2054" s="74">
        <v>0.0</v>
      </c>
      <c r="M2054" s="74">
        <f t="shared" si="2"/>
        <v>0</v>
      </c>
      <c r="N2054" s="74">
        <f t="shared" si="3"/>
        <v>100000</v>
      </c>
      <c r="O2054" s="65" t="str">
        <f>VLOOKUP(E2054,DATABASE!C:Q,8,false)</f>
        <v>IBU</v>
      </c>
      <c r="P2054" s="65">
        <f>VLOOKUP(E2054,DATABASE!C:Q,9,False)</f>
        <v>0</v>
      </c>
      <c r="Q2054" s="93" t="str">
        <f>VLOOKUP(E2054,DATABASE!C:Q,4,false)</f>
        <v>SPOORING SS/CARRY LOS BAK</v>
      </c>
      <c r="R2054" s="93" t="str">
        <f>VLOOKUP(E2054,DATABASE!C:Q,11,false)</f>
        <v>SERVICE</v>
      </c>
    </row>
    <row r="2055" ht="22.5" customHeight="1">
      <c r="A2055" s="49"/>
      <c r="C2055" s="384">
        <v>45763.0</v>
      </c>
      <c r="D2055" s="65">
        <v>5256.0</v>
      </c>
      <c r="E2055" s="385" t="s">
        <v>299</v>
      </c>
      <c r="F2055" s="386">
        <v>2.0</v>
      </c>
      <c r="G2055" s="74">
        <v>30000.0</v>
      </c>
      <c r="H2055" s="74">
        <v>0.0</v>
      </c>
      <c r="I2055" s="74">
        <f t="shared" si="1"/>
        <v>60000</v>
      </c>
      <c r="J2055" s="74">
        <f>IF(E2055="SERVICE",I2055-(I2055*50%),Vlookup(E2055,DATABASE!C:Q,10,false)*F2055)</f>
        <v>0</v>
      </c>
      <c r="K2055" s="74">
        <v>0.0</v>
      </c>
      <c r="L2055" s="74">
        <v>0.0</v>
      </c>
      <c r="M2055" s="74">
        <f t="shared" si="2"/>
        <v>0</v>
      </c>
      <c r="N2055" s="74">
        <f t="shared" si="3"/>
        <v>60000</v>
      </c>
      <c r="O2055" s="65" t="str">
        <f>VLOOKUP(E2055,DATABASE!C:Q,8,false)</f>
        <v>BIAN</v>
      </c>
      <c r="P2055" s="65">
        <f>VLOOKUP(E2055,DATABASE!C:Q,9,False)</f>
        <v>0</v>
      </c>
      <c r="Q2055" s="93" t="str">
        <f>VLOOKUP(E2055,DATABASE!C:Q,4,false)</f>
        <v>Balancing</v>
      </c>
      <c r="R2055" s="93" t="str">
        <f>VLOOKUP(E2055,DATABASE!C:Q,11,false)</f>
        <v>COMPLEMENTARY</v>
      </c>
    </row>
    <row r="2056" ht="22.5" customHeight="1">
      <c r="A2056" s="49"/>
      <c r="C2056" s="384">
        <v>45763.0</v>
      </c>
      <c r="D2056" s="65">
        <v>5257.0</v>
      </c>
      <c r="E2056" s="445" t="s">
        <v>622</v>
      </c>
      <c r="F2056" s="386">
        <v>2.0</v>
      </c>
      <c r="G2056" s="74">
        <v>915000.0</v>
      </c>
      <c r="H2056" s="74">
        <v>0.0</v>
      </c>
      <c r="I2056" s="74">
        <f t="shared" si="1"/>
        <v>1830000</v>
      </c>
      <c r="J2056" s="74">
        <f>IF(E2056="SERVICE",I2056-(I2056*50%),Vlookup(E2056,DATABASE!C:Q,10,false)*F2056)</f>
        <v>0</v>
      </c>
      <c r="K2056" s="74">
        <f>VLOOKUP(E2056,DATABASE!C:Q,7,false)</f>
        <v>851110.375</v>
      </c>
      <c r="L2056" s="74">
        <v>810342.44</v>
      </c>
      <c r="M2056" s="74">
        <f t="shared" si="2"/>
        <v>815000</v>
      </c>
      <c r="N2056" s="74">
        <f t="shared" si="3"/>
        <v>200000</v>
      </c>
      <c r="O2056" s="65" t="str">
        <f>VLOOKUP(E2056,DATABASE!C:Q,8,false)</f>
        <v>IBU</v>
      </c>
      <c r="P2056" s="65">
        <f>VLOOKUP(E2056,DATABASE!C:Q,9,False)</f>
        <v>1</v>
      </c>
      <c r="Q2056" s="93" t="str">
        <f>VLOOKUP(E2056,DATABASE!C:Q,4,false)</f>
        <v>Bridgestone</v>
      </c>
      <c r="R2056" s="93" t="str">
        <f>VLOOKUP(E2056,DATABASE!C:Q,11,false)</f>
        <v>Tire</v>
      </c>
    </row>
    <row r="2057" ht="22.5" customHeight="1">
      <c r="A2057" s="49"/>
      <c r="C2057" s="384">
        <v>45763.0</v>
      </c>
      <c r="D2057" s="65">
        <v>5258.0</v>
      </c>
      <c r="E2057" s="445" t="s">
        <v>781</v>
      </c>
      <c r="F2057" s="386">
        <v>2.0</v>
      </c>
      <c r="G2057" s="74">
        <v>530000.0</v>
      </c>
      <c r="H2057" s="74">
        <v>0.0</v>
      </c>
      <c r="I2057" s="74">
        <f t="shared" si="1"/>
        <v>1060000</v>
      </c>
      <c r="J2057" s="74">
        <f>IF(E2057="SERVICE",I2057-(I2057*50%),Vlookup(E2057,DATABASE!C:Q,10,false)*F2057)</f>
        <v>0</v>
      </c>
      <c r="K2057" s="74">
        <f>VLOOKUP(E2057,DATABASE!C:Q,7,false)</f>
        <v>470000</v>
      </c>
      <c r="L2057" s="74">
        <v>442500.0</v>
      </c>
      <c r="M2057" s="74">
        <f t="shared" si="2"/>
        <v>445000</v>
      </c>
      <c r="N2057" s="74">
        <f t="shared" si="3"/>
        <v>170000</v>
      </c>
      <c r="O2057" s="65" t="str">
        <f>VLOOKUP(E2057,DATABASE!C:Q,8,false)</f>
        <v>BIAN</v>
      </c>
      <c r="P2057" s="65">
        <f>VLOOKUP(E2057,DATABASE!C:Q,9,False)</f>
        <v>1</v>
      </c>
      <c r="Q2057" s="93" t="str">
        <f>VLOOKUP(E2057,DATABASE!C:Q,4,false)</f>
        <v>GT</v>
      </c>
      <c r="R2057" s="93" t="str">
        <f>VLOOKUP(E2057,DATABASE!C:Q,11,false)</f>
        <v>Tire</v>
      </c>
    </row>
    <row r="2058" ht="22.5" customHeight="1">
      <c r="A2058" s="49"/>
      <c r="C2058" s="384">
        <v>45763.0</v>
      </c>
      <c r="D2058" s="65">
        <v>5259.0</v>
      </c>
      <c r="E2058" s="445" t="s">
        <v>1361</v>
      </c>
      <c r="F2058" s="386">
        <v>2.0</v>
      </c>
      <c r="G2058" s="74">
        <v>920000.0</v>
      </c>
      <c r="H2058" s="74">
        <v>0.0</v>
      </c>
      <c r="I2058" s="74">
        <f t="shared" si="1"/>
        <v>1840000</v>
      </c>
      <c r="J2058" s="74">
        <f>IF(E2058="SERVICE",I2058-(I2058*50%),Vlookup(E2058,DATABASE!C:Q,10,false)*F2058)</f>
        <v>0</v>
      </c>
      <c r="K2058" s="74">
        <f>VLOOKUP(E2058,DATABASE!C:Q,7,false)</f>
        <v>881000</v>
      </c>
      <c r="L2058" s="74">
        <v>881000.0</v>
      </c>
      <c r="M2058" s="74">
        <f t="shared" si="2"/>
        <v>885000</v>
      </c>
      <c r="N2058" s="74">
        <f t="shared" si="3"/>
        <v>70000</v>
      </c>
      <c r="O2058" s="65" t="str">
        <f>VLOOKUP(E2058,DATABASE!C:Q,8,false)</f>
        <v>IBU</v>
      </c>
      <c r="P2058" s="65">
        <f>VLOOKUP(E2058,DATABASE!C:Q,9,False)</f>
        <v>1</v>
      </c>
      <c r="Q2058" s="93" t="str">
        <f>VLOOKUP(E2058,DATABASE!C:Q,4,false)</f>
        <v>Dunlop</v>
      </c>
      <c r="R2058" s="93" t="str">
        <f>VLOOKUP(E2058,DATABASE!C:Q,11,false)</f>
        <v>Tire</v>
      </c>
    </row>
    <row r="2059" ht="22.5" customHeight="1">
      <c r="A2059" s="49"/>
      <c r="C2059" s="384">
        <v>45763.0</v>
      </c>
      <c r="D2059" s="65">
        <v>5260.0</v>
      </c>
      <c r="E2059" s="445" t="s">
        <v>294</v>
      </c>
      <c r="F2059" s="386">
        <v>1.0</v>
      </c>
      <c r="G2059" s="74">
        <v>570000.0</v>
      </c>
      <c r="H2059" s="74">
        <v>0.0</v>
      </c>
      <c r="I2059" s="74">
        <f t="shared" si="1"/>
        <v>570000</v>
      </c>
      <c r="J2059" s="74">
        <f>IF(E2059="SERVICE",I2059-(I2059*50%),Vlookup(E2059,DATABASE!C:Q,10,false)*F2059)</f>
        <v>0</v>
      </c>
      <c r="K2059" s="74">
        <f>VLOOKUP(E2059,DATABASE!C:Q,7,false)</f>
        <v>505000</v>
      </c>
      <c r="L2059" s="74">
        <v>490000.0</v>
      </c>
      <c r="M2059" s="74">
        <f t="shared" si="2"/>
        <v>490000</v>
      </c>
      <c r="N2059" s="74">
        <f t="shared" si="3"/>
        <v>80000</v>
      </c>
      <c r="O2059" s="65" t="str">
        <f>VLOOKUP(E2059,DATABASE!C:Q,8,false)</f>
        <v>BIAN</v>
      </c>
      <c r="P2059" s="65">
        <f>VLOOKUP(E2059,DATABASE!C:Q,9,False)</f>
        <v>1</v>
      </c>
      <c r="Q2059" s="93" t="str">
        <f>VLOOKUP(E2059,DATABASE!C:Q,4,false)</f>
        <v>GT</v>
      </c>
      <c r="R2059" s="93" t="str">
        <f>VLOOKUP(E2059,DATABASE!C:Q,11,false)</f>
        <v>Tire</v>
      </c>
    </row>
    <row r="2060" ht="22.5" customHeight="1">
      <c r="A2060" s="49"/>
      <c r="C2060" s="384">
        <v>45763.0</v>
      </c>
      <c r="D2060" s="65">
        <v>5261.0</v>
      </c>
      <c r="E2060" s="445" t="s">
        <v>932</v>
      </c>
      <c r="F2060" s="386">
        <v>1.0</v>
      </c>
      <c r="G2060" s="74">
        <v>670000.0</v>
      </c>
      <c r="H2060" s="74">
        <v>0.0</v>
      </c>
      <c r="I2060" s="74">
        <f t="shared" si="1"/>
        <v>670000</v>
      </c>
      <c r="J2060" s="74">
        <f>IF(E2060="SERVICE",I2060-(I2060*50%),Vlookup(E2060,DATABASE!C:Q,10,false)*F2060)</f>
        <v>0</v>
      </c>
      <c r="K2060" s="74">
        <v>575000.0</v>
      </c>
      <c r="L2060" s="74">
        <v>575000.0</v>
      </c>
      <c r="M2060" s="74">
        <f t="shared" si="2"/>
        <v>575000</v>
      </c>
      <c r="N2060" s="74">
        <f t="shared" si="3"/>
        <v>95000</v>
      </c>
      <c r="O2060" s="65" t="str">
        <f>VLOOKUP(E2060,DATABASE!C:Q,8,false)</f>
        <v>IBU</v>
      </c>
      <c r="P2060" s="65">
        <f>VLOOKUP(E2060,DATABASE!C:Q,9,False)</f>
        <v>1</v>
      </c>
      <c r="Q2060" s="93" t="str">
        <f>VLOOKUP(E2060,DATABASE!C:Q,4,false)</f>
        <v>Dunlop</v>
      </c>
      <c r="R2060" s="93" t="str">
        <f>VLOOKUP(E2060,DATABASE!C:Q,11,false)</f>
        <v>Tire</v>
      </c>
    </row>
    <row r="2061" ht="22.5" customHeight="1">
      <c r="A2061" s="49"/>
      <c r="C2061" s="384">
        <v>45763.0</v>
      </c>
      <c r="D2061" s="65">
        <v>5263.0</v>
      </c>
      <c r="E2061" s="445" t="s">
        <v>622</v>
      </c>
      <c r="F2061" s="386">
        <v>1.0</v>
      </c>
      <c r="G2061" s="74">
        <v>915000.0</v>
      </c>
      <c r="H2061" s="74">
        <v>0.0</v>
      </c>
      <c r="I2061" s="74">
        <f t="shared" si="1"/>
        <v>915000</v>
      </c>
      <c r="J2061" s="74">
        <f>IF(E2061="SERVICE",I2061-(I2061*50%),Vlookup(E2061,DATABASE!C:Q,10,false)*F2061)</f>
        <v>0</v>
      </c>
      <c r="K2061" s="74">
        <f>VLOOKUP(E2061,DATABASE!C:Q,7,false)</f>
        <v>851110.375</v>
      </c>
      <c r="L2061" s="74">
        <v>810342.44</v>
      </c>
      <c r="M2061" s="74">
        <f t="shared" si="2"/>
        <v>815000</v>
      </c>
      <c r="N2061" s="74">
        <f t="shared" si="3"/>
        <v>100000</v>
      </c>
      <c r="O2061" s="65" t="str">
        <f>VLOOKUP(E2061,DATABASE!C:Q,8,false)</f>
        <v>IBU</v>
      </c>
      <c r="P2061" s="65">
        <f>VLOOKUP(E2061,DATABASE!C:Q,9,False)</f>
        <v>1</v>
      </c>
      <c r="Q2061" s="93" t="str">
        <f>VLOOKUP(E2061,DATABASE!C:Q,4,false)</f>
        <v>Bridgestone</v>
      </c>
      <c r="R2061" s="93" t="str">
        <f>VLOOKUP(E2061,DATABASE!C:Q,11,false)</f>
        <v>Tire</v>
      </c>
    </row>
    <row r="2062" ht="22.5" customHeight="1">
      <c r="A2062" s="49"/>
      <c r="C2062" s="384">
        <v>45763.0</v>
      </c>
      <c r="D2062" s="65">
        <v>5264.0</v>
      </c>
      <c r="E2062" s="445" t="s">
        <v>256</v>
      </c>
      <c r="F2062" s="386">
        <v>1.0</v>
      </c>
      <c r="G2062" s="74">
        <v>130000.0</v>
      </c>
      <c r="H2062" s="74">
        <v>0.0</v>
      </c>
      <c r="I2062" s="74">
        <f t="shared" si="1"/>
        <v>130000</v>
      </c>
      <c r="J2062" s="74">
        <f>IF(E2062="SERVICE",I2062-(I2062*50%),Vlookup(E2062,DATABASE!C:Q,10,false)*F2062)</f>
        <v>10000</v>
      </c>
      <c r="K2062" s="74">
        <f>VLOOKUP(E2062,DATABASE!C:Q,7,false)</f>
        <v>0</v>
      </c>
      <c r="L2062" s="74">
        <v>0.0</v>
      </c>
      <c r="M2062" s="74">
        <f t="shared" si="2"/>
        <v>0</v>
      </c>
      <c r="N2062" s="74">
        <f t="shared" si="3"/>
        <v>120000</v>
      </c>
      <c r="O2062" s="65" t="str">
        <f>VLOOKUP(E2062,DATABASE!C:Q,8,false)</f>
        <v>IBU</v>
      </c>
      <c r="P2062" s="65">
        <f>VLOOKUP(E2062,DATABASE!C:Q,9,False)</f>
        <v>0</v>
      </c>
      <c r="Q2062" s="93" t="str">
        <f>VLOOKUP(E2062,DATABASE!C:Q,4,false)</f>
        <v>SPOORING</v>
      </c>
      <c r="R2062" s="93" t="str">
        <f>VLOOKUP(E2062,DATABASE!C:Q,11,false)</f>
        <v>SERVICE</v>
      </c>
    </row>
    <row r="2063" ht="22.5" customHeight="1">
      <c r="A2063" s="49"/>
      <c r="C2063" s="384">
        <v>45763.0</v>
      </c>
      <c r="D2063" s="65">
        <v>5265.0</v>
      </c>
      <c r="E2063" s="445" t="s">
        <v>256</v>
      </c>
      <c r="F2063" s="386">
        <v>1.0</v>
      </c>
      <c r="G2063" s="74">
        <v>130000.0</v>
      </c>
      <c r="H2063" s="74">
        <v>0.0</v>
      </c>
      <c r="I2063" s="74">
        <f t="shared" si="1"/>
        <v>130000</v>
      </c>
      <c r="J2063" s="74">
        <f>IF(E2063="SERVICE",I2063-(I2063*50%),Vlookup(E2063,DATABASE!C:Q,10,false)*F2063)</f>
        <v>10000</v>
      </c>
      <c r="K2063" s="74">
        <f>VLOOKUP(E2063,DATABASE!C:Q,7,false)</f>
        <v>0</v>
      </c>
      <c r="L2063" s="74">
        <v>0.0</v>
      </c>
      <c r="M2063" s="74">
        <f t="shared" si="2"/>
        <v>0</v>
      </c>
      <c r="N2063" s="74">
        <f t="shared" si="3"/>
        <v>120000</v>
      </c>
      <c r="O2063" s="65" t="str">
        <f>VLOOKUP(E2063,DATABASE!C:Q,8,false)</f>
        <v>IBU</v>
      </c>
      <c r="P2063" s="65">
        <f>VLOOKUP(E2063,DATABASE!C:Q,9,False)</f>
        <v>0</v>
      </c>
      <c r="Q2063" s="93" t="str">
        <f>VLOOKUP(E2063,DATABASE!C:Q,4,false)</f>
        <v>SPOORING</v>
      </c>
      <c r="R2063" s="93" t="str">
        <f>VLOOKUP(E2063,DATABASE!C:Q,11,false)</f>
        <v>SERVICE</v>
      </c>
    </row>
    <row r="2064" ht="22.5" customHeight="1">
      <c r="A2064" s="49"/>
      <c r="C2064" s="384">
        <v>45763.0</v>
      </c>
      <c r="D2064" s="65">
        <v>5265.0</v>
      </c>
      <c r="E2064" s="445" t="s">
        <v>301</v>
      </c>
      <c r="F2064" s="386">
        <v>1.0</v>
      </c>
      <c r="G2064" s="74">
        <v>250000.0</v>
      </c>
      <c r="H2064" s="74">
        <v>0.0</v>
      </c>
      <c r="I2064" s="74">
        <f t="shared" si="1"/>
        <v>250000</v>
      </c>
      <c r="J2064" s="74">
        <f>IF(E2064="SERVICE",I2064-(I2064*50%),Vlookup(E2064,DATABASE!C:Q,10,false)*F2064)</f>
        <v>75000</v>
      </c>
      <c r="K2064" s="74">
        <f>VLOOKUP(E2064,DATABASE!C:Q,7,false)</f>
        <v>75000</v>
      </c>
      <c r="L2064" s="74">
        <v>75000.0</v>
      </c>
      <c r="M2064" s="74">
        <f t="shared" si="2"/>
        <v>75000</v>
      </c>
      <c r="N2064" s="74">
        <f t="shared" si="3"/>
        <v>100000</v>
      </c>
      <c r="O2064" s="65" t="str">
        <f>VLOOKUP(E2064,DATABASE!C:Q,8,false)</f>
        <v>BIAN</v>
      </c>
      <c r="P2064" s="65">
        <f>VLOOKUP(E2064,DATABASE!C:Q,9,False)</f>
        <v>0</v>
      </c>
      <c r="Q2064" s="93" t="str">
        <f>VLOOKUP(E2064,DATABASE!C:Q,4,false)</f>
        <v>Baut Camber</v>
      </c>
      <c r="R2064" s="93" t="str">
        <f>VLOOKUP(E2064,DATABASE!C:Q,11,false)</f>
        <v>COMPLEMENTARY</v>
      </c>
    </row>
    <row r="2065" ht="22.5" customHeight="1">
      <c r="A2065" s="49"/>
      <c r="C2065" s="384">
        <v>45763.0</v>
      </c>
      <c r="D2065" s="65">
        <v>5266.0</v>
      </c>
      <c r="E2065" s="445" t="s">
        <v>955</v>
      </c>
      <c r="F2065" s="386">
        <v>2.0</v>
      </c>
      <c r="G2065" s="74">
        <v>770000.0</v>
      </c>
      <c r="H2065" s="74">
        <v>0.0</v>
      </c>
      <c r="I2065" s="74">
        <f t="shared" si="1"/>
        <v>1540000</v>
      </c>
      <c r="J2065" s="74">
        <f>IF(E2065="SERVICE",I2065-(I2065*50%),Vlookup(E2065,DATABASE!C:Q,10,false)*F2065)</f>
        <v>0</v>
      </c>
      <c r="K2065" s="74">
        <f>VLOOKUP(E2065,DATABASE!C:Q,7,false)</f>
        <v>712000</v>
      </c>
      <c r="L2065" s="74">
        <v>674000.0</v>
      </c>
      <c r="M2065" s="74">
        <f t="shared" si="2"/>
        <v>675000</v>
      </c>
      <c r="N2065" s="74">
        <f t="shared" si="3"/>
        <v>190000</v>
      </c>
      <c r="O2065" s="65" t="str">
        <f>VLOOKUP(E2065,DATABASE!C:Q,8,false)</f>
        <v>IBU</v>
      </c>
      <c r="P2065" s="65">
        <f>VLOOKUP(E2065,DATABASE!C:Q,9,False)</f>
        <v>1</v>
      </c>
      <c r="Q2065" s="93" t="str">
        <f>VLOOKUP(E2065,DATABASE!C:Q,4,false)</f>
        <v>Dunlop</v>
      </c>
      <c r="R2065" s="93" t="str">
        <f>VLOOKUP(E2065,DATABASE!C:Q,11,false)</f>
        <v>Tire</v>
      </c>
    </row>
    <row r="2066" ht="22.5" customHeight="1">
      <c r="A2066" s="49"/>
      <c r="C2066" s="384">
        <v>45763.0</v>
      </c>
      <c r="D2066" s="65">
        <v>5266.0</v>
      </c>
      <c r="E2066" s="385" t="s">
        <v>299</v>
      </c>
      <c r="F2066" s="386">
        <v>2.0</v>
      </c>
      <c r="G2066" s="74">
        <v>30000.0</v>
      </c>
      <c r="H2066" s="74">
        <v>0.0</v>
      </c>
      <c r="I2066" s="74">
        <f t="shared" si="1"/>
        <v>60000</v>
      </c>
      <c r="J2066" s="74">
        <f>IF(E2066="SERVICE",I2066-(I2066*50%),Vlookup(E2066,DATABASE!C:Q,10,false)*F2066)</f>
        <v>0</v>
      </c>
      <c r="K2066" s="74">
        <v>0.0</v>
      </c>
      <c r="L2066" s="74">
        <v>0.0</v>
      </c>
      <c r="M2066" s="74">
        <f t="shared" si="2"/>
        <v>0</v>
      </c>
      <c r="N2066" s="74">
        <f t="shared" si="3"/>
        <v>60000</v>
      </c>
      <c r="O2066" s="65" t="str">
        <f>VLOOKUP(E2066,DATABASE!C:Q,8,false)</f>
        <v>BIAN</v>
      </c>
      <c r="P2066" s="65">
        <f>VLOOKUP(E2066,DATABASE!C:Q,9,False)</f>
        <v>0</v>
      </c>
      <c r="Q2066" s="93" t="str">
        <f>VLOOKUP(E2066,DATABASE!C:Q,4,false)</f>
        <v>Balancing</v>
      </c>
      <c r="R2066" s="93" t="str">
        <f>VLOOKUP(E2066,DATABASE!C:Q,11,false)</f>
        <v>COMPLEMENTARY</v>
      </c>
    </row>
    <row r="2067" ht="22.5" customHeight="1">
      <c r="A2067" s="49"/>
      <c r="C2067" s="384">
        <v>45763.0</v>
      </c>
      <c r="D2067" s="65">
        <v>5266.0</v>
      </c>
      <c r="E2067" s="445" t="s">
        <v>256</v>
      </c>
      <c r="F2067" s="386">
        <v>1.0</v>
      </c>
      <c r="G2067" s="74">
        <v>130000.0</v>
      </c>
      <c r="H2067" s="74">
        <v>0.0</v>
      </c>
      <c r="I2067" s="74">
        <f t="shared" si="1"/>
        <v>130000</v>
      </c>
      <c r="J2067" s="74">
        <f>IF(E2067="SERVICE",I2067-(I2067*50%),Vlookup(E2067,DATABASE!C:Q,10,false)*F2067)</f>
        <v>10000</v>
      </c>
      <c r="K2067" s="74">
        <f>VLOOKUP(E2067,DATABASE!C:Q,7,false)</f>
        <v>0</v>
      </c>
      <c r="L2067" s="74">
        <v>0.0</v>
      </c>
      <c r="M2067" s="74">
        <f t="shared" si="2"/>
        <v>0</v>
      </c>
      <c r="N2067" s="74">
        <f t="shared" si="3"/>
        <v>120000</v>
      </c>
      <c r="O2067" s="65" t="str">
        <f>VLOOKUP(E2067,DATABASE!C:Q,8,false)</f>
        <v>IBU</v>
      </c>
      <c r="P2067" s="65">
        <f>VLOOKUP(E2067,DATABASE!C:Q,9,False)</f>
        <v>0</v>
      </c>
      <c r="Q2067" s="93" t="str">
        <f>VLOOKUP(E2067,DATABASE!C:Q,4,false)</f>
        <v>SPOORING</v>
      </c>
      <c r="R2067" s="93" t="str">
        <f>VLOOKUP(E2067,DATABASE!C:Q,11,false)</f>
        <v>SERVICE</v>
      </c>
    </row>
    <row r="2068" ht="22.5" customHeight="1">
      <c r="A2068" s="49"/>
      <c r="C2068" s="384">
        <v>45763.0</v>
      </c>
      <c r="D2068" s="65">
        <v>5266.0</v>
      </c>
      <c r="E2068" s="445" t="s">
        <v>301</v>
      </c>
      <c r="F2068" s="386">
        <v>1.0</v>
      </c>
      <c r="G2068" s="74">
        <v>250000.0</v>
      </c>
      <c r="H2068" s="74">
        <v>0.0</v>
      </c>
      <c r="I2068" s="74">
        <f t="shared" si="1"/>
        <v>250000</v>
      </c>
      <c r="J2068" s="74">
        <f>IF(E2068="SERVICE",I2068-(I2068*50%),Vlookup(E2068,DATABASE!C:Q,10,false)*F2068)</f>
        <v>75000</v>
      </c>
      <c r="K2068" s="74">
        <f>VLOOKUP(E2068,DATABASE!C:Q,7,false)</f>
        <v>75000</v>
      </c>
      <c r="L2068" s="74">
        <v>75000.0</v>
      </c>
      <c r="M2068" s="74">
        <f t="shared" si="2"/>
        <v>75000</v>
      </c>
      <c r="N2068" s="74">
        <f t="shared" si="3"/>
        <v>100000</v>
      </c>
      <c r="O2068" s="65" t="str">
        <f>VLOOKUP(E2068,DATABASE!C:Q,8,false)</f>
        <v>BIAN</v>
      </c>
      <c r="P2068" s="65">
        <f>VLOOKUP(E2068,DATABASE!C:Q,9,False)</f>
        <v>0</v>
      </c>
      <c r="Q2068" s="93" t="str">
        <f>VLOOKUP(E2068,DATABASE!C:Q,4,false)</f>
        <v>Baut Camber</v>
      </c>
      <c r="R2068" s="93" t="str">
        <f>VLOOKUP(E2068,DATABASE!C:Q,11,false)</f>
        <v>COMPLEMENTARY</v>
      </c>
    </row>
    <row r="2069" ht="22.5" customHeight="1">
      <c r="A2069" s="49"/>
      <c r="C2069" s="384">
        <v>45763.0</v>
      </c>
      <c r="D2069" s="65">
        <v>5267.0</v>
      </c>
      <c r="E2069" s="445" t="s">
        <v>2019</v>
      </c>
      <c r="F2069" s="386">
        <v>1.0</v>
      </c>
      <c r="G2069" s="74">
        <v>685000.0</v>
      </c>
      <c r="H2069" s="74">
        <v>0.0</v>
      </c>
      <c r="I2069" s="74">
        <f t="shared" si="1"/>
        <v>685000</v>
      </c>
      <c r="J2069" s="74">
        <f>IF(E2069="SERVICE",I2069-(I2069*50%),Vlookup(E2069,DATABASE!C:Q,10,false)*F2069)</f>
        <v>0</v>
      </c>
      <c r="K2069" s="74">
        <f>VLOOKUP(E2069,DATABASE!C:Q,7,false)</f>
        <v>620000</v>
      </c>
      <c r="L2069" s="74">
        <v>585000.0</v>
      </c>
      <c r="M2069" s="74">
        <f t="shared" si="2"/>
        <v>585000</v>
      </c>
      <c r="N2069" s="74">
        <f t="shared" si="3"/>
        <v>100000</v>
      </c>
      <c r="O2069" s="65" t="str">
        <f>VLOOKUP(E2069,DATABASE!C:Q,8,false)</f>
        <v>BIAN</v>
      </c>
      <c r="P2069" s="65">
        <f>VLOOKUP(E2069,DATABASE!C:Q,9,False)</f>
        <v>1</v>
      </c>
      <c r="Q2069" s="93" t="str">
        <f>VLOOKUP(E2069,DATABASE!C:Q,4,false)</f>
        <v>GT</v>
      </c>
      <c r="R2069" s="93" t="str">
        <f>VLOOKUP(E2069,DATABASE!C:Q,11,false)</f>
        <v>Tire</v>
      </c>
    </row>
    <row r="2070" ht="22.5" customHeight="1">
      <c r="A2070" s="49"/>
      <c r="C2070" s="384">
        <v>45763.0</v>
      </c>
      <c r="D2070" s="65">
        <v>5267.0</v>
      </c>
      <c r="E2070" s="445" t="s">
        <v>604</v>
      </c>
      <c r="F2070" s="386">
        <v>1.0</v>
      </c>
      <c r="G2070" s="74">
        <v>160000.0</v>
      </c>
      <c r="H2070" s="74">
        <v>0.0</v>
      </c>
      <c r="I2070" s="74">
        <f t="shared" si="1"/>
        <v>160000</v>
      </c>
      <c r="J2070" s="74">
        <f>IF(E2070="SERVICE",I2070-(I2070*50%),Vlookup(E2070,DATABASE!C:Q,10,false)*F2070)</f>
        <v>0</v>
      </c>
      <c r="K2070" s="74">
        <f>VLOOKUP(E2070,DATABASE!C:Q,7,false)</f>
        <v>124000</v>
      </c>
      <c r="L2070" s="74">
        <v>124000.0</v>
      </c>
      <c r="M2070" s="74">
        <f t="shared" si="2"/>
        <v>125000</v>
      </c>
      <c r="N2070" s="74">
        <f t="shared" si="3"/>
        <v>35000</v>
      </c>
      <c r="O2070" s="65" t="str">
        <f>VLOOKUP(E2070,DATABASE!C:Q,8,false)</f>
        <v>BIAN</v>
      </c>
      <c r="P2070" s="65">
        <f>VLOOKUP(E2070,DATABASE!C:Q,9,False)</f>
        <v>1</v>
      </c>
      <c r="Q2070" s="93" t="str">
        <f>VLOOKUP(E2070,DATABASE!C:Q,4,false)</f>
        <v>BD</v>
      </c>
      <c r="R2070" s="93" t="str">
        <f>VLOOKUP(E2070,DATABASE!C:Q,11,false)</f>
        <v>Tire</v>
      </c>
    </row>
    <row r="2071" ht="22.5" customHeight="1">
      <c r="A2071" s="49"/>
      <c r="C2071" s="384">
        <v>45763.0</v>
      </c>
      <c r="D2071" s="65">
        <v>5268.0</v>
      </c>
      <c r="E2071" s="445" t="s">
        <v>403</v>
      </c>
      <c r="F2071" s="386">
        <v>1.0</v>
      </c>
      <c r="G2071" s="74">
        <v>2260000.0</v>
      </c>
      <c r="H2071" s="74">
        <v>0.0</v>
      </c>
      <c r="I2071" s="74">
        <f t="shared" si="1"/>
        <v>2260000</v>
      </c>
      <c r="J2071" s="74">
        <f>IF(E2071="SERVICE",I2071-(I2071*50%),Vlookup(E2071,DATABASE!C:Q,10,false)*F2071)</f>
        <v>0</v>
      </c>
      <c r="K2071" s="74">
        <f>VLOOKUP(E2071,DATABASE!C:Q,7,false)</f>
        <v>2160000</v>
      </c>
      <c r="L2071" s="74">
        <v>2160000.0</v>
      </c>
      <c r="M2071" s="74">
        <f t="shared" si="2"/>
        <v>2160000</v>
      </c>
      <c r="N2071" s="74">
        <f t="shared" si="3"/>
        <v>100000</v>
      </c>
      <c r="O2071" s="65" t="str">
        <f>VLOOKUP(E2071,DATABASE!C:Q,8,false)</f>
        <v>BIAN</v>
      </c>
      <c r="P2071" s="65">
        <f>VLOOKUP(E2071,DATABASE!C:Q,9,False)</f>
        <v>1</v>
      </c>
      <c r="Q2071" s="93" t="str">
        <f>VLOOKUP(E2071,DATABASE!C:Q,4,false)</f>
        <v>Advance</v>
      </c>
      <c r="R2071" s="93" t="str">
        <f>VLOOKUP(E2071,DATABASE!C:Q,11,false)</f>
        <v>Tire</v>
      </c>
    </row>
    <row r="2072" ht="22.5" customHeight="1">
      <c r="A2072" s="49"/>
      <c r="C2072" s="384">
        <v>45764.0</v>
      </c>
      <c r="D2072" s="65">
        <v>5181.0</v>
      </c>
      <c r="E2072" s="445" t="s">
        <v>924</v>
      </c>
      <c r="F2072" s="386">
        <v>1.0</v>
      </c>
      <c r="G2072" s="74">
        <v>1750000.0</v>
      </c>
      <c r="H2072" s="74">
        <v>0.0</v>
      </c>
      <c r="I2072" s="74">
        <f t="shared" si="1"/>
        <v>1750000</v>
      </c>
      <c r="J2072" s="74">
        <f>IF(E2072="SERVICE",I2072-(I2072*50%),Vlookup(E2072,DATABASE!C:Q,10,false)*F2072)</f>
        <v>0</v>
      </c>
      <c r="K2072" s="74">
        <f>VLOOKUP(E2072,DATABASE!C:Q,7,false)</f>
        <v>1560000</v>
      </c>
      <c r="L2072" s="74">
        <v>1545000.0</v>
      </c>
      <c r="M2072" s="74">
        <f t="shared" si="2"/>
        <v>1545000</v>
      </c>
      <c r="N2072" s="74">
        <f t="shared" si="3"/>
        <v>205000</v>
      </c>
      <c r="O2072" s="65" t="str">
        <f>VLOOKUP(E2072,DATABASE!C:Q,8,false)</f>
        <v>BIAN</v>
      </c>
      <c r="P2072" s="65">
        <f>VLOOKUP(E2072,DATABASE!C:Q,9,False)</f>
        <v>1</v>
      </c>
      <c r="Q2072" s="93" t="str">
        <f>VLOOKUP(E2072,DATABASE!C:Q,4,false)</f>
        <v>TIRON</v>
      </c>
      <c r="R2072" s="93" t="str">
        <f>VLOOKUP(E2072,DATABASE!C:Q,11,false)</f>
        <v>Tire</v>
      </c>
    </row>
    <row r="2073" ht="22.5" customHeight="1">
      <c r="A2073" s="49"/>
      <c r="C2073" s="384">
        <v>45764.0</v>
      </c>
      <c r="D2073" s="65">
        <v>5270.0</v>
      </c>
      <c r="E2073" s="445" t="s">
        <v>706</v>
      </c>
      <c r="F2073" s="386">
        <v>1.0</v>
      </c>
      <c r="G2073" s="74">
        <v>570000.0</v>
      </c>
      <c r="H2073" s="74">
        <v>0.0</v>
      </c>
      <c r="I2073" s="74">
        <f t="shared" si="1"/>
        <v>570000</v>
      </c>
      <c r="J2073" s="74">
        <f>IF(E2073="SERVICE",I2073-(I2073*50%),Vlookup(E2073,DATABASE!C:Q,10,false)*F2073)</f>
        <v>0</v>
      </c>
      <c r="K2073" s="74">
        <f>VLOOKUP(E2073,DATABASE!C:Q,7,false)</f>
        <v>485000</v>
      </c>
      <c r="L2073" s="74">
        <v>485000.0</v>
      </c>
      <c r="M2073" s="74">
        <f t="shared" si="2"/>
        <v>485000</v>
      </c>
      <c r="N2073" s="74">
        <f t="shared" si="3"/>
        <v>85000</v>
      </c>
      <c r="O2073" s="65" t="str">
        <f>VLOOKUP(E2073,DATABASE!C:Q,8,false)</f>
        <v>IBU</v>
      </c>
      <c r="P2073" s="65">
        <f>VLOOKUP(E2073,DATABASE!C:Q,9,False)</f>
        <v>1</v>
      </c>
      <c r="Q2073" s="93" t="str">
        <f>VLOOKUP(E2073,DATABASE!C:Q,4,false)</f>
        <v>Dunlop</v>
      </c>
      <c r="R2073" s="93" t="str">
        <f>VLOOKUP(E2073,DATABASE!C:Q,11,false)</f>
        <v>Tire</v>
      </c>
    </row>
    <row r="2074" ht="22.5" customHeight="1">
      <c r="A2074" s="49"/>
      <c r="C2074" s="384">
        <v>45764.0</v>
      </c>
      <c r="D2074" s="65">
        <v>5271.0</v>
      </c>
      <c r="E2074" s="445" t="s">
        <v>268</v>
      </c>
      <c r="F2074" s="386">
        <v>4.0</v>
      </c>
      <c r="G2074" s="74">
        <v>700000.0</v>
      </c>
      <c r="H2074" s="74">
        <v>0.0</v>
      </c>
      <c r="I2074" s="74">
        <f t="shared" si="1"/>
        <v>2800000</v>
      </c>
      <c r="J2074" s="74">
        <f>IF(E2074="SERVICE",I2074-(I2074*50%),Vlookup(E2074,DATABASE!C:Q,10,false)*F2074)</f>
        <v>0</v>
      </c>
      <c r="K2074" s="74">
        <v>613000.0</v>
      </c>
      <c r="L2074" s="74">
        <v>613000.0</v>
      </c>
      <c r="M2074" s="74">
        <f t="shared" si="2"/>
        <v>615000</v>
      </c>
      <c r="N2074" s="74">
        <f t="shared" si="3"/>
        <v>340000</v>
      </c>
      <c r="O2074" s="65" t="str">
        <f>VLOOKUP(E2074,DATABASE!C:Q,8,false)</f>
        <v>IBU</v>
      </c>
      <c r="P2074" s="65">
        <f>VLOOKUP(E2074,DATABASE!C:Q,9,False)</f>
        <v>1</v>
      </c>
      <c r="Q2074" s="93" t="str">
        <f>VLOOKUP(E2074,DATABASE!C:Q,4,false)</f>
        <v>Dunlop</v>
      </c>
      <c r="R2074" s="93" t="str">
        <f>VLOOKUP(E2074,DATABASE!C:Q,11,false)</f>
        <v>Tire</v>
      </c>
    </row>
    <row r="2075" ht="22.5" customHeight="1">
      <c r="A2075" s="49"/>
      <c r="C2075" s="384">
        <v>45764.0</v>
      </c>
      <c r="D2075" s="65">
        <v>5271.0</v>
      </c>
      <c r="E2075" s="445" t="s">
        <v>256</v>
      </c>
      <c r="F2075" s="386">
        <v>1.0</v>
      </c>
      <c r="G2075" s="74">
        <v>130000.0</v>
      </c>
      <c r="H2075" s="74">
        <v>0.0</v>
      </c>
      <c r="I2075" s="74">
        <f t="shared" si="1"/>
        <v>130000</v>
      </c>
      <c r="J2075" s="74">
        <f>IF(E2075="SERVICE",I2075-(I2075*50%),Vlookup(E2075,DATABASE!C:Q,10,false)*F2075)</f>
        <v>10000</v>
      </c>
      <c r="K2075" s="74">
        <f>VLOOKUP(E2075,DATABASE!C:Q,7,false)</f>
        <v>0</v>
      </c>
      <c r="L2075" s="74">
        <v>0.0</v>
      </c>
      <c r="M2075" s="74">
        <f t="shared" si="2"/>
        <v>0</v>
      </c>
      <c r="N2075" s="74">
        <f t="shared" si="3"/>
        <v>120000</v>
      </c>
      <c r="O2075" s="65" t="str">
        <f>VLOOKUP(E2075,DATABASE!C:Q,8,false)</f>
        <v>IBU</v>
      </c>
      <c r="P2075" s="65">
        <f>VLOOKUP(E2075,DATABASE!C:Q,9,False)</f>
        <v>0</v>
      </c>
      <c r="Q2075" s="93" t="str">
        <f>VLOOKUP(E2075,DATABASE!C:Q,4,false)</f>
        <v>SPOORING</v>
      </c>
      <c r="R2075" s="93" t="str">
        <f>VLOOKUP(E2075,DATABASE!C:Q,11,false)</f>
        <v>SERVICE</v>
      </c>
    </row>
    <row r="2076" ht="22.5" customHeight="1">
      <c r="A2076" s="49"/>
      <c r="C2076" s="384">
        <v>45764.0</v>
      </c>
      <c r="D2076" s="65">
        <v>5272.0</v>
      </c>
      <c r="E2076" s="445" t="s">
        <v>268</v>
      </c>
      <c r="F2076" s="386">
        <v>4.0</v>
      </c>
      <c r="G2076" s="74">
        <v>700000.0</v>
      </c>
      <c r="H2076" s="74">
        <v>0.0</v>
      </c>
      <c r="I2076" s="74">
        <f t="shared" si="1"/>
        <v>2800000</v>
      </c>
      <c r="J2076" s="74">
        <f>IF(E2076="SERVICE",I2076-(I2076*50%),Vlookup(E2076,DATABASE!C:Q,10,false)*F2076)</f>
        <v>0</v>
      </c>
      <c r="K2076" s="74">
        <v>613000.0</v>
      </c>
      <c r="L2076" s="74">
        <v>613000.0</v>
      </c>
      <c r="M2076" s="74">
        <f t="shared" si="2"/>
        <v>615000</v>
      </c>
      <c r="N2076" s="74">
        <f t="shared" si="3"/>
        <v>340000</v>
      </c>
      <c r="O2076" s="65" t="str">
        <f>VLOOKUP(E2076,DATABASE!C:Q,8,false)</f>
        <v>IBU</v>
      </c>
      <c r="P2076" s="65">
        <f>VLOOKUP(E2076,DATABASE!C:Q,9,False)</f>
        <v>1</v>
      </c>
      <c r="Q2076" s="93" t="str">
        <f>VLOOKUP(E2076,DATABASE!C:Q,4,false)</f>
        <v>Dunlop</v>
      </c>
      <c r="R2076" s="93" t="str">
        <f>VLOOKUP(E2076,DATABASE!C:Q,11,false)</f>
        <v>Tire</v>
      </c>
    </row>
    <row r="2077" ht="22.5" customHeight="1">
      <c r="A2077" s="49"/>
      <c r="C2077" s="384">
        <v>45764.0</v>
      </c>
      <c r="D2077" s="65">
        <v>5273.0</v>
      </c>
      <c r="E2077" s="445" t="s">
        <v>572</v>
      </c>
      <c r="F2077" s="386">
        <v>2.0</v>
      </c>
      <c r="G2077" s="74">
        <v>1370000.0</v>
      </c>
      <c r="H2077" s="74">
        <v>0.0</v>
      </c>
      <c r="I2077" s="74">
        <f t="shared" si="1"/>
        <v>2740000</v>
      </c>
      <c r="J2077" s="74">
        <f>IF(E2077="SERVICE",I2077-(I2077*50%),Vlookup(E2077,DATABASE!C:Q,10,false)*F2077)</f>
        <v>0</v>
      </c>
      <c r="K2077" s="140">
        <v>1270000.0</v>
      </c>
      <c r="L2077" s="140">
        <v>1270000.0</v>
      </c>
      <c r="M2077" s="74">
        <f t="shared" si="2"/>
        <v>1270000</v>
      </c>
      <c r="N2077" s="74">
        <f t="shared" si="3"/>
        <v>200000</v>
      </c>
      <c r="O2077" s="65" t="str">
        <f>VLOOKUP(E2077,DATABASE!C:Q,8,false)</f>
        <v>IBU</v>
      </c>
      <c r="P2077" s="65">
        <f>VLOOKUP(E2077,DATABASE!C:Q,9,False)</f>
        <v>1</v>
      </c>
      <c r="Q2077" s="93" t="str">
        <f>VLOOKUP(E2077,DATABASE!C:Q,4,false)</f>
        <v>Bridgestone</v>
      </c>
      <c r="R2077" s="93" t="str">
        <f>VLOOKUP(E2077,DATABASE!C:Q,11,false)</f>
        <v>Tire</v>
      </c>
    </row>
    <row r="2078" ht="22.5" customHeight="1">
      <c r="A2078" s="49"/>
      <c r="C2078" s="384">
        <v>45764.0</v>
      </c>
      <c r="D2078" s="65">
        <v>5273.0</v>
      </c>
      <c r="E2078" s="445" t="s">
        <v>712</v>
      </c>
      <c r="F2078" s="386">
        <v>1.0</v>
      </c>
      <c r="G2078" s="74">
        <v>150000.0</v>
      </c>
      <c r="H2078" s="74">
        <v>0.0</v>
      </c>
      <c r="I2078" s="74">
        <f t="shared" si="1"/>
        <v>150000</v>
      </c>
      <c r="J2078" s="74">
        <f>IF(E2078="SERVICE",I2078-(I2078*50%),Vlookup(E2078,DATABASE!C:Q,10,false)*F2078)</f>
        <v>0</v>
      </c>
      <c r="K2078" s="74">
        <f>VLOOKUP(E2078,DATABASE!C:Q,7,false)</f>
        <v>120960</v>
      </c>
      <c r="L2078" s="74">
        <v>120960.0</v>
      </c>
      <c r="M2078" s="74">
        <f t="shared" si="2"/>
        <v>125000</v>
      </c>
      <c r="N2078" s="74">
        <f t="shared" si="3"/>
        <v>25000</v>
      </c>
      <c r="O2078" s="65" t="str">
        <f>VLOOKUP(E2078,DATABASE!C:Q,8,false)</f>
        <v>BIAN</v>
      </c>
      <c r="P2078" s="65">
        <f>VLOOKUP(E2078,DATABASE!C:Q,9,False)</f>
        <v>1</v>
      </c>
      <c r="Q2078" s="93" t="str">
        <f>VLOOKUP(E2078,DATABASE!C:Q,4,false)</f>
        <v>BD</v>
      </c>
      <c r="R2078" s="93" t="str">
        <f>VLOOKUP(E2078,DATABASE!C:Q,11,false)</f>
        <v>Tire</v>
      </c>
    </row>
    <row r="2079" ht="22.5" customHeight="1">
      <c r="A2079" s="49"/>
      <c r="C2079" s="384">
        <v>45764.0</v>
      </c>
      <c r="D2079" s="65">
        <v>5273.0</v>
      </c>
      <c r="E2079" s="445" t="s">
        <v>284</v>
      </c>
      <c r="F2079" s="386">
        <v>1.0</v>
      </c>
      <c r="G2079" s="74">
        <v>60000.0</v>
      </c>
      <c r="H2079" s="74">
        <v>0.0</v>
      </c>
      <c r="I2079" s="74">
        <f t="shared" si="1"/>
        <v>60000</v>
      </c>
      <c r="J2079" s="74">
        <f>IF(E2079="SERVICE",I2079-(I2079*50%),Vlookup(E2079,DATABASE!C:Q,10,false)*F2079)</f>
        <v>0</v>
      </c>
      <c r="K2079" s="74">
        <f>VLOOKUP(E2079,DATABASE!C:Q,7,false)</f>
        <v>36630</v>
      </c>
      <c r="L2079" s="74">
        <v>36630.0</v>
      </c>
      <c r="M2079" s="74">
        <f t="shared" si="2"/>
        <v>40000</v>
      </c>
      <c r="N2079" s="74">
        <f t="shared" si="3"/>
        <v>20000</v>
      </c>
      <c r="O2079" s="65" t="str">
        <f>VLOOKUP(E2079,DATABASE!C:Q,8,false)</f>
        <v>BIAN</v>
      </c>
      <c r="P2079" s="65">
        <f>VLOOKUP(E2079,DATABASE!C:Q,9,False)</f>
        <v>1</v>
      </c>
      <c r="Q2079" s="93" t="str">
        <f>VLOOKUP(E2079,DATABASE!C:Q,4,false)</f>
        <v>Flap</v>
      </c>
      <c r="R2079" s="93" t="str">
        <f>VLOOKUP(E2079,DATABASE!C:Q,11,false)</f>
        <v>Tire</v>
      </c>
    </row>
    <row r="2080" ht="22.5" customHeight="1">
      <c r="A2080" s="49"/>
      <c r="C2080" s="384">
        <v>45764.0</v>
      </c>
      <c r="D2080" s="65">
        <v>5274.0</v>
      </c>
      <c r="E2080" s="445" t="s">
        <v>600</v>
      </c>
      <c r="F2080" s="386">
        <v>1.0</v>
      </c>
      <c r="G2080" s="74">
        <v>675000.0</v>
      </c>
      <c r="H2080" s="74">
        <v>0.0</v>
      </c>
      <c r="I2080" s="74">
        <f t="shared" si="1"/>
        <v>675000</v>
      </c>
      <c r="J2080" s="74">
        <f>IF(E2080="SERVICE",I2080-(I2080*50%),Vlookup(E2080,DATABASE!C:Q,10,false)*F2080)</f>
        <v>0</v>
      </c>
      <c r="K2080" s="74">
        <f>VLOOKUP(E2080,DATABASE!C:Q,7,false)</f>
        <v>611109.16</v>
      </c>
      <c r="L2080" s="74">
        <v>572762.4</v>
      </c>
      <c r="M2080" s="74">
        <f t="shared" si="2"/>
        <v>575000</v>
      </c>
      <c r="N2080" s="74">
        <f t="shared" si="3"/>
        <v>100000</v>
      </c>
      <c r="O2080" s="65" t="str">
        <f>VLOOKUP(E2080,DATABASE!C:Q,8,false)</f>
        <v>IBU</v>
      </c>
      <c r="P2080" s="65">
        <f>VLOOKUP(E2080,DATABASE!C:Q,9,False)</f>
        <v>1</v>
      </c>
      <c r="Q2080" s="93" t="str">
        <f>VLOOKUP(E2080,DATABASE!C:Q,4,false)</f>
        <v>Bridgestone</v>
      </c>
      <c r="R2080" s="93" t="str">
        <f>VLOOKUP(E2080,DATABASE!C:Q,11,false)</f>
        <v>Tire</v>
      </c>
    </row>
    <row r="2081" ht="22.5" customHeight="1">
      <c r="A2081" s="49"/>
      <c r="C2081" s="384">
        <v>45764.0</v>
      </c>
      <c r="D2081" s="65">
        <v>5275.0</v>
      </c>
      <c r="E2081" s="445" t="s">
        <v>2199</v>
      </c>
      <c r="F2081" s="386">
        <v>1.0</v>
      </c>
      <c r="G2081" s="74">
        <v>15000.0</v>
      </c>
      <c r="H2081" s="74">
        <v>0.0</v>
      </c>
      <c r="I2081" s="74">
        <f t="shared" si="1"/>
        <v>15000</v>
      </c>
      <c r="J2081" s="74">
        <f>IF(E2081="SERVICE",I2081-(I2081*50%),Vlookup(E2081,DATABASE!C:Q,10,false)*F2081)</f>
        <v>0</v>
      </c>
      <c r="K2081" s="74">
        <f>VLOOKUP(E2081,DATABASE!C:Q,7,false)</f>
        <v>5000</v>
      </c>
      <c r="L2081" s="74">
        <v>0.0</v>
      </c>
      <c r="M2081" s="74">
        <f t="shared" si="2"/>
        <v>0</v>
      </c>
      <c r="N2081" s="74">
        <f t="shared" si="3"/>
        <v>15000</v>
      </c>
      <c r="O2081" s="65" t="str">
        <f>VLOOKUP(E2081,DATABASE!C:Q,8,false)</f>
        <v>BIAN</v>
      </c>
      <c r="P2081" s="65">
        <f>VLOOKUP(E2081,DATABASE!C:Q,9,False)</f>
        <v>0</v>
      </c>
      <c r="Q2081" s="93" t="str">
        <f>VLOOKUP(E2081,DATABASE!C:Q,4,false)</f>
        <v>TAMBAL TUBLES</v>
      </c>
      <c r="R2081" s="93" t="str">
        <f>VLOOKUP(E2081,DATABASE!C:Q,11,false)</f>
        <v>COMPLEMENTARY</v>
      </c>
    </row>
    <row r="2082" ht="22.5" customHeight="1">
      <c r="A2082" s="49"/>
      <c r="C2082" s="384">
        <v>45764.0</v>
      </c>
      <c r="D2082" s="65">
        <v>5276.0</v>
      </c>
      <c r="E2082" s="445" t="s">
        <v>572</v>
      </c>
      <c r="F2082" s="386">
        <v>2.0</v>
      </c>
      <c r="G2082" s="74">
        <v>1370000.0</v>
      </c>
      <c r="H2082" s="74">
        <v>0.0</v>
      </c>
      <c r="I2082" s="74">
        <f t="shared" si="1"/>
        <v>2740000</v>
      </c>
      <c r="J2082" s="74">
        <f>IF(E2082="SERVICE",I2082-(I2082*50%),Vlookup(E2082,DATABASE!C:Q,10,false)*F2082)</f>
        <v>0</v>
      </c>
      <c r="K2082" s="140">
        <v>1270000.0</v>
      </c>
      <c r="L2082" s="140">
        <v>1270000.0</v>
      </c>
      <c r="M2082" s="74">
        <f t="shared" si="2"/>
        <v>1270000</v>
      </c>
      <c r="N2082" s="74">
        <f t="shared" si="3"/>
        <v>200000</v>
      </c>
      <c r="O2082" s="65" t="str">
        <f>VLOOKUP(E2082,DATABASE!C:Q,8,false)</f>
        <v>IBU</v>
      </c>
      <c r="P2082" s="65">
        <f>VLOOKUP(E2082,DATABASE!C:Q,9,False)</f>
        <v>1</v>
      </c>
      <c r="Q2082" s="93" t="str">
        <f>VLOOKUP(E2082,DATABASE!C:Q,4,false)</f>
        <v>Bridgestone</v>
      </c>
      <c r="R2082" s="93" t="str">
        <f>VLOOKUP(E2082,DATABASE!C:Q,11,false)</f>
        <v>Tire</v>
      </c>
    </row>
    <row r="2083" ht="22.5" customHeight="1">
      <c r="A2083" s="49"/>
      <c r="C2083" s="384">
        <v>45764.0</v>
      </c>
      <c r="D2083" s="65">
        <v>5276.0</v>
      </c>
      <c r="E2083" s="445" t="s">
        <v>255</v>
      </c>
      <c r="F2083" s="386">
        <v>2.0</v>
      </c>
      <c r="G2083" s="74">
        <v>200000.0</v>
      </c>
      <c r="H2083" s="74">
        <v>0.0</v>
      </c>
      <c r="I2083" s="74">
        <f t="shared" si="1"/>
        <v>400000</v>
      </c>
      <c r="J2083" s="74">
        <f>IF(E2083="SERVICE",I2083-(I2083*50%),Vlookup(E2083,DATABASE!C:Q,10,false)*F2083)</f>
        <v>0</v>
      </c>
      <c r="K2083" s="74">
        <f>VLOOKUP(E2083,DATABASE!C:Q,7,false)</f>
        <v>161840</v>
      </c>
      <c r="L2083" s="74">
        <v>161840.0</v>
      </c>
      <c r="M2083" s="74">
        <f t="shared" si="2"/>
        <v>165000</v>
      </c>
      <c r="N2083" s="74">
        <f t="shared" si="3"/>
        <v>70000</v>
      </c>
      <c r="O2083" s="65" t="str">
        <f>VLOOKUP(E2083,DATABASE!C:Q,8,false)</f>
        <v>BIAN</v>
      </c>
      <c r="P2083" s="65">
        <f>VLOOKUP(E2083,DATABASE!C:Q,9,False)</f>
        <v>1</v>
      </c>
      <c r="Q2083" s="93" t="str">
        <f>VLOOKUP(E2083,DATABASE!C:Q,4,false)</f>
        <v>BD</v>
      </c>
      <c r="R2083" s="93" t="str">
        <f>VLOOKUP(E2083,DATABASE!C:Q,11,false)</f>
        <v>Tire</v>
      </c>
    </row>
    <row r="2084" ht="22.5" customHeight="1">
      <c r="A2084" s="49"/>
      <c r="C2084" s="384">
        <v>45764.0</v>
      </c>
      <c r="D2084" s="65">
        <v>5276.0</v>
      </c>
      <c r="E2084" s="445" t="s">
        <v>821</v>
      </c>
      <c r="F2084" s="386">
        <v>2.0</v>
      </c>
      <c r="G2084" s="74">
        <v>65000.0</v>
      </c>
      <c r="H2084" s="74">
        <v>0.0</v>
      </c>
      <c r="I2084" s="74">
        <f t="shared" si="1"/>
        <v>130000</v>
      </c>
      <c r="J2084" s="74">
        <f>IF(E2084="SERVICE",I2084-(I2084*50%),Vlookup(E2084,DATABASE!C:Q,10,false)*F2084)</f>
        <v>0</v>
      </c>
      <c r="K2084" s="74">
        <f>VLOOKUP(E2084,DATABASE!C:Q,7,false)</f>
        <v>43500</v>
      </c>
      <c r="L2084" s="74">
        <v>43520.0</v>
      </c>
      <c r="M2084" s="74">
        <f t="shared" si="2"/>
        <v>45000</v>
      </c>
      <c r="N2084" s="74">
        <f t="shared" si="3"/>
        <v>40000</v>
      </c>
      <c r="O2084" s="65" t="str">
        <f>VLOOKUP(E2084,DATABASE!C:Q,8,false)</f>
        <v>BIAN</v>
      </c>
      <c r="P2084" s="65">
        <f>VLOOKUP(E2084,DATABASE!C:Q,9,False)</f>
        <v>1</v>
      </c>
      <c r="Q2084" s="93" t="str">
        <f>VLOOKUP(E2084,DATABASE!C:Q,4,false)</f>
        <v>Flap</v>
      </c>
      <c r="R2084" s="93" t="str">
        <f>VLOOKUP(E2084,DATABASE!C:Q,11,false)</f>
        <v>Tire</v>
      </c>
    </row>
    <row r="2085" ht="22.5" customHeight="1">
      <c r="A2085" s="49"/>
      <c r="C2085" s="384">
        <v>45764.0</v>
      </c>
      <c r="D2085" s="65">
        <v>5277.0</v>
      </c>
      <c r="E2085" s="445" t="s">
        <v>256</v>
      </c>
      <c r="F2085" s="386">
        <v>1.0</v>
      </c>
      <c r="G2085" s="74">
        <v>130000.0</v>
      </c>
      <c r="H2085" s="74">
        <v>0.0</v>
      </c>
      <c r="I2085" s="74">
        <f t="shared" si="1"/>
        <v>130000</v>
      </c>
      <c r="J2085" s="74">
        <f>IF(E2085="SERVICE",I2085-(I2085*50%),Vlookup(E2085,DATABASE!C:Q,10,false)*F2085)</f>
        <v>10000</v>
      </c>
      <c r="K2085" s="74">
        <f>VLOOKUP(E2085,DATABASE!C:Q,7,false)</f>
        <v>0</v>
      </c>
      <c r="L2085" s="74">
        <v>0.0</v>
      </c>
      <c r="M2085" s="74">
        <f t="shared" si="2"/>
        <v>0</v>
      </c>
      <c r="N2085" s="74">
        <f t="shared" si="3"/>
        <v>120000</v>
      </c>
      <c r="O2085" s="65" t="str">
        <f>VLOOKUP(E2085,DATABASE!C:Q,8,false)</f>
        <v>IBU</v>
      </c>
      <c r="P2085" s="65">
        <f>VLOOKUP(E2085,DATABASE!C:Q,9,False)</f>
        <v>0</v>
      </c>
      <c r="Q2085" s="93" t="str">
        <f>VLOOKUP(E2085,DATABASE!C:Q,4,false)</f>
        <v>SPOORING</v>
      </c>
      <c r="R2085" s="93" t="str">
        <f>VLOOKUP(E2085,DATABASE!C:Q,11,false)</f>
        <v>SERVICE</v>
      </c>
    </row>
    <row r="2086" ht="22.5" customHeight="1">
      <c r="A2086" s="49"/>
      <c r="C2086" s="384">
        <v>45764.0</v>
      </c>
      <c r="D2086" s="65">
        <v>5277.0</v>
      </c>
      <c r="E2086" s="385" t="s">
        <v>299</v>
      </c>
      <c r="F2086" s="386">
        <v>2.0</v>
      </c>
      <c r="G2086" s="74">
        <v>30000.0</v>
      </c>
      <c r="H2086" s="74">
        <v>0.0</v>
      </c>
      <c r="I2086" s="74">
        <f t="shared" si="1"/>
        <v>60000</v>
      </c>
      <c r="J2086" s="74">
        <f>IF(E2086="SERVICE",I2086-(I2086*50%),Vlookup(E2086,DATABASE!C:Q,10,false)*F2086)</f>
        <v>0</v>
      </c>
      <c r="K2086" s="74">
        <v>0.0</v>
      </c>
      <c r="L2086" s="74">
        <v>0.0</v>
      </c>
      <c r="M2086" s="74">
        <f t="shared" si="2"/>
        <v>0</v>
      </c>
      <c r="N2086" s="74">
        <f t="shared" si="3"/>
        <v>60000</v>
      </c>
      <c r="O2086" s="65" t="str">
        <f>VLOOKUP(E2086,DATABASE!C:Q,8,false)</f>
        <v>BIAN</v>
      </c>
      <c r="P2086" s="65">
        <f>VLOOKUP(E2086,DATABASE!C:Q,9,False)</f>
        <v>0</v>
      </c>
      <c r="Q2086" s="93" t="str">
        <f>VLOOKUP(E2086,DATABASE!C:Q,4,false)</f>
        <v>Balancing</v>
      </c>
      <c r="R2086" s="93" t="str">
        <f>VLOOKUP(E2086,DATABASE!C:Q,11,false)</f>
        <v>COMPLEMENTARY</v>
      </c>
    </row>
    <row r="2087" ht="22.5" customHeight="1">
      <c r="A2087" s="49"/>
      <c r="C2087" s="384">
        <v>45764.0</v>
      </c>
      <c r="D2087" s="65">
        <v>5277.0</v>
      </c>
      <c r="E2087" s="445" t="s">
        <v>251</v>
      </c>
      <c r="F2087" s="386">
        <v>1.0</v>
      </c>
      <c r="G2087" s="74">
        <v>150000.0</v>
      </c>
      <c r="H2087" s="74">
        <v>0.0</v>
      </c>
      <c r="I2087" s="74">
        <f t="shared" si="1"/>
        <v>150000</v>
      </c>
      <c r="J2087" s="74">
        <f>IF(E2087="SERVICE",I2087-(I2087*50%),Vlookup(E2087,DATABASE!C:Q,10,false)*F2087)</f>
        <v>75000</v>
      </c>
      <c r="K2087" s="74">
        <f>VLOOKUP(E2087,DATABASE!C:Q,7,false)</f>
        <v>0</v>
      </c>
      <c r="L2087" s="74">
        <v>0.0</v>
      </c>
      <c r="M2087" s="74">
        <f t="shared" si="2"/>
        <v>0</v>
      </c>
      <c r="N2087" s="74">
        <f t="shared" si="3"/>
        <v>75000</v>
      </c>
      <c r="O2087" s="65" t="str">
        <f>VLOOKUP(E2087,DATABASE!C:Q,8,false)</f>
        <v>IBU</v>
      </c>
      <c r="P2087" s="65">
        <f>VLOOKUP(E2087,DATABASE!C:Q,9,False)</f>
        <v>0</v>
      </c>
      <c r="Q2087" s="93" t="str">
        <f>VLOOKUP(E2087,DATABASE!C:Q,4,false)</f>
        <v>SERVICE</v>
      </c>
      <c r="R2087" s="93" t="str">
        <f>VLOOKUP(E2087,DATABASE!C:Q,11,false)</f>
        <v>SERVICE</v>
      </c>
    </row>
    <row r="2088" ht="22.5" customHeight="1">
      <c r="A2088" s="49"/>
      <c r="C2088" s="384">
        <v>45764.0</v>
      </c>
      <c r="D2088" s="65">
        <v>5278.0</v>
      </c>
      <c r="E2088" s="445" t="s">
        <v>968</v>
      </c>
      <c r="F2088" s="386">
        <v>1.0</v>
      </c>
      <c r="G2088" s="74">
        <v>630000.0</v>
      </c>
      <c r="H2088" s="74">
        <v>0.0</v>
      </c>
      <c r="I2088" s="74">
        <f t="shared" si="1"/>
        <v>630000</v>
      </c>
      <c r="J2088" s="74">
        <f>IF(E2088="SERVICE",I2088-(I2088*50%),Vlookup(E2088,DATABASE!C:Q,10,false)*F2088)</f>
        <v>0</v>
      </c>
      <c r="K2088" s="74">
        <f>VLOOKUP(E2088,DATABASE!C:Q,7,false)</f>
        <v>582500</v>
      </c>
      <c r="L2088" s="74">
        <v>582500.0</v>
      </c>
      <c r="M2088" s="74">
        <f t="shared" si="2"/>
        <v>585000</v>
      </c>
      <c r="N2088" s="74">
        <f t="shared" si="3"/>
        <v>45000</v>
      </c>
      <c r="O2088" s="65" t="str">
        <f>VLOOKUP(E2088,DATABASE!C:Q,8,false)</f>
        <v>IBU</v>
      </c>
      <c r="P2088" s="65">
        <f>VLOOKUP(E2088,DATABASE!C:Q,9,False)</f>
        <v>1</v>
      </c>
      <c r="Q2088" s="93" t="str">
        <f>VLOOKUP(E2088,DATABASE!C:Q,4,false)</f>
        <v>Dunlop</v>
      </c>
      <c r="R2088" s="93" t="str">
        <f>VLOOKUP(E2088,DATABASE!C:Q,11,false)</f>
        <v>Tire</v>
      </c>
    </row>
    <row r="2089" ht="22.5" customHeight="1">
      <c r="A2089" s="49"/>
      <c r="C2089" s="384">
        <v>45764.0</v>
      </c>
      <c r="D2089" s="65">
        <v>5280.0</v>
      </c>
      <c r="E2089" s="445" t="s">
        <v>256</v>
      </c>
      <c r="F2089" s="386">
        <v>1.0</v>
      </c>
      <c r="G2089" s="74">
        <v>130000.0</v>
      </c>
      <c r="H2089" s="74">
        <v>0.0</v>
      </c>
      <c r="I2089" s="74">
        <f t="shared" si="1"/>
        <v>130000</v>
      </c>
      <c r="J2089" s="74">
        <f>IF(E2089="SERVICE",I2089-(I2089*50%),Vlookup(E2089,DATABASE!C:Q,10,false)*F2089)</f>
        <v>10000</v>
      </c>
      <c r="K2089" s="74">
        <f>VLOOKUP(E2089,DATABASE!C:Q,7,false)</f>
        <v>0</v>
      </c>
      <c r="L2089" s="74">
        <v>0.0</v>
      </c>
      <c r="M2089" s="74">
        <f t="shared" si="2"/>
        <v>0</v>
      </c>
      <c r="N2089" s="74">
        <f t="shared" si="3"/>
        <v>120000</v>
      </c>
      <c r="O2089" s="65" t="str">
        <f>VLOOKUP(E2089,DATABASE!C:Q,8,false)</f>
        <v>IBU</v>
      </c>
      <c r="P2089" s="65">
        <f>VLOOKUP(E2089,DATABASE!C:Q,9,False)</f>
        <v>0</v>
      </c>
      <c r="Q2089" s="93" t="str">
        <f>VLOOKUP(E2089,DATABASE!C:Q,4,false)</f>
        <v>SPOORING</v>
      </c>
      <c r="R2089" s="93" t="str">
        <f>VLOOKUP(E2089,DATABASE!C:Q,11,false)</f>
        <v>SERVICE</v>
      </c>
    </row>
    <row r="2090" ht="22.5" customHeight="1">
      <c r="A2090" s="49"/>
      <c r="C2090" s="384">
        <v>45764.0</v>
      </c>
      <c r="D2090" s="65">
        <v>5280.0</v>
      </c>
      <c r="E2090" s="385" t="s">
        <v>299</v>
      </c>
      <c r="F2090" s="386">
        <v>2.0</v>
      </c>
      <c r="G2090" s="74">
        <v>30000.0</v>
      </c>
      <c r="H2090" s="74">
        <v>0.0</v>
      </c>
      <c r="I2090" s="74">
        <f t="shared" si="1"/>
        <v>60000</v>
      </c>
      <c r="J2090" s="74">
        <f>IF(E2090="SERVICE",I2090-(I2090*50%),Vlookup(E2090,DATABASE!C:Q,10,false)*F2090)</f>
        <v>0</v>
      </c>
      <c r="K2090" s="74">
        <v>0.0</v>
      </c>
      <c r="L2090" s="74">
        <v>0.0</v>
      </c>
      <c r="M2090" s="74">
        <f t="shared" si="2"/>
        <v>0</v>
      </c>
      <c r="N2090" s="74">
        <f t="shared" si="3"/>
        <v>60000</v>
      </c>
      <c r="O2090" s="65" t="str">
        <f>VLOOKUP(E2090,DATABASE!C:Q,8,false)</f>
        <v>BIAN</v>
      </c>
      <c r="P2090" s="65">
        <f>VLOOKUP(E2090,DATABASE!C:Q,9,False)</f>
        <v>0</v>
      </c>
      <c r="Q2090" s="93" t="str">
        <f>VLOOKUP(E2090,DATABASE!C:Q,4,false)</f>
        <v>Balancing</v>
      </c>
      <c r="R2090" s="93" t="str">
        <f>VLOOKUP(E2090,DATABASE!C:Q,11,false)</f>
        <v>COMPLEMENTARY</v>
      </c>
    </row>
    <row r="2091" ht="22.5" customHeight="1">
      <c r="A2091" s="49"/>
      <c r="C2091" s="384">
        <v>45764.0</v>
      </c>
      <c r="D2091" s="65">
        <v>5280.0</v>
      </c>
      <c r="E2091" s="445" t="s">
        <v>251</v>
      </c>
      <c r="F2091" s="386">
        <v>1.0</v>
      </c>
      <c r="G2091" s="74">
        <v>150000.0</v>
      </c>
      <c r="H2091" s="74">
        <v>0.0</v>
      </c>
      <c r="I2091" s="74">
        <f t="shared" si="1"/>
        <v>150000</v>
      </c>
      <c r="J2091" s="74">
        <f>IF(E2091="SERVICE",I2091-(I2091*50%),Vlookup(E2091,DATABASE!C:Q,10,false)*F2091)</f>
        <v>75000</v>
      </c>
      <c r="K2091" s="74">
        <f>VLOOKUP(E2091,DATABASE!C:Q,7,false)</f>
        <v>0</v>
      </c>
      <c r="L2091" s="74">
        <v>0.0</v>
      </c>
      <c r="M2091" s="74">
        <f t="shared" si="2"/>
        <v>0</v>
      </c>
      <c r="N2091" s="74">
        <f t="shared" si="3"/>
        <v>75000</v>
      </c>
      <c r="O2091" s="65" t="str">
        <f>VLOOKUP(E2091,DATABASE!C:Q,8,false)</f>
        <v>IBU</v>
      </c>
      <c r="P2091" s="65">
        <f>VLOOKUP(E2091,DATABASE!C:Q,9,False)</f>
        <v>0</v>
      </c>
      <c r="Q2091" s="93" t="str">
        <f>VLOOKUP(E2091,DATABASE!C:Q,4,false)</f>
        <v>SERVICE</v>
      </c>
      <c r="R2091" s="93" t="str">
        <f>VLOOKUP(E2091,DATABASE!C:Q,11,false)</f>
        <v>SERVICE</v>
      </c>
    </row>
    <row r="2092" ht="22.5" customHeight="1">
      <c r="A2092" s="49"/>
      <c r="C2092" s="384">
        <v>45764.0</v>
      </c>
      <c r="D2092" s="65">
        <v>5283.0</v>
      </c>
      <c r="E2092" s="445" t="s">
        <v>1893</v>
      </c>
      <c r="F2092" s="386">
        <v>2.0</v>
      </c>
      <c r="G2092" s="74">
        <v>500000.0</v>
      </c>
      <c r="H2092" s="74">
        <v>0.0</v>
      </c>
      <c r="I2092" s="74">
        <f t="shared" si="1"/>
        <v>1000000</v>
      </c>
      <c r="J2092" s="74">
        <f>IF(E2092="SERVICE",I2092-(I2092*50%),Vlookup(E2092,DATABASE!C:Q,10,false)*F2092)</f>
        <v>0</v>
      </c>
      <c r="K2092" s="74">
        <f>VLOOKUP(E2092,DATABASE!C:Q,7,false)</f>
        <v>404900</v>
      </c>
      <c r="L2092" s="74">
        <v>404900.0</v>
      </c>
      <c r="M2092" s="74">
        <f t="shared" si="2"/>
        <v>405000</v>
      </c>
      <c r="N2092" s="74">
        <f t="shared" si="3"/>
        <v>190000</v>
      </c>
      <c r="O2092" s="65" t="str">
        <f>VLOOKUP(E2092,DATABASE!C:Q,8,false)</f>
        <v>BIAN</v>
      </c>
      <c r="P2092" s="65">
        <f>VLOOKUP(E2092,DATABASE!C:Q,9,False)</f>
        <v>1</v>
      </c>
      <c r="Q2092" s="93" t="str">
        <f>VLOOKUP(E2092,DATABASE!C:Q,4,false)</f>
        <v>GT</v>
      </c>
      <c r="R2092" s="93" t="str">
        <f>VLOOKUP(E2092,DATABASE!C:Q,11,false)</f>
        <v>Tire</v>
      </c>
    </row>
    <row r="2093" ht="22.5" customHeight="1">
      <c r="A2093" s="49"/>
      <c r="C2093" s="384">
        <v>45764.0</v>
      </c>
      <c r="D2093" s="65">
        <v>5284.0</v>
      </c>
      <c r="E2093" s="445" t="s">
        <v>288</v>
      </c>
      <c r="F2093" s="386">
        <v>1.0</v>
      </c>
      <c r="G2093" s="74">
        <v>620000.0</v>
      </c>
      <c r="H2093" s="74">
        <v>0.0</v>
      </c>
      <c r="I2093" s="74">
        <f t="shared" si="1"/>
        <v>620000</v>
      </c>
      <c r="J2093" s="74">
        <f>IF(E2093="SERVICE",I2093-(I2093*50%),Vlookup(E2093,DATABASE!C:Q,10,false)*F2093)</f>
        <v>0</v>
      </c>
      <c r="K2093" s="74">
        <f>VLOOKUP(E2093,DATABASE!C:Q,7,false)</f>
        <v>565760</v>
      </c>
      <c r="L2093" s="74">
        <v>524800.0</v>
      </c>
      <c r="M2093" s="74">
        <f t="shared" si="2"/>
        <v>525000</v>
      </c>
      <c r="N2093" s="74">
        <f t="shared" si="3"/>
        <v>95000</v>
      </c>
      <c r="O2093" s="65" t="str">
        <f>VLOOKUP(E2093,DATABASE!C:Q,8,false)</f>
        <v>BIAN</v>
      </c>
      <c r="P2093" s="65">
        <f>VLOOKUP(E2093,DATABASE!C:Q,9,False)</f>
        <v>1</v>
      </c>
      <c r="Q2093" s="93" t="str">
        <f>VLOOKUP(E2093,DATABASE!C:Q,4,false)</f>
        <v>GT</v>
      </c>
      <c r="R2093" s="93" t="str">
        <f>VLOOKUP(E2093,DATABASE!C:Q,11,false)</f>
        <v>Tire</v>
      </c>
    </row>
    <row r="2094" ht="22.5" customHeight="1">
      <c r="A2094" s="49"/>
      <c r="C2094" s="384">
        <v>45764.0</v>
      </c>
      <c r="D2094" s="65">
        <v>5285.0</v>
      </c>
      <c r="E2094" s="385" t="s">
        <v>299</v>
      </c>
      <c r="F2094" s="386">
        <v>2.0</v>
      </c>
      <c r="G2094" s="74">
        <v>30000.0</v>
      </c>
      <c r="H2094" s="74">
        <v>0.0</v>
      </c>
      <c r="I2094" s="74">
        <f t="shared" si="1"/>
        <v>60000</v>
      </c>
      <c r="J2094" s="74">
        <f>IF(E2094="SERVICE",I2094-(I2094*50%),Vlookup(E2094,DATABASE!C:Q,10,false)*F2094)</f>
        <v>0</v>
      </c>
      <c r="K2094" s="74">
        <v>0.0</v>
      </c>
      <c r="L2094" s="74">
        <v>0.0</v>
      </c>
      <c r="M2094" s="74">
        <f t="shared" si="2"/>
        <v>0</v>
      </c>
      <c r="N2094" s="74">
        <f t="shared" si="3"/>
        <v>60000</v>
      </c>
      <c r="O2094" s="65" t="str">
        <f>VLOOKUP(E2094,DATABASE!C:Q,8,false)</f>
        <v>BIAN</v>
      </c>
      <c r="P2094" s="65">
        <f>VLOOKUP(E2094,DATABASE!C:Q,9,False)</f>
        <v>0</v>
      </c>
      <c r="Q2094" s="93" t="str">
        <f>VLOOKUP(E2094,DATABASE!C:Q,4,false)</f>
        <v>Balancing</v>
      </c>
      <c r="R2094" s="93" t="str">
        <f>VLOOKUP(E2094,DATABASE!C:Q,11,false)</f>
        <v>COMPLEMENTARY</v>
      </c>
    </row>
    <row r="2095" ht="22.5" customHeight="1">
      <c r="A2095" s="49"/>
      <c r="C2095" s="384">
        <v>45765.0</v>
      </c>
      <c r="D2095" s="65">
        <v>5286.0</v>
      </c>
      <c r="E2095" s="445" t="s">
        <v>268</v>
      </c>
      <c r="F2095" s="386">
        <v>2.0</v>
      </c>
      <c r="G2095" s="74">
        <v>700000.0</v>
      </c>
      <c r="H2095" s="74">
        <v>0.0</v>
      </c>
      <c r="I2095" s="74">
        <f t="shared" si="1"/>
        <v>1400000</v>
      </c>
      <c r="J2095" s="74">
        <f>IF(E2095="SERVICE",I2095-(I2095*50%),Vlookup(E2095,DATABASE!C:Q,10,false)*F2095)</f>
        <v>0</v>
      </c>
      <c r="K2095" s="74">
        <v>613000.0</v>
      </c>
      <c r="L2095" s="74">
        <v>613000.0</v>
      </c>
      <c r="M2095" s="74">
        <f t="shared" si="2"/>
        <v>615000</v>
      </c>
      <c r="N2095" s="74">
        <f t="shared" si="3"/>
        <v>170000</v>
      </c>
      <c r="O2095" s="65" t="str">
        <f>VLOOKUP(E2095,DATABASE!C:Q,8,false)</f>
        <v>IBU</v>
      </c>
      <c r="P2095" s="65">
        <f>VLOOKUP(E2095,DATABASE!C:Q,9,False)</f>
        <v>1</v>
      </c>
      <c r="Q2095" s="93" t="str">
        <f>VLOOKUP(E2095,DATABASE!C:Q,4,false)</f>
        <v>Dunlop</v>
      </c>
      <c r="R2095" s="93" t="str">
        <f>VLOOKUP(E2095,DATABASE!C:Q,11,false)</f>
        <v>Tire</v>
      </c>
    </row>
    <row r="2096" ht="22.5" customHeight="1">
      <c r="A2096" s="49"/>
      <c r="C2096" s="384">
        <v>45765.0</v>
      </c>
      <c r="D2096" s="65">
        <v>5286.0</v>
      </c>
      <c r="E2096" s="385" t="s">
        <v>305</v>
      </c>
      <c r="F2096" s="386">
        <v>2.0</v>
      </c>
      <c r="G2096" s="74">
        <v>235000.0</v>
      </c>
      <c r="H2096" s="74">
        <v>0.0</v>
      </c>
      <c r="I2096" s="74">
        <f t="shared" si="1"/>
        <v>470000</v>
      </c>
      <c r="J2096" s="74">
        <f>IF(E2096="SERVICE",I2096-(I2096*50%),Vlookup(E2096,DATABASE!C:Q,10,false)*F2096)</f>
        <v>80000</v>
      </c>
      <c r="K2096" s="74">
        <f>VLOOKUP(E2096,DATABASE!C:Q,7,false)</f>
        <v>158530.2</v>
      </c>
      <c r="L2096" s="74">
        <v>151890.0</v>
      </c>
      <c r="M2096" s="74">
        <f t="shared" si="2"/>
        <v>155000</v>
      </c>
      <c r="N2096" s="74">
        <f t="shared" si="3"/>
        <v>80000</v>
      </c>
      <c r="O2096" s="65" t="str">
        <f>VLOOKUP(E2096,DATABASE!C:Q,8,false)</f>
        <v>BIAN</v>
      </c>
      <c r="P2096" s="65">
        <f>VLOOKUP(E2096,DATABASE!C:Q,9,False)</f>
        <v>1</v>
      </c>
      <c r="Q2096" s="93" t="str">
        <f>VLOOKUP(E2096,DATABASE!C:Q,4,false)</f>
        <v>Lower Arm</v>
      </c>
      <c r="R2096" s="93" t="str">
        <f>VLOOKUP(E2096,DATABASE!C:Q,11,false)</f>
        <v>COMPLEMENTARY</v>
      </c>
    </row>
    <row r="2097" ht="22.5" customHeight="1">
      <c r="A2097" s="49"/>
      <c r="C2097" s="384">
        <v>45765.0</v>
      </c>
      <c r="D2097" s="65">
        <v>5286.0</v>
      </c>
      <c r="E2097" s="445" t="s">
        <v>478</v>
      </c>
      <c r="F2097" s="386">
        <v>1.0</v>
      </c>
      <c r="G2097" s="74">
        <v>200000.0</v>
      </c>
      <c r="H2097" s="74">
        <v>0.0</v>
      </c>
      <c r="I2097" s="74">
        <f t="shared" si="1"/>
        <v>200000</v>
      </c>
      <c r="J2097" s="74">
        <f>IF(E2097="SERVICE",I2097-(I2097*50%),Vlookup(E2097,DATABASE!C:Q,10,false)*F2097)</f>
        <v>25000</v>
      </c>
      <c r="K2097" s="74">
        <f>VLOOKUP(E2097,DATABASE!C:Q,7,false)</f>
        <v>75000</v>
      </c>
      <c r="L2097" s="74">
        <v>75000.0</v>
      </c>
      <c r="M2097" s="74">
        <f t="shared" si="2"/>
        <v>75000</v>
      </c>
      <c r="N2097" s="74">
        <f t="shared" si="3"/>
        <v>100000</v>
      </c>
      <c r="O2097" s="65" t="str">
        <f>VLOOKUP(E2097,DATABASE!C:Q,8,false)</f>
        <v>BIAN</v>
      </c>
      <c r="P2097" s="65">
        <f>VLOOKUP(E2097,DATABASE!C:Q,9,False)</f>
        <v>0</v>
      </c>
      <c r="Q2097" s="93" t="str">
        <f>VLOOKUP(E2097,DATABASE!C:Q,4,false)</f>
        <v>Baut Camber ss-carry</v>
      </c>
      <c r="R2097" s="93" t="str">
        <f>VLOOKUP(E2097,DATABASE!C:Q,11,false)</f>
        <v>COMPLEMENTARY</v>
      </c>
    </row>
    <row r="2098" ht="22.5" customHeight="1">
      <c r="A2098" s="49"/>
      <c r="C2098" s="384">
        <v>45765.0</v>
      </c>
      <c r="D2098" s="65">
        <v>5286.0</v>
      </c>
      <c r="E2098" s="445" t="s">
        <v>262</v>
      </c>
      <c r="F2098" s="386">
        <v>1.0</v>
      </c>
      <c r="G2098" s="74">
        <v>110000.0</v>
      </c>
      <c r="H2098" s="74">
        <v>0.0</v>
      </c>
      <c r="I2098" s="74">
        <f t="shared" si="1"/>
        <v>110000</v>
      </c>
      <c r="J2098" s="74">
        <f>IF(E2098="SERVICE",I2098-(I2098*50%),Vlookup(E2098,DATABASE!C:Q,10,false)*F2098)</f>
        <v>5000</v>
      </c>
      <c r="K2098" s="74">
        <f>VLOOKUP(E2098,DATABASE!C:Q,7,false)</f>
        <v>0</v>
      </c>
      <c r="L2098" s="74">
        <v>0.0</v>
      </c>
      <c r="M2098" s="74">
        <f t="shared" si="2"/>
        <v>0</v>
      </c>
      <c r="N2098" s="74">
        <f t="shared" si="3"/>
        <v>105000</v>
      </c>
      <c r="O2098" s="65" t="str">
        <f>VLOOKUP(E2098,DATABASE!C:Q,8,false)</f>
        <v>IBU</v>
      </c>
      <c r="P2098" s="65">
        <f>VLOOKUP(E2098,DATABASE!C:Q,9,False)</f>
        <v>0</v>
      </c>
      <c r="Q2098" s="93" t="str">
        <f>VLOOKUP(E2098,DATABASE!C:Q,4,false)</f>
        <v>SPOORING SS/CARRY LOS BAK</v>
      </c>
      <c r="R2098" s="93" t="str">
        <f>VLOOKUP(E2098,DATABASE!C:Q,11,false)</f>
        <v>SERVICE</v>
      </c>
    </row>
    <row r="2099" ht="22.5" customHeight="1">
      <c r="A2099" s="49"/>
      <c r="C2099" s="384">
        <v>45765.0</v>
      </c>
      <c r="D2099" s="65">
        <v>5288.0</v>
      </c>
      <c r="E2099" s="385" t="s">
        <v>299</v>
      </c>
      <c r="F2099" s="386">
        <v>2.0</v>
      </c>
      <c r="G2099" s="74">
        <v>30000.0</v>
      </c>
      <c r="H2099" s="74">
        <v>0.0</v>
      </c>
      <c r="I2099" s="74">
        <f t="shared" si="1"/>
        <v>60000</v>
      </c>
      <c r="J2099" s="74">
        <f>IF(E2099="SERVICE",I2099-(I2099*50%),Vlookup(E2099,DATABASE!C:Q,10,false)*F2099)</f>
        <v>0</v>
      </c>
      <c r="K2099" s="74">
        <v>0.0</v>
      </c>
      <c r="L2099" s="74">
        <v>0.0</v>
      </c>
      <c r="M2099" s="74">
        <f t="shared" si="2"/>
        <v>0</v>
      </c>
      <c r="N2099" s="74">
        <f t="shared" si="3"/>
        <v>60000</v>
      </c>
      <c r="O2099" s="65" t="str">
        <f>VLOOKUP(E2099,DATABASE!C:Q,8,false)</f>
        <v>BIAN</v>
      </c>
      <c r="P2099" s="65">
        <f>VLOOKUP(E2099,DATABASE!C:Q,9,False)</f>
        <v>0</v>
      </c>
      <c r="Q2099" s="93" t="str">
        <f>VLOOKUP(E2099,DATABASE!C:Q,4,false)</f>
        <v>Balancing</v>
      </c>
      <c r="R2099" s="93" t="str">
        <f>VLOOKUP(E2099,DATABASE!C:Q,11,false)</f>
        <v>COMPLEMENTARY</v>
      </c>
    </row>
    <row r="2100" ht="22.5" customHeight="1">
      <c r="A2100" s="49"/>
      <c r="C2100" s="384">
        <v>45765.0</v>
      </c>
      <c r="D2100" s="65">
        <v>5288.0</v>
      </c>
      <c r="E2100" s="445" t="s">
        <v>256</v>
      </c>
      <c r="F2100" s="386">
        <v>1.0</v>
      </c>
      <c r="G2100" s="74">
        <v>130000.0</v>
      </c>
      <c r="H2100" s="74">
        <v>0.0</v>
      </c>
      <c r="I2100" s="74">
        <f t="shared" si="1"/>
        <v>130000</v>
      </c>
      <c r="J2100" s="74">
        <f>IF(E2100="SERVICE",I2100-(I2100*50%),Vlookup(E2100,DATABASE!C:Q,10,false)*F2100)</f>
        <v>10000</v>
      </c>
      <c r="K2100" s="74">
        <f>VLOOKUP(E2100,DATABASE!C:Q,7,false)</f>
        <v>0</v>
      </c>
      <c r="L2100" s="74">
        <v>0.0</v>
      </c>
      <c r="M2100" s="74">
        <f t="shared" si="2"/>
        <v>0</v>
      </c>
      <c r="N2100" s="74">
        <f t="shared" si="3"/>
        <v>120000</v>
      </c>
      <c r="O2100" s="65" t="str">
        <f>VLOOKUP(E2100,DATABASE!C:Q,8,false)</f>
        <v>IBU</v>
      </c>
      <c r="P2100" s="65">
        <f>VLOOKUP(E2100,DATABASE!C:Q,9,False)</f>
        <v>0</v>
      </c>
      <c r="Q2100" s="93" t="str">
        <f>VLOOKUP(E2100,DATABASE!C:Q,4,false)</f>
        <v>SPOORING</v>
      </c>
      <c r="R2100" s="93" t="str">
        <f>VLOOKUP(E2100,DATABASE!C:Q,11,false)</f>
        <v>SERVICE</v>
      </c>
    </row>
    <row r="2101" ht="22.5" customHeight="1">
      <c r="A2101" s="49"/>
      <c r="C2101" s="384">
        <v>45765.0</v>
      </c>
      <c r="D2101" s="65">
        <v>5288.0</v>
      </c>
      <c r="E2101" s="445" t="s">
        <v>301</v>
      </c>
      <c r="F2101" s="386">
        <v>1.0</v>
      </c>
      <c r="G2101" s="74">
        <v>250000.0</v>
      </c>
      <c r="H2101" s="74">
        <v>0.0</v>
      </c>
      <c r="I2101" s="74">
        <f t="shared" si="1"/>
        <v>250000</v>
      </c>
      <c r="J2101" s="74">
        <f>IF(E2101="SERVICE",I2101-(I2101*50%),Vlookup(E2101,DATABASE!C:Q,10,false)*F2101)</f>
        <v>75000</v>
      </c>
      <c r="K2101" s="74">
        <f>VLOOKUP(E2101,DATABASE!C:Q,7,false)</f>
        <v>75000</v>
      </c>
      <c r="L2101" s="74">
        <v>75000.0</v>
      </c>
      <c r="M2101" s="74">
        <f t="shared" si="2"/>
        <v>75000</v>
      </c>
      <c r="N2101" s="74">
        <f t="shared" si="3"/>
        <v>100000</v>
      </c>
      <c r="O2101" s="65" t="str">
        <f>VLOOKUP(E2101,DATABASE!C:Q,8,false)</f>
        <v>BIAN</v>
      </c>
      <c r="P2101" s="65">
        <f>VLOOKUP(E2101,DATABASE!C:Q,9,False)</f>
        <v>0</v>
      </c>
      <c r="Q2101" s="93" t="str">
        <f>VLOOKUP(E2101,DATABASE!C:Q,4,false)</f>
        <v>Baut Camber</v>
      </c>
      <c r="R2101" s="93" t="str">
        <f>VLOOKUP(E2101,DATABASE!C:Q,11,false)</f>
        <v>COMPLEMENTARY</v>
      </c>
    </row>
    <row r="2102" ht="22.5" customHeight="1">
      <c r="A2102" s="49"/>
      <c r="C2102" s="384">
        <v>45765.0</v>
      </c>
      <c r="D2102" s="65">
        <v>5289.0</v>
      </c>
      <c r="E2102" s="445" t="s">
        <v>687</v>
      </c>
      <c r="F2102" s="386">
        <v>2.0</v>
      </c>
      <c r="G2102" s="74">
        <v>1050000.0</v>
      </c>
      <c r="H2102" s="74">
        <v>0.0</v>
      </c>
      <c r="I2102" s="74">
        <f t="shared" si="1"/>
        <v>2100000</v>
      </c>
      <c r="J2102" s="74">
        <f>IF(E2102="SERVICE",I2102-(I2102*50%),Vlookup(E2102,DATABASE!C:Q,10,false)*F2102)</f>
        <v>0</v>
      </c>
      <c r="K2102" s="74">
        <f>VLOOKUP(E2102,DATABASE!C:Q,7,false)</f>
        <v>959000</v>
      </c>
      <c r="L2102" s="74">
        <v>949000.0</v>
      </c>
      <c r="M2102" s="74">
        <f t="shared" si="2"/>
        <v>950000</v>
      </c>
      <c r="N2102" s="74">
        <f t="shared" si="3"/>
        <v>200000</v>
      </c>
      <c r="O2102" s="65" t="str">
        <f>VLOOKUP(E2102,DATABASE!C:Q,8,false)</f>
        <v>IBU</v>
      </c>
      <c r="P2102" s="65">
        <f>VLOOKUP(E2102,DATABASE!C:Q,9,False)</f>
        <v>1</v>
      </c>
      <c r="Q2102" s="93" t="str">
        <f>VLOOKUP(E2102,DATABASE!C:Q,4,false)</f>
        <v>Dunlop</v>
      </c>
      <c r="R2102" s="93" t="str">
        <f>VLOOKUP(E2102,DATABASE!C:Q,11,false)</f>
        <v>Tire</v>
      </c>
    </row>
    <row r="2103" ht="22.5" customHeight="1">
      <c r="A2103" s="49"/>
      <c r="C2103" s="384">
        <v>45765.0</v>
      </c>
      <c r="D2103" s="65">
        <v>5290.0</v>
      </c>
      <c r="E2103" s="445" t="s">
        <v>737</v>
      </c>
      <c r="F2103" s="386">
        <v>1.0</v>
      </c>
      <c r="G2103" s="74">
        <v>260000.0</v>
      </c>
      <c r="H2103" s="74">
        <v>0.0</v>
      </c>
      <c r="I2103" s="74">
        <f t="shared" si="1"/>
        <v>260000</v>
      </c>
      <c r="J2103" s="74">
        <f>IF(E2103="SERVICE",I2103-(I2103*50%),Vlookup(E2103,DATABASE!C:Q,10,false)*F2103)</f>
        <v>0</v>
      </c>
      <c r="K2103" s="74">
        <f>VLOOKUP(E2103,DATABASE!C:Q,7,false)</f>
        <v>241001.6</v>
      </c>
      <c r="L2103" s="74">
        <v>237440.0</v>
      </c>
      <c r="M2103" s="74">
        <f t="shared" si="2"/>
        <v>240000</v>
      </c>
      <c r="N2103" s="74">
        <f t="shared" si="3"/>
        <v>20000</v>
      </c>
      <c r="O2103" s="65" t="str">
        <f>VLOOKUP(E2103,DATABASE!C:Q,8,false)</f>
        <v>IBU</v>
      </c>
      <c r="P2103" s="65">
        <f>VLOOKUP(E2103,DATABASE!C:Q,9,False)</f>
        <v>1</v>
      </c>
      <c r="Q2103" s="93" t="str">
        <f>VLOOKUP(E2103,DATABASE!C:Q,4,false)</f>
        <v>BD</v>
      </c>
      <c r="R2103" s="93" t="str">
        <f>VLOOKUP(E2103,DATABASE!C:Q,11,false)</f>
        <v>Tire</v>
      </c>
    </row>
    <row r="2104" ht="22.5" customHeight="1">
      <c r="A2104" s="49"/>
      <c r="C2104" s="384">
        <v>45765.0</v>
      </c>
      <c r="D2104" s="65">
        <v>5291.0</v>
      </c>
      <c r="E2104" s="445" t="s">
        <v>1507</v>
      </c>
      <c r="F2104" s="386">
        <v>1.0</v>
      </c>
      <c r="G2104" s="74">
        <v>680000.0</v>
      </c>
      <c r="H2104" s="74">
        <v>0.0</v>
      </c>
      <c r="I2104" s="74">
        <f t="shared" si="1"/>
        <v>680000</v>
      </c>
      <c r="J2104" s="74">
        <f>IF(E2104="SERVICE",I2104-(I2104*50%),Vlookup(E2104,DATABASE!C:Q,10,false)*F2104)</f>
        <v>0</v>
      </c>
      <c r="K2104" s="74">
        <f>VLOOKUP(E2104,DATABASE!C:Q,7,false)</f>
        <v>638500</v>
      </c>
      <c r="L2104" s="74">
        <v>638500.0</v>
      </c>
      <c r="M2104" s="74">
        <f t="shared" si="2"/>
        <v>640000</v>
      </c>
      <c r="N2104" s="74">
        <f t="shared" si="3"/>
        <v>40000</v>
      </c>
      <c r="O2104" s="65" t="str">
        <f>VLOOKUP(E2104,DATABASE!C:Q,8,false)</f>
        <v>IBU</v>
      </c>
      <c r="P2104" s="65">
        <f>VLOOKUP(E2104,DATABASE!C:Q,9,False)</f>
        <v>1</v>
      </c>
      <c r="Q2104" s="93" t="str">
        <f>VLOOKUP(E2104,DATABASE!C:Q,4,false)</f>
        <v>Dunlop</v>
      </c>
      <c r="R2104" s="93" t="str">
        <f>VLOOKUP(E2104,DATABASE!C:Q,11,false)</f>
        <v>Tire</v>
      </c>
    </row>
    <row r="2105" ht="22.5" customHeight="1">
      <c r="A2105" s="49"/>
      <c r="C2105" s="384">
        <v>45765.0</v>
      </c>
      <c r="D2105" s="65">
        <v>5292.0</v>
      </c>
      <c r="E2105" s="445" t="s">
        <v>1597</v>
      </c>
      <c r="F2105" s="386">
        <v>1.0</v>
      </c>
      <c r="G2105" s="74">
        <v>640000.0</v>
      </c>
      <c r="H2105" s="74">
        <v>0.0</v>
      </c>
      <c r="I2105" s="74">
        <f t="shared" si="1"/>
        <v>640000</v>
      </c>
      <c r="J2105" s="74">
        <f>IF(E2105="SERVICE",I2105-(I2105*50%),Vlookup(E2105,DATABASE!C:Q,10,false)*F2105)</f>
        <v>0</v>
      </c>
      <c r="K2105" s="74">
        <f>VLOOKUP(E2105,DATABASE!C:Q,7,false)</f>
        <v>560700</v>
      </c>
      <c r="L2105" s="74">
        <v>544300.0</v>
      </c>
      <c r="M2105" s="74">
        <f t="shared" si="2"/>
        <v>545000</v>
      </c>
      <c r="N2105" s="74">
        <f t="shared" si="3"/>
        <v>95000</v>
      </c>
      <c r="O2105" s="65" t="str">
        <f>VLOOKUP(E2105,DATABASE!C:Q,8,false)</f>
        <v>BIAN</v>
      </c>
      <c r="P2105" s="65">
        <f>VLOOKUP(E2105,DATABASE!C:Q,9,False)</f>
        <v>1</v>
      </c>
      <c r="Q2105" s="93" t="str">
        <f>VLOOKUP(E2105,DATABASE!C:Q,4,false)</f>
        <v>GT</v>
      </c>
      <c r="R2105" s="93" t="str">
        <f>VLOOKUP(E2105,DATABASE!C:Q,11,false)</f>
        <v>Tire</v>
      </c>
    </row>
    <row r="2106" ht="22.5" customHeight="1">
      <c r="A2106" s="49"/>
      <c r="C2106" s="384">
        <v>45765.0</v>
      </c>
      <c r="D2106" s="65">
        <v>5293.0</v>
      </c>
      <c r="E2106" s="445" t="s">
        <v>1597</v>
      </c>
      <c r="F2106" s="386">
        <v>4.0</v>
      </c>
      <c r="G2106" s="74">
        <v>637500.0</v>
      </c>
      <c r="H2106" s="74">
        <v>0.0</v>
      </c>
      <c r="I2106" s="74">
        <f t="shared" si="1"/>
        <v>2550000</v>
      </c>
      <c r="J2106" s="74">
        <f>IF(E2106="SERVICE",I2106-(I2106*50%),Vlookup(E2106,DATABASE!C:Q,10,false)*F2106)</f>
        <v>0</v>
      </c>
      <c r="K2106" s="74">
        <f>VLOOKUP(E2106,DATABASE!C:Q,7,false)</f>
        <v>560700</v>
      </c>
      <c r="L2106" s="74">
        <v>544300.0</v>
      </c>
      <c r="M2106" s="74">
        <f t="shared" si="2"/>
        <v>545000</v>
      </c>
      <c r="N2106" s="74">
        <f t="shared" si="3"/>
        <v>370000</v>
      </c>
      <c r="O2106" s="65" t="str">
        <f>VLOOKUP(E2106,DATABASE!C:Q,8,false)</f>
        <v>BIAN</v>
      </c>
      <c r="P2106" s="65">
        <f>VLOOKUP(E2106,DATABASE!C:Q,9,False)</f>
        <v>1</v>
      </c>
      <c r="Q2106" s="93" t="str">
        <f>VLOOKUP(E2106,DATABASE!C:Q,4,false)</f>
        <v>GT</v>
      </c>
      <c r="R2106" s="93" t="str">
        <f>VLOOKUP(E2106,DATABASE!C:Q,11,false)</f>
        <v>Tire</v>
      </c>
    </row>
    <row r="2107" ht="22.5" customHeight="1">
      <c r="A2107" s="49"/>
      <c r="C2107" s="384">
        <v>45765.0</v>
      </c>
      <c r="D2107" s="65">
        <v>5294.0</v>
      </c>
      <c r="E2107" s="445" t="s">
        <v>737</v>
      </c>
      <c r="F2107" s="386">
        <v>1.0</v>
      </c>
      <c r="G2107" s="74">
        <v>270000.0</v>
      </c>
      <c r="H2107" s="74">
        <v>0.0</v>
      </c>
      <c r="I2107" s="74">
        <f t="shared" si="1"/>
        <v>270000</v>
      </c>
      <c r="J2107" s="74">
        <f>IF(E2107="SERVICE",I2107-(I2107*50%),Vlookup(E2107,DATABASE!C:Q,10,false)*F2107)</f>
        <v>0</v>
      </c>
      <c r="K2107" s="74">
        <f>VLOOKUP(E2107,DATABASE!C:Q,7,false)</f>
        <v>241001.6</v>
      </c>
      <c r="L2107" s="74">
        <v>237440.0</v>
      </c>
      <c r="M2107" s="74">
        <f t="shared" si="2"/>
        <v>240000</v>
      </c>
      <c r="N2107" s="74">
        <f t="shared" si="3"/>
        <v>30000</v>
      </c>
      <c r="O2107" s="65" t="str">
        <f>VLOOKUP(E2107,DATABASE!C:Q,8,false)</f>
        <v>IBU</v>
      </c>
      <c r="P2107" s="65">
        <f>VLOOKUP(E2107,DATABASE!C:Q,9,False)</f>
        <v>1</v>
      </c>
      <c r="Q2107" s="93" t="str">
        <f>VLOOKUP(E2107,DATABASE!C:Q,4,false)</f>
        <v>BD</v>
      </c>
      <c r="R2107" s="93" t="str">
        <f>VLOOKUP(E2107,DATABASE!C:Q,11,false)</f>
        <v>Tire</v>
      </c>
    </row>
    <row r="2108" ht="22.5" customHeight="1">
      <c r="A2108" s="49"/>
      <c r="C2108" s="384">
        <v>45765.0</v>
      </c>
      <c r="D2108" s="65">
        <v>5294.0</v>
      </c>
      <c r="E2108" s="445" t="s">
        <v>821</v>
      </c>
      <c r="F2108" s="386">
        <v>2.0</v>
      </c>
      <c r="G2108" s="74">
        <v>80000.0</v>
      </c>
      <c r="H2108" s="74">
        <v>0.0</v>
      </c>
      <c r="I2108" s="74">
        <f t="shared" si="1"/>
        <v>160000</v>
      </c>
      <c r="J2108" s="74">
        <f>IF(E2108="SERVICE",I2108-(I2108*50%),Vlookup(E2108,DATABASE!C:Q,10,false)*F2108)</f>
        <v>0</v>
      </c>
      <c r="K2108" s="74">
        <f>VLOOKUP(E2108,DATABASE!C:Q,7,false)</f>
        <v>43500</v>
      </c>
      <c r="L2108" s="74">
        <v>43520.0</v>
      </c>
      <c r="M2108" s="74">
        <f t="shared" si="2"/>
        <v>45000</v>
      </c>
      <c r="N2108" s="74">
        <f t="shared" si="3"/>
        <v>70000</v>
      </c>
      <c r="O2108" s="65" t="str">
        <f>VLOOKUP(E2108,DATABASE!C:Q,8,false)</f>
        <v>BIAN</v>
      </c>
      <c r="P2108" s="65">
        <f>VLOOKUP(E2108,DATABASE!C:Q,9,False)</f>
        <v>1</v>
      </c>
      <c r="Q2108" s="93" t="str">
        <f>VLOOKUP(E2108,DATABASE!C:Q,4,false)</f>
        <v>Flap</v>
      </c>
      <c r="R2108" s="93" t="str">
        <f>VLOOKUP(E2108,DATABASE!C:Q,11,false)</f>
        <v>Tire</v>
      </c>
    </row>
    <row r="2109" ht="22.5" customHeight="1">
      <c r="A2109" s="49"/>
      <c r="C2109" s="384">
        <v>45765.0</v>
      </c>
      <c r="D2109" s="65">
        <v>5295.0</v>
      </c>
      <c r="E2109" s="385" t="s">
        <v>299</v>
      </c>
      <c r="F2109" s="386">
        <v>2.0</v>
      </c>
      <c r="G2109" s="74">
        <v>30000.0</v>
      </c>
      <c r="H2109" s="74">
        <v>0.0</v>
      </c>
      <c r="I2109" s="74">
        <f t="shared" si="1"/>
        <v>60000</v>
      </c>
      <c r="J2109" s="74">
        <f>IF(E2109="SERVICE",I2109-(I2109*50%),Vlookup(E2109,DATABASE!C:Q,10,false)*F2109)</f>
        <v>0</v>
      </c>
      <c r="K2109" s="74">
        <v>0.0</v>
      </c>
      <c r="L2109" s="74">
        <v>0.0</v>
      </c>
      <c r="M2109" s="74">
        <f t="shared" si="2"/>
        <v>0</v>
      </c>
      <c r="N2109" s="74">
        <f t="shared" si="3"/>
        <v>60000</v>
      </c>
      <c r="O2109" s="65" t="str">
        <f>VLOOKUP(E2109,DATABASE!C:Q,8,false)</f>
        <v>BIAN</v>
      </c>
      <c r="P2109" s="65">
        <f>VLOOKUP(E2109,DATABASE!C:Q,9,False)</f>
        <v>0</v>
      </c>
      <c r="Q2109" s="93" t="str">
        <f>VLOOKUP(E2109,DATABASE!C:Q,4,false)</f>
        <v>Balancing</v>
      </c>
      <c r="R2109" s="93" t="str">
        <f>VLOOKUP(E2109,DATABASE!C:Q,11,false)</f>
        <v>COMPLEMENTARY</v>
      </c>
    </row>
    <row r="2110" ht="22.5" customHeight="1">
      <c r="A2110" s="49"/>
      <c r="C2110" s="384">
        <v>45765.0</v>
      </c>
      <c r="D2110" s="65">
        <v>5295.0</v>
      </c>
      <c r="E2110" s="445" t="s">
        <v>256</v>
      </c>
      <c r="F2110" s="386">
        <v>1.0</v>
      </c>
      <c r="G2110" s="74">
        <v>130000.0</v>
      </c>
      <c r="H2110" s="74">
        <v>0.0</v>
      </c>
      <c r="I2110" s="74">
        <f t="shared" si="1"/>
        <v>130000</v>
      </c>
      <c r="J2110" s="74">
        <f>IF(E2110="SERVICE",I2110-(I2110*50%),Vlookup(E2110,DATABASE!C:Q,10,false)*F2110)</f>
        <v>10000</v>
      </c>
      <c r="K2110" s="74">
        <f>VLOOKUP(E2110,DATABASE!C:Q,7,false)</f>
        <v>0</v>
      </c>
      <c r="L2110" s="74">
        <v>0.0</v>
      </c>
      <c r="M2110" s="74">
        <f t="shared" si="2"/>
        <v>0</v>
      </c>
      <c r="N2110" s="74">
        <f t="shared" si="3"/>
        <v>120000</v>
      </c>
      <c r="O2110" s="65" t="str">
        <f>VLOOKUP(E2110,DATABASE!C:Q,8,false)</f>
        <v>IBU</v>
      </c>
      <c r="P2110" s="65">
        <f>VLOOKUP(E2110,DATABASE!C:Q,9,False)</f>
        <v>0</v>
      </c>
      <c r="Q2110" s="93" t="str">
        <f>VLOOKUP(E2110,DATABASE!C:Q,4,false)</f>
        <v>SPOORING</v>
      </c>
      <c r="R2110" s="93" t="str">
        <f>VLOOKUP(E2110,DATABASE!C:Q,11,false)</f>
        <v>SERVICE</v>
      </c>
    </row>
    <row r="2111" ht="22.5" customHeight="1">
      <c r="A2111" s="49"/>
      <c r="C2111" s="384">
        <v>45765.0</v>
      </c>
      <c r="D2111" s="65">
        <v>5295.0</v>
      </c>
      <c r="E2111" s="445" t="s">
        <v>301</v>
      </c>
      <c r="F2111" s="386">
        <v>1.0</v>
      </c>
      <c r="G2111" s="74">
        <v>250000.0</v>
      </c>
      <c r="H2111" s="74">
        <v>0.0</v>
      </c>
      <c r="I2111" s="74">
        <f t="shared" si="1"/>
        <v>250000</v>
      </c>
      <c r="J2111" s="74">
        <f>IF(E2111="SERVICE",I2111-(I2111*50%),Vlookup(E2111,DATABASE!C:Q,10,false)*F2111)</f>
        <v>75000</v>
      </c>
      <c r="K2111" s="74">
        <f>VLOOKUP(E2111,DATABASE!C:Q,7,false)</f>
        <v>75000</v>
      </c>
      <c r="L2111" s="74">
        <v>75000.0</v>
      </c>
      <c r="M2111" s="74">
        <f t="shared" si="2"/>
        <v>75000</v>
      </c>
      <c r="N2111" s="74">
        <f t="shared" si="3"/>
        <v>100000</v>
      </c>
      <c r="O2111" s="65" t="str">
        <f>VLOOKUP(E2111,DATABASE!C:Q,8,false)</f>
        <v>BIAN</v>
      </c>
      <c r="P2111" s="65">
        <f>VLOOKUP(E2111,DATABASE!C:Q,9,False)</f>
        <v>0</v>
      </c>
      <c r="Q2111" s="93" t="str">
        <f>VLOOKUP(E2111,DATABASE!C:Q,4,false)</f>
        <v>Baut Camber</v>
      </c>
      <c r="R2111" s="93" t="str">
        <f>VLOOKUP(E2111,DATABASE!C:Q,11,false)</f>
        <v>COMPLEMENTARY</v>
      </c>
    </row>
    <row r="2112" ht="22.5" customHeight="1">
      <c r="A2112" s="49"/>
      <c r="C2112" s="384">
        <v>45765.0</v>
      </c>
      <c r="D2112" s="65">
        <v>5296.0</v>
      </c>
      <c r="E2112" s="445" t="s">
        <v>878</v>
      </c>
      <c r="F2112" s="386">
        <v>4.0</v>
      </c>
      <c r="G2112" s="74">
        <v>40000.0</v>
      </c>
      <c r="H2112" s="74">
        <v>0.0</v>
      </c>
      <c r="I2112" s="74">
        <f t="shared" si="1"/>
        <v>160000</v>
      </c>
      <c r="J2112" s="74">
        <f>IF(E2112="SERVICE",I2112-(I2112*50%),Vlookup(E2112,DATABASE!C:Q,10,false)*F2112)</f>
        <v>0</v>
      </c>
      <c r="K2112" s="74">
        <f>VLOOKUP(E2112,DATABASE!C:Q,7,false)</f>
        <v>0</v>
      </c>
      <c r="L2112" s="74">
        <v>0.0</v>
      </c>
      <c r="M2112" s="74">
        <f t="shared" si="2"/>
        <v>0</v>
      </c>
      <c r="N2112" s="74">
        <f t="shared" si="3"/>
        <v>160000</v>
      </c>
      <c r="O2112" s="65" t="str">
        <f>VLOOKUP(E2112,DATABASE!C:Q,8,false)</f>
        <v>IBU</v>
      </c>
      <c r="P2112" s="65">
        <f>VLOOKUP(E2112,DATABASE!C:Q,9,False)</f>
        <v>0</v>
      </c>
      <c r="Q2112" s="93" t="str">
        <f>VLOOKUP(E2112,DATABASE!C:Q,4,false)</f>
        <v>Bongkar Pasang 17</v>
      </c>
      <c r="R2112" s="93" t="str">
        <f>VLOOKUP(E2112,DATABASE!C:Q,11,false)</f>
        <v>SERVICE</v>
      </c>
    </row>
    <row r="2113" ht="22.5" customHeight="1">
      <c r="A2113" s="49"/>
      <c r="C2113" s="384">
        <v>45765.0</v>
      </c>
      <c r="D2113" s="65">
        <v>5299.0</v>
      </c>
      <c r="E2113" s="445" t="s">
        <v>614</v>
      </c>
      <c r="F2113" s="386">
        <v>4.0</v>
      </c>
      <c r="G2113" s="74">
        <v>850000.0</v>
      </c>
      <c r="H2113" s="74">
        <v>0.0</v>
      </c>
      <c r="I2113" s="74">
        <f t="shared" si="1"/>
        <v>3400000</v>
      </c>
      <c r="J2113" s="74">
        <f>IF(E2113="SERVICE",I2113-(I2113*50%),Vlookup(E2113,DATABASE!C:Q,10,false)*F2113)</f>
        <v>0</v>
      </c>
      <c r="K2113" s="74">
        <f>VLOOKUP(E2113,DATABASE!C:Q,7,false)</f>
        <v>754660.6</v>
      </c>
      <c r="L2113" s="74">
        <v>766438.4</v>
      </c>
      <c r="M2113" s="74">
        <f t="shared" si="2"/>
        <v>770000</v>
      </c>
      <c r="N2113" s="74">
        <f t="shared" si="3"/>
        <v>320000</v>
      </c>
      <c r="O2113" s="65" t="str">
        <f>VLOOKUP(E2113,DATABASE!C:Q,8,false)</f>
        <v>IBU</v>
      </c>
      <c r="P2113" s="65">
        <f>VLOOKUP(E2113,DATABASE!C:Q,9,False)</f>
        <v>1</v>
      </c>
      <c r="Q2113" s="93" t="str">
        <f>VLOOKUP(E2113,DATABASE!C:Q,4,false)</f>
        <v>Bridgestone</v>
      </c>
      <c r="R2113" s="93" t="str">
        <f>VLOOKUP(E2113,DATABASE!C:Q,11,false)</f>
        <v>Tire</v>
      </c>
    </row>
    <row r="2114" ht="22.5" customHeight="1">
      <c r="A2114" s="49"/>
      <c r="C2114" s="384">
        <v>45766.0</v>
      </c>
      <c r="D2114" s="65">
        <v>5300.0</v>
      </c>
      <c r="E2114" s="445" t="s">
        <v>1507</v>
      </c>
      <c r="F2114" s="386">
        <v>2.0</v>
      </c>
      <c r="G2114" s="74">
        <v>680000.0</v>
      </c>
      <c r="H2114" s="74">
        <v>0.0</v>
      </c>
      <c r="I2114" s="74">
        <f t="shared" si="1"/>
        <v>1360000</v>
      </c>
      <c r="J2114" s="74">
        <f>IF(E2114="SERVICE",I2114-(I2114*50%),Vlookup(E2114,DATABASE!C:Q,10,false)*F2114)</f>
        <v>0</v>
      </c>
      <c r="K2114" s="74">
        <f>VLOOKUP(E2114,DATABASE!C:Q,7,false)</f>
        <v>638500</v>
      </c>
      <c r="L2114" s="74">
        <v>638500.0</v>
      </c>
      <c r="M2114" s="74">
        <f t="shared" si="2"/>
        <v>640000</v>
      </c>
      <c r="N2114" s="74">
        <f t="shared" si="3"/>
        <v>80000</v>
      </c>
      <c r="O2114" s="65" t="str">
        <f>VLOOKUP(E2114,DATABASE!C:Q,8,false)</f>
        <v>IBU</v>
      </c>
      <c r="P2114" s="65">
        <f>VLOOKUP(E2114,DATABASE!C:Q,9,False)</f>
        <v>1</v>
      </c>
      <c r="Q2114" s="93" t="str">
        <f>VLOOKUP(E2114,DATABASE!C:Q,4,false)</f>
        <v>Dunlop</v>
      </c>
      <c r="R2114" s="93" t="str">
        <f>VLOOKUP(E2114,DATABASE!C:Q,11,false)</f>
        <v>Tire</v>
      </c>
    </row>
    <row r="2115" ht="22.5" customHeight="1">
      <c r="A2115" s="49"/>
      <c r="C2115" s="384">
        <v>45766.0</v>
      </c>
      <c r="D2115" s="65">
        <v>5300.0</v>
      </c>
      <c r="E2115" s="445" t="s">
        <v>622</v>
      </c>
      <c r="F2115" s="386">
        <v>2.0</v>
      </c>
      <c r="G2115" s="74">
        <v>915000.0</v>
      </c>
      <c r="H2115" s="74">
        <v>0.0</v>
      </c>
      <c r="I2115" s="74">
        <f t="shared" si="1"/>
        <v>1830000</v>
      </c>
      <c r="J2115" s="74">
        <f>IF(E2115="SERVICE",I2115-(I2115*50%),Vlookup(E2115,DATABASE!C:Q,10,false)*F2115)</f>
        <v>0</v>
      </c>
      <c r="K2115" s="74">
        <f>VLOOKUP(E2115,DATABASE!C:Q,7,false)</f>
        <v>851110.375</v>
      </c>
      <c r="L2115" s="74">
        <v>810342.44</v>
      </c>
      <c r="M2115" s="74">
        <f t="shared" si="2"/>
        <v>815000</v>
      </c>
      <c r="N2115" s="74">
        <f t="shared" si="3"/>
        <v>200000</v>
      </c>
      <c r="O2115" s="65" t="str">
        <f>VLOOKUP(E2115,DATABASE!C:Q,8,false)</f>
        <v>IBU</v>
      </c>
      <c r="P2115" s="65">
        <f>VLOOKUP(E2115,DATABASE!C:Q,9,False)</f>
        <v>1</v>
      </c>
      <c r="Q2115" s="93" t="str">
        <f>VLOOKUP(E2115,DATABASE!C:Q,4,false)</f>
        <v>Bridgestone</v>
      </c>
      <c r="R2115" s="93" t="str">
        <f>VLOOKUP(E2115,DATABASE!C:Q,11,false)</f>
        <v>Tire</v>
      </c>
    </row>
    <row r="2116" ht="22.5" customHeight="1">
      <c r="A2116" s="49"/>
      <c r="C2116" s="384">
        <v>45766.0</v>
      </c>
      <c r="D2116" s="65">
        <v>5301.0</v>
      </c>
      <c r="E2116" s="445" t="s">
        <v>924</v>
      </c>
      <c r="F2116" s="386">
        <v>2.0</v>
      </c>
      <c r="G2116" s="74">
        <v>1750000.0</v>
      </c>
      <c r="H2116" s="74">
        <v>0.0</v>
      </c>
      <c r="I2116" s="74">
        <f t="shared" si="1"/>
        <v>3500000</v>
      </c>
      <c r="J2116" s="74">
        <f>IF(E2116="SERVICE",I2116-(I2116*50%),Vlookup(E2116,DATABASE!C:Q,10,false)*F2116)</f>
        <v>0</v>
      </c>
      <c r="K2116" s="74">
        <f>VLOOKUP(E2116,DATABASE!C:Q,7,false)</f>
        <v>1560000</v>
      </c>
      <c r="L2116" s="74">
        <v>1545000.0</v>
      </c>
      <c r="M2116" s="74">
        <f t="shared" si="2"/>
        <v>1545000</v>
      </c>
      <c r="N2116" s="74">
        <f t="shared" si="3"/>
        <v>410000</v>
      </c>
      <c r="O2116" s="65" t="str">
        <f>VLOOKUP(E2116,DATABASE!C:Q,8,false)</f>
        <v>BIAN</v>
      </c>
      <c r="P2116" s="65">
        <f>VLOOKUP(E2116,DATABASE!C:Q,9,False)</f>
        <v>1</v>
      </c>
      <c r="Q2116" s="93" t="str">
        <f>VLOOKUP(E2116,DATABASE!C:Q,4,false)</f>
        <v>TIRON</v>
      </c>
      <c r="R2116" s="93" t="str">
        <f>VLOOKUP(E2116,DATABASE!C:Q,11,false)</f>
        <v>Tire</v>
      </c>
    </row>
    <row r="2117" ht="22.5" customHeight="1">
      <c r="A2117" s="49"/>
      <c r="C2117" s="384">
        <v>45766.0</v>
      </c>
      <c r="D2117" s="65">
        <v>5302.0</v>
      </c>
      <c r="E2117" s="445" t="s">
        <v>256</v>
      </c>
      <c r="F2117" s="386">
        <v>1.0</v>
      </c>
      <c r="G2117" s="74">
        <v>130000.0</v>
      </c>
      <c r="H2117" s="74">
        <v>0.0</v>
      </c>
      <c r="I2117" s="74">
        <f t="shared" si="1"/>
        <v>130000</v>
      </c>
      <c r="J2117" s="74">
        <f>IF(E2117="SERVICE",I2117-(I2117*50%),Vlookup(E2117,DATABASE!C:Q,10,false)*F2117)</f>
        <v>10000</v>
      </c>
      <c r="K2117" s="74">
        <f>VLOOKUP(E2117,DATABASE!C:Q,7,false)</f>
        <v>0</v>
      </c>
      <c r="L2117" s="74">
        <v>0.0</v>
      </c>
      <c r="M2117" s="74">
        <f t="shared" si="2"/>
        <v>0</v>
      </c>
      <c r="N2117" s="74">
        <f t="shared" si="3"/>
        <v>120000</v>
      </c>
      <c r="O2117" s="65" t="str">
        <f>VLOOKUP(E2117,DATABASE!C:Q,8,false)</f>
        <v>IBU</v>
      </c>
      <c r="P2117" s="65">
        <f>VLOOKUP(E2117,DATABASE!C:Q,9,False)</f>
        <v>0</v>
      </c>
      <c r="Q2117" s="93" t="str">
        <f>VLOOKUP(E2117,DATABASE!C:Q,4,false)</f>
        <v>SPOORING</v>
      </c>
      <c r="R2117" s="93" t="str">
        <f>VLOOKUP(E2117,DATABASE!C:Q,11,false)</f>
        <v>SERVICE</v>
      </c>
    </row>
    <row r="2118" ht="22.5" customHeight="1">
      <c r="A2118" s="49"/>
      <c r="C2118" s="384">
        <v>45766.0</v>
      </c>
      <c r="D2118" s="65">
        <v>5302.0</v>
      </c>
      <c r="E2118" s="445" t="s">
        <v>301</v>
      </c>
      <c r="F2118" s="386">
        <v>1.0</v>
      </c>
      <c r="G2118" s="74">
        <v>250000.0</v>
      </c>
      <c r="H2118" s="74">
        <v>0.0</v>
      </c>
      <c r="I2118" s="74">
        <f t="shared" si="1"/>
        <v>250000</v>
      </c>
      <c r="J2118" s="74">
        <f>IF(E2118="SERVICE",I2118-(I2118*50%),Vlookup(E2118,DATABASE!C:Q,10,false)*F2118)</f>
        <v>75000</v>
      </c>
      <c r="K2118" s="74">
        <f>VLOOKUP(E2118,DATABASE!C:Q,7,false)</f>
        <v>75000</v>
      </c>
      <c r="L2118" s="74">
        <v>75000.0</v>
      </c>
      <c r="M2118" s="74">
        <f t="shared" si="2"/>
        <v>75000</v>
      </c>
      <c r="N2118" s="74">
        <f t="shared" si="3"/>
        <v>100000</v>
      </c>
      <c r="O2118" s="65" t="str">
        <f>VLOOKUP(E2118,DATABASE!C:Q,8,false)</f>
        <v>BIAN</v>
      </c>
      <c r="P2118" s="65">
        <f>VLOOKUP(E2118,DATABASE!C:Q,9,False)</f>
        <v>0</v>
      </c>
      <c r="Q2118" s="93" t="str">
        <f>VLOOKUP(E2118,DATABASE!C:Q,4,false)</f>
        <v>Baut Camber</v>
      </c>
      <c r="R2118" s="93" t="str">
        <f>VLOOKUP(E2118,DATABASE!C:Q,11,false)</f>
        <v>COMPLEMENTARY</v>
      </c>
    </row>
    <row r="2119" ht="22.5" customHeight="1">
      <c r="A2119" s="49"/>
      <c r="C2119" s="384">
        <v>45766.0</v>
      </c>
      <c r="D2119" s="65">
        <v>5302.0</v>
      </c>
      <c r="E2119" s="385" t="s">
        <v>299</v>
      </c>
      <c r="F2119" s="386">
        <v>2.0</v>
      </c>
      <c r="G2119" s="74">
        <v>30000.0</v>
      </c>
      <c r="H2119" s="74">
        <v>0.0</v>
      </c>
      <c r="I2119" s="74">
        <f t="shared" si="1"/>
        <v>60000</v>
      </c>
      <c r="J2119" s="74">
        <f>IF(E2119="SERVICE",I2119-(I2119*50%),Vlookup(E2119,DATABASE!C:Q,10,false)*F2119)</f>
        <v>0</v>
      </c>
      <c r="K2119" s="74">
        <v>0.0</v>
      </c>
      <c r="L2119" s="74">
        <v>0.0</v>
      </c>
      <c r="M2119" s="74">
        <f t="shared" si="2"/>
        <v>0</v>
      </c>
      <c r="N2119" s="74">
        <f t="shared" si="3"/>
        <v>60000</v>
      </c>
      <c r="O2119" s="65" t="str">
        <f>VLOOKUP(E2119,DATABASE!C:Q,8,false)</f>
        <v>BIAN</v>
      </c>
      <c r="P2119" s="65">
        <f>VLOOKUP(E2119,DATABASE!C:Q,9,False)</f>
        <v>0</v>
      </c>
      <c r="Q2119" s="93" t="str">
        <f>VLOOKUP(E2119,DATABASE!C:Q,4,false)</f>
        <v>Balancing</v>
      </c>
      <c r="R2119" s="93" t="str">
        <f>VLOOKUP(E2119,DATABASE!C:Q,11,false)</f>
        <v>COMPLEMENTARY</v>
      </c>
    </row>
    <row r="2120" ht="22.5" customHeight="1">
      <c r="A2120" s="49"/>
      <c r="C2120" s="384">
        <v>45766.0</v>
      </c>
      <c r="D2120" s="65">
        <v>5303.0</v>
      </c>
      <c r="E2120" s="445" t="s">
        <v>1807</v>
      </c>
      <c r="F2120" s="386">
        <v>1.0</v>
      </c>
      <c r="G2120" s="74">
        <v>585000.0</v>
      </c>
      <c r="H2120" s="74">
        <v>0.0</v>
      </c>
      <c r="I2120" s="74">
        <f t="shared" si="1"/>
        <v>585000</v>
      </c>
      <c r="J2120" s="74">
        <f>IF(E2120="SERVICE",I2120-(I2120*50%),Vlookup(E2120,DATABASE!C:Q,10,false)*F2120)</f>
        <v>0</v>
      </c>
      <c r="K2120" s="74">
        <f>VLOOKUP(E2120,DATABASE!C:Q,7,false)</f>
        <v>473000</v>
      </c>
      <c r="L2120" s="74">
        <v>473000.0</v>
      </c>
      <c r="M2120" s="74">
        <f t="shared" si="2"/>
        <v>475000</v>
      </c>
      <c r="N2120" s="74">
        <f t="shared" si="3"/>
        <v>110000</v>
      </c>
      <c r="O2120" s="65" t="str">
        <f>VLOOKUP(E2120,DATABASE!C:Q,8,false)</f>
        <v>BIAN</v>
      </c>
      <c r="P2120" s="65">
        <f>VLOOKUP(E2120,DATABASE!C:Q,9,False)</f>
        <v>1</v>
      </c>
      <c r="Q2120" s="93" t="str">
        <f>VLOOKUP(E2120,DATABASE!C:Q,4,false)</f>
        <v>G. YEAR</v>
      </c>
      <c r="R2120" s="93" t="str">
        <f>VLOOKUP(E2120,DATABASE!C:Q,11,false)</f>
        <v>Tire</v>
      </c>
    </row>
    <row r="2121" ht="22.5" customHeight="1">
      <c r="A2121" s="49"/>
      <c r="C2121" s="384">
        <v>45766.0</v>
      </c>
      <c r="D2121" s="65">
        <v>5305.0</v>
      </c>
      <c r="E2121" s="445" t="s">
        <v>271</v>
      </c>
      <c r="F2121" s="386">
        <v>1.0</v>
      </c>
      <c r="G2121" s="74">
        <v>630000.0</v>
      </c>
      <c r="H2121" s="74">
        <v>0.0</v>
      </c>
      <c r="I2121" s="74">
        <f t="shared" si="1"/>
        <v>630000</v>
      </c>
      <c r="J2121" s="74">
        <f>IF(E2121="SERVICE",I2121-(I2121*50%),Vlookup(E2121,DATABASE!C:Q,10,false)*F2121)</f>
        <v>0</v>
      </c>
      <c r="K2121" s="74">
        <f>VLOOKUP(E2121,DATABASE!C:Q,7,false)</f>
        <v>570000</v>
      </c>
      <c r="L2121" s="74">
        <v>539000.0</v>
      </c>
      <c r="M2121" s="74">
        <f t="shared" si="2"/>
        <v>540000</v>
      </c>
      <c r="N2121" s="74">
        <f t="shared" si="3"/>
        <v>90000</v>
      </c>
      <c r="O2121" s="65" t="str">
        <f>VLOOKUP(E2121,DATABASE!C:Q,8,false)</f>
        <v>IBU</v>
      </c>
      <c r="P2121" s="65">
        <f>VLOOKUP(E2121,DATABASE!C:Q,9,False)</f>
        <v>1</v>
      </c>
      <c r="Q2121" s="93" t="str">
        <f>VLOOKUP(E2121,DATABASE!C:Q,4,false)</f>
        <v>Dunlop</v>
      </c>
      <c r="R2121" s="93" t="str">
        <f>VLOOKUP(E2121,DATABASE!C:Q,11,false)</f>
        <v>Tire</v>
      </c>
    </row>
    <row r="2122" ht="22.5" customHeight="1">
      <c r="A2122" s="49"/>
      <c r="C2122" s="384">
        <v>45766.0</v>
      </c>
      <c r="D2122" s="65">
        <v>5306.0</v>
      </c>
      <c r="E2122" s="445" t="s">
        <v>937</v>
      </c>
      <c r="F2122" s="386">
        <v>1.0</v>
      </c>
      <c r="G2122" s="74">
        <v>900000.0</v>
      </c>
      <c r="H2122" s="74">
        <v>0.0</v>
      </c>
      <c r="I2122" s="74">
        <f t="shared" si="1"/>
        <v>900000</v>
      </c>
      <c r="J2122" s="74">
        <f>IF(E2122="SERVICE",I2122-(I2122*50%),Vlookup(E2122,DATABASE!C:Q,10,false)*F2122)</f>
        <v>0</v>
      </c>
      <c r="K2122" s="74">
        <f>VLOOKUP(E2122,DATABASE!C:Q,7,false)</f>
        <v>825000</v>
      </c>
      <c r="L2122" s="74">
        <v>790000.0</v>
      </c>
      <c r="M2122" s="74">
        <f t="shared" si="2"/>
        <v>790000</v>
      </c>
      <c r="N2122" s="74">
        <f t="shared" si="3"/>
        <v>110000</v>
      </c>
      <c r="O2122" s="65" t="str">
        <f>VLOOKUP(E2122,DATABASE!C:Q,8,false)</f>
        <v>IBU</v>
      </c>
      <c r="P2122" s="65">
        <f>VLOOKUP(E2122,DATABASE!C:Q,9,False)</f>
        <v>1</v>
      </c>
      <c r="Q2122" s="93" t="str">
        <f>VLOOKUP(E2122,DATABASE!C:Q,4,false)</f>
        <v>Bridgestone</v>
      </c>
      <c r="R2122" s="93" t="str">
        <f>VLOOKUP(E2122,DATABASE!C:Q,11,false)</f>
        <v>Tire</v>
      </c>
    </row>
    <row r="2123" ht="22.5" customHeight="1">
      <c r="A2123" s="49"/>
      <c r="C2123" s="384">
        <v>45766.0</v>
      </c>
      <c r="D2123" s="65">
        <v>5306.0</v>
      </c>
      <c r="E2123" s="445" t="s">
        <v>604</v>
      </c>
      <c r="F2123" s="386">
        <v>1.0</v>
      </c>
      <c r="G2123" s="74">
        <v>160000.0</v>
      </c>
      <c r="H2123" s="74">
        <v>0.0</v>
      </c>
      <c r="I2123" s="74">
        <f t="shared" si="1"/>
        <v>160000</v>
      </c>
      <c r="J2123" s="74">
        <f>IF(E2123="SERVICE",I2123-(I2123*50%),Vlookup(E2123,DATABASE!C:Q,10,false)*F2123)</f>
        <v>0</v>
      </c>
      <c r="K2123" s="74">
        <f>VLOOKUP(E2123,DATABASE!C:Q,7,false)</f>
        <v>124000</v>
      </c>
      <c r="L2123" s="74">
        <v>124000.0</v>
      </c>
      <c r="M2123" s="74">
        <f t="shared" si="2"/>
        <v>125000</v>
      </c>
      <c r="N2123" s="74">
        <f t="shared" si="3"/>
        <v>35000</v>
      </c>
      <c r="O2123" s="65" t="str">
        <f>VLOOKUP(E2123,DATABASE!C:Q,8,false)</f>
        <v>BIAN</v>
      </c>
      <c r="P2123" s="65">
        <f>VLOOKUP(E2123,DATABASE!C:Q,9,False)</f>
        <v>1</v>
      </c>
      <c r="Q2123" s="93" t="str">
        <f>VLOOKUP(E2123,DATABASE!C:Q,4,false)</f>
        <v>BD</v>
      </c>
      <c r="R2123" s="93" t="str">
        <f>VLOOKUP(E2123,DATABASE!C:Q,11,false)</f>
        <v>Tire</v>
      </c>
    </row>
    <row r="2124" ht="22.5" customHeight="1">
      <c r="A2124" s="49"/>
      <c r="C2124" s="384">
        <v>45766.0</v>
      </c>
      <c r="D2124" s="65">
        <v>5307.0</v>
      </c>
      <c r="E2124" s="445" t="s">
        <v>256</v>
      </c>
      <c r="F2124" s="386">
        <v>1.0</v>
      </c>
      <c r="G2124" s="74">
        <v>130000.0</v>
      </c>
      <c r="H2124" s="74">
        <v>0.0</v>
      </c>
      <c r="I2124" s="74">
        <f t="shared" si="1"/>
        <v>130000</v>
      </c>
      <c r="J2124" s="74">
        <f>IF(E2124="SERVICE",I2124-(I2124*50%),Vlookup(E2124,DATABASE!C:Q,10,false)*F2124)</f>
        <v>10000</v>
      </c>
      <c r="K2124" s="74">
        <f>VLOOKUP(E2124,DATABASE!C:Q,7,false)</f>
        <v>0</v>
      </c>
      <c r="L2124" s="74">
        <v>0.0</v>
      </c>
      <c r="M2124" s="74">
        <f t="shared" si="2"/>
        <v>0</v>
      </c>
      <c r="N2124" s="74">
        <f t="shared" si="3"/>
        <v>120000</v>
      </c>
      <c r="O2124" s="65" t="str">
        <f>VLOOKUP(E2124,DATABASE!C:Q,8,false)</f>
        <v>IBU</v>
      </c>
      <c r="P2124" s="65">
        <f>VLOOKUP(E2124,DATABASE!C:Q,9,False)</f>
        <v>0</v>
      </c>
      <c r="Q2124" s="93" t="str">
        <f>VLOOKUP(E2124,DATABASE!C:Q,4,false)</f>
        <v>SPOORING</v>
      </c>
      <c r="R2124" s="93" t="str">
        <f>VLOOKUP(E2124,DATABASE!C:Q,11,false)</f>
        <v>SERVICE</v>
      </c>
    </row>
    <row r="2125" ht="22.5" customHeight="1">
      <c r="A2125" s="49"/>
      <c r="C2125" s="384">
        <v>45766.0</v>
      </c>
      <c r="D2125" s="65">
        <v>5307.0</v>
      </c>
      <c r="E2125" s="445" t="s">
        <v>301</v>
      </c>
      <c r="F2125" s="386">
        <v>1.0</v>
      </c>
      <c r="G2125" s="74">
        <v>250000.0</v>
      </c>
      <c r="H2125" s="74">
        <v>0.0</v>
      </c>
      <c r="I2125" s="74">
        <f t="shared" si="1"/>
        <v>250000</v>
      </c>
      <c r="J2125" s="74">
        <f>IF(E2125="SERVICE",I2125-(I2125*50%),Vlookup(E2125,DATABASE!C:Q,10,false)*F2125)</f>
        <v>75000</v>
      </c>
      <c r="K2125" s="74">
        <f>VLOOKUP(E2125,DATABASE!C:Q,7,false)</f>
        <v>75000</v>
      </c>
      <c r="L2125" s="74">
        <v>75000.0</v>
      </c>
      <c r="M2125" s="74">
        <f t="shared" si="2"/>
        <v>75000</v>
      </c>
      <c r="N2125" s="74">
        <f t="shared" si="3"/>
        <v>100000</v>
      </c>
      <c r="O2125" s="65" t="str">
        <f>VLOOKUP(E2125,DATABASE!C:Q,8,false)</f>
        <v>BIAN</v>
      </c>
      <c r="P2125" s="65">
        <f>VLOOKUP(E2125,DATABASE!C:Q,9,False)</f>
        <v>0</v>
      </c>
      <c r="Q2125" s="93" t="str">
        <f>VLOOKUP(E2125,DATABASE!C:Q,4,false)</f>
        <v>Baut Camber</v>
      </c>
      <c r="R2125" s="93" t="str">
        <f>VLOOKUP(E2125,DATABASE!C:Q,11,false)</f>
        <v>COMPLEMENTARY</v>
      </c>
    </row>
    <row r="2126" ht="22.5" customHeight="1">
      <c r="A2126" s="49"/>
      <c r="C2126" s="384">
        <v>45766.0</v>
      </c>
      <c r="D2126" s="65">
        <v>5310.0</v>
      </c>
      <c r="E2126" s="445" t="s">
        <v>706</v>
      </c>
      <c r="F2126" s="386">
        <v>1.0</v>
      </c>
      <c r="G2126" s="74">
        <v>570000.0</v>
      </c>
      <c r="H2126" s="74">
        <v>0.0</v>
      </c>
      <c r="I2126" s="74">
        <f t="shared" si="1"/>
        <v>570000</v>
      </c>
      <c r="J2126" s="74">
        <f>IF(E2126="SERVICE",I2126-(I2126*50%),Vlookup(E2126,DATABASE!C:Q,10,false)*F2126)</f>
        <v>0</v>
      </c>
      <c r="K2126" s="74">
        <f>VLOOKUP(E2126,DATABASE!C:Q,7,false)</f>
        <v>485000</v>
      </c>
      <c r="L2126" s="74">
        <v>485000.0</v>
      </c>
      <c r="M2126" s="74">
        <f t="shared" si="2"/>
        <v>485000</v>
      </c>
      <c r="N2126" s="74">
        <f t="shared" si="3"/>
        <v>85000</v>
      </c>
      <c r="O2126" s="65" t="str">
        <f>VLOOKUP(E2126,DATABASE!C:Q,8,false)</f>
        <v>IBU</v>
      </c>
      <c r="P2126" s="65">
        <f>VLOOKUP(E2126,DATABASE!C:Q,9,False)</f>
        <v>1</v>
      </c>
      <c r="Q2126" s="93" t="str">
        <f>VLOOKUP(E2126,DATABASE!C:Q,4,false)</f>
        <v>Dunlop</v>
      </c>
      <c r="R2126" s="93" t="str">
        <f>VLOOKUP(E2126,DATABASE!C:Q,11,false)</f>
        <v>Tire</v>
      </c>
    </row>
    <row r="2127" ht="22.5" customHeight="1">
      <c r="A2127" s="49"/>
      <c r="C2127" s="384">
        <v>45766.0</v>
      </c>
      <c r="D2127" s="65">
        <v>5311.0</v>
      </c>
      <c r="E2127" s="445" t="s">
        <v>256</v>
      </c>
      <c r="F2127" s="386">
        <v>1.0</v>
      </c>
      <c r="G2127" s="74">
        <v>130000.0</v>
      </c>
      <c r="H2127" s="74">
        <v>0.0</v>
      </c>
      <c r="I2127" s="74">
        <f t="shared" si="1"/>
        <v>130000</v>
      </c>
      <c r="J2127" s="74">
        <f>IF(E2127="SERVICE",I2127-(I2127*50%),Vlookup(E2127,DATABASE!C:Q,10,false)*F2127)</f>
        <v>10000</v>
      </c>
      <c r="K2127" s="74">
        <f>VLOOKUP(E2127,DATABASE!C:Q,7,false)</f>
        <v>0</v>
      </c>
      <c r="L2127" s="74">
        <v>0.0</v>
      </c>
      <c r="M2127" s="74">
        <f t="shared" si="2"/>
        <v>0</v>
      </c>
      <c r="N2127" s="74">
        <f t="shared" si="3"/>
        <v>120000</v>
      </c>
      <c r="O2127" s="65" t="str">
        <f>VLOOKUP(E2127,DATABASE!C:Q,8,false)</f>
        <v>IBU</v>
      </c>
      <c r="P2127" s="65">
        <f>VLOOKUP(E2127,DATABASE!C:Q,9,False)</f>
        <v>0</v>
      </c>
      <c r="Q2127" s="93" t="str">
        <f>VLOOKUP(E2127,DATABASE!C:Q,4,false)</f>
        <v>SPOORING</v>
      </c>
      <c r="R2127" s="93" t="str">
        <f>VLOOKUP(E2127,DATABASE!C:Q,11,false)</f>
        <v>SERVICE</v>
      </c>
    </row>
    <row r="2128" ht="22.5" customHeight="1">
      <c r="A2128" s="49"/>
      <c r="C2128" s="384">
        <v>45766.0</v>
      </c>
      <c r="D2128" s="65">
        <v>5311.0</v>
      </c>
      <c r="E2128" s="445" t="s">
        <v>301</v>
      </c>
      <c r="F2128" s="386">
        <v>1.0</v>
      </c>
      <c r="G2128" s="74">
        <v>250000.0</v>
      </c>
      <c r="H2128" s="74">
        <v>0.0</v>
      </c>
      <c r="I2128" s="74">
        <f t="shared" si="1"/>
        <v>250000</v>
      </c>
      <c r="J2128" s="74">
        <f>IF(E2128="SERVICE",I2128-(I2128*50%),Vlookup(E2128,DATABASE!C:Q,10,false)*F2128)</f>
        <v>75000</v>
      </c>
      <c r="K2128" s="74">
        <f>VLOOKUP(E2128,DATABASE!C:Q,7,false)</f>
        <v>75000</v>
      </c>
      <c r="L2128" s="74">
        <v>75000.0</v>
      </c>
      <c r="M2128" s="74">
        <f t="shared" si="2"/>
        <v>75000</v>
      </c>
      <c r="N2128" s="74">
        <f t="shared" si="3"/>
        <v>100000</v>
      </c>
      <c r="O2128" s="65" t="str">
        <f>VLOOKUP(E2128,DATABASE!C:Q,8,false)</f>
        <v>BIAN</v>
      </c>
      <c r="P2128" s="65">
        <f>VLOOKUP(E2128,DATABASE!C:Q,9,False)</f>
        <v>0</v>
      </c>
      <c r="Q2128" s="93" t="str">
        <f>VLOOKUP(E2128,DATABASE!C:Q,4,false)</f>
        <v>Baut Camber</v>
      </c>
      <c r="R2128" s="93" t="str">
        <f>VLOOKUP(E2128,DATABASE!C:Q,11,false)</f>
        <v>COMPLEMENTARY</v>
      </c>
    </row>
    <row r="2129" ht="22.5" customHeight="1">
      <c r="A2129" s="49"/>
      <c r="C2129" s="384">
        <v>45767.0</v>
      </c>
      <c r="D2129" s="65">
        <v>5314.0</v>
      </c>
      <c r="E2129" s="445" t="s">
        <v>932</v>
      </c>
      <c r="F2129" s="386">
        <v>1.0</v>
      </c>
      <c r="G2129" s="74">
        <v>670000.0</v>
      </c>
      <c r="H2129" s="74">
        <v>0.0</v>
      </c>
      <c r="I2129" s="74">
        <f t="shared" si="1"/>
        <v>670000</v>
      </c>
      <c r="J2129" s="74">
        <f>IF(E2129="SERVICE",I2129-(I2129*50%),Vlookup(E2129,DATABASE!C:Q,10,false)*F2129)</f>
        <v>0</v>
      </c>
      <c r="K2129" s="74">
        <v>575000.0</v>
      </c>
      <c r="L2129" s="74">
        <v>575000.0</v>
      </c>
      <c r="M2129" s="74">
        <f t="shared" si="2"/>
        <v>575000</v>
      </c>
      <c r="N2129" s="74">
        <f t="shared" si="3"/>
        <v>95000</v>
      </c>
      <c r="O2129" s="65" t="str">
        <f>VLOOKUP(E2129,DATABASE!C:Q,8,false)</f>
        <v>IBU</v>
      </c>
      <c r="P2129" s="65">
        <f>VLOOKUP(E2129,DATABASE!C:Q,9,False)</f>
        <v>1</v>
      </c>
      <c r="Q2129" s="93" t="str">
        <f>VLOOKUP(E2129,DATABASE!C:Q,4,false)</f>
        <v>Dunlop</v>
      </c>
      <c r="R2129" s="93" t="str">
        <f>VLOOKUP(E2129,DATABASE!C:Q,11,false)</f>
        <v>Tire</v>
      </c>
    </row>
    <row r="2130" ht="22.5" customHeight="1">
      <c r="A2130" s="49"/>
      <c r="C2130" s="384">
        <v>45767.0</v>
      </c>
      <c r="D2130" s="65">
        <v>5314.0</v>
      </c>
      <c r="E2130" s="445" t="s">
        <v>1862</v>
      </c>
      <c r="F2130" s="386">
        <v>2.0</v>
      </c>
      <c r="G2130" s="74">
        <v>2125000.0</v>
      </c>
      <c r="H2130" s="74">
        <v>0.0</v>
      </c>
      <c r="I2130" s="74">
        <f t="shared" si="1"/>
        <v>4250000</v>
      </c>
      <c r="J2130" s="74">
        <f>IF(E2130="SERVICE",I2130-(I2130*50%),Vlookup(E2130,DATABASE!C:Q,10,false)*F2130)</f>
        <v>0</v>
      </c>
      <c r="K2130" s="74">
        <f>VLOOKUP(E2130,DATABASE!C:Q,7,false)</f>
        <v>2080000</v>
      </c>
      <c r="L2130" s="74">
        <v>2050000.0</v>
      </c>
      <c r="M2130" s="74">
        <f t="shared" si="2"/>
        <v>2050000</v>
      </c>
      <c r="N2130" s="74">
        <f t="shared" si="3"/>
        <v>150000</v>
      </c>
      <c r="O2130" s="65" t="str">
        <f>VLOOKUP(E2130,DATABASE!C:Q,8,false)</f>
        <v>BIAN</v>
      </c>
      <c r="P2130" s="65">
        <f>VLOOKUP(E2130,DATABASE!C:Q,9,False)</f>
        <v>1</v>
      </c>
      <c r="Q2130" s="93" t="str">
        <f>VLOOKUP(E2130,DATABASE!C:Q,4,false)</f>
        <v>GiTi</v>
      </c>
      <c r="R2130" s="93" t="str">
        <f>VLOOKUP(E2130,DATABASE!C:Q,11,false)</f>
        <v>Tire</v>
      </c>
    </row>
    <row r="2131" ht="22.5" customHeight="1">
      <c r="A2131" s="49"/>
      <c r="C2131" s="384">
        <v>45767.0</v>
      </c>
      <c r="D2131" s="65">
        <v>5315.0</v>
      </c>
      <c r="E2131" s="445" t="s">
        <v>889</v>
      </c>
      <c r="F2131" s="386">
        <v>4.0</v>
      </c>
      <c r="G2131" s="74">
        <v>775000.0</v>
      </c>
      <c r="H2131" s="74">
        <v>0.0</v>
      </c>
      <c r="I2131" s="74">
        <f t="shared" si="1"/>
        <v>3100000</v>
      </c>
      <c r="J2131" s="74">
        <f>IF(E2131="SERVICE",I2131-(I2131*50%),Vlookup(E2131,DATABASE!C:Q,10,false)*F2131)</f>
        <v>0</v>
      </c>
      <c r="K2131" s="74">
        <f>VLOOKUP(E2131,DATABASE!C:Q,7,false)</f>
        <v>678000</v>
      </c>
      <c r="L2131" s="74">
        <v>678000.0</v>
      </c>
      <c r="M2131" s="74">
        <f t="shared" si="2"/>
        <v>680000</v>
      </c>
      <c r="N2131" s="74">
        <f t="shared" si="3"/>
        <v>380000</v>
      </c>
      <c r="O2131" s="65" t="str">
        <f>VLOOKUP(E2131,DATABASE!C:Q,8,false)</f>
        <v>BIAN</v>
      </c>
      <c r="P2131" s="65">
        <f>VLOOKUP(E2131,DATABASE!C:Q,9,False)</f>
        <v>1</v>
      </c>
      <c r="Q2131" s="93" t="str">
        <f>VLOOKUP(E2131,DATABASE!C:Q,4,false)</f>
        <v>Sailun</v>
      </c>
      <c r="R2131" s="93" t="str">
        <f>VLOOKUP(E2131,DATABASE!C:Q,11,false)</f>
        <v>Tire</v>
      </c>
    </row>
    <row r="2132" ht="22.5" customHeight="1">
      <c r="A2132" s="49"/>
      <c r="C2132" s="384">
        <v>45767.0</v>
      </c>
      <c r="D2132" s="65">
        <v>5315.0</v>
      </c>
      <c r="E2132" s="445" t="s">
        <v>256</v>
      </c>
      <c r="F2132" s="386">
        <v>1.0</v>
      </c>
      <c r="G2132" s="74">
        <v>130000.0</v>
      </c>
      <c r="H2132" s="74">
        <v>0.0</v>
      </c>
      <c r="I2132" s="74">
        <f t="shared" si="1"/>
        <v>130000</v>
      </c>
      <c r="J2132" s="74">
        <f>IF(E2132="SERVICE",I2132-(I2132*50%),Vlookup(E2132,DATABASE!C:Q,10,false)*F2132)</f>
        <v>10000</v>
      </c>
      <c r="K2132" s="74">
        <f>VLOOKUP(E2132,DATABASE!C:Q,7,false)</f>
        <v>0</v>
      </c>
      <c r="L2132" s="74">
        <v>0.0</v>
      </c>
      <c r="M2132" s="74">
        <f t="shared" si="2"/>
        <v>0</v>
      </c>
      <c r="N2132" s="74">
        <f t="shared" si="3"/>
        <v>120000</v>
      </c>
      <c r="O2132" s="65" t="str">
        <f>VLOOKUP(E2132,DATABASE!C:Q,8,false)</f>
        <v>IBU</v>
      </c>
      <c r="P2132" s="65">
        <f>VLOOKUP(E2132,DATABASE!C:Q,9,False)</f>
        <v>0</v>
      </c>
      <c r="Q2132" s="93" t="str">
        <f>VLOOKUP(E2132,DATABASE!C:Q,4,false)</f>
        <v>SPOORING</v>
      </c>
      <c r="R2132" s="93" t="str">
        <f>VLOOKUP(E2132,DATABASE!C:Q,11,false)</f>
        <v>SERVICE</v>
      </c>
    </row>
    <row r="2133" ht="22.5" customHeight="1">
      <c r="A2133" s="49"/>
      <c r="C2133" s="384">
        <v>45767.0</v>
      </c>
      <c r="D2133" s="65">
        <v>5315.0</v>
      </c>
      <c r="E2133" s="385" t="s">
        <v>299</v>
      </c>
      <c r="F2133" s="386">
        <v>2.0</v>
      </c>
      <c r="G2133" s="74">
        <v>30000.0</v>
      </c>
      <c r="H2133" s="74">
        <v>0.0</v>
      </c>
      <c r="I2133" s="74">
        <f t="shared" si="1"/>
        <v>60000</v>
      </c>
      <c r="J2133" s="74">
        <f>IF(E2133="SERVICE",I2133-(I2133*50%),Vlookup(E2133,DATABASE!C:Q,10,false)*F2133)</f>
        <v>0</v>
      </c>
      <c r="K2133" s="74">
        <v>0.0</v>
      </c>
      <c r="L2133" s="74">
        <v>0.0</v>
      </c>
      <c r="M2133" s="74">
        <f t="shared" si="2"/>
        <v>0</v>
      </c>
      <c r="N2133" s="74">
        <f t="shared" si="3"/>
        <v>60000</v>
      </c>
      <c r="O2133" s="65" t="str">
        <f>VLOOKUP(E2133,DATABASE!C:Q,8,false)</f>
        <v>BIAN</v>
      </c>
      <c r="P2133" s="65">
        <f>VLOOKUP(E2133,DATABASE!C:Q,9,False)</f>
        <v>0</v>
      </c>
      <c r="Q2133" s="93" t="str">
        <f>VLOOKUP(E2133,DATABASE!C:Q,4,false)</f>
        <v>Balancing</v>
      </c>
      <c r="R2133" s="93" t="str">
        <f>VLOOKUP(E2133,DATABASE!C:Q,11,false)</f>
        <v>COMPLEMENTARY</v>
      </c>
    </row>
    <row r="2134" ht="22.5" customHeight="1">
      <c r="A2134" s="49"/>
      <c r="C2134" s="384">
        <v>45767.0</v>
      </c>
      <c r="D2134" s="65">
        <v>5315.0</v>
      </c>
      <c r="E2134" s="445" t="s">
        <v>301</v>
      </c>
      <c r="F2134" s="386">
        <v>1.0</v>
      </c>
      <c r="G2134" s="74">
        <v>250000.0</v>
      </c>
      <c r="H2134" s="74">
        <v>0.0</v>
      </c>
      <c r="I2134" s="74">
        <f t="shared" si="1"/>
        <v>250000</v>
      </c>
      <c r="J2134" s="74">
        <f>IF(E2134="SERVICE",I2134-(I2134*50%),Vlookup(E2134,DATABASE!C:Q,10,false)*F2134)</f>
        <v>75000</v>
      </c>
      <c r="K2134" s="74">
        <f>VLOOKUP(E2134,DATABASE!C:Q,7,false)</f>
        <v>75000</v>
      </c>
      <c r="L2134" s="74">
        <v>75000.0</v>
      </c>
      <c r="M2134" s="74">
        <f t="shared" si="2"/>
        <v>75000</v>
      </c>
      <c r="N2134" s="74">
        <f t="shared" si="3"/>
        <v>100000</v>
      </c>
      <c r="O2134" s="65" t="str">
        <f>VLOOKUP(E2134,DATABASE!C:Q,8,false)</f>
        <v>BIAN</v>
      </c>
      <c r="P2134" s="65">
        <f>VLOOKUP(E2134,DATABASE!C:Q,9,False)</f>
        <v>0</v>
      </c>
      <c r="Q2134" s="93" t="str">
        <f>VLOOKUP(E2134,DATABASE!C:Q,4,false)</f>
        <v>Baut Camber</v>
      </c>
      <c r="R2134" s="93" t="str">
        <f>VLOOKUP(E2134,DATABASE!C:Q,11,false)</f>
        <v>COMPLEMENTARY</v>
      </c>
    </row>
    <row r="2135" ht="22.5" customHeight="1">
      <c r="A2135" s="49"/>
      <c r="C2135" s="384">
        <v>45767.0</v>
      </c>
      <c r="D2135" s="65">
        <v>5317.0</v>
      </c>
      <c r="E2135" s="445" t="s">
        <v>268</v>
      </c>
      <c r="F2135" s="386">
        <v>2.0</v>
      </c>
      <c r="G2135" s="74">
        <v>700000.0</v>
      </c>
      <c r="H2135" s="74">
        <v>0.0</v>
      </c>
      <c r="I2135" s="74">
        <f t="shared" si="1"/>
        <v>1400000</v>
      </c>
      <c r="J2135" s="74">
        <f>IF(E2135="SERVICE",I2135-(I2135*50%),Vlookup(E2135,DATABASE!C:Q,10,false)*F2135)</f>
        <v>0</v>
      </c>
      <c r="K2135" s="74">
        <v>613000.0</v>
      </c>
      <c r="L2135" s="74">
        <v>613000.0</v>
      </c>
      <c r="M2135" s="74">
        <f t="shared" si="2"/>
        <v>615000</v>
      </c>
      <c r="N2135" s="74">
        <f t="shared" si="3"/>
        <v>170000</v>
      </c>
      <c r="O2135" s="65" t="str">
        <f>VLOOKUP(E2135,DATABASE!C:Q,8,false)</f>
        <v>IBU</v>
      </c>
      <c r="P2135" s="65">
        <f>VLOOKUP(E2135,DATABASE!C:Q,9,False)</f>
        <v>1</v>
      </c>
      <c r="Q2135" s="93" t="str">
        <f>VLOOKUP(E2135,DATABASE!C:Q,4,false)</f>
        <v>Dunlop</v>
      </c>
      <c r="R2135" s="93" t="str">
        <f>VLOOKUP(E2135,DATABASE!C:Q,11,false)</f>
        <v>Tire</v>
      </c>
    </row>
    <row r="2136" ht="22.5" customHeight="1">
      <c r="A2136" s="49"/>
      <c r="C2136" s="384">
        <v>45767.0</v>
      </c>
      <c r="D2136" s="65">
        <v>5318.0</v>
      </c>
      <c r="E2136" s="445" t="s">
        <v>614</v>
      </c>
      <c r="F2136" s="386">
        <v>1.0</v>
      </c>
      <c r="G2136" s="74">
        <v>860000.0</v>
      </c>
      <c r="H2136" s="74">
        <v>0.0</v>
      </c>
      <c r="I2136" s="74">
        <f t="shared" si="1"/>
        <v>860000</v>
      </c>
      <c r="J2136" s="74">
        <f>IF(E2136="SERVICE",I2136-(I2136*50%),Vlookup(E2136,DATABASE!C:Q,10,false)*F2136)</f>
        <v>0</v>
      </c>
      <c r="K2136" s="74">
        <f>VLOOKUP(E2136,DATABASE!C:Q,7,false)</f>
        <v>754660.6</v>
      </c>
      <c r="L2136" s="74">
        <v>766438.4</v>
      </c>
      <c r="M2136" s="74">
        <f t="shared" si="2"/>
        <v>770000</v>
      </c>
      <c r="N2136" s="74">
        <f t="shared" si="3"/>
        <v>90000</v>
      </c>
      <c r="O2136" s="65" t="str">
        <f>VLOOKUP(E2136,DATABASE!C:Q,8,false)</f>
        <v>IBU</v>
      </c>
      <c r="P2136" s="65">
        <f>VLOOKUP(E2136,DATABASE!C:Q,9,False)</f>
        <v>1</v>
      </c>
      <c r="Q2136" s="93" t="str">
        <f>VLOOKUP(E2136,DATABASE!C:Q,4,false)</f>
        <v>Bridgestone</v>
      </c>
      <c r="R2136" s="93" t="str">
        <f>VLOOKUP(E2136,DATABASE!C:Q,11,false)</f>
        <v>Tire</v>
      </c>
    </row>
    <row r="2137" ht="22.5" customHeight="1">
      <c r="A2137" s="49"/>
      <c r="C2137" s="384">
        <v>45768.0</v>
      </c>
      <c r="D2137" s="65">
        <v>5319.0</v>
      </c>
      <c r="E2137" s="445" t="s">
        <v>1439</v>
      </c>
      <c r="F2137" s="386">
        <v>1.0</v>
      </c>
      <c r="G2137" s="74">
        <v>630000.0</v>
      </c>
      <c r="H2137" s="74">
        <v>0.0</v>
      </c>
      <c r="I2137" s="74">
        <f t="shared" si="1"/>
        <v>630000</v>
      </c>
      <c r="J2137" s="74">
        <f>IF(E2137="SERVICE",I2137-(I2137*50%),Vlookup(E2137,DATABASE!C:Q,10,false)*F2137)</f>
        <v>0</v>
      </c>
      <c r="K2137" s="74">
        <f>VLOOKUP(E2137,DATABASE!C:Q,7,false)</f>
        <v>556800</v>
      </c>
      <c r="L2137" s="74">
        <v>540800.0</v>
      </c>
      <c r="M2137" s="74">
        <f t="shared" si="2"/>
        <v>545000</v>
      </c>
      <c r="N2137" s="74">
        <f t="shared" si="3"/>
        <v>85000</v>
      </c>
      <c r="O2137" s="65" t="str">
        <f>VLOOKUP(E2137,DATABASE!C:Q,8,false)</f>
        <v>BIAN</v>
      </c>
      <c r="P2137" s="65">
        <f>VLOOKUP(E2137,DATABASE!C:Q,9,False)</f>
        <v>1</v>
      </c>
      <c r="Q2137" s="93" t="str">
        <f>VLOOKUP(E2137,DATABASE!C:Q,4,false)</f>
        <v>GT</v>
      </c>
      <c r="R2137" s="93" t="str">
        <f>VLOOKUP(E2137,DATABASE!C:Q,11,false)</f>
        <v>Tire</v>
      </c>
    </row>
    <row r="2138" ht="22.5" customHeight="1">
      <c r="A2138" s="49"/>
      <c r="C2138" s="384">
        <v>45768.0</v>
      </c>
      <c r="D2138" s="65">
        <v>5320.0</v>
      </c>
      <c r="E2138" s="445" t="s">
        <v>604</v>
      </c>
      <c r="F2138" s="386">
        <v>1.0</v>
      </c>
      <c r="G2138" s="74">
        <v>160000.0</v>
      </c>
      <c r="H2138" s="74">
        <v>0.0</v>
      </c>
      <c r="I2138" s="74">
        <f t="shared" si="1"/>
        <v>160000</v>
      </c>
      <c r="J2138" s="74">
        <f>IF(E2138="SERVICE",I2138-(I2138*50%),Vlookup(E2138,DATABASE!C:Q,10,false)*F2138)</f>
        <v>0</v>
      </c>
      <c r="K2138" s="74">
        <f>VLOOKUP(E2138,DATABASE!C:Q,7,false)</f>
        <v>124000</v>
      </c>
      <c r="L2138" s="74">
        <v>124000.0</v>
      </c>
      <c r="M2138" s="74">
        <f t="shared" si="2"/>
        <v>125000</v>
      </c>
      <c r="N2138" s="74">
        <f t="shared" si="3"/>
        <v>35000</v>
      </c>
      <c r="O2138" s="65" t="str">
        <f>VLOOKUP(E2138,DATABASE!C:Q,8,false)</f>
        <v>BIAN</v>
      </c>
      <c r="P2138" s="65">
        <f>VLOOKUP(E2138,DATABASE!C:Q,9,False)</f>
        <v>1</v>
      </c>
      <c r="Q2138" s="93" t="str">
        <f>VLOOKUP(E2138,DATABASE!C:Q,4,false)</f>
        <v>BD</v>
      </c>
      <c r="R2138" s="93" t="str">
        <f>VLOOKUP(E2138,DATABASE!C:Q,11,false)</f>
        <v>Tire</v>
      </c>
    </row>
    <row r="2139" ht="22.5" customHeight="1">
      <c r="A2139" s="49"/>
      <c r="C2139" s="384">
        <v>45768.0</v>
      </c>
      <c r="D2139" s="65">
        <v>5321.0</v>
      </c>
      <c r="E2139" s="445" t="s">
        <v>262</v>
      </c>
      <c r="F2139" s="386">
        <v>1.0</v>
      </c>
      <c r="G2139" s="74">
        <v>110000.0</v>
      </c>
      <c r="H2139" s="74">
        <v>0.0</v>
      </c>
      <c r="I2139" s="74">
        <f t="shared" si="1"/>
        <v>110000</v>
      </c>
      <c r="J2139" s="74">
        <f>IF(E2139="SERVICE",I2139-(I2139*50%),Vlookup(E2139,DATABASE!C:Q,10,false)*F2139)</f>
        <v>5000</v>
      </c>
      <c r="K2139" s="74">
        <f>VLOOKUP(E2139,DATABASE!C:Q,7,false)</f>
        <v>0</v>
      </c>
      <c r="L2139" s="74">
        <v>0.0</v>
      </c>
      <c r="M2139" s="74">
        <f t="shared" si="2"/>
        <v>0</v>
      </c>
      <c r="N2139" s="74">
        <f t="shared" si="3"/>
        <v>105000</v>
      </c>
      <c r="O2139" s="65" t="str">
        <f>VLOOKUP(E2139,DATABASE!C:Q,8,false)</f>
        <v>IBU</v>
      </c>
      <c r="P2139" s="65">
        <f>VLOOKUP(E2139,DATABASE!C:Q,9,False)</f>
        <v>0</v>
      </c>
      <c r="Q2139" s="93" t="str">
        <f>VLOOKUP(E2139,DATABASE!C:Q,4,false)</f>
        <v>SPOORING SS/CARRY LOS BAK</v>
      </c>
      <c r="R2139" s="93" t="str">
        <f>VLOOKUP(E2139,DATABASE!C:Q,11,false)</f>
        <v>SERVICE</v>
      </c>
    </row>
    <row r="2140" ht="22.5" customHeight="1">
      <c r="A2140" s="49"/>
      <c r="C2140" s="384">
        <v>45768.0</v>
      </c>
      <c r="D2140" s="65">
        <v>5321.0</v>
      </c>
      <c r="E2140" s="445" t="s">
        <v>478</v>
      </c>
      <c r="F2140" s="386">
        <v>1.0</v>
      </c>
      <c r="G2140" s="74">
        <v>200000.0</v>
      </c>
      <c r="H2140" s="74">
        <v>0.0</v>
      </c>
      <c r="I2140" s="74">
        <f t="shared" si="1"/>
        <v>200000</v>
      </c>
      <c r="J2140" s="74">
        <f>IF(E2140="SERVICE",I2140-(I2140*50%),Vlookup(E2140,DATABASE!C:Q,10,false)*F2140)</f>
        <v>25000</v>
      </c>
      <c r="K2140" s="74">
        <f>VLOOKUP(E2140,DATABASE!C:Q,7,false)</f>
        <v>75000</v>
      </c>
      <c r="L2140" s="74">
        <v>75000.0</v>
      </c>
      <c r="M2140" s="74">
        <f t="shared" si="2"/>
        <v>75000</v>
      </c>
      <c r="N2140" s="74">
        <f t="shared" si="3"/>
        <v>100000</v>
      </c>
      <c r="O2140" s="65" t="str">
        <f>VLOOKUP(E2140,DATABASE!C:Q,8,false)</f>
        <v>BIAN</v>
      </c>
      <c r="P2140" s="65">
        <f>VLOOKUP(E2140,DATABASE!C:Q,9,False)</f>
        <v>0</v>
      </c>
      <c r="Q2140" s="93" t="str">
        <f>VLOOKUP(E2140,DATABASE!C:Q,4,false)</f>
        <v>Baut Camber ss-carry</v>
      </c>
      <c r="R2140" s="93" t="str">
        <f>VLOOKUP(E2140,DATABASE!C:Q,11,false)</f>
        <v>COMPLEMENTARY</v>
      </c>
    </row>
    <row r="2141" ht="22.5" customHeight="1">
      <c r="A2141" s="49"/>
      <c r="C2141" s="384">
        <v>45768.0</v>
      </c>
      <c r="D2141" s="65">
        <v>5322.0</v>
      </c>
      <c r="E2141" s="445" t="s">
        <v>268</v>
      </c>
      <c r="F2141" s="386">
        <v>2.0</v>
      </c>
      <c r="G2141" s="74">
        <v>700000.0</v>
      </c>
      <c r="H2141" s="74">
        <v>0.0</v>
      </c>
      <c r="I2141" s="74">
        <f t="shared" si="1"/>
        <v>1400000</v>
      </c>
      <c r="J2141" s="74">
        <f>IF(E2141="SERVICE",I2141-(I2141*50%),Vlookup(E2141,DATABASE!C:Q,10,false)*F2141)</f>
        <v>0</v>
      </c>
      <c r="K2141" s="74">
        <v>613000.0</v>
      </c>
      <c r="L2141" s="74">
        <v>613000.0</v>
      </c>
      <c r="M2141" s="74">
        <f t="shared" si="2"/>
        <v>615000</v>
      </c>
      <c r="N2141" s="74">
        <f t="shared" si="3"/>
        <v>170000</v>
      </c>
      <c r="O2141" s="65" t="str">
        <f>VLOOKUP(E2141,DATABASE!C:Q,8,false)</f>
        <v>IBU</v>
      </c>
      <c r="P2141" s="65">
        <f>VLOOKUP(E2141,DATABASE!C:Q,9,False)</f>
        <v>1</v>
      </c>
      <c r="Q2141" s="93" t="str">
        <f>VLOOKUP(E2141,DATABASE!C:Q,4,false)</f>
        <v>Dunlop</v>
      </c>
      <c r="R2141" s="93" t="str">
        <f>VLOOKUP(E2141,DATABASE!C:Q,11,false)</f>
        <v>Tire</v>
      </c>
    </row>
    <row r="2142" ht="22.5" customHeight="1">
      <c r="A2142" s="49"/>
      <c r="C2142" s="384">
        <v>45768.0</v>
      </c>
      <c r="D2142" s="65">
        <v>5323.0</v>
      </c>
      <c r="E2142" s="445" t="s">
        <v>256</v>
      </c>
      <c r="F2142" s="386">
        <v>1.0</v>
      </c>
      <c r="G2142" s="74">
        <v>130000.0</v>
      </c>
      <c r="H2142" s="74">
        <v>0.0</v>
      </c>
      <c r="I2142" s="74">
        <f t="shared" si="1"/>
        <v>130000</v>
      </c>
      <c r="J2142" s="74">
        <f>IF(E2142="SERVICE",I2142-(I2142*50%),Vlookup(E2142,DATABASE!C:Q,10,false)*F2142)</f>
        <v>10000</v>
      </c>
      <c r="K2142" s="74">
        <f>VLOOKUP(E2142,DATABASE!C:Q,7,false)</f>
        <v>0</v>
      </c>
      <c r="L2142" s="74">
        <v>0.0</v>
      </c>
      <c r="M2142" s="74">
        <f t="shared" si="2"/>
        <v>0</v>
      </c>
      <c r="N2142" s="74">
        <f t="shared" si="3"/>
        <v>120000</v>
      </c>
      <c r="O2142" s="65" t="str">
        <f>VLOOKUP(E2142,DATABASE!C:Q,8,false)</f>
        <v>IBU</v>
      </c>
      <c r="P2142" s="65">
        <f>VLOOKUP(E2142,DATABASE!C:Q,9,False)</f>
        <v>0</v>
      </c>
      <c r="Q2142" s="93" t="str">
        <f>VLOOKUP(E2142,DATABASE!C:Q,4,false)</f>
        <v>SPOORING</v>
      </c>
      <c r="R2142" s="93" t="str">
        <f>VLOOKUP(E2142,DATABASE!C:Q,11,false)</f>
        <v>SERVICE</v>
      </c>
    </row>
    <row r="2143" ht="22.5" customHeight="1">
      <c r="A2143" s="49"/>
      <c r="C2143" s="384">
        <v>45768.0</v>
      </c>
      <c r="D2143" s="65">
        <v>5324.0</v>
      </c>
      <c r="E2143" s="445" t="s">
        <v>1821</v>
      </c>
      <c r="F2143" s="386">
        <v>4.0</v>
      </c>
      <c r="G2143" s="74">
        <v>830000.0</v>
      </c>
      <c r="H2143" s="74">
        <v>0.0</v>
      </c>
      <c r="I2143" s="74">
        <f t="shared" si="1"/>
        <v>3320000</v>
      </c>
      <c r="J2143" s="74">
        <f>IF(E2143="SERVICE",I2143-(I2143*50%),Vlookup(E2143,DATABASE!C:Q,10,false)*F2143)</f>
        <v>0</v>
      </c>
      <c r="K2143" s="74">
        <f>VLOOKUP(E2143,DATABASE!C:Q,7,false)</f>
        <v>600000</v>
      </c>
      <c r="L2143" s="74">
        <v>760000.0</v>
      </c>
      <c r="M2143" s="74">
        <f t="shared" si="2"/>
        <v>760000</v>
      </c>
      <c r="N2143" s="74">
        <f t="shared" si="3"/>
        <v>280000</v>
      </c>
      <c r="O2143" s="65" t="str">
        <f>VLOOKUP(E2143,DATABASE!C:Q,8,false)</f>
        <v>BIAN</v>
      </c>
      <c r="P2143" s="65">
        <f>VLOOKUP(E2143,DATABASE!C:Q,9,False)</f>
        <v>1</v>
      </c>
      <c r="Q2143" s="93" t="str">
        <f>VLOOKUP(E2143,DATABASE!C:Q,4,false)</f>
        <v>G. YEAR</v>
      </c>
      <c r="R2143" s="93" t="str">
        <f>VLOOKUP(E2143,DATABASE!C:Q,11,false)</f>
        <v>Tire</v>
      </c>
    </row>
    <row r="2144" ht="22.5" customHeight="1">
      <c r="A2144" s="49"/>
      <c r="C2144" s="384">
        <v>45768.0</v>
      </c>
      <c r="D2144" s="65">
        <v>5325.0</v>
      </c>
      <c r="E2144" s="445" t="s">
        <v>1630</v>
      </c>
      <c r="F2144" s="386">
        <v>2.0</v>
      </c>
      <c r="G2144" s="74">
        <v>1695000.0</v>
      </c>
      <c r="H2144" s="74">
        <v>0.0</v>
      </c>
      <c r="I2144" s="74">
        <f t="shared" si="1"/>
        <v>3390000</v>
      </c>
      <c r="J2144" s="74">
        <f>IF(E2144="SERVICE",I2144-(I2144*50%),Vlookup(E2144,DATABASE!C:Q,10,false)*F2144)</f>
        <v>0</v>
      </c>
      <c r="K2144" s="74">
        <f>VLOOKUP(E2144,DATABASE!C:Q,7,false)</f>
        <v>1595500</v>
      </c>
      <c r="L2144" s="74">
        <v>1595500.0</v>
      </c>
      <c r="M2144" s="74">
        <f t="shared" si="2"/>
        <v>1600000</v>
      </c>
      <c r="N2144" s="74">
        <f t="shared" si="3"/>
        <v>190000</v>
      </c>
      <c r="O2144" s="65" t="str">
        <f>VLOOKUP(E2144,DATABASE!C:Q,8,false)</f>
        <v>BIAN</v>
      </c>
      <c r="P2144" s="65">
        <f>VLOOKUP(E2144,DATABASE!C:Q,9,False)</f>
        <v>1</v>
      </c>
      <c r="Q2144" s="93" t="str">
        <f>VLOOKUP(E2144,DATABASE!C:Q,4,false)</f>
        <v>DURATUN</v>
      </c>
      <c r="R2144" s="93" t="str">
        <f>VLOOKUP(E2144,DATABASE!C:Q,11,false)</f>
        <v>Tire</v>
      </c>
    </row>
    <row r="2145" ht="22.5" customHeight="1">
      <c r="A2145" s="49"/>
      <c r="C2145" s="384">
        <v>45768.0</v>
      </c>
      <c r="D2145" s="65">
        <v>5325.0</v>
      </c>
      <c r="E2145" s="445" t="s">
        <v>255</v>
      </c>
      <c r="F2145" s="386">
        <v>2.0</v>
      </c>
      <c r="G2145" s="74">
        <v>200000.0</v>
      </c>
      <c r="H2145" s="74">
        <v>0.0</v>
      </c>
      <c r="I2145" s="74">
        <f t="shared" si="1"/>
        <v>400000</v>
      </c>
      <c r="J2145" s="74">
        <f>IF(E2145="SERVICE",I2145-(I2145*50%),Vlookup(E2145,DATABASE!C:Q,10,false)*F2145)</f>
        <v>0</v>
      </c>
      <c r="K2145" s="74">
        <f>VLOOKUP(E2145,DATABASE!C:Q,7,false)</f>
        <v>161840</v>
      </c>
      <c r="L2145" s="74">
        <v>161840.0</v>
      </c>
      <c r="M2145" s="74">
        <f t="shared" si="2"/>
        <v>165000</v>
      </c>
      <c r="N2145" s="74">
        <f t="shared" si="3"/>
        <v>70000</v>
      </c>
      <c r="O2145" s="65" t="str">
        <f>VLOOKUP(E2145,DATABASE!C:Q,8,false)</f>
        <v>BIAN</v>
      </c>
      <c r="P2145" s="65">
        <f>VLOOKUP(E2145,DATABASE!C:Q,9,False)</f>
        <v>1</v>
      </c>
      <c r="Q2145" s="93" t="str">
        <f>VLOOKUP(E2145,DATABASE!C:Q,4,false)</f>
        <v>BD</v>
      </c>
      <c r="R2145" s="93" t="str">
        <f>VLOOKUP(E2145,DATABASE!C:Q,11,false)</f>
        <v>Tire</v>
      </c>
    </row>
    <row r="2146" ht="22.5" customHeight="1">
      <c r="A2146" s="49"/>
      <c r="C2146" s="384">
        <v>45768.0</v>
      </c>
      <c r="D2146" s="65">
        <v>5325.0</v>
      </c>
      <c r="E2146" s="445" t="s">
        <v>814</v>
      </c>
      <c r="F2146" s="386">
        <v>2.0</v>
      </c>
      <c r="G2146" s="74">
        <v>65000.0</v>
      </c>
      <c r="H2146" s="74">
        <v>0.0</v>
      </c>
      <c r="I2146" s="74">
        <f t="shared" si="1"/>
        <v>130000</v>
      </c>
      <c r="J2146" s="74">
        <f>IF(E2146="SERVICE",I2146-(I2146*50%),Vlookup(E2146,DATABASE!C:Q,10,false)*F2146)</f>
        <v>0</v>
      </c>
      <c r="K2146" s="74">
        <f>VLOOKUP(E2146,DATABASE!C:Q,7,false)</f>
        <v>39440</v>
      </c>
      <c r="L2146" s="74">
        <v>39440.0</v>
      </c>
      <c r="M2146" s="74">
        <f t="shared" si="2"/>
        <v>40000</v>
      </c>
      <c r="N2146" s="74">
        <f t="shared" si="3"/>
        <v>50000</v>
      </c>
      <c r="O2146" s="65" t="str">
        <f>VLOOKUP(E2146,DATABASE!C:Q,8,false)</f>
        <v>BIAN</v>
      </c>
      <c r="P2146" s="65">
        <f>VLOOKUP(E2146,DATABASE!C:Q,9,False)</f>
        <v>1</v>
      </c>
      <c r="Q2146" s="93" t="str">
        <f>VLOOKUP(E2146,DATABASE!C:Q,4,false)</f>
        <v>Flap</v>
      </c>
      <c r="R2146" s="93" t="str">
        <f>VLOOKUP(E2146,DATABASE!C:Q,11,false)</f>
        <v>Tire</v>
      </c>
    </row>
    <row r="2147" ht="22.5" customHeight="1">
      <c r="A2147" s="49"/>
      <c r="C2147" s="384">
        <v>45768.0</v>
      </c>
      <c r="D2147" s="65">
        <v>5325.0</v>
      </c>
      <c r="E2147" s="445" t="s">
        <v>295</v>
      </c>
      <c r="F2147" s="386">
        <v>2.0</v>
      </c>
      <c r="G2147" s="74">
        <v>1525000.0</v>
      </c>
      <c r="H2147" s="74">
        <v>0.0</v>
      </c>
      <c r="I2147" s="74">
        <f t="shared" si="1"/>
        <v>3050000</v>
      </c>
      <c r="J2147" s="74">
        <f>IF(E2147="SERVICE",I2147-(I2147*50%),Vlookup(E2147,DATABASE!C:Q,10,false)*F2147)</f>
        <v>0</v>
      </c>
      <c r="K2147" s="74">
        <f>VLOOKUP(E2147,DATABASE!C:Q,7,false)</f>
        <v>1475000</v>
      </c>
      <c r="L2147" s="74">
        <v>1425000.0</v>
      </c>
      <c r="M2147" s="74">
        <f t="shared" si="2"/>
        <v>1425000</v>
      </c>
      <c r="N2147" s="74">
        <f t="shared" si="3"/>
        <v>200000</v>
      </c>
      <c r="O2147" s="65" t="str">
        <f>VLOOKUP(E2147,DATABASE!C:Q,8,false)</f>
        <v>BIAN</v>
      </c>
      <c r="P2147" s="65">
        <f>VLOOKUP(E2147,DATABASE!C:Q,9,False)</f>
        <v>1</v>
      </c>
      <c r="Q2147" s="93" t="str">
        <f>VLOOKUP(E2147,DATABASE!C:Q,4,false)</f>
        <v>TIRON</v>
      </c>
      <c r="R2147" s="93" t="str">
        <f>VLOOKUP(E2147,DATABASE!C:Q,11,false)</f>
        <v>Tire</v>
      </c>
    </row>
    <row r="2148" ht="22.5" customHeight="1">
      <c r="A2148" s="49"/>
      <c r="C2148" s="384">
        <v>45768.0</v>
      </c>
      <c r="D2148" s="65">
        <v>5326.0</v>
      </c>
      <c r="E2148" s="445" t="s">
        <v>256</v>
      </c>
      <c r="F2148" s="386">
        <v>1.0</v>
      </c>
      <c r="G2148" s="74">
        <v>130000.0</v>
      </c>
      <c r="H2148" s="74">
        <v>0.0</v>
      </c>
      <c r="I2148" s="74">
        <f t="shared" si="1"/>
        <v>130000</v>
      </c>
      <c r="J2148" s="74">
        <f>IF(E2148="SERVICE",I2148-(I2148*50%),Vlookup(E2148,DATABASE!C:Q,10,false)*F2148)</f>
        <v>10000</v>
      </c>
      <c r="K2148" s="74">
        <f>VLOOKUP(E2148,DATABASE!C:Q,7,false)</f>
        <v>0</v>
      </c>
      <c r="L2148" s="74">
        <v>0.0</v>
      </c>
      <c r="M2148" s="74">
        <f t="shared" si="2"/>
        <v>0</v>
      </c>
      <c r="N2148" s="74">
        <f t="shared" si="3"/>
        <v>120000</v>
      </c>
      <c r="O2148" s="65" t="str">
        <f>VLOOKUP(E2148,DATABASE!C:Q,8,false)</f>
        <v>IBU</v>
      </c>
      <c r="P2148" s="65">
        <f>VLOOKUP(E2148,DATABASE!C:Q,9,False)</f>
        <v>0</v>
      </c>
      <c r="Q2148" s="93" t="str">
        <f>VLOOKUP(E2148,DATABASE!C:Q,4,false)</f>
        <v>SPOORING</v>
      </c>
      <c r="R2148" s="93" t="str">
        <f>VLOOKUP(E2148,DATABASE!C:Q,11,false)</f>
        <v>SERVICE</v>
      </c>
    </row>
    <row r="2149" ht="22.5" customHeight="1">
      <c r="A2149" s="49"/>
      <c r="C2149" s="384">
        <v>45768.0</v>
      </c>
      <c r="D2149" s="65">
        <v>5326.0</v>
      </c>
      <c r="E2149" s="445" t="s">
        <v>301</v>
      </c>
      <c r="F2149" s="386">
        <v>1.0</v>
      </c>
      <c r="G2149" s="74">
        <v>250000.0</v>
      </c>
      <c r="H2149" s="74">
        <v>0.0</v>
      </c>
      <c r="I2149" s="74">
        <f t="shared" si="1"/>
        <v>250000</v>
      </c>
      <c r="J2149" s="74">
        <f>IF(E2149="SERVICE",I2149-(I2149*50%),Vlookup(E2149,DATABASE!C:Q,10,false)*F2149)</f>
        <v>75000</v>
      </c>
      <c r="K2149" s="74">
        <f>VLOOKUP(E2149,DATABASE!C:Q,7,false)</f>
        <v>75000</v>
      </c>
      <c r="L2149" s="74">
        <v>75000.0</v>
      </c>
      <c r="M2149" s="74">
        <f t="shared" si="2"/>
        <v>75000</v>
      </c>
      <c r="N2149" s="74">
        <f t="shared" si="3"/>
        <v>100000</v>
      </c>
      <c r="O2149" s="65" t="str">
        <f>VLOOKUP(E2149,DATABASE!C:Q,8,false)</f>
        <v>BIAN</v>
      </c>
      <c r="P2149" s="65">
        <f>VLOOKUP(E2149,DATABASE!C:Q,9,False)</f>
        <v>0</v>
      </c>
      <c r="Q2149" s="93" t="str">
        <f>VLOOKUP(E2149,DATABASE!C:Q,4,false)</f>
        <v>Baut Camber</v>
      </c>
      <c r="R2149" s="93" t="str">
        <f>VLOOKUP(E2149,DATABASE!C:Q,11,false)</f>
        <v>COMPLEMENTARY</v>
      </c>
    </row>
    <row r="2150" ht="22.5" customHeight="1">
      <c r="A2150" s="49"/>
      <c r="C2150" s="384">
        <v>45768.0</v>
      </c>
      <c r="D2150" s="65">
        <v>5327.0</v>
      </c>
      <c r="E2150" s="445" t="s">
        <v>275</v>
      </c>
      <c r="F2150" s="386">
        <v>1.0</v>
      </c>
      <c r="G2150" s="74">
        <v>830000.0</v>
      </c>
      <c r="H2150" s="74">
        <v>0.0</v>
      </c>
      <c r="I2150" s="74">
        <f t="shared" si="1"/>
        <v>830000</v>
      </c>
      <c r="J2150" s="74">
        <f>IF(E2150="SERVICE",I2150-(I2150*50%),Vlookup(E2150,DATABASE!C:Q,10,false)*F2150)</f>
        <v>0</v>
      </c>
      <c r="K2150" s="74">
        <v>735000.0</v>
      </c>
      <c r="L2150" s="74">
        <v>735000.0</v>
      </c>
      <c r="M2150" s="74">
        <f t="shared" si="2"/>
        <v>735000</v>
      </c>
      <c r="N2150" s="74">
        <f t="shared" si="3"/>
        <v>95000</v>
      </c>
      <c r="O2150" s="65" t="str">
        <f>VLOOKUP(E2150,DATABASE!C:Q,8,false)</f>
        <v>IBU</v>
      </c>
      <c r="P2150" s="65">
        <f>VLOOKUP(E2150,DATABASE!C:Q,9,False)</f>
        <v>1</v>
      </c>
      <c r="Q2150" s="93" t="str">
        <f>VLOOKUP(E2150,DATABASE!C:Q,4,false)</f>
        <v>Dunlop</v>
      </c>
      <c r="R2150" s="93" t="str">
        <f>VLOOKUP(E2150,DATABASE!C:Q,11,false)</f>
        <v>Tire</v>
      </c>
    </row>
    <row r="2151" ht="22.5" customHeight="1">
      <c r="A2151" s="49"/>
      <c r="C2151" s="384">
        <v>45768.0</v>
      </c>
      <c r="D2151" s="65">
        <v>5327.0</v>
      </c>
      <c r="E2151" s="445" t="s">
        <v>256</v>
      </c>
      <c r="F2151" s="386">
        <v>1.0</v>
      </c>
      <c r="G2151" s="74">
        <v>130000.0</v>
      </c>
      <c r="H2151" s="74">
        <v>0.0</v>
      </c>
      <c r="I2151" s="74">
        <f t="shared" si="1"/>
        <v>130000</v>
      </c>
      <c r="J2151" s="74">
        <f>IF(E2151="SERVICE",I2151-(I2151*50%),Vlookup(E2151,DATABASE!C:Q,10,false)*F2151)</f>
        <v>10000</v>
      </c>
      <c r="K2151" s="74">
        <f>VLOOKUP(E2151,DATABASE!C:Q,7,false)</f>
        <v>0</v>
      </c>
      <c r="L2151" s="74">
        <v>0.0</v>
      </c>
      <c r="M2151" s="74">
        <f t="shared" si="2"/>
        <v>0</v>
      </c>
      <c r="N2151" s="74">
        <f t="shared" si="3"/>
        <v>120000</v>
      </c>
      <c r="O2151" s="65" t="str">
        <f>VLOOKUP(E2151,DATABASE!C:Q,8,false)</f>
        <v>IBU</v>
      </c>
      <c r="P2151" s="65">
        <f>VLOOKUP(E2151,DATABASE!C:Q,9,False)</f>
        <v>0</v>
      </c>
      <c r="Q2151" s="93" t="str">
        <f>VLOOKUP(E2151,DATABASE!C:Q,4,false)</f>
        <v>SPOORING</v>
      </c>
      <c r="R2151" s="93" t="str">
        <f>VLOOKUP(E2151,DATABASE!C:Q,11,false)</f>
        <v>SERVICE</v>
      </c>
    </row>
    <row r="2152" ht="22.5" customHeight="1">
      <c r="A2152" s="49"/>
      <c r="C2152" s="384">
        <v>45768.0</v>
      </c>
      <c r="D2152" s="65">
        <v>5327.0</v>
      </c>
      <c r="E2152" s="445" t="s">
        <v>301</v>
      </c>
      <c r="F2152" s="386">
        <v>1.0</v>
      </c>
      <c r="G2152" s="74">
        <v>250000.0</v>
      </c>
      <c r="H2152" s="74">
        <v>0.0</v>
      </c>
      <c r="I2152" s="74">
        <f t="shared" si="1"/>
        <v>250000</v>
      </c>
      <c r="J2152" s="74">
        <f>IF(E2152="SERVICE",I2152-(I2152*50%),Vlookup(E2152,DATABASE!C:Q,10,false)*F2152)</f>
        <v>75000</v>
      </c>
      <c r="K2152" s="74">
        <f>VLOOKUP(E2152,DATABASE!C:Q,7,false)</f>
        <v>75000</v>
      </c>
      <c r="L2152" s="74">
        <v>75000.0</v>
      </c>
      <c r="M2152" s="74">
        <f t="shared" si="2"/>
        <v>75000</v>
      </c>
      <c r="N2152" s="74">
        <f t="shared" si="3"/>
        <v>100000</v>
      </c>
      <c r="O2152" s="65" t="str">
        <f>VLOOKUP(E2152,DATABASE!C:Q,8,false)</f>
        <v>BIAN</v>
      </c>
      <c r="P2152" s="65">
        <f>VLOOKUP(E2152,DATABASE!C:Q,9,False)</f>
        <v>0</v>
      </c>
      <c r="Q2152" s="93" t="str">
        <f>VLOOKUP(E2152,DATABASE!C:Q,4,false)</f>
        <v>Baut Camber</v>
      </c>
      <c r="R2152" s="93" t="str">
        <f>VLOOKUP(E2152,DATABASE!C:Q,11,false)</f>
        <v>COMPLEMENTARY</v>
      </c>
    </row>
    <row r="2153" ht="22.5" customHeight="1">
      <c r="A2153" s="49"/>
      <c r="C2153" s="384">
        <v>45768.0</v>
      </c>
      <c r="D2153" s="65">
        <v>5328.0</v>
      </c>
      <c r="E2153" s="445" t="s">
        <v>781</v>
      </c>
      <c r="F2153" s="386">
        <v>1.0</v>
      </c>
      <c r="G2153" s="74">
        <v>530000.0</v>
      </c>
      <c r="H2153" s="74">
        <v>0.0</v>
      </c>
      <c r="I2153" s="74">
        <f t="shared" si="1"/>
        <v>530000</v>
      </c>
      <c r="J2153" s="74">
        <f>IF(E2153="SERVICE",I2153-(I2153*50%),Vlookup(E2153,DATABASE!C:Q,10,false)*F2153)</f>
        <v>0</v>
      </c>
      <c r="K2153" s="74">
        <f>VLOOKUP(E2153,DATABASE!C:Q,7,false)</f>
        <v>470000</v>
      </c>
      <c r="L2153" s="74">
        <v>442500.0</v>
      </c>
      <c r="M2153" s="74">
        <f t="shared" si="2"/>
        <v>445000</v>
      </c>
      <c r="N2153" s="74">
        <f t="shared" si="3"/>
        <v>85000</v>
      </c>
      <c r="O2153" s="65" t="str">
        <f>VLOOKUP(E2153,DATABASE!C:Q,8,false)</f>
        <v>BIAN</v>
      </c>
      <c r="P2153" s="65">
        <f>VLOOKUP(E2153,DATABASE!C:Q,9,False)</f>
        <v>1</v>
      </c>
      <c r="Q2153" s="93" t="str">
        <f>VLOOKUP(E2153,DATABASE!C:Q,4,false)</f>
        <v>GT</v>
      </c>
      <c r="R2153" s="93" t="str">
        <f>VLOOKUP(E2153,DATABASE!C:Q,11,false)</f>
        <v>Tire</v>
      </c>
    </row>
    <row r="2154" ht="22.5" customHeight="1">
      <c r="A2154" s="49"/>
      <c r="C2154" s="384">
        <v>45768.0</v>
      </c>
      <c r="D2154" s="65">
        <v>5329.0</v>
      </c>
      <c r="E2154" s="445" t="s">
        <v>262</v>
      </c>
      <c r="F2154" s="386">
        <v>1.0</v>
      </c>
      <c r="G2154" s="74">
        <v>110000.0</v>
      </c>
      <c r="H2154" s="74">
        <v>0.0</v>
      </c>
      <c r="I2154" s="74">
        <f t="shared" si="1"/>
        <v>110000</v>
      </c>
      <c r="J2154" s="74">
        <f>IF(E2154="SERVICE",I2154-(I2154*50%),Vlookup(E2154,DATABASE!C:Q,10,false)*F2154)</f>
        <v>5000</v>
      </c>
      <c r="K2154" s="74">
        <f>VLOOKUP(E2154,DATABASE!C:Q,7,false)</f>
        <v>0</v>
      </c>
      <c r="L2154" s="74">
        <v>0.0</v>
      </c>
      <c r="M2154" s="74">
        <f t="shared" si="2"/>
        <v>0</v>
      </c>
      <c r="N2154" s="74">
        <f t="shared" si="3"/>
        <v>105000</v>
      </c>
      <c r="O2154" s="65" t="str">
        <f>VLOOKUP(E2154,DATABASE!C:Q,8,false)</f>
        <v>IBU</v>
      </c>
      <c r="P2154" s="65">
        <f>VLOOKUP(E2154,DATABASE!C:Q,9,False)</f>
        <v>0</v>
      </c>
      <c r="Q2154" s="93" t="str">
        <f>VLOOKUP(E2154,DATABASE!C:Q,4,false)</f>
        <v>SPOORING SS/CARRY LOS BAK</v>
      </c>
      <c r="R2154" s="93" t="str">
        <f>VLOOKUP(E2154,DATABASE!C:Q,11,false)</f>
        <v>SERVICE</v>
      </c>
    </row>
    <row r="2155" ht="22.5" customHeight="1">
      <c r="A2155" s="49"/>
      <c r="C2155" s="384">
        <v>45768.0</v>
      </c>
      <c r="D2155" s="65">
        <v>5329.0</v>
      </c>
      <c r="E2155" s="445" t="s">
        <v>251</v>
      </c>
      <c r="F2155" s="386">
        <v>1.0</v>
      </c>
      <c r="G2155" s="74">
        <v>80000.0</v>
      </c>
      <c r="H2155" s="74">
        <v>0.0</v>
      </c>
      <c r="I2155" s="74">
        <f t="shared" si="1"/>
        <v>80000</v>
      </c>
      <c r="J2155" s="74">
        <f>IF(E2155="SERVICE",I2155-(I2155*50%),Vlookup(E2155,DATABASE!C:Q,10,false)*F2155)</f>
        <v>40000</v>
      </c>
      <c r="K2155" s="74">
        <f>VLOOKUP(E2155,DATABASE!C:Q,7,false)</f>
        <v>0</v>
      </c>
      <c r="L2155" s="74">
        <v>0.0</v>
      </c>
      <c r="M2155" s="74">
        <f t="shared" si="2"/>
        <v>0</v>
      </c>
      <c r="N2155" s="74">
        <f t="shared" si="3"/>
        <v>40000</v>
      </c>
      <c r="O2155" s="65" t="str">
        <f>VLOOKUP(E2155,DATABASE!C:Q,8,false)</f>
        <v>IBU</v>
      </c>
      <c r="P2155" s="65">
        <f>VLOOKUP(E2155,DATABASE!C:Q,9,False)</f>
        <v>0</v>
      </c>
      <c r="Q2155" s="93" t="str">
        <f>VLOOKUP(E2155,DATABASE!C:Q,4,false)</f>
        <v>SERVICE</v>
      </c>
      <c r="R2155" s="93" t="str">
        <f>VLOOKUP(E2155,DATABASE!C:Q,11,false)</f>
        <v>SERVICE</v>
      </c>
    </row>
    <row r="2156" ht="22.5" customHeight="1">
      <c r="A2156" s="49"/>
      <c r="C2156" s="384">
        <v>45768.0</v>
      </c>
      <c r="D2156" s="65">
        <v>5330.0</v>
      </c>
      <c r="E2156" s="445" t="s">
        <v>268</v>
      </c>
      <c r="F2156" s="386">
        <v>2.0</v>
      </c>
      <c r="G2156" s="74">
        <v>700000.0</v>
      </c>
      <c r="H2156" s="74">
        <v>0.0</v>
      </c>
      <c r="I2156" s="74">
        <f t="shared" si="1"/>
        <v>1400000</v>
      </c>
      <c r="J2156" s="74">
        <f>IF(E2156="SERVICE",I2156-(I2156*50%),Vlookup(E2156,DATABASE!C:Q,10,false)*F2156)</f>
        <v>0</v>
      </c>
      <c r="K2156" s="74">
        <v>613000.0</v>
      </c>
      <c r="L2156" s="74">
        <v>613000.0</v>
      </c>
      <c r="M2156" s="74">
        <f t="shared" si="2"/>
        <v>615000</v>
      </c>
      <c r="N2156" s="74">
        <f t="shared" si="3"/>
        <v>170000</v>
      </c>
      <c r="O2156" s="65" t="str">
        <f>VLOOKUP(E2156,DATABASE!C:Q,8,false)</f>
        <v>IBU</v>
      </c>
      <c r="P2156" s="65">
        <f>VLOOKUP(E2156,DATABASE!C:Q,9,False)</f>
        <v>1</v>
      </c>
      <c r="Q2156" s="93" t="str">
        <f>VLOOKUP(E2156,DATABASE!C:Q,4,false)</f>
        <v>Dunlop</v>
      </c>
      <c r="R2156" s="93" t="str">
        <f>VLOOKUP(E2156,DATABASE!C:Q,11,false)</f>
        <v>Tire</v>
      </c>
    </row>
    <row r="2157" ht="22.5" customHeight="1">
      <c r="A2157" s="49"/>
      <c r="C2157" s="384">
        <v>45768.0</v>
      </c>
      <c r="D2157" s="65">
        <v>5331.0</v>
      </c>
      <c r="E2157" s="445" t="s">
        <v>256</v>
      </c>
      <c r="F2157" s="386">
        <v>1.0</v>
      </c>
      <c r="G2157" s="74">
        <v>100000.0</v>
      </c>
      <c r="H2157" s="74">
        <v>0.0</v>
      </c>
      <c r="I2157" s="74">
        <f t="shared" si="1"/>
        <v>100000</v>
      </c>
      <c r="J2157" s="74">
        <f>IF(E2157="SERVICE",I2157-(I2157*50%),Vlookup(E2157,DATABASE!C:Q,10,false)*F2157)</f>
        <v>10000</v>
      </c>
      <c r="K2157" s="74">
        <f>VLOOKUP(E2157,DATABASE!C:Q,7,false)</f>
        <v>0</v>
      </c>
      <c r="L2157" s="74">
        <v>0.0</v>
      </c>
      <c r="M2157" s="74">
        <f t="shared" si="2"/>
        <v>0</v>
      </c>
      <c r="N2157" s="74">
        <f t="shared" si="3"/>
        <v>90000</v>
      </c>
      <c r="O2157" s="65" t="str">
        <f>VLOOKUP(E2157,DATABASE!C:Q,8,false)</f>
        <v>IBU</v>
      </c>
      <c r="P2157" s="65">
        <f>VLOOKUP(E2157,DATABASE!C:Q,9,False)</f>
        <v>0</v>
      </c>
      <c r="Q2157" s="93" t="str">
        <f>VLOOKUP(E2157,DATABASE!C:Q,4,false)</f>
        <v>SPOORING</v>
      </c>
      <c r="R2157" s="93" t="str">
        <f>VLOOKUP(E2157,DATABASE!C:Q,11,false)</f>
        <v>SERVICE</v>
      </c>
    </row>
    <row r="2158" ht="22.5" customHeight="1">
      <c r="A2158" s="49"/>
      <c r="C2158" s="384">
        <v>45768.0</v>
      </c>
      <c r="D2158" s="65">
        <v>5332.0</v>
      </c>
      <c r="E2158" s="445" t="s">
        <v>256</v>
      </c>
      <c r="F2158" s="386">
        <v>1.0</v>
      </c>
      <c r="G2158" s="74">
        <v>130000.0</v>
      </c>
      <c r="H2158" s="74">
        <v>0.0</v>
      </c>
      <c r="I2158" s="74">
        <f t="shared" si="1"/>
        <v>130000</v>
      </c>
      <c r="J2158" s="74">
        <f>IF(E2158="SERVICE",I2158-(I2158*50%),Vlookup(E2158,DATABASE!C:Q,10,false)*F2158)</f>
        <v>10000</v>
      </c>
      <c r="K2158" s="74">
        <f>VLOOKUP(E2158,DATABASE!C:Q,7,false)</f>
        <v>0</v>
      </c>
      <c r="L2158" s="74">
        <v>0.0</v>
      </c>
      <c r="M2158" s="74">
        <f t="shared" si="2"/>
        <v>0</v>
      </c>
      <c r="N2158" s="74">
        <f t="shared" si="3"/>
        <v>120000</v>
      </c>
      <c r="O2158" s="65" t="str">
        <f>VLOOKUP(E2158,DATABASE!C:Q,8,false)</f>
        <v>IBU</v>
      </c>
      <c r="P2158" s="65">
        <f>VLOOKUP(E2158,DATABASE!C:Q,9,False)</f>
        <v>0</v>
      </c>
      <c r="Q2158" s="93" t="str">
        <f>VLOOKUP(E2158,DATABASE!C:Q,4,false)</f>
        <v>SPOORING</v>
      </c>
      <c r="R2158" s="93" t="str">
        <f>VLOOKUP(E2158,DATABASE!C:Q,11,false)</f>
        <v>SERVICE</v>
      </c>
    </row>
    <row r="2159" ht="22.5" customHeight="1">
      <c r="A2159" s="49"/>
      <c r="C2159" s="384">
        <v>45768.0</v>
      </c>
      <c r="D2159" s="65">
        <v>5333.0</v>
      </c>
      <c r="E2159" s="445" t="s">
        <v>932</v>
      </c>
      <c r="F2159" s="386">
        <v>1.0</v>
      </c>
      <c r="G2159" s="74">
        <v>670000.0</v>
      </c>
      <c r="H2159" s="74">
        <v>0.0</v>
      </c>
      <c r="I2159" s="74">
        <f t="shared" si="1"/>
        <v>670000</v>
      </c>
      <c r="J2159" s="74">
        <f>IF(E2159="SERVICE",I2159-(I2159*50%),Vlookup(E2159,DATABASE!C:Q,10,false)*F2159)</f>
        <v>0</v>
      </c>
      <c r="K2159" s="74">
        <v>575000.0</v>
      </c>
      <c r="L2159" s="74">
        <v>575000.0</v>
      </c>
      <c r="M2159" s="74">
        <f t="shared" si="2"/>
        <v>575000</v>
      </c>
      <c r="N2159" s="74">
        <f t="shared" si="3"/>
        <v>95000</v>
      </c>
      <c r="O2159" s="65" t="str">
        <f>VLOOKUP(E2159,DATABASE!C:Q,8,false)</f>
        <v>IBU</v>
      </c>
      <c r="P2159" s="65">
        <f>VLOOKUP(E2159,DATABASE!C:Q,9,False)</f>
        <v>1</v>
      </c>
      <c r="Q2159" s="93" t="str">
        <f>VLOOKUP(E2159,DATABASE!C:Q,4,false)</f>
        <v>Dunlop</v>
      </c>
      <c r="R2159" s="93" t="str">
        <f>VLOOKUP(E2159,DATABASE!C:Q,11,false)</f>
        <v>Tire</v>
      </c>
    </row>
    <row r="2160" ht="22.5" customHeight="1">
      <c r="A2160" s="49"/>
      <c r="C2160" s="384">
        <v>45768.0</v>
      </c>
      <c r="D2160" s="65">
        <v>5334.0</v>
      </c>
      <c r="E2160" s="445" t="s">
        <v>604</v>
      </c>
      <c r="F2160" s="386">
        <v>2.0</v>
      </c>
      <c r="G2160" s="74">
        <v>160000.0</v>
      </c>
      <c r="H2160" s="74">
        <v>0.0</v>
      </c>
      <c r="I2160" s="74">
        <f t="shared" si="1"/>
        <v>320000</v>
      </c>
      <c r="J2160" s="74">
        <f>IF(E2160="SERVICE",I2160-(I2160*50%),Vlookup(E2160,DATABASE!C:Q,10,false)*F2160)</f>
        <v>0</v>
      </c>
      <c r="K2160" s="74">
        <f>VLOOKUP(E2160,DATABASE!C:Q,7,false)</f>
        <v>124000</v>
      </c>
      <c r="L2160" s="74">
        <v>124000.0</v>
      </c>
      <c r="M2160" s="74">
        <f t="shared" si="2"/>
        <v>125000</v>
      </c>
      <c r="N2160" s="74">
        <f t="shared" si="3"/>
        <v>70000</v>
      </c>
      <c r="O2160" s="65" t="str">
        <f>VLOOKUP(E2160,DATABASE!C:Q,8,false)</f>
        <v>BIAN</v>
      </c>
      <c r="P2160" s="65">
        <f>VLOOKUP(E2160,DATABASE!C:Q,9,False)</f>
        <v>1</v>
      </c>
      <c r="Q2160" s="93" t="str">
        <f>VLOOKUP(E2160,DATABASE!C:Q,4,false)</f>
        <v>BD</v>
      </c>
      <c r="R2160" s="93" t="str">
        <f>VLOOKUP(E2160,DATABASE!C:Q,11,false)</f>
        <v>Tire</v>
      </c>
    </row>
    <row r="2161" ht="22.5" customHeight="1">
      <c r="A2161" s="49"/>
      <c r="C2161" s="384">
        <v>45769.0</v>
      </c>
      <c r="D2161" s="65">
        <v>5335.0</v>
      </c>
      <c r="E2161" s="445" t="s">
        <v>268</v>
      </c>
      <c r="F2161" s="386">
        <v>2.0</v>
      </c>
      <c r="G2161" s="74">
        <v>700000.0</v>
      </c>
      <c r="H2161" s="74">
        <v>0.0</v>
      </c>
      <c r="I2161" s="74">
        <f t="shared" si="1"/>
        <v>1400000</v>
      </c>
      <c r="J2161" s="74">
        <f>IF(E2161="SERVICE",I2161-(I2161*50%),Vlookup(E2161,DATABASE!C:Q,10,false)*F2161)</f>
        <v>0</v>
      </c>
      <c r="K2161" s="74">
        <v>613000.0</v>
      </c>
      <c r="L2161" s="74">
        <v>613000.0</v>
      </c>
      <c r="M2161" s="74">
        <f t="shared" si="2"/>
        <v>615000</v>
      </c>
      <c r="N2161" s="74">
        <f t="shared" si="3"/>
        <v>170000</v>
      </c>
      <c r="O2161" s="65" t="str">
        <f>VLOOKUP(E2161,DATABASE!C:Q,8,false)</f>
        <v>IBU</v>
      </c>
      <c r="P2161" s="65">
        <f>VLOOKUP(E2161,DATABASE!C:Q,9,False)</f>
        <v>1</v>
      </c>
      <c r="Q2161" s="93" t="str">
        <f>VLOOKUP(E2161,DATABASE!C:Q,4,false)</f>
        <v>Dunlop</v>
      </c>
      <c r="R2161" s="93" t="str">
        <f>VLOOKUP(E2161,DATABASE!C:Q,11,false)</f>
        <v>Tire</v>
      </c>
    </row>
    <row r="2162" ht="22.5" customHeight="1">
      <c r="A2162" s="49"/>
      <c r="C2162" s="384">
        <v>45769.0</v>
      </c>
      <c r="D2162" s="65">
        <v>5336.0</v>
      </c>
      <c r="E2162" s="445" t="s">
        <v>2206</v>
      </c>
      <c r="F2162" s="386">
        <v>2.0</v>
      </c>
      <c r="G2162" s="74">
        <v>200000.0</v>
      </c>
      <c r="H2162" s="74">
        <v>0.0</v>
      </c>
      <c r="I2162" s="74">
        <f t="shared" si="1"/>
        <v>400000</v>
      </c>
      <c r="J2162" s="74">
        <f>IF(E2162="SERVICE",I2162-(I2162*50%),Vlookup(E2162,DATABASE!C:Q,10,false)*F2162)</f>
        <v>80000</v>
      </c>
      <c r="K2162" s="74">
        <f>VLOOKUP(E2162,DATABASE!C:Q,7,false)</f>
        <v>95450</v>
      </c>
      <c r="L2162" s="74">
        <v>61000.0</v>
      </c>
      <c r="M2162" s="74">
        <f t="shared" si="2"/>
        <v>65000</v>
      </c>
      <c r="N2162" s="74">
        <f t="shared" si="3"/>
        <v>190000</v>
      </c>
      <c r="O2162" s="65" t="str">
        <f>VLOOKUP(E2162,DATABASE!C:Q,8,false)</f>
        <v>IBU</v>
      </c>
      <c r="P2162" s="65">
        <f>VLOOKUP(E2162,DATABASE!C:Q,9,False)</f>
        <v>1</v>
      </c>
      <c r="Q2162" s="93" t="str">
        <f>VLOOKUP(E2162,DATABASE!C:Q,4,false)</f>
        <v>TIEROD</v>
      </c>
      <c r="R2162" s="93" t="str">
        <f>VLOOKUP(E2162,DATABASE!C:Q,11,false)</f>
        <v>COMPLEMENTARY</v>
      </c>
    </row>
    <row r="2163" ht="22.5" customHeight="1">
      <c r="A2163" s="49"/>
      <c r="C2163" s="384">
        <v>45769.0</v>
      </c>
      <c r="D2163" s="65">
        <v>5336.0</v>
      </c>
      <c r="E2163" s="445" t="s">
        <v>251</v>
      </c>
      <c r="F2163" s="386">
        <v>1.0</v>
      </c>
      <c r="G2163" s="74">
        <v>120000.0</v>
      </c>
      <c r="H2163" s="74">
        <v>0.0</v>
      </c>
      <c r="I2163" s="74">
        <f t="shared" si="1"/>
        <v>120000</v>
      </c>
      <c r="J2163" s="74">
        <f>IF(E2163="SERVICE",I2163-(I2163*50%),Vlookup(E2163,DATABASE!C:Q,10,false)*F2163)</f>
        <v>60000</v>
      </c>
      <c r="K2163" s="74">
        <f>VLOOKUP(E2163,DATABASE!C:Q,7,false)</f>
        <v>0</v>
      </c>
      <c r="L2163" s="74">
        <v>0.0</v>
      </c>
      <c r="M2163" s="74">
        <f t="shared" si="2"/>
        <v>0</v>
      </c>
      <c r="N2163" s="74">
        <f t="shared" si="3"/>
        <v>60000</v>
      </c>
      <c r="O2163" s="65" t="str">
        <f>VLOOKUP(E2163,DATABASE!C:Q,8,false)</f>
        <v>IBU</v>
      </c>
      <c r="P2163" s="65">
        <f>VLOOKUP(E2163,DATABASE!C:Q,9,False)</f>
        <v>0</v>
      </c>
      <c r="Q2163" s="93" t="str">
        <f>VLOOKUP(E2163,DATABASE!C:Q,4,false)</f>
        <v>SERVICE</v>
      </c>
      <c r="R2163" s="93" t="str">
        <f>VLOOKUP(E2163,DATABASE!C:Q,11,false)</f>
        <v>SERVICE</v>
      </c>
    </row>
    <row r="2164" ht="22.5" customHeight="1">
      <c r="A2164" s="49"/>
      <c r="C2164" s="384">
        <v>45769.0</v>
      </c>
      <c r="D2164" s="65">
        <v>5336.0</v>
      </c>
      <c r="E2164" s="445" t="s">
        <v>251</v>
      </c>
      <c r="F2164" s="386">
        <v>1.0</v>
      </c>
      <c r="G2164" s="74">
        <v>80000.0</v>
      </c>
      <c r="H2164" s="74">
        <v>0.0</v>
      </c>
      <c r="I2164" s="74">
        <f t="shared" si="1"/>
        <v>80000</v>
      </c>
      <c r="J2164" s="74">
        <f>IF(E2164="SERVICE",I2164-(I2164*50%),Vlookup(E2164,DATABASE!C:Q,10,false)*F2164)</f>
        <v>40000</v>
      </c>
      <c r="K2164" s="74">
        <f>VLOOKUP(E2164,DATABASE!C:Q,7,false)</f>
        <v>0</v>
      </c>
      <c r="L2164" s="74">
        <v>0.0</v>
      </c>
      <c r="M2164" s="74">
        <f t="shared" si="2"/>
        <v>0</v>
      </c>
      <c r="N2164" s="74">
        <f t="shared" si="3"/>
        <v>40000</v>
      </c>
      <c r="O2164" s="65" t="str">
        <f>VLOOKUP(E2164,DATABASE!C:Q,8,false)</f>
        <v>IBU</v>
      </c>
      <c r="P2164" s="65">
        <f>VLOOKUP(E2164,DATABASE!C:Q,9,False)</f>
        <v>0</v>
      </c>
      <c r="Q2164" s="93" t="str">
        <f>VLOOKUP(E2164,DATABASE!C:Q,4,false)</f>
        <v>SERVICE</v>
      </c>
      <c r="R2164" s="93" t="str">
        <f>VLOOKUP(E2164,DATABASE!C:Q,11,false)</f>
        <v>SERVICE</v>
      </c>
    </row>
    <row r="2165" ht="22.5" customHeight="1">
      <c r="A2165" s="49"/>
      <c r="C2165" s="384">
        <v>45769.0</v>
      </c>
      <c r="D2165" s="65">
        <v>5336.0</v>
      </c>
      <c r="E2165" s="445" t="s">
        <v>262</v>
      </c>
      <c r="F2165" s="386">
        <v>1.0</v>
      </c>
      <c r="G2165" s="74">
        <v>110000.0</v>
      </c>
      <c r="H2165" s="74">
        <v>0.0</v>
      </c>
      <c r="I2165" s="74">
        <f t="shared" si="1"/>
        <v>110000</v>
      </c>
      <c r="J2165" s="74">
        <f>IF(E2165="SERVICE",I2165-(I2165*50%),Vlookup(E2165,DATABASE!C:Q,10,false)*F2165)</f>
        <v>5000</v>
      </c>
      <c r="K2165" s="74">
        <f>VLOOKUP(E2165,DATABASE!C:Q,7,false)</f>
        <v>0</v>
      </c>
      <c r="L2165" s="74">
        <v>0.0</v>
      </c>
      <c r="M2165" s="74">
        <f t="shared" si="2"/>
        <v>0</v>
      </c>
      <c r="N2165" s="74">
        <f t="shared" si="3"/>
        <v>105000</v>
      </c>
      <c r="O2165" s="65" t="str">
        <f>VLOOKUP(E2165,DATABASE!C:Q,8,false)</f>
        <v>IBU</v>
      </c>
      <c r="P2165" s="65">
        <f>VLOOKUP(E2165,DATABASE!C:Q,9,False)</f>
        <v>0</v>
      </c>
      <c r="Q2165" s="93" t="str">
        <f>VLOOKUP(E2165,DATABASE!C:Q,4,false)</f>
        <v>SPOORING SS/CARRY LOS BAK</v>
      </c>
      <c r="R2165" s="93" t="str">
        <f>VLOOKUP(E2165,DATABASE!C:Q,11,false)</f>
        <v>SERVICE</v>
      </c>
    </row>
    <row r="2166" ht="22.5" customHeight="1">
      <c r="A2166" s="49"/>
      <c r="C2166" s="384">
        <v>45769.0</v>
      </c>
      <c r="D2166" s="65">
        <v>5337.0</v>
      </c>
      <c r="E2166" s="445" t="s">
        <v>781</v>
      </c>
      <c r="F2166" s="386">
        <v>1.0</v>
      </c>
      <c r="G2166" s="74">
        <v>530000.0</v>
      </c>
      <c r="H2166" s="74">
        <v>0.0</v>
      </c>
      <c r="I2166" s="74">
        <f t="shared" si="1"/>
        <v>530000</v>
      </c>
      <c r="J2166" s="74">
        <f>IF(E2166="SERVICE",I2166-(I2166*50%),Vlookup(E2166,DATABASE!C:Q,10,false)*F2166)</f>
        <v>0</v>
      </c>
      <c r="K2166" s="74">
        <f>VLOOKUP(E2166,DATABASE!C:Q,7,false)</f>
        <v>470000</v>
      </c>
      <c r="L2166" s="74">
        <v>442500.0</v>
      </c>
      <c r="M2166" s="74">
        <f t="shared" si="2"/>
        <v>445000</v>
      </c>
      <c r="N2166" s="74">
        <f t="shared" si="3"/>
        <v>85000</v>
      </c>
      <c r="O2166" s="65" t="str">
        <f>VLOOKUP(E2166,DATABASE!C:Q,8,false)</f>
        <v>BIAN</v>
      </c>
      <c r="P2166" s="65">
        <f>VLOOKUP(E2166,DATABASE!C:Q,9,False)</f>
        <v>1</v>
      </c>
      <c r="Q2166" s="93" t="str">
        <f>VLOOKUP(E2166,DATABASE!C:Q,4,false)</f>
        <v>GT</v>
      </c>
      <c r="R2166" s="93" t="str">
        <f>VLOOKUP(E2166,DATABASE!C:Q,11,false)</f>
        <v>Tire</v>
      </c>
    </row>
    <row r="2167" ht="22.5" customHeight="1">
      <c r="A2167" s="49"/>
      <c r="C2167" s="384">
        <v>45769.0</v>
      </c>
      <c r="D2167" s="65">
        <v>5337.0</v>
      </c>
      <c r="E2167" s="445" t="s">
        <v>569</v>
      </c>
      <c r="F2167" s="386">
        <v>1.0</v>
      </c>
      <c r="G2167" s="74">
        <v>80000.0</v>
      </c>
      <c r="H2167" s="74">
        <v>0.0</v>
      </c>
      <c r="I2167" s="74">
        <f t="shared" si="1"/>
        <v>80000</v>
      </c>
      <c r="J2167" s="74">
        <f>IF(E2167="SERVICE",I2167-(I2167*50%),Vlookup(E2167,DATABASE!C:Q,10,false)*F2167)</f>
        <v>0</v>
      </c>
      <c r="K2167" s="74">
        <f>VLOOKUP(E2167,DATABASE!C:Q,7,false)</f>
        <v>45439.582</v>
      </c>
      <c r="L2167" s="74">
        <v>45309.6</v>
      </c>
      <c r="M2167" s="74">
        <f t="shared" si="2"/>
        <v>50000</v>
      </c>
      <c r="N2167" s="74">
        <f t="shared" si="3"/>
        <v>30000</v>
      </c>
      <c r="O2167" s="65" t="str">
        <f>VLOOKUP(E2167,DATABASE!C:Q,8,false)</f>
        <v>BIAN</v>
      </c>
      <c r="P2167" s="65">
        <f>VLOOKUP(E2167,DATABASE!C:Q,9,False)</f>
        <v>1</v>
      </c>
      <c r="Q2167" s="93" t="str">
        <f>VLOOKUP(E2167,DATABASE!C:Q,4,false)</f>
        <v>BD</v>
      </c>
      <c r="R2167" s="93" t="str">
        <f>VLOOKUP(E2167,DATABASE!C:Q,11,false)</f>
        <v>Tire</v>
      </c>
    </row>
    <row r="2168" ht="22.5" customHeight="1">
      <c r="A2168" s="49"/>
      <c r="C2168" s="384">
        <v>45769.0</v>
      </c>
      <c r="D2168" s="65">
        <v>5339.0</v>
      </c>
      <c r="E2168" s="445" t="s">
        <v>932</v>
      </c>
      <c r="F2168" s="386">
        <v>2.0</v>
      </c>
      <c r="G2168" s="74">
        <v>670000.0</v>
      </c>
      <c r="H2168" s="74">
        <v>0.0</v>
      </c>
      <c r="I2168" s="74">
        <f t="shared" si="1"/>
        <v>1340000</v>
      </c>
      <c r="J2168" s="74">
        <f>IF(E2168="SERVICE",I2168-(I2168*50%),Vlookup(E2168,DATABASE!C:Q,10,false)*F2168)</f>
        <v>0</v>
      </c>
      <c r="K2168" s="74">
        <v>575000.0</v>
      </c>
      <c r="L2168" s="74">
        <v>575000.0</v>
      </c>
      <c r="M2168" s="74">
        <f t="shared" si="2"/>
        <v>575000</v>
      </c>
      <c r="N2168" s="74">
        <f t="shared" si="3"/>
        <v>190000</v>
      </c>
      <c r="O2168" s="65" t="str">
        <f>VLOOKUP(E2168,DATABASE!C:Q,8,false)</f>
        <v>IBU</v>
      </c>
      <c r="P2168" s="65">
        <f>VLOOKUP(E2168,DATABASE!C:Q,9,False)</f>
        <v>1</v>
      </c>
      <c r="Q2168" s="93" t="str">
        <f>VLOOKUP(E2168,DATABASE!C:Q,4,false)</f>
        <v>Dunlop</v>
      </c>
      <c r="R2168" s="93" t="str">
        <f>VLOOKUP(E2168,DATABASE!C:Q,11,false)</f>
        <v>Tire</v>
      </c>
    </row>
    <row r="2169" ht="22.5" customHeight="1">
      <c r="A2169" s="49"/>
      <c r="C2169" s="384">
        <v>45769.0</v>
      </c>
      <c r="D2169" s="65">
        <v>5340.0</v>
      </c>
      <c r="E2169" s="445" t="s">
        <v>275</v>
      </c>
      <c r="F2169" s="386">
        <v>1.0</v>
      </c>
      <c r="G2169" s="74">
        <v>830000.0</v>
      </c>
      <c r="H2169" s="74">
        <v>0.0</v>
      </c>
      <c r="I2169" s="74">
        <f t="shared" si="1"/>
        <v>830000</v>
      </c>
      <c r="J2169" s="74">
        <f>IF(E2169="SERVICE",I2169-(I2169*50%),Vlookup(E2169,DATABASE!C:Q,10,false)*F2169)</f>
        <v>0</v>
      </c>
      <c r="K2169" s="74">
        <v>735000.0</v>
      </c>
      <c r="L2169" s="74">
        <v>735000.0</v>
      </c>
      <c r="M2169" s="74">
        <f t="shared" si="2"/>
        <v>735000</v>
      </c>
      <c r="N2169" s="74">
        <f t="shared" si="3"/>
        <v>95000</v>
      </c>
      <c r="O2169" s="65" t="str">
        <f>VLOOKUP(E2169,DATABASE!C:Q,8,false)</f>
        <v>IBU</v>
      </c>
      <c r="P2169" s="65">
        <f>VLOOKUP(E2169,DATABASE!C:Q,9,False)</f>
        <v>1</v>
      </c>
      <c r="Q2169" s="93" t="str">
        <f>VLOOKUP(E2169,DATABASE!C:Q,4,false)</f>
        <v>Dunlop</v>
      </c>
      <c r="R2169" s="93" t="str">
        <f>VLOOKUP(E2169,DATABASE!C:Q,11,false)</f>
        <v>Tire</v>
      </c>
    </row>
    <row r="2170" ht="22.5" customHeight="1">
      <c r="A2170" s="49"/>
      <c r="C2170" s="384">
        <v>45769.0</v>
      </c>
      <c r="D2170" s="65">
        <v>5342.0</v>
      </c>
      <c r="E2170" s="445" t="s">
        <v>897</v>
      </c>
      <c r="F2170" s="386">
        <v>2.0</v>
      </c>
      <c r="G2170" s="74">
        <v>1600000.0</v>
      </c>
      <c r="H2170" s="74">
        <v>0.0</v>
      </c>
      <c r="I2170" s="74">
        <f t="shared" si="1"/>
        <v>3200000</v>
      </c>
      <c r="J2170" s="74">
        <f>IF(E2170="SERVICE",I2170-(I2170*50%),Vlookup(E2170,DATABASE!C:Q,10,false)*F2170)</f>
        <v>0</v>
      </c>
      <c r="K2170" s="74">
        <f>VLOOKUP(E2170,DATABASE!C:Q,7,false)</f>
        <v>1560000</v>
      </c>
      <c r="L2170" s="74">
        <v>1500000.0</v>
      </c>
      <c r="M2170" s="74">
        <f t="shared" si="2"/>
        <v>1500000</v>
      </c>
      <c r="N2170" s="74">
        <f t="shared" si="3"/>
        <v>200000</v>
      </c>
      <c r="O2170" s="65" t="str">
        <f>VLOOKUP(E2170,DATABASE!C:Q,8,false)</f>
        <v>BIAN</v>
      </c>
      <c r="P2170" s="65">
        <f>VLOOKUP(E2170,DATABASE!C:Q,9,False)</f>
        <v>1</v>
      </c>
      <c r="Q2170" s="93" t="str">
        <f>VLOOKUP(E2170,DATABASE!C:Q,4,false)</f>
        <v>GT</v>
      </c>
      <c r="R2170" s="93" t="str">
        <f>VLOOKUP(E2170,DATABASE!C:Q,11,false)</f>
        <v>Tire</v>
      </c>
    </row>
    <row r="2171" ht="22.5" customHeight="1">
      <c r="A2171" s="49"/>
      <c r="C2171" s="384">
        <v>45769.0</v>
      </c>
      <c r="D2171" s="65">
        <v>5343.0</v>
      </c>
      <c r="E2171" s="445" t="s">
        <v>256</v>
      </c>
      <c r="F2171" s="386">
        <v>1.0</v>
      </c>
      <c r="G2171" s="74">
        <v>130000.0</v>
      </c>
      <c r="H2171" s="74">
        <v>0.0</v>
      </c>
      <c r="I2171" s="74">
        <f t="shared" si="1"/>
        <v>130000</v>
      </c>
      <c r="J2171" s="74">
        <f>IF(E2171="SERVICE",I2171-(I2171*50%),Vlookup(E2171,DATABASE!C:Q,10,false)*F2171)</f>
        <v>10000</v>
      </c>
      <c r="K2171" s="74">
        <f>VLOOKUP(E2171,DATABASE!C:Q,7,false)</f>
        <v>0</v>
      </c>
      <c r="L2171" s="74">
        <v>0.0</v>
      </c>
      <c r="M2171" s="74">
        <f t="shared" si="2"/>
        <v>0</v>
      </c>
      <c r="N2171" s="74">
        <f t="shared" si="3"/>
        <v>120000</v>
      </c>
      <c r="O2171" s="65" t="str">
        <f>VLOOKUP(E2171,DATABASE!C:Q,8,false)</f>
        <v>IBU</v>
      </c>
      <c r="P2171" s="65">
        <f>VLOOKUP(E2171,DATABASE!C:Q,9,False)</f>
        <v>0</v>
      </c>
      <c r="Q2171" s="93" t="str">
        <f>VLOOKUP(E2171,DATABASE!C:Q,4,false)</f>
        <v>SPOORING</v>
      </c>
      <c r="R2171" s="93" t="str">
        <f>VLOOKUP(E2171,DATABASE!C:Q,11,false)</f>
        <v>SERVICE</v>
      </c>
    </row>
    <row r="2172" ht="22.5" customHeight="1">
      <c r="A2172" s="49"/>
      <c r="C2172" s="384">
        <v>45769.0</v>
      </c>
      <c r="D2172" s="65">
        <v>5343.0</v>
      </c>
      <c r="E2172" s="445" t="s">
        <v>251</v>
      </c>
      <c r="F2172" s="386">
        <v>1.0</v>
      </c>
      <c r="G2172" s="74">
        <v>150000.0</v>
      </c>
      <c r="H2172" s="74">
        <v>0.0</v>
      </c>
      <c r="I2172" s="74">
        <f t="shared" si="1"/>
        <v>150000</v>
      </c>
      <c r="J2172" s="74">
        <f>IF(E2172="SERVICE",I2172-(I2172*50%),Vlookup(E2172,DATABASE!C:Q,10,false)*F2172)</f>
        <v>75000</v>
      </c>
      <c r="K2172" s="74">
        <f>VLOOKUP(E2172,DATABASE!C:Q,7,false)</f>
        <v>0</v>
      </c>
      <c r="L2172" s="74">
        <v>0.0</v>
      </c>
      <c r="M2172" s="74">
        <f t="shared" si="2"/>
        <v>0</v>
      </c>
      <c r="N2172" s="74">
        <f t="shared" si="3"/>
        <v>75000</v>
      </c>
      <c r="O2172" s="65" t="str">
        <f>VLOOKUP(E2172,DATABASE!C:Q,8,false)</f>
        <v>IBU</v>
      </c>
      <c r="P2172" s="65">
        <f>VLOOKUP(E2172,DATABASE!C:Q,9,False)</f>
        <v>0</v>
      </c>
      <c r="Q2172" s="93" t="str">
        <f>VLOOKUP(E2172,DATABASE!C:Q,4,false)</f>
        <v>SERVICE</v>
      </c>
      <c r="R2172" s="93" t="str">
        <f>VLOOKUP(E2172,DATABASE!C:Q,11,false)</f>
        <v>SERVICE</v>
      </c>
    </row>
    <row r="2173" ht="22.5" customHeight="1">
      <c r="A2173" s="49"/>
      <c r="C2173" s="384">
        <v>45769.0</v>
      </c>
      <c r="D2173" s="65">
        <v>5344.0</v>
      </c>
      <c r="E2173" s="445" t="s">
        <v>279</v>
      </c>
      <c r="F2173" s="386">
        <v>1.0</v>
      </c>
      <c r="G2173" s="74">
        <v>665000.0</v>
      </c>
      <c r="H2173" s="74">
        <v>0.0</v>
      </c>
      <c r="I2173" s="74">
        <f t="shared" si="1"/>
        <v>665000</v>
      </c>
      <c r="J2173" s="74">
        <f>IF(E2173="SERVICE",I2173-(I2173*50%),Vlookup(E2173,DATABASE!C:Q,10,false)*F2173)</f>
        <v>0</v>
      </c>
      <c r="K2173" s="74">
        <f>VLOOKUP(E2173,DATABASE!C:Q,7,false)</f>
        <v>623000</v>
      </c>
      <c r="L2173" s="74">
        <v>602000.0</v>
      </c>
      <c r="M2173" s="74">
        <f t="shared" si="2"/>
        <v>605000</v>
      </c>
      <c r="N2173" s="74">
        <f t="shared" si="3"/>
        <v>60000</v>
      </c>
      <c r="O2173" s="65" t="str">
        <f>VLOOKUP(E2173,DATABASE!C:Q,8,false)</f>
        <v>IBU</v>
      </c>
      <c r="P2173" s="65">
        <f>VLOOKUP(E2173,DATABASE!C:Q,9,False)</f>
        <v>1</v>
      </c>
      <c r="Q2173" s="93" t="str">
        <f>VLOOKUP(E2173,DATABASE!C:Q,4,false)</f>
        <v>Dunlop</v>
      </c>
      <c r="R2173" s="93" t="str">
        <f>VLOOKUP(E2173,DATABASE!C:Q,11,false)</f>
        <v>Tire</v>
      </c>
    </row>
    <row r="2174" ht="22.5" customHeight="1">
      <c r="A2174" s="49"/>
      <c r="C2174" s="384">
        <v>45769.0</v>
      </c>
      <c r="D2174" s="65">
        <v>5345.0</v>
      </c>
      <c r="E2174" s="445" t="s">
        <v>256</v>
      </c>
      <c r="F2174" s="386">
        <v>1.0</v>
      </c>
      <c r="G2174" s="74">
        <v>130000.0</v>
      </c>
      <c r="H2174" s="74">
        <v>0.0</v>
      </c>
      <c r="I2174" s="74">
        <f t="shared" si="1"/>
        <v>130000</v>
      </c>
      <c r="J2174" s="74">
        <f>IF(E2174="SERVICE",I2174-(I2174*50%),Vlookup(E2174,DATABASE!C:Q,10,false)*F2174)</f>
        <v>10000</v>
      </c>
      <c r="K2174" s="74">
        <f>VLOOKUP(E2174,DATABASE!C:Q,7,false)</f>
        <v>0</v>
      </c>
      <c r="L2174" s="74">
        <v>0.0</v>
      </c>
      <c r="M2174" s="74">
        <f t="shared" si="2"/>
        <v>0</v>
      </c>
      <c r="N2174" s="74">
        <f t="shared" si="3"/>
        <v>120000</v>
      </c>
      <c r="O2174" s="65" t="str">
        <f>VLOOKUP(E2174,DATABASE!C:Q,8,false)</f>
        <v>IBU</v>
      </c>
      <c r="P2174" s="65">
        <f>VLOOKUP(E2174,DATABASE!C:Q,9,False)</f>
        <v>0</v>
      </c>
      <c r="Q2174" s="93" t="str">
        <f>VLOOKUP(E2174,DATABASE!C:Q,4,false)</f>
        <v>SPOORING</v>
      </c>
      <c r="R2174" s="93" t="str">
        <f>VLOOKUP(E2174,DATABASE!C:Q,11,false)</f>
        <v>SERVICE</v>
      </c>
    </row>
    <row r="2175" ht="22.5" customHeight="1">
      <c r="A2175" s="49"/>
      <c r="C2175" s="384">
        <v>45769.0</v>
      </c>
      <c r="D2175" s="65">
        <v>5345.0</v>
      </c>
      <c r="E2175" s="445" t="s">
        <v>301</v>
      </c>
      <c r="F2175" s="386">
        <v>1.0</v>
      </c>
      <c r="G2175" s="74">
        <v>250000.0</v>
      </c>
      <c r="H2175" s="74">
        <v>0.0</v>
      </c>
      <c r="I2175" s="74">
        <f t="shared" si="1"/>
        <v>250000</v>
      </c>
      <c r="J2175" s="74">
        <f>IF(E2175="SERVICE",I2175-(I2175*50%),Vlookup(E2175,DATABASE!C:Q,10,false)*F2175)</f>
        <v>75000</v>
      </c>
      <c r="K2175" s="74">
        <f>VLOOKUP(E2175,DATABASE!C:Q,7,false)</f>
        <v>75000</v>
      </c>
      <c r="L2175" s="74">
        <v>75000.0</v>
      </c>
      <c r="M2175" s="74">
        <f t="shared" si="2"/>
        <v>75000</v>
      </c>
      <c r="N2175" s="74">
        <f t="shared" si="3"/>
        <v>100000</v>
      </c>
      <c r="O2175" s="65" t="str">
        <f>VLOOKUP(E2175,DATABASE!C:Q,8,false)</f>
        <v>BIAN</v>
      </c>
      <c r="P2175" s="65">
        <f>VLOOKUP(E2175,DATABASE!C:Q,9,False)</f>
        <v>0</v>
      </c>
      <c r="Q2175" s="93" t="str">
        <f>VLOOKUP(E2175,DATABASE!C:Q,4,false)</f>
        <v>Baut Camber</v>
      </c>
      <c r="R2175" s="93" t="str">
        <f>VLOOKUP(E2175,DATABASE!C:Q,11,false)</f>
        <v>COMPLEMENTARY</v>
      </c>
    </row>
    <row r="2176" ht="22.5" customHeight="1">
      <c r="A2176" s="49"/>
      <c r="C2176" s="384">
        <v>45769.0</v>
      </c>
      <c r="D2176" s="65">
        <v>5345.0</v>
      </c>
      <c r="E2176" s="385" t="s">
        <v>299</v>
      </c>
      <c r="F2176" s="386">
        <v>2.0</v>
      </c>
      <c r="G2176" s="74">
        <v>30000.0</v>
      </c>
      <c r="H2176" s="74">
        <v>0.0</v>
      </c>
      <c r="I2176" s="74">
        <f t="shared" si="1"/>
        <v>60000</v>
      </c>
      <c r="J2176" s="74">
        <f>IF(E2176="SERVICE",I2176-(I2176*50%),Vlookup(E2176,DATABASE!C:Q,10,false)*F2176)</f>
        <v>0</v>
      </c>
      <c r="K2176" s="74">
        <v>0.0</v>
      </c>
      <c r="L2176" s="74">
        <v>0.0</v>
      </c>
      <c r="M2176" s="74">
        <f t="shared" si="2"/>
        <v>0</v>
      </c>
      <c r="N2176" s="74">
        <f t="shared" si="3"/>
        <v>60000</v>
      </c>
      <c r="O2176" s="65" t="str">
        <f>VLOOKUP(E2176,DATABASE!C:Q,8,false)</f>
        <v>BIAN</v>
      </c>
      <c r="P2176" s="65">
        <f>VLOOKUP(E2176,DATABASE!C:Q,9,False)</f>
        <v>0</v>
      </c>
      <c r="Q2176" s="93" t="str">
        <f>VLOOKUP(E2176,DATABASE!C:Q,4,false)</f>
        <v>Balancing</v>
      </c>
      <c r="R2176" s="93" t="str">
        <f>VLOOKUP(E2176,DATABASE!C:Q,11,false)</f>
        <v>COMPLEMENTARY</v>
      </c>
    </row>
    <row r="2177" ht="22.5" customHeight="1">
      <c r="A2177" s="49"/>
      <c r="C2177" s="384">
        <v>45769.0</v>
      </c>
      <c r="D2177" s="65">
        <v>5346.0</v>
      </c>
      <c r="E2177" s="445" t="s">
        <v>275</v>
      </c>
      <c r="F2177" s="386">
        <v>2.0</v>
      </c>
      <c r="G2177" s="74">
        <v>830000.0</v>
      </c>
      <c r="H2177" s="74">
        <v>0.0</v>
      </c>
      <c r="I2177" s="74">
        <f t="shared" si="1"/>
        <v>1660000</v>
      </c>
      <c r="J2177" s="74">
        <f>IF(E2177="SERVICE",I2177-(I2177*50%),Vlookup(E2177,DATABASE!C:Q,10,false)*F2177)</f>
        <v>0</v>
      </c>
      <c r="K2177" s="74">
        <v>735000.0</v>
      </c>
      <c r="L2177" s="74">
        <v>735000.0</v>
      </c>
      <c r="M2177" s="74">
        <f t="shared" si="2"/>
        <v>735000</v>
      </c>
      <c r="N2177" s="74">
        <f t="shared" si="3"/>
        <v>190000</v>
      </c>
      <c r="O2177" s="65" t="str">
        <f>VLOOKUP(E2177,DATABASE!C:Q,8,false)</f>
        <v>IBU</v>
      </c>
      <c r="P2177" s="65">
        <f>VLOOKUP(E2177,DATABASE!C:Q,9,False)</f>
        <v>1</v>
      </c>
      <c r="Q2177" s="93" t="str">
        <f>VLOOKUP(E2177,DATABASE!C:Q,4,false)</f>
        <v>Dunlop</v>
      </c>
      <c r="R2177" s="93" t="str">
        <f>VLOOKUP(E2177,DATABASE!C:Q,11,false)</f>
        <v>Tire</v>
      </c>
    </row>
    <row r="2178" ht="22.5" customHeight="1">
      <c r="A2178" s="49"/>
      <c r="C2178" s="384">
        <v>45769.0</v>
      </c>
      <c r="D2178" s="65">
        <v>5347.0</v>
      </c>
      <c r="E2178" s="445" t="s">
        <v>624</v>
      </c>
      <c r="F2178" s="386">
        <v>1.0</v>
      </c>
      <c r="G2178" s="74">
        <v>110000.0</v>
      </c>
      <c r="H2178" s="74">
        <v>0.0</v>
      </c>
      <c r="I2178" s="74">
        <f t="shared" si="1"/>
        <v>110000</v>
      </c>
      <c r="J2178" s="74">
        <f>IF(E2178="SERVICE",I2178-(I2178*50%),Vlookup(E2178,DATABASE!C:Q,10,false)*F2178)</f>
        <v>0</v>
      </c>
      <c r="K2178" s="74">
        <f>VLOOKUP(E2178,DATABASE!C:Q,7,false)</f>
        <v>60500</v>
      </c>
      <c r="L2178" s="74">
        <v>60500.0</v>
      </c>
      <c r="M2178" s="74">
        <f t="shared" si="2"/>
        <v>65000</v>
      </c>
      <c r="N2178" s="74">
        <f t="shared" si="3"/>
        <v>45000</v>
      </c>
      <c r="O2178" s="65" t="str">
        <f>VLOOKUP(E2178,DATABASE!C:Q,8,false)</f>
        <v>BIAN</v>
      </c>
      <c r="P2178" s="65">
        <f>VLOOKUP(E2178,DATABASE!C:Q,9,False)</f>
        <v>1</v>
      </c>
      <c r="Q2178" s="93" t="str">
        <f>VLOOKUP(E2178,DATABASE!C:Q,4,false)</f>
        <v>BD</v>
      </c>
      <c r="R2178" s="93" t="str">
        <f>VLOOKUP(E2178,DATABASE!C:Q,11,false)</f>
        <v>Tire</v>
      </c>
    </row>
    <row r="2179" ht="22.5" customHeight="1">
      <c r="A2179" s="49"/>
      <c r="C2179" s="384">
        <v>45769.0</v>
      </c>
      <c r="D2179" s="65">
        <v>5348.0</v>
      </c>
      <c r="E2179" s="445" t="s">
        <v>554</v>
      </c>
      <c r="F2179" s="386">
        <v>2.0</v>
      </c>
      <c r="G2179" s="74">
        <v>800000.0</v>
      </c>
      <c r="H2179" s="74">
        <v>0.0</v>
      </c>
      <c r="I2179" s="74">
        <f t="shared" si="1"/>
        <v>1600000</v>
      </c>
      <c r="J2179" s="74">
        <f>IF(E2179="SERVICE",I2179-(I2179*50%),Vlookup(E2179,DATABASE!C:Q,10,false)*F2179)</f>
        <v>0</v>
      </c>
      <c r="K2179" s="74">
        <f>VLOOKUP(E2179,DATABASE!C:Q,7,false)</f>
        <v>710000</v>
      </c>
      <c r="L2179" s="74">
        <v>680000.0</v>
      </c>
      <c r="M2179" s="74">
        <f t="shared" si="2"/>
        <v>680000</v>
      </c>
      <c r="N2179" s="74">
        <f t="shared" si="3"/>
        <v>240000</v>
      </c>
      <c r="O2179" s="65" t="str">
        <f>VLOOKUP(E2179,DATABASE!C:Q,8,false)</f>
        <v>IBU</v>
      </c>
      <c r="P2179" s="65">
        <f>VLOOKUP(E2179,DATABASE!C:Q,9,False)</f>
        <v>1</v>
      </c>
      <c r="Q2179" s="93" t="str">
        <f>VLOOKUP(E2179,DATABASE!C:Q,4,false)</f>
        <v>Bridgestone</v>
      </c>
      <c r="R2179" s="93" t="str">
        <f>VLOOKUP(E2179,DATABASE!C:Q,11,false)</f>
        <v>Tire</v>
      </c>
    </row>
    <row r="2180" ht="22.5" customHeight="1">
      <c r="A2180" s="49"/>
      <c r="C2180" s="384">
        <v>45770.0</v>
      </c>
      <c r="D2180" s="65">
        <v>5349.0</v>
      </c>
      <c r="E2180" s="445" t="s">
        <v>268</v>
      </c>
      <c r="F2180" s="386">
        <v>5.0</v>
      </c>
      <c r="G2180" s="74">
        <v>700000.0</v>
      </c>
      <c r="H2180" s="74">
        <v>0.0</v>
      </c>
      <c r="I2180" s="74">
        <f t="shared" si="1"/>
        <v>3500000</v>
      </c>
      <c r="J2180" s="74">
        <f>IF(E2180="SERVICE",I2180-(I2180*50%),Vlookup(E2180,DATABASE!C:Q,10,false)*F2180)</f>
        <v>0</v>
      </c>
      <c r="K2180" s="74">
        <v>613000.0</v>
      </c>
      <c r="L2180" s="74">
        <v>613000.0</v>
      </c>
      <c r="M2180" s="74">
        <f t="shared" si="2"/>
        <v>615000</v>
      </c>
      <c r="N2180" s="74">
        <f t="shared" si="3"/>
        <v>425000</v>
      </c>
      <c r="O2180" s="65" t="str">
        <f>VLOOKUP(E2180,DATABASE!C:Q,8,false)</f>
        <v>IBU</v>
      </c>
      <c r="P2180" s="65">
        <f>VLOOKUP(E2180,DATABASE!C:Q,9,False)</f>
        <v>1</v>
      </c>
      <c r="Q2180" s="93" t="str">
        <f>VLOOKUP(E2180,DATABASE!C:Q,4,false)</f>
        <v>Dunlop</v>
      </c>
      <c r="R2180" s="93" t="str">
        <f>VLOOKUP(E2180,DATABASE!C:Q,11,false)</f>
        <v>Tire</v>
      </c>
    </row>
    <row r="2181" ht="22.5" customHeight="1">
      <c r="A2181" s="49"/>
      <c r="C2181" s="384">
        <v>45770.0</v>
      </c>
      <c r="D2181" s="65">
        <v>5349.0</v>
      </c>
      <c r="E2181" s="445" t="s">
        <v>250</v>
      </c>
      <c r="F2181" s="386">
        <v>2.0</v>
      </c>
      <c r="G2181" s="74">
        <v>135000.0</v>
      </c>
      <c r="H2181" s="74">
        <v>0.0</v>
      </c>
      <c r="I2181" s="74">
        <f t="shared" si="1"/>
        <v>270000</v>
      </c>
      <c r="J2181" s="74">
        <f>IF(E2181="SERVICE",I2181-(I2181*50%),Vlookup(E2181,DATABASE!C:Q,10,false)*F2181)</f>
        <v>0</v>
      </c>
      <c r="K2181" s="74">
        <f>VLOOKUP(E2181,DATABASE!C:Q,7,false)</f>
        <v>102000</v>
      </c>
      <c r="L2181" s="74">
        <v>102000.0</v>
      </c>
      <c r="M2181" s="74">
        <f t="shared" si="2"/>
        <v>105000</v>
      </c>
      <c r="N2181" s="74">
        <f t="shared" si="3"/>
        <v>60000</v>
      </c>
      <c r="O2181" s="65" t="str">
        <f>VLOOKUP(E2181,DATABASE!C:Q,8,false)</f>
        <v>BIAN</v>
      </c>
      <c r="P2181" s="65">
        <f>VLOOKUP(E2181,DATABASE!C:Q,9,False)</f>
        <v>1</v>
      </c>
      <c r="Q2181" s="93" t="str">
        <f>VLOOKUP(E2181,DATABASE!C:Q,4,false)</f>
        <v>BD</v>
      </c>
      <c r="R2181" s="93" t="str">
        <f>VLOOKUP(E2181,DATABASE!C:Q,11,false)</f>
        <v>Tire</v>
      </c>
    </row>
    <row r="2182" ht="22.5" customHeight="1">
      <c r="A2182" s="49"/>
      <c r="C2182" s="384">
        <v>45770.0</v>
      </c>
      <c r="D2182" s="65">
        <v>5350.0</v>
      </c>
      <c r="E2182" s="445" t="s">
        <v>1507</v>
      </c>
      <c r="F2182" s="386">
        <v>2.0</v>
      </c>
      <c r="G2182" s="74">
        <v>680000.0</v>
      </c>
      <c r="H2182" s="74">
        <v>0.0</v>
      </c>
      <c r="I2182" s="74">
        <f t="shared" si="1"/>
        <v>1360000</v>
      </c>
      <c r="J2182" s="74">
        <f>IF(E2182="SERVICE",I2182-(I2182*50%),Vlookup(E2182,DATABASE!C:Q,10,false)*F2182)</f>
        <v>0</v>
      </c>
      <c r="K2182" s="74">
        <f>VLOOKUP(E2182,DATABASE!C:Q,7,false)</f>
        <v>638500</v>
      </c>
      <c r="L2182" s="74">
        <v>638500.0</v>
      </c>
      <c r="M2182" s="74">
        <f t="shared" si="2"/>
        <v>640000</v>
      </c>
      <c r="N2182" s="74">
        <f t="shared" si="3"/>
        <v>80000</v>
      </c>
      <c r="O2182" s="65" t="str">
        <f>VLOOKUP(E2182,DATABASE!C:Q,8,false)</f>
        <v>IBU</v>
      </c>
      <c r="P2182" s="65">
        <f>VLOOKUP(E2182,DATABASE!C:Q,9,False)</f>
        <v>1</v>
      </c>
      <c r="Q2182" s="93" t="str">
        <f>VLOOKUP(E2182,DATABASE!C:Q,4,false)</f>
        <v>Dunlop</v>
      </c>
      <c r="R2182" s="93" t="str">
        <f>VLOOKUP(E2182,DATABASE!C:Q,11,false)</f>
        <v>Tire</v>
      </c>
    </row>
    <row r="2183" ht="22.5" customHeight="1">
      <c r="A2183" s="49"/>
      <c r="C2183" s="384">
        <v>45770.0</v>
      </c>
      <c r="D2183" s="65">
        <v>5351.0</v>
      </c>
      <c r="E2183" s="445" t="s">
        <v>275</v>
      </c>
      <c r="F2183" s="386">
        <v>1.0</v>
      </c>
      <c r="G2183" s="74">
        <v>830000.0</v>
      </c>
      <c r="H2183" s="74">
        <v>0.0</v>
      </c>
      <c r="I2183" s="74">
        <f t="shared" si="1"/>
        <v>830000</v>
      </c>
      <c r="J2183" s="74">
        <f>IF(E2183="SERVICE",I2183-(I2183*50%),Vlookup(E2183,DATABASE!C:Q,10,false)*F2183)</f>
        <v>0</v>
      </c>
      <c r="K2183" s="74">
        <v>735000.0</v>
      </c>
      <c r="L2183" s="74">
        <v>735000.0</v>
      </c>
      <c r="M2183" s="74">
        <f t="shared" si="2"/>
        <v>735000</v>
      </c>
      <c r="N2183" s="74">
        <f t="shared" si="3"/>
        <v>95000</v>
      </c>
      <c r="O2183" s="65" t="str">
        <f>VLOOKUP(E2183,DATABASE!C:Q,8,false)</f>
        <v>IBU</v>
      </c>
      <c r="P2183" s="65">
        <f>VLOOKUP(E2183,DATABASE!C:Q,9,False)</f>
        <v>1</v>
      </c>
      <c r="Q2183" s="93" t="str">
        <f>VLOOKUP(E2183,DATABASE!C:Q,4,false)</f>
        <v>Dunlop</v>
      </c>
      <c r="R2183" s="93" t="str">
        <f>VLOOKUP(E2183,DATABASE!C:Q,11,false)</f>
        <v>Tire</v>
      </c>
    </row>
    <row r="2184" ht="22.5" customHeight="1">
      <c r="A2184" s="49"/>
      <c r="C2184" s="384">
        <v>45770.0</v>
      </c>
      <c r="D2184" s="65">
        <v>5351.0</v>
      </c>
      <c r="E2184" s="445" t="s">
        <v>262</v>
      </c>
      <c r="F2184" s="386">
        <v>1.0</v>
      </c>
      <c r="G2184" s="74">
        <v>110000.0</v>
      </c>
      <c r="H2184" s="74">
        <v>0.0</v>
      </c>
      <c r="I2184" s="74">
        <f t="shared" si="1"/>
        <v>110000</v>
      </c>
      <c r="J2184" s="74">
        <f>IF(E2184="SERVICE",I2184-(I2184*50%),Vlookup(E2184,DATABASE!C:Q,10,false)*F2184)</f>
        <v>5000</v>
      </c>
      <c r="K2184" s="74">
        <f>VLOOKUP(E2184,DATABASE!C:Q,7,false)</f>
        <v>0</v>
      </c>
      <c r="L2184" s="74">
        <v>0.0</v>
      </c>
      <c r="M2184" s="74">
        <f t="shared" si="2"/>
        <v>0</v>
      </c>
      <c r="N2184" s="74">
        <f t="shared" si="3"/>
        <v>105000</v>
      </c>
      <c r="O2184" s="65" t="str">
        <f>VLOOKUP(E2184,DATABASE!C:Q,8,false)</f>
        <v>IBU</v>
      </c>
      <c r="P2184" s="65">
        <f>VLOOKUP(E2184,DATABASE!C:Q,9,False)</f>
        <v>0</v>
      </c>
      <c r="Q2184" s="93" t="str">
        <f>VLOOKUP(E2184,DATABASE!C:Q,4,false)</f>
        <v>SPOORING SS/CARRY LOS BAK</v>
      </c>
      <c r="R2184" s="93" t="str">
        <f>VLOOKUP(E2184,DATABASE!C:Q,11,false)</f>
        <v>SERVICE</v>
      </c>
    </row>
    <row r="2185" ht="22.5" customHeight="1">
      <c r="A2185" s="49"/>
      <c r="C2185" s="384">
        <v>45770.0</v>
      </c>
      <c r="D2185" s="65">
        <v>5352.0</v>
      </c>
      <c r="E2185" s="445" t="s">
        <v>937</v>
      </c>
      <c r="F2185" s="386">
        <v>2.0</v>
      </c>
      <c r="G2185" s="74">
        <v>900000.0</v>
      </c>
      <c r="H2185" s="74">
        <v>0.0</v>
      </c>
      <c r="I2185" s="74">
        <f t="shared" si="1"/>
        <v>1800000</v>
      </c>
      <c r="J2185" s="74">
        <f>IF(E2185="SERVICE",I2185-(I2185*50%),Vlookup(E2185,DATABASE!C:Q,10,false)*F2185)</f>
        <v>0</v>
      </c>
      <c r="K2185" s="74">
        <f>VLOOKUP(E2185,DATABASE!C:Q,7,false)</f>
        <v>825000</v>
      </c>
      <c r="L2185" s="74">
        <v>790000.0</v>
      </c>
      <c r="M2185" s="74">
        <f t="shared" si="2"/>
        <v>790000</v>
      </c>
      <c r="N2185" s="74">
        <f t="shared" si="3"/>
        <v>220000</v>
      </c>
      <c r="O2185" s="65" t="str">
        <f>VLOOKUP(E2185,DATABASE!C:Q,8,false)</f>
        <v>IBU</v>
      </c>
      <c r="P2185" s="65">
        <f>VLOOKUP(E2185,DATABASE!C:Q,9,False)</f>
        <v>1</v>
      </c>
      <c r="Q2185" s="93" t="str">
        <f>VLOOKUP(E2185,DATABASE!C:Q,4,false)</f>
        <v>Bridgestone</v>
      </c>
      <c r="R2185" s="93" t="str">
        <f>VLOOKUP(E2185,DATABASE!C:Q,11,false)</f>
        <v>Tire</v>
      </c>
    </row>
    <row r="2186" ht="22.5" customHeight="1">
      <c r="A2186" s="49"/>
      <c r="C2186" s="384">
        <v>45770.0</v>
      </c>
      <c r="D2186" s="65">
        <v>5353.0</v>
      </c>
      <c r="E2186" s="445" t="s">
        <v>957</v>
      </c>
      <c r="F2186" s="386">
        <v>2.0</v>
      </c>
      <c r="G2186" s="74">
        <v>870000.0</v>
      </c>
      <c r="H2186" s="74">
        <v>0.0</v>
      </c>
      <c r="I2186" s="74">
        <f t="shared" si="1"/>
        <v>1740000</v>
      </c>
      <c r="J2186" s="74">
        <f>IF(E2186="SERVICE",I2186-(I2186*50%),Vlookup(E2186,DATABASE!C:Q,10,false)*F2186)</f>
        <v>0</v>
      </c>
      <c r="K2186" s="74">
        <f>VLOOKUP(E2186,DATABASE!C:Q,7,false)</f>
        <v>773337.5</v>
      </c>
      <c r="L2186" s="74">
        <v>762048.0</v>
      </c>
      <c r="M2186" s="74">
        <f t="shared" si="2"/>
        <v>765000</v>
      </c>
      <c r="N2186" s="74">
        <f t="shared" si="3"/>
        <v>210000</v>
      </c>
      <c r="O2186" s="65" t="str">
        <f>VLOOKUP(E2186,DATABASE!C:Q,8,false)</f>
        <v>IBU</v>
      </c>
      <c r="P2186" s="65">
        <f>VLOOKUP(E2186,DATABASE!C:Q,9,False)</f>
        <v>1</v>
      </c>
      <c r="Q2186" s="93" t="str">
        <f>VLOOKUP(E2186,DATABASE!C:Q,4,false)</f>
        <v>Bridgestone</v>
      </c>
      <c r="R2186" s="93" t="str">
        <f>VLOOKUP(E2186,DATABASE!C:Q,11,false)</f>
        <v>Tire</v>
      </c>
    </row>
    <row r="2187" ht="22.5" customHeight="1">
      <c r="A2187" s="49"/>
      <c r="C2187" s="384">
        <v>45770.0</v>
      </c>
      <c r="D2187" s="65">
        <v>5354.0</v>
      </c>
      <c r="E2187" s="445" t="s">
        <v>932</v>
      </c>
      <c r="F2187" s="386">
        <v>2.0</v>
      </c>
      <c r="G2187" s="74">
        <v>670000.0</v>
      </c>
      <c r="H2187" s="74">
        <v>0.0</v>
      </c>
      <c r="I2187" s="74">
        <f t="shared" si="1"/>
        <v>1340000</v>
      </c>
      <c r="J2187" s="74">
        <f>IF(E2187="SERVICE",I2187-(I2187*50%),Vlookup(E2187,DATABASE!C:Q,10,false)*F2187)</f>
        <v>0</v>
      </c>
      <c r="K2187" s="74">
        <v>575000.0</v>
      </c>
      <c r="L2187" s="74">
        <v>575000.0</v>
      </c>
      <c r="M2187" s="74">
        <f t="shared" si="2"/>
        <v>575000</v>
      </c>
      <c r="N2187" s="74">
        <f t="shared" si="3"/>
        <v>190000</v>
      </c>
      <c r="O2187" s="65" t="str">
        <f>VLOOKUP(E2187,DATABASE!C:Q,8,false)</f>
        <v>IBU</v>
      </c>
      <c r="P2187" s="65">
        <f>VLOOKUP(E2187,DATABASE!C:Q,9,False)</f>
        <v>1</v>
      </c>
      <c r="Q2187" s="93" t="str">
        <f>VLOOKUP(E2187,DATABASE!C:Q,4,false)</f>
        <v>Dunlop</v>
      </c>
      <c r="R2187" s="93" t="str">
        <f>VLOOKUP(E2187,DATABASE!C:Q,11,false)</f>
        <v>Tire</v>
      </c>
    </row>
    <row r="2188" ht="22.5" customHeight="1">
      <c r="A2188" s="49"/>
      <c r="C2188" s="384">
        <v>45770.0</v>
      </c>
      <c r="D2188" s="65">
        <v>5355.0</v>
      </c>
      <c r="E2188" s="445" t="s">
        <v>2140</v>
      </c>
      <c r="F2188" s="386">
        <v>1.0</v>
      </c>
      <c r="G2188" s="74">
        <v>35000.0</v>
      </c>
      <c r="H2188" s="74">
        <v>0.0</v>
      </c>
      <c r="I2188" s="74">
        <f t="shared" si="1"/>
        <v>35000</v>
      </c>
      <c r="J2188" s="74">
        <f>IF(E2188="SERVICE",I2188-(I2188*50%),Vlookup(E2188,DATABASE!C:Q,10,false)*F2188)</f>
        <v>0</v>
      </c>
      <c r="K2188" s="74">
        <f>VLOOKUP(E2188,DATABASE!C:Q,7,false)</f>
        <v>5000</v>
      </c>
      <c r="L2188" s="74">
        <v>0.0</v>
      </c>
      <c r="M2188" s="74">
        <f t="shared" si="2"/>
        <v>0</v>
      </c>
      <c r="N2188" s="74">
        <f t="shared" si="3"/>
        <v>35000</v>
      </c>
      <c r="O2188" s="65" t="str">
        <f>VLOOKUP(E2188,DATABASE!C:Q,8,false)</f>
        <v>IBU</v>
      </c>
      <c r="P2188" s="65">
        <f>VLOOKUP(E2188,DATABASE!C:Q,9,False)</f>
        <v>0</v>
      </c>
      <c r="Q2188" s="93" t="str">
        <f>VLOOKUP(E2188,DATABASE!C:Q,4,false)</f>
        <v>PENTIL + PASANG</v>
      </c>
      <c r="R2188" s="93" t="str">
        <f>VLOOKUP(E2188,DATABASE!C:Q,11,false)</f>
        <v>COMPLEMENTARY</v>
      </c>
    </row>
    <row r="2189" ht="22.5" customHeight="1">
      <c r="A2189" s="49"/>
      <c r="C2189" s="384">
        <v>45770.0</v>
      </c>
      <c r="D2189" s="65">
        <v>5356.0</v>
      </c>
      <c r="E2189" s="445" t="s">
        <v>268</v>
      </c>
      <c r="F2189" s="386">
        <v>2.0</v>
      </c>
      <c r="G2189" s="74">
        <v>700000.0</v>
      </c>
      <c r="H2189" s="74">
        <v>0.0</v>
      </c>
      <c r="I2189" s="74">
        <f t="shared" si="1"/>
        <v>1400000</v>
      </c>
      <c r="J2189" s="74">
        <f>IF(E2189="SERVICE",I2189-(I2189*50%),Vlookup(E2189,DATABASE!C:Q,10,false)*F2189)</f>
        <v>0</v>
      </c>
      <c r="K2189" s="74">
        <v>613000.0</v>
      </c>
      <c r="L2189" s="74">
        <v>613000.0</v>
      </c>
      <c r="M2189" s="74">
        <f t="shared" si="2"/>
        <v>615000</v>
      </c>
      <c r="N2189" s="74">
        <f t="shared" si="3"/>
        <v>170000</v>
      </c>
      <c r="O2189" s="65" t="str">
        <f>VLOOKUP(E2189,DATABASE!C:Q,8,false)</f>
        <v>IBU</v>
      </c>
      <c r="P2189" s="65">
        <f>VLOOKUP(E2189,DATABASE!C:Q,9,False)</f>
        <v>1</v>
      </c>
      <c r="Q2189" s="93" t="str">
        <f>VLOOKUP(E2189,DATABASE!C:Q,4,false)</f>
        <v>Dunlop</v>
      </c>
      <c r="R2189" s="93" t="str">
        <f>VLOOKUP(E2189,DATABASE!C:Q,11,false)</f>
        <v>Tire</v>
      </c>
    </row>
    <row r="2190" ht="22.5" customHeight="1">
      <c r="A2190" s="49"/>
      <c r="C2190" s="384">
        <v>45770.0</v>
      </c>
      <c r="D2190" s="65">
        <v>5357.0</v>
      </c>
      <c r="E2190" s="445" t="s">
        <v>1524</v>
      </c>
      <c r="F2190" s="386">
        <v>2.0</v>
      </c>
      <c r="G2190" s="74">
        <v>1035000.0</v>
      </c>
      <c r="H2190" s="74">
        <v>0.0</v>
      </c>
      <c r="I2190" s="74">
        <f t="shared" si="1"/>
        <v>2070000</v>
      </c>
      <c r="J2190" s="74">
        <f>IF(E2190="SERVICE",I2190-(I2190*50%),Vlookup(E2190,DATABASE!C:Q,10,false)*F2190)</f>
        <v>0</v>
      </c>
      <c r="K2190" s="74">
        <f>VLOOKUP(E2190,DATABASE!C:Q,7,false)</f>
        <v>1028000</v>
      </c>
      <c r="L2190" s="74">
        <v>1028000.0</v>
      </c>
      <c r="M2190" s="74">
        <f t="shared" si="2"/>
        <v>1030000</v>
      </c>
      <c r="N2190" s="74">
        <f t="shared" si="3"/>
        <v>10000</v>
      </c>
      <c r="O2190" s="65" t="str">
        <f>VLOOKUP(E2190,DATABASE!C:Q,8,false)</f>
        <v>IBU</v>
      </c>
      <c r="P2190" s="65">
        <f>VLOOKUP(E2190,DATABASE!C:Q,9,False)</f>
        <v>1</v>
      </c>
      <c r="Q2190" s="93" t="str">
        <f>VLOOKUP(E2190,DATABASE!C:Q,4,false)</f>
        <v>Dunlop</v>
      </c>
      <c r="R2190" s="93" t="str">
        <f>VLOOKUP(E2190,DATABASE!C:Q,11,false)</f>
        <v>Tire</v>
      </c>
    </row>
    <row r="2191" ht="22.5" customHeight="1">
      <c r="A2191" s="49"/>
      <c r="C2191" s="384">
        <v>45770.0</v>
      </c>
      <c r="D2191" s="65">
        <v>5357.0</v>
      </c>
      <c r="E2191" s="445" t="s">
        <v>1175</v>
      </c>
      <c r="F2191" s="386">
        <v>2.0</v>
      </c>
      <c r="G2191" s="74">
        <v>925000.0</v>
      </c>
      <c r="H2191" s="74">
        <v>0.0</v>
      </c>
      <c r="I2191" s="74">
        <f t="shared" si="1"/>
        <v>1850000</v>
      </c>
      <c r="J2191" s="74">
        <f>IF(E2191="SERVICE",I2191-(I2191*50%),Vlookup(E2191,DATABASE!C:Q,10,false)*F2191)</f>
        <v>0</v>
      </c>
      <c r="K2191" s="74">
        <f>VLOOKUP(E2191,DATABASE!C:Q,7,false)</f>
        <v>889369.5</v>
      </c>
      <c r="L2191" s="74">
        <v>846720.0</v>
      </c>
      <c r="M2191" s="74">
        <f t="shared" si="2"/>
        <v>850000</v>
      </c>
      <c r="N2191" s="74">
        <f t="shared" si="3"/>
        <v>150000</v>
      </c>
      <c r="O2191" s="65" t="str">
        <f>VLOOKUP(E2191,DATABASE!C:Q,8,false)</f>
        <v>IBU</v>
      </c>
      <c r="P2191" s="65">
        <f>VLOOKUP(E2191,DATABASE!C:Q,9,False)</f>
        <v>1</v>
      </c>
      <c r="Q2191" s="93" t="str">
        <f>VLOOKUP(E2191,DATABASE!C:Q,4,false)</f>
        <v>Bridgestone</v>
      </c>
      <c r="R2191" s="93" t="str">
        <f>VLOOKUP(E2191,DATABASE!C:Q,11,false)</f>
        <v>Tire</v>
      </c>
    </row>
    <row r="2192" ht="22.5" customHeight="1">
      <c r="A2192" s="49"/>
      <c r="C2192" s="384">
        <v>45770.0</v>
      </c>
      <c r="D2192" s="65">
        <v>5357.0</v>
      </c>
      <c r="E2192" s="385" t="s">
        <v>299</v>
      </c>
      <c r="F2192" s="386">
        <v>2.0</v>
      </c>
      <c r="G2192" s="74">
        <v>30000.0</v>
      </c>
      <c r="H2192" s="74">
        <v>0.0</v>
      </c>
      <c r="I2192" s="74">
        <f t="shared" si="1"/>
        <v>60000</v>
      </c>
      <c r="J2192" s="74">
        <f>IF(E2192="SERVICE",I2192-(I2192*50%),Vlookup(E2192,DATABASE!C:Q,10,false)*F2192)</f>
        <v>0</v>
      </c>
      <c r="K2192" s="74">
        <v>0.0</v>
      </c>
      <c r="L2192" s="74">
        <v>0.0</v>
      </c>
      <c r="M2192" s="74">
        <f t="shared" si="2"/>
        <v>0</v>
      </c>
      <c r="N2192" s="74">
        <f t="shared" si="3"/>
        <v>60000</v>
      </c>
      <c r="O2192" s="65" t="str">
        <f>VLOOKUP(E2192,DATABASE!C:Q,8,false)</f>
        <v>BIAN</v>
      </c>
      <c r="P2192" s="65">
        <f>VLOOKUP(E2192,DATABASE!C:Q,9,False)</f>
        <v>0</v>
      </c>
      <c r="Q2192" s="93" t="str">
        <f>VLOOKUP(E2192,DATABASE!C:Q,4,false)</f>
        <v>Balancing</v>
      </c>
      <c r="R2192" s="93" t="str">
        <f>VLOOKUP(E2192,DATABASE!C:Q,11,false)</f>
        <v>COMPLEMENTARY</v>
      </c>
    </row>
    <row r="2193" ht="22.5" customHeight="1">
      <c r="A2193" s="49"/>
      <c r="C2193" s="384">
        <v>45770.0</v>
      </c>
      <c r="D2193" s="65">
        <v>5357.0</v>
      </c>
      <c r="E2193" s="445" t="s">
        <v>256</v>
      </c>
      <c r="F2193" s="386">
        <v>1.0</v>
      </c>
      <c r="G2193" s="74">
        <v>130000.0</v>
      </c>
      <c r="H2193" s="74">
        <v>0.0</v>
      </c>
      <c r="I2193" s="74">
        <f t="shared" si="1"/>
        <v>130000</v>
      </c>
      <c r="J2193" s="74">
        <f>IF(E2193="SERVICE",I2193-(I2193*50%),Vlookup(E2193,DATABASE!C:Q,10,false)*F2193)</f>
        <v>10000</v>
      </c>
      <c r="K2193" s="74">
        <f>VLOOKUP(E2193,DATABASE!C:Q,7,false)</f>
        <v>0</v>
      </c>
      <c r="L2193" s="74">
        <v>0.0</v>
      </c>
      <c r="M2193" s="74">
        <f t="shared" si="2"/>
        <v>0</v>
      </c>
      <c r="N2193" s="74">
        <f t="shared" si="3"/>
        <v>120000</v>
      </c>
      <c r="O2193" s="65" t="str">
        <f>VLOOKUP(E2193,DATABASE!C:Q,8,false)</f>
        <v>IBU</v>
      </c>
      <c r="P2193" s="65">
        <f>VLOOKUP(E2193,DATABASE!C:Q,9,False)</f>
        <v>0</v>
      </c>
      <c r="Q2193" s="93" t="str">
        <f>VLOOKUP(E2193,DATABASE!C:Q,4,false)</f>
        <v>SPOORING</v>
      </c>
      <c r="R2193" s="93" t="str">
        <f>VLOOKUP(E2193,DATABASE!C:Q,11,false)</f>
        <v>SERVICE</v>
      </c>
    </row>
    <row r="2194" ht="22.5" customHeight="1">
      <c r="A2194" s="49"/>
      <c r="C2194" s="384">
        <v>45770.0</v>
      </c>
      <c r="D2194" s="65">
        <v>5357.0</v>
      </c>
      <c r="E2194" s="445" t="s">
        <v>301</v>
      </c>
      <c r="F2194" s="386">
        <v>1.0</v>
      </c>
      <c r="G2194" s="74">
        <v>250000.0</v>
      </c>
      <c r="H2194" s="74">
        <v>0.0</v>
      </c>
      <c r="I2194" s="74">
        <f t="shared" si="1"/>
        <v>250000</v>
      </c>
      <c r="J2194" s="74">
        <f>IF(E2194="SERVICE",I2194-(I2194*50%),Vlookup(E2194,DATABASE!C:Q,10,false)*F2194)</f>
        <v>75000</v>
      </c>
      <c r="K2194" s="74">
        <f>VLOOKUP(E2194,DATABASE!C:Q,7,false)</f>
        <v>75000</v>
      </c>
      <c r="L2194" s="74">
        <v>75000.0</v>
      </c>
      <c r="M2194" s="74">
        <f t="shared" si="2"/>
        <v>75000</v>
      </c>
      <c r="N2194" s="74">
        <f t="shared" si="3"/>
        <v>100000</v>
      </c>
      <c r="O2194" s="65" t="str">
        <f>VLOOKUP(E2194,DATABASE!C:Q,8,false)</f>
        <v>BIAN</v>
      </c>
      <c r="P2194" s="65">
        <f>VLOOKUP(E2194,DATABASE!C:Q,9,False)</f>
        <v>0</v>
      </c>
      <c r="Q2194" s="93" t="str">
        <f>VLOOKUP(E2194,DATABASE!C:Q,4,false)</f>
        <v>Baut Camber</v>
      </c>
      <c r="R2194" s="93" t="str">
        <f>VLOOKUP(E2194,DATABASE!C:Q,11,false)</f>
        <v>COMPLEMENTARY</v>
      </c>
    </row>
    <row r="2195" ht="22.5" customHeight="1">
      <c r="A2195" s="49"/>
      <c r="C2195" s="384">
        <v>45770.0</v>
      </c>
      <c r="D2195" s="65">
        <v>5358.0</v>
      </c>
      <c r="E2195" s="445" t="s">
        <v>868</v>
      </c>
      <c r="F2195" s="386">
        <v>2.0</v>
      </c>
      <c r="G2195" s="74">
        <v>950000.0</v>
      </c>
      <c r="H2195" s="74">
        <v>0.0</v>
      </c>
      <c r="I2195" s="74">
        <f t="shared" si="1"/>
        <v>1900000</v>
      </c>
      <c r="J2195" s="74">
        <f>IF(E2195="SERVICE",I2195-(I2195*50%),Vlookup(E2195,DATABASE!C:Q,10,false)*F2195)</f>
        <v>0</v>
      </c>
      <c r="K2195" s="74">
        <f>VLOOKUP(E2195,DATABASE!C:Q,7,false)</f>
        <v>861200</v>
      </c>
      <c r="L2195" s="74">
        <v>836000.0</v>
      </c>
      <c r="M2195" s="74">
        <f t="shared" si="2"/>
        <v>840000</v>
      </c>
      <c r="N2195" s="74">
        <f t="shared" si="3"/>
        <v>220000</v>
      </c>
      <c r="O2195" s="65" t="str">
        <f>VLOOKUP(E2195,DATABASE!C:Q,8,false)</f>
        <v>BIAN</v>
      </c>
      <c r="P2195" s="65">
        <f>VLOOKUP(E2195,DATABASE!C:Q,9,False)</f>
        <v>1</v>
      </c>
      <c r="Q2195" s="93" t="str">
        <f>VLOOKUP(E2195,DATABASE!C:Q,4,false)</f>
        <v>GT</v>
      </c>
      <c r="R2195" s="93" t="str">
        <f>VLOOKUP(E2195,DATABASE!C:Q,11,false)</f>
        <v>Tire</v>
      </c>
    </row>
    <row r="2196" ht="22.5" customHeight="1">
      <c r="A2196" s="49"/>
      <c r="C2196" s="384">
        <v>45770.0</v>
      </c>
      <c r="D2196" s="65">
        <v>5358.0</v>
      </c>
      <c r="E2196" s="385" t="s">
        <v>299</v>
      </c>
      <c r="F2196" s="386">
        <v>2.0</v>
      </c>
      <c r="G2196" s="74">
        <v>30000.0</v>
      </c>
      <c r="H2196" s="74">
        <v>0.0</v>
      </c>
      <c r="I2196" s="74">
        <f t="shared" si="1"/>
        <v>60000</v>
      </c>
      <c r="J2196" s="74">
        <f>IF(E2196="SERVICE",I2196-(I2196*50%),Vlookup(E2196,DATABASE!C:Q,10,false)*F2196)</f>
        <v>0</v>
      </c>
      <c r="K2196" s="74">
        <v>0.0</v>
      </c>
      <c r="L2196" s="74">
        <v>0.0</v>
      </c>
      <c r="M2196" s="74">
        <f t="shared" si="2"/>
        <v>0</v>
      </c>
      <c r="N2196" s="74">
        <f t="shared" si="3"/>
        <v>60000</v>
      </c>
      <c r="O2196" s="65" t="str">
        <f>VLOOKUP(E2196,DATABASE!C:Q,8,false)</f>
        <v>BIAN</v>
      </c>
      <c r="P2196" s="65">
        <f>VLOOKUP(E2196,DATABASE!C:Q,9,False)</f>
        <v>0</v>
      </c>
      <c r="Q2196" s="93" t="str">
        <f>VLOOKUP(E2196,DATABASE!C:Q,4,false)</f>
        <v>Balancing</v>
      </c>
      <c r="R2196" s="93" t="str">
        <f>VLOOKUP(E2196,DATABASE!C:Q,11,false)</f>
        <v>COMPLEMENTARY</v>
      </c>
    </row>
    <row r="2197" ht="22.5" customHeight="1">
      <c r="A2197" s="49"/>
      <c r="C2197" s="384">
        <v>45771.0</v>
      </c>
      <c r="D2197" s="65">
        <v>5359.0</v>
      </c>
      <c r="E2197" s="445" t="s">
        <v>1427</v>
      </c>
      <c r="F2197" s="386">
        <v>1.0</v>
      </c>
      <c r="G2197" s="74">
        <v>800000.0</v>
      </c>
      <c r="H2197" s="74">
        <v>0.0</v>
      </c>
      <c r="I2197" s="74">
        <f t="shared" si="1"/>
        <v>800000</v>
      </c>
      <c r="J2197" s="74">
        <f>IF(E2197="SERVICE",I2197-(I2197*50%),Vlookup(E2197,DATABASE!C:Q,10,false)*F2197)</f>
        <v>0</v>
      </c>
      <c r="K2197" s="74">
        <f>VLOOKUP(E2197,DATABASE!C:Q,7,false)</f>
        <v>696500</v>
      </c>
      <c r="L2197" s="74">
        <v>689000.0</v>
      </c>
      <c r="M2197" s="74">
        <f t="shared" si="2"/>
        <v>690000</v>
      </c>
      <c r="N2197" s="74">
        <f t="shared" si="3"/>
        <v>110000</v>
      </c>
      <c r="O2197" s="65" t="str">
        <f>VLOOKUP(E2197,DATABASE!C:Q,8,false)</f>
        <v>IBU</v>
      </c>
      <c r="P2197" s="65">
        <f>VLOOKUP(E2197,DATABASE!C:Q,9,False)</f>
        <v>1</v>
      </c>
      <c r="Q2197" s="93" t="str">
        <f>VLOOKUP(E2197,DATABASE!C:Q,4,false)</f>
        <v>Dunlop</v>
      </c>
      <c r="R2197" s="93" t="str">
        <f>VLOOKUP(E2197,DATABASE!C:Q,11,false)</f>
        <v>Tire</v>
      </c>
    </row>
    <row r="2198" ht="22.5" customHeight="1">
      <c r="A2198" s="49"/>
      <c r="C2198" s="384">
        <v>45771.0</v>
      </c>
      <c r="D2198" s="65">
        <v>5360.0</v>
      </c>
      <c r="E2198" s="445" t="s">
        <v>791</v>
      </c>
      <c r="F2198" s="386">
        <v>1.0</v>
      </c>
      <c r="G2198" s="74">
        <v>1280000.0</v>
      </c>
      <c r="H2198" s="74">
        <v>0.0</v>
      </c>
      <c r="I2198" s="74">
        <f t="shared" si="1"/>
        <v>1280000</v>
      </c>
      <c r="J2198" s="74">
        <f>IF(E2198="SERVICE",I2198-(I2198*50%),Vlookup(E2198,DATABASE!C:Q,10,false)*F2198)</f>
        <v>0</v>
      </c>
      <c r="K2198" s="74">
        <f>VLOOKUP(E2198,DATABASE!C:Q,7,false)</f>
        <v>1210000</v>
      </c>
      <c r="L2198" s="74">
        <v>1180000.0</v>
      </c>
      <c r="M2198" s="74">
        <f t="shared" si="2"/>
        <v>1180000</v>
      </c>
      <c r="N2198" s="74">
        <f t="shared" si="3"/>
        <v>100000</v>
      </c>
      <c r="O2198" s="65" t="str">
        <f>VLOOKUP(E2198,DATABASE!C:Q,8,false)</f>
        <v>BIAN</v>
      </c>
      <c r="P2198" s="65">
        <f>VLOOKUP(E2198,DATABASE!C:Q,9,False)</f>
        <v>1</v>
      </c>
      <c r="Q2198" s="93" t="str">
        <f>VLOOKUP(E2198,DATABASE!C:Q,4,false)</f>
        <v>GT</v>
      </c>
      <c r="R2198" s="93" t="str">
        <f>VLOOKUP(E2198,DATABASE!C:Q,11,false)</f>
        <v>Tire</v>
      </c>
    </row>
    <row r="2199" ht="22.5" customHeight="1">
      <c r="A2199" s="49"/>
      <c r="C2199" s="384">
        <v>45771.0</v>
      </c>
      <c r="D2199" s="65">
        <v>5360.0</v>
      </c>
      <c r="E2199" s="445" t="s">
        <v>255</v>
      </c>
      <c r="F2199" s="386">
        <v>1.0</v>
      </c>
      <c r="G2199" s="74">
        <v>200000.0</v>
      </c>
      <c r="H2199" s="74">
        <v>0.0</v>
      </c>
      <c r="I2199" s="74">
        <f t="shared" si="1"/>
        <v>200000</v>
      </c>
      <c r="J2199" s="74">
        <f>IF(E2199="SERVICE",I2199-(I2199*50%),Vlookup(E2199,DATABASE!C:Q,10,false)*F2199)</f>
        <v>0</v>
      </c>
      <c r="K2199" s="74">
        <f>VLOOKUP(E2199,DATABASE!C:Q,7,false)</f>
        <v>161840</v>
      </c>
      <c r="L2199" s="74">
        <v>161840.0</v>
      </c>
      <c r="M2199" s="74">
        <f t="shared" si="2"/>
        <v>165000</v>
      </c>
      <c r="N2199" s="74">
        <f t="shared" si="3"/>
        <v>35000</v>
      </c>
      <c r="O2199" s="65" t="str">
        <f>VLOOKUP(E2199,DATABASE!C:Q,8,false)</f>
        <v>BIAN</v>
      </c>
      <c r="P2199" s="65">
        <f>VLOOKUP(E2199,DATABASE!C:Q,9,False)</f>
        <v>1</v>
      </c>
      <c r="Q2199" s="93" t="str">
        <f>VLOOKUP(E2199,DATABASE!C:Q,4,false)</f>
        <v>BD</v>
      </c>
      <c r="R2199" s="93" t="str">
        <f>VLOOKUP(E2199,DATABASE!C:Q,11,false)</f>
        <v>Tire</v>
      </c>
    </row>
    <row r="2200" ht="22.5" customHeight="1">
      <c r="A2200" s="49"/>
      <c r="C2200" s="384">
        <v>45771.0</v>
      </c>
      <c r="D2200" s="65">
        <v>5361.0</v>
      </c>
      <c r="E2200" s="445" t="s">
        <v>256</v>
      </c>
      <c r="F2200" s="386">
        <v>1.0</v>
      </c>
      <c r="G2200" s="74">
        <v>130000.0</v>
      </c>
      <c r="H2200" s="74">
        <v>0.0</v>
      </c>
      <c r="I2200" s="74">
        <f t="shared" si="1"/>
        <v>130000</v>
      </c>
      <c r="J2200" s="74">
        <f>IF(E2200="SERVICE",I2200-(I2200*50%),Vlookup(E2200,DATABASE!C:Q,10,false)*F2200)</f>
        <v>10000</v>
      </c>
      <c r="K2200" s="74">
        <f>VLOOKUP(E2200,DATABASE!C:Q,7,false)</f>
        <v>0</v>
      </c>
      <c r="L2200" s="74">
        <v>0.0</v>
      </c>
      <c r="M2200" s="74">
        <f t="shared" si="2"/>
        <v>0</v>
      </c>
      <c r="N2200" s="74">
        <f t="shared" si="3"/>
        <v>120000</v>
      </c>
      <c r="O2200" s="65" t="str">
        <f>VLOOKUP(E2200,DATABASE!C:Q,8,false)</f>
        <v>IBU</v>
      </c>
      <c r="P2200" s="65">
        <f>VLOOKUP(E2200,DATABASE!C:Q,9,False)</f>
        <v>0</v>
      </c>
      <c r="Q2200" s="93" t="str">
        <f>VLOOKUP(E2200,DATABASE!C:Q,4,false)</f>
        <v>SPOORING</v>
      </c>
      <c r="R2200" s="93" t="str">
        <f>VLOOKUP(E2200,DATABASE!C:Q,11,false)</f>
        <v>SERVICE</v>
      </c>
    </row>
    <row r="2201" ht="22.5" customHeight="1">
      <c r="A2201" s="49"/>
      <c r="C2201" s="384">
        <v>45771.0</v>
      </c>
      <c r="D2201" s="65">
        <v>5361.0</v>
      </c>
      <c r="E2201" s="445" t="s">
        <v>301</v>
      </c>
      <c r="F2201" s="386">
        <v>1.0</v>
      </c>
      <c r="G2201" s="74">
        <v>250000.0</v>
      </c>
      <c r="H2201" s="74">
        <v>0.0</v>
      </c>
      <c r="I2201" s="74">
        <f t="shared" si="1"/>
        <v>250000</v>
      </c>
      <c r="J2201" s="74">
        <f>IF(E2201="SERVICE",I2201-(I2201*50%),Vlookup(E2201,DATABASE!C:Q,10,false)*F2201)</f>
        <v>75000</v>
      </c>
      <c r="K2201" s="74">
        <f>VLOOKUP(E2201,DATABASE!C:Q,7,false)</f>
        <v>75000</v>
      </c>
      <c r="L2201" s="74">
        <v>75000.0</v>
      </c>
      <c r="M2201" s="74">
        <f t="shared" si="2"/>
        <v>75000</v>
      </c>
      <c r="N2201" s="74">
        <f t="shared" si="3"/>
        <v>100000</v>
      </c>
      <c r="O2201" s="65" t="str">
        <f>VLOOKUP(E2201,DATABASE!C:Q,8,false)</f>
        <v>BIAN</v>
      </c>
      <c r="P2201" s="65">
        <f>VLOOKUP(E2201,DATABASE!C:Q,9,False)</f>
        <v>0</v>
      </c>
      <c r="Q2201" s="93" t="str">
        <f>VLOOKUP(E2201,DATABASE!C:Q,4,false)</f>
        <v>Baut Camber</v>
      </c>
      <c r="R2201" s="93" t="str">
        <f>VLOOKUP(E2201,DATABASE!C:Q,11,false)</f>
        <v>COMPLEMENTARY</v>
      </c>
    </row>
    <row r="2202" ht="22.5" customHeight="1">
      <c r="A2202" s="49"/>
      <c r="C2202" s="384">
        <v>45771.0</v>
      </c>
      <c r="D2202" s="65">
        <v>5362.0</v>
      </c>
      <c r="E2202" s="445" t="s">
        <v>246</v>
      </c>
      <c r="F2202" s="386">
        <v>1.0</v>
      </c>
      <c r="G2202" s="74">
        <v>25000.0</v>
      </c>
      <c r="H2202" s="74">
        <v>0.0</v>
      </c>
      <c r="I2202" s="74">
        <f t="shared" si="1"/>
        <v>25000</v>
      </c>
      <c r="J2202" s="74">
        <f>IF(E2202="SERVICE",I2202-(I2202*50%),Vlookup(E2202,DATABASE!C:Q,10,false)*F2202)</f>
        <v>0</v>
      </c>
      <c r="K2202" s="74">
        <f>VLOOKUP(E2202,DATABASE!C:Q,7,false)</f>
        <v>0</v>
      </c>
      <c r="L2202" s="74">
        <v>0.0</v>
      </c>
      <c r="M2202" s="74">
        <f t="shared" si="2"/>
        <v>0</v>
      </c>
      <c r="N2202" s="74">
        <f t="shared" si="3"/>
        <v>25000</v>
      </c>
      <c r="O2202" s="65" t="str">
        <f>VLOOKUP(E2202,DATABASE!C:Q,8,false)</f>
        <v>IBU</v>
      </c>
      <c r="P2202" s="65">
        <f>VLOOKUP(E2202,DATABASE!C:Q,9,False)</f>
        <v>0</v>
      </c>
      <c r="Q2202" s="93" t="str">
        <f>VLOOKUP(E2202,DATABASE!C:Q,4,false)</f>
        <v>Bongkar Pasang</v>
      </c>
      <c r="R2202" s="93" t="str">
        <f>VLOOKUP(E2202,DATABASE!C:Q,11,false)</f>
        <v>SERVICE</v>
      </c>
    </row>
    <row r="2203" ht="22.5" customHeight="1">
      <c r="A2203" s="49"/>
      <c r="C2203" s="384">
        <v>45771.0</v>
      </c>
      <c r="D2203" s="65">
        <v>5363.0</v>
      </c>
      <c r="E2203" s="445" t="s">
        <v>566</v>
      </c>
      <c r="F2203" s="386">
        <v>1.0</v>
      </c>
      <c r="G2203" s="74">
        <v>1670000.0</v>
      </c>
      <c r="H2203" s="74">
        <v>0.0</v>
      </c>
      <c r="I2203" s="74">
        <f t="shared" si="1"/>
        <v>1670000</v>
      </c>
      <c r="J2203" s="74">
        <f>IF(E2203="SERVICE",I2203-(I2203*50%),Vlookup(E2203,DATABASE!C:Q,10,false)*F2203)</f>
        <v>0</v>
      </c>
      <c r="K2203" s="140">
        <v>1570000.0</v>
      </c>
      <c r="L2203" s="140">
        <v>1570000.0</v>
      </c>
      <c r="M2203" s="74">
        <f t="shared" si="2"/>
        <v>1570000</v>
      </c>
      <c r="N2203" s="74">
        <f t="shared" si="3"/>
        <v>100000</v>
      </c>
      <c r="O2203" s="65" t="str">
        <f>VLOOKUP(E2203,DATABASE!C:Q,8,false)</f>
        <v>IBU</v>
      </c>
      <c r="P2203" s="65">
        <f>VLOOKUP(E2203,DATABASE!C:Q,9,False)</f>
        <v>1</v>
      </c>
      <c r="Q2203" s="93" t="str">
        <f>VLOOKUP(E2203,DATABASE!C:Q,4,false)</f>
        <v>Bridgestone</v>
      </c>
      <c r="R2203" s="93" t="str">
        <f>VLOOKUP(E2203,DATABASE!C:Q,11,false)</f>
        <v>Tire</v>
      </c>
    </row>
    <row r="2204" ht="22.5" customHeight="1">
      <c r="A2204" s="49"/>
      <c r="C2204" s="384">
        <v>45771.0</v>
      </c>
      <c r="D2204" s="65">
        <v>5363.0</v>
      </c>
      <c r="E2204" s="445" t="s">
        <v>391</v>
      </c>
      <c r="F2204" s="386">
        <v>1.0</v>
      </c>
      <c r="G2204" s="74">
        <v>1950000.0</v>
      </c>
      <c r="H2204" s="74">
        <v>0.0</v>
      </c>
      <c r="I2204" s="74">
        <f t="shared" si="1"/>
        <v>1950000</v>
      </c>
      <c r="J2204" s="74">
        <f>IF(E2204="SERVICE",I2204-(I2204*50%),Vlookup(E2204,DATABASE!C:Q,10,false)*F2204)</f>
        <v>0</v>
      </c>
      <c r="K2204" s="74">
        <f>VLOOKUP(E2204,DATABASE!C:Q,7,false)</f>
        <v>1885000</v>
      </c>
      <c r="L2204" s="74">
        <v>1840000.0</v>
      </c>
      <c r="M2204" s="74">
        <f t="shared" si="2"/>
        <v>1840000</v>
      </c>
      <c r="N2204" s="74">
        <f t="shared" si="3"/>
        <v>110000</v>
      </c>
      <c r="O2204" s="65" t="str">
        <f>VLOOKUP(E2204,DATABASE!C:Q,8,false)</f>
        <v>BIAN</v>
      </c>
      <c r="P2204" s="65">
        <f>VLOOKUP(E2204,DATABASE!C:Q,9,False)</f>
        <v>1</v>
      </c>
      <c r="Q2204" s="93" t="str">
        <f>VLOOKUP(E2204,DATABASE!C:Q,4,false)</f>
        <v>Advance</v>
      </c>
      <c r="R2204" s="93" t="str">
        <f>VLOOKUP(E2204,DATABASE!C:Q,11,false)</f>
        <v>Tire</v>
      </c>
    </row>
    <row r="2205" ht="22.5" customHeight="1">
      <c r="A2205" s="49"/>
      <c r="C2205" s="384">
        <v>45771.0</v>
      </c>
      <c r="D2205" s="65">
        <v>5364.0</v>
      </c>
      <c r="E2205" s="445" t="s">
        <v>288</v>
      </c>
      <c r="F2205" s="386">
        <v>2.0</v>
      </c>
      <c r="G2205" s="74">
        <v>620000.0</v>
      </c>
      <c r="H2205" s="74">
        <v>0.0</v>
      </c>
      <c r="I2205" s="74">
        <f t="shared" si="1"/>
        <v>1240000</v>
      </c>
      <c r="J2205" s="74">
        <f>IF(E2205="SERVICE",I2205-(I2205*50%),Vlookup(E2205,DATABASE!C:Q,10,false)*F2205)</f>
        <v>0</v>
      </c>
      <c r="K2205" s="74">
        <f>VLOOKUP(E2205,DATABASE!C:Q,7,false)</f>
        <v>565760</v>
      </c>
      <c r="L2205" s="74">
        <v>524800.0</v>
      </c>
      <c r="M2205" s="74">
        <f t="shared" si="2"/>
        <v>525000</v>
      </c>
      <c r="N2205" s="74">
        <f t="shared" si="3"/>
        <v>190000</v>
      </c>
      <c r="O2205" s="65" t="str">
        <f>VLOOKUP(E2205,DATABASE!C:Q,8,false)</f>
        <v>BIAN</v>
      </c>
      <c r="P2205" s="65">
        <f>VLOOKUP(E2205,DATABASE!C:Q,9,False)</f>
        <v>1</v>
      </c>
      <c r="Q2205" s="93" t="str">
        <f>VLOOKUP(E2205,DATABASE!C:Q,4,false)</f>
        <v>GT</v>
      </c>
      <c r="R2205" s="93" t="str">
        <f>VLOOKUP(E2205,DATABASE!C:Q,11,false)</f>
        <v>Tire</v>
      </c>
    </row>
    <row r="2206" ht="22.5" customHeight="1">
      <c r="A2206" s="49"/>
      <c r="C2206" s="384">
        <v>45771.0</v>
      </c>
      <c r="D2206" s="65">
        <v>5365.0</v>
      </c>
      <c r="E2206" s="445" t="s">
        <v>1041</v>
      </c>
      <c r="F2206" s="386">
        <v>2.0</v>
      </c>
      <c r="G2206" s="74">
        <v>700000.0</v>
      </c>
      <c r="H2206" s="74">
        <v>0.0</v>
      </c>
      <c r="I2206" s="74">
        <f t="shared" si="1"/>
        <v>1400000</v>
      </c>
      <c r="J2206" s="74">
        <f>IF(E2206="SERVICE",I2206-(I2206*50%),Vlookup(E2206,DATABASE!C:Q,10,false)*F2206)</f>
        <v>0</v>
      </c>
      <c r="K2206" s="74">
        <f>VLOOKUP(E2206,DATABASE!C:Q,7,false)</f>
        <v>550000</v>
      </c>
      <c r="L2206" s="74">
        <v>550000.0</v>
      </c>
      <c r="M2206" s="74">
        <f t="shared" si="2"/>
        <v>550000</v>
      </c>
      <c r="N2206" s="74">
        <f t="shared" si="3"/>
        <v>300000</v>
      </c>
      <c r="O2206" s="65" t="str">
        <f>VLOOKUP(E2206,DATABASE!C:Q,8,false)</f>
        <v>IBU</v>
      </c>
      <c r="P2206" s="65">
        <f>VLOOKUP(E2206,DATABASE!C:Q,9,False)</f>
        <v>0</v>
      </c>
      <c r="Q2206" s="93" t="str">
        <f>VLOOKUP(E2206,DATABASE!C:Q,4,false)</f>
        <v>Bridgestone</v>
      </c>
      <c r="R2206" s="93" t="str">
        <f>VLOOKUP(E2206,DATABASE!C:Q,11,false)</f>
        <v>Tire</v>
      </c>
    </row>
    <row r="2207" ht="22.5" customHeight="1">
      <c r="A2207" s="49"/>
      <c r="C2207" s="384">
        <v>45771.0</v>
      </c>
      <c r="D2207" s="65">
        <v>5367.0</v>
      </c>
      <c r="E2207" s="445" t="s">
        <v>897</v>
      </c>
      <c r="F2207" s="386">
        <v>2.0</v>
      </c>
      <c r="G2207" s="74">
        <v>1600000.0</v>
      </c>
      <c r="H2207" s="74">
        <v>0.0</v>
      </c>
      <c r="I2207" s="74">
        <f t="shared" si="1"/>
        <v>3200000</v>
      </c>
      <c r="J2207" s="74">
        <f>IF(E2207="SERVICE",I2207-(I2207*50%),Vlookup(E2207,DATABASE!C:Q,10,false)*F2207)</f>
        <v>0</v>
      </c>
      <c r="K2207" s="74">
        <f>VLOOKUP(E2207,DATABASE!C:Q,7,false)</f>
        <v>1560000</v>
      </c>
      <c r="L2207" s="74">
        <v>1500000.0</v>
      </c>
      <c r="M2207" s="74">
        <f t="shared" si="2"/>
        <v>1500000</v>
      </c>
      <c r="N2207" s="74">
        <f t="shared" si="3"/>
        <v>200000</v>
      </c>
      <c r="O2207" s="65" t="str">
        <f>VLOOKUP(E2207,DATABASE!C:Q,8,false)</f>
        <v>BIAN</v>
      </c>
      <c r="P2207" s="65">
        <f>VLOOKUP(E2207,DATABASE!C:Q,9,False)</f>
        <v>1</v>
      </c>
      <c r="Q2207" s="93" t="str">
        <f>VLOOKUP(E2207,DATABASE!C:Q,4,false)</f>
        <v>GT</v>
      </c>
      <c r="R2207" s="93" t="str">
        <f>VLOOKUP(E2207,DATABASE!C:Q,11,false)</f>
        <v>Tire</v>
      </c>
    </row>
    <row r="2208" ht="22.5" customHeight="1">
      <c r="A2208" s="49"/>
      <c r="C2208" s="384">
        <v>45771.0</v>
      </c>
      <c r="D2208" s="65">
        <v>5368.0</v>
      </c>
      <c r="E2208" s="445" t="s">
        <v>256</v>
      </c>
      <c r="F2208" s="386">
        <v>1.0</v>
      </c>
      <c r="G2208" s="74">
        <v>130000.0</v>
      </c>
      <c r="H2208" s="74">
        <v>0.0</v>
      </c>
      <c r="I2208" s="74">
        <f t="shared" si="1"/>
        <v>130000</v>
      </c>
      <c r="J2208" s="74">
        <f>IF(E2208="SERVICE",I2208-(I2208*50%),Vlookup(E2208,DATABASE!C:Q,10,false)*F2208)</f>
        <v>10000</v>
      </c>
      <c r="K2208" s="74">
        <f>VLOOKUP(E2208,DATABASE!C:Q,7,false)</f>
        <v>0</v>
      </c>
      <c r="L2208" s="74">
        <v>0.0</v>
      </c>
      <c r="M2208" s="74">
        <f t="shared" si="2"/>
        <v>0</v>
      </c>
      <c r="N2208" s="74">
        <f t="shared" si="3"/>
        <v>120000</v>
      </c>
      <c r="O2208" s="65" t="str">
        <f>VLOOKUP(E2208,DATABASE!C:Q,8,false)</f>
        <v>IBU</v>
      </c>
      <c r="P2208" s="65">
        <f>VLOOKUP(E2208,DATABASE!C:Q,9,False)</f>
        <v>0</v>
      </c>
      <c r="Q2208" s="93" t="str">
        <f>VLOOKUP(E2208,DATABASE!C:Q,4,false)</f>
        <v>SPOORING</v>
      </c>
      <c r="R2208" s="93" t="str">
        <f>VLOOKUP(E2208,DATABASE!C:Q,11,false)</f>
        <v>SERVICE</v>
      </c>
    </row>
    <row r="2209" ht="22.5" customHeight="1">
      <c r="A2209" s="49"/>
      <c r="C2209" s="384">
        <v>45771.0</v>
      </c>
      <c r="D2209" s="65">
        <v>5368.0</v>
      </c>
      <c r="E2209" s="445" t="s">
        <v>301</v>
      </c>
      <c r="F2209" s="386">
        <v>1.0</v>
      </c>
      <c r="G2209" s="74">
        <v>250000.0</v>
      </c>
      <c r="H2209" s="74">
        <v>0.0</v>
      </c>
      <c r="I2209" s="74">
        <f t="shared" si="1"/>
        <v>250000</v>
      </c>
      <c r="J2209" s="74">
        <f>IF(E2209="SERVICE",I2209-(I2209*50%),Vlookup(E2209,DATABASE!C:Q,10,false)*F2209)</f>
        <v>75000</v>
      </c>
      <c r="K2209" s="74">
        <f>VLOOKUP(E2209,DATABASE!C:Q,7,false)</f>
        <v>75000</v>
      </c>
      <c r="L2209" s="74">
        <v>75000.0</v>
      </c>
      <c r="M2209" s="74">
        <f t="shared" si="2"/>
        <v>75000</v>
      </c>
      <c r="N2209" s="74">
        <f t="shared" si="3"/>
        <v>100000</v>
      </c>
      <c r="O2209" s="65" t="str">
        <f>VLOOKUP(E2209,DATABASE!C:Q,8,false)</f>
        <v>BIAN</v>
      </c>
      <c r="P2209" s="65">
        <f>VLOOKUP(E2209,DATABASE!C:Q,9,False)</f>
        <v>0</v>
      </c>
      <c r="Q2209" s="93" t="str">
        <f>VLOOKUP(E2209,DATABASE!C:Q,4,false)</f>
        <v>Baut Camber</v>
      </c>
      <c r="R2209" s="93" t="str">
        <f>VLOOKUP(E2209,DATABASE!C:Q,11,false)</f>
        <v>COMPLEMENTARY</v>
      </c>
    </row>
    <row r="2210" ht="22.5" customHeight="1">
      <c r="A2210" s="49"/>
      <c r="C2210" s="384">
        <v>45771.0</v>
      </c>
      <c r="D2210" s="65">
        <v>5369.0</v>
      </c>
      <c r="E2210" s="445" t="s">
        <v>256</v>
      </c>
      <c r="F2210" s="386">
        <v>1.0</v>
      </c>
      <c r="G2210" s="74">
        <v>130000.0</v>
      </c>
      <c r="H2210" s="74">
        <v>0.0</v>
      </c>
      <c r="I2210" s="74">
        <f t="shared" si="1"/>
        <v>130000</v>
      </c>
      <c r="J2210" s="74">
        <f>IF(E2210="SERVICE",I2210-(I2210*50%),Vlookup(E2210,DATABASE!C:Q,10,false)*F2210)</f>
        <v>10000</v>
      </c>
      <c r="K2210" s="74">
        <f>VLOOKUP(E2210,DATABASE!C:Q,7,false)</f>
        <v>0</v>
      </c>
      <c r="L2210" s="74">
        <v>0.0</v>
      </c>
      <c r="M2210" s="74">
        <f t="shared" si="2"/>
        <v>0</v>
      </c>
      <c r="N2210" s="74">
        <f t="shared" si="3"/>
        <v>120000</v>
      </c>
      <c r="O2210" s="65" t="str">
        <f>VLOOKUP(E2210,DATABASE!C:Q,8,false)</f>
        <v>IBU</v>
      </c>
      <c r="P2210" s="65">
        <f>VLOOKUP(E2210,DATABASE!C:Q,9,False)</f>
        <v>0</v>
      </c>
      <c r="Q2210" s="93" t="str">
        <f>VLOOKUP(E2210,DATABASE!C:Q,4,false)</f>
        <v>SPOORING</v>
      </c>
      <c r="R2210" s="93" t="str">
        <f>VLOOKUP(E2210,DATABASE!C:Q,11,false)</f>
        <v>SERVICE</v>
      </c>
    </row>
    <row r="2211" ht="22.5" customHeight="1">
      <c r="A2211" s="49"/>
      <c r="C2211" s="384">
        <v>45771.0</v>
      </c>
      <c r="D2211" s="65">
        <v>5369.0</v>
      </c>
      <c r="E2211" s="445" t="s">
        <v>251</v>
      </c>
      <c r="F2211" s="386">
        <v>1.0</v>
      </c>
      <c r="G2211" s="74">
        <v>150000.0</v>
      </c>
      <c r="H2211" s="74">
        <v>0.0</v>
      </c>
      <c r="I2211" s="74">
        <f t="shared" si="1"/>
        <v>150000</v>
      </c>
      <c r="J2211" s="74">
        <f>IF(E2211="SERVICE",I2211-(I2211*50%),Vlookup(E2211,DATABASE!C:Q,10,false)*F2211)</f>
        <v>75000</v>
      </c>
      <c r="K2211" s="74">
        <f>VLOOKUP(E2211,DATABASE!C:Q,7,false)</f>
        <v>0</v>
      </c>
      <c r="L2211" s="74">
        <v>0.0</v>
      </c>
      <c r="M2211" s="74">
        <f t="shared" si="2"/>
        <v>0</v>
      </c>
      <c r="N2211" s="74">
        <f t="shared" si="3"/>
        <v>75000</v>
      </c>
      <c r="O2211" s="65" t="str">
        <f>VLOOKUP(E2211,DATABASE!C:Q,8,false)</f>
        <v>IBU</v>
      </c>
      <c r="P2211" s="65">
        <f>VLOOKUP(E2211,DATABASE!C:Q,9,False)</f>
        <v>0</v>
      </c>
      <c r="Q2211" s="93" t="str">
        <f>VLOOKUP(E2211,DATABASE!C:Q,4,false)</f>
        <v>SERVICE</v>
      </c>
      <c r="R2211" s="93" t="str">
        <f>VLOOKUP(E2211,DATABASE!C:Q,11,false)</f>
        <v>SERVICE</v>
      </c>
    </row>
    <row r="2212" ht="22.5" customHeight="1">
      <c r="A2212" s="49"/>
      <c r="C2212" s="384">
        <v>45771.0</v>
      </c>
      <c r="D2212" s="65">
        <v>5371.0</v>
      </c>
      <c r="E2212" s="445" t="s">
        <v>262</v>
      </c>
      <c r="F2212" s="386">
        <v>1.0</v>
      </c>
      <c r="G2212" s="74">
        <v>110000.0</v>
      </c>
      <c r="H2212" s="74">
        <v>0.0</v>
      </c>
      <c r="I2212" s="74">
        <f t="shared" si="1"/>
        <v>110000</v>
      </c>
      <c r="J2212" s="74">
        <f>IF(E2212="SERVICE",I2212-(I2212*50%),Vlookup(E2212,DATABASE!C:Q,10,false)*F2212)</f>
        <v>5000</v>
      </c>
      <c r="K2212" s="74">
        <f>VLOOKUP(E2212,DATABASE!C:Q,7,false)</f>
        <v>0</v>
      </c>
      <c r="L2212" s="74">
        <v>0.0</v>
      </c>
      <c r="M2212" s="74">
        <f t="shared" si="2"/>
        <v>0</v>
      </c>
      <c r="N2212" s="74">
        <f t="shared" si="3"/>
        <v>105000</v>
      </c>
      <c r="O2212" s="65" t="str">
        <f>VLOOKUP(E2212,DATABASE!C:Q,8,false)</f>
        <v>IBU</v>
      </c>
      <c r="P2212" s="65">
        <f>VLOOKUP(E2212,DATABASE!C:Q,9,False)</f>
        <v>0</v>
      </c>
      <c r="Q2212" s="93" t="str">
        <f>VLOOKUP(E2212,DATABASE!C:Q,4,false)</f>
        <v>SPOORING SS/CARRY LOS BAK</v>
      </c>
      <c r="R2212" s="93" t="str">
        <f>VLOOKUP(E2212,DATABASE!C:Q,11,false)</f>
        <v>SERVICE</v>
      </c>
    </row>
    <row r="2213" ht="22.5" customHeight="1">
      <c r="A2213" s="49"/>
      <c r="C2213" s="384">
        <v>45771.0</v>
      </c>
      <c r="D2213" s="65">
        <v>5371.0</v>
      </c>
      <c r="E2213" s="445" t="s">
        <v>478</v>
      </c>
      <c r="F2213" s="386">
        <v>1.0</v>
      </c>
      <c r="G2213" s="74">
        <v>200000.0</v>
      </c>
      <c r="H2213" s="74">
        <v>0.0</v>
      </c>
      <c r="I2213" s="74">
        <f t="shared" si="1"/>
        <v>200000</v>
      </c>
      <c r="J2213" s="74">
        <f>IF(E2213="SERVICE",I2213-(I2213*50%),Vlookup(E2213,DATABASE!C:Q,10,false)*F2213)</f>
        <v>25000</v>
      </c>
      <c r="K2213" s="74">
        <f>VLOOKUP(E2213,DATABASE!C:Q,7,false)</f>
        <v>75000</v>
      </c>
      <c r="L2213" s="74">
        <v>75000.0</v>
      </c>
      <c r="M2213" s="74">
        <f t="shared" si="2"/>
        <v>75000</v>
      </c>
      <c r="N2213" s="74">
        <f t="shared" si="3"/>
        <v>100000</v>
      </c>
      <c r="O2213" s="65" t="str">
        <f>VLOOKUP(E2213,DATABASE!C:Q,8,false)</f>
        <v>BIAN</v>
      </c>
      <c r="P2213" s="65">
        <f>VLOOKUP(E2213,DATABASE!C:Q,9,False)</f>
        <v>0</v>
      </c>
      <c r="Q2213" s="93" t="str">
        <f>VLOOKUP(E2213,DATABASE!C:Q,4,false)</f>
        <v>Baut Camber ss-carry</v>
      </c>
      <c r="R2213" s="93" t="str">
        <f>VLOOKUP(E2213,DATABASE!C:Q,11,false)</f>
        <v>COMPLEMENTARY</v>
      </c>
    </row>
    <row r="2214" ht="22.5" customHeight="1">
      <c r="A2214" s="49"/>
      <c r="C2214" s="384">
        <v>45771.0</v>
      </c>
      <c r="D2214" s="65">
        <v>5371.0</v>
      </c>
      <c r="E2214" s="445" t="s">
        <v>251</v>
      </c>
      <c r="F2214" s="386">
        <v>1.0</v>
      </c>
      <c r="G2214" s="74">
        <v>80000.0</v>
      </c>
      <c r="H2214" s="74">
        <v>0.0</v>
      </c>
      <c r="I2214" s="74">
        <f t="shared" si="1"/>
        <v>80000</v>
      </c>
      <c r="J2214" s="74">
        <f>IF(E2214="SERVICE",I2214-(I2214*50%),Vlookup(E2214,DATABASE!C:Q,10,false)*F2214)</f>
        <v>40000</v>
      </c>
      <c r="K2214" s="74">
        <f>VLOOKUP(E2214,DATABASE!C:Q,7,false)</f>
        <v>0</v>
      </c>
      <c r="L2214" s="74">
        <v>0.0</v>
      </c>
      <c r="M2214" s="74">
        <f t="shared" si="2"/>
        <v>0</v>
      </c>
      <c r="N2214" s="74">
        <f t="shared" si="3"/>
        <v>40000</v>
      </c>
      <c r="O2214" s="65" t="str">
        <f>VLOOKUP(E2214,DATABASE!C:Q,8,false)</f>
        <v>IBU</v>
      </c>
      <c r="P2214" s="65">
        <f>VLOOKUP(E2214,DATABASE!C:Q,9,False)</f>
        <v>0</v>
      </c>
      <c r="Q2214" s="93" t="str">
        <f>VLOOKUP(E2214,DATABASE!C:Q,4,false)</f>
        <v>SERVICE</v>
      </c>
      <c r="R2214" s="93" t="str">
        <f>VLOOKUP(E2214,DATABASE!C:Q,11,false)</f>
        <v>SERVICE</v>
      </c>
    </row>
    <row r="2215" ht="22.5" customHeight="1">
      <c r="A2215" s="49"/>
      <c r="C2215" s="384">
        <v>45771.0</v>
      </c>
      <c r="D2215" s="65">
        <v>5371.0</v>
      </c>
      <c r="E2215" s="385" t="s">
        <v>305</v>
      </c>
      <c r="F2215" s="386">
        <v>1.0</v>
      </c>
      <c r="G2215" s="74">
        <v>235000.0</v>
      </c>
      <c r="H2215" s="74">
        <v>0.0</v>
      </c>
      <c r="I2215" s="74">
        <f t="shared" si="1"/>
        <v>235000</v>
      </c>
      <c r="J2215" s="74">
        <f>IF(E2215="SERVICE",I2215-(I2215*50%),Vlookup(E2215,DATABASE!C:Q,10,false)*F2215)</f>
        <v>40000</v>
      </c>
      <c r="K2215" s="74">
        <f>VLOOKUP(E2215,DATABASE!C:Q,7,false)</f>
        <v>158530.2</v>
      </c>
      <c r="L2215" s="74">
        <v>151890.0</v>
      </c>
      <c r="M2215" s="74">
        <f t="shared" si="2"/>
        <v>155000</v>
      </c>
      <c r="N2215" s="74">
        <f t="shared" si="3"/>
        <v>40000</v>
      </c>
      <c r="O2215" s="65" t="str">
        <f>VLOOKUP(E2215,DATABASE!C:Q,8,false)</f>
        <v>BIAN</v>
      </c>
      <c r="P2215" s="65">
        <f>VLOOKUP(E2215,DATABASE!C:Q,9,False)</f>
        <v>1</v>
      </c>
      <c r="Q2215" s="93" t="str">
        <f>VLOOKUP(E2215,DATABASE!C:Q,4,false)</f>
        <v>Lower Arm</v>
      </c>
      <c r="R2215" s="93" t="str">
        <f>VLOOKUP(E2215,DATABASE!C:Q,11,false)</f>
        <v>COMPLEMENTARY</v>
      </c>
    </row>
    <row r="2216" ht="22.5" customHeight="1">
      <c r="A2216" s="49"/>
      <c r="C2216" s="384">
        <v>45771.0</v>
      </c>
      <c r="D2216" s="65">
        <v>5372.0</v>
      </c>
      <c r="E2216" s="445" t="s">
        <v>839</v>
      </c>
      <c r="F2216" s="386">
        <v>4.0</v>
      </c>
      <c r="G2216" s="74">
        <v>565000.0</v>
      </c>
      <c r="H2216" s="74">
        <v>0.0</v>
      </c>
      <c r="I2216" s="74">
        <f t="shared" si="1"/>
        <v>2260000</v>
      </c>
      <c r="J2216" s="74">
        <f>IF(E2216="SERVICE",I2216-(I2216*50%),Vlookup(E2216,DATABASE!C:Q,10,false)*F2216)</f>
        <v>0</v>
      </c>
      <c r="K2216" s="74">
        <f>VLOOKUP(E2216,DATABASE!C:Q,7,false)</f>
        <v>512640</v>
      </c>
      <c r="L2216" s="74">
        <v>475700.0</v>
      </c>
      <c r="M2216" s="74">
        <f t="shared" si="2"/>
        <v>480000</v>
      </c>
      <c r="N2216" s="74">
        <f t="shared" si="3"/>
        <v>340000</v>
      </c>
      <c r="O2216" s="65" t="str">
        <f>VLOOKUP(E2216,DATABASE!C:Q,8,false)</f>
        <v>BIAN</v>
      </c>
      <c r="P2216" s="65">
        <f>VLOOKUP(E2216,DATABASE!C:Q,9,False)</f>
        <v>1</v>
      </c>
      <c r="Q2216" s="93" t="str">
        <f>VLOOKUP(E2216,DATABASE!C:Q,4,false)</f>
        <v>GT</v>
      </c>
      <c r="R2216" s="93" t="str">
        <f>VLOOKUP(E2216,DATABASE!C:Q,11,false)</f>
        <v>Tire</v>
      </c>
    </row>
    <row r="2217" ht="22.5" customHeight="1">
      <c r="A2217" s="49"/>
      <c r="C2217" s="384">
        <v>45771.0</v>
      </c>
      <c r="D2217" s="65">
        <v>5372.0</v>
      </c>
      <c r="E2217" s="385" t="s">
        <v>299</v>
      </c>
      <c r="F2217" s="386">
        <v>2.0</v>
      </c>
      <c r="G2217" s="74">
        <v>30000.0</v>
      </c>
      <c r="H2217" s="74">
        <v>0.0</v>
      </c>
      <c r="I2217" s="74">
        <f t="shared" si="1"/>
        <v>60000</v>
      </c>
      <c r="J2217" s="74">
        <f>IF(E2217="SERVICE",I2217-(I2217*50%),Vlookup(E2217,DATABASE!C:Q,10,false)*F2217)</f>
        <v>0</v>
      </c>
      <c r="K2217" s="74">
        <v>0.0</v>
      </c>
      <c r="L2217" s="74">
        <v>0.0</v>
      </c>
      <c r="M2217" s="74">
        <f t="shared" si="2"/>
        <v>0</v>
      </c>
      <c r="N2217" s="74">
        <f t="shared" si="3"/>
        <v>60000</v>
      </c>
      <c r="O2217" s="65" t="str">
        <f>VLOOKUP(E2217,DATABASE!C:Q,8,false)</f>
        <v>BIAN</v>
      </c>
      <c r="P2217" s="65">
        <f>VLOOKUP(E2217,DATABASE!C:Q,9,False)</f>
        <v>0</v>
      </c>
      <c r="Q2217" s="93" t="str">
        <f>VLOOKUP(E2217,DATABASE!C:Q,4,false)</f>
        <v>Balancing</v>
      </c>
      <c r="R2217" s="93" t="str">
        <f>VLOOKUP(E2217,DATABASE!C:Q,11,false)</f>
        <v>COMPLEMENTARY</v>
      </c>
    </row>
    <row r="2218" ht="22.5" customHeight="1">
      <c r="A2218" s="49"/>
      <c r="C2218" s="384">
        <v>45771.0</v>
      </c>
      <c r="D2218" s="65">
        <v>5373.0</v>
      </c>
      <c r="E2218" s="445" t="s">
        <v>268</v>
      </c>
      <c r="F2218" s="386">
        <v>4.0</v>
      </c>
      <c r="G2218" s="74">
        <v>700000.0</v>
      </c>
      <c r="H2218" s="74">
        <v>0.0</v>
      </c>
      <c r="I2218" s="74">
        <f t="shared" si="1"/>
        <v>2800000</v>
      </c>
      <c r="J2218" s="74">
        <f>IF(E2218="SERVICE",I2218-(I2218*50%),Vlookup(E2218,DATABASE!C:Q,10,false)*F2218)</f>
        <v>0</v>
      </c>
      <c r="K2218" s="74">
        <v>613000.0</v>
      </c>
      <c r="L2218" s="74">
        <v>613000.0</v>
      </c>
      <c r="M2218" s="74">
        <f t="shared" si="2"/>
        <v>615000</v>
      </c>
      <c r="N2218" s="74">
        <f t="shared" si="3"/>
        <v>340000</v>
      </c>
      <c r="O2218" s="65" t="str">
        <f>VLOOKUP(E2218,DATABASE!C:Q,8,false)</f>
        <v>IBU</v>
      </c>
      <c r="P2218" s="65">
        <f>VLOOKUP(E2218,DATABASE!C:Q,9,False)</f>
        <v>1</v>
      </c>
      <c r="Q2218" s="93" t="str">
        <f>VLOOKUP(E2218,DATABASE!C:Q,4,false)</f>
        <v>Dunlop</v>
      </c>
      <c r="R2218" s="93" t="str">
        <f>VLOOKUP(E2218,DATABASE!C:Q,11,false)</f>
        <v>Tire</v>
      </c>
    </row>
    <row r="2219" ht="22.5" customHeight="1">
      <c r="A2219" s="49"/>
      <c r="C2219" s="384">
        <v>45771.0</v>
      </c>
      <c r="D2219" s="65">
        <v>5373.0</v>
      </c>
      <c r="E2219" s="385" t="s">
        <v>299</v>
      </c>
      <c r="F2219" s="386">
        <v>2.0</v>
      </c>
      <c r="G2219" s="74">
        <v>30000.0</v>
      </c>
      <c r="H2219" s="74">
        <v>0.0</v>
      </c>
      <c r="I2219" s="74">
        <f t="shared" si="1"/>
        <v>60000</v>
      </c>
      <c r="J2219" s="74">
        <f>IF(E2219="SERVICE",I2219-(I2219*50%),Vlookup(E2219,DATABASE!C:Q,10,false)*F2219)</f>
        <v>0</v>
      </c>
      <c r="K2219" s="74">
        <v>0.0</v>
      </c>
      <c r="L2219" s="74">
        <v>0.0</v>
      </c>
      <c r="M2219" s="74">
        <f t="shared" si="2"/>
        <v>0</v>
      </c>
      <c r="N2219" s="74">
        <f t="shared" si="3"/>
        <v>60000</v>
      </c>
      <c r="O2219" s="65" t="str">
        <f>VLOOKUP(E2219,DATABASE!C:Q,8,false)</f>
        <v>BIAN</v>
      </c>
      <c r="P2219" s="65">
        <f>VLOOKUP(E2219,DATABASE!C:Q,9,False)</f>
        <v>0</v>
      </c>
      <c r="Q2219" s="93" t="str">
        <f>VLOOKUP(E2219,DATABASE!C:Q,4,false)</f>
        <v>Balancing</v>
      </c>
      <c r="R2219" s="93" t="str">
        <f>VLOOKUP(E2219,DATABASE!C:Q,11,false)</f>
        <v>COMPLEMENTARY</v>
      </c>
    </row>
    <row r="2220" ht="22.5" customHeight="1">
      <c r="A2220" s="49"/>
      <c r="C2220" s="384">
        <v>45771.0</v>
      </c>
      <c r="D2220" s="65">
        <v>5373.0</v>
      </c>
      <c r="E2220" s="445" t="s">
        <v>262</v>
      </c>
      <c r="F2220" s="386">
        <v>1.0</v>
      </c>
      <c r="G2220" s="74">
        <v>110000.0</v>
      </c>
      <c r="H2220" s="74">
        <v>0.0</v>
      </c>
      <c r="I2220" s="74">
        <f t="shared" si="1"/>
        <v>110000</v>
      </c>
      <c r="J2220" s="74">
        <f>IF(E2220="SERVICE",I2220-(I2220*50%),Vlookup(E2220,DATABASE!C:Q,10,false)*F2220)</f>
        <v>5000</v>
      </c>
      <c r="K2220" s="74">
        <f>VLOOKUP(E2220,DATABASE!C:Q,7,false)</f>
        <v>0</v>
      </c>
      <c r="L2220" s="74">
        <v>0.0</v>
      </c>
      <c r="M2220" s="74">
        <f t="shared" si="2"/>
        <v>0</v>
      </c>
      <c r="N2220" s="74">
        <f t="shared" si="3"/>
        <v>105000</v>
      </c>
      <c r="O2220" s="65" t="str">
        <f>VLOOKUP(E2220,DATABASE!C:Q,8,false)</f>
        <v>IBU</v>
      </c>
      <c r="P2220" s="65">
        <f>VLOOKUP(E2220,DATABASE!C:Q,9,False)</f>
        <v>0</v>
      </c>
      <c r="Q2220" s="93" t="str">
        <f>VLOOKUP(E2220,DATABASE!C:Q,4,false)</f>
        <v>SPOORING SS/CARRY LOS BAK</v>
      </c>
      <c r="R2220" s="93" t="str">
        <f>VLOOKUP(E2220,DATABASE!C:Q,11,false)</f>
        <v>SERVICE</v>
      </c>
    </row>
    <row r="2221" ht="22.5" customHeight="1">
      <c r="A2221" s="49"/>
      <c r="C2221" s="384">
        <v>45771.0</v>
      </c>
      <c r="D2221" s="65">
        <v>5373.0</v>
      </c>
      <c r="E2221" s="445" t="s">
        <v>251</v>
      </c>
      <c r="F2221" s="386">
        <v>1.0</v>
      </c>
      <c r="G2221" s="74">
        <v>120000.0</v>
      </c>
      <c r="H2221" s="74">
        <v>0.0</v>
      </c>
      <c r="I2221" s="74">
        <f t="shared" si="1"/>
        <v>120000</v>
      </c>
      <c r="J2221" s="74">
        <f>IF(E2221="SERVICE",I2221-(I2221*50%),Vlookup(E2221,DATABASE!C:Q,10,false)*F2221)</f>
        <v>60000</v>
      </c>
      <c r="K2221" s="74">
        <f>VLOOKUP(E2221,DATABASE!C:Q,7,false)</f>
        <v>0</v>
      </c>
      <c r="L2221" s="74">
        <v>0.0</v>
      </c>
      <c r="M2221" s="74">
        <f t="shared" si="2"/>
        <v>0</v>
      </c>
      <c r="N2221" s="74">
        <f t="shared" si="3"/>
        <v>60000</v>
      </c>
      <c r="O2221" s="65" t="str">
        <f>VLOOKUP(E2221,DATABASE!C:Q,8,false)</f>
        <v>IBU</v>
      </c>
      <c r="P2221" s="65">
        <f>VLOOKUP(E2221,DATABASE!C:Q,9,False)</f>
        <v>0</v>
      </c>
      <c r="Q2221" s="93" t="str">
        <f>VLOOKUP(E2221,DATABASE!C:Q,4,false)</f>
        <v>SERVICE</v>
      </c>
      <c r="R2221" s="93" t="str">
        <f>VLOOKUP(E2221,DATABASE!C:Q,11,false)</f>
        <v>SERVICE</v>
      </c>
    </row>
    <row r="2222" ht="22.5" customHeight="1">
      <c r="A2222" s="49"/>
      <c r="C2222" s="384">
        <v>45771.0</v>
      </c>
      <c r="D2222" s="65">
        <v>5374.0</v>
      </c>
      <c r="E2222" s="445" t="s">
        <v>1536</v>
      </c>
      <c r="F2222" s="386">
        <v>2.0</v>
      </c>
      <c r="G2222" s="74">
        <v>675000.0</v>
      </c>
      <c r="H2222" s="74">
        <v>0.0</v>
      </c>
      <c r="I2222" s="74">
        <f t="shared" si="1"/>
        <v>1350000</v>
      </c>
      <c r="J2222" s="74">
        <f>IF(E2222="SERVICE",I2222-(I2222*50%),Vlookup(E2222,DATABASE!C:Q,10,false)*F2222)</f>
        <v>0</v>
      </c>
      <c r="K2222" s="74">
        <f>VLOOKUP(E2222,DATABASE!C:Q,7,false)</f>
        <v>599000</v>
      </c>
      <c r="L2222" s="74">
        <v>573000.0</v>
      </c>
      <c r="M2222" s="74">
        <f t="shared" si="2"/>
        <v>575000</v>
      </c>
      <c r="N2222" s="74">
        <f t="shared" si="3"/>
        <v>200000</v>
      </c>
      <c r="O2222" s="65" t="str">
        <f>VLOOKUP(E2222,DATABASE!C:Q,8,false)</f>
        <v>BIAN</v>
      </c>
      <c r="P2222" s="65">
        <f>VLOOKUP(E2222,DATABASE!C:Q,9,False)</f>
        <v>1</v>
      </c>
      <c r="Q2222" s="93" t="str">
        <f>VLOOKUP(E2222,DATABASE!C:Q,4,false)</f>
        <v>Laufen</v>
      </c>
      <c r="R2222" s="93" t="str">
        <f>VLOOKUP(E2222,DATABASE!C:Q,11,false)</f>
        <v>Tire</v>
      </c>
    </row>
    <row r="2223" ht="22.5" customHeight="1">
      <c r="A2223" s="49"/>
      <c r="C2223" s="384">
        <v>45771.0</v>
      </c>
      <c r="D2223" s="65">
        <v>5374.0</v>
      </c>
      <c r="E2223" s="385" t="s">
        <v>299</v>
      </c>
      <c r="F2223" s="386">
        <v>2.0</v>
      </c>
      <c r="G2223" s="74">
        <v>30000.0</v>
      </c>
      <c r="H2223" s="74">
        <v>0.0</v>
      </c>
      <c r="I2223" s="74">
        <f t="shared" si="1"/>
        <v>60000</v>
      </c>
      <c r="J2223" s="74">
        <f>IF(E2223="SERVICE",I2223-(I2223*50%),Vlookup(E2223,DATABASE!C:Q,10,false)*F2223)</f>
        <v>0</v>
      </c>
      <c r="K2223" s="74">
        <v>0.0</v>
      </c>
      <c r="L2223" s="74">
        <v>0.0</v>
      </c>
      <c r="M2223" s="74">
        <f t="shared" si="2"/>
        <v>0</v>
      </c>
      <c r="N2223" s="74">
        <f t="shared" si="3"/>
        <v>60000</v>
      </c>
      <c r="O2223" s="65" t="str">
        <f>VLOOKUP(E2223,DATABASE!C:Q,8,false)</f>
        <v>BIAN</v>
      </c>
      <c r="P2223" s="65">
        <f>VLOOKUP(E2223,DATABASE!C:Q,9,False)</f>
        <v>0</v>
      </c>
      <c r="Q2223" s="93" t="str">
        <f>VLOOKUP(E2223,DATABASE!C:Q,4,false)</f>
        <v>Balancing</v>
      </c>
      <c r="R2223" s="93" t="str">
        <f>VLOOKUP(E2223,DATABASE!C:Q,11,false)</f>
        <v>COMPLEMENTARY</v>
      </c>
    </row>
    <row r="2224" ht="22.5" customHeight="1">
      <c r="A2224" s="49"/>
      <c r="C2224" s="384">
        <v>45771.0</v>
      </c>
      <c r="D2224" s="65">
        <v>5374.0</v>
      </c>
      <c r="E2224" s="445" t="s">
        <v>256</v>
      </c>
      <c r="F2224" s="386">
        <v>1.0</v>
      </c>
      <c r="G2224" s="74">
        <v>130000.0</v>
      </c>
      <c r="H2224" s="74">
        <v>0.0</v>
      </c>
      <c r="I2224" s="74">
        <f t="shared" si="1"/>
        <v>130000</v>
      </c>
      <c r="J2224" s="74">
        <f>IF(E2224="SERVICE",I2224-(I2224*50%),Vlookup(E2224,DATABASE!C:Q,10,false)*F2224)</f>
        <v>10000</v>
      </c>
      <c r="K2224" s="74">
        <f>VLOOKUP(E2224,DATABASE!C:Q,7,false)</f>
        <v>0</v>
      </c>
      <c r="L2224" s="74">
        <v>0.0</v>
      </c>
      <c r="M2224" s="74">
        <f t="shared" si="2"/>
        <v>0</v>
      </c>
      <c r="N2224" s="74">
        <f t="shared" si="3"/>
        <v>120000</v>
      </c>
      <c r="O2224" s="65" t="str">
        <f>VLOOKUP(E2224,DATABASE!C:Q,8,false)</f>
        <v>IBU</v>
      </c>
      <c r="P2224" s="65">
        <f>VLOOKUP(E2224,DATABASE!C:Q,9,False)</f>
        <v>0</v>
      </c>
      <c r="Q2224" s="93" t="str">
        <f>VLOOKUP(E2224,DATABASE!C:Q,4,false)</f>
        <v>SPOORING</v>
      </c>
      <c r="R2224" s="93" t="str">
        <f>VLOOKUP(E2224,DATABASE!C:Q,11,false)</f>
        <v>SERVICE</v>
      </c>
    </row>
    <row r="2225" ht="22.5" customHeight="1">
      <c r="A2225" s="49"/>
      <c r="C2225" s="384">
        <v>45771.0</v>
      </c>
      <c r="D2225" s="65">
        <v>5374.0</v>
      </c>
      <c r="E2225" s="445" t="s">
        <v>251</v>
      </c>
      <c r="F2225" s="386">
        <v>1.0</v>
      </c>
      <c r="G2225" s="74">
        <v>150000.0</v>
      </c>
      <c r="H2225" s="74">
        <v>0.0</v>
      </c>
      <c r="I2225" s="74">
        <f t="shared" si="1"/>
        <v>150000</v>
      </c>
      <c r="J2225" s="74">
        <f>IF(E2225="SERVICE",I2225-(I2225*50%),Vlookup(E2225,DATABASE!C:Q,10,false)*F2225)</f>
        <v>75000</v>
      </c>
      <c r="K2225" s="74">
        <f>VLOOKUP(E2225,DATABASE!C:Q,7,false)</f>
        <v>0</v>
      </c>
      <c r="L2225" s="74">
        <v>0.0</v>
      </c>
      <c r="M2225" s="74">
        <f t="shared" si="2"/>
        <v>0</v>
      </c>
      <c r="N2225" s="74">
        <f t="shared" si="3"/>
        <v>75000</v>
      </c>
      <c r="O2225" s="65" t="str">
        <f>VLOOKUP(E2225,DATABASE!C:Q,8,false)</f>
        <v>IBU</v>
      </c>
      <c r="P2225" s="65">
        <f>VLOOKUP(E2225,DATABASE!C:Q,9,False)</f>
        <v>0</v>
      </c>
      <c r="Q2225" s="93" t="str">
        <f>VLOOKUP(E2225,DATABASE!C:Q,4,false)</f>
        <v>SERVICE</v>
      </c>
      <c r="R2225" s="93" t="str">
        <f>VLOOKUP(E2225,DATABASE!C:Q,11,false)</f>
        <v>SERVICE</v>
      </c>
    </row>
    <row r="2226" ht="22.5" customHeight="1">
      <c r="A2226" s="49"/>
      <c r="C2226" s="384">
        <v>45771.0</v>
      </c>
      <c r="D2226" s="65">
        <v>5375.0</v>
      </c>
      <c r="E2226" s="445" t="s">
        <v>262</v>
      </c>
      <c r="F2226" s="386">
        <v>1.0</v>
      </c>
      <c r="G2226" s="74">
        <v>110000.0</v>
      </c>
      <c r="H2226" s="74">
        <v>0.0</v>
      </c>
      <c r="I2226" s="74">
        <f t="shared" si="1"/>
        <v>110000</v>
      </c>
      <c r="J2226" s="74">
        <f>IF(E2226="SERVICE",I2226-(I2226*50%),Vlookup(E2226,DATABASE!C:Q,10,false)*F2226)</f>
        <v>5000</v>
      </c>
      <c r="K2226" s="74">
        <f>VLOOKUP(E2226,DATABASE!C:Q,7,false)</f>
        <v>0</v>
      </c>
      <c r="L2226" s="74">
        <v>0.0</v>
      </c>
      <c r="M2226" s="74">
        <f t="shared" si="2"/>
        <v>0</v>
      </c>
      <c r="N2226" s="74">
        <f t="shared" si="3"/>
        <v>105000</v>
      </c>
      <c r="O2226" s="65" t="str">
        <f>VLOOKUP(E2226,DATABASE!C:Q,8,false)</f>
        <v>IBU</v>
      </c>
      <c r="P2226" s="65">
        <f>VLOOKUP(E2226,DATABASE!C:Q,9,False)</f>
        <v>0</v>
      </c>
      <c r="Q2226" s="93" t="str">
        <f>VLOOKUP(E2226,DATABASE!C:Q,4,false)</f>
        <v>SPOORING SS/CARRY LOS BAK</v>
      </c>
      <c r="R2226" s="93" t="str">
        <f>VLOOKUP(E2226,DATABASE!C:Q,11,false)</f>
        <v>SERVICE</v>
      </c>
    </row>
    <row r="2227" ht="22.5" customHeight="1">
      <c r="A2227" s="49"/>
      <c r="C2227" s="384">
        <v>45771.0</v>
      </c>
      <c r="D2227" s="65">
        <v>5375.0</v>
      </c>
      <c r="E2227" s="445" t="s">
        <v>251</v>
      </c>
      <c r="F2227" s="386">
        <v>1.0</v>
      </c>
      <c r="G2227" s="74">
        <v>120000.0</v>
      </c>
      <c r="H2227" s="74">
        <v>0.0</v>
      </c>
      <c r="I2227" s="74">
        <f t="shared" si="1"/>
        <v>120000</v>
      </c>
      <c r="J2227" s="74">
        <f>IF(E2227="SERVICE",I2227-(I2227*50%),Vlookup(E2227,DATABASE!C:Q,10,false)*F2227)</f>
        <v>60000</v>
      </c>
      <c r="K2227" s="74">
        <f>VLOOKUP(E2227,DATABASE!C:Q,7,false)</f>
        <v>0</v>
      </c>
      <c r="L2227" s="74">
        <v>0.0</v>
      </c>
      <c r="M2227" s="74">
        <f t="shared" si="2"/>
        <v>0</v>
      </c>
      <c r="N2227" s="74">
        <f t="shared" si="3"/>
        <v>60000</v>
      </c>
      <c r="O2227" s="65" t="str">
        <f>VLOOKUP(E2227,DATABASE!C:Q,8,false)</f>
        <v>IBU</v>
      </c>
      <c r="P2227" s="65">
        <f>VLOOKUP(E2227,DATABASE!C:Q,9,False)</f>
        <v>0</v>
      </c>
      <c r="Q2227" s="93" t="str">
        <f>VLOOKUP(E2227,DATABASE!C:Q,4,false)</f>
        <v>SERVICE</v>
      </c>
      <c r="R2227" s="93" t="str">
        <f>VLOOKUP(E2227,DATABASE!C:Q,11,false)</f>
        <v>SERVICE</v>
      </c>
    </row>
    <row r="2228" ht="22.5" customHeight="1">
      <c r="A2228" s="49"/>
      <c r="C2228" s="384">
        <v>45772.0</v>
      </c>
      <c r="D2228" s="65">
        <v>5376.0</v>
      </c>
      <c r="E2228" s="445" t="s">
        <v>706</v>
      </c>
      <c r="F2228" s="386">
        <v>2.0</v>
      </c>
      <c r="G2228" s="74">
        <v>550000.0</v>
      </c>
      <c r="H2228" s="74">
        <v>0.0</v>
      </c>
      <c r="I2228" s="74">
        <f t="shared" si="1"/>
        <v>1100000</v>
      </c>
      <c r="J2228" s="74">
        <f>IF(E2228="SERVICE",I2228-(I2228*50%),Vlookup(E2228,DATABASE!C:Q,10,false)*F2228)</f>
        <v>0</v>
      </c>
      <c r="K2228" s="74">
        <f>VLOOKUP(E2228,DATABASE!C:Q,7,false)</f>
        <v>485000</v>
      </c>
      <c r="L2228" s="74">
        <v>485000.0</v>
      </c>
      <c r="M2228" s="74">
        <f t="shared" si="2"/>
        <v>485000</v>
      </c>
      <c r="N2228" s="74">
        <f t="shared" si="3"/>
        <v>130000</v>
      </c>
      <c r="O2228" s="65" t="str">
        <f>VLOOKUP(E2228,DATABASE!C:Q,8,false)</f>
        <v>IBU</v>
      </c>
      <c r="P2228" s="65">
        <f>VLOOKUP(E2228,DATABASE!C:Q,9,False)</f>
        <v>1</v>
      </c>
      <c r="Q2228" s="93" t="str">
        <f>VLOOKUP(E2228,DATABASE!C:Q,4,false)</f>
        <v>Dunlop</v>
      </c>
      <c r="R2228" s="93" t="str">
        <f>VLOOKUP(E2228,DATABASE!C:Q,11,false)</f>
        <v>Tire</v>
      </c>
    </row>
    <row r="2229" ht="22.5" customHeight="1">
      <c r="A2229" s="49"/>
      <c r="C2229" s="384">
        <v>45772.0</v>
      </c>
      <c r="D2229" s="65">
        <v>5377.0</v>
      </c>
      <c r="E2229" s="445" t="s">
        <v>268</v>
      </c>
      <c r="F2229" s="386">
        <v>1.0</v>
      </c>
      <c r="G2229" s="74">
        <v>700000.0</v>
      </c>
      <c r="H2229" s="74">
        <v>0.0</v>
      </c>
      <c r="I2229" s="74">
        <f t="shared" si="1"/>
        <v>700000</v>
      </c>
      <c r="J2229" s="74">
        <f>IF(E2229="SERVICE",I2229-(I2229*50%),Vlookup(E2229,DATABASE!C:Q,10,false)*F2229)</f>
        <v>0</v>
      </c>
      <c r="K2229" s="74">
        <v>613000.0</v>
      </c>
      <c r="L2229" s="74">
        <v>613000.0</v>
      </c>
      <c r="M2229" s="74">
        <f t="shared" si="2"/>
        <v>615000</v>
      </c>
      <c r="N2229" s="74">
        <f t="shared" si="3"/>
        <v>85000</v>
      </c>
      <c r="O2229" s="65" t="str">
        <f>VLOOKUP(E2229,DATABASE!C:Q,8,false)</f>
        <v>IBU</v>
      </c>
      <c r="P2229" s="65">
        <f>VLOOKUP(E2229,DATABASE!C:Q,9,False)</f>
        <v>1</v>
      </c>
      <c r="Q2229" s="93" t="str">
        <f>VLOOKUP(E2229,DATABASE!C:Q,4,false)</f>
        <v>Dunlop</v>
      </c>
      <c r="R2229" s="93" t="str">
        <f>VLOOKUP(E2229,DATABASE!C:Q,11,false)</f>
        <v>Tire</v>
      </c>
    </row>
    <row r="2230" ht="22.5" customHeight="1">
      <c r="A2230" s="49"/>
      <c r="C2230" s="384">
        <v>45772.0</v>
      </c>
      <c r="D2230" s="65">
        <v>5377.0</v>
      </c>
      <c r="E2230" s="445" t="s">
        <v>937</v>
      </c>
      <c r="F2230" s="386">
        <v>2.0</v>
      </c>
      <c r="G2230" s="74">
        <v>900000.0</v>
      </c>
      <c r="H2230" s="74">
        <v>0.0</v>
      </c>
      <c r="I2230" s="74">
        <f t="shared" si="1"/>
        <v>1800000</v>
      </c>
      <c r="J2230" s="74">
        <f>IF(E2230="SERVICE",I2230-(I2230*50%),Vlookup(E2230,DATABASE!C:Q,10,false)*F2230)</f>
        <v>0</v>
      </c>
      <c r="K2230" s="74">
        <f>VLOOKUP(E2230,DATABASE!C:Q,7,false)</f>
        <v>825000</v>
      </c>
      <c r="L2230" s="74">
        <v>790000.0</v>
      </c>
      <c r="M2230" s="74">
        <f t="shared" si="2"/>
        <v>790000</v>
      </c>
      <c r="N2230" s="74">
        <f t="shared" si="3"/>
        <v>220000</v>
      </c>
      <c r="O2230" s="65" t="str">
        <f>VLOOKUP(E2230,DATABASE!C:Q,8,false)</f>
        <v>IBU</v>
      </c>
      <c r="P2230" s="65">
        <f>VLOOKUP(E2230,DATABASE!C:Q,9,False)</f>
        <v>1</v>
      </c>
      <c r="Q2230" s="93" t="str">
        <f>VLOOKUP(E2230,DATABASE!C:Q,4,false)</f>
        <v>Bridgestone</v>
      </c>
      <c r="R2230" s="93" t="str">
        <f>VLOOKUP(E2230,DATABASE!C:Q,11,false)</f>
        <v>Tire</v>
      </c>
    </row>
    <row r="2231" ht="22.5" customHeight="1">
      <c r="A2231" s="49"/>
      <c r="C2231" s="384">
        <v>45772.0</v>
      </c>
      <c r="D2231" s="65">
        <v>5379.0</v>
      </c>
      <c r="E2231" s="445" t="s">
        <v>1807</v>
      </c>
      <c r="F2231" s="386">
        <v>1.0</v>
      </c>
      <c r="G2231" s="74">
        <v>585000.0</v>
      </c>
      <c r="H2231" s="74">
        <v>0.0</v>
      </c>
      <c r="I2231" s="74">
        <f t="shared" si="1"/>
        <v>585000</v>
      </c>
      <c r="J2231" s="74">
        <f>IF(E2231="SERVICE",I2231-(I2231*50%),Vlookup(E2231,DATABASE!C:Q,10,false)*F2231)</f>
        <v>0</v>
      </c>
      <c r="K2231" s="74">
        <f>VLOOKUP(E2231,DATABASE!C:Q,7,false)</f>
        <v>473000</v>
      </c>
      <c r="L2231" s="74">
        <v>473000.0</v>
      </c>
      <c r="M2231" s="74">
        <f t="shared" si="2"/>
        <v>475000</v>
      </c>
      <c r="N2231" s="74">
        <f t="shared" si="3"/>
        <v>110000</v>
      </c>
      <c r="O2231" s="65" t="str">
        <f>VLOOKUP(E2231,DATABASE!C:Q,8,false)</f>
        <v>BIAN</v>
      </c>
      <c r="P2231" s="65">
        <f>VLOOKUP(E2231,DATABASE!C:Q,9,False)</f>
        <v>1</v>
      </c>
      <c r="Q2231" s="93" t="str">
        <f>VLOOKUP(E2231,DATABASE!C:Q,4,false)</f>
        <v>G. YEAR</v>
      </c>
      <c r="R2231" s="93" t="str">
        <f>VLOOKUP(E2231,DATABASE!C:Q,11,false)</f>
        <v>Tire</v>
      </c>
    </row>
    <row r="2232" ht="22.5" customHeight="1">
      <c r="A2232" s="49"/>
      <c r="C2232" s="384">
        <v>45772.0</v>
      </c>
      <c r="D2232" s="65">
        <v>5380.0</v>
      </c>
      <c r="E2232" s="445" t="s">
        <v>250</v>
      </c>
      <c r="F2232" s="386">
        <v>2.0</v>
      </c>
      <c r="G2232" s="74">
        <v>135000.0</v>
      </c>
      <c r="H2232" s="74">
        <v>0.0</v>
      </c>
      <c r="I2232" s="74">
        <f t="shared" si="1"/>
        <v>270000</v>
      </c>
      <c r="J2232" s="74">
        <f>IF(E2232="SERVICE",I2232-(I2232*50%),Vlookup(E2232,DATABASE!C:Q,10,false)*F2232)</f>
        <v>0</v>
      </c>
      <c r="K2232" s="74">
        <f>VLOOKUP(E2232,DATABASE!C:Q,7,false)</f>
        <v>102000</v>
      </c>
      <c r="L2232" s="74">
        <v>102000.0</v>
      </c>
      <c r="M2232" s="74">
        <f t="shared" si="2"/>
        <v>105000</v>
      </c>
      <c r="N2232" s="74">
        <f t="shared" si="3"/>
        <v>60000</v>
      </c>
      <c r="O2232" s="65" t="str">
        <f>VLOOKUP(E2232,DATABASE!C:Q,8,false)</f>
        <v>BIAN</v>
      </c>
      <c r="P2232" s="65">
        <f>VLOOKUP(E2232,DATABASE!C:Q,9,False)</f>
        <v>1</v>
      </c>
      <c r="Q2232" s="93" t="str">
        <f>VLOOKUP(E2232,DATABASE!C:Q,4,false)</f>
        <v>BD</v>
      </c>
      <c r="R2232" s="93" t="str">
        <f>VLOOKUP(E2232,DATABASE!C:Q,11,false)</f>
        <v>Tire</v>
      </c>
    </row>
    <row r="2233" ht="22.5" customHeight="1">
      <c r="A2233" s="49"/>
      <c r="C2233" s="384">
        <v>45772.0</v>
      </c>
      <c r="D2233" s="65">
        <v>5381.0</v>
      </c>
      <c r="E2233" s="445" t="s">
        <v>974</v>
      </c>
      <c r="F2233" s="386">
        <v>1.0</v>
      </c>
      <c r="G2233" s="74">
        <v>560000.0</v>
      </c>
      <c r="H2233" s="74">
        <v>0.0</v>
      </c>
      <c r="I2233" s="74">
        <f t="shared" si="1"/>
        <v>560000</v>
      </c>
      <c r="J2233" s="74">
        <f>IF(E2233="SERVICE",I2233-(I2233*50%),Vlookup(E2233,DATABASE!C:Q,10,false)*F2233)</f>
        <v>0</v>
      </c>
      <c r="K2233" s="74">
        <f>VLOOKUP(E2233,DATABASE!C:Q,7,false)</f>
        <v>501500</v>
      </c>
      <c r="L2233" s="74">
        <v>491000.0</v>
      </c>
      <c r="M2233" s="74">
        <f t="shared" si="2"/>
        <v>495000</v>
      </c>
      <c r="N2233" s="74">
        <f t="shared" si="3"/>
        <v>65000</v>
      </c>
      <c r="O2233" s="65" t="str">
        <f>VLOOKUP(E2233,DATABASE!C:Q,8,false)</f>
        <v>IBU</v>
      </c>
      <c r="P2233" s="65">
        <f>VLOOKUP(E2233,DATABASE!C:Q,9,False)</f>
        <v>1</v>
      </c>
      <c r="Q2233" s="93" t="str">
        <f>VLOOKUP(E2233,DATABASE!C:Q,4,false)</f>
        <v>Dunlop</v>
      </c>
      <c r="R2233" s="93" t="str">
        <f>VLOOKUP(E2233,DATABASE!C:Q,11,false)</f>
        <v>Tire</v>
      </c>
    </row>
    <row r="2234" ht="22.5" customHeight="1">
      <c r="A2234" s="49"/>
      <c r="C2234" s="384">
        <v>45772.0</v>
      </c>
      <c r="D2234" s="65">
        <v>5382.0</v>
      </c>
      <c r="E2234" s="445" t="s">
        <v>262</v>
      </c>
      <c r="F2234" s="386">
        <v>1.0</v>
      </c>
      <c r="G2234" s="74">
        <v>110000.0</v>
      </c>
      <c r="H2234" s="74">
        <v>0.0</v>
      </c>
      <c r="I2234" s="74">
        <f t="shared" si="1"/>
        <v>110000</v>
      </c>
      <c r="J2234" s="74">
        <f>IF(E2234="SERVICE",I2234-(I2234*50%),Vlookup(E2234,DATABASE!C:Q,10,false)*F2234)</f>
        <v>5000</v>
      </c>
      <c r="K2234" s="74">
        <f>VLOOKUP(E2234,DATABASE!C:Q,7,false)</f>
        <v>0</v>
      </c>
      <c r="L2234" s="74">
        <v>0.0</v>
      </c>
      <c r="M2234" s="74">
        <f t="shared" si="2"/>
        <v>0</v>
      </c>
      <c r="N2234" s="74">
        <f t="shared" si="3"/>
        <v>105000</v>
      </c>
      <c r="O2234" s="65" t="str">
        <f>VLOOKUP(E2234,DATABASE!C:Q,8,false)</f>
        <v>IBU</v>
      </c>
      <c r="P2234" s="65">
        <f>VLOOKUP(E2234,DATABASE!C:Q,9,False)</f>
        <v>0</v>
      </c>
      <c r="Q2234" s="93" t="str">
        <f>VLOOKUP(E2234,DATABASE!C:Q,4,false)</f>
        <v>SPOORING SS/CARRY LOS BAK</v>
      </c>
      <c r="R2234" s="93" t="str">
        <f>VLOOKUP(E2234,DATABASE!C:Q,11,false)</f>
        <v>SERVICE</v>
      </c>
    </row>
    <row r="2235" ht="22.5" customHeight="1">
      <c r="A2235" s="49"/>
      <c r="C2235" s="384">
        <v>45772.0</v>
      </c>
      <c r="D2235" s="65">
        <v>5383.0</v>
      </c>
      <c r="E2235" s="445" t="s">
        <v>946</v>
      </c>
      <c r="F2235" s="386">
        <v>1.0</v>
      </c>
      <c r="G2235" s="74">
        <v>880000.0</v>
      </c>
      <c r="H2235" s="74">
        <v>0.0</v>
      </c>
      <c r="I2235" s="74">
        <f t="shared" si="1"/>
        <v>880000</v>
      </c>
      <c r="J2235" s="74">
        <f>IF(E2235="SERVICE",I2235-(I2235*50%),Vlookup(E2235,DATABASE!C:Q,10,false)*F2235)</f>
        <v>0</v>
      </c>
      <c r="K2235" s="74">
        <f>VLOOKUP(E2235,DATABASE!C:Q,7,false)</f>
        <v>809000</v>
      </c>
      <c r="L2235" s="74">
        <v>809000.0</v>
      </c>
      <c r="M2235" s="74">
        <f t="shared" si="2"/>
        <v>810000</v>
      </c>
      <c r="N2235" s="74">
        <f t="shared" si="3"/>
        <v>70000</v>
      </c>
      <c r="O2235" s="65" t="str">
        <f>VLOOKUP(E2235,DATABASE!C:Q,8,false)</f>
        <v>IBU</v>
      </c>
      <c r="P2235" s="65">
        <f>VLOOKUP(E2235,DATABASE!C:Q,9,False)</f>
        <v>1</v>
      </c>
      <c r="Q2235" s="93" t="str">
        <f>VLOOKUP(E2235,DATABASE!C:Q,4,false)</f>
        <v>Dunlop</v>
      </c>
      <c r="R2235" s="93" t="str">
        <f>VLOOKUP(E2235,DATABASE!C:Q,11,false)</f>
        <v>Tire</v>
      </c>
    </row>
    <row r="2236" ht="22.5" customHeight="1">
      <c r="A2236" s="49"/>
      <c r="C2236" s="384">
        <v>45772.0</v>
      </c>
      <c r="D2236" s="65">
        <v>5384.0</v>
      </c>
      <c r="E2236" s="445" t="s">
        <v>251</v>
      </c>
      <c r="F2236" s="386">
        <v>1.0</v>
      </c>
      <c r="G2236" s="74">
        <v>120000.0</v>
      </c>
      <c r="H2236" s="74">
        <v>0.0</v>
      </c>
      <c r="I2236" s="74">
        <f t="shared" si="1"/>
        <v>120000</v>
      </c>
      <c r="J2236" s="74">
        <f>IF(E2236="SERVICE",I2236-(I2236*50%),Vlookup(E2236,DATABASE!C:Q,10,false)*F2236)</f>
        <v>60000</v>
      </c>
      <c r="K2236" s="74">
        <f>VLOOKUP(E2236,DATABASE!C:Q,7,false)</f>
        <v>0</v>
      </c>
      <c r="L2236" s="74">
        <v>0.0</v>
      </c>
      <c r="M2236" s="74">
        <f t="shared" si="2"/>
        <v>0</v>
      </c>
      <c r="N2236" s="74">
        <f t="shared" si="3"/>
        <v>60000</v>
      </c>
      <c r="O2236" s="65" t="str">
        <f>VLOOKUP(E2236,DATABASE!C:Q,8,false)</f>
        <v>IBU</v>
      </c>
      <c r="P2236" s="65">
        <f>VLOOKUP(E2236,DATABASE!C:Q,9,False)</f>
        <v>0</v>
      </c>
      <c r="Q2236" s="93" t="str">
        <f>VLOOKUP(E2236,DATABASE!C:Q,4,false)</f>
        <v>SERVICE</v>
      </c>
      <c r="R2236" s="93" t="str">
        <f>VLOOKUP(E2236,DATABASE!C:Q,11,false)</f>
        <v>SERVICE</v>
      </c>
    </row>
    <row r="2237" ht="22.5" customHeight="1">
      <c r="A2237" s="49"/>
      <c r="C2237" s="384">
        <v>45772.0</v>
      </c>
      <c r="D2237" s="65">
        <v>5385.0</v>
      </c>
      <c r="E2237" s="445" t="s">
        <v>591</v>
      </c>
      <c r="F2237" s="386">
        <v>2.0</v>
      </c>
      <c r="G2237" s="74">
        <v>670000.0</v>
      </c>
      <c r="H2237" s="74">
        <v>0.0</v>
      </c>
      <c r="I2237" s="74">
        <f t="shared" si="1"/>
        <v>1340000</v>
      </c>
      <c r="J2237" s="74">
        <f>IF(E2237="SERVICE",I2237-(I2237*50%),Vlookup(E2237,DATABASE!C:Q,10,false)*F2237)</f>
        <v>0</v>
      </c>
      <c r="K2237" s="74">
        <f>VLOOKUP(E2237,DATABASE!C:Q,7,false)</f>
        <v>633035.16</v>
      </c>
      <c r="L2237" s="74">
        <v>593488.4</v>
      </c>
      <c r="M2237" s="74">
        <f t="shared" si="2"/>
        <v>595000</v>
      </c>
      <c r="N2237" s="74">
        <f t="shared" si="3"/>
        <v>150000</v>
      </c>
      <c r="O2237" s="65" t="str">
        <f>VLOOKUP(E2237,DATABASE!C:Q,8,false)</f>
        <v>IBU</v>
      </c>
      <c r="P2237" s="65">
        <f>VLOOKUP(E2237,DATABASE!C:Q,9,False)</f>
        <v>1</v>
      </c>
      <c r="Q2237" s="93" t="str">
        <f>VLOOKUP(E2237,DATABASE!C:Q,4,false)</f>
        <v>Bridgestone</v>
      </c>
      <c r="R2237" s="93" t="str">
        <f>VLOOKUP(E2237,DATABASE!C:Q,11,false)</f>
        <v>Tire</v>
      </c>
    </row>
    <row r="2238" ht="22.5" customHeight="1">
      <c r="A2238" s="49"/>
      <c r="C2238" s="384">
        <v>45772.0</v>
      </c>
      <c r="D2238" s="65">
        <v>5385.0</v>
      </c>
      <c r="E2238" s="385" t="s">
        <v>299</v>
      </c>
      <c r="F2238" s="386">
        <v>2.0</v>
      </c>
      <c r="G2238" s="74">
        <v>30000.0</v>
      </c>
      <c r="H2238" s="74">
        <v>0.0</v>
      </c>
      <c r="I2238" s="74">
        <f t="shared" si="1"/>
        <v>60000</v>
      </c>
      <c r="J2238" s="74">
        <f>IF(E2238="SERVICE",I2238-(I2238*50%),Vlookup(E2238,DATABASE!C:Q,10,false)*F2238)</f>
        <v>0</v>
      </c>
      <c r="K2238" s="74">
        <v>0.0</v>
      </c>
      <c r="L2238" s="74">
        <v>0.0</v>
      </c>
      <c r="M2238" s="74">
        <f t="shared" si="2"/>
        <v>0</v>
      </c>
      <c r="N2238" s="74">
        <f t="shared" si="3"/>
        <v>60000</v>
      </c>
      <c r="O2238" s="65" t="str">
        <f>VLOOKUP(E2238,DATABASE!C:Q,8,false)</f>
        <v>BIAN</v>
      </c>
      <c r="P2238" s="65">
        <f>VLOOKUP(E2238,DATABASE!C:Q,9,False)</f>
        <v>0</v>
      </c>
      <c r="Q2238" s="93" t="str">
        <f>VLOOKUP(E2238,DATABASE!C:Q,4,false)</f>
        <v>Balancing</v>
      </c>
      <c r="R2238" s="93" t="str">
        <f>VLOOKUP(E2238,DATABASE!C:Q,11,false)</f>
        <v>COMPLEMENTARY</v>
      </c>
    </row>
    <row r="2239" ht="22.5" customHeight="1">
      <c r="A2239" s="49"/>
      <c r="C2239" s="384">
        <v>45772.0</v>
      </c>
      <c r="D2239" s="65">
        <v>5385.0</v>
      </c>
      <c r="E2239" s="445" t="s">
        <v>246</v>
      </c>
      <c r="F2239" s="386">
        <v>1.0</v>
      </c>
      <c r="G2239" s="74">
        <v>25000.0</v>
      </c>
      <c r="H2239" s="74">
        <v>0.0</v>
      </c>
      <c r="I2239" s="74">
        <f t="shared" si="1"/>
        <v>25000</v>
      </c>
      <c r="J2239" s="74">
        <f>IF(E2239="SERVICE",I2239-(I2239*50%),Vlookup(E2239,DATABASE!C:Q,10,false)*F2239)</f>
        <v>0</v>
      </c>
      <c r="K2239" s="74">
        <f>VLOOKUP(E2239,DATABASE!C:Q,7,false)</f>
        <v>0</v>
      </c>
      <c r="L2239" s="74">
        <v>0.0</v>
      </c>
      <c r="M2239" s="74">
        <f t="shared" si="2"/>
        <v>0</v>
      </c>
      <c r="N2239" s="74">
        <f t="shared" si="3"/>
        <v>25000</v>
      </c>
      <c r="O2239" s="65" t="str">
        <f>VLOOKUP(E2239,DATABASE!C:Q,8,false)</f>
        <v>IBU</v>
      </c>
      <c r="P2239" s="65">
        <f>VLOOKUP(E2239,DATABASE!C:Q,9,False)</f>
        <v>0</v>
      </c>
      <c r="Q2239" s="93" t="str">
        <f>VLOOKUP(E2239,DATABASE!C:Q,4,false)</f>
        <v>Bongkar Pasang</v>
      </c>
      <c r="R2239" s="93" t="str">
        <f>VLOOKUP(E2239,DATABASE!C:Q,11,false)</f>
        <v>SERVICE</v>
      </c>
    </row>
    <row r="2240" ht="22.5" customHeight="1">
      <c r="A2240" s="49"/>
      <c r="C2240" s="384">
        <v>45772.0</v>
      </c>
      <c r="D2240" s="65">
        <v>5386.0</v>
      </c>
      <c r="E2240" s="445" t="s">
        <v>268</v>
      </c>
      <c r="F2240" s="386">
        <v>1.0</v>
      </c>
      <c r="G2240" s="74">
        <v>700000.0</v>
      </c>
      <c r="H2240" s="74">
        <v>0.0</v>
      </c>
      <c r="I2240" s="74">
        <f t="shared" si="1"/>
        <v>700000</v>
      </c>
      <c r="J2240" s="74">
        <f>IF(E2240="SERVICE",I2240-(I2240*50%),Vlookup(E2240,DATABASE!C:Q,10,false)*F2240)</f>
        <v>0</v>
      </c>
      <c r="K2240" s="74">
        <v>613000.0</v>
      </c>
      <c r="L2240" s="74">
        <v>613000.0</v>
      </c>
      <c r="M2240" s="74">
        <f t="shared" si="2"/>
        <v>615000</v>
      </c>
      <c r="N2240" s="74">
        <f t="shared" si="3"/>
        <v>85000</v>
      </c>
      <c r="O2240" s="65" t="str">
        <f>VLOOKUP(E2240,DATABASE!C:Q,8,false)</f>
        <v>IBU</v>
      </c>
      <c r="P2240" s="65">
        <f>VLOOKUP(E2240,DATABASE!C:Q,9,False)</f>
        <v>1</v>
      </c>
      <c r="Q2240" s="93" t="str">
        <f>VLOOKUP(E2240,DATABASE!C:Q,4,false)</f>
        <v>Dunlop</v>
      </c>
      <c r="R2240" s="93" t="str">
        <f>VLOOKUP(E2240,DATABASE!C:Q,11,false)</f>
        <v>Tire</v>
      </c>
    </row>
    <row r="2241" ht="22.5" customHeight="1">
      <c r="A2241" s="49"/>
      <c r="C2241" s="384">
        <v>45772.0</v>
      </c>
      <c r="D2241" s="65">
        <v>5387.0</v>
      </c>
      <c r="E2241" s="445" t="s">
        <v>777</v>
      </c>
      <c r="F2241" s="386">
        <v>1.0</v>
      </c>
      <c r="G2241" s="74">
        <v>585000.0</v>
      </c>
      <c r="H2241" s="74">
        <v>0.0</v>
      </c>
      <c r="I2241" s="74">
        <f t="shared" si="1"/>
        <v>585000</v>
      </c>
      <c r="J2241" s="74">
        <f>IF(E2241="SERVICE",I2241-(I2241*50%),Vlookup(E2241,DATABASE!C:Q,10,false)*F2241)</f>
        <v>0</v>
      </c>
      <c r="K2241" s="74">
        <f>VLOOKUP(E2241,DATABASE!C:Q,7,false)</f>
        <v>540000</v>
      </c>
      <c r="L2241" s="74">
        <v>507000.0</v>
      </c>
      <c r="M2241" s="74">
        <f t="shared" si="2"/>
        <v>510000</v>
      </c>
      <c r="N2241" s="74">
        <f t="shared" si="3"/>
        <v>75000</v>
      </c>
      <c r="O2241" s="65" t="str">
        <f>VLOOKUP(E2241,DATABASE!C:Q,8,false)</f>
        <v>BIAN</v>
      </c>
      <c r="P2241" s="65">
        <f>VLOOKUP(E2241,DATABASE!C:Q,9,False)</f>
        <v>1</v>
      </c>
      <c r="Q2241" s="93" t="str">
        <f>VLOOKUP(E2241,DATABASE!C:Q,4,false)</f>
        <v>GT</v>
      </c>
      <c r="R2241" s="93" t="str">
        <f>VLOOKUP(E2241,DATABASE!C:Q,11,false)</f>
        <v>Tire</v>
      </c>
    </row>
    <row r="2242" ht="22.5" customHeight="1">
      <c r="A2242" s="49"/>
      <c r="C2242" s="384">
        <v>45772.0</v>
      </c>
      <c r="D2242" s="65">
        <v>5388.0</v>
      </c>
      <c r="E2242" s="445" t="s">
        <v>1237</v>
      </c>
      <c r="F2242" s="386">
        <v>1.0</v>
      </c>
      <c r="G2242" s="74">
        <v>1235000.0</v>
      </c>
      <c r="H2242" s="74">
        <v>0.0</v>
      </c>
      <c r="I2242" s="74">
        <f t="shared" si="1"/>
        <v>1235000</v>
      </c>
      <c r="J2242" s="74">
        <f>IF(E2242="SERVICE",I2242-(I2242*50%),Vlookup(E2242,DATABASE!C:Q,10,false)*F2242)</f>
        <v>0</v>
      </c>
      <c r="K2242" s="74">
        <f>VLOOKUP(E2242,DATABASE!C:Q,7,false)</f>
        <v>1170353.16</v>
      </c>
      <c r="L2242" s="74">
        <v>1113907.2</v>
      </c>
      <c r="M2242" s="74">
        <f t="shared" si="2"/>
        <v>1115000</v>
      </c>
      <c r="N2242" s="74">
        <f t="shared" si="3"/>
        <v>120000</v>
      </c>
      <c r="O2242" s="65" t="str">
        <f>VLOOKUP(E2242,DATABASE!C:Q,8,false)</f>
        <v>IBU</v>
      </c>
      <c r="P2242" s="65">
        <f>VLOOKUP(E2242,DATABASE!C:Q,9,False)</f>
        <v>1</v>
      </c>
      <c r="Q2242" s="93" t="str">
        <f>VLOOKUP(E2242,DATABASE!C:Q,4,false)</f>
        <v>Bridgestone</v>
      </c>
      <c r="R2242" s="93" t="str">
        <f>VLOOKUP(E2242,DATABASE!C:Q,11,false)</f>
        <v>Tire</v>
      </c>
    </row>
    <row r="2243" ht="22.5" customHeight="1">
      <c r="A2243" s="49"/>
      <c r="C2243" s="384">
        <v>45772.0</v>
      </c>
      <c r="D2243" s="65">
        <v>5389.0</v>
      </c>
      <c r="E2243" s="445" t="s">
        <v>256</v>
      </c>
      <c r="F2243" s="386">
        <v>1.0</v>
      </c>
      <c r="G2243" s="74">
        <v>130000.0</v>
      </c>
      <c r="H2243" s="74">
        <v>0.0</v>
      </c>
      <c r="I2243" s="74">
        <f t="shared" si="1"/>
        <v>130000</v>
      </c>
      <c r="J2243" s="74">
        <f>IF(E2243="SERVICE",I2243-(I2243*50%),Vlookup(E2243,DATABASE!C:Q,10,false)*F2243)</f>
        <v>10000</v>
      </c>
      <c r="K2243" s="74">
        <f>VLOOKUP(E2243,DATABASE!C:Q,7,false)</f>
        <v>0</v>
      </c>
      <c r="L2243" s="74">
        <v>0.0</v>
      </c>
      <c r="M2243" s="74">
        <f t="shared" si="2"/>
        <v>0</v>
      </c>
      <c r="N2243" s="74">
        <f t="shared" si="3"/>
        <v>120000</v>
      </c>
      <c r="O2243" s="65" t="str">
        <f>VLOOKUP(E2243,DATABASE!C:Q,8,false)</f>
        <v>IBU</v>
      </c>
      <c r="P2243" s="65">
        <f>VLOOKUP(E2243,DATABASE!C:Q,9,False)</f>
        <v>0</v>
      </c>
      <c r="Q2243" s="93" t="str">
        <f>VLOOKUP(E2243,DATABASE!C:Q,4,false)</f>
        <v>SPOORING</v>
      </c>
      <c r="R2243" s="93" t="str">
        <f>VLOOKUP(E2243,DATABASE!C:Q,11,false)</f>
        <v>SERVICE</v>
      </c>
    </row>
    <row r="2244" ht="22.5" customHeight="1">
      <c r="A2244" s="49"/>
      <c r="C2244" s="384">
        <v>45772.0</v>
      </c>
      <c r="D2244" s="65">
        <v>5389.0</v>
      </c>
      <c r="E2244" s="385" t="s">
        <v>299</v>
      </c>
      <c r="F2244" s="386">
        <v>2.0</v>
      </c>
      <c r="G2244" s="74">
        <v>30000.0</v>
      </c>
      <c r="H2244" s="74">
        <v>0.0</v>
      </c>
      <c r="I2244" s="74">
        <f t="shared" si="1"/>
        <v>60000</v>
      </c>
      <c r="J2244" s="74">
        <f>IF(E2244="SERVICE",I2244-(I2244*50%),Vlookup(E2244,DATABASE!C:Q,10,false)*F2244)</f>
        <v>0</v>
      </c>
      <c r="K2244" s="74">
        <v>0.0</v>
      </c>
      <c r="L2244" s="74">
        <v>0.0</v>
      </c>
      <c r="M2244" s="74">
        <f t="shared" si="2"/>
        <v>0</v>
      </c>
      <c r="N2244" s="74">
        <f t="shared" si="3"/>
        <v>60000</v>
      </c>
      <c r="O2244" s="65" t="str">
        <f>VLOOKUP(E2244,DATABASE!C:Q,8,false)</f>
        <v>BIAN</v>
      </c>
      <c r="P2244" s="65">
        <f>VLOOKUP(E2244,DATABASE!C:Q,9,False)</f>
        <v>0</v>
      </c>
      <c r="Q2244" s="93" t="str">
        <f>VLOOKUP(E2244,DATABASE!C:Q,4,false)</f>
        <v>Balancing</v>
      </c>
      <c r="R2244" s="93" t="str">
        <f>VLOOKUP(E2244,DATABASE!C:Q,11,false)</f>
        <v>COMPLEMENTARY</v>
      </c>
    </row>
    <row r="2245" ht="22.5" customHeight="1">
      <c r="A2245" s="49"/>
      <c r="C2245" s="384">
        <v>45772.0</v>
      </c>
      <c r="D2245" s="65">
        <v>5389.0</v>
      </c>
      <c r="E2245" s="445" t="s">
        <v>251</v>
      </c>
      <c r="F2245" s="386">
        <v>1.0</v>
      </c>
      <c r="G2245" s="74">
        <v>150000.0</v>
      </c>
      <c r="H2245" s="74">
        <v>0.0</v>
      </c>
      <c r="I2245" s="74">
        <f t="shared" si="1"/>
        <v>150000</v>
      </c>
      <c r="J2245" s="74">
        <f>IF(E2245="SERVICE",I2245-(I2245*50%),Vlookup(E2245,DATABASE!C:Q,10,false)*F2245)</f>
        <v>75000</v>
      </c>
      <c r="K2245" s="74">
        <f>VLOOKUP(E2245,DATABASE!C:Q,7,false)</f>
        <v>0</v>
      </c>
      <c r="L2245" s="74">
        <v>0.0</v>
      </c>
      <c r="M2245" s="74">
        <f t="shared" si="2"/>
        <v>0</v>
      </c>
      <c r="N2245" s="74">
        <f t="shared" si="3"/>
        <v>75000</v>
      </c>
      <c r="O2245" s="65" t="str">
        <f>VLOOKUP(E2245,DATABASE!C:Q,8,false)</f>
        <v>IBU</v>
      </c>
      <c r="P2245" s="65">
        <f>VLOOKUP(E2245,DATABASE!C:Q,9,False)</f>
        <v>0</v>
      </c>
      <c r="Q2245" s="93" t="str">
        <f>VLOOKUP(E2245,DATABASE!C:Q,4,false)</f>
        <v>SERVICE</v>
      </c>
      <c r="R2245" s="93" t="str">
        <f>VLOOKUP(E2245,DATABASE!C:Q,11,false)</f>
        <v>SERVICE</v>
      </c>
    </row>
    <row r="2246" ht="22.5" customHeight="1">
      <c r="A2246" s="49"/>
      <c r="C2246" s="384">
        <v>45772.0</v>
      </c>
      <c r="D2246" s="65">
        <v>53900.0</v>
      </c>
      <c r="E2246" s="445" t="s">
        <v>770</v>
      </c>
      <c r="F2246" s="386">
        <v>1.0</v>
      </c>
      <c r="G2246" s="74">
        <v>180000.0</v>
      </c>
      <c r="H2246" s="74">
        <v>0.0</v>
      </c>
      <c r="I2246" s="74">
        <f t="shared" si="1"/>
        <v>180000</v>
      </c>
      <c r="J2246" s="74">
        <f>IF(E2246="SERVICE",I2246-(I2246*50%),Vlookup(E2246,DATABASE!C:Q,10,false)*F2246)</f>
        <v>0</v>
      </c>
      <c r="K2246" s="74">
        <f>VLOOKUP(E2246,DATABASE!C:Q,7,false)</f>
        <v>145180</v>
      </c>
      <c r="L2246" s="74">
        <v>145180.0</v>
      </c>
      <c r="M2246" s="74">
        <f t="shared" si="2"/>
        <v>150000</v>
      </c>
      <c r="N2246" s="74">
        <f t="shared" si="3"/>
        <v>30000</v>
      </c>
      <c r="O2246" s="65" t="str">
        <f>VLOOKUP(E2246,DATABASE!C:Q,8,false)</f>
        <v>BIAN</v>
      </c>
      <c r="P2246" s="65">
        <f>VLOOKUP(E2246,DATABASE!C:Q,9,False)</f>
        <v>1</v>
      </c>
      <c r="Q2246" s="93" t="str">
        <f>VLOOKUP(E2246,DATABASE!C:Q,4,false)</f>
        <v>BD</v>
      </c>
      <c r="R2246" s="93" t="str">
        <f>VLOOKUP(E2246,DATABASE!C:Q,11,false)</f>
        <v>Tire</v>
      </c>
    </row>
    <row r="2247" ht="22.5" customHeight="1">
      <c r="A2247" s="49"/>
      <c r="C2247" s="384">
        <v>45772.0</v>
      </c>
      <c r="D2247" s="65">
        <v>53900.0</v>
      </c>
      <c r="E2247" s="445" t="s">
        <v>624</v>
      </c>
      <c r="F2247" s="386">
        <v>1.0</v>
      </c>
      <c r="G2247" s="74">
        <v>110000.0</v>
      </c>
      <c r="H2247" s="74">
        <v>0.0</v>
      </c>
      <c r="I2247" s="74">
        <f t="shared" si="1"/>
        <v>110000</v>
      </c>
      <c r="J2247" s="74">
        <f>IF(E2247="SERVICE",I2247-(I2247*50%),Vlookup(E2247,DATABASE!C:Q,10,false)*F2247)</f>
        <v>0</v>
      </c>
      <c r="K2247" s="74">
        <f>VLOOKUP(E2247,DATABASE!C:Q,7,false)</f>
        <v>60500</v>
      </c>
      <c r="L2247" s="74">
        <v>60500.0</v>
      </c>
      <c r="M2247" s="74">
        <f t="shared" si="2"/>
        <v>65000</v>
      </c>
      <c r="N2247" s="74">
        <f t="shared" si="3"/>
        <v>45000</v>
      </c>
      <c r="O2247" s="65" t="str">
        <f>VLOOKUP(E2247,DATABASE!C:Q,8,false)</f>
        <v>BIAN</v>
      </c>
      <c r="P2247" s="65">
        <f>VLOOKUP(E2247,DATABASE!C:Q,9,False)</f>
        <v>1</v>
      </c>
      <c r="Q2247" s="93" t="str">
        <f>VLOOKUP(E2247,DATABASE!C:Q,4,false)</f>
        <v>BD</v>
      </c>
      <c r="R2247" s="93" t="str">
        <f>VLOOKUP(E2247,DATABASE!C:Q,11,false)</f>
        <v>Tire</v>
      </c>
    </row>
    <row r="2248" ht="22.5" customHeight="1">
      <c r="A2248" s="49"/>
      <c r="C2248" s="384">
        <v>45773.0</v>
      </c>
      <c r="D2248" s="65">
        <v>5391.0</v>
      </c>
      <c r="E2248" s="445" t="s">
        <v>572</v>
      </c>
      <c r="F2248" s="386">
        <v>2.0</v>
      </c>
      <c r="G2248" s="74">
        <v>1370000.0</v>
      </c>
      <c r="H2248" s="74">
        <v>0.0</v>
      </c>
      <c r="I2248" s="74">
        <f t="shared" si="1"/>
        <v>2740000</v>
      </c>
      <c r="J2248" s="74">
        <f>IF(E2248="SERVICE",I2248-(I2248*50%),Vlookup(E2248,DATABASE!C:Q,10,false)*F2248)</f>
        <v>0</v>
      </c>
      <c r="K2248" s="140">
        <v>1270000.0</v>
      </c>
      <c r="L2248" s="140">
        <v>1270000.0</v>
      </c>
      <c r="M2248" s="74">
        <f t="shared" si="2"/>
        <v>1270000</v>
      </c>
      <c r="N2248" s="74">
        <f t="shared" si="3"/>
        <v>200000</v>
      </c>
      <c r="O2248" s="65" t="str">
        <f>VLOOKUP(E2248,DATABASE!C:Q,8,false)</f>
        <v>IBU</v>
      </c>
      <c r="P2248" s="65">
        <f>VLOOKUP(E2248,DATABASE!C:Q,9,False)</f>
        <v>1</v>
      </c>
      <c r="Q2248" s="93" t="str">
        <f>VLOOKUP(E2248,DATABASE!C:Q,4,false)</f>
        <v>Bridgestone</v>
      </c>
      <c r="R2248" s="93" t="str">
        <f>VLOOKUP(E2248,DATABASE!C:Q,11,false)</f>
        <v>Tire</v>
      </c>
    </row>
    <row r="2249" ht="22.5" customHeight="1">
      <c r="A2249" s="49"/>
      <c r="C2249" s="384">
        <v>45773.0</v>
      </c>
      <c r="D2249" s="65">
        <v>5391.0</v>
      </c>
      <c r="E2249" s="445" t="s">
        <v>814</v>
      </c>
      <c r="F2249" s="386">
        <v>1.0</v>
      </c>
      <c r="G2249" s="74">
        <v>65000.0</v>
      </c>
      <c r="H2249" s="74">
        <v>0.0</v>
      </c>
      <c r="I2249" s="74">
        <f t="shared" si="1"/>
        <v>65000</v>
      </c>
      <c r="J2249" s="74">
        <f>IF(E2249="SERVICE",I2249-(I2249*50%),Vlookup(E2249,DATABASE!C:Q,10,false)*F2249)</f>
        <v>0</v>
      </c>
      <c r="K2249" s="74">
        <f>VLOOKUP(E2249,DATABASE!C:Q,7,false)</f>
        <v>39440</v>
      </c>
      <c r="L2249" s="74">
        <v>39440.0</v>
      </c>
      <c r="M2249" s="74">
        <f t="shared" si="2"/>
        <v>40000</v>
      </c>
      <c r="N2249" s="74">
        <f t="shared" si="3"/>
        <v>25000</v>
      </c>
      <c r="O2249" s="65" t="str">
        <f>VLOOKUP(E2249,DATABASE!C:Q,8,false)</f>
        <v>BIAN</v>
      </c>
      <c r="P2249" s="65">
        <f>VLOOKUP(E2249,DATABASE!C:Q,9,False)</f>
        <v>1</v>
      </c>
      <c r="Q2249" s="93" t="str">
        <f>VLOOKUP(E2249,DATABASE!C:Q,4,false)</f>
        <v>Flap</v>
      </c>
      <c r="R2249" s="93" t="str">
        <f>VLOOKUP(E2249,DATABASE!C:Q,11,false)</f>
        <v>Tire</v>
      </c>
    </row>
    <row r="2250" ht="22.5" customHeight="1">
      <c r="A2250" s="49"/>
      <c r="C2250" s="384">
        <v>45773.0</v>
      </c>
      <c r="D2250" s="65">
        <v>5392.0</v>
      </c>
      <c r="E2250" s="445" t="s">
        <v>605</v>
      </c>
      <c r="F2250" s="386">
        <v>1.0</v>
      </c>
      <c r="G2250" s="74">
        <v>760000.0</v>
      </c>
      <c r="H2250" s="74">
        <v>0.0</v>
      </c>
      <c r="I2250" s="74">
        <f t="shared" si="1"/>
        <v>760000</v>
      </c>
      <c r="J2250" s="74">
        <f>IF(E2250="SERVICE",I2250-(I2250*50%),Vlookup(E2250,DATABASE!C:Q,10,false)*F2250)</f>
        <v>0</v>
      </c>
      <c r="K2250" s="74">
        <v>670000.0</v>
      </c>
      <c r="L2250" s="74">
        <v>670000.0</v>
      </c>
      <c r="M2250" s="74">
        <f t="shared" si="2"/>
        <v>670000</v>
      </c>
      <c r="N2250" s="74">
        <f t="shared" si="3"/>
        <v>90000</v>
      </c>
      <c r="O2250" s="65" t="str">
        <f>VLOOKUP(E2250,DATABASE!C:Q,8,false)</f>
        <v>IBU</v>
      </c>
      <c r="P2250" s="65">
        <f>VLOOKUP(E2250,DATABASE!C:Q,9,False)</f>
        <v>1</v>
      </c>
      <c r="Q2250" s="93" t="str">
        <f>VLOOKUP(E2250,DATABASE!C:Q,4,false)</f>
        <v>Bridgestone</v>
      </c>
      <c r="R2250" s="93" t="str">
        <f>VLOOKUP(E2250,DATABASE!C:Q,11,false)</f>
        <v>Tire</v>
      </c>
    </row>
    <row r="2251" ht="22.5" customHeight="1">
      <c r="A2251" s="49"/>
      <c r="C2251" s="384">
        <v>45773.0</v>
      </c>
      <c r="D2251" s="65">
        <v>5393.0</v>
      </c>
      <c r="E2251" s="445" t="s">
        <v>1858</v>
      </c>
      <c r="F2251" s="386">
        <v>2.0</v>
      </c>
      <c r="G2251" s="74">
        <v>2100000.0</v>
      </c>
      <c r="H2251" s="74">
        <v>0.0</v>
      </c>
      <c r="I2251" s="74">
        <f t="shared" si="1"/>
        <v>4200000</v>
      </c>
      <c r="J2251" s="74">
        <f>IF(E2251="SERVICE",I2251-(I2251*50%),Vlookup(E2251,DATABASE!C:Q,10,false)*F2251)</f>
        <v>0</v>
      </c>
      <c r="K2251" s="74">
        <f>VLOOKUP(E2251,DATABASE!C:Q,7,false)</f>
        <v>2030000</v>
      </c>
      <c r="L2251" s="74">
        <v>2025000.0</v>
      </c>
      <c r="M2251" s="74">
        <f t="shared" si="2"/>
        <v>2025000</v>
      </c>
      <c r="N2251" s="74">
        <f t="shared" si="3"/>
        <v>150000</v>
      </c>
      <c r="O2251" s="65" t="str">
        <f>VLOOKUP(E2251,DATABASE!C:Q,8,false)</f>
        <v>BIAN</v>
      </c>
      <c r="P2251" s="65">
        <f>VLOOKUP(E2251,DATABASE!C:Q,9,False)</f>
        <v>1</v>
      </c>
      <c r="Q2251" s="93" t="str">
        <f>VLOOKUP(E2251,DATABASE!C:Q,4,false)</f>
        <v>GiTi</v>
      </c>
      <c r="R2251" s="93" t="str">
        <f>VLOOKUP(E2251,DATABASE!C:Q,11,false)</f>
        <v>Tire</v>
      </c>
    </row>
    <row r="2252" ht="22.5" customHeight="1">
      <c r="A2252" s="49"/>
      <c r="C2252" s="384">
        <v>45773.0</v>
      </c>
      <c r="D2252" s="65">
        <v>5395.0</v>
      </c>
      <c r="E2252" s="445" t="s">
        <v>878</v>
      </c>
      <c r="F2252" s="386">
        <v>2.0</v>
      </c>
      <c r="G2252" s="74">
        <v>40000.0</v>
      </c>
      <c r="H2252" s="74">
        <v>0.0</v>
      </c>
      <c r="I2252" s="74">
        <f t="shared" si="1"/>
        <v>80000</v>
      </c>
      <c r="J2252" s="74">
        <f>IF(E2252="SERVICE",I2252-(I2252*50%),Vlookup(E2252,DATABASE!C:Q,10,false)*F2252)</f>
        <v>0</v>
      </c>
      <c r="K2252" s="74">
        <f>VLOOKUP(E2252,DATABASE!C:Q,7,false)</f>
        <v>0</v>
      </c>
      <c r="L2252" s="74">
        <v>0.0</v>
      </c>
      <c r="M2252" s="74">
        <f t="shared" si="2"/>
        <v>0</v>
      </c>
      <c r="N2252" s="74">
        <f t="shared" si="3"/>
        <v>80000</v>
      </c>
      <c r="O2252" s="65" t="str">
        <f>VLOOKUP(E2252,DATABASE!C:Q,8,false)</f>
        <v>IBU</v>
      </c>
      <c r="P2252" s="65">
        <f>VLOOKUP(E2252,DATABASE!C:Q,9,False)</f>
        <v>0</v>
      </c>
      <c r="Q2252" s="93" t="str">
        <f>VLOOKUP(E2252,DATABASE!C:Q,4,false)</f>
        <v>Bongkar Pasang 17</v>
      </c>
      <c r="R2252" s="93" t="str">
        <f>VLOOKUP(E2252,DATABASE!C:Q,11,false)</f>
        <v>SERVICE</v>
      </c>
    </row>
    <row r="2253" ht="22.5" customHeight="1">
      <c r="A2253" s="49"/>
      <c r="C2253" s="384">
        <v>45773.0</v>
      </c>
      <c r="D2253" s="65">
        <v>5395.0</v>
      </c>
      <c r="E2253" s="445" t="s">
        <v>2139</v>
      </c>
      <c r="F2253" s="386">
        <v>1.0</v>
      </c>
      <c r="G2253" s="74">
        <v>10000.0</v>
      </c>
      <c r="H2253" s="74">
        <v>0.0</v>
      </c>
      <c r="I2253" s="74">
        <f t="shared" si="1"/>
        <v>10000</v>
      </c>
      <c r="J2253" s="74">
        <f>IF(E2253="SERVICE",I2253-(I2253*50%),Vlookup(E2253,DATABASE!C:Q,10,false)*F2253)</f>
        <v>0</v>
      </c>
      <c r="K2253" s="74">
        <f>VLOOKUP(E2253,DATABASE!C:Q,7,false)</f>
        <v>0</v>
      </c>
      <c r="L2253" s="74">
        <v>0.0</v>
      </c>
      <c r="M2253" s="74">
        <f t="shared" si="2"/>
        <v>0</v>
      </c>
      <c r="N2253" s="74">
        <f t="shared" si="3"/>
        <v>10000</v>
      </c>
      <c r="O2253" s="65" t="str">
        <f>VLOOKUP(E2253,DATABASE!C:Q,8,false)</f>
        <v>IBU</v>
      </c>
      <c r="P2253" s="65">
        <f>VLOOKUP(E2253,DATABASE!C:Q,9,False)</f>
        <v>0</v>
      </c>
      <c r="Q2253" s="93" t="str">
        <f>VLOOKUP(E2253,DATABASE!C:Q,4,false)</f>
        <v>PENTIL</v>
      </c>
      <c r="R2253" s="93" t="str">
        <f>VLOOKUP(E2253,DATABASE!C:Q,11,false)</f>
        <v>COMPLEMENTARY</v>
      </c>
    </row>
    <row r="2254" ht="22.5" customHeight="1">
      <c r="A2254" s="49"/>
      <c r="C2254" s="384">
        <v>45773.0</v>
      </c>
      <c r="D2254" s="65">
        <v>5395.0</v>
      </c>
      <c r="E2254" s="385" t="s">
        <v>299</v>
      </c>
      <c r="F2254" s="386">
        <v>2.0</v>
      </c>
      <c r="G2254" s="74">
        <v>30000.0</v>
      </c>
      <c r="H2254" s="74">
        <v>0.0</v>
      </c>
      <c r="I2254" s="74">
        <f t="shared" si="1"/>
        <v>60000</v>
      </c>
      <c r="J2254" s="74">
        <f>IF(E2254="SERVICE",I2254-(I2254*50%),Vlookup(E2254,DATABASE!C:Q,10,false)*F2254)</f>
        <v>0</v>
      </c>
      <c r="K2254" s="74">
        <v>0.0</v>
      </c>
      <c r="L2254" s="74">
        <v>0.0</v>
      </c>
      <c r="M2254" s="74">
        <f t="shared" si="2"/>
        <v>0</v>
      </c>
      <c r="N2254" s="74">
        <f t="shared" si="3"/>
        <v>60000</v>
      </c>
      <c r="O2254" s="65" t="str">
        <f>VLOOKUP(E2254,DATABASE!C:Q,8,false)</f>
        <v>BIAN</v>
      </c>
      <c r="P2254" s="65">
        <f>VLOOKUP(E2254,DATABASE!C:Q,9,False)</f>
        <v>0</v>
      </c>
      <c r="Q2254" s="93" t="str">
        <f>VLOOKUP(E2254,DATABASE!C:Q,4,false)</f>
        <v>Balancing</v>
      </c>
      <c r="R2254" s="93" t="str">
        <f>VLOOKUP(E2254,DATABASE!C:Q,11,false)</f>
        <v>COMPLEMENTARY</v>
      </c>
    </row>
    <row r="2255" ht="22.5" customHeight="1">
      <c r="A2255" s="49"/>
      <c r="C2255" s="384">
        <v>45773.0</v>
      </c>
      <c r="D2255" s="65">
        <v>5395.0</v>
      </c>
      <c r="E2255" s="445" t="s">
        <v>301</v>
      </c>
      <c r="F2255" s="386">
        <v>1.0</v>
      </c>
      <c r="G2255" s="74">
        <v>250000.0</v>
      </c>
      <c r="H2255" s="74">
        <v>0.0</v>
      </c>
      <c r="I2255" s="74">
        <f t="shared" si="1"/>
        <v>250000</v>
      </c>
      <c r="J2255" s="74">
        <f>IF(E2255="SERVICE",I2255-(I2255*50%),Vlookup(E2255,DATABASE!C:Q,10,false)*F2255)</f>
        <v>75000</v>
      </c>
      <c r="K2255" s="74">
        <f>VLOOKUP(E2255,DATABASE!C:Q,7,false)</f>
        <v>75000</v>
      </c>
      <c r="L2255" s="74">
        <v>75000.0</v>
      </c>
      <c r="M2255" s="74">
        <f t="shared" si="2"/>
        <v>75000</v>
      </c>
      <c r="N2255" s="74">
        <f t="shared" si="3"/>
        <v>100000</v>
      </c>
      <c r="O2255" s="65" t="str">
        <f>VLOOKUP(E2255,DATABASE!C:Q,8,false)</f>
        <v>BIAN</v>
      </c>
      <c r="P2255" s="65">
        <f>VLOOKUP(E2255,DATABASE!C:Q,9,False)</f>
        <v>0</v>
      </c>
      <c r="Q2255" s="93" t="str">
        <f>VLOOKUP(E2255,DATABASE!C:Q,4,false)</f>
        <v>Baut Camber</v>
      </c>
      <c r="R2255" s="93" t="str">
        <f>VLOOKUP(E2255,DATABASE!C:Q,11,false)</f>
        <v>COMPLEMENTARY</v>
      </c>
    </row>
    <row r="2256" ht="22.5" customHeight="1">
      <c r="A2256" s="49"/>
      <c r="C2256" s="384">
        <v>45773.0</v>
      </c>
      <c r="D2256" s="65">
        <v>5395.0</v>
      </c>
      <c r="E2256" s="445" t="s">
        <v>256</v>
      </c>
      <c r="F2256" s="386">
        <v>1.0</v>
      </c>
      <c r="G2256" s="74">
        <v>130000.0</v>
      </c>
      <c r="H2256" s="74">
        <v>0.0</v>
      </c>
      <c r="I2256" s="74">
        <f t="shared" si="1"/>
        <v>130000</v>
      </c>
      <c r="J2256" s="74">
        <f>IF(E2256="SERVICE",I2256-(I2256*50%),Vlookup(E2256,DATABASE!C:Q,10,false)*F2256)</f>
        <v>10000</v>
      </c>
      <c r="K2256" s="74">
        <f>VLOOKUP(E2256,DATABASE!C:Q,7,false)</f>
        <v>0</v>
      </c>
      <c r="L2256" s="74">
        <v>0.0</v>
      </c>
      <c r="M2256" s="74">
        <f t="shared" si="2"/>
        <v>0</v>
      </c>
      <c r="N2256" s="74">
        <f t="shared" si="3"/>
        <v>120000</v>
      </c>
      <c r="O2256" s="65" t="str">
        <f>VLOOKUP(E2256,DATABASE!C:Q,8,false)</f>
        <v>IBU</v>
      </c>
      <c r="P2256" s="65">
        <f>VLOOKUP(E2256,DATABASE!C:Q,9,False)</f>
        <v>0</v>
      </c>
      <c r="Q2256" s="93" t="str">
        <f>VLOOKUP(E2256,DATABASE!C:Q,4,false)</f>
        <v>SPOORING</v>
      </c>
      <c r="R2256" s="93" t="str">
        <f>VLOOKUP(E2256,DATABASE!C:Q,11,false)</f>
        <v>SERVICE</v>
      </c>
    </row>
    <row r="2257" ht="22.5" customHeight="1">
      <c r="A2257" s="49"/>
      <c r="C2257" s="384">
        <v>45773.0</v>
      </c>
      <c r="D2257" s="65">
        <v>5396.0</v>
      </c>
      <c r="E2257" s="445" t="s">
        <v>1278</v>
      </c>
      <c r="F2257" s="386">
        <v>3.0</v>
      </c>
      <c r="G2257" s="74">
        <v>1580000.0</v>
      </c>
      <c r="H2257" s="74">
        <v>0.0</v>
      </c>
      <c r="I2257" s="74">
        <f t="shared" si="1"/>
        <v>4740000</v>
      </c>
      <c r="J2257" s="74">
        <f>IF(E2257="SERVICE",I2257-(I2257*50%),Vlookup(E2257,DATABASE!C:Q,10,false)*F2257)</f>
        <v>0</v>
      </c>
      <c r="K2257" s="74">
        <f>VLOOKUP(E2257,DATABASE!C:Q,7,false)</f>
        <v>1466393.5</v>
      </c>
      <c r="L2257" s="74">
        <v>1466393.5</v>
      </c>
      <c r="M2257" s="74">
        <f t="shared" si="2"/>
        <v>1470000</v>
      </c>
      <c r="N2257" s="74">
        <f t="shared" si="3"/>
        <v>330000</v>
      </c>
      <c r="O2257" s="65" t="str">
        <f>VLOOKUP(E2257,DATABASE!C:Q,8,false)</f>
        <v>IBU</v>
      </c>
      <c r="P2257" s="65">
        <f>VLOOKUP(E2257,DATABASE!C:Q,9,False)</f>
        <v>1</v>
      </c>
      <c r="Q2257" s="93" t="str">
        <f>VLOOKUP(E2257,DATABASE!C:Q,4,false)</f>
        <v>Bridgestone</v>
      </c>
      <c r="R2257" s="93" t="str">
        <f>VLOOKUP(E2257,DATABASE!C:Q,11,false)</f>
        <v>Tire</v>
      </c>
    </row>
    <row r="2258" ht="22.5" customHeight="1">
      <c r="A2258" s="49"/>
      <c r="C2258" s="384">
        <v>45773.0</v>
      </c>
      <c r="D2258" s="65">
        <v>5396.0</v>
      </c>
      <c r="E2258" s="385" t="s">
        <v>299</v>
      </c>
      <c r="F2258" s="386">
        <v>2.0</v>
      </c>
      <c r="G2258" s="74">
        <v>30000.0</v>
      </c>
      <c r="H2258" s="74">
        <v>0.0</v>
      </c>
      <c r="I2258" s="74">
        <f t="shared" si="1"/>
        <v>60000</v>
      </c>
      <c r="J2258" s="74">
        <f>IF(E2258="SERVICE",I2258-(I2258*50%),Vlookup(E2258,DATABASE!C:Q,10,false)*F2258)</f>
        <v>0</v>
      </c>
      <c r="K2258" s="74">
        <v>0.0</v>
      </c>
      <c r="L2258" s="74">
        <v>0.0</v>
      </c>
      <c r="M2258" s="74">
        <f t="shared" si="2"/>
        <v>0</v>
      </c>
      <c r="N2258" s="74">
        <f t="shared" si="3"/>
        <v>60000</v>
      </c>
      <c r="O2258" s="65" t="str">
        <f>VLOOKUP(E2258,DATABASE!C:Q,8,false)</f>
        <v>BIAN</v>
      </c>
      <c r="P2258" s="65">
        <f>VLOOKUP(E2258,DATABASE!C:Q,9,False)</f>
        <v>0</v>
      </c>
      <c r="Q2258" s="93" t="str">
        <f>VLOOKUP(E2258,DATABASE!C:Q,4,false)</f>
        <v>Balancing</v>
      </c>
      <c r="R2258" s="93" t="str">
        <f>VLOOKUP(E2258,DATABASE!C:Q,11,false)</f>
        <v>COMPLEMENTARY</v>
      </c>
    </row>
    <row r="2259" ht="22.5" customHeight="1">
      <c r="A2259" s="49"/>
      <c r="C2259" s="384">
        <v>45773.0</v>
      </c>
      <c r="D2259" s="65">
        <v>5396.0</v>
      </c>
      <c r="E2259" s="445" t="s">
        <v>246</v>
      </c>
      <c r="F2259" s="386">
        <v>1.0</v>
      </c>
      <c r="G2259" s="74">
        <v>35000.0</v>
      </c>
      <c r="H2259" s="74">
        <v>0.0</v>
      </c>
      <c r="I2259" s="74">
        <f t="shared" si="1"/>
        <v>35000</v>
      </c>
      <c r="J2259" s="74">
        <f>IF(E2259="SERVICE",I2259-(I2259*50%),Vlookup(E2259,DATABASE!C:Q,10,false)*F2259)</f>
        <v>0</v>
      </c>
      <c r="K2259" s="74">
        <f>VLOOKUP(E2259,DATABASE!C:Q,7,false)</f>
        <v>0</v>
      </c>
      <c r="L2259" s="74">
        <v>0.0</v>
      </c>
      <c r="M2259" s="74">
        <f t="shared" si="2"/>
        <v>0</v>
      </c>
      <c r="N2259" s="74">
        <f t="shared" si="3"/>
        <v>35000</v>
      </c>
      <c r="O2259" s="65" t="str">
        <f>VLOOKUP(E2259,DATABASE!C:Q,8,false)</f>
        <v>IBU</v>
      </c>
      <c r="P2259" s="65">
        <f>VLOOKUP(E2259,DATABASE!C:Q,9,False)</f>
        <v>0</v>
      </c>
      <c r="Q2259" s="93" t="str">
        <f>VLOOKUP(E2259,DATABASE!C:Q,4,false)</f>
        <v>Bongkar Pasang</v>
      </c>
      <c r="R2259" s="93" t="str">
        <f>VLOOKUP(E2259,DATABASE!C:Q,11,false)</f>
        <v>SERVICE</v>
      </c>
    </row>
    <row r="2260" ht="22.5" customHeight="1">
      <c r="A2260" s="49"/>
      <c r="C2260" s="384">
        <v>45773.0</v>
      </c>
      <c r="D2260" s="65">
        <v>5397.0</v>
      </c>
      <c r="E2260" s="445" t="s">
        <v>572</v>
      </c>
      <c r="F2260" s="386">
        <v>2.0</v>
      </c>
      <c r="G2260" s="74">
        <v>1370000.0</v>
      </c>
      <c r="H2260" s="74">
        <v>0.0</v>
      </c>
      <c r="I2260" s="74">
        <f t="shared" si="1"/>
        <v>2740000</v>
      </c>
      <c r="J2260" s="74">
        <f>IF(E2260="SERVICE",I2260-(I2260*50%),Vlookup(E2260,DATABASE!C:Q,10,false)*F2260)</f>
        <v>0</v>
      </c>
      <c r="K2260" s="140">
        <v>1270000.0</v>
      </c>
      <c r="L2260" s="140">
        <v>1270000.0</v>
      </c>
      <c r="M2260" s="74">
        <f t="shared" si="2"/>
        <v>1270000</v>
      </c>
      <c r="N2260" s="74">
        <f t="shared" si="3"/>
        <v>200000</v>
      </c>
      <c r="O2260" s="65" t="str">
        <f>VLOOKUP(E2260,DATABASE!C:Q,8,false)</f>
        <v>IBU</v>
      </c>
      <c r="P2260" s="65">
        <f>VLOOKUP(E2260,DATABASE!C:Q,9,False)</f>
        <v>1</v>
      </c>
      <c r="Q2260" s="93" t="str">
        <f>VLOOKUP(E2260,DATABASE!C:Q,4,false)</f>
        <v>Bridgestone</v>
      </c>
      <c r="R2260" s="93" t="str">
        <f>VLOOKUP(E2260,DATABASE!C:Q,11,false)</f>
        <v>Tire</v>
      </c>
    </row>
    <row r="2261" ht="22.5" customHeight="1">
      <c r="A2261" s="49"/>
      <c r="C2261" s="384">
        <v>45773.0</v>
      </c>
      <c r="D2261" s="65">
        <v>5397.0</v>
      </c>
      <c r="E2261" s="445" t="s">
        <v>255</v>
      </c>
      <c r="F2261" s="386">
        <v>2.0</v>
      </c>
      <c r="G2261" s="74">
        <v>200000.0</v>
      </c>
      <c r="H2261" s="74">
        <v>0.0</v>
      </c>
      <c r="I2261" s="74">
        <f t="shared" si="1"/>
        <v>400000</v>
      </c>
      <c r="J2261" s="74">
        <f>IF(E2261="SERVICE",I2261-(I2261*50%),Vlookup(E2261,DATABASE!C:Q,10,false)*F2261)</f>
        <v>0</v>
      </c>
      <c r="K2261" s="74">
        <f>VLOOKUP(E2261,DATABASE!C:Q,7,false)</f>
        <v>161840</v>
      </c>
      <c r="L2261" s="74">
        <v>161840.0</v>
      </c>
      <c r="M2261" s="74">
        <f t="shared" si="2"/>
        <v>165000</v>
      </c>
      <c r="N2261" s="74">
        <f t="shared" si="3"/>
        <v>70000</v>
      </c>
      <c r="O2261" s="65" t="str">
        <f>VLOOKUP(E2261,DATABASE!C:Q,8,false)</f>
        <v>BIAN</v>
      </c>
      <c r="P2261" s="65">
        <f>VLOOKUP(E2261,DATABASE!C:Q,9,False)</f>
        <v>1</v>
      </c>
      <c r="Q2261" s="93" t="str">
        <f>VLOOKUP(E2261,DATABASE!C:Q,4,false)</f>
        <v>BD</v>
      </c>
      <c r="R2261" s="93" t="str">
        <f>VLOOKUP(E2261,DATABASE!C:Q,11,false)</f>
        <v>Tire</v>
      </c>
    </row>
    <row r="2262" ht="22.5" customHeight="1">
      <c r="A2262" s="49"/>
      <c r="C2262" s="384">
        <v>45773.0</v>
      </c>
      <c r="D2262" s="65">
        <v>5397.0</v>
      </c>
      <c r="E2262" s="445" t="s">
        <v>814</v>
      </c>
      <c r="F2262" s="386">
        <v>2.0</v>
      </c>
      <c r="G2262" s="74">
        <v>65000.0</v>
      </c>
      <c r="H2262" s="74">
        <v>0.0</v>
      </c>
      <c r="I2262" s="74">
        <f t="shared" si="1"/>
        <v>130000</v>
      </c>
      <c r="J2262" s="74">
        <f>IF(E2262="SERVICE",I2262-(I2262*50%),Vlookup(E2262,DATABASE!C:Q,10,false)*F2262)</f>
        <v>0</v>
      </c>
      <c r="K2262" s="74">
        <f>VLOOKUP(E2262,DATABASE!C:Q,7,false)</f>
        <v>39440</v>
      </c>
      <c r="L2262" s="74">
        <v>39440.0</v>
      </c>
      <c r="M2262" s="74">
        <f t="shared" si="2"/>
        <v>40000</v>
      </c>
      <c r="N2262" s="74">
        <f t="shared" si="3"/>
        <v>50000</v>
      </c>
      <c r="O2262" s="65" t="str">
        <f>VLOOKUP(E2262,DATABASE!C:Q,8,false)</f>
        <v>BIAN</v>
      </c>
      <c r="P2262" s="65">
        <f>VLOOKUP(E2262,DATABASE!C:Q,9,False)</f>
        <v>1</v>
      </c>
      <c r="Q2262" s="93" t="str">
        <f>VLOOKUP(E2262,DATABASE!C:Q,4,false)</f>
        <v>Flap</v>
      </c>
      <c r="R2262" s="93" t="str">
        <f>VLOOKUP(E2262,DATABASE!C:Q,11,false)</f>
        <v>Tire</v>
      </c>
    </row>
    <row r="2263" ht="22.5" customHeight="1">
      <c r="A2263" s="49"/>
      <c r="C2263" s="384">
        <v>45773.0</v>
      </c>
      <c r="D2263" s="65">
        <v>5398.0</v>
      </c>
      <c r="E2263" s="445" t="s">
        <v>268</v>
      </c>
      <c r="F2263" s="386">
        <v>1.0</v>
      </c>
      <c r="G2263" s="74">
        <v>700000.0</v>
      </c>
      <c r="H2263" s="74">
        <v>0.0</v>
      </c>
      <c r="I2263" s="74">
        <f t="shared" si="1"/>
        <v>700000</v>
      </c>
      <c r="J2263" s="74">
        <f>IF(E2263="SERVICE",I2263-(I2263*50%),Vlookup(E2263,DATABASE!C:Q,10,false)*F2263)</f>
        <v>0</v>
      </c>
      <c r="K2263" s="74">
        <v>613000.0</v>
      </c>
      <c r="L2263" s="74">
        <v>613000.0</v>
      </c>
      <c r="M2263" s="74">
        <f t="shared" si="2"/>
        <v>615000</v>
      </c>
      <c r="N2263" s="74">
        <f t="shared" si="3"/>
        <v>85000</v>
      </c>
      <c r="O2263" s="65" t="str">
        <f>VLOOKUP(E2263,DATABASE!C:Q,8,false)</f>
        <v>IBU</v>
      </c>
      <c r="P2263" s="65">
        <f>VLOOKUP(E2263,DATABASE!C:Q,9,False)</f>
        <v>1</v>
      </c>
      <c r="Q2263" s="93" t="str">
        <f>VLOOKUP(E2263,DATABASE!C:Q,4,false)</f>
        <v>Dunlop</v>
      </c>
      <c r="R2263" s="93" t="str">
        <f>VLOOKUP(E2263,DATABASE!C:Q,11,false)</f>
        <v>Tire</v>
      </c>
    </row>
    <row r="2264" ht="22.5" customHeight="1">
      <c r="A2264" s="49"/>
      <c r="C2264" s="384">
        <v>45773.0</v>
      </c>
      <c r="D2264" s="65">
        <v>5399.0</v>
      </c>
      <c r="E2264" s="445" t="s">
        <v>246</v>
      </c>
      <c r="F2264" s="386">
        <v>2.0</v>
      </c>
      <c r="G2264" s="74">
        <v>25000.0</v>
      </c>
      <c r="H2264" s="74">
        <v>0.0</v>
      </c>
      <c r="I2264" s="74">
        <f t="shared" si="1"/>
        <v>50000</v>
      </c>
      <c r="J2264" s="74">
        <f>IF(E2264="SERVICE",I2264-(I2264*50%),Vlookup(E2264,DATABASE!C:Q,10,false)*F2264)</f>
        <v>0</v>
      </c>
      <c r="K2264" s="74">
        <f>VLOOKUP(E2264,DATABASE!C:Q,7,false)</f>
        <v>0</v>
      </c>
      <c r="L2264" s="74">
        <v>0.0</v>
      </c>
      <c r="M2264" s="74">
        <f t="shared" si="2"/>
        <v>0</v>
      </c>
      <c r="N2264" s="74">
        <f t="shared" si="3"/>
        <v>50000</v>
      </c>
      <c r="O2264" s="65" t="str">
        <f>VLOOKUP(E2264,DATABASE!C:Q,8,false)</f>
        <v>IBU</v>
      </c>
      <c r="P2264" s="65">
        <f>VLOOKUP(E2264,DATABASE!C:Q,9,False)</f>
        <v>0</v>
      </c>
      <c r="Q2264" s="93" t="str">
        <f>VLOOKUP(E2264,DATABASE!C:Q,4,false)</f>
        <v>Bongkar Pasang</v>
      </c>
      <c r="R2264" s="93" t="str">
        <f>VLOOKUP(E2264,DATABASE!C:Q,11,false)</f>
        <v>SERVICE</v>
      </c>
    </row>
    <row r="2265" ht="22.5" customHeight="1">
      <c r="A2265" s="49"/>
      <c r="C2265" s="384">
        <v>45773.0</v>
      </c>
      <c r="D2265" s="65">
        <v>5399.0</v>
      </c>
      <c r="E2265" s="385" t="s">
        <v>299</v>
      </c>
      <c r="F2265" s="386">
        <v>2.0</v>
      </c>
      <c r="G2265" s="74">
        <v>25000.0</v>
      </c>
      <c r="H2265" s="74">
        <v>0.0</v>
      </c>
      <c r="I2265" s="74">
        <f t="shared" si="1"/>
        <v>50000</v>
      </c>
      <c r="J2265" s="74">
        <f>IF(E2265="SERVICE",I2265-(I2265*50%),Vlookup(E2265,DATABASE!C:Q,10,false)*F2265)</f>
        <v>0</v>
      </c>
      <c r="K2265" s="74">
        <v>0.0</v>
      </c>
      <c r="L2265" s="74">
        <v>0.0</v>
      </c>
      <c r="M2265" s="74">
        <f t="shared" si="2"/>
        <v>0</v>
      </c>
      <c r="N2265" s="74">
        <f t="shared" si="3"/>
        <v>50000</v>
      </c>
      <c r="O2265" s="65" t="str">
        <f>VLOOKUP(E2265,DATABASE!C:Q,8,false)</f>
        <v>BIAN</v>
      </c>
      <c r="P2265" s="65">
        <f>VLOOKUP(E2265,DATABASE!C:Q,9,False)</f>
        <v>0</v>
      </c>
      <c r="Q2265" s="93" t="str">
        <f>VLOOKUP(E2265,DATABASE!C:Q,4,false)</f>
        <v>Balancing</v>
      </c>
      <c r="R2265" s="93" t="str">
        <f>VLOOKUP(E2265,DATABASE!C:Q,11,false)</f>
        <v>COMPLEMENTARY</v>
      </c>
    </row>
    <row r="2266" ht="22.5" customHeight="1">
      <c r="A2266" s="49"/>
      <c r="C2266" s="384">
        <v>45773.0</v>
      </c>
      <c r="D2266" s="65">
        <v>5399.0</v>
      </c>
      <c r="E2266" s="445" t="s">
        <v>256</v>
      </c>
      <c r="F2266" s="386">
        <v>1.0</v>
      </c>
      <c r="G2266" s="74">
        <v>130000.0</v>
      </c>
      <c r="H2266" s="74">
        <v>0.0</v>
      </c>
      <c r="I2266" s="74">
        <f t="shared" si="1"/>
        <v>130000</v>
      </c>
      <c r="J2266" s="74">
        <f>IF(E2266="SERVICE",I2266-(I2266*50%),Vlookup(E2266,DATABASE!C:Q,10,false)*F2266)</f>
        <v>10000</v>
      </c>
      <c r="K2266" s="74">
        <f>VLOOKUP(E2266,DATABASE!C:Q,7,false)</f>
        <v>0</v>
      </c>
      <c r="L2266" s="74">
        <v>0.0</v>
      </c>
      <c r="M2266" s="74">
        <f t="shared" si="2"/>
        <v>0</v>
      </c>
      <c r="N2266" s="74">
        <f t="shared" si="3"/>
        <v>120000</v>
      </c>
      <c r="O2266" s="65" t="str">
        <f>VLOOKUP(E2266,DATABASE!C:Q,8,false)</f>
        <v>IBU</v>
      </c>
      <c r="P2266" s="65">
        <f>VLOOKUP(E2266,DATABASE!C:Q,9,False)</f>
        <v>0</v>
      </c>
      <c r="Q2266" s="93" t="str">
        <f>VLOOKUP(E2266,DATABASE!C:Q,4,false)</f>
        <v>SPOORING</v>
      </c>
      <c r="R2266" s="93" t="str">
        <f>VLOOKUP(E2266,DATABASE!C:Q,11,false)</f>
        <v>SERVICE</v>
      </c>
    </row>
    <row r="2267" ht="22.5" customHeight="1">
      <c r="A2267" s="49"/>
      <c r="C2267" s="384">
        <v>45773.0</v>
      </c>
      <c r="D2267" s="65">
        <v>5399.0</v>
      </c>
      <c r="E2267" s="445" t="s">
        <v>301</v>
      </c>
      <c r="F2267" s="386">
        <v>1.0</v>
      </c>
      <c r="G2267" s="74">
        <v>250000.0</v>
      </c>
      <c r="H2267" s="74">
        <v>0.0</v>
      </c>
      <c r="I2267" s="74">
        <f t="shared" si="1"/>
        <v>250000</v>
      </c>
      <c r="J2267" s="74">
        <f>IF(E2267="SERVICE",I2267-(I2267*50%),Vlookup(E2267,DATABASE!C:Q,10,false)*F2267)</f>
        <v>75000</v>
      </c>
      <c r="K2267" s="74">
        <f>VLOOKUP(E2267,DATABASE!C:Q,7,false)</f>
        <v>75000</v>
      </c>
      <c r="L2267" s="74">
        <v>75000.0</v>
      </c>
      <c r="M2267" s="74">
        <f t="shared" si="2"/>
        <v>75000</v>
      </c>
      <c r="N2267" s="74">
        <f t="shared" si="3"/>
        <v>100000</v>
      </c>
      <c r="O2267" s="65" t="str">
        <f>VLOOKUP(E2267,DATABASE!C:Q,8,false)</f>
        <v>BIAN</v>
      </c>
      <c r="P2267" s="65">
        <f>VLOOKUP(E2267,DATABASE!C:Q,9,False)</f>
        <v>0</v>
      </c>
      <c r="Q2267" s="93" t="str">
        <f>VLOOKUP(E2267,DATABASE!C:Q,4,false)</f>
        <v>Baut Camber</v>
      </c>
      <c r="R2267" s="93" t="str">
        <f>VLOOKUP(E2267,DATABASE!C:Q,11,false)</f>
        <v>COMPLEMENTARY</v>
      </c>
    </row>
    <row r="2268" ht="22.5" customHeight="1">
      <c r="A2268" s="49"/>
      <c r="C2268" s="384">
        <v>45773.0</v>
      </c>
      <c r="D2268" s="65">
        <v>5400.0</v>
      </c>
      <c r="E2268" s="445" t="s">
        <v>275</v>
      </c>
      <c r="F2268" s="386">
        <v>2.0</v>
      </c>
      <c r="G2268" s="74">
        <v>825000.0</v>
      </c>
      <c r="H2268" s="74">
        <v>0.0</v>
      </c>
      <c r="I2268" s="74">
        <f t="shared" si="1"/>
        <v>1650000</v>
      </c>
      <c r="J2268" s="74">
        <f>IF(E2268="SERVICE",I2268-(I2268*50%),Vlookup(E2268,DATABASE!C:Q,10,false)*F2268)</f>
        <v>0</v>
      </c>
      <c r="K2268" s="74">
        <v>735000.0</v>
      </c>
      <c r="L2268" s="74">
        <v>735000.0</v>
      </c>
      <c r="M2268" s="74">
        <f t="shared" si="2"/>
        <v>735000</v>
      </c>
      <c r="N2268" s="74">
        <f t="shared" si="3"/>
        <v>180000</v>
      </c>
      <c r="O2268" s="65" t="str">
        <f>VLOOKUP(E2268,DATABASE!C:Q,8,false)</f>
        <v>IBU</v>
      </c>
      <c r="P2268" s="65">
        <f>VLOOKUP(E2268,DATABASE!C:Q,9,False)</f>
        <v>1</v>
      </c>
      <c r="Q2268" s="93" t="str">
        <f>VLOOKUP(E2268,DATABASE!C:Q,4,false)</f>
        <v>Dunlop</v>
      </c>
      <c r="R2268" s="93" t="str">
        <f>VLOOKUP(E2268,DATABASE!C:Q,11,false)</f>
        <v>Tire</v>
      </c>
    </row>
    <row r="2269" ht="22.5" customHeight="1">
      <c r="A2269" s="49"/>
      <c r="C2269" s="384">
        <v>45773.0</v>
      </c>
      <c r="D2269" s="65">
        <v>5401.0</v>
      </c>
      <c r="E2269" s="445" t="s">
        <v>268</v>
      </c>
      <c r="F2269" s="386">
        <v>2.0</v>
      </c>
      <c r="G2269" s="74">
        <v>700000.0</v>
      </c>
      <c r="H2269" s="74">
        <v>0.0</v>
      </c>
      <c r="I2269" s="74">
        <f t="shared" si="1"/>
        <v>1400000</v>
      </c>
      <c r="J2269" s="74">
        <f>IF(E2269="SERVICE",I2269-(I2269*50%),Vlookup(E2269,DATABASE!C:Q,10,false)*F2269)</f>
        <v>0</v>
      </c>
      <c r="K2269" s="74">
        <v>613000.0</v>
      </c>
      <c r="L2269" s="74">
        <v>613000.0</v>
      </c>
      <c r="M2269" s="74">
        <f t="shared" si="2"/>
        <v>615000</v>
      </c>
      <c r="N2269" s="74">
        <f t="shared" si="3"/>
        <v>170000</v>
      </c>
      <c r="O2269" s="65" t="str">
        <f>VLOOKUP(E2269,DATABASE!C:Q,8,false)</f>
        <v>IBU</v>
      </c>
      <c r="P2269" s="65">
        <f>VLOOKUP(E2269,DATABASE!C:Q,9,False)</f>
        <v>1</v>
      </c>
      <c r="Q2269" s="93" t="str">
        <f>VLOOKUP(E2269,DATABASE!C:Q,4,false)</f>
        <v>Dunlop</v>
      </c>
      <c r="R2269" s="93" t="str">
        <f>VLOOKUP(E2269,DATABASE!C:Q,11,false)</f>
        <v>Tire</v>
      </c>
    </row>
    <row r="2270" ht="22.5" customHeight="1">
      <c r="A2270" s="49"/>
      <c r="C2270" s="384">
        <v>45773.0</v>
      </c>
      <c r="D2270" s="65">
        <v>5402.0</v>
      </c>
      <c r="E2270" s="445" t="s">
        <v>1009</v>
      </c>
      <c r="F2270" s="386">
        <v>4.0</v>
      </c>
      <c r="G2270" s="74">
        <v>700000.0</v>
      </c>
      <c r="H2270" s="74">
        <v>0.0</v>
      </c>
      <c r="I2270" s="74">
        <f t="shared" si="1"/>
        <v>2800000</v>
      </c>
      <c r="J2270" s="74">
        <f>IF(E2270="SERVICE",I2270-(I2270*50%),Vlookup(E2270,DATABASE!C:Q,10,false)*F2270)</f>
        <v>0</v>
      </c>
      <c r="K2270" s="74">
        <f>VLOOKUP(E2270,DATABASE!C:Q,7,false)</f>
        <v>609800</v>
      </c>
      <c r="L2270" s="74">
        <v>592200.0</v>
      </c>
      <c r="M2270" s="74">
        <f t="shared" si="2"/>
        <v>595000</v>
      </c>
      <c r="N2270" s="74">
        <f t="shared" si="3"/>
        <v>420000</v>
      </c>
      <c r="O2270" s="65" t="str">
        <f>VLOOKUP(E2270,DATABASE!C:Q,8,false)</f>
        <v>BIAN</v>
      </c>
      <c r="P2270" s="65">
        <f>VLOOKUP(E2270,DATABASE!C:Q,9,False)</f>
        <v>1</v>
      </c>
      <c r="Q2270" s="93" t="str">
        <f>VLOOKUP(E2270,DATABASE!C:Q,4,false)</f>
        <v>GT</v>
      </c>
      <c r="R2270" s="93" t="str">
        <f>VLOOKUP(E2270,DATABASE!C:Q,11,false)</f>
        <v>Tire</v>
      </c>
    </row>
    <row r="2271" ht="22.5" customHeight="1">
      <c r="A2271" s="49"/>
      <c r="C2271" s="384">
        <v>45773.0</v>
      </c>
      <c r="D2271" s="65">
        <v>5402.0</v>
      </c>
      <c r="E2271" s="385" t="s">
        <v>299</v>
      </c>
      <c r="F2271" s="386">
        <v>2.0</v>
      </c>
      <c r="G2271" s="74">
        <v>30000.0</v>
      </c>
      <c r="H2271" s="74">
        <v>0.0</v>
      </c>
      <c r="I2271" s="74">
        <f t="shared" si="1"/>
        <v>60000</v>
      </c>
      <c r="J2271" s="74">
        <f>IF(E2271="SERVICE",I2271-(I2271*50%),Vlookup(E2271,DATABASE!C:Q,10,false)*F2271)</f>
        <v>0</v>
      </c>
      <c r="K2271" s="74">
        <v>0.0</v>
      </c>
      <c r="L2271" s="74">
        <v>0.0</v>
      </c>
      <c r="M2271" s="74">
        <f t="shared" si="2"/>
        <v>0</v>
      </c>
      <c r="N2271" s="74">
        <f t="shared" si="3"/>
        <v>60000</v>
      </c>
      <c r="O2271" s="65" t="str">
        <f>VLOOKUP(E2271,DATABASE!C:Q,8,false)</f>
        <v>BIAN</v>
      </c>
      <c r="P2271" s="65">
        <f>VLOOKUP(E2271,DATABASE!C:Q,9,False)</f>
        <v>0</v>
      </c>
      <c r="Q2271" s="93" t="str">
        <f>VLOOKUP(E2271,DATABASE!C:Q,4,false)</f>
        <v>Balancing</v>
      </c>
      <c r="R2271" s="93" t="str">
        <f>VLOOKUP(E2271,DATABASE!C:Q,11,false)</f>
        <v>COMPLEMENTARY</v>
      </c>
    </row>
    <row r="2272" ht="22.5" customHeight="1">
      <c r="A2272" s="49"/>
      <c r="C2272" s="384">
        <v>45773.0</v>
      </c>
      <c r="D2272" s="65">
        <v>5403.0</v>
      </c>
      <c r="E2272" s="445" t="s">
        <v>268</v>
      </c>
      <c r="F2272" s="386">
        <v>2.0</v>
      </c>
      <c r="G2272" s="74">
        <v>700000.0</v>
      </c>
      <c r="H2272" s="74">
        <v>0.0</v>
      </c>
      <c r="I2272" s="74">
        <f t="shared" si="1"/>
        <v>1400000</v>
      </c>
      <c r="J2272" s="74">
        <f>IF(E2272="SERVICE",I2272-(I2272*50%),Vlookup(E2272,DATABASE!C:Q,10,false)*F2272)</f>
        <v>0</v>
      </c>
      <c r="K2272" s="74">
        <v>613000.0</v>
      </c>
      <c r="L2272" s="74">
        <v>613000.0</v>
      </c>
      <c r="M2272" s="74">
        <f t="shared" si="2"/>
        <v>615000</v>
      </c>
      <c r="N2272" s="74">
        <f t="shared" si="3"/>
        <v>170000</v>
      </c>
      <c r="O2272" s="65" t="str">
        <f>VLOOKUP(E2272,DATABASE!C:Q,8,false)</f>
        <v>IBU</v>
      </c>
      <c r="P2272" s="65">
        <f>VLOOKUP(E2272,DATABASE!C:Q,9,False)</f>
        <v>1</v>
      </c>
      <c r="Q2272" s="93" t="str">
        <f>VLOOKUP(E2272,DATABASE!C:Q,4,false)</f>
        <v>Dunlop</v>
      </c>
      <c r="R2272" s="93" t="str">
        <f>VLOOKUP(E2272,DATABASE!C:Q,11,false)</f>
        <v>Tire</v>
      </c>
    </row>
    <row r="2273" ht="22.5" customHeight="1">
      <c r="A2273" s="49"/>
      <c r="C2273" s="384">
        <v>45773.0</v>
      </c>
      <c r="D2273" s="65">
        <v>5404.0</v>
      </c>
      <c r="E2273" s="445" t="s">
        <v>256</v>
      </c>
      <c r="F2273" s="386">
        <v>1.0</v>
      </c>
      <c r="G2273" s="74">
        <v>130000.0</v>
      </c>
      <c r="H2273" s="74">
        <v>0.0</v>
      </c>
      <c r="I2273" s="74">
        <f t="shared" si="1"/>
        <v>130000</v>
      </c>
      <c r="J2273" s="74">
        <f>IF(E2273="SERVICE",I2273-(I2273*50%),Vlookup(E2273,DATABASE!C:Q,10,false)*F2273)</f>
        <v>10000</v>
      </c>
      <c r="K2273" s="74">
        <f>VLOOKUP(E2273,DATABASE!C:Q,7,false)</f>
        <v>0</v>
      </c>
      <c r="L2273" s="74">
        <v>0.0</v>
      </c>
      <c r="M2273" s="74">
        <f t="shared" si="2"/>
        <v>0</v>
      </c>
      <c r="N2273" s="74">
        <f t="shared" si="3"/>
        <v>120000</v>
      </c>
      <c r="O2273" s="65" t="str">
        <f>VLOOKUP(E2273,DATABASE!C:Q,8,false)</f>
        <v>IBU</v>
      </c>
      <c r="P2273" s="65">
        <f>VLOOKUP(E2273,DATABASE!C:Q,9,False)</f>
        <v>0</v>
      </c>
      <c r="Q2273" s="93" t="str">
        <f>VLOOKUP(E2273,DATABASE!C:Q,4,false)</f>
        <v>SPOORING</v>
      </c>
      <c r="R2273" s="93" t="str">
        <f>VLOOKUP(E2273,DATABASE!C:Q,11,false)</f>
        <v>SERVICE</v>
      </c>
    </row>
    <row r="2274" ht="22.5" customHeight="1">
      <c r="A2274" s="49"/>
      <c r="C2274" s="384">
        <v>45773.0</v>
      </c>
      <c r="D2274" s="65">
        <v>5404.0</v>
      </c>
      <c r="E2274" s="445" t="s">
        <v>301</v>
      </c>
      <c r="F2274" s="386">
        <v>1.0</v>
      </c>
      <c r="G2274" s="74">
        <v>250000.0</v>
      </c>
      <c r="H2274" s="74">
        <v>0.0</v>
      </c>
      <c r="I2274" s="74">
        <f t="shared" si="1"/>
        <v>250000</v>
      </c>
      <c r="J2274" s="74">
        <f>IF(E2274="SERVICE",I2274-(I2274*50%),Vlookup(E2274,DATABASE!C:Q,10,false)*F2274)</f>
        <v>75000</v>
      </c>
      <c r="K2274" s="74">
        <f>VLOOKUP(E2274,DATABASE!C:Q,7,false)</f>
        <v>75000</v>
      </c>
      <c r="L2274" s="74">
        <v>75000.0</v>
      </c>
      <c r="M2274" s="74">
        <f t="shared" si="2"/>
        <v>75000</v>
      </c>
      <c r="N2274" s="74">
        <f t="shared" si="3"/>
        <v>100000</v>
      </c>
      <c r="O2274" s="65" t="str">
        <f>VLOOKUP(E2274,DATABASE!C:Q,8,false)</f>
        <v>BIAN</v>
      </c>
      <c r="P2274" s="65">
        <f>VLOOKUP(E2274,DATABASE!C:Q,9,False)</f>
        <v>0</v>
      </c>
      <c r="Q2274" s="93" t="str">
        <f>VLOOKUP(E2274,DATABASE!C:Q,4,false)</f>
        <v>Baut Camber</v>
      </c>
      <c r="R2274" s="93" t="str">
        <f>VLOOKUP(E2274,DATABASE!C:Q,11,false)</f>
        <v>COMPLEMENTARY</v>
      </c>
    </row>
    <row r="2275" ht="22.5" customHeight="1">
      <c r="A2275" s="49"/>
      <c r="C2275" s="384">
        <v>45774.0</v>
      </c>
      <c r="D2275" s="65">
        <v>5405.0</v>
      </c>
      <c r="E2275" s="445" t="s">
        <v>1196</v>
      </c>
      <c r="F2275" s="386">
        <v>2.0</v>
      </c>
      <c r="G2275" s="74">
        <v>1050000.0</v>
      </c>
      <c r="H2275" s="74">
        <v>0.0</v>
      </c>
      <c r="I2275" s="74">
        <f t="shared" si="1"/>
        <v>2100000</v>
      </c>
      <c r="J2275" s="74">
        <f>IF(E2275="SERVICE",I2275-(I2275*50%),Vlookup(E2275,DATABASE!C:Q,10,false)*F2275)</f>
        <v>0</v>
      </c>
      <c r="K2275" s="74">
        <f>VLOOKUP(E2275,DATABASE!C:Q,7,false)</f>
        <v>943430.5</v>
      </c>
      <c r="L2275" s="74">
        <v>945190.375</v>
      </c>
      <c r="M2275" s="74">
        <f t="shared" si="2"/>
        <v>950000</v>
      </c>
      <c r="N2275" s="74">
        <f t="shared" si="3"/>
        <v>200000</v>
      </c>
      <c r="O2275" s="65" t="str">
        <f>VLOOKUP(E2275,DATABASE!C:Q,8,false)</f>
        <v>IBU</v>
      </c>
      <c r="P2275" s="65">
        <f>VLOOKUP(E2275,DATABASE!C:Q,9,False)</f>
        <v>1</v>
      </c>
      <c r="Q2275" s="93" t="str">
        <f>VLOOKUP(E2275,DATABASE!C:Q,4,false)</f>
        <v>Bridgestone</v>
      </c>
      <c r="R2275" s="93" t="str">
        <f>VLOOKUP(E2275,DATABASE!C:Q,11,false)</f>
        <v>Tire</v>
      </c>
    </row>
    <row r="2276" ht="22.5" customHeight="1">
      <c r="A2276" s="49"/>
      <c r="C2276" s="384">
        <v>45774.0</v>
      </c>
      <c r="D2276" s="65">
        <v>5406.0</v>
      </c>
      <c r="E2276" s="445" t="s">
        <v>791</v>
      </c>
      <c r="F2276" s="386">
        <v>1.0</v>
      </c>
      <c r="G2276" s="74">
        <v>1280000.0</v>
      </c>
      <c r="H2276" s="74">
        <v>0.0</v>
      </c>
      <c r="I2276" s="74">
        <f t="shared" si="1"/>
        <v>1280000</v>
      </c>
      <c r="J2276" s="74">
        <f>IF(E2276="SERVICE",I2276-(I2276*50%),Vlookup(E2276,DATABASE!C:Q,10,false)*F2276)</f>
        <v>0</v>
      </c>
      <c r="K2276" s="74">
        <f>VLOOKUP(E2276,DATABASE!C:Q,7,false)</f>
        <v>1210000</v>
      </c>
      <c r="L2276" s="74">
        <v>1180000.0</v>
      </c>
      <c r="M2276" s="74">
        <f t="shared" si="2"/>
        <v>1180000</v>
      </c>
      <c r="N2276" s="74">
        <f t="shared" si="3"/>
        <v>100000</v>
      </c>
      <c r="O2276" s="65" t="str">
        <f>VLOOKUP(E2276,DATABASE!C:Q,8,false)</f>
        <v>BIAN</v>
      </c>
      <c r="P2276" s="65">
        <f>VLOOKUP(E2276,DATABASE!C:Q,9,False)</f>
        <v>1</v>
      </c>
      <c r="Q2276" s="93" t="str">
        <f>VLOOKUP(E2276,DATABASE!C:Q,4,false)</f>
        <v>GT</v>
      </c>
      <c r="R2276" s="93" t="str">
        <f>VLOOKUP(E2276,DATABASE!C:Q,11,false)</f>
        <v>Tire</v>
      </c>
    </row>
    <row r="2277" ht="22.5" customHeight="1">
      <c r="A2277" s="49"/>
      <c r="C2277" s="384">
        <v>45774.0</v>
      </c>
      <c r="D2277" s="65">
        <v>5408.0</v>
      </c>
      <c r="E2277" s="445" t="s">
        <v>781</v>
      </c>
      <c r="F2277" s="386">
        <v>1.0</v>
      </c>
      <c r="G2277" s="74">
        <v>530000.0</v>
      </c>
      <c r="H2277" s="74">
        <v>0.0</v>
      </c>
      <c r="I2277" s="74">
        <f t="shared" si="1"/>
        <v>530000</v>
      </c>
      <c r="J2277" s="74">
        <f>IF(E2277="SERVICE",I2277-(I2277*50%),Vlookup(E2277,DATABASE!C:Q,10,false)*F2277)</f>
        <v>0</v>
      </c>
      <c r="K2277" s="74">
        <f>VLOOKUP(E2277,DATABASE!C:Q,7,false)</f>
        <v>470000</v>
      </c>
      <c r="L2277" s="74">
        <v>442500.0</v>
      </c>
      <c r="M2277" s="74">
        <f t="shared" si="2"/>
        <v>445000</v>
      </c>
      <c r="N2277" s="74">
        <f t="shared" si="3"/>
        <v>85000</v>
      </c>
      <c r="O2277" s="65" t="str">
        <f>VLOOKUP(E2277,DATABASE!C:Q,8,false)</f>
        <v>BIAN</v>
      </c>
      <c r="P2277" s="65">
        <f>VLOOKUP(E2277,DATABASE!C:Q,9,False)</f>
        <v>1</v>
      </c>
      <c r="Q2277" s="93" t="str">
        <f>VLOOKUP(E2277,DATABASE!C:Q,4,false)</f>
        <v>GT</v>
      </c>
      <c r="R2277" s="93" t="str">
        <f>VLOOKUP(E2277,DATABASE!C:Q,11,false)</f>
        <v>Tire</v>
      </c>
    </row>
    <row r="2278" ht="22.5" customHeight="1">
      <c r="A2278" s="49"/>
      <c r="C2278" s="384">
        <v>45774.0</v>
      </c>
      <c r="D2278" s="65">
        <v>5408.0</v>
      </c>
      <c r="E2278" s="445" t="s">
        <v>250</v>
      </c>
      <c r="F2278" s="386">
        <v>1.0</v>
      </c>
      <c r="G2278" s="74">
        <v>135000.0</v>
      </c>
      <c r="H2278" s="74">
        <v>0.0</v>
      </c>
      <c r="I2278" s="74">
        <f t="shared" si="1"/>
        <v>135000</v>
      </c>
      <c r="J2278" s="74">
        <f>IF(E2278="SERVICE",I2278-(I2278*50%),Vlookup(E2278,DATABASE!C:Q,10,false)*F2278)</f>
        <v>0</v>
      </c>
      <c r="K2278" s="74">
        <f>VLOOKUP(E2278,DATABASE!C:Q,7,false)</f>
        <v>102000</v>
      </c>
      <c r="L2278" s="74">
        <v>102000.0</v>
      </c>
      <c r="M2278" s="74">
        <f t="shared" si="2"/>
        <v>105000</v>
      </c>
      <c r="N2278" s="74">
        <f t="shared" si="3"/>
        <v>30000</v>
      </c>
      <c r="O2278" s="65" t="str">
        <f>VLOOKUP(E2278,DATABASE!C:Q,8,false)</f>
        <v>BIAN</v>
      </c>
      <c r="P2278" s="65">
        <f>VLOOKUP(E2278,DATABASE!C:Q,9,False)</f>
        <v>1</v>
      </c>
      <c r="Q2278" s="93" t="str">
        <f>VLOOKUP(E2278,DATABASE!C:Q,4,false)</f>
        <v>BD</v>
      </c>
      <c r="R2278" s="93" t="str">
        <f>VLOOKUP(E2278,DATABASE!C:Q,11,false)</f>
        <v>Tire</v>
      </c>
    </row>
    <row r="2279" ht="22.5" customHeight="1">
      <c r="A2279" s="49"/>
      <c r="C2279" s="384">
        <v>45774.0</v>
      </c>
      <c r="D2279" s="65">
        <v>5409.0</v>
      </c>
      <c r="E2279" s="445" t="s">
        <v>287</v>
      </c>
      <c r="F2279" s="386">
        <v>2.0</v>
      </c>
      <c r="G2279" s="74">
        <v>775000.0</v>
      </c>
      <c r="H2279" s="74">
        <v>0.0</v>
      </c>
      <c r="I2279" s="74">
        <f t="shared" si="1"/>
        <v>1550000</v>
      </c>
      <c r="J2279" s="74">
        <f>IF(E2279="SERVICE",I2279-(I2279*50%),Vlookup(E2279,DATABASE!C:Q,10,false)*F2279)</f>
        <v>0</v>
      </c>
      <c r="K2279" s="74">
        <f>VLOOKUP(E2279,DATABASE!C:Q,7,false)</f>
        <v>711000</v>
      </c>
      <c r="L2279" s="74">
        <v>690600.0</v>
      </c>
      <c r="M2279" s="74">
        <f t="shared" si="2"/>
        <v>695000</v>
      </c>
      <c r="N2279" s="74">
        <f t="shared" si="3"/>
        <v>160000</v>
      </c>
      <c r="O2279" s="65" t="str">
        <f>VLOOKUP(E2279,DATABASE!C:Q,8,false)</f>
        <v>BIAN</v>
      </c>
      <c r="P2279" s="65">
        <f>VLOOKUP(E2279,DATABASE!C:Q,9,False)</f>
        <v>1</v>
      </c>
      <c r="Q2279" s="93" t="str">
        <f>VLOOKUP(E2279,DATABASE!C:Q,4,false)</f>
        <v>GT</v>
      </c>
      <c r="R2279" s="93" t="str">
        <f>VLOOKUP(E2279,DATABASE!C:Q,11,false)</f>
        <v>Tire</v>
      </c>
    </row>
    <row r="2280" ht="22.5" customHeight="1">
      <c r="A2280" s="49"/>
      <c r="C2280" s="384">
        <v>45774.0</v>
      </c>
      <c r="D2280" s="65">
        <v>5410.0</v>
      </c>
      <c r="E2280" s="445" t="s">
        <v>288</v>
      </c>
      <c r="F2280" s="386">
        <v>2.0</v>
      </c>
      <c r="G2280" s="74">
        <v>620000.0</v>
      </c>
      <c r="H2280" s="74">
        <v>0.0</v>
      </c>
      <c r="I2280" s="74">
        <f t="shared" si="1"/>
        <v>1240000</v>
      </c>
      <c r="J2280" s="74">
        <f>IF(E2280="SERVICE",I2280-(I2280*50%),Vlookup(E2280,DATABASE!C:Q,10,false)*F2280)</f>
        <v>0</v>
      </c>
      <c r="K2280" s="74">
        <f>VLOOKUP(E2280,DATABASE!C:Q,7,false)</f>
        <v>565760</v>
      </c>
      <c r="L2280" s="74">
        <v>524800.0</v>
      </c>
      <c r="M2280" s="74">
        <f t="shared" si="2"/>
        <v>525000</v>
      </c>
      <c r="N2280" s="74">
        <f t="shared" si="3"/>
        <v>190000</v>
      </c>
      <c r="O2280" s="65" t="str">
        <f>VLOOKUP(E2280,DATABASE!C:Q,8,false)</f>
        <v>BIAN</v>
      </c>
      <c r="P2280" s="65">
        <f>VLOOKUP(E2280,DATABASE!C:Q,9,False)</f>
        <v>1</v>
      </c>
      <c r="Q2280" s="93" t="str">
        <f>VLOOKUP(E2280,DATABASE!C:Q,4,false)</f>
        <v>GT</v>
      </c>
      <c r="R2280" s="93" t="str">
        <f>VLOOKUP(E2280,DATABASE!C:Q,11,false)</f>
        <v>Tire</v>
      </c>
    </row>
    <row r="2281" ht="22.5" customHeight="1">
      <c r="A2281" s="49"/>
      <c r="C2281" s="384">
        <v>45774.0</v>
      </c>
      <c r="D2281" s="65">
        <v>5411.0</v>
      </c>
      <c r="E2281" s="445" t="s">
        <v>1301</v>
      </c>
      <c r="F2281" s="386">
        <v>4.0</v>
      </c>
      <c r="G2281" s="74">
        <v>1270000.0</v>
      </c>
      <c r="H2281" s="74">
        <v>0.0</v>
      </c>
      <c r="I2281" s="74">
        <f t="shared" si="1"/>
        <v>5080000</v>
      </c>
      <c r="J2281" s="74">
        <f>IF(E2281="SERVICE",I2281-(I2281*50%),Vlookup(E2281,DATABASE!C:Q,10,false)*F2281)</f>
        <v>0</v>
      </c>
      <c r="K2281" s="74">
        <f>VLOOKUP(E2281,DATABASE!C:Q,7,false)</f>
        <v>1194000</v>
      </c>
      <c r="L2281" s="74">
        <v>1182000.0</v>
      </c>
      <c r="M2281" s="74">
        <f t="shared" si="2"/>
        <v>1185000</v>
      </c>
      <c r="N2281" s="74">
        <f t="shared" si="3"/>
        <v>340000</v>
      </c>
      <c r="O2281" s="65" t="str">
        <f>VLOOKUP(E2281,DATABASE!C:Q,8,false)</f>
        <v>IBU</v>
      </c>
      <c r="P2281" s="65">
        <f>VLOOKUP(E2281,DATABASE!C:Q,9,False)</f>
        <v>1</v>
      </c>
      <c r="Q2281" s="93" t="str">
        <f>VLOOKUP(E2281,DATABASE!C:Q,4,false)</f>
        <v>Dunlop</v>
      </c>
      <c r="R2281" s="93" t="str">
        <f>VLOOKUP(E2281,DATABASE!C:Q,11,false)</f>
        <v>Tire</v>
      </c>
    </row>
    <row r="2282" ht="22.5" customHeight="1">
      <c r="A2282" s="49"/>
      <c r="C2282" s="384">
        <v>45775.0</v>
      </c>
      <c r="D2282" s="65">
        <v>5412.0</v>
      </c>
      <c r="E2282" s="445" t="s">
        <v>1389</v>
      </c>
      <c r="F2282" s="386">
        <v>4.0</v>
      </c>
      <c r="G2282" s="74">
        <v>970000.0</v>
      </c>
      <c r="H2282" s="74">
        <v>0.0</v>
      </c>
      <c r="I2282" s="74">
        <f t="shared" si="1"/>
        <v>3880000</v>
      </c>
      <c r="J2282" s="74">
        <f>IF(E2282="SERVICE",I2282-(I2282*50%),Vlookup(E2282,DATABASE!C:Q,10,false)*F2282)</f>
        <v>0</v>
      </c>
      <c r="K2282" s="74">
        <f>VLOOKUP(E2282,DATABASE!C:Q,7,false)</f>
        <v>908000</v>
      </c>
      <c r="L2282" s="74">
        <v>897000.0</v>
      </c>
      <c r="M2282" s="74">
        <f t="shared" si="2"/>
        <v>900000</v>
      </c>
      <c r="N2282" s="74">
        <f t="shared" si="3"/>
        <v>280000</v>
      </c>
      <c r="O2282" s="65" t="str">
        <f>VLOOKUP(E2282,DATABASE!C:Q,8,false)</f>
        <v>IBU</v>
      </c>
      <c r="P2282" s="65">
        <f>VLOOKUP(E2282,DATABASE!C:Q,9,False)</f>
        <v>1</v>
      </c>
      <c r="Q2282" s="93" t="str">
        <f>VLOOKUP(E2282,DATABASE!C:Q,4,false)</f>
        <v>Dunlop</v>
      </c>
      <c r="R2282" s="93" t="str">
        <f>VLOOKUP(E2282,DATABASE!C:Q,11,false)</f>
        <v>Tire</v>
      </c>
    </row>
    <row r="2283" ht="22.5" customHeight="1">
      <c r="A2283" s="49"/>
      <c r="C2283" s="384">
        <v>45775.0</v>
      </c>
      <c r="D2283" s="65">
        <v>5412.0</v>
      </c>
      <c r="E2283" s="385" t="s">
        <v>299</v>
      </c>
      <c r="F2283" s="386">
        <v>2.0</v>
      </c>
      <c r="G2283" s="74">
        <v>30000.0</v>
      </c>
      <c r="H2283" s="74">
        <v>0.0</v>
      </c>
      <c r="I2283" s="74">
        <f t="shared" si="1"/>
        <v>60000</v>
      </c>
      <c r="J2283" s="74">
        <f>IF(E2283="SERVICE",I2283-(I2283*50%),Vlookup(E2283,DATABASE!C:Q,10,false)*F2283)</f>
        <v>0</v>
      </c>
      <c r="K2283" s="74">
        <v>0.0</v>
      </c>
      <c r="L2283" s="74">
        <v>0.0</v>
      </c>
      <c r="M2283" s="74">
        <f t="shared" si="2"/>
        <v>0</v>
      </c>
      <c r="N2283" s="74">
        <f t="shared" si="3"/>
        <v>60000</v>
      </c>
      <c r="O2283" s="65" t="str">
        <f>VLOOKUP(E2283,DATABASE!C:Q,8,false)</f>
        <v>BIAN</v>
      </c>
      <c r="P2283" s="65">
        <f>VLOOKUP(E2283,DATABASE!C:Q,9,False)</f>
        <v>0</v>
      </c>
      <c r="Q2283" s="93" t="str">
        <f>VLOOKUP(E2283,DATABASE!C:Q,4,false)</f>
        <v>Balancing</v>
      </c>
      <c r="R2283" s="93" t="str">
        <f>VLOOKUP(E2283,DATABASE!C:Q,11,false)</f>
        <v>COMPLEMENTARY</v>
      </c>
    </row>
    <row r="2284" ht="22.5" customHeight="1">
      <c r="A2284" s="49"/>
      <c r="C2284" s="384">
        <v>45775.0</v>
      </c>
      <c r="D2284" s="65">
        <v>5413.0</v>
      </c>
      <c r="E2284" s="445" t="s">
        <v>268</v>
      </c>
      <c r="F2284" s="386">
        <v>2.0</v>
      </c>
      <c r="G2284" s="74">
        <v>700000.0</v>
      </c>
      <c r="H2284" s="74">
        <v>0.0</v>
      </c>
      <c r="I2284" s="74">
        <f t="shared" si="1"/>
        <v>1400000</v>
      </c>
      <c r="J2284" s="74">
        <f>IF(E2284="SERVICE",I2284-(I2284*50%),Vlookup(E2284,DATABASE!C:Q,10,false)*F2284)</f>
        <v>0</v>
      </c>
      <c r="K2284" s="74">
        <v>613000.0</v>
      </c>
      <c r="L2284" s="74">
        <v>613000.0</v>
      </c>
      <c r="M2284" s="74">
        <f t="shared" si="2"/>
        <v>615000</v>
      </c>
      <c r="N2284" s="74">
        <f t="shared" si="3"/>
        <v>170000</v>
      </c>
      <c r="O2284" s="65" t="str">
        <f>VLOOKUP(E2284,DATABASE!C:Q,8,false)</f>
        <v>IBU</v>
      </c>
      <c r="P2284" s="65">
        <f>VLOOKUP(E2284,DATABASE!C:Q,9,False)</f>
        <v>1</v>
      </c>
      <c r="Q2284" s="93" t="str">
        <f>VLOOKUP(E2284,DATABASE!C:Q,4,false)</f>
        <v>Dunlop</v>
      </c>
      <c r="R2284" s="93" t="str">
        <f>VLOOKUP(E2284,DATABASE!C:Q,11,false)</f>
        <v>Tire</v>
      </c>
    </row>
    <row r="2285" ht="22.5" customHeight="1">
      <c r="A2285" s="49"/>
      <c r="C2285" s="384">
        <v>45775.0</v>
      </c>
      <c r="D2285" s="65">
        <v>5413.0</v>
      </c>
      <c r="E2285" s="445" t="s">
        <v>262</v>
      </c>
      <c r="F2285" s="386">
        <v>1.0</v>
      </c>
      <c r="G2285" s="74">
        <v>110000.0</v>
      </c>
      <c r="H2285" s="74">
        <v>0.0</v>
      </c>
      <c r="I2285" s="74">
        <f t="shared" si="1"/>
        <v>110000</v>
      </c>
      <c r="J2285" s="74">
        <f>IF(E2285="SERVICE",I2285-(I2285*50%),Vlookup(E2285,DATABASE!C:Q,10,false)*F2285)</f>
        <v>5000</v>
      </c>
      <c r="K2285" s="74">
        <f>VLOOKUP(E2285,DATABASE!C:Q,7,false)</f>
        <v>0</v>
      </c>
      <c r="L2285" s="74">
        <v>0.0</v>
      </c>
      <c r="M2285" s="74">
        <f t="shared" si="2"/>
        <v>0</v>
      </c>
      <c r="N2285" s="74">
        <f t="shared" si="3"/>
        <v>105000</v>
      </c>
      <c r="O2285" s="65" t="str">
        <f>VLOOKUP(E2285,DATABASE!C:Q,8,false)</f>
        <v>IBU</v>
      </c>
      <c r="P2285" s="65">
        <f>VLOOKUP(E2285,DATABASE!C:Q,9,False)</f>
        <v>0</v>
      </c>
      <c r="Q2285" s="93" t="str">
        <f>VLOOKUP(E2285,DATABASE!C:Q,4,false)</f>
        <v>SPOORING SS/CARRY LOS BAK</v>
      </c>
      <c r="R2285" s="93" t="str">
        <f>VLOOKUP(E2285,DATABASE!C:Q,11,false)</f>
        <v>SERVICE</v>
      </c>
    </row>
    <row r="2286" ht="22.5" customHeight="1">
      <c r="A2286" s="49"/>
      <c r="C2286" s="384">
        <v>45775.0</v>
      </c>
      <c r="D2286" s="65">
        <v>5414.0</v>
      </c>
      <c r="E2286" s="445" t="s">
        <v>268</v>
      </c>
      <c r="F2286" s="386">
        <v>2.0</v>
      </c>
      <c r="G2286" s="74">
        <v>700000.0</v>
      </c>
      <c r="H2286" s="74">
        <v>0.0</v>
      </c>
      <c r="I2286" s="74">
        <f t="shared" si="1"/>
        <v>1400000</v>
      </c>
      <c r="J2286" s="74">
        <f>IF(E2286="SERVICE",I2286-(I2286*50%),Vlookup(E2286,DATABASE!C:Q,10,false)*F2286)</f>
        <v>0</v>
      </c>
      <c r="K2286" s="74">
        <v>613000.0</v>
      </c>
      <c r="L2286" s="74">
        <v>613000.0</v>
      </c>
      <c r="M2286" s="74">
        <f t="shared" si="2"/>
        <v>615000</v>
      </c>
      <c r="N2286" s="74">
        <f t="shared" si="3"/>
        <v>170000</v>
      </c>
      <c r="O2286" s="65" t="str">
        <f>VLOOKUP(E2286,DATABASE!C:Q,8,false)</f>
        <v>IBU</v>
      </c>
      <c r="P2286" s="65">
        <f>VLOOKUP(E2286,DATABASE!C:Q,9,False)</f>
        <v>1</v>
      </c>
      <c r="Q2286" s="93" t="str">
        <f>VLOOKUP(E2286,DATABASE!C:Q,4,false)</f>
        <v>Dunlop</v>
      </c>
      <c r="R2286" s="93" t="str">
        <f>VLOOKUP(E2286,DATABASE!C:Q,11,false)</f>
        <v>Tire</v>
      </c>
    </row>
    <row r="2287" ht="22.5" customHeight="1">
      <c r="A2287" s="49"/>
      <c r="C2287" s="384">
        <v>45775.0</v>
      </c>
      <c r="D2287" s="65">
        <v>5415.0</v>
      </c>
      <c r="E2287" s="445" t="s">
        <v>256</v>
      </c>
      <c r="F2287" s="386">
        <v>1.0</v>
      </c>
      <c r="G2287" s="74">
        <v>130000.0</v>
      </c>
      <c r="H2287" s="74">
        <v>0.0</v>
      </c>
      <c r="I2287" s="74">
        <f t="shared" si="1"/>
        <v>130000</v>
      </c>
      <c r="J2287" s="74">
        <f>IF(E2287="SERVICE",I2287-(I2287*50%),Vlookup(E2287,DATABASE!C:Q,10,false)*F2287)</f>
        <v>10000</v>
      </c>
      <c r="K2287" s="74">
        <f>VLOOKUP(E2287,DATABASE!C:Q,7,false)</f>
        <v>0</v>
      </c>
      <c r="L2287" s="74">
        <v>0.0</v>
      </c>
      <c r="M2287" s="74">
        <f t="shared" si="2"/>
        <v>0</v>
      </c>
      <c r="N2287" s="74">
        <f t="shared" si="3"/>
        <v>120000</v>
      </c>
      <c r="O2287" s="65" t="str">
        <f>VLOOKUP(E2287,DATABASE!C:Q,8,false)</f>
        <v>IBU</v>
      </c>
      <c r="P2287" s="65">
        <f>VLOOKUP(E2287,DATABASE!C:Q,9,False)</f>
        <v>0</v>
      </c>
      <c r="Q2287" s="93" t="str">
        <f>VLOOKUP(E2287,DATABASE!C:Q,4,false)</f>
        <v>SPOORING</v>
      </c>
      <c r="R2287" s="93" t="str">
        <f>VLOOKUP(E2287,DATABASE!C:Q,11,false)</f>
        <v>SERVICE</v>
      </c>
    </row>
    <row r="2288" ht="22.5" customHeight="1">
      <c r="A2288" s="49"/>
      <c r="C2288" s="384">
        <v>45775.0</v>
      </c>
      <c r="D2288" s="65">
        <v>5416.0</v>
      </c>
      <c r="E2288" s="385" t="s">
        <v>299</v>
      </c>
      <c r="F2288" s="386">
        <v>2.0</v>
      </c>
      <c r="G2288" s="74">
        <v>30000.0</v>
      </c>
      <c r="H2288" s="74">
        <v>0.0</v>
      </c>
      <c r="I2288" s="74">
        <f t="shared" si="1"/>
        <v>60000</v>
      </c>
      <c r="J2288" s="74">
        <f>IF(E2288="SERVICE",I2288-(I2288*50%),Vlookup(E2288,DATABASE!C:Q,10,false)*F2288)</f>
        <v>0</v>
      </c>
      <c r="K2288" s="74">
        <v>0.0</v>
      </c>
      <c r="L2288" s="74">
        <v>0.0</v>
      </c>
      <c r="M2288" s="74">
        <f t="shared" si="2"/>
        <v>0</v>
      </c>
      <c r="N2288" s="74">
        <f t="shared" si="3"/>
        <v>60000</v>
      </c>
      <c r="O2288" s="65" t="str">
        <f>VLOOKUP(E2288,DATABASE!C:Q,8,false)</f>
        <v>BIAN</v>
      </c>
      <c r="P2288" s="65">
        <f>VLOOKUP(E2288,DATABASE!C:Q,9,False)</f>
        <v>0</v>
      </c>
      <c r="Q2288" s="93" t="str">
        <f>VLOOKUP(E2288,DATABASE!C:Q,4,false)</f>
        <v>Balancing</v>
      </c>
      <c r="R2288" s="93" t="str">
        <f>VLOOKUP(E2288,DATABASE!C:Q,11,false)</f>
        <v>COMPLEMENTARY</v>
      </c>
    </row>
    <row r="2289" ht="22.5" customHeight="1">
      <c r="A2289" s="49"/>
      <c r="C2289" s="384">
        <v>45775.0</v>
      </c>
      <c r="D2289" s="65">
        <v>5417.0</v>
      </c>
      <c r="E2289" s="445" t="s">
        <v>566</v>
      </c>
      <c r="F2289" s="386">
        <v>4.0</v>
      </c>
      <c r="G2289" s="74">
        <v>1670000.0</v>
      </c>
      <c r="H2289" s="74">
        <v>0.0</v>
      </c>
      <c r="I2289" s="74">
        <f t="shared" si="1"/>
        <v>6680000</v>
      </c>
      <c r="J2289" s="74">
        <f>IF(E2289="SERVICE",I2289-(I2289*50%),Vlookup(E2289,DATABASE!C:Q,10,false)*F2289)</f>
        <v>0</v>
      </c>
      <c r="K2289" s="140">
        <v>1570000.0</v>
      </c>
      <c r="L2289" s="140">
        <v>1570000.0</v>
      </c>
      <c r="M2289" s="74">
        <f t="shared" si="2"/>
        <v>1570000</v>
      </c>
      <c r="N2289" s="74">
        <f t="shared" si="3"/>
        <v>400000</v>
      </c>
      <c r="O2289" s="65" t="str">
        <f>VLOOKUP(E2289,DATABASE!C:Q,8,false)</f>
        <v>IBU</v>
      </c>
      <c r="P2289" s="65">
        <f>VLOOKUP(E2289,DATABASE!C:Q,9,False)</f>
        <v>1</v>
      </c>
      <c r="Q2289" s="93" t="str">
        <f>VLOOKUP(E2289,DATABASE!C:Q,4,false)</f>
        <v>Bridgestone</v>
      </c>
      <c r="R2289" s="93" t="str">
        <f>VLOOKUP(E2289,DATABASE!C:Q,11,false)</f>
        <v>Tire</v>
      </c>
    </row>
    <row r="2290" ht="22.5" customHeight="1">
      <c r="A2290" s="49"/>
      <c r="C2290" s="384">
        <v>45775.0</v>
      </c>
      <c r="D2290" s="65">
        <v>5418.0</v>
      </c>
      <c r="E2290" s="445" t="s">
        <v>1372</v>
      </c>
      <c r="F2290" s="386">
        <v>1.0</v>
      </c>
      <c r="G2290" s="74">
        <v>1100000.0</v>
      </c>
      <c r="H2290" s="74">
        <v>0.0</v>
      </c>
      <c r="I2290" s="74">
        <f t="shared" si="1"/>
        <v>1100000</v>
      </c>
      <c r="J2290" s="74">
        <f>IF(E2290="SERVICE",I2290-(I2290*50%),Vlookup(E2290,DATABASE!C:Q,10,false)*F2290)</f>
        <v>0</v>
      </c>
      <c r="K2290" s="74">
        <f>VLOOKUP(E2290,DATABASE!C:Q,7,false)</f>
        <v>1040000</v>
      </c>
      <c r="L2290" s="74">
        <v>1040000.0</v>
      </c>
      <c r="M2290" s="74">
        <f t="shared" si="2"/>
        <v>1040000</v>
      </c>
      <c r="N2290" s="74">
        <f t="shared" si="3"/>
        <v>60000</v>
      </c>
      <c r="O2290" s="65" t="str">
        <f>VLOOKUP(E2290,DATABASE!C:Q,8,false)</f>
        <v>IBU</v>
      </c>
      <c r="P2290" s="65">
        <f>VLOOKUP(E2290,DATABASE!C:Q,9,False)</f>
        <v>1</v>
      </c>
      <c r="Q2290" s="93" t="str">
        <f>VLOOKUP(E2290,DATABASE!C:Q,4,false)</f>
        <v>Dunlop</v>
      </c>
      <c r="R2290" s="93" t="str">
        <f>VLOOKUP(E2290,DATABASE!C:Q,11,false)</f>
        <v>Tire</v>
      </c>
    </row>
    <row r="2291" ht="22.5" customHeight="1">
      <c r="A2291" s="49"/>
      <c r="C2291" s="384">
        <v>45775.0</v>
      </c>
      <c r="D2291" s="65">
        <v>5419.0</v>
      </c>
      <c r="E2291" s="445" t="s">
        <v>262</v>
      </c>
      <c r="F2291" s="386">
        <v>1.0</v>
      </c>
      <c r="G2291" s="74">
        <v>110000.0</v>
      </c>
      <c r="H2291" s="74">
        <v>0.0</v>
      </c>
      <c r="I2291" s="74">
        <f t="shared" si="1"/>
        <v>110000</v>
      </c>
      <c r="J2291" s="74">
        <f>IF(E2291="SERVICE",I2291-(I2291*50%),Vlookup(E2291,DATABASE!C:Q,10,false)*F2291)</f>
        <v>5000</v>
      </c>
      <c r="K2291" s="74">
        <f>VLOOKUP(E2291,DATABASE!C:Q,7,false)</f>
        <v>0</v>
      </c>
      <c r="L2291" s="74">
        <v>0.0</v>
      </c>
      <c r="M2291" s="74">
        <f t="shared" si="2"/>
        <v>0</v>
      </c>
      <c r="N2291" s="74">
        <f t="shared" si="3"/>
        <v>105000</v>
      </c>
      <c r="O2291" s="65" t="str">
        <f>VLOOKUP(E2291,DATABASE!C:Q,8,false)</f>
        <v>IBU</v>
      </c>
      <c r="P2291" s="65">
        <f>VLOOKUP(E2291,DATABASE!C:Q,9,False)</f>
        <v>0</v>
      </c>
      <c r="Q2291" s="93" t="str">
        <f>VLOOKUP(E2291,DATABASE!C:Q,4,false)</f>
        <v>SPOORING SS/CARRY LOS BAK</v>
      </c>
      <c r="R2291" s="93" t="str">
        <f>VLOOKUP(E2291,DATABASE!C:Q,11,false)</f>
        <v>SERVICE</v>
      </c>
    </row>
    <row r="2292" ht="22.5" customHeight="1">
      <c r="A2292" s="49"/>
      <c r="C2292" s="384">
        <v>45775.0</v>
      </c>
      <c r="D2292" s="65">
        <v>5419.0</v>
      </c>
      <c r="E2292" s="385" t="s">
        <v>299</v>
      </c>
      <c r="F2292" s="386">
        <v>2.0</v>
      </c>
      <c r="G2292" s="74">
        <v>30000.0</v>
      </c>
      <c r="H2292" s="74">
        <v>0.0</v>
      </c>
      <c r="I2292" s="74">
        <f t="shared" si="1"/>
        <v>60000</v>
      </c>
      <c r="J2292" s="74">
        <f>IF(E2292="SERVICE",I2292-(I2292*50%),Vlookup(E2292,DATABASE!C:Q,10,false)*F2292)</f>
        <v>0</v>
      </c>
      <c r="K2292" s="74">
        <v>0.0</v>
      </c>
      <c r="L2292" s="74">
        <v>0.0</v>
      </c>
      <c r="M2292" s="74">
        <f t="shared" si="2"/>
        <v>0</v>
      </c>
      <c r="N2292" s="74">
        <f t="shared" si="3"/>
        <v>60000</v>
      </c>
      <c r="O2292" s="65" t="str">
        <f>VLOOKUP(E2292,DATABASE!C:Q,8,false)</f>
        <v>BIAN</v>
      </c>
      <c r="P2292" s="65">
        <f>VLOOKUP(E2292,DATABASE!C:Q,9,False)</f>
        <v>0</v>
      </c>
      <c r="Q2292" s="93" t="str">
        <f>VLOOKUP(E2292,DATABASE!C:Q,4,false)</f>
        <v>Balancing</v>
      </c>
      <c r="R2292" s="93" t="str">
        <f>VLOOKUP(E2292,DATABASE!C:Q,11,false)</f>
        <v>COMPLEMENTARY</v>
      </c>
    </row>
    <row r="2293" ht="22.5" customHeight="1">
      <c r="A2293" s="49"/>
      <c r="C2293" s="384">
        <v>45775.0</v>
      </c>
      <c r="D2293" s="65">
        <v>5419.0</v>
      </c>
      <c r="E2293" s="385" t="s">
        <v>305</v>
      </c>
      <c r="F2293" s="386">
        <v>1.0</v>
      </c>
      <c r="G2293" s="74">
        <v>220000.0</v>
      </c>
      <c r="H2293" s="74">
        <v>0.0</v>
      </c>
      <c r="I2293" s="74">
        <f t="shared" si="1"/>
        <v>220000</v>
      </c>
      <c r="J2293" s="74">
        <f>IF(E2293="SERVICE",I2293-(I2293*50%),Vlookup(E2293,DATABASE!C:Q,10,false)*F2293)</f>
        <v>40000</v>
      </c>
      <c r="K2293" s="74">
        <f>VLOOKUP(E2293,DATABASE!C:Q,7,false)</f>
        <v>158530.2</v>
      </c>
      <c r="L2293" s="74">
        <v>151890.0</v>
      </c>
      <c r="M2293" s="74">
        <f t="shared" si="2"/>
        <v>155000</v>
      </c>
      <c r="N2293" s="74">
        <f t="shared" si="3"/>
        <v>25000</v>
      </c>
      <c r="O2293" s="65" t="str">
        <f>VLOOKUP(E2293,DATABASE!C:Q,8,false)</f>
        <v>BIAN</v>
      </c>
      <c r="P2293" s="65">
        <f>VLOOKUP(E2293,DATABASE!C:Q,9,False)</f>
        <v>1</v>
      </c>
      <c r="Q2293" s="93" t="str">
        <f>VLOOKUP(E2293,DATABASE!C:Q,4,false)</f>
        <v>Lower Arm</v>
      </c>
      <c r="R2293" s="93" t="str">
        <f>VLOOKUP(E2293,DATABASE!C:Q,11,false)</f>
        <v>COMPLEMENTARY</v>
      </c>
    </row>
    <row r="2294" ht="22.5" customHeight="1">
      <c r="A2294" s="49"/>
      <c r="C2294" s="384">
        <v>45775.0</v>
      </c>
      <c r="D2294" s="65">
        <v>5419.0</v>
      </c>
      <c r="E2294" s="445" t="s">
        <v>2206</v>
      </c>
      <c r="F2294" s="386">
        <v>1.0</v>
      </c>
      <c r="G2294" s="74">
        <v>200000.0</v>
      </c>
      <c r="H2294" s="74">
        <v>0.0</v>
      </c>
      <c r="I2294" s="74">
        <f t="shared" si="1"/>
        <v>200000</v>
      </c>
      <c r="J2294" s="74">
        <f>IF(E2294="SERVICE",I2294-(I2294*50%),Vlookup(E2294,DATABASE!C:Q,10,false)*F2294)</f>
        <v>40000</v>
      </c>
      <c r="K2294" s="74">
        <f>VLOOKUP(E2294,DATABASE!C:Q,7,false)</f>
        <v>95450</v>
      </c>
      <c r="L2294" s="74">
        <v>61000.0</v>
      </c>
      <c r="M2294" s="74">
        <f t="shared" si="2"/>
        <v>65000</v>
      </c>
      <c r="N2294" s="74">
        <f t="shared" si="3"/>
        <v>95000</v>
      </c>
      <c r="O2294" s="65" t="str">
        <f>VLOOKUP(E2294,DATABASE!C:Q,8,false)</f>
        <v>IBU</v>
      </c>
      <c r="P2294" s="65">
        <f>VLOOKUP(E2294,DATABASE!C:Q,9,False)</f>
        <v>1</v>
      </c>
      <c r="Q2294" s="93" t="str">
        <f>VLOOKUP(E2294,DATABASE!C:Q,4,false)</f>
        <v>TIEROD</v>
      </c>
      <c r="R2294" s="93" t="str">
        <f>VLOOKUP(E2294,DATABASE!C:Q,11,false)</f>
        <v>COMPLEMENTARY</v>
      </c>
    </row>
    <row r="2295" ht="22.5" customHeight="1">
      <c r="A2295" s="49"/>
      <c r="C2295" s="384">
        <v>45775.0</v>
      </c>
      <c r="D2295" s="65">
        <v>5419.0</v>
      </c>
      <c r="E2295" s="445" t="s">
        <v>251</v>
      </c>
      <c r="F2295" s="386">
        <v>1.0</v>
      </c>
      <c r="G2295" s="74">
        <v>120000.0</v>
      </c>
      <c r="H2295" s="74">
        <v>0.0</v>
      </c>
      <c r="I2295" s="74">
        <f t="shared" si="1"/>
        <v>120000</v>
      </c>
      <c r="J2295" s="74">
        <f>IF(E2295="SERVICE",I2295-(I2295*50%),Vlookup(E2295,DATABASE!C:Q,10,false)*F2295)</f>
        <v>60000</v>
      </c>
      <c r="K2295" s="74">
        <f>VLOOKUP(E2295,DATABASE!C:Q,7,false)</f>
        <v>0</v>
      </c>
      <c r="L2295" s="74">
        <v>0.0</v>
      </c>
      <c r="M2295" s="74">
        <f t="shared" si="2"/>
        <v>0</v>
      </c>
      <c r="N2295" s="74">
        <f t="shared" si="3"/>
        <v>60000</v>
      </c>
      <c r="O2295" s="65" t="str">
        <f>VLOOKUP(E2295,DATABASE!C:Q,8,false)</f>
        <v>IBU</v>
      </c>
      <c r="P2295" s="65">
        <f>VLOOKUP(E2295,DATABASE!C:Q,9,False)</f>
        <v>0</v>
      </c>
      <c r="Q2295" s="93" t="str">
        <f>VLOOKUP(E2295,DATABASE!C:Q,4,false)</f>
        <v>SERVICE</v>
      </c>
      <c r="R2295" s="93" t="str">
        <f>VLOOKUP(E2295,DATABASE!C:Q,11,false)</f>
        <v>SERVICE</v>
      </c>
    </row>
    <row r="2296" ht="22.5" customHeight="1">
      <c r="A2296" s="49"/>
      <c r="C2296" s="384">
        <v>45775.0</v>
      </c>
      <c r="D2296" s="65">
        <v>5420.0</v>
      </c>
      <c r="E2296" s="445" t="s">
        <v>572</v>
      </c>
      <c r="F2296" s="386">
        <v>2.0</v>
      </c>
      <c r="G2296" s="74">
        <v>1370000.0</v>
      </c>
      <c r="H2296" s="74">
        <v>0.0</v>
      </c>
      <c r="I2296" s="74">
        <f t="shared" si="1"/>
        <v>2740000</v>
      </c>
      <c r="J2296" s="74">
        <f>IF(E2296="SERVICE",I2296-(I2296*50%),Vlookup(E2296,DATABASE!C:Q,10,false)*F2296)</f>
        <v>0</v>
      </c>
      <c r="K2296" s="140">
        <v>1270000.0</v>
      </c>
      <c r="L2296" s="140">
        <v>1270000.0</v>
      </c>
      <c r="M2296" s="74">
        <f t="shared" si="2"/>
        <v>1270000</v>
      </c>
      <c r="N2296" s="74">
        <f t="shared" si="3"/>
        <v>200000</v>
      </c>
      <c r="O2296" s="65" t="str">
        <f>VLOOKUP(E2296,DATABASE!C:Q,8,false)</f>
        <v>IBU</v>
      </c>
      <c r="P2296" s="65">
        <f>VLOOKUP(E2296,DATABASE!C:Q,9,False)</f>
        <v>1</v>
      </c>
      <c r="Q2296" s="93" t="str">
        <f>VLOOKUP(E2296,DATABASE!C:Q,4,false)</f>
        <v>Bridgestone</v>
      </c>
      <c r="R2296" s="93" t="str">
        <f>VLOOKUP(E2296,DATABASE!C:Q,11,false)</f>
        <v>Tire</v>
      </c>
    </row>
    <row r="2297" ht="22.5" customHeight="1">
      <c r="A2297" s="49"/>
      <c r="C2297" s="384">
        <v>45775.0</v>
      </c>
      <c r="D2297" s="65">
        <v>5420.0</v>
      </c>
      <c r="E2297" s="445" t="s">
        <v>255</v>
      </c>
      <c r="F2297" s="386">
        <v>2.0</v>
      </c>
      <c r="G2297" s="74">
        <v>200000.0</v>
      </c>
      <c r="H2297" s="74">
        <v>0.0</v>
      </c>
      <c r="I2297" s="74">
        <f t="shared" si="1"/>
        <v>400000</v>
      </c>
      <c r="J2297" s="74">
        <f>IF(E2297="SERVICE",I2297-(I2297*50%),Vlookup(E2297,DATABASE!C:Q,10,false)*F2297)</f>
        <v>0</v>
      </c>
      <c r="K2297" s="74">
        <f>VLOOKUP(E2297,DATABASE!C:Q,7,false)</f>
        <v>161840</v>
      </c>
      <c r="L2297" s="74">
        <v>161840.0</v>
      </c>
      <c r="M2297" s="74">
        <f t="shared" si="2"/>
        <v>165000</v>
      </c>
      <c r="N2297" s="74">
        <f t="shared" si="3"/>
        <v>70000</v>
      </c>
      <c r="O2297" s="65" t="str">
        <f>VLOOKUP(E2297,DATABASE!C:Q,8,false)</f>
        <v>BIAN</v>
      </c>
      <c r="P2297" s="65">
        <f>VLOOKUP(E2297,DATABASE!C:Q,9,False)</f>
        <v>1</v>
      </c>
      <c r="Q2297" s="93" t="str">
        <f>VLOOKUP(E2297,DATABASE!C:Q,4,false)</f>
        <v>BD</v>
      </c>
      <c r="R2297" s="93" t="str">
        <f>VLOOKUP(E2297,DATABASE!C:Q,11,false)</f>
        <v>Tire</v>
      </c>
    </row>
    <row r="2298" ht="22.5" customHeight="1">
      <c r="A2298" s="49"/>
      <c r="C2298" s="384">
        <v>45775.0</v>
      </c>
      <c r="D2298" s="65">
        <v>5420.0</v>
      </c>
      <c r="E2298" s="445" t="s">
        <v>814</v>
      </c>
      <c r="F2298" s="386">
        <v>2.0</v>
      </c>
      <c r="G2298" s="74">
        <v>65000.0</v>
      </c>
      <c r="H2298" s="74">
        <v>0.0</v>
      </c>
      <c r="I2298" s="74">
        <f t="shared" si="1"/>
        <v>130000</v>
      </c>
      <c r="J2298" s="74">
        <f>IF(E2298="SERVICE",I2298-(I2298*50%),Vlookup(E2298,DATABASE!C:Q,10,false)*F2298)</f>
        <v>0</v>
      </c>
      <c r="K2298" s="74">
        <f>VLOOKUP(E2298,DATABASE!C:Q,7,false)</f>
        <v>39440</v>
      </c>
      <c r="L2298" s="74">
        <v>39440.0</v>
      </c>
      <c r="M2298" s="74">
        <f t="shared" si="2"/>
        <v>40000</v>
      </c>
      <c r="N2298" s="74">
        <f t="shared" si="3"/>
        <v>50000</v>
      </c>
      <c r="O2298" s="65" t="str">
        <f>VLOOKUP(E2298,DATABASE!C:Q,8,false)</f>
        <v>BIAN</v>
      </c>
      <c r="P2298" s="65">
        <f>VLOOKUP(E2298,DATABASE!C:Q,9,False)</f>
        <v>1</v>
      </c>
      <c r="Q2298" s="93" t="str">
        <f>VLOOKUP(E2298,DATABASE!C:Q,4,false)</f>
        <v>Flap</v>
      </c>
      <c r="R2298" s="93" t="str">
        <f>VLOOKUP(E2298,DATABASE!C:Q,11,false)</f>
        <v>Tire</v>
      </c>
    </row>
    <row r="2299" ht="22.5" customHeight="1">
      <c r="A2299" s="49"/>
      <c r="C2299" s="384">
        <v>45775.0</v>
      </c>
      <c r="D2299" s="65">
        <v>5421.0</v>
      </c>
      <c r="E2299" s="445" t="s">
        <v>1947</v>
      </c>
      <c r="F2299" s="386">
        <v>4.0</v>
      </c>
      <c r="G2299" s="74">
        <v>770000.0</v>
      </c>
      <c r="H2299" s="74">
        <v>0.0</v>
      </c>
      <c r="I2299" s="74">
        <f t="shared" si="1"/>
        <v>3080000</v>
      </c>
      <c r="J2299" s="74">
        <f>IF(E2299="SERVICE",I2299-(I2299*50%),Vlookup(E2299,DATABASE!C:Q,10,false)*F2299)</f>
        <v>0</v>
      </c>
      <c r="K2299" s="74">
        <f>VLOOKUP(E2299,DATABASE!C:Q,7,false)</f>
        <v>694300</v>
      </c>
      <c r="L2299" s="74">
        <v>670000.0</v>
      </c>
      <c r="M2299" s="74">
        <f t="shared" si="2"/>
        <v>670000</v>
      </c>
      <c r="N2299" s="74">
        <f t="shared" si="3"/>
        <v>400000</v>
      </c>
      <c r="O2299" s="65" t="str">
        <f>VLOOKUP(E2299,DATABASE!C:Q,8,false)</f>
        <v>BIAN</v>
      </c>
      <c r="P2299" s="65">
        <f>VLOOKUP(E2299,DATABASE!C:Q,9,False)</f>
        <v>1</v>
      </c>
      <c r="Q2299" s="93" t="str">
        <f>VLOOKUP(E2299,DATABASE!C:Q,4,false)</f>
        <v>GT</v>
      </c>
      <c r="R2299" s="93" t="str">
        <f>VLOOKUP(E2299,DATABASE!C:Q,11,false)</f>
        <v>Tire</v>
      </c>
    </row>
    <row r="2300" ht="22.5" customHeight="1">
      <c r="A2300" s="49"/>
      <c r="C2300" s="384">
        <v>45775.0</v>
      </c>
      <c r="D2300" s="65">
        <v>5421.0</v>
      </c>
      <c r="E2300" s="385" t="s">
        <v>299</v>
      </c>
      <c r="F2300" s="386">
        <v>4.0</v>
      </c>
      <c r="G2300" s="74">
        <v>30000.0</v>
      </c>
      <c r="H2300" s="74">
        <v>0.0</v>
      </c>
      <c r="I2300" s="74">
        <f t="shared" si="1"/>
        <v>120000</v>
      </c>
      <c r="J2300" s="74">
        <f>IF(E2300="SERVICE",I2300-(I2300*50%),Vlookup(E2300,DATABASE!C:Q,10,false)*F2300)</f>
        <v>0</v>
      </c>
      <c r="K2300" s="74">
        <v>0.0</v>
      </c>
      <c r="L2300" s="74">
        <v>0.0</v>
      </c>
      <c r="M2300" s="74">
        <f t="shared" si="2"/>
        <v>0</v>
      </c>
      <c r="N2300" s="74">
        <f t="shared" si="3"/>
        <v>120000</v>
      </c>
      <c r="O2300" s="65" t="str">
        <f>VLOOKUP(E2300,DATABASE!C:Q,8,false)</f>
        <v>BIAN</v>
      </c>
      <c r="P2300" s="65">
        <f>VLOOKUP(E2300,DATABASE!C:Q,9,False)</f>
        <v>0</v>
      </c>
      <c r="Q2300" s="93" t="str">
        <f>VLOOKUP(E2300,DATABASE!C:Q,4,false)</f>
        <v>Balancing</v>
      </c>
      <c r="R2300" s="93" t="str">
        <f>VLOOKUP(E2300,DATABASE!C:Q,11,false)</f>
        <v>COMPLEMENTARY</v>
      </c>
    </row>
    <row r="2301" ht="22.5" customHeight="1">
      <c r="A2301" s="49"/>
      <c r="C2301" s="384">
        <v>45775.0</v>
      </c>
      <c r="D2301" s="65">
        <v>5421.0</v>
      </c>
      <c r="E2301" s="445" t="s">
        <v>256</v>
      </c>
      <c r="F2301" s="386">
        <v>1.0</v>
      </c>
      <c r="G2301" s="74">
        <v>130000.0</v>
      </c>
      <c r="H2301" s="74">
        <v>0.0</v>
      </c>
      <c r="I2301" s="74">
        <f t="shared" si="1"/>
        <v>130000</v>
      </c>
      <c r="J2301" s="74">
        <f>IF(E2301="SERVICE",I2301-(I2301*50%),Vlookup(E2301,DATABASE!C:Q,10,false)*F2301)</f>
        <v>10000</v>
      </c>
      <c r="K2301" s="74">
        <f>VLOOKUP(E2301,DATABASE!C:Q,7,false)</f>
        <v>0</v>
      </c>
      <c r="L2301" s="74">
        <v>0.0</v>
      </c>
      <c r="M2301" s="74">
        <f t="shared" si="2"/>
        <v>0</v>
      </c>
      <c r="N2301" s="74">
        <f t="shared" si="3"/>
        <v>120000</v>
      </c>
      <c r="O2301" s="65" t="str">
        <f>VLOOKUP(E2301,DATABASE!C:Q,8,false)</f>
        <v>IBU</v>
      </c>
      <c r="P2301" s="65">
        <f>VLOOKUP(E2301,DATABASE!C:Q,9,False)</f>
        <v>0</v>
      </c>
      <c r="Q2301" s="93" t="str">
        <f>VLOOKUP(E2301,DATABASE!C:Q,4,false)</f>
        <v>SPOORING</v>
      </c>
      <c r="R2301" s="93" t="str">
        <f>VLOOKUP(E2301,DATABASE!C:Q,11,false)</f>
        <v>SERVICE</v>
      </c>
    </row>
    <row r="2302" ht="22.5" customHeight="1">
      <c r="A2302" s="49"/>
      <c r="C2302" s="384">
        <v>45775.0</v>
      </c>
      <c r="D2302" s="65">
        <v>5422.0</v>
      </c>
      <c r="E2302" s="445" t="s">
        <v>268</v>
      </c>
      <c r="F2302" s="386">
        <v>2.0</v>
      </c>
      <c r="G2302" s="74">
        <v>700000.0</v>
      </c>
      <c r="H2302" s="74">
        <v>0.0</v>
      </c>
      <c r="I2302" s="74">
        <f t="shared" si="1"/>
        <v>1400000</v>
      </c>
      <c r="J2302" s="74">
        <f>IF(E2302="SERVICE",I2302-(I2302*50%),Vlookup(E2302,DATABASE!C:Q,10,false)*F2302)</f>
        <v>0</v>
      </c>
      <c r="K2302" s="74">
        <v>613000.0</v>
      </c>
      <c r="L2302" s="74">
        <v>613000.0</v>
      </c>
      <c r="M2302" s="74">
        <f t="shared" si="2"/>
        <v>615000</v>
      </c>
      <c r="N2302" s="74">
        <f t="shared" si="3"/>
        <v>170000</v>
      </c>
      <c r="O2302" s="65" t="str">
        <f>VLOOKUP(E2302,DATABASE!C:Q,8,false)</f>
        <v>IBU</v>
      </c>
      <c r="P2302" s="65">
        <f>VLOOKUP(E2302,DATABASE!C:Q,9,False)</f>
        <v>1</v>
      </c>
      <c r="Q2302" s="93" t="str">
        <f>VLOOKUP(E2302,DATABASE!C:Q,4,false)</f>
        <v>Dunlop</v>
      </c>
      <c r="R2302" s="93" t="str">
        <f>VLOOKUP(E2302,DATABASE!C:Q,11,false)</f>
        <v>Tire</v>
      </c>
    </row>
    <row r="2303" ht="22.5" customHeight="1">
      <c r="A2303" s="49"/>
      <c r="C2303" s="384">
        <v>45775.0</v>
      </c>
      <c r="D2303" s="65">
        <v>5425.0</v>
      </c>
      <c r="E2303" s="445" t="s">
        <v>301</v>
      </c>
      <c r="F2303" s="386">
        <v>1.0</v>
      </c>
      <c r="G2303" s="74">
        <v>250000.0</v>
      </c>
      <c r="H2303" s="74">
        <v>0.0</v>
      </c>
      <c r="I2303" s="74">
        <f t="shared" si="1"/>
        <v>250000</v>
      </c>
      <c r="J2303" s="74">
        <f>IF(E2303="SERVICE",I2303-(I2303*50%),Vlookup(E2303,DATABASE!C:Q,10,false)*F2303)</f>
        <v>75000</v>
      </c>
      <c r="K2303" s="74">
        <f>VLOOKUP(E2303,DATABASE!C:Q,7,false)</f>
        <v>75000</v>
      </c>
      <c r="L2303" s="74">
        <v>75000.0</v>
      </c>
      <c r="M2303" s="74">
        <f t="shared" si="2"/>
        <v>75000</v>
      </c>
      <c r="N2303" s="74">
        <f t="shared" si="3"/>
        <v>100000</v>
      </c>
      <c r="O2303" s="65" t="str">
        <f>VLOOKUP(E2303,DATABASE!C:Q,8,false)</f>
        <v>BIAN</v>
      </c>
      <c r="P2303" s="65">
        <f>VLOOKUP(E2303,DATABASE!C:Q,9,False)</f>
        <v>0</v>
      </c>
      <c r="Q2303" s="93" t="str">
        <f>VLOOKUP(E2303,DATABASE!C:Q,4,false)</f>
        <v>Baut Camber</v>
      </c>
      <c r="R2303" s="93" t="str">
        <f>VLOOKUP(E2303,DATABASE!C:Q,11,false)</f>
        <v>COMPLEMENTARY</v>
      </c>
    </row>
    <row r="2304" ht="22.5" customHeight="1">
      <c r="A2304" s="49"/>
      <c r="C2304" s="384">
        <v>45775.0</v>
      </c>
      <c r="D2304" s="65">
        <v>5425.0</v>
      </c>
      <c r="E2304" s="445" t="s">
        <v>251</v>
      </c>
      <c r="F2304" s="386">
        <v>1.0</v>
      </c>
      <c r="G2304" s="74">
        <v>80000.0</v>
      </c>
      <c r="H2304" s="74">
        <v>0.0</v>
      </c>
      <c r="I2304" s="74">
        <f t="shared" si="1"/>
        <v>80000</v>
      </c>
      <c r="J2304" s="74">
        <f>IF(E2304="SERVICE",I2304-(I2304*50%),Vlookup(E2304,DATABASE!C:Q,10,false)*F2304)</f>
        <v>40000</v>
      </c>
      <c r="K2304" s="74">
        <f>VLOOKUP(E2304,DATABASE!C:Q,7,false)</f>
        <v>0</v>
      </c>
      <c r="L2304" s="74">
        <v>0.0</v>
      </c>
      <c r="M2304" s="74">
        <f t="shared" si="2"/>
        <v>0</v>
      </c>
      <c r="N2304" s="74">
        <f t="shared" si="3"/>
        <v>40000</v>
      </c>
      <c r="O2304" s="65" t="str">
        <f>VLOOKUP(E2304,DATABASE!C:Q,8,false)</f>
        <v>IBU</v>
      </c>
      <c r="P2304" s="65">
        <f>VLOOKUP(E2304,DATABASE!C:Q,9,False)</f>
        <v>0</v>
      </c>
      <c r="Q2304" s="93" t="str">
        <f>VLOOKUP(E2304,DATABASE!C:Q,4,false)</f>
        <v>SERVICE</v>
      </c>
      <c r="R2304" s="93" t="str">
        <f>VLOOKUP(E2304,DATABASE!C:Q,11,false)</f>
        <v>SERVICE</v>
      </c>
    </row>
    <row r="2305" ht="22.5" customHeight="1">
      <c r="A2305" s="49"/>
      <c r="C2305" s="384">
        <v>45775.0</v>
      </c>
      <c r="D2305" s="65">
        <v>5426.0</v>
      </c>
      <c r="E2305" s="445" t="s">
        <v>275</v>
      </c>
      <c r="F2305" s="386">
        <v>1.0</v>
      </c>
      <c r="G2305" s="74">
        <v>830000.0</v>
      </c>
      <c r="H2305" s="74">
        <v>0.0</v>
      </c>
      <c r="I2305" s="74">
        <f t="shared" si="1"/>
        <v>830000</v>
      </c>
      <c r="J2305" s="74">
        <f>IF(E2305="SERVICE",I2305-(I2305*50%),Vlookup(E2305,DATABASE!C:Q,10,false)*F2305)</f>
        <v>0</v>
      </c>
      <c r="K2305" s="74">
        <v>735000.0</v>
      </c>
      <c r="L2305" s="74">
        <v>735000.0</v>
      </c>
      <c r="M2305" s="74">
        <f t="shared" si="2"/>
        <v>735000</v>
      </c>
      <c r="N2305" s="74">
        <f t="shared" si="3"/>
        <v>95000</v>
      </c>
      <c r="O2305" s="65" t="str">
        <f>VLOOKUP(E2305,DATABASE!C:Q,8,false)</f>
        <v>IBU</v>
      </c>
      <c r="P2305" s="65">
        <f>VLOOKUP(E2305,DATABASE!C:Q,9,False)</f>
        <v>1</v>
      </c>
      <c r="Q2305" s="93" t="str">
        <f>VLOOKUP(E2305,DATABASE!C:Q,4,false)</f>
        <v>Dunlop</v>
      </c>
      <c r="R2305" s="93" t="str">
        <f>VLOOKUP(E2305,DATABASE!C:Q,11,false)</f>
        <v>Tire</v>
      </c>
    </row>
    <row r="2306" ht="22.5" customHeight="1">
      <c r="A2306" s="49"/>
      <c r="C2306" s="384">
        <v>45775.0</v>
      </c>
      <c r="D2306" s="65">
        <v>5427.0</v>
      </c>
      <c r="E2306" s="445" t="s">
        <v>268</v>
      </c>
      <c r="F2306" s="386">
        <v>1.0</v>
      </c>
      <c r="G2306" s="74">
        <v>700000.0</v>
      </c>
      <c r="H2306" s="74">
        <v>0.0</v>
      </c>
      <c r="I2306" s="74">
        <f t="shared" si="1"/>
        <v>700000</v>
      </c>
      <c r="J2306" s="74">
        <f>IF(E2306="SERVICE",I2306-(I2306*50%),Vlookup(E2306,DATABASE!C:Q,10,false)*F2306)</f>
        <v>0</v>
      </c>
      <c r="K2306" s="74">
        <v>613000.0</v>
      </c>
      <c r="L2306" s="74">
        <v>613000.0</v>
      </c>
      <c r="M2306" s="74">
        <f t="shared" si="2"/>
        <v>615000</v>
      </c>
      <c r="N2306" s="74">
        <f t="shared" si="3"/>
        <v>85000</v>
      </c>
      <c r="O2306" s="65" t="str">
        <f>VLOOKUP(E2306,DATABASE!C:Q,8,false)</f>
        <v>IBU</v>
      </c>
      <c r="P2306" s="65">
        <f>VLOOKUP(E2306,DATABASE!C:Q,9,False)</f>
        <v>1</v>
      </c>
      <c r="Q2306" s="93" t="str">
        <f>VLOOKUP(E2306,DATABASE!C:Q,4,false)</f>
        <v>Dunlop</v>
      </c>
      <c r="R2306" s="93" t="str">
        <f>VLOOKUP(E2306,DATABASE!C:Q,11,false)</f>
        <v>Tire</v>
      </c>
    </row>
    <row r="2307" ht="22.5" customHeight="1">
      <c r="A2307" s="49"/>
      <c r="C2307" s="384">
        <v>45775.0</v>
      </c>
      <c r="D2307" s="65">
        <v>5428.0</v>
      </c>
      <c r="E2307" s="445" t="s">
        <v>374</v>
      </c>
      <c r="F2307" s="386">
        <v>1.0</v>
      </c>
      <c r="G2307" s="74">
        <v>1960000.0</v>
      </c>
      <c r="H2307" s="74">
        <v>0.0</v>
      </c>
      <c r="I2307" s="74">
        <f t="shared" si="1"/>
        <v>1960000</v>
      </c>
      <c r="J2307" s="74">
        <f>IF(E2307="SERVICE",I2307-(I2307*50%),Vlookup(E2307,DATABASE!C:Q,10,false)*F2307)</f>
        <v>0</v>
      </c>
      <c r="K2307" s="74">
        <f>VLOOKUP(E2307,DATABASE!C:Q,7,false)</f>
        <v>1980000</v>
      </c>
      <c r="L2307" s="74">
        <v>1850000.0</v>
      </c>
      <c r="M2307" s="74">
        <f t="shared" si="2"/>
        <v>1850000</v>
      </c>
      <c r="N2307" s="74">
        <f t="shared" si="3"/>
        <v>110000</v>
      </c>
      <c r="O2307" s="65" t="str">
        <f>VLOOKUP(E2307,DATABASE!C:Q,8,false)</f>
        <v>BIAN</v>
      </c>
      <c r="P2307" s="65">
        <f>VLOOKUP(E2307,DATABASE!C:Q,9,False)</f>
        <v>1</v>
      </c>
      <c r="Q2307" s="93" t="str">
        <f>VLOOKUP(E2307,DATABASE!C:Q,4,false)</f>
        <v>Advance</v>
      </c>
      <c r="R2307" s="93" t="str">
        <f>VLOOKUP(E2307,DATABASE!C:Q,11,false)</f>
        <v>Tire</v>
      </c>
    </row>
    <row r="2308" ht="22.5" customHeight="1">
      <c r="A2308" s="49"/>
      <c r="C2308" s="384">
        <v>45776.0</v>
      </c>
      <c r="D2308" s="65">
        <v>5429.0</v>
      </c>
      <c r="E2308" s="445" t="s">
        <v>268</v>
      </c>
      <c r="F2308" s="386">
        <v>4.0</v>
      </c>
      <c r="G2308" s="74">
        <v>700000.0</v>
      </c>
      <c r="H2308" s="74">
        <v>0.0</v>
      </c>
      <c r="I2308" s="74">
        <f t="shared" si="1"/>
        <v>2800000</v>
      </c>
      <c r="J2308" s="74">
        <f>IF(E2308="SERVICE",I2308-(I2308*50%),Vlookup(E2308,DATABASE!C:Q,10,false)*F2308)</f>
        <v>0</v>
      </c>
      <c r="K2308" s="74">
        <v>613000.0</v>
      </c>
      <c r="L2308" s="74">
        <v>613000.0</v>
      </c>
      <c r="M2308" s="74">
        <f t="shared" si="2"/>
        <v>615000</v>
      </c>
      <c r="N2308" s="74">
        <f t="shared" si="3"/>
        <v>340000</v>
      </c>
      <c r="O2308" s="65" t="str">
        <f>VLOOKUP(E2308,DATABASE!C:Q,8,false)</f>
        <v>IBU</v>
      </c>
      <c r="P2308" s="65">
        <f>VLOOKUP(E2308,DATABASE!C:Q,9,False)</f>
        <v>1</v>
      </c>
      <c r="Q2308" s="93" t="str">
        <f>VLOOKUP(E2308,DATABASE!C:Q,4,false)</f>
        <v>Dunlop</v>
      </c>
      <c r="R2308" s="93" t="str">
        <f>VLOOKUP(E2308,DATABASE!C:Q,11,false)</f>
        <v>Tire</v>
      </c>
    </row>
    <row r="2309" ht="22.5" customHeight="1">
      <c r="A2309" s="49"/>
      <c r="C2309" s="384">
        <v>45776.0</v>
      </c>
      <c r="D2309" s="65">
        <v>5431.0</v>
      </c>
      <c r="E2309" s="445" t="s">
        <v>265</v>
      </c>
      <c r="F2309" s="386">
        <v>2.0</v>
      </c>
      <c r="G2309" s="74">
        <v>670000.0</v>
      </c>
      <c r="H2309" s="74">
        <v>0.0</v>
      </c>
      <c r="I2309" s="74">
        <f t="shared" si="1"/>
        <v>1340000</v>
      </c>
      <c r="J2309" s="74">
        <f>IF(E2309="SERVICE",I2309-(I2309*50%),Vlookup(E2309,DATABASE!C:Q,10,false)*F2309)</f>
        <v>0</v>
      </c>
      <c r="K2309" s="74">
        <v>590000.0</v>
      </c>
      <c r="L2309" s="74">
        <v>590000.0</v>
      </c>
      <c r="M2309" s="74">
        <f t="shared" si="2"/>
        <v>590000</v>
      </c>
      <c r="N2309" s="74">
        <f t="shared" si="3"/>
        <v>160000</v>
      </c>
      <c r="O2309" s="65" t="str">
        <f>VLOOKUP(E2309,DATABASE!C:Q,8,false)</f>
        <v>IBU</v>
      </c>
      <c r="P2309" s="65">
        <f>VLOOKUP(E2309,DATABASE!C:Q,9,False)</f>
        <v>1</v>
      </c>
      <c r="Q2309" s="93" t="str">
        <f>VLOOKUP(E2309,DATABASE!C:Q,4,false)</f>
        <v>Dunlop</v>
      </c>
      <c r="R2309" s="93" t="str">
        <f>VLOOKUP(E2309,DATABASE!C:Q,11,false)</f>
        <v>Tire</v>
      </c>
    </row>
    <row r="2310" ht="22.5" customHeight="1">
      <c r="A2310" s="49"/>
      <c r="C2310" s="384">
        <v>45776.0</v>
      </c>
      <c r="D2310" s="65">
        <v>5432.0</v>
      </c>
      <c r="E2310" s="385" t="s">
        <v>299</v>
      </c>
      <c r="F2310" s="386">
        <v>2.0</v>
      </c>
      <c r="G2310" s="74">
        <v>30000.0</v>
      </c>
      <c r="H2310" s="74">
        <v>0.0</v>
      </c>
      <c r="I2310" s="74">
        <f t="shared" si="1"/>
        <v>60000</v>
      </c>
      <c r="J2310" s="74">
        <f>IF(E2310="SERVICE",I2310-(I2310*50%),Vlookup(E2310,DATABASE!C:Q,10,false)*F2310)</f>
        <v>0</v>
      </c>
      <c r="K2310" s="74">
        <v>0.0</v>
      </c>
      <c r="L2310" s="74">
        <v>0.0</v>
      </c>
      <c r="M2310" s="74">
        <f t="shared" si="2"/>
        <v>0</v>
      </c>
      <c r="N2310" s="74">
        <f t="shared" si="3"/>
        <v>60000</v>
      </c>
      <c r="O2310" s="65" t="str">
        <f>VLOOKUP(E2310,DATABASE!C:Q,8,false)</f>
        <v>BIAN</v>
      </c>
      <c r="P2310" s="65">
        <f>VLOOKUP(E2310,DATABASE!C:Q,9,False)</f>
        <v>0</v>
      </c>
      <c r="Q2310" s="93" t="str">
        <f>VLOOKUP(E2310,DATABASE!C:Q,4,false)</f>
        <v>Balancing</v>
      </c>
      <c r="R2310" s="93" t="str">
        <f>VLOOKUP(E2310,DATABASE!C:Q,11,false)</f>
        <v>COMPLEMENTARY</v>
      </c>
    </row>
    <row r="2311" ht="22.5" customHeight="1">
      <c r="A2311" s="49"/>
      <c r="C2311" s="384">
        <v>45776.0</v>
      </c>
      <c r="D2311" s="65">
        <v>5433.0</v>
      </c>
      <c r="E2311" s="445" t="s">
        <v>262</v>
      </c>
      <c r="F2311" s="386">
        <v>1.0</v>
      </c>
      <c r="G2311" s="74">
        <v>110000.0</v>
      </c>
      <c r="H2311" s="74">
        <v>0.0</v>
      </c>
      <c r="I2311" s="74">
        <f t="shared" si="1"/>
        <v>110000</v>
      </c>
      <c r="J2311" s="74">
        <f>IF(E2311="SERVICE",I2311-(I2311*50%),Vlookup(E2311,DATABASE!C:Q,10,false)*F2311)</f>
        <v>5000</v>
      </c>
      <c r="K2311" s="74">
        <f>VLOOKUP(E2311,DATABASE!C:Q,7,false)</f>
        <v>0</v>
      </c>
      <c r="L2311" s="74">
        <v>0.0</v>
      </c>
      <c r="M2311" s="74">
        <f t="shared" si="2"/>
        <v>0</v>
      </c>
      <c r="N2311" s="74">
        <f t="shared" si="3"/>
        <v>105000</v>
      </c>
      <c r="O2311" s="65" t="str">
        <f>VLOOKUP(E2311,DATABASE!C:Q,8,false)</f>
        <v>IBU</v>
      </c>
      <c r="P2311" s="65">
        <f>VLOOKUP(E2311,DATABASE!C:Q,9,False)</f>
        <v>0</v>
      </c>
      <c r="Q2311" s="93" t="str">
        <f>VLOOKUP(E2311,DATABASE!C:Q,4,false)</f>
        <v>SPOORING SS/CARRY LOS BAK</v>
      </c>
      <c r="R2311" s="93" t="str">
        <f>VLOOKUP(E2311,DATABASE!C:Q,11,false)</f>
        <v>SERVICE</v>
      </c>
    </row>
    <row r="2312" ht="22.5" customHeight="1">
      <c r="A2312" s="49"/>
      <c r="C2312" s="384">
        <v>45776.0</v>
      </c>
      <c r="D2312" s="65">
        <v>5433.0</v>
      </c>
      <c r="E2312" s="385" t="s">
        <v>299</v>
      </c>
      <c r="F2312" s="386">
        <v>2.0</v>
      </c>
      <c r="G2312" s="74">
        <v>30000.0</v>
      </c>
      <c r="H2312" s="74">
        <v>0.0</v>
      </c>
      <c r="I2312" s="74">
        <f t="shared" si="1"/>
        <v>60000</v>
      </c>
      <c r="J2312" s="74">
        <f>IF(E2312="SERVICE",I2312-(I2312*50%),Vlookup(E2312,DATABASE!C:Q,10,false)*F2312)</f>
        <v>0</v>
      </c>
      <c r="K2312" s="74">
        <v>0.0</v>
      </c>
      <c r="L2312" s="74">
        <v>0.0</v>
      </c>
      <c r="M2312" s="74">
        <f t="shared" si="2"/>
        <v>0</v>
      </c>
      <c r="N2312" s="74">
        <f t="shared" si="3"/>
        <v>60000</v>
      </c>
      <c r="O2312" s="65" t="str">
        <f>VLOOKUP(E2312,DATABASE!C:Q,8,false)</f>
        <v>BIAN</v>
      </c>
      <c r="P2312" s="65">
        <f>VLOOKUP(E2312,DATABASE!C:Q,9,False)</f>
        <v>0</v>
      </c>
      <c r="Q2312" s="93" t="str">
        <f>VLOOKUP(E2312,DATABASE!C:Q,4,false)</f>
        <v>Balancing</v>
      </c>
      <c r="R2312" s="93" t="str">
        <f>VLOOKUP(E2312,DATABASE!C:Q,11,false)</f>
        <v>COMPLEMENTARY</v>
      </c>
    </row>
    <row r="2313" ht="22.5" customHeight="1">
      <c r="A2313" s="49"/>
      <c r="C2313" s="384">
        <v>45776.0</v>
      </c>
      <c r="D2313" s="65">
        <v>5433.0</v>
      </c>
      <c r="E2313" s="385" t="s">
        <v>299</v>
      </c>
      <c r="F2313" s="386">
        <v>2.0</v>
      </c>
      <c r="G2313" s="74">
        <v>30000.0</v>
      </c>
      <c r="H2313" s="74">
        <v>0.0</v>
      </c>
      <c r="I2313" s="74">
        <f t="shared" si="1"/>
        <v>60000</v>
      </c>
      <c r="J2313" s="74">
        <f>IF(E2313="SERVICE",I2313-(I2313*50%),Vlookup(E2313,DATABASE!C:Q,10,false)*F2313)</f>
        <v>0</v>
      </c>
      <c r="K2313" s="74">
        <v>0.0</v>
      </c>
      <c r="L2313" s="74">
        <v>0.0</v>
      </c>
      <c r="M2313" s="74">
        <f t="shared" si="2"/>
        <v>0</v>
      </c>
      <c r="N2313" s="74">
        <f t="shared" si="3"/>
        <v>60000</v>
      </c>
      <c r="O2313" s="65" t="str">
        <f>VLOOKUP(E2313,DATABASE!C:Q,8,false)</f>
        <v>BIAN</v>
      </c>
      <c r="P2313" s="65">
        <f>VLOOKUP(E2313,DATABASE!C:Q,9,False)</f>
        <v>0</v>
      </c>
      <c r="Q2313" s="93" t="str">
        <f>VLOOKUP(E2313,DATABASE!C:Q,4,false)</f>
        <v>Balancing</v>
      </c>
      <c r="R2313" s="93" t="str">
        <f>VLOOKUP(E2313,DATABASE!C:Q,11,false)</f>
        <v>COMPLEMENTARY</v>
      </c>
    </row>
    <row r="2314" ht="22.5" customHeight="1">
      <c r="A2314" s="49"/>
      <c r="C2314" s="384">
        <v>45776.0</v>
      </c>
      <c r="D2314" s="65">
        <v>5433.0</v>
      </c>
      <c r="E2314" s="445" t="s">
        <v>251</v>
      </c>
      <c r="F2314" s="386">
        <v>1.0</v>
      </c>
      <c r="G2314" s="74">
        <v>120000.0</v>
      </c>
      <c r="H2314" s="74">
        <v>0.0</v>
      </c>
      <c r="I2314" s="74">
        <f t="shared" si="1"/>
        <v>120000</v>
      </c>
      <c r="J2314" s="74">
        <f>IF(E2314="SERVICE",I2314-(I2314*50%),Vlookup(E2314,DATABASE!C:Q,10,false)*F2314)</f>
        <v>60000</v>
      </c>
      <c r="K2314" s="74">
        <f>VLOOKUP(E2314,DATABASE!C:Q,7,false)</f>
        <v>0</v>
      </c>
      <c r="L2314" s="74">
        <v>0.0</v>
      </c>
      <c r="M2314" s="74">
        <f t="shared" si="2"/>
        <v>0</v>
      </c>
      <c r="N2314" s="74">
        <f t="shared" si="3"/>
        <v>60000</v>
      </c>
      <c r="O2314" s="65" t="str">
        <f>VLOOKUP(E2314,DATABASE!C:Q,8,false)</f>
        <v>IBU</v>
      </c>
      <c r="P2314" s="65">
        <f>VLOOKUP(E2314,DATABASE!C:Q,9,False)</f>
        <v>0</v>
      </c>
      <c r="Q2314" s="93" t="str">
        <f>VLOOKUP(E2314,DATABASE!C:Q,4,false)</f>
        <v>SERVICE</v>
      </c>
      <c r="R2314" s="93" t="str">
        <f>VLOOKUP(E2314,DATABASE!C:Q,11,false)</f>
        <v>SERVICE</v>
      </c>
    </row>
    <row r="2315" ht="22.5" customHeight="1">
      <c r="A2315" s="49"/>
      <c r="C2315" s="384">
        <v>45776.0</v>
      </c>
      <c r="D2315" s="65">
        <v>5434.0</v>
      </c>
      <c r="E2315" s="445" t="s">
        <v>287</v>
      </c>
      <c r="F2315" s="386">
        <v>1.0</v>
      </c>
      <c r="G2315" s="74">
        <v>780000.0</v>
      </c>
      <c r="H2315" s="74">
        <v>0.0</v>
      </c>
      <c r="I2315" s="74">
        <f t="shared" si="1"/>
        <v>780000</v>
      </c>
      <c r="J2315" s="74">
        <f>IF(E2315="SERVICE",I2315-(I2315*50%),Vlookup(E2315,DATABASE!C:Q,10,false)*F2315)</f>
        <v>0</v>
      </c>
      <c r="K2315" s="74">
        <f>VLOOKUP(E2315,DATABASE!C:Q,7,false)</f>
        <v>711000</v>
      </c>
      <c r="L2315" s="74">
        <v>690600.0</v>
      </c>
      <c r="M2315" s="74">
        <f t="shared" si="2"/>
        <v>695000</v>
      </c>
      <c r="N2315" s="74">
        <f t="shared" si="3"/>
        <v>85000</v>
      </c>
      <c r="O2315" s="65" t="str">
        <f>VLOOKUP(E2315,DATABASE!C:Q,8,false)</f>
        <v>BIAN</v>
      </c>
      <c r="P2315" s="65">
        <f>VLOOKUP(E2315,DATABASE!C:Q,9,False)</f>
        <v>1</v>
      </c>
      <c r="Q2315" s="93" t="str">
        <f>VLOOKUP(E2315,DATABASE!C:Q,4,false)</f>
        <v>GT</v>
      </c>
      <c r="R2315" s="93" t="str">
        <f>VLOOKUP(E2315,DATABASE!C:Q,11,false)</f>
        <v>Tire</v>
      </c>
    </row>
    <row r="2316" ht="22.5" customHeight="1">
      <c r="A2316" s="49"/>
      <c r="C2316" s="384">
        <v>45776.0</v>
      </c>
      <c r="D2316" s="65">
        <v>5435.0</v>
      </c>
      <c r="E2316" s="445" t="s">
        <v>268</v>
      </c>
      <c r="F2316" s="386">
        <v>2.0</v>
      </c>
      <c r="G2316" s="74">
        <v>700000.0</v>
      </c>
      <c r="H2316" s="74">
        <v>0.0</v>
      </c>
      <c r="I2316" s="74">
        <f t="shared" si="1"/>
        <v>1400000</v>
      </c>
      <c r="J2316" s="74">
        <f>IF(E2316="SERVICE",I2316-(I2316*50%),Vlookup(E2316,DATABASE!C:Q,10,false)*F2316)</f>
        <v>0</v>
      </c>
      <c r="K2316" s="74">
        <v>613000.0</v>
      </c>
      <c r="L2316" s="74">
        <v>613000.0</v>
      </c>
      <c r="M2316" s="74">
        <f t="shared" si="2"/>
        <v>615000</v>
      </c>
      <c r="N2316" s="74">
        <f t="shared" si="3"/>
        <v>170000</v>
      </c>
      <c r="O2316" s="65" t="str">
        <f>VLOOKUP(E2316,DATABASE!C:Q,8,false)</f>
        <v>IBU</v>
      </c>
      <c r="P2316" s="65">
        <f>VLOOKUP(E2316,DATABASE!C:Q,9,False)</f>
        <v>1</v>
      </c>
      <c r="Q2316" s="93" t="str">
        <f>VLOOKUP(E2316,DATABASE!C:Q,4,false)</f>
        <v>Dunlop</v>
      </c>
      <c r="R2316" s="93" t="str">
        <f>VLOOKUP(E2316,DATABASE!C:Q,11,false)</f>
        <v>Tire</v>
      </c>
    </row>
    <row r="2317" ht="22.5" customHeight="1">
      <c r="A2317" s="49"/>
      <c r="C2317" s="384">
        <v>45776.0</v>
      </c>
      <c r="D2317" s="65">
        <v>5436.0</v>
      </c>
      <c r="E2317" s="445" t="s">
        <v>256</v>
      </c>
      <c r="F2317" s="386">
        <v>1.0</v>
      </c>
      <c r="G2317" s="74">
        <v>130000.0</v>
      </c>
      <c r="H2317" s="74">
        <v>0.0</v>
      </c>
      <c r="I2317" s="74">
        <f t="shared" si="1"/>
        <v>130000</v>
      </c>
      <c r="J2317" s="74">
        <f>IF(E2317="SERVICE",I2317-(I2317*50%),Vlookup(E2317,DATABASE!C:Q,10,false)*F2317)</f>
        <v>10000</v>
      </c>
      <c r="K2317" s="74">
        <f>VLOOKUP(E2317,DATABASE!C:Q,7,false)</f>
        <v>0</v>
      </c>
      <c r="L2317" s="74">
        <v>0.0</v>
      </c>
      <c r="M2317" s="74">
        <f t="shared" si="2"/>
        <v>0</v>
      </c>
      <c r="N2317" s="74">
        <f t="shared" si="3"/>
        <v>120000</v>
      </c>
      <c r="O2317" s="65" t="str">
        <f>VLOOKUP(E2317,DATABASE!C:Q,8,false)</f>
        <v>IBU</v>
      </c>
      <c r="P2317" s="65">
        <f>VLOOKUP(E2317,DATABASE!C:Q,9,False)</f>
        <v>0</v>
      </c>
      <c r="Q2317" s="93" t="str">
        <f>VLOOKUP(E2317,DATABASE!C:Q,4,false)</f>
        <v>SPOORING</v>
      </c>
      <c r="R2317" s="93" t="str">
        <f>VLOOKUP(E2317,DATABASE!C:Q,11,false)</f>
        <v>SERVICE</v>
      </c>
    </row>
    <row r="2318" ht="22.5" customHeight="1">
      <c r="A2318" s="49"/>
      <c r="C2318" s="384">
        <v>45776.0</v>
      </c>
      <c r="D2318" s="65">
        <v>5436.0</v>
      </c>
      <c r="E2318" s="385" t="s">
        <v>299</v>
      </c>
      <c r="F2318" s="386">
        <v>2.0</v>
      </c>
      <c r="G2318" s="74">
        <v>30000.0</v>
      </c>
      <c r="H2318" s="74">
        <v>0.0</v>
      </c>
      <c r="I2318" s="74">
        <f t="shared" si="1"/>
        <v>60000</v>
      </c>
      <c r="J2318" s="74">
        <f>IF(E2318="SERVICE",I2318-(I2318*50%),Vlookup(E2318,DATABASE!C:Q,10,false)*F2318)</f>
        <v>0</v>
      </c>
      <c r="K2318" s="74">
        <v>0.0</v>
      </c>
      <c r="L2318" s="74">
        <v>0.0</v>
      </c>
      <c r="M2318" s="74">
        <f t="shared" si="2"/>
        <v>0</v>
      </c>
      <c r="N2318" s="74">
        <f t="shared" si="3"/>
        <v>60000</v>
      </c>
      <c r="O2318" s="65" t="str">
        <f>VLOOKUP(E2318,DATABASE!C:Q,8,false)</f>
        <v>BIAN</v>
      </c>
      <c r="P2318" s="65">
        <f>VLOOKUP(E2318,DATABASE!C:Q,9,False)</f>
        <v>0</v>
      </c>
      <c r="Q2318" s="93" t="str">
        <f>VLOOKUP(E2318,DATABASE!C:Q,4,false)</f>
        <v>Balancing</v>
      </c>
      <c r="R2318" s="93" t="str">
        <f>VLOOKUP(E2318,DATABASE!C:Q,11,false)</f>
        <v>COMPLEMENTARY</v>
      </c>
    </row>
    <row r="2319" ht="22.5" customHeight="1">
      <c r="A2319" s="49"/>
      <c r="C2319" s="384">
        <v>45776.0</v>
      </c>
      <c r="D2319" s="65">
        <v>5437.0</v>
      </c>
      <c r="E2319" s="445" t="s">
        <v>624</v>
      </c>
      <c r="F2319" s="386">
        <v>2.0</v>
      </c>
      <c r="G2319" s="74">
        <v>110000.0</v>
      </c>
      <c r="H2319" s="74">
        <v>0.0</v>
      </c>
      <c r="I2319" s="74">
        <f t="shared" si="1"/>
        <v>220000</v>
      </c>
      <c r="J2319" s="74">
        <f>IF(E2319="SERVICE",I2319-(I2319*50%),Vlookup(E2319,DATABASE!C:Q,10,false)*F2319)</f>
        <v>0</v>
      </c>
      <c r="K2319" s="74">
        <f>VLOOKUP(E2319,DATABASE!C:Q,7,false)</f>
        <v>60500</v>
      </c>
      <c r="L2319" s="74">
        <v>60500.0</v>
      </c>
      <c r="M2319" s="74">
        <f t="shared" si="2"/>
        <v>65000</v>
      </c>
      <c r="N2319" s="74">
        <f t="shared" si="3"/>
        <v>90000</v>
      </c>
      <c r="O2319" s="65" t="str">
        <f>VLOOKUP(E2319,DATABASE!C:Q,8,false)</f>
        <v>BIAN</v>
      </c>
      <c r="P2319" s="65">
        <f>VLOOKUP(E2319,DATABASE!C:Q,9,False)</f>
        <v>1</v>
      </c>
      <c r="Q2319" s="93" t="str">
        <f>VLOOKUP(E2319,DATABASE!C:Q,4,false)</f>
        <v>BD</v>
      </c>
      <c r="R2319" s="93" t="str">
        <f>VLOOKUP(E2319,DATABASE!C:Q,11,false)</f>
        <v>Tire</v>
      </c>
    </row>
    <row r="2320" ht="22.5" customHeight="1">
      <c r="A2320" s="49"/>
      <c r="C2320" s="384">
        <v>45776.0</v>
      </c>
      <c r="D2320" s="65">
        <v>5437.0</v>
      </c>
      <c r="E2320" s="445" t="s">
        <v>597</v>
      </c>
      <c r="F2320" s="386">
        <v>2.0</v>
      </c>
      <c r="G2320" s="74">
        <v>120000.0</v>
      </c>
      <c r="H2320" s="74">
        <v>0.0</v>
      </c>
      <c r="I2320" s="74">
        <f t="shared" si="1"/>
        <v>240000</v>
      </c>
      <c r="J2320" s="74">
        <f>IF(E2320="SERVICE",I2320-(I2320*50%),Vlookup(E2320,DATABASE!C:Q,10,false)*F2320)</f>
        <v>0</v>
      </c>
      <c r="K2320" s="74">
        <f>VLOOKUP(E2320,DATABASE!C:Q,7,false)</f>
        <v>83000</v>
      </c>
      <c r="L2320" s="74">
        <v>83000.0</v>
      </c>
      <c r="M2320" s="74">
        <f t="shared" si="2"/>
        <v>85000</v>
      </c>
      <c r="N2320" s="74">
        <f t="shared" si="3"/>
        <v>70000</v>
      </c>
      <c r="O2320" s="65" t="str">
        <f>VLOOKUP(E2320,DATABASE!C:Q,8,false)</f>
        <v>BIAN</v>
      </c>
      <c r="P2320" s="65">
        <f>VLOOKUP(E2320,DATABASE!C:Q,9,False)</f>
        <v>1</v>
      </c>
      <c r="Q2320" s="93" t="str">
        <f>VLOOKUP(E2320,DATABASE!C:Q,4,false)</f>
        <v>BD</v>
      </c>
      <c r="R2320" s="93" t="str">
        <f>VLOOKUP(E2320,DATABASE!C:Q,11,false)</f>
        <v>Tire</v>
      </c>
    </row>
    <row r="2321" ht="22.5" customHeight="1">
      <c r="A2321" s="49"/>
      <c r="C2321" s="384">
        <v>45776.0</v>
      </c>
      <c r="D2321" s="65">
        <v>5438.0</v>
      </c>
      <c r="E2321" s="445" t="s">
        <v>624</v>
      </c>
      <c r="F2321" s="386">
        <v>2.0</v>
      </c>
      <c r="G2321" s="74">
        <v>110000.0</v>
      </c>
      <c r="H2321" s="74">
        <v>0.0</v>
      </c>
      <c r="I2321" s="74">
        <f t="shared" si="1"/>
        <v>220000</v>
      </c>
      <c r="J2321" s="74">
        <f>IF(E2321="SERVICE",I2321-(I2321*50%),Vlookup(E2321,DATABASE!C:Q,10,false)*F2321)</f>
        <v>0</v>
      </c>
      <c r="K2321" s="74">
        <f>VLOOKUP(E2321,DATABASE!C:Q,7,false)</f>
        <v>60500</v>
      </c>
      <c r="L2321" s="74">
        <v>60500.0</v>
      </c>
      <c r="M2321" s="74">
        <f t="shared" si="2"/>
        <v>65000</v>
      </c>
      <c r="N2321" s="74">
        <f t="shared" si="3"/>
        <v>90000</v>
      </c>
      <c r="O2321" s="65" t="str">
        <f>VLOOKUP(E2321,DATABASE!C:Q,8,false)</f>
        <v>BIAN</v>
      </c>
      <c r="P2321" s="65">
        <f>VLOOKUP(E2321,DATABASE!C:Q,9,False)</f>
        <v>1</v>
      </c>
      <c r="Q2321" s="93" t="str">
        <f>VLOOKUP(E2321,DATABASE!C:Q,4,false)</f>
        <v>BD</v>
      </c>
      <c r="R2321" s="93" t="str">
        <f>VLOOKUP(E2321,DATABASE!C:Q,11,false)</f>
        <v>Tire</v>
      </c>
    </row>
    <row r="2322" ht="22.5" customHeight="1">
      <c r="A2322" s="49"/>
      <c r="C2322" s="384">
        <v>45776.0</v>
      </c>
      <c r="D2322" s="65">
        <v>5438.0</v>
      </c>
      <c r="E2322" s="445" t="s">
        <v>2019</v>
      </c>
      <c r="F2322" s="386">
        <v>2.0</v>
      </c>
      <c r="G2322" s="74">
        <v>685000.0</v>
      </c>
      <c r="H2322" s="74">
        <v>0.0</v>
      </c>
      <c r="I2322" s="74">
        <f t="shared" si="1"/>
        <v>1370000</v>
      </c>
      <c r="J2322" s="74">
        <f>IF(E2322="SERVICE",I2322-(I2322*50%),Vlookup(E2322,DATABASE!C:Q,10,false)*F2322)</f>
        <v>0</v>
      </c>
      <c r="K2322" s="74">
        <f>VLOOKUP(E2322,DATABASE!C:Q,7,false)</f>
        <v>620000</v>
      </c>
      <c r="L2322" s="74">
        <v>585000.0</v>
      </c>
      <c r="M2322" s="74">
        <f t="shared" si="2"/>
        <v>585000</v>
      </c>
      <c r="N2322" s="74">
        <f t="shared" si="3"/>
        <v>200000</v>
      </c>
      <c r="O2322" s="65" t="str">
        <f>VLOOKUP(E2322,DATABASE!C:Q,8,false)</f>
        <v>BIAN</v>
      </c>
      <c r="P2322" s="65">
        <f>VLOOKUP(E2322,DATABASE!C:Q,9,False)</f>
        <v>1</v>
      </c>
      <c r="Q2322" s="93" t="str">
        <f>VLOOKUP(E2322,DATABASE!C:Q,4,false)</f>
        <v>GT</v>
      </c>
      <c r="R2322" s="93" t="str">
        <f>VLOOKUP(E2322,DATABASE!C:Q,11,false)</f>
        <v>Tire</v>
      </c>
    </row>
    <row r="2323" ht="22.5" customHeight="1">
      <c r="A2323" s="49"/>
      <c r="C2323" s="384">
        <v>45776.0</v>
      </c>
      <c r="D2323" s="65">
        <v>5439.0</v>
      </c>
      <c r="E2323" s="445" t="s">
        <v>268</v>
      </c>
      <c r="F2323" s="386">
        <v>2.0</v>
      </c>
      <c r="G2323" s="74">
        <v>700000.0</v>
      </c>
      <c r="H2323" s="74">
        <v>0.0</v>
      </c>
      <c r="I2323" s="74">
        <f t="shared" si="1"/>
        <v>1400000</v>
      </c>
      <c r="J2323" s="74">
        <f>IF(E2323="SERVICE",I2323-(I2323*50%),Vlookup(E2323,DATABASE!C:Q,10,false)*F2323)</f>
        <v>0</v>
      </c>
      <c r="K2323" s="74">
        <v>613000.0</v>
      </c>
      <c r="L2323" s="74">
        <v>613000.0</v>
      </c>
      <c r="M2323" s="74">
        <f t="shared" si="2"/>
        <v>615000</v>
      </c>
      <c r="N2323" s="74">
        <f t="shared" si="3"/>
        <v>170000</v>
      </c>
      <c r="O2323" s="65" t="str">
        <f>VLOOKUP(E2323,DATABASE!C:Q,8,false)</f>
        <v>IBU</v>
      </c>
      <c r="P2323" s="65">
        <f>VLOOKUP(E2323,DATABASE!C:Q,9,False)</f>
        <v>1</v>
      </c>
      <c r="Q2323" s="93" t="str">
        <f>VLOOKUP(E2323,DATABASE!C:Q,4,false)</f>
        <v>Dunlop</v>
      </c>
      <c r="R2323" s="93" t="str">
        <f>VLOOKUP(E2323,DATABASE!C:Q,11,false)</f>
        <v>Tire</v>
      </c>
    </row>
    <row r="2324" ht="22.5" customHeight="1">
      <c r="A2324" s="49"/>
      <c r="C2324" s="384">
        <v>45776.0</v>
      </c>
      <c r="D2324" s="65">
        <v>5440.0</v>
      </c>
      <c r="E2324" s="445" t="s">
        <v>262</v>
      </c>
      <c r="F2324" s="386">
        <v>1.0</v>
      </c>
      <c r="G2324" s="74">
        <v>110000.0</v>
      </c>
      <c r="H2324" s="74">
        <v>0.0</v>
      </c>
      <c r="I2324" s="74">
        <f t="shared" si="1"/>
        <v>110000</v>
      </c>
      <c r="J2324" s="74">
        <f>IF(E2324="SERVICE",I2324-(I2324*50%),Vlookup(E2324,DATABASE!C:Q,10,false)*F2324)</f>
        <v>5000</v>
      </c>
      <c r="K2324" s="74">
        <f>VLOOKUP(E2324,DATABASE!C:Q,7,false)</f>
        <v>0</v>
      </c>
      <c r="L2324" s="74">
        <v>0.0</v>
      </c>
      <c r="M2324" s="74">
        <f t="shared" si="2"/>
        <v>0</v>
      </c>
      <c r="N2324" s="74">
        <f t="shared" si="3"/>
        <v>105000</v>
      </c>
      <c r="O2324" s="65" t="str">
        <f>VLOOKUP(E2324,DATABASE!C:Q,8,false)</f>
        <v>IBU</v>
      </c>
      <c r="P2324" s="65">
        <f>VLOOKUP(E2324,DATABASE!C:Q,9,False)</f>
        <v>0</v>
      </c>
      <c r="Q2324" s="93" t="str">
        <f>VLOOKUP(E2324,DATABASE!C:Q,4,false)</f>
        <v>SPOORING SS/CARRY LOS BAK</v>
      </c>
      <c r="R2324" s="93" t="str">
        <f>VLOOKUP(E2324,DATABASE!C:Q,11,false)</f>
        <v>SERVICE</v>
      </c>
    </row>
    <row r="2325" ht="22.5" customHeight="1">
      <c r="A2325" s="49"/>
      <c r="C2325" s="384">
        <v>45776.0</v>
      </c>
      <c r="D2325" s="65">
        <v>5440.0</v>
      </c>
      <c r="E2325" s="385" t="s">
        <v>299</v>
      </c>
      <c r="F2325" s="386">
        <v>2.0</v>
      </c>
      <c r="G2325" s="74">
        <v>30000.0</v>
      </c>
      <c r="H2325" s="74">
        <v>0.0</v>
      </c>
      <c r="I2325" s="74">
        <f t="shared" si="1"/>
        <v>60000</v>
      </c>
      <c r="J2325" s="74">
        <f>IF(E2325="SERVICE",I2325-(I2325*50%),Vlookup(E2325,DATABASE!C:Q,10,false)*F2325)</f>
        <v>0</v>
      </c>
      <c r="K2325" s="74">
        <v>0.0</v>
      </c>
      <c r="L2325" s="74">
        <v>0.0</v>
      </c>
      <c r="M2325" s="74">
        <f t="shared" si="2"/>
        <v>0</v>
      </c>
      <c r="N2325" s="74">
        <f t="shared" si="3"/>
        <v>60000</v>
      </c>
      <c r="O2325" s="65" t="str">
        <f>VLOOKUP(E2325,DATABASE!C:Q,8,false)</f>
        <v>BIAN</v>
      </c>
      <c r="P2325" s="65">
        <f>VLOOKUP(E2325,DATABASE!C:Q,9,False)</f>
        <v>0</v>
      </c>
      <c r="Q2325" s="93" t="str">
        <f>VLOOKUP(E2325,DATABASE!C:Q,4,false)</f>
        <v>Balancing</v>
      </c>
      <c r="R2325" s="93" t="str">
        <f>VLOOKUP(E2325,DATABASE!C:Q,11,false)</f>
        <v>COMPLEMENTARY</v>
      </c>
    </row>
    <row r="2326" ht="22.5" customHeight="1">
      <c r="A2326" s="49"/>
      <c r="C2326" s="384">
        <v>45776.0</v>
      </c>
      <c r="D2326" s="65">
        <v>5440.0</v>
      </c>
      <c r="E2326" s="385" t="s">
        <v>305</v>
      </c>
      <c r="F2326" s="386">
        <v>1.0</v>
      </c>
      <c r="G2326" s="74">
        <v>220000.0</v>
      </c>
      <c r="H2326" s="74">
        <v>0.0</v>
      </c>
      <c r="I2326" s="74">
        <f t="shared" si="1"/>
        <v>220000</v>
      </c>
      <c r="J2326" s="74">
        <f>IF(E2326="SERVICE",I2326-(I2326*50%),Vlookup(E2326,DATABASE!C:Q,10,false)*F2326)</f>
        <v>40000</v>
      </c>
      <c r="K2326" s="74">
        <f>VLOOKUP(E2326,DATABASE!C:Q,7,false)</f>
        <v>158530.2</v>
      </c>
      <c r="L2326" s="74">
        <v>151890.0</v>
      </c>
      <c r="M2326" s="74">
        <f t="shared" si="2"/>
        <v>155000</v>
      </c>
      <c r="N2326" s="74">
        <f t="shared" si="3"/>
        <v>25000</v>
      </c>
      <c r="O2326" s="65" t="str">
        <f>VLOOKUP(E2326,DATABASE!C:Q,8,false)</f>
        <v>BIAN</v>
      </c>
      <c r="P2326" s="65">
        <f>VLOOKUP(E2326,DATABASE!C:Q,9,False)</f>
        <v>1</v>
      </c>
      <c r="Q2326" s="93" t="str">
        <f>VLOOKUP(E2326,DATABASE!C:Q,4,false)</f>
        <v>Lower Arm</v>
      </c>
      <c r="R2326" s="93" t="str">
        <f>VLOOKUP(E2326,DATABASE!C:Q,11,false)</f>
        <v>COMPLEMENTARY</v>
      </c>
    </row>
    <row r="2327" ht="22.5" customHeight="1">
      <c r="A2327" s="49"/>
      <c r="C2327" s="384">
        <v>45776.0</v>
      </c>
      <c r="D2327" s="65">
        <v>5440.0</v>
      </c>
      <c r="E2327" s="445" t="s">
        <v>2206</v>
      </c>
      <c r="F2327" s="386">
        <v>1.0</v>
      </c>
      <c r="G2327" s="74">
        <v>200000.0</v>
      </c>
      <c r="H2327" s="74">
        <v>0.0</v>
      </c>
      <c r="I2327" s="74">
        <f t="shared" si="1"/>
        <v>200000</v>
      </c>
      <c r="J2327" s="74">
        <f>IF(E2327="SERVICE",I2327-(I2327*50%),Vlookup(E2327,DATABASE!C:Q,10,false)*F2327)</f>
        <v>40000</v>
      </c>
      <c r="K2327" s="74">
        <f>VLOOKUP(E2327,DATABASE!C:Q,7,false)</f>
        <v>95450</v>
      </c>
      <c r="L2327" s="74">
        <v>61000.0</v>
      </c>
      <c r="M2327" s="74">
        <f t="shared" si="2"/>
        <v>65000</v>
      </c>
      <c r="N2327" s="74">
        <f t="shared" si="3"/>
        <v>95000</v>
      </c>
      <c r="O2327" s="65" t="str">
        <f>VLOOKUP(E2327,DATABASE!C:Q,8,false)</f>
        <v>IBU</v>
      </c>
      <c r="P2327" s="65">
        <f>VLOOKUP(E2327,DATABASE!C:Q,9,False)</f>
        <v>1</v>
      </c>
      <c r="Q2327" s="93" t="str">
        <f>VLOOKUP(E2327,DATABASE!C:Q,4,false)</f>
        <v>TIEROD</v>
      </c>
      <c r="R2327" s="93" t="str">
        <f>VLOOKUP(E2327,DATABASE!C:Q,11,false)</f>
        <v>COMPLEMENTARY</v>
      </c>
    </row>
    <row r="2328" ht="22.5" customHeight="1">
      <c r="A2328" s="49"/>
      <c r="C2328" s="384">
        <v>45776.0</v>
      </c>
      <c r="D2328" s="65">
        <v>5440.0</v>
      </c>
      <c r="E2328" s="445" t="s">
        <v>251</v>
      </c>
      <c r="F2328" s="386">
        <v>1.0</v>
      </c>
      <c r="G2328" s="74">
        <v>150000.0</v>
      </c>
      <c r="H2328" s="74">
        <v>0.0</v>
      </c>
      <c r="I2328" s="74">
        <f t="shared" si="1"/>
        <v>150000</v>
      </c>
      <c r="J2328" s="74">
        <f>IF(E2328="SERVICE",I2328-(I2328*50%),Vlookup(E2328,DATABASE!C:Q,10,false)*F2328)</f>
        <v>75000</v>
      </c>
      <c r="K2328" s="74">
        <f>VLOOKUP(E2328,DATABASE!C:Q,7,false)</f>
        <v>0</v>
      </c>
      <c r="L2328" s="74">
        <v>0.0</v>
      </c>
      <c r="M2328" s="74">
        <f t="shared" si="2"/>
        <v>0</v>
      </c>
      <c r="N2328" s="74">
        <f t="shared" si="3"/>
        <v>75000</v>
      </c>
      <c r="O2328" s="65" t="str">
        <f>VLOOKUP(E2328,DATABASE!C:Q,8,false)</f>
        <v>IBU</v>
      </c>
      <c r="P2328" s="65">
        <f>VLOOKUP(E2328,DATABASE!C:Q,9,False)</f>
        <v>0</v>
      </c>
      <c r="Q2328" s="93" t="str">
        <f>VLOOKUP(E2328,DATABASE!C:Q,4,false)</f>
        <v>SERVICE</v>
      </c>
      <c r="R2328" s="93" t="str">
        <f>VLOOKUP(E2328,DATABASE!C:Q,11,false)</f>
        <v>SERVICE</v>
      </c>
    </row>
    <row r="2329" ht="22.5" customHeight="1">
      <c r="A2329" s="49"/>
      <c r="C2329" s="384">
        <v>45776.0</v>
      </c>
      <c r="D2329" s="65">
        <v>5441.0</v>
      </c>
      <c r="E2329" s="445" t="s">
        <v>1439</v>
      </c>
      <c r="F2329" s="386">
        <v>2.0</v>
      </c>
      <c r="G2329" s="74">
        <v>630000.0</v>
      </c>
      <c r="H2329" s="74">
        <v>0.0</v>
      </c>
      <c r="I2329" s="74">
        <f t="shared" si="1"/>
        <v>1260000</v>
      </c>
      <c r="J2329" s="74">
        <f>IF(E2329="SERVICE",I2329-(I2329*50%),Vlookup(E2329,DATABASE!C:Q,10,false)*F2329)</f>
        <v>0</v>
      </c>
      <c r="K2329" s="74">
        <f>VLOOKUP(E2329,DATABASE!C:Q,7,false)</f>
        <v>556800</v>
      </c>
      <c r="L2329" s="74">
        <v>540800.0</v>
      </c>
      <c r="M2329" s="74">
        <f t="shared" si="2"/>
        <v>545000</v>
      </c>
      <c r="N2329" s="74">
        <f t="shared" si="3"/>
        <v>170000</v>
      </c>
      <c r="O2329" s="65" t="str">
        <f>VLOOKUP(E2329,DATABASE!C:Q,8,false)</f>
        <v>BIAN</v>
      </c>
      <c r="P2329" s="65">
        <f>VLOOKUP(E2329,DATABASE!C:Q,9,False)</f>
        <v>1</v>
      </c>
      <c r="Q2329" s="93" t="str">
        <f>VLOOKUP(E2329,DATABASE!C:Q,4,false)</f>
        <v>GT</v>
      </c>
      <c r="R2329" s="93" t="str">
        <f>VLOOKUP(E2329,DATABASE!C:Q,11,false)</f>
        <v>Tire</v>
      </c>
    </row>
    <row r="2330" ht="22.5" customHeight="1">
      <c r="A2330" s="49"/>
      <c r="C2330" s="384">
        <v>45776.0</v>
      </c>
      <c r="D2330" s="65">
        <v>5442.0</v>
      </c>
      <c r="E2330" s="445" t="s">
        <v>937</v>
      </c>
      <c r="F2330" s="386">
        <v>1.0</v>
      </c>
      <c r="G2330" s="74">
        <v>900000.0</v>
      </c>
      <c r="H2330" s="74">
        <v>0.0</v>
      </c>
      <c r="I2330" s="74">
        <f t="shared" si="1"/>
        <v>900000</v>
      </c>
      <c r="J2330" s="74">
        <f>IF(E2330="SERVICE",I2330-(I2330*50%),Vlookup(E2330,DATABASE!C:Q,10,false)*F2330)</f>
        <v>0</v>
      </c>
      <c r="K2330" s="74">
        <f>VLOOKUP(E2330,DATABASE!C:Q,7,false)</f>
        <v>825000</v>
      </c>
      <c r="L2330" s="74">
        <v>790000.0</v>
      </c>
      <c r="M2330" s="74">
        <f t="shared" si="2"/>
        <v>790000</v>
      </c>
      <c r="N2330" s="74">
        <f t="shared" si="3"/>
        <v>110000</v>
      </c>
      <c r="O2330" s="65" t="str">
        <f>VLOOKUP(E2330,DATABASE!C:Q,8,false)</f>
        <v>IBU</v>
      </c>
      <c r="P2330" s="65">
        <f>VLOOKUP(E2330,DATABASE!C:Q,9,False)</f>
        <v>1</v>
      </c>
      <c r="Q2330" s="93" t="str">
        <f>VLOOKUP(E2330,DATABASE!C:Q,4,false)</f>
        <v>Bridgestone</v>
      </c>
      <c r="R2330" s="93" t="str">
        <f>VLOOKUP(E2330,DATABASE!C:Q,11,false)</f>
        <v>Tire</v>
      </c>
    </row>
    <row r="2331" ht="22.5" customHeight="1">
      <c r="A2331" s="49"/>
      <c r="C2331" s="384">
        <v>45776.0</v>
      </c>
      <c r="D2331" s="65">
        <v>5443.0</v>
      </c>
      <c r="E2331" s="445" t="s">
        <v>282</v>
      </c>
      <c r="F2331" s="386">
        <v>4.0</v>
      </c>
      <c r="G2331" s="74">
        <v>860000.0</v>
      </c>
      <c r="H2331" s="74">
        <v>0.0</v>
      </c>
      <c r="I2331" s="74">
        <f t="shared" si="1"/>
        <v>3440000</v>
      </c>
      <c r="J2331" s="74">
        <f>IF(E2331="SERVICE",I2331-(I2331*50%),Vlookup(E2331,DATABASE!C:Q,10,false)*F2331)</f>
        <v>0</v>
      </c>
      <c r="K2331" s="74">
        <f>VLOOKUP(E2331,DATABASE!C:Q,7,false)</f>
        <v>779500</v>
      </c>
      <c r="L2331" s="74">
        <v>771000.0</v>
      </c>
      <c r="M2331" s="74">
        <f t="shared" si="2"/>
        <v>775000</v>
      </c>
      <c r="N2331" s="74">
        <f t="shared" si="3"/>
        <v>340000</v>
      </c>
      <c r="O2331" s="65" t="str">
        <f>VLOOKUP(E2331,DATABASE!C:Q,8,false)</f>
        <v>IBU</v>
      </c>
      <c r="P2331" s="65">
        <f>VLOOKUP(E2331,DATABASE!C:Q,9,False)</f>
        <v>1</v>
      </c>
      <c r="Q2331" s="93" t="str">
        <f>VLOOKUP(E2331,DATABASE!C:Q,4,false)</f>
        <v>Dunlop</v>
      </c>
      <c r="R2331" s="93" t="str">
        <f>VLOOKUP(E2331,DATABASE!C:Q,11,false)</f>
        <v>Tire</v>
      </c>
    </row>
    <row r="2332" ht="22.5" customHeight="1">
      <c r="A2332" s="49"/>
      <c r="C2332" s="384">
        <v>45776.0</v>
      </c>
      <c r="D2332" s="65">
        <v>5443.0</v>
      </c>
      <c r="E2332" s="445" t="s">
        <v>256</v>
      </c>
      <c r="F2332" s="386">
        <v>1.0</v>
      </c>
      <c r="G2332" s="74">
        <v>130000.0</v>
      </c>
      <c r="H2332" s="74">
        <v>0.0</v>
      </c>
      <c r="I2332" s="74">
        <f t="shared" si="1"/>
        <v>130000</v>
      </c>
      <c r="J2332" s="74">
        <f>IF(E2332="SERVICE",I2332-(I2332*50%),Vlookup(E2332,DATABASE!C:Q,10,false)*F2332)</f>
        <v>10000</v>
      </c>
      <c r="K2332" s="74">
        <f>VLOOKUP(E2332,DATABASE!C:Q,7,false)</f>
        <v>0</v>
      </c>
      <c r="L2332" s="74">
        <v>0.0</v>
      </c>
      <c r="M2332" s="74">
        <f t="shared" si="2"/>
        <v>0</v>
      </c>
      <c r="N2332" s="74">
        <f t="shared" si="3"/>
        <v>120000</v>
      </c>
      <c r="O2332" s="65" t="str">
        <f>VLOOKUP(E2332,DATABASE!C:Q,8,false)</f>
        <v>IBU</v>
      </c>
      <c r="P2332" s="65">
        <f>VLOOKUP(E2332,DATABASE!C:Q,9,False)</f>
        <v>0</v>
      </c>
      <c r="Q2332" s="93" t="str">
        <f>VLOOKUP(E2332,DATABASE!C:Q,4,false)</f>
        <v>SPOORING</v>
      </c>
      <c r="R2332" s="93" t="str">
        <f>VLOOKUP(E2332,DATABASE!C:Q,11,false)</f>
        <v>SERVICE</v>
      </c>
    </row>
    <row r="2333" ht="22.5" customHeight="1">
      <c r="A2333" s="49"/>
      <c r="C2333" s="384">
        <v>45776.0</v>
      </c>
      <c r="D2333" s="65">
        <v>5443.0</v>
      </c>
      <c r="E2333" s="445" t="s">
        <v>251</v>
      </c>
      <c r="F2333" s="386">
        <v>1.0</v>
      </c>
      <c r="G2333" s="74">
        <v>150000.0</v>
      </c>
      <c r="H2333" s="74">
        <v>0.0</v>
      </c>
      <c r="I2333" s="74">
        <f t="shared" si="1"/>
        <v>150000</v>
      </c>
      <c r="J2333" s="74">
        <f>IF(E2333="SERVICE",I2333-(I2333*50%),Vlookup(E2333,DATABASE!C:Q,10,false)*F2333)</f>
        <v>75000</v>
      </c>
      <c r="K2333" s="74">
        <f>VLOOKUP(E2333,DATABASE!C:Q,7,false)</f>
        <v>0</v>
      </c>
      <c r="L2333" s="74">
        <v>0.0</v>
      </c>
      <c r="M2333" s="74">
        <f t="shared" si="2"/>
        <v>0</v>
      </c>
      <c r="N2333" s="74">
        <f t="shared" si="3"/>
        <v>75000</v>
      </c>
      <c r="O2333" s="65" t="str">
        <f>VLOOKUP(E2333,DATABASE!C:Q,8,false)</f>
        <v>IBU</v>
      </c>
      <c r="P2333" s="65">
        <f>VLOOKUP(E2333,DATABASE!C:Q,9,False)</f>
        <v>0</v>
      </c>
      <c r="Q2333" s="93" t="str">
        <f>VLOOKUP(E2333,DATABASE!C:Q,4,false)</f>
        <v>SERVICE</v>
      </c>
      <c r="R2333" s="93" t="str">
        <f>VLOOKUP(E2333,DATABASE!C:Q,11,false)</f>
        <v>SERVICE</v>
      </c>
    </row>
    <row r="2334" ht="22.5" customHeight="1">
      <c r="A2334" s="49"/>
      <c r="C2334" s="384">
        <v>45776.0</v>
      </c>
      <c r="D2334" s="65">
        <v>5443.0</v>
      </c>
      <c r="E2334" s="385" t="s">
        <v>299</v>
      </c>
      <c r="F2334" s="386">
        <v>2.0</v>
      </c>
      <c r="G2334" s="74">
        <v>30000.0</v>
      </c>
      <c r="H2334" s="74">
        <v>0.0</v>
      </c>
      <c r="I2334" s="74">
        <f t="shared" si="1"/>
        <v>60000</v>
      </c>
      <c r="J2334" s="74">
        <f>IF(E2334="SERVICE",I2334-(I2334*50%),Vlookup(E2334,DATABASE!C:Q,10,false)*F2334)</f>
        <v>0</v>
      </c>
      <c r="K2334" s="74">
        <v>0.0</v>
      </c>
      <c r="L2334" s="74">
        <v>0.0</v>
      </c>
      <c r="M2334" s="74">
        <f t="shared" si="2"/>
        <v>0</v>
      </c>
      <c r="N2334" s="74">
        <f t="shared" si="3"/>
        <v>60000</v>
      </c>
      <c r="O2334" s="65" t="str">
        <f>VLOOKUP(E2334,DATABASE!C:Q,8,false)</f>
        <v>BIAN</v>
      </c>
      <c r="P2334" s="65">
        <f>VLOOKUP(E2334,DATABASE!C:Q,9,False)</f>
        <v>0</v>
      </c>
      <c r="Q2334" s="93" t="str">
        <f>VLOOKUP(E2334,DATABASE!C:Q,4,false)</f>
        <v>Balancing</v>
      </c>
      <c r="R2334" s="93" t="str">
        <f>VLOOKUP(E2334,DATABASE!C:Q,11,false)</f>
        <v>COMPLEMENTARY</v>
      </c>
    </row>
    <row r="2335" ht="22.5" customHeight="1">
      <c r="A2335" s="49"/>
      <c r="C2335" s="384">
        <v>45776.0</v>
      </c>
      <c r="D2335" s="65">
        <v>5444.0</v>
      </c>
      <c r="E2335" s="445" t="s">
        <v>275</v>
      </c>
      <c r="F2335" s="386">
        <v>1.0</v>
      </c>
      <c r="G2335" s="74">
        <v>830000.0</v>
      </c>
      <c r="H2335" s="74">
        <v>0.0</v>
      </c>
      <c r="I2335" s="74">
        <f t="shared" si="1"/>
        <v>830000</v>
      </c>
      <c r="J2335" s="74">
        <f>IF(E2335="SERVICE",I2335-(I2335*50%),Vlookup(E2335,DATABASE!C:Q,10,false)*F2335)</f>
        <v>0</v>
      </c>
      <c r="K2335" s="74">
        <v>735000.0</v>
      </c>
      <c r="L2335" s="74">
        <v>735000.0</v>
      </c>
      <c r="M2335" s="74">
        <f t="shared" si="2"/>
        <v>735000</v>
      </c>
      <c r="N2335" s="74">
        <f t="shared" si="3"/>
        <v>95000</v>
      </c>
      <c r="O2335" s="65" t="str">
        <f>VLOOKUP(E2335,DATABASE!C:Q,8,false)</f>
        <v>IBU</v>
      </c>
      <c r="P2335" s="65">
        <f>VLOOKUP(E2335,DATABASE!C:Q,9,False)</f>
        <v>1</v>
      </c>
      <c r="Q2335" s="93" t="str">
        <f>VLOOKUP(E2335,DATABASE!C:Q,4,false)</f>
        <v>Dunlop</v>
      </c>
      <c r="R2335" s="93" t="str">
        <f>VLOOKUP(E2335,DATABASE!C:Q,11,false)</f>
        <v>Tire</v>
      </c>
    </row>
    <row r="2336" ht="22.5" customHeight="1">
      <c r="A2336" s="49"/>
      <c r="C2336" s="384">
        <v>45776.0</v>
      </c>
      <c r="D2336" s="65">
        <v>5445.0</v>
      </c>
      <c r="E2336" s="445" t="s">
        <v>268</v>
      </c>
      <c r="F2336" s="386">
        <v>2.0</v>
      </c>
      <c r="G2336" s="74">
        <v>700000.0</v>
      </c>
      <c r="H2336" s="74">
        <v>0.0</v>
      </c>
      <c r="I2336" s="74">
        <f t="shared" si="1"/>
        <v>1400000</v>
      </c>
      <c r="J2336" s="74">
        <f>IF(E2336="SERVICE",I2336-(I2336*50%),Vlookup(E2336,DATABASE!C:Q,10,false)*F2336)</f>
        <v>0</v>
      </c>
      <c r="K2336" s="74">
        <v>613000.0</v>
      </c>
      <c r="L2336" s="74">
        <v>613000.0</v>
      </c>
      <c r="M2336" s="74">
        <f t="shared" si="2"/>
        <v>615000</v>
      </c>
      <c r="N2336" s="74">
        <f t="shared" si="3"/>
        <v>170000</v>
      </c>
      <c r="O2336" s="65" t="str">
        <f>VLOOKUP(E2336,DATABASE!C:Q,8,false)</f>
        <v>IBU</v>
      </c>
      <c r="P2336" s="65">
        <f>VLOOKUP(E2336,DATABASE!C:Q,9,False)</f>
        <v>1</v>
      </c>
      <c r="Q2336" s="93" t="str">
        <f>VLOOKUP(E2336,DATABASE!C:Q,4,false)</f>
        <v>Dunlop</v>
      </c>
      <c r="R2336" s="93" t="str">
        <f>VLOOKUP(E2336,DATABASE!C:Q,11,false)</f>
        <v>Tire</v>
      </c>
    </row>
    <row r="2337" ht="22.5" customHeight="1">
      <c r="A2337" s="49"/>
      <c r="C2337" s="384">
        <v>45776.0</v>
      </c>
      <c r="D2337" s="65">
        <v>5446.0</v>
      </c>
      <c r="E2337" s="445" t="s">
        <v>275</v>
      </c>
      <c r="F2337" s="386">
        <v>2.0</v>
      </c>
      <c r="G2337" s="74">
        <v>830000.0</v>
      </c>
      <c r="H2337" s="74">
        <v>0.0</v>
      </c>
      <c r="I2337" s="74">
        <f t="shared" si="1"/>
        <v>1660000</v>
      </c>
      <c r="J2337" s="74">
        <f>IF(E2337="SERVICE",I2337-(I2337*50%),Vlookup(E2337,DATABASE!C:Q,10,false)*F2337)</f>
        <v>0</v>
      </c>
      <c r="K2337" s="74">
        <v>735000.0</v>
      </c>
      <c r="L2337" s="74">
        <v>735000.0</v>
      </c>
      <c r="M2337" s="74">
        <f t="shared" si="2"/>
        <v>735000</v>
      </c>
      <c r="N2337" s="74">
        <f t="shared" si="3"/>
        <v>190000</v>
      </c>
      <c r="O2337" s="65" t="str">
        <f>VLOOKUP(E2337,DATABASE!C:Q,8,false)</f>
        <v>IBU</v>
      </c>
      <c r="P2337" s="65">
        <f>VLOOKUP(E2337,DATABASE!C:Q,9,False)</f>
        <v>1</v>
      </c>
      <c r="Q2337" s="93" t="str">
        <f>VLOOKUP(E2337,DATABASE!C:Q,4,false)</f>
        <v>Dunlop</v>
      </c>
      <c r="R2337" s="93" t="str">
        <f>VLOOKUP(E2337,DATABASE!C:Q,11,false)</f>
        <v>Tire</v>
      </c>
    </row>
    <row r="2338" ht="22.5" customHeight="1">
      <c r="A2338" s="49"/>
      <c r="C2338" s="384">
        <v>45777.0</v>
      </c>
      <c r="D2338" s="65">
        <v>5447.0</v>
      </c>
      <c r="E2338" s="445" t="s">
        <v>1427</v>
      </c>
      <c r="F2338" s="386">
        <v>1.0</v>
      </c>
      <c r="G2338" s="74">
        <v>800000.0</v>
      </c>
      <c r="H2338" s="74">
        <v>0.0</v>
      </c>
      <c r="I2338" s="74">
        <f t="shared" si="1"/>
        <v>800000</v>
      </c>
      <c r="J2338" s="74">
        <f>IF(E2338="SERVICE",I2338-(I2338*50%),Vlookup(E2338,DATABASE!C:Q,10,false)*F2338)</f>
        <v>0</v>
      </c>
      <c r="K2338" s="74">
        <f>VLOOKUP(E2338,DATABASE!C:Q,7,false)</f>
        <v>696500</v>
      </c>
      <c r="L2338" s="74">
        <v>689000.0</v>
      </c>
      <c r="M2338" s="74">
        <f t="shared" si="2"/>
        <v>690000</v>
      </c>
      <c r="N2338" s="74">
        <f t="shared" si="3"/>
        <v>110000</v>
      </c>
      <c r="O2338" s="65" t="str">
        <f>VLOOKUP(E2338,DATABASE!C:Q,8,false)</f>
        <v>IBU</v>
      </c>
      <c r="P2338" s="65">
        <f>VLOOKUP(E2338,DATABASE!C:Q,9,False)</f>
        <v>1</v>
      </c>
      <c r="Q2338" s="93" t="str">
        <f>VLOOKUP(E2338,DATABASE!C:Q,4,false)</f>
        <v>Dunlop</v>
      </c>
      <c r="R2338" s="93" t="str">
        <f>VLOOKUP(E2338,DATABASE!C:Q,11,false)</f>
        <v>Tire</v>
      </c>
    </row>
    <row r="2339" ht="22.5" customHeight="1">
      <c r="A2339" s="49"/>
      <c r="C2339" s="384">
        <v>45777.0</v>
      </c>
      <c r="D2339" s="65">
        <v>5448.0</v>
      </c>
      <c r="E2339" s="445" t="s">
        <v>265</v>
      </c>
      <c r="F2339" s="386">
        <v>2.0</v>
      </c>
      <c r="G2339" s="74">
        <v>670000.0</v>
      </c>
      <c r="H2339" s="74">
        <v>0.0</v>
      </c>
      <c r="I2339" s="74">
        <f t="shared" si="1"/>
        <v>1340000</v>
      </c>
      <c r="J2339" s="74">
        <f>IF(E2339="SERVICE",I2339-(I2339*50%),Vlookup(E2339,DATABASE!C:Q,10,false)*F2339)</f>
        <v>0</v>
      </c>
      <c r="K2339" s="74">
        <v>590000.0</v>
      </c>
      <c r="L2339" s="74">
        <v>590000.0</v>
      </c>
      <c r="M2339" s="74">
        <f t="shared" si="2"/>
        <v>590000</v>
      </c>
      <c r="N2339" s="74">
        <f t="shared" si="3"/>
        <v>160000</v>
      </c>
      <c r="O2339" s="65" t="str">
        <f>VLOOKUP(E2339,DATABASE!C:Q,8,false)</f>
        <v>IBU</v>
      </c>
      <c r="P2339" s="65">
        <f>VLOOKUP(E2339,DATABASE!C:Q,9,False)</f>
        <v>1</v>
      </c>
      <c r="Q2339" s="93" t="str">
        <f>VLOOKUP(E2339,DATABASE!C:Q,4,false)</f>
        <v>Dunlop</v>
      </c>
      <c r="R2339" s="93" t="str">
        <f>VLOOKUP(E2339,DATABASE!C:Q,11,false)</f>
        <v>Tire</v>
      </c>
    </row>
    <row r="2340" ht="22.5" customHeight="1">
      <c r="A2340" s="49"/>
      <c r="C2340" s="384">
        <v>45777.0</v>
      </c>
      <c r="D2340" s="65">
        <v>5450.0</v>
      </c>
      <c r="E2340" s="445" t="s">
        <v>255</v>
      </c>
      <c r="F2340" s="386">
        <v>2.0</v>
      </c>
      <c r="G2340" s="74">
        <v>200000.0</v>
      </c>
      <c r="H2340" s="74">
        <v>0.0</v>
      </c>
      <c r="I2340" s="74">
        <f t="shared" si="1"/>
        <v>400000</v>
      </c>
      <c r="J2340" s="74">
        <f>IF(E2340="SERVICE",I2340-(I2340*50%),Vlookup(E2340,DATABASE!C:Q,10,false)*F2340)</f>
        <v>0</v>
      </c>
      <c r="K2340" s="74">
        <f>VLOOKUP(E2340,DATABASE!C:Q,7,false)</f>
        <v>161840</v>
      </c>
      <c r="L2340" s="74">
        <v>161840.0</v>
      </c>
      <c r="M2340" s="74">
        <f t="shared" si="2"/>
        <v>165000</v>
      </c>
      <c r="N2340" s="74">
        <f t="shared" si="3"/>
        <v>70000</v>
      </c>
      <c r="O2340" s="65" t="str">
        <f>VLOOKUP(E2340,DATABASE!C:Q,8,false)</f>
        <v>BIAN</v>
      </c>
      <c r="P2340" s="65">
        <f>VLOOKUP(E2340,DATABASE!C:Q,9,False)</f>
        <v>1</v>
      </c>
      <c r="Q2340" s="93" t="str">
        <f>VLOOKUP(E2340,DATABASE!C:Q,4,false)</f>
        <v>BD</v>
      </c>
      <c r="R2340" s="93" t="str">
        <f>VLOOKUP(E2340,DATABASE!C:Q,11,false)</f>
        <v>Tire</v>
      </c>
    </row>
    <row r="2341" ht="22.5" customHeight="1">
      <c r="A2341" s="49"/>
      <c r="C2341" s="384">
        <v>45777.0</v>
      </c>
      <c r="D2341" s="65">
        <v>5450.0</v>
      </c>
      <c r="E2341" s="445" t="s">
        <v>814</v>
      </c>
      <c r="F2341" s="386">
        <v>2.0</v>
      </c>
      <c r="G2341" s="74">
        <v>65000.0</v>
      </c>
      <c r="H2341" s="74">
        <v>0.0</v>
      </c>
      <c r="I2341" s="74">
        <f t="shared" si="1"/>
        <v>130000</v>
      </c>
      <c r="J2341" s="74">
        <f>IF(E2341="SERVICE",I2341-(I2341*50%),Vlookup(E2341,DATABASE!C:Q,10,false)*F2341)</f>
        <v>0</v>
      </c>
      <c r="K2341" s="74">
        <f>VLOOKUP(E2341,DATABASE!C:Q,7,false)</f>
        <v>39440</v>
      </c>
      <c r="L2341" s="74">
        <v>39440.0</v>
      </c>
      <c r="M2341" s="74">
        <f t="shared" si="2"/>
        <v>40000</v>
      </c>
      <c r="N2341" s="74">
        <f t="shared" si="3"/>
        <v>50000</v>
      </c>
      <c r="O2341" s="65" t="str">
        <f>VLOOKUP(E2341,DATABASE!C:Q,8,false)</f>
        <v>BIAN</v>
      </c>
      <c r="P2341" s="65">
        <f>VLOOKUP(E2341,DATABASE!C:Q,9,False)</f>
        <v>1</v>
      </c>
      <c r="Q2341" s="93" t="str">
        <f>VLOOKUP(E2341,DATABASE!C:Q,4,false)</f>
        <v>Flap</v>
      </c>
      <c r="R2341" s="93" t="str">
        <f>VLOOKUP(E2341,DATABASE!C:Q,11,false)</f>
        <v>Tire</v>
      </c>
    </row>
    <row r="2342" ht="22.5" customHeight="1">
      <c r="A2342" s="49"/>
      <c r="C2342" s="384">
        <v>45777.0</v>
      </c>
      <c r="D2342" s="65">
        <v>5451.0</v>
      </c>
      <c r="E2342" s="445" t="s">
        <v>1305</v>
      </c>
      <c r="F2342" s="386">
        <v>1.0</v>
      </c>
      <c r="G2342" s="74">
        <v>1850000.0</v>
      </c>
      <c r="H2342" s="74">
        <v>0.0</v>
      </c>
      <c r="I2342" s="74">
        <f t="shared" si="1"/>
        <v>1850000</v>
      </c>
      <c r="J2342" s="74">
        <f>IF(E2342="SERVICE",I2342-(I2342*50%),Vlookup(E2342,DATABASE!C:Q,10,false)*F2342)</f>
        <v>0</v>
      </c>
      <c r="K2342" s="74">
        <f>VLOOKUP(E2342,DATABASE!C:Q,7,false)</f>
        <v>1723000</v>
      </c>
      <c r="L2342" s="74">
        <v>1723000.0</v>
      </c>
      <c r="M2342" s="74">
        <f t="shared" si="2"/>
        <v>1725000</v>
      </c>
      <c r="N2342" s="74">
        <f t="shared" si="3"/>
        <v>125000</v>
      </c>
      <c r="O2342" s="65" t="str">
        <f>VLOOKUP(E2342,DATABASE!C:Q,8,false)</f>
        <v>IBU</v>
      </c>
      <c r="P2342" s="65">
        <f>VLOOKUP(E2342,DATABASE!C:Q,9,False)</f>
        <v>1</v>
      </c>
      <c r="Q2342" s="93" t="str">
        <f>VLOOKUP(E2342,DATABASE!C:Q,4,false)</f>
        <v>Bridgestone</v>
      </c>
      <c r="R2342" s="93" t="str">
        <f>VLOOKUP(E2342,DATABASE!C:Q,11,false)</f>
        <v>Tire</v>
      </c>
    </row>
    <row r="2343" ht="22.5" customHeight="1">
      <c r="A2343" s="49"/>
      <c r="C2343" s="384">
        <v>45777.0</v>
      </c>
      <c r="D2343" s="65">
        <v>5451.0</v>
      </c>
      <c r="E2343" s="445" t="s">
        <v>251</v>
      </c>
      <c r="F2343" s="386">
        <v>1.0</v>
      </c>
      <c r="G2343" s="74">
        <v>150000.0</v>
      </c>
      <c r="H2343" s="74">
        <v>0.0</v>
      </c>
      <c r="I2343" s="74">
        <f t="shared" si="1"/>
        <v>150000</v>
      </c>
      <c r="J2343" s="74">
        <f>IF(E2343="SERVICE",I2343-(I2343*50%),Vlookup(E2343,DATABASE!C:Q,10,false)*F2343)</f>
        <v>75000</v>
      </c>
      <c r="K2343" s="74">
        <f>VLOOKUP(E2343,DATABASE!C:Q,7,false)</f>
        <v>0</v>
      </c>
      <c r="L2343" s="74">
        <v>0.0</v>
      </c>
      <c r="M2343" s="74">
        <f t="shared" si="2"/>
        <v>0</v>
      </c>
      <c r="N2343" s="74">
        <f t="shared" si="3"/>
        <v>75000</v>
      </c>
      <c r="O2343" s="65" t="str">
        <f>VLOOKUP(E2343,DATABASE!C:Q,8,false)</f>
        <v>IBU</v>
      </c>
      <c r="P2343" s="65">
        <f>VLOOKUP(E2343,DATABASE!C:Q,9,False)</f>
        <v>0</v>
      </c>
      <c r="Q2343" s="93" t="str">
        <f>VLOOKUP(E2343,DATABASE!C:Q,4,false)</f>
        <v>SERVICE</v>
      </c>
      <c r="R2343" s="93" t="str">
        <f>VLOOKUP(E2343,DATABASE!C:Q,11,false)</f>
        <v>SERVICE</v>
      </c>
    </row>
    <row r="2344" ht="22.5" customHeight="1">
      <c r="A2344" s="49"/>
      <c r="C2344" s="384">
        <v>45777.0</v>
      </c>
      <c r="D2344" s="65">
        <v>5452.0</v>
      </c>
      <c r="E2344" s="445" t="s">
        <v>566</v>
      </c>
      <c r="F2344" s="386">
        <v>2.0</v>
      </c>
      <c r="G2344" s="74">
        <v>1670000.0</v>
      </c>
      <c r="H2344" s="74">
        <v>0.0</v>
      </c>
      <c r="I2344" s="74">
        <f t="shared" si="1"/>
        <v>3340000</v>
      </c>
      <c r="J2344" s="74">
        <f>IF(E2344="SERVICE",I2344-(I2344*50%),Vlookup(E2344,DATABASE!C:Q,10,false)*F2344)</f>
        <v>0</v>
      </c>
      <c r="K2344" s="140">
        <v>1570000.0</v>
      </c>
      <c r="L2344" s="140">
        <v>1570000.0</v>
      </c>
      <c r="M2344" s="74">
        <f t="shared" si="2"/>
        <v>1570000</v>
      </c>
      <c r="N2344" s="74">
        <f t="shared" si="3"/>
        <v>200000</v>
      </c>
      <c r="O2344" s="65" t="str">
        <f>VLOOKUP(E2344,DATABASE!C:Q,8,false)</f>
        <v>IBU</v>
      </c>
      <c r="P2344" s="65">
        <f>VLOOKUP(E2344,DATABASE!C:Q,9,False)</f>
        <v>1</v>
      </c>
      <c r="Q2344" s="93" t="str">
        <f>VLOOKUP(E2344,DATABASE!C:Q,4,false)</f>
        <v>Bridgestone</v>
      </c>
      <c r="R2344" s="93" t="str">
        <f>VLOOKUP(E2344,DATABASE!C:Q,11,false)</f>
        <v>Tire</v>
      </c>
    </row>
    <row r="2345" ht="22.5" customHeight="1">
      <c r="A2345" s="49"/>
      <c r="C2345" s="384">
        <v>45777.0</v>
      </c>
      <c r="D2345" s="65">
        <v>5452.0</v>
      </c>
      <c r="E2345" s="445" t="s">
        <v>1709</v>
      </c>
      <c r="F2345" s="386">
        <v>2.0</v>
      </c>
      <c r="G2345" s="74">
        <v>65000.0</v>
      </c>
      <c r="H2345" s="74">
        <v>0.0</v>
      </c>
      <c r="I2345" s="74">
        <f t="shared" si="1"/>
        <v>130000</v>
      </c>
      <c r="J2345" s="74">
        <f>IF(E2345="SERVICE",I2345-(I2345*50%),Vlookup(E2345,DATABASE!C:Q,10,false)*F2345)</f>
        <v>0</v>
      </c>
      <c r="K2345" s="74">
        <f>VLOOKUP(E2345,DATABASE!C:Q,7,false)</f>
        <v>45000</v>
      </c>
      <c r="L2345" s="74">
        <v>45000.0</v>
      </c>
      <c r="M2345" s="74">
        <f t="shared" si="2"/>
        <v>45000</v>
      </c>
      <c r="N2345" s="74">
        <f t="shared" si="3"/>
        <v>40000</v>
      </c>
      <c r="O2345" s="65" t="str">
        <f>VLOOKUP(E2345,DATABASE!C:Q,8,false)</f>
        <v>BIAN</v>
      </c>
      <c r="P2345" s="65">
        <f>VLOOKUP(E2345,DATABASE!C:Q,9,False)</f>
        <v>1</v>
      </c>
      <c r="Q2345" s="93" t="str">
        <f>VLOOKUP(E2345,DATABASE!C:Q,4,false)</f>
        <v>Flap</v>
      </c>
      <c r="R2345" s="93" t="str">
        <f>VLOOKUP(E2345,DATABASE!C:Q,11,false)</f>
        <v>Tire</v>
      </c>
    </row>
    <row r="2346" ht="22.5" customHeight="1">
      <c r="A2346" s="49"/>
      <c r="C2346" s="384">
        <v>45777.0</v>
      </c>
      <c r="D2346" s="65">
        <v>5453.0</v>
      </c>
      <c r="E2346" s="445" t="s">
        <v>262</v>
      </c>
      <c r="F2346" s="386">
        <v>1.0</v>
      </c>
      <c r="G2346" s="74">
        <v>110000.0</v>
      </c>
      <c r="H2346" s="74">
        <v>0.0</v>
      </c>
      <c r="I2346" s="74">
        <f t="shared" si="1"/>
        <v>110000</v>
      </c>
      <c r="J2346" s="74">
        <f>IF(E2346="SERVICE",I2346-(I2346*50%),Vlookup(E2346,DATABASE!C:Q,10,false)*F2346)</f>
        <v>5000</v>
      </c>
      <c r="K2346" s="74">
        <f>VLOOKUP(E2346,DATABASE!C:Q,7,false)</f>
        <v>0</v>
      </c>
      <c r="L2346" s="74">
        <v>0.0</v>
      </c>
      <c r="M2346" s="74">
        <f t="shared" si="2"/>
        <v>0</v>
      </c>
      <c r="N2346" s="74">
        <f t="shared" si="3"/>
        <v>105000</v>
      </c>
      <c r="O2346" s="65" t="str">
        <f>VLOOKUP(E2346,DATABASE!C:Q,8,false)</f>
        <v>IBU</v>
      </c>
      <c r="P2346" s="65">
        <f>VLOOKUP(E2346,DATABASE!C:Q,9,False)</f>
        <v>0</v>
      </c>
      <c r="Q2346" s="93" t="str">
        <f>VLOOKUP(E2346,DATABASE!C:Q,4,false)</f>
        <v>SPOORING SS/CARRY LOS BAK</v>
      </c>
      <c r="R2346" s="93" t="str">
        <f>VLOOKUP(E2346,DATABASE!C:Q,11,false)</f>
        <v>SERVICE</v>
      </c>
    </row>
    <row r="2347" ht="22.5" customHeight="1">
      <c r="A2347" s="49"/>
      <c r="C2347" s="384">
        <v>45777.0</v>
      </c>
      <c r="D2347" s="65">
        <v>5453.0</v>
      </c>
      <c r="E2347" s="445" t="s">
        <v>478</v>
      </c>
      <c r="F2347" s="386">
        <v>1.0</v>
      </c>
      <c r="G2347" s="74">
        <v>200000.0</v>
      </c>
      <c r="H2347" s="74">
        <v>0.0</v>
      </c>
      <c r="I2347" s="74">
        <f t="shared" si="1"/>
        <v>200000</v>
      </c>
      <c r="J2347" s="74">
        <f>IF(E2347="SERVICE",I2347-(I2347*50%),Vlookup(E2347,DATABASE!C:Q,10,false)*F2347)</f>
        <v>25000</v>
      </c>
      <c r="K2347" s="74">
        <f>VLOOKUP(E2347,DATABASE!C:Q,7,false)</f>
        <v>75000</v>
      </c>
      <c r="L2347" s="74">
        <v>75000.0</v>
      </c>
      <c r="M2347" s="74">
        <f t="shared" si="2"/>
        <v>75000</v>
      </c>
      <c r="N2347" s="74">
        <f t="shared" si="3"/>
        <v>100000</v>
      </c>
      <c r="O2347" s="65" t="str">
        <f>VLOOKUP(E2347,DATABASE!C:Q,8,false)</f>
        <v>BIAN</v>
      </c>
      <c r="P2347" s="65">
        <f>VLOOKUP(E2347,DATABASE!C:Q,9,False)</f>
        <v>0</v>
      </c>
      <c r="Q2347" s="93" t="str">
        <f>VLOOKUP(E2347,DATABASE!C:Q,4,false)</f>
        <v>Baut Camber ss-carry</v>
      </c>
      <c r="R2347" s="93" t="str">
        <f>VLOOKUP(E2347,DATABASE!C:Q,11,false)</f>
        <v>COMPLEMENTARY</v>
      </c>
    </row>
    <row r="2348" ht="22.5" customHeight="1">
      <c r="A2348" s="49"/>
      <c r="C2348" s="384">
        <v>45777.0</v>
      </c>
      <c r="D2348" s="65">
        <v>5454.0</v>
      </c>
      <c r="E2348" s="445" t="s">
        <v>271</v>
      </c>
      <c r="F2348" s="386">
        <v>1.0</v>
      </c>
      <c r="G2348" s="74">
        <v>620000.0</v>
      </c>
      <c r="H2348" s="74">
        <v>0.0</v>
      </c>
      <c r="I2348" s="74">
        <f t="shared" si="1"/>
        <v>620000</v>
      </c>
      <c r="J2348" s="74">
        <f>IF(E2348="SERVICE",I2348-(I2348*50%),Vlookup(E2348,DATABASE!C:Q,10,false)*F2348)</f>
        <v>0</v>
      </c>
      <c r="K2348" s="74">
        <f>VLOOKUP(E2348,DATABASE!C:Q,7,false)</f>
        <v>570000</v>
      </c>
      <c r="L2348" s="74">
        <v>539000.0</v>
      </c>
      <c r="M2348" s="74">
        <f t="shared" si="2"/>
        <v>540000</v>
      </c>
      <c r="N2348" s="74">
        <f t="shared" si="3"/>
        <v>80000</v>
      </c>
      <c r="O2348" s="65" t="str">
        <f>VLOOKUP(E2348,DATABASE!C:Q,8,false)</f>
        <v>IBU</v>
      </c>
      <c r="P2348" s="65">
        <f>VLOOKUP(E2348,DATABASE!C:Q,9,False)</f>
        <v>1</v>
      </c>
      <c r="Q2348" s="93" t="str">
        <f>VLOOKUP(E2348,DATABASE!C:Q,4,false)</f>
        <v>Dunlop</v>
      </c>
      <c r="R2348" s="93" t="str">
        <f>VLOOKUP(E2348,DATABASE!C:Q,11,false)</f>
        <v>Tire</v>
      </c>
    </row>
    <row r="2349" ht="22.5" customHeight="1">
      <c r="A2349" s="49"/>
      <c r="C2349" s="384">
        <v>45777.0</v>
      </c>
      <c r="D2349" s="65">
        <v>5454.0</v>
      </c>
      <c r="E2349" s="385" t="s">
        <v>299</v>
      </c>
      <c r="F2349" s="386">
        <v>1.0</v>
      </c>
      <c r="G2349" s="74">
        <v>30000.0</v>
      </c>
      <c r="H2349" s="74">
        <v>0.0</v>
      </c>
      <c r="I2349" s="74">
        <f t="shared" si="1"/>
        <v>30000</v>
      </c>
      <c r="J2349" s="74">
        <f>IF(E2349="SERVICE",I2349-(I2349*50%),Vlookup(E2349,DATABASE!C:Q,10,false)*F2349)</f>
        <v>0</v>
      </c>
      <c r="K2349" s="74">
        <v>0.0</v>
      </c>
      <c r="L2349" s="74">
        <v>0.0</v>
      </c>
      <c r="M2349" s="74">
        <f t="shared" si="2"/>
        <v>0</v>
      </c>
      <c r="N2349" s="74">
        <f t="shared" si="3"/>
        <v>30000</v>
      </c>
      <c r="O2349" s="65" t="str">
        <f>VLOOKUP(E2349,DATABASE!C:Q,8,false)</f>
        <v>BIAN</v>
      </c>
      <c r="P2349" s="65">
        <f>VLOOKUP(E2349,DATABASE!C:Q,9,False)</f>
        <v>0</v>
      </c>
      <c r="Q2349" s="93" t="str">
        <f>VLOOKUP(E2349,DATABASE!C:Q,4,false)</f>
        <v>Balancing</v>
      </c>
      <c r="R2349" s="93" t="str">
        <f>VLOOKUP(E2349,DATABASE!C:Q,11,false)</f>
        <v>COMPLEMENTARY</v>
      </c>
    </row>
    <row r="2350" ht="22.5" customHeight="1">
      <c r="A2350" s="49"/>
      <c r="C2350" s="384">
        <v>45777.0</v>
      </c>
      <c r="D2350" s="65">
        <v>5455.0</v>
      </c>
      <c r="E2350" s="445" t="s">
        <v>868</v>
      </c>
      <c r="F2350" s="386">
        <v>2.0</v>
      </c>
      <c r="G2350" s="74">
        <v>950000.0</v>
      </c>
      <c r="H2350" s="74">
        <v>0.0</v>
      </c>
      <c r="I2350" s="74">
        <f t="shared" si="1"/>
        <v>1900000</v>
      </c>
      <c r="J2350" s="74">
        <f>IF(E2350="SERVICE",I2350-(I2350*50%),Vlookup(E2350,DATABASE!C:Q,10,false)*F2350)</f>
        <v>0</v>
      </c>
      <c r="K2350" s="74">
        <f>VLOOKUP(E2350,DATABASE!C:Q,7,false)</f>
        <v>861200</v>
      </c>
      <c r="L2350" s="74">
        <v>836000.0</v>
      </c>
      <c r="M2350" s="74">
        <f t="shared" si="2"/>
        <v>840000</v>
      </c>
      <c r="N2350" s="74">
        <f t="shared" si="3"/>
        <v>220000</v>
      </c>
      <c r="O2350" s="65" t="str">
        <f>VLOOKUP(E2350,DATABASE!C:Q,8,false)</f>
        <v>BIAN</v>
      </c>
      <c r="P2350" s="65">
        <f>VLOOKUP(E2350,DATABASE!C:Q,9,False)</f>
        <v>1</v>
      </c>
      <c r="Q2350" s="93" t="str">
        <f>VLOOKUP(E2350,DATABASE!C:Q,4,false)</f>
        <v>GT</v>
      </c>
      <c r="R2350" s="93" t="str">
        <f>VLOOKUP(E2350,DATABASE!C:Q,11,false)</f>
        <v>Tire</v>
      </c>
    </row>
    <row r="2351" ht="22.5" customHeight="1">
      <c r="A2351" s="49"/>
      <c r="C2351" s="384">
        <v>45777.0</v>
      </c>
      <c r="D2351" s="65">
        <v>5456.0</v>
      </c>
      <c r="E2351" s="445" t="s">
        <v>839</v>
      </c>
      <c r="F2351" s="386">
        <v>4.0</v>
      </c>
      <c r="G2351" s="74">
        <v>565000.0</v>
      </c>
      <c r="H2351" s="74">
        <v>0.0</v>
      </c>
      <c r="I2351" s="74">
        <f t="shared" si="1"/>
        <v>2260000</v>
      </c>
      <c r="J2351" s="74">
        <f>IF(E2351="SERVICE",I2351-(I2351*50%),Vlookup(E2351,DATABASE!C:Q,10,false)*F2351)</f>
        <v>0</v>
      </c>
      <c r="K2351" s="74">
        <f>VLOOKUP(E2351,DATABASE!C:Q,7,false)</f>
        <v>512640</v>
      </c>
      <c r="L2351" s="74">
        <v>475700.0</v>
      </c>
      <c r="M2351" s="74">
        <f t="shared" si="2"/>
        <v>480000</v>
      </c>
      <c r="N2351" s="74">
        <f t="shared" si="3"/>
        <v>340000</v>
      </c>
      <c r="O2351" s="65" t="str">
        <f>VLOOKUP(E2351,DATABASE!C:Q,8,false)</f>
        <v>BIAN</v>
      </c>
      <c r="P2351" s="65">
        <f>VLOOKUP(E2351,DATABASE!C:Q,9,False)</f>
        <v>1</v>
      </c>
      <c r="Q2351" s="93" t="str">
        <f>VLOOKUP(E2351,DATABASE!C:Q,4,false)</f>
        <v>GT</v>
      </c>
      <c r="R2351" s="93" t="str">
        <f>VLOOKUP(E2351,DATABASE!C:Q,11,false)</f>
        <v>Tire</v>
      </c>
    </row>
    <row r="2352" ht="22.5" customHeight="1">
      <c r="A2352" s="49"/>
      <c r="C2352" s="384">
        <v>45777.0</v>
      </c>
      <c r="D2352" s="65">
        <v>5456.0</v>
      </c>
      <c r="E2352" s="385" t="s">
        <v>299</v>
      </c>
      <c r="F2352" s="386">
        <v>2.0</v>
      </c>
      <c r="G2352" s="74">
        <v>30000.0</v>
      </c>
      <c r="H2352" s="74">
        <v>0.0</v>
      </c>
      <c r="I2352" s="74">
        <f t="shared" si="1"/>
        <v>60000</v>
      </c>
      <c r="J2352" s="74">
        <f>IF(E2352="SERVICE",I2352-(I2352*50%),Vlookup(E2352,DATABASE!C:Q,10,false)*F2352)</f>
        <v>0</v>
      </c>
      <c r="K2352" s="74">
        <v>0.0</v>
      </c>
      <c r="L2352" s="74">
        <v>0.0</v>
      </c>
      <c r="M2352" s="74">
        <f t="shared" si="2"/>
        <v>0</v>
      </c>
      <c r="N2352" s="74">
        <f t="shared" si="3"/>
        <v>60000</v>
      </c>
      <c r="O2352" s="65" t="str">
        <f>VLOOKUP(E2352,DATABASE!C:Q,8,false)</f>
        <v>BIAN</v>
      </c>
      <c r="P2352" s="65">
        <f>VLOOKUP(E2352,DATABASE!C:Q,9,False)</f>
        <v>0</v>
      </c>
      <c r="Q2352" s="93" t="str">
        <f>VLOOKUP(E2352,DATABASE!C:Q,4,false)</f>
        <v>Balancing</v>
      </c>
      <c r="R2352" s="93" t="str">
        <f>VLOOKUP(E2352,DATABASE!C:Q,11,false)</f>
        <v>COMPLEMENTARY</v>
      </c>
    </row>
    <row r="2353" ht="22.5" customHeight="1">
      <c r="A2353" s="49"/>
      <c r="C2353" s="384">
        <v>45777.0</v>
      </c>
      <c r="D2353" s="65">
        <v>5456.0</v>
      </c>
      <c r="E2353" s="445" t="s">
        <v>256</v>
      </c>
      <c r="F2353" s="386">
        <v>1.0</v>
      </c>
      <c r="G2353" s="74">
        <v>130000.0</v>
      </c>
      <c r="H2353" s="74">
        <v>0.0</v>
      </c>
      <c r="I2353" s="74">
        <f t="shared" si="1"/>
        <v>130000</v>
      </c>
      <c r="J2353" s="74">
        <f>IF(E2353="SERVICE",I2353-(I2353*50%),Vlookup(E2353,DATABASE!C:Q,10,false)*F2353)</f>
        <v>10000</v>
      </c>
      <c r="K2353" s="74">
        <f>VLOOKUP(E2353,DATABASE!C:Q,7,false)</f>
        <v>0</v>
      </c>
      <c r="L2353" s="74">
        <v>0.0</v>
      </c>
      <c r="M2353" s="74">
        <f t="shared" si="2"/>
        <v>0</v>
      </c>
      <c r="N2353" s="74">
        <f t="shared" si="3"/>
        <v>120000</v>
      </c>
      <c r="O2353" s="65" t="str">
        <f>VLOOKUP(E2353,DATABASE!C:Q,8,false)</f>
        <v>IBU</v>
      </c>
      <c r="P2353" s="65">
        <f>VLOOKUP(E2353,DATABASE!C:Q,9,False)</f>
        <v>0</v>
      </c>
      <c r="Q2353" s="93" t="str">
        <f>VLOOKUP(E2353,DATABASE!C:Q,4,false)</f>
        <v>SPOORING</v>
      </c>
      <c r="R2353" s="93" t="str">
        <f>VLOOKUP(E2353,DATABASE!C:Q,11,false)</f>
        <v>SERVICE</v>
      </c>
    </row>
    <row r="2354" ht="22.5" customHeight="1">
      <c r="A2354" s="49"/>
      <c r="C2354" s="384">
        <v>45777.0</v>
      </c>
      <c r="D2354" s="65">
        <v>5456.0</v>
      </c>
      <c r="E2354" s="445" t="s">
        <v>251</v>
      </c>
      <c r="F2354" s="386">
        <v>1.0</v>
      </c>
      <c r="G2354" s="74">
        <v>150000.0</v>
      </c>
      <c r="H2354" s="74">
        <v>0.0</v>
      </c>
      <c r="I2354" s="74">
        <f t="shared" si="1"/>
        <v>150000</v>
      </c>
      <c r="J2354" s="74">
        <f>IF(E2354="SERVICE",I2354-(I2354*50%),Vlookup(E2354,DATABASE!C:Q,10,false)*F2354)</f>
        <v>75000</v>
      </c>
      <c r="K2354" s="74">
        <f>VLOOKUP(E2354,DATABASE!C:Q,7,false)</f>
        <v>0</v>
      </c>
      <c r="L2354" s="74">
        <v>0.0</v>
      </c>
      <c r="M2354" s="74">
        <f t="shared" si="2"/>
        <v>0</v>
      </c>
      <c r="N2354" s="74">
        <f t="shared" si="3"/>
        <v>75000</v>
      </c>
      <c r="O2354" s="65" t="str">
        <f>VLOOKUP(E2354,DATABASE!C:Q,8,false)</f>
        <v>IBU</v>
      </c>
      <c r="P2354" s="65">
        <f>VLOOKUP(E2354,DATABASE!C:Q,9,False)</f>
        <v>0</v>
      </c>
      <c r="Q2354" s="93" t="str">
        <f>VLOOKUP(E2354,DATABASE!C:Q,4,false)</f>
        <v>SERVICE</v>
      </c>
      <c r="R2354" s="93" t="str">
        <f>VLOOKUP(E2354,DATABASE!C:Q,11,false)</f>
        <v>SERVICE</v>
      </c>
    </row>
    <row r="2355" ht="22.5" customHeight="1">
      <c r="A2355" s="49"/>
      <c r="C2355" s="384">
        <v>45777.0</v>
      </c>
      <c r="D2355" s="65">
        <v>5457.0</v>
      </c>
      <c r="E2355" s="445" t="s">
        <v>256</v>
      </c>
      <c r="F2355" s="386">
        <v>1.0</v>
      </c>
      <c r="G2355" s="74">
        <v>130000.0</v>
      </c>
      <c r="H2355" s="74">
        <v>0.0</v>
      </c>
      <c r="I2355" s="74">
        <f t="shared" si="1"/>
        <v>130000</v>
      </c>
      <c r="J2355" s="74">
        <f>IF(E2355="SERVICE",I2355-(I2355*50%),Vlookup(E2355,DATABASE!C:Q,10,false)*F2355)</f>
        <v>10000</v>
      </c>
      <c r="K2355" s="74">
        <f>VLOOKUP(E2355,DATABASE!C:Q,7,false)</f>
        <v>0</v>
      </c>
      <c r="L2355" s="74">
        <v>0.0</v>
      </c>
      <c r="M2355" s="74">
        <f t="shared" si="2"/>
        <v>0</v>
      </c>
      <c r="N2355" s="74">
        <f t="shared" si="3"/>
        <v>120000</v>
      </c>
      <c r="O2355" s="65" t="str">
        <f>VLOOKUP(E2355,DATABASE!C:Q,8,false)</f>
        <v>IBU</v>
      </c>
      <c r="P2355" s="65">
        <f>VLOOKUP(E2355,DATABASE!C:Q,9,False)</f>
        <v>0</v>
      </c>
      <c r="Q2355" s="93" t="str">
        <f>VLOOKUP(E2355,DATABASE!C:Q,4,false)</f>
        <v>SPOORING</v>
      </c>
      <c r="R2355" s="93" t="str">
        <f>VLOOKUP(E2355,DATABASE!C:Q,11,false)</f>
        <v>SERVICE</v>
      </c>
    </row>
    <row r="2356" ht="22.5" customHeight="1">
      <c r="A2356" s="49"/>
      <c r="C2356" s="384">
        <v>45777.0</v>
      </c>
      <c r="D2356" s="65">
        <v>5457.0</v>
      </c>
      <c r="E2356" s="445" t="s">
        <v>251</v>
      </c>
      <c r="F2356" s="386">
        <v>1.0</v>
      </c>
      <c r="G2356" s="74">
        <v>150000.0</v>
      </c>
      <c r="H2356" s="74">
        <v>0.0</v>
      </c>
      <c r="I2356" s="74">
        <f t="shared" si="1"/>
        <v>150000</v>
      </c>
      <c r="J2356" s="74">
        <f>IF(E2356="SERVICE",I2356-(I2356*50%),Vlookup(E2356,DATABASE!C:Q,10,false)*F2356)</f>
        <v>75000</v>
      </c>
      <c r="K2356" s="74">
        <f>VLOOKUP(E2356,DATABASE!C:Q,7,false)</f>
        <v>0</v>
      </c>
      <c r="L2356" s="74">
        <v>0.0</v>
      </c>
      <c r="M2356" s="74">
        <f t="shared" si="2"/>
        <v>0</v>
      </c>
      <c r="N2356" s="74">
        <f t="shared" si="3"/>
        <v>75000</v>
      </c>
      <c r="O2356" s="65" t="str">
        <f>VLOOKUP(E2356,DATABASE!C:Q,8,false)</f>
        <v>IBU</v>
      </c>
      <c r="P2356" s="65">
        <f>VLOOKUP(E2356,DATABASE!C:Q,9,False)</f>
        <v>0</v>
      </c>
      <c r="Q2356" s="93" t="str">
        <f>VLOOKUP(E2356,DATABASE!C:Q,4,false)</f>
        <v>SERVICE</v>
      </c>
      <c r="R2356" s="93" t="str">
        <f>VLOOKUP(E2356,DATABASE!C:Q,11,false)</f>
        <v>SERVICE</v>
      </c>
    </row>
    <row r="2357" ht="22.5" customHeight="1">
      <c r="A2357" s="49"/>
      <c r="C2357" s="384">
        <v>45777.0</v>
      </c>
      <c r="D2357" s="65">
        <v>5458.0</v>
      </c>
      <c r="E2357" s="445" t="s">
        <v>2019</v>
      </c>
      <c r="F2357" s="386">
        <v>4.0</v>
      </c>
      <c r="G2357" s="74">
        <v>685000.0</v>
      </c>
      <c r="H2357" s="74">
        <v>0.0</v>
      </c>
      <c r="I2357" s="74">
        <f t="shared" si="1"/>
        <v>2740000</v>
      </c>
      <c r="J2357" s="74">
        <f>IF(E2357="SERVICE",I2357-(I2357*50%),Vlookup(E2357,DATABASE!C:Q,10,false)*F2357)</f>
        <v>0</v>
      </c>
      <c r="K2357" s="74">
        <f>VLOOKUP(E2357,DATABASE!C:Q,7,false)</f>
        <v>620000</v>
      </c>
      <c r="L2357" s="74">
        <v>585000.0</v>
      </c>
      <c r="M2357" s="74">
        <f t="shared" si="2"/>
        <v>585000</v>
      </c>
      <c r="N2357" s="74">
        <f t="shared" si="3"/>
        <v>400000</v>
      </c>
      <c r="O2357" s="65" t="str">
        <f>VLOOKUP(E2357,DATABASE!C:Q,8,false)</f>
        <v>BIAN</v>
      </c>
      <c r="P2357" s="65">
        <f>VLOOKUP(E2357,DATABASE!C:Q,9,False)</f>
        <v>1</v>
      </c>
      <c r="Q2357" s="93" t="str">
        <f>VLOOKUP(E2357,DATABASE!C:Q,4,false)</f>
        <v>GT</v>
      </c>
      <c r="R2357" s="93" t="str">
        <f>VLOOKUP(E2357,DATABASE!C:Q,11,false)</f>
        <v>Tire</v>
      </c>
    </row>
    <row r="2358" ht="22.5" customHeight="1">
      <c r="A2358" s="49"/>
      <c r="C2358" s="384">
        <v>45777.0</v>
      </c>
      <c r="D2358" s="65">
        <v>5459.0</v>
      </c>
      <c r="E2358" s="445" t="s">
        <v>706</v>
      </c>
      <c r="F2358" s="386">
        <v>2.0</v>
      </c>
      <c r="G2358" s="74">
        <v>570000.0</v>
      </c>
      <c r="H2358" s="74">
        <v>0.0</v>
      </c>
      <c r="I2358" s="74">
        <f t="shared" si="1"/>
        <v>1140000</v>
      </c>
      <c r="J2358" s="74">
        <f>IF(E2358="SERVICE",I2358-(I2358*50%),Vlookup(E2358,DATABASE!C:Q,10,false)*F2358)</f>
        <v>0</v>
      </c>
      <c r="K2358" s="74">
        <f>VLOOKUP(E2358,DATABASE!C:Q,7,false)</f>
        <v>485000</v>
      </c>
      <c r="L2358" s="74">
        <v>485000.0</v>
      </c>
      <c r="M2358" s="74">
        <f t="shared" si="2"/>
        <v>485000</v>
      </c>
      <c r="N2358" s="74">
        <f t="shared" si="3"/>
        <v>170000</v>
      </c>
      <c r="O2358" s="65" t="str">
        <f>VLOOKUP(E2358,DATABASE!C:Q,8,false)</f>
        <v>IBU</v>
      </c>
      <c r="P2358" s="65">
        <f>VLOOKUP(E2358,DATABASE!C:Q,9,False)</f>
        <v>1</v>
      </c>
      <c r="Q2358" s="93" t="str">
        <f>VLOOKUP(E2358,DATABASE!C:Q,4,false)</f>
        <v>Dunlop</v>
      </c>
      <c r="R2358" s="93" t="str">
        <f>VLOOKUP(E2358,DATABASE!C:Q,11,false)</f>
        <v>Tire</v>
      </c>
    </row>
    <row r="2359" ht="22.5" customHeight="1">
      <c r="A2359" s="49"/>
      <c r="C2359" s="384">
        <v>45777.0</v>
      </c>
      <c r="D2359" s="65">
        <v>5460.0</v>
      </c>
      <c r="E2359" s="445" t="s">
        <v>256</v>
      </c>
      <c r="F2359" s="386">
        <v>1.0</v>
      </c>
      <c r="G2359" s="74">
        <v>130000.0</v>
      </c>
      <c r="H2359" s="74">
        <v>0.0</v>
      </c>
      <c r="I2359" s="74">
        <f t="shared" si="1"/>
        <v>130000</v>
      </c>
      <c r="J2359" s="74">
        <f>IF(E2359="SERVICE",I2359-(I2359*50%),Vlookup(E2359,DATABASE!C:Q,10,false)*F2359)</f>
        <v>10000</v>
      </c>
      <c r="K2359" s="74">
        <f>VLOOKUP(E2359,DATABASE!C:Q,7,false)</f>
        <v>0</v>
      </c>
      <c r="L2359" s="74">
        <v>0.0</v>
      </c>
      <c r="M2359" s="74">
        <f t="shared" si="2"/>
        <v>0</v>
      </c>
      <c r="N2359" s="74">
        <f t="shared" si="3"/>
        <v>120000</v>
      </c>
      <c r="O2359" s="65" t="str">
        <f>VLOOKUP(E2359,DATABASE!C:Q,8,false)</f>
        <v>IBU</v>
      </c>
      <c r="P2359" s="65">
        <f>VLOOKUP(E2359,DATABASE!C:Q,9,False)</f>
        <v>0</v>
      </c>
      <c r="Q2359" s="93" t="str">
        <f>VLOOKUP(E2359,DATABASE!C:Q,4,false)</f>
        <v>SPOORING</v>
      </c>
      <c r="R2359" s="93" t="str">
        <f>VLOOKUP(E2359,DATABASE!C:Q,11,false)</f>
        <v>SERVICE</v>
      </c>
    </row>
    <row r="2360" ht="22.5" customHeight="1">
      <c r="A2360" s="49"/>
      <c r="C2360" s="384">
        <v>45777.0</v>
      </c>
      <c r="D2360" s="65">
        <v>5460.0</v>
      </c>
      <c r="E2360" s="385" t="s">
        <v>299</v>
      </c>
      <c r="F2360" s="386">
        <v>2.0</v>
      </c>
      <c r="G2360" s="74">
        <v>30000.0</v>
      </c>
      <c r="H2360" s="74">
        <v>0.0</v>
      </c>
      <c r="I2360" s="74">
        <f t="shared" si="1"/>
        <v>60000</v>
      </c>
      <c r="J2360" s="74">
        <f>IF(E2360="SERVICE",I2360-(I2360*50%),Vlookup(E2360,DATABASE!C:Q,10,false)*F2360)</f>
        <v>0</v>
      </c>
      <c r="K2360" s="74">
        <v>0.0</v>
      </c>
      <c r="L2360" s="74">
        <v>0.0</v>
      </c>
      <c r="M2360" s="74">
        <f t="shared" si="2"/>
        <v>0</v>
      </c>
      <c r="N2360" s="74">
        <f t="shared" si="3"/>
        <v>60000</v>
      </c>
      <c r="O2360" s="65" t="str">
        <f>VLOOKUP(E2360,DATABASE!C:Q,8,false)</f>
        <v>BIAN</v>
      </c>
      <c r="P2360" s="65">
        <f>VLOOKUP(E2360,DATABASE!C:Q,9,False)</f>
        <v>0</v>
      </c>
      <c r="Q2360" s="93" t="str">
        <f>VLOOKUP(E2360,DATABASE!C:Q,4,false)</f>
        <v>Balancing</v>
      </c>
      <c r="R2360" s="93" t="str">
        <f>VLOOKUP(E2360,DATABASE!C:Q,11,false)</f>
        <v>COMPLEMENTARY</v>
      </c>
    </row>
    <row r="2361" ht="22.5" customHeight="1">
      <c r="A2361" s="49"/>
      <c r="C2361" s="384">
        <v>45777.0</v>
      </c>
      <c r="D2361" s="65">
        <v>5461.0</v>
      </c>
      <c r="E2361" s="445" t="s">
        <v>839</v>
      </c>
      <c r="F2361" s="386">
        <v>2.0</v>
      </c>
      <c r="G2361" s="74">
        <v>565000.0</v>
      </c>
      <c r="H2361" s="74">
        <v>0.0</v>
      </c>
      <c r="I2361" s="74">
        <f t="shared" si="1"/>
        <v>1130000</v>
      </c>
      <c r="J2361" s="74">
        <f>IF(E2361="SERVICE",I2361-(I2361*50%),Vlookup(E2361,DATABASE!C:Q,10,false)*F2361)</f>
        <v>0</v>
      </c>
      <c r="K2361" s="74">
        <f>VLOOKUP(E2361,DATABASE!C:Q,7,false)</f>
        <v>512640</v>
      </c>
      <c r="L2361" s="74">
        <v>475700.0</v>
      </c>
      <c r="M2361" s="74">
        <f t="shared" si="2"/>
        <v>480000</v>
      </c>
      <c r="N2361" s="74">
        <f t="shared" si="3"/>
        <v>170000</v>
      </c>
      <c r="O2361" s="65" t="str">
        <f>VLOOKUP(E2361,DATABASE!C:Q,8,false)</f>
        <v>BIAN</v>
      </c>
      <c r="P2361" s="65">
        <f>VLOOKUP(E2361,DATABASE!C:Q,9,False)</f>
        <v>1</v>
      </c>
      <c r="Q2361" s="93" t="str">
        <f>VLOOKUP(E2361,DATABASE!C:Q,4,false)</f>
        <v>GT</v>
      </c>
      <c r="R2361" s="93" t="str">
        <f>VLOOKUP(E2361,DATABASE!C:Q,11,false)</f>
        <v>Tire</v>
      </c>
    </row>
    <row r="2362" ht="22.5" customHeight="1">
      <c r="A2362" s="49"/>
      <c r="C2362" s="384">
        <v>45777.0</v>
      </c>
      <c r="D2362" s="65">
        <v>5462.0</v>
      </c>
      <c r="E2362" s="445" t="s">
        <v>932</v>
      </c>
      <c r="F2362" s="386">
        <v>2.0</v>
      </c>
      <c r="G2362" s="74">
        <v>670000.0</v>
      </c>
      <c r="H2362" s="74">
        <v>0.0</v>
      </c>
      <c r="I2362" s="74">
        <f t="shared" si="1"/>
        <v>1340000</v>
      </c>
      <c r="J2362" s="74">
        <f>IF(E2362="SERVICE",I2362-(I2362*50%),Vlookup(E2362,DATABASE!C:Q,10,false)*F2362)</f>
        <v>0</v>
      </c>
      <c r="K2362" s="74">
        <v>575000.0</v>
      </c>
      <c r="L2362" s="74">
        <v>575000.0</v>
      </c>
      <c r="M2362" s="74">
        <f t="shared" si="2"/>
        <v>575000</v>
      </c>
      <c r="N2362" s="74">
        <f t="shared" si="3"/>
        <v>190000</v>
      </c>
      <c r="O2362" s="65" t="str">
        <f>VLOOKUP(E2362,DATABASE!C:Q,8,false)</f>
        <v>IBU</v>
      </c>
      <c r="P2362" s="65">
        <f>VLOOKUP(E2362,DATABASE!C:Q,9,False)</f>
        <v>1</v>
      </c>
      <c r="Q2362" s="93" t="str">
        <f>VLOOKUP(E2362,DATABASE!C:Q,4,false)</f>
        <v>Dunlop</v>
      </c>
      <c r="R2362" s="93" t="str">
        <f>VLOOKUP(E2362,DATABASE!C:Q,11,false)</f>
        <v>Tire</v>
      </c>
    </row>
    <row r="2363" ht="22.5" customHeight="1">
      <c r="A2363" s="49"/>
      <c r="C2363" s="384">
        <v>45777.0</v>
      </c>
      <c r="D2363" s="65">
        <v>5463.0</v>
      </c>
      <c r="E2363" s="445" t="s">
        <v>937</v>
      </c>
      <c r="F2363" s="386">
        <v>1.0</v>
      </c>
      <c r="G2363" s="74">
        <v>900000.0</v>
      </c>
      <c r="H2363" s="74">
        <v>0.0</v>
      </c>
      <c r="I2363" s="74">
        <f t="shared" si="1"/>
        <v>900000</v>
      </c>
      <c r="J2363" s="74">
        <f>IF(E2363="SERVICE",I2363-(I2363*50%),Vlookup(E2363,DATABASE!C:Q,10,false)*F2363)</f>
        <v>0</v>
      </c>
      <c r="K2363" s="74">
        <f>VLOOKUP(E2363,DATABASE!C:Q,7,false)</f>
        <v>825000</v>
      </c>
      <c r="L2363" s="74">
        <v>790000.0</v>
      </c>
      <c r="M2363" s="74">
        <f t="shared" si="2"/>
        <v>790000</v>
      </c>
      <c r="N2363" s="74">
        <f t="shared" si="3"/>
        <v>110000</v>
      </c>
      <c r="O2363" s="65" t="str">
        <f>VLOOKUP(E2363,DATABASE!C:Q,8,false)</f>
        <v>IBU</v>
      </c>
      <c r="P2363" s="65">
        <f>VLOOKUP(E2363,DATABASE!C:Q,9,False)</f>
        <v>1</v>
      </c>
      <c r="Q2363" s="93" t="str">
        <f>VLOOKUP(E2363,DATABASE!C:Q,4,false)</f>
        <v>Bridgestone</v>
      </c>
      <c r="R2363" s="93" t="str">
        <f>VLOOKUP(E2363,DATABASE!C:Q,11,false)</f>
        <v>Tire</v>
      </c>
    </row>
    <row r="2364" ht="22.5" customHeight="1">
      <c r="A2364" s="49"/>
      <c r="C2364" s="384">
        <v>45777.0</v>
      </c>
      <c r="D2364" s="65">
        <v>5464.0</v>
      </c>
      <c r="E2364" s="445" t="s">
        <v>937</v>
      </c>
      <c r="F2364" s="386">
        <v>2.0</v>
      </c>
      <c r="G2364" s="74">
        <v>900000.0</v>
      </c>
      <c r="H2364" s="74">
        <v>0.0</v>
      </c>
      <c r="I2364" s="74">
        <f t="shared" si="1"/>
        <v>1800000</v>
      </c>
      <c r="J2364" s="74">
        <f>IF(E2364="SERVICE",I2364-(I2364*50%),Vlookup(E2364,DATABASE!C:Q,10,false)*F2364)</f>
        <v>0</v>
      </c>
      <c r="K2364" s="74">
        <f>VLOOKUP(E2364,DATABASE!C:Q,7,false)</f>
        <v>825000</v>
      </c>
      <c r="L2364" s="74">
        <v>790000.0</v>
      </c>
      <c r="M2364" s="74">
        <f t="shared" si="2"/>
        <v>790000</v>
      </c>
      <c r="N2364" s="74">
        <f t="shared" si="3"/>
        <v>220000</v>
      </c>
      <c r="O2364" s="65" t="str">
        <f>VLOOKUP(E2364,DATABASE!C:Q,8,false)</f>
        <v>IBU</v>
      </c>
      <c r="P2364" s="65">
        <f>VLOOKUP(E2364,DATABASE!C:Q,9,False)</f>
        <v>1</v>
      </c>
      <c r="Q2364" s="93" t="str">
        <f>VLOOKUP(E2364,DATABASE!C:Q,4,false)</f>
        <v>Bridgestone</v>
      </c>
      <c r="R2364" s="93" t="str">
        <f>VLOOKUP(E2364,DATABASE!C:Q,11,false)</f>
        <v>Tire</v>
      </c>
    </row>
    <row r="2365" ht="22.5" customHeight="1">
      <c r="A2365" s="49"/>
      <c r="C2365" s="384">
        <v>45778.0</v>
      </c>
      <c r="D2365" s="65">
        <v>5466.0</v>
      </c>
      <c r="E2365" s="445" t="s">
        <v>569</v>
      </c>
      <c r="F2365" s="386">
        <v>1.0</v>
      </c>
      <c r="G2365" s="74">
        <v>80000.0</v>
      </c>
      <c r="H2365" s="74">
        <v>0.0</v>
      </c>
      <c r="I2365" s="74">
        <f t="shared" si="1"/>
        <v>80000</v>
      </c>
      <c r="J2365" s="74">
        <f>IF(E2365="SERVICE",I2365-(I2365*50%),Vlookup(E2365,DATABASE!C:Q,10,false)*F2365)</f>
        <v>0</v>
      </c>
      <c r="K2365" s="74">
        <f>VLOOKUP(E2365,DATABASE!C:Q,7,false)</f>
        <v>45439.582</v>
      </c>
      <c r="L2365" s="74">
        <v>45309.6</v>
      </c>
      <c r="M2365" s="74">
        <f t="shared" si="2"/>
        <v>50000</v>
      </c>
      <c r="N2365" s="74">
        <f t="shared" si="3"/>
        <v>30000</v>
      </c>
      <c r="O2365" s="65" t="str">
        <f>VLOOKUP(E2365,DATABASE!C:Q,8,false)</f>
        <v>BIAN</v>
      </c>
      <c r="P2365" s="65">
        <f>VLOOKUP(E2365,DATABASE!C:Q,9,False)</f>
        <v>1</v>
      </c>
      <c r="Q2365" s="93" t="str">
        <f>VLOOKUP(E2365,DATABASE!C:Q,4,false)</f>
        <v>BD</v>
      </c>
      <c r="R2365" s="93" t="str">
        <f>VLOOKUP(E2365,DATABASE!C:Q,11,false)</f>
        <v>Tire</v>
      </c>
    </row>
    <row r="2366" ht="22.5" customHeight="1">
      <c r="A2366" s="49"/>
      <c r="C2366" s="384">
        <v>45778.0</v>
      </c>
      <c r="D2366" s="65">
        <v>5466.0</v>
      </c>
      <c r="E2366" s="445" t="s">
        <v>1886</v>
      </c>
      <c r="F2366" s="386">
        <v>2.0</v>
      </c>
      <c r="G2366" s="74">
        <v>500000.0</v>
      </c>
      <c r="H2366" s="74">
        <v>0.0</v>
      </c>
      <c r="I2366" s="74">
        <f t="shared" si="1"/>
        <v>1000000</v>
      </c>
      <c r="J2366" s="74">
        <f>IF(E2366="SERVICE",I2366-(I2366*50%),Vlookup(E2366,DATABASE!C:Q,10,false)*F2366)</f>
        <v>0</v>
      </c>
      <c r="K2366" s="74">
        <f>VLOOKUP(E2366,DATABASE!C:Q,7,false)</f>
        <v>411100</v>
      </c>
      <c r="L2366" s="74">
        <v>411100.0</v>
      </c>
      <c r="M2366" s="74">
        <f t="shared" si="2"/>
        <v>415000</v>
      </c>
      <c r="N2366" s="74">
        <f t="shared" si="3"/>
        <v>170000</v>
      </c>
      <c r="O2366" s="65" t="str">
        <f>VLOOKUP(E2366,DATABASE!C:Q,8,false)</f>
        <v>BIAN</v>
      </c>
      <c r="P2366" s="65">
        <f>VLOOKUP(E2366,DATABASE!C:Q,9,False)</f>
        <v>1</v>
      </c>
      <c r="Q2366" s="93" t="str">
        <f>VLOOKUP(E2366,DATABASE!C:Q,4,false)</f>
        <v>GT</v>
      </c>
      <c r="R2366" s="93" t="str">
        <f>VLOOKUP(E2366,DATABASE!C:Q,11,false)</f>
        <v>Tire</v>
      </c>
    </row>
    <row r="2367" ht="22.5" customHeight="1">
      <c r="A2367" s="49"/>
      <c r="C2367" s="384">
        <v>45778.0</v>
      </c>
      <c r="D2367" s="65">
        <v>5467.0</v>
      </c>
      <c r="E2367" s="445" t="s">
        <v>1858</v>
      </c>
      <c r="F2367" s="386">
        <v>2.0</v>
      </c>
      <c r="G2367" s="74">
        <v>2115000.0</v>
      </c>
      <c r="H2367" s="74">
        <v>0.0</v>
      </c>
      <c r="I2367" s="74">
        <f t="shared" si="1"/>
        <v>4230000</v>
      </c>
      <c r="J2367" s="74">
        <f>IF(E2367="SERVICE",I2367-(I2367*50%),Vlookup(E2367,DATABASE!C:Q,10,false)*F2367)</f>
        <v>0</v>
      </c>
      <c r="K2367" s="74">
        <f>VLOOKUP(E2367,DATABASE!C:Q,7,false)</f>
        <v>2030000</v>
      </c>
      <c r="L2367" s="74">
        <v>2025000.0</v>
      </c>
      <c r="M2367" s="74">
        <f t="shared" si="2"/>
        <v>2025000</v>
      </c>
      <c r="N2367" s="74">
        <f t="shared" si="3"/>
        <v>180000</v>
      </c>
      <c r="O2367" s="65" t="str">
        <f>VLOOKUP(E2367,DATABASE!C:Q,8,false)</f>
        <v>BIAN</v>
      </c>
      <c r="P2367" s="65">
        <f>VLOOKUP(E2367,DATABASE!C:Q,9,False)</f>
        <v>1</v>
      </c>
      <c r="Q2367" s="93" t="str">
        <f>VLOOKUP(E2367,DATABASE!C:Q,4,false)</f>
        <v>GiTi</v>
      </c>
      <c r="R2367" s="93" t="str">
        <f>VLOOKUP(E2367,DATABASE!C:Q,11,false)</f>
        <v>Tire</v>
      </c>
    </row>
    <row r="2368" ht="22.5" customHeight="1">
      <c r="A2368" s="49"/>
      <c r="C2368" s="384">
        <v>45778.0</v>
      </c>
      <c r="D2368" s="65">
        <v>5468.0</v>
      </c>
      <c r="E2368" s="445" t="s">
        <v>262</v>
      </c>
      <c r="F2368" s="386">
        <v>1.0</v>
      </c>
      <c r="G2368" s="74">
        <v>110000.0</v>
      </c>
      <c r="H2368" s="74">
        <v>0.0</v>
      </c>
      <c r="I2368" s="74">
        <f t="shared" si="1"/>
        <v>110000</v>
      </c>
      <c r="J2368" s="74">
        <f>IF(E2368="SERVICE",I2368-(I2368*50%),Vlookup(E2368,DATABASE!C:Q,10,false)*F2368)</f>
        <v>5000</v>
      </c>
      <c r="K2368" s="74">
        <f>VLOOKUP(E2368,DATABASE!C:Q,7,false)</f>
        <v>0</v>
      </c>
      <c r="L2368" s="74">
        <v>0.0</v>
      </c>
      <c r="M2368" s="74">
        <f t="shared" si="2"/>
        <v>0</v>
      </c>
      <c r="N2368" s="74">
        <f t="shared" si="3"/>
        <v>105000</v>
      </c>
      <c r="O2368" s="65" t="str">
        <f>VLOOKUP(E2368,DATABASE!C:Q,8,false)</f>
        <v>IBU</v>
      </c>
      <c r="P2368" s="65">
        <f>VLOOKUP(E2368,DATABASE!C:Q,9,False)</f>
        <v>0</v>
      </c>
      <c r="Q2368" s="93" t="str">
        <f>VLOOKUP(E2368,DATABASE!C:Q,4,false)</f>
        <v>SPOORING SS/CARRY LOS BAK</v>
      </c>
      <c r="R2368" s="93" t="str">
        <f>VLOOKUP(E2368,DATABASE!C:Q,11,false)</f>
        <v>SERVICE</v>
      </c>
    </row>
    <row r="2369" ht="22.5" customHeight="1">
      <c r="A2369" s="49"/>
      <c r="C2369" s="384">
        <v>45778.0</v>
      </c>
      <c r="D2369" s="65">
        <v>5468.0</v>
      </c>
      <c r="E2369" s="445" t="s">
        <v>251</v>
      </c>
      <c r="F2369" s="386">
        <v>1.0</v>
      </c>
      <c r="G2369" s="74">
        <v>150000.0</v>
      </c>
      <c r="H2369" s="74">
        <v>0.0</v>
      </c>
      <c r="I2369" s="74">
        <f t="shared" si="1"/>
        <v>150000</v>
      </c>
      <c r="J2369" s="74">
        <f>IF(E2369="SERVICE",I2369-(I2369*50%),Vlookup(E2369,DATABASE!C:Q,10,false)*F2369)</f>
        <v>75000</v>
      </c>
      <c r="K2369" s="74">
        <f>VLOOKUP(E2369,DATABASE!C:Q,7,false)</f>
        <v>0</v>
      </c>
      <c r="L2369" s="74">
        <v>0.0</v>
      </c>
      <c r="M2369" s="74">
        <f t="shared" si="2"/>
        <v>0</v>
      </c>
      <c r="N2369" s="74">
        <f t="shared" si="3"/>
        <v>75000</v>
      </c>
      <c r="O2369" s="65" t="str">
        <f>VLOOKUP(E2369,DATABASE!C:Q,8,false)</f>
        <v>IBU</v>
      </c>
      <c r="P2369" s="65">
        <f>VLOOKUP(E2369,DATABASE!C:Q,9,False)</f>
        <v>0</v>
      </c>
      <c r="Q2369" s="93" t="str">
        <f>VLOOKUP(E2369,DATABASE!C:Q,4,false)</f>
        <v>SERVICE</v>
      </c>
      <c r="R2369" s="93" t="str">
        <f>VLOOKUP(E2369,DATABASE!C:Q,11,false)</f>
        <v>SERVICE</v>
      </c>
    </row>
    <row r="2370" ht="22.5" customHeight="1">
      <c r="A2370" s="49"/>
      <c r="C2370" s="384">
        <v>45778.0</v>
      </c>
      <c r="D2370" s="65">
        <v>5469.0</v>
      </c>
      <c r="E2370" s="445" t="s">
        <v>282</v>
      </c>
      <c r="F2370" s="386">
        <v>2.0</v>
      </c>
      <c r="G2370" s="74">
        <v>860000.0</v>
      </c>
      <c r="H2370" s="74">
        <v>0.0</v>
      </c>
      <c r="I2370" s="74">
        <f t="shared" si="1"/>
        <v>1720000</v>
      </c>
      <c r="J2370" s="74">
        <f>IF(E2370="SERVICE",I2370-(I2370*50%),Vlookup(E2370,DATABASE!C:Q,10,false)*F2370)</f>
        <v>0</v>
      </c>
      <c r="K2370" s="74">
        <f>VLOOKUP(E2370,DATABASE!C:Q,7,false)</f>
        <v>779500</v>
      </c>
      <c r="L2370" s="74">
        <v>771000.0</v>
      </c>
      <c r="M2370" s="74">
        <f t="shared" si="2"/>
        <v>775000</v>
      </c>
      <c r="N2370" s="74">
        <f t="shared" si="3"/>
        <v>170000</v>
      </c>
      <c r="O2370" s="65" t="str">
        <f>VLOOKUP(E2370,DATABASE!C:Q,8,false)</f>
        <v>IBU</v>
      </c>
      <c r="P2370" s="65">
        <f>VLOOKUP(E2370,DATABASE!C:Q,9,False)</f>
        <v>1</v>
      </c>
      <c r="Q2370" s="93" t="str">
        <f>VLOOKUP(E2370,DATABASE!C:Q,4,false)</f>
        <v>Dunlop</v>
      </c>
      <c r="R2370" s="93" t="str">
        <f>VLOOKUP(E2370,DATABASE!C:Q,11,false)</f>
        <v>Tire</v>
      </c>
    </row>
    <row r="2371" ht="22.5" customHeight="1">
      <c r="A2371" s="49"/>
      <c r="C2371" s="384">
        <v>45778.0</v>
      </c>
      <c r="D2371" s="65">
        <v>5470.0</v>
      </c>
      <c r="E2371" s="445" t="s">
        <v>770</v>
      </c>
      <c r="F2371" s="386">
        <v>1.0</v>
      </c>
      <c r="G2371" s="74">
        <v>180000.0</v>
      </c>
      <c r="H2371" s="74">
        <v>0.0</v>
      </c>
      <c r="I2371" s="74">
        <f t="shared" si="1"/>
        <v>180000</v>
      </c>
      <c r="J2371" s="74">
        <f>IF(E2371="SERVICE",I2371-(I2371*50%),Vlookup(E2371,DATABASE!C:Q,10,false)*F2371)</f>
        <v>0</v>
      </c>
      <c r="K2371" s="74">
        <f>VLOOKUP(E2371,DATABASE!C:Q,7,false)</f>
        <v>145180</v>
      </c>
      <c r="L2371" s="74">
        <v>145180.0</v>
      </c>
      <c r="M2371" s="74">
        <f t="shared" si="2"/>
        <v>150000</v>
      </c>
      <c r="N2371" s="74">
        <f t="shared" si="3"/>
        <v>30000</v>
      </c>
      <c r="O2371" s="65" t="str">
        <f>VLOOKUP(E2371,DATABASE!C:Q,8,false)</f>
        <v>BIAN</v>
      </c>
      <c r="P2371" s="65">
        <f>VLOOKUP(E2371,DATABASE!C:Q,9,False)</f>
        <v>1</v>
      </c>
      <c r="Q2371" s="93" t="str">
        <f>VLOOKUP(E2371,DATABASE!C:Q,4,false)</f>
        <v>BD</v>
      </c>
      <c r="R2371" s="93" t="str">
        <f>VLOOKUP(E2371,DATABASE!C:Q,11,false)</f>
        <v>Tire</v>
      </c>
    </row>
    <row r="2372" ht="22.5" customHeight="1">
      <c r="A2372" s="49"/>
      <c r="C2372" s="384">
        <v>45778.0</v>
      </c>
      <c r="D2372" s="65">
        <v>5470.0</v>
      </c>
      <c r="E2372" s="445" t="s">
        <v>1709</v>
      </c>
      <c r="F2372" s="386">
        <v>1.0</v>
      </c>
      <c r="G2372" s="74">
        <v>65000.0</v>
      </c>
      <c r="H2372" s="74">
        <v>0.0</v>
      </c>
      <c r="I2372" s="74">
        <f t="shared" si="1"/>
        <v>65000</v>
      </c>
      <c r="J2372" s="74">
        <f>IF(E2372="SERVICE",I2372-(I2372*50%),Vlookup(E2372,DATABASE!C:Q,10,false)*F2372)</f>
        <v>0</v>
      </c>
      <c r="K2372" s="74">
        <f>VLOOKUP(E2372,DATABASE!C:Q,7,false)</f>
        <v>45000</v>
      </c>
      <c r="L2372" s="74">
        <v>45000.0</v>
      </c>
      <c r="M2372" s="74">
        <f t="shared" si="2"/>
        <v>45000</v>
      </c>
      <c r="N2372" s="74">
        <f t="shared" si="3"/>
        <v>20000</v>
      </c>
      <c r="O2372" s="65" t="str">
        <f>VLOOKUP(E2372,DATABASE!C:Q,8,false)</f>
        <v>BIAN</v>
      </c>
      <c r="P2372" s="65">
        <f>VLOOKUP(E2372,DATABASE!C:Q,9,False)</f>
        <v>1</v>
      </c>
      <c r="Q2372" s="93" t="str">
        <f>VLOOKUP(E2372,DATABASE!C:Q,4,false)</f>
        <v>Flap</v>
      </c>
      <c r="R2372" s="93" t="str">
        <f>VLOOKUP(E2372,DATABASE!C:Q,11,false)</f>
        <v>Tire</v>
      </c>
    </row>
    <row r="2373" ht="22.5" customHeight="1">
      <c r="A2373" s="49"/>
      <c r="C2373" s="384">
        <v>45778.0</v>
      </c>
      <c r="D2373" s="65">
        <v>5471.0</v>
      </c>
      <c r="E2373" s="445" t="s">
        <v>972</v>
      </c>
      <c r="F2373" s="386">
        <v>1.0</v>
      </c>
      <c r="G2373" s="74">
        <v>775000.0</v>
      </c>
      <c r="H2373" s="74">
        <v>0.0</v>
      </c>
      <c r="I2373" s="74">
        <f t="shared" si="1"/>
        <v>775000</v>
      </c>
      <c r="J2373" s="74">
        <f>IF(E2373="SERVICE",I2373-(I2373*50%),Vlookup(E2373,DATABASE!C:Q,10,false)*F2373)</f>
        <v>0</v>
      </c>
      <c r="K2373" s="74">
        <f>VLOOKUP(E2373,DATABASE!C:Q,7,false)</f>
        <v>671104</v>
      </c>
      <c r="L2373" s="74">
        <v>671104.0</v>
      </c>
      <c r="M2373" s="74">
        <f t="shared" si="2"/>
        <v>675000</v>
      </c>
      <c r="N2373" s="74">
        <f t="shared" si="3"/>
        <v>100000</v>
      </c>
      <c r="O2373" s="65" t="str">
        <f>VLOOKUP(E2373,DATABASE!C:Q,8,false)</f>
        <v>IBU</v>
      </c>
      <c r="P2373" s="65">
        <f>VLOOKUP(E2373,DATABASE!C:Q,9,False)</f>
        <v>1</v>
      </c>
      <c r="Q2373" s="93" t="str">
        <f>VLOOKUP(E2373,DATABASE!C:Q,4,false)</f>
        <v>Bridgestone</v>
      </c>
      <c r="R2373" s="93" t="str">
        <f>VLOOKUP(E2373,DATABASE!C:Q,11,false)</f>
        <v>Tire</v>
      </c>
    </row>
    <row r="2374" ht="22.5" customHeight="1">
      <c r="A2374" s="49"/>
      <c r="C2374" s="384">
        <v>45778.0</v>
      </c>
      <c r="D2374" s="65">
        <v>5472.0</v>
      </c>
      <c r="E2374" s="445" t="s">
        <v>286</v>
      </c>
      <c r="F2374" s="386">
        <v>2.0</v>
      </c>
      <c r="G2374" s="74">
        <v>550000.0</v>
      </c>
      <c r="H2374" s="74">
        <v>0.0</v>
      </c>
      <c r="I2374" s="74">
        <f t="shared" si="1"/>
        <v>1100000</v>
      </c>
      <c r="J2374" s="74">
        <f>IF(E2374="SERVICE",I2374-(I2374*50%),Vlookup(E2374,DATABASE!C:Q,10,false)*F2374)</f>
        <v>0</v>
      </c>
      <c r="K2374" s="74">
        <f>VLOOKUP(E2374,DATABASE!C:Q,7,false)</f>
        <v>488320</v>
      </c>
      <c r="L2374" s="74">
        <v>452970.0</v>
      </c>
      <c r="M2374" s="74">
        <f t="shared" si="2"/>
        <v>455000</v>
      </c>
      <c r="N2374" s="74">
        <f t="shared" si="3"/>
        <v>190000</v>
      </c>
      <c r="O2374" s="65" t="str">
        <f>VLOOKUP(E2374,DATABASE!C:Q,8,false)</f>
        <v>BIAN</v>
      </c>
      <c r="P2374" s="65">
        <f>VLOOKUP(E2374,DATABASE!C:Q,9,False)</f>
        <v>1</v>
      </c>
      <c r="Q2374" s="93" t="str">
        <f>VLOOKUP(E2374,DATABASE!C:Q,4,false)</f>
        <v>GT</v>
      </c>
      <c r="R2374" s="93" t="str">
        <f>VLOOKUP(E2374,DATABASE!C:Q,11,false)</f>
        <v>Tire</v>
      </c>
    </row>
    <row r="2375" ht="22.5" customHeight="1">
      <c r="A2375" s="49"/>
      <c r="C2375" s="384">
        <v>45778.0</v>
      </c>
      <c r="D2375" s="65">
        <v>5473.0</v>
      </c>
      <c r="E2375" s="445" t="s">
        <v>1427</v>
      </c>
      <c r="F2375" s="386">
        <v>1.0</v>
      </c>
      <c r="G2375" s="74">
        <v>800000.0</v>
      </c>
      <c r="H2375" s="74">
        <v>0.0</v>
      </c>
      <c r="I2375" s="74">
        <f t="shared" si="1"/>
        <v>800000</v>
      </c>
      <c r="J2375" s="74">
        <f>IF(E2375="SERVICE",I2375-(I2375*50%),Vlookup(E2375,DATABASE!C:Q,10,false)*F2375)</f>
        <v>0</v>
      </c>
      <c r="K2375" s="74">
        <f>VLOOKUP(E2375,DATABASE!C:Q,7,false)</f>
        <v>696500</v>
      </c>
      <c r="L2375" s="74">
        <v>689000.0</v>
      </c>
      <c r="M2375" s="74">
        <f t="shared" si="2"/>
        <v>690000</v>
      </c>
      <c r="N2375" s="74">
        <f t="shared" si="3"/>
        <v>110000</v>
      </c>
      <c r="O2375" s="65" t="str">
        <f>VLOOKUP(E2375,DATABASE!C:Q,8,false)</f>
        <v>IBU</v>
      </c>
      <c r="P2375" s="65">
        <f>VLOOKUP(E2375,DATABASE!C:Q,9,False)</f>
        <v>1</v>
      </c>
      <c r="Q2375" s="93" t="str">
        <f>VLOOKUP(E2375,DATABASE!C:Q,4,false)</f>
        <v>Dunlop</v>
      </c>
      <c r="R2375" s="93" t="str">
        <f>VLOOKUP(E2375,DATABASE!C:Q,11,false)</f>
        <v>Tire</v>
      </c>
    </row>
    <row r="2376" ht="22.5" customHeight="1">
      <c r="A2376" s="49"/>
      <c r="C2376" s="384">
        <v>45778.0</v>
      </c>
      <c r="D2376" s="65">
        <v>5474.0</v>
      </c>
      <c r="E2376" s="445" t="s">
        <v>271</v>
      </c>
      <c r="F2376" s="386">
        <v>2.0</v>
      </c>
      <c r="G2376" s="74">
        <v>625000.0</v>
      </c>
      <c r="H2376" s="74">
        <v>0.0</v>
      </c>
      <c r="I2376" s="74">
        <f t="shared" si="1"/>
        <v>1250000</v>
      </c>
      <c r="J2376" s="74">
        <f>IF(E2376="SERVICE",I2376-(I2376*50%),Vlookup(E2376,DATABASE!C:Q,10,false)*F2376)</f>
        <v>0</v>
      </c>
      <c r="K2376" s="74">
        <f>VLOOKUP(E2376,DATABASE!C:Q,7,false)</f>
        <v>570000</v>
      </c>
      <c r="L2376" s="74">
        <v>539000.0</v>
      </c>
      <c r="M2376" s="74">
        <f t="shared" si="2"/>
        <v>540000</v>
      </c>
      <c r="N2376" s="74">
        <f t="shared" si="3"/>
        <v>170000</v>
      </c>
      <c r="O2376" s="65" t="str">
        <f>VLOOKUP(E2376,DATABASE!C:Q,8,false)</f>
        <v>IBU</v>
      </c>
      <c r="P2376" s="65">
        <f>VLOOKUP(E2376,DATABASE!C:Q,9,False)</f>
        <v>1</v>
      </c>
      <c r="Q2376" s="93" t="str">
        <f>VLOOKUP(E2376,DATABASE!C:Q,4,false)</f>
        <v>Dunlop</v>
      </c>
      <c r="R2376" s="93" t="str">
        <f>VLOOKUP(E2376,DATABASE!C:Q,11,false)</f>
        <v>Tire</v>
      </c>
    </row>
    <row r="2377" ht="22.5" customHeight="1">
      <c r="A2377" s="49"/>
      <c r="C2377" s="384">
        <v>45778.0</v>
      </c>
      <c r="D2377" s="65">
        <v>5475.0</v>
      </c>
      <c r="E2377" s="445" t="s">
        <v>268</v>
      </c>
      <c r="F2377" s="386">
        <v>2.0</v>
      </c>
      <c r="G2377" s="74">
        <v>700000.0</v>
      </c>
      <c r="H2377" s="74">
        <v>0.0</v>
      </c>
      <c r="I2377" s="74">
        <f t="shared" si="1"/>
        <v>1400000</v>
      </c>
      <c r="J2377" s="74">
        <f>IF(E2377="SERVICE",I2377-(I2377*50%),Vlookup(E2377,DATABASE!C:Q,10,false)*F2377)</f>
        <v>0</v>
      </c>
      <c r="K2377" s="74">
        <v>613000.0</v>
      </c>
      <c r="L2377" s="74">
        <v>613000.0</v>
      </c>
      <c r="M2377" s="74">
        <f t="shared" si="2"/>
        <v>615000</v>
      </c>
      <c r="N2377" s="74">
        <f t="shared" si="3"/>
        <v>170000</v>
      </c>
      <c r="O2377" s="65" t="str">
        <f>VLOOKUP(E2377,DATABASE!C:Q,8,false)</f>
        <v>IBU</v>
      </c>
      <c r="P2377" s="65">
        <f>VLOOKUP(E2377,DATABASE!C:Q,9,False)</f>
        <v>1</v>
      </c>
      <c r="Q2377" s="93" t="str">
        <f>VLOOKUP(E2377,DATABASE!C:Q,4,false)</f>
        <v>Dunlop</v>
      </c>
      <c r="R2377" s="93" t="str">
        <f>VLOOKUP(E2377,DATABASE!C:Q,11,false)</f>
        <v>Tire</v>
      </c>
    </row>
    <row r="2378" ht="22.5" customHeight="1">
      <c r="A2378" s="49"/>
      <c r="C2378" s="384">
        <v>45778.0</v>
      </c>
      <c r="D2378" s="65">
        <v>5476.0</v>
      </c>
      <c r="E2378" s="385" t="s">
        <v>299</v>
      </c>
      <c r="F2378" s="386">
        <v>2.0</v>
      </c>
      <c r="G2378" s="74">
        <v>30000.0</v>
      </c>
      <c r="H2378" s="74">
        <v>0.0</v>
      </c>
      <c r="I2378" s="74">
        <f t="shared" si="1"/>
        <v>60000</v>
      </c>
      <c r="J2378" s="74">
        <f>IF(E2378="SERVICE",I2378-(I2378*50%),Vlookup(E2378,DATABASE!C:Q,10,false)*F2378)</f>
        <v>0</v>
      </c>
      <c r="K2378" s="74">
        <v>0.0</v>
      </c>
      <c r="L2378" s="74">
        <v>0.0</v>
      </c>
      <c r="M2378" s="74">
        <f t="shared" si="2"/>
        <v>0</v>
      </c>
      <c r="N2378" s="74">
        <f t="shared" si="3"/>
        <v>60000</v>
      </c>
      <c r="O2378" s="65" t="str">
        <f>VLOOKUP(E2378,DATABASE!C:Q,8,false)</f>
        <v>BIAN</v>
      </c>
      <c r="P2378" s="65">
        <f>VLOOKUP(E2378,DATABASE!C:Q,9,False)</f>
        <v>0</v>
      </c>
      <c r="Q2378" s="93" t="str">
        <f>VLOOKUP(E2378,DATABASE!C:Q,4,false)</f>
        <v>Balancing</v>
      </c>
      <c r="R2378" s="93" t="str">
        <f>VLOOKUP(E2378,DATABASE!C:Q,11,false)</f>
        <v>COMPLEMENTARY</v>
      </c>
    </row>
    <row r="2379" ht="22.5" customHeight="1">
      <c r="A2379" s="49"/>
      <c r="C2379" s="384">
        <v>45778.0</v>
      </c>
      <c r="D2379" s="65">
        <v>5477.0</v>
      </c>
      <c r="E2379" s="445" t="s">
        <v>275</v>
      </c>
      <c r="F2379" s="386">
        <v>1.0</v>
      </c>
      <c r="G2379" s="74">
        <v>830000.0</v>
      </c>
      <c r="H2379" s="74">
        <v>0.0</v>
      </c>
      <c r="I2379" s="74">
        <f t="shared" si="1"/>
        <v>830000</v>
      </c>
      <c r="J2379" s="74">
        <f>IF(E2379="SERVICE",I2379-(I2379*50%),Vlookup(E2379,DATABASE!C:Q,10,false)*F2379)</f>
        <v>0</v>
      </c>
      <c r="K2379" s="74">
        <v>735000.0</v>
      </c>
      <c r="L2379" s="74">
        <v>735000.0</v>
      </c>
      <c r="M2379" s="74">
        <f t="shared" si="2"/>
        <v>735000</v>
      </c>
      <c r="N2379" s="74">
        <f t="shared" si="3"/>
        <v>95000</v>
      </c>
      <c r="O2379" s="65" t="str">
        <f>VLOOKUP(E2379,DATABASE!C:Q,8,false)</f>
        <v>IBU</v>
      </c>
      <c r="P2379" s="65">
        <f>VLOOKUP(E2379,DATABASE!C:Q,9,False)</f>
        <v>1</v>
      </c>
      <c r="Q2379" s="93" t="str">
        <f>VLOOKUP(E2379,DATABASE!C:Q,4,false)</f>
        <v>Dunlop</v>
      </c>
      <c r="R2379" s="93" t="str">
        <f>VLOOKUP(E2379,DATABASE!C:Q,11,false)</f>
        <v>Tire</v>
      </c>
    </row>
    <row r="2380" ht="22.5" customHeight="1">
      <c r="A2380" s="49"/>
      <c r="C2380" s="384">
        <v>45778.0</v>
      </c>
      <c r="D2380" s="65">
        <v>5479.0</v>
      </c>
      <c r="E2380" s="445" t="s">
        <v>286</v>
      </c>
      <c r="F2380" s="386">
        <v>11.0</v>
      </c>
      <c r="G2380" s="74">
        <v>550000.0</v>
      </c>
      <c r="H2380" s="74">
        <v>0.0</v>
      </c>
      <c r="I2380" s="74">
        <f t="shared" si="1"/>
        <v>6050000</v>
      </c>
      <c r="J2380" s="74">
        <f>IF(E2380="SERVICE",I2380-(I2380*50%),Vlookup(E2380,DATABASE!C:Q,10,false)*F2380)</f>
        <v>0</v>
      </c>
      <c r="K2380" s="74">
        <f>VLOOKUP(E2380,DATABASE!C:Q,7,false)</f>
        <v>488320</v>
      </c>
      <c r="L2380" s="74">
        <v>452970.0</v>
      </c>
      <c r="M2380" s="74">
        <f t="shared" si="2"/>
        <v>455000</v>
      </c>
      <c r="N2380" s="74">
        <f t="shared" si="3"/>
        <v>1045000</v>
      </c>
      <c r="O2380" s="65" t="str">
        <f>VLOOKUP(E2380,DATABASE!C:Q,8,false)</f>
        <v>BIAN</v>
      </c>
      <c r="P2380" s="65">
        <f>VLOOKUP(E2380,DATABASE!C:Q,9,False)</f>
        <v>1</v>
      </c>
      <c r="Q2380" s="93" t="str">
        <f>VLOOKUP(E2380,DATABASE!C:Q,4,false)</f>
        <v>GT</v>
      </c>
      <c r="R2380" s="93" t="str">
        <f>VLOOKUP(E2380,DATABASE!C:Q,11,false)</f>
        <v>Tire</v>
      </c>
    </row>
    <row r="2381" ht="22.5" customHeight="1">
      <c r="A2381" s="49"/>
      <c r="C2381" s="384">
        <v>45778.0</v>
      </c>
      <c r="D2381" s="65">
        <v>5479.0</v>
      </c>
      <c r="E2381" s="445" t="s">
        <v>1025</v>
      </c>
      <c r="F2381" s="386">
        <v>1.0</v>
      </c>
      <c r="G2381" s="74">
        <v>850000.0</v>
      </c>
      <c r="H2381" s="74">
        <v>0.0</v>
      </c>
      <c r="I2381" s="74">
        <f t="shared" si="1"/>
        <v>850000</v>
      </c>
      <c r="J2381" s="74">
        <f>IF(E2381="SERVICE",I2381-(I2381*50%),Vlookup(E2381,DATABASE!C:Q,10,false)*F2381)</f>
        <v>0</v>
      </c>
      <c r="K2381" s="74">
        <f>VLOOKUP(E2381,DATABASE!C:Q,7,false)</f>
        <v>683020.8</v>
      </c>
      <c r="L2381" s="74">
        <v>683020.8</v>
      </c>
      <c r="M2381" s="74">
        <f t="shared" si="2"/>
        <v>685000</v>
      </c>
      <c r="N2381" s="74">
        <f t="shared" si="3"/>
        <v>165000</v>
      </c>
      <c r="O2381" s="65" t="str">
        <f>VLOOKUP(E2381,DATABASE!C:Q,8,false)</f>
        <v>IBU</v>
      </c>
      <c r="P2381" s="65">
        <f>VLOOKUP(E2381,DATABASE!C:Q,9,False)</f>
        <v>1</v>
      </c>
      <c r="Q2381" s="93" t="str">
        <f>VLOOKUP(E2381,DATABASE!C:Q,4,false)</f>
        <v>Bridgestone</v>
      </c>
      <c r="R2381" s="93" t="str">
        <f>VLOOKUP(E2381,DATABASE!C:Q,11,false)</f>
        <v>Tire</v>
      </c>
    </row>
    <row r="2382" ht="22.5" customHeight="1">
      <c r="A2382" s="49"/>
      <c r="C2382" s="384">
        <v>45778.0</v>
      </c>
      <c r="D2382" s="65">
        <v>5480.0</v>
      </c>
      <c r="E2382" s="445" t="s">
        <v>932</v>
      </c>
      <c r="F2382" s="386">
        <v>2.0</v>
      </c>
      <c r="G2382" s="74">
        <v>670000.0</v>
      </c>
      <c r="H2382" s="74">
        <v>0.0</v>
      </c>
      <c r="I2382" s="74">
        <f t="shared" si="1"/>
        <v>1340000</v>
      </c>
      <c r="J2382" s="74">
        <f>IF(E2382="SERVICE",I2382-(I2382*50%),Vlookup(E2382,DATABASE!C:Q,10,false)*F2382)</f>
        <v>0</v>
      </c>
      <c r="K2382" s="74">
        <v>575000.0</v>
      </c>
      <c r="L2382" s="74">
        <v>575000.0</v>
      </c>
      <c r="M2382" s="74">
        <f t="shared" si="2"/>
        <v>575000</v>
      </c>
      <c r="N2382" s="74">
        <f t="shared" si="3"/>
        <v>190000</v>
      </c>
      <c r="O2382" s="65" t="str">
        <f>VLOOKUP(E2382,DATABASE!C:Q,8,false)</f>
        <v>IBU</v>
      </c>
      <c r="P2382" s="65">
        <f>VLOOKUP(E2382,DATABASE!C:Q,9,False)</f>
        <v>1</v>
      </c>
      <c r="Q2382" s="93" t="str">
        <f>VLOOKUP(E2382,DATABASE!C:Q,4,false)</f>
        <v>Dunlop</v>
      </c>
      <c r="R2382" s="93" t="str">
        <f>VLOOKUP(E2382,DATABASE!C:Q,11,false)</f>
        <v>Tire</v>
      </c>
    </row>
    <row r="2383" ht="22.5" customHeight="1">
      <c r="A2383" s="49"/>
      <c r="C2383" s="384">
        <v>45779.0</v>
      </c>
      <c r="D2383" s="65">
        <v>5481.0</v>
      </c>
      <c r="E2383" s="445" t="s">
        <v>265</v>
      </c>
      <c r="F2383" s="386">
        <v>1.0</v>
      </c>
      <c r="G2383" s="74">
        <v>670000.0</v>
      </c>
      <c r="H2383" s="74">
        <v>0.0</v>
      </c>
      <c r="I2383" s="74">
        <f t="shared" si="1"/>
        <v>670000</v>
      </c>
      <c r="J2383" s="74">
        <f>IF(E2383="SERVICE",I2383-(I2383*50%),Vlookup(E2383,DATABASE!C:Q,10,false)*F2383)</f>
        <v>0</v>
      </c>
      <c r="K2383" s="74">
        <v>590000.0</v>
      </c>
      <c r="L2383" s="74">
        <v>590000.0</v>
      </c>
      <c r="M2383" s="74">
        <f t="shared" si="2"/>
        <v>590000</v>
      </c>
      <c r="N2383" s="74">
        <f t="shared" si="3"/>
        <v>80000</v>
      </c>
      <c r="O2383" s="65" t="str">
        <f>VLOOKUP(E2383,DATABASE!C:Q,8,false)</f>
        <v>IBU</v>
      </c>
      <c r="P2383" s="65">
        <f>VLOOKUP(E2383,DATABASE!C:Q,9,False)</f>
        <v>1</v>
      </c>
      <c r="Q2383" s="93" t="str">
        <f>VLOOKUP(E2383,DATABASE!C:Q,4,false)</f>
        <v>Dunlop</v>
      </c>
      <c r="R2383" s="93" t="str">
        <f>VLOOKUP(E2383,DATABASE!C:Q,11,false)</f>
        <v>Tire</v>
      </c>
    </row>
    <row r="2384" ht="22.5" customHeight="1">
      <c r="A2384" s="49"/>
      <c r="C2384" s="384">
        <v>45779.0</v>
      </c>
      <c r="D2384" s="65">
        <v>5481.0</v>
      </c>
      <c r="E2384" s="445" t="s">
        <v>268</v>
      </c>
      <c r="F2384" s="386">
        <v>4.0</v>
      </c>
      <c r="G2384" s="74">
        <v>700000.0</v>
      </c>
      <c r="H2384" s="74">
        <v>0.0</v>
      </c>
      <c r="I2384" s="74">
        <f t="shared" si="1"/>
        <v>2800000</v>
      </c>
      <c r="J2384" s="74">
        <f>IF(E2384="SERVICE",I2384-(I2384*50%),Vlookup(E2384,DATABASE!C:Q,10,false)*F2384)</f>
        <v>0</v>
      </c>
      <c r="K2384" s="74">
        <v>613000.0</v>
      </c>
      <c r="L2384" s="74">
        <v>613000.0</v>
      </c>
      <c r="M2384" s="74">
        <f t="shared" si="2"/>
        <v>615000</v>
      </c>
      <c r="N2384" s="74">
        <f t="shared" si="3"/>
        <v>340000</v>
      </c>
      <c r="O2384" s="65" t="str">
        <f>VLOOKUP(E2384,DATABASE!C:Q,8,false)</f>
        <v>IBU</v>
      </c>
      <c r="P2384" s="65">
        <f>VLOOKUP(E2384,DATABASE!C:Q,9,False)</f>
        <v>1</v>
      </c>
      <c r="Q2384" s="93" t="str">
        <f>VLOOKUP(E2384,DATABASE!C:Q,4,false)</f>
        <v>Dunlop</v>
      </c>
      <c r="R2384" s="93" t="str">
        <f>VLOOKUP(E2384,DATABASE!C:Q,11,false)</f>
        <v>Tire</v>
      </c>
    </row>
    <row r="2385" ht="22.5" customHeight="1">
      <c r="A2385" s="49"/>
      <c r="C2385" s="384">
        <v>45779.0</v>
      </c>
      <c r="D2385" s="65">
        <v>5483.0</v>
      </c>
      <c r="E2385" s="445" t="s">
        <v>262</v>
      </c>
      <c r="F2385" s="386">
        <v>1.0</v>
      </c>
      <c r="G2385" s="74">
        <v>110000.0</v>
      </c>
      <c r="H2385" s="74">
        <v>0.0</v>
      </c>
      <c r="I2385" s="74">
        <f t="shared" si="1"/>
        <v>110000</v>
      </c>
      <c r="J2385" s="74">
        <f>IF(E2385="SERVICE",I2385-(I2385*50%),Vlookup(E2385,DATABASE!C:Q,10,false)*F2385)</f>
        <v>5000</v>
      </c>
      <c r="K2385" s="74">
        <f>VLOOKUP(E2385,DATABASE!C:Q,7,false)</f>
        <v>0</v>
      </c>
      <c r="L2385" s="74">
        <v>0.0</v>
      </c>
      <c r="M2385" s="74">
        <f t="shared" si="2"/>
        <v>0</v>
      </c>
      <c r="N2385" s="74">
        <f t="shared" si="3"/>
        <v>105000</v>
      </c>
      <c r="O2385" s="65" t="str">
        <f>VLOOKUP(E2385,DATABASE!C:Q,8,false)</f>
        <v>IBU</v>
      </c>
      <c r="P2385" s="65">
        <f>VLOOKUP(E2385,DATABASE!C:Q,9,False)</f>
        <v>0</v>
      </c>
      <c r="Q2385" s="93" t="str">
        <f>VLOOKUP(E2385,DATABASE!C:Q,4,false)</f>
        <v>SPOORING SS/CARRY LOS BAK</v>
      </c>
      <c r="R2385" s="93" t="str">
        <f>VLOOKUP(E2385,DATABASE!C:Q,11,false)</f>
        <v>SERVICE</v>
      </c>
    </row>
    <row r="2386" ht="22.5" customHeight="1">
      <c r="A2386" s="49"/>
      <c r="C2386" s="384">
        <v>45779.0</v>
      </c>
      <c r="D2386" s="65">
        <v>5484.0</v>
      </c>
      <c r="E2386" s="445" t="s">
        <v>246</v>
      </c>
      <c r="F2386" s="386">
        <v>3.0</v>
      </c>
      <c r="G2386" s="74">
        <v>35000.0</v>
      </c>
      <c r="H2386" s="74">
        <v>0.0</v>
      </c>
      <c r="I2386" s="74">
        <f t="shared" si="1"/>
        <v>105000</v>
      </c>
      <c r="J2386" s="74">
        <f>IF(E2386="SERVICE",I2386-(I2386*50%),Vlookup(E2386,DATABASE!C:Q,10,false)*F2386)</f>
        <v>0</v>
      </c>
      <c r="K2386" s="74">
        <f>VLOOKUP(E2386,DATABASE!C:Q,7,false)</f>
        <v>0</v>
      </c>
      <c r="L2386" s="74">
        <v>0.0</v>
      </c>
      <c r="M2386" s="74">
        <f t="shared" si="2"/>
        <v>0</v>
      </c>
      <c r="N2386" s="74">
        <f t="shared" si="3"/>
        <v>105000</v>
      </c>
      <c r="O2386" s="65" t="str">
        <f>VLOOKUP(E2386,DATABASE!C:Q,8,false)</f>
        <v>IBU</v>
      </c>
      <c r="P2386" s="65">
        <f>VLOOKUP(E2386,DATABASE!C:Q,9,False)</f>
        <v>0</v>
      </c>
      <c r="Q2386" s="93" t="str">
        <f>VLOOKUP(E2386,DATABASE!C:Q,4,false)</f>
        <v>Bongkar Pasang</v>
      </c>
      <c r="R2386" s="93" t="str">
        <f>VLOOKUP(E2386,DATABASE!C:Q,11,false)</f>
        <v>SERVICE</v>
      </c>
    </row>
    <row r="2387" ht="22.5" customHeight="1">
      <c r="A2387" s="49"/>
      <c r="C2387" s="384">
        <v>45779.0</v>
      </c>
      <c r="D2387" s="65">
        <v>5486.0</v>
      </c>
      <c r="E2387" s="445" t="s">
        <v>265</v>
      </c>
      <c r="F2387" s="386">
        <v>2.0</v>
      </c>
      <c r="G2387" s="74">
        <v>670000.0</v>
      </c>
      <c r="H2387" s="74">
        <v>0.0</v>
      </c>
      <c r="I2387" s="74">
        <f t="shared" si="1"/>
        <v>1340000</v>
      </c>
      <c r="J2387" s="74">
        <f>IF(E2387="SERVICE",I2387-(I2387*50%),Vlookup(E2387,DATABASE!C:Q,10,false)*F2387)</f>
        <v>0</v>
      </c>
      <c r="K2387" s="74">
        <v>590000.0</v>
      </c>
      <c r="L2387" s="74">
        <v>590000.0</v>
      </c>
      <c r="M2387" s="74">
        <f t="shared" si="2"/>
        <v>590000</v>
      </c>
      <c r="N2387" s="74">
        <f t="shared" si="3"/>
        <v>160000</v>
      </c>
      <c r="O2387" s="65" t="str">
        <f>VLOOKUP(E2387,DATABASE!C:Q,8,false)</f>
        <v>IBU</v>
      </c>
      <c r="P2387" s="65">
        <f>VLOOKUP(E2387,DATABASE!C:Q,9,False)</f>
        <v>1</v>
      </c>
      <c r="Q2387" s="93" t="str">
        <f>VLOOKUP(E2387,DATABASE!C:Q,4,false)</f>
        <v>Dunlop</v>
      </c>
      <c r="R2387" s="93" t="str">
        <f>VLOOKUP(E2387,DATABASE!C:Q,11,false)</f>
        <v>Tire</v>
      </c>
    </row>
    <row r="2388" ht="22.5" customHeight="1">
      <c r="A2388" s="49"/>
      <c r="C2388" s="384">
        <v>45779.0</v>
      </c>
      <c r="D2388" s="65">
        <v>5487.0</v>
      </c>
      <c r="E2388" s="445" t="s">
        <v>246</v>
      </c>
      <c r="F2388" s="386">
        <v>1.0</v>
      </c>
      <c r="G2388" s="74">
        <v>25000.0</v>
      </c>
      <c r="H2388" s="74">
        <v>0.0</v>
      </c>
      <c r="I2388" s="74">
        <f t="shared" si="1"/>
        <v>25000</v>
      </c>
      <c r="J2388" s="74">
        <f>IF(E2388="SERVICE",I2388-(I2388*50%),Vlookup(E2388,DATABASE!C:Q,10,false)*F2388)</f>
        <v>0</v>
      </c>
      <c r="K2388" s="74">
        <f>VLOOKUP(E2388,DATABASE!C:Q,7,false)</f>
        <v>0</v>
      </c>
      <c r="L2388" s="74">
        <v>0.0</v>
      </c>
      <c r="M2388" s="74">
        <f t="shared" si="2"/>
        <v>0</v>
      </c>
      <c r="N2388" s="74">
        <f t="shared" si="3"/>
        <v>25000</v>
      </c>
      <c r="O2388" s="65" t="str">
        <f>VLOOKUP(E2388,DATABASE!C:Q,8,false)</f>
        <v>IBU</v>
      </c>
      <c r="P2388" s="65">
        <f>VLOOKUP(E2388,DATABASE!C:Q,9,False)</f>
        <v>0</v>
      </c>
      <c r="Q2388" s="93" t="str">
        <f>VLOOKUP(E2388,DATABASE!C:Q,4,false)</f>
        <v>Bongkar Pasang</v>
      </c>
      <c r="R2388" s="93" t="str">
        <f>VLOOKUP(E2388,DATABASE!C:Q,11,false)</f>
        <v>SERVICE</v>
      </c>
    </row>
    <row r="2389" ht="22.5" customHeight="1">
      <c r="A2389" s="49"/>
      <c r="C2389" s="384">
        <v>45779.0</v>
      </c>
      <c r="D2389" s="65">
        <v>5489.0</v>
      </c>
      <c r="E2389" s="445" t="s">
        <v>566</v>
      </c>
      <c r="F2389" s="386">
        <v>2.0</v>
      </c>
      <c r="G2389" s="74">
        <v>1670000.0</v>
      </c>
      <c r="H2389" s="74">
        <v>0.0</v>
      </c>
      <c r="I2389" s="74">
        <f t="shared" si="1"/>
        <v>3340000</v>
      </c>
      <c r="J2389" s="74">
        <f>IF(E2389="SERVICE",I2389-(I2389*50%),Vlookup(E2389,DATABASE!C:Q,10,false)*F2389)</f>
        <v>0</v>
      </c>
      <c r="K2389" s="140">
        <v>1570000.0</v>
      </c>
      <c r="L2389" s="140">
        <v>1570000.0</v>
      </c>
      <c r="M2389" s="74">
        <f t="shared" si="2"/>
        <v>1570000</v>
      </c>
      <c r="N2389" s="74">
        <f t="shared" si="3"/>
        <v>200000</v>
      </c>
      <c r="O2389" s="65" t="str">
        <f>VLOOKUP(E2389,DATABASE!C:Q,8,false)</f>
        <v>IBU</v>
      </c>
      <c r="P2389" s="65">
        <f>VLOOKUP(E2389,DATABASE!C:Q,9,False)</f>
        <v>1</v>
      </c>
      <c r="Q2389" s="93" t="str">
        <f>VLOOKUP(E2389,DATABASE!C:Q,4,false)</f>
        <v>Bridgestone</v>
      </c>
      <c r="R2389" s="93" t="str">
        <f>VLOOKUP(E2389,DATABASE!C:Q,11,false)</f>
        <v>Tire</v>
      </c>
    </row>
    <row r="2390" ht="22.5" customHeight="1">
      <c r="A2390" s="49"/>
      <c r="C2390" s="384">
        <v>45779.0</v>
      </c>
      <c r="D2390" s="65">
        <v>5489.0</v>
      </c>
      <c r="E2390" s="445" t="s">
        <v>821</v>
      </c>
      <c r="F2390" s="386">
        <v>1.0</v>
      </c>
      <c r="G2390" s="74">
        <v>80000.0</v>
      </c>
      <c r="H2390" s="74">
        <v>0.0</v>
      </c>
      <c r="I2390" s="74">
        <f t="shared" si="1"/>
        <v>80000</v>
      </c>
      <c r="J2390" s="74">
        <f>IF(E2390="SERVICE",I2390-(I2390*50%),Vlookup(E2390,DATABASE!C:Q,10,false)*F2390)</f>
        <v>0</v>
      </c>
      <c r="K2390" s="74">
        <f>VLOOKUP(E2390,DATABASE!C:Q,7,false)</f>
        <v>43500</v>
      </c>
      <c r="L2390" s="74">
        <v>43520.0</v>
      </c>
      <c r="M2390" s="74">
        <f t="shared" si="2"/>
        <v>45000</v>
      </c>
      <c r="N2390" s="74">
        <f t="shared" si="3"/>
        <v>35000</v>
      </c>
      <c r="O2390" s="65" t="str">
        <f>VLOOKUP(E2390,DATABASE!C:Q,8,false)</f>
        <v>BIAN</v>
      </c>
      <c r="P2390" s="65">
        <f>VLOOKUP(E2390,DATABASE!C:Q,9,False)</f>
        <v>1</v>
      </c>
      <c r="Q2390" s="93" t="str">
        <f>VLOOKUP(E2390,DATABASE!C:Q,4,false)</f>
        <v>Flap</v>
      </c>
      <c r="R2390" s="93" t="str">
        <f>VLOOKUP(E2390,DATABASE!C:Q,11,false)</f>
        <v>Tire</v>
      </c>
    </row>
    <row r="2391" ht="22.5" customHeight="1">
      <c r="A2391" s="49"/>
      <c r="C2391" s="384">
        <v>45779.0</v>
      </c>
      <c r="D2391" s="65">
        <v>5490.0</v>
      </c>
      <c r="E2391" s="445" t="s">
        <v>781</v>
      </c>
      <c r="F2391" s="386">
        <v>2.0</v>
      </c>
      <c r="G2391" s="74">
        <v>530000.0</v>
      </c>
      <c r="H2391" s="74">
        <v>0.0</v>
      </c>
      <c r="I2391" s="74">
        <f t="shared" si="1"/>
        <v>1060000</v>
      </c>
      <c r="J2391" s="74">
        <f>IF(E2391="SERVICE",I2391-(I2391*50%),Vlookup(E2391,DATABASE!C:Q,10,false)*F2391)</f>
        <v>0</v>
      </c>
      <c r="K2391" s="74">
        <f>VLOOKUP(E2391,DATABASE!C:Q,7,false)</f>
        <v>470000</v>
      </c>
      <c r="L2391" s="74">
        <v>442500.0</v>
      </c>
      <c r="M2391" s="74">
        <f t="shared" si="2"/>
        <v>445000</v>
      </c>
      <c r="N2391" s="74">
        <f t="shared" si="3"/>
        <v>170000</v>
      </c>
      <c r="O2391" s="65" t="str">
        <f>VLOOKUP(E2391,DATABASE!C:Q,8,false)</f>
        <v>BIAN</v>
      </c>
      <c r="P2391" s="65">
        <f>VLOOKUP(E2391,DATABASE!C:Q,9,False)</f>
        <v>1</v>
      </c>
      <c r="Q2391" s="93" t="str">
        <f>VLOOKUP(E2391,DATABASE!C:Q,4,false)</f>
        <v>GT</v>
      </c>
      <c r="R2391" s="93" t="str">
        <f>VLOOKUP(E2391,DATABASE!C:Q,11,false)</f>
        <v>Tire</v>
      </c>
    </row>
    <row r="2392" ht="22.5" customHeight="1">
      <c r="A2392" s="49"/>
      <c r="C2392" s="384">
        <v>45779.0</v>
      </c>
      <c r="D2392" s="65">
        <v>5490.0</v>
      </c>
      <c r="E2392" s="445" t="s">
        <v>569</v>
      </c>
      <c r="F2392" s="386">
        <v>2.0</v>
      </c>
      <c r="G2392" s="74">
        <v>80000.0</v>
      </c>
      <c r="H2392" s="74">
        <v>0.0</v>
      </c>
      <c r="I2392" s="74">
        <f t="shared" si="1"/>
        <v>160000</v>
      </c>
      <c r="J2392" s="74">
        <f>IF(E2392="SERVICE",I2392-(I2392*50%),Vlookup(E2392,DATABASE!C:Q,10,false)*F2392)</f>
        <v>0</v>
      </c>
      <c r="K2392" s="74">
        <f>VLOOKUP(E2392,DATABASE!C:Q,7,false)</f>
        <v>45439.582</v>
      </c>
      <c r="L2392" s="74">
        <v>45309.6</v>
      </c>
      <c r="M2392" s="74">
        <f t="shared" si="2"/>
        <v>50000</v>
      </c>
      <c r="N2392" s="74">
        <f t="shared" si="3"/>
        <v>60000</v>
      </c>
      <c r="O2392" s="65" t="str">
        <f>VLOOKUP(E2392,DATABASE!C:Q,8,false)</f>
        <v>BIAN</v>
      </c>
      <c r="P2392" s="65">
        <f>VLOOKUP(E2392,DATABASE!C:Q,9,False)</f>
        <v>1</v>
      </c>
      <c r="Q2392" s="93" t="str">
        <f>VLOOKUP(E2392,DATABASE!C:Q,4,false)</f>
        <v>BD</v>
      </c>
      <c r="R2392" s="93" t="str">
        <f>VLOOKUP(E2392,DATABASE!C:Q,11,false)</f>
        <v>Tire</v>
      </c>
    </row>
    <row r="2393" ht="22.5" customHeight="1">
      <c r="A2393" s="49"/>
      <c r="C2393" s="384">
        <v>45779.0</v>
      </c>
      <c r="D2393" s="65">
        <v>5491.0</v>
      </c>
      <c r="E2393" s="445" t="s">
        <v>1372</v>
      </c>
      <c r="F2393" s="386">
        <v>1.0</v>
      </c>
      <c r="G2393" s="74">
        <v>1120000.0</v>
      </c>
      <c r="H2393" s="74">
        <v>0.0</v>
      </c>
      <c r="I2393" s="74">
        <f t="shared" si="1"/>
        <v>1120000</v>
      </c>
      <c r="J2393" s="74">
        <f>IF(E2393="SERVICE",I2393-(I2393*50%),Vlookup(E2393,DATABASE!C:Q,10,false)*F2393)</f>
        <v>0</v>
      </c>
      <c r="K2393" s="74">
        <f>VLOOKUP(E2393,DATABASE!C:Q,7,false)</f>
        <v>1040000</v>
      </c>
      <c r="L2393" s="74">
        <v>1040000.0</v>
      </c>
      <c r="M2393" s="74">
        <f t="shared" si="2"/>
        <v>1040000</v>
      </c>
      <c r="N2393" s="74">
        <f t="shared" si="3"/>
        <v>80000</v>
      </c>
      <c r="O2393" s="65" t="str">
        <f>VLOOKUP(E2393,DATABASE!C:Q,8,false)</f>
        <v>IBU</v>
      </c>
      <c r="P2393" s="65">
        <f>VLOOKUP(E2393,DATABASE!C:Q,9,False)</f>
        <v>1</v>
      </c>
      <c r="Q2393" s="93" t="str">
        <f>VLOOKUP(E2393,DATABASE!C:Q,4,false)</f>
        <v>Dunlop</v>
      </c>
      <c r="R2393" s="93" t="str">
        <f>VLOOKUP(E2393,DATABASE!C:Q,11,false)</f>
        <v>Tire</v>
      </c>
    </row>
    <row r="2394" ht="22.5" customHeight="1">
      <c r="A2394" s="49"/>
      <c r="C2394" s="384">
        <v>45779.0</v>
      </c>
      <c r="D2394" s="65">
        <v>5492.0</v>
      </c>
      <c r="E2394" s="445" t="s">
        <v>268</v>
      </c>
      <c r="F2394" s="386">
        <v>1.0</v>
      </c>
      <c r="G2394" s="74">
        <v>700000.0</v>
      </c>
      <c r="H2394" s="74">
        <v>0.0</v>
      </c>
      <c r="I2394" s="74">
        <f t="shared" si="1"/>
        <v>700000</v>
      </c>
      <c r="J2394" s="74">
        <f>IF(E2394="SERVICE",I2394-(I2394*50%),Vlookup(E2394,DATABASE!C:Q,10,false)*F2394)</f>
        <v>0</v>
      </c>
      <c r="K2394" s="74">
        <v>613000.0</v>
      </c>
      <c r="L2394" s="74">
        <v>613000.0</v>
      </c>
      <c r="M2394" s="74">
        <f t="shared" si="2"/>
        <v>615000</v>
      </c>
      <c r="N2394" s="74">
        <f t="shared" si="3"/>
        <v>85000</v>
      </c>
      <c r="O2394" s="65" t="str">
        <f>VLOOKUP(E2394,DATABASE!C:Q,8,false)</f>
        <v>IBU</v>
      </c>
      <c r="P2394" s="65">
        <f>VLOOKUP(E2394,DATABASE!C:Q,9,False)</f>
        <v>1</v>
      </c>
      <c r="Q2394" s="93" t="str">
        <f>VLOOKUP(E2394,DATABASE!C:Q,4,false)</f>
        <v>Dunlop</v>
      </c>
      <c r="R2394" s="93" t="str">
        <f>VLOOKUP(E2394,DATABASE!C:Q,11,false)</f>
        <v>Tire</v>
      </c>
    </row>
    <row r="2395" ht="22.5" customHeight="1">
      <c r="A2395" s="49"/>
      <c r="C2395" s="384">
        <v>45779.0</v>
      </c>
      <c r="D2395" s="65">
        <v>5492.0</v>
      </c>
      <c r="E2395" s="445" t="s">
        <v>251</v>
      </c>
      <c r="F2395" s="386">
        <v>1.0</v>
      </c>
      <c r="G2395" s="74">
        <v>230000.0</v>
      </c>
      <c r="H2395" s="74">
        <v>0.0</v>
      </c>
      <c r="I2395" s="74">
        <f t="shared" si="1"/>
        <v>230000</v>
      </c>
      <c r="J2395" s="74">
        <f>IF(E2395="SERVICE",I2395-(I2395*50%),Vlookup(E2395,DATABASE!C:Q,10,false)*F2395)</f>
        <v>115000</v>
      </c>
      <c r="K2395" s="74">
        <f>VLOOKUP(E2395,DATABASE!C:Q,7,false)</f>
        <v>0</v>
      </c>
      <c r="L2395" s="74">
        <v>0.0</v>
      </c>
      <c r="M2395" s="74">
        <f t="shared" si="2"/>
        <v>0</v>
      </c>
      <c r="N2395" s="74">
        <f t="shared" si="3"/>
        <v>115000</v>
      </c>
      <c r="O2395" s="65" t="str">
        <f>VLOOKUP(E2395,DATABASE!C:Q,8,false)</f>
        <v>IBU</v>
      </c>
      <c r="P2395" s="65">
        <f>VLOOKUP(E2395,DATABASE!C:Q,9,False)</f>
        <v>0</v>
      </c>
      <c r="Q2395" s="93" t="str">
        <f>VLOOKUP(E2395,DATABASE!C:Q,4,false)</f>
        <v>SERVICE</v>
      </c>
      <c r="R2395" s="93" t="str">
        <f>VLOOKUP(E2395,DATABASE!C:Q,11,false)</f>
        <v>SERVICE</v>
      </c>
    </row>
    <row r="2396" ht="22.5" customHeight="1">
      <c r="A2396" s="49"/>
      <c r="C2396" s="384">
        <v>45779.0</v>
      </c>
      <c r="D2396" s="65">
        <v>5492.0</v>
      </c>
      <c r="E2396" s="445" t="s">
        <v>262</v>
      </c>
      <c r="F2396" s="386">
        <v>1.0</v>
      </c>
      <c r="G2396" s="74">
        <v>110000.0</v>
      </c>
      <c r="H2396" s="74">
        <v>0.0</v>
      </c>
      <c r="I2396" s="74">
        <f t="shared" si="1"/>
        <v>110000</v>
      </c>
      <c r="J2396" s="74">
        <f>IF(E2396="SERVICE",I2396-(I2396*50%),Vlookup(E2396,DATABASE!C:Q,10,false)*F2396)</f>
        <v>5000</v>
      </c>
      <c r="K2396" s="74">
        <f>VLOOKUP(E2396,DATABASE!C:Q,7,false)</f>
        <v>0</v>
      </c>
      <c r="L2396" s="74">
        <v>0.0</v>
      </c>
      <c r="M2396" s="74">
        <f t="shared" si="2"/>
        <v>0</v>
      </c>
      <c r="N2396" s="74">
        <f t="shared" si="3"/>
        <v>105000</v>
      </c>
      <c r="O2396" s="65" t="str">
        <f>VLOOKUP(E2396,DATABASE!C:Q,8,false)</f>
        <v>IBU</v>
      </c>
      <c r="P2396" s="65">
        <f>VLOOKUP(E2396,DATABASE!C:Q,9,False)</f>
        <v>0</v>
      </c>
      <c r="Q2396" s="93" t="str">
        <f>VLOOKUP(E2396,DATABASE!C:Q,4,false)</f>
        <v>SPOORING SS/CARRY LOS BAK</v>
      </c>
      <c r="R2396" s="93" t="str">
        <f>VLOOKUP(E2396,DATABASE!C:Q,11,false)</f>
        <v>SERVICE</v>
      </c>
    </row>
    <row r="2397" ht="22.5" customHeight="1">
      <c r="A2397" s="49"/>
      <c r="C2397" s="384">
        <v>45779.0</v>
      </c>
      <c r="D2397" s="65">
        <v>5493.0</v>
      </c>
      <c r="E2397" s="445" t="s">
        <v>1097</v>
      </c>
      <c r="F2397" s="386">
        <v>2.0</v>
      </c>
      <c r="G2397" s="74">
        <v>920000.0</v>
      </c>
      <c r="H2397" s="74">
        <v>0.0</v>
      </c>
      <c r="I2397" s="74">
        <f t="shared" si="1"/>
        <v>1840000</v>
      </c>
      <c r="J2397" s="74">
        <f>IF(E2397="SERVICE",I2397-(I2397*50%),Vlookup(E2397,DATABASE!C:Q,10,false)*F2397)</f>
        <v>0</v>
      </c>
      <c r="K2397" s="74">
        <f>VLOOKUP(E2397,DATABASE!C:Q,7,false)</f>
        <v>844838.5</v>
      </c>
      <c r="L2397" s="74">
        <v>808945.0</v>
      </c>
      <c r="M2397" s="74">
        <f t="shared" si="2"/>
        <v>810000</v>
      </c>
      <c r="N2397" s="74">
        <f t="shared" si="3"/>
        <v>220000</v>
      </c>
      <c r="O2397" s="65" t="str">
        <f>VLOOKUP(E2397,DATABASE!C:Q,8,false)</f>
        <v>IBU</v>
      </c>
      <c r="P2397" s="65">
        <f>VLOOKUP(E2397,DATABASE!C:Q,9,False)</f>
        <v>1</v>
      </c>
      <c r="Q2397" s="93" t="str">
        <f>VLOOKUP(E2397,DATABASE!C:Q,4,false)</f>
        <v>Bridgestone</v>
      </c>
      <c r="R2397" s="93" t="str">
        <f>VLOOKUP(E2397,DATABASE!C:Q,11,false)</f>
        <v>Tire</v>
      </c>
    </row>
    <row r="2398" ht="22.5" customHeight="1">
      <c r="A2398" s="49"/>
      <c r="C2398" s="384">
        <v>45779.0</v>
      </c>
      <c r="D2398" s="65">
        <v>5494.0</v>
      </c>
      <c r="E2398" s="445" t="s">
        <v>1439</v>
      </c>
      <c r="F2398" s="386">
        <v>3.0</v>
      </c>
      <c r="G2398" s="74">
        <v>630000.0</v>
      </c>
      <c r="H2398" s="74">
        <v>0.0</v>
      </c>
      <c r="I2398" s="74">
        <f t="shared" si="1"/>
        <v>1890000</v>
      </c>
      <c r="J2398" s="74">
        <f>IF(E2398="SERVICE",I2398-(I2398*50%),Vlookup(E2398,DATABASE!C:Q,10,false)*F2398)</f>
        <v>0</v>
      </c>
      <c r="K2398" s="74">
        <f>VLOOKUP(E2398,DATABASE!C:Q,7,false)</f>
        <v>556800</v>
      </c>
      <c r="L2398" s="74">
        <v>540800.0</v>
      </c>
      <c r="M2398" s="74">
        <f t="shared" si="2"/>
        <v>545000</v>
      </c>
      <c r="N2398" s="74">
        <f t="shared" si="3"/>
        <v>255000</v>
      </c>
      <c r="O2398" s="65" t="str">
        <f>VLOOKUP(E2398,DATABASE!C:Q,8,false)</f>
        <v>BIAN</v>
      </c>
      <c r="P2398" s="65">
        <f>VLOOKUP(E2398,DATABASE!C:Q,9,False)</f>
        <v>1</v>
      </c>
      <c r="Q2398" s="93" t="str">
        <f>VLOOKUP(E2398,DATABASE!C:Q,4,false)</f>
        <v>GT</v>
      </c>
      <c r="R2398" s="93" t="str">
        <f>VLOOKUP(E2398,DATABASE!C:Q,11,false)</f>
        <v>Tire</v>
      </c>
    </row>
    <row r="2399" ht="22.5" customHeight="1">
      <c r="A2399" s="49"/>
      <c r="C2399" s="384">
        <v>45779.0</v>
      </c>
      <c r="D2399" s="65">
        <v>5495.0</v>
      </c>
      <c r="E2399" s="445" t="s">
        <v>591</v>
      </c>
      <c r="F2399" s="386">
        <v>1.0</v>
      </c>
      <c r="G2399" s="74">
        <v>680000.0</v>
      </c>
      <c r="H2399" s="74">
        <v>0.0</v>
      </c>
      <c r="I2399" s="74">
        <f t="shared" si="1"/>
        <v>680000</v>
      </c>
      <c r="J2399" s="74">
        <f>IF(E2399="SERVICE",I2399-(I2399*50%),Vlookup(E2399,DATABASE!C:Q,10,false)*F2399)</f>
        <v>0</v>
      </c>
      <c r="K2399" s="74">
        <f>VLOOKUP(E2399,DATABASE!C:Q,7,false)</f>
        <v>633035.16</v>
      </c>
      <c r="L2399" s="74">
        <v>593488.4</v>
      </c>
      <c r="M2399" s="74">
        <f t="shared" si="2"/>
        <v>595000</v>
      </c>
      <c r="N2399" s="74">
        <f t="shared" si="3"/>
        <v>85000</v>
      </c>
      <c r="O2399" s="65" t="str">
        <f>VLOOKUP(E2399,DATABASE!C:Q,8,false)</f>
        <v>IBU</v>
      </c>
      <c r="P2399" s="65">
        <f>VLOOKUP(E2399,DATABASE!C:Q,9,False)</f>
        <v>1</v>
      </c>
      <c r="Q2399" s="93" t="str">
        <f>VLOOKUP(E2399,DATABASE!C:Q,4,false)</f>
        <v>Bridgestone</v>
      </c>
      <c r="R2399" s="93" t="str">
        <f>VLOOKUP(E2399,DATABASE!C:Q,11,false)</f>
        <v>Tire</v>
      </c>
    </row>
    <row r="2400" ht="22.5" customHeight="1">
      <c r="A2400" s="49"/>
      <c r="C2400" s="384">
        <v>45779.0</v>
      </c>
      <c r="D2400" s="65">
        <v>5496.0</v>
      </c>
      <c r="E2400" s="445" t="s">
        <v>262</v>
      </c>
      <c r="F2400" s="386">
        <v>1.0</v>
      </c>
      <c r="G2400" s="74">
        <v>110000.0</v>
      </c>
      <c r="H2400" s="74">
        <v>0.0</v>
      </c>
      <c r="I2400" s="74">
        <f t="shared" si="1"/>
        <v>110000</v>
      </c>
      <c r="J2400" s="74">
        <f>IF(E2400="SERVICE",I2400-(I2400*50%),Vlookup(E2400,DATABASE!C:Q,10,false)*F2400)</f>
        <v>5000</v>
      </c>
      <c r="K2400" s="74">
        <f>VLOOKUP(E2400,DATABASE!C:Q,7,false)</f>
        <v>0</v>
      </c>
      <c r="L2400" s="74">
        <v>0.0</v>
      </c>
      <c r="M2400" s="74">
        <f t="shared" si="2"/>
        <v>0</v>
      </c>
      <c r="N2400" s="74">
        <f t="shared" si="3"/>
        <v>105000</v>
      </c>
      <c r="O2400" s="65" t="str">
        <f>VLOOKUP(E2400,DATABASE!C:Q,8,false)</f>
        <v>IBU</v>
      </c>
      <c r="P2400" s="65">
        <f>VLOOKUP(E2400,DATABASE!C:Q,9,False)</f>
        <v>0</v>
      </c>
      <c r="Q2400" s="93" t="str">
        <f>VLOOKUP(E2400,DATABASE!C:Q,4,false)</f>
        <v>SPOORING SS/CARRY LOS BAK</v>
      </c>
      <c r="R2400" s="93" t="str">
        <f>VLOOKUP(E2400,DATABASE!C:Q,11,false)</f>
        <v>SERVICE</v>
      </c>
    </row>
    <row r="2401" ht="22.5" customHeight="1">
      <c r="A2401" s="49"/>
      <c r="C2401" s="384">
        <v>45779.0</v>
      </c>
      <c r="D2401" s="65">
        <v>5496.0</v>
      </c>
      <c r="E2401" s="445" t="s">
        <v>478</v>
      </c>
      <c r="F2401" s="386">
        <v>1.0</v>
      </c>
      <c r="G2401" s="74">
        <v>200000.0</v>
      </c>
      <c r="H2401" s="74">
        <v>0.0</v>
      </c>
      <c r="I2401" s="74">
        <f t="shared" si="1"/>
        <v>200000</v>
      </c>
      <c r="J2401" s="74">
        <f>IF(E2401="SERVICE",I2401-(I2401*50%),Vlookup(E2401,DATABASE!C:Q,10,false)*F2401)</f>
        <v>25000</v>
      </c>
      <c r="K2401" s="74">
        <f>VLOOKUP(E2401,DATABASE!C:Q,7,false)</f>
        <v>75000</v>
      </c>
      <c r="L2401" s="74">
        <v>75000.0</v>
      </c>
      <c r="M2401" s="74">
        <f t="shared" si="2"/>
        <v>75000</v>
      </c>
      <c r="N2401" s="74">
        <f t="shared" si="3"/>
        <v>100000</v>
      </c>
      <c r="O2401" s="65" t="str">
        <f>VLOOKUP(E2401,DATABASE!C:Q,8,false)</f>
        <v>BIAN</v>
      </c>
      <c r="P2401" s="65">
        <f>VLOOKUP(E2401,DATABASE!C:Q,9,False)</f>
        <v>0</v>
      </c>
      <c r="Q2401" s="93" t="str">
        <f>VLOOKUP(E2401,DATABASE!C:Q,4,false)</f>
        <v>Baut Camber ss-carry</v>
      </c>
      <c r="R2401" s="93" t="str">
        <f>VLOOKUP(E2401,DATABASE!C:Q,11,false)</f>
        <v>COMPLEMENTARY</v>
      </c>
    </row>
    <row r="2402" ht="22.5" customHeight="1">
      <c r="A2402" s="49"/>
      <c r="C2402" s="384">
        <v>45779.0</v>
      </c>
      <c r="D2402" s="65">
        <v>5497.0</v>
      </c>
      <c r="E2402" s="445" t="s">
        <v>256</v>
      </c>
      <c r="F2402" s="386">
        <v>1.0</v>
      </c>
      <c r="G2402" s="74">
        <v>130000.0</v>
      </c>
      <c r="H2402" s="74">
        <v>0.0</v>
      </c>
      <c r="I2402" s="74">
        <f t="shared" si="1"/>
        <v>130000</v>
      </c>
      <c r="J2402" s="74">
        <f>IF(E2402="SERVICE",I2402-(I2402*50%),Vlookup(E2402,DATABASE!C:Q,10,false)*F2402)</f>
        <v>10000</v>
      </c>
      <c r="K2402" s="74">
        <f>VLOOKUP(E2402,DATABASE!C:Q,7,false)</f>
        <v>0</v>
      </c>
      <c r="L2402" s="74">
        <v>0.0</v>
      </c>
      <c r="M2402" s="74">
        <f t="shared" si="2"/>
        <v>0</v>
      </c>
      <c r="N2402" s="74">
        <f t="shared" si="3"/>
        <v>120000</v>
      </c>
      <c r="O2402" s="65" t="str">
        <f>VLOOKUP(E2402,DATABASE!C:Q,8,false)</f>
        <v>IBU</v>
      </c>
      <c r="P2402" s="65">
        <f>VLOOKUP(E2402,DATABASE!C:Q,9,False)</f>
        <v>0</v>
      </c>
      <c r="Q2402" s="93" t="str">
        <f>VLOOKUP(E2402,DATABASE!C:Q,4,false)</f>
        <v>SPOORING</v>
      </c>
      <c r="R2402" s="93" t="str">
        <f>VLOOKUP(E2402,DATABASE!C:Q,11,false)</f>
        <v>SERVICE</v>
      </c>
    </row>
    <row r="2403" ht="22.5" customHeight="1">
      <c r="A2403" s="49"/>
      <c r="C2403" s="384">
        <v>45780.0</v>
      </c>
      <c r="D2403" s="65">
        <v>5498.0</v>
      </c>
      <c r="E2403" s="445" t="s">
        <v>288</v>
      </c>
      <c r="F2403" s="386">
        <v>1.0</v>
      </c>
      <c r="G2403" s="74">
        <v>620000.0</v>
      </c>
      <c r="H2403" s="74">
        <v>0.0</v>
      </c>
      <c r="I2403" s="74">
        <f t="shared" si="1"/>
        <v>620000</v>
      </c>
      <c r="J2403" s="74">
        <f>IF(E2403="SERVICE",I2403-(I2403*50%),Vlookup(E2403,DATABASE!C:Q,10,false)*F2403)</f>
        <v>0</v>
      </c>
      <c r="K2403" s="74">
        <f>VLOOKUP(E2403,DATABASE!C:Q,7,false)</f>
        <v>565760</v>
      </c>
      <c r="L2403" s="74">
        <v>524800.0</v>
      </c>
      <c r="M2403" s="74">
        <f t="shared" si="2"/>
        <v>525000</v>
      </c>
      <c r="N2403" s="74">
        <f t="shared" si="3"/>
        <v>95000</v>
      </c>
      <c r="O2403" s="65" t="str">
        <f>VLOOKUP(E2403,DATABASE!C:Q,8,false)</f>
        <v>BIAN</v>
      </c>
      <c r="P2403" s="65">
        <f>VLOOKUP(E2403,DATABASE!C:Q,9,False)</f>
        <v>1</v>
      </c>
      <c r="Q2403" s="93" t="str">
        <f>VLOOKUP(E2403,DATABASE!C:Q,4,false)</f>
        <v>GT</v>
      </c>
      <c r="R2403" s="93" t="str">
        <f>VLOOKUP(E2403,DATABASE!C:Q,11,false)</f>
        <v>Tire</v>
      </c>
    </row>
    <row r="2404" ht="22.5" customHeight="1">
      <c r="A2404" s="49"/>
      <c r="C2404" s="384">
        <v>45780.0</v>
      </c>
      <c r="D2404" s="65">
        <v>5499.0</v>
      </c>
      <c r="E2404" s="445" t="s">
        <v>1526</v>
      </c>
      <c r="F2404" s="386">
        <v>1.0</v>
      </c>
      <c r="G2404" s="74">
        <v>540000.0</v>
      </c>
      <c r="H2404" s="74">
        <v>0.0</v>
      </c>
      <c r="I2404" s="74">
        <f t="shared" si="1"/>
        <v>540000</v>
      </c>
      <c r="J2404" s="74">
        <f>IF(E2404="SERVICE",I2404-(I2404*50%),Vlookup(E2404,DATABASE!C:Q,10,false)*F2404)</f>
        <v>0</v>
      </c>
      <c r="K2404" s="74">
        <f>VLOOKUP(E2404,DATABASE!C:Q,7,false)</f>
        <v>450000</v>
      </c>
      <c r="L2404" s="74">
        <v>437000.0</v>
      </c>
      <c r="M2404" s="74">
        <f t="shared" si="2"/>
        <v>440000</v>
      </c>
      <c r="N2404" s="74">
        <f t="shared" si="3"/>
        <v>100000</v>
      </c>
      <c r="O2404" s="65" t="str">
        <f>VLOOKUP(E2404,DATABASE!C:Q,8,false)</f>
        <v>BIAN</v>
      </c>
      <c r="P2404" s="65">
        <f>VLOOKUP(E2404,DATABASE!C:Q,9,False)</f>
        <v>1</v>
      </c>
      <c r="Q2404" s="93" t="str">
        <f>VLOOKUP(E2404,DATABASE!C:Q,4,false)</f>
        <v>Laufen</v>
      </c>
      <c r="R2404" s="93" t="str">
        <f>VLOOKUP(E2404,DATABASE!C:Q,11,false)</f>
        <v>Tire</v>
      </c>
    </row>
    <row r="2405" ht="22.5" customHeight="1">
      <c r="A2405" s="49"/>
      <c r="C2405" s="384">
        <v>45780.0</v>
      </c>
      <c r="D2405" s="65">
        <v>5501.0</v>
      </c>
      <c r="E2405" s="445" t="s">
        <v>265</v>
      </c>
      <c r="F2405" s="386">
        <v>2.0</v>
      </c>
      <c r="G2405" s="74">
        <v>670000.0</v>
      </c>
      <c r="H2405" s="74">
        <v>0.0</v>
      </c>
      <c r="I2405" s="74">
        <f t="shared" si="1"/>
        <v>1340000</v>
      </c>
      <c r="J2405" s="74">
        <f>IF(E2405="SERVICE",I2405-(I2405*50%),Vlookup(E2405,DATABASE!C:Q,10,false)*F2405)</f>
        <v>0</v>
      </c>
      <c r="K2405" s="74">
        <v>590000.0</v>
      </c>
      <c r="L2405" s="74">
        <v>590000.0</v>
      </c>
      <c r="M2405" s="74">
        <f t="shared" si="2"/>
        <v>590000</v>
      </c>
      <c r="N2405" s="74">
        <f t="shared" si="3"/>
        <v>160000</v>
      </c>
      <c r="O2405" s="65" t="str">
        <f>VLOOKUP(E2405,DATABASE!C:Q,8,false)</f>
        <v>IBU</v>
      </c>
      <c r="P2405" s="65">
        <f>VLOOKUP(E2405,DATABASE!C:Q,9,False)</f>
        <v>1</v>
      </c>
      <c r="Q2405" s="93" t="str">
        <f>VLOOKUP(E2405,DATABASE!C:Q,4,false)</f>
        <v>Dunlop</v>
      </c>
      <c r="R2405" s="93" t="str">
        <f>VLOOKUP(E2405,DATABASE!C:Q,11,false)</f>
        <v>Tire</v>
      </c>
    </row>
    <row r="2406" ht="22.5" customHeight="1">
      <c r="A2406" s="49"/>
      <c r="C2406" s="384">
        <v>45780.0</v>
      </c>
      <c r="D2406" s="65">
        <v>5503.0</v>
      </c>
      <c r="E2406" s="445" t="s">
        <v>250</v>
      </c>
      <c r="F2406" s="386">
        <v>1.0</v>
      </c>
      <c r="G2406" s="74">
        <v>135000.0</v>
      </c>
      <c r="H2406" s="74">
        <v>0.0</v>
      </c>
      <c r="I2406" s="74">
        <f t="shared" si="1"/>
        <v>135000</v>
      </c>
      <c r="J2406" s="74">
        <f>IF(E2406="SERVICE",I2406-(I2406*50%),Vlookup(E2406,DATABASE!C:Q,10,false)*F2406)</f>
        <v>0</v>
      </c>
      <c r="K2406" s="74">
        <f>VLOOKUP(E2406,DATABASE!C:Q,7,false)</f>
        <v>102000</v>
      </c>
      <c r="L2406" s="74">
        <v>102000.0</v>
      </c>
      <c r="M2406" s="74">
        <f t="shared" si="2"/>
        <v>105000</v>
      </c>
      <c r="N2406" s="74">
        <f t="shared" si="3"/>
        <v>30000</v>
      </c>
      <c r="O2406" s="65" t="str">
        <f>VLOOKUP(E2406,DATABASE!C:Q,8,false)</f>
        <v>BIAN</v>
      </c>
      <c r="P2406" s="65">
        <f>VLOOKUP(E2406,DATABASE!C:Q,9,False)</f>
        <v>1</v>
      </c>
      <c r="Q2406" s="93" t="str">
        <f>VLOOKUP(E2406,DATABASE!C:Q,4,false)</f>
        <v>BD</v>
      </c>
      <c r="R2406" s="93" t="str">
        <f>VLOOKUP(E2406,DATABASE!C:Q,11,false)</f>
        <v>Tire</v>
      </c>
    </row>
    <row r="2407" ht="22.5" customHeight="1">
      <c r="A2407" s="49"/>
      <c r="C2407" s="384">
        <v>45780.0</v>
      </c>
      <c r="D2407" s="65">
        <v>5504.0</v>
      </c>
      <c r="E2407" s="445" t="s">
        <v>256</v>
      </c>
      <c r="F2407" s="386">
        <v>1.0</v>
      </c>
      <c r="G2407" s="74">
        <v>130000.0</v>
      </c>
      <c r="H2407" s="74">
        <v>0.0</v>
      </c>
      <c r="I2407" s="74">
        <f t="shared" si="1"/>
        <v>130000</v>
      </c>
      <c r="J2407" s="74">
        <f>IF(E2407="SERVICE",I2407-(I2407*50%),Vlookup(E2407,DATABASE!C:Q,10,false)*F2407)</f>
        <v>10000</v>
      </c>
      <c r="K2407" s="74">
        <f>VLOOKUP(E2407,DATABASE!C:Q,7,false)</f>
        <v>0</v>
      </c>
      <c r="L2407" s="74">
        <v>0.0</v>
      </c>
      <c r="M2407" s="74">
        <f t="shared" si="2"/>
        <v>0</v>
      </c>
      <c r="N2407" s="74">
        <f t="shared" si="3"/>
        <v>120000</v>
      </c>
      <c r="O2407" s="65" t="str">
        <f>VLOOKUP(E2407,DATABASE!C:Q,8,false)</f>
        <v>IBU</v>
      </c>
      <c r="P2407" s="65">
        <f>VLOOKUP(E2407,DATABASE!C:Q,9,False)</f>
        <v>0</v>
      </c>
      <c r="Q2407" s="93" t="str">
        <f>VLOOKUP(E2407,DATABASE!C:Q,4,false)</f>
        <v>SPOORING</v>
      </c>
      <c r="R2407" s="93" t="str">
        <f>VLOOKUP(E2407,DATABASE!C:Q,11,false)</f>
        <v>SERVICE</v>
      </c>
    </row>
    <row r="2408" ht="22.5" customHeight="1">
      <c r="A2408" s="49"/>
      <c r="C2408" s="384">
        <v>45780.0</v>
      </c>
      <c r="D2408" s="65">
        <v>5504.0</v>
      </c>
      <c r="E2408" s="445" t="s">
        <v>251</v>
      </c>
      <c r="F2408" s="386">
        <v>1.0</v>
      </c>
      <c r="G2408" s="74">
        <v>150000.0</v>
      </c>
      <c r="H2408" s="74">
        <v>0.0</v>
      </c>
      <c r="I2408" s="74">
        <f t="shared" si="1"/>
        <v>150000</v>
      </c>
      <c r="J2408" s="74">
        <f>IF(E2408="SERVICE",I2408-(I2408*50%),Vlookup(E2408,DATABASE!C:Q,10,false)*F2408)</f>
        <v>75000</v>
      </c>
      <c r="K2408" s="74">
        <f>VLOOKUP(E2408,DATABASE!C:Q,7,false)</f>
        <v>0</v>
      </c>
      <c r="L2408" s="74">
        <v>0.0</v>
      </c>
      <c r="M2408" s="74">
        <f t="shared" si="2"/>
        <v>0</v>
      </c>
      <c r="N2408" s="74">
        <f t="shared" si="3"/>
        <v>75000</v>
      </c>
      <c r="O2408" s="65" t="str">
        <f>VLOOKUP(E2408,DATABASE!C:Q,8,false)</f>
        <v>IBU</v>
      </c>
      <c r="P2408" s="65">
        <f>VLOOKUP(E2408,DATABASE!C:Q,9,False)</f>
        <v>0</v>
      </c>
      <c r="Q2408" s="93" t="str">
        <f>VLOOKUP(E2408,DATABASE!C:Q,4,false)</f>
        <v>SERVICE</v>
      </c>
      <c r="R2408" s="93" t="str">
        <f>VLOOKUP(E2408,DATABASE!C:Q,11,false)</f>
        <v>SERVICE</v>
      </c>
    </row>
    <row r="2409" ht="22.5" customHeight="1">
      <c r="A2409" s="49"/>
      <c r="C2409" s="384">
        <v>45780.0</v>
      </c>
      <c r="D2409" s="65">
        <v>5505.0</v>
      </c>
      <c r="E2409" s="445" t="s">
        <v>291</v>
      </c>
      <c r="F2409" s="386">
        <v>1.0</v>
      </c>
      <c r="G2409" s="74">
        <v>770000.0</v>
      </c>
      <c r="H2409" s="74">
        <v>0.0</v>
      </c>
      <c r="I2409" s="74">
        <f t="shared" si="1"/>
        <v>770000</v>
      </c>
      <c r="J2409" s="74">
        <f>IF(E2409="SERVICE",I2409-(I2409*50%),Vlookup(E2409,DATABASE!C:Q,10,false)*F2409)</f>
        <v>0</v>
      </c>
      <c r="K2409" s="74">
        <f>VLOOKUP(E2409,DATABASE!C:Q,7,false)</f>
        <v>689900</v>
      </c>
      <c r="L2409" s="74">
        <v>672100.0</v>
      </c>
      <c r="M2409" s="74">
        <f t="shared" si="2"/>
        <v>675000</v>
      </c>
      <c r="N2409" s="74">
        <f t="shared" si="3"/>
        <v>95000</v>
      </c>
      <c r="O2409" s="65" t="str">
        <f>VLOOKUP(E2409,DATABASE!C:Q,8,false)</f>
        <v>BIAN</v>
      </c>
      <c r="P2409" s="65">
        <f>VLOOKUP(E2409,DATABASE!C:Q,9,False)</f>
        <v>1</v>
      </c>
      <c r="Q2409" s="93" t="str">
        <f>VLOOKUP(E2409,DATABASE!C:Q,4,false)</f>
        <v>GT</v>
      </c>
      <c r="R2409" s="93" t="str">
        <f>VLOOKUP(E2409,DATABASE!C:Q,11,false)</f>
        <v>Tire</v>
      </c>
    </row>
    <row r="2410" ht="22.5" customHeight="1">
      <c r="A2410" s="49"/>
      <c r="C2410" s="384">
        <v>45780.0</v>
      </c>
      <c r="D2410" s="65">
        <v>5506.0</v>
      </c>
      <c r="E2410" s="445" t="s">
        <v>777</v>
      </c>
      <c r="F2410" s="386">
        <v>2.0</v>
      </c>
      <c r="G2410" s="74">
        <v>585000.0</v>
      </c>
      <c r="H2410" s="74">
        <v>0.0</v>
      </c>
      <c r="I2410" s="74">
        <f t="shared" si="1"/>
        <v>1170000</v>
      </c>
      <c r="J2410" s="74">
        <f>IF(E2410="SERVICE",I2410-(I2410*50%),Vlookup(E2410,DATABASE!C:Q,10,false)*F2410)</f>
        <v>0</v>
      </c>
      <c r="K2410" s="74">
        <f>VLOOKUP(E2410,DATABASE!C:Q,7,false)</f>
        <v>540000</v>
      </c>
      <c r="L2410" s="74">
        <v>507000.0</v>
      </c>
      <c r="M2410" s="74">
        <f t="shared" si="2"/>
        <v>510000</v>
      </c>
      <c r="N2410" s="74">
        <f t="shared" si="3"/>
        <v>150000</v>
      </c>
      <c r="O2410" s="65" t="str">
        <f>VLOOKUP(E2410,DATABASE!C:Q,8,false)</f>
        <v>BIAN</v>
      </c>
      <c r="P2410" s="65">
        <f>VLOOKUP(E2410,DATABASE!C:Q,9,False)</f>
        <v>1</v>
      </c>
      <c r="Q2410" s="93" t="str">
        <f>VLOOKUP(E2410,DATABASE!C:Q,4,false)</f>
        <v>GT</v>
      </c>
      <c r="R2410" s="93" t="str">
        <f>VLOOKUP(E2410,DATABASE!C:Q,11,false)</f>
        <v>Tire</v>
      </c>
    </row>
    <row r="2411" ht="22.5" customHeight="1">
      <c r="A2411" s="49"/>
      <c r="C2411" s="384">
        <v>45780.0</v>
      </c>
      <c r="D2411" s="65">
        <v>5507.0</v>
      </c>
      <c r="E2411" s="445" t="s">
        <v>256</v>
      </c>
      <c r="F2411" s="386">
        <v>1.0</v>
      </c>
      <c r="G2411" s="74">
        <v>130000.0</v>
      </c>
      <c r="H2411" s="74">
        <v>0.0</v>
      </c>
      <c r="I2411" s="74">
        <f t="shared" si="1"/>
        <v>130000</v>
      </c>
      <c r="J2411" s="74">
        <f>IF(E2411="SERVICE",I2411-(I2411*50%),Vlookup(E2411,DATABASE!C:Q,10,false)*F2411)</f>
        <v>10000</v>
      </c>
      <c r="K2411" s="74">
        <f>VLOOKUP(E2411,DATABASE!C:Q,7,false)</f>
        <v>0</v>
      </c>
      <c r="L2411" s="74">
        <v>0.0</v>
      </c>
      <c r="M2411" s="74">
        <f t="shared" si="2"/>
        <v>0</v>
      </c>
      <c r="N2411" s="74">
        <f t="shared" si="3"/>
        <v>120000</v>
      </c>
      <c r="O2411" s="65" t="str">
        <f>VLOOKUP(E2411,DATABASE!C:Q,8,false)</f>
        <v>IBU</v>
      </c>
      <c r="P2411" s="65">
        <f>VLOOKUP(E2411,DATABASE!C:Q,9,False)</f>
        <v>0</v>
      </c>
      <c r="Q2411" s="93" t="str">
        <f>VLOOKUP(E2411,DATABASE!C:Q,4,false)</f>
        <v>SPOORING</v>
      </c>
      <c r="R2411" s="93" t="str">
        <f>VLOOKUP(E2411,DATABASE!C:Q,11,false)</f>
        <v>SERVICE</v>
      </c>
    </row>
    <row r="2412" ht="22.5" customHeight="1">
      <c r="A2412" s="49"/>
      <c r="C2412" s="384">
        <v>45780.0</v>
      </c>
      <c r="D2412" s="65">
        <v>5507.0</v>
      </c>
      <c r="E2412" s="445" t="s">
        <v>301</v>
      </c>
      <c r="F2412" s="386">
        <v>1.0</v>
      </c>
      <c r="G2412" s="74">
        <v>250000.0</v>
      </c>
      <c r="H2412" s="74">
        <v>0.0</v>
      </c>
      <c r="I2412" s="74">
        <f t="shared" si="1"/>
        <v>250000</v>
      </c>
      <c r="J2412" s="74">
        <f>IF(E2412="SERVICE",I2412-(I2412*50%),Vlookup(E2412,DATABASE!C:Q,10,false)*F2412)</f>
        <v>75000</v>
      </c>
      <c r="K2412" s="74">
        <f>VLOOKUP(E2412,DATABASE!C:Q,7,false)</f>
        <v>75000</v>
      </c>
      <c r="L2412" s="74">
        <v>75000.0</v>
      </c>
      <c r="M2412" s="74">
        <f t="shared" si="2"/>
        <v>75000</v>
      </c>
      <c r="N2412" s="74">
        <f t="shared" si="3"/>
        <v>100000</v>
      </c>
      <c r="O2412" s="65" t="str">
        <f>VLOOKUP(E2412,DATABASE!C:Q,8,false)</f>
        <v>BIAN</v>
      </c>
      <c r="P2412" s="65">
        <f>VLOOKUP(E2412,DATABASE!C:Q,9,False)</f>
        <v>0</v>
      </c>
      <c r="Q2412" s="93" t="str">
        <f>VLOOKUP(E2412,DATABASE!C:Q,4,false)</f>
        <v>Baut Camber</v>
      </c>
      <c r="R2412" s="93" t="str">
        <f>VLOOKUP(E2412,DATABASE!C:Q,11,false)</f>
        <v>COMPLEMENTARY</v>
      </c>
    </row>
    <row r="2413" ht="22.5" customHeight="1">
      <c r="A2413" s="49"/>
      <c r="C2413" s="384">
        <v>45780.0</v>
      </c>
      <c r="D2413" s="65">
        <v>5508.0</v>
      </c>
      <c r="E2413" s="445" t="s">
        <v>1524</v>
      </c>
      <c r="F2413" s="386">
        <v>2.0</v>
      </c>
      <c r="G2413" s="74">
        <v>1040000.0</v>
      </c>
      <c r="H2413" s="74">
        <v>0.0</v>
      </c>
      <c r="I2413" s="74">
        <f t="shared" si="1"/>
        <v>2080000</v>
      </c>
      <c r="J2413" s="74">
        <f>IF(E2413="SERVICE",I2413-(I2413*50%),Vlookup(E2413,DATABASE!C:Q,10,false)*F2413)</f>
        <v>0</v>
      </c>
      <c r="K2413" s="74">
        <f>VLOOKUP(E2413,DATABASE!C:Q,7,false)</f>
        <v>1028000</v>
      </c>
      <c r="L2413" s="74">
        <v>1028000.0</v>
      </c>
      <c r="M2413" s="74">
        <f t="shared" si="2"/>
        <v>1030000</v>
      </c>
      <c r="N2413" s="74">
        <f t="shared" si="3"/>
        <v>20000</v>
      </c>
      <c r="O2413" s="65" t="str">
        <f>VLOOKUP(E2413,DATABASE!C:Q,8,false)</f>
        <v>IBU</v>
      </c>
      <c r="P2413" s="65">
        <f>VLOOKUP(E2413,DATABASE!C:Q,9,False)</f>
        <v>1</v>
      </c>
      <c r="Q2413" s="93" t="str">
        <f>VLOOKUP(E2413,DATABASE!C:Q,4,false)</f>
        <v>Dunlop</v>
      </c>
      <c r="R2413" s="93" t="str">
        <f>VLOOKUP(E2413,DATABASE!C:Q,11,false)</f>
        <v>Tire</v>
      </c>
    </row>
    <row r="2414" ht="22.5" customHeight="1">
      <c r="A2414" s="49"/>
      <c r="C2414" s="384">
        <v>45780.0</v>
      </c>
      <c r="D2414" s="65">
        <v>5508.0</v>
      </c>
      <c r="E2414" s="385" t="s">
        <v>299</v>
      </c>
      <c r="F2414" s="386">
        <v>2.0</v>
      </c>
      <c r="G2414" s="74">
        <v>30000.0</v>
      </c>
      <c r="H2414" s="74">
        <v>0.0</v>
      </c>
      <c r="I2414" s="74">
        <f t="shared" si="1"/>
        <v>60000</v>
      </c>
      <c r="J2414" s="74">
        <f>IF(E2414="SERVICE",I2414-(I2414*50%),Vlookup(E2414,DATABASE!C:Q,10,false)*F2414)</f>
        <v>0</v>
      </c>
      <c r="K2414" s="74">
        <v>0.0</v>
      </c>
      <c r="L2414" s="74">
        <v>0.0</v>
      </c>
      <c r="M2414" s="74">
        <f t="shared" si="2"/>
        <v>0</v>
      </c>
      <c r="N2414" s="74">
        <f t="shared" si="3"/>
        <v>60000</v>
      </c>
      <c r="O2414" s="65" t="str">
        <f>VLOOKUP(E2414,DATABASE!C:Q,8,false)</f>
        <v>BIAN</v>
      </c>
      <c r="P2414" s="65">
        <f>VLOOKUP(E2414,DATABASE!C:Q,9,False)</f>
        <v>0</v>
      </c>
      <c r="Q2414" s="93" t="str">
        <f>VLOOKUP(E2414,DATABASE!C:Q,4,false)</f>
        <v>Balancing</v>
      </c>
      <c r="R2414" s="93" t="str">
        <f>VLOOKUP(E2414,DATABASE!C:Q,11,false)</f>
        <v>COMPLEMENTARY</v>
      </c>
    </row>
    <row r="2415" ht="22.5" customHeight="1">
      <c r="A2415" s="49"/>
      <c r="C2415" s="384">
        <v>45780.0</v>
      </c>
      <c r="D2415" s="65">
        <v>5509.0</v>
      </c>
      <c r="E2415" s="445" t="s">
        <v>262</v>
      </c>
      <c r="F2415" s="386">
        <v>1.0</v>
      </c>
      <c r="G2415" s="74">
        <v>110000.0</v>
      </c>
      <c r="H2415" s="74">
        <v>0.0</v>
      </c>
      <c r="I2415" s="74">
        <f t="shared" si="1"/>
        <v>110000</v>
      </c>
      <c r="J2415" s="74">
        <f>IF(E2415="SERVICE",I2415-(I2415*50%),Vlookup(E2415,DATABASE!C:Q,10,false)*F2415)</f>
        <v>5000</v>
      </c>
      <c r="K2415" s="74">
        <f>VLOOKUP(E2415,DATABASE!C:Q,7,false)</f>
        <v>0</v>
      </c>
      <c r="L2415" s="74">
        <v>0.0</v>
      </c>
      <c r="M2415" s="74">
        <f t="shared" si="2"/>
        <v>0</v>
      </c>
      <c r="N2415" s="74">
        <f t="shared" si="3"/>
        <v>105000</v>
      </c>
      <c r="O2415" s="65" t="str">
        <f>VLOOKUP(E2415,DATABASE!C:Q,8,false)</f>
        <v>IBU</v>
      </c>
      <c r="P2415" s="65">
        <f>VLOOKUP(E2415,DATABASE!C:Q,9,False)</f>
        <v>0</v>
      </c>
      <c r="Q2415" s="93" t="str">
        <f>VLOOKUP(E2415,DATABASE!C:Q,4,false)</f>
        <v>SPOORING SS/CARRY LOS BAK</v>
      </c>
      <c r="R2415" s="93" t="str">
        <f>VLOOKUP(E2415,DATABASE!C:Q,11,false)</f>
        <v>SERVICE</v>
      </c>
    </row>
    <row r="2416" ht="22.5" customHeight="1">
      <c r="A2416" s="49"/>
      <c r="C2416" s="384">
        <v>45780.0</v>
      </c>
      <c r="D2416" s="65">
        <v>5509.0</v>
      </c>
      <c r="E2416" s="445" t="s">
        <v>478</v>
      </c>
      <c r="F2416" s="386">
        <v>1.0</v>
      </c>
      <c r="G2416" s="74">
        <v>200000.0</v>
      </c>
      <c r="H2416" s="74">
        <v>0.0</v>
      </c>
      <c r="I2416" s="74">
        <f t="shared" si="1"/>
        <v>200000</v>
      </c>
      <c r="J2416" s="74">
        <f>IF(E2416="SERVICE",I2416-(I2416*50%),Vlookup(E2416,DATABASE!C:Q,10,false)*F2416)</f>
        <v>25000</v>
      </c>
      <c r="K2416" s="74">
        <f>VLOOKUP(E2416,DATABASE!C:Q,7,false)</f>
        <v>75000</v>
      </c>
      <c r="L2416" s="74">
        <v>75000.0</v>
      </c>
      <c r="M2416" s="74">
        <f t="shared" si="2"/>
        <v>75000</v>
      </c>
      <c r="N2416" s="74">
        <f t="shared" si="3"/>
        <v>100000</v>
      </c>
      <c r="O2416" s="65" t="str">
        <f>VLOOKUP(E2416,DATABASE!C:Q,8,false)</f>
        <v>BIAN</v>
      </c>
      <c r="P2416" s="65">
        <f>VLOOKUP(E2416,DATABASE!C:Q,9,False)</f>
        <v>0</v>
      </c>
      <c r="Q2416" s="93" t="str">
        <f>VLOOKUP(E2416,DATABASE!C:Q,4,false)</f>
        <v>Baut Camber ss-carry</v>
      </c>
      <c r="R2416" s="93" t="str">
        <f>VLOOKUP(E2416,DATABASE!C:Q,11,false)</f>
        <v>COMPLEMENTARY</v>
      </c>
    </row>
    <row r="2417" ht="22.5" customHeight="1">
      <c r="A2417" s="49"/>
      <c r="C2417" s="384">
        <v>45780.0</v>
      </c>
      <c r="D2417" s="65">
        <v>5510.0</v>
      </c>
      <c r="E2417" s="445" t="s">
        <v>268</v>
      </c>
      <c r="F2417" s="386">
        <v>1.0</v>
      </c>
      <c r="G2417" s="74">
        <v>700000.0</v>
      </c>
      <c r="H2417" s="74">
        <v>0.0</v>
      </c>
      <c r="I2417" s="74">
        <f t="shared" si="1"/>
        <v>700000</v>
      </c>
      <c r="J2417" s="74">
        <f>IF(E2417="SERVICE",I2417-(I2417*50%),Vlookup(E2417,DATABASE!C:Q,10,false)*F2417)</f>
        <v>0</v>
      </c>
      <c r="K2417" s="74">
        <v>613000.0</v>
      </c>
      <c r="L2417" s="74">
        <v>613000.0</v>
      </c>
      <c r="M2417" s="74">
        <f t="shared" si="2"/>
        <v>615000</v>
      </c>
      <c r="N2417" s="74">
        <f t="shared" si="3"/>
        <v>85000</v>
      </c>
      <c r="O2417" s="65" t="str">
        <f>VLOOKUP(E2417,DATABASE!C:Q,8,false)</f>
        <v>IBU</v>
      </c>
      <c r="P2417" s="65">
        <f>VLOOKUP(E2417,DATABASE!C:Q,9,False)</f>
        <v>1</v>
      </c>
      <c r="Q2417" s="93" t="str">
        <f>VLOOKUP(E2417,DATABASE!C:Q,4,false)</f>
        <v>Dunlop</v>
      </c>
      <c r="R2417" s="93" t="str">
        <f>VLOOKUP(E2417,DATABASE!C:Q,11,false)</f>
        <v>Tire</v>
      </c>
    </row>
    <row r="2418" ht="22.5" customHeight="1">
      <c r="A2418" s="49"/>
      <c r="C2418" s="384">
        <v>45780.0</v>
      </c>
      <c r="D2418" s="65">
        <v>5511.0</v>
      </c>
      <c r="E2418" s="445" t="s">
        <v>265</v>
      </c>
      <c r="F2418" s="386">
        <v>2.0</v>
      </c>
      <c r="G2418" s="74">
        <v>670000.0</v>
      </c>
      <c r="H2418" s="74">
        <v>0.0</v>
      </c>
      <c r="I2418" s="74">
        <f t="shared" si="1"/>
        <v>1340000</v>
      </c>
      <c r="J2418" s="74">
        <f>IF(E2418="SERVICE",I2418-(I2418*50%),Vlookup(E2418,DATABASE!C:Q,10,false)*F2418)</f>
        <v>0</v>
      </c>
      <c r="K2418" s="74">
        <v>590000.0</v>
      </c>
      <c r="L2418" s="74">
        <v>590000.0</v>
      </c>
      <c r="M2418" s="74">
        <f t="shared" si="2"/>
        <v>590000</v>
      </c>
      <c r="N2418" s="74">
        <f t="shared" si="3"/>
        <v>160000</v>
      </c>
      <c r="O2418" s="65" t="str">
        <f>VLOOKUP(E2418,DATABASE!C:Q,8,false)</f>
        <v>IBU</v>
      </c>
      <c r="P2418" s="65">
        <f>VLOOKUP(E2418,DATABASE!C:Q,9,False)</f>
        <v>1</v>
      </c>
      <c r="Q2418" s="93" t="str">
        <f>VLOOKUP(E2418,DATABASE!C:Q,4,false)</f>
        <v>Dunlop</v>
      </c>
      <c r="R2418" s="93" t="str">
        <f>VLOOKUP(E2418,DATABASE!C:Q,11,false)</f>
        <v>Tire</v>
      </c>
    </row>
    <row r="2419" ht="22.5" customHeight="1">
      <c r="A2419" s="49"/>
      <c r="C2419" s="384">
        <v>45780.0</v>
      </c>
      <c r="D2419" s="65">
        <v>5512.0</v>
      </c>
      <c r="E2419" s="445" t="s">
        <v>1894</v>
      </c>
      <c r="F2419" s="386">
        <v>1.0</v>
      </c>
      <c r="G2419" s="74">
        <v>535000.0</v>
      </c>
      <c r="H2419" s="74">
        <v>0.0</v>
      </c>
      <c r="I2419" s="74">
        <f t="shared" si="1"/>
        <v>535000</v>
      </c>
      <c r="J2419" s="74">
        <f>IF(E2419="SERVICE",I2419-(I2419*50%),Vlookup(E2419,DATABASE!C:Q,10,false)*F2419)</f>
        <v>0</v>
      </c>
      <c r="K2419" s="74">
        <f>VLOOKUP(E2419,DATABASE!C:Q,7,false)</f>
        <v>458600</v>
      </c>
      <c r="L2419" s="74">
        <v>445400.0</v>
      </c>
      <c r="M2419" s="74">
        <f t="shared" si="2"/>
        <v>450000</v>
      </c>
      <c r="N2419" s="74">
        <f t="shared" si="3"/>
        <v>85000</v>
      </c>
      <c r="O2419" s="65" t="str">
        <f>VLOOKUP(E2419,DATABASE!C:Q,8,false)</f>
        <v>BIAN</v>
      </c>
      <c r="P2419" s="65">
        <f>VLOOKUP(E2419,DATABASE!C:Q,9,False)</f>
        <v>1</v>
      </c>
      <c r="Q2419" s="93" t="str">
        <f>VLOOKUP(E2419,DATABASE!C:Q,4,false)</f>
        <v>GT</v>
      </c>
      <c r="R2419" s="93" t="str">
        <f>VLOOKUP(E2419,DATABASE!C:Q,11,false)</f>
        <v>Tire</v>
      </c>
    </row>
    <row r="2420" ht="22.5" customHeight="1">
      <c r="A2420" s="49"/>
      <c r="C2420" s="384">
        <v>45780.0</v>
      </c>
      <c r="D2420" s="65">
        <v>5513.0</v>
      </c>
      <c r="E2420" s="445" t="s">
        <v>256</v>
      </c>
      <c r="F2420" s="386">
        <v>1.0</v>
      </c>
      <c r="G2420" s="74">
        <v>130000.0</v>
      </c>
      <c r="H2420" s="74">
        <v>0.0</v>
      </c>
      <c r="I2420" s="74">
        <f t="shared" si="1"/>
        <v>130000</v>
      </c>
      <c r="J2420" s="74">
        <f>IF(E2420="SERVICE",I2420-(I2420*50%),Vlookup(E2420,DATABASE!C:Q,10,false)*F2420)</f>
        <v>10000</v>
      </c>
      <c r="K2420" s="74">
        <f>VLOOKUP(E2420,DATABASE!C:Q,7,false)</f>
        <v>0</v>
      </c>
      <c r="L2420" s="74">
        <v>0.0</v>
      </c>
      <c r="M2420" s="74">
        <f t="shared" si="2"/>
        <v>0</v>
      </c>
      <c r="N2420" s="74">
        <f t="shared" si="3"/>
        <v>120000</v>
      </c>
      <c r="O2420" s="65" t="str">
        <f>VLOOKUP(E2420,DATABASE!C:Q,8,false)</f>
        <v>IBU</v>
      </c>
      <c r="P2420" s="65">
        <f>VLOOKUP(E2420,DATABASE!C:Q,9,False)</f>
        <v>0</v>
      </c>
      <c r="Q2420" s="93" t="str">
        <f>VLOOKUP(E2420,DATABASE!C:Q,4,false)</f>
        <v>SPOORING</v>
      </c>
      <c r="R2420" s="93" t="str">
        <f>VLOOKUP(E2420,DATABASE!C:Q,11,false)</f>
        <v>SERVICE</v>
      </c>
    </row>
    <row r="2421" ht="22.5" customHeight="1">
      <c r="A2421" s="49"/>
      <c r="C2421" s="384">
        <v>45780.0</v>
      </c>
      <c r="D2421" s="65">
        <v>5513.0</v>
      </c>
      <c r="E2421" s="445" t="s">
        <v>301</v>
      </c>
      <c r="F2421" s="386">
        <v>1.0</v>
      </c>
      <c r="G2421" s="74">
        <v>250000.0</v>
      </c>
      <c r="H2421" s="74">
        <v>0.0</v>
      </c>
      <c r="I2421" s="74">
        <f t="shared" si="1"/>
        <v>250000</v>
      </c>
      <c r="J2421" s="74">
        <f>IF(E2421="SERVICE",I2421-(I2421*50%),Vlookup(E2421,DATABASE!C:Q,10,false)*F2421)</f>
        <v>75000</v>
      </c>
      <c r="K2421" s="74">
        <f>VLOOKUP(E2421,DATABASE!C:Q,7,false)</f>
        <v>75000</v>
      </c>
      <c r="L2421" s="74">
        <v>75000.0</v>
      </c>
      <c r="M2421" s="74">
        <f t="shared" si="2"/>
        <v>75000</v>
      </c>
      <c r="N2421" s="74">
        <f t="shared" si="3"/>
        <v>100000</v>
      </c>
      <c r="O2421" s="65" t="str">
        <f>VLOOKUP(E2421,DATABASE!C:Q,8,false)</f>
        <v>BIAN</v>
      </c>
      <c r="P2421" s="65">
        <f>VLOOKUP(E2421,DATABASE!C:Q,9,False)</f>
        <v>0</v>
      </c>
      <c r="Q2421" s="93" t="str">
        <f>VLOOKUP(E2421,DATABASE!C:Q,4,false)</f>
        <v>Baut Camber</v>
      </c>
      <c r="R2421" s="93" t="str">
        <f>VLOOKUP(E2421,DATABASE!C:Q,11,false)</f>
        <v>COMPLEMENTARY</v>
      </c>
    </row>
    <row r="2422" ht="22.5" customHeight="1">
      <c r="A2422" s="49"/>
      <c r="C2422" s="384">
        <v>45780.0</v>
      </c>
      <c r="D2422" s="65">
        <v>5513.0</v>
      </c>
      <c r="E2422" s="385" t="s">
        <v>299</v>
      </c>
      <c r="F2422" s="386">
        <v>2.0</v>
      </c>
      <c r="G2422" s="74">
        <v>30000.0</v>
      </c>
      <c r="H2422" s="74">
        <v>0.0</v>
      </c>
      <c r="I2422" s="74">
        <f t="shared" si="1"/>
        <v>60000</v>
      </c>
      <c r="J2422" s="74">
        <f>IF(E2422="SERVICE",I2422-(I2422*50%),Vlookup(E2422,DATABASE!C:Q,10,false)*F2422)</f>
        <v>0</v>
      </c>
      <c r="K2422" s="74">
        <v>0.0</v>
      </c>
      <c r="L2422" s="74">
        <v>0.0</v>
      </c>
      <c r="M2422" s="74">
        <f t="shared" si="2"/>
        <v>0</v>
      </c>
      <c r="N2422" s="74">
        <f t="shared" si="3"/>
        <v>60000</v>
      </c>
      <c r="O2422" s="65" t="str">
        <f>VLOOKUP(E2422,DATABASE!C:Q,8,false)</f>
        <v>BIAN</v>
      </c>
      <c r="P2422" s="65">
        <f>VLOOKUP(E2422,DATABASE!C:Q,9,False)</f>
        <v>0</v>
      </c>
      <c r="Q2422" s="93" t="str">
        <f>VLOOKUP(E2422,DATABASE!C:Q,4,false)</f>
        <v>Balancing</v>
      </c>
      <c r="R2422" s="93" t="str">
        <f>VLOOKUP(E2422,DATABASE!C:Q,11,false)</f>
        <v>COMPLEMENTARY</v>
      </c>
    </row>
    <row r="2423" ht="22.5" customHeight="1">
      <c r="A2423" s="49"/>
      <c r="C2423" s="384">
        <v>45781.0</v>
      </c>
      <c r="D2423" s="65">
        <v>5514.0</v>
      </c>
      <c r="E2423" s="445" t="s">
        <v>604</v>
      </c>
      <c r="F2423" s="386">
        <v>1.0</v>
      </c>
      <c r="G2423" s="74">
        <v>160000.0</v>
      </c>
      <c r="H2423" s="74">
        <v>0.0</v>
      </c>
      <c r="I2423" s="74">
        <f t="shared" si="1"/>
        <v>160000</v>
      </c>
      <c r="J2423" s="74">
        <f>IF(E2423="SERVICE",I2423-(I2423*50%),Vlookup(E2423,DATABASE!C:Q,10,false)*F2423)</f>
        <v>0</v>
      </c>
      <c r="K2423" s="74">
        <f>VLOOKUP(E2423,DATABASE!C:Q,7,false)</f>
        <v>124000</v>
      </c>
      <c r="L2423" s="74">
        <v>124000.0</v>
      </c>
      <c r="M2423" s="74">
        <f t="shared" si="2"/>
        <v>125000</v>
      </c>
      <c r="N2423" s="74">
        <f t="shared" si="3"/>
        <v>35000</v>
      </c>
      <c r="O2423" s="65" t="str">
        <f>VLOOKUP(E2423,DATABASE!C:Q,8,false)</f>
        <v>BIAN</v>
      </c>
      <c r="P2423" s="65">
        <f>VLOOKUP(E2423,DATABASE!C:Q,9,False)</f>
        <v>1</v>
      </c>
      <c r="Q2423" s="93" t="str">
        <f>VLOOKUP(E2423,DATABASE!C:Q,4,false)</f>
        <v>BD</v>
      </c>
      <c r="R2423" s="93" t="str">
        <f>VLOOKUP(E2423,DATABASE!C:Q,11,false)</f>
        <v>Tire</v>
      </c>
    </row>
    <row r="2424" ht="22.5" customHeight="1">
      <c r="A2424" s="49"/>
      <c r="C2424" s="384">
        <v>45781.0</v>
      </c>
      <c r="D2424" s="65">
        <v>5515.0</v>
      </c>
      <c r="E2424" s="445" t="s">
        <v>974</v>
      </c>
      <c r="F2424" s="386">
        <v>1.0</v>
      </c>
      <c r="G2424" s="74">
        <v>560000.0</v>
      </c>
      <c r="H2424" s="74">
        <v>0.0</v>
      </c>
      <c r="I2424" s="74">
        <f t="shared" si="1"/>
        <v>560000</v>
      </c>
      <c r="J2424" s="74">
        <f>IF(E2424="SERVICE",I2424-(I2424*50%),Vlookup(E2424,DATABASE!C:Q,10,false)*F2424)</f>
        <v>0</v>
      </c>
      <c r="K2424" s="74">
        <f>VLOOKUP(E2424,DATABASE!C:Q,7,false)</f>
        <v>501500</v>
      </c>
      <c r="L2424" s="74">
        <v>491000.0</v>
      </c>
      <c r="M2424" s="74">
        <f t="shared" si="2"/>
        <v>495000</v>
      </c>
      <c r="N2424" s="74">
        <f t="shared" si="3"/>
        <v>65000</v>
      </c>
      <c r="O2424" s="65" t="str">
        <f>VLOOKUP(E2424,DATABASE!C:Q,8,false)</f>
        <v>IBU</v>
      </c>
      <c r="P2424" s="65">
        <f>VLOOKUP(E2424,DATABASE!C:Q,9,False)</f>
        <v>1</v>
      </c>
      <c r="Q2424" s="93" t="str">
        <f>VLOOKUP(E2424,DATABASE!C:Q,4,false)</f>
        <v>Dunlop</v>
      </c>
      <c r="R2424" s="93" t="str">
        <f>VLOOKUP(E2424,DATABASE!C:Q,11,false)</f>
        <v>Tire</v>
      </c>
    </row>
    <row r="2425" ht="22.5" customHeight="1">
      <c r="A2425" s="49"/>
      <c r="C2425" s="384">
        <v>45781.0</v>
      </c>
      <c r="D2425" s="65">
        <v>5516.0</v>
      </c>
      <c r="E2425" s="445" t="s">
        <v>937</v>
      </c>
      <c r="F2425" s="386">
        <v>2.0</v>
      </c>
      <c r="G2425" s="74">
        <v>900000.0</v>
      </c>
      <c r="H2425" s="74">
        <v>0.0</v>
      </c>
      <c r="I2425" s="74">
        <f t="shared" si="1"/>
        <v>1800000</v>
      </c>
      <c r="J2425" s="74">
        <f>IF(E2425="SERVICE",I2425-(I2425*50%),Vlookup(E2425,DATABASE!C:Q,10,false)*F2425)</f>
        <v>0</v>
      </c>
      <c r="K2425" s="74">
        <f>VLOOKUP(E2425,DATABASE!C:Q,7,false)</f>
        <v>825000</v>
      </c>
      <c r="L2425" s="74">
        <v>790000.0</v>
      </c>
      <c r="M2425" s="74">
        <f t="shared" si="2"/>
        <v>790000</v>
      </c>
      <c r="N2425" s="74">
        <f t="shared" si="3"/>
        <v>220000</v>
      </c>
      <c r="O2425" s="65" t="str">
        <f>VLOOKUP(E2425,DATABASE!C:Q,8,false)</f>
        <v>IBU</v>
      </c>
      <c r="P2425" s="65">
        <f>VLOOKUP(E2425,DATABASE!C:Q,9,False)</f>
        <v>1</v>
      </c>
      <c r="Q2425" s="93" t="str">
        <f>VLOOKUP(E2425,DATABASE!C:Q,4,false)</f>
        <v>Bridgestone</v>
      </c>
      <c r="R2425" s="93" t="str">
        <f>VLOOKUP(E2425,DATABASE!C:Q,11,false)</f>
        <v>Tire</v>
      </c>
    </row>
    <row r="2426" ht="22.5" customHeight="1">
      <c r="A2426" s="49"/>
      <c r="C2426" s="384">
        <v>45781.0</v>
      </c>
      <c r="D2426" s="65">
        <v>5517.0</v>
      </c>
      <c r="E2426" s="445" t="s">
        <v>256</v>
      </c>
      <c r="F2426" s="386">
        <v>1.0</v>
      </c>
      <c r="G2426" s="74">
        <v>130000.0</v>
      </c>
      <c r="H2426" s="74">
        <v>0.0</v>
      </c>
      <c r="I2426" s="74">
        <f t="shared" si="1"/>
        <v>130000</v>
      </c>
      <c r="J2426" s="74">
        <f>IF(E2426="SERVICE",I2426-(I2426*50%),Vlookup(E2426,DATABASE!C:Q,10,false)*F2426)</f>
        <v>10000</v>
      </c>
      <c r="K2426" s="74">
        <f>VLOOKUP(E2426,DATABASE!C:Q,7,false)</f>
        <v>0</v>
      </c>
      <c r="L2426" s="74">
        <v>0.0</v>
      </c>
      <c r="M2426" s="74">
        <f t="shared" si="2"/>
        <v>0</v>
      </c>
      <c r="N2426" s="74">
        <f t="shared" si="3"/>
        <v>120000</v>
      </c>
      <c r="O2426" s="65" t="str">
        <f>VLOOKUP(E2426,DATABASE!C:Q,8,false)</f>
        <v>IBU</v>
      </c>
      <c r="P2426" s="65">
        <f>VLOOKUP(E2426,DATABASE!C:Q,9,False)</f>
        <v>0</v>
      </c>
      <c r="Q2426" s="93" t="str">
        <f>VLOOKUP(E2426,DATABASE!C:Q,4,false)</f>
        <v>SPOORING</v>
      </c>
      <c r="R2426" s="93" t="str">
        <f>VLOOKUP(E2426,DATABASE!C:Q,11,false)</f>
        <v>SERVICE</v>
      </c>
    </row>
    <row r="2427" ht="22.5" customHeight="1">
      <c r="A2427" s="49"/>
      <c r="C2427" s="384">
        <v>45781.0</v>
      </c>
      <c r="D2427" s="65">
        <v>5517.0</v>
      </c>
      <c r="E2427" s="445" t="s">
        <v>301</v>
      </c>
      <c r="F2427" s="386">
        <v>1.0</v>
      </c>
      <c r="G2427" s="74">
        <v>250000.0</v>
      </c>
      <c r="H2427" s="74">
        <v>0.0</v>
      </c>
      <c r="I2427" s="74">
        <f t="shared" si="1"/>
        <v>250000</v>
      </c>
      <c r="J2427" s="74">
        <f>IF(E2427="SERVICE",I2427-(I2427*50%),Vlookup(E2427,DATABASE!C:Q,10,false)*F2427)</f>
        <v>75000</v>
      </c>
      <c r="K2427" s="74">
        <f>VLOOKUP(E2427,DATABASE!C:Q,7,false)</f>
        <v>75000</v>
      </c>
      <c r="L2427" s="74">
        <v>75000.0</v>
      </c>
      <c r="M2427" s="74">
        <f t="shared" si="2"/>
        <v>75000</v>
      </c>
      <c r="N2427" s="74">
        <f t="shared" si="3"/>
        <v>100000</v>
      </c>
      <c r="O2427" s="65" t="str">
        <f>VLOOKUP(E2427,DATABASE!C:Q,8,false)</f>
        <v>BIAN</v>
      </c>
      <c r="P2427" s="65">
        <f>VLOOKUP(E2427,DATABASE!C:Q,9,False)</f>
        <v>0</v>
      </c>
      <c r="Q2427" s="93" t="str">
        <f>VLOOKUP(E2427,DATABASE!C:Q,4,false)</f>
        <v>Baut Camber</v>
      </c>
      <c r="R2427" s="93" t="str">
        <f>VLOOKUP(E2427,DATABASE!C:Q,11,false)</f>
        <v>COMPLEMENTARY</v>
      </c>
    </row>
    <row r="2428" ht="22.5" customHeight="1">
      <c r="A2428" s="49"/>
      <c r="C2428" s="384">
        <v>45782.0</v>
      </c>
      <c r="D2428" s="65">
        <v>5519.0</v>
      </c>
      <c r="E2428" s="445" t="s">
        <v>554</v>
      </c>
      <c r="F2428" s="386">
        <v>2.0</v>
      </c>
      <c r="G2428" s="74">
        <v>800000.0</v>
      </c>
      <c r="H2428" s="74">
        <v>0.0</v>
      </c>
      <c r="I2428" s="74">
        <f t="shared" si="1"/>
        <v>1600000</v>
      </c>
      <c r="J2428" s="74">
        <f>IF(E2428="SERVICE",I2428-(I2428*50%),Vlookup(E2428,DATABASE!C:Q,10,false)*F2428)</f>
        <v>0</v>
      </c>
      <c r="K2428" s="74">
        <f>VLOOKUP(E2428,DATABASE!C:Q,7,false)</f>
        <v>710000</v>
      </c>
      <c r="L2428" s="74">
        <v>680000.0</v>
      </c>
      <c r="M2428" s="74">
        <f t="shared" si="2"/>
        <v>680000</v>
      </c>
      <c r="N2428" s="74">
        <f t="shared" si="3"/>
        <v>240000</v>
      </c>
      <c r="O2428" s="65" t="str">
        <f>VLOOKUP(E2428,DATABASE!C:Q,8,false)</f>
        <v>IBU</v>
      </c>
      <c r="P2428" s="65">
        <f>VLOOKUP(E2428,DATABASE!C:Q,9,False)</f>
        <v>1</v>
      </c>
      <c r="Q2428" s="93" t="str">
        <f>VLOOKUP(E2428,DATABASE!C:Q,4,false)</f>
        <v>Bridgestone</v>
      </c>
      <c r="R2428" s="93" t="str">
        <f>VLOOKUP(E2428,DATABASE!C:Q,11,false)</f>
        <v>Tire</v>
      </c>
    </row>
    <row r="2429" ht="22.5" customHeight="1">
      <c r="A2429" s="49"/>
      <c r="C2429" s="384">
        <v>45782.0</v>
      </c>
      <c r="D2429" s="65">
        <v>5520.0</v>
      </c>
      <c r="E2429" s="445" t="s">
        <v>791</v>
      </c>
      <c r="F2429" s="386">
        <v>2.0</v>
      </c>
      <c r="G2429" s="74">
        <v>1280000.0</v>
      </c>
      <c r="H2429" s="74">
        <v>0.0</v>
      </c>
      <c r="I2429" s="74">
        <f t="shared" si="1"/>
        <v>2560000</v>
      </c>
      <c r="J2429" s="74">
        <f>IF(E2429="SERVICE",I2429-(I2429*50%),Vlookup(E2429,DATABASE!C:Q,10,false)*F2429)</f>
        <v>0</v>
      </c>
      <c r="K2429" s="74">
        <f>VLOOKUP(E2429,DATABASE!C:Q,7,false)</f>
        <v>1210000</v>
      </c>
      <c r="L2429" s="74">
        <v>1180000.0</v>
      </c>
      <c r="M2429" s="74">
        <f t="shared" si="2"/>
        <v>1180000</v>
      </c>
      <c r="N2429" s="74">
        <f t="shared" si="3"/>
        <v>200000</v>
      </c>
      <c r="O2429" s="65" t="str">
        <f>VLOOKUP(E2429,DATABASE!C:Q,8,false)</f>
        <v>BIAN</v>
      </c>
      <c r="P2429" s="65">
        <f>VLOOKUP(E2429,DATABASE!C:Q,9,False)</f>
        <v>1</v>
      </c>
      <c r="Q2429" s="93" t="str">
        <f>VLOOKUP(E2429,DATABASE!C:Q,4,false)</f>
        <v>GT</v>
      </c>
      <c r="R2429" s="93" t="str">
        <f>VLOOKUP(E2429,DATABASE!C:Q,11,false)</f>
        <v>Tire</v>
      </c>
    </row>
    <row r="2430" ht="22.5" customHeight="1">
      <c r="A2430" s="49"/>
      <c r="C2430" s="384">
        <v>45782.0</v>
      </c>
      <c r="D2430" s="65">
        <v>5520.0</v>
      </c>
      <c r="E2430" s="445" t="s">
        <v>255</v>
      </c>
      <c r="F2430" s="386">
        <v>2.0</v>
      </c>
      <c r="G2430" s="74">
        <v>200000.0</v>
      </c>
      <c r="H2430" s="74">
        <v>0.0</v>
      </c>
      <c r="I2430" s="74">
        <f t="shared" si="1"/>
        <v>400000</v>
      </c>
      <c r="J2430" s="74">
        <f>IF(E2430="SERVICE",I2430-(I2430*50%),Vlookup(E2430,DATABASE!C:Q,10,false)*F2430)</f>
        <v>0</v>
      </c>
      <c r="K2430" s="74">
        <f>VLOOKUP(E2430,DATABASE!C:Q,7,false)</f>
        <v>161840</v>
      </c>
      <c r="L2430" s="74">
        <v>161840.0</v>
      </c>
      <c r="M2430" s="74">
        <f t="shared" si="2"/>
        <v>165000</v>
      </c>
      <c r="N2430" s="74">
        <f t="shared" si="3"/>
        <v>70000</v>
      </c>
      <c r="O2430" s="65" t="str">
        <f>VLOOKUP(E2430,DATABASE!C:Q,8,false)</f>
        <v>BIAN</v>
      </c>
      <c r="P2430" s="65">
        <f>VLOOKUP(E2430,DATABASE!C:Q,9,False)</f>
        <v>1</v>
      </c>
      <c r="Q2430" s="93" t="str">
        <f>VLOOKUP(E2430,DATABASE!C:Q,4,false)</f>
        <v>BD</v>
      </c>
      <c r="R2430" s="93" t="str">
        <f>VLOOKUP(E2430,DATABASE!C:Q,11,false)</f>
        <v>Tire</v>
      </c>
    </row>
    <row r="2431" ht="22.5" customHeight="1">
      <c r="A2431" s="49"/>
      <c r="C2431" s="384">
        <v>45782.0</v>
      </c>
      <c r="D2431" s="65">
        <v>5521.0</v>
      </c>
      <c r="E2431" s="445" t="s">
        <v>262</v>
      </c>
      <c r="F2431" s="386">
        <v>1.0</v>
      </c>
      <c r="G2431" s="74">
        <v>110000.0</v>
      </c>
      <c r="H2431" s="74">
        <v>0.0</v>
      </c>
      <c r="I2431" s="74">
        <f t="shared" si="1"/>
        <v>110000</v>
      </c>
      <c r="J2431" s="74">
        <f>IF(E2431="SERVICE",I2431-(I2431*50%),Vlookup(E2431,DATABASE!C:Q,10,false)*F2431)</f>
        <v>5000</v>
      </c>
      <c r="K2431" s="74">
        <f>VLOOKUP(E2431,DATABASE!C:Q,7,false)</f>
        <v>0</v>
      </c>
      <c r="L2431" s="74">
        <v>0.0</v>
      </c>
      <c r="M2431" s="74">
        <f t="shared" si="2"/>
        <v>0</v>
      </c>
      <c r="N2431" s="74">
        <f t="shared" si="3"/>
        <v>105000</v>
      </c>
      <c r="O2431" s="65" t="str">
        <f>VLOOKUP(E2431,DATABASE!C:Q,8,false)</f>
        <v>IBU</v>
      </c>
      <c r="P2431" s="65">
        <f>VLOOKUP(E2431,DATABASE!C:Q,9,False)</f>
        <v>0</v>
      </c>
      <c r="Q2431" s="93" t="str">
        <f>VLOOKUP(E2431,DATABASE!C:Q,4,false)</f>
        <v>SPOORING SS/CARRY LOS BAK</v>
      </c>
      <c r="R2431" s="93" t="str">
        <f>VLOOKUP(E2431,DATABASE!C:Q,11,false)</f>
        <v>SERVICE</v>
      </c>
    </row>
    <row r="2432" ht="22.5" customHeight="1">
      <c r="A2432" s="49"/>
      <c r="C2432" s="384">
        <v>45782.0</v>
      </c>
      <c r="D2432" s="65">
        <v>5521.0</v>
      </c>
      <c r="E2432" s="385" t="s">
        <v>305</v>
      </c>
      <c r="F2432" s="386">
        <v>1.0</v>
      </c>
      <c r="G2432" s="74">
        <v>230000.0</v>
      </c>
      <c r="H2432" s="74">
        <v>0.0</v>
      </c>
      <c r="I2432" s="74">
        <f t="shared" si="1"/>
        <v>230000</v>
      </c>
      <c r="J2432" s="74">
        <f>IF(E2432="SERVICE",I2432-(I2432*50%),Vlookup(E2432,DATABASE!C:Q,10,false)*F2432)</f>
        <v>40000</v>
      </c>
      <c r="K2432" s="74">
        <f>VLOOKUP(E2432,DATABASE!C:Q,7,false)</f>
        <v>158530.2</v>
      </c>
      <c r="L2432" s="74">
        <v>151890.0</v>
      </c>
      <c r="M2432" s="74">
        <f t="shared" si="2"/>
        <v>155000</v>
      </c>
      <c r="N2432" s="74">
        <f t="shared" si="3"/>
        <v>35000</v>
      </c>
      <c r="O2432" s="65" t="str">
        <f>VLOOKUP(E2432,DATABASE!C:Q,8,false)</f>
        <v>BIAN</v>
      </c>
      <c r="P2432" s="65">
        <f>VLOOKUP(E2432,DATABASE!C:Q,9,False)</f>
        <v>1</v>
      </c>
      <c r="Q2432" s="93" t="str">
        <f>VLOOKUP(E2432,DATABASE!C:Q,4,false)</f>
        <v>Lower Arm</v>
      </c>
      <c r="R2432" s="93" t="str">
        <f>VLOOKUP(E2432,DATABASE!C:Q,11,false)</f>
        <v>COMPLEMENTARY</v>
      </c>
    </row>
    <row r="2433" ht="22.5" customHeight="1">
      <c r="A2433" s="49"/>
      <c r="C2433" s="384">
        <v>45782.0</v>
      </c>
      <c r="D2433" s="65">
        <v>5521.0</v>
      </c>
      <c r="E2433" s="445" t="s">
        <v>251</v>
      </c>
      <c r="F2433" s="386">
        <v>1.0</v>
      </c>
      <c r="G2433" s="74">
        <v>200000.0</v>
      </c>
      <c r="H2433" s="74">
        <v>0.0</v>
      </c>
      <c r="I2433" s="74">
        <f t="shared" si="1"/>
        <v>200000</v>
      </c>
      <c r="J2433" s="74">
        <f>IF(E2433="SERVICE",I2433-(I2433*50%),Vlookup(E2433,DATABASE!C:Q,10,false)*F2433)</f>
        <v>100000</v>
      </c>
      <c r="K2433" s="74">
        <f>VLOOKUP(E2433,DATABASE!C:Q,7,false)</f>
        <v>0</v>
      </c>
      <c r="L2433" s="74">
        <v>0.0</v>
      </c>
      <c r="M2433" s="74">
        <f t="shared" si="2"/>
        <v>0</v>
      </c>
      <c r="N2433" s="74">
        <f t="shared" si="3"/>
        <v>100000</v>
      </c>
      <c r="O2433" s="65" t="str">
        <f>VLOOKUP(E2433,DATABASE!C:Q,8,false)</f>
        <v>IBU</v>
      </c>
      <c r="P2433" s="65">
        <f>VLOOKUP(E2433,DATABASE!C:Q,9,False)</f>
        <v>0</v>
      </c>
      <c r="Q2433" s="93" t="str">
        <f>VLOOKUP(E2433,DATABASE!C:Q,4,false)</f>
        <v>SERVICE</v>
      </c>
      <c r="R2433" s="93" t="str">
        <f>VLOOKUP(E2433,DATABASE!C:Q,11,false)</f>
        <v>SERVICE</v>
      </c>
    </row>
    <row r="2434" ht="22.5" customHeight="1">
      <c r="A2434" s="49"/>
      <c r="C2434" s="384">
        <v>45782.0</v>
      </c>
      <c r="D2434" s="65">
        <v>5522.0</v>
      </c>
      <c r="E2434" s="445" t="s">
        <v>932</v>
      </c>
      <c r="F2434" s="386">
        <v>2.0</v>
      </c>
      <c r="G2434" s="74">
        <v>670000.0</v>
      </c>
      <c r="H2434" s="74">
        <v>0.0</v>
      </c>
      <c r="I2434" s="74">
        <f t="shared" si="1"/>
        <v>1340000</v>
      </c>
      <c r="J2434" s="74">
        <f>IF(E2434="SERVICE",I2434-(I2434*50%),Vlookup(E2434,DATABASE!C:Q,10,false)*F2434)</f>
        <v>0</v>
      </c>
      <c r="K2434" s="74">
        <v>575000.0</v>
      </c>
      <c r="L2434" s="74">
        <v>575000.0</v>
      </c>
      <c r="M2434" s="74">
        <f t="shared" si="2"/>
        <v>575000</v>
      </c>
      <c r="N2434" s="74">
        <f t="shared" si="3"/>
        <v>190000</v>
      </c>
      <c r="O2434" s="65" t="str">
        <f>VLOOKUP(E2434,DATABASE!C:Q,8,false)</f>
        <v>IBU</v>
      </c>
      <c r="P2434" s="65">
        <f>VLOOKUP(E2434,DATABASE!C:Q,9,False)</f>
        <v>1</v>
      </c>
      <c r="Q2434" s="93" t="str">
        <f>VLOOKUP(E2434,DATABASE!C:Q,4,false)</f>
        <v>Dunlop</v>
      </c>
      <c r="R2434" s="93" t="str">
        <f>VLOOKUP(E2434,DATABASE!C:Q,11,false)</f>
        <v>Tire</v>
      </c>
    </row>
    <row r="2435" ht="22.5" customHeight="1">
      <c r="A2435" s="49"/>
      <c r="C2435" s="384">
        <v>45782.0</v>
      </c>
      <c r="D2435" s="65">
        <v>5523.0</v>
      </c>
      <c r="E2435" s="445" t="s">
        <v>256</v>
      </c>
      <c r="F2435" s="386">
        <v>1.0</v>
      </c>
      <c r="G2435" s="74">
        <v>130000.0</v>
      </c>
      <c r="H2435" s="74">
        <v>0.0</v>
      </c>
      <c r="I2435" s="74">
        <f t="shared" si="1"/>
        <v>130000</v>
      </c>
      <c r="J2435" s="74">
        <f>IF(E2435="SERVICE",I2435-(I2435*50%),Vlookup(E2435,DATABASE!C:Q,10,false)*F2435)</f>
        <v>10000</v>
      </c>
      <c r="K2435" s="74">
        <f>VLOOKUP(E2435,DATABASE!C:Q,7,false)</f>
        <v>0</v>
      </c>
      <c r="L2435" s="74">
        <v>0.0</v>
      </c>
      <c r="M2435" s="74">
        <f t="shared" si="2"/>
        <v>0</v>
      </c>
      <c r="N2435" s="74">
        <f t="shared" si="3"/>
        <v>120000</v>
      </c>
      <c r="O2435" s="65" t="str">
        <f>VLOOKUP(E2435,DATABASE!C:Q,8,false)</f>
        <v>IBU</v>
      </c>
      <c r="P2435" s="65">
        <f>VLOOKUP(E2435,DATABASE!C:Q,9,False)</f>
        <v>0</v>
      </c>
      <c r="Q2435" s="93" t="str">
        <f>VLOOKUP(E2435,DATABASE!C:Q,4,false)</f>
        <v>SPOORING</v>
      </c>
      <c r="R2435" s="93" t="str">
        <f>VLOOKUP(E2435,DATABASE!C:Q,11,false)</f>
        <v>SERVICE</v>
      </c>
    </row>
    <row r="2436" ht="22.5" customHeight="1">
      <c r="A2436" s="49"/>
      <c r="C2436" s="384">
        <v>45782.0</v>
      </c>
      <c r="D2436" s="65">
        <v>5523.0</v>
      </c>
      <c r="E2436" s="385" t="s">
        <v>299</v>
      </c>
      <c r="F2436" s="386">
        <v>2.0</v>
      </c>
      <c r="G2436" s="74">
        <v>30000.0</v>
      </c>
      <c r="H2436" s="74">
        <v>0.0</v>
      </c>
      <c r="I2436" s="74">
        <f t="shared" si="1"/>
        <v>60000</v>
      </c>
      <c r="J2436" s="74">
        <f>IF(E2436="SERVICE",I2436-(I2436*50%),Vlookup(E2436,DATABASE!C:Q,10,false)*F2436)</f>
        <v>0</v>
      </c>
      <c r="K2436" s="74">
        <v>0.0</v>
      </c>
      <c r="L2436" s="74">
        <v>0.0</v>
      </c>
      <c r="M2436" s="74">
        <f t="shared" si="2"/>
        <v>0</v>
      </c>
      <c r="N2436" s="74">
        <f t="shared" si="3"/>
        <v>60000</v>
      </c>
      <c r="O2436" s="65" t="str">
        <f>VLOOKUP(E2436,DATABASE!C:Q,8,false)</f>
        <v>BIAN</v>
      </c>
      <c r="P2436" s="65">
        <f>VLOOKUP(E2436,DATABASE!C:Q,9,False)</f>
        <v>0</v>
      </c>
      <c r="Q2436" s="93" t="str">
        <f>VLOOKUP(E2436,DATABASE!C:Q,4,false)</f>
        <v>Balancing</v>
      </c>
      <c r="R2436" s="93" t="str">
        <f>VLOOKUP(E2436,DATABASE!C:Q,11,false)</f>
        <v>COMPLEMENTARY</v>
      </c>
    </row>
    <row r="2437" ht="22.5" customHeight="1">
      <c r="A2437" s="49"/>
      <c r="C2437" s="384">
        <v>45782.0</v>
      </c>
      <c r="D2437" s="65">
        <v>5523.0</v>
      </c>
      <c r="E2437" s="445" t="s">
        <v>251</v>
      </c>
      <c r="F2437" s="386">
        <v>1.0</v>
      </c>
      <c r="G2437" s="74">
        <v>150000.0</v>
      </c>
      <c r="H2437" s="74">
        <v>0.0</v>
      </c>
      <c r="I2437" s="74">
        <f t="shared" si="1"/>
        <v>150000</v>
      </c>
      <c r="J2437" s="74">
        <f>IF(E2437="SERVICE",I2437-(I2437*50%),Vlookup(E2437,DATABASE!C:Q,10,false)*F2437)</f>
        <v>75000</v>
      </c>
      <c r="K2437" s="74">
        <f>VLOOKUP(E2437,DATABASE!C:Q,7,false)</f>
        <v>0</v>
      </c>
      <c r="L2437" s="74">
        <v>0.0</v>
      </c>
      <c r="M2437" s="74">
        <f t="shared" si="2"/>
        <v>0</v>
      </c>
      <c r="N2437" s="74">
        <f t="shared" si="3"/>
        <v>75000</v>
      </c>
      <c r="O2437" s="65" t="str">
        <f>VLOOKUP(E2437,DATABASE!C:Q,8,false)</f>
        <v>IBU</v>
      </c>
      <c r="P2437" s="65">
        <f>VLOOKUP(E2437,DATABASE!C:Q,9,False)</f>
        <v>0</v>
      </c>
      <c r="Q2437" s="93" t="str">
        <f>VLOOKUP(E2437,DATABASE!C:Q,4,false)</f>
        <v>SERVICE</v>
      </c>
      <c r="R2437" s="93" t="str">
        <f>VLOOKUP(E2437,DATABASE!C:Q,11,false)</f>
        <v>SERVICE</v>
      </c>
    </row>
    <row r="2438" ht="22.5" customHeight="1">
      <c r="A2438" s="49"/>
      <c r="C2438" s="384">
        <v>45782.0</v>
      </c>
      <c r="D2438" s="65">
        <v>5524.0</v>
      </c>
      <c r="E2438" s="445" t="s">
        <v>268</v>
      </c>
      <c r="F2438" s="386">
        <v>2.0</v>
      </c>
      <c r="G2438" s="74">
        <v>700000.0</v>
      </c>
      <c r="H2438" s="74">
        <v>0.0</v>
      </c>
      <c r="I2438" s="74">
        <f t="shared" si="1"/>
        <v>1400000</v>
      </c>
      <c r="J2438" s="74">
        <f>IF(E2438="SERVICE",I2438-(I2438*50%),Vlookup(E2438,DATABASE!C:Q,10,false)*F2438)</f>
        <v>0</v>
      </c>
      <c r="K2438" s="74">
        <v>613000.0</v>
      </c>
      <c r="L2438" s="74">
        <v>613000.0</v>
      </c>
      <c r="M2438" s="74">
        <f t="shared" si="2"/>
        <v>615000</v>
      </c>
      <c r="N2438" s="74">
        <f t="shared" si="3"/>
        <v>170000</v>
      </c>
      <c r="O2438" s="65" t="str">
        <f>VLOOKUP(E2438,DATABASE!C:Q,8,false)</f>
        <v>IBU</v>
      </c>
      <c r="P2438" s="65">
        <f>VLOOKUP(E2438,DATABASE!C:Q,9,False)</f>
        <v>1</v>
      </c>
      <c r="Q2438" s="93" t="str">
        <f>VLOOKUP(E2438,DATABASE!C:Q,4,false)</f>
        <v>Dunlop</v>
      </c>
      <c r="R2438" s="93" t="str">
        <f>VLOOKUP(E2438,DATABASE!C:Q,11,false)</f>
        <v>Tire</v>
      </c>
    </row>
    <row r="2439" ht="22.5" customHeight="1">
      <c r="A2439" s="49"/>
      <c r="C2439" s="384">
        <v>45782.0</v>
      </c>
      <c r="D2439" s="65">
        <v>5525.0</v>
      </c>
      <c r="E2439" s="445" t="s">
        <v>275</v>
      </c>
      <c r="F2439" s="386">
        <v>1.0</v>
      </c>
      <c r="G2439" s="74">
        <v>830000.0</v>
      </c>
      <c r="H2439" s="74">
        <v>0.0</v>
      </c>
      <c r="I2439" s="74">
        <f t="shared" si="1"/>
        <v>830000</v>
      </c>
      <c r="J2439" s="74">
        <f>IF(E2439="SERVICE",I2439-(I2439*50%),Vlookup(E2439,DATABASE!C:Q,10,false)*F2439)</f>
        <v>0</v>
      </c>
      <c r="K2439" s="74">
        <v>735000.0</v>
      </c>
      <c r="L2439" s="74">
        <v>735000.0</v>
      </c>
      <c r="M2439" s="74">
        <f t="shared" si="2"/>
        <v>735000</v>
      </c>
      <c r="N2439" s="74">
        <f t="shared" si="3"/>
        <v>95000</v>
      </c>
      <c r="O2439" s="65" t="str">
        <f>VLOOKUP(E2439,DATABASE!C:Q,8,false)</f>
        <v>IBU</v>
      </c>
      <c r="P2439" s="65">
        <f>VLOOKUP(E2439,DATABASE!C:Q,9,False)</f>
        <v>1</v>
      </c>
      <c r="Q2439" s="93" t="str">
        <f>VLOOKUP(E2439,DATABASE!C:Q,4,false)</f>
        <v>Dunlop</v>
      </c>
      <c r="R2439" s="93" t="str">
        <f>VLOOKUP(E2439,DATABASE!C:Q,11,false)</f>
        <v>Tire</v>
      </c>
    </row>
    <row r="2440" ht="22.5" customHeight="1">
      <c r="A2440" s="49"/>
      <c r="C2440" s="384">
        <v>45782.0</v>
      </c>
      <c r="D2440" s="65">
        <v>5526.0</v>
      </c>
      <c r="E2440" s="445" t="s">
        <v>268</v>
      </c>
      <c r="F2440" s="386">
        <v>1.0</v>
      </c>
      <c r="G2440" s="74">
        <v>700000.0</v>
      </c>
      <c r="H2440" s="74">
        <v>0.0</v>
      </c>
      <c r="I2440" s="74">
        <f t="shared" si="1"/>
        <v>700000</v>
      </c>
      <c r="J2440" s="74">
        <f>IF(E2440="SERVICE",I2440-(I2440*50%),Vlookup(E2440,DATABASE!C:Q,10,false)*F2440)</f>
        <v>0</v>
      </c>
      <c r="K2440" s="74">
        <v>613000.0</v>
      </c>
      <c r="L2440" s="74">
        <v>613000.0</v>
      </c>
      <c r="M2440" s="74">
        <f t="shared" si="2"/>
        <v>615000</v>
      </c>
      <c r="N2440" s="74">
        <f t="shared" si="3"/>
        <v>85000</v>
      </c>
      <c r="O2440" s="65" t="str">
        <f>VLOOKUP(E2440,DATABASE!C:Q,8,false)</f>
        <v>IBU</v>
      </c>
      <c r="P2440" s="65">
        <f>VLOOKUP(E2440,DATABASE!C:Q,9,False)</f>
        <v>1</v>
      </c>
      <c r="Q2440" s="93" t="str">
        <f>VLOOKUP(E2440,DATABASE!C:Q,4,false)</f>
        <v>Dunlop</v>
      </c>
      <c r="R2440" s="93" t="str">
        <f>VLOOKUP(E2440,DATABASE!C:Q,11,false)</f>
        <v>Tire</v>
      </c>
    </row>
    <row r="2441" ht="22.5" customHeight="1">
      <c r="A2441" s="49"/>
      <c r="C2441" s="384">
        <v>45782.0</v>
      </c>
      <c r="D2441" s="65">
        <v>5527.0</v>
      </c>
      <c r="E2441" s="445" t="s">
        <v>856</v>
      </c>
      <c r="F2441" s="386">
        <v>2.0</v>
      </c>
      <c r="G2441" s="74">
        <v>670000.0</v>
      </c>
      <c r="H2441" s="74">
        <v>0.0</v>
      </c>
      <c r="I2441" s="74">
        <f t="shared" si="1"/>
        <v>1340000</v>
      </c>
      <c r="J2441" s="74">
        <f>IF(E2441="SERVICE",I2441-(I2441*50%),Vlookup(E2441,DATABASE!C:Q,10,false)*F2441)</f>
        <v>0</v>
      </c>
      <c r="K2441" s="74">
        <f>VLOOKUP(E2441,DATABASE!C:Q,7,false)</f>
        <v>615300</v>
      </c>
      <c r="L2441" s="74">
        <v>581120.0</v>
      </c>
      <c r="M2441" s="74">
        <f t="shared" si="2"/>
        <v>585000</v>
      </c>
      <c r="N2441" s="74">
        <f t="shared" si="3"/>
        <v>170000</v>
      </c>
      <c r="O2441" s="65" t="str">
        <f>VLOOKUP(E2441,DATABASE!C:Q,8,false)</f>
        <v>BIAN</v>
      </c>
      <c r="P2441" s="65">
        <f>VLOOKUP(E2441,DATABASE!C:Q,9,False)</f>
        <v>1</v>
      </c>
      <c r="Q2441" s="93" t="str">
        <f>VLOOKUP(E2441,DATABASE!C:Q,4,false)</f>
        <v>GT</v>
      </c>
      <c r="R2441" s="93" t="str">
        <f>VLOOKUP(E2441,DATABASE!C:Q,11,false)</f>
        <v>Tire</v>
      </c>
    </row>
    <row r="2442" ht="22.5" customHeight="1">
      <c r="A2442" s="49"/>
      <c r="C2442" s="384">
        <v>45782.0</v>
      </c>
      <c r="D2442" s="65">
        <v>5528.0</v>
      </c>
      <c r="E2442" s="445" t="s">
        <v>256</v>
      </c>
      <c r="F2442" s="386">
        <v>1.0</v>
      </c>
      <c r="G2442" s="74">
        <v>130000.0</v>
      </c>
      <c r="H2442" s="74">
        <v>0.0</v>
      </c>
      <c r="I2442" s="74">
        <f t="shared" si="1"/>
        <v>130000</v>
      </c>
      <c r="J2442" s="74">
        <f>IF(E2442="SERVICE",I2442-(I2442*50%),Vlookup(E2442,DATABASE!C:Q,10,false)*F2442)</f>
        <v>10000</v>
      </c>
      <c r="K2442" s="74">
        <f>VLOOKUP(E2442,DATABASE!C:Q,7,false)</f>
        <v>0</v>
      </c>
      <c r="L2442" s="74">
        <v>0.0</v>
      </c>
      <c r="M2442" s="74">
        <f t="shared" si="2"/>
        <v>0</v>
      </c>
      <c r="N2442" s="74">
        <f t="shared" si="3"/>
        <v>120000</v>
      </c>
      <c r="O2442" s="65" t="str">
        <f>VLOOKUP(E2442,DATABASE!C:Q,8,false)</f>
        <v>IBU</v>
      </c>
      <c r="P2442" s="65">
        <f>VLOOKUP(E2442,DATABASE!C:Q,9,False)</f>
        <v>0</v>
      </c>
      <c r="Q2442" s="93" t="str">
        <f>VLOOKUP(E2442,DATABASE!C:Q,4,false)</f>
        <v>SPOORING</v>
      </c>
      <c r="R2442" s="93" t="str">
        <f>VLOOKUP(E2442,DATABASE!C:Q,11,false)</f>
        <v>SERVICE</v>
      </c>
    </row>
    <row r="2443" ht="22.5" customHeight="1">
      <c r="A2443" s="49"/>
      <c r="C2443" s="384">
        <v>45782.0</v>
      </c>
      <c r="D2443" s="65">
        <v>5528.0</v>
      </c>
      <c r="E2443" s="445" t="s">
        <v>301</v>
      </c>
      <c r="F2443" s="386">
        <v>1.0</v>
      </c>
      <c r="G2443" s="74">
        <v>250000.0</v>
      </c>
      <c r="H2443" s="74">
        <v>0.0</v>
      </c>
      <c r="I2443" s="74">
        <f t="shared" si="1"/>
        <v>250000</v>
      </c>
      <c r="J2443" s="74">
        <f>IF(E2443="SERVICE",I2443-(I2443*50%),Vlookup(E2443,DATABASE!C:Q,10,false)*F2443)</f>
        <v>75000</v>
      </c>
      <c r="K2443" s="74">
        <f>VLOOKUP(E2443,DATABASE!C:Q,7,false)</f>
        <v>75000</v>
      </c>
      <c r="L2443" s="74">
        <v>75000.0</v>
      </c>
      <c r="M2443" s="74">
        <f t="shared" si="2"/>
        <v>75000</v>
      </c>
      <c r="N2443" s="74">
        <f t="shared" si="3"/>
        <v>100000</v>
      </c>
      <c r="O2443" s="65" t="str">
        <f>VLOOKUP(E2443,DATABASE!C:Q,8,false)</f>
        <v>BIAN</v>
      </c>
      <c r="P2443" s="65">
        <f>VLOOKUP(E2443,DATABASE!C:Q,9,False)</f>
        <v>0</v>
      </c>
      <c r="Q2443" s="93" t="str">
        <f>VLOOKUP(E2443,DATABASE!C:Q,4,false)</f>
        <v>Baut Camber</v>
      </c>
      <c r="R2443" s="93" t="str">
        <f>VLOOKUP(E2443,DATABASE!C:Q,11,false)</f>
        <v>COMPLEMENTARY</v>
      </c>
    </row>
    <row r="2444" ht="22.5" customHeight="1">
      <c r="A2444" s="49"/>
      <c r="C2444" s="384">
        <v>45782.0</v>
      </c>
      <c r="D2444" s="65">
        <v>5529.0</v>
      </c>
      <c r="E2444" s="445" t="s">
        <v>1617</v>
      </c>
      <c r="F2444" s="386">
        <v>3.0</v>
      </c>
      <c r="G2444" s="74">
        <v>850000.0</v>
      </c>
      <c r="H2444" s="74">
        <v>0.0</v>
      </c>
      <c r="I2444" s="74">
        <f t="shared" si="1"/>
        <v>2550000</v>
      </c>
      <c r="J2444" s="74">
        <f>IF(E2444="SERVICE",I2444-(I2444*50%),Vlookup(E2444,DATABASE!C:Q,10,false)*F2444)</f>
        <v>0</v>
      </c>
      <c r="K2444" s="74">
        <f>VLOOKUP(E2444,DATABASE!C:Q,7,false)</f>
        <v>739000</v>
      </c>
      <c r="L2444" s="74">
        <v>739000.0</v>
      </c>
      <c r="M2444" s="74">
        <f t="shared" si="2"/>
        <v>740000</v>
      </c>
      <c r="N2444" s="74">
        <f t="shared" si="3"/>
        <v>330000</v>
      </c>
      <c r="O2444" s="65" t="str">
        <f>VLOOKUP(E2444,DATABASE!C:Q,8,false)</f>
        <v>BIAN</v>
      </c>
      <c r="P2444" s="65">
        <f>VLOOKUP(E2444,DATABASE!C:Q,9,False)</f>
        <v>1</v>
      </c>
      <c r="Q2444" s="93" t="str">
        <f>VLOOKUP(E2444,DATABASE!C:Q,4,false)</f>
        <v>GT</v>
      </c>
      <c r="R2444" s="93" t="str">
        <f>VLOOKUP(E2444,DATABASE!C:Q,11,false)</f>
        <v>Tire</v>
      </c>
    </row>
    <row r="2445" ht="22.5" customHeight="1">
      <c r="A2445" s="49"/>
      <c r="C2445" s="384">
        <v>45782.0</v>
      </c>
      <c r="D2445" s="65">
        <v>5530.0</v>
      </c>
      <c r="E2445" s="445" t="s">
        <v>2135</v>
      </c>
      <c r="F2445" s="386">
        <v>4.0</v>
      </c>
      <c r="G2445" s="74">
        <v>15000.0</v>
      </c>
      <c r="H2445" s="74">
        <v>0.0</v>
      </c>
      <c r="I2445" s="74">
        <f t="shared" si="1"/>
        <v>60000</v>
      </c>
      <c r="J2445" s="74">
        <f>IF(E2445="SERVICE",I2445-(I2445*50%),Vlookup(E2445,DATABASE!C:Q,10,false)*F2445)</f>
        <v>0</v>
      </c>
      <c r="K2445" s="74">
        <f>VLOOKUP(E2445,DATABASE!C:Q,7,false)</f>
        <v>0</v>
      </c>
      <c r="L2445" s="74">
        <v>0.0</v>
      </c>
      <c r="M2445" s="74">
        <f t="shared" si="2"/>
        <v>0</v>
      </c>
      <c r="N2445" s="74">
        <f t="shared" si="3"/>
        <v>60000</v>
      </c>
      <c r="O2445" s="65" t="str">
        <f>VLOOKUP(E2445,DATABASE!C:Q,8,false)</f>
        <v>IBU</v>
      </c>
      <c r="P2445" s="65">
        <f>VLOOKUP(E2445,DATABASE!C:Q,9,False)</f>
        <v>0</v>
      </c>
      <c r="Q2445" s="93" t="str">
        <f>VLOOKUP(E2445,DATABASE!C:Q,4,false)</f>
        <v>NITROGEN</v>
      </c>
      <c r="R2445" s="93" t="str">
        <f>VLOOKUP(E2445,DATABASE!C:Q,11,false)</f>
        <v>COMPLEMENTARY</v>
      </c>
    </row>
    <row r="2446" ht="22.5" customHeight="1">
      <c r="A2446" s="49"/>
      <c r="C2446" s="384">
        <v>45782.0</v>
      </c>
      <c r="D2446" s="65">
        <v>5532.0</v>
      </c>
      <c r="E2446" s="445" t="s">
        <v>262</v>
      </c>
      <c r="F2446" s="386">
        <v>1.0</v>
      </c>
      <c r="G2446" s="74">
        <v>110000.0</v>
      </c>
      <c r="H2446" s="74">
        <v>0.0</v>
      </c>
      <c r="I2446" s="74">
        <f t="shared" si="1"/>
        <v>110000</v>
      </c>
      <c r="J2446" s="74">
        <f>IF(E2446="SERVICE",I2446-(I2446*50%),Vlookup(E2446,DATABASE!C:Q,10,false)*F2446)</f>
        <v>5000</v>
      </c>
      <c r="K2446" s="74">
        <f>VLOOKUP(E2446,DATABASE!C:Q,7,false)</f>
        <v>0</v>
      </c>
      <c r="L2446" s="74">
        <v>0.0</v>
      </c>
      <c r="M2446" s="74">
        <f t="shared" si="2"/>
        <v>0</v>
      </c>
      <c r="N2446" s="74">
        <f t="shared" si="3"/>
        <v>105000</v>
      </c>
      <c r="O2446" s="65" t="str">
        <f>VLOOKUP(E2446,DATABASE!C:Q,8,false)</f>
        <v>IBU</v>
      </c>
      <c r="P2446" s="65">
        <f>VLOOKUP(E2446,DATABASE!C:Q,9,False)</f>
        <v>0</v>
      </c>
      <c r="Q2446" s="93" t="str">
        <f>VLOOKUP(E2446,DATABASE!C:Q,4,false)</f>
        <v>SPOORING SS/CARRY LOS BAK</v>
      </c>
      <c r="R2446" s="93" t="str">
        <f>VLOOKUP(E2446,DATABASE!C:Q,11,false)</f>
        <v>SERVICE</v>
      </c>
    </row>
    <row r="2447" ht="22.5" customHeight="1">
      <c r="A2447" s="49"/>
      <c r="C2447" s="384">
        <v>45782.0</v>
      </c>
      <c r="D2447" s="65">
        <v>5532.0</v>
      </c>
      <c r="E2447" s="385" t="s">
        <v>299</v>
      </c>
      <c r="F2447" s="386">
        <v>2.0</v>
      </c>
      <c r="G2447" s="74">
        <v>30000.0</v>
      </c>
      <c r="H2447" s="74">
        <v>0.0</v>
      </c>
      <c r="I2447" s="74">
        <f t="shared" si="1"/>
        <v>60000</v>
      </c>
      <c r="J2447" s="74">
        <f>IF(E2447="SERVICE",I2447-(I2447*50%),Vlookup(E2447,DATABASE!C:Q,10,false)*F2447)</f>
        <v>0</v>
      </c>
      <c r="K2447" s="74">
        <v>0.0</v>
      </c>
      <c r="L2447" s="74">
        <v>0.0</v>
      </c>
      <c r="M2447" s="74">
        <f t="shared" si="2"/>
        <v>0</v>
      </c>
      <c r="N2447" s="74">
        <f t="shared" si="3"/>
        <v>60000</v>
      </c>
      <c r="O2447" s="65" t="str">
        <f>VLOOKUP(E2447,DATABASE!C:Q,8,false)</f>
        <v>BIAN</v>
      </c>
      <c r="P2447" s="65">
        <f>VLOOKUP(E2447,DATABASE!C:Q,9,False)</f>
        <v>0</v>
      </c>
      <c r="Q2447" s="93" t="str">
        <f>VLOOKUP(E2447,DATABASE!C:Q,4,false)</f>
        <v>Balancing</v>
      </c>
      <c r="R2447" s="93" t="str">
        <f>VLOOKUP(E2447,DATABASE!C:Q,11,false)</f>
        <v>COMPLEMENTARY</v>
      </c>
    </row>
    <row r="2448" ht="22.5" customHeight="1">
      <c r="A2448" s="49"/>
      <c r="C2448" s="384">
        <v>45782.0</v>
      </c>
      <c r="D2448" s="65">
        <v>5532.0</v>
      </c>
      <c r="E2448" s="445" t="s">
        <v>478</v>
      </c>
      <c r="F2448" s="386">
        <v>1.0</v>
      </c>
      <c r="G2448" s="74">
        <v>200000.0</v>
      </c>
      <c r="H2448" s="74">
        <v>0.0</v>
      </c>
      <c r="I2448" s="74">
        <f t="shared" si="1"/>
        <v>200000</v>
      </c>
      <c r="J2448" s="74">
        <f>IF(E2448="SERVICE",I2448-(I2448*50%),Vlookup(E2448,DATABASE!C:Q,10,false)*F2448)</f>
        <v>25000</v>
      </c>
      <c r="K2448" s="74">
        <f>VLOOKUP(E2448,DATABASE!C:Q,7,false)</f>
        <v>75000</v>
      </c>
      <c r="L2448" s="74">
        <v>75000.0</v>
      </c>
      <c r="M2448" s="74">
        <f t="shared" si="2"/>
        <v>75000</v>
      </c>
      <c r="N2448" s="74">
        <f t="shared" si="3"/>
        <v>100000</v>
      </c>
      <c r="O2448" s="65" t="str">
        <f>VLOOKUP(E2448,DATABASE!C:Q,8,false)</f>
        <v>BIAN</v>
      </c>
      <c r="P2448" s="65">
        <f>VLOOKUP(E2448,DATABASE!C:Q,9,False)</f>
        <v>0</v>
      </c>
      <c r="Q2448" s="93" t="str">
        <f>VLOOKUP(E2448,DATABASE!C:Q,4,false)</f>
        <v>Baut Camber ss-carry</v>
      </c>
      <c r="R2448" s="93" t="str">
        <f>VLOOKUP(E2448,DATABASE!C:Q,11,false)</f>
        <v>COMPLEMENTARY</v>
      </c>
    </row>
    <row r="2449" ht="22.5" customHeight="1">
      <c r="A2449" s="49"/>
      <c r="C2449" s="384">
        <v>45783.0</v>
      </c>
      <c r="D2449" s="65">
        <v>5533.0</v>
      </c>
      <c r="E2449" s="445" t="s">
        <v>572</v>
      </c>
      <c r="F2449" s="386">
        <v>2.0</v>
      </c>
      <c r="G2449" s="74">
        <v>1370000.0</v>
      </c>
      <c r="H2449" s="74">
        <v>0.0</v>
      </c>
      <c r="I2449" s="74">
        <f t="shared" si="1"/>
        <v>2740000</v>
      </c>
      <c r="J2449" s="74">
        <f>IF(E2449="SERVICE",I2449-(I2449*50%),Vlookup(E2449,DATABASE!C:Q,10,false)*F2449)</f>
        <v>0</v>
      </c>
      <c r="K2449" s="140">
        <v>1270000.0</v>
      </c>
      <c r="L2449" s="140">
        <v>1270000.0</v>
      </c>
      <c r="M2449" s="74">
        <f t="shared" si="2"/>
        <v>1270000</v>
      </c>
      <c r="N2449" s="74">
        <f t="shared" si="3"/>
        <v>200000</v>
      </c>
      <c r="O2449" s="65" t="str">
        <f>VLOOKUP(E2449,DATABASE!C:Q,8,false)</f>
        <v>IBU</v>
      </c>
      <c r="P2449" s="65">
        <f>VLOOKUP(E2449,DATABASE!C:Q,9,False)</f>
        <v>1</v>
      </c>
      <c r="Q2449" s="93" t="str">
        <f>VLOOKUP(E2449,DATABASE!C:Q,4,false)</f>
        <v>Bridgestone</v>
      </c>
      <c r="R2449" s="93" t="str">
        <f>VLOOKUP(E2449,DATABASE!C:Q,11,false)</f>
        <v>Tire</v>
      </c>
    </row>
    <row r="2450" ht="22.5" customHeight="1">
      <c r="A2450" s="49"/>
      <c r="C2450" s="384">
        <v>45783.0</v>
      </c>
      <c r="D2450" s="65">
        <v>5533.0</v>
      </c>
      <c r="E2450" s="445" t="s">
        <v>255</v>
      </c>
      <c r="F2450" s="386">
        <v>1.0</v>
      </c>
      <c r="G2450" s="74">
        <v>200000.0</v>
      </c>
      <c r="H2450" s="74">
        <v>0.0</v>
      </c>
      <c r="I2450" s="74">
        <f t="shared" si="1"/>
        <v>200000</v>
      </c>
      <c r="J2450" s="74">
        <f>IF(E2450="SERVICE",I2450-(I2450*50%),Vlookup(E2450,DATABASE!C:Q,10,false)*F2450)</f>
        <v>0</v>
      </c>
      <c r="K2450" s="74">
        <f>VLOOKUP(E2450,DATABASE!C:Q,7,false)</f>
        <v>161840</v>
      </c>
      <c r="L2450" s="74">
        <v>161840.0</v>
      </c>
      <c r="M2450" s="74">
        <f t="shared" si="2"/>
        <v>165000</v>
      </c>
      <c r="N2450" s="74">
        <f t="shared" si="3"/>
        <v>35000</v>
      </c>
      <c r="O2450" s="65" t="str">
        <f>VLOOKUP(E2450,DATABASE!C:Q,8,false)</f>
        <v>BIAN</v>
      </c>
      <c r="P2450" s="65">
        <f>VLOOKUP(E2450,DATABASE!C:Q,9,False)</f>
        <v>1</v>
      </c>
      <c r="Q2450" s="93" t="str">
        <f>VLOOKUP(E2450,DATABASE!C:Q,4,false)</f>
        <v>BD</v>
      </c>
      <c r="R2450" s="93" t="str">
        <f>VLOOKUP(E2450,DATABASE!C:Q,11,false)</f>
        <v>Tire</v>
      </c>
    </row>
    <row r="2451" ht="22.5" customHeight="1">
      <c r="A2451" s="49"/>
      <c r="C2451" s="384">
        <v>45783.0</v>
      </c>
      <c r="D2451" s="65">
        <v>5533.0</v>
      </c>
      <c r="E2451" s="445" t="s">
        <v>814</v>
      </c>
      <c r="F2451" s="386">
        <v>2.0</v>
      </c>
      <c r="G2451" s="74">
        <v>65000.0</v>
      </c>
      <c r="H2451" s="74">
        <v>0.0</v>
      </c>
      <c r="I2451" s="74">
        <f t="shared" si="1"/>
        <v>130000</v>
      </c>
      <c r="J2451" s="74">
        <f>IF(E2451="SERVICE",I2451-(I2451*50%),Vlookup(E2451,DATABASE!C:Q,10,false)*F2451)</f>
        <v>0</v>
      </c>
      <c r="K2451" s="74">
        <f>VLOOKUP(E2451,DATABASE!C:Q,7,false)</f>
        <v>39440</v>
      </c>
      <c r="L2451" s="74">
        <v>39440.0</v>
      </c>
      <c r="M2451" s="74">
        <f t="shared" si="2"/>
        <v>40000</v>
      </c>
      <c r="N2451" s="74">
        <f t="shared" si="3"/>
        <v>50000</v>
      </c>
      <c r="O2451" s="65" t="str">
        <f>VLOOKUP(E2451,DATABASE!C:Q,8,false)</f>
        <v>BIAN</v>
      </c>
      <c r="P2451" s="65">
        <f>VLOOKUP(E2451,DATABASE!C:Q,9,False)</f>
        <v>1</v>
      </c>
      <c r="Q2451" s="93" t="str">
        <f>VLOOKUP(E2451,DATABASE!C:Q,4,false)</f>
        <v>Flap</v>
      </c>
      <c r="R2451" s="93" t="str">
        <f>VLOOKUP(E2451,DATABASE!C:Q,11,false)</f>
        <v>Tire</v>
      </c>
    </row>
    <row r="2452" ht="22.5" customHeight="1">
      <c r="A2452" s="49"/>
      <c r="C2452" s="384">
        <v>45783.0</v>
      </c>
      <c r="D2452" s="65">
        <v>5534.0</v>
      </c>
      <c r="E2452" s="445" t="s">
        <v>256</v>
      </c>
      <c r="F2452" s="386">
        <v>1.0</v>
      </c>
      <c r="G2452" s="74">
        <v>130000.0</v>
      </c>
      <c r="H2452" s="74">
        <v>0.0</v>
      </c>
      <c r="I2452" s="74">
        <f t="shared" si="1"/>
        <v>130000</v>
      </c>
      <c r="J2452" s="74">
        <f>IF(E2452="SERVICE",I2452-(I2452*50%),Vlookup(E2452,DATABASE!C:Q,10,false)*F2452)</f>
        <v>10000</v>
      </c>
      <c r="K2452" s="74">
        <f>VLOOKUP(E2452,DATABASE!C:Q,7,false)</f>
        <v>0</v>
      </c>
      <c r="L2452" s="74">
        <v>0.0</v>
      </c>
      <c r="M2452" s="74">
        <f t="shared" si="2"/>
        <v>0</v>
      </c>
      <c r="N2452" s="74">
        <f t="shared" si="3"/>
        <v>120000</v>
      </c>
      <c r="O2452" s="65" t="str">
        <f>VLOOKUP(E2452,DATABASE!C:Q,8,false)</f>
        <v>IBU</v>
      </c>
      <c r="P2452" s="65">
        <f>VLOOKUP(E2452,DATABASE!C:Q,9,False)</f>
        <v>0</v>
      </c>
      <c r="Q2452" s="93" t="str">
        <f>VLOOKUP(E2452,DATABASE!C:Q,4,false)</f>
        <v>SPOORING</v>
      </c>
      <c r="R2452" s="93" t="str">
        <f>VLOOKUP(E2452,DATABASE!C:Q,11,false)</f>
        <v>SERVICE</v>
      </c>
    </row>
    <row r="2453" ht="22.5" customHeight="1">
      <c r="A2453" s="49"/>
      <c r="C2453" s="384">
        <v>45783.0</v>
      </c>
      <c r="D2453" s="65">
        <v>5534.0</v>
      </c>
      <c r="E2453" s="445" t="s">
        <v>251</v>
      </c>
      <c r="F2453" s="386">
        <v>1.0</v>
      </c>
      <c r="G2453" s="74">
        <v>150000.0</v>
      </c>
      <c r="H2453" s="74">
        <v>0.0</v>
      </c>
      <c r="I2453" s="74">
        <f t="shared" si="1"/>
        <v>150000</v>
      </c>
      <c r="J2453" s="74">
        <f>IF(E2453="SERVICE",I2453-(I2453*50%),Vlookup(E2453,DATABASE!C:Q,10,false)*F2453)</f>
        <v>75000</v>
      </c>
      <c r="K2453" s="74">
        <f>VLOOKUP(E2453,DATABASE!C:Q,7,false)</f>
        <v>0</v>
      </c>
      <c r="L2453" s="74">
        <v>0.0</v>
      </c>
      <c r="M2453" s="74">
        <f t="shared" si="2"/>
        <v>0</v>
      </c>
      <c r="N2453" s="74">
        <f t="shared" si="3"/>
        <v>75000</v>
      </c>
      <c r="O2453" s="65" t="str">
        <f>VLOOKUP(E2453,DATABASE!C:Q,8,false)</f>
        <v>IBU</v>
      </c>
      <c r="P2453" s="65">
        <f>VLOOKUP(E2453,DATABASE!C:Q,9,False)</f>
        <v>0</v>
      </c>
      <c r="Q2453" s="93" t="str">
        <f>VLOOKUP(E2453,DATABASE!C:Q,4,false)</f>
        <v>SERVICE</v>
      </c>
      <c r="R2453" s="93" t="str">
        <f>VLOOKUP(E2453,DATABASE!C:Q,11,false)</f>
        <v>SERVICE</v>
      </c>
    </row>
    <row r="2454" ht="22.5" customHeight="1">
      <c r="A2454" s="49"/>
      <c r="C2454" s="384">
        <v>45783.0</v>
      </c>
      <c r="D2454" s="65">
        <v>5535.0</v>
      </c>
      <c r="E2454" s="445" t="s">
        <v>554</v>
      </c>
      <c r="F2454" s="386">
        <v>2.0</v>
      </c>
      <c r="G2454" s="74">
        <v>800000.0</v>
      </c>
      <c r="H2454" s="74">
        <v>0.0</v>
      </c>
      <c r="I2454" s="74">
        <f t="shared" si="1"/>
        <v>1600000</v>
      </c>
      <c r="J2454" s="74">
        <f>IF(E2454="SERVICE",I2454-(I2454*50%),Vlookup(E2454,DATABASE!C:Q,10,false)*F2454)</f>
        <v>0</v>
      </c>
      <c r="K2454" s="74">
        <f>VLOOKUP(E2454,DATABASE!C:Q,7,false)</f>
        <v>710000</v>
      </c>
      <c r="L2454" s="74">
        <v>680000.0</v>
      </c>
      <c r="M2454" s="74">
        <f t="shared" si="2"/>
        <v>680000</v>
      </c>
      <c r="N2454" s="74">
        <f t="shared" si="3"/>
        <v>240000</v>
      </c>
      <c r="O2454" s="65" t="str">
        <f>VLOOKUP(E2454,DATABASE!C:Q,8,false)</f>
        <v>IBU</v>
      </c>
      <c r="P2454" s="65">
        <f>VLOOKUP(E2454,DATABASE!C:Q,9,False)</f>
        <v>1</v>
      </c>
      <c r="Q2454" s="93" t="str">
        <f>VLOOKUP(E2454,DATABASE!C:Q,4,false)</f>
        <v>Bridgestone</v>
      </c>
      <c r="R2454" s="93" t="str">
        <f>VLOOKUP(E2454,DATABASE!C:Q,11,false)</f>
        <v>Tire</v>
      </c>
    </row>
    <row r="2455" ht="22.5" customHeight="1">
      <c r="A2455" s="49"/>
      <c r="C2455" s="384">
        <v>45783.0</v>
      </c>
      <c r="D2455" s="65">
        <v>5536.0</v>
      </c>
      <c r="E2455" s="445" t="s">
        <v>777</v>
      </c>
      <c r="F2455" s="386">
        <v>1.0</v>
      </c>
      <c r="G2455" s="74">
        <v>585000.0</v>
      </c>
      <c r="H2455" s="74">
        <v>0.0</v>
      </c>
      <c r="I2455" s="74">
        <f t="shared" si="1"/>
        <v>585000</v>
      </c>
      <c r="J2455" s="74">
        <f>IF(E2455="SERVICE",I2455-(I2455*50%),Vlookup(E2455,DATABASE!C:Q,10,false)*F2455)</f>
        <v>0</v>
      </c>
      <c r="K2455" s="74">
        <f>VLOOKUP(E2455,DATABASE!C:Q,7,false)</f>
        <v>540000</v>
      </c>
      <c r="L2455" s="74">
        <v>507000.0</v>
      </c>
      <c r="M2455" s="74">
        <f t="shared" si="2"/>
        <v>510000</v>
      </c>
      <c r="N2455" s="74">
        <f t="shared" si="3"/>
        <v>75000</v>
      </c>
      <c r="O2455" s="65" t="str">
        <f>VLOOKUP(E2455,DATABASE!C:Q,8,false)</f>
        <v>BIAN</v>
      </c>
      <c r="P2455" s="65">
        <f>VLOOKUP(E2455,DATABASE!C:Q,9,False)</f>
        <v>1</v>
      </c>
      <c r="Q2455" s="93" t="str">
        <f>VLOOKUP(E2455,DATABASE!C:Q,4,false)</f>
        <v>GT</v>
      </c>
      <c r="R2455" s="93" t="str">
        <f>VLOOKUP(E2455,DATABASE!C:Q,11,false)</f>
        <v>Tire</v>
      </c>
    </row>
    <row r="2456" ht="22.5" customHeight="1">
      <c r="A2456" s="49"/>
      <c r="C2456" s="384">
        <v>45783.0</v>
      </c>
      <c r="D2456" s="65">
        <v>5537.0</v>
      </c>
      <c r="E2456" s="445" t="s">
        <v>957</v>
      </c>
      <c r="F2456" s="386">
        <v>2.0</v>
      </c>
      <c r="G2456" s="74">
        <v>870000.0</v>
      </c>
      <c r="H2456" s="74">
        <v>0.0</v>
      </c>
      <c r="I2456" s="74">
        <f t="shared" si="1"/>
        <v>1740000</v>
      </c>
      <c r="J2456" s="74">
        <f>IF(E2456="SERVICE",I2456-(I2456*50%),Vlookup(E2456,DATABASE!C:Q,10,false)*F2456)</f>
        <v>0</v>
      </c>
      <c r="K2456" s="74">
        <f>VLOOKUP(E2456,DATABASE!C:Q,7,false)</f>
        <v>773337.5</v>
      </c>
      <c r="L2456" s="74">
        <v>762048.0</v>
      </c>
      <c r="M2456" s="74">
        <f t="shared" si="2"/>
        <v>765000</v>
      </c>
      <c r="N2456" s="74">
        <f t="shared" si="3"/>
        <v>210000</v>
      </c>
      <c r="O2456" s="65" t="str">
        <f>VLOOKUP(E2456,DATABASE!C:Q,8,false)</f>
        <v>IBU</v>
      </c>
      <c r="P2456" s="65">
        <f>VLOOKUP(E2456,DATABASE!C:Q,9,False)</f>
        <v>1</v>
      </c>
      <c r="Q2456" s="93" t="str">
        <f>VLOOKUP(E2456,DATABASE!C:Q,4,false)</f>
        <v>Bridgestone</v>
      </c>
      <c r="R2456" s="93" t="str">
        <f>VLOOKUP(E2456,DATABASE!C:Q,11,false)</f>
        <v>Tire</v>
      </c>
    </row>
    <row r="2457" ht="22.5" customHeight="1">
      <c r="A2457" s="49"/>
      <c r="C2457" s="384">
        <v>45783.0</v>
      </c>
      <c r="D2457" s="65">
        <v>5538.0</v>
      </c>
      <c r="E2457" s="445" t="s">
        <v>591</v>
      </c>
      <c r="F2457" s="386">
        <v>2.0</v>
      </c>
      <c r="G2457" s="74">
        <v>680000.0</v>
      </c>
      <c r="H2457" s="74">
        <v>0.0</v>
      </c>
      <c r="I2457" s="74">
        <f t="shared" si="1"/>
        <v>1360000</v>
      </c>
      <c r="J2457" s="74">
        <f>IF(E2457="SERVICE",I2457-(I2457*50%),Vlookup(E2457,DATABASE!C:Q,10,false)*F2457)</f>
        <v>0</v>
      </c>
      <c r="K2457" s="74">
        <f>VLOOKUP(E2457,DATABASE!C:Q,7,false)</f>
        <v>633035.16</v>
      </c>
      <c r="L2457" s="74">
        <v>593488.4</v>
      </c>
      <c r="M2457" s="74">
        <f t="shared" si="2"/>
        <v>595000</v>
      </c>
      <c r="N2457" s="74">
        <f t="shared" si="3"/>
        <v>170000</v>
      </c>
      <c r="O2457" s="65" t="str">
        <f>VLOOKUP(E2457,DATABASE!C:Q,8,false)</f>
        <v>IBU</v>
      </c>
      <c r="P2457" s="65">
        <f>VLOOKUP(E2457,DATABASE!C:Q,9,False)</f>
        <v>1</v>
      </c>
      <c r="Q2457" s="93" t="str">
        <f>VLOOKUP(E2457,DATABASE!C:Q,4,false)</f>
        <v>Bridgestone</v>
      </c>
      <c r="R2457" s="93" t="str">
        <f>VLOOKUP(E2457,DATABASE!C:Q,11,false)</f>
        <v>Tire</v>
      </c>
    </row>
    <row r="2458" ht="22.5" customHeight="1">
      <c r="A2458" s="49"/>
      <c r="C2458" s="384">
        <v>45783.0</v>
      </c>
      <c r="D2458" s="65">
        <v>5538.0</v>
      </c>
      <c r="E2458" s="385" t="s">
        <v>299</v>
      </c>
      <c r="F2458" s="386">
        <v>2.0</v>
      </c>
      <c r="G2458" s="74">
        <v>30000.0</v>
      </c>
      <c r="H2458" s="74">
        <v>0.0</v>
      </c>
      <c r="I2458" s="74">
        <f t="shared" si="1"/>
        <v>60000</v>
      </c>
      <c r="J2458" s="74">
        <f>IF(E2458="SERVICE",I2458-(I2458*50%),Vlookup(E2458,DATABASE!C:Q,10,false)*F2458)</f>
        <v>0</v>
      </c>
      <c r="K2458" s="74">
        <v>0.0</v>
      </c>
      <c r="L2458" s="74">
        <v>0.0</v>
      </c>
      <c r="M2458" s="74">
        <f t="shared" si="2"/>
        <v>0</v>
      </c>
      <c r="N2458" s="74">
        <f t="shared" si="3"/>
        <v>60000</v>
      </c>
      <c r="O2458" s="65" t="str">
        <f>VLOOKUP(E2458,DATABASE!C:Q,8,false)</f>
        <v>BIAN</v>
      </c>
      <c r="P2458" s="65">
        <f>VLOOKUP(E2458,DATABASE!C:Q,9,False)</f>
        <v>0</v>
      </c>
      <c r="Q2458" s="93" t="str">
        <f>VLOOKUP(E2458,DATABASE!C:Q,4,false)</f>
        <v>Balancing</v>
      </c>
      <c r="R2458" s="93" t="str">
        <f>VLOOKUP(E2458,DATABASE!C:Q,11,false)</f>
        <v>COMPLEMENTARY</v>
      </c>
    </row>
    <row r="2459" ht="22.5" customHeight="1">
      <c r="A2459" s="49"/>
      <c r="C2459" s="384">
        <v>45783.0</v>
      </c>
      <c r="D2459" s="65">
        <v>5538.0</v>
      </c>
      <c r="E2459" s="445" t="s">
        <v>256</v>
      </c>
      <c r="F2459" s="386">
        <v>1.0</v>
      </c>
      <c r="G2459" s="74">
        <v>130000.0</v>
      </c>
      <c r="H2459" s="74">
        <v>0.0</v>
      </c>
      <c r="I2459" s="74">
        <f t="shared" si="1"/>
        <v>130000</v>
      </c>
      <c r="J2459" s="74">
        <f>IF(E2459="SERVICE",I2459-(I2459*50%),Vlookup(E2459,DATABASE!C:Q,10,false)*F2459)</f>
        <v>10000</v>
      </c>
      <c r="K2459" s="74">
        <f>VLOOKUP(E2459,DATABASE!C:Q,7,false)</f>
        <v>0</v>
      </c>
      <c r="L2459" s="74">
        <v>0.0</v>
      </c>
      <c r="M2459" s="74">
        <f t="shared" si="2"/>
        <v>0</v>
      </c>
      <c r="N2459" s="74">
        <f t="shared" si="3"/>
        <v>120000</v>
      </c>
      <c r="O2459" s="65" t="str">
        <f>VLOOKUP(E2459,DATABASE!C:Q,8,false)</f>
        <v>IBU</v>
      </c>
      <c r="P2459" s="65">
        <f>VLOOKUP(E2459,DATABASE!C:Q,9,False)</f>
        <v>0</v>
      </c>
      <c r="Q2459" s="93" t="str">
        <f>VLOOKUP(E2459,DATABASE!C:Q,4,false)</f>
        <v>SPOORING</v>
      </c>
      <c r="R2459" s="93" t="str">
        <f>VLOOKUP(E2459,DATABASE!C:Q,11,false)</f>
        <v>SERVICE</v>
      </c>
    </row>
    <row r="2460" ht="22.5" customHeight="1">
      <c r="A2460" s="49"/>
      <c r="C2460" s="384">
        <v>45783.0</v>
      </c>
      <c r="D2460" s="65">
        <v>5539.0</v>
      </c>
      <c r="E2460" s="445" t="s">
        <v>1009</v>
      </c>
      <c r="F2460" s="386">
        <v>2.0</v>
      </c>
      <c r="G2460" s="74">
        <v>700000.0</v>
      </c>
      <c r="H2460" s="74">
        <v>0.0</v>
      </c>
      <c r="I2460" s="74">
        <f t="shared" si="1"/>
        <v>1400000</v>
      </c>
      <c r="J2460" s="74">
        <f>IF(E2460="SERVICE",I2460-(I2460*50%),Vlookup(E2460,DATABASE!C:Q,10,false)*F2460)</f>
        <v>0</v>
      </c>
      <c r="K2460" s="74">
        <f>VLOOKUP(E2460,DATABASE!C:Q,7,false)</f>
        <v>609800</v>
      </c>
      <c r="L2460" s="74">
        <v>592200.0</v>
      </c>
      <c r="M2460" s="74">
        <f t="shared" si="2"/>
        <v>595000</v>
      </c>
      <c r="N2460" s="74">
        <f t="shared" si="3"/>
        <v>210000</v>
      </c>
      <c r="O2460" s="65" t="str">
        <f>VLOOKUP(E2460,DATABASE!C:Q,8,false)</f>
        <v>BIAN</v>
      </c>
      <c r="P2460" s="65">
        <f>VLOOKUP(E2460,DATABASE!C:Q,9,False)</f>
        <v>1</v>
      </c>
      <c r="Q2460" s="93" t="str">
        <f>VLOOKUP(E2460,DATABASE!C:Q,4,false)</f>
        <v>GT</v>
      </c>
      <c r="R2460" s="93" t="str">
        <f>VLOOKUP(E2460,DATABASE!C:Q,11,false)</f>
        <v>Tire</v>
      </c>
    </row>
    <row r="2461" ht="22.5" customHeight="1">
      <c r="A2461" s="49"/>
      <c r="C2461" s="384">
        <v>45783.0</v>
      </c>
      <c r="D2461" s="65">
        <v>5540.0</v>
      </c>
      <c r="E2461" s="445" t="s">
        <v>275</v>
      </c>
      <c r="F2461" s="386">
        <v>1.0</v>
      </c>
      <c r="G2461" s="74">
        <v>830000.0</v>
      </c>
      <c r="H2461" s="74">
        <v>0.0</v>
      </c>
      <c r="I2461" s="74">
        <f t="shared" si="1"/>
        <v>830000</v>
      </c>
      <c r="J2461" s="74">
        <f>IF(E2461="SERVICE",I2461-(I2461*50%),Vlookup(E2461,DATABASE!C:Q,10,false)*F2461)</f>
        <v>0</v>
      </c>
      <c r="K2461" s="74">
        <v>735000.0</v>
      </c>
      <c r="L2461" s="74">
        <v>735000.0</v>
      </c>
      <c r="M2461" s="74">
        <f t="shared" si="2"/>
        <v>735000</v>
      </c>
      <c r="N2461" s="74">
        <f t="shared" si="3"/>
        <v>95000</v>
      </c>
      <c r="O2461" s="65" t="str">
        <f>VLOOKUP(E2461,DATABASE!C:Q,8,false)</f>
        <v>IBU</v>
      </c>
      <c r="P2461" s="65">
        <f>VLOOKUP(E2461,DATABASE!C:Q,9,False)</f>
        <v>1</v>
      </c>
      <c r="Q2461" s="93" t="str">
        <f>VLOOKUP(E2461,DATABASE!C:Q,4,false)</f>
        <v>Dunlop</v>
      </c>
      <c r="R2461" s="93" t="str">
        <f>VLOOKUP(E2461,DATABASE!C:Q,11,false)</f>
        <v>Tire</v>
      </c>
    </row>
    <row r="2462" ht="22.5" customHeight="1">
      <c r="A2462" s="49"/>
      <c r="C2462" s="384">
        <v>45783.0</v>
      </c>
      <c r="D2462" s="65">
        <v>5541.0</v>
      </c>
      <c r="E2462" s="445" t="s">
        <v>256</v>
      </c>
      <c r="F2462" s="386">
        <v>1.0</v>
      </c>
      <c r="G2462" s="74">
        <v>130000.0</v>
      </c>
      <c r="H2462" s="74">
        <v>0.0</v>
      </c>
      <c r="I2462" s="74">
        <f t="shared" si="1"/>
        <v>130000</v>
      </c>
      <c r="J2462" s="74">
        <f>IF(E2462="SERVICE",I2462-(I2462*50%),Vlookup(E2462,DATABASE!C:Q,10,false)*F2462)</f>
        <v>10000</v>
      </c>
      <c r="K2462" s="74">
        <f>VLOOKUP(E2462,DATABASE!C:Q,7,false)</f>
        <v>0</v>
      </c>
      <c r="L2462" s="74">
        <v>0.0</v>
      </c>
      <c r="M2462" s="74">
        <f t="shared" si="2"/>
        <v>0</v>
      </c>
      <c r="N2462" s="74">
        <f t="shared" si="3"/>
        <v>120000</v>
      </c>
      <c r="O2462" s="65" t="str">
        <f>VLOOKUP(E2462,DATABASE!C:Q,8,false)</f>
        <v>IBU</v>
      </c>
      <c r="P2462" s="65">
        <f>VLOOKUP(E2462,DATABASE!C:Q,9,False)</f>
        <v>0</v>
      </c>
      <c r="Q2462" s="93" t="str">
        <f>VLOOKUP(E2462,DATABASE!C:Q,4,false)</f>
        <v>SPOORING</v>
      </c>
      <c r="R2462" s="93" t="str">
        <f>VLOOKUP(E2462,DATABASE!C:Q,11,false)</f>
        <v>SERVICE</v>
      </c>
    </row>
    <row r="2463" ht="22.5" customHeight="1">
      <c r="A2463" s="49"/>
      <c r="C2463" s="384">
        <v>45783.0</v>
      </c>
      <c r="D2463" s="65">
        <v>5542.0</v>
      </c>
      <c r="E2463" s="445" t="s">
        <v>781</v>
      </c>
      <c r="F2463" s="386">
        <v>2.0</v>
      </c>
      <c r="G2463" s="74">
        <v>525000.0</v>
      </c>
      <c r="H2463" s="74">
        <v>0.0</v>
      </c>
      <c r="I2463" s="74">
        <f t="shared" si="1"/>
        <v>1050000</v>
      </c>
      <c r="J2463" s="74">
        <f>IF(E2463="SERVICE",I2463-(I2463*50%),Vlookup(E2463,DATABASE!C:Q,10,false)*F2463)</f>
        <v>0</v>
      </c>
      <c r="K2463" s="74">
        <f>VLOOKUP(E2463,DATABASE!C:Q,7,false)</f>
        <v>470000</v>
      </c>
      <c r="L2463" s="74">
        <v>442500.0</v>
      </c>
      <c r="M2463" s="74">
        <f t="shared" si="2"/>
        <v>445000</v>
      </c>
      <c r="N2463" s="74">
        <f t="shared" si="3"/>
        <v>160000</v>
      </c>
      <c r="O2463" s="65" t="str">
        <f>VLOOKUP(E2463,DATABASE!C:Q,8,false)</f>
        <v>BIAN</v>
      </c>
      <c r="P2463" s="65">
        <f>VLOOKUP(E2463,DATABASE!C:Q,9,False)</f>
        <v>1</v>
      </c>
      <c r="Q2463" s="93" t="str">
        <f>VLOOKUP(E2463,DATABASE!C:Q,4,false)</f>
        <v>GT</v>
      </c>
      <c r="R2463" s="93" t="str">
        <f>VLOOKUP(E2463,DATABASE!C:Q,11,false)</f>
        <v>Tire</v>
      </c>
    </row>
    <row r="2464" ht="22.5" customHeight="1">
      <c r="A2464" s="49"/>
      <c r="C2464" s="384">
        <v>45783.0</v>
      </c>
      <c r="D2464" s="65">
        <v>5543.0</v>
      </c>
      <c r="E2464" s="445" t="s">
        <v>1389</v>
      </c>
      <c r="F2464" s="386">
        <v>1.0</v>
      </c>
      <c r="G2464" s="74">
        <v>970000.0</v>
      </c>
      <c r="H2464" s="74">
        <v>0.0</v>
      </c>
      <c r="I2464" s="74">
        <f t="shared" si="1"/>
        <v>970000</v>
      </c>
      <c r="J2464" s="74">
        <f>IF(E2464="SERVICE",I2464-(I2464*50%),Vlookup(E2464,DATABASE!C:Q,10,false)*F2464)</f>
        <v>0</v>
      </c>
      <c r="K2464" s="74">
        <f>VLOOKUP(E2464,DATABASE!C:Q,7,false)</f>
        <v>908000</v>
      </c>
      <c r="L2464" s="74">
        <v>897000.0</v>
      </c>
      <c r="M2464" s="74">
        <f t="shared" si="2"/>
        <v>900000</v>
      </c>
      <c r="N2464" s="74">
        <f t="shared" si="3"/>
        <v>70000</v>
      </c>
      <c r="O2464" s="65" t="str">
        <f>VLOOKUP(E2464,DATABASE!C:Q,8,false)</f>
        <v>IBU</v>
      </c>
      <c r="P2464" s="65">
        <f>VLOOKUP(E2464,DATABASE!C:Q,9,False)</f>
        <v>1</v>
      </c>
      <c r="Q2464" s="93" t="str">
        <f>VLOOKUP(E2464,DATABASE!C:Q,4,false)</f>
        <v>Dunlop</v>
      </c>
      <c r="R2464" s="93" t="str">
        <f>VLOOKUP(E2464,DATABASE!C:Q,11,false)</f>
        <v>Tire</v>
      </c>
    </row>
    <row r="2465" ht="22.5" customHeight="1">
      <c r="A2465" s="49"/>
      <c r="C2465" s="384">
        <v>45783.0</v>
      </c>
      <c r="D2465" s="65">
        <v>5545.0</v>
      </c>
      <c r="E2465" s="445" t="s">
        <v>256</v>
      </c>
      <c r="F2465" s="386">
        <v>1.0</v>
      </c>
      <c r="G2465" s="74">
        <v>130000.0</v>
      </c>
      <c r="H2465" s="74">
        <v>0.0</v>
      </c>
      <c r="I2465" s="74">
        <f t="shared" si="1"/>
        <v>130000</v>
      </c>
      <c r="J2465" s="74">
        <f>IF(E2465="SERVICE",I2465-(I2465*50%),Vlookup(E2465,DATABASE!C:Q,10,false)*F2465)</f>
        <v>10000</v>
      </c>
      <c r="K2465" s="74">
        <f>VLOOKUP(E2465,DATABASE!C:Q,7,false)</f>
        <v>0</v>
      </c>
      <c r="L2465" s="74">
        <v>0.0</v>
      </c>
      <c r="M2465" s="74">
        <f t="shared" si="2"/>
        <v>0</v>
      </c>
      <c r="N2465" s="74">
        <f t="shared" si="3"/>
        <v>120000</v>
      </c>
      <c r="O2465" s="65" t="str">
        <f>VLOOKUP(E2465,DATABASE!C:Q,8,false)</f>
        <v>IBU</v>
      </c>
      <c r="P2465" s="65">
        <f>VLOOKUP(E2465,DATABASE!C:Q,9,False)</f>
        <v>0</v>
      </c>
      <c r="Q2465" s="93" t="str">
        <f>VLOOKUP(E2465,DATABASE!C:Q,4,false)</f>
        <v>SPOORING</v>
      </c>
      <c r="R2465" s="93" t="str">
        <f>VLOOKUP(E2465,DATABASE!C:Q,11,false)</f>
        <v>SERVICE</v>
      </c>
    </row>
    <row r="2466" ht="22.5" customHeight="1">
      <c r="A2466" s="49"/>
      <c r="C2466" s="384">
        <v>45783.0</v>
      </c>
      <c r="D2466" s="65">
        <v>5545.0</v>
      </c>
      <c r="E2466" s="445" t="s">
        <v>301</v>
      </c>
      <c r="F2466" s="386">
        <v>1.0</v>
      </c>
      <c r="G2466" s="74">
        <v>250000.0</v>
      </c>
      <c r="H2466" s="74">
        <v>0.0</v>
      </c>
      <c r="I2466" s="74">
        <f t="shared" si="1"/>
        <v>250000</v>
      </c>
      <c r="J2466" s="74">
        <f>IF(E2466="SERVICE",I2466-(I2466*50%),Vlookup(E2466,DATABASE!C:Q,10,false)*F2466)</f>
        <v>75000</v>
      </c>
      <c r="K2466" s="74">
        <f>VLOOKUP(E2466,DATABASE!C:Q,7,false)</f>
        <v>75000</v>
      </c>
      <c r="L2466" s="74">
        <v>75000.0</v>
      </c>
      <c r="M2466" s="74">
        <f t="shared" si="2"/>
        <v>75000</v>
      </c>
      <c r="N2466" s="74">
        <f t="shared" si="3"/>
        <v>100000</v>
      </c>
      <c r="O2466" s="65" t="str">
        <f>VLOOKUP(E2466,DATABASE!C:Q,8,false)</f>
        <v>BIAN</v>
      </c>
      <c r="P2466" s="65">
        <f>VLOOKUP(E2466,DATABASE!C:Q,9,False)</f>
        <v>0</v>
      </c>
      <c r="Q2466" s="93" t="str">
        <f>VLOOKUP(E2466,DATABASE!C:Q,4,false)</f>
        <v>Baut Camber</v>
      </c>
      <c r="R2466" s="93" t="str">
        <f>VLOOKUP(E2466,DATABASE!C:Q,11,false)</f>
        <v>COMPLEMENTARY</v>
      </c>
    </row>
    <row r="2467" ht="22.5" customHeight="1">
      <c r="A2467" s="49"/>
      <c r="C2467" s="384">
        <v>45783.0</v>
      </c>
      <c r="D2467" s="65">
        <v>5546.0</v>
      </c>
      <c r="E2467" s="445" t="s">
        <v>246</v>
      </c>
      <c r="F2467" s="386">
        <v>4.0</v>
      </c>
      <c r="G2467" s="74">
        <v>50000.0</v>
      </c>
      <c r="H2467" s="74">
        <v>0.0</v>
      </c>
      <c r="I2467" s="74">
        <f t="shared" si="1"/>
        <v>200000</v>
      </c>
      <c r="J2467" s="74">
        <f>IF(E2467="SERVICE",I2467-(I2467*50%),Vlookup(E2467,DATABASE!C:Q,10,false)*F2467)</f>
        <v>0</v>
      </c>
      <c r="K2467" s="74">
        <f>VLOOKUP(E2467,DATABASE!C:Q,7,false)</f>
        <v>0</v>
      </c>
      <c r="L2467" s="74">
        <v>0.0</v>
      </c>
      <c r="M2467" s="74">
        <f t="shared" si="2"/>
        <v>0</v>
      </c>
      <c r="N2467" s="74">
        <f t="shared" si="3"/>
        <v>200000</v>
      </c>
      <c r="O2467" s="65" t="str">
        <f>VLOOKUP(E2467,DATABASE!C:Q,8,false)</f>
        <v>IBU</v>
      </c>
      <c r="P2467" s="65">
        <f>VLOOKUP(E2467,DATABASE!C:Q,9,False)</f>
        <v>0</v>
      </c>
      <c r="Q2467" s="93" t="str">
        <f>VLOOKUP(E2467,DATABASE!C:Q,4,false)</f>
        <v>Bongkar Pasang</v>
      </c>
      <c r="R2467" s="93" t="str">
        <f>VLOOKUP(E2467,DATABASE!C:Q,11,false)</f>
        <v>SERVICE</v>
      </c>
    </row>
    <row r="2468" ht="22.5" customHeight="1">
      <c r="A2468" s="49"/>
      <c r="C2468" s="384">
        <v>45783.0</v>
      </c>
      <c r="D2468" s="65">
        <v>5546.0</v>
      </c>
      <c r="E2468" s="445" t="s">
        <v>483</v>
      </c>
      <c r="F2468" s="386">
        <v>20.0</v>
      </c>
      <c r="G2468" s="74">
        <v>10000.0</v>
      </c>
      <c r="H2468" s="74">
        <v>0.0</v>
      </c>
      <c r="I2468" s="74">
        <f t="shared" si="1"/>
        <v>200000</v>
      </c>
      <c r="J2468" s="74">
        <f>IF(E2468="SERVICE",I2468-(I2468*50%),Vlookup(E2468,DATABASE!C:Q,10,false)*F2468)</f>
        <v>0</v>
      </c>
      <c r="K2468" s="74">
        <f>VLOOKUP(E2468,DATABASE!C:Q,7,false)</f>
        <v>10000</v>
      </c>
      <c r="L2468" s="74">
        <v>10000.0</v>
      </c>
      <c r="M2468" s="74">
        <f t="shared" si="2"/>
        <v>10000</v>
      </c>
      <c r="N2468" s="74">
        <f t="shared" si="3"/>
        <v>0</v>
      </c>
      <c r="O2468" s="65" t="str">
        <f>VLOOKUP(E2468,DATABASE!C:Q,8,false)</f>
        <v>IBU</v>
      </c>
      <c r="P2468" s="65">
        <f>VLOOKUP(E2468,DATABASE!C:Q,9,False)</f>
        <v>0</v>
      </c>
      <c r="Q2468" s="93" t="str">
        <f>VLOOKUP(E2468,DATABASE!C:Q,4,false)</f>
        <v>Baut</v>
      </c>
      <c r="R2468" s="93" t="str">
        <f>VLOOKUP(E2468,DATABASE!C:Q,11,false)</f>
        <v>COMPLEMENTARY</v>
      </c>
    </row>
    <row r="2469" ht="22.5" customHeight="1">
      <c r="A2469" s="49"/>
      <c r="C2469" s="384">
        <v>45783.0</v>
      </c>
      <c r="D2469" s="65">
        <v>5547.0</v>
      </c>
      <c r="E2469" s="445" t="s">
        <v>591</v>
      </c>
      <c r="F2469" s="386">
        <v>2.0</v>
      </c>
      <c r="G2469" s="74">
        <v>680000.0</v>
      </c>
      <c r="H2469" s="74">
        <v>0.0</v>
      </c>
      <c r="I2469" s="74">
        <f t="shared" si="1"/>
        <v>1360000</v>
      </c>
      <c r="J2469" s="74">
        <f>IF(E2469="SERVICE",I2469-(I2469*50%),Vlookup(E2469,DATABASE!C:Q,10,false)*F2469)</f>
        <v>0</v>
      </c>
      <c r="K2469" s="74">
        <f>VLOOKUP(E2469,DATABASE!C:Q,7,false)</f>
        <v>633035.16</v>
      </c>
      <c r="L2469" s="74">
        <v>593488.4</v>
      </c>
      <c r="M2469" s="74">
        <f t="shared" si="2"/>
        <v>595000</v>
      </c>
      <c r="N2469" s="74">
        <f t="shared" si="3"/>
        <v>170000</v>
      </c>
      <c r="O2469" s="65" t="str">
        <f>VLOOKUP(E2469,DATABASE!C:Q,8,false)</f>
        <v>IBU</v>
      </c>
      <c r="P2469" s="65">
        <f>VLOOKUP(E2469,DATABASE!C:Q,9,False)</f>
        <v>1</v>
      </c>
      <c r="Q2469" s="93" t="str">
        <f>VLOOKUP(E2469,DATABASE!C:Q,4,false)</f>
        <v>Bridgestone</v>
      </c>
      <c r="R2469" s="93" t="str">
        <f>VLOOKUP(E2469,DATABASE!C:Q,11,false)</f>
        <v>Tire</v>
      </c>
    </row>
    <row r="2470" ht="22.5" customHeight="1">
      <c r="A2470" s="49"/>
      <c r="C2470" s="384">
        <v>45783.0</v>
      </c>
      <c r="D2470" s="65">
        <v>5548.0</v>
      </c>
      <c r="E2470" s="445" t="s">
        <v>256</v>
      </c>
      <c r="F2470" s="386">
        <v>1.0</v>
      </c>
      <c r="G2470" s="74">
        <v>130000.0</v>
      </c>
      <c r="H2470" s="74">
        <v>0.0</v>
      </c>
      <c r="I2470" s="74">
        <f t="shared" si="1"/>
        <v>130000</v>
      </c>
      <c r="J2470" s="74">
        <f>IF(E2470="SERVICE",I2470-(I2470*50%),Vlookup(E2470,DATABASE!C:Q,10,false)*F2470)</f>
        <v>10000</v>
      </c>
      <c r="K2470" s="74">
        <f>VLOOKUP(E2470,DATABASE!C:Q,7,false)</f>
        <v>0</v>
      </c>
      <c r="L2470" s="74">
        <v>0.0</v>
      </c>
      <c r="M2470" s="74">
        <f t="shared" si="2"/>
        <v>0</v>
      </c>
      <c r="N2470" s="74">
        <f t="shared" si="3"/>
        <v>120000</v>
      </c>
      <c r="O2470" s="65" t="str">
        <f>VLOOKUP(E2470,DATABASE!C:Q,8,false)</f>
        <v>IBU</v>
      </c>
      <c r="P2470" s="65">
        <f>VLOOKUP(E2470,DATABASE!C:Q,9,False)</f>
        <v>0</v>
      </c>
      <c r="Q2470" s="93" t="str">
        <f>VLOOKUP(E2470,DATABASE!C:Q,4,false)</f>
        <v>SPOORING</v>
      </c>
      <c r="R2470" s="93" t="str">
        <f>VLOOKUP(E2470,DATABASE!C:Q,11,false)</f>
        <v>SERVICE</v>
      </c>
    </row>
    <row r="2471" ht="22.5" customHeight="1">
      <c r="A2471" s="49"/>
      <c r="C2471" s="384">
        <v>45783.0</v>
      </c>
      <c r="D2471" s="65">
        <v>5548.0</v>
      </c>
      <c r="E2471" s="445" t="s">
        <v>301</v>
      </c>
      <c r="F2471" s="386">
        <v>1.0</v>
      </c>
      <c r="G2471" s="74">
        <v>250000.0</v>
      </c>
      <c r="H2471" s="74">
        <v>0.0</v>
      </c>
      <c r="I2471" s="74">
        <f t="shared" si="1"/>
        <v>250000</v>
      </c>
      <c r="J2471" s="74">
        <f>IF(E2471="SERVICE",I2471-(I2471*50%),Vlookup(E2471,DATABASE!C:Q,10,false)*F2471)</f>
        <v>75000</v>
      </c>
      <c r="K2471" s="74">
        <f>VLOOKUP(E2471,DATABASE!C:Q,7,false)</f>
        <v>75000</v>
      </c>
      <c r="L2471" s="74">
        <v>75000.0</v>
      </c>
      <c r="M2471" s="74">
        <f t="shared" si="2"/>
        <v>75000</v>
      </c>
      <c r="N2471" s="74">
        <f t="shared" si="3"/>
        <v>100000</v>
      </c>
      <c r="O2471" s="65" t="str">
        <f>VLOOKUP(E2471,DATABASE!C:Q,8,false)</f>
        <v>BIAN</v>
      </c>
      <c r="P2471" s="65">
        <f>VLOOKUP(E2471,DATABASE!C:Q,9,False)</f>
        <v>0</v>
      </c>
      <c r="Q2471" s="93" t="str">
        <f>VLOOKUP(E2471,DATABASE!C:Q,4,false)</f>
        <v>Baut Camber</v>
      </c>
      <c r="R2471" s="93" t="str">
        <f>VLOOKUP(E2471,DATABASE!C:Q,11,false)</f>
        <v>COMPLEMENTARY</v>
      </c>
    </row>
    <row r="2472" ht="22.5" customHeight="1">
      <c r="A2472" s="49"/>
      <c r="C2472" s="384">
        <v>45783.0</v>
      </c>
      <c r="D2472" s="65">
        <v>5548.0</v>
      </c>
      <c r="E2472" s="385" t="s">
        <v>299</v>
      </c>
      <c r="F2472" s="386">
        <v>2.0</v>
      </c>
      <c r="G2472" s="74">
        <v>30000.0</v>
      </c>
      <c r="H2472" s="74">
        <v>0.0</v>
      </c>
      <c r="I2472" s="74">
        <f t="shared" si="1"/>
        <v>60000</v>
      </c>
      <c r="J2472" s="74">
        <f>IF(E2472="SERVICE",I2472-(I2472*50%),Vlookup(E2472,DATABASE!C:Q,10,false)*F2472)</f>
        <v>0</v>
      </c>
      <c r="K2472" s="74">
        <v>0.0</v>
      </c>
      <c r="L2472" s="74">
        <v>0.0</v>
      </c>
      <c r="M2472" s="74">
        <f t="shared" si="2"/>
        <v>0</v>
      </c>
      <c r="N2472" s="74">
        <f t="shared" si="3"/>
        <v>60000</v>
      </c>
      <c r="O2472" s="65" t="str">
        <f>VLOOKUP(E2472,DATABASE!C:Q,8,false)</f>
        <v>BIAN</v>
      </c>
      <c r="P2472" s="65">
        <f>VLOOKUP(E2472,DATABASE!C:Q,9,False)</f>
        <v>0</v>
      </c>
      <c r="Q2472" s="93" t="str">
        <f>VLOOKUP(E2472,DATABASE!C:Q,4,false)</f>
        <v>Balancing</v>
      </c>
      <c r="R2472" s="93" t="str">
        <f>VLOOKUP(E2472,DATABASE!C:Q,11,false)</f>
        <v>COMPLEMENTARY</v>
      </c>
    </row>
    <row r="2473" ht="22.5" customHeight="1">
      <c r="A2473" s="49"/>
      <c r="C2473" s="384">
        <v>45784.0</v>
      </c>
      <c r="D2473" s="65">
        <v>5549.0</v>
      </c>
      <c r="E2473" s="445" t="s">
        <v>268</v>
      </c>
      <c r="F2473" s="386">
        <v>2.0</v>
      </c>
      <c r="G2473" s="74">
        <v>700000.0</v>
      </c>
      <c r="H2473" s="74">
        <v>0.0</v>
      </c>
      <c r="I2473" s="74">
        <f t="shared" si="1"/>
        <v>1400000</v>
      </c>
      <c r="J2473" s="74">
        <f>IF(E2473="SERVICE",I2473-(I2473*50%),Vlookup(E2473,DATABASE!C:Q,10,false)*F2473)</f>
        <v>0</v>
      </c>
      <c r="K2473" s="74">
        <v>613000.0</v>
      </c>
      <c r="L2473" s="74">
        <v>613000.0</v>
      </c>
      <c r="M2473" s="74">
        <f t="shared" si="2"/>
        <v>615000</v>
      </c>
      <c r="N2473" s="74">
        <f t="shared" si="3"/>
        <v>170000</v>
      </c>
      <c r="O2473" s="65" t="str">
        <f>VLOOKUP(E2473,DATABASE!C:Q,8,false)</f>
        <v>IBU</v>
      </c>
      <c r="P2473" s="65">
        <f>VLOOKUP(E2473,DATABASE!C:Q,9,False)</f>
        <v>1</v>
      </c>
      <c r="Q2473" s="93" t="str">
        <f>VLOOKUP(E2473,DATABASE!C:Q,4,false)</f>
        <v>Dunlop</v>
      </c>
      <c r="R2473" s="93" t="str">
        <f>VLOOKUP(E2473,DATABASE!C:Q,11,false)</f>
        <v>Tire</v>
      </c>
    </row>
    <row r="2474" ht="22.5" customHeight="1">
      <c r="A2474" s="49"/>
      <c r="C2474" s="384">
        <v>45784.0</v>
      </c>
      <c r="D2474" s="65">
        <v>5550.0</v>
      </c>
      <c r="E2474" s="445" t="s">
        <v>1602</v>
      </c>
      <c r="F2474" s="386">
        <v>4.0</v>
      </c>
      <c r="G2474" s="74">
        <v>1850000.0</v>
      </c>
      <c r="H2474" s="74">
        <v>0.0</v>
      </c>
      <c r="I2474" s="74">
        <f t="shared" si="1"/>
        <v>7400000</v>
      </c>
      <c r="J2474" s="74">
        <f>IF(E2474="SERVICE",I2474-(I2474*50%),Vlookup(E2474,DATABASE!C:Q,10,false)*F2474)</f>
        <v>0</v>
      </c>
      <c r="K2474" s="74">
        <f>VLOOKUP(E2474,DATABASE!C:Q,7,false)</f>
        <v>1762000</v>
      </c>
      <c r="L2474" s="74">
        <v>1762000.0</v>
      </c>
      <c r="M2474" s="74">
        <f t="shared" si="2"/>
        <v>1765000</v>
      </c>
      <c r="N2474" s="74">
        <f t="shared" si="3"/>
        <v>340000</v>
      </c>
      <c r="O2474" s="65" t="str">
        <f>VLOOKUP(E2474,DATABASE!C:Q,8,false)</f>
        <v>IBU</v>
      </c>
      <c r="P2474" s="65">
        <f>VLOOKUP(E2474,DATABASE!C:Q,9,False)</f>
        <v>1</v>
      </c>
      <c r="Q2474" s="93" t="str">
        <f>VLOOKUP(E2474,DATABASE!C:Q,4,false)</f>
        <v>Dunlop</v>
      </c>
      <c r="R2474" s="93" t="str">
        <f>VLOOKUP(E2474,DATABASE!C:Q,11,false)</f>
        <v>Tire</v>
      </c>
    </row>
    <row r="2475" ht="22.5" customHeight="1">
      <c r="A2475" s="49"/>
      <c r="C2475" s="384">
        <v>45784.0</v>
      </c>
      <c r="D2475" s="65">
        <v>5550.0</v>
      </c>
      <c r="E2475" s="445" t="s">
        <v>2135</v>
      </c>
      <c r="F2475" s="386">
        <v>4.0</v>
      </c>
      <c r="G2475" s="74">
        <v>20000.0</v>
      </c>
      <c r="H2475" s="74">
        <v>0.0</v>
      </c>
      <c r="I2475" s="74">
        <f t="shared" si="1"/>
        <v>80000</v>
      </c>
      <c r="J2475" s="74">
        <f>IF(E2475="SERVICE",I2475-(I2475*50%),Vlookup(E2475,DATABASE!C:Q,10,false)*F2475)</f>
        <v>0</v>
      </c>
      <c r="K2475" s="74">
        <f>VLOOKUP(E2475,DATABASE!C:Q,7,false)</f>
        <v>0</v>
      </c>
      <c r="L2475" s="74">
        <v>0.0</v>
      </c>
      <c r="M2475" s="74">
        <f t="shared" si="2"/>
        <v>0</v>
      </c>
      <c r="N2475" s="74">
        <f t="shared" si="3"/>
        <v>80000</v>
      </c>
      <c r="O2475" s="65" t="str">
        <f>VLOOKUP(E2475,DATABASE!C:Q,8,false)</f>
        <v>IBU</v>
      </c>
      <c r="P2475" s="65">
        <f>VLOOKUP(E2475,DATABASE!C:Q,9,False)</f>
        <v>0</v>
      </c>
      <c r="Q2475" s="93" t="str">
        <f>VLOOKUP(E2475,DATABASE!C:Q,4,false)</f>
        <v>NITROGEN</v>
      </c>
      <c r="R2475" s="93" t="str">
        <f>VLOOKUP(E2475,DATABASE!C:Q,11,false)</f>
        <v>COMPLEMENTARY</v>
      </c>
    </row>
    <row r="2476" ht="22.5" customHeight="1">
      <c r="A2476" s="49"/>
      <c r="C2476" s="384">
        <v>45784.0</v>
      </c>
      <c r="D2476" s="65">
        <v>5551.0</v>
      </c>
      <c r="E2476" s="445" t="s">
        <v>268</v>
      </c>
      <c r="F2476" s="386">
        <v>1.0</v>
      </c>
      <c r="G2476" s="74">
        <v>700000.0</v>
      </c>
      <c r="H2476" s="74">
        <v>0.0</v>
      </c>
      <c r="I2476" s="74">
        <f t="shared" si="1"/>
        <v>700000</v>
      </c>
      <c r="J2476" s="74">
        <f>IF(E2476="SERVICE",I2476-(I2476*50%),Vlookup(E2476,DATABASE!C:Q,10,false)*F2476)</f>
        <v>0</v>
      </c>
      <c r="K2476" s="74">
        <v>613000.0</v>
      </c>
      <c r="L2476" s="74">
        <v>613000.0</v>
      </c>
      <c r="M2476" s="74">
        <f t="shared" si="2"/>
        <v>615000</v>
      </c>
      <c r="N2476" s="74">
        <f t="shared" si="3"/>
        <v>85000</v>
      </c>
      <c r="O2476" s="65" t="str">
        <f>VLOOKUP(E2476,DATABASE!C:Q,8,false)</f>
        <v>IBU</v>
      </c>
      <c r="P2476" s="65">
        <f>VLOOKUP(E2476,DATABASE!C:Q,9,False)</f>
        <v>1</v>
      </c>
      <c r="Q2476" s="93" t="str">
        <f>VLOOKUP(E2476,DATABASE!C:Q,4,false)</f>
        <v>Dunlop</v>
      </c>
      <c r="R2476" s="93" t="str">
        <f>VLOOKUP(E2476,DATABASE!C:Q,11,false)</f>
        <v>Tire</v>
      </c>
    </row>
    <row r="2477" ht="22.5" customHeight="1">
      <c r="A2477" s="49"/>
      <c r="C2477" s="384">
        <v>45784.0</v>
      </c>
      <c r="D2477" s="65">
        <v>5552.0</v>
      </c>
      <c r="E2477" s="445" t="s">
        <v>246</v>
      </c>
      <c r="F2477" s="386">
        <v>4.0</v>
      </c>
      <c r="G2477" s="74">
        <v>30000.0</v>
      </c>
      <c r="H2477" s="74">
        <v>0.0</v>
      </c>
      <c r="I2477" s="74">
        <f t="shared" si="1"/>
        <v>120000</v>
      </c>
      <c r="J2477" s="74">
        <f>IF(E2477="SERVICE",I2477-(I2477*50%),Vlookup(E2477,DATABASE!C:Q,10,false)*F2477)</f>
        <v>0</v>
      </c>
      <c r="K2477" s="74">
        <f>VLOOKUP(E2477,DATABASE!C:Q,7,false)</f>
        <v>0</v>
      </c>
      <c r="L2477" s="74">
        <v>0.0</v>
      </c>
      <c r="M2477" s="74">
        <f t="shared" si="2"/>
        <v>0</v>
      </c>
      <c r="N2477" s="74">
        <f t="shared" si="3"/>
        <v>120000</v>
      </c>
      <c r="O2477" s="65" t="str">
        <f>VLOOKUP(E2477,DATABASE!C:Q,8,false)</f>
        <v>IBU</v>
      </c>
      <c r="P2477" s="65">
        <f>VLOOKUP(E2477,DATABASE!C:Q,9,False)</f>
        <v>0</v>
      </c>
      <c r="Q2477" s="93" t="str">
        <f>VLOOKUP(E2477,DATABASE!C:Q,4,false)</f>
        <v>Bongkar Pasang</v>
      </c>
      <c r="R2477" s="93" t="str">
        <f>VLOOKUP(E2477,DATABASE!C:Q,11,false)</f>
        <v>SERVICE</v>
      </c>
    </row>
    <row r="2478" ht="22.5" customHeight="1">
      <c r="A2478" s="49"/>
      <c r="C2478" s="384">
        <v>45784.0</v>
      </c>
      <c r="D2478" s="65">
        <v>5552.0</v>
      </c>
      <c r="E2478" s="385" t="s">
        <v>299</v>
      </c>
      <c r="F2478" s="386">
        <v>2.0</v>
      </c>
      <c r="G2478" s="74">
        <v>30000.0</v>
      </c>
      <c r="H2478" s="74">
        <v>0.0</v>
      </c>
      <c r="I2478" s="74">
        <f t="shared" si="1"/>
        <v>60000</v>
      </c>
      <c r="J2478" s="74">
        <f>IF(E2478="SERVICE",I2478-(I2478*50%),Vlookup(E2478,DATABASE!C:Q,10,false)*F2478)</f>
        <v>0</v>
      </c>
      <c r="K2478" s="74">
        <v>0.0</v>
      </c>
      <c r="L2478" s="74">
        <v>0.0</v>
      </c>
      <c r="M2478" s="74">
        <f t="shared" si="2"/>
        <v>0</v>
      </c>
      <c r="N2478" s="74">
        <f t="shared" si="3"/>
        <v>60000</v>
      </c>
      <c r="O2478" s="65" t="str">
        <f>VLOOKUP(E2478,DATABASE!C:Q,8,false)</f>
        <v>BIAN</v>
      </c>
      <c r="P2478" s="65">
        <f>VLOOKUP(E2478,DATABASE!C:Q,9,False)</f>
        <v>0</v>
      </c>
      <c r="Q2478" s="93" t="str">
        <f>VLOOKUP(E2478,DATABASE!C:Q,4,false)</f>
        <v>Balancing</v>
      </c>
      <c r="R2478" s="93" t="str">
        <f>VLOOKUP(E2478,DATABASE!C:Q,11,false)</f>
        <v>COMPLEMENTARY</v>
      </c>
    </row>
    <row r="2479" ht="22.5" customHeight="1">
      <c r="A2479" s="49"/>
      <c r="C2479" s="384">
        <v>45784.0</v>
      </c>
      <c r="D2479" s="65">
        <v>5554.0</v>
      </c>
      <c r="E2479" s="445" t="s">
        <v>286</v>
      </c>
      <c r="F2479" s="386">
        <v>1.0</v>
      </c>
      <c r="G2479" s="74">
        <v>560000.0</v>
      </c>
      <c r="H2479" s="74">
        <v>0.0</v>
      </c>
      <c r="I2479" s="74">
        <f t="shared" si="1"/>
        <v>560000</v>
      </c>
      <c r="J2479" s="74">
        <f>IF(E2479="SERVICE",I2479-(I2479*50%),Vlookup(E2479,DATABASE!C:Q,10,false)*F2479)</f>
        <v>0</v>
      </c>
      <c r="K2479" s="74">
        <f>VLOOKUP(E2479,DATABASE!C:Q,7,false)</f>
        <v>488320</v>
      </c>
      <c r="L2479" s="74">
        <v>452970.0</v>
      </c>
      <c r="M2479" s="74">
        <f t="shared" si="2"/>
        <v>455000</v>
      </c>
      <c r="N2479" s="74">
        <f t="shared" si="3"/>
        <v>105000</v>
      </c>
      <c r="O2479" s="65" t="str">
        <f>VLOOKUP(E2479,DATABASE!C:Q,8,false)</f>
        <v>BIAN</v>
      </c>
      <c r="P2479" s="65">
        <f>VLOOKUP(E2479,DATABASE!C:Q,9,False)</f>
        <v>1</v>
      </c>
      <c r="Q2479" s="93" t="str">
        <f>VLOOKUP(E2479,DATABASE!C:Q,4,false)</f>
        <v>GT</v>
      </c>
      <c r="R2479" s="93" t="str">
        <f>VLOOKUP(E2479,DATABASE!C:Q,11,false)</f>
        <v>Tire</v>
      </c>
    </row>
    <row r="2480" ht="22.5" customHeight="1">
      <c r="A2480" s="49"/>
      <c r="C2480" s="384">
        <v>45784.0</v>
      </c>
      <c r="D2480" s="65">
        <v>5556.0</v>
      </c>
      <c r="E2480" s="445" t="s">
        <v>262</v>
      </c>
      <c r="F2480" s="386">
        <v>1.0</v>
      </c>
      <c r="G2480" s="74">
        <v>110000.0</v>
      </c>
      <c r="H2480" s="74">
        <v>0.0</v>
      </c>
      <c r="I2480" s="74">
        <f t="shared" si="1"/>
        <v>110000</v>
      </c>
      <c r="J2480" s="74">
        <f>IF(E2480="SERVICE",I2480-(I2480*50%),Vlookup(E2480,DATABASE!C:Q,10,false)*F2480)</f>
        <v>5000</v>
      </c>
      <c r="K2480" s="74">
        <f>VLOOKUP(E2480,DATABASE!C:Q,7,false)</f>
        <v>0</v>
      </c>
      <c r="L2480" s="74">
        <v>0.0</v>
      </c>
      <c r="M2480" s="74">
        <f t="shared" si="2"/>
        <v>0</v>
      </c>
      <c r="N2480" s="74">
        <f t="shared" si="3"/>
        <v>105000</v>
      </c>
      <c r="O2480" s="65" t="str">
        <f>VLOOKUP(E2480,DATABASE!C:Q,8,false)</f>
        <v>IBU</v>
      </c>
      <c r="P2480" s="65">
        <f>VLOOKUP(E2480,DATABASE!C:Q,9,False)</f>
        <v>0</v>
      </c>
      <c r="Q2480" s="93" t="str">
        <f>VLOOKUP(E2480,DATABASE!C:Q,4,false)</f>
        <v>SPOORING SS/CARRY LOS BAK</v>
      </c>
      <c r="R2480" s="93" t="str">
        <f>VLOOKUP(E2480,DATABASE!C:Q,11,false)</f>
        <v>SERVICE</v>
      </c>
    </row>
    <row r="2481" ht="22.5" customHeight="1">
      <c r="A2481" s="49"/>
      <c r="C2481" s="384">
        <v>45784.0</v>
      </c>
      <c r="D2481" s="65">
        <v>5556.0</v>
      </c>
      <c r="E2481" s="445" t="s">
        <v>251</v>
      </c>
      <c r="F2481" s="386">
        <v>1.0</v>
      </c>
      <c r="G2481" s="74">
        <v>150000.0</v>
      </c>
      <c r="H2481" s="74">
        <v>0.0</v>
      </c>
      <c r="I2481" s="74">
        <f t="shared" si="1"/>
        <v>150000</v>
      </c>
      <c r="J2481" s="74">
        <f>IF(E2481="SERVICE",I2481-(I2481*50%),Vlookup(E2481,DATABASE!C:Q,10,false)*F2481)</f>
        <v>75000</v>
      </c>
      <c r="K2481" s="74">
        <f>VLOOKUP(E2481,DATABASE!C:Q,7,false)</f>
        <v>0</v>
      </c>
      <c r="L2481" s="74">
        <v>0.0</v>
      </c>
      <c r="M2481" s="74">
        <f t="shared" si="2"/>
        <v>0</v>
      </c>
      <c r="N2481" s="74">
        <f t="shared" si="3"/>
        <v>75000</v>
      </c>
      <c r="O2481" s="65" t="str">
        <f>VLOOKUP(E2481,DATABASE!C:Q,8,false)</f>
        <v>IBU</v>
      </c>
      <c r="P2481" s="65">
        <f>VLOOKUP(E2481,DATABASE!C:Q,9,False)</f>
        <v>0</v>
      </c>
      <c r="Q2481" s="93" t="str">
        <f>VLOOKUP(E2481,DATABASE!C:Q,4,false)</f>
        <v>SERVICE</v>
      </c>
      <c r="R2481" s="93" t="str">
        <f>VLOOKUP(E2481,DATABASE!C:Q,11,false)</f>
        <v>SERVICE</v>
      </c>
    </row>
    <row r="2482" ht="22.5" customHeight="1">
      <c r="A2482" s="49"/>
      <c r="C2482" s="384">
        <v>45784.0</v>
      </c>
      <c r="D2482" s="65">
        <v>5557.0</v>
      </c>
      <c r="E2482" s="445" t="s">
        <v>554</v>
      </c>
      <c r="F2482" s="386">
        <v>2.0</v>
      </c>
      <c r="G2482" s="74">
        <v>800000.0</v>
      </c>
      <c r="H2482" s="74">
        <v>0.0</v>
      </c>
      <c r="I2482" s="74">
        <f t="shared" si="1"/>
        <v>1600000</v>
      </c>
      <c r="J2482" s="74">
        <f>IF(E2482="SERVICE",I2482-(I2482*50%),Vlookup(E2482,DATABASE!C:Q,10,false)*F2482)</f>
        <v>0</v>
      </c>
      <c r="K2482" s="74">
        <f>VLOOKUP(E2482,DATABASE!C:Q,7,false)</f>
        <v>710000</v>
      </c>
      <c r="L2482" s="74">
        <v>680000.0</v>
      </c>
      <c r="M2482" s="74">
        <f t="shared" si="2"/>
        <v>680000</v>
      </c>
      <c r="N2482" s="74">
        <f t="shared" si="3"/>
        <v>240000</v>
      </c>
      <c r="O2482" s="65" t="str">
        <f>VLOOKUP(E2482,DATABASE!C:Q,8,false)</f>
        <v>IBU</v>
      </c>
      <c r="P2482" s="65">
        <f>VLOOKUP(E2482,DATABASE!C:Q,9,False)</f>
        <v>1</v>
      </c>
      <c r="Q2482" s="93" t="str">
        <f>VLOOKUP(E2482,DATABASE!C:Q,4,false)</f>
        <v>Bridgestone</v>
      </c>
      <c r="R2482" s="93" t="str">
        <f>VLOOKUP(E2482,DATABASE!C:Q,11,false)</f>
        <v>Tire</v>
      </c>
    </row>
    <row r="2483" ht="22.5" customHeight="1">
      <c r="A2483" s="49"/>
      <c r="C2483" s="384">
        <v>45784.0</v>
      </c>
      <c r="D2483" s="65">
        <v>5558.0</v>
      </c>
      <c r="E2483" s="445" t="s">
        <v>391</v>
      </c>
      <c r="F2483" s="386">
        <v>2.0</v>
      </c>
      <c r="G2483" s="74">
        <v>1950000.0</v>
      </c>
      <c r="H2483" s="74">
        <v>0.0</v>
      </c>
      <c r="I2483" s="74">
        <f t="shared" si="1"/>
        <v>3900000</v>
      </c>
      <c r="J2483" s="74">
        <f>IF(E2483="SERVICE",I2483-(I2483*50%),Vlookup(E2483,DATABASE!C:Q,10,false)*F2483)</f>
        <v>0</v>
      </c>
      <c r="K2483" s="74">
        <f>VLOOKUP(E2483,DATABASE!C:Q,7,false)</f>
        <v>1885000</v>
      </c>
      <c r="L2483" s="74">
        <v>1840000.0</v>
      </c>
      <c r="M2483" s="74">
        <f t="shared" si="2"/>
        <v>1840000</v>
      </c>
      <c r="N2483" s="74">
        <f t="shared" si="3"/>
        <v>220000</v>
      </c>
      <c r="O2483" s="65" t="str">
        <f>VLOOKUP(E2483,DATABASE!C:Q,8,false)</f>
        <v>BIAN</v>
      </c>
      <c r="P2483" s="65">
        <f>VLOOKUP(E2483,DATABASE!C:Q,9,False)</f>
        <v>1</v>
      </c>
      <c r="Q2483" s="93" t="str">
        <f>VLOOKUP(E2483,DATABASE!C:Q,4,false)</f>
        <v>Advance</v>
      </c>
      <c r="R2483" s="93" t="str">
        <f>VLOOKUP(E2483,DATABASE!C:Q,11,false)</f>
        <v>Tire</v>
      </c>
    </row>
    <row r="2484" ht="22.5" customHeight="1">
      <c r="A2484" s="49"/>
      <c r="C2484" s="384">
        <v>45784.0</v>
      </c>
      <c r="D2484" s="65">
        <v>5559.0</v>
      </c>
      <c r="E2484" s="445" t="s">
        <v>262</v>
      </c>
      <c r="F2484" s="386">
        <v>1.0</v>
      </c>
      <c r="G2484" s="74">
        <v>110000.0</v>
      </c>
      <c r="H2484" s="74">
        <v>0.0</v>
      </c>
      <c r="I2484" s="74">
        <f t="shared" si="1"/>
        <v>110000</v>
      </c>
      <c r="J2484" s="74">
        <f>IF(E2484="SERVICE",I2484-(I2484*50%),Vlookup(E2484,DATABASE!C:Q,10,false)*F2484)</f>
        <v>5000</v>
      </c>
      <c r="K2484" s="74">
        <f>VLOOKUP(E2484,DATABASE!C:Q,7,false)</f>
        <v>0</v>
      </c>
      <c r="L2484" s="74">
        <v>0.0</v>
      </c>
      <c r="M2484" s="74">
        <f t="shared" si="2"/>
        <v>0</v>
      </c>
      <c r="N2484" s="74">
        <f t="shared" si="3"/>
        <v>105000</v>
      </c>
      <c r="O2484" s="65" t="str">
        <f>VLOOKUP(E2484,DATABASE!C:Q,8,false)</f>
        <v>IBU</v>
      </c>
      <c r="P2484" s="65">
        <f>VLOOKUP(E2484,DATABASE!C:Q,9,False)</f>
        <v>0</v>
      </c>
      <c r="Q2484" s="93" t="str">
        <f>VLOOKUP(E2484,DATABASE!C:Q,4,false)</f>
        <v>SPOORING SS/CARRY LOS BAK</v>
      </c>
      <c r="R2484" s="93" t="str">
        <f>VLOOKUP(E2484,DATABASE!C:Q,11,false)</f>
        <v>SERVICE</v>
      </c>
    </row>
    <row r="2485" ht="22.5" customHeight="1">
      <c r="A2485" s="49"/>
      <c r="C2485" s="384">
        <v>45784.0</v>
      </c>
      <c r="D2485" s="65">
        <v>5559.0</v>
      </c>
      <c r="E2485" s="445" t="s">
        <v>251</v>
      </c>
      <c r="F2485" s="386">
        <v>1.0</v>
      </c>
      <c r="G2485" s="74">
        <v>150000.0</v>
      </c>
      <c r="H2485" s="74">
        <v>0.0</v>
      </c>
      <c r="I2485" s="74">
        <f t="shared" si="1"/>
        <v>150000</v>
      </c>
      <c r="J2485" s="74">
        <f>IF(E2485="SERVICE",I2485-(I2485*50%),Vlookup(E2485,DATABASE!C:Q,10,false)*F2485)</f>
        <v>75000</v>
      </c>
      <c r="K2485" s="74">
        <f>VLOOKUP(E2485,DATABASE!C:Q,7,false)</f>
        <v>0</v>
      </c>
      <c r="L2485" s="74">
        <v>0.0</v>
      </c>
      <c r="M2485" s="74">
        <f t="shared" si="2"/>
        <v>0</v>
      </c>
      <c r="N2485" s="74">
        <f t="shared" si="3"/>
        <v>75000</v>
      </c>
      <c r="O2485" s="65" t="str">
        <f>VLOOKUP(E2485,DATABASE!C:Q,8,false)</f>
        <v>IBU</v>
      </c>
      <c r="P2485" s="65">
        <f>VLOOKUP(E2485,DATABASE!C:Q,9,False)</f>
        <v>0</v>
      </c>
      <c r="Q2485" s="93" t="str">
        <f>VLOOKUP(E2485,DATABASE!C:Q,4,false)</f>
        <v>SERVICE</v>
      </c>
      <c r="R2485" s="93" t="str">
        <f>VLOOKUP(E2485,DATABASE!C:Q,11,false)</f>
        <v>SERVICE</v>
      </c>
    </row>
    <row r="2486" ht="22.5" customHeight="1">
      <c r="A2486" s="49"/>
      <c r="C2486" s="384">
        <v>45785.0</v>
      </c>
      <c r="D2486" s="65">
        <v>5560.0</v>
      </c>
      <c r="E2486" s="445" t="s">
        <v>268</v>
      </c>
      <c r="F2486" s="386">
        <v>1.0</v>
      </c>
      <c r="G2486" s="74">
        <v>700000.0</v>
      </c>
      <c r="H2486" s="74">
        <v>0.0</v>
      </c>
      <c r="I2486" s="74">
        <f t="shared" si="1"/>
        <v>700000</v>
      </c>
      <c r="J2486" s="74">
        <f>IF(E2486="SERVICE",I2486-(I2486*50%),Vlookup(E2486,DATABASE!C:Q,10,false)*F2486)</f>
        <v>0</v>
      </c>
      <c r="K2486" s="74">
        <v>613000.0</v>
      </c>
      <c r="L2486" s="74">
        <v>613000.0</v>
      </c>
      <c r="M2486" s="74">
        <f t="shared" si="2"/>
        <v>615000</v>
      </c>
      <c r="N2486" s="74">
        <f t="shared" si="3"/>
        <v>85000</v>
      </c>
      <c r="O2486" s="65" t="str">
        <f>VLOOKUP(E2486,DATABASE!C:Q,8,false)</f>
        <v>IBU</v>
      </c>
      <c r="P2486" s="65">
        <f>VLOOKUP(E2486,DATABASE!C:Q,9,False)</f>
        <v>1</v>
      </c>
      <c r="Q2486" s="93" t="str">
        <f>VLOOKUP(E2486,DATABASE!C:Q,4,false)</f>
        <v>Dunlop</v>
      </c>
      <c r="R2486" s="93" t="str">
        <f>VLOOKUP(E2486,DATABASE!C:Q,11,false)</f>
        <v>Tire</v>
      </c>
    </row>
    <row r="2487" ht="22.5" customHeight="1">
      <c r="A2487" s="49"/>
      <c r="C2487" s="384">
        <v>45785.0</v>
      </c>
      <c r="D2487" s="65">
        <v>5561.0</v>
      </c>
      <c r="E2487" s="445" t="s">
        <v>262</v>
      </c>
      <c r="F2487" s="386">
        <v>1.0</v>
      </c>
      <c r="G2487" s="74">
        <v>110000.0</v>
      </c>
      <c r="H2487" s="74">
        <v>0.0</v>
      </c>
      <c r="I2487" s="74">
        <f t="shared" si="1"/>
        <v>110000</v>
      </c>
      <c r="J2487" s="74">
        <f>IF(E2487="SERVICE",I2487-(I2487*50%),Vlookup(E2487,DATABASE!C:Q,10,false)*F2487)</f>
        <v>5000</v>
      </c>
      <c r="K2487" s="74">
        <f>VLOOKUP(E2487,DATABASE!C:Q,7,false)</f>
        <v>0</v>
      </c>
      <c r="L2487" s="74">
        <v>0.0</v>
      </c>
      <c r="M2487" s="74">
        <f t="shared" si="2"/>
        <v>0</v>
      </c>
      <c r="N2487" s="74">
        <f t="shared" si="3"/>
        <v>105000</v>
      </c>
      <c r="O2487" s="65" t="str">
        <f>VLOOKUP(E2487,DATABASE!C:Q,8,false)</f>
        <v>IBU</v>
      </c>
      <c r="P2487" s="65">
        <f>VLOOKUP(E2487,DATABASE!C:Q,9,False)</f>
        <v>0</v>
      </c>
      <c r="Q2487" s="93" t="str">
        <f>VLOOKUP(E2487,DATABASE!C:Q,4,false)</f>
        <v>SPOORING SS/CARRY LOS BAK</v>
      </c>
      <c r="R2487" s="93" t="str">
        <f>VLOOKUP(E2487,DATABASE!C:Q,11,false)</f>
        <v>SERVICE</v>
      </c>
    </row>
    <row r="2488" ht="22.5" customHeight="1">
      <c r="A2488" s="49"/>
      <c r="C2488" s="384">
        <v>45785.0</v>
      </c>
      <c r="D2488" s="65">
        <v>5561.0</v>
      </c>
      <c r="E2488" s="445" t="s">
        <v>251</v>
      </c>
      <c r="F2488" s="386">
        <v>1.0</v>
      </c>
      <c r="G2488" s="74">
        <v>150000.0</v>
      </c>
      <c r="H2488" s="74">
        <v>0.0</v>
      </c>
      <c r="I2488" s="74">
        <f t="shared" si="1"/>
        <v>150000</v>
      </c>
      <c r="J2488" s="74">
        <f>IF(E2488="SERVICE",I2488-(I2488*50%),Vlookup(E2488,DATABASE!C:Q,10,false)*F2488)</f>
        <v>75000</v>
      </c>
      <c r="K2488" s="74">
        <f>VLOOKUP(E2488,DATABASE!C:Q,7,false)</f>
        <v>0</v>
      </c>
      <c r="L2488" s="74">
        <v>0.0</v>
      </c>
      <c r="M2488" s="74">
        <f t="shared" si="2"/>
        <v>0</v>
      </c>
      <c r="N2488" s="74">
        <f t="shared" si="3"/>
        <v>75000</v>
      </c>
      <c r="O2488" s="65" t="str">
        <f>VLOOKUP(E2488,DATABASE!C:Q,8,false)</f>
        <v>IBU</v>
      </c>
      <c r="P2488" s="65">
        <f>VLOOKUP(E2488,DATABASE!C:Q,9,False)</f>
        <v>0</v>
      </c>
      <c r="Q2488" s="93" t="str">
        <f>VLOOKUP(E2488,DATABASE!C:Q,4,false)</f>
        <v>SERVICE</v>
      </c>
      <c r="R2488" s="93" t="str">
        <f>VLOOKUP(E2488,DATABASE!C:Q,11,false)</f>
        <v>SERVICE</v>
      </c>
    </row>
    <row r="2489" ht="22.5" customHeight="1">
      <c r="A2489" s="49"/>
      <c r="C2489" s="384">
        <v>45785.0</v>
      </c>
      <c r="D2489" s="65">
        <v>5562.0</v>
      </c>
      <c r="E2489" s="445" t="s">
        <v>268</v>
      </c>
      <c r="F2489" s="386">
        <v>1.0</v>
      </c>
      <c r="G2489" s="74">
        <v>700000.0</v>
      </c>
      <c r="H2489" s="74">
        <v>0.0</v>
      </c>
      <c r="I2489" s="74">
        <f t="shared" si="1"/>
        <v>700000</v>
      </c>
      <c r="J2489" s="74">
        <f>IF(E2489="SERVICE",I2489-(I2489*50%),Vlookup(E2489,DATABASE!C:Q,10,false)*F2489)</f>
        <v>0</v>
      </c>
      <c r="K2489" s="74">
        <v>613000.0</v>
      </c>
      <c r="L2489" s="74">
        <v>613000.0</v>
      </c>
      <c r="M2489" s="74">
        <f t="shared" si="2"/>
        <v>615000</v>
      </c>
      <c r="N2489" s="74">
        <f t="shared" si="3"/>
        <v>85000</v>
      </c>
      <c r="O2489" s="65" t="str">
        <f>VLOOKUP(E2489,DATABASE!C:Q,8,false)</f>
        <v>IBU</v>
      </c>
      <c r="P2489" s="65">
        <f>VLOOKUP(E2489,DATABASE!C:Q,9,False)</f>
        <v>1</v>
      </c>
      <c r="Q2489" s="93" t="str">
        <f>VLOOKUP(E2489,DATABASE!C:Q,4,false)</f>
        <v>Dunlop</v>
      </c>
      <c r="R2489" s="93" t="str">
        <f>VLOOKUP(E2489,DATABASE!C:Q,11,false)</f>
        <v>Tire</v>
      </c>
    </row>
    <row r="2490" ht="22.5" customHeight="1">
      <c r="A2490" s="49"/>
      <c r="C2490" s="384">
        <v>45785.0</v>
      </c>
      <c r="D2490" s="65">
        <v>5563.0</v>
      </c>
      <c r="E2490" s="445" t="s">
        <v>246</v>
      </c>
      <c r="F2490" s="386">
        <v>1.0</v>
      </c>
      <c r="G2490" s="74">
        <v>35000.0</v>
      </c>
      <c r="H2490" s="74">
        <v>0.0</v>
      </c>
      <c r="I2490" s="74">
        <f t="shared" si="1"/>
        <v>35000</v>
      </c>
      <c r="J2490" s="74">
        <f>IF(E2490="SERVICE",I2490-(I2490*50%),Vlookup(E2490,DATABASE!C:Q,10,false)*F2490)</f>
        <v>0</v>
      </c>
      <c r="K2490" s="74">
        <f>VLOOKUP(E2490,DATABASE!C:Q,7,false)</f>
        <v>0</v>
      </c>
      <c r="L2490" s="74">
        <v>0.0</v>
      </c>
      <c r="M2490" s="74">
        <f t="shared" si="2"/>
        <v>0</v>
      </c>
      <c r="N2490" s="74">
        <f t="shared" si="3"/>
        <v>35000</v>
      </c>
      <c r="O2490" s="65" t="str">
        <f>VLOOKUP(E2490,DATABASE!C:Q,8,false)</f>
        <v>IBU</v>
      </c>
      <c r="P2490" s="65">
        <f>VLOOKUP(E2490,DATABASE!C:Q,9,False)</f>
        <v>0</v>
      </c>
      <c r="Q2490" s="93" t="str">
        <f>VLOOKUP(E2490,DATABASE!C:Q,4,false)</f>
        <v>Bongkar Pasang</v>
      </c>
      <c r="R2490" s="93" t="str">
        <f>VLOOKUP(E2490,DATABASE!C:Q,11,false)</f>
        <v>SERVICE</v>
      </c>
    </row>
    <row r="2491" ht="22.5" customHeight="1">
      <c r="A2491" s="49"/>
      <c r="C2491" s="384">
        <v>45785.0</v>
      </c>
      <c r="D2491" s="65">
        <v>5564.0</v>
      </c>
      <c r="E2491" s="445" t="s">
        <v>932</v>
      </c>
      <c r="F2491" s="386">
        <v>2.0</v>
      </c>
      <c r="G2491" s="74">
        <v>670000.0</v>
      </c>
      <c r="H2491" s="74">
        <v>0.0</v>
      </c>
      <c r="I2491" s="74">
        <f t="shared" si="1"/>
        <v>1340000</v>
      </c>
      <c r="J2491" s="74">
        <f>IF(E2491="SERVICE",I2491-(I2491*50%),Vlookup(E2491,DATABASE!C:Q,10,false)*F2491)</f>
        <v>0</v>
      </c>
      <c r="K2491" s="74">
        <v>575000.0</v>
      </c>
      <c r="L2491" s="74">
        <v>575000.0</v>
      </c>
      <c r="M2491" s="74">
        <f t="shared" si="2"/>
        <v>575000</v>
      </c>
      <c r="N2491" s="74">
        <f t="shared" si="3"/>
        <v>190000</v>
      </c>
      <c r="O2491" s="65" t="str">
        <f>VLOOKUP(E2491,DATABASE!C:Q,8,false)</f>
        <v>IBU</v>
      </c>
      <c r="P2491" s="65">
        <f>VLOOKUP(E2491,DATABASE!C:Q,9,False)</f>
        <v>1</v>
      </c>
      <c r="Q2491" s="93" t="str">
        <f>VLOOKUP(E2491,DATABASE!C:Q,4,false)</f>
        <v>Dunlop</v>
      </c>
      <c r="R2491" s="93" t="str">
        <f>VLOOKUP(E2491,DATABASE!C:Q,11,false)</f>
        <v>Tire</v>
      </c>
    </row>
    <row r="2492" ht="22.5" customHeight="1">
      <c r="A2492" s="49"/>
      <c r="C2492" s="384">
        <v>45785.0</v>
      </c>
      <c r="D2492" s="65">
        <v>5564.0</v>
      </c>
      <c r="E2492" s="445" t="s">
        <v>256</v>
      </c>
      <c r="F2492" s="386">
        <v>1.0</v>
      </c>
      <c r="G2492" s="74">
        <v>110000.0</v>
      </c>
      <c r="H2492" s="74">
        <v>0.0</v>
      </c>
      <c r="I2492" s="74">
        <f t="shared" si="1"/>
        <v>110000</v>
      </c>
      <c r="J2492" s="74">
        <f>IF(E2492="SERVICE",I2492-(I2492*50%),Vlookup(E2492,DATABASE!C:Q,10,false)*F2492)</f>
        <v>10000</v>
      </c>
      <c r="K2492" s="74">
        <f>VLOOKUP(E2492,DATABASE!C:Q,7,false)</f>
        <v>0</v>
      </c>
      <c r="L2492" s="74">
        <v>0.0</v>
      </c>
      <c r="M2492" s="74">
        <f t="shared" si="2"/>
        <v>0</v>
      </c>
      <c r="N2492" s="74">
        <f t="shared" si="3"/>
        <v>100000</v>
      </c>
      <c r="O2492" s="65" t="str">
        <f>VLOOKUP(E2492,DATABASE!C:Q,8,false)</f>
        <v>IBU</v>
      </c>
      <c r="P2492" s="65">
        <f>VLOOKUP(E2492,DATABASE!C:Q,9,False)</f>
        <v>0</v>
      </c>
      <c r="Q2492" s="93" t="str">
        <f>VLOOKUP(E2492,DATABASE!C:Q,4,false)</f>
        <v>SPOORING</v>
      </c>
      <c r="R2492" s="93" t="str">
        <f>VLOOKUP(E2492,DATABASE!C:Q,11,false)</f>
        <v>SERVICE</v>
      </c>
    </row>
    <row r="2493" ht="22.5" customHeight="1">
      <c r="A2493" s="49"/>
      <c r="C2493" s="384">
        <v>45785.0</v>
      </c>
      <c r="D2493" s="65">
        <v>5564.0</v>
      </c>
      <c r="E2493" s="445" t="s">
        <v>301</v>
      </c>
      <c r="F2493" s="386">
        <v>1.0</v>
      </c>
      <c r="G2493" s="74">
        <v>250000.0</v>
      </c>
      <c r="H2493" s="74">
        <v>0.0</v>
      </c>
      <c r="I2493" s="74">
        <f t="shared" si="1"/>
        <v>250000</v>
      </c>
      <c r="J2493" s="74">
        <f>IF(E2493="SERVICE",I2493-(I2493*50%),Vlookup(E2493,DATABASE!C:Q,10,false)*F2493)</f>
        <v>75000</v>
      </c>
      <c r="K2493" s="74">
        <f>VLOOKUP(E2493,DATABASE!C:Q,7,false)</f>
        <v>75000</v>
      </c>
      <c r="L2493" s="74">
        <v>75000.0</v>
      </c>
      <c r="M2493" s="74">
        <f t="shared" si="2"/>
        <v>75000</v>
      </c>
      <c r="N2493" s="74">
        <f t="shared" si="3"/>
        <v>100000</v>
      </c>
      <c r="O2493" s="65" t="str">
        <f>VLOOKUP(E2493,DATABASE!C:Q,8,false)</f>
        <v>BIAN</v>
      </c>
      <c r="P2493" s="65">
        <f>VLOOKUP(E2493,DATABASE!C:Q,9,False)</f>
        <v>0</v>
      </c>
      <c r="Q2493" s="93" t="str">
        <f>VLOOKUP(E2493,DATABASE!C:Q,4,false)</f>
        <v>Baut Camber</v>
      </c>
      <c r="R2493" s="93" t="str">
        <f>VLOOKUP(E2493,DATABASE!C:Q,11,false)</f>
        <v>COMPLEMENTARY</v>
      </c>
    </row>
    <row r="2494" ht="22.5" customHeight="1">
      <c r="A2494" s="49"/>
      <c r="C2494" s="384">
        <v>45785.0</v>
      </c>
      <c r="D2494" s="65">
        <v>5565.0</v>
      </c>
      <c r="E2494" s="445" t="s">
        <v>294</v>
      </c>
      <c r="F2494" s="386">
        <v>2.0</v>
      </c>
      <c r="G2494" s="74">
        <v>570000.0</v>
      </c>
      <c r="H2494" s="74">
        <v>0.0</v>
      </c>
      <c r="I2494" s="74">
        <f t="shared" si="1"/>
        <v>1140000</v>
      </c>
      <c r="J2494" s="74">
        <f>IF(E2494="SERVICE",I2494-(I2494*50%),Vlookup(E2494,DATABASE!C:Q,10,false)*F2494)</f>
        <v>0</v>
      </c>
      <c r="K2494" s="74">
        <f>VLOOKUP(E2494,DATABASE!C:Q,7,false)</f>
        <v>505000</v>
      </c>
      <c r="L2494" s="74">
        <v>490000.0</v>
      </c>
      <c r="M2494" s="74">
        <f t="shared" si="2"/>
        <v>490000</v>
      </c>
      <c r="N2494" s="74">
        <f t="shared" si="3"/>
        <v>160000</v>
      </c>
      <c r="O2494" s="65" t="str">
        <f>VLOOKUP(E2494,DATABASE!C:Q,8,false)</f>
        <v>BIAN</v>
      </c>
      <c r="P2494" s="65">
        <f>VLOOKUP(E2494,DATABASE!C:Q,9,False)</f>
        <v>1</v>
      </c>
      <c r="Q2494" s="93" t="str">
        <f>VLOOKUP(E2494,DATABASE!C:Q,4,false)</f>
        <v>GT</v>
      </c>
      <c r="R2494" s="93" t="str">
        <f>VLOOKUP(E2494,DATABASE!C:Q,11,false)</f>
        <v>Tire</v>
      </c>
    </row>
    <row r="2495" ht="22.5" customHeight="1">
      <c r="A2495" s="49"/>
      <c r="C2495" s="384">
        <v>45785.0</v>
      </c>
      <c r="D2495" s="65">
        <v>5565.0</v>
      </c>
      <c r="E2495" s="445" t="s">
        <v>246</v>
      </c>
      <c r="F2495" s="386">
        <v>2.0</v>
      </c>
      <c r="G2495" s="74">
        <v>20000.0</v>
      </c>
      <c r="H2495" s="74">
        <v>0.0</v>
      </c>
      <c r="I2495" s="74">
        <f t="shared" si="1"/>
        <v>40000</v>
      </c>
      <c r="J2495" s="74">
        <f>IF(E2495="SERVICE",I2495-(I2495*50%),Vlookup(E2495,DATABASE!C:Q,10,false)*F2495)</f>
        <v>0</v>
      </c>
      <c r="K2495" s="74">
        <f>VLOOKUP(E2495,DATABASE!C:Q,7,false)</f>
        <v>0</v>
      </c>
      <c r="L2495" s="74">
        <v>0.0</v>
      </c>
      <c r="M2495" s="74">
        <f t="shared" si="2"/>
        <v>0</v>
      </c>
      <c r="N2495" s="74">
        <f t="shared" si="3"/>
        <v>40000</v>
      </c>
      <c r="O2495" s="65" t="str">
        <f>VLOOKUP(E2495,DATABASE!C:Q,8,false)</f>
        <v>IBU</v>
      </c>
      <c r="P2495" s="65">
        <f>VLOOKUP(E2495,DATABASE!C:Q,9,False)</f>
        <v>0</v>
      </c>
      <c r="Q2495" s="93" t="str">
        <f>VLOOKUP(E2495,DATABASE!C:Q,4,false)</f>
        <v>Bongkar Pasang</v>
      </c>
      <c r="R2495" s="93" t="str">
        <f>VLOOKUP(E2495,DATABASE!C:Q,11,false)</f>
        <v>SERVICE</v>
      </c>
    </row>
    <row r="2496" ht="22.5" customHeight="1">
      <c r="A2496" s="49"/>
      <c r="C2496" s="384">
        <v>45785.0</v>
      </c>
      <c r="D2496" s="65">
        <v>5566.0</v>
      </c>
      <c r="E2496" s="445" t="s">
        <v>268</v>
      </c>
      <c r="F2496" s="386">
        <v>1.0</v>
      </c>
      <c r="G2496" s="74">
        <v>700000.0</v>
      </c>
      <c r="H2496" s="74">
        <v>0.0</v>
      </c>
      <c r="I2496" s="74">
        <f t="shared" si="1"/>
        <v>700000</v>
      </c>
      <c r="J2496" s="74">
        <f>IF(E2496="SERVICE",I2496-(I2496*50%),Vlookup(E2496,DATABASE!C:Q,10,false)*F2496)</f>
        <v>0</v>
      </c>
      <c r="K2496" s="74">
        <v>613000.0</v>
      </c>
      <c r="L2496" s="74">
        <v>613000.0</v>
      </c>
      <c r="M2496" s="74">
        <f t="shared" si="2"/>
        <v>615000</v>
      </c>
      <c r="N2496" s="74">
        <f t="shared" si="3"/>
        <v>85000</v>
      </c>
      <c r="O2496" s="65" t="str">
        <f>VLOOKUP(E2496,DATABASE!C:Q,8,false)</f>
        <v>IBU</v>
      </c>
      <c r="P2496" s="65">
        <f>VLOOKUP(E2496,DATABASE!C:Q,9,False)</f>
        <v>1</v>
      </c>
      <c r="Q2496" s="93" t="str">
        <f>VLOOKUP(E2496,DATABASE!C:Q,4,false)</f>
        <v>Dunlop</v>
      </c>
      <c r="R2496" s="93" t="str">
        <f>VLOOKUP(E2496,DATABASE!C:Q,11,false)</f>
        <v>Tire</v>
      </c>
    </row>
    <row r="2497" ht="22.5" customHeight="1">
      <c r="A2497" s="49"/>
      <c r="C2497" s="384">
        <v>45785.0</v>
      </c>
      <c r="D2497" s="65">
        <v>5567.0</v>
      </c>
      <c r="E2497" s="445" t="s">
        <v>246</v>
      </c>
      <c r="F2497" s="386">
        <v>2.0</v>
      </c>
      <c r="G2497" s="74">
        <v>40000.0</v>
      </c>
      <c r="H2497" s="74">
        <v>0.0</v>
      </c>
      <c r="I2497" s="74">
        <f t="shared" si="1"/>
        <v>80000</v>
      </c>
      <c r="J2497" s="74">
        <f>IF(E2497="SERVICE",I2497-(I2497*50%),Vlookup(E2497,DATABASE!C:Q,10,false)*F2497)</f>
        <v>0</v>
      </c>
      <c r="K2497" s="74">
        <f>VLOOKUP(E2497,DATABASE!C:Q,7,false)</f>
        <v>0</v>
      </c>
      <c r="L2497" s="74">
        <v>0.0</v>
      </c>
      <c r="M2497" s="74">
        <f t="shared" si="2"/>
        <v>0</v>
      </c>
      <c r="N2497" s="74">
        <f t="shared" si="3"/>
        <v>80000</v>
      </c>
      <c r="O2497" s="65" t="str">
        <f>VLOOKUP(E2497,DATABASE!C:Q,8,false)</f>
        <v>IBU</v>
      </c>
      <c r="P2497" s="65">
        <f>VLOOKUP(E2497,DATABASE!C:Q,9,False)</f>
        <v>0</v>
      </c>
      <c r="Q2497" s="93" t="str">
        <f>VLOOKUP(E2497,DATABASE!C:Q,4,false)</f>
        <v>Bongkar Pasang</v>
      </c>
      <c r="R2497" s="93" t="str">
        <f>VLOOKUP(E2497,DATABASE!C:Q,11,false)</f>
        <v>SERVICE</v>
      </c>
    </row>
    <row r="2498" ht="22.5" customHeight="1">
      <c r="A2498" s="49"/>
      <c r="C2498" s="384">
        <v>45785.0</v>
      </c>
      <c r="D2498" s="65">
        <v>5568.0</v>
      </c>
      <c r="E2498" s="445" t="s">
        <v>256</v>
      </c>
      <c r="F2498" s="386">
        <v>1.0</v>
      </c>
      <c r="G2498" s="74">
        <v>130000.0</v>
      </c>
      <c r="H2498" s="74">
        <v>0.0</v>
      </c>
      <c r="I2498" s="74">
        <f t="shared" si="1"/>
        <v>130000</v>
      </c>
      <c r="J2498" s="74">
        <f>IF(E2498="SERVICE",I2498-(I2498*50%),Vlookup(E2498,DATABASE!C:Q,10,false)*F2498)</f>
        <v>10000</v>
      </c>
      <c r="K2498" s="74">
        <f>VLOOKUP(E2498,DATABASE!C:Q,7,false)</f>
        <v>0</v>
      </c>
      <c r="L2498" s="74">
        <v>0.0</v>
      </c>
      <c r="M2498" s="74">
        <f t="shared" si="2"/>
        <v>0</v>
      </c>
      <c r="N2498" s="74">
        <f t="shared" si="3"/>
        <v>120000</v>
      </c>
      <c r="O2498" s="65" t="str">
        <f>VLOOKUP(E2498,DATABASE!C:Q,8,false)</f>
        <v>IBU</v>
      </c>
      <c r="P2498" s="65">
        <f>VLOOKUP(E2498,DATABASE!C:Q,9,False)</f>
        <v>0</v>
      </c>
      <c r="Q2498" s="93" t="str">
        <f>VLOOKUP(E2498,DATABASE!C:Q,4,false)</f>
        <v>SPOORING</v>
      </c>
      <c r="R2498" s="93" t="str">
        <f>VLOOKUP(E2498,DATABASE!C:Q,11,false)</f>
        <v>SERVICE</v>
      </c>
    </row>
    <row r="2499" ht="22.5" customHeight="1">
      <c r="A2499" s="49"/>
      <c r="C2499" s="384">
        <v>45785.0</v>
      </c>
      <c r="D2499" s="65">
        <v>5569.0</v>
      </c>
      <c r="E2499" s="445" t="s">
        <v>268</v>
      </c>
      <c r="F2499" s="386">
        <v>2.0</v>
      </c>
      <c r="G2499" s="74">
        <v>700000.0</v>
      </c>
      <c r="H2499" s="74">
        <v>0.0</v>
      </c>
      <c r="I2499" s="74">
        <f t="shared" si="1"/>
        <v>1400000</v>
      </c>
      <c r="J2499" s="74">
        <f>IF(E2499="SERVICE",I2499-(I2499*50%),Vlookup(E2499,DATABASE!C:Q,10,false)*F2499)</f>
        <v>0</v>
      </c>
      <c r="K2499" s="74">
        <v>613000.0</v>
      </c>
      <c r="L2499" s="74">
        <v>613000.0</v>
      </c>
      <c r="M2499" s="74">
        <f t="shared" si="2"/>
        <v>615000</v>
      </c>
      <c r="N2499" s="74">
        <f t="shared" si="3"/>
        <v>170000</v>
      </c>
      <c r="O2499" s="65" t="str">
        <f>VLOOKUP(E2499,DATABASE!C:Q,8,false)</f>
        <v>IBU</v>
      </c>
      <c r="P2499" s="65">
        <f>VLOOKUP(E2499,DATABASE!C:Q,9,False)</f>
        <v>1</v>
      </c>
      <c r="Q2499" s="93" t="str">
        <f>VLOOKUP(E2499,DATABASE!C:Q,4,false)</f>
        <v>Dunlop</v>
      </c>
      <c r="R2499" s="93" t="str">
        <f>VLOOKUP(E2499,DATABASE!C:Q,11,false)</f>
        <v>Tire</v>
      </c>
    </row>
    <row r="2500" ht="22.5" customHeight="1">
      <c r="A2500" s="49"/>
      <c r="C2500" s="384">
        <v>45785.0</v>
      </c>
      <c r="D2500" s="65">
        <v>5570.0</v>
      </c>
      <c r="E2500" s="445" t="s">
        <v>600</v>
      </c>
      <c r="F2500" s="386">
        <v>1.0</v>
      </c>
      <c r="G2500" s="74">
        <v>670000.0</v>
      </c>
      <c r="H2500" s="74">
        <v>0.0</v>
      </c>
      <c r="I2500" s="74">
        <f t="shared" si="1"/>
        <v>670000</v>
      </c>
      <c r="J2500" s="74">
        <f>IF(E2500="SERVICE",I2500-(I2500*50%),Vlookup(E2500,DATABASE!C:Q,10,false)*F2500)</f>
        <v>0</v>
      </c>
      <c r="K2500" s="74">
        <f>VLOOKUP(E2500,DATABASE!C:Q,7,false)</f>
        <v>611109.16</v>
      </c>
      <c r="L2500" s="74">
        <v>572762.4</v>
      </c>
      <c r="M2500" s="74">
        <f t="shared" si="2"/>
        <v>575000</v>
      </c>
      <c r="N2500" s="74">
        <f t="shared" si="3"/>
        <v>95000</v>
      </c>
      <c r="O2500" s="65" t="str">
        <f>VLOOKUP(E2500,DATABASE!C:Q,8,false)</f>
        <v>IBU</v>
      </c>
      <c r="P2500" s="65">
        <f>VLOOKUP(E2500,DATABASE!C:Q,9,False)</f>
        <v>1</v>
      </c>
      <c r="Q2500" s="93" t="str">
        <f>VLOOKUP(E2500,DATABASE!C:Q,4,false)</f>
        <v>Bridgestone</v>
      </c>
      <c r="R2500" s="93" t="str">
        <f>VLOOKUP(E2500,DATABASE!C:Q,11,false)</f>
        <v>Tire</v>
      </c>
    </row>
    <row r="2501" ht="22.5" customHeight="1">
      <c r="A2501" s="49"/>
      <c r="C2501" s="384">
        <v>45785.0</v>
      </c>
      <c r="D2501" s="65">
        <v>5571.0</v>
      </c>
      <c r="E2501" s="445" t="s">
        <v>256</v>
      </c>
      <c r="F2501" s="386">
        <v>1.0</v>
      </c>
      <c r="G2501" s="74">
        <v>130000.0</v>
      </c>
      <c r="H2501" s="74">
        <v>0.0</v>
      </c>
      <c r="I2501" s="74">
        <f t="shared" si="1"/>
        <v>130000</v>
      </c>
      <c r="J2501" s="74">
        <f>IF(E2501="SERVICE",I2501-(I2501*50%),Vlookup(E2501,DATABASE!C:Q,10,false)*F2501)</f>
        <v>10000</v>
      </c>
      <c r="K2501" s="74">
        <f>VLOOKUP(E2501,DATABASE!C:Q,7,false)</f>
        <v>0</v>
      </c>
      <c r="L2501" s="74">
        <v>0.0</v>
      </c>
      <c r="M2501" s="74">
        <f t="shared" si="2"/>
        <v>0</v>
      </c>
      <c r="N2501" s="74">
        <f t="shared" si="3"/>
        <v>120000</v>
      </c>
      <c r="O2501" s="65" t="str">
        <f>VLOOKUP(E2501,DATABASE!C:Q,8,false)</f>
        <v>IBU</v>
      </c>
      <c r="P2501" s="65">
        <f>VLOOKUP(E2501,DATABASE!C:Q,9,False)</f>
        <v>0</v>
      </c>
      <c r="Q2501" s="93" t="str">
        <f>VLOOKUP(E2501,DATABASE!C:Q,4,false)</f>
        <v>SPOORING</v>
      </c>
      <c r="R2501" s="93" t="str">
        <f>VLOOKUP(E2501,DATABASE!C:Q,11,false)</f>
        <v>SERVICE</v>
      </c>
    </row>
    <row r="2502" ht="22.5" customHeight="1">
      <c r="A2502" s="49"/>
      <c r="C2502" s="384">
        <v>45785.0</v>
      </c>
      <c r="D2502" s="65">
        <v>5571.0</v>
      </c>
      <c r="E2502" s="445" t="s">
        <v>301</v>
      </c>
      <c r="F2502" s="386">
        <v>1.0</v>
      </c>
      <c r="G2502" s="74">
        <v>250000.0</v>
      </c>
      <c r="H2502" s="74">
        <v>0.0</v>
      </c>
      <c r="I2502" s="74">
        <f t="shared" si="1"/>
        <v>250000</v>
      </c>
      <c r="J2502" s="74">
        <f>IF(E2502="SERVICE",I2502-(I2502*50%),Vlookup(E2502,DATABASE!C:Q,10,false)*F2502)</f>
        <v>75000</v>
      </c>
      <c r="K2502" s="74">
        <f>VLOOKUP(E2502,DATABASE!C:Q,7,false)</f>
        <v>75000</v>
      </c>
      <c r="L2502" s="74">
        <v>75000.0</v>
      </c>
      <c r="M2502" s="74">
        <f t="shared" si="2"/>
        <v>75000</v>
      </c>
      <c r="N2502" s="74">
        <f t="shared" si="3"/>
        <v>100000</v>
      </c>
      <c r="O2502" s="65" t="str">
        <f>VLOOKUP(E2502,DATABASE!C:Q,8,false)</f>
        <v>BIAN</v>
      </c>
      <c r="P2502" s="65">
        <f>VLOOKUP(E2502,DATABASE!C:Q,9,False)</f>
        <v>0</v>
      </c>
      <c r="Q2502" s="93" t="str">
        <f>VLOOKUP(E2502,DATABASE!C:Q,4,false)</f>
        <v>Baut Camber</v>
      </c>
      <c r="R2502" s="93" t="str">
        <f>VLOOKUP(E2502,DATABASE!C:Q,11,false)</f>
        <v>COMPLEMENTARY</v>
      </c>
    </row>
    <row r="2503" ht="22.5" customHeight="1">
      <c r="A2503" s="49"/>
      <c r="C2503" s="384">
        <v>45785.0</v>
      </c>
      <c r="D2503" s="65">
        <v>5572.0</v>
      </c>
      <c r="E2503" s="445" t="s">
        <v>1002</v>
      </c>
      <c r="F2503" s="386">
        <v>1.0</v>
      </c>
      <c r="G2503" s="74">
        <v>1530000.0</v>
      </c>
      <c r="H2503" s="74">
        <v>0.0</v>
      </c>
      <c r="I2503" s="74">
        <f t="shared" si="1"/>
        <v>1530000</v>
      </c>
      <c r="J2503" s="74">
        <f>IF(E2503="SERVICE",I2503-(I2503*50%),Vlookup(E2503,DATABASE!C:Q,10,false)*F2503)</f>
        <v>0</v>
      </c>
      <c r="K2503" s="74">
        <f>VLOOKUP(E2503,DATABASE!C:Q,7,false)</f>
        <v>1447000</v>
      </c>
      <c r="L2503" s="74">
        <v>1447000.0</v>
      </c>
      <c r="M2503" s="74">
        <f t="shared" si="2"/>
        <v>1450000</v>
      </c>
      <c r="N2503" s="74">
        <f t="shared" si="3"/>
        <v>80000</v>
      </c>
      <c r="O2503" s="65" t="str">
        <f>VLOOKUP(E2503,DATABASE!C:Q,8,false)</f>
        <v>IBU</v>
      </c>
      <c r="P2503" s="65">
        <f>VLOOKUP(E2503,DATABASE!C:Q,9,False)</f>
        <v>1</v>
      </c>
      <c r="Q2503" s="93" t="str">
        <f>VLOOKUP(E2503,DATABASE!C:Q,4,false)</f>
        <v>Dunlop</v>
      </c>
      <c r="R2503" s="93" t="str">
        <f>VLOOKUP(E2503,DATABASE!C:Q,11,false)</f>
        <v>Tire</v>
      </c>
    </row>
    <row r="2504" ht="22.5" customHeight="1">
      <c r="A2504" s="49"/>
      <c r="C2504" s="384">
        <v>45785.0</v>
      </c>
      <c r="D2504" s="65">
        <v>5573.0</v>
      </c>
      <c r="E2504" s="445" t="s">
        <v>256</v>
      </c>
      <c r="F2504" s="386">
        <v>1.0</v>
      </c>
      <c r="G2504" s="74">
        <v>150000.0</v>
      </c>
      <c r="H2504" s="74">
        <v>0.0</v>
      </c>
      <c r="I2504" s="74">
        <f t="shared" si="1"/>
        <v>150000</v>
      </c>
      <c r="J2504" s="74">
        <f>IF(E2504="SERVICE",I2504-(I2504*50%),Vlookup(E2504,DATABASE!C:Q,10,false)*F2504)</f>
        <v>10000</v>
      </c>
      <c r="K2504" s="74">
        <f>VLOOKUP(E2504,DATABASE!C:Q,7,false)</f>
        <v>0</v>
      </c>
      <c r="L2504" s="74">
        <v>0.0</v>
      </c>
      <c r="M2504" s="74">
        <f t="shared" si="2"/>
        <v>0</v>
      </c>
      <c r="N2504" s="74">
        <f t="shared" si="3"/>
        <v>140000</v>
      </c>
      <c r="O2504" s="65" t="str">
        <f>VLOOKUP(E2504,DATABASE!C:Q,8,false)</f>
        <v>IBU</v>
      </c>
      <c r="P2504" s="65">
        <f>VLOOKUP(E2504,DATABASE!C:Q,9,False)</f>
        <v>0</v>
      </c>
      <c r="Q2504" s="93" t="str">
        <f>VLOOKUP(E2504,DATABASE!C:Q,4,false)</f>
        <v>SPOORING</v>
      </c>
      <c r="R2504" s="93" t="str">
        <f>VLOOKUP(E2504,DATABASE!C:Q,11,false)</f>
        <v>SERVICE</v>
      </c>
    </row>
    <row r="2505" ht="22.5" customHeight="1">
      <c r="A2505" s="49"/>
      <c r="C2505" s="384">
        <v>45785.0</v>
      </c>
      <c r="D2505" s="65">
        <v>5573.0</v>
      </c>
      <c r="E2505" s="445" t="s">
        <v>251</v>
      </c>
      <c r="F2505" s="386">
        <v>1.0</v>
      </c>
      <c r="G2505" s="74">
        <v>150000.0</v>
      </c>
      <c r="H2505" s="74">
        <v>0.0</v>
      </c>
      <c r="I2505" s="74">
        <f t="shared" si="1"/>
        <v>150000</v>
      </c>
      <c r="J2505" s="74">
        <f>IF(E2505="SERVICE",I2505-(I2505*50%),Vlookup(E2505,DATABASE!C:Q,10,false)*F2505)</f>
        <v>75000</v>
      </c>
      <c r="K2505" s="74">
        <f>VLOOKUP(E2505,DATABASE!C:Q,7,false)</f>
        <v>0</v>
      </c>
      <c r="L2505" s="74">
        <v>0.0</v>
      </c>
      <c r="M2505" s="74">
        <f t="shared" si="2"/>
        <v>0</v>
      </c>
      <c r="N2505" s="74">
        <f t="shared" si="3"/>
        <v>75000</v>
      </c>
      <c r="O2505" s="65" t="str">
        <f>VLOOKUP(E2505,DATABASE!C:Q,8,false)</f>
        <v>IBU</v>
      </c>
      <c r="P2505" s="65">
        <f>VLOOKUP(E2505,DATABASE!C:Q,9,False)</f>
        <v>0</v>
      </c>
      <c r="Q2505" s="93" t="str">
        <f>VLOOKUP(E2505,DATABASE!C:Q,4,false)</f>
        <v>SERVICE</v>
      </c>
      <c r="R2505" s="93" t="str">
        <f>VLOOKUP(E2505,DATABASE!C:Q,11,false)</f>
        <v>SERVICE</v>
      </c>
    </row>
    <row r="2506" ht="22.5" customHeight="1">
      <c r="A2506" s="49"/>
      <c r="C2506" s="384">
        <v>45785.0</v>
      </c>
      <c r="D2506" s="65">
        <v>5574.0</v>
      </c>
      <c r="E2506" s="445" t="s">
        <v>972</v>
      </c>
      <c r="F2506" s="386">
        <v>1.0</v>
      </c>
      <c r="G2506" s="74">
        <v>775000.0</v>
      </c>
      <c r="H2506" s="74">
        <v>0.0</v>
      </c>
      <c r="I2506" s="74">
        <f t="shared" si="1"/>
        <v>775000</v>
      </c>
      <c r="J2506" s="74">
        <f>IF(E2506="SERVICE",I2506-(I2506*50%),Vlookup(E2506,DATABASE!C:Q,10,false)*F2506)</f>
        <v>0</v>
      </c>
      <c r="K2506" s="74">
        <f>VLOOKUP(E2506,DATABASE!C:Q,7,false)</f>
        <v>671104</v>
      </c>
      <c r="L2506" s="74">
        <v>671104.0</v>
      </c>
      <c r="M2506" s="74">
        <f t="shared" si="2"/>
        <v>675000</v>
      </c>
      <c r="N2506" s="74">
        <f t="shared" si="3"/>
        <v>100000</v>
      </c>
      <c r="O2506" s="65" t="str">
        <f>VLOOKUP(E2506,DATABASE!C:Q,8,false)</f>
        <v>IBU</v>
      </c>
      <c r="P2506" s="65">
        <f>VLOOKUP(E2506,DATABASE!C:Q,9,False)</f>
        <v>1</v>
      </c>
      <c r="Q2506" s="93" t="str">
        <f>VLOOKUP(E2506,DATABASE!C:Q,4,false)</f>
        <v>Bridgestone</v>
      </c>
      <c r="R2506" s="93" t="str">
        <f>VLOOKUP(E2506,DATABASE!C:Q,11,false)</f>
        <v>Tire</v>
      </c>
    </row>
    <row r="2507" ht="22.5" customHeight="1">
      <c r="A2507" s="49"/>
      <c r="C2507" s="384">
        <v>45785.0</v>
      </c>
      <c r="D2507" s="65">
        <v>5574.0</v>
      </c>
      <c r="E2507" s="445" t="s">
        <v>246</v>
      </c>
      <c r="F2507" s="386">
        <v>1.0</v>
      </c>
      <c r="G2507" s="74">
        <v>25000.0</v>
      </c>
      <c r="H2507" s="74">
        <v>0.0</v>
      </c>
      <c r="I2507" s="74">
        <f t="shared" si="1"/>
        <v>25000</v>
      </c>
      <c r="J2507" s="74">
        <f>IF(E2507="SERVICE",I2507-(I2507*50%),Vlookup(E2507,DATABASE!C:Q,10,false)*F2507)</f>
        <v>0</v>
      </c>
      <c r="K2507" s="74">
        <f>VLOOKUP(E2507,DATABASE!C:Q,7,false)</f>
        <v>0</v>
      </c>
      <c r="L2507" s="74">
        <v>0.0</v>
      </c>
      <c r="M2507" s="74">
        <f t="shared" si="2"/>
        <v>0</v>
      </c>
      <c r="N2507" s="74">
        <f t="shared" si="3"/>
        <v>25000</v>
      </c>
      <c r="O2507" s="65" t="str">
        <f>VLOOKUP(E2507,DATABASE!C:Q,8,false)</f>
        <v>IBU</v>
      </c>
      <c r="P2507" s="65">
        <f>VLOOKUP(E2507,DATABASE!C:Q,9,False)</f>
        <v>0</v>
      </c>
      <c r="Q2507" s="93" t="str">
        <f>VLOOKUP(E2507,DATABASE!C:Q,4,false)</f>
        <v>Bongkar Pasang</v>
      </c>
      <c r="R2507" s="93" t="str">
        <f>VLOOKUP(E2507,DATABASE!C:Q,11,false)</f>
        <v>SERVICE</v>
      </c>
    </row>
    <row r="2508" ht="22.5" customHeight="1">
      <c r="A2508" s="49"/>
      <c r="C2508" s="384">
        <v>45785.0</v>
      </c>
      <c r="D2508" s="65">
        <v>5575.0</v>
      </c>
      <c r="E2508" s="445" t="s">
        <v>868</v>
      </c>
      <c r="F2508" s="386">
        <v>2.0</v>
      </c>
      <c r="G2508" s="74">
        <v>910000.0</v>
      </c>
      <c r="H2508" s="74">
        <v>0.0</v>
      </c>
      <c r="I2508" s="74">
        <f t="shared" si="1"/>
        <v>1820000</v>
      </c>
      <c r="J2508" s="74">
        <f>IF(E2508="SERVICE",I2508-(I2508*50%),Vlookup(E2508,DATABASE!C:Q,10,false)*F2508)</f>
        <v>0</v>
      </c>
      <c r="K2508" s="74">
        <f>VLOOKUP(E2508,DATABASE!C:Q,7,false)</f>
        <v>861200</v>
      </c>
      <c r="L2508" s="74">
        <v>836000.0</v>
      </c>
      <c r="M2508" s="74">
        <f t="shared" si="2"/>
        <v>840000</v>
      </c>
      <c r="N2508" s="74">
        <f t="shared" si="3"/>
        <v>140000</v>
      </c>
      <c r="O2508" s="65" t="str">
        <f>VLOOKUP(E2508,DATABASE!C:Q,8,false)</f>
        <v>BIAN</v>
      </c>
      <c r="P2508" s="65">
        <f>VLOOKUP(E2508,DATABASE!C:Q,9,False)</f>
        <v>1</v>
      </c>
      <c r="Q2508" s="93" t="str">
        <f>VLOOKUP(E2508,DATABASE!C:Q,4,false)</f>
        <v>GT</v>
      </c>
      <c r="R2508" s="93" t="str">
        <f>VLOOKUP(E2508,DATABASE!C:Q,11,false)</f>
        <v>Tire</v>
      </c>
    </row>
    <row r="2509" ht="22.5" customHeight="1">
      <c r="A2509" s="49"/>
      <c r="C2509" s="384">
        <v>45785.0</v>
      </c>
      <c r="D2509" s="65">
        <v>5577.0</v>
      </c>
      <c r="E2509" s="445" t="s">
        <v>256</v>
      </c>
      <c r="F2509" s="386">
        <v>1.0</v>
      </c>
      <c r="G2509" s="74">
        <v>130000.0</v>
      </c>
      <c r="H2509" s="74">
        <v>0.0</v>
      </c>
      <c r="I2509" s="74">
        <f t="shared" si="1"/>
        <v>130000</v>
      </c>
      <c r="J2509" s="74">
        <f>IF(E2509="SERVICE",I2509-(I2509*50%),Vlookup(E2509,DATABASE!C:Q,10,false)*F2509)</f>
        <v>10000</v>
      </c>
      <c r="K2509" s="74">
        <f>VLOOKUP(E2509,DATABASE!C:Q,7,false)</f>
        <v>0</v>
      </c>
      <c r="L2509" s="74">
        <v>0.0</v>
      </c>
      <c r="M2509" s="74">
        <f t="shared" si="2"/>
        <v>0</v>
      </c>
      <c r="N2509" s="74">
        <f t="shared" si="3"/>
        <v>120000</v>
      </c>
      <c r="O2509" s="65" t="str">
        <f>VLOOKUP(E2509,DATABASE!C:Q,8,false)</f>
        <v>IBU</v>
      </c>
      <c r="P2509" s="65">
        <f>VLOOKUP(E2509,DATABASE!C:Q,9,False)</f>
        <v>0</v>
      </c>
      <c r="Q2509" s="93" t="str">
        <f>VLOOKUP(E2509,DATABASE!C:Q,4,false)</f>
        <v>SPOORING</v>
      </c>
      <c r="R2509" s="93" t="str">
        <f>VLOOKUP(E2509,DATABASE!C:Q,11,false)</f>
        <v>SERVICE</v>
      </c>
    </row>
    <row r="2510" ht="22.5" customHeight="1">
      <c r="A2510" s="49"/>
      <c r="C2510" s="384">
        <v>45785.0</v>
      </c>
      <c r="D2510" s="65">
        <v>5577.0</v>
      </c>
      <c r="E2510" s="445" t="s">
        <v>251</v>
      </c>
      <c r="F2510" s="386">
        <v>1.0</v>
      </c>
      <c r="G2510" s="74">
        <v>120000.0</v>
      </c>
      <c r="H2510" s="74">
        <v>0.0</v>
      </c>
      <c r="I2510" s="74">
        <f t="shared" si="1"/>
        <v>120000</v>
      </c>
      <c r="J2510" s="74">
        <f>IF(E2510="SERVICE",I2510-(I2510*50%),Vlookup(E2510,DATABASE!C:Q,10,false)*F2510)</f>
        <v>60000</v>
      </c>
      <c r="K2510" s="74">
        <f>VLOOKUP(E2510,DATABASE!C:Q,7,false)</f>
        <v>0</v>
      </c>
      <c r="L2510" s="74">
        <v>0.0</v>
      </c>
      <c r="M2510" s="74">
        <f t="shared" si="2"/>
        <v>0</v>
      </c>
      <c r="N2510" s="74">
        <f t="shared" si="3"/>
        <v>60000</v>
      </c>
      <c r="O2510" s="65" t="str">
        <f>VLOOKUP(E2510,DATABASE!C:Q,8,false)</f>
        <v>IBU</v>
      </c>
      <c r="P2510" s="65">
        <f>VLOOKUP(E2510,DATABASE!C:Q,9,False)</f>
        <v>0</v>
      </c>
      <c r="Q2510" s="93" t="str">
        <f>VLOOKUP(E2510,DATABASE!C:Q,4,false)</f>
        <v>SERVICE</v>
      </c>
      <c r="R2510" s="93" t="str">
        <f>VLOOKUP(E2510,DATABASE!C:Q,11,false)</f>
        <v>SERVICE</v>
      </c>
    </row>
    <row r="2511" ht="22.5" customHeight="1">
      <c r="A2511" s="49"/>
      <c r="C2511" s="384">
        <v>45785.0</v>
      </c>
      <c r="D2511" s="65">
        <v>5578.0</v>
      </c>
      <c r="E2511" s="445" t="s">
        <v>256</v>
      </c>
      <c r="F2511" s="386">
        <v>1.0</v>
      </c>
      <c r="G2511" s="74">
        <v>130000.0</v>
      </c>
      <c r="H2511" s="74">
        <v>0.0</v>
      </c>
      <c r="I2511" s="74">
        <f t="shared" si="1"/>
        <v>130000</v>
      </c>
      <c r="J2511" s="74">
        <f>IF(E2511="SERVICE",I2511-(I2511*50%),Vlookup(E2511,DATABASE!C:Q,10,false)*F2511)</f>
        <v>10000</v>
      </c>
      <c r="K2511" s="74">
        <f>VLOOKUP(E2511,DATABASE!C:Q,7,false)</f>
        <v>0</v>
      </c>
      <c r="L2511" s="74">
        <v>0.0</v>
      </c>
      <c r="M2511" s="74">
        <f t="shared" si="2"/>
        <v>0</v>
      </c>
      <c r="N2511" s="74">
        <f t="shared" si="3"/>
        <v>120000</v>
      </c>
      <c r="O2511" s="65" t="str">
        <f>VLOOKUP(E2511,DATABASE!C:Q,8,false)</f>
        <v>IBU</v>
      </c>
      <c r="P2511" s="65">
        <f>VLOOKUP(E2511,DATABASE!C:Q,9,False)</f>
        <v>0</v>
      </c>
      <c r="Q2511" s="93" t="str">
        <f>VLOOKUP(E2511,DATABASE!C:Q,4,false)</f>
        <v>SPOORING</v>
      </c>
      <c r="R2511" s="93" t="str">
        <f>VLOOKUP(E2511,DATABASE!C:Q,11,false)</f>
        <v>SERVICE</v>
      </c>
    </row>
    <row r="2512" ht="22.5" customHeight="1">
      <c r="A2512" s="49"/>
      <c r="C2512" s="384">
        <v>45785.0</v>
      </c>
      <c r="D2512" s="65">
        <v>5578.0</v>
      </c>
      <c r="E2512" s="445" t="s">
        <v>301</v>
      </c>
      <c r="F2512" s="386">
        <v>1.0</v>
      </c>
      <c r="G2512" s="74">
        <v>250000.0</v>
      </c>
      <c r="H2512" s="74">
        <v>0.0</v>
      </c>
      <c r="I2512" s="74">
        <f t="shared" si="1"/>
        <v>250000</v>
      </c>
      <c r="J2512" s="74">
        <f>IF(E2512="SERVICE",I2512-(I2512*50%),Vlookup(E2512,DATABASE!C:Q,10,false)*F2512)</f>
        <v>75000</v>
      </c>
      <c r="K2512" s="74">
        <f>VLOOKUP(E2512,DATABASE!C:Q,7,false)</f>
        <v>75000</v>
      </c>
      <c r="L2512" s="74">
        <v>75000.0</v>
      </c>
      <c r="M2512" s="74">
        <f t="shared" si="2"/>
        <v>75000</v>
      </c>
      <c r="N2512" s="74">
        <f t="shared" si="3"/>
        <v>100000</v>
      </c>
      <c r="O2512" s="65" t="str">
        <f>VLOOKUP(E2512,DATABASE!C:Q,8,false)</f>
        <v>BIAN</v>
      </c>
      <c r="P2512" s="65">
        <f>VLOOKUP(E2512,DATABASE!C:Q,9,False)</f>
        <v>0</v>
      </c>
      <c r="Q2512" s="93" t="str">
        <f>VLOOKUP(E2512,DATABASE!C:Q,4,false)</f>
        <v>Baut Camber</v>
      </c>
      <c r="R2512" s="93" t="str">
        <f>VLOOKUP(E2512,DATABASE!C:Q,11,false)</f>
        <v>COMPLEMENTARY</v>
      </c>
    </row>
    <row r="2513" ht="22.5" customHeight="1">
      <c r="A2513" s="49"/>
      <c r="C2513" s="384">
        <v>45786.0</v>
      </c>
      <c r="D2513" s="65">
        <v>5579.0</v>
      </c>
      <c r="E2513" s="445" t="s">
        <v>591</v>
      </c>
      <c r="F2513" s="386">
        <v>1.0</v>
      </c>
      <c r="G2513" s="74">
        <v>680000.0</v>
      </c>
      <c r="H2513" s="74">
        <v>0.0</v>
      </c>
      <c r="I2513" s="74">
        <f t="shared" si="1"/>
        <v>680000</v>
      </c>
      <c r="J2513" s="74">
        <f>IF(E2513="SERVICE",I2513-(I2513*50%),Vlookup(E2513,DATABASE!C:Q,10,false)*F2513)</f>
        <v>0</v>
      </c>
      <c r="K2513" s="74">
        <f>VLOOKUP(E2513,DATABASE!C:Q,7,false)</f>
        <v>633035.16</v>
      </c>
      <c r="L2513" s="74">
        <v>593488.4</v>
      </c>
      <c r="M2513" s="74">
        <f t="shared" si="2"/>
        <v>595000</v>
      </c>
      <c r="N2513" s="74">
        <f t="shared" si="3"/>
        <v>85000</v>
      </c>
      <c r="O2513" s="65" t="str">
        <f>VLOOKUP(E2513,DATABASE!C:Q,8,false)</f>
        <v>IBU</v>
      </c>
      <c r="P2513" s="65">
        <f>VLOOKUP(E2513,DATABASE!C:Q,9,False)</f>
        <v>1</v>
      </c>
      <c r="Q2513" s="93" t="str">
        <f>VLOOKUP(E2513,DATABASE!C:Q,4,false)</f>
        <v>Bridgestone</v>
      </c>
      <c r="R2513" s="93" t="str">
        <f>VLOOKUP(E2513,DATABASE!C:Q,11,false)</f>
        <v>Tire</v>
      </c>
    </row>
    <row r="2514" ht="22.5" customHeight="1">
      <c r="A2514" s="49"/>
      <c r="C2514" s="384">
        <v>45786.0</v>
      </c>
      <c r="D2514" s="65">
        <v>5580.0</v>
      </c>
      <c r="E2514" s="445" t="s">
        <v>591</v>
      </c>
      <c r="F2514" s="386">
        <v>1.0</v>
      </c>
      <c r="G2514" s="74">
        <v>680000.0</v>
      </c>
      <c r="H2514" s="74">
        <v>0.0</v>
      </c>
      <c r="I2514" s="74">
        <f t="shared" si="1"/>
        <v>680000</v>
      </c>
      <c r="J2514" s="74">
        <f>IF(E2514="SERVICE",I2514-(I2514*50%),Vlookup(E2514,DATABASE!C:Q,10,false)*F2514)</f>
        <v>0</v>
      </c>
      <c r="K2514" s="74">
        <f>VLOOKUP(E2514,DATABASE!C:Q,7,false)</f>
        <v>633035.16</v>
      </c>
      <c r="L2514" s="74">
        <v>593488.4</v>
      </c>
      <c r="M2514" s="74">
        <f t="shared" si="2"/>
        <v>595000</v>
      </c>
      <c r="N2514" s="74">
        <f t="shared" si="3"/>
        <v>85000</v>
      </c>
      <c r="O2514" s="65" t="str">
        <f>VLOOKUP(E2514,DATABASE!C:Q,8,false)</f>
        <v>IBU</v>
      </c>
      <c r="P2514" s="65">
        <f>VLOOKUP(E2514,DATABASE!C:Q,9,False)</f>
        <v>1</v>
      </c>
      <c r="Q2514" s="93" t="str">
        <f>VLOOKUP(E2514,DATABASE!C:Q,4,false)</f>
        <v>Bridgestone</v>
      </c>
      <c r="R2514" s="93" t="str">
        <f>VLOOKUP(E2514,DATABASE!C:Q,11,false)</f>
        <v>Tire</v>
      </c>
    </row>
    <row r="2515" ht="22.5" customHeight="1">
      <c r="A2515" s="49"/>
      <c r="C2515" s="384">
        <v>45786.0</v>
      </c>
      <c r="D2515" s="65">
        <v>5582.0</v>
      </c>
      <c r="E2515" s="445" t="s">
        <v>268</v>
      </c>
      <c r="F2515" s="386">
        <v>2.0</v>
      </c>
      <c r="G2515" s="74">
        <v>700000.0</v>
      </c>
      <c r="H2515" s="74">
        <v>0.0</v>
      </c>
      <c r="I2515" s="74">
        <f t="shared" si="1"/>
        <v>1400000</v>
      </c>
      <c r="J2515" s="74">
        <f>IF(E2515="SERVICE",I2515-(I2515*50%),Vlookup(E2515,DATABASE!C:Q,10,false)*F2515)</f>
        <v>0</v>
      </c>
      <c r="K2515" s="74">
        <v>613000.0</v>
      </c>
      <c r="L2515" s="74">
        <v>613000.0</v>
      </c>
      <c r="M2515" s="74">
        <f t="shared" si="2"/>
        <v>615000</v>
      </c>
      <c r="N2515" s="74">
        <f t="shared" si="3"/>
        <v>170000</v>
      </c>
      <c r="O2515" s="65" t="str">
        <f>VLOOKUP(E2515,DATABASE!C:Q,8,false)</f>
        <v>IBU</v>
      </c>
      <c r="P2515" s="65">
        <f>VLOOKUP(E2515,DATABASE!C:Q,9,False)</f>
        <v>1</v>
      </c>
      <c r="Q2515" s="93" t="str">
        <f>VLOOKUP(E2515,DATABASE!C:Q,4,false)</f>
        <v>Dunlop</v>
      </c>
      <c r="R2515" s="93" t="str">
        <f>VLOOKUP(E2515,DATABASE!C:Q,11,false)</f>
        <v>Tire</v>
      </c>
    </row>
    <row r="2516" ht="22.5" customHeight="1">
      <c r="A2516" s="49"/>
      <c r="C2516" s="384">
        <v>45786.0</v>
      </c>
      <c r="D2516" s="65">
        <v>5583.0</v>
      </c>
      <c r="E2516" s="445" t="s">
        <v>2019</v>
      </c>
      <c r="F2516" s="386">
        <v>1.0</v>
      </c>
      <c r="G2516" s="74">
        <v>685000.0</v>
      </c>
      <c r="H2516" s="74">
        <v>0.0</v>
      </c>
      <c r="I2516" s="74">
        <f t="shared" si="1"/>
        <v>685000</v>
      </c>
      <c r="J2516" s="74">
        <f>IF(E2516="SERVICE",I2516-(I2516*50%),Vlookup(E2516,DATABASE!C:Q,10,false)*F2516)</f>
        <v>0</v>
      </c>
      <c r="K2516" s="74">
        <f>VLOOKUP(E2516,DATABASE!C:Q,7,false)</f>
        <v>620000</v>
      </c>
      <c r="L2516" s="74">
        <v>585000.0</v>
      </c>
      <c r="M2516" s="74">
        <f t="shared" si="2"/>
        <v>585000</v>
      </c>
      <c r="N2516" s="74">
        <f t="shared" si="3"/>
        <v>100000</v>
      </c>
      <c r="O2516" s="65" t="str">
        <f>VLOOKUP(E2516,DATABASE!C:Q,8,false)</f>
        <v>BIAN</v>
      </c>
      <c r="P2516" s="65">
        <f>VLOOKUP(E2516,DATABASE!C:Q,9,False)</f>
        <v>1</v>
      </c>
      <c r="Q2516" s="93" t="str">
        <f>VLOOKUP(E2516,DATABASE!C:Q,4,false)</f>
        <v>GT</v>
      </c>
      <c r="R2516" s="93" t="str">
        <f>VLOOKUP(E2516,DATABASE!C:Q,11,false)</f>
        <v>Tire</v>
      </c>
    </row>
    <row r="2517" ht="22.5" customHeight="1">
      <c r="A2517" s="49"/>
      <c r="C2517" s="384">
        <v>45786.0</v>
      </c>
      <c r="D2517" s="65">
        <v>5584.0</v>
      </c>
      <c r="E2517" s="445" t="s">
        <v>604</v>
      </c>
      <c r="F2517" s="386">
        <v>1.0</v>
      </c>
      <c r="G2517" s="74">
        <v>160000.0</v>
      </c>
      <c r="H2517" s="74">
        <v>0.0</v>
      </c>
      <c r="I2517" s="74">
        <f t="shared" si="1"/>
        <v>160000</v>
      </c>
      <c r="J2517" s="74">
        <f>IF(E2517="SERVICE",I2517-(I2517*50%),Vlookup(E2517,DATABASE!C:Q,10,false)*F2517)</f>
        <v>0</v>
      </c>
      <c r="K2517" s="74">
        <f>VLOOKUP(E2517,DATABASE!C:Q,7,false)</f>
        <v>124000</v>
      </c>
      <c r="L2517" s="74">
        <v>124000.0</v>
      </c>
      <c r="M2517" s="74">
        <f t="shared" si="2"/>
        <v>125000</v>
      </c>
      <c r="N2517" s="74">
        <f t="shared" si="3"/>
        <v>35000</v>
      </c>
      <c r="O2517" s="65" t="str">
        <f>VLOOKUP(E2517,DATABASE!C:Q,8,false)</f>
        <v>BIAN</v>
      </c>
      <c r="P2517" s="65">
        <f>VLOOKUP(E2517,DATABASE!C:Q,9,False)</f>
        <v>1</v>
      </c>
      <c r="Q2517" s="93" t="str">
        <f>VLOOKUP(E2517,DATABASE!C:Q,4,false)</f>
        <v>BD</v>
      </c>
      <c r="R2517" s="93" t="str">
        <f>VLOOKUP(E2517,DATABASE!C:Q,11,false)</f>
        <v>Tire</v>
      </c>
    </row>
    <row r="2518" ht="22.5" customHeight="1">
      <c r="A2518" s="49"/>
      <c r="C2518" s="384">
        <v>45786.0</v>
      </c>
      <c r="D2518" s="65">
        <v>5585.0</v>
      </c>
      <c r="E2518" s="445" t="s">
        <v>246</v>
      </c>
      <c r="F2518" s="386">
        <v>2.0</v>
      </c>
      <c r="G2518" s="74">
        <v>25000.0</v>
      </c>
      <c r="H2518" s="74">
        <v>0.0</v>
      </c>
      <c r="I2518" s="74">
        <f t="shared" si="1"/>
        <v>50000</v>
      </c>
      <c r="J2518" s="74">
        <f>IF(E2518="SERVICE",I2518-(I2518*50%),Vlookup(E2518,DATABASE!C:Q,10,false)*F2518)</f>
        <v>0</v>
      </c>
      <c r="K2518" s="74">
        <f>VLOOKUP(E2518,DATABASE!C:Q,7,false)</f>
        <v>0</v>
      </c>
      <c r="L2518" s="74">
        <v>0.0</v>
      </c>
      <c r="M2518" s="74">
        <f t="shared" si="2"/>
        <v>0</v>
      </c>
      <c r="N2518" s="74">
        <f t="shared" si="3"/>
        <v>50000</v>
      </c>
      <c r="O2518" s="65" t="str">
        <f>VLOOKUP(E2518,DATABASE!C:Q,8,false)</f>
        <v>IBU</v>
      </c>
      <c r="P2518" s="65">
        <f>VLOOKUP(E2518,DATABASE!C:Q,9,False)</f>
        <v>0</v>
      </c>
      <c r="Q2518" s="93" t="str">
        <f>VLOOKUP(E2518,DATABASE!C:Q,4,false)</f>
        <v>Bongkar Pasang</v>
      </c>
      <c r="R2518" s="93" t="str">
        <f>VLOOKUP(E2518,DATABASE!C:Q,11,false)</f>
        <v>SERVICE</v>
      </c>
    </row>
    <row r="2519" ht="22.5" customHeight="1">
      <c r="A2519" s="49"/>
      <c r="C2519" s="384">
        <v>45786.0</v>
      </c>
      <c r="D2519" s="65">
        <v>5586.0</v>
      </c>
      <c r="E2519" s="445" t="s">
        <v>744</v>
      </c>
      <c r="F2519" s="386">
        <v>2.0</v>
      </c>
      <c r="G2519" s="74">
        <v>230000.0</v>
      </c>
      <c r="H2519" s="74">
        <v>0.0</v>
      </c>
      <c r="I2519" s="74">
        <f t="shared" si="1"/>
        <v>460000</v>
      </c>
      <c r="J2519" s="74">
        <f>IF(E2519="SERVICE",I2519-(I2519*50%),Vlookup(E2519,DATABASE!C:Q,10,false)*F2519)</f>
        <v>0</v>
      </c>
      <c r="K2519" s="74">
        <f>VLOOKUP(E2519,DATABASE!C:Q,7,false)</f>
        <v>182200</v>
      </c>
      <c r="L2519" s="74">
        <v>199920.0</v>
      </c>
      <c r="M2519" s="74">
        <f t="shared" si="2"/>
        <v>200000</v>
      </c>
      <c r="N2519" s="74">
        <f t="shared" si="3"/>
        <v>60000</v>
      </c>
      <c r="O2519" s="65" t="str">
        <f>VLOOKUP(E2519,DATABASE!C:Q,8,false)</f>
        <v>BIAN</v>
      </c>
      <c r="P2519" s="65">
        <f>VLOOKUP(E2519,DATABASE!C:Q,9,False)</f>
        <v>1</v>
      </c>
      <c r="Q2519" s="93" t="str">
        <f>VLOOKUP(E2519,DATABASE!C:Q,4,false)</f>
        <v>BD</v>
      </c>
      <c r="R2519" s="93" t="str">
        <f>VLOOKUP(E2519,DATABASE!C:Q,11,false)</f>
        <v>Tire</v>
      </c>
    </row>
    <row r="2520" ht="22.5" customHeight="1">
      <c r="A2520" s="49"/>
      <c r="C2520" s="384">
        <v>45786.0</v>
      </c>
      <c r="D2520" s="65">
        <v>5589.0</v>
      </c>
      <c r="E2520" s="445" t="s">
        <v>932</v>
      </c>
      <c r="F2520" s="386">
        <v>2.0</v>
      </c>
      <c r="G2520" s="74">
        <v>670000.0</v>
      </c>
      <c r="H2520" s="74">
        <v>0.0</v>
      </c>
      <c r="I2520" s="74">
        <f t="shared" si="1"/>
        <v>1340000</v>
      </c>
      <c r="J2520" s="74">
        <f>IF(E2520="SERVICE",I2520-(I2520*50%),Vlookup(E2520,DATABASE!C:Q,10,false)*F2520)</f>
        <v>0</v>
      </c>
      <c r="K2520" s="74">
        <v>575000.0</v>
      </c>
      <c r="L2520" s="74">
        <v>575000.0</v>
      </c>
      <c r="M2520" s="74">
        <f t="shared" si="2"/>
        <v>575000</v>
      </c>
      <c r="N2520" s="74">
        <f t="shared" si="3"/>
        <v>190000</v>
      </c>
      <c r="O2520" s="65" t="str">
        <f>VLOOKUP(E2520,DATABASE!C:Q,8,false)</f>
        <v>IBU</v>
      </c>
      <c r="P2520" s="65">
        <f>VLOOKUP(E2520,DATABASE!C:Q,9,False)</f>
        <v>1</v>
      </c>
      <c r="Q2520" s="93" t="str">
        <f>VLOOKUP(E2520,DATABASE!C:Q,4,false)</f>
        <v>Dunlop</v>
      </c>
      <c r="R2520" s="93" t="str">
        <f>VLOOKUP(E2520,DATABASE!C:Q,11,false)</f>
        <v>Tire</v>
      </c>
    </row>
    <row r="2521" ht="22.5" customHeight="1">
      <c r="A2521" s="49"/>
      <c r="C2521" s="384">
        <v>45786.0</v>
      </c>
      <c r="D2521" s="65">
        <v>5590.0</v>
      </c>
      <c r="E2521" s="445" t="s">
        <v>262</v>
      </c>
      <c r="F2521" s="386">
        <v>1.0</v>
      </c>
      <c r="G2521" s="74">
        <v>110000.0</v>
      </c>
      <c r="H2521" s="74">
        <v>0.0</v>
      </c>
      <c r="I2521" s="74">
        <f t="shared" si="1"/>
        <v>110000</v>
      </c>
      <c r="J2521" s="74">
        <f>IF(E2521="SERVICE",I2521-(I2521*50%),Vlookup(E2521,DATABASE!C:Q,10,false)*F2521)</f>
        <v>5000</v>
      </c>
      <c r="K2521" s="74">
        <f>VLOOKUP(E2521,DATABASE!C:Q,7,false)</f>
        <v>0</v>
      </c>
      <c r="L2521" s="74">
        <v>0.0</v>
      </c>
      <c r="M2521" s="74">
        <f t="shared" si="2"/>
        <v>0</v>
      </c>
      <c r="N2521" s="74">
        <f t="shared" si="3"/>
        <v>105000</v>
      </c>
      <c r="O2521" s="65" t="str">
        <f>VLOOKUP(E2521,DATABASE!C:Q,8,false)</f>
        <v>IBU</v>
      </c>
      <c r="P2521" s="65">
        <f>VLOOKUP(E2521,DATABASE!C:Q,9,False)</f>
        <v>0</v>
      </c>
      <c r="Q2521" s="93" t="str">
        <f>VLOOKUP(E2521,DATABASE!C:Q,4,false)</f>
        <v>SPOORING SS/CARRY LOS BAK</v>
      </c>
      <c r="R2521" s="93" t="str">
        <f>VLOOKUP(E2521,DATABASE!C:Q,11,false)</f>
        <v>SERVICE</v>
      </c>
    </row>
    <row r="2522" ht="22.5" customHeight="1">
      <c r="A2522" s="49"/>
      <c r="C2522" s="384">
        <v>45786.0</v>
      </c>
      <c r="D2522" s="65">
        <v>5590.0</v>
      </c>
      <c r="E2522" s="445" t="s">
        <v>478</v>
      </c>
      <c r="F2522" s="386">
        <v>1.0</v>
      </c>
      <c r="G2522" s="74">
        <v>200000.0</v>
      </c>
      <c r="H2522" s="74">
        <v>0.0</v>
      </c>
      <c r="I2522" s="74">
        <f t="shared" si="1"/>
        <v>200000</v>
      </c>
      <c r="J2522" s="74">
        <f>IF(E2522="SERVICE",I2522-(I2522*50%),Vlookup(E2522,DATABASE!C:Q,10,false)*F2522)</f>
        <v>25000</v>
      </c>
      <c r="K2522" s="74">
        <f>VLOOKUP(E2522,DATABASE!C:Q,7,false)</f>
        <v>75000</v>
      </c>
      <c r="L2522" s="74">
        <v>75000.0</v>
      </c>
      <c r="M2522" s="74">
        <f t="shared" si="2"/>
        <v>75000</v>
      </c>
      <c r="N2522" s="74">
        <f t="shared" si="3"/>
        <v>100000</v>
      </c>
      <c r="O2522" s="65" t="str">
        <f>VLOOKUP(E2522,DATABASE!C:Q,8,false)</f>
        <v>BIAN</v>
      </c>
      <c r="P2522" s="65">
        <f>VLOOKUP(E2522,DATABASE!C:Q,9,False)</f>
        <v>0</v>
      </c>
      <c r="Q2522" s="93" t="str">
        <f>VLOOKUP(E2522,DATABASE!C:Q,4,false)</f>
        <v>Baut Camber ss-carry</v>
      </c>
      <c r="R2522" s="93" t="str">
        <f>VLOOKUP(E2522,DATABASE!C:Q,11,false)</f>
        <v>COMPLEMENTARY</v>
      </c>
    </row>
    <row r="2523" ht="22.5" customHeight="1">
      <c r="A2523" s="49"/>
      <c r="C2523" s="384">
        <v>45786.0</v>
      </c>
      <c r="D2523" s="65">
        <v>5591.0</v>
      </c>
      <c r="E2523" s="445" t="s">
        <v>251</v>
      </c>
      <c r="F2523" s="386">
        <v>1.0</v>
      </c>
      <c r="G2523" s="74">
        <v>80000.0</v>
      </c>
      <c r="H2523" s="74">
        <v>0.0</v>
      </c>
      <c r="I2523" s="74">
        <f t="shared" si="1"/>
        <v>80000</v>
      </c>
      <c r="J2523" s="74">
        <f>IF(E2523="SERVICE",I2523-(I2523*50%),Vlookup(E2523,DATABASE!C:Q,10,false)*F2523)</f>
        <v>40000</v>
      </c>
      <c r="K2523" s="74">
        <f>VLOOKUP(E2523,DATABASE!C:Q,7,false)</f>
        <v>0</v>
      </c>
      <c r="L2523" s="74">
        <v>0.0</v>
      </c>
      <c r="M2523" s="74">
        <f t="shared" si="2"/>
        <v>0</v>
      </c>
      <c r="N2523" s="74">
        <f t="shared" si="3"/>
        <v>40000</v>
      </c>
      <c r="O2523" s="65" t="str">
        <f>VLOOKUP(E2523,DATABASE!C:Q,8,false)</f>
        <v>IBU</v>
      </c>
      <c r="P2523" s="65">
        <f>VLOOKUP(E2523,DATABASE!C:Q,9,False)</f>
        <v>0</v>
      </c>
      <c r="Q2523" s="93" t="str">
        <f>VLOOKUP(E2523,DATABASE!C:Q,4,false)</f>
        <v>SERVICE</v>
      </c>
      <c r="R2523" s="93" t="str">
        <f>VLOOKUP(E2523,DATABASE!C:Q,11,false)</f>
        <v>SERVICE</v>
      </c>
    </row>
    <row r="2524" ht="22.5" customHeight="1">
      <c r="A2524" s="49"/>
      <c r="C2524" s="384">
        <v>45787.0</v>
      </c>
      <c r="D2524" s="65">
        <v>5592.0</v>
      </c>
      <c r="E2524" s="445" t="s">
        <v>2128</v>
      </c>
      <c r="F2524" s="386">
        <v>2.0</v>
      </c>
      <c r="G2524" s="74">
        <v>1610000.0</v>
      </c>
      <c r="H2524" s="74">
        <v>0.0</v>
      </c>
      <c r="I2524" s="74">
        <f t="shared" si="1"/>
        <v>3220000</v>
      </c>
      <c r="J2524" s="74">
        <f>IF(E2524="SERVICE",I2524-(I2524*50%),Vlookup(E2524,DATABASE!C:Q,10,false)*F2524)</f>
        <v>0</v>
      </c>
      <c r="K2524" s="74">
        <f>VLOOKUP(E2524,DATABASE!C:Q,7,false)</f>
        <v>1600000</v>
      </c>
      <c r="L2524" s="74">
        <v>1500000.0</v>
      </c>
      <c r="M2524" s="74">
        <f t="shared" si="2"/>
        <v>1500000</v>
      </c>
      <c r="N2524" s="74">
        <f t="shared" si="3"/>
        <v>220000</v>
      </c>
      <c r="O2524" s="65" t="str">
        <f>VLOOKUP(E2524,DATABASE!C:Q,8,false)</f>
        <v>BIAN</v>
      </c>
      <c r="P2524" s="65">
        <f>VLOOKUP(E2524,DATABASE!C:Q,9,False)</f>
        <v>1</v>
      </c>
      <c r="Q2524" s="93" t="str">
        <f>VLOOKUP(E2524,DATABASE!C:Q,4,false)</f>
        <v>Michellin</v>
      </c>
      <c r="R2524" s="93" t="str">
        <f>VLOOKUP(E2524,DATABASE!C:Q,11,false)</f>
        <v>Tire</v>
      </c>
    </row>
    <row r="2525" ht="22.5" customHeight="1">
      <c r="A2525" s="49"/>
      <c r="C2525" s="384">
        <v>45787.0</v>
      </c>
      <c r="D2525" s="65">
        <v>5593.0</v>
      </c>
      <c r="E2525" s="445" t="s">
        <v>275</v>
      </c>
      <c r="F2525" s="386">
        <v>2.0</v>
      </c>
      <c r="G2525" s="74">
        <v>830000.0</v>
      </c>
      <c r="H2525" s="74">
        <v>0.0</v>
      </c>
      <c r="I2525" s="74">
        <f t="shared" si="1"/>
        <v>1660000</v>
      </c>
      <c r="J2525" s="74">
        <f>IF(E2525="SERVICE",I2525-(I2525*50%),Vlookup(E2525,DATABASE!C:Q,10,false)*F2525)</f>
        <v>0</v>
      </c>
      <c r="K2525" s="74">
        <v>735000.0</v>
      </c>
      <c r="L2525" s="74">
        <v>735000.0</v>
      </c>
      <c r="M2525" s="74">
        <f t="shared" si="2"/>
        <v>735000</v>
      </c>
      <c r="N2525" s="74">
        <f t="shared" si="3"/>
        <v>190000</v>
      </c>
      <c r="O2525" s="65" t="str">
        <f>VLOOKUP(E2525,DATABASE!C:Q,8,false)</f>
        <v>IBU</v>
      </c>
      <c r="P2525" s="65">
        <f>VLOOKUP(E2525,DATABASE!C:Q,9,False)</f>
        <v>1</v>
      </c>
      <c r="Q2525" s="93" t="str">
        <f>VLOOKUP(E2525,DATABASE!C:Q,4,false)</f>
        <v>Dunlop</v>
      </c>
      <c r="R2525" s="93" t="str">
        <f>VLOOKUP(E2525,DATABASE!C:Q,11,false)</f>
        <v>Tire</v>
      </c>
    </row>
    <row r="2526" ht="22.5" customHeight="1">
      <c r="A2526" s="49"/>
      <c r="C2526" s="384">
        <v>45787.0</v>
      </c>
      <c r="D2526" s="65">
        <v>5594.0</v>
      </c>
      <c r="E2526" s="445" t="s">
        <v>268</v>
      </c>
      <c r="F2526" s="386">
        <v>4.0</v>
      </c>
      <c r="G2526" s="74">
        <v>700000.0</v>
      </c>
      <c r="H2526" s="74">
        <v>0.0</v>
      </c>
      <c r="I2526" s="74">
        <f t="shared" si="1"/>
        <v>2800000</v>
      </c>
      <c r="J2526" s="74">
        <f>IF(E2526="SERVICE",I2526-(I2526*50%),Vlookup(E2526,DATABASE!C:Q,10,false)*F2526)</f>
        <v>0</v>
      </c>
      <c r="K2526" s="74">
        <v>613000.0</v>
      </c>
      <c r="L2526" s="74">
        <v>613000.0</v>
      </c>
      <c r="M2526" s="74">
        <f t="shared" si="2"/>
        <v>615000</v>
      </c>
      <c r="N2526" s="74">
        <f t="shared" si="3"/>
        <v>340000</v>
      </c>
      <c r="O2526" s="65" t="str">
        <f>VLOOKUP(E2526,DATABASE!C:Q,8,false)</f>
        <v>IBU</v>
      </c>
      <c r="P2526" s="65">
        <f>VLOOKUP(E2526,DATABASE!C:Q,9,False)</f>
        <v>1</v>
      </c>
      <c r="Q2526" s="93" t="str">
        <f>VLOOKUP(E2526,DATABASE!C:Q,4,false)</f>
        <v>Dunlop</v>
      </c>
      <c r="R2526" s="93" t="str">
        <f>VLOOKUP(E2526,DATABASE!C:Q,11,false)</f>
        <v>Tire</v>
      </c>
    </row>
    <row r="2527" ht="22.5" customHeight="1">
      <c r="A2527" s="49"/>
      <c r="C2527" s="384">
        <v>45787.0</v>
      </c>
      <c r="D2527" s="65">
        <v>5595.0</v>
      </c>
      <c r="E2527" s="445" t="s">
        <v>937</v>
      </c>
      <c r="F2527" s="386">
        <v>1.0</v>
      </c>
      <c r="G2527" s="74">
        <v>900000.0</v>
      </c>
      <c r="H2527" s="74">
        <v>0.0</v>
      </c>
      <c r="I2527" s="74">
        <f t="shared" si="1"/>
        <v>900000</v>
      </c>
      <c r="J2527" s="74">
        <f>IF(E2527="SERVICE",I2527-(I2527*50%),Vlookup(E2527,DATABASE!C:Q,10,false)*F2527)</f>
        <v>0</v>
      </c>
      <c r="K2527" s="74">
        <f>VLOOKUP(E2527,DATABASE!C:Q,7,false)</f>
        <v>825000</v>
      </c>
      <c r="L2527" s="74">
        <v>790000.0</v>
      </c>
      <c r="M2527" s="74">
        <f t="shared" si="2"/>
        <v>790000</v>
      </c>
      <c r="N2527" s="74">
        <f t="shared" si="3"/>
        <v>110000</v>
      </c>
      <c r="O2527" s="65" t="str">
        <f>VLOOKUP(E2527,DATABASE!C:Q,8,false)</f>
        <v>IBU</v>
      </c>
      <c r="P2527" s="65">
        <f>VLOOKUP(E2527,DATABASE!C:Q,9,False)</f>
        <v>1</v>
      </c>
      <c r="Q2527" s="93" t="str">
        <f>VLOOKUP(E2527,DATABASE!C:Q,4,false)</f>
        <v>Bridgestone</v>
      </c>
      <c r="R2527" s="93" t="str">
        <f>VLOOKUP(E2527,DATABASE!C:Q,11,false)</f>
        <v>Tire</v>
      </c>
    </row>
    <row r="2528" ht="22.5" customHeight="1">
      <c r="A2528" s="49"/>
      <c r="C2528" s="384">
        <v>45787.0</v>
      </c>
      <c r="D2528" s="65">
        <v>5596.0</v>
      </c>
      <c r="E2528" s="445" t="s">
        <v>554</v>
      </c>
      <c r="F2528" s="386">
        <v>1.0</v>
      </c>
      <c r="G2528" s="74">
        <v>700000.0</v>
      </c>
      <c r="H2528" s="74">
        <v>0.0</v>
      </c>
      <c r="I2528" s="74">
        <f t="shared" si="1"/>
        <v>700000</v>
      </c>
      <c r="J2528" s="74">
        <f>IF(E2528="SERVICE",I2528-(I2528*50%),Vlookup(E2528,DATABASE!C:Q,10,false)*F2528)</f>
        <v>0</v>
      </c>
      <c r="K2528" s="74">
        <f>VLOOKUP(E2528,DATABASE!C:Q,7,false)</f>
        <v>710000</v>
      </c>
      <c r="L2528" s="74">
        <v>680000.0</v>
      </c>
      <c r="M2528" s="74">
        <f t="shared" si="2"/>
        <v>680000</v>
      </c>
      <c r="N2528" s="74">
        <f t="shared" si="3"/>
        <v>20000</v>
      </c>
      <c r="O2528" s="65" t="str">
        <f>VLOOKUP(E2528,DATABASE!C:Q,8,false)</f>
        <v>IBU</v>
      </c>
      <c r="P2528" s="65">
        <f>VLOOKUP(E2528,DATABASE!C:Q,9,False)</f>
        <v>1</v>
      </c>
      <c r="Q2528" s="93" t="str">
        <f>VLOOKUP(E2528,DATABASE!C:Q,4,false)</f>
        <v>Bridgestone</v>
      </c>
      <c r="R2528" s="93" t="str">
        <f>VLOOKUP(E2528,DATABASE!C:Q,11,false)</f>
        <v>Tire</v>
      </c>
    </row>
    <row r="2529" ht="22.5" customHeight="1">
      <c r="A2529" s="49"/>
      <c r="C2529" s="384">
        <v>45787.0</v>
      </c>
      <c r="D2529" s="65">
        <v>5597.0</v>
      </c>
      <c r="E2529" s="445" t="s">
        <v>974</v>
      </c>
      <c r="F2529" s="386">
        <v>1.0</v>
      </c>
      <c r="G2529" s="74">
        <v>565000.0</v>
      </c>
      <c r="H2529" s="74">
        <v>0.0</v>
      </c>
      <c r="I2529" s="74">
        <f t="shared" si="1"/>
        <v>565000</v>
      </c>
      <c r="J2529" s="74">
        <f>IF(E2529="SERVICE",I2529-(I2529*50%),Vlookup(E2529,DATABASE!C:Q,10,false)*F2529)</f>
        <v>0</v>
      </c>
      <c r="K2529" s="74">
        <f>VLOOKUP(E2529,DATABASE!C:Q,7,false)</f>
        <v>501500</v>
      </c>
      <c r="L2529" s="74">
        <v>491000.0</v>
      </c>
      <c r="M2529" s="74">
        <f t="shared" si="2"/>
        <v>495000</v>
      </c>
      <c r="N2529" s="74">
        <f t="shared" si="3"/>
        <v>70000</v>
      </c>
      <c r="O2529" s="65" t="str">
        <f>VLOOKUP(E2529,DATABASE!C:Q,8,false)</f>
        <v>IBU</v>
      </c>
      <c r="P2529" s="65">
        <f>VLOOKUP(E2529,DATABASE!C:Q,9,False)</f>
        <v>1</v>
      </c>
      <c r="Q2529" s="93" t="str">
        <f>VLOOKUP(E2529,DATABASE!C:Q,4,false)</f>
        <v>Dunlop</v>
      </c>
      <c r="R2529" s="93" t="str">
        <f>VLOOKUP(E2529,DATABASE!C:Q,11,false)</f>
        <v>Tire</v>
      </c>
    </row>
    <row r="2530" ht="22.5" customHeight="1">
      <c r="A2530" s="49"/>
      <c r="C2530" s="384">
        <v>45787.0</v>
      </c>
      <c r="D2530" s="65">
        <v>5598.0</v>
      </c>
      <c r="E2530" s="445" t="s">
        <v>932</v>
      </c>
      <c r="F2530" s="386">
        <v>2.0</v>
      </c>
      <c r="G2530" s="74">
        <v>670000.0</v>
      </c>
      <c r="H2530" s="74">
        <v>0.0</v>
      </c>
      <c r="I2530" s="74">
        <f t="shared" si="1"/>
        <v>1340000</v>
      </c>
      <c r="J2530" s="74">
        <f>IF(E2530="SERVICE",I2530-(I2530*50%),Vlookup(E2530,DATABASE!C:Q,10,false)*F2530)</f>
        <v>0</v>
      </c>
      <c r="K2530" s="74">
        <v>575000.0</v>
      </c>
      <c r="L2530" s="74">
        <v>575000.0</v>
      </c>
      <c r="M2530" s="74">
        <f t="shared" si="2"/>
        <v>575000</v>
      </c>
      <c r="N2530" s="74">
        <f t="shared" si="3"/>
        <v>190000</v>
      </c>
      <c r="O2530" s="65" t="str">
        <f>VLOOKUP(E2530,DATABASE!C:Q,8,false)</f>
        <v>IBU</v>
      </c>
      <c r="P2530" s="65">
        <f>VLOOKUP(E2530,DATABASE!C:Q,9,False)</f>
        <v>1</v>
      </c>
      <c r="Q2530" s="93" t="str">
        <f>VLOOKUP(E2530,DATABASE!C:Q,4,false)</f>
        <v>Dunlop</v>
      </c>
      <c r="R2530" s="93" t="str">
        <f>VLOOKUP(E2530,DATABASE!C:Q,11,false)</f>
        <v>Tire</v>
      </c>
    </row>
    <row r="2531" ht="22.5" customHeight="1">
      <c r="A2531" s="49"/>
      <c r="C2531" s="384">
        <v>45787.0</v>
      </c>
      <c r="D2531" s="65">
        <v>5599.0</v>
      </c>
      <c r="E2531" s="445" t="s">
        <v>2135</v>
      </c>
      <c r="F2531" s="386">
        <v>4.0</v>
      </c>
      <c r="G2531" s="74">
        <v>15000.0</v>
      </c>
      <c r="H2531" s="74">
        <v>0.0</v>
      </c>
      <c r="I2531" s="74">
        <f t="shared" si="1"/>
        <v>60000</v>
      </c>
      <c r="J2531" s="74">
        <f>IF(E2531="SERVICE",I2531-(I2531*50%),Vlookup(E2531,DATABASE!C:Q,10,false)*F2531)</f>
        <v>0</v>
      </c>
      <c r="K2531" s="74">
        <f>VLOOKUP(E2531,DATABASE!C:Q,7,false)</f>
        <v>0</v>
      </c>
      <c r="L2531" s="74">
        <v>0.0</v>
      </c>
      <c r="M2531" s="74">
        <f t="shared" si="2"/>
        <v>0</v>
      </c>
      <c r="N2531" s="74">
        <f t="shared" si="3"/>
        <v>60000</v>
      </c>
      <c r="O2531" s="65" t="str">
        <f>VLOOKUP(E2531,DATABASE!C:Q,8,false)</f>
        <v>IBU</v>
      </c>
      <c r="P2531" s="65">
        <f>VLOOKUP(E2531,DATABASE!C:Q,9,False)</f>
        <v>0</v>
      </c>
      <c r="Q2531" s="93" t="str">
        <f>VLOOKUP(E2531,DATABASE!C:Q,4,false)</f>
        <v>NITROGEN</v>
      </c>
      <c r="R2531" s="93" t="str">
        <f>VLOOKUP(E2531,DATABASE!C:Q,11,false)</f>
        <v>COMPLEMENTARY</v>
      </c>
    </row>
    <row r="2532" ht="22.5" customHeight="1">
      <c r="A2532" s="49"/>
      <c r="C2532" s="384">
        <v>45787.0</v>
      </c>
      <c r="D2532" s="65">
        <v>5601.0</v>
      </c>
      <c r="E2532" s="385" t="s">
        <v>299</v>
      </c>
      <c r="F2532" s="386">
        <v>4.0</v>
      </c>
      <c r="G2532" s="74">
        <v>30000.0</v>
      </c>
      <c r="H2532" s="74">
        <v>0.0</v>
      </c>
      <c r="I2532" s="74">
        <f t="shared" si="1"/>
        <v>120000</v>
      </c>
      <c r="J2532" s="74">
        <f>IF(E2532="SERVICE",I2532-(I2532*50%),Vlookup(E2532,DATABASE!C:Q,10,false)*F2532)</f>
        <v>0</v>
      </c>
      <c r="K2532" s="74">
        <v>0.0</v>
      </c>
      <c r="L2532" s="74">
        <v>0.0</v>
      </c>
      <c r="M2532" s="74">
        <f t="shared" si="2"/>
        <v>0</v>
      </c>
      <c r="N2532" s="74">
        <f t="shared" si="3"/>
        <v>120000</v>
      </c>
      <c r="O2532" s="65" t="str">
        <f>VLOOKUP(E2532,DATABASE!C:Q,8,false)</f>
        <v>BIAN</v>
      </c>
      <c r="P2532" s="65">
        <f>VLOOKUP(E2532,DATABASE!C:Q,9,False)</f>
        <v>0</v>
      </c>
      <c r="Q2532" s="93" t="str">
        <f>VLOOKUP(E2532,DATABASE!C:Q,4,false)</f>
        <v>Balancing</v>
      </c>
      <c r="R2532" s="93" t="str">
        <f>VLOOKUP(E2532,DATABASE!C:Q,11,false)</f>
        <v>COMPLEMENTARY</v>
      </c>
    </row>
    <row r="2533" ht="22.5" customHeight="1">
      <c r="A2533" s="49"/>
      <c r="C2533" s="384">
        <v>45787.0</v>
      </c>
      <c r="D2533" s="65">
        <v>5602.0</v>
      </c>
      <c r="E2533" s="445" t="s">
        <v>256</v>
      </c>
      <c r="F2533" s="386">
        <v>1.0</v>
      </c>
      <c r="G2533" s="74">
        <v>130000.0</v>
      </c>
      <c r="H2533" s="74">
        <v>0.0</v>
      </c>
      <c r="I2533" s="74">
        <f t="shared" si="1"/>
        <v>130000</v>
      </c>
      <c r="J2533" s="74">
        <f>IF(E2533="SERVICE",I2533-(I2533*50%),Vlookup(E2533,DATABASE!C:Q,10,false)*F2533)</f>
        <v>10000</v>
      </c>
      <c r="K2533" s="74">
        <f>VLOOKUP(E2533,DATABASE!C:Q,7,false)</f>
        <v>0</v>
      </c>
      <c r="L2533" s="74">
        <v>0.0</v>
      </c>
      <c r="M2533" s="74">
        <f t="shared" si="2"/>
        <v>0</v>
      </c>
      <c r="N2533" s="74">
        <f t="shared" si="3"/>
        <v>120000</v>
      </c>
      <c r="O2533" s="65" t="str">
        <f>VLOOKUP(E2533,DATABASE!C:Q,8,false)</f>
        <v>IBU</v>
      </c>
      <c r="P2533" s="65">
        <f>VLOOKUP(E2533,DATABASE!C:Q,9,False)</f>
        <v>0</v>
      </c>
      <c r="Q2533" s="93" t="str">
        <f>VLOOKUP(E2533,DATABASE!C:Q,4,false)</f>
        <v>SPOORING</v>
      </c>
      <c r="R2533" s="93" t="str">
        <f>VLOOKUP(E2533,DATABASE!C:Q,11,false)</f>
        <v>SERVICE</v>
      </c>
    </row>
    <row r="2534" ht="22.5" customHeight="1">
      <c r="A2534" s="49"/>
      <c r="C2534" s="384">
        <v>45787.0</v>
      </c>
      <c r="D2534" s="65">
        <v>5602.0</v>
      </c>
      <c r="E2534" s="445" t="s">
        <v>251</v>
      </c>
      <c r="F2534" s="386">
        <v>1.0</v>
      </c>
      <c r="G2534" s="74">
        <v>150000.0</v>
      </c>
      <c r="H2534" s="74">
        <v>0.0</v>
      </c>
      <c r="I2534" s="74">
        <f t="shared" si="1"/>
        <v>150000</v>
      </c>
      <c r="J2534" s="74">
        <f>IF(E2534="SERVICE",I2534-(I2534*50%),Vlookup(E2534,DATABASE!C:Q,10,false)*F2534)</f>
        <v>75000</v>
      </c>
      <c r="K2534" s="74">
        <f>VLOOKUP(E2534,DATABASE!C:Q,7,false)</f>
        <v>0</v>
      </c>
      <c r="L2534" s="74">
        <v>0.0</v>
      </c>
      <c r="M2534" s="74">
        <f t="shared" si="2"/>
        <v>0</v>
      </c>
      <c r="N2534" s="74">
        <f t="shared" si="3"/>
        <v>75000</v>
      </c>
      <c r="O2534" s="65" t="str">
        <f>VLOOKUP(E2534,DATABASE!C:Q,8,false)</f>
        <v>IBU</v>
      </c>
      <c r="P2534" s="65">
        <f>VLOOKUP(E2534,DATABASE!C:Q,9,False)</f>
        <v>0</v>
      </c>
      <c r="Q2534" s="93" t="str">
        <f>VLOOKUP(E2534,DATABASE!C:Q,4,false)</f>
        <v>SERVICE</v>
      </c>
      <c r="R2534" s="93" t="str">
        <f>VLOOKUP(E2534,DATABASE!C:Q,11,false)</f>
        <v>SERVICE</v>
      </c>
    </row>
    <row r="2535" ht="22.5" customHeight="1">
      <c r="A2535" s="49"/>
      <c r="C2535" s="384">
        <v>45788.0</v>
      </c>
      <c r="D2535" s="65">
        <v>5604.0</v>
      </c>
      <c r="E2535" s="445" t="s">
        <v>781</v>
      </c>
      <c r="F2535" s="386">
        <v>2.0</v>
      </c>
      <c r="G2535" s="74">
        <v>530000.0</v>
      </c>
      <c r="H2535" s="74">
        <v>0.0</v>
      </c>
      <c r="I2535" s="74">
        <f t="shared" si="1"/>
        <v>1060000</v>
      </c>
      <c r="J2535" s="74">
        <f>IF(E2535="SERVICE",I2535-(I2535*50%),Vlookup(E2535,DATABASE!C:Q,10,false)*F2535)</f>
        <v>0</v>
      </c>
      <c r="K2535" s="74">
        <f>VLOOKUP(E2535,DATABASE!C:Q,7,false)</f>
        <v>470000</v>
      </c>
      <c r="L2535" s="74">
        <v>442500.0</v>
      </c>
      <c r="M2535" s="74">
        <f t="shared" si="2"/>
        <v>445000</v>
      </c>
      <c r="N2535" s="74">
        <f t="shared" si="3"/>
        <v>170000</v>
      </c>
      <c r="O2535" s="65" t="str">
        <f>VLOOKUP(E2535,DATABASE!C:Q,8,false)</f>
        <v>BIAN</v>
      </c>
      <c r="P2535" s="65">
        <f>VLOOKUP(E2535,DATABASE!C:Q,9,False)</f>
        <v>1</v>
      </c>
      <c r="Q2535" s="93" t="str">
        <f>VLOOKUP(E2535,DATABASE!C:Q,4,false)</f>
        <v>GT</v>
      </c>
      <c r="R2535" s="93" t="str">
        <f>VLOOKUP(E2535,DATABASE!C:Q,11,false)</f>
        <v>Tire</v>
      </c>
    </row>
    <row r="2536" ht="22.5" customHeight="1">
      <c r="A2536" s="49"/>
      <c r="C2536" s="384">
        <v>45788.0</v>
      </c>
      <c r="D2536" s="65">
        <v>5605.0</v>
      </c>
      <c r="E2536" s="445" t="s">
        <v>947</v>
      </c>
      <c r="F2536" s="386">
        <v>2.0</v>
      </c>
      <c r="G2536" s="74">
        <v>785000.0</v>
      </c>
      <c r="H2536" s="74">
        <v>0.0</v>
      </c>
      <c r="I2536" s="74">
        <f t="shared" si="1"/>
        <v>1570000</v>
      </c>
      <c r="J2536" s="74">
        <f>IF(E2536="SERVICE",I2536-(I2536*50%),Vlookup(E2536,DATABASE!C:Q,10,false)*F2536)</f>
        <v>0</v>
      </c>
      <c r="K2536" s="74">
        <f>VLOOKUP(E2536,DATABASE!C:Q,7,false)</f>
        <v>704346</v>
      </c>
      <c r="L2536" s="74">
        <v>680512.0</v>
      </c>
      <c r="M2536" s="74">
        <f t="shared" si="2"/>
        <v>685000</v>
      </c>
      <c r="N2536" s="74">
        <f t="shared" si="3"/>
        <v>200000</v>
      </c>
      <c r="O2536" s="65" t="str">
        <f>VLOOKUP(E2536,DATABASE!C:Q,8,false)</f>
        <v>IBU</v>
      </c>
      <c r="P2536" s="65">
        <f>VLOOKUP(E2536,DATABASE!C:Q,9,False)</f>
        <v>1</v>
      </c>
      <c r="Q2536" s="93" t="str">
        <f>VLOOKUP(E2536,DATABASE!C:Q,4,false)</f>
        <v>Bridgestone</v>
      </c>
      <c r="R2536" s="93" t="str">
        <f>VLOOKUP(E2536,DATABASE!C:Q,11,false)</f>
        <v>Tire</v>
      </c>
    </row>
    <row r="2537" ht="22.5" customHeight="1">
      <c r="A2537" s="49"/>
      <c r="C2537" s="384">
        <v>45788.0</v>
      </c>
      <c r="D2537" s="65">
        <v>5606.0</v>
      </c>
      <c r="E2537" s="445" t="s">
        <v>265</v>
      </c>
      <c r="F2537" s="386">
        <v>2.0</v>
      </c>
      <c r="G2537" s="74">
        <v>670000.0</v>
      </c>
      <c r="H2537" s="74">
        <v>0.0</v>
      </c>
      <c r="I2537" s="74">
        <f t="shared" si="1"/>
        <v>1340000</v>
      </c>
      <c r="J2537" s="74">
        <f>IF(E2537="SERVICE",I2537-(I2537*50%),Vlookup(E2537,DATABASE!C:Q,10,false)*F2537)</f>
        <v>0</v>
      </c>
      <c r="K2537" s="74">
        <v>590000.0</v>
      </c>
      <c r="L2537" s="74">
        <v>590000.0</v>
      </c>
      <c r="M2537" s="74">
        <f t="shared" si="2"/>
        <v>590000</v>
      </c>
      <c r="N2537" s="74">
        <f t="shared" si="3"/>
        <v>160000</v>
      </c>
      <c r="O2537" s="65" t="str">
        <f>VLOOKUP(E2537,DATABASE!C:Q,8,false)</f>
        <v>IBU</v>
      </c>
      <c r="P2537" s="65">
        <f>VLOOKUP(E2537,DATABASE!C:Q,9,False)</f>
        <v>1</v>
      </c>
      <c r="Q2537" s="93" t="str">
        <f>VLOOKUP(E2537,DATABASE!C:Q,4,false)</f>
        <v>Dunlop</v>
      </c>
      <c r="R2537" s="93" t="str">
        <f>VLOOKUP(E2537,DATABASE!C:Q,11,false)</f>
        <v>Tire</v>
      </c>
    </row>
    <row r="2538" ht="22.5" customHeight="1">
      <c r="A2538" s="49"/>
      <c r="C2538" s="384">
        <v>45788.0</v>
      </c>
      <c r="D2538" s="65">
        <v>5606.0</v>
      </c>
      <c r="E2538" s="445" t="s">
        <v>781</v>
      </c>
      <c r="F2538" s="386">
        <v>2.0</v>
      </c>
      <c r="G2538" s="74">
        <v>530000.0</v>
      </c>
      <c r="H2538" s="74">
        <v>0.0</v>
      </c>
      <c r="I2538" s="74">
        <f t="shared" si="1"/>
        <v>1060000</v>
      </c>
      <c r="J2538" s="74">
        <f>IF(E2538="SERVICE",I2538-(I2538*50%),Vlookup(E2538,DATABASE!C:Q,10,false)*F2538)</f>
        <v>0</v>
      </c>
      <c r="K2538" s="74">
        <f>VLOOKUP(E2538,DATABASE!C:Q,7,false)</f>
        <v>470000</v>
      </c>
      <c r="L2538" s="74">
        <v>442500.0</v>
      </c>
      <c r="M2538" s="74">
        <f t="shared" si="2"/>
        <v>445000</v>
      </c>
      <c r="N2538" s="74">
        <f t="shared" si="3"/>
        <v>170000</v>
      </c>
      <c r="O2538" s="65" t="str">
        <f>VLOOKUP(E2538,DATABASE!C:Q,8,false)</f>
        <v>BIAN</v>
      </c>
      <c r="P2538" s="65">
        <f>VLOOKUP(E2538,DATABASE!C:Q,9,False)</f>
        <v>1</v>
      </c>
      <c r="Q2538" s="93" t="str">
        <f>VLOOKUP(E2538,DATABASE!C:Q,4,false)</f>
        <v>GT</v>
      </c>
      <c r="R2538" s="93" t="str">
        <f>VLOOKUP(E2538,DATABASE!C:Q,11,false)</f>
        <v>Tire</v>
      </c>
    </row>
    <row r="2539" ht="22.5" customHeight="1">
      <c r="A2539" s="49"/>
      <c r="C2539" s="384">
        <v>45789.0</v>
      </c>
      <c r="D2539" s="65">
        <v>5607.0</v>
      </c>
      <c r="E2539" s="385" t="s">
        <v>299</v>
      </c>
      <c r="F2539" s="386">
        <v>2.0</v>
      </c>
      <c r="G2539" s="74">
        <v>30000.0</v>
      </c>
      <c r="H2539" s="74">
        <v>0.0</v>
      </c>
      <c r="I2539" s="74">
        <f t="shared" si="1"/>
        <v>60000</v>
      </c>
      <c r="J2539" s="74">
        <f>IF(E2539="SERVICE",I2539-(I2539*50%),Vlookup(E2539,DATABASE!C:Q,10,false)*F2539)</f>
        <v>0</v>
      </c>
      <c r="K2539" s="74">
        <v>0.0</v>
      </c>
      <c r="L2539" s="74">
        <v>0.0</v>
      </c>
      <c r="M2539" s="74">
        <f t="shared" si="2"/>
        <v>0</v>
      </c>
      <c r="N2539" s="74">
        <f t="shared" si="3"/>
        <v>60000</v>
      </c>
      <c r="O2539" s="65" t="str">
        <f>VLOOKUP(E2539,DATABASE!C:Q,8,false)</f>
        <v>BIAN</v>
      </c>
      <c r="P2539" s="65">
        <f>VLOOKUP(E2539,DATABASE!C:Q,9,False)</f>
        <v>0</v>
      </c>
      <c r="Q2539" s="93" t="str">
        <f>VLOOKUP(E2539,DATABASE!C:Q,4,false)</f>
        <v>Balancing</v>
      </c>
      <c r="R2539" s="93" t="str">
        <f>VLOOKUP(E2539,DATABASE!C:Q,11,false)</f>
        <v>COMPLEMENTARY</v>
      </c>
    </row>
    <row r="2540" ht="22.5" customHeight="1">
      <c r="A2540" s="49"/>
      <c r="C2540" s="384">
        <v>45789.0</v>
      </c>
      <c r="D2540" s="65">
        <v>5608.0</v>
      </c>
      <c r="E2540" s="445" t="s">
        <v>643</v>
      </c>
      <c r="F2540" s="386">
        <v>2.0</v>
      </c>
      <c r="G2540" s="74">
        <v>145000.0</v>
      </c>
      <c r="H2540" s="74">
        <v>0.0</v>
      </c>
      <c r="I2540" s="74">
        <f t="shared" si="1"/>
        <v>290000</v>
      </c>
      <c r="J2540" s="74">
        <f>IF(E2540="SERVICE",I2540-(I2540*50%),Vlookup(E2540,DATABASE!C:Q,10,false)*F2540)</f>
        <v>0</v>
      </c>
      <c r="K2540" s="74">
        <f>VLOOKUP(E2540,DATABASE!C:Q,7,false)</f>
        <v>111800</v>
      </c>
      <c r="L2540" s="74">
        <v>111800.0</v>
      </c>
      <c r="M2540" s="74">
        <f t="shared" si="2"/>
        <v>115000</v>
      </c>
      <c r="N2540" s="74">
        <f t="shared" si="3"/>
        <v>60000</v>
      </c>
      <c r="O2540" s="65" t="str">
        <f>VLOOKUP(E2540,DATABASE!C:Q,8,false)</f>
        <v>BIAN</v>
      </c>
      <c r="P2540" s="65">
        <f>VLOOKUP(E2540,DATABASE!C:Q,9,False)</f>
        <v>1</v>
      </c>
      <c r="Q2540" s="93" t="str">
        <f>VLOOKUP(E2540,DATABASE!C:Q,4,false)</f>
        <v>BD</v>
      </c>
      <c r="R2540" s="93" t="str">
        <f>VLOOKUP(E2540,DATABASE!C:Q,11,false)</f>
        <v>Tire</v>
      </c>
    </row>
    <row r="2541" ht="22.5" customHeight="1">
      <c r="A2541" s="49"/>
      <c r="C2541" s="384">
        <v>45789.0</v>
      </c>
      <c r="D2541" s="65">
        <v>5609.0</v>
      </c>
      <c r="E2541" s="445" t="s">
        <v>566</v>
      </c>
      <c r="F2541" s="386">
        <v>1.0</v>
      </c>
      <c r="G2541" s="74">
        <v>1670000.0</v>
      </c>
      <c r="H2541" s="74">
        <v>0.0</v>
      </c>
      <c r="I2541" s="74">
        <f t="shared" si="1"/>
        <v>1670000</v>
      </c>
      <c r="J2541" s="74">
        <f>IF(E2541="SERVICE",I2541-(I2541*50%),Vlookup(E2541,DATABASE!C:Q,10,false)*F2541)</f>
        <v>0</v>
      </c>
      <c r="K2541" s="140">
        <v>1570000.0</v>
      </c>
      <c r="L2541" s="140">
        <v>1570000.0</v>
      </c>
      <c r="M2541" s="74">
        <f t="shared" si="2"/>
        <v>1570000</v>
      </c>
      <c r="N2541" s="74">
        <f t="shared" si="3"/>
        <v>100000</v>
      </c>
      <c r="O2541" s="65" t="str">
        <f>VLOOKUP(E2541,DATABASE!C:Q,8,false)</f>
        <v>IBU</v>
      </c>
      <c r="P2541" s="65">
        <f>VLOOKUP(E2541,DATABASE!C:Q,9,False)</f>
        <v>1</v>
      </c>
      <c r="Q2541" s="93" t="str">
        <f>VLOOKUP(E2541,DATABASE!C:Q,4,false)</f>
        <v>Bridgestone</v>
      </c>
      <c r="R2541" s="93" t="str">
        <f>VLOOKUP(E2541,DATABASE!C:Q,11,false)</f>
        <v>Tire</v>
      </c>
    </row>
    <row r="2542" ht="22.5" customHeight="1">
      <c r="A2542" s="49"/>
      <c r="C2542" s="384">
        <v>45789.0</v>
      </c>
      <c r="D2542" s="65">
        <v>5610.0</v>
      </c>
      <c r="E2542" s="445" t="s">
        <v>777</v>
      </c>
      <c r="F2542" s="386">
        <v>2.0</v>
      </c>
      <c r="G2542" s="74">
        <v>585000.0</v>
      </c>
      <c r="H2542" s="74">
        <v>0.0</v>
      </c>
      <c r="I2542" s="74">
        <f t="shared" si="1"/>
        <v>1170000</v>
      </c>
      <c r="J2542" s="74">
        <f>IF(E2542="SERVICE",I2542-(I2542*50%),Vlookup(E2542,DATABASE!C:Q,10,false)*F2542)</f>
        <v>0</v>
      </c>
      <c r="K2542" s="74">
        <f>VLOOKUP(E2542,DATABASE!C:Q,7,false)</f>
        <v>540000</v>
      </c>
      <c r="L2542" s="74">
        <v>507000.0</v>
      </c>
      <c r="M2542" s="74">
        <f t="shared" si="2"/>
        <v>510000</v>
      </c>
      <c r="N2542" s="74">
        <f t="shared" si="3"/>
        <v>150000</v>
      </c>
      <c r="O2542" s="65" t="str">
        <f>VLOOKUP(E2542,DATABASE!C:Q,8,false)</f>
        <v>BIAN</v>
      </c>
      <c r="P2542" s="65">
        <f>VLOOKUP(E2542,DATABASE!C:Q,9,False)</f>
        <v>1</v>
      </c>
      <c r="Q2542" s="93" t="str">
        <f>VLOOKUP(E2542,DATABASE!C:Q,4,false)</f>
        <v>GT</v>
      </c>
      <c r="R2542" s="93" t="str">
        <f>VLOOKUP(E2542,DATABASE!C:Q,11,false)</f>
        <v>Tire</v>
      </c>
    </row>
    <row r="2543" ht="22.5" customHeight="1">
      <c r="A2543" s="49"/>
      <c r="C2543" s="384">
        <v>45789.0</v>
      </c>
      <c r="D2543" s="65">
        <v>5611.0</v>
      </c>
      <c r="E2543" s="445" t="s">
        <v>275</v>
      </c>
      <c r="F2543" s="386">
        <v>2.0</v>
      </c>
      <c r="G2543" s="74">
        <v>830000.0</v>
      </c>
      <c r="H2543" s="74">
        <v>0.0</v>
      </c>
      <c r="I2543" s="74">
        <f t="shared" si="1"/>
        <v>1660000</v>
      </c>
      <c r="J2543" s="74">
        <f>IF(E2543="SERVICE",I2543-(I2543*50%),Vlookup(E2543,DATABASE!C:Q,10,false)*F2543)</f>
        <v>0</v>
      </c>
      <c r="K2543" s="74">
        <v>735000.0</v>
      </c>
      <c r="L2543" s="74">
        <v>735000.0</v>
      </c>
      <c r="M2543" s="74">
        <f t="shared" si="2"/>
        <v>735000</v>
      </c>
      <c r="N2543" s="74">
        <f t="shared" si="3"/>
        <v>190000</v>
      </c>
      <c r="O2543" s="65" t="str">
        <f>VLOOKUP(E2543,DATABASE!C:Q,8,false)</f>
        <v>IBU</v>
      </c>
      <c r="P2543" s="65">
        <f>VLOOKUP(E2543,DATABASE!C:Q,9,False)</f>
        <v>1</v>
      </c>
      <c r="Q2543" s="93" t="str">
        <f>VLOOKUP(E2543,DATABASE!C:Q,4,false)</f>
        <v>Dunlop</v>
      </c>
      <c r="R2543" s="93" t="str">
        <f>VLOOKUP(E2543,DATABASE!C:Q,11,false)</f>
        <v>Tire</v>
      </c>
    </row>
    <row r="2544" ht="22.5" customHeight="1">
      <c r="A2544" s="49"/>
      <c r="C2544" s="384">
        <v>45789.0</v>
      </c>
      <c r="D2544" s="65">
        <v>5612.0</v>
      </c>
      <c r="E2544" s="445" t="s">
        <v>791</v>
      </c>
      <c r="F2544" s="386">
        <v>2.0</v>
      </c>
      <c r="G2544" s="74">
        <v>1280000.0</v>
      </c>
      <c r="H2544" s="74">
        <v>0.0</v>
      </c>
      <c r="I2544" s="74">
        <f t="shared" si="1"/>
        <v>2560000</v>
      </c>
      <c r="J2544" s="74">
        <f>IF(E2544="SERVICE",I2544-(I2544*50%),Vlookup(E2544,DATABASE!C:Q,10,false)*F2544)</f>
        <v>0</v>
      </c>
      <c r="K2544" s="74">
        <f>VLOOKUP(E2544,DATABASE!C:Q,7,false)</f>
        <v>1210000</v>
      </c>
      <c r="L2544" s="74">
        <v>1180000.0</v>
      </c>
      <c r="M2544" s="74">
        <f t="shared" si="2"/>
        <v>1180000</v>
      </c>
      <c r="N2544" s="74">
        <f t="shared" si="3"/>
        <v>200000</v>
      </c>
      <c r="O2544" s="65" t="str">
        <f>VLOOKUP(E2544,DATABASE!C:Q,8,false)</f>
        <v>BIAN</v>
      </c>
      <c r="P2544" s="65">
        <f>VLOOKUP(E2544,DATABASE!C:Q,9,False)</f>
        <v>1</v>
      </c>
      <c r="Q2544" s="93" t="str">
        <f>VLOOKUP(E2544,DATABASE!C:Q,4,false)</f>
        <v>GT</v>
      </c>
      <c r="R2544" s="93" t="str">
        <f>VLOOKUP(E2544,DATABASE!C:Q,11,false)</f>
        <v>Tire</v>
      </c>
    </row>
    <row r="2545" ht="22.5" customHeight="1">
      <c r="A2545" s="49"/>
      <c r="C2545" s="384">
        <v>45789.0</v>
      </c>
      <c r="D2545" s="65">
        <v>5612.0</v>
      </c>
      <c r="E2545" s="445" t="s">
        <v>255</v>
      </c>
      <c r="F2545" s="386">
        <v>2.0</v>
      </c>
      <c r="G2545" s="74">
        <v>200000.0</v>
      </c>
      <c r="H2545" s="74">
        <v>0.0</v>
      </c>
      <c r="I2545" s="74">
        <f t="shared" si="1"/>
        <v>400000</v>
      </c>
      <c r="J2545" s="74">
        <f>IF(E2545="SERVICE",I2545-(I2545*50%),Vlookup(E2545,DATABASE!C:Q,10,false)*F2545)</f>
        <v>0</v>
      </c>
      <c r="K2545" s="74">
        <f>VLOOKUP(E2545,DATABASE!C:Q,7,false)</f>
        <v>161840</v>
      </c>
      <c r="L2545" s="74">
        <v>161840.0</v>
      </c>
      <c r="M2545" s="74">
        <f t="shared" si="2"/>
        <v>165000</v>
      </c>
      <c r="N2545" s="74">
        <f t="shared" si="3"/>
        <v>70000</v>
      </c>
      <c r="O2545" s="65" t="str">
        <f>VLOOKUP(E2545,DATABASE!C:Q,8,false)</f>
        <v>BIAN</v>
      </c>
      <c r="P2545" s="65">
        <f>VLOOKUP(E2545,DATABASE!C:Q,9,False)</f>
        <v>1</v>
      </c>
      <c r="Q2545" s="93" t="str">
        <f>VLOOKUP(E2545,DATABASE!C:Q,4,false)</f>
        <v>BD</v>
      </c>
      <c r="R2545" s="93" t="str">
        <f>VLOOKUP(E2545,DATABASE!C:Q,11,false)</f>
        <v>Tire</v>
      </c>
    </row>
    <row r="2546" ht="22.5" customHeight="1">
      <c r="A2546" s="49"/>
      <c r="C2546" s="384">
        <v>45789.0</v>
      </c>
      <c r="D2546" s="65">
        <v>5612.0</v>
      </c>
      <c r="E2546" s="445" t="s">
        <v>814</v>
      </c>
      <c r="F2546" s="386">
        <v>2.0</v>
      </c>
      <c r="G2546" s="74">
        <v>65000.0</v>
      </c>
      <c r="H2546" s="74">
        <v>0.0</v>
      </c>
      <c r="I2546" s="74">
        <f t="shared" si="1"/>
        <v>130000</v>
      </c>
      <c r="J2546" s="74">
        <f>IF(E2546="SERVICE",I2546-(I2546*50%),Vlookup(E2546,DATABASE!C:Q,10,false)*F2546)</f>
        <v>0</v>
      </c>
      <c r="K2546" s="74">
        <f>VLOOKUP(E2546,DATABASE!C:Q,7,false)</f>
        <v>39440</v>
      </c>
      <c r="L2546" s="74">
        <v>39440.0</v>
      </c>
      <c r="M2546" s="74">
        <f t="shared" si="2"/>
        <v>40000</v>
      </c>
      <c r="N2546" s="74">
        <f t="shared" si="3"/>
        <v>50000</v>
      </c>
      <c r="O2546" s="65" t="str">
        <f>VLOOKUP(E2546,DATABASE!C:Q,8,false)</f>
        <v>BIAN</v>
      </c>
      <c r="P2546" s="65">
        <f>VLOOKUP(E2546,DATABASE!C:Q,9,False)</f>
        <v>1</v>
      </c>
      <c r="Q2546" s="93" t="str">
        <f>VLOOKUP(E2546,DATABASE!C:Q,4,false)</f>
        <v>Flap</v>
      </c>
      <c r="R2546" s="93" t="str">
        <f>VLOOKUP(E2546,DATABASE!C:Q,11,false)</f>
        <v>Tire</v>
      </c>
    </row>
    <row r="2547" ht="22.5" customHeight="1">
      <c r="A2547" s="49"/>
      <c r="C2547" s="384">
        <v>45789.0</v>
      </c>
      <c r="D2547" s="65">
        <v>5613.0</v>
      </c>
      <c r="E2547" s="445" t="s">
        <v>1439</v>
      </c>
      <c r="F2547" s="386">
        <v>1.0</v>
      </c>
      <c r="G2547" s="74">
        <v>630000.0</v>
      </c>
      <c r="H2547" s="74">
        <v>0.0</v>
      </c>
      <c r="I2547" s="74">
        <f t="shared" si="1"/>
        <v>630000</v>
      </c>
      <c r="J2547" s="74">
        <f>IF(E2547="SERVICE",I2547-(I2547*50%),Vlookup(E2547,DATABASE!C:Q,10,false)*F2547)</f>
        <v>0</v>
      </c>
      <c r="K2547" s="74">
        <f>VLOOKUP(E2547,DATABASE!C:Q,7,false)</f>
        <v>556800</v>
      </c>
      <c r="L2547" s="74">
        <v>540800.0</v>
      </c>
      <c r="M2547" s="74">
        <f t="shared" si="2"/>
        <v>545000</v>
      </c>
      <c r="N2547" s="74">
        <f t="shared" si="3"/>
        <v>85000</v>
      </c>
      <c r="O2547" s="65" t="str">
        <f>VLOOKUP(E2547,DATABASE!C:Q,8,false)</f>
        <v>BIAN</v>
      </c>
      <c r="P2547" s="65">
        <f>VLOOKUP(E2547,DATABASE!C:Q,9,False)</f>
        <v>1</v>
      </c>
      <c r="Q2547" s="93" t="str">
        <f>VLOOKUP(E2547,DATABASE!C:Q,4,false)</f>
        <v>GT</v>
      </c>
      <c r="R2547" s="93" t="str">
        <f>VLOOKUP(E2547,DATABASE!C:Q,11,false)</f>
        <v>Tire</v>
      </c>
    </row>
    <row r="2548" ht="22.5" customHeight="1">
      <c r="A2548" s="49"/>
      <c r="C2548" s="384">
        <v>45789.0</v>
      </c>
      <c r="D2548" s="65">
        <v>5614.0</v>
      </c>
      <c r="E2548" s="445" t="s">
        <v>614</v>
      </c>
      <c r="F2548" s="386">
        <v>1.0</v>
      </c>
      <c r="G2548" s="74">
        <v>850000.0</v>
      </c>
      <c r="H2548" s="74">
        <v>0.0</v>
      </c>
      <c r="I2548" s="74">
        <f t="shared" si="1"/>
        <v>850000</v>
      </c>
      <c r="J2548" s="74">
        <f>IF(E2548="SERVICE",I2548-(I2548*50%),Vlookup(E2548,DATABASE!C:Q,10,false)*F2548)</f>
        <v>0</v>
      </c>
      <c r="K2548" s="74">
        <f>VLOOKUP(E2548,DATABASE!C:Q,7,false)</f>
        <v>754660.6</v>
      </c>
      <c r="L2548" s="74">
        <v>766438.4</v>
      </c>
      <c r="M2548" s="74">
        <f t="shared" si="2"/>
        <v>770000</v>
      </c>
      <c r="N2548" s="74">
        <f t="shared" si="3"/>
        <v>80000</v>
      </c>
      <c r="O2548" s="65" t="str">
        <f>VLOOKUP(E2548,DATABASE!C:Q,8,false)</f>
        <v>IBU</v>
      </c>
      <c r="P2548" s="65">
        <f>VLOOKUP(E2548,DATABASE!C:Q,9,False)</f>
        <v>1</v>
      </c>
      <c r="Q2548" s="93" t="str">
        <f>VLOOKUP(E2548,DATABASE!C:Q,4,false)</f>
        <v>Bridgestone</v>
      </c>
      <c r="R2548" s="93" t="str">
        <f>VLOOKUP(E2548,DATABASE!C:Q,11,false)</f>
        <v>Tire</v>
      </c>
    </row>
    <row r="2549" ht="22.5" customHeight="1">
      <c r="A2549" s="49"/>
      <c r="C2549" s="384">
        <v>45789.0</v>
      </c>
      <c r="D2549" s="65">
        <v>5615.0</v>
      </c>
      <c r="E2549" s="445" t="s">
        <v>2019</v>
      </c>
      <c r="F2549" s="386">
        <v>2.0</v>
      </c>
      <c r="G2549" s="74">
        <v>685000.0</v>
      </c>
      <c r="H2549" s="74">
        <v>0.0</v>
      </c>
      <c r="I2549" s="74">
        <f t="shared" si="1"/>
        <v>1370000</v>
      </c>
      <c r="J2549" s="74">
        <f>IF(E2549="SERVICE",I2549-(I2549*50%),Vlookup(E2549,DATABASE!C:Q,10,false)*F2549)</f>
        <v>0</v>
      </c>
      <c r="K2549" s="74">
        <f>VLOOKUP(E2549,DATABASE!C:Q,7,false)</f>
        <v>620000</v>
      </c>
      <c r="L2549" s="74">
        <v>585000.0</v>
      </c>
      <c r="M2549" s="74">
        <f t="shared" si="2"/>
        <v>585000</v>
      </c>
      <c r="N2549" s="74">
        <f t="shared" si="3"/>
        <v>200000</v>
      </c>
      <c r="O2549" s="65" t="str">
        <f>VLOOKUP(E2549,DATABASE!C:Q,8,false)</f>
        <v>BIAN</v>
      </c>
      <c r="P2549" s="65">
        <f>VLOOKUP(E2549,DATABASE!C:Q,9,False)</f>
        <v>1</v>
      </c>
      <c r="Q2549" s="93" t="str">
        <f>VLOOKUP(E2549,DATABASE!C:Q,4,false)</f>
        <v>GT</v>
      </c>
      <c r="R2549" s="93" t="str">
        <f>VLOOKUP(E2549,DATABASE!C:Q,11,false)</f>
        <v>Tire</v>
      </c>
    </row>
    <row r="2550" ht="22.5" customHeight="1">
      <c r="A2550" s="49"/>
      <c r="C2550" s="384">
        <v>45789.0</v>
      </c>
      <c r="D2550" s="65">
        <v>5615.0</v>
      </c>
      <c r="E2550" s="445" t="s">
        <v>604</v>
      </c>
      <c r="F2550" s="386">
        <v>1.0</v>
      </c>
      <c r="G2550" s="74">
        <v>160000.0</v>
      </c>
      <c r="H2550" s="74">
        <v>0.0</v>
      </c>
      <c r="I2550" s="74">
        <f t="shared" si="1"/>
        <v>160000</v>
      </c>
      <c r="J2550" s="74">
        <f>IF(E2550="SERVICE",I2550-(I2550*50%),Vlookup(E2550,DATABASE!C:Q,10,false)*F2550)</f>
        <v>0</v>
      </c>
      <c r="K2550" s="74">
        <f>VLOOKUP(E2550,DATABASE!C:Q,7,false)</f>
        <v>124000</v>
      </c>
      <c r="L2550" s="74">
        <v>124000.0</v>
      </c>
      <c r="M2550" s="74">
        <f t="shared" si="2"/>
        <v>125000</v>
      </c>
      <c r="N2550" s="74">
        <f t="shared" si="3"/>
        <v>35000</v>
      </c>
      <c r="O2550" s="65" t="str">
        <f>VLOOKUP(E2550,DATABASE!C:Q,8,false)</f>
        <v>BIAN</v>
      </c>
      <c r="P2550" s="65">
        <f>VLOOKUP(E2550,DATABASE!C:Q,9,False)</f>
        <v>1</v>
      </c>
      <c r="Q2550" s="93" t="str">
        <f>VLOOKUP(E2550,DATABASE!C:Q,4,false)</f>
        <v>BD</v>
      </c>
      <c r="R2550" s="93" t="str">
        <f>VLOOKUP(E2550,DATABASE!C:Q,11,false)</f>
        <v>Tire</v>
      </c>
    </row>
    <row r="2551" ht="22.5" customHeight="1">
      <c r="A2551" s="49"/>
      <c r="C2551" s="384">
        <v>45789.0</v>
      </c>
      <c r="D2551" s="65">
        <v>5616.0</v>
      </c>
      <c r="E2551" s="445" t="s">
        <v>566</v>
      </c>
      <c r="F2551" s="386">
        <v>2.0</v>
      </c>
      <c r="G2551" s="74">
        <v>1670000.0</v>
      </c>
      <c r="H2551" s="74">
        <v>0.0</v>
      </c>
      <c r="I2551" s="74">
        <f t="shared" si="1"/>
        <v>3340000</v>
      </c>
      <c r="J2551" s="74">
        <f>IF(E2551="SERVICE",I2551-(I2551*50%),Vlookup(E2551,DATABASE!C:Q,10,false)*F2551)</f>
        <v>0</v>
      </c>
      <c r="K2551" s="140">
        <v>1570000.0</v>
      </c>
      <c r="L2551" s="140">
        <v>1570000.0</v>
      </c>
      <c r="M2551" s="74">
        <f t="shared" si="2"/>
        <v>1570000</v>
      </c>
      <c r="N2551" s="74">
        <f t="shared" si="3"/>
        <v>200000</v>
      </c>
      <c r="O2551" s="65" t="str">
        <f>VLOOKUP(E2551,DATABASE!C:Q,8,false)</f>
        <v>IBU</v>
      </c>
      <c r="P2551" s="65">
        <f>VLOOKUP(E2551,DATABASE!C:Q,9,False)</f>
        <v>1</v>
      </c>
      <c r="Q2551" s="93" t="str">
        <f>VLOOKUP(E2551,DATABASE!C:Q,4,false)</f>
        <v>Bridgestone</v>
      </c>
      <c r="R2551" s="93" t="str">
        <f>VLOOKUP(E2551,DATABASE!C:Q,11,false)</f>
        <v>Tire</v>
      </c>
    </row>
    <row r="2552" ht="22.5" customHeight="1">
      <c r="A2552" s="49"/>
      <c r="C2552" s="384">
        <v>45789.0</v>
      </c>
      <c r="D2552" s="65">
        <v>5616.0</v>
      </c>
      <c r="E2552" s="445" t="s">
        <v>744</v>
      </c>
      <c r="F2552" s="386">
        <v>2.0</v>
      </c>
      <c r="G2552" s="74">
        <v>230000.0</v>
      </c>
      <c r="H2552" s="74">
        <v>0.0</v>
      </c>
      <c r="I2552" s="74">
        <f t="shared" si="1"/>
        <v>460000</v>
      </c>
      <c r="J2552" s="74">
        <f>IF(E2552="SERVICE",I2552-(I2552*50%),Vlookup(E2552,DATABASE!C:Q,10,false)*F2552)</f>
        <v>0</v>
      </c>
      <c r="K2552" s="74">
        <f>VLOOKUP(E2552,DATABASE!C:Q,7,false)</f>
        <v>182200</v>
      </c>
      <c r="L2552" s="74">
        <v>199920.0</v>
      </c>
      <c r="M2552" s="74">
        <f t="shared" si="2"/>
        <v>200000</v>
      </c>
      <c r="N2552" s="74">
        <f t="shared" si="3"/>
        <v>60000</v>
      </c>
      <c r="O2552" s="65" t="str">
        <f>VLOOKUP(E2552,DATABASE!C:Q,8,false)</f>
        <v>BIAN</v>
      </c>
      <c r="P2552" s="65">
        <f>VLOOKUP(E2552,DATABASE!C:Q,9,False)</f>
        <v>1</v>
      </c>
      <c r="Q2552" s="93" t="str">
        <f>VLOOKUP(E2552,DATABASE!C:Q,4,false)</f>
        <v>BD</v>
      </c>
      <c r="R2552" s="93" t="str">
        <f>VLOOKUP(E2552,DATABASE!C:Q,11,false)</f>
        <v>Tire</v>
      </c>
    </row>
    <row r="2553" ht="22.5" customHeight="1">
      <c r="A2553" s="49"/>
      <c r="C2553" s="384">
        <v>45789.0</v>
      </c>
      <c r="D2553" s="65">
        <v>5616.0</v>
      </c>
      <c r="E2553" s="445" t="s">
        <v>821</v>
      </c>
      <c r="F2553" s="386">
        <v>2.0</v>
      </c>
      <c r="G2553" s="74">
        <v>80000.0</v>
      </c>
      <c r="H2553" s="74">
        <v>0.0</v>
      </c>
      <c r="I2553" s="74">
        <f t="shared" si="1"/>
        <v>160000</v>
      </c>
      <c r="J2553" s="74">
        <f>IF(E2553="SERVICE",I2553-(I2553*50%),Vlookup(E2553,DATABASE!C:Q,10,false)*F2553)</f>
        <v>0</v>
      </c>
      <c r="K2553" s="74">
        <f>VLOOKUP(E2553,DATABASE!C:Q,7,false)</f>
        <v>43500</v>
      </c>
      <c r="L2553" s="74">
        <v>43520.0</v>
      </c>
      <c r="M2553" s="74">
        <f t="shared" si="2"/>
        <v>45000</v>
      </c>
      <c r="N2553" s="74">
        <f t="shared" si="3"/>
        <v>70000</v>
      </c>
      <c r="O2553" s="65" t="str">
        <f>VLOOKUP(E2553,DATABASE!C:Q,8,false)</f>
        <v>BIAN</v>
      </c>
      <c r="P2553" s="65">
        <f>VLOOKUP(E2553,DATABASE!C:Q,9,False)</f>
        <v>1</v>
      </c>
      <c r="Q2553" s="93" t="str">
        <f>VLOOKUP(E2553,DATABASE!C:Q,4,false)</f>
        <v>Flap</v>
      </c>
      <c r="R2553" s="93" t="str">
        <f>VLOOKUP(E2553,DATABASE!C:Q,11,false)</f>
        <v>Tire</v>
      </c>
    </row>
    <row r="2554" ht="22.5" customHeight="1">
      <c r="A2554" s="49"/>
      <c r="C2554" s="384">
        <v>45789.0</v>
      </c>
      <c r="D2554" s="65">
        <v>5617.0</v>
      </c>
      <c r="E2554" s="445" t="s">
        <v>268</v>
      </c>
      <c r="F2554" s="386">
        <v>2.0</v>
      </c>
      <c r="G2554" s="74">
        <v>700000.0</v>
      </c>
      <c r="H2554" s="74">
        <v>0.0</v>
      </c>
      <c r="I2554" s="74">
        <f t="shared" si="1"/>
        <v>1400000</v>
      </c>
      <c r="J2554" s="74">
        <f>IF(E2554="SERVICE",I2554-(I2554*50%),Vlookup(E2554,DATABASE!C:Q,10,false)*F2554)</f>
        <v>0</v>
      </c>
      <c r="K2554" s="74">
        <v>613000.0</v>
      </c>
      <c r="L2554" s="74">
        <v>613000.0</v>
      </c>
      <c r="M2554" s="74">
        <f t="shared" si="2"/>
        <v>615000</v>
      </c>
      <c r="N2554" s="74">
        <f t="shared" si="3"/>
        <v>170000</v>
      </c>
      <c r="O2554" s="65" t="str">
        <f>VLOOKUP(E2554,DATABASE!C:Q,8,false)</f>
        <v>IBU</v>
      </c>
      <c r="P2554" s="65">
        <f>VLOOKUP(E2554,DATABASE!C:Q,9,False)</f>
        <v>1</v>
      </c>
      <c r="Q2554" s="93" t="str">
        <f>VLOOKUP(E2554,DATABASE!C:Q,4,false)</f>
        <v>Dunlop</v>
      </c>
      <c r="R2554" s="93" t="str">
        <f>VLOOKUP(E2554,DATABASE!C:Q,11,false)</f>
        <v>Tire</v>
      </c>
    </row>
    <row r="2555" ht="22.5" customHeight="1">
      <c r="A2555" s="49"/>
      <c r="C2555" s="384">
        <v>45789.0</v>
      </c>
      <c r="D2555" s="65">
        <v>5618.0</v>
      </c>
      <c r="E2555" s="445" t="s">
        <v>1858</v>
      </c>
      <c r="F2555" s="386">
        <v>2.0</v>
      </c>
      <c r="G2555" s="74">
        <v>2115000.0</v>
      </c>
      <c r="H2555" s="74">
        <v>0.0</v>
      </c>
      <c r="I2555" s="74">
        <f t="shared" si="1"/>
        <v>4230000</v>
      </c>
      <c r="J2555" s="74">
        <f>IF(E2555="SERVICE",I2555-(I2555*50%),Vlookup(E2555,DATABASE!C:Q,10,false)*F2555)</f>
        <v>0</v>
      </c>
      <c r="K2555" s="74">
        <f>VLOOKUP(E2555,DATABASE!C:Q,7,false)</f>
        <v>2030000</v>
      </c>
      <c r="L2555" s="74">
        <v>2025000.0</v>
      </c>
      <c r="M2555" s="74">
        <f t="shared" si="2"/>
        <v>2025000</v>
      </c>
      <c r="N2555" s="74">
        <f t="shared" si="3"/>
        <v>180000</v>
      </c>
      <c r="O2555" s="65" t="str">
        <f>VLOOKUP(E2555,DATABASE!C:Q,8,false)</f>
        <v>BIAN</v>
      </c>
      <c r="P2555" s="65">
        <f>VLOOKUP(E2555,DATABASE!C:Q,9,False)</f>
        <v>1</v>
      </c>
      <c r="Q2555" s="93" t="str">
        <f>VLOOKUP(E2555,DATABASE!C:Q,4,false)</f>
        <v>GiTi</v>
      </c>
      <c r="R2555" s="93" t="str">
        <f>VLOOKUP(E2555,DATABASE!C:Q,11,false)</f>
        <v>Tire</v>
      </c>
    </row>
    <row r="2556" ht="22.5" customHeight="1">
      <c r="A2556" s="49"/>
      <c r="C2556" s="384">
        <v>45789.0</v>
      </c>
      <c r="D2556" s="65">
        <v>5619.0</v>
      </c>
      <c r="E2556" s="445" t="s">
        <v>268</v>
      </c>
      <c r="F2556" s="386">
        <v>2.0</v>
      </c>
      <c r="G2556" s="74">
        <v>700000.0</v>
      </c>
      <c r="H2556" s="74">
        <v>0.0</v>
      </c>
      <c r="I2556" s="74">
        <f t="shared" si="1"/>
        <v>1400000</v>
      </c>
      <c r="J2556" s="74">
        <f>IF(E2556="SERVICE",I2556-(I2556*50%),Vlookup(E2556,DATABASE!C:Q,10,false)*F2556)</f>
        <v>0</v>
      </c>
      <c r="K2556" s="74">
        <v>613000.0</v>
      </c>
      <c r="L2556" s="74">
        <v>613000.0</v>
      </c>
      <c r="M2556" s="74">
        <f t="shared" si="2"/>
        <v>615000</v>
      </c>
      <c r="N2556" s="74">
        <f t="shared" si="3"/>
        <v>170000</v>
      </c>
      <c r="O2556" s="65" t="str">
        <f>VLOOKUP(E2556,DATABASE!C:Q,8,false)</f>
        <v>IBU</v>
      </c>
      <c r="P2556" s="65">
        <f>VLOOKUP(E2556,DATABASE!C:Q,9,False)</f>
        <v>1</v>
      </c>
      <c r="Q2556" s="93" t="str">
        <f>VLOOKUP(E2556,DATABASE!C:Q,4,false)</f>
        <v>Dunlop</v>
      </c>
      <c r="R2556" s="93" t="str">
        <f>VLOOKUP(E2556,DATABASE!C:Q,11,false)</f>
        <v>Tire</v>
      </c>
    </row>
    <row r="2557" ht="22.5" customHeight="1">
      <c r="A2557" s="49"/>
      <c r="C2557" s="384">
        <v>45789.0</v>
      </c>
      <c r="D2557" s="65">
        <v>5620.0</v>
      </c>
      <c r="E2557" s="445" t="s">
        <v>932</v>
      </c>
      <c r="F2557" s="386">
        <v>2.0</v>
      </c>
      <c r="G2557" s="74">
        <v>670000.0</v>
      </c>
      <c r="H2557" s="74">
        <v>0.0</v>
      </c>
      <c r="I2557" s="74">
        <f t="shared" si="1"/>
        <v>1340000</v>
      </c>
      <c r="J2557" s="74">
        <f>IF(E2557="SERVICE",I2557-(I2557*50%),Vlookup(E2557,DATABASE!C:Q,10,false)*F2557)</f>
        <v>0</v>
      </c>
      <c r="K2557" s="74">
        <v>575000.0</v>
      </c>
      <c r="L2557" s="74">
        <v>575000.0</v>
      </c>
      <c r="M2557" s="74">
        <f t="shared" si="2"/>
        <v>575000</v>
      </c>
      <c r="N2557" s="74">
        <f t="shared" si="3"/>
        <v>190000</v>
      </c>
      <c r="O2557" s="65" t="str">
        <f>VLOOKUP(E2557,DATABASE!C:Q,8,false)</f>
        <v>IBU</v>
      </c>
      <c r="P2557" s="65">
        <f>VLOOKUP(E2557,DATABASE!C:Q,9,False)</f>
        <v>1</v>
      </c>
      <c r="Q2557" s="93" t="str">
        <f>VLOOKUP(E2557,DATABASE!C:Q,4,false)</f>
        <v>Dunlop</v>
      </c>
      <c r="R2557" s="93" t="str">
        <f>VLOOKUP(E2557,DATABASE!C:Q,11,false)</f>
        <v>Tire</v>
      </c>
    </row>
    <row r="2558" ht="22.5" customHeight="1">
      <c r="A2558" s="49"/>
      <c r="C2558" s="384">
        <v>45789.0</v>
      </c>
      <c r="D2558" s="65">
        <v>5621.0</v>
      </c>
      <c r="E2558" s="445" t="s">
        <v>695</v>
      </c>
      <c r="F2558" s="386">
        <v>1.0</v>
      </c>
      <c r="G2558" s="74">
        <v>650000.0</v>
      </c>
      <c r="H2558" s="74">
        <v>0.0</v>
      </c>
      <c r="I2558" s="74">
        <f t="shared" si="1"/>
        <v>650000</v>
      </c>
      <c r="J2558" s="74">
        <f>IF(E2558="SERVICE",I2558-(I2558*50%),Vlookup(E2558,DATABASE!C:Q,10,false)*F2558)</f>
        <v>0</v>
      </c>
      <c r="K2558" s="74">
        <f>VLOOKUP(E2558,DATABASE!C:Q,7,false)</f>
        <v>582000</v>
      </c>
      <c r="L2558" s="74">
        <v>570000.0</v>
      </c>
      <c r="M2558" s="74">
        <f t="shared" si="2"/>
        <v>570000</v>
      </c>
      <c r="N2558" s="74">
        <f t="shared" si="3"/>
        <v>80000</v>
      </c>
      <c r="O2558" s="65" t="str">
        <f>VLOOKUP(E2558,DATABASE!C:Q,8,false)</f>
        <v>IBU</v>
      </c>
      <c r="P2558" s="65">
        <f>VLOOKUP(E2558,DATABASE!C:Q,9,False)</f>
        <v>1</v>
      </c>
      <c r="Q2558" s="93" t="str">
        <f>VLOOKUP(E2558,DATABASE!C:Q,4,false)</f>
        <v>Dunlop</v>
      </c>
      <c r="R2558" s="93" t="str">
        <f>VLOOKUP(E2558,DATABASE!C:Q,11,false)</f>
        <v>Tire</v>
      </c>
    </row>
    <row r="2559" ht="22.5" customHeight="1">
      <c r="A2559" s="49"/>
      <c r="C2559" s="384">
        <v>45790.0</v>
      </c>
      <c r="D2559" s="65">
        <v>5622.0</v>
      </c>
      <c r="E2559" s="445" t="s">
        <v>937</v>
      </c>
      <c r="F2559" s="386">
        <v>4.0</v>
      </c>
      <c r="G2559" s="74">
        <v>900000.0</v>
      </c>
      <c r="H2559" s="74">
        <v>0.0</v>
      </c>
      <c r="I2559" s="74">
        <f t="shared" si="1"/>
        <v>3600000</v>
      </c>
      <c r="J2559" s="74">
        <f>IF(E2559="SERVICE",I2559-(I2559*50%),Vlookup(E2559,DATABASE!C:Q,10,false)*F2559)</f>
        <v>0</v>
      </c>
      <c r="K2559" s="74">
        <f>VLOOKUP(E2559,DATABASE!C:Q,7,false)</f>
        <v>825000</v>
      </c>
      <c r="L2559" s="74">
        <v>790000.0</v>
      </c>
      <c r="M2559" s="74">
        <f t="shared" si="2"/>
        <v>790000</v>
      </c>
      <c r="N2559" s="74">
        <f t="shared" si="3"/>
        <v>440000</v>
      </c>
      <c r="O2559" s="65" t="str">
        <f>VLOOKUP(E2559,DATABASE!C:Q,8,false)</f>
        <v>IBU</v>
      </c>
      <c r="P2559" s="65">
        <f>VLOOKUP(E2559,DATABASE!C:Q,9,False)</f>
        <v>1</v>
      </c>
      <c r="Q2559" s="93" t="str">
        <f>VLOOKUP(E2559,DATABASE!C:Q,4,false)</f>
        <v>Bridgestone</v>
      </c>
      <c r="R2559" s="93" t="str">
        <f>VLOOKUP(E2559,DATABASE!C:Q,11,false)</f>
        <v>Tire</v>
      </c>
    </row>
    <row r="2560" ht="22.5" customHeight="1">
      <c r="A2560" s="49"/>
      <c r="C2560" s="384">
        <v>45790.0</v>
      </c>
      <c r="D2560" s="65">
        <v>5623.0</v>
      </c>
      <c r="E2560" s="445" t="s">
        <v>932</v>
      </c>
      <c r="F2560" s="386">
        <v>1.0</v>
      </c>
      <c r="G2560" s="74">
        <v>670000.0</v>
      </c>
      <c r="H2560" s="74">
        <v>0.0</v>
      </c>
      <c r="I2560" s="74">
        <f t="shared" si="1"/>
        <v>670000</v>
      </c>
      <c r="J2560" s="74">
        <f>IF(E2560="SERVICE",I2560-(I2560*50%),Vlookup(E2560,DATABASE!C:Q,10,false)*F2560)</f>
        <v>0</v>
      </c>
      <c r="K2560" s="74">
        <v>575000.0</v>
      </c>
      <c r="L2560" s="74">
        <v>575000.0</v>
      </c>
      <c r="M2560" s="74">
        <f t="shared" si="2"/>
        <v>575000</v>
      </c>
      <c r="N2560" s="74">
        <f t="shared" si="3"/>
        <v>95000</v>
      </c>
      <c r="O2560" s="65" t="str">
        <f>VLOOKUP(E2560,DATABASE!C:Q,8,false)</f>
        <v>IBU</v>
      </c>
      <c r="P2560" s="65">
        <f>VLOOKUP(E2560,DATABASE!C:Q,9,False)</f>
        <v>1</v>
      </c>
      <c r="Q2560" s="93" t="str">
        <f>VLOOKUP(E2560,DATABASE!C:Q,4,false)</f>
        <v>Dunlop</v>
      </c>
      <c r="R2560" s="93" t="str">
        <f>VLOOKUP(E2560,DATABASE!C:Q,11,false)</f>
        <v>Tire</v>
      </c>
    </row>
    <row r="2561" ht="22.5" customHeight="1">
      <c r="A2561" s="49"/>
      <c r="C2561" s="384">
        <v>45790.0</v>
      </c>
      <c r="D2561" s="65">
        <v>5624.0</v>
      </c>
      <c r="E2561" s="445" t="s">
        <v>1009</v>
      </c>
      <c r="F2561" s="386">
        <v>1.0</v>
      </c>
      <c r="G2561" s="74">
        <v>700000.0</v>
      </c>
      <c r="H2561" s="74">
        <v>0.0</v>
      </c>
      <c r="I2561" s="74">
        <f t="shared" si="1"/>
        <v>700000</v>
      </c>
      <c r="J2561" s="74">
        <f>IF(E2561="SERVICE",I2561-(I2561*50%),Vlookup(E2561,DATABASE!C:Q,10,false)*F2561)</f>
        <v>0</v>
      </c>
      <c r="K2561" s="74">
        <f>VLOOKUP(E2561,DATABASE!C:Q,7,false)</f>
        <v>609800</v>
      </c>
      <c r="L2561" s="74">
        <v>592200.0</v>
      </c>
      <c r="M2561" s="74">
        <f t="shared" si="2"/>
        <v>595000</v>
      </c>
      <c r="N2561" s="74">
        <f t="shared" si="3"/>
        <v>105000</v>
      </c>
      <c r="O2561" s="65" t="str">
        <f>VLOOKUP(E2561,DATABASE!C:Q,8,false)</f>
        <v>BIAN</v>
      </c>
      <c r="P2561" s="65">
        <f>VLOOKUP(E2561,DATABASE!C:Q,9,False)</f>
        <v>1</v>
      </c>
      <c r="Q2561" s="93" t="str">
        <f>VLOOKUP(E2561,DATABASE!C:Q,4,false)</f>
        <v>GT</v>
      </c>
      <c r="R2561" s="93" t="str">
        <f>VLOOKUP(E2561,DATABASE!C:Q,11,false)</f>
        <v>Tire</v>
      </c>
    </row>
    <row r="2562" ht="22.5" customHeight="1">
      <c r="A2562" s="49"/>
      <c r="C2562" s="384">
        <v>45790.0</v>
      </c>
      <c r="D2562" s="65">
        <v>5625.0</v>
      </c>
      <c r="E2562" s="445" t="s">
        <v>554</v>
      </c>
      <c r="F2562" s="386">
        <v>2.0</v>
      </c>
      <c r="G2562" s="74">
        <v>800000.0</v>
      </c>
      <c r="H2562" s="74">
        <v>0.0</v>
      </c>
      <c r="I2562" s="74">
        <f t="shared" si="1"/>
        <v>1600000</v>
      </c>
      <c r="J2562" s="74">
        <f>IF(E2562="SERVICE",I2562-(I2562*50%),Vlookup(E2562,DATABASE!C:Q,10,false)*F2562)</f>
        <v>0</v>
      </c>
      <c r="K2562" s="74">
        <f>VLOOKUP(E2562,DATABASE!C:Q,7,false)</f>
        <v>710000</v>
      </c>
      <c r="L2562" s="74">
        <v>680000.0</v>
      </c>
      <c r="M2562" s="74">
        <f t="shared" si="2"/>
        <v>680000</v>
      </c>
      <c r="N2562" s="74">
        <f t="shared" si="3"/>
        <v>240000</v>
      </c>
      <c r="O2562" s="65" t="str">
        <f>VLOOKUP(E2562,DATABASE!C:Q,8,false)</f>
        <v>IBU</v>
      </c>
      <c r="P2562" s="65">
        <f>VLOOKUP(E2562,DATABASE!C:Q,9,False)</f>
        <v>1</v>
      </c>
      <c r="Q2562" s="93" t="str">
        <f>VLOOKUP(E2562,DATABASE!C:Q,4,false)</f>
        <v>Bridgestone</v>
      </c>
      <c r="R2562" s="93" t="str">
        <f>VLOOKUP(E2562,DATABASE!C:Q,11,false)</f>
        <v>Tire</v>
      </c>
    </row>
    <row r="2563" ht="22.5" customHeight="1">
      <c r="A2563" s="49"/>
      <c r="C2563" s="384">
        <v>45790.0</v>
      </c>
      <c r="D2563" s="65">
        <v>5626.0</v>
      </c>
      <c r="E2563" s="445" t="s">
        <v>265</v>
      </c>
      <c r="F2563" s="386">
        <v>2.0</v>
      </c>
      <c r="G2563" s="74">
        <v>670000.0</v>
      </c>
      <c r="H2563" s="74">
        <v>0.0</v>
      </c>
      <c r="I2563" s="74">
        <f t="shared" si="1"/>
        <v>1340000</v>
      </c>
      <c r="J2563" s="74">
        <f>IF(E2563="SERVICE",I2563-(I2563*50%),Vlookup(E2563,DATABASE!C:Q,10,false)*F2563)</f>
        <v>0</v>
      </c>
      <c r="K2563" s="74">
        <v>590000.0</v>
      </c>
      <c r="L2563" s="74">
        <v>590000.0</v>
      </c>
      <c r="M2563" s="74">
        <f t="shared" si="2"/>
        <v>590000</v>
      </c>
      <c r="N2563" s="74">
        <f t="shared" si="3"/>
        <v>160000</v>
      </c>
      <c r="O2563" s="65" t="str">
        <f>VLOOKUP(E2563,DATABASE!C:Q,8,false)</f>
        <v>IBU</v>
      </c>
      <c r="P2563" s="65">
        <f>VLOOKUP(E2563,DATABASE!C:Q,9,False)</f>
        <v>1</v>
      </c>
      <c r="Q2563" s="93" t="str">
        <f>VLOOKUP(E2563,DATABASE!C:Q,4,false)</f>
        <v>Dunlop</v>
      </c>
      <c r="R2563" s="93" t="str">
        <f>VLOOKUP(E2563,DATABASE!C:Q,11,false)</f>
        <v>Tire</v>
      </c>
    </row>
    <row r="2564" ht="22.5" customHeight="1">
      <c r="A2564" s="49"/>
      <c r="C2564" s="384">
        <v>45790.0</v>
      </c>
      <c r="D2564" s="65">
        <v>5627.0</v>
      </c>
      <c r="E2564" s="445" t="s">
        <v>275</v>
      </c>
      <c r="F2564" s="386">
        <v>2.0</v>
      </c>
      <c r="G2564" s="74">
        <v>830000.0</v>
      </c>
      <c r="H2564" s="74">
        <v>0.0</v>
      </c>
      <c r="I2564" s="74">
        <f t="shared" si="1"/>
        <v>1660000</v>
      </c>
      <c r="J2564" s="74">
        <f>IF(E2564="SERVICE",I2564-(I2564*50%),Vlookup(E2564,DATABASE!C:Q,10,false)*F2564)</f>
        <v>0</v>
      </c>
      <c r="K2564" s="74">
        <v>735000.0</v>
      </c>
      <c r="L2564" s="74">
        <v>735000.0</v>
      </c>
      <c r="M2564" s="74">
        <f t="shared" si="2"/>
        <v>735000</v>
      </c>
      <c r="N2564" s="74">
        <f t="shared" si="3"/>
        <v>190000</v>
      </c>
      <c r="O2564" s="65" t="str">
        <f>VLOOKUP(E2564,DATABASE!C:Q,8,false)</f>
        <v>IBU</v>
      </c>
      <c r="P2564" s="65">
        <f>VLOOKUP(E2564,DATABASE!C:Q,9,False)</f>
        <v>1</v>
      </c>
      <c r="Q2564" s="93" t="str">
        <f>VLOOKUP(E2564,DATABASE!C:Q,4,false)</f>
        <v>Dunlop</v>
      </c>
      <c r="R2564" s="93" t="str">
        <f>VLOOKUP(E2564,DATABASE!C:Q,11,false)</f>
        <v>Tire</v>
      </c>
    </row>
    <row r="2565" ht="22.5" customHeight="1">
      <c r="A2565" s="49"/>
      <c r="C2565" s="384">
        <v>45790.0</v>
      </c>
      <c r="D2565" s="65">
        <v>5628.0</v>
      </c>
      <c r="E2565" s="445" t="s">
        <v>246</v>
      </c>
      <c r="F2565" s="386">
        <v>4.0</v>
      </c>
      <c r="G2565" s="74">
        <v>50000.0</v>
      </c>
      <c r="H2565" s="74">
        <v>0.0</v>
      </c>
      <c r="I2565" s="74">
        <f t="shared" si="1"/>
        <v>200000</v>
      </c>
      <c r="J2565" s="74">
        <f>IF(E2565="SERVICE",I2565-(I2565*50%),Vlookup(E2565,DATABASE!C:Q,10,false)*F2565)</f>
        <v>0</v>
      </c>
      <c r="K2565" s="74">
        <f>VLOOKUP(E2565,DATABASE!C:Q,7,false)</f>
        <v>0</v>
      </c>
      <c r="L2565" s="74">
        <v>0.0</v>
      </c>
      <c r="M2565" s="74">
        <f t="shared" si="2"/>
        <v>0</v>
      </c>
      <c r="N2565" s="74">
        <f t="shared" si="3"/>
        <v>200000</v>
      </c>
      <c r="O2565" s="65" t="str">
        <f>VLOOKUP(E2565,DATABASE!C:Q,8,false)</f>
        <v>IBU</v>
      </c>
      <c r="P2565" s="65">
        <f>VLOOKUP(E2565,DATABASE!C:Q,9,False)</f>
        <v>0</v>
      </c>
      <c r="Q2565" s="93" t="str">
        <f>VLOOKUP(E2565,DATABASE!C:Q,4,false)</f>
        <v>Bongkar Pasang</v>
      </c>
      <c r="R2565" s="93" t="str">
        <f>VLOOKUP(E2565,DATABASE!C:Q,11,false)</f>
        <v>SERVICE</v>
      </c>
    </row>
    <row r="2566" ht="22.5" customHeight="1">
      <c r="A2566" s="49"/>
      <c r="C2566" s="384">
        <v>45790.0</v>
      </c>
      <c r="D2566" s="65">
        <v>5628.0</v>
      </c>
      <c r="E2566" s="445" t="s">
        <v>604</v>
      </c>
      <c r="F2566" s="386">
        <v>1.0</v>
      </c>
      <c r="G2566" s="74">
        <v>160000.0</v>
      </c>
      <c r="H2566" s="74">
        <v>0.0</v>
      </c>
      <c r="I2566" s="74">
        <f t="shared" si="1"/>
        <v>160000</v>
      </c>
      <c r="J2566" s="74">
        <f>IF(E2566="SERVICE",I2566-(I2566*50%),Vlookup(E2566,DATABASE!C:Q,10,false)*F2566)</f>
        <v>0</v>
      </c>
      <c r="K2566" s="74">
        <f>VLOOKUP(E2566,DATABASE!C:Q,7,false)</f>
        <v>124000</v>
      </c>
      <c r="L2566" s="74">
        <v>124000.0</v>
      </c>
      <c r="M2566" s="74">
        <f t="shared" si="2"/>
        <v>125000</v>
      </c>
      <c r="N2566" s="74">
        <f t="shared" si="3"/>
        <v>35000</v>
      </c>
      <c r="O2566" s="65" t="str">
        <f>VLOOKUP(E2566,DATABASE!C:Q,8,false)</f>
        <v>BIAN</v>
      </c>
      <c r="P2566" s="65">
        <f>VLOOKUP(E2566,DATABASE!C:Q,9,False)</f>
        <v>1</v>
      </c>
      <c r="Q2566" s="93" t="str">
        <f>VLOOKUP(E2566,DATABASE!C:Q,4,false)</f>
        <v>BD</v>
      </c>
      <c r="R2566" s="93" t="str">
        <f>VLOOKUP(E2566,DATABASE!C:Q,11,false)</f>
        <v>Tire</v>
      </c>
    </row>
    <row r="2567" ht="22.5" customHeight="1">
      <c r="A2567" s="49"/>
      <c r="C2567" s="384">
        <v>45790.0</v>
      </c>
      <c r="D2567" s="65">
        <v>5630.0</v>
      </c>
      <c r="E2567" s="445" t="s">
        <v>268</v>
      </c>
      <c r="F2567" s="386">
        <v>2.0</v>
      </c>
      <c r="G2567" s="74">
        <v>700000.0</v>
      </c>
      <c r="H2567" s="74">
        <v>0.0</v>
      </c>
      <c r="I2567" s="74">
        <f t="shared" si="1"/>
        <v>1400000</v>
      </c>
      <c r="J2567" s="74">
        <f>IF(E2567="SERVICE",I2567-(I2567*50%),Vlookup(E2567,DATABASE!C:Q,10,false)*F2567)</f>
        <v>0</v>
      </c>
      <c r="K2567" s="74">
        <v>613000.0</v>
      </c>
      <c r="L2567" s="74">
        <v>613000.0</v>
      </c>
      <c r="M2567" s="74">
        <f t="shared" si="2"/>
        <v>615000</v>
      </c>
      <c r="N2567" s="74">
        <f t="shared" si="3"/>
        <v>170000</v>
      </c>
      <c r="O2567" s="65" t="str">
        <f>VLOOKUP(E2567,DATABASE!C:Q,8,false)</f>
        <v>IBU</v>
      </c>
      <c r="P2567" s="65">
        <f>VLOOKUP(E2567,DATABASE!C:Q,9,False)</f>
        <v>1</v>
      </c>
      <c r="Q2567" s="93" t="str">
        <f>VLOOKUP(E2567,DATABASE!C:Q,4,false)</f>
        <v>Dunlop</v>
      </c>
      <c r="R2567" s="93" t="str">
        <f>VLOOKUP(E2567,DATABASE!C:Q,11,false)</f>
        <v>Tire</v>
      </c>
    </row>
    <row r="2568" ht="22.5" customHeight="1">
      <c r="A2568" s="49"/>
      <c r="C2568" s="384">
        <v>45790.0</v>
      </c>
      <c r="D2568" s="65">
        <v>5631.0</v>
      </c>
      <c r="E2568" s="445" t="s">
        <v>2122</v>
      </c>
      <c r="F2568" s="386">
        <v>2.0</v>
      </c>
      <c r="G2568" s="74">
        <v>1290000.0</v>
      </c>
      <c r="H2568" s="74">
        <v>0.0</v>
      </c>
      <c r="I2568" s="74">
        <f t="shared" si="1"/>
        <v>2580000</v>
      </c>
      <c r="J2568" s="74">
        <f>IF(E2568="SERVICE",I2568-(I2568*50%),Vlookup(E2568,DATABASE!C:Q,10,false)*F2568)</f>
        <v>0</v>
      </c>
      <c r="K2568" s="74">
        <f>VLOOKUP(E2568,DATABASE!C:Q,7,false)</f>
        <v>1325000</v>
      </c>
      <c r="L2568" s="74">
        <v>1170000.0</v>
      </c>
      <c r="M2568" s="74">
        <f t="shared" si="2"/>
        <v>1170000</v>
      </c>
      <c r="N2568" s="74">
        <f t="shared" si="3"/>
        <v>240000</v>
      </c>
      <c r="O2568" s="65" t="str">
        <f>VLOOKUP(E2568,DATABASE!C:Q,8,false)</f>
        <v>BIAN</v>
      </c>
      <c r="P2568" s="65">
        <f>VLOOKUP(E2568,DATABASE!C:Q,9,False)</f>
        <v>1</v>
      </c>
      <c r="Q2568" s="93" t="str">
        <f>VLOOKUP(E2568,DATABASE!C:Q,4,false)</f>
        <v>Michelin</v>
      </c>
      <c r="R2568" s="93" t="str">
        <f>VLOOKUP(E2568,DATABASE!C:Q,11,false)</f>
        <v>Tire</v>
      </c>
    </row>
    <row r="2569" ht="22.5" customHeight="1">
      <c r="A2569" s="49"/>
      <c r="C2569" s="384">
        <v>45790.0</v>
      </c>
      <c r="D2569" s="65">
        <v>5632.0</v>
      </c>
      <c r="E2569" s="445" t="s">
        <v>268</v>
      </c>
      <c r="F2569" s="386">
        <v>1.0</v>
      </c>
      <c r="G2569" s="74">
        <v>700000.0</v>
      </c>
      <c r="H2569" s="74">
        <v>0.0</v>
      </c>
      <c r="I2569" s="74">
        <f t="shared" si="1"/>
        <v>700000</v>
      </c>
      <c r="J2569" s="74">
        <f>IF(E2569="SERVICE",I2569-(I2569*50%),Vlookup(E2569,DATABASE!C:Q,10,false)*F2569)</f>
        <v>0</v>
      </c>
      <c r="K2569" s="74">
        <v>613000.0</v>
      </c>
      <c r="L2569" s="74">
        <v>613000.0</v>
      </c>
      <c r="M2569" s="74">
        <f t="shared" si="2"/>
        <v>615000</v>
      </c>
      <c r="N2569" s="74">
        <f t="shared" si="3"/>
        <v>85000</v>
      </c>
      <c r="O2569" s="65" t="str">
        <f>VLOOKUP(E2569,DATABASE!C:Q,8,false)</f>
        <v>IBU</v>
      </c>
      <c r="P2569" s="65">
        <f>VLOOKUP(E2569,DATABASE!C:Q,9,False)</f>
        <v>1</v>
      </c>
      <c r="Q2569" s="93" t="str">
        <f>VLOOKUP(E2569,DATABASE!C:Q,4,false)</f>
        <v>Dunlop</v>
      </c>
      <c r="R2569" s="93" t="str">
        <f>VLOOKUP(E2569,DATABASE!C:Q,11,false)</f>
        <v>Tire</v>
      </c>
    </row>
    <row r="2570" ht="22.5" customHeight="1">
      <c r="A2570" s="49"/>
      <c r="C2570" s="384">
        <v>45790.0</v>
      </c>
      <c r="D2570" s="65">
        <v>5633.0</v>
      </c>
      <c r="E2570" s="445" t="s">
        <v>652</v>
      </c>
      <c r="F2570" s="386">
        <v>1.0</v>
      </c>
      <c r="G2570" s="74">
        <v>260000.0</v>
      </c>
      <c r="H2570" s="74">
        <v>0.0</v>
      </c>
      <c r="I2570" s="74">
        <f t="shared" si="1"/>
        <v>260000</v>
      </c>
      <c r="J2570" s="74">
        <f>IF(E2570="SERVICE",I2570-(I2570*50%),Vlookup(E2570,DATABASE!C:Q,10,false)*F2570)</f>
        <v>0</v>
      </c>
      <c r="K2570" s="74">
        <f>VLOOKUP(E2570,DATABASE!C:Q,7,false)</f>
        <v>231268</v>
      </c>
      <c r="L2570" s="74">
        <v>227850.0</v>
      </c>
      <c r="M2570" s="74">
        <f t="shared" si="2"/>
        <v>230000</v>
      </c>
      <c r="N2570" s="74">
        <f t="shared" si="3"/>
        <v>30000</v>
      </c>
      <c r="O2570" s="65" t="str">
        <f>VLOOKUP(E2570,DATABASE!C:Q,8,false)</f>
        <v>IBU</v>
      </c>
      <c r="P2570" s="65">
        <f>VLOOKUP(E2570,DATABASE!C:Q,9,False)</f>
        <v>1</v>
      </c>
      <c r="Q2570" s="93" t="str">
        <f>VLOOKUP(E2570,DATABASE!C:Q,4,false)</f>
        <v>BD</v>
      </c>
      <c r="R2570" s="93" t="str">
        <f>VLOOKUP(E2570,DATABASE!C:Q,11,false)</f>
        <v>Tire</v>
      </c>
    </row>
    <row r="2571" ht="22.5" customHeight="1">
      <c r="A2571" s="49"/>
      <c r="C2571" s="384">
        <v>45790.0</v>
      </c>
      <c r="D2571" s="65">
        <v>5634.0</v>
      </c>
      <c r="E2571" s="445" t="s">
        <v>2060</v>
      </c>
      <c r="F2571" s="386">
        <v>1.0</v>
      </c>
      <c r="G2571" s="74">
        <v>620000.0</v>
      </c>
      <c r="H2571" s="74">
        <v>0.0</v>
      </c>
      <c r="I2571" s="74">
        <f t="shared" si="1"/>
        <v>620000</v>
      </c>
      <c r="J2571" s="74">
        <f>IF(E2571="SERVICE",I2571-(I2571*50%),Vlookup(E2571,DATABASE!C:Q,10,false)*F2571)</f>
        <v>0</v>
      </c>
      <c r="K2571" s="74">
        <f>VLOOKUP(E2571,DATABASE!C:Q,7,false)</f>
        <v>517000</v>
      </c>
      <c r="L2571" s="74">
        <v>517000.0</v>
      </c>
      <c r="M2571" s="74">
        <f t="shared" si="2"/>
        <v>520000</v>
      </c>
      <c r="N2571" s="74">
        <f t="shared" si="3"/>
        <v>100000</v>
      </c>
      <c r="O2571" s="65" t="str">
        <f>VLOOKUP(E2571,DATABASE!C:Q,8,false)</f>
        <v>BIAN</v>
      </c>
      <c r="P2571" s="65">
        <f>VLOOKUP(E2571,DATABASE!C:Q,9,False)</f>
        <v>1</v>
      </c>
      <c r="Q2571" s="93" t="str">
        <f>VLOOKUP(E2571,DATABASE!C:Q,4,false)</f>
        <v>HANKOOK</v>
      </c>
      <c r="R2571" s="93" t="str">
        <f>VLOOKUP(E2571,DATABASE!C:Q,11,false)</f>
        <v>Tire</v>
      </c>
    </row>
    <row r="2572" ht="22.5" customHeight="1">
      <c r="A2572" s="49"/>
      <c r="C2572" s="384">
        <v>45790.0</v>
      </c>
      <c r="D2572" s="65">
        <v>5635.0</v>
      </c>
      <c r="E2572" s="445" t="s">
        <v>2060</v>
      </c>
      <c r="F2572" s="386">
        <v>1.0</v>
      </c>
      <c r="G2572" s="74">
        <v>600000.0</v>
      </c>
      <c r="H2572" s="74">
        <v>0.0</v>
      </c>
      <c r="I2572" s="74">
        <f t="shared" si="1"/>
        <v>600000</v>
      </c>
      <c r="J2572" s="74">
        <f>IF(E2572="SERVICE",I2572-(I2572*50%),Vlookup(E2572,DATABASE!C:Q,10,false)*F2572)</f>
        <v>0</v>
      </c>
      <c r="K2572" s="74">
        <f>VLOOKUP(E2572,DATABASE!C:Q,7,false)</f>
        <v>517000</v>
      </c>
      <c r="L2572" s="74">
        <v>517000.0</v>
      </c>
      <c r="M2572" s="74">
        <f t="shared" si="2"/>
        <v>520000</v>
      </c>
      <c r="N2572" s="74">
        <f t="shared" si="3"/>
        <v>80000</v>
      </c>
      <c r="O2572" s="65" t="str">
        <f>VLOOKUP(E2572,DATABASE!C:Q,8,false)</f>
        <v>BIAN</v>
      </c>
      <c r="P2572" s="65">
        <f>VLOOKUP(E2572,DATABASE!C:Q,9,False)</f>
        <v>1</v>
      </c>
      <c r="Q2572" s="93" t="str">
        <f>VLOOKUP(E2572,DATABASE!C:Q,4,false)</f>
        <v>HANKOOK</v>
      </c>
      <c r="R2572" s="93" t="str">
        <f>VLOOKUP(E2572,DATABASE!C:Q,11,false)</f>
        <v>Tire</v>
      </c>
    </row>
    <row r="2573" ht="22.5" customHeight="1">
      <c r="A2573" s="49"/>
      <c r="C2573" s="384">
        <v>45790.0</v>
      </c>
      <c r="D2573" s="65">
        <v>5635.0</v>
      </c>
      <c r="E2573" s="445" t="s">
        <v>275</v>
      </c>
      <c r="F2573" s="386">
        <v>1.0</v>
      </c>
      <c r="G2573" s="74">
        <v>830000.0</v>
      </c>
      <c r="H2573" s="74">
        <v>0.0</v>
      </c>
      <c r="I2573" s="74">
        <f t="shared" si="1"/>
        <v>830000</v>
      </c>
      <c r="J2573" s="74">
        <f>IF(E2573="SERVICE",I2573-(I2573*50%),Vlookup(E2573,DATABASE!C:Q,10,false)*F2573)</f>
        <v>0</v>
      </c>
      <c r="K2573" s="74">
        <v>735000.0</v>
      </c>
      <c r="L2573" s="74">
        <v>735000.0</v>
      </c>
      <c r="M2573" s="74">
        <f t="shared" si="2"/>
        <v>735000</v>
      </c>
      <c r="N2573" s="74">
        <f t="shared" si="3"/>
        <v>95000</v>
      </c>
      <c r="O2573" s="65" t="str">
        <f>VLOOKUP(E2573,DATABASE!C:Q,8,false)</f>
        <v>IBU</v>
      </c>
      <c r="P2573" s="65">
        <f>VLOOKUP(E2573,DATABASE!C:Q,9,False)</f>
        <v>1</v>
      </c>
      <c r="Q2573" s="93" t="str">
        <f>VLOOKUP(E2573,DATABASE!C:Q,4,false)</f>
        <v>Dunlop</v>
      </c>
      <c r="R2573" s="93" t="str">
        <f>VLOOKUP(E2573,DATABASE!C:Q,11,false)</f>
        <v>Tire</v>
      </c>
    </row>
    <row r="2574" ht="22.5" customHeight="1">
      <c r="A2574" s="49"/>
      <c r="C2574" s="384">
        <v>45790.0</v>
      </c>
      <c r="D2574" s="65">
        <v>5635.0</v>
      </c>
      <c r="E2574" s="385" t="s">
        <v>299</v>
      </c>
      <c r="F2574" s="386">
        <v>2.0</v>
      </c>
      <c r="G2574" s="74">
        <v>30000.0</v>
      </c>
      <c r="H2574" s="74">
        <v>0.0</v>
      </c>
      <c r="I2574" s="74">
        <f t="shared" si="1"/>
        <v>60000</v>
      </c>
      <c r="J2574" s="74">
        <f>IF(E2574="SERVICE",I2574-(I2574*50%),Vlookup(E2574,DATABASE!C:Q,10,false)*F2574)</f>
        <v>0</v>
      </c>
      <c r="K2574" s="74">
        <v>0.0</v>
      </c>
      <c r="L2574" s="74">
        <v>0.0</v>
      </c>
      <c r="M2574" s="74">
        <f t="shared" si="2"/>
        <v>0</v>
      </c>
      <c r="N2574" s="74">
        <f t="shared" si="3"/>
        <v>60000</v>
      </c>
      <c r="O2574" s="65" t="str">
        <f>VLOOKUP(E2574,DATABASE!C:Q,8,false)</f>
        <v>BIAN</v>
      </c>
      <c r="P2574" s="65">
        <f>VLOOKUP(E2574,DATABASE!C:Q,9,False)</f>
        <v>0</v>
      </c>
      <c r="Q2574" s="93" t="str">
        <f>VLOOKUP(E2574,DATABASE!C:Q,4,false)</f>
        <v>Balancing</v>
      </c>
      <c r="R2574" s="93" t="str">
        <f>VLOOKUP(E2574,DATABASE!C:Q,11,false)</f>
        <v>COMPLEMENTARY</v>
      </c>
    </row>
    <row r="2575" ht="22.5" customHeight="1">
      <c r="A2575" s="49"/>
      <c r="C2575" s="384">
        <v>45791.0</v>
      </c>
      <c r="D2575" s="65">
        <v>5636.0</v>
      </c>
      <c r="E2575" s="445" t="s">
        <v>749</v>
      </c>
      <c r="F2575" s="386">
        <v>1.0</v>
      </c>
      <c r="G2575" s="74">
        <v>170000.0</v>
      </c>
      <c r="H2575" s="74">
        <v>0.0</v>
      </c>
      <c r="I2575" s="74">
        <f t="shared" si="1"/>
        <v>170000</v>
      </c>
      <c r="J2575" s="74">
        <f>IF(E2575="SERVICE",I2575-(I2575*50%),Vlookup(E2575,DATABASE!C:Q,10,false)*F2575)</f>
        <v>0</v>
      </c>
      <c r="K2575" s="74">
        <f>VLOOKUP(E2575,DATABASE!C:Q,7,false)</f>
        <v>140000</v>
      </c>
      <c r="L2575" s="74">
        <v>140000.0</v>
      </c>
      <c r="M2575" s="74">
        <f t="shared" si="2"/>
        <v>140000</v>
      </c>
      <c r="N2575" s="74">
        <f t="shared" si="3"/>
        <v>30000</v>
      </c>
      <c r="O2575" s="65" t="str">
        <f>VLOOKUP(E2575,DATABASE!C:Q,8,false)</f>
        <v>BIAN</v>
      </c>
      <c r="P2575" s="65">
        <f>VLOOKUP(E2575,DATABASE!C:Q,9,False)</f>
        <v>1</v>
      </c>
      <c r="Q2575" s="93" t="str">
        <f>VLOOKUP(E2575,DATABASE!C:Q,4,false)</f>
        <v>BD</v>
      </c>
      <c r="R2575" s="93" t="str">
        <f>VLOOKUP(E2575,DATABASE!C:Q,11,false)</f>
        <v>Tire</v>
      </c>
    </row>
    <row r="2576" ht="22.5" customHeight="1">
      <c r="A2576" s="49"/>
      <c r="C2576" s="384">
        <v>45791.0</v>
      </c>
      <c r="D2576" s="65">
        <v>5636.0</v>
      </c>
      <c r="E2576" s="445" t="s">
        <v>1209</v>
      </c>
      <c r="F2576" s="386">
        <v>1.0</v>
      </c>
      <c r="G2576" s="74">
        <v>65000.0</v>
      </c>
      <c r="H2576" s="74">
        <v>0.0</v>
      </c>
      <c r="I2576" s="74">
        <f t="shared" si="1"/>
        <v>65000</v>
      </c>
      <c r="J2576" s="74">
        <f>IF(E2576="SERVICE",I2576-(I2576*50%),Vlookup(E2576,DATABASE!C:Q,10,false)*F2576)</f>
        <v>0</v>
      </c>
      <c r="K2576" s="74">
        <f>VLOOKUP(E2576,DATABASE!C:Q,7,false)</f>
        <v>50000</v>
      </c>
      <c r="L2576" s="74">
        <v>50000.0</v>
      </c>
      <c r="M2576" s="74">
        <f t="shared" si="2"/>
        <v>50000</v>
      </c>
      <c r="N2576" s="74">
        <f t="shared" si="3"/>
        <v>15000</v>
      </c>
      <c r="O2576" s="65" t="str">
        <f>VLOOKUP(E2576,DATABASE!C:Q,8,false)</f>
        <v>BIAN</v>
      </c>
      <c r="P2576" s="65">
        <f>VLOOKUP(E2576,DATABASE!C:Q,9,False)</f>
        <v>1</v>
      </c>
      <c r="Q2576" s="93" t="str">
        <f>VLOOKUP(E2576,DATABASE!C:Q,4,false)</f>
        <v>Flap</v>
      </c>
      <c r="R2576" s="93" t="str">
        <f>VLOOKUP(E2576,DATABASE!C:Q,11,false)</f>
        <v>Tire</v>
      </c>
    </row>
    <row r="2577" ht="22.5" customHeight="1">
      <c r="A2577" s="49"/>
      <c r="C2577" s="384">
        <v>45791.0</v>
      </c>
      <c r="D2577" s="65">
        <v>5637.0</v>
      </c>
      <c r="E2577" s="445" t="s">
        <v>2050</v>
      </c>
      <c r="F2577" s="386">
        <v>1.0</v>
      </c>
      <c r="G2577" s="74">
        <v>600000.0</v>
      </c>
      <c r="H2577" s="74">
        <v>0.0</v>
      </c>
      <c r="I2577" s="74">
        <f t="shared" si="1"/>
        <v>600000</v>
      </c>
      <c r="J2577" s="74">
        <f>IF(E2577="SERVICE",I2577-(I2577*50%),Vlookup(E2577,DATABASE!C:Q,10,false)*F2577)</f>
        <v>0</v>
      </c>
      <c r="K2577" s="74">
        <f>VLOOKUP(E2577,DATABASE!C:Q,7,false)</f>
        <v>506000</v>
      </c>
      <c r="L2577" s="74">
        <v>506000.0</v>
      </c>
      <c r="M2577" s="74">
        <f t="shared" si="2"/>
        <v>510000</v>
      </c>
      <c r="N2577" s="74">
        <f t="shared" si="3"/>
        <v>90000</v>
      </c>
      <c r="O2577" s="65" t="str">
        <f>VLOOKUP(E2577,DATABASE!C:Q,8,false)</f>
        <v>BIAN</v>
      </c>
      <c r="P2577" s="65">
        <f>VLOOKUP(E2577,DATABASE!C:Q,9,False)</f>
        <v>1</v>
      </c>
      <c r="Q2577" s="93" t="str">
        <f>VLOOKUP(E2577,DATABASE!C:Q,4,false)</f>
        <v>HANKOOK</v>
      </c>
      <c r="R2577" s="93" t="str">
        <f>VLOOKUP(E2577,DATABASE!C:Q,11,false)</f>
        <v>Tire</v>
      </c>
    </row>
    <row r="2578" ht="22.5" customHeight="1">
      <c r="A2578" s="49"/>
      <c r="C2578" s="384">
        <v>45791.0</v>
      </c>
      <c r="D2578" s="65">
        <v>5637.0</v>
      </c>
      <c r="E2578" s="385" t="s">
        <v>299</v>
      </c>
      <c r="F2578" s="386">
        <v>2.0</v>
      </c>
      <c r="G2578" s="74">
        <v>30000.0</v>
      </c>
      <c r="H2578" s="74">
        <v>0.0</v>
      </c>
      <c r="I2578" s="74">
        <f t="shared" si="1"/>
        <v>60000</v>
      </c>
      <c r="J2578" s="74">
        <f>IF(E2578="SERVICE",I2578-(I2578*50%),Vlookup(E2578,DATABASE!C:Q,10,false)*F2578)</f>
        <v>0</v>
      </c>
      <c r="K2578" s="74">
        <v>0.0</v>
      </c>
      <c r="L2578" s="74">
        <v>0.0</v>
      </c>
      <c r="M2578" s="74">
        <f t="shared" si="2"/>
        <v>0</v>
      </c>
      <c r="N2578" s="74">
        <f t="shared" si="3"/>
        <v>60000</v>
      </c>
      <c r="O2578" s="65" t="str">
        <f>VLOOKUP(E2578,DATABASE!C:Q,8,false)</f>
        <v>BIAN</v>
      </c>
      <c r="P2578" s="65">
        <f>VLOOKUP(E2578,DATABASE!C:Q,9,False)</f>
        <v>0</v>
      </c>
      <c r="Q2578" s="93" t="str">
        <f>VLOOKUP(E2578,DATABASE!C:Q,4,false)</f>
        <v>Balancing</v>
      </c>
      <c r="R2578" s="93" t="str">
        <f>VLOOKUP(E2578,DATABASE!C:Q,11,false)</f>
        <v>COMPLEMENTARY</v>
      </c>
    </row>
    <row r="2579" ht="22.5" customHeight="1">
      <c r="A2579" s="49"/>
      <c r="C2579" s="384">
        <v>45791.0</v>
      </c>
      <c r="D2579" s="65">
        <v>5638.0</v>
      </c>
      <c r="E2579" s="445" t="s">
        <v>265</v>
      </c>
      <c r="F2579" s="386">
        <v>2.0</v>
      </c>
      <c r="G2579" s="74">
        <v>670000.0</v>
      </c>
      <c r="H2579" s="74">
        <v>0.0</v>
      </c>
      <c r="I2579" s="74">
        <f t="shared" si="1"/>
        <v>1340000</v>
      </c>
      <c r="J2579" s="74">
        <f>IF(E2579="SERVICE",I2579-(I2579*50%),Vlookup(E2579,DATABASE!C:Q,10,false)*F2579)</f>
        <v>0</v>
      </c>
      <c r="K2579" s="74">
        <v>590000.0</v>
      </c>
      <c r="L2579" s="74">
        <v>590000.0</v>
      </c>
      <c r="M2579" s="74">
        <f t="shared" si="2"/>
        <v>590000</v>
      </c>
      <c r="N2579" s="74">
        <f t="shared" si="3"/>
        <v>160000</v>
      </c>
      <c r="O2579" s="65" t="str">
        <f>VLOOKUP(E2579,DATABASE!C:Q,8,false)</f>
        <v>IBU</v>
      </c>
      <c r="P2579" s="65">
        <f>VLOOKUP(E2579,DATABASE!C:Q,9,False)</f>
        <v>1</v>
      </c>
      <c r="Q2579" s="93" t="str">
        <f>VLOOKUP(E2579,DATABASE!C:Q,4,false)</f>
        <v>Dunlop</v>
      </c>
      <c r="R2579" s="93" t="str">
        <f>VLOOKUP(E2579,DATABASE!C:Q,11,false)</f>
        <v>Tire</v>
      </c>
    </row>
    <row r="2580" ht="22.5" customHeight="1">
      <c r="A2580" s="49"/>
      <c r="C2580" s="384">
        <v>45791.0</v>
      </c>
      <c r="D2580" s="65">
        <v>5639.0</v>
      </c>
      <c r="E2580" s="445" t="s">
        <v>246</v>
      </c>
      <c r="F2580" s="386">
        <v>4.0</v>
      </c>
      <c r="G2580" s="74">
        <v>40000.0</v>
      </c>
      <c r="H2580" s="74">
        <v>0.0</v>
      </c>
      <c r="I2580" s="74">
        <f t="shared" si="1"/>
        <v>160000</v>
      </c>
      <c r="J2580" s="74">
        <f>IF(E2580="SERVICE",I2580-(I2580*50%),Vlookup(E2580,DATABASE!C:Q,10,false)*F2580)</f>
        <v>0</v>
      </c>
      <c r="K2580" s="74">
        <f>VLOOKUP(E2580,DATABASE!C:Q,7,false)</f>
        <v>0</v>
      </c>
      <c r="L2580" s="74">
        <v>0.0</v>
      </c>
      <c r="M2580" s="74">
        <f t="shared" si="2"/>
        <v>0</v>
      </c>
      <c r="N2580" s="74">
        <f t="shared" si="3"/>
        <v>160000</v>
      </c>
      <c r="O2580" s="65" t="str">
        <f>VLOOKUP(E2580,DATABASE!C:Q,8,false)</f>
        <v>IBU</v>
      </c>
      <c r="P2580" s="65">
        <f>VLOOKUP(E2580,DATABASE!C:Q,9,False)</f>
        <v>0</v>
      </c>
      <c r="Q2580" s="93" t="str">
        <f>VLOOKUP(E2580,DATABASE!C:Q,4,false)</f>
        <v>Bongkar Pasang</v>
      </c>
      <c r="R2580" s="93" t="str">
        <f>VLOOKUP(E2580,DATABASE!C:Q,11,false)</f>
        <v>SERVICE</v>
      </c>
    </row>
    <row r="2581" ht="22.5" customHeight="1">
      <c r="A2581" s="49"/>
      <c r="C2581" s="384">
        <v>45791.0</v>
      </c>
      <c r="D2581" s="65">
        <v>5639.0</v>
      </c>
      <c r="E2581" s="385" t="s">
        <v>299</v>
      </c>
      <c r="F2581" s="386">
        <v>2.0</v>
      </c>
      <c r="G2581" s="74">
        <v>30000.0</v>
      </c>
      <c r="H2581" s="74">
        <v>0.0</v>
      </c>
      <c r="I2581" s="74">
        <f t="shared" si="1"/>
        <v>60000</v>
      </c>
      <c r="J2581" s="74">
        <f>IF(E2581="SERVICE",I2581-(I2581*50%),Vlookup(E2581,DATABASE!C:Q,10,false)*F2581)</f>
        <v>0</v>
      </c>
      <c r="K2581" s="74">
        <v>0.0</v>
      </c>
      <c r="L2581" s="74">
        <v>0.0</v>
      </c>
      <c r="M2581" s="74">
        <f t="shared" si="2"/>
        <v>0</v>
      </c>
      <c r="N2581" s="74">
        <f t="shared" si="3"/>
        <v>60000</v>
      </c>
      <c r="O2581" s="65" t="str">
        <f>VLOOKUP(E2581,DATABASE!C:Q,8,false)</f>
        <v>BIAN</v>
      </c>
      <c r="P2581" s="65">
        <f>VLOOKUP(E2581,DATABASE!C:Q,9,False)</f>
        <v>0</v>
      </c>
      <c r="Q2581" s="93" t="str">
        <f>VLOOKUP(E2581,DATABASE!C:Q,4,false)</f>
        <v>Balancing</v>
      </c>
      <c r="R2581" s="93" t="str">
        <f>VLOOKUP(E2581,DATABASE!C:Q,11,false)</f>
        <v>COMPLEMENTARY</v>
      </c>
    </row>
    <row r="2582" ht="22.5" customHeight="1">
      <c r="A2582" s="49"/>
      <c r="C2582" s="384">
        <v>45791.0</v>
      </c>
      <c r="D2582" s="65">
        <v>5640.0</v>
      </c>
      <c r="E2582" s="445" t="s">
        <v>932</v>
      </c>
      <c r="F2582" s="386">
        <v>1.0</v>
      </c>
      <c r="G2582" s="74">
        <v>670000.0</v>
      </c>
      <c r="H2582" s="74">
        <v>0.0</v>
      </c>
      <c r="I2582" s="74">
        <f t="shared" si="1"/>
        <v>670000</v>
      </c>
      <c r="J2582" s="74">
        <f>IF(E2582="SERVICE",I2582-(I2582*50%),Vlookup(E2582,DATABASE!C:Q,10,false)*F2582)</f>
        <v>0</v>
      </c>
      <c r="K2582" s="74">
        <v>575000.0</v>
      </c>
      <c r="L2582" s="74">
        <v>575000.0</v>
      </c>
      <c r="M2582" s="74">
        <f t="shared" si="2"/>
        <v>575000</v>
      </c>
      <c r="N2582" s="74">
        <f t="shared" si="3"/>
        <v>95000</v>
      </c>
      <c r="O2582" s="65" t="str">
        <f>VLOOKUP(E2582,DATABASE!C:Q,8,false)</f>
        <v>IBU</v>
      </c>
      <c r="P2582" s="65">
        <f>VLOOKUP(E2582,DATABASE!C:Q,9,False)</f>
        <v>1</v>
      </c>
      <c r="Q2582" s="93" t="str">
        <f>VLOOKUP(E2582,DATABASE!C:Q,4,false)</f>
        <v>Dunlop</v>
      </c>
      <c r="R2582" s="93" t="str">
        <f>VLOOKUP(E2582,DATABASE!C:Q,11,false)</f>
        <v>Tire</v>
      </c>
    </row>
    <row r="2583" ht="22.5" customHeight="1">
      <c r="A2583" s="49"/>
      <c r="C2583" s="384">
        <v>45791.0</v>
      </c>
      <c r="D2583" s="65">
        <v>5641.0</v>
      </c>
      <c r="E2583" s="445" t="s">
        <v>275</v>
      </c>
      <c r="F2583" s="386">
        <v>4.0</v>
      </c>
      <c r="G2583" s="74">
        <v>825000.0</v>
      </c>
      <c r="H2583" s="74">
        <v>0.0</v>
      </c>
      <c r="I2583" s="74">
        <f t="shared" si="1"/>
        <v>3300000</v>
      </c>
      <c r="J2583" s="74">
        <f>IF(E2583="SERVICE",I2583-(I2583*50%),Vlookup(E2583,DATABASE!C:Q,10,false)*F2583)</f>
        <v>0</v>
      </c>
      <c r="K2583" s="74">
        <v>735000.0</v>
      </c>
      <c r="L2583" s="74">
        <v>735000.0</v>
      </c>
      <c r="M2583" s="74">
        <f t="shared" si="2"/>
        <v>735000</v>
      </c>
      <c r="N2583" s="74">
        <f t="shared" si="3"/>
        <v>360000</v>
      </c>
      <c r="O2583" s="65" t="str">
        <f>VLOOKUP(E2583,DATABASE!C:Q,8,false)</f>
        <v>IBU</v>
      </c>
      <c r="P2583" s="65">
        <f>VLOOKUP(E2583,DATABASE!C:Q,9,False)</f>
        <v>1</v>
      </c>
      <c r="Q2583" s="93" t="str">
        <f>VLOOKUP(E2583,DATABASE!C:Q,4,false)</f>
        <v>Dunlop</v>
      </c>
      <c r="R2583" s="93" t="str">
        <f>VLOOKUP(E2583,DATABASE!C:Q,11,false)</f>
        <v>Tire</v>
      </c>
    </row>
    <row r="2584" ht="22.5" customHeight="1">
      <c r="A2584" s="49"/>
      <c r="C2584" s="384">
        <v>45791.0</v>
      </c>
      <c r="D2584" s="65">
        <v>5643.0</v>
      </c>
      <c r="E2584" s="445" t="s">
        <v>554</v>
      </c>
      <c r="F2584" s="386">
        <v>1.0</v>
      </c>
      <c r="G2584" s="74">
        <v>800000.0</v>
      </c>
      <c r="H2584" s="74">
        <v>0.0</v>
      </c>
      <c r="I2584" s="74">
        <f t="shared" si="1"/>
        <v>800000</v>
      </c>
      <c r="J2584" s="74">
        <f>IF(E2584="SERVICE",I2584-(I2584*50%),Vlookup(E2584,DATABASE!C:Q,10,false)*F2584)</f>
        <v>0</v>
      </c>
      <c r="K2584" s="74">
        <f>VLOOKUP(E2584,DATABASE!C:Q,7,false)</f>
        <v>710000</v>
      </c>
      <c r="L2584" s="74">
        <v>680000.0</v>
      </c>
      <c r="M2584" s="74">
        <f t="shared" si="2"/>
        <v>680000</v>
      </c>
      <c r="N2584" s="74">
        <f t="shared" si="3"/>
        <v>120000</v>
      </c>
      <c r="O2584" s="65" t="str">
        <f>VLOOKUP(E2584,DATABASE!C:Q,8,false)</f>
        <v>IBU</v>
      </c>
      <c r="P2584" s="65">
        <f>VLOOKUP(E2584,DATABASE!C:Q,9,False)</f>
        <v>1</v>
      </c>
      <c r="Q2584" s="93" t="str">
        <f>VLOOKUP(E2584,DATABASE!C:Q,4,false)</f>
        <v>Bridgestone</v>
      </c>
      <c r="R2584" s="93" t="str">
        <f>VLOOKUP(E2584,DATABASE!C:Q,11,false)</f>
        <v>Tire</v>
      </c>
    </row>
    <row r="2585" ht="22.5" customHeight="1">
      <c r="A2585" s="49"/>
      <c r="C2585" s="384">
        <v>45791.0</v>
      </c>
      <c r="D2585" s="65">
        <v>5644.0</v>
      </c>
      <c r="E2585" s="445" t="s">
        <v>268</v>
      </c>
      <c r="F2585" s="386">
        <v>2.0</v>
      </c>
      <c r="G2585" s="74">
        <v>700000.0</v>
      </c>
      <c r="H2585" s="74">
        <v>0.0</v>
      </c>
      <c r="I2585" s="74">
        <f t="shared" si="1"/>
        <v>1400000</v>
      </c>
      <c r="J2585" s="74">
        <f>IF(E2585="SERVICE",I2585-(I2585*50%),Vlookup(E2585,DATABASE!C:Q,10,false)*F2585)</f>
        <v>0</v>
      </c>
      <c r="K2585" s="74">
        <v>613000.0</v>
      </c>
      <c r="L2585" s="74">
        <v>613000.0</v>
      </c>
      <c r="M2585" s="74">
        <f t="shared" si="2"/>
        <v>615000</v>
      </c>
      <c r="N2585" s="74">
        <f t="shared" si="3"/>
        <v>170000</v>
      </c>
      <c r="O2585" s="65" t="str">
        <f>VLOOKUP(E2585,DATABASE!C:Q,8,false)</f>
        <v>IBU</v>
      </c>
      <c r="P2585" s="65">
        <f>VLOOKUP(E2585,DATABASE!C:Q,9,False)</f>
        <v>1</v>
      </c>
      <c r="Q2585" s="93" t="str">
        <f>VLOOKUP(E2585,DATABASE!C:Q,4,false)</f>
        <v>Dunlop</v>
      </c>
      <c r="R2585" s="93" t="str">
        <f>VLOOKUP(E2585,DATABASE!C:Q,11,false)</f>
        <v>Tire</v>
      </c>
    </row>
    <row r="2586" ht="22.5" customHeight="1">
      <c r="A2586" s="49"/>
      <c r="C2586" s="384">
        <v>45791.0</v>
      </c>
      <c r="D2586" s="65">
        <v>5645.0</v>
      </c>
      <c r="E2586" s="445" t="s">
        <v>781</v>
      </c>
      <c r="F2586" s="386">
        <v>1.0</v>
      </c>
      <c r="G2586" s="74">
        <v>530000.0</v>
      </c>
      <c r="H2586" s="74">
        <v>0.0</v>
      </c>
      <c r="I2586" s="74">
        <f t="shared" si="1"/>
        <v>530000</v>
      </c>
      <c r="J2586" s="74">
        <f>IF(E2586="SERVICE",I2586-(I2586*50%),Vlookup(E2586,DATABASE!C:Q,10,false)*F2586)</f>
        <v>0</v>
      </c>
      <c r="K2586" s="74">
        <f>VLOOKUP(E2586,DATABASE!C:Q,7,false)</f>
        <v>470000</v>
      </c>
      <c r="L2586" s="74">
        <v>442500.0</v>
      </c>
      <c r="M2586" s="74">
        <f t="shared" si="2"/>
        <v>445000</v>
      </c>
      <c r="N2586" s="74">
        <f t="shared" si="3"/>
        <v>85000</v>
      </c>
      <c r="O2586" s="65" t="str">
        <f>VLOOKUP(E2586,DATABASE!C:Q,8,false)</f>
        <v>BIAN</v>
      </c>
      <c r="P2586" s="65">
        <f>VLOOKUP(E2586,DATABASE!C:Q,9,False)</f>
        <v>1</v>
      </c>
      <c r="Q2586" s="93" t="str">
        <f>VLOOKUP(E2586,DATABASE!C:Q,4,false)</f>
        <v>GT</v>
      </c>
      <c r="R2586" s="93" t="str">
        <f>VLOOKUP(E2586,DATABASE!C:Q,11,false)</f>
        <v>Tire</v>
      </c>
    </row>
    <row r="2587" ht="22.5" customHeight="1">
      <c r="A2587" s="49"/>
      <c r="C2587" s="384">
        <v>45791.0</v>
      </c>
      <c r="D2587" s="65">
        <v>5645.0</v>
      </c>
      <c r="E2587" s="445" t="s">
        <v>569</v>
      </c>
      <c r="F2587" s="386">
        <v>1.0</v>
      </c>
      <c r="G2587" s="74">
        <v>80000.0</v>
      </c>
      <c r="H2587" s="74">
        <v>0.0</v>
      </c>
      <c r="I2587" s="74">
        <f t="shared" si="1"/>
        <v>80000</v>
      </c>
      <c r="J2587" s="74">
        <f>IF(E2587="SERVICE",I2587-(I2587*50%),Vlookup(E2587,DATABASE!C:Q,10,false)*F2587)</f>
        <v>0</v>
      </c>
      <c r="K2587" s="74">
        <f>VLOOKUP(E2587,DATABASE!C:Q,7,false)</f>
        <v>45439.582</v>
      </c>
      <c r="L2587" s="74">
        <v>45309.6</v>
      </c>
      <c r="M2587" s="74">
        <f t="shared" si="2"/>
        <v>50000</v>
      </c>
      <c r="N2587" s="74">
        <f t="shared" si="3"/>
        <v>30000</v>
      </c>
      <c r="O2587" s="65" t="str">
        <f>VLOOKUP(E2587,DATABASE!C:Q,8,false)</f>
        <v>BIAN</v>
      </c>
      <c r="P2587" s="65">
        <f>VLOOKUP(E2587,DATABASE!C:Q,9,False)</f>
        <v>1</v>
      </c>
      <c r="Q2587" s="93" t="str">
        <f>VLOOKUP(E2587,DATABASE!C:Q,4,false)</f>
        <v>BD</v>
      </c>
      <c r="R2587" s="93" t="str">
        <f>VLOOKUP(E2587,DATABASE!C:Q,11,false)</f>
        <v>Tire</v>
      </c>
    </row>
    <row r="2588" ht="22.5" customHeight="1">
      <c r="A2588" s="49"/>
      <c r="C2588" s="384">
        <v>45791.0</v>
      </c>
      <c r="D2588" s="65">
        <v>5647.0</v>
      </c>
      <c r="E2588" s="445" t="s">
        <v>265</v>
      </c>
      <c r="F2588" s="386">
        <v>1.0</v>
      </c>
      <c r="G2588" s="74">
        <v>670000.0</v>
      </c>
      <c r="H2588" s="74">
        <v>0.0</v>
      </c>
      <c r="I2588" s="74">
        <f t="shared" si="1"/>
        <v>670000</v>
      </c>
      <c r="J2588" s="74">
        <f>IF(E2588="SERVICE",I2588-(I2588*50%),Vlookup(E2588,DATABASE!C:Q,10,false)*F2588)</f>
        <v>0</v>
      </c>
      <c r="K2588" s="74">
        <v>590000.0</v>
      </c>
      <c r="L2588" s="74">
        <v>590000.0</v>
      </c>
      <c r="M2588" s="74">
        <f t="shared" si="2"/>
        <v>590000</v>
      </c>
      <c r="N2588" s="74">
        <f t="shared" si="3"/>
        <v>80000</v>
      </c>
      <c r="O2588" s="65" t="str">
        <f>VLOOKUP(E2588,DATABASE!C:Q,8,false)</f>
        <v>IBU</v>
      </c>
      <c r="P2588" s="65">
        <f>VLOOKUP(E2588,DATABASE!C:Q,9,False)</f>
        <v>1</v>
      </c>
      <c r="Q2588" s="93" t="str">
        <f>VLOOKUP(E2588,DATABASE!C:Q,4,false)</f>
        <v>Dunlop</v>
      </c>
      <c r="R2588" s="93" t="str">
        <f>VLOOKUP(E2588,DATABASE!C:Q,11,false)</f>
        <v>Tire</v>
      </c>
    </row>
    <row r="2589" ht="22.5" customHeight="1">
      <c r="A2589" s="49"/>
      <c r="C2589" s="384">
        <v>45791.0</v>
      </c>
      <c r="D2589" s="65">
        <v>5648.0</v>
      </c>
      <c r="E2589" s="445" t="s">
        <v>1951</v>
      </c>
      <c r="F2589" s="386">
        <v>4.0</v>
      </c>
      <c r="G2589" s="74">
        <v>840000.0</v>
      </c>
      <c r="H2589" s="74">
        <v>0.0</v>
      </c>
      <c r="I2589" s="74">
        <f t="shared" si="1"/>
        <v>3360000</v>
      </c>
      <c r="J2589" s="74">
        <f>IF(E2589="SERVICE",I2589-(I2589*50%),Vlookup(E2589,DATABASE!C:Q,10,false)*F2589)</f>
        <v>0</v>
      </c>
      <c r="K2589" s="74">
        <f>VLOOKUP(E2589,DATABASE!C:Q,7,false)</f>
        <v>757300</v>
      </c>
      <c r="L2589" s="74">
        <v>757300.0</v>
      </c>
      <c r="M2589" s="74">
        <f t="shared" si="2"/>
        <v>760000</v>
      </c>
      <c r="N2589" s="74">
        <f t="shared" si="3"/>
        <v>320000</v>
      </c>
      <c r="O2589" s="65" t="str">
        <f>VLOOKUP(E2589,DATABASE!C:Q,8,false)</f>
        <v>BIAN</v>
      </c>
      <c r="P2589" s="65">
        <f>VLOOKUP(E2589,DATABASE!C:Q,9,False)</f>
        <v>1</v>
      </c>
      <c r="Q2589" s="93" t="str">
        <f>VLOOKUP(E2589,DATABASE!C:Q,4,false)</f>
        <v>GT</v>
      </c>
      <c r="R2589" s="93" t="str">
        <f>VLOOKUP(E2589,DATABASE!C:Q,11,false)</f>
        <v>Tire</v>
      </c>
    </row>
    <row r="2590" ht="22.5" customHeight="1">
      <c r="A2590" s="49"/>
      <c r="C2590" s="384">
        <v>45792.0</v>
      </c>
      <c r="D2590" s="65">
        <v>5649.0</v>
      </c>
      <c r="E2590" s="445" t="s">
        <v>391</v>
      </c>
      <c r="F2590" s="386">
        <v>2.0</v>
      </c>
      <c r="G2590" s="74">
        <v>1950000.0</v>
      </c>
      <c r="H2590" s="74">
        <v>0.0</v>
      </c>
      <c r="I2590" s="74">
        <f t="shared" si="1"/>
        <v>3900000</v>
      </c>
      <c r="J2590" s="74">
        <f>IF(E2590="SERVICE",I2590-(I2590*50%),Vlookup(E2590,DATABASE!C:Q,10,false)*F2590)</f>
        <v>0</v>
      </c>
      <c r="K2590" s="74">
        <f>VLOOKUP(E2590,DATABASE!C:Q,7,false)</f>
        <v>1885000</v>
      </c>
      <c r="L2590" s="74">
        <v>1840000.0</v>
      </c>
      <c r="M2590" s="74">
        <f t="shared" si="2"/>
        <v>1840000</v>
      </c>
      <c r="N2590" s="74">
        <f t="shared" si="3"/>
        <v>220000</v>
      </c>
      <c r="O2590" s="65" t="str">
        <f>VLOOKUP(E2590,DATABASE!C:Q,8,false)</f>
        <v>BIAN</v>
      </c>
      <c r="P2590" s="65">
        <f>VLOOKUP(E2590,DATABASE!C:Q,9,False)</f>
        <v>1</v>
      </c>
      <c r="Q2590" s="93" t="str">
        <f>VLOOKUP(E2590,DATABASE!C:Q,4,false)</f>
        <v>Advance</v>
      </c>
      <c r="R2590" s="93" t="str">
        <f>VLOOKUP(E2590,DATABASE!C:Q,11,false)</f>
        <v>Tire</v>
      </c>
    </row>
    <row r="2591" ht="22.5" customHeight="1">
      <c r="A2591" s="49"/>
      <c r="C2591" s="384">
        <v>45792.0</v>
      </c>
      <c r="D2591" s="65">
        <v>5650.0</v>
      </c>
      <c r="E2591" s="445" t="s">
        <v>614</v>
      </c>
      <c r="F2591" s="386">
        <v>1.0</v>
      </c>
      <c r="G2591" s="74">
        <v>870000.0</v>
      </c>
      <c r="H2591" s="74">
        <v>0.0</v>
      </c>
      <c r="I2591" s="74">
        <f t="shared" si="1"/>
        <v>870000</v>
      </c>
      <c r="J2591" s="74">
        <f>IF(E2591="SERVICE",I2591-(I2591*50%),Vlookup(E2591,DATABASE!C:Q,10,false)*F2591)</f>
        <v>0</v>
      </c>
      <c r="K2591" s="74">
        <f>VLOOKUP(E2591,DATABASE!C:Q,7,false)</f>
        <v>754660.6</v>
      </c>
      <c r="L2591" s="74">
        <v>766438.4</v>
      </c>
      <c r="M2591" s="74">
        <f t="shared" si="2"/>
        <v>770000</v>
      </c>
      <c r="N2591" s="74">
        <f t="shared" si="3"/>
        <v>100000</v>
      </c>
      <c r="O2591" s="65" t="str">
        <f>VLOOKUP(E2591,DATABASE!C:Q,8,false)</f>
        <v>IBU</v>
      </c>
      <c r="P2591" s="65">
        <f>VLOOKUP(E2591,DATABASE!C:Q,9,False)</f>
        <v>1</v>
      </c>
      <c r="Q2591" s="93" t="str">
        <f>VLOOKUP(E2591,DATABASE!C:Q,4,false)</f>
        <v>Bridgestone</v>
      </c>
      <c r="R2591" s="93" t="str">
        <f>VLOOKUP(E2591,DATABASE!C:Q,11,false)</f>
        <v>Tire</v>
      </c>
    </row>
    <row r="2592" ht="22.5" customHeight="1">
      <c r="A2592" s="49"/>
      <c r="C2592" s="384">
        <v>45792.0</v>
      </c>
      <c r="D2592" s="65">
        <v>5651.0</v>
      </c>
      <c r="E2592" s="445" t="s">
        <v>1258</v>
      </c>
      <c r="F2592" s="386">
        <v>1.0</v>
      </c>
      <c r="G2592" s="74">
        <v>1320000.0</v>
      </c>
      <c r="H2592" s="74">
        <v>0.0</v>
      </c>
      <c r="I2592" s="74">
        <f t="shared" si="1"/>
        <v>1320000</v>
      </c>
      <c r="J2592" s="74">
        <f>IF(E2592="SERVICE",I2592-(I2592*50%),Vlookup(E2592,DATABASE!C:Q,10,false)*F2592)</f>
        <v>0</v>
      </c>
      <c r="K2592" s="74">
        <f>VLOOKUP(E2592,DATABASE!C:Q,7,false)</f>
        <v>1198000</v>
      </c>
      <c r="L2592" s="74">
        <v>1198000.0</v>
      </c>
      <c r="M2592" s="74">
        <f t="shared" si="2"/>
        <v>1200000</v>
      </c>
      <c r="N2592" s="74">
        <f t="shared" si="3"/>
        <v>120000</v>
      </c>
      <c r="O2592" s="65" t="str">
        <f>VLOOKUP(E2592,DATABASE!C:Q,8,false)</f>
        <v>IBU</v>
      </c>
      <c r="P2592" s="65">
        <f>VLOOKUP(E2592,DATABASE!C:Q,9,False)</f>
        <v>1</v>
      </c>
      <c r="Q2592" s="93" t="str">
        <f>VLOOKUP(E2592,DATABASE!C:Q,4,false)</f>
        <v>Bridgestone</v>
      </c>
      <c r="R2592" s="93" t="str">
        <f>VLOOKUP(E2592,DATABASE!C:Q,11,false)</f>
        <v>Tire</v>
      </c>
    </row>
    <row r="2593" ht="22.5" customHeight="1">
      <c r="A2593" s="49"/>
      <c r="C2593" s="384">
        <v>45792.0</v>
      </c>
      <c r="D2593" s="65">
        <v>5652.0</v>
      </c>
      <c r="E2593" s="445" t="s">
        <v>605</v>
      </c>
      <c r="F2593" s="386">
        <v>2.0</v>
      </c>
      <c r="G2593" s="74">
        <v>760000.0</v>
      </c>
      <c r="H2593" s="74">
        <v>0.0</v>
      </c>
      <c r="I2593" s="74">
        <f t="shared" si="1"/>
        <v>1520000</v>
      </c>
      <c r="J2593" s="74">
        <f>IF(E2593="SERVICE",I2593-(I2593*50%),Vlookup(E2593,DATABASE!C:Q,10,false)*F2593)</f>
        <v>0</v>
      </c>
      <c r="K2593" s="74">
        <v>670000.0</v>
      </c>
      <c r="L2593" s="74">
        <v>670000.0</v>
      </c>
      <c r="M2593" s="74">
        <f t="shared" si="2"/>
        <v>670000</v>
      </c>
      <c r="N2593" s="74">
        <f t="shared" si="3"/>
        <v>180000</v>
      </c>
      <c r="O2593" s="65" t="str">
        <f>VLOOKUP(E2593,DATABASE!C:Q,8,false)</f>
        <v>IBU</v>
      </c>
      <c r="P2593" s="65">
        <f>VLOOKUP(E2593,DATABASE!C:Q,9,False)</f>
        <v>1</v>
      </c>
      <c r="Q2593" s="93" t="str">
        <f>VLOOKUP(E2593,DATABASE!C:Q,4,false)</f>
        <v>Bridgestone</v>
      </c>
      <c r="R2593" s="93" t="str">
        <f>VLOOKUP(E2593,DATABASE!C:Q,11,false)</f>
        <v>Tire</v>
      </c>
    </row>
    <row r="2594" ht="22.5" customHeight="1">
      <c r="A2594" s="49"/>
      <c r="C2594" s="384">
        <v>45792.0</v>
      </c>
      <c r="D2594" s="65">
        <v>5653.0</v>
      </c>
      <c r="E2594" s="445" t="s">
        <v>262</v>
      </c>
      <c r="F2594" s="386">
        <v>1.0</v>
      </c>
      <c r="G2594" s="74">
        <v>100000.0</v>
      </c>
      <c r="H2594" s="74">
        <v>0.0</v>
      </c>
      <c r="I2594" s="74">
        <f t="shared" si="1"/>
        <v>100000</v>
      </c>
      <c r="J2594" s="74">
        <f>IF(E2594="SERVICE",I2594-(I2594*50%),Vlookup(E2594,DATABASE!C:Q,10,false)*F2594)</f>
        <v>5000</v>
      </c>
      <c r="K2594" s="74">
        <f>VLOOKUP(E2594,DATABASE!C:Q,7,false)</f>
        <v>0</v>
      </c>
      <c r="L2594" s="74">
        <v>0.0</v>
      </c>
      <c r="M2594" s="74">
        <f t="shared" si="2"/>
        <v>0</v>
      </c>
      <c r="N2594" s="74">
        <f t="shared" si="3"/>
        <v>95000</v>
      </c>
      <c r="O2594" s="65" t="str">
        <f>VLOOKUP(E2594,DATABASE!C:Q,8,false)</f>
        <v>IBU</v>
      </c>
      <c r="P2594" s="65">
        <f>VLOOKUP(E2594,DATABASE!C:Q,9,False)</f>
        <v>0</v>
      </c>
      <c r="Q2594" s="93" t="str">
        <f>VLOOKUP(E2594,DATABASE!C:Q,4,false)</f>
        <v>SPOORING SS/CARRY LOS BAK</v>
      </c>
      <c r="R2594" s="93" t="str">
        <f>VLOOKUP(E2594,DATABASE!C:Q,11,false)</f>
        <v>SERVICE</v>
      </c>
    </row>
    <row r="2595" ht="22.5" customHeight="1">
      <c r="A2595" s="49"/>
      <c r="C2595" s="384">
        <v>45792.0</v>
      </c>
      <c r="D2595" s="65">
        <v>5653.0</v>
      </c>
      <c r="E2595" s="445" t="s">
        <v>251</v>
      </c>
      <c r="F2595" s="386">
        <v>1.0</v>
      </c>
      <c r="G2595" s="74">
        <v>150000.0</v>
      </c>
      <c r="H2595" s="74">
        <v>0.0</v>
      </c>
      <c r="I2595" s="74">
        <f t="shared" si="1"/>
        <v>150000</v>
      </c>
      <c r="J2595" s="74">
        <f>IF(E2595="SERVICE",I2595-(I2595*50%),Vlookup(E2595,DATABASE!C:Q,10,false)*F2595)</f>
        <v>75000</v>
      </c>
      <c r="K2595" s="74">
        <f>VLOOKUP(E2595,DATABASE!C:Q,7,false)</f>
        <v>0</v>
      </c>
      <c r="L2595" s="74">
        <v>0.0</v>
      </c>
      <c r="M2595" s="74">
        <f t="shared" si="2"/>
        <v>0</v>
      </c>
      <c r="N2595" s="74">
        <f t="shared" si="3"/>
        <v>75000</v>
      </c>
      <c r="O2595" s="65" t="str">
        <f>VLOOKUP(E2595,DATABASE!C:Q,8,false)</f>
        <v>IBU</v>
      </c>
      <c r="P2595" s="65">
        <f>VLOOKUP(E2595,DATABASE!C:Q,9,False)</f>
        <v>0</v>
      </c>
      <c r="Q2595" s="93" t="str">
        <f>VLOOKUP(E2595,DATABASE!C:Q,4,false)</f>
        <v>SERVICE</v>
      </c>
      <c r="R2595" s="93" t="str">
        <f>VLOOKUP(E2595,DATABASE!C:Q,11,false)</f>
        <v>SERVICE</v>
      </c>
    </row>
    <row r="2596" ht="22.5" customHeight="1">
      <c r="A2596" s="49"/>
      <c r="C2596" s="384">
        <v>45792.0</v>
      </c>
      <c r="D2596" s="65">
        <v>5654.0</v>
      </c>
      <c r="E2596" s="445" t="s">
        <v>256</v>
      </c>
      <c r="F2596" s="386">
        <v>1.0</v>
      </c>
      <c r="G2596" s="74">
        <v>130000.0</v>
      </c>
      <c r="H2596" s="74">
        <v>0.0</v>
      </c>
      <c r="I2596" s="74">
        <f t="shared" si="1"/>
        <v>130000</v>
      </c>
      <c r="J2596" s="74">
        <f>IF(E2596="SERVICE",I2596-(I2596*50%),Vlookup(E2596,DATABASE!C:Q,10,false)*F2596)</f>
        <v>10000</v>
      </c>
      <c r="K2596" s="74">
        <f>VLOOKUP(E2596,DATABASE!C:Q,7,false)</f>
        <v>0</v>
      </c>
      <c r="L2596" s="74">
        <v>0.0</v>
      </c>
      <c r="M2596" s="74">
        <f t="shared" si="2"/>
        <v>0</v>
      </c>
      <c r="N2596" s="74">
        <f t="shared" si="3"/>
        <v>120000</v>
      </c>
      <c r="O2596" s="65" t="str">
        <f>VLOOKUP(E2596,DATABASE!C:Q,8,false)</f>
        <v>IBU</v>
      </c>
      <c r="P2596" s="65">
        <f>VLOOKUP(E2596,DATABASE!C:Q,9,False)</f>
        <v>0</v>
      </c>
      <c r="Q2596" s="93" t="str">
        <f>VLOOKUP(E2596,DATABASE!C:Q,4,false)</f>
        <v>SPOORING</v>
      </c>
      <c r="R2596" s="93" t="str">
        <f>VLOOKUP(E2596,DATABASE!C:Q,11,false)</f>
        <v>SERVICE</v>
      </c>
    </row>
    <row r="2597" ht="22.5" customHeight="1">
      <c r="A2597" s="49"/>
      <c r="C2597" s="384">
        <v>45792.0</v>
      </c>
      <c r="D2597" s="65">
        <v>5654.0</v>
      </c>
      <c r="E2597" s="445" t="s">
        <v>251</v>
      </c>
      <c r="F2597" s="386">
        <v>1.0</v>
      </c>
      <c r="G2597" s="74">
        <v>150000.0</v>
      </c>
      <c r="H2597" s="74">
        <v>0.0</v>
      </c>
      <c r="I2597" s="74">
        <f t="shared" si="1"/>
        <v>150000</v>
      </c>
      <c r="J2597" s="74">
        <f>IF(E2597="SERVICE",I2597-(I2597*50%),Vlookup(E2597,DATABASE!C:Q,10,false)*F2597)</f>
        <v>75000</v>
      </c>
      <c r="K2597" s="74">
        <f>VLOOKUP(E2597,DATABASE!C:Q,7,false)</f>
        <v>0</v>
      </c>
      <c r="L2597" s="74">
        <v>0.0</v>
      </c>
      <c r="M2597" s="74">
        <f t="shared" si="2"/>
        <v>0</v>
      </c>
      <c r="N2597" s="74">
        <f t="shared" si="3"/>
        <v>75000</v>
      </c>
      <c r="O2597" s="65" t="str">
        <f>VLOOKUP(E2597,DATABASE!C:Q,8,false)</f>
        <v>IBU</v>
      </c>
      <c r="P2597" s="65">
        <f>VLOOKUP(E2597,DATABASE!C:Q,9,False)</f>
        <v>0</v>
      </c>
      <c r="Q2597" s="93" t="str">
        <f>VLOOKUP(E2597,DATABASE!C:Q,4,false)</f>
        <v>SERVICE</v>
      </c>
      <c r="R2597" s="93" t="str">
        <f>VLOOKUP(E2597,DATABASE!C:Q,11,false)</f>
        <v>SERVICE</v>
      </c>
    </row>
    <row r="2598" ht="22.5" customHeight="1">
      <c r="A2598" s="49"/>
      <c r="C2598" s="384">
        <v>45792.0</v>
      </c>
      <c r="D2598" s="65">
        <v>5655.0</v>
      </c>
      <c r="E2598" s="445" t="s">
        <v>246</v>
      </c>
      <c r="F2598" s="386">
        <v>2.0</v>
      </c>
      <c r="G2598" s="74">
        <v>30000.0</v>
      </c>
      <c r="H2598" s="74">
        <v>0.0</v>
      </c>
      <c r="I2598" s="74">
        <f t="shared" si="1"/>
        <v>60000</v>
      </c>
      <c r="J2598" s="74">
        <f>IF(E2598="SERVICE",I2598-(I2598*50%),Vlookup(E2598,DATABASE!C:Q,10,false)*F2598)</f>
        <v>0</v>
      </c>
      <c r="K2598" s="74">
        <f>VLOOKUP(E2598,DATABASE!C:Q,7,false)</f>
        <v>0</v>
      </c>
      <c r="L2598" s="74">
        <v>0.0</v>
      </c>
      <c r="M2598" s="74">
        <f t="shared" si="2"/>
        <v>0</v>
      </c>
      <c r="N2598" s="74">
        <f t="shared" si="3"/>
        <v>60000</v>
      </c>
      <c r="O2598" s="65" t="str">
        <f>VLOOKUP(E2598,DATABASE!C:Q,8,false)</f>
        <v>IBU</v>
      </c>
      <c r="P2598" s="65">
        <f>VLOOKUP(E2598,DATABASE!C:Q,9,False)</f>
        <v>0</v>
      </c>
      <c r="Q2598" s="93" t="str">
        <f>VLOOKUP(E2598,DATABASE!C:Q,4,false)</f>
        <v>Bongkar Pasang</v>
      </c>
      <c r="R2598" s="93" t="str">
        <f>VLOOKUP(E2598,DATABASE!C:Q,11,false)</f>
        <v>SERVICE</v>
      </c>
    </row>
    <row r="2599" ht="22.5" customHeight="1">
      <c r="A2599" s="49"/>
      <c r="C2599" s="384">
        <v>45792.0</v>
      </c>
      <c r="D2599" s="65">
        <v>5656.0</v>
      </c>
      <c r="E2599" s="445" t="s">
        <v>1894</v>
      </c>
      <c r="F2599" s="386">
        <v>2.0</v>
      </c>
      <c r="G2599" s="74">
        <v>545000.0</v>
      </c>
      <c r="H2599" s="74">
        <v>0.0</v>
      </c>
      <c r="I2599" s="74">
        <f t="shared" si="1"/>
        <v>1090000</v>
      </c>
      <c r="J2599" s="74">
        <f>IF(E2599="SERVICE",I2599-(I2599*50%),Vlookup(E2599,DATABASE!C:Q,10,false)*F2599)</f>
        <v>0</v>
      </c>
      <c r="K2599" s="74">
        <f>VLOOKUP(E2599,DATABASE!C:Q,7,false)</f>
        <v>458600</v>
      </c>
      <c r="L2599" s="74">
        <v>445400.0</v>
      </c>
      <c r="M2599" s="74">
        <f t="shared" si="2"/>
        <v>450000</v>
      </c>
      <c r="N2599" s="74">
        <f t="shared" si="3"/>
        <v>190000</v>
      </c>
      <c r="O2599" s="65" t="str">
        <f>VLOOKUP(E2599,DATABASE!C:Q,8,false)</f>
        <v>BIAN</v>
      </c>
      <c r="P2599" s="65">
        <f>VLOOKUP(E2599,DATABASE!C:Q,9,False)</f>
        <v>1</v>
      </c>
      <c r="Q2599" s="93" t="str">
        <f>VLOOKUP(E2599,DATABASE!C:Q,4,false)</f>
        <v>GT</v>
      </c>
      <c r="R2599" s="93" t="str">
        <f>VLOOKUP(E2599,DATABASE!C:Q,11,false)</f>
        <v>Tire</v>
      </c>
    </row>
    <row r="2600" ht="22.5" customHeight="1">
      <c r="A2600" s="49"/>
      <c r="C2600" s="384">
        <v>45792.0</v>
      </c>
      <c r="D2600" s="65">
        <v>5656.0</v>
      </c>
      <c r="E2600" s="445" t="s">
        <v>262</v>
      </c>
      <c r="F2600" s="386">
        <v>1.0</v>
      </c>
      <c r="G2600" s="74">
        <v>110000.0</v>
      </c>
      <c r="H2600" s="74">
        <v>0.0</v>
      </c>
      <c r="I2600" s="74">
        <f t="shared" si="1"/>
        <v>110000</v>
      </c>
      <c r="J2600" s="74">
        <f>IF(E2600="SERVICE",I2600-(I2600*50%),Vlookup(E2600,DATABASE!C:Q,10,false)*F2600)</f>
        <v>5000</v>
      </c>
      <c r="K2600" s="74">
        <f>VLOOKUP(E2600,DATABASE!C:Q,7,false)</f>
        <v>0</v>
      </c>
      <c r="L2600" s="74">
        <v>0.0</v>
      </c>
      <c r="M2600" s="74">
        <f t="shared" si="2"/>
        <v>0</v>
      </c>
      <c r="N2600" s="74">
        <f t="shared" si="3"/>
        <v>105000</v>
      </c>
      <c r="O2600" s="65" t="str">
        <f>VLOOKUP(E2600,DATABASE!C:Q,8,false)</f>
        <v>IBU</v>
      </c>
      <c r="P2600" s="65">
        <f>VLOOKUP(E2600,DATABASE!C:Q,9,False)</f>
        <v>0</v>
      </c>
      <c r="Q2600" s="93" t="str">
        <f>VLOOKUP(E2600,DATABASE!C:Q,4,false)</f>
        <v>SPOORING SS/CARRY LOS BAK</v>
      </c>
      <c r="R2600" s="93" t="str">
        <f>VLOOKUP(E2600,DATABASE!C:Q,11,false)</f>
        <v>SERVICE</v>
      </c>
    </row>
    <row r="2601" ht="22.5" customHeight="1">
      <c r="A2601" s="49"/>
      <c r="C2601" s="384">
        <v>45792.0</v>
      </c>
      <c r="D2601" s="65">
        <v>5656.0</v>
      </c>
      <c r="E2601" s="445" t="s">
        <v>478</v>
      </c>
      <c r="F2601" s="386">
        <v>1.0</v>
      </c>
      <c r="G2601" s="74">
        <v>200000.0</v>
      </c>
      <c r="H2601" s="74">
        <v>0.0</v>
      </c>
      <c r="I2601" s="74">
        <f t="shared" si="1"/>
        <v>200000</v>
      </c>
      <c r="J2601" s="74">
        <f>IF(E2601="SERVICE",I2601-(I2601*50%),Vlookup(E2601,DATABASE!C:Q,10,false)*F2601)</f>
        <v>25000</v>
      </c>
      <c r="K2601" s="74">
        <f>VLOOKUP(E2601,DATABASE!C:Q,7,false)</f>
        <v>75000</v>
      </c>
      <c r="L2601" s="74">
        <v>75000.0</v>
      </c>
      <c r="M2601" s="74">
        <f t="shared" si="2"/>
        <v>75000</v>
      </c>
      <c r="N2601" s="74">
        <f t="shared" si="3"/>
        <v>100000</v>
      </c>
      <c r="O2601" s="65" t="str">
        <f>VLOOKUP(E2601,DATABASE!C:Q,8,false)</f>
        <v>BIAN</v>
      </c>
      <c r="P2601" s="65">
        <f>VLOOKUP(E2601,DATABASE!C:Q,9,False)</f>
        <v>0</v>
      </c>
      <c r="Q2601" s="93" t="str">
        <f>VLOOKUP(E2601,DATABASE!C:Q,4,false)</f>
        <v>Baut Camber ss-carry</v>
      </c>
      <c r="R2601" s="93" t="str">
        <f>VLOOKUP(E2601,DATABASE!C:Q,11,false)</f>
        <v>COMPLEMENTARY</v>
      </c>
    </row>
    <row r="2602" ht="22.5" customHeight="1">
      <c r="A2602" s="49"/>
      <c r="C2602" s="384">
        <v>45792.0</v>
      </c>
      <c r="D2602" s="65">
        <v>5657.0</v>
      </c>
      <c r="E2602" s="445" t="s">
        <v>265</v>
      </c>
      <c r="F2602" s="386">
        <v>1.0</v>
      </c>
      <c r="G2602" s="74">
        <v>670000.0</v>
      </c>
      <c r="H2602" s="74">
        <v>0.0</v>
      </c>
      <c r="I2602" s="74">
        <f t="shared" si="1"/>
        <v>670000</v>
      </c>
      <c r="J2602" s="74">
        <f>IF(E2602="SERVICE",I2602-(I2602*50%),Vlookup(E2602,DATABASE!C:Q,10,false)*F2602)</f>
        <v>0</v>
      </c>
      <c r="K2602" s="74">
        <v>590000.0</v>
      </c>
      <c r="L2602" s="74">
        <v>590000.0</v>
      </c>
      <c r="M2602" s="74">
        <f t="shared" si="2"/>
        <v>590000</v>
      </c>
      <c r="N2602" s="74">
        <f t="shared" si="3"/>
        <v>80000</v>
      </c>
      <c r="O2602" s="65" t="str">
        <f>VLOOKUP(E2602,DATABASE!C:Q,8,false)</f>
        <v>IBU</v>
      </c>
      <c r="P2602" s="65">
        <f>VLOOKUP(E2602,DATABASE!C:Q,9,False)</f>
        <v>1</v>
      </c>
      <c r="Q2602" s="93" t="str">
        <f>VLOOKUP(E2602,DATABASE!C:Q,4,false)</f>
        <v>Dunlop</v>
      </c>
      <c r="R2602" s="93" t="str">
        <f>VLOOKUP(E2602,DATABASE!C:Q,11,false)</f>
        <v>Tire</v>
      </c>
    </row>
    <row r="2603" ht="22.5" customHeight="1">
      <c r="A2603" s="49"/>
      <c r="C2603" s="384">
        <v>45792.0</v>
      </c>
      <c r="D2603" s="65">
        <v>5660.0</v>
      </c>
      <c r="E2603" s="445" t="s">
        <v>1928</v>
      </c>
      <c r="F2603" s="386">
        <v>1.0</v>
      </c>
      <c r="G2603" s="74">
        <v>675000.0</v>
      </c>
      <c r="H2603" s="74">
        <v>0.0</v>
      </c>
      <c r="I2603" s="74">
        <f t="shared" si="1"/>
        <v>675000</v>
      </c>
      <c r="J2603" s="74">
        <f>IF(E2603="SERVICE",I2603-(I2603*50%),Vlookup(E2603,DATABASE!C:Q,10,false)*F2603)</f>
        <v>0</v>
      </c>
      <c r="K2603" s="74">
        <f>VLOOKUP(E2603,DATABASE!C:Q,7,false)</f>
        <v>589700</v>
      </c>
      <c r="L2603" s="74">
        <v>572700.0</v>
      </c>
      <c r="M2603" s="74">
        <f t="shared" si="2"/>
        <v>575000</v>
      </c>
      <c r="N2603" s="74">
        <f t="shared" si="3"/>
        <v>100000</v>
      </c>
      <c r="O2603" s="65" t="str">
        <f>VLOOKUP(E2603,DATABASE!C:Q,8,false)</f>
        <v>BIAN</v>
      </c>
      <c r="P2603" s="65">
        <f>VLOOKUP(E2603,DATABASE!C:Q,9,False)</f>
        <v>1</v>
      </c>
      <c r="Q2603" s="93" t="str">
        <f>VLOOKUP(E2603,DATABASE!C:Q,4,false)</f>
        <v>GT</v>
      </c>
      <c r="R2603" s="93" t="str">
        <f>VLOOKUP(E2603,DATABASE!C:Q,11,false)</f>
        <v>Tire</v>
      </c>
    </row>
    <row r="2604" ht="22.5" customHeight="1">
      <c r="A2604" s="49"/>
      <c r="C2604" s="384">
        <v>45792.0</v>
      </c>
      <c r="D2604" s="65">
        <v>5661.0</v>
      </c>
      <c r="E2604" s="445" t="s">
        <v>1893</v>
      </c>
      <c r="F2604" s="386">
        <v>1.0</v>
      </c>
      <c r="G2604" s="74">
        <v>500000.0</v>
      </c>
      <c r="H2604" s="74">
        <v>0.0</v>
      </c>
      <c r="I2604" s="74">
        <f t="shared" si="1"/>
        <v>500000</v>
      </c>
      <c r="J2604" s="74">
        <f>IF(E2604="SERVICE",I2604-(I2604*50%),Vlookup(E2604,DATABASE!C:Q,10,false)*F2604)</f>
        <v>0</v>
      </c>
      <c r="K2604" s="74">
        <f>VLOOKUP(E2604,DATABASE!C:Q,7,false)</f>
        <v>404900</v>
      </c>
      <c r="L2604" s="74">
        <v>404900.0</v>
      </c>
      <c r="M2604" s="74">
        <f t="shared" si="2"/>
        <v>405000</v>
      </c>
      <c r="N2604" s="74">
        <f t="shared" si="3"/>
        <v>95000</v>
      </c>
      <c r="O2604" s="65" t="str">
        <f>VLOOKUP(E2604,DATABASE!C:Q,8,false)</f>
        <v>BIAN</v>
      </c>
      <c r="P2604" s="65">
        <f>VLOOKUP(E2604,DATABASE!C:Q,9,False)</f>
        <v>1</v>
      </c>
      <c r="Q2604" s="93" t="str">
        <f>VLOOKUP(E2604,DATABASE!C:Q,4,false)</f>
        <v>GT</v>
      </c>
      <c r="R2604" s="93" t="str">
        <f>VLOOKUP(E2604,DATABASE!C:Q,11,false)</f>
        <v>Tire</v>
      </c>
    </row>
    <row r="2605" ht="22.5" customHeight="1">
      <c r="A2605" s="49"/>
      <c r="C2605" s="384">
        <v>45792.0</v>
      </c>
      <c r="D2605" s="65">
        <v>5662.0</v>
      </c>
      <c r="E2605" s="445" t="s">
        <v>268</v>
      </c>
      <c r="F2605" s="386">
        <v>1.0</v>
      </c>
      <c r="G2605" s="74">
        <v>700000.0</v>
      </c>
      <c r="H2605" s="74">
        <v>0.0</v>
      </c>
      <c r="I2605" s="74">
        <f t="shared" si="1"/>
        <v>700000</v>
      </c>
      <c r="J2605" s="74">
        <f>IF(E2605="SERVICE",I2605-(I2605*50%),Vlookup(E2605,DATABASE!C:Q,10,false)*F2605)</f>
        <v>0</v>
      </c>
      <c r="K2605" s="74">
        <v>613000.0</v>
      </c>
      <c r="L2605" s="74">
        <v>613000.0</v>
      </c>
      <c r="M2605" s="74">
        <f t="shared" si="2"/>
        <v>615000</v>
      </c>
      <c r="N2605" s="74">
        <f t="shared" si="3"/>
        <v>85000</v>
      </c>
      <c r="O2605" s="65" t="str">
        <f>VLOOKUP(E2605,DATABASE!C:Q,8,false)</f>
        <v>IBU</v>
      </c>
      <c r="P2605" s="65">
        <f>VLOOKUP(E2605,DATABASE!C:Q,9,False)</f>
        <v>1</v>
      </c>
      <c r="Q2605" s="93" t="str">
        <f>VLOOKUP(E2605,DATABASE!C:Q,4,false)</f>
        <v>Dunlop</v>
      </c>
      <c r="R2605" s="93" t="str">
        <f>VLOOKUP(E2605,DATABASE!C:Q,11,false)</f>
        <v>Tire</v>
      </c>
    </row>
    <row r="2606" ht="22.5" customHeight="1">
      <c r="A2606" s="49"/>
      <c r="C2606" s="384">
        <v>45792.0</v>
      </c>
      <c r="D2606" s="65">
        <v>5664.0</v>
      </c>
      <c r="E2606" s="445" t="s">
        <v>256</v>
      </c>
      <c r="F2606" s="386">
        <v>1.0</v>
      </c>
      <c r="G2606" s="74">
        <v>130000.0</v>
      </c>
      <c r="H2606" s="74">
        <v>0.0</v>
      </c>
      <c r="I2606" s="74">
        <f t="shared" si="1"/>
        <v>130000</v>
      </c>
      <c r="J2606" s="74">
        <f>IF(E2606="SERVICE",I2606-(I2606*50%),Vlookup(E2606,DATABASE!C:Q,10,false)*F2606)</f>
        <v>10000</v>
      </c>
      <c r="K2606" s="74">
        <f>VLOOKUP(E2606,DATABASE!C:Q,7,false)</f>
        <v>0</v>
      </c>
      <c r="L2606" s="74">
        <v>0.0</v>
      </c>
      <c r="M2606" s="74">
        <f t="shared" si="2"/>
        <v>0</v>
      </c>
      <c r="N2606" s="74">
        <f t="shared" si="3"/>
        <v>120000</v>
      </c>
      <c r="O2606" s="65" t="str">
        <f>VLOOKUP(E2606,DATABASE!C:Q,8,false)</f>
        <v>IBU</v>
      </c>
      <c r="P2606" s="65">
        <f>VLOOKUP(E2606,DATABASE!C:Q,9,False)</f>
        <v>0</v>
      </c>
      <c r="Q2606" s="93" t="str">
        <f>VLOOKUP(E2606,DATABASE!C:Q,4,false)</f>
        <v>SPOORING</v>
      </c>
      <c r="R2606" s="93" t="str">
        <f>VLOOKUP(E2606,DATABASE!C:Q,11,false)</f>
        <v>SERVICE</v>
      </c>
    </row>
    <row r="2607" ht="22.5" customHeight="1">
      <c r="A2607" s="49"/>
      <c r="C2607" s="384">
        <v>45792.0</v>
      </c>
      <c r="D2607" s="65">
        <v>5664.0</v>
      </c>
      <c r="E2607" s="445" t="s">
        <v>251</v>
      </c>
      <c r="F2607" s="386">
        <v>1.0</v>
      </c>
      <c r="G2607" s="74">
        <v>120000.0</v>
      </c>
      <c r="H2607" s="74">
        <v>0.0</v>
      </c>
      <c r="I2607" s="74">
        <f t="shared" si="1"/>
        <v>120000</v>
      </c>
      <c r="J2607" s="74">
        <f>IF(E2607="SERVICE",I2607-(I2607*50%),Vlookup(E2607,DATABASE!C:Q,10,false)*F2607)</f>
        <v>60000</v>
      </c>
      <c r="K2607" s="74">
        <f>VLOOKUP(E2607,DATABASE!C:Q,7,false)</f>
        <v>0</v>
      </c>
      <c r="L2607" s="74">
        <v>0.0</v>
      </c>
      <c r="M2607" s="74">
        <f t="shared" si="2"/>
        <v>0</v>
      </c>
      <c r="N2607" s="74">
        <f t="shared" si="3"/>
        <v>60000</v>
      </c>
      <c r="O2607" s="65" t="str">
        <f>VLOOKUP(E2607,DATABASE!C:Q,8,false)</f>
        <v>IBU</v>
      </c>
      <c r="P2607" s="65">
        <f>VLOOKUP(E2607,DATABASE!C:Q,9,False)</f>
        <v>0</v>
      </c>
      <c r="Q2607" s="93" t="str">
        <f>VLOOKUP(E2607,DATABASE!C:Q,4,false)</f>
        <v>SERVICE</v>
      </c>
      <c r="R2607" s="93" t="str">
        <f>VLOOKUP(E2607,DATABASE!C:Q,11,false)</f>
        <v>SERVICE</v>
      </c>
    </row>
    <row r="2608" ht="22.5" customHeight="1">
      <c r="A2608" s="49"/>
      <c r="C2608" s="384">
        <v>45792.0</v>
      </c>
      <c r="D2608" s="65">
        <v>5665.0</v>
      </c>
      <c r="E2608" s="445" t="s">
        <v>695</v>
      </c>
      <c r="F2608" s="386">
        <v>2.0</v>
      </c>
      <c r="G2608" s="74">
        <v>650000.0</v>
      </c>
      <c r="H2608" s="74">
        <v>0.0</v>
      </c>
      <c r="I2608" s="74">
        <f t="shared" si="1"/>
        <v>1300000</v>
      </c>
      <c r="J2608" s="74">
        <f>IF(E2608="SERVICE",I2608-(I2608*50%),Vlookup(E2608,DATABASE!C:Q,10,false)*F2608)</f>
        <v>0</v>
      </c>
      <c r="K2608" s="74">
        <f>VLOOKUP(E2608,DATABASE!C:Q,7,false)</f>
        <v>582000</v>
      </c>
      <c r="L2608" s="74">
        <v>570000.0</v>
      </c>
      <c r="M2608" s="74">
        <f t="shared" si="2"/>
        <v>570000</v>
      </c>
      <c r="N2608" s="74">
        <f t="shared" si="3"/>
        <v>160000</v>
      </c>
      <c r="O2608" s="65" t="str">
        <f>VLOOKUP(E2608,DATABASE!C:Q,8,false)</f>
        <v>IBU</v>
      </c>
      <c r="P2608" s="65">
        <f>VLOOKUP(E2608,DATABASE!C:Q,9,False)</f>
        <v>1</v>
      </c>
      <c r="Q2608" s="93" t="str">
        <f>VLOOKUP(E2608,DATABASE!C:Q,4,false)</f>
        <v>Dunlop</v>
      </c>
      <c r="R2608" s="93" t="str">
        <f>VLOOKUP(E2608,DATABASE!C:Q,11,false)</f>
        <v>Tire</v>
      </c>
    </row>
    <row r="2609" ht="22.5" customHeight="1">
      <c r="A2609" s="49"/>
      <c r="C2609" s="384">
        <v>45793.0</v>
      </c>
      <c r="D2609" s="65">
        <v>5666.0</v>
      </c>
      <c r="E2609" s="445" t="s">
        <v>627</v>
      </c>
      <c r="F2609" s="386">
        <v>1.0</v>
      </c>
      <c r="G2609" s="74">
        <v>985000.0</v>
      </c>
      <c r="H2609" s="74">
        <v>0.0</v>
      </c>
      <c r="I2609" s="74">
        <f t="shared" si="1"/>
        <v>985000</v>
      </c>
      <c r="J2609" s="74">
        <f>IF(E2609="SERVICE",I2609-(I2609*50%),Vlookup(E2609,DATABASE!C:Q,10,false)*F2609)</f>
        <v>0</v>
      </c>
      <c r="K2609" s="74">
        <f>VLOOKUP(E2609,DATABASE!C:Q,7,false)</f>
        <v>879567</v>
      </c>
      <c r="L2609" s="74">
        <v>884979.0</v>
      </c>
      <c r="M2609" s="74">
        <f t="shared" si="2"/>
        <v>885000</v>
      </c>
      <c r="N2609" s="74">
        <f t="shared" si="3"/>
        <v>100000</v>
      </c>
      <c r="O2609" s="65" t="str">
        <f>VLOOKUP(E2609,DATABASE!C:Q,8,false)</f>
        <v>IBU</v>
      </c>
      <c r="P2609" s="65">
        <f>VLOOKUP(E2609,DATABASE!C:Q,9,False)</f>
        <v>1</v>
      </c>
      <c r="Q2609" s="93" t="str">
        <f>VLOOKUP(E2609,DATABASE!C:Q,4,false)</f>
        <v>Bridgestone</v>
      </c>
      <c r="R2609" s="93" t="str">
        <f>VLOOKUP(E2609,DATABASE!C:Q,11,false)</f>
        <v>Tire</v>
      </c>
    </row>
    <row r="2610" ht="22.5" customHeight="1">
      <c r="A2610" s="49"/>
      <c r="C2610" s="384">
        <v>45793.0</v>
      </c>
      <c r="D2610" s="65">
        <v>5668.0</v>
      </c>
      <c r="E2610" s="445" t="s">
        <v>1894</v>
      </c>
      <c r="F2610" s="386">
        <v>1.0</v>
      </c>
      <c r="G2610" s="74">
        <v>545000.0</v>
      </c>
      <c r="H2610" s="74">
        <v>0.0</v>
      </c>
      <c r="I2610" s="74">
        <f t="shared" si="1"/>
        <v>545000</v>
      </c>
      <c r="J2610" s="74">
        <f>IF(E2610="SERVICE",I2610-(I2610*50%),Vlookup(E2610,DATABASE!C:Q,10,false)*F2610)</f>
        <v>0</v>
      </c>
      <c r="K2610" s="74">
        <f>VLOOKUP(E2610,DATABASE!C:Q,7,false)</f>
        <v>458600</v>
      </c>
      <c r="L2610" s="74">
        <v>445400.0</v>
      </c>
      <c r="M2610" s="74">
        <f t="shared" si="2"/>
        <v>450000</v>
      </c>
      <c r="N2610" s="74">
        <f t="shared" si="3"/>
        <v>95000</v>
      </c>
      <c r="O2610" s="65" t="str">
        <f>VLOOKUP(E2610,DATABASE!C:Q,8,false)</f>
        <v>BIAN</v>
      </c>
      <c r="P2610" s="65">
        <f>VLOOKUP(E2610,DATABASE!C:Q,9,False)</f>
        <v>1</v>
      </c>
      <c r="Q2610" s="93" t="str">
        <f>VLOOKUP(E2610,DATABASE!C:Q,4,false)</f>
        <v>GT</v>
      </c>
      <c r="R2610" s="93" t="str">
        <f>VLOOKUP(E2610,DATABASE!C:Q,11,false)</f>
        <v>Tire</v>
      </c>
    </row>
    <row r="2611" ht="22.5" customHeight="1">
      <c r="A2611" s="49"/>
      <c r="C2611" s="384">
        <v>45793.0</v>
      </c>
      <c r="D2611" s="65">
        <v>5668.0</v>
      </c>
      <c r="E2611" s="445" t="s">
        <v>262</v>
      </c>
      <c r="F2611" s="386">
        <v>1.0</v>
      </c>
      <c r="G2611" s="74">
        <v>110000.0</v>
      </c>
      <c r="H2611" s="74">
        <v>0.0</v>
      </c>
      <c r="I2611" s="74">
        <f t="shared" si="1"/>
        <v>110000</v>
      </c>
      <c r="J2611" s="74">
        <f>IF(E2611="SERVICE",I2611-(I2611*50%),Vlookup(E2611,DATABASE!C:Q,10,false)*F2611)</f>
        <v>5000</v>
      </c>
      <c r="K2611" s="74">
        <f>VLOOKUP(E2611,DATABASE!C:Q,7,false)</f>
        <v>0</v>
      </c>
      <c r="L2611" s="74">
        <v>0.0</v>
      </c>
      <c r="M2611" s="74">
        <f t="shared" si="2"/>
        <v>0</v>
      </c>
      <c r="N2611" s="74">
        <f t="shared" si="3"/>
        <v>105000</v>
      </c>
      <c r="O2611" s="65" t="str">
        <f>VLOOKUP(E2611,DATABASE!C:Q,8,false)</f>
        <v>IBU</v>
      </c>
      <c r="P2611" s="65">
        <f>VLOOKUP(E2611,DATABASE!C:Q,9,False)</f>
        <v>0</v>
      </c>
      <c r="Q2611" s="93" t="str">
        <f>VLOOKUP(E2611,DATABASE!C:Q,4,false)</f>
        <v>SPOORING SS/CARRY LOS BAK</v>
      </c>
      <c r="R2611" s="93" t="str">
        <f>VLOOKUP(E2611,DATABASE!C:Q,11,false)</f>
        <v>SERVICE</v>
      </c>
    </row>
    <row r="2612" ht="22.5" customHeight="1">
      <c r="A2612" s="49"/>
      <c r="C2612" s="384">
        <v>45793.0</v>
      </c>
      <c r="D2612" s="65">
        <v>5668.0</v>
      </c>
      <c r="E2612" s="445" t="s">
        <v>478</v>
      </c>
      <c r="F2612" s="386">
        <v>1.0</v>
      </c>
      <c r="G2612" s="74">
        <v>200000.0</v>
      </c>
      <c r="H2612" s="74">
        <v>0.0</v>
      </c>
      <c r="I2612" s="74">
        <f t="shared" si="1"/>
        <v>200000</v>
      </c>
      <c r="J2612" s="74">
        <f>IF(E2612="SERVICE",I2612-(I2612*50%),Vlookup(E2612,DATABASE!C:Q,10,false)*F2612)</f>
        <v>25000</v>
      </c>
      <c r="K2612" s="74">
        <f>VLOOKUP(E2612,DATABASE!C:Q,7,false)</f>
        <v>75000</v>
      </c>
      <c r="L2612" s="74">
        <v>75000.0</v>
      </c>
      <c r="M2612" s="74">
        <f t="shared" si="2"/>
        <v>75000</v>
      </c>
      <c r="N2612" s="74">
        <f t="shared" si="3"/>
        <v>100000</v>
      </c>
      <c r="O2612" s="65" t="str">
        <f>VLOOKUP(E2612,DATABASE!C:Q,8,false)</f>
        <v>BIAN</v>
      </c>
      <c r="P2612" s="65">
        <f>VLOOKUP(E2612,DATABASE!C:Q,9,False)</f>
        <v>0</v>
      </c>
      <c r="Q2612" s="93" t="str">
        <f>VLOOKUP(E2612,DATABASE!C:Q,4,false)</f>
        <v>Baut Camber ss-carry</v>
      </c>
      <c r="R2612" s="93" t="str">
        <f>VLOOKUP(E2612,DATABASE!C:Q,11,false)</f>
        <v>COMPLEMENTARY</v>
      </c>
    </row>
    <row r="2613" ht="22.5" customHeight="1">
      <c r="A2613" s="49"/>
      <c r="C2613" s="384">
        <v>45793.0</v>
      </c>
      <c r="D2613" s="65">
        <v>5669.0</v>
      </c>
      <c r="E2613" s="385" t="s">
        <v>299</v>
      </c>
      <c r="F2613" s="386">
        <v>2.0</v>
      </c>
      <c r="G2613" s="74">
        <v>30000.0</v>
      </c>
      <c r="H2613" s="74">
        <v>0.0</v>
      </c>
      <c r="I2613" s="74">
        <f t="shared" si="1"/>
        <v>60000</v>
      </c>
      <c r="J2613" s="74">
        <f>IF(E2613="SERVICE",I2613-(I2613*50%),Vlookup(E2613,DATABASE!C:Q,10,false)*F2613)</f>
        <v>0</v>
      </c>
      <c r="K2613" s="74">
        <v>0.0</v>
      </c>
      <c r="L2613" s="74">
        <v>0.0</v>
      </c>
      <c r="M2613" s="74">
        <f t="shared" si="2"/>
        <v>0</v>
      </c>
      <c r="N2613" s="74">
        <f t="shared" si="3"/>
        <v>60000</v>
      </c>
      <c r="O2613" s="65" t="str">
        <f>VLOOKUP(E2613,DATABASE!C:Q,8,false)</f>
        <v>BIAN</v>
      </c>
      <c r="P2613" s="65">
        <f>VLOOKUP(E2613,DATABASE!C:Q,9,False)</f>
        <v>0</v>
      </c>
      <c r="Q2613" s="93" t="str">
        <f>VLOOKUP(E2613,DATABASE!C:Q,4,false)</f>
        <v>Balancing</v>
      </c>
      <c r="R2613" s="93" t="str">
        <f>VLOOKUP(E2613,DATABASE!C:Q,11,false)</f>
        <v>COMPLEMENTARY</v>
      </c>
    </row>
    <row r="2614" ht="22.5" customHeight="1">
      <c r="A2614" s="49"/>
      <c r="C2614" s="384">
        <v>45793.0</v>
      </c>
      <c r="D2614" s="65">
        <v>5669.0</v>
      </c>
      <c r="E2614" s="445" t="s">
        <v>256</v>
      </c>
      <c r="F2614" s="386">
        <v>1.0</v>
      </c>
      <c r="G2614" s="74">
        <v>130000.0</v>
      </c>
      <c r="H2614" s="74">
        <v>0.0</v>
      </c>
      <c r="I2614" s="74">
        <f t="shared" si="1"/>
        <v>130000</v>
      </c>
      <c r="J2614" s="74">
        <f>IF(E2614="SERVICE",I2614-(I2614*50%),Vlookup(E2614,DATABASE!C:Q,10,false)*F2614)</f>
        <v>10000</v>
      </c>
      <c r="K2614" s="74">
        <f>VLOOKUP(E2614,DATABASE!C:Q,7,false)</f>
        <v>0</v>
      </c>
      <c r="L2614" s="74">
        <v>0.0</v>
      </c>
      <c r="M2614" s="74">
        <f t="shared" si="2"/>
        <v>0</v>
      </c>
      <c r="N2614" s="74">
        <f t="shared" si="3"/>
        <v>120000</v>
      </c>
      <c r="O2614" s="65" t="str">
        <f>VLOOKUP(E2614,DATABASE!C:Q,8,false)</f>
        <v>IBU</v>
      </c>
      <c r="P2614" s="65">
        <f>VLOOKUP(E2614,DATABASE!C:Q,9,False)</f>
        <v>0</v>
      </c>
      <c r="Q2614" s="93" t="str">
        <f>VLOOKUP(E2614,DATABASE!C:Q,4,false)</f>
        <v>SPOORING</v>
      </c>
      <c r="R2614" s="93" t="str">
        <f>VLOOKUP(E2614,DATABASE!C:Q,11,false)</f>
        <v>SERVICE</v>
      </c>
    </row>
    <row r="2615" ht="22.5" customHeight="1">
      <c r="A2615" s="49"/>
      <c r="C2615" s="384">
        <v>45793.0</v>
      </c>
      <c r="D2615" s="65">
        <v>5670.0</v>
      </c>
      <c r="E2615" s="445" t="s">
        <v>554</v>
      </c>
      <c r="F2615" s="386">
        <v>1.0</v>
      </c>
      <c r="G2615" s="74">
        <v>800000.0</v>
      </c>
      <c r="H2615" s="74">
        <v>0.0</v>
      </c>
      <c r="I2615" s="74">
        <f t="shared" si="1"/>
        <v>800000</v>
      </c>
      <c r="J2615" s="74">
        <f>IF(E2615="SERVICE",I2615-(I2615*50%),Vlookup(E2615,DATABASE!C:Q,10,false)*F2615)</f>
        <v>0</v>
      </c>
      <c r="K2615" s="74">
        <f>VLOOKUP(E2615,DATABASE!C:Q,7,false)</f>
        <v>710000</v>
      </c>
      <c r="L2615" s="74">
        <v>680000.0</v>
      </c>
      <c r="M2615" s="74">
        <f t="shared" si="2"/>
        <v>680000</v>
      </c>
      <c r="N2615" s="74">
        <f t="shared" si="3"/>
        <v>120000</v>
      </c>
      <c r="O2615" s="65" t="str">
        <f>VLOOKUP(E2615,DATABASE!C:Q,8,false)</f>
        <v>IBU</v>
      </c>
      <c r="P2615" s="65">
        <f>VLOOKUP(E2615,DATABASE!C:Q,9,False)</f>
        <v>1</v>
      </c>
      <c r="Q2615" s="93" t="str">
        <f>VLOOKUP(E2615,DATABASE!C:Q,4,false)</f>
        <v>Bridgestone</v>
      </c>
      <c r="R2615" s="93" t="str">
        <f>VLOOKUP(E2615,DATABASE!C:Q,11,false)</f>
        <v>Tire</v>
      </c>
    </row>
    <row r="2616" ht="22.5" customHeight="1">
      <c r="A2616" s="49"/>
      <c r="C2616" s="384">
        <v>45793.0</v>
      </c>
      <c r="D2616" s="65">
        <v>5671.0</v>
      </c>
      <c r="E2616" s="445" t="s">
        <v>250</v>
      </c>
      <c r="F2616" s="386">
        <v>1.0</v>
      </c>
      <c r="G2616" s="74">
        <v>135000.0</v>
      </c>
      <c r="H2616" s="74">
        <v>0.0</v>
      </c>
      <c r="I2616" s="74">
        <f t="shared" si="1"/>
        <v>135000</v>
      </c>
      <c r="J2616" s="74">
        <f>IF(E2616="SERVICE",I2616-(I2616*50%),Vlookup(E2616,DATABASE!C:Q,10,false)*F2616)</f>
        <v>0</v>
      </c>
      <c r="K2616" s="74">
        <f>VLOOKUP(E2616,DATABASE!C:Q,7,false)</f>
        <v>102000</v>
      </c>
      <c r="L2616" s="74">
        <v>102000.0</v>
      </c>
      <c r="M2616" s="74">
        <f t="shared" si="2"/>
        <v>105000</v>
      </c>
      <c r="N2616" s="74">
        <f t="shared" si="3"/>
        <v>30000</v>
      </c>
      <c r="O2616" s="65" t="str">
        <f>VLOOKUP(E2616,DATABASE!C:Q,8,false)</f>
        <v>BIAN</v>
      </c>
      <c r="P2616" s="65">
        <f>VLOOKUP(E2616,DATABASE!C:Q,9,False)</f>
        <v>1</v>
      </c>
      <c r="Q2616" s="93" t="str">
        <f>VLOOKUP(E2616,DATABASE!C:Q,4,false)</f>
        <v>BD</v>
      </c>
      <c r="R2616" s="93" t="str">
        <f>VLOOKUP(E2616,DATABASE!C:Q,11,false)</f>
        <v>Tire</v>
      </c>
    </row>
    <row r="2617" ht="22.5" customHeight="1">
      <c r="A2617" s="49"/>
      <c r="C2617" s="384">
        <v>45793.0</v>
      </c>
      <c r="D2617" s="65">
        <v>5671.0</v>
      </c>
      <c r="E2617" s="445" t="s">
        <v>256</v>
      </c>
      <c r="F2617" s="386">
        <v>1.0</v>
      </c>
      <c r="G2617" s="74">
        <v>130000.0</v>
      </c>
      <c r="H2617" s="74">
        <v>0.0</v>
      </c>
      <c r="I2617" s="74">
        <f t="shared" si="1"/>
        <v>130000</v>
      </c>
      <c r="J2617" s="74">
        <f>IF(E2617="SERVICE",I2617-(I2617*50%),Vlookup(E2617,DATABASE!C:Q,10,false)*F2617)</f>
        <v>10000</v>
      </c>
      <c r="K2617" s="74">
        <f>VLOOKUP(E2617,DATABASE!C:Q,7,false)</f>
        <v>0</v>
      </c>
      <c r="L2617" s="74">
        <v>0.0</v>
      </c>
      <c r="M2617" s="74">
        <f t="shared" si="2"/>
        <v>0</v>
      </c>
      <c r="N2617" s="74">
        <f t="shared" si="3"/>
        <v>120000</v>
      </c>
      <c r="O2617" s="65" t="str">
        <f>VLOOKUP(E2617,DATABASE!C:Q,8,false)</f>
        <v>IBU</v>
      </c>
      <c r="P2617" s="65">
        <f>VLOOKUP(E2617,DATABASE!C:Q,9,False)</f>
        <v>0</v>
      </c>
      <c r="Q2617" s="93" t="str">
        <f>VLOOKUP(E2617,DATABASE!C:Q,4,false)</f>
        <v>SPOORING</v>
      </c>
      <c r="R2617" s="93" t="str">
        <f>VLOOKUP(E2617,DATABASE!C:Q,11,false)</f>
        <v>SERVICE</v>
      </c>
    </row>
    <row r="2618" ht="22.5" customHeight="1">
      <c r="A2618" s="49"/>
      <c r="C2618" s="384">
        <v>45793.0</v>
      </c>
      <c r="D2618" s="65">
        <v>5672.0</v>
      </c>
      <c r="E2618" s="445" t="s">
        <v>265</v>
      </c>
      <c r="F2618" s="386">
        <v>2.0</v>
      </c>
      <c r="G2618" s="74">
        <v>670000.0</v>
      </c>
      <c r="H2618" s="74">
        <v>0.0</v>
      </c>
      <c r="I2618" s="74">
        <f t="shared" si="1"/>
        <v>1340000</v>
      </c>
      <c r="J2618" s="74">
        <f>IF(E2618="SERVICE",I2618-(I2618*50%),Vlookup(E2618,DATABASE!C:Q,10,false)*F2618)</f>
        <v>0</v>
      </c>
      <c r="K2618" s="74">
        <v>590000.0</v>
      </c>
      <c r="L2618" s="74">
        <v>590000.0</v>
      </c>
      <c r="M2618" s="74">
        <f t="shared" si="2"/>
        <v>590000</v>
      </c>
      <c r="N2618" s="74">
        <f t="shared" si="3"/>
        <v>160000</v>
      </c>
      <c r="O2618" s="65" t="str">
        <f>VLOOKUP(E2618,DATABASE!C:Q,8,false)</f>
        <v>IBU</v>
      </c>
      <c r="P2618" s="65">
        <f>VLOOKUP(E2618,DATABASE!C:Q,9,False)</f>
        <v>1</v>
      </c>
      <c r="Q2618" s="93" t="str">
        <f>VLOOKUP(E2618,DATABASE!C:Q,4,false)</f>
        <v>Dunlop</v>
      </c>
      <c r="R2618" s="93" t="str">
        <f>VLOOKUP(E2618,DATABASE!C:Q,11,false)</f>
        <v>Tire</v>
      </c>
    </row>
    <row r="2619" ht="22.5" customHeight="1">
      <c r="A2619" s="49"/>
      <c r="C2619" s="384">
        <v>45793.0</v>
      </c>
      <c r="D2619" s="65">
        <v>5672.0</v>
      </c>
      <c r="E2619" s="445" t="s">
        <v>265</v>
      </c>
      <c r="F2619" s="386">
        <v>2.0</v>
      </c>
      <c r="G2619" s="74">
        <v>700000.0</v>
      </c>
      <c r="H2619" s="74">
        <v>0.0</v>
      </c>
      <c r="I2619" s="74">
        <f t="shared" si="1"/>
        <v>1400000</v>
      </c>
      <c r="J2619" s="74">
        <f>IF(E2619="SERVICE",I2619-(I2619*50%),Vlookup(E2619,DATABASE!C:Q,10,false)*F2619)</f>
        <v>0</v>
      </c>
      <c r="K2619" s="74">
        <f>VLOOKUP(E2619,DATABASE!C:Q,7,false)</f>
        <v>628000</v>
      </c>
      <c r="L2619" s="74">
        <v>610000.0</v>
      </c>
      <c r="M2619" s="74">
        <f t="shared" si="2"/>
        <v>610000</v>
      </c>
      <c r="N2619" s="74">
        <f t="shared" si="3"/>
        <v>180000</v>
      </c>
      <c r="O2619" s="65" t="str">
        <f>VLOOKUP(E2619,DATABASE!C:Q,8,false)</f>
        <v>IBU</v>
      </c>
      <c r="P2619" s="65">
        <f>VLOOKUP(E2619,DATABASE!C:Q,9,False)</f>
        <v>1</v>
      </c>
      <c r="Q2619" s="93" t="str">
        <f>VLOOKUP(E2619,DATABASE!C:Q,4,false)</f>
        <v>Dunlop</v>
      </c>
      <c r="R2619" s="93" t="str">
        <f>VLOOKUP(E2619,DATABASE!C:Q,11,false)</f>
        <v>Tire</v>
      </c>
    </row>
    <row r="2620" ht="22.5" customHeight="1">
      <c r="A2620" s="49"/>
      <c r="C2620" s="384">
        <v>45793.0</v>
      </c>
      <c r="D2620" s="65">
        <v>5673.0</v>
      </c>
      <c r="E2620" s="445" t="s">
        <v>791</v>
      </c>
      <c r="F2620" s="386">
        <v>1.0</v>
      </c>
      <c r="G2620" s="74">
        <v>1280000.0</v>
      </c>
      <c r="H2620" s="74">
        <v>0.0</v>
      </c>
      <c r="I2620" s="74">
        <f t="shared" si="1"/>
        <v>1280000</v>
      </c>
      <c r="J2620" s="74">
        <f>IF(E2620="SERVICE",I2620-(I2620*50%),Vlookup(E2620,DATABASE!C:Q,10,false)*F2620)</f>
        <v>0</v>
      </c>
      <c r="K2620" s="74">
        <f>VLOOKUP(E2620,DATABASE!C:Q,7,false)</f>
        <v>1210000</v>
      </c>
      <c r="L2620" s="74">
        <v>1180000.0</v>
      </c>
      <c r="M2620" s="74">
        <f t="shared" si="2"/>
        <v>1180000</v>
      </c>
      <c r="N2620" s="74">
        <f t="shared" si="3"/>
        <v>100000</v>
      </c>
      <c r="O2620" s="65" t="str">
        <f>VLOOKUP(E2620,DATABASE!C:Q,8,false)</f>
        <v>BIAN</v>
      </c>
      <c r="P2620" s="65">
        <f>VLOOKUP(E2620,DATABASE!C:Q,9,False)</f>
        <v>1</v>
      </c>
      <c r="Q2620" s="93" t="str">
        <f>VLOOKUP(E2620,DATABASE!C:Q,4,false)</f>
        <v>GT</v>
      </c>
      <c r="R2620" s="93" t="str">
        <f>VLOOKUP(E2620,DATABASE!C:Q,11,false)</f>
        <v>Tire</v>
      </c>
    </row>
    <row r="2621" ht="22.5" customHeight="1">
      <c r="A2621" s="49"/>
      <c r="C2621" s="384">
        <v>45793.0</v>
      </c>
      <c r="D2621" s="65">
        <v>5673.0</v>
      </c>
      <c r="E2621" s="445" t="s">
        <v>712</v>
      </c>
      <c r="F2621" s="386">
        <v>1.0</v>
      </c>
      <c r="G2621" s="74">
        <v>150000.0</v>
      </c>
      <c r="H2621" s="74">
        <v>0.0</v>
      </c>
      <c r="I2621" s="74">
        <f t="shared" si="1"/>
        <v>150000</v>
      </c>
      <c r="J2621" s="74">
        <f>IF(E2621="SERVICE",I2621-(I2621*50%),Vlookup(E2621,DATABASE!C:Q,10,false)*F2621)</f>
        <v>0</v>
      </c>
      <c r="K2621" s="74">
        <f>VLOOKUP(E2621,DATABASE!C:Q,7,false)</f>
        <v>120960</v>
      </c>
      <c r="L2621" s="74">
        <v>120960.0</v>
      </c>
      <c r="M2621" s="74">
        <f t="shared" si="2"/>
        <v>125000</v>
      </c>
      <c r="N2621" s="74">
        <f t="shared" si="3"/>
        <v>25000</v>
      </c>
      <c r="O2621" s="65" t="str">
        <f>VLOOKUP(E2621,DATABASE!C:Q,8,false)</f>
        <v>BIAN</v>
      </c>
      <c r="P2621" s="65">
        <f>VLOOKUP(E2621,DATABASE!C:Q,9,False)</f>
        <v>1</v>
      </c>
      <c r="Q2621" s="93" t="str">
        <f>VLOOKUP(E2621,DATABASE!C:Q,4,false)</f>
        <v>BD</v>
      </c>
      <c r="R2621" s="93" t="str">
        <f>VLOOKUP(E2621,DATABASE!C:Q,11,false)</f>
        <v>Tire</v>
      </c>
    </row>
    <row r="2622" ht="22.5" customHeight="1">
      <c r="A2622" s="49"/>
      <c r="C2622" s="384">
        <v>45793.0</v>
      </c>
      <c r="D2622" s="65">
        <v>5673.0</v>
      </c>
      <c r="E2622" s="445" t="s">
        <v>814</v>
      </c>
      <c r="F2622" s="386">
        <v>1.0</v>
      </c>
      <c r="G2622" s="74">
        <v>70000.0</v>
      </c>
      <c r="H2622" s="74">
        <v>0.0</v>
      </c>
      <c r="I2622" s="74">
        <f t="shared" si="1"/>
        <v>70000</v>
      </c>
      <c r="J2622" s="74">
        <f>IF(E2622="SERVICE",I2622-(I2622*50%),Vlookup(E2622,DATABASE!C:Q,10,false)*F2622)</f>
        <v>0</v>
      </c>
      <c r="K2622" s="74">
        <f>VLOOKUP(E2622,DATABASE!C:Q,7,false)</f>
        <v>39440</v>
      </c>
      <c r="L2622" s="74">
        <v>39440.0</v>
      </c>
      <c r="M2622" s="74">
        <f t="shared" si="2"/>
        <v>40000</v>
      </c>
      <c r="N2622" s="74">
        <f t="shared" si="3"/>
        <v>30000</v>
      </c>
      <c r="O2622" s="65" t="str">
        <f>VLOOKUP(E2622,DATABASE!C:Q,8,false)</f>
        <v>BIAN</v>
      </c>
      <c r="P2622" s="65">
        <f>VLOOKUP(E2622,DATABASE!C:Q,9,False)</f>
        <v>1</v>
      </c>
      <c r="Q2622" s="93" t="str">
        <f>VLOOKUP(E2622,DATABASE!C:Q,4,false)</f>
        <v>Flap</v>
      </c>
      <c r="R2622" s="93" t="str">
        <f>VLOOKUP(E2622,DATABASE!C:Q,11,false)</f>
        <v>Tire</v>
      </c>
    </row>
    <row r="2623" ht="22.5" customHeight="1">
      <c r="A2623" s="49"/>
      <c r="C2623" s="384">
        <v>45793.0</v>
      </c>
      <c r="D2623" s="65">
        <v>5674.0</v>
      </c>
      <c r="E2623" s="445" t="s">
        <v>955</v>
      </c>
      <c r="F2623" s="386">
        <v>2.0</v>
      </c>
      <c r="G2623" s="74">
        <v>780000.0</v>
      </c>
      <c r="H2623" s="74">
        <v>0.0</v>
      </c>
      <c r="I2623" s="74">
        <f t="shared" si="1"/>
        <v>1560000</v>
      </c>
      <c r="J2623" s="74">
        <f>IF(E2623="SERVICE",I2623-(I2623*50%),Vlookup(E2623,DATABASE!C:Q,10,false)*F2623)</f>
        <v>0</v>
      </c>
      <c r="K2623" s="74">
        <f>VLOOKUP(E2623,DATABASE!C:Q,7,false)</f>
        <v>712000</v>
      </c>
      <c r="L2623" s="74">
        <v>674000.0</v>
      </c>
      <c r="M2623" s="74">
        <f t="shared" si="2"/>
        <v>675000</v>
      </c>
      <c r="N2623" s="74">
        <f t="shared" si="3"/>
        <v>210000</v>
      </c>
      <c r="O2623" s="65" t="str">
        <f>VLOOKUP(E2623,DATABASE!C:Q,8,false)</f>
        <v>IBU</v>
      </c>
      <c r="P2623" s="65">
        <f>VLOOKUP(E2623,DATABASE!C:Q,9,False)</f>
        <v>1</v>
      </c>
      <c r="Q2623" s="93" t="str">
        <f>VLOOKUP(E2623,DATABASE!C:Q,4,false)</f>
        <v>Dunlop</v>
      </c>
      <c r="R2623" s="93" t="str">
        <f>VLOOKUP(E2623,DATABASE!C:Q,11,false)</f>
        <v>Tire</v>
      </c>
    </row>
    <row r="2624" ht="22.5" customHeight="1">
      <c r="A2624" s="49"/>
      <c r="C2624" s="384">
        <v>45793.0</v>
      </c>
      <c r="D2624" s="65">
        <v>5675.0</v>
      </c>
      <c r="E2624" s="445" t="s">
        <v>1009</v>
      </c>
      <c r="F2624" s="386">
        <v>1.0</v>
      </c>
      <c r="G2624" s="74">
        <v>700000.0</v>
      </c>
      <c r="H2624" s="74">
        <v>0.0</v>
      </c>
      <c r="I2624" s="74">
        <f t="shared" si="1"/>
        <v>700000</v>
      </c>
      <c r="J2624" s="74">
        <f>IF(E2624="SERVICE",I2624-(I2624*50%),Vlookup(E2624,DATABASE!C:Q,10,false)*F2624)</f>
        <v>0</v>
      </c>
      <c r="K2624" s="74">
        <f>VLOOKUP(E2624,DATABASE!C:Q,7,false)</f>
        <v>609800</v>
      </c>
      <c r="L2624" s="74">
        <v>592200.0</v>
      </c>
      <c r="M2624" s="74">
        <f t="shared" si="2"/>
        <v>595000</v>
      </c>
      <c r="N2624" s="74">
        <f t="shared" si="3"/>
        <v>105000</v>
      </c>
      <c r="O2624" s="65" t="str">
        <f>VLOOKUP(E2624,DATABASE!C:Q,8,false)</f>
        <v>BIAN</v>
      </c>
      <c r="P2624" s="65">
        <f>VLOOKUP(E2624,DATABASE!C:Q,9,False)</f>
        <v>1</v>
      </c>
      <c r="Q2624" s="93" t="str">
        <f>VLOOKUP(E2624,DATABASE!C:Q,4,false)</f>
        <v>GT</v>
      </c>
      <c r="R2624" s="93" t="str">
        <f>VLOOKUP(E2624,DATABASE!C:Q,11,false)</f>
        <v>Tire</v>
      </c>
    </row>
    <row r="2625" ht="22.5" customHeight="1">
      <c r="A2625" s="49"/>
      <c r="C2625" s="384">
        <v>45793.0</v>
      </c>
      <c r="D2625" s="65">
        <v>5676.0</v>
      </c>
      <c r="E2625" s="445" t="s">
        <v>262</v>
      </c>
      <c r="F2625" s="386">
        <v>1.0</v>
      </c>
      <c r="G2625" s="74">
        <v>110000.0</v>
      </c>
      <c r="H2625" s="74">
        <v>0.0</v>
      </c>
      <c r="I2625" s="74">
        <f t="shared" si="1"/>
        <v>110000</v>
      </c>
      <c r="J2625" s="74">
        <f>IF(E2625="SERVICE",I2625-(I2625*50%),Vlookup(E2625,DATABASE!C:Q,10,false)*F2625)</f>
        <v>5000</v>
      </c>
      <c r="K2625" s="74">
        <f>VLOOKUP(E2625,DATABASE!C:Q,7,false)</f>
        <v>0</v>
      </c>
      <c r="L2625" s="74">
        <v>0.0</v>
      </c>
      <c r="M2625" s="74">
        <f t="shared" si="2"/>
        <v>0</v>
      </c>
      <c r="N2625" s="74">
        <f t="shared" si="3"/>
        <v>105000</v>
      </c>
      <c r="O2625" s="65" t="str">
        <f>VLOOKUP(E2625,DATABASE!C:Q,8,false)</f>
        <v>IBU</v>
      </c>
      <c r="P2625" s="65">
        <f>VLOOKUP(E2625,DATABASE!C:Q,9,False)</f>
        <v>0</v>
      </c>
      <c r="Q2625" s="93" t="str">
        <f>VLOOKUP(E2625,DATABASE!C:Q,4,false)</f>
        <v>SPOORING SS/CARRY LOS BAK</v>
      </c>
      <c r="R2625" s="93" t="str">
        <f>VLOOKUP(E2625,DATABASE!C:Q,11,false)</f>
        <v>SERVICE</v>
      </c>
    </row>
    <row r="2626" ht="22.5" customHeight="1">
      <c r="A2626" s="49"/>
      <c r="C2626" s="384">
        <v>45793.0</v>
      </c>
      <c r="D2626" s="65">
        <v>5677.0</v>
      </c>
      <c r="E2626" s="445" t="s">
        <v>937</v>
      </c>
      <c r="F2626" s="386">
        <v>2.0</v>
      </c>
      <c r="G2626" s="74">
        <v>900000.0</v>
      </c>
      <c r="H2626" s="74">
        <v>0.0</v>
      </c>
      <c r="I2626" s="74">
        <f t="shared" si="1"/>
        <v>1800000</v>
      </c>
      <c r="J2626" s="74">
        <f>IF(E2626="SERVICE",I2626-(I2626*50%),Vlookup(E2626,DATABASE!C:Q,10,false)*F2626)</f>
        <v>0</v>
      </c>
      <c r="K2626" s="74">
        <f>VLOOKUP(E2626,DATABASE!C:Q,7,false)</f>
        <v>825000</v>
      </c>
      <c r="L2626" s="74">
        <v>790000.0</v>
      </c>
      <c r="M2626" s="74">
        <f t="shared" si="2"/>
        <v>790000</v>
      </c>
      <c r="N2626" s="74">
        <f t="shared" si="3"/>
        <v>220000</v>
      </c>
      <c r="O2626" s="65" t="str">
        <f>VLOOKUP(E2626,DATABASE!C:Q,8,false)</f>
        <v>IBU</v>
      </c>
      <c r="P2626" s="65">
        <f>VLOOKUP(E2626,DATABASE!C:Q,9,False)</f>
        <v>1</v>
      </c>
      <c r="Q2626" s="93" t="str">
        <f>VLOOKUP(E2626,DATABASE!C:Q,4,false)</f>
        <v>Bridgestone</v>
      </c>
      <c r="R2626" s="93" t="str">
        <f>VLOOKUP(E2626,DATABASE!C:Q,11,false)</f>
        <v>Tire</v>
      </c>
    </row>
    <row r="2627" ht="22.5" customHeight="1">
      <c r="A2627" s="49"/>
      <c r="C2627" s="384">
        <v>45793.0</v>
      </c>
      <c r="D2627" s="65">
        <v>5678.0</v>
      </c>
      <c r="E2627" s="445" t="s">
        <v>250</v>
      </c>
      <c r="F2627" s="386">
        <v>1.0</v>
      </c>
      <c r="G2627" s="74">
        <v>135000.0</v>
      </c>
      <c r="H2627" s="74">
        <v>0.0</v>
      </c>
      <c r="I2627" s="74">
        <f t="shared" si="1"/>
        <v>135000</v>
      </c>
      <c r="J2627" s="74">
        <f>IF(E2627="SERVICE",I2627-(I2627*50%),Vlookup(E2627,DATABASE!C:Q,10,false)*F2627)</f>
        <v>0</v>
      </c>
      <c r="K2627" s="74">
        <f>VLOOKUP(E2627,DATABASE!C:Q,7,false)</f>
        <v>102000</v>
      </c>
      <c r="L2627" s="74">
        <v>102000.0</v>
      </c>
      <c r="M2627" s="74">
        <f t="shared" si="2"/>
        <v>105000</v>
      </c>
      <c r="N2627" s="74">
        <f t="shared" si="3"/>
        <v>30000</v>
      </c>
      <c r="O2627" s="65" t="str">
        <f>VLOOKUP(E2627,DATABASE!C:Q,8,false)</f>
        <v>BIAN</v>
      </c>
      <c r="P2627" s="65">
        <f>VLOOKUP(E2627,DATABASE!C:Q,9,False)</f>
        <v>1</v>
      </c>
      <c r="Q2627" s="93" t="str">
        <f>VLOOKUP(E2627,DATABASE!C:Q,4,false)</f>
        <v>BD</v>
      </c>
      <c r="R2627" s="93" t="str">
        <f>VLOOKUP(E2627,DATABASE!C:Q,11,false)</f>
        <v>Tire</v>
      </c>
    </row>
    <row r="2628" ht="22.5" customHeight="1">
      <c r="A2628" s="49"/>
      <c r="C2628" s="384">
        <v>45793.0</v>
      </c>
      <c r="D2628" s="65">
        <v>5679.0</v>
      </c>
      <c r="E2628" s="445" t="s">
        <v>2135</v>
      </c>
      <c r="F2628" s="386">
        <v>1.0</v>
      </c>
      <c r="G2628" s="74">
        <v>15000.0</v>
      </c>
      <c r="H2628" s="74">
        <v>0.0</v>
      </c>
      <c r="I2628" s="74">
        <f t="shared" si="1"/>
        <v>15000</v>
      </c>
      <c r="J2628" s="74">
        <f>IF(E2628="SERVICE",I2628-(I2628*50%),Vlookup(E2628,DATABASE!C:Q,10,false)*F2628)</f>
        <v>0</v>
      </c>
      <c r="K2628" s="74">
        <f>VLOOKUP(E2628,DATABASE!C:Q,7,false)</f>
        <v>0</v>
      </c>
      <c r="L2628" s="74">
        <v>0.0</v>
      </c>
      <c r="M2628" s="74">
        <f t="shared" si="2"/>
        <v>0</v>
      </c>
      <c r="N2628" s="74">
        <f t="shared" si="3"/>
        <v>15000</v>
      </c>
      <c r="O2628" s="65" t="str">
        <f>VLOOKUP(E2628,DATABASE!C:Q,8,false)</f>
        <v>IBU</v>
      </c>
      <c r="P2628" s="65">
        <f>VLOOKUP(E2628,DATABASE!C:Q,9,False)</f>
        <v>0</v>
      </c>
      <c r="Q2628" s="93" t="str">
        <f>VLOOKUP(E2628,DATABASE!C:Q,4,false)</f>
        <v>NITROGEN</v>
      </c>
      <c r="R2628" s="93" t="str">
        <f>VLOOKUP(E2628,DATABASE!C:Q,11,false)</f>
        <v>COMPLEMENTARY</v>
      </c>
    </row>
    <row r="2629" ht="22.5" customHeight="1">
      <c r="A2629" s="49"/>
      <c r="C2629" s="384">
        <v>45793.0</v>
      </c>
      <c r="D2629" s="65">
        <v>5680.0</v>
      </c>
      <c r="E2629" s="445" t="s">
        <v>569</v>
      </c>
      <c r="F2629" s="386">
        <v>1.0</v>
      </c>
      <c r="G2629" s="74">
        <v>80000.0</v>
      </c>
      <c r="H2629" s="74">
        <v>0.0</v>
      </c>
      <c r="I2629" s="74">
        <f t="shared" si="1"/>
        <v>80000</v>
      </c>
      <c r="J2629" s="74">
        <f>IF(E2629="SERVICE",I2629-(I2629*50%),Vlookup(E2629,DATABASE!C:Q,10,false)*F2629)</f>
        <v>0</v>
      </c>
      <c r="K2629" s="74">
        <f>VLOOKUP(E2629,DATABASE!C:Q,7,false)</f>
        <v>45439.582</v>
      </c>
      <c r="L2629" s="74">
        <v>45309.6</v>
      </c>
      <c r="M2629" s="74">
        <f t="shared" si="2"/>
        <v>50000</v>
      </c>
      <c r="N2629" s="74">
        <f t="shared" si="3"/>
        <v>30000</v>
      </c>
      <c r="O2629" s="65" t="str">
        <f>VLOOKUP(E2629,DATABASE!C:Q,8,false)</f>
        <v>BIAN</v>
      </c>
      <c r="P2629" s="65">
        <f>VLOOKUP(E2629,DATABASE!C:Q,9,False)</f>
        <v>1</v>
      </c>
      <c r="Q2629" s="93" t="str">
        <f>VLOOKUP(E2629,DATABASE!C:Q,4,false)</f>
        <v>BD</v>
      </c>
      <c r="R2629" s="93" t="str">
        <f>VLOOKUP(E2629,DATABASE!C:Q,11,false)</f>
        <v>Tire</v>
      </c>
    </row>
    <row r="2630" ht="22.5" customHeight="1">
      <c r="A2630" s="49"/>
      <c r="C2630" s="384">
        <v>45794.0</v>
      </c>
      <c r="D2630" s="65">
        <v>5681.0</v>
      </c>
      <c r="E2630" s="445" t="s">
        <v>256</v>
      </c>
      <c r="F2630" s="386">
        <v>1.0</v>
      </c>
      <c r="G2630" s="74">
        <v>130000.0</v>
      </c>
      <c r="H2630" s="74">
        <v>0.0</v>
      </c>
      <c r="I2630" s="74">
        <f t="shared" si="1"/>
        <v>130000</v>
      </c>
      <c r="J2630" s="74">
        <f>IF(E2630="SERVICE",I2630-(I2630*50%),Vlookup(E2630,DATABASE!C:Q,10,false)*F2630)</f>
        <v>10000</v>
      </c>
      <c r="K2630" s="74">
        <f>VLOOKUP(E2630,DATABASE!C:Q,7,false)</f>
        <v>0</v>
      </c>
      <c r="L2630" s="74">
        <v>0.0</v>
      </c>
      <c r="M2630" s="74">
        <f t="shared" si="2"/>
        <v>0</v>
      </c>
      <c r="N2630" s="74">
        <f t="shared" si="3"/>
        <v>120000</v>
      </c>
      <c r="O2630" s="65" t="str">
        <f>VLOOKUP(E2630,DATABASE!C:Q,8,false)</f>
        <v>IBU</v>
      </c>
      <c r="P2630" s="65">
        <f>VLOOKUP(E2630,DATABASE!C:Q,9,False)</f>
        <v>0</v>
      </c>
      <c r="Q2630" s="93" t="str">
        <f>VLOOKUP(E2630,DATABASE!C:Q,4,false)</f>
        <v>SPOORING</v>
      </c>
      <c r="R2630" s="93" t="str">
        <f>VLOOKUP(E2630,DATABASE!C:Q,11,false)</f>
        <v>SERVICE</v>
      </c>
    </row>
    <row r="2631" ht="22.5" customHeight="1">
      <c r="A2631" s="49"/>
      <c r="C2631" s="384">
        <v>45794.0</v>
      </c>
      <c r="D2631" s="65">
        <v>5681.0</v>
      </c>
      <c r="E2631" s="445" t="s">
        <v>251</v>
      </c>
      <c r="F2631" s="386">
        <v>1.0</v>
      </c>
      <c r="G2631" s="74">
        <v>150000.0</v>
      </c>
      <c r="H2631" s="74">
        <v>0.0</v>
      </c>
      <c r="I2631" s="74">
        <f t="shared" si="1"/>
        <v>150000</v>
      </c>
      <c r="J2631" s="74">
        <f>IF(E2631="SERVICE",I2631-(I2631*50%),Vlookup(E2631,DATABASE!C:Q,10,false)*F2631)</f>
        <v>75000</v>
      </c>
      <c r="K2631" s="74">
        <f>VLOOKUP(E2631,DATABASE!C:Q,7,false)</f>
        <v>0</v>
      </c>
      <c r="L2631" s="74">
        <v>0.0</v>
      </c>
      <c r="M2631" s="74">
        <f t="shared" si="2"/>
        <v>0</v>
      </c>
      <c r="N2631" s="74">
        <f t="shared" si="3"/>
        <v>75000</v>
      </c>
      <c r="O2631" s="65" t="str">
        <f>VLOOKUP(E2631,DATABASE!C:Q,8,false)</f>
        <v>IBU</v>
      </c>
      <c r="P2631" s="65">
        <f>VLOOKUP(E2631,DATABASE!C:Q,9,False)</f>
        <v>0</v>
      </c>
      <c r="Q2631" s="93" t="str">
        <f>VLOOKUP(E2631,DATABASE!C:Q,4,false)</f>
        <v>SERVICE</v>
      </c>
      <c r="R2631" s="93" t="str">
        <f>VLOOKUP(E2631,DATABASE!C:Q,11,false)</f>
        <v>SERVICE</v>
      </c>
    </row>
    <row r="2632" ht="22.5" customHeight="1">
      <c r="A2632" s="49"/>
      <c r="C2632" s="384">
        <v>45794.0</v>
      </c>
      <c r="D2632" s="65">
        <v>5682.0</v>
      </c>
      <c r="E2632" s="445" t="s">
        <v>268</v>
      </c>
      <c r="F2632" s="386">
        <v>1.0</v>
      </c>
      <c r="G2632" s="74">
        <v>700000.0</v>
      </c>
      <c r="H2632" s="74">
        <v>0.0</v>
      </c>
      <c r="I2632" s="74">
        <f t="shared" si="1"/>
        <v>700000</v>
      </c>
      <c r="J2632" s="74">
        <f>IF(E2632="SERVICE",I2632-(I2632*50%),Vlookup(E2632,DATABASE!C:Q,10,false)*F2632)</f>
        <v>0</v>
      </c>
      <c r="K2632" s="74">
        <v>613000.0</v>
      </c>
      <c r="L2632" s="74">
        <v>613000.0</v>
      </c>
      <c r="M2632" s="74">
        <f t="shared" si="2"/>
        <v>615000</v>
      </c>
      <c r="N2632" s="74">
        <f t="shared" si="3"/>
        <v>85000</v>
      </c>
      <c r="O2632" s="65" t="str">
        <f>VLOOKUP(E2632,DATABASE!C:Q,8,false)</f>
        <v>IBU</v>
      </c>
      <c r="P2632" s="65">
        <f>VLOOKUP(E2632,DATABASE!C:Q,9,False)</f>
        <v>1</v>
      </c>
      <c r="Q2632" s="93" t="str">
        <f>VLOOKUP(E2632,DATABASE!C:Q,4,false)</f>
        <v>Dunlop</v>
      </c>
      <c r="R2632" s="93" t="str">
        <f>VLOOKUP(E2632,DATABASE!C:Q,11,false)</f>
        <v>Tire</v>
      </c>
    </row>
    <row r="2633" ht="22.5" customHeight="1">
      <c r="A2633" s="49"/>
      <c r="C2633" s="384">
        <v>45794.0</v>
      </c>
      <c r="D2633" s="65">
        <v>5683.0</v>
      </c>
      <c r="E2633" s="445" t="s">
        <v>268</v>
      </c>
      <c r="F2633" s="386">
        <v>2.0</v>
      </c>
      <c r="G2633" s="74">
        <v>700000.0</v>
      </c>
      <c r="H2633" s="74">
        <v>0.0</v>
      </c>
      <c r="I2633" s="74">
        <f t="shared" si="1"/>
        <v>1400000</v>
      </c>
      <c r="J2633" s="74">
        <f>IF(E2633="SERVICE",I2633-(I2633*50%),Vlookup(E2633,DATABASE!C:Q,10,false)*F2633)</f>
        <v>0</v>
      </c>
      <c r="K2633" s="74">
        <v>613000.0</v>
      </c>
      <c r="L2633" s="74">
        <v>613000.0</v>
      </c>
      <c r="M2633" s="74">
        <f t="shared" si="2"/>
        <v>615000</v>
      </c>
      <c r="N2633" s="74">
        <f t="shared" si="3"/>
        <v>170000</v>
      </c>
      <c r="O2633" s="65" t="str">
        <f>VLOOKUP(E2633,DATABASE!C:Q,8,false)</f>
        <v>IBU</v>
      </c>
      <c r="P2633" s="65">
        <f>VLOOKUP(E2633,DATABASE!C:Q,9,False)</f>
        <v>1</v>
      </c>
      <c r="Q2633" s="93" t="str">
        <f>VLOOKUP(E2633,DATABASE!C:Q,4,false)</f>
        <v>Dunlop</v>
      </c>
      <c r="R2633" s="93" t="str">
        <f>VLOOKUP(E2633,DATABASE!C:Q,11,false)</f>
        <v>Tire</v>
      </c>
    </row>
    <row r="2634" ht="22.5" customHeight="1">
      <c r="A2634" s="49"/>
      <c r="C2634" s="384">
        <v>45794.0</v>
      </c>
      <c r="D2634" s="65">
        <v>5684.0</v>
      </c>
      <c r="E2634" s="445" t="s">
        <v>777</v>
      </c>
      <c r="F2634" s="386">
        <v>1.0</v>
      </c>
      <c r="G2634" s="74">
        <v>585000.0</v>
      </c>
      <c r="H2634" s="74">
        <v>0.0</v>
      </c>
      <c r="I2634" s="74">
        <f t="shared" si="1"/>
        <v>585000</v>
      </c>
      <c r="J2634" s="74">
        <f>IF(E2634="SERVICE",I2634-(I2634*50%),Vlookup(E2634,DATABASE!C:Q,10,false)*F2634)</f>
        <v>0</v>
      </c>
      <c r="K2634" s="74">
        <f>VLOOKUP(E2634,DATABASE!C:Q,7,false)</f>
        <v>540000</v>
      </c>
      <c r="L2634" s="74">
        <v>507000.0</v>
      </c>
      <c r="M2634" s="74">
        <f t="shared" si="2"/>
        <v>510000</v>
      </c>
      <c r="N2634" s="74">
        <f t="shared" si="3"/>
        <v>75000</v>
      </c>
      <c r="O2634" s="65" t="str">
        <f>VLOOKUP(E2634,DATABASE!C:Q,8,false)</f>
        <v>BIAN</v>
      </c>
      <c r="P2634" s="65">
        <f>VLOOKUP(E2634,DATABASE!C:Q,9,False)</f>
        <v>1</v>
      </c>
      <c r="Q2634" s="93" t="str">
        <f>VLOOKUP(E2634,DATABASE!C:Q,4,false)</f>
        <v>GT</v>
      </c>
      <c r="R2634" s="93" t="str">
        <f>VLOOKUP(E2634,DATABASE!C:Q,11,false)</f>
        <v>Tire</v>
      </c>
    </row>
    <row r="2635" ht="22.5" customHeight="1">
      <c r="A2635" s="49"/>
      <c r="C2635" s="384">
        <v>45794.0</v>
      </c>
      <c r="D2635" s="65">
        <v>5687.0</v>
      </c>
      <c r="E2635" s="445" t="s">
        <v>256</v>
      </c>
      <c r="F2635" s="386">
        <v>1.0</v>
      </c>
      <c r="G2635" s="74">
        <v>130000.0</v>
      </c>
      <c r="H2635" s="74">
        <v>0.0</v>
      </c>
      <c r="I2635" s="74">
        <f t="shared" si="1"/>
        <v>130000</v>
      </c>
      <c r="J2635" s="74">
        <f>IF(E2635="SERVICE",I2635-(I2635*50%),Vlookup(E2635,DATABASE!C:Q,10,false)*F2635)</f>
        <v>10000</v>
      </c>
      <c r="K2635" s="74">
        <f>VLOOKUP(E2635,DATABASE!C:Q,7,false)</f>
        <v>0</v>
      </c>
      <c r="L2635" s="74">
        <v>0.0</v>
      </c>
      <c r="M2635" s="74">
        <f t="shared" si="2"/>
        <v>0</v>
      </c>
      <c r="N2635" s="74">
        <f t="shared" si="3"/>
        <v>120000</v>
      </c>
      <c r="O2635" s="65" t="str">
        <f>VLOOKUP(E2635,DATABASE!C:Q,8,false)</f>
        <v>IBU</v>
      </c>
      <c r="P2635" s="65">
        <f>VLOOKUP(E2635,DATABASE!C:Q,9,False)</f>
        <v>0</v>
      </c>
      <c r="Q2635" s="93" t="str">
        <f>VLOOKUP(E2635,DATABASE!C:Q,4,false)</f>
        <v>SPOORING</v>
      </c>
      <c r="R2635" s="93" t="str">
        <f>VLOOKUP(E2635,DATABASE!C:Q,11,false)</f>
        <v>SERVICE</v>
      </c>
    </row>
    <row r="2636" ht="22.5" customHeight="1">
      <c r="A2636" s="49"/>
      <c r="C2636" s="384">
        <v>45794.0</v>
      </c>
      <c r="D2636" s="65">
        <v>5687.0</v>
      </c>
      <c r="E2636" s="445" t="s">
        <v>251</v>
      </c>
      <c r="F2636" s="386">
        <v>1.0</v>
      </c>
      <c r="G2636" s="74">
        <v>150000.0</v>
      </c>
      <c r="H2636" s="74">
        <v>0.0</v>
      </c>
      <c r="I2636" s="74">
        <f t="shared" si="1"/>
        <v>150000</v>
      </c>
      <c r="J2636" s="74">
        <f>IF(E2636="SERVICE",I2636-(I2636*50%),Vlookup(E2636,DATABASE!C:Q,10,false)*F2636)</f>
        <v>75000</v>
      </c>
      <c r="K2636" s="74">
        <f>VLOOKUP(E2636,DATABASE!C:Q,7,false)</f>
        <v>0</v>
      </c>
      <c r="L2636" s="74">
        <v>0.0</v>
      </c>
      <c r="M2636" s="74">
        <f t="shared" si="2"/>
        <v>0</v>
      </c>
      <c r="N2636" s="74">
        <f t="shared" si="3"/>
        <v>75000</v>
      </c>
      <c r="O2636" s="65" t="str">
        <f>VLOOKUP(E2636,DATABASE!C:Q,8,false)</f>
        <v>IBU</v>
      </c>
      <c r="P2636" s="65">
        <f>VLOOKUP(E2636,DATABASE!C:Q,9,False)</f>
        <v>0</v>
      </c>
      <c r="Q2636" s="93" t="str">
        <f>VLOOKUP(E2636,DATABASE!C:Q,4,false)</f>
        <v>SERVICE</v>
      </c>
      <c r="R2636" s="93" t="str">
        <f>VLOOKUP(E2636,DATABASE!C:Q,11,false)</f>
        <v>SERVICE</v>
      </c>
    </row>
    <row r="2637" ht="22.5" customHeight="1">
      <c r="A2637" s="49"/>
      <c r="C2637" s="384">
        <v>45794.0</v>
      </c>
      <c r="D2637" s="65">
        <v>5688.0</v>
      </c>
      <c r="E2637" s="445" t="s">
        <v>1133</v>
      </c>
      <c r="F2637" s="386">
        <v>2.0</v>
      </c>
      <c r="G2637" s="74">
        <v>820000.0</v>
      </c>
      <c r="H2637" s="74">
        <v>0.0</v>
      </c>
      <c r="I2637" s="74">
        <f t="shared" si="1"/>
        <v>1640000</v>
      </c>
      <c r="J2637" s="74">
        <f>IF(E2637="SERVICE",I2637-(I2637*50%),Vlookup(E2637,DATABASE!C:Q,10,false)*F2637)</f>
        <v>0</v>
      </c>
      <c r="K2637" s="74">
        <f>VLOOKUP(E2637,DATABASE!C:Q,7,false)</f>
        <v>759539.2</v>
      </c>
      <c r="L2637" s="74">
        <v>715635.0</v>
      </c>
      <c r="M2637" s="74">
        <f t="shared" si="2"/>
        <v>720000</v>
      </c>
      <c r="N2637" s="74">
        <f t="shared" si="3"/>
        <v>200000</v>
      </c>
      <c r="O2637" s="65" t="str">
        <f>VLOOKUP(E2637,DATABASE!C:Q,8,false)</f>
        <v>IBU</v>
      </c>
      <c r="P2637" s="65">
        <f>VLOOKUP(E2637,DATABASE!C:Q,9,False)</f>
        <v>1</v>
      </c>
      <c r="Q2637" s="93" t="str">
        <f>VLOOKUP(E2637,DATABASE!C:Q,4,false)</f>
        <v>Bridgestone</v>
      </c>
      <c r="R2637" s="93" t="str">
        <f>VLOOKUP(E2637,DATABASE!C:Q,11,false)</f>
        <v>Tire</v>
      </c>
    </row>
    <row r="2638" ht="22.5" customHeight="1">
      <c r="A2638" s="49"/>
      <c r="C2638" s="384">
        <v>45794.0</v>
      </c>
      <c r="D2638" s="65">
        <v>5688.0</v>
      </c>
      <c r="E2638" s="385" t="s">
        <v>299</v>
      </c>
      <c r="F2638" s="386">
        <v>2.0</v>
      </c>
      <c r="G2638" s="74">
        <v>30000.0</v>
      </c>
      <c r="H2638" s="74">
        <v>0.0</v>
      </c>
      <c r="I2638" s="74">
        <f t="shared" si="1"/>
        <v>60000</v>
      </c>
      <c r="J2638" s="74">
        <f>IF(E2638="SERVICE",I2638-(I2638*50%),Vlookup(E2638,DATABASE!C:Q,10,false)*F2638)</f>
        <v>0</v>
      </c>
      <c r="K2638" s="74">
        <v>0.0</v>
      </c>
      <c r="L2638" s="74">
        <v>0.0</v>
      </c>
      <c r="M2638" s="74">
        <f t="shared" si="2"/>
        <v>0</v>
      </c>
      <c r="N2638" s="74">
        <f t="shared" si="3"/>
        <v>60000</v>
      </c>
      <c r="O2638" s="65" t="str">
        <f>VLOOKUP(E2638,DATABASE!C:Q,8,false)</f>
        <v>BIAN</v>
      </c>
      <c r="P2638" s="65">
        <f>VLOOKUP(E2638,DATABASE!C:Q,9,False)</f>
        <v>0</v>
      </c>
      <c r="Q2638" s="93" t="str">
        <f>VLOOKUP(E2638,DATABASE!C:Q,4,false)</f>
        <v>Balancing</v>
      </c>
      <c r="R2638" s="93" t="str">
        <f>VLOOKUP(E2638,DATABASE!C:Q,11,false)</f>
        <v>COMPLEMENTARY</v>
      </c>
    </row>
    <row r="2639" ht="22.5" customHeight="1">
      <c r="A2639" s="49"/>
      <c r="C2639" s="384">
        <v>45794.0</v>
      </c>
      <c r="D2639" s="65">
        <v>5689.0</v>
      </c>
      <c r="E2639" s="445" t="s">
        <v>268</v>
      </c>
      <c r="F2639" s="386">
        <v>2.0</v>
      </c>
      <c r="G2639" s="74">
        <v>720000.0</v>
      </c>
      <c r="H2639" s="74">
        <v>0.0</v>
      </c>
      <c r="I2639" s="74">
        <f t="shared" si="1"/>
        <v>1440000</v>
      </c>
      <c r="J2639" s="74">
        <f>IF(E2639="SERVICE",I2639-(I2639*50%),Vlookup(E2639,DATABASE!C:Q,10,false)*F2639)</f>
        <v>0</v>
      </c>
      <c r="K2639" s="74">
        <f>VLOOKUP(E2639,DATABASE!C:Q,7,false)</f>
        <v>653000</v>
      </c>
      <c r="L2639" s="74">
        <v>622000.0</v>
      </c>
      <c r="M2639" s="74">
        <f t="shared" si="2"/>
        <v>625000</v>
      </c>
      <c r="N2639" s="74">
        <f t="shared" si="3"/>
        <v>190000</v>
      </c>
      <c r="O2639" s="65" t="str">
        <f>VLOOKUP(E2639,DATABASE!C:Q,8,false)</f>
        <v>IBU</v>
      </c>
      <c r="P2639" s="65">
        <f>VLOOKUP(E2639,DATABASE!C:Q,9,False)</f>
        <v>1</v>
      </c>
      <c r="Q2639" s="93" t="str">
        <f>VLOOKUP(E2639,DATABASE!C:Q,4,false)</f>
        <v>Dunlop</v>
      </c>
      <c r="R2639" s="93" t="str">
        <f>VLOOKUP(E2639,DATABASE!C:Q,11,false)</f>
        <v>Tire</v>
      </c>
    </row>
    <row r="2640" ht="22.5" customHeight="1">
      <c r="A2640" s="49"/>
      <c r="C2640" s="384">
        <v>45794.0</v>
      </c>
      <c r="D2640" s="65">
        <v>5690.0</v>
      </c>
      <c r="E2640" s="445" t="s">
        <v>256</v>
      </c>
      <c r="F2640" s="386">
        <v>1.0</v>
      </c>
      <c r="G2640" s="74">
        <v>130000.0</v>
      </c>
      <c r="H2640" s="74">
        <v>0.0</v>
      </c>
      <c r="I2640" s="74">
        <f t="shared" si="1"/>
        <v>130000</v>
      </c>
      <c r="J2640" s="74">
        <f>IF(E2640="SERVICE",I2640-(I2640*50%),Vlookup(E2640,DATABASE!C:Q,10,false)*F2640)</f>
        <v>10000</v>
      </c>
      <c r="K2640" s="74">
        <f>VLOOKUP(E2640,DATABASE!C:Q,7,false)</f>
        <v>0</v>
      </c>
      <c r="L2640" s="74">
        <v>0.0</v>
      </c>
      <c r="M2640" s="74">
        <f t="shared" si="2"/>
        <v>0</v>
      </c>
      <c r="N2640" s="74">
        <f t="shared" si="3"/>
        <v>120000</v>
      </c>
      <c r="O2640" s="65" t="str">
        <f>VLOOKUP(E2640,DATABASE!C:Q,8,false)</f>
        <v>IBU</v>
      </c>
      <c r="P2640" s="65">
        <f>VLOOKUP(E2640,DATABASE!C:Q,9,False)</f>
        <v>0</v>
      </c>
      <c r="Q2640" s="93" t="str">
        <f>VLOOKUP(E2640,DATABASE!C:Q,4,false)</f>
        <v>SPOORING</v>
      </c>
      <c r="R2640" s="93" t="str">
        <f>VLOOKUP(E2640,DATABASE!C:Q,11,false)</f>
        <v>SERVICE</v>
      </c>
    </row>
    <row r="2641" ht="22.5" customHeight="1">
      <c r="A2641" s="49"/>
      <c r="C2641" s="384">
        <v>45794.0</v>
      </c>
      <c r="D2641" s="65">
        <v>5690.0</v>
      </c>
      <c r="E2641" s="385" t="s">
        <v>299</v>
      </c>
      <c r="F2641" s="386">
        <v>2.0</v>
      </c>
      <c r="G2641" s="74">
        <v>30000.0</v>
      </c>
      <c r="H2641" s="74">
        <v>0.0</v>
      </c>
      <c r="I2641" s="74">
        <f t="shared" si="1"/>
        <v>60000</v>
      </c>
      <c r="J2641" s="74">
        <f>IF(E2641="SERVICE",I2641-(I2641*50%),Vlookup(E2641,DATABASE!C:Q,10,false)*F2641)</f>
        <v>0</v>
      </c>
      <c r="K2641" s="74">
        <v>0.0</v>
      </c>
      <c r="L2641" s="74">
        <v>0.0</v>
      </c>
      <c r="M2641" s="74">
        <f t="shared" si="2"/>
        <v>0</v>
      </c>
      <c r="N2641" s="74">
        <f t="shared" si="3"/>
        <v>60000</v>
      </c>
      <c r="O2641" s="65" t="str">
        <f>VLOOKUP(E2641,DATABASE!C:Q,8,false)</f>
        <v>BIAN</v>
      </c>
      <c r="P2641" s="65">
        <f>VLOOKUP(E2641,DATABASE!C:Q,9,False)</f>
        <v>0</v>
      </c>
      <c r="Q2641" s="93" t="str">
        <f>VLOOKUP(E2641,DATABASE!C:Q,4,false)</f>
        <v>Balancing</v>
      </c>
      <c r="R2641" s="93" t="str">
        <f>VLOOKUP(E2641,DATABASE!C:Q,11,false)</f>
        <v>COMPLEMENTARY</v>
      </c>
    </row>
    <row r="2642" ht="22.5" customHeight="1">
      <c r="A2642" s="49"/>
      <c r="C2642" s="384">
        <v>45794.0</v>
      </c>
      <c r="D2642" s="65">
        <v>5690.0</v>
      </c>
      <c r="E2642" s="445" t="s">
        <v>301</v>
      </c>
      <c r="F2642" s="386">
        <v>1.0</v>
      </c>
      <c r="G2642" s="74">
        <v>250000.0</v>
      </c>
      <c r="H2642" s="74">
        <v>0.0</v>
      </c>
      <c r="I2642" s="74">
        <f t="shared" si="1"/>
        <v>250000</v>
      </c>
      <c r="J2642" s="74">
        <f>IF(E2642="SERVICE",I2642-(I2642*50%),Vlookup(E2642,DATABASE!C:Q,10,false)*F2642)</f>
        <v>75000</v>
      </c>
      <c r="K2642" s="74">
        <f>VLOOKUP(E2642,DATABASE!C:Q,7,false)</f>
        <v>75000</v>
      </c>
      <c r="L2642" s="74">
        <v>75000.0</v>
      </c>
      <c r="M2642" s="74">
        <f t="shared" si="2"/>
        <v>75000</v>
      </c>
      <c r="N2642" s="74">
        <f t="shared" si="3"/>
        <v>100000</v>
      </c>
      <c r="O2642" s="65" t="str">
        <f>VLOOKUP(E2642,DATABASE!C:Q,8,false)</f>
        <v>BIAN</v>
      </c>
      <c r="P2642" s="65">
        <f>VLOOKUP(E2642,DATABASE!C:Q,9,False)</f>
        <v>0</v>
      </c>
      <c r="Q2642" s="93" t="str">
        <f>VLOOKUP(E2642,DATABASE!C:Q,4,false)</f>
        <v>Baut Camber</v>
      </c>
      <c r="R2642" s="93" t="str">
        <f>VLOOKUP(E2642,DATABASE!C:Q,11,false)</f>
        <v>COMPLEMENTARY</v>
      </c>
    </row>
    <row r="2643" ht="22.5" customHeight="1">
      <c r="A2643" s="49"/>
      <c r="C2643" s="384">
        <v>45794.0</v>
      </c>
      <c r="D2643" s="65">
        <v>5691.0</v>
      </c>
      <c r="E2643" s="445" t="s">
        <v>294</v>
      </c>
      <c r="F2643" s="386">
        <v>2.0</v>
      </c>
      <c r="G2643" s="74">
        <v>570000.0</v>
      </c>
      <c r="H2643" s="74">
        <v>0.0</v>
      </c>
      <c r="I2643" s="74">
        <f t="shared" si="1"/>
        <v>1140000</v>
      </c>
      <c r="J2643" s="74">
        <f>IF(E2643="SERVICE",I2643-(I2643*50%),Vlookup(E2643,DATABASE!C:Q,10,false)*F2643)</f>
        <v>0</v>
      </c>
      <c r="K2643" s="74">
        <f>VLOOKUP(E2643,DATABASE!C:Q,7,false)</f>
        <v>505000</v>
      </c>
      <c r="L2643" s="74">
        <v>490000.0</v>
      </c>
      <c r="M2643" s="74">
        <f t="shared" si="2"/>
        <v>490000</v>
      </c>
      <c r="N2643" s="74">
        <f t="shared" si="3"/>
        <v>160000</v>
      </c>
      <c r="O2643" s="65" t="str">
        <f>VLOOKUP(E2643,DATABASE!C:Q,8,false)</f>
        <v>BIAN</v>
      </c>
      <c r="P2643" s="65">
        <f>VLOOKUP(E2643,DATABASE!C:Q,9,False)</f>
        <v>1</v>
      </c>
      <c r="Q2643" s="93" t="str">
        <f>VLOOKUP(E2643,DATABASE!C:Q,4,false)</f>
        <v>GT</v>
      </c>
      <c r="R2643" s="93" t="str">
        <f>VLOOKUP(E2643,DATABASE!C:Q,11,false)</f>
        <v>Tire</v>
      </c>
    </row>
    <row r="2644" ht="22.5" customHeight="1">
      <c r="A2644" s="49"/>
      <c r="C2644" s="384">
        <v>45794.0</v>
      </c>
      <c r="D2644" s="65">
        <v>5691.0</v>
      </c>
      <c r="E2644" s="445" t="s">
        <v>569</v>
      </c>
      <c r="F2644" s="386">
        <v>2.0</v>
      </c>
      <c r="G2644" s="74">
        <v>80000.0</v>
      </c>
      <c r="H2644" s="74">
        <v>0.0</v>
      </c>
      <c r="I2644" s="74">
        <f t="shared" si="1"/>
        <v>160000</v>
      </c>
      <c r="J2644" s="74">
        <f>IF(E2644="SERVICE",I2644-(I2644*50%),Vlookup(E2644,DATABASE!C:Q,10,false)*F2644)</f>
        <v>0</v>
      </c>
      <c r="K2644" s="74">
        <f>VLOOKUP(E2644,DATABASE!C:Q,7,false)</f>
        <v>45439.582</v>
      </c>
      <c r="L2644" s="74">
        <v>45309.6</v>
      </c>
      <c r="M2644" s="74">
        <f t="shared" si="2"/>
        <v>50000</v>
      </c>
      <c r="N2644" s="74">
        <f t="shared" si="3"/>
        <v>60000</v>
      </c>
      <c r="O2644" s="65" t="str">
        <f>VLOOKUP(E2644,DATABASE!C:Q,8,false)</f>
        <v>BIAN</v>
      </c>
      <c r="P2644" s="65">
        <f>VLOOKUP(E2644,DATABASE!C:Q,9,False)</f>
        <v>1</v>
      </c>
      <c r="Q2644" s="93" t="str">
        <f>VLOOKUP(E2644,DATABASE!C:Q,4,false)</f>
        <v>BD</v>
      </c>
      <c r="R2644" s="93" t="str">
        <f>VLOOKUP(E2644,DATABASE!C:Q,11,false)</f>
        <v>Tire</v>
      </c>
    </row>
    <row r="2645" ht="22.5" customHeight="1">
      <c r="A2645" s="49"/>
      <c r="C2645" s="384">
        <v>45794.0</v>
      </c>
      <c r="D2645" s="65">
        <v>5693.0</v>
      </c>
      <c r="E2645" s="445" t="s">
        <v>268</v>
      </c>
      <c r="F2645" s="386">
        <v>2.0</v>
      </c>
      <c r="G2645" s="74">
        <v>720000.0</v>
      </c>
      <c r="H2645" s="74">
        <v>0.0</v>
      </c>
      <c r="I2645" s="74">
        <f t="shared" si="1"/>
        <v>1440000</v>
      </c>
      <c r="J2645" s="74">
        <f>IF(E2645="SERVICE",I2645-(I2645*50%),Vlookup(E2645,DATABASE!C:Q,10,false)*F2645)</f>
        <v>0</v>
      </c>
      <c r="K2645" s="74">
        <f>VLOOKUP(E2645,DATABASE!C:Q,7,false)</f>
        <v>653000</v>
      </c>
      <c r="L2645" s="74">
        <v>622000.0</v>
      </c>
      <c r="M2645" s="74">
        <f t="shared" si="2"/>
        <v>625000</v>
      </c>
      <c r="N2645" s="74">
        <f t="shared" si="3"/>
        <v>190000</v>
      </c>
      <c r="O2645" s="65" t="str">
        <f>VLOOKUP(E2645,DATABASE!C:Q,8,false)</f>
        <v>IBU</v>
      </c>
      <c r="P2645" s="65">
        <f>VLOOKUP(E2645,DATABASE!C:Q,9,False)</f>
        <v>1</v>
      </c>
      <c r="Q2645" s="93" t="str">
        <f>VLOOKUP(E2645,DATABASE!C:Q,4,false)</f>
        <v>Dunlop</v>
      </c>
      <c r="R2645" s="93" t="str">
        <f>VLOOKUP(E2645,DATABASE!C:Q,11,false)</f>
        <v>Tire</v>
      </c>
    </row>
    <row r="2646" ht="22.5" customHeight="1">
      <c r="A2646" s="49"/>
      <c r="C2646" s="384">
        <v>45794.0</v>
      </c>
      <c r="D2646" s="65">
        <v>5694.0</v>
      </c>
      <c r="E2646" s="445" t="s">
        <v>932</v>
      </c>
      <c r="F2646" s="386">
        <v>2.0</v>
      </c>
      <c r="G2646" s="74">
        <v>670000.0</v>
      </c>
      <c r="H2646" s="74">
        <v>0.0</v>
      </c>
      <c r="I2646" s="74">
        <f t="shared" si="1"/>
        <v>1340000</v>
      </c>
      <c r="J2646" s="74">
        <f>IF(E2646="SERVICE",I2646-(I2646*50%),Vlookup(E2646,DATABASE!C:Q,10,false)*F2646)</f>
        <v>0</v>
      </c>
      <c r="K2646" s="74">
        <v>575000.0</v>
      </c>
      <c r="L2646" s="74">
        <v>575000.0</v>
      </c>
      <c r="M2646" s="74">
        <f t="shared" si="2"/>
        <v>575000</v>
      </c>
      <c r="N2646" s="74">
        <f t="shared" si="3"/>
        <v>190000</v>
      </c>
      <c r="O2646" s="65" t="str">
        <f>VLOOKUP(E2646,DATABASE!C:Q,8,false)</f>
        <v>IBU</v>
      </c>
      <c r="P2646" s="65">
        <f>VLOOKUP(E2646,DATABASE!C:Q,9,False)</f>
        <v>1</v>
      </c>
      <c r="Q2646" s="93" t="str">
        <f>VLOOKUP(E2646,DATABASE!C:Q,4,false)</f>
        <v>Dunlop</v>
      </c>
      <c r="R2646" s="93" t="str">
        <f>VLOOKUP(E2646,DATABASE!C:Q,11,false)</f>
        <v>Tire</v>
      </c>
    </row>
    <row r="2647" ht="22.5" customHeight="1">
      <c r="A2647" s="49"/>
      <c r="C2647" s="384">
        <v>45794.0</v>
      </c>
      <c r="D2647" s="65">
        <v>5695.0</v>
      </c>
      <c r="E2647" s="445" t="s">
        <v>744</v>
      </c>
      <c r="F2647" s="386">
        <v>1.0</v>
      </c>
      <c r="G2647" s="74">
        <v>230000.0</v>
      </c>
      <c r="H2647" s="74">
        <v>0.0</v>
      </c>
      <c r="I2647" s="74">
        <f t="shared" si="1"/>
        <v>230000</v>
      </c>
      <c r="J2647" s="74">
        <f>IF(E2647="SERVICE",I2647-(I2647*50%),Vlookup(E2647,DATABASE!C:Q,10,false)*F2647)</f>
        <v>0</v>
      </c>
      <c r="K2647" s="74">
        <f>VLOOKUP(E2647,DATABASE!C:Q,7,false)</f>
        <v>182200</v>
      </c>
      <c r="L2647" s="74">
        <v>199920.0</v>
      </c>
      <c r="M2647" s="74">
        <f t="shared" si="2"/>
        <v>200000</v>
      </c>
      <c r="N2647" s="74">
        <f t="shared" si="3"/>
        <v>30000</v>
      </c>
      <c r="O2647" s="65" t="str">
        <f>VLOOKUP(E2647,DATABASE!C:Q,8,false)</f>
        <v>BIAN</v>
      </c>
      <c r="P2647" s="65">
        <f>VLOOKUP(E2647,DATABASE!C:Q,9,False)</f>
        <v>1</v>
      </c>
      <c r="Q2647" s="93" t="str">
        <f>VLOOKUP(E2647,DATABASE!C:Q,4,false)</f>
        <v>BD</v>
      </c>
      <c r="R2647" s="93" t="str">
        <f>VLOOKUP(E2647,DATABASE!C:Q,11,false)</f>
        <v>Tire</v>
      </c>
    </row>
    <row r="2648" ht="22.5" customHeight="1">
      <c r="A2648" s="49"/>
      <c r="C2648" s="384">
        <v>45794.0</v>
      </c>
      <c r="D2648" s="65">
        <v>5696.0</v>
      </c>
      <c r="E2648" s="445" t="s">
        <v>246</v>
      </c>
      <c r="F2648" s="386">
        <v>2.0</v>
      </c>
      <c r="G2648" s="74">
        <v>30000.0</v>
      </c>
      <c r="H2648" s="74">
        <v>0.0</v>
      </c>
      <c r="I2648" s="74">
        <f t="shared" si="1"/>
        <v>60000</v>
      </c>
      <c r="J2648" s="74">
        <f>IF(E2648="SERVICE",I2648-(I2648*50%),Vlookup(E2648,DATABASE!C:Q,10,false)*F2648)</f>
        <v>0</v>
      </c>
      <c r="K2648" s="74">
        <f>VLOOKUP(E2648,DATABASE!C:Q,7,false)</f>
        <v>0</v>
      </c>
      <c r="L2648" s="74">
        <v>0.0</v>
      </c>
      <c r="M2648" s="74">
        <f t="shared" si="2"/>
        <v>0</v>
      </c>
      <c r="N2648" s="74">
        <f t="shared" si="3"/>
        <v>60000</v>
      </c>
      <c r="O2648" s="65" t="str">
        <f>VLOOKUP(E2648,DATABASE!C:Q,8,false)</f>
        <v>IBU</v>
      </c>
      <c r="P2648" s="65">
        <f>VLOOKUP(E2648,DATABASE!C:Q,9,False)</f>
        <v>0</v>
      </c>
      <c r="Q2648" s="93" t="str">
        <f>VLOOKUP(E2648,DATABASE!C:Q,4,false)</f>
        <v>Bongkar Pasang</v>
      </c>
      <c r="R2648" s="93" t="str">
        <f>VLOOKUP(E2648,DATABASE!C:Q,11,false)</f>
        <v>SERVICE</v>
      </c>
    </row>
    <row r="2649" ht="22.5" customHeight="1">
      <c r="A2649" s="49"/>
      <c r="C2649" s="384">
        <v>45794.0</v>
      </c>
      <c r="D2649" s="65">
        <v>5697.0</v>
      </c>
      <c r="E2649" s="445" t="s">
        <v>856</v>
      </c>
      <c r="F2649" s="386">
        <v>2.0</v>
      </c>
      <c r="G2649" s="74">
        <v>670000.0</v>
      </c>
      <c r="H2649" s="74">
        <v>0.0</v>
      </c>
      <c r="I2649" s="74">
        <f t="shared" si="1"/>
        <v>1340000</v>
      </c>
      <c r="J2649" s="74">
        <f>IF(E2649="SERVICE",I2649-(I2649*50%),Vlookup(E2649,DATABASE!C:Q,10,false)*F2649)</f>
        <v>0</v>
      </c>
      <c r="K2649" s="74">
        <f>VLOOKUP(E2649,DATABASE!C:Q,7,false)</f>
        <v>615300</v>
      </c>
      <c r="L2649" s="74">
        <v>581120.0</v>
      </c>
      <c r="M2649" s="74">
        <f t="shared" si="2"/>
        <v>585000</v>
      </c>
      <c r="N2649" s="74">
        <f t="shared" si="3"/>
        <v>170000</v>
      </c>
      <c r="O2649" s="65" t="str">
        <f>VLOOKUP(E2649,DATABASE!C:Q,8,false)</f>
        <v>BIAN</v>
      </c>
      <c r="P2649" s="65">
        <f>VLOOKUP(E2649,DATABASE!C:Q,9,False)</f>
        <v>1</v>
      </c>
      <c r="Q2649" s="93" t="str">
        <f>VLOOKUP(E2649,DATABASE!C:Q,4,false)</f>
        <v>GT</v>
      </c>
      <c r="R2649" s="93" t="str">
        <f>VLOOKUP(E2649,DATABASE!C:Q,11,false)</f>
        <v>Tire</v>
      </c>
    </row>
    <row r="2650" ht="22.5" customHeight="1">
      <c r="A2650" s="49"/>
      <c r="C2650" s="384">
        <v>45794.0</v>
      </c>
      <c r="D2650" s="65">
        <v>5697.0</v>
      </c>
      <c r="E2650" s="445" t="s">
        <v>256</v>
      </c>
      <c r="F2650" s="386">
        <v>1.0</v>
      </c>
      <c r="G2650" s="74">
        <v>130000.0</v>
      </c>
      <c r="H2650" s="74">
        <v>0.0</v>
      </c>
      <c r="I2650" s="74">
        <f t="shared" si="1"/>
        <v>130000</v>
      </c>
      <c r="J2650" s="74">
        <f>IF(E2650="SERVICE",I2650-(I2650*50%),Vlookup(E2650,DATABASE!C:Q,10,false)*F2650)</f>
        <v>10000</v>
      </c>
      <c r="K2650" s="74">
        <f>VLOOKUP(E2650,DATABASE!C:Q,7,false)</f>
        <v>0</v>
      </c>
      <c r="L2650" s="74">
        <v>0.0</v>
      </c>
      <c r="M2650" s="74">
        <f t="shared" si="2"/>
        <v>0</v>
      </c>
      <c r="N2650" s="74">
        <f t="shared" si="3"/>
        <v>120000</v>
      </c>
      <c r="O2650" s="65" t="str">
        <f>VLOOKUP(E2650,DATABASE!C:Q,8,false)</f>
        <v>IBU</v>
      </c>
      <c r="P2650" s="65">
        <f>VLOOKUP(E2650,DATABASE!C:Q,9,False)</f>
        <v>0</v>
      </c>
      <c r="Q2650" s="93" t="str">
        <f>VLOOKUP(E2650,DATABASE!C:Q,4,false)</f>
        <v>SPOORING</v>
      </c>
      <c r="R2650" s="93" t="str">
        <f>VLOOKUP(E2650,DATABASE!C:Q,11,false)</f>
        <v>SERVICE</v>
      </c>
    </row>
    <row r="2651" ht="22.5" customHeight="1">
      <c r="A2651" s="49"/>
      <c r="C2651" s="384">
        <v>45794.0</v>
      </c>
      <c r="D2651" s="65">
        <v>5697.0</v>
      </c>
      <c r="E2651" s="445" t="s">
        <v>301</v>
      </c>
      <c r="F2651" s="386">
        <v>1.0</v>
      </c>
      <c r="G2651" s="74">
        <v>250000.0</v>
      </c>
      <c r="H2651" s="74">
        <v>0.0</v>
      </c>
      <c r="I2651" s="74">
        <f t="shared" si="1"/>
        <v>250000</v>
      </c>
      <c r="J2651" s="74">
        <f>IF(E2651="SERVICE",I2651-(I2651*50%),Vlookup(E2651,DATABASE!C:Q,10,false)*F2651)</f>
        <v>75000</v>
      </c>
      <c r="K2651" s="74">
        <f>VLOOKUP(E2651,DATABASE!C:Q,7,false)</f>
        <v>75000</v>
      </c>
      <c r="L2651" s="74">
        <v>75000.0</v>
      </c>
      <c r="M2651" s="74">
        <f t="shared" si="2"/>
        <v>75000</v>
      </c>
      <c r="N2651" s="74">
        <f t="shared" si="3"/>
        <v>100000</v>
      </c>
      <c r="O2651" s="65" t="str">
        <f>VLOOKUP(E2651,DATABASE!C:Q,8,false)</f>
        <v>BIAN</v>
      </c>
      <c r="P2651" s="65">
        <f>VLOOKUP(E2651,DATABASE!C:Q,9,False)</f>
        <v>0</v>
      </c>
      <c r="Q2651" s="93" t="str">
        <f>VLOOKUP(E2651,DATABASE!C:Q,4,false)</f>
        <v>Baut Camber</v>
      </c>
      <c r="R2651" s="93" t="str">
        <f>VLOOKUP(E2651,DATABASE!C:Q,11,false)</f>
        <v>COMPLEMENTARY</v>
      </c>
    </row>
    <row r="2652" ht="22.5" customHeight="1">
      <c r="A2652" s="49"/>
      <c r="C2652" s="384">
        <v>45794.0</v>
      </c>
      <c r="D2652" s="65">
        <v>5698.0</v>
      </c>
      <c r="E2652" s="445" t="s">
        <v>932</v>
      </c>
      <c r="F2652" s="386">
        <v>2.0</v>
      </c>
      <c r="G2652" s="74">
        <v>700000.0</v>
      </c>
      <c r="H2652" s="74">
        <v>0.0</v>
      </c>
      <c r="I2652" s="74">
        <f t="shared" si="1"/>
        <v>1400000</v>
      </c>
      <c r="J2652" s="74">
        <f>IF(E2652="SERVICE",I2652-(I2652*50%),Vlookup(E2652,DATABASE!C:Q,10,false)*F2652)</f>
        <v>0</v>
      </c>
      <c r="K2652" s="74">
        <f>VLOOKUP(E2652,DATABASE!C:Q,7,false)</f>
        <v>601000</v>
      </c>
      <c r="L2652" s="74">
        <v>595000.0</v>
      </c>
      <c r="M2652" s="74">
        <f t="shared" si="2"/>
        <v>595000</v>
      </c>
      <c r="N2652" s="74">
        <f t="shared" si="3"/>
        <v>210000</v>
      </c>
      <c r="O2652" s="65" t="str">
        <f>VLOOKUP(E2652,DATABASE!C:Q,8,false)</f>
        <v>IBU</v>
      </c>
      <c r="P2652" s="65">
        <f>VLOOKUP(E2652,DATABASE!C:Q,9,False)</f>
        <v>1</v>
      </c>
      <c r="Q2652" s="93" t="str">
        <f>VLOOKUP(E2652,DATABASE!C:Q,4,false)</f>
        <v>Dunlop</v>
      </c>
      <c r="R2652" s="93" t="str">
        <f>VLOOKUP(E2652,DATABASE!C:Q,11,false)</f>
        <v>Tire</v>
      </c>
    </row>
    <row r="2653" ht="22.5" customHeight="1">
      <c r="A2653" s="49"/>
      <c r="C2653" s="384">
        <v>45794.0</v>
      </c>
      <c r="D2653" s="65">
        <v>5699.0</v>
      </c>
      <c r="E2653" s="445" t="s">
        <v>600</v>
      </c>
      <c r="F2653" s="386">
        <v>2.0</v>
      </c>
      <c r="G2653" s="74">
        <v>675000.0</v>
      </c>
      <c r="H2653" s="74">
        <v>0.0</v>
      </c>
      <c r="I2653" s="74">
        <f t="shared" si="1"/>
        <v>1350000</v>
      </c>
      <c r="J2653" s="74">
        <f>IF(E2653="SERVICE",I2653-(I2653*50%),Vlookup(E2653,DATABASE!C:Q,10,false)*F2653)</f>
        <v>0</v>
      </c>
      <c r="K2653" s="74">
        <f>VLOOKUP(E2653,DATABASE!C:Q,7,false)</f>
        <v>611109.16</v>
      </c>
      <c r="L2653" s="74">
        <v>572762.4</v>
      </c>
      <c r="M2653" s="74">
        <f t="shared" si="2"/>
        <v>575000</v>
      </c>
      <c r="N2653" s="74">
        <f t="shared" si="3"/>
        <v>200000</v>
      </c>
      <c r="O2653" s="65" t="str">
        <f>VLOOKUP(E2653,DATABASE!C:Q,8,false)</f>
        <v>IBU</v>
      </c>
      <c r="P2653" s="65">
        <f>VLOOKUP(E2653,DATABASE!C:Q,9,False)</f>
        <v>1</v>
      </c>
      <c r="Q2653" s="93" t="str">
        <f>VLOOKUP(E2653,DATABASE!C:Q,4,false)</f>
        <v>Bridgestone</v>
      </c>
      <c r="R2653" s="93" t="str">
        <f>VLOOKUP(E2653,DATABASE!C:Q,11,false)</f>
        <v>Tire</v>
      </c>
    </row>
    <row r="2654" ht="22.5" customHeight="1">
      <c r="A2654" s="49"/>
      <c r="C2654" s="384">
        <v>45794.0</v>
      </c>
      <c r="D2654" s="65">
        <v>5700.0</v>
      </c>
      <c r="E2654" s="445" t="s">
        <v>2199</v>
      </c>
      <c r="F2654" s="386">
        <v>1.0</v>
      </c>
      <c r="G2654" s="74">
        <v>15000.0</v>
      </c>
      <c r="H2654" s="74">
        <v>0.0</v>
      </c>
      <c r="I2654" s="74">
        <f t="shared" si="1"/>
        <v>15000</v>
      </c>
      <c r="J2654" s="74">
        <f>IF(E2654="SERVICE",I2654-(I2654*50%),Vlookup(E2654,DATABASE!C:Q,10,false)*F2654)</f>
        <v>0</v>
      </c>
      <c r="K2654" s="74">
        <f>VLOOKUP(E2654,DATABASE!C:Q,7,false)</f>
        <v>5000</v>
      </c>
      <c r="L2654" s="74">
        <v>0.0</v>
      </c>
      <c r="M2654" s="74">
        <f t="shared" si="2"/>
        <v>0</v>
      </c>
      <c r="N2654" s="74">
        <f t="shared" si="3"/>
        <v>15000</v>
      </c>
      <c r="O2654" s="65" t="str">
        <f>VLOOKUP(E2654,DATABASE!C:Q,8,false)</f>
        <v>BIAN</v>
      </c>
      <c r="P2654" s="65">
        <f>VLOOKUP(E2654,DATABASE!C:Q,9,False)</f>
        <v>0</v>
      </c>
      <c r="Q2654" s="93" t="str">
        <f>VLOOKUP(E2654,DATABASE!C:Q,4,false)</f>
        <v>TAMBAL TUBLES</v>
      </c>
      <c r="R2654" s="93" t="str">
        <f>VLOOKUP(E2654,DATABASE!C:Q,11,false)</f>
        <v>COMPLEMENTARY</v>
      </c>
    </row>
    <row r="2655" ht="22.5" customHeight="1">
      <c r="A2655" s="49"/>
      <c r="C2655" s="384">
        <v>45795.0</v>
      </c>
      <c r="D2655" s="65">
        <v>5702.0</v>
      </c>
      <c r="E2655" s="445" t="s">
        <v>374</v>
      </c>
      <c r="F2655" s="386">
        <v>1.0</v>
      </c>
      <c r="G2655" s="74">
        <v>2050000.0</v>
      </c>
      <c r="H2655" s="74">
        <v>0.0</v>
      </c>
      <c r="I2655" s="74">
        <f t="shared" si="1"/>
        <v>2050000</v>
      </c>
      <c r="J2655" s="74">
        <f>IF(E2655="SERVICE",I2655-(I2655*50%),Vlookup(E2655,DATABASE!C:Q,10,false)*F2655)</f>
        <v>0</v>
      </c>
      <c r="K2655" s="74">
        <f>VLOOKUP(E2655,DATABASE!C:Q,7,false)</f>
        <v>1980000</v>
      </c>
      <c r="L2655" s="74">
        <v>1850000.0</v>
      </c>
      <c r="M2655" s="74">
        <f t="shared" si="2"/>
        <v>1850000</v>
      </c>
      <c r="N2655" s="74">
        <f t="shared" si="3"/>
        <v>200000</v>
      </c>
      <c r="O2655" s="65" t="str">
        <f>VLOOKUP(E2655,DATABASE!C:Q,8,false)</f>
        <v>BIAN</v>
      </c>
      <c r="P2655" s="65">
        <f>VLOOKUP(E2655,DATABASE!C:Q,9,False)</f>
        <v>1</v>
      </c>
      <c r="Q2655" s="93" t="str">
        <f>VLOOKUP(E2655,DATABASE!C:Q,4,false)</f>
        <v>Advance</v>
      </c>
      <c r="R2655" s="93" t="str">
        <f>VLOOKUP(E2655,DATABASE!C:Q,11,false)</f>
        <v>Tire</v>
      </c>
    </row>
    <row r="2656" ht="22.5" customHeight="1">
      <c r="A2656" s="49"/>
      <c r="C2656" s="384">
        <v>45795.0</v>
      </c>
      <c r="D2656" s="65">
        <v>5704.0</v>
      </c>
      <c r="E2656" s="445" t="s">
        <v>839</v>
      </c>
      <c r="F2656" s="386">
        <v>1.0</v>
      </c>
      <c r="G2656" s="74">
        <v>565000.0</v>
      </c>
      <c r="H2656" s="74">
        <v>0.0</v>
      </c>
      <c r="I2656" s="74">
        <f t="shared" si="1"/>
        <v>565000</v>
      </c>
      <c r="J2656" s="74">
        <f>IF(E2656="SERVICE",I2656-(I2656*50%),Vlookup(E2656,DATABASE!C:Q,10,false)*F2656)</f>
        <v>0</v>
      </c>
      <c r="K2656" s="74">
        <f>VLOOKUP(E2656,DATABASE!C:Q,7,false)</f>
        <v>512640</v>
      </c>
      <c r="L2656" s="74">
        <v>475700.0</v>
      </c>
      <c r="M2656" s="74">
        <f t="shared" si="2"/>
        <v>480000</v>
      </c>
      <c r="N2656" s="74">
        <f t="shared" si="3"/>
        <v>85000</v>
      </c>
      <c r="O2656" s="65" t="str">
        <f>VLOOKUP(E2656,DATABASE!C:Q,8,false)</f>
        <v>BIAN</v>
      </c>
      <c r="P2656" s="65">
        <f>VLOOKUP(E2656,DATABASE!C:Q,9,False)</f>
        <v>1</v>
      </c>
      <c r="Q2656" s="93" t="str">
        <f>VLOOKUP(E2656,DATABASE!C:Q,4,false)</f>
        <v>GT</v>
      </c>
      <c r="R2656" s="93" t="str">
        <f>VLOOKUP(E2656,DATABASE!C:Q,11,false)</f>
        <v>Tire</v>
      </c>
    </row>
    <row r="2657" ht="22.5" customHeight="1">
      <c r="A2657" s="49"/>
      <c r="C2657" s="384">
        <v>45795.0</v>
      </c>
      <c r="D2657" s="65">
        <v>5705.0</v>
      </c>
      <c r="E2657" s="385" t="s">
        <v>299</v>
      </c>
      <c r="F2657" s="386">
        <v>2.0</v>
      </c>
      <c r="G2657" s="74">
        <v>30000.0</v>
      </c>
      <c r="H2657" s="74">
        <v>0.0</v>
      </c>
      <c r="I2657" s="74">
        <f t="shared" si="1"/>
        <v>60000</v>
      </c>
      <c r="J2657" s="74">
        <f>IF(E2657="SERVICE",I2657-(I2657*50%),Vlookup(E2657,DATABASE!C:Q,10,false)*F2657)</f>
        <v>0</v>
      </c>
      <c r="K2657" s="74">
        <v>0.0</v>
      </c>
      <c r="L2657" s="74">
        <v>0.0</v>
      </c>
      <c r="M2657" s="74">
        <f t="shared" si="2"/>
        <v>0</v>
      </c>
      <c r="N2657" s="74">
        <f t="shared" si="3"/>
        <v>60000</v>
      </c>
      <c r="O2657" s="65" t="str">
        <f>VLOOKUP(E2657,DATABASE!C:Q,8,false)</f>
        <v>BIAN</v>
      </c>
      <c r="P2657" s="65">
        <f>VLOOKUP(E2657,DATABASE!C:Q,9,False)</f>
        <v>0</v>
      </c>
      <c r="Q2657" s="93" t="str">
        <f>VLOOKUP(E2657,DATABASE!C:Q,4,false)</f>
        <v>Balancing</v>
      </c>
      <c r="R2657" s="93" t="str">
        <f>VLOOKUP(E2657,DATABASE!C:Q,11,false)</f>
        <v>COMPLEMENTARY</v>
      </c>
    </row>
    <row r="2658" ht="22.5" customHeight="1">
      <c r="A2658" s="49"/>
      <c r="C2658" s="384">
        <v>45795.0</v>
      </c>
      <c r="D2658" s="65">
        <v>5706.0</v>
      </c>
      <c r="E2658" s="445" t="s">
        <v>791</v>
      </c>
      <c r="F2658" s="386">
        <v>2.0</v>
      </c>
      <c r="G2658" s="74">
        <v>1280000.0</v>
      </c>
      <c r="H2658" s="74">
        <v>0.0</v>
      </c>
      <c r="I2658" s="74">
        <f t="shared" si="1"/>
        <v>2560000</v>
      </c>
      <c r="J2658" s="74">
        <f>IF(E2658="SERVICE",I2658-(I2658*50%),Vlookup(E2658,DATABASE!C:Q,10,false)*F2658)</f>
        <v>0</v>
      </c>
      <c r="K2658" s="74">
        <f>VLOOKUP(E2658,DATABASE!C:Q,7,false)</f>
        <v>1210000</v>
      </c>
      <c r="L2658" s="74">
        <v>1180000.0</v>
      </c>
      <c r="M2658" s="74">
        <f t="shared" si="2"/>
        <v>1180000</v>
      </c>
      <c r="N2658" s="74">
        <f t="shared" si="3"/>
        <v>200000</v>
      </c>
      <c r="O2658" s="65" t="str">
        <f>VLOOKUP(E2658,DATABASE!C:Q,8,false)</f>
        <v>BIAN</v>
      </c>
      <c r="P2658" s="65">
        <f>VLOOKUP(E2658,DATABASE!C:Q,9,False)</f>
        <v>1</v>
      </c>
      <c r="Q2658" s="93" t="str">
        <f>VLOOKUP(E2658,DATABASE!C:Q,4,false)</f>
        <v>GT</v>
      </c>
      <c r="R2658" s="93" t="str">
        <f>VLOOKUP(E2658,DATABASE!C:Q,11,false)</f>
        <v>Tire</v>
      </c>
    </row>
    <row r="2659" ht="22.5" customHeight="1">
      <c r="A2659" s="49"/>
      <c r="C2659" s="384">
        <v>45795.0</v>
      </c>
      <c r="D2659" s="65">
        <v>5706.0</v>
      </c>
      <c r="E2659" s="445" t="s">
        <v>652</v>
      </c>
      <c r="F2659" s="386">
        <v>2.0</v>
      </c>
      <c r="G2659" s="74">
        <v>260000.0</v>
      </c>
      <c r="H2659" s="74">
        <v>0.0</v>
      </c>
      <c r="I2659" s="74">
        <f t="shared" si="1"/>
        <v>520000</v>
      </c>
      <c r="J2659" s="74">
        <f>IF(E2659="SERVICE",I2659-(I2659*50%),Vlookup(E2659,DATABASE!C:Q,10,false)*F2659)</f>
        <v>0</v>
      </c>
      <c r="K2659" s="74">
        <f>VLOOKUP(E2659,DATABASE!C:Q,7,false)</f>
        <v>231268</v>
      </c>
      <c r="L2659" s="74">
        <v>227850.0</v>
      </c>
      <c r="M2659" s="74">
        <f t="shared" si="2"/>
        <v>230000</v>
      </c>
      <c r="N2659" s="74">
        <f t="shared" si="3"/>
        <v>60000</v>
      </c>
      <c r="O2659" s="65" t="str">
        <f>VLOOKUP(E2659,DATABASE!C:Q,8,false)</f>
        <v>IBU</v>
      </c>
      <c r="P2659" s="65">
        <f>VLOOKUP(E2659,DATABASE!C:Q,9,False)</f>
        <v>1</v>
      </c>
      <c r="Q2659" s="93" t="str">
        <f>VLOOKUP(E2659,DATABASE!C:Q,4,false)</f>
        <v>BD</v>
      </c>
      <c r="R2659" s="93" t="str">
        <f>VLOOKUP(E2659,DATABASE!C:Q,11,false)</f>
        <v>Tire</v>
      </c>
    </row>
    <row r="2660" ht="22.5" customHeight="1">
      <c r="A2660" s="49"/>
      <c r="C2660" s="384">
        <v>45795.0</v>
      </c>
      <c r="D2660" s="65">
        <v>5706.0</v>
      </c>
      <c r="E2660" s="445" t="s">
        <v>814</v>
      </c>
      <c r="F2660" s="386">
        <v>2.0</v>
      </c>
      <c r="G2660" s="74">
        <v>65000.0</v>
      </c>
      <c r="H2660" s="74">
        <v>0.0</v>
      </c>
      <c r="I2660" s="74">
        <f t="shared" si="1"/>
        <v>130000</v>
      </c>
      <c r="J2660" s="74">
        <f>IF(E2660="SERVICE",I2660-(I2660*50%),Vlookup(E2660,DATABASE!C:Q,10,false)*F2660)</f>
        <v>0</v>
      </c>
      <c r="K2660" s="74">
        <f>VLOOKUP(E2660,DATABASE!C:Q,7,false)</f>
        <v>39440</v>
      </c>
      <c r="L2660" s="74">
        <v>39440.0</v>
      </c>
      <c r="M2660" s="74">
        <f t="shared" si="2"/>
        <v>40000</v>
      </c>
      <c r="N2660" s="74">
        <f t="shared" si="3"/>
        <v>50000</v>
      </c>
      <c r="O2660" s="65" t="str">
        <f>VLOOKUP(E2660,DATABASE!C:Q,8,false)</f>
        <v>BIAN</v>
      </c>
      <c r="P2660" s="65">
        <f>VLOOKUP(E2660,DATABASE!C:Q,9,False)</f>
        <v>1</v>
      </c>
      <c r="Q2660" s="93" t="str">
        <f>VLOOKUP(E2660,DATABASE!C:Q,4,false)</f>
        <v>Flap</v>
      </c>
      <c r="R2660" s="93" t="str">
        <f>VLOOKUP(E2660,DATABASE!C:Q,11,false)</f>
        <v>Tire</v>
      </c>
    </row>
    <row r="2661" ht="22.5" customHeight="1">
      <c r="A2661" s="49"/>
      <c r="C2661" s="384">
        <v>45795.0</v>
      </c>
      <c r="D2661" s="65">
        <v>5706.0</v>
      </c>
      <c r="E2661" s="445" t="s">
        <v>391</v>
      </c>
      <c r="F2661" s="386">
        <v>1.0</v>
      </c>
      <c r="G2661" s="74">
        <v>1950000.0</v>
      </c>
      <c r="H2661" s="74">
        <v>0.0</v>
      </c>
      <c r="I2661" s="74">
        <f t="shared" si="1"/>
        <v>1950000</v>
      </c>
      <c r="J2661" s="74">
        <f>IF(E2661="SERVICE",I2661-(I2661*50%),Vlookup(E2661,DATABASE!C:Q,10,false)*F2661)</f>
        <v>0</v>
      </c>
      <c r="K2661" s="74">
        <f>VLOOKUP(E2661,DATABASE!C:Q,7,false)</f>
        <v>1885000</v>
      </c>
      <c r="L2661" s="74">
        <v>1840000.0</v>
      </c>
      <c r="M2661" s="74">
        <f t="shared" si="2"/>
        <v>1840000</v>
      </c>
      <c r="N2661" s="74">
        <f t="shared" si="3"/>
        <v>110000</v>
      </c>
      <c r="O2661" s="65" t="str">
        <f>VLOOKUP(E2661,DATABASE!C:Q,8,false)</f>
        <v>BIAN</v>
      </c>
      <c r="P2661" s="65">
        <f>VLOOKUP(E2661,DATABASE!C:Q,9,False)</f>
        <v>1</v>
      </c>
      <c r="Q2661" s="93" t="str">
        <f>VLOOKUP(E2661,DATABASE!C:Q,4,false)</f>
        <v>Advance</v>
      </c>
      <c r="R2661" s="93" t="str">
        <f>VLOOKUP(E2661,DATABASE!C:Q,11,false)</f>
        <v>Tire</v>
      </c>
    </row>
    <row r="2662" ht="22.5" customHeight="1">
      <c r="A2662" s="49"/>
      <c r="C2662" s="384">
        <v>45795.0</v>
      </c>
      <c r="D2662" s="65">
        <v>5707.0</v>
      </c>
      <c r="E2662" s="445" t="s">
        <v>1862</v>
      </c>
      <c r="F2662" s="386">
        <v>1.0</v>
      </c>
      <c r="G2662" s="74">
        <v>2125000.0</v>
      </c>
      <c r="H2662" s="74">
        <v>0.0</v>
      </c>
      <c r="I2662" s="74">
        <f t="shared" si="1"/>
        <v>2125000</v>
      </c>
      <c r="J2662" s="74">
        <f>IF(E2662="SERVICE",I2662-(I2662*50%),Vlookup(E2662,DATABASE!C:Q,10,false)*F2662)</f>
        <v>0</v>
      </c>
      <c r="K2662" s="74">
        <f>VLOOKUP(E2662,DATABASE!C:Q,7,false)</f>
        <v>2080000</v>
      </c>
      <c r="L2662" s="74">
        <v>2050000.0</v>
      </c>
      <c r="M2662" s="74">
        <f t="shared" si="2"/>
        <v>2050000</v>
      </c>
      <c r="N2662" s="74">
        <f t="shared" si="3"/>
        <v>75000</v>
      </c>
      <c r="O2662" s="65" t="str">
        <f>VLOOKUP(E2662,DATABASE!C:Q,8,false)</f>
        <v>BIAN</v>
      </c>
      <c r="P2662" s="65">
        <f>VLOOKUP(E2662,DATABASE!C:Q,9,False)</f>
        <v>1</v>
      </c>
      <c r="Q2662" s="93" t="str">
        <f>VLOOKUP(E2662,DATABASE!C:Q,4,false)</f>
        <v>GiTi</v>
      </c>
      <c r="R2662" s="93" t="str">
        <f>VLOOKUP(E2662,DATABASE!C:Q,11,false)</f>
        <v>Tire</v>
      </c>
    </row>
    <row r="2663" ht="22.5" customHeight="1">
      <c r="A2663" s="49"/>
      <c r="C2663" s="384">
        <v>45795.0</v>
      </c>
      <c r="D2663" s="65">
        <v>5708.0</v>
      </c>
      <c r="E2663" s="445" t="s">
        <v>1807</v>
      </c>
      <c r="F2663" s="386">
        <v>1.0</v>
      </c>
      <c r="G2663" s="74">
        <v>585000.0</v>
      </c>
      <c r="H2663" s="74">
        <v>0.0</v>
      </c>
      <c r="I2663" s="74">
        <f t="shared" si="1"/>
        <v>585000</v>
      </c>
      <c r="J2663" s="74">
        <f>IF(E2663="SERVICE",I2663-(I2663*50%),Vlookup(E2663,DATABASE!C:Q,10,false)*F2663)</f>
        <v>0</v>
      </c>
      <c r="K2663" s="74">
        <f>VLOOKUP(E2663,DATABASE!C:Q,7,false)</f>
        <v>473000</v>
      </c>
      <c r="L2663" s="74">
        <v>473000.0</v>
      </c>
      <c r="M2663" s="74">
        <f t="shared" si="2"/>
        <v>475000</v>
      </c>
      <c r="N2663" s="74">
        <f t="shared" si="3"/>
        <v>110000</v>
      </c>
      <c r="O2663" s="65" t="str">
        <f>VLOOKUP(E2663,DATABASE!C:Q,8,false)</f>
        <v>BIAN</v>
      </c>
      <c r="P2663" s="65">
        <f>VLOOKUP(E2663,DATABASE!C:Q,9,False)</f>
        <v>1</v>
      </c>
      <c r="Q2663" s="93" t="str">
        <f>VLOOKUP(E2663,DATABASE!C:Q,4,false)</f>
        <v>G. YEAR</v>
      </c>
      <c r="R2663" s="93" t="str">
        <f>VLOOKUP(E2663,DATABASE!C:Q,11,false)</f>
        <v>Tire</v>
      </c>
    </row>
    <row r="2664" ht="22.5" customHeight="1">
      <c r="A2664" s="49"/>
      <c r="C2664" s="384">
        <v>45795.0</v>
      </c>
      <c r="D2664" s="65">
        <v>5709.0</v>
      </c>
      <c r="E2664" s="385" t="s">
        <v>299</v>
      </c>
      <c r="F2664" s="386">
        <v>2.0</v>
      </c>
      <c r="G2664" s="74">
        <v>30000.0</v>
      </c>
      <c r="H2664" s="74">
        <v>0.0</v>
      </c>
      <c r="I2664" s="74">
        <f t="shared" si="1"/>
        <v>60000</v>
      </c>
      <c r="J2664" s="74">
        <f>IF(E2664="SERVICE",I2664-(I2664*50%),Vlookup(E2664,DATABASE!C:Q,10,false)*F2664)</f>
        <v>0</v>
      </c>
      <c r="K2664" s="74">
        <v>0.0</v>
      </c>
      <c r="L2664" s="74">
        <v>0.0</v>
      </c>
      <c r="M2664" s="74">
        <f t="shared" si="2"/>
        <v>0</v>
      </c>
      <c r="N2664" s="74">
        <f t="shared" si="3"/>
        <v>60000</v>
      </c>
      <c r="O2664" s="65" t="str">
        <f>VLOOKUP(E2664,DATABASE!C:Q,8,false)</f>
        <v>BIAN</v>
      </c>
      <c r="P2664" s="65">
        <f>VLOOKUP(E2664,DATABASE!C:Q,9,False)</f>
        <v>0</v>
      </c>
      <c r="Q2664" s="93" t="str">
        <f>VLOOKUP(E2664,DATABASE!C:Q,4,false)</f>
        <v>Balancing</v>
      </c>
      <c r="R2664" s="93" t="str">
        <f>VLOOKUP(E2664,DATABASE!C:Q,11,false)</f>
        <v>COMPLEMENTARY</v>
      </c>
    </row>
    <row r="2665" ht="22.5" customHeight="1">
      <c r="A2665" s="49"/>
      <c r="C2665" s="384">
        <v>45795.0</v>
      </c>
      <c r="D2665" s="65">
        <v>5711.0</v>
      </c>
      <c r="E2665" s="657" t="s">
        <v>2236</v>
      </c>
      <c r="F2665" s="386">
        <v>1.0</v>
      </c>
      <c r="G2665" s="74">
        <v>900000.0</v>
      </c>
      <c r="H2665" s="74">
        <v>0.0</v>
      </c>
      <c r="I2665" s="74">
        <f t="shared" si="1"/>
        <v>900000</v>
      </c>
      <c r="J2665" s="74">
        <f>IF(E2665="SERVICE",I2665-(I2665*50%),Vlookup(E2665,DATABASE!C:Q,10,false)*F2665)</f>
        <v>0</v>
      </c>
      <c r="K2665" s="74">
        <f>VLOOKUP(E2665,DATABASE!C:Q,7,false)</f>
        <v>775000</v>
      </c>
      <c r="L2665" s="140">
        <v>775000.0</v>
      </c>
      <c r="M2665" s="74">
        <f t="shared" si="2"/>
        <v>775000</v>
      </c>
      <c r="N2665" s="74">
        <f t="shared" si="3"/>
        <v>125000</v>
      </c>
      <c r="O2665" s="65" t="str">
        <f>VLOOKUP(E2665,DATABASE!C:Q,8,false)</f>
        <v>BIAN</v>
      </c>
      <c r="P2665" s="65">
        <f>VLOOKUP(E2665,DATABASE!C:Q,9,False)</f>
        <v>0</v>
      </c>
      <c r="Q2665" s="93" t="str">
        <f>VLOOKUP(E2665,DATABASE!C:Q,4,false)</f>
        <v>VELG</v>
      </c>
      <c r="R2665" s="93" t="str">
        <f>VLOOKUP(E2665,DATABASE!C:Q,11,false)</f>
        <v>COMPLEMENTARY</v>
      </c>
    </row>
    <row r="2666" ht="22.5" customHeight="1">
      <c r="A2666" s="49"/>
      <c r="C2666" s="384">
        <v>45796.0</v>
      </c>
      <c r="D2666" s="65">
        <v>5710.0</v>
      </c>
      <c r="E2666" s="445" t="s">
        <v>262</v>
      </c>
      <c r="F2666" s="386">
        <v>1.0</v>
      </c>
      <c r="G2666" s="74">
        <v>110000.0</v>
      </c>
      <c r="H2666" s="74">
        <v>0.0</v>
      </c>
      <c r="I2666" s="74">
        <f t="shared" si="1"/>
        <v>110000</v>
      </c>
      <c r="J2666" s="74">
        <f>IF(E2666="SERVICE",I2666-(I2666*50%),Vlookup(E2666,DATABASE!C:Q,10,false)*F2666)</f>
        <v>5000</v>
      </c>
      <c r="K2666" s="74">
        <f>VLOOKUP(E2666,DATABASE!C:Q,7,false)</f>
        <v>0</v>
      </c>
      <c r="L2666" s="74">
        <v>0.0</v>
      </c>
      <c r="M2666" s="74">
        <f t="shared" si="2"/>
        <v>0</v>
      </c>
      <c r="N2666" s="74">
        <f t="shared" si="3"/>
        <v>105000</v>
      </c>
      <c r="O2666" s="65" t="str">
        <f>VLOOKUP(E2666,DATABASE!C:Q,8,false)</f>
        <v>IBU</v>
      </c>
      <c r="P2666" s="65">
        <f>VLOOKUP(E2666,DATABASE!C:Q,9,False)</f>
        <v>0</v>
      </c>
      <c r="Q2666" s="93" t="str">
        <f>VLOOKUP(E2666,DATABASE!C:Q,4,false)</f>
        <v>SPOORING SS/CARRY LOS BAK</v>
      </c>
      <c r="R2666" s="93" t="str">
        <f>VLOOKUP(E2666,DATABASE!C:Q,11,false)</f>
        <v>SERVICE</v>
      </c>
    </row>
    <row r="2667" ht="22.5" customHeight="1">
      <c r="A2667" s="49"/>
      <c r="C2667" s="384">
        <v>45796.0</v>
      </c>
      <c r="D2667" s="65">
        <v>5710.0</v>
      </c>
      <c r="E2667" s="385" t="s">
        <v>299</v>
      </c>
      <c r="F2667" s="386">
        <v>2.0</v>
      </c>
      <c r="G2667" s="74">
        <v>30000.0</v>
      </c>
      <c r="H2667" s="74">
        <v>0.0</v>
      </c>
      <c r="I2667" s="74">
        <f t="shared" si="1"/>
        <v>60000</v>
      </c>
      <c r="J2667" s="74">
        <f>IF(E2667="SERVICE",I2667-(I2667*50%),Vlookup(E2667,DATABASE!C:Q,10,false)*F2667)</f>
        <v>0</v>
      </c>
      <c r="K2667" s="74">
        <v>0.0</v>
      </c>
      <c r="L2667" s="74">
        <v>0.0</v>
      </c>
      <c r="M2667" s="74">
        <f t="shared" si="2"/>
        <v>0</v>
      </c>
      <c r="N2667" s="74">
        <f t="shared" si="3"/>
        <v>60000</v>
      </c>
      <c r="O2667" s="65" t="str">
        <f>VLOOKUP(E2667,DATABASE!C:Q,8,false)</f>
        <v>BIAN</v>
      </c>
      <c r="P2667" s="65">
        <f>VLOOKUP(E2667,DATABASE!C:Q,9,False)</f>
        <v>0</v>
      </c>
      <c r="Q2667" s="93" t="str">
        <f>VLOOKUP(E2667,DATABASE!C:Q,4,false)</f>
        <v>Balancing</v>
      </c>
      <c r="R2667" s="93" t="str">
        <f>VLOOKUP(E2667,DATABASE!C:Q,11,false)</f>
        <v>COMPLEMENTARY</v>
      </c>
    </row>
    <row r="2668" ht="22.5" customHeight="1">
      <c r="A2668" s="49"/>
      <c r="C2668" s="384">
        <v>45796.0</v>
      </c>
      <c r="D2668" s="65">
        <v>5712.0</v>
      </c>
      <c r="E2668" s="445" t="s">
        <v>777</v>
      </c>
      <c r="F2668" s="386">
        <v>1.0</v>
      </c>
      <c r="G2668" s="74">
        <v>580000.0</v>
      </c>
      <c r="H2668" s="74">
        <v>0.0</v>
      </c>
      <c r="I2668" s="74">
        <f t="shared" si="1"/>
        <v>580000</v>
      </c>
      <c r="J2668" s="74">
        <f>IF(E2668="SERVICE",I2668-(I2668*50%),Vlookup(E2668,DATABASE!C:Q,10,false)*F2668)</f>
        <v>0</v>
      </c>
      <c r="K2668" s="74">
        <f>VLOOKUP(E2668,DATABASE!C:Q,7,false)</f>
        <v>540000</v>
      </c>
      <c r="L2668" s="74">
        <v>507000.0</v>
      </c>
      <c r="M2668" s="74">
        <f t="shared" si="2"/>
        <v>510000</v>
      </c>
      <c r="N2668" s="74">
        <f t="shared" si="3"/>
        <v>70000</v>
      </c>
      <c r="O2668" s="65" t="str">
        <f>VLOOKUP(E2668,DATABASE!C:Q,8,false)</f>
        <v>BIAN</v>
      </c>
      <c r="P2668" s="65">
        <f>VLOOKUP(E2668,DATABASE!C:Q,9,False)</f>
        <v>1</v>
      </c>
      <c r="Q2668" s="93" t="str">
        <f>VLOOKUP(E2668,DATABASE!C:Q,4,false)</f>
        <v>GT</v>
      </c>
      <c r="R2668" s="93" t="str">
        <f>VLOOKUP(E2668,DATABASE!C:Q,11,false)</f>
        <v>Tire</v>
      </c>
    </row>
    <row r="2669" ht="22.5" customHeight="1">
      <c r="A2669" s="49"/>
      <c r="C2669" s="384">
        <v>45796.0</v>
      </c>
      <c r="D2669" s="65">
        <v>5713.0</v>
      </c>
      <c r="E2669" s="445" t="s">
        <v>744</v>
      </c>
      <c r="F2669" s="386">
        <v>1.0</v>
      </c>
      <c r="G2669" s="74">
        <v>230000.0</v>
      </c>
      <c r="H2669" s="74">
        <v>0.0</v>
      </c>
      <c r="I2669" s="74">
        <f t="shared" si="1"/>
        <v>230000</v>
      </c>
      <c r="J2669" s="74">
        <f>IF(E2669="SERVICE",I2669-(I2669*50%),Vlookup(E2669,DATABASE!C:Q,10,false)*F2669)</f>
        <v>0</v>
      </c>
      <c r="K2669" s="74">
        <f>VLOOKUP(E2669,DATABASE!C:Q,7,false)</f>
        <v>182200</v>
      </c>
      <c r="L2669" s="74">
        <v>199920.0</v>
      </c>
      <c r="M2669" s="74">
        <f t="shared" si="2"/>
        <v>200000</v>
      </c>
      <c r="N2669" s="74">
        <f t="shared" si="3"/>
        <v>30000</v>
      </c>
      <c r="O2669" s="65" t="str">
        <f>VLOOKUP(E2669,DATABASE!C:Q,8,false)</f>
        <v>BIAN</v>
      </c>
      <c r="P2669" s="65">
        <f>VLOOKUP(E2669,DATABASE!C:Q,9,False)</f>
        <v>1</v>
      </c>
      <c r="Q2669" s="93" t="str">
        <f>VLOOKUP(E2669,DATABASE!C:Q,4,false)</f>
        <v>BD</v>
      </c>
      <c r="R2669" s="93" t="str">
        <f>VLOOKUP(E2669,DATABASE!C:Q,11,false)</f>
        <v>Tire</v>
      </c>
    </row>
    <row r="2670" ht="22.5" customHeight="1">
      <c r="A2670" s="49"/>
      <c r="C2670" s="384">
        <v>45796.0</v>
      </c>
      <c r="D2670" s="65">
        <v>5714.0</v>
      </c>
      <c r="E2670" s="445" t="s">
        <v>821</v>
      </c>
      <c r="F2670" s="386">
        <v>1.0</v>
      </c>
      <c r="G2670" s="74">
        <v>80000.0</v>
      </c>
      <c r="H2670" s="74">
        <v>0.0</v>
      </c>
      <c r="I2670" s="74">
        <f t="shared" si="1"/>
        <v>80000</v>
      </c>
      <c r="J2670" s="74">
        <f>IF(E2670="SERVICE",I2670-(I2670*50%),Vlookup(E2670,DATABASE!C:Q,10,false)*F2670)</f>
        <v>0</v>
      </c>
      <c r="K2670" s="74">
        <f>VLOOKUP(E2670,DATABASE!C:Q,7,false)</f>
        <v>43500</v>
      </c>
      <c r="L2670" s="74">
        <v>43520.0</v>
      </c>
      <c r="M2670" s="74">
        <f t="shared" si="2"/>
        <v>45000</v>
      </c>
      <c r="N2670" s="74">
        <f t="shared" si="3"/>
        <v>35000</v>
      </c>
      <c r="O2670" s="65" t="str">
        <f>VLOOKUP(E2670,DATABASE!C:Q,8,false)</f>
        <v>BIAN</v>
      </c>
      <c r="P2670" s="65">
        <f>VLOOKUP(E2670,DATABASE!C:Q,9,False)</f>
        <v>1</v>
      </c>
      <c r="Q2670" s="93" t="str">
        <f>VLOOKUP(E2670,DATABASE!C:Q,4,false)</f>
        <v>Flap</v>
      </c>
      <c r="R2670" s="93" t="str">
        <f>VLOOKUP(E2670,DATABASE!C:Q,11,false)</f>
        <v>Tire</v>
      </c>
    </row>
    <row r="2671" ht="22.5" customHeight="1">
      <c r="A2671" s="49"/>
      <c r="C2671" s="384">
        <v>45796.0</v>
      </c>
      <c r="D2671" s="65">
        <v>5715.0</v>
      </c>
      <c r="E2671" s="445" t="s">
        <v>262</v>
      </c>
      <c r="F2671" s="386">
        <v>1.0</v>
      </c>
      <c r="G2671" s="74">
        <v>110000.0</v>
      </c>
      <c r="H2671" s="74">
        <v>0.0</v>
      </c>
      <c r="I2671" s="74">
        <f t="shared" si="1"/>
        <v>110000</v>
      </c>
      <c r="J2671" s="74">
        <f>IF(E2671="SERVICE",I2671-(I2671*50%),Vlookup(E2671,DATABASE!C:Q,10,false)*F2671)</f>
        <v>5000</v>
      </c>
      <c r="K2671" s="74">
        <f>VLOOKUP(E2671,DATABASE!C:Q,7,false)</f>
        <v>0</v>
      </c>
      <c r="L2671" s="74">
        <v>0.0</v>
      </c>
      <c r="M2671" s="74">
        <f t="shared" si="2"/>
        <v>0</v>
      </c>
      <c r="N2671" s="74">
        <f t="shared" si="3"/>
        <v>105000</v>
      </c>
      <c r="O2671" s="65" t="str">
        <f>VLOOKUP(E2671,DATABASE!C:Q,8,false)</f>
        <v>IBU</v>
      </c>
      <c r="P2671" s="65">
        <f>VLOOKUP(E2671,DATABASE!C:Q,9,False)</f>
        <v>0</v>
      </c>
      <c r="Q2671" s="93" t="str">
        <f>VLOOKUP(E2671,DATABASE!C:Q,4,false)</f>
        <v>SPOORING SS/CARRY LOS BAK</v>
      </c>
      <c r="R2671" s="93" t="str">
        <f>VLOOKUP(E2671,DATABASE!C:Q,11,false)</f>
        <v>SERVICE</v>
      </c>
    </row>
    <row r="2672" ht="22.5" customHeight="1">
      <c r="A2672" s="49"/>
      <c r="C2672" s="384">
        <v>45796.0</v>
      </c>
      <c r="D2672" s="65">
        <v>5715.0</v>
      </c>
      <c r="E2672" s="445" t="s">
        <v>251</v>
      </c>
      <c r="F2672" s="386">
        <v>1.0</v>
      </c>
      <c r="G2672" s="74">
        <v>150000.0</v>
      </c>
      <c r="H2672" s="74">
        <v>0.0</v>
      </c>
      <c r="I2672" s="74">
        <f t="shared" si="1"/>
        <v>150000</v>
      </c>
      <c r="J2672" s="74">
        <f>IF(E2672="SERVICE",I2672-(I2672*50%),Vlookup(E2672,DATABASE!C:Q,10,false)*F2672)</f>
        <v>75000</v>
      </c>
      <c r="K2672" s="74">
        <f>VLOOKUP(E2672,DATABASE!C:Q,7,false)</f>
        <v>0</v>
      </c>
      <c r="L2672" s="74">
        <v>0.0</v>
      </c>
      <c r="M2672" s="74">
        <f t="shared" si="2"/>
        <v>0</v>
      </c>
      <c r="N2672" s="74">
        <f t="shared" si="3"/>
        <v>75000</v>
      </c>
      <c r="O2672" s="65" t="str">
        <f>VLOOKUP(E2672,DATABASE!C:Q,8,false)</f>
        <v>IBU</v>
      </c>
      <c r="P2672" s="65">
        <f>VLOOKUP(E2672,DATABASE!C:Q,9,False)</f>
        <v>0</v>
      </c>
      <c r="Q2672" s="93" t="str">
        <f>VLOOKUP(E2672,DATABASE!C:Q,4,false)</f>
        <v>SERVICE</v>
      </c>
      <c r="R2672" s="93" t="str">
        <f>VLOOKUP(E2672,DATABASE!C:Q,11,false)</f>
        <v>SERVICE</v>
      </c>
    </row>
    <row r="2673" ht="22.5" customHeight="1">
      <c r="A2673" s="49"/>
      <c r="C2673" s="384">
        <v>45796.0</v>
      </c>
      <c r="D2673" s="65">
        <v>5716.0</v>
      </c>
      <c r="E2673" s="445" t="s">
        <v>572</v>
      </c>
      <c r="F2673" s="386">
        <v>2.0</v>
      </c>
      <c r="G2673" s="74">
        <v>1370000.0</v>
      </c>
      <c r="H2673" s="74">
        <v>0.0</v>
      </c>
      <c r="I2673" s="74">
        <f t="shared" si="1"/>
        <v>2740000</v>
      </c>
      <c r="J2673" s="74">
        <f>IF(E2673="SERVICE",I2673-(I2673*50%),Vlookup(E2673,DATABASE!C:Q,10,false)*F2673)</f>
        <v>0</v>
      </c>
      <c r="K2673" s="140">
        <v>1270000.0</v>
      </c>
      <c r="L2673" s="140">
        <v>1270000.0</v>
      </c>
      <c r="M2673" s="74">
        <f t="shared" si="2"/>
        <v>1270000</v>
      </c>
      <c r="N2673" s="74">
        <f t="shared" si="3"/>
        <v>200000</v>
      </c>
      <c r="O2673" s="65" t="str">
        <f>VLOOKUP(E2673,DATABASE!C:Q,8,false)</f>
        <v>IBU</v>
      </c>
      <c r="P2673" s="65">
        <f>VLOOKUP(E2673,DATABASE!C:Q,9,False)</f>
        <v>1</v>
      </c>
      <c r="Q2673" s="93" t="str">
        <f>VLOOKUP(E2673,DATABASE!C:Q,4,false)</f>
        <v>Bridgestone</v>
      </c>
      <c r="R2673" s="93" t="str">
        <f>VLOOKUP(E2673,DATABASE!C:Q,11,false)</f>
        <v>Tire</v>
      </c>
    </row>
    <row r="2674" ht="22.5" customHeight="1">
      <c r="A2674" s="49"/>
      <c r="C2674" s="384">
        <v>45796.0</v>
      </c>
      <c r="D2674" s="65">
        <v>5717.0</v>
      </c>
      <c r="E2674" s="445" t="s">
        <v>2139</v>
      </c>
      <c r="F2674" s="386">
        <v>1.0</v>
      </c>
      <c r="G2674" s="74">
        <v>10000.0</v>
      </c>
      <c r="H2674" s="74">
        <v>0.0</v>
      </c>
      <c r="I2674" s="74">
        <f t="shared" si="1"/>
        <v>10000</v>
      </c>
      <c r="J2674" s="74">
        <f>IF(E2674="SERVICE",I2674-(I2674*50%),Vlookup(E2674,DATABASE!C:Q,10,false)*F2674)</f>
        <v>0</v>
      </c>
      <c r="K2674" s="74">
        <f>VLOOKUP(E2674,DATABASE!C:Q,7,false)</f>
        <v>0</v>
      </c>
      <c r="L2674" s="74">
        <v>0.0</v>
      </c>
      <c r="M2674" s="74">
        <f t="shared" si="2"/>
        <v>0</v>
      </c>
      <c r="N2674" s="74">
        <f t="shared" si="3"/>
        <v>10000</v>
      </c>
      <c r="O2674" s="65" t="str">
        <f>VLOOKUP(E2674,DATABASE!C:Q,8,false)</f>
        <v>IBU</v>
      </c>
      <c r="P2674" s="65">
        <f>VLOOKUP(E2674,DATABASE!C:Q,9,False)</f>
        <v>0</v>
      </c>
      <c r="Q2674" s="93" t="str">
        <f>VLOOKUP(E2674,DATABASE!C:Q,4,false)</f>
        <v>PENTIL</v>
      </c>
      <c r="R2674" s="93" t="str">
        <f>VLOOKUP(E2674,DATABASE!C:Q,11,false)</f>
        <v>COMPLEMENTARY</v>
      </c>
    </row>
    <row r="2675" ht="22.5" customHeight="1">
      <c r="A2675" s="49"/>
      <c r="C2675" s="384">
        <v>45796.0</v>
      </c>
      <c r="D2675" s="65">
        <v>5717.0</v>
      </c>
      <c r="E2675" s="445" t="s">
        <v>2199</v>
      </c>
      <c r="F2675" s="386">
        <v>1.0</v>
      </c>
      <c r="G2675" s="74">
        <v>15000.0</v>
      </c>
      <c r="H2675" s="74">
        <v>0.0</v>
      </c>
      <c r="I2675" s="74">
        <f t="shared" si="1"/>
        <v>15000</v>
      </c>
      <c r="J2675" s="74">
        <f>IF(E2675="SERVICE",I2675-(I2675*50%),Vlookup(E2675,DATABASE!C:Q,10,false)*F2675)</f>
        <v>0</v>
      </c>
      <c r="K2675" s="74">
        <f>VLOOKUP(E2675,DATABASE!C:Q,7,false)</f>
        <v>5000</v>
      </c>
      <c r="L2675" s="74">
        <v>0.0</v>
      </c>
      <c r="M2675" s="74">
        <f t="shared" si="2"/>
        <v>0</v>
      </c>
      <c r="N2675" s="74">
        <f t="shared" si="3"/>
        <v>15000</v>
      </c>
      <c r="O2675" s="65" t="str">
        <f>VLOOKUP(E2675,DATABASE!C:Q,8,false)</f>
        <v>BIAN</v>
      </c>
      <c r="P2675" s="65">
        <f>VLOOKUP(E2675,DATABASE!C:Q,9,False)</f>
        <v>0</v>
      </c>
      <c r="Q2675" s="93" t="str">
        <f>VLOOKUP(E2675,DATABASE!C:Q,4,false)</f>
        <v>TAMBAL TUBLES</v>
      </c>
      <c r="R2675" s="93" t="str">
        <f>VLOOKUP(E2675,DATABASE!C:Q,11,false)</f>
        <v>COMPLEMENTARY</v>
      </c>
    </row>
    <row r="2676" ht="22.5" customHeight="1">
      <c r="A2676" s="49"/>
      <c r="C2676" s="384">
        <v>45796.0</v>
      </c>
      <c r="D2676" s="65">
        <v>5718.0</v>
      </c>
      <c r="E2676" s="445" t="s">
        <v>256</v>
      </c>
      <c r="F2676" s="386">
        <v>1.0</v>
      </c>
      <c r="G2676" s="74">
        <v>130000.0</v>
      </c>
      <c r="H2676" s="74">
        <v>0.0</v>
      </c>
      <c r="I2676" s="74">
        <f t="shared" si="1"/>
        <v>130000</v>
      </c>
      <c r="J2676" s="74">
        <f>IF(E2676="SERVICE",I2676-(I2676*50%),Vlookup(E2676,DATABASE!C:Q,10,false)*F2676)</f>
        <v>10000</v>
      </c>
      <c r="K2676" s="74">
        <f>VLOOKUP(E2676,DATABASE!C:Q,7,false)</f>
        <v>0</v>
      </c>
      <c r="L2676" s="74">
        <v>0.0</v>
      </c>
      <c r="M2676" s="74">
        <f t="shared" si="2"/>
        <v>0</v>
      </c>
      <c r="N2676" s="74">
        <f t="shared" si="3"/>
        <v>120000</v>
      </c>
      <c r="O2676" s="65" t="str">
        <f>VLOOKUP(E2676,DATABASE!C:Q,8,false)</f>
        <v>IBU</v>
      </c>
      <c r="P2676" s="65">
        <f>VLOOKUP(E2676,DATABASE!C:Q,9,False)</f>
        <v>0</v>
      </c>
      <c r="Q2676" s="93" t="str">
        <f>VLOOKUP(E2676,DATABASE!C:Q,4,false)</f>
        <v>SPOORING</v>
      </c>
      <c r="R2676" s="93" t="str">
        <f>VLOOKUP(E2676,DATABASE!C:Q,11,false)</f>
        <v>SERVICE</v>
      </c>
    </row>
    <row r="2677" ht="22.5" customHeight="1">
      <c r="A2677" s="49"/>
      <c r="C2677" s="384">
        <v>45796.0</v>
      </c>
      <c r="D2677" s="65">
        <v>5718.0</v>
      </c>
      <c r="E2677" s="445" t="s">
        <v>301</v>
      </c>
      <c r="F2677" s="386">
        <v>1.0</v>
      </c>
      <c r="G2677" s="74">
        <v>250000.0</v>
      </c>
      <c r="H2677" s="74">
        <v>0.0</v>
      </c>
      <c r="I2677" s="74">
        <f t="shared" si="1"/>
        <v>250000</v>
      </c>
      <c r="J2677" s="74">
        <f>IF(E2677="SERVICE",I2677-(I2677*50%),Vlookup(E2677,DATABASE!C:Q,10,false)*F2677)</f>
        <v>75000</v>
      </c>
      <c r="K2677" s="74">
        <f>VLOOKUP(E2677,DATABASE!C:Q,7,false)</f>
        <v>75000</v>
      </c>
      <c r="L2677" s="74">
        <v>75000.0</v>
      </c>
      <c r="M2677" s="74">
        <f t="shared" si="2"/>
        <v>75000</v>
      </c>
      <c r="N2677" s="74">
        <f t="shared" si="3"/>
        <v>100000</v>
      </c>
      <c r="O2677" s="65" t="str">
        <f>VLOOKUP(E2677,DATABASE!C:Q,8,false)</f>
        <v>BIAN</v>
      </c>
      <c r="P2677" s="65">
        <f>VLOOKUP(E2677,DATABASE!C:Q,9,False)</f>
        <v>0</v>
      </c>
      <c r="Q2677" s="93" t="str">
        <f>VLOOKUP(E2677,DATABASE!C:Q,4,false)</f>
        <v>Baut Camber</v>
      </c>
      <c r="R2677" s="93" t="str">
        <f>VLOOKUP(E2677,DATABASE!C:Q,11,false)</f>
        <v>COMPLEMENTARY</v>
      </c>
    </row>
    <row r="2678" ht="22.5" customHeight="1">
      <c r="A2678" s="49"/>
      <c r="C2678" s="384">
        <v>45796.0</v>
      </c>
      <c r="D2678" s="65">
        <v>5719.0</v>
      </c>
      <c r="E2678" s="445" t="s">
        <v>246</v>
      </c>
      <c r="F2678" s="386">
        <v>4.0</v>
      </c>
      <c r="G2678" s="74">
        <v>50000.0</v>
      </c>
      <c r="H2678" s="74">
        <v>0.0</v>
      </c>
      <c r="I2678" s="74">
        <f t="shared" si="1"/>
        <v>200000</v>
      </c>
      <c r="J2678" s="74">
        <f>IF(E2678="SERVICE",I2678-(I2678*50%),Vlookup(E2678,DATABASE!C:Q,10,false)*F2678)</f>
        <v>0</v>
      </c>
      <c r="K2678" s="74">
        <f>VLOOKUP(E2678,DATABASE!C:Q,7,false)</f>
        <v>0</v>
      </c>
      <c r="L2678" s="74">
        <v>0.0</v>
      </c>
      <c r="M2678" s="74">
        <f t="shared" si="2"/>
        <v>0</v>
      </c>
      <c r="N2678" s="74">
        <f t="shared" si="3"/>
        <v>200000</v>
      </c>
      <c r="O2678" s="65" t="str">
        <f>VLOOKUP(E2678,DATABASE!C:Q,8,false)</f>
        <v>IBU</v>
      </c>
      <c r="P2678" s="65">
        <f>VLOOKUP(E2678,DATABASE!C:Q,9,False)</f>
        <v>0</v>
      </c>
      <c r="Q2678" s="93" t="str">
        <f>VLOOKUP(E2678,DATABASE!C:Q,4,false)</f>
        <v>Bongkar Pasang</v>
      </c>
      <c r="R2678" s="93" t="str">
        <f>VLOOKUP(E2678,DATABASE!C:Q,11,false)</f>
        <v>SERVICE</v>
      </c>
    </row>
    <row r="2679" ht="22.5" customHeight="1">
      <c r="A2679" s="49"/>
      <c r="C2679" s="384">
        <v>45796.0</v>
      </c>
      <c r="D2679" s="65">
        <v>5720.0</v>
      </c>
      <c r="E2679" s="445" t="s">
        <v>246</v>
      </c>
      <c r="F2679" s="386">
        <v>4.0</v>
      </c>
      <c r="G2679" s="74">
        <v>50000.0</v>
      </c>
      <c r="H2679" s="74">
        <v>0.0</v>
      </c>
      <c r="I2679" s="74">
        <f t="shared" si="1"/>
        <v>200000</v>
      </c>
      <c r="J2679" s="74">
        <f>IF(E2679="SERVICE",I2679-(I2679*50%),Vlookup(E2679,DATABASE!C:Q,10,false)*F2679)</f>
        <v>0</v>
      </c>
      <c r="K2679" s="74">
        <f>VLOOKUP(E2679,DATABASE!C:Q,7,false)</f>
        <v>0</v>
      </c>
      <c r="L2679" s="74">
        <v>0.0</v>
      </c>
      <c r="M2679" s="74">
        <f t="shared" si="2"/>
        <v>0</v>
      </c>
      <c r="N2679" s="74">
        <f t="shared" si="3"/>
        <v>200000</v>
      </c>
      <c r="O2679" s="65" t="str">
        <f>VLOOKUP(E2679,DATABASE!C:Q,8,false)</f>
        <v>IBU</v>
      </c>
      <c r="P2679" s="65">
        <f>VLOOKUP(E2679,DATABASE!C:Q,9,False)</f>
        <v>0</v>
      </c>
      <c r="Q2679" s="93" t="str">
        <f>VLOOKUP(E2679,DATABASE!C:Q,4,false)</f>
        <v>Bongkar Pasang</v>
      </c>
      <c r="R2679" s="93" t="str">
        <f>VLOOKUP(E2679,DATABASE!C:Q,11,false)</f>
        <v>SERVICE</v>
      </c>
    </row>
    <row r="2680" ht="22.5" customHeight="1">
      <c r="A2680" s="49"/>
      <c r="C2680" s="384">
        <v>45796.0</v>
      </c>
      <c r="D2680" s="65">
        <v>5721.0</v>
      </c>
      <c r="E2680" s="445" t="s">
        <v>2060</v>
      </c>
      <c r="F2680" s="386">
        <v>4.0</v>
      </c>
      <c r="G2680" s="74">
        <v>600000.0</v>
      </c>
      <c r="H2680" s="74">
        <v>0.0</v>
      </c>
      <c r="I2680" s="74">
        <f t="shared" si="1"/>
        <v>2400000</v>
      </c>
      <c r="J2680" s="74">
        <f>IF(E2680="SERVICE",I2680-(I2680*50%),Vlookup(E2680,DATABASE!C:Q,10,false)*F2680)</f>
        <v>0</v>
      </c>
      <c r="K2680" s="74">
        <f>VLOOKUP(E2680,DATABASE!C:Q,7,false)</f>
        <v>517000</v>
      </c>
      <c r="L2680" s="74">
        <v>517000.0</v>
      </c>
      <c r="M2680" s="74">
        <f t="shared" si="2"/>
        <v>520000</v>
      </c>
      <c r="N2680" s="74">
        <f t="shared" si="3"/>
        <v>320000</v>
      </c>
      <c r="O2680" s="65" t="str">
        <f>VLOOKUP(E2680,DATABASE!C:Q,8,false)</f>
        <v>BIAN</v>
      </c>
      <c r="P2680" s="65">
        <f>VLOOKUP(E2680,DATABASE!C:Q,9,False)</f>
        <v>1</v>
      </c>
      <c r="Q2680" s="93" t="str">
        <f>VLOOKUP(E2680,DATABASE!C:Q,4,false)</f>
        <v>HANKOOK</v>
      </c>
      <c r="R2680" s="93" t="str">
        <f>VLOOKUP(E2680,DATABASE!C:Q,11,false)</f>
        <v>Tire</v>
      </c>
    </row>
    <row r="2681" ht="22.5" customHeight="1">
      <c r="A2681" s="49"/>
      <c r="C2681" s="384">
        <v>45796.0</v>
      </c>
      <c r="D2681" s="65">
        <v>5721.0</v>
      </c>
      <c r="E2681" s="445" t="s">
        <v>2135</v>
      </c>
      <c r="F2681" s="386">
        <v>4.0</v>
      </c>
      <c r="G2681" s="74">
        <v>12500.0</v>
      </c>
      <c r="H2681" s="74">
        <v>0.0</v>
      </c>
      <c r="I2681" s="74">
        <f t="shared" si="1"/>
        <v>50000</v>
      </c>
      <c r="J2681" s="74">
        <f>IF(E2681="SERVICE",I2681-(I2681*50%),Vlookup(E2681,DATABASE!C:Q,10,false)*F2681)</f>
        <v>0</v>
      </c>
      <c r="K2681" s="74">
        <f>VLOOKUP(E2681,DATABASE!C:Q,7,false)</f>
        <v>0</v>
      </c>
      <c r="L2681" s="74">
        <v>0.0</v>
      </c>
      <c r="M2681" s="74">
        <f t="shared" si="2"/>
        <v>0</v>
      </c>
      <c r="N2681" s="74">
        <f t="shared" si="3"/>
        <v>50000</v>
      </c>
      <c r="O2681" s="65" t="str">
        <f>VLOOKUP(E2681,DATABASE!C:Q,8,false)</f>
        <v>IBU</v>
      </c>
      <c r="P2681" s="65">
        <f>VLOOKUP(E2681,DATABASE!C:Q,9,False)</f>
        <v>0</v>
      </c>
      <c r="Q2681" s="93" t="str">
        <f>VLOOKUP(E2681,DATABASE!C:Q,4,false)</f>
        <v>NITROGEN</v>
      </c>
      <c r="R2681" s="93" t="str">
        <f>VLOOKUP(E2681,DATABASE!C:Q,11,false)</f>
        <v>COMPLEMENTARY</v>
      </c>
    </row>
    <row r="2682" ht="22.5" customHeight="1">
      <c r="A2682" s="49"/>
      <c r="C2682" s="384">
        <v>45796.0</v>
      </c>
      <c r="D2682" s="65">
        <v>5722.0</v>
      </c>
      <c r="E2682" s="657" t="s">
        <v>2236</v>
      </c>
      <c r="F2682" s="386">
        <v>1.0</v>
      </c>
      <c r="G2682" s="74">
        <v>825000.0</v>
      </c>
      <c r="H2682" s="74">
        <v>0.0</v>
      </c>
      <c r="I2682" s="74">
        <f t="shared" si="1"/>
        <v>825000</v>
      </c>
      <c r="J2682" s="74">
        <f>IF(E2682="SERVICE",I2682-(I2682*50%),Vlookup(E2682,DATABASE!C:Q,10,false)*F2682)</f>
        <v>0</v>
      </c>
      <c r="K2682" s="74">
        <f>VLOOKUP(E2682,DATABASE!C:Q,7,false)</f>
        <v>775000</v>
      </c>
      <c r="L2682" s="140">
        <v>775000.0</v>
      </c>
      <c r="M2682" s="74">
        <f t="shared" si="2"/>
        <v>775000</v>
      </c>
      <c r="N2682" s="74">
        <f t="shared" si="3"/>
        <v>50000</v>
      </c>
      <c r="O2682" s="65" t="str">
        <f>VLOOKUP(E2682,DATABASE!C:Q,8,false)</f>
        <v>BIAN</v>
      </c>
      <c r="P2682" s="65">
        <f>VLOOKUP(E2682,DATABASE!C:Q,9,False)</f>
        <v>0</v>
      </c>
      <c r="Q2682" s="93" t="str">
        <f>VLOOKUP(E2682,DATABASE!C:Q,4,false)</f>
        <v>VELG</v>
      </c>
      <c r="R2682" s="93" t="str">
        <f>VLOOKUP(E2682,DATABASE!C:Q,11,false)</f>
        <v>COMPLEMENTARY</v>
      </c>
    </row>
    <row r="2683" ht="22.5" customHeight="1">
      <c r="A2683" s="49"/>
      <c r="C2683" s="384">
        <v>45796.0</v>
      </c>
      <c r="D2683" s="65">
        <v>5724.0</v>
      </c>
      <c r="E2683" s="445" t="s">
        <v>856</v>
      </c>
      <c r="F2683" s="386">
        <v>2.0</v>
      </c>
      <c r="G2683" s="74">
        <v>670000.0</v>
      </c>
      <c r="H2683" s="74">
        <v>0.0</v>
      </c>
      <c r="I2683" s="74">
        <f t="shared" si="1"/>
        <v>1340000</v>
      </c>
      <c r="J2683" s="74">
        <f>IF(E2683="SERVICE",I2683-(I2683*50%),Vlookup(E2683,DATABASE!C:Q,10,false)*F2683)</f>
        <v>0</v>
      </c>
      <c r="K2683" s="74">
        <f>VLOOKUP(E2683,DATABASE!C:Q,7,false)</f>
        <v>615300</v>
      </c>
      <c r="L2683" s="74">
        <v>581120.0</v>
      </c>
      <c r="M2683" s="74">
        <f t="shared" si="2"/>
        <v>585000</v>
      </c>
      <c r="N2683" s="74">
        <f t="shared" si="3"/>
        <v>170000</v>
      </c>
      <c r="O2683" s="65" t="str">
        <f>VLOOKUP(E2683,DATABASE!C:Q,8,false)</f>
        <v>BIAN</v>
      </c>
      <c r="P2683" s="65">
        <f>VLOOKUP(E2683,DATABASE!C:Q,9,False)</f>
        <v>1</v>
      </c>
      <c r="Q2683" s="93" t="str">
        <f>VLOOKUP(E2683,DATABASE!C:Q,4,false)</f>
        <v>GT</v>
      </c>
      <c r="R2683" s="93" t="str">
        <f>VLOOKUP(E2683,DATABASE!C:Q,11,false)</f>
        <v>Tire</v>
      </c>
    </row>
    <row r="2684" ht="22.5" customHeight="1">
      <c r="A2684" s="49"/>
      <c r="C2684" s="384">
        <v>45796.0</v>
      </c>
      <c r="D2684" s="65">
        <v>5725.0</v>
      </c>
      <c r="E2684" s="445" t="s">
        <v>591</v>
      </c>
      <c r="F2684" s="386">
        <v>3.0</v>
      </c>
      <c r="G2684" s="74">
        <v>750000.0</v>
      </c>
      <c r="H2684" s="74">
        <v>0.0</v>
      </c>
      <c r="I2684" s="74">
        <f t="shared" si="1"/>
        <v>2250000</v>
      </c>
      <c r="J2684" s="74">
        <f>IF(E2684="SERVICE",I2684-(I2684*50%),Vlookup(E2684,DATABASE!C:Q,10,false)*F2684)</f>
        <v>0</v>
      </c>
      <c r="K2684" s="74">
        <f>VLOOKUP(E2684,DATABASE!C:Q,7,false)</f>
        <v>633035.16</v>
      </c>
      <c r="L2684" s="74">
        <v>593488.4</v>
      </c>
      <c r="M2684" s="74">
        <f t="shared" si="2"/>
        <v>595000</v>
      </c>
      <c r="N2684" s="74">
        <f t="shared" si="3"/>
        <v>465000</v>
      </c>
      <c r="O2684" s="65" t="str">
        <f>VLOOKUP(E2684,DATABASE!C:Q,8,false)</f>
        <v>IBU</v>
      </c>
      <c r="P2684" s="65">
        <f>VLOOKUP(E2684,DATABASE!C:Q,9,False)</f>
        <v>1</v>
      </c>
      <c r="Q2684" s="93" t="str">
        <f>VLOOKUP(E2684,DATABASE!C:Q,4,false)</f>
        <v>Bridgestone</v>
      </c>
      <c r="R2684" s="93" t="str">
        <f>VLOOKUP(E2684,DATABASE!C:Q,11,false)</f>
        <v>Tire</v>
      </c>
    </row>
    <row r="2685" ht="22.5" customHeight="1">
      <c r="A2685" s="49"/>
      <c r="C2685" s="384">
        <v>45796.0</v>
      </c>
      <c r="D2685" s="65">
        <v>5725.0</v>
      </c>
      <c r="E2685" s="445" t="s">
        <v>256</v>
      </c>
      <c r="F2685" s="386">
        <v>1.0</v>
      </c>
      <c r="G2685" s="74">
        <v>130000.0</v>
      </c>
      <c r="H2685" s="74">
        <v>0.0</v>
      </c>
      <c r="I2685" s="74">
        <f t="shared" si="1"/>
        <v>130000</v>
      </c>
      <c r="J2685" s="74">
        <f>IF(E2685="SERVICE",I2685-(I2685*50%),Vlookup(E2685,DATABASE!C:Q,10,false)*F2685)</f>
        <v>10000</v>
      </c>
      <c r="K2685" s="74">
        <f>VLOOKUP(E2685,DATABASE!C:Q,7,false)</f>
        <v>0</v>
      </c>
      <c r="L2685" s="74">
        <v>0.0</v>
      </c>
      <c r="M2685" s="74">
        <f t="shared" si="2"/>
        <v>0</v>
      </c>
      <c r="N2685" s="74">
        <f t="shared" si="3"/>
        <v>120000</v>
      </c>
      <c r="O2685" s="65" t="str">
        <f>VLOOKUP(E2685,DATABASE!C:Q,8,false)</f>
        <v>IBU</v>
      </c>
      <c r="P2685" s="65">
        <f>VLOOKUP(E2685,DATABASE!C:Q,9,False)</f>
        <v>0</v>
      </c>
      <c r="Q2685" s="93" t="str">
        <f>VLOOKUP(E2685,DATABASE!C:Q,4,false)</f>
        <v>SPOORING</v>
      </c>
      <c r="R2685" s="93" t="str">
        <f>VLOOKUP(E2685,DATABASE!C:Q,11,false)</f>
        <v>SERVICE</v>
      </c>
    </row>
    <row r="2686" ht="22.5" customHeight="1">
      <c r="A2686" s="49"/>
      <c r="C2686" s="384">
        <v>45796.0</v>
      </c>
      <c r="D2686" s="65">
        <v>5725.0</v>
      </c>
      <c r="E2686" s="445" t="s">
        <v>301</v>
      </c>
      <c r="F2686" s="386">
        <v>1.0</v>
      </c>
      <c r="G2686" s="74">
        <v>250000.0</v>
      </c>
      <c r="H2686" s="74">
        <v>0.0</v>
      </c>
      <c r="I2686" s="74">
        <f t="shared" si="1"/>
        <v>250000</v>
      </c>
      <c r="J2686" s="74">
        <f>IF(E2686="SERVICE",I2686-(I2686*50%),Vlookup(E2686,DATABASE!C:Q,10,false)*F2686)</f>
        <v>75000</v>
      </c>
      <c r="K2686" s="74">
        <f>VLOOKUP(E2686,DATABASE!C:Q,7,false)</f>
        <v>75000</v>
      </c>
      <c r="L2686" s="74">
        <v>75000.0</v>
      </c>
      <c r="M2686" s="74">
        <f t="shared" si="2"/>
        <v>75000</v>
      </c>
      <c r="N2686" s="74">
        <f t="shared" si="3"/>
        <v>100000</v>
      </c>
      <c r="O2686" s="65" t="str">
        <f>VLOOKUP(E2686,DATABASE!C:Q,8,false)</f>
        <v>BIAN</v>
      </c>
      <c r="P2686" s="65">
        <f>VLOOKUP(E2686,DATABASE!C:Q,9,False)</f>
        <v>0</v>
      </c>
      <c r="Q2686" s="93" t="str">
        <f>VLOOKUP(E2686,DATABASE!C:Q,4,false)</f>
        <v>Baut Camber</v>
      </c>
      <c r="R2686" s="93" t="str">
        <f>VLOOKUP(E2686,DATABASE!C:Q,11,false)</f>
        <v>COMPLEMENTARY</v>
      </c>
    </row>
    <row r="2687" ht="22.5" customHeight="1">
      <c r="A2687" s="49"/>
      <c r="C2687" s="384">
        <v>45796.0</v>
      </c>
      <c r="D2687" s="65">
        <v>5726.0</v>
      </c>
      <c r="E2687" s="445" t="s">
        <v>1025</v>
      </c>
      <c r="F2687" s="386">
        <v>2.0</v>
      </c>
      <c r="G2687" s="74">
        <v>760000.0</v>
      </c>
      <c r="H2687" s="74">
        <v>0.0</v>
      </c>
      <c r="I2687" s="74">
        <f t="shared" si="1"/>
        <v>1520000</v>
      </c>
      <c r="J2687" s="74">
        <f>IF(E2687="SERVICE",I2687-(I2687*50%),Vlookup(E2687,DATABASE!C:Q,10,false)*F2687)</f>
        <v>0</v>
      </c>
      <c r="K2687" s="74">
        <f>VLOOKUP(E2687,DATABASE!C:Q,7,false)</f>
        <v>683020.8</v>
      </c>
      <c r="L2687" s="74">
        <v>683020.8</v>
      </c>
      <c r="M2687" s="74">
        <f t="shared" si="2"/>
        <v>685000</v>
      </c>
      <c r="N2687" s="74">
        <f t="shared" si="3"/>
        <v>150000</v>
      </c>
      <c r="O2687" s="65" t="str">
        <f>VLOOKUP(E2687,DATABASE!C:Q,8,false)</f>
        <v>IBU</v>
      </c>
      <c r="P2687" s="65">
        <f>VLOOKUP(E2687,DATABASE!C:Q,9,False)</f>
        <v>1</v>
      </c>
      <c r="Q2687" s="93" t="str">
        <f>VLOOKUP(E2687,DATABASE!C:Q,4,false)</f>
        <v>Bridgestone</v>
      </c>
      <c r="R2687" s="93" t="str">
        <f>VLOOKUP(E2687,DATABASE!C:Q,11,false)</f>
        <v>Tire</v>
      </c>
    </row>
    <row r="2688" ht="22.5" customHeight="1">
      <c r="A2688" s="49"/>
      <c r="C2688" s="384">
        <v>45796.0</v>
      </c>
      <c r="D2688" s="65">
        <v>5727.0</v>
      </c>
      <c r="E2688" s="445" t="s">
        <v>1439</v>
      </c>
      <c r="F2688" s="386">
        <v>1.0</v>
      </c>
      <c r="G2688" s="74">
        <v>630000.0</v>
      </c>
      <c r="H2688" s="74">
        <v>0.0</v>
      </c>
      <c r="I2688" s="74">
        <f t="shared" si="1"/>
        <v>630000</v>
      </c>
      <c r="J2688" s="74">
        <f>IF(E2688="SERVICE",I2688-(I2688*50%),Vlookup(E2688,DATABASE!C:Q,10,false)*F2688)</f>
        <v>0</v>
      </c>
      <c r="K2688" s="74">
        <f>VLOOKUP(E2688,DATABASE!C:Q,7,false)</f>
        <v>556800</v>
      </c>
      <c r="L2688" s="74">
        <v>540800.0</v>
      </c>
      <c r="M2688" s="74">
        <f t="shared" si="2"/>
        <v>545000</v>
      </c>
      <c r="N2688" s="74">
        <f t="shared" si="3"/>
        <v>85000</v>
      </c>
      <c r="O2688" s="65" t="str">
        <f>VLOOKUP(E2688,DATABASE!C:Q,8,false)</f>
        <v>BIAN</v>
      </c>
      <c r="P2688" s="65">
        <f>VLOOKUP(E2688,DATABASE!C:Q,9,False)</f>
        <v>1</v>
      </c>
      <c r="Q2688" s="93" t="str">
        <f>VLOOKUP(E2688,DATABASE!C:Q,4,false)</f>
        <v>GT</v>
      </c>
      <c r="R2688" s="93" t="str">
        <f>VLOOKUP(E2688,DATABASE!C:Q,11,false)</f>
        <v>Tire</v>
      </c>
    </row>
    <row r="2689" ht="22.5" customHeight="1">
      <c r="A2689" s="49"/>
      <c r="C2689" s="384">
        <v>45796.0</v>
      </c>
      <c r="D2689" s="65">
        <v>5728.0</v>
      </c>
      <c r="E2689" s="445" t="s">
        <v>268</v>
      </c>
      <c r="F2689" s="386">
        <v>1.0</v>
      </c>
      <c r="G2689" s="74">
        <v>720000.0</v>
      </c>
      <c r="H2689" s="74">
        <v>0.0</v>
      </c>
      <c r="I2689" s="74">
        <f t="shared" si="1"/>
        <v>720000</v>
      </c>
      <c r="J2689" s="74">
        <f>IF(E2689="SERVICE",I2689-(I2689*50%),Vlookup(E2689,DATABASE!C:Q,10,false)*F2689)</f>
        <v>0</v>
      </c>
      <c r="K2689" s="74">
        <f>VLOOKUP(E2689,DATABASE!C:Q,7,false)</f>
        <v>653000</v>
      </c>
      <c r="L2689" s="74">
        <v>622000.0</v>
      </c>
      <c r="M2689" s="74">
        <f t="shared" si="2"/>
        <v>625000</v>
      </c>
      <c r="N2689" s="74">
        <f t="shared" si="3"/>
        <v>95000</v>
      </c>
      <c r="O2689" s="65" t="str">
        <f>VLOOKUP(E2689,DATABASE!C:Q,8,false)</f>
        <v>IBU</v>
      </c>
      <c r="P2689" s="65">
        <f>VLOOKUP(E2689,DATABASE!C:Q,9,False)</f>
        <v>1</v>
      </c>
      <c r="Q2689" s="93" t="str">
        <f>VLOOKUP(E2689,DATABASE!C:Q,4,false)</f>
        <v>Dunlop</v>
      </c>
      <c r="R2689" s="93" t="str">
        <f>VLOOKUP(E2689,DATABASE!C:Q,11,false)</f>
        <v>Tire</v>
      </c>
    </row>
    <row r="2690" ht="22.5" customHeight="1">
      <c r="A2690" s="49"/>
      <c r="C2690" s="384">
        <v>45796.0</v>
      </c>
      <c r="D2690" s="65">
        <v>5729.0</v>
      </c>
      <c r="E2690" s="445" t="s">
        <v>250</v>
      </c>
      <c r="F2690" s="386">
        <v>1.0</v>
      </c>
      <c r="G2690" s="74">
        <v>135000.0</v>
      </c>
      <c r="H2690" s="74">
        <v>0.0</v>
      </c>
      <c r="I2690" s="74">
        <f t="shared" si="1"/>
        <v>135000</v>
      </c>
      <c r="J2690" s="74">
        <f>IF(E2690="SERVICE",I2690-(I2690*50%),Vlookup(E2690,DATABASE!C:Q,10,false)*F2690)</f>
        <v>0</v>
      </c>
      <c r="K2690" s="74">
        <f>VLOOKUP(E2690,DATABASE!C:Q,7,false)</f>
        <v>102000</v>
      </c>
      <c r="L2690" s="74">
        <v>102000.0</v>
      </c>
      <c r="M2690" s="74">
        <f t="shared" si="2"/>
        <v>105000</v>
      </c>
      <c r="N2690" s="74">
        <f t="shared" si="3"/>
        <v>30000</v>
      </c>
      <c r="O2690" s="65" t="str">
        <f>VLOOKUP(E2690,DATABASE!C:Q,8,false)</f>
        <v>BIAN</v>
      </c>
      <c r="P2690" s="65">
        <f>VLOOKUP(E2690,DATABASE!C:Q,9,False)</f>
        <v>1</v>
      </c>
      <c r="Q2690" s="93" t="str">
        <f>VLOOKUP(E2690,DATABASE!C:Q,4,false)</f>
        <v>BD</v>
      </c>
      <c r="R2690" s="93" t="str">
        <f>VLOOKUP(E2690,DATABASE!C:Q,11,false)</f>
        <v>Tire</v>
      </c>
    </row>
    <row r="2691" ht="22.5" customHeight="1">
      <c r="A2691" s="49"/>
      <c r="C2691" s="384">
        <v>45796.0</v>
      </c>
      <c r="D2691" s="65">
        <v>5730.0</v>
      </c>
      <c r="E2691" s="445" t="s">
        <v>265</v>
      </c>
      <c r="F2691" s="386">
        <v>2.0</v>
      </c>
      <c r="G2691" s="74">
        <v>700000.0</v>
      </c>
      <c r="H2691" s="74">
        <v>0.0</v>
      </c>
      <c r="I2691" s="74">
        <f t="shared" si="1"/>
        <v>1400000</v>
      </c>
      <c r="J2691" s="74">
        <f>IF(E2691="SERVICE",I2691-(I2691*50%),Vlookup(E2691,DATABASE!C:Q,10,false)*F2691)</f>
        <v>0</v>
      </c>
      <c r="K2691" s="74">
        <f>VLOOKUP(E2691,DATABASE!C:Q,7,false)</f>
        <v>628000</v>
      </c>
      <c r="L2691" s="74">
        <v>610000.0</v>
      </c>
      <c r="M2691" s="74">
        <f t="shared" si="2"/>
        <v>610000</v>
      </c>
      <c r="N2691" s="74">
        <f t="shared" si="3"/>
        <v>180000</v>
      </c>
      <c r="O2691" s="65" t="str">
        <f>VLOOKUP(E2691,DATABASE!C:Q,8,false)</f>
        <v>IBU</v>
      </c>
      <c r="P2691" s="65">
        <f>VLOOKUP(E2691,DATABASE!C:Q,9,False)</f>
        <v>1</v>
      </c>
      <c r="Q2691" s="93" t="str">
        <f>VLOOKUP(E2691,DATABASE!C:Q,4,false)</f>
        <v>Dunlop</v>
      </c>
      <c r="R2691" s="93" t="str">
        <f>VLOOKUP(E2691,DATABASE!C:Q,11,false)</f>
        <v>Tire</v>
      </c>
    </row>
    <row r="2692" ht="22.5" customHeight="1">
      <c r="A2692" s="49"/>
      <c r="C2692" s="384">
        <v>45796.0</v>
      </c>
      <c r="D2692" s="65">
        <v>5731.0</v>
      </c>
      <c r="E2692" s="445" t="s">
        <v>256</v>
      </c>
      <c r="F2692" s="386">
        <v>1.0</v>
      </c>
      <c r="G2692" s="74">
        <v>130000.0</v>
      </c>
      <c r="H2692" s="74">
        <v>0.0</v>
      </c>
      <c r="I2692" s="74">
        <f t="shared" si="1"/>
        <v>130000</v>
      </c>
      <c r="J2692" s="74">
        <f>IF(E2692="SERVICE",I2692-(I2692*50%),Vlookup(E2692,DATABASE!C:Q,10,false)*F2692)</f>
        <v>10000</v>
      </c>
      <c r="K2692" s="74">
        <f>VLOOKUP(E2692,DATABASE!C:Q,7,false)</f>
        <v>0</v>
      </c>
      <c r="L2692" s="74">
        <v>0.0</v>
      </c>
      <c r="M2692" s="74">
        <f t="shared" si="2"/>
        <v>0</v>
      </c>
      <c r="N2692" s="74">
        <f t="shared" si="3"/>
        <v>120000</v>
      </c>
      <c r="O2692" s="65" t="str">
        <f>VLOOKUP(E2692,DATABASE!C:Q,8,false)</f>
        <v>IBU</v>
      </c>
      <c r="P2692" s="65">
        <f>VLOOKUP(E2692,DATABASE!C:Q,9,False)</f>
        <v>0</v>
      </c>
      <c r="Q2692" s="93" t="str">
        <f>VLOOKUP(E2692,DATABASE!C:Q,4,false)</f>
        <v>SPOORING</v>
      </c>
      <c r="R2692" s="93" t="str">
        <f>VLOOKUP(E2692,DATABASE!C:Q,11,false)</f>
        <v>SERVICE</v>
      </c>
    </row>
    <row r="2693" ht="22.5" customHeight="1">
      <c r="A2693" s="49"/>
      <c r="C2693" s="384">
        <v>45796.0</v>
      </c>
      <c r="D2693" s="65">
        <v>5731.0</v>
      </c>
      <c r="E2693" s="445" t="s">
        <v>301</v>
      </c>
      <c r="F2693" s="386">
        <v>1.0</v>
      </c>
      <c r="G2693" s="74">
        <v>250000.0</v>
      </c>
      <c r="H2693" s="74">
        <v>0.0</v>
      </c>
      <c r="I2693" s="74">
        <f t="shared" si="1"/>
        <v>250000</v>
      </c>
      <c r="J2693" s="74">
        <f>IF(E2693="SERVICE",I2693-(I2693*50%),Vlookup(E2693,DATABASE!C:Q,10,false)*F2693)</f>
        <v>75000</v>
      </c>
      <c r="K2693" s="74">
        <f>VLOOKUP(E2693,DATABASE!C:Q,7,false)</f>
        <v>75000</v>
      </c>
      <c r="L2693" s="74">
        <v>75000.0</v>
      </c>
      <c r="M2693" s="74">
        <f t="shared" si="2"/>
        <v>75000</v>
      </c>
      <c r="N2693" s="74">
        <f t="shared" si="3"/>
        <v>100000</v>
      </c>
      <c r="O2693" s="65" t="str">
        <f>VLOOKUP(E2693,DATABASE!C:Q,8,false)</f>
        <v>BIAN</v>
      </c>
      <c r="P2693" s="65">
        <f>VLOOKUP(E2693,DATABASE!C:Q,9,False)</f>
        <v>0</v>
      </c>
      <c r="Q2693" s="93" t="str">
        <f>VLOOKUP(E2693,DATABASE!C:Q,4,false)</f>
        <v>Baut Camber</v>
      </c>
      <c r="R2693" s="93" t="str">
        <f>VLOOKUP(E2693,DATABASE!C:Q,11,false)</f>
        <v>COMPLEMENTARY</v>
      </c>
    </row>
    <row r="2694" ht="22.5" customHeight="1">
      <c r="A2694" s="49"/>
      <c r="C2694" s="384">
        <v>45796.0</v>
      </c>
      <c r="D2694" s="65">
        <v>5732.0</v>
      </c>
      <c r="E2694" s="445" t="s">
        <v>262</v>
      </c>
      <c r="F2694" s="386">
        <v>1.0</v>
      </c>
      <c r="G2694" s="74">
        <v>110000.0</v>
      </c>
      <c r="H2694" s="74">
        <v>0.0</v>
      </c>
      <c r="I2694" s="74">
        <f t="shared" si="1"/>
        <v>110000</v>
      </c>
      <c r="J2694" s="74">
        <f>IF(E2694="SERVICE",I2694-(I2694*50%),Vlookup(E2694,DATABASE!C:Q,10,false)*F2694)</f>
        <v>5000</v>
      </c>
      <c r="K2694" s="74">
        <f>VLOOKUP(E2694,DATABASE!C:Q,7,false)</f>
        <v>0</v>
      </c>
      <c r="L2694" s="74">
        <v>0.0</v>
      </c>
      <c r="M2694" s="74">
        <f t="shared" si="2"/>
        <v>0</v>
      </c>
      <c r="N2694" s="74">
        <f t="shared" si="3"/>
        <v>105000</v>
      </c>
      <c r="O2694" s="65" t="str">
        <f>VLOOKUP(E2694,DATABASE!C:Q,8,false)</f>
        <v>IBU</v>
      </c>
      <c r="P2694" s="65">
        <f>VLOOKUP(E2694,DATABASE!C:Q,9,False)</f>
        <v>0</v>
      </c>
      <c r="Q2694" s="93" t="str">
        <f>VLOOKUP(E2694,DATABASE!C:Q,4,false)</f>
        <v>SPOORING SS/CARRY LOS BAK</v>
      </c>
      <c r="R2694" s="93" t="str">
        <f>VLOOKUP(E2694,DATABASE!C:Q,11,false)</f>
        <v>SERVICE</v>
      </c>
    </row>
    <row r="2695" ht="22.5" customHeight="1">
      <c r="A2695" s="49"/>
      <c r="C2695" s="384">
        <v>45796.0</v>
      </c>
      <c r="D2695" s="65">
        <v>5732.0</v>
      </c>
      <c r="E2695" s="385" t="s">
        <v>299</v>
      </c>
      <c r="F2695" s="386">
        <v>2.0</v>
      </c>
      <c r="G2695" s="74">
        <v>30000.0</v>
      </c>
      <c r="H2695" s="74">
        <v>0.0</v>
      </c>
      <c r="I2695" s="74">
        <f t="shared" si="1"/>
        <v>60000</v>
      </c>
      <c r="J2695" s="74">
        <f>IF(E2695="SERVICE",I2695-(I2695*50%),Vlookup(E2695,DATABASE!C:Q,10,false)*F2695)</f>
        <v>0</v>
      </c>
      <c r="K2695" s="74">
        <v>0.0</v>
      </c>
      <c r="L2695" s="74">
        <v>0.0</v>
      </c>
      <c r="M2695" s="74">
        <f t="shared" si="2"/>
        <v>0</v>
      </c>
      <c r="N2695" s="74">
        <f t="shared" si="3"/>
        <v>60000</v>
      </c>
      <c r="O2695" s="65" t="str">
        <f>VLOOKUP(E2695,DATABASE!C:Q,8,false)</f>
        <v>BIAN</v>
      </c>
      <c r="P2695" s="65">
        <f>VLOOKUP(E2695,DATABASE!C:Q,9,False)</f>
        <v>0</v>
      </c>
      <c r="Q2695" s="93" t="str">
        <f>VLOOKUP(E2695,DATABASE!C:Q,4,false)</f>
        <v>Balancing</v>
      </c>
      <c r="R2695" s="93" t="str">
        <f>VLOOKUP(E2695,DATABASE!C:Q,11,false)</f>
        <v>COMPLEMENTARY</v>
      </c>
    </row>
    <row r="2696" ht="22.5" customHeight="1">
      <c r="A2696" s="49"/>
      <c r="C2696" s="384">
        <v>45796.0</v>
      </c>
      <c r="D2696" s="65">
        <v>5732.0</v>
      </c>
      <c r="E2696" s="445" t="s">
        <v>478</v>
      </c>
      <c r="F2696" s="386">
        <v>1.0</v>
      </c>
      <c r="G2696" s="74">
        <v>200000.0</v>
      </c>
      <c r="H2696" s="74">
        <v>0.0</v>
      </c>
      <c r="I2696" s="74">
        <f t="shared" si="1"/>
        <v>200000</v>
      </c>
      <c r="J2696" s="74">
        <f>IF(E2696="SERVICE",I2696-(I2696*50%),Vlookup(E2696,DATABASE!C:Q,10,false)*F2696)</f>
        <v>25000</v>
      </c>
      <c r="K2696" s="74">
        <f>VLOOKUP(E2696,DATABASE!C:Q,7,false)</f>
        <v>75000</v>
      </c>
      <c r="L2696" s="74">
        <v>75000.0</v>
      </c>
      <c r="M2696" s="74">
        <f t="shared" si="2"/>
        <v>75000</v>
      </c>
      <c r="N2696" s="74">
        <f t="shared" si="3"/>
        <v>100000</v>
      </c>
      <c r="O2696" s="65" t="str">
        <f>VLOOKUP(E2696,DATABASE!C:Q,8,false)</f>
        <v>BIAN</v>
      </c>
      <c r="P2696" s="65">
        <f>VLOOKUP(E2696,DATABASE!C:Q,9,False)</f>
        <v>0</v>
      </c>
      <c r="Q2696" s="93" t="str">
        <f>VLOOKUP(E2696,DATABASE!C:Q,4,false)</f>
        <v>Baut Camber ss-carry</v>
      </c>
      <c r="R2696" s="93" t="str">
        <f>VLOOKUP(E2696,DATABASE!C:Q,11,false)</f>
        <v>COMPLEMENTARY</v>
      </c>
    </row>
    <row r="2697" ht="22.5" customHeight="1">
      <c r="A2697" s="49"/>
      <c r="C2697" s="384">
        <v>45796.0</v>
      </c>
      <c r="D2697" s="65">
        <v>5733.0</v>
      </c>
      <c r="E2697" s="445" t="s">
        <v>839</v>
      </c>
      <c r="F2697" s="386">
        <v>2.0</v>
      </c>
      <c r="G2697" s="74">
        <v>565000.0</v>
      </c>
      <c r="H2697" s="74">
        <v>0.0</v>
      </c>
      <c r="I2697" s="74">
        <f t="shared" si="1"/>
        <v>1130000</v>
      </c>
      <c r="J2697" s="74">
        <f>IF(E2697="SERVICE",I2697-(I2697*50%),Vlookup(E2697,DATABASE!C:Q,10,false)*F2697)</f>
        <v>0</v>
      </c>
      <c r="K2697" s="74">
        <f>VLOOKUP(E2697,DATABASE!C:Q,7,false)</f>
        <v>512640</v>
      </c>
      <c r="L2697" s="74">
        <v>475700.0</v>
      </c>
      <c r="M2697" s="74">
        <f t="shared" si="2"/>
        <v>480000</v>
      </c>
      <c r="N2697" s="74">
        <f t="shared" si="3"/>
        <v>170000</v>
      </c>
      <c r="O2697" s="65" t="str">
        <f>VLOOKUP(E2697,DATABASE!C:Q,8,false)</f>
        <v>BIAN</v>
      </c>
      <c r="P2697" s="65">
        <f>VLOOKUP(E2697,DATABASE!C:Q,9,False)</f>
        <v>1</v>
      </c>
      <c r="Q2697" s="93" t="str">
        <f>VLOOKUP(E2697,DATABASE!C:Q,4,false)</f>
        <v>GT</v>
      </c>
      <c r="R2697" s="93" t="str">
        <f>VLOOKUP(E2697,DATABASE!C:Q,11,false)</f>
        <v>Tire</v>
      </c>
    </row>
    <row r="2698" ht="22.5" customHeight="1">
      <c r="A2698" s="49"/>
      <c r="C2698" s="384">
        <v>45796.0</v>
      </c>
      <c r="D2698" s="65">
        <v>5733.0</v>
      </c>
      <c r="E2698" s="385" t="s">
        <v>299</v>
      </c>
      <c r="F2698" s="386">
        <v>2.0</v>
      </c>
      <c r="G2698" s="74">
        <v>30000.0</v>
      </c>
      <c r="H2698" s="74">
        <v>0.0</v>
      </c>
      <c r="I2698" s="74">
        <f t="shared" si="1"/>
        <v>60000</v>
      </c>
      <c r="J2698" s="74">
        <f>IF(E2698="SERVICE",I2698-(I2698*50%),Vlookup(E2698,DATABASE!C:Q,10,false)*F2698)</f>
        <v>0</v>
      </c>
      <c r="K2698" s="74">
        <v>0.0</v>
      </c>
      <c r="L2698" s="74">
        <v>0.0</v>
      </c>
      <c r="M2698" s="74">
        <f t="shared" si="2"/>
        <v>0</v>
      </c>
      <c r="N2698" s="74">
        <f t="shared" si="3"/>
        <v>60000</v>
      </c>
      <c r="O2698" s="65" t="str">
        <f>VLOOKUP(E2698,DATABASE!C:Q,8,false)</f>
        <v>BIAN</v>
      </c>
      <c r="P2698" s="65">
        <f>VLOOKUP(E2698,DATABASE!C:Q,9,False)</f>
        <v>0</v>
      </c>
      <c r="Q2698" s="93" t="str">
        <f>VLOOKUP(E2698,DATABASE!C:Q,4,false)</f>
        <v>Balancing</v>
      </c>
      <c r="R2698" s="93" t="str">
        <f>VLOOKUP(E2698,DATABASE!C:Q,11,false)</f>
        <v>COMPLEMENTARY</v>
      </c>
    </row>
    <row r="2699" ht="22.5" customHeight="1">
      <c r="A2699" s="49"/>
      <c r="C2699" s="384">
        <v>45796.0</v>
      </c>
      <c r="D2699" s="65">
        <v>5734.0</v>
      </c>
      <c r="E2699" s="445" t="s">
        <v>932</v>
      </c>
      <c r="F2699" s="386">
        <v>2.0</v>
      </c>
      <c r="G2699" s="74">
        <v>700000.0</v>
      </c>
      <c r="H2699" s="74">
        <v>0.0</v>
      </c>
      <c r="I2699" s="74">
        <f t="shared" si="1"/>
        <v>1400000</v>
      </c>
      <c r="J2699" s="74">
        <f>IF(E2699="SERVICE",I2699-(I2699*50%),Vlookup(E2699,DATABASE!C:Q,10,false)*F2699)</f>
        <v>0</v>
      </c>
      <c r="K2699" s="74">
        <f>VLOOKUP(E2699,DATABASE!C:Q,7,false)</f>
        <v>601000</v>
      </c>
      <c r="L2699" s="74">
        <v>595000.0</v>
      </c>
      <c r="M2699" s="74">
        <f t="shared" si="2"/>
        <v>595000</v>
      </c>
      <c r="N2699" s="74">
        <f t="shared" si="3"/>
        <v>210000</v>
      </c>
      <c r="O2699" s="65" t="str">
        <f>VLOOKUP(E2699,DATABASE!C:Q,8,false)</f>
        <v>IBU</v>
      </c>
      <c r="P2699" s="65">
        <f>VLOOKUP(E2699,DATABASE!C:Q,9,False)</f>
        <v>1</v>
      </c>
      <c r="Q2699" s="93" t="str">
        <f>VLOOKUP(E2699,DATABASE!C:Q,4,false)</f>
        <v>Dunlop</v>
      </c>
      <c r="R2699" s="93" t="str">
        <f>VLOOKUP(E2699,DATABASE!C:Q,11,false)</f>
        <v>Tire</v>
      </c>
    </row>
    <row r="2700" ht="22.5" customHeight="1">
      <c r="A2700" s="49"/>
      <c r="C2700" s="384">
        <v>45796.0</v>
      </c>
      <c r="D2700" s="65">
        <v>5735.0</v>
      </c>
      <c r="E2700" s="445" t="s">
        <v>1597</v>
      </c>
      <c r="F2700" s="386">
        <v>2.0</v>
      </c>
      <c r="G2700" s="74">
        <v>640000.0</v>
      </c>
      <c r="H2700" s="74">
        <v>0.0</v>
      </c>
      <c r="I2700" s="74">
        <f t="shared" si="1"/>
        <v>1280000</v>
      </c>
      <c r="J2700" s="74">
        <f>IF(E2700="SERVICE",I2700-(I2700*50%),Vlookup(E2700,DATABASE!C:Q,10,false)*F2700)</f>
        <v>0</v>
      </c>
      <c r="K2700" s="74">
        <f>VLOOKUP(E2700,DATABASE!C:Q,7,false)</f>
        <v>560700</v>
      </c>
      <c r="L2700" s="74">
        <v>544300.0</v>
      </c>
      <c r="M2700" s="74">
        <f t="shared" si="2"/>
        <v>545000</v>
      </c>
      <c r="N2700" s="74">
        <f t="shared" si="3"/>
        <v>190000</v>
      </c>
      <c r="O2700" s="65" t="str">
        <f>VLOOKUP(E2700,DATABASE!C:Q,8,false)</f>
        <v>BIAN</v>
      </c>
      <c r="P2700" s="65">
        <f>VLOOKUP(E2700,DATABASE!C:Q,9,False)</f>
        <v>1</v>
      </c>
      <c r="Q2700" s="93" t="str">
        <f>VLOOKUP(E2700,DATABASE!C:Q,4,false)</f>
        <v>GT</v>
      </c>
      <c r="R2700" s="93" t="str">
        <f>VLOOKUP(E2700,DATABASE!C:Q,11,false)</f>
        <v>Tire</v>
      </c>
    </row>
    <row r="2701" ht="22.5" customHeight="1">
      <c r="A2701" s="49"/>
      <c r="C2701" s="384">
        <v>45797.0</v>
      </c>
      <c r="D2701" s="65">
        <v>5736.0</v>
      </c>
      <c r="E2701" s="445" t="s">
        <v>572</v>
      </c>
      <c r="F2701" s="386">
        <v>2.0</v>
      </c>
      <c r="G2701" s="74">
        <v>1370000.0</v>
      </c>
      <c r="H2701" s="74">
        <v>0.0</v>
      </c>
      <c r="I2701" s="74">
        <f t="shared" si="1"/>
        <v>2740000</v>
      </c>
      <c r="J2701" s="74">
        <f>IF(E2701="SERVICE",I2701-(I2701*50%),Vlookup(E2701,DATABASE!C:Q,10,false)*F2701)</f>
        <v>0</v>
      </c>
      <c r="K2701" s="140">
        <v>1270000.0</v>
      </c>
      <c r="L2701" s="140">
        <v>1270000.0</v>
      </c>
      <c r="M2701" s="74">
        <f t="shared" si="2"/>
        <v>1270000</v>
      </c>
      <c r="N2701" s="74">
        <f t="shared" si="3"/>
        <v>200000</v>
      </c>
      <c r="O2701" s="65" t="str">
        <f>VLOOKUP(E2701,DATABASE!C:Q,8,false)</f>
        <v>IBU</v>
      </c>
      <c r="P2701" s="65">
        <f>VLOOKUP(E2701,DATABASE!C:Q,9,False)</f>
        <v>1</v>
      </c>
      <c r="Q2701" s="93" t="str">
        <f>VLOOKUP(E2701,DATABASE!C:Q,4,false)</f>
        <v>Bridgestone</v>
      </c>
      <c r="R2701" s="93" t="str">
        <f>VLOOKUP(E2701,DATABASE!C:Q,11,false)</f>
        <v>Tire</v>
      </c>
    </row>
    <row r="2702" ht="22.5" customHeight="1">
      <c r="A2702" s="49"/>
      <c r="C2702" s="384">
        <v>45797.0</v>
      </c>
      <c r="D2702" s="65">
        <v>5736.0</v>
      </c>
      <c r="E2702" s="445" t="s">
        <v>652</v>
      </c>
      <c r="F2702" s="386">
        <v>2.0</v>
      </c>
      <c r="G2702" s="74">
        <v>260000.0</v>
      </c>
      <c r="H2702" s="74">
        <v>0.0</v>
      </c>
      <c r="I2702" s="74">
        <f t="shared" si="1"/>
        <v>520000</v>
      </c>
      <c r="J2702" s="74">
        <f>IF(E2702="SERVICE",I2702-(I2702*50%),Vlookup(E2702,DATABASE!C:Q,10,false)*F2702)</f>
        <v>0</v>
      </c>
      <c r="K2702" s="74">
        <f>VLOOKUP(E2702,DATABASE!C:Q,7,false)</f>
        <v>231268</v>
      </c>
      <c r="L2702" s="74">
        <v>227850.0</v>
      </c>
      <c r="M2702" s="74">
        <f t="shared" si="2"/>
        <v>230000</v>
      </c>
      <c r="N2702" s="74">
        <f t="shared" si="3"/>
        <v>60000</v>
      </c>
      <c r="O2702" s="65" t="str">
        <f>VLOOKUP(E2702,DATABASE!C:Q,8,false)</f>
        <v>IBU</v>
      </c>
      <c r="P2702" s="65">
        <f>VLOOKUP(E2702,DATABASE!C:Q,9,False)</f>
        <v>1</v>
      </c>
      <c r="Q2702" s="93" t="str">
        <f>VLOOKUP(E2702,DATABASE!C:Q,4,false)</f>
        <v>BD</v>
      </c>
      <c r="R2702" s="93" t="str">
        <f>VLOOKUP(E2702,DATABASE!C:Q,11,false)</f>
        <v>Tire</v>
      </c>
    </row>
    <row r="2703" ht="22.5" customHeight="1">
      <c r="A2703" s="49"/>
      <c r="C2703" s="384">
        <v>45797.0</v>
      </c>
      <c r="D2703" s="65">
        <v>5737.0</v>
      </c>
      <c r="E2703" s="445" t="s">
        <v>268</v>
      </c>
      <c r="F2703" s="386">
        <v>2.0</v>
      </c>
      <c r="G2703" s="74">
        <v>720000.0</v>
      </c>
      <c r="H2703" s="74">
        <v>0.0</v>
      </c>
      <c r="I2703" s="74">
        <f t="shared" si="1"/>
        <v>1440000</v>
      </c>
      <c r="J2703" s="74">
        <f>IF(E2703="SERVICE",I2703-(I2703*50%),Vlookup(E2703,DATABASE!C:Q,10,false)*F2703)</f>
        <v>0</v>
      </c>
      <c r="K2703" s="74">
        <f>VLOOKUP(E2703,DATABASE!C:Q,7,false)</f>
        <v>653000</v>
      </c>
      <c r="L2703" s="74">
        <v>622000.0</v>
      </c>
      <c r="M2703" s="74">
        <f t="shared" si="2"/>
        <v>625000</v>
      </c>
      <c r="N2703" s="74">
        <f t="shared" si="3"/>
        <v>190000</v>
      </c>
      <c r="O2703" s="65" t="str">
        <f>VLOOKUP(E2703,DATABASE!C:Q,8,false)</f>
        <v>IBU</v>
      </c>
      <c r="P2703" s="65">
        <f>VLOOKUP(E2703,DATABASE!C:Q,9,False)</f>
        <v>1</v>
      </c>
      <c r="Q2703" s="93" t="str">
        <f>VLOOKUP(E2703,DATABASE!C:Q,4,false)</f>
        <v>Dunlop</v>
      </c>
      <c r="R2703" s="93" t="str">
        <f>VLOOKUP(E2703,DATABASE!C:Q,11,false)</f>
        <v>Tire</v>
      </c>
    </row>
    <row r="2704" ht="22.5" customHeight="1">
      <c r="A2704" s="49"/>
      <c r="C2704" s="384">
        <v>45797.0</v>
      </c>
      <c r="D2704" s="65">
        <v>5738.0</v>
      </c>
      <c r="E2704" s="445" t="s">
        <v>256</v>
      </c>
      <c r="F2704" s="386">
        <v>1.0</v>
      </c>
      <c r="G2704" s="74">
        <v>130000.0</v>
      </c>
      <c r="H2704" s="74">
        <v>0.0</v>
      </c>
      <c r="I2704" s="74">
        <f t="shared" si="1"/>
        <v>130000</v>
      </c>
      <c r="J2704" s="74">
        <f>IF(E2704="SERVICE",I2704-(I2704*50%),Vlookup(E2704,DATABASE!C:Q,10,false)*F2704)</f>
        <v>10000</v>
      </c>
      <c r="K2704" s="74">
        <f>VLOOKUP(E2704,DATABASE!C:Q,7,false)</f>
        <v>0</v>
      </c>
      <c r="L2704" s="74">
        <v>0.0</v>
      </c>
      <c r="M2704" s="74">
        <f t="shared" si="2"/>
        <v>0</v>
      </c>
      <c r="N2704" s="74">
        <f t="shared" si="3"/>
        <v>120000</v>
      </c>
      <c r="O2704" s="65" t="str">
        <f>VLOOKUP(E2704,DATABASE!C:Q,8,false)</f>
        <v>IBU</v>
      </c>
      <c r="P2704" s="65">
        <f>VLOOKUP(E2704,DATABASE!C:Q,9,False)</f>
        <v>0</v>
      </c>
      <c r="Q2704" s="93" t="str">
        <f>VLOOKUP(E2704,DATABASE!C:Q,4,false)</f>
        <v>SPOORING</v>
      </c>
      <c r="R2704" s="93" t="str">
        <f>VLOOKUP(E2704,DATABASE!C:Q,11,false)</f>
        <v>SERVICE</v>
      </c>
    </row>
    <row r="2705" ht="22.5" customHeight="1">
      <c r="A2705" s="49"/>
      <c r="C2705" s="384">
        <v>45797.0</v>
      </c>
      <c r="D2705" s="65">
        <v>5738.0</v>
      </c>
      <c r="E2705" s="445" t="s">
        <v>301</v>
      </c>
      <c r="F2705" s="386">
        <v>1.0</v>
      </c>
      <c r="G2705" s="74">
        <v>250000.0</v>
      </c>
      <c r="H2705" s="74">
        <v>0.0</v>
      </c>
      <c r="I2705" s="74">
        <f t="shared" si="1"/>
        <v>250000</v>
      </c>
      <c r="J2705" s="74">
        <f>IF(E2705="SERVICE",I2705-(I2705*50%),Vlookup(E2705,DATABASE!C:Q,10,false)*F2705)</f>
        <v>75000</v>
      </c>
      <c r="K2705" s="74">
        <f>VLOOKUP(E2705,DATABASE!C:Q,7,false)</f>
        <v>75000</v>
      </c>
      <c r="L2705" s="74">
        <v>75000.0</v>
      </c>
      <c r="M2705" s="74">
        <f t="shared" si="2"/>
        <v>75000</v>
      </c>
      <c r="N2705" s="74">
        <f t="shared" si="3"/>
        <v>100000</v>
      </c>
      <c r="O2705" s="65" t="str">
        <f>VLOOKUP(E2705,DATABASE!C:Q,8,false)</f>
        <v>BIAN</v>
      </c>
      <c r="P2705" s="65">
        <f>VLOOKUP(E2705,DATABASE!C:Q,9,False)</f>
        <v>0</v>
      </c>
      <c r="Q2705" s="93" t="str">
        <f>VLOOKUP(E2705,DATABASE!C:Q,4,false)</f>
        <v>Baut Camber</v>
      </c>
      <c r="R2705" s="93" t="str">
        <f>VLOOKUP(E2705,DATABASE!C:Q,11,false)</f>
        <v>COMPLEMENTARY</v>
      </c>
    </row>
    <row r="2706" ht="22.5" customHeight="1">
      <c r="A2706" s="49"/>
      <c r="C2706" s="384">
        <v>45797.0</v>
      </c>
      <c r="D2706" s="65">
        <v>5739.0</v>
      </c>
      <c r="E2706" s="445" t="s">
        <v>554</v>
      </c>
      <c r="F2706" s="386">
        <v>1.0</v>
      </c>
      <c r="G2706" s="74">
        <v>800000.0</v>
      </c>
      <c r="H2706" s="74">
        <v>0.0</v>
      </c>
      <c r="I2706" s="74">
        <f t="shared" si="1"/>
        <v>800000</v>
      </c>
      <c r="J2706" s="74">
        <f>IF(E2706="SERVICE",I2706-(I2706*50%),Vlookup(E2706,DATABASE!C:Q,10,false)*F2706)</f>
        <v>0</v>
      </c>
      <c r="K2706" s="74">
        <f>VLOOKUP(E2706,DATABASE!C:Q,7,false)</f>
        <v>710000</v>
      </c>
      <c r="L2706" s="74">
        <v>680000.0</v>
      </c>
      <c r="M2706" s="74">
        <f t="shared" si="2"/>
        <v>680000</v>
      </c>
      <c r="N2706" s="74">
        <f t="shared" si="3"/>
        <v>120000</v>
      </c>
      <c r="O2706" s="65" t="str">
        <f>VLOOKUP(E2706,DATABASE!C:Q,8,false)</f>
        <v>IBU</v>
      </c>
      <c r="P2706" s="65">
        <f>VLOOKUP(E2706,DATABASE!C:Q,9,False)</f>
        <v>1</v>
      </c>
      <c r="Q2706" s="93" t="str">
        <f>VLOOKUP(E2706,DATABASE!C:Q,4,false)</f>
        <v>Bridgestone</v>
      </c>
      <c r="R2706" s="93" t="str">
        <f>VLOOKUP(E2706,DATABASE!C:Q,11,false)</f>
        <v>Tire</v>
      </c>
    </row>
    <row r="2707" ht="22.5" customHeight="1">
      <c r="A2707" s="49"/>
      <c r="C2707" s="384">
        <v>45797.0</v>
      </c>
      <c r="D2707" s="65">
        <v>5739.0</v>
      </c>
      <c r="E2707" s="445" t="s">
        <v>569</v>
      </c>
      <c r="F2707" s="386">
        <v>1.0</v>
      </c>
      <c r="G2707" s="74">
        <v>80000.0</v>
      </c>
      <c r="H2707" s="74">
        <v>0.0</v>
      </c>
      <c r="I2707" s="74">
        <f t="shared" si="1"/>
        <v>80000</v>
      </c>
      <c r="J2707" s="74">
        <f>IF(E2707="SERVICE",I2707-(I2707*50%),Vlookup(E2707,DATABASE!C:Q,10,false)*F2707)</f>
        <v>0</v>
      </c>
      <c r="K2707" s="74">
        <f>VLOOKUP(E2707,DATABASE!C:Q,7,false)</f>
        <v>45439.582</v>
      </c>
      <c r="L2707" s="74">
        <v>45309.6</v>
      </c>
      <c r="M2707" s="74">
        <f t="shared" si="2"/>
        <v>50000</v>
      </c>
      <c r="N2707" s="74">
        <f t="shared" si="3"/>
        <v>30000</v>
      </c>
      <c r="O2707" s="65" t="str">
        <f>VLOOKUP(E2707,DATABASE!C:Q,8,false)</f>
        <v>BIAN</v>
      </c>
      <c r="P2707" s="65">
        <f>VLOOKUP(E2707,DATABASE!C:Q,9,False)</f>
        <v>1</v>
      </c>
      <c r="Q2707" s="93" t="str">
        <f>VLOOKUP(E2707,DATABASE!C:Q,4,false)</f>
        <v>BD</v>
      </c>
      <c r="R2707" s="93" t="str">
        <f>VLOOKUP(E2707,DATABASE!C:Q,11,false)</f>
        <v>Tire</v>
      </c>
    </row>
    <row r="2708" ht="22.5" customHeight="1">
      <c r="A2708" s="49"/>
      <c r="C2708" s="384">
        <v>45797.0</v>
      </c>
      <c r="D2708" s="65">
        <v>5740.0</v>
      </c>
      <c r="E2708" s="445" t="s">
        <v>937</v>
      </c>
      <c r="F2708" s="386">
        <v>2.0</v>
      </c>
      <c r="G2708" s="74">
        <v>900000.0</v>
      </c>
      <c r="H2708" s="74">
        <v>0.0</v>
      </c>
      <c r="I2708" s="74">
        <f t="shared" si="1"/>
        <v>1800000</v>
      </c>
      <c r="J2708" s="74">
        <f>IF(E2708="SERVICE",I2708-(I2708*50%),Vlookup(E2708,DATABASE!C:Q,10,false)*F2708)</f>
        <v>0</v>
      </c>
      <c r="K2708" s="74">
        <f>VLOOKUP(E2708,DATABASE!C:Q,7,false)</f>
        <v>825000</v>
      </c>
      <c r="L2708" s="74">
        <v>790000.0</v>
      </c>
      <c r="M2708" s="74">
        <f t="shared" si="2"/>
        <v>790000</v>
      </c>
      <c r="N2708" s="74">
        <f t="shared" si="3"/>
        <v>220000</v>
      </c>
      <c r="O2708" s="65" t="str">
        <f>VLOOKUP(E2708,DATABASE!C:Q,8,false)</f>
        <v>IBU</v>
      </c>
      <c r="P2708" s="65">
        <f>VLOOKUP(E2708,DATABASE!C:Q,9,False)</f>
        <v>1</v>
      </c>
      <c r="Q2708" s="93" t="str">
        <f>VLOOKUP(E2708,DATABASE!C:Q,4,false)</f>
        <v>Bridgestone</v>
      </c>
      <c r="R2708" s="93" t="str">
        <f>VLOOKUP(E2708,DATABASE!C:Q,11,false)</f>
        <v>Tire</v>
      </c>
    </row>
    <row r="2709" ht="22.5" customHeight="1">
      <c r="A2709" s="49"/>
      <c r="C2709" s="384">
        <v>45797.0</v>
      </c>
      <c r="D2709" s="65">
        <v>5740.0</v>
      </c>
      <c r="E2709" s="445" t="s">
        <v>591</v>
      </c>
      <c r="F2709" s="386">
        <v>2.0</v>
      </c>
      <c r="G2709" s="74">
        <v>750000.0</v>
      </c>
      <c r="H2709" s="74">
        <v>0.0</v>
      </c>
      <c r="I2709" s="74">
        <f t="shared" si="1"/>
        <v>1500000</v>
      </c>
      <c r="J2709" s="74">
        <f>IF(E2709="SERVICE",I2709-(I2709*50%),Vlookup(E2709,DATABASE!C:Q,10,false)*F2709)</f>
        <v>0</v>
      </c>
      <c r="K2709" s="74">
        <f>VLOOKUP(E2709,DATABASE!C:Q,7,false)</f>
        <v>633035.16</v>
      </c>
      <c r="L2709" s="74">
        <v>593488.4</v>
      </c>
      <c r="M2709" s="74">
        <f t="shared" si="2"/>
        <v>595000</v>
      </c>
      <c r="N2709" s="74">
        <f t="shared" si="3"/>
        <v>310000</v>
      </c>
      <c r="O2709" s="65" t="str">
        <f>VLOOKUP(E2709,DATABASE!C:Q,8,false)</f>
        <v>IBU</v>
      </c>
      <c r="P2709" s="65">
        <f>VLOOKUP(E2709,DATABASE!C:Q,9,False)</f>
        <v>1</v>
      </c>
      <c r="Q2709" s="93" t="str">
        <f>VLOOKUP(E2709,DATABASE!C:Q,4,false)</f>
        <v>Bridgestone</v>
      </c>
      <c r="R2709" s="93" t="str">
        <f>VLOOKUP(E2709,DATABASE!C:Q,11,false)</f>
        <v>Tire</v>
      </c>
    </row>
    <row r="2710" ht="22.5" customHeight="1">
      <c r="A2710" s="49"/>
      <c r="C2710" s="384">
        <v>45797.0</v>
      </c>
      <c r="D2710" s="65">
        <v>5740.0</v>
      </c>
      <c r="E2710" s="385" t="s">
        <v>299</v>
      </c>
      <c r="F2710" s="386">
        <v>2.0</v>
      </c>
      <c r="G2710" s="74">
        <v>30000.0</v>
      </c>
      <c r="H2710" s="74">
        <v>0.0</v>
      </c>
      <c r="I2710" s="74">
        <f t="shared" si="1"/>
        <v>60000</v>
      </c>
      <c r="J2710" s="74">
        <f>IF(E2710="SERVICE",I2710-(I2710*50%),Vlookup(E2710,DATABASE!C:Q,10,false)*F2710)</f>
        <v>0</v>
      </c>
      <c r="K2710" s="74">
        <v>0.0</v>
      </c>
      <c r="L2710" s="74">
        <v>0.0</v>
      </c>
      <c r="M2710" s="74">
        <f t="shared" si="2"/>
        <v>0</v>
      </c>
      <c r="N2710" s="74">
        <f t="shared" si="3"/>
        <v>60000</v>
      </c>
      <c r="O2710" s="65" t="str">
        <f>VLOOKUP(E2710,DATABASE!C:Q,8,false)</f>
        <v>BIAN</v>
      </c>
      <c r="P2710" s="65">
        <f>VLOOKUP(E2710,DATABASE!C:Q,9,False)</f>
        <v>0</v>
      </c>
      <c r="Q2710" s="93" t="str">
        <f>VLOOKUP(E2710,DATABASE!C:Q,4,false)</f>
        <v>Balancing</v>
      </c>
      <c r="R2710" s="93" t="str">
        <f>VLOOKUP(E2710,DATABASE!C:Q,11,false)</f>
        <v>COMPLEMENTARY</v>
      </c>
    </row>
    <row r="2711" ht="22.5" customHeight="1">
      <c r="A2711" s="49"/>
      <c r="C2711" s="384">
        <v>45797.0</v>
      </c>
      <c r="D2711" s="65">
        <v>5741.0</v>
      </c>
      <c r="E2711" s="445" t="s">
        <v>897</v>
      </c>
      <c r="F2711" s="386">
        <v>1.0</v>
      </c>
      <c r="G2711" s="74">
        <v>1600000.0</v>
      </c>
      <c r="H2711" s="74">
        <v>0.0</v>
      </c>
      <c r="I2711" s="74">
        <f t="shared" si="1"/>
        <v>1600000</v>
      </c>
      <c r="J2711" s="74">
        <f>IF(E2711="SERVICE",I2711-(I2711*50%),Vlookup(E2711,DATABASE!C:Q,10,false)*F2711)</f>
        <v>0</v>
      </c>
      <c r="K2711" s="74">
        <f>VLOOKUP(E2711,DATABASE!C:Q,7,false)</f>
        <v>1560000</v>
      </c>
      <c r="L2711" s="74">
        <v>1500000.0</v>
      </c>
      <c r="M2711" s="74">
        <f t="shared" si="2"/>
        <v>1500000</v>
      </c>
      <c r="N2711" s="74">
        <f t="shared" si="3"/>
        <v>100000</v>
      </c>
      <c r="O2711" s="65" t="str">
        <f>VLOOKUP(E2711,DATABASE!C:Q,8,false)</f>
        <v>BIAN</v>
      </c>
      <c r="P2711" s="65">
        <f>VLOOKUP(E2711,DATABASE!C:Q,9,False)</f>
        <v>1</v>
      </c>
      <c r="Q2711" s="93" t="str">
        <f>VLOOKUP(E2711,DATABASE!C:Q,4,false)</f>
        <v>GT</v>
      </c>
      <c r="R2711" s="93" t="str">
        <f>VLOOKUP(E2711,DATABASE!C:Q,11,false)</f>
        <v>Tire</v>
      </c>
    </row>
    <row r="2712" ht="22.5" customHeight="1">
      <c r="A2712" s="49"/>
      <c r="C2712" s="384">
        <v>45797.0</v>
      </c>
      <c r="D2712" s="65">
        <v>5741.0</v>
      </c>
      <c r="E2712" s="445" t="s">
        <v>821</v>
      </c>
      <c r="F2712" s="386">
        <v>1.0</v>
      </c>
      <c r="G2712" s="74">
        <v>85000.0</v>
      </c>
      <c r="H2712" s="74">
        <v>0.0</v>
      </c>
      <c r="I2712" s="74">
        <f t="shared" si="1"/>
        <v>85000</v>
      </c>
      <c r="J2712" s="74">
        <f>IF(E2712="SERVICE",I2712-(I2712*50%),Vlookup(E2712,DATABASE!C:Q,10,false)*F2712)</f>
        <v>0</v>
      </c>
      <c r="K2712" s="74">
        <f>VLOOKUP(E2712,DATABASE!C:Q,7,false)</f>
        <v>43500</v>
      </c>
      <c r="L2712" s="74">
        <v>43520.0</v>
      </c>
      <c r="M2712" s="74">
        <f t="shared" si="2"/>
        <v>45000</v>
      </c>
      <c r="N2712" s="74">
        <f t="shared" si="3"/>
        <v>40000</v>
      </c>
      <c r="O2712" s="65" t="str">
        <f>VLOOKUP(E2712,DATABASE!C:Q,8,false)</f>
        <v>BIAN</v>
      </c>
      <c r="P2712" s="65">
        <f>VLOOKUP(E2712,DATABASE!C:Q,9,False)</f>
        <v>1</v>
      </c>
      <c r="Q2712" s="93" t="str">
        <f>VLOOKUP(E2712,DATABASE!C:Q,4,false)</f>
        <v>Flap</v>
      </c>
      <c r="R2712" s="93" t="str">
        <f>VLOOKUP(E2712,DATABASE!C:Q,11,false)</f>
        <v>Tire</v>
      </c>
    </row>
    <row r="2713" ht="22.5" customHeight="1">
      <c r="A2713" s="49"/>
      <c r="C2713" s="384">
        <v>45797.0</v>
      </c>
      <c r="D2713" s="65">
        <v>5742.0</v>
      </c>
      <c r="E2713" s="445" t="s">
        <v>614</v>
      </c>
      <c r="F2713" s="386">
        <v>1.0</v>
      </c>
      <c r="G2713" s="74">
        <v>870000.0</v>
      </c>
      <c r="H2713" s="74">
        <v>0.0</v>
      </c>
      <c r="I2713" s="74">
        <f t="shared" si="1"/>
        <v>870000</v>
      </c>
      <c r="J2713" s="74">
        <f>IF(E2713="SERVICE",I2713-(I2713*50%),Vlookup(E2713,DATABASE!C:Q,10,false)*F2713)</f>
        <v>0</v>
      </c>
      <c r="K2713" s="74">
        <f>VLOOKUP(E2713,DATABASE!C:Q,7,false)</f>
        <v>754660.6</v>
      </c>
      <c r="L2713" s="74">
        <v>766438.4</v>
      </c>
      <c r="M2713" s="74">
        <f t="shared" si="2"/>
        <v>770000</v>
      </c>
      <c r="N2713" s="74">
        <f t="shared" si="3"/>
        <v>100000</v>
      </c>
      <c r="O2713" s="65" t="str">
        <f>VLOOKUP(E2713,DATABASE!C:Q,8,false)</f>
        <v>IBU</v>
      </c>
      <c r="P2713" s="65">
        <f>VLOOKUP(E2713,DATABASE!C:Q,9,False)</f>
        <v>1</v>
      </c>
      <c r="Q2713" s="93" t="str">
        <f>VLOOKUP(E2713,DATABASE!C:Q,4,false)</f>
        <v>Bridgestone</v>
      </c>
      <c r="R2713" s="93" t="str">
        <f>VLOOKUP(E2713,DATABASE!C:Q,11,false)</f>
        <v>Tire</v>
      </c>
    </row>
    <row r="2714" ht="22.5" customHeight="1">
      <c r="A2714" s="49"/>
      <c r="C2714" s="384">
        <v>45797.0</v>
      </c>
      <c r="D2714" s="65">
        <v>5743.0</v>
      </c>
      <c r="E2714" s="445" t="s">
        <v>275</v>
      </c>
      <c r="F2714" s="386">
        <v>2.0</v>
      </c>
      <c r="G2714" s="74">
        <v>850000.0</v>
      </c>
      <c r="H2714" s="74">
        <v>0.0</v>
      </c>
      <c r="I2714" s="74">
        <f t="shared" si="1"/>
        <v>1700000</v>
      </c>
      <c r="J2714" s="74">
        <f>IF(E2714="SERVICE",I2714-(I2714*50%),Vlookup(E2714,DATABASE!C:Q,10,false)*F2714)</f>
        <v>0</v>
      </c>
      <c r="K2714" s="74">
        <f>VLOOKUP(E2714,DATABASE!C:Q,7,false)</f>
        <v>782000</v>
      </c>
      <c r="L2714" s="74">
        <v>745000.0</v>
      </c>
      <c r="M2714" s="74">
        <f t="shared" si="2"/>
        <v>745000</v>
      </c>
      <c r="N2714" s="74">
        <f t="shared" si="3"/>
        <v>210000</v>
      </c>
      <c r="O2714" s="65" t="str">
        <f>VLOOKUP(E2714,DATABASE!C:Q,8,false)</f>
        <v>IBU</v>
      </c>
      <c r="P2714" s="65">
        <f>VLOOKUP(E2714,DATABASE!C:Q,9,False)</f>
        <v>1</v>
      </c>
      <c r="Q2714" s="93" t="str">
        <f>VLOOKUP(E2714,DATABASE!C:Q,4,false)</f>
        <v>Dunlop</v>
      </c>
      <c r="R2714" s="93" t="str">
        <f>VLOOKUP(E2714,DATABASE!C:Q,11,false)</f>
        <v>Tire</v>
      </c>
    </row>
    <row r="2715" ht="22.5" customHeight="1">
      <c r="A2715" s="49"/>
      <c r="C2715" s="384">
        <v>45797.0</v>
      </c>
      <c r="D2715" s="65">
        <v>5744.0</v>
      </c>
      <c r="E2715" s="445" t="s">
        <v>781</v>
      </c>
      <c r="F2715" s="386">
        <v>2.0</v>
      </c>
      <c r="G2715" s="74">
        <v>525000.0</v>
      </c>
      <c r="H2715" s="74">
        <v>0.0</v>
      </c>
      <c r="I2715" s="74">
        <f t="shared" si="1"/>
        <v>1050000</v>
      </c>
      <c r="J2715" s="74">
        <f>IF(E2715="SERVICE",I2715-(I2715*50%),Vlookup(E2715,DATABASE!C:Q,10,false)*F2715)</f>
        <v>0</v>
      </c>
      <c r="K2715" s="74">
        <f>VLOOKUP(E2715,DATABASE!C:Q,7,false)</f>
        <v>470000</v>
      </c>
      <c r="L2715" s="74">
        <v>442500.0</v>
      </c>
      <c r="M2715" s="74">
        <f t="shared" si="2"/>
        <v>445000</v>
      </c>
      <c r="N2715" s="74">
        <f t="shared" si="3"/>
        <v>160000</v>
      </c>
      <c r="O2715" s="65" t="str">
        <f>VLOOKUP(E2715,DATABASE!C:Q,8,false)</f>
        <v>BIAN</v>
      </c>
      <c r="P2715" s="65">
        <f>VLOOKUP(E2715,DATABASE!C:Q,9,False)</f>
        <v>1</v>
      </c>
      <c r="Q2715" s="93" t="str">
        <f>VLOOKUP(E2715,DATABASE!C:Q,4,false)</f>
        <v>GT</v>
      </c>
      <c r="R2715" s="93" t="str">
        <f>VLOOKUP(E2715,DATABASE!C:Q,11,false)</f>
        <v>Tire</v>
      </c>
    </row>
    <row r="2716" ht="22.5" customHeight="1">
      <c r="A2716" s="49"/>
      <c r="C2716" s="384">
        <v>45797.0</v>
      </c>
      <c r="D2716" s="65">
        <v>5745.0</v>
      </c>
      <c r="E2716" s="445" t="s">
        <v>256</v>
      </c>
      <c r="F2716" s="386">
        <v>1.0</v>
      </c>
      <c r="G2716" s="74">
        <v>130000.0</v>
      </c>
      <c r="H2716" s="74">
        <v>0.0</v>
      </c>
      <c r="I2716" s="74">
        <f t="shared" si="1"/>
        <v>130000</v>
      </c>
      <c r="J2716" s="74">
        <f>IF(E2716="SERVICE",I2716-(I2716*50%),Vlookup(E2716,DATABASE!C:Q,10,false)*F2716)</f>
        <v>10000</v>
      </c>
      <c r="K2716" s="74">
        <f>VLOOKUP(E2716,DATABASE!C:Q,7,false)</f>
        <v>0</v>
      </c>
      <c r="L2716" s="74">
        <v>0.0</v>
      </c>
      <c r="M2716" s="74">
        <f t="shared" si="2"/>
        <v>0</v>
      </c>
      <c r="N2716" s="74">
        <f t="shared" si="3"/>
        <v>120000</v>
      </c>
      <c r="O2716" s="65" t="str">
        <f>VLOOKUP(E2716,DATABASE!C:Q,8,false)</f>
        <v>IBU</v>
      </c>
      <c r="P2716" s="65">
        <f>VLOOKUP(E2716,DATABASE!C:Q,9,False)</f>
        <v>0</v>
      </c>
      <c r="Q2716" s="93" t="str">
        <f>VLOOKUP(E2716,DATABASE!C:Q,4,false)</f>
        <v>SPOORING</v>
      </c>
      <c r="R2716" s="93" t="str">
        <f>VLOOKUP(E2716,DATABASE!C:Q,11,false)</f>
        <v>SERVICE</v>
      </c>
    </row>
    <row r="2717" ht="22.5" customHeight="1">
      <c r="A2717" s="49"/>
      <c r="C2717" s="384">
        <v>45797.0</v>
      </c>
      <c r="D2717" s="65">
        <v>5745.0</v>
      </c>
      <c r="E2717" s="445" t="s">
        <v>251</v>
      </c>
      <c r="F2717" s="386">
        <v>1.0</v>
      </c>
      <c r="G2717" s="74">
        <v>250000.0</v>
      </c>
      <c r="H2717" s="74">
        <v>0.0</v>
      </c>
      <c r="I2717" s="74">
        <f t="shared" si="1"/>
        <v>250000</v>
      </c>
      <c r="J2717" s="74">
        <f>IF(E2717="SERVICE",I2717-(I2717*50%),Vlookup(E2717,DATABASE!C:Q,10,false)*F2717)</f>
        <v>125000</v>
      </c>
      <c r="K2717" s="74">
        <f>VLOOKUP(E2717,DATABASE!C:Q,7,false)</f>
        <v>0</v>
      </c>
      <c r="L2717" s="74">
        <v>0.0</v>
      </c>
      <c r="M2717" s="74">
        <f t="shared" si="2"/>
        <v>0</v>
      </c>
      <c r="N2717" s="74">
        <f t="shared" si="3"/>
        <v>125000</v>
      </c>
      <c r="O2717" s="65" t="str">
        <f>VLOOKUP(E2717,DATABASE!C:Q,8,false)</f>
        <v>IBU</v>
      </c>
      <c r="P2717" s="65">
        <f>VLOOKUP(E2717,DATABASE!C:Q,9,False)</f>
        <v>0</v>
      </c>
      <c r="Q2717" s="93" t="str">
        <f>VLOOKUP(E2717,DATABASE!C:Q,4,false)</f>
        <v>SERVICE</v>
      </c>
      <c r="R2717" s="93" t="str">
        <f>VLOOKUP(E2717,DATABASE!C:Q,11,false)</f>
        <v>SERVICE</v>
      </c>
    </row>
    <row r="2718" ht="22.5" customHeight="1">
      <c r="A2718" s="49"/>
      <c r="C2718" s="384">
        <v>45797.0</v>
      </c>
      <c r="D2718" s="65">
        <v>5746.0</v>
      </c>
      <c r="E2718" s="445" t="s">
        <v>256</v>
      </c>
      <c r="F2718" s="386">
        <v>1.0</v>
      </c>
      <c r="G2718" s="74">
        <v>130000.0</v>
      </c>
      <c r="H2718" s="74">
        <v>0.0</v>
      </c>
      <c r="I2718" s="74">
        <f t="shared" si="1"/>
        <v>130000</v>
      </c>
      <c r="J2718" s="74">
        <f>IF(E2718="SERVICE",I2718-(I2718*50%),Vlookup(E2718,DATABASE!C:Q,10,false)*F2718)</f>
        <v>10000</v>
      </c>
      <c r="K2718" s="74">
        <f>VLOOKUP(E2718,DATABASE!C:Q,7,false)</f>
        <v>0</v>
      </c>
      <c r="L2718" s="74">
        <v>0.0</v>
      </c>
      <c r="M2718" s="74">
        <f t="shared" si="2"/>
        <v>0</v>
      </c>
      <c r="N2718" s="74">
        <f t="shared" si="3"/>
        <v>120000</v>
      </c>
      <c r="O2718" s="65" t="str">
        <f>VLOOKUP(E2718,DATABASE!C:Q,8,false)</f>
        <v>IBU</v>
      </c>
      <c r="P2718" s="65">
        <f>VLOOKUP(E2718,DATABASE!C:Q,9,False)</f>
        <v>0</v>
      </c>
      <c r="Q2718" s="93" t="str">
        <f>VLOOKUP(E2718,DATABASE!C:Q,4,false)</f>
        <v>SPOORING</v>
      </c>
      <c r="R2718" s="93" t="str">
        <f>VLOOKUP(E2718,DATABASE!C:Q,11,false)</f>
        <v>SERVICE</v>
      </c>
    </row>
    <row r="2719" ht="22.5" customHeight="1">
      <c r="A2719" s="49"/>
      <c r="C2719" s="384">
        <v>45797.0</v>
      </c>
      <c r="D2719" s="65">
        <v>5746.0</v>
      </c>
      <c r="E2719" s="445" t="s">
        <v>251</v>
      </c>
      <c r="F2719" s="386">
        <v>1.0</v>
      </c>
      <c r="G2719" s="74">
        <v>150000.0</v>
      </c>
      <c r="H2719" s="74">
        <v>0.0</v>
      </c>
      <c r="I2719" s="74">
        <f t="shared" si="1"/>
        <v>150000</v>
      </c>
      <c r="J2719" s="74">
        <f>IF(E2719="SERVICE",I2719-(I2719*50%),Vlookup(E2719,DATABASE!C:Q,10,false)*F2719)</f>
        <v>75000</v>
      </c>
      <c r="K2719" s="74">
        <f>VLOOKUP(E2719,DATABASE!C:Q,7,false)</f>
        <v>0</v>
      </c>
      <c r="L2719" s="74">
        <v>0.0</v>
      </c>
      <c r="M2719" s="74">
        <f t="shared" si="2"/>
        <v>0</v>
      </c>
      <c r="N2719" s="74">
        <f t="shared" si="3"/>
        <v>75000</v>
      </c>
      <c r="O2719" s="65" t="str">
        <f>VLOOKUP(E2719,DATABASE!C:Q,8,false)</f>
        <v>IBU</v>
      </c>
      <c r="P2719" s="65">
        <f>VLOOKUP(E2719,DATABASE!C:Q,9,False)</f>
        <v>0</v>
      </c>
      <c r="Q2719" s="93" t="str">
        <f>VLOOKUP(E2719,DATABASE!C:Q,4,false)</f>
        <v>SERVICE</v>
      </c>
      <c r="R2719" s="93" t="str">
        <f>VLOOKUP(E2719,DATABASE!C:Q,11,false)</f>
        <v>SERVICE</v>
      </c>
    </row>
    <row r="2720" ht="22.5" customHeight="1">
      <c r="A2720" s="49"/>
      <c r="C2720" s="384">
        <v>45797.0</v>
      </c>
      <c r="D2720" s="65">
        <v>5748.0</v>
      </c>
      <c r="E2720" s="445" t="s">
        <v>256</v>
      </c>
      <c r="F2720" s="386">
        <v>1.0</v>
      </c>
      <c r="G2720" s="74">
        <v>130000.0</v>
      </c>
      <c r="H2720" s="74">
        <v>0.0</v>
      </c>
      <c r="I2720" s="74">
        <f t="shared" si="1"/>
        <v>130000</v>
      </c>
      <c r="J2720" s="74">
        <f>IF(E2720="SERVICE",I2720-(I2720*50%),Vlookup(E2720,DATABASE!C:Q,10,false)*F2720)</f>
        <v>10000</v>
      </c>
      <c r="K2720" s="74">
        <f>VLOOKUP(E2720,DATABASE!C:Q,7,false)</f>
        <v>0</v>
      </c>
      <c r="L2720" s="74">
        <v>0.0</v>
      </c>
      <c r="M2720" s="74">
        <f t="shared" si="2"/>
        <v>0</v>
      </c>
      <c r="N2720" s="74">
        <f t="shared" si="3"/>
        <v>120000</v>
      </c>
      <c r="O2720" s="65" t="str">
        <f>VLOOKUP(E2720,DATABASE!C:Q,8,false)</f>
        <v>IBU</v>
      </c>
      <c r="P2720" s="65">
        <f>VLOOKUP(E2720,DATABASE!C:Q,9,False)</f>
        <v>0</v>
      </c>
      <c r="Q2720" s="93" t="str">
        <f>VLOOKUP(E2720,DATABASE!C:Q,4,false)</f>
        <v>SPOORING</v>
      </c>
      <c r="R2720" s="93" t="str">
        <f>VLOOKUP(E2720,DATABASE!C:Q,11,false)</f>
        <v>SERVICE</v>
      </c>
    </row>
    <row r="2721" ht="22.5" customHeight="1">
      <c r="A2721" s="49"/>
      <c r="C2721" s="384">
        <v>45797.0</v>
      </c>
      <c r="D2721" s="65">
        <v>5748.0</v>
      </c>
      <c r="E2721" s="445" t="s">
        <v>301</v>
      </c>
      <c r="F2721" s="386">
        <v>1.0</v>
      </c>
      <c r="G2721" s="74">
        <v>250000.0</v>
      </c>
      <c r="H2721" s="74">
        <v>0.0</v>
      </c>
      <c r="I2721" s="74">
        <f t="shared" si="1"/>
        <v>250000</v>
      </c>
      <c r="J2721" s="74">
        <f>IF(E2721="SERVICE",I2721-(I2721*50%),Vlookup(E2721,DATABASE!C:Q,10,false)*F2721)</f>
        <v>75000</v>
      </c>
      <c r="K2721" s="74">
        <f>VLOOKUP(E2721,DATABASE!C:Q,7,false)</f>
        <v>75000</v>
      </c>
      <c r="L2721" s="74">
        <v>75000.0</v>
      </c>
      <c r="M2721" s="74">
        <f t="shared" si="2"/>
        <v>75000</v>
      </c>
      <c r="N2721" s="74">
        <f t="shared" si="3"/>
        <v>100000</v>
      </c>
      <c r="O2721" s="65" t="str">
        <f>VLOOKUP(E2721,DATABASE!C:Q,8,false)</f>
        <v>BIAN</v>
      </c>
      <c r="P2721" s="65">
        <f>VLOOKUP(E2721,DATABASE!C:Q,9,False)</f>
        <v>0</v>
      </c>
      <c r="Q2721" s="93" t="str">
        <f>VLOOKUP(E2721,DATABASE!C:Q,4,false)</f>
        <v>Baut Camber</v>
      </c>
      <c r="R2721" s="93" t="str">
        <f>VLOOKUP(E2721,DATABASE!C:Q,11,false)</f>
        <v>COMPLEMENTARY</v>
      </c>
    </row>
    <row r="2722" ht="22.5" customHeight="1">
      <c r="A2722" s="49"/>
      <c r="C2722" s="384">
        <v>45797.0</v>
      </c>
      <c r="D2722" s="65">
        <v>5749.0</v>
      </c>
      <c r="E2722" s="445" t="s">
        <v>889</v>
      </c>
      <c r="F2722" s="386">
        <v>2.0</v>
      </c>
      <c r="G2722" s="74">
        <v>760000.0</v>
      </c>
      <c r="H2722" s="74">
        <v>0.0</v>
      </c>
      <c r="I2722" s="74">
        <f t="shared" si="1"/>
        <v>1520000</v>
      </c>
      <c r="J2722" s="74">
        <f>IF(E2722="SERVICE",I2722-(I2722*50%),Vlookup(E2722,DATABASE!C:Q,10,false)*F2722)</f>
        <v>0</v>
      </c>
      <c r="K2722" s="74">
        <f>VLOOKUP(E2722,DATABASE!C:Q,7,false)</f>
        <v>678000</v>
      </c>
      <c r="L2722" s="74">
        <v>678000.0</v>
      </c>
      <c r="M2722" s="74">
        <f t="shared" si="2"/>
        <v>680000</v>
      </c>
      <c r="N2722" s="74">
        <f t="shared" si="3"/>
        <v>160000</v>
      </c>
      <c r="O2722" s="65" t="str">
        <f>VLOOKUP(E2722,DATABASE!C:Q,8,false)</f>
        <v>BIAN</v>
      </c>
      <c r="P2722" s="65">
        <f>VLOOKUP(E2722,DATABASE!C:Q,9,False)</f>
        <v>1</v>
      </c>
      <c r="Q2722" s="93" t="str">
        <f>VLOOKUP(E2722,DATABASE!C:Q,4,false)</f>
        <v>Sailun</v>
      </c>
      <c r="R2722" s="93" t="str">
        <f>VLOOKUP(E2722,DATABASE!C:Q,11,false)</f>
        <v>Tire</v>
      </c>
    </row>
    <row r="2723" ht="22.5" customHeight="1">
      <c r="A2723" s="49"/>
      <c r="C2723" s="384">
        <v>45797.0</v>
      </c>
      <c r="D2723" s="65">
        <v>5750.0</v>
      </c>
      <c r="E2723" s="445" t="s">
        <v>268</v>
      </c>
      <c r="F2723" s="386">
        <v>1.0</v>
      </c>
      <c r="G2723" s="74">
        <v>720000.0</v>
      </c>
      <c r="H2723" s="74">
        <v>0.0</v>
      </c>
      <c r="I2723" s="74">
        <f t="shared" si="1"/>
        <v>720000</v>
      </c>
      <c r="J2723" s="74">
        <f>IF(E2723="SERVICE",I2723-(I2723*50%),Vlookup(E2723,DATABASE!C:Q,10,false)*F2723)</f>
        <v>0</v>
      </c>
      <c r="K2723" s="74">
        <f>VLOOKUP(E2723,DATABASE!C:Q,7,false)</f>
        <v>653000</v>
      </c>
      <c r="L2723" s="74">
        <v>622000.0</v>
      </c>
      <c r="M2723" s="74">
        <f t="shared" si="2"/>
        <v>625000</v>
      </c>
      <c r="N2723" s="74">
        <f t="shared" si="3"/>
        <v>95000</v>
      </c>
      <c r="O2723" s="65" t="str">
        <f>VLOOKUP(E2723,DATABASE!C:Q,8,false)</f>
        <v>IBU</v>
      </c>
      <c r="P2723" s="65">
        <f>VLOOKUP(E2723,DATABASE!C:Q,9,False)</f>
        <v>1</v>
      </c>
      <c r="Q2723" s="93" t="str">
        <f>VLOOKUP(E2723,DATABASE!C:Q,4,false)</f>
        <v>Dunlop</v>
      </c>
      <c r="R2723" s="93" t="str">
        <f>VLOOKUP(E2723,DATABASE!C:Q,11,false)</f>
        <v>Tire</v>
      </c>
    </row>
    <row r="2724" ht="22.5" customHeight="1">
      <c r="A2724" s="49"/>
      <c r="C2724" s="384">
        <v>45797.0</v>
      </c>
      <c r="D2724" s="65">
        <v>5750.0</v>
      </c>
      <c r="E2724" s="445" t="s">
        <v>569</v>
      </c>
      <c r="F2724" s="386">
        <v>2.0</v>
      </c>
      <c r="G2724" s="74">
        <v>80000.0</v>
      </c>
      <c r="H2724" s="74">
        <v>0.0</v>
      </c>
      <c r="I2724" s="74">
        <f t="shared" si="1"/>
        <v>160000</v>
      </c>
      <c r="J2724" s="74">
        <f>IF(E2724="SERVICE",I2724-(I2724*50%),Vlookup(E2724,DATABASE!C:Q,10,false)*F2724)</f>
        <v>0</v>
      </c>
      <c r="K2724" s="74">
        <f>VLOOKUP(E2724,DATABASE!C:Q,7,false)</f>
        <v>45439.582</v>
      </c>
      <c r="L2724" s="74">
        <v>45309.6</v>
      </c>
      <c r="M2724" s="74">
        <f t="shared" si="2"/>
        <v>50000</v>
      </c>
      <c r="N2724" s="74">
        <f t="shared" si="3"/>
        <v>60000</v>
      </c>
      <c r="O2724" s="65" t="str">
        <f>VLOOKUP(E2724,DATABASE!C:Q,8,false)</f>
        <v>BIAN</v>
      </c>
      <c r="P2724" s="65">
        <f>VLOOKUP(E2724,DATABASE!C:Q,9,False)</f>
        <v>1</v>
      </c>
      <c r="Q2724" s="93" t="str">
        <f>VLOOKUP(E2724,DATABASE!C:Q,4,false)</f>
        <v>BD</v>
      </c>
      <c r="R2724" s="93" t="str">
        <f>VLOOKUP(E2724,DATABASE!C:Q,11,false)</f>
        <v>Tire</v>
      </c>
    </row>
    <row r="2725" ht="22.5" customHeight="1">
      <c r="A2725" s="49"/>
      <c r="C2725" s="384">
        <v>45798.0</v>
      </c>
      <c r="D2725" s="65">
        <v>5751.0</v>
      </c>
      <c r="E2725" s="445" t="s">
        <v>271</v>
      </c>
      <c r="F2725" s="386">
        <v>4.0</v>
      </c>
      <c r="G2725" s="74">
        <v>640000.0</v>
      </c>
      <c r="H2725" s="74">
        <v>0.0</v>
      </c>
      <c r="I2725" s="74">
        <f t="shared" si="1"/>
        <v>2560000</v>
      </c>
      <c r="J2725" s="74">
        <f>IF(E2725="SERVICE",I2725-(I2725*50%),Vlookup(E2725,DATABASE!C:Q,10,false)*F2725)</f>
        <v>0</v>
      </c>
      <c r="K2725" s="74">
        <f>VLOOKUP(E2725,DATABASE!C:Q,7,false)</f>
        <v>570000</v>
      </c>
      <c r="L2725" s="74">
        <v>539000.0</v>
      </c>
      <c r="M2725" s="74">
        <f t="shared" si="2"/>
        <v>540000</v>
      </c>
      <c r="N2725" s="74">
        <f t="shared" si="3"/>
        <v>400000</v>
      </c>
      <c r="O2725" s="65" t="str">
        <f>VLOOKUP(E2725,DATABASE!C:Q,8,false)</f>
        <v>IBU</v>
      </c>
      <c r="P2725" s="65">
        <f>VLOOKUP(E2725,DATABASE!C:Q,9,False)</f>
        <v>1</v>
      </c>
      <c r="Q2725" s="93" t="str">
        <f>VLOOKUP(E2725,DATABASE!C:Q,4,false)</f>
        <v>Dunlop</v>
      </c>
      <c r="R2725" s="93" t="str">
        <f>VLOOKUP(E2725,DATABASE!C:Q,11,false)</f>
        <v>Tire</v>
      </c>
    </row>
    <row r="2726" ht="22.5" customHeight="1">
      <c r="A2726" s="49"/>
      <c r="C2726" s="384">
        <v>45798.0</v>
      </c>
      <c r="D2726" s="65">
        <v>5752.0</v>
      </c>
      <c r="E2726" s="445" t="s">
        <v>265</v>
      </c>
      <c r="F2726" s="386">
        <v>2.0</v>
      </c>
      <c r="G2726" s="74">
        <v>700000.0</v>
      </c>
      <c r="H2726" s="74">
        <v>0.0</v>
      </c>
      <c r="I2726" s="74">
        <f t="shared" si="1"/>
        <v>1400000</v>
      </c>
      <c r="J2726" s="74">
        <f>IF(E2726="SERVICE",I2726-(I2726*50%),Vlookup(E2726,DATABASE!C:Q,10,false)*F2726)</f>
        <v>0</v>
      </c>
      <c r="K2726" s="74">
        <f>VLOOKUP(E2726,DATABASE!C:Q,7,false)</f>
        <v>628000</v>
      </c>
      <c r="L2726" s="74">
        <v>610000.0</v>
      </c>
      <c r="M2726" s="74">
        <f t="shared" si="2"/>
        <v>610000</v>
      </c>
      <c r="N2726" s="74">
        <f t="shared" si="3"/>
        <v>180000</v>
      </c>
      <c r="O2726" s="65" t="str">
        <f>VLOOKUP(E2726,DATABASE!C:Q,8,false)</f>
        <v>IBU</v>
      </c>
      <c r="P2726" s="65">
        <f>VLOOKUP(E2726,DATABASE!C:Q,9,False)</f>
        <v>1</v>
      </c>
      <c r="Q2726" s="93" t="str">
        <f>VLOOKUP(E2726,DATABASE!C:Q,4,false)</f>
        <v>Dunlop</v>
      </c>
      <c r="R2726" s="93" t="str">
        <f>VLOOKUP(E2726,DATABASE!C:Q,11,false)</f>
        <v>Tire</v>
      </c>
    </row>
    <row r="2727" ht="22.5" customHeight="1">
      <c r="A2727" s="49"/>
      <c r="C2727" s="384">
        <v>45798.0</v>
      </c>
      <c r="D2727" s="65">
        <v>5753.0</v>
      </c>
      <c r="E2727" s="445" t="s">
        <v>251</v>
      </c>
      <c r="F2727" s="386">
        <v>1.0</v>
      </c>
      <c r="G2727" s="74">
        <v>30000.0</v>
      </c>
      <c r="H2727" s="74">
        <v>0.0</v>
      </c>
      <c r="I2727" s="74">
        <f t="shared" si="1"/>
        <v>30000</v>
      </c>
      <c r="J2727" s="74">
        <f>IF(E2727="SERVICE",I2727-(I2727*50%),Vlookup(E2727,DATABASE!C:Q,10,false)*F2727)</f>
        <v>15000</v>
      </c>
      <c r="K2727" s="74">
        <f>VLOOKUP(E2727,DATABASE!C:Q,7,false)</f>
        <v>0</v>
      </c>
      <c r="L2727" s="74">
        <v>0.0</v>
      </c>
      <c r="M2727" s="74">
        <f t="shared" si="2"/>
        <v>0</v>
      </c>
      <c r="N2727" s="74">
        <f t="shared" si="3"/>
        <v>15000</v>
      </c>
      <c r="O2727" s="65" t="str">
        <f>VLOOKUP(E2727,DATABASE!C:Q,8,false)</f>
        <v>IBU</v>
      </c>
      <c r="P2727" s="65">
        <f>VLOOKUP(E2727,DATABASE!C:Q,9,False)</f>
        <v>0</v>
      </c>
      <c r="Q2727" s="93" t="str">
        <f>VLOOKUP(E2727,DATABASE!C:Q,4,false)</f>
        <v>SERVICE</v>
      </c>
      <c r="R2727" s="93" t="str">
        <f>VLOOKUP(E2727,DATABASE!C:Q,11,false)</f>
        <v>SERVICE</v>
      </c>
    </row>
    <row r="2728" ht="22.5" customHeight="1">
      <c r="A2728" s="49"/>
      <c r="C2728" s="384">
        <v>45798.0</v>
      </c>
      <c r="D2728" s="65">
        <v>5754.0</v>
      </c>
      <c r="E2728" s="445" t="s">
        <v>947</v>
      </c>
      <c r="F2728" s="386">
        <v>2.0</v>
      </c>
      <c r="G2728" s="74">
        <v>780000.0</v>
      </c>
      <c r="H2728" s="74">
        <v>0.0</v>
      </c>
      <c r="I2728" s="74">
        <f t="shared" si="1"/>
        <v>1560000</v>
      </c>
      <c r="J2728" s="74">
        <f>IF(E2728="SERVICE",I2728-(I2728*50%),Vlookup(E2728,DATABASE!C:Q,10,false)*F2728)</f>
        <v>0</v>
      </c>
      <c r="K2728" s="74">
        <f>VLOOKUP(E2728,DATABASE!C:Q,7,false)</f>
        <v>704346</v>
      </c>
      <c r="L2728" s="74">
        <v>680512.0</v>
      </c>
      <c r="M2728" s="74">
        <f t="shared" si="2"/>
        <v>685000</v>
      </c>
      <c r="N2728" s="74">
        <f t="shared" si="3"/>
        <v>190000</v>
      </c>
      <c r="O2728" s="65" t="str">
        <f>VLOOKUP(E2728,DATABASE!C:Q,8,false)</f>
        <v>IBU</v>
      </c>
      <c r="P2728" s="65">
        <f>VLOOKUP(E2728,DATABASE!C:Q,9,False)</f>
        <v>1</v>
      </c>
      <c r="Q2728" s="93" t="str">
        <f>VLOOKUP(E2728,DATABASE!C:Q,4,false)</f>
        <v>Bridgestone</v>
      </c>
      <c r="R2728" s="93" t="str">
        <f>VLOOKUP(E2728,DATABASE!C:Q,11,false)</f>
        <v>Tire</v>
      </c>
    </row>
    <row r="2729" ht="22.5" customHeight="1">
      <c r="A2729" s="49"/>
      <c r="C2729" s="384">
        <v>45798.0</v>
      </c>
      <c r="D2729" s="65">
        <v>5755.0</v>
      </c>
      <c r="E2729" s="445" t="s">
        <v>781</v>
      </c>
      <c r="F2729" s="386">
        <v>2.0</v>
      </c>
      <c r="G2729" s="74">
        <v>530000.0</v>
      </c>
      <c r="H2729" s="74">
        <v>0.0</v>
      </c>
      <c r="I2729" s="74">
        <f t="shared" si="1"/>
        <v>1060000</v>
      </c>
      <c r="J2729" s="74">
        <f>IF(E2729="SERVICE",I2729-(I2729*50%),Vlookup(E2729,DATABASE!C:Q,10,false)*F2729)</f>
        <v>0</v>
      </c>
      <c r="K2729" s="74">
        <f>VLOOKUP(E2729,DATABASE!C:Q,7,false)</f>
        <v>470000</v>
      </c>
      <c r="L2729" s="74">
        <v>442500.0</v>
      </c>
      <c r="M2729" s="74">
        <f t="shared" si="2"/>
        <v>445000</v>
      </c>
      <c r="N2729" s="74">
        <f t="shared" si="3"/>
        <v>170000</v>
      </c>
      <c r="O2729" s="65" t="str">
        <f>VLOOKUP(E2729,DATABASE!C:Q,8,false)</f>
        <v>BIAN</v>
      </c>
      <c r="P2729" s="65">
        <f>VLOOKUP(E2729,DATABASE!C:Q,9,False)</f>
        <v>1</v>
      </c>
      <c r="Q2729" s="93" t="str">
        <f>VLOOKUP(E2729,DATABASE!C:Q,4,false)</f>
        <v>GT</v>
      </c>
      <c r="R2729" s="93" t="str">
        <f>VLOOKUP(E2729,DATABASE!C:Q,11,false)</f>
        <v>Tire</v>
      </c>
    </row>
    <row r="2730" ht="22.5" customHeight="1">
      <c r="A2730" s="49"/>
      <c r="C2730" s="384">
        <v>45798.0</v>
      </c>
      <c r="D2730" s="65">
        <v>5756.0</v>
      </c>
      <c r="E2730" s="445" t="s">
        <v>1858</v>
      </c>
      <c r="F2730" s="386">
        <v>2.0</v>
      </c>
      <c r="G2730" s="74">
        <v>2115000.0</v>
      </c>
      <c r="H2730" s="74">
        <v>0.0</v>
      </c>
      <c r="I2730" s="74">
        <f t="shared" si="1"/>
        <v>4230000</v>
      </c>
      <c r="J2730" s="74">
        <f>IF(E2730="SERVICE",I2730-(I2730*50%),Vlookup(E2730,DATABASE!C:Q,10,false)*F2730)</f>
        <v>0</v>
      </c>
      <c r="K2730" s="74">
        <f>VLOOKUP(E2730,DATABASE!C:Q,7,false)</f>
        <v>2030000</v>
      </c>
      <c r="L2730" s="74">
        <v>2025000.0</v>
      </c>
      <c r="M2730" s="74">
        <f t="shared" si="2"/>
        <v>2025000</v>
      </c>
      <c r="N2730" s="74">
        <f t="shared" si="3"/>
        <v>180000</v>
      </c>
      <c r="O2730" s="65" t="str">
        <f>VLOOKUP(E2730,DATABASE!C:Q,8,false)</f>
        <v>BIAN</v>
      </c>
      <c r="P2730" s="65">
        <f>VLOOKUP(E2730,DATABASE!C:Q,9,False)</f>
        <v>1</v>
      </c>
      <c r="Q2730" s="93" t="str">
        <f>VLOOKUP(E2730,DATABASE!C:Q,4,false)</f>
        <v>GiTi</v>
      </c>
      <c r="R2730" s="93" t="str">
        <f>VLOOKUP(E2730,DATABASE!C:Q,11,false)</f>
        <v>Tire</v>
      </c>
    </row>
    <row r="2731" ht="22.5" customHeight="1">
      <c r="A2731" s="49"/>
      <c r="C2731" s="384">
        <v>45798.0</v>
      </c>
      <c r="D2731" s="65">
        <v>5757.0</v>
      </c>
      <c r="E2731" s="445" t="s">
        <v>268</v>
      </c>
      <c r="F2731" s="386">
        <v>2.0</v>
      </c>
      <c r="G2731" s="74">
        <v>720000.0</v>
      </c>
      <c r="H2731" s="74">
        <v>0.0</v>
      </c>
      <c r="I2731" s="74">
        <f t="shared" si="1"/>
        <v>1440000</v>
      </c>
      <c r="J2731" s="74">
        <f>IF(E2731="SERVICE",I2731-(I2731*50%),Vlookup(E2731,DATABASE!C:Q,10,false)*F2731)</f>
        <v>0</v>
      </c>
      <c r="K2731" s="74">
        <f>VLOOKUP(E2731,DATABASE!C:Q,7,false)</f>
        <v>653000</v>
      </c>
      <c r="L2731" s="74">
        <v>622000.0</v>
      </c>
      <c r="M2731" s="74">
        <f t="shared" si="2"/>
        <v>625000</v>
      </c>
      <c r="N2731" s="74">
        <f t="shared" si="3"/>
        <v>190000</v>
      </c>
      <c r="O2731" s="65" t="str">
        <f>VLOOKUP(E2731,DATABASE!C:Q,8,false)</f>
        <v>IBU</v>
      </c>
      <c r="P2731" s="65">
        <f>VLOOKUP(E2731,DATABASE!C:Q,9,False)</f>
        <v>1</v>
      </c>
      <c r="Q2731" s="93" t="str">
        <f>VLOOKUP(E2731,DATABASE!C:Q,4,false)</f>
        <v>Dunlop</v>
      </c>
      <c r="R2731" s="93" t="str">
        <f>VLOOKUP(E2731,DATABASE!C:Q,11,false)</f>
        <v>Tire</v>
      </c>
    </row>
    <row r="2732" ht="22.5" customHeight="1">
      <c r="A2732" s="49"/>
      <c r="C2732" s="384">
        <v>45798.0</v>
      </c>
      <c r="D2732" s="65">
        <v>5758.0</v>
      </c>
      <c r="E2732" s="445" t="s">
        <v>268</v>
      </c>
      <c r="F2732" s="386">
        <v>2.0</v>
      </c>
      <c r="G2732" s="74">
        <v>720000.0</v>
      </c>
      <c r="H2732" s="74">
        <v>0.0</v>
      </c>
      <c r="I2732" s="74">
        <f t="shared" si="1"/>
        <v>1440000</v>
      </c>
      <c r="J2732" s="74">
        <f>IF(E2732="SERVICE",I2732-(I2732*50%),Vlookup(E2732,DATABASE!C:Q,10,false)*F2732)</f>
        <v>0</v>
      </c>
      <c r="K2732" s="74">
        <f>VLOOKUP(E2732,DATABASE!C:Q,7,false)</f>
        <v>653000</v>
      </c>
      <c r="L2732" s="74">
        <v>622000.0</v>
      </c>
      <c r="M2732" s="74">
        <f t="shared" si="2"/>
        <v>625000</v>
      </c>
      <c r="N2732" s="74">
        <f t="shared" si="3"/>
        <v>190000</v>
      </c>
      <c r="O2732" s="65" t="str">
        <f>VLOOKUP(E2732,DATABASE!C:Q,8,false)</f>
        <v>IBU</v>
      </c>
      <c r="P2732" s="65">
        <f>VLOOKUP(E2732,DATABASE!C:Q,9,False)</f>
        <v>1</v>
      </c>
      <c r="Q2732" s="93" t="str">
        <f>VLOOKUP(E2732,DATABASE!C:Q,4,false)</f>
        <v>Dunlop</v>
      </c>
      <c r="R2732" s="93" t="str">
        <f>VLOOKUP(E2732,DATABASE!C:Q,11,false)</f>
        <v>Tire</v>
      </c>
    </row>
    <row r="2733" ht="22.5" customHeight="1">
      <c r="A2733" s="49"/>
      <c r="C2733" s="384">
        <v>45798.0</v>
      </c>
      <c r="D2733" s="65">
        <v>5759.0</v>
      </c>
      <c r="E2733" s="445" t="s">
        <v>605</v>
      </c>
      <c r="F2733" s="386">
        <v>2.0</v>
      </c>
      <c r="G2733" s="74">
        <v>760000.0</v>
      </c>
      <c r="H2733" s="74">
        <v>0.0</v>
      </c>
      <c r="I2733" s="74">
        <f t="shared" si="1"/>
        <v>1520000</v>
      </c>
      <c r="J2733" s="74">
        <f>IF(E2733="SERVICE",I2733-(I2733*50%),Vlookup(E2733,DATABASE!C:Q,10,false)*F2733)</f>
        <v>0</v>
      </c>
      <c r="K2733" s="74">
        <v>670000.0</v>
      </c>
      <c r="L2733" s="74">
        <v>670000.0</v>
      </c>
      <c r="M2733" s="74">
        <f t="shared" si="2"/>
        <v>670000</v>
      </c>
      <c r="N2733" s="74">
        <f t="shared" si="3"/>
        <v>180000</v>
      </c>
      <c r="O2733" s="65" t="str">
        <f>VLOOKUP(E2733,DATABASE!C:Q,8,false)</f>
        <v>IBU</v>
      </c>
      <c r="P2733" s="65">
        <f>VLOOKUP(E2733,DATABASE!C:Q,9,False)</f>
        <v>1</v>
      </c>
      <c r="Q2733" s="93" t="str">
        <f>VLOOKUP(E2733,DATABASE!C:Q,4,false)</f>
        <v>Bridgestone</v>
      </c>
      <c r="R2733" s="93" t="str">
        <f>VLOOKUP(E2733,DATABASE!C:Q,11,false)</f>
        <v>Tire</v>
      </c>
    </row>
    <row r="2734" ht="22.5" customHeight="1">
      <c r="A2734" s="49"/>
      <c r="C2734" s="384">
        <v>45798.0</v>
      </c>
      <c r="D2734" s="65">
        <v>5759.0</v>
      </c>
      <c r="E2734" s="385" t="s">
        <v>299</v>
      </c>
      <c r="F2734" s="386">
        <v>2.0</v>
      </c>
      <c r="G2734" s="74">
        <v>30000.0</v>
      </c>
      <c r="H2734" s="74">
        <v>0.0</v>
      </c>
      <c r="I2734" s="74">
        <f t="shared" si="1"/>
        <v>60000</v>
      </c>
      <c r="J2734" s="74">
        <f>IF(E2734="SERVICE",I2734-(I2734*50%),Vlookup(E2734,DATABASE!C:Q,10,false)*F2734)</f>
        <v>0</v>
      </c>
      <c r="K2734" s="74">
        <v>0.0</v>
      </c>
      <c r="L2734" s="74">
        <v>0.0</v>
      </c>
      <c r="M2734" s="74">
        <f t="shared" si="2"/>
        <v>0</v>
      </c>
      <c r="N2734" s="74">
        <f t="shared" si="3"/>
        <v>60000</v>
      </c>
      <c r="O2734" s="65" t="str">
        <f>VLOOKUP(E2734,DATABASE!C:Q,8,false)</f>
        <v>BIAN</v>
      </c>
      <c r="P2734" s="65">
        <f>VLOOKUP(E2734,DATABASE!C:Q,9,False)</f>
        <v>0</v>
      </c>
      <c r="Q2734" s="93" t="str">
        <f>VLOOKUP(E2734,DATABASE!C:Q,4,false)</f>
        <v>Balancing</v>
      </c>
      <c r="R2734" s="93" t="str">
        <f>VLOOKUP(E2734,DATABASE!C:Q,11,false)</f>
        <v>COMPLEMENTARY</v>
      </c>
    </row>
    <row r="2735" ht="22.5" customHeight="1">
      <c r="A2735" s="49"/>
      <c r="C2735" s="384">
        <v>45798.0</v>
      </c>
      <c r="D2735" s="65">
        <v>5760.0</v>
      </c>
      <c r="E2735" s="445" t="s">
        <v>791</v>
      </c>
      <c r="F2735" s="386">
        <v>2.0</v>
      </c>
      <c r="G2735" s="74">
        <v>1275000.0</v>
      </c>
      <c r="H2735" s="74">
        <v>0.0</v>
      </c>
      <c r="I2735" s="74">
        <f t="shared" si="1"/>
        <v>2550000</v>
      </c>
      <c r="J2735" s="74">
        <f>IF(E2735="SERVICE",I2735-(I2735*50%),Vlookup(E2735,DATABASE!C:Q,10,false)*F2735)</f>
        <v>0</v>
      </c>
      <c r="K2735" s="74">
        <f>VLOOKUP(E2735,DATABASE!C:Q,7,false)</f>
        <v>1210000</v>
      </c>
      <c r="L2735" s="74">
        <v>1180000.0</v>
      </c>
      <c r="M2735" s="74">
        <f t="shared" si="2"/>
        <v>1180000</v>
      </c>
      <c r="N2735" s="74">
        <f t="shared" si="3"/>
        <v>190000</v>
      </c>
      <c r="O2735" s="65" t="str">
        <f>VLOOKUP(E2735,DATABASE!C:Q,8,false)</f>
        <v>BIAN</v>
      </c>
      <c r="P2735" s="65">
        <f>VLOOKUP(E2735,DATABASE!C:Q,9,False)</f>
        <v>1</v>
      </c>
      <c r="Q2735" s="93" t="str">
        <f>VLOOKUP(E2735,DATABASE!C:Q,4,false)</f>
        <v>GT</v>
      </c>
      <c r="R2735" s="93" t="str">
        <f>VLOOKUP(E2735,DATABASE!C:Q,11,false)</f>
        <v>Tire</v>
      </c>
    </row>
    <row r="2736" ht="22.5" customHeight="1">
      <c r="A2736" s="49"/>
      <c r="C2736" s="384">
        <v>45798.0</v>
      </c>
      <c r="D2736" s="65">
        <v>5761.0</v>
      </c>
      <c r="E2736" s="445" t="s">
        <v>1565</v>
      </c>
      <c r="F2736" s="386">
        <v>2.0</v>
      </c>
      <c r="G2736" s="74">
        <v>1430000.0</v>
      </c>
      <c r="H2736" s="74">
        <v>0.0</v>
      </c>
      <c r="I2736" s="74">
        <f t="shared" si="1"/>
        <v>2860000</v>
      </c>
      <c r="J2736" s="74">
        <f>IF(E2736="SERVICE",I2736-(I2736*50%),Vlookup(E2736,DATABASE!C:Q,10,false)*F2736)</f>
        <v>0</v>
      </c>
      <c r="K2736" s="74">
        <f>VLOOKUP(E2736,DATABASE!C:Q,7,false)</f>
        <v>1292000</v>
      </c>
      <c r="L2736" s="74">
        <v>1320000.0</v>
      </c>
      <c r="M2736" s="74">
        <f t="shared" si="2"/>
        <v>1320000</v>
      </c>
      <c r="N2736" s="74">
        <f t="shared" si="3"/>
        <v>220000</v>
      </c>
      <c r="O2736" s="65" t="str">
        <f>VLOOKUP(E2736,DATABASE!C:Q,8,false)</f>
        <v>IBU</v>
      </c>
      <c r="P2736" s="65">
        <f>VLOOKUP(E2736,DATABASE!C:Q,9,False)</f>
        <v>1</v>
      </c>
      <c r="Q2736" s="93" t="str">
        <f>VLOOKUP(E2736,DATABASE!C:Q,4,false)</f>
        <v>Dunlop</v>
      </c>
      <c r="R2736" s="93" t="str">
        <f>VLOOKUP(E2736,DATABASE!C:Q,11,false)</f>
        <v>Tire</v>
      </c>
    </row>
    <row r="2737" ht="22.5" customHeight="1">
      <c r="A2737" s="49"/>
      <c r="C2737" s="384">
        <v>45798.0</v>
      </c>
      <c r="D2737" s="65">
        <v>5762.0</v>
      </c>
      <c r="E2737" s="445" t="s">
        <v>814</v>
      </c>
      <c r="F2737" s="386">
        <v>1.0</v>
      </c>
      <c r="G2737" s="74">
        <v>60000.0</v>
      </c>
      <c r="H2737" s="74">
        <v>0.0</v>
      </c>
      <c r="I2737" s="74">
        <f t="shared" si="1"/>
        <v>60000</v>
      </c>
      <c r="J2737" s="74">
        <f>IF(E2737="SERVICE",I2737-(I2737*50%),Vlookup(E2737,DATABASE!C:Q,10,false)*F2737)</f>
        <v>0</v>
      </c>
      <c r="K2737" s="74">
        <f>VLOOKUP(E2737,DATABASE!C:Q,7,false)</f>
        <v>39440</v>
      </c>
      <c r="L2737" s="74">
        <v>39440.0</v>
      </c>
      <c r="M2737" s="74">
        <f t="shared" si="2"/>
        <v>40000</v>
      </c>
      <c r="N2737" s="74">
        <f t="shared" si="3"/>
        <v>20000</v>
      </c>
      <c r="O2737" s="65" t="str">
        <f>VLOOKUP(E2737,DATABASE!C:Q,8,false)</f>
        <v>BIAN</v>
      </c>
      <c r="P2737" s="65">
        <f>VLOOKUP(E2737,DATABASE!C:Q,9,False)</f>
        <v>1</v>
      </c>
      <c r="Q2737" s="93" t="str">
        <f>VLOOKUP(E2737,DATABASE!C:Q,4,false)</f>
        <v>Flap</v>
      </c>
      <c r="R2737" s="93" t="str">
        <f>VLOOKUP(E2737,DATABASE!C:Q,11,false)</f>
        <v>Tire</v>
      </c>
    </row>
    <row r="2738" ht="22.5" customHeight="1">
      <c r="A2738" s="49"/>
      <c r="C2738" s="384">
        <v>45798.0</v>
      </c>
      <c r="D2738" s="65">
        <v>5763.0</v>
      </c>
      <c r="E2738" s="445" t="s">
        <v>391</v>
      </c>
      <c r="F2738" s="386">
        <v>1.0</v>
      </c>
      <c r="G2738" s="74">
        <v>1950000.0</v>
      </c>
      <c r="H2738" s="74">
        <v>0.0</v>
      </c>
      <c r="I2738" s="74">
        <f t="shared" si="1"/>
        <v>1950000</v>
      </c>
      <c r="J2738" s="74">
        <f>IF(E2738="SERVICE",I2738-(I2738*50%),Vlookup(E2738,DATABASE!C:Q,10,false)*F2738)</f>
        <v>0</v>
      </c>
      <c r="K2738" s="74">
        <f>VLOOKUP(E2738,DATABASE!C:Q,7,false)</f>
        <v>1885000</v>
      </c>
      <c r="L2738" s="74">
        <v>1840000.0</v>
      </c>
      <c r="M2738" s="74">
        <f t="shared" si="2"/>
        <v>1840000</v>
      </c>
      <c r="N2738" s="74">
        <f t="shared" si="3"/>
        <v>110000</v>
      </c>
      <c r="O2738" s="65" t="str">
        <f>VLOOKUP(E2738,DATABASE!C:Q,8,false)</f>
        <v>BIAN</v>
      </c>
      <c r="P2738" s="65">
        <f>VLOOKUP(E2738,DATABASE!C:Q,9,False)</f>
        <v>1</v>
      </c>
      <c r="Q2738" s="93" t="str">
        <f>VLOOKUP(E2738,DATABASE!C:Q,4,false)</f>
        <v>Advance</v>
      </c>
      <c r="R2738" s="93" t="str">
        <f>VLOOKUP(E2738,DATABASE!C:Q,11,false)</f>
        <v>Tire</v>
      </c>
    </row>
    <row r="2739" ht="22.5" customHeight="1">
      <c r="A2739" s="49"/>
      <c r="C2739" s="384">
        <v>45798.0</v>
      </c>
      <c r="D2739" s="65">
        <v>5765.0</v>
      </c>
      <c r="E2739" s="445" t="s">
        <v>1909</v>
      </c>
      <c r="F2739" s="386">
        <v>2.0</v>
      </c>
      <c r="G2739" s="74">
        <v>600000.0</v>
      </c>
      <c r="H2739" s="74">
        <v>0.0</v>
      </c>
      <c r="I2739" s="74">
        <f t="shared" si="1"/>
        <v>1200000</v>
      </c>
      <c r="J2739" s="74">
        <f>IF(E2739="SERVICE",I2739-(I2739*50%),Vlookup(E2739,DATABASE!C:Q,10,false)*F2739)</f>
        <v>0</v>
      </c>
      <c r="K2739" s="74">
        <f>VLOOKUP(E2739,DATABASE!C:Q,7,false)</f>
        <v>516500</v>
      </c>
      <c r="L2739" s="74">
        <v>516500.0</v>
      </c>
      <c r="M2739" s="74">
        <f t="shared" si="2"/>
        <v>520000</v>
      </c>
      <c r="N2739" s="74">
        <f t="shared" si="3"/>
        <v>160000</v>
      </c>
      <c r="O2739" s="65" t="str">
        <f>VLOOKUP(E2739,DATABASE!C:Q,8,false)</f>
        <v>BIAN</v>
      </c>
      <c r="P2739" s="65">
        <f>VLOOKUP(E2739,DATABASE!C:Q,9,False)</f>
        <v>1</v>
      </c>
      <c r="Q2739" s="93" t="str">
        <f>VLOOKUP(E2739,DATABASE!C:Q,4,false)</f>
        <v>GT</v>
      </c>
      <c r="R2739" s="93" t="str">
        <f>VLOOKUP(E2739,DATABASE!C:Q,11,false)</f>
        <v>Tire</v>
      </c>
    </row>
    <row r="2740" ht="22.5" customHeight="1">
      <c r="A2740" s="49"/>
      <c r="C2740" s="384">
        <v>45798.0</v>
      </c>
      <c r="D2740" s="65">
        <v>5765.0</v>
      </c>
      <c r="E2740" s="385" t="s">
        <v>299</v>
      </c>
      <c r="F2740" s="386">
        <v>2.0</v>
      </c>
      <c r="G2740" s="74">
        <v>30000.0</v>
      </c>
      <c r="H2740" s="74">
        <v>0.0</v>
      </c>
      <c r="I2740" s="74">
        <f t="shared" si="1"/>
        <v>60000</v>
      </c>
      <c r="J2740" s="74">
        <f>IF(E2740="SERVICE",I2740-(I2740*50%),Vlookup(E2740,DATABASE!C:Q,10,false)*F2740)</f>
        <v>0</v>
      </c>
      <c r="K2740" s="74">
        <v>0.0</v>
      </c>
      <c r="L2740" s="74">
        <v>0.0</v>
      </c>
      <c r="M2740" s="74">
        <f t="shared" si="2"/>
        <v>0</v>
      </c>
      <c r="N2740" s="74">
        <f t="shared" si="3"/>
        <v>60000</v>
      </c>
      <c r="O2740" s="65" t="str">
        <f>VLOOKUP(E2740,DATABASE!C:Q,8,false)</f>
        <v>BIAN</v>
      </c>
      <c r="P2740" s="65">
        <f>VLOOKUP(E2740,DATABASE!C:Q,9,False)</f>
        <v>0</v>
      </c>
      <c r="Q2740" s="93" t="str">
        <f>VLOOKUP(E2740,DATABASE!C:Q,4,false)</f>
        <v>Balancing</v>
      </c>
      <c r="R2740" s="93" t="str">
        <f>VLOOKUP(E2740,DATABASE!C:Q,11,false)</f>
        <v>COMPLEMENTARY</v>
      </c>
    </row>
    <row r="2741" ht="22.5" customHeight="1">
      <c r="A2741" s="49"/>
      <c r="C2741" s="384">
        <v>45798.0</v>
      </c>
      <c r="D2741" s="65">
        <v>5765.0</v>
      </c>
      <c r="E2741" s="445" t="s">
        <v>262</v>
      </c>
      <c r="F2741" s="386">
        <v>1.0</v>
      </c>
      <c r="G2741" s="74">
        <v>110000.0</v>
      </c>
      <c r="H2741" s="74">
        <v>0.0</v>
      </c>
      <c r="I2741" s="74">
        <f t="shared" si="1"/>
        <v>110000</v>
      </c>
      <c r="J2741" s="74">
        <f>IF(E2741="SERVICE",I2741-(I2741*50%),Vlookup(E2741,DATABASE!C:Q,10,false)*F2741)</f>
        <v>5000</v>
      </c>
      <c r="K2741" s="74">
        <f>VLOOKUP(E2741,DATABASE!C:Q,7,false)</f>
        <v>0</v>
      </c>
      <c r="L2741" s="74">
        <v>0.0</v>
      </c>
      <c r="M2741" s="74">
        <f t="shared" si="2"/>
        <v>0</v>
      </c>
      <c r="N2741" s="74">
        <f t="shared" si="3"/>
        <v>105000</v>
      </c>
      <c r="O2741" s="65" t="str">
        <f>VLOOKUP(E2741,DATABASE!C:Q,8,false)</f>
        <v>IBU</v>
      </c>
      <c r="P2741" s="65">
        <f>VLOOKUP(E2741,DATABASE!C:Q,9,False)</f>
        <v>0</v>
      </c>
      <c r="Q2741" s="93" t="str">
        <f>VLOOKUP(E2741,DATABASE!C:Q,4,false)</f>
        <v>SPOORING SS/CARRY LOS BAK</v>
      </c>
      <c r="R2741" s="93" t="str">
        <f>VLOOKUP(E2741,DATABASE!C:Q,11,false)</f>
        <v>SERVICE</v>
      </c>
    </row>
    <row r="2742" ht="22.5" customHeight="1">
      <c r="A2742" s="49"/>
      <c r="C2742" s="384">
        <v>45798.0</v>
      </c>
      <c r="D2742" s="65">
        <v>5765.0</v>
      </c>
      <c r="E2742" s="445" t="s">
        <v>478</v>
      </c>
      <c r="F2742" s="386">
        <v>1.0</v>
      </c>
      <c r="G2742" s="74">
        <v>200000.0</v>
      </c>
      <c r="H2742" s="74">
        <v>0.0</v>
      </c>
      <c r="I2742" s="74">
        <f t="shared" si="1"/>
        <v>200000</v>
      </c>
      <c r="J2742" s="74">
        <f>IF(E2742="SERVICE",I2742-(I2742*50%),Vlookup(E2742,DATABASE!C:Q,10,false)*F2742)</f>
        <v>25000</v>
      </c>
      <c r="K2742" s="74">
        <f>VLOOKUP(E2742,DATABASE!C:Q,7,false)</f>
        <v>75000</v>
      </c>
      <c r="L2742" s="74">
        <v>75000.0</v>
      </c>
      <c r="M2742" s="74">
        <f t="shared" si="2"/>
        <v>75000</v>
      </c>
      <c r="N2742" s="74">
        <f t="shared" si="3"/>
        <v>100000</v>
      </c>
      <c r="O2742" s="65" t="str">
        <f>VLOOKUP(E2742,DATABASE!C:Q,8,false)</f>
        <v>BIAN</v>
      </c>
      <c r="P2742" s="65">
        <f>VLOOKUP(E2742,DATABASE!C:Q,9,False)</f>
        <v>0</v>
      </c>
      <c r="Q2742" s="93" t="str">
        <f>VLOOKUP(E2742,DATABASE!C:Q,4,false)</f>
        <v>Baut Camber ss-carry</v>
      </c>
      <c r="R2742" s="93" t="str">
        <f>VLOOKUP(E2742,DATABASE!C:Q,11,false)</f>
        <v>COMPLEMENTARY</v>
      </c>
    </row>
    <row r="2743" ht="22.5" customHeight="1">
      <c r="A2743" s="49"/>
      <c r="C2743" s="384">
        <v>45798.0</v>
      </c>
      <c r="D2743" s="65">
        <v>5766.0</v>
      </c>
      <c r="E2743" s="445" t="s">
        <v>932</v>
      </c>
      <c r="F2743" s="386">
        <v>2.0</v>
      </c>
      <c r="G2743" s="74">
        <v>700000.0</v>
      </c>
      <c r="H2743" s="74">
        <v>0.0</v>
      </c>
      <c r="I2743" s="74">
        <f t="shared" si="1"/>
        <v>1400000</v>
      </c>
      <c r="J2743" s="74">
        <f>IF(E2743="SERVICE",I2743-(I2743*50%),Vlookup(E2743,DATABASE!C:Q,10,false)*F2743)</f>
        <v>0</v>
      </c>
      <c r="K2743" s="74">
        <f>VLOOKUP(E2743,DATABASE!C:Q,7,false)</f>
        <v>601000</v>
      </c>
      <c r="L2743" s="74">
        <v>595000.0</v>
      </c>
      <c r="M2743" s="74">
        <f t="shared" si="2"/>
        <v>595000</v>
      </c>
      <c r="N2743" s="74">
        <f t="shared" si="3"/>
        <v>210000</v>
      </c>
      <c r="O2743" s="65" t="str">
        <f>VLOOKUP(E2743,DATABASE!C:Q,8,false)</f>
        <v>IBU</v>
      </c>
      <c r="P2743" s="65">
        <f>VLOOKUP(E2743,DATABASE!C:Q,9,False)</f>
        <v>1</v>
      </c>
      <c r="Q2743" s="93" t="str">
        <f>VLOOKUP(E2743,DATABASE!C:Q,4,false)</f>
        <v>Dunlop</v>
      </c>
      <c r="R2743" s="93" t="str">
        <f>VLOOKUP(E2743,DATABASE!C:Q,11,false)</f>
        <v>Tire</v>
      </c>
    </row>
    <row r="2744" ht="22.5" customHeight="1">
      <c r="A2744" s="49"/>
      <c r="C2744" s="384">
        <v>45798.0</v>
      </c>
      <c r="D2744" s="65">
        <v>5767.0</v>
      </c>
      <c r="E2744" s="445" t="s">
        <v>256</v>
      </c>
      <c r="F2744" s="386">
        <v>1.0</v>
      </c>
      <c r="G2744" s="74">
        <v>130000.0</v>
      </c>
      <c r="H2744" s="74">
        <v>0.0</v>
      </c>
      <c r="I2744" s="74">
        <f t="shared" si="1"/>
        <v>130000</v>
      </c>
      <c r="J2744" s="74">
        <f>IF(E2744="SERVICE",I2744-(I2744*50%),Vlookup(E2744,DATABASE!C:Q,10,false)*F2744)</f>
        <v>10000</v>
      </c>
      <c r="K2744" s="74">
        <f>VLOOKUP(E2744,DATABASE!C:Q,7,false)</f>
        <v>0</v>
      </c>
      <c r="L2744" s="74">
        <v>0.0</v>
      </c>
      <c r="M2744" s="74">
        <f t="shared" si="2"/>
        <v>0</v>
      </c>
      <c r="N2744" s="74">
        <f t="shared" si="3"/>
        <v>120000</v>
      </c>
      <c r="O2744" s="65" t="str">
        <f>VLOOKUP(E2744,DATABASE!C:Q,8,false)</f>
        <v>IBU</v>
      </c>
      <c r="P2744" s="65">
        <f>VLOOKUP(E2744,DATABASE!C:Q,9,False)</f>
        <v>0</v>
      </c>
      <c r="Q2744" s="93" t="str">
        <f>VLOOKUP(E2744,DATABASE!C:Q,4,false)</f>
        <v>SPOORING</v>
      </c>
      <c r="R2744" s="93" t="str">
        <f>VLOOKUP(E2744,DATABASE!C:Q,11,false)</f>
        <v>SERVICE</v>
      </c>
    </row>
    <row r="2745" ht="22.5" customHeight="1">
      <c r="A2745" s="49"/>
      <c r="C2745" s="384">
        <v>45798.0</v>
      </c>
      <c r="D2745" s="65">
        <v>5768.0</v>
      </c>
      <c r="E2745" s="445" t="s">
        <v>946</v>
      </c>
      <c r="F2745" s="386">
        <v>2.0</v>
      </c>
      <c r="G2745" s="74">
        <v>900000.0</v>
      </c>
      <c r="H2745" s="74">
        <v>0.0</v>
      </c>
      <c r="I2745" s="74">
        <f t="shared" si="1"/>
        <v>1800000</v>
      </c>
      <c r="J2745" s="74">
        <f>IF(E2745="SERVICE",I2745-(I2745*50%),Vlookup(E2745,DATABASE!C:Q,10,false)*F2745)</f>
        <v>0</v>
      </c>
      <c r="K2745" s="74">
        <f>VLOOKUP(E2745,DATABASE!C:Q,7,false)</f>
        <v>809000</v>
      </c>
      <c r="L2745" s="74">
        <v>809000.0</v>
      </c>
      <c r="M2745" s="74">
        <f t="shared" si="2"/>
        <v>810000</v>
      </c>
      <c r="N2745" s="74">
        <f t="shared" si="3"/>
        <v>180000</v>
      </c>
      <c r="O2745" s="65" t="str">
        <f>VLOOKUP(E2745,DATABASE!C:Q,8,false)</f>
        <v>IBU</v>
      </c>
      <c r="P2745" s="65">
        <f>VLOOKUP(E2745,DATABASE!C:Q,9,False)</f>
        <v>1</v>
      </c>
      <c r="Q2745" s="93" t="str">
        <f>VLOOKUP(E2745,DATABASE!C:Q,4,false)</f>
        <v>Dunlop</v>
      </c>
      <c r="R2745" s="93" t="str">
        <f>VLOOKUP(E2745,DATABASE!C:Q,11,false)</f>
        <v>Tire</v>
      </c>
    </row>
    <row r="2746" ht="22.5" customHeight="1">
      <c r="A2746" s="49"/>
      <c r="C2746" s="384">
        <v>45798.0</v>
      </c>
      <c r="D2746" s="65">
        <v>5768.0</v>
      </c>
      <c r="E2746" s="385" t="s">
        <v>299</v>
      </c>
      <c r="F2746" s="386">
        <v>2.0</v>
      </c>
      <c r="G2746" s="74">
        <v>30000.0</v>
      </c>
      <c r="H2746" s="74">
        <v>0.0</v>
      </c>
      <c r="I2746" s="74">
        <f t="shared" si="1"/>
        <v>60000</v>
      </c>
      <c r="J2746" s="74">
        <f>IF(E2746="SERVICE",I2746-(I2746*50%),Vlookup(E2746,DATABASE!C:Q,10,false)*F2746)</f>
        <v>0</v>
      </c>
      <c r="K2746" s="74">
        <v>0.0</v>
      </c>
      <c r="L2746" s="74">
        <v>0.0</v>
      </c>
      <c r="M2746" s="74">
        <f t="shared" si="2"/>
        <v>0</v>
      </c>
      <c r="N2746" s="74">
        <f t="shared" si="3"/>
        <v>60000</v>
      </c>
      <c r="O2746" s="65" t="str">
        <f>VLOOKUP(E2746,DATABASE!C:Q,8,false)</f>
        <v>BIAN</v>
      </c>
      <c r="P2746" s="65">
        <f>VLOOKUP(E2746,DATABASE!C:Q,9,False)</f>
        <v>0</v>
      </c>
      <c r="Q2746" s="93" t="str">
        <f>VLOOKUP(E2746,DATABASE!C:Q,4,false)</f>
        <v>Balancing</v>
      </c>
      <c r="R2746" s="93" t="str">
        <f>VLOOKUP(E2746,DATABASE!C:Q,11,false)</f>
        <v>COMPLEMENTARY</v>
      </c>
    </row>
    <row r="2747" ht="22.5" customHeight="1">
      <c r="A2747" s="49"/>
      <c r="C2747" s="384">
        <v>45798.0</v>
      </c>
      <c r="D2747" s="65">
        <v>5768.0</v>
      </c>
      <c r="E2747" s="445" t="s">
        <v>256</v>
      </c>
      <c r="F2747" s="386">
        <v>1.0</v>
      </c>
      <c r="G2747" s="74">
        <v>130000.0</v>
      </c>
      <c r="H2747" s="74">
        <v>0.0</v>
      </c>
      <c r="I2747" s="74">
        <f t="shared" si="1"/>
        <v>130000</v>
      </c>
      <c r="J2747" s="74">
        <f>IF(E2747="SERVICE",I2747-(I2747*50%),Vlookup(E2747,DATABASE!C:Q,10,false)*F2747)</f>
        <v>10000</v>
      </c>
      <c r="K2747" s="74">
        <f>VLOOKUP(E2747,DATABASE!C:Q,7,false)</f>
        <v>0</v>
      </c>
      <c r="L2747" s="74">
        <v>0.0</v>
      </c>
      <c r="M2747" s="74">
        <f t="shared" si="2"/>
        <v>0</v>
      </c>
      <c r="N2747" s="74">
        <f t="shared" si="3"/>
        <v>120000</v>
      </c>
      <c r="O2747" s="65" t="str">
        <f>VLOOKUP(E2747,DATABASE!C:Q,8,false)</f>
        <v>IBU</v>
      </c>
      <c r="P2747" s="65">
        <f>VLOOKUP(E2747,DATABASE!C:Q,9,False)</f>
        <v>0</v>
      </c>
      <c r="Q2747" s="93" t="str">
        <f>VLOOKUP(E2747,DATABASE!C:Q,4,false)</f>
        <v>SPOORING</v>
      </c>
      <c r="R2747" s="93" t="str">
        <f>VLOOKUP(E2747,DATABASE!C:Q,11,false)</f>
        <v>SERVICE</v>
      </c>
    </row>
    <row r="2748" ht="22.5" customHeight="1">
      <c r="A2748" s="49"/>
      <c r="C2748" s="384">
        <v>45798.0</v>
      </c>
      <c r="D2748" s="65">
        <v>5768.0</v>
      </c>
      <c r="E2748" s="445" t="s">
        <v>251</v>
      </c>
      <c r="F2748" s="386">
        <v>1.0</v>
      </c>
      <c r="G2748" s="74">
        <v>150000.0</v>
      </c>
      <c r="H2748" s="74">
        <v>0.0</v>
      </c>
      <c r="I2748" s="74">
        <f t="shared" si="1"/>
        <v>150000</v>
      </c>
      <c r="J2748" s="74">
        <f>IF(E2748="SERVICE",I2748-(I2748*50%),Vlookup(E2748,DATABASE!C:Q,10,false)*F2748)</f>
        <v>75000</v>
      </c>
      <c r="K2748" s="74">
        <f>VLOOKUP(E2748,DATABASE!C:Q,7,false)</f>
        <v>0</v>
      </c>
      <c r="L2748" s="74">
        <v>0.0</v>
      </c>
      <c r="M2748" s="74">
        <f t="shared" si="2"/>
        <v>0</v>
      </c>
      <c r="N2748" s="74">
        <f t="shared" si="3"/>
        <v>75000</v>
      </c>
      <c r="O2748" s="65" t="str">
        <f>VLOOKUP(E2748,DATABASE!C:Q,8,false)</f>
        <v>IBU</v>
      </c>
      <c r="P2748" s="65">
        <f>VLOOKUP(E2748,DATABASE!C:Q,9,False)</f>
        <v>0</v>
      </c>
      <c r="Q2748" s="93" t="str">
        <f>VLOOKUP(E2748,DATABASE!C:Q,4,false)</f>
        <v>SERVICE</v>
      </c>
      <c r="R2748" s="93" t="str">
        <f>VLOOKUP(E2748,DATABASE!C:Q,11,false)</f>
        <v>SERVICE</v>
      </c>
    </row>
    <row r="2749" ht="22.5" customHeight="1">
      <c r="A2749" s="49"/>
      <c r="C2749" s="384">
        <v>45798.0</v>
      </c>
      <c r="D2749" s="65">
        <v>5769.0</v>
      </c>
      <c r="E2749" s="445" t="s">
        <v>246</v>
      </c>
      <c r="F2749" s="386">
        <v>2.0</v>
      </c>
      <c r="G2749" s="74">
        <v>30000.0</v>
      </c>
      <c r="H2749" s="74">
        <v>0.0</v>
      </c>
      <c r="I2749" s="74">
        <f t="shared" si="1"/>
        <v>60000</v>
      </c>
      <c r="J2749" s="74">
        <f>IF(E2749="SERVICE",I2749-(I2749*50%),Vlookup(E2749,DATABASE!C:Q,10,false)*F2749)</f>
        <v>0</v>
      </c>
      <c r="K2749" s="74">
        <f>VLOOKUP(E2749,DATABASE!C:Q,7,false)</f>
        <v>0</v>
      </c>
      <c r="L2749" s="74">
        <v>0.0</v>
      </c>
      <c r="M2749" s="74">
        <f t="shared" si="2"/>
        <v>0</v>
      </c>
      <c r="N2749" s="74">
        <f t="shared" si="3"/>
        <v>60000</v>
      </c>
      <c r="O2749" s="65" t="str">
        <f>VLOOKUP(E2749,DATABASE!C:Q,8,false)</f>
        <v>IBU</v>
      </c>
      <c r="P2749" s="65">
        <f>VLOOKUP(E2749,DATABASE!C:Q,9,False)</f>
        <v>0</v>
      </c>
      <c r="Q2749" s="93" t="str">
        <f>VLOOKUP(E2749,DATABASE!C:Q,4,false)</f>
        <v>Bongkar Pasang</v>
      </c>
      <c r="R2749" s="93" t="str">
        <f>VLOOKUP(E2749,DATABASE!C:Q,11,false)</f>
        <v>SERVICE</v>
      </c>
    </row>
    <row r="2750" ht="22.5" customHeight="1">
      <c r="A2750" s="49"/>
      <c r="C2750" s="384">
        <v>45799.0</v>
      </c>
      <c r="D2750" s="65">
        <v>5770.0</v>
      </c>
      <c r="E2750" s="445" t="s">
        <v>262</v>
      </c>
      <c r="F2750" s="386">
        <v>1.0</v>
      </c>
      <c r="G2750" s="74">
        <v>110000.0</v>
      </c>
      <c r="H2750" s="74">
        <v>0.0</v>
      </c>
      <c r="I2750" s="74">
        <f t="shared" si="1"/>
        <v>110000</v>
      </c>
      <c r="J2750" s="74">
        <f>IF(E2750="SERVICE",I2750-(I2750*50%),Vlookup(E2750,DATABASE!C:Q,10,false)*F2750)</f>
        <v>5000</v>
      </c>
      <c r="K2750" s="74">
        <f>VLOOKUP(E2750,DATABASE!C:Q,7,false)</f>
        <v>0</v>
      </c>
      <c r="L2750" s="74">
        <v>0.0</v>
      </c>
      <c r="M2750" s="74">
        <f t="shared" si="2"/>
        <v>0</v>
      </c>
      <c r="N2750" s="74">
        <f t="shared" si="3"/>
        <v>105000</v>
      </c>
      <c r="O2750" s="65" t="str">
        <f>VLOOKUP(E2750,DATABASE!C:Q,8,false)</f>
        <v>IBU</v>
      </c>
      <c r="P2750" s="65">
        <f>VLOOKUP(E2750,DATABASE!C:Q,9,False)</f>
        <v>0</v>
      </c>
      <c r="Q2750" s="93" t="str">
        <f>VLOOKUP(E2750,DATABASE!C:Q,4,false)</f>
        <v>SPOORING SS/CARRY LOS BAK</v>
      </c>
      <c r="R2750" s="93" t="str">
        <f>VLOOKUP(E2750,DATABASE!C:Q,11,false)</f>
        <v>SERVICE</v>
      </c>
    </row>
    <row r="2751" ht="22.5" customHeight="1">
      <c r="A2751" s="49"/>
      <c r="C2751" s="384">
        <v>45799.0</v>
      </c>
      <c r="D2751" s="65">
        <v>5770.0</v>
      </c>
      <c r="E2751" s="445" t="s">
        <v>251</v>
      </c>
      <c r="F2751" s="386">
        <v>1.0</v>
      </c>
      <c r="G2751" s="74">
        <v>150000.0</v>
      </c>
      <c r="H2751" s="74">
        <v>0.0</v>
      </c>
      <c r="I2751" s="74">
        <f t="shared" si="1"/>
        <v>150000</v>
      </c>
      <c r="J2751" s="74">
        <f>IF(E2751="SERVICE",I2751-(I2751*50%),Vlookup(E2751,DATABASE!C:Q,10,false)*F2751)</f>
        <v>75000</v>
      </c>
      <c r="K2751" s="74">
        <f>VLOOKUP(E2751,DATABASE!C:Q,7,false)</f>
        <v>0</v>
      </c>
      <c r="L2751" s="74">
        <v>0.0</v>
      </c>
      <c r="M2751" s="74">
        <f t="shared" si="2"/>
        <v>0</v>
      </c>
      <c r="N2751" s="74">
        <f t="shared" si="3"/>
        <v>75000</v>
      </c>
      <c r="O2751" s="65" t="str">
        <f>VLOOKUP(E2751,DATABASE!C:Q,8,false)</f>
        <v>IBU</v>
      </c>
      <c r="P2751" s="65">
        <f>VLOOKUP(E2751,DATABASE!C:Q,9,False)</f>
        <v>0</v>
      </c>
      <c r="Q2751" s="93" t="str">
        <f>VLOOKUP(E2751,DATABASE!C:Q,4,false)</f>
        <v>SERVICE</v>
      </c>
      <c r="R2751" s="93" t="str">
        <f>VLOOKUP(E2751,DATABASE!C:Q,11,false)</f>
        <v>SERVICE</v>
      </c>
    </row>
    <row r="2752" ht="22.5" customHeight="1">
      <c r="A2752" s="49"/>
      <c r="C2752" s="384">
        <v>45799.0</v>
      </c>
      <c r="D2752" s="65">
        <v>5771.0</v>
      </c>
      <c r="E2752" s="445" t="s">
        <v>554</v>
      </c>
      <c r="F2752" s="386">
        <v>2.0</v>
      </c>
      <c r="G2752" s="74">
        <v>800000.0</v>
      </c>
      <c r="H2752" s="74">
        <v>0.0</v>
      </c>
      <c r="I2752" s="74">
        <f t="shared" si="1"/>
        <v>1600000</v>
      </c>
      <c r="J2752" s="74">
        <f>IF(E2752="SERVICE",I2752-(I2752*50%),Vlookup(E2752,DATABASE!C:Q,10,false)*F2752)</f>
        <v>0</v>
      </c>
      <c r="K2752" s="74">
        <f>VLOOKUP(E2752,DATABASE!C:Q,7,false)</f>
        <v>710000</v>
      </c>
      <c r="L2752" s="74">
        <v>680000.0</v>
      </c>
      <c r="M2752" s="74">
        <f t="shared" si="2"/>
        <v>680000</v>
      </c>
      <c r="N2752" s="74">
        <f t="shared" si="3"/>
        <v>240000</v>
      </c>
      <c r="O2752" s="65" t="str">
        <f>VLOOKUP(E2752,DATABASE!C:Q,8,false)</f>
        <v>IBU</v>
      </c>
      <c r="P2752" s="65">
        <f>VLOOKUP(E2752,DATABASE!C:Q,9,False)</f>
        <v>1</v>
      </c>
      <c r="Q2752" s="93" t="str">
        <f>VLOOKUP(E2752,DATABASE!C:Q,4,false)</f>
        <v>Bridgestone</v>
      </c>
      <c r="R2752" s="93" t="str">
        <f>VLOOKUP(E2752,DATABASE!C:Q,11,false)</f>
        <v>Tire</v>
      </c>
    </row>
    <row r="2753" ht="22.5" customHeight="1">
      <c r="A2753" s="49"/>
      <c r="C2753" s="384">
        <v>45799.0</v>
      </c>
      <c r="D2753" s="65">
        <v>5772.0</v>
      </c>
      <c r="E2753" s="445" t="s">
        <v>791</v>
      </c>
      <c r="F2753" s="386">
        <v>2.0</v>
      </c>
      <c r="G2753" s="74">
        <v>1280000.0</v>
      </c>
      <c r="H2753" s="74">
        <v>0.0</v>
      </c>
      <c r="I2753" s="74">
        <f t="shared" si="1"/>
        <v>2560000</v>
      </c>
      <c r="J2753" s="74">
        <f>IF(E2753="SERVICE",I2753-(I2753*50%),Vlookup(E2753,DATABASE!C:Q,10,false)*F2753)</f>
        <v>0</v>
      </c>
      <c r="K2753" s="74">
        <f>VLOOKUP(E2753,DATABASE!C:Q,7,false)</f>
        <v>1210000</v>
      </c>
      <c r="L2753" s="74">
        <v>1180000.0</v>
      </c>
      <c r="M2753" s="74">
        <f t="shared" si="2"/>
        <v>1180000</v>
      </c>
      <c r="N2753" s="74">
        <f t="shared" si="3"/>
        <v>200000</v>
      </c>
      <c r="O2753" s="65" t="str">
        <f>VLOOKUP(E2753,DATABASE!C:Q,8,false)</f>
        <v>BIAN</v>
      </c>
      <c r="P2753" s="65">
        <f>VLOOKUP(E2753,DATABASE!C:Q,9,False)</f>
        <v>1</v>
      </c>
      <c r="Q2753" s="93" t="str">
        <f>VLOOKUP(E2753,DATABASE!C:Q,4,false)</f>
        <v>GT</v>
      </c>
      <c r="R2753" s="93" t="str">
        <f>VLOOKUP(E2753,DATABASE!C:Q,11,false)</f>
        <v>Tire</v>
      </c>
    </row>
    <row r="2754" ht="22.5" customHeight="1">
      <c r="A2754" s="49"/>
      <c r="C2754" s="384">
        <v>45800.0</v>
      </c>
      <c r="D2754" s="65">
        <v>5774.0</v>
      </c>
      <c r="E2754" s="445" t="s">
        <v>265</v>
      </c>
      <c r="F2754" s="386">
        <v>2.0</v>
      </c>
      <c r="G2754" s="74">
        <v>700000.0</v>
      </c>
      <c r="H2754" s="74">
        <v>0.0</v>
      </c>
      <c r="I2754" s="74">
        <f t="shared" si="1"/>
        <v>1400000</v>
      </c>
      <c r="J2754" s="74">
        <f>IF(E2754="SERVICE",I2754-(I2754*50%),Vlookup(E2754,DATABASE!C:Q,10,false)*F2754)</f>
        <v>0</v>
      </c>
      <c r="K2754" s="74">
        <f>VLOOKUP(E2754,DATABASE!C:Q,7,false)</f>
        <v>628000</v>
      </c>
      <c r="L2754" s="74">
        <v>610000.0</v>
      </c>
      <c r="M2754" s="74">
        <f t="shared" si="2"/>
        <v>610000</v>
      </c>
      <c r="N2754" s="74">
        <f t="shared" si="3"/>
        <v>180000</v>
      </c>
      <c r="O2754" s="65" t="str">
        <f>VLOOKUP(E2754,DATABASE!C:Q,8,false)</f>
        <v>IBU</v>
      </c>
      <c r="P2754" s="65">
        <f>VLOOKUP(E2754,DATABASE!C:Q,9,False)</f>
        <v>1</v>
      </c>
      <c r="Q2754" s="93" t="str">
        <f>VLOOKUP(E2754,DATABASE!C:Q,4,false)</f>
        <v>Dunlop</v>
      </c>
      <c r="R2754" s="93" t="str">
        <f>VLOOKUP(E2754,DATABASE!C:Q,11,false)</f>
        <v>Tire</v>
      </c>
    </row>
    <row r="2755" ht="22.5" customHeight="1">
      <c r="A2755" s="49"/>
      <c r="C2755" s="384">
        <v>45800.0</v>
      </c>
      <c r="D2755" s="65">
        <v>5775.0</v>
      </c>
      <c r="E2755" s="445" t="s">
        <v>268</v>
      </c>
      <c r="F2755" s="386">
        <v>1.0</v>
      </c>
      <c r="G2755" s="74">
        <v>720000.0</v>
      </c>
      <c r="H2755" s="74">
        <v>0.0</v>
      </c>
      <c r="I2755" s="74">
        <f t="shared" si="1"/>
        <v>720000</v>
      </c>
      <c r="J2755" s="74">
        <f>IF(E2755="SERVICE",I2755-(I2755*50%),Vlookup(E2755,DATABASE!C:Q,10,false)*F2755)</f>
        <v>0</v>
      </c>
      <c r="K2755" s="74">
        <f>VLOOKUP(E2755,DATABASE!C:Q,7,false)</f>
        <v>653000</v>
      </c>
      <c r="L2755" s="74">
        <v>622000.0</v>
      </c>
      <c r="M2755" s="74">
        <f t="shared" si="2"/>
        <v>625000</v>
      </c>
      <c r="N2755" s="74">
        <f t="shared" si="3"/>
        <v>95000</v>
      </c>
      <c r="O2755" s="65" t="str">
        <f>VLOOKUP(E2755,DATABASE!C:Q,8,false)</f>
        <v>IBU</v>
      </c>
      <c r="P2755" s="65">
        <f>VLOOKUP(E2755,DATABASE!C:Q,9,False)</f>
        <v>1</v>
      </c>
      <c r="Q2755" s="93" t="str">
        <f>VLOOKUP(E2755,DATABASE!C:Q,4,false)</f>
        <v>Dunlop</v>
      </c>
      <c r="R2755" s="93" t="str">
        <f>VLOOKUP(E2755,DATABASE!C:Q,11,false)</f>
        <v>Tire</v>
      </c>
    </row>
    <row r="2756" ht="22.5" customHeight="1">
      <c r="A2756" s="49"/>
      <c r="C2756" s="384">
        <v>45800.0</v>
      </c>
      <c r="D2756" s="65">
        <v>5776.0</v>
      </c>
      <c r="E2756" s="445" t="s">
        <v>932</v>
      </c>
      <c r="F2756" s="386">
        <v>1.0</v>
      </c>
      <c r="G2756" s="74">
        <v>700000.0</v>
      </c>
      <c r="H2756" s="74">
        <v>0.0</v>
      </c>
      <c r="I2756" s="74">
        <f t="shared" si="1"/>
        <v>700000</v>
      </c>
      <c r="J2756" s="74">
        <f>IF(E2756="SERVICE",I2756-(I2756*50%),Vlookup(E2756,DATABASE!C:Q,10,false)*F2756)</f>
        <v>0</v>
      </c>
      <c r="K2756" s="74">
        <f>VLOOKUP(E2756,DATABASE!C:Q,7,false)</f>
        <v>601000</v>
      </c>
      <c r="L2756" s="74">
        <v>595000.0</v>
      </c>
      <c r="M2756" s="74">
        <f t="shared" si="2"/>
        <v>595000</v>
      </c>
      <c r="N2756" s="74">
        <f t="shared" si="3"/>
        <v>105000</v>
      </c>
      <c r="O2756" s="65" t="str">
        <f>VLOOKUP(E2756,DATABASE!C:Q,8,false)</f>
        <v>IBU</v>
      </c>
      <c r="P2756" s="65">
        <f>VLOOKUP(E2756,DATABASE!C:Q,9,False)</f>
        <v>1</v>
      </c>
      <c r="Q2756" s="93" t="str">
        <f>VLOOKUP(E2756,DATABASE!C:Q,4,false)</f>
        <v>Dunlop</v>
      </c>
      <c r="R2756" s="93" t="str">
        <f>VLOOKUP(E2756,DATABASE!C:Q,11,false)</f>
        <v>Tire</v>
      </c>
    </row>
    <row r="2757" ht="22.5" customHeight="1">
      <c r="A2757" s="49"/>
      <c r="C2757" s="384">
        <v>45800.0</v>
      </c>
      <c r="D2757" s="65">
        <v>5777.0</v>
      </c>
      <c r="E2757" s="445" t="s">
        <v>1389</v>
      </c>
      <c r="F2757" s="386">
        <v>1.0</v>
      </c>
      <c r="G2757" s="74">
        <v>1020000.0</v>
      </c>
      <c r="H2757" s="74">
        <v>0.0</v>
      </c>
      <c r="I2757" s="74">
        <f t="shared" si="1"/>
        <v>1020000</v>
      </c>
      <c r="J2757" s="74">
        <f>IF(E2757="SERVICE",I2757-(I2757*50%),Vlookup(E2757,DATABASE!C:Q,10,false)*F2757)</f>
        <v>0</v>
      </c>
      <c r="K2757" s="74">
        <f>VLOOKUP(E2757,DATABASE!C:Q,7,false)</f>
        <v>908000</v>
      </c>
      <c r="L2757" s="74">
        <v>897000.0</v>
      </c>
      <c r="M2757" s="74">
        <f t="shared" si="2"/>
        <v>900000</v>
      </c>
      <c r="N2757" s="74">
        <f t="shared" si="3"/>
        <v>120000</v>
      </c>
      <c r="O2757" s="65" t="str">
        <f>VLOOKUP(E2757,DATABASE!C:Q,8,false)</f>
        <v>IBU</v>
      </c>
      <c r="P2757" s="65">
        <f>VLOOKUP(E2757,DATABASE!C:Q,9,False)</f>
        <v>1</v>
      </c>
      <c r="Q2757" s="93" t="str">
        <f>VLOOKUP(E2757,DATABASE!C:Q,4,false)</f>
        <v>Dunlop</v>
      </c>
      <c r="R2757" s="93" t="str">
        <f>VLOOKUP(E2757,DATABASE!C:Q,11,false)</f>
        <v>Tire</v>
      </c>
    </row>
    <row r="2758" ht="22.5" customHeight="1">
      <c r="A2758" s="49"/>
      <c r="C2758" s="384">
        <v>45800.0</v>
      </c>
      <c r="D2758" s="65">
        <v>5778.0</v>
      </c>
      <c r="E2758" s="445" t="s">
        <v>947</v>
      </c>
      <c r="F2758" s="386">
        <v>1.0</v>
      </c>
      <c r="G2758" s="74">
        <v>785000.0</v>
      </c>
      <c r="H2758" s="74">
        <v>0.0</v>
      </c>
      <c r="I2758" s="74">
        <f t="shared" si="1"/>
        <v>785000</v>
      </c>
      <c r="J2758" s="74">
        <f>IF(E2758="SERVICE",I2758-(I2758*50%),Vlookup(E2758,DATABASE!C:Q,10,false)*F2758)</f>
        <v>0</v>
      </c>
      <c r="K2758" s="74">
        <f>VLOOKUP(E2758,DATABASE!C:Q,7,false)</f>
        <v>704346</v>
      </c>
      <c r="L2758" s="74">
        <v>680512.0</v>
      </c>
      <c r="M2758" s="74">
        <f t="shared" si="2"/>
        <v>685000</v>
      </c>
      <c r="N2758" s="74">
        <f t="shared" si="3"/>
        <v>100000</v>
      </c>
      <c r="O2758" s="65" t="str">
        <f>VLOOKUP(E2758,DATABASE!C:Q,8,false)</f>
        <v>IBU</v>
      </c>
      <c r="P2758" s="65">
        <f>VLOOKUP(E2758,DATABASE!C:Q,9,False)</f>
        <v>1</v>
      </c>
      <c r="Q2758" s="93" t="str">
        <f>VLOOKUP(E2758,DATABASE!C:Q,4,false)</f>
        <v>Bridgestone</v>
      </c>
      <c r="R2758" s="93" t="str">
        <f>VLOOKUP(E2758,DATABASE!C:Q,11,false)</f>
        <v>Tire</v>
      </c>
    </row>
    <row r="2759" ht="22.5" customHeight="1">
      <c r="A2759" s="49"/>
      <c r="C2759" s="384">
        <v>45800.0</v>
      </c>
      <c r="D2759" s="65">
        <v>5779.0</v>
      </c>
      <c r="E2759" s="445" t="s">
        <v>622</v>
      </c>
      <c r="F2759" s="386">
        <v>1.0</v>
      </c>
      <c r="G2759" s="74">
        <v>915000.0</v>
      </c>
      <c r="H2759" s="74">
        <v>0.0</v>
      </c>
      <c r="I2759" s="74">
        <f t="shared" si="1"/>
        <v>915000</v>
      </c>
      <c r="J2759" s="74">
        <f>IF(E2759="SERVICE",I2759-(I2759*50%),Vlookup(E2759,DATABASE!C:Q,10,false)*F2759)</f>
        <v>0</v>
      </c>
      <c r="K2759" s="74">
        <f>VLOOKUP(E2759,DATABASE!C:Q,7,false)</f>
        <v>851110.375</v>
      </c>
      <c r="L2759" s="74">
        <v>810342.44</v>
      </c>
      <c r="M2759" s="74">
        <f t="shared" si="2"/>
        <v>815000</v>
      </c>
      <c r="N2759" s="74">
        <f t="shared" si="3"/>
        <v>100000</v>
      </c>
      <c r="O2759" s="65" t="str">
        <f>VLOOKUP(E2759,DATABASE!C:Q,8,false)</f>
        <v>IBU</v>
      </c>
      <c r="P2759" s="65">
        <f>VLOOKUP(E2759,DATABASE!C:Q,9,False)</f>
        <v>1</v>
      </c>
      <c r="Q2759" s="93" t="str">
        <f>VLOOKUP(E2759,DATABASE!C:Q,4,false)</f>
        <v>Bridgestone</v>
      </c>
      <c r="R2759" s="93" t="str">
        <f>VLOOKUP(E2759,DATABASE!C:Q,11,false)</f>
        <v>Tire</v>
      </c>
    </row>
    <row r="2760" ht="22.5" customHeight="1">
      <c r="A2760" s="49"/>
      <c r="C2760" s="384">
        <v>45800.0</v>
      </c>
      <c r="D2760" s="65">
        <v>5783.0</v>
      </c>
      <c r="E2760" s="445" t="s">
        <v>268</v>
      </c>
      <c r="F2760" s="386">
        <v>2.0</v>
      </c>
      <c r="G2760" s="74">
        <v>720000.0</v>
      </c>
      <c r="H2760" s="74">
        <v>0.0</v>
      </c>
      <c r="I2760" s="74">
        <f t="shared" si="1"/>
        <v>1440000</v>
      </c>
      <c r="J2760" s="74">
        <f>IF(E2760="SERVICE",I2760-(I2760*50%),Vlookup(E2760,DATABASE!C:Q,10,false)*F2760)</f>
        <v>0</v>
      </c>
      <c r="K2760" s="74">
        <f>VLOOKUP(E2760,DATABASE!C:Q,7,false)</f>
        <v>653000</v>
      </c>
      <c r="L2760" s="74">
        <v>622000.0</v>
      </c>
      <c r="M2760" s="74">
        <f t="shared" si="2"/>
        <v>625000</v>
      </c>
      <c r="N2760" s="74">
        <f t="shared" si="3"/>
        <v>190000</v>
      </c>
      <c r="O2760" s="65" t="str">
        <f>VLOOKUP(E2760,DATABASE!C:Q,8,false)</f>
        <v>IBU</v>
      </c>
      <c r="P2760" s="65">
        <f>VLOOKUP(E2760,DATABASE!C:Q,9,False)</f>
        <v>1</v>
      </c>
      <c r="Q2760" s="93" t="str">
        <f>VLOOKUP(E2760,DATABASE!C:Q,4,false)</f>
        <v>Dunlop</v>
      </c>
      <c r="R2760" s="93" t="str">
        <f>VLOOKUP(E2760,DATABASE!C:Q,11,false)</f>
        <v>Tire</v>
      </c>
    </row>
    <row r="2761" ht="22.5" customHeight="1">
      <c r="A2761" s="49"/>
      <c r="C2761" s="384">
        <v>45801.0</v>
      </c>
      <c r="D2761" s="65">
        <v>5784.0</v>
      </c>
      <c r="E2761" s="445" t="s">
        <v>288</v>
      </c>
      <c r="F2761" s="386">
        <v>2.0</v>
      </c>
      <c r="G2761" s="74">
        <v>620000.0</v>
      </c>
      <c r="H2761" s="74">
        <v>0.0</v>
      </c>
      <c r="I2761" s="74">
        <f t="shared" si="1"/>
        <v>1240000</v>
      </c>
      <c r="J2761" s="74">
        <f>IF(E2761="SERVICE",I2761-(I2761*50%),Vlookup(E2761,DATABASE!C:Q,10,false)*F2761)</f>
        <v>0</v>
      </c>
      <c r="K2761" s="74">
        <f>VLOOKUP(E2761,DATABASE!C:Q,7,false)</f>
        <v>565760</v>
      </c>
      <c r="L2761" s="74">
        <v>524800.0</v>
      </c>
      <c r="M2761" s="74">
        <f t="shared" si="2"/>
        <v>525000</v>
      </c>
      <c r="N2761" s="74">
        <f t="shared" si="3"/>
        <v>190000</v>
      </c>
      <c r="O2761" s="65" t="str">
        <f>VLOOKUP(E2761,DATABASE!C:Q,8,false)</f>
        <v>BIAN</v>
      </c>
      <c r="P2761" s="65">
        <f>VLOOKUP(E2761,DATABASE!C:Q,9,False)</f>
        <v>1</v>
      </c>
      <c r="Q2761" s="93" t="str">
        <f>VLOOKUP(E2761,DATABASE!C:Q,4,false)</f>
        <v>GT</v>
      </c>
      <c r="R2761" s="93" t="str">
        <f>VLOOKUP(E2761,DATABASE!C:Q,11,false)</f>
        <v>Tire</v>
      </c>
    </row>
    <row r="2762" ht="22.5" customHeight="1">
      <c r="A2762" s="49"/>
      <c r="C2762" s="384">
        <v>45801.0</v>
      </c>
      <c r="D2762" s="65">
        <v>5784.0</v>
      </c>
      <c r="E2762" s="385" t="s">
        <v>299</v>
      </c>
      <c r="F2762" s="386">
        <v>2.0</v>
      </c>
      <c r="G2762" s="74">
        <v>30000.0</v>
      </c>
      <c r="H2762" s="74">
        <v>0.0</v>
      </c>
      <c r="I2762" s="74">
        <f t="shared" si="1"/>
        <v>60000</v>
      </c>
      <c r="J2762" s="74">
        <f>IF(E2762="SERVICE",I2762-(I2762*50%),Vlookup(E2762,DATABASE!C:Q,10,false)*F2762)</f>
        <v>0</v>
      </c>
      <c r="K2762" s="74">
        <v>0.0</v>
      </c>
      <c r="L2762" s="74">
        <v>0.0</v>
      </c>
      <c r="M2762" s="74">
        <f t="shared" si="2"/>
        <v>0</v>
      </c>
      <c r="N2762" s="74">
        <f t="shared" si="3"/>
        <v>60000</v>
      </c>
      <c r="O2762" s="65" t="str">
        <f>VLOOKUP(E2762,DATABASE!C:Q,8,false)</f>
        <v>BIAN</v>
      </c>
      <c r="P2762" s="65">
        <f>VLOOKUP(E2762,DATABASE!C:Q,9,False)</f>
        <v>0</v>
      </c>
      <c r="Q2762" s="93" t="str">
        <f>VLOOKUP(E2762,DATABASE!C:Q,4,false)</f>
        <v>Balancing</v>
      </c>
      <c r="R2762" s="93" t="str">
        <f>VLOOKUP(E2762,DATABASE!C:Q,11,false)</f>
        <v>COMPLEMENTARY</v>
      </c>
    </row>
    <row r="2763" ht="22.5" customHeight="1">
      <c r="A2763" s="49"/>
      <c r="C2763" s="384">
        <v>45801.0</v>
      </c>
      <c r="D2763" s="65">
        <v>5785.0</v>
      </c>
      <c r="E2763" s="445" t="s">
        <v>262</v>
      </c>
      <c r="F2763" s="386">
        <v>1.0</v>
      </c>
      <c r="G2763" s="74">
        <v>110000.0</v>
      </c>
      <c r="H2763" s="74">
        <v>0.0</v>
      </c>
      <c r="I2763" s="74">
        <f t="shared" si="1"/>
        <v>110000</v>
      </c>
      <c r="J2763" s="74">
        <f>IF(E2763="SERVICE",I2763-(I2763*50%),Vlookup(E2763,DATABASE!C:Q,10,false)*F2763)</f>
        <v>5000</v>
      </c>
      <c r="K2763" s="74">
        <f>VLOOKUP(E2763,DATABASE!C:Q,7,false)</f>
        <v>0</v>
      </c>
      <c r="L2763" s="74">
        <v>0.0</v>
      </c>
      <c r="M2763" s="74">
        <f t="shared" si="2"/>
        <v>0</v>
      </c>
      <c r="N2763" s="74">
        <f t="shared" si="3"/>
        <v>105000</v>
      </c>
      <c r="O2763" s="65" t="str">
        <f>VLOOKUP(E2763,DATABASE!C:Q,8,false)</f>
        <v>IBU</v>
      </c>
      <c r="P2763" s="65">
        <f>VLOOKUP(E2763,DATABASE!C:Q,9,False)</f>
        <v>0</v>
      </c>
      <c r="Q2763" s="93" t="str">
        <f>VLOOKUP(E2763,DATABASE!C:Q,4,false)</f>
        <v>SPOORING SS/CARRY LOS BAK</v>
      </c>
      <c r="R2763" s="93" t="str">
        <f>VLOOKUP(E2763,DATABASE!C:Q,11,false)</f>
        <v>SERVICE</v>
      </c>
    </row>
    <row r="2764" ht="22.5" customHeight="1">
      <c r="A2764" s="49"/>
      <c r="C2764" s="384">
        <v>45801.0</v>
      </c>
      <c r="D2764" s="65">
        <v>5786.0</v>
      </c>
      <c r="E2764" s="445" t="s">
        <v>288</v>
      </c>
      <c r="F2764" s="386">
        <v>4.0</v>
      </c>
      <c r="G2764" s="74">
        <v>620000.0</v>
      </c>
      <c r="H2764" s="74">
        <v>0.0</v>
      </c>
      <c r="I2764" s="74">
        <f t="shared" si="1"/>
        <v>2480000</v>
      </c>
      <c r="J2764" s="74">
        <f>IF(E2764="SERVICE",I2764-(I2764*50%),Vlookup(E2764,DATABASE!C:Q,10,false)*F2764)</f>
        <v>0</v>
      </c>
      <c r="K2764" s="74">
        <f>VLOOKUP(E2764,DATABASE!C:Q,7,false)</f>
        <v>565760</v>
      </c>
      <c r="L2764" s="74">
        <v>524800.0</v>
      </c>
      <c r="M2764" s="74">
        <f t="shared" si="2"/>
        <v>525000</v>
      </c>
      <c r="N2764" s="74">
        <f t="shared" si="3"/>
        <v>380000</v>
      </c>
      <c r="O2764" s="65" t="str">
        <f>VLOOKUP(E2764,DATABASE!C:Q,8,false)</f>
        <v>BIAN</v>
      </c>
      <c r="P2764" s="65">
        <f>VLOOKUP(E2764,DATABASE!C:Q,9,False)</f>
        <v>1</v>
      </c>
      <c r="Q2764" s="93" t="str">
        <f>VLOOKUP(E2764,DATABASE!C:Q,4,false)</f>
        <v>GT</v>
      </c>
      <c r="R2764" s="93" t="str">
        <f>VLOOKUP(E2764,DATABASE!C:Q,11,false)</f>
        <v>Tire</v>
      </c>
    </row>
    <row r="2765" ht="22.5" customHeight="1">
      <c r="A2765" s="49"/>
      <c r="C2765" s="384">
        <v>45801.0</v>
      </c>
      <c r="D2765" s="65">
        <v>5786.0</v>
      </c>
      <c r="E2765" s="385" t="s">
        <v>299</v>
      </c>
      <c r="F2765" s="386">
        <v>2.0</v>
      </c>
      <c r="G2765" s="74">
        <v>30000.0</v>
      </c>
      <c r="H2765" s="74">
        <v>0.0</v>
      </c>
      <c r="I2765" s="74">
        <f t="shared" si="1"/>
        <v>60000</v>
      </c>
      <c r="J2765" s="74">
        <f>IF(E2765="SERVICE",I2765-(I2765*50%),Vlookup(E2765,DATABASE!C:Q,10,false)*F2765)</f>
        <v>0</v>
      </c>
      <c r="K2765" s="74">
        <v>0.0</v>
      </c>
      <c r="L2765" s="74">
        <v>0.0</v>
      </c>
      <c r="M2765" s="74">
        <f t="shared" si="2"/>
        <v>0</v>
      </c>
      <c r="N2765" s="74">
        <f t="shared" si="3"/>
        <v>60000</v>
      </c>
      <c r="O2765" s="65" t="str">
        <f>VLOOKUP(E2765,DATABASE!C:Q,8,false)</f>
        <v>BIAN</v>
      </c>
      <c r="P2765" s="65">
        <f>VLOOKUP(E2765,DATABASE!C:Q,9,False)</f>
        <v>0</v>
      </c>
      <c r="Q2765" s="93" t="str">
        <f>VLOOKUP(E2765,DATABASE!C:Q,4,false)</f>
        <v>Balancing</v>
      </c>
      <c r="R2765" s="93" t="str">
        <f>VLOOKUP(E2765,DATABASE!C:Q,11,false)</f>
        <v>COMPLEMENTARY</v>
      </c>
    </row>
    <row r="2766" ht="22.5" customHeight="1">
      <c r="A2766" s="49"/>
      <c r="C2766" s="384">
        <v>45801.0</v>
      </c>
      <c r="D2766" s="65">
        <v>5786.0</v>
      </c>
      <c r="E2766" s="445" t="s">
        <v>256</v>
      </c>
      <c r="F2766" s="386">
        <v>1.0</v>
      </c>
      <c r="G2766" s="74">
        <v>130000.0</v>
      </c>
      <c r="H2766" s="74">
        <v>0.0</v>
      </c>
      <c r="I2766" s="74">
        <f t="shared" si="1"/>
        <v>130000</v>
      </c>
      <c r="J2766" s="74">
        <f>IF(E2766="SERVICE",I2766-(I2766*50%),Vlookup(E2766,DATABASE!C:Q,10,false)*F2766)</f>
        <v>10000</v>
      </c>
      <c r="K2766" s="74">
        <f>VLOOKUP(E2766,DATABASE!C:Q,7,false)</f>
        <v>0</v>
      </c>
      <c r="L2766" s="74">
        <v>0.0</v>
      </c>
      <c r="M2766" s="74">
        <f t="shared" si="2"/>
        <v>0</v>
      </c>
      <c r="N2766" s="74">
        <f t="shared" si="3"/>
        <v>120000</v>
      </c>
      <c r="O2766" s="65" t="str">
        <f>VLOOKUP(E2766,DATABASE!C:Q,8,false)</f>
        <v>IBU</v>
      </c>
      <c r="P2766" s="65">
        <f>VLOOKUP(E2766,DATABASE!C:Q,9,False)</f>
        <v>0</v>
      </c>
      <c r="Q2766" s="93" t="str">
        <f>VLOOKUP(E2766,DATABASE!C:Q,4,false)</f>
        <v>SPOORING</v>
      </c>
      <c r="R2766" s="93" t="str">
        <f>VLOOKUP(E2766,DATABASE!C:Q,11,false)</f>
        <v>SERVICE</v>
      </c>
    </row>
    <row r="2767" ht="22.5" customHeight="1">
      <c r="A2767" s="49"/>
      <c r="C2767" s="384">
        <v>45801.0</v>
      </c>
      <c r="D2767" s="65">
        <v>5786.0</v>
      </c>
      <c r="E2767" s="445" t="s">
        <v>301</v>
      </c>
      <c r="F2767" s="386">
        <v>1.0</v>
      </c>
      <c r="G2767" s="74">
        <v>250000.0</v>
      </c>
      <c r="H2767" s="74">
        <v>0.0</v>
      </c>
      <c r="I2767" s="74">
        <f t="shared" si="1"/>
        <v>250000</v>
      </c>
      <c r="J2767" s="74">
        <f>IF(E2767="SERVICE",I2767-(I2767*50%),Vlookup(E2767,DATABASE!C:Q,10,false)*F2767)</f>
        <v>75000</v>
      </c>
      <c r="K2767" s="74">
        <f>VLOOKUP(E2767,DATABASE!C:Q,7,false)</f>
        <v>75000</v>
      </c>
      <c r="L2767" s="74">
        <v>75000.0</v>
      </c>
      <c r="M2767" s="74">
        <f t="shared" si="2"/>
        <v>75000</v>
      </c>
      <c r="N2767" s="74">
        <f t="shared" si="3"/>
        <v>100000</v>
      </c>
      <c r="O2767" s="65" t="str">
        <f>VLOOKUP(E2767,DATABASE!C:Q,8,false)</f>
        <v>BIAN</v>
      </c>
      <c r="P2767" s="65">
        <f>VLOOKUP(E2767,DATABASE!C:Q,9,False)</f>
        <v>0</v>
      </c>
      <c r="Q2767" s="93" t="str">
        <f>VLOOKUP(E2767,DATABASE!C:Q,4,false)</f>
        <v>Baut Camber</v>
      </c>
      <c r="R2767" s="93" t="str">
        <f>VLOOKUP(E2767,DATABASE!C:Q,11,false)</f>
        <v>COMPLEMENTARY</v>
      </c>
    </row>
    <row r="2768" ht="22.5" customHeight="1">
      <c r="A2768" s="49"/>
      <c r="C2768" s="384">
        <v>45801.0</v>
      </c>
      <c r="D2768" s="65">
        <v>5787.0</v>
      </c>
      <c r="E2768" s="445" t="s">
        <v>246</v>
      </c>
      <c r="F2768" s="386">
        <v>1.0</v>
      </c>
      <c r="G2768" s="74">
        <v>30000.0</v>
      </c>
      <c r="H2768" s="74">
        <v>0.0</v>
      </c>
      <c r="I2768" s="74">
        <f t="shared" si="1"/>
        <v>30000</v>
      </c>
      <c r="J2768" s="74">
        <f>IF(E2768="SERVICE",I2768-(I2768*50%),Vlookup(E2768,DATABASE!C:Q,10,false)*F2768)</f>
        <v>0</v>
      </c>
      <c r="K2768" s="74">
        <f>VLOOKUP(E2768,DATABASE!C:Q,7,false)</f>
        <v>0</v>
      </c>
      <c r="L2768" s="74">
        <v>0.0</v>
      </c>
      <c r="M2768" s="74">
        <f t="shared" si="2"/>
        <v>0</v>
      </c>
      <c r="N2768" s="74">
        <f t="shared" si="3"/>
        <v>30000</v>
      </c>
      <c r="O2768" s="65" t="str">
        <f>VLOOKUP(E2768,DATABASE!C:Q,8,false)</f>
        <v>IBU</v>
      </c>
      <c r="P2768" s="65">
        <f>VLOOKUP(E2768,DATABASE!C:Q,9,False)</f>
        <v>0</v>
      </c>
      <c r="Q2768" s="93" t="str">
        <f>VLOOKUP(E2768,DATABASE!C:Q,4,false)</f>
        <v>Bongkar Pasang</v>
      </c>
      <c r="R2768" s="93" t="str">
        <f>VLOOKUP(E2768,DATABASE!C:Q,11,false)</f>
        <v>SERVICE</v>
      </c>
    </row>
    <row r="2769" ht="22.5" customHeight="1">
      <c r="A2769" s="49"/>
      <c r="C2769" s="384">
        <v>45801.0</v>
      </c>
      <c r="D2769" s="65">
        <v>5788.0</v>
      </c>
      <c r="E2769" s="445" t="s">
        <v>614</v>
      </c>
      <c r="F2769" s="386">
        <v>1.0</v>
      </c>
      <c r="G2769" s="74">
        <v>870000.0</v>
      </c>
      <c r="H2769" s="74">
        <v>0.0</v>
      </c>
      <c r="I2769" s="74">
        <f t="shared" si="1"/>
        <v>870000</v>
      </c>
      <c r="J2769" s="74">
        <f>IF(E2769="SERVICE",I2769-(I2769*50%),Vlookup(E2769,DATABASE!C:Q,10,false)*F2769)</f>
        <v>0</v>
      </c>
      <c r="K2769" s="74">
        <f>VLOOKUP(E2769,DATABASE!C:Q,7,false)</f>
        <v>754660.6</v>
      </c>
      <c r="L2769" s="74">
        <v>766438.4</v>
      </c>
      <c r="M2769" s="74">
        <f t="shared" si="2"/>
        <v>770000</v>
      </c>
      <c r="N2769" s="74">
        <f t="shared" si="3"/>
        <v>100000</v>
      </c>
      <c r="O2769" s="65" t="str">
        <f>VLOOKUP(E2769,DATABASE!C:Q,8,false)</f>
        <v>IBU</v>
      </c>
      <c r="P2769" s="65">
        <f>VLOOKUP(E2769,DATABASE!C:Q,9,False)</f>
        <v>1</v>
      </c>
      <c r="Q2769" s="93" t="str">
        <f>VLOOKUP(E2769,DATABASE!C:Q,4,false)</f>
        <v>Bridgestone</v>
      </c>
      <c r="R2769" s="93" t="str">
        <f>VLOOKUP(E2769,DATABASE!C:Q,11,false)</f>
        <v>Tire</v>
      </c>
    </row>
    <row r="2770" ht="22.5" customHeight="1">
      <c r="A2770" s="49"/>
      <c r="C2770" s="384">
        <v>45801.0</v>
      </c>
      <c r="D2770" s="65">
        <v>5789.0</v>
      </c>
      <c r="E2770" s="445" t="s">
        <v>1439</v>
      </c>
      <c r="F2770" s="386">
        <v>2.0</v>
      </c>
      <c r="G2770" s="74">
        <v>630000.0</v>
      </c>
      <c r="H2770" s="74">
        <v>0.0</v>
      </c>
      <c r="I2770" s="74">
        <f t="shared" si="1"/>
        <v>1260000</v>
      </c>
      <c r="J2770" s="74">
        <f>IF(E2770="SERVICE",I2770-(I2770*50%),Vlookup(E2770,DATABASE!C:Q,10,false)*F2770)</f>
        <v>0</v>
      </c>
      <c r="K2770" s="74">
        <f>VLOOKUP(E2770,DATABASE!C:Q,7,false)</f>
        <v>556800</v>
      </c>
      <c r="L2770" s="74">
        <v>540800.0</v>
      </c>
      <c r="M2770" s="74">
        <f t="shared" si="2"/>
        <v>545000</v>
      </c>
      <c r="N2770" s="74">
        <f t="shared" si="3"/>
        <v>170000</v>
      </c>
      <c r="O2770" s="65" t="str">
        <f>VLOOKUP(E2770,DATABASE!C:Q,8,false)</f>
        <v>BIAN</v>
      </c>
      <c r="P2770" s="65">
        <f>VLOOKUP(E2770,DATABASE!C:Q,9,False)</f>
        <v>1</v>
      </c>
      <c r="Q2770" s="93" t="str">
        <f>VLOOKUP(E2770,DATABASE!C:Q,4,false)</f>
        <v>GT</v>
      </c>
      <c r="R2770" s="93" t="str">
        <f>VLOOKUP(E2770,DATABASE!C:Q,11,false)</f>
        <v>Tire</v>
      </c>
    </row>
    <row r="2771" ht="22.5" customHeight="1">
      <c r="A2771" s="49"/>
      <c r="C2771" s="384">
        <v>45801.0</v>
      </c>
      <c r="D2771" s="65">
        <v>5790.0</v>
      </c>
      <c r="E2771" s="445" t="s">
        <v>777</v>
      </c>
      <c r="F2771" s="386">
        <v>2.0</v>
      </c>
      <c r="G2771" s="74">
        <v>585000.0</v>
      </c>
      <c r="H2771" s="74">
        <v>0.0</v>
      </c>
      <c r="I2771" s="74">
        <f t="shared" si="1"/>
        <v>1170000</v>
      </c>
      <c r="J2771" s="74">
        <f>IF(E2771="SERVICE",I2771-(I2771*50%),Vlookup(E2771,DATABASE!C:Q,10,false)*F2771)</f>
        <v>0</v>
      </c>
      <c r="K2771" s="74">
        <f>VLOOKUP(E2771,DATABASE!C:Q,7,false)</f>
        <v>540000</v>
      </c>
      <c r="L2771" s="74">
        <v>507000.0</v>
      </c>
      <c r="M2771" s="74">
        <f t="shared" si="2"/>
        <v>510000</v>
      </c>
      <c r="N2771" s="74">
        <f t="shared" si="3"/>
        <v>150000</v>
      </c>
      <c r="O2771" s="65" t="str">
        <f>VLOOKUP(E2771,DATABASE!C:Q,8,false)</f>
        <v>BIAN</v>
      </c>
      <c r="P2771" s="65">
        <f>VLOOKUP(E2771,DATABASE!C:Q,9,False)</f>
        <v>1</v>
      </c>
      <c r="Q2771" s="93" t="str">
        <f>VLOOKUP(E2771,DATABASE!C:Q,4,false)</f>
        <v>GT</v>
      </c>
      <c r="R2771" s="93" t="str">
        <f>VLOOKUP(E2771,DATABASE!C:Q,11,false)</f>
        <v>Tire</v>
      </c>
    </row>
    <row r="2772" ht="22.5" customHeight="1">
      <c r="A2772" s="49"/>
      <c r="C2772" s="384">
        <v>45801.0</v>
      </c>
      <c r="D2772" s="65">
        <v>5790.0</v>
      </c>
      <c r="E2772" s="445" t="s">
        <v>569</v>
      </c>
      <c r="F2772" s="386">
        <v>1.0</v>
      </c>
      <c r="G2772" s="74">
        <v>80000.0</v>
      </c>
      <c r="H2772" s="74">
        <v>0.0</v>
      </c>
      <c r="I2772" s="74">
        <f t="shared" si="1"/>
        <v>80000</v>
      </c>
      <c r="J2772" s="74">
        <f>IF(E2772="SERVICE",I2772-(I2772*50%),Vlookup(E2772,DATABASE!C:Q,10,false)*F2772)</f>
        <v>0</v>
      </c>
      <c r="K2772" s="74">
        <f>VLOOKUP(E2772,DATABASE!C:Q,7,false)</f>
        <v>45439.582</v>
      </c>
      <c r="L2772" s="74">
        <v>45309.6</v>
      </c>
      <c r="M2772" s="74">
        <f t="shared" si="2"/>
        <v>50000</v>
      </c>
      <c r="N2772" s="74">
        <f t="shared" si="3"/>
        <v>30000</v>
      </c>
      <c r="O2772" s="65" t="str">
        <f>VLOOKUP(E2772,DATABASE!C:Q,8,false)</f>
        <v>BIAN</v>
      </c>
      <c r="P2772" s="65">
        <f>VLOOKUP(E2772,DATABASE!C:Q,9,False)</f>
        <v>1</v>
      </c>
      <c r="Q2772" s="93" t="str">
        <f>VLOOKUP(E2772,DATABASE!C:Q,4,false)</f>
        <v>BD</v>
      </c>
      <c r="R2772" s="93" t="str">
        <f>VLOOKUP(E2772,DATABASE!C:Q,11,false)</f>
        <v>Tire</v>
      </c>
    </row>
    <row r="2773" ht="22.5" customHeight="1">
      <c r="A2773" s="49"/>
      <c r="C2773" s="384">
        <v>45801.0</v>
      </c>
      <c r="D2773" s="65">
        <v>5791.0</v>
      </c>
      <c r="E2773" s="445" t="s">
        <v>856</v>
      </c>
      <c r="F2773" s="386">
        <v>1.0</v>
      </c>
      <c r="G2773" s="74">
        <v>670000.0</v>
      </c>
      <c r="H2773" s="74">
        <v>0.0</v>
      </c>
      <c r="I2773" s="74">
        <f t="shared" si="1"/>
        <v>670000</v>
      </c>
      <c r="J2773" s="74">
        <f>IF(E2773="SERVICE",I2773-(I2773*50%),Vlookup(E2773,DATABASE!C:Q,10,false)*F2773)</f>
        <v>0</v>
      </c>
      <c r="K2773" s="74">
        <f>VLOOKUP(E2773,DATABASE!C:Q,7,false)</f>
        <v>615300</v>
      </c>
      <c r="L2773" s="74">
        <v>581120.0</v>
      </c>
      <c r="M2773" s="74">
        <f t="shared" si="2"/>
        <v>585000</v>
      </c>
      <c r="N2773" s="74">
        <f t="shared" si="3"/>
        <v>85000</v>
      </c>
      <c r="O2773" s="65" t="str">
        <f>VLOOKUP(E2773,DATABASE!C:Q,8,false)</f>
        <v>BIAN</v>
      </c>
      <c r="P2773" s="65">
        <f>VLOOKUP(E2773,DATABASE!C:Q,9,False)</f>
        <v>1</v>
      </c>
      <c r="Q2773" s="93" t="str">
        <f>VLOOKUP(E2773,DATABASE!C:Q,4,false)</f>
        <v>GT</v>
      </c>
      <c r="R2773" s="93" t="str">
        <f>VLOOKUP(E2773,DATABASE!C:Q,11,false)</f>
        <v>Tire</v>
      </c>
    </row>
    <row r="2774" ht="22.5" customHeight="1">
      <c r="A2774" s="49"/>
      <c r="C2774" s="384">
        <v>45801.0</v>
      </c>
      <c r="D2774" s="65">
        <v>5792.0</v>
      </c>
      <c r="E2774" s="445" t="s">
        <v>256</v>
      </c>
      <c r="F2774" s="386">
        <v>1.0</v>
      </c>
      <c r="G2774" s="74">
        <v>130000.0</v>
      </c>
      <c r="H2774" s="74">
        <v>0.0</v>
      </c>
      <c r="I2774" s="74">
        <f t="shared" si="1"/>
        <v>130000</v>
      </c>
      <c r="J2774" s="74">
        <f>IF(E2774="SERVICE",I2774-(I2774*50%),Vlookup(E2774,DATABASE!C:Q,10,false)*F2774)</f>
        <v>10000</v>
      </c>
      <c r="K2774" s="74">
        <f>VLOOKUP(E2774,DATABASE!C:Q,7,false)</f>
        <v>0</v>
      </c>
      <c r="L2774" s="74">
        <v>0.0</v>
      </c>
      <c r="M2774" s="74">
        <f t="shared" si="2"/>
        <v>0</v>
      </c>
      <c r="N2774" s="74">
        <f t="shared" si="3"/>
        <v>120000</v>
      </c>
      <c r="O2774" s="65" t="str">
        <f>VLOOKUP(E2774,DATABASE!C:Q,8,false)</f>
        <v>IBU</v>
      </c>
      <c r="P2774" s="65">
        <f>VLOOKUP(E2774,DATABASE!C:Q,9,False)</f>
        <v>0</v>
      </c>
      <c r="Q2774" s="93" t="str">
        <f>VLOOKUP(E2774,DATABASE!C:Q,4,false)</f>
        <v>SPOORING</v>
      </c>
      <c r="R2774" s="93" t="str">
        <f>VLOOKUP(E2774,DATABASE!C:Q,11,false)</f>
        <v>SERVICE</v>
      </c>
    </row>
    <row r="2775" ht="22.5" customHeight="1">
      <c r="A2775" s="49"/>
      <c r="C2775" s="384">
        <v>45801.0</v>
      </c>
      <c r="D2775" s="65">
        <v>5792.0</v>
      </c>
      <c r="E2775" s="445" t="s">
        <v>301</v>
      </c>
      <c r="F2775" s="386">
        <v>1.0</v>
      </c>
      <c r="G2775" s="74">
        <v>250000.0</v>
      </c>
      <c r="H2775" s="74">
        <v>0.0</v>
      </c>
      <c r="I2775" s="74">
        <f t="shared" si="1"/>
        <v>250000</v>
      </c>
      <c r="J2775" s="74">
        <f>IF(E2775="SERVICE",I2775-(I2775*50%),Vlookup(E2775,DATABASE!C:Q,10,false)*F2775)</f>
        <v>75000</v>
      </c>
      <c r="K2775" s="74">
        <f>VLOOKUP(E2775,DATABASE!C:Q,7,false)</f>
        <v>75000</v>
      </c>
      <c r="L2775" s="74">
        <v>75000.0</v>
      </c>
      <c r="M2775" s="74">
        <f t="shared" si="2"/>
        <v>75000</v>
      </c>
      <c r="N2775" s="74">
        <f t="shared" si="3"/>
        <v>100000</v>
      </c>
      <c r="O2775" s="65" t="str">
        <f>VLOOKUP(E2775,DATABASE!C:Q,8,false)</f>
        <v>BIAN</v>
      </c>
      <c r="P2775" s="65">
        <f>VLOOKUP(E2775,DATABASE!C:Q,9,False)</f>
        <v>0</v>
      </c>
      <c r="Q2775" s="93" t="str">
        <f>VLOOKUP(E2775,DATABASE!C:Q,4,false)</f>
        <v>Baut Camber</v>
      </c>
      <c r="R2775" s="93" t="str">
        <f>VLOOKUP(E2775,DATABASE!C:Q,11,false)</f>
        <v>COMPLEMENTARY</v>
      </c>
    </row>
    <row r="2776" ht="22.5" customHeight="1">
      <c r="A2776" s="49"/>
      <c r="C2776" s="384">
        <v>45801.0</v>
      </c>
      <c r="D2776" s="65">
        <v>5793.0</v>
      </c>
      <c r="E2776" s="445" t="s">
        <v>1565</v>
      </c>
      <c r="F2776" s="386">
        <v>2.0</v>
      </c>
      <c r="G2776" s="74">
        <v>1430000.0</v>
      </c>
      <c r="H2776" s="74">
        <v>0.0</v>
      </c>
      <c r="I2776" s="74">
        <f t="shared" si="1"/>
        <v>2860000</v>
      </c>
      <c r="J2776" s="74">
        <f>IF(E2776="SERVICE",I2776-(I2776*50%),Vlookup(E2776,DATABASE!C:Q,10,false)*F2776)</f>
        <v>0</v>
      </c>
      <c r="K2776" s="74">
        <f>VLOOKUP(E2776,DATABASE!C:Q,7,false)</f>
        <v>1292000</v>
      </c>
      <c r="L2776" s="74">
        <v>1320000.0</v>
      </c>
      <c r="M2776" s="74">
        <f t="shared" si="2"/>
        <v>1320000</v>
      </c>
      <c r="N2776" s="74">
        <f t="shared" si="3"/>
        <v>220000</v>
      </c>
      <c r="O2776" s="65" t="str">
        <f>VLOOKUP(E2776,DATABASE!C:Q,8,false)</f>
        <v>IBU</v>
      </c>
      <c r="P2776" s="65">
        <f>VLOOKUP(E2776,DATABASE!C:Q,9,False)</f>
        <v>1</v>
      </c>
      <c r="Q2776" s="93" t="str">
        <f>VLOOKUP(E2776,DATABASE!C:Q,4,false)</f>
        <v>Dunlop</v>
      </c>
      <c r="R2776" s="93" t="str">
        <f>VLOOKUP(E2776,DATABASE!C:Q,11,false)</f>
        <v>Tire</v>
      </c>
    </row>
    <row r="2777" ht="22.5" customHeight="1">
      <c r="A2777" s="49"/>
      <c r="C2777" s="384">
        <v>45801.0</v>
      </c>
      <c r="D2777" s="65">
        <v>5794.0</v>
      </c>
      <c r="E2777" s="445" t="s">
        <v>1439</v>
      </c>
      <c r="F2777" s="386">
        <v>1.0</v>
      </c>
      <c r="G2777" s="74">
        <v>630000.0</v>
      </c>
      <c r="H2777" s="74">
        <v>0.0</v>
      </c>
      <c r="I2777" s="74">
        <f t="shared" si="1"/>
        <v>630000</v>
      </c>
      <c r="J2777" s="74">
        <f>IF(E2777="SERVICE",I2777-(I2777*50%),Vlookup(E2777,DATABASE!C:Q,10,false)*F2777)</f>
        <v>0</v>
      </c>
      <c r="K2777" s="74">
        <f>VLOOKUP(E2777,DATABASE!C:Q,7,false)</f>
        <v>556800</v>
      </c>
      <c r="L2777" s="74">
        <v>540800.0</v>
      </c>
      <c r="M2777" s="74">
        <f t="shared" si="2"/>
        <v>545000</v>
      </c>
      <c r="N2777" s="74">
        <f t="shared" si="3"/>
        <v>85000</v>
      </c>
      <c r="O2777" s="65" t="str">
        <f>VLOOKUP(E2777,DATABASE!C:Q,8,false)</f>
        <v>BIAN</v>
      </c>
      <c r="P2777" s="65">
        <f>VLOOKUP(E2777,DATABASE!C:Q,9,False)</f>
        <v>1</v>
      </c>
      <c r="Q2777" s="93" t="str">
        <f>VLOOKUP(E2777,DATABASE!C:Q,4,false)</f>
        <v>GT</v>
      </c>
      <c r="R2777" s="93" t="str">
        <f>VLOOKUP(E2777,DATABASE!C:Q,11,false)</f>
        <v>Tire</v>
      </c>
    </row>
    <row r="2778" ht="22.5" customHeight="1">
      <c r="A2778" s="49"/>
      <c r="C2778" s="384">
        <v>45801.0</v>
      </c>
      <c r="D2778" s="65">
        <v>5796.0</v>
      </c>
      <c r="E2778" s="445" t="s">
        <v>932</v>
      </c>
      <c r="F2778" s="386">
        <v>2.0</v>
      </c>
      <c r="G2778" s="74">
        <v>700000.0</v>
      </c>
      <c r="H2778" s="74">
        <v>0.0</v>
      </c>
      <c r="I2778" s="74">
        <f t="shared" si="1"/>
        <v>1400000</v>
      </c>
      <c r="J2778" s="74">
        <f>IF(E2778="SERVICE",I2778-(I2778*50%),Vlookup(E2778,DATABASE!C:Q,10,false)*F2778)</f>
        <v>0</v>
      </c>
      <c r="K2778" s="74">
        <f>VLOOKUP(E2778,DATABASE!C:Q,7,false)</f>
        <v>601000</v>
      </c>
      <c r="L2778" s="74">
        <v>595000.0</v>
      </c>
      <c r="M2778" s="74">
        <f t="shared" si="2"/>
        <v>595000</v>
      </c>
      <c r="N2778" s="74">
        <f t="shared" si="3"/>
        <v>210000</v>
      </c>
      <c r="O2778" s="65" t="str">
        <f>VLOOKUP(E2778,DATABASE!C:Q,8,false)</f>
        <v>IBU</v>
      </c>
      <c r="P2778" s="65">
        <f>VLOOKUP(E2778,DATABASE!C:Q,9,False)</f>
        <v>1</v>
      </c>
      <c r="Q2778" s="93" t="str">
        <f>VLOOKUP(E2778,DATABASE!C:Q,4,false)</f>
        <v>Dunlop</v>
      </c>
      <c r="R2778" s="93" t="str">
        <f>VLOOKUP(E2778,DATABASE!C:Q,11,false)</f>
        <v>Tire</v>
      </c>
    </row>
    <row r="2779" ht="22.5" customHeight="1">
      <c r="A2779" s="49"/>
      <c r="C2779" s="384">
        <v>45801.0</v>
      </c>
      <c r="D2779" s="65">
        <v>5797.0</v>
      </c>
      <c r="E2779" s="445" t="s">
        <v>256</v>
      </c>
      <c r="F2779" s="386">
        <v>1.0</v>
      </c>
      <c r="G2779" s="74">
        <v>130000.0</v>
      </c>
      <c r="H2779" s="74">
        <v>0.0</v>
      </c>
      <c r="I2779" s="74">
        <f t="shared" si="1"/>
        <v>130000</v>
      </c>
      <c r="J2779" s="74">
        <f>IF(E2779="SERVICE",I2779-(I2779*50%),Vlookup(E2779,DATABASE!C:Q,10,false)*F2779)</f>
        <v>10000</v>
      </c>
      <c r="K2779" s="74">
        <f>VLOOKUP(E2779,DATABASE!C:Q,7,false)</f>
        <v>0</v>
      </c>
      <c r="L2779" s="74">
        <v>0.0</v>
      </c>
      <c r="M2779" s="74">
        <f t="shared" si="2"/>
        <v>0</v>
      </c>
      <c r="N2779" s="74">
        <f t="shared" si="3"/>
        <v>120000</v>
      </c>
      <c r="O2779" s="65" t="str">
        <f>VLOOKUP(E2779,DATABASE!C:Q,8,false)</f>
        <v>IBU</v>
      </c>
      <c r="P2779" s="65">
        <f>VLOOKUP(E2779,DATABASE!C:Q,9,False)</f>
        <v>0</v>
      </c>
      <c r="Q2779" s="93" t="str">
        <f>VLOOKUP(E2779,DATABASE!C:Q,4,false)</f>
        <v>SPOORING</v>
      </c>
      <c r="R2779" s="93" t="str">
        <f>VLOOKUP(E2779,DATABASE!C:Q,11,false)</f>
        <v>SERVICE</v>
      </c>
    </row>
    <row r="2780" ht="22.5" customHeight="1">
      <c r="A2780" s="49"/>
      <c r="C2780" s="384">
        <v>45801.0</v>
      </c>
      <c r="D2780" s="65">
        <v>5800.0</v>
      </c>
      <c r="E2780" s="445" t="s">
        <v>256</v>
      </c>
      <c r="F2780" s="386">
        <v>1.0</v>
      </c>
      <c r="G2780" s="74">
        <v>130000.0</v>
      </c>
      <c r="H2780" s="74">
        <v>0.0</v>
      </c>
      <c r="I2780" s="74">
        <f t="shared" si="1"/>
        <v>130000</v>
      </c>
      <c r="J2780" s="74">
        <f>IF(E2780="SERVICE",I2780-(I2780*50%),Vlookup(E2780,DATABASE!C:Q,10,false)*F2780)</f>
        <v>10000</v>
      </c>
      <c r="K2780" s="74">
        <f>VLOOKUP(E2780,DATABASE!C:Q,7,false)</f>
        <v>0</v>
      </c>
      <c r="L2780" s="74">
        <v>0.0</v>
      </c>
      <c r="M2780" s="74">
        <f t="shared" si="2"/>
        <v>0</v>
      </c>
      <c r="N2780" s="74">
        <f t="shared" si="3"/>
        <v>120000</v>
      </c>
      <c r="O2780" s="65" t="str">
        <f>VLOOKUP(E2780,DATABASE!C:Q,8,false)</f>
        <v>IBU</v>
      </c>
      <c r="P2780" s="65">
        <f>VLOOKUP(E2780,DATABASE!C:Q,9,False)</f>
        <v>0</v>
      </c>
      <c r="Q2780" s="93" t="str">
        <f>VLOOKUP(E2780,DATABASE!C:Q,4,false)</f>
        <v>SPOORING</v>
      </c>
      <c r="R2780" s="93" t="str">
        <f>VLOOKUP(E2780,DATABASE!C:Q,11,false)</f>
        <v>SERVICE</v>
      </c>
    </row>
    <row r="2781" ht="22.5" customHeight="1">
      <c r="A2781" s="49"/>
      <c r="C2781" s="384">
        <v>45801.0</v>
      </c>
      <c r="D2781" s="65">
        <v>5801.0</v>
      </c>
      <c r="E2781" s="445" t="s">
        <v>275</v>
      </c>
      <c r="F2781" s="386">
        <v>2.0</v>
      </c>
      <c r="G2781" s="74">
        <v>850000.0</v>
      </c>
      <c r="H2781" s="74">
        <v>0.0</v>
      </c>
      <c r="I2781" s="74">
        <f t="shared" si="1"/>
        <v>1700000</v>
      </c>
      <c r="J2781" s="74">
        <f>IF(E2781="SERVICE",I2781-(I2781*50%),Vlookup(E2781,DATABASE!C:Q,10,false)*F2781)</f>
        <v>0</v>
      </c>
      <c r="K2781" s="74">
        <f>VLOOKUP(E2781,DATABASE!C:Q,7,false)</f>
        <v>782000</v>
      </c>
      <c r="L2781" s="74">
        <v>745000.0</v>
      </c>
      <c r="M2781" s="74">
        <f t="shared" si="2"/>
        <v>745000</v>
      </c>
      <c r="N2781" s="74">
        <f t="shared" si="3"/>
        <v>210000</v>
      </c>
      <c r="O2781" s="65" t="str">
        <f>VLOOKUP(E2781,DATABASE!C:Q,8,false)</f>
        <v>IBU</v>
      </c>
      <c r="P2781" s="65">
        <f>VLOOKUP(E2781,DATABASE!C:Q,9,False)</f>
        <v>1</v>
      </c>
      <c r="Q2781" s="93" t="str">
        <f>VLOOKUP(E2781,DATABASE!C:Q,4,false)</f>
        <v>Dunlop</v>
      </c>
      <c r="R2781" s="93" t="str">
        <f>VLOOKUP(E2781,DATABASE!C:Q,11,false)</f>
        <v>Tire</v>
      </c>
    </row>
    <row r="2782" ht="22.5" customHeight="1">
      <c r="A2782" s="49"/>
      <c r="C2782" s="384">
        <v>45802.0</v>
      </c>
      <c r="D2782" s="65">
        <v>5804.0</v>
      </c>
      <c r="E2782" s="445" t="s">
        <v>294</v>
      </c>
      <c r="F2782" s="386">
        <v>2.0</v>
      </c>
      <c r="G2782" s="74">
        <v>570000.0</v>
      </c>
      <c r="H2782" s="74">
        <v>0.0</v>
      </c>
      <c r="I2782" s="74">
        <f t="shared" si="1"/>
        <v>1140000</v>
      </c>
      <c r="J2782" s="74">
        <f>IF(E2782="SERVICE",I2782-(I2782*50%),Vlookup(E2782,DATABASE!C:Q,10,false)*F2782)</f>
        <v>0</v>
      </c>
      <c r="K2782" s="74">
        <f>VLOOKUP(E2782,DATABASE!C:Q,7,false)</f>
        <v>505000</v>
      </c>
      <c r="L2782" s="74">
        <v>490000.0</v>
      </c>
      <c r="M2782" s="74">
        <f t="shared" si="2"/>
        <v>490000</v>
      </c>
      <c r="N2782" s="74">
        <f t="shared" si="3"/>
        <v>160000</v>
      </c>
      <c r="O2782" s="65" t="str">
        <f>VLOOKUP(E2782,DATABASE!C:Q,8,false)</f>
        <v>BIAN</v>
      </c>
      <c r="P2782" s="65">
        <f>VLOOKUP(E2782,DATABASE!C:Q,9,False)</f>
        <v>1</v>
      </c>
      <c r="Q2782" s="93" t="str">
        <f>VLOOKUP(E2782,DATABASE!C:Q,4,false)</f>
        <v>GT</v>
      </c>
      <c r="R2782" s="93" t="str">
        <f>VLOOKUP(E2782,DATABASE!C:Q,11,false)</f>
        <v>Tire</v>
      </c>
    </row>
    <row r="2783" ht="22.5" customHeight="1">
      <c r="A2783" s="49"/>
      <c r="C2783" s="384">
        <v>45802.0</v>
      </c>
      <c r="D2783" s="65">
        <v>5806.0</v>
      </c>
      <c r="E2783" s="445" t="s">
        <v>614</v>
      </c>
      <c r="F2783" s="386">
        <v>1.0</v>
      </c>
      <c r="G2783" s="74">
        <v>870000.0</v>
      </c>
      <c r="H2783" s="74">
        <v>0.0</v>
      </c>
      <c r="I2783" s="74">
        <f t="shared" si="1"/>
        <v>870000</v>
      </c>
      <c r="J2783" s="74">
        <f>IF(E2783="SERVICE",I2783-(I2783*50%),Vlookup(E2783,DATABASE!C:Q,10,false)*F2783)</f>
        <v>0</v>
      </c>
      <c r="K2783" s="74">
        <f>VLOOKUP(E2783,DATABASE!C:Q,7,false)</f>
        <v>754660.6</v>
      </c>
      <c r="L2783" s="74">
        <v>766438.4</v>
      </c>
      <c r="M2783" s="74">
        <f t="shared" si="2"/>
        <v>770000</v>
      </c>
      <c r="N2783" s="74">
        <f t="shared" si="3"/>
        <v>100000</v>
      </c>
      <c r="O2783" s="65" t="str">
        <f>VLOOKUP(E2783,DATABASE!C:Q,8,false)</f>
        <v>IBU</v>
      </c>
      <c r="P2783" s="65">
        <f>VLOOKUP(E2783,DATABASE!C:Q,9,False)</f>
        <v>1</v>
      </c>
      <c r="Q2783" s="93" t="str">
        <f>VLOOKUP(E2783,DATABASE!C:Q,4,false)</f>
        <v>Bridgestone</v>
      </c>
      <c r="R2783" s="93" t="str">
        <f>VLOOKUP(E2783,DATABASE!C:Q,11,false)</f>
        <v>Tire</v>
      </c>
    </row>
    <row r="2784" ht="22.5" customHeight="1">
      <c r="A2784" s="49"/>
      <c r="C2784" s="384">
        <v>45802.0</v>
      </c>
      <c r="D2784" s="65">
        <v>5807.0</v>
      </c>
      <c r="E2784" s="445" t="s">
        <v>256</v>
      </c>
      <c r="F2784" s="386">
        <v>1.0</v>
      </c>
      <c r="G2784" s="74">
        <v>130000.0</v>
      </c>
      <c r="H2784" s="74">
        <v>0.0</v>
      </c>
      <c r="I2784" s="74">
        <f t="shared" si="1"/>
        <v>130000</v>
      </c>
      <c r="J2784" s="74">
        <f>IF(E2784="SERVICE",I2784-(I2784*50%),Vlookup(E2784,DATABASE!C:Q,10,false)*F2784)</f>
        <v>10000</v>
      </c>
      <c r="K2784" s="74">
        <f>VLOOKUP(E2784,DATABASE!C:Q,7,false)</f>
        <v>0</v>
      </c>
      <c r="L2784" s="74">
        <v>0.0</v>
      </c>
      <c r="M2784" s="74">
        <f t="shared" si="2"/>
        <v>0</v>
      </c>
      <c r="N2784" s="74">
        <f t="shared" si="3"/>
        <v>120000</v>
      </c>
      <c r="O2784" s="65" t="str">
        <f>VLOOKUP(E2784,DATABASE!C:Q,8,false)</f>
        <v>IBU</v>
      </c>
      <c r="P2784" s="65">
        <f>VLOOKUP(E2784,DATABASE!C:Q,9,False)</f>
        <v>0</v>
      </c>
      <c r="Q2784" s="93" t="str">
        <f>VLOOKUP(E2784,DATABASE!C:Q,4,false)</f>
        <v>SPOORING</v>
      </c>
      <c r="R2784" s="93" t="str">
        <f>VLOOKUP(E2784,DATABASE!C:Q,11,false)</f>
        <v>SERVICE</v>
      </c>
    </row>
    <row r="2785" ht="22.5" customHeight="1">
      <c r="A2785" s="49"/>
      <c r="C2785" s="384">
        <v>45802.0</v>
      </c>
      <c r="D2785" s="65">
        <v>5807.0</v>
      </c>
      <c r="E2785" s="385" t="s">
        <v>299</v>
      </c>
      <c r="F2785" s="386">
        <v>2.0</v>
      </c>
      <c r="G2785" s="74">
        <v>30000.0</v>
      </c>
      <c r="H2785" s="74">
        <v>0.0</v>
      </c>
      <c r="I2785" s="74">
        <f t="shared" si="1"/>
        <v>60000</v>
      </c>
      <c r="J2785" s="74">
        <f>IF(E2785="SERVICE",I2785-(I2785*50%),Vlookup(E2785,DATABASE!C:Q,10,false)*F2785)</f>
        <v>0</v>
      </c>
      <c r="K2785" s="74">
        <v>0.0</v>
      </c>
      <c r="L2785" s="74">
        <v>0.0</v>
      </c>
      <c r="M2785" s="74">
        <f t="shared" si="2"/>
        <v>0</v>
      </c>
      <c r="N2785" s="74">
        <f t="shared" si="3"/>
        <v>60000</v>
      </c>
      <c r="O2785" s="65" t="str">
        <f>VLOOKUP(E2785,DATABASE!C:Q,8,false)</f>
        <v>BIAN</v>
      </c>
      <c r="P2785" s="65">
        <f>VLOOKUP(E2785,DATABASE!C:Q,9,False)</f>
        <v>0</v>
      </c>
      <c r="Q2785" s="93" t="str">
        <f>VLOOKUP(E2785,DATABASE!C:Q,4,false)</f>
        <v>Balancing</v>
      </c>
      <c r="R2785" s="93" t="str">
        <f>VLOOKUP(E2785,DATABASE!C:Q,11,false)</f>
        <v>COMPLEMENTARY</v>
      </c>
    </row>
    <row r="2786" ht="22.5" customHeight="1">
      <c r="A2786" s="49"/>
      <c r="C2786" s="384">
        <v>45802.0</v>
      </c>
      <c r="D2786" s="65">
        <v>5807.0</v>
      </c>
      <c r="E2786" s="445" t="s">
        <v>301</v>
      </c>
      <c r="F2786" s="386">
        <v>1.0</v>
      </c>
      <c r="G2786" s="74">
        <v>250000.0</v>
      </c>
      <c r="H2786" s="74">
        <v>0.0</v>
      </c>
      <c r="I2786" s="74">
        <f t="shared" si="1"/>
        <v>250000</v>
      </c>
      <c r="J2786" s="74">
        <f>IF(E2786="SERVICE",I2786-(I2786*50%),Vlookup(E2786,DATABASE!C:Q,10,false)*F2786)</f>
        <v>75000</v>
      </c>
      <c r="K2786" s="74">
        <f>VLOOKUP(E2786,DATABASE!C:Q,7,false)</f>
        <v>75000</v>
      </c>
      <c r="L2786" s="74">
        <v>75000.0</v>
      </c>
      <c r="M2786" s="74">
        <f t="shared" si="2"/>
        <v>75000</v>
      </c>
      <c r="N2786" s="74">
        <f t="shared" si="3"/>
        <v>100000</v>
      </c>
      <c r="O2786" s="65" t="str">
        <f>VLOOKUP(E2786,DATABASE!C:Q,8,false)</f>
        <v>BIAN</v>
      </c>
      <c r="P2786" s="65">
        <f>VLOOKUP(E2786,DATABASE!C:Q,9,False)</f>
        <v>0</v>
      </c>
      <c r="Q2786" s="93" t="str">
        <f>VLOOKUP(E2786,DATABASE!C:Q,4,false)</f>
        <v>Baut Camber</v>
      </c>
      <c r="R2786" s="93" t="str">
        <f>VLOOKUP(E2786,DATABASE!C:Q,11,false)</f>
        <v>COMPLEMENTARY</v>
      </c>
    </row>
    <row r="2787" ht="22.5" customHeight="1">
      <c r="A2787" s="49"/>
      <c r="C2787" s="384">
        <v>45802.0</v>
      </c>
      <c r="D2787" s="65">
        <v>5808.0</v>
      </c>
      <c r="E2787" s="445" t="s">
        <v>286</v>
      </c>
      <c r="F2787" s="386">
        <v>1.0</v>
      </c>
      <c r="G2787" s="74">
        <v>530000.0</v>
      </c>
      <c r="H2787" s="74">
        <v>0.0</v>
      </c>
      <c r="I2787" s="74">
        <f t="shared" si="1"/>
        <v>530000</v>
      </c>
      <c r="J2787" s="74">
        <f>IF(E2787="SERVICE",I2787-(I2787*50%),Vlookup(E2787,DATABASE!C:Q,10,false)*F2787)</f>
        <v>0</v>
      </c>
      <c r="K2787" s="74">
        <f>VLOOKUP(E2787,DATABASE!C:Q,7,false)</f>
        <v>488320</v>
      </c>
      <c r="L2787" s="74">
        <v>452970.0</v>
      </c>
      <c r="M2787" s="74">
        <f t="shared" si="2"/>
        <v>455000</v>
      </c>
      <c r="N2787" s="74">
        <f t="shared" si="3"/>
        <v>75000</v>
      </c>
      <c r="O2787" s="65" t="str">
        <f>VLOOKUP(E2787,DATABASE!C:Q,8,false)</f>
        <v>BIAN</v>
      </c>
      <c r="P2787" s="65">
        <f>VLOOKUP(E2787,DATABASE!C:Q,9,False)</f>
        <v>1</v>
      </c>
      <c r="Q2787" s="93" t="str">
        <f>VLOOKUP(E2787,DATABASE!C:Q,4,false)</f>
        <v>GT</v>
      </c>
      <c r="R2787" s="93" t="str">
        <f>VLOOKUP(E2787,DATABASE!C:Q,11,false)</f>
        <v>Tire</v>
      </c>
    </row>
    <row r="2788" ht="22.5" customHeight="1">
      <c r="A2788" s="49"/>
      <c r="C2788" s="384">
        <v>45803.0</v>
      </c>
      <c r="D2788" s="65">
        <v>5811.0</v>
      </c>
      <c r="E2788" s="445" t="s">
        <v>1886</v>
      </c>
      <c r="F2788" s="386">
        <v>2.0</v>
      </c>
      <c r="G2788" s="74">
        <v>500000.0</v>
      </c>
      <c r="H2788" s="74">
        <v>0.0</v>
      </c>
      <c r="I2788" s="74">
        <f t="shared" si="1"/>
        <v>1000000</v>
      </c>
      <c r="J2788" s="74">
        <f>IF(E2788="SERVICE",I2788-(I2788*50%),Vlookup(E2788,DATABASE!C:Q,10,false)*F2788)</f>
        <v>0</v>
      </c>
      <c r="K2788" s="74">
        <f>VLOOKUP(E2788,DATABASE!C:Q,7,false)</f>
        <v>411100</v>
      </c>
      <c r="L2788" s="74">
        <v>411100.0</v>
      </c>
      <c r="M2788" s="74">
        <f t="shared" si="2"/>
        <v>415000</v>
      </c>
      <c r="N2788" s="74">
        <f t="shared" si="3"/>
        <v>170000</v>
      </c>
      <c r="O2788" s="65" t="str">
        <f>VLOOKUP(E2788,DATABASE!C:Q,8,false)</f>
        <v>BIAN</v>
      </c>
      <c r="P2788" s="65">
        <f>VLOOKUP(E2788,DATABASE!C:Q,9,False)</f>
        <v>1</v>
      </c>
      <c r="Q2788" s="93" t="str">
        <f>VLOOKUP(E2788,DATABASE!C:Q,4,false)</f>
        <v>GT</v>
      </c>
      <c r="R2788" s="93" t="str">
        <f>VLOOKUP(E2788,DATABASE!C:Q,11,false)</f>
        <v>Tire</v>
      </c>
    </row>
    <row r="2789" ht="22.5" customHeight="1">
      <c r="A2789" s="49"/>
      <c r="C2789" s="384">
        <v>45803.0</v>
      </c>
      <c r="D2789" s="65">
        <v>5812.0</v>
      </c>
      <c r="E2789" s="445" t="s">
        <v>265</v>
      </c>
      <c r="F2789" s="386">
        <v>2.0</v>
      </c>
      <c r="G2789" s="74">
        <v>700000.0</v>
      </c>
      <c r="H2789" s="74">
        <v>0.0</v>
      </c>
      <c r="I2789" s="74">
        <f t="shared" si="1"/>
        <v>1400000</v>
      </c>
      <c r="J2789" s="74">
        <f>IF(E2789="SERVICE",I2789-(I2789*50%),Vlookup(E2789,DATABASE!C:Q,10,false)*F2789)</f>
        <v>0</v>
      </c>
      <c r="K2789" s="74">
        <f>VLOOKUP(E2789,DATABASE!C:Q,7,false)</f>
        <v>628000</v>
      </c>
      <c r="L2789" s="74">
        <v>610000.0</v>
      </c>
      <c r="M2789" s="74">
        <f t="shared" si="2"/>
        <v>610000</v>
      </c>
      <c r="N2789" s="74">
        <f t="shared" si="3"/>
        <v>180000</v>
      </c>
      <c r="O2789" s="65" t="str">
        <f>VLOOKUP(E2789,DATABASE!C:Q,8,false)</f>
        <v>IBU</v>
      </c>
      <c r="P2789" s="65">
        <f>VLOOKUP(E2789,DATABASE!C:Q,9,False)</f>
        <v>1</v>
      </c>
      <c r="Q2789" s="93" t="str">
        <f>VLOOKUP(E2789,DATABASE!C:Q,4,false)</f>
        <v>Dunlop</v>
      </c>
      <c r="R2789" s="93" t="str">
        <f>VLOOKUP(E2789,DATABASE!C:Q,11,false)</f>
        <v>Tire</v>
      </c>
    </row>
    <row r="2790" ht="22.5" customHeight="1">
      <c r="A2790" s="49"/>
      <c r="C2790" s="384">
        <v>45803.0</v>
      </c>
      <c r="D2790" s="65">
        <v>5813.0</v>
      </c>
      <c r="E2790" s="445" t="s">
        <v>781</v>
      </c>
      <c r="F2790" s="386">
        <v>1.0</v>
      </c>
      <c r="G2790" s="74">
        <v>530000.0</v>
      </c>
      <c r="H2790" s="74">
        <v>0.0</v>
      </c>
      <c r="I2790" s="74">
        <f t="shared" si="1"/>
        <v>530000</v>
      </c>
      <c r="J2790" s="74">
        <f>IF(E2790="SERVICE",I2790-(I2790*50%),Vlookup(E2790,DATABASE!C:Q,10,false)*F2790)</f>
        <v>0</v>
      </c>
      <c r="K2790" s="74">
        <f>VLOOKUP(E2790,DATABASE!C:Q,7,false)</f>
        <v>470000</v>
      </c>
      <c r="L2790" s="74">
        <v>442500.0</v>
      </c>
      <c r="M2790" s="74">
        <f t="shared" si="2"/>
        <v>445000</v>
      </c>
      <c r="N2790" s="74">
        <f t="shared" si="3"/>
        <v>85000</v>
      </c>
      <c r="O2790" s="65" t="str">
        <f>VLOOKUP(E2790,DATABASE!C:Q,8,false)</f>
        <v>BIAN</v>
      </c>
      <c r="P2790" s="65">
        <f>VLOOKUP(E2790,DATABASE!C:Q,9,False)</f>
        <v>1</v>
      </c>
      <c r="Q2790" s="93" t="str">
        <f>VLOOKUP(E2790,DATABASE!C:Q,4,false)</f>
        <v>GT</v>
      </c>
      <c r="R2790" s="93" t="str">
        <f>VLOOKUP(E2790,DATABASE!C:Q,11,false)</f>
        <v>Tire</v>
      </c>
    </row>
    <row r="2791" ht="22.5" customHeight="1">
      <c r="A2791" s="49"/>
      <c r="C2791" s="384">
        <v>45803.0</v>
      </c>
      <c r="D2791" s="65">
        <v>5814.0</v>
      </c>
      <c r="E2791" s="445" t="s">
        <v>256</v>
      </c>
      <c r="F2791" s="386">
        <v>1.0</v>
      </c>
      <c r="G2791" s="74">
        <v>110000.0</v>
      </c>
      <c r="H2791" s="74">
        <v>0.0</v>
      </c>
      <c r="I2791" s="74">
        <f t="shared" si="1"/>
        <v>110000</v>
      </c>
      <c r="J2791" s="74">
        <f>IF(E2791="SERVICE",I2791-(I2791*50%),Vlookup(E2791,DATABASE!C:Q,10,false)*F2791)</f>
        <v>10000</v>
      </c>
      <c r="K2791" s="74">
        <f>VLOOKUP(E2791,DATABASE!C:Q,7,false)</f>
        <v>0</v>
      </c>
      <c r="L2791" s="74">
        <v>0.0</v>
      </c>
      <c r="M2791" s="74">
        <f t="shared" si="2"/>
        <v>0</v>
      </c>
      <c r="N2791" s="74">
        <f t="shared" si="3"/>
        <v>100000</v>
      </c>
      <c r="O2791" s="65" t="str">
        <f>VLOOKUP(E2791,DATABASE!C:Q,8,false)</f>
        <v>IBU</v>
      </c>
      <c r="P2791" s="65">
        <f>VLOOKUP(E2791,DATABASE!C:Q,9,False)</f>
        <v>0</v>
      </c>
      <c r="Q2791" s="93" t="str">
        <f>VLOOKUP(E2791,DATABASE!C:Q,4,false)</f>
        <v>SPOORING</v>
      </c>
      <c r="R2791" s="93" t="str">
        <f>VLOOKUP(E2791,DATABASE!C:Q,11,false)</f>
        <v>SERVICE</v>
      </c>
    </row>
    <row r="2792" ht="22.5" customHeight="1">
      <c r="A2792" s="49"/>
      <c r="C2792" s="384">
        <v>45803.0</v>
      </c>
      <c r="D2792" s="65">
        <v>5814.0</v>
      </c>
      <c r="E2792" s="445" t="s">
        <v>478</v>
      </c>
      <c r="F2792" s="386">
        <v>1.0</v>
      </c>
      <c r="G2792" s="74">
        <v>200000.0</v>
      </c>
      <c r="H2792" s="74">
        <v>0.0</v>
      </c>
      <c r="I2792" s="74">
        <f t="shared" si="1"/>
        <v>200000</v>
      </c>
      <c r="J2792" s="74">
        <f>IF(E2792="SERVICE",I2792-(I2792*50%),Vlookup(E2792,DATABASE!C:Q,10,false)*F2792)</f>
        <v>25000</v>
      </c>
      <c r="K2792" s="74">
        <f>VLOOKUP(E2792,DATABASE!C:Q,7,false)</f>
        <v>75000</v>
      </c>
      <c r="L2792" s="74">
        <v>75000.0</v>
      </c>
      <c r="M2792" s="74">
        <f t="shared" si="2"/>
        <v>75000</v>
      </c>
      <c r="N2792" s="74">
        <f t="shared" si="3"/>
        <v>100000</v>
      </c>
      <c r="O2792" s="65" t="str">
        <f>VLOOKUP(E2792,DATABASE!C:Q,8,false)</f>
        <v>BIAN</v>
      </c>
      <c r="P2792" s="65">
        <f>VLOOKUP(E2792,DATABASE!C:Q,9,False)</f>
        <v>0</v>
      </c>
      <c r="Q2792" s="93" t="str">
        <f>VLOOKUP(E2792,DATABASE!C:Q,4,false)</f>
        <v>Baut Camber ss-carry</v>
      </c>
      <c r="R2792" s="93" t="str">
        <f>VLOOKUP(E2792,DATABASE!C:Q,11,false)</f>
        <v>COMPLEMENTARY</v>
      </c>
    </row>
    <row r="2793" ht="22.5" customHeight="1">
      <c r="A2793" s="49"/>
      <c r="C2793" s="384">
        <v>45803.0</v>
      </c>
      <c r="D2793" s="65">
        <v>5815.0</v>
      </c>
      <c r="E2793" s="445" t="s">
        <v>1862</v>
      </c>
      <c r="F2793" s="386">
        <v>1.0</v>
      </c>
      <c r="G2793" s="74">
        <v>2125000.0</v>
      </c>
      <c r="H2793" s="74">
        <v>0.0</v>
      </c>
      <c r="I2793" s="74">
        <f t="shared" si="1"/>
        <v>2125000</v>
      </c>
      <c r="J2793" s="74">
        <f>IF(E2793="SERVICE",I2793-(I2793*50%),Vlookup(E2793,DATABASE!C:Q,10,false)*F2793)</f>
        <v>0</v>
      </c>
      <c r="K2793" s="74">
        <f>VLOOKUP(E2793,DATABASE!C:Q,7,false)</f>
        <v>2080000</v>
      </c>
      <c r="L2793" s="74">
        <v>2050000.0</v>
      </c>
      <c r="M2793" s="74">
        <f t="shared" si="2"/>
        <v>2050000</v>
      </c>
      <c r="N2793" s="74">
        <f t="shared" si="3"/>
        <v>75000</v>
      </c>
      <c r="O2793" s="65" t="str">
        <f>VLOOKUP(E2793,DATABASE!C:Q,8,false)</f>
        <v>BIAN</v>
      </c>
      <c r="P2793" s="65">
        <f>VLOOKUP(E2793,DATABASE!C:Q,9,False)</f>
        <v>1</v>
      </c>
      <c r="Q2793" s="93" t="str">
        <f>VLOOKUP(E2793,DATABASE!C:Q,4,false)</f>
        <v>GiTi</v>
      </c>
      <c r="R2793" s="93" t="str">
        <f>VLOOKUP(E2793,DATABASE!C:Q,11,false)</f>
        <v>Tire</v>
      </c>
    </row>
    <row r="2794" ht="22.5" customHeight="1">
      <c r="A2794" s="49"/>
      <c r="C2794" s="384">
        <v>45803.0</v>
      </c>
      <c r="D2794" s="65">
        <v>5815.0</v>
      </c>
      <c r="E2794" s="657" t="s">
        <v>2236</v>
      </c>
      <c r="F2794" s="386">
        <v>1.0</v>
      </c>
      <c r="G2794" s="74">
        <v>900000.0</v>
      </c>
      <c r="H2794" s="74">
        <v>0.0</v>
      </c>
      <c r="I2794" s="74">
        <f t="shared" si="1"/>
        <v>900000</v>
      </c>
      <c r="J2794" s="74">
        <f>IF(E2794="SERVICE",I2794-(I2794*50%),Vlookup(E2794,DATABASE!C:Q,10,false)*F2794)</f>
        <v>0</v>
      </c>
      <c r="K2794" s="74">
        <f>VLOOKUP(E2794,DATABASE!C:Q,7,false)</f>
        <v>775000</v>
      </c>
      <c r="L2794" s="74">
        <v>775000.0</v>
      </c>
      <c r="M2794" s="74">
        <f t="shared" si="2"/>
        <v>775000</v>
      </c>
      <c r="N2794" s="74">
        <f t="shared" si="3"/>
        <v>125000</v>
      </c>
      <c r="O2794" s="65" t="str">
        <f>VLOOKUP(E2794,DATABASE!C:Q,8,false)</f>
        <v>BIAN</v>
      </c>
      <c r="P2794" s="65">
        <f>VLOOKUP(E2794,DATABASE!C:Q,9,False)</f>
        <v>0</v>
      </c>
      <c r="Q2794" s="93" t="str">
        <f>VLOOKUP(E2794,DATABASE!C:Q,4,false)</f>
        <v>VELG</v>
      </c>
      <c r="R2794" s="93" t="str">
        <f>VLOOKUP(E2794,DATABASE!C:Q,11,false)</f>
        <v>COMPLEMENTARY</v>
      </c>
    </row>
    <row r="2795" ht="22.5" customHeight="1">
      <c r="A2795" s="49"/>
      <c r="C2795" s="384">
        <v>45803.0</v>
      </c>
      <c r="D2795" s="65">
        <v>5816.0</v>
      </c>
      <c r="E2795" s="445" t="s">
        <v>566</v>
      </c>
      <c r="F2795" s="386">
        <v>2.0</v>
      </c>
      <c r="G2795" s="74">
        <v>1670000.0</v>
      </c>
      <c r="H2795" s="74">
        <v>0.0</v>
      </c>
      <c r="I2795" s="74">
        <f t="shared" si="1"/>
        <v>3340000</v>
      </c>
      <c r="J2795" s="74">
        <f>IF(E2795="SERVICE",I2795-(I2795*50%),Vlookup(E2795,DATABASE!C:Q,10,false)*F2795)</f>
        <v>0</v>
      </c>
      <c r="K2795" s="140">
        <v>1570000.0</v>
      </c>
      <c r="L2795" s="140">
        <v>1570000.0</v>
      </c>
      <c r="M2795" s="74">
        <f t="shared" si="2"/>
        <v>1570000</v>
      </c>
      <c r="N2795" s="74">
        <f t="shared" si="3"/>
        <v>200000</v>
      </c>
      <c r="O2795" s="65" t="str">
        <f>VLOOKUP(E2795,DATABASE!C:Q,8,false)</f>
        <v>IBU</v>
      </c>
      <c r="P2795" s="65">
        <f>VLOOKUP(E2795,DATABASE!C:Q,9,False)</f>
        <v>1</v>
      </c>
      <c r="Q2795" s="93" t="str">
        <f>VLOOKUP(E2795,DATABASE!C:Q,4,false)</f>
        <v>Bridgestone</v>
      </c>
      <c r="R2795" s="93" t="str">
        <f>VLOOKUP(E2795,DATABASE!C:Q,11,false)</f>
        <v>Tire</v>
      </c>
    </row>
    <row r="2796" ht="22.5" customHeight="1">
      <c r="A2796" s="49"/>
      <c r="C2796" s="384">
        <v>45803.0</v>
      </c>
      <c r="D2796" s="65">
        <v>5816.0</v>
      </c>
      <c r="E2796" s="445" t="s">
        <v>737</v>
      </c>
      <c r="F2796" s="386">
        <v>2.0</v>
      </c>
      <c r="G2796" s="74">
        <v>270000.0</v>
      </c>
      <c r="H2796" s="74">
        <v>0.0</v>
      </c>
      <c r="I2796" s="74">
        <f t="shared" si="1"/>
        <v>540000</v>
      </c>
      <c r="J2796" s="74">
        <f>IF(E2796="SERVICE",I2796-(I2796*50%),Vlookup(E2796,DATABASE!C:Q,10,false)*F2796)</f>
        <v>0</v>
      </c>
      <c r="K2796" s="74">
        <f>VLOOKUP(E2796,DATABASE!C:Q,7,false)</f>
        <v>241001.6</v>
      </c>
      <c r="L2796" s="74">
        <v>237440.0</v>
      </c>
      <c r="M2796" s="74">
        <f t="shared" si="2"/>
        <v>240000</v>
      </c>
      <c r="N2796" s="74">
        <f t="shared" si="3"/>
        <v>60000</v>
      </c>
      <c r="O2796" s="65" t="str">
        <f>VLOOKUP(E2796,DATABASE!C:Q,8,false)</f>
        <v>IBU</v>
      </c>
      <c r="P2796" s="65">
        <f>VLOOKUP(E2796,DATABASE!C:Q,9,False)</f>
        <v>1</v>
      </c>
      <c r="Q2796" s="93" t="str">
        <f>VLOOKUP(E2796,DATABASE!C:Q,4,false)</f>
        <v>BD</v>
      </c>
      <c r="R2796" s="93" t="str">
        <f>VLOOKUP(E2796,DATABASE!C:Q,11,false)</f>
        <v>Tire</v>
      </c>
    </row>
    <row r="2797" ht="22.5" customHeight="1">
      <c r="A2797" s="49"/>
      <c r="C2797" s="384">
        <v>45803.0</v>
      </c>
      <c r="D2797" s="65">
        <v>5816.0</v>
      </c>
      <c r="E2797" s="445" t="s">
        <v>1714</v>
      </c>
      <c r="F2797" s="386">
        <v>2.0</v>
      </c>
      <c r="G2797" s="74">
        <v>160000.0</v>
      </c>
      <c r="H2797" s="74">
        <v>0.0</v>
      </c>
      <c r="I2797" s="74">
        <f t="shared" si="1"/>
        <v>320000</v>
      </c>
      <c r="J2797" s="74">
        <f>IF(E2797="SERVICE",I2797-(I2797*50%),Vlookup(E2797,DATABASE!C:Q,10,false)*F2797)</f>
        <v>0</v>
      </c>
      <c r="K2797" s="74">
        <f>VLOOKUP(E2797,DATABASE!C:Q,7,false)</f>
        <v>140000</v>
      </c>
      <c r="L2797" s="74">
        <v>140000.0</v>
      </c>
      <c r="M2797" s="74">
        <f t="shared" si="2"/>
        <v>140000</v>
      </c>
      <c r="N2797" s="74">
        <f t="shared" si="3"/>
        <v>40000</v>
      </c>
      <c r="O2797" s="65" t="str">
        <f>VLOOKUP(E2797,DATABASE!C:Q,8,false)</f>
        <v>IBU</v>
      </c>
      <c r="P2797" s="65">
        <f>VLOOKUP(E2797,DATABASE!C:Q,9,False)</f>
        <v>1</v>
      </c>
      <c r="Q2797" s="93" t="str">
        <f>VLOOKUP(E2797,DATABASE!C:Q,4,false)</f>
        <v>Flap</v>
      </c>
      <c r="R2797" s="93" t="str">
        <f>VLOOKUP(E2797,DATABASE!C:Q,11,false)</f>
        <v>Tire</v>
      </c>
    </row>
    <row r="2798" ht="22.5" customHeight="1">
      <c r="A2798" s="49"/>
      <c r="C2798" s="384">
        <v>45803.0</v>
      </c>
      <c r="D2798" s="65">
        <v>5817.0</v>
      </c>
      <c r="E2798" s="445" t="s">
        <v>265</v>
      </c>
      <c r="F2798" s="386">
        <v>2.0</v>
      </c>
      <c r="G2798" s="74">
        <v>685000.0</v>
      </c>
      <c r="H2798" s="74">
        <v>0.0</v>
      </c>
      <c r="I2798" s="74">
        <f t="shared" si="1"/>
        <v>1370000</v>
      </c>
      <c r="J2798" s="74">
        <f>IF(E2798="SERVICE",I2798-(I2798*50%),Vlookup(E2798,DATABASE!C:Q,10,false)*F2798)</f>
        <v>0</v>
      </c>
      <c r="K2798" s="74">
        <f>VLOOKUP(E2798,DATABASE!C:Q,7,false)</f>
        <v>628000</v>
      </c>
      <c r="L2798" s="74">
        <v>610000.0</v>
      </c>
      <c r="M2798" s="74">
        <f t="shared" si="2"/>
        <v>610000</v>
      </c>
      <c r="N2798" s="74">
        <f t="shared" si="3"/>
        <v>150000</v>
      </c>
      <c r="O2798" s="65" t="str">
        <f>VLOOKUP(E2798,DATABASE!C:Q,8,false)</f>
        <v>IBU</v>
      </c>
      <c r="P2798" s="65">
        <f>VLOOKUP(E2798,DATABASE!C:Q,9,False)</f>
        <v>1</v>
      </c>
      <c r="Q2798" s="93" t="str">
        <f>VLOOKUP(E2798,DATABASE!C:Q,4,false)</f>
        <v>Dunlop</v>
      </c>
      <c r="R2798" s="93" t="str">
        <f>VLOOKUP(E2798,DATABASE!C:Q,11,false)</f>
        <v>Tire</v>
      </c>
    </row>
    <row r="2799" ht="22.5" customHeight="1">
      <c r="A2799" s="49"/>
      <c r="C2799" s="384">
        <v>45803.0</v>
      </c>
      <c r="D2799" s="65">
        <v>5818.0</v>
      </c>
      <c r="E2799" s="445" t="s">
        <v>256</v>
      </c>
      <c r="F2799" s="386">
        <v>1.0</v>
      </c>
      <c r="G2799" s="74">
        <v>130000.0</v>
      </c>
      <c r="H2799" s="74">
        <v>0.0</v>
      </c>
      <c r="I2799" s="74">
        <f t="shared" si="1"/>
        <v>130000</v>
      </c>
      <c r="J2799" s="74">
        <f>IF(E2799="SERVICE",I2799-(I2799*50%),Vlookup(E2799,DATABASE!C:Q,10,false)*F2799)</f>
        <v>10000</v>
      </c>
      <c r="K2799" s="74">
        <f>VLOOKUP(E2799,DATABASE!C:Q,7,false)</f>
        <v>0</v>
      </c>
      <c r="L2799" s="74">
        <v>0.0</v>
      </c>
      <c r="M2799" s="74">
        <f t="shared" si="2"/>
        <v>0</v>
      </c>
      <c r="N2799" s="74">
        <f t="shared" si="3"/>
        <v>120000</v>
      </c>
      <c r="O2799" s="65" t="str">
        <f>VLOOKUP(E2799,DATABASE!C:Q,8,false)</f>
        <v>IBU</v>
      </c>
      <c r="P2799" s="65">
        <f>VLOOKUP(E2799,DATABASE!C:Q,9,False)</f>
        <v>0</v>
      </c>
      <c r="Q2799" s="93" t="str">
        <f>VLOOKUP(E2799,DATABASE!C:Q,4,false)</f>
        <v>SPOORING</v>
      </c>
      <c r="R2799" s="93" t="str">
        <f>VLOOKUP(E2799,DATABASE!C:Q,11,false)</f>
        <v>SERVICE</v>
      </c>
    </row>
    <row r="2800" ht="22.5" customHeight="1">
      <c r="A2800" s="49"/>
      <c r="C2800" s="384">
        <v>45803.0</v>
      </c>
      <c r="D2800" s="65">
        <v>5818.0</v>
      </c>
      <c r="E2800" s="445" t="s">
        <v>251</v>
      </c>
      <c r="F2800" s="386">
        <v>1.0</v>
      </c>
      <c r="G2800" s="74">
        <v>150000.0</v>
      </c>
      <c r="H2800" s="74">
        <v>0.0</v>
      </c>
      <c r="I2800" s="74">
        <f t="shared" si="1"/>
        <v>150000</v>
      </c>
      <c r="J2800" s="74">
        <f>IF(E2800="SERVICE",I2800-(I2800*50%),Vlookup(E2800,DATABASE!C:Q,10,false)*F2800)</f>
        <v>75000</v>
      </c>
      <c r="K2800" s="74">
        <f>VLOOKUP(E2800,DATABASE!C:Q,7,false)</f>
        <v>0</v>
      </c>
      <c r="L2800" s="74">
        <v>0.0</v>
      </c>
      <c r="M2800" s="74">
        <f t="shared" si="2"/>
        <v>0</v>
      </c>
      <c r="N2800" s="74">
        <f t="shared" si="3"/>
        <v>75000</v>
      </c>
      <c r="O2800" s="65" t="str">
        <f>VLOOKUP(E2800,DATABASE!C:Q,8,false)</f>
        <v>IBU</v>
      </c>
      <c r="P2800" s="65">
        <f>VLOOKUP(E2800,DATABASE!C:Q,9,False)</f>
        <v>0</v>
      </c>
      <c r="Q2800" s="93" t="str">
        <f>VLOOKUP(E2800,DATABASE!C:Q,4,false)</f>
        <v>SERVICE</v>
      </c>
      <c r="R2800" s="93" t="str">
        <f>VLOOKUP(E2800,DATABASE!C:Q,11,false)</f>
        <v>SERVICE</v>
      </c>
    </row>
    <row r="2801" ht="22.5" customHeight="1">
      <c r="A2801" s="49"/>
      <c r="C2801" s="384">
        <v>45803.0</v>
      </c>
      <c r="D2801" s="65">
        <v>5819.0</v>
      </c>
      <c r="E2801" s="385" t="s">
        <v>299</v>
      </c>
      <c r="F2801" s="386">
        <v>2.0</v>
      </c>
      <c r="G2801" s="74">
        <v>30000.0</v>
      </c>
      <c r="H2801" s="74">
        <v>0.0</v>
      </c>
      <c r="I2801" s="74">
        <f t="shared" si="1"/>
        <v>60000</v>
      </c>
      <c r="J2801" s="74">
        <f>IF(E2801="SERVICE",I2801-(I2801*50%),Vlookup(E2801,DATABASE!C:Q,10,false)*F2801)</f>
        <v>0</v>
      </c>
      <c r="K2801" s="74">
        <v>0.0</v>
      </c>
      <c r="L2801" s="74">
        <v>0.0</v>
      </c>
      <c r="M2801" s="74">
        <f t="shared" si="2"/>
        <v>0</v>
      </c>
      <c r="N2801" s="74">
        <f t="shared" si="3"/>
        <v>60000</v>
      </c>
      <c r="O2801" s="65" t="str">
        <f>VLOOKUP(E2801,DATABASE!C:Q,8,false)</f>
        <v>BIAN</v>
      </c>
      <c r="P2801" s="65">
        <f>VLOOKUP(E2801,DATABASE!C:Q,9,False)</f>
        <v>0</v>
      </c>
      <c r="Q2801" s="93" t="str">
        <f>VLOOKUP(E2801,DATABASE!C:Q,4,false)</f>
        <v>Balancing</v>
      </c>
      <c r="R2801" s="93" t="str">
        <f>VLOOKUP(E2801,DATABASE!C:Q,11,false)</f>
        <v>COMPLEMENTARY</v>
      </c>
    </row>
    <row r="2802" ht="22.5" customHeight="1">
      <c r="A2802" s="49"/>
      <c r="C2802" s="384">
        <v>45803.0</v>
      </c>
      <c r="D2802" s="65">
        <v>5820.0</v>
      </c>
      <c r="E2802" s="445" t="s">
        <v>256</v>
      </c>
      <c r="F2802" s="386">
        <v>1.0</v>
      </c>
      <c r="G2802" s="74">
        <v>130000.0</v>
      </c>
      <c r="H2802" s="74">
        <v>0.0</v>
      </c>
      <c r="I2802" s="74">
        <f t="shared" si="1"/>
        <v>130000</v>
      </c>
      <c r="J2802" s="74">
        <f>IF(E2802="SERVICE",I2802-(I2802*50%),Vlookup(E2802,DATABASE!C:Q,10,false)*F2802)</f>
        <v>10000</v>
      </c>
      <c r="K2802" s="74">
        <f>VLOOKUP(E2802,DATABASE!C:Q,7,false)</f>
        <v>0</v>
      </c>
      <c r="L2802" s="74">
        <v>0.0</v>
      </c>
      <c r="M2802" s="74">
        <f t="shared" si="2"/>
        <v>0</v>
      </c>
      <c r="N2802" s="74">
        <f t="shared" si="3"/>
        <v>120000</v>
      </c>
      <c r="O2802" s="65" t="str">
        <f>VLOOKUP(E2802,DATABASE!C:Q,8,false)</f>
        <v>IBU</v>
      </c>
      <c r="P2802" s="65">
        <f>VLOOKUP(E2802,DATABASE!C:Q,9,False)</f>
        <v>0</v>
      </c>
      <c r="Q2802" s="93" t="str">
        <f>VLOOKUP(E2802,DATABASE!C:Q,4,false)</f>
        <v>SPOORING</v>
      </c>
      <c r="R2802" s="93" t="str">
        <f>VLOOKUP(E2802,DATABASE!C:Q,11,false)</f>
        <v>SERVICE</v>
      </c>
    </row>
    <row r="2803" ht="22.5" customHeight="1">
      <c r="A2803" s="49"/>
      <c r="C2803" s="384">
        <v>45803.0</v>
      </c>
      <c r="D2803" s="65">
        <v>5822.0</v>
      </c>
      <c r="E2803" s="445" t="s">
        <v>268</v>
      </c>
      <c r="F2803" s="386">
        <v>2.0</v>
      </c>
      <c r="G2803" s="74">
        <v>720000.0</v>
      </c>
      <c r="H2803" s="74">
        <v>0.0</v>
      </c>
      <c r="I2803" s="74">
        <f t="shared" si="1"/>
        <v>1440000</v>
      </c>
      <c r="J2803" s="74">
        <f>IF(E2803="SERVICE",I2803-(I2803*50%),Vlookup(E2803,DATABASE!C:Q,10,false)*F2803)</f>
        <v>0</v>
      </c>
      <c r="K2803" s="74">
        <f>VLOOKUP(E2803,DATABASE!C:Q,7,false)</f>
        <v>653000</v>
      </c>
      <c r="L2803" s="74">
        <v>622000.0</v>
      </c>
      <c r="M2803" s="74">
        <f t="shared" si="2"/>
        <v>625000</v>
      </c>
      <c r="N2803" s="74">
        <f t="shared" si="3"/>
        <v>190000</v>
      </c>
      <c r="O2803" s="65" t="str">
        <f>VLOOKUP(E2803,DATABASE!C:Q,8,false)</f>
        <v>IBU</v>
      </c>
      <c r="P2803" s="65">
        <f>VLOOKUP(E2803,DATABASE!C:Q,9,False)</f>
        <v>1</v>
      </c>
      <c r="Q2803" s="93" t="str">
        <f>VLOOKUP(E2803,DATABASE!C:Q,4,false)</f>
        <v>Dunlop</v>
      </c>
      <c r="R2803" s="93" t="str">
        <f>VLOOKUP(E2803,DATABASE!C:Q,11,false)</f>
        <v>Tire</v>
      </c>
    </row>
    <row r="2804" ht="22.5" customHeight="1">
      <c r="A2804" s="49"/>
      <c r="C2804" s="384">
        <v>45803.0</v>
      </c>
      <c r="D2804" s="65">
        <v>5823.0</v>
      </c>
      <c r="E2804" s="445" t="s">
        <v>262</v>
      </c>
      <c r="F2804" s="386">
        <v>1.0</v>
      </c>
      <c r="G2804" s="74">
        <v>110000.0</v>
      </c>
      <c r="H2804" s="74">
        <v>0.0</v>
      </c>
      <c r="I2804" s="74">
        <f t="shared" si="1"/>
        <v>110000</v>
      </c>
      <c r="J2804" s="74">
        <f>IF(E2804="SERVICE",I2804-(I2804*50%),Vlookup(E2804,DATABASE!C:Q,10,false)*F2804)</f>
        <v>5000</v>
      </c>
      <c r="K2804" s="74">
        <f>VLOOKUP(E2804,DATABASE!C:Q,7,false)</f>
        <v>0</v>
      </c>
      <c r="L2804" s="74">
        <v>0.0</v>
      </c>
      <c r="M2804" s="74">
        <f t="shared" si="2"/>
        <v>0</v>
      </c>
      <c r="N2804" s="74">
        <f t="shared" si="3"/>
        <v>105000</v>
      </c>
      <c r="O2804" s="65" t="str">
        <f>VLOOKUP(E2804,DATABASE!C:Q,8,false)</f>
        <v>IBU</v>
      </c>
      <c r="P2804" s="65">
        <f>VLOOKUP(E2804,DATABASE!C:Q,9,False)</f>
        <v>0</v>
      </c>
      <c r="Q2804" s="93" t="str">
        <f>VLOOKUP(E2804,DATABASE!C:Q,4,false)</f>
        <v>SPOORING SS/CARRY LOS BAK</v>
      </c>
      <c r="R2804" s="93" t="str">
        <f>VLOOKUP(E2804,DATABASE!C:Q,11,false)</f>
        <v>SERVICE</v>
      </c>
    </row>
    <row r="2805" ht="22.5" customHeight="1">
      <c r="A2805" s="49"/>
      <c r="C2805" s="384">
        <v>45804.0</v>
      </c>
      <c r="D2805" s="65">
        <v>5824.0</v>
      </c>
      <c r="E2805" s="445" t="s">
        <v>591</v>
      </c>
      <c r="F2805" s="386">
        <v>4.0</v>
      </c>
      <c r="G2805" s="74">
        <v>750000.0</v>
      </c>
      <c r="H2805" s="74">
        <v>0.0</v>
      </c>
      <c r="I2805" s="74">
        <f t="shared" si="1"/>
        <v>3000000</v>
      </c>
      <c r="J2805" s="74">
        <f>IF(E2805="SERVICE",I2805-(I2805*50%),Vlookup(E2805,DATABASE!C:Q,10,false)*F2805)</f>
        <v>0</v>
      </c>
      <c r="K2805" s="74">
        <f>VLOOKUP(E2805,DATABASE!C:Q,7,false)</f>
        <v>633035.16</v>
      </c>
      <c r="L2805" s="74">
        <v>593488.4</v>
      </c>
      <c r="M2805" s="74">
        <f t="shared" si="2"/>
        <v>595000</v>
      </c>
      <c r="N2805" s="74">
        <f t="shared" si="3"/>
        <v>620000</v>
      </c>
      <c r="O2805" s="65" t="str">
        <f>VLOOKUP(E2805,DATABASE!C:Q,8,false)</f>
        <v>IBU</v>
      </c>
      <c r="P2805" s="65">
        <f>VLOOKUP(E2805,DATABASE!C:Q,9,False)</f>
        <v>1</v>
      </c>
      <c r="Q2805" s="93" t="str">
        <f>VLOOKUP(E2805,DATABASE!C:Q,4,false)</f>
        <v>Bridgestone</v>
      </c>
      <c r="R2805" s="93" t="str">
        <f>VLOOKUP(E2805,DATABASE!C:Q,11,false)</f>
        <v>Tire</v>
      </c>
    </row>
    <row r="2806" ht="22.5" customHeight="1">
      <c r="A2806" s="49"/>
      <c r="C2806" s="384">
        <v>45804.0</v>
      </c>
      <c r="D2806" s="65">
        <v>5826.0</v>
      </c>
      <c r="E2806" s="445" t="s">
        <v>268</v>
      </c>
      <c r="F2806" s="386">
        <v>1.0</v>
      </c>
      <c r="G2806" s="74">
        <v>720000.0</v>
      </c>
      <c r="H2806" s="74">
        <v>0.0</v>
      </c>
      <c r="I2806" s="74">
        <f t="shared" si="1"/>
        <v>720000</v>
      </c>
      <c r="J2806" s="74">
        <f>IF(E2806="SERVICE",I2806-(I2806*50%),Vlookup(E2806,DATABASE!C:Q,10,false)*F2806)</f>
        <v>0</v>
      </c>
      <c r="K2806" s="74">
        <f>VLOOKUP(E2806,DATABASE!C:Q,7,false)</f>
        <v>653000</v>
      </c>
      <c r="L2806" s="74">
        <v>622000.0</v>
      </c>
      <c r="M2806" s="74">
        <f t="shared" si="2"/>
        <v>625000</v>
      </c>
      <c r="N2806" s="74">
        <f t="shared" si="3"/>
        <v>95000</v>
      </c>
      <c r="O2806" s="65" t="str">
        <f>VLOOKUP(E2806,DATABASE!C:Q,8,false)</f>
        <v>IBU</v>
      </c>
      <c r="P2806" s="65">
        <f>VLOOKUP(E2806,DATABASE!C:Q,9,False)</f>
        <v>1</v>
      </c>
      <c r="Q2806" s="93" t="str">
        <f>VLOOKUP(E2806,DATABASE!C:Q,4,false)</f>
        <v>Dunlop</v>
      </c>
      <c r="R2806" s="93" t="str">
        <f>VLOOKUP(E2806,DATABASE!C:Q,11,false)</f>
        <v>Tire</v>
      </c>
    </row>
    <row r="2807" ht="22.5" customHeight="1">
      <c r="A2807" s="49"/>
      <c r="C2807" s="384">
        <v>45804.0</v>
      </c>
      <c r="D2807" s="65">
        <v>5827.0</v>
      </c>
      <c r="E2807" s="445" t="s">
        <v>1002</v>
      </c>
      <c r="F2807" s="386">
        <v>1.0</v>
      </c>
      <c r="G2807" s="74">
        <v>1500000.0</v>
      </c>
      <c r="H2807" s="74">
        <v>0.0</v>
      </c>
      <c r="I2807" s="74">
        <f t="shared" si="1"/>
        <v>1500000</v>
      </c>
      <c r="J2807" s="74">
        <f>IF(E2807="SERVICE",I2807-(I2807*50%),Vlookup(E2807,DATABASE!C:Q,10,false)*F2807)</f>
        <v>0</v>
      </c>
      <c r="K2807" s="74">
        <f>VLOOKUP(E2807,DATABASE!C:Q,7,false)</f>
        <v>1447000</v>
      </c>
      <c r="L2807" s="74">
        <v>1447000.0</v>
      </c>
      <c r="M2807" s="74">
        <f t="shared" si="2"/>
        <v>1450000</v>
      </c>
      <c r="N2807" s="74">
        <f t="shared" si="3"/>
        <v>50000</v>
      </c>
      <c r="O2807" s="65" t="str">
        <f>VLOOKUP(E2807,DATABASE!C:Q,8,false)</f>
        <v>IBU</v>
      </c>
      <c r="P2807" s="65">
        <f>VLOOKUP(E2807,DATABASE!C:Q,9,False)</f>
        <v>1</v>
      </c>
      <c r="Q2807" s="93" t="str">
        <f>VLOOKUP(E2807,DATABASE!C:Q,4,false)</f>
        <v>Dunlop</v>
      </c>
      <c r="R2807" s="93" t="str">
        <f>VLOOKUP(E2807,DATABASE!C:Q,11,false)</f>
        <v>Tire</v>
      </c>
    </row>
    <row r="2808" ht="22.5" customHeight="1">
      <c r="A2808" s="49"/>
      <c r="C2808" s="384">
        <v>45804.0</v>
      </c>
      <c r="D2808" s="65">
        <v>5827.0</v>
      </c>
      <c r="E2808" s="445" t="s">
        <v>744</v>
      </c>
      <c r="F2808" s="386">
        <v>1.0</v>
      </c>
      <c r="G2808" s="74">
        <v>220000.0</v>
      </c>
      <c r="H2808" s="74">
        <v>0.0</v>
      </c>
      <c r="I2808" s="74">
        <f t="shared" si="1"/>
        <v>220000</v>
      </c>
      <c r="J2808" s="74">
        <f>IF(E2808="SERVICE",I2808-(I2808*50%),Vlookup(E2808,DATABASE!C:Q,10,false)*F2808)</f>
        <v>0</v>
      </c>
      <c r="K2808" s="74">
        <f>VLOOKUP(E2808,DATABASE!C:Q,7,false)</f>
        <v>182200</v>
      </c>
      <c r="L2808" s="74">
        <v>199920.0</v>
      </c>
      <c r="M2808" s="74">
        <f t="shared" si="2"/>
        <v>200000</v>
      </c>
      <c r="N2808" s="74">
        <f t="shared" si="3"/>
        <v>20000</v>
      </c>
      <c r="O2808" s="65" t="str">
        <f>VLOOKUP(E2808,DATABASE!C:Q,8,false)</f>
        <v>BIAN</v>
      </c>
      <c r="P2808" s="65">
        <f>VLOOKUP(E2808,DATABASE!C:Q,9,False)</f>
        <v>1</v>
      </c>
      <c r="Q2808" s="93" t="str">
        <f>VLOOKUP(E2808,DATABASE!C:Q,4,false)</f>
        <v>BD</v>
      </c>
      <c r="R2808" s="93" t="str">
        <f>VLOOKUP(E2808,DATABASE!C:Q,11,false)</f>
        <v>Tire</v>
      </c>
    </row>
    <row r="2809" ht="22.5" customHeight="1">
      <c r="A2809" s="49"/>
      <c r="C2809" s="384">
        <v>45804.0</v>
      </c>
      <c r="D2809" s="65">
        <v>5827.0</v>
      </c>
      <c r="E2809" s="445" t="s">
        <v>821</v>
      </c>
      <c r="F2809" s="386">
        <v>1.0</v>
      </c>
      <c r="G2809" s="74">
        <v>80000.0</v>
      </c>
      <c r="H2809" s="74">
        <v>0.0</v>
      </c>
      <c r="I2809" s="74">
        <f t="shared" si="1"/>
        <v>80000</v>
      </c>
      <c r="J2809" s="74">
        <f>IF(E2809="SERVICE",I2809-(I2809*50%),Vlookup(E2809,DATABASE!C:Q,10,false)*F2809)</f>
        <v>0</v>
      </c>
      <c r="K2809" s="74">
        <f>VLOOKUP(E2809,DATABASE!C:Q,7,false)</f>
        <v>43500</v>
      </c>
      <c r="L2809" s="74">
        <v>43520.0</v>
      </c>
      <c r="M2809" s="74">
        <f t="shared" si="2"/>
        <v>45000</v>
      </c>
      <c r="N2809" s="74">
        <f t="shared" si="3"/>
        <v>35000</v>
      </c>
      <c r="O2809" s="65" t="str">
        <f>VLOOKUP(E2809,DATABASE!C:Q,8,false)</f>
        <v>BIAN</v>
      </c>
      <c r="P2809" s="65">
        <f>VLOOKUP(E2809,DATABASE!C:Q,9,False)</f>
        <v>1</v>
      </c>
      <c r="Q2809" s="93" t="str">
        <f>VLOOKUP(E2809,DATABASE!C:Q,4,false)</f>
        <v>Flap</v>
      </c>
      <c r="R2809" s="93" t="str">
        <f>VLOOKUP(E2809,DATABASE!C:Q,11,false)</f>
        <v>Tire</v>
      </c>
    </row>
    <row r="2810" ht="22.5" customHeight="1">
      <c r="A2810" s="49"/>
      <c r="C2810" s="384">
        <v>45804.0</v>
      </c>
      <c r="D2810" s="65">
        <v>5828.0</v>
      </c>
      <c r="E2810" s="445" t="s">
        <v>256</v>
      </c>
      <c r="F2810" s="386">
        <v>1.0</v>
      </c>
      <c r="G2810" s="74">
        <v>130000.0</v>
      </c>
      <c r="H2810" s="74">
        <v>0.0</v>
      </c>
      <c r="I2810" s="74">
        <f t="shared" si="1"/>
        <v>130000</v>
      </c>
      <c r="J2810" s="74">
        <f>IF(E2810="SERVICE",I2810-(I2810*50%),Vlookup(E2810,DATABASE!C:Q,10,false)*F2810)</f>
        <v>10000</v>
      </c>
      <c r="K2810" s="74">
        <f>VLOOKUP(E2810,DATABASE!C:Q,7,false)</f>
        <v>0</v>
      </c>
      <c r="L2810" s="74">
        <v>0.0</v>
      </c>
      <c r="M2810" s="74">
        <f t="shared" si="2"/>
        <v>0</v>
      </c>
      <c r="N2810" s="74">
        <f t="shared" si="3"/>
        <v>120000</v>
      </c>
      <c r="O2810" s="65" t="str">
        <f>VLOOKUP(E2810,DATABASE!C:Q,8,false)</f>
        <v>IBU</v>
      </c>
      <c r="P2810" s="65">
        <f>VLOOKUP(E2810,DATABASE!C:Q,9,False)</f>
        <v>0</v>
      </c>
      <c r="Q2810" s="93" t="str">
        <f>VLOOKUP(E2810,DATABASE!C:Q,4,false)</f>
        <v>SPOORING</v>
      </c>
      <c r="R2810" s="93" t="str">
        <f>VLOOKUP(E2810,DATABASE!C:Q,11,false)</f>
        <v>SERVICE</v>
      </c>
    </row>
    <row r="2811" ht="22.5" customHeight="1">
      <c r="A2811" s="49"/>
      <c r="C2811" s="384">
        <v>45804.0</v>
      </c>
      <c r="D2811" s="65">
        <v>5828.0</v>
      </c>
      <c r="E2811" s="445" t="s">
        <v>301</v>
      </c>
      <c r="F2811" s="386">
        <v>1.0</v>
      </c>
      <c r="G2811" s="74">
        <v>250000.0</v>
      </c>
      <c r="H2811" s="74">
        <v>0.0</v>
      </c>
      <c r="I2811" s="74">
        <f t="shared" si="1"/>
        <v>250000</v>
      </c>
      <c r="J2811" s="74">
        <f>IF(E2811="SERVICE",I2811-(I2811*50%),Vlookup(E2811,DATABASE!C:Q,10,false)*F2811)</f>
        <v>75000</v>
      </c>
      <c r="K2811" s="74">
        <f>VLOOKUP(E2811,DATABASE!C:Q,7,false)</f>
        <v>75000</v>
      </c>
      <c r="L2811" s="74">
        <v>75000.0</v>
      </c>
      <c r="M2811" s="74">
        <f t="shared" si="2"/>
        <v>75000</v>
      </c>
      <c r="N2811" s="74">
        <f t="shared" si="3"/>
        <v>100000</v>
      </c>
      <c r="O2811" s="65" t="str">
        <f>VLOOKUP(E2811,DATABASE!C:Q,8,false)</f>
        <v>BIAN</v>
      </c>
      <c r="P2811" s="65">
        <f>VLOOKUP(E2811,DATABASE!C:Q,9,False)</f>
        <v>0</v>
      </c>
      <c r="Q2811" s="93" t="str">
        <f>VLOOKUP(E2811,DATABASE!C:Q,4,false)</f>
        <v>Baut Camber</v>
      </c>
      <c r="R2811" s="93" t="str">
        <f>VLOOKUP(E2811,DATABASE!C:Q,11,false)</f>
        <v>COMPLEMENTARY</v>
      </c>
    </row>
    <row r="2812" ht="22.5" customHeight="1">
      <c r="A2812" s="49"/>
      <c r="C2812" s="384">
        <v>45804.0</v>
      </c>
      <c r="D2812" s="65">
        <v>5829.0</v>
      </c>
      <c r="E2812" s="445" t="s">
        <v>566</v>
      </c>
      <c r="F2812" s="386">
        <v>1.0</v>
      </c>
      <c r="G2812" s="74">
        <v>1670000.0</v>
      </c>
      <c r="H2812" s="74">
        <v>0.0</v>
      </c>
      <c r="I2812" s="74">
        <f t="shared" si="1"/>
        <v>1670000</v>
      </c>
      <c r="J2812" s="74">
        <f>IF(E2812="SERVICE",I2812-(I2812*50%),Vlookup(E2812,DATABASE!C:Q,10,false)*F2812)</f>
        <v>0</v>
      </c>
      <c r="K2812" s="140">
        <v>1570000.0</v>
      </c>
      <c r="L2812" s="140">
        <v>1570000.0</v>
      </c>
      <c r="M2812" s="74">
        <f t="shared" si="2"/>
        <v>1570000</v>
      </c>
      <c r="N2812" s="74">
        <f t="shared" si="3"/>
        <v>100000</v>
      </c>
      <c r="O2812" s="65" t="str">
        <f>VLOOKUP(E2812,DATABASE!C:Q,8,false)</f>
        <v>IBU</v>
      </c>
      <c r="P2812" s="65">
        <f>VLOOKUP(E2812,DATABASE!C:Q,9,False)</f>
        <v>1</v>
      </c>
      <c r="Q2812" s="93" t="str">
        <f>VLOOKUP(E2812,DATABASE!C:Q,4,false)</f>
        <v>Bridgestone</v>
      </c>
      <c r="R2812" s="93" t="str">
        <f>VLOOKUP(E2812,DATABASE!C:Q,11,false)</f>
        <v>Tire</v>
      </c>
    </row>
    <row r="2813" ht="22.5" customHeight="1">
      <c r="A2813" s="49"/>
      <c r="C2813" s="384">
        <v>45804.0</v>
      </c>
      <c r="D2813" s="65">
        <v>5831.0</v>
      </c>
      <c r="E2813" s="445" t="s">
        <v>1150</v>
      </c>
      <c r="F2813" s="386">
        <v>2.0</v>
      </c>
      <c r="G2813" s="74">
        <v>995000.0</v>
      </c>
      <c r="H2813" s="74">
        <v>0.0</v>
      </c>
      <c r="I2813" s="74">
        <f t="shared" si="1"/>
        <v>1990000</v>
      </c>
      <c r="J2813" s="74">
        <f>IF(E2813="SERVICE",I2813-(I2813*50%),Vlookup(E2813,DATABASE!C:Q,10,false)*F2813)</f>
        <v>0</v>
      </c>
      <c r="K2813" s="74">
        <f>VLOOKUP(E2813,DATABASE!C:Q,7,false)</f>
        <v>873689.5</v>
      </c>
      <c r="L2813" s="74">
        <v>873689.5</v>
      </c>
      <c r="M2813" s="74">
        <f t="shared" si="2"/>
        <v>875000</v>
      </c>
      <c r="N2813" s="74">
        <f t="shared" si="3"/>
        <v>240000</v>
      </c>
      <c r="O2813" s="65" t="str">
        <f>VLOOKUP(E2813,DATABASE!C:Q,8,false)</f>
        <v>IBU</v>
      </c>
      <c r="P2813" s="65">
        <f>VLOOKUP(E2813,DATABASE!C:Q,9,False)</f>
        <v>1</v>
      </c>
      <c r="Q2813" s="93" t="str">
        <f>VLOOKUP(E2813,DATABASE!C:Q,4,false)</f>
        <v>Bridgestone</v>
      </c>
      <c r="R2813" s="93" t="str">
        <f>VLOOKUP(E2813,DATABASE!C:Q,11,false)</f>
        <v>Tire</v>
      </c>
    </row>
    <row r="2814" ht="22.5" customHeight="1">
      <c r="A2814" s="49"/>
      <c r="C2814" s="384">
        <v>45804.0</v>
      </c>
      <c r="D2814" s="65">
        <v>5831.0</v>
      </c>
      <c r="E2814" s="385" t="s">
        <v>299</v>
      </c>
      <c r="F2814" s="386">
        <v>2.0</v>
      </c>
      <c r="G2814" s="74">
        <v>30000.0</v>
      </c>
      <c r="H2814" s="74">
        <v>0.0</v>
      </c>
      <c r="I2814" s="74">
        <f t="shared" si="1"/>
        <v>60000</v>
      </c>
      <c r="J2814" s="74">
        <f>IF(E2814="SERVICE",I2814-(I2814*50%),Vlookup(E2814,DATABASE!C:Q,10,false)*F2814)</f>
        <v>0</v>
      </c>
      <c r="K2814" s="74">
        <v>0.0</v>
      </c>
      <c r="L2814" s="74">
        <v>0.0</v>
      </c>
      <c r="M2814" s="74">
        <f t="shared" si="2"/>
        <v>0</v>
      </c>
      <c r="N2814" s="74">
        <f t="shared" si="3"/>
        <v>60000</v>
      </c>
      <c r="O2814" s="65" t="str">
        <f>VLOOKUP(E2814,DATABASE!C:Q,8,false)</f>
        <v>BIAN</v>
      </c>
      <c r="P2814" s="65">
        <f>VLOOKUP(E2814,DATABASE!C:Q,9,False)</f>
        <v>0</v>
      </c>
      <c r="Q2814" s="93" t="str">
        <f>VLOOKUP(E2814,DATABASE!C:Q,4,false)</f>
        <v>Balancing</v>
      </c>
      <c r="R2814" s="93" t="str">
        <f>VLOOKUP(E2814,DATABASE!C:Q,11,false)</f>
        <v>COMPLEMENTARY</v>
      </c>
    </row>
    <row r="2815" ht="22.5" customHeight="1">
      <c r="A2815" s="49"/>
      <c r="C2815" s="384">
        <v>45804.0</v>
      </c>
      <c r="D2815" s="65">
        <v>5832.0</v>
      </c>
      <c r="E2815" s="385" t="s">
        <v>299</v>
      </c>
      <c r="F2815" s="386">
        <v>2.0</v>
      </c>
      <c r="G2815" s="74">
        <v>30000.0</v>
      </c>
      <c r="H2815" s="74">
        <v>0.0</v>
      </c>
      <c r="I2815" s="74">
        <f t="shared" si="1"/>
        <v>60000</v>
      </c>
      <c r="J2815" s="74">
        <f>IF(E2815="SERVICE",I2815-(I2815*50%),Vlookup(E2815,DATABASE!C:Q,10,false)*F2815)</f>
        <v>0</v>
      </c>
      <c r="K2815" s="74">
        <v>0.0</v>
      </c>
      <c r="L2815" s="74">
        <v>0.0</v>
      </c>
      <c r="M2815" s="74">
        <f t="shared" si="2"/>
        <v>0</v>
      </c>
      <c r="N2815" s="74">
        <f t="shared" si="3"/>
        <v>60000</v>
      </c>
      <c r="O2815" s="65" t="str">
        <f>VLOOKUP(E2815,DATABASE!C:Q,8,false)</f>
        <v>BIAN</v>
      </c>
      <c r="P2815" s="65">
        <f>VLOOKUP(E2815,DATABASE!C:Q,9,False)</f>
        <v>0</v>
      </c>
      <c r="Q2815" s="93" t="str">
        <f>VLOOKUP(E2815,DATABASE!C:Q,4,false)</f>
        <v>Balancing</v>
      </c>
      <c r="R2815" s="93" t="str">
        <f>VLOOKUP(E2815,DATABASE!C:Q,11,false)</f>
        <v>COMPLEMENTARY</v>
      </c>
    </row>
    <row r="2816" ht="22.5" customHeight="1">
      <c r="A2816" s="49"/>
      <c r="C2816" s="384">
        <v>45804.0</v>
      </c>
      <c r="D2816" s="65">
        <v>5833.0</v>
      </c>
      <c r="E2816" s="445" t="s">
        <v>265</v>
      </c>
      <c r="F2816" s="386">
        <v>1.0</v>
      </c>
      <c r="G2816" s="74">
        <v>700000.0</v>
      </c>
      <c r="H2816" s="74">
        <v>0.0</v>
      </c>
      <c r="I2816" s="74">
        <f t="shared" si="1"/>
        <v>700000</v>
      </c>
      <c r="J2816" s="74">
        <f>IF(E2816="SERVICE",I2816-(I2816*50%),Vlookup(E2816,DATABASE!C:Q,10,false)*F2816)</f>
        <v>0</v>
      </c>
      <c r="K2816" s="74">
        <f>VLOOKUP(E2816,DATABASE!C:Q,7,false)</f>
        <v>628000</v>
      </c>
      <c r="L2816" s="74">
        <v>610000.0</v>
      </c>
      <c r="M2816" s="74">
        <f t="shared" si="2"/>
        <v>610000</v>
      </c>
      <c r="N2816" s="74">
        <f t="shared" si="3"/>
        <v>90000</v>
      </c>
      <c r="O2816" s="65" t="str">
        <f>VLOOKUP(E2816,DATABASE!C:Q,8,false)</f>
        <v>IBU</v>
      </c>
      <c r="P2816" s="65">
        <f>VLOOKUP(E2816,DATABASE!C:Q,9,False)</f>
        <v>1</v>
      </c>
      <c r="Q2816" s="93" t="str">
        <f>VLOOKUP(E2816,DATABASE!C:Q,4,false)</f>
        <v>Dunlop</v>
      </c>
      <c r="R2816" s="93" t="str">
        <f>VLOOKUP(E2816,DATABASE!C:Q,11,false)</f>
        <v>Tire</v>
      </c>
    </row>
    <row r="2817" ht="22.5" customHeight="1">
      <c r="A2817" s="49"/>
      <c r="C2817" s="384">
        <v>45804.0</v>
      </c>
      <c r="D2817" s="65">
        <v>5834.0</v>
      </c>
      <c r="E2817" s="445" t="s">
        <v>821</v>
      </c>
      <c r="F2817" s="386">
        <v>1.0</v>
      </c>
      <c r="G2817" s="74">
        <v>85000.0</v>
      </c>
      <c r="H2817" s="74">
        <v>0.0</v>
      </c>
      <c r="I2817" s="74">
        <f t="shared" si="1"/>
        <v>85000</v>
      </c>
      <c r="J2817" s="74">
        <f>IF(E2817="SERVICE",I2817-(I2817*50%),Vlookup(E2817,DATABASE!C:Q,10,false)*F2817)</f>
        <v>0</v>
      </c>
      <c r="K2817" s="74">
        <f>VLOOKUP(E2817,DATABASE!C:Q,7,false)</f>
        <v>43500</v>
      </c>
      <c r="L2817" s="74">
        <v>43520.0</v>
      </c>
      <c r="M2817" s="74">
        <f t="shared" si="2"/>
        <v>45000</v>
      </c>
      <c r="N2817" s="74">
        <f t="shared" si="3"/>
        <v>40000</v>
      </c>
      <c r="O2817" s="65" t="str">
        <f>VLOOKUP(E2817,DATABASE!C:Q,8,false)</f>
        <v>BIAN</v>
      </c>
      <c r="P2817" s="65">
        <f>VLOOKUP(E2817,DATABASE!C:Q,9,False)</f>
        <v>1</v>
      </c>
      <c r="Q2817" s="93" t="str">
        <f>VLOOKUP(E2817,DATABASE!C:Q,4,false)</f>
        <v>Flap</v>
      </c>
      <c r="R2817" s="93" t="str">
        <f>VLOOKUP(E2817,DATABASE!C:Q,11,false)</f>
        <v>Tire</v>
      </c>
    </row>
    <row r="2818" ht="22.5" customHeight="1">
      <c r="A2818" s="49"/>
      <c r="C2818" s="384">
        <v>45804.0</v>
      </c>
      <c r="D2818" s="65">
        <v>5835.0</v>
      </c>
      <c r="E2818" s="445" t="s">
        <v>256</v>
      </c>
      <c r="F2818" s="386">
        <v>1.0</v>
      </c>
      <c r="G2818" s="74">
        <v>110000.0</v>
      </c>
      <c r="H2818" s="74">
        <v>0.0</v>
      </c>
      <c r="I2818" s="74">
        <f t="shared" si="1"/>
        <v>110000</v>
      </c>
      <c r="J2818" s="74">
        <f>IF(E2818="SERVICE",I2818-(I2818*50%),Vlookup(E2818,DATABASE!C:Q,10,false)*F2818)</f>
        <v>10000</v>
      </c>
      <c r="K2818" s="74">
        <f>VLOOKUP(E2818,DATABASE!C:Q,7,false)</f>
        <v>0</v>
      </c>
      <c r="L2818" s="74">
        <v>0.0</v>
      </c>
      <c r="M2818" s="74">
        <f t="shared" si="2"/>
        <v>0</v>
      </c>
      <c r="N2818" s="74">
        <f t="shared" si="3"/>
        <v>100000</v>
      </c>
      <c r="O2818" s="65" t="str">
        <f>VLOOKUP(E2818,DATABASE!C:Q,8,false)</f>
        <v>IBU</v>
      </c>
      <c r="P2818" s="65">
        <f>VLOOKUP(E2818,DATABASE!C:Q,9,False)</f>
        <v>0</v>
      </c>
      <c r="Q2818" s="93" t="str">
        <f>VLOOKUP(E2818,DATABASE!C:Q,4,false)</f>
        <v>SPOORING</v>
      </c>
      <c r="R2818" s="93" t="str">
        <f>VLOOKUP(E2818,DATABASE!C:Q,11,false)</f>
        <v>SERVICE</v>
      </c>
    </row>
    <row r="2819" ht="22.5" customHeight="1">
      <c r="A2819" s="49"/>
      <c r="C2819" s="384">
        <v>45804.0</v>
      </c>
      <c r="D2819" s="65">
        <v>5835.0</v>
      </c>
      <c r="E2819" s="385" t="s">
        <v>299</v>
      </c>
      <c r="F2819" s="386">
        <v>2.0</v>
      </c>
      <c r="G2819" s="74">
        <v>30000.0</v>
      </c>
      <c r="H2819" s="74">
        <v>0.0</v>
      </c>
      <c r="I2819" s="74">
        <f t="shared" si="1"/>
        <v>60000</v>
      </c>
      <c r="J2819" s="74">
        <f>IF(E2819="SERVICE",I2819-(I2819*50%),Vlookup(E2819,DATABASE!C:Q,10,false)*F2819)</f>
        <v>0</v>
      </c>
      <c r="K2819" s="74">
        <v>0.0</v>
      </c>
      <c r="L2819" s="74">
        <v>0.0</v>
      </c>
      <c r="M2819" s="74">
        <f t="shared" si="2"/>
        <v>0</v>
      </c>
      <c r="N2819" s="74">
        <f t="shared" si="3"/>
        <v>60000</v>
      </c>
      <c r="O2819" s="65" t="str">
        <f>VLOOKUP(E2819,DATABASE!C:Q,8,false)</f>
        <v>BIAN</v>
      </c>
      <c r="P2819" s="65">
        <f>VLOOKUP(E2819,DATABASE!C:Q,9,False)</f>
        <v>0</v>
      </c>
      <c r="Q2819" s="93" t="str">
        <f>VLOOKUP(E2819,DATABASE!C:Q,4,false)</f>
        <v>Balancing</v>
      </c>
      <c r="R2819" s="93" t="str">
        <f>VLOOKUP(E2819,DATABASE!C:Q,11,false)</f>
        <v>COMPLEMENTARY</v>
      </c>
    </row>
    <row r="2820" ht="22.5" customHeight="1">
      <c r="A2820" s="49"/>
      <c r="C2820" s="384">
        <v>45804.0</v>
      </c>
      <c r="D2820" s="65">
        <v>5835.0</v>
      </c>
      <c r="E2820" s="445" t="s">
        <v>301</v>
      </c>
      <c r="F2820" s="386">
        <v>1.0</v>
      </c>
      <c r="G2820" s="74">
        <v>250000.0</v>
      </c>
      <c r="H2820" s="74">
        <v>0.0</v>
      </c>
      <c r="I2820" s="74">
        <f t="shared" si="1"/>
        <v>250000</v>
      </c>
      <c r="J2820" s="74">
        <f>IF(E2820="SERVICE",I2820-(I2820*50%),Vlookup(E2820,DATABASE!C:Q,10,false)*F2820)</f>
        <v>75000</v>
      </c>
      <c r="K2820" s="74">
        <f>VLOOKUP(E2820,DATABASE!C:Q,7,false)</f>
        <v>75000</v>
      </c>
      <c r="L2820" s="74">
        <v>75000.0</v>
      </c>
      <c r="M2820" s="74">
        <f t="shared" si="2"/>
        <v>75000</v>
      </c>
      <c r="N2820" s="74">
        <f t="shared" si="3"/>
        <v>100000</v>
      </c>
      <c r="O2820" s="65" t="str">
        <f>VLOOKUP(E2820,DATABASE!C:Q,8,false)</f>
        <v>BIAN</v>
      </c>
      <c r="P2820" s="65">
        <f>VLOOKUP(E2820,DATABASE!C:Q,9,False)</f>
        <v>0</v>
      </c>
      <c r="Q2820" s="93" t="str">
        <f>VLOOKUP(E2820,DATABASE!C:Q,4,false)</f>
        <v>Baut Camber</v>
      </c>
      <c r="R2820" s="93" t="str">
        <f>VLOOKUP(E2820,DATABASE!C:Q,11,false)</f>
        <v>COMPLEMENTARY</v>
      </c>
    </row>
    <row r="2821" ht="22.5" customHeight="1">
      <c r="A2821" s="49"/>
      <c r="C2821" s="384">
        <v>45804.0</v>
      </c>
      <c r="D2821" s="65">
        <v>5836.0</v>
      </c>
      <c r="E2821" s="445" t="s">
        <v>265</v>
      </c>
      <c r="F2821" s="386">
        <v>2.0</v>
      </c>
      <c r="G2821" s="74">
        <v>700000.0</v>
      </c>
      <c r="H2821" s="74">
        <v>0.0</v>
      </c>
      <c r="I2821" s="74">
        <f t="shared" si="1"/>
        <v>1400000</v>
      </c>
      <c r="J2821" s="74">
        <f>IF(E2821="SERVICE",I2821-(I2821*50%),Vlookup(E2821,DATABASE!C:Q,10,false)*F2821)</f>
        <v>0</v>
      </c>
      <c r="K2821" s="74">
        <f>VLOOKUP(E2821,DATABASE!C:Q,7,false)</f>
        <v>628000</v>
      </c>
      <c r="L2821" s="74">
        <v>610000.0</v>
      </c>
      <c r="M2821" s="74">
        <f t="shared" si="2"/>
        <v>610000</v>
      </c>
      <c r="N2821" s="74">
        <f t="shared" si="3"/>
        <v>180000</v>
      </c>
      <c r="O2821" s="65" t="str">
        <f>VLOOKUP(E2821,DATABASE!C:Q,8,false)</f>
        <v>IBU</v>
      </c>
      <c r="P2821" s="65">
        <f>VLOOKUP(E2821,DATABASE!C:Q,9,False)</f>
        <v>1</v>
      </c>
      <c r="Q2821" s="93" t="str">
        <f>VLOOKUP(E2821,DATABASE!C:Q,4,false)</f>
        <v>Dunlop</v>
      </c>
      <c r="R2821" s="93" t="str">
        <f>VLOOKUP(E2821,DATABASE!C:Q,11,false)</f>
        <v>Tire</v>
      </c>
    </row>
    <row r="2822" ht="22.5" customHeight="1">
      <c r="A2822" s="49"/>
      <c r="C2822" s="384">
        <v>45804.0</v>
      </c>
      <c r="D2822" s="65">
        <v>5837.0</v>
      </c>
      <c r="E2822" s="445" t="s">
        <v>288</v>
      </c>
      <c r="F2822" s="386">
        <v>1.0</v>
      </c>
      <c r="G2822" s="74">
        <v>630000.0</v>
      </c>
      <c r="H2822" s="74">
        <v>0.0</v>
      </c>
      <c r="I2822" s="74">
        <f t="shared" si="1"/>
        <v>630000</v>
      </c>
      <c r="J2822" s="74">
        <f>IF(E2822="SERVICE",I2822-(I2822*50%),Vlookup(E2822,DATABASE!C:Q,10,false)*F2822)</f>
        <v>0</v>
      </c>
      <c r="K2822" s="74">
        <f>VLOOKUP(E2822,DATABASE!C:Q,7,false)</f>
        <v>565760</v>
      </c>
      <c r="L2822" s="74">
        <v>524800.0</v>
      </c>
      <c r="M2822" s="74">
        <f t="shared" si="2"/>
        <v>525000</v>
      </c>
      <c r="N2822" s="74">
        <f t="shared" si="3"/>
        <v>105000</v>
      </c>
      <c r="O2822" s="65" t="str">
        <f>VLOOKUP(E2822,DATABASE!C:Q,8,false)</f>
        <v>BIAN</v>
      </c>
      <c r="P2822" s="65">
        <f>VLOOKUP(E2822,DATABASE!C:Q,9,False)</f>
        <v>1</v>
      </c>
      <c r="Q2822" s="93" t="str">
        <f>VLOOKUP(E2822,DATABASE!C:Q,4,false)</f>
        <v>GT</v>
      </c>
      <c r="R2822" s="93" t="str">
        <f>VLOOKUP(E2822,DATABASE!C:Q,11,false)</f>
        <v>Tire</v>
      </c>
    </row>
    <row r="2823" ht="22.5" customHeight="1">
      <c r="A2823" s="49"/>
      <c r="C2823" s="384">
        <v>45804.0</v>
      </c>
      <c r="D2823" s="65">
        <v>5838.0</v>
      </c>
      <c r="E2823" s="445" t="s">
        <v>265</v>
      </c>
      <c r="F2823" s="386">
        <v>2.0</v>
      </c>
      <c r="G2823" s="74">
        <v>700000.0</v>
      </c>
      <c r="H2823" s="74">
        <v>0.0</v>
      </c>
      <c r="I2823" s="74">
        <f t="shared" si="1"/>
        <v>1400000</v>
      </c>
      <c r="J2823" s="74">
        <f>IF(E2823="SERVICE",I2823-(I2823*50%),Vlookup(E2823,DATABASE!C:Q,10,false)*F2823)</f>
        <v>0</v>
      </c>
      <c r="K2823" s="74">
        <f>VLOOKUP(E2823,DATABASE!C:Q,7,false)</f>
        <v>628000</v>
      </c>
      <c r="L2823" s="74">
        <v>610000.0</v>
      </c>
      <c r="M2823" s="74">
        <f t="shared" si="2"/>
        <v>610000</v>
      </c>
      <c r="N2823" s="74">
        <f t="shared" si="3"/>
        <v>180000</v>
      </c>
      <c r="O2823" s="65" t="str">
        <f>VLOOKUP(E2823,DATABASE!C:Q,8,false)</f>
        <v>IBU</v>
      </c>
      <c r="P2823" s="65">
        <f>VLOOKUP(E2823,DATABASE!C:Q,9,False)</f>
        <v>1</v>
      </c>
      <c r="Q2823" s="93" t="str">
        <f>VLOOKUP(E2823,DATABASE!C:Q,4,false)</f>
        <v>Dunlop</v>
      </c>
      <c r="R2823" s="93" t="str">
        <f>VLOOKUP(E2823,DATABASE!C:Q,11,false)</f>
        <v>Tire</v>
      </c>
    </row>
    <row r="2824" ht="22.5" customHeight="1">
      <c r="A2824" s="49"/>
      <c r="C2824" s="384">
        <v>45804.0</v>
      </c>
      <c r="D2824" s="65">
        <v>5840.0</v>
      </c>
      <c r="E2824" s="445" t="s">
        <v>2057</v>
      </c>
      <c r="F2824" s="386">
        <v>2.0</v>
      </c>
      <c r="G2824" s="74">
        <v>650000.0</v>
      </c>
      <c r="H2824" s="74">
        <v>0.0</v>
      </c>
      <c r="I2824" s="74">
        <f t="shared" si="1"/>
        <v>1300000</v>
      </c>
      <c r="J2824" s="74">
        <f>IF(E2824="SERVICE",I2824-(I2824*50%),Vlookup(E2824,DATABASE!C:Q,10,false)*F2824)</f>
        <v>0</v>
      </c>
      <c r="K2824" s="74">
        <f>VLOOKUP(E2824,DATABASE!C:Q,7,false)</f>
        <v>565000</v>
      </c>
      <c r="L2824" s="74">
        <v>565000.0</v>
      </c>
      <c r="M2824" s="74">
        <f t="shared" si="2"/>
        <v>565000</v>
      </c>
      <c r="N2824" s="74">
        <f t="shared" si="3"/>
        <v>170000</v>
      </c>
      <c r="O2824" s="65" t="str">
        <f>VLOOKUP(E2824,DATABASE!C:Q,8,false)</f>
        <v>BIAN</v>
      </c>
      <c r="P2824" s="65">
        <f>VLOOKUP(E2824,DATABASE!C:Q,9,False)</f>
        <v>1</v>
      </c>
      <c r="Q2824" s="93" t="str">
        <f>VLOOKUP(E2824,DATABASE!C:Q,4,false)</f>
        <v>Hankook</v>
      </c>
      <c r="R2824" s="93" t="str">
        <f>VLOOKUP(E2824,DATABASE!C:Q,11,false)</f>
        <v>Tire</v>
      </c>
    </row>
    <row r="2825" ht="22.5" customHeight="1">
      <c r="A2825" s="49"/>
      <c r="C2825" s="384">
        <v>45804.0</v>
      </c>
      <c r="D2825" s="65">
        <v>5840.0</v>
      </c>
      <c r="E2825" s="385" t="s">
        <v>299</v>
      </c>
      <c r="F2825" s="386">
        <v>2.0</v>
      </c>
      <c r="G2825" s="74">
        <v>30000.0</v>
      </c>
      <c r="H2825" s="74">
        <v>0.0</v>
      </c>
      <c r="I2825" s="74">
        <f t="shared" si="1"/>
        <v>60000</v>
      </c>
      <c r="J2825" s="74">
        <f>IF(E2825="SERVICE",I2825-(I2825*50%),Vlookup(E2825,DATABASE!C:Q,10,false)*F2825)</f>
        <v>0</v>
      </c>
      <c r="K2825" s="74">
        <v>0.0</v>
      </c>
      <c r="L2825" s="74">
        <v>0.0</v>
      </c>
      <c r="M2825" s="74">
        <f t="shared" si="2"/>
        <v>0</v>
      </c>
      <c r="N2825" s="74">
        <f t="shared" si="3"/>
        <v>60000</v>
      </c>
      <c r="O2825" s="65" t="str">
        <f>VLOOKUP(E2825,DATABASE!C:Q,8,false)</f>
        <v>BIAN</v>
      </c>
      <c r="P2825" s="65">
        <f>VLOOKUP(E2825,DATABASE!C:Q,9,False)</f>
        <v>0</v>
      </c>
      <c r="Q2825" s="93" t="str">
        <f>VLOOKUP(E2825,DATABASE!C:Q,4,false)</f>
        <v>Balancing</v>
      </c>
      <c r="R2825" s="93" t="str">
        <f>VLOOKUP(E2825,DATABASE!C:Q,11,false)</f>
        <v>COMPLEMENTARY</v>
      </c>
    </row>
    <row r="2826" ht="22.5" customHeight="1">
      <c r="A2826" s="49"/>
      <c r="C2826" s="384">
        <v>45804.0</v>
      </c>
      <c r="D2826" s="65">
        <v>5840.0</v>
      </c>
      <c r="E2826" s="445" t="s">
        <v>256</v>
      </c>
      <c r="F2826" s="386">
        <v>1.0</v>
      </c>
      <c r="G2826" s="74">
        <v>130000.0</v>
      </c>
      <c r="H2826" s="74">
        <v>0.0</v>
      </c>
      <c r="I2826" s="74">
        <f t="shared" si="1"/>
        <v>130000</v>
      </c>
      <c r="J2826" s="74">
        <f>IF(E2826="SERVICE",I2826-(I2826*50%),Vlookup(E2826,DATABASE!C:Q,10,false)*F2826)</f>
        <v>10000</v>
      </c>
      <c r="K2826" s="74">
        <f>VLOOKUP(E2826,DATABASE!C:Q,7,false)</f>
        <v>0</v>
      </c>
      <c r="L2826" s="74">
        <v>0.0</v>
      </c>
      <c r="M2826" s="74">
        <f t="shared" si="2"/>
        <v>0</v>
      </c>
      <c r="N2826" s="74">
        <f t="shared" si="3"/>
        <v>120000</v>
      </c>
      <c r="O2826" s="65" t="str">
        <f>VLOOKUP(E2826,DATABASE!C:Q,8,false)</f>
        <v>IBU</v>
      </c>
      <c r="P2826" s="65">
        <f>VLOOKUP(E2826,DATABASE!C:Q,9,False)</f>
        <v>0</v>
      </c>
      <c r="Q2826" s="93" t="str">
        <f>VLOOKUP(E2826,DATABASE!C:Q,4,false)</f>
        <v>SPOORING</v>
      </c>
      <c r="R2826" s="93" t="str">
        <f>VLOOKUP(E2826,DATABASE!C:Q,11,false)</f>
        <v>SERVICE</v>
      </c>
    </row>
    <row r="2827" ht="22.5" customHeight="1">
      <c r="A2827" s="49"/>
      <c r="C2827" s="384">
        <v>45804.0</v>
      </c>
      <c r="D2827" s="65">
        <v>5840.0</v>
      </c>
      <c r="E2827" s="445" t="s">
        <v>301</v>
      </c>
      <c r="F2827" s="386">
        <v>1.0</v>
      </c>
      <c r="G2827" s="74">
        <v>250000.0</v>
      </c>
      <c r="H2827" s="74">
        <v>0.0</v>
      </c>
      <c r="I2827" s="74">
        <f t="shared" si="1"/>
        <v>250000</v>
      </c>
      <c r="J2827" s="74">
        <f>IF(E2827="SERVICE",I2827-(I2827*50%),Vlookup(E2827,DATABASE!C:Q,10,false)*F2827)</f>
        <v>75000</v>
      </c>
      <c r="K2827" s="74">
        <f>VLOOKUP(E2827,DATABASE!C:Q,7,false)</f>
        <v>75000</v>
      </c>
      <c r="L2827" s="74">
        <v>75000.0</v>
      </c>
      <c r="M2827" s="74">
        <f t="shared" si="2"/>
        <v>75000</v>
      </c>
      <c r="N2827" s="74">
        <f t="shared" si="3"/>
        <v>100000</v>
      </c>
      <c r="O2827" s="65" t="str">
        <f>VLOOKUP(E2827,DATABASE!C:Q,8,false)</f>
        <v>BIAN</v>
      </c>
      <c r="P2827" s="65">
        <f>VLOOKUP(E2827,DATABASE!C:Q,9,False)</f>
        <v>0</v>
      </c>
      <c r="Q2827" s="93" t="str">
        <f>VLOOKUP(E2827,DATABASE!C:Q,4,false)</f>
        <v>Baut Camber</v>
      </c>
      <c r="R2827" s="93" t="str">
        <f>VLOOKUP(E2827,DATABASE!C:Q,11,false)</f>
        <v>COMPLEMENTARY</v>
      </c>
    </row>
    <row r="2828" ht="22.5" customHeight="1">
      <c r="A2828" s="49"/>
      <c r="C2828" s="384">
        <v>45804.0</v>
      </c>
      <c r="D2828" s="65">
        <v>5841.0</v>
      </c>
      <c r="E2828" s="445" t="s">
        <v>286</v>
      </c>
      <c r="F2828" s="386">
        <v>12.0</v>
      </c>
      <c r="G2828" s="74">
        <v>550000.0</v>
      </c>
      <c r="H2828" s="74">
        <v>0.0</v>
      </c>
      <c r="I2828" s="74">
        <f t="shared" si="1"/>
        <v>6600000</v>
      </c>
      <c r="J2828" s="74">
        <f>IF(E2828="SERVICE",I2828-(I2828*50%),Vlookup(E2828,DATABASE!C:Q,10,false)*F2828)</f>
        <v>0</v>
      </c>
      <c r="K2828" s="74">
        <f>VLOOKUP(E2828,DATABASE!C:Q,7,false)</f>
        <v>488320</v>
      </c>
      <c r="L2828" s="74">
        <v>452970.0</v>
      </c>
      <c r="M2828" s="74">
        <f t="shared" si="2"/>
        <v>455000</v>
      </c>
      <c r="N2828" s="74">
        <f t="shared" si="3"/>
        <v>1140000</v>
      </c>
      <c r="O2828" s="65" t="str">
        <f>VLOOKUP(E2828,DATABASE!C:Q,8,false)</f>
        <v>BIAN</v>
      </c>
      <c r="P2828" s="65">
        <f>VLOOKUP(E2828,DATABASE!C:Q,9,False)</f>
        <v>1</v>
      </c>
      <c r="Q2828" s="93" t="str">
        <f>VLOOKUP(E2828,DATABASE!C:Q,4,false)</f>
        <v>GT</v>
      </c>
      <c r="R2828" s="93" t="str">
        <f>VLOOKUP(E2828,DATABASE!C:Q,11,false)</f>
        <v>Tire</v>
      </c>
    </row>
    <row r="2829" ht="22.5" customHeight="1">
      <c r="A2829" s="49"/>
      <c r="C2829" s="384">
        <v>45805.0</v>
      </c>
      <c r="D2829" s="65">
        <v>5842.0</v>
      </c>
      <c r="E2829" s="445" t="s">
        <v>937</v>
      </c>
      <c r="F2829" s="386">
        <v>1.0</v>
      </c>
      <c r="G2829" s="74">
        <v>900000.0</v>
      </c>
      <c r="H2829" s="74">
        <v>0.0</v>
      </c>
      <c r="I2829" s="74">
        <f t="shared" si="1"/>
        <v>900000</v>
      </c>
      <c r="J2829" s="74">
        <f>IF(E2829="SERVICE",I2829-(I2829*50%),Vlookup(E2829,DATABASE!C:Q,10,false)*F2829)</f>
        <v>0</v>
      </c>
      <c r="K2829" s="74">
        <f>VLOOKUP(E2829,DATABASE!C:Q,7,false)</f>
        <v>825000</v>
      </c>
      <c r="L2829" s="74">
        <v>790000.0</v>
      </c>
      <c r="M2829" s="74">
        <f t="shared" si="2"/>
        <v>790000</v>
      </c>
      <c r="N2829" s="74">
        <f t="shared" si="3"/>
        <v>110000</v>
      </c>
      <c r="O2829" s="65" t="str">
        <f>VLOOKUP(E2829,DATABASE!C:Q,8,false)</f>
        <v>IBU</v>
      </c>
      <c r="P2829" s="65">
        <f>VLOOKUP(E2829,DATABASE!C:Q,9,False)</f>
        <v>1</v>
      </c>
      <c r="Q2829" s="93" t="str">
        <f>VLOOKUP(E2829,DATABASE!C:Q,4,false)</f>
        <v>Bridgestone</v>
      </c>
      <c r="R2829" s="93" t="str">
        <f>VLOOKUP(E2829,DATABASE!C:Q,11,false)</f>
        <v>Tire</v>
      </c>
    </row>
    <row r="2830" ht="22.5" customHeight="1">
      <c r="A2830" s="49"/>
      <c r="C2830" s="384">
        <v>45805.0</v>
      </c>
      <c r="D2830" s="65">
        <v>5843.0</v>
      </c>
      <c r="E2830" s="445" t="s">
        <v>353</v>
      </c>
      <c r="F2830" s="386">
        <v>2.0</v>
      </c>
      <c r="G2830" s="74">
        <v>1850000.0</v>
      </c>
      <c r="H2830" s="74">
        <v>0.0</v>
      </c>
      <c r="I2830" s="74">
        <f t="shared" si="1"/>
        <v>3700000</v>
      </c>
      <c r="J2830" s="74">
        <f>IF(E2830="SERVICE",I2830-(I2830*50%),Vlookup(E2830,DATABASE!C:Q,10,false)*F2830)</f>
        <v>0</v>
      </c>
      <c r="K2830" s="74">
        <f>VLOOKUP(E2830,DATABASE!C:Q,7,false)</f>
        <v>1765000</v>
      </c>
      <c r="L2830" s="74">
        <v>1765000.0</v>
      </c>
      <c r="M2830" s="74">
        <f t="shared" si="2"/>
        <v>1765000</v>
      </c>
      <c r="N2830" s="74">
        <f t="shared" si="3"/>
        <v>170000</v>
      </c>
      <c r="O2830" s="65" t="str">
        <f>VLOOKUP(E2830,DATABASE!C:Q,8,false)</f>
        <v>BIAN</v>
      </c>
      <c r="P2830" s="65">
        <f>VLOOKUP(E2830,DATABASE!C:Q,9,False)</f>
        <v>1</v>
      </c>
      <c r="Q2830" s="93" t="str">
        <f>VLOOKUP(E2830,DATABASE!C:Q,4,false)</f>
        <v>Advance</v>
      </c>
      <c r="R2830" s="93" t="str">
        <f>VLOOKUP(E2830,DATABASE!C:Q,11,false)</f>
        <v>Tire</v>
      </c>
    </row>
    <row r="2831" ht="22.5" customHeight="1">
      <c r="A2831" s="49"/>
      <c r="C2831" s="384">
        <v>45805.0</v>
      </c>
      <c r="D2831" s="65">
        <v>5844.0</v>
      </c>
      <c r="E2831" s="445" t="s">
        <v>968</v>
      </c>
      <c r="F2831" s="386">
        <v>3.0</v>
      </c>
      <c r="G2831" s="74">
        <v>675000.0</v>
      </c>
      <c r="H2831" s="74">
        <v>0.0</v>
      </c>
      <c r="I2831" s="74">
        <f t="shared" si="1"/>
        <v>2025000</v>
      </c>
      <c r="J2831" s="74">
        <f>IF(E2831="SERVICE",I2831-(I2831*50%),Vlookup(E2831,DATABASE!C:Q,10,false)*F2831)</f>
        <v>0</v>
      </c>
      <c r="K2831" s="74">
        <f>VLOOKUP(E2831,DATABASE!C:Q,7,false)</f>
        <v>582500</v>
      </c>
      <c r="L2831" s="74">
        <v>582500.0</v>
      </c>
      <c r="M2831" s="74">
        <f t="shared" si="2"/>
        <v>585000</v>
      </c>
      <c r="N2831" s="74">
        <f t="shared" si="3"/>
        <v>270000</v>
      </c>
      <c r="O2831" s="65" t="str">
        <f>VLOOKUP(E2831,DATABASE!C:Q,8,false)</f>
        <v>IBU</v>
      </c>
      <c r="P2831" s="65">
        <f>VLOOKUP(E2831,DATABASE!C:Q,9,False)</f>
        <v>1</v>
      </c>
      <c r="Q2831" s="93" t="str">
        <f>VLOOKUP(E2831,DATABASE!C:Q,4,false)</f>
        <v>Dunlop</v>
      </c>
      <c r="R2831" s="93" t="str">
        <f>VLOOKUP(E2831,DATABASE!C:Q,11,false)</f>
        <v>Tire</v>
      </c>
    </row>
    <row r="2832" ht="22.5" customHeight="1">
      <c r="A2832" s="49"/>
      <c r="C2832" s="384">
        <v>45805.0</v>
      </c>
      <c r="D2832" s="65">
        <v>5844.0</v>
      </c>
      <c r="E2832" s="445" t="s">
        <v>2199</v>
      </c>
      <c r="F2832" s="386">
        <v>1.0</v>
      </c>
      <c r="G2832" s="74">
        <v>15000.0</v>
      </c>
      <c r="H2832" s="74">
        <v>0.0</v>
      </c>
      <c r="I2832" s="74">
        <f t="shared" si="1"/>
        <v>15000</v>
      </c>
      <c r="J2832" s="74">
        <f>IF(E2832="SERVICE",I2832-(I2832*50%),Vlookup(E2832,DATABASE!C:Q,10,false)*F2832)</f>
        <v>0</v>
      </c>
      <c r="K2832" s="74">
        <f>VLOOKUP(E2832,DATABASE!C:Q,7,false)</f>
        <v>5000</v>
      </c>
      <c r="L2832" s="74">
        <v>0.0</v>
      </c>
      <c r="M2832" s="74">
        <f t="shared" si="2"/>
        <v>0</v>
      </c>
      <c r="N2832" s="74">
        <f t="shared" si="3"/>
        <v>15000</v>
      </c>
      <c r="O2832" s="65" t="str">
        <f>VLOOKUP(E2832,DATABASE!C:Q,8,false)</f>
        <v>BIAN</v>
      </c>
      <c r="P2832" s="65">
        <f>VLOOKUP(E2832,DATABASE!C:Q,9,False)</f>
        <v>0</v>
      </c>
      <c r="Q2832" s="93" t="str">
        <f>VLOOKUP(E2832,DATABASE!C:Q,4,false)</f>
        <v>TAMBAL TUBLES</v>
      </c>
      <c r="R2832" s="93" t="str">
        <f>VLOOKUP(E2832,DATABASE!C:Q,11,false)</f>
        <v>COMPLEMENTARY</v>
      </c>
    </row>
    <row r="2833" ht="22.5" customHeight="1">
      <c r="A2833" s="49"/>
      <c r="C2833" s="384">
        <v>45805.0</v>
      </c>
      <c r="D2833" s="65">
        <v>5844.0</v>
      </c>
      <c r="E2833" s="445" t="s">
        <v>246</v>
      </c>
      <c r="F2833" s="386">
        <v>1.0</v>
      </c>
      <c r="G2833" s="74">
        <v>25000.0</v>
      </c>
      <c r="H2833" s="74">
        <v>0.0</v>
      </c>
      <c r="I2833" s="74">
        <f t="shared" si="1"/>
        <v>25000</v>
      </c>
      <c r="J2833" s="74">
        <f>IF(E2833="SERVICE",I2833-(I2833*50%),Vlookup(E2833,DATABASE!C:Q,10,false)*F2833)</f>
        <v>0</v>
      </c>
      <c r="K2833" s="74">
        <f>VLOOKUP(E2833,DATABASE!C:Q,7,false)</f>
        <v>0</v>
      </c>
      <c r="L2833" s="74">
        <v>0.0</v>
      </c>
      <c r="M2833" s="74">
        <f t="shared" si="2"/>
        <v>0</v>
      </c>
      <c r="N2833" s="74">
        <f t="shared" si="3"/>
        <v>25000</v>
      </c>
      <c r="O2833" s="65" t="str">
        <f>VLOOKUP(E2833,DATABASE!C:Q,8,false)</f>
        <v>IBU</v>
      </c>
      <c r="P2833" s="65">
        <f>VLOOKUP(E2833,DATABASE!C:Q,9,False)</f>
        <v>0</v>
      </c>
      <c r="Q2833" s="93" t="str">
        <f>VLOOKUP(E2833,DATABASE!C:Q,4,false)</f>
        <v>Bongkar Pasang</v>
      </c>
      <c r="R2833" s="93" t="str">
        <f>VLOOKUP(E2833,DATABASE!C:Q,11,false)</f>
        <v>SERVICE</v>
      </c>
    </row>
    <row r="2834" ht="22.5" customHeight="1">
      <c r="A2834" s="49"/>
      <c r="C2834" s="384">
        <v>45805.0</v>
      </c>
      <c r="D2834" s="65">
        <v>5844.0</v>
      </c>
      <c r="E2834" s="445" t="s">
        <v>256</v>
      </c>
      <c r="F2834" s="386">
        <v>1.0</v>
      </c>
      <c r="G2834" s="74">
        <v>130000.0</v>
      </c>
      <c r="H2834" s="74">
        <v>0.0</v>
      </c>
      <c r="I2834" s="74">
        <f t="shared" si="1"/>
        <v>130000</v>
      </c>
      <c r="J2834" s="74">
        <f>IF(E2834="SERVICE",I2834-(I2834*50%),Vlookup(E2834,DATABASE!C:Q,10,false)*F2834)</f>
        <v>10000</v>
      </c>
      <c r="K2834" s="74">
        <f>VLOOKUP(E2834,DATABASE!C:Q,7,false)</f>
        <v>0</v>
      </c>
      <c r="L2834" s="74">
        <v>0.0</v>
      </c>
      <c r="M2834" s="74">
        <f t="shared" si="2"/>
        <v>0</v>
      </c>
      <c r="N2834" s="74">
        <f t="shared" si="3"/>
        <v>120000</v>
      </c>
      <c r="O2834" s="65" t="str">
        <f>VLOOKUP(E2834,DATABASE!C:Q,8,false)</f>
        <v>IBU</v>
      </c>
      <c r="P2834" s="65">
        <f>VLOOKUP(E2834,DATABASE!C:Q,9,False)</f>
        <v>0</v>
      </c>
      <c r="Q2834" s="93" t="str">
        <f>VLOOKUP(E2834,DATABASE!C:Q,4,false)</f>
        <v>SPOORING</v>
      </c>
      <c r="R2834" s="93" t="str">
        <f>VLOOKUP(E2834,DATABASE!C:Q,11,false)</f>
        <v>SERVICE</v>
      </c>
    </row>
    <row r="2835" ht="22.5" customHeight="1">
      <c r="A2835" s="49"/>
      <c r="C2835" s="384">
        <v>45805.0</v>
      </c>
      <c r="D2835" s="65">
        <v>5844.0</v>
      </c>
      <c r="E2835" s="445" t="s">
        <v>251</v>
      </c>
      <c r="F2835" s="386">
        <v>1.0</v>
      </c>
      <c r="G2835" s="74">
        <v>150000.0</v>
      </c>
      <c r="H2835" s="74">
        <v>0.0</v>
      </c>
      <c r="I2835" s="74">
        <f t="shared" si="1"/>
        <v>150000</v>
      </c>
      <c r="J2835" s="74">
        <f>IF(E2835="SERVICE",I2835-(I2835*50%),Vlookup(E2835,DATABASE!C:Q,10,false)*F2835)</f>
        <v>75000</v>
      </c>
      <c r="K2835" s="74">
        <f>VLOOKUP(E2835,DATABASE!C:Q,7,false)</f>
        <v>0</v>
      </c>
      <c r="L2835" s="74">
        <v>0.0</v>
      </c>
      <c r="M2835" s="74">
        <f t="shared" si="2"/>
        <v>0</v>
      </c>
      <c r="N2835" s="74">
        <f t="shared" si="3"/>
        <v>75000</v>
      </c>
      <c r="O2835" s="65" t="str">
        <f>VLOOKUP(E2835,DATABASE!C:Q,8,false)</f>
        <v>IBU</v>
      </c>
      <c r="P2835" s="65">
        <f>VLOOKUP(E2835,DATABASE!C:Q,9,False)</f>
        <v>0</v>
      </c>
      <c r="Q2835" s="93" t="str">
        <f>VLOOKUP(E2835,DATABASE!C:Q,4,false)</f>
        <v>SERVICE</v>
      </c>
      <c r="R2835" s="93" t="str">
        <f>VLOOKUP(E2835,DATABASE!C:Q,11,false)</f>
        <v>SERVICE</v>
      </c>
    </row>
    <row r="2836" ht="22.5" customHeight="1">
      <c r="A2836" s="49"/>
      <c r="C2836" s="384">
        <v>45805.0</v>
      </c>
      <c r="D2836" s="65">
        <v>5845.0</v>
      </c>
      <c r="E2836" s="445" t="s">
        <v>246</v>
      </c>
      <c r="F2836" s="386">
        <v>1.0</v>
      </c>
      <c r="G2836" s="74">
        <v>30000.0</v>
      </c>
      <c r="H2836" s="74">
        <v>0.0</v>
      </c>
      <c r="I2836" s="74">
        <f t="shared" si="1"/>
        <v>30000</v>
      </c>
      <c r="J2836" s="74">
        <f>IF(E2836="SERVICE",I2836-(I2836*50%),Vlookup(E2836,DATABASE!C:Q,10,false)*F2836)</f>
        <v>0</v>
      </c>
      <c r="K2836" s="74">
        <f>VLOOKUP(E2836,DATABASE!C:Q,7,false)</f>
        <v>0</v>
      </c>
      <c r="L2836" s="74">
        <v>0.0</v>
      </c>
      <c r="M2836" s="74">
        <f t="shared" si="2"/>
        <v>0</v>
      </c>
      <c r="N2836" s="74">
        <f t="shared" si="3"/>
        <v>30000</v>
      </c>
      <c r="O2836" s="65" t="str">
        <f>VLOOKUP(E2836,DATABASE!C:Q,8,false)</f>
        <v>IBU</v>
      </c>
      <c r="P2836" s="65">
        <f>VLOOKUP(E2836,DATABASE!C:Q,9,False)</f>
        <v>0</v>
      </c>
      <c r="Q2836" s="93" t="str">
        <f>VLOOKUP(E2836,DATABASE!C:Q,4,false)</f>
        <v>Bongkar Pasang</v>
      </c>
      <c r="R2836" s="93" t="str">
        <f>VLOOKUP(E2836,DATABASE!C:Q,11,false)</f>
        <v>SERVICE</v>
      </c>
    </row>
    <row r="2837" ht="22.5" customHeight="1">
      <c r="A2837" s="49"/>
      <c r="C2837" s="384">
        <v>45805.0</v>
      </c>
      <c r="D2837" s="65">
        <v>5846.0</v>
      </c>
      <c r="E2837" s="445" t="s">
        <v>1894</v>
      </c>
      <c r="F2837" s="386">
        <v>1.0</v>
      </c>
      <c r="G2837" s="74">
        <v>545000.0</v>
      </c>
      <c r="H2837" s="74">
        <v>0.0</v>
      </c>
      <c r="I2837" s="74">
        <f t="shared" si="1"/>
        <v>545000</v>
      </c>
      <c r="J2837" s="74">
        <f>IF(E2837="SERVICE",I2837-(I2837*50%),Vlookup(E2837,DATABASE!C:Q,10,false)*F2837)</f>
        <v>0</v>
      </c>
      <c r="K2837" s="74">
        <f>VLOOKUP(E2837,DATABASE!C:Q,7,false)</f>
        <v>458600</v>
      </c>
      <c r="L2837" s="74">
        <v>445400.0</v>
      </c>
      <c r="M2837" s="74">
        <f t="shared" si="2"/>
        <v>450000</v>
      </c>
      <c r="N2837" s="74">
        <f t="shared" si="3"/>
        <v>95000</v>
      </c>
      <c r="O2837" s="65" t="str">
        <f>VLOOKUP(E2837,DATABASE!C:Q,8,false)</f>
        <v>BIAN</v>
      </c>
      <c r="P2837" s="65">
        <f>VLOOKUP(E2837,DATABASE!C:Q,9,False)</f>
        <v>1</v>
      </c>
      <c r="Q2837" s="93" t="str">
        <f>VLOOKUP(E2837,DATABASE!C:Q,4,false)</f>
        <v>GT</v>
      </c>
      <c r="R2837" s="93" t="str">
        <f>VLOOKUP(E2837,DATABASE!C:Q,11,false)</f>
        <v>Tire</v>
      </c>
    </row>
    <row r="2838" ht="22.5" customHeight="1">
      <c r="A2838" s="49"/>
      <c r="C2838" s="384">
        <v>45805.0</v>
      </c>
      <c r="D2838" s="65">
        <v>5847.0</v>
      </c>
      <c r="E2838" s="445" t="s">
        <v>781</v>
      </c>
      <c r="F2838" s="386">
        <v>4.0</v>
      </c>
      <c r="G2838" s="74">
        <v>530000.0</v>
      </c>
      <c r="H2838" s="74">
        <v>0.0</v>
      </c>
      <c r="I2838" s="74">
        <f t="shared" si="1"/>
        <v>2120000</v>
      </c>
      <c r="J2838" s="74">
        <f>IF(E2838="SERVICE",I2838-(I2838*50%),Vlookup(E2838,DATABASE!C:Q,10,false)*F2838)</f>
        <v>0</v>
      </c>
      <c r="K2838" s="74">
        <f>VLOOKUP(E2838,DATABASE!C:Q,7,false)</f>
        <v>470000</v>
      </c>
      <c r="L2838" s="74">
        <v>442500.0</v>
      </c>
      <c r="M2838" s="74">
        <f t="shared" si="2"/>
        <v>445000</v>
      </c>
      <c r="N2838" s="74">
        <f t="shared" si="3"/>
        <v>340000</v>
      </c>
      <c r="O2838" s="65" t="str">
        <f>VLOOKUP(E2838,DATABASE!C:Q,8,false)</f>
        <v>BIAN</v>
      </c>
      <c r="P2838" s="65">
        <f>VLOOKUP(E2838,DATABASE!C:Q,9,False)</f>
        <v>1</v>
      </c>
      <c r="Q2838" s="93" t="str">
        <f>VLOOKUP(E2838,DATABASE!C:Q,4,false)</f>
        <v>GT</v>
      </c>
      <c r="R2838" s="93" t="str">
        <f>VLOOKUP(E2838,DATABASE!C:Q,11,false)</f>
        <v>Tire</v>
      </c>
    </row>
    <row r="2839" ht="22.5" customHeight="1">
      <c r="A2839" s="49"/>
      <c r="C2839" s="384">
        <v>45805.0</v>
      </c>
      <c r="D2839" s="65">
        <v>5848.0</v>
      </c>
      <c r="E2839" s="445" t="s">
        <v>572</v>
      </c>
      <c r="F2839" s="386">
        <v>2.0</v>
      </c>
      <c r="G2839" s="74">
        <v>1370000.0</v>
      </c>
      <c r="H2839" s="74">
        <v>0.0</v>
      </c>
      <c r="I2839" s="74">
        <f t="shared" si="1"/>
        <v>2740000</v>
      </c>
      <c r="J2839" s="74">
        <f>IF(E2839="SERVICE",I2839-(I2839*50%),Vlookup(E2839,DATABASE!C:Q,10,false)*F2839)</f>
        <v>0</v>
      </c>
      <c r="K2839" s="140">
        <v>1270000.0</v>
      </c>
      <c r="L2839" s="140">
        <v>1270000.0</v>
      </c>
      <c r="M2839" s="74">
        <f t="shared" si="2"/>
        <v>1270000</v>
      </c>
      <c r="N2839" s="74">
        <f t="shared" si="3"/>
        <v>200000</v>
      </c>
      <c r="O2839" s="65" t="str">
        <f>VLOOKUP(E2839,DATABASE!C:Q,8,false)</f>
        <v>IBU</v>
      </c>
      <c r="P2839" s="65">
        <f>VLOOKUP(E2839,DATABASE!C:Q,9,False)</f>
        <v>1</v>
      </c>
      <c r="Q2839" s="93" t="str">
        <f>VLOOKUP(E2839,DATABASE!C:Q,4,false)</f>
        <v>Bridgestone</v>
      </c>
      <c r="R2839" s="93" t="str">
        <f>VLOOKUP(E2839,DATABASE!C:Q,11,false)</f>
        <v>Tire</v>
      </c>
    </row>
    <row r="2840" ht="22.5" customHeight="1">
      <c r="A2840" s="49"/>
      <c r="C2840" s="384">
        <v>45805.0</v>
      </c>
      <c r="D2840" s="65">
        <v>5849.0</v>
      </c>
      <c r="E2840" s="445" t="s">
        <v>268</v>
      </c>
      <c r="F2840" s="386">
        <v>2.0</v>
      </c>
      <c r="G2840" s="74">
        <v>720000.0</v>
      </c>
      <c r="H2840" s="74">
        <v>0.0</v>
      </c>
      <c r="I2840" s="74">
        <f t="shared" si="1"/>
        <v>1440000</v>
      </c>
      <c r="J2840" s="74">
        <f>IF(E2840="SERVICE",I2840-(I2840*50%),Vlookup(E2840,DATABASE!C:Q,10,false)*F2840)</f>
        <v>0</v>
      </c>
      <c r="K2840" s="74">
        <f>VLOOKUP(E2840,DATABASE!C:Q,7,false)</f>
        <v>653000</v>
      </c>
      <c r="L2840" s="74">
        <v>622000.0</v>
      </c>
      <c r="M2840" s="74">
        <f t="shared" si="2"/>
        <v>625000</v>
      </c>
      <c r="N2840" s="74">
        <f t="shared" si="3"/>
        <v>190000</v>
      </c>
      <c r="O2840" s="65" t="str">
        <f>VLOOKUP(E2840,DATABASE!C:Q,8,false)</f>
        <v>IBU</v>
      </c>
      <c r="P2840" s="65">
        <f>VLOOKUP(E2840,DATABASE!C:Q,9,False)</f>
        <v>1</v>
      </c>
      <c r="Q2840" s="93" t="str">
        <f>VLOOKUP(E2840,DATABASE!C:Q,4,false)</f>
        <v>Dunlop</v>
      </c>
      <c r="R2840" s="93" t="str">
        <f>VLOOKUP(E2840,DATABASE!C:Q,11,false)</f>
        <v>Tire</v>
      </c>
    </row>
    <row r="2841" ht="22.5" customHeight="1">
      <c r="A2841" s="49"/>
      <c r="C2841" s="384">
        <v>45805.0</v>
      </c>
      <c r="D2841" s="65">
        <v>5850.0</v>
      </c>
      <c r="E2841" s="445" t="s">
        <v>262</v>
      </c>
      <c r="F2841" s="386">
        <v>1.0</v>
      </c>
      <c r="G2841" s="74">
        <v>110000.0</v>
      </c>
      <c r="H2841" s="74">
        <v>0.0</v>
      </c>
      <c r="I2841" s="74">
        <f t="shared" si="1"/>
        <v>110000</v>
      </c>
      <c r="J2841" s="74">
        <f>IF(E2841="SERVICE",I2841-(I2841*50%),Vlookup(E2841,DATABASE!C:Q,10,false)*F2841)</f>
        <v>5000</v>
      </c>
      <c r="K2841" s="74">
        <f>VLOOKUP(E2841,DATABASE!C:Q,7,false)</f>
        <v>0</v>
      </c>
      <c r="L2841" s="74">
        <v>0.0</v>
      </c>
      <c r="M2841" s="74">
        <f t="shared" si="2"/>
        <v>0</v>
      </c>
      <c r="N2841" s="74">
        <f t="shared" si="3"/>
        <v>105000</v>
      </c>
      <c r="O2841" s="65" t="str">
        <f>VLOOKUP(E2841,DATABASE!C:Q,8,false)</f>
        <v>IBU</v>
      </c>
      <c r="P2841" s="65">
        <f>VLOOKUP(E2841,DATABASE!C:Q,9,False)</f>
        <v>0</v>
      </c>
      <c r="Q2841" s="93" t="str">
        <f>VLOOKUP(E2841,DATABASE!C:Q,4,false)</f>
        <v>SPOORING SS/CARRY LOS BAK</v>
      </c>
      <c r="R2841" s="93" t="str">
        <f>VLOOKUP(E2841,DATABASE!C:Q,11,false)</f>
        <v>SERVICE</v>
      </c>
    </row>
    <row r="2842" ht="22.5" customHeight="1">
      <c r="A2842" s="49"/>
      <c r="C2842" s="384">
        <v>45805.0</v>
      </c>
      <c r="D2842" s="65">
        <v>5850.0</v>
      </c>
      <c r="E2842" s="445" t="s">
        <v>251</v>
      </c>
      <c r="F2842" s="386">
        <v>1.0</v>
      </c>
      <c r="G2842" s="74">
        <v>150000.0</v>
      </c>
      <c r="H2842" s="74">
        <v>0.0</v>
      </c>
      <c r="I2842" s="74">
        <f t="shared" si="1"/>
        <v>150000</v>
      </c>
      <c r="J2842" s="74">
        <f>IF(E2842="SERVICE",I2842-(I2842*50%),Vlookup(E2842,DATABASE!C:Q,10,false)*F2842)</f>
        <v>75000</v>
      </c>
      <c r="K2842" s="74">
        <f>VLOOKUP(E2842,DATABASE!C:Q,7,false)</f>
        <v>0</v>
      </c>
      <c r="L2842" s="74">
        <v>0.0</v>
      </c>
      <c r="M2842" s="74">
        <f t="shared" si="2"/>
        <v>0</v>
      </c>
      <c r="N2842" s="74">
        <f t="shared" si="3"/>
        <v>75000</v>
      </c>
      <c r="O2842" s="65" t="str">
        <f>VLOOKUP(E2842,DATABASE!C:Q,8,false)</f>
        <v>IBU</v>
      </c>
      <c r="P2842" s="65">
        <f>VLOOKUP(E2842,DATABASE!C:Q,9,False)</f>
        <v>0</v>
      </c>
      <c r="Q2842" s="93" t="str">
        <f>VLOOKUP(E2842,DATABASE!C:Q,4,false)</f>
        <v>SERVICE</v>
      </c>
      <c r="R2842" s="93" t="str">
        <f>VLOOKUP(E2842,DATABASE!C:Q,11,false)</f>
        <v>SERVICE</v>
      </c>
    </row>
    <row r="2843" ht="22.5" customHeight="1">
      <c r="A2843" s="49"/>
      <c r="C2843" s="384">
        <v>45806.0</v>
      </c>
      <c r="D2843" s="65">
        <v>5851.0</v>
      </c>
      <c r="E2843" s="445" t="s">
        <v>256</v>
      </c>
      <c r="F2843" s="386">
        <v>1.0</v>
      </c>
      <c r="G2843" s="74">
        <v>65000.0</v>
      </c>
      <c r="H2843" s="74">
        <v>0.0</v>
      </c>
      <c r="I2843" s="74">
        <f t="shared" si="1"/>
        <v>65000</v>
      </c>
      <c r="J2843" s="74">
        <f>IF(E2843="SERVICE",I2843-(I2843*50%),Vlookup(E2843,DATABASE!C:Q,10,false)*F2843)</f>
        <v>10000</v>
      </c>
      <c r="K2843" s="74">
        <f>VLOOKUP(E2843,DATABASE!C:Q,7,false)</f>
        <v>0</v>
      </c>
      <c r="L2843" s="74">
        <v>0.0</v>
      </c>
      <c r="M2843" s="74">
        <f t="shared" si="2"/>
        <v>0</v>
      </c>
      <c r="N2843" s="74">
        <f t="shared" si="3"/>
        <v>55000</v>
      </c>
      <c r="O2843" s="65" t="str">
        <f>VLOOKUP(E2843,DATABASE!C:Q,8,false)</f>
        <v>IBU</v>
      </c>
      <c r="P2843" s="65">
        <f>VLOOKUP(E2843,DATABASE!C:Q,9,False)</f>
        <v>0</v>
      </c>
      <c r="Q2843" s="93" t="str">
        <f>VLOOKUP(E2843,DATABASE!C:Q,4,false)</f>
        <v>SPOORING</v>
      </c>
      <c r="R2843" s="93" t="str">
        <f>VLOOKUP(E2843,DATABASE!C:Q,11,false)</f>
        <v>SERVICE</v>
      </c>
    </row>
    <row r="2844" ht="22.5" customHeight="1">
      <c r="A2844" s="49"/>
      <c r="C2844" s="384">
        <v>45806.0</v>
      </c>
      <c r="D2844" s="65">
        <v>5852.0</v>
      </c>
      <c r="E2844" s="445" t="s">
        <v>246</v>
      </c>
      <c r="F2844" s="386">
        <v>1.0</v>
      </c>
      <c r="G2844" s="74">
        <v>25000.0</v>
      </c>
      <c r="H2844" s="74">
        <v>0.0</v>
      </c>
      <c r="I2844" s="74">
        <f t="shared" si="1"/>
        <v>25000</v>
      </c>
      <c r="J2844" s="74">
        <f>IF(E2844="SERVICE",I2844-(I2844*50%),Vlookup(E2844,DATABASE!C:Q,10,false)*F2844)</f>
        <v>0</v>
      </c>
      <c r="K2844" s="74">
        <f>VLOOKUP(E2844,DATABASE!C:Q,7,false)</f>
        <v>0</v>
      </c>
      <c r="L2844" s="74">
        <v>0.0</v>
      </c>
      <c r="M2844" s="74">
        <f t="shared" si="2"/>
        <v>0</v>
      </c>
      <c r="N2844" s="74">
        <f t="shared" si="3"/>
        <v>25000</v>
      </c>
      <c r="O2844" s="65" t="str">
        <f>VLOOKUP(E2844,DATABASE!C:Q,8,false)</f>
        <v>IBU</v>
      </c>
      <c r="P2844" s="65">
        <f>VLOOKUP(E2844,DATABASE!C:Q,9,False)</f>
        <v>0</v>
      </c>
      <c r="Q2844" s="93" t="str">
        <f>VLOOKUP(E2844,DATABASE!C:Q,4,false)</f>
        <v>Bongkar Pasang</v>
      </c>
      <c r="R2844" s="93" t="str">
        <f>VLOOKUP(E2844,DATABASE!C:Q,11,false)</f>
        <v>SERVICE</v>
      </c>
    </row>
    <row r="2845" ht="22.5" customHeight="1">
      <c r="A2845" s="49"/>
      <c r="C2845" s="384">
        <v>45806.0</v>
      </c>
      <c r="D2845" s="65">
        <v>5852.0</v>
      </c>
      <c r="E2845" s="445" t="s">
        <v>2199</v>
      </c>
      <c r="F2845" s="386">
        <v>1.0</v>
      </c>
      <c r="G2845" s="74">
        <v>15000.0</v>
      </c>
      <c r="H2845" s="74">
        <v>0.0</v>
      </c>
      <c r="I2845" s="74">
        <f t="shared" si="1"/>
        <v>15000</v>
      </c>
      <c r="J2845" s="74">
        <f>IF(E2845="SERVICE",I2845-(I2845*50%),Vlookup(E2845,DATABASE!C:Q,10,false)*F2845)</f>
        <v>0</v>
      </c>
      <c r="K2845" s="74">
        <f>VLOOKUP(E2845,DATABASE!C:Q,7,false)</f>
        <v>5000</v>
      </c>
      <c r="L2845" s="74">
        <v>0.0</v>
      </c>
      <c r="M2845" s="74">
        <f t="shared" si="2"/>
        <v>0</v>
      </c>
      <c r="N2845" s="74">
        <f t="shared" si="3"/>
        <v>15000</v>
      </c>
      <c r="O2845" s="65" t="str">
        <f>VLOOKUP(E2845,DATABASE!C:Q,8,false)</f>
        <v>BIAN</v>
      </c>
      <c r="P2845" s="65">
        <f>VLOOKUP(E2845,DATABASE!C:Q,9,False)</f>
        <v>0</v>
      </c>
      <c r="Q2845" s="93" t="str">
        <f>VLOOKUP(E2845,DATABASE!C:Q,4,false)</f>
        <v>TAMBAL TUBLES</v>
      </c>
      <c r="R2845" s="93" t="str">
        <f>VLOOKUP(E2845,DATABASE!C:Q,11,false)</f>
        <v>COMPLEMENTARY</v>
      </c>
    </row>
    <row r="2846" ht="22.5" customHeight="1">
      <c r="A2846" s="49"/>
      <c r="C2846" s="384">
        <v>45806.0</v>
      </c>
      <c r="D2846" s="65">
        <v>5853.0</v>
      </c>
      <c r="E2846" s="445" t="s">
        <v>1890</v>
      </c>
      <c r="F2846" s="386">
        <v>1.0</v>
      </c>
      <c r="G2846" s="74">
        <v>820000.0</v>
      </c>
      <c r="H2846" s="74">
        <v>0.0</v>
      </c>
      <c r="I2846" s="74">
        <f t="shared" si="1"/>
        <v>820000</v>
      </c>
      <c r="J2846" s="74">
        <f>IF(E2846="SERVICE",I2846-(I2846*50%),Vlookup(E2846,DATABASE!C:Q,10,false)*F2846)</f>
        <v>0</v>
      </c>
      <c r="K2846" s="74">
        <f>VLOOKUP(E2846,DATABASE!C:Q,7,false)</f>
        <v>739600</v>
      </c>
      <c r="L2846" s="74">
        <v>700000.0</v>
      </c>
      <c r="M2846" s="74">
        <f t="shared" si="2"/>
        <v>700000</v>
      </c>
      <c r="N2846" s="74">
        <f t="shared" si="3"/>
        <v>120000</v>
      </c>
      <c r="O2846" s="65" t="str">
        <f>VLOOKUP(E2846,DATABASE!C:Q,8,false)</f>
        <v>BIAN</v>
      </c>
      <c r="P2846" s="65">
        <f>VLOOKUP(E2846,DATABASE!C:Q,9,False)</f>
        <v>1</v>
      </c>
      <c r="Q2846" s="93" t="str">
        <f>VLOOKUP(E2846,DATABASE!C:Q,4,false)</f>
        <v>GT</v>
      </c>
      <c r="R2846" s="93" t="str">
        <f>VLOOKUP(E2846,DATABASE!C:Q,11,false)</f>
        <v>Tire</v>
      </c>
    </row>
    <row r="2847" ht="22.5" customHeight="1">
      <c r="A2847" s="49"/>
      <c r="C2847" s="384">
        <v>45806.0</v>
      </c>
      <c r="D2847" s="65">
        <v>5855.0</v>
      </c>
      <c r="E2847" s="445" t="s">
        <v>275</v>
      </c>
      <c r="F2847" s="386">
        <v>2.0</v>
      </c>
      <c r="G2847" s="74">
        <v>850000.0</v>
      </c>
      <c r="H2847" s="74">
        <v>0.0</v>
      </c>
      <c r="I2847" s="74">
        <f t="shared" si="1"/>
        <v>1700000</v>
      </c>
      <c r="J2847" s="74">
        <f>IF(E2847="SERVICE",I2847-(I2847*50%),Vlookup(E2847,DATABASE!C:Q,10,false)*F2847)</f>
        <v>0</v>
      </c>
      <c r="K2847" s="74">
        <f>VLOOKUP(E2847,DATABASE!C:Q,7,false)</f>
        <v>782000</v>
      </c>
      <c r="L2847" s="74">
        <v>745000.0</v>
      </c>
      <c r="M2847" s="74">
        <f t="shared" si="2"/>
        <v>745000</v>
      </c>
      <c r="N2847" s="74">
        <f t="shared" si="3"/>
        <v>210000</v>
      </c>
      <c r="O2847" s="65" t="str">
        <f>VLOOKUP(E2847,DATABASE!C:Q,8,false)</f>
        <v>IBU</v>
      </c>
      <c r="P2847" s="65">
        <f>VLOOKUP(E2847,DATABASE!C:Q,9,False)</f>
        <v>1</v>
      </c>
      <c r="Q2847" s="93" t="str">
        <f>VLOOKUP(E2847,DATABASE!C:Q,4,false)</f>
        <v>Dunlop</v>
      </c>
      <c r="R2847" s="93" t="str">
        <f>VLOOKUP(E2847,DATABASE!C:Q,11,false)</f>
        <v>Tire</v>
      </c>
    </row>
    <row r="2848" ht="22.5" customHeight="1">
      <c r="A2848" s="49"/>
      <c r="C2848" s="384">
        <v>45806.0</v>
      </c>
      <c r="D2848" s="65">
        <v>5856.0</v>
      </c>
      <c r="E2848" s="445" t="s">
        <v>262</v>
      </c>
      <c r="F2848" s="386">
        <v>1.0</v>
      </c>
      <c r="G2848" s="74">
        <v>110000.0</v>
      </c>
      <c r="H2848" s="74">
        <v>0.0</v>
      </c>
      <c r="I2848" s="74">
        <f t="shared" si="1"/>
        <v>110000</v>
      </c>
      <c r="J2848" s="74">
        <f>IF(E2848="SERVICE",I2848-(I2848*50%),Vlookup(E2848,DATABASE!C:Q,10,false)*F2848)</f>
        <v>5000</v>
      </c>
      <c r="K2848" s="74">
        <f>VLOOKUP(E2848,DATABASE!C:Q,7,false)</f>
        <v>0</v>
      </c>
      <c r="L2848" s="74">
        <v>0.0</v>
      </c>
      <c r="M2848" s="74">
        <f t="shared" si="2"/>
        <v>0</v>
      </c>
      <c r="N2848" s="74">
        <f t="shared" si="3"/>
        <v>105000</v>
      </c>
      <c r="O2848" s="65" t="str">
        <f>VLOOKUP(E2848,DATABASE!C:Q,8,false)</f>
        <v>IBU</v>
      </c>
      <c r="P2848" s="65">
        <f>VLOOKUP(E2848,DATABASE!C:Q,9,False)</f>
        <v>0</v>
      </c>
      <c r="Q2848" s="93" t="str">
        <f>VLOOKUP(E2848,DATABASE!C:Q,4,false)</f>
        <v>SPOORING SS/CARRY LOS BAK</v>
      </c>
      <c r="R2848" s="93" t="str">
        <f>VLOOKUP(E2848,DATABASE!C:Q,11,false)</f>
        <v>SERVICE</v>
      </c>
    </row>
    <row r="2849" ht="22.5" customHeight="1">
      <c r="A2849" s="49"/>
      <c r="C2849" s="384">
        <v>45806.0</v>
      </c>
      <c r="D2849" s="65">
        <v>5856.0</v>
      </c>
      <c r="E2849" s="445" t="s">
        <v>251</v>
      </c>
      <c r="F2849" s="386">
        <v>1.0</v>
      </c>
      <c r="G2849" s="74">
        <v>150000.0</v>
      </c>
      <c r="H2849" s="74">
        <v>0.0</v>
      </c>
      <c r="I2849" s="74">
        <f t="shared" si="1"/>
        <v>150000</v>
      </c>
      <c r="J2849" s="74">
        <f>IF(E2849="SERVICE",I2849-(I2849*50%),Vlookup(E2849,DATABASE!C:Q,10,false)*F2849)</f>
        <v>75000</v>
      </c>
      <c r="K2849" s="74">
        <f>VLOOKUP(E2849,DATABASE!C:Q,7,false)</f>
        <v>0</v>
      </c>
      <c r="L2849" s="74">
        <v>0.0</v>
      </c>
      <c r="M2849" s="74">
        <f t="shared" si="2"/>
        <v>0</v>
      </c>
      <c r="N2849" s="74">
        <f t="shared" si="3"/>
        <v>75000</v>
      </c>
      <c r="O2849" s="65" t="str">
        <f>VLOOKUP(E2849,DATABASE!C:Q,8,false)</f>
        <v>IBU</v>
      </c>
      <c r="P2849" s="65">
        <f>VLOOKUP(E2849,DATABASE!C:Q,9,False)</f>
        <v>0</v>
      </c>
      <c r="Q2849" s="93" t="str">
        <f>VLOOKUP(E2849,DATABASE!C:Q,4,false)</f>
        <v>SERVICE</v>
      </c>
      <c r="R2849" s="93" t="str">
        <f>VLOOKUP(E2849,DATABASE!C:Q,11,false)</f>
        <v>SERVICE</v>
      </c>
    </row>
    <row r="2850" ht="22.5" customHeight="1">
      <c r="A2850" s="49"/>
      <c r="C2850" s="384">
        <v>45806.0</v>
      </c>
      <c r="D2850" s="65">
        <v>5857.0</v>
      </c>
      <c r="E2850" s="445" t="s">
        <v>1076</v>
      </c>
      <c r="F2850" s="386">
        <v>1.0</v>
      </c>
      <c r="G2850" s="74">
        <v>770000.0</v>
      </c>
      <c r="H2850" s="74">
        <v>0.0</v>
      </c>
      <c r="I2850" s="74">
        <f t="shared" si="1"/>
        <v>770000</v>
      </c>
      <c r="J2850" s="74">
        <f>IF(E2850="SERVICE",I2850-(I2850*50%),Vlookup(E2850,DATABASE!C:Q,10,false)*F2850)</f>
        <v>0</v>
      </c>
      <c r="K2850" s="74">
        <f>VLOOKUP(E2850,DATABASE!C:Q,7,false)</f>
        <v>666540</v>
      </c>
      <c r="L2850" s="74">
        <v>666540.0</v>
      </c>
      <c r="M2850" s="74">
        <f t="shared" si="2"/>
        <v>670000</v>
      </c>
      <c r="N2850" s="74">
        <f t="shared" si="3"/>
        <v>100000</v>
      </c>
      <c r="O2850" s="65" t="str">
        <f>VLOOKUP(E2850,DATABASE!C:Q,8,false)</f>
        <v>BIAN</v>
      </c>
      <c r="P2850" s="65">
        <f>VLOOKUP(E2850,DATABASE!C:Q,9,False)</f>
        <v>1</v>
      </c>
      <c r="Q2850" s="93" t="str">
        <f>VLOOKUP(E2850,DATABASE!C:Q,4,false)</f>
        <v>GT</v>
      </c>
      <c r="R2850" s="93" t="str">
        <f>VLOOKUP(E2850,DATABASE!C:Q,11,false)</f>
        <v>Tire</v>
      </c>
    </row>
    <row r="2851" ht="22.5" customHeight="1">
      <c r="A2851" s="49"/>
      <c r="C2851" s="384">
        <v>45806.0</v>
      </c>
      <c r="D2851" s="65">
        <v>5858.0</v>
      </c>
      <c r="E2851" s="445" t="s">
        <v>256</v>
      </c>
      <c r="F2851" s="386">
        <v>1.0</v>
      </c>
      <c r="G2851" s="74">
        <v>130000.0</v>
      </c>
      <c r="H2851" s="74">
        <v>0.0</v>
      </c>
      <c r="I2851" s="74">
        <f t="shared" si="1"/>
        <v>130000</v>
      </c>
      <c r="J2851" s="74">
        <f>IF(E2851="SERVICE",I2851-(I2851*50%),Vlookup(E2851,DATABASE!C:Q,10,false)*F2851)</f>
        <v>10000</v>
      </c>
      <c r="K2851" s="74">
        <f>VLOOKUP(E2851,DATABASE!C:Q,7,false)</f>
        <v>0</v>
      </c>
      <c r="L2851" s="74">
        <v>0.0</v>
      </c>
      <c r="M2851" s="74">
        <f t="shared" si="2"/>
        <v>0</v>
      </c>
      <c r="N2851" s="74">
        <f t="shared" si="3"/>
        <v>120000</v>
      </c>
      <c r="O2851" s="65" t="str">
        <f>VLOOKUP(E2851,DATABASE!C:Q,8,false)</f>
        <v>IBU</v>
      </c>
      <c r="P2851" s="65">
        <f>VLOOKUP(E2851,DATABASE!C:Q,9,False)</f>
        <v>0</v>
      </c>
      <c r="Q2851" s="93" t="str">
        <f>VLOOKUP(E2851,DATABASE!C:Q,4,false)</f>
        <v>SPOORING</v>
      </c>
      <c r="R2851" s="93" t="str">
        <f>VLOOKUP(E2851,DATABASE!C:Q,11,false)</f>
        <v>SERVICE</v>
      </c>
    </row>
    <row r="2852" ht="22.5" customHeight="1">
      <c r="A2852" s="49"/>
      <c r="C2852" s="384">
        <v>45806.0</v>
      </c>
      <c r="D2852" s="65">
        <v>5859.0</v>
      </c>
      <c r="E2852" s="445" t="s">
        <v>275</v>
      </c>
      <c r="F2852" s="386">
        <v>1.0</v>
      </c>
      <c r="G2852" s="74">
        <v>850000.0</v>
      </c>
      <c r="H2852" s="74">
        <v>0.0</v>
      </c>
      <c r="I2852" s="74">
        <f t="shared" si="1"/>
        <v>850000</v>
      </c>
      <c r="J2852" s="74">
        <f>IF(E2852="SERVICE",I2852-(I2852*50%),Vlookup(E2852,DATABASE!C:Q,10,false)*F2852)</f>
        <v>0</v>
      </c>
      <c r="K2852" s="74">
        <f>VLOOKUP(E2852,DATABASE!C:Q,7,false)</f>
        <v>782000</v>
      </c>
      <c r="L2852" s="74">
        <v>745000.0</v>
      </c>
      <c r="M2852" s="74">
        <f t="shared" si="2"/>
        <v>745000</v>
      </c>
      <c r="N2852" s="74">
        <f t="shared" si="3"/>
        <v>105000</v>
      </c>
      <c r="O2852" s="65" t="str">
        <f>VLOOKUP(E2852,DATABASE!C:Q,8,false)</f>
        <v>IBU</v>
      </c>
      <c r="P2852" s="65">
        <f>VLOOKUP(E2852,DATABASE!C:Q,9,False)</f>
        <v>1</v>
      </c>
      <c r="Q2852" s="93" t="str">
        <f>VLOOKUP(E2852,DATABASE!C:Q,4,false)</f>
        <v>Dunlop</v>
      </c>
      <c r="R2852" s="93" t="str">
        <f>VLOOKUP(E2852,DATABASE!C:Q,11,false)</f>
        <v>Tire</v>
      </c>
    </row>
    <row r="2853" ht="22.5" customHeight="1">
      <c r="A2853" s="49"/>
      <c r="C2853" s="384">
        <v>45806.0</v>
      </c>
      <c r="D2853" s="65">
        <v>5860.0</v>
      </c>
      <c r="E2853" s="445" t="s">
        <v>1867</v>
      </c>
      <c r="F2853" s="386">
        <v>2.0</v>
      </c>
      <c r="G2853" s="74">
        <v>650000.0</v>
      </c>
      <c r="H2853" s="74">
        <v>0.0</v>
      </c>
      <c r="I2853" s="74">
        <f t="shared" si="1"/>
        <v>1300000</v>
      </c>
      <c r="J2853" s="74">
        <f>IF(E2853="SERVICE",I2853-(I2853*50%),Vlookup(E2853,DATABASE!C:Q,10,false)*F2853)</f>
        <v>0</v>
      </c>
      <c r="K2853" s="74">
        <f>VLOOKUP(E2853,DATABASE!C:Q,7,false)</f>
        <v>575200</v>
      </c>
      <c r="L2853" s="74">
        <v>558200.0</v>
      </c>
      <c r="M2853" s="74">
        <f t="shared" si="2"/>
        <v>560000</v>
      </c>
      <c r="N2853" s="74">
        <f t="shared" si="3"/>
        <v>180000</v>
      </c>
      <c r="O2853" s="65" t="str">
        <f>VLOOKUP(E2853,DATABASE!C:Q,8,false)</f>
        <v>BIAN</v>
      </c>
      <c r="P2853" s="65">
        <f>VLOOKUP(E2853,DATABASE!C:Q,9,False)</f>
        <v>1</v>
      </c>
      <c r="Q2853" s="93" t="str">
        <f>VLOOKUP(E2853,DATABASE!C:Q,4,false)</f>
        <v>GT</v>
      </c>
      <c r="R2853" s="93" t="str">
        <f>VLOOKUP(E2853,DATABASE!C:Q,11,false)</f>
        <v>Tire</v>
      </c>
    </row>
    <row r="2854" ht="22.5" customHeight="1">
      <c r="A2854" s="49"/>
      <c r="C2854" s="384">
        <v>45806.0</v>
      </c>
      <c r="D2854" s="65">
        <v>5861.0</v>
      </c>
      <c r="E2854" s="445" t="s">
        <v>1560</v>
      </c>
      <c r="F2854" s="386">
        <v>1.0</v>
      </c>
      <c r="G2854" s="74">
        <v>1235000.0</v>
      </c>
      <c r="H2854" s="74">
        <v>0.0</v>
      </c>
      <c r="I2854" s="74">
        <f t="shared" si="1"/>
        <v>1235000</v>
      </c>
      <c r="J2854" s="74">
        <f>IF(E2854="SERVICE",I2854-(I2854*50%),Vlookup(E2854,DATABASE!C:Q,10,false)*F2854)</f>
        <v>0</v>
      </c>
      <c r="K2854" s="74">
        <f>VLOOKUP(E2854,DATABASE!C:Q,7,false)</f>
        <v>1135000</v>
      </c>
      <c r="L2854" s="74">
        <v>1135000.0</v>
      </c>
      <c r="M2854" s="74">
        <f t="shared" si="2"/>
        <v>1135000</v>
      </c>
      <c r="N2854" s="74">
        <f t="shared" si="3"/>
        <v>100000</v>
      </c>
      <c r="O2854" s="65" t="str">
        <f>VLOOKUP(E2854,DATABASE!C:Q,8,false)</f>
        <v>IBU</v>
      </c>
      <c r="P2854" s="65">
        <f>VLOOKUP(E2854,DATABASE!C:Q,9,False)</f>
        <v>0</v>
      </c>
      <c r="Q2854" s="93" t="str">
        <f>VLOOKUP(E2854,DATABASE!C:Q,4,false)</f>
        <v>Dunlop</v>
      </c>
      <c r="R2854" s="93" t="str">
        <f>VLOOKUP(E2854,DATABASE!C:Q,11,false)</f>
        <v>Tire</v>
      </c>
    </row>
    <row r="2855" ht="22.5" customHeight="1">
      <c r="A2855" s="49"/>
      <c r="C2855" s="384">
        <v>45806.0</v>
      </c>
      <c r="D2855" s="65">
        <v>5862.0</v>
      </c>
      <c r="E2855" s="445" t="s">
        <v>1947</v>
      </c>
      <c r="F2855" s="386">
        <v>1.0</v>
      </c>
      <c r="G2855" s="74">
        <v>770000.0</v>
      </c>
      <c r="H2855" s="74">
        <v>0.0</v>
      </c>
      <c r="I2855" s="74">
        <f t="shared" si="1"/>
        <v>770000</v>
      </c>
      <c r="J2855" s="74">
        <f>IF(E2855="SERVICE",I2855-(I2855*50%),Vlookup(E2855,DATABASE!C:Q,10,false)*F2855)</f>
        <v>0</v>
      </c>
      <c r="K2855" s="74">
        <f>VLOOKUP(E2855,DATABASE!C:Q,7,false)</f>
        <v>694300</v>
      </c>
      <c r="L2855" s="74">
        <v>670000.0</v>
      </c>
      <c r="M2855" s="74">
        <f t="shared" si="2"/>
        <v>670000</v>
      </c>
      <c r="N2855" s="74">
        <f t="shared" si="3"/>
        <v>100000</v>
      </c>
      <c r="O2855" s="65" t="str">
        <f>VLOOKUP(E2855,DATABASE!C:Q,8,false)</f>
        <v>BIAN</v>
      </c>
      <c r="P2855" s="65">
        <f>VLOOKUP(E2855,DATABASE!C:Q,9,False)</f>
        <v>1</v>
      </c>
      <c r="Q2855" s="93" t="str">
        <f>VLOOKUP(E2855,DATABASE!C:Q,4,false)</f>
        <v>GT</v>
      </c>
      <c r="R2855" s="93" t="str">
        <f>VLOOKUP(E2855,DATABASE!C:Q,11,false)</f>
        <v>Tire</v>
      </c>
    </row>
    <row r="2856" ht="22.5" customHeight="1">
      <c r="A2856" s="49"/>
      <c r="C2856" s="384">
        <v>45806.0</v>
      </c>
      <c r="D2856" s="65">
        <v>5863.0</v>
      </c>
      <c r="E2856" s="445" t="s">
        <v>955</v>
      </c>
      <c r="F2856" s="386">
        <v>2.0</v>
      </c>
      <c r="G2856" s="74">
        <v>785000.0</v>
      </c>
      <c r="H2856" s="74">
        <v>0.0</v>
      </c>
      <c r="I2856" s="74">
        <f t="shared" si="1"/>
        <v>1570000</v>
      </c>
      <c r="J2856" s="74">
        <f>IF(E2856="SERVICE",I2856-(I2856*50%),Vlookup(E2856,DATABASE!C:Q,10,false)*F2856)</f>
        <v>0</v>
      </c>
      <c r="K2856" s="74">
        <f>VLOOKUP(E2856,DATABASE!C:Q,7,false)</f>
        <v>712000</v>
      </c>
      <c r="L2856" s="74">
        <v>674000.0</v>
      </c>
      <c r="M2856" s="74">
        <f t="shared" si="2"/>
        <v>675000</v>
      </c>
      <c r="N2856" s="74">
        <f t="shared" si="3"/>
        <v>220000</v>
      </c>
      <c r="O2856" s="65" t="str">
        <f>VLOOKUP(E2856,DATABASE!C:Q,8,false)</f>
        <v>IBU</v>
      </c>
      <c r="P2856" s="65">
        <f>VLOOKUP(E2856,DATABASE!C:Q,9,False)</f>
        <v>1</v>
      </c>
      <c r="Q2856" s="93" t="str">
        <f>VLOOKUP(E2856,DATABASE!C:Q,4,false)</f>
        <v>Dunlop</v>
      </c>
      <c r="R2856" s="93" t="str">
        <f>VLOOKUP(E2856,DATABASE!C:Q,11,false)</f>
        <v>Tire</v>
      </c>
    </row>
    <row r="2857" ht="22.5" customHeight="1">
      <c r="A2857" s="49"/>
      <c r="C2857" s="384">
        <v>45806.0</v>
      </c>
      <c r="D2857" s="65">
        <v>5864.0</v>
      </c>
      <c r="E2857" s="445" t="s">
        <v>256</v>
      </c>
      <c r="F2857" s="386">
        <v>1.0</v>
      </c>
      <c r="G2857" s="74">
        <v>130000.0</v>
      </c>
      <c r="H2857" s="74">
        <v>0.0</v>
      </c>
      <c r="I2857" s="74">
        <f t="shared" si="1"/>
        <v>130000</v>
      </c>
      <c r="J2857" s="74">
        <f>IF(E2857="SERVICE",I2857-(I2857*50%),Vlookup(E2857,DATABASE!C:Q,10,false)*F2857)</f>
        <v>10000</v>
      </c>
      <c r="K2857" s="74">
        <f>VLOOKUP(E2857,DATABASE!C:Q,7,false)</f>
        <v>0</v>
      </c>
      <c r="L2857" s="74">
        <v>0.0</v>
      </c>
      <c r="M2857" s="74">
        <f t="shared" si="2"/>
        <v>0</v>
      </c>
      <c r="N2857" s="74">
        <f t="shared" si="3"/>
        <v>120000</v>
      </c>
      <c r="O2857" s="65" t="str">
        <f>VLOOKUP(E2857,DATABASE!C:Q,8,false)</f>
        <v>IBU</v>
      </c>
      <c r="P2857" s="65">
        <f>VLOOKUP(E2857,DATABASE!C:Q,9,False)</f>
        <v>0</v>
      </c>
      <c r="Q2857" s="93" t="str">
        <f>VLOOKUP(E2857,DATABASE!C:Q,4,false)</f>
        <v>SPOORING</v>
      </c>
      <c r="R2857" s="93" t="str">
        <f>VLOOKUP(E2857,DATABASE!C:Q,11,false)</f>
        <v>SERVICE</v>
      </c>
    </row>
    <row r="2858" ht="22.5" customHeight="1">
      <c r="A2858" s="49"/>
      <c r="C2858" s="384">
        <v>45807.0</v>
      </c>
      <c r="D2858" s="65">
        <v>5867.0</v>
      </c>
      <c r="E2858" s="445" t="s">
        <v>604</v>
      </c>
      <c r="F2858" s="386">
        <v>1.0</v>
      </c>
      <c r="G2858" s="74">
        <v>160000.0</v>
      </c>
      <c r="H2858" s="74">
        <v>0.0</v>
      </c>
      <c r="I2858" s="74">
        <f t="shared" si="1"/>
        <v>160000</v>
      </c>
      <c r="J2858" s="74">
        <f>IF(E2858="SERVICE",I2858-(I2858*50%),Vlookup(E2858,DATABASE!C:Q,10,false)*F2858)</f>
        <v>0</v>
      </c>
      <c r="K2858" s="74">
        <f>VLOOKUP(E2858,DATABASE!C:Q,7,false)</f>
        <v>124000</v>
      </c>
      <c r="L2858" s="74">
        <v>124000.0</v>
      </c>
      <c r="M2858" s="74">
        <f t="shared" si="2"/>
        <v>125000</v>
      </c>
      <c r="N2858" s="74">
        <f t="shared" si="3"/>
        <v>35000</v>
      </c>
      <c r="O2858" s="65" t="str">
        <f>VLOOKUP(E2858,DATABASE!C:Q,8,false)</f>
        <v>BIAN</v>
      </c>
      <c r="P2858" s="65">
        <f>VLOOKUP(E2858,DATABASE!C:Q,9,False)</f>
        <v>1</v>
      </c>
      <c r="Q2858" s="93" t="str">
        <f>VLOOKUP(E2858,DATABASE!C:Q,4,false)</f>
        <v>BD</v>
      </c>
      <c r="R2858" s="93" t="str">
        <f>VLOOKUP(E2858,DATABASE!C:Q,11,false)</f>
        <v>Tire</v>
      </c>
    </row>
    <row r="2859" ht="22.5" customHeight="1">
      <c r="A2859" s="49"/>
      <c r="C2859" s="384">
        <v>45807.0</v>
      </c>
      <c r="D2859" s="65">
        <v>5868.0</v>
      </c>
      <c r="E2859" s="445" t="s">
        <v>897</v>
      </c>
      <c r="F2859" s="386">
        <v>2.0</v>
      </c>
      <c r="G2859" s="74">
        <v>1600000.0</v>
      </c>
      <c r="H2859" s="74">
        <v>0.0</v>
      </c>
      <c r="I2859" s="74">
        <f t="shared" si="1"/>
        <v>3200000</v>
      </c>
      <c r="J2859" s="74">
        <f>IF(E2859="SERVICE",I2859-(I2859*50%),Vlookup(E2859,DATABASE!C:Q,10,false)*F2859)</f>
        <v>0</v>
      </c>
      <c r="K2859" s="74">
        <f>VLOOKUP(E2859,DATABASE!C:Q,7,false)</f>
        <v>1560000</v>
      </c>
      <c r="L2859" s="74">
        <v>1500000.0</v>
      </c>
      <c r="M2859" s="74">
        <f t="shared" si="2"/>
        <v>1500000</v>
      </c>
      <c r="N2859" s="74">
        <f t="shared" si="3"/>
        <v>200000</v>
      </c>
      <c r="O2859" s="65" t="str">
        <f>VLOOKUP(E2859,DATABASE!C:Q,8,false)</f>
        <v>BIAN</v>
      </c>
      <c r="P2859" s="65">
        <f>VLOOKUP(E2859,DATABASE!C:Q,9,False)</f>
        <v>1</v>
      </c>
      <c r="Q2859" s="93" t="str">
        <f>VLOOKUP(E2859,DATABASE!C:Q,4,false)</f>
        <v>GT</v>
      </c>
      <c r="R2859" s="93" t="str">
        <f>VLOOKUP(E2859,DATABASE!C:Q,11,false)</f>
        <v>Tire</v>
      </c>
    </row>
    <row r="2860" ht="22.5" customHeight="1">
      <c r="A2860" s="49"/>
      <c r="C2860" s="384">
        <v>45807.0</v>
      </c>
      <c r="D2860" s="65">
        <v>5869.0</v>
      </c>
      <c r="E2860" s="445" t="s">
        <v>604</v>
      </c>
      <c r="F2860" s="386">
        <v>1.0</v>
      </c>
      <c r="G2860" s="74">
        <v>150000.0</v>
      </c>
      <c r="H2860" s="74">
        <v>0.0</v>
      </c>
      <c r="I2860" s="74">
        <f t="shared" si="1"/>
        <v>150000</v>
      </c>
      <c r="J2860" s="74">
        <f>IF(E2860="SERVICE",I2860-(I2860*50%),Vlookup(E2860,DATABASE!C:Q,10,false)*F2860)</f>
        <v>0</v>
      </c>
      <c r="K2860" s="74">
        <f>VLOOKUP(E2860,DATABASE!C:Q,7,false)</f>
        <v>124000</v>
      </c>
      <c r="L2860" s="74">
        <v>124000.0</v>
      </c>
      <c r="M2860" s="74">
        <f t="shared" si="2"/>
        <v>125000</v>
      </c>
      <c r="N2860" s="74">
        <f t="shared" si="3"/>
        <v>25000</v>
      </c>
      <c r="O2860" s="65" t="str">
        <f>VLOOKUP(E2860,DATABASE!C:Q,8,false)</f>
        <v>BIAN</v>
      </c>
      <c r="P2860" s="65">
        <f>VLOOKUP(E2860,DATABASE!C:Q,9,False)</f>
        <v>1</v>
      </c>
      <c r="Q2860" s="93" t="str">
        <f>VLOOKUP(E2860,DATABASE!C:Q,4,false)</f>
        <v>BD</v>
      </c>
      <c r="R2860" s="93" t="str">
        <f>VLOOKUP(E2860,DATABASE!C:Q,11,false)</f>
        <v>Tire</v>
      </c>
    </row>
    <row r="2861" ht="22.5" customHeight="1">
      <c r="A2861" s="49"/>
      <c r="C2861" s="384">
        <v>45807.0</v>
      </c>
      <c r="D2861" s="65">
        <v>5871.0</v>
      </c>
      <c r="E2861" s="445" t="s">
        <v>781</v>
      </c>
      <c r="F2861" s="386">
        <v>2.0</v>
      </c>
      <c r="G2861" s="74">
        <v>530000.0</v>
      </c>
      <c r="H2861" s="74">
        <v>0.0</v>
      </c>
      <c r="I2861" s="74">
        <f t="shared" si="1"/>
        <v>1060000</v>
      </c>
      <c r="J2861" s="74">
        <f>IF(E2861="SERVICE",I2861-(I2861*50%),Vlookup(E2861,DATABASE!C:Q,10,false)*F2861)</f>
        <v>0</v>
      </c>
      <c r="K2861" s="74">
        <f>VLOOKUP(E2861,DATABASE!C:Q,7,false)</f>
        <v>470000</v>
      </c>
      <c r="L2861" s="74">
        <v>442500.0</v>
      </c>
      <c r="M2861" s="74">
        <f t="shared" si="2"/>
        <v>445000</v>
      </c>
      <c r="N2861" s="74">
        <f t="shared" si="3"/>
        <v>170000</v>
      </c>
      <c r="O2861" s="65" t="str">
        <f>VLOOKUP(E2861,DATABASE!C:Q,8,false)</f>
        <v>BIAN</v>
      </c>
      <c r="P2861" s="65">
        <f>VLOOKUP(E2861,DATABASE!C:Q,9,False)</f>
        <v>1</v>
      </c>
      <c r="Q2861" s="93" t="str">
        <f>VLOOKUP(E2861,DATABASE!C:Q,4,false)</f>
        <v>GT</v>
      </c>
      <c r="R2861" s="93" t="str">
        <f>VLOOKUP(E2861,DATABASE!C:Q,11,false)</f>
        <v>Tire</v>
      </c>
    </row>
    <row r="2862" ht="22.5" customHeight="1">
      <c r="A2862" s="49"/>
      <c r="C2862" s="384">
        <v>45807.0</v>
      </c>
      <c r="D2862" s="65">
        <v>5872.0</v>
      </c>
      <c r="E2862" s="445" t="s">
        <v>288</v>
      </c>
      <c r="F2862" s="386">
        <v>2.0</v>
      </c>
      <c r="G2862" s="74">
        <v>620000.0</v>
      </c>
      <c r="H2862" s="74">
        <v>0.0</v>
      </c>
      <c r="I2862" s="74">
        <f t="shared" si="1"/>
        <v>1240000</v>
      </c>
      <c r="J2862" s="74">
        <f>IF(E2862="SERVICE",I2862-(I2862*50%),Vlookup(E2862,DATABASE!C:Q,10,false)*F2862)</f>
        <v>0</v>
      </c>
      <c r="K2862" s="74">
        <f>VLOOKUP(E2862,DATABASE!C:Q,7,false)</f>
        <v>565760</v>
      </c>
      <c r="L2862" s="74">
        <v>524800.0</v>
      </c>
      <c r="M2862" s="74">
        <f t="shared" si="2"/>
        <v>525000</v>
      </c>
      <c r="N2862" s="74">
        <f t="shared" si="3"/>
        <v>190000</v>
      </c>
      <c r="O2862" s="65" t="str">
        <f>VLOOKUP(E2862,DATABASE!C:Q,8,false)</f>
        <v>BIAN</v>
      </c>
      <c r="P2862" s="65">
        <f>VLOOKUP(E2862,DATABASE!C:Q,9,False)</f>
        <v>1</v>
      </c>
      <c r="Q2862" s="93" t="str">
        <f>VLOOKUP(E2862,DATABASE!C:Q,4,false)</f>
        <v>GT</v>
      </c>
      <c r="R2862" s="93" t="str">
        <f>VLOOKUP(E2862,DATABASE!C:Q,11,false)</f>
        <v>Tire</v>
      </c>
    </row>
    <row r="2863" ht="22.5" customHeight="1">
      <c r="A2863" s="49"/>
      <c r="C2863" s="384">
        <v>45807.0</v>
      </c>
      <c r="D2863" s="65">
        <v>5872.0</v>
      </c>
      <c r="E2863" s="385" t="s">
        <v>299</v>
      </c>
      <c r="F2863" s="386">
        <v>2.0</v>
      </c>
      <c r="G2863" s="74">
        <v>30000.0</v>
      </c>
      <c r="H2863" s="74">
        <v>0.0</v>
      </c>
      <c r="I2863" s="74">
        <f t="shared" si="1"/>
        <v>60000</v>
      </c>
      <c r="J2863" s="74">
        <f>IF(E2863="SERVICE",I2863-(I2863*50%),Vlookup(E2863,DATABASE!C:Q,10,false)*F2863)</f>
        <v>0</v>
      </c>
      <c r="K2863" s="74">
        <v>0.0</v>
      </c>
      <c r="L2863" s="74">
        <v>0.0</v>
      </c>
      <c r="M2863" s="74">
        <f t="shared" si="2"/>
        <v>0</v>
      </c>
      <c r="N2863" s="74">
        <f t="shared" si="3"/>
        <v>60000</v>
      </c>
      <c r="O2863" s="65" t="str">
        <f>VLOOKUP(E2863,DATABASE!C:Q,8,false)</f>
        <v>BIAN</v>
      </c>
      <c r="P2863" s="65">
        <f>VLOOKUP(E2863,DATABASE!C:Q,9,False)</f>
        <v>0</v>
      </c>
      <c r="Q2863" s="93" t="str">
        <f>VLOOKUP(E2863,DATABASE!C:Q,4,false)</f>
        <v>Balancing</v>
      </c>
      <c r="R2863" s="93" t="str">
        <f>VLOOKUP(E2863,DATABASE!C:Q,11,false)</f>
        <v>COMPLEMENTARY</v>
      </c>
    </row>
    <row r="2864" ht="22.5" customHeight="1">
      <c r="A2864" s="49"/>
      <c r="C2864" s="384">
        <v>45807.0</v>
      </c>
      <c r="D2864" s="65">
        <v>5873.0</v>
      </c>
      <c r="E2864" s="445" t="s">
        <v>604</v>
      </c>
      <c r="F2864" s="386">
        <v>1.0</v>
      </c>
      <c r="G2864" s="74">
        <v>160000.0</v>
      </c>
      <c r="H2864" s="74">
        <v>0.0</v>
      </c>
      <c r="I2864" s="74">
        <f t="shared" si="1"/>
        <v>160000</v>
      </c>
      <c r="J2864" s="74">
        <f>IF(E2864="SERVICE",I2864-(I2864*50%),Vlookup(E2864,DATABASE!C:Q,10,false)*F2864)</f>
        <v>0</v>
      </c>
      <c r="K2864" s="74">
        <f>VLOOKUP(E2864,DATABASE!C:Q,7,false)</f>
        <v>124000</v>
      </c>
      <c r="L2864" s="74">
        <v>124000.0</v>
      </c>
      <c r="M2864" s="74">
        <f t="shared" si="2"/>
        <v>125000</v>
      </c>
      <c r="N2864" s="74">
        <f t="shared" si="3"/>
        <v>35000</v>
      </c>
      <c r="O2864" s="65" t="str">
        <f>VLOOKUP(E2864,DATABASE!C:Q,8,false)</f>
        <v>BIAN</v>
      </c>
      <c r="P2864" s="65">
        <f>VLOOKUP(E2864,DATABASE!C:Q,9,False)</f>
        <v>1</v>
      </c>
      <c r="Q2864" s="93" t="str">
        <f>VLOOKUP(E2864,DATABASE!C:Q,4,false)</f>
        <v>BD</v>
      </c>
      <c r="R2864" s="93" t="str">
        <f>VLOOKUP(E2864,DATABASE!C:Q,11,false)</f>
        <v>Tire</v>
      </c>
    </row>
    <row r="2865" ht="22.5" customHeight="1">
      <c r="A2865" s="49"/>
      <c r="C2865" s="384">
        <v>45807.0</v>
      </c>
      <c r="D2865" s="65">
        <v>5874.0</v>
      </c>
      <c r="E2865" s="445" t="s">
        <v>262</v>
      </c>
      <c r="F2865" s="386">
        <v>1.0</v>
      </c>
      <c r="G2865" s="74">
        <v>110000.0</v>
      </c>
      <c r="H2865" s="74">
        <v>0.0</v>
      </c>
      <c r="I2865" s="74">
        <f t="shared" si="1"/>
        <v>110000</v>
      </c>
      <c r="J2865" s="74">
        <f>IF(E2865="SERVICE",I2865-(I2865*50%),Vlookup(E2865,DATABASE!C:Q,10,false)*F2865)</f>
        <v>5000</v>
      </c>
      <c r="K2865" s="74">
        <f>VLOOKUP(E2865,DATABASE!C:Q,7,false)</f>
        <v>0</v>
      </c>
      <c r="L2865" s="74">
        <v>0.0</v>
      </c>
      <c r="M2865" s="74">
        <f t="shared" si="2"/>
        <v>0</v>
      </c>
      <c r="N2865" s="74">
        <f t="shared" si="3"/>
        <v>105000</v>
      </c>
      <c r="O2865" s="65" t="str">
        <f>VLOOKUP(E2865,DATABASE!C:Q,8,false)</f>
        <v>IBU</v>
      </c>
      <c r="P2865" s="65">
        <f>VLOOKUP(E2865,DATABASE!C:Q,9,False)</f>
        <v>0</v>
      </c>
      <c r="Q2865" s="93" t="str">
        <f>VLOOKUP(E2865,DATABASE!C:Q,4,false)</f>
        <v>SPOORING SS/CARRY LOS BAK</v>
      </c>
      <c r="R2865" s="93" t="str">
        <f>VLOOKUP(E2865,DATABASE!C:Q,11,false)</f>
        <v>SERVICE</v>
      </c>
    </row>
    <row r="2866" ht="22.5" customHeight="1">
      <c r="A2866" s="49"/>
      <c r="C2866" s="384">
        <v>45807.0</v>
      </c>
      <c r="D2866" s="65">
        <v>5874.0</v>
      </c>
      <c r="E2866" s="445" t="s">
        <v>251</v>
      </c>
      <c r="F2866" s="386">
        <v>1.0</v>
      </c>
      <c r="G2866" s="74">
        <v>120000.0</v>
      </c>
      <c r="H2866" s="74">
        <v>0.0</v>
      </c>
      <c r="I2866" s="74">
        <f t="shared" si="1"/>
        <v>120000</v>
      </c>
      <c r="J2866" s="74">
        <f>IF(E2866="SERVICE",I2866-(I2866*50%),Vlookup(E2866,DATABASE!C:Q,10,false)*F2866)</f>
        <v>60000</v>
      </c>
      <c r="K2866" s="74">
        <f>VLOOKUP(E2866,DATABASE!C:Q,7,false)</f>
        <v>0</v>
      </c>
      <c r="L2866" s="74">
        <v>0.0</v>
      </c>
      <c r="M2866" s="74">
        <f t="shared" si="2"/>
        <v>0</v>
      </c>
      <c r="N2866" s="74">
        <f t="shared" si="3"/>
        <v>60000</v>
      </c>
      <c r="O2866" s="65" t="str">
        <f>VLOOKUP(E2866,DATABASE!C:Q,8,false)</f>
        <v>IBU</v>
      </c>
      <c r="P2866" s="65">
        <f>VLOOKUP(E2866,DATABASE!C:Q,9,False)</f>
        <v>0</v>
      </c>
      <c r="Q2866" s="93" t="str">
        <f>VLOOKUP(E2866,DATABASE!C:Q,4,false)</f>
        <v>SERVICE</v>
      </c>
      <c r="R2866" s="93" t="str">
        <f>VLOOKUP(E2866,DATABASE!C:Q,11,false)</f>
        <v>SERVICE</v>
      </c>
    </row>
    <row r="2867" ht="22.5" customHeight="1">
      <c r="A2867" s="49"/>
      <c r="C2867" s="384">
        <v>45807.0</v>
      </c>
      <c r="D2867" s="65">
        <v>5874.0</v>
      </c>
      <c r="E2867" s="385" t="s">
        <v>305</v>
      </c>
      <c r="F2867" s="386">
        <v>1.0</v>
      </c>
      <c r="G2867" s="74">
        <v>235000.0</v>
      </c>
      <c r="H2867" s="74">
        <v>0.0</v>
      </c>
      <c r="I2867" s="74">
        <f t="shared" si="1"/>
        <v>235000</v>
      </c>
      <c r="J2867" s="74">
        <f>IF(E2867="SERVICE",I2867-(I2867*50%),Vlookup(E2867,DATABASE!C:Q,10,false)*F2867)</f>
        <v>40000</v>
      </c>
      <c r="K2867" s="74">
        <f>VLOOKUP(E2867,DATABASE!C:Q,7,false)</f>
        <v>158530.2</v>
      </c>
      <c r="L2867" s="74">
        <v>151890.0</v>
      </c>
      <c r="M2867" s="74">
        <f t="shared" si="2"/>
        <v>155000</v>
      </c>
      <c r="N2867" s="74">
        <f t="shared" si="3"/>
        <v>40000</v>
      </c>
      <c r="O2867" s="65" t="str">
        <f>VLOOKUP(E2867,DATABASE!C:Q,8,false)</f>
        <v>BIAN</v>
      </c>
      <c r="P2867" s="65">
        <f>VLOOKUP(E2867,DATABASE!C:Q,9,False)</f>
        <v>1</v>
      </c>
      <c r="Q2867" s="93" t="str">
        <f>VLOOKUP(E2867,DATABASE!C:Q,4,false)</f>
        <v>Lower Arm</v>
      </c>
      <c r="R2867" s="93" t="str">
        <f>VLOOKUP(E2867,DATABASE!C:Q,11,false)</f>
        <v>COMPLEMENTARY</v>
      </c>
    </row>
    <row r="2868" ht="22.5" customHeight="1">
      <c r="A2868" s="49"/>
      <c r="C2868" s="384">
        <v>45807.0</v>
      </c>
      <c r="D2868" s="65">
        <v>5875.0</v>
      </c>
      <c r="E2868" s="445" t="s">
        <v>605</v>
      </c>
      <c r="F2868" s="386">
        <v>1.0</v>
      </c>
      <c r="G2868" s="74">
        <v>760000.0</v>
      </c>
      <c r="H2868" s="74">
        <v>0.0</v>
      </c>
      <c r="I2868" s="74">
        <f t="shared" si="1"/>
        <v>760000</v>
      </c>
      <c r="J2868" s="74">
        <f>IF(E2868="SERVICE",I2868-(I2868*50%),Vlookup(E2868,DATABASE!C:Q,10,false)*F2868)</f>
        <v>0</v>
      </c>
      <c r="K2868" s="74">
        <v>670000.0</v>
      </c>
      <c r="L2868" s="74">
        <v>670000.0</v>
      </c>
      <c r="M2868" s="74">
        <f t="shared" si="2"/>
        <v>670000</v>
      </c>
      <c r="N2868" s="74">
        <f t="shared" si="3"/>
        <v>90000</v>
      </c>
      <c r="O2868" s="65" t="str">
        <f>VLOOKUP(E2868,DATABASE!C:Q,8,false)</f>
        <v>IBU</v>
      </c>
      <c r="P2868" s="65">
        <f>VLOOKUP(E2868,DATABASE!C:Q,9,False)</f>
        <v>1</v>
      </c>
      <c r="Q2868" s="93" t="str">
        <f>VLOOKUP(E2868,DATABASE!C:Q,4,false)</f>
        <v>Bridgestone</v>
      </c>
      <c r="R2868" s="93" t="str">
        <f>VLOOKUP(E2868,DATABASE!C:Q,11,false)</f>
        <v>Tire</v>
      </c>
    </row>
    <row r="2869" ht="22.5" customHeight="1">
      <c r="A2869" s="49"/>
      <c r="C2869" s="384">
        <v>45807.0</v>
      </c>
      <c r="D2869" s="65">
        <v>5876.0</v>
      </c>
      <c r="E2869" s="445" t="s">
        <v>605</v>
      </c>
      <c r="F2869" s="386">
        <v>1.0</v>
      </c>
      <c r="G2869" s="74">
        <v>760000.0</v>
      </c>
      <c r="H2869" s="74">
        <v>0.0</v>
      </c>
      <c r="I2869" s="74">
        <f t="shared" si="1"/>
        <v>760000</v>
      </c>
      <c r="J2869" s="74">
        <f>IF(E2869="SERVICE",I2869-(I2869*50%),Vlookup(E2869,DATABASE!C:Q,10,false)*F2869)</f>
        <v>0</v>
      </c>
      <c r="K2869" s="74">
        <v>670000.0</v>
      </c>
      <c r="L2869" s="74">
        <v>670000.0</v>
      </c>
      <c r="M2869" s="74">
        <f t="shared" si="2"/>
        <v>670000</v>
      </c>
      <c r="N2869" s="74">
        <f t="shared" si="3"/>
        <v>90000</v>
      </c>
      <c r="O2869" s="65" t="str">
        <f>VLOOKUP(E2869,DATABASE!C:Q,8,false)</f>
        <v>IBU</v>
      </c>
      <c r="P2869" s="65">
        <f>VLOOKUP(E2869,DATABASE!C:Q,9,False)</f>
        <v>1</v>
      </c>
      <c r="Q2869" s="93" t="str">
        <f>VLOOKUP(E2869,DATABASE!C:Q,4,false)</f>
        <v>Bridgestone</v>
      </c>
      <c r="R2869" s="93" t="str">
        <f>VLOOKUP(E2869,DATABASE!C:Q,11,false)</f>
        <v>Tire</v>
      </c>
    </row>
    <row r="2870" ht="22.5" customHeight="1">
      <c r="A2870" s="49"/>
      <c r="C2870" s="384">
        <v>45807.0</v>
      </c>
      <c r="D2870" s="65">
        <v>5877.0</v>
      </c>
      <c r="E2870" s="385" t="s">
        <v>299</v>
      </c>
      <c r="F2870" s="386">
        <v>2.0</v>
      </c>
      <c r="G2870" s="74">
        <v>30000.0</v>
      </c>
      <c r="H2870" s="74">
        <v>0.0</v>
      </c>
      <c r="I2870" s="74">
        <f t="shared" si="1"/>
        <v>60000</v>
      </c>
      <c r="J2870" s="74">
        <f>IF(E2870="SERVICE",I2870-(I2870*50%),Vlookup(E2870,DATABASE!C:Q,10,false)*F2870)</f>
        <v>0</v>
      </c>
      <c r="K2870" s="74">
        <v>0.0</v>
      </c>
      <c r="L2870" s="74">
        <v>0.0</v>
      </c>
      <c r="M2870" s="74">
        <f t="shared" si="2"/>
        <v>0</v>
      </c>
      <c r="N2870" s="74">
        <f t="shared" si="3"/>
        <v>60000</v>
      </c>
      <c r="O2870" s="65" t="str">
        <f>VLOOKUP(E2870,DATABASE!C:Q,8,false)</f>
        <v>BIAN</v>
      </c>
      <c r="P2870" s="65">
        <f>VLOOKUP(E2870,DATABASE!C:Q,9,False)</f>
        <v>0</v>
      </c>
      <c r="Q2870" s="93" t="str">
        <f>VLOOKUP(E2870,DATABASE!C:Q,4,false)</f>
        <v>Balancing</v>
      </c>
      <c r="R2870" s="93" t="str">
        <f>VLOOKUP(E2870,DATABASE!C:Q,11,false)</f>
        <v>COMPLEMENTARY</v>
      </c>
    </row>
    <row r="2871" ht="22.5" customHeight="1">
      <c r="A2871" s="49"/>
      <c r="C2871" s="384">
        <v>45807.0</v>
      </c>
      <c r="D2871" s="65">
        <v>5877.0</v>
      </c>
      <c r="E2871" s="445" t="s">
        <v>256</v>
      </c>
      <c r="F2871" s="386">
        <v>1.0</v>
      </c>
      <c r="G2871" s="74">
        <v>130000.0</v>
      </c>
      <c r="H2871" s="74">
        <v>0.0</v>
      </c>
      <c r="I2871" s="74">
        <f t="shared" si="1"/>
        <v>130000</v>
      </c>
      <c r="J2871" s="74">
        <f>IF(E2871="SERVICE",I2871-(I2871*50%),Vlookup(E2871,DATABASE!C:Q,10,false)*F2871)</f>
        <v>10000</v>
      </c>
      <c r="K2871" s="74">
        <f>VLOOKUP(E2871,DATABASE!C:Q,7,false)</f>
        <v>0</v>
      </c>
      <c r="L2871" s="74">
        <v>0.0</v>
      </c>
      <c r="M2871" s="74">
        <f t="shared" si="2"/>
        <v>0</v>
      </c>
      <c r="N2871" s="74">
        <f t="shared" si="3"/>
        <v>120000</v>
      </c>
      <c r="O2871" s="65" t="str">
        <f>VLOOKUP(E2871,DATABASE!C:Q,8,false)</f>
        <v>IBU</v>
      </c>
      <c r="P2871" s="65">
        <f>VLOOKUP(E2871,DATABASE!C:Q,9,False)</f>
        <v>0</v>
      </c>
      <c r="Q2871" s="93" t="str">
        <f>VLOOKUP(E2871,DATABASE!C:Q,4,false)</f>
        <v>SPOORING</v>
      </c>
      <c r="R2871" s="93" t="str">
        <f>VLOOKUP(E2871,DATABASE!C:Q,11,false)</f>
        <v>SERVICE</v>
      </c>
    </row>
    <row r="2872" ht="22.5" customHeight="1">
      <c r="A2872" s="49"/>
      <c r="C2872" s="384">
        <v>45807.0</v>
      </c>
      <c r="D2872" s="65">
        <v>5879.0</v>
      </c>
      <c r="E2872" s="445" t="s">
        <v>256</v>
      </c>
      <c r="F2872" s="386">
        <v>1.0</v>
      </c>
      <c r="G2872" s="74">
        <v>120000.0</v>
      </c>
      <c r="H2872" s="74">
        <v>0.0</v>
      </c>
      <c r="I2872" s="74">
        <f t="shared" si="1"/>
        <v>120000</v>
      </c>
      <c r="J2872" s="74">
        <f>IF(E2872="SERVICE",I2872-(I2872*50%),Vlookup(E2872,DATABASE!C:Q,10,false)*F2872)</f>
        <v>10000</v>
      </c>
      <c r="K2872" s="74">
        <f>VLOOKUP(E2872,DATABASE!C:Q,7,false)</f>
        <v>0</v>
      </c>
      <c r="L2872" s="74">
        <v>0.0</v>
      </c>
      <c r="M2872" s="74">
        <f t="shared" si="2"/>
        <v>0</v>
      </c>
      <c r="N2872" s="74">
        <f t="shared" si="3"/>
        <v>110000</v>
      </c>
      <c r="O2872" s="65" t="str">
        <f>VLOOKUP(E2872,DATABASE!C:Q,8,false)</f>
        <v>IBU</v>
      </c>
      <c r="P2872" s="65">
        <f>VLOOKUP(E2872,DATABASE!C:Q,9,False)</f>
        <v>0</v>
      </c>
      <c r="Q2872" s="93" t="str">
        <f>VLOOKUP(E2872,DATABASE!C:Q,4,false)</f>
        <v>SPOORING</v>
      </c>
      <c r="R2872" s="93" t="str">
        <f>VLOOKUP(E2872,DATABASE!C:Q,11,false)</f>
        <v>SERVICE</v>
      </c>
    </row>
    <row r="2873" ht="22.5" customHeight="1">
      <c r="A2873" s="49"/>
      <c r="C2873" s="384">
        <v>45807.0</v>
      </c>
      <c r="D2873" s="65">
        <v>5879.0</v>
      </c>
      <c r="E2873" s="445" t="s">
        <v>268</v>
      </c>
      <c r="F2873" s="386">
        <v>2.0</v>
      </c>
      <c r="G2873" s="74">
        <v>710000.0</v>
      </c>
      <c r="H2873" s="74">
        <v>0.0</v>
      </c>
      <c r="I2873" s="74">
        <f t="shared" si="1"/>
        <v>1420000</v>
      </c>
      <c r="J2873" s="74">
        <f>IF(E2873="SERVICE",I2873-(I2873*50%),Vlookup(E2873,DATABASE!C:Q,10,false)*F2873)</f>
        <v>0</v>
      </c>
      <c r="K2873" s="74">
        <v>613000.0</v>
      </c>
      <c r="L2873" s="74">
        <v>613000.0</v>
      </c>
      <c r="M2873" s="74">
        <f t="shared" si="2"/>
        <v>615000</v>
      </c>
      <c r="N2873" s="74">
        <f t="shared" si="3"/>
        <v>190000</v>
      </c>
      <c r="O2873" s="65" t="str">
        <f>VLOOKUP(E2873,DATABASE!C:Q,8,false)</f>
        <v>IBU</v>
      </c>
      <c r="P2873" s="65">
        <f>VLOOKUP(E2873,DATABASE!C:Q,9,False)</f>
        <v>1</v>
      </c>
      <c r="Q2873" s="93" t="str">
        <f>VLOOKUP(E2873,DATABASE!C:Q,4,false)</f>
        <v>Dunlop</v>
      </c>
      <c r="R2873" s="93" t="str">
        <f>VLOOKUP(E2873,DATABASE!C:Q,11,false)</f>
        <v>Tire</v>
      </c>
    </row>
    <row r="2874" ht="22.5" customHeight="1">
      <c r="A2874" s="49"/>
      <c r="C2874" s="384">
        <v>45807.0</v>
      </c>
      <c r="D2874" s="65">
        <v>5880.0</v>
      </c>
      <c r="E2874" s="445" t="s">
        <v>955</v>
      </c>
      <c r="F2874" s="386">
        <v>1.0</v>
      </c>
      <c r="G2874" s="74">
        <v>780000.0</v>
      </c>
      <c r="H2874" s="74">
        <v>0.0</v>
      </c>
      <c r="I2874" s="74">
        <f t="shared" si="1"/>
        <v>780000</v>
      </c>
      <c r="J2874" s="74">
        <f>IF(E2874="SERVICE",I2874-(I2874*50%),Vlookup(E2874,DATABASE!C:Q,10,false)*F2874)</f>
        <v>0</v>
      </c>
      <c r="K2874" s="74">
        <f>VLOOKUP(E2874,DATABASE!C:Q,7,false)</f>
        <v>712000</v>
      </c>
      <c r="L2874" s="74">
        <v>674000.0</v>
      </c>
      <c r="M2874" s="74">
        <f t="shared" si="2"/>
        <v>675000</v>
      </c>
      <c r="N2874" s="74">
        <f t="shared" si="3"/>
        <v>105000</v>
      </c>
      <c r="O2874" s="65" t="str">
        <f>VLOOKUP(E2874,DATABASE!C:Q,8,false)</f>
        <v>IBU</v>
      </c>
      <c r="P2874" s="65">
        <f>VLOOKUP(E2874,DATABASE!C:Q,9,False)</f>
        <v>1</v>
      </c>
      <c r="Q2874" s="93" t="str">
        <f>VLOOKUP(E2874,DATABASE!C:Q,4,false)</f>
        <v>Dunlop</v>
      </c>
      <c r="R2874" s="93" t="str">
        <f>VLOOKUP(E2874,DATABASE!C:Q,11,false)</f>
        <v>Tire</v>
      </c>
    </row>
    <row r="2875" ht="22.5" customHeight="1">
      <c r="A2875" s="49"/>
      <c r="C2875" s="384">
        <v>45808.0</v>
      </c>
      <c r="D2875" s="65">
        <v>5881.0</v>
      </c>
      <c r="E2875" s="445" t="s">
        <v>268</v>
      </c>
      <c r="F2875" s="386">
        <v>1.0</v>
      </c>
      <c r="G2875" s="74">
        <v>720000.0</v>
      </c>
      <c r="H2875" s="74">
        <v>0.0</v>
      </c>
      <c r="I2875" s="74">
        <f t="shared" si="1"/>
        <v>720000</v>
      </c>
      <c r="J2875" s="74">
        <f>IF(E2875="SERVICE",I2875-(I2875*50%),Vlookup(E2875,DATABASE!C:Q,10,false)*F2875)</f>
        <v>0</v>
      </c>
      <c r="K2875" s="74">
        <f>VLOOKUP(E2875,DATABASE!C:Q,7,false)</f>
        <v>653000</v>
      </c>
      <c r="L2875" s="74">
        <v>622000.0</v>
      </c>
      <c r="M2875" s="74">
        <f t="shared" si="2"/>
        <v>625000</v>
      </c>
      <c r="N2875" s="74">
        <f t="shared" si="3"/>
        <v>95000</v>
      </c>
      <c r="O2875" s="65" t="str">
        <f>VLOOKUP(E2875,DATABASE!C:Q,8,false)</f>
        <v>IBU</v>
      </c>
      <c r="P2875" s="65">
        <f>VLOOKUP(E2875,DATABASE!C:Q,9,False)</f>
        <v>1</v>
      </c>
      <c r="Q2875" s="93" t="str">
        <f>VLOOKUP(E2875,DATABASE!C:Q,4,false)</f>
        <v>Dunlop</v>
      </c>
      <c r="R2875" s="93" t="str">
        <f>VLOOKUP(E2875,DATABASE!C:Q,11,false)</f>
        <v>Tire</v>
      </c>
    </row>
    <row r="2876" ht="22.5" customHeight="1">
      <c r="A2876" s="49"/>
      <c r="C2876" s="384">
        <v>45808.0</v>
      </c>
      <c r="D2876" s="65">
        <v>5882.0</v>
      </c>
      <c r="E2876" s="445" t="s">
        <v>265</v>
      </c>
      <c r="F2876" s="386">
        <v>4.0</v>
      </c>
      <c r="G2876" s="74">
        <v>700000.0</v>
      </c>
      <c r="H2876" s="74">
        <v>0.0</v>
      </c>
      <c r="I2876" s="74">
        <f t="shared" si="1"/>
        <v>2800000</v>
      </c>
      <c r="J2876" s="74">
        <f>IF(E2876="SERVICE",I2876-(I2876*50%),Vlookup(E2876,DATABASE!C:Q,10,false)*F2876)</f>
        <v>0</v>
      </c>
      <c r="K2876" s="74">
        <f>VLOOKUP(E2876,DATABASE!C:Q,7,false)</f>
        <v>628000</v>
      </c>
      <c r="L2876" s="74">
        <v>610000.0</v>
      </c>
      <c r="M2876" s="74">
        <f t="shared" si="2"/>
        <v>610000</v>
      </c>
      <c r="N2876" s="74">
        <f t="shared" si="3"/>
        <v>360000</v>
      </c>
      <c r="O2876" s="65" t="str">
        <f>VLOOKUP(E2876,DATABASE!C:Q,8,false)</f>
        <v>IBU</v>
      </c>
      <c r="P2876" s="65">
        <f>VLOOKUP(E2876,DATABASE!C:Q,9,False)</f>
        <v>1</v>
      </c>
      <c r="Q2876" s="93" t="str">
        <f>VLOOKUP(E2876,DATABASE!C:Q,4,false)</f>
        <v>Dunlop</v>
      </c>
      <c r="R2876" s="93" t="str">
        <f>VLOOKUP(E2876,DATABASE!C:Q,11,false)</f>
        <v>Tire</v>
      </c>
    </row>
    <row r="2877" ht="22.5" customHeight="1">
      <c r="A2877" s="49"/>
      <c r="C2877" s="384">
        <v>45808.0</v>
      </c>
      <c r="D2877" s="65">
        <v>5883.0</v>
      </c>
      <c r="E2877" s="385" t="s">
        <v>299</v>
      </c>
      <c r="F2877" s="386">
        <v>2.0</v>
      </c>
      <c r="G2877" s="74">
        <v>30000.0</v>
      </c>
      <c r="H2877" s="74">
        <v>0.0</v>
      </c>
      <c r="I2877" s="74">
        <f t="shared" si="1"/>
        <v>60000</v>
      </c>
      <c r="J2877" s="74">
        <f>IF(E2877="SERVICE",I2877-(I2877*50%),Vlookup(E2877,DATABASE!C:Q,10,false)*F2877)</f>
        <v>0</v>
      </c>
      <c r="K2877" s="74">
        <v>0.0</v>
      </c>
      <c r="L2877" s="74">
        <v>0.0</v>
      </c>
      <c r="M2877" s="74">
        <f t="shared" si="2"/>
        <v>0</v>
      </c>
      <c r="N2877" s="74">
        <f t="shared" si="3"/>
        <v>60000</v>
      </c>
      <c r="O2877" s="65" t="str">
        <f>VLOOKUP(E2877,DATABASE!C:Q,8,false)</f>
        <v>BIAN</v>
      </c>
      <c r="P2877" s="65">
        <f>VLOOKUP(E2877,DATABASE!C:Q,9,False)</f>
        <v>0</v>
      </c>
      <c r="Q2877" s="93" t="str">
        <f>VLOOKUP(E2877,DATABASE!C:Q,4,false)</f>
        <v>Balancing</v>
      </c>
      <c r="R2877" s="93" t="str">
        <f>VLOOKUP(E2877,DATABASE!C:Q,11,false)</f>
        <v>COMPLEMENTARY</v>
      </c>
    </row>
    <row r="2878" ht="22.5" customHeight="1">
      <c r="A2878" s="49"/>
      <c r="C2878" s="384">
        <v>45808.0</v>
      </c>
      <c r="D2878" s="65">
        <v>5884.0</v>
      </c>
      <c r="E2878" s="445" t="s">
        <v>262</v>
      </c>
      <c r="F2878" s="386">
        <v>1.0</v>
      </c>
      <c r="G2878" s="74">
        <v>110000.0</v>
      </c>
      <c r="H2878" s="74">
        <v>0.0</v>
      </c>
      <c r="I2878" s="74">
        <f t="shared" si="1"/>
        <v>110000</v>
      </c>
      <c r="J2878" s="74">
        <f>IF(E2878="SERVICE",I2878-(I2878*50%),Vlookup(E2878,DATABASE!C:Q,10,false)*F2878)</f>
        <v>5000</v>
      </c>
      <c r="K2878" s="74">
        <f>VLOOKUP(E2878,DATABASE!C:Q,7,false)</f>
        <v>0</v>
      </c>
      <c r="L2878" s="74">
        <v>0.0</v>
      </c>
      <c r="M2878" s="74">
        <f t="shared" si="2"/>
        <v>0</v>
      </c>
      <c r="N2878" s="74">
        <f t="shared" si="3"/>
        <v>105000</v>
      </c>
      <c r="O2878" s="65" t="str">
        <f>VLOOKUP(E2878,DATABASE!C:Q,8,false)</f>
        <v>IBU</v>
      </c>
      <c r="P2878" s="65">
        <f>VLOOKUP(E2878,DATABASE!C:Q,9,False)</f>
        <v>0</v>
      </c>
      <c r="Q2878" s="93" t="str">
        <f>VLOOKUP(E2878,DATABASE!C:Q,4,false)</f>
        <v>SPOORING SS/CARRY LOS BAK</v>
      </c>
      <c r="R2878" s="93" t="str">
        <f>VLOOKUP(E2878,DATABASE!C:Q,11,false)</f>
        <v>SERVICE</v>
      </c>
    </row>
    <row r="2879" ht="22.5" customHeight="1">
      <c r="A2879" s="49"/>
      <c r="C2879" s="384">
        <v>45808.0</v>
      </c>
      <c r="D2879" s="65">
        <v>5884.0</v>
      </c>
      <c r="E2879" s="385" t="s">
        <v>299</v>
      </c>
      <c r="F2879" s="386">
        <v>2.0</v>
      </c>
      <c r="G2879" s="74">
        <v>30000.0</v>
      </c>
      <c r="H2879" s="74">
        <v>0.0</v>
      </c>
      <c r="I2879" s="74">
        <f t="shared" si="1"/>
        <v>60000</v>
      </c>
      <c r="J2879" s="74">
        <f>IF(E2879="SERVICE",I2879-(I2879*50%),Vlookup(E2879,DATABASE!C:Q,10,false)*F2879)</f>
        <v>0</v>
      </c>
      <c r="K2879" s="74">
        <v>0.0</v>
      </c>
      <c r="L2879" s="74">
        <v>0.0</v>
      </c>
      <c r="M2879" s="74">
        <f t="shared" si="2"/>
        <v>0</v>
      </c>
      <c r="N2879" s="74">
        <f t="shared" si="3"/>
        <v>60000</v>
      </c>
      <c r="O2879" s="65" t="str">
        <f>VLOOKUP(E2879,DATABASE!C:Q,8,false)</f>
        <v>BIAN</v>
      </c>
      <c r="P2879" s="65">
        <f>VLOOKUP(E2879,DATABASE!C:Q,9,False)</f>
        <v>0</v>
      </c>
      <c r="Q2879" s="93" t="str">
        <f>VLOOKUP(E2879,DATABASE!C:Q,4,false)</f>
        <v>Balancing</v>
      </c>
      <c r="R2879" s="93" t="str">
        <f>VLOOKUP(E2879,DATABASE!C:Q,11,false)</f>
        <v>COMPLEMENTARY</v>
      </c>
    </row>
    <row r="2880" ht="22.5" customHeight="1">
      <c r="A2880" s="49"/>
      <c r="C2880" s="384">
        <v>45808.0</v>
      </c>
      <c r="D2880" s="65">
        <v>5884.0</v>
      </c>
      <c r="E2880" s="445" t="s">
        <v>478</v>
      </c>
      <c r="F2880" s="386">
        <v>1.0</v>
      </c>
      <c r="G2880" s="74">
        <v>200000.0</v>
      </c>
      <c r="H2880" s="74">
        <v>0.0</v>
      </c>
      <c r="I2880" s="74">
        <f t="shared" si="1"/>
        <v>200000</v>
      </c>
      <c r="J2880" s="74">
        <f>IF(E2880="SERVICE",I2880-(I2880*50%),Vlookup(E2880,DATABASE!C:Q,10,false)*F2880)</f>
        <v>25000</v>
      </c>
      <c r="K2880" s="74">
        <f>VLOOKUP(E2880,DATABASE!C:Q,7,false)</f>
        <v>75000</v>
      </c>
      <c r="L2880" s="74">
        <v>75000.0</v>
      </c>
      <c r="M2880" s="74">
        <f t="shared" si="2"/>
        <v>75000</v>
      </c>
      <c r="N2880" s="74">
        <f t="shared" si="3"/>
        <v>100000</v>
      </c>
      <c r="O2880" s="65" t="str">
        <f>VLOOKUP(E2880,DATABASE!C:Q,8,false)</f>
        <v>BIAN</v>
      </c>
      <c r="P2880" s="65">
        <f>VLOOKUP(E2880,DATABASE!C:Q,9,False)</f>
        <v>0</v>
      </c>
      <c r="Q2880" s="93" t="str">
        <f>VLOOKUP(E2880,DATABASE!C:Q,4,false)</f>
        <v>Baut Camber ss-carry</v>
      </c>
      <c r="R2880" s="93" t="str">
        <f>VLOOKUP(E2880,DATABASE!C:Q,11,false)</f>
        <v>COMPLEMENTARY</v>
      </c>
    </row>
    <row r="2881" ht="22.5" customHeight="1">
      <c r="A2881" s="49"/>
      <c r="C2881" s="384">
        <v>45808.0</v>
      </c>
      <c r="D2881" s="65">
        <v>5884.0</v>
      </c>
      <c r="E2881" s="445" t="s">
        <v>2206</v>
      </c>
      <c r="F2881" s="386">
        <v>1.0</v>
      </c>
      <c r="G2881" s="74">
        <v>200000.0</v>
      </c>
      <c r="H2881" s="74">
        <v>0.0</v>
      </c>
      <c r="I2881" s="74">
        <f t="shared" si="1"/>
        <v>200000</v>
      </c>
      <c r="J2881" s="74">
        <f>IF(E2881="SERVICE",I2881-(I2881*50%),Vlookup(E2881,DATABASE!C:Q,10,false)*F2881)</f>
        <v>40000</v>
      </c>
      <c r="K2881" s="74">
        <f>VLOOKUP(E2881,DATABASE!C:Q,7,false)</f>
        <v>95450</v>
      </c>
      <c r="L2881" s="74">
        <v>61000.0</v>
      </c>
      <c r="M2881" s="74">
        <f t="shared" si="2"/>
        <v>65000</v>
      </c>
      <c r="N2881" s="74">
        <f t="shared" si="3"/>
        <v>95000</v>
      </c>
      <c r="O2881" s="65" t="str">
        <f>VLOOKUP(E2881,DATABASE!C:Q,8,false)</f>
        <v>IBU</v>
      </c>
      <c r="P2881" s="65">
        <f>VLOOKUP(E2881,DATABASE!C:Q,9,False)</f>
        <v>1</v>
      </c>
      <c r="Q2881" s="93" t="str">
        <f>VLOOKUP(E2881,DATABASE!C:Q,4,false)</f>
        <v>TIEROD</v>
      </c>
      <c r="R2881" s="93" t="str">
        <f>VLOOKUP(E2881,DATABASE!C:Q,11,false)</f>
        <v>COMPLEMENTARY</v>
      </c>
    </row>
    <row r="2882" ht="22.5" customHeight="1">
      <c r="A2882" s="49"/>
      <c r="C2882" s="384">
        <v>45808.0</v>
      </c>
      <c r="D2882" s="65">
        <v>5885.0</v>
      </c>
      <c r="E2882" s="445" t="s">
        <v>256</v>
      </c>
      <c r="F2882" s="386">
        <v>1.0</v>
      </c>
      <c r="G2882" s="74">
        <v>130000.0</v>
      </c>
      <c r="H2882" s="74">
        <v>0.0</v>
      </c>
      <c r="I2882" s="74">
        <f t="shared" si="1"/>
        <v>130000</v>
      </c>
      <c r="J2882" s="74">
        <f>IF(E2882="SERVICE",I2882-(I2882*50%),Vlookup(E2882,DATABASE!C:Q,10,false)*F2882)</f>
        <v>10000</v>
      </c>
      <c r="K2882" s="74">
        <f>VLOOKUP(E2882,DATABASE!C:Q,7,false)</f>
        <v>0</v>
      </c>
      <c r="L2882" s="74">
        <v>0.0</v>
      </c>
      <c r="M2882" s="74">
        <f t="shared" si="2"/>
        <v>0</v>
      </c>
      <c r="N2882" s="74">
        <f t="shared" si="3"/>
        <v>120000</v>
      </c>
      <c r="O2882" s="65" t="str">
        <f>VLOOKUP(E2882,DATABASE!C:Q,8,false)</f>
        <v>IBU</v>
      </c>
      <c r="P2882" s="65">
        <f>VLOOKUP(E2882,DATABASE!C:Q,9,False)</f>
        <v>0</v>
      </c>
      <c r="Q2882" s="93" t="str">
        <f>VLOOKUP(E2882,DATABASE!C:Q,4,false)</f>
        <v>SPOORING</v>
      </c>
      <c r="R2882" s="93" t="str">
        <f>VLOOKUP(E2882,DATABASE!C:Q,11,false)</f>
        <v>SERVICE</v>
      </c>
    </row>
    <row r="2883" ht="22.5" customHeight="1">
      <c r="A2883" s="49"/>
      <c r="C2883" s="384">
        <v>45808.0</v>
      </c>
      <c r="D2883" s="65">
        <v>5886.0</v>
      </c>
      <c r="E2883" s="445" t="s">
        <v>256</v>
      </c>
      <c r="F2883" s="386">
        <v>1.0</v>
      </c>
      <c r="G2883" s="74">
        <v>130000.0</v>
      </c>
      <c r="H2883" s="74">
        <v>0.0</v>
      </c>
      <c r="I2883" s="74">
        <f t="shared" si="1"/>
        <v>130000</v>
      </c>
      <c r="J2883" s="74">
        <f>IF(E2883="SERVICE",I2883-(I2883*50%),Vlookup(E2883,DATABASE!C:Q,10,false)*F2883)</f>
        <v>10000</v>
      </c>
      <c r="K2883" s="74">
        <f>VLOOKUP(E2883,DATABASE!C:Q,7,false)</f>
        <v>0</v>
      </c>
      <c r="L2883" s="74">
        <v>0.0</v>
      </c>
      <c r="M2883" s="74">
        <f t="shared" si="2"/>
        <v>0</v>
      </c>
      <c r="N2883" s="74">
        <f t="shared" si="3"/>
        <v>120000</v>
      </c>
      <c r="O2883" s="65" t="str">
        <f>VLOOKUP(E2883,DATABASE!C:Q,8,false)</f>
        <v>IBU</v>
      </c>
      <c r="P2883" s="65">
        <f>VLOOKUP(E2883,DATABASE!C:Q,9,False)</f>
        <v>0</v>
      </c>
      <c r="Q2883" s="93" t="str">
        <f>VLOOKUP(E2883,DATABASE!C:Q,4,false)</f>
        <v>SPOORING</v>
      </c>
      <c r="R2883" s="93" t="str">
        <f>VLOOKUP(E2883,DATABASE!C:Q,11,false)</f>
        <v>SERVICE</v>
      </c>
    </row>
    <row r="2884" ht="22.5" customHeight="1">
      <c r="A2884" s="49"/>
      <c r="C2884" s="384">
        <v>45808.0</v>
      </c>
      <c r="D2884" s="65">
        <v>5886.0</v>
      </c>
      <c r="E2884" s="445" t="s">
        <v>301</v>
      </c>
      <c r="F2884" s="386">
        <v>1.0</v>
      </c>
      <c r="G2884" s="74">
        <v>250000.0</v>
      </c>
      <c r="H2884" s="74">
        <v>0.0</v>
      </c>
      <c r="I2884" s="74">
        <f t="shared" si="1"/>
        <v>250000</v>
      </c>
      <c r="J2884" s="74">
        <f>IF(E2884="SERVICE",I2884-(I2884*50%),Vlookup(E2884,DATABASE!C:Q,10,false)*F2884)</f>
        <v>75000</v>
      </c>
      <c r="K2884" s="74">
        <f>VLOOKUP(E2884,DATABASE!C:Q,7,false)</f>
        <v>75000</v>
      </c>
      <c r="L2884" s="74">
        <v>75000.0</v>
      </c>
      <c r="M2884" s="74">
        <f t="shared" si="2"/>
        <v>75000</v>
      </c>
      <c r="N2884" s="74">
        <f t="shared" si="3"/>
        <v>100000</v>
      </c>
      <c r="O2884" s="65" t="str">
        <f>VLOOKUP(E2884,DATABASE!C:Q,8,false)</f>
        <v>BIAN</v>
      </c>
      <c r="P2884" s="65">
        <f>VLOOKUP(E2884,DATABASE!C:Q,9,False)</f>
        <v>0</v>
      </c>
      <c r="Q2884" s="93" t="str">
        <f>VLOOKUP(E2884,DATABASE!C:Q,4,false)</f>
        <v>Baut Camber</v>
      </c>
      <c r="R2884" s="93" t="str">
        <f>VLOOKUP(E2884,DATABASE!C:Q,11,false)</f>
        <v>COMPLEMENTARY</v>
      </c>
    </row>
    <row r="2885" ht="22.5" customHeight="1">
      <c r="A2885" s="49"/>
      <c r="C2885" s="384">
        <v>45808.0</v>
      </c>
      <c r="D2885" s="65">
        <v>5887.0</v>
      </c>
      <c r="E2885" s="445" t="s">
        <v>695</v>
      </c>
      <c r="F2885" s="386">
        <v>1.0</v>
      </c>
      <c r="G2885" s="74">
        <v>675000.0</v>
      </c>
      <c r="H2885" s="74">
        <v>0.0</v>
      </c>
      <c r="I2885" s="74">
        <f t="shared" si="1"/>
        <v>675000</v>
      </c>
      <c r="J2885" s="74">
        <f>IF(E2885="SERVICE",I2885-(I2885*50%),Vlookup(E2885,DATABASE!C:Q,10,false)*F2885)</f>
        <v>0</v>
      </c>
      <c r="K2885" s="74">
        <f>VLOOKUP(E2885,DATABASE!C:Q,7,false)</f>
        <v>582000</v>
      </c>
      <c r="L2885" s="74">
        <v>570000.0</v>
      </c>
      <c r="M2885" s="74">
        <f t="shared" si="2"/>
        <v>570000</v>
      </c>
      <c r="N2885" s="74">
        <f t="shared" si="3"/>
        <v>105000</v>
      </c>
      <c r="O2885" s="65" t="str">
        <f>VLOOKUP(E2885,DATABASE!C:Q,8,false)</f>
        <v>IBU</v>
      </c>
      <c r="P2885" s="65">
        <f>VLOOKUP(E2885,DATABASE!C:Q,9,False)</f>
        <v>1</v>
      </c>
      <c r="Q2885" s="93" t="str">
        <f>VLOOKUP(E2885,DATABASE!C:Q,4,false)</f>
        <v>Dunlop</v>
      </c>
      <c r="R2885" s="93" t="str">
        <f>VLOOKUP(E2885,DATABASE!C:Q,11,false)</f>
        <v>Tire</v>
      </c>
    </row>
    <row r="2886" ht="22.5" customHeight="1">
      <c r="A2886" s="49"/>
      <c r="C2886" s="384">
        <v>45808.0</v>
      </c>
      <c r="D2886" s="65">
        <v>5888.0</v>
      </c>
      <c r="E2886" s="445" t="s">
        <v>2060</v>
      </c>
      <c r="F2886" s="386">
        <v>1.0</v>
      </c>
      <c r="G2886" s="74">
        <v>600000.0</v>
      </c>
      <c r="H2886" s="74">
        <v>0.0</v>
      </c>
      <c r="I2886" s="74">
        <f t="shared" si="1"/>
        <v>600000</v>
      </c>
      <c r="J2886" s="74">
        <f>IF(E2886="SERVICE",I2886-(I2886*50%),Vlookup(E2886,DATABASE!C:Q,10,false)*F2886)</f>
        <v>0</v>
      </c>
      <c r="K2886" s="74">
        <f>VLOOKUP(E2886,DATABASE!C:Q,7,false)</f>
        <v>517000</v>
      </c>
      <c r="L2886" s="74">
        <v>517000.0</v>
      </c>
      <c r="M2886" s="74">
        <f t="shared" si="2"/>
        <v>520000</v>
      </c>
      <c r="N2886" s="74">
        <f t="shared" si="3"/>
        <v>80000</v>
      </c>
      <c r="O2886" s="65" t="str">
        <f>VLOOKUP(E2886,DATABASE!C:Q,8,false)</f>
        <v>BIAN</v>
      </c>
      <c r="P2886" s="65">
        <f>VLOOKUP(E2886,DATABASE!C:Q,9,False)</f>
        <v>1</v>
      </c>
      <c r="Q2886" s="93" t="str">
        <f>VLOOKUP(E2886,DATABASE!C:Q,4,false)</f>
        <v>HANKOOK</v>
      </c>
      <c r="R2886" s="93" t="str">
        <f>VLOOKUP(E2886,DATABASE!C:Q,11,false)</f>
        <v>Tire</v>
      </c>
    </row>
    <row r="2887" ht="22.5" customHeight="1">
      <c r="A2887" s="49"/>
      <c r="C2887" s="384">
        <v>45808.0</v>
      </c>
      <c r="D2887" s="65">
        <v>5889.0</v>
      </c>
      <c r="E2887" s="445" t="s">
        <v>256</v>
      </c>
      <c r="F2887" s="386">
        <v>1.0</v>
      </c>
      <c r="G2887" s="74">
        <v>130000.0</v>
      </c>
      <c r="H2887" s="74">
        <v>0.0</v>
      </c>
      <c r="I2887" s="74">
        <f t="shared" si="1"/>
        <v>130000</v>
      </c>
      <c r="J2887" s="74">
        <f>IF(E2887="SERVICE",I2887-(I2887*50%),Vlookup(E2887,DATABASE!C:Q,10,false)*F2887)</f>
        <v>10000</v>
      </c>
      <c r="K2887" s="74">
        <f>VLOOKUP(E2887,DATABASE!C:Q,7,false)</f>
        <v>0</v>
      </c>
      <c r="L2887" s="74">
        <v>0.0</v>
      </c>
      <c r="M2887" s="74">
        <f t="shared" si="2"/>
        <v>0</v>
      </c>
      <c r="N2887" s="74">
        <f t="shared" si="3"/>
        <v>120000</v>
      </c>
      <c r="O2887" s="65" t="str">
        <f>VLOOKUP(E2887,DATABASE!C:Q,8,false)</f>
        <v>IBU</v>
      </c>
      <c r="P2887" s="65">
        <f>VLOOKUP(E2887,DATABASE!C:Q,9,False)</f>
        <v>0</v>
      </c>
      <c r="Q2887" s="93" t="str">
        <f>VLOOKUP(E2887,DATABASE!C:Q,4,false)</f>
        <v>SPOORING</v>
      </c>
      <c r="R2887" s="93" t="str">
        <f>VLOOKUP(E2887,DATABASE!C:Q,11,false)</f>
        <v>SERVICE</v>
      </c>
    </row>
    <row r="2888" ht="22.5" customHeight="1">
      <c r="A2888" s="49"/>
      <c r="C2888" s="384">
        <v>45808.0</v>
      </c>
      <c r="D2888" s="65">
        <v>5889.0</v>
      </c>
      <c r="E2888" s="445" t="s">
        <v>301</v>
      </c>
      <c r="F2888" s="386">
        <v>1.0</v>
      </c>
      <c r="G2888" s="74">
        <v>250000.0</v>
      </c>
      <c r="H2888" s="74">
        <v>0.0</v>
      </c>
      <c r="I2888" s="74">
        <f t="shared" si="1"/>
        <v>250000</v>
      </c>
      <c r="J2888" s="74">
        <f>IF(E2888="SERVICE",I2888-(I2888*50%),Vlookup(E2888,DATABASE!C:Q,10,false)*F2888)</f>
        <v>75000</v>
      </c>
      <c r="K2888" s="74">
        <f>VLOOKUP(E2888,DATABASE!C:Q,7,false)</f>
        <v>75000</v>
      </c>
      <c r="L2888" s="74">
        <v>75000.0</v>
      </c>
      <c r="M2888" s="74">
        <f t="shared" si="2"/>
        <v>75000</v>
      </c>
      <c r="N2888" s="74">
        <f t="shared" si="3"/>
        <v>100000</v>
      </c>
      <c r="O2888" s="65" t="str">
        <f>VLOOKUP(E2888,DATABASE!C:Q,8,false)</f>
        <v>BIAN</v>
      </c>
      <c r="P2888" s="65">
        <f>VLOOKUP(E2888,DATABASE!C:Q,9,False)</f>
        <v>0</v>
      </c>
      <c r="Q2888" s="93" t="str">
        <f>VLOOKUP(E2888,DATABASE!C:Q,4,false)</f>
        <v>Baut Camber</v>
      </c>
      <c r="R2888" s="93" t="str">
        <f>VLOOKUP(E2888,DATABASE!C:Q,11,false)</f>
        <v>COMPLEMENTARY</v>
      </c>
    </row>
    <row r="2889" ht="22.5" customHeight="1">
      <c r="A2889" s="49"/>
      <c r="C2889" s="384">
        <v>45809.0</v>
      </c>
      <c r="D2889" s="65">
        <v>5891.0</v>
      </c>
      <c r="E2889" s="445" t="s">
        <v>781</v>
      </c>
      <c r="F2889" s="386">
        <v>2.0</v>
      </c>
      <c r="G2889" s="74">
        <v>530000.0</v>
      </c>
      <c r="H2889" s="74">
        <v>0.0</v>
      </c>
      <c r="I2889" s="74">
        <f t="shared" si="1"/>
        <v>1060000</v>
      </c>
      <c r="J2889" s="74">
        <f>IF(E2889="SERVICE",I2889-(I2889*50%),Vlookup(E2889,DATABASE!C:Q,10,false)*F2889)</f>
        <v>0</v>
      </c>
      <c r="K2889" s="74">
        <f>VLOOKUP(E2889,DATABASE!C:Q,7,false)</f>
        <v>470000</v>
      </c>
      <c r="L2889" s="74">
        <v>442500.0</v>
      </c>
      <c r="M2889" s="74">
        <f t="shared" si="2"/>
        <v>445000</v>
      </c>
      <c r="N2889" s="74">
        <f t="shared" si="3"/>
        <v>170000</v>
      </c>
      <c r="O2889" s="65" t="str">
        <f>VLOOKUP(E2889,DATABASE!C:Q,8,false)</f>
        <v>BIAN</v>
      </c>
      <c r="P2889" s="65">
        <f>VLOOKUP(E2889,DATABASE!C:Q,9,False)</f>
        <v>1</v>
      </c>
      <c r="Q2889" s="93" t="str">
        <f>VLOOKUP(E2889,DATABASE!C:Q,4,false)</f>
        <v>GT</v>
      </c>
      <c r="R2889" s="93" t="str">
        <f>VLOOKUP(E2889,DATABASE!C:Q,11,false)</f>
        <v>Tire</v>
      </c>
    </row>
    <row r="2890" ht="22.5" customHeight="1">
      <c r="A2890" s="49"/>
      <c r="C2890" s="384">
        <v>45809.0</v>
      </c>
      <c r="D2890" s="65">
        <v>5891.0</v>
      </c>
      <c r="E2890" s="445" t="s">
        <v>262</v>
      </c>
      <c r="F2890" s="386">
        <v>1.0</v>
      </c>
      <c r="G2890" s="74">
        <v>110000.0</v>
      </c>
      <c r="H2890" s="74">
        <v>0.0</v>
      </c>
      <c r="I2890" s="74">
        <f t="shared" si="1"/>
        <v>110000</v>
      </c>
      <c r="J2890" s="74">
        <f>IF(E2890="SERVICE",I2890-(I2890*50%),Vlookup(E2890,DATABASE!C:Q,10,false)*F2890)</f>
        <v>5000</v>
      </c>
      <c r="K2890" s="74">
        <f>VLOOKUP(E2890,DATABASE!C:Q,7,false)</f>
        <v>0</v>
      </c>
      <c r="L2890" s="74">
        <v>0.0</v>
      </c>
      <c r="M2890" s="74">
        <f t="shared" si="2"/>
        <v>0</v>
      </c>
      <c r="N2890" s="74">
        <f t="shared" si="3"/>
        <v>105000</v>
      </c>
      <c r="O2890" s="65" t="str">
        <f>VLOOKUP(E2890,DATABASE!C:Q,8,false)</f>
        <v>IBU</v>
      </c>
      <c r="P2890" s="65">
        <f>VLOOKUP(E2890,DATABASE!C:Q,9,False)</f>
        <v>0</v>
      </c>
      <c r="Q2890" s="93" t="str">
        <f>VLOOKUP(E2890,DATABASE!C:Q,4,false)</f>
        <v>SPOORING SS/CARRY LOS BAK</v>
      </c>
      <c r="R2890" s="93" t="str">
        <f>VLOOKUP(E2890,DATABASE!C:Q,11,false)</f>
        <v>SERVICE</v>
      </c>
    </row>
    <row r="2891" ht="22.5" customHeight="1">
      <c r="A2891" s="49"/>
      <c r="C2891" s="384">
        <v>45809.0</v>
      </c>
      <c r="D2891" s="65">
        <v>5891.0</v>
      </c>
      <c r="E2891" s="445" t="s">
        <v>478</v>
      </c>
      <c r="F2891" s="386">
        <v>1.0</v>
      </c>
      <c r="G2891" s="74">
        <v>200000.0</v>
      </c>
      <c r="H2891" s="74">
        <v>0.0</v>
      </c>
      <c r="I2891" s="74">
        <f t="shared" si="1"/>
        <v>200000</v>
      </c>
      <c r="J2891" s="74">
        <f>IF(E2891="SERVICE",I2891-(I2891*50%),Vlookup(E2891,DATABASE!C:Q,10,false)*F2891)</f>
        <v>25000</v>
      </c>
      <c r="K2891" s="74">
        <f>VLOOKUP(E2891,DATABASE!C:Q,7,false)</f>
        <v>75000</v>
      </c>
      <c r="L2891" s="74">
        <v>75000.0</v>
      </c>
      <c r="M2891" s="74">
        <f t="shared" si="2"/>
        <v>75000</v>
      </c>
      <c r="N2891" s="74">
        <f t="shared" si="3"/>
        <v>100000</v>
      </c>
      <c r="O2891" s="65" t="str">
        <f>VLOOKUP(E2891,DATABASE!C:Q,8,false)</f>
        <v>BIAN</v>
      </c>
      <c r="P2891" s="65">
        <f>VLOOKUP(E2891,DATABASE!C:Q,9,False)</f>
        <v>0</v>
      </c>
      <c r="Q2891" s="93" t="str">
        <f>VLOOKUP(E2891,DATABASE!C:Q,4,false)</f>
        <v>Baut Camber ss-carry</v>
      </c>
      <c r="R2891" s="93" t="str">
        <f>VLOOKUP(E2891,DATABASE!C:Q,11,false)</f>
        <v>COMPLEMENTARY</v>
      </c>
    </row>
    <row r="2892" ht="22.5" customHeight="1">
      <c r="A2892" s="49"/>
      <c r="C2892" s="384">
        <v>45809.0</v>
      </c>
      <c r="D2892" s="65">
        <v>5891.0</v>
      </c>
      <c r="E2892" s="445" t="s">
        <v>251</v>
      </c>
      <c r="F2892" s="386">
        <v>1.0</v>
      </c>
      <c r="G2892" s="74">
        <v>80000.0</v>
      </c>
      <c r="H2892" s="74">
        <v>0.0</v>
      </c>
      <c r="I2892" s="74">
        <f t="shared" si="1"/>
        <v>80000</v>
      </c>
      <c r="J2892" s="74">
        <f>IF(E2892="SERVICE",I2892-(I2892*50%),Vlookup(E2892,DATABASE!C:Q,10,false)*F2892)</f>
        <v>40000</v>
      </c>
      <c r="K2892" s="74">
        <f>VLOOKUP(E2892,DATABASE!C:Q,7,false)</f>
        <v>0</v>
      </c>
      <c r="L2892" s="74">
        <v>0.0</v>
      </c>
      <c r="M2892" s="74">
        <f t="shared" si="2"/>
        <v>0</v>
      </c>
      <c r="N2892" s="74">
        <f t="shared" si="3"/>
        <v>40000</v>
      </c>
      <c r="O2892" s="65" t="str">
        <f>VLOOKUP(E2892,DATABASE!C:Q,8,false)</f>
        <v>IBU</v>
      </c>
      <c r="P2892" s="65">
        <f>VLOOKUP(E2892,DATABASE!C:Q,9,False)</f>
        <v>0</v>
      </c>
      <c r="Q2892" s="93" t="str">
        <f>VLOOKUP(E2892,DATABASE!C:Q,4,false)</f>
        <v>SERVICE</v>
      </c>
      <c r="R2892" s="93" t="str">
        <f>VLOOKUP(E2892,DATABASE!C:Q,11,false)</f>
        <v>SERVICE</v>
      </c>
    </row>
    <row r="2893" ht="22.5" customHeight="1">
      <c r="A2893" s="49"/>
      <c r="C2893" s="384">
        <v>45809.0</v>
      </c>
      <c r="D2893" s="65">
        <v>5892.0</v>
      </c>
      <c r="E2893" s="445" t="s">
        <v>554</v>
      </c>
      <c r="F2893" s="386">
        <v>1.0</v>
      </c>
      <c r="G2893" s="74">
        <v>800000.0</v>
      </c>
      <c r="H2893" s="74">
        <v>0.0</v>
      </c>
      <c r="I2893" s="74">
        <f t="shared" si="1"/>
        <v>800000</v>
      </c>
      <c r="J2893" s="74">
        <f>IF(E2893="SERVICE",I2893-(I2893*50%),Vlookup(E2893,DATABASE!C:Q,10,false)*F2893)</f>
        <v>0</v>
      </c>
      <c r="K2893" s="74">
        <f>VLOOKUP(E2893,DATABASE!C:Q,7,false)</f>
        <v>710000</v>
      </c>
      <c r="L2893" s="74">
        <v>680000.0</v>
      </c>
      <c r="M2893" s="74">
        <f t="shared" si="2"/>
        <v>680000</v>
      </c>
      <c r="N2893" s="74">
        <f t="shared" si="3"/>
        <v>120000</v>
      </c>
      <c r="O2893" s="65" t="str">
        <f>VLOOKUP(E2893,DATABASE!C:Q,8,false)</f>
        <v>IBU</v>
      </c>
      <c r="P2893" s="65">
        <f>VLOOKUP(E2893,DATABASE!C:Q,9,False)</f>
        <v>1</v>
      </c>
      <c r="Q2893" s="93" t="str">
        <f>VLOOKUP(E2893,DATABASE!C:Q,4,false)</f>
        <v>Bridgestone</v>
      </c>
      <c r="R2893" s="93" t="str">
        <f>VLOOKUP(E2893,DATABASE!C:Q,11,false)</f>
        <v>Tire</v>
      </c>
    </row>
    <row r="2894" ht="22.5" customHeight="1">
      <c r="A2894" s="49"/>
      <c r="C2894" s="384">
        <v>45809.0</v>
      </c>
      <c r="D2894" s="65">
        <v>5893.0</v>
      </c>
      <c r="E2894" s="445" t="s">
        <v>478</v>
      </c>
      <c r="F2894" s="386">
        <v>1.0</v>
      </c>
      <c r="G2894" s="74">
        <v>200000.0</v>
      </c>
      <c r="H2894" s="74">
        <v>0.0</v>
      </c>
      <c r="I2894" s="74">
        <f t="shared" si="1"/>
        <v>200000</v>
      </c>
      <c r="J2894" s="74">
        <f>IF(E2894="SERVICE",I2894-(I2894*50%),Vlookup(E2894,DATABASE!C:Q,10,false)*F2894)</f>
        <v>25000</v>
      </c>
      <c r="K2894" s="74">
        <f>VLOOKUP(E2894,DATABASE!C:Q,7,false)</f>
        <v>75000</v>
      </c>
      <c r="L2894" s="74">
        <v>75000.0</v>
      </c>
      <c r="M2894" s="74">
        <f t="shared" si="2"/>
        <v>75000</v>
      </c>
      <c r="N2894" s="74">
        <f t="shared" si="3"/>
        <v>100000</v>
      </c>
      <c r="O2894" s="65" t="str">
        <f>VLOOKUP(E2894,DATABASE!C:Q,8,false)</f>
        <v>BIAN</v>
      </c>
      <c r="P2894" s="65">
        <f>VLOOKUP(E2894,DATABASE!C:Q,9,False)</f>
        <v>0</v>
      </c>
      <c r="Q2894" s="93" t="str">
        <f>VLOOKUP(E2894,DATABASE!C:Q,4,false)</f>
        <v>Baut Camber ss-carry</v>
      </c>
      <c r="R2894" s="93" t="str">
        <f>VLOOKUP(E2894,DATABASE!C:Q,11,false)</f>
        <v>COMPLEMENTARY</v>
      </c>
    </row>
    <row r="2895" ht="22.5" customHeight="1">
      <c r="A2895" s="49"/>
      <c r="C2895" s="384">
        <v>45809.0</v>
      </c>
      <c r="D2895" s="65">
        <v>5893.0</v>
      </c>
      <c r="E2895" s="445" t="s">
        <v>262</v>
      </c>
      <c r="F2895" s="386">
        <v>1.0</v>
      </c>
      <c r="G2895" s="74">
        <v>100000.0</v>
      </c>
      <c r="H2895" s="74">
        <v>0.0</v>
      </c>
      <c r="I2895" s="74">
        <f t="shared" si="1"/>
        <v>100000</v>
      </c>
      <c r="J2895" s="74">
        <f>IF(E2895="SERVICE",I2895-(I2895*50%),Vlookup(E2895,DATABASE!C:Q,10,false)*F2895)</f>
        <v>5000</v>
      </c>
      <c r="K2895" s="74">
        <f>VLOOKUP(E2895,DATABASE!C:Q,7,false)</f>
        <v>0</v>
      </c>
      <c r="L2895" s="74">
        <v>0.0</v>
      </c>
      <c r="M2895" s="74">
        <f t="shared" si="2"/>
        <v>0</v>
      </c>
      <c r="N2895" s="74">
        <f t="shared" si="3"/>
        <v>95000</v>
      </c>
      <c r="O2895" s="65" t="str">
        <f>VLOOKUP(E2895,DATABASE!C:Q,8,false)</f>
        <v>IBU</v>
      </c>
      <c r="P2895" s="65">
        <f>VLOOKUP(E2895,DATABASE!C:Q,9,False)</f>
        <v>0</v>
      </c>
      <c r="Q2895" s="93" t="str">
        <f>VLOOKUP(E2895,DATABASE!C:Q,4,false)</f>
        <v>SPOORING SS/CARRY LOS BAK</v>
      </c>
      <c r="R2895" s="93" t="str">
        <f>VLOOKUP(E2895,DATABASE!C:Q,11,false)</f>
        <v>SERVICE</v>
      </c>
    </row>
    <row r="2896" ht="22.5" customHeight="1">
      <c r="A2896" s="49"/>
      <c r="C2896" s="384">
        <v>45809.0</v>
      </c>
      <c r="D2896" s="65">
        <v>5894.0</v>
      </c>
      <c r="E2896" s="445" t="s">
        <v>633</v>
      </c>
      <c r="F2896" s="386">
        <v>1.0</v>
      </c>
      <c r="G2896" s="74">
        <v>115000.0</v>
      </c>
      <c r="H2896" s="74">
        <v>0.0</v>
      </c>
      <c r="I2896" s="74">
        <f t="shared" si="1"/>
        <v>115000</v>
      </c>
      <c r="J2896" s="74">
        <f>IF(E2896="SERVICE",I2896-(I2896*50%),Vlookup(E2896,DATABASE!C:Q,10,false)*F2896)</f>
        <v>0</v>
      </c>
      <c r="K2896" s="74">
        <f>VLOOKUP(E2896,DATABASE!C:Q,7,false)</f>
        <v>81200</v>
      </c>
      <c r="L2896" s="74">
        <v>81200.0</v>
      </c>
      <c r="M2896" s="74">
        <f t="shared" si="2"/>
        <v>85000</v>
      </c>
      <c r="N2896" s="74">
        <f t="shared" si="3"/>
        <v>30000</v>
      </c>
      <c r="O2896" s="65" t="str">
        <f>VLOOKUP(E2896,DATABASE!C:Q,8,false)</f>
        <v>BIAN</v>
      </c>
      <c r="P2896" s="65">
        <f>VLOOKUP(E2896,DATABASE!C:Q,9,False)</f>
        <v>1</v>
      </c>
      <c r="Q2896" s="93" t="str">
        <f>VLOOKUP(E2896,DATABASE!C:Q,4,false)</f>
        <v>BD</v>
      </c>
      <c r="R2896" s="93" t="str">
        <f>VLOOKUP(E2896,DATABASE!C:Q,11,false)</f>
        <v>Tire</v>
      </c>
    </row>
    <row r="2897" ht="22.5" customHeight="1">
      <c r="A2897" s="49"/>
      <c r="C2897" s="384">
        <v>45809.0</v>
      </c>
      <c r="D2897" s="65">
        <v>5896.0</v>
      </c>
      <c r="E2897" s="445" t="s">
        <v>624</v>
      </c>
      <c r="F2897" s="386">
        <v>2.0</v>
      </c>
      <c r="G2897" s="74">
        <v>110000.0</v>
      </c>
      <c r="H2897" s="74">
        <v>0.0</v>
      </c>
      <c r="I2897" s="74">
        <f t="shared" si="1"/>
        <v>220000</v>
      </c>
      <c r="J2897" s="74">
        <f>IF(E2897="SERVICE",I2897-(I2897*50%),Vlookup(E2897,DATABASE!C:Q,10,false)*F2897)</f>
        <v>0</v>
      </c>
      <c r="K2897" s="74">
        <f>VLOOKUP(E2897,DATABASE!C:Q,7,false)</f>
        <v>60500</v>
      </c>
      <c r="L2897" s="74">
        <v>60500.0</v>
      </c>
      <c r="M2897" s="74">
        <f t="shared" si="2"/>
        <v>65000</v>
      </c>
      <c r="N2897" s="74">
        <f t="shared" si="3"/>
        <v>90000</v>
      </c>
      <c r="O2897" s="65" t="str">
        <f>VLOOKUP(E2897,DATABASE!C:Q,8,false)</f>
        <v>BIAN</v>
      </c>
      <c r="P2897" s="65">
        <f>VLOOKUP(E2897,DATABASE!C:Q,9,False)</f>
        <v>1</v>
      </c>
      <c r="Q2897" s="93" t="str">
        <f>VLOOKUP(E2897,DATABASE!C:Q,4,false)</f>
        <v>BD</v>
      </c>
      <c r="R2897" s="93" t="str">
        <f>VLOOKUP(E2897,DATABASE!C:Q,11,false)</f>
        <v>Tire</v>
      </c>
    </row>
    <row r="2898" ht="22.5" customHeight="1">
      <c r="A2898" s="49"/>
      <c r="C2898" s="384">
        <v>45810.0</v>
      </c>
      <c r="D2898" s="65">
        <v>5897.0</v>
      </c>
      <c r="E2898" s="445" t="s">
        <v>268</v>
      </c>
      <c r="F2898" s="386">
        <v>2.0</v>
      </c>
      <c r="G2898" s="74">
        <v>700000.0</v>
      </c>
      <c r="H2898" s="74">
        <v>0.0</v>
      </c>
      <c r="I2898" s="74">
        <f t="shared" si="1"/>
        <v>1400000</v>
      </c>
      <c r="J2898" s="74">
        <f>IF(E2898="SERVICE",I2898-(I2898*50%),Vlookup(E2898,DATABASE!C:Q,10,false)*F2898)</f>
        <v>0</v>
      </c>
      <c r="K2898" s="74">
        <v>613000.0</v>
      </c>
      <c r="L2898" s="74">
        <v>613000.0</v>
      </c>
      <c r="M2898" s="74">
        <f t="shared" si="2"/>
        <v>615000</v>
      </c>
      <c r="N2898" s="74">
        <f t="shared" si="3"/>
        <v>170000</v>
      </c>
      <c r="O2898" s="65" t="str">
        <f>VLOOKUP(E2898,DATABASE!C:Q,8,false)</f>
        <v>IBU</v>
      </c>
      <c r="P2898" s="65">
        <f>VLOOKUP(E2898,DATABASE!C:Q,9,False)</f>
        <v>1</v>
      </c>
      <c r="Q2898" s="93" t="str">
        <f>VLOOKUP(E2898,DATABASE!C:Q,4,false)</f>
        <v>Dunlop</v>
      </c>
      <c r="R2898" s="93" t="str">
        <f>VLOOKUP(E2898,DATABASE!C:Q,11,false)</f>
        <v>Tire</v>
      </c>
    </row>
    <row r="2899" ht="22.5" customHeight="1">
      <c r="A2899" s="49"/>
      <c r="C2899" s="384">
        <v>45810.0</v>
      </c>
      <c r="D2899" s="65">
        <v>5898.0</v>
      </c>
      <c r="E2899" s="445" t="s">
        <v>250</v>
      </c>
      <c r="F2899" s="386">
        <v>1.0</v>
      </c>
      <c r="G2899" s="74">
        <v>135000.0</v>
      </c>
      <c r="H2899" s="74">
        <v>0.0</v>
      </c>
      <c r="I2899" s="74">
        <f t="shared" si="1"/>
        <v>135000</v>
      </c>
      <c r="J2899" s="74">
        <f>IF(E2899="SERVICE",I2899-(I2899*50%),Vlookup(E2899,DATABASE!C:Q,10,false)*F2899)</f>
        <v>0</v>
      </c>
      <c r="K2899" s="74">
        <f>VLOOKUP(E2899,DATABASE!C:Q,7,false)</f>
        <v>102000</v>
      </c>
      <c r="L2899" s="74">
        <v>102000.0</v>
      </c>
      <c r="M2899" s="74">
        <f t="shared" si="2"/>
        <v>105000</v>
      </c>
      <c r="N2899" s="74">
        <f t="shared" si="3"/>
        <v>30000</v>
      </c>
      <c r="O2899" s="65" t="str">
        <f>VLOOKUP(E2899,DATABASE!C:Q,8,false)</f>
        <v>BIAN</v>
      </c>
      <c r="P2899" s="65">
        <f>VLOOKUP(E2899,DATABASE!C:Q,9,False)</f>
        <v>1</v>
      </c>
      <c r="Q2899" s="93" t="str">
        <f>VLOOKUP(E2899,DATABASE!C:Q,4,false)</f>
        <v>BD</v>
      </c>
      <c r="R2899" s="93" t="str">
        <f>VLOOKUP(E2899,DATABASE!C:Q,11,false)</f>
        <v>Tire</v>
      </c>
    </row>
    <row r="2900" ht="22.5" customHeight="1">
      <c r="A2900" s="49"/>
      <c r="C2900" s="384">
        <v>45810.0</v>
      </c>
      <c r="D2900" s="65">
        <v>5899.0</v>
      </c>
      <c r="E2900" s="445" t="s">
        <v>251</v>
      </c>
      <c r="F2900" s="386">
        <v>1.0</v>
      </c>
      <c r="G2900" s="74">
        <v>150000.0</v>
      </c>
      <c r="H2900" s="74">
        <v>0.0</v>
      </c>
      <c r="I2900" s="74">
        <f t="shared" si="1"/>
        <v>150000</v>
      </c>
      <c r="J2900" s="74">
        <f>IF(E2900="SERVICE",I2900-(I2900*50%),Vlookup(E2900,DATABASE!C:Q,10,false)*F2900)</f>
        <v>75000</v>
      </c>
      <c r="K2900" s="74">
        <f>VLOOKUP(E2900,DATABASE!C:Q,7,false)</f>
        <v>0</v>
      </c>
      <c r="L2900" s="74">
        <v>0.0</v>
      </c>
      <c r="M2900" s="74">
        <f t="shared" si="2"/>
        <v>0</v>
      </c>
      <c r="N2900" s="74">
        <f t="shared" si="3"/>
        <v>75000</v>
      </c>
      <c r="O2900" s="65" t="str">
        <f>VLOOKUP(E2900,DATABASE!C:Q,8,false)</f>
        <v>IBU</v>
      </c>
      <c r="P2900" s="65">
        <f>VLOOKUP(E2900,DATABASE!C:Q,9,False)</f>
        <v>0</v>
      </c>
      <c r="Q2900" s="93" t="str">
        <f>VLOOKUP(E2900,DATABASE!C:Q,4,false)</f>
        <v>SERVICE</v>
      </c>
      <c r="R2900" s="93" t="str">
        <f>VLOOKUP(E2900,DATABASE!C:Q,11,false)</f>
        <v>SERVICE</v>
      </c>
    </row>
    <row r="2901" ht="22.5" customHeight="1">
      <c r="A2901" s="49"/>
      <c r="C2901" s="384">
        <v>45810.0</v>
      </c>
      <c r="D2901" s="65">
        <v>5900.0</v>
      </c>
      <c r="E2901" s="445" t="s">
        <v>268</v>
      </c>
      <c r="F2901" s="386">
        <v>1.0</v>
      </c>
      <c r="G2901" s="74">
        <v>720000.0</v>
      </c>
      <c r="H2901" s="74">
        <v>0.0</v>
      </c>
      <c r="I2901" s="74">
        <f t="shared" si="1"/>
        <v>720000</v>
      </c>
      <c r="J2901" s="74">
        <f>IF(E2901="SERVICE",I2901-(I2901*50%),Vlookup(E2901,DATABASE!C:Q,10,false)*F2901)</f>
        <v>0</v>
      </c>
      <c r="K2901" s="74">
        <f>VLOOKUP(E2901,DATABASE!C:Q,7,false)</f>
        <v>653000</v>
      </c>
      <c r="L2901" s="74">
        <v>622000.0</v>
      </c>
      <c r="M2901" s="74">
        <f t="shared" si="2"/>
        <v>625000</v>
      </c>
      <c r="N2901" s="74">
        <f t="shared" si="3"/>
        <v>95000</v>
      </c>
      <c r="O2901" s="65" t="str">
        <f>VLOOKUP(E2901,DATABASE!C:Q,8,false)</f>
        <v>IBU</v>
      </c>
      <c r="P2901" s="65">
        <f>VLOOKUP(E2901,DATABASE!C:Q,9,False)</f>
        <v>1</v>
      </c>
      <c r="Q2901" s="93" t="str">
        <f>VLOOKUP(E2901,DATABASE!C:Q,4,false)</f>
        <v>Dunlop</v>
      </c>
      <c r="R2901" s="93" t="str">
        <f>VLOOKUP(E2901,DATABASE!C:Q,11,false)</f>
        <v>Tire</v>
      </c>
    </row>
    <row r="2902" ht="22.5" customHeight="1">
      <c r="A2902" s="49"/>
      <c r="C2902" s="384">
        <v>45810.0</v>
      </c>
      <c r="D2902" s="65">
        <v>5901.0</v>
      </c>
      <c r="E2902" s="445" t="s">
        <v>268</v>
      </c>
      <c r="F2902" s="386">
        <v>1.0</v>
      </c>
      <c r="G2902" s="74">
        <v>720000.0</v>
      </c>
      <c r="H2902" s="74">
        <v>0.0</v>
      </c>
      <c r="I2902" s="74">
        <f t="shared" si="1"/>
        <v>720000</v>
      </c>
      <c r="J2902" s="74">
        <f>IF(E2902="SERVICE",I2902-(I2902*50%),Vlookup(E2902,DATABASE!C:Q,10,false)*F2902)</f>
        <v>0</v>
      </c>
      <c r="K2902" s="74">
        <f>VLOOKUP(E2902,DATABASE!C:Q,7,false)</f>
        <v>653000</v>
      </c>
      <c r="L2902" s="74">
        <v>622000.0</v>
      </c>
      <c r="M2902" s="74">
        <f t="shared" si="2"/>
        <v>625000</v>
      </c>
      <c r="N2902" s="74">
        <f t="shared" si="3"/>
        <v>95000</v>
      </c>
      <c r="O2902" s="65" t="str">
        <f>VLOOKUP(E2902,DATABASE!C:Q,8,false)</f>
        <v>IBU</v>
      </c>
      <c r="P2902" s="65">
        <f>VLOOKUP(E2902,DATABASE!C:Q,9,False)</f>
        <v>1</v>
      </c>
      <c r="Q2902" s="93" t="str">
        <f>VLOOKUP(E2902,DATABASE!C:Q,4,false)</f>
        <v>Dunlop</v>
      </c>
      <c r="R2902" s="93" t="str">
        <f>VLOOKUP(E2902,DATABASE!C:Q,11,false)</f>
        <v>Tire</v>
      </c>
    </row>
    <row r="2903" ht="22.5" customHeight="1">
      <c r="A2903" s="49"/>
      <c r="C2903" s="384">
        <v>45810.0</v>
      </c>
      <c r="D2903" s="65">
        <v>5902.0</v>
      </c>
      <c r="E2903" s="445" t="s">
        <v>1489</v>
      </c>
      <c r="F2903" s="386">
        <v>2.0</v>
      </c>
      <c r="G2903" s="74">
        <v>700000.0</v>
      </c>
      <c r="H2903" s="74">
        <v>0.0</v>
      </c>
      <c r="I2903" s="74">
        <f t="shared" si="1"/>
        <v>1400000</v>
      </c>
      <c r="J2903" s="74">
        <f>IF(E2903="SERVICE",I2903-(I2903*50%),Vlookup(E2903,DATABASE!C:Q,10,false)*F2903)</f>
        <v>0</v>
      </c>
      <c r="K2903" s="74">
        <f>VLOOKUP(E2903,DATABASE!C:Q,7,false)</f>
        <v>609000</v>
      </c>
      <c r="L2903" s="74">
        <v>609000.0</v>
      </c>
      <c r="M2903" s="74">
        <f t="shared" si="2"/>
        <v>610000</v>
      </c>
      <c r="N2903" s="74">
        <f t="shared" si="3"/>
        <v>180000</v>
      </c>
      <c r="O2903" s="65" t="str">
        <f>VLOOKUP(E2903,DATABASE!C:Q,8,false)</f>
        <v>IBU</v>
      </c>
      <c r="P2903" s="65">
        <f>VLOOKUP(E2903,DATABASE!C:Q,9,False)</f>
        <v>1</v>
      </c>
      <c r="Q2903" s="93" t="str">
        <f>VLOOKUP(E2903,DATABASE!C:Q,4,false)</f>
        <v>Dunlop</v>
      </c>
      <c r="R2903" s="93" t="str">
        <f>VLOOKUP(E2903,DATABASE!C:Q,11,false)</f>
        <v>Tire</v>
      </c>
    </row>
    <row r="2904" ht="22.5" customHeight="1">
      <c r="A2904" s="49"/>
      <c r="C2904" s="384">
        <v>45810.0</v>
      </c>
      <c r="D2904" s="65">
        <v>5902.0</v>
      </c>
      <c r="E2904" s="385" t="s">
        <v>299</v>
      </c>
      <c r="F2904" s="386">
        <v>2.0</v>
      </c>
      <c r="G2904" s="74">
        <v>30000.0</v>
      </c>
      <c r="H2904" s="74">
        <v>0.0</v>
      </c>
      <c r="I2904" s="74">
        <f t="shared" si="1"/>
        <v>60000</v>
      </c>
      <c r="J2904" s="74">
        <f>IF(E2904="SERVICE",I2904-(I2904*50%),Vlookup(E2904,DATABASE!C:Q,10,false)*F2904)</f>
        <v>0</v>
      </c>
      <c r="K2904" s="74">
        <v>0.0</v>
      </c>
      <c r="L2904" s="74">
        <v>0.0</v>
      </c>
      <c r="M2904" s="74">
        <f t="shared" si="2"/>
        <v>0</v>
      </c>
      <c r="N2904" s="74">
        <f t="shared" si="3"/>
        <v>60000</v>
      </c>
      <c r="O2904" s="65" t="str">
        <f>VLOOKUP(E2904,DATABASE!C:Q,8,false)</f>
        <v>BIAN</v>
      </c>
      <c r="P2904" s="65">
        <f>VLOOKUP(E2904,DATABASE!C:Q,9,False)</f>
        <v>0</v>
      </c>
      <c r="Q2904" s="93" t="str">
        <f>VLOOKUP(E2904,DATABASE!C:Q,4,false)</f>
        <v>Balancing</v>
      </c>
      <c r="R2904" s="93" t="str">
        <f>VLOOKUP(E2904,DATABASE!C:Q,11,false)</f>
        <v>COMPLEMENTARY</v>
      </c>
    </row>
    <row r="2905" ht="22.5" customHeight="1">
      <c r="A2905" s="49"/>
      <c r="C2905" s="384">
        <v>45810.0</v>
      </c>
      <c r="D2905" s="65">
        <v>5903.0</v>
      </c>
      <c r="E2905" s="445" t="s">
        <v>275</v>
      </c>
      <c r="F2905" s="386">
        <v>2.0</v>
      </c>
      <c r="G2905" s="74">
        <v>850000.0</v>
      </c>
      <c r="H2905" s="74">
        <v>0.0</v>
      </c>
      <c r="I2905" s="74">
        <f t="shared" si="1"/>
        <v>1700000</v>
      </c>
      <c r="J2905" s="74">
        <f>IF(E2905="SERVICE",I2905-(I2905*50%),Vlookup(E2905,DATABASE!C:Q,10,false)*F2905)</f>
        <v>0</v>
      </c>
      <c r="K2905" s="74">
        <f>VLOOKUP(E2905,DATABASE!C:Q,7,false)</f>
        <v>782000</v>
      </c>
      <c r="L2905" s="74">
        <v>745000.0</v>
      </c>
      <c r="M2905" s="74">
        <f t="shared" si="2"/>
        <v>745000</v>
      </c>
      <c r="N2905" s="74">
        <f t="shared" si="3"/>
        <v>210000</v>
      </c>
      <c r="O2905" s="65" t="str">
        <f>VLOOKUP(E2905,DATABASE!C:Q,8,false)</f>
        <v>IBU</v>
      </c>
      <c r="P2905" s="65">
        <f>VLOOKUP(E2905,DATABASE!C:Q,9,False)</f>
        <v>1</v>
      </c>
      <c r="Q2905" s="93" t="str">
        <f>VLOOKUP(E2905,DATABASE!C:Q,4,false)</f>
        <v>Dunlop</v>
      </c>
      <c r="R2905" s="93" t="str">
        <f>VLOOKUP(E2905,DATABASE!C:Q,11,false)</f>
        <v>Tire</v>
      </c>
    </row>
    <row r="2906" ht="22.5" customHeight="1">
      <c r="A2906" s="49"/>
      <c r="C2906" s="384">
        <v>45810.0</v>
      </c>
      <c r="D2906" s="65">
        <v>5904.0</v>
      </c>
      <c r="E2906" s="445" t="s">
        <v>937</v>
      </c>
      <c r="F2906" s="386">
        <v>1.0</v>
      </c>
      <c r="G2906" s="74">
        <v>900000.0</v>
      </c>
      <c r="H2906" s="74">
        <v>0.0</v>
      </c>
      <c r="I2906" s="74">
        <f t="shared" si="1"/>
        <v>900000</v>
      </c>
      <c r="J2906" s="74">
        <f>IF(E2906="SERVICE",I2906-(I2906*50%),Vlookup(E2906,DATABASE!C:Q,10,false)*F2906)</f>
        <v>0</v>
      </c>
      <c r="K2906" s="74">
        <f>VLOOKUP(E2906,DATABASE!C:Q,7,false)</f>
        <v>825000</v>
      </c>
      <c r="L2906" s="74">
        <v>790000.0</v>
      </c>
      <c r="M2906" s="74">
        <f t="shared" si="2"/>
        <v>790000</v>
      </c>
      <c r="N2906" s="74">
        <f t="shared" si="3"/>
        <v>110000</v>
      </c>
      <c r="O2906" s="65" t="str">
        <f>VLOOKUP(E2906,DATABASE!C:Q,8,false)</f>
        <v>IBU</v>
      </c>
      <c r="P2906" s="65">
        <f>VLOOKUP(E2906,DATABASE!C:Q,9,False)</f>
        <v>1</v>
      </c>
      <c r="Q2906" s="93" t="str">
        <f>VLOOKUP(E2906,DATABASE!C:Q,4,false)</f>
        <v>Bridgestone</v>
      </c>
      <c r="R2906" s="93" t="str">
        <f>VLOOKUP(E2906,DATABASE!C:Q,11,false)</f>
        <v>Tire</v>
      </c>
    </row>
    <row r="2907" ht="22.5" customHeight="1">
      <c r="A2907" s="49"/>
      <c r="C2907" s="384">
        <v>45810.0</v>
      </c>
      <c r="D2907" s="65">
        <v>5905.0</v>
      </c>
      <c r="E2907" s="445" t="s">
        <v>821</v>
      </c>
      <c r="F2907" s="386">
        <v>1.0</v>
      </c>
      <c r="G2907" s="74">
        <v>85000.0</v>
      </c>
      <c r="H2907" s="74">
        <v>0.0</v>
      </c>
      <c r="I2907" s="74">
        <f t="shared" si="1"/>
        <v>85000</v>
      </c>
      <c r="J2907" s="74">
        <f>IF(E2907="SERVICE",I2907-(I2907*50%),Vlookup(E2907,DATABASE!C:Q,10,false)*F2907)</f>
        <v>0</v>
      </c>
      <c r="K2907" s="74">
        <f>VLOOKUP(E2907,DATABASE!C:Q,7,false)</f>
        <v>43500</v>
      </c>
      <c r="L2907" s="74">
        <v>43520.0</v>
      </c>
      <c r="M2907" s="74">
        <f t="shared" si="2"/>
        <v>45000</v>
      </c>
      <c r="N2907" s="74">
        <f t="shared" si="3"/>
        <v>40000</v>
      </c>
      <c r="O2907" s="65" t="str">
        <f>VLOOKUP(E2907,DATABASE!C:Q,8,false)</f>
        <v>BIAN</v>
      </c>
      <c r="P2907" s="65">
        <f>VLOOKUP(E2907,DATABASE!C:Q,9,False)</f>
        <v>1</v>
      </c>
      <c r="Q2907" s="93" t="str">
        <f>VLOOKUP(E2907,DATABASE!C:Q,4,false)</f>
        <v>Flap</v>
      </c>
      <c r="R2907" s="93" t="str">
        <f>VLOOKUP(E2907,DATABASE!C:Q,11,false)</f>
        <v>Tire</v>
      </c>
    </row>
    <row r="2908" ht="22.5" customHeight="1">
      <c r="A2908" s="49"/>
      <c r="C2908" s="384">
        <v>45810.0</v>
      </c>
      <c r="D2908" s="65">
        <v>5906.0</v>
      </c>
      <c r="E2908" s="445" t="s">
        <v>839</v>
      </c>
      <c r="F2908" s="386">
        <v>4.0</v>
      </c>
      <c r="G2908" s="74">
        <v>565000.0</v>
      </c>
      <c r="H2908" s="74">
        <v>0.0</v>
      </c>
      <c r="I2908" s="74">
        <f t="shared" si="1"/>
        <v>2260000</v>
      </c>
      <c r="J2908" s="74">
        <f>IF(E2908="SERVICE",I2908-(I2908*50%),Vlookup(E2908,DATABASE!C:Q,10,false)*F2908)</f>
        <v>0</v>
      </c>
      <c r="K2908" s="74">
        <f>VLOOKUP(E2908,DATABASE!C:Q,7,false)</f>
        <v>512640</v>
      </c>
      <c r="L2908" s="74">
        <v>475700.0</v>
      </c>
      <c r="M2908" s="74">
        <f t="shared" si="2"/>
        <v>480000</v>
      </c>
      <c r="N2908" s="74">
        <f t="shared" si="3"/>
        <v>340000</v>
      </c>
      <c r="O2908" s="65" t="str">
        <f>VLOOKUP(E2908,DATABASE!C:Q,8,false)</f>
        <v>BIAN</v>
      </c>
      <c r="P2908" s="65">
        <f>VLOOKUP(E2908,DATABASE!C:Q,9,False)</f>
        <v>1</v>
      </c>
      <c r="Q2908" s="93" t="str">
        <f>VLOOKUP(E2908,DATABASE!C:Q,4,false)</f>
        <v>GT</v>
      </c>
      <c r="R2908" s="93" t="str">
        <f>VLOOKUP(E2908,DATABASE!C:Q,11,false)</f>
        <v>Tire</v>
      </c>
    </row>
    <row r="2909" ht="22.5" customHeight="1">
      <c r="A2909" s="49"/>
      <c r="C2909" s="384">
        <v>45810.0</v>
      </c>
      <c r="D2909" s="65">
        <v>5907.0</v>
      </c>
      <c r="E2909" s="445" t="s">
        <v>932</v>
      </c>
      <c r="F2909" s="386">
        <v>4.0</v>
      </c>
      <c r="G2909" s="74">
        <v>700000.0</v>
      </c>
      <c r="H2909" s="74">
        <v>0.0</v>
      </c>
      <c r="I2909" s="74">
        <f t="shared" si="1"/>
        <v>2800000</v>
      </c>
      <c r="J2909" s="74">
        <f>IF(E2909="SERVICE",I2909-(I2909*50%),Vlookup(E2909,DATABASE!C:Q,10,false)*F2909)</f>
        <v>0</v>
      </c>
      <c r="K2909" s="74">
        <f>VLOOKUP(E2909,DATABASE!C:Q,7,false)</f>
        <v>601000</v>
      </c>
      <c r="L2909" s="74">
        <v>595000.0</v>
      </c>
      <c r="M2909" s="74">
        <f t="shared" si="2"/>
        <v>595000</v>
      </c>
      <c r="N2909" s="74">
        <f t="shared" si="3"/>
        <v>420000</v>
      </c>
      <c r="O2909" s="65" t="str">
        <f>VLOOKUP(E2909,DATABASE!C:Q,8,false)</f>
        <v>IBU</v>
      </c>
      <c r="P2909" s="65">
        <f>VLOOKUP(E2909,DATABASE!C:Q,9,False)</f>
        <v>1</v>
      </c>
      <c r="Q2909" s="93" t="str">
        <f>VLOOKUP(E2909,DATABASE!C:Q,4,false)</f>
        <v>Dunlop</v>
      </c>
      <c r="R2909" s="93" t="str">
        <f>VLOOKUP(E2909,DATABASE!C:Q,11,false)</f>
        <v>Tire</v>
      </c>
    </row>
    <row r="2910" ht="22.5" customHeight="1">
      <c r="A2910" s="49"/>
      <c r="C2910" s="384">
        <v>45810.0</v>
      </c>
      <c r="D2910" s="65">
        <v>5908.0</v>
      </c>
      <c r="E2910" s="445" t="s">
        <v>246</v>
      </c>
      <c r="F2910" s="386">
        <v>2.0</v>
      </c>
      <c r="G2910" s="74">
        <v>25000.0</v>
      </c>
      <c r="H2910" s="74">
        <v>0.0</v>
      </c>
      <c r="I2910" s="74">
        <f t="shared" si="1"/>
        <v>50000</v>
      </c>
      <c r="J2910" s="74">
        <f>IF(E2910="SERVICE",I2910-(I2910*50%),Vlookup(E2910,DATABASE!C:Q,10,false)*F2910)</f>
        <v>0</v>
      </c>
      <c r="K2910" s="74">
        <f>VLOOKUP(E2910,DATABASE!C:Q,7,false)</f>
        <v>0</v>
      </c>
      <c r="L2910" s="74">
        <v>0.0</v>
      </c>
      <c r="M2910" s="74">
        <f t="shared" si="2"/>
        <v>0</v>
      </c>
      <c r="N2910" s="74">
        <f t="shared" si="3"/>
        <v>50000</v>
      </c>
      <c r="O2910" s="65" t="str">
        <f>VLOOKUP(E2910,DATABASE!C:Q,8,false)</f>
        <v>IBU</v>
      </c>
      <c r="P2910" s="65">
        <f>VLOOKUP(E2910,DATABASE!C:Q,9,False)</f>
        <v>0</v>
      </c>
      <c r="Q2910" s="93" t="str">
        <f>VLOOKUP(E2910,DATABASE!C:Q,4,false)</f>
        <v>Bongkar Pasang</v>
      </c>
      <c r="R2910" s="93" t="str">
        <f>VLOOKUP(E2910,DATABASE!C:Q,11,false)</f>
        <v>SERVICE</v>
      </c>
    </row>
    <row r="2911" ht="22.5" customHeight="1">
      <c r="A2911" s="49"/>
      <c r="C2911" s="384">
        <v>45810.0</v>
      </c>
      <c r="D2911" s="65">
        <v>5910.0</v>
      </c>
      <c r="E2911" s="445" t="s">
        <v>275</v>
      </c>
      <c r="F2911" s="386">
        <v>1.0</v>
      </c>
      <c r="G2911" s="74">
        <v>850000.0</v>
      </c>
      <c r="H2911" s="74">
        <v>0.0</v>
      </c>
      <c r="I2911" s="74">
        <f t="shared" si="1"/>
        <v>850000</v>
      </c>
      <c r="J2911" s="74">
        <f>IF(E2911="SERVICE",I2911-(I2911*50%),Vlookup(E2911,DATABASE!C:Q,10,false)*F2911)</f>
        <v>0</v>
      </c>
      <c r="K2911" s="74">
        <f>VLOOKUP(E2911,DATABASE!C:Q,7,false)</f>
        <v>782000</v>
      </c>
      <c r="L2911" s="74">
        <v>745000.0</v>
      </c>
      <c r="M2911" s="74">
        <f t="shared" si="2"/>
        <v>745000</v>
      </c>
      <c r="N2911" s="74">
        <f t="shared" si="3"/>
        <v>105000</v>
      </c>
      <c r="O2911" s="65" t="str">
        <f>VLOOKUP(E2911,DATABASE!C:Q,8,false)</f>
        <v>IBU</v>
      </c>
      <c r="P2911" s="65">
        <f>VLOOKUP(E2911,DATABASE!C:Q,9,False)</f>
        <v>1</v>
      </c>
      <c r="Q2911" s="93" t="str">
        <f>VLOOKUP(E2911,DATABASE!C:Q,4,false)</f>
        <v>Dunlop</v>
      </c>
      <c r="R2911" s="93" t="str">
        <f>VLOOKUP(E2911,DATABASE!C:Q,11,false)</f>
        <v>Tire</v>
      </c>
    </row>
    <row r="2912" ht="22.5" customHeight="1">
      <c r="A2912" s="49"/>
      <c r="C2912" s="384">
        <v>45810.0</v>
      </c>
      <c r="D2912" s="65">
        <v>5911.0</v>
      </c>
      <c r="E2912" s="445" t="s">
        <v>566</v>
      </c>
      <c r="F2912" s="386">
        <v>4.0</v>
      </c>
      <c r="G2912" s="74">
        <v>1670000.0</v>
      </c>
      <c r="H2912" s="74">
        <v>0.0</v>
      </c>
      <c r="I2912" s="74">
        <f t="shared" si="1"/>
        <v>6680000</v>
      </c>
      <c r="J2912" s="74">
        <f>IF(E2912="SERVICE",I2912-(I2912*50%),Vlookup(E2912,DATABASE!C:Q,10,false)*F2912)</f>
        <v>0</v>
      </c>
      <c r="K2912" s="140">
        <v>1570000.0</v>
      </c>
      <c r="L2912" s="140">
        <v>1570000.0</v>
      </c>
      <c r="M2912" s="74">
        <f t="shared" si="2"/>
        <v>1570000</v>
      </c>
      <c r="N2912" s="74">
        <f t="shared" si="3"/>
        <v>400000</v>
      </c>
      <c r="O2912" s="65" t="str">
        <f>VLOOKUP(E2912,DATABASE!C:Q,8,false)</f>
        <v>IBU</v>
      </c>
      <c r="P2912" s="65">
        <f>VLOOKUP(E2912,DATABASE!C:Q,9,False)</f>
        <v>1</v>
      </c>
      <c r="Q2912" s="93" t="str">
        <f>VLOOKUP(E2912,DATABASE!C:Q,4,false)</f>
        <v>Bridgestone</v>
      </c>
      <c r="R2912" s="93" t="str">
        <f>VLOOKUP(E2912,DATABASE!C:Q,11,false)</f>
        <v>Tire</v>
      </c>
    </row>
    <row r="2913" ht="22.5" customHeight="1">
      <c r="A2913" s="49"/>
      <c r="C2913" s="384">
        <v>45810.0</v>
      </c>
      <c r="D2913" s="65">
        <v>5911.0</v>
      </c>
      <c r="E2913" s="445" t="s">
        <v>744</v>
      </c>
      <c r="F2913" s="386">
        <v>1.0</v>
      </c>
      <c r="G2913" s="74">
        <v>230000.0</v>
      </c>
      <c r="H2913" s="74">
        <v>0.0</v>
      </c>
      <c r="I2913" s="74">
        <f t="shared" si="1"/>
        <v>230000</v>
      </c>
      <c r="J2913" s="74">
        <f>IF(E2913="SERVICE",I2913-(I2913*50%),Vlookup(E2913,DATABASE!C:Q,10,false)*F2913)</f>
        <v>0</v>
      </c>
      <c r="K2913" s="74">
        <f>VLOOKUP(E2913,DATABASE!C:Q,7,false)</f>
        <v>182200</v>
      </c>
      <c r="L2913" s="74">
        <v>199920.0</v>
      </c>
      <c r="M2913" s="74">
        <f t="shared" si="2"/>
        <v>200000</v>
      </c>
      <c r="N2913" s="74">
        <f t="shared" si="3"/>
        <v>30000</v>
      </c>
      <c r="O2913" s="65" t="str">
        <f>VLOOKUP(E2913,DATABASE!C:Q,8,false)</f>
        <v>BIAN</v>
      </c>
      <c r="P2913" s="65">
        <f>VLOOKUP(E2913,DATABASE!C:Q,9,False)</f>
        <v>1</v>
      </c>
      <c r="Q2913" s="93" t="str">
        <f>VLOOKUP(E2913,DATABASE!C:Q,4,false)</f>
        <v>BD</v>
      </c>
      <c r="R2913" s="93" t="str">
        <f>VLOOKUP(E2913,DATABASE!C:Q,11,false)</f>
        <v>Tire</v>
      </c>
    </row>
    <row r="2914" ht="22.5" customHeight="1">
      <c r="A2914" s="49"/>
      <c r="C2914" s="384">
        <v>45810.0</v>
      </c>
      <c r="D2914" s="65">
        <v>5911.0</v>
      </c>
      <c r="E2914" s="445" t="s">
        <v>821</v>
      </c>
      <c r="F2914" s="386">
        <v>2.0</v>
      </c>
      <c r="G2914" s="74">
        <v>85000.0</v>
      </c>
      <c r="H2914" s="74">
        <v>0.0</v>
      </c>
      <c r="I2914" s="74">
        <f t="shared" si="1"/>
        <v>170000</v>
      </c>
      <c r="J2914" s="74">
        <f>IF(E2914="SERVICE",I2914-(I2914*50%),Vlookup(E2914,DATABASE!C:Q,10,false)*F2914)</f>
        <v>0</v>
      </c>
      <c r="K2914" s="74">
        <f>VLOOKUP(E2914,DATABASE!C:Q,7,false)</f>
        <v>43500</v>
      </c>
      <c r="L2914" s="74">
        <v>43520.0</v>
      </c>
      <c r="M2914" s="74">
        <f t="shared" si="2"/>
        <v>45000</v>
      </c>
      <c r="N2914" s="74">
        <f t="shared" si="3"/>
        <v>80000</v>
      </c>
      <c r="O2914" s="65" t="str">
        <f>VLOOKUP(E2914,DATABASE!C:Q,8,false)</f>
        <v>BIAN</v>
      </c>
      <c r="P2914" s="65">
        <f>VLOOKUP(E2914,DATABASE!C:Q,9,False)</f>
        <v>1</v>
      </c>
      <c r="Q2914" s="93" t="str">
        <f>VLOOKUP(E2914,DATABASE!C:Q,4,false)</f>
        <v>Flap</v>
      </c>
      <c r="R2914" s="93" t="str">
        <f>VLOOKUP(E2914,DATABASE!C:Q,11,false)</f>
        <v>Tire</v>
      </c>
    </row>
    <row r="2915" ht="22.5" customHeight="1">
      <c r="A2915" s="49"/>
      <c r="C2915" s="384">
        <v>45810.0</v>
      </c>
      <c r="D2915" s="65">
        <v>5912.0</v>
      </c>
      <c r="E2915" s="445" t="s">
        <v>932</v>
      </c>
      <c r="F2915" s="386">
        <v>2.0</v>
      </c>
      <c r="G2915" s="74">
        <v>700000.0</v>
      </c>
      <c r="H2915" s="74">
        <v>0.0</v>
      </c>
      <c r="I2915" s="74">
        <f t="shared" si="1"/>
        <v>1400000</v>
      </c>
      <c r="J2915" s="74">
        <f>IF(E2915="SERVICE",I2915-(I2915*50%),Vlookup(E2915,DATABASE!C:Q,10,false)*F2915)</f>
        <v>0</v>
      </c>
      <c r="K2915" s="74">
        <f>VLOOKUP(E2915,DATABASE!C:Q,7,false)</f>
        <v>601000</v>
      </c>
      <c r="L2915" s="74">
        <v>595000.0</v>
      </c>
      <c r="M2915" s="74">
        <f t="shared" si="2"/>
        <v>595000</v>
      </c>
      <c r="N2915" s="74">
        <f t="shared" si="3"/>
        <v>210000</v>
      </c>
      <c r="O2915" s="65" t="str">
        <f>VLOOKUP(E2915,DATABASE!C:Q,8,false)</f>
        <v>IBU</v>
      </c>
      <c r="P2915" s="65">
        <f>VLOOKUP(E2915,DATABASE!C:Q,9,False)</f>
        <v>1</v>
      </c>
      <c r="Q2915" s="93" t="str">
        <f>VLOOKUP(E2915,DATABASE!C:Q,4,false)</f>
        <v>Dunlop</v>
      </c>
      <c r="R2915" s="93" t="str">
        <f>VLOOKUP(E2915,DATABASE!C:Q,11,false)</f>
        <v>Tire</v>
      </c>
    </row>
    <row r="2916" ht="22.5" customHeight="1">
      <c r="A2916" s="49"/>
      <c r="C2916" s="384">
        <v>45810.0</v>
      </c>
      <c r="D2916" s="65">
        <v>5912.0</v>
      </c>
      <c r="E2916" s="445" t="s">
        <v>262</v>
      </c>
      <c r="F2916" s="386">
        <v>1.0</v>
      </c>
      <c r="G2916" s="74">
        <v>110000.0</v>
      </c>
      <c r="H2916" s="74">
        <v>0.0</v>
      </c>
      <c r="I2916" s="74">
        <f t="shared" si="1"/>
        <v>110000</v>
      </c>
      <c r="J2916" s="74">
        <f>IF(E2916="SERVICE",I2916-(I2916*50%),Vlookup(E2916,DATABASE!C:Q,10,false)*F2916)</f>
        <v>5000</v>
      </c>
      <c r="K2916" s="74">
        <f>VLOOKUP(E2916,DATABASE!C:Q,7,false)</f>
        <v>0</v>
      </c>
      <c r="L2916" s="74">
        <v>0.0</v>
      </c>
      <c r="M2916" s="74">
        <f t="shared" si="2"/>
        <v>0</v>
      </c>
      <c r="N2916" s="74">
        <f t="shared" si="3"/>
        <v>105000</v>
      </c>
      <c r="O2916" s="65" t="str">
        <f>VLOOKUP(E2916,DATABASE!C:Q,8,false)</f>
        <v>IBU</v>
      </c>
      <c r="P2916" s="65">
        <f>VLOOKUP(E2916,DATABASE!C:Q,9,False)</f>
        <v>0</v>
      </c>
      <c r="Q2916" s="93" t="str">
        <f>VLOOKUP(E2916,DATABASE!C:Q,4,false)</f>
        <v>SPOORING SS/CARRY LOS BAK</v>
      </c>
      <c r="R2916" s="93" t="str">
        <f>VLOOKUP(E2916,DATABASE!C:Q,11,false)</f>
        <v>SERVICE</v>
      </c>
    </row>
    <row r="2917" ht="22.5" customHeight="1">
      <c r="A2917" s="49"/>
      <c r="C2917" s="384">
        <v>45810.0</v>
      </c>
      <c r="D2917" s="65">
        <v>5913.0</v>
      </c>
      <c r="E2917" s="445" t="s">
        <v>591</v>
      </c>
      <c r="F2917" s="386">
        <v>1.0</v>
      </c>
      <c r="G2917" s="74">
        <v>700000.0</v>
      </c>
      <c r="H2917" s="74">
        <v>0.0</v>
      </c>
      <c r="I2917" s="74">
        <f t="shared" si="1"/>
        <v>700000</v>
      </c>
      <c r="J2917" s="74">
        <f>IF(E2917="SERVICE",I2917-(I2917*50%),Vlookup(E2917,DATABASE!C:Q,10,false)*F2917)</f>
        <v>0</v>
      </c>
      <c r="K2917" s="74">
        <f>VLOOKUP(E2917,DATABASE!C:Q,7,false)</f>
        <v>633035.16</v>
      </c>
      <c r="L2917" s="74">
        <v>593488.4</v>
      </c>
      <c r="M2917" s="74">
        <f t="shared" si="2"/>
        <v>595000</v>
      </c>
      <c r="N2917" s="74">
        <f t="shared" si="3"/>
        <v>105000</v>
      </c>
      <c r="O2917" s="65" t="str">
        <f>VLOOKUP(E2917,DATABASE!C:Q,8,false)</f>
        <v>IBU</v>
      </c>
      <c r="P2917" s="65">
        <f>VLOOKUP(E2917,DATABASE!C:Q,9,False)</f>
        <v>1</v>
      </c>
      <c r="Q2917" s="93" t="str">
        <f>VLOOKUP(E2917,DATABASE!C:Q,4,false)</f>
        <v>Bridgestone</v>
      </c>
      <c r="R2917" s="93" t="str">
        <f>VLOOKUP(E2917,DATABASE!C:Q,11,false)</f>
        <v>Tire</v>
      </c>
    </row>
    <row r="2918" ht="22.5" customHeight="1">
      <c r="A2918" s="49"/>
      <c r="C2918" s="384">
        <v>45810.0</v>
      </c>
      <c r="D2918" s="65">
        <v>5915.0</v>
      </c>
      <c r="E2918" s="445" t="s">
        <v>271</v>
      </c>
      <c r="F2918" s="386">
        <v>1.0</v>
      </c>
      <c r="G2918" s="74">
        <v>640000.0</v>
      </c>
      <c r="H2918" s="74">
        <v>0.0</v>
      </c>
      <c r="I2918" s="74">
        <f t="shared" si="1"/>
        <v>640000</v>
      </c>
      <c r="J2918" s="74">
        <f>IF(E2918="SERVICE",I2918-(I2918*50%),Vlookup(E2918,DATABASE!C:Q,10,false)*F2918)</f>
        <v>0</v>
      </c>
      <c r="K2918" s="74">
        <f>VLOOKUP(E2918,DATABASE!C:Q,7,false)</f>
        <v>570000</v>
      </c>
      <c r="L2918" s="74">
        <v>539000.0</v>
      </c>
      <c r="M2918" s="74">
        <f t="shared" si="2"/>
        <v>540000</v>
      </c>
      <c r="N2918" s="74">
        <f t="shared" si="3"/>
        <v>100000</v>
      </c>
      <c r="O2918" s="65" t="str">
        <f>VLOOKUP(E2918,DATABASE!C:Q,8,false)</f>
        <v>IBU</v>
      </c>
      <c r="P2918" s="65">
        <f>VLOOKUP(E2918,DATABASE!C:Q,9,False)</f>
        <v>1</v>
      </c>
      <c r="Q2918" s="93" t="str">
        <f>VLOOKUP(E2918,DATABASE!C:Q,4,false)</f>
        <v>Dunlop</v>
      </c>
      <c r="R2918" s="93" t="str">
        <f>VLOOKUP(E2918,DATABASE!C:Q,11,false)</f>
        <v>Tire</v>
      </c>
    </row>
    <row r="2919" ht="22.5" customHeight="1">
      <c r="A2919" s="49"/>
      <c r="C2919" s="384">
        <v>45811.0</v>
      </c>
      <c r="D2919" s="65">
        <v>5916.0</v>
      </c>
      <c r="E2919" s="445" t="s">
        <v>256</v>
      </c>
      <c r="F2919" s="386">
        <v>1.0</v>
      </c>
      <c r="G2919" s="74">
        <v>130000.0</v>
      </c>
      <c r="H2919" s="74">
        <v>0.0</v>
      </c>
      <c r="I2919" s="74">
        <f t="shared" si="1"/>
        <v>130000</v>
      </c>
      <c r="J2919" s="74">
        <f>IF(E2919="SERVICE",I2919-(I2919*50%),Vlookup(E2919,DATABASE!C:Q,10,false)*F2919)</f>
        <v>10000</v>
      </c>
      <c r="K2919" s="74">
        <f>VLOOKUP(E2919,DATABASE!C:Q,7,false)</f>
        <v>0</v>
      </c>
      <c r="L2919" s="74">
        <v>0.0</v>
      </c>
      <c r="M2919" s="74">
        <f t="shared" si="2"/>
        <v>0</v>
      </c>
      <c r="N2919" s="74">
        <f t="shared" si="3"/>
        <v>120000</v>
      </c>
      <c r="O2919" s="65" t="str">
        <f>VLOOKUP(E2919,DATABASE!C:Q,8,false)</f>
        <v>IBU</v>
      </c>
      <c r="P2919" s="65">
        <f>VLOOKUP(E2919,DATABASE!C:Q,9,False)</f>
        <v>0</v>
      </c>
      <c r="Q2919" s="93" t="str">
        <f>VLOOKUP(E2919,DATABASE!C:Q,4,false)</f>
        <v>SPOORING</v>
      </c>
      <c r="R2919" s="93" t="str">
        <f>VLOOKUP(E2919,DATABASE!C:Q,11,false)</f>
        <v>SERVICE</v>
      </c>
    </row>
    <row r="2920" ht="22.5" customHeight="1">
      <c r="A2920" s="49"/>
      <c r="C2920" s="384">
        <v>45811.0</v>
      </c>
      <c r="D2920" s="65">
        <v>5916.0</v>
      </c>
      <c r="E2920" s="445" t="s">
        <v>251</v>
      </c>
      <c r="F2920" s="386">
        <v>1.0</v>
      </c>
      <c r="G2920" s="74">
        <v>150000.0</v>
      </c>
      <c r="H2920" s="74">
        <v>0.0</v>
      </c>
      <c r="I2920" s="74">
        <f t="shared" si="1"/>
        <v>150000</v>
      </c>
      <c r="J2920" s="74">
        <f>IF(E2920="SERVICE",I2920-(I2920*50%),Vlookup(E2920,DATABASE!C:Q,10,false)*F2920)</f>
        <v>75000</v>
      </c>
      <c r="K2920" s="74">
        <f>VLOOKUP(E2920,DATABASE!C:Q,7,false)</f>
        <v>0</v>
      </c>
      <c r="L2920" s="74">
        <v>0.0</v>
      </c>
      <c r="M2920" s="74">
        <f t="shared" si="2"/>
        <v>0</v>
      </c>
      <c r="N2920" s="74">
        <f t="shared" si="3"/>
        <v>75000</v>
      </c>
      <c r="O2920" s="65" t="str">
        <f>VLOOKUP(E2920,DATABASE!C:Q,8,false)</f>
        <v>IBU</v>
      </c>
      <c r="P2920" s="65">
        <f>VLOOKUP(E2920,DATABASE!C:Q,9,False)</f>
        <v>0</v>
      </c>
      <c r="Q2920" s="93" t="str">
        <f>VLOOKUP(E2920,DATABASE!C:Q,4,false)</f>
        <v>SERVICE</v>
      </c>
      <c r="R2920" s="93" t="str">
        <f>VLOOKUP(E2920,DATABASE!C:Q,11,false)</f>
        <v>SERVICE</v>
      </c>
    </row>
    <row r="2921" ht="22.5" customHeight="1">
      <c r="A2921" s="49"/>
      <c r="C2921" s="384">
        <v>45811.0</v>
      </c>
      <c r="D2921" s="65">
        <v>5917.0</v>
      </c>
      <c r="E2921" s="445" t="s">
        <v>591</v>
      </c>
      <c r="F2921" s="386">
        <v>2.0</v>
      </c>
      <c r="G2921" s="74">
        <v>700000.0</v>
      </c>
      <c r="H2921" s="74">
        <v>0.0</v>
      </c>
      <c r="I2921" s="74">
        <f t="shared" si="1"/>
        <v>1400000</v>
      </c>
      <c r="J2921" s="74">
        <f>IF(E2921="SERVICE",I2921-(I2921*50%),Vlookup(E2921,DATABASE!C:Q,10,false)*F2921)</f>
        <v>0</v>
      </c>
      <c r="K2921" s="74">
        <f>VLOOKUP(E2921,DATABASE!C:Q,7,false)</f>
        <v>633035.16</v>
      </c>
      <c r="L2921" s="74">
        <v>593488.4</v>
      </c>
      <c r="M2921" s="74">
        <f t="shared" si="2"/>
        <v>595000</v>
      </c>
      <c r="N2921" s="74">
        <f t="shared" si="3"/>
        <v>210000</v>
      </c>
      <c r="O2921" s="65" t="str">
        <f>VLOOKUP(E2921,DATABASE!C:Q,8,false)</f>
        <v>IBU</v>
      </c>
      <c r="P2921" s="65">
        <f>VLOOKUP(E2921,DATABASE!C:Q,9,False)</f>
        <v>1</v>
      </c>
      <c r="Q2921" s="93" t="str">
        <f>VLOOKUP(E2921,DATABASE!C:Q,4,false)</f>
        <v>Bridgestone</v>
      </c>
      <c r="R2921" s="93" t="str">
        <f>VLOOKUP(E2921,DATABASE!C:Q,11,false)</f>
        <v>Tire</v>
      </c>
    </row>
    <row r="2922" ht="22.5" customHeight="1">
      <c r="A2922" s="49"/>
      <c r="C2922" s="384">
        <v>45811.0</v>
      </c>
      <c r="D2922" s="65">
        <v>5918.0</v>
      </c>
      <c r="E2922" s="445" t="s">
        <v>856</v>
      </c>
      <c r="F2922" s="386">
        <v>1.0</v>
      </c>
      <c r="G2922" s="74">
        <v>670000.0</v>
      </c>
      <c r="H2922" s="74">
        <v>0.0</v>
      </c>
      <c r="I2922" s="74">
        <f t="shared" si="1"/>
        <v>670000</v>
      </c>
      <c r="J2922" s="74">
        <f>IF(E2922="SERVICE",I2922-(I2922*50%),Vlookup(E2922,DATABASE!C:Q,10,false)*F2922)</f>
        <v>0</v>
      </c>
      <c r="K2922" s="74">
        <f>VLOOKUP(E2922,DATABASE!C:Q,7,false)</f>
        <v>615300</v>
      </c>
      <c r="L2922" s="74">
        <v>581120.0</v>
      </c>
      <c r="M2922" s="74">
        <f t="shared" si="2"/>
        <v>585000</v>
      </c>
      <c r="N2922" s="74">
        <f t="shared" si="3"/>
        <v>85000</v>
      </c>
      <c r="O2922" s="65" t="str">
        <f>VLOOKUP(E2922,DATABASE!C:Q,8,false)</f>
        <v>BIAN</v>
      </c>
      <c r="P2922" s="65">
        <f>VLOOKUP(E2922,DATABASE!C:Q,9,False)</f>
        <v>1</v>
      </c>
      <c r="Q2922" s="93" t="str">
        <f>VLOOKUP(E2922,DATABASE!C:Q,4,false)</f>
        <v>GT</v>
      </c>
      <c r="R2922" s="93" t="str">
        <f>VLOOKUP(E2922,DATABASE!C:Q,11,false)</f>
        <v>Tire</v>
      </c>
    </row>
    <row r="2923" ht="22.5" customHeight="1">
      <c r="A2923" s="49"/>
      <c r="C2923" s="384">
        <v>45811.0</v>
      </c>
      <c r="D2923" s="65">
        <v>5919.0</v>
      </c>
      <c r="E2923" s="445" t="s">
        <v>262</v>
      </c>
      <c r="F2923" s="386">
        <v>1.0</v>
      </c>
      <c r="G2923" s="74">
        <v>110000.0</v>
      </c>
      <c r="H2923" s="74">
        <v>0.0</v>
      </c>
      <c r="I2923" s="74">
        <f t="shared" si="1"/>
        <v>110000</v>
      </c>
      <c r="J2923" s="74">
        <f>IF(E2923="SERVICE",I2923-(I2923*50%),Vlookup(E2923,DATABASE!C:Q,10,false)*F2923)</f>
        <v>5000</v>
      </c>
      <c r="K2923" s="74">
        <f>VLOOKUP(E2923,DATABASE!C:Q,7,false)</f>
        <v>0</v>
      </c>
      <c r="L2923" s="74">
        <v>0.0</v>
      </c>
      <c r="M2923" s="74">
        <f t="shared" si="2"/>
        <v>0</v>
      </c>
      <c r="N2923" s="74">
        <f t="shared" si="3"/>
        <v>105000</v>
      </c>
      <c r="O2923" s="65" t="str">
        <f>VLOOKUP(E2923,DATABASE!C:Q,8,false)</f>
        <v>IBU</v>
      </c>
      <c r="P2923" s="65">
        <f>VLOOKUP(E2923,DATABASE!C:Q,9,False)</f>
        <v>0</v>
      </c>
      <c r="Q2923" s="93" t="str">
        <f>VLOOKUP(E2923,DATABASE!C:Q,4,false)</f>
        <v>SPOORING SS/CARRY LOS BAK</v>
      </c>
      <c r="R2923" s="93" t="str">
        <f>VLOOKUP(E2923,DATABASE!C:Q,11,false)</f>
        <v>SERVICE</v>
      </c>
    </row>
    <row r="2924" ht="22.5" customHeight="1">
      <c r="A2924" s="49"/>
      <c r="C2924" s="384">
        <v>45811.0</v>
      </c>
      <c r="D2924" s="65">
        <v>5919.0</v>
      </c>
      <c r="E2924" s="445" t="s">
        <v>251</v>
      </c>
      <c r="F2924" s="386">
        <v>1.0</v>
      </c>
      <c r="G2924" s="74">
        <v>150000.0</v>
      </c>
      <c r="H2924" s="74">
        <v>0.0</v>
      </c>
      <c r="I2924" s="74">
        <f t="shared" si="1"/>
        <v>150000</v>
      </c>
      <c r="J2924" s="74">
        <f>IF(E2924="SERVICE",I2924-(I2924*50%),Vlookup(E2924,DATABASE!C:Q,10,false)*F2924)</f>
        <v>75000</v>
      </c>
      <c r="K2924" s="74">
        <f>VLOOKUP(E2924,DATABASE!C:Q,7,false)</f>
        <v>0</v>
      </c>
      <c r="L2924" s="74">
        <v>0.0</v>
      </c>
      <c r="M2924" s="74">
        <f t="shared" si="2"/>
        <v>0</v>
      </c>
      <c r="N2924" s="74">
        <f t="shared" si="3"/>
        <v>75000</v>
      </c>
      <c r="O2924" s="65" t="str">
        <f>VLOOKUP(E2924,DATABASE!C:Q,8,false)</f>
        <v>IBU</v>
      </c>
      <c r="P2924" s="65">
        <f>VLOOKUP(E2924,DATABASE!C:Q,9,False)</f>
        <v>0</v>
      </c>
      <c r="Q2924" s="93" t="str">
        <f>VLOOKUP(E2924,DATABASE!C:Q,4,false)</f>
        <v>SERVICE</v>
      </c>
      <c r="R2924" s="93" t="str">
        <f>VLOOKUP(E2924,DATABASE!C:Q,11,false)</f>
        <v>SERVICE</v>
      </c>
    </row>
    <row r="2925" ht="22.5" customHeight="1">
      <c r="A2925" s="49"/>
      <c r="C2925" s="384">
        <v>45811.0</v>
      </c>
      <c r="D2925" s="65">
        <v>5920.0</v>
      </c>
      <c r="E2925" s="445" t="s">
        <v>1076</v>
      </c>
      <c r="F2925" s="386">
        <v>1.0</v>
      </c>
      <c r="G2925" s="74">
        <v>770000.0</v>
      </c>
      <c r="H2925" s="74">
        <v>0.0</v>
      </c>
      <c r="I2925" s="74">
        <f t="shared" si="1"/>
        <v>770000</v>
      </c>
      <c r="J2925" s="74">
        <f>IF(E2925="SERVICE",I2925-(I2925*50%),Vlookup(E2925,DATABASE!C:Q,10,false)*F2925)</f>
        <v>0</v>
      </c>
      <c r="K2925" s="74">
        <f>VLOOKUP(E2925,DATABASE!C:Q,7,false)</f>
        <v>666540</v>
      </c>
      <c r="L2925" s="74">
        <v>666540.0</v>
      </c>
      <c r="M2925" s="74">
        <f t="shared" si="2"/>
        <v>670000</v>
      </c>
      <c r="N2925" s="74">
        <f t="shared" si="3"/>
        <v>100000</v>
      </c>
      <c r="O2925" s="65" t="str">
        <f>VLOOKUP(E2925,DATABASE!C:Q,8,false)</f>
        <v>BIAN</v>
      </c>
      <c r="P2925" s="65">
        <f>VLOOKUP(E2925,DATABASE!C:Q,9,False)</f>
        <v>1</v>
      </c>
      <c r="Q2925" s="93" t="str">
        <f>VLOOKUP(E2925,DATABASE!C:Q,4,false)</f>
        <v>GT</v>
      </c>
      <c r="R2925" s="93" t="str">
        <f>VLOOKUP(E2925,DATABASE!C:Q,11,false)</f>
        <v>Tire</v>
      </c>
    </row>
    <row r="2926" ht="22.5" customHeight="1">
      <c r="A2926" s="49"/>
      <c r="C2926" s="384">
        <v>45811.0</v>
      </c>
      <c r="D2926" s="65">
        <v>5921.0</v>
      </c>
      <c r="E2926" s="445" t="s">
        <v>1526</v>
      </c>
      <c r="F2926" s="386">
        <v>1.0</v>
      </c>
      <c r="G2926" s="74">
        <v>540000.0</v>
      </c>
      <c r="H2926" s="74">
        <v>0.0</v>
      </c>
      <c r="I2926" s="74">
        <f t="shared" si="1"/>
        <v>540000</v>
      </c>
      <c r="J2926" s="74">
        <f>IF(E2926="SERVICE",I2926-(I2926*50%),Vlookup(E2926,DATABASE!C:Q,10,false)*F2926)</f>
        <v>0</v>
      </c>
      <c r="K2926" s="74">
        <f>VLOOKUP(E2926,DATABASE!C:Q,7,false)</f>
        <v>450000</v>
      </c>
      <c r="L2926" s="74">
        <v>437000.0</v>
      </c>
      <c r="M2926" s="74">
        <f t="shared" si="2"/>
        <v>440000</v>
      </c>
      <c r="N2926" s="74">
        <f t="shared" si="3"/>
        <v>100000</v>
      </c>
      <c r="O2926" s="65" t="str">
        <f>VLOOKUP(E2926,DATABASE!C:Q,8,false)</f>
        <v>BIAN</v>
      </c>
      <c r="P2926" s="65">
        <f>VLOOKUP(E2926,DATABASE!C:Q,9,False)</f>
        <v>1</v>
      </c>
      <c r="Q2926" s="93" t="str">
        <f>VLOOKUP(E2926,DATABASE!C:Q,4,false)</f>
        <v>Laufen</v>
      </c>
      <c r="R2926" s="93" t="str">
        <f>VLOOKUP(E2926,DATABASE!C:Q,11,false)</f>
        <v>Tire</v>
      </c>
    </row>
    <row r="2927" ht="22.5" customHeight="1">
      <c r="A2927" s="49"/>
      <c r="C2927" s="384">
        <v>45811.0</v>
      </c>
      <c r="D2927" s="65">
        <v>5922.0</v>
      </c>
      <c r="E2927" s="445" t="s">
        <v>268</v>
      </c>
      <c r="F2927" s="386">
        <v>2.0</v>
      </c>
      <c r="G2927" s="74">
        <v>700000.0</v>
      </c>
      <c r="H2927" s="74">
        <v>0.0</v>
      </c>
      <c r="I2927" s="74">
        <f t="shared" si="1"/>
        <v>1400000</v>
      </c>
      <c r="J2927" s="74">
        <f>IF(E2927="SERVICE",I2927-(I2927*50%),Vlookup(E2927,DATABASE!C:Q,10,false)*F2927)</f>
        <v>0</v>
      </c>
      <c r="K2927" s="74">
        <v>613000.0</v>
      </c>
      <c r="L2927" s="74">
        <v>613000.0</v>
      </c>
      <c r="M2927" s="74">
        <f t="shared" si="2"/>
        <v>615000</v>
      </c>
      <c r="N2927" s="74">
        <f t="shared" si="3"/>
        <v>170000</v>
      </c>
      <c r="O2927" s="65" t="str">
        <f>VLOOKUP(E2927,DATABASE!C:Q,8,false)</f>
        <v>IBU</v>
      </c>
      <c r="P2927" s="65">
        <f>VLOOKUP(E2927,DATABASE!C:Q,9,False)</f>
        <v>1</v>
      </c>
      <c r="Q2927" s="93" t="str">
        <f>VLOOKUP(E2927,DATABASE!C:Q,4,false)</f>
        <v>Dunlop</v>
      </c>
      <c r="R2927" s="93" t="str">
        <f>VLOOKUP(E2927,DATABASE!C:Q,11,false)</f>
        <v>Tire</v>
      </c>
    </row>
    <row r="2928" ht="22.5" customHeight="1">
      <c r="A2928" s="49"/>
      <c r="C2928" s="384">
        <v>45811.0</v>
      </c>
      <c r="D2928" s="65">
        <v>5923.0</v>
      </c>
      <c r="E2928" s="445" t="s">
        <v>957</v>
      </c>
      <c r="F2928" s="386">
        <v>2.0</v>
      </c>
      <c r="G2928" s="74">
        <v>860000.0</v>
      </c>
      <c r="H2928" s="74">
        <v>0.0</v>
      </c>
      <c r="I2928" s="74">
        <f t="shared" si="1"/>
        <v>1720000</v>
      </c>
      <c r="J2928" s="74">
        <f>IF(E2928="SERVICE",I2928-(I2928*50%),Vlookup(E2928,DATABASE!C:Q,10,false)*F2928)</f>
        <v>0</v>
      </c>
      <c r="K2928" s="74">
        <f>VLOOKUP(E2928,DATABASE!C:Q,7,false)</f>
        <v>773337.5</v>
      </c>
      <c r="L2928" s="74">
        <v>762048.0</v>
      </c>
      <c r="M2928" s="74">
        <f t="shared" si="2"/>
        <v>765000</v>
      </c>
      <c r="N2928" s="74">
        <f t="shared" si="3"/>
        <v>190000</v>
      </c>
      <c r="O2928" s="65" t="str">
        <f>VLOOKUP(E2928,DATABASE!C:Q,8,false)</f>
        <v>IBU</v>
      </c>
      <c r="P2928" s="65">
        <f>VLOOKUP(E2928,DATABASE!C:Q,9,False)</f>
        <v>1</v>
      </c>
      <c r="Q2928" s="93" t="str">
        <f>VLOOKUP(E2928,DATABASE!C:Q,4,false)</f>
        <v>Bridgestone</v>
      </c>
      <c r="R2928" s="93" t="str">
        <f>VLOOKUP(E2928,DATABASE!C:Q,11,false)</f>
        <v>Tire</v>
      </c>
    </row>
    <row r="2929" ht="22.5" customHeight="1">
      <c r="A2929" s="49"/>
      <c r="C2929" s="384">
        <v>45811.0</v>
      </c>
      <c r="D2929" s="65">
        <v>5924.0</v>
      </c>
      <c r="E2929" s="385" t="s">
        <v>299</v>
      </c>
      <c r="F2929" s="386">
        <v>2.0</v>
      </c>
      <c r="G2929" s="74">
        <v>30000.0</v>
      </c>
      <c r="H2929" s="74">
        <v>0.0</v>
      </c>
      <c r="I2929" s="74">
        <f t="shared" si="1"/>
        <v>60000</v>
      </c>
      <c r="J2929" s="74">
        <f>IF(E2929="SERVICE",I2929-(I2929*50%),Vlookup(E2929,DATABASE!C:Q,10,false)*F2929)</f>
        <v>0</v>
      </c>
      <c r="K2929" s="74">
        <v>0.0</v>
      </c>
      <c r="L2929" s="74">
        <v>0.0</v>
      </c>
      <c r="M2929" s="74">
        <f t="shared" si="2"/>
        <v>0</v>
      </c>
      <c r="N2929" s="74">
        <f t="shared" si="3"/>
        <v>60000</v>
      </c>
      <c r="O2929" s="65" t="str">
        <f>VLOOKUP(E2929,DATABASE!C:Q,8,false)</f>
        <v>BIAN</v>
      </c>
      <c r="P2929" s="65">
        <f>VLOOKUP(E2929,DATABASE!C:Q,9,False)</f>
        <v>0</v>
      </c>
      <c r="Q2929" s="93" t="str">
        <f>VLOOKUP(E2929,DATABASE!C:Q,4,false)</f>
        <v>Balancing</v>
      </c>
      <c r="R2929" s="93" t="str">
        <f>VLOOKUP(E2929,DATABASE!C:Q,11,false)</f>
        <v>COMPLEMENTARY</v>
      </c>
    </row>
    <row r="2930" ht="22.5" customHeight="1">
      <c r="A2930" s="49"/>
      <c r="C2930" s="384">
        <v>45811.0</v>
      </c>
      <c r="D2930" s="65">
        <v>5925.0</v>
      </c>
      <c r="E2930" s="445" t="s">
        <v>256</v>
      </c>
      <c r="F2930" s="386">
        <v>1.0</v>
      </c>
      <c r="G2930" s="74">
        <v>130000.0</v>
      </c>
      <c r="H2930" s="74">
        <v>0.0</v>
      </c>
      <c r="I2930" s="74">
        <f t="shared" si="1"/>
        <v>130000</v>
      </c>
      <c r="J2930" s="74">
        <f>IF(E2930="SERVICE",I2930-(I2930*50%),Vlookup(E2930,DATABASE!C:Q,10,false)*F2930)</f>
        <v>10000</v>
      </c>
      <c r="K2930" s="74">
        <f>VLOOKUP(E2930,DATABASE!C:Q,7,false)</f>
        <v>0</v>
      </c>
      <c r="L2930" s="74">
        <v>0.0</v>
      </c>
      <c r="M2930" s="74">
        <f t="shared" si="2"/>
        <v>0</v>
      </c>
      <c r="N2930" s="74">
        <f t="shared" si="3"/>
        <v>120000</v>
      </c>
      <c r="O2930" s="65" t="str">
        <f>VLOOKUP(E2930,DATABASE!C:Q,8,false)</f>
        <v>IBU</v>
      </c>
      <c r="P2930" s="65">
        <f>VLOOKUP(E2930,DATABASE!C:Q,9,False)</f>
        <v>0</v>
      </c>
      <c r="Q2930" s="93" t="str">
        <f>VLOOKUP(E2930,DATABASE!C:Q,4,false)</f>
        <v>SPOORING</v>
      </c>
      <c r="R2930" s="93" t="str">
        <f>VLOOKUP(E2930,DATABASE!C:Q,11,false)</f>
        <v>SERVICE</v>
      </c>
    </row>
    <row r="2931" ht="22.5" customHeight="1">
      <c r="A2931" s="49"/>
      <c r="C2931" s="384">
        <v>45811.0</v>
      </c>
      <c r="D2931" s="65">
        <v>5925.0</v>
      </c>
      <c r="E2931" s="445" t="s">
        <v>301</v>
      </c>
      <c r="F2931" s="386">
        <v>1.0</v>
      </c>
      <c r="G2931" s="74">
        <v>250000.0</v>
      </c>
      <c r="H2931" s="74">
        <v>0.0</v>
      </c>
      <c r="I2931" s="74">
        <f t="shared" si="1"/>
        <v>250000</v>
      </c>
      <c r="J2931" s="74">
        <f>IF(E2931="SERVICE",I2931-(I2931*50%),Vlookup(E2931,DATABASE!C:Q,10,false)*F2931)</f>
        <v>75000</v>
      </c>
      <c r="K2931" s="74">
        <f>VLOOKUP(E2931,DATABASE!C:Q,7,false)</f>
        <v>75000</v>
      </c>
      <c r="L2931" s="74">
        <v>75000.0</v>
      </c>
      <c r="M2931" s="74">
        <f t="shared" si="2"/>
        <v>75000</v>
      </c>
      <c r="N2931" s="74">
        <f t="shared" si="3"/>
        <v>100000</v>
      </c>
      <c r="O2931" s="65" t="str">
        <f>VLOOKUP(E2931,DATABASE!C:Q,8,false)</f>
        <v>BIAN</v>
      </c>
      <c r="P2931" s="65">
        <f>VLOOKUP(E2931,DATABASE!C:Q,9,False)</f>
        <v>0</v>
      </c>
      <c r="Q2931" s="93" t="str">
        <f>VLOOKUP(E2931,DATABASE!C:Q,4,false)</f>
        <v>Baut Camber</v>
      </c>
      <c r="R2931" s="93" t="str">
        <f>VLOOKUP(E2931,DATABASE!C:Q,11,false)</f>
        <v>COMPLEMENTARY</v>
      </c>
    </row>
    <row r="2932" ht="22.5" customHeight="1">
      <c r="A2932" s="49"/>
      <c r="C2932" s="384">
        <v>45811.0</v>
      </c>
      <c r="D2932" s="65">
        <v>5926.0</v>
      </c>
      <c r="E2932" s="385" t="s">
        <v>299</v>
      </c>
      <c r="F2932" s="386">
        <v>2.0</v>
      </c>
      <c r="G2932" s="74">
        <v>30000.0</v>
      </c>
      <c r="H2932" s="74">
        <v>0.0</v>
      </c>
      <c r="I2932" s="74">
        <f t="shared" si="1"/>
        <v>60000</v>
      </c>
      <c r="J2932" s="74">
        <f>IF(E2932="SERVICE",I2932-(I2932*50%),Vlookup(E2932,DATABASE!C:Q,10,false)*F2932)</f>
        <v>0</v>
      </c>
      <c r="K2932" s="74">
        <v>0.0</v>
      </c>
      <c r="L2932" s="74">
        <v>0.0</v>
      </c>
      <c r="M2932" s="74">
        <f t="shared" si="2"/>
        <v>0</v>
      </c>
      <c r="N2932" s="74">
        <f t="shared" si="3"/>
        <v>60000</v>
      </c>
      <c r="O2932" s="65" t="str">
        <f>VLOOKUP(E2932,DATABASE!C:Q,8,false)</f>
        <v>BIAN</v>
      </c>
      <c r="P2932" s="65">
        <f>VLOOKUP(E2932,DATABASE!C:Q,9,False)</f>
        <v>0</v>
      </c>
      <c r="Q2932" s="93" t="str">
        <f>VLOOKUP(E2932,DATABASE!C:Q,4,false)</f>
        <v>Balancing</v>
      </c>
      <c r="R2932" s="93" t="str">
        <f>VLOOKUP(E2932,DATABASE!C:Q,11,false)</f>
        <v>COMPLEMENTARY</v>
      </c>
    </row>
    <row r="2933" ht="22.5" customHeight="1">
      <c r="A2933" s="49"/>
      <c r="C2933" s="384">
        <v>45812.0</v>
      </c>
      <c r="D2933" s="65">
        <v>5927.0</v>
      </c>
      <c r="E2933" s="445" t="s">
        <v>391</v>
      </c>
      <c r="F2933" s="386">
        <v>1.0</v>
      </c>
      <c r="G2933" s="74">
        <v>1950000.0</v>
      </c>
      <c r="H2933" s="74">
        <v>0.0</v>
      </c>
      <c r="I2933" s="74">
        <f t="shared" si="1"/>
        <v>1950000</v>
      </c>
      <c r="J2933" s="74">
        <f>IF(E2933="SERVICE",I2933-(I2933*50%),Vlookup(E2933,DATABASE!C:Q,10,false)*F2933)</f>
        <v>0</v>
      </c>
      <c r="K2933" s="74">
        <f>VLOOKUP(E2933,DATABASE!C:Q,7,false)</f>
        <v>1885000</v>
      </c>
      <c r="L2933" s="74">
        <v>1840000.0</v>
      </c>
      <c r="M2933" s="74">
        <f t="shared" si="2"/>
        <v>1840000</v>
      </c>
      <c r="N2933" s="74">
        <f t="shared" si="3"/>
        <v>110000</v>
      </c>
      <c r="O2933" s="65" t="str">
        <f>VLOOKUP(E2933,DATABASE!C:Q,8,false)</f>
        <v>BIAN</v>
      </c>
      <c r="P2933" s="65">
        <f>VLOOKUP(E2933,DATABASE!C:Q,9,False)</f>
        <v>1</v>
      </c>
      <c r="Q2933" s="93" t="str">
        <f>VLOOKUP(E2933,DATABASE!C:Q,4,false)</f>
        <v>Advance</v>
      </c>
      <c r="R2933" s="93" t="str">
        <f>VLOOKUP(E2933,DATABASE!C:Q,11,false)</f>
        <v>Tire</v>
      </c>
    </row>
    <row r="2934" ht="22.5" customHeight="1">
      <c r="A2934" s="49"/>
      <c r="C2934" s="384">
        <v>45812.0</v>
      </c>
      <c r="D2934" s="65">
        <v>5927.0</v>
      </c>
      <c r="E2934" s="445" t="s">
        <v>275</v>
      </c>
      <c r="F2934" s="386">
        <v>1.0</v>
      </c>
      <c r="G2934" s="74">
        <v>850000.0</v>
      </c>
      <c r="H2934" s="74">
        <v>0.0</v>
      </c>
      <c r="I2934" s="74">
        <f t="shared" si="1"/>
        <v>850000</v>
      </c>
      <c r="J2934" s="74">
        <f>IF(E2934="SERVICE",I2934-(I2934*50%),Vlookup(E2934,DATABASE!C:Q,10,false)*F2934)</f>
        <v>0</v>
      </c>
      <c r="K2934" s="74">
        <f>VLOOKUP(E2934,DATABASE!C:Q,7,false)</f>
        <v>782000</v>
      </c>
      <c r="L2934" s="74">
        <v>745000.0</v>
      </c>
      <c r="M2934" s="74">
        <f t="shared" si="2"/>
        <v>745000</v>
      </c>
      <c r="N2934" s="74">
        <f t="shared" si="3"/>
        <v>105000</v>
      </c>
      <c r="O2934" s="65" t="str">
        <f>VLOOKUP(E2934,DATABASE!C:Q,8,false)</f>
        <v>IBU</v>
      </c>
      <c r="P2934" s="65">
        <f>VLOOKUP(E2934,DATABASE!C:Q,9,False)</f>
        <v>1</v>
      </c>
      <c r="Q2934" s="93" t="str">
        <f>VLOOKUP(E2934,DATABASE!C:Q,4,false)</f>
        <v>Dunlop</v>
      </c>
      <c r="R2934" s="93" t="str">
        <f>VLOOKUP(E2934,DATABASE!C:Q,11,false)</f>
        <v>Tire</v>
      </c>
    </row>
    <row r="2935" ht="22.5" customHeight="1">
      <c r="A2935" s="49"/>
      <c r="C2935" s="384">
        <v>45812.0</v>
      </c>
      <c r="D2935" s="65">
        <v>5929.0</v>
      </c>
      <c r="E2935" s="445" t="s">
        <v>1912</v>
      </c>
      <c r="F2935" s="386">
        <v>4.0</v>
      </c>
      <c r="G2935" s="74">
        <v>725000.0</v>
      </c>
      <c r="H2935" s="74">
        <v>0.0</v>
      </c>
      <c r="I2935" s="74">
        <f t="shared" si="1"/>
        <v>2900000</v>
      </c>
      <c r="J2935" s="74">
        <f>IF(E2935="SERVICE",I2935-(I2935*50%),Vlookup(E2935,DATABASE!C:Q,10,false)*F2935)</f>
        <v>0</v>
      </c>
      <c r="K2935" s="74">
        <f>VLOOKUP(E2935,DATABASE!C:Q,7,false)</f>
        <v>636300</v>
      </c>
      <c r="L2935" s="74">
        <v>636300.0</v>
      </c>
      <c r="M2935" s="74">
        <f t="shared" si="2"/>
        <v>640000</v>
      </c>
      <c r="N2935" s="74">
        <f t="shared" si="3"/>
        <v>340000</v>
      </c>
      <c r="O2935" s="65" t="str">
        <f>VLOOKUP(E2935,DATABASE!C:Q,8,false)</f>
        <v>BIAN</v>
      </c>
      <c r="P2935" s="65">
        <f>VLOOKUP(E2935,DATABASE!C:Q,9,False)</f>
        <v>1</v>
      </c>
      <c r="Q2935" s="93" t="str">
        <f>VLOOKUP(E2935,DATABASE!C:Q,4,false)</f>
        <v>GT</v>
      </c>
      <c r="R2935" s="93" t="str">
        <f>VLOOKUP(E2935,DATABASE!C:Q,11,false)</f>
        <v>Tire</v>
      </c>
    </row>
    <row r="2936" ht="22.5" customHeight="1">
      <c r="A2936" s="49"/>
      <c r="C2936" s="384">
        <v>45812.0</v>
      </c>
      <c r="D2936" s="65">
        <v>5929.0</v>
      </c>
      <c r="E2936" s="385" t="s">
        <v>299</v>
      </c>
      <c r="F2936" s="386">
        <v>2.0</v>
      </c>
      <c r="G2936" s="74">
        <v>30000.0</v>
      </c>
      <c r="H2936" s="74">
        <v>0.0</v>
      </c>
      <c r="I2936" s="74">
        <f t="shared" si="1"/>
        <v>60000</v>
      </c>
      <c r="J2936" s="74">
        <f>IF(E2936="SERVICE",I2936-(I2936*50%),Vlookup(E2936,DATABASE!C:Q,10,false)*F2936)</f>
        <v>0</v>
      </c>
      <c r="K2936" s="74">
        <v>0.0</v>
      </c>
      <c r="L2936" s="74">
        <v>0.0</v>
      </c>
      <c r="M2936" s="74">
        <f t="shared" si="2"/>
        <v>0</v>
      </c>
      <c r="N2936" s="74">
        <f t="shared" si="3"/>
        <v>60000</v>
      </c>
      <c r="O2936" s="65" t="str">
        <f>VLOOKUP(E2936,DATABASE!C:Q,8,false)</f>
        <v>BIAN</v>
      </c>
      <c r="P2936" s="65">
        <f>VLOOKUP(E2936,DATABASE!C:Q,9,False)</f>
        <v>0</v>
      </c>
      <c r="Q2936" s="93" t="str">
        <f>VLOOKUP(E2936,DATABASE!C:Q,4,false)</f>
        <v>Balancing</v>
      </c>
      <c r="R2936" s="93" t="str">
        <f>VLOOKUP(E2936,DATABASE!C:Q,11,false)</f>
        <v>COMPLEMENTARY</v>
      </c>
    </row>
    <row r="2937" ht="22.5" customHeight="1">
      <c r="A2937" s="49"/>
      <c r="C2937" s="384">
        <v>45812.0</v>
      </c>
      <c r="D2937" s="65">
        <v>5929.0</v>
      </c>
      <c r="E2937" s="445" t="s">
        <v>256</v>
      </c>
      <c r="F2937" s="386">
        <v>1.0</v>
      </c>
      <c r="G2937" s="74">
        <v>130000.0</v>
      </c>
      <c r="H2937" s="74">
        <v>0.0</v>
      </c>
      <c r="I2937" s="74">
        <f t="shared" si="1"/>
        <v>130000</v>
      </c>
      <c r="J2937" s="74">
        <f>IF(E2937="SERVICE",I2937-(I2937*50%),Vlookup(E2937,DATABASE!C:Q,10,false)*F2937)</f>
        <v>10000</v>
      </c>
      <c r="K2937" s="74">
        <f>VLOOKUP(E2937,DATABASE!C:Q,7,false)</f>
        <v>0</v>
      </c>
      <c r="L2937" s="74">
        <v>0.0</v>
      </c>
      <c r="M2937" s="74">
        <f t="shared" si="2"/>
        <v>0</v>
      </c>
      <c r="N2937" s="74">
        <f t="shared" si="3"/>
        <v>120000</v>
      </c>
      <c r="O2937" s="65" t="str">
        <f>VLOOKUP(E2937,DATABASE!C:Q,8,false)</f>
        <v>IBU</v>
      </c>
      <c r="P2937" s="65">
        <f>VLOOKUP(E2937,DATABASE!C:Q,9,False)</f>
        <v>0</v>
      </c>
      <c r="Q2937" s="93" t="str">
        <f>VLOOKUP(E2937,DATABASE!C:Q,4,false)</f>
        <v>SPOORING</v>
      </c>
      <c r="R2937" s="93" t="str">
        <f>VLOOKUP(E2937,DATABASE!C:Q,11,false)</f>
        <v>SERVICE</v>
      </c>
    </row>
    <row r="2938" ht="22.5" customHeight="1">
      <c r="A2938" s="49"/>
      <c r="C2938" s="384">
        <v>45812.0</v>
      </c>
      <c r="D2938" s="65">
        <v>5929.0</v>
      </c>
      <c r="E2938" s="445" t="s">
        <v>301</v>
      </c>
      <c r="F2938" s="386">
        <v>1.0</v>
      </c>
      <c r="G2938" s="74">
        <v>250000.0</v>
      </c>
      <c r="H2938" s="74">
        <v>0.0</v>
      </c>
      <c r="I2938" s="74">
        <f t="shared" si="1"/>
        <v>250000</v>
      </c>
      <c r="J2938" s="74">
        <f>IF(E2938="SERVICE",I2938-(I2938*50%),Vlookup(E2938,DATABASE!C:Q,10,false)*F2938)</f>
        <v>75000</v>
      </c>
      <c r="K2938" s="74">
        <f>VLOOKUP(E2938,DATABASE!C:Q,7,false)</f>
        <v>75000</v>
      </c>
      <c r="L2938" s="74">
        <v>75000.0</v>
      </c>
      <c r="M2938" s="74">
        <f t="shared" si="2"/>
        <v>75000</v>
      </c>
      <c r="N2938" s="74">
        <f t="shared" si="3"/>
        <v>100000</v>
      </c>
      <c r="O2938" s="65" t="str">
        <f>VLOOKUP(E2938,DATABASE!C:Q,8,false)</f>
        <v>BIAN</v>
      </c>
      <c r="P2938" s="65">
        <f>VLOOKUP(E2938,DATABASE!C:Q,9,False)</f>
        <v>0</v>
      </c>
      <c r="Q2938" s="93" t="str">
        <f>VLOOKUP(E2938,DATABASE!C:Q,4,false)</f>
        <v>Baut Camber</v>
      </c>
      <c r="R2938" s="93" t="str">
        <f>VLOOKUP(E2938,DATABASE!C:Q,11,false)</f>
        <v>COMPLEMENTARY</v>
      </c>
    </row>
    <row r="2939" ht="22.5" customHeight="1">
      <c r="A2939" s="49"/>
      <c r="C2939" s="384">
        <v>45812.0</v>
      </c>
      <c r="D2939" s="65">
        <v>5930.0</v>
      </c>
      <c r="E2939" s="445" t="s">
        <v>569</v>
      </c>
      <c r="F2939" s="386">
        <v>1.0</v>
      </c>
      <c r="G2939" s="74">
        <v>80000.0</v>
      </c>
      <c r="H2939" s="74">
        <v>0.0</v>
      </c>
      <c r="I2939" s="74">
        <f t="shared" si="1"/>
        <v>80000</v>
      </c>
      <c r="J2939" s="74">
        <f>IF(E2939="SERVICE",I2939-(I2939*50%),Vlookup(E2939,DATABASE!C:Q,10,false)*F2939)</f>
        <v>0</v>
      </c>
      <c r="K2939" s="74">
        <f>VLOOKUP(E2939,DATABASE!C:Q,7,false)</f>
        <v>45439.582</v>
      </c>
      <c r="L2939" s="74">
        <v>45309.6</v>
      </c>
      <c r="M2939" s="74">
        <f t="shared" si="2"/>
        <v>50000</v>
      </c>
      <c r="N2939" s="74">
        <f t="shared" si="3"/>
        <v>30000</v>
      </c>
      <c r="O2939" s="65" t="str">
        <f>VLOOKUP(E2939,DATABASE!C:Q,8,false)</f>
        <v>BIAN</v>
      </c>
      <c r="P2939" s="65">
        <f>VLOOKUP(E2939,DATABASE!C:Q,9,False)</f>
        <v>1</v>
      </c>
      <c r="Q2939" s="93" t="str">
        <f>VLOOKUP(E2939,DATABASE!C:Q,4,false)</f>
        <v>BD</v>
      </c>
      <c r="R2939" s="93" t="str">
        <f>VLOOKUP(E2939,DATABASE!C:Q,11,false)</f>
        <v>Tire</v>
      </c>
    </row>
    <row r="2940" ht="22.5" customHeight="1">
      <c r="A2940" s="49"/>
      <c r="C2940" s="384">
        <v>45812.0</v>
      </c>
      <c r="D2940" s="65">
        <v>5931.0</v>
      </c>
      <c r="E2940" s="445" t="s">
        <v>268</v>
      </c>
      <c r="F2940" s="386">
        <v>2.0</v>
      </c>
      <c r="G2940" s="74">
        <v>720000.0</v>
      </c>
      <c r="H2940" s="74">
        <v>0.0</v>
      </c>
      <c r="I2940" s="74">
        <f t="shared" si="1"/>
        <v>1440000</v>
      </c>
      <c r="J2940" s="74">
        <f>IF(E2940="SERVICE",I2940-(I2940*50%),Vlookup(E2940,DATABASE!C:Q,10,false)*F2940)</f>
        <v>0</v>
      </c>
      <c r="K2940" s="74">
        <f>VLOOKUP(E2940,DATABASE!C:Q,7,false)</f>
        <v>653000</v>
      </c>
      <c r="L2940" s="74">
        <v>622000.0</v>
      </c>
      <c r="M2940" s="74">
        <f t="shared" si="2"/>
        <v>625000</v>
      </c>
      <c r="N2940" s="74">
        <f t="shared" si="3"/>
        <v>190000</v>
      </c>
      <c r="O2940" s="65" t="str">
        <f>VLOOKUP(E2940,DATABASE!C:Q,8,false)</f>
        <v>IBU</v>
      </c>
      <c r="P2940" s="65">
        <f>VLOOKUP(E2940,DATABASE!C:Q,9,False)</f>
        <v>1</v>
      </c>
      <c r="Q2940" s="93" t="str">
        <f>VLOOKUP(E2940,DATABASE!C:Q,4,false)</f>
        <v>Dunlop</v>
      </c>
      <c r="R2940" s="93" t="str">
        <f>VLOOKUP(E2940,DATABASE!C:Q,11,false)</f>
        <v>Tire</v>
      </c>
    </row>
    <row r="2941" ht="22.5" customHeight="1">
      <c r="A2941" s="49"/>
      <c r="C2941" s="384">
        <v>45812.0</v>
      </c>
      <c r="D2941" s="65">
        <v>5932.0</v>
      </c>
      <c r="E2941" s="445" t="s">
        <v>955</v>
      </c>
      <c r="F2941" s="386">
        <v>1.0</v>
      </c>
      <c r="G2941" s="74">
        <v>780000.0</v>
      </c>
      <c r="H2941" s="74">
        <v>0.0</v>
      </c>
      <c r="I2941" s="74">
        <f t="shared" si="1"/>
        <v>780000</v>
      </c>
      <c r="J2941" s="74">
        <f>IF(E2941="SERVICE",I2941-(I2941*50%),Vlookup(E2941,DATABASE!C:Q,10,false)*F2941)</f>
        <v>0</v>
      </c>
      <c r="K2941" s="74">
        <f>VLOOKUP(E2941,DATABASE!C:Q,7,false)</f>
        <v>712000</v>
      </c>
      <c r="L2941" s="74">
        <v>674000.0</v>
      </c>
      <c r="M2941" s="74">
        <f t="shared" si="2"/>
        <v>675000</v>
      </c>
      <c r="N2941" s="74">
        <f t="shared" si="3"/>
        <v>105000</v>
      </c>
      <c r="O2941" s="65" t="str">
        <f>VLOOKUP(E2941,DATABASE!C:Q,8,false)</f>
        <v>IBU</v>
      </c>
      <c r="P2941" s="65">
        <f>VLOOKUP(E2941,DATABASE!C:Q,9,False)</f>
        <v>1</v>
      </c>
      <c r="Q2941" s="93" t="str">
        <f>VLOOKUP(E2941,DATABASE!C:Q,4,false)</f>
        <v>Dunlop</v>
      </c>
      <c r="R2941" s="93" t="str">
        <f>VLOOKUP(E2941,DATABASE!C:Q,11,false)</f>
        <v>Tire</v>
      </c>
    </row>
    <row r="2942" ht="22.5" customHeight="1">
      <c r="A2942" s="49"/>
      <c r="C2942" s="384">
        <v>45812.0</v>
      </c>
      <c r="D2942" s="65">
        <v>5933.0</v>
      </c>
      <c r="E2942" s="445" t="s">
        <v>889</v>
      </c>
      <c r="F2942" s="386">
        <v>2.0</v>
      </c>
      <c r="G2942" s="74">
        <v>760000.0</v>
      </c>
      <c r="H2942" s="74">
        <v>0.0</v>
      </c>
      <c r="I2942" s="74">
        <f t="shared" si="1"/>
        <v>1520000</v>
      </c>
      <c r="J2942" s="74">
        <f>IF(E2942="SERVICE",I2942-(I2942*50%),Vlookup(E2942,DATABASE!C:Q,10,false)*F2942)</f>
        <v>0</v>
      </c>
      <c r="K2942" s="74">
        <f>VLOOKUP(E2942,DATABASE!C:Q,7,false)</f>
        <v>678000</v>
      </c>
      <c r="L2942" s="74">
        <v>678000.0</v>
      </c>
      <c r="M2942" s="74">
        <f t="shared" si="2"/>
        <v>680000</v>
      </c>
      <c r="N2942" s="74">
        <f t="shared" si="3"/>
        <v>160000</v>
      </c>
      <c r="O2942" s="65" t="str">
        <f>VLOOKUP(E2942,DATABASE!C:Q,8,false)</f>
        <v>BIAN</v>
      </c>
      <c r="P2942" s="65">
        <f>VLOOKUP(E2942,DATABASE!C:Q,9,False)</f>
        <v>1</v>
      </c>
      <c r="Q2942" s="93" t="str">
        <f>VLOOKUP(E2942,DATABASE!C:Q,4,false)</f>
        <v>Sailun</v>
      </c>
      <c r="R2942" s="93" t="str">
        <f>VLOOKUP(E2942,DATABASE!C:Q,11,false)</f>
        <v>Tire</v>
      </c>
    </row>
    <row r="2943" ht="22.5" customHeight="1">
      <c r="A2943" s="49"/>
      <c r="C2943" s="384">
        <v>45812.0</v>
      </c>
      <c r="D2943" s="65">
        <v>5934.0</v>
      </c>
      <c r="E2943" s="445" t="s">
        <v>262</v>
      </c>
      <c r="F2943" s="386">
        <v>1.0</v>
      </c>
      <c r="G2943" s="74">
        <v>110000.0</v>
      </c>
      <c r="H2943" s="74">
        <v>0.0</v>
      </c>
      <c r="I2943" s="74">
        <f t="shared" si="1"/>
        <v>110000</v>
      </c>
      <c r="J2943" s="74">
        <f>IF(E2943="SERVICE",I2943-(I2943*50%),Vlookup(E2943,DATABASE!C:Q,10,false)*F2943)</f>
        <v>5000</v>
      </c>
      <c r="K2943" s="74">
        <f>VLOOKUP(E2943,DATABASE!C:Q,7,false)</f>
        <v>0</v>
      </c>
      <c r="L2943" s="74">
        <v>0.0</v>
      </c>
      <c r="M2943" s="74">
        <f t="shared" si="2"/>
        <v>0</v>
      </c>
      <c r="N2943" s="74">
        <f t="shared" si="3"/>
        <v>105000</v>
      </c>
      <c r="O2943" s="65" t="str">
        <f>VLOOKUP(E2943,DATABASE!C:Q,8,false)</f>
        <v>IBU</v>
      </c>
      <c r="P2943" s="65">
        <f>VLOOKUP(E2943,DATABASE!C:Q,9,False)</f>
        <v>0</v>
      </c>
      <c r="Q2943" s="93" t="str">
        <f>VLOOKUP(E2943,DATABASE!C:Q,4,false)</f>
        <v>SPOORING SS/CARRY LOS BAK</v>
      </c>
      <c r="R2943" s="93" t="str">
        <f>VLOOKUP(E2943,DATABASE!C:Q,11,false)</f>
        <v>SERVICE</v>
      </c>
    </row>
    <row r="2944" ht="22.5" customHeight="1">
      <c r="A2944" s="49"/>
      <c r="C2944" s="384">
        <v>45812.0</v>
      </c>
      <c r="D2944" s="65">
        <v>5934.0</v>
      </c>
      <c r="E2944" s="445" t="s">
        <v>251</v>
      </c>
      <c r="F2944" s="386">
        <v>1.0</v>
      </c>
      <c r="G2944" s="74">
        <v>200000.0</v>
      </c>
      <c r="H2944" s="74">
        <v>0.0</v>
      </c>
      <c r="I2944" s="74">
        <f t="shared" si="1"/>
        <v>200000</v>
      </c>
      <c r="J2944" s="74">
        <f>IF(E2944="SERVICE",I2944-(I2944*50%),Vlookup(E2944,DATABASE!C:Q,10,false)*F2944)</f>
        <v>100000</v>
      </c>
      <c r="K2944" s="74">
        <f>VLOOKUP(E2944,DATABASE!C:Q,7,false)</f>
        <v>0</v>
      </c>
      <c r="L2944" s="74">
        <v>0.0</v>
      </c>
      <c r="M2944" s="74">
        <f t="shared" si="2"/>
        <v>0</v>
      </c>
      <c r="N2944" s="74">
        <f t="shared" si="3"/>
        <v>100000</v>
      </c>
      <c r="O2944" s="65" t="str">
        <f>VLOOKUP(E2944,DATABASE!C:Q,8,false)</f>
        <v>IBU</v>
      </c>
      <c r="P2944" s="65">
        <f>VLOOKUP(E2944,DATABASE!C:Q,9,False)</f>
        <v>0</v>
      </c>
      <c r="Q2944" s="93" t="str">
        <f>VLOOKUP(E2944,DATABASE!C:Q,4,false)</f>
        <v>SERVICE</v>
      </c>
      <c r="R2944" s="93" t="str">
        <f>VLOOKUP(E2944,DATABASE!C:Q,11,false)</f>
        <v>SERVICE</v>
      </c>
    </row>
    <row r="2945" ht="22.5" customHeight="1">
      <c r="A2945" s="49"/>
      <c r="C2945" s="384">
        <v>45812.0</v>
      </c>
      <c r="D2945" s="65">
        <v>5935.0</v>
      </c>
      <c r="E2945" s="385" t="s">
        <v>299</v>
      </c>
      <c r="F2945" s="386">
        <v>2.0</v>
      </c>
      <c r="G2945" s="74">
        <v>30000.0</v>
      </c>
      <c r="H2945" s="74">
        <v>0.0</v>
      </c>
      <c r="I2945" s="74">
        <f t="shared" si="1"/>
        <v>60000</v>
      </c>
      <c r="J2945" s="74">
        <f>IF(E2945="SERVICE",I2945-(I2945*50%),Vlookup(E2945,DATABASE!C:Q,10,false)*F2945)</f>
        <v>0</v>
      </c>
      <c r="K2945" s="74">
        <v>0.0</v>
      </c>
      <c r="L2945" s="74">
        <v>0.0</v>
      </c>
      <c r="M2945" s="74">
        <f t="shared" si="2"/>
        <v>0</v>
      </c>
      <c r="N2945" s="74">
        <f t="shared" si="3"/>
        <v>60000</v>
      </c>
      <c r="O2945" s="65" t="str">
        <f>VLOOKUP(E2945,DATABASE!C:Q,8,false)</f>
        <v>BIAN</v>
      </c>
      <c r="P2945" s="65">
        <f>VLOOKUP(E2945,DATABASE!C:Q,9,False)</f>
        <v>0</v>
      </c>
      <c r="Q2945" s="93" t="str">
        <f>VLOOKUP(E2945,DATABASE!C:Q,4,false)</f>
        <v>Balancing</v>
      </c>
      <c r="R2945" s="93" t="str">
        <f>VLOOKUP(E2945,DATABASE!C:Q,11,false)</f>
        <v>COMPLEMENTARY</v>
      </c>
    </row>
    <row r="2946" ht="22.5" customHeight="1">
      <c r="A2946" s="49"/>
      <c r="C2946" s="384">
        <v>45812.0</v>
      </c>
      <c r="D2946" s="65">
        <v>5935.0</v>
      </c>
      <c r="E2946" s="445" t="s">
        <v>2199</v>
      </c>
      <c r="F2946" s="386">
        <v>1.0</v>
      </c>
      <c r="G2946" s="74">
        <v>15000.0</v>
      </c>
      <c r="H2946" s="74">
        <v>0.0</v>
      </c>
      <c r="I2946" s="74">
        <f t="shared" si="1"/>
        <v>15000</v>
      </c>
      <c r="J2946" s="74">
        <f>IF(E2946="SERVICE",I2946-(I2946*50%),Vlookup(E2946,DATABASE!C:Q,10,false)*F2946)</f>
        <v>0</v>
      </c>
      <c r="K2946" s="74">
        <f>VLOOKUP(E2946,DATABASE!C:Q,7,false)</f>
        <v>5000</v>
      </c>
      <c r="L2946" s="74">
        <v>0.0</v>
      </c>
      <c r="M2946" s="74">
        <f t="shared" si="2"/>
        <v>0</v>
      </c>
      <c r="N2946" s="74">
        <f t="shared" si="3"/>
        <v>15000</v>
      </c>
      <c r="O2946" s="65" t="str">
        <f>VLOOKUP(E2946,DATABASE!C:Q,8,false)</f>
        <v>BIAN</v>
      </c>
      <c r="P2946" s="65">
        <f>VLOOKUP(E2946,DATABASE!C:Q,9,False)</f>
        <v>0</v>
      </c>
      <c r="Q2946" s="93" t="str">
        <f>VLOOKUP(E2946,DATABASE!C:Q,4,false)</f>
        <v>TAMBAL TUBLES</v>
      </c>
      <c r="R2946" s="93" t="str">
        <f>VLOOKUP(E2946,DATABASE!C:Q,11,false)</f>
        <v>COMPLEMENTARY</v>
      </c>
    </row>
    <row r="2947" ht="22.5" customHeight="1">
      <c r="A2947" s="49"/>
      <c r="C2947" s="384">
        <v>45812.0</v>
      </c>
      <c r="D2947" s="65">
        <v>5935.0</v>
      </c>
      <c r="E2947" s="445" t="s">
        <v>256</v>
      </c>
      <c r="F2947" s="386">
        <v>1.0</v>
      </c>
      <c r="G2947" s="74">
        <v>130000.0</v>
      </c>
      <c r="H2947" s="74">
        <v>0.0</v>
      </c>
      <c r="I2947" s="74">
        <f t="shared" si="1"/>
        <v>130000</v>
      </c>
      <c r="J2947" s="74">
        <f>IF(E2947="SERVICE",I2947-(I2947*50%),Vlookup(E2947,DATABASE!C:Q,10,false)*F2947)</f>
        <v>10000</v>
      </c>
      <c r="K2947" s="74">
        <f>VLOOKUP(E2947,DATABASE!C:Q,7,false)</f>
        <v>0</v>
      </c>
      <c r="L2947" s="74">
        <v>0.0</v>
      </c>
      <c r="M2947" s="74">
        <f t="shared" si="2"/>
        <v>0</v>
      </c>
      <c r="N2947" s="74">
        <f t="shared" si="3"/>
        <v>120000</v>
      </c>
      <c r="O2947" s="65" t="str">
        <f>VLOOKUP(E2947,DATABASE!C:Q,8,false)</f>
        <v>IBU</v>
      </c>
      <c r="P2947" s="65">
        <f>VLOOKUP(E2947,DATABASE!C:Q,9,False)</f>
        <v>0</v>
      </c>
      <c r="Q2947" s="93" t="str">
        <f>VLOOKUP(E2947,DATABASE!C:Q,4,false)</f>
        <v>SPOORING</v>
      </c>
      <c r="R2947" s="93" t="str">
        <f>VLOOKUP(E2947,DATABASE!C:Q,11,false)</f>
        <v>SERVICE</v>
      </c>
    </row>
    <row r="2948" ht="22.5" customHeight="1">
      <c r="A2948" s="49"/>
      <c r="C2948" s="384">
        <v>45812.0</v>
      </c>
      <c r="D2948" s="65">
        <v>5935.0</v>
      </c>
      <c r="E2948" s="445" t="s">
        <v>301</v>
      </c>
      <c r="F2948" s="386">
        <v>1.0</v>
      </c>
      <c r="G2948" s="74">
        <v>250000.0</v>
      </c>
      <c r="H2948" s="74">
        <v>0.0</v>
      </c>
      <c r="I2948" s="74">
        <f t="shared" si="1"/>
        <v>250000</v>
      </c>
      <c r="J2948" s="74">
        <f>IF(E2948="SERVICE",I2948-(I2948*50%),Vlookup(E2948,DATABASE!C:Q,10,false)*F2948)</f>
        <v>75000</v>
      </c>
      <c r="K2948" s="74">
        <f>VLOOKUP(E2948,DATABASE!C:Q,7,false)</f>
        <v>75000</v>
      </c>
      <c r="L2948" s="74">
        <v>75000.0</v>
      </c>
      <c r="M2948" s="74">
        <f t="shared" si="2"/>
        <v>75000</v>
      </c>
      <c r="N2948" s="74">
        <f t="shared" si="3"/>
        <v>100000</v>
      </c>
      <c r="O2948" s="65" t="str">
        <f>VLOOKUP(E2948,DATABASE!C:Q,8,false)</f>
        <v>BIAN</v>
      </c>
      <c r="P2948" s="65">
        <f>VLOOKUP(E2948,DATABASE!C:Q,9,False)</f>
        <v>0</v>
      </c>
      <c r="Q2948" s="93" t="str">
        <f>VLOOKUP(E2948,DATABASE!C:Q,4,false)</f>
        <v>Baut Camber</v>
      </c>
      <c r="R2948" s="93" t="str">
        <f>VLOOKUP(E2948,DATABASE!C:Q,11,false)</f>
        <v>COMPLEMENTARY</v>
      </c>
    </row>
    <row r="2949" ht="22.5" customHeight="1">
      <c r="A2949" s="49"/>
      <c r="C2949" s="384">
        <v>45812.0</v>
      </c>
      <c r="D2949" s="65">
        <v>5936.0</v>
      </c>
      <c r="E2949" s="445" t="s">
        <v>275</v>
      </c>
      <c r="F2949" s="386">
        <v>1.0</v>
      </c>
      <c r="G2949" s="74">
        <v>850000.0</v>
      </c>
      <c r="H2949" s="74">
        <v>0.0</v>
      </c>
      <c r="I2949" s="74">
        <f t="shared" si="1"/>
        <v>850000</v>
      </c>
      <c r="J2949" s="74">
        <f>IF(E2949="SERVICE",I2949-(I2949*50%),Vlookup(E2949,DATABASE!C:Q,10,false)*F2949)</f>
        <v>0</v>
      </c>
      <c r="K2949" s="74">
        <f>VLOOKUP(E2949,DATABASE!C:Q,7,false)</f>
        <v>782000</v>
      </c>
      <c r="L2949" s="74">
        <v>745000.0</v>
      </c>
      <c r="M2949" s="74">
        <f t="shared" si="2"/>
        <v>745000</v>
      </c>
      <c r="N2949" s="74">
        <f t="shared" si="3"/>
        <v>105000</v>
      </c>
      <c r="O2949" s="65" t="str">
        <f>VLOOKUP(E2949,DATABASE!C:Q,8,false)</f>
        <v>IBU</v>
      </c>
      <c r="P2949" s="65">
        <f>VLOOKUP(E2949,DATABASE!C:Q,9,False)</f>
        <v>1</v>
      </c>
      <c r="Q2949" s="93" t="str">
        <f>VLOOKUP(E2949,DATABASE!C:Q,4,false)</f>
        <v>Dunlop</v>
      </c>
      <c r="R2949" s="93" t="str">
        <f>VLOOKUP(E2949,DATABASE!C:Q,11,false)</f>
        <v>Tire</v>
      </c>
    </row>
    <row r="2950" ht="22.5" customHeight="1">
      <c r="A2950" s="49"/>
      <c r="C2950" s="384">
        <v>45812.0</v>
      </c>
      <c r="D2950" s="65">
        <v>5937.0</v>
      </c>
      <c r="E2950" s="445" t="s">
        <v>256</v>
      </c>
      <c r="F2950" s="386">
        <v>1.0</v>
      </c>
      <c r="G2950" s="74">
        <v>130000.0</v>
      </c>
      <c r="H2950" s="74">
        <v>0.0</v>
      </c>
      <c r="I2950" s="74">
        <f t="shared" si="1"/>
        <v>130000</v>
      </c>
      <c r="J2950" s="74">
        <f>IF(E2950="SERVICE",I2950-(I2950*50%),Vlookup(E2950,DATABASE!C:Q,10,false)*F2950)</f>
        <v>10000</v>
      </c>
      <c r="K2950" s="74">
        <f>VLOOKUP(E2950,DATABASE!C:Q,7,false)</f>
        <v>0</v>
      </c>
      <c r="L2950" s="74">
        <v>0.0</v>
      </c>
      <c r="M2950" s="74">
        <f t="shared" si="2"/>
        <v>0</v>
      </c>
      <c r="N2950" s="74">
        <f t="shared" si="3"/>
        <v>120000</v>
      </c>
      <c r="O2950" s="65" t="str">
        <f>VLOOKUP(E2950,DATABASE!C:Q,8,false)</f>
        <v>IBU</v>
      </c>
      <c r="P2950" s="65">
        <f>VLOOKUP(E2950,DATABASE!C:Q,9,False)</f>
        <v>0</v>
      </c>
      <c r="Q2950" s="93" t="str">
        <f>VLOOKUP(E2950,DATABASE!C:Q,4,false)</f>
        <v>SPOORING</v>
      </c>
      <c r="R2950" s="93" t="str">
        <f>VLOOKUP(E2950,DATABASE!C:Q,11,false)</f>
        <v>SERVICE</v>
      </c>
    </row>
    <row r="2951" ht="22.5" customHeight="1">
      <c r="A2951" s="49"/>
      <c r="C2951" s="384">
        <v>45812.0</v>
      </c>
      <c r="D2951" s="65">
        <v>5937.0</v>
      </c>
      <c r="E2951" s="445" t="s">
        <v>301</v>
      </c>
      <c r="F2951" s="386">
        <v>1.0</v>
      </c>
      <c r="G2951" s="74">
        <v>250000.0</v>
      </c>
      <c r="H2951" s="74">
        <v>0.0</v>
      </c>
      <c r="I2951" s="74">
        <f t="shared" si="1"/>
        <v>250000</v>
      </c>
      <c r="J2951" s="74">
        <f>IF(E2951="SERVICE",I2951-(I2951*50%),Vlookup(E2951,DATABASE!C:Q,10,false)*F2951)</f>
        <v>75000</v>
      </c>
      <c r="K2951" s="74">
        <f>VLOOKUP(E2951,DATABASE!C:Q,7,false)</f>
        <v>75000</v>
      </c>
      <c r="L2951" s="74">
        <v>75000.0</v>
      </c>
      <c r="M2951" s="74">
        <f t="shared" si="2"/>
        <v>75000</v>
      </c>
      <c r="N2951" s="74">
        <f t="shared" si="3"/>
        <v>100000</v>
      </c>
      <c r="O2951" s="65" t="str">
        <f>VLOOKUP(E2951,DATABASE!C:Q,8,false)</f>
        <v>BIAN</v>
      </c>
      <c r="P2951" s="65">
        <f>VLOOKUP(E2951,DATABASE!C:Q,9,False)</f>
        <v>0</v>
      </c>
      <c r="Q2951" s="93" t="str">
        <f>VLOOKUP(E2951,DATABASE!C:Q,4,false)</f>
        <v>Baut Camber</v>
      </c>
      <c r="R2951" s="93" t="str">
        <f>VLOOKUP(E2951,DATABASE!C:Q,11,false)</f>
        <v>COMPLEMENTARY</v>
      </c>
    </row>
    <row r="2952" ht="22.5" customHeight="1">
      <c r="A2952" s="49"/>
      <c r="C2952" s="384">
        <v>45812.0</v>
      </c>
      <c r="D2952" s="65">
        <v>5938.0</v>
      </c>
      <c r="E2952" s="445" t="s">
        <v>287</v>
      </c>
      <c r="F2952" s="386">
        <v>1.0</v>
      </c>
      <c r="G2952" s="74">
        <v>780000.0</v>
      </c>
      <c r="H2952" s="74">
        <v>0.0</v>
      </c>
      <c r="I2952" s="74">
        <f t="shared" si="1"/>
        <v>780000</v>
      </c>
      <c r="J2952" s="74">
        <f>IF(E2952="SERVICE",I2952-(I2952*50%),Vlookup(E2952,DATABASE!C:Q,10,false)*F2952)</f>
        <v>0</v>
      </c>
      <c r="K2952" s="74">
        <f>VLOOKUP(E2952,DATABASE!C:Q,7,false)</f>
        <v>711000</v>
      </c>
      <c r="L2952" s="74">
        <v>690600.0</v>
      </c>
      <c r="M2952" s="74">
        <f t="shared" si="2"/>
        <v>695000</v>
      </c>
      <c r="N2952" s="74">
        <f t="shared" si="3"/>
        <v>85000</v>
      </c>
      <c r="O2952" s="65" t="str">
        <f>VLOOKUP(E2952,DATABASE!C:Q,8,false)</f>
        <v>BIAN</v>
      </c>
      <c r="P2952" s="65">
        <f>VLOOKUP(E2952,DATABASE!C:Q,9,False)</f>
        <v>1</v>
      </c>
      <c r="Q2952" s="93" t="str">
        <f>VLOOKUP(E2952,DATABASE!C:Q,4,false)</f>
        <v>GT</v>
      </c>
      <c r="R2952" s="93" t="str">
        <f>VLOOKUP(E2952,DATABASE!C:Q,11,false)</f>
        <v>Tire</v>
      </c>
    </row>
    <row r="2953" ht="22.5" customHeight="1">
      <c r="A2953" s="49"/>
      <c r="C2953" s="384">
        <v>45812.0</v>
      </c>
      <c r="D2953" s="65">
        <v>5940.0</v>
      </c>
      <c r="E2953" s="445" t="s">
        <v>791</v>
      </c>
      <c r="F2953" s="386">
        <v>2.0</v>
      </c>
      <c r="G2953" s="74">
        <v>1270000.0</v>
      </c>
      <c r="H2953" s="74">
        <v>0.0</v>
      </c>
      <c r="I2953" s="74">
        <f t="shared" si="1"/>
        <v>2540000</v>
      </c>
      <c r="J2953" s="74">
        <f>IF(E2953="SERVICE",I2953-(I2953*50%),Vlookup(E2953,DATABASE!C:Q,10,false)*F2953)</f>
        <v>0</v>
      </c>
      <c r="K2953" s="74">
        <f>VLOOKUP(E2953,DATABASE!C:Q,7,false)</f>
        <v>1210000</v>
      </c>
      <c r="L2953" s="74">
        <v>1180000.0</v>
      </c>
      <c r="M2953" s="74">
        <f t="shared" si="2"/>
        <v>1180000</v>
      </c>
      <c r="N2953" s="74">
        <f t="shared" si="3"/>
        <v>180000</v>
      </c>
      <c r="O2953" s="65" t="str">
        <f>VLOOKUP(E2953,DATABASE!C:Q,8,false)</f>
        <v>BIAN</v>
      </c>
      <c r="P2953" s="65">
        <f>VLOOKUP(E2953,DATABASE!C:Q,9,False)</f>
        <v>1</v>
      </c>
      <c r="Q2953" s="93" t="str">
        <f>VLOOKUP(E2953,DATABASE!C:Q,4,false)</f>
        <v>GT</v>
      </c>
      <c r="R2953" s="93" t="str">
        <f>VLOOKUP(E2953,DATABASE!C:Q,11,false)</f>
        <v>Tire</v>
      </c>
    </row>
    <row r="2954" ht="22.5" customHeight="1">
      <c r="A2954" s="49"/>
      <c r="C2954" s="384">
        <v>45812.0</v>
      </c>
      <c r="D2954" s="65">
        <v>5940.0</v>
      </c>
      <c r="E2954" s="445" t="s">
        <v>255</v>
      </c>
      <c r="F2954" s="386">
        <v>2.0</v>
      </c>
      <c r="G2954" s="74">
        <v>190000.0</v>
      </c>
      <c r="H2954" s="74">
        <v>0.0</v>
      </c>
      <c r="I2954" s="74">
        <f t="shared" si="1"/>
        <v>380000</v>
      </c>
      <c r="J2954" s="74">
        <f>IF(E2954="SERVICE",I2954-(I2954*50%),Vlookup(E2954,DATABASE!C:Q,10,false)*F2954)</f>
        <v>0</v>
      </c>
      <c r="K2954" s="74">
        <f>VLOOKUP(E2954,DATABASE!C:Q,7,false)</f>
        <v>161840</v>
      </c>
      <c r="L2954" s="74">
        <v>161840.0</v>
      </c>
      <c r="M2954" s="74">
        <f t="shared" si="2"/>
        <v>165000</v>
      </c>
      <c r="N2954" s="74">
        <f t="shared" si="3"/>
        <v>50000</v>
      </c>
      <c r="O2954" s="65" t="str">
        <f>VLOOKUP(E2954,DATABASE!C:Q,8,false)</f>
        <v>BIAN</v>
      </c>
      <c r="P2954" s="65">
        <f>VLOOKUP(E2954,DATABASE!C:Q,9,False)</f>
        <v>1</v>
      </c>
      <c r="Q2954" s="93" t="str">
        <f>VLOOKUP(E2954,DATABASE!C:Q,4,false)</f>
        <v>BD</v>
      </c>
      <c r="R2954" s="93" t="str">
        <f>VLOOKUP(E2954,DATABASE!C:Q,11,false)</f>
        <v>Tire</v>
      </c>
    </row>
    <row r="2955" ht="22.5" customHeight="1">
      <c r="A2955" s="49"/>
      <c r="C2955" s="384">
        <v>45812.0</v>
      </c>
      <c r="D2955" s="65">
        <v>5940.0</v>
      </c>
      <c r="E2955" s="445" t="s">
        <v>814</v>
      </c>
      <c r="F2955" s="386">
        <v>2.0</v>
      </c>
      <c r="G2955" s="74">
        <v>65000.0</v>
      </c>
      <c r="H2955" s="74">
        <v>0.0</v>
      </c>
      <c r="I2955" s="74">
        <f t="shared" si="1"/>
        <v>130000</v>
      </c>
      <c r="J2955" s="74">
        <f>IF(E2955="SERVICE",I2955-(I2955*50%),Vlookup(E2955,DATABASE!C:Q,10,false)*F2955)</f>
        <v>0</v>
      </c>
      <c r="K2955" s="74">
        <f>VLOOKUP(E2955,DATABASE!C:Q,7,false)</f>
        <v>39440</v>
      </c>
      <c r="L2955" s="74">
        <v>39440.0</v>
      </c>
      <c r="M2955" s="74">
        <f t="shared" si="2"/>
        <v>40000</v>
      </c>
      <c r="N2955" s="74">
        <f t="shared" si="3"/>
        <v>50000</v>
      </c>
      <c r="O2955" s="65" t="str">
        <f>VLOOKUP(E2955,DATABASE!C:Q,8,false)</f>
        <v>BIAN</v>
      </c>
      <c r="P2955" s="65">
        <f>VLOOKUP(E2955,DATABASE!C:Q,9,False)</f>
        <v>1</v>
      </c>
      <c r="Q2955" s="93" t="str">
        <f>VLOOKUP(E2955,DATABASE!C:Q,4,false)</f>
        <v>Flap</v>
      </c>
      <c r="R2955" s="93" t="str">
        <f>VLOOKUP(E2955,DATABASE!C:Q,11,false)</f>
        <v>Tire</v>
      </c>
    </row>
    <row r="2956" ht="22.5" customHeight="1">
      <c r="A2956" s="49"/>
      <c r="C2956" s="384">
        <v>45812.0</v>
      </c>
      <c r="D2956" s="65">
        <v>5941.0</v>
      </c>
      <c r="E2956" s="445" t="s">
        <v>1926</v>
      </c>
      <c r="F2956" s="386">
        <v>1.0</v>
      </c>
      <c r="G2956" s="74">
        <v>730000.0</v>
      </c>
      <c r="H2956" s="74">
        <v>0.0</v>
      </c>
      <c r="I2956" s="74">
        <f t="shared" si="1"/>
        <v>730000</v>
      </c>
      <c r="J2956" s="74">
        <f>IF(E2956="SERVICE",I2956-(I2956*50%),Vlookup(E2956,DATABASE!C:Q,10,false)*F2956)</f>
        <v>0</v>
      </c>
      <c r="K2956" s="74">
        <f>VLOOKUP(E2956,DATABASE!C:Q,7,false)</f>
        <v>643230</v>
      </c>
      <c r="L2956" s="74">
        <v>643230.0</v>
      </c>
      <c r="M2956" s="74">
        <f t="shared" si="2"/>
        <v>645000</v>
      </c>
      <c r="N2956" s="74">
        <f t="shared" si="3"/>
        <v>85000</v>
      </c>
      <c r="O2956" s="65" t="str">
        <f>VLOOKUP(E2956,DATABASE!C:Q,8,false)</f>
        <v>BIAN</v>
      </c>
      <c r="P2956" s="65">
        <f>VLOOKUP(E2956,DATABASE!C:Q,9,False)</f>
        <v>1</v>
      </c>
      <c r="Q2956" s="93" t="str">
        <f>VLOOKUP(E2956,DATABASE!C:Q,4,false)</f>
        <v>GT</v>
      </c>
      <c r="R2956" s="93" t="str">
        <f>VLOOKUP(E2956,DATABASE!C:Q,11,false)</f>
        <v>Tire</v>
      </c>
    </row>
    <row r="2957" ht="22.5" customHeight="1">
      <c r="A2957" s="49"/>
      <c r="C2957" s="384">
        <v>45812.0</v>
      </c>
      <c r="D2957" s="65">
        <v>5942.0</v>
      </c>
      <c r="E2957" s="445" t="s">
        <v>2080</v>
      </c>
      <c r="F2957" s="386">
        <v>4.0</v>
      </c>
      <c r="G2957" s="74">
        <v>1000000.0</v>
      </c>
      <c r="H2957" s="74">
        <v>0.0</v>
      </c>
      <c r="I2957" s="74">
        <f t="shared" si="1"/>
        <v>4000000</v>
      </c>
      <c r="J2957" s="74">
        <f>IF(E2957="SERVICE",I2957-(I2957*50%),Vlookup(E2957,DATABASE!C:Q,10,false)*F2957)</f>
        <v>0</v>
      </c>
      <c r="K2957" s="74">
        <f>VLOOKUP(E2957,DATABASE!C:Q,7,false)</f>
        <v>896000</v>
      </c>
      <c r="L2957" s="74">
        <v>896000.0</v>
      </c>
      <c r="M2957" s="74">
        <f t="shared" si="2"/>
        <v>900000</v>
      </c>
      <c r="N2957" s="74">
        <f t="shared" si="3"/>
        <v>400000</v>
      </c>
      <c r="O2957" s="65" t="str">
        <f>VLOOKUP(E2957,DATABASE!C:Q,8,false)</f>
        <v>BIAN</v>
      </c>
      <c r="P2957" s="65">
        <f>VLOOKUP(E2957,DATABASE!C:Q,9,False)</f>
        <v>1</v>
      </c>
      <c r="Q2957" s="93" t="str">
        <f>VLOOKUP(E2957,DATABASE!C:Q,4,false)</f>
        <v>Hankook</v>
      </c>
      <c r="R2957" s="93" t="str">
        <f>VLOOKUP(E2957,DATABASE!C:Q,11,false)</f>
        <v>Tire</v>
      </c>
    </row>
    <row r="2958" ht="22.5" customHeight="1">
      <c r="A2958" s="49"/>
      <c r="C2958" s="384">
        <v>45813.0</v>
      </c>
      <c r="D2958" s="65">
        <v>5943.0</v>
      </c>
      <c r="E2958" s="445" t="s">
        <v>791</v>
      </c>
      <c r="F2958" s="386">
        <v>1.0</v>
      </c>
      <c r="G2958" s="74">
        <v>1280000.0</v>
      </c>
      <c r="H2958" s="74">
        <v>0.0</v>
      </c>
      <c r="I2958" s="74">
        <f t="shared" si="1"/>
        <v>1280000</v>
      </c>
      <c r="J2958" s="74">
        <f>IF(E2958="SERVICE",I2958-(I2958*50%),Vlookup(E2958,DATABASE!C:Q,10,false)*F2958)</f>
        <v>0</v>
      </c>
      <c r="K2958" s="74">
        <f>VLOOKUP(E2958,DATABASE!C:Q,7,false)</f>
        <v>1210000</v>
      </c>
      <c r="L2958" s="74">
        <v>1180000.0</v>
      </c>
      <c r="M2958" s="74">
        <f t="shared" si="2"/>
        <v>1180000</v>
      </c>
      <c r="N2958" s="74">
        <f t="shared" si="3"/>
        <v>100000</v>
      </c>
      <c r="O2958" s="65" t="str">
        <f>VLOOKUP(E2958,DATABASE!C:Q,8,false)</f>
        <v>BIAN</v>
      </c>
      <c r="P2958" s="65">
        <f>VLOOKUP(E2958,DATABASE!C:Q,9,False)</f>
        <v>1</v>
      </c>
      <c r="Q2958" s="93" t="str">
        <f>VLOOKUP(E2958,DATABASE!C:Q,4,false)</f>
        <v>GT</v>
      </c>
      <c r="R2958" s="93" t="str">
        <f>VLOOKUP(E2958,DATABASE!C:Q,11,false)</f>
        <v>Tire</v>
      </c>
    </row>
    <row r="2959" ht="22.5" customHeight="1">
      <c r="A2959" s="49"/>
      <c r="C2959" s="384">
        <v>45813.0</v>
      </c>
      <c r="D2959" s="65">
        <v>5944.0</v>
      </c>
      <c r="E2959" s="445" t="s">
        <v>839</v>
      </c>
      <c r="F2959" s="386">
        <v>1.0</v>
      </c>
      <c r="G2959" s="74">
        <v>565000.0</v>
      </c>
      <c r="H2959" s="74">
        <v>0.0</v>
      </c>
      <c r="I2959" s="74">
        <f t="shared" si="1"/>
        <v>565000</v>
      </c>
      <c r="J2959" s="74">
        <f>IF(E2959="SERVICE",I2959-(I2959*50%),Vlookup(E2959,DATABASE!C:Q,10,false)*F2959)</f>
        <v>0</v>
      </c>
      <c r="K2959" s="74">
        <f>VLOOKUP(E2959,DATABASE!C:Q,7,false)</f>
        <v>512640</v>
      </c>
      <c r="L2959" s="74">
        <v>475700.0</v>
      </c>
      <c r="M2959" s="74">
        <f t="shared" si="2"/>
        <v>480000</v>
      </c>
      <c r="N2959" s="74">
        <f t="shared" si="3"/>
        <v>85000</v>
      </c>
      <c r="O2959" s="65" t="str">
        <f>VLOOKUP(E2959,DATABASE!C:Q,8,false)</f>
        <v>BIAN</v>
      </c>
      <c r="P2959" s="65">
        <f>VLOOKUP(E2959,DATABASE!C:Q,9,False)</f>
        <v>1</v>
      </c>
      <c r="Q2959" s="93" t="str">
        <f>VLOOKUP(E2959,DATABASE!C:Q,4,false)</f>
        <v>GT</v>
      </c>
      <c r="R2959" s="93" t="str">
        <f>VLOOKUP(E2959,DATABASE!C:Q,11,false)</f>
        <v>Tire</v>
      </c>
    </row>
    <row r="2960" ht="22.5" customHeight="1">
      <c r="A2960" s="49"/>
      <c r="C2960" s="384">
        <v>45813.0</v>
      </c>
      <c r="D2960" s="65">
        <v>5945.0</v>
      </c>
      <c r="E2960" s="445" t="s">
        <v>932</v>
      </c>
      <c r="F2960" s="386">
        <v>2.0</v>
      </c>
      <c r="G2960" s="74">
        <v>690000.0</v>
      </c>
      <c r="H2960" s="74">
        <v>0.0</v>
      </c>
      <c r="I2960" s="74">
        <f t="shared" si="1"/>
        <v>1380000</v>
      </c>
      <c r="J2960" s="74">
        <f>IF(E2960="SERVICE",I2960-(I2960*50%),Vlookup(E2960,DATABASE!C:Q,10,false)*F2960)</f>
        <v>0</v>
      </c>
      <c r="K2960" s="74">
        <f>VLOOKUP(E2960,DATABASE!C:Q,7,false)</f>
        <v>601000</v>
      </c>
      <c r="L2960" s="74">
        <v>595000.0</v>
      </c>
      <c r="M2960" s="74">
        <f t="shared" si="2"/>
        <v>595000</v>
      </c>
      <c r="N2960" s="74">
        <f t="shared" si="3"/>
        <v>190000</v>
      </c>
      <c r="O2960" s="65" t="str">
        <f>VLOOKUP(E2960,DATABASE!C:Q,8,false)</f>
        <v>IBU</v>
      </c>
      <c r="P2960" s="65">
        <f>VLOOKUP(E2960,DATABASE!C:Q,9,False)</f>
        <v>1</v>
      </c>
      <c r="Q2960" s="93" t="str">
        <f>VLOOKUP(E2960,DATABASE!C:Q,4,false)</f>
        <v>Dunlop</v>
      </c>
      <c r="R2960" s="93" t="str">
        <f>VLOOKUP(E2960,DATABASE!C:Q,11,false)</f>
        <v>Tire</v>
      </c>
    </row>
    <row r="2961" ht="22.5" customHeight="1">
      <c r="A2961" s="49"/>
      <c r="C2961" s="384">
        <v>45813.0</v>
      </c>
      <c r="D2961" s="65">
        <v>5946.0</v>
      </c>
      <c r="E2961" s="445" t="s">
        <v>288</v>
      </c>
      <c r="F2961" s="386">
        <v>1.0</v>
      </c>
      <c r="G2961" s="74">
        <v>620000.0</v>
      </c>
      <c r="H2961" s="74">
        <v>0.0</v>
      </c>
      <c r="I2961" s="74">
        <f t="shared" si="1"/>
        <v>620000</v>
      </c>
      <c r="J2961" s="74">
        <f>IF(E2961="SERVICE",I2961-(I2961*50%),Vlookup(E2961,DATABASE!C:Q,10,false)*F2961)</f>
        <v>0</v>
      </c>
      <c r="K2961" s="74">
        <f>VLOOKUP(E2961,DATABASE!C:Q,7,false)</f>
        <v>565760</v>
      </c>
      <c r="L2961" s="74">
        <v>524800.0</v>
      </c>
      <c r="M2961" s="74">
        <f t="shared" si="2"/>
        <v>525000</v>
      </c>
      <c r="N2961" s="74">
        <f t="shared" si="3"/>
        <v>95000</v>
      </c>
      <c r="O2961" s="65" t="str">
        <f>VLOOKUP(E2961,DATABASE!C:Q,8,false)</f>
        <v>BIAN</v>
      </c>
      <c r="P2961" s="65">
        <f>VLOOKUP(E2961,DATABASE!C:Q,9,False)</f>
        <v>1</v>
      </c>
      <c r="Q2961" s="93" t="str">
        <f>VLOOKUP(E2961,DATABASE!C:Q,4,false)</f>
        <v>GT</v>
      </c>
      <c r="R2961" s="93" t="str">
        <f>VLOOKUP(E2961,DATABASE!C:Q,11,false)</f>
        <v>Tire</v>
      </c>
    </row>
    <row r="2962" ht="22.5" customHeight="1">
      <c r="A2962" s="49"/>
      <c r="C2962" s="384">
        <v>45813.0</v>
      </c>
      <c r="D2962" s="65">
        <v>5947.0</v>
      </c>
      <c r="E2962" s="445" t="s">
        <v>256</v>
      </c>
      <c r="F2962" s="386">
        <v>1.0</v>
      </c>
      <c r="G2962" s="74">
        <v>130000.0</v>
      </c>
      <c r="H2962" s="74">
        <v>0.0</v>
      </c>
      <c r="I2962" s="74">
        <f t="shared" si="1"/>
        <v>130000</v>
      </c>
      <c r="J2962" s="74">
        <f>IF(E2962="SERVICE",I2962-(I2962*50%),Vlookup(E2962,DATABASE!C:Q,10,false)*F2962)</f>
        <v>10000</v>
      </c>
      <c r="K2962" s="74">
        <f>VLOOKUP(E2962,DATABASE!C:Q,7,false)</f>
        <v>0</v>
      </c>
      <c r="L2962" s="74">
        <v>0.0</v>
      </c>
      <c r="M2962" s="74">
        <f t="shared" si="2"/>
        <v>0</v>
      </c>
      <c r="N2962" s="74">
        <f t="shared" si="3"/>
        <v>120000</v>
      </c>
      <c r="O2962" s="65" t="str">
        <f>VLOOKUP(E2962,DATABASE!C:Q,8,false)</f>
        <v>IBU</v>
      </c>
      <c r="P2962" s="65">
        <f>VLOOKUP(E2962,DATABASE!C:Q,9,False)</f>
        <v>0</v>
      </c>
      <c r="Q2962" s="93" t="str">
        <f>VLOOKUP(E2962,DATABASE!C:Q,4,false)</f>
        <v>SPOORING</v>
      </c>
      <c r="R2962" s="93" t="str">
        <f>VLOOKUP(E2962,DATABASE!C:Q,11,false)</f>
        <v>SERVICE</v>
      </c>
    </row>
    <row r="2963" ht="22.5" customHeight="1">
      <c r="A2963" s="49"/>
      <c r="C2963" s="384">
        <v>45813.0</v>
      </c>
      <c r="D2963" s="65">
        <v>5947.0</v>
      </c>
      <c r="E2963" s="445" t="s">
        <v>301</v>
      </c>
      <c r="F2963" s="386">
        <v>1.0</v>
      </c>
      <c r="G2963" s="74">
        <v>250000.0</v>
      </c>
      <c r="H2963" s="74">
        <v>0.0</v>
      </c>
      <c r="I2963" s="74">
        <f t="shared" si="1"/>
        <v>250000</v>
      </c>
      <c r="J2963" s="74">
        <f>IF(E2963="SERVICE",I2963-(I2963*50%),Vlookup(E2963,DATABASE!C:Q,10,false)*F2963)</f>
        <v>75000</v>
      </c>
      <c r="K2963" s="74">
        <f>VLOOKUP(E2963,DATABASE!C:Q,7,false)</f>
        <v>75000</v>
      </c>
      <c r="L2963" s="74">
        <v>75000.0</v>
      </c>
      <c r="M2963" s="74">
        <f t="shared" si="2"/>
        <v>75000</v>
      </c>
      <c r="N2963" s="74">
        <f t="shared" si="3"/>
        <v>100000</v>
      </c>
      <c r="O2963" s="65" t="str">
        <f>VLOOKUP(E2963,DATABASE!C:Q,8,false)</f>
        <v>BIAN</v>
      </c>
      <c r="P2963" s="65">
        <f>VLOOKUP(E2963,DATABASE!C:Q,9,False)</f>
        <v>0</v>
      </c>
      <c r="Q2963" s="93" t="str">
        <f>VLOOKUP(E2963,DATABASE!C:Q,4,false)</f>
        <v>Baut Camber</v>
      </c>
      <c r="R2963" s="93" t="str">
        <f>VLOOKUP(E2963,DATABASE!C:Q,11,false)</f>
        <v>COMPLEMENTARY</v>
      </c>
    </row>
    <row r="2964" ht="22.5" customHeight="1">
      <c r="A2964" s="49"/>
      <c r="C2964" s="384">
        <v>45813.0</v>
      </c>
      <c r="D2964" s="65">
        <v>5948.0</v>
      </c>
      <c r="E2964" s="445" t="s">
        <v>932</v>
      </c>
      <c r="F2964" s="386">
        <v>1.0</v>
      </c>
      <c r="G2964" s="74">
        <v>700000.0</v>
      </c>
      <c r="H2964" s="74">
        <v>0.0</v>
      </c>
      <c r="I2964" s="74">
        <f t="shared" si="1"/>
        <v>700000</v>
      </c>
      <c r="J2964" s="74">
        <f>IF(E2964="SERVICE",I2964-(I2964*50%),Vlookup(E2964,DATABASE!C:Q,10,false)*F2964)</f>
        <v>0</v>
      </c>
      <c r="K2964" s="74">
        <f>VLOOKUP(E2964,DATABASE!C:Q,7,false)</f>
        <v>601000</v>
      </c>
      <c r="L2964" s="74">
        <v>595000.0</v>
      </c>
      <c r="M2964" s="74">
        <f t="shared" si="2"/>
        <v>595000</v>
      </c>
      <c r="N2964" s="74">
        <f t="shared" si="3"/>
        <v>105000</v>
      </c>
      <c r="O2964" s="65" t="str">
        <f>VLOOKUP(E2964,DATABASE!C:Q,8,false)</f>
        <v>IBU</v>
      </c>
      <c r="P2964" s="65">
        <f>VLOOKUP(E2964,DATABASE!C:Q,9,False)</f>
        <v>1</v>
      </c>
      <c r="Q2964" s="93" t="str">
        <f>VLOOKUP(E2964,DATABASE!C:Q,4,false)</f>
        <v>Dunlop</v>
      </c>
      <c r="R2964" s="93" t="str">
        <f>VLOOKUP(E2964,DATABASE!C:Q,11,false)</f>
        <v>Tire</v>
      </c>
    </row>
    <row r="2965" ht="22.5" customHeight="1">
      <c r="A2965" s="49"/>
      <c r="C2965" s="384">
        <v>45813.0</v>
      </c>
      <c r="D2965" s="65">
        <v>5949.0</v>
      </c>
      <c r="E2965" s="445" t="s">
        <v>1439</v>
      </c>
      <c r="F2965" s="386">
        <v>1.0</v>
      </c>
      <c r="G2965" s="74">
        <v>630000.0</v>
      </c>
      <c r="H2965" s="74">
        <v>0.0</v>
      </c>
      <c r="I2965" s="74">
        <f t="shared" si="1"/>
        <v>630000</v>
      </c>
      <c r="J2965" s="74">
        <f>IF(E2965="SERVICE",I2965-(I2965*50%),Vlookup(E2965,DATABASE!C:Q,10,false)*F2965)</f>
        <v>0</v>
      </c>
      <c r="K2965" s="74">
        <f>VLOOKUP(E2965,DATABASE!C:Q,7,false)</f>
        <v>556800</v>
      </c>
      <c r="L2965" s="74">
        <v>540800.0</v>
      </c>
      <c r="M2965" s="74">
        <f t="shared" si="2"/>
        <v>545000</v>
      </c>
      <c r="N2965" s="74">
        <f t="shared" si="3"/>
        <v>85000</v>
      </c>
      <c r="O2965" s="65" t="str">
        <f>VLOOKUP(E2965,DATABASE!C:Q,8,false)</f>
        <v>BIAN</v>
      </c>
      <c r="P2965" s="65">
        <f>VLOOKUP(E2965,DATABASE!C:Q,9,False)</f>
        <v>1</v>
      </c>
      <c r="Q2965" s="93" t="str">
        <f>VLOOKUP(E2965,DATABASE!C:Q,4,false)</f>
        <v>GT</v>
      </c>
      <c r="R2965" s="93" t="str">
        <f>VLOOKUP(E2965,DATABASE!C:Q,11,false)</f>
        <v>Tire</v>
      </c>
    </row>
    <row r="2966" ht="22.5" customHeight="1">
      <c r="A2966" s="49"/>
      <c r="C2966" s="384">
        <v>45813.0</v>
      </c>
      <c r="D2966" s="65">
        <v>5950.0</v>
      </c>
      <c r="E2966" s="445" t="s">
        <v>2155</v>
      </c>
      <c r="F2966" s="386">
        <v>2.0</v>
      </c>
      <c r="G2966" s="74">
        <v>640000.0</v>
      </c>
      <c r="H2966" s="74">
        <v>0.0</v>
      </c>
      <c r="I2966" s="74">
        <f t="shared" si="1"/>
        <v>1280000</v>
      </c>
      <c r="J2966" s="74">
        <f>IF(E2966="SERVICE",I2966-(I2966*50%),Vlookup(E2966,DATABASE!C:Q,10,false)*F2966)</f>
        <v>0</v>
      </c>
      <c r="K2966" s="74">
        <f>VLOOKUP(E2966,DATABASE!C:Q,7,false)</f>
        <v>555000</v>
      </c>
      <c r="L2966" s="74">
        <v>555000.0</v>
      </c>
      <c r="M2966" s="74">
        <f t="shared" si="2"/>
        <v>555000</v>
      </c>
      <c r="N2966" s="74">
        <f t="shared" si="3"/>
        <v>170000</v>
      </c>
      <c r="O2966" s="65" t="str">
        <f>VLOOKUP(E2966,DATABASE!C:Q,8,false)</f>
        <v>BIAN</v>
      </c>
      <c r="P2966" s="65">
        <f>VLOOKUP(E2966,DATABASE!C:Q,9,False)</f>
        <v>1</v>
      </c>
      <c r="Q2966" s="93" t="str">
        <f>VLOOKUP(E2966,DATABASE!C:Q,4,false)</f>
        <v>SAILUN</v>
      </c>
      <c r="R2966" s="93" t="str">
        <f>VLOOKUP(E2966,DATABASE!C:Q,11,false)</f>
        <v>Tire</v>
      </c>
    </row>
    <row r="2967" ht="22.5" customHeight="1">
      <c r="A2967" s="49"/>
      <c r="C2967" s="384">
        <v>45813.0</v>
      </c>
      <c r="D2967" s="65">
        <v>5951.0</v>
      </c>
      <c r="E2967" s="445" t="s">
        <v>294</v>
      </c>
      <c r="F2967" s="386">
        <v>2.0</v>
      </c>
      <c r="G2967" s="74">
        <v>555000.0</v>
      </c>
      <c r="H2967" s="74">
        <v>0.0</v>
      </c>
      <c r="I2967" s="74">
        <f t="shared" si="1"/>
        <v>1110000</v>
      </c>
      <c r="J2967" s="74">
        <f>IF(E2967="SERVICE",I2967-(I2967*50%),Vlookup(E2967,DATABASE!C:Q,10,false)*F2967)</f>
        <v>0</v>
      </c>
      <c r="K2967" s="74">
        <f>VLOOKUP(E2967,DATABASE!C:Q,7,false)</f>
        <v>505000</v>
      </c>
      <c r="L2967" s="74">
        <v>490000.0</v>
      </c>
      <c r="M2967" s="74">
        <f t="shared" si="2"/>
        <v>490000</v>
      </c>
      <c r="N2967" s="74">
        <f t="shared" si="3"/>
        <v>130000</v>
      </c>
      <c r="O2967" s="65" t="str">
        <f>VLOOKUP(E2967,DATABASE!C:Q,8,false)</f>
        <v>BIAN</v>
      </c>
      <c r="P2967" s="65">
        <f>VLOOKUP(E2967,DATABASE!C:Q,9,False)</f>
        <v>1</v>
      </c>
      <c r="Q2967" s="93" t="str">
        <f>VLOOKUP(E2967,DATABASE!C:Q,4,false)</f>
        <v>GT</v>
      </c>
      <c r="R2967" s="93" t="str">
        <f>VLOOKUP(E2967,DATABASE!C:Q,11,false)</f>
        <v>Tire</v>
      </c>
    </row>
    <row r="2968" ht="22.5" customHeight="1">
      <c r="A2968" s="49"/>
      <c r="C2968" s="384">
        <v>45813.0</v>
      </c>
      <c r="D2968" s="65">
        <v>5952.0</v>
      </c>
      <c r="E2968" s="445" t="s">
        <v>687</v>
      </c>
      <c r="F2968" s="386">
        <v>2.0</v>
      </c>
      <c r="G2968" s="74">
        <v>1050000.0</v>
      </c>
      <c r="H2968" s="74">
        <v>0.0</v>
      </c>
      <c r="I2968" s="74">
        <f t="shared" si="1"/>
        <v>2100000</v>
      </c>
      <c r="J2968" s="74">
        <f>IF(E2968="SERVICE",I2968-(I2968*50%),Vlookup(E2968,DATABASE!C:Q,10,false)*F2968)</f>
        <v>0</v>
      </c>
      <c r="K2968" s="74">
        <f>VLOOKUP(E2968,DATABASE!C:Q,7,false)</f>
        <v>959000</v>
      </c>
      <c r="L2968" s="74">
        <v>949000.0</v>
      </c>
      <c r="M2968" s="74">
        <f t="shared" si="2"/>
        <v>950000</v>
      </c>
      <c r="N2968" s="74">
        <f t="shared" si="3"/>
        <v>200000</v>
      </c>
      <c r="O2968" s="65" t="str">
        <f>VLOOKUP(E2968,DATABASE!C:Q,8,false)</f>
        <v>IBU</v>
      </c>
      <c r="P2968" s="65">
        <f>VLOOKUP(E2968,DATABASE!C:Q,9,False)</f>
        <v>1</v>
      </c>
      <c r="Q2968" s="93" t="str">
        <f>VLOOKUP(E2968,DATABASE!C:Q,4,false)</f>
        <v>Dunlop</v>
      </c>
      <c r="R2968" s="93" t="str">
        <f>VLOOKUP(E2968,DATABASE!C:Q,11,false)</f>
        <v>Tire</v>
      </c>
    </row>
    <row r="2969" ht="22.5" customHeight="1">
      <c r="A2969" s="49"/>
      <c r="C2969" s="384">
        <v>45813.0</v>
      </c>
      <c r="D2969" s="65">
        <v>5953.0</v>
      </c>
      <c r="E2969" s="445" t="s">
        <v>569</v>
      </c>
      <c r="F2969" s="386">
        <v>1.0</v>
      </c>
      <c r="G2969" s="74">
        <v>80000.0</v>
      </c>
      <c r="H2969" s="74">
        <v>0.0</v>
      </c>
      <c r="I2969" s="74">
        <f t="shared" si="1"/>
        <v>80000</v>
      </c>
      <c r="J2969" s="74">
        <f>IF(E2969="SERVICE",I2969-(I2969*50%),Vlookup(E2969,DATABASE!C:Q,10,false)*F2969)</f>
        <v>0</v>
      </c>
      <c r="K2969" s="74">
        <f>VLOOKUP(E2969,DATABASE!C:Q,7,false)</f>
        <v>45439.582</v>
      </c>
      <c r="L2969" s="74">
        <v>45309.6</v>
      </c>
      <c r="M2969" s="74">
        <f t="shared" si="2"/>
        <v>50000</v>
      </c>
      <c r="N2969" s="74">
        <f t="shared" si="3"/>
        <v>30000</v>
      </c>
      <c r="O2969" s="65" t="str">
        <f>VLOOKUP(E2969,DATABASE!C:Q,8,false)</f>
        <v>BIAN</v>
      </c>
      <c r="P2969" s="65">
        <f>VLOOKUP(E2969,DATABASE!C:Q,9,False)</f>
        <v>1</v>
      </c>
      <c r="Q2969" s="93" t="str">
        <f>VLOOKUP(E2969,DATABASE!C:Q,4,false)</f>
        <v>BD</v>
      </c>
      <c r="R2969" s="93" t="str">
        <f>VLOOKUP(E2969,DATABASE!C:Q,11,false)</f>
        <v>Tire</v>
      </c>
    </row>
    <row r="2970" ht="22.5" customHeight="1">
      <c r="A2970" s="49"/>
      <c r="C2970" s="384">
        <v>45813.0</v>
      </c>
      <c r="D2970" s="65">
        <v>5954.0</v>
      </c>
      <c r="E2970" s="445" t="s">
        <v>856</v>
      </c>
      <c r="F2970" s="386">
        <v>2.0</v>
      </c>
      <c r="G2970" s="74">
        <v>670000.0</v>
      </c>
      <c r="H2970" s="74">
        <v>0.0</v>
      </c>
      <c r="I2970" s="74">
        <f t="shared" si="1"/>
        <v>1340000</v>
      </c>
      <c r="J2970" s="74">
        <f>IF(E2970="SERVICE",I2970-(I2970*50%),Vlookup(E2970,DATABASE!C:Q,10,false)*F2970)</f>
        <v>0</v>
      </c>
      <c r="K2970" s="74">
        <f>VLOOKUP(E2970,DATABASE!C:Q,7,false)</f>
        <v>615300</v>
      </c>
      <c r="L2970" s="74">
        <v>581120.0</v>
      </c>
      <c r="M2970" s="74">
        <f t="shared" si="2"/>
        <v>585000</v>
      </c>
      <c r="N2970" s="74">
        <f t="shared" si="3"/>
        <v>170000</v>
      </c>
      <c r="O2970" s="65" t="str">
        <f>VLOOKUP(E2970,DATABASE!C:Q,8,false)</f>
        <v>BIAN</v>
      </c>
      <c r="P2970" s="65">
        <f>VLOOKUP(E2970,DATABASE!C:Q,9,False)</f>
        <v>1</v>
      </c>
      <c r="Q2970" s="93" t="str">
        <f>VLOOKUP(E2970,DATABASE!C:Q,4,false)</f>
        <v>GT</v>
      </c>
      <c r="R2970" s="93" t="str">
        <f>VLOOKUP(E2970,DATABASE!C:Q,11,false)</f>
        <v>Tire</v>
      </c>
    </row>
    <row r="2971" ht="22.5" customHeight="1">
      <c r="A2971" s="49"/>
      <c r="C2971" s="384">
        <v>45813.0</v>
      </c>
      <c r="D2971" s="65">
        <v>5954.0</v>
      </c>
      <c r="E2971" s="445" t="s">
        <v>2199</v>
      </c>
      <c r="F2971" s="386">
        <v>1.0</v>
      </c>
      <c r="G2971" s="74">
        <v>15000.0</v>
      </c>
      <c r="H2971" s="74">
        <v>0.0</v>
      </c>
      <c r="I2971" s="74">
        <f t="shared" si="1"/>
        <v>15000</v>
      </c>
      <c r="J2971" s="74">
        <f>IF(E2971="SERVICE",I2971-(I2971*50%),Vlookup(E2971,DATABASE!C:Q,10,false)*F2971)</f>
        <v>0</v>
      </c>
      <c r="K2971" s="74">
        <f>VLOOKUP(E2971,DATABASE!C:Q,7,false)</f>
        <v>5000</v>
      </c>
      <c r="L2971" s="74">
        <v>0.0</v>
      </c>
      <c r="M2971" s="74">
        <f t="shared" si="2"/>
        <v>0</v>
      </c>
      <c r="N2971" s="74">
        <f t="shared" si="3"/>
        <v>15000</v>
      </c>
      <c r="O2971" s="65" t="str">
        <f>VLOOKUP(E2971,DATABASE!C:Q,8,false)</f>
        <v>BIAN</v>
      </c>
      <c r="P2971" s="65">
        <f>VLOOKUP(E2971,DATABASE!C:Q,9,False)</f>
        <v>0</v>
      </c>
      <c r="Q2971" s="93" t="str">
        <f>VLOOKUP(E2971,DATABASE!C:Q,4,false)</f>
        <v>TAMBAL TUBLES</v>
      </c>
      <c r="R2971" s="93" t="str">
        <f>VLOOKUP(E2971,DATABASE!C:Q,11,false)</f>
        <v>COMPLEMENTARY</v>
      </c>
    </row>
    <row r="2972" ht="22.5" customHeight="1">
      <c r="A2972" s="49"/>
      <c r="C2972" s="384">
        <v>45813.0</v>
      </c>
      <c r="D2972" s="65">
        <v>5955.0</v>
      </c>
      <c r="E2972" s="445" t="s">
        <v>814</v>
      </c>
      <c r="F2972" s="386">
        <v>1.0</v>
      </c>
      <c r="G2972" s="74">
        <v>65000.0</v>
      </c>
      <c r="H2972" s="74">
        <v>0.0</v>
      </c>
      <c r="I2972" s="74">
        <f t="shared" si="1"/>
        <v>65000</v>
      </c>
      <c r="J2972" s="74">
        <f>IF(E2972="SERVICE",I2972-(I2972*50%),Vlookup(E2972,DATABASE!C:Q,10,false)*F2972)</f>
        <v>0</v>
      </c>
      <c r="K2972" s="74">
        <f>VLOOKUP(E2972,DATABASE!C:Q,7,false)</f>
        <v>39440</v>
      </c>
      <c r="L2972" s="74">
        <v>39440.0</v>
      </c>
      <c r="M2972" s="74">
        <f t="shared" si="2"/>
        <v>40000</v>
      </c>
      <c r="N2972" s="74">
        <f t="shared" si="3"/>
        <v>25000</v>
      </c>
      <c r="O2972" s="65" t="str">
        <f>VLOOKUP(E2972,DATABASE!C:Q,8,false)</f>
        <v>BIAN</v>
      </c>
      <c r="P2972" s="65">
        <f>VLOOKUP(E2972,DATABASE!C:Q,9,False)</f>
        <v>1</v>
      </c>
      <c r="Q2972" s="93" t="str">
        <f>VLOOKUP(E2972,DATABASE!C:Q,4,false)</f>
        <v>Flap</v>
      </c>
      <c r="R2972" s="93" t="str">
        <f>VLOOKUP(E2972,DATABASE!C:Q,11,false)</f>
        <v>Tire</v>
      </c>
    </row>
    <row r="2973" ht="22.5" customHeight="1">
      <c r="A2973" s="49"/>
      <c r="C2973" s="384">
        <v>45813.0</v>
      </c>
      <c r="D2973" s="65">
        <v>5957.0</v>
      </c>
      <c r="E2973" s="445" t="s">
        <v>566</v>
      </c>
      <c r="F2973" s="386">
        <v>1.0</v>
      </c>
      <c r="G2973" s="74">
        <v>1670000.0</v>
      </c>
      <c r="H2973" s="74">
        <v>0.0</v>
      </c>
      <c r="I2973" s="74">
        <f t="shared" si="1"/>
        <v>1670000</v>
      </c>
      <c r="J2973" s="74">
        <f>IF(E2973="SERVICE",I2973-(I2973*50%),Vlookup(E2973,DATABASE!C:Q,10,false)*F2973)</f>
        <v>0</v>
      </c>
      <c r="K2973" s="140">
        <v>1570000.0</v>
      </c>
      <c r="L2973" s="140">
        <v>1570000.0</v>
      </c>
      <c r="M2973" s="74">
        <f t="shared" si="2"/>
        <v>1570000</v>
      </c>
      <c r="N2973" s="74">
        <f t="shared" si="3"/>
        <v>100000</v>
      </c>
      <c r="O2973" s="65" t="str">
        <f>VLOOKUP(E2973,DATABASE!C:Q,8,false)</f>
        <v>IBU</v>
      </c>
      <c r="P2973" s="65">
        <f>VLOOKUP(E2973,DATABASE!C:Q,9,False)</f>
        <v>1</v>
      </c>
      <c r="Q2973" s="93" t="str">
        <f>VLOOKUP(E2973,DATABASE!C:Q,4,false)</f>
        <v>Bridgestone</v>
      </c>
      <c r="R2973" s="93" t="str">
        <f>VLOOKUP(E2973,DATABASE!C:Q,11,false)</f>
        <v>Tire</v>
      </c>
    </row>
    <row r="2974" ht="22.5" customHeight="1">
      <c r="A2974" s="49"/>
      <c r="C2974" s="384">
        <v>45813.0</v>
      </c>
      <c r="D2974" s="65">
        <v>5957.0</v>
      </c>
      <c r="E2974" s="445" t="s">
        <v>744</v>
      </c>
      <c r="F2974" s="386">
        <v>1.0</v>
      </c>
      <c r="G2974" s="74">
        <v>230000.0</v>
      </c>
      <c r="H2974" s="74">
        <v>0.0</v>
      </c>
      <c r="I2974" s="74">
        <f t="shared" si="1"/>
        <v>230000</v>
      </c>
      <c r="J2974" s="74">
        <f>IF(E2974="SERVICE",I2974-(I2974*50%),Vlookup(E2974,DATABASE!C:Q,10,false)*F2974)</f>
        <v>0</v>
      </c>
      <c r="K2974" s="74">
        <f>VLOOKUP(E2974,DATABASE!C:Q,7,false)</f>
        <v>182200</v>
      </c>
      <c r="L2974" s="74">
        <v>199920.0</v>
      </c>
      <c r="M2974" s="74">
        <f t="shared" si="2"/>
        <v>200000</v>
      </c>
      <c r="N2974" s="74">
        <f t="shared" si="3"/>
        <v>30000</v>
      </c>
      <c r="O2974" s="65" t="str">
        <f>VLOOKUP(E2974,DATABASE!C:Q,8,false)</f>
        <v>BIAN</v>
      </c>
      <c r="P2974" s="65">
        <f>VLOOKUP(E2974,DATABASE!C:Q,9,False)</f>
        <v>1</v>
      </c>
      <c r="Q2974" s="93" t="str">
        <f>VLOOKUP(E2974,DATABASE!C:Q,4,false)</f>
        <v>BD</v>
      </c>
      <c r="R2974" s="93" t="str">
        <f>VLOOKUP(E2974,DATABASE!C:Q,11,false)</f>
        <v>Tire</v>
      </c>
    </row>
    <row r="2975" ht="22.5" customHeight="1">
      <c r="A2975" s="49"/>
      <c r="C2975" s="384">
        <v>45813.0</v>
      </c>
      <c r="D2975" s="65">
        <v>5957.0</v>
      </c>
      <c r="E2975" s="445" t="s">
        <v>821</v>
      </c>
      <c r="F2975" s="386">
        <v>1.0</v>
      </c>
      <c r="G2975" s="74">
        <v>85000.0</v>
      </c>
      <c r="H2975" s="74">
        <v>0.0</v>
      </c>
      <c r="I2975" s="74">
        <f t="shared" si="1"/>
        <v>85000</v>
      </c>
      <c r="J2975" s="74">
        <f>IF(E2975="SERVICE",I2975-(I2975*50%),Vlookup(E2975,DATABASE!C:Q,10,false)*F2975)</f>
        <v>0</v>
      </c>
      <c r="K2975" s="74">
        <f>VLOOKUP(E2975,DATABASE!C:Q,7,false)</f>
        <v>43500</v>
      </c>
      <c r="L2975" s="74">
        <v>43520.0</v>
      </c>
      <c r="M2975" s="74">
        <f t="shared" si="2"/>
        <v>45000</v>
      </c>
      <c r="N2975" s="74">
        <f t="shared" si="3"/>
        <v>40000</v>
      </c>
      <c r="O2975" s="65" t="str">
        <f>VLOOKUP(E2975,DATABASE!C:Q,8,false)</f>
        <v>BIAN</v>
      </c>
      <c r="P2975" s="65">
        <f>VLOOKUP(E2975,DATABASE!C:Q,9,False)</f>
        <v>1</v>
      </c>
      <c r="Q2975" s="93" t="str">
        <f>VLOOKUP(E2975,DATABASE!C:Q,4,false)</f>
        <v>Flap</v>
      </c>
      <c r="R2975" s="93" t="str">
        <f>VLOOKUP(E2975,DATABASE!C:Q,11,false)</f>
        <v>Tire</v>
      </c>
    </row>
    <row r="2976" ht="22.5" customHeight="1">
      <c r="A2976" s="49"/>
      <c r="C2976" s="384">
        <v>45813.0</v>
      </c>
      <c r="D2976" s="65">
        <v>5958.0</v>
      </c>
      <c r="E2976" s="445" t="s">
        <v>781</v>
      </c>
      <c r="F2976" s="386">
        <v>1.0</v>
      </c>
      <c r="G2976" s="74">
        <v>530000.0</v>
      </c>
      <c r="H2976" s="74">
        <v>0.0</v>
      </c>
      <c r="I2976" s="74">
        <f t="shared" si="1"/>
        <v>530000</v>
      </c>
      <c r="J2976" s="74">
        <f>IF(E2976="SERVICE",I2976-(I2976*50%),Vlookup(E2976,DATABASE!C:Q,10,false)*F2976)</f>
        <v>0</v>
      </c>
      <c r="K2976" s="74">
        <f>VLOOKUP(E2976,DATABASE!C:Q,7,false)</f>
        <v>470000</v>
      </c>
      <c r="L2976" s="74">
        <v>442500.0</v>
      </c>
      <c r="M2976" s="74">
        <f t="shared" si="2"/>
        <v>445000</v>
      </c>
      <c r="N2976" s="74">
        <f t="shared" si="3"/>
        <v>85000</v>
      </c>
      <c r="O2976" s="65" t="str">
        <f>VLOOKUP(E2976,DATABASE!C:Q,8,false)</f>
        <v>BIAN</v>
      </c>
      <c r="P2976" s="65">
        <f>VLOOKUP(E2976,DATABASE!C:Q,9,False)</f>
        <v>1</v>
      </c>
      <c r="Q2976" s="93" t="str">
        <f>VLOOKUP(E2976,DATABASE!C:Q,4,false)</f>
        <v>GT</v>
      </c>
      <c r="R2976" s="93" t="str">
        <f>VLOOKUP(E2976,DATABASE!C:Q,11,false)</f>
        <v>Tire</v>
      </c>
    </row>
    <row r="2977" ht="22.5" customHeight="1">
      <c r="A2977" s="49"/>
      <c r="C2977" s="384">
        <v>45813.0</v>
      </c>
      <c r="D2977" s="65">
        <v>5959.0</v>
      </c>
      <c r="E2977" s="445" t="s">
        <v>600</v>
      </c>
      <c r="F2977" s="386">
        <v>4.0</v>
      </c>
      <c r="G2977" s="74">
        <v>675000.0</v>
      </c>
      <c r="H2977" s="74">
        <v>0.0</v>
      </c>
      <c r="I2977" s="74">
        <f t="shared" si="1"/>
        <v>2700000</v>
      </c>
      <c r="J2977" s="74">
        <f>IF(E2977="SERVICE",I2977-(I2977*50%),Vlookup(E2977,DATABASE!C:Q,10,false)*F2977)</f>
        <v>0</v>
      </c>
      <c r="K2977" s="74">
        <f>VLOOKUP(E2977,DATABASE!C:Q,7,false)</f>
        <v>611109.16</v>
      </c>
      <c r="L2977" s="74">
        <v>572762.4</v>
      </c>
      <c r="M2977" s="74">
        <f t="shared" si="2"/>
        <v>575000</v>
      </c>
      <c r="N2977" s="74">
        <f t="shared" si="3"/>
        <v>400000</v>
      </c>
      <c r="O2977" s="65" t="str">
        <f>VLOOKUP(E2977,DATABASE!C:Q,8,false)</f>
        <v>IBU</v>
      </c>
      <c r="P2977" s="65">
        <f>VLOOKUP(E2977,DATABASE!C:Q,9,False)</f>
        <v>1</v>
      </c>
      <c r="Q2977" s="93" t="str">
        <f>VLOOKUP(E2977,DATABASE!C:Q,4,false)</f>
        <v>Bridgestone</v>
      </c>
      <c r="R2977" s="93" t="str">
        <f>VLOOKUP(E2977,DATABASE!C:Q,11,false)</f>
        <v>Tire</v>
      </c>
    </row>
    <row r="2978" ht="22.5" customHeight="1">
      <c r="A2978" s="49"/>
      <c r="C2978" s="384">
        <v>45813.0</v>
      </c>
      <c r="D2978" s="65">
        <v>5960.0</v>
      </c>
      <c r="E2978" s="445" t="s">
        <v>256</v>
      </c>
      <c r="F2978" s="386">
        <v>1.0</v>
      </c>
      <c r="G2978" s="74">
        <v>130000.0</v>
      </c>
      <c r="H2978" s="74">
        <v>0.0</v>
      </c>
      <c r="I2978" s="74">
        <f t="shared" si="1"/>
        <v>130000</v>
      </c>
      <c r="J2978" s="74">
        <f>IF(E2978="SERVICE",I2978-(I2978*50%),Vlookup(E2978,DATABASE!C:Q,10,false)*F2978)</f>
        <v>10000</v>
      </c>
      <c r="K2978" s="74">
        <f>VLOOKUP(E2978,DATABASE!C:Q,7,false)</f>
        <v>0</v>
      </c>
      <c r="L2978" s="74">
        <v>0.0</v>
      </c>
      <c r="M2978" s="74">
        <f t="shared" si="2"/>
        <v>0</v>
      </c>
      <c r="N2978" s="74">
        <f t="shared" si="3"/>
        <v>120000</v>
      </c>
      <c r="O2978" s="65" t="str">
        <f>VLOOKUP(E2978,DATABASE!C:Q,8,false)</f>
        <v>IBU</v>
      </c>
      <c r="P2978" s="65">
        <f>VLOOKUP(E2978,DATABASE!C:Q,9,False)</f>
        <v>0</v>
      </c>
      <c r="Q2978" s="93" t="str">
        <f>VLOOKUP(E2978,DATABASE!C:Q,4,false)</f>
        <v>SPOORING</v>
      </c>
      <c r="R2978" s="93" t="str">
        <f>VLOOKUP(E2978,DATABASE!C:Q,11,false)</f>
        <v>SERVICE</v>
      </c>
    </row>
    <row r="2979" ht="22.5" customHeight="1">
      <c r="A2979" s="49"/>
      <c r="C2979" s="384">
        <v>45815.0</v>
      </c>
      <c r="D2979" s="65">
        <v>5870.0</v>
      </c>
      <c r="E2979" s="445" t="s">
        <v>839</v>
      </c>
      <c r="F2979" s="386">
        <v>4.0</v>
      </c>
      <c r="G2979" s="74">
        <v>560000.0</v>
      </c>
      <c r="H2979" s="74">
        <v>0.0</v>
      </c>
      <c r="I2979" s="74">
        <f t="shared" si="1"/>
        <v>2240000</v>
      </c>
      <c r="J2979" s="74">
        <f>IF(E2979="SERVICE",I2979-(I2979*50%),Vlookup(E2979,DATABASE!C:Q,10,false)*F2979)</f>
        <v>0</v>
      </c>
      <c r="K2979" s="74">
        <f>VLOOKUP(E2979,DATABASE!C:Q,7,false)</f>
        <v>512640</v>
      </c>
      <c r="L2979" s="74">
        <v>475700.0</v>
      </c>
      <c r="M2979" s="74">
        <f t="shared" si="2"/>
        <v>480000</v>
      </c>
      <c r="N2979" s="74">
        <f t="shared" si="3"/>
        <v>320000</v>
      </c>
      <c r="O2979" s="65" t="str">
        <f>VLOOKUP(E2979,DATABASE!C:Q,8,false)</f>
        <v>BIAN</v>
      </c>
      <c r="P2979" s="65">
        <f>VLOOKUP(E2979,DATABASE!C:Q,9,False)</f>
        <v>1</v>
      </c>
      <c r="Q2979" s="93" t="str">
        <f>VLOOKUP(E2979,DATABASE!C:Q,4,false)</f>
        <v>GT</v>
      </c>
      <c r="R2979" s="93" t="str">
        <f>VLOOKUP(E2979,DATABASE!C:Q,11,false)</f>
        <v>Tire</v>
      </c>
    </row>
    <row r="2980" ht="22.5" customHeight="1">
      <c r="A2980" s="49"/>
      <c r="C2980" s="384">
        <v>45815.0</v>
      </c>
      <c r="D2980" s="65">
        <v>5870.0</v>
      </c>
      <c r="E2980" s="385" t="s">
        <v>299</v>
      </c>
      <c r="F2980" s="386">
        <v>2.0</v>
      </c>
      <c r="G2980" s="74">
        <v>30000.0</v>
      </c>
      <c r="H2980" s="74">
        <v>0.0</v>
      </c>
      <c r="I2980" s="74">
        <f t="shared" si="1"/>
        <v>60000</v>
      </c>
      <c r="J2980" s="74">
        <f>IF(E2980="SERVICE",I2980-(I2980*50%),Vlookup(E2980,DATABASE!C:Q,10,false)*F2980)</f>
        <v>0</v>
      </c>
      <c r="K2980" s="74">
        <v>0.0</v>
      </c>
      <c r="L2980" s="74">
        <v>0.0</v>
      </c>
      <c r="M2980" s="74">
        <f t="shared" si="2"/>
        <v>0</v>
      </c>
      <c r="N2980" s="74">
        <f t="shared" si="3"/>
        <v>60000</v>
      </c>
      <c r="O2980" s="65" t="str">
        <f>VLOOKUP(E2980,DATABASE!C:Q,8,false)</f>
        <v>BIAN</v>
      </c>
      <c r="P2980" s="65">
        <f>VLOOKUP(E2980,DATABASE!C:Q,9,False)</f>
        <v>0</v>
      </c>
      <c r="Q2980" s="93" t="str">
        <f>VLOOKUP(E2980,DATABASE!C:Q,4,false)</f>
        <v>Balancing</v>
      </c>
      <c r="R2980" s="93" t="str">
        <f>VLOOKUP(E2980,DATABASE!C:Q,11,false)</f>
        <v>COMPLEMENTARY</v>
      </c>
    </row>
    <row r="2981" ht="22.5" customHeight="1">
      <c r="A2981" s="49"/>
      <c r="C2981" s="384">
        <v>45815.0</v>
      </c>
      <c r="D2981" s="65">
        <v>5870.0</v>
      </c>
      <c r="E2981" s="445" t="s">
        <v>256</v>
      </c>
      <c r="F2981" s="386">
        <v>1.0</v>
      </c>
      <c r="G2981" s="74">
        <v>130000.0</v>
      </c>
      <c r="H2981" s="74">
        <v>0.0</v>
      </c>
      <c r="I2981" s="74">
        <f t="shared" si="1"/>
        <v>130000</v>
      </c>
      <c r="J2981" s="74">
        <f>IF(E2981="SERVICE",I2981-(I2981*50%),Vlookup(E2981,DATABASE!C:Q,10,false)*F2981)</f>
        <v>10000</v>
      </c>
      <c r="K2981" s="74">
        <f>VLOOKUP(E2981,DATABASE!C:Q,7,false)</f>
        <v>0</v>
      </c>
      <c r="L2981" s="74">
        <v>0.0</v>
      </c>
      <c r="M2981" s="74">
        <f t="shared" si="2"/>
        <v>0</v>
      </c>
      <c r="N2981" s="74">
        <f t="shared" si="3"/>
        <v>120000</v>
      </c>
      <c r="O2981" s="65" t="str">
        <f>VLOOKUP(E2981,DATABASE!C:Q,8,false)</f>
        <v>IBU</v>
      </c>
      <c r="P2981" s="65">
        <f>VLOOKUP(E2981,DATABASE!C:Q,9,False)</f>
        <v>0</v>
      </c>
      <c r="Q2981" s="93" t="str">
        <f>VLOOKUP(E2981,DATABASE!C:Q,4,false)</f>
        <v>SPOORING</v>
      </c>
      <c r="R2981" s="93" t="str">
        <f>VLOOKUP(E2981,DATABASE!C:Q,11,false)</f>
        <v>SERVICE</v>
      </c>
    </row>
    <row r="2982" ht="22.5" customHeight="1">
      <c r="A2982" s="49"/>
      <c r="C2982" s="384">
        <v>45815.0</v>
      </c>
      <c r="D2982" s="65">
        <v>5870.0</v>
      </c>
      <c r="E2982" s="445" t="s">
        <v>301</v>
      </c>
      <c r="F2982" s="386">
        <v>1.0</v>
      </c>
      <c r="G2982" s="74">
        <v>250000.0</v>
      </c>
      <c r="H2982" s="74">
        <v>0.0</v>
      </c>
      <c r="I2982" s="74">
        <f t="shared" si="1"/>
        <v>250000</v>
      </c>
      <c r="J2982" s="74">
        <f>IF(E2982="SERVICE",I2982-(I2982*50%),Vlookup(E2982,DATABASE!C:Q,10,false)*F2982)</f>
        <v>75000</v>
      </c>
      <c r="K2982" s="74">
        <f>VLOOKUP(E2982,DATABASE!C:Q,7,false)</f>
        <v>75000</v>
      </c>
      <c r="L2982" s="74">
        <v>75000.0</v>
      </c>
      <c r="M2982" s="74">
        <f t="shared" si="2"/>
        <v>75000</v>
      </c>
      <c r="N2982" s="74">
        <f t="shared" si="3"/>
        <v>100000</v>
      </c>
      <c r="O2982" s="65" t="str">
        <f>VLOOKUP(E2982,DATABASE!C:Q,8,false)</f>
        <v>BIAN</v>
      </c>
      <c r="P2982" s="65">
        <f>VLOOKUP(E2982,DATABASE!C:Q,9,False)</f>
        <v>0</v>
      </c>
      <c r="Q2982" s="93" t="str">
        <f>VLOOKUP(E2982,DATABASE!C:Q,4,false)</f>
        <v>Baut Camber</v>
      </c>
      <c r="R2982" s="93" t="str">
        <f>VLOOKUP(E2982,DATABASE!C:Q,11,false)</f>
        <v>COMPLEMENTARY</v>
      </c>
    </row>
    <row r="2983" ht="22.5" customHeight="1">
      <c r="A2983" s="49"/>
      <c r="C2983" s="384">
        <v>45815.0</v>
      </c>
      <c r="D2983" s="65">
        <v>5877.0</v>
      </c>
      <c r="E2983" s="445" t="s">
        <v>256</v>
      </c>
      <c r="F2983" s="386">
        <v>1.0</v>
      </c>
      <c r="G2983" s="74">
        <v>130000.0</v>
      </c>
      <c r="H2983" s="74">
        <v>0.0</v>
      </c>
      <c r="I2983" s="74">
        <f t="shared" si="1"/>
        <v>130000</v>
      </c>
      <c r="J2983" s="74">
        <f>IF(E2983="SERVICE",I2983-(I2983*50%),Vlookup(E2983,DATABASE!C:Q,10,false)*F2983)</f>
        <v>10000</v>
      </c>
      <c r="K2983" s="74">
        <f>VLOOKUP(E2983,DATABASE!C:Q,7,false)</f>
        <v>0</v>
      </c>
      <c r="L2983" s="74">
        <v>0.0</v>
      </c>
      <c r="M2983" s="74">
        <f t="shared" si="2"/>
        <v>0</v>
      </c>
      <c r="N2983" s="74">
        <f t="shared" si="3"/>
        <v>120000</v>
      </c>
      <c r="O2983" s="65" t="str">
        <f>VLOOKUP(E2983,DATABASE!C:Q,8,false)</f>
        <v>IBU</v>
      </c>
      <c r="P2983" s="65">
        <f>VLOOKUP(E2983,DATABASE!C:Q,9,False)</f>
        <v>0</v>
      </c>
      <c r="Q2983" s="93" t="str">
        <f>VLOOKUP(E2983,DATABASE!C:Q,4,false)</f>
        <v>SPOORING</v>
      </c>
      <c r="R2983" s="93" t="str">
        <f>VLOOKUP(E2983,DATABASE!C:Q,11,false)</f>
        <v>SERVICE</v>
      </c>
    </row>
    <row r="2984" ht="22.5" customHeight="1">
      <c r="A2984" s="49"/>
      <c r="C2984" s="384">
        <v>45815.0</v>
      </c>
      <c r="D2984" s="65">
        <v>5961.0</v>
      </c>
      <c r="E2984" s="445" t="s">
        <v>604</v>
      </c>
      <c r="F2984" s="386">
        <v>1.0</v>
      </c>
      <c r="G2984" s="74">
        <v>150000.0</v>
      </c>
      <c r="H2984" s="74">
        <v>0.0</v>
      </c>
      <c r="I2984" s="74">
        <f t="shared" si="1"/>
        <v>150000</v>
      </c>
      <c r="J2984" s="74">
        <f>IF(E2984="SERVICE",I2984-(I2984*50%),Vlookup(E2984,DATABASE!C:Q,10,false)*F2984)</f>
        <v>0</v>
      </c>
      <c r="K2984" s="74">
        <f>VLOOKUP(E2984,DATABASE!C:Q,7,false)</f>
        <v>124000</v>
      </c>
      <c r="L2984" s="74">
        <v>124000.0</v>
      </c>
      <c r="M2984" s="74">
        <f t="shared" si="2"/>
        <v>125000</v>
      </c>
      <c r="N2984" s="74">
        <f t="shared" si="3"/>
        <v>25000</v>
      </c>
      <c r="O2984" s="65" t="str">
        <f>VLOOKUP(E2984,DATABASE!C:Q,8,false)</f>
        <v>BIAN</v>
      </c>
      <c r="P2984" s="65">
        <f>VLOOKUP(E2984,DATABASE!C:Q,9,False)</f>
        <v>1</v>
      </c>
      <c r="Q2984" s="93" t="str">
        <f>VLOOKUP(E2984,DATABASE!C:Q,4,false)</f>
        <v>BD</v>
      </c>
      <c r="R2984" s="93" t="str">
        <f>VLOOKUP(E2984,DATABASE!C:Q,11,false)</f>
        <v>Tire</v>
      </c>
    </row>
    <row r="2985" ht="22.5" customHeight="1">
      <c r="A2985" s="49"/>
      <c r="C2985" s="384">
        <v>45815.0</v>
      </c>
      <c r="D2985" s="65">
        <v>5962.0</v>
      </c>
      <c r="E2985" s="445" t="s">
        <v>271</v>
      </c>
      <c r="F2985" s="386">
        <v>2.0</v>
      </c>
      <c r="G2985" s="74">
        <v>640000.0</v>
      </c>
      <c r="H2985" s="74">
        <v>0.0</v>
      </c>
      <c r="I2985" s="74">
        <f t="shared" si="1"/>
        <v>1280000</v>
      </c>
      <c r="J2985" s="74">
        <f>IF(E2985="SERVICE",I2985-(I2985*50%),Vlookup(E2985,DATABASE!C:Q,10,false)*F2985)</f>
        <v>0</v>
      </c>
      <c r="K2985" s="74">
        <f>VLOOKUP(E2985,DATABASE!C:Q,7,false)</f>
        <v>570000</v>
      </c>
      <c r="L2985" s="74">
        <v>539000.0</v>
      </c>
      <c r="M2985" s="74">
        <f t="shared" si="2"/>
        <v>540000</v>
      </c>
      <c r="N2985" s="74">
        <f t="shared" si="3"/>
        <v>200000</v>
      </c>
      <c r="O2985" s="65" t="str">
        <f>VLOOKUP(E2985,DATABASE!C:Q,8,false)</f>
        <v>IBU</v>
      </c>
      <c r="P2985" s="65">
        <f>VLOOKUP(E2985,DATABASE!C:Q,9,False)</f>
        <v>1</v>
      </c>
      <c r="Q2985" s="93" t="str">
        <f>VLOOKUP(E2985,DATABASE!C:Q,4,false)</f>
        <v>Dunlop</v>
      </c>
      <c r="R2985" s="93" t="str">
        <f>VLOOKUP(E2985,DATABASE!C:Q,11,false)</f>
        <v>Tire</v>
      </c>
    </row>
    <row r="2986" ht="22.5" customHeight="1">
      <c r="A2986" s="49"/>
      <c r="C2986" s="384">
        <v>45815.0</v>
      </c>
      <c r="D2986" s="65">
        <v>5963.0</v>
      </c>
      <c r="E2986" s="445" t="s">
        <v>2140</v>
      </c>
      <c r="F2986" s="386">
        <v>1.0</v>
      </c>
      <c r="G2986" s="74">
        <v>30000.0</v>
      </c>
      <c r="H2986" s="74">
        <v>0.0</v>
      </c>
      <c r="I2986" s="74">
        <f t="shared" si="1"/>
        <v>30000</v>
      </c>
      <c r="J2986" s="74">
        <f>IF(E2986="SERVICE",I2986-(I2986*50%),Vlookup(E2986,DATABASE!C:Q,10,false)*F2986)</f>
        <v>0</v>
      </c>
      <c r="K2986" s="74">
        <f>VLOOKUP(E2986,DATABASE!C:Q,7,false)</f>
        <v>5000</v>
      </c>
      <c r="L2986" s="74">
        <v>0.0</v>
      </c>
      <c r="M2986" s="74">
        <f t="shared" si="2"/>
        <v>0</v>
      </c>
      <c r="N2986" s="74">
        <f t="shared" si="3"/>
        <v>30000</v>
      </c>
      <c r="O2986" s="65" t="str">
        <f>VLOOKUP(E2986,DATABASE!C:Q,8,false)</f>
        <v>IBU</v>
      </c>
      <c r="P2986" s="65">
        <f>VLOOKUP(E2986,DATABASE!C:Q,9,False)</f>
        <v>0</v>
      </c>
      <c r="Q2986" s="93" t="str">
        <f>VLOOKUP(E2986,DATABASE!C:Q,4,false)</f>
        <v>PENTIL + PASANG</v>
      </c>
      <c r="R2986" s="93" t="str">
        <f>VLOOKUP(E2986,DATABASE!C:Q,11,false)</f>
        <v>COMPLEMENTARY</v>
      </c>
    </row>
    <row r="2987" ht="22.5" customHeight="1">
      <c r="A2987" s="49"/>
      <c r="C2987" s="384">
        <v>45815.0</v>
      </c>
      <c r="D2987" s="65">
        <v>5965.0</v>
      </c>
      <c r="E2987" s="385" t="s">
        <v>299</v>
      </c>
      <c r="F2987" s="386">
        <v>2.0</v>
      </c>
      <c r="G2987" s="74">
        <v>30000.0</v>
      </c>
      <c r="H2987" s="74">
        <v>0.0</v>
      </c>
      <c r="I2987" s="74">
        <f t="shared" si="1"/>
        <v>60000</v>
      </c>
      <c r="J2987" s="74">
        <f>IF(E2987="SERVICE",I2987-(I2987*50%),Vlookup(E2987,DATABASE!C:Q,10,false)*F2987)</f>
        <v>0</v>
      </c>
      <c r="K2987" s="74">
        <v>0.0</v>
      </c>
      <c r="L2987" s="74">
        <v>0.0</v>
      </c>
      <c r="M2987" s="74">
        <f t="shared" si="2"/>
        <v>0</v>
      </c>
      <c r="N2987" s="74">
        <f t="shared" si="3"/>
        <v>60000</v>
      </c>
      <c r="O2987" s="65" t="str">
        <f>VLOOKUP(E2987,DATABASE!C:Q,8,false)</f>
        <v>BIAN</v>
      </c>
      <c r="P2987" s="65">
        <f>VLOOKUP(E2987,DATABASE!C:Q,9,False)</f>
        <v>0</v>
      </c>
      <c r="Q2987" s="93" t="str">
        <f>VLOOKUP(E2987,DATABASE!C:Q,4,false)</f>
        <v>Balancing</v>
      </c>
      <c r="R2987" s="93" t="str">
        <f>VLOOKUP(E2987,DATABASE!C:Q,11,false)</f>
        <v>COMPLEMENTARY</v>
      </c>
    </row>
    <row r="2988" ht="22.5" customHeight="1">
      <c r="A2988" s="49"/>
      <c r="C2988" s="384">
        <v>45815.0</v>
      </c>
      <c r="D2988" s="65">
        <v>5965.0</v>
      </c>
      <c r="E2988" s="445" t="s">
        <v>256</v>
      </c>
      <c r="F2988" s="386">
        <v>1.0</v>
      </c>
      <c r="G2988" s="74">
        <v>130000.0</v>
      </c>
      <c r="H2988" s="74">
        <v>0.0</v>
      </c>
      <c r="I2988" s="74">
        <f t="shared" si="1"/>
        <v>130000</v>
      </c>
      <c r="J2988" s="74">
        <f>IF(E2988="SERVICE",I2988-(I2988*50%),Vlookup(E2988,DATABASE!C:Q,10,false)*F2988)</f>
        <v>10000</v>
      </c>
      <c r="K2988" s="74">
        <f>VLOOKUP(E2988,DATABASE!C:Q,7,false)</f>
        <v>0</v>
      </c>
      <c r="L2988" s="74">
        <v>0.0</v>
      </c>
      <c r="M2988" s="74">
        <f t="shared" si="2"/>
        <v>0</v>
      </c>
      <c r="N2988" s="74">
        <f t="shared" si="3"/>
        <v>120000</v>
      </c>
      <c r="O2988" s="65" t="str">
        <f>VLOOKUP(E2988,DATABASE!C:Q,8,false)</f>
        <v>IBU</v>
      </c>
      <c r="P2988" s="65">
        <f>VLOOKUP(E2988,DATABASE!C:Q,9,False)</f>
        <v>0</v>
      </c>
      <c r="Q2988" s="93" t="str">
        <f>VLOOKUP(E2988,DATABASE!C:Q,4,false)</f>
        <v>SPOORING</v>
      </c>
      <c r="R2988" s="93" t="str">
        <f>VLOOKUP(E2988,DATABASE!C:Q,11,false)</f>
        <v>SERVICE</v>
      </c>
    </row>
    <row r="2989" ht="22.5" customHeight="1">
      <c r="A2989" s="49"/>
      <c r="C2989" s="384">
        <v>45815.0</v>
      </c>
      <c r="D2989" s="65">
        <v>5966.0</v>
      </c>
      <c r="E2989" s="445" t="s">
        <v>256</v>
      </c>
      <c r="F2989" s="386">
        <v>1.0</v>
      </c>
      <c r="G2989" s="74">
        <v>150000.0</v>
      </c>
      <c r="H2989" s="74">
        <v>0.0</v>
      </c>
      <c r="I2989" s="74">
        <f t="shared" si="1"/>
        <v>150000</v>
      </c>
      <c r="J2989" s="74">
        <f>IF(E2989="SERVICE",I2989-(I2989*50%),Vlookup(E2989,DATABASE!C:Q,10,false)*F2989)</f>
        <v>10000</v>
      </c>
      <c r="K2989" s="74">
        <f>VLOOKUP(E2989,DATABASE!C:Q,7,false)</f>
        <v>0</v>
      </c>
      <c r="L2989" s="74">
        <v>0.0</v>
      </c>
      <c r="M2989" s="74">
        <f t="shared" si="2"/>
        <v>0</v>
      </c>
      <c r="N2989" s="74">
        <f t="shared" si="3"/>
        <v>140000</v>
      </c>
      <c r="O2989" s="65" t="str">
        <f>VLOOKUP(E2989,DATABASE!C:Q,8,false)</f>
        <v>IBU</v>
      </c>
      <c r="P2989" s="65">
        <f>VLOOKUP(E2989,DATABASE!C:Q,9,False)</f>
        <v>0</v>
      </c>
      <c r="Q2989" s="93" t="str">
        <f>VLOOKUP(E2989,DATABASE!C:Q,4,false)</f>
        <v>SPOORING</v>
      </c>
      <c r="R2989" s="93" t="str">
        <f>VLOOKUP(E2989,DATABASE!C:Q,11,false)</f>
        <v>SERVICE</v>
      </c>
    </row>
    <row r="2990" ht="22.5" customHeight="1">
      <c r="A2990" s="49"/>
      <c r="C2990" s="384">
        <v>45815.0</v>
      </c>
      <c r="D2990" s="65">
        <v>5966.0</v>
      </c>
      <c r="E2990" s="445" t="s">
        <v>251</v>
      </c>
      <c r="F2990" s="386">
        <v>1.0</v>
      </c>
      <c r="G2990" s="74">
        <v>150000.0</v>
      </c>
      <c r="H2990" s="74">
        <v>0.0</v>
      </c>
      <c r="I2990" s="74">
        <f t="shared" si="1"/>
        <v>150000</v>
      </c>
      <c r="J2990" s="74">
        <f>IF(E2990="SERVICE",I2990-(I2990*50%),Vlookup(E2990,DATABASE!C:Q,10,false)*F2990)</f>
        <v>75000</v>
      </c>
      <c r="K2990" s="74">
        <f>VLOOKUP(E2990,DATABASE!C:Q,7,false)</f>
        <v>0</v>
      </c>
      <c r="L2990" s="74">
        <v>0.0</v>
      </c>
      <c r="M2990" s="74">
        <f t="shared" si="2"/>
        <v>0</v>
      </c>
      <c r="N2990" s="74">
        <f t="shared" si="3"/>
        <v>75000</v>
      </c>
      <c r="O2990" s="65" t="str">
        <f>VLOOKUP(E2990,DATABASE!C:Q,8,false)</f>
        <v>IBU</v>
      </c>
      <c r="P2990" s="65">
        <f>VLOOKUP(E2990,DATABASE!C:Q,9,False)</f>
        <v>0</v>
      </c>
      <c r="Q2990" s="93" t="str">
        <f>VLOOKUP(E2990,DATABASE!C:Q,4,false)</f>
        <v>SERVICE</v>
      </c>
      <c r="R2990" s="93" t="str">
        <f>VLOOKUP(E2990,DATABASE!C:Q,11,false)</f>
        <v>SERVICE</v>
      </c>
    </row>
    <row r="2991" ht="22.5" customHeight="1">
      <c r="A2991" s="49"/>
      <c r="C2991" s="384">
        <v>45815.0</v>
      </c>
      <c r="D2991" s="65">
        <v>5967.0</v>
      </c>
      <c r="E2991" s="445" t="s">
        <v>288</v>
      </c>
      <c r="F2991" s="386">
        <v>2.0</v>
      </c>
      <c r="G2991" s="74">
        <v>620000.0</v>
      </c>
      <c r="H2991" s="74">
        <v>0.0</v>
      </c>
      <c r="I2991" s="74">
        <f t="shared" si="1"/>
        <v>1240000</v>
      </c>
      <c r="J2991" s="74">
        <f>IF(E2991="SERVICE",I2991-(I2991*50%),Vlookup(E2991,DATABASE!C:Q,10,false)*F2991)</f>
        <v>0</v>
      </c>
      <c r="K2991" s="74">
        <f>VLOOKUP(E2991,DATABASE!C:Q,7,false)</f>
        <v>565760</v>
      </c>
      <c r="L2991" s="74">
        <v>524800.0</v>
      </c>
      <c r="M2991" s="74">
        <f t="shared" si="2"/>
        <v>525000</v>
      </c>
      <c r="N2991" s="74">
        <f t="shared" si="3"/>
        <v>190000</v>
      </c>
      <c r="O2991" s="65" t="str">
        <f>VLOOKUP(E2991,DATABASE!C:Q,8,false)</f>
        <v>BIAN</v>
      </c>
      <c r="P2991" s="65">
        <f>VLOOKUP(E2991,DATABASE!C:Q,9,False)</f>
        <v>1</v>
      </c>
      <c r="Q2991" s="93" t="str">
        <f>VLOOKUP(E2991,DATABASE!C:Q,4,false)</f>
        <v>GT</v>
      </c>
      <c r="R2991" s="93" t="str">
        <f>VLOOKUP(E2991,DATABASE!C:Q,11,false)</f>
        <v>Tire</v>
      </c>
    </row>
    <row r="2992" ht="22.5" customHeight="1">
      <c r="A2992" s="49"/>
      <c r="C2992" s="384">
        <v>45815.0</v>
      </c>
      <c r="D2992" s="65">
        <v>5968.0</v>
      </c>
      <c r="E2992" s="445" t="s">
        <v>256</v>
      </c>
      <c r="F2992" s="386">
        <v>1.0</v>
      </c>
      <c r="G2992" s="74">
        <v>150000.0</v>
      </c>
      <c r="H2992" s="74">
        <v>0.0</v>
      </c>
      <c r="I2992" s="74">
        <f t="shared" si="1"/>
        <v>150000</v>
      </c>
      <c r="J2992" s="74">
        <f>IF(E2992="SERVICE",I2992-(I2992*50%),Vlookup(E2992,DATABASE!C:Q,10,false)*F2992)</f>
        <v>10000</v>
      </c>
      <c r="K2992" s="74">
        <f>VLOOKUP(E2992,DATABASE!C:Q,7,false)</f>
        <v>0</v>
      </c>
      <c r="L2992" s="74">
        <v>0.0</v>
      </c>
      <c r="M2992" s="74">
        <f t="shared" si="2"/>
        <v>0</v>
      </c>
      <c r="N2992" s="74">
        <f t="shared" si="3"/>
        <v>140000</v>
      </c>
      <c r="O2992" s="65" t="str">
        <f>VLOOKUP(E2992,DATABASE!C:Q,8,false)</f>
        <v>IBU</v>
      </c>
      <c r="P2992" s="65">
        <f>VLOOKUP(E2992,DATABASE!C:Q,9,False)</f>
        <v>0</v>
      </c>
      <c r="Q2992" s="93" t="str">
        <f>VLOOKUP(E2992,DATABASE!C:Q,4,false)</f>
        <v>SPOORING</v>
      </c>
      <c r="R2992" s="93" t="str">
        <f>VLOOKUP(E2992,DATABASE!C:Q,11,false)</f>
        <v>SERVICE</v>
      </c>
    </row>
    <row r="2993" ht="22.5" customHeight="1">
      <c r="A2993" s="49"/>
      <c r="C2993" s="384">
        <v>45815.0</v>
      </c>
      <c r="D2993" s="65">
        <v>5968.0</v>
      </c>
      <c r="E2993" s="445" t="s">
        <v>251</v>
      </c>
      <c r="F2993" s="386">
        <v>1.0</v>
      </c>
      <c r="G2993" s="74">
        <v>150000.0</v>
      </c>
      <c r="H2993" s="74">
        <v>0.0</v>
      </c>
      <c r="I2993" s="74">
        <f t="shared" si="1"/>
        <v>150000</v>
      </c>
      <c r="J2993" s="74">
        <f>IF(E2993="SERVICE",I2993-(I2993*50%),Vlookup(E2993,DATABASE!C:Q,10,false)*F2993)</f>
        <v>75000</v>
      </c>
      <c r="K2993" s="74">
        <f>VLOOKUP(E2993,DATABASE!C:Q,7,false)</f>
        <v>0</v>
      </c>
      <c r="L2993" s="74">
        <v>0.0</v>
      </c>
      <c r="M2993" s="74">
        <f t="shared" si="2"/>
        <v>0</v>
      </c>
      <c r="N2993" s="74">
        <f t="shared" si="3"/>
        <v>75000</v>
      </c>
      <c r="O2993" s="65" t="str">
        <f>VLOOKUP(E2993,DATABASE!C:Q,8,false)</f>
        <v>IBU</v>
      </c>
      <c r="P2993" s="65">
        <f>VLOOKUP(E2993,DATABASE!C:Q,9,False)</f>
        <v>0</v>
      </c>
      <c r="Q2993" s="93" t="str">
        <f>VLOOKUP(E2993,DATABASE!C:Q,4,false)</f>
        <v>SERVICE</v>
      </c>
      <c r="R2993" s="93" t="str">
        <f>VLOOKUP(E2993,DATABASE!C:Q,11,false)</f>
        <v>SERVICE</v>
      </c>
    </row>
    <row r="2994" ht="22.5" customHeight="1">
      <c r="A2994" s="49"/>
      <c r="C2994" s="384">
        <v>45815.0</v>
      </c>
      <c r="D2994" s="65">
        <v>5968.0</v>
      </c>
      <c r="E2994" s="385" t="s">
        <v>299</v>
      </c>
      <c r="F2994" s="386">
        <v>2.0</v>
      </c>
      <c r="G2994" s="74">
        <v>35000.0</v>
      </c>
      <c r="H2994" s="74">
        <v>0.0</v>
      </c>
      <c r="I2994" s="74">
        <f t="shared" si="1"/>
        <v>70000</v>
      </c>
      <c r="J2994" s="74">
        <f>IF(E2994="SERVICE",I2994-(I2994*50%),Vlookup(E2994,DATABASE!C:Q,10,false)*F2994)</f>
        <v>0</v>
      </c>
      <c r="K2994" s="74">
        <v>0.0</v>
      </c>
      <c r="L2994" s="74">
        <v>0.0</v>
      </c>
      <c r="M2994" s="74">
        <f t="shared" si="2"/>
        <v>0</v>
      </c>
      <c r="N2994" s="74">
        <f t="shared" si="3"/>
        <v>70000</v>
      </c>
      <c r="O2994" s="65" t="str">
        <f>VLOOKUP(E2994,DATABASE!C:Q,8,false)</f>
        <v>BIAN</v>
      </c>
      <c r="P2994" s="65">
        <f>VLOOKUP(E2994,DATABASE!C:Q,9,False)</f>
        <v>0</v>
      </c>
      <c r="Q2994" s="93" t="str">
        <f>VLOOKUP(E2994,DATABASE!C:Q,4,false)</f>
        <v>Balancing</v>
      </c>
      <c r="R2994" s="93" t="str">
        <f>VLOOKUP(E2994,DATABASE!C:Q,11,false)</f>
        <v>COMPLEMENTARY</v>
      </c>
    </row>
    <row r="2995" ht="22.5" customHeight="1">
      <c r="A2995" s="49"/>
      <c r="C2995" s="384">
        <v>45815.0</v>
      </c>
      <c r="D2995" s="65">
        <v>5969.0</v>
      </c>
      <c r="E2995" s="385" t="s">
        <v>299</v>
      </c>
      <c r="F2995" s="386">
        <v>2.0</v>
      </c>
      <c r="G2995" s="74">
        <v>35000.0</v>
      </c>
      <c r="H2995" s="74">
        <v>0.0</v>
      </c>
      <c r="I2995" s="74">
        <f t="shared" si="1"/>
        <v>70000</v>
      </c>
      <c r="J2995" s="74">
        <f>IF(E2995="SERVICE",I2995-(I2995*50%),Vlookup(E2995,DATABASE!C:Q,10,false)*F2995)</f>
        <v>0</v>
      </c>
      <c r="K2995" s="74">
        <v>0.0</v>
      </c>
      <c r="L2995" s="74">
        <v>0.0</v>
      </c>
      <c r="M2995" s="74">
        <f t="shared" si="2"/>
        <v>0</v>
      </c>
      <c r="N2995" s="74">
        <f t="shared" si="3"/>
        <v>70000</v>
      </c>
      <c r="O2995" s="65" t="str">
        <f>VLOOKUP(E2995,DATABASE!C:Q,8,false)</f>
        <v>BIAN</v>
      </c>
      <c r="P2995" s="65">
        <f>VLOOKUP(E2995,DATABASE!C:Q,9,False)</f>
        <v>0</v>
      </c>
      <c r="Q2995" s="93" t="str">
        <f>VLOOKUP(E2995,DATABASE!C:Q,4,false)</f>
        <v>Balancing</v>
      </c>
      <c r="R2995" s="93" t="str">
        <f>VLOOKUP(E2995,DATABASE!C:Q,11,false)</f>
        <v>COMPLEMENTARY</v>
      </c>
    </row>
    <row r="2996" ht="22.5" customHeight="1">
      <c r="A2996" s="49"/>
      <c r="C2996" s="384">
        <v>45815.0</v>
      </c>
      <c r="D2996" s="65">
        <v>5971.0</v>
      </c>
      <c r="E2996" s="445" t="s">
        <v>246</v>
      </c>
      <c r="F2996" s="386">
        <v>2.0</v>
      </c>
      <c r="G2996" s="74">
        <v>35000.0</v>
      </c>
      <c r="H2996" s="74">
        <v>0.0</v>
      </c>
      <c r="I2996" s="74">
        <f t="shared" si="1"/>
        <v>70000</v>
      </c>
      <c r="J2996" s="74">
        <f>IF(E2996="SERVICE",I2996-(I2996*50%),Vlookup(E2996,DATABASE!C:Q,10,false)*F2996)</f>
        <v>0</v>
      </c>
      <c r="K2996" s="74">
        <f>VLOOKUP(E2996,DATABASE!C:Q,7,false)</f>
        <v>0</v>
      </c>
      <c r="L2996" s="74">
        <v>0.0</v>
      </c>
      <c r="M2996" s="74">
        <f t="shared" si="2"/>
        <v>0</v>
      </c>
      <c r="N2996" s="74">
        <f t="shared" si="3"/>
        <v>70000</v>
      </c>
      <c r="O2996" s="65" t="str">
        <f>VLOOKUP(E2996,DATABASE!C:Q,8,false)</f>
        <v>IBU</v>
      </c>
      <c r="P2996" s="65">
        <f>VLOOKUP(E2996,DATABASE!C:Q,9,False)</f>
        <v>0</v>
      </c>
      <c r="Q2996" s="93" t="str">
        <f>VLOOKUP(E2996,DATABASE!C:Q,4,false)</f>
        <v>Bongkar Pasang</v>
      </c>
      <c r="R2996" s="93" t="str">
        <f>VLOOKUP(E2996,DATABASE!C:Q,11,false)</f>
        <v>SERVICE</v>
      </c>
    </row>
    <row r="2997" ht="22.5" customHeight="1">
      <c r="A2997" s="49"/>
      <c r="C2997" s="384">
        <v>45815.0</v>
      </c>
      <c r="D2997" s="65">
        <v>5971.0</v>
      </c>
      <c r="E2997" s="385" t="s">
        <v>299</v>
      </c>
      <c r="F2997" s="386">
        <v>2.0</v>
      </c>
      <c r="G2997" s="74">
        <v>30000.0</v>
      </c>
      <c r="H2997" s="74">
        <v>0.0</v>
      </c>
      <c r="I2997" s="74">
        <f t="shared" si="1"/>
        <v>60000</v>
      </c>
      <c r="J2997" s="74">
        <f>IF(E2997="SERVICE",I2997-(I2997*50%),Vlookup(E2997,DATABASE!C:Q,10,false)*F2997)</f>
        <v>0</v>
      </c>
      <c r="K2997" s="74">
        <v>0.0</v>
      </c>
      <c r="L2997" s="74">
        <v>0.0</v>
      </c>
      <c r="M2997" s="74">
        <f t="shared" si="2"/>
        <v>0</v>
      </c>
      <c r="N2997" s="74">
        <f t="shared" si="3"/>
        <v>60000</v>
      </c>
      <c r="O2997" s="65" t="str">
        <f>VLOOKUP(E2997,DATABASE!C:Q,8,false)</f>
        <v>BIAN</v>
      </c>
      <c r="P2997" s="65">
        <f>VLOOKUP(E2997,DATABASE!C:Q,9,False)</f>
        <v>0</v>
      </c>
      <c r="Q2997" s="93" t="str">
        <f>VLOOKUP(E2997,DATABASE!C:Q,4,false)</f>
        <v>Balancing</v>
      </c>
      <c r="R2997" s="93" t="str">
        <f>VLOOKUP(E2997,DATABASE!C:Q,11,false)</f>
        <v>COMPLEMENTARY</v>
      </c>
    </row>
    <row r="2998" ht="22.5" customHeight="1">
      <c r="A2998" s="49"/>
      <c r="C2998" s="384">
        <v>45815.0</v>
      </c>
      <c r="D2998" s="65">
        <v>5972.0</v>
      </c>
      <c r="E2998" s="445" t="s">
        <v>268</v>
      </c>
      <c r="F2998" s="386">
        <v>1.0</v>
      </c>
      <c r="G2998" s="74">
        <v>720000.0</v>
      </c>
      <c r="H2998" s="74">
        <v>0.0</v>
      </c>
      <c r="I2998" s="74">
        <f t="shared" si="1"/>
        <v>720000</v>
      </c>
      <c r="J2998" s="74">
        <f>IF(E2998="SERVICE",I2998-(I2998*50%),Vlookup(E2998,DATABASE!C:Q,10,false)*F2998)</f>
        <v>0</v>
      </c>
      <c r="K2998" s="74">
        <f>VLOOKUP(E2998,DATABASE!C:Q,7,false)</f>
        <v>653000</v>
      </c>
      <c r="L2998" s="74">
        <v>622000.0</v>
      </c>
      <c r="M2998" s="74">
        <f t="shared" si="2"/>
        <v>625000</v>
      </c>
      <c r="N2998" s="74">
        <f t="shared" si="3"/>
        <v>95000</v>
      </c>
      <c r="O2998" s="65" t="str">
        <f>VLOOKUP(E2998,DATABASE!C:Q,8,false)</f>
        <v>IBU</v>
      </c>
      <c r="P2998" s="65">
        <f>VLOOKUP(E2998,DATABASE!C:Q,9,False)</f>
        <v>1</v>
      </c>
      <c r="Q2998" s="93" t="str">
        <f>VLOOKUP(E2998,DATABASE!C:Q,4,false)</f>
        <v>Dunlop</v>
      </c>
      <c r="R2998" s="93" t="str">
        <f>VLOOKUP(E2998,DATABASE!C:Q,11,false)</f>
        <v>Tire</v>
      </c>
    </row>
    <row r="2999" ht="22.5" customHeight="1">
      <c r="A2999" s="49"/>
      <c r="C2999" s="384">
        <v>45815.0</v>
      </c>
      <c r="D2999" s="65">
        <v>5973.0</v>
      </c>
      <c r="E2999" s="445" t="s">
        <v>246</v>
      </c>
      <c r="F2999" s="386">
        <v>1.0</v>
      </c>
      <c r="G2999" s="74">
        <v>40000.0</v>
      </c>
      <c r="H2999" s="74">
        <v>0.0</v>
      </c>
      <c r="I2999" s="74">
        <f t="shared" si="1"/>
        <v>40000</v>
      </c>
      <c r="J2999" s="74">
        <f>IF(E2999="SERVICE",I2999-(I2999*50%),Vlookup(E2999,DATABASE!C:Q,10,false)*F2999)</f>
        <v>0</v>
      </c>
      <c r="K2999" s="74">
        <f>VLOOKUP(E2999,DATABASE!C:Q,7,false)</f>
        <v>0</v>
      </c>
      <c r="L2999" s="74">
        <v>0.0</v>
      </c>
      <c r="M2999" s="74">
        <f t="shared" si="2"/>
        <v>0</v>
      </c>
      <c r="N2999" s="74">
        <f t="shared" si="3"/>
        <v>40000</v>
      </c>
      <c r="O2999" s="65" t="str">
        <f>VLOOKUP(E2999,DATABASE!C:Q,8,false)</f>
        <v>IBU</v>
      </c>
      <c r="P2999" s="65">
        <f>VLOOKUP(E2999,DATABASE!C:Q,9,False)</f>
        <v>0</v>
      </c>
      <c r="Q2999" s="93" t="str">
        <f>VLOOKUP(E2999,DATABASE!C:Q,4,false)</f>
        <v>Bongkar Pasang</v>
      </c>
      <c r="R2999" s="93" t="str">
        <f>VLOOKUP(E2999,DATABASE!C:Q,11,false)</f>
        <v>SERVICE</v>
      </c>
    </row>
    <row r="3000" ht="22.5" customHeight="1">
      <c r="A3000" s="49"/>
      <c r="C3000" s="384">
        <v>45815.0</v>
      </c>
      <c r="D3000" s="65">
        <v>5974.0</v>
      </c>
      <c r="E3000" s="445" t="s">
        <v>1867</v>
      </c>
      <c r="F3000" s="386">
        <v>1.0</v>
      </c>
      <c r="G3000" s="74">
        <v>650000.0</v>
      </c>
      <c r="H3000" s="74">
        <v>0.0</v>
      </c>
      <c r="I3000" s="74">
        <f t="shared" si="1"/>
        <v>650000</v>
      </c>
      <c r="J3000" s="74">
        <f>IF(E3000="SERVICE",I3000-(I3000*50%),Vlookup(E3000,DATABASE!C:Q,10,false)*F3000)</f>
        <v>0</v>
      </c>
      <c r="K3000" s="74">
        <f>VLOOKUP(E3000,DATABASE!C:Q,7,false)</f>
        <v>575200</v>
      </c>
      <c r="L3000" s="74">
        <v>558200.0</v>
      </c>
      <c r="M3000" s="74">
        <f t="shared" si="2"/>
        <v>560000</v>
      </c>
      <c r="N3000" s="74">
        <f t="shared" si="3"/>
        <v>90000</v>
      </c>
      <c r="O3000" s="65" t="str">
        <f>VLOOKUP(E3000,DATABASE!C:Q,8,false)</f>
        <v>BIAN</v>
      </c>
      <c r="P3000" s="65">
        <f>VLOOKUP(E3000,DATABASE!C:Q,9,False)</f>
        <v>1</v>
      </c>
      <c r="Q3000" s="93" t="str">
        <f>VLOOKUP(E3000,DATABASE!C:Q,4,false)</f>
        <v>GT</v>
      </c>
      <c r="R3000" s="93" t="str">
        <f>VLOOKUP(E3000,DATABASE!C:Q,11,false)</f>
        <v>Tire</v>
      </c>
    </row>
    <row r="3001" ht="22.5" customHeight="1">
      <c r="A3001" s="49"/>
      <c r="C3001" s="384">
        <v>45815.0</v>
      </c>
      <c r="D3001" s="65">
        <v>5975.0</v>
      </c>
      <c r="E3001" s="445" t="s">
        <v>262</v>
      </c>
      <c r="F3001" s="386">
        <v>1.0</v>
      </c>
      <c r="G3001" s="74">
        <v>110000.0</v>
      </c>
      <c r="H3001" s="74">
        <v>0.0</v>
      </c>
      <c r="I3001" s="74">
        <f t="shared" si="1"/>
        <v>110000</v>
      </c>
      <c r="J3001" s="74">
        <f>IF(E3001="SERVICE",I3001-(I3001*50%),Vlookup(E3001,DATABASE!C:Q,10,false)*F3001)</f>
        <v>5000</v>
      </c>
      <c r="K3001" s="74">
        <f>VLOOKUP(E3001,DATABASE!C:Q,7,false)</f>
        <v>0</v>
      </c>
      <c r="L3001" s="74">
        <v>0.0</v>
      </c>
      <c r="M3001" s="74">
        <f t="shared" si="2"/>
        <v>0</v>
      </c>
      <c r="N3001" s="74">
        <f t="shared" si="3"/>
        <v>105000</v>
      </c>
      <c r="O3001" s="65" t="str">
        <f>VLOOKUP(E3001,DATABASE!C:Q,8,false)</f>
        <v>IBU</v>
      </c>
      <c r="P3001" s="65">
        <f>VLOOKUP(E3001,DATABASE!C:Q,9,False)</f>
        <v>0</v>
      </c>
      <c r="Q3001" s="93" t="str">
        <f>VLOOKUP(E3001,DATABASE!C:Q,4,false)</f>
        <v>SPOORING SS/CARRY LOS BAK</v>
      </c>
      <c r="R3001" s="93" t="str">
        <f>VLOOKUP(E3001,DATABASE!C:Q,11,false)</f>
        <v>SERVICE</v>
      </c>
    </row>
    <row r="3002" ht="22.5" customHeight="1">
      <c r="A3002" s="49"/>
      <c r="C3002" s="384">
        <v>45815.0</v>
      </c>
      <c r="D3002" s="65">
        <v>5975.0</v>
      </c>
      <c r="E3002" s="445" t="s">
        <v>251</v>
      </c>
      <c r="F3002" s="386">
        <v>1.0</v>
      </c>
      <c r="G3002" s="74">
        <v>150000.0</v>
      </c>
      <c r="H3002" s="74">
        <v>0.0</v>
      </c>
      <c r="I3002" s="74">
        <f t="shared" si="1"/>
        <v>150000</v>
      </c>
      <c r="J3002" s="74">
        <f>IF(E3002="SERVICE",I3002-(I3002*50%),Vlookup(E3002,DATABASE!C:Q,10,false)*F3002)</f>
        <v>75000</v>
      </c>
      <c r="K3002" s="74">
        <f>VLOOKUP(E3002,DATABASE!C:Q,7,false)</f>
        <v>0</v>
      </c>
      <c r="L3002" s="74">
        <v>0.0</v>
      </c>
      <c r="M3002" s="74">
        <f t="shared" si="2"/>
        <v>0</v>
      </c>
      <c r="N3002" s="74">
        <f t="shared" si="3"/>
        <v>75000</v>
      </c>
      <c r="O3002" s="65" t="str">
        <f>VLOOKUP(E3002,DATABASE!C:Q,8,false)</f>
        <v>IBU</v>
      </c>
      <c r="P3002" s="65">
        <f>VLOOKUP(E3002,DATABASE!C:Q,9,False)</f>
        <v>0</v>
      </c>
      <c r="Q3002" s="93" t="str">
        <f>VLOOKUP(E3002,DATABASE!C:Q,4,false)</f>
        <v>SERVICE</v>
      </c>
      <c r="R3002" s="93" t="str">
        <f>VLOOKUP(E3002,DATABASE!C:Q,11,false)</f>
        <v>SERVICE</v>
      </c>
    </row>
    <row r="3003" ht="22.5" customHeight="1">
      <c r="A3003" s="49"/>
      <c r="C3003" s="384">
        <v>45815.0</v>
      </c>
      <c r="D3003" s="65">
        <v>5976.0</v>
      </c>
      <c r="E3003" s="445" t="s">
        <v>282</v>
      </c>
      <c r="F3003" s="386">
        <v>2.0</v>
      </c>
      <c r="G3003" s="74">
        <v>880000.0</v>
      </c>
      <c r="H3003" s="74">
        <v>0.0</v>
      </c>
      <c r="I3003" s="74">
        <f t="shared" si="1"/>
        <v>1760000</v>
      </c>
      <c r="J3003" s="74">
        <f>IF(E3003="SERVICE",I3003-(I3003*50%),Vlookup(E3003,DATABASE!C:Q,10,false)*F3003)</f>
        <v>0</v>
      </c>
      <c r="K3003" s="74">
        <f>VLOOKUP(E3003,DATABASE!C:Q,7,false)</f>
        <v>779500</v>
      </c>
      <c r="L3003" s="74">
        <v>771000.0</v>
      </c>
      <c r="M3003" s="74">
        <f t="shared" si="2"/>
        <v>775000</v>
      </c>
      <c r="N3003" s="74">
        <f t="shared" si="3"/>
        <v>210000</v>
      </c>
      <c r="O3003" s="65" t="str">
        <f>VLOOKUP(E3003,DATABASE!C:Q,8,false)</f>
        <v>IBU</v>
      </c>
      <c r="P3003" s="65">
        <f>VLOOKUP(E3003,DATABASE!C:Q,9,False)</f>
        <v>1</v>
      </c>
      <c r="Q3003" s="93" t="str">
        <f>VLOOKUP(E3003,DATABASE!C:Q,4,false)</f>
        <v>Dunlop</v>
      </c>
      <c r="R3003" s="93" t="str">
        <f>VLOOKUP(E3003,DATABASE!C:Q,11,false)</f>
        <v>Tire</v>
      </c>
    </row>
    <row r="3004" ht="22.5" customHeight="1">
      <c r="A3004" s="49"/>
      <c r="C3004" s="384">
        <v>45815.0</v>
      </c>
      <c r="D3004" s="65">
        <v>5978.0</v>
      </c>
      <c r="E3004" s="445" t="s">
        <v>932</v>
      </c>
      <c r="F3004" s="386">
        <v>2.0</v>
      </c>
      <c r="G3004" s="74">
        <v>700000.0</v>
      </c>
      <c r="H3004" s="74">
        <v>0.0</v>
      </c>
      <c r="I3004" s="74">
        <f t="shared" si="1"/>
        <v>1400000</v>
      </c>
      <c r="J3004" s="74">
        <f>IF(E3004="SERVICE",I3004-(I3004*50%),Vlookup(E3004,DATABASE!C:Q,10,false)*F3004)</f>
        <v>0</v>
      </c>
      <c r="K3004" s="74">
        <f>VLOOKUP(E3004,DATABASE!C:Q,7,false)</f>
        <v>601000</v>
      </c>
      <c r="L3004" s="74">
        <v>595000.0</v>
      </c>
      <c r="M3004" s="74">
        <f t="shared" si="2"/>
        <v>595000</v>
      </c>
      <c r="N3004" s="74">
        <f t="shared" si="3"/>
        <v>210000</v>
      </c>
      <c r="O3004" s="65" t="str">
        <f>VLOOKUP(E3004,DATABASE!C:Q,8,false)</f>
        <v>IBU</v>
      </c>
      <c r="P3004" s="65">
        <f>VLOOKUP(E3004,DATABASE!C:Q,9,False)</f>
        <v>1</v>
      </c>
      <c r="Q3004" s="93" t="str">
        <f>VLOOKUP(E3004,DATABASE!C:Q,4,false)</f>
        <v>Dunlop</v>
      </c>
      <c r="R3004" s="93" t="str">
        <f>VLOOKUP(E3004,DATABASE!C:Q,11,false)</f>
        <v>Tire</v>
      </c>
    </row>
    <row r="3005" ht="22.5" customHeight="1">
      <c r="A3005" s="49"/>
      <c r="C3005" s="384">
        <v>45815.0</v>
      </c>
      <c r="D3005" s="65">
        <v>5978.0</v>
      </c>
      <c r="E3005" s="445" t="s">
        <v>268</v>
      </c>
      <c r="F3005" s="386">
        <v>4.0</v>
      </c>
      <c r="G3005" s="74">
        <v>720000.0</v>
      </c>
      <c r="H3005" s="74">
        <v>0.0</v>
      </c>
      <c r="I3005" s="74">
        <f t="shared" si="1"/>
        <v>2880000</v>
      </c>
      <c r="J3005" s="74">
        <f>IF(E3005="SERVICE",I3005-(I3005*50%),Vlookup(E3005,DATABASE!C:Q,10,false)*F3005)</f>
        <v>0</v>
      </c>
      <c r="K3005" s="74">
        <f>VLOOKUP(E3005,DATABASE!C:Q,7,false)</f>
        <v>653000</v>
      </c>
      <c r="L3005" s="74">
        <v>622000.0</v>
      </c>
      <c r="M3005" s="74">
        <f t="shared" si="2"/>
        <v>625000</v>
      </c>
      <c r="N3005" s="74">
        <f t="shared" si="3"/>
        <v>380000</v>
      </c>
      <c r="O3005" s="65" t="str">
        <f>VLOOKUP(E3005,DATABASE!C:Q,8,false)</f>
        <v>IBU</v>
      </c>
      <c r="P3005" s="65">
        <f>VLOOKUP(E3005,DATABASE!C:Q,9,False)</f>
        <v>1</v>
      </c>
      <c r="Q3005" s="93" t="str">
        <f>VLOOKUP(E3005,DATABASE!C:Q,4,false)</f>
        <v>Dunlop</v>
      </c>
      <c r="R3005" s="93" t="str">
        <f>VLOOKUP(E3005,DATABASE!C:Q,11,false)</f>
        <v>Tire</v>
      </c>
    </row>
    <row r="3006" ht="22.5" customHeight="1">
      <c r="A3006" s="49"/>
      <c r="C3006" s="384">
        <v>45815.0</v>
      </c>
      <c r="D3006" s="65">
        <v>5978.0</v>
      </c>
      <c r="E3006" s="445" t="s">
        <v>2060</v>
      </c>
      <c r="F3006" s="386">
        <v>2.0</v>
      </c>
      <c r="G3006" s="74">
        <v>600000.0</v>
      </c>
      <c r="H3006" s="74">
        <v>0.0</v>
      </c>
      <c r="I3006" s="74">
        <f t="shared" si="1"/>
        <v>1200000</v>
      </c>
      <c r="J3006" s="74">
        <f>IF(E3006="SERVICE",I3006-(I3006*50%),Vlookup(E3006,DATABASE!C:Q,10,false)*F3006)</f>
        <v>0</v>
      </c>
      <c r="K3006" s="74">
        <f>VLOOKUP(E3006,DATABASE!C:Q,7,false)</f>
        <v>517000</v>
      </c>
      <c r="L3006" s="74">
        <v>517000.0</v>
      </c>
      <c r="M3006" s="74">
        <f t="shared" si="2"/>
        <v>520000</v>
      </c>
      <c r="N3006" s="74">
        <f t="shared" si="3"/>
        <v>160000</v>
      </c>
      <c r="O3006" s="65" t="str">
        <f>VLOOKUP(E3006,DATABASE!C:Q,8,false)</f>
        <v>BIAN</v>
      </c>
      <c r="P3006" s="65">
        <f>VLOOKUP(E3006,DATABASE!C:Q,9,False)</f>
        <v>1</v>
      </c>
      <c r="Q3006" s="93" t="str">
        <f>VLOOKUP(E3006,DATABASE!C:Q,4,false)</f>
        <v>HANKOOK</v>
      </c>
      <c r="R3006" s="93" t="str">
        <f>VLOOKUP(E3006,DATABASE!C:Q,11,false)</f>
        <v>Tire</v>
      </c>
    </row>
    <row r="3007" ht="22.5" customHeight="1">
      <c r="A3007" s="49"/>
      <c r="C3007" s="384">
        <v>45815.0</v>
      </c>
      <c r="D3007" s="65">
        <v>5981.0</v>
      </c>
      <c r="E3007" s="445" t="s">
        <v>604</v>
      </c>
      <c r="F3007" s="386">
        <v>1.0</v>
      </c>
      <c r="G3007" s="74">
        <v>160000.0</v>
      </c>
      <c r="H3007" s="74">
        <v>0.0</v>
      </c>
      <c r="I3007" s="74">
        <f t="shared" si="1"/>
        <v>160000</v>
      </c>
      <c r="J3007" s="74">
        <f>IF(E3007="SERVICE",I3007-(I3007*50%),Vlookup(E3007,DATABASE!C:Q,10,false)*F3007)</f>
        <v>0</v>
      </c>
      <c r="K3007" s="74">
        <f>VLOOKUP(E3007,DATABASE!C:Q,7,false)</f>
        <v>124000</v>
      </c>
      <c r="L3007" s="74">
        <v>124000.0</v>
      </c>
      <c r="M3007" s="74">
        <f t="shared" si="2"/>
        <v>125000</v>
      </c>
      <c r="N3007" s="74">
        <f t="shared" si="3"/>
        <v>35000</v>
      </c>
      <c r="O3007" s="65" t="str">
        <f>VLOOKUP(E3007,DATABASE!C:Q,8,false)</f>
        <v>BIAN</v>
      </c>
      <c r="P3007" s="65">
        <f>VLOOKUP(E3007,DATABASE!C:Q,9,False)</f>
        <v>1</v>
      </c>
      <c r="Q3007" s="93" t="str">
        <f>VLOOKUP(E3007,DATABASE!C:Q,4,false)</f>
        <v>BD</v>
      </c>
      <c r="R3007" s="93" t="str">
        <f>VLOOKUP(E3007,DATABASE!C:Q,11,false)</f>
        <v>Tire</v>
      </c>
    </row>
    <row r="3008" ht="22.5" customHeight="1">
      <c r="A3008" s="49"/>
      <c r="C3008" s="384">
        <v>45815.0</v>
      </c>
      <c r="D3008" s="65">
        <v>5982.0</v>
      </c>
      <c r="E3008" s="445" t="s">
        <v>1009</v>
      </c>
      <c r="F3008" s="386">
        <v>2.0</v>
      </c>
      <c r="G3008" s="74">
        <v>700000.0</v>
      </c>
      <c r="H3008" s="74">
        <v>0.0</v>
      </c>
      <c r="I3008" s="74">
        <f t="shared" si="1"/>
        <v>1400000</v>
      </c>
      <c r="J3008" s="74">
        <f>IF(E3008="SERVICE",I3008-(I3008*50%),Vlookup(E3008,DATABASE!C:Q,10,false)*F3008)</f>
        <v>0</v>
      </c>
      <c r="K3008" s="74">
        <f>VLOOKUP(E3008,DATABASE!C:Q,7,false)</f>
        <v>609800</v>
      </c>
      <c r="L3008" s="74">
        <v>592200.0</v>
      </c>
      <c r="M3008" s="74">
        <f t="shared" si="2"/>
        <v>595000</v>
      </c>
      <c r="N3008" s="74">
        <f t="shared" si="3"/>
        <v>210000</v>
      </c>
      <c r="O3008" s="65" t="str">
        <f>VLOOKUP(E3008,DATABASE!C:Q,8,false)</f>
        <v>BIAN</v>
      </c>
      <c r="P3008" s="65">
        <f>VLOOKUP(E3008,DATABASE!C:Q,9,False)</f>
        <v>1</v>
      </c>
      <c r="Q3008" s="93" t="str">
        <f>VLOOKUP(E3008,DATABASE!C:Q,4,false)</f>
        <v>GT</v>
      </c>
      <c r="R3008" s="93" t="str">
        <f>VLOOKUP(E3008,DATABASE!C:Q,11,false)</f>
        <v>Tire</v>
      </c>
    </row>
    <row r="3009" ht="22.5" customHeight="1">
      <c r="A3009" s="49"/>
      <c r="C3009" s="384">
        <v>45815.0</v>
      </c>
      <c r="D3009" s="65">
        <v>5983.0</v>
      </c>
      <c r="E3009" s="445" t="s">
        <v>275</v>
      </c>
      <c r="F3009" s="386">
        <v>2.0</v>
      </c>
      <c r="G3009" s="74">
        <v>850000.0</v>
      </c>
      <c r="H3009" s="74">
        <v>0.0</v>
      </c>
      <c r="I3009" s="74">
        <f t="shared" si="1"/>
        <v>1700000</v>
      </c>
      <c r="J3009" s="74">
        <f>IF(E3009="SERVICE",I3009-(I3009*50%),Vlookup(E3009,DATABASE!C:Q,10,false)*F3009)</f>
        <v>0</v>
      </c>
      <c r="K3009" s="74">
        <f>VLOOKUP(E3009,DATABASE!C:Q,7,false)</f>
        <v>782000</v>
      </c>
      <c r="L3009" s="74">
        <v>745000.0</v>
      </c>
      <c r="M3009" s="74">
        <f t="shared" si="2"/>
        <v>745000</v>
      </c>
      <c r="N3009" s="74">
        <f t="shared" si="3"/>
        <v>210000</v>
      </c>
      <c r="O3009" s="65" t="str">
        <f>VLOOKUP(E3009,DATABASE!C:Q,8,false)</f>
        <v>IBU</v>
      </c>
      <c r="P3009" s="65">
        <f>VLOOKUP(E3009,DATABASE!C:Q,9,False)</f>
        <v>1</v>
      </c>
      <c r="Q3009" s="93" t="str">
        <f>VLOOKUP(E3009,DATABASE!C:Q,4,false)</f>
        <v>Dunlop</v>
      </c>
      <c r="R3009" s="93" t="str">
        <f>VLOOKUP(E3009,DATABASE!C:Q,11,false)</f>
        <v>Tire</v>
      </c>
    </row>
    <row r="3010" ht="22.5" customHeight="1">
      <c r="A3010" s="49"/>
      <c r="C3010" s="384">
        <v>45816.0</v>
      </c>
      <c r="D3010" s="65">
        <v>591.0</v>
      </c>
      <c r="E3010" s="445" t="s">
        <v>1597</v>
      </c>
      <c r="F3010" s="386">
        <v>1.0</v>
      </c>
      <c r="G3010" s="74">
        <v>645000.0</v>
      </c>
      <c r="H3010" s="74">
        <v>0.0</v>
      </c>
      <c r="I3010" s="74">
        <f t="shared" si="1"/>
        <v>645000</v>
      </c>
      <c r="J3010" s="74">
        <f>IF(E3010="SERVICE",I3010-(I3010*50%),Vlookup(E3010,DATABASE!C:Q,10,false)*F3010)</f>
        <v>0</v>
      </c>
      <c r="K3010" s="74">
        <f>VLOOKUP(E3010,DATABASE!C:Q,7,false)</f>
        <v>560700</v>
      </c>
      <c r="L3010" s="74">
        <v>544300.0</v>
      </c>
      <c r="M3010" s="74">
        <f t="shared" si="2"/>
        <v>545000</v>
      </c>
      <c r="N3010" s="74">
        <f t="shared" si="3"/>
        <v>100000</v>
      </c>
      <c r="O3010" s="65" t="str">
        <f>VLOOKUP(E3010,DATABASE!C:Q,8,false)</f>
        <v>BIAN</v>
      </c>
      <c r="P3010" s="65">
        <f>VLOOKUP(E3010,DATABASE!C:Q,9,False)</f>
        <v>1</v>
      </c>
      <c r="Q3010" s="93" t="str">
        <f>VLOOKUP(E3010,DATABASE!C:Q,4,false)</f>
        <v>GT</v>
      </c>
      <c r="R3010" s="93" t="str">
        <f>VLOOKUP(E3010,DATABASE!C:Q,11,false)</f>
        <v>Tire</v>
      </c>
    </row>
    <row r="3011" ht="22.5" customHeight="1">
      <c r="A3011" s="49"/>
      <c r="C3011" s="384">
        <v>45816.0</v>
      </c>
      <c r="D3011" s="65">
        <v>5984.0</v>
      </c>
      <c r="E3011" s="445" t="s">
        <v>1394</v>
      </c>
      <c r="F3011" s="386">
        <v>4.0</v>
      </c>
      <c r="G3011" s="74">
        <v>540000.0</v>
      </c>
      <c r="H3011" s="74">
        <v>0.0</v>
      </c>
      <c r="I3011" s="74">
        <f t="shared" si="1"/>
        <v>2160000</v>
      </c>
      <c r="J3011" s="74">
        <f>IF(E3011="SERVICE",I3011-(I3011*50%),Vlookup(E3011,DATABASE!C:Q,10,false)*F3011)</f>
        <v>0</v>
      </c>
      <c r="K3011" s="74">
        <f>VLOOKUP(E3011,DATABASE!C:Q,7,false)</f>
        <v>465000</v>
      </c>
      <c r="L3011" s="74">
        <v>455000.0</v>
      </c>
      <c r="M3011" s="74">
        <f t="shared" si="2"/>
        <v>455000</v>
      </c>
      <c r="N3011" s="74">
        <f t="shared" si="3"/>
        <v>340000</v>
      </c>
      <c r="O3011" s="65" t="str">
        <f>VLOOKUP(E3011,DATABASE!C:Q,8,false)</f>
        <v>IBU</v>
      </c>
      <c r="P3011" s="65">
        <f>VLOOKUP(E3011,DATABASE!C:Q,9,False)</f>
        <v>1</v>
      </c>
      <c r="Q3011" s="93" t="str">
        <f>VLOOKUP(E3011,DATABASE!C:Q,4,false)</f>
        <v>Dunlop</v>
      </c>
      <c r="R3011" s="93" t="str">
        <f>VLOOKUP(E3011,DATABASE!C:Q,11,false)</f>
        <v>Tire</v>
      </c>
    </row>
    <row r="3012" ht="22.5" customHeight="1">
      <c r="A3012" s="49"/>
      <c r="C3012" s="384">
        <v>45816.0</v>
      </c>
      <c r="D3012" s="65">
        <v>5984.0</v>
      </c>
      <c r="E3012" s="385" t="s">
        <v>299</v>
      </c>
      <c r="F3012" s="386">
        <v>2.0</v>
      </c>
      <c r="G3012" s="74">
        <v>30000.0</v>
      </c>
      <c r="H3012" s="74">
        <v>0.0</v>
      </c>
      <c r="I3012" s="74">
        <f t="shared" si="1"/>
        <v>60000</v>
      </c>
      <c r="J3012" s="74">
        <f>IF(E3012="SERVICE",I3012-(I3012*50%),Vlookup(E3012,DATABASE!C:Q,10,false)*F3012)</f>
        <v>0</v>
      </c>
      <c r="K3012" s="74">
        <v>0.0</v>
      </c>
      <c r="L3012" s="74">
        <v>0.0</v>
      </c>
      <c r="M3012" s="74">
        <f t="shared" si="2"/>
        <v>0</v>
      </c>
      <c r="N3012" s="74">
        <f t="shared" si="3"/>
        <v>60000</v>
      </c>
      <c r="O3012" s="65" t="str">
        <f>VLOOKUP(E3012,DATABASE!C:Q,8,false)</f>
        <v>BIAN</v>
      </c>
      <c r="P3012" s="65">
        <f>VLOOKUP(E3012,DATABASE!C:Q,9,False)</f>
        <v>0</v>
      </c>
      <c r="Q3012" s="93" t="str">
        <f>VLOOKUP(E3012,DATABASE!C:Q,4,false)</f>
        <v>Balancing</v>
      </c>
      <c r="R3012" s="93" t="str">
        <f>VLOOKUP(E3012,DATABASE!C:Q,11,false)</f>
        <v>COMPLEMENTARY</v>
      </c>
    </row>
    <row r="3013" ht="22.5" customHeight="1">
      <c r="A3013" s="49"/>
      <c r="C3013" s="384">
        <v>45816.0</v>
      </c>
      <c r="D3013" s="65">
        <v>5985.0</v>
      </c>
      <c r="E3013" s="445" t="s">
        <v>600</v>
      </c>
      <c r="F3013" s="386">
        <v>1.0</v>
      </c>
      <c r="G3013" s="74">
        <v>675000.0</v>
      </c>
      <c r="H3013" s="74">
        <v>0.0</v>
      </c>
      <c r="I3013" s="74">
        <f t="shared" si="1"/>
        <v>675000</v>
      </c>
      <c r="J3013" s="74">
        <f>IF(E3013="SERVICE",I3013-(I3013*50%),Vlookup(E3013,DATABASE!C:Q,10,false)*F3013)</f>
        <v>0</v>
      </c>
      <c r="K3013" s="74">
        <f>VLOOKUP(E3013,DATABASE!C:Q,7,false)</f>
        <v>611109.16</v>
      </c>
      <c r="L3013" s="74">
        <v>572762.4</v>
      </c>
      <c r="M3013" s="74">
        <f t="shared" si="2"/>
        <v>575000</v>
      </c>
      <c r="N3013" s="74">
        <f t="shared" si="3"/>
        <v>100000</v>
      </c>
      <c r="O3013" s="65" t="str">
        <f>VLOOKUP(E3013,DATABASE!C:Q,8,false)</f>
        <v>IBU</v>
      </c>
      <c r="P3013" s="65">
        <f>VLOOKUP(E3013,DATABASE!C:Q,9,False)</f>
        <v>1</v>
      </c>
      <c r="Q3013" s="93" t="str">
        <f>VLOOKUP(E3013,DATABASE!C:Q,4,false)</f>
        <v>Bridgestone</v>
      </c>
      <c r="R3013" s="93" t="str">
        <f>VLOOKUP(E3013,DATABASE!C:Q,11,false)</f>
        <v>Tire</v>
      </c>
    </row>
    <row r="3014" ht="22.5" customHeight="1">
      <c r="A3014" s="49"/>
      <c r="C3014" s="384">
        <v>45816.0</v>
      </c>
      <c r="D3014" s="65">
        <v>5985.0</v>
      </c>
      <c r="E3014" s="445" t="s">
        <v>839</v>
      </c>
      <c r="F3014" s="386">
        <v>1.0</v>
      </c>
      <c r="G3014" s="74">
        <v>565000.0</v>
      </c>
      <c r="H3014" s="74">
        <v>0.0</v>
      </c>
      <c r="I3014" s="74">
        <f t="shared" si="1"/>
        <v>565000</v>
      </c>
      <c r="J3014" s="74">
        <f>IF(E3014="SERVICE",I3014-(I3014*50%),Vlookup(E3014,DATABASE!C:Q,10,false)*F3014)</f>
        <v>0</v>
      </c>
      <c r="K3014" s="74">
        <f>VLOOKUP(E3014,DATABASE!C:Q,7,false)</f>
        <v>512640</v>
      </c>
      <c r="L3014" s="74">
        <v>475700.0</v>
      </c>
      <c r="M3014" s="74">
        <f t="shared" si="2"/>
        <v>480000</v>
      </c>
      <c r="N3014" s="74">
        <f t="shared" si="3"/>
        <v>85000</v>
      </c>
      <c r="O3014" s="65" t="str">
        <f>VLOOKUP(E3014,DATABASE!C:Q,8,false)</f>
        <v>BIAN</v>
      </c>
      <c r="P3014" s="65">
        <f>VLOOKUP(E3014,DATABASE!C:Q,9,False)</f>
        <v>1</v>
      </c>
      <c r="Q3014" s="93" t="str">
        <f>VLOOKUP(E3014,DATABASE!C:Q,4,false)</f>
        <v>GT</v>
      </c>
      <c r="R3014" s="93" t="str">
        <f>VLOOKUP(E3014,DATABASE!C:Q,11,false)</f>
        <v>Tire</v>
      </c>
    </row>
    <row r="3015" ht="22.5" customHeight="1">
      <c r="A3015" s="49"/>
      <c r="C3015" s="384">
        <v>45816.0</v>
      </c>
      <c r="D3015" s="65">
        <v>5986.0</v>
      </c>
      <c r="E3015" s="445" t="s">
        <v>600</v>
      </c>
      <c r="F3015" s="386">
        <v>4.0</v>
      </c>
      <c r="G3015" s="74">
        <v>675000.0</v>
      </c>
      <c r="H3015" s="74">
        <v>0.0</v>
      </c>
      <c r="I3015" s="74">
        <f t="shared" si="1"/>
        <v>2700000</v>
      </c>
      <c r="J3015" s="74">
        <f>IF(E3015="SERVICE",I3015-(I3015*50%),Vlookup(E3015,DATABASE!C:Q,10,false)*F3015)</f>
        <v>0</v>
      </c>
      <c r="K3015" s="74">
        <f>VLOOKUP(E3015,DATABASE!C:Q,7,false)</f>
        <v>611109.16</v>
      </c>
      <c r="L3015" s="74">
        <v>572762.4</v>
      </c>
      <c r="M3015" s="74">
        <f t="shared" si="2"/>
        <v>575000</v>
      </c>
      <c r="N3015" s="74">
        <f t="shared" si="3"/>
        <v>400000</v>
      </c>
      <c r="O3015" s="65" t="str">
        <f>VLOOKUP(E3015,DATABASE!C:Q,8,false)</f>
        <v>IBU</v>
      </c>
      <c r="P3015" s="65">
        <f>VLOOKUP(E3015,DATABASE!C:Q,9,False)</f>
        <v>1</v>
      </c>
      <c r="Q3015" s="93" t="str">
        <f>VLOOKUP(E3015,DATABASE!C:Q,4,false)</f>
        <v>Bridgestone</v>
      </c>
      <c r="R3015" s="93" t="str">
        <f>VLOOKUP(E3015,DATABASE!C:Q,11,false)</f>
        <v>Tire</v>
      </c>
    </row>
    <row r="3016" ht="22.5" customHeight="1">
      <c r="A3016" s="49"/>
      <c r="C3016" s="384">
        <v>45816.0</v>
      </c>
      <c r="D3016" s="65">
        <v>5987.0</v>
      </c>
      <c r="E3016" s="445" t="s">
        <v>591</v>
      </c>
      <c r="F3016" s="386">
        <v>1.0</v>
      </c>
      <c r="G3016" s="74">
        <v>700000.0</v>
      </c>
      <c r="H3016" s="74">
        <v>0.0</v>
      </c>
      <c r="I3016" s="74">
        <f t="shared" si="1"/>
        <v>700000</v>
      </c>
      <c r="J3016" s="74">
        <f>IF(E3016="SERVICE",I3016-(I3016*50%),Vlookup(E3016,DATABASE!C:Q,10,false)*F3016)</f>
        <v>0</v>
      </c>
      <c r="K3016" s="74">
        <f>VLOOKUP(E3016,DATABASE!C:Q,7,false)</f>
        <v>633035.16</v>
      </c>
      <c r="L3016" s="74">
        <v>593488.4</v>
      </c>
      <c r="M3016" s="74">
        <f t="shared" si="2"/>
        <v>595000</v>
      </c>
      <c r="N3016" s="74">
        <f t="shared" si="3"/>
        <v>105000</v>
      </c>
      <c r="O3016" s="65" t="str">
        <f>VLOOKUP(E3016,DATABASE!C:Q,8,false)</f>
        <v>IBU</v>
      </c>
      <c r="P3016" s="65">
        <f>VLOOKUP(E3016,DATABASE!C:Q,9,False)</f>
        <v>1</v>
      </c>
      <c r="Q3016" s="93" t="str">
        <f>VLOOKUP(E3016,DATABASE!C:Q,4,false)</f>
        <v>Bridgestone</v>
      </c>
      <c r="R3016" s="93" t="str">
        <f>VLOOKUP(E3016,DATABASE!C:Q,11,false)</f>
        <v>Tire</v>
      </c>
    </row>
    <row r="3017" ht="22.5" customHeight="1">
      <c r="A3017" s="49"/>
      <c r="C3017" s="384">
        <v>45816.0</v>
      </c>
      <c r="D3017" s="65">
        <v>5989.0</v>
      </c>
      <c r="E3017" s="445" t="s">
        <v>614</v>
      </c>
      <c r="F3017" s="386">
        <v>1.0</v>
      </c>
      <c r="G3017" s="74">
        <v>870000.0</v>
      </c>
      <c r="H3017" s="74">
        <v>0.0</v>
      </c>
      <c r="I3017" s="74">
        <f t="shared" si="1"/>
        <v>870000</v>
      </c>
      <c r="J3017" s="74">
        <f>IF(E3017="SERVICE",I3017-(I3017*50%),Vlookup(E3017,DATABASE!C:Q,10,false)*F3017)</f>
        <v>0</v>
      </c>
      <c r="K3017" s="74">
        <f>VLOOKUP(E3017,DATABASE!C:Q,7,false)</f>
        <v>754660.6</v>
      </c>
      <c r="L3017" s="74">
        <v>766438.4</v>
      </c>
      <c r="M3017" s="74">
        <f t="shared" si="2"/>
        <v>770000</v>
      </c>
      <c r="N3017" s="74">
        <f t="shared" si="3"/>
        <v>100000</v>
      </c>
      <c r="O3017" s="65" t="str">
        <f>VLOOKUP(E3017,DATABASE!C:Q,8,false)</f>
        <v>IBU</v>
      </c>
      <c r="P3017" s="65">
        <f>VLOOKUP(E3017,DATABASE!C:Q,9,False)</f>
        <v>1</v>
      </c>
      <c r="Q3017" s="93" t="str">
        <f>VLOOKUP(E3017,DATABASE!C:Q,4,false)</f>
        <v>Bridgestone</v>
      </c>
      <c r="R3017" s="93" t="str">
        <f>VLOOKUP(E3017,DATABASE!C:Q,11,false)</f>
        <v>Tire</v>
      </c>
    </row>
    <row r="3018" ht="22.5" customHeight="1">
      <c r="A3018" s="49"/>
      <c r="C3018" s="384">
        <v>45816.0</v>
      </c>
      <c r="D3018" s="65">
        <v>5989.0</v>
      </c>
      <c r="E3018" s="385" t="s">
        <v>299</v>
      </c>
      <c r="F3018" s="386">
        <v>2.0</v>
      </c>
      <c r="G3018" s="74">
        <v>30000.0</v>
      </c>
      <c r="H3018" s="74">
        <v>0.0</v>
      </c>
      <c r="I3018" s="74">
        <f t="shared" si="1"/>
        <v>60000</v>
      </c>
      <c r="J3018" s="74">
        <f>IF(E3018="SERVICE",I3018-(I3018*50%),Vlookup(E3018,DATABASE!C:Q,10,false)*F3018)</f>
        <v>0</v>
      </c>
      <c r="K3018" s="74">
        <v>0.0</v>
      </c>
      <c r="L3018" s="74">
        <v>0.0</v>
      </c>
      <c r="M3018" s="74">
        <f t="shared" si="2"/>
        <v>0</v>
      </c>
      <c r="N3018" s="74">
        <f t="shared" si="3"/>
        <v>60000</v>
      </c>
      <c r="O3018" s="65" t="str">
        <f>VLOOKUP(E3018,DATABASE!C:Q,8,false)</f>
        <v>BIAN</v>
      </c>
      <c r="P3018" s="65">
        <f>VLOOKUP(E3018,DATABASE!C:Q,9,False)</f>
        <v>0</v>
      </c>
      <c r="Q3018" s="93" t="str">
        <f>VLOOKUP(E3018,DATABASE!C:Q,4,false)</f>
        <v>Balancing</v>
      </c>
      <c r="R3018" s="93" t="str">
        <f>VLOOKUP(E3018,DATABASE!C:Q,11,false)</f>
        <v>COMPLEMENTARY</v>
      </c>
    </row>
    <row r="3019" ht="22.5" customHeight="1">
      <c r="A3019" s="49"/>
      <c r="C3019" s="384">
        <v>45816.0</v>
      </c>
      <c r="D3019" s="65">
        <v>5990.0</v>
      </c>
      <c r="E3019" s="445" t="s">
        <v>932</v>
      </c>
      <c r="F3019" s="386">
        <v>1.0</v>
      </c>
      <c r="G3019" s="74">
        <v>700000.0</v>
      </c>
      <c r="H3019" s="74">
        <v>0.0</v>
      </c>
      <c r="I3019" s="74">
        <f t="shared" si="1"/>
        <v>700000</v>
      </c>
      <c r="J3019" s="74">
        <f>IF(E3019="SERVICE",I3019-(I3019*50%),Vlookup(E3019,DATABASE!C:Q,10,false)*F3019)</f>
        <v>0</v>
      </c>
      <c r="K3019" s="74">
        <f>VLOOKUP(E3019,DATABASE!C:Q,7,false)</f>
        <v>601000</v>
      </c>
      <c r="L3019" s="74">
        <v>595000.0</v>
      </c>
      <c r="M3019" s="74">
        <f t="shared" si="2"/>
        <v>595000</v>
      </c>
      <c r="N3019" s="74">
        <f t="shared" si="3"/>
        <v>105000</v>
      </c>
      <c r="O3019" s="65" t="str">
        <f>VLOOKUP(E3019,DATABASE!C:Q,8,false)</f>
        <v>IBU</v>
      </c>
      <c r="P3019" s="65">
        <f>VLOOKUP(E3019,DATABASE!C:Q,9,False)</f>
        <v>1</v>
      </c>
      <c r="Q3019" s="93" t="str">
        <f>VLOOKUP(E3019,DATABASE!C:Q,4,false)</f>
        <v>Dunlop</v>
      </c>
      <c r="R3019" s="93" t="str">
        <f>VLOOKUP(E3019,DATABASE!C:Q,11,false)</f>
        <v>Tire</v>
      </c>
    </row>
    <row r="3020" ht="22.5" customHeight="1">
      <c r="A3020" s="49"/>
      <c r="C3020" s="384">
        <v>45817.0</v>
      </c>
      <c r="D3020" s="65">
        <v>5992.0</v>
      </c>
      <c r="E3020" s="445" t="s">
        <v>605</v>
      </c>
      <c r="F3020" s="386">
        <v>1.0</v>
      </c>
      <c r="G3020" s="74">
        <v>760000.0</v>
      </c>
      <c r="H3020" s="74">
        <v>0.0</v>
      </c>
      <c r="I3020" s="74">
        <f t="shared" si="1"/>
        <v>760000</v>
      </c>
      <c r="J3020" s="74">
        <f>IF(E3020="SERVICE",I3020-(I3020*50%),Vlookup(E3020,DATABASE!C:Q,10,false)*F3020)</f>
        <v>0</v>
      </c>
      <c r="K3020" s="74">
        <v>670000.0</v>
      </c>
      <c r="L3020" s="74">
        <v>670000.0</v>
      </c>
      <c r="M3020" s="74">
        <f t="shared" si="2"/>
        <v>670000</v>
      </c>
      <c r="N3020" s="74">
        <f t="shared" si="3"/>
        <v>90000</v>
      </c>
      <c r="O3020" s="65" t="str">
        <f>VLOOKUP(E3020,DATABASE!C:Q,8,false)</f>
        <v>IBU</v>
      </c>
      <c r="P3020" s="65">
        <f>VLOOKUP(E3020,DATABASE!C:Q,9,False)</f>
        <v>1</v>
      </c>
      <c r="Q3020" s="93" t="str">
        <f>VLOOKUP(E3020,DATABASE!C:Q,4,false)</f>
        <v>Bridgestone</v>
      </c>
      <c r="R3020" s="93" t="str">
        <f>VLOOKUP(E3020,DATABASE!C:Q,11,false)</f>
        <v>Tire</v>
      </c>
    </row>
    <row r="3021" ht="22.5" customHeight="1">
      <c r="A3021" s="49"/>
      <c r="C3021" s="384">
        <v>45817.0</v>
      </c>
      <c r="D3021" s="65">
        <v>5992.0</v>
      </c>
      <c r="E3021" s="445" t="s">
        <v>250</v>
      </c>
      <c r="F3021" s="386">
        <v>1.0</v>
      </c>
      <c r="G3021" s="74">
        <v>135000.0</v>
      </c>
      <c r="H3021" s="74">
        <v>0.0</v>
      </c>
      <c r="I3021" s="74">
        <f t="shared" si="1"/>
        <v>135000</v>
      </c>
      <c r="J3021" s="74">
        <f>IF(E3021="SERVICE",I3021-(I3021*50%),Vlookup(E3021,DATABASE!C:Q,10,false)*F3021)</f>
        <v>0</v>
      </c>
      <c r="K3021" s="74">
        <f>VLOOKUP(E3021,DATABASE!C:Q,7,false)</f>
        <v>102000</v>
      </c>
      <c r="L3021" s="74">
        <v>102000.0</v>
      </c>
      <c r="M3021" s="74">
        <f t="shared" si="2"/>
        <v>105000</v>
      </c>
      <c r="N3021" s="74">
        <f t="shared" si="3"/>
        <v>30000</v>
      </c>
      <c r="O3021" s="65" t="str">
        <f>VLOOKUP(E3021,DATABASE!C:Q,8,false)</f>
        <v>BIAN</v>
      </c>
      <c r="P3021" s="65">
        <f>VLOOKUP(E3021,DATABASE!C:Q,9,False)</f>
        <v>1</v>
      </c>
      <c r="Q3021" s="93" t="str">
        <f>VLOOKUP(E3021,DATABASE!C:Q,4,false)</f>
        <v>BD</v>
      </c>
      <c r="R3021" s="93" t="str">
        <f>VLOOKUP(E3021,DATABASE!C:Q,11,false)</f>
        <v>Tire</v>
      </c>
    </row>
    <row r="3022" ht="22.5" customHeight="1">
      <c r="A3022" s="49"/>
      <c r="C3022" s="384">
        <v>45817.0</v>
      </c>
      <c r="D3022" s="65">
        <v>5993.0</v>
      </c>
      <c r="E3022" s="445" t="s">
        <v>256</v>
      </c>
      <c r="F3022" s="386">
        <v>1.0</v>
      </c>
      <c r="G3022" s="74">
        <v>130000.0</v>
      </c>
      <c r="H3022" s="74">
        <v>0.0</v>
      </c>
      <c r="I3022" s="74">
        <f t="shared" si="1"/>
        <v>130000</v>
      </c>
      <c r="J3022" s="74">
        <f>IF(E3022="SERVICE",I3022-(I3022*50%),Vlookup(E3022,DATABASE!C:Q,10,false)*F3022)</f>
        <v>10000</v>
      </c>
      <c r="K3022" s="74">
        <f>VLOOKUP(E3022,DATABASE!C:Q,7,false)</f>
        <v>0</v>
      </c>
      <c r="L3022" s="74">
        <v>0.0</v>
      </c>
      <c r="M3022" s="74">
        <f t="shared" si="2"/>
        <v>0</v>
      </c>
      <c r="N3022" s="74">
        <f t="shared" si="3"/>
        <v>120000</v>
      </c>
      <c r="O3022" s="65" t="str">
        <f>VLOOKUP(E3022,DATABASE!C:Q,8,false)</f>
        <v>IBU</v>
      </c>
      <c r="P3022" s="65">
        <f>VLOOKUP(E3022,DATABASE!C:Q,9,False)</f>
        <v>0</v>
      </c>
      <c r="Q3022" s="93" t="str">
        <f>VLOOKUP(E3022,DATABASE!C:Q,4,false)</f>
        <v>SPOORING</v>
      </c>
      <c r="R3022" s="93" t="str">
        <f>VLOOKUP(E3022,DATABASE!C:Q,11,false)</f>
        <v>SERVICE</v>
      </c>
    </row>
    <row r="3023" ht="22.5" customHeight="1">
      <c r="A3023" s="49"/>
      <c r="C3023" s="384">
        <v>45817.0</v>
      </c>
      <c r="D3023" s="65">
        <v>5993.0</v>
      </c>
      <c r="E3023" s="445" t="s">
        <v>301</v>
      </c>
      <c r="F3023" s="386">
        <v>1.0</v>
      </c>
      <c r="G3023" s="74">
        <v>250000.0</v>
      </c>
      <c r="H3023" s="74">
        <v>0.0</v>
      </c>
      <c r="I3023" s="74">
        <f t="shared" si="1"/>
        <v>250000</v>
      </c>
      <c r="J3023" s="74">
        <f>IF(E3023="SERVICE",I3023-(I3023*50%),Vlookup(E3023,DATABASE!C:Q,10,false)*F3023)</f>
        <v>75000</v>
      </c>
      <c r="K3023" s="74">
        <f>VLOOKUP(E3023,DATABASE!C:Q,7,false)</f>
        <v>75000</v>
      </c>
      <c r="L3023" s="74">
        <v>75000.0</v>
      </c>
      <c r="M3023" s="74">
        <f t="shared" si="2"/>
        <v>75000</v>
      </c>
      <c r="N3023" s="74">
        <f t="shared" si="3"/>
        <v>100000</v>
      </c>
      <c r="O3023" s="65" t="str">
        <f>VLOOKUP(E3023,DATABASE!C:Q,8,false)</f>
        <v>BIAN</v>
      </c>
      <c r="P3023" s="65">
        <f>VLOOKUP(E3023,DATABASE!C:Q,9,False)</f>
        <v>0</v>
      </c>
      <c r="Q3023" s="93" t="str">
        <f>VLOOKUP(E3023,DATABASE!C:Q,4,false)</f>
        <v>Baut Camber</v>
      </c>
      <c r="R3023" s="93" t="str">
        <f>VLOOKUP(E3023,DATABASE!C:Q,11,false)</f>
        <v>COMPLEMENTARY</v>
      </c>
    </row>
    <row r="3024" ht="22.5" customHeight="1">
      <c r="A3024" s="49"/>
      <c r="C3024" s="384">
        <v>45817.0</v>
      </c>
      <c r="D3024" s="65">
        <v>5993.0</v>
      </c>
      <c r="E3024" s="385" t="s">
        <v>299</v>
      </c>
      <c r="F3024" s="386">
        <v>2.0</v>
      </c>
      <c r="G3024" s="74">
        <v>35000.0</v>
      </c>
      <c r="H3024" s="74">
        <v>0.0</v>
      </c>
      <c r="I3024" s="74">
        <f t="shared" si="1"/>
        <v>70000</v>
      </c>
      <c r="J3024" s="74">
        <f>IF(E3024="SERVICE",I3024-(I3024*50%),Vlookup(E3024,DATABASE!C:Q,10,false)*F3024)</f>
        <v>0</v>
      </c>
      <c r="K3024" s="74">
        <v>0.0</v>
      </c>
      <c r="L3024" s="74">
        <v>0.0</v>
      </c>
      <c r="M3024" s="74">
        <f t="shared" si="2"/>
        <v>0</v>
      </c>
      <c r="N3024" s="74">
        <f t="shared" si="3"/>
        <v>70000</v>
      </c>
      <c r="O3024" s="65" t="str">
        <f>VLOOKUP(E3024,DATABASE!C:Q,8,false)</f>
        <v>BIAN</v>
      </c>
      <c r="P3024" s="65">
        <f>VLOOKUP(E3024,DATABASE!C:Q,9,False)</f>
        <v>0</v>
      </c>
      <c r="Q3024" s="93" t="str">
        <f>VLOOKUP(E3024,DATABASE!C:Q,4,false)</f>
        <v>Balancing</v>
      </c>
      <c r="R3024" s="93" t="str">
        <f>VLOOKUP(E3024,DATABASE!C:Q,11,false)</f>
        <v>COMPLEMENTARY</v>
      </c>
    </row>
    <row r="3025" ht="22.5" customHeight="1">
      <c r="A3025" s="49"/>
      <c r="C3025" s="384">
        <v>45817.0</v>
      </c>
      <c r="D3025" s="65">
        <v>5994.0</v>
      </c>
      <c r="E3025" s="445" t="s">
        <v>288</v>
      </c>
      <c r="F3025" s="386">
        <v>2.0</v>
      </c>
      <c r="G3025" s="74">
        <v>620000.0</v>
      </c>
      <c r="H3025" s="74">
        <v>0.0</v>
      </c>
      <c r="I3025" s="74">
        <f t="shared" si="1"/>
        <v>1240000</v>
      </c>
      <c r="J3025" s="74">
        <f>IF(E3025="SERVICE",I3025-(I3025*50%),Vlookup(E3025,DATABASE!C:Q,10,false)*F3025)</f>
        <v>0</v>
      </c>
      <c r="K3025" s="74">
        <f>VLOOKUP(E3025,DATABASE!C:Q,7,false)</f>
        <v>565760</v>
      </c>
      <c r="L3025" s="74">
        <v>524800.0</v>
      </c>
      <c r="M3025" s="74">
        <f t="shared" si="2"/>
        <v>525000</v>
      </c>
      <c r="N3025" s="74">
        <f t="shared" si="3"/>
        <v>190000</v>
      </c>
      <c r="O3025" s="65" t="str">
        <f>VLOOKUP(E3025,DATABASE!C:Q,8,false)</f>
        <v>BIAN</v>
      </c>
      <c r="P3025" s="65">
        <f>VLOOKUP(E3025,DATABASE!C:Q,9,False)</f>
        <v>1</v>
      </c>
      <c r="Q3025" s="93" t="str">
        <f>VLOOKUP(E3025,DATABASE!C:Q,4,false)</f>
        <v>GT</v>
      </c>
      <c r="R3025" s="93" t="str">
        <f>VLOOKUP(E3025,DATABASE!C:Q,11,false)</f>
        <v>Tire</v>
      </c>
    </row>
    <row r="3026" ht="22.5" customHeight="1">
      <c r="A3026" s="49"/>
      <c r="C3026" s="384">
        <v>45817.0</v>
      </c>
      <c r="D3026" s="65">
        <v>5995.0</v>
      </c>
      <c r="E3026" s="445" t="s">
        <v>246</v>
      </c>
      <c r="F3026" s="386">
        <v>1.0</v>
      </c>
      <c r="G3026" s="74">
        <v>30000.0</v>
      </c>
      <c r="H3026" s="74">
        <v>0.0</v>
      </c>
      <c r="I3026" s="74">
        <f t="shared" si="1"/>
        <v>30000</v>
      </c>
      <c r="J3026" s="74">
        <f>IF(E3026="SERVICE",I3026-(I3026*50%),Vlookup(E3026,DATABASE!C:Q,10,false)*F3026)</f>
        <v>0</v>
      </c>
      <c r="K3026" s="74">
        <f>VLOOKUP(E3026,DATABASE!C:Q,7,false)</f>
        <v>0</v>
      </c>
      <c r="L3026" s="74">
        <v>0.0</v>
      </c>
      <c r="M3026" s="74">
        <f t="shared" si="2"/>
        <v>0</v>
      </c>
      <c r="N3026" s="74">
        <f t="shared" si="3"/>
        <v>30000</v>
      </c>
      <c r="O3026" s="65" t="str">
        <f>VLOOKUP(E3026,DATABASE!C:Q,8,false)</f>
        <v>IBU</v>
      </c>
      <c r="P3026" s="65">
        <f>VLOOKUP(E3026,DATABASE!C:Q,9,False)</f>
        <v>0</v>
      </c>
      <c r="Q3026" s="93" t="str">
        <f>VLOOKUP(E3026,DATABASE!C:Q,4,false)</f>
        <v>Bongkar Pasang</v>
      </c>
      <c r="R3026" s="93" t="str">
        <f>VLOOKUP(E3026,DATABASE!C:Q,11,false)</f>
        <v>SERVICE</v>
      </c>
    </row>
    <row r="3027" ht="22.5" customHeight="1">
      <c r="A3027" s="49"/>
      <c r="C3027" s="384">
        <v>45817.0</v>
      </c>
      <c r="D3027" s="65">
        <v>5996.0</v>
      </c>
      <c r="E3027" s="445" t="s">
        <v>1890</v>
      </c>
      <c r="F3027" s="386">
        <v>1.0</v>
      </c>
      <c r="G3027" s="74">
        <v>820000.0</v>
      </c>
      <c r="H3027" s="74">
        <v>0.0</v>
      </c>
      <c r="I3027" s="74">
        <f t="shared" si="1"/>
        <v>820000</v>
      </c>
      <c r="J3027" s="74">
        <f>IF(E3027="SERVICE",I3027-(I3027*50%),Vlookup(E3027,DATABASE!C:Q,10,false)*F3027)</f>
        <v>0</v>
      </c>
      <c r="K3027" s="74">
        <f>VLOOKUP(E3027,DATABASE!C:Q,7,false)</f>
        <v>739600</v>
      </c>
      <c r="L3027" s="74">
        <v>700000.0</v>
      </c>
      <c r="M3027" s="74">
        <f t="shared" si="2"/>
        <v>700000</v>
      </c>
      <c r="N3027" s="74">
        <f t="shared" si="3"/>
        <v>120000</v>
      </c>
      <c r="O3027" s="65" t="str">
        <f>VLOOKUP(E3027,DATABASE!C:Q,8,false)</f>
        <v>BIAN</v>
      </c>
      <c r="P3027" s="65">
        <f>VLOOKUP(E3027,DATABASE!C:Q,9,False)</f>
        <v>1</v>
      </c>
      <c r="Q3027" s="93" t="str">
        <f>VLOOKUP(E3027,DATABASE!C:Q,4,false)</f>
        <v>GT</v>
      </c>
      <c r="R3027" s="93" t="str">
        <f>VLOOKUP(E3027,DATABASE!C:Q,11,false)</f>
        <v>Tire</v>
      </c>
    </row>
    <row r="3028" ht="22.5" customHeight="1">
      <c r="A3028" s="49"/>
      <c r="C3028" s="384">
        <v>45817.0</v>
      </c>
      <c r="D3028" s="65">
        <v>5996.0</v>
      </c>
      <c r="E3028" s="445" t="s">
        <v>256</v>
      </c>
      <c r="F3028" s="386">
        <v>1.0</v>
      </c>
      <c r="G3028" s="74">
        <v>130000.0</v>
      </c>
      <c r="H3028" s="74">
        <v>0.0</v>
      </c>
      <c r="I3028" s="74">
        <f t="shared" si="1"/>
        <v>130000</v>
      </c>
      <c r="J3028" s="74">
        <f>IF(E3028="SERVICE",I3028-(I3028*50%),Vlookup(E3028,DATABASE!C:Q,10,false)*F3028)</f>
        <v>10000</v>
      </c>
      <c r="K3028" s="74">
        <f>VLOOKUP(E3028,DATABASE!C:Q,7,false)</f>
        <v>0</v>
      </c>
      <c r="L3028" s="74">
        <v>0.0</v>
      </c>
      <c r="M3028" s="74">
        <f t="shared" si="2"/>
        <v>0</v>
      </c>
      <c r="N3028" s="74">
        <f t="shared" si="3"/>
        <v>120000</v>
      </c>
      <c r="O3028" s="65" t="str">
        <f>VLOOKUP(E3028,DATABASE!C:Q,8,false)</f>
        <v>IBU</v>
      </c>
      <c r="P3028" s="65">
        <f>VLOOKUP(E3028,DATABASE!C:Q,9,False)</f>
        <v>0</v>
      </c>
      <c r="Q3028" s="93" t="str">
        <f>VLOOKUP(E3028,DATABASE!C:Q,4,false)</f>
        <v>SPOORING</v>
      </c>
      <c r="R3028" s="93" t="str">
        <f>VLOOKUP(E3028,DATABASE!C:Q,11,false)</f>
        <v>SERVICE</v>
      </c>
    </row>
    <row r="3029" ht="22.5" customHeight="1">
      <c r="A3029" s="49"/>
      <c r="C3029" s="384">
        <v>45817.0</v>
      </c>
      <c r="D3029" s="65">
        <v>5996.0</v>
      </c>
      <c r="E3029" s="445" t="s">
        <v>301</v>
      </c>
      <c r="F3029" s="386">
        <v>1.0</v>
      </c>
      <c r="G3029" s="74">
        <v>250000.0</v>
      </c>
      <c r="H3029" s="74">
        <v>0.0</v>
      </c>
      <c r="I3029" s="74">
        <f t="shared" si="1"/>
        <v>250000</v>
      </c>
      <c r="J3029" s="74">
        <f>IF(E3029="SERVICE",I3029-(I3029*50%),Vlookup(E3029,DATABASE!C:Q,10,false)*F3029)</f>
        <v>75000</v>
      </c>
      <c r="K3029" s="74">
        <f>VLOOKUP(E3029,DATABASE!C:Q,7,false)</f>
        <v>75000</v>
      </c>
      <c r="L3029" s="74">
        <v>75000.0</v>
      </c>
      <c r="M3029" s="74">
        <f t="shared" si="2"/>
        <v>75000</v>
      </c>
      <c r="N3029" s="74">
        <f t="shared" si="3"/>
        <v>100000</v>
      </c>
      <c r="O3029" s="65" t="str">
        <f>VLOOKUP(E3029,DATABASE!C:Q,8,false)</f>
        <v>BIAN</v>
      </c>
      <c r="P3029" s="65">
        <f>VLOOKUP(E3029,DATABASE!C:Q,9,False)</f>
        <v>0</v>
      </c>
      <c r="Q3029" s="93" t="str">
        <f>VLOOKUP(E3029,DATABASE!C:Q,4,false)</f>
        <v>Baut Camber</v>
      </c>
      <c r="R3029" s="93" t="str">
        <f>VLOOKUP(E3029,DATABASE!C:Q,11,false)</f>
        <v>COMPLEMENTARY</v>
      </c>
    </row>
    <row r="3030" ht="22.5" customHeight="1">
      <c r="A3030" s="49"/>
      <c r="C3030" s="384">
        <v>45817.0</v>
      </c>
      <c r="D3030" s="65">
        <v>5997.0</v>
      </c>
      <c r="E3030" s="445" t="s">
        <v>256</v>
      </c>
      <c r="F3030" s="386">
        <v>1.0</v>
      </c>
      <c r="G3030" s="74">
        <v>130000.0</v>
      </c>
      <c r="H3030" s="74">
        <v>0.0</v>
      </c>
      <c r="I3030" s="74">
        <f t="shared" si="1"/>
        <v>130000</v>
      </c>
      <c r="J3030" s="74">
        <f>IF(E3030="SERVICE",I3030-(I3030*50%),Vlookup(E3030,DATABASE!C:Q,10,false)*F3030)</f>
        <v>10000</v>
      </c>
      <c r="K3030" s="74">
        <f>VLOOKUP(E3030,DATABASE!C:Q,7,false)</f>
        <v>0</v>
      </c>
      <c r="L3030" s="74">
        <v>0.0</v>
      </c>
      <c r="M3030" s="74">
        <f t="shared" si="2"/>
        <v>0</v>
      </c>
      <c r="N3030" s="74">
        <f t="shared" si="3"/>
        <v>120000</v>
      </c>
      <c r="O3030" s="65" t="str">
        <f>VLOOKUP(E3030,DATABASE!C:Q,8,false)</f>
        <v>IBU</v>
      </c>
      <c r="P3030" s="65">
        <f>VLOOKUP(E3030,DATABASE!C:Q,9,False)</f>
        <v>0</v>
      </c>
      <c r="Q3030" s="93" t="str">
        <f>VLOOKUP(E3030,DATABASE!C:Q,4,false)</f>
        <v>SPOORING</v>
      </c>
      <c r="R3030" s="93" t="str">
        <f>VLOOKUP(E3030,DATABASE!C:Q,11,false)</f>
        <v>SERVICE</v>
      </c>
    </row>
    <row r="3031" ht="22.5" customHeight="1">
      <c r="A3031" s="49"/>
      <c r="C3031" s="384">
        <v>45817.0</v>
      </c>
      <c r="D3031" s="65">
        <v>5998.0</v>
      </c>
      <c r="E3031" s="445" t="s">
        <v>256</v>
      </c>
      <c r="F3031" s="386">
        <v>1.0</v>
      </c>
      <c r="G3031" s="74">
        <v>130000.0</v>
      </c>
      <c r="H3031" s="74">
        <v>0.0</v>
      </c>
      <c r="I3031" s="74">
        <f t="shared" si="1"/>
        <v>130000</v>
      </c>
      <c r="J3031" s="74">
        <f>IF(E3031="SERVICE",I3031-(I3031*50%),Vlookup(E3031,DATABASE!C:Q,10,false)*F3031)</f>
        <v>10000</v>
      </c>
      <c r="K3031" s="74">
        <f>VLOOKUP(E3031,DATABASE!C:Q,7,false)</f>
        <v>0</v>
      </c>
      <c r="L3031" s="74">
        <v>0.0</v>
      </c>
      <c r="M3031" s="74">
        <f t="shared" si="2"/>
        <v>0</v>
      </c>
      <c r="N3031" s="74">
        <f t="shared" si="3"/>
        <v>120000</v>
      </c>
      <c r="O3031" s="65" t="str">
        <f>VLOOKUP(E3031,DATABASE!C:Q,8,false)</f>
        <v>IBU</v>
      </c>
      <c r="P3031" s="65">
        <f>VLOOKUP(E3031,DATABASE!C:Q,9,False)</f>
        <v>0</v>
      </c>
      <c r="Q3031" s="93" t="str">
        <f>VLOOKUP(E3031,DATABASE!C:Q,4,false)</f>
        <v>SPOORING</v>
      </c>
      <c r="R3031" s="93" t="str">
        <f>VLOOKUP(E3031,DATABASE!C:Q,11,false)</f>
        <v>SERVICE</v>
      </c>
    </row>
    <row r="3032" ht="22.5" customHeight="1">
      <c r="A3032" s="49"/>
      <c r="C3032" s="384">
        <v>45817.0</v>
      </c>
      <c r="D3032" s="65">
        <v>5998.0</v>
      </c>
      <c r="E3032" s="445" t="s">
        <v>301</v>
      </c>
      <c r="F3032" s="386">
        <v>1.0</v>
      </c>
      <c r="G3032" s="74">
        <v>250000.0</v>
      </c>
      <c r="H3032" s="74">
        <v>0.0</v>
      </c>
      <c r="I3032" s="74">
        <f t="shared" si="1"/>
        <v>250000</v>
      </c>
      <c r="J3032" s="74">
        <f>IF(E3032="SERVICE",I3032-(I3032*50%),Vlookup(E3032,DATABASE!C:Q,10,false)*F3032)</f>
        <v>75000</v>
      </c>
      <c r="K3032" s="74">
        <f>VLOOKUP(E3032,DATABASE!C:Q,7,false)</f>
        <v>75000</v>
      </c>
      <c r="L3032" s="74">
        <v>75000.0</v>
      </c>
      <c r="M3032" s="74">
        <f t="shared" si="2"/>
        <v>75000</v>
      </c>
      <c r="N3032" s="74">
        <f t="shared" si="3"/>
        <v>100000</v>
      </c>
      <c r="O3032" s="65" t="str">
        <f>VLOOKUP(E3032,DATABASE!C:Q,8,false)</f>
        <v>BIAN</v>
      </c>
      <c r="P3032" s="65">
        <f>VLOOKUP(E3032,DATABASE!C:Q,9,False)</f>
        <v>0</v>
      </c>
      <c r="Q3032" s="93" t="str">
        <f>VLOOKUP(E3032,DATABASE!C:Q,4,false)</f>
        <v>Baut Camber</v>
      </c>
      <c r="R3032" s="93" t="str">
        <f>VLOOKUP(E3032,DATABASE!C:Q,11,false)</f>
        <v>COMPLEMENTARY</v>
      </c>
    </row>
    <row r="3033" ht="22.5" customHeight="1">
      <c r="A3033" s="49"/>
      <c r="C3033" s="384">
        <v>45817.0</v>
      </c>
      <c r="D3033" s="65">
        <v>5998.0</v>
      </c>
      <c r="E3033" s="385" t="s">
        <v>299</v>
      </c>
      <c r="F3033" s="386">
        <v>2.0</v>
      </c>
      <c r="G3033" s="74">
        <v>30000.0</v>
      </c>
      <c r="H3033" s="74">
        <v>0.0</v>
      </c>
      <c r="I3033" s="74">
        <f t="shared" si="1"/>
        <v>60000</v>
      </c>
      <c r="J3033" s="74">
        <f>IF(E3033="SERVICE",I3033-(I3033*50%),Vlookup(E3033,DATABASE!C:Q,10,false)*F3033)</f>
        <v>0</v>
      </c>
      <c r="K3033" s="74">
        <v>0.0</v>
      </c>
      <c r="L3033" s="74">
        <v>0.0</v>
      </c>
      <c r="M3033" s="74">
        <f t="shared" si="2"/>
        <v>0</v>
      </c>
      <c r="N3033" s="74">
        <f t="shared" si="3"/>
        <v>60000</v>
      </c>
      <c r="O3033" s="65" t="str">
        <f>VLOOKUP(E3033,DATABASE!C:Q,8,false)</f>
        <v>BIAN</v>
      </c>
      <c r="P3033" s="65">
        <f>VLOOKUP(E3033,DATABASE!C:Q,9,False)</f>
        <v>0</v>
      </c>
      <c r="Q3033" s="93" t="str">
        <f>VLOOKUP(E3033,DATABASE!C:Q,4,false)</f>
        <v>Balancing</v>
      </c>
      <c r="R3033" s="93" t="str">
        <f>VLOOKUP(E3033,DATABASE!C:Q,11,false)</f>
        <v>COMPLEMENTARY</v>
      </c>
    </row>
    <row r="3034" ht="22.5" customHeight="1">
      <c r="A3034" s="49"/>
      <c r="C3034" s="384">
        <v>45817.0</v>
      </c>
      <c r="D3034" s="65">
        <v>5999.0</v>
      </c>
      <c r="E3034" s="445" t="s">
        <v>268</v>
      </c>
      <c r="F3034" s="386">
        <v>1.0</v>
      </c>
      <c r="G3034" s="74">
        <v>720000.0</v>
      </c>
      <c r="H3034" s="74">
        <v>0.0</v>
      </c>
      <c r="I3034" s="74">
        <f t="shared" si="1"/>
        <v>720000</v>
      </c>
      <c r="J3034" s="74">
        <f>IF(E3034="SERVICE",I3034-(I3034*50%),Vlookup(E3034,DATABASE!C:Q,10,false)*F3034)</f>
        <v>0</v>
      </c>
      <c r="K3034" s="74">
        <f>VLOOKUP(E3034,DATABASE!C:Q,7,false)</f>
        <v>653000</v>
      </c>
      <c r="L3034" s="74">
        <v>622000.0</v>
      </c>
      <c r="M3034" s="74">
        <f t="shared" si="2"/>
        <v>625000</v>
      </c>
      <c r="N3034" s="74">
        <f t="shared" si="3"/>
        <v>95000</v>
      </c>
      <c r="O3034" s="65" t="str">
        <f>VLOOKUP(E3034,DATABASE!C:Q,8,false)</f>
        <v>IBU</v>
      </c>
      <c r="P3034" s="65">
        <f>VLOOKUP(E3034,DATABASE!C:Q,9,False)</f>
        <v>1</v>
      </c>
      <c r="Q3034" s="93" t="str">
        <f>VLOOKUP(E3034,DATABASE!C:Q,4,false)</f>
        <v>Dunlop</v>
      </c>
      <c r="R3034" s="93" t="str">
        <f>VLOOKUP(E3034,DATABASE!C:Q,11,false)</f>
        <v>Tire</v>
      </c>
    </row>
    <row r="3035" ht="22.5" customHeight="1">
      <c r="A3035" s="49"/>
      <c r="C3035" s="384">
        <v>45817.0</v>
      </c>
      <c r="D3035" s="65">
        <v>6001.0</v>
      </c>
      <c r="E3035" s="445" t="s">
        <v>1389</v>
      </c>
      <c r="F3035" s="386">
        <v>1.0</v>
      </c>
      <c r="G3035" s="74">
        <v>1000000.0</v>
      </c>
      <c r="H3035" s="74">
        <v>0.0</v>
      </c>
      <c r="I3035" s="74">
        <f t="shared" si="1"/>
        <v>1000000</v>
      </c>
      <c r="J3035" s="74">
        <f>IF(E3035="SERVICE",I3035-(I3035*50%),Vlookup(E3035,DATABASE!C:Q,10,false)*F3035)</f>
        <v>0</v>
      </c>
      <c r="K3035" s="74">
        <f>VLOOKUP(E3035,DATABASE!C:Q,7,false)</f>
        <v>908000</v>
      </c>
      <c r="L3035" s="74">
        <v>897000.0</v>
      </c>
      <c r="M3035" s="74">
        <f t="shared" si="2"/>
        <v>900000</v>
      </c>
      <c r="N3035" s="74">
        <f t="shared" si="3"/>
        <v>100000</v>
      </c>
      <c r="O3035" s="65" t="str">
        <f>VLOOKUP(E3035,DATABASE!C:Q,8,false)</f>
        <v>IBU</v>
      </c>
      <c r="P3035" s="65">
        <f>VLOOKUP(E3035,DATABASE!C:Q,9,False)</f>
        <v>1</v>
      </c>
      <c r="Q3035" s="93" t="str">
        <f>VLOOKUP(E3035,DATABASE!C:Q,4,false)</f>
        <v>Dunlop</v>
      </c>
      <c r="R3035" s="93" t="str">
        <f>VLOOKUP(E3035,DATABASE!C:Q,11,false)</f>
        <v>Tire</v>
      </c>
    </row>
    <row r="3036" ht="22.5" customHeight="1">
      <c r="A3036" s="49"/>
      <c r="C3036" s="384">
        <v>45817.0</v>
      </c>
      <c r="D3036" s="65">
        <v>6001.0</v>
      </c>
      <c r="E3036" s="385" t="s">
        <v>299</v>
      </c>
      <c r="F3036" s="386">
        <v>2.0</v>
      </c>
      <c r="G3036" s="74">
        <v>30000.0</v>
      </c>
      <c r="H3036" s="74">
        <v>0.0</v>
      </c>
      <c r="I3036" s="74">
        <f t="shared" si="1"/>
        <v>60000</v>
      </c>
      <c r="J3036" s="74">
        <f>IF(E3036="SERVICE",I3036-(I3036*50%),Vlookup(E3036,DATABASE!C:Q,10,false)*F3036)</f>
        <v>0</v>
      </c>
      <c r="K3036" s="74">
        <v>0.0</v>
      </c>
      <c r="L3036" s="74">
        <v>0.0</v>
      </c>
      <c r="M3036" s="74">
        <f t="shared" si="2"/>
        <v>0</v>
      </c>
      <c r="N3036" s="74">
        <f t="shared" si="3"/>
        <v>60000</v>
      </c>
      <c r="O3036" s="65" t="str">
        <f>VLOOKUP(E3036,DATABASE!C:Q,8,false)</f>
        <v>BIAN</v>
      </c>
      <c r="P3036" s="65">
        <f>VLOOKUP(E3036,DATABASE!C:Q,9,False)</f>
        <v>0</v>
      </c>
      <c r="Q3036" s="93" t="str">
        <f>VLOOKUP(E3036,DATABASE!C:Q,4,false)</f>
        <v>Balancing</v>
      </c>
      <c r="R3036" s="93" t="str">
        <f>VLOOKUP(E3036,DATABASE!C:Q,11,false)</f>
        <v>COMPLEMENTARY</v>
      </c>
    </row>
    <row r="3037" ht="22.5" customHeight="1">
      <c r="A3037" s="49"/>
      <c r="C3037" s="384">
        <v>45817.0</v>
      </c>
      <c r="D3037" s="65">
        <v>6002.0</v>
      </c>
      <c r="E3037" s="445" t="s">
        <v>572</v>
      </c>
      <c r="F3037" s="386">
        <v>2.0</v>
      </c>
      <c r="G3037" s="74">
        <v>1370000.0</v>
      </c>
      <c r="H3037" s="74">
        <v>0.0</v>
      </c>
      <c r="I3037" s="74">
        <f t="shared" si="1"/>
        <v>2740000</v>
      </c>
      <c r="J3037" s="74">
        <f>IF(E3037="SERVICE",I3037-(I3037*50%),Vlookup(E3037,DATABASE!C:Q,10,false)*F3037)</f>
        <v>0</v>
      </c>
      <c r="K3037" s="140">
        <v>1270000.0</v>
      </c>
      <c r="L3037" s="140">
        <v>1270000.0</v>
      </c>
      <c r="M3037" s="74">
        <f t="shared" si="2"/>
        <v>1270000</v>
      </c>
      <c r="N3037" s="74">
        <f t="shared" si="3"/>
        <v>200000</v>
      </c>
      <c r="O3037" s="65" t="str">
        <f>VLOOKUP(E3037,DATABASE!C:Q,8,false)</f>
        <v>IBU</v>
      </c>
      <c r="P3037" s="65">
        <f>VLOOKUP(E3037,DATABASE!C:Q,9,False)</f>
        <v>1</v>
      </c>
      <c r="Q3037" s="93" t="str">
        <f>VLOOKUP(E3037,DATABASE!C:Q,4,false)</f>
        <v>Bridgestone</v>
      </c>
      <c r="R3037" s="93" t="str">
        <f>VLOOKUP(E3037,DATABASE!C:Q,11,false)</f>
        <v>Tire</v>
      </c>
    </row>
    <row r="3038" ht="22.5" customHeight="1">
      <c r="A3038" s="49"/>
      <c r="C3038" s="384">
        <v>45817.0</v>
      </c>
      <c r="D3038" s="65">
        <v>6002.0</v>
      </c>
      <c r="E3038" s="445" t="s">
        <v>652</v>
      </c>
      <c r="F3038" s="386">
        <v>1.0</v>
      </c>
      <c r="G3038" s="74">
        <v>260000.0</v>
      </c>
      <c r="H3038" s="74">
        <v>0.0</v>
      </c>
      <c r="I3038" s="74">
        <f t="shared" si="1"/>
        <v>260000</v>
      </c>
      <c r="J3038" s="74">
        <f>IF(E3038="SERVICE",I3038-(I3038*50%),Vlookup(E3038,DATABASE!C:Q,10,false)*F3038)</f>
        <v>0</v>
      </c>
      <c r="K3038" s="74">
        <f>VLOOKUP(E3038,DATABASE!C:Q,7,false)</f>
        <v>231268</v>
      </c>
      <c r="L3038" s="74">
        <v>227850.0</v>
      </c>
      <c r="M3038" s="74">
        <f t="shared" si="2"/>
        <v>230000</v>
      </c>
      <c r="N3038" s="74">
        <f t="shared" si="3"/>
        <v>30000</v>
      </c>
      <c r="O3038" s="65" t="str">
        <f>VLOOKUP(E3038,DATABASE!C:Q,8,false)</f>
        <v>IBU</v>
      </c>
      <c r="P3038" s="65">
        <f>VLOOKUP(E3038,DATABASE!C:Q,9,False)</f>
        <v>1</v>
      </c>
      <c r="Q3038" s="93" t="str">
        <f>VLOOKUP(E3038,DATABASE!C:Q,4,false)</f>
        <v>BD</v>
      </c>
      <c r="R3038" s="93" t="str">
        <f>VLOOKUP(E3038,DATABASE!C:Q,11,false)</f>
        <v>Tire</v>
      </c>
    </row>
    <row r="3039" ht="22.5" customHeight="1">
      <c r="A3039" s="49"/>
      <c r="C3039" s="384">
        <v>45817.0</v>
      </c>
      <c r="D3039" s="65">
        <v>6003.0</v>
      </c>
      <c r="E3039" s="445" t="s">
        <v>275</v>
      </c>
      <c r="F3039" s="386">
        <v>2.0</v>
      </c>
      <c r="G3039" s="74">
        <v>850000.0</v>
      </c>
      <c r="H3039" s="74">
        <v>0.0</v>
      </c>
      <c r="I3039" s="74">
        <f t="shared" si="1"/>
        <v>1700000</v>
      </c>
      <c r="J3039" s="74">
        <f>IF(E3039="SERVICE",I3039-(I3039*50%),Vlookup(E3039,DATABASE!C:Q,10,false)*F3039)</f>
        <v>0</v>
      </c>
      <c r="K3039" s="74">
        <f>VLOOKUP(E3039,DATABASE!C:Q,7,false)</f>
        <v>782000</v>
      </c>
      <c r="L3039" s="74">
        <v>745000.0</v>
      </c>
      <c r="M3039" s="74">
        <f t="shared" si="2"/>
        <v>745000</v>
      </c>
      <c r="N3039" s="74">
        <f t="shared" si="3"/>
        <v>210000</v>
      </c>
      <c r="O3039" s="65" t="str">
        <f>VLOOKUP(E3039,DATABASE!C:Q,8,false)</f>
        <v>IBU</v>
      </c>
      <c r="P3039" s="65">
        <f>VLOOKUP(E3039,DATABASE!C:Q,9,False)</f>
        <v>1</v>
      </c>
      <c r="Q3039" s="93" t="str">
        <f>VLOOKUP(E3039,DATABASE!C:Q,4,false)</f>
        <v>Dunlop</v>
      </c>
      <c r="R3039" s="93" t="str">
        <f>VLOOKUP(E3039,DATABASE!C:Q,11,false)</f>
        <v>Tire</v>
      </c>
    </row>
    <row r="3040" ht="22.5" customHeight="1">
      <c r="A3040" s="49"/>
      <c r="C3040" s="384">
        <v>45817.0</v>
      </c>
      <c r="D3040" s="65">
        <v>6004.0</v>
      </c>
      <c r="E3040" s="445" t="s">
        <v>968</v>
      </c>
      <c r="F3040" s="386">
        <v>3.0</v>
      </c>
      <c r="G3040" s="74">
        <v>675000.0</v>
      </c>
      <c r="H3040" s="74">
        <v>0.0</v>
      </c>
      <c r="I3040" s="74">
        <f t="shared" si="1"/>
        <v>2025000</v>
      </c>
      <c r="J3040" s="74">
        <f>IF(E3040="SERVICE",I3040-(I3040*50%),Vlookup(E3040,DATABASE!C:Q,10,false)*F3040)</f>
        <v>0</v>
      </c>
      <c r="K3040" s="74">
        <f>VLOOKUP(E3040,DATABASE!C:Q,7,false)</f>
        <v>582500</v>
      </c>
      <c r="L3040" s="74">
        <v>582500.0</v>
      </c>
      <c r="M3040" s="74">
        <f t="shared" si="2"/>
        <v>585000</v>
      </c>
      <c r="N3040" s="74">
        <f t="shared" si="3"/>
        <v>270000</v>
      </c>
      <c r="O3040" s="65" t="str">
        <f>VLOOKUP(E3040,DATABASE!C:Q,8,false)</f>
        <v>IBU</v>
      </c>
      <c r="P3040" s="65">
        <f>VLOOKUP(E3040,DATABASE!C:Q,9,False)</f>
        <v>1</v>
      </c>
      <c r="Q3040" s="93" t="str">
        <f>VLOOKUP(E3040,DATABASE!C:Q,4,false)</f>
        <v>Dunlop</v>
      </c>
      <c r="R3040" s="93" t="str">
        <f>VLOOKUP(E3040,DATABASE!C:Q,11,false)</f>
        <v>Tire</v>
      </c>
    </row>
    <row r="3041" ht="22.5" customHeight="1">
      <c r="A3041" s="49"/>
      <c r="C3041" s="384">
        <v>45817.0</v>
      </c>
      <c r="D3041" s="65">
        <v>6006.0</v>
      </c>
      <c r="E3041" s="445" t="s">
        <v>275</v>
      </c>
      <c r="F3041" s="386">
        <v>2.0</v>
      </c>
      <c r="G3041" s="74">
        <v>850000.0</v>
      </c>
      <c r="H3041" s="74">
        <v>0.0</v>
      </c>
      <c r="I3041" s="74">
        <f t="shared" si="1"/>
        <v>1700000</v>
      </c>
      <c r="J3041" s="74">
        <f>IF(E3041="SERVICE",I3041-(I3041*50%),Vlookup(E3041,DATABASE!C:Q,10,false)*F3041)</f>
        <v>0</v>
      </c>
      <c r="K3041" s="74">
        <f>VLOOKUP(E3041,DATABASE!C:Q,7,false)</f>
        <v>782000</v>
      </c>
      <c r="L3041" s="74">
        <v>745000.0</v>
      </c>
      <c r="M3041" s="74">
        <f t="shared" si="2"/>
        <v>745000</v>
      </c>
      <c r="N3041" s="74">
        <f t="shared" si="3"/>
        <v>210000</v>
      </c>
      <c r="O3041" s="65" t="str">
        <f>VLOOKUP(E3041,DATABASE!C:Q,8,false)</f>
        <v>IBU</v>
      </c>
      <c r="P3041" s="65">
        <f>VLOOKUP(E3041,DATABASE!C:Q,9,False)</f>
        <v>1</v>
      </c>
      <c r="Q3041" s="93" t="str">
        <f>VLOOKUP(E3041,DATABASE!C:Q,4,false)</f>
        <v>Dunlop</v>
      </c>
      <c r="R3041" s="93" t="str">
        <f>VLOOKUP(E3041,DATABASE!C:Q,11,false)</f>
        <v>Tire</v>
      </c>
    </row>
    <row r="3042" ht="22.5" customHeight="1">
      <c r="A3042" s="49"/>
      <c r="C3042" s="384">
        <v>45817.0</v>
      </c>
      <c r="D3042" s="65">
        <v>6007.0</v>
      </c>
      <c r="E3042" s="445" t="s">
        <v>777</v>
      </c>
      <c r="F3042" s="386">
        <v>1.0</v>
      </c>
      <c r="G3042" s="74">
        <v>585000.0</v>
      </c>
      <c r="H3042" s="74">
        <v>0.0</v>
      </c>
      <c r="I3042" s="74">
        <f t="shared" si="1"/>
        <v>585000</v>
      </c>
      <c r="J3042" s="74">
        <f>IF(E3042="SERVICE",I3042-(I3042*50%),Vlookup(E3042,DATABASE!C:Q,10,false)*F3042)</f>
        <v>0</v>
      </c>
      <c r="K3042" s="74">
        <f>VLOOKUP(E3042,DATABASE!C:Q,7,false)</f>
        <v>540000</v>
      </c>
      <c r="L3042" s="74">
        <v>507000.0</v>
      </c>
      <c r="M3042" s="74">
        <f t="shared" si="2"/>
        <v>510000</v>
      </c>
      <c r="N3042" s="74">
        <f t="shared" si="3"/>
        <v>75000</v>
      </c>
      <c r="O3042" s="65" t="str">
        <f>VLOOKUP(E3042,DATABASE!C:Q,8,false)</f>
        <v>BIAN</v>
      </c>
      <c r="P3042" s="65">
        <f>VLOOKUP(E3042,DATABASE!C:Q,9,False)</f>
        <v>1</v>
      </c>
      <c r="Q3042" s="93" t="str">
        <f>VLOOKUP(E3042,DATABASE!C:Q,4,false)</f>
        <v>GT</v>
      </c>
      <c r="R3042" s="93" t="str">
        <f>VLOOKUP(E3042,DATABASE!C:Q,11,false)</f>
        <v>Tire</v>
      </c>
    </row>
    <row r="3043" ht="22.5" customHeight="1">
      <c r="A3043" s="49"/>
      <c r="C3043" s="384">
        <v>45817.0</v>
      </c>
      <c r="D3043" s="65">
        <v>6008.0</v>
      </c>
      <c r="E3043" s="445" t="s">
        <v>262</v>
      </c>
      <c r="F3043" s="386">
        <v>1.0</v>
      </c>
      <c r="G3043" s="74">
        <v>110000.0</v>
      </c>
      <c r="H3043" s="74">
        <v>0.0</v>
      </c>
      <c r="I3043" s="74">
        <f t="shared" si="1"/>
        <v>110000</v>
      </c>
      <c r="J3043" s="74">
        <f>IF(E3043="SERVICE",I3043-(I3043*50%),Vlookup(E3043,DATABASE!C:Q,10,false)*F3043)</f>
        <v>5000</v>
      </c>
      <c r="K3043" s="74">
        <f>VLOOKUP(E3043,DATABASE!C:Q,7,false)</f>
        <v>0</v>
      </c>
      <c r="L3043" s="74">
        <v>0.0</v>
      </c>
      <c r="M3043" s="74">
        <f t="shared" si="2"/>
        <v>0</v>
      </c>
      <c r="N3043" s="74">
        <f t="shared" si="3"/>
        <v>105000</v>
      </c>
      <c r="O3043" s="65" t="str">
        <f>VLOOKUP(E3043,DATABASE!C:Q,8,false)</f>
        <v>IBU</v>
      </c>
      <c r="P3043" s="65">
        <f>VLOOKUP(E3043,DATABASE!C:Q,9,False)</f>
        <v>0</v>
      </c>
      <c r="Q3043" s="93" t="str">
        <f>VLOOKUP(E3043,DATABASE!C:Q,4,false)</f>
        <v>SPOORING SS/CARRY LOS BAK</v>
      </c>
      <c r="R3043" s="93" t="str">
        <f>VLOOKUP(E3043,DATABASE!C:Q,11,false)</f>
        <v>SERVICE</v>
      </c>
    </row>
    <row r="3044" ht="22.5" customHeight="1">
      <c r="A3044" s="49"/>
      <c r="C3044" s="384">
        <v>45817.0</v>
      </c>
      <c r="D3044" s="65">
        <v>6008.0</v>
      </c>
      <c r="E3044" s="385" t="s">
        <v>305</v>
      </c>
      <c r="F3044" s="386">
        <v>1.0</v>
      </c>
      <c r="G3044" s="74">
        <v>235000.0</v>
      </c>
      <c r="H3044" s="74">
        <v>0.0</v>
      </c>
      <c r="I3044" s="74">
        <f t="shared" si="1"/>
        <v>235000</v>
      </c>
      <c r="J3044" s="74">
        <f>IF(E3044="SERVICE",I3044-(I3044*50%),Vlookup(E3044,DATABASE!C:Q,10,false)*F3044)</f>
        <v>40000</v>
      </c>
      <c r="K3044" s="74">
        <f>VLOOKUP(E3044,DATABASE!C:Q,7,false)</f>
        <v>158530.2</v>
      </c>
      <c r="L3044" s="74">
        <v>151890.0</v>
      </c>
      <c r="M3044" s="74">
        <f t="shared" si="2"/>
        <v>155000</v>
      </c>
      <c r="N3044" s="74">
        <f t="shared" si="3"/>
        <v>40000</v>
      </c>
      <c r="O3044" s="65" t="str">
        <f>VLOOKUP(E3044,DATABASE!C:Q,8,false)</f>
        <v>BIAN</v>
      </c>
      <c r="P3044" s="65">
        <f>VLOOKUP(E3044,DATABASE!C:Q,9,False)</f>
        <v>1</v>
      </c>
      <c r="Q3044" s="93" t="str">
        <f>VLOOKUP(E3044,DATABASE!C:Q,4,false)</f>
        <v>Lower Arm</v>
      </c>
      <c r="R3044" s="93" t="str">
        <f>VLOOKUP(E3044,DATABASE!C:Q,11,false)</f>
        <v>COMPLEMENTARY</v>
      </c>
    </row>
    <row r="3045" ht="22.5" customHeight="1">
      <c r="A3045" s="49"/>
      <c r="C3045" s="384">
        <v>45817.0</v>
      </c>
      <c r="D3045" s="65">
        <v>6008.0</v>
      </c>
      <c r="E3045" s="445" t="s">
        <v>2140</v>
      </c>
      <c r="F3045" s="386">
        <v>1.0</v>
      </c>
      <c r="G3045" s="74">
        <v>20000.0</v>
      </c>
      <c r="H3045" s="74">
        <v>0.0</v>
      </c>
      <c r="I3045" s="74">
        <f t="shared" si="1"/>
        <v>20000</v>
      </c>
      <c r="J3045" s="74">
        <f>IF(E3045="SERVICE",I3045-(I3045*50%),Vlookup(E3045,DATABASE!C:Q,10,false)*F3045)</f>
        <v>0</v>
      </c>
      <c r="K3045" s="74">
        <f>VLOOKUP(E3045,DATABASE!C:Q,7,false)</f>
        <v>5000</v>
      </c>
      <c r="L3045" s="74">
        <v>0.0</v>
      </c>
      <c r="M3045" s="74">
        <f t="shared" si="2"/>
        <v>0</v>
      </c>
      <c r="N3045" s="74">
        <f t="shared" si="3"/>
        <v>20000</v>
      </c>
      <c r="O3045" s="65" t="str">
        <f>VLOOKUP(E3045,DATABASE!C:Q,8,false)</f>
        <v>IBU</v>
      </c>
      <c r="P3045" s="65">
        <f>VLOOKUP(E3045,DATABASE!C:Q,9,False)</f>
        <v>0</v>
      </c>
      <c r="Q3045" s="93" t="str">
        <f>VLOOKUP(E3045,DATABASE!C:Q,4,false)</f>
        <v>PENTIL + PASANG</v>
      </c>
      <c r="R3045" s="93" t="str">
        <f>VLOOKUP(E3045,DATABASE!C:Q,11,false)</f>
        <v>COMPLEMENTARY</v>
      </c>
    </row>
    <row r="3046" ht="22.5" customHeight="1">
      <c r="A3046" s="49"/>
      <c r="C3046" s="384">
        <v>45817.0</v>
      </c>
      <c r="D3046" s="65">
        <v>6009.0</v>
      </c>
      <c r="E3046" s="445" t="s">
        <v>256</v>
      </c>
      <c r="F3046" s="386">
        <v>1.0</v>
      </c>
      <c r="G3046" s="74">
        <v>130000.0</v>
      </c>
      <c r="H3046" s="74">
        <v>0.0</v>
      </c>
      <c r="I3046" s="74">
        <f t="shared" si="1"/>
        <v>130000</v>
      </c>
      <c r="J3046" s="74">
        <f>IF(E3046="SERVICE",I3046-(I3046*50%),Vlookup(E3046,DATABASE!C:Q,10,false)*F3046)</f>
        <v>10000</v>
      </c>
      <c r="K3046" s="74">
        <f>VLOOKUP(E3046,DATABASE!C:Q,7,false)</f>
        <v>0</v>
      </c>
      <c r="L3046" s="74">
        <v>0.0</v>
      </c>
      <c r="M3046" s="74">
        <f t="shared" si="2"/>
        <v>0</v>
      </c>
      <c r="N3046" s="74">
        <f t="shared" si="3"/>
        <v>120000</v>
      </c>
      <c r="O3046" s="65" t="str">
        <f>VLOOKUP(E3046,DATABASE!C:Q,8,false)</f>
        <v>IBU</v>
      </c>
      <c r="P3046" s="65">
        <f>VLOOKUP(E3046,DATABASE!C:Q,9,False)</f>
        <v>0</v>
      </c>
      <c r="Q3046" s="93" t="str">
        <f>VLOOKUP(E3046,DATABASE!C:Q,4,false)</f>
        <v>SPOORING</v>
      </c>
      <c r="R3046" s="93" t="str">
        <f>VLOOKUP(E3046,DATABASE!C:Q,11,false)</f>
        <v>SERVICE</v>
      </c>
    </row>
    <row r="3047" ht="22.5" customHeight="1">
      <c r="A3047" s="49"/>
      <c r="C3047" s="384">
        <v>45818.0</v>
      </c>
      <c r="D3047" s="65">
        <v>6010.0</v>
      </c>
      <c r="E3047" s="445" t="s">
        <v>246</v>
      </c>
      <c r="F3047" s="386">
        <v>4.0</v>
      </c>
      <c r="G3047" s="74">
        <v>30000.0</v>
      </c>
      <c r="H3047" s="74">
        <v>0.0</v>
      </c>
      <c r="I3047" s="74">
        <f t="shared" si="1"/>
        <v>120000</v>
      </c>
      <c r="J3047" s="74">
        <f>IF(E3047="SERVICE",I3047-(I3047*50%),Vlookup(E3047,DATABASE!C:Q,10,false)*F3047)</f>
        <v>0</v>
      </c>
      <c r="K3047" s="74">
        <f>VLOOKUP(E3047,DATABASE!C:Q,7,false)</f>
        <v>0</v>
      </c>
      <c r="L3047" s="74">
        <v>0.0</v>
      </c>
      <c r="M3047" s="74">
        <f t="shared" si="2"/>
        <v>0</v>
      </c>
      <c r="N3047" s="74">
        <f t="shared" si="3"/>
        <v>120000</v>
      </c>
      <c r="O3047" s="65" t="str">
        <f>VLOOKUP(E3047,DATABASE!C:Q,8,false)</f>
        <v>IBU</v>
      </c>
      <c r="P3047" s="65">
        <f>VLOOKUP(E3047,DATABASE!C:Q,9,False)</f>
        <v>0</v>
      </c>
      <c r="Q3047" s="93" t="str">
        <f>VLOOKUP(E3047,DATABASE!C:Q,4,false)</f>
        <v>Bongkar Pasang</v>
      </c>
      <c r="R3047" s="93" t="str">
        <f>VLOOKUP(E3047,DATABASE!C:Q,11,false)</f>
        <v>SERVICE</v>
      </c>
    </row>
    <row r="3048" ht="22.5" customHeight="1">
      <c r="A3048" s="49"/>
      <c r="C3048" s="384">
        <v>45818.0</v>
      </c>
      <c r="D3048" s="65">
        <v>6011.0</v>
      </c>
      <c r="E3048" s="445" t="s">
        <v>246</v>
      </c>
      <c r="F3048" s="386">
        <v>3.0</v>
      </c>
      <c r="G3048" s="74">
        <v>25000.0</v>
      </c>
      <c r="H3048" s="74">
        <v>0.0</v>
      </c>
      <c r="I3048" s="74">
        <f t="shared" si="1"/>
        <v>75000</v>
      </c>
      <c r="J3048" s="74">
        <f>IF(E3048="SERVICE",I3048-(I3048*50%),Vlookup(E3048,DATABASE!C:Q,10,false)*F3048)</f>
        <v>0</v>
      </c>
      <c r="K3048" s="74">
        <f>VLOOKUP(E3048,DATABASE!C:Q,7,false)</f>
        <v>0</v>
      </c>
      <c r="L3048" s="74">
        <v>0.0</v>
      </c>
      <c r="M3048" s="74">
        <f t="shared" si="2"/>
        <v>0</v>
      </c>
      <c r="N3048" s="74">
        <f t="shared" si="3"/>
        <v>75000</v>
      </c>
      <c r="O3048" s="65" t="str">
        <f>VLOOKUP(E3048,DATABASE!C:Q,8,false)</f>
        <v>IBU</v>
      </c>
      <c r="P3048" s="65">
        <f>VLOOKUP(E3048,DATABASE!C:Q,9,False)</f>
        <v>0</v>
      </c>
      <c r="Q3048" s="93" t="str">
        <f>VLOOKUP(E3048,DATABASE!C:Q,4,false)</f>
        <v>Bongkar Pasang</v>
      </c>
      <c r="R3048" s="93" t="str">
        <f>VLOOKUP(E3048,DATABASE!C:Q,11,false)</f>
        <v>SERVICE</v>
      </c>
    </row>
    <row r="3049" ht="22.5" customHeight="1">
      <c r="A3049" s="49"/>
      <c r="C3049" s="384">
        <v>45818.0</v>
      </c>
      <c r="D3049" s="65">
        <v>6012.0</v>
      </c>
      <c r="E3049" s="385" t="s">
        <v>299</v>
      </c>
      <c r="F3049" s="386">
        <v>2.0</v>
      </c>
      <c r="G3049" s="74">
        <v>30000.0</v>
      </c>
      <c r="H3049" s="74">
        <v>0.0</v>
      </c>
      <c r="I3049" s="74">
        <f t="shared" si="1"/>
        <v>60000</v>
      </c>
      <c r="J3049" s="74">
        <f>IF(E3049="SERVICE",I3049-(I3049*50%),Vlookup(E3049,DATABASE!C:Q,10,false)*F3049)</f>
        <v>0</v>
      </c>
      <c r="K3049" s="74">
        <v>0.0</v>
      </c>
      <c r="L3049" s="74">
        <v>0.0</v>
      </c>
      <c r="M3049" s="74">
        <f t="shared" si="2"/>
        <v>0</v>
      </c>
      <c r="N3049" s="74">
        <f t="shared" si="3"/>
        <v>60000</v>
      </c>
      <c r="O3049" s="65" t="str">
        <f>VLOOKUP(E3049,DATABASE!C:Q,8,false)</f>
        <v>BIAN</v>
      </c>
      <c r="P3049" s="65">
        <f>VLOOKUP(E3049,DATABASE!C:Q,9,False)</f>
        <v>0</v>
      </c>
      <c r="Q3049" s="93" t="str">
        <f>VLOOKUP(E3049,DATABASE!C:Q,4,false)</f>
        <v>Balancing</v>
      </c>
      <c r="R3049" s="93" t="str">
        <f>VLOOKUP(E3049,DATABASE!C:Q,11,false)</f>
        <v>COMPLEMENTARY</v>
      </c>
    </row>
    <row r="3050" ht="22.5" customHeight="1">
      <c r="A3050" s="49"/>
      <c r="C3050" s="384">
        <v>45818.0</v>
      </c>
      <c r="D3050" s="65">
        <v>6012.0</v>
      </c>
      <c r="E3050" s="445" t="s">
        <v>262</v>
      </c>
      <c r="F3050" s="386">
        <v>1.0</v>
      </c>
      <c r="G3050" s="74">
        <v>110000.0</v>
      </c>
      <c r="H3050" s="74">
        <v>0.0</v>
      </c>
      <c r="I3050" s="74">
        <f t="shared" si="1"/>
        <v>110000</v>
      </c>
      <c r="J3050" s="74">
        <f>IF(E3050="SERVICE",I3050-(I3050*50%),Vlookup(E3050,DATABASE!C:Q,10,false)*F3050)</f>
        <v>5000</v>
      </c>
      <c r="K3050" s="74">
        <f>VLOOKUP(E3050,DATABASE!C:Q,7,false)</f>
        <v>0</v>
      </c>
      <c r="L3050" s="74">
        <v>0.0</v>
      </c>
      <c r="M3050" s="74">
        <f t="shared" si="2"/>
        <v>0</v>
      </c>
      <c r="N3050" s="74">
        <f t="shared" si="3"/>
        <v>105000</v>
      </c>
      <c r="O3050" s="65" t="str">
        <f>VLOOKUP(E3050,DATABASE!C:Q,8,false)</f>
        <v>IBU</v>
      </c>
      <c r="P3050" s="65">
        <f>VLOOKUP(E3050,DATABASE!C:Q,9,False)</f>
        <v>0</v>
      </c>
      <c r="Q3050" s="93" t="str">
        <f>VLOOKUP(E3050,DATABASE!C:Q,4,false)</f>
        <v>SPOORING SS/CARRY LOS BAK</v>
      </c>
      <c r="R3050" s="93" t="str">
        <f>VLOOKUP(E3050,DATABASE!C:Q,11,false)</f>
        <v>SERVICE</v>
      </c>
    </row>
    <row r="3051" ht="22.5" customHeight="1">
      <c r="A3051" s="49"/>
      <c r="C3051" s="384">
        <v>45818.0</v>
      </c>
      <c r="D3051" s="65">
        <v>6013.0</v>
      </c>
      <c r="E3051" s="445" t="s">
        <v>531</v>
      </c>
      <c r="F3051" s="386">
        <v>1.0</v>
      </c>
      <c r="G3051" s="74">
        <v>70000.0</v>
      </c>
      <c r="H3051" s="74">
        <v>0.0</v>
      </c>
      <c r="I3051" s="74">
        <f t="shared" si="1"/>
        <v>70000</v>
      </c>
      <c r="J3051" s="74">
        <f>IF(E3051="SERVICE",I3051-(I3051*50%),Vlookup(E3051,DATABASE!C:Q,10,false)*F3051)</f>
        <v>0</v>
      </c>
      <c r="K3051" s="74">
        <f>VLOOKUP(E3051,DATABASE!C:Q,7,false)</f>
        <v>47000</v>
      </c>
      <c r="L3051" s="74">
        <v>47000.0</v>
      </c>
      <c r="M3051" s="74">
        <f t="shared" si="2"/>
        <v>50000</v>
      </c>
      <c r="N3051" s="74">
        <f t="shared" si="3"/>
        <v>20000</v>
      </c>
      <c r="O3051" s="65" t="str">
        <f>VLOOKUP(E3051,DATABASE!C:Q,8,false)</f>
        <v>BIAN</v>
      </c>
      <c r="P3051" s="65">
        <f>VLOOKUP(E3051,DATABASE!C:Q,9,False)</f>
        <v>1</v>
      </c>
      <c r="Q3051" s="93" t="str">
        <f>VLOOKUP(E3051,DATABASE!C:Q,4,false)</f>
        <v>BD</v>
      </c>
      <c r="R3051" s="93" t="str">
        <f>VLOOKUP(E3051,DATABASE!C:Q,11,false)</f>
        <v>Tire</v>
      </c>
    </row>
    <row r="3052" ht="22.5" customHeight="1">
      <c r="A3052" s="49"/>
      <c r="C3052" s="384">
        <v>45818.0</v>
      </c>
      <c r="D3052" s="65">
        <v>6014.0</v>
      </c>
      <c r="E3052" s="445" t="s">
        <v>246</v>
      </c>
      <c r="F3052" s="386">
        <v>4.0</v>
      </c>
      <c r="G3052" s="74">
        <v>25000.0</v>
      </c>
      <c r="H3052" s="74">
        <v>0.0</v>
      </c>
      <c r="I3052" s="74">
        <f t="shared" si="1"/>
        <v>100000</v>
      </c>
      <c r="J3052" s="74">
        <f>IF(E3052="SERVICE",I3052-(I3052*50%),Vlookup(E3052,DATABASE!C:Q,10,false)*F3052)</f>
        <v>0</v>
      </c>
      <c r="K3052" s="74">
        <f>VLOOKUP(E3052,DATABASE!C:Q,7,false)</f>
        <v>0</v>
      </c>
      <c r="L3052" s="74">
        <v>0.0</v>
      </c>
      <c r="M3052" s="74">
        <f t="shared" si="2"/>
        <v>0</v>
      </c>
      <c r="N3052" s="74">
        <f t="shared" si="3"/>
        <v>100000</v>
      </c>
      <c r="O3052" s="65" t="str">
        <f>VLOOKUP(E3052,DATABASE!C:Q,8,false)</f>
        <v>IBU</v>
      </c>
      <c r="P3052" s="65">
        <f>VLOOKUP(E3052,DATABASE!C:Q,9,False)</f>
        <v>0</v>
      </c>
      <c r="Q3052" s="93" t="str">
        <f>VLOOKUP(E3052,DATABASE!C:Q,4,false)</f>
        <v>Bongkar Pasang</v>
      </c>
      <c r="R3052" s="93" t="str">
        <f>VLOOKUP(E3052,DATABASE!C:Q,11,false)</f>
        <v>SERVICE</v>
      </c>
    </row>
    <row r="3053" ht="22.5" customHeight="1">
      <c r="A3053" s="49"/>
      <c r="C3053" s="384">
        <v>45818.0</v>
      </c>
      <c r="D3053" s="65">
        <v>6015.0</v>
      </c>
      <c r="E3053" s="445" t="s">
        <v>256</v>
      </c>
      <c r="F3053" s="386">
        <v>1.0</v>
      </c>
      <c r="G3053" s="74">
        <v>130000.0</v>
      </c>
      <c r="H3053" s="74">
        <v>0.0</v>
      </c>
      <c r="I3053" s="74">
        <f t="shared" si="1"/>
        <v>130000</v>
      </c>
      <c r="J3053" s="74">
        <f>IF(E3053="SERVICE",I3053-(I3053*50%),Vlookup(E3053,DATABASE!C:Q,10,false)*F3053)</f>
        <v>10000</v>
      </c>
      <c r="K3053" s="74">
        <f>VLOOKUP(E3053,DATABASE!C:Q,7,false)</f>
        <v>0</v>
      </c>
      <c r="L3053" s="74">
        <v>0.0</v>
      </c>
      <c r="M3053" s="74">
        <f t="shared" si="2"/>
        <v>0</v>
      </c>
      <c r="N3053" s="74">
        <f t="shared" si="3"/>
        <v>120000</v>
      </c>
      <c r="O3053" s="65" t="str">
        <f>VLOOKUP(E3053,DATABASE!C:Q,8,false)</f>
        <v>IBU</v>
      </c>
      <c r="P3053" s="65">
        <f>VLOOKUP(E3053,DATABASE!C:Q,9,False)</f>
        <v>0</v>
      </c>
      <c r="Q3053" s="93" t="str">
        <f>VLOOKUP(E3053,DATABASE!C:Q,4,false)</f>
        <v>SPOORING</v>
      </c>
      <c r="R3053" s="93" t="str">
        <f>VLOOKUP(E3053,DATABASE!C:Q,11,false)</f>
        <v>SERVICE</v>
      </c>
    </row>
    <row r="3054" ht="22.5" customHeight="1">
      <c r="A3054" s="49"/>
      <c r="C3054" s="384">
        <v>45818.0</v>
      </c>
      <c r="D3054" s="65">
        <v>6015.0</v>
      </c>
      <c r="E3054" s="385" t="s">
        <v>299</v>
      </c>
      <c r="F3054" s="386">
        <v>2.0</v>
      </c>
      <c r="G3054" s="74">
        <v>30000.0</v>
      </c>
      <c r="H3054" s="74">
        <v>0.0</v>
      </c>
      <c r="I3054" s="74">
        <f t="shared" si="1"/>
        <v>60000</v>
      </c>
      <c r="J3054" s="74">
        <f>IF(E3054="SERVICE",I3054-(I3054*50%),Vlookup(E3054,DATABASE!C:Q,10,false)*F3054)</f>
        <v>0</v>
      </c>
      <c r="K3054" s="74">
        <v>0.0</v>
      </c>
      <c r="L3054" s="74">
        <v>0.0</v>
      </c>
      <c r="M3054" s="74">
        <f t="shared" si="2"/>
        <v>0</v>
      </c>
      <c r="N3054" s="74">
        <f t="shared" si="3"/>
        <v>60000</v>
      </c>
      <c r="O3054" s="65" t="str">
        <f>VLOOKUP(E3054,DATABASE!C:Q,8,false)</f>
        <v>BIAN</v>
      </c>
      <c r="P3054" s="65">
        <f>VLOOKUP(E3054,DATABASE!C:Q,9,False)</f>
        <v>0</v>
      </c>
      <c r="Q3054" s="93" t="str">
        <f>VLOOKUP(E3054,DATABASE!C:Q,4,false)</f>
        <v>Balancing</v>
      </c>
      <c r="R3054" s="93" t="str">
        <f>VLOOKUP(E3054,DATABASE!C:Q,11,false)</f>
        <v>COMPLEMENTARY</v>
      </c>
    </row>
    <row r="3055" ht="22.5" customHeight="1">
      <c r="A3055" s="49"/>
      <c r="C3055" s="384">
        <v>45818.0</v>
      </c>
      <c r="D3055" s="65">
        <v>6015.0</v>
      </c>
      <c r="E3055" s="445" t="s">
        <v>301</v>
      </c>
      <c r="F3055" s="386">
        <v>1.0</v>
      </c>
      <c r="G3055" s="74">
        <v>250000.0</v>
      </c>
      <c r="H3055" s="74">
        <v>0.0</v>
      </c>
      <c r="I3055" s="74">
        <f t="shared" si="1"/>
        <v>250000</v>
      </c>
      <c r="J3055" s="74">
        <f>IF(E3055="SERVICE",I3055-(I3055*50%),Vlookup(E3055,DATABASE!C:Q,10,false)*F3055)</f>
        <v>75000</v>
      </c>
      <c r="K3055" s="74">
        <f>VLOOKUP(E3055,DATABASE!C:Q,7,false)</f>
        <v>75000</v>
      </c>
      <c r="L3055" s="74">
        <v>75000.0</v>
      </c>
      <c r="M3055" s="74">
        <f t="shared" si="2"/>
        <v>75000</v>
      </c>
      <c r="N3055" s="74">
        <f t="shared" si="3"/>
        <v>100000</v>
      </c>
      <c r="O3055" s="65" t="str">
        <f>VLOOKUP(E3055,DATABASE!C:Q,8,false)</f>
        <v>BIAN</v>
      </c>
      <c r="P3055" s="65">
        <f>VLOOKUP(E3055,DATABASE!C:Q,9,False)</f>
        <v>0</v>
      </c>
      <c r="Q3055" s="93" t="str">
        <f>VLOOKUP(E3055,DATABASE!C:Q,4,false)</f>
        <v>Baut Camber</v>
      </c>
      <c r="R3055" s="93" t="str">
        <f>VLOOKUP(E3055,DATABASE!C:Q,11,false)</f>
        <v>COMPLEMENTARY</v>
      </c>
    </row>
    <row r="3056" ht="22.5" customHeight="1">
      <c r="A3056" s="49"/>
      <c r="C3056" s="384">
        <v>45818.0</v>
      </c>
      <c r="D3056" s="65">
        <v>6016.0</v>
      </c>
      <c r="E3056" s="445" t="s">
        <v>937</v>
      </c>
      <c r="F3056" s="386">
        <v>1.0</v>
      </c>
      <c r="G3056" s="74">
        <v>900000.0</v>
      </c>
      <c r="H3056" s="74">
        <v>0.0</v>
      </c>
      <c r="I3056" s="74">
        <f t="shared" si="1"/>
        <v>900000</v>
      </c>
      <c r="J3056" s="74">
        <f>IF(E3056="SERVICE",I3056-(I3056*50%),Vlookup(E3056,DATABASE!C:Q,10,false)*F3056)</f>
        <v>0</v>
      </c>
      <c r="K3056" s="74">
        <f>VLOOKUP(E3056,DATABASE!C:Q,7,false)</f>
        <v>825000</v>
      </c>
      <c r="L3056" s="74">
        <v>790000.0</v>
      </c>
      <c r="M3056" s="74">
        <f t="shared" si="2"/>
        <v>790000</v>
      </c>
      <c r="N3056" s="74">
        <f t="shared" si="3"/>
        <v>110000</v>
      </c>
      <c r="O3056" s="65" t="str">
        <f>VLOOKUP(E3056,DATABASE!C:Q,8,false)</f>
        <v>IBU</v>
      </c>
      <c r="P3056" s="65">
        <f>VLOOKUP(E3056,DATABASE!C:Q,9,False)</f>
        <v>1</v>
      </c>
      <c r="Q3056" s="93" t="str">
        <f>VLOOKUP(E3056,DATABASE!C:Q,4,false)</f>
        <v>Bridgestone</v>
      </c>
      <c r="R3056" s="93" t="str">
        <f>VLOOKUP(E3056,DATABASE!C:Q,11,false)</f>
        <v>Tire</v>
      </c>
    </row>
    <row r="3057" ht="22.5" customHeight="1">
      <c r="A3057" s="49"/>
      <c r="C3057" s="384">
        <v>45818.0</v>
      </c>
      <c r="D3057" s="65">
        <v>6017.0</v>
      </c>
      <c r="E3057" s="445" t="s">
        <v>856</v>
      </c>
      <c r="F3057" s="386">
        <v>2.0</v>
      </c>
      <c r="G3057" s="74">
        <v>670000.0</v>
      </c>
      <c r="H3057" s="74">
        <v>0.0</v>
      </c>
      <c r="I3057" s="74">
        <f t="shared" si="1"/>
        <v>1340000</v>
      </c>
      <c r="J3057" s="74">
        <f>IF(E3057="SERVICE",I3057-(I3057*50%),Vlookup(E3057,DATABASE!C:Q,10,false)*F3057)</f>
        <v>0</v>
      </c>
      <c r="K3057" s="74">
        <f>VLOOKUP(E3057,DATABASE!C:Q,7,false)</f>
        <v>615300</v>
      </c>
      <c r="L3057" s="74">
        <v>581120.0</v>
      </c>
      <c r="M3057" s="74">
        <f t="shared" si="2"/>
        <v>585000</v>
      </c>
      <c r="N3057" s="74">
        <f t="shared" si="3"/>
        <v>170000</v>
      </c>
      <c r="O3057" s="65" t="str">
        <f>VLOOKUP(E3057,DATABASE!C:Q,8,false)</f>
        <v>BIAN</v>
      </c>
      <c r="P3057" s="65">
        <f>VLOOKUP(E3057,DATABASE!C:Q,9,False)</f>
        <v>1</v>
      </c>
      <c r="Q3057" s="93" t="str">
        <f>VLOOKUP(E3057,DATABASE!C:Q,4,false)</f>
        <v>GT</v>
      </c>
      <c r="R3057" s="93" t="str">
        <f>VLOOKUP(E3057,DATABASE!C:Q,11,false)</f>
        <v>Tire</v>
      </c>
    </row>
    <row r="3058" ht="22.5" customHeight="1">
      <c r="A3058" s="49"/>
      <c r="C3058" s="384">
        <v>45818.0</v>
      </c>
      <c r="D3058" s="65">
        <v>6018.0</v>
      </c>
      <c r="E3058" s="445" t="s">
        <v>256</v>
      </c>
      <c r="F3058" s="386">
        <v>1.0</v>
      </c>
      <c r="G3058" s="74">
        <v>130000.0</v>
      </c>
      <c r="H3058" s="74">
        <v>0.0</v>
      </c>
      <c r="I3058" s="74">
        <f t="shared" si="1"/>
        <v>130000</v>
      </c>
      <c r="J3058" s="74">
        <f>IF(E3058="SERVICE",I3058-(I3058*50%),Vlookup(E3058,DATABASE!C:Q,10,false)*F3058)</f>
        <v>10000</v>
      </c>
      <c r="K3058" s="74">
        <f>VLOOKUP(E3058,DATABASE!C:Q,7,false)</f>
        <v>0</v>
      </c>
      <c r="L3058" s="74">
        <v>0.0</v>
      </c>
      <c r="M3058" s="74">
        <f t="shared" si="2"/>
        <v>0</v>
      </c>
      <c r="N3058" s="74">
        <f t="shared" si="3"/>
        <v>120000</v>
      </c>
      <c r="O3058" s="65" t="str">
        <f>VLOOKUP(E3058,DATABASE!C:Q,8,false)</f>
        <v>IBU</v>
      </c>
      <c r="P3058" s="65">
        <f>VLOOKUP(E3058,DATABASE!C:Q,9,False)</f>
        <v>0</v>
      </c>
      <c r="Q3058" s="93" t="str">
        <f>VLOOKUP(E3058,DATABASE!C:Q,4,false)</f>
        <v>SPOORING</v>
      </c>
      <c r="R3058" s="93" t="str">
        <f>VLOOKUP(E3058,DATABASE!C:Q,11,false)</f>
        <v>SERVICE</v>
      </c>
    </row>
    <row r="3059" ht="22.5" customHeight="1">
      <c r="A3059" s="49"/>
      <c r="C3059" s="384">
        <v>45818.0</v>
      </c>
      <c r="D3059" s="65">
        <v>6019.0</v>
      </c>
      <c r="E3059" s="445" t="s">
        <v>2050</v>
      </c>
      <c r="F3059" s="386">
        <v>2.0</v>
      </c>
      <c r="G3059" s="74">
        <v>580000.0</v>
      </c>
      <c r="H3059" s="74">
        <v>0.0</v>
      </c>
      <c r="I3059" s="74">
        <f t="shared" si="1"/>
        <v>1160000</v>
      </c>
      <c r="J3059" s="74">
        <f>IF(E3059="SERVICE",I3059-(I3059*50%),Vlookup(E3059,DATABASE!C:Q,10,false)*F3059)</f>
        <v>0</v>
      </c>
      <c r="K3059" s="74">
        <f>VLOOKUP(E3059,DATABASE!C:Q,7,false)</f>
        <v>506000</v>
      </c>
      <c r="L3059" s="74">
        <v>506000.0</v>
      </c>
      <c r="M3059" s="74">
        <f t="shared" si="2"/>
        <v>510000</v>
      </c>
      <c r="N3059" s="74">
        <f t="shared" si="3"/>
        <v>140000</v>
      </c>
      <c r="O3059" s="65" t="str">
        <f>VLOOKUP(E3059,DATABASE!C:Q,8,false)</f>
        <v>BIAN</v>
      </c>
      <c r="P3059" s="65">
        <f>VLOOKUP(E3059,DATABASE!C:Q,9,False)</f>
        <v>1</v>
      </c>
      <c r="Q3059" s="93" t="str">
        <f>VLOOKUP(E3059,DATABASE!C:Q,4,false)</f>
        <v>HANKOOK</v>
      </c>
      <c r="R3059" s="93" t="str">
        <f>VLOOKUP(E3059,DATABASE!C:Q,11,false)</f>
        <v>Tire</v>
      </c>
    </row>
    <row r="3060" ht="22.5" customHeight="1">
      <c r="A3060" s="49"/>
      <c r="C3060" s="384">
        <v>45818.0</v>
      </c>
      <c r="D3060" s="65">
        <v>6020.0</v>
      </c>
      <c r="E3060" s="445" t="s">
        <v>256</v>
      </c>
      <c r="F3060" s="386">
        <v>1.0</v>
      </c>
      <c r="G3060" s="74">
        <v>130000.0</v>
      </c>
      <c r="H3060" s="74">
        <v>0.0</v>
      </c>
      <c r="I3060" s="74">
        <f t="shared" si="1"/>
        <v>130000</v>
      </c>
      <c r="J3060" s="74">
        <f>IF(E3060="SERVICE",I3060-(I3060*50%),Vlookup(E3060,DATABASE!C:Q,10,false)*F3060)</f>
        <v>10000</v>
      </c>
      <c r="K3060" s="74">
        <f>VLOOKUP(E3060,DATABASE!C:Q,7,false)</f>
        <v>0</v>
      </c>
      <c r="L3060" s="74">
        <v>0.0</v>
      </c>
      <c r="M3060" s="74">
        <f t="shared" si="2"/>
        <v>0</v>
      </c>
      <c r="N3060" s="74">
        <f t="shared" si="3"/>
        <v>120000</v>
      </c>
      <c r="O3060" s="65" t="str">
        <f>VLOOKUP(E3060,DATABASE!C:Q,8,false)</f>
        <v>IBU</v>
      </c>
      <c r="P3060" s="65">
        <f>VLOOKUP(E3060,DATABASE!C:Q,9,False)</f>
        <v>0</v>
      </c>
      <c r="Q3060" s="93" t="str">
        <f>VLOOKUP(E3060,DATABASE!C:Q,4,false)</f>
        <v>SPOORING</v>
      </c>
      <c r="R3060" s="93" t="str">
        <f>VLOOKUP(E3060,DATABASE!C:Q,11,false)</f>
        <v>SERVICE</v>
      </c>
    </row>
    <row r="3061" ht="22.5" customHeight="1">
      <c r="A3061" s="49"/>
      <c r="C3061" s="384">
        <v>45818.0</v>
      </c>
      <c r="D3061" s="65">
        <v>6020.0</v>
      </c>
      <c r="E3061" s="385" t="s">
        <v>299</v>
      </c>
      <c r="F3061" s="386">
        <v>2.0</v>
      </c>
      <c r="G3061" s="74">
        <v>30000.0</v>
      </c>
      <c r="H3061" s="74">
        <v>0.0</v>
      </c>
      <c r="I3061" s="74">
        <f t="shared" si="1"/>
        <v>60000</v>
      </c>
      <c r="J3061" s="74">
        <f>IF(E3061="SERVICE",I3061-(I3061*50%),Vlookup(E3061,DATABASE!C:Q,10,false)*F3061)</f>
        <v>0</v>
      </c>
      <c r="K3061" s="74">
        <v>0.0</v>
      </c>
      <c r="L3061" s="74">
        <v>0.0</v>
      </c>
      <c r="M3061" s="74">
        <f t="shared" si="2"/>
        <v>0</v>
      </c>
      <c r="N3061" s="74">
        <f t="shared" si="3"/>
        <v>60000</v>
      </c>
      <c r="O3061" s="65" t="str">
        <f>VLOOKUP(E3061,DATABASE!C:Q,8,false)</f>
        <v>BIAN</v>
      </c>
      <c r="P3061" s="65">
        <f>VLOOKUP(E3061,DATABASE!C:Q,9,False)</f>
        <v>0</v>
      </c>
      <c r="Q3061" s="93" t="str">
        <f>VLOOKUP(E3061,DATABASE!C:Q,4,false)</f>
        <v>Balancing</v>
      </c>
      <c r="R3061" s="93" t="str">
        <f>VLOOKUP(E3061,DATABASE!C:Q,11,false)</f>
        <v>COMPLEMENTARY</v>
      </c>
    </row>
    <row r="3062" ht="22.5" customHeight="1">
      <c r="A3062" s="49"/>
      <c r="C3062" s="384">
        <v>45818.0</v>
      </c>
      <c r="D3062" s="65">
        <v>6021.0</v>
      </c>
      <c r="E3062" s="445" t="s">
        <v>777</v>
      </c>
      <c r="F3062" s="386">
        <v>2.0</v>
      </c>
      <c r="G3062" s="74">
        <v>585000.0</v>
      </c>
      <c r="H3062" s="74">
        <v>0.0</v>
      </c>
      <c r="I3062" s="74">
        <f t="shared" si="1"/>
        <v>1170000</v>
      </c>
      <c r="J3062" s="74">
        <f>IF(E3062="SERVICE",I3062-(I3062*50%),Vlookup(E3062,DATABASE!C:Q,10,false)*F3062)</f>
        <v>0</v>
      </c>
      <c r="K3062" s="74">
        <f>VLOOKUP(E3062,DATABASE!C:Q,7,false)</f>
        <v>540000</v>
      </c>
      <c r="L3062" s="74">
        <v>507000.0</v>
      </c>
      <c r="M3062" s="74">
        <f t="shared" si="2"/>
        <v>510000</v>
      </c>
      <c r="N3062" s="74">
        <f t="shared" si="3"/>
        <v>150000</v>
      </c>
      <c r="O3062" s="65" t="str">
        <f>VLOOKUP(E3062,DATABASE!C:Q,8,false)</f>
        <v>BIAN</v>
      </c>
      <c r="P3062" s="65">
        <f>VLOOKUP(E3062,DATABASE!C:Q,9,False)</f>
        <v>1</v>
      </c>
      <c r="Q3062" s="93" t="str">
        <f>VLOOKUP(E3062,DATABASE!C:Q,4,false)</f>
        <v>GT</v>
      </c>
      <c r="R3062" s="93" t="str">
        <f>VLOOKUP(E3062,DATABASE!C:Q,11,false)</f>
        <v>Tire</v>
      </c>
    </row>
    <row r="3063" ht="22.5" customHeight="1">
      <c r="A3063" s="49"/>
      <c r="C3063" s="384">
        <v>45818.0</v>
      </c>
      <c r="D3063" s="65">
        <v>6021.0</v>
      </c>
      <c r="E3063" s="445" t="s">
        <v>250</v>
      </c>
      <c r="F3063" s="386">
        <v>1.0</v>
      </c>
      <c r="G3063" s="74">
        <v>135000.0</v>
      </c>
      <c r="H3063" s="74">
        <v>0.0</v>
      </c>
      <c r="I3063" s="74">
        <f t="shared" si="1"/>
        <v>135000</v>
      </c>
      <c r="J3063" s="74">
        <f>IF(E3063="SERVICE",I3063-(I3063*50%),Vlookup(E3063,DATABASE!C:Q,10,false)*F3063)</f>
        <v>0</v>
      </c>
      <c r="K3063" s="74">
        <f>VLOOKUP(E3063,DATABASE!C:Q,7,false)</f>
        <v>102000</v>
      </c>
      <c r="L3063" s="74">
        <v>102000.0</v>
      </c>
      <c r="M3063" s="74">
        <f t="shared" si="2"/>
        <v>105000</v>
      </c>
      <c r="N3063" s="74">
        <f t="shared" si="3"/>
        <v>30000</v>
      </c>
      <c r="O3063" s="65" t="str">
        <f>VLOOKUP(E3063,DATABASE!C:Q,8,false)</f>
        <v>BIAN</v>
      </c>
      <c r="P3063" s="65">
        <f>VLOOKUP(E3063,DATABASE!C:Q,9,False)</f>
        <v>1</v>
      </c>
      <c r="Q3063" s="93" t="str">
        <f>VLOOKUP(E3063,DATABASE!C:Q,4,false)</f>
        <v>BD</v>
      </c>
      <c r="R3063" s="93" t="str">
        <f>VLOOKUP(E3063,DATABASE!C:Q,11,false)</f>
        <v>Tire</v>
      </c>
    </row>
    <row r="3064" ht="22.5" customHeight="1">
      <c r="A3064" s="49"/>
      <c r="C3064" s="384">
        <v>45818.0</v>
      </c>
      <c r="D3064" s="65">
        <v>6022.0</v>
      </c>
      <c r="E3064" s="445" t="s">
        <v>268</v>
      </c>
      <c r="F3064" s="386">
        <v>5.0</v>
      </c>
      <c r="G3064" s="74">
        <v>720000.0</v>
      </c>
      <c r="H3064" s="74">
        <v>0.0</v>
      </c>
      <c r="I3064" s="74">
        <f t="shared" si="1"/>
        <v>3600000</v>
      </c>
      <c r="J3064" s="74">
        <f>IF(E3064="SERVICE",I3064-(I3064*50%),Vlookup(E3064,DATABASE!C:Q,10,false)*F3064)</f>
        <v>0</v>
      </c>
      <c r="K3064" s="74">
        <f>VLOOKUP(E3064,DATABASE!C:Q,7,false)</f>
        <v>653000</v>
      </c>
      <c r="L3064" s="74">
        <v>622000.0</v>
      </c>
      <c r="M3064" s="74">
        <f t="shared" si="2"/>
        <v>625000</v>
      </c>
      <c r="N3064" s="74">
        <f t="shared" si="3"/>
        <v>475000</v>
      </c>
      <c r="O3064" s="65" t="str">
        <f>VLOOKUP(E3064,DATABASE!C:Q,8,false)</f>
        <v>IBU</v>
      </c>
      <c r="P3064" s="65">
        <f>VLOOKUP(E3064,DATABASE!C:Q,9,False)</f>
        <v>1</v>
      </c>
      <c r="Q3064" s="93" t="str">
        <f>VLOOKUP(E3064,DATABASE!C:Q,4,false)</f>
        <v>Dunlop</v>
      </c>
      <c r="R3064" s="93" t="str">
        <f>VLOOKUP(E3064,DATABASE!C:Q,11,false)</f>
        <v>Tire</v>
      </c>
    </row>
    <row r="3065" ht="22.5" customHeight="1">
      <c r="A3065" s="49"/>
      <c r="C3065" s="384">
        <v>45818.0</v>
      </c>
      <c r="D3065" s="65">
        <v>6023.0</v>
      </c>
      <c r="E3065" s="445" t="s">
        <v>288</v>
      </c>
      <c r="F3065" s="386">
        <v>2.0</v>
      </c>
      <c r="G3065" s="74">
        <v>620000.0</v>
      </c>
      <c r="H3065" s="74">
        <v>0.0</v>
      </c>
      <c r="I3065" s="74">
        <f t="shared" si="1"/>
        <v>1240000</v>
      </c>
      <c r="J3065" s="74">
        <f>IF(E3065="SERVICE",I3065-(I3065*50%),Vlookup(E3065,DATABASE!C:Q,10,false)*F3065)</f>
        <v>0</v>
      </c>
      <c r="K3065" s="74">
        <f>VLOOKUP(E3065,DATABASE!C:Q,7,false)</f>
        <v>565760</v>
      </c>
      <c r="L3065" s="74">
        <v>524800.0</v>
      </c>
      <c r="M3065" s="74">
        <f t="shared" si="2"/>
        <v>525000</v>
      </c>
      <c r="N3065" s="74">
        <f t="shared" si="3"/>
        <v>190000</v>
      </c>
      <c r="O3065" s="65" t="str">
        <f>VLOOKUP(E3065,DATABASE!C:Q,8,false)</f>
        <v>BIAN</v>
      </c>
      <c r="P3065" s="65">
        <f>VLOOKUP(E3065,DATABASE!C:Q,9,False)</f>
        <v>1</v>
      </c>
      <c r="Q3065" s="93" t="str">
        <f>VLOOKUP(E3065,DATABASE!C:Q,4,false)</f>
        <v>GT</v>
      </c>
      <c r="R3065" s="93" t="str">
        <f>VLOOKUP(E3065,DATABASE!C:Q,11,false)</f>
        <v>Tire</v>
      </c>
    </row>
    <row r="3066" ht="22.5" customHeight="1">
      <c r="A3066" s="49"/>
      <c r="C3066" s="384">
        <v>45818.0</v>
      </c>
      <c r="D3066" s="65">
        <v>6023.0</v>
      </c>
      <c r="E3066" s="445" t="s">
        <v>262</v>
      </c>
      <c r="F3066" s="386">
        <v>1.0</v>
      </c>
      <c r="G3066" s="74">
        <v>110000.0</v>
      </c>
      <c r="H3066" s="74">
        <v>0.0</v>
      </c>
      <c r="I3066" s="74">
        <f t="shared" si="1"/>
        <v>110000</v>
      </c>
      <c r="J3066" s="74">
        <f>IF(E3066="SERVICE",I3066-(I3066*50%),Vlookup(E3066,DATABASE!C:Q,10,false)*F3066)</f>
        <v>5000</v>
      </c>
      <c r="K3066" s="74">
        <f>VLOOKUP(E3066,DATABASE!C:Q,7,false)</f>
        <v>0</v>
      </c>
      <c r="L3066" s="74">
        <v>0.0</v>
      </c>
      <c r="M3066" s="74">
        <f t="shared" si="2"/>
        <v>0</v>
      </c>
      <c r="N3066" s="74">
        <f t="shared" si="3"/>
        <v>105000</v>
      </c>
      <c r="O3066" s="65" t="str">
        <f>VLOOKUP(E3066,DATABASE!C:Q,8,false)</f>
        <v>IBU</v>
      </c>
      <c r="P3066" s="65">
        <f>VLOOKUP(E3066,DATABASE!C:Q,9,False)</f>
        <v>0</v>
      </c>
      <c r="Q3066" s="93" t="str">
        <f>VLOOKUP(E3066,DATABASE!C:Q,4,false)</f>
        <v>SPOORING SS/CARRY LOS BAK</v>
      </c>
      <c r="R3066" s="93" t="str">
        <f>VLOOKUP(E3066,DATABASE!C:Q,11,false)</f>
        <v>SERVICE</v>
      </c>
    </row>
    <row r="3067" ht="22.5" customHeight="1">
      <c r="A3067" s="49"/>
      <c r="C3067" s="384">
        <v>45818.0</v>
      </c>
      <c r="D3067" s="65">
        <v>6023.0</v>
      </c>
      <c r="E3067" s="445" t="s">
        <v>251</v>
      </c>
      <c r="F3067" s="386">
        <v>1.0</v>
      </c>
      <c r="G3067" s="74">
        <v>220000.0</v>
      </c>
      <c r="H3067" s="74">
        <v>0.0</v>
      </c>
      <c r="I3067" s="74">
        <f t="shared" si="1"/>
        <v>220000</v>
      </c>
      <c r="J3067" s="74">
        <f>IF(E3067="SERVICE",I3067-(I3067*50%),Vlookup(E3067,DATABASE!C:Q,10,false)*F3067)</f>
        <v>110000</v>
      </c>
      <c r="K3067" s="74">
        <f>VLOOKUP(E3067,DATABASE!C:Q,7,false)</f>
        <v>0</v>
      </c>
      <c r="L3067" s="74">
        <v>0.0</v>
      </c>
      <c r="M3067" s="74">
        <f t="shared" si="2"/>
        <v>0</v>
      </c>
      <c r="N3067" s="74">
        <f t="shared" si="3"/>
        <v>110000</v>
      </c>
      <c r="O3067" s="65" t="str">
        <f>VLOOKUP(E3067,DATABASE!C:Q,8,false)</f>
        <v>IBU</v>
      </c>
      <c r="P3067" s="65">
        <f>VLOOKUP(E3067,DATABASE!C:Q,9,False)</f>
        <v>0</v>
      </c>
      <c r="Q3067" s="93" t="str">
        <f>VLOOKUP(E3067,DATABASE!C:Q,4,false)</f>
        <v>SERVICE</v>
      </c>
      <c r="R3067" s="93" t="str">
        <f>VLOOKUP(E3067,DATABASE!C:Q,11,false)</f>
        <v>SERVICE</v>
      </c>
    </row>
    <row r="3068" ht="22.5" customHeight="1">
      <c r="A3068" s="49"/>
      <c r="C3068" s="384">
        <v>45818.0</v>
      </c>
      <c r="D3068" s="65">
        <v>6024.0</v>
      </c>
      <c r="E3068" s="445" t="s">
        <v>268</v>
      </c>
      <c r="F3068" s="386">
        <v>4.0</v>
      </c>
      <c r="G3068" s="74">
        <v>720000.0</v>
      </c>
      <c r="H3068" s="74">
        <v>0.0</v>
      </c>
      <c r="I3068" s="74">
        <f t="shared" si="1"/>
        <v>2880000</v>
      </c>
      <c r="J3068" s="74">
        <f>IF(E3068="SERVICE",I3068-(I3068*50%),Vlookup(E3068,DATABASE!C:Q,10,false)*F3068)</f>
        <v>0</v>
      </c>
      <c r="K3068" s="74">
        <f>VLOOKUP(E3068,DATABASE!C:Q,7,false)</f>
        <v>653000</v>
      </c>
      <c r="L3068" s="74">
        <v>622000.0</v>
      </c>
      <c r="M3068" s="74">
        <f t="shared" si="2"/>
        <v>625000</v>
      </c>
      <c r="N3068" s="74">
        <f t="shared" si="3"/>
        <v>380000</v>
      </c>
      <c r="O3068" s="65" t="str">
        <f>VLOOKUP(E3068,DATABASE!C:Q,8,false)</f>
        <v>IBU</v>
      </c>
      <c r="P3068" s="65">
        <f>VLOOKUP(E3068,DATABASE!C:Q,9,False)</f>
        <v>1</v>
      </c>
      <c r="Q3068" s="93" t="str">
        <f>VLOOKUP(E3068,DATABASE!C:Q,4,false)</f>
        <v>Dunlop</v>
      </c>
      <c r="R3068" s="93" t="str">
        <f>VLOOKUP(E3068,DATABASE!C:Q,11,false)</f>
        <v>Tire</v>
      </c>
    </row>
    <row r="3069" ht="22.5" customHeight="1">
      <c r="A3069" s="49"/>
      <c r="C3069" s="384">
        <v>45818.0</v>
      </c>
      <c r="D3069" s="65">
        <v>6025.0</v>
      </c>
      <c r="E3069" s="445" t="s">
        <v>591</v>
      </c>
      <c r="F3069" s="386">
        <v>1.0</v>
      </c>
      <c r="G3069" s="74">
        <v>700000.0</v>
      </c>
      <c r="H3069" s="74">
        <v>0.0</v>
      </c>
      <c r="I3069" s="74">
        <f t="shared" si="1"/>
        <v>700000</v>
      </c>
      <c r="J3069" s="74">
        <f>IF(E3069="SERVICE",I3069-(I3069*50%),Vlookup(E3069,DATABASE!C:Q,10,false)*F3069)</f>
        <v>0</v>
      </c>
      <c r="K3069" s="74">
        <f>VLOOKUP(E3069,DATABASE!C:Q,7,false)</f>
        <v>633035.16</v>
      </c>
      <c r="L3069" s="74">
        <v>593488.4</v>
      </c>
      <c r="M3069" s="74">
        <f t="shared" si="2"/>
        <v>595000</v>
      </c>
      <c r="N3069" s="74">
        <f t="shared" si="3"/>
        <v>105000</v>
      </c>
      <c r="O3069" s="65" t="str">
        <f>VLOOKUP(E3069,DATABASE!C:Q,8,false)</f>
        <v>IBU</v>
      </c>
      <c r="P3069" s="65">
        <f>VLOOKUP(E3069,DATABASE!C:Q,9,False)</f>
        <v>1</v>
      </c>
      <c r="Q3069" s="93" t="str">
        <f>VLOOKUP(E3069,DATABASE!C:Q,4,false)</f>
        <v>Bridgestone</v>
      </c>
      <c r="R3069" s="93" t="str">
        <f>VLOOKUP(E3069,DATABASE!C:Q,11,false)</f>
        <v>Tire</v>
      </c>
    </row>
    <row r="3070" ht="22.5" customHeight="1">
      <c r="A3070" s="49"/>
      <c r="C3070" s="384">
        <v>45818.0</v>
      </c>
      <c r="D3070" s="65">
        <v>6025.0</v>
      </c>
      <c r="E3070" s="445" t="s">
        <v>256</v>
      </c>
      <c r="F3070" s="386">
        <v>1.0</v>
      </c>
      <c r="G3070" s="74">
        <v>130000.0</v>
      </c>
      <c r="H3070" s="74">
        <v>0.0</v>
      </c>
      <c r="I3070" s="74">
        <f t="shared" si="1"/>
        <v>130000</v>
      </c>
      <c r="J3070" s="74">
        <f>IF(E3070="SERVICE",I3070-(I3070*50%),Vlookup(E3070,DATABASE!C:Q,10,false)*F3070)</f>
        <v>10000</v>
      </c>
      <c r="K3070" s="74">
        <f>VLOOKUP(E3070,DATABASE!C:Q,7,false)</f>
        <v>0</v>
      </c>
      <c r="L3070" s="74">
        <v>0.0</v>
      </c>
      <c r="M3070" s="74">
        <f t="shared" si="2"/>
        <v>0</v>
      </c>
      <c r="N3070" s="74">
        <f t="shared" si="3"/>
        <v>120000</v>
      </c>
      <c r="O3070" s="65" t="str">
        <f>VLOOKUP(E3070,DATABASE!C:Q,8,false)</f>
        <v>IBU</v>
      </c>
      <c r="P3070" s="65">
        <f>VLOOKUP(E3070,DATABASE!C:Q,9,False)</f>
        <v>0</v>
      </c>
      <c r="Q3070" s="93" t="str">
        <f>VLOOKUP(E3070,DATABASE!C:Q,4,false)</f>
        <v>SPOORING</v>
      </c>
      <c r="R3070" s="93" t="str">
        <f>VLOOKUP(E3070,DATABASE!C:Q,11,false)</f>
        <v>SERVICE</v>
      </c>
    </row>
    <row r="3071" ht="22.5" customHeight="1">
      <c r="A3071" s="49"/>
      <c r="C3071" s="384">
        <v>45818.0</v>
      </c>
      <c r="D3071" s="65">
        <v>6026.0</v>
      </c>
      <c r="E3071" s="445" t="s">
        <v>288</v>
      </c>
      <c r="F3071" s="386">
        <v>4.0</v>
      </c>
      <c r="G3071" s="74">
        <v>620000.0</v>
      </c>
      <c r="H3071" s="74">
        <v>0.0</v>
      </c>
      <c r="I3071" s="74">
        <f t="shared" si="1"/>
        <v>2480000</v>
      </c>
      <c r="J3071" s="74">
        <f>IF(E3071="SERVICE",I3071-(I3071*50%),Vlookup(E3071,DATABASE!C:Q,10,false)*F3071)</f>
        <v>0</v>
      </c>
      <c r="K3071" s="74">
        <f>VLOOKUP(E3071,DATABASE!C:Q,7,false)</f>
        <v>565760</v>
      </c>
      <c r="L3071" s="74">
        <v>524800.0</v>
      </c>
      <c r="M3071" s="74">
        <f t="shared" si="2"/>
        <v>525000</v>
      </c>
      <c r="N3071" s="74">
        <f t="shared" si="3"/>
        <v>380000</v>
      </c>
      <c r="O3071" s="65" t="str">
        <f>VLOOKUP(E3071,DATABASE!C:Q,8,false)</f>
        <v>BIAN</v>
      </c>
      <c r="P3071" s="65">
        <f>VLOOKUP(E3071,DATABASE!C:Q,9,False)</f>
        <v>1</v>
      </c>
      <c r="Q3071" s="93" t="str">
        <f>VLOOKUP(E3071,DATABASE!C:Q,4,false)</f>
        <v>GT</v>
      </c>
      <c r="R3071" s="93" t="str">
        <f>VLOOKUP(E3071,DATABASE!C:Q,11,false)</f>
        <v>Tire</v>
      </c>
    </row>
    <row r="3072" ht="22.5" customHeight="1">
      <c r="A3072" s="49"/>
      <c r="C3072" s="384">
        <v>45818.0</v>
      </c>
      <c r="D3072" s="65">
        <v>6027.0</v>
      </c>
      <c r="E3072" s="445" t="s">
        <v>932</v>
      </c>
      <c r="F3072" s="386">
        <v>1.0</v>
      </c>
      <c r="G3072" s="74">
        <v>700000.0</v>
      </c>
      <c r="H3072" s="74">
        <v>0.0</v>
      </c>
      <c r="I3072" s="74">
        <f t="shared" si="1"/>
        <v>700000</v>
      </c>
      <c r="J3072" s="74">
        <f>IF(E3072="SERVICE",I3072-(I3072*50%),Vlookup(E3072,DATABASE!C:Q,10,false)*F3072)</f>
        <v>0</v>
      </c>
      <c r="K3072" s="74">
        <f>VLOOKUP(E3072,DATABASE!C:Q,7,false)</f>
        <v>601000</v>
      </c>
      <c r="L3072" s="74">
        <v>595000.0</v>
      </c>
      <c r="M3072" s="74">
        <f t="shared" si="2"/>
        <v>595000</v>
      </c>
      <c r="N3072" s="74">
        <f t="shared" si="3"/>
        <v>105000</v>
      </c>
      <c r="O3072" s="65" t="str">
        <f>VLOOKUP(E3072,DATABASE!C:Q,8,false)</f>
        <v>IBU</v>
      </c>
      <c r="P3072" s="65">
        <f>VLOOKUP(E3072,DATABASE!C:Q,9,False)</f>
        <v>1</v>
      </c>
      <c r="Q3072" s="93" t="str">
        <f>VLOOKUP(E3072,DATABASE!C:Q,4,false)</f>
        <v>Dunlop</v>
      </c>
      <c r="R3072" s="93" t="str">
        <f>VLOOKUP(E3072,DATABASE!C:Q,11,false)</f>
        <v>Tire</v>
      </c>
    </row>
    <row r="3073" ht="22.5" customHeight="1">
      <c r="A3073" s="49"/>
      <c r="C3073" s="384">
        <v>45819.0</v>
      </c>
      <c r="D3073" s="65">
        <v>6028.0</v>
      </c>
      <c r="E3073" s="445" t="s">
        <v>255</v>
      </c>
      <c r="F3073" s="386">
        <v>1.0</v>
      </c>
      <c r="G3073" s="74">
        <v>200000.0</v>
      </c>
      <c r="H3073" s="74">
        <v>0.0</v>
      </c>
      <c r="I3073" s="74">
        <f t="shared" si="1"/>
        <v>200000</v>
      </c>
      <c r="J3073" s="74">
        <f>IF(E3073="SERVICE",I3073-(I3073*50%),Vlookup(E3073,DATABASE!C:Q,10,false)*F3073)</f>
        <v>0</v>
      </c>
      <c r="K3073" s="74">
        <f>VLOOKUP(E3073,DATABASE!C:Q,7,false)</f>
        <v>161840</v>
      </c>
      <c r="L3073" s="74">
        <v>161840.0</v>
      </c>
      <c r="M3073" s="74">
        <f t="shared" si="2"/>
        <v>165000</v>
      </c>
      <c r="N3073" s="74">
        <f t="shared" si="3"/>
        <v>35000</v>
      </c>
      <c r="O3073" s="65" t="str">
        <f>VLOOKUP(E3073,DATABASE!C:Q,8,false)</f>
        <v>BIAN</v>
      </c>
      <c r="P3073" s="65">
        <f>VLOOKUP(E3073,DATABASE!C:Q,9,False)</f>
        <v>1</v>
      </c>
      <c r="Q3073" s="93" t="str">
        <f>VLOOKUP(E3073,DATABASE!C:Q,4,false)</f>
        <v>BD</v>
      </c>
      <c r="R3073" s="93" t="str">
        <f>VLOOKUP(E3073,DATABASE!C:Q,11,false)</f>
        <v>Tire</v>
      </c>
    </row>
    <row r="3074" ht="22.5" customHeight="1">
      <c r="A3074" s="49"/>
      <c r="C3074" s="384">
        <v>45819.0</v>
      </c>
      <c r="D3074" s="65">
        <v>6029.0</v>
      </c>
      <c r="E3074" s="445" t="s">
        <v>1429</v>
      </c>
      <c r="F3074" s="386">
        <v>1.0</v>
      </c>
      <c r="G3074" s="74">
        <v>950000.0</v>
      </c>
      <c r="H3074" s="74">
        <v>0.0</v>
      </c>
      <c r="I3074" s="74">
        <f t="shared" si="1"/>
        <v>950000</v>
      </c>
      <c r="J3074" s="74">
        <f>IF(E3074="SERVICE",I3074-(I3074*50%),Vlookup(E3074,DATABASE!C:Q,10,false)*F3074)</f>
        <v>0</v>
      </c>
      <c r="K3074" s="74">
        <f>VLOOKUP(E3074,DATABASE!C:Q,7,false)</f>
        <v>849000</v>
      </c>
      <c r="L3074" s="74">
        <v>849000.0</v>
      </c>
      <c r="M3074" s="74">
        <f t="shared" si="2"/>
        <v>850000</v>
      </c>
      <c r="N3074" s="74">
        <f t="shared" si="3"/>
        <v>100000</v>
      </c>
      <c r="O3074" s="65" t="str">
        <f>VLOOKUP(E3074,DATABASE!C:Q,8,false)</f>
        <v>IBU</v>
      </c>
      <c r="P3074" s="65">
        <f>VLOOKUP(E3074,DATABASE!C:Q,9,False)</f>
        <v>1</v>
      </c>
      <c r="Q3074" s="93" t="str">
        <f>VLOOKUP(E3074,DATABASE!C:Q,4,false)</f>
        <v>Dunlop</v>
      </c>
      <c r="R3074" s="93" t="str">
        <f>VLOOKUP(E3074,DATABASE!C:Q,11,false)</f>
        <v>Tire</v>
      </c>
    </row>
    <row r="3075" ht="22.5" customHeight="1">
      <c r="A3075" s="49"/>
      <c r="C3075" s="384">
        <v>45819.0</v>
      </c>
      <c r="D3075" s="65">
        <v>6030.0</v>
      </c>
      <c r="E3075" s="445" t="s">
        <v>391</v>
      </c>
      <c r="F3075" s="386">
        <v>2.0</v>
      </c>
      <c r="G3075" s="74">
        <v>1950000.0</v>
      </c>
      <c r="H3075" s="74">
        <v>0.0</v>
      </c>
      <c r="I3075" s="74">
        <f t="shared" si="1"/>
        <v>3900000</v>
      </c>
      <c r="J3075" s="74">
        <f>IF(E3075="SERVICE",I3075-(I3075*50%),Vlookup(E3075,DATABASE!C:Q,10,false)*F3075)</f>
        <v>0</v>
      </c>
      <c r="K3075" s="74">
        <f>VLOOKUP(E3075,DATABASE!C:Q,7,false)</f>
        <v>1885000</v>
      </c>
      <c r="L3075" s="74">
        <v>1840000.0</v>
      </c>
      <c r="M3075" s="74">
        <f t="shared" si="2"/>
        <v>1840000</v>
      </c>
      <c r="N3075" s="74">
        <f t="shared" si="3"/>
        <v>220000</v>
      </c>
      <c r="O3075" s="65" t="str">
        <f>VLOOKUP(E3075,DATABASE!C:Q,8,false)</f>
        <v>BIAN</v>
      </c>
      <c r="P3075" s="65">
        <f>VLOOKUP(E3075,DATABASE!C:Q,9,False)</f>
        <v>1</v>
      </c>
      <c r="Q3075" s="93" t="str">
        <f>VLOOKUP(E3075,DATABASE!C:Q,4,false)</f>
        <v>Advance</v>
      </c>
      <c r="R3075" s="93" t="str">
        <f>VLOOKUP(E3075,DATABASE!C:Q,11,false)</f>
        <v>Tire</v>
      </c>
    </row>
    <row r="3076" ht="22.5" customHeight="1">
      <c r="A3076" s="49"/>
      <c r="C3076" s="384">
        <v>45819.0</v>
      </c>
      <c r="D3076" s="65">
        <v>6832.0</v>
      </c>
      <c r="E3076" s="445" t="s">
        <v>262</v>
      </c>
      <c r="F3076" s="386">
        <v>1.0</v>
      </c>
      <c r="G3076" s="74">
        <v>110000.0</v>
      </c>
      <c r="H3076" s="74">
        <v>0.0</v>
      </c>
      <c r="I3076" s="74">
        <f t="shared" si="1"/>
        <v>110000</v>
      </c>
      <c r="J3076" s="74">
        <f>IF(E3076="SERVICE",I3076-(I3076*50%),Vlookup(E3076,DATABASE!C:Q,10,false)*F3076)</f>
        <v>5000</v>
      </c>
      <c r="K3076" s="74">
        <f>VLOOKUP(E3076,DATABASE!C:Q,7,false)</f>
        <v>0</v>
      </c>
      <c r="L3076" s="74">
        <v>0.0</v>
      </c>
      <c r="M3076" s="74">
        <f t="shared" si="2"/>
        <v>0</v>
      </c>
      <c r="N3076" s="74">
        <f t="shared" si="3"/>
        <v>105000</v>
      </c>
      <c r="O3076" s="65" t="str">
        <f>VLOOKUP(E3076,DATABASE!C:Q,8,false)</f>
        <v>IBU</v>
      </c>
      <c r="P3076" s="65">
        <f>VLOOKUP(E3076,DATABASE!C:Q,9,False)</f>
        <v>0</v>
      </c>
      <c r="Q3076" s="93" t="str">
        <f>VLOOKUP(E3076,DATABASE!C:Q,4,false)</f>
        <v>SPOORING SS/CARRY LOS BAK</v>
      </c>
      <c r="R3076" s="93" t="str">
        <f>VLOOKUP(E3076,DATABASE!C:Q,11,false)</f>
        <v>SERVICE</v>
      </c>
    </row>
    <row r="3077" ht="22.5" customHeight="1">
      <c r="A3077" s="49"/>
      <c r="C3077" s="384">
        <v>45819.0</v>
      </c>
      <c r="D3077" s="65">
        <v>6832.0</v>
      </c>
      <c r="E3077" s="445" t="s">
        <v>478</v>
      </c>
      <c r="F3077" s="386">
        <v>1.0</v>
      </c>
      <c r="G3077" s="74">
        <v>200000.0</v>
      </c>
      <c r="H3077" s="74">
        <v>0.0</v>
      </c>
      <c r="I3077" s="74">
        <f t="shared" si="1"/>
        <v>200000</v>
      </c>
      <c r="J3077" s="74">
        <f>IF(E3077="SERVICE",I3077-(I3077*50%),Vlookup(E3077,DATABASE!C:Q,10,false)*F3077)</f>
        <v>25000</v>
      </c>
      <c r="K3077" s="74">
        <f>VLOOKUP(E3077,DATABASE!C:Q,7,false)</f>
        <v>75000</v>
      </c>
      <c r="L3077" s="74">
        <v>75000.0</v>
      </c>
      <c r="M3077" s="74">
        <f t="shared" si="2"/>
        <v>75000</v>
      </c>
      <c r="N3077" s="74">
        <f t="shared" si="3"/>
        <v>100000</v>
      </c>
      <c r="O3077" s="65" t="str">
        <f>VLOOKUP(E3077,DATABASE!C:Q,8,false)</f>
        <v>BIAN</v>
      </c>
      <c r="P3077" s="65">
        <f>VLOOKUP(E3077,DATABASE!C:Q,9,False)</f>
        <v>0</v>
      </c>
      <c r="Q3077" s="93" t="str">
        <f>VLOOKUP(E3077,DATABASE!C:Q,4,false)</f>
        <v>Baut Camber ss-carry</v>
      </c>
      <c r="R3077" s="93" t="str">
        <f>VLOOKUP(E3077,DATABASE!C:Q,11,false)</f>
        <v>COMPLEMENTARY</v>
      </c>
    </row>
    <row r="3078" ht="22.5" customHeight="1">
      <c r="A3078" s="49"/>
      <c r="C3078" s="384">
        <v>45819.0</v>
      </c>
      <c r="D3078" s="65">
        <v>6833.0</v>
      </c>
      <c r="E3078" s="445" t="s">
        <v>1439</v>
      </c>
      <c r="F3078" s="386">
        <v>2.0</v>
      </c>
      <c r="G3078" s="74">
        <v>630000.0</v>
      </c>
      <c r="H3078" s="74">
        <v>0.0</v>
      </c>
      <c r="I3078" s="74">
        <f t="shared" si="1"/>
        <v>1260000</v>
      </c>
      <c r="J3078" s="74">
        <f>IF(E3078="SERVICE",I3078-(I3078*50%),Vlookup(E3078,DATABASE!C:Q,10,false)*F3078)</f>
        <v>0</v>
      </c>
      <c r="K3078" s="74">
        <f>VLOOKUP(E3078,DATABASE!C:Q,7,false)</f>
        <v>556800</v>
      </c>
      <c r="L3078" s="74">
        <v>540800.0</v>
      </c>
      <c r="M3078" s="74">
        <f t="shared" si="2"/>
        <v>545000</v>
      </c>
      <c r="N3078" s="74">
        <f t="shared" si="3"/>
        <v>170000</v>
      </c>
      <c r="O3078" s="65" t="str">
        <f>VLOOKUP(E3078,DATABASE!C:Q,8,false)</f>
        <v>BIAN</v>
      </c>
      <c r="P3078" s="65">
        <f>VLOOKUP(E3078,DATABASE!C:Q,9,False)</f>
        <v>1</v>
      </c>
      <c r="Q3078" s="93" t="str">
        <f>VLOOKUP(E3078,DATABASE!C:Q,4,false)</f>
        <v>GT</v>
      </c>
      <c r="R3078" s="93" t="str">
        <f>VLOOKUP(E3078,DATABASE!C:Q,11,false)</f>
        <v>Tire</v>
      </c>
    </row>
    <row r="3079" ht="22.5" customHeight="1">
      <c r="A3079" s="49"/>
      <c r="C3079" s="384">
        <v>45819.0</v>
      </c>
      <c r="D3079" s="65">
        <v>6835.0</v>
      </c>
      <c r="E3079" s="445" t="s">
        <v>932</v>
      </c>
      <c r="F3079" s="386">
        <v>1.0</v>
      </c>
      <c r="G3079" s="74">
        <v>700000.0</v>
      </c>
      <c r="H3079" s="74">
        <v>0.0</v>
      </c>
      <c r="I3079" s="74">
        <f t="shared" si="1"/>
        <v>700000</v>
      </c>
      <c r="J3079" s="74">
        <f>IF(E3079="SERVICE",I3079-(I3079*50%),Vlookup(E3079,DATABASE!C:Q,10,false)*F3079)</f>
        <v>0</v>
      </c>
      <c r="K3079" s="74">
        <f>VLOOKUP(E3079,DATABASE!C:Q,7,false)</f>
        <v>601000</v>
      </c>
      <c r="L3079" s="74">
        <v>595000.0</v>
      </c>
      <c r="M3079" s="74">
        <f t="shared" si="2"/>
        <v>595000</v>
      </c>
      <c r="N3079" s="74">
        <f t="shared" si="3"/>
        <v>105000</v>
      </c>
      <c r="O3079" s="65" t="str">
        <f>VLOOKUP(E3079,DATABASE!C:Q,8,false)</f>
        <v>IBU</v>
      </c>
      <c r="P3079" s="65">
        <f>VLOOKUP(E3079,DATABASE!C:Q,9,False)</f>
        <v>1</v>
      </c>
      <c r="Q3079" s="93" t="str">
        <f>VLOOKUP(E3079,DATABASE!C:Q,4,false)</f>
        <v>Dunlop</v>
      </c>
      <c r="R3079" s="93" t="str">
        <f>VLOOKUP(E3079,DATABASE!C:Q,11,false)</f>
        <v>Tire</v>
      </c>
    </row>
    <row r="3080" ht="22.5" customHeight="1">
      <c r="A3080" s="49"/>
      <c r="C3080" s="384">
        <v>45819.0</v>
      </c>
      <c r="D3080" s="65">
        <v>6835.0</v>
      </c>
      <c r="E3080" s="445" t="s">
        <v>706</v>
      </c>
      <c r="F3080" s="386">
        <v>1.0</v>
      </c>
      <c r="G3080" s="74">
        <v>570000.0</v>
      </c>
      <c r="H3080" s="74">
        <v>0.0</v>
      </c>
      <c r="I3080" s="74">
        <f t="shared" si="1"/>
        <v>570000</v>
      </c>
      <c r="J3080" s="74">
        <f>IF(E3080="SERVICE",I3080-(I3080*50%),Vlookup(E3080,DATABASE!C:Q,10,false)*F3080)</f>
        <v>0</v>
      </c>
      <c r="K3080" s="74">
        <f>VLOOKUP(E3080,DATABASE!C:Q,7,false)</f>
        <v>485000</v>
      </c>
      <c r="L3080" s="74">
        <v>485000.0</v>
      </c>
      <c r="M3080" s="74">
        <f t="shared" si="2"/>
        <v>485000</v>
      </c>
      <c r="N3080" s="74">
        <f t="shared" si="3"/>
        <v>85000</v>
      </c>
      <c r="O3080" s="65" t="str">
        <f>VLOOKUP(E3080,DATABASE!C:Q,8,false)</f>
        <v>IBU</v>
      </c>
      <c r="P3080" s="65">
        <f>VLOOKUP(E3080,DATABASE!C:Q,9,False)</f>
        <v>1</v>
      </c>
      <c r="Q3080" s="93" t="str">
        <f>VLOOKUP(E3080,DATABASE!C:Q,4,false)</f>
        <v>Dunlop</v>
      </c>
      <c r="R3080" s="93" t="str">
        <f>VLOOKUP(E3080,DATABASE!C:Q,11,false)</f>
        <v>Tire</v>
      </c>
    </row>
    <row r="3081" ht="22.5" customHeight="1">
      <c r="A3081" s="49"/>
      <c r="C3081" s="384">
        <v>45819.0</v>
      </c>
      <c r="D3081" s="65">
        <v>6836.0</v>
      </c>
      <c r="E3081" s="445" t="s">
        <v>256</v>
      </c>
      <c r="F3081" s="386">
        <v>1.0</v>
      </c>
      <c r="G3081" s="74">
        <v>130000.0</v>
      </c>
      <c r="H3081" s="74">
        <v>0.0</v>
      </c>
      <c r="I3081" s="74">
        <f t="shared" si="1"/>
        <v>130000</v>
      </c>
      <c r="J3081" s="74">
        <f>IF(E3081="SERVICE",I3081-(I3081*50%),Vlookup(E3081,DATABASE!C:Q,10,false)*F3081)</f>
        <v>10000</v>
      </c>
      <c r="K3081" s="74">
        <f>VLOOKUP(E3081,DATABASE!C:Q,7,false)</f>
        <v>0</v>
      </c>
      <c r="L3081" s="74">
        <v>0.0</v>
      </c>
      <c r="M3081" s="74">
        <f t="shared" si="2"/>
        <v>0</v>
      </c>
      <c r="N3081" s="74">
        <f t="shared" si="3"/>
        <v>120000</v>
      </c>
      <c r="O3081" s="65" t="str">
        <f>VLOOKUP(E3081,DATABASE!C:Q,8,false)</f>
        <v>IBU</v>
      </c>
      <c r="P3081" s="65">
        <f>VLOOKUP(E3081,DATABASE!C:Q,9,False)</f>
        <v>0</v>
      </c>
      <c r="Q3081" s="93" t="str">
        <f>VLOOKUP(E3081,DATABASE!C:Q,4,false)</f>
        <v>SPOORING</v>
      </c>
      <c r="R3081" s="93" t="str">
        <f>VLOOKUP(E3081,DATABASE!C:Q,11,false)</f>
        <v>SERVICE</v>
      </c>
    </row>
    <row r="3082" ht="22.5" customHeight="1">
      <c r="A3082" s="49"/>
      <c r="C3082" s="384">
        <v>45819.0</v>
      </c>
      <c r="D3082" s="65">
        <v>6836.0</v>
      </c>
      <c r="E3082" s="445" t="s">
        <v>301</v>
      </c>
      <c r="F3082" s="386">
        <v>1.0</v>
      </c>
      <c r="G3082" s="74">
        <v>250000.0</v>
      </c>
      <c r="H3082" s="74">
        <v>0.0</v>
      </c>
      <c r="I3082" s="74">
        <f t="shared" si="1"/>
        <v>250000</v>
      </c>
      <c r="J3082" s="74">
        <f>IF(E3082="SERVICE",I3082-(I3082*50%),Vlookup(E3082,DATABASE!C:Q,10,false)*F3082)</f>
        <v>75000</v>
      </c>
      <c r="K3082" s="74">
        <f>VLOOKUP(E3082,DATABASE!C:Q,7,false)</f>
        <v>75000</v>
      </c>
      <c r="L3082" s="74">
        <v>75000.0</v>
      </c>
      <c r="M3082" s="74">
        <f t="shared" si="2"/>
        <v>75000</v>
      </c>
      <c r="N3082" s="74">
        <f t="shared" si="3"/>
        <v>100000</v>
      </c>
      <c r="O3082" s="65" t="str">
        <f>VLOOKUP(E3082,DATABASE!C:Q,8,false)</f>
        <v>BIAN</v>
      </c>
      <c r="P3082" s="65">
        <f>VLOOKUP(E3082,DATABASE!C:Q,9,False)</f>
        <v>0</v>
      </c>
      <c r="Q3082" s="93" t="str">
        <f>VLOOKUP(E3082,DATABASE!C:Q,4,false)</f>
        <v>Baut Camber</v>
      </c>
      <c r="R3082" s="93" t="str">
        <f>VLOOKUP(E3082,DATABASE!C:Q,11,false)</f>
        <v>COMPLEMENTARY</v>
      </c>
    </row>
    <row r="3083" ht="22.5" customHeight="1">
      <c r="A3083" s="49"/>
      <c r="C3083" s="384">
        <v>45819.0</v>
      </c>
      <c r="D3083" s="65">
        <v>6837.0</v>
      </c>
      <c r="E3083" s="445" t="s">
        <v>256</v>
      </c>
      <c r="F3083" s="386">
        <v>1.0</v>
      </c>
      <c r="G3083" s="74">
        <v>130000.0</v>
      </c>
      <c r="H3083" s="74">
        <v>0.0</v>
      </c>
      <c r="I3083" s="74">
        <f t="shared" si="1"/>
        <v>130000</v>
      </c>
      <c r="J3083" s="74">
        <f>IF(E3083="SERVICE",I3083-(I3083*50%),Vlookup(E3083,DATABASE!C:Q,10,false)*F3083)</f>
        <v>10000</v>
      </c>
      <c r="K3083" s="74">
        <f>VLOOKUP(E3083,DATABASE!C:Q,7,false)</f>
        <v>0</v>
      </c>
      <c r="L3083" s="74">
        <v>0.0</v>
      </c>
      <c r="M3083" s="74">
        <f t="shared" si="2"/>
        <v>0</v>
      </c>
      <c r="N3083" s="74">
        <f t="shared" si="3"/>
        <v>120000</v>
      </c>
      <c r="O3083" s="65" t="str">
        <f>VLOOKUP(E3083,DATABASE!C:Q,8,false)</f>
        <v>IBU</v>
      </c>
      <c r="P3083" s="65">
        <f>VLOOKUP(E3083,DATABASE!C:Q,9,False)</f>
        <v>0</v>
      </c>
      <c r="Q3083" s="93" t="str">
        <f>VLOOKUP(E3083,DATABASE!C:Q,4,false)</f>
        <v>SPOORING</v>
      </c>
      <c r="R3083" s="93" t="str">
        <f>VLOOKUP(E3083,DATABASE!C:Q,11,false)</f>
        <v>SERVICE</v>
      </c>
    </row>
    <row r="3084" ht="22.5" customHeight="1">
      <c r="A3084" s="49"/>
      <c r="C3084" s="384">
        <v>45819.0</v>
      </c>
      <c r="D3084" s="65">
        <v>6837.0</v>
      </c>
      <c r="E3084" s="445" t="s">
        <v>251</v>
      </c>
      <c r="F3084" s="386">
        <v>1.0</v>
      </c>
      <c r="G3084" s="74">
        <v>120000.0</v>
      </c>
      <c r="H3084" s="74">
        <v>0.0</v>
      </c>
      <c r="I3084" s="74">
        <f t="shared" si="1"/>
        <v>120000</v>
      </c>
      <c r="J3084" s="74">
        <f>IF(E3084="SERVICE",I3084-(I3084*50%),Vlookup(E3084,DATABASE!C:Q,10,false)*F3084)</f>
        <v>60000</v>
      </c>
      <c r="K3084" s="74">
        <f>VLOOKUP(E3084,DATABASE!C:Q,7,false)</f>
        <v>0</v>
      </c>
      <c r="L3084" s="74">
        <v>0.0</v>
      </c>
      <c r="M3084" s="74">
        <f t="shared" si="2"/>
        <v>0</v>
      </c>
      <c r="N3084" s="74">
        <f t="shared" si="3"/>
        <v>60000</v>
      </c>
      <c r="O3084" s="65" t="str">
        <f>VLOOKUP(E3084,DATABASE!C:Q,8,false)</f>
        <v>IBU</v>
      </c>
      <c r="P3084" s="65">
        <f>VLOOKUP(E3084,DATABASE!C:Q,9,False)</f>
        <v>0</v>
      </c>
      <c r="Q3084" s="93" t="str">
        <f>VLOOKUP(E3084,DATABASE!C:Q,4,false)</f>
        <v>SERVICE</v>
      </c>
      <c r="R3084" s="93" t="str">
        <f>VLOOKUP(E3084,DATABASE!C:Q,11,false)</f>
        <v>SERVICE</v>
      </c>
    </row>
    <row r="3085" ht="22.5" customHeight="1">
      <c r="A3085" s="49"/>
      <c r="C3085" s="384">
        <v>45819.0</v>
      </c>
      <c r="D3085" s="65">
        <v>6838.0</v>
      </c>
      <c r="E3085" s="445" t="s">
        <v>256</v>
      </c>
      <c r="F3085" s="386">
        <v>1.0</v>
      </c>
      <c r="G3085" s="74">
        <v>130000.0</v>
      </c>
      <c r="H3085" s="74">
        <v>0.0</v>
      </c>
      <c r="I3085" s="74">
        <f t="shared" si="1"/>
        <v>130000</v>
      </c>
      <c r="J3085" s="74">
        <f>IF(E3085="SERVICE",I3085-(I3085*50%),Vlookup(E3085,DATABASE!C:Q,10,false)*F3085)</f>
        <v>10000</v>
      </c>
      <c r="K3085" s="74">
        <f>VLOOKUP(E3085,DATABASE!C:Q,7,false)</f>
        <v>0</v>
      </c>
      <c r="L3085" s="74">
        <v>0.0</v>
      </c>
      <c r="M3085" s="74">
        <f t="shared" si="2"/>
        <v>0</v>
      </c>
      <c r="N3085" s="74">
        <f t="shared" si="3"/>
        <v>120000</v>
      </c>
      <c r="O3085" s="65" t="str">
        <f>VLOOKUP(E3085,DATABASE!C:Q,8,false)</f>
        <v>IBU</v>
      </c>
      <c r="P3085" s="65">
        <f>VLOOKUP(E3085,DATABASE!C:Q,9,False)</f>
        <v>0</v>
      </c>
      <c r="Q3085" s="93" t="str">
        <f>VLOOKUP(E3085,DATABASE!C:Q,4,false)</f>
        <v>SPOORING</v>
      </c>
      <c r="R3085" s="93" t="str">
        <f>VLOOKUP(E3085,DATABASE!C:Q,11,false)</f>
        <v>SERVICE</v>
      </c>
    </row>
    <row r="3086" ht="22.5" customHeight="1">
      <c r="A3086" s="49"/>
      <c r="C3086" s="384">
        <v>45820.0</v>
      </c>
      <c r="D3086" s="65">
        <v>6039.0</v>
      </c>
      <c r="E3086" s="445" t="s">
        <v>2050</v>
      </c>
      <c r="F3086" s="386">
        <v>1.0</v>
      </c>
      <c r="G3086" s="74">
        <v>585000.0</v>
      </c>
      <c r="H3086" s="74">
        <v>0.0</v>
      </c>
      <c r="I3086" s="74">
        <f t="shared" si="1"/>
        <v>585000</v>
      </c>
      <c r="J3086" s="74">
        <f>IF(E3086="SERVICE",I3086-(I3086*50%),Vlookup(E3086,DATABASE!C:Q,10,false)*F3086)</f>
        <v>0</v>
      </c>
      <c r="K3086" s="74">
        <f>VLOOKUP(E3086,DATABASE!C:Q,7,false)</f>
        <v>506000</v>
      </c>
      <c r="L3086" s="74">
        <v>506000.0</v>
      </c>
      <c r="M3086" s="74">
        <f t="shared" si="2"/>
        <v>510000</v>
      </c>
      <c r="N3086" s="74">
        <f t="shared" si="3"/>
        <v>75000</v>
      </c>
      <c r="O3086" s="65" t="str">
        <f>VLOOKUP(E3086,DATABASE!C:Q,8,false)</f>
        <v>BIAN</v>
      </c>
      <c r="P3086" s="65">
        <f>VLOOKUP(E3086,DATABASE!C:Q,9,False)</f>
        <v>1</v>
      </c>
      <c r="Q3086" s="93" t="str">
        <f>VLOOKUP(E3086,DATABASE!C:Q,4,false)</f>
        <v>HANKOOK</v>
      </c>
      <c r="R3086" s="93" t="str">
        <f>VLOOKUP(E3086,DATABASE!C:Q,11,false)</f>
        <v>Tire</v>
      </c>
    </row>
    <row r="3087" ht="22.5" customHeight="1">
      <c r="A3087" s="49"/>
      <c r="C3087" s="384">
        <v>45820.0</v>
      </c>
      <c r="D3087" s="65">
        <v>6040.0</v>
      </c>
      <c r="E3087" s="445" t="s">
        <v>294</v>
      </c>
      <c r="F3087" s="386">
        <v>2.0</v>
      </c>
      <c r="G3087" s="74">
        <v>570000.0</v>
      </c>
      <c r="H3087" s="74">
        <v>0.0</v>
      </c>
      <c r="I3087" s="74">
        <f t="shared" si="1"/>
        <v>1140000</v>
      </c>
      <c r="J3087" s="74">
        <f>IF(E3087="SERVICE",I3087-(I3087*50%),Vlookup(E3087,DATABASE!C:Q,10,false)*F3087)</f>
        <v>0</v>
      </c>
      <c r="K3087" s="74">
        <f>VLOOKUP(E3087,DATABASE!C:Q,7,false)</f>
        <v>505000</v>
      </c>
      <c r="L3087" s="74">
        <v>490000.0</v>
      </c>
      <c r="M3087" s="74">
        <f t="shared" si="2"/>
        <v>490000</v>
      </c>
      <c r="N3087" s="74">
        <f t="shared" si="3"/>
        <v>160000</v>
      </c>
      <c r="O3087" s="65" t="str">
        <f>VLOOKUP(E3087,DATABASE!C:Q,8,false)</f>
        <v>BIAN</v>
      </c>
      <c r="P3087" s="65">
        <f>VLOOKUP(E3087,DATABASE!C:Q,9,False)</f>
        <v>1</v>
      </c>
      <c r="Q3087" s="93" t="str">
        <f>VLOOKUP(E3087,DATABASE!C:Q,4,false)</f>
        <v>GT</v>
      </c>
      <c r="R3087" s="93" t="str">
        <f>VLOOKUP(E3087,DATABASE!C:Q,11,false)</f>
        <v>Tire</v>
      </c>
    </row>
    <row r="3088" ht="22.5" customHeight="1">
      <c r="A3088" s="49"/>
      <c r="C3088" s="384">
        <v>45820.0</v>
      </c>
      <c r="D3088" s="65">
        <v>6040.0</v>
      </c>
      <c r="E3088" s="445" t="s">
        <v>250</v>
      </c>
      <c r="F3088" s="386">
        <v>2.0</v>
      </c>
      <c r="G3088" s="74">
        <v>135000.0</v>
      </c>
      <c r="H3088" s="74">
        <v>0.0</v>
      </c>
      <c r="I3088" s="74">
        <f t="shared" si="1"/>
        <v>270000</v>
      </c>
      <c r="J3088" s="74">
        <f>IF(E3088="SERVICE",I3088-(I3088*50%),Vlookup(E3088,DATABASE!C:Q,10,false)*F3088)</f>
        <v>0</v>
      </c>
      <c r="K3088" s="74">
        <f>VLOOKUP(E3088,DATABASE!C:Q,7,false)</f>
        <v>102000</v>
      </c>
      <c r="L3088" s="74">
        <v>102000.0</v>
      </c>
      <c r="M3088" s="74">
        <f t="shared" si="2"/>
        <v>105000</v>
      </c>
      <c r="N3088" s="74">
        <f t="shared" si="3"/>
        <v>60000</v>
      </c>
      <c r="O3088" s="65" t="str">
        <f>VLOOKUP(E3088,DATABASE!C:Q,8,false)</f>
        <v>BIAN</v>
      </c>
      <c r="P3088" s="65">
        <f>VLOOKUP(E3088,DATABASE!C:Q,9,False)</f>
        <v>1</v>
      </c>
      <c r="Q3088" s="93" t="str">
        <f>VLOOKUP(E3088,DATABASE!C:Q,4,false)</f>
        <v>BD</v>
      </c>
      <c r="R3088" s="93" t="str">
        <f>VLOOKUP(E3088,DATABASE!C:Q,11,false)</f>
        <v>Tire</v>
      </c>
    </row>
    <row r="3089" ht="22.5" customHeight="1">
      <c r="A3089" s="49"/>
      <c r="C3089" s="384">
        <v>45820.0</v>
      </c>
      <c r="D3089" s="65">
        <v>6041.0</v>
      </c>
      <c r="E3089" s="445" t="s">
        <v>1597</v>
      </c>
      <c r="F3089" s="386">
        <v>1.0</v>
      </c>
      <c r="G3089" s="74">
        <v>645000.0</v>
      </c>
      <c r="H3089" s="74">
        <v>0.0</v>
      </c>
      <c r="I3089" s="74">
        <f t="shared" si="1"/>
        <v>645000</v>
      </c>
      <c r="J3089" s="74">
        <f>IF(E3089="SERVICE",I3089-(I3089*50%),Vlookup(E3089,DATABASE!C:Q,10,false)*F3089)</f>
        <v>0</v>
      </c>
      <c r="K3089" s="74">
        <f>VLOOKUP(E3089,DATABASE!C:Q,7,false)</f>
        <v>560700</v>
      </c>
      <c r="L3089" s="74">
        <v>544300.0</v>
      </c>
      <c r="M3089" s="74">
        <f t="shared" si="2"/>
        <v>545000</v>
      </c>
      <c r="N3089" s="74">
        <f t="shared" si="3"/>
        <v>100000</v>
      </c>
      <c r="O3089" s="65" t="str">
        <f>VLOOKUP(E3089,DATABASE!C:Q,8,false)</f>
        <v>BIAN</v>
      </c>
      <c r="P3089" s="65">
        <f>VLOOKUP(E3089,DATABASE!C:Q,9,False)</f>
        <v>1</v>
      </c>
      <c r="Q3089" s="93" t="str">
        <f>VLOOKUP(E3089,DATABASE!C:Q,4,false)</f>
        <v>GT</v>
      </c>
      <c r="R3089" s="93" t="str">
        <f>VLOOKUP(E3089,DATABASE!C:Q,11,false)</f>
        <v>Tire</v>
      </c>
    </row>
    <row r="3090" ht="22.5" customHeight="1">
      <c r="A3090" s="49"/>
      <c r="C3090" s="384">
        <v>45820.0</v>
      </c>
      <c r="D3090" s="65">
        <v>6042.0</v>
      </c>
      <c r="E3090" s="445" t="s">
        <v>256</v>
      </c>
      <c r="F3090" s="386">
        <v>1.0</v>
      </c>
      <c r="G3090" s="74">
        <v>130000.0</v>
      </c>
      <c r="H3090" s="74">
        <v>0.0</v>
      </c>
      <c r="I3090" s="74">
        <f t="shared" si="1"/>
        <v>130000</v>
      </c>
      <c r="J3090" s="74">
        <f>IF(E3090="SERVICE",I3090-(I3090*50%),Vlookup(E3090,DATABASE!C:Q,10,false)*F3090)</f>
        <v>10000</v>
      </c>
      <c r="K3090" s="74">
        <f>VLOOKUP(E3090,DATABASE!C:Q,7,false)</f>
        <v>0</v>
      </c>
      <c r="L3090" s="74">
        <v>0.0</v>
      </c>
      <c r="M3090" s="74">
        <f t="shared" si="2"/>
        <v>0</v>
      </c>
      <c r="N3090" s="74">
        <f t="shared" si="3"/>
        <v>120000</v>
      </c>
      <c r="O3090" s="65" t="str">
        <f>VLOOKUP(E3090,DATABASE!C:Q,8,false)</f>
        <v>IBU</v>
      </c>
      <c r="P3090" s="65">
        <f>VLOOKUP(E3090,DATABASE!C:Q,9,False)</f>
        <v>0</v>
      </c>
      <c r="Q3090" s="93" t="str">
        <f>VLOOKUP(E3090,DATABASE!C:Q,4,false)</f>
        <v>SPOORING</v>
      </c>
      <c r="R3090" s="93" t="str">
        <f>VLOOKUP(E3090,DATABASE!C:Q,11,false)</f>
        <v>SERVICE</v>
      </c>
    </row>
    <row r="3091" ht="22.5" customHeight="1">
      <c r="A3091" s="49"/>
      <c r="C3091" s="384">
        <v>45820.0</v>
      </c>
      <c r="D3091" s="65">
        <v>6042.0</v>
      </c>
      <c r="E3091" s="385" t="s">
        <v>299</v>
      </c>
      <c r="F3091" s="386">
        <v>2.0</v>
      </c>
      <c r="G3091" s="74">
        <v>30000.0</v>
      </c>
      <c r="H3091" s="74">
        <v>0.0</v>
      </c>
      <c r="I3091" s="74">
        <f t="shared" si="1"/>
        <v>60000</v>
      </c>
      <c r="J3091" s="74">
        <f>IF(E3091="SERVICE",I3091-(I3091*50%),Vlookup(E3091,DATABASE!C:Q,10,false)*F3091)</f>
        <v>0</v>
      </c>
      <c r="K3091" s="74">
        <v>0.0</v>
      </c>
      <c r="L3091" s="74">
        <v>0.0</v>
      </c>
      <c r="M3091" s="74">
        <f t="shared" si="2"/>
        <v>0</v>
      </c>
      <c r="N3091" s="74">
        <f t="shared" si="3"/>
        <v>60000</v>
      </c>
      <c r="O3091" s="65" t="str">
        <f>VLOOKUP(E3091,DATABASE!C:Q,8,false)</f>
        <v>BIAN</v>
      </c>
      <c r="P3091" s="65">
        <f>VLOOKUP(E3091,DATABASE!C:Q,9,False)</f>
        <v>0</v>
      </c>
      <c r="Q3091" s="93" t="str">
        <f>VLOOKUP(E3091,DATABASE!C:Q,4,false)</f>
        <v>Balancing</v>
      </c>
      <c r="R3091" s="93" t="str">
        <f>VLOOKUP(E3091,DATABASE!C:Q,11,false)</f>
        <v>COMPLEMENTARY</v>
      </c>
    </row>
    <row r="3092" ht="22.5" customHeight="1">
      <c r="A3092" s="49"/>
      <c r="C3092" s="384">
        <v>45820.0</v>
      </c>
      <c r="D3092" s="65">
        <v>6042.0</v>
      </c>
      <c r="E3092" s="445" t="s">
        <v>301</v>
      </c>
      <c r="F3092" s="386">
        <v>1.0</v>
      </c>
      <c r="G3092" s="74">
        <v>250000.0</v>
      </c>
      <c r="H3092" s="74">
        <v>0.0</v>
      </c>
      <c r="I3092" s="74">
        <f t="shared" si="1"/>
        <v>250000</v>
      </c>
      <c r="J3092" s="74">
        <f>IF(E3092="SERVICE",I3092-(I3092*50%),Vlookup(E3092,DATABASE!C:Q,10,false)*F3092)</f>
        <v>75000</v>
      </c>
      <c r="K3092" s="74">
        <f>VLOOKUP(E3092,DATABASE!C:Q,7,false)</f>
        <v>75000</v>
      </c>
      <c r="L3092" s="74">
        <v>75000.0</v>
      </c>
      <c r="M3092" s="74">
        <f t="shared" si="2"/>
        <v>75000</v>
      </c>
      <c r="N3092" s="74">
        <f t="shared" si="3"/>
        <v>100000</v>
      </c>
      <c r="O3092" s="65" t="str">
        <f>VLOOKUP(E3092,DATABASE!C:Q,8,false)</f>
        <v>BIAN</v>
      </c>
      <c r="P3092" s="65">
        <f>VLOOKUP(E3092,DATABASE!C:Q,9,False)</f>
        <v>0</v>
      </c>
      <c r="Q3092" s="93" t="str">
        <f>VLOOKUP(E3092,DATABASE!C:Q,4,false)</f>
        <v>Baut Camber</v>
      </c>
      <c r="R3092" s="93" t="str">
        <f>VLOOKUP(E3092,DATABASE!C:Q,11,false)</f>
        <v>COMPLEMENTARY</v>
      </c>
    </row>
    <row r="3093" ht="22.5" customHeight="1">
      <c r="A3093" s="49"/>
      <c r="C3093" s="384">
        <v>45820.0</v>
      </c>
      <c r="D3093" s="65">
        <v>6043.0</v>
      </c>
      <c r="E3093" s="445" t="s">
        <v>1947</v>
      </c>
      <c r="F3093" s="386">
        <v>4.0</v>
      </c>
      <c r="G3093" s="74">
        <v>770000.0</v>
      </c>
      <c r="H3093" s="74">
        <v>0.0</v>
      </c>
      <c r="I3093" s="74">
        <f t="shared" si="1"/>
        <v>3080000</v>
      </c>
      <c r="J3093" s="74">
        <f>IF(E3093="SERVICE",I3093-(I3093*50%),Vlookup(E3093,DATABASE!C:Q,10,false)*F3093)</f>
        <v>0</v>
      </c>
      <c r="K3093" s="74">
        <f>VLOOKUP(E3093,DATABASE!C:Q,7,false)</f>
        <v>694300</v>
      </c>
      <c r="L3093" s="74">
        <v>670000.0</v>
      </c>
      <c r="M3093" s="74">
        <f t="shared" si="2"/>
        <v>670000</v>
      </c>
      <c r="N3093" s="74">
        <f t="shared" si="3"/>
        <v>400000</v>
      </c>
      <c r="O3093" s="65" t="str">
        <f>VLOOKUP(E3093,DATABASE!C:Q,8,false)</f>
        <v>BIAN</v>
      </c>
      <c r="P3093" s="65">
        <f>VLOOKUP(E3093,DATABASE!C:Q,9,False)</f>
        <v>1</v>
      </c>
      <c r="Q3093" s="93" t="str">
        <f>VLOOKUP(E3093,DATABASE!C:Q,4,false)</f>
        <v>GT</v>
      </c>
      <c r="R3093" s="93" t="str">
        <f>VLOOKUP(E3093,DATABASE!C:Q,11,false)</f>
        <v>Tire</v>
      </c>
    </row>
    <row r="3094" ht="22.5" customHeight="1">
      <c r="A3094" s="49"/>
      <c r="C3094" s="384">
        <v>45820.0</v>
      </c>
      <c r="D3094" s="65">
        <v>6044.0</v>
      </c>
      <c r="E3094" s="445" t="s">
        <v>605</v>
      </c>
      <c r="F3094" s="386">
        <v>2.0</v>
      </c>
      <c r="G3094" s="74">
        <v>760000.0</v>
      </c>
      <c r="H3094" s="74">
        <v>0.0</v>
      </c>
      <c r="I3094" s="74">
        <f t="shared" si="1"/>
        <v>1520000</v>
      </c>
      <c r="J3094" s="74">
        <f>IF(E3094="SERVICE",I3094-(I3094*50%),Vlookup(E3094,DATABASE!C:Q,10,false)*F3094)</f>
        <v>0</v>
      </c>
      <c r="K3094" s="74">
        <v>670000.0</v>
      </c>
      <c r="L3094" s="74">
        <v>670000.0</v>
      </c>
      <c r="M3094" s="74">
        <f t="shared" si="2"/>
        <v>670000</v>
      </c>
      <c r="N3094" s="74">
        <f t="shared" si="3"/>
        <v>180000</v>
      </c>
      <c r="O3094" s="65" t="str">
        <f>VLOOKUP(E3094,DATABASE!C:Q,8,false)</f>
        <v>IBU</v>
      </c>
      <c r="P3094" s="65">
        <f>VLOOKUP(E3094,DATABASE!C:Q,9,False)</f>
        <v>1</v>
      </c>
      <c r="Q3094" s="93" t="str">
        <f>VLOOKUP(E3094,DATABASE!C:Q,4,false)</f>
        <v>Bridgestone</v>
      </c>
      <c r="R3094" s="93" t="str">
        <f>VLOOKUP(E3094,DATABASE!C:Q,11,false)</f>
        <v>Tire</v>
      </c>
    </row>
    <row r="3095" ht="22.5" customHeight="1">
      <c r="A3095" s="49"/>
      <c r="C3095" s="384">
        <v>45820.0</v>
      </c>
      <c r="D3095" s="65">
        <v>6045.0</v>
      </c>
      <c r="E3095" s="445" t="s">
        <v>256</v>
      </c>
      <c r="F3095" s="386">
        <v>1.0</v>
      </c>
      <c r="G3095" s="74">
        <v>130000.0</v>
      </c>
      <c r="H3095" s="74">
        <v>0.0</v>
      </c>
      <c r="I3095" s="74">
        <f t="shared" si="1"/>
        <v>130000</v>
      </c>
      <c r="J3095" s="74">
        <f>IF(E3095="SERVICE",I3095-(I3095*50%),Vlookup(E3095,DATABASE!C:Q,10,false)*F3095)</f>
        <v>10000</v>
      </c>
      <c r="K3095" s="74">
        <f>VLOOKUP(E3095,DATABASE!C:Q,7,false)</f>
        <v>0</v>
      </c>
      <c r="L3095" s="74">
        <v>0.0</v>
      </c>
      <c r="M3095" s="74">
        <f t="shared" si="2"/>
        <v>0</v>
      </c>
      <c r="N3095" s="74">
        <f t="shared" si="3"/>
        <v>120000</v>
      </c>
      <c r="O3095" s="65" t="str">
        <f>VLOOKUP(E3095,DATABASE!C:Q,8,false)</f>
        <v>IBU</v>
      </c>
      <c r="P3095" s="65">
        <f>VLOOKUP(E3095,DATABASE!C:Q,9,False)</f>
        <v>0</v>
      </c>
      <c r="Q3095" s="93" t="str">
        <f>VLOOKUP(E3095,DATABASE!C:Q,4,false)</f>
        <v>SPOORING</v>
      </c>
      <c r="R3095" s="93" t="str">
        <f>VLOOKUP(E3095,DATABASE!C:Q,11,false)</f>
        <v>SERVICE</v>
      </c>
    </row>
    <row r="3096" ht="22.5" customHeight="1">
      <c r="A3096" s="49"/>
      <c r="C3096" s="384">
        <v>45820.0</v>
      </c>
      <c r="D3096" s="65">
        <v>6045.0</v>
      </c>
      <c r="E3096" s="385" t="s">
        <v>299</v>
      </c>
      <c r="F3096" s="386">
        <v>2.0</v>
      </c>
      <c r="G3096" s="74">
        <v>30000.0</v>
      </c>
      <c r="H3096" s="74">
        <v>0.0</v>
      </c>
      <c r="I3096" s="74">
        <f t="shared" si="1"/>
        <v>60000</v>
      </c>
      <c r="J3096" s="74">
        <f>IF(E3096="SERVICE",I3096-(I3096*50%),Vlookup(E3096,DATABASE!C:Q,10,false)*F3096)</f>
        <v>0</v>
      </c>
      <c r="K3096" s="74">
        <v>0.0</v>
      </c>
      <c r="L3096" s="74">
        <v>0.0</v>
      </c>
      <c r="M3096" s="74">
        <f t="shared" si="2"/>
        <v>0</v>
      </c>
      <c r="N3096" s="74">
        <f t="shared" si="3"/>
        <v>60000</v>
      </c>
      <c r="O3096" s="65" t="str">
        <f>VLOOKUP(E3096,DATABASE!C:Q,8,false)</f>
        <v>BIAN</v>
      </c>
      <c r="P3096" s="65">
        <f>VLOOKUP(E3096,DATABASE!C:Q,9,False)</f>
        <v>0</v>
      </c>
      <c r="Q3096" s="93" t="str">
        <f>VLOOKUP(E3096,DATABASE!C:Q,4,false)</f>
        <v>Balancing</v>
      </c>
      <c r="R3096" s="93" t="str">
        <f>VLOOKUP(E3096,DATABASE!C:Q,11,false)</f>
        <v>COMPLEMENTARY</v>
      </c>
    </row>
    <row r="3097" ht="22.5" customHeight="1">
      <c r="A3097" s="49"/>
      <c r="C3097" s="384">
        <v>45820.0</v>
      </c>
      <c r="D3097" s="65">
        <v>6045.0</v>
      </c>
      <c r="E3097" s="445" t="s">
        <v>301</v>
      </c>
      <c r="F3097" s="386">
        <v>1.0</v>
      </c>
      <c r="G3097" s="74">
        <v>250000.0</v>
      </c>
      <c r="H3097" s="74">
        <v>0.0</v>
      </c>
      <c r="I3097" s="74">
        <f t="shared" si="1"/>
        <v>250000</v>
      </c>
      <c r="J3097" s="74">
        <f>IF(E3097="SERVICE",I3097-(I3097*50%),Vlookup(E3097,DATABASE!C:Q,10,false)*F3097)</f>
        <v>75000</v>
      </c>
      <c r="K3097" s="74">
        <f>VLOOKUP(E3097,DATABASE!C:Q,7,false)</f>
        <v>75000</v>
      </c>
      <c r="L3097" s="74">
        <v>75000.0</v>
      </c>
      <c r="M3097" s="74">
        <f t="shared" si="2"/>
        <v>75000</v>
      </c>
      <c r="N3097" s="74">
        <f t="shared" si="3"/>
        <v>100000</v>
      </c>
      <c r="O3097" s="65" t="str">
        <f>VLOOKUP(E3097,DATABASE!C:Q,8,false)</f>
        <v>BIAN</v>
      </c>
      <c r="P3097" s="65">
        <f>VLOOKUP(E3097,DATABASE!C:Q,9,False)</f>
        <v>0</v>
      </c>
      <c r="Q3097" s="93" t="str">
        <f>VLOOKUP(E3097,DATABASE!C:Q,4,false)</f>
        <v>Baut Camber</v>
      </c>
      <c r="R3097" s="93" t="str">
        <f>VLOOKUP(E3097,DATABASE!C:Q,11,false)</f>
        <v>COMPLEMENTARY</v>
      </c>
    </row>
    <row r="3098" ht="22.5" customHeight="1">
      <c r="A3098" s="49"/>
      <c r="C3098" s="384">
        <v>45820.0</v>
      </c>
      <c r="D3098" s="65">
        <v>6046.0</v>
      </c>
      <c r="E3098" s="445" t="s">
        <v>1873</v>
      </c>
      <c r="F3098" s="386">
        <v>1.0</v>
      </c>
      <c r="G3098" s="74">
        <v>4000000.0</v>
      </c>
      <c r="H3098" s="74">
        <v>0.0</v>
      </c>
      <c r="I3098" s="74">
        <f t="shared" si="1"/>
        <v>4000000</v>
      </c>
      <c r="J3098" s="74">
        <f>IF(E3098="SERVICE",I3098-(I3098*50%),Vlookup(E3098,DATABASE!C:Q,10,false)*F3098)</f>
        <v>0</v>
      </c>
      <c r="K3098" s="74">
        <f>VLOOKUP(E3098,DATABASE!C:Q,7,false)</f>
        <v>3750000</v>
      </c>
      <c r="L3098" s="74">
        <v>3750000.0</v>
      </c>
      <c r="M3098" s="74">
        <f t="shared" si="2"/>
        <v>3750000</v>
      </c>
      <c r="N3098" s="74">
        <f t="shared" si="3"/>
        <v>250000</v>
      </c>
      <c r="O3098" s="65" t="str">
        <f>VLOOKUP(E3098,DATABASE!C:Q,8,false)</f>
        <v>BIAN</v>
      </c>
      <c r="P3098" s="65">
        <f>VLOOKUP(E3098,DATABASE!C:Q,9,False)</f>
        <v>1</v>
      </c>
      <c r="Q3098" s="93" t="str">
        <f>VLOOKUP(E3098,DATABASE!C:Q,4,false)</f>
        <v>GT</v>
      </c>
      <c r="R3098" s="93" t="str">
        <f>VLOOKUP(E3098,DATABASE!C:Q,11,false)</f>
        <v>Tire</v>
      </c>
    </row>
    <row r="3099" ht="22.5" customHeight="1">
      <c r="A3099" s="49"/>
      <c r="C3099" s="384">
        <v>45820.0</v>
      </c>
      <c r="D3099" s="65">
        <v>6046.0</v>
      </c>
      <c r="E3099" s="445" t="s">
        <v>487</v>
      </c>
      <c r="F3099" s="386">
        <v>1.0</v>
      </c>
      <c r="G3099" s="74">
        <v>600000.0</v>
      </c>
      <c r="H3099" s="74">
        <v>0.0</v>
      </c>
      <c r="I3099" s="74">
        <f t="shared" si="1"/>
        <v>600000</v>
      </c>
      <c r="J3099" s="74">
        <f>IF(E3099="SERVICE",I3099-(I3099*50%),Vlookup(E3099,DATABASE!C:Q,10,false)*F3099)</f>
        <v>0</v>
      </c>
      <c r="K3099" s="74">
        <f>VLOOKUP(E3099,DATABASE!C:Q,7,false)</f>
        <v>535000</v>
      </c>
      <c r="L3099" s="74">
        <v>535000.0</v>
      </c>
      <c r="M3099" s="74">
        <f t="shared" si="2"/>
        <v>535000</v>
      </c>
      <c r="N3099" s="74">
        <f t="shared" si="3"/>
        <v>65000</v>
      </c>
      <c r="O3099" s="65" t="str">
        <f>VLOOKUP(E3099,DATABASE!C:Q,8,false)</f>
        <v>IBU</v>
      </c>
      <c r="P3099" s="65">
        <f>VLOOKUP(E3099,DATABASE!C:Q,9,False)</f>
        <v>1</v>
      </c>
      <c r="Q3099" s="93" t="str">
        <f>VLOOKUP(E3099,DATABASE!C:Q,4,false)</f>
        <v>BD</v>
      </c>
      <c r="R3099" s="93" t="str">
        <f>VLOOKUP(E3099,DATABASE!C:Q,11,false)</f>
        <v>Tire</v>
      </c>
    </row>
    <row r="3100" ht="22.5" customHeight="1">
      <c r="A3100" s="49"/>
      <c r="C3100" s="384">
        <v>45820.0</v>
      </c>
      <c r="D3100" s="65">
        <v>6046.0</v>
      </c>
      <c r="E3100" s="445" t="s">
        <v>1755</v>
      </c>
      <c r="F3100" s="386">
        <v>1.0</v>
      </c>
      <c r="G3100" s="74">
        <v>135000.0</v>
      </c>
      <c r="H3100" s="74">
        <v>0.0</v>
      </c>
      <c r="I3100" s="74">
        <f t="shared" si="1"/>
        <v>135000</v>
      </c>
      <c r="J3100" s="74">
        <f>IF(E3100="SERVICE",I3100-(I3100*50%),Vlookup(E3100,DATABASE!C:Q,10,false)*F3100)</f>
        <v>0</v>
      </c>
      <c r="K3100" s="74">
        <f>VLOOKUP(E3100,DATABASE!C:Q,7,false)</f>
        <v>90000</v>
      </c>
      <c r="L3100" s="74">
        <v>90000.0</v>
      </c>
      <c r="M3100" s="74">
        <f t="shared" si="2"/>
        <v>90000</v>
      </c>
      <c r="N3100" s="74">
        <f t="shared" si="3"/>
        <v>45000</v>
      </c>
      <c r="O3100" s="65" t="str">
        <f>VLOOKUP(E3100,DATABASE!C:Q,8,false)</f>
        <v>BIAN</v>
      </c>
      <c r="P3100" s="65">
        <f>VLOOKUP(E3100,DATABASE!C:Q,9,False)</f>
        <v>1</v>
      </c>
      <c r="Q3100" s="93" t="str">
        <f>VLOOKUP(E3100,DATABASE!C:Q,4,false)</f>
        <v>Flap</v>
      </c>
      <c r="R3100" s="93" t="str">
        <f>VLOOKUP(E3100,DATABASE!C:Q,11,false)</f>
        <v>Tire</v>
      </c>
    </row>
    <row r="3101" ht="22.5" customHeight="1">
      <c r="A3101" s="49"/>
      <c r="C3101" s="384">
        <v>45820.0</v>
      </c>
      <c r="D3101" s="65">
        <v>6047.0</v>
      </c>
      <c r="E3101" s="445" t="s">
        <v>687</v>
      </c>
      <c r="F3101" s="386">
        <v>1.0</v>
      </c>
      <c r="G3101" s="74">
        <v>1050000.0</v>
      </c>
      <c r="H3101" s="74">
        <v>0.0</v>
      </c>
      <c r="I3101" s="74">
        <f t="shared" si="1"/>
        <v>1050000</v>
      </c>
      <c r="J3101" s="74">
        <f>IF(E3101="SERVICE",I3101-(I3101*50%),Vlookup(E3101,DATABASE!C:Q,10,false)*F3101)</f>
        <v>0</v>
      </c>
      <c r="K3101" s="74">
        <f>VLOOKUP(E3101,DATABASE!C:Q,7,false)</f>
        <v>959000</v>
      </c>
      <c r="L3101" s="74">
        <v>949000.0</v>
      </c>
      <c r="M3101" s="74">
        <f t="shared" si="2"/>
        <v>950000</v>
      </c>
      <c r="N3101" s="74">
        <f t="shared" si="3"/>
        <v>100000</v>
      </c>
      <c r="O3101" s="65" t="str">
        <f>VLOOKUP(E3101,DATABASE!C:Q,8,false)</f>
        <v>IBU</v>
      </c>
      <c r="P3101" s="65">
        <f>VLOOKUP(E3101,DATABASE!C:Q,9,False)</f>
        <v>1</v>
      </c>
      <c r="Q3101" s="93" t="str">
        <f>VLOOKUP(E3101,DATABASE!C:Q,4,false)</f>
        <v>Dunlop</v>
      </c>
      <c r="R3101" s="93" t="str">
        <f>VLOOKUP(E3101,DATABASE!C:Q,11,false)</f>
        <v>Tire</v>
      </c>
    </row>
    <row r="3102" ht="22.5" customHeight="1">
      <c r="A3102" s="49"/>
      <c r="C3102" s="384">
        <v>45820.0</v>
      </c>
      <c r="D3102" s="65">
        <v>6048.0</v>
      </c>
      <c r="E3102" s="445" t="s">
        <v>268</v>
      </c>
      <c r="F3102" s="386">
        <v>2.0</v>
      </c>
      <c r="G3102" s="74">
        <v>720000.0</v>
      </c>
      <c r="H3102" s="74">
        <v>0.0</v>
      </c>
      <c r="I3102" s="74">
        <f t="shared" si="1"/>
        <v>1440000</v>
      </c>
      <c r="J3102" s="74">
        <f>IF(E3102="SERVICE",I3102-(I3102*50%),Vlookup(E3102,DATABASE!C:Q,10,false)*F3102)</f>
        <v>0</v>
      </c>
      <c r="K3102" s="74">
        <f>VLOOKUP(E3102,DATABASE!C:Q,7,false)</f>
        <v>653000</v>
      </c>
      <c r="L3102" s="74">
        <v>622000.0</v>
      </c>
      <c r="M3102" s="74">
        <f t="shared" si="2"/>
        <v>625000</v>
      </c>
      <c r="N3102" s="74">
        <f t="shared" si="3"/>
        <v>190000</v>
      </c>
      <c r="O3102" s="65" t="str">
        <f>VLOOKUP(E3102,DATABASE!C:Q,8,false)</f>
        <v>IBU</v>
      </c>
      <c r="P3102" s="65">
        <f>VLOOKUP(E3102,DATABASE!C:Q,9,False)</f>
        <v>1</v>
      </c>
      <c r="Q3102" s="93" t="str">
        <f>VLOOKUP(E3102,DATABASE!C:Q,4,false)</f>
        <v>Dunlop</v>
      </c>
      <c r="R3102" s="93" t="str">
        <f>VLOOKUP(E3102,DATABASE!C:Q,11,false)</f>
        <v>Tire</v>
      </c>
    </row>
    <row r="3103" ht="22.5" customHeight="1">
      <c r="A3103" s="49"/>
      <c r="C3103" s="384">
        <v>45820.0</v>
      </c>
      <c r="D3103" s="65">
        <v>6049.0</v>
      </c>
      <c r="E3103" s="445" t="s">
        <v>268</v>
      </c>
      <c r="F3103" s="386">
        <v>2.0</v>
      </c>
      <c r="G3103" s="74">
        <v>720000.0</v>
      </c>
      <c r="H3103" s="74">
        <v>0.0</v>
      </c>
      <c r="I3103" s="74">
        <f t="shared" si="1"/>
        <v>1440000</v>
      </c>
      <c r="J3103" s="74">
        <f>IF(E3103="SERVICE",I3103-(I3103*50%),Vlookup(E3103,DATABASE!C:Q,10,false)*F3103)</f>
        <v>0</v>
      </c>
      <c r="K3103" s="74">
        <f>VLOOKUP(E3103,DATABASE!C:Q,7,false)</f>
        <v>653000</v>
      </c>
      <c r="L3103" s="74">
        <v>622000.0</v>
      </c>
      <c r="M3103" s="74">
        <f t="shared" si="2"/>
        <v>625000</v>
      </c>
      <c r="N3103" s="74">
        <f t="shared" si="3"/>
        <v>190000</v>
      </c>
      <c r="O3103" s="65" t="str">
        <f>VLOOKUP(E3103,DATABASE!C:Q,8,false)</f>
        <v>IBU</v>
      </c>
      <c r="P3103" s="65">
        <f>VLOOKUP(E3103,DATABASE!C:Q,9,False)</f>
        <v>1</v>
      </c>
      <c r="Q3103" s="93" t="str">
        <f>VLOOKUP(E3103,DATABASE!C:Q,4,false)</f>
        <v>Dunlop</v>
      </c>
      <c r="R3103" s="93" t="str">
        <f>VLOOKUP(E3103,DATABASE!C:Q,11,false)</f>
        <v>Tire</v>
      </c>
    </row>
    <row r="3104" ht="22.5" customHeight="1">
      <c r="A3104" s="49"/>
      <c r="C3104" s="384">
        <v>45820.0</v>
      </c>
      <c r="D3104" s="65">
        <v>6050.0</v>
      </c>
      <c r="E3104" s="445" t="s">
        <v>1025</v>
      </c>
      <c r="F3104" s="386">
        <v>4.0</v>
      </c>
      <c r="G3104" s="74">
        <v>800000.0</v>
      </c>
      <c r="H3104" s="74">
        <v>0.0</v>
      </c>
      <c r="I3104" s="74">
        <f t="shared" si="1"/>
        <v>3200000</v>
      </c>
      <c r="J3104" s="74">
        <f>IF(E3104="SERVICE",I3104-(I3104*50%),Vlookup(E3104,DATABASE!C:Q,10,false)*F3104)</f>
        <v>0</v>
      </c>
      <c r="K3104" s="74">
        <f>VLOOKUP(E3104,DATABASE!C:Q,7,false)</f>
        <v>683020.8</v>
      </c>
      <c r="L3104" s="74">
        <v>683020.8</v>
      </c>
      <c r="M3104" s="74">
        <f t="shared" si="2"/>
        <v>685000</v>
      </c>
      <c r="N3104" s="74">
        <f t="shared" si="3"/>
        <v>460000</v>
      </c>
      <c r="O3104" s="65" t="str">
        <f>VLOOKUP(E3104,DATABASE!C:Q,8,false)</f>
        <v>IBU</v>
      </c>
      <c r="P3104" s="65">
        <f>VLOOKUP(E3104,DATABASE!C:Q,9,False)</f>
        <v>1</v>
      </c>
      <c r="Q3104" s="93" t="str">
        <f>VLOOKUP(E3104,DATABASE!C:Q,4,false)</f>
        <v>Bridgestone</v>
      </c>
      <c r="R3104" s="93" t="str">
        <f>VLOOKUP(E3104,DATABASE!C:Q,11,false)</f>
        <v>Tire</v>
      </c>
    </row>
    <row r="3105" ht="22.5" customHeight="1">
      <c r="A3105" s="49"/>
      <c r="C3105" s="384">
        <v>45820.0</v>
      </c>
      <c r="D3105" s="65">
        <v>6050.0</v>
      </c>
      <c r="E3105" s="445" t="s">
        <v>256</v>
      </c>
      <c r="F3105" s="386">
        <v>1.0</v>
      </c>
      <c r="G3105" s="74">
        <v>130000.0</v>
      </c>
      <c r="H3105" s="74">
        <v>0.0</v>
      </c>
      <c r="I3105" s="74">
        <f t="shared" si="1"/>
        <v>130000</v>
      </c>
      <c r="J3105" s="74">
        <f>IF(E3105="SERVICE",I3105-(I3105*50%),Vlookup(E3105,DATABASE!C:Q,10,false)*F3105)</f>
        <v>10000</v>
      </c>
      <c r="K3105" s="74">
        <f>VLOOKUP(E3105,DATABASE!C:Q,7,false)</f>
        <v>0</v>
      </c>
      <c r="L3105" s="74">
        <v>0.0</v>
      </c>
      <c r="M3105" s="74">
        <f t="shared" si="2"/>
        <v>0</v>
      </c>
      <c r="N3105" s="74">
        <f t="shared" si="3"/>
        <v>120000</v>
      </c>
      <c r="O3105" s="65" t="str">
        <f>VLOOKUP(E3105,DATABASE!C:Q,8,false)</f>
        <v>IBU</v>
      </c>
      <c r="P3105" s="65">
        <f>VLOOKUP(E3105,DATABASE!C:Q,9,False)</f>
        <v>0</v>
      </c>
      <c r="Q3105" s="93" t="str">
        <f>VLOOKUP(E3105,DATABASE!C:Q,4,false)</f>
        <v>SPOORING</v>
      </c>
      <c r="R3105" s="93" t="str">
        <f>VLOOKUP(E3105,DATABASE!C:Q,11,false)</f>
        <v>SERVICE</v>
      </c>
    </row>
    <row r="3106" ht="22.5" customHeight="1">
      <c r="A3106" s="49"/>
      <c r="C3106" s="384">
        <v>45820.0</v>
      </c>
      <c r="D3106" s="65">
        <v>6051.0</v>
      </c>
      <c r="E3106" s="445" t="s">
        <v>256</v>
      </c>
      <c r="F3106" s="386">
        <v>1.0</v>
      </c>
      <c r="G3106" s="74">
        <v>130000.0</v>
      </c>
      <c r="H3106" s="74">
        <v>0.0</v>
      </c>
      <c r="I3106" s="74">
        <f t="shared" si="1"/>
        <v>130000</v>
      </c>
      <c r="J3106" s="74">
        <f>IF(E3106="SERVICE",I3106-(I3106*50%),Vlookup(E3106,DATABASE!C:Q,10,false)*F3106)</f>
        <v>10000</v>
      </c>
      <c r="K3106" s="74">
        <f>VLOOKUP(E3106,DATABASE!C:Q,7,false)</f>
        <v>0</v>
      </c>
      <c r="L3106" s="74">
        <v>0.0</v>
      </c>
      <c r="M3106" s="74">
        <f t="shared" si="2"/>
        <v>0</v>
      </c>
      <c r="N3106" s="74">
        <f t="shared" si="3"/>
        <v>120000</v>
      </c>
      <c r="O3106" s="65" t="str">
        <f>VLOOKUP(E3106,DATABASE!C:Q,8,false)</f>
        <v>IBU</v>
      </c>
      <c r="P3106" s="65">
        <f>VLOOKUP(E3106,DATABASE!C:Q,9,False)</f>
        <v>0</v>
      </c>
      <c r="Q3106" s="93" t="str">
        <f>VLOOKUP(E3106,DATABASE!C:Q,4,false)</f>
        <v>SPOORING</v>
      </c>
      <c r="R3106" s="93" t="str">
        <f>VLOOKUP(E3106,DATABASE!C:Q,11,false)</f>
        <v>SERVICE</v>
      </c>
    </row>
    <row r="3107" ht="22.5" customHeight="1">
      <c r="A3107" s="49"/>
      <c r="C3107" s="384">
        <v>45820.0</v>
      </c>
      <c r="D3107" s="65">
        <v>6051.0</v>
      </c>
      <c r="E3107" s="385" t="s">
        <v>299</v>
      </c>
      <c r="F3107" s="386">
        <v>2.0</v>
      </c>
      <c r="G3107" s="74">
        <v>30000.0</v>
      </c>
      <c r="H3107" s="74">
        <v>0.0</v>
      </c>
      <c r="I3107" s="74">
        <f t="shared" si="1"/>
        <v>60000</v>
      </c>
      <c r="J3107" s="74">
        <f>IF(E3107="SERVICE",I3107-(I3107*50%),Vlookup(E3107,DATABASE!C:Q,10,false)*F3107)</f>
        <v>0</v>
      </c>
      <c r="K3107" s="74">
        <v>0.0</v>
      </c>
      <c r="L3107" s="74">
        <v>0.0</v>
      </c>
      <c r="M3107" s="74">
        <f t="shared" si="2"/>
        <v>0</v>
      </c>
      <c r="N3107" s="74">
        <f t="shared" si="3"/>
        <v>60000</v>
      </c>
      <c r="O3107" s="65" t="str">
        <f>VLOOKUP(E3107,DATABASE!C:Q,8,false)</f>
        <v>BIAN</v>
      </c>
      <c r="P3107" s="65">
        <f>VLOOKUP(E3107,DATABASE!C:Q,9,False)</f>
        <v>0</v>
      </c>
      <c r="Q3107" s="93" t="str">
        <f>VLOOKUP(E3107,DATABASE!C:Q,4,false)</f>
        <v>Balancing</v>
      </c>
      <c r="R3107" s="93" t="str">
        <f>VLOOKUP(E3107,DATABASE!C:Q,11,false)</f>
        <v>COMPLEMENTARY</v>
      </c>
    </row>
    <row r="3108" ht="22.5" customHeight="1">
      <c r="A3108" s="49"/>
      <c r="C3108" s="384">
        <v>45821.0</v>
      </c>
      <c r="D3108" s="65">
        <v>6052.0</v>
      </c>
      <c r="E3108" s="445" t="s">
        <v>2050</v>
      </c>
      <c r="F3108" s="386">
        <v>2.0</v>
      </c>
      <c r="G3108" s="74">
        <v>580000.0</v>
      </c>
      <c r="H3108" s="74">
        <v>0.0</v>
      </c>
      <c r="I3108" s="74">
        <f t="shared" si="1"/>
        <v>1160000</v>
      </c>
      <c r="J3108" s="74">
        <f>IF(E3108="SERVICE",I3108-(I3108*50%),Vlookup(E3108,DATABASE!C:Q,10,false)*F3108)</f>
        <v>0</v>
      </c>
      <c r="K3108" s="74">
        <f>VLOOKUP(E3108,DATABASE!C:Q,7,false)</f>
        <v>506000</v>
      </c>
      <c r="L3108" s="74">
        <v>506000.0</v>
      </c>
      <c r="M3108" s="74">
        <f t="shared" si="2"/>
        <v>510000</v>
      </c>
      <c r="N3108" s="74">
        <f t="shared" si="3"/>
        <v>140000</v>
      </c>
      <c r="O3108" s="65" t="str">
        <f>VLOOKUP(E3108,DATABASE!C:Q,8,false)</f>
        <v>BIAN</v>
      </c>
      <c r="P3108" s="65">
        <f>VLOOKUP(E3108,DATABASE!C:Q,9,False)</f>
        <v>1</v>
      </c>
      <c r="Q3108" s="93" t="str">
        <f>VLOOKUP(E3108,DATABASE!C:Q,4,false)</f>
        <v>HANKOOK</v>
      </c>
      <c r="R3108" s="93" t="str">
        <f>VLOOKUP(E3108,DATABASE!C:Q,11,false)</f>
        <v>Tire</v>
      </c>
    </row>
    <row r="3109" ht="22.5" customHeight="1">
      <c r="A3109" s="49"/>
      <c r="C3109" s="384">
        <v>45821.0</v>
      </c>
      <c r="D3109" s="65">
        <v>6053.0</v>
      </c>
      <c r="E3109" s="445" t="s">
        <v>1278</v>
      </c>
      <c r="F3109" s="386">
        <v>1.0</v>
      </c>
      <c r="G3109" s="74">
        <v>1580000.0</v>
      </c>
      <c r="H3109" s="74">
        <v>0.0</v>
      </c>
      <c r="I3109" s="74">
        <f t="shared" si="1"/>
        <v>1580000</v>
      </c>
      <c r="J3109" s="74">
        <f>IF(E3109="SERVICE",I3109-(I3109*50%),Vlookup(E3109,DATABASE!C:Q,10,false)*F3109)</f>
        <v>0</v>
      </c>
      <c r="K3109" s="74">
        <f>VLOOKUP(E3109,DATABASE!C:Q,7,false)</f>
        <v>1466393.5</v>
      </c>
      <c r="L3109" s="74">
        <v>1466393.5</v>
      </c>
      <c r="M3109" s="74">
        <f t="shared" si="2"/>
        <v>1470000</v>
      </c>
      <c r="N3109" s="74">
        <f t="shared" si="3"/>
        <v>110000</v>
      </c>
      <c r="O3109" s="65" t="str">
        <f>VLOOKUP(E3109,DATABASE!C:Q,8,false)</f>
        <v>IBU</v>
      </c>
      <c r="P3109" s="65">
        <f>VLOOKUP(E3109,DATABASE!C:Q,9,False)</f>
        <v>1</v>
      </c>
      <c r="Q3109" s="93" t="str">
        <f>VLOOKUP(E3109,DATABASE!C:Q,4,false)</f>
        <v>Bridgestone</v>
      </c>
      <c r="R3109" s="93" t="str">
        <f>VLOOKUP(E3109,DATABASE!C:Q,11,false)</f>
        <v>Tire</v>
      </c>
    </row>
    <row r="3110" ht="22.5" customHeight="1">
      <c r="A3110" s="49"/>
      <c r="C3110" s="384">
        <v>45821.0</v>
      </c>
      <c r="D3110" s="65">
        <v>6053.0</v>
      </c>
      <c r="E3110" s="445" t="s">
        <v>2199</v>
      </c>
      <c r="F3110" s="386">
        <v>1.0</v>
      </c>
      <c r="G3110" s="74">
        <v>15000.0</v>
      </c>
      <c r="H3110" s="74">
        <v>0.0</v>
      </c>
      <c r="I3110" s="74">
        <f t="shared" si="1"/>
        <v>15000</v>
      </c>
      <c r="J3110" s="74">
        <f>IF(E3110="SERVICE",I3110-(I3110*50%),Vlookup(E3110,DATABASE!C:Q,10,false)*F3110)</f>
        <v>0</v>
      </c>
      <c r="K3110" s="74">
        <f>VLOOKUP(E3110,DATABASE!C:Q,7,false)</f>
        <v>5000</v>
      </c>
      <c r="L3110" s="74">
        <v>0.0</v>
      </c>
      <c r="M3110" s="74">
        <f t="shared" si="2"/>
        <v>0</v>
      </c>
      <c r="N3110" s="74">
        <f t="shared" si="3"/>
        <v>15000</v>
      </c>
      <c r="O3110" s="65" t="str">
        <f>VLOOKUP(E3110,DATABASE!C:Q,8,false)</f>
        <v>BIAN</v>
      </c>
      <c r="P3110" s="65">
        <f>VLOOKUP(E3110,DATABASE!C:Q,9,False)</f>
        <v>0</v>
      </c>
      <c r="Q3110" s="93" t="str">
        <f>VLOOKUP(E3110,DATABASE!C:Q,4,false)</f>
        <v>TAMBAL TUBLES</v>
      </c>
      <c r="R3110" s="93" t="str">
        <f>VLOOKUP(E3110,DATABASE!C:Q,11,false)</f>
        <v>COMPLEMENTARY</v>
      </c>
    </row>
    <row r="3111" ht="22.5" customHeight="1">
      <c r="A3111" s="49"/>
      <c r="C3111" s="384">
        <v>45821.0</v>
      </c>
      <c r="D3111" s="65">
        <v>6054.0</v>
      </c>
      <c r="E3111" s="445" t="s">
        <v>744</v>
      </c>
      <c r="F3111" s="386">
        <v>1.0</v>
      </c>
      <c r="G3111" s="74">
        <v>230000.0</v>
      </c>
      <c r="H3111" s="74">
        <v>0.0</v>
      </c>
      <c r="I3111" s="74">
        <f t="shared" si="1"/>
        <v>230000</v>
      </c>
      <c r="J3111" s="74">
        <f>IF(E3111="SERVICE",I3111-(I3111*50%),Vlookup(E3111,DATABASE!C:Q,10,false)*F3111)</f>
        <v>0</v>
      </c>
      <c r="K3111" s="74">
        <f>VLOOKUP(E3111,DATABASE!C:Q,7,false)</f>
        <v>182200</v>
      </c>
      <c r="L3111" s="74">
        <v>199920.0</v>
      </c>
      <c r="M3111" s="74">
        <f t="shared" si="2"/>
        <v>200000</v>
      </c>
      <c r="N3111" s="74">
        <f t="shared" si="3"/>
        <v>30000</v>
      </c>
      <c r="O3111" s="65" t="str">
        <f>VLOOKUP(E3111,DATABASE!C:Q,8,false)</f>
        <v>BIAN</v>
      </c>
      <c r="P3111" s="65">
        <f>VLOOKUP(E3111,DATABASE!C:Q,9,False)</f>
        <v>1</v>
      </c>
      <c r="Q3111" s="93" t="str">
        <f>VLOOKUP(E3111,DATABASE!C:Q,4,false)</f>
        <v>BD</v>
      </c>
      <c r="R3111" s="93" t="str">
        <f>VLOOKUP(E3111,DATABASE!C:Q,11,false)</f>
        <v>Tire</v>
      </c>
    </row>
    <row r="3112" ht="22.5" customHeight="1">
      <c r="A3112" s="49"/>
      <c r="C3112" s="384">
        <v>45821.0</v>
      </c>
      <c r="D3112" s="65">
        <v>6054.0</v>
      </c>
      <c r="E3112" s="445" t="s">
        <v>821</v>
      </c>
      <c r="F3112" s="386">
        <v>1.0</v>
      </c>
      <c r="G3112" s="74">
        <v>85000.0</v>
      </c>
      <c r="H3112" s="74">
        <v>0.0</v>
      </c>
      <c r="I3112" s="74">
        <f t="shared" si="1"/>
        <v>85000</v>
      </c>
      <c r="J3112" s="74">
        <f>IF(E3112="SERVICE",I3112-(I3112*50%),Vlookup(E3112,DATABASE!C:Q,10,false)*F3112)</f>
        <v>0</v>
      </c>
      <c r="K3112" s="74">
        <f>VLOOKUP(E3112,DATABASE!C:Q,7,false)</f>
        <v>43500</v>
      </c>
      <c r="L3112" s="74">
        <v>43520.0</v>
      </c>
      <c r="M3112" s="74">
        <f t="shared" si="2"/>
        <v>45000</v>
      </c>
      <c r="N3112" s="74">
        <f t="shared" si="3"/>
        <v>40000</v>
      </c>
      <c r="O3112" s="65" t="str">
        <f>VLOOKUP(E3112,DATABASE!C:Q,8,false)</f>
        <v>BIAN</v>
      </c>
      <c r="P3112" s="65">
        <f>VLOOKUP(E3112,DATABASE!C:Q,9,False)</f>
        <v>1</v>
      </c>
      <c r="Q3112" s="93" t="str">
        <f>VLOOKUP(E3112,DATABASE!C:Q,4,false)</f>
        <v>Flap</v>
      </c>
      <c r="R3112" s="93" t="str">
        <f>VLOOKUP(E3112,DATABASE!C:Q,11,false)</f>
        <v>Tire</v>
      </c>
    </row>
    <row r="3113" ht="22.5" customHeight="1">
      <c r="A3113" s="49"/>
      <c r="C3113" s="384">
        <v>45821.0</v>
      </c>
      <c r="D3113" s="65">
        <v>6057.0</v>
      </c>
      <c r="E3113" s="445" t="s">
        <v>791</v>
      </c>
      <c r="F3113" s="386">
        <v>1.0</v>
      </c>
      <c r="G3113" s="74">
        <v>1280000.0</v>
      </c>
      <c r="H3113" s="74">
        <v>0.0</v>
      </c>
      <c r="I3113" s="74">
        <f t="shared" si="1"/>
        <v>1280000</v>
      </c>
      <c r="J3113" s="74">
        <f>IF(E3113="SERVICE",I3113-(I3113*50%),Vlookup(E3113,DATABASE!C:Q,10,false)*F3113)</f>
        <v>0</v>
      </c>
      <c r="K3113" s="74">
        <f>VLOOKUP(E3113,DATABASE!C:Q,7,false)</f>
        <v>1210000</v>
      </c>
      <c r="L3113" s="74">
        <v>1180000.0</v>
      </c>
      <c r="M3113" s="74">
        <f t="shared" si="2"/>
        <v>1180000</v>
      </c>
      <c r="N3113" s="74">
        <f t="shared" si="3"/>
        <v>100000</v>
      </c>
      <c r="O3113" s="65" t="str">
        <f>VLOOKUP(E3113,DATABASE!C:Q,8,false)</f>
        <v>BIAN</v>
      </c>
      <c r="P3113" s="65">
        <f>VLOOKUP(E3113,DATABASE!C:Q,9,False)</f>
        <v>1</v>
      </c>
      <c r="Q3113" s="93" t="str">
        <f>VLOOKUP(E3113,DATABASE!C:Q,4,false)</f>
        <v>GT</v>
      </c>
      <c r="R3113" s="93" t="str">
        <f>VLOOKUP(E3113,DATABASE!C:Q,11,false)</f>
        <v>Tire</v>
      </c>
    </row>
    <row r="3114" ht="22.5" customHeight="1">
      <c r="A3114" s="49"/>
      <c r="C3114" s="384">
        <v>45821.0</v>
      </c>
      <c r="D3114" s="65">
        <v>6057.0</v>
      </c>
      <c r="E3114" s="445" t="s">
        <v>255</v>
      </c>
      <c r="F3114" s="386">
        <v>1.0</v>
      </c>
      <c r="G3114" s="74">
        <v>200000.0</v>
      </c>
      <c r="H3114" s="74">
        <v>0.0</v>
      </c>
      <c r="I3114" s="74">
        <f t="shared" si="1"/>
        <v>200000</v>
      </c>
      <c r="J3114" s="74">
        <f>IF(E3114="SERVICE",I3114-(I3114*50%),Vlookup(E3114,DATABASE!C:Q,10,false)*F3114)</f>
        <v>0</v>
      </c>
      <c r="K3114" s="74">
        <f>VLOOKUP(E3114,DATABASE!C:Q,7,false)</f>
        <v>161840</v>
      </c>
      <c r="L3114" s="74">
        <v>161840.0</v>
      </c>
      <c r="M3114" s="74">
        <f t="shared" si="2"/>
        <v>165000</v>
      </c>
      <c r="N3114" s="74">
        <f t="shared" si="3"/>
        <v>35000</v>
      </c>
      <c r="O3114" s="65" t="str">
        <f>VLOOKUP(E3114,DATABASE!C:Q,8,false)</f>
        <v>BIAN</v>
      </c>
      <c r="P3114" s="65">
        <f>VLOOKUP(E3114,DATABASE!C:Q,9,False)</f>
        <v>1</v>
      </c>
      <c r="Q3114" s="93" t="str">
        <f>VLOOKUP(E3114,DATABASE!C:Q,4,false)</f>
        <v>BD</v>
      </c>
      <c r="R3114" s="93" t="str">
        <f>VLOOKUP(E3114,DATABASE!C:Q,11,false)</f>
        <v>Tire</v>
      </c>
    </row>
    <row r="3115" ht="22.5" customHeight="1">
      <c r="A3115" s="49"/>
      <c r="C3115" s="384">
        <v>45821.0</v>
      </c>
      <c r="D3115" s="65">
        <v>6057.0</v>
      </c>
      <c r="E3115" s="445" t="s">
        <v>814</v>
      </c>
      <c r="F3115" s="386">
        <v>1.0</v>
      </c>
      <c r="G3115" s="74">
        <v>65000.0</v>
      </c>
      <c r="H3115" s="74">
        <v>0.0</v>
      </c>
      <c r="I3115" s="74">
        <f t="shared" si="1"/>
        <v>65000</v>
      </c>
      <c r="J3115" s="74">
        <f>IF(E3115="SERVICE",I3115-(I3115*50%),Vlookup(E3115,DATABASE!C:Q,10,false)*F3115)</f>
        <v>0</v>
      </c>
      <c r="K3115" s="74">
        <f>VLOOKUP(E3115,DATABASE!C:Q,7,false)</f>
        <v>39440</v>
      </c>
      <c r="L3115" s="74">
        <v>39440.0</v>
      </c>
      <c r="M3115" s="74">
        <f t="shared" si="2"/>
        <v>40000</v>
      </c>
      <c r="N3115" s="74">
        <f t="shared" si="3"/>
        <v>25000</v>
      </c>
      <c r="O3115" s="65" t="str">
        <f>VLOOKUP(E3115,DATABASE!C:Q,8,false)</f>
        <v>BIAN</v>
      </c>
      <c r="P3115" s="65">
        <f>VLOOKUP(E3115,DATABASE!C:Q,9,False)</f>
        <v>1</v>
      </c>
      <c r="Q3115" s="93" t="str">
        <f>VLOOKUP(E3115,DATABASE!C:Q,4,false)</f>
        <v>Flap</v>
      </c>
      <c r="R3115" s="93" t="str">
        <f>VLOOKUP(E3115,DATABASE!C:Q,11,false)</f>
        <v>Tire</v>
      </c>
    </row>
    <row r="3116" ht="22.5" customHeight="1">
      <c r="A3116" s="49"/>
      <c r="C3116" s="384">
        <v>45821.0</v>
      </c>
      <c r="D3116" s="65">
        <v>6058.0</v>
      </c>
      <c r="E3116" s="445" t="s">
        <v>591</v>
      </c>
      <c r="F3116" s="386">
        <v>1.0</v>
      </c>
      <c r="G3116" s="74">
        <v>700000.0</v>
      </c>
      <c r="H3116" s="74">
        <v>0.0</v>
      </c>
      <c r="I3116" s="74">
        <f t="shared" si="1"/>
        <v>700000</v>
      </c>
      <c r="J3116" s="74">
        <f>IF(E3116="SERVICE",I3116-(I3116*50%),Vlookup(E3116,DATABASE!C:Q,10,false)*F3116)</f>
        <v>0</v>
      </c>
      <c r="K3116" s="74">
        <f>VLOOKUP(E3116,DATABASE!C:Q,7,false)</f>
        <v>633035.16</v>
      </c>
      <c r="L3116" s="74">
        <v>593488.4</v>
      </c>
      <c r="M3116" s="74">
        <f t="shared" si="2"/>
        <v>595000</v>
      </c>
      <c r="N3116" s="74">
        <f t="shared" si="3"/>
        <v>105000</v>
      </c>
      <c r="O3116" s="65" t="str">
        <f>VLOOKUP(E3116,DATABASE!C:Q,8,false)</f>
        <v>IBU</v>
      </c>
      <c r="P3116" s="65">
        <f>VLOOKUP(E3116,DATABASE!C:Q,9,False)</f>
        <v>1</v>
      </c>
      <c r="Q3116" s="93" t="str">
        <f>VLOOKUP(E3116,DATABASE!C:Q,4,false)</f>
        <v>Bridgestone</v>
      </c>
      <c r="R3116" s="93" t="str">
        <f>VLOOKUP(E3116,DATABASE!C:Q,11,false)</f>
        <v>Tire</v>
      </c>
    </row>
    <row r="3117" ht="22.5" customHeight="1">
      <c r="A3117" s="49"/>
      <c r="C3117" s="384">
        <v>45821.0</v>
      </c>
      <c r="D3117" s="65">
        <v>6059.0</v>
      </c>
      <c r="E3117" s="445" t="s">
        <v>2199</v>
      </c>
      <c r="F3117" s="386">
        <v>1.0</v>
      </c>
      <c r="G3117" s="74">
        <v>15000.0</v>
      </c>
      <c r="H3117" s="74">
        <v>0.0</v>
      </c>
      <c r="I3117" s="74">
        <f t="shared" si="1"/>
        <v>15000</v>
      </c>
      <c r="J3117" s="74">
        <f>IF(E3117="SERVICE",I3117-(I3117*50%),Vlookup(E3117,DATABASE!C:Q,10,false)*F3117)</f>
        <v>0</v>
      </c>
      <c r="K3117" s="74">
        <f>VLOOKUP(E3117,DATABASE!C:Q,7,false)</f>
        <v>5000</v>
      </c>
      <c r="L3117" s="74">
        <v>0.0</v>
      </c>
      <c r="M3117" s="74">
        <f t="shared" si="2"/>
        <v>0</v>
      </c>
      <c r="N3117" s="74">
        <f t="shared" si="3"/>
        <v>15000</v>
      </c>
      <c r="O3117" s="65" t="str">
        <f>VLOOKUP(E3117,DATABASE!C:Q,8,false)</f>
        <v>BIAN</v>
      </c>
      <c r="P3117" s="65">
        <f>VLOOKUP(E3117,DATABASE!C:Q,9,False)</f>
        <v>0</v>
      </c>
      <c r="Q3117" s="93" t="str">
        <f>VLOOKUP(E3117,DATABASE!C:Q,4,false)</f>
        <v>TAMBAL TUBLES</v>
      </c>
      <c r="R3117" s="93" t="str">
        <f>VLOOKUP(E3117,DATABASE!C:Q,11,false)</f>
        <v>COMPLEMENTARY</v>
      </c>
    </row>
    <row r="3118" ht="22.5" customHeight="1">
      <c r="A3118" s="49"/>
      <c r="C3118" s="384">
        <v>45821.0</v>
      </c>
      <c r="D3118" s="65">
        <v>6061.0</v>
      </c>
      <c r="E3118" s="445" t="s">
        <v>268</v>
      </c>
      <c r="F3118" s="386">
        <v>2.0</v>
      </c>
      <c r="G3118" s="74">
        <v>720000.0</v>
      </c>
      <c r="H3118" s="74">
        <v>0.0</v>
      </c>
      <c r="I3118" s="74">
        <f t="shared" si="1"/>
        <v>1440000</v>
      </c>
      <c r="J3118" s="74">
        <f>IF(E3118="SERVICE",I3118-(I3118*50%),Vlookup(E3118,DATABASE!C:Q,10,false)*F3118)</f>
        <v>0</v>
      </c>
      <c r="K3118" s="74">
        <f>VLOOKUP(E3118,DATABASE!C:Q,7,false)</f>
        <v>653000</v>
      </c>
      <c r="L3118" s="74">
        <v>622000.0</v>
      </c>
      <c r="M3118" s="74">
        <f t="shared" si="2"/>
        <v>625000</v>
      </c>
      <c r="N3118" s="74">
        <f t="shared" si="3"/>
        <v>190000</v>
      </c>
      <c r="O3118" s="65" t="str">
        <f>VLOOKUP(E3118,DATABASE!C:Q,8,false)</f>
        <v>IBU</v>
      </c>
      <c r="P3118" s="65">
        <f>VLOOKUP(E3118,DATABASE!C:Q,9,False)</f>
        <v>1</v>
      </c>
      <c r="Q3118" s="93" t="str">
        <f>VLOOKUP(E3118,DATABASE!C:Q,4,false)</f>
        <v>Dunlop</v>
      </c>
      <c r="R3118" s="93" t="str">
        <f>VLOOKUP(E3118,DATABASE!C:Q,11,false)</f>
        <v>Tire</v>
      </c>
    </row>
    <row r="3119" ht="22.5" customHeight="1">
      <c r="A3119" s="49"/>
      <c r="C3119" s="384">
        <v>45821.0</v>
      </c>
      <c r="D3119" s="65">
        <v>6062.0</v>
      </c>
      <c r="E3119" s="445" t="s">
        <v>591</v>
      </c>
      <c r="F3119" s="386">
        <v>2.0</v>
      </c>
      <c r="G3119" s="74">
        <v>700000.0</v>
      </c>
      <c r="H3119" s="74">
        <v>0.0</v>
      </c>
      <c r="I3119" s="74">
        <f t="shared" si="1"/>
        <v>1400000</v>
      </c>
      <c r="J3119" s="74">
        <f>IF(E3119="SERVICE",I3119-(I3119*50%),Vlookup(E3119,DATABASE!C:Q,10,false)*F3119)</f>
        <v>0</v>
      </c>
      <c r="K3119" s="74">
        <f>VLOOKUP(E3119,DATABASE!C:Q,7,false)</f>
        <v>633035.16</v>
      </c>
      <c r="L3119" s="74">
        <v>593488.4</v>
      </c>
      <c r="M3119" s="74">
        <f t="shared" si="2"/>
        <v>595000</v>
      </c>
      <c r="N3119" s="74">
        <f t="shared" si="3"/>
        <v>210000</v>
      </c>
      <c r="O3119" s="65" t="str">
        <f>VLOOKUP(E3119,DATABASE!C:Q,8,false)</f>
        <v>IBU</v>
      </c>
      <c r="P3119" s="65">
        <f>VLOOKUP(E3119,DATABASE!C:Q,9,False)</f>
        <v>1</v>
      </c>
      <c r="Q3119" s="93" t="str">
        <f>VLOOKUP(E3119,DATABASE!C:Q,4,false)</f>
        <v>Bridgestone</v>
      </c>
      <c r="R3119" s="93" t="str">
        <f>VLOOKUP(E3119,DATABASE!C:Q,11,false)</f>
        <v>Tire</v>
      </c>
    </row>
    <row r="3120" ht="22.5" customHeight="1">
      <c r="A3120" s="49"/>
      <c r="C3120" s="384">
        <v>45821.0</v>
      </c>
      <c r="D3120" s="65">
        <v>6062.0</v>
      </c>
      <c r="E3120" s="385" t="s">
        <v>299</v>
      </c>
      <c r="F3120" s="386">
        <v>2.0</v>
      </c>
      <c r="G3120" s="74">
        <v>30000.0</v>
      </c>
      <c r="H3120" s="74">
        <v>0.0</v>
      </c>
      <c r="I3120" s="74">
        <f t="shared" si="1"/>
        <v>60000</v>
      </c>
      <c r="J3120" s="74">
        <f>IF(E3120="SERVICE",I3120-(I3120*50%),Vlookup(E3120,DATABASE!C:Q,10,false)*F3120)</f>
        <v>0</v>
      </c>
      <c r="K3120" s="74">
        <v>0.0</v>
      </c>
      <c r="L3120" s="74">
        <v>0.0</v>
      </c>
      <c r="M3120" s="74">
        <f t="shared" si="2"/>
        <v>0</v>
      </c>
      <c r="N3120" s="74">
        <f t="shared" si="3"/>
        <v>60000</v>
      </c>
      <c r="O3120" s="65" t="str">
        <f>VLOOKUP(E3120,DATABASE!C:Q,8,false)</f>
        <v>BIAN</v>
      </c>
      <c r="P3120" s="65">
        <f>VLOOKUP(E3120,DATABASE!C:Q,9,False)</f>
        <v>0</v>
      </c>
      <c r="Q3120" s="93" t="str">
        <f>VLOOKUP(E3120,DATABASE!C:Q,4,false)</f>
        <v>Balancing</v>
      </c>
      <c r="R3120" s="93" t="str">
        <f>VLOOKUP(E3120,DATABASE!C:Q,11,false)</f>
        <v>COMPLEMENTARY</v>
      </c>
    </row>
    <row r="3121" ht="22.5" customHeight="1">
      <c r="A3121" s="49"/>
      <c r="C3121" s="384">
        <v>45821.0</v>
      </c>
      <c r="D3121" s="65">
        <v>6062.0</v>
      </c>
      <c r="E3121" s="445" t="s">
        <v>256</v>
      </c>
      <c r="F3121" s="386">
        <v>1.0</v>
      </c>
      <c r="G3121" s="74">
        <v>130000.0</v>
      </c>
      <c r="H3121" s="74">
        <v>0.0</v>
      </c>
      <c r="I3121" s="74">
        <f t="shared" si="1"/>
        <v>130000</v>
      </c>
      <c r="J3121" s="74">
        <f>IF(E3121="SERVICE",I3121-(I3121*50%),Vlookup(E3121,DATABASE!C:Q,10,false)*F3121)</f>
        <v>10000</v>
      </c>
      <c r="K3121" s="74">
        <f>VLOOKUP(E3121,DATABASE!C:Q,7,false)</f>
        <v>0</v>
      </c>
      <c r="L3121" s="74">
        <v>0.0</v>
      </c>
      <c r="M3121" s="74">
        <f t="shared" si="2"/>
        <v>0</v>
      </c>
      <c r="N3121" s="74">
        <f t="shared" si="3"/>
        <v>120000</v>
      </c>
      <c r="O3121" s="65" t="str">
        <f>VLOOKUP(E3121,DATABASE!C:Q,8,false)</f>
        <v>IBU</v>
      </c>
      <c r="P3121" s="65">
        <f>VLOOKUP(E3121,DATABASE!C:Q,9,False)</f>
        <v>0</v>
      </c>
      <c r="Q3121" s="93" t="str">
        <f>VLOOKUP(E3121,DATABASE!C:Q,4,false)</f>
        <v>SPOORING</v>
      </c>
      <c r="R3121" s="93" t="str">
        <f>VLOOKUP(E3121,DATABASE!C:Q,11,false)</f>
        <v>SERVICE</v>
      </c>
    </row>
    <row r="3122" ht="22.5" customHeight="1">
      <c r="A3122" s="49"/>
      <c r="C3122" s="384">
        <v>45821.0</v>
      </c>
      <c r="D3122" s="65">
        <v>6062.0</v>
      </c>
      <c r="E3122" s="445" t="s">
        <v>301</v>
      </c>
      <c r="F3122" s="386">
        <v>1.0</v>
      </c>
      <c r="G3122" s="74">
        <v>250000.0</v>
      </c>
      <c r="H3122" s="74">
        <v>0.0</v>
      </c>
      <c r="I3122" s="74">
        <f t="shared" si="1"/>
        <v>250000</v>
      </c>
      <c r="J3122" s="74">
        <f>IF(E3122="SERVICE",I3122-(I3122*50%),Vlookup(E3122,DATABASE!C:Q,10,false)*F3122)</f>
        <v>75000</v>
      </c>
      <c r="K3122" s="74">
        <f>VLOOKUP(E3122,DATABASE!C:Q,7,false)</f>
        <v>75000</v>
      </c>
      <c r="L3122" s="74">
        <v>75000.0</v>
      </c>
      <c r="M3122" s="74">
        <f t="shared" si="2"/>
        <v>75000</v>
      </c>
      <c r="N3122" s="74">
        <f t="shared" si="3"/>
        <v>100000</v>
      </c>
      <c r="O3122" s="65" t="str">
        <f>VLOOKUP(E3122,DATABASE!C:Q,8,false)</f>
        <v>BIAN</v>
      </c>
      <c r="P3122" s="65">
        <f>VLOOKUP(E3122,DATABASE!C:Q,9,False)</f>
        <v>0</v>
      </c>
      <c r="Q3122" s="93" t="str">
        <f>VLOOKUP(E3122,DATABASE!C:Q,4,false)</f>
        <v>Baut Camber</v>
      </c>
      <c r="R3122" s="93" t="str">
        <f>VLOOKUP(E3122,DATABASE!C:Q,11,false)</f>
        <v>COMPLEMENTARY</v>
      </c>
    </row>
    <row r="3123" ht="22.5" customHeight="1">
      <c r="A3123" s="49"/>
      <c r="C3123" s="384">
        <v>45821.0</v>
      </c>
      <c r="D3123" s="65">
        <v>6063.0</v>
      </c>
      <c r="E3123" s="445" t="s">
        <v>268</v>
      </c>
      <c r="F3123" s="386">
        <v>1.0</v>
      </c>
      <c r="G3123" s="74">
        <v>700000.0</v>
      </c>
      <c r="H3123" s="74">
        <v>0.0</v>
      </c>
      <c r="I3123" s="74">
        <f t="shared" si="1"/>
        <v>700000</v>
      </c>
      <c r="J3123" s="74">
        <f>IF(E3123="SERVICE",I3123-(I3123*50%),Vlookup(E3123,DATABASE!C:Q,10,false)*F3123)</f>
        <v>0</v>
      </c>
      <c r="K3123" s="74">
        <v>613000.0</v>
      </c>
      <c r="L3123" s="74">
        <v>613000.0</v>
      </c>
      <c r="M3123" s="74">
        <f t="shared" si="2"/>
        <v>615000</v>
      </c>
      <c r="N3123" s="74">
        <f t="shared" si="3"/>
        <v>85000</v>
      </c>
      <c r="O3123" s="65" t="str">
        <f>VLOOKUP(E3123,DATABASE!C:Q,8,false)</f>
        <v>IBU</v>
      </c>
      <c r="P3123" s="65">
        <f>VLOOKUP(E3123,DATABASE!C:Q,9,False)</f>
        <v>1</v>
      </c>
      <c r="Q3123" s="93" t="str">
        <f>VLOOKUP(E3123,DATABASE!C:Q,4,false)</f>
        <v>Dunlop</v>
      </c>
      <c r="R3123" s="93" t="str">
        <f>VLOOKUP(E3123,DATABASE!C:Q,11,false)</f>
        <v>Tire</v>
      </c>
    </row>
    <row r="3124" ht="22.5" customHeight="1">
      <c r="A3124" s="49"/>
      <c r="C3124" s="384">
        <v>45821.0</v>
      </c>
      <c r="D3124" s="65">
        <v>6065.0</v>
      </c>
      <c r="E3124" s="445" t="s">
        <v>262</v>
      </c>
      <c r="F3124" s="386">
        <v>1.0</v>
      </c>
      <c r="G3124" s="74">
        <v>110000.0</v>
      </c>
      <c r="H3124" s="74">
        <v>0.0</v>
      </c>
      <c r="I3124" s="74">
        <f t="shared" si="1"/>
        <v>110000</v>
      </c>
      <c r="J3124" s="74">
        <f>IF(E3124="SERVICE",I3124-(I3124*50%),Vlookup(E3124,DATABASE!C:Q,10,false)*F3124)</f>
        <v>5000</v>
      </c>
      <c r="K3124" s="74">
        <f>VLOOKUP(E3124,DATABASE!C:Q,7,false)</f>
        <v>0</v>
      </c>
      <c r="L3124" s="74">
        <v>0.0</v>
      </c>
      <c r="M3124" s="74">
        <f t="shared" si="2"/>
        <v>0</v>
      </c>
      <c r="N3124" s="74">
        <f t="shared" si="3"/>
        <v>105000</v>
      </c>
      <c r="O3124" s="65" t="str">
        <f>VLOOKUP(E3124,DATABASE!C:Q,8,false)</f>
        <v>IBU</v>
      </c>
      <c r="P3124" s="65">
        <f>VLOOKUP(E3124,DATABASE!C:Q,9,False)</f>
        <v>0</v>
      </c>
      <c r="Q3124" s="93" t="str">
        <f>VLOOKUP(E3124,DATABASE!C:Q,4,false)</f>
        <v>SPOORING SS/CARRY LOS BAK</v>
      </c>
      <c r="R3124" s="93" t="str">
        <f>VLOOKUP(E3124,DATABASE!C:Q,11,false)</f>
        <v>SERVICE</v>
      </c>
    </row>
    <row r="3125" ht="22.5" customHeight="1">
      <c r="A3125" s="49"/>
      <c r="C3125" s="384">
        <v>45821.0</v>
      </c>
      <c r="D3125" s="65">
        <v>6065.0</v>
      </c>
      <c r="E3125" s="445" t="s">
        <v>478</v>
      </c>
      <c r="F3125" s="386">
        <v>1.0</v>
      </c>
      <c r="G3125" s="74">
        <v>200000.0</v>
      </c>
      <c r="H3125" s="74">
        <v>0.0</v>
      </c>
      <c r="I3125" s="74">
        <f t="shared" si="1"/>
        <v>200000</v>
      </c>
      <c r="J3125" s="74">
        <f>IF(E3125="SERVICE",I3125-(I3125*50%),Vlookup(E3125,DATABASE!C:Q,10,false)*F3125)</f>
        <v>25000</v>
      </c>
      <c r="K3125" s="74">
        <f>VLOOKUP(E3125,DATABASE!C:Q,7,false)</f>
        <v>75000</v>
      </c>
      <c r="L3125" s="74">
        <v>75000.0</v>
      </c>
      <c r="M3125" s="74">
        <f t="shared" si="2"/>
        <v>75000</v>
      </c>
      <c r="N3125" s="74">
        <f t="shared" si="3"/>
        <v>100000</v>
      </c>
      <c r="O3125" s="65" t="str">
        <f>VLOOKUP(E3125,DATABASE!C:Q,8,false)</f>
        <v>BIAN</v>
      </c>
      <c r="P3125" s="65">
        <f>VLOOKUP(E3125,DATABASE!C:Q,9,False)</f>
        <v>0</v>
      </c>
      <c r="Q3125" s="93" t="str">
        <f>VLOOKUP(E3125,DATABASE!C:Q,4,false)</f>
        <v>Baut Camber ss-carry</v>
      </c>
      <c r="R3125" s="93" t="str">
        <f>VLOOKUP(E3125,DATABASE!C:Q,11,false)</f>
        <v>COMPLEMENTARY</v>
      </c>
    </row>
    <row r="3126" ht="22.5" customHeight="1">
      <c r="A3126" s="49"/>
      <c r="C3126" s="384">
        <v>45821.0</v>
      </c>
      <c r="D3126" s="65">
        <v>6065.0</v>
      </c>
      <c r="E3126" s="445" t="s">
        <v>2206</v>
      </c>
      <c r="F3126" s="386">
        <v>1.0</v>
      </c>
      <c r="G3126" s="74">
        <v>200000.0</v>
      </c>
      <c r="H3126" s="74">
        <v>0.0</v>
      </c>
      <c r="I3126" s="74">
        <f t="shared" si="1"/>
        <v>200000</v>
      </c>
      <c r="J3126" s="74">
        <f>IF(E3126="SERVICE",I3126-(I3126*50%),Vlookup(E3126,DATABASE!C:Q,10,false)*F3126)</f>
        <v>40000</v>
      </c>
      <c r="K3126" s="74">
        <f>VLOOKUP(E3126,DATABASE!C:Q,7,false)</f>
        <v>95450</v>
      </c>
      <c r="L3126" s="74">
        <v>61000.0</v>
      </c>
      <c r="M3126" s="74">
        <f t="shared" si="2"/>
        <v>65000</v>
      </c>
      <c r="N3126" s="74">
        <f t="shared" si="3"/>
        <v>95000</v>
      </c>
      <c r="O3126" s="65" t="str">
        <f>VLOOKUP(E3126,DATABASE!C:Q,8,false)</f>
        <v>IBU</v>
      </c>
      <c r="P3126" s="65">
        <f>VLOOKUP(E3126,DATABASE!C:Q,9,False)</f>
        <v>1</v>
      </c>
      <c r="Q3126" s="93" t="str">
        <f>VLOOKUP(E3126,DATABASE!C:Q,4,false)</f>
        <v>TIEROD</v>
      </c>
      <c r="R3126" s="93" t="str">
        <f>VLOOKUP(E3126,DATABASE!C:Q,11,false)</f>
        <v>COMPLEMENTARY</v>
      </c>
    </row>
    <row r="3127" ht="22.5" customHeight="1">
      <c r="A3127" s="49"/>
      <c r="C3127" s="384">
        <v>45821.0</v>
      </c>
      <c r="D3127" s="65">
        <v>6065.0</v>
      </c>
      <c r="E3127" s="445" t="s">
        <v>2154</v>
      </c>
      <c r="F3127" s="386">
        <v>1.0</v>
      </c>
      <c r="G3127" s="74">
        <v>205000.0</v>
      </c>
      <c r="H3127" s="74">
        <v>0.0</v>
      </c>
      <c r="I3127" s="74">
        <f t="shared" si="1"/>
        <v>205000</v>
      </c>
      <c r="J3127" s="74">
        <f>IF(E3127="SERVICE",I3127-(I3127*50%),Vlookup(E3127,DATABASE!C:Q,10,false)*F3127)</f>
        <v>80000</v>
      </c>
      <c r="K3127" s="74">
        <f>VLOOKUP(E3127,DATABASE!C:Q,7,false)</f>
        <v>90000</v>
      </c>
      <c r="L3127" s="74">
        <v>65000.0</v>
      </c>
      <c r="M3127" s="74">
        <f t="shared" si="2"/>
        <v>65000</v>
      </c>
      <c r="N3127" s="74">
        <f t="shared" si="3"/>
        <v>60000</v>
      </c>
      <c r="O3127" s="65" t="str">
        <f>VLOOKUP(E3127,DATABASE!C:Q,8,false)</f>
        <v>IBU</v>
      </c>
      <c r="P3127" s="65">
        <f>VLOOKUP(E3127,DATABASE!C:Q,9,False)</f>
        <v>0</v>
      </c>
      <c r="Q3127" s="93" t="str">
        <f>VLOOKUP(E3127,DATABASE!C:Q,4,false)</f>
        <v>SERVICE</v>
      </c>
      <c r="R3127" s="93" t="str">
        <f>VLOOKUP(E3127,DATABASE!C:Q,11,false)</f>
        <v>COMPLEMENTARY</v>
      </c>
    </row>
    <row r="3128" ht="22.5" customHeight="1">
      <c r="A3128" s="49"/>
      <c r="C3128" s="384">
        <v>45821.0</v>
      </c>
      <c r="D3128" s="65">
        <v>6066.0</v>
      </c>
      <c r="E3128" s="385" t="s">
        <v>299</v>
      </c>
      <c r="F3128" s="386">
        <v>2.0</v>
      </c>
      <c r="G3128" s="74">
        <v>30000.0</v>
      </c>
      <c r="H3128" s="74">
        <v>0.0</v>
      </c>
      <c r="I3128" s="74">
        <f t="shared" si="1"/>
        <v>60000</v>
      </c>
      <c r="J3128" s="74">
        <f>IF(E3128="SERVICE",I3128-(I3128*50%),Vlookup(E3128,DATABASE!C:Q,10,false)*F3128)</f>
        <v>0</v>
      </c>
      <c r="K3128" s="74">
        <v>0.0</v>
      </c>
      <c r="L3128" s="74">
        <v>0.0</v>
      </c>
      <c r="M3128" s="74">
        <f t="shared" si="2"/>
        <v>0</v>
      </c>
      <c r="N3128" s="74">
        <f t="shared" si="3"/>
        <v>60000</v>
      </c>
      <c r="O3128" s="65" t="str">
        <f>VLOOKUP(E3128,DATABASE!C:Q,8,false)</f>
        <v>BIAN</v>
      </c>
      <c r="P3128" s="65">
        <f>VLOOKUP(E3128,DATABASE!C:Q,9,False)</f>
        <v>0</v>
      </c>
      <c r="Q3128" s="93" t="str">
        <f>VLOOKUP(E3128,DATABASE!C:Q,4,false)</f>
        <v>Balancing</v>
      </c>
      <c r="R3128" s="93" t="str">
        <f>VLOOKUP(E3128,DATABASE!C:Q,11,false)</f>
        <v>COMPLEMENTARY</v>
      </c>
    </row>
    <row r="3129" ht="22.5" customHeight="1">
      <c r="A3129" s="49"/>
      <c r="C3129" s="384">
        <v>45821.0</v>
      </c>
      <c r="D3129" s="65">
        <v>6066.0</v>
      </c>
      <c r="E3129" s="445" t="s">
        <v>251</v>
      </c>
      <c r="F3129" s="386">
        <v>1.0</v>
      </c>
      <c r="G3129" s="74">
        <v>150000.0</v>
      </c>
      <c r="H3129" s="74">
        <v>0.0</v>
      </c>
      <c r="I3129" s="74">
        <f t="shared" si="1"/>
        <v>150000</v>
      </c>
      <c r="J3129" s="74">
        <f>IF(E3129="SERVICE",I3129-(I3129*50%),Vlookup(E3129,DATABASE!C:Q,10,false)*F3129)</f>
        <v>75000</v>
      </c>
      <c r="K3129" s="74">
        <f>VLOOKUP(E3129,DATABASE!C:Q,7,false)</f>
        <v>0</v>
      </c>
      <c r="L3129" s="74">
        <v>0.0</v>
      </c>
      <c r="M3129" s="74">
        <f t="shared" si="2"/>
        <v>0</v>
      </c>
      <c r="N3129" s="74">
        <f t="shared" si="3"/>
        <v>75000</v>
      </c>
      <c r="O3129" s="65" t="str">
        <f>VLOOKUP(E3129,DATABASE!C:Q,8,false)</f>
        <v>IBU</v>
      </c>
      <c r="P3129" s="65">
        <f>VLOOKUP(E3129,DATABASE!C:Q,9,False)</f>
        <v>0</v>
      </c>
      <c r="Q3129" s="93" t="str">
        <f>VLOOKUP(E3129,DATABASE!C:Q,4,false)</f>
        <v>SERVICE</v>
      </c>
      <c r="R3129" s="93" t="str">
        <f>VLOOKUP(E3129,DATABASE!C:Q,11,false)</f>
        <v>SERVICE</v>
      </c>
    </row>
    <row r="3130" ht="22.5" customHeight="1">
      <c r="A3130" s="49"/>
      <c r="C3130" s="384">
        <v>45821.0</v>
      </c>
      <c r="D3130" s="65">
        <v>6068.0</v>
      </c>
      <c r="E3130" s="445" t="s">
        <v>256</v>
      </c>
      <c r="F3130" s="386">
        <v>1.0</v>
      </c>
      <c r="G3130" s="74">
        <v>130000.0</v>
      </c>
      <c r="H3130" s="74">
        <v>0.0</v>
      </c>
      <c r="I3130" s="74">
        <f t="shared" si="1"/>
        <v>130000</v>
      </c>
      <c r="J3130" s="74">
        <f>IF(E3130="SERVICE",I3130-(I3130*50%),Vlookup(E3130,DATABASE!C:Q,10,false)*F3130)</f>
        <v>10000</v>
      </c>
      <c r="K3130" s="74">
        <f>VLOOKUP(E3130,DATABASE!C:Q,7,false)</f>
        <v>0</v>
      </c>
      <c r="L3130" s="74">
        <v>0.0</v>
      </c>
      <c r="M3130" s="74">
        <f t="shared" si="2"/>
        <v>0</v>
      </c>
      <c r="N3130" s="74">
        <f t="shared" si="3"/>
        <v>120000</v>
      </c>
      <c r="O3130" s="65" t="str">
        <f>VLOOKUP(E3130,DATABASE!C:Q,8,false)</f>
        <v>IBU</v>
      </c>
      <c r="P3130" s="65">
        <f>VLOOKUP(E3130,DATABASE!C:Q,9,False)</f>
        <v>0</v>
      </c>
      <c r="Q3130" s="93" t="str">
        <f>VLOOKUP(E3130,DATABASE!C:Q,4,false)</f>
        <v>SPOORING</v>
      </c>
      <c r="R3130" s="93" t="str">
        <f>VLOOKUP(E3130,DATABASE!C:Q,11,false)</f>
        <v>SERVICE</v>
      </c>
    </row>
    <row r="3131" ht="22.5" customHeight="1">
      <c r="A3131" s="49"/>
      <c r="C3131" s="384">
        <v>45822.0</v>
      </c>
      <c r="D3131" s="65">
        <v>6069.0</v>
      </c>
      <c r="E3131" s="445" t="s">
        <v>391</v>
      </c>
      <c r="F3131" s="386">
        <v>1.0</v>
      </c>
      <c r="G3131" s="74">
        <v>1950000.0</v>
      </c>
      <c r="H3131" s="74">
        <v>0.0</v>
      </c>
      <c r="I3131" s="74">
        <f t="shared" si="1"/>
        <v>1950000</v>
      </c>
      <c r="J3131" s="74">
        <f>IF(E3131="SERVICE",I3131-(I3131*50%),Vlookup(E3131,DATABASE!C:Q,10,false)*F3131)</f>
        <v>0</v>
      </c>
      <c r="K3131" s="74">
        <f>VLOOKUP(E3131,DATABASE!C:Q,7,false)</f>
        <v>1885000</v>
      </c>
      <c r="L3131" s="74">
        <v>1840000.0</v>
      </c>
      <c r="M3131" s="74">
        <f t="shared" si="2"/>
        <v>1840000</v>
      </c>
      <c r="N3131" s="74">
        <f t="shared" si="3"/>
        <v>110000</v>
      </c>
      <c r="O3131" s="65" t="str">
        <f>VLOOKUP(E3131,DATABASE!C:Q,8,false)</f>
        <v>BIAN</v>
      </c>
      <c r="P3131" s="65">
        <f>VLOOKUP(E3131,DATABASE!C:Q,9,False)</f>
        <v>1</v>
      </c>
      <c r="Q3131" s="93" t="str">
        <f>VLOOKUP(E3131,DATABASE!C:Q,4,false)</f>
        <v>Advance</v>
      </c>
      <c r="R3131" s="93" t="str">
        <f>VLOOKUP(E3131,DATABASE!C:Q,11,false)</f>
        <v>Tire</v>
      </c>
    </row>
    <row r="3132" ht="22.5" customHeight="1">
      <c r="A3132" s="49"/>
      <c r="C3132" s="384">
        <v>45822.0</v>
      </c>
      <c r="D3132" s="65">
        <v>6070.0</v>
      </c>
      <c r="E3132" s="385" t="s">
        <v>299</v>
      </c>
      <c r="F3132" s="386">
        <v>2.0</v>
      </c>
      <c r="G3132" s="74">
        <v>30000.0</v>
      </c>
      <c r="H3132" s="74">
        <v>0.0</v>
      </c>
      <c r="I3132" s="74">
        <f t="shared" si="1"/>
        <v>60000</v>
      </c>
      <c r="J3132" s="74">
        <f>IF(E3132="SERVICE",I3132-(I3132*50%),Vlookup(E3132,DATABASE!C:Q,10,false)*F3132)</f>
        <v>0</v>
      </c>
      <c r="K3132" s="74">
        <v>0.0</v>
      </c>
      <c r="L3132" s="74">
        <v>0.0</v>
      </c>
      <c r="M3132" s="74">
        <f t="shared" si="2"/>
        <v>0</v>
      </c>
      <c r="N3132" s="74">
        <f t="shared" si="3"/>
        <v>60000</v>
      </c>
      <c r="O3132" s="65" t="str">
        <f>VLOOKUP(E3132,DATABASE!C:Q,8,false)</f>
        <v>BIAN</v>
      </c>
      <c r="P3132" s="65">
        <f>VLOOKUP(E3132,DATABASE!C:Q,9,False)</f>
        <v>0</v>
      </c>
      <c r="Q3132" s="93" t="str">
        <f>VLOOKUP(E3132,DATABASE!C:Q,4,false)</f>
        <v>Balancing</v>
      </c>
      <c r="R3132" s="93" t="str">
        <f>VLOOKUP(E3132,DATABASE!C:Q,11,false)</f>
        <v>COMPLEMENTARY</v>
      </c>
    </row>
    <row r="3133" ht="22.5" customHeight="1">
      <c r="A3133" s="49"/>
      <c r="C3133" s="384">
        <v>45822.0</v>
      </c>
      <c r="D3133" s="65">
        <v>6071.0</v>
      </c>
      <c r="E3133" s="445" t="s">
        <v>878</v>
      </c>
      <c r="F3133" s="386">
        <v>2.0</v>
      </c>
      <c r="G3133" s="74">
        <v>40000.0</v>
      </c>
      <c r="H3133" s="74">
        <v>0.0</v>
      </c>
      <c r="I3133" s="74">
        <f t="shared" si="1"/>
        <v>80000</v>
      </c>
      <c r="J3133" s="74">
        <f>IF(E3133="SERVICE",I3133-(I3133*50%),Vlookup(E3133,DATABASE!C:Q,10,false)*F3133)</f>
        <v>0</v>
      </c>
      <c r="K3133" s="74">
        <f>VLOOKUP(E3133,DATABASE!C:Q,7,false)</f>
        <v>0</v>
      </c>
      <c r="L3133" s="74">
        <v>0.0</v>
      </c>
      <c r="M3133" s="74">
        <f t="shared" si="2"/>
        <v>0</v>
      </c>
      <c r="N3133" s="74">
        <f t="shared" si="3"/>
        <v>80000</v>
      </c>
      <c r="O3133" s="65" t="str">
        <f>VLOOKUP(E3133,DATABASE!C:Q,8,false)</f>
        <v>IBU</v>
      </c>
      <c r="P3133" s="65">
        <f>VLOOKUP(E3133,DATABASE!C:Q,9,False)</f>
        <v>0</v>
      </c>
      <c r="Q3133" s="93" t="str">
        <f>VLOOKUP(E3133,DATABASE!C:Q,4,false)</f>
        <v>Bongkar Pasang 17</v>
      </c>
      <c r="R3133" s="93" t="str">
        <f>VLOOKUP(E3133,DATABASE!C:Q,11,false)</f>
        <v>SERVICE</v>
      </c>
    </row>
    <row r="3134" ht="22.5" customHeight="1">
      <c r="A3134" s="49"/>
      <c r="C3134" s="384">
        <v>45822.0</v>
      </c>
      <c r="D3134" s="65">
        <v>6071.0</v>
      </c>
      <c r="E3134" s="445" t="s">
        <v>246</v>
      </c>
      <c r="F3134" s="386">
        <v>2.0</v>
      </c>
      <c r="G3134" s="74">
        <v>20000.0</v>
      </c>
      <c r="H3134" s="74">
        <v>0.0</v>
      </c>
      <c r="I3134" s="74">
        <f t="shared" si="1"/>
        <v>40000</v>
      </c>
      <c r="J3134" s="74">
        <f>IF(E3134="SERVICE",I3134-(I3134*50%),Vlookup(E3134,DATABASE!C:Q,10,false)*F3134)</f>
        <v>0</v>
      </c>
      <c r="K3134" s="74">
        <f>VLOOKUP(E3134,DATABASE!C:Q,7,false)</f>
        <v>0</v>
      </c>
      <c r="L3134" s="74">
        <v>0.0</v>
      </c>
      <c r="M3134" s="74">
        <f t="shared" si="2"/>
        <v>0</v>
      </c>
      <c r="N3134" s="74">
        <f t="shared" si="3"/>
        <v>40000</v>
      </c>
      <c r="O3134" s="65" t="str">
        <f>VLOOKUP(E3134,DATABASE!C:Q,8,false)</f>
        <v>IBU</v>
      </c>
      <c r="P3134" s="65">
        <f>VLOOKUP(E3134,DATABASE!C:Q,9,False)</f>
        <v>0</v>
      </c>
      <c r="Q3134" s="93" t="str">
        <f>VLOOKUP(E3134,DATABASE!C:Q,4,false)</f>
        <v>Bongkar Pasang</v>
      </c>
      <c r="R3134" s="93" t="str">
        <f>VLOOKUP(E3134,DATABASE!C:Q,11,false)</f>
        <v>SERVICE</v>
      </c>
    </row>
    <row r="3135" ht="22.5" customHeight="1">
      <c r="A3135" s="49"/>
      <c r="C3135" s="384">
        <v>45822.0</v>
      </c>
      <c r="D3135" s="65">
        <v>6072.0</v>
      </c>
      <c r="E3135" s="445" t="s">
        <v>287</v>
      </c>
      <c r="F3135" s="386">
        <v>2.0</v>
      </c>
      <c r="G3135" s="74">
        <v>775000.0</v>
      </c>
      <c r="H3135" s="74">
        <v>0.0</v>
      </c>
      <c r="I3135" s="74">
        <f t="shared" si="1"/>
        <v>1550000</v>
      </c>
      <c r="J3135" s="74">
        <f>IF(E3135="SERVICE",I3135-(I3135*50%),Vlookup(E3135,DATABASE!C:Q,10,false)*F3135)</f>
        <v>0</v>
      </c>
      <c r="K3135" s="74">
        <f>VLOOKUP(E3135,DATABASE!C:Q,7,false)</f>
        <v>711000</v>
      </c>
      <c r="L3135" s="74">
        <v>690600.0</v>
      </c>
      <c r="M3135" s="74">
        <f t="shared" si="2"/>
        <v>695000</v>
      </c>
      <c r="N3135" s="74">
        <f t="shared" si="3"/>
        <v>160000</v>
      </c>
      <c r="O3135" s="65" t="str">
        <f>VLOOKUP(E3135,DATABASE!C:Q,8,false)</f>
        <v>BIAN</v>
      </c>
      <c r="P3135" s="65">
        <f>VLOOKUP(E3135,DATABASE!C:Q,9,False)</f>
        <v>1</v>
      </c>
      <c r="Q3135" s="93" t="str">
        <f>VLOOKUP(E3135,DATABASE!C:Q,4,false)</f>
        <v>GT</v>
      </c>
      <c r="R3135" s="93" t="str">
        <f>VLOOKUP(E3135,DATABASE!C:Q,11,false)</f>
        <v>Tire</v>
      </c>
    </row>
    <row r="3136" ht="22.5" customHeight="1">
      <c r="A3136" s="49"/>
      <c r="C3136" s="384">
        <v>45822.0</v>
      </c>
      <c r="D3136" s="65">
        <v>6074.0</v>
      </c>
      <c r="E3136" s="445" t="s">
        <v>781</v>
      </c>
      <c r="F3136" s="386">
        <v>2.0</v>
      </c>
      <c r="G3136" s="74">
        <v>530000.0</v>
      </c>
      <c r="H3136" s="74">
        <v>0.0</v>
      </c>
      <c r="I3136" s="74">
        <f t="shared" si="1"/>
        <v>1060000</v>
      </c>
      <c r="J3136" s="74">
        <f>IF(E3136="SERVICE",I3136-(I3136*50%),Vlookup(E3136,DATABASE!C:Q,10,false)*F3136)</f>
        <v>0</v>
      </c>
      <c r="K3136" s="74">
        <f>VLOOKUP(E3136,DATABASE!C:Q,7,false)</f>
        <v>470000</v>
      </c>
      <c r="L3136" s="74">
        <v>442500.0</v>
      </c>
      <c r="M3136" s="74">
        <f t="shared" si="2"/>
        <v>445000</v>
      </c>
      <c r="N3136" s="74">
        <f t="shared" si="3"/>
        <v>170000</v>
      </c>
      <c r="O3136" s="65" t="str">
        <f>VLOOKUP(E3136,DATABASE!C:Q,8,false)</f>
        <v>BIAN</v>
      </c>
      <c r="P3136" s="65">
        <f>VLOOKUP(E3136,DATABASE!C:Q,9,False)</f>
        <v>1</v>
      </c>
      <c r="Q3136" s="93" t="str">
        <f>VLOOKUP(E3136,DATABASE!C:Q,4,false)</f>
        <v>GT</v>
      </c>
      <c r="R3136" s="93" t="str">
        <f>VLOOKUP(E3136,DATABASE!C:Q,11,false)</f>
        <v>Tire</v>
      </c>
    </row>
    <row r="3137" ht="22.5" customHeight="1">
      <c r="A3137" s="49"/>
      <c r="C3137" s="384">
        <v>45822.0</v>
      </c>
      <c r="D3137" s="65">
        <v>6075.0</v>
      </c>
      <c r="E3137" s="445" t="s">
        <v>554</v>
      </c>
      <c r="F3137" s="386">
        <v>1.0</v>
      </c>
      <c r="G3137" s="74">
        <v>800000.0</v>
      </c>
      <c r="H3137" s="74">
        <v>0.0</v>
      </c>
      <c r="I3137" s="74">
        <f t="shared" si="1"/>
        <v>800000</v>
      </c>
      <c r="J3137" s="74">
        <f>IF(E3137="SERVICE",I3137-(I3137*50%),Vlookup(E3137,DATABASE!C:Q,10,false)*F3137)</f>
        <v>0</v>
      </c>
      <c r="K3137" s="74">
        <f>VLOOKUP(E3137,DATABASE!C:Q,7,false)</f>
        <v>710000</v>
      </c>
      <c r="L3137" s="74">
        <v>680000.0</v>
      </c>
      <c r="M3137" s="74">
        <f t="shared" si="2"/>
        <v>680000</v>
      </c>
      <c r="N3137" s="74">
        <f t="shared" si="3"/>
        <v>120000</v>
      </c>
      <c r="O3137" s="65" t="str">
        <f>VLOOKUP(E3137,DATABASE!C:Q,8,false)</f>
        <v>IBU</v>
      </c>
      <c r="P3137" s="65">
        <f>VLOOKUP(E3137,DATABASE!C:Q,9,False)</f>
        <v>1</v>
      </c>
      <c r="Q3137" s="93" t="str">
        <f>VLOOKUP(E3137,DATABASE!C:Q,4,false)</f>
        <v>Bridgestone</v>
      </c>
      <c r="R3137" s="93" t="str">
        <f>VLOOKUP(E3137,DATABASE!C:Q,11,false)</f>
        <v>Tire</v>
      </c>
    </row>
    <row r="3138" ht="22.5" customHeight="1">
      <c r="A3138" s="49"/>
      <c r="C3138" s="384">
        <v>45822.0</v>
      </c>
      <c r="D3138" s="65">
        <v>6075.0</v>
      </c>
      <c r="E3138" s="445" t="s">
        <v>605</v>
      </c>
      <c r="F3138" s="386">
        <v>1.0</v>
      </c>
      <c r="G3138" s="74">
        <v>760000.0</v>
      </c>
      <c r="H3138" s="74">
        <v>0.0</v>
      </c>
      <c r="I3138" s="74">
        <f t="shared" si="1"/>
        <v>760000</v>
      </c>
      <c r="J3138" s="74">
        <f>IF(E3138="SERVICE",I3138-(I3138*50%),Vlookup(E3138,DATABASE!C:Q,10,false)*F3138)</f>
        <v>0</v>
      </c>
      <c r="K3138" s="74">
        <v>670000.0</v>
      </c>
      <c r="L3138" s="74">
        <v>670000.0</v>
      </c>
      <c r="M3138" s="74">
        <f t="shared" si="2"/>
        <v>670000</v>
      </c>
      <c r="N3138" s="74">
        <f t="shared" si="3"/>
        <v>90000</v>
      </c>
      <c r="O3138" s="65" t="str">
        <f>VLOOKUP(E3138,DATABASE!C:Q,8,false)</f>
        <v>IBU</v>
      </c>
      <c r="P3138" s="65">
        <f>VLOOKUP(E3138,DATABASE!C:Q,9,False)</f>
        <v>1</v>
      </c>
      <c r="Q3138" s="93" t="str">
        <f>VLOOKUP(E3138,DATABASE!C:Q,4,false)</f>
        <v>Bridgestone</v>
      </c>
      <c r="R3138" s="93" t="str">
        <f>VLOOKUP(E3138,DATABASE!C:Q,11,false)</f>
        <v>Tire</v>
      </c>
    </row>
    <row r="3139" ht="22.5" customHeight="1">
      <c r="A3139" s="49"/>
      <c r="C3139" s="384">
        <v>45822.0</v>
      </c>
      <c r="D3139" s="65">
        <v>6076.0</v>
      </c>
      <c r="E3139" s="445" t="s">
        <v>1548</v>
      </c>
      <c r="F3139" s="386">
        <v>1.0</v>
      </c>
      <c r="G3139" s="74">
        <v>900000.0</v>
      </c>
      <c r="H3139" s="74">
        <v>0.0</v>
      </c>
      <c r="I3139" s="74">
        <f t="shared" si="1"/>
        <v>900000</v>
      </c>
      <c r="J3139" s="74">
        <f>IF(E3139="SERVICE",I3139-(I3139*50%),Vlookup(E3139,DATABASE!C:Q,10,false)*F3139)</f>
        <v>0</v>
      </c>
      <c r="K3139" s="74">
        <f>VLOOKUP(E3139,DATABASE!C:Q,7,false)</f>
        <v>778000</v>
      </c>
      <c r="L3139" s="74">
        <v>795000.0</v>
      </c>
      <c r="M3139" s="74">
        <f t="shared" si="2"/>
        <v>795000</v>
      </c>
      <c r="N3139" s="74">
        <f t="shared" si="3"/>
        <v>105000</v>
      </c>
      <c r="O3139" s="65" t="str">
        <f>VLOOKUP(E3139,DATABASE!C:Q,8,false)</f>
        <v>IBU</v>
      </c>
      <c r="P3139" s="65">
        <f>VLOOKUP(E3139,DATABASE!C:Q,9,False)</f>
        <v>1</v>
      </c>
      <c r="Q3139" s="93" t="str">
        <f>VLOOKUP(E3139,DATABASE!C:Q,4,false)</f>
        <v>Dunlop</v>
      </c>
      <c r="R3139" s="93" t="str">
        <f>VLOOKUP(E3139,DATABASE!C:Q,11,false)</f>
        <v>Tire</v>
      </c>
    </row>
    <row r="3140" ht="22.5" customHeight="1">
      <c r="A3140" s="49"/>
      <c r="C3140" s="384">
        <v>45822.0</v>
      </c>
      <c r="D3140" s="65">
        <v>6077.0</v>
      </c>
      <c r="E3140" s="445" t="s">
        <v>246</v>
      </c>
      <c r="F3140" s="386">
        <v>1.0</v>
      </c>
      <c r="G3140" s="74">
        <v>25000.0</v>
      </c>
      <c r="H3140" s="74">
        <v>0.0</v>
      </c>
      <c r="I3140" s="74">
        <f t="shared" si="1"/>
        <v>25000</v>
      </c>
      <c r="J3140" s="74">
        <f>IF(E3140="SERVICE",I3140-(I3140*50%),Vlookup(E3140,DATABASE!C:Q,10,false)*F3140)</f>
        <v>0</v>
      </c>
      <c r="K3140" s="74">
        <f>VLOOKUP(E3140,DATABASE!C:Q,7,false)</f>
        <v>0</v>
      </c>
      <c r="L3140" s="74">
        <v>0.0</v>
      </c>
      <c r="M3140" s="74">
        <f t="shared" si="2"/>
        <v>0</v>
      </c>
      <c r="N3140" s="74">
        <f t="shared" si="3"/>
        <v>25000</v>
      </c>
      <c r="O3140" s="65" t="str">
        <f>VLOOKUP(E3140,DATABASE!C:Q,8,false)</f>
        <v>IBU</v>
      </c>
      <c r="P3140" s="65">
        <f>VLOOKUP(E3140,DATABASE!C:Q,9,False)</f>
        <v>0</v>
      </c>
      <c r="Q3140" s="93" t="str">
        <f>VLOOKUP(E3140,DATABASE!C:Q,4,false)</f>
        <v>Bongkar Pasang</v>
      </c>
      <c r="R3140" s="93" t="str">
        <f>VLOOKUP(E3140,DATABASE!C:Q,11,false)</f>
        <v>SERVICE</v>
      </c>
    </row>
    <row r="3141" ht="22.5" customHeight="1">
      <c r="A3141" s="49"/>
      <c r="C3141" s="384">
        <v>45822.0</v>
      </c>
      <c r="D3141" s="65">
        <v>6078.0</v>
      </c>
      <c r="E3141" s="445" t="s">
        <v>940</v>
      </c>
      <c r="F3141" s="386">
        <v>2.0</v>
      </c>
      <c r="G3141" s="74">
        <v>800000.0</v>
      </c>
      <c r="H3141" s="74">
        <v>0.0</v>
      </c>
      <c r="I3141" s="74">
        <f t="shared" si="1"/>
        <v>1600000</v>
      </c>
      <c r="J3141" s="74">
        <f>IF(E3141="SERVICE",I3141-(I3141*50%),Vlookup(E3141,DATABASE!C:Q,10,false)*F3141)</f>
        <v>0</v>
      </c>
      <c r="K3141" s="74">
        <f>VLOOKUP(E3141,DATABASE!C:Q,7,false)</f>
        <v>716500</v>
      </c>
      <c r="L3141" s="74">
        <v>709000.0</v>
      </c>
      <c r="M3141" s="74">
        <f t="shared" si="2"/>
        <v>710000</v>
      </c>
      <c r="N3141" s="74">
        <f t="shared" si="3"/>
        <v>180000</v>
      </c>
      <c r="O3141" s="65" t="str">
        <f>VLOOKUP(E3141,DATABASE!C:Q,8,false)</f>
        <v>IBU</v>
      </c>
      <c r="P3141" s="65">
        <f>VLOOKUP(E3141,DATABASE!C:Q,9,False)</f>
        <v>1</v>
      </c>
      <c r="Q3141" s="93" t="str">
        <f>VLOOKUP(E3141,DATABASE!C:Q,4,false)</f>
        <v>Dunlop</v>
      </c>
      <c r="R3141" s="93" t="str">
        <f>VLOOKUP(E3141,DATABASE!C:Q,11,false)</f>
        <v>Tire</v>
      </c>
    </row>
    <row r="3142" ht="22.5" customHeight="1">
      <c r="A3142" s="49"/>
      <c r="C3142" s="384">
        <v>45823.0</v>
      </c>
      <c r="D3142" s="65">
        <v>6080.0</v>
      </c>
      <c r="E3142" s="445" t="s">
        <v>781</v>
      </c>
      <c r="F3142" s="386">
        <v>4.0</v>
      </c>
      <c r="G3142" s="74">
        <v>530000.0</v>
      </c>
      <c r="H3142" s="74">
        <v>0.0</v>
      </c>
      <c r="I3142" s="74">
        <f t="shared" si="1"/>
        <v>2120000</v>
      </c>
      <c r="J3142" s="74">
        <f>IF(E3142="SERVICE",I3142-(I3142*50%),Vlookup(E3142,DATABASE!C:Q,10,false)*F3142)</f>
        <v>0</v>
      </c>
      <c r="K3142" s="74">
        <f>VLOOKUP(E3142,DATABASE!C:Q,7,false)</f>
        <v>470000</v>
      </c>
      <c r="L3142" s="74">
        <v>442500.0</v>
      </c>
      <c r="M3142" s="74">
        <f t="shared" si="2"/>
        <v>445000</v>
      </c>
      <c r="N3142" s="74">
        <f t="shared" si="3"/>
        <v>340000</v>
      </c>
      <c r="O3142" s="65" t="str">
        <f>VLOOKUP(E3142,DATABASE!C:Q,8,false)</f>
        <v>BIAN</v>
      </c>
      <c r="P3142" s="65">
        <f>VLOOKUP(E3142,DATABASE!C:Q,9,False)</f>
        <v>1</v>
      </c>
      <c r="Q3142" s="93" t="str">
        <f>VLOOKUP(E3142,DATABASE!C:Q,4,false)</f>
        <v>GT</v>
      </c>
      <c r="R3142" s="93" t="str">
        <f>VLOOKUP(E3142,DATABASE!C:Q,11,false)</f>
        <v>Tire</v>
      </c>
    </row>
    <row r="3143" ht="22.5" customHeight="1">
      <c r="A3143" s="49"/>
      <c r="C3143" s="384">
        <v>45823.0</v>
      </c>
      <c r="D3143" s="65">
        <v>6080.0</v>
      </c>
      <c r="E3143" s="445" t="s">
        <v>250</v>
      </c>
      <c r="F3143" s="386">
        <v>1.0</v>
      </c>
      <c r="G3143" s="74">
        <v>135000.0</v>
      </c>
      <c r="H3143" s="74">
        <v>0.0</v>
      </c>
      <c r="I3143" s="74">
        <f t="shared" si="1"/>
        <v>135000</v>
      </c>
      <c r="J3143" s="74">
        <f>IF(E3143="SERVICE",I3143-(I3143*50%),Vlookup(E3143,DATABASE!C:Q,10,false)*F3143)</f>
        <v>0</v>
      </c>
      <c r="K3143" s="74">
        <f>VLOOKUP(E3143,DATABASE!C:Q,7,false)</f>
        <v>102000</v>
      </c>
      <c r="L3143" s="74">
        <v>102000.0</v>
      </c>
      <c r="M3143" s="74">
        <f t="shared" si="2"/>
        <v>105000</v>
      </c>
      <c r="N3143" s="74">
        <f t="shared" si="3"/>
        <v>30000</v>
      </c>
      <c r="O3143" s="65" t="str">
        <f>VLOOKUP(E3143,DATABASE!C:Q,8,false)</f>
        <v>BIAN</v>
      </c>
      <c r="P3143" s="65">
        <f>VLOOKUP(E3143,DATABASE!C:Q,9,False)</f>
        <v>1</v>
      </c>
      <c r="Q3143" s="93" t="str">
        <f>VLOOKUP(E3143,DATABASE!C:Q,4,false)</f>
        <v>BD</v>
      </c>
      <c r="R3143" s="93" t="str">
        <f>VLOOKUP(E3143,DATABASE!C:Q,11,false)</f>
        <v>Tire</v>
      </c>
    </row>
    <row r="3144" ht="22.5" customHeight="1">
      <c r="A3144" s="49"/>
      <c r="C3144" s="384">
        <v>45823.0</v>
      </c>
      <c r="D3144" s="65">
        <v>6081.0</v>
      </c>
      <c r="E3144" s="445" t="s">
        <v>572</v>
      </c>
      <c r="F3144" s="386">
        <v>2.0</v>
      </c>
      <c r="G3144" s="74">
        <v>1350000.0</v>
      </c>
      <c r="H3144" s="74">
        <v>0.0</v>
      </c>
      <c r="I3144" s="74">
        <f t="shared" si="1"/>
        <v>2700000</v>
      </c>
      <c r="J3144" s="74">
        <f>IF(E3144="SERVICE",I3144-(I3144*50%),Vlookup(E3144,DATABASE!C:Q,10,false)*F3144)</f>
        <v>0</v>
      </c>
      <c r="K3144" s="140">
        <v>1270000.0</v>
      </c>
      <c r="L3144" s="140">
        <v>1270000.0</v>
      </c>
      <c r="M3144" s="74">
        <f t="shared" si="2"/>
        <v>1270000</v>
      </c>
      <c r="N3144" s="74">
        <f t="shared" si="3"/>
        <v>160000</v>
      </c>
      <c r="O3144" s="65" t="str">
        <f>VLOOKUP(E3144,DATABASE!C:Q,8,false)</f>
        <v>IBU</v>
      </c>
      <c r="P3144" s="65">
        <f>VLOOKUP(E3144,DATABASE!C:Q,9,False)</f>
        <v>1</v>
      </c>
      <c r="Q3144" s="93" t="str">
        <f>VLOOKUP(E3144,DATABASE!C:Q,4,false)</f>
        <v>Bridgestone</v>
      </c>
      <c r="R3144" s="93" t="str">
        <f>VLOOKUP(E3144,DATABASE!C:Q,11,false)</f>
        <v>Tire</v>
      </c>
    </row>
    <row r="3145" ht="22.5" customHeight="1">
      <c r="A3145" s="49"/>
      <c r="C3145" s="384">
        <v>45823.0</v>
      </c>
      <c r="D3145" s="65">
        <v>6082.0</v>
      </c>
      <c r="E3145" s="445" t="s">
        <v>839</v>
      </c>
      <c r="F3145" s="386">
        <v>4.0</v>
      </c>
      <c r="G3145" s="74">
        <v>565000.0</v>
      </c>
      <c r="H3145" s="74">
        <v>0.0</v>
      </c>
      <c r="I3145" s="74">
        <f t="shared" si="1"/>
        <v>2260000</v>
      </c>
      <c r="J3145" s="74">
        <f>IF(E3145="SERVICE",I3145-(I3145*50%),Vlookup(E3145,DATABASE!C:Q,10,false)*F3145)</f>
        <v>0</v>
      </c>
      <c r="K3145" s="74">
        <f>VLOOKUP(E3145,DATABASE!C:Q,7,false)</f>
        <v>512640</v>
      </c>
      <c r="L3145" s="74">
        <v>475700.0</v>
      </c>
      <c r="M3145" s="74">
        <f t="shared" si="2"/>
        <v>480000</v>
      </c>
      <c r="N3145" s="74">
        <f t="shared" si="3"/>
        <v>340000</v>
      </c>
      <c r="O3145" s="65" t="str">
        <f>VLOOKUP(E3145,DATABASE!C:Q,8,false)</f>
        <v>BIAN</v>
      </c>
      <c r="P3145" s="65">
        <f>VLOOKUP(E3145,DATABASE!C:Q,9,False)</f>
        <v>1</v>
      </c>
      <c r="Q3145" s="93" t="str">
        <f>VLOOKUP(E3145,DATABASE!C:Q,4,false)</f>
        <v>GT</v>
      </c>
      <c r="R3145" s="93" t="str">
        <f>VLOOKUP(E3145,DATABASE!C:Q,11,false)</f>
        <v>Tire</v>
      </c>
    </row>
    <row r="3146" ht="22.5" customHeight="1">
      <c r="A3146" s="49"/>
      <c r="C3146" s="384">
        <v>45823.0</v>
      </c>
      <c r="D3146" s="65">
        <v>6082.0</v>
      </c>
      <c r="E3146" s="385" t="s">
        <v>299</v>
      </c>
      <c r="F3146" s="386">
        <v>2.0</v>
      </c>
      <c r="G3146" s="74">
        <v>30000.0</v>
      </c>
      <c r="H3146" s="74">
        <v>0.0</v>
      </c>
      <c r="I3146" s="74">
        <f t="shared" si="1"/>
        <v>60000</v>
      </c>
      <c r="J3146" s="74">
        <f>IF(E3146="SERVICE",I3146-(I3146*50%),Vlookup(E3146,DATABASE!C:Q,10,false)*F3146)</f>
        <v>0</v>
      </c>
      <c r="K3146" s="74">
        <v>0.0</v>
      </c>
      <c r="L3146" s="74">
        <v>0.0</v>
      </c>
      <c r="M3146" s="74">
        <f t="shared" si="2"/>
        <v>0</v>
      </c>
      <c r="N3146" s="74">
        <f t="shared" si="3"/>
        <v>60000</v>
      </c>
      <c r="O3146" s="65" t="str">
        <f>VLOOKUP(E3146,DATABASE!C:Q,8,false)</f>
        <v>BIAN</v>
      </c>
      <c r="P3146" s="65">
        <f>VLOOKUP(E3146,DATABASE!C:Q,9,False)</f>
        <v>0</v>
      </c>
      <c r="Q3146" s="93" t="str">
        <f>VLOOKUP(E3146,DATABASE!C:Q,4,false)</f>
        <v>Balancing</v>
      </c>
      <c r="R3146" s="93" t="str">
        <f>VLOOKUP(E3146,DATABASE!C:Q,11,false)</f>
        <v>COMPLEMENTARY</v>
      </c>
    </row>
    <row r="3147" ht="22.5" customHeight="1">
      <c r="A3147" s="49"/>
      <c r="C3147" s="384">
        <v>45823.0</v>
      </c>
      <c r="D3147" s="65">
        <v>6082.0</v>
      </c>
      <c r="E3147" s="445" t="s">
        <v>256</v>
      </c>
      <c r="F3147" s="386">
        <v>1.0</v>
      </c>
      <c r="G3147" s="74">
        <v>130000.0</v>
      </c>
      <c r="H3147" s="74">
        <v>0.0</v>
      </c>
      <c r="I3147" s="74">
        <f t="shared" si="1"/>
        <v>130000</v>
      </c>
      <c r="J3147" s="74">
        <f>IF(E3147="SERVICE",I3147-(I3147*50%),Vlookup(E3147,DATABASE!C:Q,10,false)*F3147)</f>
        <v>10000</v>
      </c>
      <c r="K3147" s="74">
        <f>VLOOKUP(E3147,DATABASE!C:Q,7,false)</f>
        <v>0</v>
      </c>
      <c r="L3147" s="74">
        <v>0.0</v>
      </c>
      <c r="M3147" s="74">
        <f t="shared" si="2"/>
        <v>0</v>
      </c>
      <c r="N3147" s="74">
        <f t="shared" si="3"/>
        <v>120000</v>
      </c>
      <c r="O3147" s="65" t="str">
        <f>VLOOKUP(E3147,DATABASE!C:Q,8,false)</f>
        <v>IBU</v>
      </c>
      <c r="P3147" s="65">
        <f>VLOOKUP(E3147,DATABASE!C:Q,9,False)</f>
        <v>0</v>
      </c>
      <c r="Q3147" s="93" t="str">
        <f>VLOOKUP(E3147,DATABASE!C:Q,4,false)</f>
        <v>SPOORING</v>
      </c>
      <c r="R3147" s="93" t="str">
        <f>VLOOKUP(E3147,DATABASE!C:Q,11,false)</f>
        <v>SERVICE</v>
      </c>
    </row>
    <row r="3148" ht="22.5" customHeight="1">
      <c r="A3148" s="49"/>
      <c r="C3148" s="384">
        <v>45823.0</v>
      </c>
      <c r="D3148" s="65">
        <v>6083.0</v>
      </c>
      <c r="E3148" s="445" t="s">
        <v>605</v>
      </c>
      <c r="F3148" s="386">
        <v>1.0</v>
      </c>
      <c r="G3148" s="74">
        <v>760000.0</v>
      </c>
      <c r="H3148" s="74">
        <v>0.0</v>
      </c>
      <c r="I3148" s="74">
        <f t="shared" si="1"/>
        <v>760000</v>
      </c>
      <c r="J3148" s="74">
        <f>IF(E3148="SERVICE",I3148-(I3148*50%),Vlookup(E3148,DATABASE!C:Q,10,false)*F3148)</f>
        <v>0</v>
      </c>
      <c r="K3148" s="74">
        <v>670000.0</v>
      </c>
      <c r="L3148" s="74">
        <v>670000.0</v>
      </c>
      <c r="M3148" s="74">
        <f t="shared" si="2"/>
        <v>670000</v>
      </c>
      <c r="N3148" s="74">
        <f t="shared" si="3"/>
        <v>90000</v>
      </c>
      <c r="O3148" s="65" t="str">
        <f>VLOOKUP(E3148,DATABASE!C:Q,8,false)</f>
        <v>IBU</v>
      </c>
      <c r="P3148" s="65">
        <f>VLOOKUP(E3148,DATABASE!C:Q,9,False)</f>
        <v>1</v>
      </c>
      <c r="Q3148" s="93" t="str">
        <f>VLOOKUP(E3148,DATABASE!C:Q,4,false)</f>
        <v>Bridgestone</v>
      </c>
      <c r="R3148" s="93" t="str">
        <f>VLOOKUP(E3148,DATABASE!C:Q,11,false)</f>
        <v>Tire</v>
      </c>
    </row>
    <row r="3149" ht="22.5" customHeight="1">
      <c r="A3149" s="49"/>
      <c r="C3149" s="384">
        <v>45823.0</v>
      </c>
      <c r="D3149" s="65">
        <v>6084.0</v>
      </c>
      <c r="E3149" s="445" t="s">
        <v>246</v>
      </c>
      <c r="F3149" s="386">
        <v>2.0</v>
      </c>
      <c r="G3149" s="74">
        <v>25000.0</v>
      </c>
      <c r="H3149" s="74">
        <v>0.0</v>
      </c>
      <c r="I3149" s="74">
        <f t="shared" si="1"/>
        <v>50000</v>
      </c>
      <c r="J3149" s="74">
        <f>IF(E3149="SERVICE",I3149-(I3149*50%),Vlookup(E3149,DATABASE!C:Q,10,false)*F3149)</f>
        <v>0</v>
      </c>
      <c r="K3149" s="74">
        <f>VLOOKUP(E3149,DATABASE!C:Q,7,false)</f>
        <v>0</v>
      </c>
      <c r="L3149" s="74">
        <v>0.0</v>
      </c>
      <c r="M3149" s="74">
        <f t="shared" si="2"/>
        <v>0</v>
      </c>
      <c r="N3149" s="74">
        <f t="shared" si="3"/>
        <v>50000</v>
      </c>
      <c r="O3149" s="65" t="str">
        <f>VLOOKUP(E3149,DATABASE!C:Q,8,false)</f>
        <v>IBU</v>
      </c>
      <c r="P3149" s="65">
        <f>VLOOKUP(E3149,DATABASE!C:Q,9,False)</f>
        <v>0</v>
      </c>
      <c r="Q3149" s="93" t="str">
        <f>VLOOKUP(E3149,DATABASE!C:Q,4,false)</f>
        <v>Bongkar Pasang</v>
      </c>
      <c r="R3149" s="93" t="str">
        <f>VLOOKUP(E3149,DATABASE!C:Q,11,false)</f>
        <v>SERVICE</v>
      </c>
    </row>
    <row r="3150" ht="22.5" customHeight="1">
      <c r="A3150" s="49"/>
      <c r="C3150" s="384">
        <v>45823.0</v>
      </c>
      <c r="D3150" s="65">
        <v>6085.0</v>
      </c>
      <c r="E3150" s="445" t="s">
        <v>2140</v>
      </c>
      <c r="F3150" s="386">
        <v>1.0</v>
      </c>
      <c r="G3150" s="74">
        <v>30000.0</v>
      </c>
      <c r="H3150" s="74">
        <v>0.0</v>
      </c>
      <c r="I3150" s="74">
        <f t="shared" si="1"/>
        <v>30000</v>
      </c>
      <c r="J3150" s="74">
        <f>IF(E3150="SERVICE",I3150-(I3150*50%),Vlookup(E3150,DATABASE!C:Q,10,false)*F3150)</f>
        <v>0</v>
      </c>
      <c r="K3150" s="74">
        <f>VLOOKUP(E3150,DATABASE!C:Q,7,false)</f>
        <v>5000</v>
      </c>
      <c r="L3150" s="74">
        <v>0.0</v>
      </c>
      <c r="M3150" s="74">
        <f t="shared" si="2"/>
        <v>0</v>
      </c>
      <c r="N3150" s="74">
        <f t="shared" si="3"/>
        <v>30000</v>
      </c>
      <c r="O3150" s="65" t="str">
        <f>VLOOKUP(E3150,DATABASE!C:Q,8,false)</f>
        <v>IBU</v>
      </c>
      <c r="P3150" s="65">
        <f>VLOOKUP(E3150,DATABASE!C:Q,9,False)</f>
        <v>0</v>
      </c>
      <c r="Q3150" s="93" t="str">
        <f>VLOOKUP(E3150,DATABASE!C:Q,4,false)</f>
        <v>PENTIL + PASANG</v>
      </c>
      <c r="R3150" s="93" t="str">
        <f>VLOOKUP(E3150,DATABASE!C:Q,11,false)</f>
        <v>COMPLEMENTARY</v>
      </c>
    </row>
    <row r="3151" ht="22.5" customHeight="1">
      <c r="A3151" s="49"/>
      <c r="C3151" s="384">
        <v>45823.0</v>
      </c>
      <c r="D3151" s="65">
        <v>6086.0</v>
      </c>
      <c r="E3151" s="445" t="s">
        <v>301</v>
      </c>
      <c r="F3151" s="386">
        <v>1.0</v>
      </c>
      <c r="G3151" s="74">
        <v>250000.0</v>
      </c>
      <c r="H3151" s="74">
        <v>0.0</v>
      </c>
      <c r="I3151" s="74">
        <f t="shared" si="1"/>
        <v>250000</v>
      </c>
      <c r="J3151" s="74">
        <f>IF(E3151="SERVICE",I3151-(I3151*50%),Vlookup(E3151,DATABASE!C:Q,10,false)*F3151)</f>
        <v>75000</v>
      </c>
      <c r="K3151" s="74">
        <f>VLOOKUP(E3151,DATABASE!C:Q,7,false)</f>
        <v>75000</v>
      </c>
      <c r="L3151" s="74">
        <v>75000.0</v>
      </c>
      <c r="M3151" s="74">
        <f t="shared" si="2"/>
        <v>75000</v>
      </c>
      <c r="N3151" s="74">
        <f t="shared" si="3"/>
        <v>100000</v>
      </c>
      <c r="O3151" s="65" t="str">
        <f>VLOOKUP(E3151,DATABASE!C:Q,8,false)</f>
        <v>BIAN</v>
      </c>
      <c r="P3151" s="65">
        <f>VLOOKUP(E3151,DATABASE!C:Q,9,False)</f>
        <v>0</v>
      </c>
      <c r="Q3151" s="93" t="str">
        <f>VLOOKUP(E3151,DATABASE!C:Q,4,false)</f>
        <v>Baut Camber</v>
      </c>
      <c r="R3151" s="93" t="str">
        <f>VLOOKUP(E3151,DATABASE!C:Q,11,false)</f>
        <v>COMPLEMENTARY</v>
      </c>
    </row>
    <row r="3152" ht="22.5" customHeight="1">
      <c r="A3152" s="49"/>
      <c r="C3152" s="384">
        <v>45823.0</v>
      </c>
      <c r="D3152" s="65">
        <v>6087.0</v>
      </c>
      <c r="E3152" s="445" t="s">
        <v>2050</v>
      </c>
      <c r="F3152" s="386">
        <v>2.0</v>
      </c>
      <c r="G3152" s="74">
        <v>585000.0</v>
      </c>
      <c r="H3152" s="74">
        <v>0.0</v>
      </c>
      <c r="I3152" s="74">
        <f t="shared" si="1"/>
        <v>1170000</v>
      </c>
      <c r="J3152" s="74">
        <f>IF(E3152="SERVICE",I3152-(I3152*50%),Vlookup(E3152,DATABASE!C:Q,10,false)*F3152)</f>
        <v>0</v>
      </c>
      <c r="K3152" s="74">
        <f>VLOOKUP(E3152,DATABASE!C:Q,7,false)</f>
        <v>506000</v>
      </c>
      <c r="L3152" s="74">
        <v>506000.0</v>
      </c>
      <c r="M3152" s="74">
        <f t="shared" si="2"/>
        <v>510000</v>
      </c>
      <c r="N3152" s="74">
        <f t="shared" si="3"/>
        <v>150000</v>
      </c>
      <c r="O3152" s="65" t="str">
        <f>VLOOKUP(E3152,DATABASE!C:Q,8,false)</f>
        <v>BIAN</v>
      </c>
      <c r="P3152" s="65">
        <f>VLOOKUP(E3152,DATABASE!C:Q,9,False)</f>
        <v>1</v>
      </c>
      <c r="Q3152" s="93" t="str">
        <f>VLOOKUP(E3152,DATABASE!C:Q,4,false)</f>
        <v>HANKOOK</v>
      </c>
      <c r="R3152" s="93" t="str">
        <f>VLOOKUP(E3152,DATABASE!C:Q,11,false)</f>
        <v>Tire</v>
      </c>
    </row>
    <row r="3153" ht="22.5" customHeight="1">
      <c r="A3153" s="49"/>
      <c r="C3153" s="384">
        <v>45824.0</v>
      </c>
      <c r="D3153" s="65">
        <v>6088.0</v>
      </c>
      <c r="E3153" s="385" t="s">
        <v>299</v>
      </c>
      <c r="F3153" s="386">
        <v>2.0</v>
      </c>
      <c r="G3153" s="74">
        <v>30000.0</v>
      </c>
      <c r="H3153" s="74">
        <v>0.0</v>
      </c>
      <c r="I3153" s="74">
        <f t="shared" si="1"/>
        <v>60000</v>
      </c>
      <c r="J3153" s="74">
        <f>IF(E3153="SERVICE",I3153-(I3153*50%),Vlookup(E3153,DATABASE!C:Q,10,false)*F3153)</f>
        <v>0</v>
      </c>
      <c r="K3153" s="74">
        <v>0.0</v>
      </c>
      <c r="L3153" s="74">
        <v>0.0</v>
      </c>
      <c r="M3153" s="74">
        <f t="shared" si="2"/>
        <v>0</v>
      </c>
      <c r="N3153" s="74">
        <f t="shared" si="3"/>
        <v>60000</v>
      </c>
      <c r="O3153" s="65" t="str">
        <f>VLOOKUP(E3153,DATABASE!C:Q,8,false)</f>
        <v>BIAN</v>
      </c>
      <c r="P3153" s="65">
        <f>VLOOKUP(E3153,DATABASE!C:Q,9,False)</f>
        <v>0</v>
      </c>
      <c r="Q3153" s="93" t="str">
        <f>VLOOKUP(E3153,DATABASE!C:Q,4,false)</f>
        <v>Balancing</v>
      </c>
      <c r="R3153" s="93" t="str">
        <f>VLOOKUP(E3153,DATABASE!C:Q,11,false)</f>
        <v>COMPLEMENTARY</v>
      </c>
    </row>
    <row r="3154" ht="22.5" customHeight="1">
      <c r="A3154" s="49"/>
      <c r="C3154" s="384">
        <v>45824.0</v>
      </c>
      <c r="D3154" s="65">
        <v>6089.0</v>
      </c>
      <c r="E3154" s="445" t="s">
        <v>256</v>
      </c>
      <c r="F3154" s="386">
        <v>1.0</v>
      </c>
      <c r="G3154" s="74">
        <v>130000.0</v>
      </c>
      <c r="H3154" s="74">
        <v>0.0</v>
      </c>
      <c r="I3154" s="74">
        <f t="shared" si="1"/>
        <v>130000</v>
      </c>
      <c r="J3154" s="74">
        <f>IF(E3154="SERVICE",I3154-(I3154*50%),Vlookup(E3154,DATABASE!C:Q,10,false)*F3154)</f>
        <v>10000</v>
      </c>
      <c r="K3154" s="74">
        <f>VLOOKUP(E3154,DATABASE!C:Q,7,false)</f>
        <v>0</v>
      </c>
      <c r="L3154" s="74">
        <v>0.0</v>
      </c>
      <c r="M3154" s="74">
        <f t="shared" si="2"/>
        <v>0</v>
      </c>
      <c r="N3154" s="74">
        <f t="shared" si="3"/>
        <v>120000</v>
      </c>
      <c r="O3154" s="65" t="str">
        <f>VLOOKUP(E3154,DATABASE!C:Q,8,false)</f>
        <v>IBU</v>
      </c>
      <c r="P3154" s="65">
        <f>VLOOKUP(E3154,DATABASE!C:Q,9,False)</f>
        <v>0</v>
      </c>
      <c r="Q3154" s="93" t="str">
        <f>VLOOKUP(E3154,DATABASE!C:Q,4,false)</f>
        <v>SPOORING</v>
      </c>
      <c r="R3154" s="93" t="str">
        <f>VLOOKUP(E3154,DATABASE!C:Q,11,false)</f>
        <v>SERVICE</v>
      </c>
    </row>
    <row r="3155" ht="22.5" customHeight="1">
      <c r="A3155" s="49"/>
      <c r="C3155" s="384">
        <v>45824.0</v>
      </c>
      <c r="D3155" s="65">
        <v>6089.0</v>
      </c>
      <c r="E3155" s="445" t="s">
        <v>301</v>
      </c>
      <c r="F3155" s="386">
        <v>1.0</v>
      </c>
      <c r="G3155" s="74">
        <v>250000.0</v>
      </c>
      <c r="H3155" s="74">
        <v>0.0</v>
      </c>
      <c r="I3155" s="74">
        <f t="shared" si="1"/>
        <v>250000</v>
      </c>
      <c r="J3155" s="74">
        <f>IF(E3155="SERVICE",I3155-(I3155*50%),Vlookup(E3155,DATABASE!C:Q,10,false)*F3155)</f>
        <v>75000</v>
      </c>
      <c r="K3155" s="74">
        <f>VLOOKUP(E3155,DATABASE!C:Q,7,false)</f>
        <v>75000</v>
      </c>
      <c r="L3155" s="74">
        <v>75000.0</v>
      </c>
      <c r="M3155" s="74">
        <f t="shared" si="2"/>
        <v>75000</v>
      </c>
      <c r="N3155" s="74">
        <f t="shared" si="3"/>
        <v>100000</v>
      </c>
      <c r="O3155" s="65" t="str">
        <f>VLOOKUP(E3155,DATABASE!C:Q,8,false)</f>
        <v>BIAN</v>
      </c>
      <c r="P3155" s="65">
        <f>VLOOKUP(E3155,DATABASE!C:Q,9,False)</f>
        <v>0</v>
      </c>
      <c r="Q3155" s="93" t="str">
        <f>VLOOKUP(E3155,DATABASE!C:Q,4,false)</f>
        <v>Baut Camber</v>
      </c>
      <c r="R3155" s="93" t="str">
        <f>VLOOKUP(E3155,DATABASE!C:Q,11,false)</f>
        <v>COMPLEMENTARY</v>
      </c>
    </row>
    <row r="3156" ht="22.5" customHeight="1">
      <c r="A3156" s="49"/>
      <c r="C3156" s="384">
        <v>45824.0</v>
      </c>
      <c r="D3156" s="65">
        <v>6091.0</v>
      </c>
      <c r="E3156" s="445" t="s">
        <v>777</v>
      </c>
      <c r="F3156" s="386">
        <v>1.0</v>
      </c>
      <c r="G3156" s="74">
        <v>585000.0</v>
      </c>
      <c r="H3156" s="74">
        <v>0.0</v>
      </c>
      <c r="I3156" s="74">
        <f t="shared" si="1"/>
        <v>585000</v>
      </c>
      <c r="J3156" s="74">
        <f>IF(E3156="SERVICE",I3156-(I3156*50%),Vlookup(E3156,DATABASE!C:Q,10,false)*F3156)</f>
        <v>0</v>
      </c>
      <c r="K3156" s="74">
        <f>VLOOKUP(E3156,DATABASE!C:Q,7,false)</f>
        <v>540000</v>
      </c>
      <c r="L3156" s="74">
        <v>507000.0</v>
      </c>
      <c r="M3156" s="74">
        <f t="shared" si="2"/>
        <v>510000</v>
      </c>
      <c r="N3156" s="74">
        <f t="shared" si="3"/>
        <v>75000</v>
      </c>
      <c r="O3156" s="65" t="str">
        <f>VLOOKUP(E3156,DATABASE!C:Q,8,false)</f>
        <v>BIAN</v>
      </c>
      <c r="P3156" s="65">
        <f>VLOOKUP(E3156,DATABASE!C:Q,9,False)</f>
        <v>1</v>
      </c>
      <c r="Q3156" s="93" t="str">
        <f>VLOOKUP(E3156,DATABASE!C:Q,4,false)</f>
        <v>GT</v>
      </c>
      <c r="R3156" s="93" t="str">
        <f>VLOOKUP(E3156,DATABASE!C:Q,11,false)</f>
        <v>Tire</v>
      </c>
    </row>
    <row r="3157" ht="22.5" customHeight="1">
      <c r="A3157" s="49"/>
      <c r="C3157" s="384">
        <v>45824.0</v>
      </c>
      <c r="D3157" s="65">
        <v>6092.0</v>
      </c>
      <c r="E3157" s="445" t="s">
        <v>288</v>
      </c>
      <c r="F3157" s="386">
        <v>4.0</v>
      </c>
      <c r="G3157" s="74">
        <v>620000.0</v>
      </c>
      <c r="H3157" s="74">
        <v>0.0</v>
      </c>
      <c r="I3157" s="74">
        <f t="shared" si="1"/>
        <v>2480000</v>
      </c>
      <c r="J3157" s="74">
        <f>IF(E3157="SERVICE",I3157-(I3157*50%),Vlookup(E3157,DATABASE!C:Q,10,false)*F3157)</f>
        <v>0</v>
      </c>
      <c r="K3157" s="74">
        <f>VLOOKUP(E3157,DATABASE!C:Q,7,false)</f>
        <v>565760</v>
      </c>
      <c r="L3157" s="74">
        <v>524800.0</v>
      </c>
      <c r="M3157" s="74">
        <f t="shared" si="2"/>
        <v>525000</v>
      </c>
      <c r="N3157" s="74">
        <f t="shared" si="3"/>
        <v>380000</v>
      </c>
      <c r="O3157" s="65" t="str">
        <f>VLOOKUP(E3157,DATABASE!C:Q,8,false)</f>
        <v>BIAN</v>
      </c>
      <c r="P3157" s="65">
        <f>VLOOKUP(E3157,DATABASE!C:Q,9,False)</f>
        <v>1</v>
      </c>
      <c r="Q3157" s="93" t="str">
        <f>VLOOKUP(E3157,DATABASE!C:Q,4,false)</f>
        <v>GT</v>
      </c>
      <c r="R3157" s="93" t="str">
        <f>VLOOKUP(E3157,DATABASE!C:Q,11,false)</f>
        <v>Tire</v>
      </c>
    </row>
    <row r="3158" ht="22.5" customHeight="1">
      <c r="A3158" s="49"/>
      <c r="C3158" s="384">
        <v>45824.0</v>
      </c>
      <c r="D3158" s="65">
        <v>6093.0</v>
      </c>
      <c r="E3158" s="445" t="s">
        <v>937</v>
      </c>
      <c r="F3158" s="386">
        <v>2.0</v>
      </c>
      <c r="G3158" s="74">
        <v>900000.0</v>
      </c>
      <c r="H3158" s="74">
        <v>0.0</v>
      </c>
      <c r="I3158" s="74">
        <f t="shared" si="1"/>
        <v>1800000</v>
      </c>
      <c r="J3158" s="74">
        <f>IF(E3158="SERVICE",I3158-(I3158*50%),Vlookup(E3158,DATABASE!C:Q,10,false)*F3158)</f>
        <v>0</v>
      </c>
      <c r="K3158" s="74">
        <f>VLOOKUP(E3158,DATABASE!C:Q,7,false)</f>
        <v>825000</v>
      </c>
      <c r="L3158" s="74">
        <v>790000.0</v>
      </c>
      <c r="M3158" s="74">
        <f t="shared" si="2"/>
        <v>790000</v>
      </c>
      <c r="N3158" s="74">
        <f t="shared" si="3"/>
        <v>220000</v>
      </c>
      <c r="O3158" s="65" t="str">
        <f>VLOOKUP(E3158,DATABASE!C:Q,8,false)</f>
        <v>IBU</v>
      </c>
      <c r="P3158" s="65">
        <f>VLOOKUP(E3158,DATABASE!C:Q,9,False)</f>
        <v>1</v>
      </c>
      <c r="Q3158" s="93" t="str">
        <f>VLOOKUP(E3158,DATABASE!C:Q,4,false)</f>
        <v>Bridgestone</v>
      </c>
      <c r="R3158" s="93" t="str">
        <f>VLOOKUP(E3158,DATABASE!C:Q,11,false)</f>
        <v>Tire</v>
      </c>
    </row>
    <row r="3159" ht="22.5" customHeight="1">
      <c r="A3159" s="49"/>
      <c r="C3159" s="384">
        <v>45824.0</v>
      </c>
      <c r="D3159" s="65">
        <v>6094.0</v>
      </c>
      <c r="E3159" s="445" t="s">
        <v>839</v>
      </c>
      <c r="F3159" s="386">
        <v>1.0</v>
      </c>
      <c r="G3159" s="74">
        <v>560000.0</v>
      </c>
      <c r="H3159" s="74">
        <v>0.0</v>
      </c>
      <c r="I3159" s="74">
        <f t="shared" si="1"/>
        <v>560000</v>
      </c>
      <c r="J3159" s="74">
        <f>IF(E3159="SERVICE",I3159-(I3159*50%),Vlookup(E3159,DATABASE!C:Q,10,false)*F3159)</f>
        <v>0</v>
      </c>
      <c r="K3159" s="74">
        <f>VLOOKUP(E3159,DATABASE!C:Q,7,false)</f>
        <v>512640</v>
      </c>
      <c r="L3159" s="74">
        <v>475700.0</v>
      </c>
      <c r="M3159" s="74">
        <f t="shared" si="2"/>
        <v>480000</v>
      </c>
      <c r="N3159" s="74">
        <f t="shared" si="3"/>
        <v>80000</v>
      </c>
      <c r="O3159" s="65" t="str">
        <f>VLOOKUP(E3159,DATABASE!C:Q,8,false)</f>
        <v>BIAN</v>
      </c>
      <c r="P3159" s="65">
        <f>VLOOKUP(E3159,DATABASE!C:Q,9,False)</f>
        <v>1</v>
      </c>
      <c r="Q3159" s="93" t="str">
        <f>VLOOKUP(E3159,DATABASE!C:Q,4,false)</f>
        <v>GT</v>
      </c>
      <c r="R3159" s="93" t="str">
        <f>VLOOKUP(E3159,DATABASE!C:Q,11,false)</f>
        <v>Tire</v>
      </c>
    </row>
    <row r="3160" ht="22.5" customHeight="1">
      <c r="A3160" s="49"/>
      <c r="C3160" s="384">
        <v>45824.0</v>
      </c>
      <c r="D3160" s="65">
        <v>6095.0</v>
      </c>
      <c r="E3160" s="445" t="s">
        <v>2019</v>
      </c>
      <c r="F3160" s="386">
        <v>1.0</v>
      </c>
      <c r="G3160" s="74">
        <v>685000.0</v>
      </c>
      <c r="H3160" s="74">
        <v>0.0</v>
      </c>
      <c r="I3160" s="74">
        <f t="shared" si="1"/>
        <v>685000</v>
      </c>
      <c r="J3160" s="74">
        <f>IF(E3160="SERVICE",I3160-(I3160*50%),Vlookup(E3160,DATABASE!C:Q,10,false)*F3160)</f>
        <v>0</v>
      </c>
      <c r="K3160" s="74">
        <f>VLOOKUP(E3160,DATABASE!C:Q,7,false)</f>
        <v>620000</v>
      </c>
      <c r="L3160" s="74">
        <v>585000.0</v>
      </c>
      <c r="M3160" s="74">
        <f t="shared" si="2"/>
        <v>585000</v>
      </c>
      <c r="N3160" s="74">
        <f t="shared" si="3"/>
        <v>100000</v>
      </c>
      <c r="O3160" s="65" t="str">
        <f>VLOOKUP(E3160,DATABASE!C:Q,8,false)</f>
        <v>BIAN</v>
      </c>
      <c r="P3160" s="65">
        <f>VLOOKUP(E3160,DATABASE!C:Q,9,False)</f>
        <v>1</v>
      </c>
      <c r="Q3160" s="93" t="str">
        <f>VLOOKUP(E3160,DATABASE!C:Q,4,false)</f>
        <v>GT</v>
      </c>
      <c r="R3160" s="93" t="str">
        <f>VLOOKUP(E3160,DATABASE!C:Q,11,false)</f>
        <v>Tire</v>
      </c>
    </row>
    <row r="3161" ht="22.5" customHeight="1">
      <c r="A3161" s="49"/>
      <c r="C3161" s="384">
        <v>45824.0</v>
      </c>
      <c r="D3161" s="65">
        <v>6096.0</v>
      </c>
      <c r="E3161" s="445" t="s">
        <v>292</v>
      </c>
      <c r="F3161" s="386">
        <v>2.0</v>
      </c>
      <c r="G3161" s="74">
        <v>415000.0</v>
      </c>
      <c r="H3161" s="74">
        <v>0.0</v>
      </c>
      <c r="I3161" s="74">
        <f t="shared" si="1"/>
        <v>830000</v>
      </c>
      <c r="J3161" s="74">
        <f>IF(E3161="SERVICE",I3161-(I3161*50%),Vlookup(E3161,DATABASE!C:Q,10,false)*F3161)</f>
        <v>0</v>
      </c>
      <c r="K3161" s="74">
        <f>VLOOKUP(E3161,DATABASE!C:Q,7,false)</f>
        <v>326700</v>
      </c>
      <c r="L3161" s="74">
        <v>326700.0</v>
      </c>
      <c r="M3161" s="74">
        <f t="shared" si="2"/>
        <v>330000</v>
      </c>
      <c r="N3161" s="74">
        <f t="shared" si="3"/>
        <v>170000</v>
      </c>
      <c r="O3161" s="65" t="str">
        <f>VLOOKUP(E3161,DATABASE!C:Q,8,false)</f>
        <v>BIAN</v>
      </c>
      <c r="P3161" s="65">
        <f>VLOOKUP(E3161,DATABASE!C:Q,9,False)</f>
        <v>1</v>
      </c>
      <c r="Q3161" s="93" t="str">
        <f>VLOOKUP(E3161,DATABASE!C:Q,4,false)</f>
        <v>GT</v>
      </c>
      <c r="R3161" s="93" t="str">
        <f>VLOOKUP(E3161,DATABASE!C:Q,11,false)</f>
        <v>Tire</v>
      </c>
    </row>
    <row r="3162" ht="22.5" customHeight="1">
      <c r="A3162" s="49"/>
      <c r="C3162" s="384">
        <v>45824.0</v>
      </c>
      <c r="D3162" s="65">
        <v>6096.0</v>
      </c>
      <c r="E3162" s="445" t="s">
        <v>531</v>
      </c>
      <c r="F3162" s="386">
        <v>1.0</v>
      </c>
      <c r="G3162" s="74">
        <v>70000.0</v>
      </c>
      <c r="H3162" s="74">
        <v>0.0</v>
      </c>
      <c r="I3162" s="74">
        <f t="shared" si="1"/>
        <v>70000</v>
      </c>
      <c r="J3162" s="74">
        <f>IF(E3162="SERVICE",I3162-(I3162*50%),Vlookup(E3162,DATABASE!C:Q,10,false)*F3162)</f>
        <v>0</v>
      </c>
      <c r="K3162" s="74">
        <f>VLOOKUP(E3162,DATABASE!C:Q,7,false)</f>
        <v>47000</v>
      </c>
      <c r="L3162" s="74">
        <v>47000.0</v>
      </c>
      <c r="M3162" s="74">
        <f t="shared" si="2"/>
        <v>50000</v>
      </c>
      <c r="N3162" s="74">
        <f t="shared" si="3"/>
        <v>20000</v>
      </c>
      <c r="O3162" s="65" t="str">
        <f>VLOOKUP(E3162,DATABASE!C:Q,8,false)</f>
        <v>BIAN</v>
      </c>
      <c r="P3162" s="65">
        <f>VLOOKUP(E3162,DATABASE!C:Q,9,False)</f>
        <v>1</v>
      </c>
      <c r="Q3162" s="93" t="str">
        <f>VLOOKUP(E3162,DATABASE!C:Q,4,false)</f>
        <v>BD</v>
      </c>
      <c r="R3162" s="93" t="str">
        <f>VLOOKUP(E3162,DATABASE!C:Q,11,false)</f>
        <v>Tire</v>
      </c>
    </row>
    <row r="3163" ht="22.5" customHeight="1">
      <c r="A3163" s="49"/>
      <c r="C3163" s="384">
        <v>45824.0</v>
      </c>
      <c r="D3163" s="65">
        <v>6097.0</v>
      </c>
      <c r="E3163" s="445" t="s">
        <v>256</v>
      </c>
      <c r="F3163" s="386">
        <v>1.0</v>
      </c>
      <c r="G3163" s="74">
        <v>130000.0</v>
      </c>
      <c r="H3163" s="74">
        <v>0.0</v>
      </c>
      <c r="I3163" s="74">
        <f t="shared" si="1"/>
        <v>130000</v>
      </c>
      <c r="J3163" s="74">
        <f>IF(E3163="SERVICE",I3163-(I3163*50%),Vlookup(E3163,DATABASE!C:Q,10,false)*F3163)</f>
        <v>10000</v>
      </c>
      <c r="K3163" s="74">
        <f>VLOOKUP(E3163,DATABASE!C:Q,7,false)</f>
        <v>0</v>
      </c>
      <c r="L3163" s="74">
        <v>0.0</v>
      </c>
      <c r="M3163" s="74">
        <f t="shared" si="2"/>
        <v>0</v>
      </c>
      <c r="N3163" s="74">
        <f t="shared" si="3"/>
        <v>120000</v>
      </c>
      <c r="O3163" s="65" t="str">
        <f>VLOOKUP(E3163,DATABASE!C:Q,8,false)</f>
        <v>IBU</v>
      </c>
      <c r="P3163" s="65">
        <f>VLOOKUP(E3163,DATABASE!C:Q,9,False)</f>
        <v>0</v>
      </c>
      <c r="Q3163" s="93" t="str">
        <f>VLOOKUP(E3163,DATABASE!C:Q,4,false)</f>
        <v>SPOORING</v>
      </c>
      <c r="R3163" s="93" t="str">
        <f>VLOOKUP(E3163,DATABASE!C:Q,11,false)</f>
        <v>SERVICE</v>
      </c>
    </row>
    <row r="3164" ht="22.5" customHeight="1">
      <c r="A3164" s="49"/>
      <c r="C3164" s="384">
        <v>45824.0</v>
      </c>
      <c r="D3164" s="65">
        <v>6098.0</v>
      </c>
      <c r="E3164" s="445" t="s">
        <v>2060</v>
      </c>
      <c r="F3164" s="386">
        <v>1.0</v>
      </c>
      <c r="G3164" s="74">
        <v>600000.0</v>
      </c>
      <c r="H3164" s="74">
        <v>0.0</v>
      </c>
      <c r="I3164" s="74">
        <f t="shared" si="1"/>
        <v>600000</v>
      </c>
      <c r="J3164" s="74">
        <f>IF(E3164="SERVICE",I3164-(I3164*50%),Vlookup(E3164,DATABASE!C:Q,10,false)*F3164)</f>
        <v>0</v>
      </c>
      <c r="K3164" s="74">
        <f>VLOOKUP(E3164,DATABASE!C:Q,7,false)</f>
        <v>517000</v>
      </c>
      <c r="L3164" s="74">
        <v>517000.0</v>
      </c>
      <c r="M3164" s="74">
        <f t="shared" si="2"/>
        <v>520000</v>
      </c>
      <c r="N3164" s="74">
        <f t="shared" si="3"/>
        <v>80000</v>
      </c>
      <c r="O3164" s="65" t="str">
        <f>VLOOKUP(E3164,DATABASE!C:Q,8,false)</f>
        <v>BIAN</v>
      </c>
      <c r="P3164" s="65">
        <f>VLOOKUP(E3164,DATABASE!C:Q,9,False)</f>
        <v>1</v>
      </c>
      <c r="Q3164" s="93" t="str">
        <f>VLOOKUP(E3164,DATABASE!C:Q,4,false)</f>
        <v>HANKOOK</v>
      </c>
      <c r="R3164" s="93" t="str">
        <f>VLOOKUP(E3164,DATABASE!C:Q,11,false)</f>
        <v>Tire</v>
      </c>
    </row>
    <row r="3165" ht="22.5" customHeight="1">
      <c r="A3165" s="49"/>
      <c r="C3165" s="384">
        <v>45824.0</v>
      </c>
      <c r="D3165" s="65">
        <v>6100.0</v>
      </c>
      <c r="E3165" s="445" t="s">
        <v>1439</v>
      </c>
      <c r="F3165" s="386">
        <v>2.0</v>
      </c>
      <c r="G3165" s="74">
        <v>630000.0</v>
      </c>
      <c r="H3165" s="74">
        <v>0.0</v>
      </c>
      <c r="I3165" s="74">
        <f t="shared" si="1"/>
        <v>1260000</v>
      </c>
      <c r="J3165" s="74">
        <f>IF(E3165="SERVICE",I3165-(I3165*50%),Vlookup(E3165,DATABASE!C:Q,10,false)*F3165)</f>
        <v>0</v>
      </c>
      <c r="K3165" s="74">
        <f>VLOOKUP(E3165,DATABASE!C:Q,7,false)</f>
        <v>556800</v>
      </c>
      <c r="L3165" s="74">
        <v>540800.0</v>
      </c>
      <c r="M3165" s="74">
        <f t="shared" si="2"/>
        <v>545000</v>
      </c>
      <c r="N3165" s="74">
        <f t="shared" si="3"/>
        <v>170000</v>
      </c>
      <c r="O3165" s="65" t="str">
        <f>VLOOKUP(E3165,DATABASE!C:Q,8,false)</f>
        <v>BIAN</v>
      </c>
      <c r="P3165" s="65">
        <f>VLOOKUP(E3165,DATABASE!C:Q,9,False)</f>
        <v>1</v>
      </c>
      <c r="Q3165" s="93" t="str">
        <f>VLOOKUP(E3165,DATABASE!C:Q,4,false)</f>
        <v>GT</v>
      </c>
      <c r="R3165" s="93" t="str">
        <f>VLOOKUP(E3165,DATABASE!C:Q,11,false)</f>
        <v>Tire</v>
      </c>
    </row>
    <row r="3166" ht="22.5" customHeight="1">
      <c r="A3166" s="49"/>
      <c r="C3166" s="384">
        <v>45824.0</v>
      </c>
      <c r="D3166" s="65">
        <v>6101.0</v>
      </c>
      <c r="E3166" s="445" t="s">
        <v>374</v>
      </c>
      <c r="F3166" s="386">
        <v>2.0</v>
      </c>
      <c r="G3166" s="74">
        <v>1950000.0</v>
      </c>
      <c r="H3166" s="74">
        <v>0.0</v>
      </c>
      <c r="I3166" s="74">
        <f t="shared" si="1"/>
        <v>3900000</v>
      </c>
      <c r="J3166" s="74">
        <f>IF(E3166="SERVICE",I3166-(I3166*50%),Vlookup(E3166,DATABASE!C:Q,10,false)*F3166)</f>
        <v>0</v>
      </c>
      <c r="K3166" s="74">
        <f>VLOOKUP(E3166,DATABASE!C:Q,7,false)</f>
        <v>1980000</v>
      </c>
      <c r="L3166" s="74">
        <v>1850000.0</v>
      </c>
      <c r="M3166" s="74">
        <f t="shared" si="2"/>
        <v>1850000</v>
      </c>
      <c r="N3166" s="74">
        <f t="shared" si="3"/>
        <v>200000</v>
      </c>
      <c r="O3166" s="65" t="str">
        <f>VLOOKUP(E3166,DATABASE!C:Q,8,false)</f>
        <v>BIAN</v>
      </c>
      <c r="P3166" s="65">
        <f>VLOOKUP(E3166,DATABASE!C:Q,9,False)</f>
        <v>1</v>
      </c>
      <c r="Q3166" s="93" t="str">
        <f>VLOOKUP(E3166,DATABASE!C:Q,4,false)</f>
        <v>Advance</v>
      </c>
      <c r="R3166" s="93" t="str">
        <f>VLOOKUP(E3166,DATABASE!C:Q,11,false)</f>
        <v>Tire</v>
      </c>
    </row>
    <row r="3167" ht="22.5" customHeight="1">
      <c r="A3167" s="49"/>
      <c r="C3167" s="384">
        <v>45824.0</v>
      </c>
      <c r="D3167" s="65">
        <v>6102.0</v>
      </c>
      <c r="E3167" s="445" t="s">
        <v>600</v>
      </c>
      <c r="F3167" s="386">
        <v>1.0</v>
      </c>
      <c r="G3167" s="74">
        <v>675000.0</v>
      </c>
      <c r="H3167" s="74">
        <v>0.0</v>
      </c>
      <c r="I3167" s="74">
        <f t="shared" si="1"/>
        <v>675000</v>
      </c>
      <c r="J3167" s="74">
        <f>IF(E3167="SERVICE",I3167-(I3167*50%),Vlookup(E3167,DATABASE!C:Q,10,false)*F3167)</f>
        <v>0</v>
      </c>
      <c r="K3167" s="74">
        <f>VLOOKUP(E3167,DATABASE!C:Q,7,false)</f>
        <v>611109.16</v>
      </c>
      <c r="L3167" s="74">
        <v>572762.4</v>
      </c>
      <c r="M3167" s="74">
        <f t="shared" si="2"/>
        <v>575000</v>
      </c>
      <c r="N3167" s="74">
        <f t="shared" si="3"/>
        <v>100000</v>
      </c>
      <c r="O3167" s="65" t="str">
        <f>VLOOKUP(E3167,DATABASE!C:Q,8,false)</f>
        <v>IBU</v>
      </c>
      <c r="P3167" s="65">
        <f>VLOOKUP(E3167,DATABASE!C:Q,9,False)</f>
        <v>1</v>
      </c>
      <c r="Q3167" s="93" t="str">
        <f>VLOOKUP(E3167,DATABASE!C:Q,4,false)</f>
        <v>Bridgestone</v>
      </c>
      <c r="R3167" s="93" t="str">
        <f>VLOOKUP(E3167,DATABASE!C:Q,11,false)</f>
        <v>Tire</v>
      </c>
    </row>
    <row r="3168" ht="22.5" customHeight="1">
      <c r="A3168" s="49"/>
      <c r="C3168" s="384">
        <v>45824.0</v>
      </c>
      <c r="D3168" s="65">
        <v>6103.0</v>
      </c>
      <c r="E3168" s="445" t="s">
        <v>288</v>
      </c>
      <c r="F3168" s="386">
        <v>2.0</v>
      </c>
      <c r="G3168" s="74">
        <v>620000.0</v>
      </c>
      <c r="H3168" s="74">
        <v>0.0</v>
      </c>
      <c r="I3168" s="74">
        <f t="shared" si="1"/>
        <v>1240000</v>
      </c>
      <c r="J3168" s="74">
        <f>IF(E3168="SERVICE",I3168-(I3168*50%),Vlookup(E3168,DATABASE!C:Q,10,false)*F3168)</f>
        <v>0</v>
      </c>
      <c r="K3168" s="74">
        <f>VLOOKUP(E3168,DATABASE!C:Q,7,false)</f>
        <v>565760</v>
      </c>
      <c r="L3168" s="74">
        <v>524800.0</v>
      </c>
      <c r="M3168" s="74">
        <f t="shared" si="2"/>
        <v>525000</v>
      </c>
      <c r="N3168" s="74">
        <f t="shared" si="3"/>
        <v>190000</v>
      </c>
      <c r="O3168" s="65" t="str">
        <f>VLOOKUP(E3168,DATABASE!C:Q,8,false)</f>
        <v>BIAN</v>
      </c>
      <c r="P3168" s="65">
        <f>VLOOKUP(E3168,DATABASE!C:Q,9,False)</f>
        <v>1</v>
      </c>
      <c r="Q3168" s="93" t="str">
        <f>VLOOKUP(E3168,DATABASE!C:Q,4,false)</f>
        <v>GT</v>
      </c>
      <c r="R3168" s="93" t="str">
        <f>VLOOKUP(E3168,DATABASE!C:Q,11,false)</f>
        <v>Tire</v>
      </c>
    </row>
    <row r="3169" ht="22.5" customHeight="1">
      <c r="A3169" s="49"/>
      <c r="C3169" s="384">
        <v>45825.0</v>
      </c>
      <c r="D3169" s="65">
        <v>6104.0</v>
      </c>
      <c r="E3169" s="445" t="s">
        <v>839</v>
      </c>
      <c r="F3169" s="386">
        <v>2.0</v>
      </c>
      <c r="G3169" s="74">
        <v>565000.0</v>
      </c>
      <c r="H3169" s="74">
        <v>0.0</v>
      </c>
      <c r="I3169" s="74">
        <f t="shared" si="1"/>
        <v>1130000</v>
      </c>
      <c r="J3169" s="74">
        <f>IF(E3169="SERVICE",I3169-(I3169*50%),Vlookup(E3169,DATABASE!C:Q,10,false)*F3169)</f>
        <v>0</v>
      </c>
      <c r="K3169" s="74">
        <f>VLOOKUP(E3169,DATABASE!C:Q,7,false)</f>
        <v>512640</v>
      </c>
      <c r="L3169" s="74">
        <v>475700.0</v>
      </c>
      <c r="M3169" s="74">
        <f t="shared" si="2"/>
        <v>480000</v>
      </c>
      <c r="N3169" s="74">
        <f t="shared" si="3"/>
        <v>170000</v>
      </c>
      <c r="O3169" s="65" t="str">
        <f>VLOOKUP(E3169,DATABASE!C:Q,8,false)</f>
        <v>BIAN</v>
      </c>
      <c r="P3169" s="65">
        <f>VLOOKUP(E3169,DATABASE!C:Q,9,False)</f>
        <v>1</v>
      </c>
      <c r="Q3169" s="93" t="str">
        <f>VLOOKUP(E3169,DATABASE!C:Q,4,false)</f>
        <v>GT</v>
      </c>
      <c r="R3169" s="93" t="str">
        <f>VLOOKUP(E3169,DATABASE!C:Q,11,false)</f>
        <v>Tire</v>
      </c>
    </row>
    <row r="3170" ht="22.5" customHeight="1">
      <c r="A3170" s="49"/>
      <c r="C3170" s="384">
        <v>45825.0</v>
      </c>
      <c r="D3170" s="65">
        <v>6105.0</v>
      </c>
      <c r="E3170" s="445" t="s">
        <v>622</v>
      </c>
      <c r="F3170" s="386">
        <v>2.0</v>
      </c>
      <c r="G3170" s="74">
        <v>915000.0</v>
      </c>
      <c r="H3170" s="74">
        <v>0.0</v>
      </c>
      <c r="I3170" s="74">
        <f t="shared" si="1"/>
        <v>1830000</v>
      </c>
      <c r="J3170" s="74">
        <f>IF(E3170="SERVICE",I3170-(I3170*50%),Vlookup(E3170,DATABASE!C:Q,10,false)*F3170)</f>
        <v>0</v>
      </c>
      <c r="K3170" s="74">
        <f>VLOOKUP(E3170,DATABASE!C:Q,7,false)</f>
        <v>851110.375</v>
      </c>
      <c r="L3170" s="74">
        <v>810342.44</v>
      </c>
      <c r="M3170" s="74">
        <f t="shared" si="2"/>
        <v>815000</v>
      </c>
      <c r="N3170" s="74">
        <f t="shared" si="3"/>
        <v>200000</v>
      </c>
      <c r="O3170" s="65" t="str">
        <f>VLOOKUP(E3170,DATABASE!C:Q,8,false)</f>
        <v>IBU</v>
      </c>
      <c r="P3170" s="65">
        <f>VLOOKUP(E3170,DATABASE!C:Q,9,False)</f>
        <v>1</v>
      </c>
      <c r="Q3170" s="93" t="str">
        <f>VLOOKUP(E3170,DATABASE!C:Q,4,false)</f>
        <v>Bridgestone</v>
      </c>
      <c r="R3170" s="93" t="str">
        <f>VLOOKUP(E3170,DATABASE!C:Q,11,false)</f>
        <v>Tire</v>
      </c>
    </row>
    <row r="3171" ht="22.5" customHeight="1">
      <c r="A3171" s="49"/>
      <c r="C3171" s="384">
        <v>45825.0</v>
      </c>
      <c r="D3171" s="65">
        <v>6105.0</v>
      </c>
      <c r="E3171" s="385" t="s">
        <v>299</v>
      </c>
      <c r="F3171" s="386">
        <v>2.0</v>
      </c>
      <c r="G3171" s="74">
        <v>30000.0</v>
      </c>
      <c r="H3171" s="74">
        <v>0.0</v>
      </c>
      <c r="I3171" s="74">
        <f t="shared" si="1"/>
        <v>60000</v>
      </c>
      <c r="J3171" s="74">
        <f>IF(E3171="SERVICE",I3171-(I3171*50%),Vlookup(E3171,DATABASE!C:Q,10,false)*F3171)</f>
        <v>0</v>
      </c>
      <c r="K3171" s="74">
        <v>0.0</v>
      </c>
      <c r="L3171" s="74">
        <v>0.0</v>
      </c>
      <c r="M3171" s="74">
        <f t="shared" si="2"/>
        <v>0</v>
      </c>
      <c r="N3171" s="74">
        <f t="shared" si="3"/>
        <v>60000</v>
      </c>
      <c r="O3171" s="65" t="str">
        <f>VLOOKUP(E3171,DATABASE!C:Q,8,false)</f>
        <v>BIAN</v>
      </c>
      <c r="P3171" s="65">
        <f>VLOOKUP(E3171,DATABASE!C:Q,9,False)</f>
        <v>0</v>
      </c>
      <c r="Q3171" s="93" t="str">
        <f>VLOOKUP(E3171,DATABASE!C:Q,4,false)</f>
        <v>Balancing</v>
      </c>
      <c r="R3171" s="93" t="str">
        <f>VLOOKUP(E3171,DATABASE!C:Q,11,false)</f>
        <v>COMPLEMENTARY</v>
      </c>
    </row>
    <row r="3172" ht="22.5" customHeight="1">
      <c r="A3172" s="49"/>
      <c r="C3172" s="384">
        <v>45825.0</v>
      </c>
      <c r="D3172" s="65">
        <v>6106.0</v>
      </c>
      <c r="E3172" s="445" t="s">
        <v>256</v>
      </c>
      <c r="F3172" s="386">
        <v>1.0</v>
      </c>
      <c r="G3172" s="74">
        <v>130000.0</v>
      </c>
      <c r="H3172" s="74">
        <v>0.0</v>
      </c>
      <c r="I3172" s="74">
        <f t="shared" si="1"/>
        <v>130000</v>
      </c>
      <c r="J3172" s="74">
        <f>IF(E3172="SERVICE",I3172-(I3172*50%),Vlookup(E3172,DATABASE!C:Q,10,false)*F3172)</f>
        <v>10000</v>
      </c>
      <c r="K3172" s="74">
        <f>VLOOKUP(E3172,DATABASE!C:Q,7,false)</f>
        <v>0</v>
      </c>
      <c r="L3172" s="74">
        <v>0.0</v>
      </c>
      <c r="M3172" s="74">
        <f t="shared" si="2"/>
        <v>0</v>
      </c>
      <c r="N3172" s="74">
        <f t="shared" si="3"/>
        <v>120000</v>
      </c>
      <c r="O3172" s="65" t="str">
        <f>VLOOKUP(E3172,DATABASE!C:Q,8,false)</f>
        <v>IBU</v>
      </c>
      <c r="P3172" s="65">
        <f>VLOOKUP(E3172,DATABASE!C:Q,9,False)</f>
        <v>0</v>
      </c>
      <c r="Q3172" s="93" t="str">
        <f>VLOOKUP(E3172,DATABASE!C:Q,4,false)</f>
        <v>SPOORING</v>
      </c>
      <c r="R3172" s="93" t="str">
        <f>VLOOKUP(E3172,DATABASE!C:Q,11,false)</f>
        <v>SERVICE</v>
      </c>
    </row>
    <row r="3173" ht="22.5" customHeight="1">
      <c r="A3173" s="49"/>
      <c r="C3173" s="384">
        <v>45825.0</v>
      </c>
      <c r="D3173" s="65">
        <v>6106.0</v>
      </c>
      <c r="E3173" s="445" t="s">
        <v>251</v>
      </c>
      <c r="F3173" s="386">
        <v>1.0</v>
      </c>
      <c r="G3173" s="74">
        <v>150000.0</v>
      </c>
      <c r="H3173" s="74">
        <v>0.0</v>
      </c>
      <c r="I3173" s="74">
        <f t="shared" si="1"/>
        <v>150000</v>
      </c>
      <c r="J3173" s="74">
        <f>IF(E3173="SERVICE",I3173-(I3173*50%),Vlookup(E3173,DATABASE!C:Q,10,false)*F3173)</f>
        <v>75000</v>
      </c>
      <c r="K3173" s="74">
        <f>VLOOKUP(E3173,DATABASE!C:Q,7,false)</f>
        <v>0</v>
      </c>
      <c r="L3173" s="74">
        <v>0.0</v>
      </c>
      <c r="M3173" s="74">
        <f t="shared" si="2"/>
        <v>0</v>
      </c>
      <c r="N3173" s="74">
        <f t="shared" si="3"/>
        <v>75000</v>
      </c>
      <c r="O3173" s="65" t="str">
        <f>VLOOKUP(E3173,DATABASE!C:Q,8,false)</f>
        <v>IBU</v>
      </c>
      <c r="P3173" s="65">
        <f>VLOOKUP(E3173,DATABASE!C:Q,9,False)</f>
        <v>0</v>
      </c>
      <c r="Q3173" s="93" t="str">
        <f>VLOOKUP(E3173,DATABASE!C:Q,4,false)</f>
        <v>SERVICE</v>
      </c>
      <c r="R3173" s="93" t="str">
        <f>VLOOKUP(E3173,DATABASE!C:Q,11,false)</f>
        <v>SERVICE</v>
      </c>
    </row>
    <row r="3174" ht="22.5" customHeight="1">
      <c r="A3174" s="49"/>
      <c r="C3174" s="384">
        <v>45825.0</v>
      </c>
      <c r="D3174" s="65">
        <v>6108.0</v>
      </c>
      <c r="E3174" s="445" t="s">
        <v>781</v>
      </c>
      <c r="F3174" s="386">
        <v>2.0</v>
      </c>
      <c r="G3174" s="74">
        <v>530000.0</v>
      </c>
      <c r="H3174" s="74">
        <v>0.0</v>
      </c>
      <c r="I3174" s="74">
        <f t="shared" si="1"/>
        <v>1060000</v>
      </c>
      <c r="J3174" s="74">
        <f>IF(E3174="SERVICE",I3174-(I3174*50%),Vlookup(E3174,DATABASE!C:Q,10,false)*F3174)</f>
        <v>0</v>
      </c>
      <c r="K3174" s="74">
        <f>VLOOKUP(E3174,DATABASE!C:Q,7,false)</f>
        <v>470000</v>
      </c>
      <c r="L3174" s="74">
        <v>442500.0</v>
      </c>
      <c r="M3174" s="74">
        <f t="shared" si="2"/>
        <v>445000</v>
      </c>
      <c r="N3174" s="74">
        <f t="shared" si="3"/>
        <v>170000</v>
      </c>
      <c r="O3174" s="65" t="str">
        <f>VLOOKUP(E3174,DATABASE!C:Q,8,false)</f>
        <v>BIAN</v>
      </c>
      <c r="P3174" s="65">
        <f>VLOOKUP(E3174,DATABASE!C:Q,9,False)</f>
        <v>1</v>
      </c>
      <c r="Q3174" s="93" t="str">
        <f>VLOOKUP(E3174,DATABASE!C:Q,4,false)</f>
        <v>GT</v>
      </c>
      <c r="R3174" s="93" t="str">
        <f>VLOOKUP(E3174,DATABASE!C:Q,11,false)</f>
        <v>Tire</v>
      </c>
    </row>
    <row r="3175" ht="22.5" customHeight="1">
      <c r="A3175" s="49"/>
      <c r="C3175" s="384">
        <v>45825.0</v>
      </c>
      <c r="D3175" s="65">
        <v>6109.0</v>
      </c>
      <c r="E3175" s="445" t="s">
        <v>856</v>
      </c>
      <c r="F3175" s="386">
        <v>2.0</v>
      </c>
      <c r="G3175" s="74">
        <v>670000.0</v>
      </c>
      <c r="H3175" s="74">
        <v>0.0</v>
      </c>
      <c r="I3175" s="74">
        <f t="shared" si="1"/>
        <v>1340000</v>
      </c>
      <c r="J3175" s="74">
        <f>IF(E3175="SERVICE",I3175-(I3175*50%),Vlookup(E3175,DATABASE!C:Q,10,false)*F3175)</f>
        <v>0</v>
      </c>
      <c r="K3175" s="74">
        <f>VLOOKUP(E3175,DATABASE!C:Q,7,false)</f>
        <v>615300</v>
      </c>
      <c r="L3175" s="74">
        <v>581120.0</v>
      </c>
      <c r="M3175" s="74">
        <f t="shared" si="2"/>
        <v>585000</v>
      </c>
      <c r="N3175" s="74">
        <f t="shared" si="3"/>
        <v>170000</v>
      </c>
      <c r="O3175" s="65" t="str">
        <f>VLOOKUP(E3175,DATABASE!C:Q,8,false)</f>
        <v>BIAN</v>
      </c>
      <c r="P3175" s="65">
        <f>VLOOKUP(E3175,DATABASE!C:Q,9,False)</f>
        <v>1</v>
      </c>
      <c r="Q3175" s="93" t="str">
        <f>VLOOKUP(E3175,DATABASE!C:Q,4,false)</f>
        <v>GT</v>
      </c>
      <c r="R3175" s="93" t="str">
        <f>VLOOKUP(E3175,DATABASE!C:Q,11,false)</f>
        <v>Tire</v>
      </c>
    </row>
    <row r="3176" ht="22.5" customHeight="1">
      <c r="A3176" s="49"/>
      <c r="C3176" s="384">
        <v>45825.0</v>
      </c>
      <c r="D3176" s="65">
        <v>6110.0</v>
      </c>
      <c r="E3176" s="445" t="s">
        <v>268</v>
      </c>
      <c r="F3176" s="386">
        <v>1.0</v>
      </c>
      <c r="G3176" s="74">
        <v>720000.0</v>
      </c>
      <c r="H3176" s="74">
        <v>0.0</v>
      </c>
      <c r="I3176" s="74">
        <f t="shared" si="1"/>
        <v>720000</v>
      </c>
      <c r="J3176" s="74">
        <f>IF(E3176="SERVICE",I3176-(I3176*50%),Vlookup(E3176,DATABASE!C:Q,10,false)*F3176)</f>
        <v>0</v>
      </c>
      <c r="K3176" s="74">
        <f>VLOOKUP(E3176,DATABASE!C:Q,7,false)</f>
        <v>653000</v>
      </c>
      <c r="L3176" s="74">
        <v>622000.0</v>
      </c>
      <c r="M3176" s="74">
        <f t="shared" si="2"/>
        <v>625000</v>
      </c>
      <c r="N3176" s="74">
        <f t="shared" si="3"/>
        <v>95000</v>
      </c>
      <c r="O3176" s="65" t="str">
        <f>VLOOKUP(E3176,DATABASE!C:Q,8,false)</f>
        <v>IBU</v>
      </c>
      <c r="P3176" s="65">
        <f>VLOOKUP(E3176,DATABASE!C:Q,9,False)</f>
        <v>1</v>
      </c>
      <c r="Q3176" s="93" t="str">
        <f>VLOOKUP(E3176,DATABASE!C:Q,4,false)</f>
        <v>Dunlop</v>
      </c>
      <c r="R3176" s="93" t="str">
        <f>VLOOKUP(E3176,DATABASE!C:Q,11,false)</f>
        <v>Tire</v>
      </c>
    </row>
    <row r="3177" ht="22.5" customHeight="1">
      <c r="A3177" s="49"/>
      <c r="C3177" s="384">
        <v>45825.0</v>
      </c>
      <c r="D3177" s="65">
        <v>6111.0</v>
      </c>
      <c r="E3177" s="445" t="s">
        <v>856</v>
      </c>
      <c r="F3177" s="386">
        <v>1.0</v>
      </c>
      <c r="G3177" s="74">
        <v>670000.0</v>
      </c>
      <c r="H3177" s="74">
        <v>0.0</v>
      </c>
      <c r="I3177" s="74">
        <f t="shared" si="1"/>
        <v>670000</v>
      </c>
      <c r="J3177" s="74">
        <f>IF(E3177="SERVICE",I3177-(I3177*50%),Vlookup(E3177,DATABASE!C:Q,10,false)*F3177)</f>
        <v>0</v>
      </c>
      <c r="K3177" s="74">
        <f>VLOOKUP(E3177,DATABASE!C:Q,7,false)</f>
        <v>615300</v>
      </c>
      <c r="L3177" s="74">
        <v>581120.0</v>
      </c>
      <c r="M3177" s="74">
        <f t="shared" si="2"/>
        <v>585000</v>
      </c>
      <c r="N3177" s="74">
        <f t="shared" si="3"/>
        <v>85000</v>
      </c>
      <c r="O3177" s="65" t="str">
        <f>VLOOKUP(E3177,DATABASE!C:Q,8,false)</f>
        <v>BIAN</v>
      </c>
      <c r="P3177" s="65">
        <f>VLOOKUP(E3177,DATABASE!C:Q,9,False)</f>
        <v>1</v>
      </c>
      <c r="Q3177" s="93" t="str">
        <f>VLOOKUP(E3177,DATABASE!C:Q,4,false)</f>
        <v>GT</v>
      </c>
      <c r="R3177" s="93" t="str">
        <f>VLOOKUP(E3177,DATABASE!C:Q,11,false)</f>
        <v>Tire</v>
      </c>
    </row>
    <row r="3178" ht="22.5" customHeight="1">
      <c r="A3178" s="49"/>
      <c r="C3178" s="384">
        <v>45825.0</v>
      </c>
      <c r="D3178" s="65">
        <v>6112.0</v>
      </c>
      <c r="E3178" s="445" t="s">
        <v>627</v>
      </c>
      <c r="F3178" s="386">
        <v>2.0</v>
      </c>
      <c r="G3178" s="74">
        <v>985000.0</v>
      </c>
      <c r="H3178" s="74">
        <v>0.0</v>
      </c>
      <c r="I3178" s="74">
        <f t="shared" si="1"/>
        <v>1970000</v>
      </c>
      <c r="J3178" s="74">
        <f>IF(E3178="SERVICE",I3178-(I3178*50%),Vlookup(E3178,DATABASE!C:Q,10,false)*F3178)</f>
        <v>0</v>
      </c>
      <c r="K3178" s="74">
        <f>VLOOKUP(E3178,DATABASE!C:Q,7,false)</f>
        <v>879567</v>
      </c>
      <c r="L3178" s="74">
        <v>884979.0</v>
      </c>
      <c r="M3178" s="74">
        <f t="shared" si="2"/>
        <v>885000</v>
      </c>
      <c r="N3178" s="74">
        <f t="shared" si="3"/>
        <v>200000</v>
      </c>
      <c r="O3178" s="65" t="str">
        <f>VLOOKUP(E3178,DATABASE!C:Q,8,false)</f>
        <v>IBU</v>
      </c>
      <c r="P3178" s="65">
        <f>VLOOKUP(E3178,DATABASE!C:Q,9,False)</f>
        <v>1</v>
      </c>
      <c r="Q3178" s="93" t="str">
        <f>VLOOKUP(E3178,DATABASE!C:Q,4,false)</f>
        <v>Bridgestone</v>
      </c>
      <c r="R3178" s="93" t="str">
        <f>VLOOKUP(E3178,DATABASE!C:Q,11,false)</f>
        <v>Tire</v>
      </c>
    </row>
    <row r="3179" ht="22.5" customHeight="1">
      <c r="A3179" s="49"/>
      <c r="C3179" s="384">
        <v>45825.0</v>
      </c>
      <c r="D3179" s="65">
        <v>6113.0</v>
      </c>
      <c r="E3179" s="445" t="s">
        <v>251</v>
      </c>
      <c r="F3179" s="386">
        <v>1.0</v>
      </c>
      <c r="G3179" s="74">
        <v>150000.0</v>
      </c>
      <c r="H3179" s="74">
        <v>0.0</v>
      </c>
      <c r="I3179" s="74">
        <f t="shared" si="1"/>
        <v>150000</v>
      </c>
      <c r="J3179" s="74">
        <f>IF(E3179="SERVICE",I3179-(I3179*50%),Vlookup(E3179,DATABASE!C:Q,10,false)*F3179)</f>
        <v>75000</v>
      </c>
      <c r="K3179" s="74">
        <f>VLOOKUP(E3179,DATABASE!C:Q,7,false)</f>
        <v>0</v>
      </c>
      <c r="L3179" s="74">
        <v>0.0</v>
      </c>
      <c r="M3179" s="74">
        <f t="shared" si="2"/>
        <v>0</v>
      </c>
      <c r="N3179" s="74">
        <f t="shared" si="3"/>
        <v>75000</v>
      </c>
      <c r="O3179" s="65" t="str">
        <f>VLOOKUP(E3179,DATABASE!C:Q,8,false)</f>
        <v>IBU</v>
      </c>
      <c r="P3179" s="65">
        <f>VLOOKUP(E3179,DATABASE!C:Q,9,False)</f>
        <v>0</v>
      </c>
      <c r="Q3179" s="93" t="str">
        <f>VLOOKUP(E3179,DATABASE!C:Q,4,false)</f>
        <v>SERVICE</v>
      </c>
      <c r="R3179" s="93" t="str">
        <f>VLOOKUP(E3179,DATABASE!C:Q,11,false)</f>
        <v>SERVICE</v>
      </c>
    </row>
    <row r="3180" ht="22.5" customHeight="1">
      <c r="A3180" s="49"/>
      <c r="C3180" s="384">
        <v>45825.0</v>
      </c>
      <c r="D3180" s="65">
        <v>6114.0</v>
      </c>
      <c r="E3180" s="445" t="s">
        <v>275</v>
      </c>
      <c r="F3180" s="386">
        <v>2.0</v>
      </c>
      <c r="G3180" s="74">
        <v>850000.0</v>
      </c>
      <c r="H3180" s="74">
        <v>0.0</v>
      </c>
      <c r="I3180" s="74">
        <f t="shared" si="1"/>
        <v>1700000</v>
      </c>
      <c r="J3180" s="74">
        <f>IF(E3180="SERVICE",I3180-(I3180*50%),Vlookup(E3180,DATABASE!C:Q,10,false)*F3180)</f>
        <v>0</v>
      </c>
      <c r="K3180" s="74">
        <f>VLOOKUP(E3180,DATABASE!C:Q,7,false)</f>
        <v>782000</v>
      </c>
      <c r="L3180" s="74">
        <v>745000.0</v>
      </c>
      <c r="M3180" s="74">
        <f t="shared" si="2"/>
        <v>745000</v>
      </c>
      <c r="N3180" s="74">
        <f t="shared" si="3"/>
        <v>210000</v>
      </c>
      <c r="O3180" s="65" t="str">
        <f>VLOOKUP(E3180,DATABASE!C:Q,8,false)</f>
        <v>IBU</v>
      </c>
      <c r="P3180" s="65">
        <f>VLOOKUP(E3180,DATABASE!C:Q,9,False)</f>
        <v>1</v>
      </c>
      <c r="Q3180" s="93" t="str">
        <f>VLOOKUP(E3180,DATABASE!C:Q,4,false)</f>
        <v>Dunlop</v>
      </c>
      <c r="R3180" s="93" t="str">
        <f>VLOOKUP(E3180,DATABASE!C:Q,11,false)</f>
        <v>Tire</v>
      </c>
    </row>
    <row r="3181" ht="22.5" customHeight="1">
      <c r="A3181" s="49"/>
      <c r="C3181" s="384">
        <v>45825.0</v>
      </c>
      <c r="D3181" s="65">
        <v>6114.0</v>
      </c>
      <c r="E3181" s="445" t="s">
        <v>256</v>
      </c>
      <c r="F3181" s="386">
        <v>1.0</v>
      </c>
      <c r="G3181" s="74">
        <v>130000.0</v>
      </c>
      <c r="H3181" s="74">
        <v>0.0</v>
      </c>
      <c r="I3181" s="74">
        <f t="shared" si="1"/>
        <v>130000</v>
      </c>
      <c r="J3181" s="74">
        <f>IF(E3181="SERVICE",I3181-(I3181*50%),Vlookup(E3181,DATABASE!C:Q,10,false)*F3181)</f>
        <v>10000</v>
      </c>
      <c r="K3181" s="74">
        <f>VLOOKUP(E3181,DATABASE!C:Q,7,false)</f>
        <v>0</v>
      </c>
      <c r="L3181" s="74">
        <v>0.0</v>
      </c>
      <c r="M3181" s="74">
        <f t="shared" si="2"/>
        <v>0</v>
      </c>
      <c r="N3181" s="74">
        <f t="shared" si="3"/>
        <v>120000</v>
      </c>
      <c r="O3181" s="65" t="str">
        <f>VLOOKUP(E3181,DATABASE!C:Q,8,false)</f>
        <v>IBU</v>
      </c>
      <c r="P3181" s="65">
        <f>VLOOKUP(E3181,DATABASE!C:Q,9,False)</f>
        <v>0</v>
      </c>
      <c r="Q3181" s="93" t="str">
        <f>VLOOKUP(E3181,DATABASE!C:Q,4,false)</f>
        <v>SPOORING</v>
      </c>
      <c r="R3181" s="93" t="str">
        <f>VLOOKUP(E3181,DATABASE!C:Q,11,false)</f>
        <v>SERVICE</v>
      </c>
    </row>
    <row r="3182" ht="22.5" customHeight="1">
      <c r="A3182" s="49"/>
      <c r="C3182" s="384">
        <v>45825.0</v>
      </c>
      <c r="D3182" s="65">
        <v>6115.0</v>
      </c>
      <c r="E3182" s="445" t="s">
        <v>282</v>
      </c>
      <c r="F3182" s="386">
        <v>2.0</v>
      </c>
      <c r="G3182" s="74">
        <v>880000.0</v>
      </c>
      <c r="H3182" s="74">
        <v>0.0</v>
      </c>
      <c r="I3182" s="74">
        <f t="shared" si="1"/>
        <v>1760000</v>
      </c>
      <c r="J3182" s="74">
        <f>IF(E3182="SERVICE",I3182-(I3182*50%),Vlookup(E3182,DATABASE!C:Q,10,false)*F3182)</f>
        <v>0</v>
      </c>
      <c r="K3182" s="74">
        <f>VLOOKUP(E3182,DATABASE!C:Q,7,false)</f>
        <v>779500</v>
      </c>
      <c r="L3182" s="74">
        <v>771000.0</v>
      </c>
      <c r="M3182" s="74">
        <f t="shared" si="2"/>
        <v>775000</v>
      </c>
      <c r="N3182" s="74">
        <f t="shared" si="3"/>
        <v>210000</v>
      </c>
      <c r="O3182" s="65" t="str">
        <f>VLOOKUP(E3182,DATABASE!C:Q,8,false)</f>
        <v>IBU</v>
      </c>
      <c r="P3182" s="65">
        <f>VLOOKUP(E3182,DATABASE!C:Q,9,False)</f>
        <v>1</v>
      </c>
      <c r="Q3182" s="93" t="str">
        <f>VLOOKUP(E3182,DATABASE!C:Q,4,false)</f>
        <v>Dunlop</v>
      </c>
      <c r="R3182" s="93" t="str">
        <f>VLOOKUP(E3182,DATABASE!C:Q,11,false)</f>
        <v>Tire</v>
      </c>
    </row>
    <row r="3183" ht="22.5" customHeight="1">
      <c r="A3183" s="49"/>
      <c r="C3183" s="384">
        <v>45825.0</v>
      </c>
      <c r="D3183" s="65">
        <v>6116.0</v>
      </c>
      <c r="E3183" s="445" t="s">
        <v>1389</v>
      </c>
      <c r="F3183" s="386">
        <v>1.0</v>
      </c>
      <c r="G3183" s="74">
        <v>1020000.0</v>
      </c>
      <c r="H3183" s="74">
        <v>0.0</v>
      </c>
      <c r="I3183" s="74">
        <f t="shared" si="1"/>
        <v>1020000</v>
      </c>
      <c r="J3183" s="74">
        <f>IF(E3183="SERVICE",I3183-(I3183*50%),Vlookup(E3183,DATABASE!C:Q,10,false)*F3183)</f>
        <v>0</v>
      </c>
      <c r="K3183" s="74">
        <f>VLOOKUP(E3183,DATABASE!C:Q,7,false)</f>
        <v>908000</v>
      </c>
      <c r="L3183" s="74">
        <v>897000.0</v>
      </c>
      <c r="M3183" s="74">
        <f t="shared" si="2"/>
        <v>900000</v>
      </c>
      <c r="N3183" s="74">
        <f t="shared" si="3"/>
        <v>120000</v>
      </c>
      <c r="O3183" s="65" t="str">
        <f>VLOOKUP(E3183,DATABASE!C:Q,8,false)</f>
        <v>IBU</v>
      </c>
      <c r="P3183" s="65">
        <f>VLOOKUP(E3183,DATABASE!C:Q,9,False)</f>
        <v>1</v>
      </c>
      <c r="Q3183" s="93" t="str">
        <f>VLOOKUP(E3183,DATABASE!C:Q,4,false)</f>
        <v>Dunlop</v>
      </c>
      <c r="R3183" s="93" t="str">
        <f>VLOOKUP(E3183,DATABASE!C:Q,11,false)</f>
        <v>Tire</v>
      </c>
    </row>
    <row r="3184" ht="22.5" customHeight="1">
      <c r="A3184" s="49"/>
      <c r="C3184" s="384">
        <v>45825.0</v>
      </c>
      <c r="D3184" s="65">
        <v>6117.0</v>
      </c>
      <c r="E3184" s="445" t="s">
        <v>287</v>
      </c>
      <c r="F3184" s="386">
        <v>2.0</v>
      </c>
      <c r="G3184" s="74">
        <v>780000.0</v>
      </c>
      <c r="H3184" s="74">
        <v>0.0</v>
      </c>
      <c r="I3184" s="74">
        <f t="shared" si="1"/>
        <v>1560000</v>
      </c>
      <c r="J3184" s="74">
        <f>IF(E3184="SERVICE",I3184-(I3184*50%),Vlookup(E3184,DATABASE!C:Q,10,false)*F3184)</f>
        <v>0</v>
      </c>
      <c r="K3184" s="74">
        <f>VLOOKUP(E3184,DATABASE!C:Q,7,false)</f>
        <v>711000</v>
      </c>
      <c r="L3184" s="74">
        <v>690600.0</v>
      </c>
      <c r="M3184" s="74">
        <f t="shared" si="2"/>
        <v>695000</v>
      </c>
      <c r="N3184" s="74">
        <f t="shared" si="3"/>
        <v>170000</v>
      </c>
      <c r="O3184" s="65" t="str">
        <f>VLOOKUP(E3184,DATABASE!C:Q,8,false)</f>
        <v>BIAN</v>
      </c>
      <c r="P3184" s="65">
        <f>VLOOKUP(E3184,DATABASE!C:Q,9,False)</f>
        <v>1</v>
      </c>
      <c r="Q3184" s="93" t="str">
        <f>VLOOKUP(E3184,DATABASE!C:Q,4,false)</f>
        <v>GT</v>
      </c>
      <c r="R3184" s="93" t="str">
        <f>VLOOKUP(E3184,DATABASE!C:Q,11,false)</f>
        <v>Tire</v>
      </c>
    </row>
    <row r="3185" ht="22.5" customHeight="1">
      <c r="A3185" s="49"/>
      <c r="C3185" s="384">
        <v>45825.0</v>
      </c>
      <c r="D3185" s="65">
        <v>6118.0</v>
      </c>
      <c r="E3185" s="445" t="s">
        <v>287</v>
      </c>
      <c r="F3185" s="386">
        <v>2.0</v>
      </c>
      <c r="G3185" s="74">
        <v>780000.0</v>
      </c>
      <c r="H3185" s="74">
        <v>0.0</v>
      </c>
      <c r="I3185" s="74">
        <f t="shared" si="1"/>
        <v>1560000</v>
      </c>
      <c r="J3185" s="74">
        <f>IF(E3185="SERVICE",I3185-(I3185*50%),Vlookup(E3185,DATABASE!C:Q,10,false)*F3185)</f>
        <v>0</v>
      </c>
      <c r="K3185" s="74">
        <f>VLOOKUP(E3185,DATABASE!C:Q,7,false)</f>
        <v>711000</v>
      </c>
      <c r="L3185" s="74">
        <v>690600.0</v>
      </c>
      <c r="M3185" s="74">
        <f t="shared" si="2"/>
        <v>695000</v>
      </c>
      <c r="N3185" s="74">
        <f t="shared" si="3"/>
        <v>170000</v>
      </c>
      <c r="O3185" s="65" t="str">
        <f>VLOOKUP(E3185,DATABASE!C:Q,8,false)</f>
        <v>BIAN</v>
      </c>
      <c r="P3185" s="65">
        <f>VLOOKUP(E3185,DATABASE!C:Q,9,False)</f>
        <v>1</v>
      </c>
      <c r="Q3185" s="93" t="str">
        <f>VLOOKUP(E3185,DATABASE!C:Q,4,false)</f>
        <v>GT</v>
      </c>
      <c r="R3185" s="93" t="str">
        <f>VLOOKUP(E3185,DATABASE!C:Q,11,false)</f>
        <v>Tire</v>
      </c>
    </row>
    <row r="3186" ht="22.5" customHeight="1">
      <c r="A3186" s="49"/>
      <c r="C3186" s="384">
        <v>45825.0</v>
      </c>
      <c r="D3186" s="65">
        <v>6118.0</v>
      </c>
      <c r="E3186" s="445" t="s">
        <v>604</v>
      </c>
      <c r="F3186" s="386">
        <v>2.0</v>
      </c>
      <c r="G3186" s="74">
        <v>160000.0</v>
      </c>
      <c r="H3186" s="74">
        <v>0.0</v>
      </c>
      <c r="I3186" s="74">
        <f t="shared" si="1"/>
        <v>320000</v>
      </c>
      <c r="J3186" s="74">
        <f>IF(E3186="SERVICE",I3186-(I3186*50%),Vlookup(E3186,DATABASE!C:Q,10,false)*F3186)</f>
        <v>0</v>
      </c>
      <c r="K3186" s="74">
        <f>VLOOKUP(E3186,DATABASE!C:Q,7,false)</f>
        <v>124000</v>
      </c>
      <c r="L3186" s="74">
        <v>124000.0</v>
      </c>
      <c r="M3186" s="74">
        <f t="shared" si="2"/>
        <v>125000</v>
      </c>
      <c r="N3186" s="74">
        <f t="shared" si="3"/>
        <v>70000</v>
      </c>
      <c r="O3186" s="65" t="str">
        <f>VLOOKUP(E3186,DATABASE!C:Q,8,false)</f>
        <v>BIAN</v>
      </c>
      <c r="P3186" s="65">
        <f>VLOOKUP(E3186,DATABASE!C:Q,9,False)</f>
        <v>1</v>
      </c>
      <c r="Q3186" s="93" t="str">
        <f>VLOOKUP(E3186,DATABASE!C:Q,4,false)</f>
        <v>BD</v>
      </c>
      <c r="R3186" s="93" t="str">
        <f>VLOOKUP(E3186,DATABASE!C:Q,11,false)</f>
        <v>Tire</v>
      </c>
    </row>
    <row r="3187" ht="22.5" customHeight="1">
      <c r="A3187" s="49"/>
      <c r="C3187" s="384">
        <v>45825.0</v>
      </c>
      <c r="D3187" s="65">
        <v>6119.0</v>
      </c>
      <c r="E3187" s="445" t="s">
        <v>627</v>
      </c>
      <c r="F3187" s="386">
        <v>2.0</v>
      </c>
      <c r="G3187" s="74">
        <v>985000.0</v>
      </c>
      <c r="H3187" s="74">
        <v>0.0</v>
      </c>
      <c r="I3187" s="74">
        <f t="shared" si="1"/>
        <v>1970000</v>
      </c>
      <c r="J3187" s="74">
        <f>IF(E3187="SERVICE",I3187-(I3187*50%),Vlookup(E3187,DATABASE!C:Q,10,false)*F3187)</f>
        <v>0</v>
      </c>
      <c r="K3187" s="74">
        <f>VLOOKUP(E3187,DATABASE!C:Q,7,false)</f>
        <v>879567</v>
      </c>
      <c r="L3187" s="74">
        <v>884979.0</v>
      </c>
      <c r="M3187" s="74">
        <f t="shared" si="2"/>
        <v>885000</v>
      </c>
      <c r="N3187" s="74">
        <f t="shared" si="3"/>
        <v>200000</v>
      </c>
      <c r="O3187" s="65" t="str">
        <f>VLOOKUP(E3187,DATABASE!C:Q,8,false)</f>
        <v>IBU</v>
      </c>
      <c r="P3187" s="65">
        <f>VLOOKUP(E3187,DATABASE!C:Q,9,False)</f>
        <v>1</v>
      </c>
      <c r="Q3187" s="93" t="str">
        <f>VLOOKUP(E3187,DATABASE!C:Q,4,false)</f>
        <v>Bridgestone</v>
      </c>
      <c r="R3187" s="93" t="str">
        <f>VLOOKUP(E3187,DATABASE!C:Q,11,false)</f>
        <v>Tire</v>
      </c>
    </row>
    <row r="3188" ht="22.5" customHeight="1">
      <c r="A3188" s="49"/>
      <c r="C3188" s="384">
        <v>45825.0</v>
      </c>
      <c r="D3188" s="65">
        <v>6119.0</v>
      </c>
      <c r="E3188" s="385" t="s">
        <v>299</v>
      </c>
      <c r="F3188" s="386">
        <v>2.0</v>
      </c>
      <c r="G3188" s="74">
        <v>25000.0</v>
      </c>
      <c r="H3188" s="74">
        <v>0.0</v>
      </c>
      <c r="I3188" s="74">
        <f t="shared" si="1"/>
        <v>50000</v>
      </c>
      <c r="J3188" s="74">
        <f>IF(E3188="SERVICE",I3188-(I3188*50%),Vlookup(E3188,DATABASE!C:Q,10,false)*F3188)</f>
        <v>0</v>
      </c>
      <c r="K3188" s="74">
        <v>0.0</v>
      </c>
      <c r="L3188" s="74">
        <v>0.0</v>
      </c>
      <c r="M3188" s="74">
        <f t="shared" si="2"/>
        <v>0</v>
      </c>
      <c r="N3188" s="74">
        <f t="shared" si="3"/>
        <v>50000</v>
      </c>
      <c r="O3188" s="65" t="str">
        <f>VLOOKUP(E3188,DATABASE!C:Q,8,false)</f>
        <v>BIAN</v>
      </c>
      <c r="P3188" s="65">
        <f>VLOOKUP(E3188,DATABASE!C:Q,9,False)</f>
        <v>0</v>
      </c>
      <c r="Q3188" s="93" t="str">
        <f>VLOOKUP(E3188,DATABASE!C:Q,4,false)</f>
        <v>Balancing</v>
      </c>
      <c r="R3188" s="93" t="str">
        <f>VLOOKUP(E3188,DATABASE!C:Q,11,false)</f>
        <v>COMPLEMENTARY</v>
      </c>
    </row>
    <row r="3189" ht="22.5" customHeight="1">
      <c r="A3189" s="49"/>
      <c r="C3189" s="384">
        <v>45825.0</v>
      </c>
      <c r="D3189" s="65">
        <v>6119.0</v>
      </c>
      <c r="E3189" s="445" t="s">
        <v>256</v>
      </c>
      <c r="F3189" s="386">
        <v>1.0</v>
      </c>
      <c r="G3189" s="74">
        <v>130000.0</v>
      </c>
      <c r="H3189" s="74">
        <v>0.0</v>
      </c>
      <c r="I3189" s="74">
        <f t="shared" si="1"/>
        <v>130000</v>
      </c>
      <c r="J3189" s="74">
        <f>IF(E3189="SERVICE",I3189-(I3189*50%),Vlookup(E3189,DATABASE!C:Q,10,false)*F3189)</f>
        <v>10000</v>
      </c>
      <c r="K3189" s="74">
        <f>VLOOKUP(E3189,DATABASE!C:Q,7,false)</f>
        <v>0</v>
      </c>
      <c r="L3189" s="74">
        <v>0.0</v>
      </c>
      <c r="M3189" s="74">
        <f t="shared" si="2"/>
        <v>0</v>
      </c>
      <c r="N3189" s="74">
        <f t="shared" si="3"/>
        <v>120000</v>
      </c>
      <c r="O3189" s="65" t="str">
        <f>VLOOKUP(E3189,DATABASE!C:Q,8,false)</f>
        <v>IBU</v>
      </c>
      <c r="P3189" s="65">
        <f>VLOOKUP(E3189,DATABASE!C:Q,9,False)</f>
        <v>0</v>
      </c>
      <c r="Q3189" s="93" t="str">
        <f>VLOOKUP(E3189,DATABASE!C:Q,4,false)</f>
        <v>SPOORING</v>
      </c>
      <c r="R3189" s="93" t="str">
        <f>VLOOKUP(E3189,DATABASE!C:Q,11,false)</f>
        <v>SERVICE</v>
      </c>
    </row>
    <row r="3190" ht="22.5" customHeight="1">
      <c r="A3190" s="49"/>
      <c r="C3190" s="384">
        <v>45825.0</v>
      </c>
      <c r="D3190" s="65">
        <v>6119.0</v>
      </c>
      <c r="E3190" s="445" t="s">
        <v>251</v>
      </c>
      <c r="F3190" s="386">
        <v>1.0</v>
      </c>
      <c r="G3190" s="74">
        <v>150000.0</v>
      </c>
      <c r="H3190" s="74">
        <v>0.0</v>
      </c>
      <c r="I3190" s="74">
        <f t="shared" si="1"/>
        <v>150000</v>
      </c>
      <c r="J3190" s="74">
        <f>IF(E3190="SERVICE",I3190-(I3190*50%),Vlookup(E3190,DATABASE!C:Q,10,false)*F3190)</f>
        <v>75000</v>
      </c>
      <c r="K3190" s="74">
        <f>VLOOKUP(E3190,DATABASE!C:Q,7,false)</f>
        <v>0</v>
      </c>
      <c r="L3190" s="74">
        <v>0.0</v>
      </c>
      <c r="M3190" s="74">
        <f t="shared" si="2"/>
        <v>0</v>
      </c>
      <c r="N3190" s="74">
        <f t="shared" si="3"/>
        <v>75000</v>
      </c>
      <c r="O3190" s="65" t="str">
        <f>VLOOKUP(E3190,DATABASE!C:Q,8,false)</f>
        <v>IBU</v>
      </c>
      <c r="P3190" s="65">
        <f>VLOOKUP(E3190,DATABASE!C:Q,9,False)</f>
        <v>0</v>
      </c>
      <c r="Q3190" s="93" t="str">
        <f>VLOOKUP(E3190,DATABASE!C:Q,4,false)</f>
        <v>SERVICE</v>
      </c>
      <c r="R3190" s="93" t="str">
        <f>VLOOKUP(E3190,DATABASE!C:Q,11,false)</f>
        <v>SERVICE</v>
      </c>
    </row>
    <row r="3191" ht="22.5" customHeight="1">
      <c r="A3191" s="49"/>
      <c r="C3191" s="384">
        <v>45825.0</v>
      </c>
      <c r="D3191" s="65">
        <v>6120.0</v>
      </c>
      <c r="E3191" s="445" t="s">
        <v>889</v>
      </c>
      <c r="F3191" s="386">
        <v>2.0</v>
      </c>
      <c r="G3191" s="74">
        <v>760000.0</v>
      </c>
      <c r="H3191" s="74">
        <v>0.0</v>
      </c>
      <c r="I3191" s="74">
        <f t="shared" si="1"/>
        <v>1520000</v>
      </c>
      <c r="J3191" s="74">
        <f>IF(E3191="SERVICE",I3191-(I3191*50%),Vlookup(E3191,DATABASE!C:Q,10,false)*F3191)</f>
        <v>0</v>
      </c>
      <c r="K3191" s="74">
        <f>VLOOKUP(E3191,DATABASE!C:Q,7,false)</f>
        <v>678000</v>
      </c>
      <c r="L3191" s="74">
        <v>678000.0</v>
      </c>
      <c r="M3191" s="74">
        <f t="shared" si="2"/>
        <v>680000</v>
      </c>
      <c r="N3191" s="74">
        <f t="shared" si="3"/>
        <v>160000</v>
      </c>
      <c r="O3191" s="65" t="str">
        <f>VLOOKUP(E3191,DATABASE!C:Q,8,false)</f>
        <v>BIAN</v>
      </c>
      <c r="P3191" s="65">
        <f>VLOOKUP(E3191,DATABASE!C:Q,9,False)</f>
        <v>1</v>
      </c>
      <c r="Q3191" s="93" t="str">
        <f>VLOOKUP(E3191,DATABASE!C:Q,4,false)</f>
        <v>Sailun</v>
      </c>
      <c r="R3191" s="93" t="str">
        <f>VLOOKUP(E3191,DATABASE!C:Q,11,false)</f>
        <v>Tire</v>
      </c>
    </row>
    <row r="3192" ht="22.5" customHeight="1">
      <c r="A3192" s="49"/>
      <c r="C3192" s="384">
        <v>45825.0</v>
      </c>
      <c r="D3192" s="65">
        <v>6121.0</v>
      </c>
      <c r="E3192" s="445" t="s">
        <v>781</v>
      </c>
      <c r="F3192" s="386">
        <v>2.0</v>
      </c>
      <c r="G3192" s="74">
        <v>530000.0</v>
      </c>
      <c r="H3192" s="74">
        <v>0.0</v>
      </c>
      <c r="I3192" s="74">
        <f t="shared" si="1"/>
        <v>1060000</v>
      </c>
      <c r="J3192" s="74">
        <f>IF(E3192="SERVICE",I3192-(I3192*50%),Vlookup(E3192,DATABASE!C:Q,10,false)*F3192)</f>
        <v>0</v>
      </c>
      <c r="K3192" s="74">
        <f>VLOOKUP(E3192,DATABASE!C:Q,7,false)</f>
        <v>470000</v>
      </c>
      <c r="L3192" s="74">
        <v>442500.0</v>
      </c>
      <c r="M3192" s="74">
        <f t="shared" si="2"/>
        <v>445000</v>
      </c>
      <c r="N3192" s="74">
        <f t="shared" si="3"/>
        <v>170000</v>
      </c>
      <c r="O3192" s="65" t="str">
        <f>VLOOKUP(E3192,DATABASE!C:Q,8,false)</f>
        <v>BIAN</v>
      </c>
      <c r="P3192" s="65">
        <f>VLOOKUP(E3192,DATABASE!C:Q,9,False)</f>
        <v>1</v>
      </c>
      <c r="Q3192" s="93" t="str">
        <f>VLOOKUP(E3192,DATABASE!C:Q,4,false)</f>
        <v>GT</v>
      </c>
      <c r="R3192" s="93" t="str">
        <f>VLOOKUP(E3192,DATABASE!C:Q,11,false)</f>
        <v>Tire</v>
      </c>
    </row>
    <row r="3193" ht="22.5" customHeight="1">
      <c r="A3193" s="49"/>
      <c r="C3193" s="384">
        <v>45825.0</v>
      </c>
      <c r="D3193" s="65">
        <v>6122.0</v>
      </c>
      <c r="E3193" s="445" t="s">
        <v>856</v>
      </c>
      <c r="F3193" s="386">
        <v>2.0</v>
      </c>
      <c r="G3193" s="74">
        <v>670000.0</v>
      </c>
      <c r="H3193" s="74">
        <v>0.0</v>
      </c>
      <c r="I3193" s="74">
        <f t="shared" si="1"/>
        <v>1340000</v>
      </c>
      <c r="J3193" s="74">
        <f>IF(E3193="SERVICE",I3193-(I3193*50%),Vlookup(E3193,DATABASE!C:Q,10,false)*F3193)</f>
        <v>0</v>
      </c>
      <c r="K3193" s="74">
        <f>VLOOKUP(E3193,DATABASE!C:Q,7,false)</f>
        <v>615300</v>
      </c>
      <c r="L3193" s="74">
        <v>581120.0</v>
      </c>
      <c r="M3193" s="74">
        <f t="shared" si="2"/>
        <v>585000</v>
      </c>
      <c r="N3193" s="74">
        <f t="shared" si="3"/>
        <v>170000</v>
      </c>
      <c r="O3193" s="65" t="str">
        <f>VLOOKUP(E3193,DATABASE!C:Q,8,false)</f>
        <v>BIAN</v>
      </c>
      <c r="P3193" s="65">
        <f>VLOOKUP(E3193,DATABASE!C:Q,9,False)</f>
        <v>1</v>
      </c>
      <c r="Q3193" s="93" t="str">
        <f>VLOOKUP(E3193,DATABASE!C:Q,4,false)</f>
        <v>GT</v>
      </c>
      <c r="R3193" s="93" t="str">
        <f>VLOOKUP(E3193,DATABASE!C:Q,11,false)</f>
        <v>Tire</v>
      </c>
    </row>
    <row r="3194" ht="22.5" customHeight="1">
      <c r="A3194" s="49"/>
      <c r="C3194" s="384">
        <v>45825.0</v>
      </c>
      <c r="D3194" s="65">
        <v>6123.0</v>
      </c>
      <c r="E3194" s="445" t="s">
        <v>868</v>
      </c>
      <c r="F3194" s="386">
        <v>2.0</v>
      </c>
      <c r="G3194" s="74">
        <v>950000.0</v>
      </c>
      <c r="H3194" s="74">
        <v>0.0</v>
      </c>
      <c r="I3194" s="74">
        <f t="shared" si="1"/>
        <v>1900000</v>
      </c>
      <c r="J3194" s="74">
        <f>IF(E3194="SERVICE",I3194-(I3194*50%),Vlookup(E3194,DATABASE!C:Q,10,false)*F3194)</f>
        <v>0</v>
      </c>
      <c r="K3194" s="74">
        <f>VLOOKUP(E3194,DATABASE!C:Q,7,false)</f>
        <v>861200</v>
      </c>
      <c r="L3194" s="74">
        <v>836000.0</v>
      </c>
      <c r="M3194" s="74">
        <f t="shared" si="2"/>
        <v>840000</v>
      </c>
      <c r="N3194" s="74">
        <f t="shared" si="3"/>
        <v>220000</v>
      </c>
      <c r="O3194" s="65" t="str">
        <f>VLOOKUP(E3194,DATABASE!C:Q,8,false)</f>
        <v>BIAN</v>
      </c>
      <c r="P3194" s="65">
        <f>VLOOKUP(E3194,DATABASE!C:Q,9,False)</f>
        <v>1</v>
      </c>
      <c r="Q3194" s="93" t="str">
        <f>VLOOKUP(E3194,DATABASE!C:Q,4,false)</f>
        <v>GT</v>
      </c>
      <c r="R3194" s="93" t="str">
        <f>VLOOKUP(E3194,DATABASE!C:Q,11,false)</f>
        <v>Tire</v>
      </c>
    </row>
    <row r="3195" ht="22.5" customHeight="1">
      <c r="A3195" s="49"/>
      <c r="C3195" s="384">
        <v>45825.0</v>
      </c>
      <c r="D3195" s="65">
        <v>6125.0</v>
      </c>
      <c r="E3195" s="445" t="s">
        <v>262</v>
      </c>
      <c r="F3195" s="386">
        <v>1.0</v>
      </c>
      <c r="G3195" s="74">
        <v>110000.0</v>
      </c>
      <c r="H3195" s="74">
        <v>0.0</v>
      </c>
      <c r="I3195" s="74">
        <f t="shared" si="1"/>
        <v>110000</v>
      </c>
      <c r="J3195" s="74">
        <f>IF(E3195="SERVICE",I3195-(I3195*50%),Vlookup(E3195,DATABASE!C:Q,10,false)*F3195)</f>
        <v>5000</v>
      </c>
      <c r="K3195" s="74">
        <f>VLOOKUP(E3195,DATABASE!C:Q,7,false)</f>
        <v>0</v>
      </c>
      <c r="L3195" s="74">
        <v>0.0</v>
      </c>
      <c r="M3195" s="74">
        <f t="shared" si="2"/>
        <v>0</v>
      </c>
      <c r="N3195" s="74">
        <f t="shared" si="3"/>
        <v>105000</v>
      </c>
      <c r="O3195" s="65" t="str">
        <f>VLOOKUP(E3195,DATABASE!C:Q,8,false)</f>
        <v>IBU</v>
      </c>
      <c r="P3195" s="65">
        <f>VLOOKUP(E3195,DATABASE!C:Q,9,False)</f>
        <v>0</v>
      </c>
      <c r="Q3195" s="93" t="str">
        <f>VLOOKUP(E3195,DATABASE!C:Q,4,false)</f>
        <v>SPOORING SS/CARRY LOS BAK</v>
      </c>
      <c r="R3195" s="93" t="str">
        <f>VLOOKUP(E3195,DATABASE!C:Q,11,false)</f>
        <v>SERVICE</v>
      </c>
    </row>
    <row r="3196" ht="22.5" customHeight="1">
      <c r="A3196" s="49"/>
      <c r="C3196" s="384">
        <v>45825.0</v>
      </c>
      <c r="D3196" s="65">
        <v>6125.0</v>
      </c>
      <c r="E3196" s="445" t="s">
        <v>251</v>
      </c>
      <c r="F3196" s="386">
        <v>1.0</v>
      </c>
      <c r="G3196" s="74">
        <v>150000.0</v>
      </c>
      <c r="H3196" s="74">
        <v>0.0</v>
      </c>
      <c r="I3196" s="74">
        <f t="shared" si="1"/>
        <v>150000</v>
      </c>
      <c r="J3196" s="74">
        <f>IF(E3196="SERVICE",I3196-(I3196*50%),Vlookup(E3196,DATABASE!C:Q,10,false)*F3196)</f>
        <v>75000</v>
      </c>
      <c r="K3196" s="74">
        <f>VLOOKUP(E3196,DATABASE!C:Q,7,false)</f>
        <v>0</v>
      </c>
      <c r="L3196" s="74">
        <v>0.0</v>
      </c>
      <c r="M3196" s="74">
        <f t="shared" si="2"/>
        <v>0</v>
      </c>
      <c r="N3196" s="74">
        <f t="shared" si="3"/>
        <v>75000</v>
      </c>
      <c r="O3196" s="65" t="str">
        <f>VLOOKUP(E3196,DATABASE!C:Q,8,false)</f>
        <v>IBU</v>
      </c>
      <c r="P3196" s="65">
        <f>VLOOKUP(E3196,DATABASE!C:Q,9,False)</f>
        <v>0</v>
      </c>
      <c r="Q3196" s="93" t="str">
        <f>VLOOKUP(E3196,DATABASE!C:Q,4,false)</f>
        <v>SERVICE</v>
      </c>
      <c r="R3196" s="93" t="str">
        <f>VLOOKUP(E3196,DATABASE!C:Q,11,false)</f>
        <v>SERVICE</v>
      </c>
    </row>
    <row r="3197" ht="22.5" customHeight="1">
      <c r="A3197" s="49"/>
      <c r="C3197" s="384">
        <v>45826.0</v>
      </c>
      <c r="D3197" s="65">
        <v>6126.0</v>
      </c>
      <c r="E3197" s="445" t="s">
        <v>275</v>
      </c>
      <c r="F3197" s="386">
        <v>1.0</v>
      </c>
      <c r="G3197" s="74">
        <v>850000.0</v>
      </c>
      <c r="H3197" s="74">
        <v>0.0</v>
      </c>
      <c r="I3197" s="74">
        <f t="shared" si="1"/>
        <v>850000</v>
      </c>
      <c r="J3197" s="74">
        <f>IF(E3197="SERVICE",I3197-(I3197*50%),Vlookup(E3197,DATABASE!C:Q,10,false)*F3197)</f>
        <v>0</v>
      </c>
      <c r="K3197" s="74">
        <f>VLOOKUP(E3197,DATABASE!C:Q,7,false)</f>
        <v>782000</v>
      </c>
      <c r="L3197" s="74">
        <v>745000.0</v>
      </c>
      <c r="M3197" s="74">
        <f t="shared" si="2"/>
        <v>745000</v>
      </c>
      <c r="N3197" s="74">
        <f t="shared" si="3"/>
        <v>105000</v>
      </c>
      <c r="O3197" s="65" t="str">
        <f>VLOOKUP(E3197,DATABASE!C:Q,8,false)</f>
        <v>IBU</v>
      </c>
      <c r="P3197" s="65">
        <f>VLOOKUP(E3197,DATABASE!C:Q,9,False)</f>
        <v>1</v>
      </c>
      <c r="Q3197" s="93" t="str">
        <f>VLOOKUP(E3197,DATABASE!C:Q,4,false)</f>
        <v>Dunlop</v>
      </c>
      <c r="R3197" s="93" t="str">
        <f>VLOOKUP(E3197,DATABASE!C:Q,11,false)</f>
        <v>Tire</v>
      </c>
    </row>
    <row r="3198" ht="22.5" customHeight="1">
      <c r="A3198" s="49"/>
      <c r="C3198" s="384">
        <v>45826.0</v>
      </c>
      <c r="D3198" s="65">
        <v>6127.0</v>
      </c>
      <c r="E3198" s="385" t="s">
        <v>299</v>
      </c>
      <c r="F3198" s="386">
        <v>2.0</v>
      </c>
      <c r="G3198" s="74">
        <v>30000.0</v>
      </c>
      <c r="H3198" s="74">
        <v>0.0</v>
      </c>
      <c r="I3198" s="74">
        <f t="shared" si="1"/>
        <v>60000</v>
      </c>
      <c r="J3198" s="74">
        <f>IF(E3198="SERVICE",I3198-(I3198*50%),Vlookup(E3198,DATABASE!C:Q,10,false)*F3198)</f>
        <v>0</v>
      </c>
      <c r="K3198" s="74">
        <v>0.0</v>
      </c>
      <c r="L3198" s="74">
        <v>0.0</v>
      </c>
      <c r="M3198" s="74">
        <f t="shared" si="2"/>
        <v>0</v>
      </c>
      <c r="N3198" s="74">
        <f t="shared" si="3"/>
        <v>60000</v>
      </c>
      <c r="O3198" s="65" t="str">
        <f>VLOOKUP(E3198,DATABASE!C:Q,8,false)</f>
        <v>BIAN</v>
      </c>
      <c r="P3198" s="65">
        <f>VLOOKUP(E3198,DATABASE!C:Q,9,False)</f>
        <v>0</v>
      </c>
      <c r="Q3198" s="93" t="str">
        <f>VLOOKUP(E3198,DATABASE!C:Q,4,false)</f>
        <v>Balancing</v>
      </c>
      <c r="R3198" s="93" t="str">
        <f>VLOOKUP(E3198,DATABASE!C:Q,11,false)</f>
        <v>COMPLEMENTARY</v>
      </c>
    </row>
    <row r="3199" ht="22.5" customHeight="1">
      <c r="A3199" s="49"/>
      <c r="C3199" s="384">
        <v>45826.0</v>
      </c>
      <c r="D3199" s="65">
        <v>6128.0</v>
      </c>
      <c r="E3199" s="445" t="s">
        <v>268</v>
      </c>
      <c r="F3199" s="386">
        <v>1.0</v>
      </c>
      <c r="G3199" s="74">
        <v>720000.0</v>
      </c>
      <c r="H3199" s="74">
        <v>0.0</v>
      </c>
      <c r="I3199" s="74">
        <f t="shared" si="1"/>
        <v>720000</v>
      </c>
      <c r="J3199" s="74">
        <f>IF(E3199="SERVICE",I3199-(I3199*50%),Vlookup(E3199,DATABASE!C:Q,10,false)*F3199)</f>
        <v>0</v>
      </c>
      <c r="K3199" s="74">
        <f>VLOOKUP(E3199,DATABASE!C:Q,7,false)</f>
        <v>653000</v>
      </c>
      <c r="L3199" s="74">
        <v>622000.0</v>
      </c>
      <c r="M3199" s="74">
        <f t="shared" si="2"/>
        <v>625000</v>
      </c>
      <c r="N3199" s="74">
        <f t="shared" si="3"/>
        <v>95000</v>
      </c>
      <c r="O3199" s="65" t="str">
        <f>VLOOKUP(E3199,DATABASE!C:Q,8,false)</f>
        <v>IBU</v>
      </c>
      <c r="P3199" s="65">
        <f>VLOOKUP(E3199,DATABASE!C:Q,9,False)</f>
        <v>1</v>
      </c>
      <c r="Q3199" s="93" t="str">
        <f>VLOOKUP(E3199,DATABASE!C:Q,4,false)</f>
        <v>Dunlop</v>
      </c>
      <c r="R3199" s="93" t="str">
        <f>VLOOKUP(E3199,DATABASE!C:Q,11,false)</f>
        <v>Tire</v>
      </c>
    </row>
    <row r="3200" ht="22.5" customHeight="1">
      <c r="A3200" s="49"/>
      <c r="C3200" s="384">
        <v>45826.0</v>
      </c>
      <c r="D3200" s="65">
        <v>6129.0</v>
      </c>
      <c r="E3200" s="385" t="s">
        <v>305</v>
      </c>
      <c r="F3200" s="386">
        <v>1.0</v>
      </c>
      <c r="G3200" s="74">
        <v>235000.0</v>
      </c>
      <c r="H3200" s="74">
        <v>0.0</v>
      </c>
      <c r="I3200" s="74">
        <f t="shared" si="1"/>
        <v>235000</v>
      </c>
      <c r="J3200" s="74">
        <f>IF(E3200="SERVICE",I3200-(I3200*50%),Vlookup(E3200,DATABASE!C:Q,10,false)*F3200)</f>
        <v>40000</v>
      </c>
      <c r="K3200" s="74">
        <f>VLOOKUP(E3200,DATABASE!C:Q,7,false)</f>
        <v>158530.2</v>
      </c>
      <c r="L3200" s="74">
        <v>151890.0</v>
      </c>
      <c r="M3200" s="74">
        <f t="shared" si="2"/>
        <v>155000</v>
      </c>
      <c r="N3200" s="74">
        <f t="shared" si="3"/>
        <v>40000</v>
      </c>
      <c r="O3200" s="65" t="str">
        <f>VLOOKUP(E3200,DATABASE!C:Q,8,false)</f>
        <v>BIAN</v>
      </c>
      <c r="P3200" s="65">
        <f>VLOOKUP(E3200,DATABASE!C:Q,9,False)</f>
        <v>1</v>
      </c>
      <c r="Q3200" s="93" t="str">
        <f>VLOOKUP(E3200,DATABASE!C:Q,4,false)</f>
        <v>Lower Arm</v>
      </c>
      <c r="R3200" s="93" t="str">
        <f>VLOOKUP(E3200,DATABASE!C:Q,11,false)</f>
        <v>COMPLEMENTARY</v>
      </c>
    </row>
    <row r="3201" ht="22.5" customHeight="1">
      <c r="A3201" s="49"/>
      <c r="C3201" s="384">
        <v>45826.0</v>
      </c>
      <c r="D3201" s="65">
        <v>6129.0</v>
      </c>
      <c r="E3201" s="445" t="s">
        <v>251</v>
      </c>
      <c r="F3201" s="386">
        <v>1.0</v>
      </c>
      <c r="G3201" s="74">
        <v>120000.0</v>
      </c>
      <c r="H3201" s="74">
        <v>0.0</v>
      </c>
      <c r="I3201" s="74">
        <f t="shared" si="1"/>
        <v>120000</v>
      </c>
      <c r="J3201" s="74">
        <f>IF(E3201="SERVICE",I3201-(I3201*50%),Vlookup(E3201,DATABASE!C:Q,10,false)*F3201)</f>
        <v>60000</v>
      </c>
      <c r="K3201" s="74">
        <f>VLOOKUP(E3201,DATABASE!C:Q,7,false)</f>
        <v>0</v>
      </c>
      <c r="L3201" s="74">
        <v>0.0</v>
      </c>
      <c r="M3201" s="74">
        <f t="shared" si="2"/>
        <v>0</v>
      </c>
      <c r="N3201" s="74">
        <f t="shared" si="3"/>
        <v>60000</v>
      </c>
      <c r="O3201" s="65" t="str">
        <f>VLOOKUP(E3201,DATABASE!C:Q,8,false)</f>
        <v>IBU</v>
      </c>
      <c r="P3201" s="65">
        <f>VLOOKUP(E3201,DATABASE!C:Q,9,False)</f>
        <v>0</v>
      </c>
      <c r="Q3201" s="93" t="str">
        <f>VLOOKUP(E3201,DATABASE!C:Q,4,false)</f>
        <v>SERVICE</v>
      </c>
      <c r="R3201" s="93" t="str">
        <f>VLOOKUP(E3201,DATABASE!C:Q,11,false)</f>
        <v>SERVICE</v>
      </c>
    </row>
    <row r="3202" ht="22.5" customHeight="1">
      <c r="A3202" s="49"/>
      <c r="C3202" s="384">
        <v>45826.0</v>
      </c>
      <c r="D3202" s="65">
        <v>6130.0</v>
      </c>
      <c r="E3202" s="445" t="s">
        <v>647</v>
      </c>
      <c r="F3202" s="386">
        <v>1.0</v>
      </c>
      <c r="G3202" s="74">
        <v>1470000.0</v>
      </c>
      <c r="H3202" s="74">
        <v>0.0</v>
      </c>
      <c r="I3202" s="74">
        <f t="shared" si="1"/>
        <v>1470000</v>
      </c>
      <c r="J3202" s="74">
        <f>IF(E3202="SERVICE",I3202-(I3202*50%),Vlookup(E3202,DATABASE!C:Q,10,false)*F3202)</f>
        <v>0</v>
      </c>
      <c r="K3202" s="74">
        <f>VLOOKUP(E3202,DATABASE!C:Q,7,false)</f>
        <v>1420000</v>
      </c>
      <c r="L3202" s="74">
        <v>1420000.0</v>
      </c>
      <c r="M3202" s="74">
        <f t="shared" si="2"/>
        <v>1420000</v>
      </c>
      <c r="N3202" s="74">
        <f t="shared" si="3"/>
        <v>50000</v>
      </c>
      <c r="O3202" s="65" t="str">
        <f>VLOOKUP(E3202,DATABASE!C:Q,8,false)</f>
        <v>BIAN</v>
      </c>
      <c r="P3202" s="65">
        <f>VLOOKUP(E3202,DATABASE!C:Q,9,False)</f>
        <v>1</v>
      </c>
      <c r="Q3202" s="93" t="str">
        <f>VLOOKUP(E3202,DATABASE!C:Q,4,false)</f>
        <v>G. YEAR</v>
      </c>
      <c r="R3202" s="93" t="str">
        <f>VLOOKUP(E3202,DATABASE!C:Q,11,false)</f>
        <v>Tire</v>
      </c>
    </row>
    <row r="3203" ht="22.5" customHeight="1">
      <c r="A3203" s="49"/>
      <c r="C3203" s="384">
        <v>45826.0</v>
      </c>
      <c r="D3203" s="65">
        <v>6131.0</v>
      </c>
      <c r="E3203" s="445" t="s">
        <v>265</v>
      </c>
      <c r="F3203" s="386">
        <v>1.0</v>
      </c>
      <c r="G3203" s="74">
        <v>700000.0</v>
      </c>
      <c r="H3203" s="74">
        <v>0.0</v>
      </c>
      <c r="I3203" s="74">
        <f t="shared" si="1"/>
        <v>700000</v>
      </c>
      <c r="J3203" s="74">
        <f>IF(E3203="SERVICE",I3203-(I3203*50%),Vlookup(E3203,DATABASE!C:Q,10,false)*F3203)</f>
        <v>0</v>
      </c>
      <c r="K3203" s="74">
        <f>VLOOKUP(E3203,DATABASE!C:Q,7,false)</f>
        <v>628000</v>
      </c>
      <c r="L3203" s="74">
        <v>610000.0</v>
      </c>
      <c r="M3203" s="74">
        <f t="shared" si="2"/>
        <v>610000</v>
      </c>
      <c r="N3203" s="74">
        <f t="shared" si="3"/>
        <v>90000</v>
      </c>
      <c r="O3203" s="65" t="str">
        <f>VLOOKUP(E3203,DATABASE!C:Q,8,false)</f>
        <v>IBU</v>
      </c>
      <c r="P3203" s="65">
        <f>VLOOKUP(E3203,DATABASE!C:Q,9,False)</f>
        <v>1</v>
      </c>
      <c r="Q3203" s="93" t="str">
        <f>VLOOKUP(E3203,DATABASE!C:Q,4,false)</f>
        <v>Dunlop</v>
      </c>
      <c r="R3203" s="93" t="str">
        <f>VLOOKUP(E3203,DATABASE!C:Q,11,false)</f>
        <v>Tire</v>
      </c>
    </row>
    <row r="3204" ht="22.5" customHeight="1">
      <c r="A3204" s="49"/>
      <c r="C3204" s="384">
        <v>45826.0</v>
      </c>
      <c r="D3204" s="65">
        <v>6131.0</v>
      </c>
      <c r="E3204" s="445" t="s">
        <v>605</v>
      </c>
      <c r="F3204" s="386">
        <v>1.0</v>
      </c>
      <c r="G3204" s="74">
        <v>750000.0</v>
      </c>
      <c r="H3204" s="74">
        <v>0.0</v>
      </c>
      <c r="I3204" s="74">
        <f t="shared" si="1"/>
        <v>750000</v>
      </c>
      <c r="J3204" s="74">
        <f>IF(E3204="SERVICE",I3204-(I3204*50%),Vlookup(E3204,DATABASE!C:Q,10,false)*F3204)</f>
        <v>0</v>
      </c>
      <c r="K3204" s="74">
        <v>670000.0</v>
      </c>
      <c r="L3204" s="74">
        <v>670000.0</v>
      </c>
      <c r="M3204" s="74">
        <f t="shared" si="2"/>
        <v>670000</v>
      </c>
      <c r="N3204" s="74">
        <f t="shared" si="3"/>
        <v>80000</v>
      </c>
      <c r="O3204" s="65" t="str">
        <f>VLOOKUP(E3204,DATABASE!C:Q,8,false)</f>
        <v>IBU</v>
      </c>
      <c r="P3204" s="65">
        <f>VLOOKUP(E3204,DATABASE!C:Q,9,False)</f>
        <v>1</v>
      </c>
      <c r="Q3204" s="93" t="str">
        <f>VLOOKUP(E3204,DATABASE!C:Q,4,false)</f>
        <v>Bridgestone</v>
      </c>
      <c r="R3204" s="93" t="str">
        <f>VLOOKUP(E3204,DATABASE!C:Q,11,false)</f>
        <v>Tire</v>
      </c>
    </row>
    <row r="3205" ht="22.5" customHeight="1">
      <c r="A3205" s="49"/>
      <c r="C3205" s="384">
        <v>45826.0</v>
      </c>
      <c r="D3205" s="65">
        <v>6132.0</v>
      </c>
      <c r="E3205" s="445" t="s">
        <v>569</v>
      </c>
      <c r="F3205" s="386">
        <v>1.0</v>
      </c>
      <c r="G3205" s="74">
        <v>80000.0</v>
      </c>
      <c r="H3205" s="74">
        <v>0.0</v>
      </c>
      <c r="I3205" s="74">
        <f t="shared" si="1"/>
        <v>80000</v>
      </c>
      <c r="J3205" s="74">
        <f>IF(E3205="SERVICE",I3205-(I3205*50%),Vlookup(E3205,DATABASE!C:Q,10,false)*F3205)</f>
        <v>0</v>
      </c>
      <c r="K3205" s="74">
        <f>VLOOKUP(E3205,DATABASE!C:Q,7,false)</f>
        <v>45439.582</v>
      </c>
      <c r="L3205" s="74">
        <v>45309.6</v>
      </c>
      <c r="M3205" s="74">
        <f t="shared" si="2"/>
        <v>50000</v>
      </c>
      <c r="N3205" s="74">
        <f t="shared" si="3"/>
        <v>30000</v>
      </c>
      <c r="O3205" s="65" t="str">
        <f>VLOOKUP(E3205,DATABASE!C:Q,8,false)</f>
        <v>BIAN</v>
      </c>
      <c r="P3205" s="65">
        <f>VLOOKUP(E3205,DATABASE!C:Q,9,False)</f>
        <v>1</v>
      </c>
      <c r="Q3205" s="93" t="str">
        <f>VLOOKUP(E3205,DATABASE!C:Q,4,false)</f>
        <v>BD</v>
      </c>
      <c r="R3205" s="93" t="str">
        <f>VLOOKUP(E3205,DATABASE!C:Q,11,false)</f>
        <v>Tire</v>
      </c>
    </row>
    <row r="3206" ht="22.5" customHeight="1">
      <c r="A3206" s="49"/>
      <c r="C3206" s="384">
        <v>45826.0</v>
      </c>
      <c r="D3206" s="65">
        <v>6133.0</v>
      </c>
      <c r="E3206" s="445" t="s">
        <v>268</v>
      </c>
      <c r="F3206" s="386">
        <v>2.0</v>
      </c>
      <c r="G3206" s="74">
        <v>720000.0</v>
      </c>
      <c r="H3206" s="74">
        <v>0.0</v>
      </c>
      <c r="I3206" s="74">
        <f t="shared" si="1"/>
        <v>1440000</v>
      </c>
      <c r="J3206" s="74">
        <f>IF(E3206="SERVICE",I3206-(I3206*50%),Vlookup(E3206,DATABASE!C:Q,10,false)*F3206)</f>
        <v>0</v>
      </c>
      <c r="K3206" s="74">
        <f>VLOOKUP(E3206,DATABASE!C:Q,7,false)</f>
        <v>653000</v>
      </c>
      <c r="L3206" s="74">
        <v>622000.0</v>
      </c>
      <c r="M3206" s="74">
        <f t="shared" si="2"/>
        <v>625000</v>
      </c>
      <c r="N3206" s="74">
        <f t="shared" si="3"/>
        <v>190000</v>
      </c>
      <c r="O3206" s="65" t="str">
        <f>VLOOKUP(E3206,DATABASE!C:Q,8,false)</f>
        <v>IBU</v>
      </c>
      <c r="P3206" s="65">
        <f>VLOOKUP(E3206,DATABASE!C:Q,9,False)</f>
        <v>1</v>
      </c>
      <c r="Q3206" s="93" t="str">
        <f>VLOOKUP(E3206,DATABASE!C:Q,4,false)</f>
        <v>Dunlop</v>
      </c>
      <c r="R3206" s="93" t="str">
        <f>VLOOKUP(E3206,DATABASE!C:Q,11,false)</f>
        <v>Tire</v>
      </c>
    </row>
    <row r="3207" ht="22.5" customHeight="1">
      <c r="A3207" s="49"/>
      <c r="C3207" s="384">
        <v>45826.0</v>
      </c>
      <c r="D3207" s="65">
        <v>6136.0</v>
      </c>
      <c r="E3207" s="445" t="s">
        <v>937</v>
      </c>
      <c r="F3207" s="386">
        <v>1.0</v>
      </c>
      <c r="G3207" s="74">
        <v>900000.0</v>
      </c>
      <c r="H3207" s="74">
        <v>0.0</v>
      </c>
      <c r="I3207" s="74">
        <f t="shared" si="1"/>
        <v>900000</v>
      </c>
      <c r="J3207" s="74">
        <f>IF(E3207="SERVICE",I3207-(I3207*50%),Vlookup(E3207,DATABASE!C:Q,10,false)*F3207)</f>
        <v>0</v>
      </c>
      <c r="K3207" s="74">
        <f>VLOOKUP(E3207,DATABASE!C:Q,7,false)</f>
        <v>825000</v>
      </c>
      <c r="L3207" s="74">
        <v>790000.0</v>
      </c>
      <c r="M3207" s="74">
        <f t="shared" si="2"/>
        <v>790000</v>
      </c>
      <c r="N3207" s="74">
        <f t="shared" si="3"/>
        <v>110000</v>
      </c>
      <c r="O3207" s="65" t="str">
        <f>VLOOKUP(E3207,DATABASE!C:Q,8,false)</f>
        <v>IBU</v>
      </c>
      <c r="P3207" s="65">
        <f>VLOOKUP(E3207,DATABASE!C:Q,9,False)</f>
        <v>1</v>
      </c>
      <c r="Q3207" s="93" t="str">
        <f>VLOOKUP(E3207,DATABASE!C:Q,4,false)</f>
        <v>Bridgestone</v>
      </c>
      <c r="R3207" s="93" t="str">
        <f>VLOOKUP(E3207,DATABASE!C:Q,11,false)</f>
        <v>Tire</v>
      </c>
    </row>
    <row r="3208" ht="22.5" customHeight="1">
      <c r="A3208" s="49"/>
      <c r="C3208" s="384">
        <v>45826.0</v>
      </c>
      <c r="D3208" s="65">
        <v>6137.0</v>
      </c>
      <c r="E3208" s="445" t="s">
        <v>275</v>
      </c>
      <c r="F3208" s="386">
        <v>1.0</v>
      </c>
      <c r="G3208" s="74">
        <v>850000.0</v>
      </c>
      <c r="H3208" s="74">
        <v>0.0</v>
      </c>
      <c r="I3208" s="74">
        <f t="shared" si="1"/>
        <v>850000</v>
      </c>
      <c r="J3208" s="74">
        <f>IF(E3208="SERVICE",I3208-(I3208*50%),Vlookup(E3208,DATABASE!C:Q,10,false)*F3208)</f>
        <v>0</v>
      </c>
      <c r="K3208" s="74">
        <f>VLOOKUP(E3208,DATABASE!C:Q,7,false)</f>
        <v>782000</v>
      </c>
      <c r="L3208" s="74">
        <v>745000.0</v>
      </c>
      <c r="M3208" s="74">
        <f t="shared" si="2"/>
        <v>745000</v>
      </c>
      <c r="N3208" s="74">
        <f t="shared" si="3"/>
        <v>105000</v>
      </c>
      <c r="O3208" s="65" t="str">
        <f>VLOOKUP(E3208,DATABASE!C:Q,8,false)</f>
        <v>IBU</v>
      </c>
      <c r="P3208" s="65">
        <f>VLOOKUP(E3208,DATABASE!C:Q,9,False)</f>
        <v>1</v>
      </c>
      <c r="Q3208" s="93" t="str">
        <f>VLOOKUP(E3208,DATABASE!C:Q,4,false)</f>
        <v>Dunlop</v>
      </c>
      <c r="R3208" s="93" t="str">
        <f>VLOOKUP(E3208,DATABASE!C:Q,11,false)</f>
        <v>Tire</v>
      </c>
    </row>
    <row r="3209" ht="22.5" customHeight="1">
      <c r="A3209" s="49"/>
      <c r="C3209" s="384">
        <v>45826.0</v>
      </c>
      <c r="D3209" s="65">
        <v>6138.0</v>
      </c>
      <c r="E3209" s="445" t="s">
        <v>1439</v>
      </c>
      <c r="F3209" s="386">
        <v>1.0</v>
      </c>
      <c r="G3209" s="74">
        <v>630000.0</v>
      </c>
      <c r="H3209" s="74">
        <v>0.0</v>
      </c>
      <c r="I3209" s="74">
        <f t="shared" si="1"/>
        <v>630000</v>
      </c>
      <c r="J3209" s="74">
        <f>IF(E3209="SERVICE",I3209-(I3209*50%),Vlookup(E3209,DATABASE!C:Q,10,false)*F3209)</f>
        <v>0</v>
      </c>
      <c r="K3209" s="74">
        <f>VLOOKUP(E3209,DATABASE!C:Q,7,false)</f>
        <v>556800</v>
      </c>
      <c r="L3209" s="74">
        <v>540800.0</v>
      </c>
      <c r="M3209" s="74">
        <f t="shared" si="2"/>
        <v>545000</v>
      </c>
      <c r="N3209" s="74">
        <f t="shared" si="3"/>
        <v>85000</v>
      </c>
      <c r="O3209" s="65" t="str">
        <f>VLOOKUP(E3209,DATABASE!C:Q,8,false)</f>
        <v>BIAN</v>
      </c>
      <c r="P3209" s="65">
        <f>VLOOKUP(E3209,DATABASE!C:Q,9,False)</f>
        <v>1</v>
      </c>
      <c r="Q3209" s="93" t="str">
        <f>VLOOKUP(E3209,DATABASE!C:Q,4,false)</f>
        <v>GT</v>
      </c>
      <c r="R3209" s="93" t="str">
        <f>VLOOKUP(E3209,DATABASE!C:Q,11,false)</f>
        <v>Tire</v>
      </c>
    </row>
    <row r="3210" ht="22.5" customHeight="1">
      <c r="A3210" s="49"/>
      <c r="C3210" s="384">
        <v>45827.0</v>
      </c>
      <c r="D3210" s="65">
        <v>4139.0</v>
      </c>
      <c r="E3210" s="445" t="s">
        <v>591</v>
      </c>
      <c r="F3210" s="386">
        <v>2.0</v>
      </c>
      <c r="G3210" s="74">
        <v>700000.0</v>
      </c>
      <c r="H3210" s="74">
        <v>0.0</v>
      </c>
      <c r="I3210" s="74">
        <f t="shared" si="1"/>
        <v>1400000</v>
      </c>
      <c r="J3210" s="74">
        <f>IF(E3210="SERVICE",I3210-(I3210*50%),Vlookup(E3210,DATABASE!C:Q,10,false)*F3210)</f>
        <v>0</v>
      </c>
      <c r="K3210" s="74">
        <f>VLOOKUP(E3210,DATABASE!C:Q,7,false)</f>
        <v>633035.16</v>
      </c>
      <c r="L3210" s="74">
        <v>593488.4</v>
      </c>
      <c r="M3210" s="74">
        <f t="shared" si="2"/>
        <v>595000</v>
      </c>
      <c r="N3210" s="74">
        <f t="shared" si="3"/>
        <v>210000</v>
      </c>
      <c r="O3210" s="65" t="str">
        <f>VLOOKUP(E3210,DATABASE!C:Q,8,false)</f>
        <v>IBU</v>
      </c>
      <c r="P3210" s="65">
        <f>VLOOKUP(E3210,DATABASE!C:Q,9,False)</f>
        <v>1</v>
      </c>
      <c r="Q3210" s="93" t="str">
        <f>VLOOKUP(E3210,DATABASE!C:Q,4,false)</f>
        <v>Bridgestone</v>
      </c>
      <c r="R3210" s="93" t="str">
        <f>VLOOKUP(E3210,DATABASE!C:Q,11,false)</f>
        <v>Tire</v>
      </c>
    </row>
    <row r="3211" ht="22.5" customHeight="1">
      <c r="A3211" s="49"/>
      <c r="C3211" s="384">
        <v>45827.0</v>
      </c>
      <c r="D3211" s="65">
        <v>4140.0</v>
      </c>
      <c r="E3211" s="445" t="s">
        <v>839</v>
      </c>
      <c r="F3211" s="386">
        <v>2.0</v>
      </c>
      <c r="G3211" s="74">
        <v>565000.0</v>
      </c>
      <c r="H3211" s="74">
        <v>0.0</v>
      </c>
      <c r="I3211" s="74">
        <f t="shared" si="1"/>
        <v>1130000</v>
      </c>
      <c r="J3211" s="74">
        <f>IF(E3211="SERVICE",I3211-(I3211*50%),Vlookup(E3211,DATABASE!C:Q,10,false)*F3211)</f>
        <v>0</v>
      </c>
      <c r="K3211" s="74">
        <f>VLOOKUP(E3211,DATABASE!C:Q,7,false)</f>
        <v>512640</v>
      </c>
      <c r="L3211" s="74">
        <v>475700.0</v>
      </c>
      <c r="M3211" s="74">
        <f t="shared" si="2"/>
        <v>480000</v>
      </c>
      <c r="N3211" s="74">
        <f t="shared" si="3"/>
        <v>170000</v>
      </c>
      <c r="O3211" s="65" t="str">
        <f>VLOOKUP(E3211,DATABASE!C:Q,8,false)</f>
        <v>BIAN</v>
      </c>
      <c r="P3211" s="65">
        <f>VLOOKUP(E3211,DATABASE!C:Q,9,False)</f>
        <v>1</v>
      </c>
      <c r="Q3211" s="93" t="str">
        <f>VLOOKUP(E3211,DATABASE!C:Q,4,false)</f>
        <v>GT</v>
      </c>
      <c r="R3211" s="93" t="str">
        <f>VLOOKUP(E3211,DATABASE!C:Q,11,false)</f>
        <v>Tire</v>
      </c>
    </row>
    <row r="3212" ht="22.5" customHeight="1">
      <c r="A3212" s="49"/>
      <c r="C3212" s="384">
        <v>45827.0</v>
      </c>
      <c r="D3212" s="65">
        <v>6141.0</v>
      </c>
      <c r="E3212" s="445" t="s">
        <v>687</v>
      </c>
      <c r="F3212" s="386">
        <v>2.0</v>
      </c>
      <c r="G3212" s="74">
        <v>1060000.0</v>
      </c>
      <c r="H3212" s="74">
        <v>0.0</v>
      </c>
      <c r="I3212" s="74">
        <f t="shared" si="1"/>
        <v>2120000</v>
      </c>
      <c r="J3212" s="74">
        <f>IF(E3212="SERVICE",I3212-(I3212*50%),Vlookup(E3212,DATABASE!C:Q,10,false)*F3212)</f>
        <v>0</v>
      </c>
      <c r="K3212" s="74">
        <f>VLOOKUP(E3212,DATABASE!C:Q,7,false)</f>
        <v>959000</v>
      </c>
      <c r="L3212" s="74">
        <v>949000.0</v>
      </c>
      <c r="M3212" s="74">
        <f t="shared" si="2"/>
        <v>950000</v>
      </c>
      <c r="N3212" s="74">
        <f t="shared" si="3"/>
        <v>220000</v>
      </c>
      <c r="O3212" s="65" t="str">
        <f>VLOOKUP(E3212,DATABASE!C:Q,8,false)</f>
        <v>IBU</v>
      </c>
      <c r="P3212" s="65">
        <f>VLOOKUP(E3212,DATABASE!C:Q,9,False)</f>
        <v>1</v>
      </c>
      <c r="Q3212" s="93" t="str">
        <f>VLOOKUP(E3212,DATABASE!C:Q,4,false)</f>
        <v>Dunlop</v>
      </c>
      <c r="R3212" s="93" t="str">
        <f>VLOOKUP(E3212,DATABASE!C:Q,11,false)</f>
        <v>Tire</v>
      </c>
    </row>
    <row r="3213" ht="22.5" customHeight="1">
      <c r="A3213" s="49"/>
      <c r="C3213" s="384">
        <v>45827.0</v>
      </c>
      <c r="D3213" s="65">
        <v>6142.0</v>
      </c>
      <c r="E3213" s="445" t="s">
        <v>1009</v>
      </c>
      <c r="F3213" s="386">
        <v>2.0</v>
      </c>
      <c r="G3213" s="74">
        <v>700000.0</v>
      </c>
      <c r="H3213" s="74">
        <v>0.0</v>
      </c>
      <c r="I3213" s="74">
        <f t="shared" si="1"/>
        <v>1400000</v>
      </c>
      <c r="J3213" s="74">
        <f>IF(E3213="SERVICE",I3213-(I3213*50%),Vlookup(E3213,DATABASE!C:Q,10,false)*F3213)</f>
        <v>0</v>
      </c>
      <c r="K3213" s="74">
        <f>VLOOKUP(E3213,DATABASE!C:Q,7,false)</f>
        <v>609800</v>
      </c>
      <c r="L3213" s="74">
        <v>592200.0</v>
      </c>
      <c r="M3213" s="74">
        <f t="shared" si="2"/>
        <v>595000</v>
      </c>
      <c r="N3213" s="74">
        <f t="shared" si="3"/>
        <v>210000</v>
      </c>
      <c r="O3213" s="65" t="str">
        <f>VLOOKUP(E3213,DATABASE!C:Q,8,false)</f>
        <v>BIAN</v>
      </c>
      <c r="P3213" s="65">
        <f>VLOOKUP(E3213,DATABASE!C:Q,9,False)</f>
        <v>1</v>
      </c>
      <c r="Q3213" s="93" t="str">
        <f>VLOOKUP(E3213,DATABASE!C:Q,4,false)</f>
        <v>GT</v>
      </c>
      <c r="R3213" s="93" t="str">
        <f>VLOOKUP(E3213,DATABASE!C:Q,11,false)</f>
        <v>Tire</v>
      </c>
    </row>
    <row r="3214" ht="22.5" customHeight="1">
      <c r="A3214" s="49"/>
      <c r="C3214" s="384">
        <v>45827.0</v>
      </c>
      <c r="D3214" s="65">
        <v>6143.0</v>
      </c>
      <c r="E3214" s="445" t="s">
        <v>777</v>
      </c>
      <c r="F3214" s="386">
        <v>1.0</v>
      </c>
      <c r="G3214" s="74">
        <v>585000.0</v>
      </c>
      <c r="H3214" s="74">
        <v>0.0</v>
      </c>
      <c r="I3214" s="74">
        <f t="shared" si="1"/>
        <v>585000</v>
      </c>
      <c r="J3214" s="74">
        <f>IF(E3214="SERVICE",I3214-(I3214*50%),Vlookup(E3214,DATABASE!C:Q,10,false)*F3214)</f>
        <v>0</v>
      </c>
      <c r="K3214" s="74">
        <f>VLOOKUP(E3214,DATABASE!C:Q,7,false)</f>
        <v>540000</v>
      </c>
      <c r="L3214" s="74">
        <v>507000.0</v>
      </c>
      <c r="M3214" s="74">
        <f t="shared" si="2"/>
        <v>510000</v>
      </c>
      <c r="N3214" s="74">
        <f t="shared" si="3"/>
        <v>75000</v>
      </c>
      <c r="O3214" s="65" t="str">
        <f>VLOOKUP(E3214,DATABASE!C:Q,8,false)</f>
        <v>BIAN</v>
      </c>
      <c r="P3214" s="65">
        <f>VLOOKUP(E3214,DATABASE!C:Q,9,False)</f>
        <v>1</v>
      </c>
      <c r="Q3214" s="93" t="str">
        <f>VLOOKUP(E3214,DATABASE!C:Q,4,false)</f>
        <v>GT</v>
      </c>
      <c r="R3214" s="93" t="str">
        <f>VLOOKUP(E3214,DATABASE!C:Q,11,false)</f>
        <v>Tire</v>
      </c>
    </row>
    <row r="3215" ht="22.5" customHeight="1">
      <c r="A3215" s="49"/>
      <c r="C3215" s="384">
        <v>45827.0</v>
      </c>
      <c r="D3215" s="65">
        <v>6143.0</v>
      </c>
      <c r="E3215" s="445" t="s">
        <v>250</v>
      </c>
      <c r="F3215" s="386">
        <v>1.0</v>
      </c>
      <c r="G3215" s="74">
        <v>135000.0</v>
      </c>
      <c r="H3215" s="74">
        <v>0.0</v>
      </c>
      <c r="I3215" s="74">
        <f t="shared" si="1"/>
        <v>135000</v>
      </c>
      <c r="J3215" s="74">
        <f>IF(E3215="SERVICE",I3215-(I3215*50%),Vlookup(E3215,DATABASE!C:Q,10,false)*F3215)</f>
        <v>0</v>
      </c>
      <c r="K3215" s="74">
        <f>VLOOKUP(E3215,DATABASE!C:Q,7,false)</f>
        <v>102000</v>
      </c>
      <c r="L3215" s="74">
        <v>102000.0</v>
      </c>
      <c r="M3215" s="74">
        <f t="shared" si="2"/>
        <v>105000</v>
      </c>
      <c r="N3215" s="74">
        <f t="shared" si="3"/>
        <v>30000</v>
      </c>
      <c r="O3215" s="65" t="str">
        <f>VLOOKUP(E3215,DATABASE!C:Q,8,false)</f>
        <v>BIAN</v>
      </c>
      <c r="P3215" s="65">
        <f>VLOOKUP(E3215,DATABASE!C:Q,9,False)</f>
        <v>1</v>
      </c>
      <c r="Q3215" s="93" t="str">
        <f>VLOOKUP(E3215,DATABASE!C:Q,4,false)</f>
        <v>BD</v>
      </c>
      <c r="R3215" s="93" t="str">
        <f>VLOOKUP(E3215,DATABASE!C:Q,11,false)</f>
        <v>Tire</v>
      </c>
    </row>
    <row r="3216" ht="22.5" customHeight="1">
      <c r="A3216" s="49"/>
      <c r="C3216" s="384">
        <v>45827.0</v>
      </c>
      <c r="D3216" s="65">
        <v>6144.0</v>
      </c>
      <c r="E3216" s="445" t="s">
        <v>246</v>
      </c>
      <c r="F3216" s="386">
        <v>1.0</v>
      </c>
      <c r="G3216" s="74">
        <v>30000.0</v>
      </c>
      <c r="H3216" s="74">
        <v>0.0</v>
      </c>
      <c r="I3216" s="74">
        <f t="shared" si="1"/>
        <v>30000</v>
      </c>
      <c r="J3216" s="74">
        <f>IF(E3216="SERVICE",I3216-(I3216*50%),Vlookup(E3216,DATABASE!C:Q,10,false)*F3216)</f>
        <v>0</v>
      </c>
      <c r="K3216" s="74">
        <f>VLOOKUP(E3216,DATABASE!C:Q,7,false)</f>
        <v>0</v>
      </c>
      <c r="L3216" s="74">
        <v>0.0</v>
      </c>
      <c r="M3216" s="74">
        <f t="shared" si="2"/>
        <v>0</v>
      </c>
      <c r="N3216" s="74">
        <f t="shared" si="3"/>
        <v>30000</v>
      </c>
      <c r="O3216" s="65" t="str">
        <f>VLOOKUP(E3216,DATABASE!C:Q,8,false)</f>
        <v>IBU</v>
      </c>
      <c r="P3216" s="65">
        <f>VLOOKUP(E3216,DATABASE!C:Q,9,False)</f>
        <v>0</v>
      </c>
      <c r="Q3216" s="93" t="str">
        <f>VLOOKUP(E3216,DATABASE!C:Q,4,false)</f>
        <v>Bongkar Pasang</v>
      </c>
      <c r="R3216" s="93" t="str">
        <f>VLOOKUP(E3216,DATABASE!C:Q,11,false)</f>
        <v>SERVICE</v>
      </c>
    </row>
    <row r="3217" ht="22.5" customHeight="1">
      <c r="A3217" s="49"/>
      <c r="C3217" s="384">
        <v>45827.0</v>
      </c>
      <c r="D3217" s="65">
        <v>6145.0</v>
      </c>
      <c r="E3217" s="445" t="s">
        <v>974</v>
      </c>
      <c r="F3217" s="386">
        <v>2.0</v>
      </c>
      <c r="G3217" s="74">
        <v>590000.0</v>
      </c>
      <c r="H3217" s="74">
        <v>0.0</v>
      </c>
      <c r="I3217" s="74">
        <f t="shared" si="1"/>
        <v>1180000</v>
      </c>
      <c r="J3217" s="74">
        <f>IF(E3217="SERVICE",I3217-(I3217*50%),Vlookup(E3217,DATABASE!C:Q,10,false)*F3217)</f>
        <v>0</v>
      </c>
      <c r="K3217" s="74">
        <f>VLOOKUP(E3217,DATABASE!C:Q,7,false)</f>
        <v>501500</v>
      </c>
      <c r="L3217" s="74">
        <v>491000.0</v>
      </c>
      <c r="M3217" s="74">
        <f t="shared" si="2"/>
        <v>495000</v>
      </c>
      <c r="N3217" s="74">
        <f t="shared" si="3"/>
        <v>190000</v>
      </c>
      <c r="O3217" s="65" t="str">
        <f>VLOOKUP(E3217,DATABASE!C:Q,8,false)</f>
        <v>IBU</v>
      </c>
      <c r="P3217" s="65">
        <f>VLOOKUP(E3217,DATABASE!C:Q,9,False)</f>
        <v>1</v>
      </c>
      <c r="Q3217" s="93" t="str">
        <f>VLOOKUP(E3217,DATABASE!C:Q,4,false)</f>
        <v>Dunlop</v>
      </c>
      <c r="R3217" s="93" t="str">
        <f>VLOOKUP(E3217,DATABASE!C:Q,11,false)</f>
        <v>Tire</v>
      </c>
    </row>
    <row r="3218" ht="22.5" customHeight="1">
      <c r="A3218" s="49"/>
      <c r="C3218" s="384">
        <v>45827.0</v>
      </c>
      <c r="D3218" s="65">
        <v>6146.0</v>
      </c>
      <c r="E3218" s="445" t="s">
        <v>246</v>
      </c>
      <c r="F3218" s="386">
        <v>1.0</v>
      </c>
      <c r="G3218" s="74">
        <v>25000.0</v>
      </c>
      <c r="H3218" s="74">
        <v>0.0</v>
      </c>
      <c r="I3218" s="74">
        <f t="shared" si="1"/>
        <v>25000</v>
      </c>
      <c r="J3218" s="74">
        <f>IF(E3218="SERVICE",I3218-(I3218*50%),Vlookup(E3218,DATABASE!C:Q,10,false)*F3218)</f>
        <v>0</v>
      </c>
      <c r="K3218" s="74">
        <f>VLOOKUP(E3218,DATABASE!C:Q,7,false)</f>
        <v>0</v>
      </c>
      <c r="L3218" s="74">
        <v>0.0</v>
      </c>
      <c r="M3218" s="74">
        <f t="shared" si="2"/>
        <v>0</v>
      </c>
      <c r="N3218" s="74">
        <f t="shared" si="3"/>
        <v>25000</v>
      </c>
      <c r="O3218" s="65" t="str">
        <f>VLOOKUP(E3218,DATABASE!C:Q,8,false)</f>
        <v>IBU</v>
      </c>
      <c r="P3218" s="65">
        <f>VLOOKUP(E3218,DATABASE!C:Q,9,False)</f>
        <v>0</v>
      </c>
      <c r="Q3218" s="93" t="str">
        <f>VLOOKUP(E3218,DATABASE!C:Q,4,false)</f>
        <v>Bongkar Pasang</v>
      </c>
      <c r="R3218" s="93" t="str">
        <f>VLOOKUP(E3218,DATABASE!C:Q,11,false)</f>
        <v>SERVICE</v>
      </c>
    </row>
    <row r="3219" ht="22.5" customHeight="1">
      <c r="A3219" s="49"/>
      <c r="C3219" s="384">
        <v>45827.0</v>
      </c>
      <c r="D3219" s="65">
        <v>6146.0</v>
      </c>
      <c r="E3219" s="445" t="s">
        <v>256</v>
      </c>
      <c r="F3219" s="386">
        <v>1.0</v>
      </c>
      <c r="G3219" s="74">
        <v>130000.0</v>
      </c>
      <c r="H3219" s="74">
        <v>0.0</v>
      </c>
      <c r="I3219" s="74">
        <f t="shared" si="1"/>
        <v>130000</v>
      </c>
      <c r="J3219" s="74">
        <f>IF(E3219="SERVICE",I3219-(I3219*50%),Vlookup(E3219,DATABASE!C:Q,10,false)*F3219)</f>
        <v>10000</v>
      </c>
      <c r="K3219" s="74">
        <f>VLOOKUP(E3219,DATABASE!C:Q,7,false)</f>
        <v>0</v>
      </c>
      <c r="L3219" s="74">
        <v>0.0</v>
      </c>
      <c r="M3219" s="74">
        <f t="shared" si="2"/>
        <v>0</v>
      </c>
      <c r="N3219" s="74">
        <f t="shared" si="3"/>
        <v>120000</v>
      </c>
      <c r="O3219" s="65" t="str">
        <f>VLOOKUP(E3219,DATABASE!C:Q,8,false)</f>
        <v>IBU</v>
      </c>
      <c r="P3219" s="65">
        <f>VLOOKUP(E3219,DATABASE!C:Q,9,False)</f>
        <v>0</v>
      </c>
      <c r="Q3219" s="93" t="str">
        <f>VLOOKUP(E3219,DATABASE!C:Q,4,false)</f>
        <v>SPOORING</v>
      </c>
      <c r="R3219" s="93" t="str">
        <f>VLOOKUP(E3219,DATABASE!C:Q,11,false)</f>
        <v>SERVICE</v>
      </c>
    </row>
    <row r="3220" ht="22.5" customHeight="1">
      <c r="A3220" s="49"/>
      <c r="C3220" s="384">
        <v>45827.0</v>
      </c>
      <c r="D3220" s="65">
        <v>6146.0</v>
      </c>
      <c r="E3220" s="445" t="s">
        <v>251</v>
      </c>
      <c r="F3220" s="386">
        <v>1.0</v>
      </c>
      <c r="G3220" s="74">
        <v>150000.0</v>
      </c>
      <c r="H3220" s="74">
        <v>0.0</v>
      </c>
      <c r="I3220" s="74">
        <f t="shared" si="1"/>
        <v>150000</v>
      </c>
      <c r="J3220" s="74">
        <f>IF(E3220="SERVICE",I3220-(I3220*50%),Vlookup(E3220,DATABASE!C:Q,10,false)*F3220)</f>
        <v>75000</v>
      </c>
      <c r="K3220" s="74">
        <f>VLOOKUP(E3220,DATABASE!C:Q,7,false)</f>
        <v>0</v>
      </c>
      <c r="L3220" s="74">
        <v>0.0</v>
      </c>
      <c r="M3220" s="74">
        <f t="shared" si="2"/>
        <v>0</v>
      </c>
      <c r="N3220" s="74">
        <f t="shared" si="3"/>
        <v>75000</v>
      </c>
      <c r="O3220" s="65" t="str">
        <f>VLOOKUP(E3220,DATABASE!C:Q,8,false)</f>
        <v>IBU</v>
      </c>
      <c r="P3220" s="65">
        <f>VLOOKUP(E3220,DATABASE!C:Q,9,False)</f>
        <v>0</v>
      </c>
      <c r="Q3220" s="93" t="str">
        <f>VLOOKUP(E3220,DATABASE!C:Q,4,false)</f>
        <v>SERVICE</v>
      </c>
      <c r="R3220" s="93" t="str">
        <f>VLOOKUP(E3220,DATABASE!C:Q,11,false)</f>
        <v>SERVICE</v>
      </c>
    </row>
    <row r="3221" ht="22.5" customHeight="1">
      <c r="A3221" s="49"/>
      <c r="C3221" s="384">
        <v>45827.0</v>
      </c>
      <c r="D3221" s="65">
        <v>6147.0</v>
      </c>
      <c r="E3221" s="445" t="s">
        <v>268</v>
      </c>
      <c r="F3221" s="386">
        <v>1.0</v>
      </c>
      <c r="G3221" s="74">
        <v>720000.0</v>
      </c>
      <c r="H3221" s="74">
        <v>0.0</v>
      </c>
      <c r="I3221" s="74">
        <f t="shared" si="1"/>
        <v>720000</v>
      </c>
      <c r="J3221" s="74">
        <f>IF(E3221="SERVICE",I3221-(I3221*50%),Vlookup(E3221,DATABASE!C:Q,10,false)*F3221)</f>
        <v>0</v>
      </c>
      <c r="K3221" s="74">
        <f>VLOOKUP(E3221,DATABASE!C:Q,7,false)</f>
        <v>653000</v>
      </c>
      <c r="L3221" s="74">
        <v>622000.0</v>
      </c>
      <c r="M3221" s="74">
        <f t="shared" si="2"/>
        <v>625000</v>
      </c>
      <c r="N3221" s="74">
        <f t="shared" si="3"/>
        <v>95000</v>
      </c>
      <c r="O3221" s="65" t="str">
        <f>VLOOKUP(E3221,DATABASE!C:Q,8,false)</f>
        <v>IBU</v>
      </c>
      <c r="P3221" s="65">
        <f>VLOOKUP(E3221,DATABASE!C:Q,9,False)</f>
        <v>1</v>
      </c>
      <c r="Q3221" s="93" t="str">
        <f>VLOOKUP(E3221,DATABASE!C:Q,4,false)</f>
        <v>Dunlop</v>
      </c>
      <c r="R3221" s="93" t="str">
        <f>VLOOKUP(E3221,DATABASE!C:Q,11,false)</f>
        <v>Tire</v>
      </c>
    </row>
    <row r="3222" ht="22.5" customHeight="1">
      <c r="A3222" s="49"/>
      <c r="C3222" s="384">
        <v>45827.0</v>
      </c>
      <c r="D3222" s="65">
        <v>6148.0</v>
      </c>
      <c r="E3222" s="445" t="s">
        <v>251</v>
      </c>
      <c r="F3222" s="386">
        <v>1.0</v>
      </c>
      <c r="G3222" s="74">
        <v>200000.0</v>
      </c>
      <c r="H3222" s="74">
        <v>0.0</v>
      </c>
      <c r="I3222" s="74">
        <f t="shared" si="1"/>
        <v>200000</v>
      </c>
      <c r="J3222" s="74">
        <f>IF(E3222="SERVICE",I3222-(I3222*50%),Vlookup(E3222,DATABASE!C:Q,10,false)*F3222)</f>
        <v>100000</v>
      </c>
      <c r="K3222" s="74">
        <f>VLOOKUP(E3222,DATABASE!C:Q,7,false)</f>
        <v>0</v>
      </c>
      <c r="L3222" s="74">
        <v>0.0</v>
      </c>
      <c r="M3222" s="74">
        <f t="shared" si="2"/>
        <v>0</v>
      </c>
      <c r="N3222" s="74">
        <f t="shared" si="3"/>
        <v>100000</v>
      </c>
      <c r="O3222" s="65" t="str">
        <f>VLOOKUP(E3222,DATABASE!C:Q,8,false)</f>
        <v>IBU</v>
      </c>
      <c r="P3222" s="65">
        <f>VLOOKUP(E3222,DATABASE!C:Q,9,False)</f>
        <v>0</v>
      </c>
      <c r="Q3222" s="93" t="str">
        <f>VLOOKUP(E3222,DATABASE!C:Q,4,false)</f>
        <v>SERVICE</v>
      </c>
      <c r="R3222" s="93" t="str">
        <f>VLOOKUP(E3222,DATABASE!C:Q,11,false)</f>
        <v>SERVICE</v>
      </c>
    </row>
    <row r="3223" ht="22.5" customHeight="1">
      <c r="A3223" s="49"/>
      <c r="C3223" s="384">
        <v>45828.0</v>
      </c>
      <c r="D3223" s="65">
        <v>6149.0</v>
      </c>
      <c r="E3223" s="445" t="s">
        <v>937</v>
      </c>
      <c r="F3223" s="386">
        <v>4.0</v>
      </c>
      <c r="G3223" s="74">
        <v>900000.0</v>
      </c>
      <c r="H3223" s="74">
        <v>0.0</v>
      </c>
      <c r="I3223" s="74">
        <f t="shared" si="1"/>
        <v>3600000</v>
      </c>
      <c r="J3223" s="74">
        <f>IF(E3223="SERVICE",I3223-(I3223*50%),Vlookup(E3223,DATABASE!C:Q,10,false)*F3223)</f>
        <v>0</v>
      </c>
      <c r="K3223" s="74">
        <f>VLOOKUP(E3223,DATABASE!C:Q,7,false)</f>
        <v>825000</v>
      </c>
      <c r="L3223" s="74">
        <v>790000.0</v>
      </c>
      <c r="M3223" s="74">
        <f t="shared" si="2"/>
        <v>790000</v>
      </c>
      <c r="N3223" s="74">
        <f t="shared" si="3"/>
        <v>440000</v>
      </c>
      <c r="O3223" s="65" t="str">
        <f>VLOOKUP(E3223,DATABASE!C:Q,8,false)</f>
        <v>IBU</v>
      </c>
      <c r="P3223" s="65">
        <f>VLOOKUP(E3223,DATABASE!C:Q,9,False)</f>
        <v>1</v>
      </c>
      <c r="Q3223" s="93" t="str">
        <f>VLOOKUP(E3223,DATABASE!C:Q,4,false)</f>
        <v>Bridgestone</v>
      </c>
      <c r="R3223" s="93" t="str">
        <f>VLOOKUP(E3223,DATABASE!C:Q,11,false)</f>
        <v>Tire</v>
      </c>
    </row>
    <row r="3224" ht="22.5" customHeight="1">
      <c r="A3224" s="49"/>
      <c r="C3224" s="384">
        <v>45828.0</v>
      </c>
      <c r="D3224" s="65">
        <v>6149.0</v>
      </c>
      <c r="E3224" s="445" t="s">
        <v>256</v>
      </c>
      <c r="F3224" s="386">
        <v>1.0</v>
      </c>
      <c r="G3224" s="74">
        <v>130000.0</v>
      </c>
      <c r="H3224" s="74">
        <v>0.0</v>
      </c>
      <c r="I3224" s="74">
        <f t="shared" si="1"/>
        <v>130000</v>
      </c>
      <c r="J3224" s="74">
        <f>IF(E3224="SERVICE",I3224-(I3224*50%),Vlookup(E3224,DATABASE!C:Q,10,false)*F3224)</f>
        <v>10000</v>
      </c>
      <c r="K3224" s="74">
        <f>VLOOKUP(E3224,DATABASE!C:Q,7,false)</f>
        <v>0</v>
      </c>
      <c r="L3224" s="74">
        <v>0.0</v>
      </c>
      <c r="M3224" s="74">
        <f t="shared" si="2"/>
        <v>0</v>
      </c>
      <c r="N3224" s="74">
        <f t="shared" si="3"/>
        <v>120000</v>
      </c>
      <c r="O3224" s="65" t="str">
        <f>VLOOKUP(E3224,DATABASE!C:Q,8,false)</f>
        <v>IBU</v>
      </c>
      <c r="P3224" s="65">
        <f>VLOOKUP(E3224,DATABASE!C:Q,9,False)</f>
        <v>0</v>
      </c>
      <c r="Q3224" s="93" t="str">
        <f>VLOOKUP(E3224,DATABASE!C:Q,4,false)</f>
        <v>SPOORING</v>
      </c>
      <c r="R3224" s="93" t="str">
        <f>VLOOKUP(E3224,DATABASE!C:Q,11,false)</f>
        <v>SERVICE</v>
      </c>
    </row>
    <row r="3225" ht="22.5" customHeight="1">
      <c r="A3225" s="49"/>
      <c r="C3225" s="384">
        <v>45828.0</v>
      </c>
      <c r="D3225" s="65">
        <v>6149.0</v>
      </c>
      <c r="E3225" s="445" t="s">
        <v>251</v>
      </c>
      <c r="F3225" s="386">
        <v>1.0</v>
      </c>
      <c r="G3225" s="74">
        <v>120000.0</v>
      </c>
      <c r="H3225" s="74">
        <v>0.0</v>
      </c>
      <c r="I3225" s="74">
        <f t="shared" si="1"/>
        <v>120000</v>
      </c>
      <c r="J3225" s="74">
        <f>IF(E3225="SERVICE",I3225-(I3225*50%),Vlookup(E3225,DATABASE!C:Q,10,false)*F3225)</f>
        <v>60000</v>
      </c>
      <c r="K3225" s="74">
        <f>VLOOKUP(E3225,DATABASE!C:Q,7,false)</f>
        <v>0</v>
      </c>
      <c r="L3225" s="74">
        <v>0.0</v>
      </c>
      <c r="M3225" s="74">
        <f t="shared" si="2"/>
        <v>0</v>
      </c>
      <c r="N3225" s="74">
        <f t="shared" si="3"/>
        <v>60000</v>
      </c>
      <c r="O3225" s="65" t="str">
        <f>VLOOKUP(E3225,DATABASE!C:Q,8,false)</f>
        <v>IBU</v>
      </c>
      <c r="P3225" s="65">
        <f>VLOOKUP(E3225,DATABASE!C:Q,9,False)</f>
        <v>0</v>
      </c>
      <c r="Q3225" s="93" t="str">
        <f>VLOOKUP(E3225,DATABASE!C:Q,4,false)</f>
        <v>SERVICE</v>
      </c>
      <c r="R3225" s="93" t="str">
        <f>VLOOKUP(E3225,DATABASE!C:Q,11,false)</f>
        <v>SERVICE</v>
      </c>
    </row>
    <row r="3226" ht="22.5" customHeight="1">
      <c r="A3226" s="49"/>
      <c r="C3226" s="384">
        <v>45828.0</v>
      </c>
      <c r="D3226" s="65">
        <v>6150.0</v>
      </c>
      <c r="E3226" s="445" t="s">
        <v>781</v>
      </c>
      <c r="F3226" s="386">
        <v>2.0</v>
      </c>
      <c r="G3226" s="74">
        <v>525000.0</v>
      </c>
      <c r="H3226" s="74">
        <v>0.0</v>
      </c>
      <c r="I3226" s="74">
        <f t="shared" si="1"/>
        <v>1050000</v>
      </c>
      <c r="J3226" s="74">
        <f>IF(E3226="SERVICE",I3226-(I3226*50%),Vlookup(E3226,DATABASE!C:Q,10,false)*F3226)</f>
        <v>0</v>
      </c>
      <c r="K3226" s="74">
        <f>VLOOKUP(E3226,DATABASE!C:Q,7,false)</f>
        <v>470000</v>
      </c>
      <c r="L3226" s="74">
        <v>442500.0</v>
      </c>
      <c r="M3226" s="74">
        <f t="shared" si="2"/>
        <v>445000</v>
      </c>
      <c r="N3226" s="74">
        <f t="shared" si="3"/>
        <v>160000</v>
      </c>
      <c r="O3226" s="65" t="str">
        <f>VLOOKUP(E3226,DATABASE!C:Q,8,false)</f>
        <v>BIAN</v>
      </c>
      <c r="P3226" s="65">
        <f>VLOOKUP(E3226,DATABASE!C:Q,9,False)</f>
        <v>1</v>
      </c>
      <c r="Q3226" s="93" t="str">
        <f>VLOOKUP(E3226,DATABASE!C:Q,4,false)</f>
        <v>GT</v>
      </c>
      <c r="R3226" s="93" t="str">
        <f>VLOOKUP(E3226,DATABASE!C:Q,11,false)</f>
        <v>Tire</v>
      </c>
    </row>
    <row r="3227" ht="22.5" customHeight="1">
      <c r="A3227" s="49"/>
      <c r="C3227" s="384">
        <v>45828.0</v>
      </c>
      <c r="D3227" s="65">
        <v>6151.0</v>
      </c>
      <c r="E3227" s="445" t="s">
        <v>856</v>
      </c>
      <c r="F3227" s="386">
        <v>1.0</v>
      </c>
      <c r="G3227" s="74">
        <v>670000.0</v>
      </c>
      <c r="H3227" s="74">
        <v>0.0</v>
      </c>
      <c r="I3227" s="74">
        <f t="shared" si="1"/>
        <v>670000</v>
      </c>
      <c r="J3227" s="74">
        <f>IF(E3227="SERVICE",I3227-(I3227*50%),Vlookup(E3227,DATABASE!C:Q,10,false)*F3227)</f>
        <v>0</v>
      </c>
      <c r="K3227" s="74">
        <f>VLOOKUP(E3227,DATABASE!C:Q,7,false)</f>
        <v>615300</v>
      </c>
      <c r="L3227" s="74">
        <v>581120.0</v>
      </c>
      <c r="M3227" s="74">
        <f t="shared" si="2"/>
        <v>585000</v>
      </c>
      <c r="N3227" s="74">
        <f t="shared" si="3"/>
        <v>85000</v>
      </c>
      <c r="O3227" s="65" t="str">
        <f>VLOOKUP(E3227,DATABASE!C:Q,8,false)</f>
        <v>BIAN</v>
      </c>
      <c r="P3227" s="65">
        <f>VLOOKUP(E3227,DATABASE!C:Q,9,False)</f>
        <v>1</v>
      </c>
      <c r="Q3227" s="93" t="str">
        <f>VLOOKUP(E3227,DATABASE!C:Q,4,false)</f>
        <v>GT</v>
      </c>
      <c r="R3227" s="93" t="str">
        <f>VLOOKUP(E3227,DATABASE!C:Q,11,false)</f>
        <v>Tire</v>
      </c>
    </row>
    <row r="3228" ht="22.5" customHeight="1">
      <c r="A3228" s="49"/>
      <c r="C3228" s="384">
        <v>45828.0</v>
      </c>
      <c r="D3228" s="65">
        <v>6152.0</v>
      </c>
      <c r="E3228" s="445" t="s">
        <v>856</v>
      </c>
      <c r="F3228" s="386">
        <v>2.0</v>
      </c>
      <c r="G3228" s="74">
        <v>670000.0</v>
      </c>
      <c r="H3228" s="74">
        <v>0.0</v>
      </c>
      <c r="I3228" s="74">
        <f t="shared" si="1"/>
        <v>1340000</v>
      </c>
      <c r="J3228" s="74">
        <f>IF(E3228="SERVICE",I3228-(I3228*50%),Vlookup(E3228,DATABASE!C:Q,10,false)*F3228)</f>
        <v>0</v>
      </c>
      <c r="K3228" s="74">
        <f>VLOOKUP(E3228,DATABASE!C:Q,7,false)</f>
        <v>615300</v>
      </c>
      <c r="L3228" s="74">
        <v>581120.0</v>
      </c>
      <c r="M3228" s="74">
        <f t="shared" si="2"/>
        <v>585000</v>
      </c>
      <c r="N3228" s="74">
        <f t="shared" si="3"/>
        <v>170000</v>
      </c>
      <c r="O3228" s="65" t="str">
        <f>VLOOKUP(E3228,DATABASE!C:Q,8,false)</f>
        <v>BIAN</v>
      </c>
      <c r="P3228" s="65">
        <f>VLOOKUP(E3228,DATABASE!C:Q,9,False)</f>
        <v>1</v>
      </c>
      <c r="Q3228" s="93" t="str">
        <f>VLOOKUP(E3228,DATABASE!C:Q,4,false)</f>
        <v>GT</v>
      </c>
      <c r="R3228" s="93" t="str">
        <f>VLOOKUP(E3228,DATABASE!C:Q,11,false)</f>
        <v>Tire</v>
      </c>
    </row>
    <row r="3229" ht="22.5" customHeight="1">
      <c r="A3229" s="49"/>
      <c r="C3229" s="384">
        <v>45828.0</v>
      </c>
      <c r="D3229" s="65">
        <v>6152.0</v>
      </c>
      <c r="E3229" s="385" t="s">
        <v>299</v>
      </c>
      <c r="F3229" s="386">
        <v>2.0</v>
      </c>
      <c r="G3229" s="74">
        <v>30000.0</v>
      </c>
      <c r="H3229" s="74">
        <v>0.0</v>
      </c>
      <c r="I3229" s="74">
        <f t="shared" si="1"/>
        <v>60000</v>
      </c>
      <c r="J3229" s="74">
        <f>IF(E3229="SERVICE",I3229-(I3229*50%),Vlookup(E3229,DATABASE!C:Q,10,false)*F3229)</f>
        <v>0</v>
      </c>
      <c r="K3229" s="74">
        <v>0.0</v>
      </c>
      <c r="L3229" s="74">
        <v>0.0</v>
      </c>
      <c r="M3229" s="74">
        <f t="shared" si="2"/>
        <v>0</v>
      </c>
      <c r="N3229" s="74">
        <f t="shared" si="3"/>
        <v>60000</v>
      </c>
      <c r="O3229" s="65" t="str">
        <f>VLOOKUP(E3229,DATABASE!C:Q,8,false)</f>
        <v>BIAN</v>
      </c>
      <c r="P3229" s="65">
        <f>VLOOKUP(E3229,DATABASE!C:Q,9,False)</f>
        <v>0</v>
      </c>
      <c r="Q3229" s="93" t="str">
        <f>VLOOKUP(E3229,DATABASE!C:Q,4,false)</f>
        <v>Balancing</v>
      </c>
      <c r="R3229" s="93" t="str">
        <f>VLOOKUP(E3229,DATABASE!C:Q,11,false)</f>
        <v>COMPLEMENTARY</v>
      </c>
    </row>
    <row r="3230" ht="22.5" customHeight="1">
      <c r="A3230" s="49"/>
      <c r="C3230" s="384">
        <v>45828.0</v>
      </c>
      <c r="D3230" s="65">
        <v>6152.0</v>
      </c>
      <c r="E3230" s="445" t="s">
        <v>262</v>
      </c>
      <c r="F3230" s="386">
        <v>1.0</v>
      </c>
      <c r="G3230" s="74">
        <v>110000.0</v>
      </c>
      <c r="H3230" s="74">
        <v>0.0</v>
      </c>
      <c r="I3230" s="74">
        <f t="shared" si="1"/>
        <v>110000</v>
      </c>
      <c r="J3230" s="74">
        <f>IF(E3230="SERVICE",I3230-(I3230*50%),Vlookup(E3230,DATABASE!C:Q,10,false)*F3230)</f>
        <v>5000</v>
      </c>
      <c r="K3230" s="74">
        <f>VLOOKUP(E3230,DATABASE!C:Q,7,false)</f>
        <v>0</v>
      </c>
      <c r="L3230" s="74">
        <v>0.0</v>
      </c>
      <c r="M3230" s="74">
        <f t="shared" si="2"/>
        <v>0</v>
      </c>
      <c r="N3230" s="74">
        <f t="shared" si="3"/>
        <v>105000</v>
      </c>
      <c r="O3230" s="65" t="str">
        <f>VLOOKUP(E3230,DATABASE!C:Q,8,false)</f>
        <v>IBU</v>
      </c>
      <c r="P3230" s="65">
        <f>VLOOKUP(E3230,DATABASE!C:Q,9,False)</f>
        <v>0</v>
      </c>
      <c r="Q3230" s="93" t="str">
        <f>VLOOKUP(E3230,DATABASE!C:Q,4,false)</f>
        <v>SPOORING SS/CARRY LOS BAK</v>
      </c>
      <c r="R3230" s="93" t="str">
        <f>VLOOKUP(E3230,DATABASE!C:Q,11,false)</f>
        <v>SERVICE</v>
      </c>
    </row>
    <row r="3231" ht="22.5" customHeight="1">
      <c r="A3231" s="49"/>
      <c r="C3231" s="384">
        <v>45828.0</v>
      </c>
      <c r="D3231" s="65">
        <v>6152.0</v>
      </c>
      <c r="E3231" s="445" t="s">
        <v>251</v>
      </c>
      <c r="F3231" s="386">
        <v>1.0</v>
      </c>
      <c r="G3231" s="74">
        <v>150000.0</v>
      </c>
      <c r="H3231" s="74">
        <v>0.0</v>
      </c>
      <c r="I3231" s="74">
        <f t="shared" si="1"/>
        <v>150000</v>
      </c>
      <c r="J3231" s="74">
        <f>IF(E3231="SERVICE",I3231-(I3231*50%),Vlookup(E3231,DATABASE!C:Q,10,false)*F3231)</f>
        <v>75000</v>
      </c>
      <c r="K3231" s="74">
        <f>VLOOKUP(E3231,DATABASE!C:Q,7,false)</f>
        <v>0</v>
      </c>
      <c r="L3231" s="74">
        <v>0.0</v>
      </c>
      <c r="M3231" s="74">
        <f t="shared" si="2"/>
        <v>0</v>
      </c>
      <c r="N3231" s="74">
        <f t="shared" si="3"/>
        <v>75000</v>
      </c>
      <c r="O3231" s="65" t="str">
        <f>VLOOKUP(E3231,DATABASE!C:Q,8,false)</f>
        <v>IBU</v>
      </c>
      <c r="P3231" s="65">
        <f>VLOOKUP(E3231,DATABASE!C:Q,9,False)</f>
        <v>0</v>
      </c>
      <c r="Q3231" s="93" t="str">
        <f>VLOOKUP(E3231,DATABASE!C:Q,4,false)</f>
        <v>SERVICE</v>
      </c>
      <c r="R3231" s="93" t="str">
        <f>VLOOKUP(E3231,DATABASE!C:Q,11,false)</f>
        <v>SERVICE</v>
      </c>
    </row>
    <row r="3232" ht="22.5" customHeight="1">
      <c r="A3232" s="49"/>
      <c r="C3232" s="384">
        <v>45828.0</v>
      </c>
      <c r="D3232" s="65">
        <v>6155.0</v>
      </c>
      <c r="E3232" s="445" t="s">
        <v>613</v>
      </c>
      <c r="F3232" s="386">
        <v>1.0</v>
      </c>
      <c r="G3232" s="74">
        <v>95000.0</v>
      </c>
      <c r="H3232" s="74">
        <v>0.0</v>
      </c>
      <c r="I3232" s="74">
        <f t="shared" si="1"/>
        <v>95000</v>
      </c>
      <c r="J3232" s="74">
        <f>IF(E3232="SERVICE",I3232-(I3232*50%),Vlookup(E3232,DATABASE!C:Q,10,false)*F3232)</f>
        <v>0</v>
      </c>
      <c r="K3232" s="74">
        <f>VLOOKUP(E3232,DATABASE!C:Q,7,false)</f>
        <v>58371.2695</v>
      </c>
      <c r="L3232" s="74">
        <v>55000.0</v>
      </c>
      <c r="M3232" s="74">
        <f t="shared" si="2"/>
        <v>55000</v>
      </c>
      <c r="N3232" s="74">
        <f t="shared" si="3"/>
        <v>40000</v>
      </c>
      <c r="O3232" s="65" t="str">
        <f>VLOOKUP(E3232,DATABASE!C:Q,8,false)</f>
        <v>BIAN</v>
      </c>
      <c r="P3232" s="65">
        <f>VLOOKUP(E3232,DATABASE!C:Q,9,False)</f>
        <v>1</v>
      </c>
      <c r="Q3232" s="93" t="str">
        <f>VLOOKUP(E3232,DATABASE!C:Q,4,false)</f>
        <v>BD</v>
      </c>
      <c r="R3232" s="93" t="str">
        <f>VLOOKUP(E3232,DATABASE!C:Q,11,false)</f>
        <v>Tire</v>
      </c>
    </row>
    <row r="3233" ht="22.5" customHeight="1">
      <c r="A3233" s="49"/>
      <c r="C3233" s="384">
        <v>45828.0</v>
      </c>
      <c r="D3233" s="65">
        <v>6156.0</v>
      </c>
      <c r="E3233" s="445" t="s">
        <v>856</v>
      </c>
      <c r="F3233" s="386">
        <v>2.0</v>
      </c>
      <c r="G3233" s="74">
        <v>670000.0</v>
      </c>
      <c r="H3233" s="74">
        <v>0.0</v>
      </c>
      <c r="I3233" s="74">
        <f t="shared" si="1"/>
        <v>1340000</v>
      </c>
      <c r="J3233" s="74">
        <f>IF(E3233="SERVICE",I3233-(I3233*50%),Vlookup(E3233,DATABASE!C:Q,10,false)*F3233)</f>
        <v>0</v>
      </c>
      <c r="K3233" s="74">
        <f>VLOOKUP(E3233,DATABASE!C:Q,7,false)</f>
        <v>615300</v>
      </c>
      <c r="L3233" s="74">
        <v>581120.0</v>
      </c>
      <c r="M3233" s="74">
        <f t="shared" si="2"/>
        <v>585000</v>
      </c>
      <c r="N3233" s="74">
        <f t="shared" si="3"/>
        <v>170000</v>
      </c>
      <c r="O3233" s="65" t="str">
        <f>VLOOKUP(E3233,DATABASE!C:Q,8,false)</f>
        <v>BIAN</v>
      </c>
      <c r="P3233" s="65">
        <f>VLOOKUP(E3233,DATABASE!C:Q,9,False)</f>
        <v>1</v>
      </c>
      <c r="Q3233" s="93" t="str">
        <f>VLOOKUP(E3233,DATABASE!C:Q,4,false)</f>
        <v>GT</v>
      </c>
      <c r="R3233" s="93" t="str">
        <f>VLOOKUP(E3233,DATABASE!C:Q,11,false)</f>
        <v>Tire</v>
      </c>
    </row>
    <row r="3234" ht="22.5" customHeight="1">
      <c r="A3234" s="49"/>
      <c r="C3234" s="384">
        <v>45828.0</v>
      </c>
      <c r="D3234" s="65">
        <v>6156.0</v>
      </c>
      <c r="E3234" s="385" t="s">
        <v>299</v>
      </c>
      <c r="F3234" s="386">
        <v>2.0</v>
      </c>
      <c r="G3234" s="74">
        <v>30000.0</v>
      </c>
      <c r="H3234" s="74">
        <v>0.0</v>
      </c>
      <c r="I3234" s="74">
        <f t="shared" si="1"/>
        <v>60000</v>
      </c>
      <c r="J3234" s="74">
        <f>IF(E3234="SERVICE",I3234-(I3234*50%),Vlookup(E3234,DATABASE!C:Q,10,false)*F3234)</f>
        <v>0</v>
      </c>
      <c r="K3234" s="74">
        <v>0.0</v>
      </c>
      <c r="L3234" s="74">
        <v>0.0</v>
      </c>
      <c r="M3234" s="74">
        <f t="shared" si="2"/>
        <v>0</v>
      </c>
      <c r="N3234" s="74">
        <f t="shared" si="3"/>
        <v>60000</v>
      </c>
      <c r="O3234" s="65" t="str">
        <f>VLOOKUP(E3234,DATABASE!C:Q,8,false)</f>
        <v>BIAN</v>
      </c>
      <c r="P3234" s="65">
        <f>VLOOKUP(E3234,DATABASE!C:Q,9,False)</f>
        <v>0</v>
      </c>
      <c r="Q3234" s="93" t="str">
        <f>VLOOKUP(E3234,DATABASE!C:Q,4,false)</f>
        <v>Balancing</v>
      </c>
      <c r="R3234" s="93" t="str">
        <f>VLOOKUP(E3234,DATABASE!C:Q,11,false)</f>
        <v>COMPLEMENTARY</v>
      </c>
    </row>
    <row r="3235" ht="22.5" customHeight="1">
      <c r="A3235" s="49"/>
      <c r="C3235" s="384">
        <v>45828.0</v>
      </c>
      <c r="D3235" s="65">
        <v>6156.0</v>
      </c>
      <c r="E3235" s="445" t="s">
        <v>256</v>
      </c>
      <c r="F3235" s="386">
        <v>1.0</v>
      </c>
      <c r="G3235" s="74">
        <v>130000.0</v>
      </c>
      <c r="H3235" s="74">
        <v>0.0</v>
      </c>
      <c r="I3235" s="74">
        <f t="shared" si="1"/>
        <v>130000</v>
      </c>
      <c r="J3235" s="74">
        <f>IF(E3235="SERVICE",I3235-(I3235*50%),Vlookup(E3235,DATABASE!C:Q,10,false)*F3235)</f>
        <v>10000</v>
      </c>
      <c r="K3235" s="74">
        <f>VLOOKUP(E3235,DATABASE!C:Q,7,false)</f>
        <v>0</v>
      </c>
      <c r="L3235" s="74">
        <v>0.0</v>
      </c>
      <c r="M3235" s="74">
        <f t="shared" si="2"/>
        <v>0</v>
      </c>
      <c r="N3235" s="74">
        <f t="shared" si="3"/>
        <v>120000</v>
      </c>
      <c r="O3235" s="65" t="str">
        <f>VLOOKUP(E3235,DATABASE!C:Q,8,false)</f>
        <v>IBU</v>
      </c>
      <c r="P3235" s="65">
        <f>VLOOKUP(E3235,DATABASE!C:Q,9,False)</f>
        <v>0</v>
      </c>
      <c r="Q3235" s="93" t="str">
        <f>VLOOKUP(E3235,DATABASE!C:Q,4,false)</f>
        <v>SPOORING</v>
      </c>
      <c r="R3235" s="93" t="str">
        <f>VLOOKUP(E3235,DATABASE!C:Q,11,false)</f>
        <v>SERVICE</v>
      </c>
    </row>
    <row r="3236" ht="22.5" customHeight="1">
      <c r="A3236" s="49"/>
      <c r="C3236" s="384">
        <v>45828.0</v>
      </c>
      <c r="D3236" s="65">
        <v>6156.0</v>
      </c>
      <c r="E3236" s="445" t="s">
        <v>301</v>
      </c>
      <c r="F3236" s="386">
        <v>1.0</v>
      </c>
      <c r="G3236" s="74">
        <v>250000.0</v>
      </c>
      <c r="H3236" s="74">
        <v>0.0</v>
      </c>
      <c r="I3236" s="74">
        <f t="shared" si="1"/>
        <v>250000</v>
      </c>
      <c r="J3236" s="74">
        <f>IF(E3236="SERVICE",I3236-(I3236*50%),Vlookup(E3236,DATABASE!C:Q,10,false)*F3236)</f>
        <v>75000</v>
      </c>
      <c r="K3236" s="74">
        <f>VLOOKUP(E3236,DATABASE!C:Q,7,false)</f>
        <v>75000</v>
      </c>
      <c r="L3236" s="74">
        <v>75000.0</v>
      </c>
      <c r="M3236" s="74">
        <f t="shared" si="2"/>
        <v>75000</v>
      </c>
      <c r="N3236" s="74">
        <f t="shared" si="3"/>
        <v>100000</v>
      </c>
      <c r="O3236" s="65" t="str">
        <f>VLOOKUP(E3236,DATABASE!C:Q,8,false)</f>
        <v>BIAN</v>
      </c>
      <c r="P3236" s="65">
        <f>VLOOKUP(E3236,DATABASE!C:Q,9,False)</f>
        <v>0</v>
      </c>
      <c r="Q3236" s="93" t="str">
        <f>VLOOKUP(E3236,DATABASE!C:Q,4,false)</f>
        <v>Baut Camber</v>
      </c>
      <c r="R3236" s="93" t="str">
        <f>VLOOKUP(E3236,DATABASE!C:Q,11,false)</f>
        <v>COMPLEMENTARY</v>
      </c>
    </row>
    <row r="3237" ht="22.5" customHeight="1">
      <c r="A3237" s="49"/>
      <c r="C3237" s="384">
        <v>45828.0</v>
      </c>
      <c r="D3237" s="65">
        <v>6157.0</v>
      </c>
      <c r="E3237" s="445" t="s">
        <v>777</v>
      </c>
      <c r="F3237" s="386">
        <v>1.0</v>
      </c>
      <c r="G3237" s="74">
        <v>585000.0</v>
      </c>
      <c r="H3237" s="74">
        <v>0.0</v>
      </c>
      <c r="I3237" s="74">
        <f t="shared" si="1"/>
        <v>585000</v>
      </c>
      <c r="J3237" s="74">
        <f>IF(E3237="SERVICE",I3237-(I3237*50%),Vlookup(E3237,DATABASE!C:Q,10,false)*F3237)</f>
        <v>0</v>
      </c>
      <c r="K3237" s="74">
        <f>VLOOKUP(E3237,DATABASE!C:Q,7,false)</f>
        <v>540000</v>
      </c>
      <c r="L3237" s="74">
        <v>507000.0</v>
      </c>
      <c r="M3237" s="74">
        <f t="shared" si="2"/>
        <v>510000</v>
      </c>
      <c r="N3237" s="74">
        <f t="shared" si="3"/>
        <v>75000</v>
      </c>
      <c r="O3237" s="65" t="str">
        <f>VLOOKUP(E3237,DATABASE!C:Q,8,false)</f>
        <v>BIAN</v>
      </c>
      <c r="P3237" s="65">
        <f>VLOOKUP(E3237,DATABASE!C:Q,9,False)</f>
        <v>1</v>
      </c>
      <c r="Q3237" s="93" t="str">
        <f>VLOOKUP(E3237,DATABASE!C:Q,4,false)</f>
        <v>GT</v>
      </c>
      <c r="R3237" s="93" t="str">
        <f>VLOOKUP(E3237,DATABASE!C:Q,11,false)</f>
        <v>Tire</v>
      </c>
    </row>
    <row r="3238" ht="22.5" customHeight="1">
      <c r="A3238" s="49"/>
      <c r="C3238" s="384">
        <v>45828.0</v>
      </c>
      <c r="D3238" s="65">
        <v>6157.0</v>
      </c>
      <c r="E3238" s="445" t="s">
        <v>250</v>
      </c>
      <c r="F3238" s="386">
        <v>1.0</v>
      </c>
      <c r="G3238" s="74">
        <v>135000.0</v>
      </c>
      <c r="H3238" s="74">
        <v>0.0</v>
      </c>
      <c r="I3238" s="74">
        <f t="shared" si="1"/>
        <v>135000</v>
      </c>
      <c r="J3238" s="74">
        <f>IF(E3238="SERVICE",I3238-(I3238*50%),Vlookup(E3238,DATABASE!C:Q,10,false)*F3238)</f>
        <v>0</v>
      </c>
      <c r="K3238" s="74">
        <f>VLOOKUP(E3238,DATABASE!C:Q,7,false)</f>
        <v>102000</v>
      </c>
      <c r="L3238" s="74">
        <v>102000.0</v>
      </c>
      <c r="M3238" s="74">
        <f t="shared" si="2"/>
        <v>105000</v>
      </c>
      <c r="N3238" s="74">
        <f t="shared" si="3"/>
        <v>30000</v>
      </c>
      <c r="O3238" s="65" t="str">
        <f>VLOOKUP(E3238,DATABASE!C:Q,8,false)</f>
        <v>BIAN</v>
      </c>
      <c r="P3238" s="65">
        <f>VLOOKUP(E3238,DATABASE!C:Q,9,False)</f>
        <v>1</v>
      </c>
      <c r="Q3238" s="93" t="str">
        <f>VLOOKUP(E3238,DATABASE!C:Q,4,false)</f>
        <v>BD</v>
      </c>
      <c r="R3238" s="93" t="str">
        <f>VLOOKUP(E3238,DATABASE!C:Q,11,false)</f>
        <v>Tire</v>
      </c>
    </row>
    <row r="3239" ht="22.5" customHeight="1">
      <c r="A3239" s="49"/>
      <c r="C3239" s="384">
        <v>45828.0</v>
      </c>
      <c r="D3239" s="65">
        <v>6158.0</v>
      </c>
      <c r="E3239" s="445" t="s">
        <v>246</v>
      </c>
      <c r="F3239" s="386">
        <v>1.0</v>
      </c>
      <c r="G3239" s="74">
        <v>40000.0</v>
      </c>
      <c r="H3239" s="74">
        <v>0.0</v>
      </c>
      <c r="I3239" s="74">
        <f t="shared" si="1"/>
        <v>40000</v>
      </c>
      <c r="J3239" s="74">
        <f>IF(E3239="SERVICE",I3239-(I3239*50%),Vlookup(E3239,DATABASE!C:Q,10,false)*F3239)</f>
        <v>0</v>
      </c>
      <c r="K3239" s="74">
        <f>VLOOKUP(E3239,DATABASE!C:Q,7,false)</f>
        <v>0</v>
      </c>
      <c r="L3239" s="74">
        <v>0.0</v>
      </c>
      <c r="M3239" s="74">
        <f t="shared" si="2"/>
        <v>0</v>
      </c>
      <c r="N3239" s="74">
        <f t="shared" si="3"/>
        <v>40000</v>
      </c>
      <c r="O3239" s="65" t="str">
        <f>VLOOKUP(E3239,DATABASE!C:Q,8,false)</f>
        <v>IBU</v>
      </c>
      <c r="P3239" s="65">
        <f>VLOOKUP(E3239,DATABASE!C:Q,9,False)</f>
        <v>0</v>
      </c>
      <c r="Q3239" s="93" t="str">
        <f>VLOOKUP(E3239,DATABASE!C:Q,4,false)</f>
        <v>Bongkar Pasang</v>
      </c>
      <c r="R3239" s="93" t="str">
        <f>VLOOKUP(E3239,DATABASE!C:Q,11,false)</f>
        <v>SERVICE</v>
      </c>
    </row>
    <row r="3240" ht="22.5" customHeight="1">
      <c r="A3240" s="49"/>
      <c r="C3240" s="384">
        <v>45828.0</v>
      </c>
      <c r="D3240" s="65">
        <v>6159.0</v>
      </c>
      <c r="E3240" s="445" t="s">
        <v>246</v>
      </c>
      <c r="F3240" s="386">
        <v>1.0</v>
      </c>
      <c r="G3240" s="74">
        <v>630000.0</v>
      </c>
      <c r="H3240" s="74">
        <v>0.0</v>
      </c>
      <c r="I3240" s="74">
        <f t="shared" si="1"/>
        <v>630000</v>
      </c>
      <c r="J3240" s="74">
        <f>IF(E3240="SERVICE",I3240-(I3240*50%),Vlookup(E3240,DATABASE!C:Q,10,false)*F3240)</f>
        <v>0</v>
      </c>
      <c r="K3240" s="74">
        <f>VLOOKUP(E3240,DATABASE!C:Q,7,false)</f>
        <v>0</v>
      </c>
      <c r="L3240" s="74">
        <v>0.0</v>
      </c>
      <c r="M3240" s="74">
        <f t="shared" si="2"/>
        <v>0</v>
      </c>
      <c r="N3240" s="74">
        <f t="shared" si="3"/>
        <v>630000</v>
      </c>
      <c r="O3240" s="65" t="str">
        <f>VLOOKUP(E3240,DATABASE!C:Q,8,false)</f>
        <v>IBU</v>
      </c>
      <c r="P3240" s="65">
        <f>VLOOKUP(E3240,DATABASE!C:Q,9,False)</f>
        <v>0</v>
      </c>
      <c r="Q3240" s="93" t="str">
        <f>VLOOKUP(E3240,DATABASE!C:Q,4,false)</f>
        <v>Bongkar Pasang</v>
      </c>
      <c r="R3240" s="93" t="str">
        <f>VLOOKUP(E3240,DATABASE!C:Q,11,false)</f>
        <v>SERVICE</v>
      </c>
    </row>
    <row r="3241" ht="22.5" customHeight="1">
      <c r="A3241" s="49"/>
      <c r="C3241" s="384">
        <v>45828.0</v>
      </c>
      <c r="D3241" s="65">
        <v>6160.0</v>
      </c>
      <c r="E3241" s="445" t="s">
        <v>821</v>
      </c>
      <c r="F3241" s="386">
        <v>5.0</v>
      </c>
      <c r="G3241" s="74">
        <v>80000.0</v>
      </c>
      <c r="H3241" s="74">
        <v>0.0</v>
      </c>
      <c r="I3241" s="74">
        <f t="shared" si="1"/>
        <v>400000</v>
      </c>
      <c r="J3241" s="74">
        <f>IF(E3241="SERVICE",I3241-(I3241*50%),Vlookup(E3241,DATABASE!C:Q,10,false)*F3241)</f>
        <v>0</v>
      </c>
      <c r="K3241" s="74">
        <f>VLOOKUP(E3241,DATABASE!C:Q,7,false)</f>
        <v>43500</v>
      </c>
      <c r="L3241" s="74">
        <v>43520.0</v>
      </c>
      <c r="M3241" s="74">
        <f t="shared" si="2"/>
        <v>45000</v>
      </c>
      <c r="N3241" s="74">
        <f t="shared" si="3"/>
        <v>175000</v>
      </c>
      <c r="O3241" s="65" t="str">
        <f>VLOOKUP(E3241,DATABASE!C:Q,8,false)</f>
        <v>BIAN</v>
      </c>
      <c r="P3241" s="65">
        <f>VLOOKUP(E3241,DATABASE!C:Q,9,False)</f>
        <v>1</v>
      </c>
      <c r="Q3241" s="93" t="str">
        <f>VLOOKUP(E3241,DATABASE!C:Q,4,false)</f>
        <v>Flap</v>
      </c>
      <c r="R3241" s="93" t="str">
        <f>VLOOKUP(E3241,DATABASE!C:Q,11,false)</f>
        <v>Tire</v>
      </c>
    </row>
    <row r="3242" ht="22.5" customHeight="1">
      <c r="A3242" s="49"/>
      <c r="C3242" s="384">
        <v>45828.0</v>
      </c>
      <c r="D3242" s="65">
        <v>6160.0</v>
      </c>
      <c r="E3242" s="445" t="s">
        <v>814</v>
      </c>
      <c r="F3242" s="386">
        <v>5.0</v>
      </c>
      <c r="G3242" s="74">
        <v>70000.0</v>
      </c>
      <c r="H3242" s="74">
        <v>0.0</v>
      </c>
      <c r="I3242" s="74">
        <f t="shared" si="1"/>
        <v>350000</v>
      </c>
      <c r="J3242" s="74">
        <f>IF(E3242="SERVICE",I3242-(I3242*50%),Vlookup(E3242,DATABASE!C:Q,10,false)*F3242)</f>
        <v>0</v>
      </c>
      <c r="K3242" s="74">
        <f>VLOOKUP(E3242,DATABASE!C:Q,7,false)</f>
        <v>39440</v>
      </c>
      <c r="L3242" s="74">
        <v>39440.0</v>
      </c>
      <c r="M3242" s="74">
        <f t="shared" si="2"/>
        <v>40000</v>
      </c>
      <c r="N3242" s="74">
        <f t="shared" si="3"/>
        <v>150000</v>
      </c>
      <c r="O3242" s="65" t="str">
        <f>VLOOKUP(E3242,DATABASE!C:Q,8,false)</f>
        <v>BIAN</v>
      </c>
      <c r="P3242" s="65">
        <f>VLOOKUP(E3242,DATABASE!C:Q,9,False)</f>
        <v>1</v>
      </c>
      <c r="Q3242" s="93" t="str">
        <f>VLOOKUP(E3242,DATABASE!C:Q,4,false)</f>
        <v>Flap</v>
      </c>
      <c r="R3242" s="93" t="str">
        <f>VLOOKUP(E3242,DATABASE!C:Q,11,false)</f>
        <v>Tire</v>
      </c>
    </row>
    <row r="3243" ht="22.5" customHeight="1">
      <c r="A3243" s="49"/>
      <c r="C3243" s="384">
        <v>45828.0</v>
      </c>
      <c r="D3243" s="65">
        <v>6160.0</v>
      </c>
      <c r="E3243" s="445" t="s">
        <v>712</v>
      </c>
      <c r="F3243" s="386">
        <v>5.0</v>
      </c>
      <c r="G3243" s="74">
        <v>140000.0</v>
      </c>
      <c r="H3243" s="74">
        <v>0.0</v>
      </c>
      <c r="I3243" s="74">
        <f t="shared" si="1"/>
        <v>700000</v>
      </c>
      <c r="J3243" s="74">
        <f>IF(E3243="SERVICE",I3243-(I3243*50%),Vlookup(E3243,DATABASE!C:Q,10,false)*F3243)</f>
        <v>0</v>
      </c>
      <c r="K3243" s="74">
        <f>VLOOKUP(E3243,DATABASE!C:Q,7,false)</f>
        <v>120960</v>
      </c>
      <c r="L3243" s="74">
        <v>120960.0</v>
      </c>
      <c r="M3243" s="74">
        <f t="shared" si="2"/>
        <v>125000</v>
      </c>
      <c r="N3243" s="74">
        <f t="shared" si="3"/>
        <v>75000</v>
      </c>
      <c r="O3243" s="65" t="str">
        <f>VLOOKUP(E3243,DATABASE!C:Q,8,false)</f>
        <v>BIAN</v>
      </c>
      <c r="P3243" s="65">
        <f>VLOOKUP(E3243,DATABASE!C:Q,9,False)</f>
        <v>1</v>
      </c>
      <c r="Q3243" s="93" t="str">
        <f>VLOOKUP(E3243,DATABASE!C:Q,4,false)</f>
        <v>BD</v>
      </c>
      <c r="R3243" s="93" t="str">
        <f>VLOOKUP(E3243,DATABASE!C:Q,11,false)</f>
        <v>Tire</v>
      </c>
    </row>
    <row r="3244" ht="22.5" customHeight="1">
      <c r="A3244" s="49"/>
      <c r="C3244" s="384">
        <v>45828.0</v>
      </c>
      <c r="D3244" s="65">
        <v>6161.0</v>
      </c>
      <c r="E3244" s="445" t="s">
        <v>955</v>
      </c>
      <c r="F3244" s="386">
        <v>2.0</v>
      </c>
      <c r="G3244" s="74">
        <v>780000.0</v>
      </c>
      <c r="H3244" s="74">
        <v>0.0</v>
      </c>
      <c r="I3244" s="74">
        <f t="shared" si="1"/>
        <v>1560000</v>
      </c>
      <c r="J3244" s="74">
        <f>IF(E3244="SERVICE",I3244-(I3244*50%),Vlookup(E3244,DATABASE!C:Q,10,false)*F3244)</f>
        <v>0</v>
      </c>
      <c r="K3244" s="74">
        <f>VLOOKUP(E3244,DATABASE!C:Q,7,false)</f>
        <v>712000</v>
      </c>
      <c r="L3244" s="74">
        <v>674000.0</v>
      </c>
      <c r="M3244" s="74">
        <f t="shared" si="2"/>
        <v>675000</v>
      </c>
      <c r="N3244" s="74">
        <f t="shared" si="3"/>
        <v>210000</v>
      </c>
      <c r="O3244" s="65" t="str">
        <f>VLOOKUP(E3244,DATABASE!C:Q,8,false)</f>
        <v>IBU</v>
      </c>
      <c r="P3244" s="65">
        <f>VLOOKUP(E3244,DATABASE!C:Q,9,False)</f>
        <v>1</v>
      </c>
      <c r="Q3244" s="93" t="str">
        <f>VLOOKUP(E3244,DATABASE!C:Q,4,false)</f>
        <v>Dunlop</v>
      </c>
      <c r="R3244" s="93" t="str">
        <f>VLOOKUP(E3244,DATABASE!C:Q,11,false)</f>
        <v>Tire</v>
      </c>
    </row>
    <row r="3245" ht="22.5" customHeight="1">
      <c r="A3245" s="49"/>
      <c r="C3245" s="384">
        <v>45829.0</v>
      </c>
      <c r="D3245" s="65">
        <v>6162.0</v>
      </c>
      <c r="E3245" s="445" t="s">
        <v>791</v>
      </c>
      <c r="F3245" s="386">
        <v>2.0</v>
      </c>
      <c r="G3245" s="74">
        <v>1280000.0</v>
      </c>
      <c r="H3245" s="74">
        <v>0.0</v>
      </c>
      <c r="I3245" s="74">
        <f t="shared" si="1"/>
        <v>2560000</v>
      </c>
      <c r="J3245" s="74">
        <f>IF(E3245="SERVICE",I3245-(I3245*50%),Vlookup(E3245,DATABASE!C:Q,10,false)*F3245)</f>
        <v>0</v>
      </c>
      <c r="K3245" s="74">
        <f>VLOOKUP(E3245,DATABASE!C:Q,7,false)</f>
        <v>1210000</v>
      </c>
      <c r="L3245" s="74">
        <v>1180000.0</v>
      </c>
      <c r="M3245" s="74">
        <f t="shared" si="2"/>
        <v>1180000</v>
      </c>
      <c r="N3245" s="74">
        <f t="shared" si="3"/>
        <v>200000</v>
      </c>
      <c r="O3245" s="65" t="str">
        <f>VLOOKUP(E3245,DATABASE!C:Q,8,false)</f>
        <v>BIAN</v>
      </c>
      <c r="P3245" s="65">
        <f>VLOOKUP(E3245,DATABASE!C:Q,9,False)</f>
        <v>1</v>
      </c>
      <c r="Q3245" s="93" t="str">
        <f>VLOOKUP(E3245,DATABASE!C:Q,4,false)</f>
        <v>GT</v>
      </c>
      <c r="R3245" s="93" t="str">
        <f>VLOOKUP(E3245,DATABASE!C:Q,11,false)</f>
        <v>Tire</v>
      </c>
    </row>
    <row r="3246" ht="22.5" customHeight="1">
      <c r="A3246" s="49"/>
      <c r="C3246" s="384">
        <v>45829.0</v>
      </c>
      <c r="D3246" s="65">
        <v>6162.0</v>
      </c>
      <c r="E3246" s="445" t="s">
        <v>255</v>
      </c>
      <c r="F3246" s="386">
        <v>1.0</v>
      </c>
      <c r="G3246" s="74">
        <v>230000.0</v>
      </c>
      <c r="H3246" s="74">
        <v>0.0</v>
      </c>
      <c r="I3246" s="74">
        <f t="shared" si="1"/>
        <v>230000</v>
      </c>
      <c r="J3246" s="74">
        <f>IF(E3246="SERVICE",I3246-(I3246*50%),Vlookup(E3246,DATABASE!C:Q,10,false)*F3246)</f>
        <v>0</v>
      </c>
      <c r="K3246" s="74">
        <f>VLOOKUP(E3246,DATABASE!C:Q,7,false)</f>
        <v>161840</v>
      </c>
      <c r="L3246" s="74">
        <v>161840.0</v>
      </c>
      <c r="M3246" s="74">
        <f t="shared" si="2"/>
        <v>165000</v>
      </c>
      <c r="N3246" s="74">
        <f t="shared" si="3"/>
        <v>65000</v>
      </c>
      <c r="O3246" s="65" t="str">
        <f>VLOOKUP(E3246,DATABASE!C:Q,8,false)</f>
        <v>BIAN</v>
      </c>
      <c r="P3246" s="65">
        <f>VLOOKUP(E3246,DATABASE!C:Q,9,False)</f>
        <v>1</v>
      </c>
      <c r="Q3246" s="93" t="str">
        <f>VLOOKUP(E3246,DATABASE!C:Q,4,false)</f>
        <v>BD</v>
      </c>
      <c r="R3246" s="93" t="str">
        <f>VLOOKUP(E3246,DATABASE!C:Q,11,false)</f>
        <v>Tire</v>
      </c>
    </row>
    <row r="3247" ht="22.5" customHeight="1">
      <c r="A3247" s="49"/>
      <c r="C3247" s="384">
        <v>45829.0</v>
      </c>
      <c r="D3247" s="65">
        <v>6162.0</v>
      </c>
      <c r="E3247" s="445" t="s">
        <v>814</v>
      </c>
      <c r="F3247" s="386">
        <v>2.0</v>
      </c>
      <c r="G3247" s="74">
        <v>65000.0</v>
      </c>
      <c r="H3247" s="74">
        <v>0.0</v>
      </c>
      <c r="I3247" s="74">
        <f t="shared" si="1"/>
        <v>130000</v>
      </c>
      <c r="J3247" s="74">
        <f>IF(E3247="SERVICE",I3247-(I3247*50%),Vlookup(E3247,DATABASE!C:Q,10,false)*F3247)</f>
        <v>0</v>
      </c>
      <c r="K3247" s="74">
        <f>VLOOKUP(E3247,DATABASE!C:Q,7,false)</f>
        <v>39440</v>
      </c>
      <c r="L3247" s="74">
        <v>39440.0</v>
      </c>
      <c r="M3247" s="74">
        <f t="shared" si="2"/>
        <v>40000</v>
      </c>
      <c r="N3247" s="74">
        <f t="shared" si="3"/>
        <v>50000</v>
      </c>
      <c r="O3247" s="65" t="str">
        <f>VLOOKUP(E3247,DATABASE!C:Q,8,false)</f>
        <v>BIAN</v>
      </c>
      <c r="P3247" s="65">
        <f>VLOOKUP(E3247,DATABASE!C:Q,9,False)</f>
        <v>1</v>
      </c>
      <c r="Q3247" s="93" t="str">
        <f>VLOOKUP(E3247,DATABASE!C:Q,4,false)</f>
        <v>Flap</v>
      </c>
      <c r="R3247" s="93" t="str">
        <f>VLOOKUP(E3247,DATABASE!C:Q,11,false)</f>
        <v>Tire</v>
      </c>
    </row>
    <row r="3248" ht="22.5" customHeight="1">
      <c r="A3248" s="49"/>
      <c r="C3248" s="384">
        <v>45829.0</v>
      </c>
      <c r="D3248" s="65">
        <v>6163.0</v>
      </c>
      <c r="E3248" s="445" t="s">
        <v>288</v>
      </c>
      <c r="F3248" s="386">
        <v>2.0</v>
      </c>
      <c r="G3248" s="74">
        <v>620000.0</v>
      </c>
      <c r="H3248" s="74">
        <v>0.0</v>
      </c>
      <c r="I3248" s="74">
        <f t="shared" si="1"/>
        <v>1240000</v>
      </c>
      <c r="J3248" s="74">
        <f>IF(E3248="SERVICE",I3248-(I3248*50%),Vlookup(E3248,DATABASE!C:Q,10,false)*F3248)</f>
        <v>0</v>
      </c>
      <c r="K3248" s="74">
        <f>VLOOKUP(E3248,DATABASE!C:Q,7,false)</f>
        <v>565760</v>
      </c>
      <c r="L3248" s="74">
        <v>524800.0</v>
      </c>
      <c r="M3248" s="74">
        <f t="shared" si="2"/>
        <v>525000</v>
      </c>
      <c r="N3248" s="74">
        <f t="shared" si="3"/>
        <v>190000</v>
      </c>
      <c r="O3248" s="65" t="str">
        <f>VLOOKUP(E3248,DATABASE!C:Q,8,false)</f>
        <v>BIAN</v>
      </c>
      <c r="P3248" s="65">
        <f>VLOOKUP(E3248,DATABASE!C:Q,9,False)</f>
        <v>1</v>
      </c>
      <c r="Q3248" s="93" t="str">
        <f>VLOOKUP(E3248,DATABASE!C:Q,4,false)</f>
        <v>GT</v>
      </c>
      <c r="R3248" s="93" t="str">
        <f>VLOOKUP(E3248,DATABASE!C:Q,11,false)</f>
        <v>Tire</v>
      </c>
    </row>
    <row r="3249" ht="22.5" customHeight="1">
      <c r="A3249" s="49"/>
      <c r="C3249" s="384">
        <v>45829.0</v>
      </c>
      <c r="D3249" s="65">
        <v>6164.0</v>
      </c>
      <c r="E3249" s="445" t="s">
        <v>781</v>
      </c>
      <c r="F3249" s="386">
        <v>1.0</v>
      </c>
      <c r="G3249" s="74">
        <v>530000.0</v>
      </c>
      <c r="H3249" s="74">
        <v>0.0</v>
      </c>
      <c r="I3249" s="74">
        <f t="shared" si="1"/>
        <v>530000</v>
      </c>
      <c r="J3249" s="74">
        <f>IF(E3249="SERVICE",I3249-(I3249*50%),Vlookup(E3249,DATABASE!C:Q,10,false)*F3249)</f>
        <v>0</v>
      </c>
      <c r="K3249" s="74">
        <f>VLOOKUP(E3249,DATABASE!C:Q,7,false)</f>
        <v>470000</v>
      </c>
      <c r="L3249" s="74">
        <v>442500.0</v>
      </c>
      <c r="M3249" s="74">
        <f t="shared" si="2"/>
        <v>445000</v>
      </c>
      <c r="N3249" s="74">
        <f t="shared" si="3"/>
        <v>85000</v>
      </c>
      <c r="O3249" s="65" t="str">
        <f>VLOOKUP(E3249,DATABASE!C:Q,8,false)</f>
        <v>BIAN</v>
      </c>
      <c r="P3249" s="65">
        <f>VLOOKUP(E3249,DATABASE!C:Q,9,False)</f>
        <v>1</v>
      </c>
      <c r="Q3249" s="93" t="str">
        <f>VLOOKUP(E3249,DATABASE!C:Q,4,false)</f>
        <v>GT</v>
      </c>
      <c r="R3249" s="93" t="str">
        <f>VLOOKUP(E3249,DATABASE!C:Q,11,false)</f>
        <v>Tire</v>
      </c>
    </row>
    <row r="3250" ht="22.5" customHeight="1">
      <c r="A3250" s="49"/>
      <c r="C3250" s="384">
        <v>45829.0</v>
      </c>
      <c r="D3250" s="65">
        <v>6165.0</v>
      </c>
      <c r="E3250" s="445" t="s">
        <v>256</v>
      </c>
      <c r="F3250" s="386">
        <v>1.0</v>
      </c>
      <c r="G3250" s="74">
        <v>130000.0</v>
      </c>
      <c r="H3250" s="74">
        <v>0.0</v>
      </c>
      <c r="I3250" s="74">
        <f t="shared" si="1"/>
        <v>130000</v>
      </c>
      <c r="J3250" s="74">
        <f>IF(E3250="SERVICE",I3250-(I3250*50%),Vlookup(E3250,DATABASE!C:Q,10,false)*F3250)</f>
        <v>10000</v>
      </c>
      <c r="K3250" s="74">
        <f>VLOOKUP(E3250,DATABASE!C:Q,7,false)</f>
        <v>0</v>
      </c>
      <c r="L3250" s="74">
        <v>0.0</v>
      </c>
      <c r="M3250" s="74">
        <f t="shared" si="2"/>
        <v>0</v>
      </c>
      <c r="N3250" s="74">
        <f t="shared" si="3"/>
        <v>120000</v>
      </c>
      <c r="O3250" s="65" t="str">
        <f>VLOOKUP(E3250,DATABASE!C:Q,8,false)</f>
        <v>IBU</v>
      </c>
      <c r="P3250" s="65">
        <f>VLOOKUP(E3250,DATABASE!C:Q,9,False)</f>
        <v>0</v>
      </c>
      <c r="Q3250" s="93" t="str">
        <f>VLOOKUP(E3250,DATABASE!C:Q,4,false)</f>
        <v>SPOORING</v>
      </c>
      <c r="R3250" s="93" t="str">
        <f>VLOOKUP(E3250,DATABASE!C:Q,11,false)</f>
        <v>SERVICE</v>
      </c>
    </row>
    <row r="3251" ht="22.5" customHeight="1">
      <c r="A3251" s="49"/>
      <c r="C3251" s="384">
        <v>45829.0</v>
      </c>
      <c r="D3251" s="65">
        <v>6166.0</v>
      </c>
      <c r="E3251" s="445" t="s">
        <v>1097</v>
      </c>
      <c r="F3251" s="386">
        <v>1.0</v>
      </c>
      <c r="G3251" s="74">
        <v>910000.0</v>
      </c>
      <c r="H3251" s="74">
        <v>0.0</v>
      </c>
      <c r="I3251" s="74">
        <f t="shared" si="1"/>
        <v>910000</v>
      </c>
      <c r="J3251" s="74">
        <f>IF(E3251="SERVICE",I3251-(I3251*50%),Vlookup(E3251,DATABASE!C:Q,10,false)*F3251)</f>
        <v>0</v>
      </c>
      <c r="K3251" s="74">
        <f>VLOOKUP(E3251,DATABASE!C:Q,7,false)</f>
        <v>844838.5</v>
      </c>
      <c r="L3251" s="74">
        <v>808945.0</v>
      </c>
      <c r="M3251" s="74">
        <f t="shared" si="2"/>
        <v>810000</v>
      </c>
      <c r="N3251" s="74">
        <f t="shared" si="3"/>
        <v>100000</v>
      </c>
      <c r="O3251" s="65" t="str">
        <f>VLOOKUP(E3251,DATABASE!C:Q,8,false)</f>
        <v>IBU</v>
      </c>
      <c r="P3251" s="65">
        <f>VLOOKUP(E3251,DATABASE!C:Q,9,False)</f>
        <v>1</v>
      </c>
      <c r="Q3251" s="93" t="str">
        <f>VLOOKUP(E3251,DATABASE!C:Q,4,false)</f>
        <v>Bridgestone</v>
      </c>
      <c r="R3251" s="93" t="str">
        <f>VLOOKUP(E3251,DATABASE!C:Q,11,false)</f>
        <v>Tire</v>
      </c>
    </row>
    <row r="3252" ht="22.5" customHeight="1">
      <c r="A3252" s="49"/>
      <c r="C3252" s="384">
        <v>45829.0</v>
      </c>
      <c r="D3252" s="65">
        <v>6166.0</v>
      </c>
      <c r="E3252" s="385" t="s">
        <v>299</v>
      </c>
      <c r="F3252" s="386">
        <v>2.0</v>
      </c>
      <c r="G3252" s="74">
        <v>30000.0</v>
      </c>
      <c r="H3252" s="74">
        <v>0.0</v>
      </c>
      <c r="I3252" s="74">
        <f t="shared" si="1"/>
        <v>60000</v>
      </c>
      <c r="J3252" s="74">
        <f>IF(E3252="SERVICE",I3252-(I3252*50%),Vlookup(E3252,DATABASE!C:Q,10,false)*F3252)</f>
        <v>0</v>
      </c>
      <c r="K3252" s="74">
        <v>0.0</v>
      </c>
      <c r="L3252" s="74">
        <v>0.0</v>
      </c>
      <c r="M3252" s="74">
        <f t="shared" si="2"/>
        <v>0</v>
      </c>
      <c r="N3252" s="74">
        <f t="shared" si="3"/>
        <v>60000</v>
      </c>
      <c r="O3252" s="65" t="str">
        <f>VLOOKUP(E3252,DATABASE!C:Q,8,false)</f>
        <v>BIAN</v>
      </c>
      <c r="P3252" s="65">
        <f>VLOOKUP(E3252,DATABASE!C:Q,9,False)</f>
        <v>0</v>
      </c>
      <c r="Q3252" s="93" t="str">
        <f>VLOOKUP(E3252,DATABASE!C:Q,4,false)</f>
        <v>Balancing</v>
      </c>
      <c r="R3252" s="93" t="str">
        <f>VLOOKUP(E3252,DATABASE!C:Q,11,false)</f>
        <v>COMPLEMENTARY</v>
      </c>
    </row>
    <row r="3253" ht="22.5" customHeight="1">
      <c r="A3253" s="49"/>
      <c r="C3253" s="384">
        <v>45829.0</v>
      </c>
      <c r="D3253" s="65">
        <v>6167.0</v>
      </c>
      <c r="E3253" s="445" t="s">
        <v>265</v>
      </c>
      <c r="F3253" s="386">
        <v>2.0</v>
      </c>
      <c r="G3253" s="74">
        <v>700000.0</v>
      </c>
      <c r="H3253" s="74">
        <v>0.0</v>
      </c>
      <c r="I3253" s="74">
        <f t="shared" si="1"/>
        <v>1400000</v>
      </c>
      <c r="J3253" s="74">
        <f>IF(E3253="SERVICE",I3253-(I3253*50%),Vlookup(E3253,DATABASE!C:Q,10,false)*F3253)</f>
        <v>0</v>
      </c>
      <c r="K3253" s="74">
        <f>VLOOKUP(E3253,DATABASE!C:Q,7,false)</f>
        <v>628000</v>
      </c>
      <c r="L3253" s="74">
        <v>610000.0</v>
      </c>
      <c r="M3253" s="74">
        <f t="shared" si="2"/>
        <v>610000</v>
      </c>
      <c r="N3253" s="74">
        <f t="shared" si="3"/>
        <v>180000</v>
      </c>
      <c r="O3253" s="65" t="str">
        <f>VLOOKUP(E3253,DATABASE!C:Q,8,false)</f>
        <v>IBU</v>
      </c>
      <c r="P3253" s="65">
        <f>VLOOKUP(E3253,DATABASE!C:Q,9,False)</f>
        <v>1</v>
      </c>
      <c r="Q3253" s="93" t="str">
        <f>VLOOKUP(E3253,DATABASE!C:Q,4,false)</f>
        <v>Dunlop</v>
      </c>
      <c r="R3253" s="93" t="str">
        <f>VLOOKUP(E3253,DATABASE!C:Q,11,false)</f>
        <v>Tire</v>
      </c>
    </row>
    <row r="3254" ht="22.5" customHeight="1">
      <c r="A3254" s="49"/>
      <c r="C3254" s="384">
        <v>45829.0</v>
      </c>
      <c r="D3254" s="65">
        <v>6168.0</v>
      </c>
      <c r="E3254" s="445" t="s">
        <v>256</v>
      </c>
      <c r="F3254" s="386">
        <v>1.0</v>
      </c>
      <c r="G3254" s="74">
        <v>130000.0</v>
      </c>
      <c r="H3254" s="74">
        <v>0.0</v>
      </c>
      <c r="I3254" s="74">
        <f t="shared" si="1"/>
        <v>130000</v>
      </c>
      <c r="J3254" s="74">
        <f>IF(E3254="SERVICE",I3254-(I3254*50%),Vlookup(E3254,DATABASE!C:Q,10,false)*F3254)</f>
        <v>10000</v>
      </c>
      <c r="K3254" s="74">
        <f>VLOOKUP(E3254,DATABASE!C:Q,7,false)</f>
        <v>0</v>
      </c>
      <c r="L3254" s="74">
        <v>0.0</v>
      </c>
      <c r="M3254" s="74">
        <f t="shared" si="2"/>
        <v>0</v>
      </c>
      <c r="N3254" s="74">
        <f t="shared" si="3"/>
        <v>120000</v>
      </c>
      <c r="O3254" s="65" t="str">
        <f>VLOOKUP(E3254,DATABASE!C:Q,8,false)</f>
        <v>IBU</v>
      </c>
      <c r="P3254" s="65">
        <f>VLOOKUP(E3254,DATABASE!C:Q,9,False)</f>
        <v>0</v>
      </c>
      <c r="Q3254" s="93" t="str">
        <f>VLOOKUP(E3254,DATABASE!C:Q,4,false)</f>
        <v>SPOORING</v>
      </c>
      <c r="R3254" s="93" t="str">
        <f>VLOOKUP(E3254,DATABASE!C:Q,11,false)</f>
        <v>SERVICE</v>
      </c>
    </row>
    <row r="3255" ht="22.5" customHeight="1">
      <c r="A3255" s="49"/>
      <c r="C3255" s="384">
        <v>45829.0</v>
      </c>
      <c r="D3255" s="65">
        <v>6168.0</v>
      </c>
      <c r="E3255" s="445" t="s">
        <v>301</v>
      </c>
      <c r="F3255" s="386">
        <v>1.0</v>
      </c>
      <c r="G3255" s="74">
        <v>250000.0</v>
      </c>
      <c r="H3255" s="74">
        <v>0.0</v>
      </c>
      <c r="I3255" s="74">
        <f t="shared" si="1"/>
        <v>250000</v>
      </c>
      <c r="J3255" s="74">
        <f>IF(E3255="SERVICE",I3255-(I3255*50%),Vlookup(E3255,DATABASE!C:Q,10,false)*F3255)</f>
        <v>75000</v>
      </c>
      <c r="K3255" s="74">
        <f>VLOOKUP(E3255,DATABASE!C:Q,7,false)</f>
        <v>75000</v>
      </c>
      <c r="L3255" s="74">
        <v>75000.0</v>
      </c>
      <c r="M3255" s="74">
        <f t="shared" si="2"/>
        <v>75000</v>
      </c>
      <c r="N3255" s="74">
        <f t="shared" si="3"/>
        <v>100000</v>
      </c>
      <c r="O3255" s="65" t="str">
        <f>VLOOKUP(E3255,DATABASE!C:Q,8,false)</f>
        <v>BIAN</v>
      </c>
      <c r="P3255" s="65">
        <f>VLOOKUP(E3255,DATABASE!C:Q,9,False)</f>
        <v>0</v>
      </c>
      <c r="Q3255" s="93" t="str">
        <f>VLOOKUP(E3255,DATABASE!C:Q,4,false)</f>
        <v>Baut Camber</v>
      </c>
      <c r="R3255" s="93" t="str">
        <f>VLOOKUP(E3255,DATABASE!C:Q,11,false)</f>
        <v>COMPLEMENTARY</v>
      </c>
    </row>
    <row r="3256" ht="22.5" customHeight="1">
      <c r="A3256" s="49"/>
      <c r="C3256" s="384">
        <v>45829.0</v>
      </c>
      <c r="D3256" s="65">
        <v>6169.0</v>
      </c>
      <c r="E3256" s="445" t="s">
        <v>940</v>
      </c>
      <c r="F3256" s="386">
        <v>2.0</v>
      </c>
      <c r="G3256" s="74">
        <v>820000.0</v>
      </c>
      <c r="H3256" s="74">
        <v>0.0</v>
      </c>
      <c r="I3256" s="74">
        <f t="shared" si="1"/>
        <v>1640000</v>
      </c>
      <c r="J3256" s="74">
        <f>IF(E3256="SERVICE",I3256-(I3256*50%),Vlookup(E3256,DATABASE!C:Q,10,false)*F3256)</f>
        <v>0</v>
      </c>
      <c r="K3256" s="74">
        <f>VLOOKUP(E3256,DATABASE!C:Q,7,false)</f>
        <v>716500</v>
      </c>
      <c r="L3256" s="74">
        <v>709000.0</v>
      </c>
      <c r="M3256" s="74">
        <f t="shared" si="2"/>
        <v>710000</v>
      </c>
      <c r="N3256" s="74">
        <f t="shared" si="3"/>
        <v>220000</v>
      </c>
      <c r="O3256" s="65" t="str">
        <f>VLOOKUP(E3256,DATABASE!C:Q,8,false)</f>
        <v>IBU</v>
      </c>
      <c r="P3256" s="65">
        <f>VLOOKUP(E3256,DATABASE!C:Q,9,False)</f>
        <v>1</v>
      </c>
      <c r="Q3256" s="93" t="str">
        <f>VLOOKUP(E3256,DATABASE!C:Q,4,false)</f>
        <v>Dunlop</v>
      </c>
      <c r="R3256" s="93" t="str">
        <f>VLOOKUP(E3256,DATABASE!C:Q,11,false)</f>
        <v>Tire</v>
      </c>
    </row>
    <row r="3257" ht="22.5" customHeight="1">
      <c r="A3257" s="49"/>
      <c r="C3257" s="384">
        <v>45829.0</v>
      </c>
      <c r="D3257" s="65">
        <v>6170.0</v>
      </c>
      <c r="E3257" s="445" t="s">
        <v>1009</v>
      </c>
      <c r="F3257" s="386">
        <v>4.0</v>
      </c>
      <c r="G3257" s="74">
        <v>700000.0</v>
      </c>
      <c r="H3257" s="74">
        <v>0.0</v>
      </c>
      <c r="I3257" s="74">
        <f t="shared" si="1"/>
        <v>2800000</v>
      </c>
      <c r="J3257" s="74">
        <f>IF(E3257="SERVICE",I3257-(I3257*50%),Vlookup(E3257,DATABASE!C:Q,10,false)*F3257)</f>
        <v>0</v>
      </c>
      <c r="K3257" s="74">
        <f>VLOOKUP(E3257,DATABASE!C:Q,7,false)</f>
        <v>609800</v>
      </c>
      <c r="L3257" s="74">
        <v>592200.0</v>
      </c>
      <c r="M3257" s="74">
        <f t="shared" si="2"/>
        <v>595000</v>
      </c>
      <c r="N3257" s="74">
        <f t="shared" si="3"/>
        <v>420000</v>
      </c>
      <c r="O3257" s="65" t="str">
        <f>VLOOKUP(E3257,DATABASE!C:Q,8,false)</f>
        <v>BIAN</v>
      </c>
      <c r="P3257" s="65">
        <f>VLOOKUP(E3257,DATABASE!C:Q,9,False)</f>
        <v>1</v>
      </c>
      <c r="Q3257" s="93" t="str">
        <f>VLOOKUP(E3257,DATABASE!C:Q,4,false)</f>
        <v>GT</v>
      </c>
      <c r="R3257" s="93" t="str">
        <f>VLOOKUP(E3257,DATABASE!C:Q,11,false)</f>
        <v>Tire</v>
      </c>
    </row>
    <row r="3258" ht="22.5" customHeight="1">
      <c r="A3258" s="49"/>
      <c r="C3258" s="384">
        <v>45829.0</v>
      </c>
      <c r="D3258" s="65">
        <v>6171.0</v>
      </c>
      <c r="E3258" s="445" t="s">
        <v>275</v>
      </c>
      <c r="F3258" s="386">
        <v>2.0</v>
      </c>
      <c r="G3258" s="74">
        <v>850000.0</v>
      </c>
      <c r="H3258" s="74">
        <v>0.0</v>
      </c>
      <c r="I3258" s="74">
        <f t="shared" si="1"/>
        <v>1700000</v>
      </c>
      <c r="J3258" s="74">
        <f>IF(E3258="SERVICE",I3258-(I3258*50%),Vlookup(E3258,DATABASE!C:Q,10,false)*F3258)</f>
        <v>0</v>
      </c>
      <c r="K3258" s="74">
        <f>VLOOKUP(E3258,DATABASE!C:Q,7,false)</f>
        <v>782000</v>
      </c>
      <c r="L3258" s="74">
        <v>745000.0</v>
      </c>
      <c r="M3258" s="74">
        <f t="shared" si="2"/>
        <v>745000</v>
      </c>
      <c r="N3258" s="74">
        <f t="shared" si="3"/>
        <v>210000</v>
      </c>
      <c r="O3258" s="65" t="str">
        <f>VLOOKUP(E3258,DATABASE!C:Q,8,false)</f>
        <v>IBU</v>
      </c>
      <c r="P3258" s="65">
        <f>VLOOKUP(E3258,DATABASE!C:Q,9,False)</f>
        <v>1</v>
      </c>
      <c r="Q3258" s="93" t="str">
        <f>VLOOKUP(E3258,DATABASE!C:Q,4,false)</f>
        <v>Dunlop</v>
      </c>
      <c r="R3258" s="93" t="str">
        <f>VLOOKUP(E3258,DATABASE!C:Q,11,false)</f>
        <v>Tire</v>
      </c>
    </row>
    <row r="3259" ht="22.5" customHeight="1">
      <c r="A3259" s="49"/>
      <c r="C3259" s="384">
        <v>45829.0</v>
      </c>
      <c r="D3259" s="65">
        <v>6172.0</v>
      </c>
      <c r="E3259" s="445" t="s">
        <v>287</v>
      </c>
      <c r="F3259" s="386">
        <v>1.0</v>
      </c>
      <c r="G3259" s="74">
        <v>775000.0</v>
      </c>
      <c r="H3259" s="74">
        <v>0.0</v>
      </c>
      <c r="I3259" s="74">
        <f t="shared" si="1"/>
        <v>775000</v>
      </c>
      <c r="J3259" s="74">
        <f>IF(E3259="SERVICE",I3259-(I3259*50%),Vlookup(E3259,DATABASE!C:Q,10,false)*F3259)</f>
        <v>0</v>
      </c>
      <c r="K3259" s="74">
        <f>VLOOKUP(E3259,DATABASE!C:Q,7,false)</f>
        <v>711000</v>
      </c>
      <c r="L3259" s="74">
        <v>690600.0</v>
      </c>
      <c r="M3259" s="74">
        <f t="shared" si="2"/>
        <v>695000</v>
      </c>
      <c r="N3259" s="74">
        <f t="shared" si="3"/>
        <v>80000</v>
      </c>
      <c r="O3259" s="65" t="str">
        <f>VLOOKUP(E3259,DATABASE!C:Q,8,false)</f>
        <v>BIAN</v>
      </c>
      <c r="P3259" s="65">
        <f>VLOOKUP(E3259,DATABASE!C:Q,9,False)</f>
        <v>1</v>
      </c>
      <c r="Q3259" s="93" t="str">
        <f>VLOOKUP(E3259,DATABASE!C:Q,4,false)</f>
        <v>GT</v>
      </c>
      <c r="R3259" s="93" t="str">
        <f>VLOOKUP(E3259,DATABASE!C:Q,11,false)</f>
        <v>Tire</v>
      </c>
    </row>
    <row r="3260" ht="22.5" customHeight="1">
      <c r="A3260" s="49"/>
      <c r="C3260" s="384">
        <v>45830.0</v>
      </c>
      <c r="D3260" s="65">
        <v>6173.0</v>
      </c>
      <c r="E3260" s="445" t="s">
        <v>932</v>
      </c>
      <c r="F3260" s="386">
        <v>1.0</v>
      </c>
      <c r="G3260" s="74">
        <v>700000.0</v>
      </c>
      <c r="H3260" s="74">
        <v>0.0</v>
      </c>
      <c r="I3260" s="74">
        <f t="shared" si="1"/>
        <v>700000</v>
      </c>
      <c r="J3260" s="74">
        <f>IF(E3260="SERVICE",I3260-(I3260*50%),Vlookup(E3260,DATABASE!C:Q,10,false)*F3260)</f>
        <v>0</v>
      </c>
      <c r="K3260" s="74">
        <f>VLOOKUP(E3260,DATABASE!C:Q,7,false)</f>
        <v>601000</v>
      </c>
      <c r="L3260" s="74">
        <v>595000.0</v>
      </c>
      <c r="M3260" s="74">
        <f t="shared" si="2"/>
        <v>595000</v>
      </c>
      <c r="N3260" s="74">
        <f t="shared" si="3"/>
        <v>105000</v>
      </c>
      <c r="O3260" s="65" t="str">
        <f>VLOOKUP(E3260,DATABASE!C:Q,8,false)</f>
        <v>IBU</v>
      </c>
      <c r="P3260" s="65">
        <f>VLOOKUP(E3260,DATABASE!C:Q,9,False)</f>
        <v>1</v>
      </c>
      <c r="Q3260" s="93" t="str">
        <f>VLOOKUP(E3260,DATABASE!C:Q,4,false)</f>
        <v>Dunlop</v>
      </c>
      <c r="R3260" s="93" t="str">
        <f>VLOOKUP(E3260,DATABASE!C:Q,11,false)</f>
        <v>Tire</v>
      </c>
    </row>
    <row r="3261" ht="22.5" customHeight="1">
      <c r="A3261" s="49"/>
      <c r="C3261" s="384">
        <v>45830.0</v>
      </c>
      <c r="D3261" s="65">
        <v>6174.0</v>
      </c>
      <c r="E3261" s="445" t="s">
        <v>275</v>
      </c>
      <c r="F3261" s="386">
        <v>2.0</v>
      </c>
      <c r="G3261" s="74">
        <v>850000.0</v>
      </c>
      <c r="H3261" s="74">
        <v>0.0</v>
      </c>
      <c r="I3261" s="74">
        <f t="shared" si="1"/>
        <v>1700000</v>
      </c>
      <c r="J3261" s="74">
        <f>IF(E3261="SERVICE",I3261-(I3261*50%),Vlookup(E3261,DATABASE!C:Q,10,false)*F3261)</f>
        <v>0</v>
      </c>
      <c r="K3261" s="74">
        <f>VLOOKUP(E3261,DATABASE!C:Q,7,false)</f>
        <v>782000</v>
      </c>
      <c r="L3261" s="74">
        <v>745000.0</v>
      </c>
      <c r="M3261" s="74">
        <f t="shared" si="2"/>
        <v>745000</v>
      </c>
      <c r="N3261" s="74">
        <f t="shared" si="3"/>
        <v>210000</v>
      </c>
      <c r="O3261" s="65" t="str">
        <f>VLOOKUP(E3261,DATABASE!C:Q,8,false)</f>
        <v>IBU</v>
      </c>
      <c r="P3261" s="65">
        <f>VLOOKUP(E3261,DATABASE!C:Q,9,False)</f>
        <v>1</v>
      </c>
      <c r="Q3261" s="93" t="str">
        <f>VLOOKUP(E3261,DATABASE!C:Q,4,false)</f>
        <v>Dunlop</v>
      </c>
      <c r="R3261" s="93" t="str">
        <f>VLOOKUP(E3261,DATABASE!C:Q,11,false)</f>
        <v>Tire</v>
      </c>
    </row>
    <row r="3262" ht="22.5" customHeight="1">
      <c r="A3262" s="49"/>
      <c r="C3262" s="384">
        <v>45830.0</v>
      </c>
      <c r="D3262" s="65">
        <v>6175.0</v>
      </c>
      <c r="E3262" s="445" t="s">
        <v>2050</v>
      </c>
      <c r="F3262" s="386">
        <v>2.0</v>
      </c>
      <c r="G3262" s="74">
        <v>585000.0</v>
      </c>
      <c r="H3262" s="74">
        <v>0.0</v>
      </c>
      <c r="I3262" s="74">
        <f t="shared" si="1"/>
        <v>1170000</v>
      </c>
      <c r="J3262" s="74">
        <f>IF(E3262="SERVICE",I3262-(I3262*50%),Vlookup(E3262,DATABASE!C:Q,10,false)*F3262)</f>
        <v>0</v>
      </c>
      <c r="K3262" s="74">
        <f>VLOOKUP(E3262,DATABASE!C:Q,7,false)</f>
        <v>506000</v>
      </c>
      <c r="L3262" s="74">
        <v>506000.0</v>
      </c>
      <c r="M3262" s="74">
        <f t="shared" si="2"/>
        <v>510000</v>
      </c>
      <c r="N3262" s="74">
        <f t="shared" si="3"/>
        <v>150000</v>
      </c>
      <c r="O3262" s="65" t="str">
        <f>VLOOKUP(E3262,DATABASE!C:Q,8,false)</f>
        <v>BIAN</v>
      </c>
      <c r="P3262" s="65">
        <f>VLOOKUP(E3262,DATABASE!C:Q,9,False)</f>
        <v>1</v>
      </c>
      <c r="Q3262" s="93" t="str">
        <f>VLOOKUP(E3262,DATABASE!C:Q,4,false)</f>
        <v>HANKOOK</v>
      </c>
      <c r="R3262" s="93" t="str">
        <f>VLOOKUP(E3262,DATABASE!C:Q,11,false)</f>
        <v>Tire</v>
      </c>
    </row>
    <row r="3263" ht="22.5" customHeight="1">
      <c r="A3263" s="49"/>
      <c r="C3263" s="384">
        <v>45830.0</v>
      </c>
      <c r="D3263" s="65">
        <v>6176.0</v>
      </c>
      <c r="E3263" s="445" t="s">
        <v>932</v>
      </c>
      <c r="F3263" s="386">
        <v>1.0</v>
      </c>
      <c r="G3263" s="74">
        <v>700000.0</v>
      </c>
      <c r="H3263" s="74">
        <v>0.0</v>
      </c>
      <c r="I3263" s="74">
        <f t="shared" si="1"/>
        <v>700000</v>
      </c>
      <c r="J3263" s="74">
        <f>IF(E3263="SERVICE",I3263-(I3263*50%),Vlookup(E3263,DATABASE!C:Q,10,false)*F3263)</f>
        <v>0</v>
      </c>
      <c r="K3263" s="74">
        <f>VLOOKUP(E3263,DATABASE!C:Q,7,false)</f>
        <v>601000</v>
      </c>
      <c r="L3263" s="74">
        <v>595000.0</v>
      </c>
      <c r="M3263" s="74">
        <f t="shared" si="2"/>
        <v>595000</v>
      </c>
      <c r="N3263" s="74">
        <f t="shared" si="3"/>
        <v>105000</v>
      </c>
      <c r="O3263" s="65" t="str">
        <f>VLOOKUP(E3263,DATABASE!C:Q,8,false)</f>
        <v>IBU</v>
      </c>
      <c r="P3263" s="65">
        <f>VLOOKUP(E3263,DATABASE!C:Q,9,False)</f>
        <v>1</v>
      </c>
      <c r="Q3263" s="93" t="str">
        <f>VLOOKUP(E3263,DATABASE!C:Q,4,false)</f>
        <v>Dunlop</v>
      </c>
      <c r="R3263" s="93" t="str">
        <f>VLOOKUP(E3263,DATABASE!C:Q,11,false)</f>
        <v>Tire</v>
      </c>
    </row>
    <row r="3264" ht="22.5" customHeight="1">
      <c r="A3264" s="49"/>
      <c r="C3264" s="384">
        <v>45830.0</v>
      </c>
      <c r="D3264" s="65">
        <v>6177.0</v>
      </c>
      <c r="E3264" s="445" t="s">
        <v>569</v>
      </c>
      <c r="F3264" s="386">
        <v>1.0</v>
      </c>
      <c r="G3264" s="74">
        <v>80000.0</v>
      </c>
      <c r="H3264" s="74">
        <v>0.0</v>
      </c>
      <c r="I3264" s="74">
        <f t="shared" si="1"/>
        <v>80000</v>
      </c>
      <c r="J3264" s="74">
        <f>IF(E3264="SERVICE",I3264-(I3264*50%),Vlookup(E3264,DATABASE!C:Q,10,false)*F3264)</f>
        <v>0</v>
      </c>
      <c r="K3264" s="74">
        <f>VLOOKUP(E3264,DATABASE!C:Q,7,false)</f>
        <v>45439.582</v>
      </c>
      <c r="L3264" s="74">
        <v>45309.6</v>
      </c>
      <c r="M3264" s="74">
        <f t="shared" si="2"/>
        <v>50000</v>
      </c>
      <c r="N3264" s="74">
        <f t="shared" si="3"/>
        <v>30000</v>
      </c>
      <c r="O3264" s="65" t="str">
        <f>VLOOKUP(E3264,DATABASE!C:Q,8,false)</f>
        <v>BIAN</v>
      </c>
      <c r="P3264" s="65">
        <f>VLOOKUP(E3264,DATABASE!C:Q,9,False)</f>
        <v>1</v>
      </c>
      <c r="Q3264" s="93" t="str">
        <f>VLOOKUP(E3264,DATABASE!C:Q,4,false)</f>
        <v>BD</v>
      </c>
      <c r="R3264" s="93" t="str">
        <f>VLOOKUP(E3264,DATABASE!C:Q,11,false)</f>
        <v>Tire</v>
      </c>
    </row>
    <row r="3265" ht="22.5" customHeight="1">
      <c r="A3265" s="49"/>
      <c r="C3265" s="384">
        <v>45830.0</v>
      </c>
      <c r="D3265" s="65">
        <v>6178.0</v>
      </c>
      <c r="E3265" s="445" t="s">
        <v>613</v>
      </c>
      <c r="F3265" s="386">
        <v>1.0</v>
      </c>
      <c r="G3265" s="74">
        <v>95000.0</v>
      </c>
      <c r="H3265" s="74">
        <v>0.0</v>
      </c>
      <c r="I3265" s="74">
        <f t="shared" si="1"/>
        <v>95000</v>
      </c>
      <c r="J3265" s="74">
        <f>IF(E3265="SERVICE",I3265-(I3265*50%),Vlookup(E3265,DATABASE!C:Q,10,false)*F3265)</f>
        <v>0</v>
      </c>
      <c r="K3265" s="74">
        <f>VLOOKUP(E3265,DATABASE!C:Q,7,false)</f>
        <v>58371.2695</v>
      </c>
      <c r="L3265" s="74">
        <v>55000.0</v>
      </c>
      <c r="M3265" s="74">
        <f t="shared" si="2"/>
        <v>55000</v>
      </c>
      <c r="N3265" s="74">
        <f t="shared" si="3"/>
        <v>40000</v>
      </c>
      <c r="O3265" s="65" t="str">
        <f>VLOOKUP(E3265,DATABASE!C:Q,8,false)</f>
        <v>BIAN</v>
      </c>
      <c r="P3265" s="65">
        <f>VLOOKUP(E3265,DATABASE!C:Q,9,False)</f>
        <v>1</v>
      </c>
      <c r="Q3265" s="93" t="str">
        <f>VLOOKUP(E3265,DATABASE!C:Q,4,false)</f>
        <v>BD</v>
      </c>
      <c r="R3265" s="93" t="str">
        <f>VLOOKUP(E3265,DATABASE!C:Q,11,false)</f>
        <v>Tire</v>
      </c>
    </row>
    <row r="3266" ht="22.5" customHeight="1">
      <c r="A3266" s="49"/>
      <c r="C3266" s="384">
        <v>45831.0</v>
      </c>
      <c r="D3266" s="65">
        <v>6182.0</v>
      </c>
      <c r="E3266" s="445" t="s">
        <v>1617</v>
      </c>
      <c r="F3266" s="386">
        <v>2.0</v>
      </c>
      <c r="G3266" s="74">
        <v>850000.0</v>
      </c>
      <c r="H3266" s="74">
        <v>0.0</v>
      </c>
      <c r="I3266" s="74">
        <f t="shared" si="1"/>
        <v>1700000</v>
      </c>
      <c r="J3266" s="74">
        <f>IF(E3266="SERVICE",I3266-(I3266*50%),Vlookup(E3266,DATABASE!C:Q,10,false)*F3266)</f>
        <v>0</v>
      </c>
      <c r="K3266" s="74">
        <f>VLOOKUP(E3266,DATABASE!C:Q,7,false)</f>
        <v>739000</v>
      </c>
      <c r="L3266" s="74">
        <v>739000.0</v>
      </c>
      <c r="M3266" s="74">
        <f t="shared" si="2"/>
        <v>740000</v>
      </c>
      <c r="N3266" s="74">
        <f t="shared" si="3"/>
        <v>220000</v>
      </c>
      <c r="O3266" s="65" t="str">
        <f>VLOOKUP(E3266,DATABASE!C:Q,8,false)</f>
        <v>BIAN</v>
      </c>
      <c r="P3266" s="65">
        <f>VLOOKUP(E3266,DATABASE!C:Q,9,False)</f>
        <v>1</v>
      </c>
      <c r="Q3266" s="93" t="str">
        <f>VLOOKUP(E3266,DATABASE!C:Q,4,false)</f>
        <v>GT</v>
      </c>
      <c r="R3266" s="93" t="str">
        <f>VLOOKUP(E3266,DATABASE!C:Q,11,false)</f>
        <v>Tire</v>
      </c>
    </row>
    <row r="3267" ht="22.5" customHeight="1">
      <c r="A3267" s="49"/>
      <c r="C3267" s="384">
        <v>45831.0</v>
      </c>
      <c r="D3267" s="65">
        <v>6182.0</v>
      </c>
      <c r="E3267" s="385" t="s">
        <v>299</v>
      </c>
      <c r="F3267" s="386">
        <v>2.0</v>
      </c>
      <c r="G3267" s="74">
        <v>30000.0</v>
      </c>
      <c r="H3267" s="74">
        <v>0.0</v>
      </c>
      <c r="I3267" s="74">
        <f t="shared" si="1"/>
        <v>60000</v>
      </c>
      <c r="J3267" s="74">
        <f>IF(E3267="SERVICE",I3267-(I3267*50%),Vlookup(E3267,DATABASE!C:Q,10,false)*F3267)</f>
        <v>0</v>
      </c>
      <c r="K3267" s="74">
        <v>0.0</v>
      </c>
      <c r="L3267" s="74">
        <v>0.0</v>
      </c>
      <c r="M3267" s="74">
        <f t="shared" si="2"/>
        <v>0</v>
      </c>
      <c r="N3267" s="74">
        <f t="shared" si="3"/>
        <v>60000</v>
      </c>
      <c r="O3267" s="65" t="str">
        <f>VLOOKUP(E3267,DATABASE!C:Q,8,false)</f>
        <v>BIAN</v>
      </c>
      <c r="P3267" s="65">
        <f>VLOOKUP(E3267,DATABASE!C:Q,9,False)</f>
        <v>0</v>
      </c>
      <c r="Q3267" s="93" t="str">
        <f>VLOOKUP(E3267,DATABASE!C:Q,4,false)</f>
        <v>Balancing</v>
      </c>
      <c r="R3267" s="93" t="str">
        <f>VLOOKUP(E3267,DATABASE!C:Q,11,false)</f>
        <v>COMPLEMENTARY</v>
      </c>
    </row>
    <row r="3268" ht="22.5" customHeight="1">
      <c r="A3268" s="49"/>
      <c r="C3268" s="384">
        <v>45831.0</v>
      </c>
      <c r="D3268" s="65">
        <v>6182.0</v>
      </c>
      <c r="E3268" s="445" t="s">
        <v>256</v>
      </c>
      <c r="F3268" s="386">
        <v>1.0</v>
      </c>
      <c r="G3268" s="74">
        <v>130000.0</v>
      </c>
      <c r="H3268" s="74">
        <v>0.0</v>
      </c>
      <c r="I3268" s="74">
        <f t="shared" si="1"/>
        <v>130000</v>
      </c>
      <c r="J3268" s="74">
        <f>IF(E3268="SERVICE",I3268-(I3268*50%),Vlookup(E3268,DATABASE!C:Q,10,false)*F3268)</f>
        <v>10000</v>
      </c>
      <c r="K3268" s="74">
        <f>VLOOKUP(E3268,DATABASE!C:Q,7,false)</f>
        <v>0</v>
      </c>
      <c r="L3268" s="74">
        <v>0.0</v>
      </c>
      <c r="M3268" s="74">
        <f t="shared" si="2"/>
        <v>0</v>
      </c>
      <c r="N3268" s="74">
        <f t="shared" si="3"/>
        <v>120000</v>
      </c>
      <c r="O3268" s="65" t="str">
        <f>VLOOKUP(E3268,DATABASE!C:Q,8,false)</f>
        <v>IBU</v>
      </c>
      <c r="P3268" s="65">
        <f>VLOOKUP(E3268,DATABASE!C:Q,9,False)</f>
        <v>0</v>
      </c>
      <c r="Q3268" s="93" t="str">
        <f>VLOOKUP(E3268,DATABASE!C:Q,4,false)</f>
        <v>SPOORING</v>
      </c>
      <c r="R3268" s="93" t="str">
        <f>VLOOKUP(E3268,DATABASE!C:Q,11,false)</f>
        <v>SERVICE</v>
      </c>
    </row>
    <row r="3269" ht="22.5" customHeight="1">
      <c r="A3269" s="49"/>
      <c r="C3269" s="384">
        <v>45831.0</v>
      </c>
      <c r="D3269" s="65">
        <v>6182.0</v>
      </c>
      <c r="E3269" s="445" t="s">
        <v>251</v>
      </c>
      <c r="F3269" s="386">
        <v>1.0</v>
      </c>
      <c r="G3269" s="74">
        <v>150000.0</v>
      </c>
      <c r="H3269" s="74">
        <v>0.0</v>
      </c>
      <c r="I3269" s="74">
        <f t="shared" si="1"/>
        <v>150000</v>
      </c>
      <c r="J3269" s="74">
        <f>IF(E3269="SERVICE",I3269-(I3269*50%),Vlookup(E3269,DATABASE!C:Q,10,false)*F3269)</f>
        <v>75000</v>
      </c>
      <c r="K3269" s="74">
        <f>VLOOKUP(E3269,DATABASE!C:Q,7,false)</f>
        <v>0</v>
      </c>
      <c r="L3269" s="74">
        <v>0.0</v>
      </c>
      <c r="M3269" s="74">
        <f t="shared" si="2"/>
        <v>0</v>
      </c>
      <c r="N3269" s="74">
        <f t="shared" si="3"/>
        <v>75000</v>
      </c>
      <c r="O3269" s="65" t="str">
        <f>VLOOKUP(E3269,DATABASE!C:Q,8,false)</f>
        <v>IBU</v>
      </c>
      <c r="P3269" s="65">
        <f>VLOOKUP(E3269,DATABASE!C:Q,9,False)</f>
        <v>0</v>
      </c>
      <c r="Q3269" s="93" t="str">
        <f>VLOOKUP(E3269,DATABASE!C:Q,4,false)</f>
        <v>SERVICE</v>
      </c>
      <c r="R3269" s="93" t="str">
        <f>VLOOKUP(E3269,DATABASE!C:Q,11,false)</f>
        <v>SERVICE</v>
      </c>
    </row>
    <row r="3270" ht="22.5" customHeight="1">
      <c r="A3270" s="49"/>
      <c r="C3270" s="384">
        <v>45831.0</v>
      </c>
      <c r="D3270" s="65">
        <v>6184.0</v>
      </c>
      <c r="E3270" s="445" t="s">
        <v>286</v>
      </c>
      <c r="F3270" s="386">
        <v>14.0</v>
      </c>
      <c r="G3270" s="74">
        <v>550000.0</v>
      </c>
      <c r="H3270" s="74">
        <v>0.0</v>
      </c>
      <c r="I3270" s="74">
        <f t="shared" si="1"/>
        <v>7700000</v>
      </c>
      <c r="J3270" s="74">
        <f>IF(E3270="SERVICE",I3270-(I3270*50%),Vlookup(E3270,DATABASE!C:Q,10,false)*F3270)</f>
        <v>0</v>
      </c>
      <c r="K3270" s="74">
        <f>VLOOKUP(E3270,DATABASE!C:Q,7,false)</f>
        <v>488320</v>
      </c>
      <c r="L3270" s="74">
        <v>452970.0</v>
      </c>
      <c r="M3270" s="74">
        <f t="shared" si="2"/>
        <v>455000</v>
      </c>
      <c r="N3270" s="74">
        <f t="shared" si="3"/>
        <v>1330000</v>
      </c>
      <c r="O3270" s="65" t="str">
        <f>VLOOKUP(E3270,DATABASE!C:Q,8,false)</f>
        <v>BIAN</v>
      </c>
      <c r="P3270" s="65">
        <f>VLOOKUP(E3270,DATABASE!C:Q,9,False)</f>
        <v>1</v>
      </c>
      <c r="Q3270" s="93" t="str">
        <f>VLOOKUP(E3270,DATABASE!C:Q,4,false)</f>
        <v>GT</v>
      </c>
      <c r="R3270" s="93" t="str">
        <f>VLOOKUP(E3270,DATABASE!C:Q,11,false)</f>
        <v>Tire</v>
      </c>
    </row>
    <row r="3271" ht="22.5" customHeight="1">
      <c r="A3271" s="49"/>
      <c r="C3271" s="384">
        <v>45831.0</v>
      </c>
      <c r="D3271" s="65">
        <v>6184.0</v>
      </c>
      <c r="E3271" s="445" t="s">
        <v>627</v>
      </c>
      <c r="F3271" s="386">
        <v>2.0</v>
      </c>
      <c r="G3271" s="74">
        <v>985000.0</v>
      </c>
      <c r="H3271" s="74">
        <v>0.0</v>
      </c>
      <c r="I3271" s="74">
        <f t="shared" si="1"/>
        <v>1970000</v>
      </c>
      <c r="J3271" s="74">
        <f>IF(E3271="SERVICE",I3271-(I3271*50%),Vlookup(E3271,DATABASE!C:Q,10,false)*F3271)</f>
        <v>0</v>
      </c>
      <c r="K3271" s="74">
        <f>VLOOKUP(E3271,DATABASE!C:Q,7,false)</f>
        <v>879567</v>
      </c>
      <c r="L3271" s="74">
        <v>884979.0</v>
      </c>
      <c r="M3271" s="74">
        <f t="shared" si="2"/>
        <v>885000</v>
      </c>
      <c r="N3271" s="74">
        <f t="shared" si="3"/>
        <v>200000</v>
      </c>
      <c r="O3271" s="65" t="str">
        <f>VLOOKUP(E3271,DATABASE!C:Q,8,false)</f>
        <v>IBU</v>
      </c>
      <c r="P3271" s="65">
        <f>VLOOKUP(E3271,DATABASE!C:Q,9,False)</f>
        <v>1</v>
      </c>
      <c r="Q3271" s="93" t="str">
        <f>VLOOKUP(E3271,DATABASE!C:Q,4,false)</f>
        <v>Bridgestone</v>
      </c>
      <c r="R3271" s="93" t="str">
        <f>VLOOKUP(E3271,DATABASE!C:Q,11,false)</f>
        <v>Tire</v>
      </c>
    </row>
    <row r="3272" ht="22.5" customHeight="1">
      <c r="A3272" s="49"/>
      <c r="C3272" s="384">
        <v>45831.0</v>
      </c>
      <c r="D3272" s="65">
        <v>6185.0</v>
      </c>
      <c r="E3272" s="445" t="s">
        <v>256</v>
      </c>
      <c r="F3272" s="386">
        <v>1.0</v>
      </c>
      <c r="G3272" s="74">
        <v>130000.0</v>
      </c>
      <c r="H3272" s="74">
        <v>0.0</v>
      </c>
      <c r="I3272" s="74">
        <f t="shared" si="1"/>
        <v>130000</v>
      </c>
      <c r="J3272" s="74">
        <f>IF(E3272="SERVICE",I3272-(I3272*50%),Vlookup(E3272,DATABASE!C:Q,10,false)*F3272)</f>
        <v>10000</v>
      </c>
      <c r="K3272" s="74">
        <f>VLOOKUP(E3272,DATABASE!C:Q,7,false)</f>
        <v>0</v>
      </c>
      <c r="L3272" s="74">
        <v>0.0</v>
      </c>
      <c r="M3272" s="74">
        <f t="shared" si="2"/>
        <v>0</v>
      </c>
      <c r="N3272" s="74">
        <f t="shared" si="3"/>
        <v>120000</v>
      </c>
      <c r="O3272" s="65" t="str">
        <f>VLOOKUP(E3272,DATABASE!C:Q,8,false)</f>
        <v>IBU</v>
      </c>
      <c r="P3272" s="65">
        <f>VLOOKUP(E3272,DATABASE!C:Q,9,False)</f>
        <v>0</v>
      </c>
      <c r="Q3272" s="93" t="str">
        <f>VLOOKUP(E3272,DATABASE!C:Q,4,false)</f>
        <v>SPOORING</v>
      </c>
      <c r="R3272" s="93" t="str">
        <f>VLOOKUP(E3272,DATABASE!C:Q,11,false)</f>
        <v>SERVICE</v>
      </c>
    </row>
    <row r="3273" ht="22.5" customHeight="1">
      <c r="A3273" s="49"/>
      <c r="C3273" s="384">
        <v>45831.0</v>
      </c>
      <c r="D3273" s="65">
        <v>6186.0</v>
      </c>
      <c r="E3273" s="445" t="s">
        <v>781</v>
      </c>
      <c r="F3273" s="386">
        <v>2.0</v>
      </c>
      <c r="G3273" s="74">
        <v>530000.0</v>
      </c>
      <c r="H3273" s="74">
        <v>0.0</v>
      </c>
      <c r="I3273" s="74">
        <f t="shared" si="1"/>
        <v>1060000</v>
      </c>
      <c r="J3273" s="74">
        <f>IF(E3273="SERVICE",I3273-(I3273*50%),Vlookup(E3273,DATABASE!C:Q,10,false)*F3273)</f>
        <v>0</v>
      </c>
      <c r="K3273" s="74">
        <f>VLOOKUP(E3273,DATABASE!C:Q,7,false)</f>
        <v>470000</v>
      </c>
      <c r="L3273" s="74">
        <v>442500.0</v>
      </c>
      <c r="M3273" s="74">
        <f t="shared" si="2"/>
        <v>445000</v>
      </c>
      <c r="N3273" s="74">
        <f t="shared" si="3"/>
        <v>170000</v>
      </c>
      <c r="O3273" s="65" t="str">
        <f>VLOOKUP(E3273,DATABASE!C:Q,8,false)</f>
        <v>BIAN</v>
      </c>
      <c r="P3273" s="65">
        <f>VLOOKUP(E3273,DATABASE!C:Q,9,False)</f>
        <v>1</v>
      </c>
      <c r="Q3273" s="93" t="str">
        <f>VLOOKUP(E3273,DATABASE!C:Q,4,false)</f>
        <v>GT</v>
      </c>
      <c r="R3273" s="93" t="str">
        <f>VLOOKUP(E3273,DATABASE!C:Q,11,false)</f>
        <v>Tire</v>
      </c>
    </row>
    <row r="3274" ht="22.5" customHeight="1">
      <c r="A3274" s="49"/>
      <c r="C3274" s="384">
        <v>45831.0</v>
      </c>
      <c r="D3274" s="65">
        <v>6189.0</v>
      </c>
      <c r="E3274" s="445" t="s">
        <v>604</v>
      </c>
      <c r="F3274" s="386">
        <v>1.0</v>
      </c>
      <c r="G3274" s="74">
        <v>160000.0</v>
      </c>
      <c r="H3274" s="74">
        <v>0.0</v>
      </c>
      <c r="I3274" s="74">
        <f t="shared" si="1"/>
        <v>160000</v>
      </c>
      <c r="J3274" s="74">
        <f>IF(E3274="SERVICE",I3274-(I3274*50%),Vlookup(E3274,DATABASE!C:Q,10,false)*F3274)</f>
        <v>0</v>
      </c>
      <c r="K3274" s="74">
        <f>VLOOKUP(E3274,DATABASE!C:Q,7,false)</f>
        <v>124000</v>
      </c>
      <c r="L3274" s="74">
        <v>124000.0</v>
      </c>
      <c r="M3274" s="74">
        <f t="shared" si="2"/>
        <v>125000</v>
      </c>
      <c r="N3274" s="74">
        <f t="shared" si="3"/>
        <v>35000</v>
      </c>
      <c r="O3274" s="65" t="str">
        <f>VLOOKUP(E3274,DATABASE!C:Q,8,false)</f>
        <v>BIAN</v>
      </c>
      <c r="P3274" s="65">
        <f>VLOOKUP(E3274,DATABASE!C:Q,9,False)</f>
        <v>1</v>
      </c>
      <c r="Q3274" s="93" t="str">
        <f>VLOOKUP(E3274,DATABASE!C:Q,4,false)</f>
        <v>BD</v>
      </c>
      <c r="R3274" s="93" t="str">
        <f>VLOOKUP(E3274,DATABASE!C:Q,11,false)</f>
        <v>Tire</v>
      </c>
    </row>
    <row r="3275" ht="22.5" customHeight="1">
      <c r="A3275" s="49"/>
      <c r="C3275" s="384">
        <v>45831.0</v>
      </c>
      <c r="D3275" s="65">
        <v>6191.0</v>
      </c>
      <c r="E3275" s="445" t="s">
        <v>1439</v>
      </c>
      <c r="F3275" s="386">
        <v>4.0</v>
      </c>
      <c r="G3275" s="74">
        <v>630000.0</v>
      </c>
      <c r="H3275" s="74">
        <v>0.0</v>
      </c>
      <c r="I3275" s="74">
        <f t="shared" si="1"/>
        <v>2520000</v>
      </c>
      <c r="J3275" s="74">
        <f>IF(E3275="SERVICE",I3275-(I3275*50%),Vlookup(E3275,DATABASE!C:Q,10,false)*F3275)</f>
        <v>0</v>
      </c>
      <c r="K3275" s="74">
        <f>VLOOKUP(E3275,DATABASE!C:Q,7,false)</f>
        <v>556800</v>
      </c>
      <c r="L3275" s="74">
        <v>540800.0</v>
      </c>
      <c r="M3275" s="74">
        <f t="shared" si="2"/>
        <v>545000</v>
      </c>
      <c r="N3275" s="74">
        <f t="shared" si="3"/>
        <v>340000</v>
      </c>
      <c r="O3275" s="65" t="str">
        <f>VLOOKUP(E3275,DATABASE!C:Q,8,false)</f>
        <v>BIAN</v>
      </c>
      <c r="P3275" s="65">
        <f>VLOOKUP(E3275,DATABASE!C:Q,9,False)</f>
        <v>1</v>
      </c>
      <c r="Q3275" s="93" t="str">
        <f>VLOOKUP(E3275,DATABASE!C:Q,4,false)</f>
        <v>GT</v>
      </c>
      <c r="R3275" s="93" t="str">
        <f>VLOOKUP(E3275,DATABASE!C:Q,11,false)</f>
        <v>Tire</v>
      </c>
    </row>
    <row r="3276" ht="22.5" customHeight="1">
      <c r="A3276" s="49"/>
      <c r="C3276" s="384">
        <v>45831.0</v>
      </c>
      <c r="D3276" s="65">
        <v>6192.0</v>
      </c>
      <c r="E3276" s="445" t="s">
        <v>591</v>
      </c>
      <c r="F3276" s="386">
        <v>4.0</v>
      </c>
      <c r="G3276" s="74">
        <v>700000.0</v>
      </c>
      <c r="H3276" s="74">
        <v>0.0</v>
      </c>
      <c r="I3276" s="74">
        <f t="shared" si="1"/>
        <v>2800000</v>
      </c>
      <c r="J3276" s="74">
        <f>IF(E3276="SERVICE",I3276-(I3276*50%),Vlookup(E3276,DATABASE!C:Q,10,false)*F3276)</f>
        <v>0</v>
      </c>
      <c r="K3276" s="74">
        <f>VLOOKUP(E3276,DATABASE!C:Q,7,false)</f>
        <v>633035.16</v>
      </c>
      <c r="L3276" s="74">
        <v>593488.4</v>
      </c>
      <c r="M3276" s="74">
        <f t="shared" si="2"/>
        <v>595000</v>
      </c>
      <c r="N3276" s="74">
        <f t="shared" si="3"/>
        <v>420000</v>
      </c>
      <c r="O3276" s="65" t="str">
        <f>VLOOKUP(E3276,DATABASE!C:Q,8,false)</f>
        <v>IBU</v>
      </c>
      <c r="P3276" s="65">
        <f>VLOOKUP(E3276,DATABASE!C:Q,9,False)</f>
        <v>1</v>
      </c>
      <c r="Q3276" s="93" t="str">
        <f>VLOOKUP(E3276,DATABASE!C:Q,4,false)</f>
        <v>Bridgestone</v>
      </c>
      <c r="R3276" s="93" t="str">
        <f>VLOOKUP(E3276,DATABASE!C:Q,11,false)</f>
        <v>Tire</v>
      </c>
    </row>
    <row r="3277" ht="22.5" customHeight="1">
      <c r="A3277" s="49"/>
      <c r="C3277" s="384">
        <v>45831.0</v>
      </c>
      <c r="D3277" s="65">
        <v>6192.0</v>
      </c>
      <c r="E3277" s="385" t="s">
        <v>299</v>
      </c>
      <c r="F3277" s="386">
        <v>2.0</v>
      </c>
      <c r="G3277" s="74">
        <v>30000.0</v>
      </c>
      <c r="H3277" s="74">
        <v>0.0</v>
      </c>
      <c r="I3277" s="74">
        <f t="shared" si="1"/>
        <v>60000</v>
      </c>
      <c r="J3277" s="74">
        <f>IF(E3277="SERVICE",I3277-(I3277*50%),Vlookup(E3277,DATABASE!C:Q,10,false)*F3277)</f>
        <v>0</v>
      </c>
      <c r="K3277" s="74">
        <v>0.0</v>
      </c>
      <c r="L3277" s="74">
        <v>0.0</v>
      </c>
      <c r="M3277" s="74">
        <f t="shared" si="2"/>
        <v>0</v>
      </c>
      <c r="N3277" s="74">
        <f t="shared" si="3"/>
        <v>60000</v>
      </c>
      <c r="O3277" s="65" t="str">
        <f>VLOOKUP(E3277,DATABASE!C:Q,8,false)</f>
        <v>BIAN</v>
      </c>
      <c r="P3277" s="65">
        <f>VLOOKUP(E3277,DATABASE!C:Q,9,False)</f>
        <v>0</v>
      </c>
      <c r="Q3277" s="93" t="str">
        <f>VLOOKUP(E3277,DATABASE!C:Q,4,false)</f>
        <v>Balancing</v>
      </c>
      <c r="R3277" s="93" t="str">
        <f>VLOOKUP(E3277,DATABASE!C:Q,11,false)</f>
        <v>COMPLEMENTARY</v>
      </c>
    </row>
    <row r="3278" ht="22.5" customHeight="1">
      <c r="A3278" s="49"/>
      <c r="C3278" s="384">
        <v>45831.0</v>
      </c>
      <c r="D3278" s="65">
        <v>6193.0</v>
      </c>
      <c r="E3278" s="445" t="s">
        <v>256</v>
      </c>
      <c r="F3278" s="386">
        <v>1.0</v>
      </c>
      <c r="G3278" s="74">
        <v>130000.0</v>
      </c>
      <c r="H3278" s="74">
        <v>0.0</v>
      </c>
      <c r="I3278" s="74">
        <f t="shared" si="1"/>
        <v>130000</v>
      </c>
      <c r="J3278" s="74">
        <f>IF(E3278="SERVICE",I3278-(I3278*50%),Vlookup(E3278,DATABASE!C:Q,10,false)*F3278)</f>
        <v>10000</v>
      </c>
      <c r="K3278" s="74">
        <f>VLOOKUP(E3278,DATABASE!C:Q,7,false)</f>
        <v>0</v>
      </c>
      <c r="L3278" s="74">
        <v>0.0</v>
      </c>
      <c r="M3278" s="74">
        <f t="shared" si="2"/>
        <v>0</v>
      </c>
      <c r="N3278" s="74">
        <f t="shared" si="3"/>
        <v>120000</v>
      </c>
      <c r="O3278" s="65" t="str">
        <f>VLOOKUP(E3278,DATABASE!C:Q,8,false)</f>
        <v>IBU</v>
      </c>
      <c r="P3278" s="65">
        <f>VLOOKUP(E3278,DATABASE!C:Q,9,False)</f>
        <v>0</v>
      </c>
      <c r="Q3278" s="93" t="str">
        <f>VLOOKUP(E3278,DATABASE!C:Q,4,false)</f>
        <v>SPOORING</v>
      </c>
      <c r="R3278" s="93" t="str">
        <f>VLOOKUP(E3278,DATABASE!C:Q,11,false)</f>
        <v>SERVICE</v>
      </c>
    </row>
    <row r="3279" ht="22.5" customHeight="1">
      <c r="A3279" s="49"/>
      <c r="C3279" s="384">
        <v>45831.0</v>
      </c>
      <c r="D3279" s="65">
        <v>6193.0</v>
      </c>
      <c r="E3279" s="445" t="s">
        <v>301</v>
      </c>
      <c r="F3279" s="386">
        <v>1.0</v>
      </c>
      <c r="G3279" s="74">
        <v>250000.0</v>
      </c>
      <c r="H3279" s="74">
        <v>0.0</v>
      </c>
      <c r="I3279" s="74">
        <f t="shared" si="1"/>
        <v>250000</v>
      </c>
      <c r="J3279" s="74">
        <f>IF(E3279="SERVICE",I3279-(I3279*50%),Vlookup(E3279,DATABASE!C:Q,10,false)*F3279)</f>
        <v>75000</v>
      </c>
      <c r="K3279" s="74">
        <f>VLOOKUP(E3279,DATABASE!C:Q,7,false)</f>
        <v>75000</v>
      </c>
      <c r="L3279" s="74">
        <v>75000.0</v>
      </c>
      <c r="M3279" s="74">
        <f t="shared" si="2"/>
        <v>75000</v>
      </c>
      <c r="N3279" s="74">
        <f t="shared" si="3"/>
        <v>100000</v>
      </c>
      <c r="O3279" s="65" t="str">
        <f>VLOOKUP(E3279,DATABASE!C:Q,8,false)</f>
        <v>BIAN</v>
      </c>
      <c r="P3279" s="65">
        <f>VLOOKUP(E3279,DATABASE!C:Q,9,False)</f>
        <v>0</v>
      </c>
      <c r="Q3279" s="93" t="str">
        <f>VLOOKUP(E3279,DATABASE!C:Q,4,false)</f>
        <v>Baut Camber</v>
      </c>
      <c r="R3279" s="93" t="str">
        <f>VLOOKUP(E3279,DATABASE!C:Q,11,false)</f>
        <v>COMPLEMENTARY</v>
      </c>
    </row>
    <row r="3280" ht="22.5" customHeight="1">
      <c r="A3280" s="49"/>
      <c r="C3280" s="384">
        <v>45831.0</v>
      </c>
      <c r="D3280" s="65">
        <v>6194.0</v>
      </c>
      <c r="E3280" s="445" t="s">
        <v>932</v>
      </c>
      <c r="F3280" s="386">
        <v>1.0</v>
      </c>
      <c r="G3280" s="74">
        <v>700000.0</v>
      </c>
      <c r="H3280" s="74">
        <v>0.0</v>
      </c>
      <c r="I3280" s="74">
        <f t="shared" si="1"/>
        <v>700000</v>
      </c>
      <c r="J3280" s="74">
        <f>IF(E3280="SERVICE",I3280-(I3280*50%),Vlookup(E3280,DATABASE!C:Q,10,false)*F3280)</f>
        <v>0</v>
      </c>
      <c r="K3280" s="74">
        <f>VLOOKUP(E3280,DATABASE!C:Q,7,false)</f>
        <v>601000</v>
      </c>
      <c r="L3280" s="74">
        <v>595000.0</v>
      </c>
      <c r="M3280" s="74">
        <f t="shared" si="2"/>
        <v>595000</v>
      </c>
      <c r="N3280" s="74">
        <f t="shared" si="3"/>
        <v>105000</v>
      </c>
      <c r="O3280" s="65" t="str">
        <f>VLOOKUP(E3280,DATABASE!C:Q,8,false)</f>
        <v>IBU</v>
      </c>
      <c r="P3280" s="65">
        <f>VLOOKUP(E3280,DATABASE!C:Q,9,False)</f>
        <v>1</v>
      </c>
      <c r="Q3280" s="93" t="str">
        <f>VLOOKUP(E3280,DATABASE!C:Q,4,false)</f>
        <v>Dunlop</v>
      </c>
      <c r="R3280" s="93" t="str">
        <f>VLOOKUP(E3280,DATABASE!C:Q,11,false)</f>
        <v>Tire</v>
      </c>
    </row>
    <row r="3281" ht="22.5" customHeight="1">
      <c r="A3281" s="49"/>
      <c r="C3281" s="384">
        <v>45831.0</v>
      </c>
      <c r="D3281" s="65">
        <v>6195.0</v>
      </c>
      <c r="E3281" s="445" t="s">
        <v>1078</v>
      </c>
      <c r="F3281" s="386">
        <v>4.0</v>
      </c>
      <c r="G3281" s="74">
        <v>915000.0</v>
      </c>
      <c r="H3281" s="74">
        <v>0.0</v>
      </c>
      <c r="I3281" s="74">
        <f t="shared" si="1"/>
        <v>3660000</v>
      </c>
      <c r="J3281" s="74">
        <f>IF(E3281="SERVICE",I3281-(I3281*50%),Vlookup(E3281,DATABASE!C:Q,10,false)*F3281)</f>
        <v>0</v>
      </c>
      <c r="K3281" s="74">
        <f>VLOOKUP(E3281,DATABASE!C:Q,7,false)</f>
        <v>834000</v>
      </c>
      <c r="L3281" s="74">
        <v>834000.0</v>
      </c>
      <c r="M3281" s="74">
        <f t="shared" si="2"/>
        <v>835000</v>
      </c>
      <c r="N3281" s="74">
        <f t="shared" si="3"/>
        <v>320000</v>
      </c>
      <c r="O3281" s="65" t="str">
        <f>VLOOKUP(E3281,DATABASE!C:Q,8,false)</f>
        <v>IBU</v>
      </c>
      <c r="P3281" s="65">
        <f>VLOOKUP(E3281,DATABASE!C:Q,9,False)</f>
        <v>1</v>
      </c>
      <c r="Q3281" s="93" t="str">
        <f>VLOOKUP(E3281,DATABASE!C:Q,4,false)</f>
        <v>Bridgestone</v>
      </c>
      <c r="R3281" s="93" t="str">
        <f>VLOOKUP(E3281,DATABASE!C:Q,11,false)</f>
        <v>Tire</v>
      </c>
    </row>
    <row r="3282" ht="22.5" customHeight="1">
      <c r="A3282" s="49"/>
      <c r="C3282" s="384">
        <v>45831.0</v>
      </c>
      <c r="D3282" s="65">
        <v>6195.0</v>
      </c>
      <c r="E3282" s="385" t="s">
        <v>299</v>
      </c>
      <c r="F3282" s="386">
        <v>2.0</v>
      </c>
      <c r="G3282" s="74">
        <v>30000.0</v>
      </c>
      <c r="H3282" s="74">
        <v>0.0</v>
      </c>
      <c r="I3282" s="74">
        <f t="shared" si="1"/>
        <v>60000</v>
      </c>
      <c r="J3282" s="74">
        <f>IF(E3282="SERVICE",I3282-(I3282*50%),Vlookup(E3282,DATABASE!C:Q,10,false)*F3282)</f>
        <v>0</v>
      </c>
      <c r="K3282" s="74">
        <v>0.0</v>
      </c>
      <c r="L3282" s="74">
        <v>0.0</v>
      </c>
      <c r="M3282" s="74">
        <f t="shared" si="2"/>
        <v>0</v>
      </c>
      <c r="N3282" s="74">
        <f t="shared" si="3"/>
        <v>60000</v>
      </c>
      <c r="O3282" s="65" t="str">
        <f>VLOOKUP(E3282,DATABASE!C:Q,8,false)</f>
        <v>BIAN</v>
      </c>
      <c r="P3282" s="65">
        <f>VLOOKUP(E3282,DATABASE!C:Q,9,False)</f>
        <v>0</v>
      </c>
      <c r="Q3282" s="93" t="str">
        <f>VLOOKUP(E3282,DATABASE!C:Q,4,false)</f>
        <v>Balancing</v>
      </c>
      <c r="R3282" s="93" t="str">
        <f>VLOOKUP(E3282,DATABASE!C:Q,11,false)</f>
        <v>COMPLEMENTARY</v>
      </c>
    </row>
    <row r="3283" ht="22.5" customHeight="1">
      <c r="A3283" s="49"/>
      <c r="C3283" s="384">
        <v>45831.0</v>
      </c>
      <c r="D3283" s="65">
        <v>6195.0</v>
      </c>
      <c r="E3283" s="445" t="s">
        <v>256</v>
      </c>
      <c r="F3283" s="386">
        <v>1.0</v>
      </c>
      <c r="G3283" s="74">
        <v>130000.0</v>
      </c>
      <c r="H3283" s="74">
        <v>0.0</v>
      </c>
      <c r="I3283" s="74">
        <f t="shared" si="1"/>
        <v>130000</v>
      </c>
      <c r="J3283" s="74">
        <f>IF(E3283="SERVICE",I3283-(I3283*50%),Vlookup(E3283,DATABASE!C:Q,10,false)*F3283)</f>
        <v>10000</v>
      </c>
      <c r="K3283" s="74">
        <f>VLOOKUP(E3283,DATABASE!C:Q,7,false)</f>
        <v>0</v>
      </c>
      <c r="L3283" s="74">
        <v>0.0</v>
      </c>
      <c r="M3283" s="74">
        <f t="shared" si="2"/>
        <v>0</v>
      </c>
      <c r="N3283" s="74">
        <f t="shared" si="3"/>
        <v>120000</v>
      </c>
      <c r="O3283" s="65" t="str">
        <f>VLOOKUP(E3283,DATABASE!C:Q,8,false)</f>
        <v>IBU</v>
      </c>
      <c r="P3283" s="65">
        <f>VLOOKUP(E3283,DATABASE!C:Q,9,False)</f>
        <v>0</v>
      </c>
      <c r="Q3283" s="93" t="str">
        <f>VLOOKUP(E3283,DATABASE!C:Q,4,false)</f>
        <v>SPOORING</v>
      </c>
      <c r="R3283" s="93" t="str">
        <f>VLOOKUP(E3283,DATABASE!C:Q,11,false)</f>
        <v>SERVICE</v>
      </c>
    </row>
    <row r="3284" ht="22.5" customHeight="1">
      <c r="A3284" s="49"/>
      <c r="C3284" s="384">
        <v>45831.0</v>
      </c>
      <c r="D3284" s="65">
        <v>6195.0</v>
      </c>
      <c r="E3284" s="445" t="s">
        <v>251</v>
      </c>
      <c r="F3284" s="386">
        <v>1.0</v>
      </c>
      <c r="G3284" s="74">
        <v>150000.0</v>
      </c>
      <c r="H3284" s="74">
        <v>0.0</v>
      </c>
      <c r="I3284" s="74">
        <f t="shared" si="1"/>
        <v>150000</v>
      </c>
      <c r="J3284" s="74">
        <f>IF(E3284="SERVICE",I3284-(I3284*50%),Vlookup(E3284,DATABASE!C:Q,10,false)*F3284)</f>
        <v>75000</v>
      </c>
      <c r="K3284" s="74">
        <f>VLOOKUP(E3284,DATABASE!C:Q,7,false)</f>
        <v>0</v>
      </c>
      <c r="L3284" s="74">
        <v>0.0</v>
      </c>
      <c r="M3284" s="74">
        <f t="shared" si="2"/>
        <v>0</v>
      </c>
      <c r="N3284" s="74">
        <f t="shared" si="3"/>
        <v>75000</v>
      </c>
      <c r="O3284" s="65" t="str">
        <f>VLOOKUP(E3284,DATABASE!C:Q,8,false)</f>
        <v>IBU</v>
      </c>
      <c r="P3284" s="65">
        <f>VLOOKUP(E3284,DATABASE!C:Q,9,False)</f>
        <v>0</v>
      </c>
      <c r="Q3284" s="93" t="str">
        <f>VLOOKUP(E3284,DATABASE!C:Q,4,false)</f>
        <v>SERVICE</v>
      </c>
      <c r="R3284" s="93" t="str">
        <f>VLOOKUP(E3284,DATABASE!C:Q,11,false)</f>
        <v>SERVICE</v>
      </c>
    </row>
    <row r="3285" ht="22.5" customHeight="1">
      <c r="A3285" s="49"/>
      <c r="C3285" s="384">
        <v>45831.0</v>
      </c>
      <c r="D3285" s="65">
        <v>6196.0</v>
      </c>
      <c r="E3285" s="445" t="s">
        <v>897</v>
      </c>
      <c r="F3285" s="386">
        <v>1.0</v>
      </c>
      <c r="G3285" s="74">
        <v>1600000.0</v>
      </c>
      <c r="H3285" s="74">
        <v>0.0</v>
      </c>
      <c r="I3285" s="74">
        <f t="shared" si="1"/>
        <v>1600000</v>
      </c>
      <c r="J3285" s="74">
        <f>IF(E3285="SERVICE",I3285-(I3285*50%),Vlookup(E3285,DATABASE!C:Q,10,false)*F3285)</f>
        <v>0</v>
      </c>
      <c r="K3285" s="74">
        <f>VLOOKUP(E3285,DATABASE!C:Q,7,false)</f>
        <v>1560000</v>
      </c>
      <c r="L3285" s="74">
        <v>1500000.0</v>
      </c>
      <c r="M3285" s="74">
        <f t="shared" si="2"/>
        <v>1500000</v>
      </c>
      <c r="N3285" s="74">
        <f t="shared" si="3"/>
        <v>100000</v>
      </c>
      <c r="O3285" s="65" t="str">
        <f>VLOOKUP(E3285,DATABASE!C:Q,8,false)</f>
        <v>BIAN</v>
      </c>
      <c r="P3285" s="65">
        <f>VLOOKUP(E3285,DATABASE!C:Q,9,False)</f>
        <v>1</v>
      </c>
      <c r="Q3285" s="93" t="str">
        <f>VLOOKUP(E3285,DATABASE!C:Q,4,false)</f>
        <v>GT</v>
      </c>
      <c r="R3285" s="93" t="str">
        <f>VLOOKUP(E3285,DATABASE!C:Q,11,false)</f>
        <v>Tire</v>
      </c>
    </row>
    <row r="3286" ht="22.5" customHeight="1">
      <c r="A3286" s="49"/>
      <c r="C3286" s="384">
        <v>45831.0</v>
      </c>
      <c r="D3286" s="65">
        <v>6196.0</v>
      </c>
      <c r="E3286" s="445" t="s">
        <v>744</v>
      </c>
      <c r="F3286" s="386">
        <v>1.0</v>
      </c>
      <c r="G3286" s="74">
        <v>230000.0</v>
      </c>
      <c r="H3286" s="74">
        <v>0.0</v>
      </c>
      <c r="I3286" s="74">
        <f t="shared" si="1"/>
        <v>230000</v>
      </c>
      <c r="J3286" s="74">
        <f>IF(E3286="SERVICE",I3286-(I3286*50%),Vlookup(E3286,DATABASE!C:Q,10,false)*F3286)</f>
        <v>0</v>
      </c>
      <c r="K3286" s="74">
        <f>VLOOKUP(E3286,DATABASE!C:Q,7,false)</f>
        <v>182200</v>
      </c>
      <c r="L3286" s="74">
        <v>199920.0</v>
      </c>
      <c r="M3286" s="74">
        <f t="shared" si="2"/>
        <v>200000</v>
      </c>
      <c r="N3286" s="74">
        <f t="shared" si="3"/>
        <v>30000</v>
      </c>
      <c r="O3286" s="65" t="str">
        <f>VLOOKUP(E3286,DATABASE!C:Q,8,false)</f>
        <v>BIAN</v>
      </c>
      <c r="P3286" s="65">
        <f>VLOOKUP(E3286,DATABASE!C:Q,9,False)</f>
        <v>1</v>
      </c>
      <c r="Q3286" s="93" t="str">
        <f>VLOOKUP(E3286,DATABASE!C:Q,4,false)</f>
        <v>BD</v>
      </c>
      <c r="R3286" s="93" t="str">
        <f>VLOOKUP(E3286,DATABASE!C:Q,11,false)</f>
        <v>Tire</v>
      </c>
    </row>
    <row r="3287" ht="22.5" customHeight="1">
      <c r="A3287" s="49"/>
      <c r="C3287" s="384">
        <v>45831.0</v>
      </c>
      <c r="D3287" s="65">
        <v>6196.0</v>
      </c>
      <c r="E3287" s="445" t="s">
        <v>821</v>
      </c>
      <c r="F3287" s="386">
        <v>1.0</v>
      </c>
      <c r="G3287" s="74">
        <v>85000.0</v>
      </c>
      <c r="H3287" s="74">
        <v>0.0</v>
      </c>
      <c r="I3287" s="74">
        <f t="shared" si="1"/>
        <v>85000</v>
      </c>
      <c r="J3287" s="74">
        <f>IF(E3287="SERVICE",I3287-(I3287*50%),Vlookup(E3287,DATABASE!C:Q,10,false)*F3287)</f>
        <v>0</v>
      </c>
      <c r="K3287" s="74">
        <f>VLOOKUP(E3287,DATABASE!C:Q,7,false)</f>
        <v>43500</v>
      </c>
      <c r="L3287" s="74">
        <v>43520.0</v>
      </c>
      <c r="M3287" s="74">
        <f t="shared" si="2"/>
        <v>45000</v>
      </c>
      <c r="N3287" s="74">
        <f t="shared" si="3"/>
        <v>40000</v>
      </c>
      <c r="O3287" s="65" t="str">
        <f>VLOOKUP(E3287,DATABASE!C:Q,8,false)</f>
        <v>BIAN</v>
      </c>
      <c r="P3287" s="65">
        <f>VLOOKUP(E3287,DATABASE!C:Q,9,False)</f>
        <v>1</v>
      </c>
      <c r="Q3287" s="93" t="str">
        <f>VLOOKUP(E3287,DATABASE!C:Q,4,false)</f>
        <v>Flap</v>
      </c>
      <c r="R3287" s="93" t="str">
        <f>VLOOKUP(E3287,DATABASE!C:Q,11,false)</f>
        <v>Tire</v>
      </c>
    </row>
    <row r="3288" ht="22.5" customHeight="1">
      <c r="A3288" s="49"/>
      <c r="C3288" s="384">
        <v>45831.0</v>
      </c>
      <c r="D3288" s="65">
        <v>6197.0</v>
      </c>
      <c r="E3288" s="445" t="s">
        <v>294</v>
      </c>
      <c r="F3288" s="386">
        <v>2.0</v>
      </c>
      <c r="G3288" s="74">
        <v>570000.0</v>
      </c>
      <c r="H3288" s="74">
        <v>0.0</v>
      </c>
      <c r="I3288" s="74">
        <f t="shared" si="1"/>
        <v>1140000</v>
      </c>
      <c r="J3288" s="74">
        <f>IF(E3288="SERVICE",I3288-(I3288*50%),Vlookup(E3288,DATABASE!C:Q,10,false)*F3288)</f>
        <v>0</v>
      </c>
      <c r="K3288" s="74">
        <f>VLOOKUP(E3288,DATABASE!C:Q,7,false)</f>
        <v>505000</v>
      </c>
      <c r="L3288" s="74">
        <v>490000.0</v>
      </c>
      <c r="M3288" s="74">
        <f t="shared" si="2"/>
        <v>490000</v>
      </c>
      <c r="N3288" s="74">
        <f t="shared" si="3"/>
        <v>160000</v>
      </c>
      <c r="O3288" s="65" t="str">
        <f>VLOOKUP(E3288,DATABASE!C:Q,8,false)</f>
        <v>BIAN</v>
      </c>
      <c r="P3288" s="65">
        <f>VLOOKUP(E3288,DATABASE!C:Q,9,False)</f>
        <v>1</v>
      </c>
      <c r="Q3288" s="93" t="str">
        <f>VLOOKUP(E3288,DATABASE!C:Q,4,false)</f>
        <v>GT</v>
      </c>
      <c r="R3288" s="93" t="str">
        <f>VLOOKUP(E3288,DATABASE!C:Q,11,false)</f>
        <v>Tire</v>
      </c>
    </row>
    <row r="3289" ht="22.5" customHeight="1">
      <c r="A3289" s="49"/>
      <c r="C3289" s="384">
        <v>45831.0</v>
      </c>
      <c r="D3289" s="65">
        <v>6198.0</v>
      </c>
      <c r="E3289" s="445" t="s">
        <v>777</v>
      </c>
      <c r="F3289" s="386">
        <v>1.0</v>
      </c>
      <c r="G3289" s="74">
        <v>580000.0</v>
      </c>
      <c r="H3289" s="74">
        <v>0.0</v>
      </c>
      <c r="I3289" s="74">
        <f t="shared" si="1"/>
        <v>580000</v>
      </c>
      <c r="J3289" s="74">
        <f>IF(E3289="SERVICE",I3289-(I3289*50%),Vlookup(E3289,DATABASE!C:Q,10,false)*F3289)</f>
        <v>0</v>
      </c>
      <c r="K3289" s="74">
        <f>VLOOKUP(E3289,DATABASE!C:Q,7,false)</f>
        <v>540000</v>
      </c>
      <c r="L3289" s="74">
        <v>507000.0</v>
      </c>
      <c r="M3289" s="74">
        <f t="shared" si="2"/>
        <v>510000</v>
      </c>
      <c r="N3289" s="74">
        <f t="shared" si="3"/>
        <v>70000</v>
      </c>
      <c r="O3289" s="65" t="str">
        <f>VLOOKUP(E3289,DATABASE!C:Q,8,false)</f>
        <v>BIAN</v>
      </c>
      <c r="P3289" s="65">
        <f>VLOOKUP(E3289,DATABASE!C:Q,9,False)</f>
        <v>1</v>
      </c>
      <c r="Q3289" s="93" t="str">
        <f>VLOOKUP(E3289,DATABASE!C:Q,4,false)</f>
        <v>GT</v>
      </c>
      <c r="R3289" s="93" t="str">
        <f>VLOOKUP(E3289,DATABASE!C:Q,11,false)</f>
        <v>Tire</v>
      </c>
    </row>
    <row r="3290" ht="22.5" customHeight="1">
      <c r="A3290" s="49"/>
      <c r="C3290" s="384">
        <v>45831.0</v>
      </c>
      <c r="D3290" s="65">
        <v>6199.0</v>
      </c>
      <c r="E3290" s="445" t="s">
        <v>591</v>
      </c>
      <c r="F3290" s="386">
        <v>1.0</v>
      </c>
      <c r="G3290" s="74">
        <v>700000.0</v>
      </c>
      <c r="H3290" s="74">
        <v>0.0</v>
      </c>
      <c r="I3290" s="74">
        <f t="shared" si="1"/>
        <v>700000</v>
      </c>
      <c r="J3290" s="74">
        <f>IF(E3290="SERVICE",I3290-(I3290*50%),Vlookup(E3290,DATABASE!C:Q,10,false)*F3290)</f>
        <v>0</v>
      </c>
      <c r="K3290" s="74">
        <f>VLOOKUP(E3290,DATABASE!C:Q,7,false)</f>
        <v>633035.16</v>
      </c>
      <c r="L3290" s="74">
        <v>593488.4</v>
      </c>
      <c r="M3290" s="74">
        <f t="shared" si="2"/>
        <v>595000</v>
      </c>
      <c r="N3290" s="74">
        <f t="shared" si="3"/>
        <v>105000</v>
      </c>
      <c r="O3290" s="65" t="str">
        <f>VLOOKUP(E3290,DATABASE!C:Q,8,false)</f>
        <v>IBU</v>
      </c>
      <c r="P3290" s="65">
        <f>VLOOKUP(E3290,DATABASE!C:Q,9,False)</f>
        <v>1</v>
      </c>
      <c r="Q3290" s="93" t="str">
        <f>VLOOKUP(E3290,DATABASE!C:Q,4,false)</f>
        <v>Bridgestone</v>
      </c>
      <c r="R3290" s="93" t="str">
        <f>VLOOKUP(E3290,DATABASE!C:Q,11,false)</f>
        <v>Tire</v>
      </c>
    </row>
    <row r="3291" ht="22.5" customHeight="1">
      <c r="A3291" s="49"/>
      <c r="C3291" s="384">
        <v>45831.0</v>
      </c>
      <c r="D3291" s="65">
        <v>6200.0</v>
      </c>
      <c r="E3291" s="445" t="s">
        <v>268</v>
      </c>
      <c r="F3291" s="386">
        <v>4.0</v>
      </c>
      <c r="G3291" s="74">
        <v>720000.0</v>
      </c>
      <c r="H3291" s="74">
        <v>0.0</v>
      </c>
      <c r="I3291" s="74">
        <f t="shared" si="1"/>
        <v>2880000</v>
      </c>
      <c r="J3291" s="74">
        <f>IF(E3291="SERVICE",I3291-(I3291*50%),Vlookup(E3291,DATABASE!C:Q,10,false)*F3291)</f>
        <v>0</v>
      </c>
      <c r="K3291" s="74">
        <f>VLOOKUP(E3291,DATABASE!C:Q,7,false)</f>
        <v>653000</v>
      </c>
      <c r="L3291" s="74">
        <v>622000.0</v>
      </c>
      <c r="M3291" s="74">
        <f t="shared" si="2"/>
        <v>625000</v>
      </c>
      <c r="N3291" s="74">
        <f t="shared" si="3"/>
        <v>380000</v>
      </c>
      <c r="O3291" s="65" t="str">
        <f>VLOOKUP(E3291,DATABASE!C:Q,8,false)</f>
        <v>IBU</v>
      </c>
      <c r="P3291" s="65">
        <f>VLOOKUP(E3291,DATABASE!C:Q,9,False)</f>
        <v>1</v>
      </c>
      <c r="Q3291" s="93" t="str">
        <f>VLOOKUP(E3291,DATABASE!C:Q,4,false)</f>
        <v>Dunlop</v>
      </c>
      <c r="R3291" s="93" t="str">
        <f>VLOOKUP(E3291,DATABASE!C:Q,11,false)</f>
        <v>Tire</v>
      </c>
    </row>
    <row r="3292" ht="22.5" customHeight="1">
      <c r="A3292" s="49"/>
      <c r="C3292" s="384">
        <v>45831.0</v>
      </c>
      <c r="D3292" s="65">
        <v>6200.0</v>
      </c>
      <c r="E3292" s="445" t="s">
        <v>256</v>
      </c>
      <c r="F3292" s="386">
        <v>1.0</v>
      </c>
      <c r="G3292" s="74">
        <v>110000.0</v>
      </c>
      <c r="H3292" s="74">
        <v>0.0</v>
      </c>
      <c r="I3292" s="74">
        <f t="shared" si="1"/>
        <v>110000</v>
      </c>
      <c r="J3292" s="74">
        <f>IF(E3292="SERVICE",I3292-(I3292*50%),Vlookup(E3292,DATABASE!C:Q,10,false)*F3292)</f>
        <v>10000</v>
      </c>
      <c r="K3292" s="74">
        <f>VLOOKUP(E3292,DATABASE!C:Q,7,false)</f>
        <v>0</v>
      </c>
      <c r="L3292" s="74">
        <v>0.0</v>
      </c>
      <c r="M3292" s="74">
        <f t="shared" si="2"/>
        <v>0</v>
      </c>
      <c r="N3292" s="74">
        <f t="shared" si="3"/>
        <v>100000</v>
      </c>
      <c r="O3292" s="65" t="str">
        <f>VLOOKUP(E3292,DATABASE!C:Q,8,false)</f>
        <v>IBU</v>
      </c>
      <c r="P3292" s="65">
        <f>VLOOKUP(E3292,DATABASE!C:Q,9,False)</f>
        <v>0</v>
      </c>
      <c r="Q3292" s="93" t="str">
        <f>VLOOKUP(E3292,DATABASE!C:Q,4,false)</f>
        <v>SPOORING</v>
      </c>
      <c r="R3292" s="93" t="str">
        <f>VLOOKUP(E3292,DATABASE!C:Q,11,false)</f>
        <v>SERVICE</v>
      </c>
    </row>
    <row r="3293" ht="22.5" customHeight="1">
      <c r="A3293" s="49"/>
      <c r="C3293" s="384">
        <v>45831.0</v>
      </c>
      <c r="D3293" s="65">
        <v>6200.0</v>
      </c>
      <c r="E3293" s="445" t="s">
        <v>478</v>
      </c>
      <c r="F3293" s="386">
        <v>1.0</v>
      </c>
      <c r="G3293" s="74">
        <v>200000.0</v>
      </c>
      <c r="H3293" s="74">
        <v>0.0</v>
      </c>
      <c r="I3293" s="74">
        <f t="shared" si="1"/>
        <v>200000</v>
      </c>
      <c r="J3293" s="74">
        <f>IF(E3293="SERVICE",I3293-(I3293*50%),Vlookup(E3293,DATABASE!C:Q,10,false)*F3293)</f>
        <v>25000</v>
      </c>
      <c r="K3293" s="74">
        <f>VLOOKUP(E3293,DATABASE!C:Q,7,false)</f>
        <v>75000</v>
      </c>
      <c r="L3293" s="74">
        <v>75000.0</v>
      </c>
      <c r="M3293" s="74">
        <f t="shared" si="2"/>
        <v>75000</v>
      </c>
      <c r="N3293" s="74">
        <f t="shared" si="3"/>
        <v>100000</v>
      </c>
      <c r="O3293" s="65" t="str">
        <f>VLOOKUP(E3293,DATABASE!C:Q,8,false)</f>
        <v>BIAN</v>
      </c>
      <c r="P3293" s="65">
        <f>VLOOKUP(E3293,DATABASE!C:Q,9,False)</f>
        <v>0</v>
      </c>
      <c r="Q3293" s="93" t="str">
        <f>VLOOKUP(E3293,DATABASE!C:Q,4,false)</f>
        <v>Baut Camber ss-carry</v>
      </c>
      <c r="R3293" s="93" t="str">
        <f>VLOOKUP(E3293,DATABASE!C:Q,11,false)</f>
        <v>COMPLEMENTARY</v>
      </c>
    </row>
    <row r="3294" ht="22.5" customHeight="1">
      <c r="A3294" s="49"/>
      <c r="C3294" s="384">
        <v>45832.0</v>
      </c>
      <c r="D3294" s="65">
        <v>6202.0</v>
      </c>
      <c r="E3294" s="385" t="s">
        <v>299</v>
      </c>
      <c r="F3294" s="386">
        <v>2.0</v>
      </c>
      <c r="G3294" s="74">
        <v>30000.0</v>
      </c>
      <c r="H3294" s="74">
        <v>0.0</v>
      </c>
      <c r="I3294" s="74">
        <f t="shared" si="1"/>
        <v>60000</v>
      </c>
      <c r="J3294" s="74">
        <f>IF(E3294="SERVICE",I3294-(I3294*50%),Vlookup(E3294,DATABASE!C:Q,10,false)*F3294)</f>
        <v>0</v>
      </c>
      <c r="K3294" s="74">
        <v>0.0</v>
      </c>
      <c r="L3294" s="74">
        <v>0.0</v>
      </c>
      <c r="M3294" s="74">
        <f t="shared" si="2"/>
        <v>0</v>
      </c>
      <c r="N3294" s="74">
        <f t="shared" si="3"/>
        <v>60000</v>
      </c>
      <c r="O3294" s="65" t="str">
        <f>VLOOKUP(E3294,DATABASE!C:Q,8,false)</f>
        <v>BIAN</v>
      </c>
      <c r="P3294" s="65">
        <f>VLOOKUP(E3294,DATABASE!C:Q,9,False)</f>
        <v>0</v>
      </c>
      <c r="Q3294" s="93" t="str">
        <f>VLOOKUP(E3294,DATABASE!C:Q,4,false)</f>
        <v>Balancing</v>
      </c>
      <c r="R3294" s="93" t="str">
        <f>VLOOKUP(E3294,DATABASE!C:Q,11,false)</f>
        <v>COMPLEMENTARY</v>
      </c>
    </row>
    <row r="3295" ht="22.5" customHeight="1">
      <c r="A3295" s="49"/>
      <c r="C3295" s="384">
        <v>45832.0</v>
      </c>
      <c r="D3295" s="65">
        <v>6203.0</v>
      </c>
      <c r="E3295" s="445" t="s">
        <v>1526</v>
      </c>
      <c r="F3295" s="386">
        <v>2.0</v>
      </c>
      <c r="G3295" s="74">
        <v>530000.0</v>
      </c>
      <c r="H3295" s="74">
        <v>0.0</v>
      </c>
      <c r="I3295" s="74">
        <f t="shared" si="1"/>
        <v>1060000</v>
      </c>
      <c r="J3295" s="74">
        <f>IF(E3295="SERVICE",I3295-(I3295*50%),Vlookup(E3295,DATABASE!C:Q,10,false)*F3295)</f>
        <v>0</v>
      </c>
      <c r="K3295" s="74">
        <f>VLOOKUP(E3295,DATABASE!C:Q,7,false)</f>
        <v>450000</v>
      </c>
      <c r="L3295" s="74">
        <v>437000.0</v>
      </c>
      <c r="M3295" s="74">
        <f t="shared" si="2"/>
        <v>440000</v>
      </c>
      <c r="N3295" s="74">
        <f t="shared" si="3"/>
        <v>180000</v>
      </c>
      <c r="O3295" s="65" t="str">
        <f>VLOOKUP(E3295,DATABASE!C:Q,8,false)</f>
        <v>BIAN</v>
      </c>
      <c r="P3295" s="65">
        <f>VLOOKUP(E3295,DATABASE!C:Q,9,False)</f>
        <v>1</v>
      </c>
      <c r="Q3295" s="93" t="str">
        <f>VLOOKUP(E3295,DATABASE!C:Q,4,false)</f>
        <v>Laufen</v>
      </c>
      <c r="R3295" s="93" t="str">
        <f>VLOOKUP(E3295,DATABASE!C:Q,11,false)</f>
        <v>Tire</v>
      </c>
    </row>
    <row r="3296" ht="22.5" customHeight="1">
      <c r="A3296" s="49"/>
      <c r="C3296" s="384">
        <v>45832.0</v>
      </c>
      <c r="D3296" s="65">
        <v>6204.0</v>
      </c>
      <c r="E3296" s="445" t="s">
        <v>275</v>
      </c>
      <c r="F3296" s="386">
        <v>2.0</v>
      </c>
      <c r="G3296" s="74">
        <v>850000.0</v>
      </c>
      <c r="H3296" s="74">
        <v>0.0</v>
      </c>
      <c r="I3296" s="74">
        <f t="shared" si="1"/>
        <v>1700000</v>
      </c>
      <c r="J3296" s="74">
        <f>IF(E3296="SERVICE",I3296-(I3296*50%),Vlookup(E3296,DATABASE!C:Q,10,false)*F3296)</f>
        <v>0</v>
      </c>
      <c r="K3296" s="74">
        <f>VLOOKUP(E3296,DATABASE!C:Q,7,false)</f>
        <v>782000</v>
      </c>
      <c r="L3296" s="74">
        <v>745000.0</v>
      </c>
      <c r="M3296" s="74">
        <f t="shared" si="2"/>
        <v>745000</v>
      </c>
      <c r="N3296" s="74">
        <f t="shared" si="3"/>
        <v>210000</v>
      </c>
      <c r="O3296" s="65" t="str">
        <f>VLOOKUP(E3296,DATABASE!C:Q,8,false)</f>
        <v>IBU</v>
      </c>
      <c r="P3296" s="65">
        <f>VLOOKUP(E3296,DATABASE!C:Q,9,False)</f>
        <v>1</v>
      </c>
      <c r="Q3296" s="93" t="str">
        <f>VLOOKUP(E3296,DATABASE!C:Q,4,false)</f>
        <v>Dunlop</v>
      </c>
      <c r="R3296" s="93" t="str">
        <f>VLOOKUP(E3296,DATABASE!C:Q,11,false)</f>
        <v>Tire</v>
      </c>
    </row>
    <row r="3297" ht="22.5" customHeight="1">
      <c r="A3297" s="49"/>
      <c r="C3297" s="384">
        <v>45832.0</v>
      </c>
      <c r="D3297" s="65">
        <v>6205.0</v>
      </c>
      <c r="E3297" s="445" t="s">
        <v>246</v>
      </c>
      <c r="F3297" s="386">
        <v>4.0</v>
      </c>
      <c r="G3297" s="74">
        <v>30000.0</v>
      </c>
      <c r="H3297" s="74">
        <v>0.0</v>
      </c>
      <c r="I3297" s="74">
        <f t="shared" si="1"/>
        <v>120000</v>
      </c>
      <c r="J3297" s="74">
        <f>IF(E3297="SERVICE",I3297-(I3297*50%),Vlookup(E3297,DATABASE!C:Q,10,false)*F3297)</f>
        <v>0</v>
      </c>
      <c r="K3297" s="74">
        <f>VLOOKUP(E3297,DATABASE!C:Q,7,false)</f>
        <v>0</v>
      </c>
      <c r="L3297" s="74">
        <v>0.0</v>
      </c>
      <c r="M3297" s="74">
        <f t="shared" si="2"/>
        <v>0</v>
      </c>
      <c r="N3297" s="74">
        <f t="shared" si="3"/>
        <v>120000</v>
      </c>
      <c r="O3297" s="65" t="str">
        <f>VLOOKUP(E3297,DATABASE!C:Q,8,false)</f>
        <v>IBU</v>
      </c>
      <c r="P3297" s="65">
        <f>VLOOKUP(E3297,DATABASE!C:Q,9,False)</f>
        <v>0</v>
      </c>
      <c r="Q3297" s="93" t="str">
        <f>VLOOKUP(E3297,DATABASE!C:Q,4,false)</f>
        <v>Bongkar Pasang</v>
      </c>
      <c r="R3297" s="93" t="str">
        <f>VLOOKUP(E3297,DATABASE!C:Q,11,false)</f>
        <v>SERVICE</v>
      </c>
    </row>
    <row r="3298" ht="22.5" customHeight="1">
      <c r="A3298" s="49"/>
      <c r="C3298" s="384">
        <v>45832.0</v>
      </c>
      <c r="D3298" s="65">
        <v>6205.0</v>
      </c>
      <c r="E3298" s="385" t="s">
        <v>299</v>
      </c>
      <c r="F3298" s="386">
        <v>2.0</v>
      </c>
      <c r="G3298" s="74">
        <v>30000.0</v>
      </c>
      <c r="H3298" s="74">
        <v>0.0</v>
      </c>
      <c r="I3298" s="74">
        <f t="shared" si="1"/>
        <v>60000</v>
      </c>
      <c r="J3298" s="74">
        <f>IF(E3298="SERVICE",I3298-(I3298*50%),Vlookup(E3298,DATABASE!C:Q,10,false)*F3298)</f>
        <v>0</v>
      </c>
      <c r="K3298" s="74">
        <v>0.0</v>
      </c>
      <c r="L3298" s="74">
        <v>0.0</v>
      </c>
      <c r="M3298" s="74">
        <f t="shared" si="2"/>
        <v>0</v>
      </c>
      <c r="N3298" s="74">
        <f t="shared" si="3"/>
        <v>60000</v>
      </c>
      <c r="O3298" s="65" t="str">
        <f>VLOOKUP(E3298,DATABASE!C:Q,8,false)</f>
        <v>BIAN</v>
      </c>
      <c r="P3298" s="65">
        <f>VLOOKUP(E3298,DATABASE!C:Q,9,False)</f>
        <v>0</v>
      </c>
      <c r="Q3298" s="93" t="str">
        <f>VLOOKUP(E3298,DATABASE!C:Q,4,false)</f>
        <v>Balancing</v>
      </c>
      <c r="R3298" s="93" t="str">
        <f>VLOOKUP(E3298,DATABASE!C:Q,11,false)</f>
        <v>COMPLEMENTARY</v>
      </c>
    </row>
    <row r="3299" ht="22.5" customHeight="1">
      <c r="A3299" s="49"/>
      <c r="C3299" s="384">
        <v>45832.0</v>
      </c>
      <c r="D3299" s="65">
        <v>6205.0</v>
      </c>
      <c r="E3299" s="445" t="s">
        <v>256</v>
      </c>
      <c r="F3299" s="386">
        <v>1.0</v>
      </c>
      <c r="G3299" s="74">
        <v>130000.0</v>
      </c>
      <c r="H3299" s="74">
        <v>0.0</v>
      </c>
      <c r="I3299" s="74">
        <f t="shared" si="1"/>
        <v>130000</v>
      </c>
      <c r="J3299" s="74">
        <f>IF(E3299="SERVICE",I3299-(I3299*50%),Vlookup(E3299,DATABASE!C:Q,10,false)*F3299)</f>
        <v>10000</v>
      </c>
      <c r="K3299" s="74">
        <f>VLOOKUP(E3299,DATABASE!C:Q,7,false)</f>
        <v>0</v>
      </c>
      <c r="L3299" s="74">
        <v>0.0</v>
      </c>
      <c r="M3299" s="74">
        <f t="shared" si="2"/>
        <v>0</v>
      </c>
      <c r="N3299" s="74">
        <f t="shared" si="3"/>
        <v>120000</v>
      </c>
      <c r="O3299" s="65" t="str">
        <f>VLOOKUP(E3299,DATABASE!C:Q,8,false)</f>
        <v>IBU</v>
      </c>
      <c r="P3299" s="65">
        <f>VLOOKUP(E3299,DATABASE!C:Q,9,False)</f>
        <v>0</v>
      </c>
      <c r="Q3299" s="93" t="str">
        <f>VLOOKUP(E3299,DATABASE!C:Q,4,false)</f>
        <v>SPOORING</v>
      </c>
      <c r="R3299" s="93" t="str">
        <f>VLOOKUP(E3299,DATABASE!C:Q,11,false)</f>
        <v>SERVICE</v>
      </c>
    </row>
    <row r="3300" ht="22.5" customHeight="1">
      <c r="A3300" s="49"/>
      <c r="C3300" s="384">
        <v>45832.0</v>
      </c>
      <c r="D3300" s="65">
        <v>6206.0</v>
      </c>
      <c r="E3300" s="385" t="s">
        <v>299</v>
      </c>
      <c r="F3300" s="386">
        <v>2.0</v>
      </c>
      <c r="G3300" s="74">
        <v>30000.0</v>
      </c>
      <c r="H3300" s="74">
        <v>0.0</v>
      </c>
      <c r="I3300" s="74">
        <f t="shared" si="1"/>
        <v>60000</v>
      </c>
      <c r="J3300" s="74">
        <f>IF(E3300="SERVICE",I3300-(I3300*50%),Vlookup(E3300,DATABASE!C:Q,10,false)*F3300)</f>
        <v>0</v>
      </c>
      <c r="K3300" s="74">
        <v>0.0</v>
      </c>
      <c r="L3300" s="74">
        <v>0.0</v>
      </c>
      <c r="M3300" s="74">
        <f t="shared" si="2"/>
        <v>0</v>
      </c>
      <c r="N3300" s="74">
        <f t="shared" si="3"/>
        <v>60000</v>
      </c>
      <c r="O3300" s="65" t="str">
        <f>VLOOKUP(E3300,DATABASE!C:Q,8,false)</f>
        <v>BIAN</v>
      </c>
      <c r="P3300" s="65">
        <f>VLOOKUP(E3300,DATABASE!C:Q,9,False)</f>
        <v>0</v>
      </c>
      <c r="Q3300" s="93" t="str">
        <f>VLOOKUP(E3300,DATABASE!C:Q,4,false)</f>
        <v>Balancing</v>
      </c>
      <c r="R3300" s="93" t="str">
        <f>VLOOKUP(E3300,DATABASE!C:Q,11,false)</f>
        <v>COMPLEMENTARY</v>
      </c>
    </row>
    <row r="3301" ht="22.5" customHeight="1">
      <c r="A3301" s="49"/>
      <c r="C3301" s="384">
        <v>45832.0</v>
      </c>
      <c r="D3301" s="65">
        <v>6206.0</v>
      </c>
      <c r="E3301" s="445" t="s">
        <v>256</v>
      </c>
      <c r="F3301" s="386">
        <v>1.0</v>
      </c>
      <c r="G3301" s="74">
        <v>130000.0</v>
      </c>
      <c r="H3301" s="74">
        <v>0.0</v>
      </c>
      <c r="I3301" s="74">
        <f t="shared" si="1"/>
        <v>130000</v>
      </c>
      <c r="J3301" s="74">
        <f>IF(E3301="SERVICE",I3301-(I3301*50%),Vlookup(E3301,DATABASE!C:Q,10,false)*F3301)</f>
        <v>10000</v>
      </c>
      <c r="K3301" s="74">
        <f>VLOOKUP(E3301,DATABASE!C:Q,7,false)</f>
        <v>0</v>
      </c>
      <c r="L3301" s="74">
        <v>0.0</v>
      </c>
      <c r="M3301" s="74">
        <f t="shared" si="2"/>
        <v>0</v>
      </c>
      <c r="N3301" s="74">
        <f t="shared" si="3"/>
        <v>120000</v>
      </c>
      <c r="O3301" s="65" t="str">
        <f>VLOOKUP(E3301,DATABASE!C:Q,8,false)</f>
        <v>IBU</v>
      </c>
      <c r="P3301" s="65">
        <f>VLOOKUP(E3301,DATABASE!C:Q,9,False)</f>
        <v>0</v>
      </c>
      <c r="Q3301" s="93" t="str">
        <f>VLOOKUP(E3301,DATABASE!C:Q,4,false)</f>
        <v>SPOORING</v>
      </c>
      <c r="R3301" s="93" t="str">
        <f>VLOOKUP(E3301,DATABASE!C:Q,11,false)</f>
        <v>SERVICE</v>
      </c>
    </row>
    <row r="3302" ht="22.5" customHeight="1">
      <c r="A3302" s="49"/>
      <c r="C3302" s="384">
        <v>45832.0</v>
      </c>
      <c r="D3302" s="65">
        <v>6206.0</v>
      </c>
      <c r="E3302" s="445" t="s">
        <v>301</v>
      </c>
      <c r="F3302" s="386">
        <v>1.0</v>
      </c>
      <c r="G3302" s="74">
        <v>250000.0</v>
      </c>
      <c r="H3302" s="74">
        <v>0.0</v>
      </c>
      <c r="I3302" s="74">
        <f t="shared" si="1"/>
        <v>250000</v>
      </c>
      <c r="J3302" s="74">
        <f>IF(E3302="SERVICE",I3302-(I3302*50%),Vlookup(E3302,DATABASE!C:Q,10,false)*F3302)</f>
        <v>75000</v>
      </c>
      <c r="K3302" s="74">
        <f>VLOOKUP(E3302,DATABASE!C:Q,7,false)</f>
        <v>75000</v>
      </c>
      <c r="L3302" s="74">
        <v>75000.0</v>
      </c>
      <c r="M3302" s="74">
        <f t="shared" si="2"/>
        <v>75000</v>
      </c>
      <c r="N3302" s="74">
        <f t="shared" si="3"/>
        <v>100000</v>
      </c>
      <c r="O3302" s="65" t="str">
        <f>VLOOKUP(E3302,DATABASE!C:Q,8,false)</f>
        <v>BIAN</v>
      </c>
      <c r="P3302" s="65">
        <f>VLOOKUP(E3302,DATABASE!C:Q,9,False)</f>
        <v>0</v>
      </c>
      <c r="Q3302" s="93" t="str">
        <f>VLOOKUP(E3302,DATABASE!C:Q,4,false)</f>
        <v>Baut Camber</v>
      </c>
      <c r="R3302" s="93" t="str">
        <f>VLOOKUP(E3302,DATABASE!C:Q,11,false)</f>
        <v>COMPLEMENTARY</v>
      </c>
    </row>
    <row r="3303" ht="22.5" customHeight="1">
      <c r="A3303" s="49"/>
      <c r="C3303" s="384">
        <v>45832.0</v>
      </c>
      <c r="D3303" s="65">
        <v>6207.0</v>
      </c>
      <c r="E3303" s="445" t="s">
        <v>268</v>
      </c>
      <c r="F3303" s="386">
        <v>4.0</v>
      </c>
      <c r="G3303" s="74">
        <v>720000.0</v>
      </c>
      <c r="H3303" s="74">
        <v>0.0</v>
      </c>
      <c r="I3303" s="74">
        <f t="shared" si="1"/>
        <v>2880000</v>
      </c>
      <c r="J3303" s="74">
        <f>IF(E3303="SERVICE",I3303-(I3303*50%),Vlookup(E3303,DATABASE!C:Q,10,false)*F3303)</f>
        <v>0</v>
      </c>
      <c r="K3303" s="74">
        <f>VLOOKUP(E3303,DATABASE!C:Q,7,false)</f>
        <v>653000</v>
      </c>
      <c r="L3303" s="74">
        <v>622000.0</v>
      </c>
      <c r="M3303" s="74">
        <f t="shared" si="2"/>
        <v>625000</v>
      </c>
      <c r="N3303" s="74">
        <f t="shared" si="3"/>
        <v>380000</v>
      </c>
      <c r="O3303" s="65" t="str">
        <f>VLOOKUP(E3303,DATABASE!C:Q,8,false)</f>
        <v>IBU</v>
      </c>
      <c r="P3303" s="65">
        <f>VLOOKUP(E3303,DATABASE!C:Q,9,False)</f>
        <v>1</v>
      </c>
      <c r="Q3303" s="93" t="str">
        <f>VLOOKUP(E3303,DATABASE!C:Q,4,false)</f>
        <v>Dunlop</v>
      </c>
      <c r="R3303" s="93" t="str">
        <f>VLOOKUP(E3303,DATABASE!C:Q,11,false)</f>
        <v>Tire</v>
      </c>
    </row>
    <row r="3304" ht="22.5" customHeight="1">
      <c r="A3304" s="49"/>
      <c r="C3304" s="384">
        <v>45832.0</v>
      </c>
      <c r="D3304" s="65">
        <v>6208.0</v>
      </c>
      <c r="E3304" s="445" t="s">
        <v>256</v>
      </c>
      <c r="F3304" s="386">
        <v>1.0</v>
      </c>
      <c r="G3304" s="74">
        <v>130000.0</v>
      </c>
      <c r="H3304" s="74">
        <v>0.0</v>
      </c>
      <c r="I3304" s="74">
        <f t="shared" si="1"/>
        <v>130000</v>
      </c>
      <c r="J3304" s="74">
        <f>IF(E3304="SERVICE",I3304-(I3304*50%),Vlookup(E3304,DATABASE!C:Q,10,false)*F3304)</f>
        <v>10000</v>
      </c>
      <c r="K3304" s="74">
        <f>VLOOKUP(E3304,DATABASE!C:Q,7,false)</f>
        <v>0</v>
      </c>
      <c r="L3304" s="74">
        <v>0.0</v>
      </c>
      <c r="M3304" s="74">
        <f t="shared" si="2"/>
        <v>0</v>
      </c>
      <c r="N3304" s="74">
        <f t="shared" si="3"/>
        <v>120000</v>
      </c>
      <c r="O3304" s="65" t="str">
        <f>VLOOKUP(E3304,DATABASE!C:Q,8,false)</f>
        <v>IBU</v>
      </c>
      <c r="P3304" s="65">
        <f>VLOOKUP(E3304,DATABASE!C:Q,9,False)</f>
        <v>0</v>
      </c>
      <c r="Q3304" s="93" t="str">
        <f>VLOOKUP(E3304,DATABASE!C:Q,4,false)</f>
        <v>SPOORING</v>
      </c>
      <c r="R3304" s="93" t="str">
        <f>VLOOKUP(E3304,DATABASE!C:Q,11,false)</f>
        <v>SERVICE</v>
      </c>
    </row>
    <row r="3305" ht="22.5" customHeight="1">
      <c r="A3305" s="49"/>
      <c r="C3305" s="384">
        <v>45832.0</v>
      </c>
      <c r="D3305" s="65">
        <v>6208.0</v>
      </c>
      <c r="E3305" s="445" t="s">
        <v>301</v>
      </c>
      <c r="F3305" s="386">
        <v>1.0</v>
      </c>
      <c r="G3305" s="74">
        <v>250000.0</v>
      </c>
      <c r="H3305" s="74">
        <v>0.0</v>
      </c>
      <c r="I3305" s="74">
        <f t="shared" si="1"/>
        <v>250000</v>
      </c>
      <c r="J3305" s="74">
        <f>IF(E3305="SERVICE",I3305-(I3305*50%),Vlookup(E3305,DATABASE!C:Q,10,false)*F3305)</f>
        <v>75000</v>
      </c>
      <c r="K3305" s="74">
        <f>VLOOKUP(E3305,DATABASE!C:Q,7,false)</f>
        <v>75000</v>
      </c>
      <c r="L3305" s="74">
        <v>75000.0</v>
      </c>
      <c r="M3305" s="74">
        <f t="shared" si="2"/>
        <v>75000</v>
      </c>
      <c r="N3305" s="74">
        <f t="shared" si="3"/>
        <v>100000</v>
      </c>
      <c r="O3305" s="65" t="str">
        <f>VLOOKUP(E3305,DATABASE!C:Q,8,false)</f>
        <v>BIAN</v>
      </c>
      <c r="P3305" s="65">
        <f>VLOOKUP(E3305,DATABASE!C:Q,9,False)</f>
        <v>0</v>
      </c>
      <c r="Q3305" s="93" t="str">
        <f>VLOOKUP(E3305,DATABASE!C:Q,4,false)</f>
        <v>Baut Camber</v>
      </c>
      <c r="R3305" s="93" t="str">
        <f>VLOOKUP(E3305,DATABASE!C:Q,11,false)</f>
        <v>COMPLEMENTARY</v>
      </c>
    </row>
    <row r="3306" ht="22.5" customHeight="1">
      <c r="A3306" s="49"/>
      <c r="C3306" s="384">
        <v>45832.0</v>
      </c>
      <c r="D3306" s="65">
        <v>6213.0</v>
      </c>
      <c r="E3306" s="445" t="s">
        <v>256</v>
      </c>
      <c r="F3306" s="386">
        <v>1.0</v>
      </c>
      <c r="G3306" s="74">
        <v>130000.0</v>
      </c>
      <c r="H3306" s="74">
        <v>0.0</v>
      </c>
      <c r="I3306" s="74">
        <f t="shared" si="1"/>
        <v>130000</v>
      </c>
      <c r="J3306" s="74">
        <f>IF(E3306="SERVICE",I3306-(I3306*50%),Vlookup(E3306,DATABASE!C:Q,10,false)*F3306)</f>
        <v>10000</v>
      </c>
      <c r="K3306" s="74">
        <f>VLOOKUP(E3306,DATABASE!C:Q,7,false)</f>
        <v>0</v>
      </c>
      <c r="L3306" s="74">
        <v>0.0</v>
      </c>
      <c r="M3306" s="74">
        <f t="shared" si="2"/>
        <v>0</v>
      </c>
      <c r="N3306" s="74">
        <f t="shared" si="3"/>
        <v>120000</v>
      </c>
      <c r="O3306" s="65" t="str">
        <f>VLOOKUP(E3306,DATABASE!C:Q,8,false)</f>
        <v>IBU</v>
      </c>
      <c r="P3306" s="65">
        <f>VLOOKUP(E3306,DATABASE!C:Q,9,False)</f>
        <v>0</v>
      </c>
      <c r="Q3306" s="93" t="str">
        <f>VLOOKUP(E3306,DATABASE!C:Q,4,false)</f>
        <v>SPOORING</v>
      </c>
      <c r="R3306" s="93" t="str">
        <f>VLOOKUP(E3306,DATABASE!C:Q,11,false)</f>
        <v>SERVICE</v>
      </c>
    </row>
    <row r="3307" ht="22.5" customHeight="1">
      <c r="A3307" s="49"/>
      <c r="C3307" s="384">
        <v>45832.0</v>
      </c>
      <c r="D3307" s="65">
        <v>6213.0</v>
      </c>
      <c r="E3307" s="445" t="s">
        <v>246</v>
      </c>
      <c r="F3307" s="386">
        <v>1.0</v>
      </c>
      <c r="G3307" s="74">
        <v>30000.0</v>
      </c>
      <c r="H3307" s="74">
        <v>0.0</v>
      </c>
      <c r="I3307" s="74">
        <f t="shared" si="1"/>
        <v>30000</v>
      </c>
      <c r="J3307" s="74">
        <f>IF(E3307="SERVICE",I3307-(I3307*50%),Vlookup(E3307,DATABASE!C:Q,10,false)*F3307)</f>
        <v>0</v>
      </c>
      <c r="K3307" s="74">
        <f>VLOOKUP(E3307,DATABASE!C:Q,7,false)</f>
        <v>0</v>
      </c>
      <c r="L3307" s="74">
        <v>0.0</v>
      </c>
      <c r="M3307" s="74">
        <f t="shared" si="2"/>
        <v>0</v>
      </c>
      <c r="N3307" s="74">
        <f t="shared" si="3"/>
        <v>30000</v>
      </c>
      <c r="O3307" s="65" t="str">
        <f>VLOOKUP(E3307,DATABASE!C:Q,8,false)</f>
        <v>IBU</v>
      </c>
      <c r="P3307" s="65">
        <f>VLOOKUP(E3307,DATABASE!C:Q,9,False)</f>
        <v>0</v>
      </c>
      <c r="Q3307" s="93" t="str">
        <f>VLOOKUP(E3307,DATABASE!C:Q,4,false)</f>
        <v>Bongkar Pasang</v>
      </c>
      <c r="R3307" s="93" t="str">
        <f>VLOOKUP(E3307,DATABASE!C:Q,11,false)</f>
        <v>SERVICE</v>
      </c>
    </row>
    <row r="3308" ht="22.5" customHeight="1">
      <c r="A3308" s="49"/>
      <c r="C3308" s="384">
        <v>45832.0</v>
      </c>
      <c r="D3308" s="65">
        <v>6213.0</v>
      </c>
      <c r="E3308" s="445" t="s">
        <v>251</v>
      </c>
      <c r="F3308" s="386">
        <v>1.0</v>
      </c>
      <c r="G3308" s="74">
        <v>150000.0</v>
      </c>
      <c r="H3308" s="74">
        <v>0.0</v>
      </c>
      <c r="I3308" s="74">
        <f t="shared" si="1"/>
        <v>150000</v>
      </c>
      <c r="J3308" s="74">
        <f>IF(E3308="SERVICE",I3308-(I3308*50%),Vlookup(E3308,DATABASE!C:Q,10,false)*F3308)</f>
        <v>75000</v>
      </c>
      <c r="K3308" s="74">
        <f>VLOOKUP(E3308,DATABASE!C:Q,7,false)</f>
        <v>0</v>
      </c>
      <c r="L3308" s="74">
        <v>0.0</v>
      </c>
      <c r="M3308" s="74">
        <f t="shared" si="2"/>
        <v>0</v>
      </c>
      <c r="N3308" s="74">
        <f t="shared" si="3"/>
        <v>75000</v>
      </c>
      <c r="O3308" s="65" t="str">
        <f>VLOOKUP(E3308,DATABASE!C:Q,8,false)</f>
        <v>IBU</v>
      </c>
      <c r="P3308" s="65">
        <f>VLOOKUP(E3308,DATABASE!C:Q,9,False)</f>
        <v>0</v>
      </c>
      <c r="Q3308" s="93" t="str">
        <f>VLOOKUP(E3308,DATABASE!C:Q,4,false)</f>
        <v>SERVICE</v>
      </c>
      <c r="R3308" s="93" t="str">
        <f>VLOOKUP(E3308,DATABASE!C:Q,11,false)</f>
        <v>SERVICE</v>
      </c>
    </row>
    <row r="3309" ht="22.5" customHeight="1">
      <c r="A3309" s="49"/>
      <c r="C3309" s="384">
        <v>45832.0</v>
      </c>
      <c r="D3309" s="65">
        <v>6214.0</v>
      </c>
      <c r="E3309" s="445" t="s">
        <v>246</v>
      </c>
      <c r="F3309" s="386">
        <v>4.0</v>
      </c>
      <c r="G3309" s="74">
        <v>40000.0</v>
      </c>
      <c r="H3309" s="74">
        <v>0.0</v>
      </c>
      <c r="I3309" s="74">
        <f t="shared" si="1"/>
        <v>160000</v>
      </c>
      <c r="J3309" s="74">
        <f>IF(E3309="SERVICE",I3309-(I3309*50%),Vlookup(E3309,DATABASE!C:Q,10,false)*F3309)</f>
        <v>0</v>
      </c>
      <c r="K3309" s="74">
        <f>VLOOKUP(E3309,DATABASE!C:Q,7,false)</f>
        <v>0</v>
      </c>
      <c r="L3309" s="74">
        <v>0.0</v>
      </c>
      <c r="M3309" s="74">
        <f t="shared" si="2"/>
        <v>0</v>
      </c>
      <c r="N3309" s="74">
        <f t="shared" si="3"/>
        <v>160000</v>
      </c>
      <c r="O3309" s="65" t="str">
        <f>VLOOKUP(E3309,DATABASE!C:Q,8,false)</f>
        <v>IBU</v>
      </c>
      <c r="P3309" s="65">
        <f>VLOOKUP(E3309,DATABASE!C:Q,9,False)</f>
        <v>0</v>
      </c>
      <c r="Q3309" s="93" t="str">
        <f>VLOOKUP(E3309,DATABASE!C:Q,4,false)</f>
        <v>Bongkar Pasang</v>
      </c>
      <c r="R3309" s="93" t="str">
        <f>VLOOKUP(E3309,DATABASE!C:Q,11,false)</f>
        <v>SERVICE</v>
      </c>
    </row>
    <row r="3310" ht="22.5" customHeight="1">
      <c r="A3310" s="49"/>
      <c r="C3310" s="384">
        <v>45832.0</v>
      </c>
      <c r="D3310" s="65">
        <v>6215.0</v>
      </c>
      <c r="E3310" s="445" t="s">
        <v>290</v>
      </c>
      <c r="F3310" s="386">
        <v>4.0</v>
      </c>
      <c r="G3310" s="74">
        <v>720000.0</v>
      </c>
      <c r="H3310" s="74">
        <v>0.0</v>
      </c>
      <c r="I3310" s="74">
        <f t="shared" si="1"/>
        <v>2880000</v>
      </c>
      <c r="J3310" s="74">
        <f>IF(E3310="SERVICE",I3310-(I3310*50%),Vlookup(E3310,DATABASE!C:Q,10,false)*F3310)</f>
        <v>0</v>
      </c>
      <c r="K3310" s="74">
        <f>VLOOKUP(E3310,DATABASE!C:Q,7,false)</f>
        <v>628100</v>
      </c>
      <c r="L3310" s="74">
        <v>609804.0</v>
      </c>
      <c r="M3310" s="74">
        <f t="shared" si="2"/>
        <v>610000</v>
      </c>
      <c r="N3310" s="74">
        <f t="shared" si="3"/>
        <v>440000</v>
      </c>
      <c r="O3310" s="65" t="str">
        <f>VLOOKUP(E3310,DATABASE!C:Q,8,false)</f>
        <v>BIAN</v>
      </c>
      <c r="P3310" s="65">
        <f>VLOOKUP(E3310,DATABASE!C:Q,9,False)</f>
        <v>1</v>
      </c>
      <c r="Q3310" s="93" t="str">
        <f>VLOOKUP(E3310,DATABASE!C:Q,4,false)</f>
        <v>GT</v>
      </c>
      <c r="R3310" s="93" t="str">
        <f>VLOOKUP(E3310,DATABASE!C:Q,11,false)</f>
        <v>Tire</v>
      </c>
    </row>
    <row r="3311" ht="22.5" customHeight="1">
      <c r="A3311" s="49"/>
      <c r="C3311" s="384">
        <v>45832.0</v>
      </c>
      <c r="D3311" s="65">
        <v>6215.0</v>
      </c>
      <c r="E3311" s="445" t="s">
        <v>256</v>
      </c>
      <c r="F3311" s="386">
        <v>1.0</v>
      </c>
      <c r="G3311" s="74">
        <v>130000.0</v>
      </c>
      <c r="H3311" s="74">
        <v>0.0</v>
      </c>
      <c r="I3311" s="74">
        <f t="shared" si="1"/>
        <v>130000</v>
      </c>
      <c r="J3311" s="74">
        <f>IF(E3311="SERVICE",I3311-(I3311*50%),Vlookup(E3311,DATABASE!C:Q,10,false)*F3311)</f>
        <v>10000</v>
      </c>
      <c r="K3311" s="74">
        <f>VLOOKUP(E3311,DATABASE!C:Q,7,false)</f>
        <v>0</v>
      </c>
      <c r="L3311" s="74">
        <v>0.0</v>
      </c>
      <c r="M3311" s="74">
        <f t="shared" si="2"/>
        <v>0</v>
      </c>
      <c r="N3311" s="74">
        <f t="shared" si="3"/>
        <v>120000</v>
      </c>
      <c r="O3311" s="65" t="str">
        <f>VLOOKUP(E3311,DATABASE!C:Q,8,false)</f>
        <v>IBU</v>
      </c>
      <c r="P3311" s="65">
        <f>VLOOKUP(E3311,DATABASE!C:Q,9,False)</f>
        <v>0</v>
      </c>
      <c r="Q3311" s="93" t="str">
        <f>VLOOKUP(E3311,DATABASE!C:Q,4,false)</f>
        <v>SPOORING</v>
      </c>
      <c r="R3311" s="93" t="str">
        <f>VLOOKUP(E3311,DATABASE!C:Q,11,false)</f>
        <v>SERVICE</v>
      </c>
    </row>
    <row r="3312" ht="22.5" customHeight="1">
      <c r="A3312" s="49"/>
      <c r="C3312" s="384">
        <v>45832.0</v>
      </c>
      <c r="D3312" s="65">
        <v>6215.0</v>
      </c>
      <c r="E3312" s="445" t="s">
        <v>301</v>
      </c>
      <c r="F3312" s="386">
        <v>1.0</v>
      </c>
      <c r="G3312" s="74">
        <v>250000.0</v>
      </c>
      <c r="H3312" s="74">
        <v>0.0</v>
      </c>
      <c r="I3312" s="74">
        <f t="shared" si="1"/>
        <v>250000</v>
      </c>
      <c r="J3312" s="74">
        <f>IF(E3312="SERVICE",I3312-(I3312*50%),Vlookup(E3312,DATABASE!C:Q,10,false)*F3312)</f>
        <v>75000</v>
      </c>
      <c r="K3312" s="74">
        <f>VLOOKUP(E3312,DATABASE!C:Q,7,false)</f>
        <v>75000</v>
      </c>
      <c r="L3312" s="74">
        <v>75000.0</v>
      </c>
      <c r="M3312" s="74">
        <f t="shared" si="2"/>
        <v>75000</v>
      </c>
      <c r="N3312" s="74">
        <f t="shared" si="3"/>
        <v>100000</v>
      </c>
      <c r="O3312" s="65" t="str">
        <f>VLOOKUP(E3312,DATABASE!C:Q,8,false)</f>
        <v>BIAN</v>
      </c>
      <c r="P3312" s="65">
        <f>VLOOKUP(E3312,DATABASE!C:Q,9,False)</f>
        <v>0</v>
      </c>
      <c r="Q3312" s="93" t="str">
        <f>VLOOKUP(E3312,DATABASE!C:Q,4,false)</f>
        <v>Baut Camber</v>
      </c>
      <c r="R3312" s="93" t="str">
        <f>VLOOKUP(E3312,DATABASE!C:Q,11,false)</f>
        <v>COMPLEMENTARY</v>
      </c>
    </row>
    <row r="3313" ht="22.5" customHeight="1">
      <c r="A3313" s="49"/>
      <c r="C3313" s="384">
        <v>45832.0</v>
      </c>
      <c r="D3313" s="65">
        <v>6216.0</v>
      </c>
      <c r="E3313" s="445" t="s">
        <v>271</v>
      </c>
      <c r="F3313" s="386">
        <v>2.0</v>
      </c>
      <c r="G3313" s="74">
        <v>640000.0</v>
      </c>
      <c r="H3313" s="74">
        <v>0.0</v>
      </c>
      <c r="I3313" s="74">
        <f t="shared" si="1"/>
        <v>1280000</v>
      </c>
      <c r="J3313" s="74">
        <f>IF(E3313="SERVICE",I3313-(I3313*50%),Vlookup(E3313,DATABASE!C:Q,10,false)*F3313)</f>
        <v>0</v>
      </c>
      <c r="K3313" s="74">
        <f>VLOOKUP(E3313,DATABASE!C:Q,7,false)</f>
        <v>570000</v>
      </c>
      <c r="L3313" s="74">
        <v>539000.0</v>
      </c>
      <c r="M3313" s="74">
        <f t="shared" si="2"/>
        <v>540000</v>
      </c>
      <c r="N3313" s="74">
        <f t="shared" si="3"/>
        <v>200000</v>
      </c>
      <c r="O3313" s="65" t="str">
        <f>VLOOKUP(E3313,DATABASE!C:Q,8,false)</f>
        <v>IBU</v>
      </c>
      <c r="P3313" s="65">
        <f>VLOOKUP(E3313,DATABASE!C:Q,9,False)</f>
        <v>1</v>
      </c>
      <c r="Q3313" s="93" t="str">
        <f>VLOOKUP(E3313,DATABASE!C:Q,4,false)</f>
        <v>Dunlop</v>
      </c>
      <c r="R3313" s="93" t="str">
        <f>VLOOKUP(E3313,DATABASE!C:Q,11,false)</f>
        <v>Tire</v>
      </c>
    </row>
    <row r="3314" ht="22.5" customHeight="1">
      <c r="A3314" s="49"/>
      <c r="C3314" s="384">
        <v>45832.0</v>
      </c>
      <c r="D3314" s="65">
        <v>6217.0</v>
      </c>
      <c r="E3314" s="445" t="s">
        <v>777</v>
      </c>
      <c r="F3314" s="386">
        <v>4.0</v>
      </c>
      <c r="G3314" s="74">
        <v>585000.0</v>
      </c>
      <c r="H3314" s="74">
        <v>0.0</v>
      </c>
      <c r="I3314" s="74">
        <f t="shared" si="1"/>
        <v>2340000</v>
      </c>
      <c r="J3314" s="74">
        <f>IF(E3314="SERVICE",I3314-(I3314*50%),Vlookup(E3314,DATABASE!C:Q,10,false)*F3314)</f>
        <v>0</v>
      </c>
      <c r="K3314" s="74">
        <f>VLOOKUP(E3314,DATABASE!C:Q,7,false)</f>
        <v>540000</v>
      </c>
      <c r="L3314" s="74">
        <v>507000.0</v>
      </c>
      <c r="M3314" s="74">
        <f t="shared" si="2"/>
        <v>510000</v>
      </c>
      <c r="N3314" s="74">
        <f t="shared" si="3"/>
        <v>300000</v>
      </c>
      <c r="O3314" s="65" t="str">
        <f>VLOOKUP(E3314,DATABASE!C:Q,8,false)</f>
        <v>BIAN</v>
      </c>
      <c r="P3314" s="65">
        <f>VLOOKUP(E3314,DATABASE!C:Q,9,False)</f>
        <v>1</v>
      </c>
      <c r="Q3314" s="93" t="str">
        <f>VLOOKUP(E3314,DATABASE!C:Q,4,false)</f>
        <v>GT</v>
      </c>
      <c r="R3314" s="93" t="str">
        <f>VLOOKUP(E3314,DATABASE!C:Q,11,false)</f>
        <v>Tire</v>
      </c>
    </row>
    <row r="3315" ht="22.5" customHeight="1">
      <c r="A3315" s="49"/>
      <c r="C3315" s="384">
        <v>45832.0</v>
      </c>
      <c r="D3315" s="65">
        <v>6218.0</v>
      </c>
      <c r="E3315" s="445" t="s">
        <v>246</v>
      </c>
      <c r="F3315" s="386">
        <v>1.0</v>
      </c>
      <c r="G3315" s="74">
        <v>30000.0</v>
      </c>
      <c r="H3315" s="74">
        <v>0.0</v>
      </c>
      <c r="I3315" s="74">
        <f t="shared" si="1"/>
        <v>30000</v>
      </c>
      <c r="J3315" s="74">
        <f>IF(E3315="SERVICE",I3315-(I3315*50%),Vlookup(E3315,DATABASE!C:Q,10,false)*F3315)</f>
        <v>0</v>
      </c>
      <c r="K3315" s="74">
        <f>VLOOKUP(E3315,DATABASE!C:Q,7,false)</f>
        <v>0</v>
      </c>
      <c r="L3315" s="74">
        <v>0.0</v>
      </c>
      <c r="M3315" s="74">
        <f t="shared" si="2"/>
        <v>0</v>
      </c>
      <c r="N3315" s="74">
        <f t="shared" si="3"/>
        <v>30000</v>
      </c>
      <c r="O3315" s="65" t="str">
        <f>VLOOKUP(E3315,DATABASE!C:Q,8,false)</f>
        <v>IBU</v>
      </c>
      <c r="P3315" s="65">
        <f>VLOOKUP(E3315,DATABASE!C:Q,9,False)</f>
        <v>0</v>
      </c>
      <c r="Q3315" s="93" t="str">
        <f>VLOOKUP(E3315,DATABASE!C:Q,4,false)</f>
        <v>Bongkar Pasang</v>
      </c>
      <c r="R3315" s="93" t="str">
        <f>VLOOKUP(E3315,DATABASE!C:Q,11,false)</f>
        <v>SERVICE</v>
      </c>
    </row>
    <row r="3316" ht="22.5" customHeight="1">
      <c r="A3316" s="49"/>
      <c r="C3316" s="384">
        <v>45832.0</v>
      </c>
      <c r="D3316" s="65">
        <v>6218.0</v>
      </c>
      <c r="E3316" s="385" t="s">
        <v>299</v>
      </c>
      <c r="F3316" s="386">
        <v>2.0</v>
      </c>
      <c r="G3316" s="74">
        <v>30000.0</v>
      </c>
      <c r="H3316" s="74">
        <v>0.0</v>
      </c>
      <c r="I3316" s="74">
        <f t="shared" si="1"/>
        <v>60000</v>
      </c>
      <c r="J3316" s="74">
        <f>IF(E3316="SERVICE",I3316-(I3316*50%),Vlookup(E3316,DATABASE!C:Q,10,false)*F3316)</f>
        <v>0</v>
      </c>
      <c r="K3316" s="74">
        <v>0.0</v>
      </c>
      <c r="L3316" s="74">
        <v>0.0</v>
      </c>
      <c r="M3316" s="74">
        <f t="shared" si="2"/>
        <v>0</v>
      </c>
      <c r="N3316" s="74">
        <f t="shared" si="3"/>
        <v>60000</v>
      </c>
      <c r="O3316" s="65" t="str">
        <f>VLOOKUP(E3316,DATABASE!C:Q,8,false)</f>
        <v>BIAN</v>
      </c>
      <c r="P3316" s="65">
        <f>VLOOKUP(E3316,DATABASE!C:Q,9,False)</f>
        <v>0</v>
      </c>
      <c r="Q3316" s="93" t="str">
        <f>VLOOKUP(E3316,DATABASE!C:Q,4,false)</f>
        <v>Balancing</v>
      </c>
      <c r="R3316" s="93" t="str">
        <f>VLOOKUP(E3316,DATABASE!C:Q,11,false)</f>
        <v>COMPLEMENTARY</v>
      </c>
    </row>
    <row r="3317" ht="22.5" customHeight="1">
      <c r="A3317" s="49"/>
      <c r="C3317" s="384">
        <v>45832.0</v>
      </c>
      <c r="D3317" s="65">
        <v>6218.0</v>
      </c>
      <c r="E3317" s="445" t="s">
        <v>256</v>
      </c>
      <c r="F3317" s="386">
        <v>1.0</v>
      </c>
      <c r="G3317" s="74">
        <v>130000.0</v>
      </c>
      <c r="H3317" s="74">
        <v>0.0</v>
      </c>
      <c r="I3317" s="74">
        <f t="shared" si="1"/>
        <v>130000</v>
      </c>
      <c r="J3317" s="74">
        <f>IF(E3317="SERVICE",I3317-(I3317*50%),Vlookup(E3317,DATABASE!C:Q,10,false)*F3317)</f>
        <v>10000</v>
      </c>
      <c r="K3317" s="74">
        <f>VLOOKUP(E3317,DATABASE!C:Q,7,false)</f>
        <v>0</v>
      </c>
      <c r="L3317" s="74">
        <v>0.0</v>
      </c>
      <c r="M3317" s="74">
        <f t="shared" si="2"/>
        <v>0</v>
      </c>
      <c r="N3317" s="74">
        <f t="shared" si="3"/>
        <v>120000</v>
      </c>
      <c r="O3317" s="65" t="str">
        <f>VLOOKUP(E3317,DATABASE!C:Q,8,false)</f>
        <v>IBU</v>
      </c>
      <c r="P3317" s="65">
        <f>VLOOKUP(E3317,DATABASE!C:Q,9,False)</f>
        <v>0</v>
      </c>
      <c r="Q3317" s="93" t="str">
        <f>VLOOKUP(E3317,DATABASE!C:Q,4,false)</f>
        <v>SPOORING</v>
      </c>
      <c r="R3317" s="93" t="str">
        <f>VLOOKUP(E3317,DATABASE!C:Q,11,false)</f>
        <v>SERVICE</v>
      </c>
    </row>
    <row r="3318" ht="22.5" customHeight="1">
      <c r="A3318" s="49"/>
      <c r="C3318" s="384">
        <v>45832.0</v>
      </c>
      <c r="D3318" s="65">
        <v>6219.0</v>
      </c>
      <c r="E3318" s="445" t="s">
        <v>256</v>
      </c>
      <c r="F3318" s="386">
        <v>1.0</v>
      </c>
      <c r="G3318" s="74">
        <v>130000.0</v>
      </c>
      <c r="H3318" s="74">
        <v>0.0</v>
      </c>
      <c r="I3318" s="74">
        <f t="shared" si="1"/>
        <v>130000</v>
      </c>
      <c r="J3318" s="74">
        <f>IF(E3318="SERVICE",I3318-(I3318*50%),Vlookup(E3318,DATABASE!C:Q,10,false)*F3318)</f>
        <v>10000</v>
      </c>
      <c r="K3318" s="74">
        <f>VLOOKUP(E3318,DATABASE!C:Q,7,false)</f>
        <v>0</v>
      </c>
      <c r="L3318" s="74">
        <v>0.0</v>
      </c>
      <c r="M3318" s="74">
        <f t="shared" si="2"/>
        <v>0</v>
      </c>
      <c r="N3318" s="74">
        <f t="shared" si="3"/>
        <v>120000</v>
      </c>
      <c r="O3318" s="65" t="str">
        <f>VLOOKUP(E3318,DATABASE!C:Q,8,false)</f>
        <v>IBU</v>
      </c>
      <c r="P3318" s="65">
        <f>VLOOKUP(E3318,DATABASE!C:Q,9,False)</f>
        <v>0</v>
      </c>
      <c r="Q3318" s="93" t="str">
        <f>VLOOKUP(E3318,DATABASE!C:Q,4,false)</f>
        <v>SPOORING</v>
      </c>
      <c r="R3318" s="93" t="str">
        <f>VLOOKUP(E3318,DATABASE!C:Q,11,false)</f>
        <v>SERVICE</v>
      </c>
    </row>
    <row r="3319" ht="22.5" customHeight="1">
      <c r="A3319" s="49"/>
      <c r="C3319" s="384">
        <v>45832.0</v>
      </c>
      <c r="D3319" s="65">
        <v>6219.0</v>
      </c>
      <c r="E3319" s="445" t="s">
        <v>301</v>
      </c>
      <c r="F3319" s="386">
        <v>1.0</v>
      </c>
      <c r="G3319" s="74">
        <v>250000.0</v>
      </c>
      <c r="H3319" s="74">
        <v>0.0</v>
      </c>
      <c r="I3319" s="74">
        <f t="shared" si="1"/>
        <v>250000</v>
      </c>
      <c r="J3319" s="74">
        <f>IF(E3319="SERVICE",I3319-(I3319*50%),Vlookup(E3319,DATABASE!C:Q,10,false)*F3319)</f>
        <v>75000</v>
      </c>
      <c r="K3319" s="74">
        <f>VLOOKUP(E3319,DATABASE!C:Q,7,false)</f>
        <v>75000</v>
      </c>
      <c r="L3319" s="74">
        <v>75000.0</v>
      </c>
      <c r="M3319" s="74">
        <f t="shared" si="2"/>
        <v>75000</v>
      </c>
      <c r="N3319" s="74">
        <f t="shared" si="3"/>
        <v>100000</v>
      </c>
      <c r="O3319" s="65" t="str">
        <f>VLOOKUP(E3319,DATABASE!C:Q,8,false)</f>
        <v>BIAN</v>
      </c>
      <c r="P3319" s="65">
        <f>VLOOKUP(E3319,DATABASE!C:Q,9,False)</f>
        <v>0</v>
      </c>
      <c r="Q3319" s="93" t="str">
        <f>VLOOKUP(E3319,DATABASE!C:Q,4,false)</f>
        <v>Baut Camber</v>
      </c>
      <c r="R3319" s="93" t="str">
        <f>VLOOKUP(E3319,DATABASE!C:Q,11,false)</f>
        <v>COMPLEMENTARY</v>
      </c>
    </row>
    <row r="3320" ht="22.5" customHeight="1">
      <c r="A3320" s="49"/>
      <c r="C3320" s="384">
        <v>45833.0</v>
      </c>
      <c r="D3320" s="65">
        <v>6220.0</v>
      </c>
      <c r="E3320" s="445" t="s">
        <v>1928</v>
      </c>
      <c r="F3320" s="386">
        <v>1.0</v>
      </c>
      <c r="G3320" s="74">
        <v>675000.0</v>
      </c>
      <c r="H3320" s="74">
        <v>0.0</v>
      </c>
      <c r="I3320" s="74">
        <f t="shared" si="1"/>
        <v>675000</v>
      </c>
      <c r="J3320" s="74">
        <f>IF(E3320="SERVICE",I3320-(I3320*50%),Vlookup(E3320,DATABASE!C:Q,10,false)*F3320)</f>
        <v>0</v>
      </c>
      <c r="K3320" s="74">
        <f>VLOOKUP(E3320,DATABASE!C:Q,7,false)</f>
        <v>589700</v>
      </c>
      <c r="L3320" s="74">
        <v>572700.0</v>
      </c>
      <c r="M3320" s="74">
        <f t="shared" si="2"/>
        <v>575000</v>
      </c>
      <c r="N3320" s="74">
        <f t="shared" si="3"/>
        <v>100000</v>
      </c>
      <c r="O3320" s="65" t="str">
        <f>VLOOKUP(E3320,DATABASE!C:Q,8,false)</f>
        <v>BIAN</v>
      </c>
      <c r="P3320" s="65">
        <f>VLOOKUP(E3320,DATABASE!C:Q,9,False)</f>
        <v>1</v>
      </c>
      <c r="Q3320" s="93" t="str">
        <f>VLOOKUP(E3320,DATABASE!C:Q,4,false)</f>
        <v>GT</v>
      </c>
      <c r="R3320" s="93" t="str">
        <f>VLOOKUP(E3320,DATABASE!C:Q,11,false)</f>
        <v>Tire</v>
      </c>
    </row>
    <row r="3321" ht="22.5" customHeight="1">
      <c r="A3321" s="49"/>
      <c r="C3321" s="384">
        <v>45833.0</v>
      </c>
      <c r="D3321" s="65">
        <v>6220.0</v>
      </c>
      <c r="E3321" s="385" t="s">
        <v>299</v>
      </c>
      <c r="F3321" s="386">
        <v>2.0</v>
      </c>
      <c r="G3321" s="74">
        <v>30000.0</v>
      </c>
      <c r="H3321" s="74">
        <v>0.0</v>
      </c>
      <c r="I3321" s="74">
        <f t="shared" si="1"/>
        <v>60000</v>
      </c>
      <c r="J3321" s="74">
        <f>IF(E3321="SERVICE",I3321-(I3321*50%),Vlookup(E3321,DATABASE!C:Q,10,false)*F3321)</f>
        <v>0</v>
      </c>
      <c r="K3321" s="74">
        <v>0.0</v>
      </c>
      <c r="L3321" s="74">
        <v>0.0</v>
      </c>
      <c r="M3321" s="74">
        <f t="shared" si="2"/>
        <v>0</v>
      </c>
      <c r="N3321" s="74">
        <f t="shared" si="3"/>
        <v>60000</v>
      </c>
      <c r="O3321" s="65" t="str">
        <f>VLOOKUP(E3321,DATABASE!C:Q,8,false)</f>
        <v>BIAN</v>
      </c>
      <c r="P3321" s="65">
        <f>VLOOKUP(E3321,DATABASE!C:Q,9,False)</f>
        <v>0</v>
      </c>
      <c r="Q3321" s="93" t="str">
        <f>VLOOKUP(E3321,DATABASE!C:Q,4,false)</f>
        <v>Balancing</v>
      </c>
      <c r="R3321" s="93" t="str">
        <f>VLOOKUP(E3321,DATABASE!C:Q,11,false)</f>
        <v>COMPLEMENTARY</v>
      </c>
    </row>
    <row r="3322" ht="22.5" customHeight="1">
      <c r="A3322" s="49"/>
      <c r="C3322" s="384">
        <v>45833.0</v>
      </c>
      <c r="D3322" s="65">
        <v>6221.0</v>
      </c>
      <c r="E3322" s="445" t="s">
        <v>2019</v>
      </c>
      <c r="F3322" s="386">
        <v>1.0</v>
      </c>
      <c r="G3322" s="74">
        <v>685000.0</v>
      </c>
      <c r="H3322" s="74">
        <v>0.0</v>
      </c>
      <c r="I3322" s="74">
        <f t="shared" si="1"/>
        <v>685000</v>
      </c>
      <c r="J3322" s="74">
        <f>IF(E3322="SERVICE",I3322-(I3322*50%),Vlookup(E3322,DATABASE!C:Q,10,false)*F3322)</f>
        <v>0</v>
      </c>
      <c r="K3322" s="74">
        <f>VLOOKUP(E3322,DATABASE!C:Q,7,false)</f>
        <v>620000</v>
      </c>
      <c r="L3322" s="74">
        <v>585000.0</v>
      </c>
      <c r="M3322" s="74">
        <f t="shared" si="2"/>
        <v>585000</v>
      </c>
      <c r="N3322" s="74">
        <f t="shared" si="3"/>
        <v>100000</v>
      </c>
      <c r="O3322" s="65" t="str">
        <f>VLOOKUP(E3322,DATABASE!C:Q,8,false)</f>
        <v>BIAN</v>
      </c>
      <c r="P3322" s="65">
        <f>VLOOKUP(E3322,DATABASE!C:Q,9,False)</f>
        <v>1</v>
      </c>
      <c r="Q3322" s="93" t="str">
        <f>VLOOKUP(E3322,DATABASE!C:Q,4,false)</f>
        <v>GT</v>
      </c>
      <c r="R3322" s="93" t="str">
        <f>VLOOKUP(E3322,DATABASE!C:Q,11,false)</f>
        <v>Tire</v>
      </c>
    </row>
    <row r="3323" ht="22.5" customHeight="1">
      <c r="A3323" s="49"/>
      <c r="C3323" s="384">
        <v>45833.0</v>
      </c>
      <c r="D3323" s="65">
        <v>6222.0</v>
      </c>
      <c r="E3323" s="445" t="s">
        <v>572</v>
      </c>
      <c r="F3323" s="386">
        <v>2.0</v>
      </c>
      <c r="G3323" s="74">
        <v>1370000.0</v>
      </c>
      <c r="H3323" s="74">
        <v>0.0</v>
      </c>
      <c r="I3323" s="74">
        <f t="shared" si="1"/>
        <v>2740000</v>
      </c>
      <c r="J3323" s="74">
        <f>IF(E3323="SERVICE",I3323-(I3323*50%),Vlookup(E3323,DATABASE!C:Q,10,false)*F3323)</f>
        <v>0</v>
      </c>
      <c r="K3323" s="140">
        <v>1270000.0</v>
      </c>
      <c r="L3323" s="140">
        <v>1270000.0</v>
      </c>
      <c r="M3323" s="74">
        <f t="shared" si="2"/>
        <v>1270000</v>
      </c>
      <c r="N3323" s="74">
        <f t="shared" si="3"/>
        <v>200000</v>
      </c>
      <c r="O3323" s="65" t="str">
        <f>VLOOKUP(E3323,DATABASE!C:Q,8,false)</f>
        <v>IBU</v>
      </c>
      <c r="P3323" s="65">
        <f>VLOOKUP(E3323,DATABASE!C:Q,9,False)</f>
        <v>1</v>
      </c>
      <c r="Q3323" s="93" t="str">
        <f>VLOOKUP(E3323,DATABASE!C:Q,4,false)</f>
        <v>Bridgestone</v>
      </c>
      <c r="R3323" s="93" t="str">
        <f>VLOOKUP(E3323,DATABASE!C:Q,11,false)</f>
        <v>Tire</v>
      </c>
    </row>
    <row r="3324" ht="22.5" customHeight="1">
      <c r="A3324" s="49"/>
      <c r="C3324" s="384">
        <v>45833.0</v>
      </c>
      <c r="D3324" s="65">
        <v>6223.0</v>
      </c>
      <c r="E3324" s="445" t="s">
        <v>282</v>
      </c>
      <c r="F3324" s="386">
        <v>4.0</v>
      </c>
      <c r="G3324" s="74">
        <v>880000.0</v>
      </c>
      <c r="H3324" s="74">
        <v>0.0</v>
      </c>
      <c r="I3324" s="74">
        <f t="shared" si="1"/>
        <v>3520000</v>
      </c>
      <c r="J3324" s="74">
        <f>IF(E3324="SERVICE",I3324-(I3324*50%),Vlookup(E3324,DATABASE!C:Q,10,false)*F3324)</f>
        <v>0</v>
      </c>
      <c r="K3324" s="74">
        <f>VLOOKUP(E3324,DATABASE!C:Q,7,false)</f>
        <v>779500</v>
      </c>
      <c r="L3324" s="74">
        <v>771000.0</v>
      </c>
      <c r="M3324" s="74">
        <f t="shared" si="2"/>
        <v>775000</v>
      </c>
      <c r="N3324" s="74">
        <f t="shared" si="3"/>
        <v>420000</v>
      </c>
      <c r="O3324" s="65" t="str">
        <f>VLOOKUP(E3324,DATABASE!C:Q,8,false)</f>
        <v>IBU</v>
      </c>
      <c r="P3324" s="65">
        <f>VLOOKUP(E3324,DATABASE!C:Q,9,False)</f>
        <v>1</v>
      </c>
      <c r="Q3324" s="93" t="str">
        <f>VLOOKUP(E3324,DATABASE!C:Q,4,false)</f>
        <v>Dunlop</v>
      </c>
      <c r="R3324" s="93" t="str">
        <f>VLOOKUP(E3324,DATABASE!C:Q,11,false)</f>
        <v>Tire</v>
      </c>
    </row>
    <row r="3325" ht="22.5" customHeight="1">
      <c r="A3325" s="49"/>
      <c r="C3325" s="384">
        <v>45833.0</v>
      </c>
      <c r="D3325" s="65">
        <v>6223.0</v>
      </c>
      <c r="E3325" s="445" t="s">
        <v>256</v>
      </c>
      <c r="F3325" s="386">
        <v>1.0</v>
      </c>
      <c r="G3325" s="74">
        <v>130000.0</v>
      </c>
      <c r="H3325" s="74">
        <v>0.0</v>
      </c>
      <c r="I3325" s="74">
        <f t="shared" si="1"/>
        <v>130000</v>
      </c>
      <c r="J3325" s="74">
        <f>IF(E3325="SERVICE",I3325-(I3325*50%),Vlookup(E3325,DATABASE!C:Q,10,false)*F3325)</f>
        <v>10000</v>
      </c>
      <c r="K3325" s="74">
        <f>VLOOKUP(E3325,DATABASE!C:Q,7,false)</f>
        <v>0</v>
      </c>
      <c r="L3325" s="74">
        <v>0.0</v>
      </c>
      <c r="M3325" s="74">
        <f t="shared" si="2"/>
        <v>0</v>
      </c>
      <c r="N3325" s="74">
        <f t="shared" si="3"/>
        <v>120000</v>
      </c>
      <c r="O3325" s="65" t="str">
        <f>VLOOKUP(E3325,DATABASE!C:Q,8,false)</f>
        <v>IBU</v>
      </c>
      <c r="P3325" s="65">
        <f>VLOOKUP(E3325,DATABASE!C:Q,9,False)</f>
        <v>0</v>
      </c>
      <c r="Q3325" s="93" t="str">
        <f>VLOOKUP(E3325,DATABASE!C:Q,4,false)</f>
        <v>SPOORING</v>
      </c>
      <c r="R3325" s="93" t="str">
        <f>VLOOKUP(E3325,DATABASE!C:Q,11,false)</f>
        <v>SERVICE</v>
      </c>
    </row>
    <row r="3326" ht="22.5" customHeight="1">
      <c r="A3326" s="49"/>
      <c r="C3326" s="384">
        <v>45833.0</v>
      </c>
      <c r="D3326" s="65">
        <v>6223.0</v>
      </c>
      <c r="E3326" s="445" t="s">
        <v>301</v>
      </c>
      <c r="F3326" s="386">
        <v>1.0</v>
      </c>
      <c r="G3326" s="74">
        <v>250000.0</v>
      </c>
      <c r="H3326" s="74">
        <v>0.0</v>
      </c>
      <c r="I3326" s="74">
        <f t="shared" si="1"/>
        <v>250000</v>
      </c>
      <c r="J3326" s="74">
        <f>IF(E3326="SERVICE",I3326-(I3326*50%),Vlookup(E3326,DATABASE!C:Q,10,false)*F3326)</f>
        <v>75000</v>
      </c>
      <c r="K3326" s="74">
        <f>VLOOKUP(E3326,DATABASE!C:Q,7,false)</f>
        <v>75000</v>
      </c>
      <c r="L3326" s="74">
        <v>75000.0</v>
      </c>
      <c r="M3326" s="74">
        <f t="shared" si="2"/>
        <v>75000</v>
      </c>
      <c r="N3326" s="74">
        <f t="shared" si="3"/>
        <v>100000</v>
      </c>
      <c r="O3326" s="65" t="str">
        <f>VLOOKUP(E3326,DATABASE!C:Q,8,false)</f>
        <v>BIAN</v>
      </c>
      <c r="P3326" s="65">
        <f>VLOOKUP(E3326,DATABASE!C:Q,9,False)</f>
        <v>0</v>
      </c>
      <c r="Q3326" s="93" t="str">
        <f>VLOOKUP(E3326,DATABASE!C:Q,4,false)</f>
        <v>Baut Camber</v>
      </c>
      <c r="R3326" s="93" t="str">
        <f>VLOOKUP(E3326,DATABASE!C:Q,11,false)</f>
        <v>COMPLEMENTARY</v>
      </c>
    </row>
    <row r="3327" ht="22.5" customHeight="1">
      <c r="A3327" s="49"/>
      <c r="C3327" s="384">
        <v>45833.0</v>
      </c>
      <c r="D3327" s="65">
        <v>6223.0</v>
      </c>
      <c r="E3327" s="445" t="s">
        <v>256</v>
      </c>
      <c r="F3327" s="386">
        <v>1.0</v>
      </c>
      <c r="G3327" s="74">
        <v>130000.0</v>
      </c>
      <c r="H3327" s="74">
        <v>0.0</v>
      </c>
      <c r="I3327" s="74">
        <f t="shared" si="1"/>
        <v>130000</v>
      </c>
      <c r="J3327" s="74">
        <f>IF(E3327="SERVICE",I3327-(I3327*50%),Vlookup(E3327,DATABASE!C:Q,10,false)*F3327)</f>
        <v>10000</v>
      </c>
      <c r="K3327" s="74">
        <f>VLOOKUP(E3327,DATABASE!C:Q,7,false)</f>
        <v>0</v>
      </c>
      <c r="L3327" s="74">
        <v>0.0</v>
      </c>
      <c r="M3327" s="74">
        <f t="shared" si="2"/>
        <v>0</v>
      </c>
      <c r="N3327" s="74">
        <f t="shared" si="3"/>
        <v>120000</v>
      </c>
      <c r="O3327" s="65" t="str">
        <f>VLOOKUP(E3327,DATABASE!C:Q,8,false)</f>
        <v>IBU</v>
      </c>
      <c r="P3327" s="65">
        <f>VLOOKUP(E3327,DATABASE!C:Q,9,False)</f>
        <v>0</v>
      </c>
      <c r="Q3327" s="93" t="str">
        <f>VLOOKUP(E3327,DATABASE!C:Q,4,false)</f>
        <v>SPOORING</v>
      </c>
      <c r="R3327" s="93" t="str">
        <f>VLOOKUP(E3327,DATABASE!C:Q,11,false)</f>
        <v>SERVICE</v>
      </c>
    </row>
    <row r="3328" ht="22.5" customHeight="1">
      <c r="A3328" s="49"/>
      <c r="C3328" s="384">
        <v>45833.0</v>
      </c>
      <c r="D3328" s="65">
        <v>6223.0</v>
      </c>
      <c r="E3328" s="445" t="s">
        <v>301</v>
      </c>
      <c r="F3328" s="386">
        <v>1.0</v>
      </c>
      <c r="G3328" s="74">
        <v>250000.0</v>
      </c>
      <c r="H3328" s="74">
        <v>0.0</v>
      </c>
      <c r="I3328" s="74">
        <f t="shared" si="1"/>
        <v>250000</v>
      </c>
      <c r="J3328" s="74">
        <f>IF(E3328="SERVICE",I3328-(I3328*50%),Vlookup(E3328,DATABASE!C:Q,10,false)*F3328)</f>
        <v>75000</v>
      </c>
      <c r="K3328" s="74">
        <f>VLOOKUP(E3328,DATABASE!C:Q,7,false)</f>
        <v>75000</v>
      </c>
      <c r="L3328" s="74">
        <v>75000.0</v>
      </c>
      <c r="M3328" s="74">
        <f t="shared" si="2"/>
        <v>75000</v>
      </c>
      <c r="N3328" s="74">
        <f t="shared" si="3"/>
        <v>100000</v>
      </c>
      <c r="O3328" s="65" t="str">
        <f>VLOOKUP(E3328,DATABASE!C:Q,8,false)</f>
        <v>BIAN</v>
      </c>
      <c r="P3328" s="65">
        <f>VLOOKUP(E3328,DATABASE!C:Q,9,False)</f>
        <v>0</v>
      </c>
      <c r="Q3328" s="93" t="str">
        <f>VLOOKUP(E3328,DATABASE!C:Q,4,false)</f>
        <v>Baut Camber</v>
      </c>
      <c r="R3328" s="93" t="str">
        <f>VLOOKUP(E3328,DATABASE!C:Q,11,false)</f>
        <v>COMPLEMENTARY</v>
      </c>
    </row>
    <row r="3329" ht="22.5" customHeight="1">
      <c r="A3329" s="49"/>
      <c r="C3329" s="384">
        <v>45833.0</v>
      </c>
      <c r="D3329" s="65">
        <v>6224.0</v>
      </c>
      <c r="E3329" s="445" t="s">
        <v>1076</v>
      </c>
      <c r="F3329" s="386">
        <v>2.0</v>
      </c>
      <c r="G3329" s="74">
        <v>770000.0</v>
      </c>
      <c r="H3329" s="74">
        <v>0.0</v>
      </c>
      <c r="I3329" s="74">
        <f t="shared" si="1"/>
        <v>1540000</v>
      </c>
      <c r="J3329" s="74">
        <f>IF(E3329="SERVICE",I3329-(I3329*50%),Vlookup(E3329,DATABASE!C:Q,10,false)*F3329)</f>
        <v>0</v>
      </c>
      <c r="K3329" s="74">
        <f>VLOOKUP(E3329,DATABASE!C:Q,7,false)</f>
        <v>666540</v>
      </c>
      <c r="L3329" s="74">
        <v>666540.0</v>
      </c>
      <c r="M3329" s="74">
        <f t="shared" si="2"/>
        <v>670000</v>
      </c>
      <c r="N3329" s="74">
        <f t="shared" si="3"/>
        <v>200000</v>
      </c>
      <c r="O3329" s="65" t="str">
        <f>VLOOKUP(E3329,DATABASE!C:Q,8,false)</f>
        <v>BIAN</v>
      </c>
      <c r="P3329" s="65">
        <f>VLOOKUP(E3329,DATABASE!C:Q,9,False)</f>
        <v>1</v>
      </c>
      <c r="Q3329" s="93" t="str">
        <f>VLOOKUP(E3329,DATABASE!C:Q,4,false)</f>
        <v>GT</v>
      </c>
      <c r="R3329" s="93" t="str">
        <f>VLOOKUP(E3329,DATABASE!C:Q,11,false)</f>
        <v>Tire</v>
      </c>
    </row>
    <row r="3330" ht="22.5" customHeight="1">
      <c r="A3330" s="49"/>
      <c r="C3330" s="384">
        <v>45833.0</v>
      </c>
      <c r="D3330" s="65">
        <v>6225.0</v>
      </c>
      <c r="E3330" s="445" t="s">
        <v>622</v>
      </c>
      <c r="F3330" s="386">
        <v>2.0</v>
      </c>
      <c r="G3330" s="74">
        <v>915000.0</v>
      </c>
      <c r="H3330" s="74">
        <v>0.0</v>
      </c>
      <c r="I3330" s="74">
        <f t="shared" si="1"/>
        <v>1830000</v>
      </c>
      <c r="J3330" s="74">
        <f>IF(E3330="SERVICE",I3330-(I3330*50%),Vlookup(E3330,DATABASE!C:Q,10,false)*F3330)</f>
        <v>0</v>
      </c>
      <c r="K3330" s="74">
        <f>VLOOKUP(E3330,DATABASE!C:Q,7,false)</f>
        <v>851110.375</v>
      </c>
      <c r="L3330" s="74">
        <v>810342.44</v>
      </c>
      <c r="M3330" s="74">
        <f t="shared" si="2"/>
        <v>815000</v>
      </c>
      <c r="N3330" s="74">
        <f t="shared" si="3"/>
        <v>200000</v>
      </c>
      <c r="O3330" s="65" t="str">
        <f>VLOOKUP(E3330,DATABASE!C:Q,8,false)</f>
        <v>IBU</v>
      </c>
      <c r="P3330" s="65">
        <f>VLOOKUP(E3330,DATABASE!C:Q,9,False)</f>
        <v>1</v>
      </c>
      <c r="Q3330" s="93" t="str">
        <f>VLOOKUP(E3330,DATABASE!C:Q,4,false)</f>
        <v>Bridgestone</v>
      </c>
      <c r="R3330" s="93" t="str">
        <f>VLOOKUP(E3330,DATABASE!C:Q,11,false)</f>
        <v>Tire</v>
      </c>
    </row>
    <row r="3331" ht="22.5" customHeight="1">
      <c r="A3331" s="49"/>
      <c r="C3331" s="384">
        <v>45833.0</v>
      </c>
      <c r="D3331" s="65">
        <v>6225.0</v>
      </c>
      <c r="E3331" s="385" t="s">
        <v>299</v>
      </c>
      <c r="F3331" s="386">
        <v>2.0</v>
      </c>
      <c r="G3331" s="74">
        <v>30000.0</v>
      </c>
      <c r="H3331" s="74">
        <v>0.0</v>
      </c>
      <c r="I3331" s="74">
        <f t="shared" si="1"/>
        <v>60000</v>
      </c>
      <c r="J3331" s="74">
        <f>IF(E3331="SERVICE",I3331-(I3331*50%),Vlookup(E3331,DATABASE!C:Q,10,false)*F3331)</f>
        <v>0</v>
      </c>
      <c r="K3331" s="74">
        <v>0.0</v>
      </c>
      <c r="L3331" s="74">
        <v>0.0</v>
      </c>
      <c r="M3331" s="74">
        <f t="shared" si="2"/>
        <v>0</v>
      </c>
      <c r="N3331" s="74">
        <f t="shared" si="3"/>
        <v>60000</v>
      </c>
      <c r="O3331" s="65" t="str">
        <f>VLOOKUP(E3331,DATABASE!C:Q,8,false)</f>
        <v>BIAN</v>
      </c>
      <c r="P3331" s="65">
        <f>VLOOKUP(E3331,DATABASE!C:Q,9,False)</f>
        <v>0</v>
      </c>
      <c r="Q3331" s="93" t="str">
        <f>VLOOKUP(E3331,DATABASE!C:Q,4,false)</f>
        <v>Balancing</v>
      </c>
      <c r="R3331" s="93" t="str">
        <f>VLOOKUP(E3331,DATABASE!C:Q,11,false)</f>
        <v>COMPLEMENTARY</v>
      </c>
    </row>
    <row r="3332" ht="22.5" customHeight="1">
      <c r="A3332" s="49"/>
      <c r="C3332" s="384">
        <v>45833.0</v>
      </c>
      <c r="D3332" s="65">
        <v>6225.0</v>
      </c>
      <c r="E3332" s="445" t="s">
        <v>256</v>
      </c>
      <c r="F3332" s="386">
        <v>1.0</v>
      </c>
      <c r="G3332" s="74">
        <v>130000.0</v>
      </c>
      <c r="H3332" s="74">
        <v>0.0</v>
      </c>
      <c r="I3332" s="74">
        <f t="shared" si="1"/>
        <v>130000</v>
      </c>
      <c r="J3332" s="74">
        <f>IF(E3332="SERVICE",I3332-(I3332*50%),Vlookup(E3332,DATABASE!C:Q,10,false)*F3332)</f>
        <v>10000</v>
      </c>
      <c r="K3332" s="74">
        <f>VLOOKUP(E3332,DATABASE!C:Q,7,false)</f>
        <v>0</v>
      </c>
      <c r="L3332" s="74">
        <v>0.0</v>
      </c>
      <c r="M3332" s="74">
        <f t="shared" si="2"/>
        <v>0</v>
      </c>
      <c r="N3332" s="74">
        <f t="shared" si="3"/>
        <v>120000</v>
      </c>
      <c r="O3332" s="65" t="str">
        <f>VLOOKUP(E3332,DATABASE!C:Q,8,false)</f>
        <v>IBU</v>
      </c>
      <c r="P3332" s="65">
        <f>VLOOKUP(E3332,DATABASE!C:Q,9,False)</f>
        <v>0</v>
      </c>
      <c r="Q3332" s="93" t="str">
        <f>VLOOKUP(E3332,DATABASE!C:Q,4,false)</f>
        <v>SPOORING</v>
      </c>
      <c r="R3332" s="93" t="str">
        <f>VLOOKUP(E3332,DATABASE!C:Q,11,false)</f>
        <v>SERVICE</v>
      </c>
    </row>
    <row r="3333" ht="22.5" customHeight="1">
      <c r="A3333" s="49"/>
      <c r="C3333" s="384">
        <v>45833.0</v>
      </c>
      <c r="D3333" s="65">
        <v>6225.0</v>
      </c>
      <c r="E3333" s="445" t="s">
        <v>301</v>
      </c>
      <c r="F3333" s="386">
        <v>1.0</v>
      </c>
      <c r="G3333" s="74">
        <v>250000.0</v>
      </c>
      <c r="H3333" s="74">
        <v>0.0</v>
      </c>
      <c r="I3333" s="74">
        <f t="shared" si="1"/>
        <v>250000</v>
      </c>
      <c r="J3333" s="74">
        <f>IF(E3333="SERVICE",I3333-(I3333*50%),Vlookup(E3333,DATABASE!C:Q,10,false)*F3333)</f>
        <v>75000</v>
      </c>
      <c r="K3333" s="74">
        <f>VLOOKUP(E3333,DATABASE!C:Q,7,false)</f>
        <v>75000</v>
      </c>
      <c r="L3333" s="74">
        <v>75000.0</v>
      </c>
      <c r="M3333" s="74">
        <f t="shared" si="2"/>
        <v>75000</v>
      </c>
      <c r="N3333" s="74">
        <f t="shared" si="3"/>
        <v>100000</v>
      </c>
      <c r="O3333" s="65" t="str">
        <f>VLOOKUP(E3333,DATABASE!C:Q,8,false)</f>
        <v>BIAN</v>
      </c>
      <c r="P3333" s="65">
        <f>VLOOKUP(E3333,DATABASE!C:Q,9,False)</f>
        <v>0</v>
      </c>
      <c r="Q3333" s="93" t="str">
        <f>VLOOKUP(E3333,DATABASE!C:Q,4,false)</f>
        <v>Baut Camber</v>
      </c>
      <c r="R3333" s="93" t="str">
        <f>VLOOKUP(E3333,DATABASE!C:Q,11,false)</f>
        <v>COMPLEMENTARY</v>
      </c>
    </row>
    <row r="3334" ht="22.5" customHeight="1">
      <c r="A3334" s="49"/>
      <c r="C3334" s="384">
        <v>45833.0</v>
      </c>
      <c r="D3334" s="65">
        <v>6226.0</v>
      </c>
      <c r="E3334" s="445" t="s">
        <v>1377</v>
      </c>
      <c r="F3334" s="386">
        <v>2.0</v>
      </c>
      <c r="G3334" s="74">
        <v>960000.0</v>
      </c>
      <c r="H3334" s="74">
        <v>0.0</v>
      </c>
      <c r="I3334" s="74">
        <f t="shared" si="1"/>
        <v>1920000</v>
      </c>
      <c r="J3334" s="74">
        <f>IF(E3334="SERVICE",I3334-(I3334*50%),Vlookup(E3334,DATABASE!C:Q,10,false)*F3334)</f>
        <v>0</v>
      </c>
      <c r="K3334" s="74">
        <f>VLOOKUP(E3334,DATABASE!C:Q,7,false)</f>
        <v>844000</v>
      </c>
      <c r="L3334" s="74">
        <v>853000.0</v>
      </c>
      <c r="M3334" s="74">
        <f t="shared" si="2"/>
        <v>855000</v>
      </c>
      <c r="N3334" s="74">
        <f t="shared" si="3"/>
        <v>210000</v>
      </c>
      <c r="O3334" s="65" t="str">
        <f>VLOOKUP(E3334,DATABASE!C:Q,8,false)</f>
        <v>IBU</v>
      </c>
      <c r="P3334" s="65">
        <f>VLOOKUP(E3334,DATABASE!C:Q,9,False)</f>
        <v>1</v>
      </c>
      <c r="Q3334" s="93" t="str">
        <f>VLOOKUP(E3334,DATABASE!C:Q,4,false)</f>
        <v>Dunlop</v>
      </c>
      <c r="R3334" s="93" t="str">
        <f>VLOOKUP(E3334,DATABASE!C:Q,11,false)</f>
        <v>Tire</v>
      </c>
    </row>
    <row r="3335" ht="22.5" customHeight="1">
      <c r="A3335" s="49"/>
      <c r="C3335" s="384">
        <v>45833.0</v>
      </c>
      <c r="D3335" s="65">
        <v>6227.0</v>
      </c>
      <c r="E3335" s="445" t="s">
        <v>968</v>
      </c>
      <c r="F3335" s="386">
        <v>1.0</v>
      </c>
      <c r="G3335" s="74">
        <v>675000.0</v>
      </c>
      <c r="H3335" s="74">
        <v>0.0</v>
      </c>
      <c r="I3335" s="74">
        <f t="shared" si="1"/>
        <v>675000</v>
      </c>
      <c r="J3335" s="74">
        <f>IF(E3335="SERVICE",I3335-(I3335*50%),Vlookup(E3335,DATABASE!C:Q,10,false)*F3335)</f>
        <v>0</v>
      </c>
      <c r="K3335" s="74">
        <f>VLOOKUP(E3335,DATABASE!C:Q,7,false)</f>
        <v>582500</v>
      </c>
      <c r="L3335" s="74">
        <v>582500.0</v>
      </c>
      <c r="M3335" s="74">
        <f t="shared" si="2"/>
        <v>585000</v>
      </c>
      <c r="N3335" s="74">
        <f t="shared" si="3"/>
        <v>90000</v>
      </c>
      <c r="O3335" s="65" t="str">
        <f>VLOOKUP(E3335,DATABASE!C:Q,8,false)</f>
        <v>IBU</v>
      </c>
      <c r="P3335" s="65">
        <f>VLOOKUP(E3335,DATABASE!C:Q,9,False)</f>
        <v>1</v>
      </c>
      <c r="Q3335" s="93" t="str">
        <f>VLOOKUP(E3335,DATABASE!C:Q,4,false)</f>
        <v>Dunlop</v>
      </c>
      <c r="R3335" s="93" t="str">
        <f>VLOOKUP(E3335,DATABASE!C:Q,11,false)</f>
        <v>Tire</v>
      </c>
    </row>
    <row r="3336" ht="22.5" customHeight="1">
      <c r="A3336" s="49"/>
      <c r="C3336" s="384">
        <v>45833.0</v>
      </c>
      <c r="D3336" s="65">
        <v>6228.0</v>
      </c>
      <c r="E3336" s="445" t="s">
        <v>251</v>
      </c>
      <c r="F3336" s="386">
        <v>1.0</v>
      </c>
      <c r="G3336" s="74">
        <v>150000.0</v>
      </c>
      <c r="H3336" s="74">
        <v>0.0</v>
      </c>
      <c r="I3336" s="74">
        <f t="shared" si="1"/>
        <v>150000</v>
      </c>
      <c r="J3336" s="74">
        <f>IF(E3336="SERVICE",I3336-(I3336*50%),Vlookup(E3336,DATABASE!C:Q,10,false)*F3336)</f>
        <v>75000</v>
      </c>
      <c r="K3336" s="74">
        <f>VLOOKUP(E3336,DATABASE!C:Q,7,false)</f>
        <v>0</v>
      </c>
      <c r="L3336" s="74">
        <v>0.0</v>
      </c>
      <c r="M3336" s="74">
        <f t="shared" si="2"/>
        <v>0</v>
      </c>
      <c r="N3336" s="74">
        <f t="shared" si="3"/>
        <v>75000</v>
      </c>
      <c r="O3336" s="65" t="str">
        <f>VLOOKUP(E3336,DATABASE!C:Q,8,false)</f>
        <v>IBU</v>
      </c>
      <c r="P3336" s="65">
        <f>VLOOKUP(E3336,DATABASE!C:Q,9,False)</f>
        <v>0</v>
      </c>
      <c r="Q3336" s="93" t="str">
        <f>VLOOKUP(E3336,DATABASE!C:Q,4,false)</f>
        <v>SERVICE</v>
      </c>
      <c r="R3336" s="93" t="str">
        <f>VLOOKUP(E3336,DATABASE!C:Q,11,false)</f>
        <v>SERVICE</v>
      </c>
    </row>
    <row r="3337" ht="22.5" customHeight="1">
      <c r="A3337" s="49"/>
      <c r="C3337" s="384">
        <v>45833.0</v>
      </c>
      <c r="D3337" s="65">
        <v>6228.0</v>
      </c>
      <c r="E3337" s="445" t="s">
        <v>256</v>
      </c>
      <c r="F3337" s="386">
        <v>1.0</v>
      </c>
      <c r="G3337" s="74">
        <v>130000.0</v>
      </c>
      <c r="H3337" s="74">
        <v>0.0</v>
      </c>
      <c r="I3337" s="74">
        <f t="shared" si="1"/>
        <v>130000</v>
      </c>
      <c r="J3337" s="74">
        <f>IF(E3337="SERVICE",I3337-(I3337*50%),Vlookup(E3337,DATABASE!C:Q,10,false)*F3337)</f>
        <v>10000</v>
      </c>
      <c r="K3337" s="74">
        <f>VLOOKUP(E3337,DATABASE!C:Q,7,false)</f>
        <v>0</v>
      </c>
      <c r="L3337" s="74">
        <v>0.0</v>
      </c>
      <c r="M3337" s="74">
        <f t="shared" si="2"/>
        <v>0</v>
      </c>
      <c r="N3337" s="74">
        <f t="shared" si="3"/>
        <v>120000</v>
      </c>
      <c r="O3337" s="65" t="str">
        <f>VLOOKUP(E3337,DATABASE!C:Q,8,false)</f>
        <v>IBU</v>
      </c>
      <c r="P3337" s="65">
        <f>VLOOKUP(E3337,DATABASE!C:Q,9,False)</f>
        <v>0</v>
      </c>
      <c r="Q3337" s="93" t="str">
        <f>VLOOKUP(E3337,DATABASE!C:Q,4,false)</f>
        <v>SPOORING</v>
      </c>
      <c r="R3337" s="93" t="str">
        <f>VLOOKUP(E3337,DATABASE!C:Q,11,false)</f>
        <v>SERVICE</v>
      </c>
    </row>
    <row r="3338" ht="22.5" customHeight="1">
      <c r="A3338" s="49"/>
      <c r="C3338" s="384">
        <v>45833.0</v>
      </c>
      <c r="D3338" s="65">
        <v>6228.0</v>
      </c>
      <c r="E3338" s="385" t="s">
        <v>299</v>
      </c>
      <c r="F3338" s="386">
        <v>2.0</v>
      </c>
      <c r="G3338" s="74">
        <v>30000.0</v>
      </c>
      <c r="H3338" s="74">
        <v>0.0</v>
      </c>
      <c r="I3338" s="74">
        <f t="shared" si="1"/>
        <v>60000</v>
      </c>
      <c r="J3338" s="74">
        <f>IF(E3338="SERVICE",I3338-(I3338*50%),Vlookup(E3338,DATABASE!C:Q,10,false)*F3338)</f>
        <v>0</v>
      </c>
      <c r="K3338" s="74">
        <v>0.0</v>
      </c>
      <c r="L3338" s="74">
        <v>0.0</v>
      </c>
      <c r="M3338" s="74">
        <f t="shared" si="2"/>
        <v>0</v>
      </c>
      <c r="N3338" s="74">
        <f t="shared" si="3"/>
        <v>60000</v>
      </c>
      <c r="O3338" s="65" t="str">
        <f>VLOOKUP(E3338,DATABASE!C:Q,8,false)</f>
        <v>BIAN</v>
      </c>
      <c r="P3338" s="65">
        <f>VLOOKUP(E3338,DATABASE!C:Q,9,False)</f>
        <v>0</v>
      </c>
      <c r="Q3338" s="93" t="str">
        <f>VLOOKUP(E3338,DATABASE!C:Q,4,false)</f>
        <v>Balancing</v>
      </c>
      <c r="R3338" s="93" t="str">
        <f>VLOOKUP(E3338,DATABASE!C:Q,11,false)</f>
        <v>COMPLEMENTARY</v>
      </c>
    </row>
    <row r="3339" ht="22.5" customHeight="1">
      <c r="A3339" s="49"/>
      <c r="C3339" s="384">
        <v>45833.0</v>
      </c>
      <c r="D3339" s="65">
        <v>6229.0</v>
      </c>
      <c r="E3339" s="445" t="s">
        <v>839</v>
      </c>
      <c r="F3339" s="386">
        <v>1.0</v>
      </c>
      <c r="G3339" s="74">
        <v>560000.0</v>
      </c>
      <c r="H3339" s="74">
        <v>0.0</v>
      </c>
      <c r="I3339" s="74">
        <f t="shared" si="1"/>
        <v>560000</v>
      </c>
      <c r="J3339" s="74">
        <f>IF(E3339="SERVICE",I3339-(I3339*50%),Vlookup(E3339,DATABASE!C:Q,10,false)*F3339)</f>
        <v>0</v>
      </c>
      <c r="K3339" s="74">
        <f>VLOOKUP(E3339,DATABASE!C:Q,7,false)</f>
        <v>512640</v>
      </c>
      <c r="L3339" s="74">
        <v>475700.0</v>
      </c>
      <c r="M3339" s="74">
        <f t="shared" si="2"/>
        <v>480000</v>
      </c>
      <c r="N3339" s="74">
        <f t="shared" si="3"/>
        <v>80000</v>
      </c>
      <c r="O3339" s="65" t="str">
        <f>VLOOKUP(E3339,DATABASE!C:Q,8,false)</f>
        <v>BIAN</v>
      </c>
      <c r="P3339" s="65">
        <f>VLOOKUP(E3339,DATABASE!C:Q,9,False)</f>
        <v>1</v>
      </c>
      <c r="Q3339" s="93" t="str">
        <f>VLOOKUP(E3339,DATABASE!C:Q,4,false)</f>
        <v>GT</v>
      </c>
      <c r="R3339" s="93" t="str">
        <f>VLOOKUP(E3339,DATABASE!C:Q,11,false)</f>
        <v>Tire</v>
      </c>
    </row>
    <row r="3340" ht="22.5" customHeight="1">
      <c r="A3340" s="49"/>
      <c r="C3340" s="384">
        <v>45833.0</v>
      </c>
      <c r="D3340" s="65">
        <v>6230.0</v>
      </c>
      <c r="E3340" s="445" t="s">
        <v>246</v>
      </c>
      <c r="F3340" s="386">
        <v>1.0</v>
      </c>
      <c r="G3340" s="74">
        <v>20000.0</v>
      </c>
      <c r="H3340" s="74">
        <v>0.0</v>
      </c>
      <c r="I3340" s="74">
        <f t="shared" si="1"/>
        <v>20000</v>
      </c>
      <c r="J3340" s="74">
        <f>IF(E3340="SERVICE",I3340-(I3340*50%),Vlookup(E3340,DATABASE!C:Q,10,false)*F3340)</f>
        <v>0</v>
      </c>
      <c r="K3340" s="74">
        <f>VLOOKUP(E3340,DATABASE!C:Q,7,false)</f>
        <v>0</v>
      </c>
      <c r="L3340" s="74">
        <v>0.0</v>
      </c>
      <c r="M3340" s="74">
        <f t="shared" si="2"/>
        <v>0</v>
      </c>
      <c r="N3340" s="74">
        <f t="shared" si="3"/>
        <v>20000</v>
      </c>
      <c r="O3340" s="65" t="str">
        <f>VLOOKUP(E3340,DATABASE!C:Q,8,false)</f>
        <v>IBU</v>
      </c>
      <c r="P3340" s="65">
        <f>VLOOKUP(E3340,DATABASE!C:Q,9,False)</f>
        <v>0</v>
      </c>
      <c r="Q3340" s="93" t="str">
        <f>VLOOKUP(E3340,DATABASE!C:Q,4,false)</f>
        <v>Bongkar Pasang</v>
      </c>
      <c r="R3340" s="93" t="str">
        <f>VLOOKUP(E3340,DATABASE!C:Q,11,false)</f>
        <v>SERVICE</v>
      </c>
    </row>
    <row r="3341" ht="22.5" customHeight="1">
      <c r="A3341" s="49"/>
      <c r="C3341" s="384">
        <v>45833.0</v>
      </c>
      <c r="D3341" s="65">
        <v>6231.0</v>
      </c>
      <c r="E3341" s="445" t="s">
        <v>706</v>
      </c>
      <c r="F3341" s="386">
        <v>3.0</v>
      </c>
      <c r="G3341" s="74">
        <v>570000.0</v>
      </c>
      <c r="H3341" s="74">
        <v>0.0</v>
      </c>
      <c r="I3341" s="74">
        <f t="shared" si="1"/>
        <v>1710000</v>
      </c>
      <c r="J3341" s="74">
        <f>IF(E3341="SERVICE",I3341-(I3341*50%),Vlookup(E3341,DATABASE!C:Q,10,false)*F3341)</f>
        <v>0</v>
      </c>
      <c r="K3341" s="74">
        <f>VLOOKUP(E3341,DATABASE!C:Q,7,false)</f>
        <v>485000</v>
      </c>
      <c r="L3341" s="74">
        <v>485000.0</v>
      </c>
      <c r="M3341" s="74">
        <f t="shared" si="2"/>
        <v>485000</v>
      </c>
      <c r="N3341" s="74">
        <f t="shared" si="3"/>
        <v>255000</v>
      </c>
      <c r="O3341" s="65" t="str">
        <f>VLOOKUP(E3341,DATABASE!C:Q,8,false)</f>
        <v>IBU</v>
      </c>
      <c r="P3341" s="65">
        <f>VLOOKUP(E3341,DATABASE!C:Q,9,False)</f>
        <v>1</v>
      </c>
      <c r="Q3341" s="93" t="str">
        <f>VLOOKUP(E3341,DATABASE!C:Q,4,false)</f>
        <v>Dunlop</v>
      </c>
      <c r="R3341" s="93" t="str">
        <f>VLOOKUP(E3341,DATABASE!C:Q,11,false)</f>
        <v>Tire</v>
      </c>
    </row>
    <row r="3342" ht="22.5" customHeight="1">
      <c r="A3342" s="49"/>
      <c r="C3342" s="384">
        <v>45833.0</v>
      </c>
      <c r="D3342" s="65">
        <v>6232.0</v>
      </c>
      <c r="E3342" s="445" t="s">
        <v>1862</v>
      </c>
      <c r="F3342" s="386">
        <v>2.0</v>
      </c>
      <c r="G3342" s="74">
        <v>2150000.0</v>
      </c>
      <c r="H3342" s="74">
        <v>0.0</v>
      </c>
      <c r="I3342" s="74">
        <f t="shared" si="1"/>
        <v>4300000</v>
      </c>
      <c r="J3342" s="74">
        <f>IF(E3342="SERVICE",I3342-(I3342*50%),Vlookup(E3342,DATABASE!C:Q,10,false)*F3342)</f>
        <v>0</v>
      </c>
      <c r="K3342" s="74">
        <f>VLOOKUP(E3342,DATABASE!C:Q,7,false)</f>
        <v>2080000</v>
      </c>
      <c r="L3342" s="74">
        <v>2050000.0</v>
      </c>
      <c r="M3342" s="74">
        <f t="shared" si="2"/>
        <v>2050000</v>
      </c>
      <c r="N3342" s="74">
        <f t="shared" si="3"/>
        <v>200000</v>
      </c>
      <c r="O3342" s="65" t="str">
        <f>VLOOKUP(E3342,DATABASE!C:Q,8,false)</f>
        <v>BIAN</v>
      </c>
      <c r="P3342" s="65">
        <f>VLOOKUP(E3342,DATABASE!C:Q,9,False)</f>
        <v>1</v>
      </c>
      <c r="Q3342" s="93" t="str">
        <f>VLOOKUP(E3342,DATABASE!C:Q,4,false)</f>
        <v>GiTi</v>
      </c>
      <c r="R3342" s="93" t="str">
        <f>VLOOKUP(E3342,DATABASE!C:Q,11,false)</f>
        <v>Tire</v>
      </c>
    </row>
    <row r="3343" ht="22.5" customHeight="1">
      <c r="A3343" s="49"/>
      <c r="C3343" s="384">
        <v>45833.0</v>
      </c>
      <c r="D3343" s="65">
        <v>6234.0</v>
      </c>
      <c r="E3343" s="445" t="s">
        <v>1439</v>
      </c>
      <c r="F3343" s="386">
        <v>1.0</v>
      </c>
      <c r="G3343" s="74">
        <v>630000.0</v>
      </c>
      <c r="H3343" s="74">
        <v>0.0</v>
      </c>
      <c r="I3343" s="74">
        <f t="shared" si="1"/>
        <v>630000</v>
      </c>
      <c r="J3343" s="74">
        <f>IF(E3343="SERVICE",I3343-(I3343*50%),Vlookup(E3343,DATABASE!C:Q,10,false)*F3343)</f>
        <v>0</v>
      </c>
      <c r="K3343" s="74">
        <f>VLOOKUP(E3343,DATABASE!C:Q,7,false)</f>
        <v>556800</v>
      </c>
      <c r="L3343" s="74">
        <v>540800.0</v>
      </c>
      <c r="M3343" s="74">
        <f t="shared" si="2"/>
        <v>545000</v>
      </c>
      <c r="N3343" s="74">
        <f t="shared" si="3"/>
        <v>85000</v>
      </c>
      <c r="O3343" s="65" t="str">
        <f>VLOOKUP(E3343,DATABASE!C:Q,8,false)</f>
        <v>BIAN</v>
      </c>
      <c r="P3343" s="65">
        <f>VLOOKUP(E3343,DATABASE!C:Q,9,False)</f>
        <v>1</v>
      </c>
      <c r="Q3343" s="93" t="str">
        <f>VLOOKUP(E3343,DATABASE!C:Q,4,false)</f>
        <v>GT</v>
      </c>
      <c r="R3343" s="93" t="str">
        <f>VLOOKUP(E3343,DATABASE!C:Q,11,false)</f>
        <v>Tire</v>
      </c>
    </row>
    <row r="3344" ht="22.5" customHeight="1">
      <c r="A3344" s="49"/>
      <c r="C3344" s="384">
        <v>45834.0</v>
      </c>
      <c r="D3344" s="65">
        <v>6236.0</v>
      </c>
      <c r="E3344" s="445" t="s">
        <v>265</v>
      </c>
      <c r="F3344" s="386">
        <v>1.0</v>
      </c>
      <c r="G3344" s="74">
        <v>700000.0</v>
      </c>
      <c r="H3344" s="74">
        <v>0.0</v>
      </c>
      <c r="I3344" s="74">
        <f t="shared" si="1"/>
        <v>700000</v>
      </c>
      <c r="J3344" s="74">
        <f>IF(E3344="SERVICE",I3344-(I3344*50%),Vlookup(E3344,DATABASE!C:Q,10,false)*F3344)</f>
        <v>0</v>
      </c>
      <c r="K3344" s="74">
        <f>VLOOKUP(E3344,DATABASE!C:Q,7,false)</f>
        <v>628000</v>
      </c>
      <c r="L3344" s="74">
        <v>610000.0</v>
      </c>
      <c r="M3344" s="74">
        <f t="shared" si="2"/>
        <v>610000</v>
      </c>
      <c r="N3344" s="74">
        <f t="shared" si="3"/>
        <v>90000</v>
      </c>
      <c r="O3344" s="65" t="str">
        <f>VLOOKUP(E3344,DATABASE!C:Q,8,false)</f>
        <v>IBU</v>
      </c>
      <c r="P3344" s="65">
        <f>VLOOKUP(E3344,DATABASE!C:Q,9,False)</f>
        <v>1</v>
      </c>
      <c r="Q3344" s="93" t="str">
        <f>VLOOKUP(E3344,DATABASE!C:Q,4,false)</f>
        <v>Dunlop</v>
      </c>
      <c r="R3344" s="93" t="str">
        <f>VLOOKUP(E3344,DATABASE!C:Q,11,false)</f>
        <v>Tire</v>
      </c>
    </row>
    <row r="3345" ht="22.5" customHeight="1">
      <c r="A3345" s="49"/>
      <c r="C3345" s="384">
        <v>45834.0</v>
      </c>
      <c r="D3345" s="65">
        <v>6237.0</v>
      </c>
      <c r="E3345" s="445" t="s">
        <v>897</v>
      </c>
      <c r="F3345" s="386">
        <v>1.0</v>
      </c>
      <c r="G3345" s="74">
        <v>1600000.0</v>
      </c>
      <c r="H3345" s="74">
        <v>0.0</v>
      </c>
      <c r="I3345" s="74">
        <f t="shared" si="1"/>
        <v>1600000</v>
      </c>
      <c r="J3345" s="74">
        <f>IF(E3345="SERVICE",I3345-(I3345*50%),Vlookup(E3345,DATABASE!C:Q,10,false)*F3345)</f>
        <v>0</v>
      </c>
      <c r="K3345" s="74">
        <f>VLOOKUP(E3345,DATABASE!C:Q,7,false)</f>
        <v>1560000</v>
      </c>
      <c r="L3345" s="74">
        <v>1500000.0</v>
      </c>
      <c r="M3345" s="74">
        <f t="shared" si="2"/>
        <v>1500000</v>
      </c>
      <c r="N3345" s="74">
        <f t="shared" si="3"/>
        <v>100000</v>
      </c>
      <c r="O3345" s="65" t="str">
        <f>VLOOKUP(E3345,DATABASE!C:Q,8,false)</f>
        <v>BIAN</v>
      </c>
      <c r="P3345" s="65">
        <f>VLOOKUP(E3345,DATABASE!C:Q,9,False)</f>
        <v>1</v>
      </c>
      <c r="Q3345" s="93" t="str">
        <f>VLOOKUP(E3345,DATABASE!C:Q,4,false)</f>
        <v>GT</v>
      </c>
      <c r="R3345" s="93" t="str">
        <f>VLOOKUP(E3345,DATABASE!C:Q,11,false)</f>
        <v>Tire</v>
      </c>
    </row>
    <row r="3346" ht="22.5" customHeight="1">
      <c r="A3346" s="49"/>
      <c r="C3346" s="384">
        <v>45834.0</v>
      </c>
      <c r="D3346" s="65">
        <v>6237.0</v>
      </c>
      <c r="E3346" s="445" t="s">
        <v>744</v>
      </c>
      <c r="F3346" s="386">
        <v>1.0</v>
      </c>
      <c r="G3346" s="74">
        <v>230000.0</v>
      </c>
      <c r="H3346" s="74">
        <v>0.0</v>
      </c>
      <c r="I3346" s="74">
        <f t="shared" si="1"/>
        <v>230000</v>
      </c>
      <c r="J3346" s="74">
        <f>IF(E3346="SERVICE",I3346-(I3346*50%),Vlookup(E3346,DATABASE!C:Q,10,false)*F3346)</f>
        <v>0</v>
      </c>
      <c r="K3346" s="74">
        <f>VLOOKUP(E3346,DATABASE!C:Q,7,false)</f>
        <v>182200</v>
      </c>
      <c r="L3346" s="74">
        <v>199920.0</v>
      </c>
      <c r="M3346" s="74">
        <f t="shared" si="2"/>
        <v>200000</v>
      </c>
      <c r="N3346" s="74">
        <f t="shared" si="3"/>
        <v>30000</v>
      </c>
      <c r="O3346" s="65" t="str">
        <f>VLOOKUP(E3346,DATABASE!C:Q,8,false)</f>
        <v>BIAN</v>
      </c>
      <c r="P3346" s="65">
        <f>VLOOKUP(E3346,DATABASE!C:Q,9,False)</f>
        <v>1</v>
      </c>
      <c r="Q3346" s="93" t="str">
        <f>VLOOKUP(E3346,DATABASE!C:Q,4,false)</f>
        <v>BD</v>
      </c>
      <c r="R3346" s="93" t="str">
        <f>VLOOKUP(E3346,DATABASE!C:Q,11,false)</f>
        <v>Tire</v>
      </c>
    </row>
    <row r="3347" ht="22.5" customHeight="1">
      <c r="A3347" s="49"/>
      <c r="C3347" s="384">
        <v>45834.0</v>
      </c>
      <c r="D3347" s="65">
        <v>6237.0</v>
      </c>
      <c r="E3347" s="445" t="s">
        <v>821</v>
      </c>
      <c r="F3347" s="386">
        <v>1.0</v>
      </c>
      <c r="G3347" s="74">
        <v>85000.0</v>
      </c>
      <c r="H3347" s="74">
        <v>0.0</v>
      </c>
      <c r="I3347" s="74">
        <f t="shared" si="1"/>
        <v>85000</v>
      </c>
      <c r="J3347" s="74">
        <f>IF(E3347="SERVICE",I3347-(I3347*50%),Vlookup(E3347,DATABASE!C:Q,10,false)*F3347)</f>
        <v>0</v>
      </c>
      <c r="K3347" s="74">
        <f>VLOOKUP(E3347,DATABASE!C:Q,7,false)</f>
        <v>43500</v>
      </c>
      <c r="L3347" s="74">
        <v>43520.0</v>
      </c>
      <c r="M3347" s="74">
        <f t="shared" si="2"/>
        <v>45000</v>
      </c>
      <c r="N3347" s="74">
        <f t="shared" si="3"/>
        <v>40000</v>
      </c>
      <c r="O3347" s="65" t="str">
        <f>VLOOKUP(E3347,DATABASE!C:Q,8,false)</f>
        <v>BIAN</v>
      </c>
      <c r="P3347" s="65">
        <f>VLOOKUP(E3347,DATABASE!C:Q,9,False)</f>
        <v>1</v>
      </c>
      <c r="Q3347" s="93" t="str">
        <f>VLOOKUP(E3347,DATABASE!C:Q,4,false)</f>
        <v>Flap</v>
      </c>
      <c r="R3347" s="93" t="str">
        <f>VLOOKUP(E3347,DATABASE!C:Q,11,false)</f>
        <v>Tire</v>
      </c>
    </row>
    <row r="3348" ht="22.5" customHeight="1">
      <c r="A3348" s="49"/>
      <c r="C3348" s="384">
        <v>45834.0</v>
      </c>
      <c r="D3348" s="65">
        <v>6238.0</v>
      </c>
      <c r="E3348" s="445" t="s">
        <v>2019</v>
      </c>
      <c r="F3348" s="386">
        <v>2.0</v>
      </c>
      <c r="G3348" s="74">
        <v>685000.0</v>
      </c>
      <c r="H3348" s="74">
        <v>0.0</v>
      </c>
      <c r="I3348" s="74">
        <f t="shared" si="1"/>
        <v>1370000</v>
      </c>
      <c r="J3348" s="74">
        <f>IF(E3348="SERVICE",I3348-(I3348*50%),Vlookup(E3348,DATABASE!C:Q,10,false)*F3348)</f>
        <v>0</v>
      </c>
      <c r="K3348" s="74">
        <f>VLOOKUP(E3348,DATABASE!C:Q,7,false)</f>
        <v>620000</v>
      </c>
      <c r="L3348" s="74">
        <v>585000.0</v>
      </c>
      <c r="M3348" s="74">
        <f t="shared" si="2"/>
        <v>585000</v>
      </c>
      <c r="N3348" s="74">
        <f t="shared" si="3"/>
        <v>200000</v>
      </c>
      <c r="O3348" s="65" t="str">
        <f>VLOOKUP(E3348,DATABASE!C:Q,8,false)</f>
        <v>BIAN</v>
      </c>
      <c r="P3348" s="65">
        <f>VLOOKUP(E3348,DATABASE!C:Q,9,False)</f>
        <v>1</v>
      </c>
      <c r="Q3348" s="93" t="str">
        <f>VLOOKUP(E3348,DATABASE!C:Q,4,false)</f>
        <v>GT</v>
      </c>
      <c r="R3348" s="93" t="str">
        <f>VLOOKUP(E3348,DATABASE!C:Q,11,false)</f>
        <v>Tire</v>
      </c>
    </row>
    <row r="3349" ht="22.5" customHeight="1">
      <c r="A3349" s="49"/>
      <c r="C3349" s="384">
        <v>45834.0</v>
      </c>
      <c r="D3349" s="65">
        <v>6239.0</v>
      </c>
      <c r="E3349" s="445" t="s">
        <v>614</v>
      </c>
      <c r="F3349" s="386">
        <v>2.0</v>
      </c>
      <c r="G3349" s="74">
        <v>870000.0</v>
      </c>
      <c r="H3349" s="74">
        <v>0.0</v>
      </c>
      <c r="I3349" s="74">
        <f t="shared" si="1"/>
        <v>1740000</v>
      </c>
      <c r="J3349" s="74">
        <f>IF(E3349="SERVICE",I3349-(I3349*50%),Vlookup(E3349,DATABASE!C:Q,10,false)*F3349)</f>
        <v>0</v>
      </c>
      <c r="K3349" s="74">
        <f>VLOOKUP(E3349,DATABASE!C:Q,7,false)</f>
        <v>754660.6</v>
      </c>
      <c r="L3349" s="74">
        <v>766438.4</v>
      </c>
      <c r="M3349" s="74">
        <f t="shared" si="2"/>
        <v>770000</v>
      </c>
      <c r="N3349" s="74">
        <f t="shared" si="3"/>
        <v>200000</v>
      </c>
      <c r="O3349" s="65" t="str">
        <f>VLOOKUP(E3349,DATABASE!C:Q,8,false)</f>
        <v>IBU</v>
      </c>
      <c r="P3349" s="65">
        <f>VLOOKUP(E3349,DATABASE!C:Q,9,False)</f>
        <v>1</v>
      </c>
      <c r="Q3349" s="93" t="str">
        <f>VLOOKUP(E3349,DATABASE!C:Q,4,false)</f>
        <v>Bridgestone</v>
      </c>
      <c r="R3349" s="93" t="str">
        <f>VLOOKUP(E3349,DATABASE!C:Q,11,false)</f>
        <v>Tire</v>
      </c>
    </row>
    <row r="3350" ht="22.5" customHeight="1">
      <c r="A3350" s="49"/>
      <c r="C3350" s="384">
        <v>45834.0</v>
      </c>
      <c r="D3350" s="65">
        <v>6240.0</v>
      </c>
      <c r="E3350" s="445" t="s">
        <v>268</v>
      </c>
      <c r="F3350" s="386">
        <v>2.0</v>
      </c>
      <c r="G3350" s="74">
        <v>720000.0</v>
      </c>
      <c r="H3350" s="74">
        <v>0.0</v>
      </c>
      <c r="I3350" s="74">
        <f t="shared" si="1"/>
        <v>1440000</v>
      </c>
      <c r="J3350" s="74">
        <f>IF(E3350="SERVICE",I3350-(I3350*50%),Vlookup(E3350,DATABASE!C:Q,10,false)*F3350)</f>
        <v>0</v>
      </c>
      <c r="K3350" s="74">
        <f>VLOOKUP(E3350,DATABASE!C:Q,7,false)</f>
        <v>653000</v>
      </c>
      <c r="L3350" s="74">
        <v>622000.0</v>
      </c>
      <c r="M3350" s="74">
        <f t="shared" si="2"/>
        <v>625000</v>
      </c>
      <c r="N3350" s="74">
        <f t="shared" si="3"/>
        <v>190000</v>
      </c>
      <c r="O3350" s="65" t="str">
        <f>VLOOKUP(E3350,DATABASE!C:Q,8,false)</f>
        <v>IBU</v>
      </c>
      <c r="P3350" s="65">
        <f>VLOOKUP(E3350,DATABASE!C:Q,9,False)</f>
        <v>1</v>
      </c>
      <c r="Q3350" s="93" t="str">
        <f>VLOOKUP(E3350,DATABASE!C:Q,4,false)</f>
        <v>Dunlop</v>
      </c>
      <c r="R3350" s="93" t="str">
        <f>VLOOKUP(E3350,DATABASE!C:Q,11,false)</f>
        <v>Tire</v>
      </c>
    </row>
    <row r="3351" ht="22.5" customHeight="1">
      <c r="A3351" s="49"/>
      <c r="C3351" s="384">
        <v>45834.0</v>
      </c>
      <c r="D3351" s="65">
        <v>6241.0</v>
      </c>
      <c r="E3351" s="385" t="s">
        <v>299</v>
      </c>
      <c r="F3351" s="386">
        <v>2.0</v>
      </c>
      <c r="G3351" s="74">
        <v>30000.0</v>
      </c>
      <c r="H3351" s="74">
        <v>0.0</v>
      </c>
      <c r="I3351" s="74">
        <f t="shared" si="1"/>
        <v>60000</v>
      </c>
      <c r="J3351" s="74">
        <f>IF(E3351="SERVICE",I3351-(I3351*50%),Vlookup(E3351,DATABASE!C:Q,10,false)*F3351)</f>
        <v>0</v>
      </c>
      <c r="K3351" s="74">
        <v>0.0</v>
      </c>
      <c r="L3351" s="74">
        <v>0.0</v>
      </c>
      <c r="M3351" s="74">
        <f t="shared" si="2"/>
        <v>0</v>
      </c>
      <c r="N3351" s="74">
        <f t="shared" si="3"/>
        <v>60000</v>
      </c>
      <c r="O3351" s="65" t="str">
        <f>VLOOKUP(E3351,DATABASE!C:Q,8,false)</f>
        <v>BIAN</v>
      </c>
      <c r="P3351" s="65">
        <f>VLOOKUP(E3351,DATABASE!C:Q,9,False)</f>
        <v>0</v>
      </c>
      <c r="Q3351" s="93" t="str">
        <f>VLOOKUP(E3351,DATABASE!C:Q,4,false)</f>
        <v>Balancing</v>
      </c>
      <c r="R3351" s="93" t="str">
        <f>VLOOKUP(E3351,DATABASE!C:Q,11,false)</f>
        <v>COMPLEMENTARY</v>
      </c>
    </row>
    <row r="3352" ht="22.5" customHeight="1">
      <c r="A3352" s="49"/>
      <c r="C3352" s="384">
        <v>45834.0</v>
      </c>
      <c r="D3352" s="65">
        <v>6241.0</v>
      </c>
      <c r="E3352" s="445" t="s">
        <v>256</v>
      </c>
      <c r="F3352" s="386">
        <v>1.0</v>
      </c>
      <c r="G3352" s="74">
        <v>130000.0</v>
      </c>
      <c r="H3352" s="74">
        <v>0.0</v>
      </c>
      <c r="I3352" s="74">
        <f t="shared" si="1"/>
        <v>130000</v>
      </c>
      <c r="J3352" s="74">
        <f>IF(E3352="SERVICE",I3352-(I3352*50%),Vlookup(E3352,DATABASE!C:Q,10,false)*F3352)</f>
        <v>10000</v>
      </c>
      <c r="K3352" s="74">
        <f>VLOOKUP(E3352,DATABASE!C:Q,7,false)</f>
        <v>0</v>
      </c>
      <c r="L3352" s="74">
        <v>0.0</v>
      </c>
      <c r="M3352" s="74">
        <f t="shared" si="2"/>
        <v>0</v>
      </c>
      <c r="N3352" s="74">
        <f t="shared" si="3"/>
        <v>120000</v>
      </c>
      <c r="O3352" s="65" t="str">
        <f>VLOOKUP(E3352,DATABASE!C:Q,8,false)</f>
        <v>IBU</v>
      </c>
      <c r="P3352" s="65">
        <f>VLOOKUP(E3352,DATABASE!C:Q,9,False)</f>
        <v>0</v>
      </c>
      <c r="Q3352" s="93" t="str">
        <f>VLOOKUP(E3352,DATABASE!C:Q,4,false)</f>
        <v>SPOORING</v>
      </c>
      <c r="R3352" s="93" t="str">
        <f>VLOOKUP(E3352,DATABASE!C:Q,11,false)</f>
        <v>SERVICE</v>
      </c>
    </row>
    <row r="3353" ht="22.5" customHeight="1">
      <c r="A3353" s="49"/>
      <c r="C3353" s="384">
        <v>45834.0</v>
      </c>
      <c r="D3353" s="65">
        <v>6241.0</v>
      </c>
      <c r="E3353" s="445" t="s">
        <v>301</v>
      </c>
      <c r="F3353" s="386">
        <v>1.0</v>
      </c>
      <c r="G3353" s="74">
        <v>250000.0</v>
      </c>
      <c r="H3353" s="74">
        <v>0.0</v>
      </c>
      <c r="I3353" s="74">
        <f t="shared" si="1"/>
        <v>250000</v>
      </c>
      <c r="J3353" s="74">
        <f>IF(E3353="SERVICE",I3353-(I3353*50%),Vlookup(E3353,DATABASE!C:Q,10,false)*F3353)</f>
        <v>75000</v>
      </c>
      <c r="K3353" s="74">
        <f>VLOOKUP(E3353,DATABASE!C:Q,7,false)</f>
        <v>75000</v>
      </c>
      <c r="L3353" s="74">
        <v>75000.0</v>
      </c>
      <c r="M3353" s="74">
        <f t="shared" si="2"/>
        <v>75000</v>
      </c>
      <c r="N3353" s="74">
        <f t="shared" si="3"/>
        <v>100000</v>
      </c>
      <c r="O3353" s="65" t="str">
        <f>VLOOKUP(E3353,DATABASE!C:Q,8,false)</f>
        <v>BIAN</v>
      </c>
      <c r="P3353" s="65">
        <f>VLOOKUP(E3353,DATABASE!C:Q,9,False)</f>
        <v>0</v>
      </c>
      <c r="Q3353" s="93" t="str">
        <f>VLOOKUP(E3353,DATABASE!C:Q,4,false)</f>
        <v>Baut Camber</v>
      </c>
      <c r="R3353" s="93" t="str">
        <f>VLOOKUP(E3353,DATABASE!C:Q,11,false)</f>
        <v>COMPLEMENTARY</v>
      </c>
    </row>
    <row r="3354" ht="22.5" customHeight="1">
      <c r="A3354" s="49"/>
      <c r="C3354" s="384">
        <v>45834.0</v>
      </c>
      <c r="D3354" s="65">
        <v>6243.0</v>
      </c>
      <c r="E3354" s="445" t="s">
        <v>275</v>
      </c>
      <c r="F3354" s="386">
        <v>2.0</v>
      </c>
      <c r="G3354" s="74">
        <v>850000.0</v>
      </c>
      <c r="H3354" s="74">
        <v>0.0</v>
      </c>
      <c r="I3354" s="74">
        <f t="shared" si="1"/>
        <v>1700000</v>
      </c>
      <c r="J3354" s="74">
        <f>IF(E3354="SERVICE",I3354-(I3354*50%),Vlookup(E3354,DATABASE!C:Q,10,false)*F3354)</f>
        <v>0</v>
      </c>
      <c r="K3354" s="74">
        <f>VLOOKUP(E3354,DATABASE!C:Q,7,false)</f>
        <v>782000</v>
      </c>
      <c r="L3354" s="74">
        <v>745000.0</v>
      </c>
      <c r="M3354" s="74">
        <f t="shared" si="2"/>
        <v>745000</v>
      </c>
      <c r="N3354" s="74">
        <f t="shared" si="3"/>
        <v>210000</v>
      </c>
      <c r="O3354" s="65" t="str">
        <f>VLOOKUP(E3354,DATABASE!C:Q,8,false)</f>
        <v>IBU</v>
      </c>
      <c r="P3354" s="65">
        <f>VLOOKUP(E3354,DATABASE!C:Q,9,False)</f>
        <v>1</v>
      </c>
      <c r="Q3354" s="93" t="str">
        <f>VLOOKUP(E3354,DATABASE!C:Q,4,false)</f>
        <v>Dunlop</v>
      </c>
      <c r="R3354" s="93" t="str">
        <f>VLOOKUP(E3354,DATABASE!C:Q,11,false)</f>
        <v>Tire</v>
      </c>
    </row>
    <row r="3355" ht="22.5" customHeight="1">
      <c r="A3355" s="49"/>
      <c r="C3355" s="384">
        <v>45834.0</v>
      </c>
      <c r="D3355" s="65">
        <v>6244.0</v>
      </c>
      <c r="E3355" s="445" t="s">
        <v>572</v>
      </c>
      <c r="F3355" s="386">
        <v>1.0</v>
      </c>
      <c r="G3355" s="74">
        <v>1350000.0</v>
      </c>
      <c r="H3355" s="74">
        <v>0.0</v>
      </c>
      <c r="I3355" s="74">
        <f t="shared" si="1"/>
        <v>1350000</v>
      </c>
      <c r="J3355" s="74">
        <f>IF(E3355="SERVICE",I3355-(I3355*50%),Vlookup(E3355,DATABASE!C:Q,10,false)*F3355)</f>
        <v>0</v>
      </c>
      <c r="K3355" s="140">
        <v>1270000.0</v>
      </c>
      <c r="L3355" s="140">
        <v>1270000.0</v>
      </c>
      <c r="M3355" s="74">
        <f t="shared" si="2"/>
        <v>1270000</v>
      </c>
      <c r="N3355" s="74">
        <f t="shared" si="3"/>
        <v>80000</v>
      </c>
      <c r="O3355" s="65" t="str">
        <f>VLOOKUP(E3355,DATABASE!C:Q,8,false)</f>
        <v>IBU</v>
      </c>
      <c r="P3355" s="65">
        <f>VLOOKUP(E3355,DATABASE!C:Q,9,False)</f>
        <v>1</v>
      </c>
      <c r="Q3355" s="93" t="str">
        <f>VLOOKUP(E3355,DATABASE!C:Q,4,false)</f>
        <v>Bridgestone</v>
      </c>
      <c r="R3355" s="93" t="str">
        <f>VLOOKUP(E3355,DATABASE!C:Q,11,false)</f>
        <v>Tire</v>
      </c>
    </row>
    <row r="3356" ht="22.5" customHeight="1">
      <c r="A3356" s="49"/>
      <c r="C3356" s="384">
        <v>45834.0</v>
      </c>
      <c r="D3356" s="65">
        <v>6245.0</v>
      </c>
      <c r="E3356" s="445" t="s">
        <v>957</v>
      </c>
      <c r="F3356" s="386">
        <v>2.0</v>
      </c>
      <c r="G3356" s="74">
        <v>865000.0</v>
      </c>
      <c r="H3356" s="74">
        <v>0.0</v>
      </c>
      <c r="I3356" s="74">
        <f t="shared" si="1"/>
        <v>1730000</v>
      </c>
      <c r="J3356" s="74">
        <f>IF(E3356="SERVICE",I3356-(I3356*50%),Vlookup(E3356,DATABASE!C:Q,10,false)*F3356)</f>
        <v>0</v>
      </c>
      <c r="K3356" s="74">
        <f>VLOOKUP(E3356,DATABASE!C:Q,7,false)</f>
        <v>773337.5</v>
      </c>
      <c r="L3356" s="74">
        <v>762048.0</v>
      </c>
      <c r="M3356" s="74">
        <f t="shared" si="2"/>
        <v>765000</v>
      </c>
      <c r="N3356" s="74">
        <f t="shared" si="3"/>
        <v>200000</v>
      </c>
      <c r="O3356" s="65" t="str">
        <f>VLOOKUP(E3356,DATABASE!C:Q,8,false)</f>
        <v>IBU</v>
      </c>
      <c r="P3356" s="65">
        <f>VLOOKUP(E3356,DATABASE!C:Q,9,False)</f>
        <v>1</v>
      </c>
      <c r="Q3356" s="93" t="str">
        <f>VLOOKUP(E3356,DATABASE!C:Q,4,false)</f>
        <v>Bridgestone</v>
      </c>
      <c r="R3356" s="93" t="str">
        <f>VLOOKUP(E3356,DATABASE!C:Q,11,false)</f>
        <v>Tire</v>
      </c>
    </row>
    <row r="3357" ht="22.5" customHeight="1">
      <c r="A3357" s="49"/>
      <c r="C3357" s="384">
        <v>45834.0</v>
      </c>
      <c r="D3357" s="65">
        <v>6245.0</v>
      </c>
      <c r="E3357" s="445" t="s">
        <v>1429</v>
      </c>
      <c r="F3357" s="386">
        <v>2.0</v>
      </c>
      <c r="G3357" s="74">
        <v>950000.0</v>
      </c>
      <c r="H3357" s="74">
        <v>0.0</v>
      </c>
      <c r="I3357" s="74">
        <f t="shared" si="1"/>
        <v>1900000</v>
      </c>
      <c r="J3357" s="74">
        <f>IF(E3357="SERVICE",I3357-(I3357*50%),Vlookup(E3357,DATABASE!C:Q,10,false)*F3357)</f>
        <v>0</v>
      </c>
      <c r="K3357" s="74">
        <f>VLOOKUP(E3357,DATABASE!C:Q,7,false)</f>
        <v>849000</v>
      </c>
      <c r="L3357" s="74">
        <v>849000.0</v>
      </c>
      <c r="M3357" s="74">
        <f t="shared" si="2"/>
        <v>850000</v>
      </c>
      <c r="N3357" s="74">
        <f t="shared" si="3"/>
        <v>200000</v>
      </c>
      <c r="O3357" s="65" t="str">
        <f>VLOOKUP(E3357,DATABASE!C:Q,8,false)</f>
        <v>IBU</v>
      </c>
      <c r="P3357" s="65">
        <f>VLOOKUP(E3357,DATABASE!C:Q,9,False)</f>
        <v>1</v>
      </c>
      <c r="Q3357" s="93" t="str">
        <f>VLOOKUP(E3357,DATABASE!C:Q,4,false)</f>
        <v>Dunlop</v>
      </c>
      <c r="R3357" s="93" t="str">
        <f>VLOOKUP(E3357,DATABASE!C:Q,11,false)</f>
        <v>Tire</v>
      </c>
    </row>
    <row r="3358" ht="22.5" customHeight="1">
      <c r="A3358" s="49"/>
      <c r="C3358" s="384">
        <v>45834.0</v>
      </c>
      <c r="D3358" s="65">
        <v>6245.0</v>
      </c>
      <c r="E3358" s="385" t="s">
        <v>299</v>
      </c>
      <c r="F3358" s="386">
        <v>2.0</v>
      </c>
      <c r="G3358" s="74">
        <v>30000.0</v>
      </c>
      <c r="H3358" s="74">
        <v>0.0</v>
      </c>
      <c r="I3358" s="74">
        <f t="shared" si="1"/>
        <v>60000</v>
      </c>
      <c r="J3358" s="74">
        <f>IF(E3358="SERVICE",I3358-(I3358*50%),Vlookup(E3358,DATABASE!C:Q,10,false)*F3358)</f>
        <v>0</v>
      </c>
      <c r="K3358" s="74">
        <v>0.0</v>
      </c>
      <c r="L3358" s="74">
        <v>0.0</v>
      </c>
      <c r="M3358" s="74">
        <f t="shared" si="2"/>
        <v>0</v>
      </c>
      <c r="N3358" s="74">
        <f t="shared" si="3"/>
        <v>60000</v>
      </c>
      <c r="O3358" s="65" t="str">
        <f>VLOOKUP(E3358,DATABASE!C:Q,8,false)</f>
        <v>BIAN</v>
      </c>
      <c r="P3358" s="65">
        <f>VLOOKUP(E3358,DATABASE!C:Q,9,False)</f>
        <v>0</v>
      </c>
      <c r="Q3358" s="93" t="str">
        <f>VLOOKUP(E3358,DATABASE!C:Q,4,false)</f>
        <v>Balancing</v>
      </c>
      <c r="R3358" s="93" t="str">
        <f>VLOOKUP(E3358,DATABASE!C:Q,11,false)</f>
        <v>COMPLEMENTARY</v>
      </c>
    </row>
    <row r="3359" ht="22.5" customHeight="1">
      <c r="A3359" s="49"/>
      <c r="C3359" s="384">
        <v>45834.0</v>
      </c>
      <c r="D3359" s="65">
        <v>6245.0</v>
      </c>
      <c r="E3359" s="445" t="s">
        <v>256</v>
      </c>
      <c r="F3359" s="386">
        <v>1.0</v>
      </c>
      <c r="G3359" s="74">
        <v>130000.0</v>
      </c>
      <c r="H3359" s="74">
        <v>0.0</v>
      </c>
      <c r="I3359" s="74">
        <f t="shared" si="1"/>
        <v>130000</v>
      </c>
      <c r="J3359" s="74">
        <f>IF(E3359="SERVICE",I3359-(I3359*50%),Vlookup(E3359,DATABASE!C:Q,10,false)*F3359)</f>
        <v>10000</v>
      </c>
      <c r="K3359" s="74">
        <f>VLOOKUP(E3359,DATABASE!C:Q,7,false)</f>
        <v>0</v>
      </c>
      <c r="L3359" s="74">
        <v>0.0</v>
      </c>
      <c r="M3359" s="74">
        <f t="shared" si="2"/>
        <v>0</v>
      </c>
      <c r="N3359" s="74">
        <f t="shared" si="3"/>
        <v>120000</v>
      </c>
      <c r="O3359" s="65" t="str">
        <f>VLOOKUP(E3359,DATABASE!C:Q,8,false)</f>
        <v>IBU</v>
      </c>
      <c r="P3359" s="65">
        <f>VLOOKUP(E3359,DATABASE!C:Q,9,False)</f>
        <v>0</v>
      </c>
      <c r="Q3359" s="93" t="str">
        <f>VLOOKUP(E3359,DATABASE!C:Q,4,false)</f>
        <v>SPOORING</v>
      </c>
      <c r="R3359" s="93" t="str">
        <f>VLOOKUP(E3359,DATABASE!C:Q,11,false)</f>
        <v>SERVICE</v>
      </c>
    </row>
    <row r="3360" ht="22.5" customHeight="1">
      <c r="A3360" s="49"/>
      <c r="C3360" s="384">
        <v>45834.0</v>
      </c>
      <c r="D3360" s="65">
        <v>6245.0</v>
      </c>
      <c r="E3360" s="445" t="s">
        <v>301</v>
      </c>
      <c r="F3360" s="386">
        <v>1.0</v>
      </c>
      <c r="G3360" s="74">
        <v>250000.0</v>
      </c>
      <c r="H3360" s="74">
        <v>0.0</v>
      </c>
      <c r="I3360" s="74">
        <f t="shared" si="1"/>
        <v>250000</v>
      </c>
      <c r="J3360" s="74">
        <f>IF(E3360="SERVICE",I3360-(I3360*50%),Vlookup(E3360,DATABASE!C:Q,10,false)*F3360)</f>
        <v>75000</v>
      </c>
      <c r="K3360" s="74">
        <f>VLOOKUP(E3360,DATABASE!C:Q,7,false)</f>
        <v>75000</v>
      </c>
      <c r="L3360" s="74">
        <v>75000.0</v>
      </c>
      <c r="M3360" s="74">
        <f t="shared" si="2"/>
        <v>75000</v>
      </c>
      <c r="N3360" s="74">
        <f t="shared" si="3"/>
        <v>100000</v>
      </c>
      <c r="O3360" s="65" t="str">
        <f>VLOOKUP(E3360,DATABASE!C:Q,8,false)</f>
        <v>BIAN</v>
      </c>
      <c r="P3360" s="65">
        <f>VLOOKUP(E3360,DATABASE!C:Q,9,False)</f>
        <v>0</v>
      </c>
      <c r="Q3360" s="93" t="str">
        <f>VLOOKUP(E3360,DATABASE!C:Q,4,false)</f>
        <v>Baut Camber</v>
      </c>
      <c r="R3360" s="93" t="str">
        <f>VLOOKUP(E3360,DATABASE!C:Q,11,false)</f>
        <v>COMPLEMENTARY</v>
      </c>
    </row>
    <row r="3361" ht="22.5" customHeight="1">
      <c r="A3361" s="49"/>
      <c r="C3361" s="384">
        <v>45834.0</v>
      </c>
      <c r="D3361" s="65">
        <v>6246.0</v>
      </c>
      <c r="E3361" s="385" t="s">
        <v>299</v>
      </c>
      <c r="F3361" s="386">
        <v>2.0</v>
      </c>
      <c r="G3361" s="74">
        <v>30000.0</v>
      </c>
      <c r="H3361" s="74">
        <v>0.0</v>
      </c>
      <c r="I3361" s="74">
        <f t="shared" si="1"/>
        <v>60000</v>
      </c>
      <c r="J3361" s="74">
        <f>IF(E3361="SERVICE",I3361-(I3361*50%),Vlookup(E3361,DATABASE!C:Q,10,false)*F3361)</f>
        <v>0</v>
      </c>
      <c r="K3361" s="74">
        <v>0.0</v>
      </c>
      <c r="L3361" s="74">
        <v>0.0</v>
      </c>
      <c r="M3361" s="74">
        <f t="shared" si="2"/>
        <v>0</v>
      </c>
      <c r="N3361" s="74">
        <f t="shared" si="3"/>
        <v>60000</v>
      </c>
      <c r="O3361" s="65" t="str">
        <f>VLOOKUP(E3361,DATABASE!C:Q,8,false)</f>
        <v>BIAN</v>
      </c>
      <c r="P3361" s="65">
        <f>VLOOKUP(E3361,DATABASE!C:Q,9,False)</f>
        <v>0</v>
      </c>
      <c r="Q3361" s="93" t="str">
        <f>VLOOKUP(E3361,DATABASE!C:Q,4,false)</f>
        <v>Balancing</v>
      </c>
      <c r="R3361" s="93" t="str">
        <f>VLOOKUP(E3361,DATABASE!C:Q,11,false)</f>
        <v>COMPLEMENTARY</v>
      </c>
    </row>
    <row r="3362" ht="22.5" customHeight="1">
      <c r="A3362" s="49"/>
      <c r="C3362" s="384">
        <v>45834.0</v>
      </c>
      <c r="D3362" s="65">
        <v>6247.0</v>
      </c>
      <c r="E3362" s="445" t="s">
        <v>1439</v>
      </c>
      <c r="F3362" s="386">
        <v>1.0</v>
      </c>
      <c r="G3362" s="74">
        <v>630000.0</v>
      </c>
      <c r="H3362" s="74">
        <v>0.0</v>
      </c>
      <c r="I3362" s="74">
        <f t="shared" si="1"/>
        <v>630000</v>
      </c>
      <c r="J3362" s="74">
        <f>IF(E3362="SERVICE",I3362-(I3362*50%),Vlookup(E3362,DATABASE!C:Q,10,false)*F3362)</f>
        <v>0</v>
      </c>
      <c r="K3362" s="74">
        <f>VLOOKUP(E3362,DATABASE!C:Q,7,false)</f>
        <v>556800</v>
      </c>
      <c r="L3362" s="74">
        <v>540800.0</v>
      </c>
      <c r="M3362" s="74">
        <f t="shared" si="2"/>
        <v>545000</v>
      </c>
      <c r="N3362" s="74">
        <f t="shared" si="3"/>
        <v>85000</v>
      </c>
      <c r="O3362" s="65" t="str">
        <f>VLOOKUP(E3362,DATABASE!C:Q,8,false)</f>
        <v>BIAN</v>
      </c>
      <c r="P3362" s="65">
        <f>VLOOKUP(E3362,DATABASE!C:Q,9,False)</f>
        <v>1</v>
      </c>
      <c r="Q3362" s="93" t="str">
        <f>VLOOKUP(E3362,DATABASE!C:Q,4,false)</f>
        <v>GT</v>
      </c>
      <c r="R3362" s="93" t="str">
        <f>VLOOKUP(E3362,DATABASE!C:Q,11,false)</f>
        <v>Tire</v>
      </c>
    </row>
    <row r="3363" ht="22.5" customHeight="1">
      <c r="A3363" s="49"/>
      <c r="C3363" s="384">
        <v>45834.0</v>
      </c>
      <c r="D3363" s="65">
        <v>6248.0</v>
      </c>
      <c r="E3363" s="445" t="s">
        <v>275</v>
      </c>
      <c r="F3363" s="386">
        <v>1.0</v>
      </c>
      <c r="G3363" s="74">
        <v>850000.0</v>
      </c>
      <c r="H3363" s="74">
        <v>0.0</v>
      </c>
      <c r="I3363" s="74">
        <f t="shared" si="1"/>
        <v>850000</v>
      </c>
      <c r="J3363" s="74">
        <f>IF(E3363="SERVICE",I3363-(I3363*50%),Vlookup(E3363,DATABASE!C:Q,10,false)*F3363)</f>
        <v>0</v>
      </c>
      <c r="K3363" s="74">
        <f>VLOOKUP(E3363,DATABASE!C:Q,7,false)</f>
        <v>782000</v>
      </c>
      <c r="L3363" s="74">
        <v>745000.0</v>
      </c>
      <c r="M3363" s="74">
        <f t="shared" si="2"/>
        <v>745000</v>
      </c>
      <c r="N3363" s="74">
        <f t="shared" si="3"/>
        <v>105000</v>
      </c>
      <c r="O3363" s="65" t="str">
        <f>VLOOKUP(E3363,DATABASE!C:Q,8,false)</f>
        <v>IBU</v>
      </c>
      <c r="P3363" s="65">
        <f>VLOOKUP(E3363,DATABASE!C:Q,9,False)</f>
        <v>1</v>
      </c>
      <c r="Q3363" s="93" t="str">
        <f>VLOOKUP(E3363,DATABASE!C:Q,4,false)</f>
        <v>Dunlop</v>
      </c>
      <c r="R3363" s="93" t="str">
        <f>VLOOKUP(E3363,DATABASE!C:Q,11,false)</f>
        <v>Tire</v>
      </c>
    </row>
    <row r="3364" ht="22.5" customHeight="1">
      <c r="A3364" s="49"/>
      <c r="C3364" s="384">
        <v>45834.0</v>
      </c>
      <c r="D3364" s="65">
        <v>6249.0</v>
      </c>
      <c r="E3364" s="445" t="s">
        <v>652</v>
      </c>
      <c r="F3364" s="386">
        <v>1.0</v>
      </c>
      <c r="G3364" s="74">
        <v>260000.0</v>
      </c>
      <c r="H3364" s="74">
        <v>0.0</v>
      </c>
      <c r="I3364" s="74">
        <f t="shared" si="1"/>
        <v>260000</v>
      </c>
      <c r="J3364" s="74">
        <f>IF(E3364="SERVICE",I3364-(I3364*50%),Vlookup(E3364,DATABASE!C:Q,10,false)*F3364)</f>
        <v>0</v>
      </c>
      <c r="K3364" s="74">
        <f>VLOOKUP(E3364,DATABASE!C:Q,7,false)</f>
        <v>231268</v>
      </c>
      <c r="L3364" s="74">
        <v>227850.0</v>
      </c>
      <c r="M3364" s="74">
        <f t="shared" si="2"/>
        <v>230000</v>
      </c>
      <c r="N3364" s="74">
        <f t="shared" si="3"/>
        <v>30000</v>
      </c>
      <c r="O3364" s="65" t="str">
        <f>VLOOKUP(E3364,DATABASE!C:Q,8,false)</f>
        <v>IBU</v>
      </c>
      <c r="P3364" s="65">
        <f>VLOOKUP(E3364,DATABASE!C:Q,9,False)</f>
        <v>1</v>
      </c>
      <c r="Q3364" s="93" t="str">
        <f>VLOOKUP(E3364,DATABASE!C:Q,4,false)</f>
        <v>BD</v>
      </c>
      <c r="R3364" s="93" t="str">
        <f>VLOOKUP(E3364,DATABASE!C:Q,11,false)</f>
        <v>Tire</v>
      </c>
    </row>
    <row r="3365" ht="22.5" customHeight="1">
      <c r="A3365" s="49"/>
      <c r="C3365" s="384">
        <v>45834.0</v>
      </c>
      <c r="D3365" s="65">
        <v>6249.0</v>
      </c>
      <c r="E3365" s="445" t="s">
        <v>814</v>
      </c>
      <c r="F3365" s="386">
        <v>1.0</v>
      </c>
      <c r="G3365" s="74">
        <v>65000.0</v>
      </c>
      <c r="H3365" s="74">
        <v>0.0</v>
      </c>
      <c r="I3365" s="74">
        <f t="shared" si="1"/>
        <v>65000</v>
      </c>
      <c r="J3365" s="74">
        <f>IF(E3365="SERVICE",I3365-(I3365*50%),Vlookup(E3365,DATABASE!C:Q,10,false)*F3365)</f>
        <v>0</v>
      </c>
      <c r="K3365" s="74">
        <f>VLOOKUP(E3365,DATABASE!C:Q,7,false)</f>
        <v>39440</v>
      </c>
      <c r="L3365" s="74">
        <v>39440.0</v>
      </c>
      <c r="M3365" s="74">
        <f t="shared" si="2"/>
        <v>40000</v>
      </c>
      <c r="N3365" s="74">
        <f t="shared" si="3"/>
        <v>25000</v>
      </c>
      <c r="O3365" s="65" t="str">
        <f>VLOOKUP(E3365,DATABASE!C:Q,8,false)</f>
        <v>BIAN</v>
      </c>
      <c r="P3365" s="65">
        <f>VLOOKUP(E3365,DATABASE!C:Q,9,False)</f>
        <v>1</v>
      </c>
      <c r="Q3365" s="93" t="str">
        <f>VLOOKUP(E3365,DATABASE!C:Q,4,false)</f>
        <v>Flap</v>
      </c>
      <c r="R3365" s="93" t="str">
        <f>VLOOKUP(E3365,DATABASE!C:Q,11,false)</f>
        <v>Tire</v>
      </c>
    </row>
    <row r="3366" ht="22.5" customHeight="1">
      <c r="A3366" s="49"/>
      <c r="C3366" s="384">
        <v>45834.0</v>
      </c>
      <c r="D3366" s="65">
        <v>6250.0</v>
      </c>
      <c r="E3366" s="445" t="s">
        <v>251</v>
      </c>
      <c r="F3366" s="386">
        <v>1.0</v>
      </c>
      <c r="G3366" s="74">
        <v>150000.0</v>
      </c>
      <c r="H3366" s="74">
        <v>0.0</v>
      </c>
      <c r="I3366" s="74">
        <f t="shared" si="1"/>
        <v>150000</v>
      </c>
      <c r="J3366" s="74">
        <f>IF(E3366="SERVICE",I3366-(I3366*50%),Vlookup(E3366,DATABASE!C:Q,10,false)*F3366)</f>
        <v>75000</v>
      </c>
      <c r="K3366" s="74">
        <f>VLOOKUP(E3366,DATABASE!C:Q,7,false)</f>
        <v>0</v>
      </c>
      <c r="L3366" s="74">
        <v>0.0</v>
      </c>
      <c r="M3366" s="74">
        <f t="shared" si="2"/>
        <v>0</v>
      </c>
      <c r="N3366" s="74">
        <f t="shared" si="3"/>
        <v>75000</v>
      </c>
      <c r="O3366" s="65" t="str">
        <f>VLOOKUP(E3366,DATABASE!C:Q,8,false)</f>
        <v>IBU</v>
      </c>
      <c r="P3366" s="65">
        <f>VLOOKUP(E3366,DATABASE!C:Q,9,False)</f>
        <v>0</v>
      </c>
      <c r="Q3366" s="93" t="str">
        <f>VLOOKUP(E3366,DATABASE!C:Q,4,false)</f>
        <v>SERVICE</v>
      </c>
      <c r="R3366" s="93" t="str">
        <f>VLOOKUP(E3366,DATABASE!C:Q,11,false)</f>
        <v>SERVICE</v>
      </c>
    </row>
    <row r="3367" ht="22.5" customHeight="1">
      <c r="A3367" s="49"/>
      <c r="C3367" s="384">
        <v>45834.0</v>
      </c>
      <c r="D3367" s="65">
        <v>6250.0</v>
      </c>
      <c r="E3367" s="445" t="s">
        <v>256</v>
      </c>
      <c r="F3367" s="386">
        <v>1.0</v>
      </c>
      <c r="G3367" s="74">
        <v>130000.0</v>
      </c>
      <c r="H3367" s="74">
        <v>0.0</v>
      </c>
      <c r="I3367" s="74">
        <f t="shared" si="1"/>
        <v>130000</v>
      </c>
      <c r="J3367" s="74">
        <f>IF(E3367="SERVICE",I3367-(I3367*50%),Vlookup(E3367,DATABASE!C:Q,10,false)*F3367)</f>
        <v>10000</v>
      </c>
      <c r="K3367" s="74">
        <f>VLOOKUP(E3367,DATABASE!C:Q,7,false)</f>
        <v>0</v>
      </c>
      <c r="L3367" s="74">
        <v>0.0</v>
      </c>
      <c r="M3367" s="74">
        <f t="shared" si="2"/>
        <v>0</v>
      </c>
      <c r="N3367" s="74">
        <f t="shared" si="3"/>
        <v>120000</v>
      </c>
      <c r="O3367" s="65" t="str">
        <f>VLOOKUP(E3367,DATABASE!C:Q,8,false)</f>
        <v>IBU</v>
      </c>
      <c r="P3367" s="65">
        <f>VLOOKUP(E3367,DATABASE!C:Q,9,False)</f>
        <v>0</v>
      </c>
      <c r="Q3367" s="93" t="str">
        <f>VLOOKUP(E3367,DATABASE!C:Q,4,false)</f>
        <v>SPOORING</v>
      </c>
      <c r="R3367" s="93" t="str">
        <f>VLOOKUP(E3367,DATABASE!C:Q,11,false)</f>
        <v>SERVICE</v>
      </c>
    </row>
    <row r="3368" ht="22.5" customHeight="1">
      <c r="A3368" s="49"/>
      <c r="C3368" s="384">
        <v>45834.0</v>
      </c>
      <c r="D3368" s="65">
        <v>6250.0</v>
      </c>
      <c r="E3368" s="445" t="s">
        <v>246</v>
      </c>
      <c r="F3368" s="386">
        <v>2.0</v>
      </c>
      <c r="G3368" s="74">
        <v>30000.0</v>
      </c>
      <c r="H3368" s="74">
        <v>0.0</v>
      </c>
      <c r="I3368" s="74">
        <f t="shared" si="1"/>
        <v>60000</v>
      </c>
      <c r="J3368" s="74">
        <f>IF(E3368="SERVICE",I3368-(I3368*50%),Vlookup(E3368,DATABASE!C:Q,10,false)*F3368)</f>
        <v>0</v>
      </c>
      <c r="K3368" s="74">
        <f>VLOOKUP(E3368,DATABASE!C:Q,7,false)</f>
        <v>0</v>
      </c>
      <c r="L3368" s="74">
        <v>0.0</v>
      </c>
      <c r="M3368" s="74">
        <f t="shared" si="2"/>
        <v>0</v>
      </c>
      <c r="N3368" s="74">
        <f t="shared" si="3"/>
        <v>60000</v>
      </c>
      <c r="O3368" s="65" t="str">
        <f>VLOOKUP(E3368,DATABASE!C:Q,8,false)</f>
        <v>IBU</v>
      </c>
      <c r="P3368" s="65">
        <f>VLOOKUP(E3368,DATABASE!C:Q,9,False)</f>
        <v>0</v>
      </c>
      <c r="Q3368" s="93" t="str">
        <f>VLOOKUP(E3368,DATABASE!C:Q,4,false)</f>
        <v>Bongkar Pasang</v>
      </c>
      <c r="R3368" s="93" t="str">
        <f>VLOOKUP(E3368,DATABASE!C:Q,11,false)</f>
        <v>SERVICE</v>
      </c>
    </row>
    <row r="3369" ht="22.5" customHeight="1">
      <c r="A3369" s="49"/>
      <c r="C3369" s="384">
        <v>45834.0</v>
      </c>
      <c r="D3369" s="65">
        <v>6251.0</v>
      </c>
      <c r="E3369" s="445" t="s">
        <v>932</v>
      </c>
      <c r="F3369" s="386">
        <v>1.0</v>
      </c>
      <c r="G3369" s="74">
        <v>700000.0</v>
      </c>
      <c r="H3369" s="74">
        <v>0.0</v>
      </c>
      <c r="I3369" s="74">
        <f t="shared" si="1"/>
        <v>700000</v>
      </c>
      <c r="J3369" s="74">
        <f>IF(E3369="SERVICE",I3369-(I3369*50%),Vlookup(E3369,DATABASE!C:Q,10,false)*F3369)</f>
        <v>0</v>
      </c>
      <c r="K3369" s="74">
        <f>VLOOKUP(E3369,DATABASE!C:Q,7,false)</f>
        <v>601000</v>
      </c>
      <c r="L3369" s="74">
        <v>595000.0</v>
      </c>
      <c r="M3369" s="74">
        <f t="shared" si="2"/>
        <v>595000</v>
      </c>
      <c r="N3369" s="74">
        <f t="shared" si="3"/>
        <v>105000</v>
      </c>
      <c r="O3369" s="65" t="str">
        <f>VLOOKUP(E3369,DATABASE!C:Q,8,false)</f>
        <v>IBU</v>
      </c>
      <c r="P3369" s="65">
        <f>VLOOKUP(E3369,DATABASE!C:Q,9,False)</f>
        <v>1</v>
      </c>
      <c r="Q3369" s="93" t="str">
        <f>VLOOKUP(E3369,DATABASE!C:Q,4,false)</f>
        <v>Dunlop</v>
      </c>
      <c r="R3369" s="93" t="str">
        <f>VLOOKUP(E3369,DATABASE!C:Q,11,false)</f>
        <v>Tire</v>
      </c>
    </row>
    <row r="3370" ht="22.5" customHeight="1">
      <c r="A3370" s="49"/>
      <c r="C3370" s="384">
        <v>45838.0</v>
      </c>
      <c r="D3370" s="65">
        <v>6252.0</v>
      </c>
      <c r="E3370" s="445" t="s">
        <v>268</v>
      </c>
      <c r="F3370" s="386">
        <v>2.0</v>
      </c>
      <c r="G3370" s="74">
        <v>720000.0</v>
      </c>
      <c r="H3370" s="74">
        <v>0.0</v>
      </c>
      <c r="I3370" s="74">
        <f t="shared" si="1"/>
        <v>1440000</v>
      </c>
      <c r="J3370" s="74">
        <f>IF(E3370="SERVICE",I3370-(I3370*50%),Vlookup(E3370,DATABASE!C:Q,10,false)*F3370)</f>
        <v>0</v>
      </c>
      <c r="K3370" s="74">
        <f>VLOOKUP(E3370,DATABASE!C:Q,7,false)</f>
        <v>653000</v>
      </c>
      <c r="L3370" s="74">
        <v>622000.0</v>
      </c>
      <c r="M3370" s="74">
        <f t="shared" si="2"/>
        <v>625000</v>
      </c>
      <c r="N3370" s="74">
        <f t="shared" si="3"/>
        <v>190000</v>
      </c>
      <c r="O3370" s="65" t="str">
        <f>VLOOKUP(E3370,DATABASE!C:Q,8,false)</f>
        <v>IBU</v>
      </c>
      <c r="P3370" s="65">
        <f>VLOOKUP(E3370,DATABASE!C:Q,9,False)</f>
        <v>1</v>
      </c>
      <c r="Q3370" s="93" t="str">
        <f>VLOOKUP(E3370,DATABASE!C:Q,4,false)</f>
        <v>Dunlop</v>
      </c>
      <c r="R3370" s="93" t="str">
        <f>VLOOKUP(E3370,DATABASE!C:Q,11,false)</f>
        <v>Tire</v>
      </c>
    </row>
    <row r="3371" ht="22.5" customHeight="1">
      <c r="A3371" s="49"/>
      <c r="C3371" s="384">
        <v>45838.0</v>
      </c>
      <c r="D3371" s="65">
        <v>6255.0</v>
      </c>
      <c r="E3371" s="445" t="s">
        <v>294</v>
      </c>
      <c r="F3371" s="386">
        <v>1.0</v>
      </c>
      <c r="G3371" s="74">
        <v>570000.0</v>
      </c>
      <c r="H3371" s="74">
        <v>0.0</v>
      </c>
      <c r="I3371" s="74">
        <f t="shared" si="1"/>
        <v>570000</v>
      </c>
      <c r="J3371" s="74">
        <f>IF(E3371="SERVICE",I3371-(I3371*50%),Vlookup(E3371,DATABASE!C:Q,10,false)*F3371)</f>
        <v>0</v>
      </c>
      <c r="K3371" s="74">
        <f>VLOOKUP(E3371,DATABASE!C:Q,7,false)</f>
        <v>505000</v>
      </c>
      <c r="L3371" s="74">
        <v>490000.0</v>
      </c>
      <c r="M3371" s="74">
        <f t="shared" si="2"/>
        <v>490000</v>
      </c>
      <c r="N3371" s="74">
        <f t="shared" si="3"/>
        <v>80000</v>
      </c>
      <c r="O3371" s="65" t="str">
        <f>VLOOKUP(E3371,DATABASE!C:Q,8,false)</f>
        <v>BIAN</v>
      </c>
      <c r="P3371" s="65">
        <f>VLOOKUP(E3371,DATABASE!C:Q,9,False)</f>
        <v>1</v>
      </c>
      <c r="Q3371" s="93" t="str">
        <f>VLOOKUP(E3371,DATABASE!C:Q,4,false)</f>
        <v>GT</v>
      </c>
      <c r="R3371" s="93" t="str">
        <f>VLOOKUP(E3371,DATABASE!C:Q,11,false)</f>
        <v>Tire</v>
      </c>
    </row>
    <row r="3372" ht="22.5" customHeight="1">
      <c r="A3372" s="49"/>
      <c r="C3372" s="384">
        <v>45838.0</v>
      </c>
      <c r="D3372" s="65">
        <v>6256.0</v>
      </c>
      <c r="E3372" s="445" t="s">
        <v>256</v>
      </c>
      <c r="F3372" s="386">
        <v>1.0</v>
      </c>
      <c r="G3372" s="74">
        <v>130000.0</v>
      </c>
      <c r="H3372" s="74">
        <v>0.0</v>
      </c>
      <c r="I3372" s="74">
        <f t="shared" si="1"/>
        <v>130000</v>
      </c>
      <c r="J3372" s="74">
        <f>IF(E3372="SERVICE",I3372-(I3372*50%),Vlookup(E3372,DATABASE!C:Q,10,false)*F3372)</f>
        <v>10000</v>
      </c>
      <c r="K3372" s="74">
        <f>VLOOKUP(E3372,DATABASE!C:Q,7,false)</f>
        <v>0</v>
      </c>
      <c r="L3372" s="74">
        <v>0.0</v>
      </c>
      <c r="M3372" s="74">
        <f t="shared" si="2"/>
        <v>0</v>
      </c>
      <c r="N3372" s="74">
        <f t="shared" si="3"/>
        <v>120000</v>
      </c>
      <c r="O3372" s="65" t="str">
        <f>VLOOKUP(E3372,DATABASE!C:Q,8,false)</f>
        <v>IBU</v>
      </c>
      <c r="P3372" s="65">
        <f>VLOOKUP(E3372,DATABASE!C:Q,9,False)</f>
        <v>0</v>
      </c>
      <c r="Q3372" s="93" t="str">
        <f>VLOOKUP(E3372,DATABASE!C:Q,4,false)</f>
        <v>SPOORING</v>
      </c>
      <c r="R3372" s="93" t="str">
        <f>VLOOKUP(E3372,DATABASE!C:Q,11,false)</f>
        <v>SERVICE</v>
      </c>
    </row>
    <row r="3373" ht="22.5" customHeight="1">
      <c r="A3373" s="49"/>
      <c r="C3373" s="384">
        <v>45838.0</v>
      </c>
      <c r="D3373" s="65">
        <v>6257.0</v>
      </c>
      <c r="E3373" s="445" t="s">
        <v>1383</v>
      </c>
      <c r="F3373" s="386">
        <v>4.0</v>
      </c>
      <c r="G3373" s="74">
        <v>925000.0</v>
      </c>
      <c r="H3373" s="74">
        <v>0.0</v>
      </c>
      <c r="I3373" s="74">
        <f t="shared" si="1"/>
        <v>3700000</v>
      </c>
      <c r="J3373" s="74">
        <f>IF(E3373="SERVICE",I3373-(I3373*50%),Vlookup(E3373,DATABASE!C:Q,10,false)*F3373)</f>
        <v>0</v>
      </c>
      <c r="K3373" s="74">
        <f>VLOOKUP(E3373,DATABASE!C:Q,7,false)</f>
        <v>812000</v>
      </c>
      <c r="L3373" s="74">
        <v>812000.0</v>
      </c>
      <c r="M3373" s="74">
        <f t="shared" si="2"/>
        <v>815000</v>
      </c>
      <c r="N3373" s="74">
        <f t="shared" si="3"/>
        <v>440000</v>
      </c>
      <c r="O3373" s="65" t="str">
        <f>VLOOKUP(E3373,DATABASE!C:Q,8,false)</f>
        <v>IBU</v>
      </c>
      <c r="P3373" s="65">
        <f>VLOOKUP(E3373,DATABASE!C:Q,9,False)</f>
        <v>1</v>
      </c>
      <c r="Q3373" s="93" t="str">
        <f>VLOOKUP(E3373,DATABASE!C:Q,4,false)</f>
        <v>Dunlop</v>
      </c>
      <c r="R3373" s="93" t="str">
        <f>VLOOKUP(E3373,DATABASE!C:Q,11,false)</f>
        <v>Tire</v>
      </c>
    </row>
    <row r="3374" ht="22.5" customHeight="1">
      <c r="A3374" s="49"/>
      <c r="C3374" s="384">
        <v>45838.0</v>
      </c>
      <c r="D3374" s="65">
        <v>6258.0</v>
      </c>
      <c r="E3374" s="445" t="s">
        <v>1530</v>
      </c>
      <c r="F3374" s="386">
        <v>4.0</v>
      </c>
      <c r="G3374" s="74">
        <v>550000.0</v>
      </c>
      <c r="H3374" s="74">
        <v>0.0</v>
      </c>
      <c r="I3374" s="74">
        <f t="shared" si="1"/>
        <v>2200000</v>
      </c>
      <c r="J3374" s="74">
        <f>IF(E3374="SERVICE",I3374-(I3374*50%),Vlookup(E3374,DATABASE!C:Q,10,false)*F3374)</f>
        <v>0</v>
      </c>
      <c r="K3374" s="74">
        <f>VLOOKUP(E3374,DATABASE!C:Q,7,false)</f>
        <v>467000</v>
      </c>
      <c r="L3374" s="74">
        <v>454000.0</v>
      </c>
      <c r="M3374" s="74">
        <f t="shared" si="2"/>
        <v>455000</v>
      </c>
      <c r="N3374" s="74">
        <f t="shared" si="3"/>
        <v>380000</v>
      </c>
      <c r="O3374" s="65" t="str">
        <f>VLOOKUP(E3374,DATABASE!C:Q,8,false)</f>
        <v>BIAN</v>
      </c>
      <c r="P3374" s="65">
        <f>VLOOKUP(E3374,DATABASE!C:Q,9,False)</f>
        <v>1</v>
      </c>
      <c r="Q3374" s="93" t="str">
        <f>VLOOKUP(E3374,DATABASE!C:Q,4,false)</f>
        <v>Laufen</v>
      </c>
      <c r="R3374" s="93" t="str">
        <f>VLOOKUP(E3374,DATABASE!C:Q,11,false)</f>
        <v>Tire</v>
      </c>
    </row>
    <row r="3375" ht="22.5" customHeight="1">
      <c r="A3375" s="49"/>
      <c r="C3375" s="384">
        <v>45838.0</v>
      </c>
      <c r="D3375" s="65">
        <v>6259.0</v>
      </c>
      <c r="E3375" s="445" t="s">
        <v>268</v>
      </c>
      <c r="F3375" s="386">
        <v>2.0</v>
      </c>
      <c r="G3375" s="74">
        <v>720000.0</v>
      </c>
      <c r="H3375" s="74">
        <v>0.0</v>
      </c>
      <c r="I3375" s="74">
        <f t="shared" si="1"/>
        <v>1440000</v>
      </c>
      <c r="J3375" s="74">
        <f>IF(E3375="SERVICE",I3375-(I3375*50%),Vlookup(E3375,DATABASE!C:Q,10,false)*F3375)</f>
        <v>0</v>
      </c>
      <c r="K3375" s="74">
        <f>VLOOKUP(E3375,DATABASE!C:Q,7,false)</f>
        <v>653000</v>
      </c>
      <c r="L3375" s="74">
        <v>622000.0</v>
      </c>
      <c r="M3375" s="74">
        <f t="shared" si="2"/>
        <v>625000</v>
      </c>
      <c r="N3375" s="74">
        <f t="shared" si="3"/>
        <v>190000</v>
      </c>
      <c r="O3375" s="65" t="str">
        <f>VLOOKUP(E3375,DATABASE!C:Q,8,false)</f>
        <v>IBU</v>
      </c>
      <c r="P3375" s="65">
        <f>VLOOKUP(E3375,DATABASE!C:Q,9,False)</f>
        <v>1</v>
      </c>
      <c r="Q3375" s="93" t="str">
        <f>VLOOKUP(E3375,DATABASE!C:Q,4,false)</f>
        <v>Dunlop</v>
      </c>
      <c r="R3375" s="93" t="str">
        <f>VLOOKUP(E3375,DATABASE!C:Q,11,false)</f>
        <v>Tire</v>
      </c>
    </row>
    <row r="3376" ht="22.5" customHeight="1">
      <c r="A3376" s="49"/>
      <c r="C3376" s="384">
        <v>45838.0</v>
      </c>
      <c r="D3376" s="65">
        <v>6263.0</v>
      </c>
      <c r="E3376" s="445" t="s">
        <v>268</v>
      </c>
      <c r="F3376" s="386">
        <v>1.0</v>
      </c>
      <c r="G3376" s="74">
        <v>720000.0</v>
      </c>
      <c r="H3376" s="74">
        <v>0.0</v>
      </c>
      <c r="I3376" s="74">
        <f t="shared" si="1"/>
        <v>720000</v>
      </c>
      <c r="J3376" s="74">
        <f>IF(E3376="SERVICE",I3376-(I3376*50%),Vlookup(E3376,DATABASE!C:Q,10,false)*F3376)</f>
        <v>0</v>
      </c>
      <c r="K3376" s="74">
        <f>VLOOKUP(E3376,DATABASE!C:Q,7,false)</f>
        <v>653000</v>
      </c>
      <c r="L3376" s="74">
        <v>622000.0</v>
      </c>
      <c r="M3376" s="74">
        <f t="shared" si="2"/>
        <v>625000</v>
      </c>
      <c r="N3376" s="74">
        <f t="shared" si="3"/>
        <v>95000</v>
      </c>
      <c r="O3376" s="65" t="str">
        <f>VLOOKUP(E3376,DATABASE!C:Q,8,false)</f>
        <v>IBU</v>
      </c>
      <c r="P3376" s="65">
        <f>VLOOKUP(E3376,DATABASE!C:Q,9,False)</f>
        <v>1</v>
      </c>
      <c r="Q3376" s="93" t="str">
        <f>VLOOKUP(E3376,DATABASE!C:Q,4,false)</f>
        <v>Dunlop</v>
      </c>
      <c r="R3376" s="93" t="str">
        <f>VLOOKUP(E3376,DATABASE!C:Q,11,false)</f>
        <v>Tire</v>
      </c>
    </row>
    <row r="3377" ht="22.5" customHeight="1">
      <c r="A3377" s="49"/>
      <c r="C3377" s="384">
        <v>45838.0</v>
      </c>
      <c r="D3377" s="65">
        <v>6265.0</v>
      </c>
      <c r="E3377" s="445" t="s">
        <v>1947</v>
      </c>
      <c r="F3377" s="386">
        <v>2.0</v>
      </c>
      <c r="G3377" s="74">
        <v>770000.0</v>
      </c>
      <c r="H3377" s="74">
        <v>0.0</v>
      </c>
      <c r="I3377" s="74">
        <f t="shared" si="1"/>
        <v>1540000</v>
      </c>
      <c r="J3377" s="74">
        <f>IF(E3377="SERVICE",I3377-(I3377*50%),Vlookup(E3377,DATABASE!C:Q,10,false)*F3377)</f>
        <v>0</v>
      </c>
      <c r="K3377" s="74">
        <f>VLOOKUP(E3377,DATABASE!C:Q,7,false)</f>
        <v>694300</v>
      </c>
      <c r="L3377" s="74">
        <v>670000.0</v>
      </c>
      <c r="M3377" s="74">
        <f t="shared" si="2"/>
        <v>670000</v>
      </c>
      <c r="N3377" s="74">
        <f t="shared" si="3"/>
        <v>200000</v>
      </c>
      <c r="O3377" s="65" t="str">
        <f>VLOOKUP(E3377,DATABASE!C:Q,8,false)</f>
        <v>BIAN</v>
      </c>
      <c r="P3377" s="65">
        <f>VLOOKUP(E3377,DATABASE!C:Q,9,False)</f>
        <v>1</v>
      </c>
      <c r="Q3377" s="93" t="str">
        <f>VLOOKUP(E3377,DATABASE!C:Q,4,false)</f>
        <v>GT</v>
      </c>
      <c r="R3377" s="93" t="str">
        <f>VLOOKUP(E3377,DATABASE!C:Q,11,false)</f>
        <v>Tire</v>
      </c>
    </row>
    <row r="3378" ht="22.5" customHeight="1">
      <c r="A3378" s="49"/>
      <c r="C3378" s="384">
        <v>45838.0</v>
      </c>
      <c r="D3378" s="65">
        <v>6266.0</v>
      </c>
      <c r="E3378" s="445" t="s">
        <v>262</v>
      </c>
      <c r="F3378" s="386">
        <v>1.0</v>
      </c>
      <c r="G3378" s="74">
        <v>110000.0</v>
      </c>
      <c r="H3378" s="74">
        <v>0.0</v>
      </c>
      <c r="I3378" s="74">
        <f t="shared" si="1"/>
        <v>110000</v>
      </c>
      <c r="J3378" s="74">
        <f>IF(E3378="SERVICE",I3378-(I3378*50%),Vlookup(E3378,DATABASE!C:Q,10,false)*F3378)</f>
        <v>5000</v>
      </c>
      <c r="K3378" s="74">
        <f>VLOOKUP(E3378,DATABASE!C:Q,7,false)</f>
        <v>0</v>
      </c>
      <c r="L3378" s="74">
        <v>0.0</v>
      </c>
      <c r="M3378" s="74">
        <f t="shared" si="2"/>
        <v>0</v>
      </c>
      <c r="N3378" s="74">
        <f t="shared" si="3"/>
        <v>105000</v>
      </c>
      <c r="O3378" s="65" t="str">
        <f>VLOOKUP(E3378,DATABASE!C:Q,8,false)</f>
        <v>IBU</v>
      </c>
      <c r="P3378" s="65">
        <f>VLOOKUP(E3378,DATABASE!C:Q,9,False)</f>
        <v>0</v>
      </c>
      <c r="Q3378" s="93" t="str">
        <f>VLOOKUP(E3378,DATABASE!C:Q,4,false)</f>
        <v>SPOORING SS/CARRY LOS BAK</v>
      </c>
      <c r="R3378" s="93" t="str">
        <f>VLOOKUP(E3378,DATABASE!C:Q,11,false)</f>
        <v>SERVICE</v>
      </c>
    </row>
    <row r="3379" ht="22.5" customHeight="1">
      <c r="A3379" s="49"/>
      <c r="C3379" s="384">
        <v>45838.0</v>
      </c>
      <c r="D3379" s="65">
        <v>6266.0</v>
      </c>
      <c r="E3379" s="385" t="s">
        <v>305</v>
      </c>
      <c r="F3379" s="386">
        <v>2.0</v>
      </c>
      <c r="G3379" s="74">
        <v>235000.0</v>
      </c>
      <c r="H3379" s="74">
        <v>0.0</v>
      </c>
      <c r="I3379" s="74">
        <f t="shared" si="1"/>
        <v>470000</v>
      </c>
      <c r="J3379" s="74">
        <f>IF(E3379="SERVICE",I3379-(I3379*50%),Vlookup(E3379,DATABASE!C:Q,10,false)*F3379)</f>
        <v>80000</v>
      </c>
      <c r="K3379" s="74">
        <f>VLOOKUP(E3379,DATABASE!C:Q,7,false)</f>
        <v>158530.2</v>
      </c>
      <c r="L3379" s="74">
        <v>151890.0</v>
      </c>
      <c r="M3379" s="74">
        <f t="shared" si="2"/>
        <v>155000</v>
      </c>
      <c r="N3379" s="74">
        <f t="shared" si="3"/>
        <v>80000</v>
      </c>
      <c r="O3379" s="65" t="str">
        <f>VLOOKUP(E3379,DATABASE!C:Q,8,false)</f>
        <v>BIAN</v>
      </c>
      <c r="P3379" s="65">
        <f>VLOOKUP(E3379,DATABASE!C:Q,9,False)</f>
        <v>1</v>
      </c>
      <c r="Q3379" s="93" t="str">
        <f>VLOOKUP(E3379,DATABASE!C:Q,4,false)</f>
        <v>Lower Arm</v>
      </c>
      <c r="R3379" s="93" t="str">
        <f>VLOOKUP(E3379,DATABASE!C:Q,11,false)</f>
        <v>COMPLEMENTARY</v>
      </c>
    </row>
    <row r="3380" ht="22.5" customHeight="1">
      <c r="A3380" s="49"/>
      <c r="C3380" s="384">
        <v>45838.0</v>
      </c>
      <c r="D3380" s="65">
        <v>6266.0</v>
      </c>
      <c r="E3380" s="445" t="s">
        <v>2206</v>
      </c>
      <c r="F3380" s="386">
        <v>1.0</v>
      </c>
      <c r="G3380" s="74">
        <v>200000.0</v>
      </c>
      <c r="H3380" s="74">
        <v>0.0</v>
      </c>
      <c r="I3380" s="74">
        <f t="shared" si="1"/>
        <v>200000</v>
      </c>
      <c r="J3380" s="74">
        <f>IF(E3380="SERVICE",I3380-(I3380*50%),Vlookup(E3380,DATABASE!C:Q,10,false)*F3380)</f>
        <v>40000</v>
      </c>
      <c r="K3380" s="74">
        <f>VLOOKUP(E3380,DATABASE!C:Q,7,false)</f>
        <v>95450</v>
      </c>
      <c r="L3380" s="74">
        <v>61000.0</v>
      </c>
      <c r="M3380" s="74">
        <f t="shared" si="2"/>
        <v>65000</v>
      </c>
      <c r="N3380" s="74">
        <f t="shared" si="3"/>
        <v>95000</v>
      </c>
      <c r="O3380" s="65" t="str">
        <f>VLOOKUP(E3380,DATABASE!C:Q,8,false)</f>
        <v>IBU</v>
      </c>
      <c r="P3380" s="65">
        <f>VLOOKUP(E3380,DATABASE!C:Q,9,False)</f>
        <v>1</v>
      </c>
      <c r="Q3380" s="93" t="str">
        <f>VLOOKUP(E3380,DATABASE!C:Q,4,false)</f>
        <v>TIEROD</v>
      </c>
      <c r="R3380" s="93" t="str">
        <f>VLOOKUP(E3380,DATABASE!C:Q,11,false)</f>
        <v>COMPLEMENTARY</v>
      </c>
    </row>
    <row r="3381" ht="22.5" customHeight="1">
      <c r="A3381" s="49"/>
      <c r="C3381" s="384">
        <v>45838.0</v>
      </c>
      <c r="D3381" s="65">
        <v>6266.0</v>
      </c>
      <c r="E3381" s="445" t="s">
        <v>478</v>
      </c>
      <c r="F3381" s="386">
        <v>1.0</v>
      </c>
      <c r="G3381" s="74">
        <v>200000.0</v>
      </c>
      <c r="H3381" s="74">
        <v>0.0</v>
      </c>
      <c r="I3381" s="74">
        <f t="shared" si="1"/>
        <v>200000</v>
      </c>
      <c r="J3381" s="74">
        <f>IF(E3381="SERVICE",I3381-(I3381*50%),Vlookup(E3381,DATABASE!C:Q,10,false)*F3381)</f>
        <v>25000</v>
      </c>
      <c r="K3381" s="74">
        <f>VLOOKUP(E3381,DATABASE!C:Q,7,false)</f>
        <v>75000</v>
      </c>
      <c r="L3381" s="74">
        <v>75000.0</v>
      </c>
      <c r="M3381" s="74">
        <f t="shared" si="2"/>
        <v>75000</v>
      </c>
      <c r="N3381" s="74">
        <f t="shared" si="3"/>
        <v>100000</v>
      </c>
      <c r="O3381" s="65" t="str">
        <f>VLOOKUP(E3381,DATABASE!C:Q,8,false)</f>
        <v>BIAN</v>
      </c>
      <c r="P3381" s="65">
        <f>VLOOKUP(E3381,DATABASE!C:Q,9,False)</f>
        <v>0</v>
      </c>
      <c r="Q3381" s="93" t="str">
        <f>VLOOKUP(E3381,DATABASE!C:Q,4,false)</f>
        <v>Baut Camber ss-carry</v>
      </c>
      <c r="R3381" s="93" t="str">
        <f>VLOOKUP(E3381,DATABASE!C:Q,11,false)</f>
        <v>COMPLEMENTARY</v>
      </c>
    </row>
    <row r="3382" ht="22.5" customHeight="1">
      <c r="A3382" s="49"/>
      <c r="C3382" s="384">
        <v>45838.0</v>
      </c>
      <c r="D3382" s="65">
        <v>6266.0</v>
      </c>
      <c r="E3382" s="445" t="s">
        <v>251</v>
      </c>
      <c r="F3382" s="386">
        <v>1.0</v>
      </c>
      <c r="G3382" s="74">
        <v>60000.0</v>
      </c>
      <c r="H3382" s="74">
        <v>0.0</v>
      </c>
      <c r="I3382" s="74">
        <f t="shared" si="1"/>
        <v>60000</v>
      </c>
      <c r="J3382" s="74">
        <f>IF(E3382="SERVICE",I3382-(I3382*50%),Vlookup(E3382,DATABASE!C:Q,10,false)*F3382)</f>
        <v>30000</v>
      </c>
      <c r="K3382" s="74">
        <f>VLOOKUP(E3382,DATABASE!C:Q,7,false)</f>
        <v>0</v>
      </c>
      <c r="L3382" s="74">
        <v>0.0</v>
      </c>
      <c r="M3382" s="74">
        <f t="shared" si="2"/>
        <v>0</v>
      </c>
      <c r="N3382" s="74">
        <f t="shared" si="3"/>
        <v>30000</v>
      </c>
      <c r="O3382" s="65" t="str">
        <f>VLOOKUP(E3382,DATABASE!C:Q,8,false)</f>
        <v>IBU</v>
      </c>
      <c r="P3382" s="65">
        <f>VLOOKUP(E3382,DATABASE!C:Q,9,False)</f>
        <v>0</v>
      </c>
      <c r="Q3382" s="93" t="str">
        <f>VLOOKUP(E3382,DATABASE!C:Q,4,false)</f>
        <v>SERVICE</v>
      </c>
      <c r="R3382" s="93" t="str">
        <f>VLOOKUP(E3382,DATABASE!C:Q,11,false)</f>
        <v>SERVICE</v>
      </c>
    </row>
    <row r="3383" ht="22.5" customHeight="1">
      <c r="A3383" s="49"/>
      <c r="C3383" s="384">
        <v>45838.0</v>
      </c>
      <c r="D3383" s="65">
        <v>6266.0</v>
      </c>
      <c r="E3383" s="445" t="s">
        <v>2154</v>
      </c>
      <c r="F3383" s="386">
        <v>1.0</v>
      </c>
      <c r="G3383" s="74">
        <v>225000.0</v>
      </c>
      <c r="H3383" s="74">
        <v>0.0</v>
      </c>
      <c r="I3383" s="74">
        <f t="shared" si="1"/>
        <v>225000</v>
      </c>
      <c r="J3383" s="74">
        <f>IF(E3383="SERVICE",I3383-(I3383*50%),Vlookup(E3383,DATABASE!C:Q,10,false)*F3383)</f>
        <v>80000</v>
      </c>
      <c r="K3383" s="74">
        <f>VLOOKUP(E3383,DATABASE!C:Q,7,false)</f>
        <v>90000</v>
      </c>
      <c r="L3383" s="74">
        <v>65000.0</v>
      </c>
      <c r="M3383" s="74">
        <f t="shared" si="2"/>
        <v>65000</v>
      </c>
      <c r="N3383" s="74">
        <f t="shared" si="3"/>
        <v>80000</v>
      </c>
      <c r="O3383" s="65" t="str">
        <f>VLOOKUP(E3383,DATABASE!C:Q,8,false)</f>
        <v>IBU</v>
      </c>
      <c r="P3383" s="65">
        <f>VLOOKUP(E3383,DATABASE!C:Q,9,False)</f>
        <v>0</v>
      </c>
      <c r="Q3383" s="93" t="str">
        <f>VLOOKUP(E3383,DATABASE!C:Q,4,false)</f>
        <v>SERVICE</v>
      </c>
      <c r="R3383" s="93" t="str">
        <f>VLOOKUP(E3383,DATABASE!C:Q,11,false)</f>
        <v>COMPLEMENTARY</v>
      </c>
    </row>
    <row r="3384" ht="22.5" customHeight="1">
      <c r="A3384" s="49"/>
      <c r="C3384" s="384">
        <v>45838.0</v>
      </c>
      <c r="D3384" s="65">
        <v>6267.0</v>
      </c>
      <c r="E3384" s="445" t="s">
        <v>897</v>
      </c>
      <c r="F3384" s="386">
        <v>1.0</v>
      </c>
      <c r="G3384" s="74">
        <v>1600000.0</v>
      </c>
      <c r="H3384" s="74">
        <v>0.0</v>
      </c>
      <c r="I3384" s="74">
        <f t="shared" si="1"/>
        <v>1600000</v>
      </c>
      <c r="J3384" s="74">
        <f>IF(E3384="SERVICE",I3384-(I3384*50%),Vlookup(E3384,DATABASE!C:Q,10,false)*F3384)</f>
        <v>0</v>
      </c>
      <c r="K3384" s="74">
        <f>VLOOKUP(E3384,DATABASE!C:Q,7,false)</f>
        <v>1560000</v>
      </c>
      <c r="L3384" s="74">
        <v>1500000.0</v>
      </c>
      <c r="M3384" s="74">
        <f t="shared" si="2"/>
        <v>1500000</v>
      </c>
      <c r="N3384" s="74">
        <f t="shared" si="3"/>
        <v>100000</v>
      </c>
      <c r="O3384" s="65" t="str">
        <f>VLOOKUP(E3384,DATABASE!C:Q,8,false)</f>
        <v>BIAN</v>
      </c>
      <c r="P3384" s="65">
        <f>VLOOKUP(E3384,DATABASE!C:Q,9,False)</f>
        <v>1</v>
      </c>
      <c r="Q3384" s="93" t="str">
        <f>VLOOKUP(E3384,DATABASE!C:Q,4,false)</f>
        <v>GT</v>
      </c>
      <c r="R3384" s="93" t="str">
        <f>VLOOKUP(E3384,DATABASE!C:Q,11,false)</f>
        <v>Tire</v>
      </c>
    </row>
    <row r="3385" ht="22.5" customHeight="1">
      <c r="A3385" s="49"/>
      <c r="C3385" s="384">
        <v>45838.0</v>
      </c>
      <c r="D3385" s="65">
        <v>6267.0</v>
      </c>
      <c r="E3385" s="445" t="s">
        <v>744</v>
      </c>
      <c r="F3385" s="386">
        <v>1.0</v>
      </c>
      <c r="G3385" s="74">
        <v>230000.0</v>
      </c>
      <c r="H3385" s="74">
        <v>0.0</v>
      </c>
      <c r="I3385" s="74">
        <f t="shared" si="1"/>
        <v>230000</v>
      </c>
      <c r="J3385" s="74">
        <f>IF(E3385="SERVICE",I3385-(I3385*50%),Vlookup(E3385,DATABASE!C:Q,10,false)*F3385)</f>
        <v>0</v>
      </c>
      <c r="K3385" s="74">
        <f>VLOOKUP(E3385,DATABASE!C:Q,7,false)</f>
        <v>182200</v>
      </c>
      <c r="L3385" s="74">
        <v>199920.0</v>
      </c>
      <c r="M3385" s="74">
        <f t="shared" si="2"/>
        <v>200000</v>
      </c>
      <c r="N3385" s="74">
        <f t="shared" si="3"/>
        <v>30000</v>
      </c>
      <c r="O3385" s="65" t="str">
        <f>VLOOKUP(E3385,DATABASE!C:Q,8,false)</f>
        <v>BIAN</v>
      </c>
      <c r="P3385" s="65">
        <f>VLOOKUP(E3385,DATABASE!C:Q,9,False)</f>
        <v>1</v>
      </c>
      <c r="Q3385" s="93" t="str">
        <f>VLOOKUP(E3385,DATABASE!C:Q,4,false)</f>
        <v>BD</v>
      </c>
      <c r="R3385" s="93" t="str">
        <f>VLOOKUP(E3385,DATABASE!C:Q,11,false)</f>
        <v>Tire</v>
      </c>
    </row>
    <row r="3386" ht="22.5" customHeight="1">
      <c r="A3386" s="49"/>
      <c r="C3386" s="384">
        <v>45838.0</v>
      </c>
      <c r="D3386" s="65">
        <v>6268.0</v>
      </c>
      <c r="E3386" s="445" t="s">
        <v>932</v>
      </c>
      <c r="F3386" s="386">
        <v>1.0</v>
      </c>
      <c r="G3386" s="74">
        <v>700000.0</v>
      </c>
      <c r="H3386" s="74">
        <v>0.0</v>
      </c>
      <c r="I3386" s="74">
        <f t="shared" si="1"/>
        <v>700000</v>
      </c>
      <c r="J3386" s="74">
        <f>IF(E3386="SERVICE",I3386-(I3386*50%),Vlookup(E3386,DATABASE!C:Q,10,false)*F3386)</f>
        <v>0</v>
      </c>
      <c r="K3386" s="74">
        <f>VLOOKUP(E3386,DATABASE!C:Q,7,false)</f>
        <v>601000</v>
      </c>
      <c r="L3386" s="74">
        <v>595000.0</v>
      </c>
      <c r="M3386" s="74">
        <f t="shared" si="2"/>
        <v>595000</v>
      </c>
      <c r="N3386" s="74">
        <f t="shared" si="3"/>
        <v>105000</v>
      </c>
      <c r="O3386" s="65" t="str">
        <f>VLOOKUP(E3386,DATABASE!C:Q,8,false)</f>
        <v>IBU</v>
      </c>
      <c r="P3386" s="65">
        <f>VLOOKUP(E3386,DATABASE!C:Q,9,False)</f>
        <v>1</v>
      </c>
      <c r="Q3386" s="93" t="str">
        <f>VLOOKUP(E3386,DATABASE!C:Q,4,false)</f>
        <v>Dunlop</v>
      </c>
      <c r="R3386" s="93" t="str">
        <f>VLOOKUP(E3386,DATABASE!C:Q,11,false)</f>
        <v>Tire</v>
      </c>
    </row>
    <row r="3387" ht="22.5" customHeight="1">
      <c r="A3387" s="49"/>
      <c r="C3387" s="384">
        <v>45838.0</v>
      </c>
      <c r="D3387" s="65">
        <v>6269.0</v>
      </c>
      <c r="E3387" s="445" t="s">
        <v>262</v>
      </c>
      <c r="F3387" s="386">
        <v>1.0</v>
      </c>
      <c r="G3387" s="74">
        <v>110000.0</v>
      </c>
      <c r="H3387" s="74">
        <v>0.0</v>
      </c>
      <c r="I3387" s="74">
        <f t="shared" si="1"/>
        <v>110000</v>
      </c>
      <c r="J3387" s="74">
        <f>IF(E3387="SERVICE",I3387-(I3387*50%),Vlookup(E3387,DATABASE!C:Q,10,false)*F3387)</f>
        <v>5000</v>
      </c>
      <c r="K3387" s="74">
        <f>VLOOKUP(E3387,DATABASE!C:Q,7,false)</f>
        <v>0</v>
      </c>
      <c r="L3387" s="74">
        <v>0.0</v>
      </c>
      <c r="M3387" s="74">
        <f t="shared" si="2"/>
        <v>0</v>
      </c>
      <c r="N3387" s="74">
        <f t="shared" si="3"/>
        <v>105000</v>
      </c>
      <c r="O3387" s="65" t="str">
        <f>VLOOKUP(E3387,DATABASE!C:Q,8,false)</f>
        <v>IBU</v>
      </c>
      <c r="P3387" s="65">
        <f>VLOOKUP(E3387,DATABASE!C:Q,9,False)</f>
        <v>0</v>
      </c>
      <c r="Q3387" s="93" t="str">
        <f>VLOOKUP(E3387,DATABASE!C:Q,4,false)</f>
        <v>SPOORING SS/CARRY LOS BAK</v>
      </c>
      <c r="R3387" s="93" t="str">
        <f>VLOOKUP(E3387,DATABASE!C:Q,11,false)</f>
        <v>SERVICE</v>
      </c>
    </row>
    <row r="3388" ht="22.5" customHeight="1">
      <c r="A3388" s="49"/>
      <c r="C3388" s="384">
        <v>45838.0</v>
      </c>
      <c r="D3388" s="65">
        <v>6270.0</v>
      </c>
      <c r="E3388" s="445" t="s">
        <v>256</v>
      </c>
      <c r="F3388" s="386">
        <v>1.0</v>
      </c>
      <c r="G3388" s="74">
        <v>130000.0</v>
      </c>
      <c r="H3388" s="74">
        <v>0.0</v>
      </c>
      <c r="I3388" s="74">
        <f t="shared" si="1"/>
        <v>130000</v>
      </c>
      <c r="J3388" s="74">
        <f>IF(E3388="SERVICE",I3388-(I3388*50%),Vlookup(E3388,DATABASE!C:Q,10,false)*F3388)</f>
        <v>10000</v>
      </c>
      <c r="K3388" s="74">
        <f>VLOOKUP(E3388,DATABASE!C:Q,7,false)</f>
        <v>0</v>
      </c>
      <c r="L3388" s="74">
        <v>0.0</v>
      </c>
      <c r="M3388" s="74">
        <f t="shared" si="2"/>
        <v>0</v>
      </c>
      <c r="N3388" s="74">
        <f t="shared" si="3"/>
        <v>120000</v>
      </c>
      <c r="O3388" s="65" t="str">
        <f>VLOOKUP(E3388,DATABASE!C:Q,8,false)</f>
        <v>IBU</v>
      </c>
      <c r="P3388" s="65">
        <f>VLOOKUP(E3388,DATABASE!C:Q,9,False)</f>
        <v>0</v>
      </c>
      <c r="Q3388" s="93" t="str">
        <f>VLOOKUP(E3388,DATABASE!C:Q,4,false)</f>
        <v>SPOORING</v>
      </c>
      <c r="R3388" s="93" t="str">
        <f>VLOOKUP(E3388,DATABASE!C:Q,11,false)</f>
        <v>SERVICE</v>
      </c>
    </row>
    <row r="3389" ht="22.5" customHeight="1">
      <c r="A3389" s="49"/>
      <c r="C3389" s="384">
        <v>45838.0</v>
      </c>
      <c r="D3389" s="65">
        <v>6270.0</v>
      </c>
      <c r="E3389" s="445" t="s">
        <v>251</v>
      </c>
      <c r="F3389" s="386">
        <v>1.0</v>
      </c>
      <c r="G3389" s="74">
        <v>150000.0</v>
      </c>
      <c r="H3389" s="74">
        <v>0.0</v>
      </c>
      <c r="I3389" s="74">
        <f t="shared" si="1"/>
        <v>150000</v>
      </c>
      <c r="J3389" s="74">
        <f>IF(E3389="SERVICE",I3389-(I3389*50%),Vlookup(E3389,DATABASE!C:Q,10,false)*F3389)</f>
        <v>75000</v>
      </c>
      <c r="K3389" s="74">
        <f>VLOOKUP(E3389,DATABASE!C:Q,7,false)</f>
        <v>0</v>
      </c>
      <c r="L3389" s="74">
        <v>0.0</v>
      </c>
      <c r="M3389" s="74">
        <f t="shared" si="2"/>
        <v>0</v>
      </c>
      <c r="N3389" s="74">
        <f t="shared" si="3"/>
        <v>75000</v>
      </c>
      <c r="O3389" s="65" t="str">
        <f>VLOOKUP(E3389,DATABASE!C:Q,8,false)</f>
        <v>IBU</v>
      </c>
      <c r="P3389" s="65">
        <f>VLOOKUP(E3389,DATABASE!C:Q,9,False)</f>
        <v>0</v>
      </c>
      <c r="Q3389" s="93" t="str">
        <f>VLOOKUP(E3389,DATABASE!C:Q,4,false)</f>
        <v>SERVICE</v>
      </c>
      <c r="R3389" s="93" t="str">
        <f>VLOOKUP(E3389,DATABASE!C:Q,11,false)</f>
        <v>SERVICE</v>
      </c>
    </row>
    <row r="3390" ht="22.5" customHeight="1">
      <c r="A3390" s="49"/>
      <c r="C3390" s="384">
        <v>45838.0</v>
      </c>
      <c r="D3390" s="65">
        <v>6271.0</v>
      </c>
      <c r="E3390" s="445" t="s">
        <v>2057</v>
      </c>
      <c r="F3390" s="386">
        <v>4.0</v>
      </c>
      <c r="G3390" s="74">
        <v>650000.0</v>
      </c>
      <c r="H3390" s="74">
        <v>0.0</v>
      </c>
      <c r="I3390" s="74">
        <f t="shared" si="1"/>
        <v>2600000</v>
      </c>
      <c r="J3390" s="74">
        <f>IF(E3390="SERVICE",I3390-(I3390*50%),Vlookup(E3390,DATABASE!C:Q,10,false)*F3390)</f>
        <v>0</v>
      </c>
      <c r="K3390" s="74">
        <f>VLOOKUP(E3390,DATABASE!C:Q,7,false)</f>
        <v>565000</v>
      </c>
      <c r="L3390" s="74">
        <v>565000.0</v>
      </c>
      <c r="M3390" s="74">
        <f t="shared" si="2"/>
        <v>565000</v>
      </c>
      <c r="N3390" s="74">
        <f t="shared" si="3"/>
        <v>340000</v>
      </c>
      <c r="O3390" s="65" t="str">
        <f>VLOOKUP(E3390,DATABASE!C:Q,8,false)</f>
        <v>BIAN</v>
      </c>
      <c r="P3390" s="65">
        <f>VLOOKUP(E3390,DATABASE!C:Q,9,False)</f>
        <v>1</v>
      </c>
      <c r="Q3390" s="93" t="str">
        <f>VLOOKUP(E3390,DATABASE!C:Q,4,false)</f>
        <v>Hankook</v>
      </c>
      <c r="R3390" s="93" t="str">
        <f>VLOOKUP(E3390,DATABASE!C:Q,11,false)</f>
        <v>Tire</v>
      </c>
    </row>
    <row r="3391" ht="22.5" customHeight="1">
      <c r="A3391" s="49"/>
      <c r="C3391" s="384">
        <v>45838.0</v>
      </c>
      <c r="D3391" s="65">
        <v>6271.0</v>
      </c>
      <c r="E3391" s="385" t="s">
        <v>299</v>
      </c>
      <c r="F3391" s="386">
        <v>2.0</v>
      </c>
      <c r="G3391" s="74">
        <v>30000.0</v>
      </c>
      <c r="H3391" s="74">
        <v>0.0</v>
      </c>
      <c r="I3391" s="74">
        <f t="shared" si="1"/>
        <v>60000</v>
      </c>
      <c r="J3391" s="74">
        <f>IF(E3391="SERVICE",I3391-(I3391*50%),Vlookup(E3391,DATABASE!C:Q,10,false)*F3391)</f>
        <v>0</v>
      </c>
      <c r="K3391" s="74">
        <v>0.0</v>
      </c>
      <c r="L3391" s="74">
        <v>0.0</v>
      </c>
      <c r="M3391" s="74">
        <f t="shared" si="2"/>
        <v>0</v>
      </c>
      <c r="N3391" s="74">
        <f t="shared" si="3"/>
        <v>60000</v>
      </c>
      <c r="O3391" s="65" t="str">
        <f>VLOOKUP(E3391,DATABASE!C:Q,8,false)</f>
        <v>BIAN</v>
      </c>
      <c r="P3391" s="65">
        <f>VLOOKUP(E3391,DATABASE!C:Q,9,False)</f>
        <v>0</v>
      </c>
      <c r="Q3391" s="93" t="str">
        <f>VLOOKUP(E3391,DATABASE!C:Q,4,false)</f>
        <v>Balancing</v>
      </c>
      <c r="R3391" s="93" t="str">
        <f>VLOOKUP(E3391,DATABASE!C:Q,11,false)</f>
        <v>COMPLEMENTARY</v>
      </c>
    </row>
    <row r="3392" ht="22.5" customHeight="1">
      <c r="A3392" s="49"/>
      <c r="C3392" s="384">
        <v>45838.0</v>
      </c>
      <c r="D3392" s="65">
        <v>6272.0</v>
      </c>
      <c r="E3392" s="445" t="s">
        <v>1530</v>
      </c>
      <c r="F3392" s="386">
        <v>1.0</v>
      </c>
      <c r="G3392" s="74">
        <v>550000.0</v>
      </c>
      <c r="H3392" s="74">
        <v>0.0</v>
      </c>
      <c r="I3392" s="74">
        <f t="shared" si="1"/>
        <v>550000</v>
      </c>
      <c r="J3392" s="74">
        <f>IF(E3392="SERVICE",I3392-(I3392*50%),Vlookup(E3392,DATABASE!C:Q,10,false)*F3392)</f>
        <v>0</v>
      </c>
      <c r="K3392" s="74">
        <f>VLOOKUP(E3392,DATABASE!C:Q,7,false)</f>
        <v>467000</v>
      </c>
      <c r="L3392" s="74">
        <v>454000.0</v>
      </c>
      <c r="M3392" s="74">
        <f t="shared" si="2"/>
        <v>455000</v>
      </c>
      <c r="N3392" s="74">
        <f t="shared" si="3"/>
        <v>95000</v>
      </c>
      <c r="O3392" s="65" t="str">
        <f>VLOOKUP(E3392,DATABASE!C:Q,8,false)</f>
        <v>BIAN</v>
      </c>
      <c r="P3392" s="65">
        <f>VLOOKUP(E3392,DATABASE!C:Q,9,False)</f>
        <v>1</v>
      </c>
      <c r="Q3392" s="93" t="str">
        <f>VLOOKUP(E3392,DATABASE!C:Q,4,false)</f>
        <v>Laufen</v>
      </c>
      <c r="R3392" s="93" t="str">
        <f>VLOOKUP(E3392,DATABASE!C:Q,11,false)</f>
        <v>Tire</v>
      </c>
    </row>
    <row r="3393" ht="22.5" customHeight="1">
      <c r="A3393" s="49"/>
      <c r="C3393" s="384">
        <v>45838.0</v>
      </c>
      <c r="D3393" s="65">
        <v>6273.0</v>
      </c>
      <c r="E3393" s="445" t="s">
        <v>478</v>
      </c>
      <c r="F3393" s="386">
        <v>1.0</v>
      </c>
      <c r="G3393" s="74">
        <v>200000.0</v>
      </c>
      <c r="H3393" s="74">
        <v>0.0</v>
      </c>
      <c r="I3393" s="74">
        <f t="shared" si="1"/>
        <v>200000</v>
      </c>
      <c r="J3393" s="74">
        <f>IF(E3393="SERVICE",I3393-(I3393*50%),Vlookup(E3393,DATABASE!C:Q,10,false)*F3393)</f>
        <v>25000</v>
      </c>
      <c r="K3393" s="74">
        <f>VLOOKUP(E3393,DATABASE!C:Q,7,false)</f>
        <v>75000</v>
      </c>
      <c r="L3393" s="74">
        <v>75000.0</v>
      </c>
      <c r="M3393" s="74">
        <f t="shared" si="2"/>
        <v>75000</v>
      </c>
      <c r="N3393" s="74">
        <f t="shared" si="3"/>
        <v>100000</v>
      </c>
      <c r="O3393" s="65" t="str">
        <f>VLOOKUP(E3393,DATABASE!C:Q,8,false)</f>
        <v>BIAN</v>
      </c>
      <c r="P3393" s="65">
        <f>VLOOKUP(E3393,DATABASE!C:Q,9,False)</f>
        <v>0</v>
      </c>
      <c r="Q3393" s="93" t="str">
        <f>VLOOKUP(E3393,DATABASE!C:Q,4,false)</f>
        <v>Baut Camber ss-carry</v>
      </c>
      <c r="R3393" s="93" t="str">
        <f>VLOOKUP(E3393,DATABASE!C:Q,11,false)</f>
        <v>COMPLEMENTARY</v>
      </c>
    </row>
    <row r="3394" ht="22.5" customHeight="1">
      <c r="A3394" s="49"/>
      <c r="C3394" s="384">
        <v>45838.0</v>
      </c>
      <c r="D3394" s="65">
        <v>6273.0</v>
      </c>
      <c r="E3394" s="445" t="s">
        <v>262</v>
      </c>
      <c r="F3394" s="386">
        <v>1.0</v>
      </c>
      <c r="G3394" s="74">
        <v>110000.0</v>
      </c>
      <c r="H3394" s="74">
        <v>0.0</v>
      </c>
      <c r="I3394" s="74">
        <f t="shared" si="1"/>
        <v>110000</v>
      </c>
      <c r="J3394" s="74">
        <f>IF(E3394="SERVICE",I3394-(I3394*50%),Vlookup(E3394,DATABASE!C:Q,10,false)*F3394)</f>
        <v>5000</v>
      </c>
      <c r="K3394" s="74">
        <f>VLOOKUP(E3394,DATABASE!C:Q,7,false)</f>
        <v>0</v>
      </c>
      <c r="L3394" s="74">
        <v>0.0</v>
      </c>
      <c r="M3394" s="74">
        <f t="shared" si="2"/>
        <v>0</v>
      </c>
      <c r="N3394" s="74">
        <f t="shared" si="3"/>
        <v>105000</v>
      </c>
      <c r="O3394" s="65" t="str">
        <f>VLOOKUP(E3394,DATABASE!C:Q,8,false)</f>
        <v>IBU</v>
      </c>
      <c r="P3394" s="65">
        <f>VLOOKUP(E3394,DATABASE!C:Q,9,False)</f>
        <v>0</v>
      </c>
      <c r="Q3394" s="93" t="str">
        <f>VLOOKUP(E3394,DATABASE!C:Q,4,false)</f>
        <v>SPOORING SS/CARRY LOS BAK</v>
      </c>
      <c r="R3394" s="93" t="str">
        <f>VLOOKUP(E3394,DATABASE!C:Q,11,false)</f>
        <v>SERVICE</v>
      </c>
    </row>
    <row r="3395" ht="22.5" customHeight="1">
      <c r="A3395" s="49"/>
      <c r="C3395" s="384">
        <v>45838.0</v>
      </c>
      <c r="D3395" s="65">
        <v>6274.0</v>
      </c>
      <c r="E3395" s="445" t="s">
        <v>478</v>
      </c>
      <c r="F3395" s="386">
        <v>1.0</v>
      </c>
      <c r="G3395" s="74">
        <v>200000.0</v>
      </c>
      <c r="H3395" s="74">
        <v>0.0</v>
      </c>
      <c r="I3395" s="74">
        <f t="shared" si="1"/>
        <v>200000</v>
      </c>
      <c r="J3395" s="74">
        <f>IF(E3395="SERVICE",I3395-(I3395*50%),Vlookup(E3395,DATABASE!C:Q,10,false)*F3395)</f>
        <v>25000</v>
      </c>
      <c r="K3395" s="74">
        <f>VLOOKUP(E3395,DATABASE!C:Q,7,false)</f>
        <v>75000</v>
      </c>
      <c r="L3395" s="74">
        <v>75000.0</v>
      </c>
      <c r="M3395" s="74">
        <f t="shared" si="2"/>
        <v>75000</v>
      </c>
      <c r="N3395" s="74">
        <f t="shared" si="3"/>
        <v>100000</v>
      </c>
      <c r="O3395" s="65" t="str">
        <f>VLOOKUP(E3395,DATABASE!C:Q,8,false)</f>
        <v>BIAN</v>
      </c>
      <c r="P3395" s="65">
        <f>VLOOKUP(E3395,DATABASE!C:Q,9,False)</f>
        <v>0</v>
      </c>
      <c r="Q3395" s="93" t="str">
        <f>VLOOKUP(E3395,DATABASE!C:Q,4,false)</f>
        <v>Baut Camber ss-carry</v>
      </c>
      <c r="R3395" s="93" t="str">
        <f>VLOOKUP(E3395,DATABASE!C:Q,11,false)</f>
        <v>COMPLEMENTARY</v>
      </c>
    </row>
    <row r="3396" ht="22.5" customHeight="1">
      <c r="A3396" s="49"/>
      <c r="C3396" s="384">
        <v>45838.0</v>
      </c>
      <c r="D3396" s="65">
        <v>6274.0</v>
      </c>
      <c r="E3396" s="445" t="s">
        <v>262</v>
      </c>
      <c r="F3396" s="386">
        <v>1.0</v>
      </c>
      <c r="G3396" s="74">
        <v>110000.0</v>
      </c>
      <c r="H3396" s="74">
        <v>0.0</v>
      </c>
      <c r="I3396" s="74">
        <f t="shared" si="1"/>
        <v>110000</v>
      </c>
      <c r="J3396" s="74">
        <f>IF(E3396="SERVICE",I3396-(I3396*50%),Vlookup(E3396,DATABASE!C:Q,10,false)*F3396)</f>
        <v>5000</v>
      </c>
      <c r="K3396" s="74">
        <f>VLOOKUP(E3396,DATABASE!C:Q,7,false)</f>
        <v>0</v>
      </c>
      <c r="L3396" s="74">
        <v>0.0</v>
      </c>
      <c r="M3396" s="74">
        <f t="shared" si="2"/>
        <v>0</v>
      </c>
      <c r="N3396" s="74">
        <f t="shared" si="3"/>
        <v>105000</v>
      </c>
      <c r="O3396" s="65" t="str">
        <f>VLOOKUP(E3396,DATABASE!C:Q,8,false)</f>
        <v>IBU</v>
      </c>
      <c r="P3396" s="65">
        <f>VLOOKUP(E3396,DATABASE!C:Q,9,False)</f>
        <v>0</v>
      </c>
      <c r="Q3396" s="93" t="str">
        <f>VLOOKUP(E3396,DATABASE!C:Q,4,false)</f>
        <v>SPOORING SS/CARRY LOS BAK</v>
      </c>
      <c r="R3396" s="93" t="str">
        <f>VLOOKUP(E3396,DATABASE!C:Q,11,false)</f>
        <v>SERVICE</v>
      </c>
    </row>
    <row r="3397" ht="22.5" customHeight="1">
      <c r="A3397" s="49"/>
      <c r="C3397" s="384">
        <v>45838.0</v>
      </c>
      <c r="D3397" s="65">
        <v>6275.0</v>
      </c>
      <c r="E3397" s="445" t="s">
        <v>268</v>
      </c>
      <c r="F3397" s="386">
        <v>1.0</v>
      </c>
      <c r="G3397" s="74">
        <v>720000.0</v>
      </c>
      <c r="H3397" s="74">
        <v>0.0</v>
      </c>
      <c r="I3397" s="74">
        <f t="shared" si="1"/>
        <v>720000</v>
      </c>
      <c r="J3397" s="74">
        <f>IF(E3397="SERVICE",I3397-(I3397*50%),Vlookup(E3397,DATABASE!C:Q,10,false)*F3397)</f>
        <v>0</v>
      </c>
      <c r="K3397" s="74">
        <f>VLOOKUP(E3397,DATABASE!C:Q,7,false)</f>
        <v>653000</v>
      </c>
      <c r="L3397" s="74">
        <v>622000.0</v>
      </c>
      <c r="M3397" s="74">
        <f t="shared" si="2"/>
        <v>625000</v>
      </c>
      <c r="N3397" s="74">
        <f t="shared" si="3"/>
        <v>95000</v>
      </c>
      <c r="O3397" s="65" t="str">
        <f>VLOOKUP(E3397,DATABASE!C:Q,8,false)</f>
        <v>IBU</v>
      </c>
      <c r="P3397" s="65">
        <f>VLOOKUP(E3397,DATABASE!C:Q,9,False)</f>
        <v>1</v>
      </c>
      <c r="Q3397" s="93" t="str">
        <f>VLOOKUP(E3397,DATABASE!C:Q,4,false)</f>
        <v>Dunlop</v>
      </c>
      <c r="R3397" s="93" t="str">
        <f>VLOOKUP(E3397,DATABASE!C:Q,11,false)</f>
        <v>Tire</v>
      </c>
    </row>
    <row r="3398" ht="22.5" customHeight="1">
      <c r="A3398" s="49"/>
      <c r="C3398" s="384">
        <v>45838.0</v>
      </c>
      <c r="D3398" s="65">
        <v>6275.0</v>
      </c>
      <c r="E3398" s="445" t="s">
        <v>246</v>
      </c>
      <c r="F3398" s="386">
        <v>1.0</v>
      </c>
      <c r="G3398" s="74">
        <v>25000.0</v>
      </c>
      <c r="H3398" s="74">
        <v>0.0</v>
      </c>
      <c r="I3398" s="74">
        <f t="shared" si="1"/>
        <v>25000</v>
      </c>
      <c r="J3398" s="74">
        <f>IF(E3398="SERVICE",I3398-(I3398*50%),Vlookup(E3398,DATABASE!C:Q,10,false)*F3398)</f>
        <v>0</v>
      </c>
      <c r="K3398" s="74">
        <f>VLOOKUP(E3398,DATABASE!C:Q,7,false)</f>
        <v>0</v>
      </c>
      <c r="L3398" s="74">
        <v>0.0</v>
      </c>
      <c r="M3398" s="74">
        <f t="shared" si="2"/>
        <v>0</v>
      </c>
      <c r="N3398" s="74">
        <f t="shared" si="3"/>
        <v>25000</v>
      </c>
      <c r="O3398" s="65" t="str">
        <f>VLOOKUP(E3398,DATABASE!C:Q,8,false)</f>
        <v>IBU</v>
      </c>
      <c r="P3398" s="65">
        <f>VLOOKUP(E3398,DATABASE!C:Q,9,False)</f>
        <v>0</v>
      </c>
      <c r="Q3398" s="93" t="str">
        <f>VLOOKUP(E3398,DATABASE!C:Q,4,false)</f>
        <v>Bongkar Pasang</v>
      </c>
      <c r="R3398" s="93" t="str">
        <f>VLOOKUP(E3398,DATABASE!C:Q,11,false)</f>
        <v>SERVICE</v>
      </c>
    </row>
    <row r="3399" ht="22.5" customHeight="1">
      <c r="A3399" s="49"/>
      <c r="C3399" s="384">
        <v>45838.0</v>
      </c>
      <c r="D3399" s="65">
        <v>6276.0</v>
      </c>
      <c r="E3399" s="445" t="s">
        <v>1872</v>
      </c>
      <c r="F3399" s="386">
        <v>4.0</v>
      </c>
      <c r="G3399" s="74">
        <v>740000.0</v>
      </c>
      <c r="H3399" s="74">
        <v>0.0</v>
      </c>
      <c r="I3399" s="74">
        <f t="shared" si="1"/>
        <v>2960000</v>
      </c>
      <c r="J3399" s="74">
        <f>IF(E3399="SERVICE",I3399-(I3399*50%),Vlookup(E3399,DATABASE!C:Q,10,false)*F3399)</f>
        <v>0</v>
      </c>
      <c r="K3399" s="74">
        <f>VLOOKUP(E3399,DATABASE!C:Q,7,false)</f>
        <v>648900</v>
      </c>
      <c r="L3399" s="74">
        <v>638600.0</v>
      </c>
      <c r="M3399" s="74">
        <f t="shared" si="2"/>
        <v>640000</v>
      </c>
      <c r="N3399" s="74">
        <f t="shared" si="3"/>
        <v>400000</v>
      </c>
      <c r="O3399" s="65" t="str">
        <f>VLOOKUP(E3399,DATABASE!C:Q,8,false)</f>
        <v>BIAN</v>
      </c>
      <c r="P3399" s="65">
        <f>VLOOKUP(E3399,DATABASE!C:Q,9,False)</f>
        <v>1</v>
      </c>
      <c r="Q3399" s="93" t="str">
        <f>VLOOKUP(E3399,DATABASE!C:Q,4,false)</f>
        <v>GT</v>
      </c>
      <c r="R3399" s="93" t="str">
        <f>VLOOKUP(E3399,DATABASE!C:Q,11,false)</f>
        <v>Tire</v>
      </c>
    </row>
    <row r="3400" ht="22.5" customHeight="1">
      <c r="A3400" s="49"/>
      <c r="C3400" s="384">
        <v>45838.0</v>
      </c>
      <c r="D3400" s="65">
        <v>6277.0</v>
      </c>
      <c r="E3400" s="445" t="s">
        <v>256</v>
      </c>
      <c r="F3400" s="386">
        <v>1.0</v>
      </c>
      <c r="G3400" s="74">
        <v>130000.0</v>
      </c>
      <c r="H3400" s="74">
        <v>0.0</v>
      </c>
      <c r="I3400" s="74">
        <f t="shared" si="1"/>
        <v>130000</v>
      </c>
      <c r="J3400" s="74">
        <f>IF(E3400="SERVICE",I3400-(I3400*50%),Vlookup(E3400,DATABASE!C:Q,10,false)*F3400)</f>
        <v>10000</v>
      </c>
      <c r="K3400" s="74">
        <f>VLOOKUP(E3400,DATABASE!C:Q,7,false)</f>
        <v>0</v>
      </c>
      <c r="L3400" s="74">
        <v>0.0</v>
      </c>
      <c r="M3400" s="74">
        <f t="shared" si="2"/>
        <v>0</v>
      </c>
      <c r="N3400" s="74">
        <f t="shared" si="3"/>
        <v>120000</v>
      </c>
      <c r="O3400" s="65" t="str">
        <f>VLOOKUP(E3400,DATABASE!C:Q,8,false)</f>
        <v>IBU</v>
      </c>
      <c r="P3400" s="65">
        <f>VLOOKUP(E3400,DATABASE!C:Q,9,False)</f>
        <v>0</v>
      </c>
      <c r="Q3400" s="93" t="str">
        <f>VLOOKUP(E3400,DATABASE!C:Q,4,false)</f>
        <v>SPOORING</v>
      </c>
      <c r="R3400" s="93" t="str">
        <f>VLOOKUP(E3400,DATABASE!C:Q,11,false)</f>
        <v>SERVICE</v>
      </c>
    </row>
    <row r="3401" ht="22.5" customHeight="1">
      <c r="A3401" s="49"/>
      <c r="C3401" s="384">
        <v>45838.0</v>
      </c>
      <c r="D3401" s="65">
        <v>6278.0</v>
      </c>
      <c r="E3401" s="445" t="s">
        <v>968</v>
      </c>
      <c r="F3401" s="386">
        <v>2.0</v>
      </c>
      <c r="G3401" s="74">
        <v>675000.0</v>
      </c>
      <c r="H3401" s="74">
        <v>0.0</v>
      </c>
      <c r="I3401" s="74">
        <f t="shared" si="1"/>
        <v>1350000</v>
      </c>
      <c r="J3401" s="74">
        <f>IF(E3401="SERVICE",I3401-(I3401*50%),Vlookup(E3401,DATABASE!C:Q,10,false)*F3401)</f>
        <v>0</v>
      </c>
      <c r="K3401" s="74">
        <f>VLOOKUP(E3401,DATABASE!C:Q,7,false)</f>
        <v>582500</v>
      </c>
      <c r="L3401" s="74">
        <v>582500.0</v>
      </c>
      <c r="M3401" s="74">
        <f t="shared" si="2"/>
        <v>585000</v>
      </c>
      <c r="N3401" s="74">
        <f t="shared" si="3"/>
        <v>180000</v>
      </c>
      <c r="O3401" s="65" t="str">
        <f>VLOOKUP(E3401,DATABASE!C:Q,8,false)</f>
        <v>IBU</v>
      </c>
      <c r="P3401" s="65">
        <f>VLOOKUP(E3401,DATABASE!C:Q,9,False)</f>
        <v>1</v>
      </c>
      <c r="Q3401" s="93" t="str">
        <f>VLOOKUP(E3401,DATABASE!C:Q,4,false)</f>
        <v>Dunlop</v>
      </c>
      <c r="R3401" s="93" t="str">
        <f>VLOOKUP(E3401,DATABASE!C:Q,11,false)</f>
        <v>Tire</v>
      </c>
    </row>
    <row r="3402" ht="22.5" customHeight="1">
      <c r="A3402" s="49"/>
      <c r="C3402" s="384">
        <v>45839.0</v>
      </c>
      <c r="D3402" s="65">
        <v>6279.0</v>
      </c>
      <c r="E3402" s="445" t="s">
        <v>1434</v>
      </c>
      <c r="F3402" s="386">
        <v>1.0</v>
      </c>
      <c r="G3402" s="74">
        <v>1050000.0</v>
      </c>
      <c r="H3402" s="74">
        <v>0.0</v>
      </c>
      <c r="I3402" s="74">
        <f t="shared" si="1"/>
        <v>1050000</v>
      </c>
      <c r="J3402" s="74">
        <f>IF(E3402="SERVICE",I3402-(I3402*50%),Vlookup(E3402,DATABASE!C:Q,10,false)*F3402)</f>
        <v>0</v>
      </c>
      <c r="K3402" s="74">
        <f>VLOOKUP(E3402,DATABASE!C:Q,7,false)</f>
        <v>904050</v>
      </c>
      <c r="L3402" s="74">
        <v>904050.0</v>
      </c>
      <c r="M3402" s="74">
        <f t="shared" si="2"/>
        <v>905000</v>
      </c>
      <c r="N3402" s="74">
        <f t="shared" si="3"/>
        <v>145000</v>
      </c>
      <c r="O3402" s="65" t="str">
        <f>VLOOKUP(E3402,DATABASE!C:Q,8,false)</f>
        <v>BIAN</v>
      </c>
      <c r="P3402" s="65">
        <f>VLOOKUP(E3402,DATABASE!C:Q,9,False)</f>
        <v>1</v>
      </c>
      <c r="Q3402" s="93" t="str">
        <f>VLOOKUP(E3402,DATABASE!C:Q,4,false)</f>
        <v>GT</v>
      </c>
      <c r="R3402" s="93" t="str">
        <f>VLOOKUP(E3402,DATABASE!C:Q,11,false)</f>
        <v>Tire</v>
      </c>
    </row>
    <row r="3403" ht="22.5" customHeight="1">
      <c r="A3403" s="49"/>
      <c r="C3403" s="384">
        <v>45839.0</v>
      </c>
      <c r="D3403" s="65">
        <v>6280.0</v>
      </c>
      <c r="E3403" s="445" t="s">
        <v>1237</v>
      </c>
      <c r="F3403" s="386">
        <v>2.0</v>
      </c>
      <c r="G3403" s="74">
        <v>1235000.0</v>
      </c>
      <c r="H3403" s="74">
        <v>0.0</v>
      </c>
      <c r="I3403" s="74">
        <f t="shared" si="1"/>
        <v>2470000</v>
      </c>
      <c r="J3403" s="74">
        <f>IF(E3403="SERVICE",I3403-(I3403*50%),Vlookup(E3403,DATABASE!C:Q,10,false)*F3403)</f>
        <v>0</v>
      </c>
      <c r="K3403" s="74">
        <f>VLOOKUP(E3403,DATABASE!C:Q,7,false)</f>
        <v>1170353.16</v>
      </c>
      <c r="L3403" s="74">
        <v>1113907.2</v>
      </c>
      <c r="M3403" s="74">
        <f t="shared" si="2"/>
        <v>1115000</v>
      </c>
      <c r="N3403" s="74">
        <f t="shared" si="3"/>
        <v>240000</v>
      </c>
      <c r="O3403" s="65" t="str">
        <f>VLOOKUP(E3403,DATABASE!C:Q,8,false)</f>
        <v>IBU</v>
      </c>
      <c r="P3403" s="65">
        <f>VLOOKUP(E3403,DATABASE!C:Q,9,False)</f>
        <v>1</v>
      </c>
      <c r="Q3403" s="93" t="str">
        <f>VLOOKUP(E3403,DATABASE!C:Q,4,false)</f>
        <v>Bridgestone</v>
      </c>
      <c r="R3403" s="93" t="str">
        <f>VLOOKUP(E3403,DATABASE!C:Q,11,false)</f>
        <v>Tire</v>
      </c>
    </row>
    <row r="3404" ht="22.5" customHeight="1">
      <c r="A3404" s="49"/>
      <c r="C3404" s="384">
        <v>45839.0</v>
      </c>
      <c r="D3404" s="65">
        <v>6281.0</v>
      </c>
      <c r="E3404" s="445" t="s">
        <v>1237</v>
      </c>
      <c r="F3404" s="386">
        <v>1.0</v>
      </c>
      <c r="G3404" s="74">
        <v>1235000.0</v>
      </c>
      <c r="H3404" s="74">
        <v>0.0</v>
      </c>
      <c r="I3404" s="74">
        <f t="shared" si="1"/>
        <v>1235000</v>
      </c>
      <c r="J3404" s="74">
        <f>IF(E3404="SERVICE",I3404-(I3404*50%),Vlookup(E3404,DATABASE!C:Q,10,false)*F3404)</f>
        <v>0</v>
      </c>
      <c r="K3404" s="74">
        <f>VLOOKUP(E3404,DATABASE!C:Q,7,false)</f>
        <v>1170353.16</v>
      </c>
      <c r="L3404" s="74">
        <v>1113907.2</v>
      </c>
      <c r="M3404" s="74">
        <f t="shared" si="2"/>
        <v>1115000</v>
      </c>
      <c r="N3404" s="74">
        <f t="shared" si="3"/>
        <v>120000</v>
      </c>
      <c r="O3404" s="65" t="str">
        <f>VLOOKUP(E3404,DATABASE!C:Q,8,false)</f>
        <v>IBU</v>
      </c>
      <c r="P3404" s="65">
        <f>VLOOKUP(E3404,DATABASE!C:Q,9,False)</f>
        <v>1</v>
      </c>
      <c r="Q3404" s="93" t="str">
        <f>VLOOKUP(E3404,DATABASE!C:Q,4,false)</f>
        <v>Bridgestone</v>
      </c>
      <c r="R3404" s="93" t="str">
        <f>VLOOKUP(E3404,DATABASE!C:Q,11,false)</f>
        <v>Tire</v>
      </c>
    </row>
    <row r="3405" ht="22.5" customHeight="1">
      <c r="A3405" s="49"/>
      <c r="C3405" s="384">
        <v>45839.0</v>
      </c>
      <c r="D3405" s="65">
        <v>6282.0</v>
      </c>
      <c r="E3405" s="445" t="s">
        <v>268</v>
      </c>
      <c r="F3405" s="386">
        <v>2.0</v>
      </c>
      <c r="G3405" s="74">
        <v>720000.0</v>
      </c>
      <c r="H3405" s="74">
        <v>0.0</v>
      </c>
      <c r="I3405" s="74">
        <f t="shared" si="1"/>
        <v>1440000</v>
      </c>
      <c r="J3405" s="74">
        <f>IF(E3405="SERVICE",I3405-(I3405*50%),Vlookup(E3405,DATABASE!C:Q,10,false)*F3405)</f>
        <v>0</v>
      </c>
      <c r="K3405" s="74">
        <f>VLOOKUP(E3405,DATABASE!C:Q,7,false)</f>
        <v>653000</v>
      </c>
      <c r="L3405" s="74">
        <v>622000.0</v>
      </c>
      <c r="M3405" s="74">
        <f t="shared" si="2"/>
        <v>625000</v>
      </c>
      <c r="N3405" s="74">
        <f t="shared" si="3"/>
        <v>190000</v>
      </c>
      <c r="O3405" s="65" t="str">
        <f>VLOOKUP(E3405,DATABASE!C:Q,8,false)</f>
        <v>IBU</v>
      </c>
      <c r="P3405" s="65">
        <f>VLOOKUP(E3405,DATABASE!C:Q,9,False)</f>
        <v>1</v>
      </c>
      <c r="Q3405" s="93" t="str">
        <f>VLOOKUP(E3405,DATABASE!C:Q,4,false)</f>
        <v>Dunlop</v>
      </c>
      <c r="R3405" s="93" t="str">
        <f>VLOOKUP(E3405,DATABASE!C:Q,11,false)</f>
        <v>Tire</v>
      </c>
    </row>
    <row r="3406" ht="22.5" customHeight="1">
      <c r="A3406" s="49"/>
      <c r="C3406" s="384">
        <v>45839.0</v>
      </c>
      <c r="D3406" s="65">
        <v>6283.0</v>
      </c>
      <c r="E3406" s="445" t="s">
        <v>256</v>
      </c>
      <c r="F3406" s="386">
        <v>1.0</v>
      </c>
      <c r="G3406" s="74">
        <v>130000.0</v>
      </c>
      <c r="H3406" s="74">
        <v>0.0</v>
      </c>
      <c r="I3406" s="74">
        <f t="shared" si="1"/>
        <v>130000</v>
      </c>
      <c r="J3406" s="74">
        <f>IF(E3406="SERVICE",I3406-(I3406*50%),Vlookup(E3406,DATABASE!C:Q,10,false)*F3406)</f>
        <v>10000</v>
      </c>
      <c r="K3406" s="74">
        <f>VLOOKUP(E3406,DATABASE!C:Q,7,false)</f>
        <v>0</v>
      </c>
      <c r="L3406" s="74">
        <v>0.0</v>
      </c>
      <c r="M3406" s="74">
        <f t="shared" si="2"/>
        <v>0</v>
      </c>
      <c r="N3406" s="74">
        <f t="shared" si="3"/>
        <v>120000</v>
      </c>
      <c r="O3406" s="65" t="str">
        <f>VLOOKUP(E3406,DATABASE!C:Q,8,false)</f>
        <v>IBU</v>
      </c>
      <c r="P3406" s="65">
        <f>VLOOKUP(E3406,DATABASE!C:Q,9,False)</f>
        <v>0</v>
      </c>
      <c r="Q3406" s="93" t="str">
        <f>VLOOKUP(E3406,DATABASE!C:Q,4,false)</f>
        <v>SPOORING</v>
      </c>
      <c r="R3406" s="93" t="str">
        <f>VLOOKUP(E3406,DATABASE!C:Q,11,false)</f>
        <v>SERVICE</v>
      </c>
    </row>
    <row r="3407" ht="22.5" customHeight="1">
      <c r="A3407" s="49"/>
      <c r="C3407" s="384">
        <v>45839.0</v>
      </c>
      <c r="D3407" s="65">
        <v>6284.0</v>
      </c>
      <c r="E3407" s="445" t="s">
        <v>256</v>
      </c>
      <c r="F3407" s="386">
        <v>1.0</v>
      </c>
      <c r="G3407" s="74">
        <v>130000.0</v>
      </c>
      <c r="H3407" s="74">
        <v>0.0</v>
      </c>
      <c r="I3407" s="74">
        <f t="shared" si="1"/>
        <v>130000</v>
      </c>
      <c r="J3407" s="74">
        <f>IF(E3407="SERVICE",I3407-(I3407*50%),Vlookup(E3407,DATABASE!C:Q,10,false)*F3407)</f>
        <v>10000</v>
      </c>
      <c r="K3407" s="74">
        <f>VLOOKUP(E3407,DATABASE!C:Q,7,false)</f>
        <v>0</v>
      </c>
      <c r="L3407" s="74">
        <v>0.0</v>
      </c>
      <c r="M3407" s="74">
        <f t="shared" si="2"/>
        <v>0</v>
      </c>
      <c r="N3407" s="74">
        <f t="shared" si="3"/>
        <v>120000</v>
      </c>
      <c r="O3407" s="65" t="str">
        <f>VLOOKUP(E3407,DATABASE!C:Q,8,false)</f>
        <v>IBU</v>
      </c>
      <c r="P3407" s="65">
        <f>VLOOKUP(E3407,DATABASE!C:Q,9,False)</f>
        <v>0</v>
      </c>
      <c r="Q3407" s="93" t="str">
        <f>VLOOKUP(E3407,DATABASE!C:Q,4,false)</f>
        <v>SPOORING</v>
      </c>
      <c r="R3407" s="93" t="str">
        <f>VLOOKUP(E3407,DATABASE!C:Q,11,false)</f>
        <v>SERVICE</v>
      </c>
    </row>
    <row r="3408" ht="22.5" customHeight="1">
      <c r="A3408" s="49"/>
      <c r="C3408" s="384">
        <v>45839.0</v>
      </c>
      <c r="D3408" s="65">
        <v>6284.0</v>
      </c>
      <c r="E3408" s="445" t="s">
        <v>301</v>
      </c>
      <c r="F3408" s="386">
        <v>1.0</v>
      </c>
      <c r="G3408" s="74">
        <v>250000.0</v>
      </c>
      <c r="H3408" s="74">
        <v>0.0</v>
      </c>
      <c r="I3408" s="74">
        <f t="shared" si="1"/>
        <v>250000</v>
      </c>
      <c r="J3408" s="74">
        <f>IF(E3408="SERVICE",I3408-(I3408*50%),Vlookup(E3408,DATABASE!C:Q,10,false)*F3408)</f>
        <v>75000</v>
      </c>
      <c r="K3408" s="74">
        <f>VLOOKUP(E3408,DATABASE!C:Q,7,false)</f>
        <v>75000</v>
      </c>
      <c r="L3408" s="74">
        <v>75000.0</v>
      </c>
      <c r="M3408" s="74">
        <f t="shared" si="2"/>
        <v>75000</v>
      </c>
      <c r="N3408" s="74">
        <f t="shared" si="3"/>
        <v>100000</v>
      </c>
      <c r="O3408" s="65" t="str">
        <f>VLOOKUP(E3408,DATABASE!C:Q,8,false)</f>
        <v>BIAN</v>
      </c>
      <c r="P3408" s="65">
        <f>VLOOKUP(E3408,DATABASE!C:Q,9,False)</f>
        <v>0</v>
      </c>
      <c r="Q3408" s="93" t="str">
        <f>VLOOKUP(E3408,DATABASE!C:Q,4,false)</f>
        <v>Baut Camber</v>
      </c>
      <c r="R3408" s="93" t="str">
        <f>VLOOKUP(E3408,DATABASE!C:Q,11,false)</f>
        <v>COMPLEMENTARY</v>
      </c>
    </row>
    <row r="3409" ht="22.5" customHeight="1">
      <c r="A3409" s="49"/>
      <c r="C3409" s="384">
        <v>45839.0</v>
      </c>
      <c r="D3409" s="65">
        <v>6285.0</v>
      </c>
      <c r="E3409" s="445" t="s">
        <v>251</v>
      </c>
      <c r="F3409" s="386">
        <v>1.0</v>
      </c>
      <c r="G3409" s="74">
        <v>350000.0</v>
      </c>
      <c r="H3409" s="74">
        <v>0.0</v>
      </c>
      <c r="I3409" s="74">
        <f t="shared" si="1"/>
        <v>350000</v>
      </c>
      <c r="J3409" s="74">
        <f>IF(E3409="SERVICE",I3409-(I3409*50%),Vlookup(E3409,DATABASE!C:Q,10,false)*F3409)</f>
        <v>175000</v>
      </c>
      <c r="K3409" s="74">
        <f>VLOOKUP(E3409,DATABASE!C:Q,7,false)</f>
        <v>0</v>
      </c>
      <c r="L3409" s="74">
        <v>0.0</v>
      </c>
      <c r="M3409" s="74">
        <f t="shared" si="2"/>
        <v>0</v>
      </c>
      <c r="N3409" s="74">
        <f t="shared" si="3"/>
        <v>175000</v>
      </c>
      <c r="O3409" s="65" t="str">
        <f>VLOOKUP(E3409,DATABASE!C:Q,8,false)</f>
        <v>IBU</v>
      </c>
      <c r="P3409" s="65">
        <f>VLOOKUP(E3409,DATABASE!C:Q,9,False)</f>
        <v>0</v>
      </c>
      <c r="Q3409" s="93" t="str">
        <f>VLOOKUP(E3409,DATABASE!C:Q,4,false)</f>
        <v>SERVICE</v>
      </c>
      <c r="R3409" s="93" t="str">
        <f>VLOOKUP(E3409,DATABASE!C:Q,11,false)</f>
        <v>SERVICE</v>
      </c>
    </row>
    <row r="3410" ht="22.5" customHeight="1">
      <c r="A3410" s="49"/>
      <c r="C3410" s="384">
        <v>45839.0</v>
      </c>
      <c r="D3410" s="65">
        <v>6286.0</v>
      </c>
      <c r="E3410" s="445" t="s">
        <v>265</v>
      </c>
      <c r="F3410" s="386">
        <v>2.0</v>
      </c>
      <c r="G3410" s="74">
        <v>700000.0</v>
      </c>
      <c r="H3410" s="74">
        <v>0.0</v>
      </c>
      <c r="I3410" s="74">
        <f t="shared" si="1"/>
        <v>1400000</v>
      </c>
      <c r="J3410" s="74">
        <f>IF(E3410="SERVICE",I3410-(I3410*50%),Vlookup(E3410,DATABASE!C:Q,10,false)*F3410)</f>
        <v>0</v>
      </c>
      <c r="K3410" s="74">
        <f>VLOOKUP(E3410,DATABASE!C:Q,7,false)</f>
        <v>628000</v>
      </c>
      <c r="L3410" s="74">
        <v>610000.0</v>
      </c>
      <c r="M3410" s="74">
        <f t="shared" si="2"/>
        <v>610000</v>
      </c>
      <c r="N3410" s="74">
        <f t="shared" si="3"/>
        <v>180000</v>
      </c>
      <c r="O3410" s="65" t="str">
        <f>VLOOKUP(E3410,DATABASE!C:Q,8,false)</f>
        <v>IBU</v>
      </c>
      <c r="P3410" s="65">
        <f>VLOOKUP(E3410,DATABASE!C:Q,9,False)</f>
        <v>1</v>
      </c>
      <c r="Q3410" s="93" t="str">
        <f>VLOOKUP(E3410,DATABASE!C:Q,4,false)</f>
        <v>Dunlop</v>
      </c>
      <c r="R3410" s="93" t="str">
        <f>VLOOKUP(E3410,DATABASE!C:Q,11,false)</f>
        <v>Tire</v>
      </c>
    </row>
    <row r="3411" ht="22.5" customHeight="1">
      <c r="A3411" s="49"/>
      <c r="C3411" s="384">
        <v>45839.0</v>
      </c>
      <c r="D3411" s="65">
        <v>6286.0</v>
      </c>
      <c r="E3411" s="445" t="s">
        <v>262</v>
      </c>
      <c r="F3411" s="386">
        <v>1.0</v>
      </c>
      <c r="G3411" s="74">
        <v>110000.0</v>
      </c>
      <c r="H3411" s="74">
        <v>0.0</v>
      </c>
      <c r="I3411" s="74">
        <f t="shared" si="1"/>
        <v>110000</v>
      </c>
      <c r="J3411" s="74">
        <f>IF(E3411="SERVICE",I3411-(I3411*50%),Vlookup(E3411,DATABASE!C:Q,10,false)*F3411)</f>
        <v>5000</v>
      </c>
      <c r="K3411" s="74">
        <f>VLOOKUP(E3411,DATABASE!C:Q,7,false)</f>
        <v>0</v>
      </c>
      <c r="L3411" s="74">
        <v>0.0</v>
      </c>
      <c r="M3411" s="74">
        <f t="shared" si="2"/>
        <v>0</v>
      </c>
      <c r="N3411" s="74">
        <f t="shared" si="3"/>
        <v>105000</v>
      </c>
      <c r="O3411" s="65" t="str">
        <f>VLOOKUP(E3411,DATABASE!C:Q,8,false)</f>
        <v>IBU</v>
      </c>
      <c r="P3411" s="65">
        <f>VLOOKUP(E3411,DATABASE!C:Q,9,False)</f>
        <v>0</v>
      </c>
      <c r="Q3411" s="93" t="str">
        <f>VLOOKUP(E3411,DATABASE!C:Q,4,false)</f>
        <v>SPOORING SS/CARRY LOS BAK</v>
      </c>
      <c r="R3411" s="93" t="str">
        <f>VLOOKUP(E3411,DATABASE!C:Q,11,false)</f>
        <v>SERVICE</v>
      </c>
    </row>
    <row r="3412" ht="22.5" customHeight="1">
      <c r="A3412" s="49"/>
      <c r="C3412" s="384">
        <v>45839.0</v>
      </c>
      <c r="D3412" s="65">
        <v>6286.0</v>
      </c>
      <c r="E3412" s="445" t="s">
        <v>2206</v>
      </c>
      <c r="F3412" s="386">
        <v>1.0</v>
      </c>
      <c r="G3412" s="74">
        <v>200000.0</v>
      </c>
      <c r="H3412" s="74">
        <v>0.0</v>
      </c>
      <c r="I3412" s="74">
        <f t="shared" si="1"/>
        <v>200000</v>
      </c>
      <c r="J3412" s="74">
        <f>IF(E3412="SERVICE",I3412-(I3412*50%),Vlookup(E3412,DATABASE!C:Q,10,false)*F3412)</f>
        <v>40000</v>
      </c>
      <c r="K3412" s="74">
        <f>VLOOKUP(E3412,DATABASE!C:Q,7,false)</f>
        <v>95450</v>
      </c>
      <c r="L3412" s="74">
        <v>61000.0</v>
      </c>
      <c r="M3412" s="74">
        <f t="shared" si="2"/>
        <v>65000</v>
      </c>
      <c r="N3412" s="74">
        <f t="shared" si="3"/>
        <v>95000</v>
      </c>
      <c r="O3412" s="65" t="str">
        <f>VLOOKUP(E3412,DATABASE!C:Q,8,false)</f>
        <v>IBU</v>
      </c>
      <c r="P3412" s="65">
        <f>VLOOKUP(E3412,DATABASE!C:Q,9,False)</f>
        <v>1</v>
      </c>
      <c r="Q3412" s="93" t="str">
        <f>VLOOKUP(E3412,DATABASE!C:Q,4,false)</f>
        <v>TIEROD</v>
      </c>
      <c r="R3412" s="93" t="str">
        <f>VLOOKUP(E3412,DATABASE!C:Q,11,false)</f>
        <v>COMPLEMENTARY</v>
      </c>
    </row>
    <row r="3413" ht="22.5" customHeight="1">
      <c r="A3413" s="49"/>
      <c r="C3413" s="384">
        <v>45839.0</v>
      </c>
      <c r="D3413" s="65">
        <v>6286.0</v>
      </c>
      <c r="E3413" s="445" t="s">
        <v>251</v>
      </c>
      <c r="F3413" s="386">
        <v>1.0</v>
      </c>
      <c r="G3413" s="74">
        <v>150000.0</v>
      </c>
      <c r="H3413" s="74">
        <v>0.0</v>
      </c>
      <c r="I3413" s="74">
        <f t="shared" si="1"/>
        <v>150000</v>
      </c>
      <c r="J3413" s="74">
        <f>IF(E3413="SERVICE",I3413-(I3413*50%),Vlookup(E3413,DATABASE!C:Q,10,false)*F3413)</f>
        <v>75000</v>
      </c>
      <c r="K3413" s="74">
        <f>VLOOKUP(E3413,DATABASE!C:Q,7,false)</f>
        <v>0</v>
      </c>
      <c r="L3413" s="74">
        <v>0.0</v>
      </c>
      <c r="M3413" s="74">
        <f t="shared" si="2"/>
        <v>0</v>
      </c>
      <c r="N3413" s="74">
        <f t="shared" si="3"/>
        <v>75000</v>
      </c>
      <c r="O3413" s="65" t="str">
        <f>VLOOKUP(E3413,DATABASE!C:Q,8,false)</f>
        <v>IBU</v>
      </c>
      <c r="P3413" s="65">
        <f>VLOOKUP(E3413,DATABASE!C:Q,9,False)</f>
        <v>0</v>
      </c>
      <c r="Q3413" s="93" t="str">
        <f>VLOOKUP(E3413,DATABASE!C:Q,4,false)</f>
        <v>SERVICE</v>
      </c>
      <c r="R3413" s="93" t="str">
        <f>VLOOKUP(E3413,DATABASE!C:Q,11,false)</f>
        <v>SERVICE</v>
      </c>
    </row>
    <row r="3414" ht="22.5" customHeight="1">
      <c r="A3414" s="49"/>
      <c r="C3414" s="384">
        <v>45839.0</v>
      </c>
      <c r="D3414" s="65">
        <v>6287.0</v>
      </c>
      <c r="E3414" s="445" t="s">
        <v>1389</v>
      </c>
      <c r="F3414" s="386">
        <v>2.0</v>
      </c>
      <c r="G3414" s="74">
        <v>1020000.0</v>
      </c>
      <c r="H3414" s="74">
        <v>0.0</v>
      </c>
      <c r="I3414" s="74">
        <f t="shared" si="1"/>
        <v>2040000</v>
      </c>
      <c r="J3414" s="74">
        <f>IF(E3414="SERVICE",I3414-(I3414*50%),Vlookup(E3414,DATABASE!C:Q,10,false)*F3414)</f>
        <v>0</v>
      </c>
      <c r="K3414" s="74">
        <f>VLOOKUP(E3414,DATABASE!C:Q,7,false)</f>
        <v>908000</v>
      </c>
      <c r="L3414" s="74">
        <v>897000.0</v>
      </c>
      <c r="M3414" s="74">
        <f t="shared" si="2"/>
        <v>900000</v>
      </c>
      <c r="N3414" s="74">
        <f t="shared" si="3"/>
        <v>240000</v>
      </c>
      <c r="O3414" s="65" t="str">
        <f>VLOOKUP(E3414,DATABASE!C:Q,8,false)</f>
        <v>IBU</v>
      </c>
      <c r="P3414" s="65">
        <f>VLOOKUP(E3414,DATABASE!C:Q,9,False)</f>
        <v>1</v>
      </c>
      <c r="Q3414" s="93" t="str">
        <f>VLOOKUP(E3414,DATABASE!C:Q,4,false)</f>
        <v>Dunlop</v>
      </c>
      <c r="R3414" s="93" t="str">
        <f>VLOOKUP(E3414,DATABASE!C:Q,11,false)</f>
        <v>Tire</v>
      </c>
    </row>
    <row r="3415" ht="22.5" customHeight="1">
      <c r="A3415" s="49"/>
      <c r="C3415" s="384">
        <v>45839.0</v>
      </c>
      <c r="D3415" s="65">
        <v>6287.0</v>
      </c>
      <c r="E3415" s="445" t="s">
        <v>1960</v>
      </c>
      <c r="F3415" s="386">
        <v>2.0</v>
      </c>
      <c r="G3415" s="74">
        <v>870000.0</v>
      </c>
      <c r="H3415" s="74">
        <v>0.0</v>
      </c>
      <c r="I3415" s="74">
        <f t="shared" si="1"/>
        <v>1740000</v>
      </c>
      <c r="J3415" s="74">
        <f>IF(E3415="SERVICE",I3415-(I3415*50%),Vlookup(E3415,DATABASE!C:Q,10,false)*F3415)</f>
        <v>0</v>
      </c>
      <c r="K3415" s="74">
        <f>VLOOKUP(E3415,DATABASE!C:Q,7,false)</f>
        <v>808300</v>
      </c>
      <c r="L3415" s="74">
        <v>808300.0</v>
      </c>
      <c r="M3415" s="74">
        <f t="shared" si="2"/>
        <v>810000</v>
      </c>
      <c r="N3415" s="74">
        <f t="shared" si="3"/>
        <v>120000</v>
      </c>
      <c r="O3415" s="65" t="str">
        <f>VLOOKUP(E3415,DATABASE!C:Q,8,false)</f>
        <v>BIAN</v>
      </c>
      <c r="P3415" s="65">
        <f>VLOOKUP(E3415,DATABASE!C:Q,9,False)</f>
        <v>1</v>
      </c>
      <c r="Q3415" s="93" t="str">
        <f>VLOOKUP(E3415,DATABASE!C:Q,4,false)</f>
        <v>GT</v>
      </c>
      <c r="R3415" s="93" t="str">
        <f>VLOOKUP(E3415,DATABASE!C:Q,11,false)</f>
        <v>Tire</v>
      </c>
    </row>
    <row r="3416" ht="22.5" customHeight="1">
      <c r="A3416" s="49"/>
      <c r="C3416" s="384">
        <v>45839.0</v>
      </c>
      <c r="D3416" s="65">
        <v>6287.0</v>
      </c>
      <c r="E3416" s="445" t="s">
        <v>256</v>
      </c>
      <c r="F3416" s="386">
        <v>1.0</v>
      </c>
      <c r="G3416" s="74">
        <v>130000.0</v>
      </c>
      <c r="H3416" s="74">
        <v>0.0</v>
      </c>
      <c r="I3416" s="74">
        <f t="shared" si="1"/>
        <v>130000</v>
      </c>
      <c r="J3416" s="74">
        <f>IF(E3416="SERVICE",I3416-(I3416*50%),Vlookup(E3416,DATABASE!C:Q,10,false)*F3416)</f>
        <v>10000</v>
      </c>
      <c r="K3416" s="74">
        <f>VLOOKUP(E3416,DATABASE!C:Q,7,false)</f>
        <v>0</v>
      </c>
      <c r="L3416" s="74">
        <v>0.0</v>
      </c>
      <c r="M3416" s="74">
        <f t="shared" si="2"/>
        <v>0</v>
      </c>
      <c r="N3416" s="74">
        <f t="shared" si="3"/>
        <v>120000</v>
      </c>
      <c r="O3416" s="65" t="str">
        <f>VLOOKUP(E3416,DATABASE!C:Q,8,false)</f>
        <v>IBU</v>
      </c>
      <c r="P3416" s="65">
        <f>VLOOKUP(E3416,DATABASE!C:Q,9,False)</f>
        <v>0</v>
      </c>
      <c r="Q3416" s="93" t="str">
        <f>VLOOKUP(E3416,DATABASE!C:Q,4,false)</f>
        <v>SPOORING</v>
      </c>
      <c r="R3416" s="93" t="str">
        <f>VLOOKUP(E3416,DATABASE!C:Q,11,false)</f>
        <v>SERVICE</v>
      </c>
    </row>
    <row r="3417" ht="22.5" customHeight="1">
      <c r="A3417" s="49"/>
      <c r="C3417" s="384">
        <v>45839.0</v>
      </c>
      <c r="D3417" s="65">
        <v>6287.0</v>
      </c>
      <c r="E3417" s="445" t="s">
        <v>301</v>
      </c>
      <c r="F3417" s="386">
        <v>1.0</v>
      </c>
      <c r="G3417" s="74">
        <v>250000.0</v>
      </c>
      <c r="H3417" s="74">
        <v>0.0</v>
      </c>
      <c r="I3417" s="74">
        <f t="shared" si="1"/>
        <v>250000</v>
      </c>
      <c r="J3417" s="74">
        <f>IF(E3417="SERVICE",I3417-(I3417*50%),Vlookup(E3417,DATABASE!C:Q,10,false)*F3417)</f>
        <v>75000</v>
      </c>
      <c r="K3417" s="74">
        <f>VLOOKUP(E3417,DATABASE!C:Q,7,false)</f>
        <v>75000</v>
      </c>
      <c r="L3417" s="74">
        <v>75000.0</v>
      </c>
      <c r="M3417" s="74">
        <f t="shared" si="2"/>
        <v>75000</v>
      </c>
      <c r="N3417" s="74">
        <f t="shared" si="3"/>
        <v>100000</v>
      </c>
      <c r="O3417" s="65" t="str">
        <f>VLOOKUP(E3417,DATABASE!C:Q,8,false)</f>
        <v>BIAN</v>
      </c>
      <c r="P3417" s="65">
        <f>VLOOKUP(E3417,DATABASE!C:Q,9,False)</f>
        <v>0</v>
      </c>
      <c r="Q3417" s="93" t="str">
        <f>VLOOKUP(E3417,DATABASE!C:Q,4,false)</f>
        <v>Baut Camber</v>
      </c>
      <c r="R3417" s="93" t="str">
        <f>VLOOKUP(E3417,DATABASE!C:Q,11,false)</f>
        <v>COMPLEMENTARY</v>
      </c>
    </row>
    <row r="3418" ht="22.5" customHeight="1">
      <c r="A3418" s="49"/>
      <c r="C3418" s="384">
        <v>45840.0</v>
      </c>
      <c r="D3418" s="65">
        <v>6288.0</v>
      </c>
      <c r="E3418" s="445" t="s">
        <v>268</v>
      </c>
      <c r="F3418" s="386">
        <v>2.0</v>
      </c>
      <c r="G3418" s="74">
        <v>720000.0</v>
      </c>
      <c r="H3418" s="74">
        <v>0.0</v>
      </c>
      <c r="I3418" s="74">
        <f t="shared" si="1"/>
        <v>1440000</v>
      </c>
      <c r="J3418" s="74">
        <f>IF(E3418="SERVICE",I3418-(I3418*50%),Vlookup(E3418,DATABASE!C:Q,10,false)*F3418)</f>
        <v>0</v>
      </c>
      <c r="K3418" s="74">
        <f>VLOOKUP(E3418,DATABASE!C:Q,7,false)</f>
        <v>653000</v>
      </c>
      <c r="L3418" s="74">
        <v>622000.0</v>
      </c>
      <c r="M3418" s="74">
        <f t="shared" si="2"/>
        <v>625000</v>
      </c>
      <c r="N3418" s="74">
        <f t="shared" si="3"/>
        <v>190000</v>
      </c>
      <c r="O3418" s="65" t="str">
        <f>VLOOKUP(E3418,DATABASE!C:Q,8,false)</f>
        <v>IBU</v>
      </c>
      <c r="P3418" s="65">
        <f>VLOOKUP(E3418,DATABASE!C:Q,9,False)</f>
        <v>1</v>
      </c>
      <c r="Q3418" s="93" t="str">
        <f>VLOOKUP(E3418,DATABASE!C:Q,4,false)</f>
        <v>Dunlop</v>
      </c>
      <c r="R3418" s="93" t="str">
        <f>VLOOKUP(E3418,DATABASE!C:Q,11,false)</f>
        <v>Tire</v>
      </c>
    </row>
    <row r="3419" ht="22.5" customHeight="1">
      <c r="A3419" s="49"/>
      <c r="C3419" s="384">
        <v>45840.0</v>
      </c>
      <c r="D3419" s="65">
        <v>6290.0</v>
      </c>
      <c r="E3419" s="445" t="s">
        <v>932</v>
      </c>
      <c r="F3419" s="386">
        <v>2.0</v>
      </c>
      <c r="G3419" s="74">
        <v>700000.0</v>
      </c>
      <c r="H3419" s="74">
        <v>0.0</v>
      </c>
      <c r="I3419" s="74">
        <f t="shared" si="1"/>
        <v>1400000</v>
      </c>
      <c r="J3419" s="74">
        <f>IF(E3419="SERVICE",I3419-(I3419*50%),Vlookup(E3419,DATABASE!C:Q,10,false)*F3419)</f>
        <v>0</v>
      </c>
      <c r="K3419" s="74">
        <f>VLOOKUP(E3419,DATABASE!C:Q,7,false)</f>
        <v>601000</v>
      </c>
      <c r="L3419" s="74">
        <v>595000.0</v>
      </c>
      <c r="M3419" s="74">
        <f t="shared" si="2"/>
        <v>595000</v>
      </c>
      <c r="N3419" s="74">
        <f t="shared" si="3"/>
        <v>210000</v>
      </c>
      <c r="O3419" s="65" t="str">
        <f>VLOOKUP(E3419,DATABASE!C:Q,8,false)</f>
        <v>IBU</v>
      </c>
      <c r="P3419" s="65">
        <f>VLOOKUP(E3419,DATABASE!C:Q,9,False)</f>
        <v>1</v>
      </c>
      <c r="Q3419" s="93" t="str">
        <f>VLOOKUP(E3419,DATABASE!C:Q,4,false)</f>
        <v>Dunlop</v>
      </c>
      <c r="R3419" s="93" t="str">
        <f>VLOOKUP(E3419,DATABASE!C:Q,11,false)</f>
        <v>Tire</v>
      </c>
    </row>
    <row r="3420" ht="22.5" customHeight="1">
      <c r="A3420" s="49"/>
      <c r="C3420" s="384">
        <v>45840.0</v>
      </c>
      <c r="D3420" s="65">
        <v>6290.0</v>
      </c>
      <c r="E3420" s="385" t="s">
        <v>299</v>
      </c>
      <c r="F3420" s="386">
        <v>2.0</v>
      </c>
      <c r="G3420" s="74">
        <v>30000.0</v>
      </c>
      <c r="H3420" s="74">
        <v>0.0</v>
      </c>
      <c r="I3420" s="74">
        <f t="shared" si="1"/>
        <v>60000</v>
      </c>
      <c r="J3420" s="74">
        <f>IF(E3420="SERVICE",I3420-(I3420*50%),Vlookup(E3420,DATABASE!C:Q,10,false)*F3420)</f>
        <v>0</v>
      </c>
      <c r="K3420" s="74">
        <v>0.0</v>
      </c>
      <c r="L3420" s="74">
        <v>0.0</v>
      </c>
      <c r="M3420" s="74">
        <f t="shared" si="2"/>
        <v>0</v>
      </c>
      <c r="N3420" s="74">
        <f t="shared" si="3"/>
        <v>60000</v>
      </c>
      <c r="O3420" s="65" t="str">
        <f>VLOOKUP(E3420,DATABASE!C:Q,8,false)</f>
        <v>BIAN</v>
      </c>
      <c r="P3420" s="65">
        <f>VLOOKUP(E3420,DATABASE!C:Q,9,False)</f>
        <v>0</v>
      </c>
      <c r="Q3420" s="93" t="str">
        <f>VLOOKUP(E3420,DATABASE!C:Q,4,false)</f>
        <v>Balancing</v>
      </c>
      <c r="R3420" s="93" t="str">
        <f>VLOOKUP(E3420,DATABASE!C:Q,11,false)</f>
        <v>COMPLEMENTARY</v>
      </c>
    </row>
    <row r="3421" ht="22.5" customHeight="1">
      <c r="A3421" s="49"/>
      <c r="C3421" s="384">
        <v>45840.0</v>
      </c>
      <c r="D3421" s="65">
        <v>6291.0</v>
      </c>
      <c r="E3421" s="445" t="s">
        <v>246</v>
      </c>
      <c r="F3421" s="386">
        <v>3.0</v>
      </c>
      <c r="G3421" s="74">
        <v>25000.0</v>
      </c>
      <c r="H3421" s="74">
        <v>0.0</v>
      </c>
      <c r="I3421" s="74">
        <f t="shared" si="1"/>
        <v>75000</v>
      </c>
      <c r="J3421" s="74">
        <f>IF(E3421="SERVICE",I3421-(I3421*50%),Vlookup(E3421,DATABASE!C:Q,10,false)*F3421)</f>
        <v>0</v>
      </c>
      <c r="K3421" s="74">
        <f>VLOOKUP(E3421,DATABASE!C:Q,7,false)</f>
        <v>0</v>
      </c>
      <c r="L3421" s="74">
        <v>0.0</v>
      </c>
      <c r="M3421" s="74">
        <f t="shared" si="2"/>
        <v>0</v>
      </c>
      <c r="N3421" s="74">
        <f t="shared" si="3"/>
        <v>75000</v>
      </c>
      <c r="O3421" s="65" t="str">
        <f>VLOOKUP(E3421,DATABASE!C:Q,8,false)</f>
        <v>IBU</v>
      </c>
      <c r="P3421" s="65">
        <f>VLOOKUP(E3421,DATABASE!C:Q,9,False)</f>
        <v>0</v>
      </c>
      <c r="Q3421" s="93" t="str">
        <f>VLOOKUP(E3421,DATABASE!C:Q,4,false)</f>
        <v>Bongkar Pasang</v>
      </c>
      <c r="R3421" s="93" t="str">
        <f>VLOOKUP(E3421,DATABASE!C:Q,11,false)</f>
        <v>SERVICE</v>
      </c>
    </row>
    <row r="3422" ht="22.5" customHeight="1">
      <c r="A3422" s="49"/>
      <c r="C3422" s="384">
        <v>45840.0</v>
      </c>
      <c r="D3422" s="65">
        <v>6292.0</v>
      </c>
      <c r="E3422" s="445" t="s">
        <v>622</v>
      </c>
      <c r="F3422" s="386">
        <v>3.0</v>
      </c>
      <c r="G3422" s="74">
        <v>910000.0</v>
      </c>
      <c r="H3422" s="74">
        <v>0.0</v>
      </c>
      <c r="I3422" s="74">
        <f t="shared" si="1"/>
        <v>2730000</v>
      </c>
      <c r="J3422" s="74">
        <f>IF(E3422="SERVICE",I3422-(I3422*50%),Vlookup(E3422,DATABASE!C:Q,10,false)*F3422)</f>
        <v>0</v>
      </c>
      <c r="K3422" s="74">
        <f>VLOOKUP(E3422,DATABASE!C:Q,7,false)</f>
        <v>851110.375</v>
      </c>
      <c r="L3422" s="74">
        <v>810342.44</v>
      </c>
      <c r="M3422" s="74">
        <f t="shared" si="2"/>
        <v>815000</v>
      </c>
      <c r="N3422" s="74">
        <f t="shared" si="3"/>
        <v>285000</v>
      </c>
      <c r="O3422" s="65" t="str">
        <f>VLOOKUP(E3422,DATABASE!C:Q,8,false)</f>
        <v>IBU</v>
      </c>
      <c r="P3422" s="65">
        <f>VLOOKUP(E3422,DATABASE!C:Q,9,False)</f>
        <v>1</v>
      </c>
      <c r="Q3422" s="93" t="str">
        <f>VLOOKUP(E3422,DATABASE!C:Q,4,false)</f>
        <v>Bridgestone</v>
      </c>
      <c r="R3422" s="93" t="str">
        <f>VLOOKUP(E3422,DATABASE!C:Q,11,false)</f>
        <v>Tire</v>
      </c>
    </row>
    <row r="3423" ht="22.5" customHeight="1">
      <c r="A3423" s="49"/>
      <c r="C3423" s="384">
        <v>45840.0</v>
      </c>
      <c r="D3423" s="65">
        <v>6293.0</v>
      </c>
      <c r="E3423" s="445" t="s">
        <v>262</v>
      </c>
      <c r="F3423" s="386">
        <v>1.0</v>
      </c>
      <c r="G3423" s="74">
        <v>110000.0</v>
      </c>
      <c r="H3423" s="74">
        <v>0.0</v>
      </c>
      <c r="I3423" s="74">
        <f t="shared" si="1"/>
        <v>110000</v>
      </c>
      <c r="J3423" s="74">
        <f>IF(E3423="SERVICE",I3423-(I3423*50%),Vlookup(E3423,DATABASE!C:Q,10,false)*F3423)</f>
        <v>5000</v>
      </c>
      <c r="K3423" s="74">
        <f>VLOOKUP(E3423,DATABASE!C:Q,7,false)</f>
        <v>0</v>
      </c>
      <c r="L3423" s="74">
        <v>0.0</v>
      </c>
      <c r="M3423" s="74">
        <f t="shared" si="2"/>
        <v>0</v>
      </c>
      <c r="N3423" s="74">
        <f t="shared" si="3"/>
        <v>105000</v>
      </c>
      <c r="O3423" s="65" t="str">
        <f>VLOOKUP(E3423,DATABASE!C:Q,8,false)</f>
        <v>IBU</v>
      </c>
      <c r="P3423" s="65">
        <f>VLOOKUP(E3423,DATABASE!C:Q,9,False)</f>
        <v>0</v>
      </c>
      <c r="Q3423" s="93" t="str">
        <f>VLOOKUP(E3423,DATABASE!C:Q,4,false)</f>
        <v>SPOORING SS/CARRY LOS BAK</v>
      </c>
      <c r="R3423" s="93" t="str">
        <f>VLOOKUP(E3423,DATABASE!C:Q,11,false)</f>
        <v>SERVICE</v>
      </c>
    </row>
    <row r="3424" ht="22.5" customHeight="1">
      <c r="A3424" s="49"/>
      <c r="C3424" s="384">
        <v>45840.0</v>
      </c>
      <c r="D3424" s="65">
        <v>6293.0</v>
      </c>
      <c r="E3424" s="385" t="s">
        <v>305</v>
      </c>
      <c r="F3424" s="386">
        <v>1.0</v>
      </c>
      <c r="G3424" s="74">
        <v>235000.0</v>
      </c>
      <c r="H3424" s="74">
        <v>0.0</v>
      </c>
      <c r="I3424" s="74">
        <f t="shared" si="1"/>
        <v>235000</v>
      </c>
      <c r="J3424" s="74">
        <f>IF(E3424="SERVICE",I3424-(I3424*50%),Vlookup(E3424,DATABASE!C:Q,10,false)*F3424)</f>
        <v>40000</v>
      </c>
      <c r="K3424" s="74">
        <f>VLOOKUP(E3424,DATABASE!C:Q,7,false)</f>
        <v>158530.2</v>
      </c>
      <c r="L3424" s="74">
        <v>151890.0</v>
      </c>
      <c r="M3424" s="74">
        <f t="shared" si="2"/>
        <v>155000</v>
      </c>
      <c r="N3424" s="74">
        <f t="shared" si="3"/>
        <v>40000</v>
      </c>
      <c r="O3424" s="65" t="str">
        <f>VLOOKUP(E3424,DATABASE!C:Q,8,false)</f>
        <v>BIAN</v>
      </c>
      <c r="P3424" s="65">
        <f>VLOOKUP(E3424,DATABASE!C:Q,9,False)</f>
        <v>1</v>
      </c>
      <c r="Q3424" s="93" t="str">
        <f>VLOOKUP(E3424,DATABASE!C:Q,4,false)</f>
        <v>Lower Arm</v>
      </c>
      <c r="R3424" s="93" t="str">
        <f>VLOOKUP(E3424,DATABASE!C:Q,11,false)</f>
        <v>COMPLEMENTARY</v>
      </c>
    </row>
    <row r="3425" ht="22.5" customHeight="1">
      <c r="A3425" s="49"/>
      <c r="C3425" s="384">
        <v>45840.0</v>
      </c>
      <c r="D3425" s="65">
        <v>6293.0</v>
      </c>
      <c r="E3425" s="445" t="s">
        <v>478</v>
      </c>
      <c r="F3425" s="386">
        <v>1.0</v>
      </c>
      <c r="G3425" s="74">
        <v>200000.0</v>
      </c>
      <c r="H3425" s="74">
        <v>0.0</v>
      </c>
      <c r="I3425" s="74">
        <f t="shared" si="1"/>
        <v>200000</v>
      </c>
      <c r="J3425" s="74">
        <f>IF(E3425="SERVICE",I3425-(I3425*50%),Vlookup(E3425,DATABASE!C:Q,10,false)*F3425)</f>
        <v>25000</v>
      </c>
      <c r="K3425" s="74">
        <f>VLOOKUP(E3425,DATABASE!C:Q,7,false)</f>
        <v>75000</v>
      </c>
      <c r="L3425" s="74">
        <v>75000.0</v>
      </c>
      <c r="M3425" s="74">
        <f t="shared" si="2"/>
        <v>75000</v>
      </c>
      <c r="N3425" s="74">
        <f t="shared" si="3"/>
        <v>100000</v>
      </c>
      <c r="O3425" s="65" t="str">
        <f>VLOOKUP(E3425,DATABASE!C:Q,8,false)</f>
        <v>BIAN</v>
      </c>
      <c r="P3425" s="65">
        <f>VLOOKUP(E3425,DATABASE!C:Q,9,False)</f>
        <v>0</v>
      </c>
      <c r="Q3425" s="93" t="str">
        <f>VLOOKUP(E3425,DATABASE!C:Q,4,false)</f>
        <v>Baut Camber ss-carry</v>
      </c>
      <c r="R3425" s="93" t="str">
        <f>VLOOKUP(E3425,DATABASE!C:Q,11,false)</f>
        <v>COMPLEMENTARY</v>
      </c>
    </row>
    <row r="3426" ht="22.5" customHeight="1">
      <c r="A3426" s="49"/>
      <c r="C3426" s="384">
        <v>45840.0</v>
      </c>
      <c r="D3426" s="65">
        <v>6294.0</v>
      </c>
      <c r="E3426" s="445" t="s">
        <v>932</v>
      </c>
      <c r="F3426" s="386">
        <v>2.0</v>
      </c>
      <c r="G3426" s="74">
        <v>700000.0</v>
      </c>
      <c r="H3426" s="74">
        <v>0.0</v>
      </c>
      <c r="I3426" s="74">
        <f t="shared" si="1"/>
        <v>1400000</v>
      </c>
      <c r="J3426" s="74">
        <f>IF(E3426="SERVICE",I3426-(I3426*50%),Vlookup(E3426,DATABASE!C:Q,10,false)*F3426)</f>
        <v>0</v>
      </c>
      <c r="K3426" s="74">
        <f>VLOOKUP(E3426,DATABASE!C:Q,7,false)</f>
        <v>601000</v>
      </c>
      <c r="L3426" s="74">
        <v>595000.0</v>
      </c>
      <c r="M3426" s="74">
        <f t="shared" si="2"/>
        <v>595000</v>
      </c>
      <c r="N3426" s="74">
        <f t="shared" si="3"/>
        <v>210000</v>
      </c>
      <c r="O3426" s="65" t="str">
        <f>VLOOKUP(E3426,DATABASE!C:Q,8,false)</f>
        <v>IBU</v>
      </c>
      <c r="P3426" s="65">
        <f>VLOOKUP(E3426,DATABASE!C:Q,9,False)</f>
        <v>1</v>
      </c>
      <c r="Q3426" s="93" t="str">
        <f>VLOOKUP(E3426,DATABASE!C:Q,4,false)</f>
        <v>Dunlop</v>
      </c>
      <c r="R3426" s="93" t="str">
        <f>VLOOKUP(E3426,DATABASE!C:Q,11,false)</f>
        <v>Tire</v>
      </c>
    </row>
    <row r="3427" ht="22.5" customHeight="1">
      <c r="A3427" s="49"/>
      <c r="C3427" s="384">
        <v>45840.0</v>
      </c>
      <c r="D3427" s="65">
        <v>6295.0</v>
      </c>
      <c r="E3427" s="445" t="s">
        <v>246</v>
      </c>
      <c r="F3427" s="386">
        <v>2.0</v>
      </c>
      <c r="G3427" s="74">
        <v>50000.0</v>
      </c>
      <c r="H3427" s="74">
        <v>0.0</v>
      </c>
      <c r="I3427" s="74">
        <f t="shared" si="1"/>
        <v>100000</v>
      </c>
      <c r="J3427" s="74">
        <f>IF(E3427="SERVICE",I3427-(I3427*50%),Vlookup(E3427,DATABASE!C:Q,10,false)*F3427)</f>
        <v>0</v>
      </c>
      <c r="K3427" s="74">
        <f>VLOOKUP(E3427,DATABASE!C:Q,7,false)</f>
        <v>0</v>
      </c>
      <c r="L3427" s="74">
        <v>0.0</v>
      </c>
      <c r="M3427" s="74">
        <f t="shared" si="2"/>
        <v>0</v>
      </c>
      <c r="N3427" s="74">
        <f t="shared" si="3"/>
        <v>100000</v>
      </c>
      <c r="O3427" s="65" t="str">
        <f>VLOOKUP(E3427,DATABASE!C:Q,8,false)</f>
        <v>IBU</v>
      </c>
      <c r="P3427" s="65">
        <f>VLOOKUP(E3427,DATABASE!C:Q,9,False)</f>
        <v>0</v>
      </c>
      <c r="Q3427" s="93" t="str">
        <f>VLOOKUP(E3427,DATABASE!C:Q,4,false)</f>
        <v>Bongkar Pasang</v>
      </c>
      <c r="R3427" s="93" t="str">
        <f>VLOOKUP(E3427,DATABASE!C:Q,11,false)</f>
        <v>SERVICE</v>
      </c>
    </row>
    <row r="3428" ht="22.5" customHeight="1">
      <c r="A3428" s="49"/>
      <c r="C3428" s="384">
        <v>45840.0</v>
      </c>
      <c r="D3428" s="65">
        <v>6296.0</v>
      </c>
      <c r="E3428" s="658" t="s">
        <v>2345</v>
      </c>
      <c r="F3428" s="386">
        <v>2.0</v>
      </c>
      <c r="G3428" s="74">
        <v>775000.0</v>
      </c>
      <c r="H3428" s="74">
        <v>0.0</v>
      </c>
      <c r="I3428" s="74">
        <f t="shared" si="1"/>
        <v>1550000</v>
      </c>
      <c r="J3428" s="74">
        <f>IF(E3428="SERVICE",I3428-(I3428*50%),Vlookup(E3428,DATABASE!C:Q,10,false)*F3428)</f>
        <v>0</v>
      </c>
      <c r="K3428" s="74">
        <f>VLOOKUP(E3428,DATABASE!C:Q,7,false)</f>
        <v>680000</v>
      </c>
      <c r="L3428" s="74">
        <v>650000.0</v>
      </c>
      <c r="M3428" s="74">
        <f t="shared" si="2"/>
        <v>650000</v>
      </c>
      <c r="N3428" s="74">
        <f t="shared" si="3"/>
        <v>250000</v>
      </c>
      <c r="O3428" s="65" t="str">
        <f>VLOOKUP(E3428,DATABASE!C:Q,8,false)</f>
        <v>BIAN</v>
      </c>
      <c r="P3428" s="65">
        <f>VLOOKUP(E3428,DATABASE!C:Q,9,False)</f>
        <v>1</v>
      </c>
      <c r="Q3428" s="93" t="str">
        <f>VLOOKUP(E3428,DATABASE!C:Q,4,false)</f>
        <v>Velg</v>
      </c>
      <c r="R3428" s="93" t="str">
        <f>VLOOKUP(E3428,DATABASE!C:Q,11,false)</f>
        <v>Tire</v>
      </c>
    </row>
    <row r="3429" ht="22.5" customHeight="1">
      <c r="A3429" s="49"/>
      <c r="C3429" s="384">
        <v>45840.0</v>
      </c>
      <c r="D3429" s="65">
        <v>6296.0</v>
      </c>
      <c r="E3429" s="445" t="s">
        <v>403</v>
      </c>
      <c r="F3429" s="386">
        <v>2.0</v>
      </c>
      <c r="G3429" s="74">
        <v>2260000.0</v>
      </c>
      <c r="H3429" s="74">
        <v>0.0</v>
      </c>
      <c r="I3429" s="74">
        <f t="shared" si="1"/>
        <v>4520000</v>
      </c>
      <c r="J3429" s="74">
        <f>IF(E3429="SERVICE",I3429-(I3429*50%),Vlookup(E3429,DATABASE!C:Q,10,false)*F3429)</f>
        <v>0</v>
      </c>
      <c r="K3429" s="74">
        <f>VLOOKUP(E3429,DATABASE!C:Q,7,false)</f>
        <v>2160000</v>
      </c>
      <c r="L3429" s="74">
        <v>2160000.0</v>
      </c>
      <c r="M3429" s="74">
        <f t="shared" si="2"/>
        <v>2160000</v>
      </c>
      <c r="N3429" s="74">
        <f t="shared" si="3"/>
        <v>200000</v>
      </c>
      <c r="O3429" s="65" t="str">
        <f>VLOOKUP(E3429,DATABASE!C:Q,8,false)</f>
        <v>BIAN</v>
      </c>
      <c r="P3429" s="65">
        <f>VLOOKUP(E3429,DATABASE!C:Q,9,False)</f>
        <v>1</v>
      </c>
      <c r="Q3429" s="93" t="str">
        <f>VLOOKUP(E3429,DATABASE!C:Q,4,false)</f>
        <v>Advance</v>
      </c>
      <c r="R3429" s="93" t="str">
        <f>VLOOKUP(E3429,DATABASE!C:Q,11,false)</f>
        <v>Tire</v>
      </c>
    </row>
    <row r="3430" ht="22.5" customHeight="1">
      <c r="A3430" s="49"/>
      <c r="C3430" s="384">
        <v>45840.0</v>
      </c>
      <c r="D3430" s="65">
        <v>6298.0</v>
      </c>
      <c r="E3430" s="445" t="s">
        <v>256</v>
      </c>
      <c r="F3430" s="386">
        <v>1.0</v>
      </c>
      <c r="G3430" s="74">
        <v>130000.0</v>
      </c>
      <c r="H3430" s="74">
        <v>0.0</v>
      </c>
      <c r="I3430" s="74">
        <f t="shared" si="1"/>
        <v>130000</v>
      </c>
      <c r="J3430" s="74">
        <f>IF(E3430="SERVICE",I3430-(I3430*50%),Vlookup(E3430,DATABASE!C:Q,10,false)*F3430)</f>
        <v>10000</v>
      </c>
      <c r="K3430" s="74">
        <f>VLOOKUP(E3430,DATABASE!C:Q,7,false)</f>
        <v>0</v>
      </c>
      <c r="L3430" s="74">
        <v>0.0</v>
      </c>
      <c r="M3430" s="74">
        <f t="shared" si="2"/>
        <v>0</v>
      </c>
      <c r="N3430" s="74">
        <f t="shared" si="3"/>
        <v>120000</v>
      </c>
      <c r="O3430" s="65" t="str">
        <f>VLOOKUP(E3430,DATABASE!C:Q,8,false)</f>
        <v>IBU</v>
      </c>
      <c r="P3430" s="65">
        <f>VLOOKUP(E3430,DATABASE!C:Q,9,False)</f>
        <v>0</v>
      </c>
      <c r="Q3430" s="93" t="str">
        <f>VLOOKUP(E3430,DATABASE!C:Q,4,false)</f>
        <v>SPOORING</v>
      </c>
      <c r="R3430" s="93" t="str">
        <f>VLOOKUP(E3430,DATABASE!C:Q,11,false)</f>
        <v>SERVICE</v>
      </c>
    </row>
    <row r="3431" ht="22.5" customHeight="1">
      <c r="A3431" s="49"/>
      <c r="C3431" s="384">
        <v>45840.0</v>
      </c>
      <c r="D3431" s="65">
        <v>6298.0</v>
      </c>
      <c r="E3431" s="445" t="s">
        <v>301</v>
      </c>
      <c r="F3431" s="386">
        <v>1.0</v>
      </c>
      <c r="G3431" s="74">
        <v>250000.0</v>
      </c>
      <c r="H3431" s="74">
        <v>0.0</v>
      </c>
      <c r="I3431" s="74">
        <f t="shared" si="1"/>
        <v>250000</v>
      </c>
      <c r="J3431" s="74">
        <f>IF(E3431="SERVICE",I3431-(I3431*50%),Vlookup(E3431,DATABASE!C:Q,10,false)*F3431)</f>
        <v>75000</v>
      </c>
      <c r="K3431" s="74">
        <f>VLOOKUP(E3431,DATABASE!C:Q,7,false)</f>
        <v>75000</v>
      </c>
      <c r="L3431" s="74">
        <v>75000.0</v>
      </c>
      <c r="M3431" s="74">
        <f t="shared" si="2"/>
        <v>75000</v>
      </c>
      <c r="N3431" s="74">
        <f t="shared" si="3"/>
        <v>100000</v>
      </c>
      <c r="O3431" s="65" t="str">
        <f>VLOOKUP(E3431,DATABASE!C:Q,8,false)</f>
        <v>BIAN</v>
      </c>
      <c r="P3431" s="65">
        <f>VLOOKUP(E3431,DATABASE!C:Q,9,False)</f>
        <v>0</v>
      </c>
      <c r="Q3431" s="93" t="str">
        <f>VLOOKUP(E3431,DATABASE!C:Q,4,false)</f>
        <v>Baut Camber</v>
      </c>
      <c r="R3431" s="93" t="str">
        <f>VLOOKUP(E3431,DATABASE!C:Q,11,false)</f>
        <v>COMPLEMENTARY</v>
      </c>
    </row>
    <row r="3432" ht="22.5" customHeight="1">
      <c r="A3432" s="49"/>
      <c r="C3432" s="384">
        <v>45840.0</v>
      </c>
      <c r="D3432" s="65">
        <v>6298.0</v>
      </c>
      <c r="E3432" s="445" t="s">
        <v>268</v>
      </c>
      <c r="F3432" s="386">
        <v>2.0</v>
      </c>
      <c r="G3432" s="74">
        <v>720000.0</v>
      </c>
      <c r="H3432" s="74">
        <v>0.0</v>
      </c>
      <c r="I3432" s="74">
        <f t="shared" si="1"/>
        <v>1440000</v>
      </c>
      <c r="J3432" s="74">
        <f>IF(E3432="SERVICE",I3432-(I3432*50%),Vlookup(E3432,DATABASE!C:Q,10,false)*F3432)</f>
        <v>0</v>
      </c>
      <c r="K3432" s="74">
        <f>VLOOKUP(E3432,DATABASE!C:Q,7,false)</f>
        <v>653000</v>
      </c>
      <c r="L3432" s="74">
        <v>622000.0</v>
      </c>
      <c r="M3432" s="74">
        <f t="shared" si="2"/>
        <v>625000</v>
      </c>
      <c r="N3432" s="74">
        <f t="shared" si="3"/>
        <v>190000</v>
      </c>
      <c r="O3432" s="65" t="str">
        <f>VLOOKUP(E3432,DATABASE!C:Q,8,false)</f>
        <v>IBU</v>
      </c>
      <c r="P3432" s="65">
        <f>VLOOKUP(E3432,DATABASE!C:Q,9,False)</f>
        <v>1</v>
      </c>
      <c r="Q3432" s="93" t="str">
        <f>VLOOKUP(E3432,DATABASE!C:Q,4,false)</f>
        <v>Dunlop</v>
      </c>
      <c r="R3432" s="93" t="str">
        <f>VLOOKUP(E3432,DATABASE!C:Q,11,false)</f>
        <v>Tire</v>
      </c>
    </row>
    <row r="3433" ht="22.5" customHeight="1">
      <c r="A3433" s="49"/>
      <c r="C3433" s="384">
        <v>45840.0</v>
      </c>
      <c r="D3433" s="65">
        <v>6298.0</v>
      </c>
      <c r="E3433" s="385" t="s">
        <v>299</v>
      </c>
      <c r="F3433" s="386">
        <v>2.0</v>
      </c>
      <c r="G3433" s="74">
        <v>30000.0</v>
      </c>
      <c r="H3433" s="74">
        <v>0.0</v>
      </c>
      <c r="I3433" s="74">
        <f t="shared" si="1"/>
        <v>60000</v>
      </c>
      <c r="J3433" s="74">
        <f>IF(E3433="SERVICE",I3433-(I3433*50%),Vlookup(E3433,DATABASE!C:Q,10,false)*F3433)</f>
        <v>0</v>
      </c>
      <c r="K3433" s="74">
        <v>0.0</v>
      </c>
      <c r="L3433" s="74">
        <v>0.0</v>
      </c>
      <c r="M3433" s="74">
        <f t="shared" si="2"/>
        <v>0</v>
      </c>
      <c r="N3433" s="74">
        <f t="shared" si="3"/>
        <v>60000</v>
      </c>
      <c r="O3433" s="65" t="str">
        <f>VLOOKUP(E3433,DATABASE!C:Q,8,false)</f>
        <v>BIAN</v>
      </c>
      <c r="P3433" s="65">
        <f>VLOOKUP(E3433,DATABASE!C:Q,9,False)</f>
        <v>0</v>
      </c>
      <c r="Q3433" s="93" t="str">
        <f>VLOOKUP(E3433,DATABASE!C:Q,4,false)</f>
        <v>Balancing</v>
      </c>
      <c r="R3433" s="93" t="str">
        <f>VLOOKUP(E3433,DATABASE!C:Q,11,false)</f>
        <v>COMPLEMENTARY</v>
      </c>
    </row>
    <row r="3434" ht="22.5" customHeight="1">
      <c r="A3434" s="49"/>
      <c r="C3434" s="384">
        <v>45840.0</v>
      </c>
      <c r="D3434" s="65">
        <v>6299.0</v>
      </c>
      <c r="E3434" s="445" t="s">
        <v>268</v>
      </c>
      <c r="F3434" s="386">
        <v>1.0</v>
      </c>
      <c r="G3434" s="74">
        <v>720000.0</v>
      </c>
      <c r="H3434" s="74">
        <v>0.0</v>
      </c>
      <c r="I3434" s="74">
        <f t="shared" si="1"/>
        <v>720000</v>
      </c>
      <c r="J3434" s="74">
        <f>IF(E3434="SERVICE",I3434-(I3434*50%),Vlookup(E3434,DATABASE!C:Q,10,false)*F3434)</f>
        <v>0</v>
      </c>
      <c r="K3434" s="74">
        <f>VLOOKUP(E3434,DATABASE!C:Q,7,false)</f>
        <v>653000</v>
      </c>
      <c r="L3434" s="74">
        <v>622000.0</v>
      </c>
      <c r="M3434" s="74">
        <f t="shared" si="2"/>
        <v>625000</v>
      </c>
      <c r="N3434" s="74">
        <f t="shared" si="3"/>
        <v>95000</v>
      </c>
      <c r="O3434" s="65" t="str">
        <f>VLOOKUP(E3434,DATABASE!C:Q,8,false)</f>
        <v>IBU</v>
      </c>
      <c r="P3434" s="65">
        <f>VLOOKUP(E3434,DATABASE!C:Q,9,False)</f>
        <v>1</v>
      </c>
      <c r="Q3434" s="93" t="str">
        <f>VLOOKUP(E3434,DATABASE!C:Q,4,false)</f>
        <v>Dunlop</v>
      </c>
      <c r="R3434" s="93" t="str">
        <f>VLOOKUP(E3434,DATABASE!C:Q,11,false)</f>
        <v>Tire</v>
      </c>
    </row>
    <row r="3435" ht="22.5" customHeight="1">
      <c r="A3435" s="49"/>
      <c r="C3435" s="384">
        <v>45840.0</v>
      </c>
      <c r="D3435" s="65">
        <v>6300.0</v>
      </c>
      <c r="E3435" s="445" t="s">
        <v>256</v>
      </c>
      <c r="F3435" s="386">
        <v>1.0</v>
      </c>
      <c r="G3435" s="74">
        <v>130000.0</v>
      </c>
      <c r="H3435" s="74">
        <v>0.0</v>
      </c>
      <c r="I3435" s="74">
        <f t="shared" si="1"/>
        <v>130000</v>
      </c>
      <c r="J3435" s="74">
        <f>IF(E3435="SERVICE",I3435-(I3435*50%),Vlookup(E3435,DATABASE!C:Q,10,false)*F3435)</f>
        <v>10000</v>
      </c>
      <c r="K3435" s="74">
        <f>VLOOKUP(E3435,DATABASE!C:Q,7,false)</f>
        <v>0</v>
      </c>
      <c r="L3435" s="74">
        <v>0.0</v>
      </c>
      <c r="M3435" s="74">
        <f t="shared" si="2"/>
        <v>0</v>
      </c>
      <c r="N3435" s="74">
        <f t="shared" si="3"/>
        <v>120000</v>
      </c>
      <c r="O3435" s="65" t="str">
        <f>VLOOKUP(E3435,DATABASE!C:Q,8,false)</f>
        <v>IBU</v>
      </c>
      <c r="P3435" s="65">
        <f>VLOOKUP(E3435,DATABASE!C:Q,9,False)</f>
        <v>0</v>
      </c>
      <c r="Q3435" s="93" t="str">
        <f>VLOOKUP(E3435,DATABASE!C:Q,4,false)</f>
        <v>SPOORING</v>
      </c>
      <c r="R3435" s="93" t="str">
        <f>VLOOKUP(E3435,DATABASE!C:Q,11,false)</f>
        <v>SERVICE</v>
      </c>
    </row>
    <row r="3436" ht="22.5" customHeight="1">
      <c r="A3436" s="49"/>
      <c r="C3436" s="384">
        <v>45840.0</v>
      </c>
      <c r="D3436" s="65">
        <v>6300.0</v>
      </c>
      <c r="E3436" s="445" t="s">
        <v>251</v>
      </c>
      <c r="F3436" s="386">
        <v>1.0</v>
      </c>
      <c r="G3436" s="74">
        <v>150000.0</v>
      </c>
      <c r="H3436" s="74">
        <v>0.0</v>
      </c>
      <c r="I3436" s="74">
        <f t="shared" si="1"/>
        <v>150000</v>
      </c>
      <c r="J3436" s="74">
        <f>IF(E3436="SERVICE",I3436-(I3436*50%),Vlookup(E3436,DATABASE!C:Q,10,false)*F3436)</f>
        <v>75000</v>
      </c>
      <c r="K3436" s="74">
        <f>VLOOKUP(E3436,DATABASE!C:Q,7,false)</f>
        <v>0</v>
      </c>
      <c r="L3436" s="74">
        <v>0.0</v>
      </c>
      <c r="M3436" s="74">
        <f t="shared" si="2"/>
        <v>0</v>
      </c>
      <c r="N3436" s="74">
        <f t="shared" si="3"/>
        <v>75000</v>
      </c>
      <c r="O3436" s="65" t="str">
        <f>VLOOKUP(E3436,DATABASE!C:Q,8,false)</f>
        <v>IBU</v>
      </c>
      <c r="P3436" s="65">
        <f>VLOOKUP(E3436,DATABASE!C:Q,9,False)</f>
        <v>0</v>
      </c>
      <c r="Q3436" s="93" t="str">
        <f>VLOOKUP(E3436,DATABASE!C:Q,4,false)</f>
        <v>SERVICE</v>
      </c>
      <c r="R3436" s="93" t="str">
        <f>VLOOKUP(E3436,DATABASE!C:Q,11,false)</f>
        <v>SERVICE</v>
      </c>
    </row>
    <row r="3437" ht="22.5" customHeight="1">
      <c r="A3437" s="49"/>
      <c r="C3437" s="384">
        <v>45840.0</v>
      </c>
      <c r="D3437" s="65">
        <v>6301.0</v>
      </c>
      <c r="E3437" s="445" t="s">
        <v>1862</v>
      </c>
      <c r="F3437" s="386">
        <v>1.0</v>
      </c>
      <c r="G3437" s="74">
        <v>2150000.0</v>
      </c>
      <c r="H3437" s="74">
        <v>0.0</v>
      </c>
      <c r="I3437" s="74">
        <f t="shared" si="1"/>
        <v>2150000</v>
      </c>
      <c r="J3437" s="74">
        <f>IF(E3437="SERVICE",I3437-(I3437*50%),Vlookup(E3437,DATABASE!C:Q,10,false)*F3437)</f>
        <v>0</v>
      </c>
      <c r="K3437" s="74">
        <f>VLOOKUP(E3437,DATABASE!C:Q,7,false)</f>
        <v>2080000</v>
      </c>
      <c r="L3437" s="74">
        <v>2050000.0</v>
      </c>
      <c r="M3437" s="74">
        <f t="shared" si="2"/>
        <v>2050000</v>
      </c>
      <c r="N3437" s="74">
        <f t="shared" si="3"/>
        <v>100000</v>
      </c>
      <c r="O3437" s="65" t="str">
        <f>VLOOKUP(E3437,DATABASE!C:Q,8,false)</f>
        <v>BIAN</v>
      </c>
      <c r="P3437" s="65">
        <f>VLOOKUP(E3437,DATABASE!C:Q,9,False)</f>
        <v>1</v>
      </c>
      <c r="Q3437" s="93" t="str">
        <f>VLOOKUP(E3437,DATABASE!C:Q,4,false)</f>
        <v>GiTi</v>
      </c>
      <c r="R3437" s="93" t="str">
        <f>VLOOKUP(E3437,DATABASE!C:Q,11,false)</f>
        <v>Tire</v>
      </c>
    </row>
    <row r="3438" ht="22.5" customHeight="1">
      <c r="A3438" s="49"/>
      <c r="C3438" s="384">
        <v>45840.0</v>
      </c>
      <c r="D3438" s="65">
        <v>6302.0</v>
      </c>
      <c r="E3438" s="445" t="s">
        <v>295</v>
      </c>
      <c r="F3438" s="386">
        <v>1.0</v>
      </c>
      <c r="G3438" s="74">
        <v>1525000.0</v>
      </c>
      <c r="H3438" s="74">
        <v>0.0</v>
      </c>
      <c r="I3438" s="74">
        <f t="shared" si="1"/>
        <v>1525000</v>
      </c>
      <c r="J3438" s="74">
        <f>IF(E3438="SERVICE",I3438-(I3438*50%),Vlookup(E3438,DATABASE!C:Q,10,false)*F3438)</f>
        <v>0</v>
      </c>
      <c r="K3438" s="74">
        <f>VLOOKUP(E3438,DATABASE!C:Q,7,false)</f>
        <v>1475000</v>
      </c>
      <c r="L3438" s="74">
        <v>1425000.0</v>
      </c>
      <c r="M3438" s="74">
        <f t="shared" si="2"/>
        <v>1425000</v>
      </c>
      <c r="N3438" s="74">
        <f t="shared" si="3"/>
        <v>100000</v>
      </c>
      <c r="O3438" s="65" t="str">
        <f>VLOOKUP(E3438,DATABASE!C:Q,8,false)</f>
        <v>BIAN</v>
      </c>
      <c r="P3438" s="65">
        <f>VLOOKUP(E3438,DATABASE!C:Q,9,False)</f>
        <v>1</v>
      </c>
      <c r="Q3438" s="93" t="str">
        <f>VLOOKUP(E3438,DATABASE!C:Q,4,false)</f>
        <v>TIRON</v>
      </c>
      <c r="R3438" s="93" t="str">
        <f>VLOOKUP(E3438,DATABASE!C:Q,11,false)</f>
        <v>Tire</v>
      </c>
    </row>
    <row r="3439" ht="22.5" customHeight="1">
      <c r="A3439" s="49"/>
      <c r="C3439" s="384">
        <v>45840.0</v>
      </c>
      <c r="D3439" s="65">
        <v>6304.0</v>
      </c>
      <c r="E3439" s="445" t="s">
        <v>937</v>
      </c>
      <c r="F3439" s="386">
        <v>2.0</v>
      </c>
      <c r="G3439" s="74">
        <v>900000.0</v>
      </c>
      <c r="H3439" s="74">
        <v>0.0</v>
      </c>
      <c r="I3439" s="74">
        <f t="shared" si="1"/>
        <v>1800000</v>
      </c>
      <c r="J3439" s="74">
        <f>IF(E3439="SERVICE",I3439-(I3439*50%),Vlookup(E3439,DATABASE!C:Q,10,false)*F3439)</f>
        <v>0</v>
      </c>
      <c r="K3439" s="74">
        <f>VLOOKUP(E3439,DATABASE!C:Q,7,false)</f>
        <v>825000</v>
      </c>
      <c r="L3439" s="74">
        <v>790000.0</v>
      </c>
      <c r="M3439" s="74">
        <f t="shared" si="2"/>
        <v>790000</v>
      </c>
      <c r="N3439" s="74">
        <f t="shared" si="3"/>
        <v>220000</v>
      </c>
      <c r="O3439" s="65" t="str">
        <f>VLOOKUP(E3439,DATABASE!C:Q,8,false)</f>
        <v>IBU</v>
      </c>
      <c r="P3439" s="65">
        <f>VLOOKUP(E3439,DATABASE!C:Q,9,False)</f>
        <v>1</v>
      </c>
      <c r="Q3439" s="93" t="str">
        <f>VLOOKUP(E3439,DATABASE!C:Q,4,false)</f>
        <v>Bridgestone</v>
      </c>
      <c r="R3439" s="93" t="str">
        <f>VLOOKUP(E3439,DATABASE!C:Q,11,false)</f>
        <v>Tire</v>
      </c>
    </row>
    <row r="3440" ht="22.5" customHeight="1">
      <c r="A3440" s="49"/>
      <c r="C3440" s="384">
        <v>45840.0</v>
      </c>
      <c r="D3440" s="65">
        <v>6305.0</v>
      </c>
      <c r="E3440" s="445" t="s">
        <v>572</v>
      </c>
      <c r="F3440" s="386">
        <v>2.0</v>
      </c>
      <c r="G3440" s="74">
        <v>1370000.0</v>
      </c>
      <c r="H3440" s="74">
        <v>0.0</v>
      </c>
      <c r="I3440" s="74">
        <f t="shared" si="1"/>
        <v>2740000</v>
      </c>
      <c r="J3440" s="74">
        <f>IF(E3440="SERVICE",I3440-(I3440*50%),Vlookup(E3440,DATABASE!C:Q,10,false)*F3440)</f>
        <v>0</v>
      </c>
      <c r="K3440" s="140">
        <v>1270000.0</v>
      </c>
      <c r="L3440" s="140">
        <v>1270000.0</v>
      </c>
      <c r="M3440" s="74">
        <f t="shared" si="2"/>
        <v>1270000</v>
      </c>
      <c r="N3440" s="74">
        <f t="shared" si="3"/>
        <v>200000</v>
      </c>
      <c r="O3440" s="65" t="str">
        <f>VLOOKUP(E3440,DATABASE!C:Q,8,false)</f>
        <v>IBU</v>
      </c>
      <c r="P3440" s="65">
        <f>VLOOKUP(E3440,DATABASE!C:Q,9,False)</f>
        <v>1</v>
      </c>
      <c r="Q3440" s="93" t="str">
        <f>VLOOKUP(E3440,DATABASE!C:Q,4,false)</f>
        <v>Bridgestone</v>
      </c>
      <c r="R3440" s="93" t="str">
        <f>VLOOKUP(E3440,DATABASE!C:Q,11,false)</f>
        <v>Tire</v>
      </c>
    </row>
    <row r="3441" ht="22.5" customHeight="1">
      <c r="A3441" s="49"/>
      <c r="C3441" s="384">
        <v>45840.0</v>
      </c>
      <c r="D3441" s="65">
        <v>6305.0</v>
      </c>
      <c r="E3441" s="445" t="s">
        <v>814</v>
      </c>
      <c r="F3441" s="386">
        <v>1.0</v>
      </c>
      <c r="G3441" s="74">
        <v>65000.0</v>
      </c>
      <c r="H3441" s="74">
        <v>0.0</v>
      </c>
      <c r="I3441" s="74">
        <f t="shared" si="1"/>
        <v>65000</v>
      </c>
      <c r="J3441" s="74">
        <f>IF(E3441="SERVICE",I3441-(I3441*50%),Vlookup(E3441,DATABASE!C:Q,10,false)*F3441)</f>
        <v>0</v>
      </c>
      <c r="K3441" s="74">
        <f>VLOOKUP(E3441,DATABASE!C:Q,7,false)</f>
        <v>39440</v>
      </c>
      <c r="L3441" s="74">
        <v>39440.0</v>
      </c>
      <c r="M3441" s="74">
        <f t="shared" si="2"/>
        <v>40000</v>
      </c>
      <c r="N3441" s="74">
        <f t="shared" si="3"/>
        <v>25000</v>
      </c>
      <c r="O3441" s="65" t="str">
        <f>VLOOKUP(E3441,DATABASE!C:Q,8,false)</f>
        <v>BIAN</v>
      </c>
      <c r="P3441" s="65">
        <f>VLOOKUP(E3441,DATABASE!C:Q,9,False)</f>
        <v>1</v>
      </c>
      <c r="Q3441" s="93" t="str">
        <f>VLOOKUP(E3441,DATABASE!C:Q,4,false)</f>
        <v>Flap</v>
      </c>
      <c r="R3441" s="93" t="str">
        <f>VLOOKUP(E3441,DATABASE!C:Q,11,false)</f>
        <v>Tire</v>
      </c>
    </row>
    <row r="3442" ht="22.5" customHeight="1">
      <c r="A3442" s="49"/>
      <c r="C3442" s="384">
        <v>45840.0</v>
      </c>
      <c r="D3442" s="65">
        <v>6305.0</v>
      </c>
      <c r="E3442" s="445" t="s">
        <v>937</v>
      </c>
      <c r="F3442" s="386">
        <v>2.0</v>
      </c>
      <c r="G3442" s="74">
        <v>900000.0</v>
      </c>
      <c r="H3442" s="74">
        <v>0.0</v>
      </c>
      <c r="I3442" s="74">
        <f t="shared" si="1"/>
        <v>1800000</v>
      </c>
      <c r="J3442" s="74">
        <f>IF(E3442="SERVICE",I3442-(I3442*50%),Vlookup(E3442,DATABASE!C:Q,10,false)*F3442)</f>
        <v>0</v>
      </c>
      <c r="K3442" s="74">
        <f>VLOOKUP(E3442,DATABASE!C:Q,7,false)</f>
        <v>825000</v>
      </c>
      <c r="L3442" s="74">
        <v>790000.0</v>
      </c>
      <c r="M3442" s="74">
        <f t="shared" si="2"/>
        <v>790000</v>
      </c>
      <c r="N3442" s="74">
        <f t="shared" si="3"/>
        <v>220000</v>
      </c>
      <c r="O3442" s="65" t="str">
        <f>VLOOKUP(E3442,DATABASE!C:Q,8,false)</f>
        <v>IBU</v>
      </c>
      <c r="P3442" s="65">
        <f>VLOOKUP(E3442,DATABASE!C:Q,9,False)</f>
        <v>1</v>
      </c>
      <c r="Q3442" s="93" t="str">
        <f>VLOOKUP(E3442,DATABASE!C:Q,4,false)</f>
        <v>Bridgestone</v>
      </c>
      <c r="R3442" s="93" t="str">
        <f>VLOOKUP(E3442,DATABASE!C:Q,11,false)</f>
        <v>Tire</v>
      </c>
    </row>
    <row r="3443" ht="22.5" customHeight="1">
      <c r="A3443" s="49"/>
      <c r="C3443" s="384">
        <v>45840.0</v>
      </c>
      <c r="D3443" s="65">
        <v>6306.0</v>
      </c>
      <c r="E3443" s="445" t="s">
        <v>604</v>
      </c>
      <c r="F3443" s="386">
        <v>2.0</v>
      </c>
      <c r="G3443" s="74">
        <v>160000.0</v>
      </c>
      <c r="H3443" s="74">
        <v>0.0</v>
      </c>
      <c r="I3443" s="74">
        <f t="shared" si="1"/>
        <v>320000</v>
      </c>
      <c r="J3443" s="74">
        <f>IF(E3443="SERVICE",I3443-(I3443*50%),Vlookup(E3443,DATABASE!C:Q,10,false)*F3443)</f>
        <v>0</v>
      </c>
      <c r="K3443" s="74">
        <f>VLOOKUP(E3443,DATABASE!C:Q,7,false)</f>
        <v>124000</v>
      </c>
      <c r="L3443" s="74">
        <v>124000.0</v>
      </c>
      <c r="M3443" s="74">
        <f t="shared" si="2"/>
        <v>125000</v>
      </c>
      <c r="N3443" s="74">
        <f t="shared" si="3"/>
        <v>70000</v>
      </c>
      <c r="O3443" s="65" t="str">
        <f>VLOOKUP(E3443,DATABASE!C:Q,8,false)</f>
        <v>BIAN</v>
      </c>
      <c r="P3443" s="65">
        <f>VLOOKUP(E3443,DATABASE!C:Q,9,False)</f>
        <v>1</v>
      </c>
      <c r="Q3443" s="93" t="str">
        <f>VLOOKUP(E3443,DATABASE!C:Q,4,false)</f>
        <v>BD</v>
      </c>
      <c r="R3443" s="93" t="str">
        <f>VLOOKUP(E3443,DATABASE!C:Q,11,false)</f>
        <v>Tire</v>
      </c>
    </row>
    <row r="3444" ht="22.5" customHeight="1">
      <c r="A3444" s="49"/>
      <c r="C3444" s="384">
        <v>45840.0</v>
      </c>
      <c r="D3444" s="65">
        <v>6307.0</v>
      </c>
      <c r="E3444" s="445" t="s">
        <v>271</v>
      </c>
      <c r="F3444" s="386">
        <v>1.0</v>
      </c>
      <c r="G3444" s="74">
        <v>640000.0</v>
      </c>
      <c r="H3444" s="74">
        <v>0.0</v>
      </c>
      <c r="I3444" s="74">
        <f t="shared" si="1"/>
        <v>640000</v>
      </c>
      <c r="J3444" s="74">
        <f>IF(E3444="SERVICE",I3444-(I3444*50%),Vlookup(E3444,DATABASE!C:Q,10,false)*F3444)</f>
        <v>0</v>
      </c>
      <c r="K3444" s="74">
        <f>VLOOKUP(E3444,DATABASE!C:Q,7,false)</f>
        <v>570000</v>
      </c>
      <c r="L3444" s="74">
        <v>539000.0</v>
      </c>
      <c r="M3444" s="74">
        <f t="shared" si="2"/>
        <v>540000</v>
      </c>
      <c r="N3444" s="74">
        <f t="shared" si="3"/>
        <v>100000</v>
      </c>
      <c r="O3444" s="65" t="str">
        <f>VLOOKUP(E3444,DATABASE!C:Q,8,false)</f>
        <v>IBU</v>
      </c>
      <c r="P3444" s="65">
        <f>VLOOKUP(E3444,DATABASE!C:Q,9,False)</f>
        <v>1</v>
      </c>
      <c r="Q3444" s="93" t="str">
        <f>VLOOKUP(E3444,DATABASE!C:Q,4,false)</f>
        <v>Dunlop</v>
      </c>
      <c r="R3444" s="93" t="str">
        <f>VLOOKUP(E3444,DATABASE!C:Q,11,false)</f>
        <v>Tire</v>
      </c>
    </row>
    <row r="3445" ht="22.5" customHeight="1">
      <c r="A3445" s="49"/>
      <c r="C3445" s="384">
        <v>45840.0</v>
      </c>
      <c r="D3445" s="65">
        <v>6308.0</v>
      </c>
      <c r="E3445" s="445" t="s">
        <v>1862</v>
      </c>
      <c r="F3445" s="386">
        <v>2.0</v>
      </c>
      <c r="G3445" s="74">
        <v>2150000.0</v>
      </c>
      <c r="H3445" s="74">
        <v>0.0</v>
      </c>
      <c r="I3445" s="74">
        <f t="shared" si="1"/>
        <v>4300000</v>
      </c>
      <c r="J3445" s="74">
        <f>IF(E3445="SERVICE",I3445-(I3445*50%),Vlookup(E3445,DATABASE!C:Q,10,false)*F3445)</f>
        <v>0</v>
      </c>
      <c r="K3445" s="74">
        <f>VLOOKUP(E3445,DATABASE!C:Q,7,false)</f>
        <v>2080000</v>
      </c>
      <c r="L3445" s="74">
        <v>2050000.0</v>
      </c>
      <c r="M3445" s="74">
        <f t="shared" si="2"/>
        <v>2050000</v>
      </c>
      <c r="N3445" s="74">
        <f t="shared" si="3"/>
        <v>200000</v>
      </c>
      <c r="O3445" s="65" t="str">
        <f>VLOOKUP(E3445,DATABASE!C:Q,8,false)</f>
        <v>BIAN</v>
      </c>
      <c r="P3445" s="65">
        <f>VLOOKUP(E3445,DATABASE!C:Q,9,False)</f>
        <v>1</v>
      </c>
      <c r="Q3445" s="93" t="str">
        <f>VLOOKUP(E3445,DATABASE!C:Q,4,false)</f>
        <v>GiTi</v>
      </c>
      <c r="R3445" s="93" t="str">
        <f>VLOOKUP(E3445,DATABASE!C:Q,11,false)</f>
        <v>Tire</v>
      </c>
    </row>
    <row r="3446" ht="22.5" customHeight="1">
      <c r="A3446" s="49"/>
      <c r="C3446" s="384">
        <v>45840.0</v>
      </c>
      <c r="D3446" s="65">
        <v>6309.0</v>
      </c>
      <c r="E3446" s="445" t="s">
        <v>256</v>
      </c>
      <c r="F3446" s="386">
        <v>1.0</v>
      </c>
      <c r="G3446" s="74">
        <v>130000.0</v>
      </c>
      <c r="H3446" s="74">
        <v>0.0</v>
      </c>
      <c r="I3446" s="74">
        <f t="shared" si="1"/>
        <v>130000</v>
      </c>
      <c r="J3446" s="74">
        <f>IF(E3446="SERVICE",I3446-(I3446*50%),Vlookup(E3446,DATABASE!C:Q,10,false)*F3446)</f>
        <v>10000</v>
      </c>
      <c r="K3446" s="74">
        <f>VLOOKUP(E3446,DATABASE!C:Q,7,false)</f>
        <v>0</v>
      </c>
      <c r="L3446" s="74">
        <v>0.0</v>
      </c>
      <c r="M3446" s="74">
        <f t="shared" si="2"/>
        <v>0</v>
      </c>
      <c r="N3446" s="74">
        <f t="shared" si="3"/>
        <v>120000</v>
      </c>
      <c r="O3446" s="65" t="str">
        <f>VLOOKUP(E3446,DATABASE!C:Q,8,false)</f>
        <v>IBU</v>
      </c>
      <c r="P3446" s="65">
        <f>VLOOKUP(E3446,DATABASE!C:Q,9,False)</f>
        <v>0</v>
      </c>
      <c r="Q3446" s="93" t="str">
        <f>VLOOKUP(E3446,DATABASE!C:Q,4,false)</f>
        <v>SPOORING</v>
      </c>
      <c r="R3446" s="93" t="str">
        <f>VLOOKUP(E3446,DATABASE!C:Q,11,false)</f>
        <v>SERVICE</v>
      </c>
    </row>
    <row r="3447" ht="22.5" customHeight="1">
      <c r="A3447" s="49"/>
      <c r="C3447" s="384">
        <v>45840.0</v>
      </c>
      <c r="D3447" s="65">
        <v>6309.0</v>
      </c>
      <c r="E3447" s="445" t="s">
        <v>301</v>
      </c>
      <c r="F3447" s="386">
        <v>1.0</v>
      </c>
      <c r="G3447" s="74">
        <v>250000.0</v>
      </c>
      <c r="H3447" s="74">
        <v>0.0</v>
      </c>
      <c r="I3447" s="74">
        <f t="shared" si="1"/>
        <v>250000</v>
      </c>
      <c r="J3447" s="74">
        <f>IF(E3447="SERVICE",I3447-(I3447*50%),Vlookup(E3447,DATABASE!C:Q,10,false)*F3447)</f>
        <v>75000</v>
      </c>
      <c r="K3447" s="74">
        <f>VLOOKUP(E3447,DATABASE!C:Q,7,false)</f>
        <v>75000</v>
      </c>
      <c r="L3447" s="74">
        <v>75000.0</v>
      </c>
      <c r="M3447" s="74">
        <f t="shared" si="2"/>
        <v>75000</v>
      </c>
      <c r="N3447" s="74">
        <f t="shared" si="3"/>
        <v>100000</v>
      </c>
      <c r="O3447" s="65" t="str">
        <f>VLOOKUP(E3447,DATABASE!C:Q,8,false)</f>
        <v>BIAN</v>
      </c>
      <c r="P3447" s="65">
        <f>VLOOKUP(E3447,DATABASE!C:Q,9,False)</f>
        <v>0</v>
      </c>
      <c r="Q3447" s="93" t="str">
        <f>VLOOKUP(E3447,DATABASE!C:Q,4,false)</f>
        <v>Baut Camber</v>
      </c>
      <c r="R3447" s="93" t="str">
        <f>VLOOKUP(E3447,DATABASE!C:Q,11,false)</f>
        <v>COMPLEMENTARY</v>
      </c>
    </row>
    <row r="3448" ht="22.5" customHeight="1">
      <c r="A3448" s="49"/>
      <c r="C3448" s="384">
        <v>45840.0</v>
      </c>
      <c r="D3448" s="65">
        <v>6310.0</v>
      </c>
      <c r="E3448" s="445" t="s">
        <v>687</v>
      </c>
      <c r="F3448" s="386">
        <v>4.0</v>
      </c>
      <c r="G3448" s="74">
        <v>1060000.0</v>
      </c>
      <c r="H3448" s="74">
        <v>0.0</v>
      </c>
      <c r="I3448" s="74">
        <f t="shared" si="1"/>
        <v>4240000</v>
      </c>
      <c r="J3448" s="74">
        <f>IF(E3448="SERVICE",I3448-(I3448*50%),Vlookup(E3448,DATABASE!C:Q,10,false)*F3448)</f>
        <v>0</v>
      </c>
      <c r="K3448" s="74">
        <f>VLOOKUP(E3448,DATABASE!C:Q,7,false)</f>
        <v>959000</v>
      </c>
      <c r="L3448" s="74">
        <v>949000.0</v>
      </c>
      <c r="M3448" s="74">
        <f t="shared" si="2"/>
        <v>950000</v>
      </c>
      <c r="N3448" s="74">
        <f t="shared" si="3"/>
        <v>440000</v>
      </c>
      <c r="O3448" s="65" t="str">
        <f>VLOOKUP(E3448,DATABASE!C:Q,8,false)</f>
        <v>IBU</v>
      </c>
      <c r="P3448" s="65">
        <f>VLOOKUP(E3448,DATABASE!C:Q,9,False)</f>
        <v>1</v>
      </c>
      <c r="Q3448" s="93" t="str">
        <f>VLOOKUP(E3448,DATABASE!C:Q,4,false)</f>
        <v>Dunlop</v>
      </c>
      <c r="R3448" s="93" t="str">
        <f>VLOOKUP(E3448,DATABASE!C:Q,11,false)</f>
        <v>Tire</v>
      </c>
    </row>
    <row r="3449" ht="22.5" customHeight="1">
      <c r="A3449" s="49"/>
      <c r="C3449" s="384">
        <v>45840.0</v>
      </c>
      <c r="D3449" s="65">
        <v>6310.0</v>
      </c>
      <c r="E3449" s="385" t="s">
        <v>299</v>
      </c>
      <c r="F3449" s="386">
        <v>2.0</v>
      </c>
      <c r="G3449" s="74">
        <v>30000.0</v>
      </c>
      <c r="H3449" s="74">
        <v>0.0</v>
      </c>
      <c r="I3449" s="74">
        <f t="shared" si="1"/>
        <v>60000</v>
      </c>
      <c r="J3449" s="74">
        <f>IF(E3449="SERVICE",I3449-(I3449*50%),Vlookup(E3449,DATABASE!C:Q,10,false)*F3449)</f>
        <v>0</v>
      </c>
      <c r="K3449" s="74">
        <v>0.0</v>
      </c>
      <c r="L3449" s="74">
        <v>0.0</v>
      </c>
      <c r="M3449" s="74">
        <f t="shared" si="2"/>
        <v>0</v>
      </c>
      <c r="N3449" s="74">
        <f t="shared" si="3"/>
        <v>60000</v>
      </c>
      <c r="O3449" s="65" t="str">
        <f>VLOOKUP(E3449,DATABASE!C:Q,8,false)</f>
        <v>BIAN</v>
      </c>
      <c r="P3449" s="65">
        <f>VLOOKUP(E3449,DATABASE!C:Q,9,False)</f>
        <v>0</v>
      </c>
      <c r="Q3449" s="93" t="str">
        <f>VLOOKUP(E3449,DATABASE!C:Q,4,false)</f>
        <v>Balancing</v>
      </c>
      <c r="R3449" s="93" t="str">
        <f>VLOOKUP(E3449,DATABASE!C:Q,11,false)</f>
        <v>COMPLEMENTARY</v>
      </c>
    </row>
    <row r="3450" ht="22.5" customHeight="1">
      <c r="A3450" s="49"/>
      <c r="C3450" s="384">
        <v>45840.0</v>
      </c>
      <c r="D3450" s="65">
        <v>6312.0</v>
      </c>
      <c r="E3450" s="445" t="s">
        <v>256</v>
      </c>
      <c r="F3450" s="386">
        <v>1.0</v>
      </c>
      <c r="G3450" s="74">
        <v>130000.0</v>
      </c>
      <c r="H3450" s="74">
        <v>0.0</v>
      </c>
      <c r="I3450" s="74">
        <f t="shared" si="1"/>
        <v>130000</v>
      </c>
      <c r="J3450" s="74">
        <f>IF(E3450="SERVICE",I3450-(I3450*50%),Vlookup(E3450,DATABASE!C:Q,10,false)*F3450)</f>
        <v>10000</v>
      </c>
      <c r="K3450" s="74">
        <f>VLOOKUP(E3450,DATABASE!C:Q,7,false)</f>
        <v>0</v>
      </c>
      <c r="L3450" s="74">
        <v>0.0</v>
      </c>
      <c r="M3450" s="74">
        <f t="shared" si="2"/>
        <v>0</v>
      </c>
      <c r="N3450" s="74">
        <f t="shared" si="3"/>
        <v>120000</v>
      </c>
      <c r="O3450" s="65" t="str">
        <f>VLOOKUP(E3450,DATABASE!C:Q,8,false)</f>
        <v>IBU</v>
      </c>
      <c r="P3450" s="65">
        <f>VLOOKUP(E3450,DATABASE!C:Q,9,False)</f>
        <v>0</v>
      </c>
      <c r="Q3450" s="93" t="str">
        <f>VLOOKUP(E3450,DATABASE!C:Q,4,false)</f>
        <v>SPOORING</v>
      </c>
      <c r="R3450" s="93" t="str">
        <f>VLOOKUP(E3450,DATABASE!C:Q,11,false)</f>
        <v>SERVICE</v>
      </c>
    </row>
    <row r="3451" ht="22.5" customHeight="1">
      <c r="A3451" s="49"/>
      <c r="C3451" s="384">
        <v>45840.0</v>
      </c>
      <c r="D3451" s="65">
        <v>6313.0</v>
      </c>
      <c r="E3451" s="445" t="s">
        <v>265</v>
      </c>
      <c r="F3451" s="386">
        <v>2.0</v>
      </c>
      <c r="G3451" s="74">
        <v>700000.0</v>
      </c>
      <c r="H3451" s="74">
        <v>0.0</v>
      </c>
      <c r="I3451" s="74">
        <f t="shared" si="1"/>
        <v>1400000</v>
      </c>
      <c r="J3451" s="74">
        <f>IF(E3451="SERVICE",I3451-(I3451*50%),Vlookup(E3451,DATABASE!C:Q,10,false)*F3451)</f>
        <v>0</v>
      </c>
      <c r="K3451" s="74">
        <f>VLOOKUP(E3451,DATABASE!C:Q,7,false)</f>
        <v>628000</v>
      </c>
      <c r="L3451" s="74">
        <v>610000.0</v>
      </c>
      <c r="M3451" s="74">
        <f t="shared" si="2"/>
        <v>610000</v>
      </c>
      <c r="N3451" s="74">
        <f t="shared" si="3"/>
        <v>180000</v>
      </c>
      <c r="O3451" s="65" t="str">
        <f>VLOOKUP(E3451,DATABASE!C:Q,8,false)</f>
        <v>IBU</v>
      </c>
      <c r="P3451" s="65">
        <f>VLOOKUP(E3451,DATABASE!C:Q,9,False)</f>
        <v>1</v>
      </c>
      <c r="Q3451" s="93" t="str">
        <f>VLOOKUP(E3451,DATABASE!C:Q,4,false)</f>
        <v>Dunlop</v>
      </c>
      <c r="R3451" s="93" t="str">
        <f>VLOOKUP(E3451,DATABASE!C:Q,11,false)</f>
        <v>Tire</v>
      </c>
    </row>
    <row r="3452" ht="22.5" customHeight="1">
      <c r="A3452" s="49"/>
      <c r="C3452" s="384">
        <v>45841.0</v>
      </c>
      <c r="D3452" s="65">
        <v>6314.0</v>
      </c>
      <c r="E3452" s="445" t="s">
        <v>268</v>
      </c>
      <c r="F3452" s="386">
        <v>2.0</v>
      </c>
      <c r="G3452" s="74">
        <v>720000.0</v>
      </c>
      <c r="H3452" s="74">
        <v>0.0</v>
      </c>
      <c r="I3452" s="74">
        <f t="shared" si="1"/>
        <v>1440000</v>
      </c>
      <c r="J3452" s="74">
        <f>IF(E3452="SERVICE",I3452-(I3452*50%),Vlookup(E3452,DATABASE!C:Q,10,false)*F3452)</f>
        <v>0</v>
      </c>
      <c r="K3452" s="74">
        <f>VLOOKUP(E3452,DATABASE!C:Q,7,false)</f>
        <v>653000</v>
      </c>
      <c r="L3452" s="74">
        <v>622000.0</v>
      </c>
      <c r="M3452" s="74">
        <f t="shared" si="2"/>
        <v>625000</v>
      </c>
      <c r="N3452" s="74">
        <f t="shared" si="3"/>
        <v>190000</v>
      </c>
      <c r="O3452" s="65" t="str">
        <f>VLOOKUP(E3452,DATABASE!C:Q,8,false)</f>
        <v>IBU</v>
      </c>
      <c r="P3452" s="65">
        <f>VLOOKUP(E3452,DATABASE!C:Q,9,False)</f>
        <v>1</v>
      </c>
      <c r="Q3452" s="93" t="str">
        <f>VLOOKUP(E3452,DATABASE!C:Q,4,false)</f>
        <v>Dunlop</v>
      </c>
      <c r="R3452" s="93" t="str">
        <f>VLOOKUP(E3452,DATABASE!C:Q,11,false)</f>
        <v>Tire</v>
      </c>
    </row>
    <row r="3453" ht="22.5" customHeight="1">
      <c r="A3453" s="49"/>
      <c r="C3453" s="384">
        <v>45841.0</v>
      </c>
      <c r="D3453" s="65">
        <v>6314.0</v>
      </c>
      <c r="E3453" s="445" t="s">
        <v>250</v>
      </c>
      <c r="F3453" s="386">
        <v>1.0</v>
      </c>
      <c r="G3453" s="74">
        <v>135000.0</v>
      </c>
      <c r="H3453" s="74">
        <v>0.0</v>
      </c>
      <c r="I3453" s="74">
        <f t="shared" si="1"/>
        <v>135000</v>
      </c>
      <c r="J3453" s="74">
        <f>IF(E3453="SERVICE",I3453-(I3453*50%),Vlookup(E3453,DATABASE!C:Q,10,false)*F3453)</f>
        <v>0</v>
      </c>
      <c r="K3453" s="74">
        <f>VLOOKUP(E3453,DATABASE!C:Q,7,false)</f>
        <v>102000</v>
      </c>
      <c r="L3453" s="74">
        <v>102000.0</v>
      </c>
      <c r="M3453" s="74">
        <f t="shared" si="2"/>
        <v>105000</v>
      </c>
      <c r="N3453" s="74">
        <f t="shared" si="3"/>
        <v>30000</v>
      </c>
      <c r="O3453" s="65" t="str">
        <f>VLOOKUP(E3453,DATABASE!C:Q,8,false)</f>
        <v>BIAN</v>
      </c>
      <c r="P3453" s="65">
        <f>VLOOKUP(E3453,DATABASE!C:Q,9,False)</f>
        <v>1</v>
      </c>
      <c r="Q3453" s="93" t="str">
        <f>VLOOKUP(E3453,DATABASE!C:Q,4,false)</f>
        <v>BD</v>
      </c>
      <c r="R3453" s="93" t="str">
        <f>VLOOKUP(E3453,DATABASE!C:Q,11,false)</f>
        <v>Tire</v>
      </c>
    </row>
    <row r="3454" ht="22.5" customHeight="1">
      <c r="A3454" s="49"/>
      <c r="C3454" s="384">
        <v>45841.0</v>
      </c>
      <c r="D3454" s="65">
        <v>6314.0</v>
      </c>
      <c r="E3454" s="385" t="s">
        <v>299</v>
      </c>
      <c r="F3454" s="386">
        <v>2.0</v>
      </c>
      <c r="G3454" s="74">
        <v>25000.0</v>
      </c>
      <c r="H3454" s="74">
        <v>0.0</v>
      </c>
      <c r="I3454" s="74">
        <f t="shared" si="1"/>
        <v>50000</v>
      </c>
      <c r="J3454" s="74">
        <f>IF(E3454="SERVICE",I3454-(I3454*50%),Vlookup(E3454,DATABASE!C:Q,10,false)*F3454)</f>
        <v>0</v>
      </c>
      <c r="K3454" s="74">
        <v>0.0</v>
      </c>
      <c r="L3454" s="74">
        <v>0.0</v>
      </c>
      <c r="M3454" s="74">
        <f t="shared" si="2"/>
        <v>0</v>
      </c>
      <c r="N3454" s="74">
        <f t="shared" si="3"/>
        <v>50000</v>
      </c>
      <c r="O3454" s="65" t="str">
        <f>VLOOKUP(E3454,DATABASE!C:Q,8,false)</f>
        <v>BIAN</v>
      </c>
      <c r="P3454" s="65">
        <f>VLOOKUP(E3454,DATABASE!C:Q,9,False)</f>
        <v>0</v>
      </c>
      <c r="Q3454" s="93" t="str">
        <f>VLOOKUP(E3454,DATABASE!C:Q,4,false)</f>
        <v>Balancing</v>
      </c>
      <c r="R3454" s="93" t="str">
        <f>VLOOKUP(E3454,DATABASE!C:Q,11,false)</f>
        <v>COMPLEMENTARY</v>
      </c>
    </row>
    <row r="3455" ht="22.5" customHeight="1">
      <c r="A3455" s="49"/>
      <c r="C3455" s="384">
        <v>45841.0</v>
      </c>
      <c r="D3455" s="65">
        <v>6314.0</v>
      </c>
      <c r="E3455" s="445" t="s">
        <v>262</v>
      </c>
      <c r="F3455" s="386">
        <v>1.0</v>
      </c>
      <c r="G3455" s="74">
        <v>100000.0</v>
      </c>
      <c r="H3455" s="74">
        <v>0.0</v>
      </c>
      <c r="I3455" s="74">
        <f t="shared" si="1"/>
        <v>100000</v>
      </c>
      <c r="J3455" s="74">
        <f>IF(E3455="SERVICE",I3455-(I3455*50%),Vlookup(E3455,DATABASE!C:Q,10,false)*F3455)</f>
        <v>5000</v>
      </c>
      <c r="K3455" s="74">
        <f>VLOOKUP(E3455,DATABASE!C:Q,7,false)</f>
        <v>0</v>
      </c>
      <c r="L3455" s="74">
        <v>0.0</v>
      </c>
      <c r="M3455" s="74">
        <f t="shared" si="2"/>
        <v>0</v>
      </c>
      <c r="N3455" s="74">
        <f t="shared" si="3"/>
        <v>95000</v>
      </c>
      <c r="O3455" s="65" t="str">
        <f>VLOOKUP(E3455,DATABASE!C:Q,8,false)</f>
        <v>IBU</v>
      </c>
      <c r="P3455" s="65">
        <f>VLOOKUP(E3455,DATABASE!C:Q,9,False)</f>
        <v>0</v>
      </c>
      <c r="Q3455" s="93" t="str">
        <f>VLOOKUP(E3455,DATABASE!C:Q,4,false)</f>
        <v>SPOORING SS/CARRY LOS BAK</v>
      </c>
      <c r="R3455" s="93" t="str">
        <f>VLOOKUP(E3455,DATABASE!C:Q,11,false)</f>
        <v>SERVICE</v>
      </c>
    </row>
    <row r="3456" ht="22.5" customHeight="1">
      <c r="A3456" s="49"/>
      <c r="C3456" s="384">
        <v>45841.0</v>
      </c>
      <c r="D3456" s="65">
        <v>6314.0</v>
      </c>
      <c r="E3456" s="445" t="s">
        <v>251</v>
      </c>
      <c r="F3456" s="386">
        <v>1.0</v>
      </c>
      <c r="G3456" s="74">
        <v>150000.0</v>
      </c>
      <c r="H3456" s="74">
        <v>0.0</v>
      </c>
      <c r="I3456" s="74">
        <f t="shared" si="1"/>
        <v>150000</v>
      </c>
      <c r="J3456" s="74">
        <f>IF(E3456="SERVICE",I3456-(I3456*50%),Vlookup(E3456,DATABASE!C:Q,10,false)*F3456)</f>
        <v>75000</v>
      </c>
      <c r="K3456" s="74">
        <f>VLOOKUP(E3456,DATABASE!C:Q,7,false)</f>
        <v>0</v>
      </c>
      <c r="L3456" s="74">
        <v>0.0</v>
      </c>
      <c r="M3456" s="74">
        <f t="shared" si="2"/>
        <v>0</v>
      </c>
      <c r="N3456" s="74">
        <f t="shared" si="3"/>
        <v>75000</v>
      </c>
      <c r="O3456" s="65" t="str">
        <f>VLOOKUP(E3456,DATABASE!C:Q,8,false)</f>
        <v>IBU</v>
      </c>
      <c r="P3456" s="65">
        <f>VLOOKUP(E3456,DATABASE!C:Q,9,False)</f>
        <v>0</v>
      </c>
      <c r="Q3456" s="93" t="str">
        <f>VLOOKUP(E3456,DATABASE!C:Q,4,false)</f>
        <v>SERVICE</v>
      </c>
      <c r="R3456" s="93" t="str">
        <f>VLOOKUP(E3456,DATABASE!C:Q,11,false)</f>
        <v>SERVICE</v>
      </c>
    </row>
    <row r="3457" ht="22.5" customHeight="1">
      <c r="A3457" s="49"/>
      <c r="C3457" s="384">
        <v>45841.0</v>
      </c>
      <c r="D3457" s="65">
        <v>6315.0</v>
      </c>
      <c r="E3457" s="445" t="s">
        <v>391</v>
      </c>
      <c r="F3457" s="386">
        <v>1.0</v>
      </c>
      <c r="G3457" s="74">
        <v>1950000.0</v>
      </c>
      <c r="H3457" s="74">
        <v>0.0</v>
      </c>
      <c r="I3457" s="74">
        <f t="shared" si="1"/>
        <v>1950000</v>
      </c>
      <c r="J3457" s="74">
        <f>IF(E3457="SERVICE",I3457-(I3457*50%),Vlookup(E3457,DATABASE!C:Q,10,false)*F3457)</f>
        <v>0</v>
      </c>
      <c r="K3457" s="74">
        <f>VLOOKUP(E3457,DATABASE!C:Q,7,false)</f>
        <v>1885000</v>
      </c>
      <c r="L3457" s="74">
        <v>1840000.0</v>
      </c>
      <c r="M3457" s="74">
        <f t="shared" si="2"/>
        <v>1840000</v>
      </c>
      <c r="N3457" s="74">
        <f t="shared" si="3"/>
        <v>110000</v>
      </c>
      <c r="O3457" s="65" t="str">
        <f>VLOOKUP(E3457,DATABASE!C:Q,8,false)</f>
        <v>BIAN</v>
      </c>
      <c r="P3457" s="65">
        <f>VLOOKUP(E3457,DATABASE!C:Q,9,False)</f>
        <v>1</v>
      </c>
      <c r="Q3457" s="93" t="str">
        <f>VLOOKUP(E3457,DATABASE!C:Q,4,false)</f>
        <v>Advance</v>
      </c>
      <c r="R3457" s="93" t="str">
        <f>VLOOKUP(E3457,DATABASE!C:Q,11,false)</f>
        <v>Tire</v>
      </c>
    </row>
    <row r="3458" ht="22.5" customHeight="1">
      <c r="A3458" s="49"/>
      <c r="C3458" s="384">
        <v>45841.0</v>
      </c>
      <c r="D3458" s="65">
        <v>6315.0</v>
      </c>
      <c r="E3458" s="445" t="s">
        <v>791</v>
      </c>
      <c r="F3458" s="386">
        <v>1.0</v>
      </c>
      <c r="G3458" s="74">
        <v>1280000.0</v>
      </c>
      <c r="H3458" s="74">
        <v>0.0</v>
      </c>
      <c r="I3458" s="74">
        <f t="shared" si="1"/>
        <v>1280000</v>
      </c>
      <c r="J3458" s="74">
        <f>IF(E3458="SERVICE",I3458-(I3458*50%),Vlookup(E3458,DATABASE!C:Q,10,false)*F3458)</f>
        <v>0</v>
      </c>
      <c r="K3458" s="74">
        <f>VLOOKUP(E3458,DATABASE!C:Q,7,false)</f>
        <v>1210000</v>
      </c>
      <c r="L3458" s="74">
        <v>1180000.0</v>
      </c>
      <c r="M3458" s="74">
        <f t="shared" si="2"/>
        <v>1180000</v>
      </c>
      <c r="N3458" s="74">
        <f t="shared" si="3"/>
        <v>100000</v>
      </c>
      <c r="O3458" s="65" t="str">
        <f>VLOOKUP(E3458,DATABASE!C:Q,8,false)</f>
        <v>BIAN</v>
      </c>
      <c r="P3458" s="65">
        <f>VLOOKUP(E3458,DATABASE!C:Q,9,False)</f>
        <v>1</v>
      </c>
      <c r="Q3458" s="93" t="str">
        <f>VLOOKUP(E3458,DATABASE!C:Q,4,false)</f>
        <v>GT</v>
      </c>
      <c r="R3458" s="93" t="str">
        <f>VLOOKUP(E3458,DATABASE!C:Q,11,false)</f>
        <v>Tire</v>
      </c>
    </row>
    <row r="3459" ht="22.5" customHeight="1">
      <c r="A3459" s="49"/>
      <c r="C3459" s="384">
        <v>45841.0</v>
      </c>
      <c r="D3459" s="65">
        <v>6315.0</v>
      </c>
      <c r="E3459" s="445" t="s">
        <v>255</v>
      </c>
      <c r="F3459" s="386">
        <v>1.0</v>
      </c>
      <c r="G3459" s="74">
        <v>200000.0</v>
      </c>
      <c r="H3459" s="74">
        <v>0.0</v>
      </c>
      <c r="I3459" s="74">
        <f t="shared" si="1"/>
        <v>200000</v>
      </c>
      <c r="J3459" s="74">
        <f>IF(E3459="SERVICE",I3459-(I3459*50%),Vlookup(E3459,DATABASE!C:Q,10,false)*F3459)</f>
        <v>0</v>
      </c>
      <c r="K3459" s="74">
        <f>VLOOKUP(E3459,DATABASE!C:Q,7,false)</f>
        <v>161840</v>
      </c>
      <c r="L3459" s="74">
        <v>161840.0</v>
      </c>
      <c r="M3459" s="74">
        <f t="shared" si="2"/>
        <v>165000</v>
      </c>
      <c r="N3459" s="74">
        <f t="shared" si="3"/>
        <v>35000</v>
      </c>
      <c r="O3459" s="65" t="str">
        <f>VLOOKUP(E3459,DATABASE!C:Q,8,false)</f>
        <v>BIAN</v>
      </c>
      <c r="P3459" s="65">
        <f>VLOOKUP(E3459,DATABASE!C:Q,9,False)</f>
        <v>1</v>
      </c>
      <c r="Q3459" s="93" t="str">
        <f>VLOOKUP(E3459,DATABASE!C:Q,4,false)</f>
        <v>BD</v>
      </c>
      <c r="R3459" s="93" t="str">
        <f>VLOOKUP(E3459,DATABASE!C:Q,11,false)</f>
        <v>Tire</v>
      </c>
    </row>
    <row r="3460" ht="22.5" customHeight="1">
      <c r="A3460" s="49"/>
      <c r="C3460" s="384">
        <v>45841.0</v>
      </c>
      <c r="D3460" s="65">
        <v>6315.0</v>
      </c>
      <c r="E3460" s="445" t="s">
        <v>814</v>
      </c>
      <c r="F3460" s="386">
        <v>1.0</v>
      </c>
      <c r="G3460" s="74">
        <v>65000.0</v>
      </c>
      <c r="H3460" s="74">
        <v>0.0</v>
      </c>
      <c r="I3460" s="74">
        <f t="shared" si="1"/>
        <v>65000</v>
      </c>
      <c r="J3460" s="74">
        <f>IF(E3460="SERVICE",I3460-(I3460*50%),Vlookup(E3460,DATABASE!C:Q,10,false)*F3460)</f>
        <v>0</v>
      </c>
      <c r="K3460" s="74">
        <f>VLOOKUP(E3460,DATABASE!C:Q,7,false)</f>
        <v>39440</v>
      </c>
      <c r="L3460" s="74">
        <v>39440.0</v>
      </c>
      <c r="M3460" s="74">
        <f t="shared" si="2"/>
        <v>40000</v>
      </c>
      <c r="N3460" s="74">
        <f t="shared" si="3"/>
        <v>25000</v>
      </c>
      <c r="O3460" s="65" t="str">
        <f>VLOOKUP(E3460,DATABASE!C:Q,8,false)</f>
        <v>BIAN</v>
      </c>
      <c r="P3460" s="65">
        <f>VLOOKUP(E3460,DATABASE!C:Q,9,False)</f>
        <v>1</v>
      </c>
      <c r="Q3460" s="93" t="str">
        <f>VLOOKUP(E3460,DATABASE!C:Q,4,false)</f>
        <v>Flap</v>
      </c>
      <c r="R3460" s="93" t="str">
        <f>VLOOKUP(E3460,DATABASE!C:Q,11,false)</f>
        <v>Tire</v>
      </c>
    </row>
    <row r="3461" ht="22.5" customHeight="1">
      <c r="A3461" s="49"/>
      <c r="C3461" s="384">
        <v>45841.0</v>
      </c>
      <c r="D3461" s="65">
        <v>6316.0</v>
      </c>
      <c r="E3461" s="445" t="s">
        <v>268</v>
      </c>
      <c r="F3461" s="386">
        <v>2.0</v>
      </c>
      <c r="G3461" s="74">
        <v>720000.0</v>
      </c>
      <c r="H3461" s="74">
        <v>0.0</v>
      </c>
      <c r="I3461" s="74">
        <f t="shared" si="1"/>
        <v>1440000</v>
      </c>
      <c r="J3461" s="74">
        <f>IF(E3461="SERVICE",I3461-(I3461*50%),Vlookup(E3461,DATABASE!C:Q,10,false)*F3461)</f>
        <v>0</v>
      </c>
      <c r="K3461" s="74">
        <f>VLOOKUP(E3461,DATABASE!C:Q,7,false)</f>
        <v>653000</v>
      </c>
      <c r="L3461" s="74">
        <v>622000.0</v>
      </c>
      <c r="M3461" s="74">
        <f t="shared" si="2"/>
        <v>625000</v>
      </c>
      <c r="N3461" s="74">
        <f t="shared" si="3"/>
        <v>190000</v>
      </c>
      <c r="O3461" s="65" t="str">
        <f>VLOOKUP(E3461,DATABASE!C:Q,8,false)</f>
        <v>IBU</v>
      </c>
      <c r="P3461" s="65">
        <f>VLOOKUP(E3461,DATABASE!C:Q,9,False)</f>
        <v>1</v>
      </c>
      <c r="Q3461" s="93" t="str">
        <f>VLOOKUP(E3461,DATABASE!C:Q,4,false)</f>
        <v>Dunlop</v>
      </c>
      <c r="R3461" s="93" t="str">
        <f>VLOOKUP(E3461,DATABASE!C:Q,11,false)</f>
        <v>Tire</v>
      </c>
    </row>
    <row r="3462" ht="22.5" customHeight="1">
      <c r="A3462" s="49"/>
      <c r="C3462" s="384">
        <v>45841.0</v>
      </c>
      <c r="D3462" s="65">
        <v>6317.0</v>
      </c>
      <c r="E3462" s="445" t="s">
        <v>256</v>
      </c>
      <c r="F3462" s="386">
        <v>1.0</v>
      </c>
      <c r="G3462" s="74">
        <v>130000.0</v>
      </c>
      <c r="H3462" s="74">
        <v>0.0</v>
      </c>
      <c r="I3462" s="74">
        <f t="shared" si="1"/>
        <v>130000</v>
      </c>
      <c r="J3462" s="74">
        <f>IF(E3462="SERVICE",I3462-(I3462*50%),Vlookup(E3462,DATABASE!C:Q,10,false)*F3462)</f>
        <v>10000</v>
      </c>
      <c r="K3462" s="74">
        <f>VLOOKUP(E3462,DATABASE!C:Q,7,false)</f>
        <v>0</v>
      </c>
      <c r="L3462" s="74">
        <v>0.0</v>
      </c>
      <c r="M3462" s="74">
        <f t="shared" si="2"/>
        <v>0</v>
      </c>
      <c r="N3462" s="74">
        <f t="shared" si="3"/>
        <v>120000</v>
      </c>
      <c r="O3462" s="65" t="str">
        <f>VLOOKUP(E3462,DATABASE!C:Q,8,false)</f>
        <v>IBU</v>
      </c>
      <c r="P3462" s="65">
        <f>VLOOKUP(E3462,DATABASE!C:Q,9,False)</f>
        <v>0</v>
      </c>
      <c r="Q3462" s="93" t="str">
        <f>VLOOKUP(E3462,DATABASE!C:Q,4,false)</f>
        <v>SPOORING</v>
      </c>
      <c r="R3462" s="93" t="str">
        <f>VLOOKUP(E3462,DATABASE!C:Q,11,false)</f>
        <v>SERVICE</v>
      </c>
    </row>
    <row r="3463" ht="22.5" customHeight="1">
      <c r="A3463" s="49"/>
      <c r="C3463" s="384">
        <v>45841.0</v>
      </c>
      <c r="D3463" s="65">
        <v>6317.0</v>
      </c>
      <c r="E3463" s="445" t="s">
        <v>301</v>
      </c>
      <c r="F3463" s="386">
        <v>1.0</v>
      </c>
      <c r="G3463" s="74">
        <v>250000.0</v>
      </c>
      <c r="H3463" s="74">
        <v>0.0</v>
      </c>
      <c r="I3463" s="74">
        <f t="shared" si="1"/>
        <v>250000</v>
      </c>
      <c r="J3463" s="74">
        <f>IF(E3463="SERVICE",I3463-(I3463*50%),Vlookup(E3463,DATABASE!C:Q,10,false)*F3463)</f>
        <v>75000</v>
      </c>
      <c r="K3463" s="74">
        <f>VLOOKUP(E3463,DATABASE!C:Q,7,false)</f>
        <v>75000</v>
      </c>
      <c r="L3463" s="74">
        <v>75000.0</v>
      </c>
      <c r="M3463" s="74">
        <f t="shared" si="2"/>
        <v>75000</v>
      </c>
      <c r="N3463" s="74">
        <f t="shared" si="3"/>
        <v>100000</v>
      </c>
      <c r="O3463" s="65" t="str">
        <f>VLOOKUP(E3463,DATABASE!C:Q,8,false)</f>
        <v>BIAN</v>
      </c>
      <c r="P3463" s="65">
        <f>VLOOKUP(E3463,DATABASE!C:Q,9,False)</f>
        <v>0</v>
      </c>
      <c r="Q3463" s="93" t="str">
        <f>VLOOKUP(E3463,DATABASE!C:Q,4,false)</f>
        <v>Baut Camber</v>
      </c>
      <c r="R3463" s="93" t="str">
        <f>VLOOKUP(E3463,DATABASE!C:Q,11,false)</f>
        <v>COMPLEMENTARY</v>
      </c>
    </row>
    <row r="3464" ht="22.5" customHeight="1">
      <c r="A3464" s="49"/>
      <c r="C3464" s="384">
        <v>45841.0</v>
      </c>
      <c r="D3464" s="65">
        <v>6318.0</v>
      </c>
      <c r="E3464" s="445" t="s">
        <v>256</v>
      </c>
      <c r="F3464" s="386">
        <v>1.0</v>
      </c>
      <c r="G3464" s="74">
        <v>130000.0</v>
      </c>
      <c r="H3464" s="74">
        <v>0.0</v>
      </c>
      <c r="I3464" s="74">
        <f t="shared" si="1"/>
        <v>130000</v>
      </c>
      <c r="J3464" s="74">
        <f>IF(E3464="SERVICE",I3464-(I3464*50%),Vlookup(E3464,DATABASE!C:Q,10,false)*F3464)</f>
        <v>10000</v>
      </c>
      <c r="K3464" s="74">
        <f>VLOOKUP(E3464,DATABASE!C:Q,7,false)</f>
        <v>0</v>
      </c>
      <c r="L3464" s="74">
        <v>0.0</v>
      </c>
      <c r="M3464" s="74">
        <f t="shared" si="2"/>
        <v>0</v>
      </c>
      <c r="N3464" s="74">
        <f t="shared" si="3"/>
        <v>120000</v>
      </c>
      <c r="O3464" s="65" t="str">
        <f>VLOOKUP(E3464,DATABASE!C:Q,8,false)</f>
        <v>IBU</v>
      </c>
      <c r="P3464" s="65">
        <f>VLOOKUP(E3464,DATABASE!C:Q,9,False)</f>
        <v>0</v>
      </c>
      <c r="Q3464" s="93" t="str">
        <f>VLOOKUP(E3464,DATABASE!C:Q,4,false)</f>
        <v>SPOORING</v>
      </c>
      <c r="R3464" s="93" t="str">
        <f>VLOOKUP(E3464,DATABASE!C:Q,11,false)</f>
        <v>SERVICE</v>
      </c>
    </row>
    <row r="3465" ht="22.5" customHeight="1">
      <c r="A3465" s="49"/>
      <c r="C3465" s="384">
        <v>45841.0</v>
      </c>
      <c r="D3465" s="65">
        <v>6318.0</v>
      </c>
      <c r="E3465" s="445" t="s">
        <v>251</v>
      </c>
      <c r="F3465" s="386">
        <v>1.0</v>
      </c>
      <c r="G3465" s="74">
        <v>150000.0</v>
      </c>
      <c r="H3465" s="74">
        <v>0.0</v>
      </c>
      <c r="I3465" s="74">
        <f t="shared" si="1"/>
        <v>150000</v>
      </c>
      <c r="J3465" s="74">
        <f>IF(E3465="SERVICE",I3465-(I3465*50%),Vlookup(E3465,DATABASE!C:Q,10,false)*F3465)</f>
        <v>75000</v>
      </c>
      <c r="K3465" s="74">
        <f>VLOOKUP(E3465,DATABASE!C:Q,7,false)</f>
        <v>0</v>
      </c>
      <c r="L3465" s="74">
        <v>0.0</v>
      </c>
      <c r="M3465" s="74">
        <f t="shared" si="2"/>
        <v>0</v>
      </c>
      <c r="N3465" s="74">
        <f t="shared" si="3"/>
        <v>75000</v>
      </c>
      <c r="O3465" s="65" t="str">
        <f>VLOOKUP(E3465,DATABASE!C:Q,8,false)</f>
        <v>IBU</v>
      </c>
      <c r="P3465" s="65">
        <f>VLOOKUP(E3465,DATABASE!C:Q,9,False)</f>
        <v>0</v>
      </c>
      <c r="Q3465" s="93" t="str">
        <f>VLOOKUP(E3465,DATABASE!C:Q,4,false)</f>
        <v>SERVICE</v>
      </c>
      <c r="R3465" s="93" t="str">
        <f>VLOOKUP(E3465,DATABASE!C:Q,11,false)</f>
        <v>SERVICE</v>
      </c>
    </row>
    <row r="3466" ht="22.5" customHeight="1">
      <c r="A3466" s="49"/>
      <c r="C3466" s="384">
        <v>45841.0</v>
      </c>
      <c r="D3466" s="65">
        <v>6318.0</v>
      </c>
      <c r="E3466" s="445" t="s">
        <v>290</v>
      </c>
      <c r="F3466" s="386">
        <v>1.0</v>
      </c>
      <c r="G3466" s="74">
        <v>720000.0</v>
      </c>
      <c r="H3466" s="74">
        <v>0.0</v>
      </c>
      <c r="I3466" s="74">
        <f t="shared" si="1"/>
        <v>720000</v>
      </c>
      <c r="J3466" s="74">
        <f>IF(E3466="SERVICE",I3466-(I3466*50%),Vlookup(E3466,DATABASE!C:Q,10,false)*F3466)</f>
        <v>0</v>
      </c>
      <c r="K3466" s="74">
        <f>VLOOKUP(E3466,DATABASE!C:Q,7,false)</f>
        <v>628100</v>
      </c>
      <c r="L3466" s="74">
        <v>609804.0</v>
      </c>
      <c r="M3466" s="74">
        <f t="shared" si="2"/>
        <v>610000</v>
      </c>
      <c r="N3466" s="74">
        <f t="shared" si="3"/>
        <v>110000</v>
      </c>
      <c r="O3466" s="65" t="str">
        <f>VLOOKUP(E3466,DATABASE!C:Q,8,false)</f>
        <v>BIAN</v>
      </c>
      <c r="P3466" s="65">
        <f>VLOOKUP(E3466,DATABASE!C:Q,9,False)</f>
        <v>1</v>
      </c>
      <c r="Q3466" s="93" t="str">
        <f>VLOOKUP(E3466,DATABASE!C:Q,4,false)</f>
        <v>GT</v>
      </c>
      <c r="R3466" s="93" t="str">
        <f>VLOOKUP(E3466,DATABASE!C:Q,11,false)</f>
        <v>Tire</v>
      </c>
    </row>
    <row r="3467" ht="22.5" customHeight="1">
      <c r="A3467" s="49"/>
      <c r="C3467" s="384">
        <v>45841.0</v>
      </c>
      <c r="D3467" s="65">
        <v>6319.0</v>
      </c>
      <c r="E3467" s="445" t="s">
        <v>256</v>
      </c>
      <c r="F3467" s="386">
        <v>1.0</v>
      </c>
      <c r="G3467" s="74">
        <v>130000.0</v>
      </c>
      <c r="H3467" s="74">
        <v>0.0</v>
      </c>
      <c r="I3467" s="74">
        <f t="shared" si="1"/>
        <v>130000</v>
      </c>
      <c r="J3467" s="74">
        <f>IF(E3467="SERVICE",I3467-(I3467*50%),Vlookup(E3467,DATABASE!C:Q,10,false)*F3467)</f>
        <v>10000</v>
      </c>
      <c r="K3467" s="74">
        <f>VLOOKUP(E3467,DATABASE!C:Q,7,false)</f>
        <v>0</v>
      </c>
      <c r="L3467" s="74">
        <v>0.0</v>
      </c>
      <c r="M3467" s="74">
        <f t="shared" si="2"/>
        <v>0</v>
      </c>
      <c r="N3467" s="74">
        <f t="shared" si="3"/>
        <v>120000</v>
      </c>
      <c r="O3467" s="65" t="str">
        <f>VLOOKUP(E3467,DATABASE!C:Q,8,false)</f>
        <v>IBU</v>
      </c>
      <c r="P3467" s="65">
        <f>VLOOKUP(E3467,DATABASE!C:Q,9,False)</f>
        <v>0</v>
      </c>
      <c r="Q3467" s="93" t="str">
        <f>VLOOKUP(E3467,DATABASE!C:Q,4,false)</f>
        <v>SPOORING</v>
      </c>
      <c r="R3467" s="93" t="str">
        <f>VLOOKUP(E3467,DATABASE!C:Q,11,false)</f>
        <v>SERVICE</v>
      </c>
    </row>
    <row r="3468" ht="22.5" customHeight="1">
      <c r="A3468" s="49"/>
      <c r="C3468" s="384">
        <v>45841.0</v>
      </c>
      <c r="D3468" s="65">
        <v>6320.0</v>
      </c>
      <c r="E3468" s="445" t="s">
        <v>256</v>
      </c>
      <c r="F3468" s="386">
        <v>1.0</v>
      </c>
      <c r="G3468" s="74">
        <v>130000.0</v>
      </c>
      <c r="H3468" s="74">
        <v>0.0</v>
      </c>
      <c r="I3468" s="74">
        <f t="shared" si="1"/>
        <v>130000</v>
      </c>
      <c r="J3468" s="74">
        <f>IF(E3468="SERVICE",I3468-(I3468*50%),Vlookup(E3468,DATABASE!C:Q,10,false)*F3468)</f>
        <v>10000</v>
      </c>
      <c r="K3468" s="74">
        <f>VLOOKUP(E3468,DATABASE!C:Q,7,false)</f>
        <v>0</v>
      </c>
      <c r="L3468" s="74">
        <v>0.0</v>
      </c>
      <c r="M3468" s="74">
        <f t="shared" si="2"/>
        <v>0</v>
      </c>
      <c r="N3468" s="74">
        <f t="shared" si="3"/>
        <v>120000</v>
      </c>
      <c r="O3468" s="65" t="str">
        <f>VLOOKUP(E3468,DATABASE!C:Q,8,false)</f>
        <v>IBU</v>
      </c>
      <c r="P3468" s="65">
        <f>VLOOKUP(E3468,DATABASE!C:Q,9,False)</f>
        <v>0</v>
      </c>
      <c r="Q3468" s="93" t="str">
        <f>VLOOKUP(E3468,DATABASE!C:Q,4,false)</f>
        <v>SPOORING</v>
      </c>
      <c r="R3468" s="93" t="str">
        <f>VLOOKUP(E3468,DATABASE!C:Q,11,false)</f>
        <v>SERVICE</v>
      </c>
    </row>
    <row r="3469" ht="22.5" customHeight="1">
      <c r="A3469" s="49"/>
      <c r="C3469" s="384">
        <v>45841.0</v>
      </c>
      <c r="D3469" s="65">
        <v>6321.0</v>
      </c>
      <c r="E3469" s="445" t="s">
        <v>256</v>
      </c>
      <c r="F3469" s="386">
        <v>1.0</v>
      </c>
      <c r="G3469" s="74">
        <v>130000.0</v>
      </c>
      <c r="H3469" s="74">
        <v>0.0</v>
      </c>
      <c r="I3469" s="74">
        <f t="shared" si="1"/>
        <v>130000</v>
      </c>
      <c r="J3469" s="74">
        <f>IF(E3469="SERVICE",I3469-(I3469*50%),Vlookup(E3469,DATABASE!C:Q,10,false)*F3469)</f>
        <v>10000</v>
      </c>
      <c r="K3469" s="74">
        <f>VLOOKUP(E3469,DATABASE!C:Q,7,false)</f>
        <v>0</v>
      </c>
      <c r="L3469" s="74">
        <v>0.0</v>
      </c>
      <c r="M3469" s="74">
        <f t="shared" si="2"/>
        <v>0</v>
      </c>
      <c r="N3469" s="74">
        <f t="shared" si="3"/>
        <v>120000</v>
      </c>
      <c r="O3469" s="65" t="str">
        <f>VLOOKUP(E3469,DATABASE!C:Q,8,false)</f>
        <v>IBU</v>
      </c>
      <c r="P3469" s="65">
        <f>VLOOKUP(E3469,DATABASE!C:Q,9,False)</f>
        <v>0</v>
      </c>
      <c r="Q3469" s="93" t="str">
        <f>VLOOKUP(E3469,DATABASE!C:Q,4,false)</f>
        <v>SPOORING</v>
      </c>
      <c r="R3469" s="93" t="str">
        <f>VLOOKUP(E3469,DATABASE!C:Q,11,false)</f>
        <v>SERVICE</v>
      </c>
    </row>
    <row r="3470" ht="22.5" customHeight="1">
      <c r="A3470" s="49"/>
      <c r="C3470" s="384">
        <v>45841.0</v>
      </c>
      <c r="D3470" s="65">
        <v>6321.0</v>
      </c>
      <c r="E3470" s="445" t="s">
        <v>301</v>
      </c>
      <c r="F3470" s="386">
        <v>1.0</v>
      </c>
      <c r="G3470" s="74">
        <v>250000.0</v>
      </c>
      <c r="H3470" s="74">
        <v>0.0</v>
      </c>
      <c r="I3470" s="74">
        <f t="shared" si="1"/>
        <v>250000</v>
      </c>
      <c r="J3470" s="74">
        <f>IF(E3470="SERVICE",I3470-(I3470*50%),Vlookup(E3470,DATABASE!C:Q,10,false)*F3470)</f>
        <v>75000</v>
      </c>
      <c r="K3470" s="74">
        <f>VLOOKUP(E3470,DATABASE!C:Q,7,false)</f>
        <v>75000</v>
      </c>
      <c r="L3470" s="74">
        <v>75000.0</v>
      </c>
      <c r="M3470" s="74">
        <f t="shared" si="2"/>
        <v>75000</v>
      </c>
      <c r="N3470" s="74">
        <f t="shared" si="3"/>
        <v>100000</v>
      </c>
      <c r="O3470" s="65" t="str">
        <f>VLOOKUP(E3470,DATABASE!C:Q,8,false)</f>
        <v>BIAN</v>
      </c>
      <c r="P3470" s="65">
        <f>VLOOKUP(E3470,DATABASE!C:Q,9,False)</f>
        <v>0</v>
      </c>
      <c r="Q3470" s="93" t="str">
        <f>VLOOKUP(E3470,DATABASE!C:Q,4,false)</f>
        <v>Baut Camber</v>
      </c>
      <c r="R3470" s="93" t="str">
        <f>VLOOKUP(E3470,DATABASE!C:Q,11,false)</f>
        <v>COMPLEMENTARY</v>
      </c>
    </row>
    <row r="3471" ht="22.5" customHeight="1">
      <c r="A3471" s="49"/>
      <c r="C3471" s="384">
        <v>45841.0</v>
      </c>
      <c r="D3471" s="65">
        <v>6322.0</v>
      </c>
      <c r="E3471" s="445" t="s">
        <v>271</v>
      </c>
      <c r="F3471" s="386">
        <v>1.0</v>
      </c>
      <c r="G3471" s="74">
        <v>640000.0</v>
      </c>
      <c r="H3471" s="74">
        <v>0.0</v>
      </c>
      <c r="I3471" s="74">
        <f t="shared" si="1"/>
        <v>640000</v>
      </c>
      <c r="J3471" s="74">
        <f>IF(E3471="SERVICE",I3471-(I3471*50%),Vlookup(E3471,DATABASE!C:Q,10,false)*F3471)</f>
        <v>0</v>
      </c>
      <c r="K3471" s="74">
        <f>VLOOKUP(E3471,DATABASE!C:Q,7,false)</f>
        <v>570000</v>
      </c>
      <c r="L3471" s="74">
        <v>539000.0</v>
      </c>
      <c r="M3471" s="74">
        <f t="shared" si="2"/>
        <v>540000</v>
      </c>
      <c r="N3471" s="74">
        <f t="shared" si="3"/>
        <v>100000</v>
      </c>
      <c r="O3471" s="65" t="str">
        <f>VLOOKUP(E3471,DATABASE!C:Q,8,false)</f>
        <v>IBU</v>
      </c>
      <c r="P3471" s="65">
        <f>VLOOKUP(E3471,DATABASE!C:Q,9,False)</f>
        <v>1</v>
      </c>
      <c r="Q3471" s="93" t="str">
        <f>VLOOKUP(E3471,DATABASE!C:Q,4,false)</f>
        <v>Dunlop</v>
      </c>
      <c r="R3471" s="93" t="str">
        <f>VLOOKUP(E3471,DATABASE!C:Q,11,false)</f>
        <v>Tire</v>
      </c>
    </row>
    <row r="3472" ht="22.5" customHeight="1">
      <c r="A3472" s="49"/>
      <c r="C3472" s="384">
        <v>45841.0</v>
      </c>
      <c r="D3472" s="65">
        <v>6323.0</v>
      </c>
      <c r="E3472" s="445" t="s">
        <v>262</v>
      </c>
      <c r="F3472" s="386">
        <v>1.0</v>
      </c>
      <c r="G3472" s="74">
        <v>110000.0</v>
      </c>
      <c r="H3472" s="74">
        <v>0.0</v>
      </c>
      <c r="I3472" s="74">
        <f t="shared" si="1"/>
        <v>110000</v>
      </c>
      <c r="J3472" s="74">
        <f>IF(E3472="SERVICE",I3472-(I3472*50%),Vlookup(E3472,DATABASE!C:Q,10,false)*F3472)</f>
        <v>5000</v>
      </c>
      <c r="K3472" s="74">
        <f>VLOOKUP(E3472,DATABASE!C:Q,7,false)</f>
        <v>0</v>
      </c>
      <c r="L3472" s="74">
        <v>0.0</v>
      </c>
      <c r="M3472" s="74">
        <f t="shared" si="2"/>
        <v>0</v>
      </c>
      <c r="N3472" s="74">
        <f t="shared" si="3"/>
        <v>105000</v>
      </c>
      <c r="O3472" s="65" t="str">
        <f>VLOOKUP(E3472,DATABASE!C:Q,8,false)</f>
        <v>IBU</v>
      </c>
      <c r="P3472" s="65">
        <f>VLOOKUP(E3472,DATABASE!C:Q,9,False)</f>
        <v>0</v>
      </c>
      <c r="Q3472" s="93" t="str">
        <f>VLOOKUP(E3472,DATABASE!C:Q,4,false)</f>
        <v>SPOORING SS/CARRY LOS BAK</v>
      </c>
      <c r="R3472" s="93" t="str">
        <f>VLOOKUP(E3472,DATABASE!C:Q,11,false)</f>
        <v>SERVICE</v>
      </c>
    </row>
    <row r="3473" ht="22.5" customHeight="1">
      <c r="A3473" s="49"/>
      <c r="C3473" s="384">
        <v>45841.0</v>
      </c>
      <c r="D3473" s="65">
        <v>6324.0</v>
      </c>
      <c r="E3473" s="445" t="s">
        <v>1862</v>
      </c>
      <c r="F3473" s="386">
        <v>2.0</v>
      </c>
      <c r="G3473" s="74">
        <v>2150000.0</v>
      </c>
      <c r="H3473" s="74">
        <v>0.0</v>
      </c>
      <c r="I3473" s="74">
        <f t="shared" si="1"/>
        <v>4300000</v>
      </c>
      <c r="J3473" s="74">
        <f>IF(E3473="SERVICE",I3473-(I3473*50%),Vlookup(E3473,DATABASE!C:Q,10,false)*F3473)</f>
        <v>0</v>
      </c>
      <c r="K3473" s="74">
        <f>VLOOKUP(E3473,DATABASE!C:Q,7,false)</f>
        <v>2080000</v>
      </c>
      <c r="L3473" s="74">
        <v>2050000.0</v>
      </c>
      <c r="M3473" s="74">
        <f t="shared" si="2"/>
        <v>2050000</v>
      </c>
      <c r="N3473" s="74">
        <f t="shared" si="3"/>
        <v>200000</v>
      </c>
      <c r="O3473" s="65" t="str">
        <f>VLOOKUP(E3473,DATABASE!C:Q,8,false)</f>
        <v>BIAN</v>
      </c>
      <c r="P3473" s="65">
        <f>VLOOKUP(E3473,DATABASE!C:Q,9,False)</f>
        <v>1</v>
      </c>
      <c r="Q3473" s="93" t="str">
        <f>VLOOKUP(E3473,DATABASE!C:Q,4,false)</f>
        <v>GiTi</v>
      </c>
      <c r="R3473" s="93" t="str">
        <f>VLOOKUP(E3473,DATABASE!C:Q,11,false)</f>
        <v>Tire</v>
      </c>
    </row>
    <row r="3474" ht="22.5" customHeight="1">
      <c r="A3474" s="49"/>
      <c r="C3474" s="384">
        <v>45841.0</v>
      </c>
      <c r="D3474" s="65">
        <v>6325.0</v>
      </c>
      <c r="E3474" s="445" t="s">
        <v>1009</v>
      </c>
      <c r="F3474" s="386">
        <v>4.0</v>
      </c>
      <c r="G3474" s="74">
        <v>700000.0</v>
      </c>
      <c r="H3474" s="74">
        <v>0.0</v>
      </c>
      <c r="I3474" s="74">
        <f t="shared" si="1"/>
        <v>2800000</v>
      </c>
      <c r="J3474" s="74">
        <f>IF(E3474="SERVICE",I3474-(I3474*50%),Vlookup(E3474,DATABASE!C:Q,10,false)*F3474)</f>
        <v>0</v>
      </c>
      <c r="K3474" s="74">
        <f>VLOOKUP(E3474,DATABASE!C:Q,7,false)</f>
        <v>609800</v>
      </c>
      <c r="L3474" s="74">
        <v>592200.0</v>
      </c>
      <c r="M3474" s="74">
        <f t="shared" si="2"/>
        <v>595000</v>
      </c>
      <c r="N3474" s="74">
        <f t="shared" si="3"/>
        <v>420000</v>
      </c>
      <c r="O3474" s="65" t="str">
        <f>VLOOKUP(E3474,DATABASE!C:Q,8,false)</f>
        <v>BIAN</v>
      </c>
      <c r="P3474" s="65">
        <f>VLOOKUP(E3474,DATABASE!C:Q,9,False)</f>
        <v>1</v>
      </c>
      <c r="Q3474" s="93" t="str">
        <f>VLOOKUP(E3474,DATABASE!C:Q,4,false)</f>
        <v>GT</v>
      </c>
      <c r="R3474" s="93" t="str">
        <f>VLOOKUP(E3474,DATABASE!C:Q,11,false)</f>
        <v>Tire</v>
      </c>
    </row>
    <row r="3475" ht="22.5" customHeight="1">
      <c r="A3475" s="49"/>
      <c r="C3475" s="384">
        <v>45842.0</v>
      </c>
      <c r="D3475" s="65">
        <v>6326.0</v>
      </c>
      <c r="E3475" s="445" t="s">
        <v>591</v>
      </c>
      <c r="F3475" s="386">
        <v>2.0</v>
      </c>
      <c r="G3475" s="74">
        <v>700000.0</v>
      </c>
      <c r="H3475" s="74">
        <v>0.0</v>
      </c>
      <c r="I3475" s="74">
        <f t="shared" si="1"/>
        <v>1400000</v>
      </c>
      <c r="J3475" s="74">
        <f>IF(E3475="SERVICE",I3475-(I3475*50%),Vlookup(E3475,DATABASE!C:Q,10,false)*F3475)</f>
        <v>0</v>
      </c>
      <c r="K3475" s="74">
        <f>VLOOKUP(E3475,DATABASE!C:Q,7,false)</f>
        <v>633035.16</v>
      </c>
      <c r="L3475" s="74">
        <v>593488.4</v>
      </c>
      <c r="M3475" s="74">
        <f t="shared" si="2"/>
        <v>595000</v>
      </c>
      <c r="N3475" s="74">
        <f t="shared" si="3"/>
        <v>210000</v>
      </c>
      <c r="O3475" s="65" t="str">
        <f>VLOOKUP(E3475,DATABASE!C:Q,8,false)</f>
        <v>IBU</v>
      </c>
      <c r="P3475" s="65">
        <f>VLOOKUP(E3475,DATABASE!C:Q,9,False)</f>
        <v>1</v>
      </c>
      <c r="Q3475" s="93" t="str">
        <f>VLOOKUP(E3475,DATABASE!C:Q,4,false)</f>
        <v>Bridgestone</v>
      </c>
      <c r="R3475" s="93" t="str">
        <f>VLOOKUP(E3475,DATABASE!C:Q,11,false)</f>
        <v>Tire</v>
      </c>
    </row>
    <row r="3476" ht="22.5" customHeight="1">
      <c r="A3476" s="49"/>
      <c r="C3476" s="384">
        <v>45842.0</v>
      </c>
      <c r="D3476" s="65">
        <v>6326.0</v>
      </c>
      <c r="E3476" s="385" t="s">
        <v>299</v>
      </c>
      <c r="F3476" s="386">
        <v>2.0</v>
      </c>
      <c r="G3476" s="74">
        <v>30000.0</v>
      </c>
      <c r="H3476" s="74">
        <v>0.0</v>
      </c>
      <c r="I3476" s="74">
        <f t="shared" si="1"/>
        <v>60000</v>
      </c>
      <c r="J3476" s="74">
        <f>IF(E3476="SERVICE",I3476-(I3476*50%),Vlookup(E3476,DATABASE!C:Q,10,false)*F3476)</f>
        <v>0</v>
      </c>
      <c r="K3476" s="74">
        <v>0.0</v>
      </c>
      <c r="L3476" s="74">
        <v>0.0</v>
      </c>
      <c r="M3476" s="74">
        <f t="shared" si="2"/>
        <v>0</v>
      </c>
      <c r="N3476" s="74">
        <f t="shared" si="3"/>
        <v>60000</v>
      </c>
      <c r="O3476" s="65" t="str">
        <f>VLOOKUP(E3476,DATABASE!C:Q,8,false)</f>
        <v>BIAN</v>
      </c>
      <c r="P3476" s="65">
        <f>VLOOKUP(E3476,DATABASE!C:Q,9,False)</f>
        <v>0</v>
      </c>
      <c r="Q3476" s="93" t="str">
        <f>VLOOKUP(E3476,DATABASE!C:Q,4,false)</f>
        <v>Balancing</v>
      </c>
      <c r="R3476" s="93" t="str">
        <f>VLOOKUP(E3476,DATABASE!C:Q,11,false)</f>
        <v>COMPLEMENTARY</v>
      </c>
    </row>
    <row r="3477" ht="22.5" customHeight="1">
      <c r="A3477" s="49"/>
      <c r="C3477" s="384">
        <v>45842.0</v>
      </c>
      <c r="D3477" s="65">
        <v>6326.0</v>
      </c>
      <c r="E3477" s="445" t="s">
        <v>256</v>
      </c>
      <c r="F3477" s="386">
        <v>1.0</v>
      </c>
      <c r="G3477" s="74">
        <v>130000.0</v>
      </c>
      <c r="H3477" s="74">
        <v>0.0</v>
      </c>
      <c r="I3477" s="74">
        <f t="shared" si="1"/>
        <v>130000</v>
      </c>
      <c r="J3477" s="74">
        <f>IF(E3477="SERVICE",I3477-(I3477*50%),Vlookup(E3477,DATABASE!C:Q,10,false)*F3477)</f>
        <v>10000</v>
      </c>
      <c r="K3477" s="74">
        <f>VLOOKUP(E3477,DATABASE!C:Q,7,false)</f>
        <v>0</v>
      </c>
      <c r="L3477" s="74">
        <v>0.0</v>
      </c>
      <c r="M3477" s="74">
        <f t="shared" si="2"/>
        <v>0</v>
      </c>
      <c r="N3477" s="74">
        <f t="shared" si="3"/>
        <v>120000</v>
      </c>
      <c r="O3477" s="65" t="str">
        <f>VLOOKUP(E3477,DATABASE!C:Q,8,false)</f>
        <v>IBU</v>
      </c>
      <c r="P3477" s="65">
        <f>VLOOKUP(E3477,DATABASE!C:Q,9,False)</f>
        <v>0</v>
      </c>
      <c r="Q3477" s="93" t="str">
        <f>VLOOKUP(E3477,DATABASE!C:Q,4,false)</f>
        <v>SPOORING</v>
      </c>
      <c r="R3477" s="93" t="str">
        <f>VLOOKUP(E3477,DATABASE!C:Q,11,false)</f>
        <v>SERVICE</v>
      </c>
    </row>
    <row r="3478" ht="22.5" customHeight="1">
      <c r="A3478" s="49"/>
      <c r="C3478" s="384">
        <v>45842.0</v>
      </c>
      <c r="D3478" s="65">
        <v>6326.0</v>
      </c>
      <c r="E3478" s="445" t="s">
        <v>301</v>
      </c>
      <c r="F3478" s="386">
        <v>1.0</v>
      </c>
      <c r="G3478" s="74">
        <v>250000.0</v>
      </c>
      <c r="H3478" s="74">
        <v>0.0</v>
      </c>
      <c r="I3478" s="74">
        <f t="shared" si="1"/>
        <v>250000</v>
      </c>
      <c r="J3478" s="74">
        <f>IF(E3478="SERVICE",I3478-(I3478*50%),Vlookup(E3478,DATABASE!C:Q,10,false)*F3478)</f>
        <v>75000</v>
      </c>
      <c r="K3478" s="74">
        <f>VLOOKUP(E3478,DATABASE!C:Q,7,false)</f>
        <v>75000</v>
      </c>
      <c r="L3478" s="74">
        <v>75000.0</v>
      </c>
      <c r="M3478" s="74">
        <f t="shared" si="2"/>
        <v>75000</v>
      </c>
      <c r="N3478" s="74">
        <f t="shared" si="3"/>
        <v>100000</v>
      </c>
      <c r="O3478" s="65" t="str">
        <f>VLOOKUP(E3478,DATABASE!C:Q,8,false)</f>
        <v>BIAN</v>
      </c>
      <c r="P3478" s="65">
        <f>VLOOKUP(E3478,DATABASE!C:Q,9,False)</f>
        <v>0</v>
      </c>
      <c r="Q3478" s="93" t="str">
        <f>VLOOKUP(E3478,DATABASE!C:Q,4,false)</f>
        <v>Baut Camber</v>
      </c>
      <c r="R3478" s="93" t="str">
        <f>VLOOKUP(E3478,DATABASE!C:Q,11,false)</f>
        <v>COMPLEMENTARY</v>
      </c>
    </row>
    <row r="3479" ht="22.5" customHeight="1">
      <c r="A3479" s="49"/>
      <c r="C3479" s="384">
        <v>45842.0</v>
      </c>
      <c r="D3479" s="65">
        <v>6327.0</v>
      </c>
      <c r="E3479" s="445" t="s">
        <v>294</v>
      </c>
      <c r="F3479" s="386">
        <v>1.0</v>
      </c>
      <c r="G3479" s="74">
        <v>570000.0</v>
      </c>
      <c r="H3479" s="74">
        <v>0.0</v>
      </c>
      <c r="I3479" s="74">
        <f t="shared" si="1"/>
        <v>570000</v>
      </c>
      <c r="J3479" s="74">
        <f>IF(E3479="SERVICE",I3479-(I3479*50%),Vlookup(E3479,DATABASE!C:Q,10,false)*F3479)</f>
        <v>0</v>
      </c>
      <c r="K3479" s="74">
        <f>VLOOKUP(E3479,DATABASE!C:Q,7,false)</f>
        <v>505000</v>
      </c>
      <c r="L3479" s="74">
        <v>490000.0</v>
      </c>
      <c r="M3479" s="74">
        <f t="shared" si="2"/>
        <v>490000</v>
      </c>
      <c r="N3479" s="74">
        <f t="shared" si="3"/>
        <v>80000</v>
      </c>
      <c r="O3479" s="65" t="str">
        <f>VLOOKUP(E3479,DATABASE!C:Q,8,false)</f>
        <v>BIAN</v>
      </c>
      <c r="P3479" s="65">
        <f>VLOOKUP(E3479,DATABASE!C:Q,9,False)</f>
        <v>1</v>
      </c>
      <c r="Q3479" s="93" t="str">
        <f>VLOOKUP(E3479,DATABASE!C:Q,4,false)</f>
        <v>GT</v>
      </c>
      <c r="R3479" s="93" t="str">
        <f>VLOOKUP(E3479,DATABASE!C:Q,11,false)</f>
        <v>Tire</v>
      </c>
    </row>
    <row r="3480" ht="22.5" customHeight="1">
      <c r="A3480" s="49"/>
      <c r="C3480" s="384">
        <v>45842.0</v>
      </c>
      <c r="D3480" s="65">
        <v>6328.0</v>
      </c>
      <c r="E3480" s="385" t="s">
        <v>299</v>
      </c>
      <c r="F3480" s="386">
        <v>2.0</v>
      </c>
      <c r="G3480" s="74">
        <v>30000.0</v>
      </c>
      <c r="H3480" s="74">
        <v>0.0</v>
      </c>
      <c r="I3480" s="74">
        <f t="shared" si="1"/>
        <v>60000</v>
      </c>
      <c r="J3480" s="74">
        <f>IF(E3480="SERVICE",I3480-(I3480*50%),Vlookup(E3480,DATABASE!C:Q,10,false)*F3480)</f>
        <v>0</v>
      </c>
      <c r="K3480" s="74">
        <v>0.0</v>
      </c>
      <c r="L3480" s="74">
        <v>0.0</v>
      </c>
      <c r="M3480" s="74">
        <f t="shared" si="2"/>
        <v>0</v>
      </c>
      <c r="N3480" s="74">
        <f t="shared" si="3"/>
        <v>60000</v>
      </c>
      <c r="O3480" s="65" t="str">
        <f>VLOOKUP(E3480,DATABASE!C:Q,8,false)</f>
        <v>BIAN</v>
      </c>
      <c r="P3480" s="65">
        <f>VLOOKUP(E3480,DATABASE!C:Q,9,False)</f>
        <v>0</v>
      </c>
      <c r="Q3480" s="93" t="str">
        <f>VLOOKUP(E3480,DATABASE!C:Q,4,false)</f>
        <v>Balancing</v>
      </c>
      <c r="R3480" s="93" t="str">
        <f>VLOOKUP(E3480,DATABASE!C:Q,11,false)</f>
        <v>COMPLEMENTARY</v>
      </c>
    </row>
    <row r="3481" ht="22.5" customHeight="1">
      <c r="A3481" s="49"/>
      <c r="C3481" s="384">
        <v>45842.0</v>
      </c>
      <c r="D3481" s="65">
        <v>6328.0</v>
      </c>
      <c r="E3481" s="445" t="s">
        <v>256</v>
      </c>
      <c r="F3481" s="386">
        <v>1.0</v>
      </c>
      <c r="G3481" s="74">
        <v>130000.0</v>
      </c>
      <c r="H3481" s="74">
        <v>0.0</v>
      </c>
      <c r="I3481" s="74">
        <f t="shared" si="1"/>
        <v>130000</v>
      </c>
      <c r="J3481" s="74">
        <f>IF(E3481="SERVICE",I3481-(I3481*50%),Vlookup(E3481,DATABASE!C:Q,10,false)*F3481)</f>
        <v>10000</v>
      </c>
      <c r="K3481" s="74">
        <f>VLOOKUP(E3481,DATABASE!C:Q,7,false)</f>
        <v>0</v>
      </c>
      <c r="L3481" s="74">
        <v>0.0</v>
      </c>
      <c r="M3481" s="74">
        <f t="shared" si="2"/>
        <v>0</v>
      </c>
      <c r="N3481" s="74">
        <f t="shared" si="3"/>
        <v>120000</v>
      </c>
      <c r="O3481" s="65" t="str">
        <f>VLOOKUP(E3481,DATABASE!C:Q,8,false)</f>
        <v>IBU</v>
      </c>
      <c r="P3481" s="65">
        <f>VLOOKUP(E3481,DATABASE!C:Q,9,False)</f>
        <v>0</v>
      </c>
      <c r="Q3481" s="93" t="str">
        <f>VLOOKUP(E3481,DATABASE!C:Q,4,false)</f>
        <v>SPOORING</v>
      </c>
      <c r="R3481" s="93" t="str">
        <f>VLOOKUP(E3481,DATABASE!C:Q,11,false)</f>
        <v>SERVICE</v>
      </c>
    </row>
    <row r="3482" ht="22.5" customHeight="1">
      <c r="A3482" s="49"/>
      <c r="C3482" s="384">
        <v>45842.0</v>
      </c>
      <c r="D3482" s="65">
        <v>6328.0</v>
      </c>
      <c r="E3482" s="445" t="s">
        <v>301</v>
      </c>
      <c r="F3482" s="386">
        <v>1.0</v>
      </c>
      <c r="G3482" s="74">
        <v>250000.0</v>
      </c>
      <c r="H3482" s="74">
        <v>0.0</v>
      </c>
      <c r="I3482" s="74">
        <f t="shared" si="1"/>
        <v>250000</v>
      </c>
      <c r="J3482" s="74">
        <f>IF(E3482="SERVICE",I3482-(I3482*50%),Vlookup(E3482,DATABASE!C:Q,10,false)*F3482)</f>
        <v>75000</v>
      </c>
      <c r="K3482" s="74">
        <f>VLOOKUP(E3482,DATABASE!C:Q,7,false)</f>
        <v>75000</v>
      </c>
      <c r="L3482" s="74">
        <v>75000.0</v>
      </c>
      <c r="M3482" s="74">
        <f t="shared" si="2"/>
        <v>75000</v>
      </c>
      <c r="N3482" s="74">
        <f t="shared" si="3"/>
        <v>100000</v>
      </c>
      <c r="O3482" s="65" t="str">
        <f>VLOOKUP(E3482,DATABASE!C:Q,8,false)</f>
        <v>BIAN</v>
      </c>
      <c r="P3482" s="65">
        <f>VLOOKUP(E3482,DATABASE!C:Q,9,False)</f>
        <v>0</v>
      </c>
      <c r="Q3482" s="93" t="str">
        <f>VLOOKUP(E3482,DATABASE!C:Q,4,false)</f>
        <v>Baut Camber</v>
      </c>
      <c r="R3482" s="93" t="str">
        <f>VLOOKUP(E3482,DATABASE!C:Q,11,false)</f>
        <v>COMPLEMENTARY</v>
      </c>
    </row>
    <row r="3483" ht="22.5" customHeight="1">
      <c r="A3483" s="49"/>
      <c r="C3483" s="384">
        <v>45842.0</v>
      </c>
      <c r="D3483" s="65">
        <v>6329.0</v>
      </c>
      <c r="E3483" s="445" t="s">
        <v>600</v>
      </c>
      <c r="F3483" s="386">
        <v>2.0</v>
      </c>
      <c r="G3483" s="74">
        <v>675000.0</v>
      </c>
      <c r="H3483" s="74">
        <v>0.0</v>
      </c>
      <c r="I3483" s="74">
        <f t="shared" si="1"/>
        <v>1350000</v>
      </c>
      <c r="J3483" s="74">
        <f>IF(E3483="SERVICE",I3483-(I3483*50%),Vlookup(E3483,DATABASE!C:Q,10,false)*F3483)</f>
        <v>0</v>
      </c>
      <c r="K3483" s="74">
        <f>VLOOKUP(E3483,DATABASE!C:Q,7,false)</f>
        <v>611109.16</v>
      </c>
      <c r="L3483" s="74">
        <v>572762.4</v>
      </c>
      <c r="M3483" s="74">
        <f t="shared" si="2"/>
        <v>575000</v>
      </c>
      <c r="N3483" s="74">
        <f t="shared" si="3"/>
        <v>200000</v>
      </c>
      <c r="O3483" s="65" t="str">
        <f>VLOOKUP(E3483,DATABASE!C:Q,8,false)</f>
        <v>IBU</v>
      </c>
      <c r="P3483" s="65">
        <f>VLOOKUP(E3483,DATABASE!C:Q,9,False)</f>
        <v>1</v>
      </c>
      <c r="Q3483" s="93" t="str">
        <f>VLOOKUP(E3483,DATABASE!C:Q,4,false)</f>
        <v>Bridgestone</v>
      </c>
      <c r="R3483" s="93" t="str">
        <f>VLOOKUP(E3483,DATABASE!C:Q,11,false)</f>
        <v>Tire</v>
      </c>
    </row>
    <row r="3484" ht="22.5" customHeight="1">
      <c r="A3484" s="49"/>
      <c r="C3484" s="384">
        <v>45842.0</v>
      </c>
      <c r="D3484" s="65">
        <v>6330.0</v>
      </c>
      <c r="E3484" s="445" t="s">
        <v>1394</v>
      </c>
      <c r="F3484" s="386">
        <v>2.0</v>
      </c>
      <c r="G3484" s="74">
        <v>510000.0</v>
      </c>
      <c r="H3484" s="74">
        <v>0.0</v>
      </c>
      <c r="I3484" s="74">
        <f t="shared" si="1"/>
        <v>1020000</v>
      </c>
      <c r="J3484" s="74">
        <f>IF(E3484="SERVICE",I3484-(I3484*50%),Vlookup(E3484,DATABASE!C:Q,10,false)*F3484)</f>
        <v>0</v>
      </c>
      <c r="K3484" s="74">
        <f>VLOOKUP(E3484,DATABASE!C:Q,7,false)</f>
        <v>465000</v>
      </c>
      <c r="L3484" s="74">
        <v>455000.0</v>
      </c>
      <c r="M3484" s="74">
        <f t="shared" si="2"/>
        <v>455000</v>
      </c>
      <c r="N3484" s="74">
        <f t="shared" si="3"/>
        <v>110000</v>
      </c>
      <c r="O3484" s="65" t="str">
        <f>VLOOKUP(E3484,DATABASE!C:Q,8,false)</f>
        <v>IBU</v>
      </c>
      <c r="P3484" s="65">
        <f>VLOOKUP(E3484,DATABASE!C:Q,9,False)</f>
        <v>1</v>
      </c>
      <c r="Q3484" s="93" t="str">
        <f>VLOOKUP(E3484,DATABASE!C:Q,4,false)</f>
        <v>Dunlop</v>
      </c>
      <c r="R3484" s="93" t="str">
        <f>VLOOKUP(E3484,DATABASE!C:Q,11,false)</f>
        <v>Tire</v>
      </c>
    </row>
    <row r="3485" ht="22.5" customHeight="1">
      <c r="A3485" s="49"/>
      <c r="C3485" s="384">
        <v>45842.0</v>
      </c>
      <c r="D3485" s="65">
        <v>6331.0</v>
      </c>
      <c r="E3485" s="445" t="s">
        <v>256</v>
      </c>
      <c r="F3485" s="386">
        <v>1.0</v>
      </c>
      <c r="G3485" s="74">
        <v>130000.0</v>
      </c>
      <c r="H3485" s="74">
        <v>0.0</v>
      </c>
      <c r="I3485" s="74">
        <f t="shared" si="1"/>
        <v>130000</v>
      </c>
      <c r="J3485" s="74">
        <f>IF(E3485="SERVICE",I3485-(I3485*50%),Vlookup(E3485,DATABASE!C:Q,10,false)*F3485)</f>
        <v>10000</v>
      </c>
      <c r="K3485" s="74">
        <f>VLOOKUP(E3485,DATABASE!C:Q,7,false)</f>
        <v>0</v>
      </c>
      <c r="L3485" s="74">
        <v>0.0</v>
      </c>
      <c r="M3485" s="74">
        <f t="shared" si="2"/>
        <v>0</v>
      </c>
      <c r="N3485" s="74">
        <f t="shared" si="3"/>
        <v>120000</v>
      </c>
      <c r="O3485" s="65" t="str">
        <f>VLOOKUP(E3485,DATABASE!C:Q,8,false)</f>
        <v>IBU</v>
      </c>
      <c r="P3485" s="65">
        <f>VLOOKUP(E3485,DATABASE!C:Q,9,False)</f>
        <v>0</v>
      </c>
      <c r="Q3485" s="93" t="str">
        <f>VLOOKUP(E3485,DATABASE!C:Q,4,false)</f>
        <v>SPOORING</v>
      </c>
      <c r="R3485" s="93" t="str">
        <f>VLOOKUP(E3485,DATABASE!C:Q,11,false)</f>
        <v>SERVICE</v>
      </c>
    </row>
    <row r="3486" ht="22.5" customHeight="1">
      <c r="A3486" s="49"/>
      <c r="C3486" s="384">
        <v>45842.0</v>
      </c>
      <c r="D3486" s="65">
        <v>6331.0</v>
      </c>
      <c r="E3486" s="385" t="s">
        <v>299</v>
      </c>
      <c r="F3486" s="386">
        <v>2.0</v>
      </c>
      <c r="G3486" s="74">
        <v>30000.0</v>
      </c>
      <c r="H3486" s="74">
        <v>0.0</v>
      </c>
      <c r="I3486" s="74">
        <f t="shared" si="1"/>
        <v>60000</v>
      </c>
      <c r="J3486" s="74">
        <f>IF(E3486="SERVICE",I3486-(I3486*50%),Vlookup(E3486,DATABASE!C:Q,10,false)*F3486)</f>
        <v>0</v>
      </c>
      <c r="K3486" s="74">
        <v>0.0</v>
      </c>
      <c r="L3486" s="74">
        <v>0.0</v>
      </c>
      <c r="M3486" s="74">
        <f t="shared" si="2"/>
        <v>0</v>
      </c>
      <c r="N3486" s="74">
        <f t="shared" si="3"/>
        <v>60000</v>
      </c>
      <c r="O3486" s="65" t="str">
        <f>VLOOKUP(E3486,DATABASE!C:Q,8,false)</f>
        <v>BIAN</v>
      </c>
      <c r="P3486" s="65">
        <f>VLOOKUP(E3486,DATABASE!C:Q,9,False)</f>
        <v>0</v>
      </c>
      <c r="Q3486" s="93" t="str">
        <f>VLOOKUP(E3486,DATABASE!C:Q,4,false)</f>
        <v>Balancing</v>
      </c>
      <c r="R3486" s="93" t="str">
        <f>VLOOKUP(E3486,DATABASE!C:Q,11,false)</f>
        <v>COMPLEMENTARY</v>
      </c>
    </row>
    <row r="3487" ht="22.5" customHeight="1">
      <c r="A3487" s="49"/>
      <c r="C3487" s="384">
        <v>45842.0</v>
      </c>
      <c r="D3487" s="65">
        <v>6332.0</v>
      </c>
      <c r="E3487" s="445" t="s">
        <v>256</v>
      </c>
      <c r="F3487" s="386">
        <v>1.0</v>
      </c>
      <c r="G3487" s="74">
        <v>130000.0</v>
      </c>
      <c r="H3487" s="74">
        <v>0.0</v>
      </c>
      <c r="I3487" s="74">
        <f t="shared" si="1"/>
        <v>130000</v>
      </c>
      <c r="J3487" s="74">
        <f>IF(E3487="SERVICE",I3487-(I3487*50%),Vlookup(E3487,DATABASE!C:Q,10,false)*F3487)</f>
        <v>10000</v>
      </c>
      <c r="K3487" s="74">
        <f>VLOOKUP(E3487,DATABASE!C:Q,7,false)</f>
        <v>0</v>
      </c>
      <c r="L3487" s="74">
        <v>0.0</v>
      </c>
      <c r="M3487" s="74">
        <f t="shared" si="2"/>
        <v>0</v>
      </c>
      <c r="N3487" s="74">
        <f t="shared" si="3"/>
        <v>120000</v>
      </c>
      <c r="O3487" s="65" t="str">
        <f>VLOOKUP(E3487,DATABASE!C:Q,8,false)</f>
        <v>IBU</v>
      </c>
      <c r="P3487" s="65">
        <f>VLOOKUP(E3487,DATABASE!C:Q,9,False)</f>
        <v>0</v>
      </c>
      <c r="Q3487" s="93" t="str">
        <f>VLOOKUP(E3487,DATABASE!C:Q,4,false)</f>
        <v>SPOORING</v>
      </c>
      <c r="R3487" s="93" t="str">
        <f>VLOOKUP(E3487,DATABASE!C:Q,11,false)</f>
        <v>SERVICE</v>
      </c>
    </row>
    <row r="3488" ht="22.5" customHeight="1">
      <c r="A3488" s="49"/>
      <c r="C3488" s="384">
        <v>45842.0</v>
      </c>
      <c r="D3488" s="65">
        <v>6332.0</v>
      </c>
      <c r="E3488" s="445" t="s">
        <v>301</v>
      </c>
      <c r="F3488" s="386">
        <v>1.0</v>
      </c>
      <c r="G3488" s="74">
        <v>250000.0</v>
      </c>
      <c r="H3488" s="74">
        <v>0.0</v>
      </c>
      <c r="I3488" s="74">
        <f t="shared" si="1"/>
        <v>250000</v>
      </c>
      <c r="J3488" s="74">
        <f>IF(E3488="SERVICE",I3488-(I3488*50%),Vlookup(E3488,DATABASE!C:Q,10,false)*F3488)</f>
        <v>75000</v>
      </c>
      <c r="K3488" s="74">
        <f>VLOOKUP(E3488,DATABASE!C:Q,7,false)</f>
        <v>75000</v>
      </c>
      <c r="L3488" s="74">
        <v>75000.0</v>
      </c>
      <c r="M3488" s="74">
        <f t="shared" si="2"/>
        <v>75000</v>
      </c>
      <c r="N3488" s="74">
        <f t="shared" si="3"/>
        <v>100000</v>
      </c>
      <c r="O3488" s="65" t="str">
        <f>VLOOKUP(E3488,DATABASE!C:Q,8,false)</f>
        <v>BIAN</v>
      </c>
      <c r="P3488" s="65">
        <f>VLOOKUP(E3488,DATABASE!C:Q,9,False)</f>
        <v>0</v>
      </c>
      <c r="Q3488" s="93" t="str">
        <f>VLOOKUP(E3488,DATABASE!C:Q,4,false)</f>
        <v>Baut Camber</v>
      </c>
      <c r="R3488" s="93" t="str">
        <f>VLOOKUP(E3488,DATABASE!C:Q,11,false)</f>
        <v>COMPLEMENTARY</v>
      </c>
    </row>
    <row r="3489" ht="22.5" customHeight="1">
      <c r="A3489" s="49"/>
      <c r="C3489" s="384">
        <v>45842.0</v>
      </c>
      <c r="D3489" s="65">
        <v>6333.0</v>
      </c>
      <c r="E3489" s="445" t="s">
        <v>262</v>
      </c>
      <c r="F3489" s="386">
        <v>1.0</v>
      </c>
      <c r="G3489" s="74">
        <v>110000.0</v>
      </c>
      <c r="H3489" s="74">
        <v>0.0</v>
      </c>
      <c r="I3489" s="74">
        <f t="shared" si="1"/>
        <v>110000</v>
      </c>
      <c r="J3489" s="74">
        <f>IF(E3489="SERVICE",I3489-(I3489*50%),Vlookup(E3489,DATABASE!C:Q,10,false)*F3489)</f>
        <v>5000</v>
      </c>
      <c r="K3489" s="74">
        <f>VLOOKUP(E3489,DATABASE!C:Q,7,false)</f>
        <v>0</v>
      </c>
      <c r="L3489" s="74">
        <v>0.0</v>
      </c>
      <c r="M3489" s="74">
        <f t="shared" si="2"/>
        <v>0</v>
      </c>
      <c r="N3489" s="74">
        <f t="shared" si="3"/>
        <v>105000</v>
      </c>
      <c r="O3489" s="65" t="str">
        <f>VLOOKUP(E3489,DATABASE!C:Q,8,false)</f>
        <v>IBU</v>
      </c>
      <c r="P3489" s="65">
        <f>VLOOKUP(E3489,DATABASE!C:Q,9,False)</f>
        <v>0</v>
      </c>
      <c r="Q3489" s="93" t="str">
        <f>VLOOKUP(E3489,DATABASE!C:Q,4,false)</f>
        <v>SPOORING SS/CARRY LOS BAK</v>
      </c>
      <c r="R3489" s="93" t="str">
        <f>VLOOKUP(E3489,DATABASE!C:Q,11,false)</f>
        <v>SERVICE</v>
      </c>
    </row>
    <row r="3490" ht="22.5" customHeight="1">
      <c r="A3490" s="49"/>
      <c r="C3490" s="384">
        <v>45842.0</v>
      </c>
      <c r="D3490" s="65">
        <v>6335.0</v>
      </c>
      <c r="E3490" s="445" t="s">
        <v>256</v>
      </c>
      <c r="F3490" s="386">
        <v>1.0</v>
      </c>
      <c r="G3490" s="74">
        <v>130000.0</v>
      </c>
      <c r="H3490" s="74">
        <v>0.0</v>
      </c>
      <c r="I3490" s="74">
        <f t="shared" si="1"/>
        <v>130000</v>
      </c>
      <c r="J3490" s="74">
        <f>IF(E3490="SERVICE",I3490-(I3490*50%),Vlookup(E3490,DATABASE!C:Q,10,false)*F3490)</f>
        <v>10000</v>
      </c>
      <c r="K3490" s="74">
        <f>VLOOKUP(E3490,DATABASE!C:Q,7,false)</f>
        <v>0</v>
      </c>
      <c r="L3490" s="74">
        <v>0.0</v>
      </c>
      <c r="M3490" s="74">
        <f t="shared" si="2"/>
        <v>0</v>
      </c>
      <c r="N3490" s="74">
        <f t="shared" si="3"/>
        <v>120000</v>
      </c>
      <c r="O3490" s="65" t="str">
        <f>VLOOKUP(E3490,DATABASE!C:Q,8,false)</f>
        <v>IBU</v>
      </c>
      <c r="P3490" s="65">
        <f>VLOOKUP(E3490,DATABASE!C:Q,9,False)</f>
        <v>0</v>
      </c>
      <c r="Q3490" s="93" t="str">
        <f>VLOOKUP(E3490,DATABASE!C:Q,4,false)</f>
        <v>SPOORING</v>
      </c>
      <c r="R3490" s="93" t="str">
        <f>VLOOKUP(E3490,DATABASE!C:Q,11,false)</f>
        <v>SERVICE</v>
      </c>
    </row>
    <row r="3491" ht="22.5" customHeight="1">
      <c r="A3491" s="49"/>
      <c r="C3491" s="384">
        <v>45842.0</v>
      </c>
      <c r="D3491" s="65">
        <v>6336.0</v>
      </c>
      <c r="E3491" s="385" t="s">
        <v>299</v>
      </c>
      <c r="F3491" s="386">
        <v>2.0</v>
      </c>
      <c r="G3491" s="74">
        <v>30000.0</v>
      </c>
      <c r="H3491" s="74">
        <v>0.0</v>
      </c>
      <c r="I3491" s="74">
        <f t="shared" si="1"/>
        <v>60000</v>
      </c>
      <c r="J3491" s="74">
        <f>IF(E3491="SERVICE",I3491-(I3491*50%),Vlookup(E3491,DATABASE!C:Q,10,false)*F3491)</f>
        <v>0</v>
      </c>
      <c r="K3491" s="74">
        <v>0.0</v>
      </c>
      <c r="L3491" s="74">
        <v>0.0</v>
      </c>
      <c r="M3491" s="74">
        <f t="shared" si="2"/>
        <v>0</v>
      </c>
      <c r="N3491" s="74">
        <f t="shared" si="3"/>
        <v>60000</v>
      </c>
      <c r="O3491" s="65" t="str">
        <f>VLOOKUP(E3491,DATABASE!C:Q,8,false)</f>
        <v>BIAN</v>
      </c>
      <c r="P3491" s="65">
        <f>VLOOKUP(E3491,DATABASE!C:Q,9,False)</f>
        <v>0</v>
      </c>
      <c r="Q3491" s="93" t="str">
        <f>VLOOKUP(E3491,DATABASE!C:Q,4,false)</f>
        <v>Balancing</v>
      </c>
      <c r="R3491" s="93" t="str">
        <f>VLOOKUP(E3491,DATABASE!C:Q,11,false)</f>
        <v>COMPLEMENTARY</v>
      </c>
    </row>
    <row r="3492" ht="22.5" customHeight="1">
      <c r="A3492" s="49"/>
      <c r="C3492" s="384">
        <v>45842.0</v>
      </c>
      <c r="D3492" s="65">
        <v>6337.0</v>
      </c>
      <c r="E3492" s="445" t="s">
        <v>294</v>
      </c>
      <c r="F3492" s="386">
        <v>1.0</v>
      </c>
      <c r="G3492" s="74">
        <v>570000.0</v>
      </c>
      <c r="H3492" s="74">
        <v>0.0</v>
      </c>
      <c r="I3492" s="74">
        <f t="shared" si="1"/>
        <v>570000</v>
      </c>
      <c r="J3492" s="74">
        <f>IF(E3492="SERVICE",I3492-(I3492*50%),Vlookup(E3492,DATABASE!C:Q,10,false)*F3492)</f>
        <v>0</v>
      </c>
      <c r="K3492" s="74">
        <f>VLOOKUP(E3492,DATABASE!C:Q,7,false)</f>
        <v>505000</v>
      </c>
      <c r="L3492" s="74">
        <v>490000.0</v>
      </c>
      <c r="M3492" s="74">
        <f t="shared" si="2"/>
        <v>490000</v>
      </c>
      <c r="N3492" s="74">
        <f t="shared" si="3"/>
        <v>80000</v>
      </c>
      <c r="O3492" s="65" t="str">
        <f>VLOOKUP(E3492,DATABASE!C:Q,8,false)</f>
        <v>BIAN</v>
      </c>
      <c r="P3492" s="65">
        <f>VLOOKUP(E3492,DATABASE!C:Q,9,False)</f>
        <v>1</v>
      </c>
      <c r="Q3492" s="93" t="str">
        <f>VLOOKUP(E3492,DATABASE!C:Q,4,false)</f>
        <v>GT</v>
      </c>
      <c r="R3492" s="93" t="str">
        <f>VLOOKUP(E3492,DATABASE!C:Q,11,false)</f>
        <v>Tire</v>
      </c>
    </row>
    <row r="3493" ht="22.5" customHeight="1">
      <c r="A3493" s="49"/>
      <c r="C3493" s="384">
        <v>45842.0</v>
      </c>
      <c r="D3493" s="65">
        <v>6338.0</v>
      </c>
      <c r="E3493" s="445" t="s">
        <v>613</v>
      </c>
      <c r="F3493" s="386">
        <v>1.0</v>
      </c>
      <c r="G3493" s="74">
        <v>95000.0</v>
      </c>
      <c r="H3493" s="74">
        <v>0.0</v>
      </c>
      <c r="I3493" s="74">
        <f t="shared" si="1"/>
        <v>95000</v>
      </c>
      <c r="J3493" s="74">
        <f>IF(E3493="SERVICE",I3493-(I3493*50%),Vlookup(E3493,DATABASE!C:Q,10,false)*F3493)</f>
        <v>0</v>
      </c>
      <c r="K3493" s="74">
        <f>VLOOKUP(E3493,DATABASE!C:Q,7,false)</f>
        <v>58371.2695</v>
      </c>
      <c r="L3493" s="74">
        <v>55000.0</v>
      </c>
      <c r="M3493" s="74">
        <f t="shared" si="2"/>
        <v>55000</v>
      </c>
      <c r="N3493" s="74">
        <f t="shared" si="3"/>
        <v>40000</v>
      </c>
      <c r="O3493" s="65" t="str">
        <f>VLOOKUP(E3493,DATABASE!C:Q,8,false)</f>
        <v>BIAN</v>
      </c>
      <c r="P3493" s="65">
        <f>VLOOKUP(E3493,DATABASE!C:Q,9,False)</f>
        <v>1</v>
      </c>
      <c r="Q3493" s="93" t="str">
        <f>VLOOKUP(E3493,DATABASE!C:Q,4,false)</f>
        <v>BD</v>
      </c>
      <c r="R3493" s="93" t="str">
        <f>VLOOKUP(E3493,DATABASE!C:Q,11,false)</f>
        <v>Tire</v>
      </c>
    </row>
    <row r="3494" ht="22.5" customHeight="1">
      <c r="A3494" s="49"/>
      <c r="C3494" s="384">
        <v>45842.0</v>
      </c>
      <c r="D3494" s="65">
        <v>6338.0</v>
      </c>
      <c r="E3494" s="445" t="s">
        <v>251</v>
      </c>
      <c r="F3494" s="386">
        <v>1.0</v>
      </c>
      <c r="G3494" s="74">
        <v>150000.0</v>
      </c>
      <c r="H3494" s="74">
        <v>0.0</v>
      </c>
      <c r="I3494" s="74">
        <f t="shared" si="1"/>
        <v>150000</v>
      </c>
      <c r="J3494" s="74">
        <f>IF(E3494="SERVICE",I3494-(I3494*50%),Vlookup(E3494,DATABASE!C:Q,10,false)*F3494)</f>
        <v>75000</v>
      </c>
      <c r="K3494" s="74">
        <f>VLOOKUP(E3494,DATABASE!C:Q,7,false)</f>
        <v>0</v>
      </c>
      <c r="L3494" s="74">
        <v>0.0</v>
      </c>
      <c r="M3494" s="74">
        <f t="shared" si="2"/>
        <v>0</v>
      </c>
      <c r="N3494" s="74">
        <f t="shared" si="3"/>
        <v>75000</v>
      </c>
      <c r="O3494" s="65" t="str">
        <f>VLOOKUP(E3494,DATABASE!C:Q,8,false)</f>
        <v>IBU</v>
      </c>
      <c r="P3494" s="65">
        <f>VLOOKUP(E3494,DATABASE!C:Q,9,False)</f>
        <v>0</v>
      </c>
      <c r="Q3494" s="93" t="str">
        <f>VLOOKUP(E3494,DATABASE!C:Q,4,false)</f>
        <v>SERVICE</v>
      </c>
      <c r="R3494" s="93" t="str">
        <f>VLOOKUP(E3494,DATABASE!C:Q,11,false)</f>
        <v>SERVICE</v>
      </c>
    </row>
    <row r="3495" ht="22.5" customHeight="1">
      <c r="A3495" s="49"/>
      <c r="C3495" s="384">
        <v>45842.0</v>
      </c>
      <c r="D3495" s="65">
        <v>6339.0</v>
      </c>
      <c r="E3495" s="445" t="s">
        <v>1434</v>
      </c>
      <c r="F3495" s="386">
        <v>1.0</v>
      </c>
      <c r="G3495" s="74">
        <v>1050000.0</v>
      </c>
      <c r="H3495" s="74">
        <v>0.0</v>
      </c>
      <c r="I3495" s="74">
        <f t="shared" si="1"/>
        <v>1050000</v>
      </c>
      <c r="J3495" s="74">
        <f>IF(E3495="SERVICE",I3495-(I3495*50%),Vlookup(E3495,DATABASE!C:Q,10,false)*F3495)</f>
        <v>0</v>
      </c>
      <c r="K3495" s="74">
        <f>VLOOKUP(E3495,DATABASE!C:Q,7,false)</f>
        <v>904050</v>
      </c>
      <c r="L3495" s="74">
        <v>904050.0</v>
      </c>
      <c r="M3495" s="74">
        <f t="shared" si="2"/>
        <v>905000</v>
      </c>
      <c r="N3495" s="74">
        <f t="shared" si="3"/>
        <v>145000</v>
      </c>
      <c r="O3495" s="65" t="str">
        <f>VLOOKUP(E3495,DATABASE!C:Q,8,false)</f>
        <v>BIAN</v>
      </c>
      <c r="P3495" s="65">
        <f>VLOOKUP(E3495,DATABASE!C:Q,9,False)</f>
        <v>1</v>
      </c>
      <c r="Q3495" s="93" t="str">
        <f>VLOOKUP(E3495,DATABASE!C:Q,4,false)</f>
        <v>GT</v>
      </c>
      <c r="R3495" s="93" t="str">
        <f>VLOOKUP(E3495,DATABASE!C:Q,11,false)</f>
        <v>Tire</v>
      </c>
    </row>
    <row r="3496" ht="22.5" customHeight="1">
      <c r="A3496" s="49"/>
      <c r="C3496" s="384">
        <v>45842.0</v>
      </c>
      <c r="D3496" s="65">
        <v>6341.0</v>
      </c>
      <c r="E3496" s="445" t="s">
        <v>246</v>
      </c>
      <c r="F3496" s="386">
        <v>1.0</v>
      </c>
      <c r="G3496" s="74">
        <v>50000.0</v>
      </c>
      <c r="H3496" s="74">
        <v>0.0</v>
      </c>
      <c r="I3496" s="74">
        <f t="shared" si="1"/>
        <v>50000</v>
      </c>
      <c r="J3496" s="74">
        <f>IF(E3496="SERVICE",I3496-(I3496*50%),Vlookup(E3496,DATABASE!C:Q,10,false)*F3496)</f>
        <v>0</v>
      </c>
      <c r="K3496" s="74">
        <f>VLOOKUP(E3496,DATABASE!C:Q,7,false)</f>
        <v>0</v>
      </c>
      <c r="L3496" s="74">
        <v>0.0</v>
      </c>
      <c r="M3496" s="74">
        <f t="shared" si="2"/>
        <v>0</v>
      </c>
      <c r="N3496" s="74">
        <f t="shared" si="3"/>
        <v>50000</v>
      </c>
      <c r="O3496" s="65" t="str">
        <f>VLOOKUP(E3496,DATABASE!C:Q,8,false)</f>
        <v>IBU</v>
      </c>
      <c r="P3496" s="65">
        <f>VLOOKUP(E3496,DATABASE!C:Q,9,False)</f>
        <v>0</v>
      </c>
      <c r="Q3496" s="93" t="str">
        <f>VLOOKUP(E3496,DATABASE!C:Q,4,false)</f>
        <v>Bongkar Pasang</v>
      </c>
      <c r="R3496" s="93" t="str">
        <f>VLOOKUP(E3496,DATABASE!C:Q,11,false)</f>
        <v>SERVICE</v>
      </c>
    </row>
    <row r="3497" ht="22.5" customHeight="1">
      <c r="A3497" s="49"/>
      <c r="C3497" s="384">
        <v>45843.0</v>
      </c>
      <c r="D3497" s="65">
        <v>6344.0</v>
      </c>
      <c r="E3497" s="445" t="s">
        <v>1009</v>
      </c>
      <c r="F3497" s="386">
        <v>4.0</v>
      </c>
      <c r="G3497" s="74">
        <v>700000.0</v>
      </c>
      <c r="H3497" s="74">
        <v>0.0</v>
      </c>
      <c r="I3497" s="74">
        <f t="shared" si="1"/>
        <v>2800000</v>
      </c>
      <c r="J3497" s="74">
        <f>IF(E3497="SERVICE",I3497-(I3497*50%),Vlookup(E3497,DATABASE!C:Q,10,false)*F3497)</f>
        <v>0</v>
      </c>
      <c r="K3497" s="74">
        <f>VLOOKUP(E3497,DATABASE!C:Q,7,false)</f>
        <v>609800</v>
      </c>
      <c r="L3497" s="74">
        <v>592200.0</v>
      </c>
      <c r="M3497" s="74">
        <f t="shared" si="2"/>
        <v>595000</v>
      </c>
      <c r="N3497" s="74">
        <f t="shared" si="3"/>
        <v>420000</v>
      </c>
      <c r="O3497" s="65" t="str">
        <f>VLOOKUP(E3497,DATABASE!C:Q,8,false)</f>
        <v>BIAN</v>
      </c>
      <c r="P3497" s="65">
        <f>VLOOKUP(E3497,DATABASE!C:Q,9,False)</f>
        <v>1</v>
      </c>
      <c r="Q3497" s="93" t="str">
        <f>VLOOKUP(E3497,DATABASE!C:Q,4,false)</f>
        <v>GT</v>
      </c>
      <c r="R3497" s="93" t="str">
        <f>VLOOKUP(E3497,DATABASE!C:Q,11,false)</f>
        <v>Tire</v>
      </c>
    </row>
    <row r="3498" ht="22.5" customHeight="1">
      <c r="A3498" s="49"/>
      <c r="C3498" s="384">
        <v>45843.0</v>
      </c>
      <c r="D3498" s="65">
        <v>6344.0</v>
      </c>
      <c r="E3498" s="445" t="s">
        <v>591</v>
      </c>
      <c r="F3498" s="386">
        <v>2.0</v>
      </c>
      <c r="G3498" s="74">
        <v>700000.0</v>
      </c>
      <c r="H3498" s="74">
        <v>0.0</v>
      </c>
      <c r="I3498" s="74">
        <f t="shared" si="1"/>
        <v>1400000</v>
      </c>
      <c r="J3498" s="74">
        <f>IF(E3498="SERVICE",I3498-(I3498*50%),Vlookup(E3498,DATABASE!C:Q,10,false)*F3498)</f>
        <v>0</v>
      </c>
      <c r="K3498" s="74">
        <f>VLOOKUP(E3498,DATABASE!C:Q,7,false)</f>
        <v>633035.16</v>
      </c>
      <c r="L3498" s="74">
        <v>593488.4</v>
      </c>
      <c r="M3498" s="74">
        <f t="shared" si="2"/>
        <v>595000</v>
      </c>
      <c r="N3498" s="74">
        <f t="shared" si="3"/>
        <v>210000</v>
      </c>
      <c r="O3498" s="65" t="str">
        <f>VLOOKUP(E3498,DATABASE!C:Q,8,false)</f>
        <v>IBU</v>
      </c>
      <c r="P3498" s="65">
        <f>VLOOKUP(E3498,DATABASE!C:Q,9,False)</f>
        <v>1</v>
      </c>
      <c r="Q3498" s="93" t="str">
        <f>VLOOKUP(E3498,DATABASE!C:Q,4,false)</f>
        <v>Bridgestone</v>
      </c>
      <c r="R3498" s="93" t="str">
        <f>VLOOKUP(E3498,DATABASE!C:Q,11,false)</f>
        <v>Tire</v>
      </c>
    </row>
    <row r="3499" ht="22.5" customHeight="1">
      <c r="A3499" s="49"/>
      <c r="C3499" s="384">
        <v>45843.0</v>
      </c>
      <c r="D3499" s="65">
        <v>6345.0</v>
      </c>
      <c r="E3499" s="445" t="s">
        <v>1894</v>
      </c>
      <c r="F3499" s="386">
        <v>1.0</v>
      </c>
      <c r="G3499" s="74">
        <v>545000.0</v>
      </c>
      <c r="H3499" s="74">
        <v>0.0</v>
      </c>
      <c r="I3499" s="74">
        <f t="shared" si="1"/>
        <v>545000</v>
      </c>
      <c r="J3499" s="74">
        <f>IF(E3499="SERVICE",I3499-(I3499*50%),Vlookup(E3499,DATABASE!C:Q,10,false)*F3499)</f>
        <v>0</v>
      </c>
      <c r="K3499" s="74">
        <f>VLOOKUP(E3499,DATABASE!C:Q,7,false)</f>
        <v>458600</v>
      </c>
      <c r="L3499" s="74">
        <v>445400.0</v>
      </c>
      <c r="M3499" s="74">
        <f t="shared" si="2"/>
        <v>450000</v>
      </c>
      <c r="N3499" s="74">
        <f t="shared" si="3"/>
        <v>95000</v>
      </c>
      <c r="O3499" s="65" t="str">
        <f>VLOOKUP(E3499,DATABASE!C:Q,8,false)</f>
        <v>BIAN</v>
      </c>
      <c r="P3499" s="65">
        <f>VLOOKUP(E3499,DATABASE!C:Q,9,False)</f>
        <v>1</v>
      </c>
      <c r="Q3499" s="93" t="str">
        <f>VLOOKUP(E3499,DATABASE!C:Q,4,false)</f>
        <v>GT</v>
      </c>
      <c r="R3499" s="93" t="str">
        <f>VLOOKUP(E3499,DATABASE!C:Q,11,false)</f>
        <v>Tire</v>
      </c>
    </row>
    <row r="3500" ht="22.5" customHeight="1">
      <c r="A3500" s="49"/>
      <c r="C3500" s="384">
        <v>45843.0</v>
      </c>
      <c r="D3500" s="65">
        <v>6348.0</v>
      </c>
      <c r="E3500" s="445" t="s">
        <v>932</v>
      </c>
      <c r="F3500" s="386">
        <v>2.0</v>
      </c>
      <c r="G3500" s="74">
        <v>700000.0</v>
      </c>
      <c r="H3500" s="74">
        <v>0.0</v>
      </c>
      <c r="I3500" s="74">
        <f t="shared" si="1"/>
        <v>1400000</v>
      </c>
      <c r="J3500" s="74">
        <f>IF(E3500="SERVICE",I3500-(I3500*50%),Vlookup(E3500,DATABASE!C:Q,10,false)*F3500)</f>
        <v>0</v>
      </c>
      <c r="K3500" s="74">
        <f>VLOOKUP(E3500,DATABASE!C:Q,7,false)</f>
        <v>601000</v>
      </c>
      <c r="L3500" s="74">
        <v>595000.0</v>
      </c>
      <c r="M3500" s="74">
        <f t="shared" si="2"/>
        <v>595000</v>
      </c>
      <c r="N3500" s="74">
        <f t="shared" si="3"/>
        <v>210000</v>
      </c>
      <c r="O3500" s="65" t="str">
        <f>VLOOKUP(E3500,DATABASE!C:Q,8,false)</f>
        <v>IBU</v>
      </c>
      <c r="P3500" s="65">
        <f>VLOOKUP(E3500,DATABASE!C:Q,9,False)</f>
        <v>1</v>
      </c>
      <c r="Q3500" s="93" t="str">
        <f>VLOOKUP(E3500,DATABASE!C:Q,4,false)</f>
        <v>Dunlop</v>
      </c>
      <c r="R3500" s="93" t="str">
        <f>VLOOKUP(E3500,DATABASE!C:Q,11,false)</f>
        <v>Tire</v>
      </c>
    </row>
    <row r="3501" ht="22.5" customHeight="1">
      <c r="A3501" s="49"/>
      <c r="C3501" s="384">
        <v>45843.0</v>
      </c>
      <c r="D3501" s="65">
        <v>6349.0</v>
      </c>
      <c r="E3501" s="385" t="s">
        <v>299</v>
      </c>
      <c r="F3501" s="386">
        <v>2.0</v>
      </c>
      <c r="G3501" s="74">
        <v>30000.0</v>
      </c>
      <c r="H3501" s="74">
        <v>0.0</v>
      </c>
      <c r="I3501" s="74">
        <f t="shared" si="1"/>
        <v>60000</v>
      </c>
      <c r="J3501" s="74">
        <f>IF(E3501="SERVICE",I3501-(I3501*50%),Vlookup(E3501,DATABASE!C:Q,10,false)*F3501)</f>
        <v>0</v>
      </c>
      <c r="K3501" s="74">
        <v>0.0</v>
      </c>
      <c r="L3501" s="74">
        <v>0.0</v>
      </c>
      <c r="M3501" s="74">
        <f t="shared" si="2"/>
        <v>0</v>
      </c>
      <c r="N3501" s="74">
        <f t="shared" si="3"/>
        <v>60000</v>
      </c>
      <c r="O3501" s="65" t="str">
        <f>VLOOKUP(E3501,DATABASE!C:Q,8,false)</f>
        <v>BIAN</v>
      </c>
      <c r="P3501" s="65">
        <f>VLOOKUP(E3501,DATABASE!C:Q,9,False)</f>
        <v>0</v>
      </c>
      <c r="Q3501" s="93" t="str">
        <f>VLOOKUP(E3501,DATABASE!C:Q,4,false)</f>
        <v>Balancing</v>
      </c>
      <c r="R3501" s="93" t="str">
        <f>VLOOKUP(E3501,DATABASE!C:Q,11,false)</f>
        <v>COMPLEMENTARY</v>
      </c>
    </row>
    <row r="3502" ht="22.5" customHeight="1">
      <c r="A3502" s="49"/>
      <c r="C3502" s="384">
        <v>45843.0</v>
      </c>
      <c r="D3502" s="65">
        <v>6349.0</v>
      </c>
      <c r="E3502" s="445" t="s">
        <v>256</v>
      </c>
      <c r="F3502" s="386">
        <v>1.0</v>
      </c>
      <c r="G3502" s="74">
        <v>130000.0</v>
      </c>
      <c r="H3502" s="74">
        <v>0.0</v>
      </c>
      <c r="I3502" s="74">
        <f t="shared" si="1"/>
        <v>130000</v>
      </c>
      <c r="J3502" s="74">
        <f>IF(E3502="SERVICE",I3502-(I3502*50%),Vlookup(E3502,DATABASE!C:Q,10,false)*F3502)</f>
        <v>10000</v>
      </c>
      <c r="K3502" s="74">
        <f>VLOOKUP(E3502,DATABASE!C:Q,7,false)</f>
        <v>0</v>
      </c>
      <c r="L3502" s="74">
        <v>0.0</v>
      </c>
      <c r="M3502" s="74">
        <f t="shared" si="2"/>
        <v>0</v>
      </c>
      <c r="N3502" s="74">
        <f t="shared" si="3"/>
        <v>120000</v>
      </c>
      <c r="O3502" s="65" t="str">
        <f>VLOOKUP(E3502,DATABASE!C:Q,8,false)</f>
        <v>IBU</v>
      </c>
      <c r="P3502" s="65">
        <f>VLOOKUP(E3502,DATABASE!C:Q,9,False)</f>
        <v>0</v>
      </c>
      <c r="Q3502" s="93" t="str">
        <f>VLOOKUP(E3502,DATABASE!C:Q,4,false)</f>
        <v>SPOORING</v>
      </c>
      <c r="R3502" s="93" t="str">
        <f>VLOOKUP(E3502,DATABASE!C:Q,11,false)</f>
        <v>SERVICE</v>
      </c>
    </row>
    <row r="3503" ht="22.5" customHeight="1">
      <c r="A3503" s="49"/>
      <c r="C3503" s="384">
        <v>45843.0</v>
      </c>
      <c r="D3503" s="65">
        <v>6349.0</v>
      </c>
      <c r="E3503" s="445" t="s">
        <v>301</v>
      </c>
      <c r="F3503" s="386">
        <v>1.0</v>
      </c>
      <c r="G3503" s="74">
        <v>250000.0</v>
      </c>
      <c r="H3503" s="74">
        <v>0.0</v>
      </c>
      <c r="I3503" s="74">
        <f t="shared" si="1"/>
        <v>250000</v>
      </c>
      <c r="J3503" s="74">
        <f>IF(E3503="SERVICE",I3503-(I3503*50%),Vlookup(E3503,DATABASE!C:Q,10,false)*F3503)</f>
        <v>75000</v>
      </c>
      <c r="K3503" s="74">
        <f>VLOOKUP(E3503,DATABASE!C:Q,7,false)</f>
        <v>75000</v>
      </c>
      <c r="L3503" s="74">
        <v>75000.0</v>
      </c>
      <c r="M3503" s="74">
        <f t="shared" si="2"/>
        <v>75000</v>
      </c>
      <c r="N3503" s="74">
        <f t="shared" si="3"/>
        <v>100000</v>
      </c>
      <c r="O3503" s="65" t="str">
        <f>VLOOKUP(E3503,DATABASE!C:Q,8,false)</f>
        <v>BIAN</v>
      </c>
      <c r="P3503" s="65">
        <f>VLOOKUP(E3503,DATABASE!C:Q,9,False)</f>
        <v>0</v>
      </c>
      <c r="Q3503" s="93" t="str">
        <f>VLOOKUP(E3503,DATABASE!C:Q,4,false)</f>
        <v>Baut Camber</v>
      </c>
      <c r="R3503" s="93" t="str">
        <f>VLOOKUP(E3503,DATABASE!C:Q,11,false)</f>
        <v>COMPLEMENTARY</v>
      </c>
    </row>
    <row r="3504" ht="22.5" customHeight="1">
      <c r="A3504" s="49"/>
      <c r="C3504" s="384">
        <v>45843.0</v>
      </c>
      <c r="D3504" s="65">
        <v>6350.0</v>
      </c>
      <c r="E3504" s="445" t="s">
        <v>268</v>
      </c>
      <c r="F3504" s="386">
        <v>2.0</v>
      </c>
      <c r="G3504" s="74">
        <v>720000.0</v>
      </c>
      <c r="H3504" s="74">
        <v>0.0</v>
      </c>
      <c r="I3504" s="74">
        <f t="shared" si="1"/>
        <v>1440000</v>
      </c>
      <c r="J3504" s="74">
        <f>IF(E3504="SERVICE",I3504-(I3504*50%),Vlookup(E3504,DATABASE!C:Q,10,false)*F3504)</f>
        <v>0</v>
      </c>
      <c r="K3504" s="74">
        <f>VLOOKUP(E3504,DATABASE!C:Q,7,false)</f>
        <v>653000</v>
      </c>
      <c r="L3504" s="74">
        <v>622000.0</v>
      </c>
      <c r="M3504" s="74">
        <f t="shared" si="2"/>
        <v>625000</v>
      </c>
      <c r="N3504" s="74">
        <f t="shared" si="3"/>
        <v>190000</v>
      </c>
      <c r="O3504" s="65" t="str">
        <f>VLOOKUP(E3504,DATABASE!C:Q,8,false)</f>
        <v>IBU</v>
      </c>
      <c r="P3504" s="65">
        <f>VLOOKUP(E3504,DATABASE!C:Q,9,False)</f>
        <v>1</v>
      </c>
      <c r="Q3504" s="93" t="str">
        <f>VLOOKUP(E3504,DATABASE!C:Q,4,false)</f>
        <v>Dunlop</v>
      </c>
      <c r="R3504" s="93" t="str">
        <f>VLOOKUP(E3504,DATABASE!C:Q,11,false)</f>
        <v>Tire</v>
      </c>
    </row>
    <row r="3505" ht="22.5" customHeight="1">
      <c r="A3505" s="49"/>
      <c r="C3505" s="384">
        <v>45843.0</v>
      </c>
      <c r="D3505" s="65">
        <v>6351.0</v>
      </c>
      <c r="E3505" s="445" t="s">
        <v>1305</v>
      </c>
      <c r="F3505" s="386">
        <v>2.0</v>
      </c>
      <c r="G3505" s="74">
        <v>1850000.0</v>
      </c>
      <c r="H3505" s="74">
        <v>0.0</v>
      </c>
      <c r="I3505" s="74">
        <f t="shared" si="1"/>
        <v>3700000</v>
      </c>
      <c r="J3505" s="74">
        <f>IF(E3505="SERVICE",I3505-(I3505*50%),Vlookup(E3505,DATABASE!C:Q,10,false)*F3505)</f>
        <v>0</v>
      </c>
      <c r="K3505" s="74">
        <f>VLOOKUP(E3505,DATABASE!C:Q,7,false)</f>
        <v>1723000</v>
      </c>
      <c r="L3505" s="74">
        <v>1723000.0</v>
      </c>
      <c r="M3505" s="74">
        <f t="shared" si="2"/>
        <v>1725000</v>
      </c>
      <c r="N3505" s="74">
        <f t="shared" si="3"/>
        <v>250000</v>
      </c>
      <c r="O3505" s="65" t="str">
        <f>VLOOKUP(E3505,DATABASE!C:Q,8,false)</f>
        <v>IBU</v>
      </c>
      <c r="P3505" s="65">
        <f>VLOOKUP(E3505,DATABASE!C:Q,9,False)</f>
        <v>1</v>
      </c>
      <c r="Q3505" s="93" t="str">
        <f>VLOOKUP(E3505,DATABASE!C:Q,4,false)</f>
        <v>Bridgestone</v>
      </c>
      <c r="R3505" s="93" t="str">
        <f>VLOOKUP(E3505,DATABASE!C:Q,11,false)</f>
        <v>Tire</v>
      </c>
    </row>
    <row r="3506" ht="22.5" customHeight="1">
      <c r="A3506" s="49"/>
      <c r="C3506" s="384">
        <v>45843.0</v>
      </c>
      <c r="D3506" s="65">
        <v>6352.0</v>
      </c>
      <c r="E3506" s="445" t="s">
        <v>932</v>
      </c>
      <c r="F3506" s="386">
        <v>1.0</v>
      </c>
      <c r="G3506" s="74">
        <v>700000.0</v>
      </c>
      <c r="H3506" s="74">
        <v>0.0</v>
      </c>
      <c r="I3506" s="74">
        <f t="shared" si="1"/>
        <v>700000</v>
      </c>
      <c r="J3506" s="74">
        <f>IF(E3506="SERVICE",I3506-(I3506*50%),Vlookup(E3506,DATABASE!C:Q,10,false)*F3506)</f>
        <v>0</v>
      </c>
      <c r="K3506" s="74">
        <f>VLOOKUP(E3506,DATABASE!C:Q,7,false)</f>
        <v>601000</v>
      </c>
      <c r="L3506" s="74">
        <v>595000.0</v>
      </c>
      <c r="M3506" s="74">
        <f t="shared" si="2"/>
        <v>595000</v>
      </c>
      <c r="N3506" s="74">
        <f t="shared" si="3"/>
        <v>105000</v>
      </c>
      <c r="O3506" s="65" t="str">
        <f>VLOOKUP(E3506,DATABASE!C:Q,8,false)</f>
        <v>IBU</v>
      </c>
      <c r="P3506" s="65">
        <f>VLOOKUP(E3506,DATABASE!C:Q,9,False)</f>
        <v>1</v>
      </c>
      <c r="Q3506" s="93" t="str">
        <f>VLOOKUP(E3506,DATABASE!C:Q,4,false)</f>
        <v>Dunlop</v>
      </c>
      <c r="R3506" s="93" t="str">
        <f>VLOOKUP(E3506,DATABASE!C:Q,11,false)</f>
        <v>Tire</v>
      </c>
    </row>
    <row r="3507" ht="22.5" customHeight="1">
      <c r="A3507" s="49"/>
      <c r="C3507" s="384">
        <v>45843.0</v>
      </c>
      <c r="D3507" s="65">
        <v>6353.0</v>
      </c>
      <c r="E3507" s="445" t="s">
        <v>256</v>
      </c>
      <c r="F3507" s="386">
        <v>1.0</v>
      </c>
      <c r="G3507" s="74">
        <v>130000.0</v>
      </c>
      <c r="H3507" s="74">
        <v>0.0</v>
      </c>
      <c r="I3507" s="74">
        <f t="shared" si="1"/>
        <v>130000</v>
      </c>
      <c r="J3507" s="74">
        <f>IF(E3507="SERVICE",I3507-(I3507*50%),Vlookup(E3507,DATABASE!C:Q,10,false)*F3507)</f>
        <v>10000</v>
      </c>
      <c r="K3507" s="74">
        <f>VLOOKUP(E3507,DATABASE!C:Q,7,false)</f>
        <v>0</v>
      </c>
      <c r="L3507" s="74">
        <v>0.0</v>
      </c>
      <c r="M3507" s="74">
        <f t="shared" si="2"/>
        <v>0</v>
      </c>
      <c r="N3507" s="74">
        <f t="shared" si="3"/>
        <v>120000</v>
      </c>
      <c r="O3507" s="65" t="str">
        <f>VLOOKUP(E3507,DATABASE!C:Q,8,false)</f>
        <v>IBU</v>
      </c>
      <c r="P3507" s="65">
        <f>VLOOKUP(E3507,DATABASE!C:Q,9,False)</f>
        <v>0</v>
      </c>
      <c r="Q3507" s="93" t="str">
        <f>VLOOKUP(E3507,DATABASE!C:Q,4,false)</f>
        <v>SPOORING</v>
      </c>
      <c r="R3507" s="93" t="str">
        <f>VLOOKUP(E3507,DATABASE!C:Q,11,false)</f>
        <v>SERVICE</v>
      </c>
    </row>
    <row r="3508" ht="22.5" customHeight="1">
      <c r="A3508" s="49"/>
      <c r="C3508" s="384">
        <v>45843.0</v>
      </c>
      <c r="D3508" s="65">
        <v>6354.0</v>
      </c>
      <c r="E3508" s="445" t="s">
        <v>262</v>
      </c>
      <c r="F3508" s="386">
        <v>1.0</v>
      </c>
      <c r="G3508" s="74">
        <v>110000.0</v>
      </c>
      <c r="H3508" s="74">
        <v>0.0</v>
      </c>
      <c r="I3508" s="74">
        <f t="shared" si="1"/>
        <v>110000</v>
      </c>
      <c r="J3508" s="74">
        <f>IF(E3508="SERVICE",I3508-(I3508*50%),Vlookup(E3508,DATABASE!C:Q,10,false)*F3508)</f>
        <v>5000</v>
      </c>
      <c r="K3508" s="74">
        <f>VLOOKUP(E3508,DATABASE!C:Q,7,false)</f>
        <v>0</v>
      </c>
      <c r="L3508" s="74">
        <v>0.0</v>
      </c>
      <c r="M3508" s="74">
        <f t="shared" si="2"/>
        <v>0</v>
      </c>
      <c r="N3508" s="74">
        <f t="shared" si="3"/>
        <v>105000</v>
      </c>
      <c r="O3508" s="65" t="str">
        <f>VLOOKUP(E3508,DATABASE!C:Q,8,false)</f>
        <v>IBU</v>
      </c>
      <c r="P3508" s="65">
        <f>VLOOKUP(E3508,DATABASE!C:Q,9,False)</f>
        <v>0</v>
      </c>
      <c r="Q3508" s="93" t="str">
        <f>VLOOKUP(E3508,DATABASE!C:Q,4,false)</f>
        <v>SPOORING SS/CARRY LOS BAK</v>
      </c>
      <c r="R3508" s="93" t="str">
        <f>VLOOKUP(E3508,DATABASE!C:Q,11,false)</f>
        <v>SERVICE</v>
      </c>
    </row>
    <row r="3509" ht="22.5" customHeight="1">
      <c r="A3509" s="49"/>
      <c r="C3509" s="384">
        <v>45843.0</v>
      </c>
      <c r="D3509" s="65">
        <v>6354.0</v>
      </c>
      <c r="E3509" s="445" t="s">
        <v>478</v>
      </c>
      <c r="F3509" s="386">
        <v>1.0</v>
      </c>
      <c r="G3509" s="74">
        <v>200000.0</v>
      </c>
      <c r="H3509" s="74">
        <v>0.0</v>
      </c>
      <c r="I3509" s="74">
        <f t="shared" si="1"/>
        <v>200000</v>
      </c>
      <c r="J3509" s="74">
        <f>IF(E3509="SERVICE",I3509-(I3509*50%),Vlookup(E3509,DATABASE!C:Q,10,false)*F3509)</f>
        <v>25000</v>
      </c>
      <c r="K3509" s="74">
        <f>VLOOKUP(E3509,DATABASE!C:Q,7,false)</f>
        <v>75000</v>
      </c>
      <c r="L3509" s="74">
        <v>75000.0</v>
      </c>
      <c r="M3509" s="74">
        <f t="shared" si="2"/>
        <v>75000</v>
      </c>
      <c r="N3509" s="74">
        <f t="shared" si="3"/>
        <v>100000</v>
      </c>
      <c r="O3509" s="65" t="str">
        <f>VLOOKUP(E3509,DATABASE!C:Q,8,false)</f>
        <v>BIAN</v>
      </c>
      <c r="P3509" s="65">
        <f>VLOOKUP(E3509,DATABASE!C:Q,9,False)</f>
        <v>0</v>
      </c>
      <c r="Q3509" s="93" t="str">
        <f>VLOOKUP(E3509,DATABASE!C:Q,4,false)</f>
        <v>Baut Camber ss-carry</v>
      </c>
      <c r="R3509" s="93" t="str">
        <f>VLOOKUP(E3509,DATABASE!C:Q,11,false)</f>
        <v>COMPLEMENTARY</v>
      </c>
    </row>
    <row r="3510" ht="22.5" customHeight="1">
      <c r="A3510" s="49"/>
      <c r="C3510" s="384">
        <v>45843.0</v>
      </c>
      <c r="D3510" s="65">
        <v>6355.0</v>
      </c>
      <c r="E3510" s="445" t="s">
        <v>856</v>
      </c>
      <c r="F3510" s="386">
        <v>1.0</v>
      </c>
      <c r="G3510" s="74">
        <v>670000.0</v>
      </c>
      <c r="H3510" s="74">
        <v>0.0</v>
      </c>
      <c r="I3510" s="74">
        <f t="shared" si="1"/>
        <v>670000</v>
      </c>
      <c r="J3510" s="74">
        <f>IF(E3510="SERVICE",I3510-(I3510*50%),Vlookup(E3510,DATABASE!C:Q,10,false)*F3510)</f>
        <v>0</v>
      </c>
      <c r="K3510" s="74">
        <f>VLOOKUP(E3510,DATABASE!C:Q,7,false)</f>
        <v>615300</v>
      </c>
      <c r="L3510" s="74">
        <v>581120.0</v>
      </c>
      <c r="M3510" s="74">
        <f t="shared" si="2"/>
        <v>585000</v>
      </c>
      <c r="N3510" s="74">
        <f t="shared" si="3"/>
        <v>85000</v>
      </c>
      <c r="O3510" s="65" t="str">
        <f>VLOOKUP(E3510,DATABASE!C:Q,8,false)</f>
        <v>BIAN</v>
      </c>
      <c r="P3510" s="65">
        <f>VLOOKUP(E3510,DATABASE!C:Q,9,False)</f>
        <v>1</v>
      </c>
      <c r="Q3510" s="93" t="str">
        <f>VLOOKUP(E3510,DATABASE!C:Q,4,false)</f>
        <v>GT</v>
      </c>
      <c r="R3510" s="93" t="str">
        <f>VLOOKUP(E3510,DATABASE!C:Q,11,false)</f>
        <v>Tire</v>
      </c>
    </row>
    <row r="3511" ht="22.5" customHeight="1">
      <c r="A3511" s="49"/>
      <c r="C3511" s="384">
        <v>45843.0</v>
      </c>
      <c r="D3511" s="65">
        <v>6356.0</v>
      </c>
      <c r="E3511" s="445" t="s">
        <v>246</v>
      </c>
      <c r="F3511" s="386">
        <v>1.0</v>
      </c>
      <c r="G3511" s="74">
        <v>35000.0</v>
      </c>
      <c r="H3511" s="74">
        <v>0.0</v>
      </c>
      <c r="I3511" s="74">
        <f t="shared" si="1"/>
        <v>35000</v>
      </c>
      <c r="J3511" s="74">
        <f>IF(E3511="SERVICE",I3511-(I3511*50%),Vlookup(E3511,DATABASE!C:Q,10,false)*F3511)</f>
        <v>0</v>
      </c>
      <c r="K3511" s="74">
        <f>VLOOKUP(E3511,DATABASE!C:Q,7,false)</f>
        <v>0</v>
      </c>
      <c r="L3511" s="74">
        <v>0.0</v>
      </c>
      <c r="M3511" s="74">
        <f t="shared" si="2"/>
        <v>0</v>
      </c>
      <c r="N3511" s="74">
        <f t="shared" si="3"/>
        <v>35000</v>
      </c>
      <c r="O3511" s="65" t="str">
        <f>VLOOKUP(E3511,DATABASE!C:Q,8,false)</f>
        <v>IBU</v>
      </c>
      <c r="P3511" s="65">
        <f>VLOOKUP(E3511,DATABASE!C:Q,9,False)</f>
        <v>0</v>
      </c>
      <c r="Q3511" s="93" t="str">
        <f>VLOOKUP(E3511,DATABASE!C:Q,4,false)</f>
        <v>Bongkar Pasang</v>
      </c>
      <c r="R3511" s="93" t="str">
        <f>VLOOKUP(E3511,DATABASE!C:Q,11,false)</f>
        <v>SERVICE</v>
      </c>
    </row>
    <row r="3512" ht="22.5" customHeight="1">
      <c r="A3512" s="49"/>
      <c r="C3512" s="384">
        <v>45843.0</v>
      </c>
      <c r="D3512" s="65">
        <v>6356.0</v>
      </c>
      <c r="E3512" s="445" t="s">
        <v>2199</v>
      </c>
      <c r="F3512" s="386">
        <v>1.0</v>
      </c>
      <c r="G3512" s="74">
        <v>15000.0</v>
      </c>
      <c r="H3512" s="74">
        <v>0.0</v>
      </c>
      <c r="I3512" s="74">
        <f t="shared" si="1"/>
        <v>15000</v>
      </c>
      <c r="J3512" s="74">
        <f>IF(E3512="SERVICE",I3512-(I3512*50%),Vlookup(E3512,DATABASE!C:Q,10,false)*F3512)</f>
        <v>0</v>
      </c>
      <c r="K3512" s="74">
        <f>VLOOKUP(E3512,DATABASE!C:Q,7,false)</f>
        <v>5000</v>
      </c>
      <c r="L3512" s="74">
        <v>0.0</v>
      </c>
      <c r="M3512" s="74">
        <f t="shared" si="2"/>
        <v>0</v>
      </c>
      <c r="N3512" s="74">
        <f t="shared" si="3"/>
        <v>15000</v>
      </c>
      <c r="O3512" s="65" t="str">
        <f>VLOOKUP(E3512,DATABASE!C:Q,8,false)</f>
        <v>BIAN</v>
      </c>
      <c r="P3512" s="65">
        <f>VLOOKUP(E3512,DATABASE!C:Q,9,False)</f>
        <v>0</v>
      </c>
      <c r="Q3512" s="93" t="str">
        <f>VLOOKUP(E3512,DATABASE!C:Q,4,false)</f>
        <v>TAMBAL TUBLES</v>
      </c>
      <c r="R3512" s="93" t="str">
        <f>VLOOKUP(E3512,DATABASE!C:Q,11,false)</f>
        <v>COMPLEMENTARY</v>
      </c>
    </row>
    <row r="3513" ht="22.5" customHeight="1">
      <c r="A3513" s="49"/>
      <c r="C3513" s="384">
        <v>45843.0</v>
      </c>
      <c r="D3513" s="65">
        <v>6357.0</v>
      </c>
      <c r="E3513" s="445" t="s">
        <v>1439</v>
      </c>
      <c r="F3513" s="386">
        <v>2.0</v>
      </c>
      <c r="G3513" s="74">
        <v>625000.0</v>
      </c>
      <c r="H3513" s="74">
        <v>0.0</v>
      </c>
      <c r="I3513" s="74">
        <f t="shared" si="1"/>
        <v>1250000</v>
      </c>
      <c r="J3513" s="74">
        <f>IF(E3513="SERVICE",I3513-(I3513*50%),Vlookup(E3513,DATABASE!C:Q,10,false)*F3513)</f>
        <v>0</v>
      </c>
      <c r="K3513" s="74">
        <f>VLOOKUP(E3513,DATABASE!C:Q,7,false)</f>
        <v>556800</v>
      </c>
      <c r="L3513" s="74">
        <v>540800.0</v>
      </c>
      <c r="M3513" s="74">
        <f t="shared" si="2"/>
        <v>545000</v>
      </c>
      <c r="N3513" s="74">
        <f t="shared" si="3"/>
        <v>160000</v>
      </c>
      <c r="O3513" s="65" t="str">
        <f>VLOOKUP(E3513,DATABASE!C:Q,8,false)</f>
        <v>BIAN</v>
      </c>
      <c r="P3513" s="65">
        <f>VLOOKUP(E3513,DATABASE!C:Q,9,False)</f>
        <v>1</v>
      </c>
      <c r="Q3513" s="93" t="str">
        <f>VLOOKUP(E3513,DATABASE!C:Q,4,false)</f>
        <v>GT</v>
      </c>
      <c r="R3513" s="93" t="str">
        <f>VLOOKUP(E3513,DATABASE!C:Q,11,false)</f>
        <v>Tire</v>
      </c>
    </row>
    <row r="3514" ht="22.5" customHeight="1">
      <c r="A3514" s="49"/>
      <c r="C3514" s="384">
        <v>45843.0</v>
      </c>
      <c r="D3514" s="65">
        <v>6358.0</v>
      </c>
      <c r="E3514" s="445" t="s">
        <v>1928</v>
      </c>
      <c r="F3514" s="386">
        <v>1.0</v>
      </c>
      <c r="G3514" s="74">
        <v>670000.0</v>
      </c>
      <c r="H3514" s="74">
        <v>0.0</v>
      </c>
      <c r="I3514" s="74">
        <f t="shared" si="1"/>
        <v>670000</v>
      </c>
      <c r="J3514" s="74">
        <f>IF(E3514="SERVICE",I3514-(I3514*50%),Vlookup(E3514,DATABASE!C:Q,10,false)*F3514)</f>
        <v>0</v>
      </c>
      <c r="K3514" s="74">
        <f>VLOOKUP(E3514,DATABASE!C:Q,7,false)</f>
        <v>589700</v>
      </c>
      <c r="L3514" s="74">
        <v>572700.0</v>
      </c>
      <c r="M3514" s="74">
        <f t="shared" si="2"/>
        <v>575000</v>
      </c>
      <c r="N3514" s="74">
        <f t="shared" si="3"/>
        <v>95000</v>
      </c>
      <c r="O3514" s="65" t="str">
        <f>VLOOKUP(E3514,DATABASE!C:Q,8,false)</f>
        <v>BIAN</v>
      </c>
      <c r="P3514" s="65">
        <f>VLOOKUP(E3514,DATABASE!C:Q,9,False)</f>
        <v>1</v>
      </c>
      <c r="Q3514" s="93" t="str">
        <f>VLOOKUP(E3514,DATABASE!C:Q,4,false)</f>
        <v>GT</v>
      </c>
      <c r="R3514" s="93" t="str">
        <f>VLOOKUP(E3514,DATABASE!C:Q,11,false)</f>
        <v>Tire</v>
      </c>
    </row>
    <row r="3515" ht="22.5" customHeight="1">
      <c r="A3515" s="49"/>
      <c r="C3515" s="384">
        <v>45843.0</v>
      </c>
      <c r="D3515" s="65">
        <v>6358.0</v>
      </c>
      <c r="E3515" s="385" t="s">
        <v>299</v>
      </c>
      <c r="F3515" s="386">
        <v>1.0</v>
      </c>
      <c r="G3515" s="74">
        <v>30000.0</v>
      </c>
      <c r="H3515" s="74">
        <v>0.0</v>
      </c>
      <c r="I3515" s="74">
        <f t="shared" si="1"/>
        <v>30000</v>
      </c>
      <c r="J3515" s="74">
        <f>IF(E3515="SERVICE",I3515-(I3515*50%),Vlookup(E3515,DATABASE!C:Q,10,false)*F3515)</f>
        <v>0</v>
      </c>
      <c r="K3515" s="74">
        <v>0.0</v>
      </c>
      <c r="L3515" s="74">
        <v>0.0</v>
      </c>
      <c r="M3515" s="74">
        <f t="shared" si="2"/>
        <v>0</v>
      </c>
      <c r="N3515" s="74">
        <f t="shared" si="3"/>
        <v>30000</v>
      </c>
      <c r="O3515" s="65" t="str">
        <f>VLOOKUP(E3515,DATABASE!C:Q,8,false)</f>
        <v>BIAN</v>
      </c>
      <c r="P3515" s="65">
        <f>VLOOKUP(E3515,DATABASE!C:Q,9,False)</f>
        <v>0</v>
      </c>
      <c r="Q3515" s="93" t="str">
        <f>VLOOKUP(E3515,DATABASE!C:Q,4,false)</f>
        <v>Balancing</v>
      </c>
      <c r="R3515" s="93" t="str">
        <f>VLOOKUP(E3515,DATABASE!C:Q,11,false)</f>
        <v>COMPLEMENTARY</v>
      </c>
    </row>
    <row r="3516" ht="22.5" customHeight="1">
      <c r="A3516" s="49"/>
      <c r="C3516" s="384">
        <v>45843.0</v>
      </c>
      <c r="D3516" s="65">
        <v>6359.0</v>
      </c>
      <c r="E3516" s="445" t="s">
        <v>566</v>
      </c>
      <c r="F3516" s="386">
        <v>1.0</v>
      </c>
      <c r="G3516" s="74">
        <v>1670000.0</v>
      </c>
      <c r="H3516" s="74">
        <v>0.0</v>
      </c>
      <c r="I3516" s="74">
        <f t="shared" si="1"/>
        <v>1670000</v>
      </c>
      <c r="J3516" s="74">
        <f>IF(E3516="SERVICE",I3516-(I3516*50%),Vlookup(E3516,DATABASE!C:Q,10,false)*F3516)</f>
        <v>0</v>
      </c>
      <c r="K3516" s="140">
        <v>1570000.0</v>
      </c>
      <c r="L3516" s="140">
        <v>1570000.0</v>
      </c>
      <c r="M3516" s="74">
        <f t="shared" si="2"/>
        <v>1570000</v>
      </c>
      <c r="N3516" s="74">
        <f t="shared" si="3"/>
        <v>100000</v>
      </c>
      <c r="O3516" s="65" t="str">
        <f>VLOOKUP(E3516,DATABASE!C:Q,8,false)</f>
        <v>IBU</v>
      </c>
      <c r="P3516" s="65">
        <f>VLOOKUP(E3516,DATABASE!C:Q,9,False)</f>
        <v>1</v>
      </c>
      <c r="Q3516" s="93" t="str">
        <f>VLOOKUP(E3516,DATABASE!C:Q,4,false)</f>
        <v>Bridgestone</v>
      </c>
      <c r="R3516" s="93" t="str">
        <f>VLOOKUP(E3516,DATABASE!C:Q,11,false)</f>
        <v>Tire</v>
      </c>
    </row>
    <row r="3517" ht="22.5" customHeight="1">
      <c r="A3517" s="49"/>
      <c r="C3517" s="384">
        <v>45843.0</v>
      </c>
      <c r="D3517" s="65">
        <v>6359.0</v>
      </c>
      <c r="E3517" s="445" t="s">
        <v>821</v>
      </c>
      <c r="F3517" s="386">
        <v>1.0</v>
      </c>
      <c r="G3517" s="74">
        <v>85000.0</v>
      </c>
      <c r="H3517" s="74">
        <v>0.0</v>
      </c>
      <c r="I3517" s="74">
        <f t="shared" si="1"/>
        <v>85000</v>
      </c>
      <c r="J3517" s="74">
        <f>IF(E3517="SERVICE",I3517-(I3517*50%),Vlookup(E3517,DATABASE!C:Q,10,false)*F3517)</f>
        <v>0</v>
      </c>
      <c r="K3517" s="74">
        <f>VLOOKUP(E3517,DATABASE!C:Q,7,false)</f>
        <v>43500</v>
      </c>
      <c r="L3517" s="74">
        <v>43520.0</v>
      </c>
      <c r="M3517" s="74">
        <f t="shared" si="2"/>
        <v>45000</v>
      </c>
      <c r="N3517" s="74">
        <f t="shared" si="3"/>
        <v>40000</v>
      </c>
      <c r="O3517" s="65" t="str">
        <f>VLOOKUP(E3517,DATABASE!C:Q,8,false)</f>
        <v>BIAN</v>
      </c>
      <c r="P3517" s="65">
        <f>VLOOKUP(E3517,DATABASE!C:Q,9,False)</f>
        <v>1</v>
      </c>
      <c r="Q3517" s="93" t="str">
        <f>VLOOKUP(E3517,DATABASE!C:Q,4,false)</f>
        <v>Flap</v>
      </c>
      <c r="R3517" s="93" t="str">
        <f>VLOOKUP(E3517,DATABASE!C:Q,11,false)</f>
        <v>Tire</v>
      </c>
    </row>
    <row r="3518" ht="22.5" customHeight="1">
      <c r="A3518" s="49"/>
      <c r="C3518" s="384">
        <v>45843.0</v>
      </c>
      <c r="D3518" s="65">
        <v>6360.0</v>
      </c>
      <c r="E3518" s="385" t="s">
        <v>299</v>
      </c>
      <c r="F3518" s="386">
        <v>2.0</v>
      </c>
      <c r="G3518" s="74">
        <v>30000.0</v>
      </c>
      <c r="H3518" s="74">
        <v>0.0</v>
      </c>
      <c r="I3518" s="74">
        <f t="shared" si="1"/>
        <v>60000</v>
      </c>
      <c r="J3518" s="74">
        <f>IF(E3518="SERVICE",I3518-(I3518*50%),Vlookup(E3518,DATABASE!C:Q,10,false)*F3518)</f>
        <v>0</v>
      </c>
      <c r="K3518" s="74">
        <v>0.0</v>
      </c>
      <c r="L3518" s="74">
        <v>0.0</v>
      </c>
      <c r="M3518" s="74">
        <f t="shared" si="2"/>
        <v>0</v>
      </c>
      <c r="N3518" s="74">
        <f t="shared" si="3"/>
        <v>60000</v>
      </c>
      <c r="O3518" s="65" t="str">
        <f>VLOOKUP(E3518,DATABASE!C:Q,8,false)</f>
        <v>BIAN</v>
      </c>
      <c r="P3518" s="65">
        <f>VLOOKUP(E3518,DATABASE!C:Q,9,False)</f>
        <v>0</v>
      </c>
      <c r="Q3518" s="93" t="str">
        <f>VLOOKUP(E3518,DATABASE!C:Q,4,false)</f>
        <v>Balancing</v>
      </c>
      <c r="R3518" s="93" t="str">
        <f>VLOOKUP(E3518,DATABASE!C:Q,11,false)</f>
        <v>COMPLEMENTARY</v>
      </c>
    </row>
    <row r="3519" ht="22.5" customHeight="1">
      <c r="A3519" s="49"/>
      <c r="C3519" s="384">
        <v>45843.0</v>
      </c>
      <c r="D3519" s="65">
        <v>6360.0</v>
      </c>
      <c r="E3519" s="445" t="s">
        <v>256</v>
      </c>
      <c r="F3519" s="386">
        <v>1.0</v>
      </c>
      <c r="G3519" s="74">
        <v>130000.0</v>
      </c>
      <c r="H3519" s="74">
        <v>0.0</v>
      </c>
      <c r="I3519" s="74">
        <f t="shared" si="1"/>
        <v>130000</v>
      </c>
      <c r="J3519" s="74">
        <f>IF(E3519="SERVICE",I3519-(I3519*50%),Vlookup(E3519,DATABASE!C:Q,10,false)*F3519)</f>
        <v>10000</v>
      </c>
      <c r="K3519" s="74">
        <f>VLOOKUP(E3519,DATABASE!C:Q,7,false)</f>
        <v>0</v>
      </c>
      <c r="L3519" s="74">
        <v>0.0</v>
      </c>
      <c r="M3519" s="74">
        <f t="shared" si="2"/>
        <v>0</v>
      </c>
      <c r="N3519" s="74">
        <f t="shared" si="3"/>
        <v>120000</v>
      </c>
      <c r="O3519" s="65" t="str">
        <f>VLOOKUP(E3519,DATABASE!C:Q,8,false)</f>
        <v>IBU</v>
      </c>
      <c r="P3519" s="65">
        <f>VLOOKUP(E3519,DATABASE!C:Q,9,False)</f>
        <v>0</v>
      </c>
      <c r="Q3519" s="93" t="str">
        <f>VLOOKUP(E3519,DATABASE!C:Q,4,false)</f>
        <v>SPOORING</v>
      </c>
      <c r="R3519" s="93" t="str">
        <f>VLOOKUP(E3519,DATABASE!C:Q,11,false)</f>
        <v>SERVICE</v>
      </c>
    </row>
    <row r="3520" ht="22.5" customHeight="1">
      <c r="A3520" s="49"/>
      <c r="C3520" s="384">
        <v>45843.0</v>
      </c>
      <c r="D3520" s="65">
        <v>6361.0</v>
      </c>
      <c r="E3520" s="445" t="s">
        <v>1526</v>
      </c>
      <c r="F3520" s="386">
        <v>4.0</v>
      </c>
      <c r="G3520" s="74">
        <v>530000.0</v>
      </c>
      <c r="H3520" s="74">
        <v>0.0</v>
      </c>
      <c r="I3520" s="74">
        <f t="shared" si="1"/>
        <v>2120000</v>
      </c>
      <c r="J3520" s="74">
        <f>IF(E3520="SERVICE",I3520-(I3520*50%),Vlookup(E3520,DATABASE!C:Q,10,false)*F3520)</f>
        <v>0</v>
      </c>
      <c r="K3520" s="74">
        <f>VLOOKUP(E3520,DATABASE!C:Q,7,false)</f>
        <v>450000</v>
      </c>
      <c r="L3520" s="74">
        <v>437000.0</v>
      </c>
      <c r="M3520" s="74">
        <f t="shared" si="2"/>
        <v>440000</v>
      </c>
      <c r="N3520" s="74">
        <f t="shared" si="3"/>
        <v>360000</v>
      </c>
      <c r="O3520" s="65" t="str">
        <f>VLOOKUP(E3520,DATABASE!C:Q,8,false)</f>
        <v>BIAN</v>
      </c>
      <c r="P3520" s="65">
        <f>VLOOKUP(E3520,DATABASE!C:Q,9,False)</f>
        <v>1</v>
      </c>
      <c r="Q3520" s="93" t="str">
        <f>VLOOKUP(E3520,DATABASE!C:Q,4,false)</f>
        <v>Laufen</v>
      </c>
      <c r="R3520" s="93" t="str">
        <f>VLOOKUP(E3520,DATABASE!C:Q,11,false)</f>
        <v>Tire</v>
      </c>
    </row>
    <row r="3521" ht="22.5" customHeight="1">
      <c r="A3521" s="49"/>
      <c r="C3521" s="384">
        <v>45843.0</v>
      </c>
      <c r="D3521" s="65">
        <v>6362.0</v>
      </c>
      <c r="E3521" s="385" t="s">
        <v>299</v>
      </c>
      <c r="F3521" s="386">
        <v>2.0</v>
      </c>
      <c r="G3521" s="74">
        <v>30000.0</v>
      </c>
      <c r="H3521" s="74">
        <v>0.0</v>
      </c>
      <c r="I3521" s="74">
        <f t="shared" si="1"/>
        <v>60000</v>
      </c>
      <c r="J3521" s="74">
        <f>IF(E3521="SERVICE",I3521-(I3521*50%),Vlookup(E3521,DATABASE!C:Q,10,false)*F3521)</f>
        <v>0</v>
      </c>
      <c r="K3521" s="74">
        <v>0.0</v>
      </c>
      <c r="L3521" s="74">
        <v>0.0</v>
      </c>
      <c r="M3521" s="74">
        <f t="shared" si="2"/>
        <v>0</v>
      </c>
      <c r="N3521" s="74">
        <f t="shared" si="3"/>
        <v>60000</v>
      </c>
      <c r="O3521" s="65" t="str">
        <f>VLOOKUP(E3521,DATABASE!C:Q,8,false)</f>
        <v>BIAN</v>
      </c>
      <c r="P3521" s="65">
        <f>VLOOKUP(E3521,DATABASE!C:Q,9,False)</f>
        <v>0</v>
      </c>
      <c r="Q3521" s="93" t="str">
        <f>VLOOKUP(E3521,DATABASE!C:Q,4,false)</f>
        <v>Balancing</v>
      </c>
      <c r="R3521" s="93" t="str">
        <f>VLOOKUP(E3521,DATABASE!C:Q,11,false)</f>
        <v>COMPLEMENTARY</v>
      </c>
    </row>
    <row r="3522" ht="22.5" customHeight="1">
      <c r="A3522" s="49"/>
      <c r="C3522" s="384">
        <v>45844.0</v>
      </c>
      <c r="D3522" s="65">
        <v>6340.0</v>
      </c>
      <c r="E3522" s="445" t="s">
        <v>1429</v>
      </c>
      <c r="F3522" s="386">
        <v>1.0</v>
      </c>
      <c r="G3522" s="74">
        <v>950000.0</v>
      </c>
      <c r="H3522" s="74">
        <v>0.0</v>
      </c>
      <c r="I3522" s="74">
        <f t="shared" si="1"/>
        <v>950000</v>
      </c>
      <c r="J3522" s="74">
        <f>IF(E3522="SERVICE",I3522-(I3522*50%),Vlookup(E3522,DATABASE!C:Q,10,false)*F3522)</f>
        <v>0</v>
      </c>
      <c r="K3522" s="74">
        <f>VLOOKUP(E3522,DATABASE!C:Q,7,false)</f>
        <v>849000</v>
      </c>
      <c r="L3522" s="74">
        <v>849000.0</v>
      </c>
      <c r="M3522" s="74">
        <f t="shared" si="2"/>
        <v>850000</v>
      </c>
      <c r="N3522" s="74">
        <f t="shared" si="3"/>
        <v>100000</v>
      </c>
      <c r="O3522" s="65" t="str">
        <f>VLOOKUP(E3522,DATABASE!C:Q,8,false)</f>
        <v>IBU</v>
      </c>
      <c r="P3522" s="65">
        <f>VLOOKUP(E3522,DATABASE!C:Q,9,False)</f>
        <v>1</v>
      </c>
      <c r="Q3522" s="93" t="str">
        <f>VLOOKUP(E3522,DATABASE!C:Q,4,false)</f>
        <v>Dunlop</v>
      </c>
      <c r="R3522" s="93" t="str">
        <f>VLOOKUP(E3522,DATABASE!C:Q,11,false)</f>
        <v>Tire</v>
      </c>
    </row>
    <row r="3523" ht="22.5" customHeight="1">
      <c r="A3523" s="49"/>
      <c r="C3523" s="384">
        <v>45844.0</v>
      </c>
      <c r="D3523" s="65">
        <v>6363.0</v>
      </c>
      <c r="E3523" s="445" t="s">
        <v>569</v>
      </c>
      <c r="F3523" s="386">
        <v>1.0</v>
      </c>
      <c r="G3523" s="74">
        <v>80000.0</v>
      </c>
      <c r="H3523" s="74">
        <v>0.0</v>
      </c>
      <c r="I3523" s="74">
        <f t="shared" si="1"/>
        <v>80000</v>
      </c>
      <c r="J3523" s="74">
        <f>IF(E3523="SERVICE",I3523-(I3523*50%),Vlookup(E3523,DATABASE!C:Q,10,false)*F3523)</f>
        <v>0</v>
      </c>
      <c r="K3523" s="74">
        <f>VLOOKUP(E3523,DATABASE!C:Q,7,false)</f>
        <v>45439.582</v>
      </c>
      <c r="L3523" s="74">
        <v>45309.6</v>
      </c>
      <c r="M3523" s="74">
        <f t="shared" si="2"/>
        <v>50000</v>
      </c>
      <c r="N3523" s="74">
        <f t="shared" si="3"/>
        <v>30000</v>
      </c>
      <c r="O3523" s="65" t="str">
        <f>VLOOKUP(E3523,DATABASE!C:Q,8,false)</f>
        <v>BIAN</v>
      </c>
      <c r="P3523" s="65">
        <f>VLOOKUP(E3523,DATABASE!C:Q,9,False)</f>
        <v>1</v>
      </c>
      <c r="Q3523" s="93" t="str">
        <f>VLOOKUP(E3523,DATABASE!C:Q,4,false)</f>
        <v>BD</v>
      </c>
      <c r="R3523" s="93" t="str">
        <f>VLOOKUP(E3523,DATABASE!C:Q,11,false)</f>
        <v>Tire</v>
      </c>
    </row>
    <row r="3524" ht="22.5" customHeight="1">
      <c r="A3524" s="49"/>
      <c r="C3524" s="384">
        <v>45844.0</v>
      </c>
      <c r="D3524" s="65">
        <v>6364.0</v>
      </c>
      <c r="E3524" s="445" t="s">
        <v>256</v>
      </c>
      <c r="F3524" s="386">
        <v>1.0</v>
      </c>
      <c r="G3524" s="74">
        <v>110000.0</v>
      </c>
      <c r="H3524" s="74">
        <v>0.0</v>
      </c>
      <c r="I3524" s="74">
        <f t="shared" si="1"/>
        <v>110000</v>
      </c>
      <c r="J3524" s="74">
        <f>IF(E3524="SERVICE",I3524-(I3524*50%),Vlookup(E3524,DATABASE!C:Q,10,false)*F3524)</f>
        <v>10000</v>
      </c>
      <c r="K3524" s="74">
        <f>VLOOKUP(E3524,DATABASE!C:Q,7,false)</f>
        <v>0</v>
      </c>
      <c r="L3524" s="74">
        <v>0.0</v>
      </c>
      <c r="M3524" s="74">
        <f t="shared" si="2"/>
        <v>0</v>
      </c>
      <c r="N3524" s="74">
        <f t="shared" si="3"/>
        <v>100000</v>
      </c>
      <c r="O3524" s="65" t="str">
        <f>VLOOKUP(E3524,DATABASE!C:Q,8,false)</f>
        <v>IBU</v>
      </c>
      <c r="P3524" s="65">
        <f>VLOOKUP(E3524,DATABASE!C:Q,9,False)</f>
        <v>0</v>
      </c>
      <c r="Q3524" s="93" t="str">
        <f>VLOOKUP(E3524,DATABASE!C:Q,4,false)</f>
        <v>SPOORING</v>
      </c>
      <c r="R3524" s="93" t="str">
        <f>VLOOKUP(E3524,DATABASE!C:Q,11,false)</f>
        <v>SERVICE</v>
      </c>
    </row>
    <row r="3525" ht="22.5" customHeight="1">
      <c r="A3525" s="49"/>
      <c r="C3525" s="384">
        <v>45844.0</v>
      </c>
      <c r="D3525" s="65">
        <v>6364.0</v>
      </c>
      <c r="E3525" s="445" t="s">
        <v>251</v>
      </c>
      <c r="F3525" s="386">
        <v>1.0</v>
      </c>
      <c r="G3525" s="74">
        <v>150000.0</v>
      </c>
      <c r="H3525" s="74">
        <v>0.0</v>
      </c>
      <c r="I3525" s="74">
        <f t="shared" si="1"/>
        <v>150000</v>
      </c>
      <c r="J3525" s="74">
        <f>IF(E3525="SERVICE",I3525-(I3525*50%),Vlookup(E3525,DATABASE!C:Q,10,false)*F3525)</f>
        <v>75000</v>
      </c>
      <c r="K3525" s="74">
        <f>VLOOKUP(E3525,DATABASE!C:Q,7,false)</f>
        <v>0</v>
      </c>
      <c r="L3525" s="74">
        <v>0.0</v>
      </c>
      <c r="M3525" s="74">
        <f t="shared" si="2"/>
        <v>0</v>
      </c>
      <c r="N3525" s="74">
        <f t="shared" si="3"/>
        <v>75000</v>
      </c>
      <c r="O3525" s="65" t="str">
        <f>VLOOKUP(E3525,DATABASE!C:Q,8,false)</f>
        <v>IBU</v>
      </c>
      <c r="P3525" s="65">
        <f>VLOOKUP(E3525,DATABASE!C:Q,9,False)</f>
        <v>0</v>
      </c>
      <c r="Q3525" s="93" t="str">
        <f>VLOOKUP(E3525,DATABASE!C:Q,4,false)</f>
        <v>SERVICE</v>
      </c>
      <c r="R3525" s="93" t="str">
        <f>VLOOKUP(E3525,DATABASE!C:Q,11,false)</f>
        <v>SERVICE</v>
      </c>
    </row>
    <row r="3526" ht="22.5" customHeight="1">
      <c r="A3526" s="49"/>
      <c r="C3526" s="384">
        <v>45844.0</v>
      </c>
      <c r="D3526" s="65">
        <v>6365.0</v>
      </c>
      <c r="E3526" s="445" t="s">
        <v>569</v>
      </c>
      <c r="F3526" s="386">
        <v>1.0</v>
      </c>
      <c r="G3526" s="74">
        <v>80000.0</v>
      </c>
      <c r="H3526" s="74">
        <v>0.0</v>
      </c>
      <c r="I3526" s="74">
        <f t="shared" si="1"/>
        <v>80000</v>
      </c>
      <c r="J3526" s="74">
        <f>IF(E3526="SERVICE",I3526-(I3526*50%),Vlookup(E3526,DATABASE!C:Q,10,false)*F3526)</f>
        <v>0</v>
      </c>
      <c r="K3526" s="74">
        <f>VLOOKUP(E3526,DATABASE!C:Q,7,false)</f>
        <v>45439.582</v>
      </c>
      <c r="L3526" s="74">
        <v>45309.6</v>
      </c>
      <c r="M3526" s="74">
        <f t="shared" si="2"/>
        <v>50000</v>
      </c>
      <c r="N3526" s="74">
        <f t="shared" si="3"/>
        <v>30000</v>
      </c>
      <c r="O3526" s="65" t="str">
        <f>VLOOKUP(E3526,DATABASE!C:Q,8,false)</f>
        <v>BIAN</v>
      </c>
      <c r="P3526" s="65">
        <f>VLOOKUP(E3526,DATABASE!C:Q,9,False)</f>
        <v>1</v>
      </c>
      <c r="Q3526" s="93" t="str">
        <f>VLOOKUP(E3526,DATABASE!C:Q,4,false)</f>
        <v>BD</v>
      </c>
      <c r="R3526" s="93" t="str">
        <f>VLOOKUP(E3526,DATABASE!C:Q,11,false)</f>
        <v>Tire</v>
      </c>
    </row>
    <row r="3527" ht="22.5" customHeight="1">
      <c r="A3527" s="49"/>
      <c r="C3527" s="384">
        <v>45844.0</v>
      </c>
      <c r="D3527" s="65">
        <v>6366.0</v>
      </c>
      <c r="E3527" s="445" t="s">
        <v>613</v>
      </c>
      <c r="F3527" s="386">
        <v>1.0</v>
      </c>
      <c r="G3527" s="74">
        <v>95000.0</v>
      </c>
      <c r="H3527" s="74">
        <v>0.0</v>
      </c>
      <c r="I3527" s="74">
        <f t="shared" si="1"/>
        <v>95000</v>
      </c>
      <c r="J3527" s="74">
        <f>IF(E3527="SERVICE",I3527-(I3527*50%),Vlookup(E3527,DATABASE!C:Q,10,false)*F3527)</f>
        <v>0</v>
      </c>
      <c r="K3527" s="74">
        <f>VLOOKUP(E3527,DATABASE!C:Q,7,false)</f>
        <v>58371.2695</v>
      </c>
      <c r="L3527" s="74">
        <v>55000.0</v>
      </c>
      <c r="M3527" s="74">
        <f t="shared" si="2"/>
        <v>55000</v>
      </c>
      <c r="N3527" s="74">
        <f t="shared" si="3"/>
        <v>40000</v>
      </c>
      <c r="O3527" s="65" t="str">
        <f>VLOOKUP(E3527,DATABASE!C:Q,8,false)</f>
        <v>BIAN</v>
      </c>
      <c r="P3527" s="65">
        <f>VLOOKUP(E3527,DATABASE!C:Q,9,False)</f>
        <v>1</v>
      </c>
      <c r="Q3527" s="93" t="str">
        <f>VLOOKUP(E3527,DATABASE!C:Q,4,false)</f>
        <v>BD</v>
      </c>
      <c r="R3527" s="93" t="str">
        <f>VLOOKUP(E3527,DATABASE!C:Q,11,false)</f>
        <v>Tire</v>
      </c>
    </row>
    <row r="3528" ht="22.5" customHeight="1">
      <c r="A3528" s="49"/>
      <c r="C3528" s="384">
        <v>45844.0</v>
      </c>
      <c r="D3528" s="65">
        <v>6367.0</v>
      </c>
      <c r="E3528" s="445" t="s">
        <v>581</v>
      </c>
      <c r="F3528" s="386">
        <v>2.0</v>
      </c>
      <c r="G3528" s="74">
        <v>670000.0</v>
      </c>
      <c r="H3528" s="74">
        <v>0.0</v>
      </c>
      <c r="I3528" s="74">
        <f t="shared" si="1"/>
        <v>1340000</v>
      </c>
      <c r="J3528" s="74">
        <f>IF(E3528="SERVICE",I3528-(I3528*50%),Vlookup(E3528,DATABASE!C:Q,10,false)*F3528)</f>
        <v>0</v>
      </c>
      <c r="K3528" s="74">
        <f>VLOOKUP(E3528,DATABASE!C:Q,7,false)</f>
        <v>542528</v>
      </c>
      <c r="L3528" s="74">
        <v>577500.0</v>
      </c>
      <c r="M3528" s="74">
        <f t="shared" si="2"/>
        <v>580000</v>
      </c>
      <c r="N3528" s="74">
        <f t="shared" si="3"/>
        <v>180000</v>
      </c>
      <c r="O3528" s="65" t="str">
        <f>VLOOKUP(E3528,DATABASE!C:Q,8,false)</f>
        <v>IBU</v>
      </c>
      <c r="P3528" s="65">
        <f>VLOOKUP(E3528,DATABASE!C:Q,9,False)</f>
        <v>1</v>
      </c>
      <c r="Q3528" s="93" t="str">
        <f>VLOOKUP(E3528,DATABASE!C:Q,4,false)</f>
        <v>Bridgestone</v>
      </c>
      <c r="R3528" s="93" t="str">
        <f>VLOOKUP(E3528,DATABASE!C:Q,11,false)</f>
        <v>Tire</v>
      </c>
    </row>
    <row r="3529" ht="22.5" customHeight="1">
      <c r="A3529" s="49"/>
      <c r="C3529" s="384">
        <v>45844.0</v>
      </c>
      <c r="D3529" s="65">
        <v>6368.0</v>
      </c>
      <c r="E3529" s="445" t="s">
        <v>271</v>
      </c>
      <c r="F3529" s="386">
        <v>1.0</v>
      </c>
      <c r="G3529" s="74">
        <v>640000.0</v>
      </c>
      <c r="H3529" s="74">
        <v>0.0</v>
      </c>
      <c r="I3529" s="74">
        <f t="shared" si="1"/>
        <v>640000</v>
      </c>
      <c r="J3529" s="74">
        <f>IF(E3529="SERVICE",I3529-(I3529*50%),Vlookup(E3529,DATABASE!C:Q,10,false)*F3529)</f>
        <v>0</v>
      </c>
      <c r="K3529" s="74">
        <f>VLOOKUP(E3529,DATABASE!C:Q,7,false)</f>
        <v>570000</v>
      </c>
      <c r="L3529" s="74">
        <v>539000.0</v>
      </c>
      <c r="M3529" s="74">
        <f t="shared" si="2"/>
        <v>540000</v>
      </c>
      <c r="N3529" s="74">
        <f t="shared" si="3"/>
        <v>100000</v>
      </c>
      <c r="O3529" s="65" t="str">
        <f>VLOOKUP(E3529,DATABASE!C:Q,8,false)</f>
        <v>IBU</v>
      </c>
      <c r="P3529" s="65">
        <f>VLOOKUP(E3529,DATABASE!C:Q,9,False)</f>
        <v>1</v>
      </c>
      <c r="Q3529" s="93" t="str">
        <f>VLOOKUP(E3529,DATABASE!C:Q,4,false)</f>
        <v>Dunlop</v>
      </c>
      <c r="R3529" s="93" t="str">
        <f>VLOOKUP(E3529,DATABASE!C:Q,11,false)</f>
        <v>Tire</v>
      </c>
    </row>
    <row r="3530" ht="22.5" customHeight="1">
      <c r="A3530" s="49"/>
      <c r="C3530" s="384">
        <v>45844.0</v>
      </c>
      <c r="D3530" s="65">
        <v>6369.0</v>
      </c>
      <c r="E3530" s="445" t="s">
        <v>268</v>
      </c>
      <c r="F3530" s="386">
        <v>1.0</v>
      </c>
      <c r="G3530" s="74">
        <v>720000.0</v>
      </c>
      <c r="H3530" s="74">
        <v>0.0</v>
      </c>
      <c r="I3530" s="74">
        <f t="shared" si="1"/>
        <v>720000</v>
      </c>
      <c r="J3530" s="74">
        <f>IF(E3530="SERVICE",I3530-(I3530*50%),Vlookup(E3530,DATABASE!C:Q,10,false)*F3530)</f>
        <v>0</v>
      </c>
      <c r="K3530" s="74">
        <f>VLOOKUP(E3530,DATABASE!C:Q,7,false)</f>
        <v>653000</v>
      </c>
      <c r="L3530" s="74">
        <v>622000.0</v>
      </c>
      <c r="M3530" s="74">
        <f t="shared" si="2"/>
        <v>625000</v>
      </c>
      <c r="N3530" s="74">
        <f t="shared" si="3"/>
        <v>95000</v>
      </c>
      <c r="O3530" s="65" t="str">
        <f>VLOOKUP(E3530,DATABASE!C:Q,8,false)</f>
        <v>IBU</v>
      </c>
      <c r="P3530" s="65">
        <f>VLOOKUP(E3530,DATABASE!C:Q,9,False)</f>
        <v>1</v>
      </c>
      <c r="Q3530" s="93" t="str">
        <f>VLOOKUP(E3530,DATABASE!C:Q,4,false)</f>
        <v>Dunlop</v>
      </c>
      <c r="R3530" s="93" t="str">
        <f>VLOOKUP(E3530,DATABASE!C:Q,11,false)</f>
        <v>Tire</v>
      </c>
    </row>
    <row r="3531" ht="22.5" customHeight="1">
      <c r="A3531" s="49"/>
      <c r="C3531" s="384">
        <v>45844.0</v>
      </c>
      <c r="D3531" s="65">
        <v>6371.0</v>
      </c>
      <c r="E3531" s="445" t="s">
        <v>777</v>
      </c>
      <c r="F3531" s="386">
        <v>1.0</v>
      </c>
      <c r="G3531" s="74">
        <v>580000.0</v>
      </c>
      <c r="H3531" s="74">
        <v>0.0</v>
      </c>
      <c r="I3531" s="74">
        <f t="shared" si="1"/>
        <v>580000</v>
      </c>
      <c r="J3531" s="74">
        <f>IF(E3531="SERVICE",I3531-(I3531*50%),Vlookup(E3531,DATABASE!C:Q,10,false)*F3531)</f>
        <v>0</v>
      </c>
      <c r="K3531" s="74">
        <f>VLOOKUP(E3531,DATABASE!C:Q,7,false)</f>
        <v>540000</v>
      </c>
      <c r="L3531" s="74">
        <v>507000.0</v>
      </c>
      <c r="M3531" s="74">
        <f t="shared" si="2"/>
        <v>510000</v>
      </c>
      <c r="N3531" s="74">
        <f t="shared" si="3"/>
        <v>70000</v>
      </c>
      <c r="O3531" s="65" t="str">
        <f>VLOOKUP(E3531,DATABASE!C:Q,8,false)</f>
        <v>BIAN</v>
      </c>
      <c r="P3531" s="65">
        <f>VLOOKUP(E3531,DATABASE!C:Q,9,False)</f>
        <v>1</v>
      </c>
      <c r="Q3531" s="93" t="str">
        <f>VLOOKUP(E3531,DATABASE!C:Q,4,false)</f>
        <v>GT</v>
      </c>
      <c r="R3531" s="93" t="str">
        <f>VLOOKUP(E3531,DATABASE!C:Q,11,false)</f>
        <v>Tire</v>
      </c>
    </row>
    <row r="3532" ht="22.5" customHeight="1">
      <c r="A3532" s="49"/>
      <c r="C3532" s="384">
        <v>45844.0</v>
      </c>
      <c r="D3532" s="65">
        <v>6372.0</v>
      </c>
      <c r="E3532" s="445" t="s">
        <v>2019</v>
      </c>
      <c r="F3532" s="386">
        <v>1.0</v>
      </c>
      <c r="G3532" s="74">
        <v>685000.0</v>
      </c>
      <c r="H3532" s="74">
        <v>0.0</v>
      </c>
      <c r="I3532" s="74">
        <f t="shared" si="1"/>
        <v>685000</v>
      </c>
      <c r="J3532" s="74">
        <f>IF(E3532="SERVICE",I3532-(I3532*50%),Vlookup(E3532,DATABASE!C:Q,10,false)*F3532)</f>
        <v>0</v>
      </c>
      <c r="K3532" s="74">
        <f>VLOOKUP(E3532,DATABASE!C:Q,7,false)</f>
        <v>620000</v>
      </c>
      <c r="L3532" s="74">
        <v>585000.0</v>
      </c>
      <c r="M3532" s="74">
        <f t="shared" si="2"/>
        <v>585000</v>
      </c>
      <c r="N3532" s="74">
        <f t="shared" si="3"/>
        <v>100000</v>
      </c>
      <c r="O3532" s="65" t="str">
        <f>VLOOKUP(E3532,DATABASE!C:Q,8,false)</f>
        <v>BIAN</v>
      </c>
      <c r="P3532" s="65">
        <f>VLOOKUP(E3532,DATABASE!C:Q,9,False)</f>
        <v>1</v>
      </c>
      <c r="Q3532" s="93" t="str">
        <f>VLOOKUP(E3532,DATABASE!C:Q,4,false)</f>
        <v>GT</v>
      </c>
      <c r="R3532" s="93" t="str">
        <f>VLOOKUP(E3532,DATABASE!C:Q,11,false)</f>
        <v>Tire</v>
      </c>
    </row>
    <row r="3533" ht="22.5" customHeight="1">
      <c r="A3533" s="49"/>
      <c r="C3533" s="384">
        <v>45844.0</v>
      </c>
      <c r="D3533" s="65">
        <v>6373.0</v>
      </c>
      <c r="E3533" s="445" t="s">
        <v>301</v>
      </c>
      <c r="F3533" s="386">
        <v>1.0</v>
      </c>
      <c r="G3533" s="74">
        <v>250000.0</v>
      </c>
      <c r="H3533" s="74">
        <v>0.0</v>
      </c>
      <c r="I3533" s="74">
        <f t="shared" si="1"/>
        <v>250000</v>
      </c>
      <c r="J3533" s="74">
        <f>IF(E3533="SERVICE",I3533-(I3533*50%),Vlookup(E3533,DATABASE!C:Q,10,false)*F3533)</f>
        <v>75000</v>
      </c>
      <c r="K3533" s="74">
        <f>VLOOKUP(E3533,DATABASE!C:Q,7,false)</f>
        <v>75000</v>
      </c>
      <c r="L3533" s="74">
        <v>75000.0</v>
      </c>
      <c r="M3533" s="74">
        <f t="shared" si="2"/>
        <v>75000</v>
      </c>
      <c r="N3533" s="74">
        <f t="shared" si="3"/>
        <v>100000</v>
      </c>
      <c r="O3533" s="65" t="str">
        <f>VLOOKUP(E3533,DATABASE!C:Q,8,false)</f>
        <v>BIAN</v>
      </c>
      <c r="P3533" s="65">
        <f>VLOOKUP(E3533,DATABASE!C:Q,9,False)</f>
        <v>0</v>
      </c>
      <c r="Q3533" s="93" t="str">
        <f>VLOOKUP(E3533,DATABASE!C:Q,4,false)</f>
        <v>Baut Camber</v>
      </c>
      <c r="R3533" s="93" t="str">
        <f>VLOOKUP(E3533,DATABASE!C:Q,11,false)</f>
        <v>COMPLEMENTARY</v>
      </c>
    </row>
    <row r="3534" ht="22.5" customHeight="1">
      <c r="A3534" s="49"/>
      <c r="C3534" s="384">
        <v>45844.0</v>
      </c>
      <c r="D3534" s="65">
        <v>6374.0</v>
      </c>
      <c r="E3534" s="445" t="s">
        <v>1704</v>
      </c>
      <c r="F3534" s="386">
        <v>1.0</v>
      </c>
      <c r="G3534" s="74">
        <v>820000.0</v>
      </c>
      <c r="H3534" s="74">
        <v>0.0</v>
      </c>
      <c r="I3534" s="74">
        <f t="shared" si="1"/>
        <v>820000</v>
      </c>
      <c r="J3534" s="74">
        <f>IF(E3534="SERVICE",I3534-(I3534*50%),Vlookup(E3534,DATABASE!C:Q,10,false)*F3534)</f>
        <v>0</v>
      </c>
      <c r="K3534" s="74">
        <f>VLOOKUP(E3534,DATABASE!C:Q,7,false)</f>
        <v>787500</v>
      </c>
      <c r="L3534" s="74">
        <v>695000.0</v>
      </c>
      <c r="M3534" s="74">
        <f t="shared" si="2"/>
        <v>695000</v>
      </c>
      <c r="N3534" s="74">
        <f t="shared" si="3"/>
        <v>125000</v>
      </c>
      <c r="O3534" s="65" t="str">
        <f>VLOOKUP(E3534,DATABASE!C:Q,8,false)</f>
        <v>BIAN</v>
      </c>
      <c r="P3534" s="65">
        <f>VLOOKUP(E3534,DATABASE!C:Q,9,False)</f>
        <v>1</v>
      </c>
      <c r="Q3534" s="93" t="str">
        <f>VLOOKUP(E3534,DATABASE!C:Q,4,false)</f>
        <v>GT</v>
      </c>
      <c r="R3534" s="93" t="str">
        <f>VLOOKUP(E3534,DATABASE!C:Q,11,false)</f>
        <v>Tire</v>
      </c>
    </row>
    <row r="3535" ht="22.5" customHeight="1">
      <c r="A3535" s="49"/>
      <c r="C3535" s="384">
        <v>45844.0</v>
      </c>
      <c r="D3535" s="65">
        <v>6375.0</v>
      </c>
      <c r="E3535" s="445" t="s">
        <v>600</v>
      </c>
      <c r="F3535" s="386">
        <v>2.0</v>
      </c>
      <c r="G3535" s="74">
        <v>675000.0</v>
      </c>
      <c r="H3535" s="74">
        <v>0.0</v>
      </c>
      <c r="I3535" s="74">
        <f t="shared" si="1"/>
        <v>1350000</v>
      </c>
      <c r="J3535" s="74">
        <f>IF(E3535="SERVICE",I3535-(I3535*50%),Vlookup(E3535,DATABASE!C:Q,10,false)*F3535)</f>
        <v>0</v>
      </c>
      <c r="K3535" s="74">
        <f>VLOOKUP(E3535,DATABASE!C:Q,7,false)</f>
        <v>611109.16</v>
      </c>
      <c r="L3535" s="74">
        <v>572762.4</v>
      </c>
      <c r="M3535" s="74">
        <f t="shared" si="2"/>
        <v>575000</v>
      </c>
      <c r="N3535" s="74">
        <f t="shared" si="3"/>
        <v>200000</v>
      </c>
      <c r="O3535" s="65" t="str">
        <f>VLOOKUP(E3535,DATABASE!C:Q,8,false)</f>
        <v>IBU</v>
      </c>
      <c r="P3535" s="65">
        <f>VLOOKUP(E3535,DATABASE!C:Q,9,False)</f>
        <v>1</v>
      </c>
      <c r="Q3535" s="93" t="str">
        <f>VLOOKUP(E3535,DATABASE!C:Q,4,false)</f>
        <v>Bridgestone</v>
      </c>
      <c r="R3535" s="93" t="str">
        <f>VLOOKUP(E3535,DATABASE!C:Q,11,false)</f>
        <v>Tire</v>
      </c>
    </row>
    <row r="3536" ht="22.5" customHeight="1">
      <c r="A3536" s="49"/>
      <c r="C3536" s="384">
        <v>45844.0</v>
      </c>
      <c r="D3536" s="65">
        <v>6376.0</v>
      </c>
      <c r="E3536" s="445" t="s">
        <v>600</v>
      </c>
      <c r="F3536" s="386">
        <v>1.0</v>
      </c>
      <c r="G3536" s="74">
        <v>675000.0</v>
      </c>
      <c r="H3536" s="74">
        <v>0.0</v>
      </c>
      <c r="I3536" s="74">
        <f t="shared" si="1"/>
        <v>675000</v>
      </c>
      <c r="J3536" s="74">
        <f>IF(E3536="SERVICE",I3536-(I3536*50%),Vlookup(E3536,DATABASE!C:Q,10,false)*F3536)</f>
        <v>0</v>
      </c>
      <c r="K3536" s="74">
        <f>VLOOKUP(E3536,DATABASE!C:Q,7,false)</f>
        <v>611109.16</v>
      </c>
      <c r="L3536" s="74">
        <v>572762.4</v>
      </c>
      <c r="M3536" s="74">
        <f t="shared" si="2"/>
        <v>575000</v>
      </c>
      <c r="N3536" s="74">
        <f t="shared" si="3"/>
        <v>100000</v>
      </c>
      <c r="O3536" s="65" t="str">
        <f>VLOOKUP(E3536,DATABASE!C:Q,8,false)</f>
        <v>IBU</v>
      </c>
      <c r="P3536" s="65">
        <f>VLOOKUP(E3536,DATABASE!C:Q,9,False)</f>
        <v>1</v>
      </c>
      <c r="Q3536" s="93" t="str">
        <f>VLOOKUP(E3536,DATABASE!C:Q,4,false)</f>
        <v>Bridgestone</v>
      </c>
      <c r="R3536" s="93" t="str">
        <f>VLOOKUP(E3536,DATABASE!C:Q,11,false)</f>
        <v>Tire</v>
      </c>
    </row>
    <row r="3537" ht="22.5" customHeight="1">
      <c r="A3537" s="49"/>
      <c r="C3537" s="384">
        <v>45845.0</v>
      </c>
      <c r="D3537" s="65">
        <v>6378.0</v>
      </c>
      <c r="E3537" s="445" t="s">
        <v>932</v>
      </c>
      <c r="F3537" s="386">
        <v>2.0</v>
      </c>
      <c r="G3537" s="74">
        <v>700000.0</v>
      </c>
      <c r="H3537" s="74">
        <v>0.0</v>
      </c>
      <c r="I3537" s="74">
        <f t="shared" si="1"/>
        <v>1400000</v>
      </c>
      <c r="J3537" s="74">
        <f>IF(E3537="SERVICE",I3537-(I3537*50%),Vlookup(E3537,DATABASE!C:Q,10,false)*F3537)</f>
        <v>0</v>
      </c>
      <c r="K3537" s="74">
        <f>VLOOKUP(E3537,DATABASE!C:Q,7,false)</f>
        <v>601000</v>
      </c>
      <c r="L3537" s="74">
        <v>595000.0</v>
      </c>
      <c r="M3537" s="74">
        <f t="shared" si="2"/>
        <v>595000</v>
      </c>
      <c r="N3537" s="74">
        <f t="shared" si="3"/>
        <v>210000</v>
      </c>
      <c r="O3537" s="65" t="str">
        <f>VLOOKUP(E3537,DATABASE!C:Q,8,false)</f>
        <v>IBU</v>
      </c>
      <c r="P3537" s="65">
        <f>VLOOKUP(E3537,DATABASE!C:Q,9,False)</f>
        <v>1</v>
      </c>
      <c r="Q3537" s="93" t="str">
        <f>VLOOKUP(E3537,DATABASE!C:Q,4,false)</f>
        <v>Dunlop</v>
      </c>
      <c r="R3537" s="93" t="str">
        <f>VLOOKUP(E3537,DATABASE!C:Q,11,false)</f>
        <v>Tire</v>
      </c>
    </row>
    <row r="3538" ht="22.5" customHeight="1">
      <c r="A3538" s="49"/>
      <c r="C3538" s="384">
        <v>45845.0</v>
      </c>
      <c r="D3538" s="65">
        <v>6379.0</v>
      </c>
      <c r="E3538" s="445" t="s">
        <v>288</v>
      </c>
      <c r="F3538" s="386">
        <v>1.0</v>
      </c>
      <c r="G3538" s="74">
        <v>620000.0</v>
      </c>
      <c r="H3538" s="74">
        <v>0.0</v>
      </c>
      <c r="I3538" s="74">
        <f t="shared" si="1"/>
        <v>620000</v>
      </c>
      <c r="J3538" s="74">
        <f>IF(E3538="SERVICE",I3538-(I3538*50%),Vlookup(E3538,DATABASE!C:Q,10,false)*F3538)</f>
        <v>0</v>
      </c>
      <c r="K3538" s="74">
        <f>VLOOKUP(E3538,DATABASE!C:Q,7,false)</f>
        <v>565760</v>
      </c>
      <c r="L3538" s="74">
        <v>524800.0</v>
      </c>
      <c r="M3538" s="74">
        <f t="shared" si="2"/>
        <v>525000</v>
      </c>
      <c r="N3538" s="74">
        <f t="shared" si="3"/>
        <v>95000</v>
      </c>
      <c r="O3538" s="65" t="str">
        <f>VLOOKUP(E3538,DATABASE!C:Q,8,false)</f>
        <v>BIAN</v>
      </c>
      <c r="P3538" s="65">
        <f>VLOOKUP(E3538,DATABASE!C:Q,9,False)</f>
        <v>1</v>
      </c>
      <c r="Q3538" s="93" t="str">
        <f>VLOOKUP(E3538,DATABASE!C:Q,4,false)</f>
        <v>GT</v>
      </c>
      <c r="R3538" s="93" t="str">
        <f>VLOOKUP(E3538,DATABASE!C:Q,11,false)</f>
        <v>Tire</v>
      </c>
    </row>
    <row r="3539" ht="22.5" customHeight="1">
      <c r="A3539" s="49"/>
      <c r="C3539" s="384">
        <v>45845.0</v>
      </c>
      <c r="D3539" s="65">
        <v>6380.0</v>
      </c>
      <c r="E3539" s="445" t="s">
        <v>554</v>
      </c>
      <c r="F3539" s="386">
        <v>2.0</v>
      </c>
      <c r="G3539" s="74">
        <v>800000.0</v>
      </c>
      <c r="H3539" s="74">
        <v>0.0</v>
      </c>
      <c r="I3539" s="74">
        <f t="shared" si="1"/>
        <v>1600000</v>
      </c>
      <c r="J3539" s="74">
        <f>IF(E3539="SERVICE",I3539-(I3539*50%),Vlookup(E3539,DATABASE!C:Q,10,false)*F3539)</f>
        <v>0</v>
      </c>
      <c r="K3539" s="74">
        <f>VLOOKUP(E3539,DATABASE!C:Q,7,false)</f>
        <v>710000</v>
      </c>
      <c r="L3539" s="74">
        <v>680000.0</v>
      </c>
      <c r="M3539" s="74">
        <f t="shared" si="2"/>
        <v>680000</v>
      </c>
      <c r="N3539" s="74">
        <f t="shared" si="3"/>
        <v>240000</v>
      </c>
      <c r="O3539" s="65" t="str">
        <f>VLOOKUP(E3539,DATABASE!C:Q,8,false)</f>
        <v>IBU</v>
      </c>
      <c r="P3539" s="65">
        <f>VLOOKUP(E3539,DATABASE!C:Q,9,False)</f>
        <v>1</v>
      </c>
      <c r="Q3539" s="93" t="str">
        <f>VLOOKUP(E3539,DATABASE!C:Q,4,false)</f>
        <v>Bridgestone</v>
      </c>
      <c r="R3539" s="93" t="str">
        <f>VLOOKUP(E3539,DATABASE!C:Q,11,false)</f>
        <v>Tire</v>
      </c>
    </row>
    <row r="3540" ht="22.5" customHeight="1">
      <c r="A3540" s="49"/>
      <c r="C3540" s="384">
        <v>45845.0</v>
      </c>
      <c r="D3540" s="65">
        <v>6382.0</v>
      </c>
      <c r="E3540" s="445" t="s">
        <v>940</v>
      </c>
      <c r="F3540" s="386">
        <v>1.0</v>
      </c>
      <c r="G3540" s="74">
        <v>820000.0</v>
      </c>
      <c r="H3540" s="74">
        <v>0.0</v>
      </c>
      <c r="I3540" s="74">
        <f t="shared" si="1"/>
        <v>820000</v>
      </c>
      <c r="J3540" s="74">
        <f>IF(E3540="SERVICE",I3540-(I3540*50%),Vlookup(E3540,DATABASE!C:Q,10,false)*F3540)</f>
        <v>0</v>
      </c>
      <c r="K3540" s="74">
        <f>VLOOKUP(E3540,DATABASE!C:Q,7,false)</f>
        <v>716500</v>
      </c>
      <c r="L3540" s="74">
        <v>709000.0</v>
      </c>
      <c r="M3540" s="74">
        <f t="shared" si="2"/>
        <v>710000</v>
      </c>
      <c r="N3540" s="74">
        <f t="shared" si="3"/>
        <v>110000</v>
      </c>
      <c r="O3540" s="65" t="str">
        <f>VLOOKUP(E3540,DATABASE!C:Q,8,false)</f>
        <v>IBU</v>
      </c>
      <c r="P3540" s="65">
        <f>VLOOKUP(E3540,DATABASE!C:Q,9,False)</f>
        <v>1</v>
      </c>
      <c r="Q3540" s="93" t="str">
        <f>VLOOKUP(E3540,DATABASE!C:Q,4,false)</f>
        <v>Dunlop</v>
      </c>
      <c r="R3540" s="93" t="str">
        <f>VLOOKUP(E3540,DATABASE!C:Q,11,false)</f>
        <v>Tire</v>
      </c>
    </row>
    <row r="3541" ht="22.5" customHeight="1">
      <c r="A3541" s="49"/>
      <c r="C3541" s="384">
        <v>45845.0</v>
      </c>
      <c r="D3541" s="65">
        <v>6383.0</v>
      </c>
      <c r="E3541" s="445" t="s">
        <v>1439</v>
      </c>
      <c r="F3541" s="386">
        <v>1.0</v>
      </c>
      <c r="G3541" s="74">
        <v>630000.0</v>
      </c>
      <c r="H3541" s="74">
        <v>0.0</v>
      </c>
      <c r="I3541" s="74">
        <f t="shared" si="1"/>
        <v>630000</v>
      </c>
      <c r="J3541" s="74">
        <f>IF(E3541="SERVICE",I3541-(I3541*50%),Vlookup(E3541,DATABASE!C:Q,10,false)*F3541)</f>
        <v>0</v>
      </c>
      <c r="K3541" s="74">
        <f>VLOOKUP(E3541,DATABASE!C:Q,7,false)</f>
        <v>556800</v>
      </c>
      <c r="L3541" s="74">
        <v>540800.0</v>
      </c>
      <c r="M3541" s="74">
        <f t="shared" si="2"/>
        <v>545000</v>
      </c>
      <c r="N3541" s="74">
        <f t="shared" si="3"/>
        <v>85000</v>
      </c>
      <c r="O3541" s="65" t="str">
        <f>VLOOKUP(E3541,DATABASE!C:Q,8,false)</f>
        <v>BIAN</v>
      </c>
      <c r="P3541" s="65">
        <f>VLOOKUP(E3541,DATABASE!C:Q,9,False)</f>
        <v>1</v>
      </c>
      <c r="Q3541" s="93" t="str">
        <f>VLOOKUP(E3541,DATABASE!C:Q,4,false)</f>
        <v>GT</v>
      </c>
      <c r="R3541" s="93" t="str">
        <f>VLOOKUP(E3541,DATABASE!C:Q,11,false)</f>
        <v>Tire</v>
      </c>
    </row>
    <row r="3542" ht="22.5" customHeight="1">
      <c r="A3542" s="49"/>
      <c r="C3542" s="384">
        <v>45845.0</v>
      </c>
      <c r="D3542" s="65">
        <v>6384.0</v>
      </c>
      <c r="E3542" s="445" t="s">
        <v>262</v>
      </c>
      <c r="F3542" s="386">
        <v>1.0</v>
      </c>
      <c r="G3542" s="74">
        <v>110000.0</v>
      </c>
      <c r="H3542" s="74">
        <v>0.0</v>
      </c>
      <c r="I3542" s="74">
        <f t="shared" si="1"/>
        <v>110000</v>
      </c>
      <c r="J3542" s="74">
        <f>IF(E3542="SERVICE",I3542-(I3542*50%),Vlookup(E3542,DATABASE!C:Q,10,false)*F3542)</f>
        <v>5000</v>
      </c>
      <c r="K3542" s="74">
        <f>VLOOKUP(E3542,DATABASE!C:Q,7,false)</f>
        <v>0</v>
      </c>
      <c r="L3542" s="74">
        <v>0.0</v>
      </c>
      <c r="M3542" s="74">
        <f t="shared" si="2"/>
        <v>0</v>
      </c>
      <c r="N3542" s="74">
        <f t="shared" si="3"/>
        <v>105000</v>
      </c>
      <c r="O3542" s="65" t="str">
        <f>VLOOKUP(E3542,DATABASE!C:Q,8,false)</f>
        <v>IBU</v>
      </c>
      <c r="P3542" s="65">
        <f>VLOOKUP(E3542,DATABASE!C:Q,9,False)</f>
        <v>0</v>
      </c>
      <c r="Q3542" s="93" t="str">
        <f>VLOOKUP(E3542,DATABASE!C:Q,4,false)</f>
        <v>SPOORING SS/CARRY LOS BAK</v>
      </c>
      <c r="R3542" s="93" t="str">
        <f>VLOOKUP(E3542,DATABASE!C:Q,11,false)</f>
        <v>SERVICE</v>
      </c>
    </row>
    <row r="3543" ht="22.5" customHeight="1">
      <c r="A3543" s="49"/>
      <c r="C3543" s="384">
        <v>45845.0</v>
      </c>
      <c r="D3543" s="65">
        <v>6384.0</v>
      </c>
      <c r="E3543" s="445" t="s">
        <v>478</v>
      </c>
      <c r="F3543" s="386">
        <v>1.0</v>
      </c>
      <c r="G3543" s="74">
        <v>200000.0</v>
      </c>
      <c r="H3543" s="74">
        <v>0.0</v>
      </c>
      <c r="I3543" s="74">
        <f t="shared" si="1"/>
        <v>200000</v>
      </c>
      <c r="J3543" s="74">
        <f>IF(E3543="SERVICE",I3543-(I3543*50%),Vlookup(E3543,DATABASE!C:Q,10,false)*F3543)</f>
        <v>25000</v>
      </c>
      <c r="K3543" s="74">
        <f>VLOOKUP(E3543,DATABASE!C:Q,7,false)</f>
        <v>75000</v>
      </c>
      <c r="L3543" s="74">
        <v>75000.0</v>
      </c>
      <c r="M3543" s="74">
        <f t="shared" si="2"/>
        <v>75000</v>
      </c>
      <c r="N3543" s="74">
        <f t="shared" si="3"/>
        <v>100000</v>
      </c>
      <c r="O3543" s="65" t="str">
        <f>VLOOKUP(E3543,DATABASE!C:Q,8,false)</f>
        <v>BIAN</v>
      </c>
      <c r="P3543" s="65">
        <f>VLOOKUP(E3543,DATABASE!C:Q,9,False)</f>
        <v>0</v>
      </c>
      <c r="Q3543" s="93" t="str">
        <f>VLOOKUP(E3543,DATABASE!C:Q,4,false)</f>
        <v>Baut Camber ss-carry</v>
      </c>
      <c r="R3543" s="93" t="str">
        <f>VLOOKUP(E3543,DATABASE!C:Q,11,false)</f>
        <v>COMPLEMENTARY</v>
      </c>
    </row>
    <row r="3544" ht="22.5" customHeight="1">
      <c r="A3544" s="49"/>
      <c r="C3544" s="384">
        <v>45845.0</v>
      </c>
      <c r="D3544" s="65">
        <v>6384.0</v>
      </c>
      <c r="E3544" s="445" t="s">
        <v>251</v>
      </c>
      <c r="F3544" s="386">
        <v>1.0</v>
      </c>
      <c r="G3544" s="74">
        <v>220000.0</v>
      </c>
      <c r="H3544" s="74">
        <v>0.0</v>
      </c>
      <c r="I3544" s="74">
        <f t="shared" si="1"/>
        <v>220000</v>
      </c>
      <c r="J3544" s="74">
        <f>IF(E3544="SERVICE",I3544-(I3544*50%),Vlookup(E3544,DATABASE!C:Q,10,false)*F3544)</f>
        <v>110000</v>
      </c>
      <c r="K3544" s="74">
        <f>VLOOKUP(E3544,DATABASE!C:Q,7,false)</f>
        <v>0</v>
      </c>
      <c r="L3544" s="74">
        <v>0.0</v>
      </c>
      <c r="M3544" s="74">
        <f t="shared" si="2"/>
        <v>0</v>
      </c>
      <c r="N3544" s="74">
        <f t="shared" si="3"/>
        <v>110000</v>
      </c>
      <c r="O3544" s="65" t="str">
        <f>VLOOKUP(E3544,DATABASE!C:Q,8,false)</f>
        <v>IBU</v>
      </c>
      <c r="P3544" s="65">
        <f>VLOOKUP(E3544,DATABASE!C:Q,9,False)</f>
        <v>0</v>
      </c>
      <c r="Q3544" s="93" t="str">
        <f>VLOOKUP(E3544,DATABASE!C:Q,4,false)</f>
        <v>SERVICE</v>
      </c>
      <c r="R3544" s="93" t="str">
        <f>VLOOKUP(E3544,DATABASE!C:Q,11,false)</f>
        <v>SERVICE</v>
      </c>
    </row>
    <row r="3545" ht="22.5" customHeight="1">
      <c r="A3545" s="49"/>
      <c r="C3545" s="384">
        <v>45845.0</v>
      </c>
      <c r="D3545" s="65">
        <v>6386.0</v>
      </c>
      <c r="E3545" s="445" t="s">
        <v>246</v>
      </c>
      <c r="F3545" s="386">
        <v>2.0</v>
      </c>
      <c r="G3545" s="74">
        <v>50000.0</v>
      </c>
      <c r="H3545" s="74">
        <v>0.0</v>
      </c>
      <c r="I3545" s="74">
        <f t="shared" si="1"/>
        <v>100000</v>
      </c>
      <c r="J3545" s="74">
        <f>IF(E3545="SERVICE",I3545-(I3545*50%),Vlookup(E3545,DATABASE!C:Q,10,false)*F3545)</f>
        <v>0</v>
      </c>
      <c r="K3545" s="74">
        <f>VLOOKUP(E3545,DATABASE!C:Q,7,false)</f>
        <v>0</v>
      </c>
      <c r="L3545" s="74">
        <v>0.0</v>
      </c>
      <c r="M3545" s="74">
        <f t="shared" si="2"/>
        <v>0</v>
      </c>
      <c r="N3545" s="74">
        <f t="shared" si="3"/>
        <v>100000</v>
      </c>
      <c r="O3545" s="65" t="str">
        <f>VLOOKUP(E3545,DATABASE!C:Q,8,false)</f>
        <v>IBU</v>
      </c>
      <c r="P3545" s="65">
        <f>VLOOKUP(E3545,DATABASE!C:Q,9,False)</f>
        <v>0</v>
      </c>
      <c r="Q3545" s="93" t="str">
        <f>VLOOKUP(E3545,DATABASE!C:Q,4,false)</f>
        <v>Bongkar Pasang</v>
      </c>
      <c r="R3545" s="93" t="str">
        <f>VLOOKUP(E3545,DATABASE!C:Q,11,false)</f>
        <v>SERVICE</v>
      </c>
    </row>
    <row r="3546" ht="22.5" customHeight="1">
      <c r="A3546" s="49"/>
      <c r="C3546" s="384">
        <v>45845.0</v>
      </c>
      <c r="D3546" s="65">
        <v>6387.0</v>
      </c>
      <c r="E3546" s="445" t="s">
        <v>600</v>
      </c>
      <c r="F3546" s="386">
        <v>2.0</v>
      </c>
      <c r="G3546" s="74">
        <v>675000.0</v>
      </c>
      <c r="H3546" s="74">
        <v>0.0</v>
      </c>
      <c r="I3546" s="74">
        <f t="shared" si="1"/>
        <v>1350000</v>
      </c>
      <c r="J3546" s="74">
        <f>IF(E3546="SERVICE",I3546-(I3546*50%),Vlookup(E3546,DATABASE!C:Q,10,false)*F3546)</f>
        <v>0</v>
      </c>
      <c r="K3546" s="74">
        <f>VLOOKUP(E3546,DATABASE!C:Q,7,false)</f>
        <v>611109.16</v>
      </c>
      <c r="L3546" s="74">
        <v>572762.4</v>
      </c>
      <c r="M3546" s="74">
        <f t="shared" si="2"/>
        <v>575000</v>
      </c>
      <c r="N3546" s="74">
        <f t="shared" si="3"/>
        <v>200000</v>
      </c>
      <c r="O3546" s="65" t="str">
        <f>VLOOKUP(E3546,DATABASE!C:Q,8,false)</f>
        <v>IBU</v>
      </c>
      <c r="P3546" s="65">
        <f>VLOOKUP(E3546,DATABASE!C:Q,9,False)</f>
        <v>1</v>
      </c>
      <c r="Q3546" s="93" t="str">
        <f>VLOOKUP(E3546,DATABASE!C:Q,4,false)</f>
        <v>Bridgestone</v>
      </c>
      <c r="R3546" s="93" t="str">
        <f>VLOOKUP(E3546,DATABASE!C:Q,11,false)</f>
        <v>Tire</v>
      </c>
    </row>
    <row r="3547" ht="22.5" customHeight="1">
      <c r="A3547" s="49"/>
      <c r="C3547" s="384">
        <v>45845.0</v>
      </c>
      <c r="D3547" s="65">
        <v>6388.0</v>
      </c>
      <c r="E3547" s="445" t="s">
        <v>286</v>
      </c>
      <c r="F3547" s="386">
        <v>13.0</v>
      </c>
      <c r="G3547" s="74">
        <v>550000.0</v>
      </c>
      <c r="H3547" s="74">
        <v>0.0</v>
      </c>
      <c r="I3547" s="74">
        <f t="shared" si="1"/>
        <v>7150000</v>
      </c>
      <c r="J3547" s="74">
        <f>IF(E3547="SERVICE",I3547-(I3547*50%),Vlookup(E3547,DATABASE!C:Q,10,false)*F3547)</f>
        <v>0</v>
      </c>
      <c r="K3547" s="74">
        <f>VLOOKUP(E3547,DATABASE!C:Q,7,false)</f>
        <v>488320</v>
      </c>
      <c r="L3547" s="74">
        <v>452970.0</v>
      </c>
      <c r="M3547" s="74">
        <f t="shared" si="2"/>
        <v>455000</v>
      </c>
      <c r="N3547" s="74">
        <f t="shared" si="3"/>
        <v>1235000</v>
      </c>
      <c r="O3547" s="65" t="str">
        <f>VLOOKUP(E3547,DATABASE!C:Q,8,false)</f>
        <v>BIAN</v>
      </c>
      <c r="P3547" s="65">
        <f>VLOOKUP(E3547,DATABASE!C:Q,9,False)</f>
        <v>1</v>
      </c>
      <c r="Q3547" s="93" t="str">
        <f>VLOOKUP(E3547,DATABASE!C:Q,4,false)</f>
        <v>GT</v>
      </c>
      <c r="R3547" s="93" t="str">
        <f>VLOOKUP(E3547,DATABASE!C:Q,11,false)</f>
        <v>Tire</v>
      </c>
    </row>
    <row r="3548" ht="22.5" customHeight="1">
      <c r="A3548" s="49"/>
      <c r="C3548" s="384">
        <v>45846.0</v>
      </c>
      <c r="D3548" s="65">
        <v>6389.0</v>
      </c>
      <c r="E3548" s="445" t="s">
        <v>265</v>
      </c>
      <c r="F3548" s="386">
        <v>2.0</v>
      </c>
      <c r="G3548" s="74">
        <v>700000.0</v>
      </c>
      <c r="H3548" s="74">
        <v>0.0</v>
      </c>
      <c r="I3548" s="74">
        <f t="shared" si="1"/>
        <v>1400000</v>
      </c>
      <c r="J3548" s="74">
        <f>IF(E3548="SERVICE",I3548-(I3548*50%),Vlookup(E3548,DATABASE!C:Q,10,false)*F3548)</f>
        <v>0</v>
      </c>
      <c r="K3548" s="74">
        <f>VLOOKUP(E3548,DATABASE!C:Q,7,false)</f>
        <v>628000</v>
      </c>
      <c r="L3548" s="74">
        <v>610000.0</v>
      </c>
      <c r="M3548" s="74">
        <f t="shared" si="2"/>
        <v>610000</v>
      </c>
      <c r="N3548" s="74">
        <f t="shared" si="3"/>
        <v>180000</v>
      </c>
      <c r="O3548" s="65" t="str">
        <f>VLOOKUP(E3548,DATABASE!C:Q,8,false)</f>
        <v>IBU</v>
      </c>
      <c r="P3548" s="65">
        <f>VLOOKUP(E3548,DATABASE!C:Q,9,False)</f>
        <v>1</v>
      </c>
      <c r="Q3548" s="93" t="str">
        <f>VLOOKUP(E3548,DATABASE!C:Q,4,false)</f>
        <v>Dunlop</v>
      </c>
      <c r="R3548" s="93" t="str">
        <f>VLOOKUP(E3548,DATABASE!C:Q,11,false)</f>
        <v>Tire</v>
      </c>
    </row>
    <row r="3549" ht="22.5" customHeight="1">
      <c r="A3549" s="49"/>
      <c r="C3549" s="384">
        <v>45846.0</v>
      </c>
      <c r="D3549" s="65">
        <v>6390.0</v>
      </c>
      <c r="E3549" s="445" t="s">
        <v>268</v>
      </c>
      <c r="F3549" s="386">
        <v>4.0</v>
      </c>
      <c r="G3549" s="74">
        <v>720000.0</v>
      </c>
      <c r="H3549" s="74">
        <v>0.0</v>
      </c>
      <c r="I3549" s="74">
        <f t="shared" si="1"/>
        <v>2880000</v>
      </c>
      <c r="J3549" s="74">
        <f>IF(E3549="SERVICE",I3549-(I3549*50%),Vlookup(E3549,DATABASE!C:Q,10,false)*F3549)</f>
        <v>0</v>
      </c>
      <c r="K3549" s="74">
        <f>VLOOKUP(E3549,DATABASE!C:Q,7,false)</f>
        <v>653000</v>
      </c>
      <c r="L3549" s="74">
        <v>622000.0</v>
      </c>
      <c r="M3549" s="74">
        <f t="shared" si="2"/>
        <v>625000</v>
      </c>
      <c r="N3549" s="74">
        <f t="shared" si="3"/>
        <v>380000</v>
      </c>
      <c r="O3549" s="65" t="str">
        <f>VLOOKUP(E3549,DATABASE!C:Q,8,false)</f>
        <v>IBU</v>
      </c>
      <c r="P3549" s="65">
        <f>VLOOKUP(E3549,DATABASE!C:Q,9,False)</f>
        <v>1</v>
      </c>
      <c r="Q3549" s="93" t="str">
        <f>VLOOKUP(E3549,DATABASE!C:Q,4,false)</f>
        <v>Dunlop</v>
      </c>
      <c r="R3549" s="93" t="str">
        <f>VLOOKUP(E3549,DATABASE!C:Q,11,false)</f>
        <v>Tire</v>
      </c>
    </row>
    <row r="3550" ht="22.5" customHeight="1">
      <c r="A3550" s="49"/>
      <c r="C3550" s="384">
        <v>45846.0</v>
      </c>
      <c r="D3550" s="65">
        <v>6390.0</v>
      </c>
      <c r="E3550" s="385" t="s">
        <v>299</v>
      </c>
      <c r="F3550" s="386">
        <v>2.0</v>
      </c>
      <c r="G3550" s="74">
        <v>30000.0</v>
      </c>
      <c r="H3550" s="74">
        <v>0.0</v>
      </c>
      <c r="I3550" s="74">
        <f t="shared" si="1"/>
        <v>60000</v>
      </c>
      <c r="J3550" s="74">
        <f>IF(E3550="SERVICE",I3550-(I3550*50%),Vlookup(E3550,DATABASE!C:Q,10,false)*F3550)</f>
        <v>0</v>
      </c>
      <c r="K3550" s="74">
        <v>0.0</v>
      </c>
      <c r="L3550" s="74">
        <v>0.0</v>
      </c>
      <c r="M3550" s="74">
        <f t="shared" si="2"/>
        <v>0</v>
      </c>
      <c r="N3550" s="74">
        <f t="shared" si="3"/>
        <v>60000</v>
      </c>
      <c r="O3550" s="65" t="str">
        <f>VLOOKUP(E3550,DATABASE!C:Q,8,false)</f>
        <v>BIAN</v>
      </c>
      <c r="P3550" s="65">
        <f>VLOOKUP(E3550,DATABASE!C:Q,9,False)</f>
        <v>0</v>
      </c>
      <c r="Q3550" s="93" t="str">
        <f>VLOOKUP(E3550,DATABASE!C:Q,4,false)</f>
        <v>Balancing</v>
      </c>
      <c r="R3550" s="93" t="str">
        <f>VLOOKUP(E3550,DATABASE!C:Q,11,false)</f>
        <v>COMPLEMENTARY</v>
      </c>
    </row>
    <row r="3551" ht="22.5" customHeight="1">
      <c r="A3551" s="49"/>
      <c r="C3551" s="384">
        <v>45846.0</v>
      </c>
      <c r="D3551" s="65">
        <v>6391.0</v>
      </c>
      <c r="E3551" s="445" t="s">
        <v>569</v>
      </c>
      <c r="F3551" s="386">
        <v>1.0</v>
      </c>
      <c r="G3551" s="74">
        <v>80000.0</v>
      </c>
      <c r="H3551" s="74">
        <v>0.0</v>
      </c>
      <c r="I3551" s="74">
        <f t="shared" si="1"/>
        <v>80000</v>
      </c>
      <c r="J3551" s="74">
        <f>IF(E3551="SERVICE",I3551-(I3551*50%),Vlookup(E3551,DATABASE!C:Q,10,false)*F3551)</f>
        <v>0</v>
      </c>
      <c r="K3551" s="74">
        <f>VLOOKUP(E3551,DATABASE!C:Q,7,false)</f>
        <v>45439.582</v>
      </c>
      <c r="L3551" s="74">
        <v>45309.6</v>
      </c>
      <c r="M3551" s="74">
        <f t="shared" si="2"/>
        <v>50000</v>
      </c>
      <c r="N3551" s="74">
        <f t="shared" si="3"/>
        <v>30000</v>
      </c>
      <c r="O3551" s="65" t="str">
        <f>VLOOKUP(E3551,DATABASE!C:Q,8,false)</f>
        <v>BIAN</v>
      </c>
      <c r="P3551" s="65">
        <f>VLOOKUP(E3551,DATABASE!C:Q,9,False)</f>
        <v>1</v>
      </c>
      <c r="Q3551" s="93" t="str">
        <f>VLOOKUP(E3551,DATABASE!C:Q,4,false)</f>
        <v>BD</v>
      </c>
      <c r="R3551" s="93" t="str">
        <f>VLOOKUP(E3551,DATABASE!C:Q,11,false)</f>
        <v>Tire</v>
      </c>
    </row>
    <row r="3552" ht="22.5" customHeight="1">
      <c r="A3552" s="49"/>
      <c r="C3552" s="384">
        <v>45846.0</v>
      </c>
      <c r="D3552" s="65">
        <v>6392.0</v>
      </c>
      <c r="E3552" s="445" t="s">
        <v>591</v>
      </c>
      <c r="F3552" s="386">
        <v>1.0</v>
      </c>
      <c r="G3552" s="74">
        <v>700000.0</v>
      </c>
      <c r="H3552" s="74">
        <v>0.0</v>
      </c>
      <c r="I3552" s="74">
        <f t="shared" si="1"/>
        <v>700000</v>
      </c>
      <c r="J3552" s="74">
        <f>IF(E3552="SERVICE",I3552-(I3552*50%),Vlookup(E3552,DATABASE!C:Q,10,false)*F3552)</f>
        <v>0</v>
      </c>
      <c r="K3552" s="74">
        <f>VLOOKUP(E3552,DATABASE!C:Q,7,false)</f>
        <v>633035.16</v>
      </c>
      <c r="L3552" s="74">
        <v>593488.4</v>
      </c>
      <c r="M3552" s="74">
        <f t="shared" si="2"/>
        <v>595000</v>
      </c>
      <c r="N3552" s="74">
        <f t="shared" si="3"/>
        <v>105000</v>
      </c>
      <c r="O3552" s="65" t="str">
        <f>VLOOKUP(E3552,DATABASE!C:Q,8,false)</f>
        <v>IBU</v>
      </c>
      <c r="P3552" s="65">
        <f>VLOOKUP(E3552,DATABASE!C:Q,9,False)</f>
        <v>1</v>
      </c>
      <c r="Q3552" s="93" t="str">
        <f>VLOOKUP(E3552,DATABASE!C:Q,4,false)</f>
        <v>Bridgestone</v>
      </c>
      <c r="R3552" s="93" t="str">
        <f>VLOOKUP(E3552,DATABASE!C:Q,11,false)</f>
        <v>Tire</v>
      </c>
    </row>
    <row r="3553" ht="22.5" customHeight="1">
      <c r="A3553" s="49"/>
      <c r="C3553" s="384">
        <v>45846.0</v>
      </c>
      <c r="D3553" s="65">
        <v>6393.0</v>
      </c>
      <c r="E3553" s="445" t="s">
        <v>1237</v>
      </c>
      <c r="F3553" s="386">
        <v>2.0</v>
      </c>
      <c r="G3553" s="74">
        <v>1235000.0</v>
      </c>
      <c r="H3553" s="74">
        <v>0.0</v>
      </c>
      <c r="I3553" s="74">
        <f t="shared" si="1"/>
        <v>2470000</v>
      </c>
      <c r="J3553" s="74">
        <f>IF(E3553="SERVICE",I3553-(I3553*50%),Vlookup(E3553,DATABASE!C:Q,10,false)*F3553)</f>
        <v>0</v>
      </c>
      <c r="K3553" s="74">
        <f>VLOOKUP(E3553,DATABASE!C:Q,7,false)</f>
        <v>1170353.16</v>
      </c>
      <c r="L3553" s="74">
        <v>1113907.2</v>
      </c>
      <c r="M3553" s="74">
        <f t="shared" si="2"/>
        <v>1115000</v>
      </c>
      <c r="N3553" s="74">
        <f t="shared" si="3"/>
        <v>240000</v>
      </c>
      <c r="O3553" s="65" t="str">
        <f>VLOOKUP(E3553,DATABASE!C:Q,8,false)</f>
        <v>IBU</v>
      </c>
      <c r="P3553" s="65">
        <f>VLOOKUP(E3553,DATABASE!C:Q,9,False)</f>
        <v>1</v>
      </c>
      <c r="Q3553" s="93" t="str">
        <f>VLOOKUP(E3553,DATABASE!C:Q,4,false)</f>
        <v>Bridgestone</v>
      </c>
      <c r="R3553" s="93" t="str">
        <f>VLOOKUP(E3553,DATABASE!C:Q,11,false)</f>
        <v>Tire</v>
      </c>
    </row>
    <row r="3554" ht="22.5" customHeight="1">
      <c r="A3554" s="49"/>
      <c r="C3554" s="384">
        <v>45846.0</v>
      </c>
      <c r="D3554" s="65">
        <v>6394.0</v>
      </c>
      <c r="E3554" s="445" t="s">
        <v>256</v>
      </c>
      <c r="F3554" s="386">
        <v>1.0</v>
      </c>
      <c r="G3554" s="74">
        <v>130000.0</v>
      </c>
      <c r="H3554" s="74">
        <v>0.0</v>
      </c>
      <c r="I3554" s="74">
        <f t="shared" si="1"/>
        <v>130000</v>
      </c>
      <c r="J3554" s="74">
        <f>IF(E3554="SERVICE",I3554-(I3554*50%),Vlookup(E3554,DATABASE!C:Q,10,false)*F3554)</f>
        <v>10000</v>
      </c>
      <c r="K3554" s="74">
        <f>VLOOKUP(E3554,DATABASE!C:Q,7,false)</f>
        <v>0</v>
      </c>
      <c r="L3554" s="74">
        <v>0.0</v>
      </c>
      <c r="M3554" s="74">
        <f t="shared" si="2"/>
        <v>0</v>
      </c>
      <c r="N3554" s="74">
        <f t="shared" si="3"/>
        <v>120000</v>
      </c>
      <c r="O3554" s="65" t="str">
        <f>VLOOKUP(E3554,DATABASE!C:Q,8,false)</f>
        <v>IBU</v>
      </c>
      <c r="P3554" s="65">
        <f>VLOOKUP(E3554,DATABASE!C:Q,9,False)</f>
        <v>0</v>
      </c>
      <c r="Q3554" s="93" t="str">
        <f>VLOOKUP(E3554,DATABASE!C:Q,4,false)</f>
        <v>SPOORING</v>
      </c>
      <c r="R3554" s="93" t="str">
        <f>VLOOKUP(E3554,DATABASE!C:Q,11,false)</f>
        <v>SERVICE</v>
      </c>
    </row>
    <row r="3555" ht="22.5" customHeight="1">
      <c r="A3555" s="49"/>
      <c r="C3555" s="384">
        <v>45846.0</v>
      </c>
      <c r="D3555" s="65">
        <v>6394.0</v>
      </c>
      <c r="E3555" s="385" t="s">
        <v>299</v>
      </c>
      <c r="F3555" s="386">
        <v>2.0</v>
      </c>
      <c r="G3555" s="74">
        <v>30000.0</v>
      </c>
      <c r="H3555" s="74">
        <v>0.0</v>
      </c>
      <c r="I3555" s="74">
        <f t="shared" si="1"/>
        <v>60000</v>
      </c>
      <c r="J3555" s="74">
        <f>IF(E3555="SERVICE",I3555-(I3555*50%),Vlookup(E3555,DATABASE!C:Q,10,false)*F3555)</f>
        <v>0</v>
      </c>
      <c r="K3555" s="74">
        <v>0.0</v>
      </c>
      <c r="L3555" s="74">
        <v>0.0</v>
      </c>
      <c r="M3555" s="74">
        <f t="shared" si="2"/>
        <v>0</v>
      </c>
      <c r="N3555" s="74">
        <f t="shared" si="3"/>
        <v>60000</v>
      </c>
      <c r="O3555" s="65" t="str">
        <f>VLOOKUP(E3555,DATABASE!C:Q,8,false)</f>
        <v>BIAN</v>
      </c>
      <c r="P3555" s="65">
        <f>VLOOKUP(E3555,DATABASE!C:Q,9,False)</f>
        <v>0</v>
      </c>
      <c r="Q3555" s="93" t="str">
        <f>VLOOKUP(E3555,DATABASE!C:Q,4,false)</f>
        <v>Balancing</v>
      </c>
      <c r="R3555" s="93" t="str">
        <f>VLOOKUP(E3555,DATABASE!C:Q,11,false)</f>
        <v>COMPLEMENTARY</v>
      </c>
    </row>
    <row r="3556" ht="22.5" customHeight="1">
      <c r="A3556" s="49"/>
      <c r="C3556" s="384">
        <v>45846.0</v>
      </c>
      <c r="D3556" s="65">
        <v>6394.0</v>
      </c>
      <c r="E3556" s="445" t="s">
        <v>301</v>
      </c>
      <c r="F3556" s="386">
        <v>1.0</v>
      </c>
      <c r="G3556" s="74">
        <v>250000.0</v>
      </c>
      <c r="H3556" s="74">
        <v>0.0</v>
      </c>
      <c r="I3556" s="74">
        <f t="shared" si="1"/>
        <v>250000</v>
      </c>
      <c r="J3556" s="74">
        <f>IF(E3556="SERVICE",I3556-(I3556*50%),Vlookup(E3556,DATABASE!C:Q,10,false)*F3556)</f>
        <v>75000</v>
      </c>
      <c r="K3556" s="74">
        <f>VLOOKUP(E3556,DATABASE!C:Q,7,false)</f>
        <v>75000</v>
      </c>
      <c r="L3556" s="74">
        <v>75000.0</v>
      </c>
      <c r="M3556" s="74">
        <f t="shared" si="2"/>
        <v>75000</v>
      </c>
      <c r="N3556" s="74">
        <f t="shared" si="3"/>
        <v>100000</v>
      </c>
      <c r="O3556" s="65" t="str">
        <f>VLOOKUP(E3556,DATABASE!C:Q,8,false)</f>
        <v>BIAN</v>
      </c>
      <c r="P3556" s="65">
        <f>VLOOKUP(E3556,DATABASE!C:Q,9,False)</f>
        <v>0</v>
      </c>
      <c r="Q3556" s="93" t="str">
        <f>VLOOKUP(E3556,DATABASE!C:Q,4,false)</f>
        <v>Baut Camber</v>
      </c>
      <c r="R3556" s="93" t="str">
        <f>VLOOKUP(E3556,DATABASE!C:Q,11,false)</f>
        <v>COMPLEMENTARY</v>
      </c>
    </row>
    <row r="3557" ht="22.5" customHeight="1">
      <c r="A3557" s="49"/>
      <c r="C3557" s="384">
        <v>45846.0</v>
      </c>
      <c r="D3557" s="65">
        <v>6395.0</v>
      </c>
      <c r="E3557" s="445" t="s">
        <v>265</v>
      </c>
      <c r="F3557" s="386">
        <v>1.0</v>
      </c>
      <c r="G3557" s="74">
        <v>700000.0</v>
      </c>
      <c r="H3557" s="74">
        <v>0.0</v>
      </c>
      <c r="I3557" s="74">
        <f t="shared" si="1"/>
        <v>700000</v>
      </c>
      <c r="J3557" s="74">
        <f>IF(E3557="SERVICE",I3557-(I3557*50%),Vlookup(E3557,DATABASE!C:Q,10,false)*F3557)</f>
        <v>0</v>
      </c>
      <c r="K3557" s="74">
        <f>VLOOKUP(E3557,DATABASE!C:Q,7,false)</f>
        <v>628000</v>
      </c>
      <c r="L3557" s="74">
        <v>610000.0</v>
      </c>
      <c r="M3557" s="74">
        <f t="shared" si="2"/>
        <v>610000</v>
      </c>
      <c r="N3557" s="74">
        <f t="shared" si="3"/>
        <v>90000</v>
      </c>
      <c r="O3557" s="65" t="str">
        <f>VLOOKUP(E3557,DATABASE!C:Q,8,false)</f>
        <v>IBU</v>
      </c>
      <c r="P3557" s="65">
        <f>VLOOKUP(E3557,DATABASE!C:Q,9,False)</f>
        <v>1</v>
      </c>
      <c r="Q3557" s="93" t="str">
        <f>VLOOKUP(E3557,DATABASE!C:Q,4,false)</f>
        <v>Dunlop</v>
      </c>
      <c r="R3557" s="93" t="str">
        <f>VLOOKUP(E3557,DATABASE!C:Q,11,false)</f>
        <v>Tire</v>
      </c>
    </row>
    <row r="3558" ht="22.5" customHeight="1">
      <c r="A3558" s="49"/>
      <c r="C3558" s="384">
        <v>45846.0</v>
      </c>
      <c r="D3558" s="65">
        <v>6396.0</v>
      </c>
      <c r="E3558" s="445" t="s">
        <v>271</v>
      </c>
      <c r="F3558" s="386">
        <v>3.0</v>
      </c>
      <c r="G3558" s="74">
        <v>640000.0</v>
      </c>
      <c r="H3558" s="74">
        <v>0.0</v>
      </c>
      <c r="I3558" s="74">
        <f t="shared" si="1"/>
        <v>1920000</v>
      </c>
      <c r="J3558" s="74">
        <f>IF(E3558="SERVICE",I3558-(I3558*50%),Vlookup(E3558,DATABASE!C:Q,10,false)*F3558)</f>
        <v>0</v>
      </c>
      <c r="K3558" s="74">
        <f>VLOOKUP(E3558,DATABASE!C:Q,7,false)</f>
        <v>570000</v>
      </c>
      <c r="L3558" s="74">
        <v>539000.0</v>
      </c>
      <c r="M3558" s="74">
        <f t="shared" si="2"/>
        <v>540000</v>
      </c>
      <c r="N3558" s="74">
        <f t="shared" si="3"/>
        <v>300000</v>
      </c>
      <c r="O3558" s="65" t="str">
        <f>VLOOKUP(E3558,DATABASE!C:Q,8,false)</f>
        <v>IBU</v>
      </c>
      <c r="P3558" s="65">
        <f>VLOOKUP(E3558,DATABASE!C:Q,9,False)</f>
        <v>1</v>
      </c>
      <c r="Q3558" s="93" t="str">
        <f>VLOOKUP(E3558,DATABASE!C:Q,4,false)</f>
        <v>Dunlop</v>
      </c>
      <c r="R3558" s="93" t="str">
        <f>VLOOKUP(E3558,DATABASE!C:Q,11,false)</f>
        <v>Tire</v>
      </c>
    </row>
    <row r="3559" ht="22.5" customHeight="1">
      <c r="A3559" s="49"/>
      <c r="C3559" s="384">
        <v>45846.0</v>
      </c>
      <c r="D3559" s="65">
        <v>6396.0</v>
      </c>
      <c r="E3559" s="385" t="s">
        <v>299</v>
      </c>
      <c r="F3559" s="386">
        <v>2.0</v>
      </c>
      <c r="G3559" s="74">
        <v>30000.0</v>
      </c>
      <c r="H3559" s="74">
        <v>0.0</v>
      </c>
      <c r="I3559" s="74">
        <f t="shared" si="1"/>
        <v>60000</v>
      </c>
      <c r="J3559" s="74">
        <f>IF(E3559="SERVICE",I3559-(I3559*50%),Vlookup(E3559,DATABASE!C:Q,10,false)*F3559)</f>
        <v>0</v>
      </c>
      <c r="K3559" s="74">
        <v>0.0</v>
      </c>
      <c r="L3559" s="74">
        <v>0.0</v>
      </c>
      <c r="M3559" s="74">
        <f t="shared" si="2"/>
        <v>0</v>
      </c>
      <c r="N3559" s="74">
        <f t="shared" si="3"/>
        <v>60000</v>
      </c>
      <c r="O3559" s="65" t="str">
        <f>VLOOKUP(E3559,DATABASE!C:Q,8,false)</f>
        <v>BIAN</v>
      </c>
      <c r="P3559" s="65">
        <f>VLOOKUP(E3559,DATABASE!C:Q,9,False)</f>
        <v>0</v>
      </c>
      <c r="Q3559" s="93" t="str">
        <f>VLOOKUP(E3559,DATABASE!C:Q,4,false)</f>
        <v>Balancing</v>
      </c>
      <c r="R3559" s="93" t="str">
        <f>VLOOKUP(E3559,DATABASE!C:Q,11,false)</f>
        <v>COMPLEMENTARY</v>
      </c>
    </row>
    <row r="3560" ht="22.5" customHeight="1">
      <c r="A3560" s="49"/>
      <c r="C3560" s="384">
        <v>45846.0</v>
      </c>
      <c r="D3560" s="65">
        <v>6396.0</v>
      </c>
      <c r="E3560" s="445" t="s">
        <v>256</v>
      </c>
      <c r="F3560" s="386">
        <v>1.0</v>
      </c>
      <c r="G3560" s="74">
        <v>130000.0</v>
      </c>
      <c r="H3560" s="74">
        <v>0.0</v>
      </c>
      <c r="I3560" s="74">
        <f t="shared" si="1"/>
        <v>130000</v>
      </c>
      <c r="J3560" s="74">
        <f>IF(E3560="SERVICE",I3560-(I3560*50%),Vlookup(E3560,DATABASE!C:Q,10,false)*F3560)</f>
        <v>10000</v>
      </c>
      <c r="K3560" s="74">
        <f>VLOOKUP(E3560,DATABASE!C:Q,7,false)</f>
        <v>0</v>
      </c>
      <c r="L3560" s="74">
        <v>0.0</v>
      </c>
      <c r="M3560" s="74">
        <f t="shared" si="2"/>
        <v>0</v>
      </c>
      <c r="N3560" s="74">
        <f t="shared" si="3"/>
        <v>120000</v>
      </c>
      <c r="O3560" s="65" t="str">
        <f>VLOOKUP(E3560,DATABASE!C:Q,8,false)</f>
        <v>IBU</v>
      </c>
      <c r="P3560" s="65">
        <f>VLOOKUP(E3560,DATABASE!C:Q,9,False)</f>
        <v>0</v>
      </c>
      <c r="Q3560" s="93" t="str">
        <f>VLOOKUP(E3560,DATABASE!C:Q,4,false)</f>
        <v>SPOORING</v>
      </c>
      <c r="R3560" s="93" t="str">
        <f>VLOOKUP(E3560,DATABASE!C:Q,11,false)</f>
        <v>SERVICE</v>
      </c>
    </row>
    <row r="3561" ht="22.5" customHeight="1">
      <c r="A3561" s="49"/>
      <c r="C3561" s="384">
        <v>45846.0</v>
      </c>
      <c r="D3561" s="65">
        <v>6396.0</v>
      </c>
      <c r="E3561" s="445" t="s">
        <v>301</v>
      </c>
      <c r="F3561" s="386">
        <v>1.0</v>
      </c>
      <c r="G3561" s="74">
        <v>250000.0</v>
      </c>
      <c r="H3561" s="74">
        <v>0.0</v>
      </c>
      <c r="I3561" s="74">
        <f t="shared" si="1"/>
        <v>250000</v>
      </c>
      <c r="J3561" s="74">
        <f>IF(E3561="SERVICE",I3561-(I3561*50%),Vlookup(E3561,DATABASE!C:Q,10,false)*F3561)</f>
        <v>75000</v>
      </c>
      <c r="K3561" s="74">
        <f>VLOOKUP(E3561,DATABASE!C:Q,7,false)</f>
        <v>75000</v>
      </c>
      <c r="L3561" s="74">
        <v>75000.0</v>
      </c>
      <c r="M3561" s="74">
        <f t="shared" si="2"/>
        <v>75000</v>
      </c>
      <c r="N3561" s="74">
        <f t="shared" si="3"/>
        <v>100000</v>
      </c>
      <c r="O3561" s="65" t="str">
        <f>VLOOKUP(E3561,DATABASE!C:Q,8,false)</f>
        <v>BIAN</v>
      </c>
      <c r="P3561" s="65">
        <f>VLOOKUP(E3561,DATABASE!C:Q,9,False)</f>
        <v>0</v>
      </c>
      <c r="Q3561" s="93" t="str">
        <f>VLOOKUP(E3561,DATABASE!C:Q,4,false)</f>
        <v>Baut Camber</v>
      </c>
      <c r="R3561" s="93" t="str">
        <f>VLOOKUP(E3561,DATABASE!C:Q,11,false)</f>
        <v>COMPLEMENTARY</v>
      </c>
    </row>
    <row r="3562" ht="22.5" customHeight="1">
      <c r="A3562" s="49"/>
      <c r="C3562" s="384">
        <v>45846.0</v>
      </c>
      <c r="D3562" s="65">
        <v>6397.0</v>
      </c>
      <c r="E3562" s="445" t="s">
        <v>572</v>
      </c>
      <c r="F3562" s="386">
        <v>1.0</v>
      </c>
      <c r="G3562" s="74">
        <v>1370000.0</v>
      </c>
      <c r="H3562" s="74">
        <v>0.0</v>
      </c>
      <c r="I3562" s="74">
        <f t="shared" si="1"/>
        <v>1370000</v>
      </c>
      <c r="J3562" s="74">
        <f>IF(E3562="SERVICE",I3562-(I3562*50%),Vlookup(E3562,DATABASE!C:Q,10,false)*F3562)</f>
        <v>0</v>
      </c>
      <c r="K3562" s="140">
        <v>1270000.0</v>
      </c>
      <c r="L3562" s="140">
        <v>1270000.0</v>
      </c>
      <c r="M3562" s="74">
        <f t="shared" si="2"/>
        <v>1270000</v>
      </c>
      <c r="N3562" s="74">
        <f t="shared" si="3"/>
        <v>100000</v>
      </c>
      <c r="O3562" s="65" t="str">
        <f>VLOOKUP(E3562,DATABASE!C:Q,8,false)</f>
        <v>IBU</v>
      </c>
      <c r="P3562" s="65">
        <f>VLOOKUP(E3562,DATABASE!C:Q,9,False)</f>
        <v>1</v>
      </c>
      <c r="Q3562" s="93" t="str">
        <f>VLOOKUP(E3562,DATABASE!C:Q,4,false)</f>
        <v>Bridgestone</v>
      </c>
      <c r="R3562" s="93" t="str">
        <f>VLOOKUP(E3562,DATABASE!C:Q,11,false)</f>
        <v>Tire</v>
      </c>
    </row>
    <row r="3563" ht="22.5" customHeight="1">
      <c r="A3563" s="49"/>
      <c r="C3563" s="384">
        <v>45846.0</v>
      </c>
      <c r="D3563" s="65">
        <v>6397.0</v>
      </c>
      <c r="E3563" s="445" t="s">
        <v>698</v>
      </c>
      <c r="F3563" s="386">
        <v>1.0</v>
      </c>
      <c r="G3563" s="74">
        <v>150000.0</v>
      </c>
      <c r="H3563" s="74">
        <v>0.0</v>
      </c>
      <c r="I3563" s="74">
        <f t="shared" si="1"/>
        <v>150000</v>
      </c>
      <c r="J3563" s="74">
        <f>IF(E3563="SERVICE",I3563-(I3563*50%),Vlookup(E3563,DATABASE!C:Q,10,false)*F3563)</f>
        <v>0</v>
      </c>
      <c r="K3563" s="74">
        <f>VLOOKUP(E3563,DATABASE!C:Q,7,false)</f>
        <v>117000</v>
      </c>
      <c r="L3563" s="74">
        <v>117000.0</v>
      </c>
      <c r="M3563" s="74">
        <f t="shared" si="2"/>
        <v>120000</v>
      </c>
      <c r="N3563" s="74">
        <f t="shared" si="3"/>
        <v>30000</v>
      </c>
      <c r="O3563" s="65" t="str">
        <f>VLOOKUP(E3563,DATABASE!C:Q,8,false)</f>
        <v>BIAN</v>
      </c>
      <c r="P3563" s="65">
        <f>VLOOKUP(E3563,DATABASE!C:Q,9,False)</f>
        <v>1</v>
      </c>
      <c r="Q3563" s="93" t="str">
        <f>VLOOKUP(E3563,DATABASE!C:Q,4,false)</f>
        <v>BD</v>
      </c>
      <c r="R3563" s="93" t="str">
        <f>VLOOKUP(E3563,DATABASE!C:Q,11,false)</f>
        <v>Tire</v>
      </c>
    </row>
    <row r="3564" ht="22.5" customHeight="1">
      <c r="A3564" s="49"/>
      <c r="C3564" s="384">
        <v>45846.0</v>
      </c>
      <c r="D3564" s="65">
        <v>6398.0</v>
      </c>
      <c r="E3564" s="445" t="s">
        <v>268</v>
      </c>
      <c r="F3564" s="386">
        <v>2.0</v>
      </c>
      <c r="G3564" s="74">
        <v>720000.0</v>
      </c>
      <c r="H3564" s="74">
        <v>0.0</v>
      </c>
      <c r="I3564" s="74">
        <f t="shared" si="1"/>
        <v>1440000</v>
      </c>
      <c r="J3564" s="74">
        <f>IF(E3564="SERVICE",I3564-(I3564*50%),Vlookup(E3564,DATABASE!C:Q,10,false)*F3564)</f>
        <v>0</v>
      </c>
      <c r="K3564" s="74">
        <f>VLOOKUP(E3564,DATABASE!C:Q,7,false)</f>
        <v>653000</v>
      </c>
      <c r="L3564" s="74">
        <v>622000.0</v>
      </c>
      <c r="M3564" s="74">
        <f t="shared" si="2"/>
        <v>625000</v>
      </c>
      <c r="N3564" s="74">
        <f t="shared" si="3"/>
        <v>190000</v>
      </c>
      <c r="O3564" s="65" t="str">
        <f>VLOOKUP(E3564,DATABASE!C:Q,8,false)</f>
        <v>IBU</v>
      </c>
      <c r="P3564" s="65">
        <f>VLOOKUP(E3564,DATABASE!C:Q,9,False)</f>
        <v>1</v>
      </c>
      <c r="Q3564" s="93" t="str">
        <f>VLOOKUP(E3564,DATABASE!C:Q,4,false)</f>
        <v>Dunlop</v>
      </c>
      <c r="R3564" s="93" t="str">
        <f>VLOOKUP(E3564,DATABASE!C:Q,11,false)</f>
        <v>Tire</v>
      </c>
    </row>
    <row r="3565" ht="22.5" customHeight="1">
      <c r="A3565" s="49"/>
      <c r="C3565" s="384">
        <v>45846.0</v>
      </c>
      <c r="D3565" s="65">
        <v>6399.0</v>
      </c>
      <c r="E3565" s="445" t="s">
        <v>246</v>
      </c>
      <c r="F3565" s="386">
        <v>2.0</v>
      </c>
      <c r="G3565" s="74">
        <v>35000.0</v>
      </c>
      <c r="H3565" s="74">
        <v>0.0</v>
      </c>
      <c r="I3565" s="74">
        <f t="shared" si="1"/>
        <v>70000</v>
      </c>
      <c r="J3565" s="74">
        <f>IF(E3565="SERVICE",I3565-(I3565*50%),Vlookup(E3565,DATABASE!C:Q,10,false)*F3565)</f>
        <v>0</v>
      </c>
      <c r="K3565" s="74">
        <f>VLOOKUP(E3565,DATABASE!C:Q,7,false)</f>
        <v>0</v>
      </c>
      <c r="L3565" s="74">
        <v>0.0</v>
      </c>
      <c r="M3565" s="74">
        <f t="shared" si="2"/>
        <v>0</v>
      </c>
      <c r="N3565" s="74">
        <f t="shared" si="3"/>
        <v>70000</v>
      </c>
      <c r="O3565" s="65" t="str">
        <f>VLOOKUP(E3565,DATABASE!C:Q,8,false)</f>
        <v>IBU</v>
      </c>
      <c r="P3565" s="65">
        <f>VLOOKUP(E3565,DATABASE!C:Q,9,False)</f>
        <v>0</v>
      </c>
      <c r="Q3565" s="93" t="str">
        <f>VLOOKUP(E3565,DATABASE!C:Q,4,false)</f>
        <v>Bongkar Pasang</v>
      </c>
      <c r="R3565" s="93" t="str">
        <f>VLOOKUP(E3565,DATABASE!C:Q,11,false)</f>
        <v>SERVICE</v>
      </c>
    </row>
    <row r="3566" ht="22.5" customHeight="1">
      <c r="A3566" s="49"/>
      <c r="C3566" s="384">
        <v>45846.0</v>
      </c>
      <c r="D3566" s="65">
        <v>6399.0</v>
      </c>
      <c r="E3566" s="385" t="s">
        <v>299</v>
      </c>
      <c r="F3566" s="386">
        <v>2.0</v>
      </c>
      <c r="G3566" s="74">
        <v>30000.0</v>
      </c>
      <c r="H3566" s="74">
        <v>0.0</v>
      </c>
      <c r="I3566" s="74">
        <f t="shared" si="1"/>
        <v>60000</v>
      </c>
      <c r="J3566" s="74">
        <f>IF(E3566="SERVICE",I3566-(I3566*50%),Vlookup(E3566,DATABASE!C:Q,10,false)*F3566)</f>
        <v>0</v>
      </c>
      <c r="K3566" s="74">
        <v>0.0</v>
      </c>
      <c r="L3566" s="74">
        <v>0.0</v>
      </c>
      <c r="M3566" s="74">
        <f t="shared" si="2"/>
        <v>0</v>
      </c>
      <c r="N3566" s="74">
        <f t="shared" si="3"/>
        <v>60000</v>
      </c>
      <c r="O3566" s="65" t="str">
        <f>VLOOKUP(E3566,DATABASE!C:Q,8,false)</f>
        <v>BIAN</v>
      </c>
      <c r="P3566" s="65">
        <f>VLOOKUP(E3566,DATABASE!C:Q,9,False)</f>
        <v>0</v>
      </c>
      <c r="Q3566" s="93" t="str">
        <f>VLOOKUP(E3566,DATABASE!C:Q,4,false)</f>
        <v>Balancing</v>
      </c>
      <c r="R3566" s="93" t="str">
        <f>VLOOKUP(E3566,DATABASE!C:Q,11,false)</f>
        <v>COMPLEMENTARY</v>
      </c>
    </row>
    <row r="3567" ht="22.5" customHeight="1">
      <c r="A3567" s="49"/>
      <c r="C3567" s="384">
        <v>45846.0</v>
      </c>
      <c r="D3567" s="65">
        <v>6400.0</v>
      </c>
      <c r="E3567" s="445" t="s">
        <v>932</v>
      </c>
      <c r="F3567" s="386">
        <v>4.0</v>
      </c>
      <c r="G3567" s="74">
        <v>700000.0</v>
      </c>
      <c r="H3567" s="74">
        <v>0.0</v>
      </c>
      <c r="I3567" s="74">
        <f t="shared" si="1"/>
        <v>2800000</v>
      </c>
      <c r="J3567" s="74">
        <f>IF(E3567="SERVICE",I3567-(I3567*50%),Vlookup(E3567,DATABASE!C:Q,10,false)*F3567)</f>
        <v>0</v>
      </c>
      <c r="K3567" s="74">
        <f>VLOOKUP(E3567,DATABASE!C:Q,7,false)</f>
        <v>601000</v>
      </c>
      <c r="L3567" s="74">
        <v>595000.0</v>
      </c>
      <c r="M3567" s="74">
        <f t="shared" si="2"/>
        <v>595000</v>
      </c>
      <c r="N3567" s="74">
        <f t="shared" si="3"/>
        <v>420000</v>
      </c>
      <c r="O3567" s="65" t="str">
        <f>VLOOKUP(E3567,DATABASE!C:Q,8,false)</f>
        <v>IBU</v>
      </c>
      <c r="P3567" s="65">
        <f>VLOOKUP(E3567,DATABASE!C:Q,9,False)</f>
        <v>1</v>
      </c>
      <c r="Q3567" s="93" t="str">
        <f>VLOOKUP(E3567,DATABASE!C:Q,4,false)</f>
        <v>Dunlop</v>
      </c>
      <c r="R3567" s="93" t="str">
        <f>VLOOKUP(E3567,DATABASE!C:Q,11,false)</f>
        <v>Tire</v>
      </c>
    </row>
    <row r="3568" ht="22.5" customHeight="1">
      <c r="A3568" s="49"/>
      <c r="C3568" s="384">
        <v>45846.0</v>
      </c>
      <c r="D3568" s="65">
        <v>6400.0</v>
      </c>
      <c r="E3568" s="385" t="s">
        <v>299</v>
      </c>
      <c r="F3568" s="386">
        <v>2.0</v>
      </c>
      <c r="G3568" s="74">
        <v>30000.0</v>
      </c>
      <c r="H3568" s="74">
        <v>0.0</v>
      </c>
      <c r="I3568" s="74">
        <f t="shared" si="1"/>
        <v>60000</v>
      </c>
      <c r="J3568" s="74">
        <f>IF(E3568="SERVICE",I3568-(I3568*50%),Vlookup(E3568,DATABASE!C:Q,10,false)*F3568)</f>
        <v>0</v>
      </c>
      <c r="K3568" s="74">
        <v>0.0</v>
      </c>
      <c r="L3568" s="74">
        <v>0.0</v>
      </c>
      <c r="M3568" s="74">
        <f t="shared" si="2"/>
        <v>0</v>
      </c>
      <c r="N3568" s="74">
        <f t="shared" si="3"/>
        <v>60000</v>
      </c>
      <c r="O3568" s="65" t="str">
        <f>VLOOKUP(E3568,DATABASE!C:Q,8,false)</f>
        <v>BIAN</v>
      </c>
      <c r="P3568" s="65">
        <f>VLOOKUP(E3568,DATABASE!C:Q,9,False)</f>
        <v>0</v>
      </c>
      <c r="Q3568" s="93" t="str">
        <f>VLOOKUP(E3568,DATABASE!C:Q,4,false)</f>
        <v>Balancing</v>
      </c>
      <c r="R3568" s="93" t="str">
        <f>VLOOKUP(E3568,DATABASE!C:Q,11,false)</f>
        <v>COMPLEMENTARY</v>
      </c>
    </row>
    <row r="3569" ht="22.5" customHeight="1">
      <c r="A3569" s="49"/>
      <c r="C3569" s="384">
        <v>45846.0</v>
      </c>
      <c r="D3569" s="65">
        <v>6400.0</v>
      </c>
      <c r="E3569" s="445" t="s">
        <v>256</v>
      </c>
      <c r="F3569" s="386">
        <v>1.0</v>
      </c>
      <c r="G3569" s="74">
        <v>130000.0</v>
      </c>
      <c r="H3569" s="74">
        <v>0.0</v>
      </c>
      <c r="I3569" s="74">
        <f t="shared" si="1"/>
        <v>130000</v>
      </c>
      <c r="J3569" s="74">
        <f>IF(E3569="SERVICE",I3569-(I3569*50%),Vlookup(E3569,DATABASE!C:Q,10,false)*F3569)</f>
        <v>10000</v>
      </c>
      <c r="K3569" s="74">
        <f>VLOOKUP(E3569,DATABASE!C:Q,7,false)</f>
        <v>0</v>
      </c>
      <c r="L3569" s="74">
        <v>0.0</v>
      </c>
      <c r="M3569" s="74">
        <f t="shared" si="2"/>
        <v>0</v>
      </c>
      <c r="N3569" s="74">
        <f t="shared" si="3"/>
        <v>120000</v>
      </c>
      <c r="O3569" s="65" t="str">
        <f>VLOOKUP(E3569,DATABASE!C:Q,8,false)</f>
        <v>IBU</v>
      </c>
      <c r="P3569" s="65">
        <f>VLOOKUP(E3569,DATABASE!C:Q,9,False)</f>
        <v>0</v>
      </c>
      <c r="Q3569" s="93" t="str">
        <f>VLOOKUP(E3569,DATABASE!C:Q,4,false)</f>
        <v>SPOORING</v>
      </c>
      <c r="R3569" s="93" t="str">
        <f>VLOOKUP(E3569,DATABASE!C:Q,11,false)</f>
        <v>SERVICE</v>
      </c>
    </row>
    <row r="3570" ht="22.5" customHeight="1">
      <c r="A3570" s="49"/>
      <c r="C3570" s="384">
        <v>45846.0</v>
      </c>
      <c r="D3570" s="65">
        <v>6400.0</v>
      </c>
      <c r="E3570" s="445" t="s">
        <v>301</v>
      </c>
      <c r="F3570" s="386">
        <v>1.0</v>
      </c>
      <c r="G3570" s="74">
        <v>250000.0</v>
      </c>
      <c r="H3570" s="74">
        <v>0.0</v>
      </c>
      <c r="I3570" s="74">
        <f t="shared" si="1"/>
        <v>250000</v>
      </c>
      <c r="J3570" s="74">
        <f>IF(E3570="SERVICE",I3570-(I3570*50%),Vlookup(E3570,DATABASE!C:Q,10,false)*F3570)</f>
        <v>75000</v>
      </c>
      <c r="K3570" s="74">
        <f>VLOOKUP(E3570,DATABASE!C:Q,7,false)</f>
        <v>75000</v>
      </c>
      <c r="L3570" s="74">
        <v>75000.0</v>
      </c>
      <c r="M3570" s="74">
        <f t="shared" si="2"/>
        <v>75000</v>
      </c>
      <c r="N3570" s="74">
        <f t="shared" si="3"/>
        <v>100000</v>
      </c>
      <c r="O3570" s="65" t="str">
        <f>VLOOKUP(E3570,DATABASE!C:Q,8,false)</f>
        <v>BIAN</v>
      </c>
      <c r="P3570" s="65">
        <f>VLOOKUP(E3570,DATABASE!C:Q,9,False)</f>
        <v>0</v>
      </c>
      <c r="Q3570" s="93" t="str">
        <f>VLOOKUP(E3570,DATABASE!C:Q,4,false)</f>
        <v>Baut Camber</v>
      </c>
      <c r="R3570" s="93" t="str">
        <f>VLOOKUP(E3570,DATABASE!C:Q,11,false)</f>
        <v>COMPLEMENTARY</v>
      </c>
    </row>
    <row r="3571" ht="22.5" customHeight="1">
      <c r="A3571" s="49"/>
      <c r="C3571" s="384">
        <v>45846.0</v>
      </c>
      <c r="D3571" s="65">
        <v>6402.0</v>
      </c>
      <c r="E3571" s="445" t="s">
        <v>572</v>
      </c>
      <c r="F3571" s="386">
        <v>1.0</v>
      </c>
      <c r="G3571" s="74">
        <v>1370000.0</v>
      </c>
      <c r="H3571" s="74">
        <v>0.0</v>
      </c>
      <c r="I3571" s="74">
        <f t="shared" si="1"/>
        <v>1370000</v>
      </c>
      <c r="J3571" s="74">
        <f>IF(E3571="SERVICE",I3571-(I3571*50%),Vlookup(E3571,DATABASE!C:Q,10,false)*F3571)</f>
        <v>0</v>
      </c>
      <c r="K3571" s="140">
        <v>1270000.0</v>
      </c>
      <c r="L3571" s="140">
        <v>1270000.0</v>
      </c>
      <c r="M3571" s="74">
        <f t="shared" si="2"/>
        <v>1270000</v>
      </c>
      <c r="N3571" s="74">
        <f t="shared" si="3"/>
        <v>100000</v>
      </c>
      <c r="O3571" s="65" t="str">
        <f>VLOOKUP(E3571,DATABASE!C:Q,8,false)</f>
        <v>IBU</v>
      </c>
      <c r="P3571" s="65">
        <f>VLOOKUP(E3571,DATABASE!C:Q,9,False)</f>
        <v>1</v>
      </c>
      <c r="Q3571" s="93" t="str">
        <f>VLOOKUP(E3571,DATABASE!C:Q,4,false)</f>
        <v>Bridgestone</v>
      </c>
      <c r="R3571" s="93" t="str">
        <f>VLOOKUP(E3571,DATABASE!C:Q,11,false)</f>
        <v>Tire</v>
      </c>
    </row>
    <row r="3572" ht="22.5" customHeight="1">
      <c r="A3572" s="49"/>
      <c r="C3572" s="384">
        <v>45846.0</v>
      </c>
      <c r="D3572" s="65">
        <v>6402.0</v>
      </c>
      <c r="E3572" s="445" t="s">
        <v>937</v>
      </c>
      <c r="F3572" s="386">
        <v>1.0</v>
      </c>
      <c r="G3572" s="74">
        <v>900000.0</v>
      </c>
      <c r="H3572" s="74">
        <v>0.0</v>
      </c>
      <c r="I3572" s="74">
        <f t="shared" si="1"/>
        <v>900000</v>
      </c>
      <c r="J3572" s="74">
        <f>IF(E3572="SERVICE",I3572-(I3572*50%),Vlookup(E3572,DATABASE!C:Q,10,false)*F3572)</f>
        <v>0</v>
      </c>
      <c r="K3572" s="74">
        <f>VLOOKUP(E3572,DATABASE!C:Q,7,false)</f>
        <v>825000</v>
      </c>
      <c r="L3572" s="74">
        <v>790000.0</v>
      </c>
      <c r="M3572" s="74">
        <f t="shared" si="2"/>
        <v>790000</v>
      </c>
      <c r="N3572" s="74">
        <f t="shared" si="3"/>
        <v>110000</v>
      </c>
      <c r="O3572" s="65" t="str">
        <f>VLOOKUP(E3572,DATABASE!C:Q,8,false)</f>
        <v>IBU</v>
      </c>
      <c r="P3572" s="65">
        <f>VLOOKUP(E3572,DATABASE!C:Q,9,False)</f>
        <v>1</v>
      </c>
      <c r="Q3572" s="93" t="str">
        <f>VLOOKUP(E3572,DATABASE!C:Q,4,false)</f>
        <v>Bridgestone</v>
      </c>
      <c r="R3572" s="93" t="str">
        <f>VLOOKUP(E3572,DATABASE!C:Q,11,false)</f>
        <v>Tire</v>
      </c>
    </row>
    <row r="3573" ht="22.5" customHeight="1">
      <c r="A3573" s="49"/>
      <c r="C3573" s="384">
        <v>45846.0</v>
      </c>
      <c r="D3573" s="65">
        <v>6403.0</v>
      </c>
      <c r="E3573" s="445" t="s">
        <v>932</v>
      </c>
      <c r="F3573" s="386">
        <v>2.0</v>
      </c>
      <c r="G3573" s="74">
        <v>700000.0</v>
      </c>
      <c r="H3573" s="74">
        <v>0.0</v>
      </c>
      <c r="I3573" s="74">
        <f t="shared" si="1"/>
        <v>1400000</v>
      </c>
      <c r="J3573" s="74">
        <f>IF(E3573="SERVICE",I3573-(I3573*50%),Vlookup(E3573,DATABASE!C:Q,10,false)*F3573)</f>
        <v>0</v>
      </c>
      <c r="K3573" s="74">
        <f>VLOOKUP(E3573,DATABASE!C:Q,7,false)</f>
        <v>601000</v>
      </c>
      <c r="L3573" s="74">
        <v>595000.0</v>
      </c>
      <c r="M3573" s="74">
        <f t="shared" si="2"/>
        <v>595000</v>
      </c>
      <c r="N3573" s="74">
        <f t="shared" si="3"/>
        <v>210000</v>
      </c>
      <c r="O3573" s="65" t="str">
        <f>VLOOKUP(E3573,DATABASE!C:Q,8,false)</f>
        <v>IBU</v>
      </c>
      <c r="P3573" s="65">
        <f>VLOOKUP(E3573,DATABASE!C:Q,9,False)</f>
        <v>1</v>
      </c>
      <c r="Q3573" s="93" t="str">
        <f>VLOOKUP(E3573,DATABASE!C:Q,4,false)</f>
        <v>Dunlop</v>
      </c>
      <c r="R3573" s="93" t="str">
        <f>VLOOKUP(E3573,DATABASE!C:Q,11,false)</f>
        <v>Tire</v>
      </c>
    </row>
    <row r="3574" ht="22.5" customHeight="1">
      <c r="A3574" s="49"/>
      <c r="C3574" s="384">
        <v>45846.0</v>
      </c>
      <c r="D3574" s="65">
        <v>6404.0</v>
      </c>
      <c r="E3574" s="445" t="s">
        <v>622</v>
      </c>
      <c r="F3574" s="386">
        <v>2.0</v>
      </c>
      <c r="G3574" s="74">
        <v>910000.0</v>
      </c>
      <c r="H3574" s="74">
        <v>0.0</v>
      </c>
      <c r="I3574" s="74">
        <f t="shared" si="1"/>
        <v>1820000</v>
      </c>
      <c r="J3574" s="74">
        <f>IF(E3574="SERVICE",I3574-(I3574*50%),Vlookup(E3574,DATABASE!C:Q,10,false)*F3574)</f>
        <v>0</v>
      </c>
      <c r="K3574" s="74">
        <f>VLOOKUP(E3574,DATABASE!C:Q,7,false)</f>
        <v>851110.375</v>
      </c>
      <c r="L3574" s="74">
        <v>810342.44</v>
      </c>
      <c r="M3574" s="74">
        <f t="shared" si="2"/>
        <v>815000</v>
      </c>
      <c r="N3574" s="74">
        <f t="shared" si="3"/>
        <v>190000</v>
      </c>
      <c r="O3574" s="65" t="str">
        <f>VLOOKUP(E3574,DATABASE!C:Q,8,false)</f>
        <v>IBU</v>
      </c>
      <c r="P3574" s="65">
        <f>VLOOKUP(E3574,DATABASE!C:Q,9,False)</f>
        <v>1</v>
      </c>
      <c r="Q3574" s="93" t="str">
        <f>VLOOKUP(E3574,DATABASE!C:Q,4,false)</f>
        <v>Bridgestone</v>
      </c>
      <c r="R3574" s="93" t="str">
        <f>VLOOKUP(E3574,DATABASE!C:Q,11,false)</f>
        <v>Tire</v>
      </c>
    </row>
    <row r="3575" ht="22.5" customHeight="1">
      <c r="A3575" s="49"/>
      <c r="C3575" s="384">
        <v>45846.0</v>
      </c>
      <c r="D3575" s="65">
        <v>6404.0</v>
      </c>
      <c r="E3575" s="385" t="s">
        <v>299</v>
      </c>
      <c r="F3575" s="386">
        <v>2.0</v>
      </c>
      <c r="G3575" s="74">
        <v>30000.0</v>
      </c>
      <c r="H3575" s="74">
        <v>0.0</v>
      </c>
      <c r="I3575" s="74">
        <f t="shared" si="1"/>
        <v>60000</v>
      </c>
      <c r="J3575" s="74">
        <f>IF(E3575="SERVICE",I3575-(I3575*50%),Vlookup(E3575,DATABASE!C:Q,10,false)*F3575)</f>
        <v>0</v>
      </c>
      <c r="K3575" s="74">
        <v>0.0</v>
      </c>
      <c r="L3575" s="74">
        <v>0.0</v>
      </c>
      <c r="M3575" s="74">
        <f t="shared" si="2"/>
        <v>0</v>
      </c>
      <c r="N3575" s="74">
        <f t="shared" si="3"/>
        <v>60000</v>
      </c>
      <c r="O3575" s="65" t="str">
        <f>VLOOKUP(E3575,DATABASE!C:Q,8,false)</f>
        <v>BIAN</v>
      </c>
      <c r="P3575" s="65">
        <f>VLOOKUP(E3575,DATABASE!C:Q,9,False)</f>
        <v>0</v>
      </c>
      <c r="Q3575" s="93" t="str">
        <f>VLOOKUP(E3575,DATABASE!C:Q,4,false)</f>
        <v>Balancing</v>
      </c>
      <c r="R3575" s="93" t="str">
        <f>VLOOKUP(E3575,DATABASE!C:Q,11,false)</f>
        <v>COMPLEMENTARY</v>
      </c>
    </row>
    <row r="3576" ht="22.5" customHeight="1">
      <c r="A3576" s="49"/>
      <c r="C3576" s="384">
        <v>45846.0</v>
      </c>
      <c r="D3576" s="65">
        <v>6404.0</v>
      </c>
      <c r="E3576" s="445" t="s">
        <v>256</v>
      </c>
      <c r="F3576" s="386">
        <v>1.0</v>
      </c>
      <c r="G3576" s="74">
        <v>120000.0</v>
      </c>
      <c r="H3576" s="74">
        <v>0.0</v>
      </c>
      <c r="I3576" s="74">
        <f t="shared" si="1"/>
        <v>120000</v>
      </c>
      <c r="J3576" s="74">
        <f>IF(E3576="SERVICE",I3576-(I3576*50%),Vlookup(E3576,DATABASE!C:Q,10,false)*F3576)</f>
        <v>10000</v>
      </c>
      <c r="K3576" s="74">
        <f>VLOOKUP(E3576,DATABASE!C:Q,7,false)</f>
        <v>0</v>
      </c>
      <c r="L3576" s="74">
        <v>0.0</v>
      </c>
      <c r="M3576" s="74">
        <f t="shared" si="2"/>
        <v>0</v>
      </c>
      <c r="N3576" s="74">
        <f t="shared" si="3"/>
        <v>110000</v>
      </c>
      <c r="O3576" s="65" t="str">
        <f>VLOOKUP(E3576,DATABASE!C:Q,8,false)</f>
        <v>IBU</v>
      </c>
      <c r="P3576" s="65">
        <f>VLOOKUP(E3576,DATABASE!C:Q,9,False)</f>
        <v>0</v>
      </c>
      <c r="Q3576" s="93" t="str">
        <f>VLOOKUP(E3576,DATABASE!C:Q,4,false)</f>
        <v>SPOORING</v>
      </c>
      <c r="R3576" s="93" t="str">
        <f>VLOOKUP(E3576,DATABASE!C:Q,11,false)</f>
        <v>SERVICE</v>
      </c>
    </row>
    <row r="3577" ht="22.5" customHeight="1">
      <c r="A3577" s="49"/>
      <c r="C3577" s="384">
        <v>45846.0</v>
      </c>
      <c r="D3577" s="65">
        <v>6405.0</v>
      </c>
      <c r="E3577" s="445" t="s">
        <v>268</v>
      </c>
      <c r="F3577" s="386">
        <v>2.0</v>
      </c>
      <c r="G3577" s="74">
        <v>710000.0</v>
      </c>
      <c r="H3577" s="74">
        <v>0.0</v>
      </c>
      <c r="I3577" s="74">
        <f t="shared" si="1"/>
        <v>1420000</v>
      </c>
      <c r="J3577" s="74">
        <f>IF(E3577="SERVICE",I3577-(I3577*50%),Vlookup(E3577,DATABASE!C:Q,10,false)*F3577)</f>
        <v>0</v>
      </c>
      <c r="K3577" s="74">
        <v>613000.0</v>
      </c>
      <c r="L3577" s="74">
        <v>613000.0</v>
      </c>
      <c r="M3577" s="74">
        <f t="shared" si="2"/>
        <v>615000</v>
      </c>
      <c r="N3577" s="74">
        <f t="shared" si="3"/>
        <v>190000</v>
      </c>
      <c r="O3577" s="65" t="str">
        <f>VLOOKUP(E3577,DATABASE!C:Q,8,false)</f>
        <v>IBU</v>
      </c>
      <c r="P3577" s="65">
        <f>VLOOKUP(E3577,DATABASE!C:Q,9,False)</f>
        <v>1</v>
      </c>
      <c r="Q3577" s="93" t="str">
        <f>VLOOKUP(E3577,DATABASE!C:Q,4,false)</f>
        <v>Dunlop</v>
      </c>
      <c r="R3577" s="93" t="str">
        <f>VLOOKUP(E3577,DATABASE!C:Q,11,false)</f>
        <v>Tire</v>
      </c>
    </row>
    <row r="3578" ht="22.5" customHeight="1">
      <c r="A3578" s="49"/>
      <c r="C3578" s="384">
        <v>45846.0</v>
      </c>
      <c r="D3578" s="65">
        <v>6406.0</v>
      </c>
      <c r="E3578" s="445" t="s">
        <v>1084</v>
      </c>
      <c r="F3578" s="386">
        <v>2.0</v>
      </c>
      <c r="G3578" s="74">
        <v>1410000.0</v>
      </c>
      <c r="H3578" s="74">
        <v>0.0</v>
      </c>
      <c r="I3578" s="74">
        <f t="shared" si="1"/>
        <v>2820000</v>
      </c>
      <c r="J3578" s="74">
        <f>IF(E3578="SERVICE",I3578-(I3578*50%),Vlookup(E3578,DATABASE!C:Q,10,false)*F3578)</f>
        <v>0</v>
      </c>
      <c r="K3578" s="74">
        <f>VLOOKUP(E3578,DATABASE!C:Q,7,false)</f>
        <v>1285000</v>
      </c>
      <c r="L3578" s="74">
        <v>1285000.0</v>
      </c>
      <c r="M3578" s="74">
        <f t="shared" si="2"/>
        <v>1285000</v>
      </c>
      <c r="N3578" s="74">
        <f t="shared" si="3"/>
        <v>250000</v>
      </c>
      <c r="O3578" s="65" t="str">
        <f>VLOOKUP(E3578,DATABASE!C:Q,8,false)</f>
        <v>BIAN</v>
      </c>
      <c r="P3578" s="65">
        <f>VLOOKUP(E3578,DATABASE!C:Q,9,False)</f>
        <v>1</v>
      </c>
      <c r="Q3578" s="93" t="str">
        <f>VLOOKUP(E3578,DATABASE!C:Q,4,false)</f>
        <v>GT</v>
      </c>
      <c r="R3578" s="93" t="str">
        <f>VLOOKUP(E3578,DATABASE!C:Q,11,false)</f>
        <v>Tire</v>
      </c>
    </row>
    <row r="3579" ht="22.5" customHeight="1">
      <c r="A3579" s="49"/>
      <c r="C3579" s="384">
        <v>45846.0</v>
      </c>
      <c r="D3579" s="65">
        <v>6407.0</v>
      </c>
      <c r="E3579" s="445" t="s">
        <v>839</v>
      </c>
      <c r="F3579" s="386">
        <v>1.0</v>
      </c>
      <c r="G3579" s="74">
        <v>565000.0</v>
      </c>
      <c r="H3579" s="74">
        <v>0.0</v>
      </c>
      <c r="I3579" s="74">
        <f t="shared" si="1"/>
        <v>565000</v>
      </c>
      <c r="J3579" s="74">
        <f>IF(E3579="SERVICE",I3579-(I3579*50%),Vlookup(E3579,DATABASE!C:Q,10,false)*F3579)</f>
        <v>0</v>
      </c>
      <c r="K3579" s="74">
        <f>VLOOKUP(E3579,DATABASE!C:Q,7,false)</f>
        <v>512640</v>
      </c>
      <c r="L3579" s="74">
        <v>475700.0</v>
      </c>
      <c r="M3579" s="74">
        <f t="shared" si="2"/>
        <v>480000</v>
      </c>
      <c r="N3579" s="74">
        <f t="shared" si="3"/>
        <v>85000</v>
      </c>
      <c r="O3579" s="65" t="str">
        <f>VLOOKUP(E3579,DATABASE!C:Q,8,false)</f>
        <v>BIAN</v>
      </c>
      <c r="P3579" s="65">
        <f>VLOOKUP(E3579,DATABASE!C:Q,9,False)</f>
        <v>1</v>
      </c>
      <c r="Q3579" s="93" t="str">
        <f>VLOOKUP(E3579,DATABASE!C:Q,4,false)</f>
        <v>GT</v>
      </c>
      <c r="R3579" s="93" t="str">
        <f>VLOOKUP(E3579,DATABASE!C:Q,11,false)</f>
        <v>Tire</v>
      </c>
    </row>
    <row r="3580" ht="22.5" customHeight="1">
      <c r="A3580" s="49"/>
      <c r="C3580" s="384">
        <v>45846.0</v>
      </c>
      <c r="D3580" s="65">
        <v>6408.0</v>
      </c>
      <c r="E3580" s="385" t="s">
        <v>299</v>
      </c>
      <c r="F3580" s="386">
        <v>2.0</v>
      </c>
      <c r="G3580" s="74">
        <v>30000.0</v>
      </c>
      <c r="H3580" s="74">
        <v>0.0</v>
      </c>
      <c r="I3580" s="74">
        <f t="shared" si="1"/>
        <v>60000</v>
      </c>
      <c r="J3580" s="74">
        <f>IF(E3580="SERVICE",I3580-(I3580*50%),Vlookup(E3580,DATABASE!C:Q,10,false)*F3580)</f>
        <v>0</v>
      </c>
      <c r="K3580" s="74">
        <v>0.0</v>
      </c>
      <c r="L3580" s="74">
        <v>0.0</v>
      </c>
      <c r="M3580" s="74">
        <f t="shared" si="2"/>
        <v>0</v>
      </c>
      <c r="N3580" s="74">
        <f t="shared" si="3"/>
        <v>60000</v>
      </c>
      <c r="O3580" s="65" t="str">
        <f>VLOOKUP(E3580,DATABASE!C:Q,8,false)</f>
        <v>BIAN</v>
      </c>
      <c r="P3580" s="65">
        <f>VLOOKUP(E3580,DATABASE!C:Q,9,False)</f>
        <v>0</v>
      </c>
      <c r="Q3580" s="93" t="str">
        <f>VLOOKUP(E3580,DATABASE!C:Q,4,false)</f>
        <v>Balancing</v>
      </c>
      <c r="R3580" s="93" t="str">
        <f>VLOOKUP(E3580,DATABASE!C:Q,11,false)</f>
        <v>COMPLEMENTARY</v>
      </c>
    </row>
    <row r="3581" ht="22.5" customHeight="1">
      <c r="A3581" s="49"/>
      <c r="C3581" s="384">
        <v>45846.0</v>
      </c>
      <c r="D3581" s="65">
        <v>6408.0</v>
      </c>
      <c r="E3581" s="445" t="s">
        <v>256</v>
      </c>
      <c r="F3581" s="386">
        <v>1.0</v>
      </c>
      <c r="G3581" s="74">
        <v>130000.0</v>
      </c>
      <c r="H3581" s="74">
        <v>0.0</v>
      </c>
      <c r="I3581" s="74">
        <f t="shared" si="1"/>
        <v>130000</v>
      </c>
      <c r="J3581" s="74">
        <f>IF(E3581="SERVICE",I3581-(I3581*50%),Vlookup(E3581,DATABASE!C:Q,10,false)*F3581)</f>
        <v>10000</v>
      </c>
      <c r="K3581" s="74">
        <f>VLOOKUP(E3581,DATABASE!C:Q,7,false)</f>
        <v>0</v>
      </c>
      <c r="L3581" s="74">
        <v>0.0</v>
      </c>
      <c r="M3581" s="74">
        <f t="shared" si="2"/>
        <v>0</v>
      </c>
      <c r="N3581" s="74">
        <f t="shared" si="3"/>
        <v>120000</v>
      </c>
      <c r="O3581" s="65" t="str">
        <f>VLOOKUP(E3581,DATABASE!C:Q,8,false)</f>
        <v>IBU</v>
      </c>
      <c r="P3581" s="65">
        <f>VLOOKUP(E3581,DATABASE!C:Q,9,False)</f>
        <v>0</v>
      </c>
      <c r="Q3581" s="93" t="str">
        <f>VLOOKUP(E3581,DATABASE!C:Q,4,false)</f>
        <v>SPOORING</v>
      </c>
      <c r="R3581" s="93" t="str">
        <f>VLOOKUP(E3581,DATABASE!C:Q,11,false)</f>
        <v>SERVICE</v>
      </c>
    </row>
    <row r="3582" ht="22.5" customHeight="1">
      <c r="A3582" s="49"/>
      <c r="C3582" s="384">
        <v>45846.0</v>
      </c>
      <c r="D3582" s="65">
        <v>6408.0</v>
      </c>
      <c r="E3582" s="445" t="s">
        <v>251</v>
      </c>
      <c r="F3582" s="386">
        <v>1.0</v>
      </c>
      <c r="G3582" s="74">
        <v>150000.0</v>
      </c>
      <c r="H3582" s="74">
        <v>0.0</v>
      </c>
      <c r="I3582" s="74">
        <f t="shared" si="1"/>
        <v>150000</v>
      </c>
      <c r="J3582" s="74">
        <f>IF(E3582="SERVICE",I3582-(I3582*50%),Vlookup(E3582,DATABASE!C:Q,10,false)*F3582)</f>
        <v>75000</v>
      </c>
      <c r="K3582" s="74">
        <f>VLOOKUP(E3582,DATABASE!C:Q,7,false)</f>
        <v>0</v>
      </c>
      <c r="L3582" s="74">
        <v>0.0</v>
      </c>
      <c r="M3582" s="74">
        <f t="shared" si="2"/>
        <v>0</v>
      </c>
      <c r="N3582" s="74">
        <f t="shared" si="3"/>
        <v>75000</v>
      </c>
      <c r="O3582" s="65" t="str">
        <f>VLOOKUP(E3582,DATABASE!C:Q,8,false)</f>
        <v>IBU</v>
      </c>
      <c r="P3582" s="65">
        <f>VLOOKUP(E3582,DATABASE!C:Q,9,False)</f>
        <v>0</v>
      </c>
      <c r="Q3582" s="93" t="str">
        <f>VLOOKUP(E3582,DATABASE!C:Q,4,false)</f>
        <v>SERVICE</v>
      </c>
      <c r="R3582" s="93" t="str">
        <f>VLOOKUP(E3582,DATABASE!C:Q,11,false)</f>
        <v>SERVICE</v>
      </c>
    </row>
    <row r="3583" ht="22.5" customHeight="1">
      <c r="A3583" s="49"/>
      <c r="C3583" s="384">
        <v>45846.0</v>
      </c>
      <c r="D3583" s="65">
        <v>6409.0</v>
      </c>
      <c r="E3583" s="445" t="s">
        <v>256</v>
      </c>
      <c r="F3583" s="386">
        <v>1.0</v>
      </c>
      <c r="G3583" s="74">
        <v>130000.0</v>
      </c>
      <c r="H3583" s="74">
        <v>0.0</v>
      </c>
      <c r="I3583" s="74">
        <f t="shared" si="1"/>
        <v>130000</v>
      </c>
      <c r="J3583" s="74">
        <f>IF(E3583="SERVICE",I3583-(I3583*50%),Vlookup(E3583,DATABASE!C:Q,10,false)*F3583)</f>
        <v>10000</v>
      </c>
      <c r="K3583" s="74">
        <f>VLOOKUP(E3583,DATABASE!C:Q,7,false)</f>
        <v>0</v>
      </c>
      <c r="L3583" s="74">
        <v>0.0</v>
      </c>
      <c r="M3583" s="74">
        <f t="shared" si="2"/>
        <v>0</v>
      </c>
      <c r="N3583" s="74">
        <f t="shared" si="3"/>
        <v>120000</v>
      </c>
      <c r="O3583" s="65" t="str">
        <f>VLOOKUP(E3583,DATABASE!C:Q,8,false)</f>
        <v>IBU</v>
      </c>
      <c r="P3583" s="65">
        <f>VLOOKUP(E3583,DATABASE!C:Q,9,False)</f>
        <v>0</v>
      </c>
      <c r="Q3583" s="93" t="str">
        <f>VLOOKUP(E3583,DATABASE!C:Q,4,false)</f>
        <v>SPOORING</v>
      </c>
      <c r="R3583" s="93" t="str">
        <f>VLOOKUP(E3583,DATABASE!C:Q,11,false)</f>
        <v>SERVICE</v>
      </c>
    </row>
    <row r="3584" ht="22.5" customHeight="1">
      <c r="A3584" s="49"/>
      <c r="C3584" s="384">
        <v>45846.0</v>
      </c>
      <c r="D3584" s="65">
        <v>6409.0</v>
      </c>
      <c r="E3584" s="445" t="s">
        <v>301</v>
      </c>
      <c r="F3584" s="386">
        <v>1.0</v>
      </c>
      <c r="G3584" s="74">
        <v>250000.0</v>
      </c>
      <c r="H3584" s="74">
        <v>0.0</v>
      </c>
      <c r="I3584" s="74">
        <f t="shared" si="1"/>
        <v>250000</v>
      </c>
      <c r="J3584" s="74">
        <f>IF(E3584="SERVICE",I3584-(I3584*50%),Vlookup(E3584,DATABASE!C:Q,10,false)*F3584)</f>
        <v>75000</v>
      </c>
      <c r="K3584" s="74">
        <f>VLOOKUP(E3584,DATABASE!C:Q,7,false)</f>
        <v>75000</v>
      </c>
      <c r="L3584" s="74">
        <v>75000.0</v>
      </c>
      <c r="M3584" s="74">
        <f t="shared" si="2"/>
        <v>75000</v>
      </c>
      <c r="N3584" s="74">
        <f t="shared" si="3"/>
        <v>100000</v>
      </c>
      <c r="O3584" s="65" t="str">
        <f>VLOOKUP(E3584,DATABASE!C:Q,8,false)</f>
        <v>BIAN</v>
      </c>
      <c r="P3584" s="65">
        <f>VLOOKUP(E3584,DATABASE!C:Q,9,False)</f>
        <v>0</v>
      </c>
      <c r="Q3584" s="93" t="str">
        <f>VLOOKUP(E3584,DATABASE!C:Q,4,false)</f>
        <v>Baut Camber</v>
      </c>
      <c r="R3584" s="93" t="str">
        <f>VLOOKUP(E3584,DATABASE!C:Q,11,false)</f>
        <v>COMPLEMENTARY</v>
      </c>
    </row>
    <row r="3585" ht="22.5" customHeight="1">
      <c r="A3585" s="49"/>
      <c r="C3585" s="384">
        <v>45846.0</v>
      </c>
      <c r="D3585" s="65">
        <v>6410.0</v>
      </c>
      <c r="E3585" s="445" t="s">
        <v>1175</v>
      </c>
      <c r="F3585" s="386">
        <v>2.0</v>
      </c>
      <c r="G3585" s="74">
        <v>950000.0</v>
      </c>
      <c r="H3585" s="74">
        <v>0.0</v>
      </c>
      <c r="I3585" s="74">
        <f t="shared" si="1"/>
        <v>1900000</v>
      </c>
      <c r="J3585" s="74">
        <f>IF(E3585="SERVICE",I3585-(I3585*50%),Vlookup(E3585,DATABASE!C:Q,10,false)*F3585)</f>
        <v>0</v>
      </c>
      <c r="K3585" s="74">
        <f>VLOOKUP(E3585,DATABASE!C:Q,7,false)</f>
        <v>889369.5</v>
      </c>
      <c r="L3585" s="74">
        <v>846720.0</v>
      </c>
      <c r="M3585" s="74">
        <f t="shared" si="2"/>
        <v>850000</v>
      </c>
      <c r="N3585" s="74">
        <f t="shared" si="3"/>
        <v>200000</v>
      </c>
      <c r="O3585" s="65" t="str">
        <f>VLOOKUP(E3585,DATABASE!C:Q,8,false)</f>
        <v>IBU</v>
      </c>
      <c r="P3585" s="65">
        <f>VLOOKUP(E3585,DATABASE!C:Q,9,False)</f>
        <v>1</v>
      </c>
      <c r="Q3585" s="93" t="str">
        <f>VLOOKUP(E3585,DATABASE!C:Q,4,false)</f>
        <v>Bridgestone</v>
      </c>
      <c r="R3585" s="93" t="str">
        <f>VLOOKUP(E3585,DATABASE!C:Q,11,false)</f>
        <v>Tire</v>
      </c>
    </row>
    <row r="3586" ht="22.5" customHeight="1">
      <c r="A3586" s="49"/>
      <c r="C3586" s="384">
        <v>45846.0</v>
      </c>
      <c r="D3586" s="65">
        <v>6410.0</v>
      </c>
      <c r="E3586" s="385" t="s">
        <v>299</v>
      </c>
      <c r="F3586" s="386">
        <v>2.0</v>
      </c>
      <c r="G3586" s="74">
        <v>30000.0</v>
      </c>
      <c r="H3586" s="74">
        <v>0.0</v>
      </c>
      <c r="I3586" s="74">
        <f t="shared" si="1"/>
        <v>60000</v>
      </c>
      <c r="J3586" s="74">
        <f>IF(E3586="SERVICE",I3586-(I3586*50%),Vlookup(E3586,DATABASE!C:Q,10,false)*F3586)</f>
        <v>0</v>
      </c>
      <c r="K3586" s="74">
        <v>0.0</v>
      </c>
      <c r="L3586" s="74">
        <v>0.0</v>
      </c>
      <c r="M3586" s="74">
        <f t="shared" si="2"/>
        <v>0</v>
      </c>
      <c r="N3586" s="74">
        <f t="shared" si="3"/>
        <v>60000</v>
      </c>
      <c r="O3586" s="65" t="str">
        <f>VLOOKUP(E3586,DATABASE!C:Q,8,false)</f>
        <v>BIAN</v>
      </c>
      <c r="P3586" s="65">
        <f>VLOOKUP(E3586,DATABASE!C:Q,9,False)</f>
        <v>0</v>
      </c>
      <c r="Q3586" s="93" t="str">
        <f>VLOOKUP(E3586,DATABASE!C:Q,4,false)</f>
        <v>Balancing</v>
      </c>
      <c r="R3586" s="93" t="str">
        <f>VLOOKUP(E3586,DATABASE!C:Q,11,false)</f>
        <v>COMPLEMENTARY</v>
      </c>
    </row>
    <row r="3587" ht="22.5" customHeight="1">
      <c r="A3587" s="49"/>
      <c r="C3587" s="384">
        <v>45846.0</v>
      </c>
      <c r="D3587" s="65">
        <v>6491.0</v>
      </c>
      <c r="E3587" s="445" t="s">
        <v>839</v>
      </c>
      <c r="F3587" s="386">
        <v>1.0</v>
      </c>
      <c r="G3587" s="74">
        <v>565000.0</v>
      </c>
      <c r="H3587" s="74">
        <v>0.0</v>
      </c>
      <c r="I3587" s="74">
        <f t="shared" si="1"/>
        <v>565000</v>
      </c>
      <c r="J3587" s="74">
        <f>IF(E3587="SERVICE",I3587-(I3587*50%),Vlookup(E3587,DATABASE!C:Q,10,false)*F3587)</f>
        <v>0</v>
      </c>
      <c r="K3587" s="74">
        <f>VLOOKUP(E3587,DATABASE!C:Q,7,false)</f>
        <v>512640</v>
      </c>
      <c r="L3587" s="74">
        <v>475700.0</v>
      </c>
      <c r="M3587" s="74">
        <f t="shared" si="2"/>
        <v>480000</v>
      </c>
      <c r="N3587" s="74">
        <f t="shared" si="3"/>
        <v>85000</v>
      </c>
      <c r="O3587" s="65" t="str">
        <f>VLOOKUP(E3587,DATABASE!C:Q,8,false)</f>
        <v>BIAN</v>
      </c>
      <c r="P3587" s="65">
        <f>VLOOKUP(E3587,DATABASE!C:Q,9,False)</f>
        <v>1</v>
      </c>
      <c r="Q3587" s="93" t="str">
        <f>VLOOKUP(E3587,DATABASE!C:Q,4,false)</f>
        <v>GT</v>
      </c>
      <c r="R3587" s="93" t="str">
        <f>VLOOKUP(E3587,DATABASE!C:Q,11,false)</f>
        <v>Tire</v>
      </c>
    </row>
    <row r="3588" ht="22.5" customHeight="1">
      <c r="A3588" s="49"/>
      <c r="C3588" s="384">
        <v>45847.0</v>
      </c>
      <c r="D3588" s="65">
        <v>6411.0</v>
      </c>
      <c r="E3588" s="445" t="s">
        <v>246</v>
      </c>
      <c r="F3588" s="386">
        <v>1.0</v>
      </c>
      <c r="G3588" s="74">
        <v>30000.0</v>
      </c>
      <c r="H3588" s="74">
        <v>0.0</v>
      </c>
      <c r="I3588" s="74">
        <f t="shared" si="1"/>
        <v>30000</v>
      </c>
      <c r="J3588" s="74">
        <f>IF(E3588="SERVICE",I3588-(I3588*50%),Vlookup(E3588,DATABASE!C:Q,10,false)*F3588)</f>
        <v>0</v>
      </c>
      <c r="K3588" s="74">
        <f>VLOOKUP(E3588,DATABASE!C:Q,7,false)</f>
        <v>0</v>
      </c>
      <c r="L3588" s="74">
        <v>0.0</v>
      </c>
      <c r="M3588" s="74">
        <f t="shared" si="2"/>
        <v>0</v>
      </c>
      <c r="N3588" s="74">
        <f t="shared" si="3"/>
        <v>30000</v>
      </c>
      <c r="O3588" s="65" t="str">
        <f>VLOOKUP(E3588,DATABASE!C:Q,8,false)</f>
        <v>IBU</v>
      </c>
      <c r="P3588" s="65">
        <f>VLOOKUP(E3588,DATABASE!C:Q,9,False)</f>
        <v>0</v>
      </c>
      <c r="Q3588" s="93" t="str">
        <f>VLOOKUP(E3588,DATABASE!C:Q,4,false)</f>
        <v>Bongkar Pasang</v>
      </c>
      <c r="R3588" s="93" t="str">
        <f>VLOOKUP(E3588,DATABASE!C:Q,11,false)</f>
        <v>SERVICE</v>
      </c>
    </row>
    <row r="3589" ht="22.5" customHeight="1">
      <c r="A3589" s="49"/>
      <c r="C3589" s="384">
        <v>45847.0</v>
      </c>
      <c r="D3589" s="65">
        <v>6412.0</v>
      </c>
      <c r="E3589" s="445" t="s">
        <v>246</v>
      </c>
      <c r="F3589" s="386">
        <v>1.0</v>
      </c>
      <c r="G3589" s="74">
        <v>50000.0</v>
      </c>
      <c r="H3589" s="74">
        <v>0.0</v>
      </c>
      <c r="I3589" s="74">
        <f t="shared" si="1"/>
        <v>50000</v>
      </c>
      <c r="J3589" s="74">
        <f>IF(E3589="SERVICE",I3589-(I3589*50%),Vlookup(E3589,DATABASE!C:Q,10,false)*F3589)</f>
        <v>0</v>
      </c>
      <c r="K3589" s="74">
        <f>VLOOKUP(E3589,DATABASE!C:Q,7,false)</f>
        <v>0</v>
      </c>
      <c r="L3589" s="74">
        <v>0.0</v>
      </c>
      <c r="M3589" s="74">
        <f t="shared" si="2"/>
        <v>0</v>
      </c>
      <c r="N3589" s="74">
        <f t="shared" si="3"/>
        <v>50000</v>
      </c>
      <c r="O3589" s="65" t="str">
        <f>VLOOKUP(E3589,DATABASE!C:Q,8,false)</f>
        <v>IBU</v>
      </c>
      <c r="P3589" s="65">
        <f>VLOOKUP(E3589,DATABASE!C:Q,9,False)</f>
        <v>0</v>
      </c>
      <c r="Q3589" s="93" t="str">
        <f>VLOOKUP(E3589,DATABASE!C:Q,4,false)</f>
        <v>Bongkar Pasang</v>
      </c>
      <c r="R3589" s="93" t="str">
        <f>VLOOKUP(E3589,DATABASE!C:Q,11,false)</f>
        <v>SERVICE</v>
      </c>
    </row>
    <row r="3590" ht="22.5" customHeight="1">
      <c r="A3590" s="49"/>
      <c r="C3590" s="384">
        <v>45847.0</v>
      </c>
      <c r="D3590" s="65">
        <v>6413.0</v>
      </c>
      <c r="E3590" s="445" t="s">
        <v>256</v>
      </c>
      <c r="F3590" s="386">
        <v>1.0</v>
      </c>
      <c r="G3590" s="74">
        <v>130000.0</v>
      </c>
      <c r="H3590" s="74">
        <v>0.0</v>
      </c>
      <c r="I3590" s="74">
        <f t="shared" si="1"/>
        <v>130000</v>
      </c>
      <c r="J3590" s="74">
        <f>IF(E3590="SERVICE",I3590-(I3590*50%),Vlookup(E3590,DATABASE!C:Q,10,false)*F3590)</f>
        <v>10000</v>
      </c>
      <c r="K3590" s="74">
        <f>VLOOKUP(E3590,DATABASE!C:Q,7,false)</f>
        <v>0</v>
      </c>
      <c r="L3590" s="74">
        <v>0.0</v>
      </c>
      <c r="M3590" s="74">
        <f t="shared" si="2"/>
        <v>0</v>
      </c>
      <c r="N3590" s="74">
        <f t="shared" si="3"/>
        <v>120000</v>
      </c>
      <c r="O3590" s="65" t="str">
        <f>VLOOKUP(E3590,DATABASE!C:Q,8,false)</f>
        <v>IBU</v>
      </c>
      <c r="P3590" s="65">
        <f>VLOOKUP(E3590,DATABASE!C:Q,9,False)</f>
        <v>0</v>
      </c>
      <c r="Q3590" s="93" t="str">
        <f>VLOOKUP(E3590,DATABASE!C:Q,4,false)</f>
        <v>SPOORING</v>
      </c>
      <c r="R3590" s="93" t="str">
        <f>VLOOKUP(E3590,DATABASE!C:Q,11,false)</f>
        <v>SERVICE</v>
      </c>
    </row>
    <row r="3591" ht="22.5" customHeight="1">
      <c r="A3591" s="49"/>
      <c r="C3591" s="384">
        <v>45847.0</v>
      </c>
      <c r="D3591" s="65">
        <v>6414.0</v>
      </c>
      <c r="E3591" s="445" t="s">
        <v>554</v>
      </c>
      <c r="F3591" s="386">
        <v>1.0</v>
      </c>
      <c r="G3591" s="74">
        <v>800000.0</v>
      </c>
      <c r="H3591" s="74">
        <v>0.0</v>
      </c>
      <c r="I3591" s="74">
        <f t="shared" si="1"/>
        <v>800000</v>
      </c>
      <c r="J3591" s="74">
        <f>IF(E3591="SERVICE",I3591-(I3591*50%),Vlookup(E3591,DATABASE!C:Q,10,false)*F3591)</f>
        <v>0</v>
      </c>
      <c r="K3591" s="74">
        <f>VLOOKUP(E3591,DATABASE!C:Q,7,false)</f>
        <v>710000</v>
      </c>
      <c r="L3591" s="74">
        <v>680000.0</v>
      </c>
      <c r="M3591" s="74">
        <f t="shared" si="2"/>
        <v>680000</v>
      </c>
      <c r="N3591" s="74">
        <f t="shared" si="3"/>
        <v>120000</v>
      </c>
      <c r="O3591" s="65" t="str">
        <f>VLOOKUP(E3591,DATABASE!C:Q,8,false)</f>
        <v>IBU</v>
      </c>
      <c r="P3591" s="65">
        <f>VLOOKUP(E3591,DATABASE!C:Q,9,False)</f>
        <v>1</v>
      </c>
      <c r="Q3591" s="93" t="str">
        <f>VLOOKUP(E3591,DATABASE!C:Q,4,false)</f>
        <v>Bridgestone</v>
      </c>
      <c r="R3591" s="93" t="str">
        <f>VLOOKUP(E3591,DATABASE!C:Q,11,false)</f>
        <v>Tire</v>
      </c>
    </row>
    <row r="3592" ht="22.5" customHeight="1">
      <c r="A3592" s="49"/>
      <c r="C3592" s="384">
        <v>45847.0</v>
      </c>
      <c r="D3592" s="65">
        <v>6415.0</v>
      </c>
      <c r="E3592" s="445" t="s">
        <v>932</v>
      </c>
      <c r="F3592" s="386">
        <v>2.0</v>
      </c>
      <c r="G3592" s="74">
        <v>685000.0</v>
      </c>
      <c r="H3592" s="74">
        <v>0.0</v>
      </c>
      <c r="I3592" s="74">
        <f t="shared" si="1"/>
        <v>1370000</v>
      </c>
      <c r="J3592" s="74">
        <f>IF(E3592="SERVICE",I3592-(I3592*50%),Vlookup(E3592,DATABASE!C:Q,10,false)*F3592)</f>
        <v>0</v>
      </c>
      <c r="K3592" s="74">
        <f>VLOOKUP(E3592,DATABASE!C:Q,7,false)</f>
        <v>601000</v>
      </c>
      <c r="L3592" s="74">
        <v>595000.0</v>
      </c>
      <c r="M3592" s="74">
        <f t="shared" si="2"/>
        <v>595000</v>
      </c>
      <c r="N3592" s="74">
        <f t="shared" si="3"/>
        <v>180000</v>
      </c>
      <c r="O3592" s="65" t="str">
        <f>VLOOKUP(E3592,DATABASE!C:Q,8,false)</f>
        <v>IBU</v>
      </c>
      <c r="P3592" s="65">
        <f>VLOOKUP(E3592,DATABASE!C:Q,9,False)</f>
        <v>1</v>
      </c>
      <c r="Q3592" s="93" t="str">
        <f>VLOOKUP(E3592,DATABASE!C:Q,4,false)</f>
        <v>Dunlop</v>
      </c>
      <c r="R3592" s="93" t="str">
        <f>VLOOKUP(E3592,DATABASE!C:Q,11,false)</f>
        <v>Tire</v>
      </c>
    </row>
    <row r="3593" ht="22.5" customHeight="1">
      <c r="A3593" s="49"/>
      <c r="C3593" s="384">
        <v>45847.0</v>
      </c>
      <c r="D3593" s="65">
        <v>6416.0</v>
      </c>
      <c r="E3593" s="445" t="s">
        <v>1224</v>
      </c>
      <c r="F3593" s="386">
        <v>1.0</v>
      </c>
      <c r="G3593" s="74">
        <v>1620000.0</v>
      </c>
      <c r="H3593" s="74">
        <v>0.0</v>
      </c>
      <c r="I3593" s="74">
        <f t="shared" si="1"/>
        <v>1620000</v>
      </c>
      <c r="J3593" s="74">
        <f>IF(E3593="SERVICE",I3593-(I3593*50%),Vlookup(E3593,DATABASE!C:Q,10,false)*F3593)</f>
        <v>0</v>
      </c>
      <c r="K3593" s="74">
        <f>VLOOKUP(E3593,DATABASE!C:Q,7,false)</f>
        <v>1501164</v>
      </c>
      <c r="L3593" s="74">
        <v>1501164.0</v>
      </c>
      <c r="M3593" s="74">
        <f t="shared" si="2"/>
        <v>1505000</v>
      </c>
      <c r="N3593" s="74">
        <f t="shared" si="3"/>
        <v>115000</v>
      </c>
      <c r="O3593" s="65" t="str">
        <f>VLOOKUP(E3593,DATABASE!C:Q,8,false)</f>
        <v>IBU</v>
      </c>
      <c r="P3593" s="65">
        <f>VLOOKUP(E3593,DATABASE!C:Q,9,False)</f>
        <v>1</v>
      </c>
      <c r="Q3593" s="93" t="str">
        <f>VLOOKUP(E3593,DATABASE!C:Q,4,false)</f>
        <v>Bridgestone</v>
      </c>
      <c r="R3593" s="93" t="str">
        <f>VLOOKUP(E3593,DATABASE!C:Q,11,false)</f>
        <v>Tire</v>
      </c>
    </row>
    <row r="3594" ht="22.5" customHeight="1">
      <c r="A3594" s="49"/>
      <c r="C3594" s="384">
        <v>45847.0</v>
      </c>
      <c r="D3594" s="65">
        <v>6417.0</v>
      </c>
      <c r="E3594" s="445" t="s">
        <v>287</v>
      </c>
      <c r="F3594" s="386">
        <v>2.0</v>
      </c>
      <c r="G3594" s="74">
        <v>780000.0</v>
      </c>
      <c r="H3594" s="74">
        <v>0.0</v>
      </c>
      <c r="I3594" s="74">
        <f t="shared" si="1"/>
        <v>1560000</v>
      </c>
      <c r="J3594" s="74">
        <f>IF(E3594="SERVICE",I3594-(I3594*50%),Vlookup(E3594,DATABASE!C:Q,10,false)*F3594)</f>
        <v>0</v>
      </c>
      <c r="K3594" s="74">
        <f>VLOOKUP(E3594,DATABASE!C:Q,7,false)</f>
        <v>711000</v>
      </c>
      <c r="L3594" s="74">
        <v>690600.0</v>
      </c>
      <c r="M3594" s="74">
        <f t="shared" si="2"/>
        <v>695000</v>
      </c>
      <c r="N3594" s="74">
        <f t="shared" si="3"/>
        <v>170000</v>
      </c>
      <c r="O3594" s="65" t="str">
        <f>VLOOKUP(E3594,DATABASE!C:Q,8,false)</f>
        <v>BIAN</v>
      </c>
      <c r="P3594" s="65">
        <f>VLOOKUP(E3594,DATABASE!C:Q,9,False)</f>
        <v>1</v>
      </c>
      <c r="Q3594" s="93" t="str">
        <f>VLOOKUP(E3594,DATABASE!C:Q,4,false)</f>
        <v>GT</v>
      </c>
      <c r="R3594" s="93" t="str">
        <f>VLOOKUP(E3594,DATABASE!C:Q,11,false)</f>
        <v>Tire</v>
      </c>
    </row>
    <row r="3595" ht="22.5" customHeight="1">
      <c r="A3595" s="49"/>
      <c r="C3595" s="384">
        <v>45847.0</v>
      </c>
      <c r="D3595" s="65">
        <v>6418.0</v>
      </c>
      <c r="E3595" s="445" t="s">
        <v>1009</v>
      </c>
      <c r="F3595" s="386">
        <v>2.0</v>
      </c>
      <c r="G3595" s="74">
        <v>700000.0</v>
      </c>
      <c r="H3595" s="74">
        <v>0.0</v>
      </c>
      <c r="I3595" s="74">
        <f t="shared" si="1"/>
        <v>1400000</v>
      </c>
      <c r="J3595" s="74">
        <f>IF(E3595="SERVICE",I3595-(I3595*50%),Vlookup(E3595,DATABASE!C:Q,10,false)*F3595)</f>
        <v>0</v>
      </c>
      <c r="K3595" s="74">
        <f>VLOOKUP(E3595,DATABASE!C:Q,7,false)</f>
        <v>609800</v>
      </c>
      <c r="L3595" s="74">
        <v>592200.0</v>
      </c>
      <c r="M3595" s="74">
        <f t="shared" si="2"/>
        <v>595000</v>
      </c>
      <c r="N3595" s="74">
        <f t="shared" si="3"/>
        <v>210000</v>
      </c>
      <c r="O3595" s="65" t="str">
        <f>VLOOKUP(E3595,DATABASE!C:Q,8,false)</f>
        <v>BIAN</v>
      </c>
      <c r="P3595" s="65">
        <f>VLOOKUP(E3595,DATABASE!C:Q,9,False)</f>
        <v>1</v>
      </c>
      <c r="Q3595" s="93" t="str">
        <f>VLOOKUP(E3595,DATABASE!C:Q,4,false)</f>
        <v>GT</v>
      </c>
      <c r="R3595" s="93" t="str">
        <f>VLOOKUP(E3595,DATABASE!C:Q,11,false)</f>
        <v>Tire</v>
      </c>
    </row>
    <row r="3596" ht="22.5" customHeight="1">
      <c r="A3596" s="49"/>
      <c r="C3596" s="384">
        <v>45847.0</v>
      </c>
      <c r="D3596" s="65">
        <v>6419.0</v>
      </c>
      <c r="E3596" s="445" t="s">
        <v>1439</v>
      </c>
      <c r="F3596" s="386">
        <v>1.0</v>
      </c>
      <c r="G3596" s="74">
        <v>630000.0</v>
      </c>
      <c r="H3596" s="74">
        <v>0.0</v>
      </c>
      <c r="I3596" s="74">
        <f t="shared" si="1"/>
        <v>630000</v>
      </c>
      <c r="J3596" s="74">
        <f>IF(E3596="SERVICE",I3596-(I3596*50%),Vlookup(E3596,DATABASE!C:Q,10,false)*F3596)</f>
        <v>0</v>
      </c>
      <c r="K3596" s="74">
        <f>VLOOKUP(E3596,DATABASE!C:Q,7,false)</f>
        <v>556800</v>
      </c>
      <c r="L3596" s="74">
        <v>540800.0</v>
      </c>
      <c r="M3596" s="74">
        <f t="shared" si="2"/>
        <v>545000</v>
      </c>
      <c r="N3596" s="74">
        <f t="shared" si="3"/>
        <v>85000</v>
      </c>
      <c r="O3596" s="65" t="str">
        <f>VLOOKUP(E3596,DATABASE!C:Q,8,false)</f>
        <v>BIAN</v>
      </c>
      <c r="P3596" s="65">
        <f>VLOOKUP(E3596,DATABASE!C:Q,9,False)</f>
        <v>1</v>
      </c>
      <c r="Q3596" s="93" t="str">
        <f>VLOOKUP(E3596,DATABASE!C:Q,4,false)</f>
        <v>GT</v>
      </c>
      <c r="R3596" s="93" t="str">
        <f>VLOOKUP(E3596,DATABASE!C:Q,11,false)</f>
        <v>Tire</v>
      </c>
    </row>
    <row r="3597" ht="22.5" customHeight="1">
      <c r="A3597" s="49"/>
      <c r="C3597" s="384">
        <v>45847.0</v>
      </c>
      <c r="D3597" s="65">
        <v>6420.0</v>
      </c>
      <c r="E3597" s="445" t="s">
        <v>955</v>
      </c>
      <c r="F3597" s="386">
        <v>2.0</v>
      </c>
      <c r="G3597" s="74">
        <v>780000.0</v>
      </c>
      <c r="H3597" s="74">
        <v>0.0</v>
      </c>
      <c r="I3597" s="74">
        <f t="shared" si="1"/>
        <v>1560000</v>
      </c>
      <c r="J3597" s="74">
        <f>IF(E3597="SERVICE",I3597-(I3597*50%),Vlookup(E3597,DATABASE!C:Q,10,false)*F3597)</f>
        <v>0</v>
      </c>
      <c r="K3597" s="74">
        <f>VLOOKUP(E3597,DATABASE!C:Q,7,false)</f>
        <v>712000</v>
      </c>
      <c r="L3597" s="74">
        <v>674000.0</v>
      </c>
      <c r="M3597" s="74">
        <f t="shared" si="2"/>
        <v>675000</v>
      </c>
      <c r="N3597" s="74">
        <f t="shared" si="3"/>
        <v>210000</v>
      </c>
      <c r="O3597" s="65" t="str">
        <f>VLOOKUP(E3597,DATABASE!C:Q,8,false)</f>
        <v>IBU</v>
      </c>
      <c r="P3597" s="65">
        <f>VLOOKUP(E3597,DATABASE!C:Q,9,False)</f>
        <v>1</v>
      </c>
      <c r="Q3597" s="93" t="str">
        <f>VLOOKUP(E3597,DATABASE!C:Q,4,false)</f>
        <v>Dunlop</v>
      </c>
      <c r="R3597" s="93" t="str">
        <f>VLOOKUP(E3597,DATABASE!C:Q,11,false)</f>
        <v>Tire</v>
      </c>
    </row>
    <row r="3598" ht="22.5" customHeight="1">
      <c r="A3598" s="49"/>
      <c r="C3598" s="384">
        <v>45847.0</v>
      </c>
      <c r="D3598" s="65">
        <v>6421.0</v>
      </c>
      <c r="E3598" s="445" t="s">
        <v>288</v>
      </c>
      <c r="F3598" s="386">
        <v>2.0</v>
      </c>
      <c r="G3598" s="74">
        <v>620000.0</v>
      </c>
      <c r="H3598" s="74">
        <v>0.0</v>
      </c>
      <c r="I3598" s="74">
        <f t="shared" si="1"/>
        <v>1240000</v>
      </c>
      <c r="J3598" s="74">
        <f>IF(E3598="SERVICE",I3598-(I3598*50%),Vlookup(E3598,DATABASE!C:Q,10,false)*F3598)</f>
        <v>0</v>
      </c>
      <c r="K3598" s="74">
        <f>VLOOKUP(E3598,DATABASE!C:Q,7,false)</f>
        <v>565760</v>
      </c>
      <c r="L3598" s="74">
        <v>524800.0</v>
      </c>
      <c r="M3598" s="74">
        <f t="shared" si="2"/>
        <v>525000</v>
      </c>
      <c r="N3598" s="74">
        <f t="shared" si="3"/>
        <v>190000</v>
      </c>
      <c r="O3598" s="65" t="str">
        <f>VLOOKUP(E3598,DATABASE!C:Q,8,false)</f>
        <v>BIAN</v>
      </c>
      <c r="P3598" s="65">
        <f>VLOOKUP(E3598,DATABASE!C:Q,9,False)</f>
        <v>1</v>
      </c>
      <c r="Q3598" s="93" t="str">
        <f>VLOOKUP(E3598,DATABASE!C:Q,4,false)</f>
        <v>GT</v>
      </c>
      <c r="R3598" s="93" t="str">
        <f>VLOOKUP(E3598,DATABASE!C:Q,11,false)</f>
        <v>Tire</v>
      </c>
    </row>
    <row r="3599" ht="22.5" customHeight="1">
      <c r="A3599" s="49"/>
      <c r="C3599" s="384">
        <v>45848.0</v>
      </c>
      <c r="D3599" s="65">
        <v>6422.0</v>
      </c>
      <c r="E3599" s="445" t="s">
        <v>781</v>
      </c>
      <c r="F3599" s="386">
        <v>2.0</v>
      </c>
      <c r="G3599" s="74">
        <v>525000.0</v>
      </c>
      <c r="H3599" s="74">
        <v>0.0</v>
      </c>
      <c r="I3599" s="74">
        <f t="shared" si="1"/>
        <v>1050000</v>
      </c>
      <c r="J3599" s="74">
        <f>IF(E3599="SERVICE",I3599-(I3599*50%),Vlookup(E3599,DATABASE!C:Q,10,false)*F3599)</f>
        <v>0</v>
      </c>
      <c r="K3599" s="74">
        <f>VLOOKUP(E3599,DATABASE!C:Q,7,false)</f>
        <v>470000</v>
      </c>
      <c r="L3599" s="74">
        <v>442500.0</v>
      </c>
      <c r="M3599" s="74">
        <f t="shared" si="2"/>
        <v>445000</v>
      </c>
      <c r="N3599" s="74">
        <f t="shared" si="3"/>
        <v>160000</v>
      </c>
      <c r="O3599" s="65" t="str">
        <f>VLOOKUP(E3599,DATABASE!C:Q,8,false)</f>
        <v>BIAN</v>
      </c>
      <c r="P3599" s="65">
        <f>VLOOKUP(E3599,DATABASE!C:Q,9,False)</f>
        <v>1</v>
      </c>
      <c r="Q3599" s="93" t="str">
        <f>VLOOKUP(E3599,DATABASE!C:Q,4,false)</f>
        <v>GT</v>
      </c>
      <c r="R3599" s="93" t="str">
        <f>VLOOKUP(E3599,DATABASE!C:Q,11,false)</f>
        <v>Tire</v>
      </c>
    </row>
    <row r="3600" ht="22.5" customHeight="1">
      <c r="A3600" s="49"/>
      <c r="C3600" s="384">
        <v>45848.0</v>
      </c>
      <c r="D3600" s="65">
        <v>6423.0</v>
      </c>
      <c r="E3600" s="445" t="s">
        <v>265</v>
      </c>
      <c r="F3600" s="386">
        <v>2.0</v>
      </c>
      <c r="G3600" s="74">
        <v>700000.0</v>
      </c>
      <c r="H3600" s="74">
        <v>0.0</v>
      </c>
      <c r="I3600" s="74">
        <f t="shared" si="1"/>
        <v>1400000</v>
      </c>
      <c r="J3600" s="74">
        <f>IF(E3600="SERVICE",I3600-(I3600*50%),Vlookup(E3600,DATABASE!C:Q,10,false)*F3600)</f>
        <v>0</v>
      </c>
      <c r="K3600" s="74">
        <f>VLOOKUP(E3600,DATABASE!C:Q,7,false)</f>
        <v>628000</v>
      </c>
      <c r="L3600" s="74">
        <v>610000.0</v>
      </c>
      <c r="M3600" s="74">
        <f t="shared" si="2"/>
        <v>610000</v>
      </c>
      <c r="N3600" s="74">
        <f t="shared" si="3"/>
        <v>180000</v>
      </c>
      <c r="O3600" s="65" t="str">
        <f>VLOOKUP(E3600,DATABASE!C:Q,8,false)</f>
        <v>IBU</v>
      </c>
      <c r="P3600" s="65">
        <f>VLOOKUP(E3600,DATABASE!C:Q,9,False)</f>
        <v>1</v>
      </c>
      <c r="Q3600" s="93" t="str">
        <f>VLOOKUP(E3600,DATABASE!C:Q,4,false)</f>
        <v>Dunlop</v>
      </c>
      <c r="R3600" s="93" t="str">
        <f>VLOOKUP(E3600,DATABASE!C:Q,11,false)</f>
        <v>Tire</v>
      </c>
    </row>
    <row r="3601" ht="22.5" customHeight="1">
      <c r="A3601" s="49"/>
      <c r="C3601" s="384">
        <v>45848.0</v>
      </c>
      <c r="D3601" s="65">
        <v>6423.0</v>
      </c>
      <c r="E3601" s="445" t="s">
        <v>246</v>
      </c>
      <c r="F3601" s="386">
        <v>1.0</v>
      </c>
      <c r="G3601" s="74">
        <v>25000.0</v>
      </c>
      <c r="H3601" s="74">
        <v>0.0</v>
      </c>
      <c r="I3601" s="74">
        <f t="shared" si="1"/>
        <v>25000</v>
      </c>
      <c r="J3601" s="74">
        <f>IF(E3601="SERVICE",I3601-(I3601*50%),Vlookup(E3601,DATABASE!C:Q,10,false)*F3601)</f>
        <v>0</v>
      </c>
      <c r="K3601" s="74">
        <f>VLOOKUP(E3601,DATABASE!C:Q,7,false)</f>
        <v>0</v>
      </c>
      <c r="L3601" s="74">
        <v>0.0</v>
      </c>
      <c r="M3601" s="74">
        <f t="shared" si="2"/>
        <v>0</v>
      </c>
      <c r="N3601" s="74">
        <f t="shared" si="3"/>
        <v>25000</v>
      </c>
      <c r="O3601" s="65" t="str">
        <f>VLOOKUP(E3601,DATABASE!C:Q,8,false)</f>
        <v>IBU</v>
      </c>
      <c r="P3601" s="65">
        <f>VLOOKUP(E3601,DATABASE!C:Q,9,False)</f>
        <v>0</v>
      </c>
      <c r="Q3601" s="93" t="str">
        <f>VLOOKUP(E3601,DATABASE!C:Q,4,false)</f>
        <v>Bongkar Pasang</v>
      </c>
      <c r="R3601" s="93" t="str">
        <f>VLOOKUP(E3601,DATABASE!C:Q,11,false)</f>
        <v>SERVICE</v>
      </c>
    </row>
    <row r="3602" ht="22.5" customHeight="1">
      <c r="A3602" s="49"/>
      <c r="C3602" s="384">
        <v>45848.0</v>
      </c>
      <c r="D3602" s="65">
        <v>6425.0</v>
      </c>
      <c r="E3602" s="445" t="s">
        <v>268</v>
      </c>
      <c r="F3602" s="386">
        <v>2.0</v>
      </c>
      <c r="G3602" s="74">
        <v>720000.0</v>
      </c>
      <c r="H3602" s="74">
        <v>0.0</v>
      </c>
      <c r="I3602" s="74">
        <f t="shared" si="1"/>
        <v>1440000</v>
      </c>
      <c r="J3602" s="74">
        <f>IF(E3602="SERVICE",I3602-(I3602*50%),Vlookup(E3602,DATABASE!C:Q,10,false)*F3602)</f>
        <v>0</v>
      </c>
      <c r="K3602" s="74">
        <f>VLOOKUP(E3602,DATABASE!C:Q,7,false)</f>
        <v>653000</v>
      </c>
      <c r="L3602" s="74">
        <v>622000.0</v>
      </c>
      <c r="M3602" s="74">
        <f t="shared" si="2"/>
        <v>625000</v>
      </c>
      <c r="N3602" s="74">
        <f t="shared" si="3"/>
        <v>190000</v>
      </c>
      <c r="O3602" s="65" t="str">
        <f>VLOOKUP(E3602,DATABASE!C:Q,8,false)</f>
        <v>IBU</v>
      </c>
      <c r="P3602" s="65">
        <f>VLOOKUP(E3602,DATABASE!C:Q,9,False)</f>
        <v>1</v>
      </c>
      <c r="Q3602" s="93" t="str">
        <f>VLOOKUP(E3602,DATABASE!C:Q,4,false)</f>
        <v>Dunlop</v>
      </c>
      <c r="R3602" s="93" t="str">
        <f>VLOOKUP(E3602,DATABASE!C:Q,11,false)</f>
        <v>Tire</v>
      </c>
    </row>
    <row r="3603" ht="22.5" customHeight="1">
      <c r="A3603" s="49"/>
      <c r="C3603" s="384">
        <v>45848.0</v>
      </c>
      <c r="D3603" s="65">
        <v>6426.0</v>
      </c>
      <c r="E3603" s="445" t="s">
        <v>695</v>
      </c>
      <c r="F3603" s="386">
        <v>1.0</v>
      </c>
      <c r="G3603" s="74">
        <v>675000.0</v>
      </c>
      <c r="H3603" s="74">
        <v>0.0</v>
      </c>
      <c r="I3603" s="74">
        <f t="shared" si="1"/>
        <v>675000</v>
      </c>
      <c r="J3603" s="74">
        <f>IF(E3603="SERVICE",I3603-(I3603*50%),Vlookup(E3603,DATABASE!C:Q,10,false)*F3603)</f>
        <v>0</v>
      </c>
      <c r="K3603" s="74">
        <f>VLOOKUP(E3603,DATABASE!C:Q,7,false)</f>
        <v>582000</v>
      </c>
      <c r="L3603" s="74">
        <v>570000.0</v>
      </c>
      <c r="M3603" s="74">
        <f t="shared" si="2"/>
        <v>570000</v>
      </c>
      <c r="N3603" s="74">
        <f t="shared" si="3"/>
        <v>105000</v>
      </c>
      <c r="O3603" s="65" t="str">
        <f>VLOOKUP(E3603,DATABASE!C:Q,8,false)</f>
        <v>IBU</v>
      </c>
      <c r="P3603" s="65">
        <f>VLOOKUP(E3603,DATABASE!C:Q,9,False)</f>
        <v>1</v>
      </c>
      <c r="Q3603" s="93" t="str">
        <f>VLOOKUP(E3603,DATABASE!C:Q,4,false)</f>
        <v>Dunlop</v>
      </c>
      <c r="R3603" s="93" t="str">
        <f>VLOOKUP(E3603,DATABASE!C:Q,11,false)</f>
        <v>Tire</v>
      </c>
    </row>
    <row r="3604" ht="22.5" customHeight="1">
      <c r="A3604" s="49"/>
      <c r="C3604" s="384">
        <v>45848.0</v>
      </c>
      <c r="D3604" s="65">
        <v>6427.0</v>
      </c>
      <c r="E3604" s="445" t="s">
        <v>290</v>
      </c>
      <c r="F3604" s="386">
        <v>2.0</v>
      </c>
      <c r="G3604" s="74">
        <v>720000.0</v>
      </c>
      <c r="H3604" s="74">
        <v>0.0</v>
      </c>
      <c r="I3604" s="74">
        <f t="shared" si="1"/>
        <v>1440000</v>
      </c>
      <c r="J3604" s="74">
        <f>IF(E3604="SERVICE",I3604-(I3604*50%),Vlookup(E3604,DATABASE!C:Q,10,false)*F3604)</f>
        <v>0</v>
      </c>
      <c r="K3604" s="74">
        <f>VLOOKUP(E3604,DATABASE!C:Q,7,false)</f>
        <v>628100</v>
      </c>
      <c r="L3604" s="74">
        <v>609804.0</v>
      </c>
      <c r="M3604" s="74">
        <f t="shared" si="2"/>
        <v>610000</v>
      </c>
      <c r="N3604" s="74">
        <f t="shared" si="3"/>
        <v>220000</v>
      </c>
      <c r="O3604" s="65" t="str">
        <f>VLOOKUP(E3604,DATABASE!C:Q,8,false)</f>
        <v>BIAN</v>
      </c>
      <c r="P3604" s="65">
        <f>VLOOKUP(E3604,DATABASE!C:Q,9,False)</f>
        <v>1</v>
      </c>
      <c r="Q3604" s="93" t="str">
        <f>VLOOKUP(E3604,DATABASE!C:Q,4,false)</f>
        <v>GT</v>
      </c>
      <c r="R3604" s="93" t="str">
        <f>VLOOKUP(E3604,DATABASE!C:Q,11,false)</f>
        <v>Tire</v>
      </c>
    </row>
    <row r="3605" ht="22.5" customHeight="1">
      <c r="A3605" s="49"/>
      <c r="C3605" s="384">
        <v>45848.0</v>
      </c>
      <c r="D3605" s="65">
        <v>6428.0</v>
      </c>
      <c r="E3605" s="445" t="s">
        <v>268</v>
      </c>
      <c r="F3605" s="386">
        <v>1.0</v>
      </c>
      <c r="G3605" s="74">
        <v>720000.0</v>
      </c>
      <c r="H3605" s="74">
        <v>0.0</v>
      </c>
      <c r="I3605" s="74">
        <f t="shared" si="1"/>
        <v>720000</v>
      </c>
      <c r="J3605" s="74">
        <f>IF(E3605="SERVICE",I3605-(I3605*50%),Vlookup(E3605,DATABASE!C:Q,10,false)*F3605)</f>
        <v>0</v>
      </c>
      <c r="K3605" s="74">
        <f>VLOOKUP(E3605,DATABASE!C:Q,7,false)</f>
        <v>653000</v>
      </c>
      <c r="L3605" s="74">
        <v>622000.0</v>
      </c>
      <c r="M3605" s="74">
        <f t="shared" si="2"/>
        <v>625000</v>
      </c>
      <c r="N3605" s="74">
        <f t="shared" si="3"/>
        <v>95000</v>
      </c>
      <c r="O3605" s="65" t="str">
        <f>VLOOKUP(E3605,DATABASE!C:Q,8,false)</f>
        <v>IBU</v>
      </c>
      <c r="P3605" s="65">
        <f>VLOOKUP(E3605,DATABASE!C:Q,9,False)</f>
        <v>1</v>
      </c>
      <c r="Q3605" s="93" t="str">
        <f>VLOOKUP(E3605,DATABASE!C:Q,4,false)</f>
        <v>Dunlop</v>
      </c>
      <c r="R3605" s="93" t="str">
        <f>VLOOKUP(E3605,DATABASE!C:Q,11,false)</f>
        <v>Tire</v>
      </c>
    </row>
    <row r="3606" ht="22.5" customHeight="1">
      <c r="A3606" s="49"/>
      <c r="C3606" s="384">
        <v>45848.0</v>
      </c>
      <c r="D3606" s="65">
        <v>6429.0</v>
      </c>
      <c r="E3606" s="385" t="s">
        <v>299</v>
      </c>
      <c r="F3606" s="386">
        <v>2.0</v>
      </c>
      <c r="G3606" s="74">
        <v>30000.0</v>
      </c>
      <c r="H3606" s="74">
        <v>0.0</v>
      </c>
      <c r="I3606" s="74">
        <f t="shared" si="1"/>
        <v>60000</v>
      </c>
      <c r="J3606" s="74">
        <f>IF(E3606="SERVICE",I3606-(I3606*50%),Vlookup(E3606,DATABASE!C:Q,10,false)*F3606)</f>
        <v>0</v>
      </c>
      <c r="K3606" s="74">
        <v>0.0</v>
      </c>
      <c r="L3606" s="74">
        <v>0.0</v>
      </c>
      <c r="M3606" s="74">
        <f t="shared" si="2"/>
        <v>0</v>
      </c>
      <c r="N3606" s="74">
        <f t="shared" si="3"/>
        <v>60000</v>
      </c>
      <c r="O3606" s="65" t="str">
        <f>VLOOKUP(E3606,DATABASE!C:Q,8,false)</f>
        <v>BIAN</v>
      </c>
      <c r="P3606" s="65">
        <f>VLOOKUP(E3606,DATABASE!C:Q,9,False)</f>
        <v>0</v>
      </c>
      <c r="Q3606" s="93" t="str">
        <f>VLOOKUP(E3606,DATABASE!C:Q,4,false)</f>
        <v>Balancing</v>
      </c>
      <c r="R3606" s="93" t="str">
        <f>VLOOKUP(E3606,DATABASE!C:Q,11,false)</f>
        <v>COMPLEMENTARY</v>
      </c>
    </row>
    <row r="3607" ht="22.5" customHeight="1">
      <c r="A3607" s="49"/>
      <c r="C3607" s="384">
        <v>45848.0</v>
      </c>
      <c r="D3607" s="65">
        <v>6429.0</v>
      </c>
      <c r="E3607" s="445" t="s">
        <v>256</v>
      </c>
      <c r="F3607" s="386">
        <v>1.0</v>
      </c>
      <c r="G3607" s="74">
        <v>130000.0</v>
      </c>
      <c r="H3607" s="74">
        <v>0.0</v>
      </c>
      <c r="I3607" s="74">
        <f t="shared" si="1"/>
        <v>130000</v>
      </c>
      <c r="J3607" s="74">
        <f>IF(E3607="SERVICE",I3607-(I3607*50%),Vlookup(E3607,DATABASE!C:Q,10,false)*F3607)</f>
        <v>10000</v>
      </c>
      <c r="K3607" s="74">
        <f>VLOOKUP(E3607,DATABASE!C:Q,7,false)</f>
        <v>0</v>
      </c>
      <c r="L3607" s="74">
        <v>0.0</v>
      </c>
      <c r="M3607" s="74">
        <f t="shared" si="2"/>
        <v>0</v>
      </c>
      <c r="N3607" s="74">
        <f t="shared" si="3"/>
        <v>120000</v>
      </c>
      <c r="O3607" s="65" t="str">
        <f>VLOOKUP(E3607,DATABASE!C:Q,8,false)</f>
        <v>IBU</v>
      </c>
      <c r="P3607" s="65">
        <f>VLOOKUP(E3607,DATABASE!C:Q,9,False)</f>
        <v>0</v>
      </c>
      <c r="Q3607" s="93" t="str">
        <f>VLOOKUP(E3607,DATABASE!C:Q,4,false)</f>
        <v>SPOORING</v>
      </c>
      <c r="R3607" s="93" t="str">
        <f>VLOOKUP(E3607,DATABASE!C:Q,11,false)</f>
        <v>SERVICE</v>
      </c>
    </row>
    <row r="3608" ht="22.5" customHeight="1">
      <c r="A3608" s="49"/>
      <c r="C3608" s="384">
        <v>45848.0</v>
      </c>
      <c r="D3608" s="65">
        <v>6429.0</v>
      </c>
      <c r="E3608" s="445" t="s">
        <v>301</v>
      </c>
      <c r="F3608" s="386">
        <v>1.0</v>
      </c>
      <c r="G3608" s="74">
        <v>250000.0</v>
      </c>
      <c r="H3608" s="74">
        <v>0.0</v>
      </c>
      <c r="I3608" s="74">
        <f t="shared" si="1"/>
        <v>250000</v>
      </c>
      <c r="J3608" s="74">
        <f>IF(E3608="SERVICE",I3608-(I3608*50%),Vlookup(E3608,DATABASE!C:Q,10,false)*F3608)</f>
        <v>75000</v>
      </c>
      <c r="K3608" s="74">
        <f>VLOOKUP(E3608,DATABASE!C:Q,7,false)</f>
        <v>75000</v>
      </c>
      <c r="L3608" s="74">
        <v>75000.0</v>
      </c>
      <c r="M3608" s="74">
        <f t="shared" si="2"/>
        <v>75000</v>
      </c>
      <c r="N3608" s="74">
        <f t="shared" si="3"/>
        <v>100000</v>
      </c>
      <c r="O3608" s="65" t="str">
        <f>VLOOKUP(E3608,DATABASE!C:Q,8,false)</f>
        <v>BIAN</v>
      </c>
      <c r="P3608" s="65">
        <f>VLOOKUP(E3608,DATABASE!C:Q,9,False)</f>
        <v>0</v>
      </c>
      <c r="Q3608" s="93" t="str">
        <f>VLOOKUP(E3608,DATABASE!C:Q,4,false)</f>
        <v>Baut Camber</v>
      </c>
      <c r="R3608" s="93" t="str">
        <f>VLOOKUP(E3608,DATABASE!C:Q,11,false)</f>
        <v>COMPLEMENTARY</v>
      </c>
    </row>
    <row r="3609" ht="22.5" customHeight="1">
      <c r="A3609" s="49"/>
      <c r="C3609" s="384">
        <v>45848.0</v>
      </c>
      <c r="D3609" s="65">
        <v>6430.0</v>
      </c>
      <c r="E3609" s="445" t="s">
        <v>294</v>
      </c>
      <c r="F3609" s="386">
        <v>2.0</v>
      </c>
      <c r="G3609" s="74">
        <v>570000.0</v>
      </c>
      <c r="H3609" s="74">
        <v>0.0</v>
      </c>
      <c r="I3609" s="74">
        <f t="shared" si="1"/>
        <v>1140000</v>
      </c>
      <c r="J3609" s="74">
        <f>IF(E3609="SERVICE",I3609-(I3609*50%),Vlookup(E3609,DATABASE!C:Q,10,false)*F3609)</f>
        <v>0</v>
      </c>
      <c r="K3609" s="74">
        <f>VLOOKUP(E3609,DATABASE!C:Q,7,false)</f>
        <v>505000</v>
      </c>
      <c r="L3609" s="74">
        <v>490000.0</v>
      </c>
      <c r="M3609" s="74">
        <f t="shared" si="2"/>
        <v>490000</v>
      </c>
      <c r="N3609" s="74">
        <f t="shared" si="3"/>
        <v>160000</v>
      </c>
      <c r="O3609" s="65" t="str">
        <f>VLOOKUP(E3609,DATABASE!C:Q,8,false)</f>
        <v>BIAN</v>
      </c>
      <c r="P3609" s="65">
        <f>VLOOKUP(E3609,DATABASE!C:Q,9,False)</f>
        <v>1</v>
      </c>
      <c r="Q3609" s="93" t="str">
        <f>VLOOKUP(E3609,DATABASE!C:Q,4,false)</f>
        <v>GT</v>
      </c>
      <c r="R3609" s="93" t="str">
        <f>VLOOKUP(E3609,DATABASE!C:Q,11,false)</f>
        <v>Tire</v>
      </c>
    </row>
    <row r="3610" ht="22.5" customHeight="1">
      <c r="A3610" s="49"/>
      <c r="C3610" s="384">
        <v>45848.0</v>
      </c>
      <c r="D3610" s="65">
        <v>6431.0</v>
      </c>
      <c r="E3610" s="445" t="s">
        <v>955</v>
      </c>
      <c r="F3610" s="386">
        <v>2.0</v>
      </c>
      <c r="G3610" s="74">
        <v>780000.0</v>
      </c>
      <c r="H3610" s="74">
        <v>0.0</v>
      </c>
      <c r="I3610" s="74">
        <f t="shared" si="1"/>
        <v>1560000</v>
      </c>
      <c r="J3610" s="74">
        <f>IF(E3610="SERVICE",I3610-(I3610*50%),Vlookup(E3610,DATABASE!C:Q,10,false)*F3610)</f>
        <v>0</v>
      </c>
      <c r="K3610" s="74">
        <f>VLOOKUP(E3610,DATABASE!C:Q,7,false)</f>
        <v>712000</v>
      </c>
      <c r="L3610" s="74">
        <v>674000.0</v>
      </c>
      <c r="M3610" s="74">
        <f t="shared" si="2"/>
        <v>675000</v>
      </c>
      <c r="N3610" s="74">
        <f t="shared" si="3"/>
        <v>210000</v>
      </c>
      <c r="O3610" s="65" t="str">
        <f>VLOOKUP(E3610,DATABASE!C:Q,8,false)</f>
        <v>IBU</v>
      </c>
      <c r="P3610" s="65">
        <f>VLOOKUP(E3610,DATABASE!C:Q,9,False)</f>
        <v>1</v>
      </c>
      <c r="Q3610" s="93" t="str">
        <f>VLOOKUP(E3610,DATABASE!C:Q,4,false)</f>
        <v>Dunlop</v>
      </c>
      <c r="R3610" s="93" t="str">
        <f>VLOOKUP(E3610,DATABASE!C:Q,11,false)</f>
        <v>Tire</v>
      </c>
    </row>
    <row r="3611" ht="22.5" customHeight="1">
      <c r="A3611" s="49"/>
      <c r="C3611" s="384">
        <v>45848.0</v>
      </c>
      <c r="D3611" s="65">
        <v>6432.0</v>
      </c>
      <c r="E3611" s="445" t="s">
        <v>604</v>
      </c>
      <c r="F3611" s="386">
        <v>1.0</v>
      </c>
      <c r="G3611" s="74">
        <v>160000.0</v>
      </c>
      <c r="H3611" s="74">
        <v>0.0</v>
      </c>
      <c r="I3611" s="74">
        <f t="shared" si="1"/>
        <v>160000</v>
      </c>
      <c r="J3611" s="74">
        <f>IF(E3611="SERVICE",I3611-(I3611*50%),Vlookup(E3611,DATABASE!C:Q,10,false)*F3611)</f>
        <v>0</v>
      </c>
      <c r="K3611" s="74">
        <f>VLOOKUP(E3611,DATABASE!C:Q,7,false)</f>
        <v>124000</v>
      </c>
      <c r="L3611" s="74">
        <v>124000.0</v>
      </c>
      <c r="M3611" s="74">
        <f t="shared" si="2"/>
        <v>125000</v>
      </c>
      <c r="N3611" s="74">
        <f t="shared" si="3"/>
        <v>35000</v>
      </c>
      <c r="O3611" s="65" t="str">
        <f>VLOOKUP(E3611,DATABASE!C:Q,8,false)</f>
        <v>BIAN</v>
      </c>
      <c r="P3611" s="65">
        <f>VLOOKUP(E3611,DATABASE!C:Q,9,False)</f>
        <v>1</v>
      </c>
      <c r="Q3611" s="93" t="str">
        <f>VLOOKUP(E3611,DATABASE!C:Q,4,false)</f>
        <v>BD</v>
      </c>
      <c r="R3611" s="93" t="str">
        <f>VLOOKUP(E3611,DATABASE!C:Q,11,false)</f>
        <v>Tire</v>
      </c>
    </row>
    <row r="3612" ht="22.5" customHeight="1">
      <c r="A3612" s="49"/>
      <c r="C3612" s="384">
        <v>45848.0</v>
      </c>
      <c r="D3612" s="65">
        <v>6433.0</v>
      </c>
      <c r="E3612" s="445" t="s">
        <v>1439</v>
      </c>
      <c r="F3612" s="386">
        <v>2.0</v>
      </c>
      <c r="G3612" s="74">
        <v>630000.0</v>
      </c>
      <c r="H3612" s="74">
        <v>0.0</v>
      </c>
      <c r="I3612" s="74">
        <f t="shared" si="1"/>
        <v>1260000</v>
      </c>
      <c r="J3612" s="74">
        <f>IF(E3612="SERVICE",I3612-(I3612*50%),Vlookup(E3612,DATABASE!C:Q,10,false)*F3612)</f>
        <v>0</v>
      </c>
      <c r="K3612" s="74">
        <f>VLOOKUP(E3612,DATABASE!C:Q,7,false)</f>
        <v>556800</v>
      </c>
      <c r="L3612" s="74">
        <v>540800.0</v>
      </c>
      <c r="M3612" s="74">
        <f t="shared" si="2"/>
        <v>545000</v>
      </c>
      <c r="N3612" s="74">
        <f t="shared" si="3"/>
        <v>170000</v>
      </c>
      <c r="O3612" s="65" t="str">
        <f>VLOOKUP(E3612,DATABASE!C:Q,8,false)</f>
        <v>BIAN</v>
      </c>
      <c r="P3612" s="65">
        <f>VLOOKUP(E3612,DATABASE!C:Q,9,False)</f>
        <v>1</v>
      </c>
      <c r="Q3612" s="93" t="str">
        <f>VLOOKUP(E3612,DATABASE!C:Q,4,false)</f>
        <v>GT</v>
      </c>
      <c r="R3612" s="93" t="str">
        <f>VLOOKUP(E3612,DATABASE!C:Q,11,false)</f>
        <v>Tire</v>
      </c>
    </row>
    <row r="3613" ht="22.5" customHeight="1">
      <c r="A3613" s="49"/>
      <c r="C3613" s="384">
        <v>45849.0</v>
      </c>
      <c r="D3613" s="65">
        <v>6435.0</v>
      </c>
      <c r="E3613" s="445" t="s">
        <v>1912</v>
      </c>
      <c r="F3613" s="386">
        <v>4.0</v>
      </c>
      <c r="G3613" s="74">
        <v>725000.0</v>
      </c>
      <c r="H3613" s="74">
        <v>0.0</v>
      </c>
      <c r="I3613" s="74">
        <f t="shared" si="1"/>
        <v>2900000</v>
      </c>
      <c r="J3613" s="74">
        <f>IF(E3613="SERVICE",I3613-(I3613*50%),Vlookup(E3613,DATABASE!C:Q,10,false)*F3613)</f>
        <v>0</v>
      </c>
      <c r="K3613" s="74">
        <f>VLOOKUP(E3613,DATABASE!C:Q,7,false)</f>
        <v>636300</v>
      </c>
      <c r="L3613" s="74">
        <v>636300.0</v>
      </c>
      <c r="M3613" s="74">
        <f t="shared" si="2"/>
        <v>640000</v>
      </c>
      <c r="N3613" s="74">
        <f t="shared" si="3"/>
        <v>340000</v>
      </c>
      <c r="O3613" s="65" t="str">
        <f>VLOOKUP(E3613,DATABASE!C:Q,8,false)</f>
        <v>BIAN</v>
      </c>
      <c r="P3613" s="65">
        <f>VLOOKUP(E3613,DATABASE!C:Q,9,False)</f>
        <v>1</v>
      </c>
      <c r="Q3613" s="93" t="str">
        <f>VLOOKUP(E3613,DATABASE!C:Q,4,false)</f>
        <v>GT</v>
      </c>
      <c r="R3613" s="93" t="str">
        <f>VLOOKUP(E3613,DATABASE!C:Q,11,false)</f>
        <v>Tire</v>
      </c>
    </row>
    <row r="3614" ht="22.5" customHeight="1">
      <c r="A3614" s="49"/>
      <c r="C3614" s="384">
        <v>45849.0</v>
      </c>
      <c r="D3614" s="65">
        <v>6436.0</v>
      </c>
      <c r="E3614" s="445" t="s">
        <v>932</v>
      </c>
      <c r="F3614" s="386">
        <v>1.0</v>
      </c>
      <c r="G3614" s="74">
        <v>700000.0</v>
      </c>
      <c r="H3614" s="74">
        <v>0.0</v>
      </c>
      <c r="I3614" s="74">
        <f t="shared" si="1"/>
        <v>700000</v>
      </c>
      <c r="J3614" s="74">
        <f>IF(E3614="SERVICE",I3614-(I3614*50%),Vlookup(E3614,DATABASE!C:Q,10,false)*F3614)</f>
        <v>0</v>
      </c>
      <c r="K3614" s="74">
        <f>VLOOKUP(E3614,DATABASE!C:Q,7,false)</f>
        <v>601000</v>
      </c>
      <c r="L3614" s="74">
        <v>595000.0</v>
      </c>
      <c r="M3614" s="74">
        <f t="shared" si="2"/>
        <v>595000</v>
      </c>
      <c r="N3614" s="74">
        <f t="shared" si="3"/>
        <v>105000</v>
      </c>
      <c r="O3614" s="65" t="str">
        <f>VLOOKUP(E3614,DATABASE!C:Q,8,false)</f>
        <v>IBU</v>
      </c>
      <c r="P3614" s="65">
        <f>VLOOKUP(E3614,DATABASE!C:Q,9,False)</f>
        <v>1</v>
      </c>
      <c r="Q3614" s="93" t="str">
        <f>VLOOKUP(E3614,DATABASE!C:Q,4,false)</f>
        <v>Dunlop</v>
      </c>
      <c r="R3614" s="93" t="str">
        <f>VLOOKUP(E3614,DATABASE!C:Q,11,false)</f>
        <v>Tire</v>
      </c>
    </row>
    <row r="3615" ht="22.5" customHeight="1">
      <c r="A3615" s="49"/>
      <c r="C3615" s="384">
        <v>45849.0</v>
      </c>
      <c r="D3615" s="65">
        <v>6437.0</v>
      </c>
      <c r="E3615" s="445" t="s">
        <v>256</v>
      </c>
      <c r="F3615" s="386">
        <v>1.0</v>
      </c>
      <c r="G3615" s="74">
        <v>130000.0</v>
      </c>
      <c r="H3615" s="74">
        <v>0.0</v>
      </c>
      <c r="I3615" s="74">
        <f t="shared" si="1"/>
        <v>130000</v>
      </c>
      <c r="J3615" s="74">
        <f>IF(E3615="SERVICE",I3615-(I3615*50%),Vlookup(E3615,DATABASE!C:Q,10,false)*F3615)</f>
        <v>10000</v>
      </c>
      <c r="K3615" s="74">
        <f>VLOOKUP(E3615,DATABASE!C:Q,7,false)</f>
        <v>0</v>
      </c>
      <c r="L3615" s="74">
        <v>0.0</v>
      </c>
      <c r="M3615" s="74">
        <f t="shared" si="2"/>
        <v>0</v>
      </c>
      <c r="N3615" s="74">
        <f t="shared" si="3"/>
        <v>120000</v>
      </c>
      <c r="O3615" s="65" t="str">
        <f>VLOOKUP(E3615,DATABASE!C:Q,8,false)</f>
        <v>IBU</v>
      </c>
      <c r="P3615" s="65">
        <f>VLOOKUP(E3615,DATABASE!C:Q,9,False)</f>
        <v>0</v>
      </c>
      <c r="Q3615" s="93" t="str">
        <f>VLOOKUP(E3615,DATABASE!C:Q,4,false)</f>
        <v>SPOORING</v>
      </c>
      <c r="R3615" s="93" t="str">
        <f>VLOOKUP(E3615,DATABASE!C:Q,11,false)</f>
        <v>SERVICE</v>
      </c>
    </row>
    <row r="3616" ht="22.5" customHeight="1">
      <c r="A3616" s="49"/>
      <c r="C3616" s="384">
        <v>45849.0</v>
      </c>
      <c r="D3616" s="65">
        <v>6437.0</v>
      </c>
      <c r="E3616" s="385" t="s">
        <v>299</v>
      </c>
      <c r="F3616" s="386">
        <v>2.0</v>
      </c>
      <c r="G3616" s="74">
        <v>30000.0</v>
      </c>
      <c r="H3616" s="74">
        <v>0.0</v>
      </c>
      <c r="I3616" s="74">
        <f t="shared" si="1"/>
        <v>60000</v>
      </c>
      <c r="J3616" s="74">
        <f>IF(E3616="SERVICE",I3616-(I3616*50%),Vlookup(E3616,DATABASE!C:Q,10,false)*F3616)</f>
        <v>0</v>
      </c>
      <c r="K3616" s="74">
        <v>0.0</v>
      </c>
      <c r="L3616" s="74">
        <v>0.0</v>
      </c>
      <c r="M3616" s="74">
        <f t="shared" si="2"/>
        <v>0</v>
      </c>
      <c r="N3616" s="74">
        <f t="shared" si="3"/>
        <v>60000</v>
      </c>
      <c r="O3616" s="65" t="str">
        <f>VLOOKUP(E3616,DATABASE!C:Q,8,false)</f>
        <v>BIAN</v>
      </c>
      <c r="P3616" s="65">
        <f>VLOOKUP(E3616,DATABASE!C:Q,9,False)</f>
        <v>0</v>
      </c>
      <c r="Q3616" s="93" t="str">
        <f>VLOOKUP(E3616,DATABASE!C:Q,4,false)</f>
        <v>Balancing</v>
      </c>
      <c r="R3616" s="93" t="str">
        <f>VLOOKUP(E3616,DATABASE!C:Q,11,false)</f>
        <v>COMPLEMENTARY</v>
      </c>
    </row>
    <row r="3617" ht="22.5" customHeight="1">
      <c r="A3617" s="49"/>
      <c r="C3617" s="384">
        <v>45849.0</v>
      </c>
      <c r="D3617" s="65">
        <v>6437.0</v>
      </c>
      <c r="E3617" s="445" t="s">
        <v>251</v>
      </c>
      <c r="F3617" s="386">
        <v>1.0</v>
      </c>
      <c r="G3617" s="74">
        <v>150000.0</v>
      </c>
      <c r="H3617" s="74">
        <v>0.0</v>
      </c>
      <c r="I3617" s="74">
        <f t="shared" si="1"/>
        <v>150000</v>
      </c>
      <c r="J3617" s="74">
        <f>IF(E3617="SERVICE",I3617-(I3617*50%),Vlookup(E3617,DATABASE!C:Q,10,false)*F3617)</f>
        <v>75000</v>
      </c>
      <c r="K3617" s="74">
        <f>VLOOKUP(E3617,DATABASE!C:Q,7,false)</f>
        <v>0</v>
      </c>
      <c r="L3617" s="74">
        <v>0.0</v>
      </c>
      <c r="M3617" s="74">
        <f t="shared" si="2"/>
        <v>0</v>
      </c>
      <c r="N3617" s="74">
        <f t="shared" si="3"/>
        <v>75000</v>
      </c>
      <c r="O3617" s="65" t="str">
        <f>VLOOKUP(E3617,DATABASE!C:Q,8,false)</f>
        <v>IBU</v>
      </c>
      <c r="P3617" s="65">
        <f>VLOOKUP(E3617,DATABASE!C:Q,9,False)</f>
        <v>0</v>
      </c>
      <c r="Q3617" s="93" t="str">
        <f>VLOOKUP(E3617,DATABASE!C:Q,4,false)</f>
        <v>SERVICE</v>
      </c>
      <c r="R3617" s="93" t="str">
        <f>VLOOKUP(E3617,DATABASE!C:Q,11,false)</f>
        <v>SERVICE</v>
      </c>
    </row>
    <row r="3618" ht="22.5" customHeight="1">
      <c r="A3618" s="49"/>
      <c r="C3618" s="384">
        <v>45849.0</v>
      </c>
      <c r="D3618" s="65">
        <v>6438.0</v>
      </c>
      <c r="E3618" s="445" t="s">
        <v>947</v>
      </c>
      <c r="F3618" s="386">
        <v>1.0</v>
      </c>
      <c r="G3618" s="74">
        <v>780000.0</v>
      </c>
      <c r="H3618" s="74">
        <v>0.0</v>
      </c>
      <c r="I3618" s="74">
        <f t="shared" si="1"/>
        <v>780000</v>
      </c>
      <c r="J3618" s="74">
        <f>IF(E3618="SERVICE",I3618-(I3618*50%),Vlookup(E3618,DATABASE!C:Q,10,false)*F3618)</f>
        <v>0</v>
      </c>
      <c r="K3618" s="74">
        <f>VLOOKUP(E3618,DATABASE!C:Q,7,false)</f>
        <v>704346</v>
      </c>
      <c r="L3618" s="74">
        <v>680512.0</v>
      </c>
      <c r="M3618" s="74">
        <f t="shared" si="2"/>
        <v>685000</v>
      </c>
      <c r="N3618" s="74">
        <f t="shared" si="3"/>
        <v>95000</v>
      </c>
      <c r="O3618" s="65" t="str">
        <f>VLOOKUP(E3618,DATABASE!C:Q,8,false)</f>
        <v>IBU</v>
      </c>
      <c r="P3618" s="65">
        <f>VLOOKUP(E3618,DATABASE!C:Q,9,False)</f>
        <v>1</v>
      </c>
      <c r="Q3618" s="93" t="str">
        <f>VLOOKUP(E3618,DATABASE!C:Q,4,false)</f>
        <v>Bridgestone</v>
      </c>
      <c r="R3618" s="93" t="str">
        <f>VLOOKUP(E3618,DATABASE!C:Q,11,false)</f>
        <v>Tire</v>
      </c>
    </row>
    <row r="3619" ht="22.5" customHeight="1">
      <c r="A3619" s="49"/>
      <c r="C3619" s="384">
        <v>45849.0</v>
      </c>
      <c r="D3619" s="65">
        <v>6439.0</v>
      </c>
      <c r="E3619" s="445" t="s">
        <v>265</v>
      </c>
      <c r="F3619" s="386">
        <v>2.0</v>
      </c>
      <c r="G3619" s="74">
        <v>700000.0</v>
      </c>
      <c r="H3619" s="74">
        <v>0.0</v>
      </c>
      <c r="I3619" s="74">
        <f t="shared" si="1"/>
        <v>1400000</v>
      </c>
      <c r="J3619" s="74">
        <f>IF(E3619="SERVICE",I3619-(I3619*50%),Vlookup(E3619,DATABASE!C:Q,10,false)*F3619)</f>
        <v>0</v>
      </c>
      <c r="K3619" s="74">
        <f>VLOOKUP(E3619,DATABASE!C:Q,7,false)</f>
        <v>628000</v>
      </c>
      <c r="L3619" s="74">
        <v>610000.0</v>
      </c>
      <c r="M3619" s="74">
        <f t="shared" si="2"/>
        <v>610000</v>
      </c>
      <c r="N3619" s="74">
        <f t="shared" si="3"/>
        <v>180000</v>
      </c>
      <c r="O3619" s="65" t="str">
        <f>VLOOKUP(E3619,DATABASE!C:Q,8,false)</f>
        <v>IBU</v>
      </c>
      <c r="P3619" s="65">
        <f>VLOOKUP(E3619,DATABASE!C:Q,9,False)</f>
        <v>1</v>
      </c>
      <c r="Q3619" s="93" t="str">
        <f>VLOOKUP(E3619,DATABASE!C:Q,4,false)</f>
        <v>Dunlop</v>
      </c>
      <c r="R3619" s="93" t="str">
        <f>VLOOKUP(E3619,DATABASE!C:Q,11,false)</f>
        <v>Tire</v>
      </c>
    </row>
    <row r="3620" ht="22.5" customHeight="1">
      <c r="A3620" s="49"/>
      <c r="C3620" s="384">
        <v>45849.0</v>
      </c>
      <c r="D3620" s="65">
        <v>6439.0</v>
      </c>
      <c r="E3620" s="385" t="s">
        <v>299</v>
      </c>
      <c r="F3620" s="386">
        <v>2.0</v>
      </c>
      <c r="G3620" s="74">
        <v>30000.0</v>
      </c>
      <c r="H3620" s="74">
        <v>0.0</v>
      </c>
      <c r="I3620" s="74">
        <f t="shared" si="1"/>
        <v>60000</v>
      </c>
      <c r="J3620" s="74">
        <f>IF(E3620="SERVICE",I3620-(I3620*50%),Vlookup(E3620,DATABASE!C:Q,10,false)*F3620)</f>
        <v>0</v>
      </c>
      <c r="K3620" s="74">
        <v>0.0</v>
      </c>
      <c r="L3620" s="74">
        <v>0.0</v>
      </c>
      <c r="M3620" s="74">
        <f t="shared" si="2"/>
        <v>0</v>
      </c>
      <c r="N3620" s="74">
        <f t="shared" si="3"/>
        <v>60000</v>
      </c>
      <c r="O3620" s="65" t="str">
        <f>VLOOKUP(E3620,DATABASE!C:Q,8,false)</f>
        <v>BIAN</v>
      </c>
      <c r="P3620" s="65">
        <f>VLOOKUP(E3620,DATABASE!C:Q,9,False)</f>
        <v>0</v>
      </c>
      <c r="Q3620" s="93" t="str">
        <f>VLOOKUP(E3620,DATABASE!C:Q,4,false)</f>
        <v>Balancing</v>
      </c>
      <c r="R3620" s="93" t="str">
        <f>VLOOKUP(E3620,DATABASE!C:Q,11,false)</f>
        <v>COMPLEMENTARY</v>
      </c>
    </row>
    <row r="3621" ht="22.5" customHeight="1">
      <c r="A3621" s="49"/>
      <c r="C3621" s="384">
        <v>45849.0</v>
      </c>
      <c r="D3621" s="65">
        <v>6439.0</v>
      </c>
      <c r="E3621" s="445" t="s">
        <v>256</v>
      </c>
      <c r="F3621" s="386">
        <v>1.0</v>
      </c>
      <c r="G3621" s="74">
        <v>130000.0</v>
      </c>
      <c r="H3621" s="74">
        <v>0.0</v>
      </c>
      <c r="I3621" s="74">
        <f t="shared" si="1"/>
        <v>130000</v>
      </c>
      <c r="J3621" s="74">
        <f>IF(E3621="SERVICE",I3621-(I3621*50%),Vlookup(E3621,DATABASE!C:Q,10,false)*F3621)</f>
        <v>10000</v>
      </c>
      <c r="K3621" s="74">
        <f>VLOOKUP(E3621,DATABASE!C:Q,7,false)</f>
        <v>0</v>
      </c>
      <c r="L3621" s="74">
        <v>0.0</v>
      </c>
      <c r="M3621" s="74">
        <f t="shared" si="2"/>
        <v>0</v>
      </c>
      <c r="N3621" s="74">
        <f t="shared" si="3"/>
        <v>120000</v>
      </c>
      <c r="O3621" s="65" t="str">
        <f>VLOOKUP(E3621,DATABASE!C:Q,8,false)</f>
        <v>IBU</v>
      </c>
      <c r="P3621" s="65">
        <f>VLOOKUP(E3621,DATABASE!C:Q,9,False)</f>
        <v>0</v>
      </c>
      <c r="Q3621" s="93" t="str">
        <f>VLOOKUP(E3621,DATABASE!C:Q,4,false)</f>
        <v>SPOORING</v>
      </c>
      <c r="R3621" s="93" t="str">
        <f>VLOOKUP(E3621,DATABASE!C:Q,11,false)</f>
        <v>SERVICE</v>
      </c>
    </row>
    <row r="3622" ht="22.5" customHeight="1">
      <c r="A3622" s="49"/>
      <c r="C3622" s="384">
        <v>45849.0</v>
      </c>
      <c r="D3622" s="65">
        <v>6439.0</v>
      </c>
      <c r="E3622" s="445" t="s">
        <v>301</v>
      </c>
      <c r="F3622" s="386">
        <v>1.0</v>
      </c>
      <c r="G3622" s="74">
        <v>250000.0</v>
      </c>
      <c r="H3622" s="74">
        <v>0.0</v>
      </c>
      <c r="I3622" s="74">
        <f t="shared" si="1"/>
        <v>250000</v>
      </c>
      <c r="J3622" s="74">
        <f>IF(E3622="SERVICE",I3622-(I3622*50%),Vlookup(E3622,DATABASE!C:Q,10,false)*F3622)</f>
        <v>75000</v>
      </c>
      <c r="K3622" s="74">
        <f>VLOOKUP(E3622,DATABASE!C:Q,7,false)</f>
        <v>75000</v>
      </c>
      <c r="L3622" s="74">
        <v>75000.0</v>
      </c>
      <c r="M3622" s="74">
        <f t="shared" si="2"/>
        <v>75000</v>
      </c>
      <c r="N3622" s="74">
        <f t="shared" si="3"/>
        <v>100000</v>
      </c>
      <c r="O3622" s="65" t="str">
        <f>VLOOKUP(E3622,DATABASE!C:Q,8,false)</f>
        <v>BIAN</v>
      </c>
      <c r="P3622" s="65">
        <f>VLOOKUP(E3622,DATABASE!C:Q,9,False)</f>
        <v>0</v>
      </c>
      <c r="Q3622" s="93" t="str">
        <f>VLOOKUP(E3622,DATABASE!C:Q,4,false)</f>
        <v>Baut Camber</v>
      </c>
      <c r="R3622" s="93" t="str">
        <f>VLOOKUP(E3622,DATABASE!C:Q,11,false)</f>
        <v>COMPLEMENTARY</v>
      </c>
    </row>
    <row r="3623" ht="22.5" customHeight="1">
      <c r="A3623" s="49"/>
      <c r="C3623" s="384">
        <v>45849.0</v>
      </c>
      <c r="D3623" s="65">
        <v>6440.0</v>
      </c>
      <c r="E3623" s="445" t="s">
        <v>1807</v>
      </c>
      <c r="F3623" s="386">
        <v>2.0</v>
      </c>
      <c r="G3623" s="74">
        <v>585000.0</v>
      </c>
      <c r="H3623" s="74">
        <v>0.0</v>
      </c>
      <c r="I3623" s="74">
        <f t="shared" si="1"/>
        <v>1170000</v>
      </c>
      <c r="J3623" s="74">
        <f>IF(E3623="SERVICE",I3623-(I3623*50%),Vlookup(E3623,DATABASE!C:Q,10,false)*F3623)</f>
        <v>0</v>
      </c>
      <c r="K3623" s="74">
        <f>VLOOKUP(E3623,DATABASE!C:Q,7,false)</f>
        <v>473000</v>
      </c>
      <c r="L3623" s="74">
        <v>473000.0</v>
      </c>
      <c r="M3623" s="74">
        <f t="shared" si="2"/>
        <v>475000</v>
      </c>
      <c r="N3623" s="74">
        <f t="shared" si="3"/>
        <v>220000</v>
      </c>
      <c r="O3623" s="65" t="str">
        <f>VLOOKUP(E3623,DATABASE!C:Q,8,false)</f>
        <v>BIAN</v>
      </c>
      <c r="P3623" s="65">
        <f>VLOOKUP(E3623,DATABASE!C:Q,9,False)</f>
        <v>1</v>
      </c>
      <c r="Q3623" s="93" t="str">
        <f>VLOOKUP(E3623,DATABASE!C:Q,4,false)</f>
        <v>G. YEAR</v>
      </c>
      <c r="R3623" s="93" t="str">
        <f>VLOOKUP(E3623,DATABASE!C:Q,11,false)</f>
        <v>Tire</v>
      </c>
    </row>
    <row r="3624" ht="22.5" customHeight="1">
      <c r="A3624" s="49"/>
      <c r="C3624" s="384">
        <v>45849.0</v>
      </c>
      <c r="D3624" s="65">
        <v>6440.0</v>
      </c>
      <c r="E3624" s="445" t="s">
        <v>531</v>
      </c>
      <c r="F3624" s="386">
        <v>2.0</v>
      </c>
      <c r="G3624" s="74">
        <v>70000.0</v>
      </c>
      <c r="H3624" s="74">
        <v>0.0</v>
      </c>
      <c r="I3624" s="74">
        <f t="shared" si="1"/>
        <v>140000</v>
      </c>
      <c r="J3624" s="74">
        <f>IF(E3624="SERVICE",I3624-(I3624*50%),Vlookup(E3624,DATABASE!C:Q,10,false)*F3624)</f>
        <v>0</v>
      </c>
      <c r="K3624" s="74">
        <f>VLOOKUP(E3624,DATABASE!C:Q,7,false)</f>
        <v>47000</v>
      </c>
      <c r="L3624" s="74">
        <v>47000.0</v>
      </c>
      <c r="M3624" s="74">
        <f t="shared" si="2"/>
        <v>50000</v>
      </c>
      <c r="N3624" s="74">
        <f t="shared" si="3"/>
        <v>40000</v>
      </c>
      <c r="O3624" s="65" t="str">
        <f>VLOOKUP(E3624,DATABASE!C:Q,8,false)</f>
        <v>BIAN</v>
      </c>
      <c r="P3624" s="65">
        <f>VLOOKUP(E3624,DATABASE!C:Q,9,False)</f>
        <v>1</v>
      </c>
      <c r="Q3624" s="93" t="str">
        <f>VLOOKUP(E3624,DATABASE!C:Q,4,false)</f>
        <v>BD</v>
      </c>
      <c r="R3624" s="93" t="str">
        <f>VLOOKUP(E3624,DATABASE!C:Q,11,false)</f>
        <v>Tire</v>
      </c>
    </row>
    <row r="3625" ht="22.5" customHeight="1">
      <c r="A3625" s="49"/>
      <c r="C3625" s="384">
        <v>45849.0</v>
      </c>
      <c r="D3625" s="65">
        <v>6441.0</v>
      </c>
      <c r="E3625" s="445" t="s">
        <v>255</v>
      </c>
      <c r="F3625" s="386">
        <v>1.0</v>
      </c>
      <c r="G3625" s="74">
        <v>200000.0</v>
      </c>
      <c r="H3625" s="74">
        <v>0.0</v>
      </c>
      <c r="I3625" s="74">
        <f t="shared" si="1"/>
        <v>200000</v>
      </c>
      <c r="J3625" s="74">
        <f>IF(E3625="SERVICE",I3625-(I3625*50%),Vlookup(E3625,DATABASE!C:Q,10,false)*F3625)</f>
        <v>0</v>
      </c>
      <c r="K3625" s="74">
        <f>VLOOKUP(E3625,DATABASE!C:Q,7,false)</f>
        <v>161840</v>
      </c>
      <c r="L3625" s="74">
        <v>161840.0</v>
      </c>
      <c r="M3625" s="74">
        <f t="shared" si="2"/>
        <v>165000</v>
      </c>
      <c r="N3625" s="74">
        <f t="shared" si="3"/>
        <v>35000</v>
      </c>
      <c r="O3625" s="65" t="str">
        <f>VLOOKUP(E3625,DATABASE!C:Q,8,false)</f>
        <v>BIAN</v>
      </c>
      <c r="P3625" s="65">
        <f>VLOOKUP(E3625,DATABASE!C:Q,9,False)</f>
        <v>1</v>
      </c>
      <c r="Q3625" s="93" t="str">
        <f>VLOOKUP(E3625,DATABASE!C:Q,4,false)</f>
        <v>BD</v>
      </c>
      <c r="R3625" s="93" t="str">
        <f>VLOOKUP(E3625,DATABASE!C:Q,11,false)</f>
        <v>Tire</v>
      </c>
    </row>
    <row r="3626" ht="22.5" customHeight="1">
      <c r="A3626" s="49"/>
      <c r="C3626" s="384">
        <v>45850.0</v>
      </c>
      <c r="D3626" s="65">
        <v>6442.0</v>
      </c>
      <c r="E3626" s="445" t="s">
        <v>868</v>
      </c>
      <c r="F3626" s="386">
        <v>2.0</v>
      </c>
      <c r="G3626" s="74">
        <v>950000.0</v>
      </c>
      <c r="H3626" s="74">
        <v>0.0</v>
      </c>
      <c r="I3626" s="74">
        <f t="shared" si="1"/>
        <v>1900000</v>
      </c>
      <c r="J3626" s="74">
        <f>IF(E3626="SERVICE",I3626-(I3626*50%),Vlookup(E3626,DATABASE!C:Q,10,false)*F3626)</f>
        <v>0</v>
      </c>
      <c r="K3626" s="74">
        <f>VLOOKUP(E3626,DATABASE!C:Q,7,false)</f>
        <v>861200</v>
      </c>
      <c r="L3626" s="74">
        <v>836000.0</v>
      </c>
      <c r="M3626" s="74">
        <f t="shared" si="2"/>
        <v>840000</v>
      </c>
      <c r="N3626" s="74">
        <f t="shared" si="3"/>
        <v>220000</v>
      </c>
      <c r="O3626" s="65" t="str">
        <f>VLOOKUP(E3626,DATABASE!C:Q,8,false)</f>
        <v>BIAN</v>
      </c>
      <c r="P3626" s="65">
        <f>VLOOKUP(E3626,DATABASE!C:Q,9,False)</f>
        <v>1</v>
      </c>
      <c r="Q3626" s="93" t="str">
        <f>VLOOKUP(E3626,DATABASE!C:Q,4,false)</f>
        <v>GT</v>
      </c>
      <c r="R3626" s="93" t="str">
        <f>VLOOKUP(E3626,DATABASE!C:Q,11,false)</f>
        <v>Tire</v>
      </c>
    </row>
    <row r="3627" ht="22.5" customHeight="1">
      <c r="A3627" s="49"/>
      <c r="C3627" s="384">
        <v>45850.0</v>
      </c>
      <c r="D3627" s="65">
        <v>6443.0</v>
      </c>
      <c r="E3627" s="445" t="s">
        <v>781</v>
      </c>
      <c r="F3627" s="386">
        <v>2.0</v>
      </c>
      <c r="G3627" s="74">
        <v>530000.0</v>
      </c>
      <c r="H3627" s="74">
        <v>0.0</v>
      </c>
      <c r="I3627" s="74">
        <f t="shared" si="1"/>
        <v>1060000</v>
      </c>
      <c r="J3627" s="74">
        <f>IF(E3627="SERVICE",I3627-(I3627*50%),Vlookup(E3627,DATABASE!C:Q,10,false)*F3627)</f>
        <v>0</v>
      </c>
      <c r="K3627" s="74">
        <f>VLOOKUP(E3627,DATABASE!C:Q,7,false)</f>
        <v>470000</v>
      </c>
      <c r="L3627" s="74">
        <v>442500.0</v>
      </c>
      <c r="M3627" s="74">
        <f t="shared" si="2"/>
        <v>445000</v>
      </c>
      <c r="N3627" s="74">
        <f t="shared" si="3"/>
        <v>170000</v>
      </c>
      <c r="O3627" s="65" t="str">
        <f>VLOOKUP(E3627,DATABASE!C:Q,8,false)</f>
        <v>BIAN</v>
      </c>
      <c r="P3627" s="65">
        <f>VLOOKUP(E3627,DATABASE!C:Q,9,False)</f>
        <v>1</v>
      </c>
      <c r="Q3627" s="93" t="str">
        <f>VLOOKUP(E3627,DATABASE!C:Q,4,false)</f>
        <v>GT</v>
      </c>
      <c r="R3627" s="93" t="str">
        <f>VLOOKUP(E3627,DATABASE!C:Q,11,false)</f>
        <v>Tire</v>
      </c>
    </row>
    <row r="3628" ht="22.5" customHeight="1">
      <c r="A3628" s="49"/>
      <c r="C3628" s="384">
        <v>45850.0</v>
      </c>
      <c r="D3628" s="65">
        <v>6443.0</v>
      </c>
      <c r="E3628" s="445" t="s">
        <v>250</v>
      </c>
      <c r="F3628" s="386">
        <v>2.0</v>
      </c>
      <c r="G3628" s="74">
        <v>135000.0</v>
      </c>
      <c r="H3628" s="74">
        <v>0.0</v>
      </c>
      <c r="I3628" s="74">
        <f t="shared" si="1"/>
        <v>270000</v>
      </c>
      <c r="J3628" s="74">
        <f>IF(E3628="SERVICE",I3628-(I3628*50%),Vlookup(E3628,DATABASE!C:Q,10,false)*F3628)</f>
        <v>0</v>
      </c>
      <c r="K3628" s="74">
        <f>VLOOKUP(E3628,DATABASE!C:Q,7,false)</f>
        <v>102000</v>
      </c>
      <c r="L3628" s="74">
        <v>102000.0</v>
      </c>
      <c r="M3628" s="74">
        <f t="shared" si="2"/>
        <v>105000</v>
      </c>
      <c r="N3628" s="74">
        <f t="shared" si="3"/>
        <v>60000</v>
      </c>
      <c r="O3628" s="65" t="str">
        <f>VLOOKUP(E3628,DATABASE!C:Q,8,false)</f>
        <v>BIAN</v>
      </c>
      <c r="P3628" s="65">
        <f>VLOOKUP(E3628,DATABASE!C:Q,9,False)</f>
        <v>1</v>
      </c>
      <c r="Q3628" s="93" t="str">
        <f>VLOOKUP(E3628,DATABASE!C:Q,4,false)</f>
        <v>BD</v>
      </c>
      <c r="R3628" s="93" t="str">
        <f>VLOOKUP(E3628,DATABASE!C:Q,11,false)</f>
        <v>Tire</v>
      </c>
    </row>
    <row r="3629" ht="22.5" customHeight="1">
      <c r="A3629" s="49"/>
      <c r="C3629" s="384">
        <v>45850.0</v>
      </c>
      <c r="D3629" s="65">
        <v>6444.0</v>
      </c>
      <c r="E3629" s="445" t="s">
        <v>781</v>
      </c>
      <c r="F3629" s="386">
        <v>2.0</v>
      </c>
      <c r="G3629" s="74">
        <v>530000.0</v>
      </c>
      <c r="H3629" s="74">
        <v>0.0</v>
      </c>
      <c r="I3629" s="74">
        <f t="shared" si="1"/>
        <v>1060000</v>
      </c>
      <c r="J3629" s="74">
        <f>IF(E3629="SERVICE",I3629-(I3629*50%),Vlookup(E3629,DATABASE!C:Q,10,false)*F3629)</f>
        <v>0</v>
      </c>
      <c r="K3629" s="74">
        <f>VLOOKUP(E3629,DATABASE!C:Q,7,false)</f>
        <v>470000</v>
      </c>
      <c r="L3629" s="74">
        <v>442500.0</v>
      </c>
      <c r="M3629" s="74">
        <f t="shared" si="2"/>
        <v>445000</v>
      </c>
      <c r="N3629" s="74">
        <f t="shared" si="3"/>
        <v>170000</v>
      </c>
      <c r="O3629" s="65" t="str">
        <f>VLOOKUP(E3629,DATABASE!C:Q,8,false)</f>
        <v>BIAN</v>
      </c>
      <c r="P3629" s="65">
        <f>VLOOKUP(E3629,DATABASE!C:Q,9,False)</f>
        <v>1</v>
      </c>
      <c r="Q3629" s="93" t="str">
        <f>VLOOKUP(E3629,DATABASE!C:Q,4,false)</f>
        <v>GT</v>
      </c>
      <c r="R3629" s="93" t="str">
        <f>VLOOKUP(E3629,DATABASE!C:Q,11,false)</f>
        <v>Tire</v>
      </c>
    </row>
    <row r="3630" ht="22.5" customHeight="1">
      <c r="A3630" s="49"/>
      <c r="C3630" s="384">
        <v>45850.0</v>
      </c>
      <c r="D3630" s="65">
        <v>6444.0</v>
      </c>
      <c r="E3630" s="385" t="s">
        <v>299</v>
      </c>
      <c r="F3630" s="386">
        <v>2.0</v>
      </c>
      <c r="G3630" s="74">
        <v>30000.0</v>
      </c>
      <c r="H3630" s="74">
        <v>0.0</v>
      </c>
      <c r="I3630" s="74">
        <f t="shared" si="1"/>
        <v>60000</v>
      </c>
      <c r="J3630" s="74">
        <f>IF(E3630="SERVICE",I3630-(I3630*50%),Vlookup(E3630,DATABASE!C:Q,10,false)*F3630)</f>
        <v>0</v>
      </c>
      <c r="K3630" s="74">
        <v>0.0</v>
      </c>
      <c r="L3630" s="74">
        <v>0.0</v>
      </c>
      <c r="M3630" s="74">
        <f t="shared" si="2"/>
        <v>0</v>
      </c>
      <c r="N3630" s="74">
        <f t="shared" si="3"/>
        <v>60000</v>
      </c>
      <c r="O3630" s="65" t="str">
        <f>VLOOKUP(E3630,DATABASE!C:Q,8,false)</f>
        <v>BIAN</v>
      </c>
      <c r="P3630" s="65">
        <f>VLOOKUP(E3630,DATABASE!C:Q,9,False)</f>
        <v>0</v>
      </c>
      <c r="Q3630" s="93" t="str">
        <f>VLOOKUP(E3630,DATABASE!C:Q,4,false)</f>
        <v>Balancing</v>
      </c>
      <c r="R3630" s="93" t="str">
        <f>VLOOKUP(E3630,DATABASE!C:Q,11,false)</f>
        <v>COMPLEMENTARY</v>
      </c>
    </row>
    <row r="3631" ht="22.5" customHeight="1">
      <c r="A3631" s="49"/>
      <c r="C3631" s="384">
        <v>45850.0</v>
      </c>
      <c r="D3631" s="65">
        <v>6444.0</v>
      </c>
      <c r="E3631" s="445" t="s">
        <v>478</v>
      </c>
      <c r="F3631" s="386">
        <v>1.0</v>
      </c>
      <c r="G3631" s="74">
        <v>200000.0</v>
      </c>
      <c r="H3631" s="74">
        <v>0.0</v>
      </c>
      <c r="I3631" s="74">
        <f t="shared" si="1"/>
        <v>200000</v>
      </c>
      <c r="J3631" s="74">
        <f>IF(E3631="SERVICE",I3631-(I3631*50%),Vlookup(E3631,DATABASE!C:Q,10,false)*F3631)</f>
        <v>25000</v>
      </c>
      <c r="K3631" s="74">
        <f>VLOOKUP(E3631,DATABASE!C:Q,7,false)</f>
        <v>75000</v>
      </c>
      <c r="L3631" s="74">
        <v>75000.0</v>
      </c>
      <c r="M3631" s="74">
        <f t="shared" si="2"/>
        <v>75000</v>
      </c>
      <c r="N3631" s="74">
        <f t="shared" si="3"/>
        <v>100000</v>
      </c>
      <c r="O3631" s="65" t="str">
        <f>VLOOKUP(E3631,DATABASE!C:Q,8,false)</f>
        <v>BIAN</v>
      </c>
      <c r="P3631" s="65">
        <f>VLOOKUP(E3631,DATABASE!C:Q,9,False)</f>
        <v>0</v>
      </c>
      <c r="Q3631" s="93" t="str">
        <f>VLOOKUP(E3631,DATABASE!C:Q,4,false)</f>
        <v>Baut Camber ss-carry</v>
      </c>
      <c r="R3631" s="93" t="str">
        <f>VLOOKUP(E3631,DATABASE!C:Q,11,false)</f>
        <v>COMPLEMENTARY</v>
      </c>
    </row>
    <row r="3632" ht="22.5" customHeight="1">
      <c r="A3632" s="49"/>
      <c r="C3632" s="384">
        <v>45850.0</v>
      </c>
      <c r="D3632" s="65">
        <v>6444.0</v>
      </c>
      <c r="E3632" s="385" t="s">
        <v>305</v>
      </c>
      <c r="F3632" s="386">
        <v>1.0</v>
      </c>
      <c r="G3632" s="74">
        <v>235000.0</v>
      </c>
      <c r="H3632" s="74">
        <v>0.0</v>
      </c>
      <c r="I3632" s="74">
        <f t="shared" si="1"/>
        <v>235000</v>
      </c>
      <c r="J3632" s="74">
        <f>IF(E3632="SERVICE",I3632-(I3632*50%),Vlookup(E3632,DATABASE!C:Q,10,false)*F3632)</f>
        <v>40000</v>
      </c>
      <c r="K3632" s="74">
        <f>VLOOKUP(E3632,DATABASE!C:Q,7,false)</f>
        <v>158530.2</v>
      </c>
      <c r="L3632" s="74">
        <v>151890.0</v>
      </c>
      <c r="M3632" s="74">
        <f t="shared" si="2"/>
        <v>155000</v>
      </c>
      <c r="N3632" s="74">
        <f t="shared" si="3"/>
        <v>40000</v>
      </c>
      <c r="O3632" s="65" t="str">
        <f>VLOOKUP(E3632,DATABASE!C:Q,8,false)</f>
        <v>BIAN</v>
      </c>
      <c r="P3632" s="65">
        <f>VLOOKUP(E3632,DATABASE!C:Q,9,False)</f>
        <v>1</v>
      </c>
      <c r="Q3632" s="93" t="str">
        <f>VLOOKUP(E3632,DATABASE!C:Q,4,false)</f>
        <v>Lower Arm</v>
      </c>
      <c r="R3632" s="93" t="str">
        <f>VLOOKUP(E3632,DATABASE!C:Q,11,false)</f>
        <v>COMPLEMENTARY</v>
      </c>
    </row>
    <row r="3633" ht="22.5" customHeight="1">
      <c r="A3633" s="49"/>
      <c r="C3633" s="384">
        <v>45850.0</v>
      </c>
      <c r="D3633" s="65">
        <v>6444.0</v>
      </c>
      <c r="E3633" s="445" t="s">
        <v>262</v>
      </c>
      <c r="F3633" s="386">
        <v>1.0</v>
      </c>
      <c r="G3633" s="74">
        <v>110000.0</v>
      </c>
      <c r="H3633" s="74">
        <v>0.0</v>
      </c>
      <c r="I3633" s="74">
        <f t="shared" si="1"/>
        <v>110000</v>
      </c>
      <c r="J3633" s="74">
        <f>IF(E3633="SERVICE",I3633-(I3633*50%),Vlookup(E3633,DATABASE!C:Q,10,false)*F3633)</f>
        <v>5000</v>
      </c>
      <c r="K3633" s="74">
        <f>VLOOKUP(E3633,DATABASE!C:Q,7,false)</f>
        <v>0</v>
      </c>
      <c r="L3633" s="74">
        <v>0.0</v>
      </c>
      <c r="M3633" s="74">
        <f t="shared" si="2"/>
        <v>0</v>
      </c>
      <c r="N3633" s="74">
        <f t="shared" si="3"/>
        <v>105000</v>
      </c>
      <c r="O3633" s="65" t="str">
        <f>VLOOKUP(E3633,DATABASE!C:Q,8,false)</f>
        <v>IBU</v>
      </c>
      <c r="P3633" s="65">
        <f>VLOOKUP(E3633,DATABASE!C:Q,9,False)</f>
        <v>0</v>
      </c>
      <c r="Q3633" s="93" t="str">
        <f>VLOOKUP(E3633,DATABASE!C:Q,4,false)</f>
        <v>SPOORING SS/CARRY LOS BAK</v>
      </c>
      <c r="R3633" s="93" t="str">
        <f>VLOOKUP(E3633,DATABASE!C:Q,11,false)</f>
        <v>SERVICE</v>
      </c>
    </row>
    <row r="3634" ht="22.5" customHeight="1">
      <c r="A3634" s="49"/>
      <c r="C3634" s="384">
        <v>45850.0</v>
      </c>
      <c r="D3634" s="65">
        <v>6445.0</v>
      </c>
      <c r="E3634" s="445" t="s">
        <v>275</v>
      </c>
      <c r="F3634" s="386">
        <v>2.0</v>
      </c>
      <c r="G3634" s="74">
        <v>840000.0</v>
      </c>
      <c r="H3634" s="74">
        <v>0.0</v>
      </c>
      <c r="I3634" s="74">
        <f t="shared" si="1"/>
        <v>1680000</v>
      </c>
      <c r="J3634" s="74">
        <f>IF(E3634="SERVICE",I3634-(I3634*50%),Vlookup(E3634,DATABASE!C:Q,10,false)*F3634)</f>
        <v>0</v>
      </c>
      <c r="K3634" s="74">
        <f>VLOOKUP(E3634,DATABASE!C:Q,7,false)</f>
        <v>782000</v>
      </c>
      <c r="L3634" s="74">
        <v>745000.0</v>
      </c>
      <c r="M3634" s="74">
        <f t="shared" si="2"/>
        <v>745000</v>
      </c>
      <c r="N3634" s="74">
        <f t="shared" si="3"/>
        <v>190000</v>
      </c>
      <c r="O3634" s="65" t="str">
        <f>VLOOKUP(E3634,DATABASE!C:Q,8,false)</f>
        <v>IBU</v>
      </c>
      <c r="P3634" s="65">
        <f>VLOOKUP(E3634,DATABASE!C:Q,9,False)</f>
        <v>1</v>
      </c>
      <c r="Q3634" s="93" t="str">
        <f>VLOOKUP(E3634,DATABASE!C:Q,4,false)</f>
        <v>Dunlop</v>
      </c>
      <c r="R3634" s="93" t="str">
        <f>VLOOKUP(E3634,DATABASE!C:Q,11,false)</f>
        <v>Tire</v>
      </c>
    </row>
    <row r="3635" ht="22.5" customHeight="1">
      <c r="A3635" s="49"/>
      <c r="C3635" s="384">
        <v>45850.0</v>
      </c>
      <c r="D3635" s="65">
        <v>6446.0</v>
      </c>
      <c r="E3635" s="445" t="s">
        <v>569</v>
      </c>
      <c r="F3635" s="386">
        <v>1.0</v>
      </c>
      <c r="G3635" s="74">
        <v>80000.0</v>
      </c>
      <c r="H3635" s="74">
        <v>0.0</v>
      </c>
      <c r="I3635" s="74">
        <f t="shared" si="1"/>
        <v>80000</v>
      </c>
      <c r="J3635" s="74">
        <f>IF(E3635="SERVICE",I3635-(I3635*50%),Vlookup(E3635,DATABASE!C:Q,10,false)*F3635)</f>
        <v>0</v>
      </c>
      <c r="K3635" s="74">
        <f>VLOOKUP(E3635,DATABASE!C:Q,7,false)</f>
        <v>45439.582</v>
      </c>
      <c r="L3635" s="74">
        <v>45309.6</v>
      </c>
      <c r="M3635" s="74">
        <f t="shared" si="2"/>
        <v>50000</v>
      </c>
      <c r="N3635" s="74">
        <f t="shared" si="3"/>
        <v>30000</v>
      </c>
      <c r="O3635" s="65" t="str">
        <f>VLOOKUP(E3635,DATABASE!C:Q,8,false)</f>
        <v>BIAN</v>
      </c>
      <c r="P3635" s="65">
        <f>VLOOKUP(E3635,DATABASE!C:Q,9,False)</f>
        <v>1</v>
      </c>
      <c r="Q3635" s="93" t="str">
        <f>VLOOKUP(E3635,DATABASE!C:Q,4,false)</f>
        <v>BD</v>
      </c>
      <c r="R3635" s="93" t="str">
        <f>VLOOKUP(E3635,DATABASE!C:Q,11,false)</f>
        <v>Tire</v>
      </c>
    </row>
    <row r="3636" ht="22.5" customHeight="1">
      <c r="A3636" s="49"/>
      <c r="C3636" s="384">
        <v>45850.0</v>
      </c>
      <c r="D3636" s="65">
        <v>6447.0</v>
      </c>
      <c r="E3636" s="445" t="s">
        <v>256</v>
      </c>
      <c r="F3636" s="386">
        <v>1.0</v>
      </c>
      <c r="G3636" s="74">
        <v>130000.0</v>
      </c>
      <c r="H3636" s="74">
        <v>0.0</v>
      </c>
      <c r="I3636" s="74">
        <f t="shared" si="1"/>
        <v>130000</v>
      </c>
      <c r="J3636" s="74">
        <f>IF(E3636="SERVICE",I3636-(I3636*50%),Vlookup(E3636,DATABASE!C:Q,10,false)*F3636)</f>
        <v>10000</v>
      </c>
      <c r="K3636" s="74">
        <f>VLOOKUP(E3636,DATABASE!C:Q,7,false)</f>
        <v>0</v>
      </c>
      <c r="L3636" s="74">
        <v>0.0</v>
      </c>
      <c r="M3636" s="74">
        <f t="shared" si="2"/>
        <v>0</v>
      </c>
      <c r="N3636" s="74">
        <f t="shared" si="3"/>
        <v>120000</v>
      </c>
      <c r="O3636" s="65" t="str">
        <f>VLOOKUP(E3636,DATABASE!C:Q,8,false)</f>
        <v>IBU</v>
      </c>
      <c r="P3636" s="65">
        <f>VLOOKUP(E3636,DATABASE!C:Q,9,False)</f>
        <v>0</v>
      </c>
      <c r="Q3636" s="93" t="str">
        <f>VLOOKUP(E3636,DATABASE!C:Q,4,false)</f>
        <v>SPOORING</v>
      </c>
      <c r="R3636" s="93" t="str">
        <f>VLOOKUP(E3636,DATABASE!C:Q,11,false)</f>
        <v>SERVICE</v>
      </c>
    </row>
    <row r="3637" ht="22.5" customHeight="1">
      <c r="A3637" s="49"/>
      <c r="C3637" s="384">
        <v>45850.0</v>
      </c>
      <c r="D3637" s="65">
        <v>6447.0</v>
      </c>
      <c r="E3637" s="385" t="s">
        <v>299</v>
      </c>
      <c r="F3637" s="386">
        <v>2.0</v>
      </c>
      <c r="G3637" s="74">
        <v>30000.0</v>
      </c>
      <c r="H3637" s="74">
        <v>0.0</v>
      </c>
      <c r="I3637" s="74">
        <f t="shared" si="1"/>
        <v>60000</v>
      </c>
      <c r="J3637" s="74">
        <f>IF(E3637="SERVICE",I3637-(I3637*50%),Vlookup(E3637,DATABASE!C:Q,10,false)*F3637)</f>
        <v>0</v>
      </c>
      <c r="K3637" s="74">
        <v>0.0</v>
      </c>
      <c r="L3637" s="74">
        <v>0.0</v>
      </c>
      <c r="M3637" s="74">
        <f t="shared" si="2"/>
        <v>0</v>
      </c>
      <c r="N3637" s="74">
        <f t="shared" si="3"/>
        <v>60000</v>
      </c>
      <c r="O3637" s="65" t="str">
        <f>VLOOKUP(E3637,DATABASE!C:Q,8,false)</f>
        <v>BIAN</v>
      </c>
      <c r="P3637" s="65">
        <f>VLOOKUP(E3637,DATABASE!C:Q,9,False)</f>
        <v>0</v>
      </c>
      <c r="Q3637" s="93" t="str">
        <f>VLOOKUP(E3637,DATABASE!C:Q,4,false)</f>
        <v>Balancing</v>
      </c>
      <c r="R3637" s="93" t="str">
        <f>VLOOKUP(E3637,DATABASE!C:Q,11,false)</f>
        <v>COMPLEMENTARY</v>
      </c>
    </row>
    <row r="3638" ht="22.5" customHeight="1">
      <c r="A3638" s="49"/>
      <c r="C3638" s="384">
        <v>45850.0</v>
      </c>
      <c r="D3638" s="65">
        <v>6448.0</v>
      </c>
      <c r="E3638" s="445" t="s">
        <v>268</v>
      </c>
      <c r="F3638" s="386">
        <v>5.0</v>
      </c>
      <c r="G3638" s="74">
        <v>720000.0</v>
      </c>
      <c r="H3638" s="74">
        <v>0.0</v>
      </c>
      <c r="I3638" s="74">
        <f t="shared" si="1"/>
        <v>3600000</v>
      </c>
      <c r="J3638" s="74">
        <f>IF(E3638="SERVICE",I3638-(I3638*50%),Vlookup(E3638,DATABASE!C:Q,10,false)*F3638)</f>
        <v>0</v>
      </c>
      <c r="K3638" s="74">
        <f>VLOOKUP(E3638,DATABASE!C:Q,7,false)</f>
        <v>653000</v>
      </c>
      <c r="L3638" s="74">
        <v>622000.0</v>
      </c>
      <c r="M3638" s="74">
        <f t="shared" si="2"/>
        <v>625000</v>
      </c>
      <c r="N3638" s="74">
        <f t="shared" si="3"/>
        <v>475000</v>
      </c>
      <c r="O3638" s="65" t="str">
        <f>VLOOKUP(E3638,DATABASE!C:Q,8,false)</f>
        <v>IBU</v>
      </c>
      <c r="P3638" s="65">
        <f>VLOOKUP(E3638,DATABASE!C:Q,9,False)</f>
        <v>1</v>
      </c>
      <c r="Q3638" s="93" t="str">
        <f>VLOOKUP(E3638,DATABASE!C:Q,4,false)</f>
        <v>Dunlop</v>
      </c>
      <c r="R3638" s="93" t="str">
        <f>VLOOKUP(E3638,DATABASE!C:Q,11,false)</f>
        <v>Tire</v>
      </c>
    </row>
    <row r="3639" ht="22.5" customHeight="1">
      <c r="A3639" s="49"/>
      <c r="C3639" s="384">
        <v>45850.0</v>
      </c>
      <c r="D3639" s="65">
        <v>6449.0</v>
      </c>
      <c r="E3639" s="445" t="s">
        <v>256</v>
      </c>
      <c r="F3639" s="386">
        <v>1.0</v>
      </c>
      <c r="G3639" s="74">
        <v>130000.0</v>
      </c>
      <c r="H3639" s="74">
        <v>0.0</v>
      </c>
      <c r="I3639" s="74">
        <f t="shared" si="1"/>
        <v>130000</v>
      </c>
      <c r="J3639" s="74">
        <f>IF(E3639="SERVICE",I3639-(I3639*50%),Vlookup(E3639,DATABASE!C:Q,10,false)*F3639)</f>
        <v>10000</v>
      </c>
      <c r="K3639" s="74">
        <f>VLOOKUP(E3639,DATABASE!C:Q,7,false)</f>
        <v>0</v>
      </c>
      <c r="L3639" s="74">
        <v>0.0</v>
      </c>
      <c r="M3639" s="74">
        <f t="shared" si="2"/>
        <v>0</v>
      </c>
      <c r="N3639" s="74">
        <f t="shared" si="3"/>
        <v>120000</v>
      </c>
      <c r="O3639" s="65" t="str">
        <f>VLOOKUP(E3639,DATABASE!C:Q,8,false)</f>
        <v>IBU</v>
      </c>
      <c r="P3639" s="65">
        <f>VLOOKUP(E3639,DATABASE!C:Q,9,False)</f>
        <v>0</v>
      </c>
      <c r="Q3639" s="93" t="str">
        <f>VLOOKUP(E3639,DATABASE!C:Q,4,false)</f>
        <v>SPOORING</v>
      </c>
      <c r="R3639" s="93" t="str">
        <f>VLOOKUP(E3639,DATABASE!C:Q,11,false)</f>
        <v>SERVICE</v>
      </c>
    </row>
    <row r="3640" ht="22.5" customHeight="1">
      <c r="A3640" s="49"/>
      <c r="C3640" s="384">
        <v>45850.0</v>
      </c>
      <c r="D3640" s="65">
        <v>6449.0</v>
      </c>
      <c r="E3640" s="445" t="s">
        <v>251</v>
      </c>
      <c r="F3640" s="386">
        <v>1.0</v>
      </c>
      <c r="G3640" s="74">
        <v>150000.0</v>
      </c>
      <c r="H3640" s="74">
        <v>0.0</v>
      </c>
      <c r="I3640" s="74">
        <f t="shared" si="1"/>
        <v>150000</v>
      </c>
      <c r="J3640" s="74">
        <f>IF(E3640="SERVICE",I3640-(I3640*50%),Vlookup(E3640,DATABASE!C:Q,10,false)*F3640)</f>
        <v>75000</v>
      </c>
      <c r="K3640" s="74">
        <f>VLOOKUP(E3640,DATABASE!C:Q,7,false)</f>
        <v>0</v>
      </c>
      <c r="L3640" s="74">
        <v>0.0</v>
      </c>
      <c r="M3640" s="74">
        <f t="shared" si="2"/>
        <v>0</v>
      </c>
      <c r="N3640" s="74">
        <f t="shared" si="3"/>
        <v>75000</v>
      </c>
      <c r="O3640" s="65" t="str">
        <f>VLOOKUP(E3640,DATABASE!C:Q,8,false)</f>
        <v>IBU</v>
      </c>
      <c r="P3640" s="65">
        <f>VLOOKUP(E3640,DATABASE!C:Q,9,False)</f>
        <v>0</v>
      </c>
      <c r="Q3640" s="93" t="str">
        <f>VLOOKUP(E3640,DATABASE!C:Q,4,false)</f>
        <v>SERVICE</v>
      </c>
      <c r="R3640" s="93" t="str">
        <f>VLOOKUP(E3640,DATABASE!C:Q,11,false)</f>
        <v>SERVICE</v>
      </c>
    </row>
    <row r="3641" ht="22.5" customHeight="1">
      <c r="A3641" s="49"/>
      <c r="C3641" s="384">
        <v>45850.0</v>
      </c>
      <c r="D3641" s="65">
        <v>6450.0</v>
      </c>
      <c r="E3641" s="445" t="s">
        <v>572</v>
      </c>
      <c r="F3641" s="386">
        <v>1.0</v>
      </c>
      <c r="G3641" s="74">
        <v>1370000.0</v>
      </c>
      <c r="H3641" s="74">
        <v>0.0</v>
      </c>
      <c r="I3641" s="74">
        <f t="shared" si="1"/>
        <v>1370000</v>
      </c>
      <c r="J3641" s="74">
        <f>IF(E3641="SERVICE",I3641-(I3641*50%),Vlookup(E3641,DATABASE!C:Q,10,false)*F3641)</f>
        <v>0</v>
      </c>
      <c r="K3641" s="140">
        <v>1270000.0</v>
      </c>
      <c r="L3641" s="140">
        <v>1270000.0</v>
      </c>
      <c r="M3641" s="74">
        <f t="shared" si="2"/>
        <v>1270000</v>
      </c>
      <c r="N3641" s="74">
        <f t="shared" si="3"/>
        <v>100000</v>
      </c>
      <c r="O3641" s="65" t="str">
        <f>VLOOKUP(E3641,DATABASE!C:Q,8,false)</f>
        <v>IBU</v>
      </c>
      <c r="P3641" s="65">
        <f>VLOOKUP(E3641,DATABASE!C:Q,9,False)</f>
        <v>1</v>
      </c>
      <c r="Q3641" s="93" t="str">
        <f>VLOOKUP(E3641,DATABASE!C:Q,4,false)</f>
        <v>Bridgestone</v>
      </c>
      <c r="R3641" s="93" t="str">
        <f>VLOOKUP(E3641,DATABASE!C:Q,11,false)</f>
        <v>Tire</v>
      </c>
    </row>
    <row r="3642" ht="22.5" customHeight="1">
      <c r="A3642" s="49"/>
      <c r="C3642" s="384">
        <v>45850.0</v>
      </c>
      <c r="D3642" s="65">
        <v>6451.0</v>
      </c>
      <c r="E3642" s="445" t="s">
        <v>246</v>
      </c>
      <c r="F3642" s="386">
        <v>1.0</v>
      </c>
      <c r="G3642" s="74">
        <v>35000.0</v>
      </c>
      <c r="H3642" s="74">
        <v>0.0</v>
      </c>
      <c r="I3642" s="74">
        <f t="shared" si="1"/>
        <v>35000</v>
      </c>
      <c r="J3642" s="74">
        <f>IF(E3642="SERVICE",I3642-(I3642*50%),Vlookup(E3642,DATABASE!C:Q,10,false)*F3642)</f>
        <v>0</v>
      </c>
      <c r="K3642" s="74">
        <f>VLOOKUP(E3642,DATABASE!C:Q,7,false)</f>
        <v>0</v>
      </c>
      <c r="L3642" s="74">
        <v>0.0</v>
      </c>
      <c r="M3642" s="74">
        <f t="shared" si="2"/>
        <v>0</v>
      </c>
      <c r="N3642" s="74">
        <f t="shared" si="3"/>
        <v>35000</v>
      </c>
      <c r="O3642" s="65" t="str">
        <f>VLOOKUP(E3642,DATABASE!C:Q,8,false)</f>
        <v>IBU</v>
      </c>
      <c r="P3642" s="65">
        <f>VLOOKUP(E3642,DATABASE!C:Q,9,False)</f>
        <v>0</v>
      </c>
      <c r="Q3642" s="93" t="str">
        <f>VLOOKUP(E3642,DATABASE!C:Q,4,false)</f>
        <v>Bongkar Pasang</v>
      </c>
      <c r="R3642" s="93" t="str">
        <f>VLOOKUP(E3642,DATABASE!C:Q,11,false)</f>
        <v>SERVICE</v>
      </c>
    </row>
    <row r="3643" ht="22.5" customHeight="1">
      <c r="A3643" s="49"/>
      <c r="C3643" s="384">
        <v>45850.0</v>
      </c>
      <c r="D3643" s="65">
        <v>6452.0</v>
      </c>
      <c r="E3643" s="445" t="s">
        <v>622</v>
      </c>
      <c r="F3643" s="386">
        <v>2.0</v>
      </c>
      <c r="G3643" s="74">
        <v>915000.0</v>
      </c>
      <c r="H3643" s="74">
        <v>0.0</v>
      </c>
      <c r="I3643" s="74">
        <f t="shared" si="1"/>
        <v>1830000</v>
      </c>
      <c r="J3643" s="74">
        <f>IF(E3643="SERVICE",I3643-(I3643*50%),Vlookup(E3643,DATABASE!C:Q,10,false)*F3643)</f>
        <v>0</v>
      </c>
      <c r="K3643" s="74">
        <f>VLOOKUP(E3643,DATABASE!C:Q,7,false)</f>
        <v>851110.375</v>
      </c>
      <c r="L3643" s="74">
        <v>810342.44</v>
      </c>
      <c r="M3643" s="74">
        <f t="shared" si="2"/>
        <v>815000</v>
      </c>
      <c r="N3643" s="74">
        <f t="shared" si="3"/>
        <v>200000</v>
      </c>
      <c r="O3643" s="65" t="str">
        <f>VLOOKUP(E3643,DATABASE!C:Q,8,false)</f>
        <v>IBU</v>
      </c>
      <c r="P3643" s="65">
        <f>VLOOKUP(E3643,DATABASE!C:Q,9,False)</f>
        <v>1</v>
      </c>
      <c r="Q3643" s="93" t="str">
        <f>VLOOKUP(E3643,DATABASE!C:Q,4,false)</f>
        <v>Bridgestone</v>
      </c>
      <c r="R3643" s="93" t="str">
        <f>VLOOKUP(E3643,DATABASE!C:Q,11,false)</f>
        <v>Tire</v>
      </c>
    </row>
    <row r="3644" ht="22.5" customHeight="1">
      <c r="A3644" s="49"/>
      <c r="C3644" s="384">
        <v>45850.0</v>
      </c>
      <c r="D3644" s="65">
        <v>6452.0</v>
      </c>
      <c r="E3644" s="385" t="s">
        <v>299</v>
      </c>
      <c r="F3644" s="386">
        <v>2.0</v>
      </c>
      <c r="G3644" s="74">
        <v>30000.0</v>
      </c>
      <c r="H3644" s="74">
        <v>0.0</v>
      </c>
      <c r="I3644" s="74">
        <f t="shared" si="1"/>
        <v>60000</v>
      </c>
      <c r="J3644" s="74">
        <f>IF(E3644="SERVICE",I3644-(I3644*50%),Vlookup(E3644,DATABASE!C:Q,10,false)*F3644)</f>
        <v>0</v>
      </c>
      <c r="K3644" s="74">
        <v>0.0</v>
      </c>
      <c r="L3644" s="74">
        <v>0.0</v>
      </c>
      <c r="M3644" s="74">
        <f t="shared" si="2"/>
        <v>0</v>
      </c>
      <c r="N3644" s="74">
        <f t="shared" si="3"/>
        <v>60000</v>
      </c>
      <c r="O3644" s="65" t="str">
        <f>VLOOKUP(E3644,DATABASE!C:Q,8,false)</f>
        <v>BIAN</v>
      </c>
      <c r="P3644" s="65">
        <f>VLOOKUP(E3644,DATABASE!C:Q,9,False)</f>
        <v>0</v>
      </c>
      <c r="Q3644" s="93" t="str">
        <f>VLOOKUP(E3644,DATABASE!C:Q,4,false)</f>
        <v>Balancing</v>
      </c>
      <c r="R3644" s="93" t="str">
        <f>VLOOKUP(E3644,DATABASE!C:Q,11,false)</f>
        <v>COMPLEMENTARY</v>
      </c>
    </row>
    <row r="3645" ht="22.5" customHeight="1">
      <c r="A3645" s="49"/>
      <c r="C3645" s="384">
        <v>45850.0</v>
      </c>
      <c r="D3645" s="65">
        <v>6452.0</v>
      </c>
      <c r="E3645" s="445" t="s">
        <v>256</v>
      </c>
      <c r="F3645" s="386">
        <v>1.0</v>
      </c>
      <c r="G3645" s="74">
        <v>130000.0</v>
      </c>
      <c r="H3645" s="74">
        <v>0.0</v>
      </c>
      <c r="I3645" s="74">
        <f t="shared" si="1"/>
        <v>130000</v>
      </c>
      <c r="J3645" s="74">
        <f>IF(E3645="SERVICE",I3645-(I3645*50%),Vlookup(E3645,DATABASE!C:Q,10,false)*F3645)</f>
        <v>10000</v>
      </c>
      <c r="K3645" s="74">
        <f>VLOOKUP(E3645,DATABASE!C:Q,7,false)</f>
        <v>0</v>
      </c>
      <c r="L3645" s="74">
        <v>0.0</v>
      </c>
      <c r="M3645" s="74">
        <f t="shared" si="2"/>
        <v>0</v>
      </c>
      <c r="N3645" s="74">
        <f t="shared" si="3"/>
        <v>120000</v>
      </c>
      <c r="O3645" s="65" t="str">
        <f>VLOOKUP(E3645,DATABASE!C:Q,8,false)</f>
        <v>IBU</v>
      </c>
      <c r="P3645" s="65">
        <f>VLOOKUP(E3645,DATABASE!C:Q,9,False)</f>
        <v>0</v>
      </c>
      <c r="Q3645" s="93" t="str">
        <f>VLOOKUP(E3645,DATABASE!C:Q,4,false)</f>
        <v>SPOORING</v>
      </c>
      <c r="R3645" s="93" t="str">
        <f>VLOOKUP(E3645,DATABASE!C:Q,11,false)</f>
        <v>SERVICE</v>
      </c>
    </row>
    <row r="3646" ht="22.5" customHeight="1">
      <c r="A3646" s="49"/>
      <c r="C3646" s="384">
        <v>45850.0</v>
      </c>
      <c r="D3646" s="65">
        <v>6452.0</v>
      </c>
      <c r="E3646" s="445" t="s">
        <v>251</v>
      </c>
      <c r="F3646" s="386">
        <v>1.0</v>
      </c>
      <c r="G3646" s="74">
        <v>150000.0</v>
      </c>
      <c r="H3646" s="74">
        <v>0.0</v>
      </c>
      <c r="I3646" s="74">
        <f t="shared" si="1"/>
        <v>150000</v>
      </c>
      <c r="J3646" s="74">
        <f>IF(E3646="SERVICE",I3646-(I3646*50%),Vlookup(E3646,DATABASE!C:Q,10,false)*F3646)</f>
        <v>75000</v>
      </c>
      <c r="K3646" s="74">
        <f>VLOOKUP(E3646,DATABASE!C:Q,7,false)</f>
        <v>0</v>
      </c>
      <c r="L3646" s="74">
        <v>0.0</v>
      </c>
      <c r="M3646" s="74">
        <f t="shared" si="2"/>
        <v>0</v>
      </c>
      <c r="N3646" s="74">
        <f t="shared" si="3"/>
        <v>75000</v>
      </c>
      <c r="O3646" s="65" t="str">
        <f>VLOOKUP(E3646,DATABASE!C:Q,8,false)</f>
        <v>IBU</v>
      </c>
      <c r="P3646" s="65">
        <f>VLOOKUP(E3646,DATABASE!C:Q,9,False)</f>
        <v>0</v>
      </c>
      <c r="Q3646" s="93" t="str">
        <f>VLOOKUP(E3646,DATABASE!C:Q,4,false)</f>
        <v>SERVICE</v>
      </c>
      <c r="R3646" s="93" t="str">
        <f>VLOOKUP(E3646,DATABASE!C:Q,11,false)</f>
        <v>SERVICE</v>
      </c>
    </row>
    <row r="3647" ht="22.5" customHeight="1">
      <c r="A3647" s="49"/>
      <c r="C3647" s="384">
        <v>45850.0</v>
      </c>
      <c r="D3647" s="65">
        <v>6453.0</v>
      </c>
      <c r="E3647" s="445" t="s">
        <v>932</v>
      </c>
      <c r="F3647" s="386">
        <v>1.0</v>
      </c>
      <c r="G3647" s="74">
        <v>700000.0</v>
      </c>
      <c r="H3647" s="74">
        <v>0.0</v>
      </c>
      <c r="I3647" s="74">
        <f t="shared" si="1"/>
        <v>700000</v>
      </c>
      <c r="J3647" s="74">
        <f>IF(E3647="SERVICE",I3647-(I3647*50%),Vlookup(E3647,DATABASE!C:Q,10,false)*F3647)</f>
        <v>0</v>
      </c>
      <c r="K3647" s="74">
        <f>VLOOKUP(E3647,DATABASE!C:Q,7,false)</f>
        <v>601000</v>
      </c>
      <c r="L3647" s="74">
        <v>595000.0</v>
      </c>
      <c r="M3647" s="74">
        <f t="shared" si="2"/>
        <v>595000</v>
      </c>
      <c r="N3647" s="74">
        <f t="shared" si="3"/>
        <v>105000</v>
      </c>
      <c r="O3647" s="65" t="str">
        <f>VLOOKUP(E3647,DATABASE!C:Q,8,false)</f>
        <v>IBU</v>
      </c>
      <c r="P3647" s="65">
        <f>VLOOKUP(E3647,DATABASE!C:Q,9,False)</f>
        <v>1</v>
      </c>
      <c r="Q3647" s="93" t="str">
        <f>VLOOKUP(E3647,DATABASE!C:Q,4,false)</f>
        <v>Dunlop</v>
      </c>
      <c r="R3647" s="93" t="str">
        <f>VLOOKUP(E3647,DATABASE!C:Q,11,false)</f>
        <v>Tire</v>
      </c>
    </row>
    <row r="3648" ht="22.5" customHeight="1">
      <c r="A3648" s="49"/>
      <c r="C3648" s="384">
        <v>45850.0</v>
      </c>
      <c r="D3648" s="65">
        <v>6455.0</v>
      </c>
      <c r="E3648" s="445" t="s">
        <v>781</v>
      </c>
      <c r="F3648" s="386">
        <v>2.0</v>
      </c>
      <c r="G3648" s="74">
        <v>525000.0</v>
      </c>
      <c r="H3648" s="74">
        <v>0.0</v>
      </c>
      <c r="I3648" s="74">
        <f t="shared" si="1"/>
        <v>1050000</v>
      </c>
      <c r="J3648" s="74">
        <f>IF(E3648="SERVICE",I3648-(I3648*50%),Vlookup(E3648,DATABASE!C:Q,10,false)*F3648)</f>
        <v>0</v>
      </c>
      <c r="K3648" s="74">
        <f>VLOOKUP(E3648,DATABASE!C:Q,7,false)</f>
        <v>470000</v>
      </c>
      <c r="L3648" s="74">
        <v>442500.0</v>
      </c>
      <c r="M3648" s="74">
        <f t="shared" si="2"/>
        <v>445000</v>
      </c>
      <c r="N3648" s="74">
        <f t="shared" si="3"/>
        <v>160000</v>
      </c>
      <c r="O3648" s="65" t="str">
        <f>VLOOKUP(E3648,DATABASE!C:Q,8,false)</f>
        <v>BIAN</v>
      </c>
      <c r="P3648" s="65">
        <f>VLOOKUP(E3648,DATABASE!C:Q,9,False)</f>
        <v>1</v>
      </c>
      <c r="Q3648" s="93" t="str">
        <f>VLOOKUP(E3648,DATABASE!C:Q,4,false)</f>
        <v>GT</v>
      </c>
      <c r="R3648" s="93" t="str">
        <f>VLOOKUP(E3648,DATABASE!C:Q,11,false)</f>
        <v>Tire</v>
      </c>
    </row>
    <row r="3649" ht="22.5" customHeight="1">
      <c r="A3649" s="49"/>
      <c r="C3649" s="384">
        <v>45850.0</v>
      </c>
      <c r="D3649" s="65">
        <v>6456.0</v>
      </c>
      <c r="E3649" s="445" t="s">
        <v>271</v>
      </c>
      <c r="F3649" s="386">
        <v>1.0</v>
      </c>
      <c r="G3649" s="74">
        <v>640000.0</v>
      </c>
      <c r="H3649" s="74">
        <v>0.0</v>
      </c>
      <c r="I3649" s="74">
        <f t="shared" si="1"/>
        <v>640000</v>
      </c>
      <c r="J3649" s="74">
        <f>IF(E3649="SERVICE",I3649-(I3649*50%),Vlookup(E3649,DATABASE!C:Q,10,false)*F3649)</f>
        <v>0</v>
      </c>
      <c r="K3649" s="74">
        <f>VLOOKUP(E3649,DATABASE!C:Q,7,false)</f>
        <v>570000</v>
      </c>
      <c r="L3649" s="74">
        <v>539000.0</v>
      </c>
      <c r="M3649" s="74">
        <f t="shared" si="2"/>
        <v>540000</v>
      </c>
      <c r="N3649" s="74">
        <f t="shared" si="3"/>
        <v>100000</v>
      </c>
      <c r="O3649" s="65" t="str">
        <f>VLOOKUP(E3649,DATABASE!C:Q,8,false)</f>
        <v>IBU</v>
      </c>
      <c r="P3649" s="65">
        <f>VLOOKUP(E3649,DATABASE!C:Q,9,False)</f>
        <v>1</v>
      </c>
      <c r="Q3649" s="93" t="str">
        <f>VLOOKUP(E3649,DATABASE!C:Q,4,false)</f>
        <v>Dunlop</v>
      </c>
      <c r="R3649" s="93" t="str">
        <f>VLOOKUP(E3649,DATABASE!C:Q,11,false)</f>
        <v>Tire</v>
      </c>
    </row>
    <row r="3650" ht="22.5" customHeight="1">
      <c r="A3650" s="49"/>
      <c r="C3650" s="384">
        <v>45850.0</v>
      </c>
      <c r="D3650" s="65">
        <v>6457.0</v>
      </c>
      <c r="E3650" s="445" t="s">
        <v>262</v>
      </c>
      <c r="F3650" s="386">
        <v>1.0</v>
      </c>
      <c r="G3650" s="74">
        <v>110000.0</v>
      </c>
      <c r="H3650" s="74">
        <v>0.0</v>
      </c>
      <c r="I3650" s="74">
        <f t="shared" si="1"/>
        <v>110000</v>
      </c>
      <c r="J3650" s="74">
        <f>IF(E3650="SERVICE",I3650-(I3650*50%),Vlookup(E3650,DATABASE!C:Q,10,false)*F3650)</f>
        <v>5000</v>
      </c>
      <c r="K3650" s="74">
        <f>VLOOKUP(E3650,DATABASE!C:Q,7,false)</f>
        <v>0</v>
      </c>
      <c r="L3650" s="74">
        <v>0.0</v>
      </c>
      <c r="M3650" s="74">
        <f t="shared" si="2"/>
        <v>0</v>
      </c>
      <c r="N3650" s="74">
        <f t="shared" si="3"/>
        <v>105000</v>
      </c>
      <c r="O3650" s="65" t="str">
        <f>VLOOKUP(E3650,DATABASE!C:Q,8,false)</f>
        <v>IBU</v>
      </c>
      <c r="P3650" s="65">
        <f>VLOOKUP(E3650,DATABASE!C:Q,9,False)</f>
        <v>0</v>
      </c>
      <c r="Q3650" s="93" t="str">
        <f>VLOOKUP(E3650,DATABASE!C:Q,4,false)</f>
        <v>SPOORING SS/CARRY LOS BAK</v>
      </c>
      <c r="R3650" s="93" t="str">
        <f>VLOOKUP(E3650,DATABASE!C:Q,11,false)</f>
        <v>SERVICE</v>
      </c>
    </row>
    <row r="3651" ht="22.5" customHeight="1">
      <c r="A3651" s="49"/>
      <c r="C3651" s="384">
        <v>45850.0</v>
      </c>
      <c r="D3651" s="65">
        <v>6457.0</v>
      </c>
      <c r="E3651" s="445" t="s">
        <v>251</v>
      </c>
      <c r="F3651" s="386">
        <v>1.0</v>
      </c>
      <c r="G3651" s="74">
        <v>160000.0</v>
      </c>
      <c r="H3651" s="74">
        <v>0.0</v>
      </c>
      <c r="I3651" s="74">
        <f t="shared" si="1"/>
        <v>160000</v>
      </c>
      <c r="J3651" s="74">
        <f>IF(E3651="SERVICE",I3651-(I3651*50%),Vlookup(E3651,DATABASE!C:Q,10,false)*F3651)</f>
        <v>80000</v>
      </c>
      <c r="K3651" s="74">
        <f>VLOOKUP(E3651,DATABASE!C:Q,7,false)</f>
        <v>0</v>
      </c>
      <c r="L3651" s="74">
        <v>0.0</v>
      </c>
      <c r="M3651" s="74">
        <f t="shared" si="2"/>
        <v>0</v>
      </c>
      <c r="N3651" s="74">
        <f t="shared" si="3"/>
        <v>80000</v>
      </c>
      <c r="O3651" s="65" t="str">
        <f>VLOOKUP(E3651,DATABASE!C:Q,8,false)</f>
        <v>IBU</v>
      </c>
      <c r="P3651" s="65">
        <f>VLOOKUP(E3651,DATABASE!C:Q,9,False)</f>
        <v>0</v>
      </c>
      <c r="Q3651" s="93" t="str">
        <f>VLOOKUP(E3651,DATABASE!C:Q,4,false)</f>
        <v>SERVICE</v>
      </c>
      <c r="R3651" s="93" t="str">
        <f>VLOOKUP(E3651,DATABASE!C:Q,11,false)</f>
        <v>SERVICE</v>
      </c>
    </row>
    <row r="3652" ht="22.5" customHeight="1">
      <c r="A3652" s="49"/>
      <c r="C3652" s="384">
        <v>45850.0</v>
      </c>
      <c r="D3652" s="65">
        <v>6457.0</v>
      </c>
      <c r="E3652" s="445" t="s">
        <v>251</v>
      </c>
      <c r="F3652" s="386">
        <v>1.0</v>
      </c>
      <c r="G3652" s="74">
        <v>150000.0</v>
      </c>
      <c r="H3652" s="74">
        <v>0.0</v>
      </c>
      <c r="I3652" s="74">
        <f t="shared" si="1"/>
        <v>150000</v>
      </c>
      <c r="J3652" s="74">
        <f>IF(E3652="SERVICE",I3652-(I3652*50%),Vlookup(E3652,DATABASE!C:Q,10,false)*F3652)</f>
        <v>75000</v>
      </c>
      <c r="K3652" s="74">
        <f>VLOOKUP(E3652,DATABASE!C:Q,7,false)</f>
        <v>0</v>
      </c>
      <c r="L3652" s="74">
        <v>0.0</v>
      </c>
      <c r="M3652" s="74">
        <f t="shared" si="2"/>
        <v>0</v>
      </c>
      <c r="N3652" s="74">
        <f t="shared" si="3"/>
        <v>75000</v>
      </c>
      <c r="O3652" s="65" t="str">
        <f>VLOOKUP(E3652,DATABASE!C:Q,8,false)</f>
        <v>IBU</v>
      </c>
      <c r="P3652" s="65">
        <f>VLOOKUP(E3652,DATABASE!C:Q,9,False)</f>
        <v>0</v>
      </c>
      <c r="Q3652" s="93" t="str">
        <f>VLOOKUP(E3652,DATABASE!C:Q,4,false)</f>
        <v>SERVICE</v>
      </c>
      <c r="R3652" s="93" t="str">
        <f>VLOOKUP(E3652,DATABASE!C:Q,11,false)</f>
        <v>SERVICE</v>
      </c>
    </row>
    <row r="3653" ht="22.5" customHeight="1">
      <c r="A3653" s="49"/>
      <c r="C3653" s="384">
        <v>45850.0</v>
      </c>
      <c r="D3653" s="65">
        <v>6458.0</v>
      </c>
      <c r="E3653" s="445" t="s">
        <v>955</v>
      </c>
      <c r="F3653" s="386">
        <v>1.0</v>
      </c>
      <c r="G3653" s="74">
        <v>700000.0</v>
      </c>
      <c r="H3653" s="74">
        <v>0.0</v>
      </c>
      <c r="I3653" s="74">
        <f t="shared" si="1"/>
        <v>700000</v>
      </c>
      <c r="J3653" s="74">
        <f>IF(E3653="SERVICE",I3653-(I3653*50%),Vlookup(E3653,DATABASE!C:Q,10,false)*F3653)</f>
        <v>0</v>
      </c>
      <c r="K3653" s="74">
        <f>VLOOKUP(E3653,DATABASE!C:Q,7,false)</f>
        <v>712000</v>
      </c>
      <c r="L3653" s="74">
        <v>674000.0</v>
      </c>
      <c r="M3653" s="74">
        <f t="shared" si="2"/>
        <v>675000</v>
      </c>
      <c r="N3653" s="74">
        <f t="shared" si="3"/>
        <v>25000</v>
      </c>
      <c r="O3653" s="65" t="str">
        <f>VLOOKUP(E3653,DATABASE!C:Q,8,false)</f>
        <v>IBU</v>
      </c>
      <c r="P3653" s="65">
        <f>VLOOKUP(E3653,DATABASE!C:Q,9,False)</f>
        <v>1</v>
      </c>
      <c r="Q3653" s="93" t="str">
        <f>VLOOKUP(E3653,DATABASE!C:Q,4,false)</f>
        <v>Dunlop</v>
      </c>
      <c r="R3653" s="93" t="str">
        <f>VLOOKUP(E3653,DATABASE!C:Q,11,false)</f>
        <v>Tire</v>
      </c>
    </row>
    <row r="3654" ht="22.5" customHeight="1">
      <c r="A3654" s="49"/>
      <c r="C3654" s="384">
        <v>45850.0</v>
      </c>
      <c r="D3654" s="65">
        <v>6458.0</v>
      </c>
      <c r="E3654" s="445" t="s">
        <v>246</v>
      </c>
      <c r="F3654" s="386">
        <v>1.0</v>
      </c>
      <c r="G3654" s="74">
        <v>25000.0</v>
      </c>
      <c r="H3654" s="74">
        <v>0.0</v>
      </c>
      <c r="I3654" s="74">
        <f t="shared" si="1"/>
        <v>25000</v>
      </c>
      <c r="J3654" s="74">
        <f>IF(E3654="SERVICE",I3654-(I3654*50%),Vlookup(E3654,DATABASE!C:Q,10,false)*F3654)</f>
        <v>0</v>
      </c>
      <c r="K3654" s="74">
        <f>VLOOKUP(E3654,DATABASE!C:Q,7,false)</f>
        <v>0</v>
      </c>
      <c r="L3654" s="74">
        <v>0.0</v>
      </c>
      <c r="M3654" s="74">
        <f t="shared" si="2"/>
        <v>0</v>
      </c>
      <c r="N3654" s="74">
        <f t="shared" si="3"/>
        <v>25000</v>
      </c>
      <c r="O3654" s="65" t="str">
        <f>VLOOKUP(E3654,DATABASE!C:Q,8,false)</f>
        <v>IBU</v>
      </c>
      <c r="P3654" s="65">
        <f>VLOOKUP(E3654,DATABASE!C:Q,9,False)</f>
        <v>0</v>
      </c>
      <c r="Q3654" s="93" t="str">
        <f>VLOOKUP(E3654,DATABASE!C:Q,4,false)</f>
        <v>Bongkar Pasang</v>
      </c>
      <c r="R3654" s="93" t="str">
        <f>VLOOKUP(E3654,DATABASE!C:Q,11,false)</f>
        <v>SERVICE</v>
      </c>
    </row>
    <row r="3655" ht="22.5" customHeight="1">
      <c r="A3655" s="49"/>
      <c r="C3655" s="384">
        <v>45850.0</v>
      </c>
      <c r="D3655" s="65">
        <v>6460.0</v>
      </c>
      <c r="E3655" s="445" t="s">
        <v>932</v>
      </c>
      <c r="F3655" s="386">
        <v>2.0</v>
      </c>
      <c r="G3655" s="74">
        <v>700000.0</v>
      </c>
      <c r="H3655" s="74">
        <v>0.0</v>
      </c>
      <c r="I3655" s="74">
        <f t="shared" si="1"/>
        <v>1400000</v>
      </c>
      <c r="J3655" s="74">
        <f>IF(E3655="SERVICE",I3655-(I3655*50%),Vlookup(E3655,DATABASE!C:Q,10,false)*F3655)</f>
        <v>0</v>
      </c>
      <c r="K3655" s="74">
        <f>VLOOKUP(E3655,DATABASE!C:Q,7,false)</f>
        <v>601000</v>
      </c>
      <c r="L3655" s="74">
        <v>595000.0</v>
      </c>
      <c r="M3655" s="74">
        <f t="shared" si="2"/>
        <v>595000</v>
      </c>
      <c r="N3655" s="74">
        <f t="shared" si="3"/>
        <v>210000</v>
      </c>
      <c r="O3655" s="65" t="str">
        <f>VLOOKUP(E3655,DATABASE!C:Q,8,false)</f>
        <v>IBU</v>
      </c>
      <c r="P3655" s="65">
        <f>VLOOKUP(E3655,DATABASE!C:Q,9,False)</f>
        <v>1</v>
      </c>
      <c r="Q3655" s="93" t="str">
        <f>VLOOKUP(E3655,DATABASE!C:Q,4,false)</f>
        <v>Dunlop</v>
      </c>
      <c r="R3655" s="93" t="str">
        <f>VLOOKUP(E3655,DATABASE!C:Q,11,false)</f>
        <v>Tire</v>
      </c>
    </row>
    <row r="3656" ht="22.5" customHeight="1">
      <c r="A3656" s="49"/>
      <c r="C3656" s="384">
        <v>45850.0</v>
      </c>
      <c r="D3656" s="65">
        <v>6461.0</v>
      </c>
      <c r="E3656" s="445" t="s">
        <v>262</v>
      </c>
      <c r="F3656" s="386">
        <v>1.0</v>
      </c>
      <c r="G3656" s="74">
        <v>110000.0</v>
      </c>
      <c r="H3656" s="74">
        <v>0.0</v>
      </c>
      <c r="I3656" s="74">
        <f t="shared" si="1"/>
        <v>110000</v>
      </c>
      <c r="J3656" s="74">
        <f>IF(E3656="SERVICE",I3656-(I3656*50%),Vlookup(E3656,DATABASE!C:Q,10,false)*F3656)</f>
        <v>5000</v>
      </c>
      <c r="K3656" s="74">
        <f>VLOOKUP(E3656,DATABASE!C:Q,7,false)</f>
        <v>0</v>
      </c>
      <c r="L3656" s="74">
        <v>0.0</v>
      </c>
      <c r="M3656" s="74">
        <f t="shared" si="2"/>
        <v>0</v>
      </c>
      <c r="N3656" s="74">
        <f t="shared" si="3"/>
        <v>105000</v>
      </c>
      <c r="O3656" s="65" t="str">
        <f>VLOOKUP(E3656,DATABASE!C:Q,8,false)</f>
        <v>IBU</v>
      </c>
      <c r="P3656" s="65">
        <f>VLOOKUP(E3656,DATABASE!C:Q,9,False)</f>
        <v>0</v>
      </c>
      <c r="Q3656" s="93" t="str">
        <f>VLOOKUP(E3656,DATABASE!C:Q,4,false)</f>
        <v>SPOORING SS/CARRY LOS BAK</v>
      </c>
      <c r="R3656" s="93" t="str">
        <f>VLOOKUP(E3656,DATABASE!C:Q,11,false)</f>
        <v>SERVICE</v>
      </c>
    </row>
    <row r="3657" ht="22.5" customHeight="1">
      <c r="A3657" s="49"/>
      <c r="C3657" s="384">
        <v>45850.0</v>
      </c>
      <c r="D3657" s="65">
        <v>6461.0</v>
      </c>
      <c r="E3657" s="445" t="s">
        <v>251</v>
      </c>
      <c r="F3657" s="386">
        <v>1.0</v>
      </c>
      <c r="G3657" s="74">
        <v>60000.0</v>
      </c>
      <c r="H3657" s="74">
        <v>0.0</v>
      </c>
      <c r="I3657" s="74">
        <f t="shared" si="1"/>
        <v>60000</v>
      </c>
      <c r="J3657" s="74">
        <f>IF(E3657="SERVICE",I3657-(I3657*50%),Vlookup(E3657,DATABASE!C:Q,10,false)*F3657)</f>
        <v>30000</v>
      </c>
      <c r="K3657" s="74">
        <f>VLOOKUP(E3657,DATABASE!C:Q,7,false)</f>
        <v>0</v>
      </c>
      <c r="L3657" s="74">
        <v>0.0</v>
      </c>
      <c r="M3657" s="74">
        <f t="shared" si="2"/>
        <v>0</v>
      </c>
      <c r="N3657" s="74">
        <f t="shared" si="3"/>
        <v>30000</v>
      </c>
      <c r="O3657" s="65" t="str">
        <f>VLOOKUP(E3657,DATABASE!C:Q,8,false)</f>
        <v>IBU</v>
      </c>
      <c r="P3657" s="65">
        <f>VLOOKUP(E3657,DATABASE!C:Q,9,False)</f>
        <v>0</v>
      </c>
      <c r="Q3657" s="93" t="str">
        <f>VLOOKUP(E3657,DATABASE!C:Q,4,false)</f>
        <v>SERVICE</v>
      </c>
      <c r="R3657" s="93" t="str">
        <f>VLOOKUP(E3657,DATABASE!C:Q,11,false)</f>
        <v>SERVICE</v>
      </c>
    </row>
    <row r="3658" ht="22.5" customHeight="1">
      <c r="A3658" s="49"/>
      <c r="C3658" s="384">
        <v>45850.0</v>
      </c>
      <c r="D3658" s="65">
        <v>6462.0</v>
      </c>
      <c r="E3658" s="445" t="s">
        <v>256</v>
      </c>
      <c r="F3658" s="386">
        <v>1.0</v>
      </c>
      <c r="G3658" s="74">
        <v>130000.0</v>
      </c>
      <c r="H3658" s="74">
        <v>0.0</v>
      </c>
      <c r="I3658" s="74">
        <f t="shared" si="1"/>
        <v>130000</v>
      </c>
      <c r="J3658" s="74">
        <f>IF(E3658="SERVICE",I3658-(I3658*50%),Vlookup(E3658,DATABASE!C:Q,10,false)*F3658)</f>
        <v>10000</v>
      </c>
      <c r="K3658" s="74">
        <f>VLOOKUP(E3658,DATABASE!C:Q,7,false)</f>
        <v>0</v>
      </c>
      <c r="L3658" s="74">
        <v>0.0</v>
      </c>
      <c r="M3658" s="74">
        <f t="shared" si="2"/>
        <v>0</v>
      </c>
      <c r="N3658" s="74">
        <f t="shared" si="3"/>
        <v>120000</v>
      </c>
      <c r="O3658" s="65" t="str">
        <f>VLOOKUP(E3658,DATABASE!C:Q,8,false)</f>
        <v>IBU</v>
      </c>
      <c r="P3658" s="65">
        <f>VLOOKUP(E3658,DATABASE!C:Q,9,False)</f>
        <v>0</v>
      </c>
      <c r="Q3658" s="93" t="str">
        <f>VLOOKUP(E3658,DATABASE!C:Q,4,false)</f>
        <v>SPOORING</v>
      </c>
      <c r="R3658" s="93" t="str">
        <f>VLOOKUP(E3658,DATABASE!C:Q,11,false)</f>
        <v>SERVICE</v>
      </c>
    </row>
    <row r="3659" ht="22.5" customHeight="1">
      <c r="A3659" s="49"/>
      <c r="C3659" s="384">
        <v>45850.0</v>
      </c>
      <c r="D3659" s="65">
        <v>6462.0</v>
      </c>
      <c r="E3659" s="385" t="s">
        <v>299</v>
      </c>
      <c r="F3659" s="386">
        <v>2.0</v>
      </c>
      <c r="G3659" s="74">
        <v>30000.0</v>
      </c>
      <c r="H3659" s="74">
        <v>0.0</v>
      </c>
      <c r="I3659" s="74">
        <f t="shared" si="1"/>
        <v>60000</v>
      </c>
      <c r="J3659" s="74">
        <f>IF(E3659="SERVICE",I3659-(I3659*50%),Vlookup(E3659,DATABASE!C:Q,10,false)*F3659)</f>
        <v>0</v>
      </c>
      <c r="K3659" s="74">
        <v>0.0</v>
      </c>
      <c r="L3659" s="74">
        <v>0.0</v>
      </c>
      <c r="M3659" s="74">
        <f t="shared" si="2"/>
        <v>0</v>
      </c>
      <c r="N3659" s="74">
        <f t="shared" si="3"/>
        <v>60000</v>
      </c>
      <c r="O3659" s="65" t="str">
        <f>VLOOKUP(E3659,DATABASE!C:Q,8,false)</f>
        <v>BIAN</v>
      </c>
      <c r="P3659" s="65">
        <f>VLOOKUP(E3659,DATABASE!C:Q,9,False)</f>
        <v>0</v>
      </c>
      <c r="Q3659" s="93" t="str">
        <f>VLOOKUP(E3659,DATABASE!C:Q,4,false)</f>
        <v>Balancing</v>
      </c>
      <c r="R3659" s="93" t="str">
        <f>VLOOKUP(E3659,DATABASE!C:Q,11,false)</f>
        <v>COMPLEMENTARY</v>
      </c>
    </row>
    <row r="3660" ht="22.5" customHeight="1">
      <c r="A3660" s="49"/>
      <c r="C3660" s="384">
        <v>45850.0</v>
      </c>
      <c r="D3660" s="65">
        <v>6462.0</v>
      </c>
      <c r="E3660" s="445" t="s">
        <v>301</v>
      </c>
      <c r="F3660" s="386">
        <v>1.0</v>
      </c>
      <c r="G3660" s="74">
        <v>250000.0</v>
      </c>
      <c r="H3660" s="74">
        <v>0.0</v>
      </c>
      <c r="I3660" s="74">
        <f t="shared" si="1"/>
        <v>250000</v>
      </c>
      <c r="J3660" s="74">
        <f>IF(E3660="SERVICE",I3660-(I3660*50%),Vlookup(E3660,DATABASE!C:Q,10,false)*F3660)</f>
        <v>75000</v>
      </c>
      <c r="K3660" s="74">
        <f>VLOOKUP(E3660,DATABASE!C:Q,7,false)</f>
        <v>75000</v>
      </c>
      <c r="L3660" s="74">
        <v>75000.0</v>
      </c>
      <c r="M3660" s="74">
        <f t="shared" si="2"/>
        <v>75000</v>
      </c>
      <c r="N3660" s="74">
        <f t="shared" si="3"/>
        <v>100000</v>
      </c>
      <c r="O3660" s="65" t="str">
        <f>VLOOKUP(E3660,DATABASE!C:Q,8,false)</f>
        <v>BIAN</v>
      </c>
      <c r="P3660" s="65">
        <f>VLOOKUP(E3660,DATABASE!C:Q,9,False)</f>
        <v>0</v>
      </c>
      <c r="Q3660" s="93" t="str">
        <f>VLOOKUP(E3660,DATABASE!C:Q,4,false)</f>
        <v>Baut Camber</v>
      </c>
      <c r="R3660" s="93" t="str">
        <f>VLOOKUP(E3660,DATABASE!C:Q,11,false)</f>
        <v>COMPLEMENTARY</v>
      </c>
    </row>
    <row r="3661" ht="22.5" customHeight="1">
      <c r="A3661" s="49"/>
      <c r="C3661" s="384">
        <v>45850.0</v>
      </c>
      <c r="D3661" s="65">
        <v>6463.0</v>
      </c>
      <c r="E3661" s="445" t="s">
        <v>1530</v>
      </c>
      <c r="F3661" s="386">
        <v>2.0</v>
      </c>
      <c r="G3661" s="74">
        <v>560000.0</v>
      </c>
      <c r="H3661" s="74">
        <v>0.0</v>
      </c>
      <c r="I3661" s="74">
        <f t="shared" si="1"/>
        <v>1120000</v>
      </c>
      <c r="J3661" s="74">
        <f>IF(E3661="SERVICE",I3661-(I3661*50%),Vlookup(E3661,DATABASE!C:Q,10,false)*F3661)</f>
        <v>0</v>
      </c>
      <c r="K3661" s="74">
        <f>VLOOKUP(E3661,DATABASE!C:Q,7,false)</f>
        <v>467000</v>
      </c>
      <c r="L3661" s="74">
        <v>454000.0</v>
      </c>
      <c r="M3661" s="74">
        <f t="shared" si="2"/>
        <v>455000</v>
      </c>
      <c r="N3661" s="74">
        <f t="shared" si="3"/>
        <v>210000</v>
      </c>
      <c r="O3661" s="65" t="str">
        <f>VLOOKUP(E3661,DATABASE!C:Q,8,false)</f>
        <v>BIAN</v>
      </c>
      <c r="P3661" s="65">
        <f>VLOOKUP(E3661,DATABASE!C:Q,9,False)</f>
        <v>1</v>
      </c>
      <c r="Q3661" s="93" t="str">
        <f>VLOOKUP(E3661,DATABASE!C:Q,4,false)</f>
        <v>Laufen</v>
      </c>
      <c r="R3661" s="93" t="str">
        <f>VLOOKUP(E3661,DATABASE!C:Q,11,false)</f>
        <v>Tire</v>
      </c>
    </row>
    <row r="3662" ht="22.5" customHeight="1">
      <c r="A3662" s="49"/>
      <c r="C3662" s="384">
        <v>45851.0</v>
      </c>
      <c r="D3662" s="65">
        <v>6464.0</v>
      </c>
      <c r="E3662" s="445" t="s">
        <v>290</v>
      </c>
      <c r="F3662" s="386">
        <v>1.0</v>
      </c>
      <c r="G3662" s="74">
        <v>720000.0</v>
      </c>
      <c r="H3662" s="74">
        <v>0.0</v>
      </c>
      <c r="I3662" s="74">
        <f t="shared" si="1"/>
        <v>720000</v>
      </c>
      <c r="J3662" s="74">
        <f>IF(E3662="SERVICE",I3662-(I3662*50%),Vlookup(E3662,DATABASE!C:Q,10,false)*F3662)</f>
        <v>0</v>
      </c>
      <c r="K3662" s="74">
        <f>VLOOKUP(E3662,DATABASE!C:Q,7,false)</f>
        <v>628100</v>
      </c>
      <c r="L3662" s="74">
        <v>609804.0</v>
      </c>
      <c r="M3662" s="74">
        <f t="shared" si="2"/>
        <v>610000</v>
      </c>
      <c r="N3662" s="74">
        <f t="shared" si="3"/>
        <v>110000</v>
      </c>
      <c r="O3662" s="65" t="str">
        <f>VLOOKUP(E3662,DATABASE!C:Q,8,false)</f>
        <v>BIAN</v>
      </c>
      <c r="P3662" s="65">
        <f>VLOOKUP(E3662,DATABASE!C:Q,9,False)</f>
        <v>1</v>
      </c>
      <c r="Q3662" s="93" t="str">
        <f>VLOOKUP(E3662,DATABASE!C:Q,4,false)</f>
        <v>GT</v>
      </c>
      <c r="R3662" s="93" t="str">
        <f>VLOOKUP(E3662,DATABASE!C:Q,11,false)</f>
        <v>Tire</v>
      </c>
    </row>
    <row r="3663" ht="22.5" customHeight="1">
      <c r="A3663" s="49"/>
      <c r="C3663" s="384">
        <v>45851.0</v>
      </c>
      <c r="D3663" s="65">
        <v>6465.0</v>
      </c>
      <c r="E3663" s="445" t="s">
        <v>256</v>
      </c>
      <c r="F3663" s="386">
        <v>1.0</v>
      </c>
      <c r="G3663" s="74">
        <v>65000.0</v>
      </c>
      <c r="H3663" s="74">
        <v>0.0</v>
      </c>
      <c r="I3663" s="74">
        <f t="shared" si="1"/>
        <v>65000</v>
      </c>
      <c r="J3663" s="74">
        <f>IF(E3663="SERVICE",I3663-(I3663*50%),Vlookup(E3663,DATABASE!C:Q,10,false)*F3663)</f>
        <v>10000</v>
      </c>
      <c r="K3663" s="74">
        <f>VLOOKUP(E3663,DATABASE!C:Q,7,false)</f>
        <v>0</v>
      </c>
      <c r="L3663" s="74">
        <v>0.0</v>
      </c>
      <c r="M3663" s="74">
        <f t="shared" si="2"/>
        <v>0</v>
      </c>
      <c r="N3663" s="74">
        <f t="shared" si="3"/>
        <v>55000</v>
      </c>
      <c r="O3663" s="65" t="str">
        <f>VLOOKUP(E3663,DATABASE!C:Q,8,false)</f>
        <v>IBU</v>
      </c>
      <c r="P3663" s="65">
        <f>VLOOKUP(E3663,DATABASE!C:Q,9,False)</f>
        <v>0</v>
      </c>
      <c r="Q3663" s="93" t="str">
        <f>VLOOKUP(E3663,DATABASE!C:Q,4,false)</f>
        <v>SPOORING</v>
      </c>
      <c r="R3663" s="93" t="str">
        <f>VLOOKUP(E3663,DATABASE!C:Q,11,false)</f>
        <v>SERVICE</v>
      </c>
    </row>
    <row r="3664" ht="22.5" customHeight="1">
      <c r="A3664" s="49"/>
      <c r="C3664" s="384">
        <v>45851.0</v>
      </c>
      <c r="D3664" s="65">
        <v>6465.0</v>
      </c>
      <c r="E3664" s="385" t="s">
        <v>299</v>
      </c>
      <c r="F3664" s="386">
        <v>2.0</v>
      </c>
      <c r="G3664" s="74">
        <v>30000.0</v>
      </c>
      <c r="H3664" s="74">
        <v>0.0</v>
      </c>
      <c r="I3664" s="74">
        <f t="shared" si="1"/>
        <v>60000</v>
      </c>
      <c r="J3664" s="74">
        <f>IF(E3664="SERVICE",I3664-(I3664*50%),Vlookup(E3664,DATABASE!C:Q,10,false)*F3664)</f>
        <v>0</v>
      </c>
      <c r="K3664" s="74">
        <v>0.0</v>
      </c>
      <c r="L3664" s="74">
        <v>0.0</v>
      </c>
      <c r="M3664" s="74">
        <f t="shared" si="2"/>
        <v>0</v>
      </c>
      <c r="N3664" s="74">
        <f t="shared" si="3"/>
        <v>60000</v>
      </c>
      <c r="O3664" s="65" t="str">
        <f>VLOOKUP(E3664,DATABASE!C:Q,8,false)</f>
        <v>BIAN</v>
      </c>
      <c r="P3664" s="65">
        <f>VLOOKUP(E3664,DATABASE!C:Q,9,False)</f>
        <v>0</v>
      </c>
      <c r="Q3664" s="93" t="str">
        <f>VLOOKUP(E3664,DATABASE!C:Q,4,false)</f>
        <v>Balancing</v>
      </c>
      <c r="R3664" s="93" t="str">
        <f>VLOOKUP(E3664,DATABASE!C:Q,11,false)</f>
        <v>COMPLEMENTARY</v>
      </c>
    </row>
    <row r="3665" ht="22.5" customHeight="1">
      <c r="A3665" s="49"/>
      <c r="C3665" s="384">
        <v>45851.0</v>
      </c>
      <c r="D3665" s="65">
        <v>6466.0</v>
      </c>
      <c r="E3665" s="445" t="s">
        <v>294</v>
      </c>
      <c r="F3665" s="386">
        <v>2.0</v>
      </c>
      <c r="G3665" s="74">
        <v>570000.0</v>
      </c>
      <c r="H3665" s="74">
        <v>0.0</v>
      </c>
      <c r="I3665" s="74">
        <f t="shared" si="1"/>
        <v>1140000</v>
      </c>
      <c r="J3665" s="74">
        <f>IF(E3665="SERVICE",I3665-(I3665*50%),Vlookup(E3665,DATABASE!C:Q,10,false)*F3665)</f>
        <v>0</v>
      </c>
      <c r="K3665" s="74">
        <f>VLOOKUP(E3665,DATABASE!C:Q,7,false)</f>
        <v>505000</v>
      </c>
      <c r="L3665" s="74">
        <v>490000.0</v>
      </c>
      <c r="M3665" s="74">
        <f t="shared" si="2"/>
        <v>490000</v>
      </c>
      <c r="N3665" s="74">
        <f t="shared" si="3"/>
        <v>160000</v>
      </c>
      <c r="O3665" s="65" t="str">
        <f>VLOOKUP(E3665,DATABASE!C:Q,8,false)</f>
        <v>BIAN</v>
      </c>
      <c r="P3665" s="65">
        <f>VLOOKUP(E3665,DATABASE!C:Q,9,False)</f>
        <v>1</v>
      </c>
      <c r="Q3665" s="93" t="str">
        <f>VLOOKUP(E3665,DATABASE!C:Q,4,false)</f>
        <v>GT</v>
      </c>
      <c r="R3665" s="93" t="str">
        <f>VLOOKUP(E3665,DATABASE!C:Q,11,false)</f>
        <v>Tire</v>
      </c>
    </row>
    <row r="3666" ht="22.5" customHeight="1">
      <c r="A3666" s="49"/>
      <c r="C3666" s="384">
        <v>45851.0</v>
      </c>
      <c r="D3666" s="65">
        <v>6467.0</v>
      </c>
      <c r="E3666" s="445" t="s">
        <v>566</v>
      </c>
      <c r="F3666" s="386">
        <v>2.0</v>
      </c>
      <c r="G3666" s="74">
        <v>1670000.0</v>
      </c>
      <c r="H3666" s="74">
        <v>0.0</v>
      </c>
      <c r="I3666" s="74">
        <f t="shared" si="1"/>
        <v>3340000</v>
      </c>
      <c r="J3666" s="74">
        <f>IF(E3666="SERVICE",I3666-(I3666*50%),Vlookup(E3666,DATABASE!C:Q,10,false)*F3666)</f>
        <v>0</v>
      </c>
      <c r="K3666" s="140">
        <v>1570000.0</v>
      </c>
      <c r="L3666" s="140">
        <v>1570000.0</v>
      </c>
      <c r="M3666" s="74">
        <f t="shared" si="2"/>
        <v>1570000</v>
      </c>
      <c r="N3666" s="74">
        <f t="shared" si="3"/>
        <v>200000</v>
      </c>
      <c r="O3666" s="65" t="str">
        <f>VLOOKUP(E3666,DATABASE!C:Q,8,false)</f>
        <v>IBU</v>
      </c>
      <c r="P3666" s="65">
        <f>VLOOKUP(E3666,DATABASE!C:Q,9,False)</f>
        <v>1</v>
      </c>
      <c r="Q3666" s="93" t="str">
        <f>VLOOKUP(E3666,DATABASE!C:Q,4,false)</f>
        <v>Bridgestone</v>
      </c>
      <c r="R3666" s="93" t="str">
        <f>VLOOKUP(E3666,DATABASE!C:Q,11,false)</f>
        <v>Tire</v>
      </c>
    </row>
    <row r="3667" ht="22.5" customHeight="1">
      <c r="A3667" s="49"/>
      <c r="C3667" s="384">
        <v>45851.0</v>
      </c>
      <c r="D3667" s="65">
        <v>6467.0</v>
      </c>
      <c r="E3667" s="445" t="s">
        <v>744</v>
      </c>
      <c r="F3667" s="386">
        <v>1.0</v>
      </c>
      <c r="G3667" s="74">
        <v>230000.0</v>
      </c>
      <c r="H3667" s="74">
        <v>0.0</v>
      </c>
      <c r="I3667" s="74">
        <f t="shared" si="1"/>
        <v>230000</v>
      </c>
      <c r="J3667" s="74">
        <f>IF(E3667="SERVICE",I3667-(I3667*50%),Vlookup(E3667,DATABASE!C:Q,10,false)*F3667)</f>
        <v>0</v>
      </c>
      <c r="K3667" s="74">
        <f>VLOOKUP(E3667,DATABASE!C:Q,7,false)</f>
        <v>182200</v>
      </c>
      <c r="L3667" s="74">
        <v>199920.0</v>
      </c>
      <c r="M3667" s="74">
        <f t="shared" si="2"/>
        <v>200000</v>
      </c>
      <c r="N3667" s="74">
        <f t="shared" si="3"/>
        <v>30000</v>
      </c>
      <c r="O3667" s="65" t="str">
        <f>VLOOKUP(E3667,DATABASE!C:Q,8,false)</f>
        <v>BIAN</v>
      </c>
      <c r="P3667" s="65">
        <f>VLOOKUP(E3667,DATABASE!C:Q,9,False)</f>
        <v>1</v>
      </c>
      <c r="Q3667" s="93" t="str">
        <f>VLOOKUP(E3667,DATABASE!C:Q,4,false)</f>
        <v>BD</v>
      </c>
      <c r="R3667" s="93" t="str">
        <f>VLOOKUP(E3667,DATABASE!C:Q,11,false)</f>
        <v>Tire</v>
      </c>
    </row>
    <row r="3668" ht="22.5" customHeight="1">
      <c r="A3668" s="49"/>
      <c r="C3668" s="384">
        <v>45851.0</v>
      </c>
      <c r="D3668" s="65">
        <v>6468.0</v>
      </c>
      <c r="E3668" s="445" t="s">
        <v>1995</v>
      </c>
      <c r="F3668" s="386">
        <v>2.0</v>
      </c>
      <c r="G3668" s="74">
        <v>1325000.0</v>
      </c>
      <c r="H3668" s="74">
        <v>0.0</v>
      </c>
      <c r="I3668" s="74">
        <f t="shared" si="1"/>
        <v>2650000</v>
      </c>
      <c r="J3668" s="74">
        <f>IF(E3668="SERVICE",I3668-(I3668*50%),Vlookup(E3668,DATABASE!C:Q,10,false)*F3668)</f>
        <v>0</v>
      </c>
      <c r="K3668" s="74">
        <f>VLOOKUP(E3668,DATABASE!C:Q,7,false)</f>
        <v>1280000</v>
      </c>
      <c r="L3668" s="74">
        <v>1280000.0</v>
      </c>
      <c r="M3668" s="74">
        <f t="shared" si="2"/>
        <v>1280000</v>
      </c>
      <c r="N3668" s="74">
        <f t="shared" si="3"/>
        <v>90000</v>
      </c>
      <c r="O3668" s="65" t="str">
        <f>VLOOKUP(E3668,DATABASE!C:Q,8,false)</f>
        <v>BIAN</v>
      </c>
      <c r="P3668" s="65">
        <f>VLOOKUP(E3668,DATABASE!C:Q,9,False)</f>
        <v>1</v>
      </c>
      <c r="Q3668" s="93" t="str">
        <f>VLOOKUP(E3668,DATABASE!C:Q,4,false)</f>
        <v>GT</v>
      </c>
      <c r="R3668" s="93" t="str">
        <f>VLOOKUP(E3668,DATABASE!C:Q,11,false)</f>
        <v>Tire</v>
      </c>
    </row>
    <row r="3669" ht="22.5" customHeight="1">
      <c r="A3669" s="49"/>
      <c r="C3669" s="384">
        <v>45852.0</v>
      </c>
      <c r="D3669" s="65">
        <v>4171.0</v>
      </c>
      <c r="E3669" s="445" t="s">
        <v>256</v>
      </c>
      <c r="F3669" s="386">
        <v>1.0</v>
      </c>
      <c r="G3669" s="74">
        <v>130000.0</v>
      </c>
      <c r="H3669" s="74">
        <v>0.0</v>
      </c>
      <c r="I3669" s="74">
        <f t="shared" si="1"/>
        <v>130000</v>
      </c>
      <c r="J3669" s="74">
        <f>IF(E3669="SERVICE",I3669-(I3669*50%),Vlookup(E3669,DATABASE!C:Q,10,false)*F3669)</f>
        <v>10000</v>
      </c>
      <c r="K3669" s="74">
        <f>VLOOKUP(E3669,DATABASE!C:Q,7,false)</f>
        <v>0</v>
      </c>
      <c r="L3669" s="74">
        <v>0.0</v>
      </c>
      <c r="M3669" s="74">
        <f t="shared" si="2"/>
        <v>0</v>
      </c>
      <c r="N3669" s="74">
        <f t="shared" si="3"/>
        <v>120000</v>
      </c>
      <c r="O3669" s="65" t="str">
        <f>VLOOKUP(E3669,DATABASE!C:Q,8,false)</f>
        <v>IBU</v>
      </c>
      <c r="P3669" s="65">
        <f>VLOOKUP(E3669,DATABASE!C:Q,9,False)</f>
        <v>0</v>
      </c>
      <c r="Q3669" s="93" t="str">
        <f>VLOOKUP(E3669,DATABASE!C:Q,4,false)</f>
        <v>SPOORING</v>
      </c>
      <c r="R3669" s="93" t="str">
        <f>VLOOKUP(E3669,DATABASE!C:Q,11,false)</f>
        <v>SERVICE</v>
      </c>
    </row>
    <row r="3670" ht="22.5" customHeight="1">
      <c r="A3670" s="49"/>
      <c r="C3670" s="384">
        <v>45852.0</v>
      </c>
      <c r="D3670" s="65">
        <v>4171.0</v>
      </c>
      <c r="E3670" s="385" t="s">
        <v>299</v>
      </c>
      <c r="F3670" s="386">
        <v>2.0</v>
      </c>
      <c r="G3670" s="74">
        <v>30000.0</v>
      </c>
      <c r="H3670" s="74">
        <v>0.0</v>
      </c>
      <c r="I3670" s="74">
        <f t="shared" si="1"/>
        <v>60000</v>
      </c>
      <c r="J3670" s="74">
        <f>IF(E3670="SERVICE",I3670-(I3670*50%),Vlookup(E3670,DATABASE!C:Q,10,false)*F3670)</f>
        <v>0</v>
      </c>
      <c r="K3670" s="74">
        <v>0.0</v>
      </c>
      <c r="L3670" s="74">
        <v>0.0</v>
      </c>
      <c r="M3670" s="74">
        <f t="shared" si="2"/>
        <v>0</v>
      </c>
      <c r="N3670" s="74">
        <f t="shared" si="3"/>
        <v>60000</v>
      </c>
      <c r="O3670" s="65" t="str">
        <f>VLOOKUP(E3670,DATABASE!C:Q,8,false)</f>
        <v>BIAN</v>
      </c>
      <c r="P3670" s="65">
        <f>VLOOKUP(E3670,DATABASE!C:Q,9,False)</f>
        <v>0</v>
      </c>
      <c r="Q3670" s="93" t="str">
        <f>VLOOKUP(E3670,DATABASE!C:Q,4,false)</f>
        <v>Balancing</v>
      </c>
      <c r="R3670" s="93" t="str">
        <f>VLOOKUP(E3670,DATABASE!C:Q,11,false)</f>
        <v>COMPLEMENTARY</v>
      </c>
    </row>
    <row r="3671" ht="22.5" customHeight="1">
      <c r="A3671" s="49"/>
      <c r="C3671" s="384">
        <v>45852.0</v>
      </c>
      <c r="D3671" s="65">
        <v>4171.0</v>
      </c>
      <c r="E3671" s="445" t="s">
        <v>301</v>
      </c>
      <c r="F3671" s="386">
        <v>1.0</v>
      </c>
      <c r="G3671" s="74">
        <v>250000.0</v>
      </c>
      <c r="H3671" s="74">
        <v>0.0</v>
      </c>
      <c r="I3671" s="74">
        <f t="shared" si="1"/>
        <v>250000</v>
      </c>
      <c r="J3671" s="74">
        <f>IF(E3671="SERVICE",I3671-(I3671*50%),Vlookup(E3671,DATABASE!C:Q,10,false)*F3671)</f>
        <v>75000</v>
      </c>
      <c r="K3671" s="74">
        <f>VLOOKUP(E3671,DATABASE!C:Q,7,false)</f>
        <v>75000</v>
      </c>
      <c r="L3671" s="74">
        <v>75000.0</v>
      </c>
      <c r="M3671" s="74">
        <f t="shared" si="2"/>
        <v>75000</v>
      </c>
      <c r="N3671" s="74">
        <f t="shared" si="3"/>
        <v>100000</v>
      </c>
      <c r="O3671" s="65" t="str">
        <f>VLOOKUP(E3671,DATABASE!C:Q,8,false)</f>
        <v>BIAN</v>
      </c>
      <c r="P3671" s="65">
        <f>VLOOKUP(E3671,DATABASE!C:Q,9,False)</f>
        <v>0</v>
      </c>
      <c r="Q3671" s="93" t="str">
        <f>VLOOKUP(E3671,DATABASE!C:Q,4,false)</f>
        <v>Baut Camber</v>
      </c>
      <c r="R3671" s="93" t="str">
        <f>VLOOKUP(E3671,DATABASE!C:Q,11,false)</f>
        <v>COMPLEMENTARY</v>
      </c>
    </row>
    <row r="3672" ht="22.5" customHeight="1">
      <c r="A3672" s="49"/>
      <c r="C3672" s="384">
        <v>45852.0</v>
      </c>
      <c r="D3672" s="65">
        <v>6469.0</v>
      </c>
      <c r="E3672" s="445" t="s">
        <v>286</v>
      </c>
      <c r="F3672" s="386">
        <v>13.0</v>
      </c>
      <c r="G3672" s="74">
        <v>550000.0</v>
      </c>
      <c r="H3672" s="74">
        <v>0.0</v>
      </c>
      <c r="I3672" s="74">
        <f t="shared" si="1"/>
        <v>7150000</v>
      </c>
      <c r="J3672" s="74">
        <f>IF(E3672="SERVICE",I3672-(I3672*50%),Vlookup(E3672,DATABASE!C:Q,10,false)*F3672)</f>
        <v>0</v>
      </c>
      <c r="K3672" s="74">
        <f>VLOOKUP(E3672,DATABASE!C:Q,7,false)</f>
        <v>488320</v>
      </c>
      <c r="L3672" s="74">
        <v>452970.0</v>
      </c>
      <c r="M3672" s="74">
        <f t="shared" si="2"/>
        <v>455000</v>
      </c>
      <c r="N3672" s="74">
        <f t="shared" si="3"/>
        <v>1235000</v>
      </c>
      <c r="O3672" s="65" t="str">
        <f>VLOOKUP(E3672,DATABASE!C:Q,8,false)</f>
        <v>BIAN</v>
      </c>
      <c r="P3672" s="65">
        <f>VLOOKUP(E3672,DATABASE!C:Q,9,False)</f>
        <v>1</v>
      </c>
      <c r="Q3672" s="93" t="str">
        <f>VLOOKUP(E3672,DATABASE!C:Q,4,false)</f>
        <v>GT</v>
      </c>
      <c r="R3672" s="93" t="str">
        <f>VLOOKUP(E3672,DATABASE!C:Q,11,false)</f>
        <v>Tire</v>
      </c>
    </row>
    <row r="3673" ht="22.5" customHeight="1">
      <c r="A3673" s="49"/>
      <c r="C3673" s="384">
        <v>45852.0</v>
      </c>
      <c r="D3673" s="65">
        <v>6470.0</v>
      </c>
      <c r="E3673" s="445" t="s">
        <v>271</v>
      </c>
      <c r="F3673" s="386">
        <v>4.0</v>
      </c>
      <c r="G3673" s="74">
        <v>640000.0</v>
      </c>
      <c r="H3673" s="74">
        <v>0.0</v>
      </c>
      <c r="I3673" s="74">
        <f t="shared" si="1"/>
        <v>2560000</v>
      </c>
      <c r="J3673" s="74">
        <f>IF(E3673="SERVICE",I3673-(I3673*50%),Vlookup(E3673,DATABASE!C:Q,10,false)*F3673)</f>
        <v>0</v>
      </c>
      <c r="K3673" s="74">
        <f>VLOOKUP(E3673,DATABASE!C:Q,7,false)</f>
        <v>570000</v>
      </c>
      <c r="L3673" s="74">
        <v>539000.0</v>
      </c>
      <c r="M3673" s="74">
        <f t="shared" si="2"/>
        <v>540000</v>
      </c>
      <c r="N3673" s="74">
        <f t="shared" si="3"/>
        <v>400000</v>
      </c>
      <c r="O3673" s="65" t="str">
        <f>VLOOKUP(E3673,DATABASE!C:Q,8,false)</f>
        <v>IBU</v>
      </c>
      <c r="P3673" s="65">
        <f>VLOOKUP(E3673,DATABASE!C:Q,9,False)</f>
        <v>1</v>
      </c>
      <c r="Q3673" s="93" t="str">
        <f>VLOOKUP(E3673,DATABASE!C:Q,4,false)</f>
        <v>Dunlop</v>
      </c>
      <c r="R3673" s="93" t="str">
        <f>VLOOKUP(E3673,DATABASE!C:Q,11,false)</f>
        <v>Tire</v>
      </c>
    </row>
    <row r="3674" ht="22.5" customHeight="1">
      <c r="A3674" s="49"/>
      <c r="C3674" s="384">
        <v>45852.0</v>
      </c>
      <c r="D3674" s="65">
        <v>6472.0</v>
      </c>
      <c r="E3674" s="445" t="s">
        <v>1974</v>
      </c>
      <c r="F3674" s="386">
        <v>1.0</v>
      </c>
      <c r="G3674" s="74">
        <v>1260000.0</v>
      </c>
      <c r="H3674" s="74">
        <v>0.0</v>
      </c>
      <c r="I3674" s="74">
        <f t="shared" si="1"/>
        <v>1260000</v>
      </c>
      <c r="J3674" s="74">
        <f>IF(E3674="SERVICE",I3674-(I3674*50%),Vlookup(E3674,DATABASE!C:Q,10,false)*F3674)</f>
        <v>0</v>
      </c>
      <c r="K3674" s="74">
        <f>VLOOKUP(E3674,DATABASE!C:Q,7,false)</f>
        <v>1221100</v>
      </c>
      <c r="L3674" s="74">
        <v>1150700.0</v>
      </c>
      <c r="M3674" s="74">
        <f t="shared" si="2"/>
        <v>1155000</v>
      </c>
      <c r="N3674" s="74">
        <f t="shared" si="3"/>
        <v>105000</v>
      </c>
      <c r="O3674" s="65" t="str">
        <f>VLOOKUP(E3674,DATABASE!C:Q,8,false)</f>
        <v>BIAN</v>
      </c>
      <c r="P3674" s="65">
        <f>VLOOKUP(E3674,DATABASE!C:Q,9,False)</f>
        <v>1</v>
      </c>
      <c r="Q3674" s="93" t="str">
        <f>VLOOKUP(E3674,DATABASE!C:Q,4,false)</f>
        <v>GT</v>
      </c>
      <c r="R3674" s="93" t="str">
        <f>VLOOKUP(E3674,DATABASE!C:Q,11,false)</f>
        <v>Tire</v>
      </c>
    </row>
    <row r="3675" ht="22.5" customHeight="1">
      <c r="A3675" s="49"/>
      <c r="C3675" s="384">
        <v>45852.0</v>
      </c>
      <c r="D3675" s="65">
        <v>6474.0</v>
      </c>
      <c r="E3675" s="445" t="s">
        <v>937</v>
      </c>
      <c r="F3675" s="386">
        <v>2.0</v>
      </c>
      <c r="G3675" s="74">
        <v>900000.0</v>
      </c>
      <c r="H3675" s="74">
        <v>0.0</v>
      </c>
      <c r="I3675" s="74">
        <f t="shared" si="1"/>
        <v>1800000</v>
      </c>
      <c r="J3675" s="74">
        <f>IF(E3675="SERVICE",I3675-(I3675*50%),Vlookup(E3675,DATABASE!C:Q,10,false)*F3675)</f>
        <v>0</v>
      </c>
      <c r="K3675" s="74">
        <f>VLOOKUP(E3675,DATABASE!C:Q,7,false)</f>
        <v>825000</v>
      </c>
      <c r="L3675" s="74">
        <v>790000.0</v>
      </c>
      <c r="M3675" s="74">
        <f t="shared" si="2"/>
        <v>790000</v>
      </c>
      <c r="N3675" s="74">
        <f t="shared" si="3"/>
        <v>220000</v>
      </c>
      <c r="O3675" s="65" t="str">
        <f>VLOOKUP(E3675,DATABASE!C:Q,8,false)</f>
        <v>IBU</v>
      </c>
      <c r="P3675" s="65">
        <f>VLOOKUP(E3675,DATABASE!C:Q,9,False)</f>
        <v>1</v>
      </c>
      <c r="Q3675" s="93" t="str">
        <f>VLOOKUP(E3675,DATABASE!C:Q,4,false)</f>
        <v>Bridgestone</v>
      </c>
      <c r="R3675" s="93" t="str">
        <f>VLOOKUP(E3675,DATABASE!C:Q,11,false)</f>
        <v>Tire</v>
      </c>
    </row>
    <row r="3676" ht="22.5" customHeight="1">
      <c r="A3676" s="49"/>
      <c r="C3676" s="384">
        <v>45852.0</v>
      </c>
      <c r="D3676" s="65">
        <v>6475.0</v>
      </c>
      <c r="E3676" s="385" t="s">
        <v>299</v>
      </c>
      <c r="F3676" s="386">
        <v>2.0</v>
      </c>
      <c r="G3676" s="74">
        <v>30000.0</v>
      </c>
      <c r="H3676" s="74">
        <v>0.0</v>
      </c>
      <c r="I3676" s="74">
        <f t="shared" si="1"/>
        <v>60000</v>
      </c>
      <c r="J3676" s="74">
        <f>IF(E3676="SERVICE",I3676-(I3676*50%),Vlookup(E3676,DATABASE!C:Q,10,false)*F3676)</f>
        <v>0</v>
      </c>
      <c r="K3676" s="74">
        <v>0.0</v>
      </c>
      <c r="L3676" s="74">
        <v>0.0</v>
      </c>
      <c r="M3676" s="74">
        <f t="shared" si="2"/>
        <v>0</v>
      </c>
      <c r="N3676" s="74">
        <f t="shared" si="3"/>
        <v>60000</v>
      </c>
      <c r="O3676" s="65" t="str">
        <f>VLOOKUP(E3676,DATABASE!C:Q,8,false)</f>
        <v>BIAN</v>
      </c>
      <c r="P3676" s="65">
        <f>VLOOKUP(E3676,DATABASE!C:Q,9,False)</f>
        <v>0</v>
      </c>
      <c r="Q3676" s="93" t="str">
        <f>VLOOKUP(E3676,DATABASE!C:Q,4,false)</f>
        <v>Balancing</v>
      </c>
      <c r="R3676" s="93" t="str">
        <f>VLOOKUP(E3676,DATABASE!C:Q,11,false)</f>
        <v>COMPLEMENTARY</v>
      </c>
    </row>
    <row r="3677" ht="22.5" customHeight="1">
      <c r="A3677" s="49"/>
      <c r="C3677" s="384">
        <v>45852.0</v>
      </c>
      <c r="D3677" s="65">
        <v>6476.0</v>
      </c>
      <c r="E3677" s="445" t="s">
        <v>968</v>
      </c>
      <c r="F3677" s="386">
        <v>2.0</v>
      </c>
      <c r="G3677" s="74">
        <v>675000.0</v>
      </c>
      <c r="H3677" s="74">
        <v>0.0</v>
      </c>
      <c r="I3677" s="74">
        <f t="shared" si="1"/>
        <v>1350000</v>
      </c>
      <c r="J3677" s="74">
        <f>IF(E3677="SERVICE",I3677-(I3677*50%),Vlookup(E3677,DATABASE!C:Q,10,false)*F3677)</f>
        <v>0</v>
      </c>
      <c r="K3677" s="74">
        <f>VLOOKUP(E3677,DATABASE!C:Q,7,false)</f>
        <v>582500</v>
      </c>
      <c r="L3677" s="74">
        <v>582500.0</v>
      </c>
      <c r="M3677" s="74">
        <f t="shared" si="2"/>
        <v>585000</v>
      </c>
      <c r="N3677" s="74">
        <f t="shared" si="3"/>
        <v>180000</v>
      </c>
      <c r="O3677" s="65" t="str">
        <f>VLOOKUP(E3677,DATABASE!C:Q,8,false)</f>
        <v>IBU</v>
      </c>
      <c r="P3677" s="65">
        <f>VLOOKUP(E3677,DATABASE!C:Q,9,False)</f>
        <v>1</v>
      </c>
      <c r="Q3677" s="93" t="str">
        <f>VLOOKUP(E3677,DATABASE!C:Q,4,false)</f>
        <v>Dunlop</v>
      </c>
      <c r="R3677" s="93" t="str">
        <f>VLOOKUP(E3677,DATABASE!C:Q,11,false)</f>
        <v>Tire</v>
      </c>
    </row>
    <row r="3678" ht="22.5" customHeight="1">
      <c r="A3678" s="49"/>
      <c r="C3678" s="384">
        <v>45852.0</v>
      </c>
      <c r="D3678" s="65">
        <v>6477.0</v>
      </c>
      <c r="E3678" s="445" t="s">
        <v>256</v>
      </c>
      <c r="F3678" s="386">
        <v>1.0</v>
      </c>
      <c r="G3678" s="74">
        <v>130000.0</v>
      </c>
      <c r="H3678" s="74">
        <v>0.0</v>
      </c>
      <c r="I3678" s="74">
        <f t="shared" si="1"/>
        <v>130000</v>
      </c>
      <c r="J3678" s="74">
        <f>IF(E3678="SERVICE",I3678-(I3678*50%),Vlookup(E3678,DATABASE!C:Q,10,false)*F3678)</f>
        <v>10000</v>
      </c>
      <c r="K3678" s="74">
        <f>VLOOKUP(E3678,DATABASE!C:Q,7,false)</f>
        <v>0</v>
      </c>
      <c r="L3678" s="74">
        <v>0.0</v>
      </c>
      <c r="M3678" s="74">
        <f t="shared" si="2"/>
        <v>0</v>
      </c>
      <c r="N3678" s="74">
        <f t="shared" si="3"/>
        <v>120000</v>
      </c>
      <c r="O3678" s="65" t="str">
        <f>VLOOKUP(E3678,DATABASE!C:Q,8,false)</f>
        <v>IBU</v>
      </c>
      <c r="P3678" s="65">
        <f>VLOOKUP(E3678,DATABASE!C:Q,9,False)</f>
        <v>0</v>
      </c>
      <c r="Q3678" s="93" t="str">
        <f>VLOOKUP(E3678,DATABASE!C:Q,4,false)</f>
        <v>SPOORING</v>
      </c>
      <c r="R3678" s="93" t="str">
        <f>VLOOKUP(E3678,DATABASE!C:Q,11,false)</f>
        <v>SERVICE</v>
      </c>
    </row>
    <row r="3679" ht="22.5" customHeight="1">
      <c r="A3679" s="49"/>
      <c r="C3679" s="384">
        <v>45852.0</v>
      </c>
      <c r="D3679" s="65">
        <v>6477.0</v>
      </c>
      <c r="E3679" s="385" t="s">
        <v>299</v>
      </c>
      <c r="F3679" s="386">
        <v>2.0</v>
      </c>
      <c r="G3679" s="74">
        <v>35000.0</v>
      </c>
      <c r="H3679" s="74">
        <v>0.0</v>
      </c>
      <c r="I3679" s="74">
        <f t="shared" si="1"/>
        <v>70000</v>
      </c>
      <c r="J3679" s="74">
        <f>IF(E3679="SERVICE",I3679-(I3679*50%),Vlookup(E3679,DATABASE!C:Q,10,false)*F3679)</f>
        <v>0</v>
      </c>
      <c r="K3679" s="74">
        <v>0.0</v>
      </c>
      <c r="L3679" s="74">
        <v>0.0</v>
      </c>
      <c r="M3679" s="74">
        <f t="shared" si="2"/>
        <v>0</v>
      </c>
      <c r="N3679" s="74">
        <f t="shared" si="3"/>
        <v>70000</v>
      </c>
      <c r="O3679" s="65" t="str">
        <f>VLOOKUP(E3679,DATABASE!C:Q,8,false)</f>
        <v>BIAN</v>
      </c>
      <c r="P3679" s="65">
        <f>VLOOKUP(E3679,DATABASE!C:Q,9,False)</f>
        <v>0</v>
      </c>
      <c r="Q3679" s="93" t="str">
        <f>VLOOKUP(E3679,DATABASE!C:Q,4,false)</f>
        <v>Balancing</v>
      </c>
      <c r="R3679" s="93" t="str">
        <f>VLOOKUP(E3679,DATABASE!C:Q,11,false)</f>
        <v>COMPLEMENTARY</v>
      </c>
    </row>
    <row r="3680" ht="22.5" customHeight="1">
      <c r="A3680" s="49"/>
      <c r="C3680" s="384">
        <v>45852.0</v>
      </c>
      <c r="D3680" s="65">
        <v>6479.0</v>
      </c>
      <c r="E3680" s="445" t="s">
        <v>246</v>
      </c>
      <c r="F3680" s="386">
        <v>2.0</v>
      </c>
      <c r="G3680" s="74">
        <v>35000.0</v>
      </c>
      <c r="H3680" s="74">
        <v>0.0</v>
      </c>
      <c r="I3680" s="74">
        <f t="shared" si="1"/>
        <v>70000</v>
      </c>
      <c r="J3680" s="74">
        <f>IF(E3680="SERVICE",I3680-(I3680*50%),Vlookup(E3680,DATABASE!C:Q,10,false)*F3680)</f>
        <v>0</v>
      </c>
      <c r="K3680" s="74">
        <f>VLOOKUP(E3680,DATABASE!C:Q,7,false)</f>
        <v>0</v>
      </c>
      <c r="L3680" s="74">
        <v>0.0</v>
      </c>
      <c r="M3680" s="74">
        <f t="shared" si="2"/>
        <v>0</v>
      </c>
      <c r="N3680" s="74">
        <f t="shared" si="3"/>
        <v>70000</v>
      </c>
      <c r="O3680" s="65" t="str">
        <f>VLOOKUP(E3680,DATABASE!C:Q,8,false)</f>
        <v>IBU</v>
      </c>
      <c r="P3680" s="65">
        <f>VLOOKUP(E3680,DATABASE!C:Q,9,False)</f>
        <v>0</v>
      </c>
      <c r="Q3680" s="93" t="str">
        <f>VLOOKUP(E3680,DATABASE!C:Q,4,false)</f>
        <v>Bongkar Pasang</v>
      </c>
      <c r="R3680" s="93" t="str">
        <f>VLOOKUP(E3680,DATABASE!C:Q,11,false)</f>
        <v>SERVICE</v>
      </c>
    </row>
    <row r="3681" ht="22.5" customHeight="1">
      <c r="A3681" s="49"/>
      <c r="C3681" s="384">
        <v>45852.0</v>
      </c>
      <c r="D3681" s="65">
        <v>6479.0</v>
      </c>
      <c r="E3681" s="385" t="s">
        <v>299</v>
      </c>
      <c r="F3681" s="386">
        <v>2.0</v>
      </c>
      <c r="G3681" s="74">
        <v>30000.0</v>
      </c>
      <c r="H3681" s="74">
        <v>0.0</v>
      </c>
      <c r="I3681" s="74">
        <f t="shared" si="1"/>
        <v>60000</v>
      </c>
      <c r="J3681" s="74">
        <f>IF(E3681="SERVICE",I3681-(I3681*50%),Vlookup(E3681,DATABASE!C:Q,10,false)*F3681)</f>
        <v>0</v>
      </c>
      <c r="K3681" s="74">
        <v>0.0</v>
      </c>
      <c r="L3681" s="74">
        <v>0.0</v>
      </c>
      <c r="M3681" s="74">
        <f t="shared" si="2"/>
        <v>0</v>
      </c>
      <c r="N3681" s="74">
        <f t="shared" si="3"/>
        <v>60000</v>
      </c>
      <c r="O3681" s="65" t="str">
        <f>VLOOKUP(E3681,DATABASE!C:Q,8,false)</f>
        <v>BIAN</v>
      </c>
      <c r="P3681" s="65">
        <f>VLOOKUP(E3681,DATABASE!C:Q,9,False)</f>
        <v>0</v>
      </c>
      <c r="Q3681" s="93" t="str">
        <f>VLOOKUP(E3681,DATABASE!C:Q,4,false)</f>
        <v>Balancing</v>
      </c>
      <c r="R3681" s="93" t="str">
        <f>VLOOKUP(E3681,DATABASE!C:Q,11,false)</f>
        <v>COMPLEMENTARY</v>
      </c>
    </row>
    <row r="3682" ht="22.5" customHeight="1">
      <c r="A3682" s="49"/>
      <c r="C3682" s="384">
        <v>45852.0</v>
      </c>
      <c r="D3682" s="65">
        <v>6480.0</v>
      </c>
      <c r="E3682" s="385" t="s">
        <v>299</v>
      </c>
      <c r="F3682" s="386">
        <v>2.0</v>
      </c>
      <c r="G3682" s="74">
        <v>30000.0</v>
      </c>
      <c r="H3682" s="74">
        <v>0.0</v>
      </c>
      <c r="I3682" s="74">
        <f t="shared" si="1"/>
        <v>60000</v>
      </c>
      <c r="J3682" s="74">
        <f>IF(E3682="SERVICE",I3682-(I3682*50%),Vlookup(E3682,DATABASE!C:Q,10,false)*F3682)</f>
        <v>0</v>
      </c>
      <c r="K3682" s="74">
        <v>0.0</v>
      </c>
      <c r="L3682" s="74">
        <v>0.0</v>
      </c>
      <c r="M3682" s="74">
        <f t="shared" si="2"/>
        <v>0</v>
      </c>
      <c r="N3682" s="74">
        <f t="shared" si="3"/>
        <v>60000</v>
      </c>
      <c r="O3682" s="65" t="str">
        <f>VLOOKUP(E3682,DATABASE!C:Q,8,false)</f>
        <v>BIAN</v>
      </c>
      <c r="P3682" s="65">
        <f>VLOOKUP(E3682,DATABASE!C:Q,9,False)</f>
        <v>0</v>
      </c>
      <c r="Q3682" s="93" t="str">
        <f>VLOOKUP(E3682,DATABASE!C:Q,4,false)</f>
        <v>Balancing</v>
      </c>
      <c r="R3682" s="93" t="str">
        <f>VLOOKUP(E3682,DATABASE!C:Q,11,false)</f>
        <v>COMPLEMENTARY</v>
      </c>
    </row>
    <row r="3683" ht="22.5" customHeight="1">
      <c r="A3683" s="49"/>
      <c r="C3683" s="384">
        <v>45852.0</v>
      </c>
      <c r="D3683" s="65">
        <v>6481.0</v>
      </c>
      <c r="E3683" s="445" t="s">
        <v>288</v>
      </c>
      <c r="F3683" s="386">
        <v>1.0</v>
      </c>
      <c r="G3683" s="74">
        <v>620000.0</v>
      </c>
      <c r="H3683" s="74">
        <v>0.0</v>
      </c>
      <c r="I3683" s="74">
        <f t="shared" si="1"/>
        <v>620000</v>
      </c>
      <c r="J3683" s="74">
        <f>IF(E3683="SERVICE",I3683-(I3683*50%),Vlookup(E3683,DATABASE!C:Q,10,false)*F3683)</f>
        <v>0</v>
      </c>
      <c r="K3683" s="74">
        <f>VLOOKUP(E3683,DATABASE!C:Q,7,false)</f>
        <v>565760</v>
      </c>
      <c r="L3683" s="74">
        <v>524800.0</v>
      </c>
      <c r="M3683" s="74">
        <f t="shared" si="2"/>
        <v>525000</v>
      </c>
      <c r="N3683" s="74">
        <f t="shared" si="3"/>
        <v>95000</v>
      </c>
      <c r="O3683" s="65" t="str">
        <f>VLOOKUP(E3683,DATABASE!C:Q,8,false)</f>
        <v>BIAN</v>
      </c>
      <c r="P3683" s="65">
        <f>VLOOKUP(E3683,DATABASE!C:Q,9,False)</f>
        <v>1</v>
      </c>
      <c r="Q3683" s="93" t="str">
        <f>VLOOKUP(E3683,DATABASE!C:Q,4,false)</f>
        <v>GT</v>
      </c>
      <c r="R3683" s="93" t="str">
        <f>VLOOKUP(E3683,DATABASE!C:Q,11,false)</f>
        <v>Tire</v>
      </c>
    </row>
    <row r="3684" ht="22.5" customHeight="1">
      <c r="A3684" s="49"/>
      <c r="C3684" s="384">
        <v>45852.0</v>
      </c>
      <c r="D3684" s="65">
        <v>6481.0</v>
      </c>
      <c r="E3684" s="445" t="s">
        <v>246</v>
      </c>
      <c r="F3684" s="386">
        <v>1.0</v>
      </c>
      <c r="G3684" s="74">
        <v>25000.0</v>
      </c>
      <c r="H3684" s="74">
        <v>0.0</v>
      </c>
      <c r="I3684" s="74">
        <f t="shared" si="1"/>
        <v>25000</v>
      </c>
      <c r="J3684" s="74">
        <f>IF(E3684="SERVICE",I3684-(I3684*50%),Vlookup(E3684,DATABASE!C:Q,10,false)*F3684)</f>
        <v>0</v>
      </c>
      <c r="K3684" s="74">
        <f>VLOOKUP(E3684,DATABASE!C:Q,7,false)</f>
        <v>0</v>
      </c>
      <c r="L3684" s="74">
        <v>0.0</v>
      </c>
      <c r="M3684" s="74">
        <f t="shared" si="2"/>
        <v>0</v>
      </c>
      <c r="N3684" s="74">
        <f t="shared" si="3"/>
        <v>25000</v>
      </c>
      <c r="O3684" s="65" t="str">
        <f>VLOOKUP(E3684,DATABASE!C:Q,8,false)</f>
        <v>IBU</v>
      </c>
      <c r="P3684" s="65">
        <f>VLOOKUP(E3684,DATABASE!C:Q,9,False)</f>
        <v>0</v>
      </c>
      <c r="Q3684" s="93" t="str">
        <f>VLOOKUP(E3684,DATABASE!C:Q,4,false)</f>
        <v>Bongkar Pasang</v>
      </c>
      <c r="R3684" s="93" t="str">
        <f>VLOOKUP(E3684,DATABASE!C:Q,11,false)</f>
        <v>SERVICE</v>
      </c>
    </row>
    <row r="3685" ht="22.5" customHeight="1">
      <c r="A3685" s="49"/>
      <c r="C3685" s="384">
        <v>45852.0</v>
      </c>
      <c r="D3685" s="65">
        <v>6482.0</v>
      </c>
      <c r="E3685" s="445" t="s">
        <v>604</v>
      </c>
      <c r="F3685" s="386">
        <v>1.0</v>
      </c>
      <c r="G3685" s="74">
        <v>160000.0</v>
      </c>
      <c r="H3685" s="74">
        <v>0.0</v>
      </c>
      <c r="I3685" s="74">
        <f t="shared" si="1"/>
        <v>160000</v>
      </c>
      <c r="J3685" s="74">
        <f>IF(E3685="SERVICE",I3685-(I3685*50%),Vlookup(E3685,DATABASE!C:Q,10,false)*F3685)</f>
        <v>0</v>
      </c>
      <c r="K3685" s="74">
        <f>VLOOKUP(E3685,DATABASE!C:Q,7,false)</f>
        <v>124000</v>
      </c>
      <c r="L3685" s="74">
        <v>124000.0</v>
      </c>
      <c r="M3685" s="74">
        <f t="shared" si="2"/>
        <v>125000</v>
      </c>
      <c r="N3685" s="74">
        <f t="shared" si="3"/>
        <v>35000</v>
      </c>
      <c r="O3685" s="65" t="str">
        <f>VLOOKUP(E3685,DATABASE!C:Q,8,false)</f>
        <v>BIAN</v>
      </c>
      <c r="P3685" s="65">
        <f>VLOOKUP(E3685,DATABASE!C:Q,9,False)</f>
        <v>1</v>
      </c>
      <c r="Q3685" s="93" t="str">
        <f>VLOOKUP(E3685,DATABASE!C:Q,4,false)</f>
        <v>BD</v>
      </c>
      <c r="R3685" s="93" t="str">
        <f>VLOOKUP(E3685,DATABASE!C:Q,11,false)</f>
        <v>Tire</v>
      </c>
    </row>
    <row r="3686" ht="22.5" customHeight="1">
      <c r="A3686" s="49"/>
      <c r="C3686" s="384">
        <v>45852.0</v>
      </c>
      <c r="D3686" s="65">
        <v>6483.0</v>
      </c>
      <c r="E3686" s="445" t="s">
        <v>2019</v>
      </c>
      <c r="F3686" s="386">
        <v>1.0</v>
      </c>
      <c r="G3686" s="74">
        <v>680000.0</v>
      </c>
      <c r="H3686" s="74">
        <v>0.0</v>
      </c>
      <c r="I3686" s="74">
        <f t="shared" si="1"/>
        <v>680000</v>
      </c>
      <c r="J3686" s="74">
        <f>IF(E3686="SERVICE",I3686-(I3686*50%),Vlookup(E3686,DATABASE!C:Q,10,false)*F3686)</f>
        <v>0</v>
      </c>
      <c r="K3686" s="74">
        <f>VLOOKUP(E3686,DATABASE!C:Q,7,false)</f>
        <v>620000</v>
      </c>
      <c r="L3686" s="74">
        <v>585000.0</v>
      </c>
      <c r="M3686" s="74">
        <f t="shared" si="2"/>
        <v>585000</v>
      </c>
      <c r="N3686" s="74">
        <f t="shared" si="3"/>
        <v>95000</v>
      </c>
      <c r="O3686" s="65" t="str">
        <f>VLOOKUP(E3686,DATABASE!C:Q,8,false)</f>
        <v>BIAN</v>
      </c>
      <c r="P3686" s="65">
        <f>VLOOKUP(E3686,DATABASE!C:Q,9,False)</f>
        <v>1</v>
      </c>
      <c r="Q3686" s="93" t="str">
        <f>VLOOKUP(E3686,DATABASE!C:Q,4,false)</f>
        <v>GT</v>
      </c>
      <c r="R3686" s="93" t="str">
        <f>VLOOKUP(E3686,DATABASE!C:Q,11,false)</f>
        <v>Tire</v>
      </c>
    </row>
    <row r="3687" ht="22.5" customHeight="1">
      <c r="A3687" s="49"/>
      <c r="C3687" s="384">
        <v>45852.0</v>
      </c>
      <c r="D3687" s="65">
        <v>6484.0</v>
      </c>
      <c r="E3687" s="445" t="s">
        <v>591</v>
      </c>
      <c r="F3687" s="386">
        <v>4.0</v>
      </c>
      <c r="G3687" s="74">
        <v>700000.0</v>
      </c>
      <c r="H3687" s="74">
        <v>0.0</v>
      </c>
      <c r="I3687" s="74">
        <f t="shared" si="1"/>
        <v>2800000</v>
      </c>
      <c r="J3687" s="74">
        <f>IF(E3687="SERVICE",I3687-(I3687*50%),Vlookup(E3687,DATABASE!C:Q,10,false)*F3687)</f>
        <v>0</v>
      </c>
      <c r="K3687" s="74">
        <f>VLOOKUP(E3687,DATABASE!C:Q,7,false)</f>
        <v>633035.16</v>
      </c>
      <c r="L3687" s="74">
        <v>593488.4</v>
      </c>
      <c r="M3687" s="74">
        <f t="shared" si="2"/>
        <v>595000</v>
      </c>
      <c r="N3687" s="74">
        <f t="shared" si="3"/>
        <v>420000</v>
      </c>
      <c r="O3687" s="65" t="str">
        <f>VLOOKUP(E3687,DATABASE!C:Q,8,false)</f>
        <v>IBU</v>
      </c>
      <c r="P3687" s="65">
        <f>VLOOKUP(E3687,DATABASE!C:Q,9,False)</f>
        <v>1</v>
      </c>
      <c r="Q3687" s="93" t="str">
        <f>VLOOKUP(E3687,DATABASE!C:Q,4,false)</f>
        <v>Bridgestone</v>
      </c>
      <c r="R3687" s="93" t="str">
        <f>VLOOKUP(E3687,DATABASE!C:Q,11,false)</f>
        <v>Tire</v>
      </c>
    </row>
    <row r="3688" ht="22.5" customHeight="1">
      <c r="A3688" s="49"/>
      <c r="C3688" s="384">
        <v>45852.0</v>
      </c>
      <c r="D3688" s="65">
        <v>6484.0</v>
      </c>
      <c r="E3688" s="385" t="s">
        <v>299</v>
      </c>
      <c r="F3688" s="386">
        <v>2.0</v>
      </c>
      <c r="G3688" s="74">
        <v>30000.0</v>
      </c>
      <c r="H3688" s="74">
        <v>0.0</v>
      </c>
      <c r="I3688" s="74">
        <f t="shared" si="1"/>
        <v>60000</v>
      </c>
      <c r="J3688" s="74">
        <f>IF(E3688="SERVICE",I3688-(I3688*50%),Vlookup(E3688,DATABASE!C:Q,10,false)*F3688)</f>
        <v>0</v>
      </c>
      <c r="K3688" s="74">
        <v>0.0</v>
      </c>
      <c r="L3688" s="74">
        <v>0.0</v>
      </c>
      <c r="M3688" s="74">
        <f t="shared" si="2"/>
        <v>0</v>
      </c>
      <c r="N3688" s="74">
        <f t="shared" si="3"/>
        <v>60000</v>
      </c>
      <c r="O3688" s="65" t="str">
        <f>VLOOKUP(E3688,DATABASE!C:Q,8,false)</f>
        <v>BIAN</v>
      </c>
      <c r="P3688" s="65">
        <f>VLOOKUP(E3688,DATABASE!C:Q,9,False)</f>
        <v>0</v>
      </c>
      <c r="Q3688" s="93" t="str">
        <f>VLOOKUP(E3688,DATABASE!C:Q,4,false)</f>
        <v>Balancing</v>
      </c>
      <c r="R3688" s="93" t="str">
        <f>VLOOKUP(E3688,DATABASE!C:Q,11,false)</f>
        <v>COMPLEMENTARY</v>
      </c>
    </row>
    <row r="3689" ht="22.5" customHeight="1">
      <c r="A3689" s="49"/>
      <c r="C3689" s="384">
        <v>45852.0</v>
      </c>
      <c r="D3689" s="65">
        <v>6484.0</v>
      </c>
      <c r="E3689" s="445" t="s">
        <v>256</v>
      </c>
      <c r="F3689" s="386">
        <v>1.0</v>
      </c>
      <c r="G3689" s="74">
        <v>130000.0</v>
      </c>
      <c r="H3689" s="74">
        <v>0.0</v>
      </c>
      <c r="I3689" s="74">
        <f t="shared" si="1"/>
        <v>130000</v>
      </c>
      <c r="J3689" s="74">
        <f>IF(E3689="SERVICE",I3689-(I3689*50%),Vlookup(E3689,DATABASE!C:Q,10,false)*F3689)</f>
        <v>10000</v>
      </c>
      <c r="K3689" s="74">
        <f>VLOOKUP(E3689,DATABASE!C:Q,7,false)</f>
        <v>0</v>
      </c>
      <c r="L3689" s="74">
        <v>0.0</v>
      </c>
      <c r="M3689" s="74">
        <f t="shared" si="2"/>
        <v>0</v>
      </c>
      <c r="N3689" s="74">
        <f t="shared" si="3"/>
        <v>120000</v>
      </c>
      <c r="O3689" s="65" t="str">
        <f>VLOOKUP(E3689,DATABASE!C:Q,8,false)</f>
        <v>IBU</v>
      </c>
      <c r="P3689" s="65">
        <f>VLOOKUP(E3689,DATABASE!C:Q,9,False)</f>
        <v>0</v>
      </c>
      <c r="Q3689" s="93" t="str">
        <f>VLOOKUP(E3689,DATABASE!C:Q,4,false)</f>
        <v>SPOORING</v>
      </c>
      <c r="R3689" s="93" t="str">
        <f>VLOOKUP(E3689,DATABASE!C:Q,11,false)</f>
        <v>SERVICE</v>
      </c>
    </row>
    <row r="3690" ht="22.5" customHeight="1">
      <c r="A3690" s="49"/>
      <c r="C3690" s="384">
        <v>45852.0</v>
      </c>
      <c r="D3690" s="65">
        <v>6484.0</v>
      </c>
      <c r="E3690" s="445" t="s">
        <v>251</v>
      </c>
      <c r="F3690" s="386">
        <v>1.0</v>
      </c>
      <c r="G3690" s="74">
        <v>150000.0</v>
      </c>
      <c r="H3690" s="74">
        <v>0.0</v>
      </c>
      <c r="I3690" s="74">
        <f t="shared" si="1"/>
        <v>150000</v>
      </c>
      <c r="J3690" s="74">
        <f>IF(E3690="SERVICE",I3690-(I3690*50%),Vlookup(E3690,DATABASE!C:Q,10,false)*F3690)</f>
        <v>75000</v>
      </c>
      <c r="K3690" s="74">
        <f>VLOOKUP(E3690,DATABASE!C:Q,7,false)</f>
        <v>0</v>
      </c>
      <c r="L3690" s="74">
        <v>0.0</v>
      </c>
      <c r="M3690" s="74">
        <f t="shared" si="2"/>
        <v>0</v>
      </c>
      <c r="N3690" s="74">
        <f t="shared" si="3"/>
        <v>75000</v>
      </c>
      <c r="O3690" s="65" t="str">
        <f>VLOOKUP(E3690,DATABASE!C:Q,8,false)</f>
        <v>IBU</v>
      </c>
      <c r="P3690" s="65">
        <f>VLOOKUP(E3690,DATABASE!C:Q,9,False)</f>
        <v>0</v>
      </c>
      <c r="Q3690" s="93" t="str">
        <f>VLOOKUP(E3690,DATABASE!C:Q,4,false)</f>
        <v>SERVICE</v>
      </c>
      <c r="R3690" s="93" t="str">
        <f>VLOOKUP(E3690,DATABASE!C:Q,11,false)</f>
        <v>SERVICE</v>
      </c>
    </row>
    <row r="3691" ht="22.5" customHeight="1">
      <c r="A3691" s="49"/>
      <c r="C3691" s="384">
        <v>45852.0</v>
      </c>
      <c r="D3691" s="65">
        <v>6486.0</v>
      </c>
      <c r="E3691" s="445" t="s">
        <v>972</v>
      </c>
      <c r="F3691" s="386">
        <v>2.0</v>
      </c>
      <c r="G3691" s="74">
        <v>775000.0</v>
      </c>
      <c r="H3691" s="74">
        <v>0.0</v>
      </c>
      <c r="I3691" s="74">
        <f t="shared" si="1"/>
        <v>1550000</v>
      </c>
      <c r="J3691" s="74">
        <f>IF(E3691="SERVICE",I3691-(I3691*50%),Vlookup(E3691,DATABASE!C:Q,10,false)*F3691)</f>
        <v>0</v>
      </c>
      <c r="K3691" s="74">
        <f>VLOOKUP(E3691,DATABASE!C:Q,7,false)</f>
        <v>671104</v>
      </c>
      <c r="L3691" s="74">
        <v>671104.0</v>
      </c>
      <c r="M3691" s="74">
        <f t="shared" si="2"/>
        <v>675000</v>
      </c>
      <c r="N3691" s="74">
        <f t="shared" si="3"/>
        <v>200000</v>
      </c>
      <c r="O3691" s="65" t="str">
        <f>VLOOKUP(E3691,DATABASE!C:Q,8,false)</f>
        <v>IBU</v>
      </c>
      <c r="P3691" s="65">
        <f>VLOOKUP(E3691,DATABASE!C:Q,9,False)</f>
        <v>1</v>
      </c>
      <c r="Q3691" s="93" t="str">
        <f>VLOOKUP(E3691,DATABASE!C:Q,4,false)</f>
        <v>Bridgestone</v>
      </c>
      <c r="R3691" s="93" t="str">
        <f>VLOOKUP(E3691,DATABASE!C:Q,11,false)</f>
        <v>Tire</v>
      </c>
    </row>
    <row r="3692" ht="22.5" customHeight="1">
      <c r="A3692" s="49"/>
      <c r="C3692" s="384">
        <v>45852.0</v>
      </c>
      <c r="D3692" s="65">
        <v>6487.0</v>
      </c>
      <c r="E3692" s="445" t="s">
        <v>268</v>
      </c>
      <c r="F3692" s="386">
        <v>1.0</v>
      </c>
      <c r="G3692" s="74">
        <v>720000.0</v>
      </c>
      <c r="H3692" s="74">
        <v>0.0</v>
      </c>
      <c r="I3692" s="74">
        <f t="shared" si="1"/>
        <v>720000</v>
      </c>
      <c r="J3692" s="74">
        <f>IF(E3692="SERVICE",I3692-(I3692*50%),Vlookup(E3692,DATABASE!C:Q,10,false)*F3692)</f>
        <v>0</v>
      </c>
      <c r="K3692" s="74">
        <f>VLOOKUP(E3692,DATABASE!C:Q,7,false)</f>
        <v>653000</v>
      </c>
      <c r="L3692" s="74">
        <v>622000.0</v>
      </c>
      <c r="M3692" s="74">
        <f t="shared" si="2"/>
        <v>625000</v>
      </c>
      <c r="N3692" s="74">
        <f t="shared" si="3"/>
        <v>95000</v>
      </c>
      <c r="O3692" s="65" t="str">
        <f>VLOOKUP(E3692,DATABASE!C:Q,8,false)</f>
        <v>IBU</v>
      </c>
      <c r="P3692" s="65">
        <f>VLOOKUP(E3692,DATABASE!C:Q,9,False)</f>
        <v>1</v>
      </c>
      <c r="Q3692" s="93" t="str">
        <f>VLOOKUP(E3692,DATABASE!C:Q,4,false)</f>
        <v>Dunlop</v>
      </c>
      <c r="R3692" s="93" t="str">
        <f>VLOOKUP(E3692,DATABASE!C:Q,11,false)</f>
        <v>Tire</v>
      </c>
    </row>
    <row r="3693" ht="22.5" customHeight="1">
      <c r="A3693" s="49"/>
      <c r="C3693" s="384">
        <v>45852.0</v>
      </c>
      <c r="D3693" s="65">
        <v>6488.0</v>
      </c>
      <c r="E3693" s="445" t="s">
        <v>554</v>
      </c>
      <c r="F3693" s="386">
        <v>2.0</v>
      </c>
      <c r="G3693" s="74">
        <v>800000.0</v>
      </c>
      <c r="H3693" s="74">
        <v>0.0</v>
      </c>
      <c r="I3693" s="74">
        <f t="shared" si="1"/>
        <v>1600000</v>
      </c>
      <c r="J3693" s="74">
        <f>IF(E3693="SERVICE",I3693-(I3693*50%),Vlookup(E3693,DATABASE!C:Q,10,false)*F3693)</f>
        <v>0</v>
      </c>
      <c r="K3693" s="74">
        <f>VLOOKUP(E3693,DATABASE!C:Q,7,false)</f>
        <v>710000</v>
      </c>
      <c r="L3693" s="74">
        <v>680000.0</v>
      </c>
      <c r="M3693" s="74">
        <f t="shared" si="2"/>
        <v>680000</v>
      </c>
      <c r="N3693" s="74">
        <f t="shared" si="3"/>
        <v>240000</v>
      </c>
      <c r="O3693" s="65" t="str">
        <f>VLOOKUP(E3693,DATABASE!C:Q,8,false)</f>
        <v>IBU</v>
      </c>
      <c r="P3693" s="65">
        <f>VLOOKUP(E3693,DATABASE!C:Q,9,False)</f>
        <v>1</v>
      </c>
      <c r="Q3693" s="93" t="str">
        <f>VLOOKUP(E3693,DATABASE!C:Q,4,false)</f>
        <v>Bridgestone</v>
      </c>
      <c r="R3693" s="93" t="str">
        <f>VLOOKUP(E3693,DATABASE!C:Q,11,false)</f>
        <v>Tire</v>
      </c>
    </row>
    <row r="3694" ht="22.5" customHeight="1">
      <c r="A3694" s="49"/>
      <c r="C3694" s="384">
        <v>45852.0</v>
      </c>
      <c r="D3694" s="65">
        <v>6578.0</v>
      </c>
      <c r="E3694" s="445" t="s">
        <v>288</v>
      </c>
      <c r="F3694" s="386">
        <v>2.0</v>
      </c>
      <c r="G3694" s="74">
        <v>620000.0</v>
      </c>
      <c r="H3694" s="74">
        <v>0.0</v>
      </c>
      <c r="I3694" s="74">
        <f t="shared" si="1"/>
        <v>1240000</v>
      </c>
      <c r="J3694" s="74">
        <f>IF(E3694="SERVICE",I3694-(I3694*50%),Vlookup(E3694,DATABASE!C:Q,10,false)*F3694)</f>
        <v>0</v>
      </c>
      <c r="K3694" s="74">
        <f>VLOOKUP(E3694,DATABASE!C:Q,7,false)</f>
        <v>565760</v>
      </c>
      <c r="L3694" s="74">
        <v>524800.0</v>
      </c>
      <c r="M3694" s="74">
        <f t="shared" si="2"/>
        <v>525000</v>
      </c>
      <c r="N3694" s="74">
        <f t="shared" si="3"/>
        <v>190000</v>
      </c>
      <c r="O3694" s="65" t="str">
        <f>VLOOKUP(E3694,DATABASE!C:Q,8,false)</f>
        <v>BIAN</v>
      </c>
      <c r="P3694" s="65">
        <f>VLOOKUP(E3694,DATABASE!C:Q,9,False)</f>
        <v>1</v>
      </c>
      <c r="Q3694" s="93" t="str">
        <f>VLOOKUP(E3694,DATABASE!C:Q,4,false)</f>
        <v>GT</v>
      </c>
      <c r="R3694" s="93" t="str">
        <f>VLOOKUP(E3694,DATABASE!C:Q,11,false)</f>
        <v>Tire</v>
      </c>
    </row>
    <row r="3695" ht="22.5" customHeight="1">
      <c r="A3695" s="49"/>
      <c r="C3695" s="384">
        <v>45853.0</v>
      </c>
      <c r="D3695" s="65">
        <v>6490.0</v>
      </c>
      <c r="E3695" s="445" t="s">
        <v>569</v>
      </c>
      <c r="F3695" s="386">
        <v>2.0</v>
      </c>
      <c r="G3695" s="74">
        <v>80000.0</v>
      </c>
      <c r="H3695" s="74">
        <v>0.0</v>
      </c>
      <c r="I3695" s="74">
        <f t="shared" si="1"/>
        <v>160000</v>
      </c>
      <c r="J3695" s="74">
        <f>IF(E3695="SERVICE",I3695-(I3695*50%),Vlookup(E3695,DATABASE!C:Q,10,false)*F3695)</f>
        <v>0</v>
      </c>
      <c r="K3695" s="74">
        <f>VLOOKUP(E3695,DATABASE!C:Q,7,false)</f>
        <v>45439.582</v>
      </c>
      <c r="L3695" s="74">
        <v>45309.6</v>
      </c>
      <c r="M3695" s="74">
        <f t="shared" si="2"/>
        <v>50000</v>
      </c>
      <c r="N3695" s="74">
        <f t="shared" si="3"/>
        <v>60000</v>
      </c>
      <c r="O3695" s="65" t="str">
        <f>VLOOKUP(E3695,DATABASE!C:Q,8,false)</f>
        <v>BIAN</v>
      </c>
      <c r="P3695" s="65">
        <f>VLOOKUP(E3695,DATABASE!C:Q,9,False)</f>
        <v>1</v>
      </c>
      <c r="Q3695" s="93" t="str">
        <f>VLOOKUP(E3695,DATABASE!C:Q,4,false)</f>
        <v>BD</v>
      </c>
      <c r="R3695" s="93" t="str">
        <f>VLOOKUP(E3695,DATABASE!C:Q,11,false)</f>
        <v>Tire</v>
      </c>
    </row>
    <row r="3696" ht="22.5" customHeight="1">
      <c r="A3696" s="49"/>
      <c r="C3696" s="384">
        <v>45853.0</v>
      </c>
      <c r="D3696" s="65">
        <v>6491.0</v>
      </c>
      <c r="E3696" s="445" t="s">
        <v>265</v>
      </c>
      <c r="F3696" s="386">
        <v>3.0</v>
      </c>
      <c r="G3696" s="74">
        <v>700000.0</v>
      </c>
      <c r="H3696" s="74">
        <v>0.0</v>
      </c>
      <c r="I3696" s="74">
        <f t="shared" si="1"/>
        <v>2100000</v>
      </c>
      <c r="J3696" s="74">
        <f>IF(E3696="SERVICE",I3696-(I3696*50%),Vlookup(E3696,DATABASE!C:Q,10,false)*F3696)</f>
        <v>0</v>
      </c>
      <c r="K3696" s="74">
        <f>VLOOKUP(E3696,DATABASE!C:Q,7,false)</f>
        <v>628000</v>
      </c>
      <c r="L3696" s="74">
        <v>610000.0</v>
      </c>
      <c r="M3696" s="74">
        <f t="shared" si="2"/>
        <v>610000</v>
      </c>
      <c r="N3696" s="74">
        <f t="shared" si="3"/>
        <v>270000</v>
      </c>
      <c r="O3696" s="65" t="str">
        <f>VLOOKUP(E3696,DATABASE!C:Q,8,false)</f>
        <v>IBU</v>
      </c>
      <c r="P3696" s="65">
        <f>VLOOKUP(E3696,DATABASE!C:Q,9,False)</f>
        <v>1</v>
      </c>
      <c r="Q3696" s="93" t="str">
        <f>VLOOKUP(E3696,DATABASE!C:Q,4,false)</f>
        <v>Dunlop</v>
      </c>
      <c r="R3696" s="93" t="str">
        <f>VLOOKUP(E3696,DATABASE!C:Q,11,false)</f>
        <v>Tire</v>
      </c>
    </row>
    <row r="3697" ht="22.5" customHeight="1">
      <c r="A3697" s="49"/>
      <c r="C3697" s="384">
        <v>45853.0</v>
      </c>
      <c r="D3697" s="65">
        <v>6492.0</v>
      </c>
      <c r="E3697" s="445" t="s">
        <v>955</v>
      </c>
      <c r="F3697" s="386">
        <v>2.0</v>
      </c>
      <c r="G3697" s="74">
        <v>780000.0</v>
      </c>
      <c r="H3697" s="74">
        <v>0.0</v>
      </c>
      <c r="I3697" s="74">
        <f t="shared" si="1"/>
        <v>1560000</v>
      </c>
      <c r="J3697" s="74">
        <f>IF(E3697="SERVICE",I3697-(I3697*50%),Vlookup(E3697,DATABASE!C:Q,10,false)*F3697)</f>
        <v>0</v>
      </c>
      <c r="K3697" s="74">
        <f>VLOOKUP(E3697,DATABASE!C:Q,7,false)</f>
        <v>712000</v>
      </c>
      <c r="L3697" s="74">
        <v>674000.0</v>
      </c>
      <c r="M3697" s="74">
        <f t="shared" si="2"/>
        <v>675000</v>
      </c>
      <c r="N3697" s="74">
        <f t="shared" si="3"/>
        <v>210000</v>
      </c>
      <c r="O3697" s="65" t="str">
        <f>VLOOKUP(E3697,DATABASE!C:Q,8,false)</f>
        <v>IBU</v>
      </c>
      <c r="P3697" s="65">
        <f>VLOOKUP(E3697,DATABASE!C:Q,9,False)</f>
        <v>1</v>
      </c>
      <c r="Q3697" s="93" t="str">
        <f>VLOOKUP(E3697,DATABASE!C:Q,4,false)</f>
        <v>Dunlop</v>
      </c>
      <c r="R3697" s="93" t="str">
        <f>VLOOKUP(E3697,DATABASE!C:Q,11,false)</f>
        <v>Tire</v>
      </c>
    </row>
    <row r="3698" ht="22.5" customHeight="1">
      <c r="A3698" s="49"/>
      <c r="C3698" s="384">
        <v>45853.0</v>
      </c>
      <c r="D3698" s="65">
        <v>6493.0</v>
      </c>
      <c r="E3698" s="445" t="s">
        <v>265</v>
      </c>
      <c r="F3698" s="386">
        <v>1.0</v>
      </c>
      <c r="G3698" s="74">
        <v>700000.0</v>
      </c>
      <c r="H3698" s="74">
        <v>0.0</v>
      </c>
      <c r="I3698" s="74">
        <f t="shared" si="1"/>
        <v>700000</v>
      </c>
      <c r="J3698" s="74">
        <f>IF(E3698="SERVICE",I3698-(I3698*50%),Vlookup(E3698,DATABASE!C:Q,10,false)*F3698)</f>
        <v>0</v>
      </c>
      <c r="K3698" s="74">
        <f>VLOOKUP(E3698,DATABASE!C:Q,7,false)</f>
        <v>628000</v>
      </c>
      <c r="L3698" s="74">
        <v>610000.0</v>
      </c>
      <c r="M3698" s="74">
        <f t="shared" si="2"/>
        <v>610000</v>
      </c>
      <c r="N3698" s="74">
        <f t="shared" si="3"/>
        <v>90000</v>
      </c>
      <c r="O3698" s="65" t="str">
        <f>VLOOKUP(E3698,DATABASE!C:Q,8,false)</f>
        <v>IBU</v>
      </c>
      <c r="P3698" s="65">
        <f>VLOOKUP(E3698,DATABASE!C:Q,9,False)</f>
        <v>1</v>
      </c>
      <c r="Q3698" s="93" t="str">
        <f>VLOOKUP(E3698,DATABASE!C:Q,4,false)</f>
        <v>Dunlop</v>
      </c>
      <c r="R3698" s="93" t="str">
        <f>VLOOKUP(E3698,DATABASE!C:Q,11,false)</f>
        <v>Tire</v>
      </c>
    </row>
    <row r="3699" ht="22.5" customHeight="1">
      <c r="A3699" s="49"/>
      <c r="C3699" s="384">
        <v>45853.0</v>
      </c>
      <c r="D3699" s="65">
        <v>6495.0</v>
      </c>
      <c r="E3699" s="445" t="s">
        <v>268</v>
      </c>
      <c r="F3699" s="386">
        <v>1.0</v>
      </c>
      <c r="G3699" s="74">
        <v>720000.0</v>
      </c>
      <c r="H3699" s="74">
        <v>0.0</v>
      </c>
      <c r="I3699" s="74">
        <f t="shared" si="1"/>
        <v>720000</v>
      </c>
      <c r="J3699" s="74">
        <f>IF(E3699="SERVICE",I3699-(I3699*50%),Vlookup(E3699,DATABASE!C:Q,10,false)*F3699)</f>
        <v>0</v>
      </c>
      <c r="K3699" s="74">
        <f>VLOOKUP(E3699,DATABASE!C:Q,7,false)</f>
        <v>653000</v>
      </c>
      <c r="L3699" s="74">
        <v>622000.0</v>
      </c>
      <c r="M3699" s="74">
        <f t="shared" si="2"/>
        <v>625000</v>
      </c>
      <c r="N3699" s="74">
        <f t="shared" si="3"/>
        <v>95000</v>
      </c>
      <c r="O3699" s="65" t="str">
        <f>VLOOKUP(E3699,DATABASE!C:Q,8,false)</f>
        <v>IBU</v>
      </c>
      <c r="P3699" s="65">
        <f>VLOOKUP(E3699,DATABASE!C:Q,9,False)</f>
        <v>1</v>
      </c>
      <c r="Q3699" s="93" t="str">
        <f>VLOOKUP(E3699,DATABASE!C:Q,4,false)</f>
        <v>Dunlop</v>
      </c>
      <c r="R3699" s="93" t="str">
        <f>VLOOKUP(E3699,DATABASE!C:Q,11,false)</f>
        <v>Tire</v>
      </c>
    </row>
    <row r="3700" ht="22.5" customHeight="1">
      <c r="A3700" s="49"/>
      <c r="C3700" s="384">
        <v>45853.0</v>
      </c>
      <c r="D3700" s="65">
        <v>6496.0</v>
      </c>
      <c r="E3700" s="445" t="s">
        <v>1807</v>
      </c>
      <c r="F3700" s="386">
        <v>1.0</v>
      </c>
      <c r="G3700" s="74">
        <v>585000.0</v>
      </c>
      <c r="H3700" s="74">
        <v>0.0</v>
      </c>
      <c r="I3700" s="74">
        <f t="shared" si="1"/>
        <v>585000</v>
      </c>
      <c r="J3700" s="74">
        <f>IF(E3700="SERVICE",I3700-(I3700*50%),Vlookup(E3700,DATABASE!C:Q,10,false)*F3700)</f>
        <v>0</v>
      </c>
      <c r="K3700" s="74">
        <f>VLOOKUP(E3700,DATABASE!C:Q,7,false)</f>
        <v>473000</v>
      </c>
      <c r="L3700" s="74">
        <v>473000.0</v>
      </c>
      <c r="M3700" s="74">
        <f t="shared" si="2"/>
        <v>475000</v>
      </c>
      <c r="N3700" s="74">
        <f t="shared" si="3"/>
        <v>110000</v>
      </c>
      <c r="O3700" s="65" t="str">
        <f>VLOOKUP(E3700,DATABASE!C:Q,8,false)</f>
        <v>BIAN</v>
      </c>
      <c r="P3700" s="65">
        <f>VLOOKUP(E3700,DATABASE!C:Q,9,False)</f>
        <v>1</v>
      </c>
      <c r="Q3700" s="93" t="str">
        <f>VLOOKUP(E3700,DATABASE!C:Q,4,false)</f>
        <v>G. YEAR</v>
      </c>
      <c r="R3700" s="93" t="str">
        <f>VLOOKUP(E3700,DATABASE!C:Q,11,false)</f>
        <v>Tire</v>
      </c>
    </row>
    <row r="3701" ht="22.5" customHeight="1">
      <c r="A3701" s="49"/>
      <c r="C3701" s="384">
        <v>45853.0</v>
      </c>
      <c r="D3701" s="65">
        <v>6497.0</v>
      </c>
      <c r="E3701" s="445" t="s">
        <v>1507</v>
      </c>
      <c r="F3701" s="386">
        <v>1.0</v>
      </c>
      <c r="G3701" s="74">
        <v>740000.0</v>
      </c>
      <c r="H3701" s="74">
        <v>0.0</v>
      </c>
      <c r="I3701" s="74">
        <f t="shared" si="1"/>
        <v>740000</v>
      </c>
      <c r="J3701" s="74">
        <f>IF(E3701="SERVICE",I3701-(I3701*50%),Vlookup(E3701,DATABASE!C:Q,10,false)*F3701)</f>
        <v>0</v>
      </c>
      <c r="K3701" s="74">
        <f>VLOOKUP(E3701,DATABASE!C:Q,7,false)</f>
        <v>638500</v>
      </c>
      <c r="L3701" s="74">
        <v>638500.0</v>
      </c>
      <c r="M3701" s="74">
        <f t="shared" si="2"/>
        <v>640000</v>
      </c>
      <c r="N3701" s="74">
        <f t="shared" si="3"/>
        <v>100000</v>
      </c>
      <c r="O3701" s="65" t="str">
        <f>VLOOKUP(E3701,DATABASE!C:Q,8,false)</f>
        <v>IBU</v>
      </c>
      <c r="P3701" s="65">
        <f>VLOOKUP(E3701,DATABASE!C:Q,9,False)</f>
        <v>1</v>
      </c>
      <c r="Q3701" s="93" t="str">
        <f>VLOOKUP(E3701,DATABASE!C:Q,4,false)</f>
        <v>Dunlop</v>
      </c>
      <c r="R3701" s="93" t="str">
        <f>VLOOKUP(E3701,DATABASE!C:Q,11,false)</f>
        <v>Tire</v>
      </c>
    </row>
    <row r="3702" ht="22.5" customHeight="1">
      <c r="A3702" s="49"/>
      <c r="C3702" s="384">
        <v>45853.0</v>
      </c>
      <c r="D3702" s="65">
        <v>6497.0</v>
      </c>
      <c r="E3702" s="445" t="s">
        <v>483</v>
      </c>
      <c r="F3702" s="386">
        <v>5.0</v>
      </c>
      <c r="G3702" s="74">
        <v>10000.0</v>
      </c>
      <c r="H3702" s="74">
        <v>0.0</v>
      </c>
      <c r="I3702" s="74">
        <f t="shared" si="1"/>
        <v>50000</v>
      </c>
      <c r="J3702" s="74">
        <f>IF(E3702="SERVICE",I3702-(I3702*50%),Vlookup(E3702,DATABASE!C:Q,10,false)*F3702)</f>
        <v>0</v>
      </c>
      <c r="K3702" s="74">
        <f>VLOOKUP(E3702,DATABASE!C:Q,7,false)</f>
        <v>10000</v>
      </c>
      <c r="L3702" s="74">
        <v>10000.0</v>
      </c>
      <c r="M3702" s="74">
        <f t="shared" si="2"/>
        <v>10000</v>
      </c>
      <c r="N3702" s="74">
        <f t="shared" si="3"/>
        <v>0</v>
      </c>
      <c r="O3702" s="65" t="str">
        <f>VLOOKUP(E3702,DATABASE!C:Q,8,false)</f>
        <v>IBU</v>
      </c>
      <c r="P3702" s="65">
        <f>VLOOKUP(E3702,DATABASE!C:Q,9,False)</f>
        <v>0</v>
      </c>
      <c r="Q3702" s="93" t="str">
        <f>VLOOKUP(E3702,DATABASE!C:Q,4,false)</f>
        <v>Baut</v>
      </c>
      <c r="R3702" s="93" t="str">
        <f>VLOOKUP(E3702,DATABASE!C:Q,11,false)</f>
        <v>COMPLEMENTARY</v>
      </c>
    </row>
    <row r="3703" ht="22.5" customHeight="1">
      <c r="A3703" s="49"/>
      <c r="C3703" s="384">
        <v>45853.0</v>
      </c>
      <c r="D3703" s="65">
        <v>6499.0</v>
      </c>
      <c r="E3703" s="445" t="s">
        <v>268</v>
      </c>
      <c r="F3703" s="386">
        <v>1.0</v>
      </c>
      <c r="G3703" s="74">
        <v>720000.0</v>
      </c>
      <c r="H3703" s="74">
        <v>0.0</v>
      </c>
      <c r="I3703" s="74">
        <f t="shared" si="1"/>
        <v>720000</v>
      </c>
      <c r="J3703" s="74">
        <f>IF(E3703="SERVICE",I3703-(I3703*50%),Vlookup(E3703,DATABASE!C:Q,10,false)*F3703)</f>
        <v>0</v>
      </c>
      <c r="K3703" s="74">
        <f>VLOOKUP(E3703,DATABASE!C:Q,7,false)</f>
        <v>653000</v>
      </c>
      <c r="L3703" s="74">
        <v>622000.0</v>
      </c>
      <c r="M3703" s="74">
        <f t="shared" si="2"/>
        <v>625000</v>
      </c>
      <c r="N3703" s="74">
        <f t="shared" si="3"/>
        <v>95000</v>
      </c>
      <c r="O3703" s="65" t="str">
        <f>VLOOKUP(E3703,DATABASE!C:Q,8,false)</f>
        <v>IBU</v>
      </c>
      <c r="P3703" s="65">
        <f>VLOOKUP(E3703,DATABASE!C:Q,9,False)</f>
        <v>1</v>
      </c>
      <c r="Q3703" s="93" t="str">
        <f>VLOOKUP(E3703,DATABASE!C:Q,4,false)</f>
        <v>Dunlop</v>
      </c>
      <c r="R3703" s="93" t="str">
        <f>VLOOKUP(E3703,DATABASE!C:Q,11,false)</f>
        <v>Tire</v>
      </c>
    </row>
    <row r="3704" ht="22.5" customHeight="1">
      <c r="A3704" s="49"/>
      <c r="C3704" s="384">
        <v>45853.0</v>
      </c>
      <c r="D3704" s="65">
        <v>6500.0</v>
      </c>
      <c r="E3704" s="445" t="s">
        <v>250</v>
      </c>
      <c r="F3704" s="386">
        <v>1.0</v>
      </c>
      <c r="G3704" s="74">
        <v>130000.0</v>
      </c>
      <c r="H3704" s="74">
        <v>0.0</v>
      </c>
      <c r="I3704" s="74">
        <f t="shared" si="1"/>
        <v>130000</v>
      </c>
      <c r="J3704" s="74">
        <f>IF(E3704="SERVICE",I3704-(I3704*50%),Vlookup(E3704,DATABASE!C:Q,10,false)*F3704)</f>
        <v>0</v>
      </c>
      <c r="K3704" s="74">
        <f>VLOOKUP(E3704,DATABASE!C:Q,7,false)</f>
        <v>102000</v>
      </c>
      <c r="L3704" s="74">
        <v>102000.0</v>
      </c>
      <c r="M3704" s="74">
        <f t="shared" si="2"/>
        <v>105000</v>
      </c>
      <c r="N3704" s="74">
        <f t="shared" si="3"/>
        <v>25000</v>
      </c>
      <c r="O3704" s="65" t="str">
        <f>VLOOKUP(E3704,DATABASE!C:Q,8,false)</f>
        <v>BIAN</v>
      </c>
      <c r="P3704" s="65">
        <f>VLOOKUP(E3704,DATABASE!C:Q,9,False)</f>
        <v>1</v>
      </c>
      <c r="Q3704" s="93" t="str">
        <f>VLOOKUP(E3704,DATABASE!C:Q,4,false)</f>
        <v>BD</v>
      </c>
      <c r="R3704" s="93" t="str">
        <f>VLOOKUP(E3704,DATABASE!C:Q,11,false)</f>
        <v>Tire</v>
      </c>
    </row>
    <row r="3705" ht="22.5" customHeight="1">
      <c r="A3705" s="49"/>
      <c r="C3705" s="384">
        <v>45853.0</v>
      </c>
      <c r="D3705" s="65">
        <v>6501.0</v>
      </c>
      <c r="E3705" s="445" t="s">
        <v>268</v>
      </c>
      <c r="F3705" s="386">
        <v>1.0</v>
      </c>
      <c r="G3705" s="74">
        <v>720000.0</v>
      </c>
      <c r="H3705" s="74">
        <v>0.0</v>
      </c>
      <c r="I3705" s="74">
        <f t="shared" si="1"/>
        <v>720000</v>
      </c>
      <c r="J3705" s="74">
        <f>IF(E3705="SERVICE",I3705-(I3705*50%),Vlookup(E3705,DATABASE!C:Q,10,false)*F3705)</f>
        <v>0</v>
      </c>
      <c r="K3705" s="74">
        <f>VLOOKUP(E3705,DATABASE!C:Q,7,false)</f>
        <v>653000</v>
      </c>
      <c r="L3705" s="74">
        <v>622000.0</v>
      </c>
      <c r="M3705" s="74">
        <f t="shared" si="2"/>
        <v>625000</v>
      </c>
      <c r="N3705" s="74">
        <f t="shared" si="3"/>
        <v>95000</v>
      </c>
      <c r="O3705" s="65" t="str">
        <f>VLOOKUP(E3705,DATABASE!C:Q,8,false)</f>
        <v>IBU</v>
      </c>
      <c r="P3705" s="65">
        <f>VLOOKUP(E3705,DATABASE!C:Q,9,False)</f>
        <v>1</v>
      </c>
      <c r="Q3705" s="93" t="str">
        <f>VLOOKUP(E3705,DATABASE!C:Q,4,false)</f>
        <v>Dunlop</v>
      </c>
      <c r="R3705" s="93" t="str">
        <f>VLOOKUP(E3705,DATABASE!C:Q,11,false)</f>
        <v>Tire</v>
      </c>
    </row>
    <row r="3706" ht="22.5" customHeight="1">
      <c r="A3706" s="49"/>
      <c r="C3706" s="384">
        <v>45853.0</v>
      </c>
      <c r="D3706" s="65">
        <v>6502.0</v>
      </c>
      <c r="E3706" s="445" t="s">
        <v>265</v>
      </c>
      <c r="F3706" s="386">
        <v>2.0</v>
      </c>
      <c r="G3706" s="74">
        <v>700000.0</v>
      </c>
      <c r="H3706" s="74">
        <v>0.0</v>
      </c>
      <c r="I3706" s="74">
        <f t="shared" si="1"/>
        <v>1400000</v>
      </c>
      <c r="J3706" s="74">
        <f>IF(E3706="SERVICE",I3706-(I3706*50%),Vlookup(E3706,DATABASE!C:Q,10,false)*F3706)</f>
        <v>0</v>
      </c>
      <c r="K3706" s="74">
        <f>VLOOKUP(E3706,DATABASE!C:Q,7,false)</f>
        <v>628000</v>
      </c>
      <c r="L3706" s="74">
        <v>610000.0</v>
      </c>
      <c r="M3706" s="74">
        <f t="shared" si="2"/>
        <v>610000</v>
      </c>
      <c r="N3706" s="74">
        <f t="shared" si="3"/>
        <v>180000</v>
      </c>
      <c r="O3706" s="65" t="str">
        <f>VLOOKUP(E3706,DATABASE!C:Q,8,false)</f>
        <v>IBU</v>
      </c>
      <c r="P3706" s="65">
        <f>VLOOKUP(E3706,DATABASE!C:Q,9,False)</f>
        <v>1</v>
      </c>
      <c r="Q3706" s="93" t="str">
        <f>VLOOKUP(E3706,DATABASE!C:Q,4,false)</f>
        <v>Dunlop</v>
      </c>
      <c r="R3706" s="93" t="str">
        <f>VLOOKUP(E3706,DATABASE!C:Q,11,false)</f>
        <v>Tire</v>
      </c>
    </row>
    <row r="3707" ht="22.5" customHeight="1">
      <c r="A3707" s="49"/>
      <c r="C3707" s="384">
        <v>45853.0</v>
      </c>
      <c r="D3707" s="65">
        <v>6503.0</v>
      </c>
      <c r="E3707" s="445" t="s">
        <v>569</v>
      </c>
      <c r="F3707" s="386">
        <v>1.0</v>
      </c>
      <c r="G3707" s="74">
        <v>80000.0</v>
      </c>
      <c r="H3707" s="74">
        <v>0.0</v>
      </c>
      <c r="I3707" s="74">
        <f t="shared" si="1"/>
        <v>80000</v>
      </c>
      <c r="J3707" s="74">
        <f>IF(E3707="SERVICE",I3707-(I3707*50%),Vlookup(E3707,DATABASE!C:Q,10,false)*F3707)</f>
        <v>0</v>
      </c>
      <c r="K3707" s="74">
        <f>VLOOKUP(E3707,DATABASE!C:Q,7,false)</f>
        <v>45439.582</v>
      </c>
      <c r="L3707" s="74">
        <v>45309.6</v>
      </c>
      <c r="M3707" s="74">
        <f t="shared" si="2"/>
        <v>50000</v>
      </c>
      <c r="N3707" s="74">
        <f t="shared" si="3"/>
        <v>30000</v>
      </c>
      <c r="O3707" s="65" t="str">
        <f>VLOOKUP(E3707,DATABASE!C:Q,8,false)</f>
        <v>BIAN</v>
      </c>
      <c r="P3707" s="65">
        <f>VLOOKUP(E3707,DATABASE!C:Q,9,False)</f>
        <v>1</v>
      </c>
      <c r="Q3707" s="93" t="str">
        <f>VLOOKUP(E3707,DATABASE!C:Q,4,false)</f>
        <v>BD</v>
      </c>
      <c r="R3707" s="93" t="str">
        <f>VLOOKUP(E3707,DATABASE!C:Q,11,false)</f>
        <v>Tire</v>
      </c>
    </row>
    <row r="3708" ht="22.5" customHeight="1">
      <c r="A3708" s="49"/>
      <c r="C3708" s="384">
        <v>45853.0</v>
      </c>
      <c r="D3708" s="65">
        <v>6504.0</v>
      </c>
      <c r="E3708" s="445" t="s">
        <v>246</v>
      </c>
      <c r="F3708" s="386">
        <v>1.0</v>
      </c>
      <c r="G3708" s="74">
        <v>25000.0</v>
      </c>
      <c r="H3708" s="74">
        <v>0.0</v>
      </c>
      <c r="I3708" s="74">
        <f t="shared" si="1"/>
        <v>25000</v>
      </c>
      <c r="J3708" s="74">
        <f>IF(E3708="SERVICE",I3708-(I3708*50%),Vlookup(E3708,DATABASE!C:Q,10,false)*F3708)</f>
        <v>0</v>
      </c>
      <c r="K3708" s="74">
        <f>VLOOKUP(E3708,DATABASE!C:Q,7,false)</f>
        <v>0</v>
      </c>
      <c r="L3708" s="74">
        <v>0.0</v>
      </c>
      <c r="M3708" s="74">
        <f t="shared" si="2"/>
        <v>0</v>
      </c>
      <c r="N3708" s="74">
        <f t="shared" si="3"/>
        <v>25000</v>
      </c>
      <c r="O3708" s="65" t="str">
        <f>VLOOKUP(E3708,DATABASE!C:Q,8,false)</f>
        <v>IBU</v>
      </c>
      <c r="P3708" s="65">
        <f>VLOOKUP(E3708,DATABASE!C:Q,9,False)</f>
        <v>0</v>
      </c>
      <c r="Q3708" s="93" t="str">
        <f>VLOOKUP(E3708,DATABASE!C:Q,4,false)</f>
        <v>Bongkar Pasang</v>
      </c>
      <c r="R3708" s="93" t="str">
        <f>VLOOKUP(E3708,DATABASE!C:Q,11,false)</f>
        <v>SERVICE</v>
      </c>
    </row>
    <row r="3709" ht="22.5" customHeight="1">
      <c r="A3709" s="49"/>
      <c r="C3709" s="384">
        <v>45853.0</v>
      </c>
      <c r="D3709" s="65">
        <v>6505.0</v>
      </c>
      <c r="E3709" s="445" t="s">
        <v>1940</v>
      </c>
      <c r="F3709" s="386">
        <v>2.0</v>
      </c>
      <c r="G3709" s="74">
        <v>820000.0</v>
      </c>
      <c r="H3709" s="74">
        <v>0.0</v>
      </c>
      <c r="I3709" s="74">
        <f t="shared" si="1"/>
        <v>1640000</v>
      </c>
      <c r="J3709" s="74">
        <f>IF(E3709="SERVICE",I3709-(I3709*50%),Vlookup(E3709,DATABASE!C:Q,10,false)*F3709)</f>
        <v>0</v>
      </c>
      <c r="K3709" s="74">
        <f>VLOOKUP(E3709,DATABASE!C:Q,7,false)</f>
        <v>775500</v>
      </c>
      <c r="L3709" s="74">
        <v>716940.0</v>
      </c>
      <c r="M3709" s="74">
        <f t="shared" si="2"/>
        <v>720000</v>
      </c>
      <c r="N3709" s="74">
        <f t="shared" si="3"/>
        <v>200000</v>
      </c>
      <c r="O3709" s="65" t="str">
        <f>VLOOKUP(E3709,DATABASE!C:Q,8,false)</f>
        <v>BIAN</v>
      </c>
      <c r="P3709" s="65">
        <f>VLOOKUP(E3709,DATABASE!C:Q,9,False)</f>
        <v>1</v>
      </c>
      <c r="Q3709" s="93" t="str">
        <f>VLOOKUP(E3709,DATABASE!C:Q,4,false)</f>
        <v>GT</v>
      </c>
      <c r="R3709" s="93" t="str">
        <f>VLOOKUP(E3709,DATABASE!C:Q,11,false)</f>
        <v>Tire</v>
      </c>
    </row>
    <row r="3710" ht="22.5" customHeight="1">
      <c r="A3710" s="49"/>
      <c r="C3710" s="384">
        <v>45853.0</v>
      </c>
      <c r="D3710" s="65">
        <v>6506.0</v>
      </c>
      <c r="E3710" s="445" t="s">
        <v>256</v>
      </c>
      <c r="F3710" s="386">
        <v>1.0</v>
      </c>
      <c r="G3710" s="74">
        <v>130000.0</v>
      </c>
      <c r="H3710" s="74">
        <v>0.0</v>
      </c>
      <c r="I3710" s="74">
        <f t="shared" si="1"/>
        <v>130000</v>
      </c>
      <c r="J3710" s="74">
        <f>IF(E3710="SERVICE",I3710-(I3710*50%),Vlookup(E3710,DATABASE!C:Q,10,false)*F3710)</f>
        <v>10000</v>
      </c>
      <c r="K3710" s="74">
        <f>VLOOKUP(E3710,DATABASE!C:Q,7,false)</f>
        <v>0</v>
      </c>
      <c r="L3710" s="74">
        <v>0.0</v>
      </c>
      <c r="M3710" s="74">
        <f t="shared" si="2"/>
        <v>0</v>
      </c>
      <c r="N3710" s="74">
        <f t="shared" si="3"/>
        <v>120000</v>
      </c>
      <c r="O3710" s="65" t="str">
        <f>VLOOKUP(E3710,DATABASE!C:Q,8,false)</f>
        <v>IBU</v>
      </c>
      <c r="P3710" s="65">
        <f>VLOOKUP(E3710,DATABASE!C:Q,9,False)</f>
        <v>0</v>
      </c>
      <c r="Q3710" s="93" t="str">
        <f>VLOOKUP(E3710,DATABASE!C:Q,4,false)</f>
        <v>SPOORING</v>
      </c>
      <c r="R3710" s="93" t="str">
        <f>VLOOKUP(E3710,DATABASE!C:Q,11,false)</f>
        <v>SERVICE</v>
      </c>
    </row>
    <row r="3711" ht="22.5" customHeight="1">
      <c r="A3711" s="49"/>
      <c r="C3711" s="384">
        <v>45853.0</v>
      </c>
      <c r="D3711" s="65">
        <v>6506.0</v>
      </c>
      <c r="E3711" s="385" t="s">
        <v>299</v>
      </c>
      <c r="F3711" s="386">
        <v>2.0</v>
      </c>
      <c r="G3711" s="74">
        <v>30000.0</v>
      </c>
      <c r="H3711" s="74">
        <v>0.0</v>
      </c>
      <c r="I3711" s="74">
        <f t="shared" si="1"/>
        <v>60000</v>
      </c>
      <c r="J3711" s="74">
        <f>IF(E3711="SERVICE",I3711-(I3711*50%),Vlookup(E3711,DATABASE!C:Q,10,false)*F3711)</f>
        <v>0</v>
      </c>
      <c r="K3711" s="74">
        <v>0.0</v>
      </c>
      <c r="L3711" s="74">
        <v>0.0</v>
      </c>
      <c r="M3711" s="74">
        <f t="shared" si="2"/>
        <v>0</v>
      </c>
      <c r="N3711" s="74">
        <f t="shared" si="3"/>
        <v>60000</v>
      </c>
      <c r="O3711" s="65" t="str">
        <f>VLOOKUP(E3711,DATABASE!C:Q,8,false)</f>
        <v>BIAN</v>
      </c>
      <c r="P3711" s="65">
        <f>VLOOKUP(E3711,DATABASE!C:Q,9,False)</f>
        <v>0</v>
      </c>
      <c r="Q3711" s="93" t="str">
        <f>VLOOKUP(E3711,DATABASE!C:Q,4,false)</f>
        <v>Balancing</v>
      </c>
      <c r="R3711" s="93" t="str">
        <f>VLOOKUP(E3711,DATABASE!C:Q,11,false)</f>
        <v>COMPLEMENTARY</v>
      </c>
    </row>
    <row r="3712" ht="22.5" customHeight="1">
      <c r="A3712" s="49"/>
      <c r="C3712" s="384">
        <v>45853.0</v>
      </c>
      <c r="D3712" s="65">
        <v>6506.0</v>
      </c>
      <c r="E3712" s="445" t="s">
        <v>301</v>
      </c>
      <c r="F3712" s="386">
        <v>1.0</v>
      </c>
      <c r="G3712" s="74">
        <v>250000.0</v>
      </c>
      <c r="H3712" s="74">
        <v>0.0</v>
      </c>
      <c r="I3712" s="74">
        <f t="shared" si="1"/>
        <v>250000</v>
      </c>
      <c r="J3712" s="74">
        <f>IF(E3712="SERVICE",I3712-(I3712*50%),Vlookup(E3712,DATABASE!C:Q,10,false)*F3712)</f>
        <v>75000</v>
      </c>
      <c r="K3712" s="74">
        <f>VLOOKUP(E3712,DATABASE!C:Q,7,false)</f>
        <v>75000</v>
      </c>
      <c r="L3712" s="74">
        <v>75000.0</v>
      </c>
      <c r="M3712" s="74">
        <f t="shared" si="2"/>
        <v>75000</v>
      </c>
      <c r="N3712" s="74">
        <f t="shared" si="3"/>
        <v>100000</v>
      </c>
      <c r="O3712" s="65" t="str">
        <f>VLOOKUP(E3712,DATABASE!C:Q,8,false)</f>
        <v>BIAN</v>
      </c>
      <c r="P3712" s="65">
        <f>VLOOKUP(E3712,DATABASE!C:Q,9,False)</f>
        <v>0</v>
      </c>
      <c r="Q3712" s="93" t="str">
        <f>VLOOKUP(E3712,DATABASE!C:Q,4,false)</f>
        <v>Baut Camber</v>
      </c>
      <c r="R3712" s="93" t="str">
        <f>VLOOKUP(E3712,DATABASE!C:Q,11,false)</f>
        <v>COMPLEMENTARY</v>
      </c>
    </row>
    <row r="3713" ht="22.5" customHeight="1">
      <c r="A3713" s="49"/>
      <c r="C3713" s="384">
        <v>45853.0</v>
      </c>
      <c r="D3713" s="65">
        <v>6507.0</v>
      </c>
      <c r="E3713" s="445" t="s">
        <v>1976</v>
      </c>
      <c r="F3713" s="386">
        <v>1.0</v>
      </c>
      <c r="G3713" s="74">
        <v>1240000.0</v>
      </c>
      <c r="H3713" s="74">
        <v>0.0</v>
      </c>
      <c r="I3713" s="74">
        <f t="shared" si="1"/>
        <v>1240000</v>
      </c>
      <c r="J3713" s="74">
        <f>IF(E3713="SERVICE",I3713-(I3713*50%),Vlookup(E3713,DATABASE!C:Q,10,false)*F3713)</f>
        <v>0</v>
      </c>
      <c r="K3713" s="74">
        <f>VLOOKUP(E3713,DATABASE!C:Q,7,false)</f>
        <v>1108560</v>
      </c>
      <c r="L3713" s="74">
        <v>1108560.0</v>
      </c>
      <c r="M3713" s="74">
        <f t="shared" si="2"/>
        <v>1110000</v>
      </c>
      <c r="N3713" s="74">
        <f t="shared" si="3"/>
        <v>130000</v>
      </c>
      <c r="O3713" s="65" t="str">
        <f>VLOOKUP(E3713,DATABASE!C:Q,8,false)</f>
        <v>BIAN</v>
      </c>
      <c r="P3713" s="65">
        <f>VLOOKUP(E3713,DATABASE!C:Q,9,False)</f>
        <v>1</v>
      </c>
      <c r="Q3713" s="93" t="str">
        <f>VLOOKUP(E3713,DATABASE!C:Q,4,false)</f>
        <v>GT</v>
      </c>
      <c r="R3713" s="93" t="str">
        <f>VLOOKUP(E3713,DATABASE!C:Q,11,false)</f>
        <v>Tire</v>
      </c>
    </row>
    <row r="3714" ht="22.5" customHeight="1">
      <c r="A3714" s="49"/>
      <c r="C3714" s="384">
        <v>45853.0</v>
      </c>
      <c r="D3714" s="65">
        <v>6508.0</v>
      </c>
      <c r="E3714" s="445" t="s">
        <v>262</v>
      </c>
      <c r="F3714" s="386">
        <v>1.0</v>
      </c>
      <c r="G3714" s="74">
        <v>110000.0</v>
      </c>
      <c r="H3714" s="74">
        <v>0.0</v>
      </c>
      <c r="I3714" s="74">
        <f t="shared" si="1"/>
        <v>110000</v>
      </c>
      <c r="J3714" s="74">
        <f>IF(E3714="SERVICE",I3714-(I3714*50%),Vlookup(E3714,DATABASE!C:Q,10,false)*F3714)</f>
        <v>5000</v>
      </c>
      <c r="K3714" s="74">
        <f>VLOOKUP(E3714,DATABASE!C:Q,7,false)</f>
        <v>0</v>
      </c>
      <c r="L3714" s="74">
        <v>0.0</v>
      </c>
      <c r="M3714" s="74">
        <f t="shared" si="2"/>
        <v>0</v>
      </c>
      <c r="N3714" s="74">
        <f t="shared" si="3"/>
        <v>105000</v>
      </c>
      <c r="O3714" s="65" t="str">
        <f>VLOOKUP(E3714,DATABASE!C:Q,8,false)</f>
        <v>IBU</v>
      </c>
      <c r="P3714" s="65">
        <f>VLOOKUP(E3714,DATABASE!C:Q,9,False)</f>
        <v>0</v>
      </c>
      <c r="Q3714" s="93" t="str">
        <f>VLOOKUP(E3714,DATABASE!C:Q,4,false)</f>
        <v>SPOORING SS/CARRY LOS BAK</v>
      </c>
      <c r="R3714" s="93" t="str">
        <f>VLOOKUP(E3714,DATABASE!C:Q,11,false)</f>
        <v>SERVICE</v>
      </c>
    </row>
    <row r="3715" ht="22.5" customHeight="1">
      <c r="A3715" s="49"/>
      <c r="C3715" s="384">
        <v>45853.0</v>
      </c>
      <c r="D3715" s="65">
        <v>6508.0</v>
      </c>
      <c r="E3715" s="445" t="s">
        <v>478</v>
      </c>
      <c r="F3715" s="386">
        <v>1.0</v>
      </c>
      <c r="G3715" s="74">
        <v>200000.0</v>
      </c>
      <c r="H3715" s="74">
        <v>0.0</v>
      </c>
      <c r="I3715" s="74">
        <f t="shared" si="1"/>
        <v>200000</v>
      </c>
      <c r="J3715" s="74">
        <f>IF(E3715="SERVICE",I3715-(I3715*50%),Vlookup(E3715,DATABASE!C:Q,10,false)*F3715)</f>
        <v>25000</v>
      </c>
      <c r="K3715" s="74">
        <f>VLOOKUP(E3715,DATABASE!C:Q,7,false)</f>
        <v>75000</v>
      </c>
      <c r="L3715" s="74">
        <v>75000.0</v>
      </c>
      <c r="M3715" s="74">
        <f t="shared" si="2"/>
        <v>75000</v>
      </c>
      <c r="N3715" s="74">
        <f t="shared" si="3"/>
        <v>100000</v>
      </c>
      <c r="O3715" s="65" t="str">
        <f>VLOOKUP(E3715,DATABASE!C:Q,8,false)</f>
        <v>BIAN</v>
      </c>
      <c r="P3715" s="65">
        <f>VLOOKUP(E3715,DATABASE!C:Q,9,False)</f>
        <v>0</v>
      </c>
      <c r="Q3715" s="93" t="str">
        <f>VLOOKUP(E3715,DATABASE!C:Q,4,false)</f>
        <v>Baut Camber ss-carry</v>
      </c>
      <c r="R3715" s="93" t="str">
        <f>VLOOKUP(E3715,DATABASE!C:Q,11,false)</f>
        <v>COMPLEMENTARY</v>
      </c>
    </row>
    <row r="3716" ht="22.5" customHeight="1">
      <c r="A3716" s="49"/>
      <c r="C3716" s="384">
        <v>45853.0</v>
      </c>
      <c r="D3716" s="65">
        <v>6509.0</v>
      </c>
      <c r="E3716" s="445" t="s">
        <v>781</v>
      </c>
      <c r="F3716" s="386">
        <v>1.0</v>
      </c>
      <c r="G3716" s="74">
        <v>530000.0</v>
      </c>
      <c r="H3716" s="74">
        <v>0.0</v>
      </c>
      <c r="I3716" s="74">
        <f t="shared" si="1"/>
        <v>530000</v>
      </c>
      <c r="J3716" s="74">
        <f>IF(E3716="SERVICE",I3716-(I3716*50%),Vlookup(E3716,DATABASE!C:Q,10,false)*F3716)</f>
        <v>0</v>
      </c>
      <c r="K3716" s="74">
        <f>VLOOKUP(E3716,DATABASE!C:Q,7,false)</f>
        <v>470000</v>
      </c>
      <c r="L3716" s="74">
        <v>442500.0</v>
      </c>
      <c r="M3716" s="74">
        <f t="shared" si="2"/>
        <v>445000</v>
      </c>
      <c r="N3716" s="74">
        <f t="shared" si="3"/>
        <v>85000</v>
      </c>
      <c r="O3716" s="65" t="str">
        <f>VLOOKUP(E3716,DATABASE!C:Q,8,false)</f>
        <v>BIAN</v>
      </c>
      <c r="P3716" s="65">
        <f>VLOOKUP(E3716,DATABASE!C:Q,9,False)</f>
        <v>1</v>
      </c>
      <c r="Q3716" s="93" t="str">
        <f>VLOOKUP(E3716,DATABASE!C:Q,4,false)</f>
        <v>GT</v>
      </c>
      <c r="R3716" s="93" t="str">
        <f>VLOOKUP(E3716,DATABASE!C:Q,11,false)</f>
        <v>Tire</v>
      </c>
    </row>
    <row r="3717" ht="22.5" customHeight="1">
      <c r="A3717" s="49"/>
      <c r="C3717" s="384">
        <v>45853.0</v>
      </c>
      <c r="D3717" s="65">
        <v>6510.0</v>
      </c>
      <c r="E3717" s="445" t="s">
        <v>1301</v>
      </c>
      <c r="F3717" s="386">
        <v>4.0</v>
      </c>
      <c r="G3717" s="74">
        <v>1300000.0</v>
      </c>
      <c r="H3717" s="74">
        <v>0.0</v>
      </c>
      <c r="I3717" s="74">
        <f t="shared" si="1"/>
        <v>5200000</v>
      </c>
      <c r="J3717" s="74">
        <f>IF(E3717="SERVICE",I3717-(I3717*50%),Vlookup(E3717,DATABASE!C:Q,10,false)*F3717)</f>
        <v>0</v>
      </c>
      <c r="K3717" s="74">
        <f>VLOOKUP(E3717,DATABASE!C:Q,7,false)</f>
        <v>1194000</v>
      </c>
      <c r="L3717" s="74">
        <v>1182000.0</v>
      </c>
      <c r="M3717" s="74">
        <f t="shared" si="2"/>
        <v>1185000</v>
      </c>
      <c r="N3717" s="74">
        <f t="shared" si="3"/>
        <v>460000</v>
      </c>
      <c r="O3717" s="65" t="str">
        <f>VLOOKUP(E3717,DATABASE!C:Q,8,false)</f>
        <v>IBU</v>
      </c>
      <c r="P3717" s="65">
        <f>VLOOKUP(E3717,DATABASE!C:Q,9,False)</f>
        <v>1</v>
      </c>
      <c r="Q3717" s="93" t="str">
        <f>VLOOKUP(E3717,DATABASE!C:Q,4,false)</f>
        <v>Dunlop</v>
      </c>
      <c r="R3717" s="93" t="str">
        <f>VLOOKUP(E3717,DATABASE!C:Q,11,false)</f>
        <v>Tire</v>
      </c>
    </row>
    <row r="3718" ht="22.5" customHeight="1">
      <c r="A3718" s="49"/>
      <c r="C3718" s="384">
        <v>45854.0</v>
      </c>
      <c r="D3718" s="65">
        <v>6511.0</v>
      </c>
      <c r="E3718" s="445" t="s">
        <v>937</v>
      </c>
      <c r="F3718" s="386">
        <v>1.0</v>
      </c>
      <c r="G3718" s="74">
        <v>900000.0</v>
      </c>
      <c r="H3718" s="74">
        <v>0.0</v>
      </c>
      <c r="I3718" s="74">
        <f t="shared" si="1"/>
        <v>900000</v>
      </c>
      <c r="J3718" s="74">
        <f>IF(E3718="SERVICE",I3718-(I3718*50%),Vlookup(E3718,DATABASE!C:Q,10,false)*F3718)</f>
        <v>0</v>
      </c>
      <c r="K3718" s="74">
        <f>VLOOKUP(E3718,DATABASE!C:Q,7,false)</f>
        <v>825000</v>
      </c>
      <c r="L3718" s="74">
        <v>790000.0</v>
      </c>
      <c r="M3718" s="74">
        <f t="shared" si="2"/>
        <v>790000</v>
      </c>
      <c r="N3718" s="74">
        <f t="shared" si="3"/>
        <v>110000</v>
      </c>
      <c r="O3718" s="65" t="str">
        <f>VLOOKUP(E3718,DATABASE!C:Q,8,false)</f>
        <v>IBU</v>
      </c>
      <c r="P3718" s="65">
        <f>VLOOKUP(E3718,DATABASE!C:Q,9,False)</f>
        <v>1</v>
      </c>
      <c r="Q3718" s="93" t="str">
        <f>VLOOKUP(E3718,DATABASE!C:Q,4,false)</f>
        <v>Bridgestone</v>
      </c>
      <c r="R3718" s="93" t="str">
        <f>VLOOKUP(E3718,DATABASE!C:Q,11,false)</f>
        <v>Tire</v>
      </c>
    </row>
    <row r="3719" ht="22.5" customHeight="1">
      <c r="A3719" s="49"/>
      <c r="C3719" s="384">
        <v>45854.0</v>
      </c>
      <c r="D3719" s="65">
        <v>6513.0</v>
      </c>
      <c r="E3719" s="445" t="s">
        <v>256</v>
      </c>
      <c r="F3719" s="386">
        <v>1.0</v>
      </c>
      <c r="G3719" s="74">
        <v>130000.0</v>
      </c>
      <c r="H3719" s="74">
        <v>0.0</v>
      </c>
      <c r="I3719" s="74">
        <f t="shared" si="1"/>
        <v>130000</v>
      </c>
      <c r="J3719" s="74">
        <f>IF(E3719="SERVICE",I3719-(I3719*50%),Vlookup(E3719,DATABASE!C:Q,10,false)*F3719)</f>
        <v>10000</v>
      </c>
      <c r="K3719" s="74">
        <f>VLOOKUP(E3719,DATABASE!C:Q,7,false)</f>
        <v>0</v>
      </c>
      <c r="L3719" s="74">
        <v>0.0</v>
      </c>
      <c r="M3719" s="74">
        <f t="shared" si="2"/>
        <v>0</v>
      </c>
      <c r="N3719" s="74">
        <f t="shared" si="3"/>
        <v>120000</v>
      </c>
      <c r="O3719" s="65" t="str">
        <f>VLOOKUP(E3719,DATABASE!C:Q,8,false)</f>
        <v>IBU</v>
      </c>
      <c r="P3719" s="65">
        <f>VLOOKUP(E3719,DATABASE!C:Q,9,False)</f>
        <v>0</v>
      </c>
      <c r="Q3719" s="93" t="str">
        <f>VLOOKUP(E3719,DATABASE!C:Q,4,false)</f>
        <v>SPOORING</v>
      </c>
      <c r="R3719" s="93" t="str">
        <f>VLOOKUP(E3719,DATABASE!C:Q,11,false)</f>
        <v>SERVICE</v>
      </c>
    </row>
    <row r="3720" ht="22.5" customHeight="1">
      <c r="A3720" s="49"/>
      <c r="C3720" s="384">
        <v>45854.0</v>
      </c>
      <c r="D3720" s="65">
        <v>6513.0</v>
      </c>
      <c r="E3720" s="445" t="s">
        <v>251</v>
      </c>
      <c r="F3720" s="386">
        <v>1.0</v>
      </c>
      <c r="G3720" s="74">
        <v>150000.0</v>
      </c>
      <c r="H3720" s="74">
        <v>0.0</v>
      </c>
      <c r="I3720" s="74">
        <f t="shared" si="1"/>
        <v>150000</v>
      </c>
      <c r="J3720" s="74">
        <f>IF(E3720="SERVICE",I3720-(I3720*50%),Vlookup(E3720,DATABASE!C:Q,10,false)*F3720)</f>
        <v>75000</v>
      </c>
      <c r="K3720" s="74">
        <f>VLOOKUP(E3720,DATABASE!C:Q,7,false)</f>
        <v>0</v>
      </c>
      <c r="L3720" s="74">
        <v>0.0</v>
      </c>
      <c r="M3720" s="74">
        <f t="shared" si="2"/>
        <v>0</v>
      </c>
      <c r="N3720" s="74">
        <f t="shared" si="3"/>
        <v>75000</v>
      </c>
      <c r="O3720" s="65" t="str">
        <f>VLOOKUP(E3720,DATABASE!C:Q,8,false)</f>
        <v>IBU</v>
      </c>
      <c r="P3720" s="65">
        <f>VLOOKUP(E3720,DATABASE!C:Q,9,False)</f>
        <v>0</v>
      </c>
      <c r="Q3720" s="93" t="str">
        <f>VLOOKUP(E3720,DATABASE!C:Q,4,false)</f>
        <v>SERVICE</v>
      </c>
      <c r="R3720" s="93" t="str">
        <f>VLOOKUP(E3720,DATABASE!C:Q,11,false)</f>
        <v>SERVICE</v>
      </c>
    </row>
    <row r="3721" ht="22.5" customHeight="1">
      <c r="A3721" s="49"/>
      <c r="C3721" s="384">
        <v>45854.0</v>
      </c>
      <c r="D3721" s="65">
        <v>6513.0</v>
      </c>
      <c r="E3721" s="445" t="s">
        <v>569</v>
      </c>
      <c r="F3721" s="386">
        <v>1.0</v>
      </c>
      <c r="G3721" s="74">
        <v>80000.0</v>
      </c>
      <c r="H3721" s="74">
        <v>0.0</v>
      </c>
      <c r="I3721" s="74">
        <f t="shared" si="1"/>
        <v>80000</v>
      </c>
      <c r="J3721" s="74">
        <f>IF(E3721="SERVICE",I3721-(I3721*50%),Vlookup(E3721,DATABASE!C:Q,10,false)*F3721)</f>
        <v>0</v>
      </c>
      <c r="K3721" s="74">
        <f>VLOOKUP(E3721,DATABASE!C:Q,7,false)</f>
        <v>45439.582</v>
      </c>
      <c r="L3721" s="74">
        <v>45309.6</v>
      </c>
      <c r="M3721" s="74">
        <f t="shared" si="2"/>
        <v>50000</v>
      </c>
      <c r="N3721" s="74">
        <f t="shared" si="3"/>
        <v>30000</v>
      </c>
      <c r="O3721" s="65" t="str">
        <f>VLOOKUP(E3721,DATABASE!C:Q,8,false)</f>
        <v>BIAN</v>
      </c>
      <c r="P3721" s="65">
        <f>VLOOKUP(E3721,DATABASE!C:Q,9,False)</f>
        <v>1</v>
      </c>
      <c r="Q3721" s="93" t="str">
        <f>VLOOKUP(E3721,DATABASE!C:Q,4,false)</f>
        <v>BD</v>
      </c>
      <c r="R3721" s="93" t="str">
        <f>VLOOKUP(E3721,DATABASE!C:Q,11,false)</f>
        <v>Tire</v>
      </c>
    </row>
    <row r="3722" ht="22.5" customHeight="1">
      <c r="A3722" s="49"/>
      <c r="C3722" s="384">
        <v>45854.0</v>
      </c>
      <c r="D3722" s="65">
        <v>6514.0</v>
      </c>
      <c r="E3722" s="445" t="s">
        <v>572</v>
      </c>
      <c r="F3722" s="386">
        <v>2.0</v>
      </c>
      <c r="G3722" s="74">
        <v>1370000.0</v>
      </c>
      <c r="H3722" s="74">
        <v>0.0</v>
      </c>
      <c r="I3722" s="74">
        <f t="shared" si="1"/>
        <v>2740000</v>
      </c>
      <c r="J3722" s="74">
        <f>IF(E3722="SERVICE",I3722-(I3722*50%),Vlookup(E3722,DATABASE!C:Q,10,false)*F3722)</f>
        <v>0</v>
      </c>
      <c r="K3722" s="140">
        <v>1270000.0</v>
      </c>
      <c r="L3722" s="140">
        <v>1270000.0</v>
      </c>
      <c r="M3722" s="74">
        <f t="shared" si="2"/>
        <v>1270000</v>
      </c>
      <c r="N3722" s="74">
        <f t="shared" si="3"/>
        <v>200000</v>
      </c>
      <c r="O3722" s="65" t="str">
        <f>VLOOKUP(E3722,DATABASE!C:Q,8,false)</f>
        <v>IBU</v>
      </c>
      <c r="P3722" s="65">
        <f>VLOOKUP(E3722,DATABASE!C:Q,9,False)</f>
        <v>1</v>
      </c>
      <c r="Q3722" s="93" t="str">
        <f>VLOOKUP(E3722,DATABASE!C:Q,4,false)</f>
        <v>Bridgestone</v>
      </c>
      <c r="R3722" s="93" t="str">
        <f>VLOOKUP(E3722,DATABASE!C:Q,11,false)</f>
        <v>Tire</v>
      </c>
    </row>
    <row r="3723" ht="22.5" customHeight="1">
      <c r="A3723" s="49"/>
      <c r="C3723" s="384">
        <v>45854.0</v>
      </c>
      <c r="D3723" s="65">
        <v>6514.0</v>
      </c>
      <c r="E3723" s="445" t="s">
        <v>814</v>
      </c>
      <c r="F3723" s="386">
        <v>3.0</v>
      </c>
      <c r="G3723" s="74">
        <v>65000.0</v>
      </c>
      <c r="H3723" s="74">
        <v>0.0</v>
      </c>
      <c r="I3723" s="74">
        <f t="shared" si="1"/>
        <v>195000</v>
      </c>
      <c r="J3723" s="74">
        <f>IF(E3723="SERVICE",I3723-(I3723*50%),Vlookup(E3723,DATABASE!C:Q,10,false)*F3723)</f>
        <v>0</v>
      </c>
      <c r="K3723" s="74">
        <f>VLOOKUP(E3723,DATABASE!C:Q,7,false)</f>
        <v>39440</v>
      </c>
      <c r="L3723" s="74">
        <v>39440.0</v>
      </c>
      <c r="M3723" s="74">
        <f t="shared" si="2"/>
        <v>40000</v>
      </c>
      <c r="N3723" s="74">
        <f t="shared" si="3"/>
        <v>75000</v>
      </c>
      <c r="O3723" s="65" t="str">
        <f>VLOOKUP(E3723,DATABASE!C:Q,8,false)</f>
        <v>BIAN</v>
      </c>
      <c r="P3723" s="65">
        <f>VLOOKUP(E3723,DATABASE!C:Q,9,False)</f>
        <v>1</v>
      </c>
      <c r="Q3723" s="93" t="str">
        <f>VLOOKUP(E3723,DATABASE!C:Q,4,false)</f>
        <v>Flap</v>
      </c>
      <c r="R3723" s="93" t="str">
        <f>VLOOKUP(E3723,DATABASE!C:Q,11,false)</f>
        <v>Tire</v>
      </c>
    </row>
    <row r="3724" ht="22.5" customHeight="1">
      <c r="A3724" s="49"/>
      <c r="C3724" s="384">
        <v>45854.0</v>
      </c>
      <c r="D3724" s="65">
        <v>6515.0</v>
      </c>
      <c r="E3724" s="445" t="s">
        <v>591</v>
      </c>
      <c r="F3724" s="386">
        <v>1.0</v>
      </c>
      <c r="G3724" s="74">
        <v>700000.0</v>
      </c>
      <c r="H3724" s="74">
        <v>0.0</v>
      </c>
      <c r="I3724" s="74">
        <f t="shared" si="1"/>
        <v>700000</v>
      </c>
      <c r="J3724" s="74">
        <f>IF(E3724="SERVICE",I3724-(I3724*50%),Vlookup(E3724,DATABASE!C:Q,10,false)*F3724)</f>
        <v>0</v>
      </c>
      <c r="K3724" s="74">
        <f>VLOOKUP(E3724,DATABASE!C:Q,7,false)</f>
        <v>633035.16</v>
      </c>
      <c r="L3724" s="74">
        <v>593488.4</v>
      </c>
      <c r="M3724" s="74">
        <f t="shared" si="2"/>
        <v>595000</v>
      </c>
      <c r="N3724" s="74">
        <f t="shared" si="3"/>
        <v>105000</v>
      </c>
      <c r="O3724" s="65" t="str">
        <f>VLOOKUP(E3724,DATABASE!C:Q,8,false)</f>
        <v>IBU</v>
      </c>
      <c r="P3724" s="65">
        <f>VLOOKUP(E3724,DATABASE!C:Q,9,False)</f>
        <v>1</v>
      </c>
      <c r="Q3724" s="93" t="str">
        <f>VLOOKUP(E3724,DATABASE!C:Q,4,false)</f>
        <v>Bridgestone</v>
      </c>
      <c r="R3724" s="93" t="str">
        <f>VLOOKUP(E3724,DATABASE!C:Q,11,false)</f>
        <v>Tire</v>
      </c>
    </row>
    <row r="3725" ht="22.5" customHeight="1">
      <c r="A3725" s="49"/>
      <c r="C3725" s="384">
        <v>45854.0</v>
      </c>
      <c r="D3725" s="65">
        <v>6516.0</v>
      </c>
      <c r="E3725" s="445" t="s">
        <v>1807</v>
      </c>
      <c r="F3725" s="386">
        <v>1.0</v>
      </c>
      <c r="G3725" s="74">
        <v>585000.0</v>
      </c>
      <c r="H3725" s="74">
        <v>0.0</v>
      </c>
      <c r="I3725" s="74">
        <f t="shared" si="1"/>
        <v>585000</v>
      </c>
      <c r="J3725" s="74">
        <f>IF(E3725="SERVICE",I3725-(I3725*50%),Vlookup(E3725,DATABASE!C:Q,10,false)*F3725)</f>
        <v>0</v>
      </c>
      <c r="K3725" s="74">
        <f>VLOOKUP(E3725,DATABASE!C:Q,7,false)</f>
        <v>473000</v>
      </c>
      <c r="L3725" s="74">
        <v>473000.0</v>
      </c>
      <c r="M3725" s="74">
        <f t="shared" si="2"/>
        <v>475000</v>
      </c>
      <c r="N3725" s="74">
        <f t="shared" si="3"/>
        <v>110000</v>
      </c>
      <c r="O3725" s="65" t="str">
        <f>VLOOKUP(E3725,DATABASE!C:Q,8,false)</f>
        <v>BIAN</v>
      </c>
      <c r="P3725" s="65">
        <f>VLOOKUP(E3725,DATABASE!C:Q,9,False)</f>
        <v>1</v>
      </c>
      <c r="Q3725" s="93" t="str">
        <f>VLOOKUP(E3725,DATABASE!C:Q,4,false)</f>
        <v>G. YEAR</v>
      </c>
      <c r="R3725" s="93" t="str">
        <f>VLOOKUP(E3725,DATABASE!C:Q,11,false)</f>
        <v>Tire</v>
      </c>
    </row>
    <row r="3726" ht="22.5" customHeight="1">
      <c r="A3726" s="49"/>
      <c r="C3726" s="384">
        <v>45854.0</v>
      </c>
      <c r="D3726" s="65">
        <v>6517.0</v>
      </c>
      <c r="E3726" s="445" t="s">
        <v>282</v>
      </c>
      <c r="F3726" s="386">
        <v>1.0</v>
      </c>
      <c r="G3726" s="74">
        <v>880000.0</v>
      </c>
      <c r="H3726" s="74">
        <v>0.0</v>
      </c>
      <c r="I3726" s="74">
        <f t="shared" si="1"/>
        <v>880000</v>
      </c>
      <c r="J3726" s="74">
        <f>IF(E3726="SERVICE",I3726-(I3726*50%),Vlookup(E3726,DATABASE!C:Q,10,false)*F3726)</f>
        <v>0</v>
      </c>
      <c r="K3726" s="74">
        <f>VLOOKUP(E3726,DATABASE!C:Q,7,false)</f>
        <v>779500</v>
      </c>
      <c r="L3726" s="74">
        <v>771000.0</v>
      </c>
      <c r="M3726" s="74">
        <f t="shared" si="2"/>
        <v>775000</v>
      </c>
      <c r="N3726" s="74">
        <f t="shared" si="3"/>
        <v>105000</v>
      </c>
      <c r="O3726" s="65" t="str">
        <f>VLOOKUP(E3726,DATABASE!C:Q,8,false)</f>
        <v>IBU</v>
      </c>
      <c r="P3726" s="65">
        <f>VLOOKUP(E3726,DATABASE!C:Q,9,False)</f>
        <v>1</v>
      </c>
      <c r="Q3726" s="93" t="str">
        <f>VLOOKUP(E3726,DATABASE!C:Q,4,false)</f>
        <v>Dunlop</v>
      </c>
      <c r="R3726" s="93" t="str">
        <f>VLOOKUP(E3726,DATABASE!C:Q,11,false)</f>
        <v>Tire</v>
      </c>
    </row>
    <row r="3727" ht="22.5" customHeight="1">
      <c r="A3727" s="49"/>
      <c r="C3727" s="384">
        <v>45854.0</v>
      </c>
      <c r="D3727" s="65">
        <v>6518.0</v>
      </c>
      <c r="E3727" s="445" t="s">
        <v>924</v>
      </c>
      <c r="F3727" s="386">
        <v>1.0</v>
      </c>
      <c r="G3727" s="74">
        <v>1650000.0</v>
      </c>
      <c r="H3727" s="74">
        <v>0.0</v>
      </c>
      <c r="I3727" s="74">
        <f t="shared" si="1"/>
        <v>1650000</v>
      </c>
      <c r="J3727" s="74">
        <f>IF(E3727="SERVICE",I3727-(I3727*50%),Vlookup(E3727,DATABASE!C:Q,10,false)*F3727)</f>
        <v>0</v>
      </c>
      <c r="K3727" s="74">
        <f>VLOOKUP(E3727,DATABASE!C:Q,7,false)</f>
        <v>1560000</v>
      </c>
      <c r="L3727" s="74">
        <v>1545000.0</v>
      </c>
      <c r="M3727" s="74">
        <f t="shared" si="2"/>
        <v>1545000</v>
      </c>
      <c r="N3727" s="74">
        <f t="shared" si="3"/>
        <v>105000</v>
      </c>
      <c r="O3727" s="65" t="str">
        <f>VLOOKUP(E3727,DATABASE!C:Q,8,false)</f>
        <v>BIAN</v>
      </c>
      <c r="P3727" s="65">
        <f>VLOOKUP(E3727,DATABASE!C:Q,9,False)</f>
        <v>1</v>
      </c>
      <c r="Q3727" s="93" t="str">
        <f>VLOOKUP(E3727,DATABASE!C:Q,4,false)</f>
        <v>TIRON</v>
      </c>
      <c r="R3727" s="93" t="str">
        <f>VLOOKUP(E3727,DATABASE!C:Q,11,false)</f>
        <v>Tire</v>
      </c>
    </row>
    <row r="3728" ht="22.5" customHeight="1">
      <c r="A3728" s="49"/>
      <c r="C3728" s="384">
        <v>45854.0</v>
      </c>
      <c r="D3728" s="65">
        <v>6521.0</v>
      </c>
      <c r="E3728" s="445" t="s">
        <v>764</v>
      </c>
      <c r="F3728" s="386">
        <v>5.0</v>
      </c>
      <c r="G3728" s="74">
        <v>170000.0</v>
      </c>
      <c r="H3728" s="74">
        <v>0.0</v>
      </c>
      <c r="I3728" s="74">
        <f t="shared" si="1"/>
        <v>850000</v>
      </c>
      <c r="J3728" s="74">
        <f>IF(E3728="SERVICE",I3728-(I3728*50%),Vlookup(E3728,DATABASE!C:Q,10,false)*F3728)</f>
        <v>0</v>
      </c>
      <c r="K3728" s="74">
        <f>VLOOKUP(E3728,DATABASE!C:Q,7,false)</f>
        <v>145000</v>
      </c>
      <c r="L3728" s="74">
        <v>145000.0</v>
      </c>
      <c r="M3728" s="74">
        <f t="shared" si="2"/>
        <v>145000</v>
      </c>
      <c r="N3728" s="74">
        <f t="shared" si="3"/>
        <v>125000</v>
      </c>
      <c r="O3728" s="65" t="str">
        <f>VLOOKUP(E3728,DATABASE!C:Q,8,false)</f>
        <v>BIAN</v>
      </c>
      <c r="P3728" s="65">
        <f>VLOOKUP(E3728,DATABASE!C:Q,9,False)</f>
        <v>1</v>
      </c>
      <c r="Q3728" s="93" t="str">
        <f>VLOOKUP(E3728,DATABASE!C:Q,4,false)</f>
        <v>BD</v>
      </c>
      <c r="R3728" s="93" t="str">
        <f>VLOOKUP(E3728,DATABASE!C:Q,11,false)</f>
        <v>Tire</v>
      </c>
    </row>
    <row r="3729" ht="22.5" customHeight="1">
      <c r="A3729" s="49"/>
      <c r="C3729" s="384">
        <v>45854.0</v>
      </c>
      <c r="D3729" s="65">
        <v>6521.0</v>
      </c>
      <c r="E3729" s="445" t="s">
        <v>688</v>
      </c>
      <c r="F3729" s="386">
        <v>5.0</v>
      </c>
      <c r="G3729" s="74">
        <v>140000.0</v>
      </c>
      <c r="H3729" s="74">
        <v>0.0</v>
      </c>
      <c r="I3729" s="74">
        <f t="shared" si="1"/>
        <v>700000</v>
      </c>
      <c r="J3729" s="74">
        <f>IF(E3729="SERVICE",I3729-(I3729*50%),Vlookup(E3729,DATABASE!C:Q,10,false)*F3729)</f>
        <v>0</v>
      </c>
      <c r="K3729" s="74">
        <f>VLOOKUP(E3729,DATABASE!C:Q,7,false)</f>
        <v>100000</v>
      </c>
      <c r="L3729" s="74">
        <v>100000.0</v>
      </c>
      <c r="M3729" s="74">
        <f t="shared" si="2"/>
        <v>100000</v>
      </c>
      <c r="N3729" s="74">
        <f t="shared" si="3"/>
        <v>200000</v>
      </c>
      <c r="O3729" s="65" t="str">
        <f>VLOOKUP(E3729,DATABASE!C:Q,8,false)</f>
        <v>BIAN</v>
      </c>
      <c r="P3729" s="65">
        <f>VLOOKUP(E3729,DATABASE!C:Q,9,False)</f>
        <v>1</v>
      </c>
      <c r="Q3729" s="93" t="str">
        <f>VLOOKUP(E3729,DATABASE!C:Q,4,false)</f>
        <v>BD</v>
      </c>
      <c r="R3729" s="93" t="str">
        <f>VLOOKUP(E3729,DATABASE!C:Q,11,false)</f>
        <v>Tire</v>
      </c>
    </row>
    <row r="3730" ht="22.5" customHeight="1">
      <c r="A3730" s="49"/>
      <c r="C3730" s="384">
        <v>45854.0</v>
      </c>
      <c r="D3730" s="65">
        <v>6521.0</v>
      </c>
      <c r="E3730" s="445" t="s">
        <v>1743</v>
      </c>
      <c r="F3730" s="386">
        <v>5.0</v>
      </c>
      <c r="G3730" s="74">
        <v>75000.0</v>
      </c>
      <c r="H3730" s="74">
        <v>0.0</v>
      </c>
      <c r="I3730" s="74">
        <f t="shared" si="1"/>
        <v>375000</v>
      </c>
      <c r="J3730" s="74">
        <f>IF(E3730="SERVICE",I3730-(I3730*50%),Vlookup(E3730,DATABASE!C:Q,10,false)*F3730)</f>
        <v>0</v>
      </c>
      <c r="K3730" s="74">
        <f>VLOOKUP(E3730,DATABASE!C:Q,7,false)</f>
        <v>45000</v>
      </c>
      <c r="L3730" s="74">
        <v>45000.0</v>
      </c>
      <c r="M3730" s="74">
        <f t="shared" si="2"/>
        <v>45000</v>
      </c>
      <c r="N3730" s="74">
        <f t="shared" si="3"/>
        <v>150000</v>
      </c>
      <c r="O3730" s="65" t="str">
        <f>VLOOKUP(E3730,DATABASE!C:Q,8,false)</f>
        <v>BIAN</v>
      </c>
      <c r="P3730" s="65">
        <f>VLOOKUP(E3730,DATABASE!C:Q,9,False)</f>
        <v>1</v>
      </c>
      <c r="Q3730" s="93" t="str">
        <f>VLOOKUP(E3730,DATABASE!C:Q,4,false)</f>
        <v>FLAP</v>
      </c>
      <c r="R3730" s="93" t="str">
        <f>VLOOKUP(E3730,DATABASE!C:Q,11,false)</f>
        <v>Tire</v>
      </c>
    </row>
    <row r="3731" ht="22.5" customHeight="1">
      <c r="A3731" s="49"/>
      <c r="C3731" s="384">
        <v>45854.0</v>
      </c>
      <c r="D3731" s="65">
        <v>6521.0</v>
      </c>
      <c r="E3731" s="445" t="s">
        <v>814</v>
      </c>
      <c r="F3731" s="386">
        <v>5.0</v>
      </c>
      <c r="G3731" s="74">
        <v>70000.0</v>
      </c>
      <c r="H3731" s="74">
        <v>0.0</v>
      </c>
      <c r="I3731" s="74">
        <f t="shared" si="1"/>
        <v>350000</v>
      </c>
      <c r="J3731" s="74">
        <f>IF(E3731="SERVICE",I3731-(I3731*50%),Vlookup(E3731,DATABASE!C:Q,10,false)*F3731)</f>
        <v>0</v>
      </c>
      <c r="K3731" s="74">
        <f>VLOOKUP(E3731,DATABASE!C:Q,7,false)</f>
        <v>39440</v>
      </c>
      <c r="L3731" s="74">
        <v>39440.0</v>
      </c>
      <c r="M3731" s="74">
        <f t="shared" si="2"/>
        <v>40000</v>
      </c>
      <c r="N3731" s="74">
        <f t="shared" si="3"/>
        <v>150000</v>
      </c>
      <c r="O3731" s="65" t="str">
        <f>VLOOKUP(E3731,DATABASE!C:Q,8,false)</f>
        <v>BIAN</v>
      </c>
      <c r="P3731" s="65">
        <f>VLOOKUP(E3731,DATABASE!C:Q,9,False)</f>
        <v>1</v>
      </c>
      <c r="Q3731" s="93" t="str">
        <f>VLOOKUP(E3731,DATABASE!C:Q,4,false)</f>
        <v>Flap</v>
      </c>
      <c r="R3731" s="93" t="str">
        <f>VLOOKUP(E3731,DATABASE!C:Q,11,false)</f>
        <v>Tire</v>
      </c>
    </row>
    <row r="3732" ht="22.5" customHeight="1">
      <c r="A3732" s="49"/>
      <c r="C3732" s="384">
        <v>45855.0</v>
      </c>
      <c r="D3732" s="65">
        <v>6522.0</v>
      </c>
      <c r="E3732" s="445" t="s">
        <v>271</v>
      </c>
      <c r="F3732" s="386">
        <v>1.0</v>
      </c>
      <c r="G3732" s="74">
        <v>640000.0</v>
      </c>
      <c r="H3732" s="74">
        <v>0.0</v>
      </c>
      <c r="I3732" s="74">
        <f t="shared" si="1"/>
        <v>640000</v>
      </c>
      <c r="J3732" s="74">
        <f>IF(E3732="SERVICE",I3732-(I3732*50%),Vlookup(E3732,DATABASE!C:Q,10,false)*F3732)</f>
        <v>0</v>
      </c>
      <c r="K3732" s="74">
        <f>VLOOKUP(E3732,DATABASE!C:Q,7,false)</f>
        <v>570000</v>
      </c>
      <c r="L3732" s="74">
        <v>539000.0</v>
      </c>
      <c r="M3732" s="74">
        <f t="shared" si="2"/>
        <v>540000</v>
      </c>
      <c r="N3732" s="74">
        <f t="shared" si="3"/>
        <v>100000</v>
      </c>
      <c r="O3732" s="65" t="str">
        <f>VLOOKUP(E3732,DATABASE!C:Q,8,false)</f>
        <v>IBU</v>
      </c>
      <c r="P3732" s="65">
        <f>VLOOKUP(E3732,DATABASE!C:Q,9,False)</f>
        <v>1</v>
      </c>
      <c r="Q3732" s="93" t="str">
        <f>VLOOKUP(E3732,DATABASE!C:Q,4,false)</f>
        <v>Dunlop</v>
      </c>
      <c r="R3732" s="93" t="str">
        <f>VLOOKUP(E3732,DATABASE!C:Q,11,false)</f>
        <v>Tire</v>
      </c>
    </row>
    <row r="3733" ht="22.5" customHeight="1">
      <c r="A3733" s="49"/>
      <c r="C3733" s="384">
        <v>45855.0</v>
      </c>
      <c r="D3733" s="65">
        <v>6523.0</v>
      </c>
      <c r="E3733" s="445" t="s">
        <v>268</v>
      </c>
      <c r="F3733" s="386">
        <v>2.0</v>
      </c>
      <c r="G3733" s="74">
        <v>720000.0</v>
      </c>
      <c r="H3733" s="74">
        <v>0.0</v>
      </c>
      <c r="I3733" s="74">
        <f t="shared" si="1"/>
        <v>1440000</v>
      </c>
      <c r="J3733" s="74">
        <f>IF(E3733="SERVICE",I3733-(I3733*50%),Vlookup(E3733,DATABASE!C:Q,10,false)*F3733)</f>
        <v>0</v>
      </c>
      <c r="K3733" s="74">
        <f>VLOOKUP(E3733,DATABASE!C:Q,7,false)</f>
        <v>653000</v>
      </c>
      <c r="L3733" s="74">
        <v>622000.0</v>
      </c>
      <c r="M3733" s="74">
        <f t="shared" si="2"/>
        <v>625000</v>
      </c>
      <c r="N3733" s="74">
        <f t="shared" si="3"/>
        <v>190000</v>
      </c>
      <c r="O3733" s="65" t="str">
        <f>VLOOKUP(E3733,DATABASE!C:Q,8,false)</f>
        <v>IBU</v>
      </c>
      <c r="P3733" s="65">
        <f>VLOOKUP(E3733,DATABASE!C:Q,9,False)</f>
        <v>1</v>
      </c>
      <c r="Q3733" s="93" t="str">
        <f>VLOOKUP(E3733,DATABASE!C:Q,4,false)</f>
        <v>Dunlop</v>
      </c>
      <c r="R3733" s="93" t="str">
        <f>VLOOKUP(E3733,DATABASE!C:Q,11,false)</f>
        <v>Tire</v>
      </c>
    </row>
    <row r="3734" ht="22.5" customHeight="1">
      <c r="A3734" s="49"/>
      <c r="C3734" s="384">
        <v>45855.0</v>
      </c>
      <c r="D3734" s="65">
        <v>6523.0</v>
      </c>
      <c r="E3734" s="385" t="s">
        <v>299</v>
      </c>
      <c r="F3734" s="386">
        <v>2.0</v>
      </c>
      <c r="G3734" s="74">
        <v>30000.0</v>
      </c>
      <c r="H3734" s="74">
        <v>0.0</v>
      </c>
      <c r="I3734" s="74">
        <f t="shared" si="1"/>
        <v>60000</v>
      </c>
      <c r="J3734" s="74">
        <f>IF(E3734="SERVICE",I3734-(I3734*50%),Vlookup(E3734,DATABASE!C:Q,10,false)*F3734)</f>
        <v>0</v>
      </c>
      <c r="K3734" s="74">
        <v>0.0</v>
      </c>
      <c r="L3734" s="74">
        <v>0.0</v>
      </c>
      <c r="M3734" s="74">
        <f t="shared" si="2"/>
        <v>0</v>
      </c>
      <c r="N3734" s="74">
        <f t="shared" si="3"/>
        <v>60000</v>
      </c>
      <c r="O3734" s="65" t="str">
        <f>VLOOKUP(E3734,DATABASE!C:Q,8,false)</f>
        <v>BIAN</v>
      </c>
      <c r="P3734" s="65">
        <f>VLOOKUP(E3734,DATABASE!C:Q,9,False)</f>
        <v>0</v>
      </c>
      <c r="Q3734" s="93" t="str">
        <f>VLOOKUP(E3734,DATABASE!C:Q,4,false)</f>
        <v>Balancing</v>
      </c>
      <c r="R3734" s="93" t="str">
        <f>VLOOKUP(E3734,DATABASE!C:Q,11,false)</f>
        <v>COMPLEMENTARY</v>
      </c>
    </row>
    <row r="3735" ht="22.5" customHeight="1">
      <c r="A3735" s="49"/>
      <c r="C3735" s="384">
        <v>45855.0</v>
      </c>
      <c r="D3735" s="65">
        <v>6523.0</v>
      </c>
      <c r="E3735" s="445" t="s">
        <v>262</v>
      </c>
      <c r="F3735" s="386">
        <v>1.0</v>
      </c>
      <c r="G3735" s="74">
        <v>110000.0</v>
      </c>
      <c r="H3735" s="74">
        <v>0.0</v>
      </c>
      <c r="I3735" s="74">
        <f t="shared" si="1"/>
        <v>110000</v>
      </c>
      <c r="J3735" s="74">
        <f>IF(E3735="SERVICE",I3735-(I3735*50%),Vlookup(E3735,DATABASE!C:Q,10,false)*F3735)</f>
        <v>5000</v>
      </c>
      <c r="K3735" s="74">
        <f>VLOOKUP(E3735,DATABASE!C:Q,7,false)</f>
        <v>0</v>
      </c>
      <c r="L3735" s="74">
        <v>0.0</v>
      </c>
      <c r="M3735" s="74">
        <f t="shared" si="2"/>
        <v>0</v>
      </c>
      <c r="N3735" s="74">
        <f t="shared" si="3"/>
        <v>105000</v>
      </c>
      <c r="O3735" s="65" t="str">
        <f>VLOOKUP(E3735,DATABASE!C:Q,8,false)</f>
        <v>IBU</v>
      </c>
      <c r="P3735" s="65">
        <f>VLOOKUP(E3735,DATABASE!C:Q,9,False)</f>
        <v>0</v>
      </c>
      <c r="Q3735" s="93" t="str">
        <f>VLOOKUP(E3735,DATABASE!C:Q,4,false)</f>
        <v>SPOORING SS/CARRY LOS BAK</v>
      </c>
      <c r="R3735" s="93" t="str">
        <f>VLOOKUP(E3735,DATABASE!C:Q,11,false)</f>
        <v>SERVICE</v>
      </c>
    </row>
    <row r="3736" ht="22.5" customHeight="1">
      <c r="A3736" s="49"/>
      <c r="C3736" s="384">
        <v>45855.0</v>
      </c>
      <c r="D3736" s="65">
        <v>6523.0</v>
      </c>
      <c r="E3736" s="445" t="s">
        <v>251</v>
      </c>
      <c r="F3736" s="386">
        <v>1.0</v>
      </c>
      <c r="G3736" s="74">
        <v>150000.0</v>
      </c>
      <c r="H3736" s="74">
        <v>0.0</v>
      </c>
      <c r="I3736" s="74">
        <f t="shared" si="1"/>
        <v>150000</v>
      </c>
      <c r="J3736" s="74">
        <f>IF(E3736="SERVICE",I3736-(I3736*50%),Vlookup(E3736,DATABASE!C:Q,10,false)*F3736)</f>
        <v>75000</v>
      </c>
      <c r="K3736" s="74">
        <f>VLOOKUP(E3736,DATABASE!C:Q,7,false)</f>
        <v>0</v>
      </c>
      <c r="L3736" s="74">
        <v>0.0</v>
      </c>
      <c r="M3736" s="74">
        <f t="shared" si="2"/>
        <v>0</v>
      </c>
      <c r="N3736" s="74">
        <f t="shared" si="3"/>
        <v>75000</v>
      </c>
      <c r="O3736" s="65" t="str">
        <f>VLOOKUP(E3736,DATABASE!C:Q,8,false)</f>
        <v>IBU</v>
      </c>
      <c r="P3736" s="65">
        <f>VLOOKUP(E3736,DATABASE!C:Q,9,False)</f>
        <v>0</v>
      </c>
      <c r="Q3736" s="93" t="str">
        <f>VLOOKUP(E3736,DATABASE!C:Q,4,false)</f>
        <v>SERVICE</v>
      </c>
      <c r="R3736" s="93" t="str">
        <f>VLOOKUP(E3736,DATABASE!C:Q,11,false)</f>
        <v>SERVICE</v>
      </c>
    </row>
    <row r="3737" ht="22.5" customHeight="1">
      <c r="A3737" s="49"/>
      <c r="C3737" s="384">
        <v>45855.0</v>
      </c>
      <c r="D3737" s="65">
        <v>6524.0</v>
      </c>
      <c r="E3737" s="445" t="s">
        <v>671</v>
      </c>
      <c r="F3737" s="386">
        <v>1.0</v>
      </c>
      <c r="G3737" s="74">
        <v>180000.0</v>
      </c>
      <c r="H3737" s="74">
        <v>0.0</v>
      </c>
      <c r="I3737" s="74">
        <f t="shared" si="1"/>
        <v>180000</v>
      </c>
      <c r="J3737" s="74">
        <f>IF(E3737="SERVICE",I3737-(I3737*50%),Vlookup(E3737,DATABASE!C:Q,10,false)*F3737)</f>
        <v>0</v>
      </c>
      <c r="K3737" s="74">
        <f>VLOOKUP(E3737,DATABASE!C:Q,7,false)</f>
        <v>160000</v>
      </c>
      <c r="L3737" s="74">
        <v>160000.0</v>
      </c>
      <c r="M3737" s="74">
        <f t="shared" si="2"/>
        <v>160000</v>
      </c>
      <c r="N3737" s="74">
        <f t="shared" si="3"/>
        <v>20000</v>
      </c>
      <c r="O3737" s="65" t="str">
        <f>VLOOKUP(E3737,DATABASE!C:Q,8,false)</f>
        <v>BIAN</v>
      </c>
      <c r="P3737" s="65">
        <f>VLOOKUP(E3737,DATABASE!C:Q,9,False)</f>
        <v>1</v>
      </c>
      <c r="Q3737" s="93" t="str">
        <f>VLOOKUP(E3737,DATABASE!C:Q,4,false)</f>
        <v>BD</v>
      </c>
      <c r="R3737" s="93" t="str">
        <f>VLOOKUP(E3737,DATABASE!C:Q,11,false)</f>
        <v>Tire</v>
      </c>
    </row>
    <row r="3738" ht="22.5" customHeight="1">
      <c r="A3738" s="49"/>
      <c r="C3738" s="384">
        <v>45855.0</v>
      </c>
      <c r="D3738" s="65">
        <v>6525.0</v>
      </c>
      <c r="E3738" s="445" t="s">
        <v>275</v>
      </c>
      <c r="F3738" s="386">
        <v>2.0</v>
      </c>
      <c r="G3738" s="74">
        <v>850000.0</v>
      </c>
      <c r="H3738" s="74">
        <v>0.0</v>
      </c>
      <c r="I3738" s="74">
        <f t="shared" si="1"/>
        <v>1700000</v>
      </c>
      <c r="J3738" s="74">
        <f>IF(E3738="SERVICE",I3738-(I3738*50%),Vlookup(E3738,DATABASE!C:Q,10,false)*F3738)</f>
        <v>0</v>
      </c>
      <c r="K3738" s="74">
        <f>VLOOKUP(E3738,DATABASE!C:Q,7,false)</f>
        <v>782000</v>
      </c>
      <c r="L3738" s="74">
        <v>745000.0</v>
      </c>
      <c r="M3738" s="74">
        <f t="shared" si="2"/>
        <v>745000</v>
      </c>
      <c r="N3738" s="74">
        <f t="shared" si="3"/>
        <v>210000</v>
      </c>
      <c r="O3738" s="65" t="str">
        <f>VLOOKUP(E3738,DATABASE!C:Q,8,false)</f>
        <v>IBU</v>
      </c>
      <c r="P3738" s="65">
        <f>VLOOKUP(E3738,DATABASE!C:Q,9,False)</f>
        <v>1</v>
      </c>
      <c r="Q3738" s="93" t="str">
        <f>VLOOKUP(E3738,DATABASE!C:Q,4,false)</f>
        <v>Dunlop</v>
      </c>
      <c r="R3738" s="93" t="str">
        <f>VLOOKUP(E3738,DATABASE!C:Q,11,false)</f>
        <v>Tire</v>
      </c>
    </row>
    <row r="3739" ht="22.5" customHeight="1">
      <c r="A3739" s="49"/>
      <c r="C3739" s="384">
        <v>45855.0</v>
      </c>
      <c r="D3739" s="65">
        <v>6526.0</v>
      </c>
      <c r="E3739" s="445" t="s">
        <v>614</v>
      </c>
      <c r="F3739" s="386">
        <v>1.0</v>
      </c>
      <c r="G3739" s="74">
        <v>870000.0</v>
      </c>
      <c r="H3739" s="74">
        <v>0.0</v>
      </c>
      <c r="I3739" s="74">
        <f t="shared" si="1"/>
        <v>870000</v>
      </c>
      <c r="J3739" s="74">
        <f>IF(E3739="SERVICE",I3739-(I3739*50%),Vlookup(E3739,DATABASE!C:Q,10,false)*F3739)</f>
        <v>0</v>
      </c>
      <c r="K3739" s="74">
        <f>VLOOKUP(E3739,DATABASE!C:Q,7,false)</f>
        <v>754660.6</v>
      </c>
      <c r="L3739" s="74">
        <v>766438.4</v>
      </c>
      <c r="M3739" s="74">
        <f t="shared" si="2"/>
        <v>770000</v>
      </c>
      <c r="N3739" s="74">
        <f t="shared" si="3"/>
        <v>100000</v>
      </c>
      <c r="O3739" s="65" t="str">
        <f>VLOOKUP(E3739,DATABASE!C:Q,8,false)</f>
        <v>IBU</v>
      </c>
      <c r="P3739" s="65">
        <f>VLOOKUP(E3739,DATABASE!C:Q,9,False)</f>
        <v>1</v>
      </c>
      <c r="Q3739" s="93" t="str">
        <f>VLOOKUP(E3739,DATABASE!C:Q,4,false)</f>
        <v>Bridgestone</v>
      </c>
      <c r="R3739" s="93" t="str">
        <f>VLOOKUP(E3739,DATABASE!C:Q,11,false)</f>
        <v>Tire</v>
      </c>
    </row>
    <row r="3740" ht="22.5" customHeight="1">
      <c r="A3740" s="49"/>
      <c r="C3740" s="384">
        <v>45855.0</v>
      </c>
      <c r="D3740" s="65">
        <v>6527.0</v>
      </c>
      <c r="E3740" s="445" t="s">
        <v>268</v>
      </c>
      <c r="F3740" s="386">
        <v>2.0</v>
      </c>
      <c r="G3740" s="74">
        <v>720000.0</v>
      </c>
      <c r="H3740" s="74">
        <v>0.0</v>
      </c>
      <c r="I3740" s="74">
        <f t="shared" si="1"/>
        <v>1440000</v>
      </c>
      <c r="J3740" s="74">
        <f>IF(E3740="SERVICE",I3740-(I3740*50%),Vlookup(E3740,DATABASE!C:Q,10,false)*F3740)</f>
        <v>0</v>
      </c>
      <c r="K3740" s="74">
        <f>VLOOKUP(E3740,DATABASE!C:Q,7,false)</f>
        <v>653000</v>
      </c>
      <c r="L3740" s="74">
        <v>622000.0</v>
      </c>
      <c r="M3740" s="74">
        <f t="shared" si="2"/>
        <v>625000</v>
      </c>
      <c r="N3740" s="74">
        <f t="shared" si="3"/>
        <v>190000</v>
      </c>
      <c r="O3740" s="65" t="str">
        <f>VLOOKUP(E3740,DATABASE!C:Q,8,false)</f>
        <v>IBU</v>
      </c>
      <c r="P3740" s="65">
        <f>VLOOKUP(E3740,DATABASE!C:Q,9,False)</f>
        <v>1</v>
      </c>
      <c r="Q3740" s="93" t="str">
        <f>VLOOKUP(E3740,DATABASE!C:Q,4,false)</f>
        <v>Dunlop</v>
      </c>
      <c r="R3740" s="93" t="str">
        <f>VLOOKUP(E3740,DATABASE!C:Q,11,false)</f>
        <v>Tire</v>
      </c>
    </row>
    <row r="3741" ht="22.5" customHeight="1">
      <c r="A3741" s="49"/>
      <c r="C3741" s="384">
        <v>45855.0</v>
      </c>
      <c r="D3741" s="65">
        <v>6528.0</v>
      </c>
      <c r="E3741" s="445" t="s">
        <v>256</v>
      </c>
      <c r="F3741" s="386">
        <v>1.0</v>
      </c>
      <c r="G3741" s="74">
        <v>130000.0</v>
      </c>
      <c r="H3741" s="74">
        <v>0.0</v>
      </c>
      <c r="I3741" s="74">
        <f t="shared" si="1"/>
        <v>130000</v>
      </c>
      <c r="J3741" s="74">
        <f>IF(E3741="SERVICE",I3741-(I3741*50%),Vlookup(E3741,DATABASE!C:Q,10,false)*F3741)</f>
        <v>10000</v>
      </c>
      <c r="K3741" s="74">
        <f>VLOOKUP(E3741,DATABASE!C:Q,7,false)</f>
        <v>0</v>
      </c>
      <c r="L3741" s="74">
        <v>0.0</v>
      </c>
      <c r="M3741" s="74">
        <f t="shared" si="2"/>
        <v>0</v>
      </c>
      <c r="N3741" s="74">
        <f t="shared" si="3"/>
        <v>120000</v>
      </c>
      <c r="O3741" s="65" t="str">
        <f>VLOOKUP(E3741,DATABASE!C:Q,8,false)</f>
        <v>IBU</v>
      </c>
      <c r="P3741" s="65">
        <f>VLOOKUP(E3741,DATABASE!C:Q,9,False)</f>
        <v>0</v>
      </c>
      <c r="Q3741" s="93" t="str">
        <f>VLOOKUP(E3741,DATABASE!C:Q,4,false)</f>
        <v>SPOORING</v>
      </c>
      <c r="R3741" s="93" t="str">
        <f>VLOOKUP(E3741,DATABASE!C:Q,11,false)</f>
        <v>SERVICE</v>
      </c>
    </row>
    <row r="3742" ht="22.5" customHeight="1">
      <c r="A3742" s="49"/>
      <c r="C3742" s="384">
        <v>45855.0</v>
      </c>
      <c r="D3742" s="65">
        <v>6528.0</v>
      </c>
      <c r="E3742" s="445" t="s">
        <v>251</v>
      </c>
      <c r="F3742" s="386">
        <v>1.0</v>
      </c>
      <c r="G3742" s="74">
        <v>150000.0</v>
      </c>
      <c r="H3742" s="74">
        <v>0.0</v>
      </c>
      <c r="I3742" s="74">
        <f t="shared" si="1"/>
        <v>150000</v>
      </c>
      <c r="J3742" s="74">
        <f>IF(E3742="SERVICE",I3742-(I3742*50%),Vlookup(E3742,DATABASE!C:Q,10,false)*F3742)</f>
        <v>75000</v>
      </c>
      <c r="K3742" s="74">
        <f>VLOOKUP(E3742,DATABASE!C:Q,7,false)</f>
        <v>0</v>
      </c>
      <c r="L3742" s="74">
        <v>0.0</v>
      </c>
      <c r="M3742" s="74">
        <f t="shared" si="2"/>
        <v>0</v>
      </c>
      <c r="N3742" s="74">
        <f t="shared" si="3"/>
        <v>75000</v>
      </c>
      <c r="O3742" s="65" t="str">
        <f>VLOOKUP(E3742,DATABASE!C:Q,8,false)</f>
        <v>IBU</v>
      </c>
      <c r="P3742" s="65">
        <f>VLOOKUP(E3742,DATABASE!C:Q,9,False)</f>
        <v>0</v>
      </c>
      <c r="Q3742" s="93" t="str">
        <f>VLOOKUP(E3742,DATABASE!C:Q,4,false)</f>
        <v>SERVICE</v>
      </c>
      <c r="R3742" s="93" t="str">
        <f>VLOOKUP(E3742,DATABASE!C:Q,11,false)</f>
        <v>SERVICE</v>
      </c>
    </row>
    <row r="3743" ht="22.5" customHeight="1">
      <c r="A3743" s="49"/>
      <c r="C3743" s="384">
        <v>45855.0</v>
      </c>
      <c r="D3743" s="65">
        <v>6529.0</v>
      </c>
      <c r="E3743" s="445" t="s">
        <v>268</v>
      </c>
      <c r="F3743" s="386">
        <v>2.0</v>
      </c>
      <c r="G3743" s="74">
        <v>720000.0</v>
      </c>
      <c r="H3743" s="74">
        <v>0.0</v>
      </c>
      <c r="I3743" s="74">
        <f t="shared" si="1"/>
        <v>1440000</v>
      </c>
      <c r="J3743" s="74">
        <f>IF(E3743="SERVICE",I3743-(I3743*50%),Vlookup(E3743,DATABASE!C:Q,10,false)*F3743)</f>
        <v>0</v>
      </c>
      <c r="K3743" s="74">
        <f>VLOOKUP(E3743,DATABASE!C:Q,7,false)</f>
        <v>653000</v>
      </c>
      <c r="L3743" s="74">
        <v>622000.0</v>
      </c>
      <c r="M3743" s="74">
        <f t="shared" si="2"/>
        <v>625000</v>
      </c>
      <c r="N3743" s="74">
        <f t="shared" si="3"/>
        <v>190000</v>
      </c>
      <c r="O3743" s="65" t="str">
        <f>VLOOKUP(E3743,DATABASE!C:Q,8,false)</f>
        <v>IBU</v>
      </c>
      <c r="P3743" s="65">
        <f>VLOOKUP(E3743,DATABASE!C:Q,9,False)</f>
        <v>1</v>
      </c>
      <c r="Q3743" s="93" t="str">
        <f>VLOOKUP(E3743,DATABASE!C:Q,4,false)</f>
        <v>Dunlop</v>
      </c>
      <c r="R3743" s="93" t="str">
        <f>VLOOKUP(E3743,DATABASE!C:Q,11,false)</f>
        <v>Tire</v>
      </c>
    </row>
    <row r="3744" ht="22.5" customHeight="1">
      <c r="A3744" s="49"/>
      <c r="C3744" s="384">
        <v>45855.0</v>
      </c>
      <c r="D3744" s="65">
        <v>6531.0</v>
      </c>
      <c r="E3744" s="445" t="s">
        <v>2155</v>
      </c>
      <c r="F3744" s="386">
        <v>2.0</v>
      </c>
      <c r="G3744" s="74">
        <v>640000.0</v>
      </c>
      <c r="H3744" s="74">
        <v>0.0</v>
      </c>
      <c r="I3744" s="74">
        <f t="shared" si="1"/>
        <v>1280000</v>
      </c>
      <c r="J3744" s="74">
        <f>IF(E3744="SERVICE",I3744-(I3744*50%),Vlookup(E3744,DATABASE!C:Q,10,false)*F3744)</f>
        <v>0</v>
      </c>
      <c r="K3744" s="74">
        <f>VLOOKUP(E3744,DATABASE!C:Q,7,false)</f>
        <v>555000</v>
      </c>
      <c r="L3744" s="74">
        <v>555000.0</v>
      </c>
      <c r="M3744" s="74">
        <f t="shared" si="2"/>
        <v>555000</v>
      </c>
      <c r="N3744" s="74">
        <f t="shared" si="3"/>
        <v>170000</v>
      </c>
      <c r="O3744" s="65" t="str">
        <f>VLOOKUP(E3744,DATABASE!C:Q,8,false)</f>
        <v>BIAN</v>
      </c>
      <c r="P3744" s="65">
        <f>VLOOKUP(E3744,DATABASE!C:Q,9,False)</f>
        <v>1</v>
      </c>
      <c r="Q3744" s="93" t="str">
        <f>VLOOKUP(E3744,DATABASE!C:Q,4,false)</f>
        <v>SAILUN</v>
      </c>
      <c r="R3744" s="93" t="str">
        <f>VLOOKUP(E3744,DATABASE!C:Q,11,false)</f>
        <v>Tire</v>
      </c>
    </row>
    <row r="3745" ht="22.5" customHeight="1">
      <c r="A3745" s="49"/>
      <c r="C3745" s="384">
        <v>45855.0</v>
      </c>
      <c r="D3745" s="65">
        <v>6533.0</v>
      </c>
      <c r="E3745" s="445" t="s">
        <v>265</v>
      </c>
      <c r="F3745" s="386">
        <v>1.0</v>
      </c>
      <c r="G3745" s="74">
        <v>700000.0</v>
      </c>
      <c r="H3745" s="74">
        <v>0.0</v>
      </c>
      <c r="I3745" s="74">
        <f t="shared" si="1"/>
        <v>700000</v>
      </c>
      <c r="J3745" s="74">
        <f>IF(E3745="SERVICE",I3745-(I3745*50%),Vlookup(E3745,DATABASE!C:Q,10,false)*F3745)</f>
        <v>0</v>
      </c>
      <c r="K3745" s="74">
        <f>VLOOKUP(E3745,DATABASE!C:Q,7,false)</f>
        <v>628000</v>
      </c>
      <c r="L3745" s="74">
        <v>610000.0</v>
      </c>
      <c r="M3745" s="74">
        <f t="shared" si="2"/>
        <v>610000</v>
      </c>
      <c r="N3745" s="74">
        <f t="shared" si="3"/>
        <v>90000</v>
      </c>
      <c r="O3745" s="65" t="str">
        <f>VLOOKUP(E3745,DATABASE!C:Q,8,false)</f>
        <v>IBU</v>
      </c>
      <c r="P3745" s="65">
        <f>VLOOKUP(E3745,DATABASE!C:Q,9,False)</f>
        <v>1</v>
      </c>
      <c r="Q3745" s="93" t="str">
        <f>VLOOKUP(E3745,DATABASE!C:Q,4,false)</f>
        <v>Dunlop</v>
      </c>
      <c r="R3745" s="93" t="str">
        <f>VLOOKUP(E3745,DATABASE!C:Q,11,false)</f>
        <v>Tire</v>
      </c>
    </row>
    <row r="3746" ht="22.5" customHeight="1">
      <c r="A3746" s="49"/>
      <c r="C3746" s="384">
        <v>45855.0</v>
      </c>
      <c r="D3746" s="65">
        <v>6534.0</v>
      </c>
      <c r="E3746" s="445" t="s">
        <v>1597</v>
      </c>
      <c r="F3746" s="386">
        <v>1.0</v>
      </c>
      <c r="G3746" s="74">
        <v>645000.0</v>
      </c>
      <c r="H3746" s="74">
        <v>0.0</v>
      </c>
      <c r="I3746" s="74">
        <f t="shared" si="1"/>
        <v>645000</v>
      </c>
      <c r="J3746" s="74">
        <f>IF(E3746="SERVICE",I3746-(I3746*50%),Vlookup(E3746,DATABASE!C:Q,10,false)*F3746)</f>
        <v>0</v>
      </c>
      <c r="K3746" s="74">
        <f>VLOOKUP(E3746,DATABASE!C:Q,7,false)</f>
        <v>560700</v>
      </c>
      <c r="L3746" s="74">
        <v>544300.0</v>
      </c>
      <c r="M3746" s="74">
        <f t="shared" si="2"/>
        <v>545000</v>
      </c>
      <c r="N3746" s="74">
        <f t="shared" si="3"/>
        <v>100000</v>
      </c>
      <c r="O3746" s="65" t="str">
        <f>VLOOKUP(E3746,DATABASE!C:Q,8,false)</f>
        <v>BIAN</v>
      </c>
      <c r="P3746" s="65">
        <f>VLOOKUP(E3746,DATABASE!C:Q,9,False)</f>
        <v>1</v>
      </c>
      <c r="Q3746" s="93" t="str">
        <f>VLOOKUP(E3746,DATABASE!C:Q,4,false)</f>
        <v>GT</v>
      </c>
      <c r="R3746" s="93" t="str">
        <f>VLOOKUP(E3746,DATABASE!C:Q,11,false)</f>
        <v>Tire</v>
      </c>
    </row>
    <row r="3747" ht="22.5" customHeight="1">
      <c r="A3747" s="49"/>
      <c r="C3747" s="384">
        <v>45856.0</v>
      </c>
      <c r="D3747" s="65">
        <v>6535.0</v>
      </c>
      <c r="E3747" s="445" t="s">
        <v>932</v>
      </c>
      <c r="F3747" s="386">
        <v>2.0</v>
      </c>
      <c r="G3747" s="74">
        <v>700000.0</v>
      </c>
      <c r="H3747" s="74">
        <v>0.0</v>
      </c>
      <c r="I3747" s="74">
        <f t="shared" si="1"/>
        <v>1400000</v>
      </c>
      <c r="J3747" s="74">
        <f>IF(E3747="SERVICE",I3747-(I3747*50%),Vlookup(E3747,DATABASE!C:Q,10,false)*F3747)</f>
        <v>0</v>
      </c>
      <c r="K3747" s="74">
        <f>VLOOKUP(E3747,DATABASE!C:Q,7,false)</f>
        <v>601000</v>
      </c>
      <c r="L3747" s="74">
        <v>595000.0</v>
      </c>
      <c r="M3747" s="74">
        <f t="shared" si="2"/>
        <v>595000</v>
      </c>
      <c r="N3747" s="74">
        <f t="shared" si="3"/>
        <v>210000</v>
      </c>
      <c r="O3747" s="65" t="str">
        <f>VLOOKUP(E3747,DATABASE!C:Q,8,false)</f>
        <v>IBU</v>
      </c>
      <c r="P3747" s="65">
        <f>VLOOKUP(E3747,DATABASE!C:Q,9,False)</f>
        <v>1</v>
      </c>
      <c r="Q3747" s="93" t="str">
        <f>VLOOKUP(E3747,DATABASE!C:Q,4,false)</f>
        <v>Dunlop</v>
      </c>
      <c r="R3747" s="93" t="str">
        <f>VLOOKUP(E3747,DATABASE!C:Q,11,false)</f>
        <v>Tire</v>
      </c>
    </row>
    <row r="3748" ht="22.5" customHeight="1">
      <c r="A3748" s="49"/>
      <c r="C3748" s="384">
        <v>45856.0</v>
      </c>
      <c r="D3748" s="65">
        <v>6535.0</v>
      </c>
      <c r="E3748" s="445" t="s">
        <v>256</v>
      </c>
      <c r="F3748" s="386">
        <v>1.0</v>
      </c>
      <c r="G3748" s="74">
        <v>130000.0</v>
      </c>
      <c r="H3748" s="74">
        <v>0.0</v>
      </c>
      <c r="I3748" s="74">
        <f t="shared" si="1"/>
        <v>130000</v>
      </c>
      <c r="J3748" s="74">
        <f>IF(E3748="SERVICE",I3748-(I3748*50%),Vlookup(E3748,DATABASE!C:Q,10,false)*F3748)</f>
        <v>10000</v>
      </c>
      <c r="K3748" s="74">
        <f>VLOOKUP(E3748,DATABASE!C:Q,7,false)</f>
        <v>0</v>
      </c>
      <c r="L3748" s="74">
        <v>0.0</v>
      </c>
      <c r="M3748" s="74">
        <f t="shared" si="2"/>
        <v>0</v>
      </c>
      <c r="N3748" s="74">
        <f t="shared" si="3"/>
        <v>120000</v>
      </c>
      <c r="O3748" s="65" t="str">
        <f>VLOOKUP(E3748,DATABASE!C:Q,8,false)</f>
        <v>IBU</v>
      </c>
      <c r="P3748" s="65">
        <f>VLOOKUP(E3748,DATABASE!C:Q,9,False)</f>
        <v>0</v>
      </c>
      <c r="Q3748" s="93" t="str">
        <f>VLOOKUP(E3748,DATABASE!C:Q,4,false)</f>
        <v>SPOORING</v>
      </c>
      <c r="R3748" s="93" t="str">
        <f>VLOOKUP(E3748,DATABASE!C:Q,11,false)</f>
        <v>SERVICE</v>
      </c>
    </row>
    <row r="3749" ht="22.5" customHeight="1">
      <c r="A3749" s="49"/>
      <c r="C3749" s="384">
        <v>45856.0</v>
      </c>
      <c r="D3749" s="65">
        <v>6536.0</v>
      </c>
      <c r="E3749" s="445" t="s">
        <v>268</v>
      </c>
      <c r="F3749" s="386">
        <v>2.0</v>
      </c>
      <c r="G3749" s="74">
        <v>720000.0</v>
      </c>
      <c r="H3749" s="74">
        <v>0.0</v>
      </c>
      <c r="I3749" s="74">
        <f t="shared" si="1"/>
        <v>1440000</v>
      </c>
      <c r="J3749" s="74">
        <f>IF(E3749="SERVICE",I3749-(I3749*50%),Vlookup(E3749,DATABASE!C:Q,10,false)*F3749)</f>
        <v>0</v>
      </c>
      <c r="K3749" s="74">
        <f>VLOOKUP(E3749,DATABASE!C:Q,7,false)</f>
        <v>653000</v>
      </c>
      <c r="L3749" s="74">
        <v>622000.0</v>
      </c>
      <c r="M3749" s="74">
        <f t="shared" si="2"/>
        <v>625000</v>
      </c>
      <c r="N3749" s="74">
        <f t="shared" si="3"/>
        <v>190000</v>
      </c>
      <c r="O3749" s="65" t="str">
        <f>VLOOKUP(E3749,DATABASE!C:Q,8,false)</f>
        <v>IBU</v>
      </c>
      <c r="P3749" s="65">
        <f>VLOOKUP(E3749,DATABASE!C:Q,9,False)</f>
        <v>1</v>
      </c>
      <c r="Q3749" s="93" t="str">
        <f>VLOOKUP(E3749,DATABASE!C:Q,4,false)</f>
        <v>Dunlop</v>
      </c>
      <c r="R3749" s="93" t="str">
        <f>VLOOKUP(E3749,DATABASE!C:Q,11,false)</f>
        <v>Tire</v>
      </c>
    </row>
    <row r="3750" ht="22.5" customHeight="1">
      <c r="A3750" s="49"/>
      <c r="C3750" s="384">
        <v>45856.0</v>
      </c>
      <c r="D3750" s="65">
        <v>6538.0</v>
      </c>
      <c r="E3750" s="445" t="s">
        <v>268</v>
      </c>
      <c r="F3750" s="386">
        <v>2.0</v>
      </c>
      <c r="G3750" s="74">
        <v>720000.0</v>
      </c>
      <c r="H3750" s="74">
        <v>0.0</v>
      </c>
      <c r="I3750" s="74">
        <f t="shared" si="1"/>
        <v>1440000</v>
      </c>
      <c r="J3750" s="74">
        <f>IF(E3750="SERVICE",I3750-(I3750*50%),Vlookup(E3750,DATABASE!C:Q,10,false)*F3750)</f>
        <v>0</v>
      </c>
      <c r="K3750" s="74">
        <f>VLOOKUP(E3750,DATABASE!C:Q,7,false)</f>
        <v>653000</v>
      </c>
      <c r="L3750" s="74">
        <v>622000.0</v>
      </c>
      <c r="M3750" s="74">
        <f t="shared" si="2"/>
        <v>625000</v>
      </c>
      <c r="N3750" s="74">
        <f t="shared" si="3"/>
        <v>190000</v>
      </c>
      <c r="O3750" s="65" t="str">
        <f>VLOOKUP(E3750,DATABASE!C:Q,8,false)</f>
        <v>IBU</v>
      </c>
      <c r="P3750" s="65">
        <f>VLOOKUP(E3750,DATABASE!C:Q,9,False)</f>
        <v>1</v>
      </c>
      <c r="Q3750" s="93" t="str">
        <f>VLOOKUP(E3750,DATABASE!C:Q,4,false)</f>
        <v>Dunlop</v>
      </c>
      <c r="R3750" s="93" t="str">
        <f>VLOOKUP(E3750,DATABASE!C:Q,11,false)</f>
        <v>Tire</v>
      </c>
    </row>
    <row r="3751" ht="22.5" customHeight="1">
      <c r="A3751" s="49"/>
      <c r="C3751" s="384">
        <v>45856.0</v>
      </c>
      <c r="D3751" s="65">
        <v>6539.0</v>
      </c>
      <c r="E3751" s="445" t="s">
        <v>932</v>
      </c>
      <c r="F3751" s="386">
        <v>2.0</v>
      </c>
      <c r="G3751" s="74">
        <v>700000.0</v>
      </c>
      <c r="H3751" s="74">
        <v>0.0</v>
      </c>
      <c r="I3751" s="74">
        <f t="shared" si="1"/>
        <v>1400000</v>
      </c>
      <c r="J3751" s="74">
        <f>IF(E3751="SERVICE",I3751-(I3751*50%),Vlookup(E3751,DATABASE!C:Q,10,false)*F3751)</f>
        <v>0</v>
      </c>
      <c r="K3751" s="74">
        <f>VLOOKUP(E3751,DATABASE!C:Q,7,false)</f>
        <v>601000</v>
      </c>
      <c r="L3751" s="74">
        <v>595000.0</v>
      </c>
      <c r="M3751" s="74">
        <f t="shared" si="2"/>
        <v>595000</v>
      </c>
      <c r="N3751" s="74">
        <f t="shared" si="3"/>
        <v>210000</v>
      </c>
      <c r="O3751" s="65" t="str">
        <f>VLOOKUP(E3751,DATABASE!C:Q,8,false)</f>
        <v>IBU</v>
      </c>
      <c r="P3751" s="65">
        <f>VLOOKUP(E3751,DATABASE!C:Q,9,False)</f>
        <v>1</v>
      </c>
      <c r="Q3751" s="93" t="str">
        <f>VLOOKUP(E3751,DATABASE!C:Q,4,false)</f>
        <v>Dunlop</v>
      </c>
      <c r="R3751" s="93" t="str">
        <f>VLOOKUP(E3751,DATABASE!C:Q,11,false)</f>
        <v>Tire</v>
      </c>
    </row>
    <row r="3752" ht="22.5" customHeight="1">
      <c r="A3752" s="49"/>
      <c r="C3752" s="384">
        <v>45856.0</v>
      </c>
      <c r="D3752" s="65">
        <v>6540.0</v>
      </c>
      <c r="E3752" s="445" t="s">
        <v>262</v>
      </c>
      <c r="F3752" s="386">
        <v>1.0</v>
      </c>
      <c r="G3752" s="74">
        <v>110000.0</v>
      </c>
      <c r="H3752" s="74">
        <v>0.0</v>
      </c>
      <c r="I3752" s="74">
        <f t="shared" si="1"/>
        <v>110000</v>
      </c>
      <c r="J3752" s="74">
        <f>IF(E3752="SERVICE",I3752-(I3752*50%),Vlookup(E3752,DATABASE!C:Q,10,false)*F3752)</f>
        <v>5000</v>
      </c>
      <c r="K3752" s="74">
        <f>VLOOKUP(E3752,DATABASE!C:Q,7,false)</f>
        <v>0</v>
      </c>
      <c r="L3752" s="74">
        <v>0.0</v>
      </c>
      <c r="M3752" s="74">
        <f t="shared" si="2"/>
        <v>0</v>
      </c>
      <c r="N3752" s="74">
        <f t="shared" si="3"/>
        <v>105000</v>
      </c>
      <c r="O3752" s="65" t="str">
        <f>VLOOKUP(E3752,DATABASE!C:Q,8,false)</f>
        <v>IBU</v>
      </c>
      <c r="P3752" s="65">
        <f>VLOOKUP(E3752,DATABASE!C:Q,9,False)</f>
        <v>0</v>
      </c>
      <c r="Q3752" s="93" t="str">
        <f>VLOOKUP(E3752,DATABASE!C:Q,4,false)</f>
        <v>SPOORING SS/CARRY LOS BAK</v>
      </c>
      <c r="R3752" s="93" t="str">
        <f>VLOOKUP(E3752,DATABASE!C:Q,11,false)</f>
        <v>SERVICE</v>
      </c>
    </row>
    <row r="3753" ht="22.5" customHeight="1">
      <c r="A3753" s="49"/>
      <c r="C3753" s="384">
        <v>45856.0</v>
      </c>
      <c r="D3753" s="65">
        <v>6541.0</v>
      </c>
      <c r="E3753" s="445" t="s">
        <v>614</v>
      </c>
      <c r="F3753" s="386">
        <v>2.0</v>
      </c>
      <c r="G3753" s="74">
        <v>870000.0</v>
      </c>
      <c r="H3753" s="74">
        <v>0.0</v>
      </c>
      <c r="I3753" s="74">
        <f t="shared" si="1"/>
        <v>1740000</v>
      </c>
      <c r="J3753" s="74">
        <f>IF(E3753="SERVICE",I3753-(I3753*50%),Vlookup(E3753,DATABASE!C:Q,10,false)*F3753)</f>
        <v>0</v>
      </c>
      <c r="K3753" s="74">
        <f>VLOOKUP(E3753,DATABASE!C:Q,7,false)</f>
        <v>754660.6</v>
      </c>
      <c r="L3753" s="74">
        <v>766438.4</v>
      </c>
      <c r="M3753" s="74">
        <f t="shared" si="2"/>
        <v>770000</v>
      </c>
      <c r="N3753" s="74">
        <f t="shared" si="3"/>
        <v>200000</v>
      </c>
      <c r="O3753" s="65" t="str">
        <f>VLOOKUP(E3753,DATABASE!C:Q,8,false)</f>
        <v>IBU</v>
      </c>
      <c r="P3753" s="65">
        <f>VLOOKUP(E3753,DATABASE!C:Q,9,False)</f>
        <v>1</v>
      </c>
      <c r="Q3753" s="93" t="str">
        <f>VLOOKUP(E3753,DATABASE!C:Q,4,false)</f>
        <v>Bridgestone</v>
      </c>
      <c r="R3753" s="93" t="str">
        <f>VLOOKUP(E3753,DATABASE!C:Q,11,false)</f>
        <v>Tire</v>
      </c>
    </row>
    <row r="3754" ht="22.5" customHeight="1">
      <c r="A3754" s="49"/>
      <c r="C3754" s="384">
        <v>45856.0</v>
      </c>
      <c r="D3754" s="65">
        <v>6542.0</v>
      </c>
      <c r="E3754" s="445" t="s">
        <v>937</v>
      </c>
      <c r="F3754" s="386">
        <v>4.0</v>
      </c>
      <c r="G3754" s="74">
        <v>900000.0</v>
      </c>
      <c r="H3754" s="74">
        <v>0.0</v>
      </c>
      <c r="I3754" s="74">
        <f t="shared" si="1"/>
        <v>3600000</v>
      </c>
      <c r="J3754" s="74">
        <f>IF(E3754="SERVICE",I3754-(I3754*50%),Vlookup(E3754,DATABASE!C:Q,10,false)*F3754)</f>
        <v>0</v>
      </c>
      <c r="K3754" s="74">
        <f>VLOOKUP(E3754,DATABASE!C:Q,7,false)</f>
        <v>825000</v>
      </c>
      <c r="L3754" s="74">
        <v>790000.0</v>
      </c>
      <c r="M3754" s="74">
        <f t="shared" si="2"/>
        <v>790000</v>
      </c>
      <c r="N3754" s="74">
        <f t="shared" si="3"/>
        <v>440000</v>
      </c>
      <c r="O3754" s="65" t="str">
        <f>VLOOKUP(E3754,DATABASE!C:Q,8,false)</f>
        <v>IBU</v>
      </c>
      <c r="P3754" s="65">
        <f>VLOOKUP(E3754,DATABASE!C:Q,9,False)</f>
        <v>1</v>
      </c>
      <c r="Q3754" s="93" t="str">
        <f>VLOOKUP(E3754,DATABASE!C:Q,4,false)</f>
        <v>Bridgestone</v>
      </c>
      <c r="R3754" s="93" t="str">
        <f>VLOOKUP(E3754,DATABASE!C:Q,11,false)</f>
        <v>Tire</v>
      </c>
    </row>
    <row r="3755" ht="22.5" customHeight="1">
      <c r="A3755" s="49"/>
      <c r="C3755" s="384">
        <v>45856.0</v>
      </c>
      <c r="D3755" s="65">
        <v>6543.0</v>
      </c>
      <c r="E3755" s="445" t="s">
        <v>791</v>
      </c>
      <c r="F3755" s="386">
        <v>2.0</v>
      </c>
      <c r="G3755" s="74">
        <v>1280000.0</v>
      </c>
      <c r="H3755" s="74">
        <v>0.0</v>
      </c>
      <c r="I3755" s="74">
        <f t="shared" si="1"/>
        <v>2560000</v>
      </c>
      <c r="J3755" s="74">
        <f>IF(E3755="SERVICE",I3755-(I3755*50%),Vlookup(E3755,DATABASE!C:Q,10,false)*F3755)</f>
        <v>0</v>
      </c>
      <c r="K3755" s="74">
        <f>VLOOKUP(E3755,DATABASE!C:Q,7,false)</f>
        <v>1210000</v>
      </c>
      <c r="L3755" s="74">
        <v>1180000.0</v>
      </c>
      <c r="M3755" s="74">
        <f t="shared" si="2"/>
        <v>1180000</v>
      </c>
      <c r="N3755" s="74">
        <f t="shared" si="3"/>
        <v>200000</v>
      </c>
      <c r="O3755" s="65" t="str">
        <f>VLOOKUP(E3755,DATABASE!C:Q,8,false)</f>
        <v>BIAN</v>
      </c>
      <c r="P3755" s="65">
        <f>VLOOKUP(E3755,DATABASE!C:Q,9,False)</f>
        <v>1</v>
      </c>
      <c r="Q3755" s="93" t="str">
        <f>VLOOKUP(E3755,DATABASE!C:Q,4,false)</f>
        <v>GT</v>
      </c>
      <c r="R3755" s="93" t="str">
        <f>VLOOKUP(E3755,DATABASE!C:Q,11,false)</f>
        <v>Tire</v>
      </c>
    </row>
    <row r="3756" ht="22.5" customHeight="1">
      <c r="A3756" s="49"/>
      <c r="C3756" s="384">
        <v>45856.0</v>
      </c>
      <c r="D3756" s="65">
        <v>6543.0</v>
      </c>
      <c r="E3756" s="445" t="s">
        <v>255</v>
      </c>
      <c r="F3756" s="386">
        <v>2.0</v>
      </c>
      <c r="G3756" s="74">
        <v>190000.0</v>
      </c>
      <c r="H3756" s="74">
        <v>0.0</v>
      </c>
      <c r="I3756" s="74">
        <f t="shared" si="1"/>
        <v>380000</v>
      </c>
      <c r="J3756" s="74">
        <f>IF(E3756="SERVICE",I3756-(I3756*50%),Vlookup(E3756,DATABASE!C:Q,10,false)*F3756)</f>
        <v>0</v>
      </c>
      <c r="K3756" s="74">
        <f>VLOOKUP(E3756,DATABASE!C:Q,7,false)</f>
        <v>161840</v>
      </c>
      <c r="L3756" s="74">
        <v>161840.0</v>
      </c>
      <c r="M3756" s="74">
        <f t="shared" si="2"/>
        <v>165000</v>
      </c>
      <c r="N3756" s="74">
        <f t="shared" si="3"/>
        <v>50000</v>
      </c>
      <c r="O3756" s="65" t="str">
        <f>VLOOKUP(E3756,DATABASE!C:Q,8,false)</f>
        <v>BIAN</v>
      </c>
      <c r="P3756" s="65">
        <f>VLOOKUP(E3756,DATABASE!C:Q,9,False)</f>
        <v>1</v>
      </c>
      <c r="Q3756" s="93" t="str">
        <f>VLOOKUP(E3756,DATABASE!C:Q,4,false)</f>
        <v>BD</v>
      </c>
      <c r="R3756" s="93" t="str">
        <f>VLOOKUP(E3756,DATABASE!C:Q,11,false)</f>
        <v>Tire</v>
      </c>
    </row>
    <row r="3757" ht="22.5" customHeight="1">
      <c r="A3757" s="49"/>
      <c r="C3757" s="384">
        <v>45856.0</v>
      </c>
      <c r="D3757" s="65">
        <v>6543.0</v>
      </c>
      <c r="E3757" s="445" t="s">
        <v>814</v>
      </c>
      <c r="F3757" s="386">
        <v>1.0</v>
      </c>
      <c r="G3757" s="74">
        <v>65000.0</v>
      </c>
      <c r="H3757" s="74">
        <v>0.0</v>
      </c>
      <c r="I3757" s="74">
        <f t="shared" si="1"/>
        <v>65000</v>
      </c>
      <c r="J3757" s="74">
        <f>IF(E3757="SERVICE",I3757-(I3757*50%),Vlookup(E3757,DATABASE!C:Q,10,false)*F3757)</f>
        <v>0</v>
      </c>
      <c r="K3757" s="74">
        <f>VLOOKUP(E3757,DATABASE!C:Q,7,false)</f>
        <v>39440</v>
      </c>
      <c r="L3757" s="74">
        <v>39440.0</v>
      </c>
      <c r="M3757" s="74">
        <f t="shared" si="2"/>
        <v>40000</v>
      </c>
      <c r="N3757" s="74">
        <f t="shared" si="3"/>
        <v>25000</v>
      </c>
      <c r="O3757" s="65" t="str">
        <f>VLOOKUP(E3757,DATABASE!C:Q,8,false)</f>
        <v>BIAN</v>
      </c>
      <c r="P3757" s="65">
        <f>VLOOKUP(E3757,DATABASE!C:Q,9,False)</f>
        <v>1</v>
      </c>
      <c r="Q3757" s="93" t="str">
        <f>VLOOKUP(E3757,DATABASE!C:Q,4,false)</f>
        <v>Flap</v>
      </c>
      <c r="R3757" s="93" t="str">
        <f>VLOOKUP(E3757,DATABASE!C:Q,11,false)</f>
        <v>Tire</v>
      </c>
    </row>
    <row r="3758" ht="22.5" customHeight="1">
      <c r="A3758" s="49"/>
      <c r="C3758" s="384">
        <v>45856.0</v>
      </c>
      <c r="D3758" s="65">
        <v>6545.0</v>
      </c>
      <c r="E3758" s="445" t="s">
        <v>2140</v>
      </c>
      <c r="F3758" s="386">
        <v>1.0</v>
      </c>
      <c r="G3758" s="74">
        <v>25000.0</v>
      </c>
      <c r="H3758" s="74">
        <v>0.0</v>
      </c>
      <c r="I3758" s="74">
        <f t="shared" si="1"/>
        <v>25000</v>
      </c>
      <c r="J3758" s="74">
        <f>IF(E3758="SERVICE",I3758-(I3758*50%),Vlookup(E3758,DATABASE!C:Q,10,false)*F3758)</f>
        <v>0</v>
      </c>
      <c r="K3758" s="74">
        <f>VLOOKUP(E3758,DATABASE!C:Q,7,false)</f>
        <v>5000</v>
      </c>
      <c r="L3758" s="74">
        <v>0.0</v>
      </c>
      <c r="M3758" s="74">
        <f t="shared" si="2"/>
        <v>0</v>
      </c>
      <c r="N3758" s="74">
        <f t="shared" si="3"/>
        <v>25000</v>
      </c>
      <c r="O3758" s="65" t="str">
        <f>VLOOKUP(E3758,DATABASE!C:Q,8,false)</f>
        <v>IBU</v>
      </c>
      <c r="P3758" s="65">
        <f>VLOOKUP(E3758,DATABASE!C:Q,9,False)</f>
        <v>0</v>
      </c>
      <c r="Q3758" s="93" t="str">
        <f>VLOOKUP(E3758,DATABASE!C:Q,4,false)</f>
        <v>PENTIL + PASANG</v>
      </c>
      <c r="R3758" s="93" t="str">
        <f>VLOOKUP(E3758,DATABASE!C:Q,11,false)</f>
        <v>COMPLEMENTARY</v>
      </c>
    </row>
    <row r="3759" ht="22.5" customHeight="1">
      <c r="A3759" s="49"/>
      <c r="C3759" s="384">
        <v>45857.0</v>
      </c>
      <c r="D3759" s="65">
        <v>6546.0</v>
      </c>
      <c r="E3759" s="445" t="s">
        <v>605</v>
      </c>
      <c r="F3759" s="386">
        <v>1.0</v>
      </c>
      <c r="G3759" s="74">
        <v>760000.0</v>
      </c>
      <c r="H3759" s="74">
        <v>0.0</v>
      </c>
      <c r="I3759" s="74">
        <f t="shared" si="1"/>
        <v>760000</v>
      </c>
      <c r="J3759" s="74">
        <f>IF(E3759="SERVICE",I3759-(I3759*50%),Vlookup(E3759,DATABASE!C:Q,10,false)*F3759)</f>
        <v>0</v>
      </c>
      <c r="K3759" s="74">
        <v>670000.0</v>
      </c>
      <c r="L3759" s="74">
        <v>670000.0</v>
      </c>
      <c r="M3759" s="74">
        <f t="shared" si="2"/>
        <v>670000</v>
      </c>
      <c r="N3759" s="74">
        <f t="shared" si="3"/>
        <v>90000</v>
      </c>
      <c r="O3759" s="65" t="str">
        <f>VLOOKUP(E3759,DATABASE!C:Q,8,false)</f>
        <v>IBU</v>
      </c>
      <c r="P3759" s="65">
        <f>VLOOKUP(E3759,DATABASE!C:Q,9,False)</f>
        <v>1</v>
      </c>
      <c r="Q3759" s="93" t="str">
        <f>VLOOKUP(E3759,DATABASE!C:Q,4,false)</f>
        <v>Bridgestone</v>
      </c>
      <c r="R3759" s="93" t="str">
        <f>VLOOKUP(E3759,DATABASE!C:Q,11,false)</f>
        <v>Tire</v>
      </c>
    </row>
    <row r="3760" ht="22.5" customHeight="1">
      <c r="A3760" s="49"/>
      <c r="C3760" s="384">
        <v>45857.0</v>
      </c>
      <c r="D3760" s="65">
        <v>6546.0</v>
      </c>
      <c r="E3760" s="385" t="s">
        <v>299</v>
      </c>
      <c r="F3760" s="386">
        <v>2.0</v>
      </c>
      <c r="G3760" s="74">
        <v>30000.0</v>
      </c>
      <c r="H3760" s="74">
        <v>0.0</v>
      </c>
      <c r="I3760" s="74">
        <f t="shared" si="1"/>
        <v>60000</v>
      </c>
      <c r="J3760" s="74">
        <f>IF(E3760="SERVICE",I3760-(I3760*50%),Vlookup(E3760,DATABASE!C:Q,10,false)*F3760)</f>
        <v>0</v>
      </c>
      <c r="K3760" s="74">
        <v>0.0</v>
      </c>
      <c r="L3760" s="74">
        <v>0.0</v>
      </c>
      <c r="M3760" s="74">
        <f t="shared" si="2"/>
        <v>0</v>
      </c>
      <c r="N3760" s="74">
        <f t="shared" si="3"/>
        <v>60000</v>
      </c>
      <c r="O3760" s="65" t="str">
        <f>VLOOKUP(E3760,DATABASE!C:Q,8,false)</f>
        <v>BIAN</v>
      </c>
      <c r="P3760" s="65">
        <f>VLOOKUP(E3760,DATABASE!C:Q,9,False)</f>
        <v>0</v>
      </c>
      <c r="Q3760" s="93" t="str">
        <f>VLOOKUP(E3760,DATABASE!C:Q,4,false)</f>
        <v>Balancing</v>
      </c>
      <c r="R3760" s="93" t="str">
        <f>VLOOKUP(E3760,DATABASE!C:Q,11,false)</f>
        <v>COMPLEMENTARY</v>
      </c>
    </row>
    <row r="3761" ht="22.5" customHeight="1">
      <c r="A3761" s="49"/>
      <c r="C3761" s="384">
        <v>45857.0</v>
      </c>
      <c r="D3761" s="65">
        <v>6547.0</v>
      </c>
      <c r="E3761" s="445" t="s">
        <v>1361</v>
      </c>
      <c r="F3761" s="386">
        <v>2.0</v>
      </c>
      <c r="G3761" s="74">
        <v>950000.0</v>
      </c>
      <c r="H3761" s="74">
        <v>0.0</v>
      </c>
      <c r="I3761" s="74">
        <f t="shared" si="1"/>
        <v>1900000</v>
      </c>
      <c r="J3761" s="74">
        <f>IF(E3761="SERVICE",I3761-(I3761*50%),Vlookup(E3761,DATABASE!C:Q,10,false)*F3761)</f>
        <v>0</v>
      </c>
      <c r="K3761" s="74">
        <f>VLOOKUP(E3761,DATABASE!C:Q,7,false)</f>
        <v>881000</v>
      </c>
      <c r="L3761" s="74">
        <v>881000.0</v>
      </c>
      <c r="M3761" s="74">
        <f t="shared" si="2"/>
        <v>885000</v>
      </c>
      <c r="N3761" s="74">
        <f t="shared" si="3"/>
        <v>130000</v>
      </c>
      <c r="O3761" s="65" t="str">
        <f>VLOOKUP(E3761,DATABASE!C:Q,8,false)</f>
        <v>IBU</v>
      </c>
      <c r="P3761" s="65">
        <f>VLOOKUP(E3761,DATABASE!C:Q,9,False)</f>
        <v>1</v>
      </c>
      <c r="Q3761" s="93" t="str">
        <f>VLOOKUP(E3761,DATABASE!C:Q,4,false)</f>
        <v>Dunlop</v>
      </c>
      <c r="R3761" s="93" t="str">
        <f>VLOOKUP(E3761,DATABASE!C:Q,11,false)</f>
        <v>Tire</v>
      </c>
    </row>
    <row r="3762" ht="22.5" customHeight="1">
      <c r="A3762" s="49"/>
      <c r="C3762" s="384">
        <v>45857.0</v>
      </c>
      <c r="D3762" s="65">
        <v>6549.0</v>
      </c>
      <c r="E3762" s="445" t="s">
        <v>764</v>
      </c>
      <c r="F3762" s="386">
        <v>1.0</v>
      </c>
      <c r="G3762" s="74">
        <v>200000.0</v>
      </c>
      <c r="H3762" s="74">
        <v>0.0</v>
      </c>
      <c r="I3762" s="74">
        <f t="shared" si="1"/>
        <v>200000</v>
      </c>
      <c r="J3762" s="74">
        <f>IF(E3762="SERVICE",I3762-(I3762*50%),Vlookup(E3762,DATABASE!C:Q,10,false)*F3762)</f>
        <v>0</v>
      </c>
      <c r="K3762" s="74">
        <f>VLOOKUP(E3762,DATABASE!C:Q,7,false)</f>
        <v>145000</v>
      </c>
      <c r="L3762" s="74">
        <v>145000.0</v>
      </c>
      <c r="M3762" s="74">
        <f t="shared" si="2"/>
        <v>145000</v>
      </c>
      <c r="N3762" s="74">
        <f t="shared" si="3"/>
        <v>55000</v>
      </c>
      <c r="O3762" s="65" t="str">
        <f>VLOOKUP(E3762,DATABASE!C:Q,8,false)</f>
        <v>BIAN</v>
      </c>
      <c r="P3762" s="65">
        <f>VLOOKUP(E3762,DATABASE!C:Q,9,False)</f>
        <v>1</v>
      </c>
      <c r="Q3762" s="93" t="str">
        <f>VLOOKUP(E3762,DATABASE!C:Q,4,false)</f>
        <v>BD</v>
      </c>
      <c r="R3762" s="93" t="str">
        <f>VLOOKUP(E3762,DATABASE!C:Q,11,false)</f>
        <v>Tire</v>
      </c>
    </row>
    <row r="3763" ht="22.5" customHeight="1">
      <c r="A3763" s="49"/>
      <c r="C3763" s="384">
        <v>45857.0</v>
      </c>
      <c r="D3763" s="65">
        <v>6550.0</v>
      </c>
      <c r="E3763" s="445" t="s">
        <v>246</v>
      </c>
      <c r="F3763" s="386">
        <v>1.0</v>
      </c>
      <c r="G3763" s="74">
        <v>30000.0</v>
      </c>
      <c r="H3763" s="74">
        <v>0.0</v>
      </c>
      <c r="I3763" s="74">
        <f t="shared" si="1"/>
        <v>30000</v>
      </c>
      <c r="J3763" s="74">
        <f>IF(E3763="SERVICE",I3763-(I3763*50%),Vlookup(E3763,DATABASE!C:Q,10,false)*F3763)</f>
        <v>0</v>
      </c>
      <c r="K3763" s="74">
        <f>VLOOKUP(E3763,DATABASE!C:Q,7,false)</f>
        <v>0</v>
      </c>
      <c r="L3763" s="74">
        <v>0.0</v>
      </c>
      <c r="M3763" s="74">
        <f t="shared" si="2"/>
        <v>0</v>
      </c>
      <c r="N3763" s="74">
        <f t="shared" si="3"/>
        <v>30000</v>
      </c>
      <c r="O3763" s="65" t="str">
        <f>VLOOKUP(E3763,DATABASE!C:Q,8,false)</f>
        <v>IBU</v>
      </c>
      <c r="P3763" s="65">
        <f>VLOOKUP(E3763,DATABASE!C:Q,9,False)</f>
        <v>0</v>
      </c>
      <c r="Q3763" s="93" t="str">
        <f>VLOOKUP(E3763,DATABASE!C:Q,4,false)</f>
        <v>Bongkar Pasang</v>
      </c>
      <c r="R3763" s="93" t="str">
        <f>VLOOKUP(E3763,DATABASE!C:Q,11,false)</f>
        <v>SERVICE</v>
      </c>
    </row>
    <row r="3764" ht="22.5" customHeight="1">
      <c r="A3764" s="49"/>
      <c r="C3764" s="384">
        <v>45857.0</v>
      </c>
      <c r="D3764" s="65">
        <v>6552.0</v>
      </c>
      <c r="E3764" s="445" t="s">
        <v>268</v>
      </c>
      <c r="F3764" s="386">
        <v>1.0</v>
      </c>
      <c r="G3764" s="74">
        <v>720000.0</v>
      </c>
      <c r="H3764" s="74">
        <v>0.0</v>
      </c>
      <c r="I3764" s="74">
        <f t="shared" si="1"/>
        <v>720000</v>
      </c>
      <c r="J3764" s="74">
        <f>IF(E3764="SERVICE",I3764-(I3764*50%),Vlookup(E3764,DATABASE!C:Q,10,false)*F3764)</f>
        <v>0</v>
      </c>
      <c r="K3764" s="74">
        <f>VLOOKUP(E3764,DATABASE!C:Q,7,false)</f>
        <v>653000</v>
      </c>
      <c r="L3764" s="74">
        <v>622000.0</v>
      </c>
      <c r="M3764" s="74">
        <f t="shared" si="2"/>
        <v>625000</v>
      </c>
      <c r="N3764" s="74">
        <f t="shared" si="3"/>
        <v>95000</v>
      </c>
      <c r="O3764" s="65" t="str">
        <f>VLOOKUP(E3764,DATABASE!C:Q,8,false)</f>
        <v>IBU</v>
      </c>
      <c r="P3764" s="65">
        <f>VLOOKUP(E3764,DATABASE!C:Q,9,False)</f>
        <v>1</v>
      </c>
      <c r="Q3764" s="93" t="str">
        <f>VLOOKUP(E3764,DATABASE!C:Q,4,false)</f>
        <v>Dunlop</v>
      </c>
      <c r="R3764" s="93" t="str">
        <f>VLOOKUP(E3764,DATABASE!C:Q,11,false)</f>
        <v>Tire</v>
      </c>
    </row>
    <row r="3765" ht="22.5" customHeight="1">
      <c r="A3765" s="49"/>
      <c r="C3765" s="384">
        <v>45857.0</v>
      </c>
      <c r="D3765" s="65">
        <v>6553.0</v>
      </c>
      <c r="E3765" s="445" t="s">
        <v>600</v>
      </c>
      <c r="F3765" s="386">
        <v>3.0</v>
      </c>
      <c r="G3765" s="74">
        <v>675000.0</v>
      </c>
      <c r="H3765" s="74">
        <v>0.0</v>
      </c>
      <c r="I3765" s="74">
        <f t="shared" si="1"/>
        <v>2025000</v>
      </c>
      <c r="J3765" s="74">
        <f>IF(E3765="SERVICE",I3765-(I3765*50%),Vlookup(E3765,DATABASE!C:Q,10,false)*F3765)</f>
        <v>0</v>
      </c>
      <c r="K3765" s="74">
        <f>VLOOKUP(E3765,DATABASE!C:Q,7,false)</f>
        <v>611109.16</v>
      </c>
      <c r="L3765" s="74">
        <v>572762.4</v>
      </c>
      <c r="M3765" s="74">
        <f t="shared" si="2"/>
        <v>575000</v>
      </c>
      <c r="N3765" s="74">
        <f t="shared" si="3"/>
        <v>300000</v>
      </c>
      <c r="O3765" s="65" t="str">
        <f>VLOOKUP(E3765,DATABASE!C:Q,8,false)</f>
        <v>IBU</v>
      </c>
      <c r="P3765" s="65">
        <f>VLOOKUP(E3765,DATABASE!C:Q,9,False)</f>
        <v>1</v>
      </c>
      <c r="Q3765" s="93" t="str">
        <f>VLOOKUP(E3765,DATABASE!C:Q,4,false)</f>
        <v>Bridgestone</v>
      </c>
      <c r="R3765" s="93" t="str">
        <f>VLOOKUP(E3765,DATABASE!C:Q,11,false)</f>
        <v>Tire</v>
      </c>
    </row>
    <row r="3766" ht="22.5" customHeight="1">
      <c r="A3766" s="49"/>
      <c r="C3766" s="384">
        <v>45857.0</v>
      </c>
      <c r="D3766" s="65">
        <v>6554.0</v>
      </c>
      <c r="E3766" s="445" t="s">
        <v>569</v>
      </c>
      <c r="F3766" s="386">
        <v>1.0</v>
      </c>
      <c r="G3766" s="74">
        <v>80000.0</v>
      </c>
      <c r="H3766" s="74">
        <v>0.0</v>
      </c>
      <c r="I3766" s="74">
        <f t="shared" si="1"/>
        <v>80000</v>
      </c>
      <c r="J3766" s="74">
        <f>IF(E3766="SERVICE",I3766-(I3766*50%),Vlookup(E3766,DATABASE!C:Q,10,false)*F3766)</f>
        <v>0</v>
      </c>
      <c r="K3766" s="74">
        <f>VLOOKUP(E3766,DATABASE!C:Q,7,false)</f>
        <v>45439.582</v>
      </c>
      <c r="L3766" s="74">
        <v>45309.6</v>
      </c>
      <c r="M3766" s="74">
        <f t="shared" si="2"/>
        <v>50000</v>
      </c>
      <c r="N3766" s="74">
        <f t="shared" si="3"/>
        <v>30000</v>
      </c>
      <c r="O3766" s="65" t="str">
        <f>VLOOKUP(E3766,DATABASE!C:Q,8,false)</f>
        <v>BIAN</v>
      </c>
      <c r="P3766" s="65">
        <f>VLOOKUP(E3766,DATABASE!C:Q,9,False)</f>
        <v>1</v>
      </c>
      <c r="Q3766" s="93" t="str">
        <f>VLOOKUP(E3766,DATABASE!C:Q,4,false)</f>
        <v>BD</v>
      </c>
      <c r="R3766" s="93" t="str">
        <f>VLOOKUP(E3766,DATABASE!C:Q,11,false)</f>
        <v>Tire</v>
      </c>
    </row>
    <row r="3767" ht="22.5" customHeight="1">
      <c r="A3767" s="49"/>
      <c r="C3767" s="384">
        <v>45857.0</v>
      </c>
      <c r="D3767" s="65">
        <v>6555.0</v>
      </c>
      <c r="E3767" s="445" t="s">
        <v>268</v>
      </c>
      <c r="F3767" s="386">
        <v>2.0</v>
      </c>
      <c r="G3767" s="74">
        <v>720000.0</v>
      </c>
      <c r="H3767" s="74">
        <v>0.0</v>
      </c>
      <c r="I3767" s="74">
        <f t="shared" si="1"/>
        <v>1440000</v>
      </c>
      <c r="J3767" s="74">
        <f>IF(E3767="SERVICE",I3767-(I3767*50%),Vlookup(E3767,DATABASE!C:Q,10,false)*F3767)</f>
        <v>0</v>
      </c>
      <c r="K3767" s="74">
        <f>VLOOKUP(E3767,DATABASE!C:Q,7,false)</f>
        <v>653000</v>
      </c>
      <c r="L3767" s="74">
        <v>622000.0</v>
      </c>
      <c r="M3767" s="74">
        <f t="shared" si="2"/>
        <v>625000</v>
      </c>
      <c r="N3767" s="74">
        <f t="shared" si="3"/>
        <v>190000</v>
      </c>
      <c r="O3767" s="65" t="str">
        <f>VLOOKUP(E3767,DATABASE!C:Q,8,false)</f>
        <v>IBU</v>
      </c>
      <c r="P3767" s="65">
        <f>VLOOKUP(E3767,DATABASE!C:Q,9,False)</f>
        <v>1</v>
      </c>
      <c r="Q3767" s="93" t="str">
        <f>VLOOKUP(E3767,DATABASE!C:Q,4,false)</f>
        <v>Dunlop</v>
      </c>
      <c r="R3767" s="93" t="str">
        <f>VLOOKUP(E3767,DATABASE!C:Q,11,false)</f>
        <v>Tire</v>
      </c>
    </row>
    <row r="3768" ht="22.5" customHeight="1">
      <c r="A3768" s="49"/>
      <c r="C3768" s="384">
        <v>45857.0</v>
      </c>
      <c r="D3768" s="65">
        <v>6556.0</v>
      </c>
      <c r="E3768" s="445" t="s">
        <v>814</v>
      </c>
      <c r="F3768" s="386">
        <v>1.0</v>
      </c>
      <c r="G3768" s="74">
        <v>65000.0</v>
      </c>
      <c r="H3768" s="74">
        <v>0.0</v>
      </c>
      <c r="I3768" s="74">
        <f t="shared" si="1"/>
        <v>65000</v>
      </c>
      <c r="J3768" s="74">
        <f>IF(E3768="SERVICE",I3768-(I3768*50%),Vlookup(E3768,DATABASE!C:Q,10,false)*F3768)</f>
        <v>0</v>
      </c>
      <c r="K3768" s="74">
        <f>VLOOKUP(E3768,DATABASE!C:Q,7,false)</f>
        <v>39440</v>
      </c>
      <c r="L3768" s="74">
        <v>39440.0</v>
      </c>
      <c r="M3768" s="74">
        <f t="shared" si="2"/>
        <v>40000</v>
      </c>
      <c r="N3768" s="74">
        <f t="shared" si="3"/>
        <v>25000</v>
      </c>
      <c r="O3768" s="65" t="str">
        <f>VLOOKUP(E3768,DATABASE!C:Q,8,false)</f>
        <v>BIAN</v>
      </c>
      <c r="P3768" s="65">
        <f>VLOOKUP(E3768,DATABASE!C:Q,9,False)</f>
        <v>1</v>
      </c>
      <c r="Q3768" s="93" t="str">
        <f>VLOOKUP(E3768,DATABASE!C:Q,4,false)</f>
        <v>Flap</v>
      </c>
      <c r="R3768" s="93" t="str">
        <f>VLOOKUP(E3768,DATABASE!C:Q,11,false)</f>
        <v>Tire</v>
      </c>
    </row>
    <row r="3769" ht="22.5" customHeight="1">
      <c r="A3769" s="49"/>
      <c r="C3769" s="384">
        <v>45857.0</v>
      </c>
      <c r="D3769" s="65">
        <v>6557.0</v>
      </c>
      <c r="E3769" s="445" t="s">
        <v>569</v>
      </c>
      <c r="F3769" s="386">
        <v>1.0</v>
      </c>
      <c r="G3769" s="74">
        <v>95000.0</v>
      </c>
      <c r="H3769" s="74">
        <v>0.0</v>
      </c>
      <c r="I3769" s="74">
        <f t="shared" si="1"/>
        <v>95000</v>
      </c>
      <c r="J3769" s="74">
        <f>IF(E3769="SERVICE",I3769-(I3769*50%),Vlookup(E3769,DATABASE!C:Q,10,false)*F3769)</f>
        <v>0</v>
      </c>
      <c r="K3769" s="74">
        <f>VLOOKUP(E3769,DATABASE!C:Q,7,false)</f>
        <v>45439.582</v>
      </c>
      <c r="L3769" s="74">
        <v>45309.6</v>
      </c>
      <c r="M3769" s="74">
        <f t="shared" si="2"/>
        <v>50000</v>
      </c>
      <c r="N3769" s="74">
        <f t="shared" si="3"/>
        <v>45000</v>
      </c>
      <c r="O3769" s="65" t="str">
        <f>VLOOKUP(E3769,DATABASE!C:Q,8,false)</f>
        <v>BIAN</v>
      </c>
      <c r="P3769" s="65">
        <f>VLOOKUP(E3769,DATABASE!C:Q,9,False)</f>
        <v>1</v>
      </c>
      <c r="Q3769" s="93" t="str">
        <f>VLOOKUP(E3769,DATABASE!C:Q,4,false)</f>
        <v>BD</v>
      </c>
      <c r="R3769" s="93" t="str">
        <f>VLOOKUP(E3769,DATABASE!C:Q,11,false)</f>
        <v>Tire</v>
      </c>
    </row>
    <row r="3770" ht="22.5" customHeight="1">
      <c r="A3770" s="49"/>
      <c r="C3770" s="384">
        <v>45858.0</v>
      </c>
      <c r="D3770" s="65">
        <v>6558.0</v>
      </c>
      <c r="E3770" s="445" t="s">
        <v>1530</v>
      </c>
      <c r="F3770" s="386">
        <v>2.0</v>
      </c>
      <c r="G3770" s="74">
        <v>560000.0</v>
      </c>
      <c r="H3770" s="74">
        <v>0.0</v>
      </c>
      <c r="I3770" s="74">
        <f t="shared" si="1"/>
        <v>1120000</v>
      </c>
      <c r="J3770" s="74">
        <f>IF(E3770="SERVICE",I3770-(I3770*50%),Vlookup(E3770,DATABASE!C:Q,10,false)*F3770)</f>
        <v>0</v>
      </c>
      <c r="K3770" s="74">
        <f>VLOOKUP(E3770,DATABASE!C:Q,7,false)</f>
        <v>467000</v>
      </c>
      <c r="L3770" s="74">
        <v>454000.0</v>
      </c>
      <c r="M3770" s="74">
        <f t="shared" si="2"/>
        <v>455000</v>
      </c>
      <c r="N3770" s="74">
        <f t="shared" si="3"/>
        <v>210000</v>
      </c>
      <c r="O3770" s="65" t="str">
        <f>VLOOKUP(E3770,DATABASE!C:Q,8,false)</f>
        <v>BIAN</v>
      </c>
      <c r="P3770" s="65">
        <f>VLOOKUP(E3770,DATABASE!C:Q,9,False)</f>
        <v>1</v>
      </c>
      <c r="Q3770" s="93" t="str">
        <f>VLOOKUP(E3770,DATABASE!C:Q,4,false)</f>
        <v>Laufen</v>
      </c>
      <c r="R3770" s="93" t="str">
        <f>VLOOKUP(E3770,DATABASE!C:Q,11,false)</f>
        <v>Tire</v>
      </c>
    </row>
    <row r="3771" ht="22.5" customHeight="1">
      <c r="A3771" s="49"/>
      <c r="C3771" s="384">
        <v>45858.0</v>
      </c>
      <c r="D3771" s="65">
        <v>6558.0</v>
      </c>
      <c r="E3771" s="385" t="s">
        <v>299</v>
      </c>
      <c r="F3771" s="386">
        <v>2.0</v>
      </c>
      <c r="G3771" s="74">
        <v>30000.0</v>
      </c>
      <c r="H3771" s="74">
        <v>0.0</v>
      </c>
      <c r="I3771" s="74">
        <f t="shared" si="1"/>
        <v>60000</v>
      </c>
      <c r="J3771" s="74">
        <f>IF(E3771="SERVICE",I3771-(I3771*50%),Vlookup(E3771,DATABASE!C:Q,10,false)*F3771)</f>
        <v>0</v>
      </c>
      <c r="K3771" s="74">
        <v>0.0</v>
      </c>
      <c r="L3771" s="74">
        <v>0.0</v>
      </c>
      <c r="M3771" s="74">
        <f t="shared" si="2"/>
        <v>0</v>
      </c>
      <c r="N3771" s="74">
        <f t="shared" si="3"/>
        <v>60000</v>
      </c>
      <c r="O3771" s="65" t="str">
        <f>VLOOKUP(E3771,DATABASE!C:Q,8,false)</f>
        <v>BIAN</v>
      </c>
      <c r="P3771" s="65">
        <f>VLOOKUP(E3771,DATABASE!C:Q,9,False)</f>
        <v>0</v>
      </c>
      <c r="Q3771" s="93" t="str">
        <f>VLOOKUP(E3771,DATABASE!C:Q,4,false)</f>
        <v>Balancing</v>
      </c>
      <c r="R3771" s="93" t="str">
        <f>VLOOKUP(E3771,DATABASE!C:Q,11,false)</f>
        <v>COMPLEMENTARY</v>
      </c>
    </row>
    <row r="3772" ht="22.5" customHeight="1">
      <c r="A3772" s="49"/>
      <c r="C3772" s="384">
        <v>45858.0</v>
      </c>
      <c r="D3772" s="65">
        <v>6558.0</v>
      </c>
      <c r="E3772" s="445" t="s">
        <v>256</v>
      </c>
      <c r="F3772" s="386">
        <v>1.0</v>
      </c>
      <c r="G3772" s="74">
        <v>130000.0</v>
      </c>
      <c r="H3772" s="74">
        <v>0.0</v>
      </c>
      <c r="I3772" s="74">
        <f t="shared" si="1"/>
        <v>130000</v>
      </c>
      <c r="J3772" s="74">
        <f>IF(E3772="SERVICE",I3772-(I3772*50%),Vlookup(E3772,DATABASE!C:Q,10,false)*F3772)</f>
        <v>10000</v>
      </c>
      <c r="K3772" s="74">
        <f>VLOOKUP(E3772,DATABASE!C:Q,7,false)</f>
        <v>0</v>
      </c>
      <c r="L3772" s="74">
        <v>0.0</v>
      </c>
      <c r="M3772" s="74">
        <f t="shared" si="2"/>
        <v>0</v>
      </c>
      <c r="N3772" s="74">
        <f t="shared" si="3"/>
        <v>120000</v>
      </c>
      <c r="O3772" s="65" t="str">
        <f>VLOOKUP(E3772,DATABASE!C:Q,8,false)</f>
        <v>IBU</v>
      </c>
      <c r="P3772" s="65">
        <f>VLOOKUP(E3772,DATABASE!C:Q,9,False)</f>
        <v>0</v>
      </c>
      <c r="Q3772" s="93" t="str">
        <f>VLOOKUP(E3772,DATABASE!C:Q,4,false)</f>
        <v>SPOORING</v>
      </c>
      <c r="R3772" s="93" t="str">
        <f>VLOOKUP(E3772,DATABASE!C:Q,11,false)</f>
        <v>SERVICE</v>
      </c>
    </row>
    <row r="3773" ht="22.5" customHeight="1">
      <c r="A3773" s="49"/>
      <c r="C3773" s="384">
        <v>45858.0</v>
      </c>
      <c r="D3773" s="65">
        <v>6558.0</v>
      </c>
      <c r="E3773" s="445" t="s">
        <v>301</v>
      </c>
      <c r="F3773" s="386">
        <v>1.0</v>
      </c>
      <c r="G3773" s="74">
        <v>250000.0</v>
      </c>
      <c r="H3773" s="74">
        <v>0.0</v>
      </c>
      <c r="I3773" s="74">
        <f t="shared" si="1"/>
        <v>250000</v>
      </c>
      <c r="J3773" s="74">
        <f>IF(E3773="SERVICE",I3773-(I3773*50%),Vlookup(E3773,DATABASE!C:Q,10,false)*F3773)</f>
        <v>75000</v>
      </c>
      <c r="K3773" s="74">
        <f>VLOOKUP(E3773,DATABASE!C:Q,7,false)</f>
        <v>75000</v>
      </c>
      <c r="L3773" s="74">
        <v>75000.0</v>
      </c>
      <c r="M3773" s="74">
        <f t="shared" si="2"/>
        <v>75000</v>
      </c>
      <c r="N3773" s="74">
        <f t="shared" si="3"/>
        <v>100000</v>
      </c>
      <c r="O3773" s="65" t="str">
        <f>VLOOKUP(E3773,DATABASE!C:Q,8,false)</f>
        <v>BIAN</v>
      </c>
      <c r="P3773" s="65">
        <f>VLOOKUP(E3773,DATABASE!C:Q,9,False)</f>
        <v>0</v>
      </c>
      <c r="Q3773" s="93" t="str">
        <f>VLOOKUP(E3773,DATABASE!C:Q,4,false)</f>
        <v>Baut Camber</v>
      </c>
      <c r="R3773" s="93" t="str">
        <f>VLOOKUP(E3773,DATABASE!C:Q,11,false)</f>
        <v>COMPLEMENTARY</v>
      </c>
    </row>
    <row r="3774" ht="22.5" customHeight="1">
      <c r="A3774" s="49"/>
      <c r="C3774" s="384">
        <v>45859.0</v>
      </c>
      <c r="D3774" s="65">
        <v>6559.0</v>
      </c>
      <c r="E3774" s="445" t="s">
        <v>1783</v>
      </c>
      <c r="F3774" s="386">
        <v>1.0</v>
      </c>
      <c r="G3774" s="74">
        <v>680000.0</v>
      </c>
      <c r="H3774" s="74">
        <v>0.0</v>
      </c>
      <c r="I3774" s="74">
        <f t="shared" si="1"/>
        <v>680000</v>
      </c>
      <c r="J3774" s="74">
        <f>IF(E3774="SERVICE",I3774-(I3774*50%),Vlookup(E3774,DATABASE!C:Q,10,false)*F3774)</f>
        <v>0</v>
      </c>
      <c r="K3774" s="74">
        <f>VLOOKUP(E3774,DATABASE!C:Q,7,false)</f>
        <v>628100</v>
      </c>
      <c r="L3774" s="74">
        <v>572900.0</v>
      </c>
      <c r="M3774" s="74">
        <f t="shared" si="2"/>
        <v>575000</v>
      </c>
      <c r="N3774" s="74">
        <f t="shared" si="3"/>
        <v>105000</v>
      </c>
      <c r="O3774" s="65" t="str">
        <f>VLOOKUP(E3774,DATABASE!C:Q,8,false)</f>
        <v>BIAN</v>
      </c>
      <c r="P3774" s="65">
        <f>VLOOKUP(E3774,DATABASE!C:Q,9,False)</f>
        <v>1</v>
      </c>
      <c r="Q3774" s="93" t="str">
        <f>VLOOKUP(E3774,DATABASE!C:Q,4,false)</f>
        <v>GT</v>
      </c>
      <c r="R3774" s="93" t="str">
        <f>VLOOKUP(E3774,DATABASE!C:Q,11,false)</f>
        <v>Tire</v>
      </c>
    </row>
    <row r="3775" ht="22.5" customHeight="1">
      <c r="A3775" s="49"/>
      <c r="C3775" s="384">
        <v>45859.0</v>
      </c>
      <c r="D3775" s="65">
        <v>6559.0</v>
      </c>
      <c r="E3775" s="445" t="s">
        <v>256</v>
      </c>
      <c r="F3775" s="386">
        <v>1.0</v>
      </c>
      <c r="G3775" s="74">
        <v>130000.0</v>
      </c>
      <c r="H3775" s="74">
        <v>0.0</v>
      </c>
      <c r="I3775" s="74">
        <f t="shared" si="1"/>
        <v>130000</v>
      </c>
      <c r="J3775" s="74">
        <f>IF(E3775="SERVICE",I3775-(I3775*50%),Vlookup(E3775,DATABASE!C:Q,10,false)*F3775)</f>
        <v>10000</v>
      </c>
      <c r="K3775" s="74">
        <f>VLOOKUP(E3775,DATABASE!C:Q,7,false)</f>
        <v>0</v>
      </c>
      <c r="L3775" s="74">
        <v>0.0</v>
      </c>
      <c r="M3775" s="74">
        <f t="shared" si="2"/>
        <v>0</v>
      </c>
      <c r="N3775" s="74">
        <f t="shared" si="3"/>
        <v>120000</v>
      </c>
      <c r="O3775" s="65" t="str">
        <f>VLOOKUP(E3775,DATABASE!C:Q,8,false)</f>
        <v>IBU</v>
      </c>
      <c r="P3775" s="65">
        <f>VLOOKUP(E3775,DATABASE!C:Q,9,False)</f>
        <v>0</v>
      </c>
      <c r="Q3775" s="93" t="str">
        <f>VLOOKUP(E3775,DATABASE!C:Q,4,false)</f>
        <v>SPOORING</v>
      </c>
      <c r="R3775" s="93" t="str">
        <f>VLOOKUP(E3775,DATABASE!C:Q,11,false)</f>
        <v>SERVICE</v>
      </c>
    </row>
    <row r="3776" ht="22.5" customHeight="1">
      <c r="A3776" s="49"/>
      <c r="C3776" s="384">
        <v>45859.0</v>
      </c>
      <c r="D3776" s="65">
        <v>6561.0</v>
      </c>
      <c r="E3776" s="445" t="s">
        <v>706</v>
      </c>
      <c r="F3776" s="386">
        <v>1.0</v>
      </c>
      <c r="G3776" s="74">
        <v>570000.0</v>
      </c>
      <c r="H3776" s="74">
        <v>0.0</v>
      </c>
      <c r="I3776" s="74">
        <f t="shared" si="1"/>
        <v>570000</v>
      </c>
      <c r="J3776" s="74">
        <f>IF(E3776="SERVICE",I3776-(I3776*50%),Vlookup(E3776,DATABASE!C:Q,10,false)*F3776)</f>
        <v>0</v>
      </c>
      <c r="K3776" s="74">
        <f>VLOOKUP(E3776,DATABASE!C:Q,7,false)</f>
        <v>485000</v>
      </c>
      <c r="L3776" s="74">
        <v>485000.0</v>
      </c>
      <c r="M3776" s="74">
        <f t="shared" si="2"/>
        <v>485000</v>
      </c>
      <c r="N3776" s="74">
        <f t="shared" si="3"/>
        <v>85000</v>
      </c>
      <c r="O3776" s="65" t="str">
        <f>VLOOKUP(E3776,DATABASE!C:Q,8,false)</f>
        <v>IBU</v>
      </c>
      <c r="P3776" s="65">
        <f>VLOOKUP(E3776,DATABASE!C:Q,9,False)</f>
        <v>1</v>
      </c>
      <c r="Q3776" s="93" t="str">
        <f>VLOOKUP(E3776,DATABASE!C:Q,4,false)</f>
        <v>Dunlop</v>
      </c>
      <c r="R3776" s="93" t="str">
        <f>VLOOKUP(E3776,DATABASE!C:Q,11,false)</f>
        <v>Tire</v>
      </c>
    </row>
    <row r="3777" ht="22.5" customHeight="1">
      <c r="A3777" s="49"/>
      <c r="C3777" s="384">
        <v>45859.0</v>
      </c>
      <c r="D3777" s="65">
        <v>6562.0</v>
      </c>
      <c r="E3777" s="445" t="s">
        <v>268</v>
      </c>
      <c r="F3777" s="386">
        <v>1.0</v>
      </c>
      <c r="G3777" s="74">
        <v>720000.0</v>
      </c>
      <c r="H3777" s="74">
        <v>0.0</v>
      </c>
      <c r="I3777" s="74">
        <f t="shared" si="1"/>
        <v>720000</v>
      </c>
      <c r="J3777" s="74">
        <f>IF(E3777="SERVICE",I3777-(I3777*50%),Vlookup(E3777,DATABASE!C:Q,10,false)*F3777)</f>
        <v>0</v>
      </c>
      <c r="K3777" s="74">
        <f>VLOOKUP(E3777,DATABASE!C:Q,7,false)</f>
        <v>653000</v>
      </c>
      <c r="L3777" s="74">
        <v>622000.0</v>
      </c>
      <c r="M3777" s="74">
        <f t="shared" si="2"/>
        <v>625000</v>
      </c>
      <c r="N3777" s="74">
        <f t="shared" si="3"/>
        <v>95000</v>
      </c>
      <c r="O3777" s="65" t="str">
        <f>VLOOKUP(E3777,DATABASE!C:Q,8,false)</f>
        <v>IBU</v>
      </c>
      <c r="P3777" s="65">
        <f>VLOOKUP(E3777,DATABASE!C:Q,9,False)</f>
        <v>1</v>
      </c>
      <c r="Q3777" s="93" t="str">
        <f>VLOOKUP(E3777,DATABASE!C:Q,4,false)</f>
        <v>Dunlop</v>
      </c>
      <c r="R3777" s="93" t="str">
        <f>VLOOKUP(E3777,DATABASE!C:Q,11,false)</f>
        <v>Tire</v>
      </c>
    </row>
    <row r="3778" ht="22.5" customHeight="1">
      <c r="A3778" s="49"/>
      <c r="C3778" s="384">
        <v>45859.0</v>
      </c>
      <c r="D3778" s="65">
        <v>6563.0</v>
      </c>
      <c r="E3778" s="445" t="s">
        <v>955</v>
      </c>
      <c r="F3778" s="386">
        <v>2.0</v>
      </c>
      <c r="G3778" s="74">
        <v>780000.0</v>
      </c>
      <c r="H3778" s="74">
        <v>0.0</v>
      </c>
      <c r="I3778" s="74">
        <f t="shared" si="1"/>
        <v>1560000</v>
      </c>
      <c r="J3778" s="74">
        <f>IF(E3778="SERVICE",I3778-(I3778*50%),Vlookup(E3778,DATABASE!C:Q,10,false)*F3778)</f>
        <v>0</v>
      </c>
      <c r="K3778" s="74">
        <f>VLOOKUP(E3778,DATABASE!C:Q,7,false)</f>
        <v>712000</v>
      </c>
      <c r="L3778" s="74">
        <v>674000.0</v>
      </c>
      <c r="M3778" s="74">
        <f t="shared" si="2"/>
        <v>675000</v>
      </c>
      <c r="N3778" s="74">
        <f t="shared" si="3"/>
        <v>210000</v>
      </c>
      <c r="O3778" s="65" t="str">
        <f>VLOOKUP(E3778,DATABASE!C:Q,8,false)</f>
        <v>IBU</v>
      </c>
      <c r="P3778" s="65">
        <f>VLOOKUP(E3778,DATABASE!C:Q,9,False)</f>
        <v>1</v>
      </c>
      <c r="Q3778" s="93" t="str">
        <f>VLOOKUP(E3778,DATABASE!C:Q,4,false)</f>
        <v>Dunlop</v>
      </c>
      <c r="R3778" s="93" t="str">
        <f>VLOOKUP(E3778,DATABASE!C:Q,11,false)</f>
        <v>Tire</v>
      </c>
    </row>
    <row r="3779" ht="22.5" customHeight="1">
      <c r="A3779" s="49"/>
      <c r="C3779" s="384">
        <v>45859.0</v>
      </c>
      <c r="D3779" s="65">
        <v>6563.0</v>
      </c>
      <c r="E3779" s="445" t="s">
        <v>256</v>
      </c>
      <c r="F3779" s="386">
        <v>1.0</v>
      </c>
      <c r="G3779" s="74">
        <v>130000.0</v>
      </c>
      <c r="H3779" s="74">
        <v>0.0</v>
      </c>
      <c r="I3779" s="74">
        <f t="shared" si="1"/>
        <v>130000</v>
      </c>
      <c r="J3779" s="74">
        <f>IF(E3779="SERVICE",I3779-(I3779*50%),Vlookup(E3779,DATABASE!C:Q,10,false)*F3779)</f>
        <v>10000</v>
      </c>
      <c r="K3779" s="74">
        <f>VLOOKUP(E3779,DATABASE!C:Q,7,false)</f>
        <v>0</v>
      </c>
      <c r="L3779" s="74">
        <v>0.0</v>
      </c>
      <c r="M3779" s="74">
        <f t="shared" si="2"/>
        <v>0</v>
      </c>
      <c r="N3779" s="74">
        <f t="shared" si="3"/>
        <v>120000</v>
      </c>
      <c r="O3779" s="65" t="str">
        <f>VLOOKUP(E3779,DATABASE!C:Q,8,false)</f>
        <v>IBU</v>
      </c>
      <c r="P3779" s="65">
        <f>VLOOKUP(E3779,DATABASE!C:Q,9,False)</f>
        <v>0</v>
      </c>
      <c r="Q3779" s="93" t="str">
        <f>VLOOKUP(E3779,DATABASE!C:Q,4,false)</f>
        <v>SPOORING</v>
      </c>
      <c r="R3779" s="93" t="str">
        <f>VLOOKUP(E3779,DATABASE!C:Q,11,false)</f>
        <v>SERVICE</v>
      </c>
    </row>
    <row r="3780" ht="22.5" customHeight="1">
      <c r="A3780" s="49"/>
      <c r="C3780" s="384">
        <v>45859.0</v>
      </c>
      <c r="D3780" s="65">
        <v>6563.0</v>
      </c>
      <c r="E3780" s="385" t="s">
        <v>299</v>
      </c>
      <c r="F3780" s="386">
        <v>2.0</v>
      </c>
      <c r="G3780" s="74">
        <v>30000.0</v>
      </c>
      <c r="H3780" s="74">
        <v>0.0</v>
      </c>
      <c r="I3780" s="74">
        <f t="shared" si="1"/>
        <v>60000</v>
      </c>
      <c r="J3780" s="74">
        <f>IF(E3780="SERVICE",I3780-(I3780*50%),Vlookup(E3780,DATABASE!C:Q,10,false)*F3780)</f>
        <v>0</v>
      </c>
      <c r="K3780" s="74">
        <v>0.0</v>
      </c>
      <c r="L3780" s="74">
        <v>0.0</v>
      </c>
      <c r="M3780" s="74">
        <f t="shared" si="2"/>
        <v>0</v>
      </c>
      <c r="N3780" s="74">
        <f t="shared" si="3"/>
        <v>60000</v>
      </c>
      <c r="O3780" s="65" t="str">
        <f>VLOOKUP(E3780,DATABASE!C:Q,8,false)</f>
        <v>BIAN</v>
      </c>
      <c r="P3780" s="65">
        <f>VLOOKUP(E3780,DATABASE!C:Q,9,False)</f>
        <v>0</v>
      </c>
      <c r="Q3780" s="93" t="str">
        <f>VLOOKUP(E3780,DATABASE!C:Q,4,false)</f>
        <v>Balancing</v>
      </c>
      <c r="R3780" s="93" t="str">
        <f>VLOOKUP(E3780,DATABASE!C:Q,11,false)</f>
        <v>COMPLEMENTARY</v>
      </c>
    </row>
    <row r="3781" ht="22.5" customHeight="1">
      <c r="A3781" s="49"/>
      <c r="C3781" s="384">
        <v>45859.0</v>
      </c>
      <c r="D3781" s="65">
        <v>6563.0</v>
      </c>
      <c r="E3781" s="445" t="s">
        <v>301</v>
      </c>
      <c r="F3781" s="386">
        <v>1.0</v>
      </c>
      <c r="G3781" s="74">
        <v>250000.0</v>
      </c>
      <c r="H3781" s="74">
        <v>0.0</v>
      </c>
      <c r="I3781" s="74">
        <f t="shared" si="1"/>
        <v>250000</v>
      </c>
      <c r="J3781" s="74">
        <f>IF(E3781="SERVICE",I3781-(I3781*50%),Vlookup(E3781,DATABASE!C:Q,10,false)*F3781)</f>
        <v>75000</v>
      </c>
      <c r="K3781" s="74">
        <f>VLOOKUP(E3781,DATABASE!C:Q,7,false)</f>
        <v>75000</v>
      </c>
      <c r="L3781" s="74">
        <v>75000.0</v>
      </c>
      <c r="M3781" s="74">
        <f t="shared" si="2"/>
        <v>75000</v>
      </c>
      <c r="N3781" s="74">
        <f t="shared" si="3"/>
        <v>100000</v>
      </c>
      <c r="O3781" s="65" t="str">
        <f>VLOOKUP(E3781,DATABASE!C:Q,8,false)</f>
        <v>BIAN</v>
      </c>
      <c r="P3781" s="65">
        <f>VLOOKUP(E3781,DATABASE!C:Q,9,False)</f>
        <v>0</v>
      </c>
      <c r="Q3781" s="93" t="str">
        <f>VLOOKUP(E3781,DATABASE!C:Q,4,false)</f>
        <v>Baut Camber</v>
      </c>
      <c r="R3781" s="93" t="str">
        <f>VLOOKUP(E3781,DATABASE!C:Q,11,false)</f>
        <v>COMPLEMENTARY</v>
      </c>
    </row>
    <row r="3782" ht="22.5" customHeight="1">
      <c r="A3782" s="49"/>
      <c r="C3782" s="384">
        <v>45859.0</v>
      </c>
      <c r="D3782" s="65">
        <v>6564.0</v>
      </c>
      <c r="E3782" s="445" t="s">
        <v>256</v>
      </c>
      <c r="F3782" s="386">
        <v>1.0</v>
      </c>
      <c r="G3782" s="74">
        <v>130000.0</v>
      </c>
      <c r="H3782" s="74">
        <v>0.0</v>
      </c>
      <c r="I3782" s="74">
        <f t="shared" si="1"/>
        <v>130000</v>
      </c>
      <c r="J3782" s="74">
        <f>IF(E3782="SERVICE",I3782-(I3782*50%),Vlookup(E3782,DATABASE!C:Q,10,false)*F3782)</f>
        <v>10000</v>
      </c>
      <c r="K3782" s="74">
        <f>VLOOKUP(E3782,DATABASE!C:Q,7,false)</f>
        <v>0</v>
      </c>
      <c r="L3782" s="74">
        <v>0.0</v>
      </c>
      <c r="M3782" s="74">
        <f t="shared" si="2"/>
        <v>0</v>
      </c>
      <c r="N3782" s="74">
        <f t="shared" si="3"/>
        <v>120000</v>
      </c>
      <c r="O3782" s="65" t="str">
        <f>VLOOKUP(E3782,DATABASE!C:Q,8,false)</f>
        <v>IBU</v>
      </c>
      <c r="P3782" s="65">
        <f>VLOOKUP(E3782,DATABASE!C:Q,9,False)</f>
        <v>0</v>
      </c>
      <c r="Q3782" s="93" t="str">
        <f>VLOOKUP(E3782,DATABASE!C:Q,4,false)</f>
        <v>SPOORING</v>
      </c>
      <c r="R3782" s="93" t="str">
        <f>VLOOKUP(E3782,DATABASE!C:Q,11,false)</f>
        <v>SERVICE</v>
      </c>
    </row>
    <row r="3783" ht="22.5" customHeight="1">
      <c r="A3783" s="49"/>
      <c r="C3783" s="384">
        <v>45859.0</v>
      </c>
      <c r="D3783" s="65">
        <v>6564.0</v>
      </c>
      <c r="E3783" s="385" t="s">
        <v>299</v>
      </c>
      <c r="F3783" s="386">
        <v>2.0</v>
      </c>
      <c r="G3783" s="74">
        <v>30000.0</v>
      </c>
      <c r="H3783" s="74">
        <v>0.0</v>
      </c>
      <c r="I3783" s="74">
        <f t="shared" si="1"/>
        <v>60000</v>
      </c>
      <c r="J3783" s="74">
        <f>IF(E3783="SERVICE",I3783-(I3783*50%),Vlookup(E3783,DATABASE!C:Q,10,false)*F3783)</f>
        <v>0</v>
      </c>
      <c r="K3783" s="74">
        <v>0.0</v>
      </c>
      <c r="L3783" s="74">
        <v>0.0</v>
      </c>
      <c r="M3783" s="74">
        <f t="shared" si="2"/>
        <v>0</v>
      </c>
      <c r="N3783" s="74">
        <f t="shared" si="3"/>
        <v>60000</v>
      </c>
      <c r="O3783" s="65" t="str">
        <f>VLOOKUP(E3783,DATABASE!C:Q,8,false)</f>
        <v>BIAN</v>
      </c>
      <c r="P3783" s="65">
        <f>VLOOKUP(E3783,DATABASE!C:Q,9,False)</f>
        <v>0</v>
      </c>
      <c r="Q3783" s="93" t="str">
        <f>VLOOKUP(E3783,DATABASE!C:Q,4,false)</f>
        <v>Balancing</v>
      </c>
      <c r="R3783" s="93" t="str">
        <f>VLOOKUP(E3783,DATABASE!C:Q,11,false)</f>
        <v>COMPLEMENTARY</v>
      </c>
    </row>
    <row r="3784" ht="22.5" customHeight="1">
      <c r="A3784" s="49"/>
      <c r="C3784" s="384">
        <v>45859.0</v>
      </c>
      <c r="D3784" s="65">
        <v>6564.0</v>
      </c>
      <c r="E3784" s="445" t="s">
        <v>301</v>
      </c>
      <c r="F3784" s="386">
        <v>1.0</v>
      </c>
      <c r="G3784" s="74">
        <v>250000.0</v>
      </c>
      <c r="H3784" s="74">
        <v>0.0</v>
      </c>
      <c r="I3784" s="74">
        <f t="shared" si="1"/>
        <v>250000</v>
      </c>
      <c r="J3784" s="74">
        <f>IF(E3784="SERVICE",I3784-(I3784*50%),Vlookup(E3784,DATABASE!C:Q,10,false)*F3784)</f>
        <v>75000</v>
      </c>
      <c r="K3784" s="74">
        <f>VLOOKUP(E3784,DATABASE!C:Q,7,false)</f>
        <v>75000</v>
      </c>
      <c r="L3784" s="74">
        <v>75000.0</v>
      </c>
      <c r="M3784" s="74">
        <f t="shared" si="2"/>
        <v>75000</v>
      </c>
      <c r="N3784" s="74">
        <f t="shared" si="3"/>
        <v>100000</v>
      </c>
      <c r="O3784" s="65" t="str">
        <f>VLOOKUP(E3784,DATABASE!C:Q,8,false)</f>
        <v>BIAN</v>
      </c>
      <c r="P3784" s="65">
        <f>VLOOKUP(E3784,DATABASE!C:Q,9,False)</f>
        <v>0</v>
      </c>
      <c r="Q3784" s="93" t="str">
        <f>VLOOKUP(E3784,DATABASE!C:Q,4,false)</f>
        <v>Baut Camber</v>
      </c>
      <c r="R3784" s="93" t="str">
        <f>VLOOKUP(E3784,DATABASE!C:Q,11,false)</f>
        <v>COMPLEMENTARY</v>
      </c>
    </row>
    <row r="3785" ht="22.5" customHeight="1">
      <c r="A3785" s="49"/>
      <c r="C3785" s="384">
        <v>45859.0</v>
      </c>
      <c r="D3785" s="65">
        <v>6566.0</v>
      </c>
      <c r="E3785" s="445" t="s">
        <v>1862</v>
      </c>
      <c r="F3785" s="386">
        <v>1.0</v>
      </c>
      <c r="G3785" s="74">
        <v>2150000.0</v>
      </c>
      <c r="H3785" s="74">
        <v>0.0</v>
      </c>
      <c r="I3785" s="74">
        <f t="shared" si="1"/>
        <v>2150000</v>
      </c>
      <c r="J3785" s="74">
        <f>IF(E3785="SERVICE",I3785-(I3785*50%),Vlookup(E3785,DATABASE!C:Q,10,false)*F3785)</f>
        <v>0</v>
      </c>
      <c r="K3785" s="74">
        <f>VLOOKUP(E3785,DATABASE!C:Q,7,false)</f>
        <v>2080000</v>
      </c>
      <c r="L3785" s="74">
        <v>2050000.0</v>
      </c>
      <c r="M3785" s="74">
        <f t="shared" si="2"/>
        <v>2050000</v>
      </c>
      <c r="N3785" s="74">
        <f t="shared" si="3"/>
        <v>100000</v>
      </c>
      <c r="O3785" s="65" t="str">
        <f>VLOOKUP(E3785,DATABASE!C:Q,8,false)</f>
        <v>BIAN</v>
      </c>
      <c r="P3785" s="65">
        <f>VLOOKUP(E3785,DATABASE!C:Q,9,False)</f>
        <v>1</v>
      </c>
      <c r="Q3785" s="93" t="str">
        <f>VLOOKUP(E3785,DATABASE!C:Q,4,false)</f>
        <v>GiTi</v>
      </c>
      <c r="R3785" s="93" t="str">
        <f>VLOOKUP(E3785,DATABASE!C:Q,11,false)</f>
        <v>Tire</v>
      </c>
    </row>
    <row r="3786" ht="22.5" customHeight="1">
      <c r="A3786" s="49"/>
      <c r="C3786" s="384">
        <v>45859.0</v>
      </c>
      <c r="D3786" s="65">
        <v>6568.0</v>
      </c>
      <c r="E3786" s="445" t="s">
        <v>1009</v>
      </c>
      <c r="F3786" s="386">
        <v>1.0</v>
      </c>
      <c r="G3786" s="74">
        <v>700000.0</v>
      </c>
      <c r="H3786" s="74">
        <v>0.0</v>
      </c>
      <c r="I3786" s="74">
        <f t="shared" si="1"/>
        <v>700000</v>
      </c>
      <c r="J3786" s="74">
        <f>IF(E3786="SERVICE",I3786-(I3786*50%),Vlookup(E3786,DATABASE!C:Q,10,false)*F3786)</f>
        <v>0</v>
      </c>
      <c r="K3786" s="74">
        <f>VLOOKUP(E3786,DATABASE!C:Q,7,false)</f>
        <v>609800</v>
      </c>
      <c r="L3786" s="74">
        <v>592200.0</v>
      </c>
      <c r="M3786" s="74">
        <f t="shared" si="2"/>
        <v>595000</v>
      </c>
      <c r="N3786" s="74">
        <f t="shared" si="3"/>
        <v>105000</v>
      </c>
      <c r="O3786" s="65" t="str">
        <f>VLOOKUP(E3786,DATABASE!C:Q,8,false)</f>
        <v>BIAN</v>
      </c>
      <c r="P3786" s="65">
        <f>VLOOKUP(E3786,DATABASE!C:Q,9,False)</f>
        <v>1</v>
      </c>
      <c r="Q3786" s="93" t="str">
        <f>VLOOKUP(E3786,DATABASE!C:Q,4,false)</f>
        <v>GT</v>
      </c>
      <c r="R3786" s="93" t="str">
        <f>VLOOKUP(E3786,DATABASE!C:Q,11,false)</f>
        <v>Tire</v>
      </c>
    </row>
    <row r="3787" ht="22.5" customHeight="1">
      <c r="A3787" s="49"/>
      <c r="C3787" s="384">
        <v>45859.0</v>
      </c>
      <c r="D3787" s="65">
        <v>6569.0</v>
      </c>
      <c r="E3787" s="445" t="s">
        <v>781</v>
      </c>
      <c r="F3787" s="386">
        <v>1.0</v>
      </c>
      <c r="G3787" s="74">
        <v>530000.0</v>
      </c>
      <c r="H3787" s="74">
        <v>0.0</v>
      </c>
      <c r="I3787" s="74">
        <f t="shared" si="1"/>
        <v>530000</v>
      </c>
      <c r="J3787" s="74">
        <f>IF(E3787="SERVICE",I3787-(I3787*50%),Vlookup(E3787,DATABASE!C:Q,10,false)*F3787)</f>
        <v>0</v>
      </c>
      <c r="K3787" s="74">
        <f>VLOOKUP(E3787,DATABASE!C:Q,7,false)</f>
        <v>470000</v>
      </c>
      <c r="L3787" s="74">
        <v>442500.0</v>
      </c>
      <c r="M3787" s="74">
        <f t="shared" si="2"/>
        <v>445000</v>
      </c>
      <c r="N3787" s="74">
        <f t="shared" si="3"/>
        <v>85000</v>
      </c>
      <c r="O3787" s="65" t="str">
        <f>VLOOKUP(E3787,DATABASE!C:Q,8,false)</f>
        <v>BIAN</v>
      </c>
      <c r="P3787" s="65">
        <f>VLOOKUP(E3787,DATABASE!C:Q,9,False)</f>
        <v>1</v>
      </c>
      <c r="Q3787" s="93" t="str">
        <f>VLOOKUP(E3787,DATABASE!C:Q,4,false)</f>
        <v>GT</v>
      </c>
      <c r="R3787" s="93" t="str">
        <f>VLOOKUP(E3787,DATABASE!C:Q,11,false)</f>
        <v>Tire</v>
      </c>
    </row>
    <row r="3788" ht="22.5" customHeight="1">
      <c r="A3788" s="49"/>
      <c r="C3788" s="384">
        <v>45859.0</v>
      </c>
      <c r="D3788" s="65">
        <v>6570.0</v>
      </c>
      <c r="E3788" s="445" t="s">
        <v>622</v>
      </c>
      <c r="F3788" s="386">
        <v>1.0</v>
      </c>
      <c r="G3788" s="74">
        <v>915000.0</v>
      </c>
      <c r="H3788" s="74">
        <v>0.0</v>
      </c>
      <c r="I3788" s="74">
        <f t="shared" si="1"/>
        <v>915000</v>
      </c>
      <c r="J3788" s="74">
        <f>IF(E3788="SERVICE",I3788-(I3788*50%),Vlookup(E3788,DATABASE!C:Q,10,false)*F3788)</f>
        <v>0</v>
      </c>
      <c r="K3788" s="74">
        <f>VLOOKUP(E3788,DATABASE!C:Q,7,false)</f>
        <v>851110.375</v>
      </c>
      <c r="L3788" s="74">
        <v>810342.44</v>
      </c>
      <c r="M3788" s="74">
        <f t="shared" si="2"/>
        <v>815000</v>
      </c>
      <c r="N3788" s="74">
        <f t="shared" si="3"/>
        <v>100000</v>
      </c>
      <c r="O3788" s="65" t="str">
        <f>VLOOKUP(E3788,DATABASE!C:Q,8,false)</f>
        <v>IBU</v>
      </c>
      <c r="P3788" s="65">
        <f>VLOOKUP(E3788,DATABASE!C:Q,9,False)</f>
        <v>1</v>
      </c>
      <c r="Q3788" s="93" t="str">
        <f>VLOOKUP(E3788,DATABASE!C:Q,4,false)</f>
        <v>Bridgestone</v>
      </c>
      <c r="R3788" s="93" t="str">
        <f>VLOOKUP(E3788,DATABASE!C:Q,11,false)</f>
        <v>Tire</v>
      </c>
    </row>
    <row r="3789" ht="22.5" customHeight="1">
      <c r="A3789" s="49"/>
      <c r="C3789" s="384">
        <v>45859.0</v>
      </c>
      <c r="D3789" s="65">
        <v>6571.0</v>
      </c>
      <c r="E3789" s="445" t="s">
        <v>256</v>
      </c>
      <c r="F3789" s="386">
        <v>1.0</v>
      </c>
      <c r="G3789" s="74">
        <v>130000.0</v>
      </c>
      <c r="H3789" s="74">
        <v>0.0</v>
      </c>
      <c r="I3789" s="74">
        <f t="shared" si="1"/>
        <v>130000</v>
      </c>
      <c r="J3789" s="74">
        <f>IF(E3789="SERVICE",I3789-(I3789*50%),Vlookup(E3789,DATABASE!C:Q,10,false)*F3789)</f>
        <v>10000</v>
      </c>
      <c r="K3789" s="74">
        <f>VLOOKUP(E3789,DATABASE!C:Q,7,false)</f>
        <v>0</v>
      </c>
      <c r="L3789" s="74">
        <v>0.0</v>
      </c>
      <c r="M3789" s="74">
        <f t="shared" si="2"/>
        <v>0</v>
      </c>
      <c r="N3789" s="74">
        <f t="shared" si="3"/>
        <v>120000</v>
      </c>
      <c r="O3789" s="65" t="str">
        <f>VLOOKUP(E3789,DATABASE!C:Q,8,false)</f>
        <v>IBU</v>
      </c>
      <c r="P3789" s="65">
        <f>VLOOKUP(E3789,DATABASE!C:Q,9,False)</f>
        <v>0</v>
      </c>
      <c r="Q3789" s="93" t="str">
        <f>VLOOKUP(E3789,DATABASE!C:Q,4,false)</f>
        <v>SPOORING</v>
      </c>
      <c r="R3789" s="93" t="str">
        <f>VLOOKUP(E3789,DATABASE!C:Q,11,false)</f>
        <v>SERVICE</v>
      </c>
    </row>
    <row r="3790" ht="22.5" customHeight="1">
      <c r="A3790" s="49"/>
      <c r="C3790" s="384">
        <v>45859.0</v>
      </c>
      <c r="D3790" s="65">
        <v>6571.0</v>
      </c>
      <c r="E3790" s="385" t="s">
        <v>299</v>
      </c>
      <c r="F3790" s="386">
        <v>2.0</v>
      </c>
      <c r="G3790" s="74">
        <v>30000.0</v>
      </c>
      <c r="H3790" s="74">
        <v>0.0</v>
      </c>
      <c r="I3790" s="74">
        <f t="shared" si="1"/>
        <v>60000</v>
      </c>
      <c r="J3790" s="74">
        <f>IF(E3790="SERVICE",I3790-(I3790*50%),Vlookup(E3790,DATABASE!C:Q,10,false)*F3790)</f>
        <v>0</v>
      </c>
      <c r="K3790" s="74">
        <v>0.0</v>
      </c>
      <c r="L3790" s="74">
        <v>0.0</v>
      </c>
      <c r="M3790" s="74">
        <f t="shared" si="2"/>
        <v>0</v>
      </c>
      <c r="N3790" s="74">
        <f t="shared" si="3"/>
        <v>60000</v>
      </c>
      <c r="O3790" s="65" t="str">
        <f>VLOOKUP(E3790,DATABASE!C:Q,8,false)</f>
        <v>BIAN</v>
      </c>
      <c r="P3790" s="65">
        <f>VLOOKUP(E3790,DATABASE!C:Q,9,False)</f>
        <v>0</v>
      </c>
      <c r="Q3790" s="93" t="str">
        <f>VLOOKUP(E3790,DATABASE!C:Q,4,false)</f>
        <v>Balancing</v>
      </c>
      <c r="R3790" s="93" t="str">
        <f>VLOOKUP(E3790,DATABASE!C:Q,11,false)</f>
        <v>COMPLEMENTARY</v>
      </c>
    </row>
    <row r="3791" ht="22.5" customHeight="1">
      <c r="A3791" s="49"/>
      <c r="C3791" s="384">
        <v>45859.0</v>
      </c>
      <c r="D3791" s="65">
        <v>6571.0</v>
      </c>
      <c r="E3791" s="445" t="s">
        <v>301</v>
      </c>
      <c r="F3791" s="386">
        <v>1.0</v>
      </c>
      <c r="G3791" s="74">
        <v>250000.0</v>
      </c>
      <c r="H3791" s="74">
        <v>0.0</v>
      </c>
      <c r="I3791" s="74">
        <f t="shared" si="1"/>
        <v>250000</v>
      </c>
      <c r="J3791" s="74">
        <f>IF(E3791="SERVICE",I3791-(I3791*50%),Vlookup(E3791,DATABASE!C:Q,10,false)*F3791)</f>
        <v>75000</v>
      </c>
      <c r="K3791" s="74">
        <f>VLOOKUP(E3791,DATABASE!C:Q,7,false)</f>
        <v>75000</v>
      </c>
      <c r="L3791" s="74">
        <v>75000.0</v>
      </c>
      <c r="M3791" s="74">
        <f t="shared" si="2"/>
        <v>75000</v>
      </c>
      <c r="N3791" s="74">
        <f t="shared" si="3"/>
        <v>100000</v>
      </c>
      <c r="O3791" s="65" t="str">
        <f>VLOOKUP(E3791,DATABASE!C:Q,8,false)</f>
        <v>BIAN</v>
      </c>
      <c r="P3791" s="65">
        <f>VLOOKUP(E3791,DATABASE!C:Q,9,False)</f>
        <v>0</v>
      </c>
      <c r="Q3791" s="93" t="str">
        <f>VLOOKUP(E3791,DATABASE!C:Q,4,false)</f>
        <v>Baut Camber</v>
      </c>
      <c r="R3791" s="93" t="str">
        <f>VLOOKUP(E3791,DATABASE!C:Q,11,false)</f>
        <v>COMPLEMENTARY</v>
      </c>
    </row>
    <row r="3792" ht="22.5" customHeight="1">
      <c r="A3792" s="49"/>
      <c r="C3792" s="384">
        <v>45859.0</v>
      </c>
      <c r="D3792" s="65">
        <v>6572.0</v>
      </c>
      <c r="E3792" s="445" t="s">
        <v>288</v>
      </c>
      <c r="F3792" s="386">
        <v>1.0</v>
      </c>
      <c r="G3792" s="74">
        <v>620000.0</v>
      </c>
      <c r="H3792" s="74">
        <v>0.0</v>
      </c>
      <c r="I3792" s="74">
        <f t="shared" si="1"/>
        <v>620000</v>
      </c>
      <c r="J3792" s="74">
        <f>IF(E3792="SERVICE",I3792-(I3792*50%),Vlookup(E3792,DATABASE!C:Q,10,false)*F3792)</f>
        <v>0</v>
      </c>
      <c r="K3792" s="74">
        <f>VLOOKUP(E3792,DATABASE!C:Q,7,false)</f>
        <v>565760</v>
      </c>
      <c r="L3792" s="74">
        <v>524800.0</v>
      </c>
      <c r="M3792" s="74">
        <f t="shared" si="2"/>
        <v>525000</v>
      </c>
      <c r="N3792" s="74">
        <f t="shared" si="3"/>
        <v>95000</v>
      </c>
      <c r="O3792" s="65" t="str">
        <f>VLOOKUP(E3792,DATABASE!C:Q,8,false)</f>
        <v>BIAN</v>
      </c>
      <c r="P3792" s="65">
        <f>VLOOKUP(E3792,DATABASE!C:Q,9,False)</f>
        <v>1</v>
      </c>
      <c r="Q3792" s="93" t="str">
        <f>VLOOKUP(E3792,DATABASE!C:Q,4,false)</f>
        <v>GT</v>
      </c>
      <c r="R3792" s="93" t="str">
        <f>VLOOKUP(E3792,DATABASE!C:Q,11,false)</f>
        <v>Tire</v>
      </c>
    </row>
    <row r="3793" ht="22.5" customHeight="1">
      <c r="A3793" s="49"/>
      <c r="C3793" s="384">
        <v>45859.0</v>
      </c>
      <c r="D3793" s="65">
        <v>6573.0</v>
      </c>
      <c r="E3793" s="445" t="s">
        <v>1743</v>
      </c>
      <c r="F3793" s="386">
        <v>1.0</v>
      </c>
      <c r="G3793" s="74">
        <v>75000.0</v>
      </c>
      <c r="H3793" s="74">
        <v>0.0</v>
      </c>
      <c r="I3793" s="74">
        <f t="shared" si="1"/>
        <v>75000</v>
      </c>
      <c r="J3793" s="74">
        <f>IF(E3793="SERVICE",I3793-(I3793*50%),Vlookup(E3793,DATABASE!C:Q,10,false)*F3793)</f>
        <v>0</v>
      </c>
      <c r="K3793" s="74">
        <f>VLOOKUP(E3793,DATABASE!C:Q,7,false)</f>
        <v>45000</v>
      </c>
      <c r="L3793" s="74">
        <v>45000.0</v>
      </c>
      <c r="M3793" s="74">
        <f t="shared" si="2"/>
        <v>45000</v>
      </c>
      <c r="N3793" s="74">
        <f t="shared" si="3"/>
        <v>30000</v>
      </c>
      <c r="O3793" s="65" t="str">
        <f>VLOOKUP(E3793,DATABASE!C:Q,8,false)</f>
        <v>BIAN</v>
      </c>
      <c r="P3793" s="65">
        <f>VLOOKUP(E3793,DATABASE!C:Q,9,False)</f>
        <v>1</v>
      </c>
      <c r="Q3793" s="93" t="str">
        <f>VLOOKUP(E3793,DATABASE!C:Q,4,false)</f>
        <v>FLAP</v>
      </c>
      <c r="R3793" s="93" t="str">
        <f>VLOOKUP(E3793,DATABASE!C:Q,11,false)</f>
        <v>Tire</v>
      </c>
    </row>
    <row r="3794" ht="22.5" customHeight="1">
      <c r="A3794" s="49"/>
      <c r="C3794" s="384">
        <v>45859.0</v>
      </c>
      <c r="D3794" s="65">
        <v>6574.0</v>
      </c>
      <c r="E3794" s="385" t="s">
        <v>299</v>
      </c>
      <c r="F3794" s="386">
        <v>2.0</v>
      </c>
      <c r="G3794" s="74">
        <v>30000.0</v>
      </c>
      <c r="H3794" s="74">
        <v>0.0</v>
      </c>
      <c r="I3794" s="74">
        <f t="shared" si="1"/>
        <v>60000</v>
      </c>
      <c r="J3794" s="74">
        <f>IF(E3794="SERVICE",I3794-(I3794*50%),Vlookup(E3794,DATABASE!C:Q,10,false)*F3794)</f>
        <v>0</v>
      </c>
      <c r="K3794" s="74">
        <v>0.0</v>
      </c>
      <c r="L3794" s="74">
        <v>0.0</v>
      </c>
      <c r="M3794" s="74">
        <f t="shared" si="2"/>
        <v>0</v>
      </c>
      <c r="N3794" s="74">
        <f t="shared" si="3"/>
        <v>60000</v>
      </c>
      <c r="O3794" s="65" t="str">
        <f>VLOOKUP(E3794,DATABASE!C:Q,8,false)</f>
        <v>BIAN</v>
      </c>
      <c r="P3794" s="65">
        <f>VLOOKUP(E3794,DATABASE!C:Q,9,False)</f>
        <v>0</v>
      </c>
      <c r="Q3794" s="93" t="str">
        <f>VLOOKUP(E3794,DATABASE!C:Q,4,false)</f>
        <v>Balancing</v>
      </c>
      <c r="R3794" s="93" t="str">
        <f>VLOOKUP(E3794,DATABASE!C:Q,11,false)</f>
        <v>COMPLEMENTARY</v>
      </c>
    </row>
    <row r="3795" ht="22.5" customHeight="1">
      <c r="A3795" s="49"/>
      <c r="C3795" s="384">
        <v>45859.0</v>
      </c>
      <c r="D3795" s="65">
        <v>6575.0</v>
      </c>
      <c r="E3795" s="445" t="s">
        <v>946</v>
      </c>
      <c r="F3795" s="386">
        <v>1.0</v>
      </c>
      <c r="G3795" s="74">
        <v>900000.0</v>
      </c>
      <c r="H3795" s="74">
        <v>0.0</v>
      </c>
      <c r="I3795" s="74">
        <f t="shared" si="1"/>
        <v>900000</v>
      </c>
      <c r="J3795" s="74">
        <f>IF(E3795="SERVICE",I3795-(I3795*50%),Vlookup(E3795,DATABASE!C:Q,10,false)*F3795)</f>
        <v>0</v>
      </c>
      <c r="K3795" s="74">
        <f>VLOOKUP(E3795,DATABASE!C:Q,7,false)</f>
        <v>809000</v>
      </c>
      <c r="L3795" s="74">
        <v>809000.0</v>
      </c>
      <c r="M3795" s="74">
        <f t="shared" si="2"/>
        <v>810000</v>
      </c>
      <c r="N3795" s="74">
        <f t="shared" si="3"/>
        <v>90000</v>
      </c>
      <c r="O3795" s="65" t="str">
        <f>VLOOKUP(E3795,DATABASE!C:Q,8,false)</f>
        <v>IBU</v>
      </c>
      <c r="P3795" s="65">
        <f>VLOOKUP(E3795,DATABASE!C:Q,9,False)</f>
        <v>1</v>
      </c>
      <c r="Q3795" s="93" t="str">
        <f>VLOOKUP(E3795,DATABASE!C:Q,4,false)</f>
        <v>Dunlop</v>
      </c>
      <c r="R3795" s="93" t="str">
        <f>VLOOKUP(E3795,DATABASE!C:Q,11,false)</f>
        <v>Tire</v>
      </c>
    </row>
    <row r="3796" ht="22.5" customHeight="1">
      <c r="A3796" s="49"/>
      <c r="C3796" s="384">
        <v>45860.0</v>
      </c>
      <c r="D3796" s="65">
        <v>6576.0</v>
      </c>
      <c r="E3796" s="445" t="s">
        <v>256</v>
      </c>
      <c r="F3796" s="386">
        <v>1.0</v>
      </c>
      <c r="G3796" s="74">
        <v>130000.0</v>
      </c>
      <c r="H3796" s="74">
        <v>0.0</v>
      </c>
      <c r="I3796" s="74">
        <f t="shared" si="1"/>
        <v>130000</v>
      </c>
      <c r="J3796" s="74">
        <f>IF(E3796="SERVICE",I3796-(I3796*50%),Vlookup(E3796,DATABASE!C:Q,10,false)*F3796)</f>
        <v>10000</v>
      </c>
      <c r="K3796" s="74">
        <f>VLOOKUP(E3796,DATABASE!C:Q,7,false)</f>
        <v>0</v>
      </c>
      <c r="L3796" s="74">
        <v>0.0</v>
      </c>
      <c r="M3796" s="74">
        <f t="shared" si="2"/>
        <v>0</v>
      </c>
      <c r="N3796" s="74">
        <f t="shared" si="3"/>
        <v>120000</v>
      </c>
      <c r="O3796" s="65" t="str">
        <f>VLOOKUP(E3796,DATABASE!C:Q,8,false)</f>
        <v>IBU</v>
      </c>
      <c r="P3796" s="65">
        <f>VLOOKUP(E3796,DATABASE!C:Q,9,False)</f>
        <v>0</v>
      </c>
      <c r="Q3796" s="93" t="str">
        <f>VLOOKUP(E3796,DATABASE!C:Q,4,false)</f>
        <v>SPOORING</v>
      </c>
      <c r="R3796" s="93" t="str">
        <f>VLOOKUP(E3796,DATABASE!C:Q,11,false)</f>
        <v>SERVICE</v>
      </c>
    </row>
    <row r="3797" ht="22.5" customHeight="1">
      <c r="A3797" s="49"/>
      <c r="C3797" s="384">
        <v>45860.0</v>
      </c>
      <c r="D3797" s="65">
        <v>6576.0</v>
      </c>
      <c r="E3797" s="385" t="s">
        <v>299</v>
      </c>
      <c r="F3797" s="386">
        <v>2.0</v>
      </c>
      <c r="G3797" s="74">
        <v>30000.0</v>
      </c>
      <c r="H3797" s="74">
        <v>0.0</v>
      </c>
      <c r="I3797" s="74">
        <f t="shared" si="1"/>
        <v>60000</v>
      </c>
      <c r="J3797" s="74">
        <f>IF(E3797="SERVICE",I3797-(I3797*50%),Vlookup(E3797,DATABASE!C:Q,10,false)*F3797)</f>
        <v>0</v>
      </c>
      <c r="K3797" s="74">
        <v>0.0</v>
      </c>
      <c r="L3797" s="74">
        <v>0.0</v>
      </c>
      <c r="M3797" s="74">
        <f t="shared" si="2"/>
        <v>0</v>
      </c>
      <c r="N3797" s="74">
        <f t="shared" si="3"/>
        <v>60000</v>
      </c>
      <c r="O3797" s="65" t="str">
        <f>VLOOKUP(E3797,DATABASE!C:Q,8,false)</f>
        <v>BIAN</v>
      </c>
      <c r="P3797" s="65">
        <f>VLOOKUP(E3797,DATABASE!C:Q,9,False)</f>
        <v>0</v>
      </c>
      <c r="Q3797" s="93" t="str">
        <f>VLOOKUP(E3797,DATABASE!C:Q,4,false)</f>
        <v>Balancing</v>
      </c>
      <c r="R3797" s="93" t="str">
        <f>VLOOKUP(E3797,DATABASE!C:Q,11,false)</f>
        <v>COMPLEMENTARY</v>
      </c>
    </row>
    <row r="3798" ht="22.5" customHeight="1">
      <c r="A3798" s="49"/>
      <c r="C3798" s="384">
        <v>45860.0</v>
      </c>
      <c r="D3798" s="65">
        <v>6576.0</v>
      </c>
      <c r="E3798" s="445" t="s">
        <v>301</v>
      </c>
      <c r="F3798" s="386">
        <v>1.0</v>
      </c>
      <c r="G3798" s="74">
        <v>250000.0</v>
      </c>
      <c r="H3798" s="74">
        <v>0.0</v>
      </c>
      <c r="I3798" s="74">
        <f t="shared" si="1"/>
        <v>250000</v>
      </c>
      <c r="J3798" s="74">
        <f>IF(E3798="SERVICE",I3798-(I3798*50%),Vlookup(E3798,DATABASE!C:Q,10,false)*F3798)</f>
        <v>75000</v>
      </c>
      <c r="K3798" s="74">
        <f>VLOOKUP(E3798,DATABASE!C:Q,7,false)</f>
        <v>75000</v>
      </c>
      <c r="L3798" s="74">
        <v>75000.0</v>
      </c>
      <c r="M3798" s="74">
        <f t="shared" si="2"/>
        <v>75000</v>
      </c>
      <c r="N3798" s="74">
        <f t="shared" si="3"/>
        <v>100000</v>
      </c>
      <c r="O3798" s="65" t="str">
        <f>VLOOKUP(E3798,DATABASE!C:Q,8,false)</f>
        <v>BIAN</v>
      </c>
      <c r="P3798" s="65">
        <f>VLOOKUP(E3798,DATABASE!C:Q,9,False)</f>
        <v>0</v>
      </c>
      <c r="Q3798" s="93" t="str">
        <f>VLOOKUP(E3798,DATABASE!C:Q,4,false)</f>
        <v>Baut Camber</v>
      </c>
      <c r="R3798" s="93" t="str">
        <f>VLOOKUP(E3798,DATABASE!C:Q,11,false)</f>
        <v>COMPLEMENTARY</v>
      </c>
    </row>
    <row r="3799" ht="22.5" customHeight="1">
      <c r="A3799" s="49"/>
      <c r="C3799" s="384">
        <v>45860.0</v>
      </c>
      <c r="D3799" s="65">
        <v>6577.0</v>
      </c>
      <c r="E3799" s="445" t="s">
        <v>932</v>
      </c>
      <c r="F3799" s="386">
        <v>4.0</v>
      </c>
      <c r="G3799" s="74">
        <v>700000.0</v>
      </c>
      <c r="H3799" s="74">
        <v>0.0</v>
      </c>
      <c r="I3799" s="74">
        <f t="shared" si="1"/>
        <v>2800000</v>
      </c>
      <c r="J3799" s="74">
        <f>IF(E3799="SERVICE",I3799-(I3799*50%),Vlookup(E3799,DATABASE!C:Q,10,false)*F3799)</f>
        <v>0</v>
      </c>
      <c r="K3799" s="74">
        <f>VLOOKUP(E3799,DATABASE!C:Q,7,false)</f>
        <v>601000</v>
      </c>
      <c r="L3799" s="74">
        <v>595000.0</v>
      </c>
      <c r="M3799" s="74">
        <f t="shared" si="2"/>
        <v>595000</v>
      </c>
      <c r="N3799" s="74">
        <f t="shared" si="3"/>
        <v>420000</v>
      </c>
      <c r="O3799" s="65" t="str">
        <f>VLOOKUP(E3799,DATABASE!C:Q,8,false)</f>
        <v>IBU</v>
      </c>
      <c r="P3799" s="65">
        <f>VLOOKUP(E3799,DATABASE!C:Q,9,False)</f>
        <v>1</v>
      </c>
      <c r="Q3799" s="93" t="str">
        <f>VLOOKUP(E3799,DATABASE!C:Q,4,false)</f>
        <v>Dunlop</v>
      </c>
      <c r="R3799" s="93" t="str">
        <f>VLOOKUP(E3799,DATABASE!C:Q,11,false)</f>
        <v>Tire</v>
      </c>
    </row>
    <row r="3800" ht="22.5" customHeight="1">
      <c r="A3800" s="49"/>
      <c r="C3800" s="384">
        <v>45860.0</v>
      </c>
      <c r="D3800" s="65">
        <v>6578.0</v>
      </c>
      <c r="E3800" s="445" t="s">
        <v>268</v>
      </c>
      <c r="F3800" s="386">
        <v>1.0</v>
      </c>
      <c r="G3800" s="74">
        <v>720000.0</v>
      </c>
      <c r="H3800" s="74">
        <v>0.0</v>
      </c>
      <c r="I3800" s="74">
        <f t="shared" si="1"/>
        <v>720000</v>
      </c>
      <c r="J3800" s="74">
        <f>IF(E3800="SERVICE",I3800-(I3800*50%),Vlookup(E3800,DATABASE!C:Q,10,false)*F3800)</f>
        <v>0</v>
      </c>
      <c r="K3800" s="74">
        <f>VLOOKUP(E3800,DATABASE!C:Q,7,false)</f>
        <v>653000</v>
      </c>
      <c r="L3800" s="74">
        <v>622000.0</v>
      </c>
      <c r="M3800" s="74">
        <f t="shared" si="2"/>
        <v>625000</v>
      </c>
      <c r="N3800" s="74">
        <f t="shared" si="3"/>
        <v>95000</v>
      </c>
      <c r="O3800" s="65" t="str">
        <f>VLOOKUP(E3800,DATABASE!C:Q,8,false)</f>
        <v>IBU</v>
      </c>
      <c r="P3800" s="65">
        <f>VLOOKUP(E3800,DATABASE!C:Q,9,False)</f>
        <v>1</v>
      </c>
      <c r="Q3800" s="93" t="str">
        <f>VLOOKUP(E3800,DATABASE!C:Q,4,false)</f>
        <v>Dunlop</v>
      </c>
      <c r="R3800" s="93" t="str">
        <f>VLOOKUP(E3800,DATABASE!C:Q,11,false)</f>
        <v>Tire</v>
      </c>
    </row>
    <row r="3801" ht="22.5" customHeight="1">
      <c r="A3801" s="49"/>
      <c r="C3801" s="384">
        <v>45860.0</v>
      </c>
      <c r="D3801" s="65">
        <v>6579.0</v>
      </c>
      <c r="E3801" s="657" t="s">
        <v>2064</v>
      </c>
      <c r="F3801" s="386">
        <v>4.0</v>
      </c>
      <c r="G3801" s="74">
        <v>690000.0</v>
      </c>
      <c r="H3801" s="74">
        <v>0.0</v>
      </c>
      <c r="I3801" s="74">
        <f t="shared" si="1"/>
        <v>2760000</v>
      </c>
      <c r="J3801" s="74">
        <f>IF(E3801="SERVICE",I3801-(I3801*50%),Vlookup(E3801,DATABASE!C:Q,10,false)*F3801)</f>
        <v>0</v>
      </c>
      <c r="K3801" s="74">
        <f>VLOOKUP(E3801,DATABASE!C:Q,7,false)</f>
        <v>608000</v>
      </c>
      <c r="L3801" s="74">
        <v>608000.0</v>
      </c>
      <c r="M3801" s="74">
        <f t="shared" si="2"/>
        <v>610000</v>
      </c>
      <c r="N3801" s="74">
        <f t="shared" si="3"/>
        <v>320000</v>
      </c>
      <c r="O3801" s="65" t="str">
        <f>VLOOKUP(E3801,DATABASE!C:Q,8,false)</f>
        <v>BIAN</v>
      </c>
      <c r="P3801" s="65">
        <f>VLOOKUP(E3801,DATABASE!C:Q,9,False)</f>
        <v>1</v>
      </c>
      <c r="Q3801" s="93" t="str">
        <f>VLOOKUP(E3801,DATABASE!C:Q,4,false)</f>
        <v>Hankook</v>
      </c>
      <c r="R3801" s="93" t="str">
        <f>VLOOKUP(E3801,DATABASE!C:Q,11,false)</f>
        <v>Tire</v>
      </c>
    </row>
    <row r="3802" ht="22.5" customHeight="1">
      <c r="A3802" s="49"/>
      <c r="C3802" s="384">
        <v>45860.0</v>
      </c>
      <c r="D3802" s="65">
        <v>6579.0</v>
      </c>
      <c r="E3802" s="385" t="s">
        <v>299</v>
      </c>
      <c r="F3802" s="386">
        <v>2.0</v>
      </c>
      <c r="G3802" s="74">
        <v>30000.0</v>
      </c>
      <c r="H3802" s="74">
        <v>0.0</v>
      </c>
      <c r="I3802" s="74">
        <f t="shared" si="1"/>
        <v>60000</v>
      </c>
      <c r="J3802" s="74">
        <f>IF(E3802="SERVICE",I3802-(I3802*50%),Vlookup(E3802,DATABASE!C:Q,10,false)*F3802)</f>
        <v>0</v>
      </c>
      <c r="K3802" s="74">
        <v>0.0</v>
      </c>
      <c r="L3802" s="74">
        <v>0.0</v>
      </c>
      <c r="M3802" s="74">
        <f t="shared" si="2"/>
        <v>0</v>
      </c>
      <c r="N3802" s="74">
        <f t="shared" si="3"/>
        <v>60000</v>
      </c>
      <c r="O3802" s="65" t="str">
        <f>VLOOKUP(E3802,DATABASE!C:Q,8,false)</f>
        <v>BIAN</v>
      </c>
      <c r="P3802" s="65">
        <f>VLOOKUP(E3802,DATABASE!C:Q,9,False)</f>
        <v>0</v>
      </c>
      <c r="Q3802" s="93" t="str">
        <f>VLOOKUP(E3802,DATABASE!C:Q,4,false)</f>
        <v>Balancing</v>
      </c>
      <c r="R3802" s="93" t="str">
        <f>VLOOKUP(E3802,DATABASE!C:Q,11,false)</f>
        <v>COMPLEMENTARY</v>
      </c>
    </row>
    <row r="3803" ht="22.5" customHeight="1">
      <c r="A3803" s="49"/>
      <c r="C3803" s="384">
        <v>45860.0</v>
      </c>
      <c r="D3803" s="65">
        <v>6579.0</v>
      </c>
      <c r="E3803" s="445" t="s">
        <v>256</v>
      </c>
      <c r="F3803" s="386">
        <v>1.0</v>
      </c>
      <c r="G3803" s="74">
        <v>130000.0</v>
      </c>
      <c r="H3803" s="74">
        <v>0.0</v>
      </c>
      <c r="I3803" s="74">
        <f t="shared" si="1"/>
        <v>130000</v>
      </c>
      <c r="J3803" s="74">
        <f>IF(E3803="SERVICE",I3803-(I3803*50%),Vlookup(E3803,DATABASE!C:Q,10,false)*F3803)</f>
        <v>10000</v>
      </c>
      <c r="K3803" s="74">
        <f>VLOOKUP(E3803,DATABASE!C:Q,7,false)</f>
        <v>0</v>
      </c>
      <c r="L3803" s="74">
        <v>0.0</v>
      </c>
      <c r="M3803" s="74">
        <f t="shared" si="2"/>
        <v>0</v>
      </c>
      <c r="N3803" s="74">
        <f t="shared" si="3"/>
        <v>120000</v>
      </c>
      <c r="O3803" s="65" t="str">
        <f>VLOOKUP(E3803,DATABASE!C:Q,8,false)</f>
        <v>IBU</v>
      </c>
      <c r="P3803" s="65">
        <f>VLOOKUP(E3803,DATABASE!C:Q,9,False)</f>
        <v>0</v>
      </c>
      <c r="Q3803" s="93" t="str">
        <f>VLOOKUP(E3803,DATABASE!C:Q,4,false)</f>
        <v>SPOORING</v>
      </c>
      <c r="R3803" s="93" t="str">
        <f>VLOOKUP(E3803,DATABASE!C:Q,11,false)</f>
        <v>SERVICE</v>
      </c>
    </row>
    <row r="3804" ht="22.5" customHeight="1">
      <c r="A3804" s="49"/>
      <c r="C3804" s="384">
        <v>45860.0</v>
      </c>
      <c r="D3804" s="65">
        <v>6579.0</v>
      </c>
      <c r="E3804" s="445" t="s">
        <v>301</v>
      </c>
      <c r="F3804" s="386">
        <v>1.0</v>
      </c>
      <c r="G3804" s="74">
        <v>250000.0</v>
      </c>
      <c r="H3804" s="74">
        <v>0.0</v>
      </c>
      <c r="I3804" s="74">
        <f t="shared" si="1"/>
        <v>250000</v>
      </c>
      <c r="J3804" s="74">
        <f>IF(E3804="SERVICE",I3804-(I3804*50%),Vlookup(E3804,DATABASE!C:Q,10,false)*F3804)</f>
        <v>75000</v>
      </c>
      <c r="K3804" s="74">
        <f>VLOOKUP(E3804,DATABASE!C:Q,7,false)</f>
        <v>75000</v>
      </c>
      <c r="L3804" s="74">
        <v>75000.0</v>
      </c>
      <c r="M3804" s="74">
        <f t="shared" si="2"/>
        <v>75000</v>
      </c>
      <c r="N3804" s="74">
        <f t="shared" si="3"/>
        <v>100000</v>
      </c>
      <c r="O3804" s="65" t="str">
        <f>VLOOKUP(E3804,DATABASE!C:Q,8,false)</f>
        <v>BIAN</v>
      </c>
      <c r="P3804" s="65">
        <f>VLOOKUP(E3804,DATABASE!C:Q,9,False)</f>
        <v>0</v>
      </c>
      <c r="Q3804" s="93" t="str">
        <f>VLOOKUP(E3804,DATABASE!C:Q,4,false)</f>
        <v>Baut Camber</v>
      </c>
      <c r="R3804" s="93" t="str">
        <f>VLOOKUP(E3804,DATABASE!C:Q,11,false)</f>
        <v>COMPLEMENTARY</v>
      </c>
    </row>
    <row r="3805" ht="22.5" customHeight="1">
      <c r="A3805" s="49"/>
      <c r="C3805" s="384">
        <v>45860.0</v>
      </c>
      <c r="D3805" s="65">
        <v>6581.0</v>
      </c>
      <c r="E3805" s="445" t="s">
        <v>932</v>
      </c>
      <c r="F3805" s="386">
        <v>2.0</v>
      </c>
      <c r="G3805" s="74">
        <v>720000.0</v>
      </c>
      <c r="H3805" s="74">
        <v>0.0</v>
      </c>
      <c r="I3805" s="74">
        <f t="shared" si="1"/>
        <v>1440000</v>
      </c>
      <c r="J3805" s="74">
        <f>IF(E3805="SERVICE",I3805-(I3805*50%),Vlookup(E3805,DATABASE!C:Q,10,false)*F3805)</f>
        <v>0</v>
      </c>
      <c r="K3805" s="74">
        <f>VLOOKUP(E3805,DATABASE!C:Q,7,false)</f>
        <v>601000</v>
      </c>
      <c r="L3805" s="74">
        <v>595000.0</v>
      </c>
      <c r="M3805" s="74">
        <f t="shared" si="2"/>
        <v>595000</v>
      </c>
      <c r="N3805" s="74">
        <f t="shared" si="3"/>
        <v>250000</v>
      </c>
      <c r="O3805" s="65" t="str">
        <f>VLOOKUP(E3805,DATABASE!C:Q,8,false)</f>
        <v>IBU</v>
      </c>
      <c r="P3805" s="65">
        <f>VLOOKUP(E3805,DATABASE!C:Q,9,False)</f>
        <v>1</v>
      </c>
      <c r="Q3805" s="93" t="str">
        <f>VLOOKUP(E3805,DATABASE!C:Q,4,false)</f>
        <v>Dunlop</v>
      </c>
      <c r="R3805" s="93" t="str">
        <f>VLOOKUP(E3805,DATABASE!C:Q,11,false)</f>
        <v>Tire</v>
      </c>
    </row>
    <row r="3806" ht="22.5" customHeight="1">
      <c r="A3806" s="49"/>
      <c r="C3806" s="384">
        <v>45860.0</v>
      </c>
      <c r="D3806" s="65">
        <v>6582.0</v>
      </c>
      <c r="E3806" s="445" t="s">
        <v>290</v>
      </c>
      <c r="F3806" s="386">
        <v>1.0</v>
      </c>
      <c r="G3806" s="74">
        <v>720000.0</v>
      </c>
      <c r="H3806" s="74">
        <v>0.0</v>
      </c>
      <c r="I3806" s="74">
        <f t="shared" si="1"/>
        <v>720000</v>
      </c>
      <c r="J3806" s="74">
        <f>IF(E3806="SERVICE",I3806-(I3806*50%),Vlookup(E3806,DATABASE!C:Q,10,false)*F3806)</f>
        <v>0</v>
      </c>
      <c r="K3806" s="74">
        <f>VLOOKUP(E3806,DATABASE!C:Q,7,false)</f>
        <v>628100</v>
      </c>
      <c r="L3806" s="74">
        <v>609804.0</v>
      </c>
      <c r="M3806" s="74">
        <f t="shared" si="2"/>
        <v>610000</v>
      </c>
      <c r="N3806" s="74">
        <f t="shared" si="3"/>
        <v>110000</v>
      </c>
      <c r="O3806" s="65" t="str">
        <f>VLOOKUP(E3806,DATABASE!C:Q,8,false)</f>
        <v>BIAN</v>
      </c>
      <c r="P3806" s="65">
        <f>VLOOKUP(E3806,DATABASE!C:Q,9,False)</f>
        <v>1</v>
      </c>
      <c r="Q3806" s="93" t="str">
        <f>VLOOKUP(E3806,DATABASE!C:Q,4,false)</f>
        <v>GT</v>
      </c>
      <c r="R3806" s="93" t="str">
        <f>VLOOKUP(E3806,DATABASE!C:Q,11,false)</f>
        <v>Tire</v>
      </c>
    </row>
    <row r="3807" ht="22.5" customHeight="1">
      <c r="A3807" s="49"/>
      <c r="C3807" s="384">
        <v>45861.0</v>
      </c>
      <c r="D3807" s="65">
        <v>6388.0</v>
      </c>
      <c r="E3807" s="445" t="s">
        <v>1893</v>
      </c>
      <c r="F3807" s="386">
        <v>1.0</v>
      </c>
      <c r="G3807" s="74">
        <v>500000.0</v>
      </c>
      <c r="H3807" s="74">
        <v>0.0</v>
      </c>
      <c r="I3807" s="74">
        <f t="shared" si="1"/>
        <v>500000</v>
      </c>
      <c r="J3807" s="74">
        <f>IF(E3807="SERVICE",I3807-(I3807*50%),Vlookup(E3807,DATABASE!C:Q,10,false)*F3807)</f>
        <v>0</v>
      </c>
      <c r="K3807" s="74">
        <f>VLOOKUP(E3807,DATABASE!C:Q,7,false)</f>
        <v>404900</v>
      </c>
      <c r="L3807" s="74">
        <v>404900.0</v>
      </c>
      <c r="M3807" s="74">
        <f t="shared" si="2"/>
        <v>405000</v>
      </c>
      <c r="N3807" s="74">
        <f t="shared" si="3"/>
        <v>95000</v>
      </c>
      <c r="O3807" s="65" t="str">
        <f>VLOOKUP(E3807,DATABASE!C:Q,8,false)</f>
        <v>BIAN</v>
      </c>
      <c r="P3807" s="65">
        <f>VLOOKUP(E3807,DATABASE!C:Q,9,False)</f>
        <v>1</v>
      </c>
      <c r="Q3807" s="93" t="str">
        <f>VLOOKUP(E3807,DATABASE!C:Q,4,false)</f>
        <v>GT</v>
      </c>
      <c r="R3807" s="93" t="str">
        <f>VLOOKUP(E3807,DATABASE!C:Q,11,false)</f>
        <v>Tire</v>
      </c>
    </row>
    <row r="3808" ht="22.5" customHeight="1">
      <c r="A3808" s="49"/>
      <c r="C3808" s="384">
        <v>45861.0</v>
      </c>
      <c r="D3808" s="65">
        <v>6389.0</v>
      </c>
      <c r="E3808" s="445" t="s">
        <v>256</v>
      </c>
      <c r="F3808" s="386">
        <v>1.0</v>
      </c>
      <c r="G3808" s="74">
        <v>130000.0</v>
      </c>
      <c r="H3808" s="74">
        <v>0.0</v>
      </c>
      <c r="I3808" s="74">
        <f t="shared" si="1"/>
        <v>130000</v>
      </c>
      <c r="J3808" s="74">
        <f>IF(E3808="SERVICE",I3808-(I3808*50%),Vlookup(E3808,DATABASE!C:Q,10,false)*F3808)</f>
        <v>10000</v>
      </c>
      <c r="K3808" s="74">
        <f>VLOOKUP(E3808,DATABASE!C:Q,7,false)</f>
        <v>0</v>
      </c>
      <c r="L3808" s="74">
        <v>0.0</v>
      </c>
      <c r="M3808" s="74">
        <f t="shared" si="2"/>
        <v>0</v>
      </c>
      <c r="N3808" s="74">
        <f t="shared" si="3"/>
        <v>120000</v>
      </c>
      <c r="O3808" s="65" t="str">
        <f>VLOOKUP(E3808,DATABASE!C:Q,8,false)</f>
        <v>IBU</v>
      </c>
      <c r="P3808" s="65">
        <f>VLOOKUP(E3808,DATABASE!C:Q,9,False)</f>
        <v>0</v>
      </c>
      <c r="Q3808" s="93" t="str">
        <f>VLOOKUP(E3808,DATABASE!C:Q,4,false)</f>
        <v>SPOORING</v>
      </c>
      <c r="R3808" s="93" t="str">
        <f>VLOOKUP(E3808,DATABASE!C:Q,11,false)</f>
        <v>SERVICE</v>
      </c>
    </row>
    <row r="3809" ht="22.5" customHeight="1">
      <c r="A3809" s="49"/>
      <c r="C3809" s="384">
        <v>45861.0</v>
      </c>
      <c r="D3809" s="65">
        <v>6389.0</v>
      </c>
      <c r="E3809" s="445" t="s">
        <v>301</v>
      </c>
      <c r="F3809" s="386">
        <v>1.0</v>
      </c>
      <c r="G3809" s="74">
        <v>250000.0</v>
      </c>
      <c r="H3809" s="74">
        <v>0.0</v>
      </c>
      <c r="I3809" s="74">
        <f t="shared" si="1"/>
        <v>250000</v>
      </c>
      <c r="J3809" s="74">
        <f>IF(E3809="SERVICE",I3809-(I3809*50%),Vlookup(E3809,DATABASE!C:Q,10,false)*F3809)</f>
        <v>75000</v>
      </c>
      <c r="K3809" s="74">
        <f>VLOOKUP(E3809,DATABASE!C:Q,7,false)</f>
        <v>75000</v>
      </c>
      <c r="L3809" s="74">
        <v>75000.0</v>
      </c>
      <c r="M3809" s="74">
        <f t="shared" si="2"/>
        <v>75000</v>
      </c>
      <c r="N3809" s="74">
        <f t="shared" si="3"/>
        <v>100000</v>
      </c>
      <c r="O3809" s="65" t="str">
        <f>VLOOKUP(E3809,DATABASE!C:Q,8,false)</f>
        <v>BIAN</v>
      </c>
      <c r="P3809" s="65">
        <f>VLOOKUP(E3809,DATABASE!C:Q,9,False)</f>
        <v>0</v>
      </c>
      <c r="Q3809" s="93" t="str">
        <f>VLOOKUP(E3809,DATABASE!C:Q,4,false)</f>
        <v>Baut Camber</v>
      </c>
      <c r="R3809" s="93" t="str">
        <f>VLOOKUP(E3809,DATABASE!C:Q,11,false)</f>
        <v>COMPLEMENTARY</v>
      </c>
    </row>
    <row r="3810" ht="22.5" customHeight="1">
      <c r="A3810" s="49"/>
      <c r="C3810" s="384">
        <v>45861.0</v>
      </c>
      <c r="D3810" s="65">
        <v>6583.0</v>
      </c>
      <c r="E3810" s="445" t="s">
        <v>286</v>
      </c>
      <c r="F3810" s="386">
        <v>15.0</v>
      </c>
      <c r="G3810" s="74">
        <v>550000.0</v>
      </c>
      <c r="H3810" s="74">
        <v>0.0</v>
      </c>
      <c r="I3810" s="74">
        <f t="shared" si="1"/>
        <v>8250000</v>
      </c>
      <c r="J3810" s="74">
        <f>IF(E3810="SERVICE",I3810-(I3810*50%),Vlookup(E3810,DATABASE!C:Q,10,false)*F3810)</f>
        <v>0</v>
      </c>
      <c r="K3810" s="74">
        <f>VLOOKUP(E3810,DATABASE!C:Q,7,false)</f>
        <v>488320</v>
      </c>
      <c r="L3810" s="74">
        <v>452970.0</v>
      </c>
      <c r="M3810" s="74">
        <f t="shared" si="2"/>
        <v>455000</v>
      </c>
      <c r="N3810" s="74">
        <f t="shared" si="3"/>
        <v>1425000</v>
      </c>
      <c r="O3810" s="65" t="str">
        <f>VLOOKUP(E3810,DATABASE!C:Q,8,false)</f>
        <v>BIAN</v>
      </c>
      <c r="P3810" s="65">
        <f>VLOOKUP(E3810,DATABASE!C:Q,9,False)</f>
        <v>1</v>
      </c>
      <c r="Q3810" s="93" t="str">
        <f>VLOOKUP(E3810,DATABASE!C:Q,4,false)</f>
        <v>GT</v>
      </c>
      <c r="R3810" s="93" t="str">
        <f>VLOOKUP(E3810,DATABASE!C:Q,11,false)</f>
        <v>Tire</v>
      </c>
    </row>
    <row r="3811" ht="22.5" customHeight="1">
      <c r="A3811" s="49"/>
      <c r="C3811" s="384">
        <v>45861.0</v>
      </c>
      <c r="D3811" s="65">
        <v>6585.0</v>
      </c>
      <c r="E3811" s="385" t="s">
        <v>299</v>
      </c>
      <c r="F3811" s="386">
        <v>2.0</v>
      </c>
      <c r="G3811" s="74">
        <v>30000.0</v>
      </c>
      <c r="H3811" s="74">
        <v>0.0</v>
      </c>
      <c r="I3811" s="74">
        <f t="shared" si="1"/>
        <v>60000</v>
      </c>
      <c r="J3811" s="74">
        <f>IF(E3811="SERVICE",I3811-(I3811*50%),Vlookup(E3811,DATABASE!C:Q,10,false)*F3811)</f>
        <v>0</v>
      </c>
      <c r="K3811" s="74">
        <v>0.0</v>
      </c>
      <c r="L3811" s="74">
        <v>0.0</v>
      </c>
      <c r="M3811" s="74">
        <f t="shared" si="2"/>
        <v>0</v>
      </c>
      <c r="N3811" s="74">
        <f t="shared" si="3"/>
        <v>60000</v>
      </c>
      <c r="O3811" s="65" t="str">
        <f>VLOOKUP(E3811,DATABASE!C:Q,8,false)</f>
        <v>BIAN</v>
      </c>
      <c r="P3811" s="65">
        <f>VLOOKUP(E3811,DATABASE!C:Q,9,False)</f>
        <v>0</v>
      </c>
      <c r="Q3811" s="93" t="str">
        <f>VLOOKUP(E3811,DATABASE!C:Q,4,false)</f>
        <v>Balancing</v>
      </c>
      <c r="R3811" s="93" t="str">
        <f>VLOOKUP(E3811,DATABASE!C:Q,11,false)</f>
        <v>COMPLEMENTARY</v>
      </c>
    </row>
    <row r="3812" ht="22.5" customHeight="1">
      <c r="A3812" s="49"/>
      <c r="C3812" s="384">
        <v>45861.0</v>
      </c>
      <c r="D3812" s="65">
        <v>6586.0</v>
      </c>
      <c r="E3812" s="445" t="s">
        <v>290</v>
      </c>
      <c r="F3812" s="386">
        <v>1.0</v>
      </c>
      <c r="G3812" s="74">
        <v>720000.0</v>
      </c>
      <c r="H3812" s="74">
        <v>0.0</v>
      </c>
      <c r="I3812" s="74">
        <f t="shared" si="1"/>
        <v>720000</v>
      </c>
      <c r="J3812" s="74">
        <f>IF(E3812="SERVICE",I3812-(I3812*50%),Vlookup(E3812,DATABASE!C:Q,10,false)*F3812)</f>
        <v>0</v>
      </c>
      <c r="K3812" s="74">
        <f>VLOOKUP(E3812,DATABASE!C:Q,7,false)</f>
        <v>628100</v>
      </c>
      <c r="L3812" s="74">
        <v>609804.0</v>
      </c>
      <c r="M3812" s="74">
        <f t="shared" si="2"/>
        <v>610000</v>
      </c>
      <c r="N3812" s="74">
        <f t="shared" si="3"/>
        <v>110000</v>
      </c>
      <c r="O3812" s="65" t="str">
        <f>VLOOKUP(E3812,DATABASE!C:Q,8,false)</f>
        <v>BIAN</v>
      </c>
      <c r="P3812" s="65">
        <f>VLOOKUP(E3812,DATABASE!C:Q,9,False)</f>
        <v>1</v>
      </c>
      <c r="Q3812" s="93" t="str">
        <f>VLOOKUP(E3812,DATABASE!C:Q,4,false)</f>
        <v>GT</v>
      </c>
      <c r="R3812" s="93" t="str">
        <f>VLOOKUP(E3812,DATABASE!C:Q,11,false)</f>
        <v>Tire</v>
      </c>
    </row>
    <row r="3813" ht="22.5" customHeight="1">
      <c r="A3813" s="49"/>
      <c r="C3813" s="384">
        <v>45861.0</v>
      </c>
      <c r="D3813" s="65">
        <v>6587.0</v>
      </c>
      <c r="E3813" s="445" t="s">
        <v>275</v>
      </c>
      <c r="F3813" s="386">
        <v>2.0</v>
      </c>
      <c r="G3813" s="74">
        <v>850000.0</v>
      </c>
      <c r="H3813" s="74">
        <v>0.0</v>
      </c>
      <c r="I3813" s="74">
        <f t="shared" si="1"/>
        <v>1700000</v>
      </c>
      <c r="J3813" s="74">
        <f>IF(E3813="SERVICE",I3813-(I3813*50%),Vlookup(E3813,DATABASE!C:Q,10,false)*F3813)</f>
        <v>0</v>
      </c>
      <c r="K3813" s="74">
        <f>VLOOKUP(E3813,DATABASE!C:Q,7,false)</f>
        <v>782000</v>
      </c>
      <c r="L3813" s="74">
        <v>745000.0</v>
      </c>
      <c r="M3813" s="74">
        <f t="shared" si="2"/>
        <v>745000</v>
      </c>
      <c r="N3813" s="74">
        <f t="shared" si="3"/>
        <v>210000</v>
      </c>
      <c r="O3813" s="65" t="str">
        <f>VLOOKUP(E3813,DATABASE!C:Q,8,false)</f>
        <v>IBU</v>
      </c>
      <c r="P3813" s="65">
        <f>VLOOKUP(E3813,DATABASE!C:Q,9,False)</f>
        <v>1</v>
      </c>
      <c r="Q3813" s="93" t="str">
        <f>VLOOKUP(E3813,DATABASE!C:Q,4,false)</f>
        <v>Dunlop</v>
      </c>
      <c r="R3813" s="93" t="str">
        <f>VLOOKUP(E3813,DATABASE!C:Q,11,false)</f>
        <v>Tire</v>
      </c>
    </row>
    <row r="3814" ht="22.5" customHeight="1">
      <c r="A3814" s="49"/>
      <c r="C3814" s="384">
        <v>45861.0</v>
      </c>
      <c r="D3814" s="65">
        <v>6590.0</v>
      </c>
      <c r="E3814" s="445" t="s">
        <v>1894</v>
      </c>
      <c r="F3814" s="386">
        <v>1.0</v>
      </c>
      <c r="G3814" s="74">
        <v>545000.0</v>
      </c>
      <c r="H3814" s="74">
        <v>0.0</v>
      </c>
      <c r="I3814" s="74">
        <f t="shared" si="1"/>
        <v>545000</v>
      </c>
      <c r="J3814" s="74">
        <f>IF(E3814="SERVICE",I3814-(I3814*50%),Vlookup(E3814,DATABASE!C:Q,10,false)*F3814)</f>
        <v>0</v>
      </c>
      <c r="K3814" s="74">
        <f>VLOOKUP(E3814,DATABASE!C:Q,7,false)</f>
        <v>458600</v>
      </c>
      <c r="L3814" s="74">
        <v>445400.0</v>
      </c>
      <c r="M3814" s="74">
        <f t="shared" si="2"/>
        <v>450000</v>
      </c>
      <c r="N3814" s="74">
        <f t="shared" si="3"/>
        <v>95000</v>
      </c>
      <c r="O3814" s="65" t="str">
        <f>VLOOKUP(E3814,DATABASE!C:Q,8,false)</f>
        <v>BIAN</v>
      </c>
      <c r="P3814" s="65">
        <f>VLOOKUP(E3814,DATABASE!C:Q,9,False)</f>
        <v>1</v>
      </c>
      <c r="Q3814" s="93" t="str">
        <f>VLOOKUP(E3814,DATABASE!C:Q,4,false)</f>
        <v>GT</v>
      </c>
      <c r="R3814" s="93" t="str">
        <f>VLOOKUP(E3814,DATABASE!C:Q,11,false)</f>
        <v>Tire</v>
      </c>
    </row>
    <row r="3815" ht="22.5" customHeight="1">
      <c r="A3815" s="49"/>
      <c r="C3815" s="384">
        <v>45861.0</v>
      </c>
      <c r="D3815" s="65">
        <v>6591.0</v>
      </c>
      <c r="E3815" s="445" t="s">
        <v>268</v>
      </c>
      <c r="F3815" s="386">
        <v>2.0</v>
      </c>
      <c r="G3815" s="74">
        <v>720000.0</v>
      </c>
      <c r="H3815" s="74">
        <v>0.0</v>
      </c>
      <c r="I3815" s="74">
        <f t="shared" si="1"/>
        <v>1440000</v>
      </c>
      <c r="J3815" s="74">
        <f>IF(E3815="SERVICE",I3815-(I3815*50%),Vlookup(E3815,DATABASE!C:Q,10,false)*F3815)</f>
        <v>0</v>
      </c>
      <c r="K3815" s="74">
        <f>VLOOKUP(E3815,DATABASE!C:Q,7,false)</f>
        <v>653000</v>
      </c>
      <c r="L3815" s="74">
        <v>622000.0</v>
      </c>
      <c r="M3815" s="74">
        <f t="shared" si="2"/>
        <v>625000</v>
      </c>
      <c r="N3815" s="74">
        <f t="shared" si="3"/>
        <v>190000</v>
      </c>
      <c r="O3815" s="65" t="str">
        <f>VLOOKUP(E3815,DATABASE!C:Q,8,false)</f>
        <v>IBU</v>
      </c>
      <c r="P3815" s="65">
        <f>VLOOKUP(E3815,DATABASE!C:Q,9,False)</f>
        <v>1</v>
      </c>
      <c r="Q3815" s="93" t="str">
        <f>VLOOKUP(E3815,DATABASE!C:Q,4,false)</f>
        <v>Dunlop</v>
      </c>
      <c r="R3815" s="93" t="str">
        <f>VLOOKUP(E3815,DATABASE!C:Q,11,false)</f>
        <v>Tire</v>
      </c>
    </row>
    <row r="3816" ht="22.5" customHeight="1">
      <c r="A3816" s="49"/>
      <c r="C3816" s="384">
        <v>45861.0</v>
      </c>
      <c r="D3816" s="65">
        <v>6592.0</v>
      </c>
      <c r="E3816" s="445" t="s">
        <v>250</v>
      </c>
      <c r="F3816" s="386">
        <v>1.0</v>
      </c>
      <c r="G3816" s="74">
        <v>135000.0</v>
      </c>
      <c r="H3816" s="74">
        <v>0.0</v>
      </c>
      <c r="I3816" s="74">
        <f t="shared" si="1"/>
        <v>135000</v>
      </c>
      <c r="J3816" s="74">
        <f>IF(E3816="SERVICE",I3816-(I3816*50%),Vlookup(E3816,DATABASE!C:Q,10,false)*F3816)</f>
        <v>0</v>
      </c>
      <c r="K3816" s="74">
        <f>VLOOKUP(E3816,DATABASE!C:Q,7,false)</f>
        <v>102000</v>
      </c>
      <c r="L3816" s="74">
        <v>102000.0</v>
      </c>
      <c r="M3816" s="74">
        <f t="shared" si="2"/>
        <v>105000</v>
      </c>
      <c r="N3816" s="74">
        <f t="shared" si="3"/>
        <v>30000</v>
      </c>
      <c r="O3816" s="65" t="str">
        <f>VLOOKUP(E3816,DATABASE!C:Q,8,false)</f>
        <v>BIAN</v>
      </c>
      <c r="P3816" s="65">
        <f>VLOOKUP(E3816,DATABASE!C:Q,9,False)</f>
        <v>1</v>
      </c>
      <c r="Q3816" s="93" t="str">
        <f>VLOOKUP(E3816,DATABASE!C:Q,4,false)</f>
        <v>BD</v>
      </c>
      <c r="R3816" s="93" t="str">
        <f>VLOOKUP(E3816,DATABASE!C:Q,11,false)</f>
        <v>Tire</v>
      </c>
    </row>
    <row r="3817" ht="22.5" customHeight="1">
      <c r="A3817" s="49"/>
      <c r="C3817" s="384">
        <v>45861.0</v>
      </c>
      <c r="D3817" s="65">
        <v>6593.0</v>
      </c>
      <c r="E3817" s="445" t="s">
        <v>290</v>
      </c>
      <c r="F3817" s="386">
        <v>1.0</v>
      </c>
      <c r="G3817" s="74">
        <v>720000.0</v>
      </c>
      <c r="H3817" s="74">
        <v>0.0</v>
      </c>
      <c r="I3817" s="74">
        <f t="shared" si="1"/>
        <v>720000</v>
      </c>
      <c r="J3817" s="74">
        <f>IF(E3817="SERVICE",I3817-(I3817*50%),Vlookup(E3817,DATABASE!C:Q,10,false)*F3817)</f>
        <v>0</v>
      </c>
      <c r="K3817" s="74">
        <f>VLOOKUP(E3817,DATABASE!C:Q,7,false)</f>
        <v>628100</v>
      </c>
      <c r="L3817" s="74">
        <v>609804.0</v>
      </c>
      <c r="M3817" s="74">
        <f t="shared" si="2"/>
        <v>610000</v>
      </c>
      <c r="N3817" s="74">
        <f t="shared" si="3"/>
        <v>110000</v>
      </c>
      <c r="O3817" s="65" t="str">
        <f>VLOOKUP(E3817,DATABASE!C:Q,8,false)</f>
        <v>BIAN</v>
      </c>
      <c r="P3817" s="65">
        <f>VLOOKUP(E3817,DATABASE!C:Q,9,False)</f>
        <v>1</v>
      </c>
      <c r="Q3817" s="93" t="str">
        <f>VLOOKUP(E3817,DATABASE!C:Q,4,false)</f>
        <v>GT</v>
      </c>
      <c r="R3817" s="93" t="str">
        <f>VLOOKUP(E3817,DATABASE!C:Q,11,false)</f>
        <v>Tire</v>
      </c>
    </row>
    <row r="3818" ht="22.5" customHeight="1">
      <c r="A3818" s="49"/>
      <c r="C3818" s="384">
        <v>45861.0</v>
      </c>
      <c r="D3818" s="65">
        <v>6594.0</v>
      </c>
      <c r="E3818" s="445" t="s">
        <v>256</v>
      </c>
      <c r="F3818" s="386">
        <v>1.0</v>
      </c>
      <c r="G3818" s="74">
        <v>130000.0</v>
      </c>
      <c r="H3818" s="74">
        <v>0.0</v>
      </c>
      <c r="I3818" s="74">
        <f t="shared" si="1"/>
        <v>130000</v>
      </c>
      <c r="J3818" s="74">
        <f>IF(E3818="SERVICE",I3818-(I3818*50%),Vlookup(E3818,DATABASE!C:Q,10,false)*F3818)</f>
        <v>10000</v>
      </c>
      <c r="K3818" s="74">
        <f>VLOOKUP(E3818,DATABASE!C:Q,7,false)</f>
        <v>0</v>
      </c>
      <c r="L3818" s="74">
        <v>0.0</v>
      </c>
      <c r="M3818" s="74">
        <f t="shared" si="2"/>
        <v>0</v>
      </c>
      <c r="N3818" s="74">
        <f t="shared" si="3"/>
        <v>120000</v>
      </c>
      <c r="O3818" s="65" t="str">
        <f>VLOOKUP(E3818,DATABASE!C:Q,8,false)</f>
        <v>IBU</v>
      </c>
      <c r="P3818" s="65">
        <f>VLOOKUP(E3818,DATABASE!C:Q,9,False)</f>
        <v>0</v>
      </c>
      <c r="Q3818" s="93" t="str">
        <f>VLOOKUP(E3818,DATABASE!C:Q,4,false)</f>
        <v>SPOORING</v>
      </c>
      <c r="R3818" s="93" t="str">
        <f>VLOOKUP(E3818,DATABASE!C:Q,11,false)</f>
        <v>SERVICE</v>
      </c>
    </row>
    <row r="3819" ht="22.5" customHeight="1">
      <c r="A3819" s="49"/>
      <c r="C3819" s="384">
        <v>45861.0</v>
      </c>
      <c r="D3819" s="65">
        <v>6595.0</v>
      </c>
      <c r="E3819" s="445" t="s">
        <v>839</v>
      </c>
      <c r="F3819" s="386">
        <v>1.0</v>
      </c>
      <c r="G3819" s="74">
        <v>565000.0</v>
      </c>
      <c r="H3819" s="74">
        <v>0.0</v>
      </c>
      <c r="I3819" s="74">
        <f t="shared" si="1"/>
        <v>565000</v>
      </c>
      <c r="J3819" s="74">
        <f>IF(E3819="SERVICE",I3819-(I3819*50%),Vlookup(E3819,DATABASE!C:Q,10,false)*F3819)</f>
        <v>0</v>
      </c>
      <c r="K3819" s="74">
        <f>VLOOKUP(E3819,DATABASE!C:Q,7,false)</f>
        <v>512640</v>
      </c>
      <c r="L3819" s="74">
        <v>475700.0</v>
      </c>
      <c r="M3819" s="74">
        <f t="shared" si="2"/>
        <v>480000</v>
      </c>
      <c r="N3819" s="74">
        <f t="shared" si="3"/>
        <v>85000</v>
      </c>
      <c r="O3819" s="65" t="str">
        <f>VLOOKUP(E3819,DATABASE!C:Q,8,false)</f>
        <v>BIAN</v>
      </c>
      <c r="P3819" s="65">
        <f>VLOOKUP(E3819,DATABASE!C:Q,9,False)</f>
        <v>1</v>
      </c>
      <c r="Q3819" s="93" t="str">
        <f>VLOOKUP(E3819,DATABASE!C:Q,4,false)</f>
        <v>GT</v>
      </c>
      <c r="R3819" s="93" t="str">
        <f>VLOOKUP(E3819,DATABASE!C:Q,11,false)</f>
        <v>Tire</v>
      </c>
    </row>
    <row r="3820" ht="22.5" customHeight="1">
      <c r="A3820" s="49"/>
      <c r="C3820" s="384">
        <v>45861.0</v>
      </c>
      <c r="D3820" s="65">
        <v>6596.0</v>
      </c>
      <c r="E3820" s="445" t="s">
        <v>932</v>
      </c>
      <c r="F3820" s="386">
        <v>2.0</v>
      </c>
      <c r="G3820" s="74">
        <v>700000.0</v>
      </c>
      <c r="H3820" s="74">
        <v>0.0</v>
      </c>
      <c r="I3820" s="74">
        <f t="shared" si="1"/>
        <v>1400000</v>
      </c>
      <c r="J3820" s="74">
        <f>IF(E3820="SERVICE",I3820-(I3820*50%),Vlookup(E3820,DATABASE!C:Q,10,false)*F3820)</f>
        <v>0</v>
      </c>
      <c r="K3820" s="74">
        <f>VLOOKUP(E3820,DATABASE!C:Q,7,false)</f>
        <v>601000</v>
      </c>
      <c r="L3820" s="74">
        <v>595000.0</v>
      </c>
      <c r="M3820" s="74">
        <f t="shared" si="2"/>
        <v>595000</v>
      </c>
      <c r="N3820" s="74">
        <f t="shared" si="3"/>
        <v>210000</v>
      </c>
      <c r="O3820" s="65" t="str">
        <f>VLOOKUP(E3820,DATABASE!C:Q,8,false)</f>
        <v>IBU</v>
      </c>
      <c r="P3820" s="65">
        <f>VLOOKUP(E3820,DATABASE!C:Q,9,False)</f>
        <v>1</v>
      </c>
      <c r="Q3820" s="93" t="str">
        <f>VLOOKUP(E3820,DATABASE!C:Q,4,false)</f>
        <v>Dunlop</v>
      </c>
      <c r="R3820" s="93" t="str">
        <f>VLOOKUP(E3820,DATABASE!C:Q,11,false)</f>
        <v>Tire</v>
      </c>
    </row>
    <row r="3821" ht="22.5" customHeight="1">
      <c r="A3821" s="49"/>
      <c r="C3821" s="384">
        <v>45862.0</v>
      </c>
      <c r="D3821" s="65">
        <v>6597.0</v>
      </c>
      <c r="E3821" s="445" t="s">
        <v>1372</v>
      </c>
      <c r="F3821" s="386">
        <v>2.0</v>
      </c>
      <c r="G3821" s="74">
        <v>1150000.0</v>
      </c>
      <c r="H3821" s="74">
        <v>0.0</v>
      </c>
      <c r="I3821" s="74">
        <f t="shared" si="1"/>
        <v>2300000</v>
      </c>
      <c r="J3821" s="74">
        <f>IF(E3821="SERVICE",I3821-(I3821*50%),Vlookup(E3821,DATABASE!C:Q,10,false)*F3821)</f>
        <v>0</v>
      </c>
      <c r="K3821" s="74">
        <f>VLOOKUP(E3821,DATABASE!C:Q,7,false)</f>
        <v>1040000</v>
      </c>
      <c r="L3821" s="74">
        <v>1040000.0</v>
      </c>
      <c r="M3821" s="74">
        <f t="shared" si="2"/>
        <v>1040000</v>
      </c>
      <c r="N3821" s="74">
        <f t="shared" si="3"/>
        <v>220000</v>
      </c>
      <c r="O3821" s="65" t="str">
        <f>VLOOKUP(E3821,DATABASE!C:Q,8,false)</f>
        <v>IBU</v>
      </c>
      <c r="P3821" s="65">
        <f>VLOOKUP(E3821,DATABASE!C:Q,9,False)</f>
        <v>1</v>
      </c>
      <c r="Q3821" s="93" t="str">
        <f>VLOOKUP(E3821,DATABASE!C:Q,4,false)</f>
        <v>Dunlop</v>
      </c>
      <c r="R3821" s="93" t="str">
        <f>VLOOKUP(E3821,DATABASE!C:Q,11,false)</f>
        <v>Tire</v>
      </c>
    </row>
    <row r="3822" ht="22.5" customHeight="1">
      <c r="A3822" s="49"/>
      <c r="C3822" s="384">
        <v>45862.0</v>
      </c>
      <c r="D3822" s="65">
        <v>6598.0</v>
      </c>
      <c r="E3822" s="445" t="s">
        <v>262</v>
      </c>
      <c r="F3822" s="386">
        <v>1.0</v>
      </c>
      <c r="G3822" s="74">
        <v>110000.0</v>
      </c>
      <c r="H3822" s="74">
        <v>0.0</v>
      </c>
      <c r="I3822" s="74">
        <f t="shared" si="1"/>
        <v>110000</v>
      </c>
      <c r="J3822" s="74">
        <f>IF(E3822="SERVICE",I3822-(I3822*50%),Vlookup(E3822,DATABASE!C:Q,10,false)*F3822)</f>
        <v>5000</v>
      </c>
      <c r="K3822" s="74">
        <f>VLOOKUP(E3822,DATABASE!C:Q,7,false)</f>
        <v>0</v>
      </c>
      <c r="L3822" s="74">
        <v>0.0</v>
      </c>
      <c r="M3822" s="74">
        <f t="shared" si="2"/>
        <v>0</v>
      </c>
      <c r="N3822" s="74">
        <f t="shared" si="3"/>
        <v>105000</v>
      </c>
      <c r="O3822" s="65" t="str">
        <f>VLOOKUP(E3822,DATABASE!C:Q,8,false)</f>
        <v>IBU</v>
      </c>
      <c r="P3822" s="65">
        <f>VLOOKUP(E3822,DATABASE!C:Q,9,False)</f>
        <v>0</v>
      </c>
      <c r="Q3822" s="93" t="str">
        <f>VLOOKUP(E3822,DATABASE!C:Q,4,false)</f>
        <v>SPOORING SS/CARRY LOS BAK</v>
      </c>
      <c r="R3822" s="93" t="str">
        <f>VLOOKUP(E3822,DATABASE!C:Q,11,false)</f>
        <v>SERVICE</v>
      </c>
    </row>
    <row r="3823" ht="22.5" customHeight="1">
      <c r="A3823" s="49"/>
      <c r="C3823" s="384">
        <v>45862.0</v>
      </c>
      <c r="D3823" s="65">
        <v>6598.0</v>
      </c>
      <c r="E3823" s="445" t="s">
        <v>251</v>
      </c>
      <c r="F3823" s="386">
        <v>1.0</v>
      </c>
      <c r="G3823" s="74">
        <v>150000.0</v>
      </c>
      <c r="H3823" s="74">
        <v>0.0</v>
      </c>
      <c r="I3823" s="74">
        <f t="shared" si="1"/>
        <v>150000</v>
      </c>
      <c r="J3823" s="74">
        <f>IF(E3823="SERVICE",I3823-(I3823*50%),Vlookup(E3823,DATABASE!C:Q,10,false)*F3823)</f>
        <v>75000</v>
      </c>
      <c r="K3823" s="74">
        <f>VLOOKUP(E3823,DATABASE!C:Q,7,false)</f>
        <v>0</v>
      </c>
      <c r="L3823" s="74">
        <v>0.0</v>
      </c>
      <c r="M3823" s="74">
        <f t="shared" si="2"/>
        <v>0</v>
      </c>
      <c r="N3823" s="74">
        <f t="shared" si="3"/>
        <v>75000</v>
      </c>
      <c r="O3823" s="65" t="str">
        <f>VLOOKUP(E3823,DATABASE!C:Q,8,false)</f>
        <v>IBU</v>
      </c>
      <c r="P3823" s="65">
        <f>VLOOKUP(E3823,DATABASE!C:Q,9,False)</f>
        <v>0</v>
      </c>
      <c r="Q3823" s="93" t="str">
        <f>VLOOKUP(E3823,DATABASE!C:Q,4,false)</f>
        <v>SERVICE</v>
      </c>
      <c r="R3823" s="93" t="str">
        <f>VLOOKUP(E3823,DATABASE!C:Q,11,false)</f>
        <v>SERVICE</v>
      </c>
    </row>
    <row r="3824" ht="22.5" customHeight="1">
      <c r="A3824" s="49"/>
      <c r="C3824" s="384">
        <v>45862.0</v>
      </c>
      <c r="D3824" s="65">
        <v>6599.0</v>
      </c>
      <c r="E3824" s="385" t="s">
        <v>299</v>
      </c>
      <c r="F3824" s="386">
        <v>2.0</v>
      </c>
      <c r="G3824" s="74">
        <v>30000.0</v>
      </c>
      <c r="H3824" s="74">
        <v>0.0</v>
      </c>
      <c r="I3824" s="74">
        <f t="shared" si="1"/>
        <v>60000</v>
      </c>
      <c r="J3824" s="74">
        <f>IF(E3824="SERVICE",I3824-(I3824*50%),Vlookup(E3824,DATABASE!C:Q,10,false)*F3824)</f>
        <v>0</v>
      </c>
      <c r="K3824" s="74">
        <v>0.0</v>
      </c>
      <c r="L3824" s="74">
        <v>0.0</v>
      </c>
      <c r="M3824" s="74">
        <f t="shared" si="2"/>
        <v>0</v>
      </c>
      <c r="N3824" s="74">
        <f t="shared" si="3"/>
        <v>60000</v>
      </c>
      <c r="O3824" s="65" t="str">
        <f>VLOOKUP(E3824,DATABASE!C:Q,8,false)</f>
        <v>BIAN</v>
      </c>
      <c r="P3824" s="65">
        <f>VLOOKUP(E3824,DATABASE!C:Q,9,False)</f>
        <v>0</v>
      </c>
      <c r="Q3824" s="93" t="str">
        <f>VLOOKUP(E3824,DATABASE!C:Q,4,false)</f>
        <v>Balancing</v>
      </c>
      <c r="R3824" s="93" t="str">
        <f>VLOOKUP(E3824,DATABASE!C:Q,11,false)</f>
        <v>COMPLEMENTARY</v>
      </c>
    </row>
    <row r="3825" ht="22.5" customHeight="1">
      <c r="A3825" s="49"/>
      <c r="C3825" s="384">
        <v>45862.0</v>
      </c>
      <c r="D3825" s="65">
        <v>6599.0</v>
      </c>
      <c r="E3825" s="445" t="s">
        <v>256</v>
      </c>
      <c r="F3825" s="386">
        <v>1.0</v>
      </c>
      <c r="G3825" s="74">
        <v>130000.0</v>
      </c>
      <c r="H3825" s="74">
        <v>0.0</v>
      </c>
      <c r="I3825" s="74">
        <f t="shared" si="1"/>
        <v>130000</v>
      </c>
      <c r="J3825" s="74">
        <f>IF(E3825="SERVICE",I3825-(I3825*50%),Vlookup(E3825,DATABASE!C:Q,10,false)*F3825)</f>
        <v>10000</v>
      </c>
      <c r="K3825" s="74">
        <f>VLOOKUP(E3825,DATABASE!C:Q,7,false)</f>
        <v>0</v>
      </c>
      <c r="L3825" s="74">
        <v>0.0</v>
      </c>
      <c r="M3825" s="74">
        <f t="shared" si="2"/>
        <v>0</v>
      </c>
      <c r="N3825" s="74">
        <f t="shared" si="3"/>
        <v>120000</v>
      </c>
      <c r="O3825" s="65" t="str">
        <f>VLOOKUP(E3825,DATABASE!C:Q,8,false)</f>
        <v>IBU</v>
      </c>
      <c r="P3825" s="65">
        <f>VLOOKUP(E3825,DATABASE!C:Q,9,False)</f>
        <v>0</v>
      </c>
      <c r="Q3825" s="93" t="str">
        <f>VLOOKUP(E3825,DATABASE!C:Q,4,false)</f>
        <v>SPOORING</v>
      </c>
      <c r="R3825" s="93" t="str">
        <f>VLOOKUP(E3825,DATABASE!C:Q,11,false)</f>
        <v>SERVICE</v>
      </c>
    </row>
    <row r="3826" ht="22.5" customHeight="1">
      <c r="A3826" s="49"/>
      <c r="C3826" s="384">
        <v>45862.0</v>
      </c>
      <c r="D3826" s="65">
        <v>6599.0</v>
      </c>
      <c r="E3826" s="445" t="s">
        <v>301</v>
      </c>
      <c r="F3826" s="386">
        <v>1.0</v>
      </c>
      <c r="G3826" s="74">
        <v>250000.0</v>
      </c>
      <c r="H3826" s="74">
        <v>0.0</v>
      </c>
      <c r="I3826" s="74">
        <f t="shared" si="1"/>
        <v>250000</v>
      </c>
      <c r="J3826" s="74">
        <f>IF(E3826="SERVICE",I3826-(I3826*50%),Vlookup(E3826,DATABASE!C:Q,10,false)*F3826)</f>
        <v>75000</v>
      </c>
      <c r="K3826" s="74">
        <f>VLOOKUP(E3826,DATABASE!C:Q,7,false)</f>
        <v>75000</v>
      </c>
      <c r="L3826" s="74">
        <v>75000.0</v>
      </c>
      <c r="M3826" s="74">
        <f t="shared" si="2"/>
        <v>75000</v>
      </c>
      <c r="N3826" s="74">
        <f t="shared" si="3"/>
        <v>100000</v>
      </c>
      <c r="O3826" s="65" t="str">
        <f>VLOOKUP(E3826,DATABASE!C:Q,8,false)</f>
        <v>BIAN</v>
      </c>
      <c r="P3826" s="65">
        <f>VLOOKUP(E3826,DATABASE!C:Q,9,False)</f>
        <v>0</v>
      </c>
      <c r="Q3826" s="93" t="str">
        <f>VLOOKUP(E3826,DATABASE!C:Q,4,false)</f>
        <v>Baut Camber</v>
      </c>
      <c r="R3826" s="93" t="str">
        <f>VLOOKUP(E3826,DATABASE!C:Q,11,false)</f>
        <v>COMPLEMENTARY</v>
      </c>
    </row>
    <row r="3827" ht="22.5" customHeight="1">
      <c r="A3827" s="49"/>
      <c r="C3827" s="384">
        <v>45862.0</v>
      </c>
      <c r="D3827" s="65">
        <v>6600.0</v>
      </c>
      <c r="E3827" s="445" t="s">
        <v>1858</v>
      </c>
      <c r="F3827" s="386">
        <v>4.0</v>
      </c>
      <c r="G3827" s="74">
        <v>2112500.0</v>
      </c>
      <c r="H3827" s="74">
        <v>0.0</v>
      </c>
      <c r="I3827" s="74">
        <f t="shared" si="1"/>
        <v>8450000</v>
      </c>
      <c r="J3827" s="74">
        <f>IF(E3827="SERVICE",I3827-(I3827*50%),Vlookup(E3827,DATABASE!C:Q,10,false)*F3827)</f>
        <v>0</v>
      </c>
      <c r="K3827" s="74">
        <f>VLOOKUP(E3827,DATABASE!C:Q,7,false)</f>
        <v>2030000</v>
      </c>
      <c r="L3827" s="74">
        <v>2025000.0</v>
      </c>
      <c r="M3827" s="74">
        <f t="shared" si="2"/>
        <v>2025000</v>
      </c>
      <c r="N3827" s="74">
        <f t="shared" si="3"/>
        <v>350000</v>
      </c>
      <c r="O3827" s="65" t="str">
        <f>VLOOKUP(E3827,DATABASE!C:Q,8,false)</f>
        <v>BIAN</v>
      </c>
      <c r="P3827" s="65">
        <f>VLOOKUP(E3827,DATABASE!C:Q,9,False)</f>
        <v>1</v>
      </c>
      <c r="Q3827" s="93" t="str">
        <f>VLOOKUP(E3827,DATABASE!C:Q,4,false)</f>
        <v>GiTi</v>
      </c>
      <c r="R3827" s="93" t="str">
        <f>VLOOKUP(E3827,DATABASE!C:Q,11,false)</f>
        <v>Tire</v>
      </c>
    </row>
    <row r="3828" ht="22.5" customHeight="1">
      <c r="A3828" s="49"/>
      <c r="C3828" s="384">
        <v>45862.0</v>
      </c>
      <c r="D3828" s="65">
        <v>6601.0</v>
      </c>
      <c r="E3828" s="445" t="s">
        <v>268</v>
      </c>
      <c r="F3828" s="386">
        <v>2.0</v>
      </c>
      <c r="G3828" s="74">
        <v>720000.0</v>
      </c>
      <c r="H3828" s="74">
        <v>0.0</v>
      </c>
      <c r="I3828" s="74">
        <f t="shared" si="1"/>
        <v>1440000</v>
      </c>
      <c r="J3828" s="74">
        <f>IF(E3828="SERVICE",I3828-(I3828*50%),Vlookup(E3828,DATABASE!C:Q,10,false)*F3828)</f>
        <v>0</v>
      </c>
      <c r="K3828" s="74">
        <f>VLOOKUP(E3828,DATABASE!C:Q,7,false)</f>
        <v>653000</v>
      </c>
      <c r="L3828" s="74">
        <v>622000.0</v>
      </c>
      <c r="M3828" s="74">
        <f t="shared" si="2"/>
        <v>625000</v>
      </c>
      <c r="N3828" s="74">
        <f t="shared" si="3"/>
        <v>190000</v>
      </c>
      <c r="O3828" s="65" t="str">
        <f>VLOOKUP(E3828,DATABASE!C:Q,8,false)</f>
        <v>IBU</v>
      </c>
      <c r="P3828" s="65">
        <f>VLOOKUP(E3828,DATABASE!C:Q,9,False)</f>
        <v>1</v>
      </c>
      <c r="Q3828" s="93" t="str">
        <f>VLOOKUP(E3828,DATABASE!C:Q,4,false)</f>
        <v>Dunlop</v>
      </c>
      <c r="R3828" s="93" t="str">
        <f>VLOOKUP(E3828,DATABASE!C:Q,11,false)</f>
        <v>Tire</v>
      </c>
    </row>
    <row r="3829" ht="22.5" customHeight="1">
      <c r="A3829" s="49"/>
      <c r="C3829" s="384">
        <v>45862.0</v>
      </c>
      <c r="D3829" s="65">
        <v>6602.0</v>
      </c>
      <c r="E3829" s="445" t="s">
        <v>847</v>
      </c>
      <c r="F3829" s="386">
        <v>2.0</v>
      </c>
      <c r="G3829" s="74">
        <v>775000.0</v>
      </c>
      <c r="H3829" s="74">
        <v>0.0</v>
      </c>
      <c r="I3829" s="74">
        <f t="shared" si="1"/>
        <v>1550000</v>
      </c>
      <c r="J3829" s="74">
        <f>IF(E3829="SERVICE",I3829-(I3829*50%),Vlookup(E3829,DATABASE!C:Q,10,false)*F3829)</f>
        <v>0</v>
      </c>
      <c r="K3829" s="74">
        <f>VLOOKUP(E3829,DATABASE!C:Q,7,false)</f>
        <v>718080</v>
      </c>
      <c r="L3829" s="74">
        <v>672210.0</v>
      </c>
      <c r="M3829" s="74">
        <f t="shared" si="2"/>
        <v>675000</v>
      </c>
      <c r="N3829" s="74">
        <f t="shared" si="3"/>
        <v>200000</v>
      </c>
      <c r="O3829" s="65" t="str">
        <f>VLOOKUP(E3829,DATABASE!C:Q,8,false)</f>
        <v>BIAN</v>
      </c>
      <c r="P3829" s="65">
        <f>VLOOKUP(E3829,DATABASE!C:Q,9,False)</f>
        <v>1</v>
      </c>
      <c r="Q3829" s="93" t="str">
        <f>VLOOKUP(E3829,DATABASE!C:Q,4,false)</f>
        <v>GT</v>
      </c>
      <c r="R3829" s="93" t="str">
        <f>VLOOKUP(E3829,DATABASE!C:Q,11,false)</f>
        <v>Tire</v>
      </c>
    </row>
    <row r="3830" ht="22.5" customHeight="1">
      <c r="A3830" s="49"/>
      <c r="C3830" s="384">
        <v>45862.0</v>
      </c>
      <c r="D3830" s="65">
        <v>6603.0</v>
      </c>
      <c r="E3830" s="445" t="s">
        <v>968</v>
      </c>
      <c r="F3830" s="386">
        <v>1.0</v>
      </c>
      <c r="G3830" s="74">
        <v>675000.0</v>
      </c>
      <c r="H3830" s="74">
        <v>0.0</v>
      </c>
      <c r="I3830" s="74">
        <f t="shared" si="1"/>
        <v>675000</v>
      </c>
      <c r="J3830" s="74">
        <f>IF(E3830="SERVICE",I3830-(I3830*50%),Vlookup(E3830,DATABASE!C:Q,10,false)*F3830)</f>
        <v>0</v>
      </c>
      <c r="K3830" s="74">
        <f>VLOOKUP(E3830,DATABASE!C:Q,7,false)</f>
        <v>582500</v>
      </c>
      <c r="L3830" s="74">
        <v>582500.0</v>
      </c>
      <c r="M3830" s="74">
        <f t="shared" si="2"/>
        <v>585000</v>
      </c>
      <c r="N3830" s="74">
        <f t="shared" si="3"/>
        <v>90000</v>
      </c>
      <c r="O3830" s="65" t="str">
        <f>VLOOKUP(E3830,DATABASE!C:Q,8,false)</f>
        <v>IBU</v>
      </c>
      <c r="P3830" s="65">
        <f>VLOOKUP(E3830,DATABASE!C:Q,9,False)</f>
        <v>1</v>
      </c>
      <c r="Q3830" s="93" t="str">
        <f>VLOOKUP(E3830,DATABASE!C:Q,4,false)</f>
        <v>Dunlop</v>
      </c>
      <c r="R3830" s="93" t="str">
        <f>VLOOKUP(E3830,DATABASE!C:Q,11,false)</f>
        <v>Tire</v>
      </c>
    </row>
    <row r="3831" ht="22.5" customHeight="1">
      <c r="A3831" s="49"/>
      <c r="C3831" s="384">
        <v>45862.0</v>
      </c>
      <c r="D3831" s="65">
        <v>6604.0</v>
      </c>
      <c r="E3831" s="445" t="s">
        <v>1389</v>
      </c>
      <c r="F3831" s="386">
        <v>1.0</v>
      </c>
      <c r="G3831" s="74">
        <v>1020000.0</v>
      </c>
      <c r="H3831" s="74">
        <v>0.0</v>
      </c>
      <c r="I3831" s="74">
        <f t="shared" si="1"/>
        <v>1020000</v>
      </c>
      <c r="J3831" s="74">
        <f>IF(E3831="SERVICE",I3831-(I3831*50%),Vlookup(E3831,DATABASE!C:Q,10,false)*F3831)</f>
        <v>0</v>
      </c>
      <c r="K3831" s="74">
        <f>VLOOKUP(E3831,DATABASE!C:Q,7,false)</f>
        <v>908000</v>
      </c>
      <c r="L3831" s="74">
        <v>897000.0</v>
      </c>
      <c r="M3831" s="74">
        <f t="shared" si="2"/>
        <v>900000</v>
      </c>
      <c r="N3831" s="74">
        <f t="shared" si="3"/>
        <v>120000</v>
      </c>
      <c r="O3831" s="65" t="str">
        <f>VLOOKUP(E3831,DATABASE!C:Q,8,false)</f>
        <v>IBU</v>
      </c>
      <c r="P3831" s="65">
        <f>VLOOKUP(E3831,DATABASE!C:Q,9,False)</f>
        <v>1</v>
      </c>
      <c r="Q3831" s="93" t="str">
        <f>VLOOKUP(E3831,DATABASE!C:Q,4,false)</f>
        <v>Dunlop</v>
      </c>
      <c r="R3831" s="93" t="str">
        <f>VLOOKUP(E3831,DATABASE!C:Q,11,false)</f>
        <v>Tire</v>
      </c>
    </row>
    <row r="3832" ht="22.5" customHeight="1">
      <c r="A3832" s="49"/>
      <c r="C3832" s="384">
        <v>45862.0</v>
      </c>
      <c r="D3832" s="65">
        <v>6605.0</v>
      </c>
      <c r="E3832" s="445" t="s">
        <v>2019</v>
      </c>
      <c r="F3832" s="386">
        <v>4.0</v>
      </c>
      <c r="G3832" s="74">
        <v>685000.0</v>
      </c>
      <c r="H3832" s="74">
        <v>0.0</v>
      </c>
      <c r="I3832" s="74">
        <f t="shared" si="1"/>
        <v>2740000</v>
      </c>
      <c r="J3832" s="74">
        <f>IF(E3832="SERVICE",I3832-(I3832*50%),Vlookup(E3832,DATABASE!C:Q,10,false)*F3832)</f>
        <v>0</v>
      </c>
      <c r="K3832" s="74">
        <f>VLOOKUP(E3832,DATABASE!C:Q,7,false)</f>
        <v>620000</v>
      </c>
      <c r="L3832" s="74">
        <v>585000.0</v>
      </c>
      <c r="M3832" s="74">
        <f t="shared" si="2"/>
        <v>585000</v>
      </c>
      <c r="N3832" s="74">
        <f t="shared" si="3"/>
        <v>400000</v>
      </c>
      <c r="O3832" s="65" t="str">
        <f>VLOOKUP(E3832,DATABASE!C:Q,8,false)</f>
        <v>BIAN</v>
      </c>
      <c r="P3832" s="65">
        <f>VLOOKUP(E3832,DATABASE!C:Q,9,False)</f>
        <v>1</v>
      </c>
      <c r="Q3832" s="93" t="str">
        <f>VLOOKUP(E3832,DATABASE!C:Q,4,false)</f>
        <v>GT</v>
      </c>
      <c r="R3832" s="93" t="str">
        <f>VLOOKUP(E3832,DATABASE!C:Q,11,false)</f>
        <v>Tire</v>
      </c>
    </row>
    <row r="3833" ht="22.5" customHeight="1">
      <c r="A3833" s="49"/>
      <c r="C3833" s="384">
        <v>45862.0</v>
      </c>
      <c r="D3833" s="65">
        <v>6606.0</v>
      </c>
      <c r="E3833" s="445" t="s">
        <v>2057</v>
      </c>
      <c r="F3833" s="386">
        <v>2.0</v>
      </c>
      <c r="G3833" s="74">
        <v>660000.0</v>
      </c>
      <c r="H3833" s="74">
        <v>0.0</v>
      </c>
      <c r="I3833" s="74">
        <f t="shared" si="1"/>
        <v>1320000</v>
      </c>
      <c r="J3833" s="74">
        <f>IF(E3833="SERVICE",I3833-(I3833*50%),Vlookup(E3833,DATABASE!C:Q,10,false)*F3833)</f>
        <v>0</v>
      </c>
      <c r="K3833" s="74">
        <f>VLOOKUP(E3833,DATABASE!C:Q,7,false)</f>
        <v>565000</v>
      </c>
      <c r="L3833" s="74">
        <v>565000.0</v>
      </c>
      <c r="M3833" s="74">
        <f t="shared" si="2"/>
        <v>565000</v>
      </c>
      <c r="N3833" s="74">
        <f t="shared" si="3"/>
        <v>190000</v>
      </c>
      <c r="O3833" s="65" t="str">
        <f>VLOOKUP(E3833,DATABASE!C:Q,8,false)</f>
        <v>BIAN</v>
      </c>
      <c r="P3833" s="65">
        <f>VLOOKUP(E3833,DATABASE!C:Q,9,False)</f>
        <v>1</v>
      </c>
      <c r="Q3833" s="93" t="str">
        <f>VLOOKUP(E3833,DATABASE!C:Q,4,false)</f>
        <v>Hankook</v>
      </c>
      <c r="R3833" s="93" t="str">
        <f>VLOOKUP(E3833,DATABASE!C:Q,11,false)</f>
        <v>Tire</v>
      </c>
    </row>
    <row r="3834" ht="22.5" customHeight="1">
      <c r="A3834" s="49"/>
      <c r="C3834" s="384">
        <v>45863.0</v>
      </c>
      <c r="D3834" s="65">
        <v>6607.0</v>
      </c>
      <c r="E3834" s="445" t="s">
        <v>839</v>
      </c>
      <c r="F3834" s="386">
        <v>3.0</v>
      </c>
      <c r="G3834" s="74">
        <v>565000.0</v>
      </c>
      <c r="H3834" s="74">
        <v>0.0</v>
      </c>
      <c r="I3834" s="74">
        <f t="shared" si="1"/>
        <v>1695000</v>
      </c>
      <c r="J3834" s="74">
        <f>IF(E3834="SERVICE",I3834-(I3834*50%),Vlookup(E3834,DATABASE!C:Q,10,false)*F3834)</f>
        <v>0</v>
      </c>
      <c r="K3834" s="74">
        <f>VLOOKUP(E3834,DATABASE!C:Q,7,false)</f>
        <v>512640</v>
      </c>
      <c r="L3834" s="74">
        <v>475700.0</v>
      </c>
      <c r="M3834" s="74">
        <f t="shared" si="2"/>
        <v>480000</v>
      </c>
      <c r="N3834" s="74">
        <f t="shared" si="3"/>
        <v>255000</v>
      </c>
      <c r="O3834" s="65" t="str">
        <f>VLOOKUP(E3834,DATABASE!C:Q,8,false)</f>
        <v>BIAN</v>
      </c>
      <c r="P3834" s="65">
        <f>VLOOKUP(E3834,DATABASE!C:Q,9,False)</f>
        <v>1</v>
      </c>
      <c r="Q3834" s="93" t="str">
        <f>VLOOKUP(E3834,DATABASE!C:Q,4,false)</f>
        <v>GT</v>
      </c>
      <c r="R3834" s="93" t="str">
        <f>VLOOKUP(E3834,DATABASE!C:Q,11,false)</f>
        <v>Tire</v>
      </c>
    </row>
    <row r="3835" ht="22.5" customHeight="1">
      <c r="A3835" s="49"/>
      <c r="C3835" s="384">
        <v>45863.0</v>
      </c>
      <c r="D3835" s="65">
        <v>6607.0</v>
      </c>
      <c r="E3835" s="385" t="s">
        <v>299</v>
      </c>
      <c r="F3835" s="386">
        <v>2.0</v>
      </c>
      <c r="G3835" s="74">
        <v>30000.0</v>
      </c>
      <c r="H3835" s="74">
        <v>0.0</v>
      </c>
      <c r="I3835" s="74">
        <f t="shared" si="1"/>
        <v>60000</v>
      </c>
      <c r="J3835" s="74">
        <f>IF(E3835="SERVICE",I3835-(I3835*50%),Vlookup(E3835,DATABASE!C:Q,10,false)*F3835)</f>
        <v>0</v>
      </c>
      <c r="K3835" s="74">
        <v>0.0</v>
      </c>
      <c r="L3835" s="74">
        <v>0.0</v>
      </c>
      <c r="M3835" s="74">
        <f t="shared" si="2"/>
        <v>0</v>
      </c>
      <c r="N3835" s="74">
        <f t="shared" si="3"/>
        <v>60000</v>
      </c>
      <c r="O3835" s="65" t="str">
        <f>VLOOKUP(E3835,DATABASE!C:Q,8,false)</f>
        <v>BIAN</v>
      </c>
      <c r="P3835" s="65">
        <f>VLOOKUP(E3835,DATABASE!C:Q,9,False)</f>
        <v>0</v>
      </c>
      <c r="Q3835" s="93" t="str">
        <f>VLOOKUP(E3835,DATABASE!C:Q,4,false)</f>
        <v>Balancing</v>
      </c>
      <c r="R3835" s="93" t="str">
        <f>VLOOKUP(E3835,DATABASE!C:Q,11,false)</f>
        <v>COMPLEMENTARY</v>
      </c>
    </row>
    <row r="3836" ht="22.5" customHeight="1">
      <c r="A3836" s="49"/>
      <c r="C3836" s="384">
        <v>45863.0</v>
      </c>
      <c r="D3836" s="65">
        <v>6607.0</v>
      </c>
      <c r="E3836" s="445" t="s">
        <v>256</v>
      </c>
      <c r="F3836" s="386">
        <v>1.0</v>
      </c>
      <c r="G3836" s="74">
        <v>130000.0</v>
      </c>
      <c r="H3836" s="74">
        <v>0.0</v>
      </c>
      <c r="I3836" s="74">
        <f t="shared" si="1"/>
        <v>130000</v>
      </c>
      <c r="J3836" s="74">
        <f>IF(E3836="SERVICE",I3836-(I3836*50%),Vlookup(E3836,DATABASE!C:Q,10,false)*F3836)</f>
        <v>10000</v>
      </c>
      <c r="K3836" s="74">
        <f>VLOOKUP(E3836,DATABASE!C:Q,7,false)</f>
        <v>0</v>
      </c>
      <c r="L3836" s="74">
        <v>0.0</v>
      </c>
      <c r="M3836" s="74">
        <f t="shared" si="2"/>
        <v>0</v>
      </c>
      <c r="N3836" s="74">
        <f t="shared" si="3"/>
        <v>120000</v>
      </c>
      <c r="O3836" s="65" t="str">
        <f>VLOOKUP(E3836,DATABASE!C:Q,8,false)</f>
        <v>IBU</v>
      </c>
      <c r="P3836" s="65">
        <f>VLOOKUP(E3836,DATABASE!C:Q,9,False)</f>
        <v>0</v>
      </c>
      <c r="Q3836" s="93" t="str">
        <f>VLOOKUP(E3836,DATABASE!C:Q,4,false)</f>
        <v>SPOORING</v>
      </c>
      <c r="R3836" s="93" t="str">
        <f>VLOOKUP(E3836,DATABASE!C:Q,11,false)</f>
        <v>SERVICE</v>
      </c>
    </row>
    <row r="3837" ht="22.5" customHeight="1">
      <c r="A3837" s="49"/>
      <c r="C3837" s="384">
        <v>45863.0</v>
      </c>
      <c r="D3837" s="65">
        <v>6607.0</v>
      </c>
      <c r="E3837" s="445" t="s">
        <v>301</v>
      </c>
      <c r="F3837" s="386">
        <v>1.0</v>
      </c>
      <c r="G3837" s="74">
        <v>250000.0</v>
      </c>
      <c r="H3837" s="74">
        <v>0.0</v>
      </c>
      <c r="I3837" s="74">
        <f t="shared" si="1"/>
        <v>250000</v>
      </c>
      <c r="J3837" s="74">
        <f>IF(E3837="SERVICE",I3837-(I3837*50%),Vlookup(E3837,DATABASE!C:Q,10,false)*F3837)</f>
        <v>75000</v>
      </c>
      <c r="K3837" s="74">
        <f>VLOOKUP(E3837,DATABASE!C:Q,7,false)</f>
        <v>75000</v>
      </c>
      <c r="L3837" s="74">
        <v>75000.0</v>
      </c>
      <c r="M3837" s="74">
        <f t="shared" si="2"/>
        <v>75000</v>
      </c>
      <c r="N3837" s="74">
        <f t="shared" si="3"/>
        <v>100000</v>
      </c>
      <c r="O3837" s="65" t="str">
        <f>VLOOKUP(E3837,DATABASE!C:Q,8,false)</f>
        <v>BIAN</v>
      </c>
      <c r="P3837" s="65">
        <f>VLOOKUP(E3837,DATABASE!C:Q,9,False)</f>
        <v>0</v>
      </c>
      <c r="Q3837" s="93" t="str">
        <f>VLOOKUP(E3837,DATABASE!C:Q,4,false)</f>
        <v>Baut Camber</v>
      </c>
      <c r="R3837" s="93" t="str">
        <f>VLOOKUP(E3837,DATABASE!C:Q,11,false)</f>
        <v>COMPLEMENTARY</v>
      </c>
    </row>
    <row r="3838" ht="22.5" customHeight="1">
      <c r="A3838" s="49"/>
      <c r="C3838" s="384">
        <v>45863.0</v>
      </c>
      <c r="D3838" s="65">
        <v>6608.0</v>
      </c>
      <c r="E3838" s="445" t="s">
        <v>695</v>
      </c>
      <c r="F3838" s="386">
        <v>5.0</v>
      </c>
      <c r="G3838" s="74">
        <v>675000.0</v>
      </c>
      <c r="H3838" s="74">
        <v>0.0</v>
      </c>
      <c r="I3838" s="74">
        <f t="shared" si="1"/>
        <v>3375000</v>
      </c>
      <c r="J3838" s="74">
        <f>IF(E3838="SERVICE",I3838-(I3838*50%),Vlookup(E3838,DATABASE!C:Q,10,false)*F3838)</f>
        <v>0</v>
      </c>
      <c r="K3838" s="74">
        <f>VLOOKUP(E3838,DATABASE!C:Q,7,false)</f>
        <v>582000</v>
      </c>
      <c r="L3838" s="74">
        <v>570000.0</v>
      </c>
      <c r="M3838" s="74">
        <f t="shared" si="2"/>
        <v>570000</v>
      </c>
      <c r="N3838" s="74">
        <f t="shared" si="3"/>
        <v>525000</v>
      </c>
      <c r="O3838" s="65" t="str">
        <f>VLOOKUP(E3838,DATABASE!C:Q,8,false)</f>
        <v>IBU</v>
      </c>
      <c r="P3838" s="65">
        <f>VLOOKUP(E3838,DATABASE!C:Q,9,False)</f>
        <v>1</v>
      </c>
      <c r="Q3838" s="93" t="str">
        <f>VLOOKUP(E3838,DATABASE!C:Q,4,false)</f>
        <v>Dunlop</v>
      </c>
      <c r="R3838" s="93" t="str">
        <f>VLOOKUP(E3838,DATABASE!C:Q,11,false)</f>
        <v>Tire</v>
      </c>
    </row>
    <row r="3839" ht="22.5" customHeight="1">
      <c r="A3839" s="49"/>
      <c r="C3839" s="384">
        <v>45863.0</v>
      </c>
      <c r="D3839" s="65">
        <v>6609.0</v>
      </c>
      <c r="E3839" s="445" t="s">
        <v>897</v>
      </c>
      <c r="F3839" s="386">
        <v>1.0</v>
      </c>
      <c r="G3839" s="74">
        <v>1580000.0</v>
      </c>
      <c r="H3839" s="74">
        <v>0.0</v>
      </c>
      <c r="I3839" s="74">
        <f t="shared" si="1"/>
        <v>1580000</v>
      </c>
      <c r="J3839" s="74">
        <f>IF(E3839="SERVICE",I3839-(I3839*50%),Vlookup(E3839,DATABASE!C:Q,10,false)*F3839)</f>
        <v>0</v>
      </c>
      <c r="K3839" s="74">
        <f>VLOOKUP(E3839,DATABASE!C:Q,7,false)</f>
        <v>1560000</v>
      </c>
      <c r="L3839" s="74">
        <v>1500000.0</v>
      </c>
      <c r="M3839" s="74">
        <f t="shared" si="2"/>
        <v>1500000</v>
      </c>
      <c r="N3839" s="74">
        <f t="shared" si="3"/>
        <v>80000</v>
      </c>
      <c r="O3839" s="65" t="str">
        <f>VLOOKUP(E3839,DATABASE!C:Q,8,false)</f>
        <v>BIAN</v>
      </c>
      <c r="P3839" s="65">
        <f>VLOOKUP(E3839,DATABASE!C:Q,9,False)</f>
        <v>1</v>
      </c>
      <c r="Q3839" s="93" t="str">
        <f>VLOOKUP(E3839,DATABASE!C:Q,4,false)</f>
        <v>GT</v>
      </c>
      <c r="R3839" s="93" t="str">
        <f>VLOOKUP(E3839,DATABASE!C:Q,11,false)</f>
        <v>Tire</v>
      </c>
    </row>
    <row r="3840" ht="22.5" customHeight="1">
      <c r="A3840" s="49"/>
      <c r="C3840" s="384">
        <v>45863.0</v>
      </c>
      <c r="D3840" s="65">
        <v>6610.0</v>
      </c>
      <c r="E3840" s="445" t="s">
        <v>275</v>
      </c>
      <c r="F3840" s="386">
        <v>2.0</v>
      </c>
      <c r="G3840" s="74">
        <v>850000.0</v>
      </c>
      <c r="H3840" s="74">
        <v>0.0</v>
      </c>
      <c r="I3840" s="74">
        <f t="shared" si="1"/>
        <v>1700000</v>
      </c>
      <c r="J3840" s="74">
        <f>IF(E3840="SERVICE",I3840-(I3840*50%),Vlookup(E3840,DATABASE!C:Q,10,false)*F3840)</f>
        <v>0</v>
      </c>
      <c r="K3840" s="74">
        <f>VLOOKUP(E3840,DATABASE!C:Q,7,false)</f>
        <v>782000</v>
      </c>
      <c r="L3840" s="74">
        <v>745000.0</v>
      </c>
      <c r="M3840" s="74">
        <f t="shared" si="2"/>
        <v>745000</v>
      </c>
      <c r="N3840" s="74">
        <f t="shared" si="3"/>
        <v>210000</v>
      </c>
      <c r="O3840" s="65" t="str">
        <f>VLOOKUP(E3840,DATABASE!C:Q,8,false)</f>
        <v>IBU</v>
      </c>
      <c r="P3840" s="65">
        <f>VLOOKUP(E3840,DATABASE!C:Q,9,False)</f>
        <v>1</v>
      </c>
      <c r="Q3840" s="93" t="str">
        <f>VLOOKUP(E3840,DATABASE!C:Q,4,false)</f>
        <v>Dunlop</v>
      </c>
      <c r="R3840" s="93" t="str">
        <f>VLOOKUP(E3840,DATABASE!C:Q,11,false)</f>
        <v>Tire</v>
      </c>
    </row>
    <row r="3841" ht="22.5" customHeight="1">
      <c r="A3841" s="49"/>
      <c r="C3841" s="384">
        <v>45863.0</v>
      </c>
      <c r="D3841" s="65">
        <v>6611.0</v>
      </c>
      <c r="E3841" s="445" t="s">
        <v>2011</v>
      </c>
      <c r="F3841" s="386">
        <v>2.0</v>
      </c>
      <c r="G3841" s="74">
        <v>800000.0</v>
      </c>
      <c r="H3841" s="74">
        <v>0.0</v>
      </c>
      <c r="I3841" s="74">
        <f t="shared" si="1"/>
        <v>1600000</v>
      </c>
      <c r="J3841" s="74">
        <f>IF(E3841="SERVICE",I3841-(I3841*50%),Vlookup(E3841,DATABASE!C:Q,10,false)*F3841)</f>
        <v>0</v>
      </c>
      <c r="K3841" s="74">
        <f>VLOOKUP(E3841,DATABASE!C:Q,7,false)</f>
        <v>547000</v>
      </c>
      <c r="L3841" s="74">
        <v>547000.0</v>
      </c>
      <c r="M3841" s="74">
        <f t="shared" si="2"/>
        <v>550000</v>
      </c>
      <c r="N3841" s="74">
        <f t="shared" si="3"/>
        <v>500000</v>
      </c>
      <c r="O3841" s="65" t="str">
        <f>VLOOKUP(E3841,DATABASE!C:Q,8,false)</f>
        <v>BIAN</v>
      </c>
      <c r="P3841" s="65">
        <f>VLOOKUP(E3841,DATABASE!C:Q,9,False)</f>
        <v>1</v>
      </c>
      <c r="Q3841" s="93" t="str">
        <f>VLOOKUP(E3841,DATABASE!C:Q,4,false)</f>
        <v>GT</v>
      </c>
      <c r="R3841" s="93" t="str">
        <f>VLOOKUP(E3841,DATABASE!C:Q,11,false)</f>
        <v>Tire</v>
      </c>
    </row>
    <row r="3842" ht="22.5" customHeight="1">
      <c r="A3842" s="49"/>
      <c r="C3842" s="384">
        <v>45863.0</v>
      </c>
      <c r="D3842" s="65">
        <v>6611.0</v>
      </c>
      <c r="E3842" s="445" t="s">
        <v>1849</v>
      </c>
      <c r="F3842" s="386">
        <v>2.0</v>
      </c>
      <c r="G3842" s="74">
        <v>1200000.0</v>
      </c>
      <c r="H3842" s="74">
        <v>0.0</v>
      </c>
      <c r="I3842" s="74">
        <f t="shared" si="1"/>
        <v>2400000</v>
      </c>
      <c r="J3842" s="74">
        <f>IF(E3842="SERVICE",I3842-(I3842*50%),Vlookup(E3842,DATABASE!C:Q,10,false)*F3842)</f>
        <v>0</v>
      </c>
      <c r="K3842" s="74">
        <f>VLOOKUP(E3842,DATABASE!C:Q,7,false)</f>
        <v>1003000</v>
      </c>
      <c r="L3842" s="74">
        <v>1003000.0</v>
      </c>
      <c r="M3842" s="74">
        <f t="shared" si="2"/>
        <v>1005000</v>
      </c>
      <c r="N3842" s="74">
        <f t="shared" si="3"/>
        <v>390000</v>
      </c>
      <c r="O3842" s="65" t="str">
        <f>VLOOKUP(E3842,DATABASE!C:Q,8,false)</f>
        <v>BIAN</v>
      </c>
      <c r="P3842" s="65">
        <f>VLOOKUP(E3842,DATABASE!C:Q,9,False)</f>
        <v>1</v>
      </c>
      <c r="Q3842" s="93" t="str">
        <f>VLOOKUP(E3842,DATABASE!C:Q,4,false)</f>
        <v>GT</v>
      </c>
      <c r="R3842" s="93" t="str">
        <f>VLOOKUP(E3842,DATABASE!C:Q,11,false)</f>
        <v>Tire</v>
      </c>
    </row>
    <row r="3843" ht="22.5" customHeight="1">
      <c r="A3843" s="49"/>
      <c r="C3843" s="384">
        <v>45863.0</v>
      </c>
      <c r="D3843" s="65">
        <v>6611.0</v>
      </c>
      <c r="E3843" s="445" t="s">
        <v>786</v>
      </c>
      <c r="F3843" s="386">
        <v>2.0</v>
      </c>
      <c r="G3843" s="74">
        <v>115000.0</v>
      </c>
      <c r="H3843" s="74">
        <v>0.0</v>
      </c>
      <c r="I3843" s="74">
        <f t="shared" si="1"/>
        <v>230000</v>
      </c>
      <c r="J3843" s="74">
        <f>IF(E3843="SERVICE",I3843-(I3843*50%),Vlookup(E3843,DATABASE!C:Q,10,false)*F3843)</f>
        <v>0</v>
      </c>
      <c r="K3843" s="74">
        <f>VLOOKUP(E3843,DATABASE!C:Q,7,false)</f>
        <v>92250</v>
      </c>
      <c r="L3843" s="74">
        <v>92250.0</v>
      </c>
      <c r="M3843" s="74">
        <f t="shared" si="2"/>
        <v>95000</v>
      </c>
      <c r="N3843" s="74">
        <f t="shared" si="3"/>
        <v>40000</v>
      </c>
      <c r="O3843" s="65" t="str">
        <f>VLOOKUP(E3843,DATABASE!C:Q,8,false)</f>
        <v>BIAN</v>
      </c>
      <c r="P3843" s="65">
        <f>VLOOKUP(E3843,DATABASE!C:Q,9,False)</f>
        <v>1</v>
      </c>
      <c r="Q3843" s="93" t="str">
        <f>VLOOKUP(E3843,DATABASE!C:Q,4,false)</f>
        <v>BD</v>
      </c>
      <c r="R3843" s="93" t="str">
        <f>VLOOKUP(E3843,DATABASE!C:Q,11,false)</f>
        <v>Tire</v>
      </c>
    </row>
    <row r="3844" ht="22.5" customHeight="1">
      <c r="A3844" s="49"/>
      <c r="C3844" s="384">
        <v>45863.0</v>
      </c>
      <c r="D3844" s="65">
        <v>6611.0</v>
      </c>
      <c r="E3844" s="445" t="s">
        <v>812</v>
      </c>
      <c r="F3844" s="386">
        <v>2.0</v>
      </c>
      <c r="G3844" s="74">
        <v>175000.0</v>
      </c>
      <c r="H3844" s="74">
        <v>0.0</v>
      </c>
      <c r="I3844" s="74">
        <f t="shared" si="1"/>
        <v>350000</v>
      </c>
      <c r="J3844" s="74">
        <f>IF(E3844="SERVICE",I3844-(I3844*50%),Vlookup(E3844,DATABASE!C:Q,10,false)*F3844)</f>
        <v>0</v>
      </c>
      <c r="K3844" s="74">
        <f>VLOOKUP(E3844,DATABASE!C:Q,7,false)</f>
        <v>157500</v>
      </c>
      <c r="L3844" s="74">
        <v>157500.0</v>
      </c>
      <c r="M3844" s="74">
        <f t="shared" si="2"/>
        <v>160000</v>
      </c>
      <c r="N3844" s="74">
        <f t="shared" si="3"/>
        <v>30000</v>
      </c>
      <c r="O3844" s="65" t="str">
        <f>VLOOKUP(E3844,DATABASE!C:Q,8,false)</f>
        <v>BIAN</v>
      </c>
      <c r="P3844" s="65">
        <f>VLOOKUP(E3844,DATABASE!C:Q,9,False)</f>
        <v>1</v>
      </c>
      <c r="Q3844" s="93" t="str">
        <f>VLOOKUP(E3844,DATABASE!C:Q,4,false)</f>
        <v>BD</v>
      </c>
      <c r="R3844" s="93" t="str">
        <f>VLOOKUP(E3844,DATABASE!C:Q,11,false)</f>
        <v>Tire</v>
      </c>
    </row>
    <row r="3845" ht="22.5" customHeight="1">
      <c r="A3845" s="49"/>
      <c r="C3845" s="384">
        <v>45863.0</v>
      </c>
      <c r="D3845" s="65">
        <v>6611.0</v>
      </c>
      <c r="E3845" s="445" t="s">
        <v>1770</v>
      </c>
      <c r="F3845" s="386">
        <v>2.0</v>
      </c>
      <c r="G3845" s="74">
        <v>60000.0</v>
      </c>
      <c r="H3845" s="74">
        <v>0.0</v>
      </c>
      <c r="I3845" s="74">
        <f t="shared" si="1"/>
        <v>120000</v>
      </c>
      <c r="J3845" s="74">
        <f>IF(E3845="SERVICE",I3845-(I3845*50%),Vlookup(E3845,DATABASE!C:Q,10,false)*F3845)</f>
        <v>0</v>
      </c>
      <c r="K3845" s="74">
        <f>VLOOKUP(E3845,DATABASE!C:Q,7,false)</f>
        <v>55000</v>
      </c>
      <c r="L3845" s="74">
        <v>55000.0</v>
      </c>
      <c r="M3845" s="74">
        <f t="shared" si="2"/>
        <v>55000</v>
      </c>
      <c r="N3845" s="74">
        <f t="shared" si="3"/>
        <v>10000</v>
      </c>
      <c r="O3845" s="65" t="str">
        <f>VLOOKUP(E3845,DATABASE!C:Q,8,false)</f>
        <v>BIAN</v>
      </c>
      <c r="P3845" s="65">
        <f>VLOOKUP(E3845,DATABASE!C:Q,9,False)</f>
        <v>1</v>
      </c>
      <c r="Q3845" s="93" t="str">
        <f>VLOOKUP(E3845,DATABASE!C:Q,4,false)</f>
        <v>Flap</v>
      </c>
      <c r="R3845" s="93" t="str">
        <f>VLOOKUP(E3845,DATABASE!C:Q,11,false)</f>
        <v>Tire</v>
      </c>
    </row>
    <row r="3846" ht="22.5" customHeight="1">
      <c r="A3846" s="49"/>
      <c r="C3846" s="384">
        <v>45863.0</v>
      </c>
      <c r="D3846" s="65">
        <v>6611.0</v>
      </c>
      <c r="E3846" s="445" t="s">
        <v>1677</v>
      </c>
      <c r="F3846" s="386">
        <v>2.0</v>
      </c>
      <c r="G3846" s="140">
        <v>85000.0</v>
      </c>
      <c r="H3846" s="74">
        <v>0.0</v>
      </c>
      <c r="I3846" s="74">
        <f t="shared" si="1"/>
        <v>170000</v>
      </c>
      <c r="J3846" s="74">
        <f>IF(E3846="SERVICE",I3846-(I3846*50%),Vlookup(E3846,DATABASE!C:Q,10,false)*F3846)</f>
        <v>0</v>
      </c>
      <c r="K3846" s="74">
        <f>VLOOKUP(E3846,DATABASE!C:Q,7,false)</f>
        <v>76000</v>
      </c>
      <c r="L3846" s="74">
        <v>76000.0</v>
      </c>
      <c r="M3846" s="74">
        <f t="shared" si="2"/>
        <v>80000</v>
      </c>
      <c r="N3846" s="74">
        <f t="shared" si="3"/>
        <v>10000</v>
      </c>
      <c r="O3846" s="65" t="str">
        <f>VLOOKUP(E3846,DATABASE!C:Q,8,false)</f>
        <v>BIAN</v>
      </c>
      <c r="P3846" s="65">
        <f>VLOOKUP(E3846,DATABASE!C:Q,9,False)</f>
        <v>1</v>
      </c>
      <c r="Q3846" s="93" t="str">
        <f>VLOOKUP(E3846,DATABASE!C:Q,4,false)</f>
        <v>Flap</v>
      </c>
      <c r="R3846" s="93" t="str">
        <f>VLOOKUP(E3846,DATABASE!C:Q,11,false)</f>
        <v>Tire</v>
      </c>
    </row>
    <row r="3847" ht="22.5" customHeight="1">
      <c r="A3847" s="49"/>
      <c r="C3847" s="384">
        <v>45863.0</v>
      </c>
      <c r="D3847" s="65">
        <v>6612.0</v>
      </c>
      <c r="E3847" s="445" t="s">
        <v>554</v>
      </c>
      <c r="F3847" s="386">
        <v>2.0</v>
      </c>
      <c r="G3847" s="74">
        <v>800000.0</v>
      </c>
      <c r="H3847" s="74">
        <v>0.0</v>
      </c>
      <c r="I3847" s="74">
        <f t="shared" si="1"/>
        <v>1600000</v>
      </c>
      <c r="J3847" s="74">
        <f>IF(E3847="SERVICE",I3847-(I3847*50%),Vlookup(E3847,DATABASE!C:Q,10,false)*F3847)</f>
        <v>0</v>
      </c>
      <c r="K3847" s="74">
        <f>VLOOKUP(E3847,DATABASE!C:Q,7,false)</f>
        <v>710000</v>
      </c>
      <c r="L3847" s="74">
        <v>680000.0</v>
      </c>
      <c r="M3847" s="74">
        <f t="shared" si="2"/>
        <v>680000</v>
      </c>
      <c r="N3847" s="74">
        <f t="shared" si="3"/>
        <v>240000</v>
      </c>
      <c r="O3847" s="65" t="str">
        <f>VLOOKUP(E3847,DATABASE!C:Q,8,false)</f>
        <v>IBU</v>
      </c>
      <c r="P3847" s="65">
        <f>VLOOKUP(E3847,DATABASE!C:Q,9,False)</f>
        <v>1</v>
      </c>
      <c r="Q3847" s="93" t="str">
        <f>VLOOKUP(E3847,DATABASE!C:Q,4,false)</f>
        <v>Bridgestone</v>
      </c>
      <c r="R3847" s="93" t="str">
        <f>VLOOKUP(E3847,DATABASE!C:Q,11,false)</f>
        <v>Tire</v>
      </c>
    </row>
    <row r="3848" ht="22.5" customHeight="1">
      <c r="A3848" s="49"/>
      <c r="C3848" s="384">
        <v>45863.0</v>
      </c>
      <c r="D3848" s="65">
        <v>6612.0</v>
      </c>
      <c r="E3848" s="385" t="s">
        <v>299</v>
      </c>
      <c r="F3848" s="386">
        <v>2.0</v>
      </c>
      <c r="G3848" s="74">
        <v>30000.0</v>
      </c>
      <c r="H3848" s="74">
        <v>0.0</v>
      </c>
      <c r="I3848" s="74">
        <f t="shared" si="1"/>
        <v>60000</v>
      </c>
      <c r="J3848" s="74">
        <f>IF(E3848="SERVICE",I3848-(I3848*50%),Vlookup(E3848,DATABASE!C:Q,10,false)*F3848)</f>
        <v>0</v>
      </c>
      <c r="K3848" s="74">
        <v>0.0</v>
      </c>
      <c r="L3848" s="74">
        <v>0.0</v>
      </c>
      <c r="M3848" s="74">
        <f t="shared" si="2"/>
        <v>0</v>
      </c>
      <c r="N3848" s="74">
        <f t="shared" si="3"/>
        <v>60000</v>
      </c>
      <c r="O3848" s="65" t="str">
        <f>VLOOKUP(E3848,DATABASE!C:Q,8,false)</f>
        <v>BIAN</v>
      </c>
      <c r="P3848" s="65">
        <f>VLOOKUP(E3848,DATABASE!C:Q,9,False)</f>
        <v>0</v>
      </c>
      <c r="Q3848" s="93" t="str">
        <f>VLOOKUP(E3848,DATABASE!C:Q,4,false)</f>
        <v>Balancing</v>
      </c>
      <c r="R3848" s="93" t="str">
        <f>VLOOKUP(E3848,DATABASE!C:Q,11,false)</f>
        <v>COMPLEMENTARY</v>
      </c>
    </row>
    <row r="3849" ht="22.5" customHeight="1">
      <c r="A3849" s="49"/>
      <c r="C3849" s="384">
        <v>45863.0</v>
      </c>
      <c r="D3849" s="65">
        <v>6613.0</v>
      </c>
      <c r="E3849" s="445" t="s">
        <v>256</v>
      </c>
      <c r="F3849" s="386">
        <v>1.0</v>
      </c>
      <c r="G3849" s="74">
        <v>130000.0</v>
      </c>
      <c r="H3849" s="74">
        <v>0.0</v>
      </c>
      <c r="I3849" s="74">
        <f t="shared" si="1"/>
        <v>130000</v>
      </c>
      <c r="J3849" s="74">
        <f>IF(E3849="SERVICE",I3849-(I3849*50%),Vlookup(E3849,DATABASE!C:Q,10,false)*F3849)</f>
        <v>10000</v>
      </c>
      <c r="K3849" s="74">
        <f>VLOOKUP(E3849,DATABASE!C:Q,7,false)</f>
        <v>0</v>
      </c>
      <c r="L3849" s="74">
        <v>0.0</v>
      </c>
      <c r="M3849" s="74">
        <f t="shared" si="2"/>
        <v>0</v>
      </c>
      <c r="N3849" s="74">
        <f t="shared" si="3"/>
        <v>120000</v>
      </c>
      <c r="O3849" s="65" t="str">
        <f>VLOOKUP(E3849,DATABASE!C:Q,8,false)</f>
        <v>IBU</v>
      </c>
      <c r="P3849" s="65">
        <f>VLOOKUP(E3849,DATABASE!C:Q,9,False)</f>
        <v>0</v>
      </c>
      <c r="Q3849" s="93" t="str">
        <f>VLOOKUP(E3849,DATABASE!C:Q,4,false)</f>
        <v>SPOORING</v>
      </c>
      <c r="R3849" s="93" t="str">
        <f>VLOOKUP(E3849,DATABASE!C:Q,11,false)</f>
        <v>SERVICE</v>
      </c>
    </row>
    <row r="3850" ht="22.5" customHeight="1">
      <c r="A3850" s="49"/>
      <c r="C3850" s="384">
        <v>45863.0</v>
      </c>
      <c r="D3850" s="65">
        <v>6613.0</v>
      </c>
      <c r="E3850" s="445" t="s">
        <v>251</v>
      </c>
      <c r="F3850" s="386">
        <v>1.0</v>
      </c>
      <c r="G3850" s="74">
        <v>150000.0</v>
      </c>
      <c r="H3850" s="74">
        <v>0.0</v>
      </c>
      <c r="I3850" s="74">
        <f t="shared" si="1"/>
        <v>150000</v>
      </c>
      <c r="J3850" s="74">
        <f>IF(E3850="SERVICE",I3850-(I3850*50%),Vlookup(E3850,DATABASE!C:Q,10,false)*F3850)</f>
        <v>75000</v>
      </c>
      <c r="K3850" s="74">
        <f>VLOOKUP(E3850,DATABASE!C:Q,7,false)</f>
        <v>0</v>
      </c>
      <c r="L3850" s="74">
        <v>0.0</v>
      </c>
      <c r="M3850" s="74">
        <f t="shared" si="2"/>
        <v>0</v>
      </c>
      <c r="N3850" s="74">
        <f t="shared" si="3"/>
        <v>75000</v>
      </c>
      <c r="O3850" s="65" t="str">
        <f>VLOOKUP(E3850,DATABASE!C:Q,8,false)</f>
        <v>IBU</v>
      </c>
      <c r="P3850" s="65">
        <f>VLOOKUP(E3850,DATABASE!C:Q,9,False)</f>
        <v>0</v>
      </c>
      <c r="Q3850" s="93" t="str">
        <f>VLOOKUP(E3850,DATABASE!C:Q,4,false)</f>
        <v>SERVICE</v>
      </c>
      <c r="R3850" s="93" t="str">
        <f>VLOOKUP(E3850,DATABASE!C:Q,11,false)</f>
        <v>SERVICE</v>
      </c>
    </row>
    <row r="3851" ht="22.5" customHeight="1">
      <c r="A3851" s="49"/>
      <c r="C3851" s="384">
        <v>45863.0</v>
      </c>
      <c r="D3851" s="65">
        <v>6615.0</v>
      </c>
      <c r="E3851" s="445" t="s">
        <v>1434</v>
      </c>
      <c r="F3851" s="386">
        <v>1.0</v>
      </c>
      <c r="G3851" s="74">
        <v>1050000.0</v>
      </c>
      <c r="H3851" s="74">
        <v>0.0</v>
      </c>
      <c r="I3851" s="74">
        <f t="shared" si="1"/>
        <v>1050000</v>
      </c>
      <c r="J3851" s="74">
        <f>IF(E3851="SERVICE",I3851-(I3851*50%),Vlookup(E3851,DATABASE!C:Q,10,false)*F3851)</f>
        <v>0</v>
      </c>
      <c r="K3851" s="74">
        <f>VLOOKUP(E3851,DATABASE!C:Q,7,false)</f>
        <v>904050</v>
      </c>
      <c r="L3851" s="74">
        <v>904050.0</v>
      </c>
      <c r="M3851" s="74">
        <f t="shared" si="2"/>
        <v>905000</v>
      </c>
      <c r="N3851" s="74">
        <f t="shared" si="3"/>
        <v>145000</v>
      </c>
      <c r="O3851" s="65" t="str">
        <f>VLOOKUP(E3851,DATABASE!C:Q,8,false)</f>
        <v>BIAN</v>
      </c>
      <c r="P3851" s="65">
        <f>VLOOKUP(E3851,DATABASE!C:Q,9,False)</f>
        <v>1</v>
      </c>
      <c r="Q3851" s="93" t="str">
        <f>VLOOKUP(E3851,DATABASE!C:Q,4,false)</f>
        <v>GT</v>
      </c>
      <c r="R3851" s="93" t="str">
        <f>VLOOKUP(E3851,DATABASE!C:Q,11,false)</f>
        <v>Tire</v>
      </c>
    </row>
    <row r="3852" ht="22.5" customHeight="1">
      <c r="A3852" s="49"/>
      <c r="C3852" s="384">
        <v>45863.0</v>
      </c>
      <c r="D3852" s="65">
        <v>6616.0</v>
      </c>
      <c r="E3852" s="445" t="s">
        <v>256</v>
      </c>
      <c r="F3852" s="386">
        <v>1.0</v>
      </c>
      <c r="G3852" s="74">
        <v>130000.0</v>
      </c>
      <c r="H3852" s="74">
        <v>0.0</v>
      </c>
      <c r="I3852" s="74">
        <f t="shared" si="1"/>
        <v>130000</v>
      </c>
      <c r="J3852" s="74">
        <f>IF(E3852="SERVICE",I3852-(I3852*50%),Vlookup(E3852,DATABASE!C:Q,10,false)*F3852)</f>
        <v>10000</v>
      </c>
      <c r="K3852" s="74">
        <f>VLOOKUP(E3852,DATABASE!C:Q,7,false)</f>
        <v>0</v>
      </c>
      <c r="L3852" s="74">
        <v>0.0</v>
      </c>
      <c r="M3852" s="74">
        <f t="shared" si="2"/>
        <v>0</v>
      </c>
      <c r="N3852" s="74">
        <f t="shared" si="3"/>
        <v>120000</v>
      </c>
      <c r="O3852" s="65" t="str">
        <f>VLOOKUP(E3852,DATABASE!C:Q,8,false)</f>
        <v>IBU</v>
      </c>
      <c r="P3852" s="65">
        <f>VLOOKUP(E3852,DATABASE!C:Q,9,False)</f>
        <v>0</v>
      </c>
      <c r="Q3852" s="93" t="str">
        <f>VLOOKUP(E3852,DATABASE!C:Q,4,false)</f>
        <v>SPOORING</v>
      </c>
      <c r="R3852" s="93" t="str">
        <f>VLOOKUP(E3852,DATABASE!C:Q,11,false)</f>
        <v>SERVICE</v>
      </c>
    </row>
    <row r="3853" ht="22.5" customHeight="1">
      <c r="A3853" s="49"/>
      <c r="C3853" s="384">
        <v>45863.0</v>
      </c>
      <c r="D3853" s="65">
        <v>6617.0</v>
      </c>
      <c r="E3853" s="445" t="s">
        <v>946</v>
      </c>
      <c r="F3853" s="386">
        <v>1.0</v>
      </c>
      <c r="G3853" s="74">
        <v>910000.0</v>
      </c>
      <c r="H3853" s="74">
        <v>0.0</v>
      </c>
      <c r="I3853" s="74">
        <f t="shared" si="1"/>
        <v>910000</v>
      </c>
      <c r="J3853" s="74">
        <f>IF(E3853="SERVICE",I3853-(I3853*50%),Vlookup(E3853,DATABASE!C:Q,10,false)*F3853)</f>
        <v>0</v>
      </c>
      <c r="K3853" s="74">
        <f>VLOOKUP(E3853,DATABASE!C:Q,7,false)</f>
        <v>809000</v>
      </c>
      <c r="L3853" s="74">
        <v>809000.0</v>
      </c>
      <c r="M3853" s="74">
        <f t="shared" si="2"/>
        <v>810000</v>
      </c>
      <c r="N3853" s="74">
        <f t="shared" si="3"/>
        <v>100000</v>
      </c>
      <c r="O3853" s="65" t="str">
        <f>VLOOKUP(E3853,DATABASE!C:Q,8,false)</f>
        <v>IBU</v>
      </c>
      <c r="P3853" s="65">
        <f>VLOOKUP(E3853,DATABASE!C:Q,9,False)</f>
        <v>1</v>
      </c>
      <c r="Q3853" s="93" t="str">
        <f>VLOOKUP(E3853,DATABASE!C:Q,4,false)</f>
        <v>Dunlop</v>
      </c>
      <c r="R3853" s="93" t="str">
        <f>VLOOKUP(E3853,DATABASE!C:Q,11,false)</f>
        <v>Tire</v>
      </c>
    </row>
    <row r="3854" ht="22.5" customHeight="1">
      <c r="A3854" s="49"/>
      <c r="C3854" s="384">
        <v>45863.0</v>
      </c>
      <c r="D3854" s="65">
        <v>6618.0</v>
      </c>
      <c r="E3854" s="657" t="s">
        <v>2064</v>
      </c>
      <c r="F3854" s="386">
        <v>1.0</v>
      </c>
      <c r="G3854" s="74">
        <v>700000.0</v>
      </c>
      <c r="H3854" s="74">
        <v>0.0</v>
      </c>
      <c r="I3854" s="74">
        <f t="shared" si="1"/>
        <v>700000</v>
      </c>
      <c r="J3854" s="74">
        <f>IF(E3854="SERVICE",I3854-(I3854*50%),Vlookup(E3854,DATABASE!C:Q,10,false)*F3854)</f>
        <v>0</v>
      </c>
      <c r="K3854" s="74">
        <f>VLOOKUP(E3854,DATABASE!C:Q,7,false)</f>
        <v>608000</v>
      </c>
      <c r="L3854" s="74">
        <v>608000.0</v>
      </c>
      <c r="M3854" s="74">
        <f t="shared" si="2"/>
        <v>610000</v>
      </c>
      <c r="N3854" s="74">
        <f t="shared" si="3"/>
        <v>90000</v>
      </c>
      <c r="O3854" s="65" t="str">
        <f>VLOOKUP(E3854,DATABASE!C:Q,8,false)</f>
        <v>BIAN</v>
      </c>
      <c r="P3854" s="65">
        <f>VLOOKUP(E3854,DATABASE!C:Q,9,False)</f>
        <v>1</v>
      </c>
      <c r="Q3854" s="93" t="str">
        <f>VLOOKUP(E3854,DATABASE!C:Q,4,false)</f>
        <v>Hankook</v>
      </c>
      <c r="R3854" s="93" t="str">
        <f>VLOOKUP(E3854,DATABASE!C:Q,11,false)</f>
        <v>Tire</v>
      </c>
    </row>
    <row r="3855" ht="22.5" customHeight="1">
      <c r="A3855" s="49"/>
      <c r="C3855" s="384">
        <v>45863.0</v>
      </c>
      <c r="D3855" s="65">
        <v>6619.0</v>
      </c>
      <c r="E3855" s="445" t="s">
        <v>256</v>
      </c>
      <c r="F3855" s="386">
        <v>1.0</v>
      </c>
      <c r="G3855" s="74">
        <v>130000.0</v>
      </c>
      <c r="H3855" s="74">
        <v>0.0</v>
      </c>
      <c r="I3855" s="74">
        <f t="shared" si="1"/>
        <v>130000</v>
      </c>
      <c r="J3855" s="74">
        <f>IF(E3855="SERVICE",I3855-(I3855*50%),Vlookup(E3855,DATABASE!C:Q,10,false)*F3855)</f>
        <v>10000</v>
      </c>
      <c r="K3855" s="74">
        <f>VLOOKUP(E3855,DATABASE!C:Q,7,false)</f>
        <v>0</v>
      </c>
      <c r="L3855" s="74">
        <v>0.0</v>
      </c>
      <c r="M3855" s="74">
        <f t="shared" si="2"/>
        <v>0</v>
      </c>
      <c r="N3855" s="74">
        <f t="shared" si="3"/>
        <v>120000</v>
      </c>
      <c r="O3855" s="65" t="str">
        <f>VLOOKUP(E3855,DATABASE!C:Q,8,false)</f>
        <v>IBU</v>
      </c>
      <c r="P3855" s="65">
        <f>VLOOKUP(E3855,DATABASE!C:Q,9,False)</f>
        <v>0</v>
      </c>
      <c r="Q3855" s="93" t="str">
        <f>VLOOKUP(E3855,DATABASE!C:Q,4,false)</f>
        <v>SPOORING</v>
      </c>
      <c r="R3855" s="93" t="str">
        <f>VLOOKUP(E3855,DATABASE!C:Q,11,false)</f>
        <v>SERVICE</v>
      </c>
    </row>
    <row r="3856" ht="22.5" customHeight="1">
      <c r="A3856" s="49"/>
      <c r="C3856" s="384">
        <v>45863.0</v>
      </c>
      <c r="D3856" s="65">
        <v>6619.0</v>
      </c>
      <c r="E3856" s="385" t="s">
        <v>299</v>
      </c>
      <c r="F3856" s="386">
        <v>2.0</v>
      </c>
      <c r="G3856" s="74">
        <v>30000.0</v>
      </c>
      <c r="H3856" s="74">
        <v>0.0</v>
      </c>
      <c r="I3856" s="74">
        <f t="shared" si="1"/>
        <v>60000</v>
      </c>
      <c r="J3856" s="74">
        <f>IF(E3856="SERVICE",I3856-(I3856*50%),Vlookup(E3856,DATABASE!C:Q,10,false)*F3856)</f>
        <v>0</v>
      </c>
      <c r="K3856" s="74">
        <v>0.0</v>
      </c>
      <c r="L3856" s="74">
        <v>0.0</v>
      </c>
      <c r="M3856" s="74">
        <f t="shared" si="2"/>
        <v>0</v>
      </c>
      <c r="N3856" s="74">
        <f t="shared" si="3"/>
        <v>60000</v>
      </c>
      <c r="O3856" s="65" t="str">
        <f>VLOOKUP(E3856,DATABASE!C:Q,8,false)</f>
        <v>BIAN</v>
      </c>
      <c r="P3856" s="65">
        <f>VLOOKUP(E3856,DATABASE!C:Q,9,False)</f>
        <v>0</v>
      </c>
      <c r="Q3856" s="93" t="str">
        <f>VLOOKUP(E3856,DATABASE!C:Q,4,false)</f>
        <v>Balancing</v>
      </c>
      <c r="R3856" s="93" t="str">
        <f>VLOOKUP(E3856,DATABASE!C:Q,11,false)</f>
        <v>COMPLEMENTARY</v>
      </c>
    </row>
    <row r="3857" ht="22.5" customHeight="1">
      <c r="A3857" s="49"/>
      <c r="C3857" s="384">
        <v>45863.0</v>
      </c>
      <c r="D3857" s="65">
        <v>6619.0</v>
      </c>
      <c r="E3857" s="445" t="s">
        <v>251</v>
      </c>
      <c r="F3857" s="386">
        <v>1.0</v>
      </c>
      <c r="G3857" s="74">
        <v>150000.0</v>
      </c>
      <c r="H3857" s="74">
        <v>0.0</v>
      </c>
      <c r="I3857" s="74">
        <f t="shared" si="1"/>
        <v>150000</v>
      </c>
      <c r="J3857" s="74">
        <f>IF(E3857="SERVICE",I3857-(I3857*50%),Vlookup(E3857,DATABASE!C:Q,10,false)*F3857)</f>
        <v>75000</v>
      </c>
      <c r="K3857" s="74">
        <f>VLOOKUP(E3857,DATABASE!C:Q,7,false)</f>
        <v>0</v>
      </c>
      <c r="L3857" s="74">
        <v>0.0</v>
      </c>
      <c r="M3857" s="74">
        <f t="shared" si="2"/>
        <v>0</v>
      </c>
      <c r="N3857" s="74">
        <f t="shared" si="3"/>
        <v>75000</v>
      </c>
      <c r="O3857" s="65" t="str">
        <f>VLOOKUP(E3857,DATABASE!C:Q,8,false)</f>
        <v>IBU</v>
      </c>
      <c r="P3857" s="65">
        <f>VLOOKUP(E3857,DATABASE!C:Q,9,False)</f>
        <v>0</v>
      </c>
      <c r="Q3857" s="93" t="str">
        <f>VLOOKUP(E3857,DATABASE!C:Q,4,false)</f>
        <v>SERVICE</v>
      </c>
      <c r="R3857" s="93" t="str">
        <f>VLOOKUP(E3857,DATABASE!C:Q,11,false)</f>
        <v>SERVICE</v>
      </c>
    </row>
    <row r="3858" ht="22.5" customHeight="1">
      <c r="A3858" s="49"/>
      <c r="C3858" s="384">
        <v>45863.0</v>
      </c>
      <c r="D3858" s="65">
        <v>6620.0</v>
      </c>
      <c r="E3858" s="445" t="s">
        <v>256</v>
      </c>
      <c r="F3858" s="386">
        <v>1.0</v>
      </c>
      <c r="G3858" s="74">
        <v>130000.0</v>
      </c>
      <c r="H3858" s="74">
        <v>0.0</v>
      </c>
      <c r="I3858" s="74">
        <f t="shared" si="1"/>
        <v>130000</v>
      </c>
      <c r="J3858" s="74">
        <f>IF(E3858="SERVICE",I3858-(I3858*50%),Vlookup(E3858,DATABASE!C:Q,10,false)*F3858)</f>
        <v>10000</v>
      </c>
      <c r="K3858" s="74">
        <f>VLOOKUP(E3858,DATABASE!C:Q,7,false)</f>
        <v>0</v>
      </c>
      <c r="L3858" s="74">
        <v>0.0</v>
      </c>
      <c r="M3858" s="74">
        <f t="shared" si="2"/>
        <v>0</v>
      </c>
      <c r="N3858" s="74">
        <f t="shared" si="3"/>
        <v>120000</v>
      </c>
      <c r="O3858" s="65" t="str">
        <f>VLOOKUP(E3858,DATABASE!C:Q,8,false)</f>
        <v>IBU</v>
      </c>
      <c r="P3858" s="65">
        <f>VLOOKUP(E3858,DATABASE!C:Q,9,False)</f>
        <v>0</v>
      </c>
      <c r="Q3858" s="93" t="str">
        <f>VLOOKUP(E3858,DATABASE!C:Q,4,false)</f>
        <v>SPOORING</v>
      </c>
      <c r="R3858" s="93" t="str">
        <f>VLOOKUP(E3858,DATABASE!C:Q,11,false)</f>
        <v>SERVICE</v>
      </c>
    </row>
    <row r="3859" ht="22.5" customHeight="1">
      <c r="A3859" s="49"/>
      <c r="C3859" s="384">
        <v>45863.0</v>
      </c>
      <c r="D3859" s="65">
        <v>6620.0</v>
      </c>
      <c r="E3859" s="445" t="s">
        <v>251</v>
      </c>
      <c r="F3859" s="386">
        <v>1.0</v>
      </c>
      <c r="G3859" s="74">
        <v>150000.0</v>
      </c>
      <c r="H3859" s="74">
        <v>0.0</v>
      </c>
      <c r="I3859" s="74">
        <f t="shared" si="1"/>
        <v>150000</v>
      </c>
      <c r="J3859" s="74">
        <f>IF(E3859="SERVICE",I3859-(I3859*50%),Vlookup(E3859,DATABASE!C:Q,10,false)*F3859)</f>
        <v>75000</v>
      </c>
      <c r="K3859" s="74">
        <f>VLOOKUP(E3859,DATABASE!C:Q,7,false)</f>
        <v>0</v>
      </c>
      <c r="L3859" s="74">
        <v>0.0</v>
      </c>
      <c r="M3859" s="74">
        <f t="shared" si="2"/>
        <v>0</v>
      </c>
      <c r="N3859" s="74">
        <f t="shared" si="3"/>
        <v>75000</v>
      </c>
      <c r="O3859" s="65" t="str">
        <f>VLOOKUP(E3859,DATABASE!C:Q,8,false)</f>
        <v>IBU</v>
      </c>
      <c r="P3859" s="65">
        <f>VLOOKUP(E3859,DATABASE!C:Q,9,False)</f>
        <v>0</v>
      </c>
      <c r="Q3859" s="93" t="str">
        <f>VLOOKUP(E3859,DATABASE!C:Q,4,false)</f>
        <v>SERVICE</v>
      </c>
      <c r="R3859" s="93" t="str">
        <f>VLOOKUP(E3859,DATABASE!C:Q,11,false)</f>
        <v>SERVICE</v>
      </c>
    </row>
    <row r="3860" ht="22.5" customHeight="1">
      <c r="A3860" s="49"/>
      <c r="C3860" s="384">
        <v>45864.0</v>
      </c>
      <c r="D3860" s="65">
        <v>6621.0</v>
      </c>
      <c r="E3860" s="445" t="s">
        <v>268</v>
      </c>
      <c r="F3860" s="386">
        <v>4.0</v>
      </c>
      <c r="G3860" s="74">
        <v>712500.0</v>
      </c>
      <c r="H3860" s="74">
        <v>0.0</v>
      </c>
      <c r="I3860" s="74">
        <f t="shared" si="1"/>
        <v>2850000</v>
      </c>
      <c r="J3860" s="74">
        <f>IF(E3860="SERVICE",I3860-(I3860*50%),Vlookup(E3860,DATABASE!C:Q,10,false)*F3860)</f>
        <v>0</v>
      </c>
      <c r="K3860" s="74">
        <v>613000.0</v>
      </c>
      <c r="L3860" s="74">
        <v>613000.0</v>
      </c>
      <c r="M3860" s="74">
        <f t="shared" si="2"/>
        <v>615000</v>
      </c>
      <c r="N3860" s="74">
        <f t="shared" si="3"/>
        <v>390000</v>
      </c>
      <c r="O3860" s="65" t="str">
        <f>VLOOKUP(E3860,DATABASE!C:Q,8,false)</f>
        <v>IBU</v>
      </c>
      <c r="P3860" s="65">
        <f>VLOOKUP(E3860,DATABASE!C:Q,9,False)</f>
        <v>1</v>
      </c>
      <c r="Q3860" s="93" t="str">
        <f>VLOOKUP(E3860,DATABASE!C:Q,4,false)</f>
        <v>Dunlop</v>
      </c>
      <c r="R3860" s="93" t="str">
        <f>VLOOKUP(E3860,DATABASE!C:Q,11,false)</f>
        <v>Tire</v>
      </c>
    </row>
    <row r="3861" ht="22.5" customHeight="1">
      <c r="A3861" s="49"/>
      <c r="C3861" s="384">
        <v>45864.0</v>
      </c>
      <c r="D3861" s="65">
        <v>6622.0</v>
      </c>
      <c r="E3861" s="445" t="s">
        <v>856</v>
      </c>
      <c r="F3861" s="386">
        <v>1.0</v>
      </c>
      <c r="G3861" s="74">
        <v>670000.0</v>
      </c>
      <c r="H3861" s="74">
        <v>0.0</v>
      </c>
      <c r="I3861" s="74">
        <f t="shared" si="1"/>
        <v>670000</v>
      </c>
      <c r="J3861" s="74">
        <f>IF(E3861="SERVICE",I3861-(I3861*50%),Vlookup(E3861,DATABASE!C:Q,10,false)*F3861)</f>
        <v>0</v>
      </c>
      <c r="K3861" s="74">
        <f>VLOOKUP(E3861,DATABASE!C:Q,7,false)</f>
        <v>615300</v>
      </c>
      <c r="L3861" s="74">
        <v>581120.0</v>
      </c>
      <c r="M3861" s="74">
        <f t="shared" si="2"/>
        <v>585000</v>
      </c>
      <c r="N3861" s="74">
        <f t="shared" si="3"/>
        <v>85000</v>
      </c>
      <c r="O3861" s="65" t="str">
        <f>VLOOKUP(E3861,DATABASE!C:Q,8,false)</f>
        <v>BIAN</v>
      </c>
      <c r="P3861" s="65">
        <f>VLOOKUP(E3861,DATABASE!C:Q,9,False)</f>
        <v>1</v>
      </c>
      <c r="Q3861" s="93" t="str">
        <f>VLOOKUP(E3861,DATABASE!C:Q,4,false)</f>
        <v>GT</v>
      </c>
      <c r="R3861" s="93" t="str">
        <f>VLOOKUP(E3861,DATABASE!C:Q,11,false)</f>
        <v>Tire</v>
      </c>
    </row>
    <row r="3862" ht="22.5" customHeight="1">
      <c r="A3862" s="49"/>
      <c r="C3862" s="384">
        <v>45864.0</v>
      </c>
      <c r="D3862" s="65">
        <v>6623.0</v>
      </c>
      <c r="E3862" s="445" t="s">
        <v>937</v>
      </c>
      <c r="F3862" s="386">
        <v>2.0</v>
      </c>
      <c r="G3862" s="74">
        <v>900000.0</v>
      </c>
      <c r="H3862" s="74">
        <v>0.0</v>
      </c>
      <c r="I3862" s="74">
        <f t="shared" si="1"/>
        <v>1800000</v>
      </c>
      <c r="J3862" s="74">
        <f>IF(E3862="SERVICE",I3862-(I3862*50%),Vlookup(E3862,DATABASE!C:Q,10,false)*F3862)</f>
        <v>0</v>
      </c>
      <c r="K3862" s="74">
        <f>VLOOKUP(E3862,DATABASE!C:Q,7,false)</f>
        <v>825000</v>
      </c>
      <c r="L3862" s="74">
        <v>790000.0</v>
      </c>
      <c r="M3862" s="74">
        <f t="shared" si="2"/>
        <v>790000</v>
      </c>
      <c r="N3862" s="74">
        <f t="shared" si="3"/>
        <v>220000</v>
      </c>
      <c r="O3862" s="65" t="str">
        <f>VLOOKUP(E3862,DATABASE!C:Q,8,false)</f>
        <v>IBU</v>
      </c>
      <c r="P3862" s="65">
        <f>VLOOKUP(E3862,DATABASE!C:Q,9,False)</f>
        <v>1</v>
      </c>
      <c r="Q3862" s="93" t="str">
        <f>VLOOKUP(E3862,DATABASE!C:Q,4,false)</f>
        <v>Bridgestone</v>
      </c>
      <c r="R3862" s="93" t="str">
        <f>VLOOKUP(E3862,DATABASE!C:Q,11,false)</f>
        <v>Tire</v>
      </c>
    </row>
    <row r="3863" ht="22.5" customHeight="1">
      <c r="A3863" s="49"/>
      <c r="C3863" s="384">
        <v>45864.0</v>
      </c>
      <c r="D3863" s="65">
        <v>6623.0</v>
      </c>
      <c r="E3863" s="385" t="s">
        <v>299</v>
      </c>
      <c r="F3863" s="386">
        <v>2.0</v>
      </c>
      <c r="G3863" s="74">
        <v>30000.0</v>
      </c>
      <c r="H3863" s="74">
        <v>0.0</v>
      </c>
      <c r="I3863" s="74">
        <f t="shared" si="1"/>
        <v>60000</v>
      </c>
      <c r="J3863" s="74">
        <f>IF(E3863="SERVICE",I3863-(I3863*50%),Vlookup(E3863,DATABASE!C:Q,10,false)*F3863)</f>
        <v>0</v>
      </c>
      <c r="K3863" s="74">
        <v>0.0</v>
      </c>
      <c r="L3863" s="74">
        <v>0.0</v>
      </c>
      <c r="M3863" s="74">
        <f t="shared" si="2"/>
        <v>0</v>
      </c>
      <c r="N3863" s="74">
        <f t="shared" si="3"/>
        <v>60000</v>
      </c>
      <c r="O3863" s="65" t="str">
        <f>VLOOKUP(E3863,DATABASE!C:Q,8,false)</f>
        <v>BIAN</v>
      </c>
      <c r="P3863" s="65">
        <f>VLOOKUP(E3863,DATABASE!C:Q,9,False)</f>
        <v>0</v>
      </c>
      <c r="Q3863" s="93" t="str">
        <f>VLOOKUP(E3863,DATABASE!C:Q,4,false)</f>
        <v>Balancing</v>
      </c>
      <c r="R3863" s="93" t="str">
        <f>VLOOKUP(E3863,DATABASE!C:Q,11,false)</f>
        <v>COMPLEMENTARY</v>
      </c>
    </row>
    <row r="3864" ht="22.5" customHeight="1">
      <c r="A3864" s="49"/>
      <c r="C3864" s="384">
        <v>45864.0</v>
      </c>
      <c r="D3864" s="65">
        <v>6624.0</v>
      </c>
      <c r="E3864" s="445" t="s">
        <v>643</v>
      </c>
      <c r="F3864" s="386">
        <v>1.0</v>
      </c>
      <c r="G3864" s="74">
        <v>145000.0</v>
      </c>
      <c r="H3864" s="74">
        <v>0.0</v>
      </c>
      <c r="I3864" s="74">
        <f t="shared" si="1"/>
        <v>145000</v>
      </c>
      <c r="J3864" s="74">
        <f>IF(E3864="SERVICE",I3864-(I3864*50%),Vlookup(E3864,DATABASE!C:Q,10,false)*F3864)</f>
        <v>0</v>
      </c>
      <c r="K3864" s="74">
        <f>VLOOKUP(E3864,DATABASE!C:Q,7,false)</f>
        <v>111800</v>
      </c>
      <c r="L3864" s="74">
        <v>111800.0</v>
      </c>
      <c r="M3864" s="74">
        <f t="shared" si="2"/>
        <v>115000</v>
      </c>
      <c r="N3864" s="74">
        <f t="shared" si="3"/>
        <v>30000</v>
      </c>
      <c r="O3864" s="65" t="str">
        <f>VLOOKUP(E3864,DATABASE!C:Q,8,false)</f>
        <v>BIAN</v>
      </c>
      <c r="P3864" s="65">
        <f>VLOOKUP(E3864,DATABASE!C:Q,9,False)</f>
        <v>1</v>
      </c>
      <c r="Q3864" s="93" t="str">
        <f>VLOOKUP(E3864,DATABASE!C:Q,4,false)</f>
        <v>BD</v>
      </c>
      <c r="R3864" s="93" t="str">
        <f>VLOOKUP(E3864,DATABASE!C:Q,11,false)</f>
        <v>Tire</v>
      </c>
    </row>
    <row r="3865" ht="22.5" customHeight="1">
      <c r="A3865" s="49"/>
      <c r="C3865" s="384">
        <v>45864.0</v>
      </c>
      <c r="D3865" s="65">
        <v>6625.0</v>
      </c>
      <c r="E3865" s="445" t="s">
        <v>256</v>
      </c>
      <c r="F3865" s="386">
        <v>1.0</v>
      </c>
      <c r="G3865" s="74">
        <v>130000.0</v>
      </c>
      <c r="H3865" s="74">
        <v>0.0</v>
      </c>
      <c r="I3865" s="74">
        <f t="shared" si="1"/>
        <v>130000</v>
      </c>
      <c r="J3865" s="74">
        <f>IF(E3865="SERVICE",I3865-(I3865*50%),Vlookup(E3865,DATABASE!C:Q,10,false)*F3865)</f>
        <v>10000</v>
      </c>
      <c r="K3865" s="74">
        <f>VLOOKUP(E3865,DATABASE!C:Q,7,false)</f>
        <v>0</v>
      </c>
      <c r="L3865" s="74">
        <v>0.0</v>
      </c>
      <c r="M3865" s="74">
        <f t="shared" si="2"/>
        <v>0</v>
      </c>
      <c r="N3865" s="74">
        <f t="shared" si="3"/>
        <v>120000</v>
      </c>
      <c r="O3865" s="65" t="str">
        <f>VLOOKUP(E3865,DATABASE!C:Q,8,false)</f>
        <v>IBU</v>
      </c>
      <c r="P3865" s="65">
        <f>VLOOKUP(E3865,DATABASE!C:Q,9,False)</f>
        <v>0</v>
      </c>
      <c r="Q3865" s="93" t="str">
        <f>VLOOKUP(E3865,DATABASE!C:Q,4,false)</f>
        <v>SPOORING</v>
      </c>
      <c r="R3865" s="93" t="str">
        <f>VLOOKUP(E3865,DATABASE!C:Q,11,false)</f>
        <v>SERVICE</v>
      </c>
    </row>
    <row r="3866" ht="22.5" customHeight="1">
      <c r="A3866" s="49"/>
      <c r="C3866" s="384">
        <v>45864.0</v>
      </c>
      <c r="D3866" s="65">
        <v>6625.0</v>
      </c>
      <c r="E3866" s="445" t="s">
        <v>301</v>
      </c>
      <c r="F3866" s="386">
        <v>1.0</v>
      </c>
      <c r="G3866" s="74">
        <v>250000.0</v>
      </c>
      <c r="H3866" s="74">
        <v>0.0</v>
      </c>
      <c r="I3866" s="74">
        <f t="shared" si="1"/>
        <v>250000</v>
      </c>
      <c r="J3866" s="74">
        <f>IF(E3866="SERVICE",I3866-(I3866*50%),Vlookup(E3866,DATABASE!C:Q,10,false)*F3866)</f>
        <v>75000</v>
      </c>
      <c r="K3866" s="74">
        <f>VLOOKUP(E3866,DATABASE!C:Q,7,false)</f>
        <v>75000</v>
      </c>
      <c r="L3866" s="74">
        <v>75000.0</v>
      </c>
      <c r="M3866" s="74">
        <f t="shared" si="2"/>
        <v>75000</v>
      </c>
      <c r="N3866" s="74">
        <f t="shared" si="3"/>
        <v>100000</v>
      </c>
      <c r="O3866" s="65" t="str">
        <f>VLOOKUP(E3866,DATABASE!C:Q,8,false)</f>
        <v>BIAN</v>
      </c>
      <c r="P3866" s="65">
        <f>VLOOKUP(E3866,DATABASE!C:Q,9,False)</f>
        <v>0</v>
      </c>
      <c r="Q3866" s="93" t="str">
        <f>VLOOKUP(E3866,DATABASE!C:Q,4,false)</f>
        <v>Baut Camber</v>
      </c>
      <c r="R3866" s="93" t="str">
        <f>VLOOKUP(E3866,DATABASE!C:Q,11,false)</f>
        <v>COMPLEMENTARY</v>
      </c>
    </row>
    <row r="3867" ht="22.5" customHeight="1">
      <c r="A3867" s="49"/>
      <c r="C3867" s="384">
        <v>45864.0</v>
      </c>
      <c r="D3867" s="65">
        <v>6626.0</v>
      </c>
      <c r="E3867" s="445" t="s">
        <v>566</v>
      </c>
      <c r="F3867" s="386">
        <v>2.0</v>
      </c>
      <c r="G3867" s="74">
        <v>1670000.0</v>
      </c>
      <c r="H3867" s="74">
        <v>0.0</v>
      </c>
      <c r="I3867" s="74">
        <f t="shared" si="1"/>
        <v>3340000</v>
      </c>
      <c r="J3867" s="74">
        <f>IF(E3867="SERVICE",I3867-(I3867*50%),Vlookup(E3867,DATABASE!C:Q,10,false)*F3867)</f>
        <v>0</v>
      </c>
      <c r="K3867" s="140">
        <v>1570000.0</v>
      </c>
      <c r="L3867" s="140">
        <v>1570000.0</v>
      </c>
      <c r="M3867" s="74">
        <f t="shared" si="2"/>
        <v>1570000</v>
      </c>
      <c r="N3867" s="74">
        <f t="shared" si="3"/>
        <v>200000</v>
      </c>
      <c r="O3867" s="65" t="str">
        <f>VLOOKUP(E3867,DATABASE!C:Q,8,false)</f>
        <v>IBU</v>
      </c>
      <c r="P3867" s="65">
        <f>VLOOKUP(E3867,DATABASE!C:Q,9,False)</f>
        <v>1</v>
      </c>
      <c r="Q3867" s="93" t="str">
        <f>VLOOKUP(E3867,DATABASE!C:Q,4,false)</f>
        <v>Bridgestone</v>
      </c>
      <c r="R3867" s="93" t="str">
        <f>VLOOKUP(E3867,DATABASE!C:Q,11,false)</f>
        <v>Tire</v>
      </c>
    </row>
    <row r="3868" ht="22.5" customHeight="1">
      <c r="A3868" s="49"/>
      <c r="C3868" s="384">
        <v>45864.0</v>
      </c>
      <c r="D3868" s="65">
        <v>6626.0</v>
      </c>
      <c r="E3868" s="445" t="s">
        <v>737</v>
      </c>
      <c r="F3868" s="386">
        <v>1.0</v>
      </c>
      <c r="G3868" s="74">
        <v>270000.0</v>
      </c>
      <c r="H3868" s="74">
        <v>0.0</v>
      </c>
      <c r="I3868" s="74">
        <f t="shared" si="1"/>
        <v>270000</v>
      </c>
      <c r="J3868" s="74">
        <f>IF(E3868="SERVICE",I3868-(I3868*50%),Vlookup(E3868,DATABASE!C:Q,10,false)*F3868)</f>
        <v>0</v>
      </c>
      <c r="K3868" s="74">
        <f>VLOOKUP(E3868,DATABASE!C:Q,7,false)</f>
        <v>241001.6</v>
      </c>
      <c r="L3868" s="74">
        <v>237440.0</v>
      </c>
      <c r="M3868" s="74">
        <f t="shared" si="2"/>
        <v>240000</v>
      </c>
      <c r="N3868" s="74">
        <f t="shared" si="3"/>
        <v>30000</v>
      </c>
      <c r="O3868" s="65" t="str">
        <f>VLOOKUP(E3868,DATABASE!C:Q,8,false)</f>
        <v>IBU</v>
      </c>
      <c r="P3868" s="65">
        <f>VLOOKUP(E3868,DATABASE!C:Q,9,False)</f>
        <v>1</v>
      </c>
      <c r="Q3868" s="93" t="str">
        <f>VLOOKUP(E3868,DATABASE!C:Q,4,false)</f>
        <v>BD</v>
      </c>
      <c r="R3868" s="93" t="str">
        <f>VLOOKUP(E3868,DATABASE!C:Q,11,false)</f>
        <v>Tire</v>
      </c>
    </row>
    <row r="3869" ht="22.5" customHeight="1">
      <c r="A3869" s="49"/>
      <c r="C3869" s="384">
        <v>45864.0</v>
      </c>
      <c r="D3869" s="65">
        <v>6626.0</v>
      </c>
      <c r="E3869" s="445" t="s">
        <v>1714</v>
      </c>
      <c r="F3869" s="386">
        <v>1.0</v>
      </c>
      <c r="G3869" s="74">
        <v>160000.0</v>
      </c>
      <c r="H3869" s="74">
        <v>0.0</v>
      </c>
      <c r="I3869" s="74">
        <f t="shared" si="1"/>
        <v>160000</v>
      </c>
      <c r="J3869" s="74">
        <f>IF(E3869="SERVICE",I3869-(I3869*50%),Vlookup(E3869,DATABASE!C:Q,10,false)*F3869)</f>
        <v>0</v>
      </c>
      <c r="K3869" s="74">
        <f>VLOOKUP(E3869,DATABASE!C:Q,7,false)</f>
        <v>140000</v>
      </c>
      <c r="L3869" s="74">
        <v>140000.0</v>
      </c>
      <c r="M3869" s="74">
        <f t="shared" si="2"/>
        <v>140000</v>
      </c>
      <c r="N3869" s="74">
        <f t="shared" si="3"/>
        <v>20000</v>
      </c>
      <c r="O3869" s="65" t="str">
        <f>VLOOKUP(E3869,DATABASE!C:Q,8,false)</f>
        <v>IBU</v>
      </c>
      <c r="P3869" s="65">
        <f>VLOOKUP(E3869,DATABASE!C:Q,9,False)</f>
        <v>1</v>
      </c>
      <c r="Q3869" s="93" t="str">
        <f>VLOOKUP(E3869,DATABASE!C:Q,4,false)</f>
        <v>Flap</v>
      </c>
      <c r="R3869" s="93" t="str">
        <f>VLOOKUP(E3869,DATABASE!C:Q,11,false)</f>
        <v>Tire</v>
      </c>
    </row>
    <row r="3870" ht="22.5" customHeight="1">
      <c r="A3870" s="49"/>
      <c r="C3870" s="384">
        <v>45864.0</v>
      </c>
      <c r="D3870" s="65">
        <v>6627.0</v>
      </c>
      <c r="E3870" s="445" t="s">
        <v>256</v>
      </c>
      <c r="F3870" s="386">
        <v>1.0</v>
      </c>
      <c r="G3870" s="74">
        <v>130000.0</v>
      </c>
      <c r="H3870" s="74">
        <v>0.0</v>
      </c>
      <c r="I3870" s="74">
        <f t="shared" si="1"/>
        <v>130000</v>
      </c>
      <c r="J3870" s="74">
        <f>IF(E3870="SERVICE",I3870-(I3870*50%),Vlookup(E3870,DATABASE!C:Q,10,false)*F3870)</f>
        <v>10000</v>
      </c>
      <c r="K3870" s="74">
        <f>VLOOKUP(E3870,DATABASE!C:Q,7,false)</f>
        <v>0</v>
      </c>
      <c r="L3870" s="74">
        <v>0.0</v>
      </c>
      <c r="M3870" s="74">
        <f t="shared" si="2"/>
        <v>0</v>
      </c>
      <c r="N3870" s="74">
        <f t="shared" si="3"/>
        <v>120000</v>
      </c>
      <c r="O3870" s="65" t="str">
        <f>VLOOKUP(E3870,DATABASE!C:Q,8,false)</f>
        <v>IBU</v>
      </c>
      <c r="P3870" s="65">
        <f>VLOOKUP(E3870,DATABASE!C:Q,9,False)</f>
        <v>0</v>
      </c>
      <c r="Q3870" s="93" t="str">
        <f>VLOOKUP(E3870,DATABASE!C:Q,4,false)</f>
        <v>SPOORING</v>
      </c>
      <c r="R3870" s="93" t="str">
        <f>VLOOKUP(E3870,DATABASE!C:Q,11,false)</f>
        <v>SERVICE</v>
      </c>
    </row>
    <row r="3871" ht="22.5" customHeight="1">
      <c r="A3871" s="49"/>
      <c r="C3871" s="384">
        <v>45864.0</v>
      </c>
      <c r="D3871" s="65">
        <v>6627.0</v>
      </c>
      <c r="E3871" s="445" t="s">
        <v>251</v>
      </c>
      <c r="F3871" s="386">
        <v>1.0</v>
      </c>
      <c r="G3871" s="74">
        <v>150000.0</v>
      </c>
      <c r="H3871" s="74">
        <v>0.0</v>
      </c>
      <c r="I3871" s="74">
        <f t="shared" si="1"/>
        <v>150000</v>
      </c>
      <c r="J3871" s="74">
        <f>IF(E3871="SERVICE",I3871-(I3871*50%),Vlookup(E3871,DATABASE!C:Q,10,false)*F3871)</f>
        <v>75000</v>
      </c>
      <c r="K3871" s="74">
        <f>VLOOKUP(E3871,DATABASE!C:Q,7,false)</f>
        <v>0</v>
      </c>
      <c r="L3871" s="74">
        <v>0.0</v>
      </c>
      <c r="M3871" s="74">
        <f t="shared" si="2"/>
        <v>0</v>
      </c>
      <c r="N3871" s="74">
        <f t="shared" si="3"/>
        <v>75000</v>
      </c>
      <c r="O3871" s="65" t="str">
        <f>VLOOKUP(E3871,DATABASE!C:Q,8,false)</f>
        <v>IBU</v>
      </c>
      <c r="P3871" s="65">
        <f>VLOOKUP(E3871,DATABASE!C:Q,9,False)</f>
        <v>0</v>
      </c>
      <c r="Q3871" s="93" t="str">
        <f>VLOOKUP(E3871,DATABASE!C:Q,4,false)</f>
        <v>SERVICE</v>
      </c>
      <c r="R3871" s="93" t="str">
        <f>VLOOKUP(E3871,DATABASE!C:Q,11,false)</f>
        <v>SERVICE</v>
      </c>
    </row>
    <row r="3872" ht="22.5" customHeight="1">
      <c r="A3872" s="49"/>
      <c r="C3872" s="384">
        <v>45864.0</v>
      </c>
      <c r="D3872" s="65">
        <v>6628.0</v>
      </c>
      <c r="E3872" s="445" t="s">
        <v>591</v>
      </c>
      <c r="F3872" s="386">
        <v>2.0</v>
      </c>
      <c r="G3872" s="74">
        <v>700000.0</v>
      </c>
      <c r="H3872" s="74">
        <v>0.0</v>
      </c>
      <c r="I3872" s="74">
        <f t="shared" si="1"/>
        <v>1400000</v>
      </c>
      <c r="J3872" s="74">
        <f>IF(E3872="SERVICE",I3872-(I3872*50%),Vlookup(E3872,DATABASE!C:Q,10,false)*F3872)</f>
        <v>0</v>
      </c>
      <c r="K3872" s="74">
        <f>VLOOKUP(E3872,DATABASE!C:Q,7,false)</f>
        <v>633035.16</v>
      </c>
      <c r="L3872" s="74">
        <v>593488.4</v>
      </c>
      <c r="M3872" s="74">
        <f t="shared" si="2"/>
        <v>595000</v>
      </c>
      <c r="N3872" s="74">
        <f t="shared" si="3"/>
        <v>210000</v>
      </c>
      <c r="O3872" s="65" t="str">
        <f>VLOOKUP(E3872,DATABASE!C:Q,8,false)</f>
        <v>IBU</v>
      </c>
      <c r="P3872" s="65">
        <f>VLOOKUP(E3872,DATABASE!C:Q,9,False)</f>
        <v>1</v>
      </c>
      <c r="Q3872" s="93" t="str">
        <f>VLOOKUP(E3872,DATABASE!C:Q,4,false)</f>
        <v>Bridgestone</v>
      </c>
      <c r="R3872" s="93" t="str">
        <f>VLOOKUP(E3872,DATABASE!C:Q,11,false)</f>
        <v>Tire</v>
      </c>
    </row>
    <row r="3873" ht="22.5" customHeight="1">
      <c r="A3873" s="49"/>
      <c r="C3873" s="384">
        <v>45865.0</v>
      </c>
      <c r="D3873" s="65">
        <v>6630.0</v>
      </c>
      <c r="E3873" s="445" t="s">
        <v>256</v>
      </c>
      <c r="F3873" s="386">
        <v>1.0</v>
      </c>
      <c r="G3873" s="74">
        <v>130000.0</v>
      </c>
      <c r="H3873" s="74">
        <v>0.0</v>
      </c>
      <c r="I3873" s="74">
        <f t="shared" si="1"/>
        <v>130000</v>
      </c>
      <c r="J3873" s="74">
        <f>IF(E3873="SERVICE",I3873-(I3873*50%),Vlookup(E3873,DATABASE!C:Q,10,false)*F3873)</f>
        <v>10000</v>
      </c>
      <c r="K3873" s="74">
        <f>VLOOKUP(E3873,DATABASE!C:Q,7,false)</f>
        <v>0</v>
      </c>
      <c r="L3873" s="74">
        <v>0.0</v>
      </c>
      <c r="M3873" s="74">
        <f t="shared" si="2"/>
        <v>0</v>
      </c>
      <c r="N3873" s="74">
        <f t="shared" si="3"/>
        <v>120000</v>
      </c>
      <c r="O3873" s="65" t="str">
        <f>VLOOKUP(E3873,DATABASE!C:Q,8,false)</f>
        <v>IBU</v>
      </c>
      <c r="P3873" s="65">
        <f>VLOOKUP(E3873,DATABASE!C:Q,9,False)</f>
        <v>0</v>
      </c>
      <c r="Q3873" s="93" t="str">
        <f>VLOOKUP(E3873,DATABASE!C:Q,4,false)</f>
        <v>SPOORING</v>
      </c>
      <c r="R3873" s="93" t="str">
        <f>VLOOKUP(E3873,DATABASE!C:Q,11,false)</f>
        <v>SERVICE</v>
      </c>
    </row>
    <row r="3874" ht="22.5" customHeight="1">
      <c r="A3874" s="49"/>
      <c r="C3874" s="384">
        <v>45865.0</v>
      </c>
      <c r="D3874" s="65">
        <v>6630.0</v>
      </c>
      <c r="E3874" s="445" t="s">
        <v>301</v>
      </c>
      <c r="F3874" s="386">
        <v>1.0</v>
      </c>
      <c r="G3874" s="74">
        <v>250000.0</v>
      </c>
      <c r="H3874" s="74">
        <v>0.0</v>
      </c>
      <c r="I3874" s="74">
        <f t="shared" si="1"/>
        <v>250000</v>
      </c>
      <c r="J3874" s="74">
        <f>IF(E3874="SERVICE",I3874-(I3874*50%),Vlookup(E3874,DATABASE!C:Q,10,false)*F3874)</f>
        <v>75000</v>
      </c>
      <c r="K3874" s="74">
        <f>VLOOKUP(E3874,DATABASE!C:Q,7,false)</f>
        <v>75000</v>
      </c>
      <c r="L3874" s="74">
        <v>75000.0</v>
      </c>
      <c r="M3874" s="74">
        <f t="shared" si="2"/>
        <v>75000</v>
      </c>
      <c r="N3874" s="74">
        <f t="shared" si="3"/>
        <v>100000</v>
      </c>
      <c r="O3874" s="65" t="str">
        <f>VLOOKUP(E3874,DATABASE!C:Q,8,false)</f>
        <v>BIAN</v>
      </c>
      <c r="P3874" s="65">
        <f>VLOOKUP(E3874,DATABASE!C:Q,9,False)</f>
        <v>0</v>
      </c>
      <c r="Q3874" s="93" t="str">
        <f>VLOOKUP(E3874,DATABASE!C:Q,4,false)</f>
        <v>Baut Camber</v>
      </c>
      <c r="R3874" s="93" t="str">
        <f>VLOOKUP(E3874,DATABASE!C:Q,11,false)</f>
        <v>COMPLEMENTARY</v>
      </c>
    </row>
    <row r="3875" ht="22.5" customHeight="1">
      <c r="A3875" s="49"/>
      <c r="C3875" s="384">
        <v>45865.0</v>
      </c>
      <c r="D3875" s="65">
        <v>6630.0</v>
      </c>
      <c r="E3875" s="385" t="s">
        <v>299</v>
      </c>
      <c r="F3875" s="386">
        <v>2.0</v>
      </c>
      <c r="G3875" s="74">
        <v>30000.0</v>
      </c>
      <c r="H3875" s="74">
        <v>0.0</v>
      </c>
      <c r="I3875" s="74">
        <f t="shared" si="1"/>
        <v>60000</v>
      </c>
      <c r="J3875" s="74">
        <f>IF(E3875="SERVICE",I3875-(I3875*50%),Vlookup(E3875,DATABASE!C:Q,10,false)*F3875)</f>
        <v>0</v>
      </c>
      <c r="K3875" s="74">
        <v>0.0</v>
      </c>
      <c r="L3875" s="74">
        <v>0.0</v>
      </c>
      <c r="M3875" s="74">
        <f t="shared" si="2"/>
        <v>0</v>
      </c>
      <c r="N3875" s="74">
        <f t="shared" si="3"/>
        <v>60000</v>
      </c>
      <c r="O3875" s="65" t="str">
        <f>VLOOKUP(E3875,DATABASE!C:Q,8,false)</f>
        <v>BIAN</v>
      </c>
      <c r="P3875" s="65">
        <f>VLOOKUP(E3875,DATABASE!C:Q,9,False)</f>
        <v>0</v>
      </c>
      <c r="Q3875" s="93" t="str">
        <f>VLOOKUP(E3875,DATABASE!C:Q,4,false)</f>
        <v>Balancing</v>
      </c>
      <c r="R3875" s="93" t="str">
        <f>VLOOKUP(E3875,DATABASE!C:Q,11,false)</f>
        <v>COMPLEMENTARY</v>
      </c>
    </row>
    <row r="3876" ht="22.5" customHeight="1">
      <c r="A3876" s="49"/>
      <c r="C3876" s="384">
        <v>45865.0</v>
      </c>
      <c r="D3876" s="65">
        <v>6631.0</v>
      </c>
      <c r="E3876" s="445" t="s">
        <v>613</v>
      </c>
      <c r="F3876" s="386">
        <v>1.0</v>
      </c>
      <c r="G3876" s="74">
        <v>95000.0</v>
      </c>
      <c r="H3876" s="74">
        <v>0.0</v>
      </c>
      <c r="I3876" s="74">
        <f t="shared" si="1"/>
        <v>95000</v>
      </c>
      <c r="J3876" s="74">
        <f>IF(E3876="SERVICE",I3876-(I3876*50%),Vlookup(E3876,DATABASE!C:Q,10,false)*F3876)</f>
        <v>0</v>
      </c>
      <c r="K3876" s="74">
        <f>VLOOKUP(E3876,DATABASE!C:Q,7,false)</f>
        <v>58371.2695</v>
      </c>
      <c r="L3876" s="74">
        <v>55000.0</v>
      </c>
      <c r="M3876" s="74">
        <f t="shared" si="2"/>
        <v>55000</v>
      </c>
      <c r="N3876" s="74">
        <f t="shared" si="3"/>
        <v>40000</v>
      </c>
      <c r="O3876" s="65" t="str">
        <f>VLOOKUP(E3876,DATABASE!C:Q,8,false)</f>
        <v>BIAN</v>
      </c>
      <c r="P3876" s="65">
        <f>VLOOKUP(E3876,DATABASE!C:Q,9,False)</f>
        <v>1</v>
      </c>
      <c r="Q3876" s="93" t="str">
        <f>VLOOKUP(E3876,DATABASE!C:Q,4,false)</f>
        <v>BD</v>
      </c>
      <c r="R3876" s="93" t="str">
        <f>VLOOKUP(E3876,DATABASE!C:Q,11,false)</f>
        <v>Tire</v>
      </c>
    </row>
    <row r="3877" ht="22.5" customHeight="1">
      <c r="A3877" s="49"/>
      <c r="C3877" s="384">
        <v>45865.0</v>
      </c>
      <c r="D3877" s="65">
        <v>6632.0</v>
      </c>
      <c r="E3877" s="445" t="s">
        <v>955</v>
      </c>
      <c r="F3877" s="386">
        <v>1.0</v>
      </c>
      <c r="G3877" s="74">
        <v>780000.0</v>
      </c>
      <c r="H3877" s="74">
        <v>0.0</v>
      </c>
      <c r="I3877" s="74">
        <f t="shared" si="1"/>
        <v>780000</v>
      </c>
      <c r="J3877" s="74">
        <f>IF(E3877="SERVICE",I3877-(I3877*50%),Vlookup(E3877,DATABASE!C:Q,10,false)*F3877)</f>
        <v>0</v>
      </c>
      <c r="K3877" s="74">
        <f>VLOOKUP(E3877,DATABASE!C:Q,7,false)</f>
        <v>712000</v>
      </c>
      <c r="L3877" s="74">
        <v>674000.0</v>
      </c>
      <c r="M3877" s="74">
        <f t="shared" si="2"/>
        <v>675000</v>
      </c>
      <c r="N3877" s="74">
        <f t="shared" si="3"/>
        <v>105000</v>
      </c>
      <c r="O3877" s="65" t="str">
        <f>VLOOKUP(E3877,DATABASE!C:Q,8,false)</f>
        <v>IBU</v>
      </c>
      <c r="P3877" s="65">
        <f>VLOOKUP(E3877,DATABASE!C:Q,9,False)</f>
        <v>1</v>
      </c>
      <c r="Q3877" s="93" t="str">
        <f>VLOOKUP(E3877,DATABASE!C:Q,4,false)</f>
        <v>Dunlop</v>
      </c>
      <c r="R3877" s="93" t="str">
        <f>VLOOKUP(E3877,DATABASE!C:Q,11,false)</f>
        <v>Tire</v>
      </c>
    </row>
    <row r="3878" ht="22.5" customHeight="1">
      <c r="A3878" s="49"/>
      <c r="C3878" s="384">
        <v>45865.0</v>
      </c>
      <c r="D3878" s="65">
        <v>6634.0</v>
      </c>
      <c r="E3878" s="445" t="s">
        <v>256</v>
      </c>
      <c r="F3878" s="386">
        <v>1.0</v>
      </c>
      <c r="G3878" s="74">
        <v>130000.0</v>
      </c>
      <c r="H3878" s="74">
        <v>0.0</v>
      </c>
      <c r="I3878" s="74">
        <f t="shared" si="1"/>
        <v>130000</v>
      </c>
      <c r="J3878" s="74">
        <f>IF(E3878="SERVICE",I3878-(I3878*50%),Vlookup(E3878,DATABASE!C:Q,10,false)*F3878)</f>
        <v>10000</v>
      </c>
      <c r="K3878" s="74">
        <f>VLOOKUP(E3878,DATABASE!C:Q,7,false)</f>
        <v>0</v>
      </c>
      <c r="L3878" s="74">
        <v>0.0</v>
      </c>
      <c r="M3878" s="74">
        <f t="shared" si="2"/>
        <v>0</v>
      </c>
      <c r="N3878" s="74">
        <f t="shared" si="3"/>
        <v>120000</v>
      </c>
      <c r="O3878" s="65" t="str">
        <f>VLOOKUP(E3878,DATABASE!C:Q,8,false)</f>
        <v>IBU</v>
      </c>
      <c r="P3878" s="65">
        <f>VLOOKUP(E3878,DATABASE!C:Q,9,False)</f>
        <v>0</v>
      </c>
      <c r="Q3878" s="93" t="str">
        <f>VLOOKUP(E3878,DATABASE!C:Q,4,false)</f>
        <v>SPOORING</v>
      </c>
      <c r="R3878" s="93" t="str">
        <f>VLOOKUP(E3878,DATABASE!C:Q,11,false)</f>
        <v>SERVICE</v>
      </c>
    </row>
    <row r="3879" ht="22.5" customHeight="1">
      <c r="A3879" s="49"/>
      <c r="C3879" s="384">
        <v>45865.0</v>
      </c>
      <c r="D3879" s="65">
        <v>6634.0</v>
      </c>
      <c r="E3879" s="445" t="s">
        <v>301</v>
      </c>
      <c r="F3879" s="386">
        <v>1.0</v>
      </c>
      <c r="G3879" s="74">
        <v>250000.0</v>
      </c>
      <c r="H3879" s="74">
        <v>0.0</v>
      </c>
      <c r="I3879" s="74">
        <f t="shared" si="1"/>
        <v>250000</v>
      </c>
      <c r="J3879" s="74">
        <f>IF(E3879="SERVICE",I3879-(I3879*50%),Vlookup(E3879,DATABASE!C:Q,10,false)*F3879)</f>
        <v>75000</v>
      </c>
      <c r="K3879" s="74">
        <f>VLOOKUP(E3879,DATABASE!C:Q,7,false)</f>
        <v>75000</v>
      </c>
      <c r="L3879" s="74">
        <v>75000.0</v>
      </c>
      <c r="M3879" s="74">
        <f t="shared" si="2"/>
        <v>75000</v>
      </c>
      <c r="N3879" s="74">
        <f t="shared" si="3"/>
        <v>100000</v>
      </c>
      <c r="O3879" s="65" t="str">
        <f>VLOOKUP(E3879,DATABASE!C:Q,8,false)</f>
        <v>BIAN</v>
      </c>
      <c r="P3879" s="65">
        <f>VLOOKUP(E3879,DATABASE!C:Q,9,False)</f>
        <v>0</v>
      </c>
      <c r="Q3879" s="93" t="str">
        <f>VLOOKUP(E3879,DATABASE!C:Q,4,false)</f>
        <v>Baut Camber</v>
      </c>
      <c r="R3879" s="93" t="str">
        <f>VLOOKUP(E3879,DATABASE!C:Q,11,false)</f>
        <v>COMPLEMENTARY</v>
      </c>
    </row>
    <row r="3880" ht="22.5" customHeight="1">
      <c r="A3880" s="49"/>
      <c r="C3880" s="384">
        <v>45865.0</v>
      </c>
      <c r="D3880" s="65">
        <v>6635.0</v>
      </c>
      <c r="E3880" s="445" t="s">
        <v>279</v>
      </c>
      <c r="F3880" s="386">
        <v>2.0</v>
      </c>
      <c r="G3880" s="74">
        <v>700000.0</v>
      </c>
      <c r="H3880" s="74">
        <v>0.0</v>
      </c>
      <c r="I3880" s="74">
        <f t="shared" si="1"/>
        <v>1400000</v>
      </c>
      <c r="J3880" s="74">
        <f>IF(E3880="SERVICE",I3880-(I3880*50%),Vlookup(E3880,DATABASE!C:Q,10,false)*F3880)</f>
        <v>0</v>
      </c>
      <c r="K3880" s="74">
        <f>VLOOKUP(E3880,DATABASE!C:Q,7,false)</f>
        <v>623000</v>
      </c>
      <c r="L3880" s="74">
        <v>602000.0</v>
      </c>
      <c r="M3880" s="74">
        <f t="shared" si="2"/>
        <v>605000</v>
      </c>
      <c r="N3880" s="74">
        <f t="shared" si="3"/>
        <v>190000</v>
      </c>
      <c r="O3880" s="65" t="str">
        <f>VLOOKUP(E3880,DATABASE!C:Q,8,false)</f>
        <v>IBU</v>
      </c>
      <c r="P3880" s="65">
        <f>VLOOKUP(E3880,DATABASE!C:Q,9,False)</f>
        <v>1</v>
      </c>
      <c r="Q3880" s="93" t="str">
        <f>VLOOKUP(E3880,DATABASE!C:Q,4,false)</f>
        <v>Dunlop</v>
      </c>
      <c r="R3880" s="93" t="str">
        <f>VLOOKUP(E3880,DATABASE!C:Q,11,false)</f>
        <v>Tire</v>
      </c>
    </row>
    <row r="3881" ht="22.5" customHeight="1">
      <c r="A3881" s="49"/>
      <c r="C3881" s="384">
        <v>45865.0</v>
      </c>
      <c r="D3881" s="65">
        <v>6636.0</v>
      </c>
      <c r="E3881" s="445" t="s">
        <v>847</v>
      </c>
      <c r="F3881" s="386">
        <v>4.0</v>
      </c>
      <c r="G3881" s="74">
        <v>775000.0</v>
      </c>
      <c r="H3881" s="74">
        <v>0.0</v>
      </c>
      <c r="I3881" s="74">
        <f t="shared" si="1"/>
        <v>3100000</v>
      </c>
      <c r="J3881" s="74">
        <f>IF(E3881="SERVICE",I3881-(I3881*50%),Vlookup(E3881,DATABASE!C:Q,10,false)*F3881)</f>
        <v>0</v>
      </c>
      <c r="K3881" s="74">
        <f>VLOOKUP(E3881,DATABASE!C:Q,7,false)</f>
        <v>718080</v>
      </c>
      <c r="L3881" s="74">
        <v>672210.0</v>
      </c>
      <c r="M3881" s="74">
        <f t="shared" si="2"/>
        <v>675000</v>
      </c>
      <c r="N3881" s="74">
        <f t="shared" si="3"/>
        <v>400000</v>
      </c>
      <c r="O3881" s="65" t="str">
        <f>VLOOKUP(E3881,DATABASE!C:Q,8,false)</f>
        <v>BIAN</v>
      </c>
      <c r="P3881" s="65">
        <f>VLOOKUP(E3881,DATABASE!C:Q,9,False)</f>
        <v>1</v>
      </c>
      <c r="Q3881" s="93" t="str">
        <f>VLOOKUP(E3881,DATABASE!C:Q,4,false)</f>
        <v>GT</v>
      </c>
      <c r="R3881" s="93" t="str">
        <f>VLOOKUP(E3881,DATABASE!C:Q,11,false)</f>
        <v>Tire</v>
      </c>
    </row>
    <row r="3882" ht="22.5" customHeight="1">
      <c r="A3882" s="49"/>
      <c r="C3882" s="384">
        <v>45865.0</v>
      </c>
      <c r="D3882" s="65">
        <v>6636.0</v>
      </c>
      <c r="E3882" s="385" t="s">
        <v>299</v>
      </c>
      <c r="F3882" s="386">
        <v>2.0</v>
      </c>
      <c r="G3882" s="74">
        <v>30000.0</v>
      </c>
      <c r="H3882" s="74">
        <v>0.0</v>
      </c>
      <c r="I3882" s="74">
        <f t="shared" si="1"/>
        <v>60000</v>
      </c>
      <c r="J3882" s="74">
        <f>IF(E3882="SERVICE",I3882-(I3882*50%),Vlookup(E3882,DATABASE!C:Q,10,false)*F3882)</f>
        <v>0</v>
      </c>
      <c r="K3882" s="74">
        <v>0.0</v>
      </c>
      <c r="L3882" s="74">
        <v>0.0</v>
      </c>
      <c r="M3882" s="74">
        <f t="shared" si="2"/>
        <v>0</v>
      </c>
      <c r="N3882" s="74">
        <f t="shared" si="3"/>
        <v>60000</v>
      </c>
      <c r="O3882" s="65" t="str">
        <f>VLOOKUP(E3882,DATABASE!C:Q,8,false)</f>
        <v>BIAN</v>
      </c>
      <c r="P3882" s="65">
        <f>VLOOKUP(E3882,DATABASE!C:Q,9,False)</f>
        <v>0</v>
      </c>
      <c r="Q3882" s="93" t="str">
        <f>VLOOKUP(E3882,DATABASE!C:Q,4,false)</f>
        <v>Balancing</v>
      </c>
      <c r="R3882" s="93" t="str">
        <f>VLOOKUP(E3882,DATABASE!C:Q,11,false)</f>
        <v>COMPLEMENTARY</v>
      </c>
    </row>
    <row r="3883" ht="22.5" customHeight="1">
      <c r="A3883" s="49"/>
      <c r="C3883" s="384">
        <v>45865.0</v>
      </c>
      <c r="D3883" s="65">
        <v>6636.0</v>
      </c>
      <c r="E3883" s="445" t="s">
        <v>256</v>
      </c>
      <c r="F3883" s="386">
        <v>1.0</v>
      </c>
      <c r="G3883" s="74">
        <v>130000.0</v>
      </c>
      <c r="H3883" s="74">
        <v>0.0</v>
      </c>
      <c r="I3883" s="74">
        <f t="shared" si="1"/>
        <v>130000</v>
      </c>
      <c r="J3883" s="74">
        <f>IF(E3883="SERVICE",I3883-(I3883*50%),Vlookup(E3883,DATABASE!C:Q,10,false)*F3883)</f>
        <v>10000</v>
      </c>
      <c r="K3883" s="74">
        <f>VLOOKUP(E3883,DATABASE!C:Q,7,false)</f>
        <v>0</v>
      </c>
      <c r="L3883" s="74">
        <v>0.0</v>
      </c>
      <c r="M3883" s="74">
        <f t="shared" si="2"/>
        <v>0</v>
      </c>
      <c r="N3883" s="74">
        <f t="shared" si="3"/>
        <v>120000</v>
      </c>
      <c r="O3883" s="65" t="str">
        <f>VLOOKUP(E3883,DATABASE!C:Q,8,false)</f>
        <v>IBU</v>
      </c>
      <c r="P3883" s="65">
        <f>VLOOKUP(E3883,DATABASE!C:Q,9,False)</f>
        <v>0</v>
      </c>
      <c r="Q3883" s="93" t="str">
        <f>VLOOKUP(E3883,DATABASE!C:Q,4,false)</f>
        <v>SPOORING</v>
      </c>
      <c r="R3883" s="93" t="str">
        <f>VLOOKUP(E3883,DATABASE!C:Q,11,false)</f>
        <v>SERVICE</v>
      </c>
    </row>
    <row r="3884" ht="22.5" customHeight="1">
      <c r="A3884" s="49"/>
      <c r="C3884" s="384">
        <v>45866.0</v>
      </c>
      <c r="D3884" s="65">
        <v>6637.0</v>
      </c>
      <c r="E3884" s="445" t="s">
        <v>1893</v>
      </c>
      <c r="F3884" s="386">
        <v>1.0</v>
      </c>
      <c r="G3884" s="74">
        <v>500000.0</v>
      </c>
      <c r="H3884" s="74">
        <v>0.0</v>
      </c>
      <c r="I3884" s="74">
        <f t="shared" si="1"/>
        <v>500000</v>
      </c>
      <c r="J3884" s="74">
        <f>IF(E3884="SERVICE",I3884-(I3884*50%),Vlookup(E3884,DATABASE!C:Q,10,false)*F3884)</f>
        <v>0</v>
      </c>
      <c r="K3884" s="74">
        <f>VLOOKUP(E3884,DATABASE!C:Q,7,false)</f>
        <v>404900</v>
      </c>
      <c r="L3884" s="74">
        <v>404900.0</v>
      </c>
      <c r="M3884" s="74">
        <f t="shared" si="2"/>
        <v>405000</v>
      </c>
      <c r="N3884" s="74">
        <f t="shared" si="3"/>
        <v>95000</v>
      </c>
      <c r="O3884" s="65" t="str">
        <f>VLOOKUP(E3884,DATABASE!C:Q,8,false)</f>
        <v>BIAN</v>
      </c>
      <c r="P3884" s="65">
        <f>VLOOKUP(E3884,DATABASE!C:Q,9,False)</f>
        <v>1</v>
      </c>
      <c r="Q3884" s="93" t="str">
        <f>VLOOKUP(E3884,DATABASE!C:Q,4,false)</f>
        <v>GT</v>
      </c>
      <c r="R3884" s="93" t="str">
        <f>VLOOKUP(E3884,DATABASE!C:Q,11,false)</f>
        <v>Tire</v>
      </c>
    </row>
    <row r="3885" ht="22.5" customHeight="1">
      <c r="A3885" s="49"/>
      <c r="C3885" s="384">
        <v>45866.0</v>
      </c>
      <c r="D3885" s="65">
        <v>6638.0</v>
      </c>
      <c r="E3885" s="445" t="s">
        <v>262</v>
      </c>
      <c r="F3885" s="386">
        <v>1.0</v>
      </c>
      <c r="G3885" s="74">
        <v>110000.0</v>
      </c>
      <c r="H3885" s="74">
        <v>0.0</v>
      </c>
      <c r="I3885" s="74">
        <f t="shared" si="1"/>
        <v>110000</v>
      </c>
      <c r="J3885" s="74">
        <f>IF(E3885="SERVICE",I3885-(I3885*50%),Vlookup(E3885,DATABASE!C:Q,10,false)*F3885)</f>
        <v>5000</v>
      </c>
      <c r="K3885" s="74">
        <f>VLOOKUP(E3885,DATABASE!C:Q,7,false)</f>
        <v>0</v>
      </c>
      <c r="L3885" s="74">
        <v>0.0</v>
      </c>
      <c r="M3885" s="74">
        <f t="shared" si="2"/>
        <v>0</v>
      </c>
      <c r="N3885" s="74">
        <f t="shared" si="3"/>
        <v>105000</v>
      </c>
      <c r="O3885" s="65" t="str">
        <f>VLOOKUP(E3885,DATABASE!C:Q,8,false)</f>
        <v>IBU</v>
      </c>
      <c r="P3885" s="65">
        <f>VLOOKUP(E3885,DATABASE!C:Q,9,False)</f>
        <v>0</v>
      </c>
      <c r="Q3885" s="93" t="str">
        <f>VLOOKUP(E3885,DATABASE!C:Q,4,false)</f>
        <v>SPOORING SS/CARRY LOS BAK</v>
      </c>
      <c r="R3885" s="93" t="str">
        <f>VLOOKUP(E3885,DATABASE!C:Q,11,false)</f>
        <v>SERVICE</v>
      </c>
    </row>
    <row r="3886" ht="22.5" customHeight="1">
      <c r="A3886" s="49"/>
      <c r="C3886" s="384">
        <v>45866.0</v>
      </c>
      <c r="D3886" s="65">
        <v>6638.0</v>
      </c>
      <c r="E3886" s="445" t="s">
        <v>251</v>
      </c>
      <c r="F3886" s="386">
        <v>1.0</v>
      </c>
      <c r="G3886" s="74">
        <v>150000.0</v>
      </c>
      <c r="H3886" s="74">
        <v>0.0</v>
      </c>
      <c r="I3886" s="74">
        <f t="shared" si="1"/>
        <v>150000</v>
      </c>
      <c r="J3886" s="74">
        <f>IF(E3886="SERVICE",I3886-(I3886*50%),Vlookup(E3886,DATABASE!C:Q,10,false)*F3886)</f>
        <v>75000</v>
      </c>
      <c r="K3886" s="74">
        <f>VLOOKUP(E3886,DATABASE!C:Q,7,false)</f>
        <v>0</v>
      </c>
      <c r="L3886" s="74">
        <v>0.0</v>
      </c>
      <c r="M3886" s="74">
        <f t="shared" si="2"/>
        <v>0</v>
      </c>
      <c r="N3886" s="74">
        <f t="shared" si="3"/>
        <v>75000</v>
      </c>
      <c r="O3886" s="65" t="str">
        <f>VLOOKUP(E3886,DATABASE!C:Q,8,false)</f>
        <v>IBU</v>
      </c>
      <c r="P3886" s="65">
        <f>VLOOKUP(E3886,DATABASE!C:Q,9,False)</f>
        <v>0</v>
      </c>
      <c r="Q3886" s="93" t="str">
        <f>VLOOKUP(E3886,DATABASE!C:Q,4,false)</f>
        <v>SERVICE</v>
      </c>
      <c r="R3886" s="93" t="str">
        <f>VLOOKUP(E3886,DATABASE!C:Q,11,false)</f>
        <v>SERVICE</v>
      </c>
    </row>
    <row r="3887" ht="22.5" customHeight="1">
      <c r="A3887" s="49"/>
      <c r="C3887" s="384">
        <v>45866.0</v>
      </c>
      <c r="D3887" s="65">
        <v>6639.0</v>
      </c>
      <c r="E3887" s="445" t="s">
        <v>250</v>
      </c>
      <c r="F3887" s="386">
        <v>1.0</v>
      </c>
      <c r="G3887" s="74">
        <v>135000.0</v>
      </c>
      <c r="H3887" s="74">
        <v>0.0</v>
      </c>
      <c r="I3887" s="74">
        <f t="shared" si="1"/>
        <v>135000</v>
      </c>
      <c r="J3887" s="74">
        <f>IF(E3887="SERVICE",I3887-(I3887*50%),Vlookup(E3887,DATABASE!C:Q,10,false)*F3887)</f>
        <v>0</v>
      </c>
      <c r="K3887" s="74">
        <f>VLOOKUP(E3887,DATABASE!C:Q,7,false)</f>
        <v>102000</v>
      </c>
      <c r="L3887" s="74">
        <v>102000.0</v>
      </c>
      <c r="M3887" s="74">
        <f t="shared" si="2"/>
        <v>105000</v>
      </c>
      <c r="N3887" s="74">
        <f t="shared" si="3"/>
        <v>30000</v>
      </c>
      <c r="O3887" s="65" t="str">
        <f>VLOOKUP(E3887,DATABASE!C:Q,8,false)</f>
        <v>BIAN</v>
      </c>
      <c r="P3887" s="65">
        <f>VLOOKUP(E3887,DATABASE!C:Q,9,False)</f>
        <v>1</v>
      </c>
      <c r="Q3887" s="93" t="str">
        <f>VLOOKUP(E3887,DATABASE!C:Q,4,false)</f>
        <v>BD</v>
      </c>
      <c r="R3887" s="93" t="str">
        <f>VLOOKUP(E3887,DATABASE!C:Q,11,false)</f>
        <v>Tire</v>
      </c>
    </row>
    <row r="3888" ht="22.5" customHeight="1">
      <c r="A3888" s="49"/>
      <c r="C3888" s="384">
        <v>45866.0</v>
      </c>
      <c r="D3888" s="65">
        <v>6641.0</v>
      </c>
      <c r="E3888" s="445" t="s">
        <v>1076</v>
      </c>
      <c r="F3888" s="386">
        <v>1.0</v>
      </c>
      <c r="G3888" s="74">
        <v>770000.0</v>
      </c>
      <c r="H3888" s="74">
        <v>0.0</v>
      </c>
      <c r="I3888" s="74">
        <f t="shared" si="1"/>
        <v>770000</v>
      </c>
      <c r="J3888" s="74">
        <f>IF(E3888="SERVICE",I3888-(I3888*50%),Vlookup(E3888,DATABASE!C:Q,10,false)*F3888)</f>
        <v>0</v>
      </c>
      <c r="K3888" s="74">
        <f>VLOOKUP(E3888,DATABASE!C:Q,7,false)</f>
        <v>666540</v>
      </c>
      <c r="L3888" s="74">
        <v>666540.0</v>
      </c>
      <c r="M3888" s="74">
        <f t="shared" si="2"/>
        <v>670000</v>
      </c>
      <c r="N3888" s="74">
        <f t="shared" si="3"/>
        <v>100000</v>
      </c>
      <c r="O3888" s="65" t="str">
        <f>VLOOKUP(E3888,DATABASE!C:Q,8,false)</f>
        <v>BIAN</v>
      </c>
      <c r="P3888" s="65">
        <f>VLOOKUP(E3888,DATABASE!C:Q,9,False)</f>
        <v>1</v>
      </c>
      <c r="Q3888" s="93" t="str">
        <f>VLOOKUP(E3888,DATABASE!C:Q,4,false)</f>
        <v>GT</v>
      </c>
      <c r="R3888" s="93" t="str">
        <f>VLOOKUP(E3888,DATABASE!C:Q,11,false)</f>
        <v>Tire</v>
      </c>
    </row>
    <row r="3889" ht="22.5" customHeight="1">
      <c r="A3889" s="49"/>
      <c r="C3889" s="384">
        <v>45866.0</v>
      </c>
      <c r="D3889" s="65">
        <v>6642.0</v>
      </c>
      <c r="E3889" s="445" t="s">
        <v>897</v>
      </c>
      <c r="F3889" s="386">
        <v>1.0</v>
      </c>
      <c r="G3889" s="74">
        <v>1600000.0</v>
      </c>
      <c r="H3889" s="74">
        <v>0.0</v>
      </c>
      <c r="I3889" s="74">
        <f t="shared" si="1"/>
        <v>1600000</v>
      </c>
      <c r="J3889" s="74">
        <f>IF(E3889="SERVICE",I3889-(I3889*50%),Vlookup(E3889,DATABASE!C:Q,10,false)*F3889)</f>
        <v>0</v>
      </c>
      <c r="K3889" s="74">
        <f>VLOOKUP(E3889,DATABASE!C:Q,7,false)</f>
        <v>1560000</v>
      </c>
      <c r="L3889" s="74">
        <v>1500000.0</v>
      </c>
      <c r="M3889" s="74">
        <f t="shared" si="2"/>
        <v>1500000</v>
      </c>
      <c r="N3889" s="74">
        <f t="shared" si="3"/>
        <v>100000</v>
      </c>
      <c r="O3889" s="65" t="str">
        <f>VLOOKUP(E3889,DATABASE!C:Q,8,false)</f>
        <v>BIAN</v>
      </c>
      <c r="P3889" s="65">
        <f>VLOOKUP(E3889,DATABASE!C:Q,9,False)</f>
        <v>1</v>
      </c>
      <c r="Q3889" s="93" t="str">
        <f>VLOOKUP(E3889,DATABASE!C:Q,4,false)</f>
        <v>GT</v>
      </c>
      <c r="R3889" s="93" t="str">
        <f>VLOOKUP(E3889,DATABASE!C:Q,11,false)</f>
        <v>Tire</v>
      </c>
    </row>
    <row r="3890" ht="22.5" customHeight="1">
      <c r="A3890" s="49"/>
      <c r="C3890" s="384">
        <v>45866.0</v>
      </c>
      <c r="D3890" s="65">
        <v>6642.0</v>
      </c>
      <c r="E3890" s="445" t="s">
        <v>821</v>
      </c>
      <c r="F3890" s="386">
        <v>1.0</v>
      </c>
      <c r="G3890" s="74">
        <v>85000.0</v>
      </c>
      <c r="H3890" s="74">
        <v>0.0</v>
      </c>
      <c r="I3890" s="74">
        <f t="shared" si="1"/>
        <v>85000</v>
      </c>
      <c r="J3890" s="74">
        <f>IF(E3890="SERVICE",I3890-(I3890*50%),Vlookup(E3890,DATABASE!C:Q,10,false)*F3890)</f>
        <v>0</v>
      </c>
      <c r="K3890" s="74">
        <f>VLOOKUP(E3890,DATABASE!C:Q,7,false)</f>
        <v>43500</v>
      </c>
      <c r="L3890" s="74">
        <v>43520.0</v>
      </c>
      <c r="M3890" s="74">
        <f t="shared" si="2"/>
        <v>45000</v>
      </c>
      <c r="N3890" s="74">
        <f t="shared" si="3"/>
        <v>40000</v>
      </c>
      <c r="O3890" s="65" t="str">
        <f>VLOOKUP(E3890,DATABASE!C:Q,8,false)</f>
        <v>BIAN</v>
      </c>
      <c r="P3890" s="65">
        <f>VLOOKUP(E3890,DATABASE!C:Q,9,False)</f>
        <v>1</v>
      </c>
      <c r="Q3890" s="93" t="str">
        <f>VLOOKUP(E3890,DATABASE!C:Q,4,false)</f>
        <v>Flap</v>
      </c>
      <c r="R3890" s="93" t="str">
        <f>VLOOKUP(E3890,DATABASE!C:Q,11,false)</f>
        <v>Tire</v>
      </c>
    </row>
    <row r="3891" ht="22.5" customHeight="1">
      <c r="A3891" s="49"/>
      <c r="C3891" s="384">
        <v>45866.0</v>
      </c>
      <c r="D3891" s="65">
        <v>6643.0</v>
      </c>
      <c r="E3891" s="445" t="s">
        <v>265</v>
      </c>
      <c r="F3891" s="386">
        <v>4.0</v>
      </c>
      <c r="G3891" s="74">
        <v>700000.0</v>
      </c>
      <c r="H3891" s="74">
        <v>0.0</v>
      </c>
      <c r="I3891" s="74">
        <f t="shared" si="1"/>
        <v>2800000</v>
      </c>
      <c r="J3891" s="74">
        <f>IF(E3891="SERVICE",I3891-(I3891*50%),Vlookup(E3891,DATABASE!C:Q,10,false)*F3891)</f>
        <v>0</v>
      </c>
      <c r="K3891" s="74">
        <f>VLOOKUP(E3891,DATABASE!C:Q,7,false)</f>
        <v>628000</v>
      </c>
      <c r="L3891" s="74">
        <v>610000.0</v>
      </c>
      <c r="M3891" s="74">
        <f t="shared" si="2"/>
        <v>610000</v>
      </c>
      <c r="N3891" s="74">
        <f t="shared" si="3"/>
        <v>360000</v>
      </c>
      <c r="O3891" s="65" t="str">
        <f>VLOOKUP(E3891,DATABASE!C:Q,8,false)</f>
        <v>IBU</v>
      </c>
      <c r="P3891" s="65">
        <f>VLOOKUP(E3891,DATABASE!C:Q,9,False)</f>
        <v>1</v>
      </c>
      <c r="Q3891" s="93" t="str">
        <f>VLOOKUP(E3891,DATABASE!C:Q,4,false)</f>
        <v>Dunlop</v>
      </c>
      <c r="R3891" s="93" t="str">
        <f>VLOOKUP(E3891,DATABASE!C:Q,11,false)</f>
        <v>Tire</v>
      </c>
    </row>
    <row r="3892" ht="22.5" customHeight="1">
      <c r="A3892" s="49"/>
      <c r="C3892" s="384">
        <v>45866.0</v>
      </c>
      <c r="D3892" s="65">
        <v>6644.0</v>
      </c>
      <c r="E3892" s="445" t="s">
        <v>251</v>
      </c>
      <c r="F3892" s="386">
        <v>1.0</v>
      </c>
      <c r="G3892" s="74">
        <v>150000.0</v>
      </c>
      <c r="H3892" s="74">
        <v>0.0</v>
      </c>
      <c r="I3892" s="74">
        <f t="shared" si="1"/>
        <v>150000</v>
      </c>
      <c r="J3892" s="74">
        <f>IF(E3892="SERVICE",I3892-(I3892*50%),Vlookup(E3892,DATABASE!C:Q,10,false)*F3892)</f>
        <v>75000</v>
      </c>
      <c r="K3892" s="74">
        <f>VLOOKUP(E3892,DATABASE!C:Q,7,false)</f>
        <v>0</v>
      </c>
      <c r="L3892" s="74">
        <v>0.0</v>
      </c>
      <c r="M3892" s="74">
        <f t="shared" si="2"/>
        <v>0</v>
      </c>
      <c r="N3892" s="74">
        <f t="shared" si="3"/>
        <v>75000</v>
      </c>
      <c r="O3892" s="65" t="str">
        <f>VLOOKUP(E3892,DATABASE!C:Q,8,false)</f>
        <v>IBU</v>
      </c>
      <c r="P3892" s="65">
        <f>VLOOKUP(E3892,DATABASE!C:Q,9,False)</f>
        <v>0</v>
      </c>
      <c r="Q3892" s="93" t="str">
        <f>VLOOKUP(E3892,DATABASE!C:Q,4,false)</f>
        <v>SERVICE</v>
      </c>
      <c r="R3892" s="93" t="str">
        <f>VLOOKUP(E3892,DATABASE!C:Q,11,false)</f>
        <v>SERVICE</v>
      </c>
    </row>
    <row r="3893" ht="22.5" customHeight="1">
      <c r="A3893" s="49"/>
      <c r="C3893" s="384">
        <v>45866.0</v>
      </c>
      <c r="D3893" s="65">
        <v>6644.0</v>
      </c>
      <c r="E3893" s="445" t="s">
        <v>554</v>
      </c>
      <c r="F3893" s="386">
        <v>2.0</v>
      </c>
      <c r="G3893" s="74">
        <v>800000.0</v>
      </c>
      <c r="H3893" s="74">
        <v>0.0</v>
      </c>
      <c r="I3893" s="74">
        <f t="shared" si="1"/>
        <v>1600000</v>
      </c>
      <c r="J3893" s="74">
        <f>IF(E3893="SERVICE",I3893-(I3893*50%),Vlookup(E3893,DATABASE!C:Q,10,false)*F3893)</f>
        <v>0</v>
      </c>
      <c r="K3893" s="74">
        <f>VLOOKUP(E3893,DATABASE!C:Q,7,false)</f>
        <v>710000</v>
      </c>
      <c r="L3893" s="74">
        <v>680000.0</v>
      </c>
      <c r="M3893" s="74">
        <f t="shared" si="2"/>
        <v>680000</v>
      </c>
      <c r="N3893" s="74">
        <f t="shared" si="3"/>
        <v>240000</v>
      </c>
      <c r="O3893" s="65" t="str">
        <f>VLOOKUP(E3893,DATABASE!C:Q,8,false)</f>
        <v>IBU</v>
      </c>
      <c r="P3893" s="65">
        <f>VLOOKUP(E3893,DATABASE!C:Q,9,False)</f>
        <v>1</v>
      </c>
      <c r="Q3893" s="93" t="str">
        <f>VLOOKUP(E3893,DATABASE!C:Q,4,false)</f>
        <v>Bridgestone</v>
      </c>
      <c r="R3893" s="93" t="str">
        <f>VLOOKUP(E3893,DATABASE!C:Q,11,false)</f>
        <v>Tire</v>
      </c>
    </row>
    <row r="3894" ht="22.5" customHeight="1">
      <c r="A3894" s="49"/>
      <c r="C3894" s="384">
        <v>45866.0</v>
      </c>
      <c r="D3894" s="65">
        <v>6645.0</v>
      </c>
      <c r="E3894" s="445" t="s">
        <v>781</v>
      </c>
      <c r="F3894" s="386">
        <v>1.0</v>
      </c>
      <c r="G3894" s="74">
        <v>530000.0</v>
      </c>
      <c r="H3894" s="74">
        <v>0.0</v>
      </c>
      <c r="I3894" s="74">
        <f t="shared" si="1"/>
        <v>530000</v>
      </c>
      <c r="J3894" s="74">
        <f>IF(E3894="SERVICE",I3894-(I3894*50%),Vlookup(E3894,DATABASE!C:Q,10,false)*F3894)</f>
        <v>0</v>
      </c>
      <c r="K3894" s="74">
        <f>VLOOKUP(E3894,DATABASE!C:Q,7,false)</f>
        <v>470000</v>
      </c>
      <c r="L3894" s="74">
        <v>442500.0</v>
      </c>
      <c r="M3894" s="74">
        <f t="shared" si="2"/>
        <v>445000</v>
      </c>
      <c r="N3894" s="74">
        <f t="shared" si="3"/>
        <v>85000</v>
      </c>
      <c r="O3894" s="65" t="str">
        <f>VLOOKUP(E3894,DATABASE!C:Q,8,false)</f>
        <v>BIAN</v>
      </c>
      <c r="P3894" s="65">
        <f>VLOOKUP(E3894,DATABASE!C:Q,9,False)</f>
        <v>1</v>
      </c>
      <c r="Q3894" s="93" t="str">
        <f>VLOOKUP(E3894,DATABASE!C:Q,4,false)</f>
        <v>GT</v>
      </c>
      <c r="R3894" s="93" t="str">
        <f>VLOOKUP(E3894,DATABASE!C:Q,11,false)</f>
        <v>Tire</v>
      </c>
    </row>
    <row r="3895" ht="22.5" customHeight="1">
      <c r="A3895" s="49"/>
      <c r="C3895" s="384">
        <v>45866.0</v>
      </c>
      <c r="D3895" s="65">
        <v>6645.0</v>
      </c>
      <c r="E3895" s="385" t="s">
        <v>299</v>
      </c>
      <c r="F3895" s="386">
        <v>1.0</v>
      </c>
      <c r="G3895" s="74">
        <v>30000.0</v>
      </c>
      <c r="H3895" s="74">
        <v>0.0</v>
      </c>
      <c r="I3895" s="74">
        <f t="shared" si="1"/>
        <v>30000</v>
      </c>
      <c r="J3895" s="74">
        <f>IF(E3895="SERVICE",I3895-(I3895*50%),Vlookup(E3895,DATABASE!C:Q,10,false)*F3895)</f>
        <v>0</v>
      </c>
      <c r="K3895" s="74">
        <v>0.0</v>
      </c>
      <c r="L3895" s="74">
        <v>0.0</v>
      </c>
      <c r="M3895" s="74">
        <f t="shared" si="2"/>
        <v>0</v>
      </c>
      <c r="N3895" s="74">
        <f t="shared" si="3"/>
        <v>30000</v>
      </c>
      <c r="O3895" s="65" t="str">
        <f>VLOOKUP(E3895,DATABASE!C:Q,8,false)</f>
        <v>BIAN</v>
      </c>
      <c r="P3895" s="65">
        <f>VLOOKUP(E3895,DATABASE!C:Q,9,False)</f>
        <v>0</v>
      </c>
      <c r="Q3895" s="93" t="str">
        <f>VLOOKUP(E3895,DATABASE!C:Q,4,false)</f>
        <v>Balancing</v>
      </c>
      <c r="R3895" s="93" t="str">
        <f>VLOOKUP(E3895,DATABASE!C:Q,11,false)</f>
        <v>COMPLEMENTARY</v>
      </c>
    </row>
    <row r="3896" ht="22.5" customHeight="1">
      <c r="A3896" s="49"/>
      <c r="C3896" s="384">
        <v>45866.0</v>
      </c>
      <c r="D3896" s="65">
        <v>6646.0</v>
      </c>
      <c r="E3896" s="445" t="s">
        <v>265</v>
      </c>
      <c r="F3896" s="386">
        <v>2.0</v>
      </c>
      <c r="G3896" s="74">
        <v>700000.0</v>
      </c>
      <c r="H3896" s="74">
        <v>0.0</v>
      </c>
      <c r="I3896" s="74">
        <f t="shared" si="1"/>
        <v>1400000</v>
      </c>
      <c r="J3896" s="74">
        <f>IF(E3896="SERVICE",I3896-(I3896*50%),Vlookup(E3896,DATABASE!C:Q,10,false)*F3896)</f>
        <v>0</v>
      </c>
      <c r="K3896" s="74">
        <f>VLOOKUP(E3896,DATABASE!C:Q,7,false)</f>
        <v>628000</v>
      </c>
      <c r="L3896" s="74">
        <v>610000.0</v>
      </c>
      <c r="M3896" s="74">
        <f t="shared" si="2"/>
        <v>610000</v>
      </c>
      <c r="N3896" s="74">
        <f t="shared" si="3"/>
        <v>180000</v>
      </c>
      <c r="O3896" s="65" t="str">
        <f>VLOOKUP(E3896,DATABASE!C:Q,8,false)</f>
        <v>IBU</v>
      </c>
      <c r="P3896" s="65">
        <f>VLOOKUP(E3896,DATABASE!C:Q,9,False)</f>
        <v>1</v>
      </c>
      <c r="Q3896" s="93" t="str">
        <f>VLOOKUP(E3896,DATABASE!C:Q,4,false)</f>
        <v>Dunlop</v>
      </c>
      <c r="R3896" s="93" t="str">
        <f>VLOOKUP(E3896,DATABASE!C:Q,11,false)</f>
        <v>Tire</v>
      </c>
    </row>
    <row r="3897" ht="22.5" customHeight="1">
      <c r="A3897" s="49"/>
      <c r="C3897" s="384">
        <v>45866.0</v>
      </c>
      <c r="D3897" s="65">
        <v>6646.0</v>
      </c>
      <c r="E3897" s="445" t="s">
        <v>262</v>
      </c>
      <c r="F3897" s="386">
        <v>1.0</v>
      </c>
      <c r="G3897" s="74">
        <v>100000.0</v>
      </c>
      <c r="H3897" s="74">
        <v>0.0</v>
      </c>
      <c r="I3897" s="74">
        <f t="shared" si="1"/>
        <v>100000</v>
      </c>
      <c r="J3897" s="74">
        <f>IF(E3897="SERVICE",I3897-(I3897*50%),Vlookup(E3897,DATABASE!C:Q,10,false)*F3897)</f>
        <v>5000</v>
      </c>
      <c r="K3897" s="74">
        <f>VLOOKUP(E3897,DATABASE!C:Q,7,false)</f>
        <v>0</v>
      </c>
      <c r="L3897" s="74">
        <v>0.0</v>
      </c>
      <c r="M3897" s="74">
        <f t="shared" si="2"/>
        <v>0</v>
      </c>
      <c r="N3897" s="74">
        <f t="shared" si="3"/>
        <v>95000</v>
      </c>
      <c r="O3897" s="65" t="str">
        <f>VLOOKUP(E3897,DATABASE!C:Q,8,false)</f>
        <v>IBU</v>
      </c>
      <c r="P3897" s="65">
        <f>VLOOKUP(E3897,DATABASE!C:Q,9,False)</f>
        <v>0</v>
      </c>
      <c r="Q3897" s="93" t="str">
        <f>VLOOKUP(E3897,DATABASE!C:Q,4,false)</f>
        <v>SPOORING SS/CARRY LOS BAK</v>
      </c>
      <c r="R3897" s="93" t="str">
        <f>VLOOKUP(E3897,DATABASE!C:Q,11,false)</f>
        <v>SERVICE</v>
      </c>
    </row>
    <row r="3898" ht="22.5" customHeight="1">
      <c r="A3898" s="49"/>
      <c r="C3898" s="384">
        <v>45866.0</v>
      </c>
      <c r="D3898" s="65">
        <v>6647.0</v>
      </c>
      <c r="E3898" s="445" t="s">
        <v>643</v>
      </c>
      <c r="F3898" s="386">
        <v>1.0</v>
      </c>
      <c r="G3898" s="74">
        <v>145000.0</v>
      </c>
      <c r="H3898" s="74">
        <v>0.0</v>
      </c>
      <c r="I3898" s="74">
        <f t="shared" si="1"/>
        <v>145000</v>
      </c>
      <c r="J3898" s="74">
        <f>IF(E3898="SERVICE",I3898-(I3898*50%),Vlookup(E3898,DATABASE!C:Q,10,false)*F3898)</f>
        <v>0</v>
      </c>
      <c r="K3898" s="74">
        <f>VLOOKUP(E3898,DATABASE!C:Q,7,false)</f>
        <v>111800</v>
      </c>
      <c r="L3898" s="74">
        <v>111800.0</v>
      </c>
      <c r="M3898" s="74">
        <f t="shared" si="2"/>
        <v>115000</v>
      </c>
      <c r="N3898" s="74">
        <f t="shared" si="3"/>
        <v>30000</v>
      </c>
      <c r="O3898" s="65" t="str">
        <f>VLOOKUP(E3898,DATABASE!C:Q,8,false)</f>
        <v>BIAN</v>
      </c>
      <c r="P3898" s="65">
        <f>VLOOKUP(E3898,DATABASE!C:Q,9,False)</f>
        <v>1</v>
      </c>
      <c r="Q3898" s="93" t="str">
        <f>VLOOKUP(E3898,DATABASE!C:Q,4,false)</f>
        <v>BD</v>
      </c>
      <c r="R3898" s="93" t="str">
        <f>VLOOKUP(E3898,DATABASE!C:Q,11,false)</f>
        <v>Tire</v>
      </c>
    </row>
    <row r="3899" ht="22.5" customHeight="1">
      <c r="A3899" s="49"/>
      <c r="C3899" s="384">
        <v>45866.0</v>
      </c>
      <c r="D3899" s="65">
        <v>6649.0</v>
      </c>
      <c r="E3899" s="445" t="s">
        <v>572</v>
      </c>
      <c r="F3899" s="386">
        <v>2.0</v>
      </c>
      <c r="G3899" s="74">
        <v>1345000.0</v>
      </c>
      <c r="H3899" s="74">
        <v>0.0</v>
      </c>
      <c r="I3899" s="74">
        <f t="shared" si="1"/>
        <v>2690000</v>
      </c>
      <c r="J3899" s="74">
        <f>IF(E3899="SERVICE",I3899-(I3899*50%),Vlookup(E3899,DATABASE!C:Q,10,false)*F3899)</f>
        <v>0</v>
      </c>
      <c r="K3899" s="74">
        <f>VLOOKUP(E3899,DATABASE!C:Q,7,false)</f>
        <v>1265000</v>
      </c>
      <c r="L3899" s="74">
        <v>1245000.0</v>
      </c>
      <c r="M3899" s="74">
        <f t="shared" si="2"/>
        <v>1245000</v>
      </c>
      <c r="N3899" s="74">
        <f t="shared" si="3"/>
        <v>200000</v>
      </c>
      <c r="O3899" s="65" t="str">
        <f>VLOOKUP(E3899,DATABASE!C:Q,8,false)</f>
        <v>IBU</v>
      </c>
      <c r="P3899" s="65">
        <f>VLOOKUP(E3899,DATABASE!C:Q,9,False)</f>
        <v>1</v>
      </c>
      <c r="Q3899" s="93" t="str">
        <f>VLOOKUP(E3899,DATABASE!C:Q,4,false)</f>
        <v>Bridgestone</v>
      </c>
      <c r="R3899" s="93" t="str">
        <f>VLOOKUP(E3899,DATABASE!C:Q,11,false)</f>
        <v>Tire</v>
      </c>
    </row>
    <row r="3900" ht="22.5" customHeight="1">
      <c r="A3900" s="49"/>
      <c r="C3900" s="384">
        <v>45866.0</v>
      </c>
      <c r="D3900" s="65">
        <v>6649.0</v>
      </c>
      <c r="E3900" s="445" t="s">
        <v>255</v>
      </c>
      <c r="F3900" s="386">
        <v>1.0</v>
      </c>
      <c r="G3900" s="74">
        <v>200000.0</v>
      </c>
      <c r="H3900" s="74">
        <v>0.0</v>
      </c>
      <c r="I3900" s="74">
        <f t="shared" si="1"/>
        <v>200000</v>
      </c>
      <c r="J3900" s="74">
        <f>IF(E3900="SERVICE",I3900-(I3900*50%),Vlookup(E3900,DATABASE!C:Q,10,false)*F3900)</f>
        <v>0</v>
      </c>
      <c r="K3900" s="74">
        <f>VLOOKUP(E3900,DATABASE!C:Q,7,false)</f>
        <v>161840</v>
      </c>
      <c r="L3900" s="74">
        <v>161840.0</v>
      </c>
      <c r="M3900" s="74">
        <f t="shared" si="2"/>
        <v>165000</v>
      </c>
      <c r="N3900" s="74">
        <f t="shared" si="3"/>
        <v>35000</v>
      </c>
      <c r="O3900" s="65" t="str">
        <f>VLOOKUP(E3900,DATABASE!C:Q,8,false)</f>
        <v>BIAN</v>
      </c>
      <c r="P3900" s="65">
        <f>VLOOKUP(E3900,DATABASE!C:Q,9,False)</f>
        <v>1</v>
      </c>
      <c r="Q3900" s="93" t="str">
        <f>VLOOKUP(E3900,DATABASE!C:Q,4,false)</f>
        <v>BD</v>
      </c>
      <c r="R3900" s="93" t="str">
        <f>VLOOKUP(E3900,DATABASE!C:Q,11,false)</f>
        <v>Tire</v>
      </c>
    </row>
    <row r="3901" ht="22.5" customHeight="1">
      <c r="A3901" s="49"/>
      <c r="C3901" s="384">
        <v>45866.0</v>
      </c>
      <c r="D3901" s="65">
        <v>6649.0</v>
      </c>
      <c r="E3901" s="445" t="s">
        <v>284</v>
      </c>
      <c r="F3901" s="386">
        <v>2.0</v>
      </c>
      <c r="G3901" s="74">
        <v>60000.0</v>
      </c>
      <c r="H3901" s="74">
        <v>0.0</v>
      </c>
      <c r="I3901" s="74">
        <f t="shared" si="1"/>
        <v>120000</v>
      </c>
      <c r="J3901" s="74">
        <f>IF(E3901="SERVICE",I3901-(I3901*50%),Vlookup(E3901,DATABASE!C:Q,10,false)*F3901)</f>
        <v>0</v>
      </c>
      <c r="K3901" s="74">
        <f>VLOOKUP(E3901,DATABASE!C:Q,7,false)</f>
        <v>36630</v>
      </c>
      <c r="L3901" s="74">
        <v>36630.0</v>
      </c>
      <c r="M3901" s="74">
        <f t="shared" si="2"/>
        <v>40000</v>
      </c>
      <c r="N3901" s="74">
        <f t="shared" si="3"/>
        <v>40000</v>
      </c>
      <c r="O3901" s="65" t="str">
        <f>VLOOKUP(E3901,DATABASE!C:Q,8,false)</f>
        <v>BIAN</v>
      </c>
      <c r="P3901" s="65">
        <f>VLOOKUP(E3901,DATABASE!C:Q,9,False)</f>
        <v>1</v>
      </c>
      <c r="Q3901" s="93" t="str">
        <f>VLOOKUP(E3901,DATABASE!C:Q,4,false)</f>
        <v>Flap</v>
      </c>
      <c r="R3901" s="93" t="str">
        <f>VLOOKUP(E3901,DATABASE!C:Q,11,false)</f>
        <v>Tire</v>
      </c>
    </row>
    <row r="3902" ht="22.5" customHeight="1">
      <c r="A3902" s="49"/>
      <c r="C3902" s="384">
        <v>45867.0</v>
      </c>
      <c r="D3902" s="65">
        <v>6650.0</v>
      </c>
      <c r="E3902" s="445" t="s">
        <v>275</v>
      </c>
      <c r="F3902" s="386">
        <v>1.0</v>
      </c>
      <c r="G3902" s="74">
        <v>850000.0</v>
      </c>
      <c r="H3902" s="74">
        <v>0.0</v>
      </c>
      <c r="I3902" s="74">
        <f t="shared" si="1"/>
        <v>850000</v>
      </c>
      <c r="J3902" s="74">
        <f>IF(E3902="SERVICE",I3902-(I3902*50%),Vlookup(E3902,DATABASE!C:Q,10,false)*F3902)</f>
        <v>0</v>
      </c>
      <c r="K3902" s="74">
        <f>VLOOKUP(E3902,DATABASE!C:Q,7,false)</f>
        <v>782000</v>
      </c>
      <c r="L3902" s="74">
        <v>745000.0</v>
      </c>
      <c r="M3902" s="74">
        <f t="shared" si="2"/>
        <v>745000</v>
      </c>
      <c r="N3902" s="74">
        <f t="shared" si="3"/>
        <v>105000</v>
      </c>
      <c r="O3902" s="65" t="str">
        <f>VLOOKUP(E3902,DATABASE!C:Q,8,false)</f>
        <v>IBU</v>
      </c>
      <c r="P3902" s="65">
        <f>VLOOKUP(E3902,DATABASE!C:Q,9,False)</f>
        <v>1</v>
      </c>
      <c r="Q3902" s="93" t="str">
        <f>VLOOKUP(E3902,DATABASE!C:Q,4,false)</f>
        <v>Dunlop</v>
      </c>
      <c r="R3902" s="93" t="str">
        <f>VLOOKUP(E3902,DATABASE!C:Q,11,false)</f>
        <v>Tire</v>
      </c>
    </row>
    <row r="3903" ht="22.5" customHeight="1">
      <c r="A3903" s="49"/>
      <c r="C3903" s="384">
        <v>45867.0</v>
      </c>
      <c r="D3903" s="65">
        <v>6650.0</v>
      </c>
      <c r="E3903" s="445" t="s">
        <v>604</v>
      </c>
      <c r="F3903" s="386">
        <v>1.0</v>
      </c>
      <c r="G3903" s="74">
        <v>160000.0</v>
      </c>
      <c r="H3903" s="74">
        <v>0.0</v>
      </c>
      <c r="I3903" s="74">
        <f t="shared" si="1"/>
        <v>160000</v>
      </c>
      <c r="J3903" s="74">
        <f>IF(E3903="SERVICE",I3903-(I3903*50%),Vlookup(E3903,DATABASE!C:Q,10,false)*F3903)</f>
        <v>0</v>
      </c>
      <c r="K3903" s="74">
        <f>VLOOKUP(E3903,DATABASE!C:Q,7,false)</f>
        <v>124000</v>
      </c>
      <c r="L3903" s="74">
        <v>124000.0</v>
      </c>
      <c r="M3903" s="74">
        <f t="shared" si="2"/>
        <v>125000</v>
      </c>
      <c r="N3903" s="74">
        <f t="shared" si="3"/>
        <v>35000</v>
      </c>
      <c r="O3903" s="65" t="str">
        <f>VLOOKUP(E3903,DATABASE!C:Q,8,false)</f>
        <v>BIAN</v>
      </c>
      <c r="P3903" s="65">
        <f>VLOOKUP(E3903,DATABASE!C:Q,9,False)</f>
        <v>1</v>
      </c>
      <c r="Q3903" s="93" t="str">
        <f>VLOOKUP(E3903,DATABASE!C:Q,4,false)</f>
        <v>BD</v>
      </c>
      <c r="R3903" s="93" t="str">
        <f>VLOOKUP(E3903,DATABASE!C:Q,11,false)</f>
        <v>Tire</v>
      </c>
    </row>
    <row r="3904" ht="22.5" customHeight="1">
      <c r="A3904" s="49"/>
      <c r="C3904" s="384">
        <v>45867.0</v>
      </c>
      <c r="D3904" s="65">
        <v>6651.0</v>
      </c>
      <c r="E3904" s="445" t="s">
        <v>627</v>
      </c>
      <c r="F3904" s="386">
        <v>1.0</v>
      </c>
      <c r="G3904" s="74">
        <v>980000.0</v>
      </c>
      <c r="H3904" s="74">
        <v>0.0</v>
      </c>
      <c r="I3904" s="74">
        <f t="shared" si="1"/>
        <v>980000</v>
      </c>
      <c r="J3904" s="74">
        <f>IF(E3904="SERVICE",I3904-(I3904*50%),Vlookup(E3904,DATABASE!C:Q,10,false)*F3904)</f>
        <v>0</v>
      </c>
      <c r="K3904" s="74">
        <f>VLOOKUP(E3904,DATABASE!C:Q,7,false)</f>
        <v>879567</v>
      </c>
      <c r="L3904" s="74">
        <v>884979.0</v>
      </c>
      <c r="M3904" s="74">
        <f t="shared" si="2"/>
        <v>885000</v>
      </c>
      <c r="N3904" s="74">
        <f t="shared" si="3"/>
        <v>95000</v>
      </c>
      <c r="O3904" s="65" t="str">
        <f>VLOOKUP(E3904,DATABASE!C:Q,8,false)</f>
        <v>IBU</v>
      </c>
      <c r="P3904" s="65">
        <f>VLOOKUP(E3904,DATABASE!C:Q,9,False)</f>
        <v>1</v>
      </c>
      <c r="Q3904" s="93" t="str">
        <f>VLOOKUP(E3904,DATABASE!C:Q,4,false)</f>
        <v>Bridgestone</v>
      </c>
      <c r="R3904" s="93" t="str">
        <f>VLOOKUP(E3904,DATABASE!C:Q,11,false)</f>
        <v>Tire</v>
      </c>
    </row>
    <row r="3905" ht="22.5" customHeight="1">
      <c r="A3905" s="49"/>
      <c r="C3905" s="384">
        <v>45867.0</v>
      </c>
      <c r="D3905" s="65">
        <v>6651.0</v>
      </c>
      <c r="E3905" s="385" t="s">
        <v>299</v>
      </c>
      <c r="F3905" s="386">
        <v>1.0</v>
      </c>
      <c r="G3905" s="74">
        <v>30000.0</v>
      </c>
      <c r="H3905" s="74">
        <v>0.0</v>
      </c>
      <c r="I3905" s="74">
        <f t="shared" si="1"/>
        <v>30000</v>
      </c>
      <c r="J3905" s="74">
        <f>IF(E3905="SERVICE",I3905-(I3905*50%),Vlookup(E3905,DATABASE!C:Q,10,false)*F3905)</f>
        <v>0</v>
      </c>
      <c r="K3905" s="74">
        <v>0.0</v>
      </c>
      <c r="L3905" s="74">
        <v>0.0</v>
      </c>
      <c r="M3905" s="74">
        <f t="shared" si="2"/>
        <v>0</v>
      </c>
      <c r="N3905" s="74">
        <f t="shared" si="3"/>
        <v>30000</v>
      </c>
      <c r="O3905" s="65" t="str">
        <f>VLOOKUP(E3905,DATABASE!C:Q,8,false)</f>
        <v>BIAN</v>
      </c>
      <c r="P3905" s="65">
        <f>VLOOKUP(E3905,DATABASE!C:Q,9,False)</f>
        <v>0</v>
      </c>
      <c r="Q3905" s="93" t="str">
        <f>VLOOKUP(E3905,DATABASE!C:Q,4,false)</f>
        <v>Balancing</v>
      </c>
      <c r="R3905" s="93" t="str">
        <f>VLOOKUP(E3905,DATABASE!C:Q,11,false)</f>
        <v>COMPLEMENTARY</v>
      </c>
    </row>
    <row r="3906" ht="22.5" customHeight="1">
      <c r="A3906" s="49"/>
      <c r="C3906" s="384">
        <v>45867.0</v>
      </c>
      <c r="D3906" s="65">
        <v>6652.0</v>
      </c>
      <c r="E3906" s="445" t="s">
        <v>268</v>
      </c>
      <c r="F3906" s="386">
        <v>2.0</v>
      </c>
      <c r="G3906" s="74">
        <v>720000.0</v>
      </c>
      <c r="H3906" s="74">
        <v>0.0</v>
      </c>
      <c r="I3906" s="74">
        <f t="shared" si="1"/>
        <v>1440000</v>
      </c>
      <c r="J3906" s="74">
        <f>IF(E3906="SERVICE",I3906-(I3906*50%),Vlookup(E3906,DATABASE!C:Q,10,false)*F3906)</f>
        <v>0</v>
      </c>
      <c r="K3906" s="74">
        <f>VLOOKUP(E3906,DATABASE!C:Q,7,false)</f>
        <v>653000</v>
      </c>
      <c r="L3906" s="74">
        <v>622000.0</v>
      </c>
      <c r="M3906" s="74">
        <f t="shared" si="2"/>
        <v>625000</v>
      </c>
      <c r="N3906" s="74">
        <f t="shared" si="3"/>
        <v>190000</v>
      </c>
      <c r="O3906" s="65" t="str">
        <f>VLOOKUP(E3906,DATABASE!C:Q,8,false)</f>
        <v>IBU</v>
      </c>
      <c r="P3906" s="65">
        <f>VLOOKUP(E3906,DATABASE!C:Q,9,False)</f>
        <v>1</v>
      </c>
      <c r="Q3906" s="93" t="str">
        <f>VLOOKUP(E3906,DATABASE!C:Q,4,false)</f>
        <v>Dunlop</v>
      </c>
      <c r="R3906" s="93" t="str">
        <f>VLOOKUP(E3906,DATABASE!C:Q,11,false)</f>
        <v>Tire</v>
      </c>
    </row>
    <row r="3907" ht="22.5" customHeight="1">
      <c r="A3907" s="49"/>
      <c r="C3907" s="384">
        <v>45867.0</v>
      </c>
      <c r="D3907" s="65">
        <v>6653.0</v>
      </c>
      <c r="E3907" s="445" t="s">
        <v>605</v>
      </c>
      <c r="F3907" s="386">
        <v>2.0</v>
      </c>
      <c r="G3907" s="74">
        <v>760000.0</v>
      </c>
      <c r="H3907" s="74">
        <v>0.0</v>
      </c>
      <c r="I3907" s="74">
        <f t="shared" si="1"/>
        <v>1520000</v>
      </c>
      <c r="J3907" s="74">
        <f>IF(E3907="SERVICE",I3907-(I3907*50%),Vlookup(E3907,DATABASE!C:Q,10,false)*F3907)</f>
        <v>0</v>
      </c>
      <c r="K3907" s="74">
        <v>670000.0</v>
      </c>
      <c r="L3907" s="74">
        <v>670000.0</v>
      </c>
      <c r="M3907" s="74">
        <f t="shared" si="2"/>
        <v>670000</v>
      </c>
      <c r="N3907" s="74">
        <f t="shared" si="3"/>
        <v>180000</v>
      </c>
      <c r="O3907" s="65" t="str">
        <f>VLOOKUP(E3907,DATABASE!C:Q,8,false)</f>
        <v>IBU</v>
      </c>
      <c r="P3907" s="65">
        <f>VLOOKUP(E3907,DATABASE!C:Q,9,False)</f>
        <v>1</v>
      </c>
      <c r="Q3907" s="93" t="str">
        <f>VLOOKUP(E3907,DATABASE!C:Q,4,false)</f>
        <v>Bridgestone</v>
      </c>
      <c r="R3907" s="93" t="str">
        <f>VLOOKUP(E3907,DATABASE!C:Q,11,false)</f>
        <v>Tire</v>
      </c>
    </row>
    <row r="3908" ht="22.5" customHeight="1">
      <c r="A3908" s="49"/>
      <c r="C3908" s="384">
        <v>45867.0</v>
      </c>
      <c r="D3908" s="65">
        <v>6654.0</v>
      </c>
      <c r="E3908" s="445" t="s">
        <v>1784</v>
      </c>
      <c r="F3908" s="386">
        <v>2.0</v>
      </c>
      <c r="G3908" s="74">
        <v>620000.0</v>
      </c>
      <c r="H3908" s="74">
        <v>0.0</v>
      </c>
      <c r="I3908" s="74">
        <f t="shared" si="1"/>
        <v>1240000</v>
      </c>
      <c r="J3908" s="74">
        <f>IF(E3908="SERVICE",I3908-(I3908*50%),Vlookup(E3908,DATABASE!C:Q,10,false)*F3908)</f>
        <v>0</v>
      </c>
      <c r="K3908" s="74">
        <f>VLOOKUP(E3908,DATABASE!C:Q,7,false)</f>
        <v>530580</v>
      </c>
      <c r="L3908" s="74">
        <v>530580.0</v>
      </c>
      <c r="M3908" s="74">
        <f t="shared" si="2"/>
        <v>535000</v>
      </c>
      <c r="N3908" s="74">
        <f t="shared" si="3"/>
        <v>170000</v>
      </c>
      <c r="O3908" s="65" t="str">
        <f>VLOOKUP(E3908,DATABASE!C:Q,8,false)</f>
        <v>BIAN</v>
      </c>
      <c r="P3908" s="65">
        <f>VLOOKUP(E3908,DATABASE!C:Q,9,False)</f>
        <v>1</v>
      </c>
      <c r="Q3908" s="93" t="str">
        <f>VLOOKUP(E3908,DATABASE!C:Q,4,false)</f>
        <v>Forceum</v>
      </c>
      <c r="R3908" s="93" t="str">
        <f>VLOOKUP(E3908,DATABASE!C:Q,11,false)</f>
        <v>Tire</v>
      </c>
    </row>
    <row r="3909" ht="22.5" customHeight="1">
      <c r="A3909" s="49"/>
      <c r="C3909" s="384">
        <v>45867.0</v>
      </c>
      <c r="D3909" s="65">
        <v>6654.0</v>
      </c>
      <c r="E3909" s="385" t="s">
        <v>299</v>
      </c>
      <c r="F3909" s="386">
        <v>2.0</v>
      </c>
      <c r="G3909" s="74">
        <v>30000.0</v>
      </c>
      <c r="H3909" s="74">
        <v>0.0</v>
      </c>
      <c r="I3909" s="74">
        <f t="shared" si="1"/>
        <v>60000</v>
      </c>
      <c r="J3909" s="74">
        <f>IF(E3909="SERVICE",I3909-(I3909*50%),Vlookup(E3909,DATABASE!C:Q,10,false)*F3909)</f>
        <v>0</v>
      </c>
      <c r="K3909" s="74">
        <v>0.0</v>
      </c>
      <c r="L3909" s="74">
        <v>0.0</v>
      </c>
      <c r="M3909" s="74">
        <f t="shared" si="2"/>
        <v>0</v>
      </c>
      <c r="N3909" s="74">
        <f t="shared" si="3"/>
        <v>60000</v>
      </c>
      <c r="O3909" s="65" t="str">
        <f>VLOOKUP(E3909,DATABASE!C:Q,8,false)</f>
        <v>BIAN</v>
      </c>
      <c r="P3909" s="65">
        <f>VLOOKUP(E3909,DATABASE!C:Q,9,False)</f>
        <v>0</v>
      </c>
      <c r="Q3909" s="93" t="str">
        <f>VLOOKUP(E3909,DATABASE!C:Q,4,false)</f>
        <v>Balancing</v>
      </c>
      <c r="R3909" s="93" t="str">
        <f>VLOOKUP(E3909,DATABASE!C:Q,11,false)</f>
        <v>COMPLEMENTARY</v>
      </c>
    </row>
    <row r="3910" ht="22.5" customHeight="1">
      <c r="A3910" s="49"/>
      <c r="C3910" s="384">
        <v>45867.0</v>
      </c>
      <c r="D3910" s="65">
        <v>6655.0</v>
      </c>
      <c r="E3910" s="445" t="s">
        <v>262</v>
      </c>
      <c r="F3910" s="386">
        <v>1.0</v>
      </c>
      <c r="G3910" s="74">
        <v>110000.0</v>
      </c>
      <c r="H3910" s="74">
        <v>0.0</v>
      </c>
      <c r="I3910" s="74">
        <f t="shared" si="1"/>
        <v>110000</v>
      </c>
      <c r="J3910" s="74">
        <f>IF(E3910="SERVICE",I3910-(I3910*50%),Vlookup(E3910,DATABASE!C:Q,10,false)*F3910)</f>
        <v>5000</v>
      </c>
      <c r="K3910" s="74">
        <f>VLOOKUP(E3910,DATABASE!C:Q,7,false)</f>
        <v>0</v>
      </c>
      <c r="L3910" s="74">
        <v>0.0</v>
      </c>
      <c r="M3910" s="74">
        <f t="shared" si="2"/>
        <v>0</v>
      </c>
      <c r="N3910" s="74">
        <f t="shared" si="3"/>
        <v>105000</v>
      </c>
      <c r="O3910" s="65" t="str">
        <f>VLOOKUP(E3910,DATABASE!C:Q,8,false)</f>
        <v>IBU</v>
      </c>
      <c r="P3910" s="65">
        <f>VLOOKUP(E3910,DATABASE!C:Q,9,False)</f>
        <v>0</v>
      </c>
      <c r="Q3910" s="93" t="str">
        <f>VLOOKUP(E3910,DATABASE!C:Q,4,false)</f>
        <v>SPOORING SS/CARRY LOS BAK</v>
      </c>
      <c r="R3910" s="93" t="str">
        <f>VLOOKUP(E3910,DATABASE!C:Q,11,false)</f>
        <v>SERVICE</v>
      </c>
    </row>
    <row r="3911" ht="22.5" customHeight="1">
      <c r="A3911" s="49"/>
      <c r="C3911" s="384">
        <v>45867.0</v>
      </c>
      <c r="D3911" s="65">
        <v>6656.0</v>
      </c>
      <c r="E3911" s="445" t="s">
        <v>572</v>
      </c>
      <c r="F3911" s="386">
        <v>2.0</v>
      </c>
      <c r="G3911" s="74">
        <v>1345000.0</v>
      </c>
      <c r="H3911" s="74">
        <v>0.0</v>
      </c>
      <c r="I3911" s="74">
        <f t="shared" si="1"/>
        <v>2690000</v>
      </c>
      <c r="J3911" s="74">
        <f>IF(E3911="SERVICE",I3911-(I3911*50%),Vlookup(E3911,DATABASE!C:Q,10,false)*F3911)</f>
        <v>0</v>
      </c>
      <c r="K3911" s="74">
        <f>VLOOKUP(E3911,DATABASE!C:Q,7,false)</f>
        <v>1265000</v>
      </c>
      <c r="L3911" s="74">
        <v>1245000.0</v>
      </c>
      <c r="M3911" s="74">
        <f t="shared" si="2"/>
        <v>1245000</v>
      </c>
      <c r="N3911" s="74">
        <f t="shared" si="3"/>
        <v>200000</v>
      </c>
      <c r="O3911" s="65" t="str">
        <f>VLOOKUP(E3911,DATABASE!C:Q,8,false)</f>
        <v>IBU</v>
      </c>
      <c r="P3911" s="65">
        <f>VLOOKUP(E3911,DATABASE!C:Q,9,False)</f>
        <v>1</v>
      </c>
      <c r="Q3911" s="93" t="str">
        <f>VLOOKUP(E3911,DATABASE!C:Q,4,false)</f>
        <v>Bridgestone</v>
      </c>
      <c r="R3911" s="93" t="str">
        <f>VLOOKUP(E3911,DATABASE!C:Q,11,false)</f>
        <v>Tire</v>
      </c>
    </row>
    <row r="3912" ht="22.5" customHeight="1">
      <c r="A3912" s="49"/>
      <c r="C3912" s="384">
        <v>45867.0</v>
      </c>
      <c r="D3912" s="65">
        <v>6657.0</v>
      </c>
      <c r="E3912" s="445" t="s">
        <v>262</v>
      </c>
      <c r="F3912" s="386">
        <v>1.0</v>
      </c>
      <c r="G3912" s="74">
        <v>110000.0</v>
      </c>
      <c r="H3912" s="74">
        <v>0.0</v>
      </c>
      <c r="I3912" s="74">
        <f t="shared" si="1"/>
        <v>110000</v>
      </c>
      <c r="J3912" s="74">
        <f>IF(E3912="SERVICE",I3912-(I3912*50%),Vlookup(E3912,DATABASE!C:Q,10,false)*F3912)</f>
        <v>5000</v>
      </c>
      <c r="K3912" s="74">
        <f>VLOOKUP(E3912,DATABASE!C:Q,7,false)</f>
        <v>0</v>
      </c>
      <c r="L3912" s="74">
        <v>0.0</v>
      </c>
      <c r="M3912" s="74">
        <f t="shared" si="2"/>
        <v>0</v>
      </c>
      <c r="N3912" s="74">
        <f t="shared" si="3"/>
        <v>105000</v>
      </c>
      <c r="O3912" s="65" t="str">
        <f>VLOOKUP(E3912,DATABASE!C:Q,8,false)</f>
        <v>IBU</v>
      </c>
      <c r="P3912" s="65">
        <f>VLOOKUP(E3912,DATABASE!C:Q,9,False)</f>
        <v>0</v>
      </c>
      <c r="Q3912" s="93" t="str">
        <f>VLOOKUP(E3912,DATABASE!C:Q,4,false)</f>
        <v>SPOORING SS/CARRY LOS BAK</v>
      </c>
      <c r="R3912" s="93" t="str">
        <f>VLOOKUP(E3912,DATABASE!C:Q,11,false)</f>
        <v>SERVICE</v>
      </c>
    </row>
    <row r="3913" ht="22.5" customHeight="1">
      <c r="A3913" s="49"/>
      <c r="C3913" s="384">
        <v>45867.0</v>
      </c>
      <c r="D3913" s="65">
        <v>6657.0</v>
      </c>
      <c r="E3913" s="445" t="s">
        <v>478</v>
      </c>
      <c r="F3913" s="386">
        <v>1.0</v>
      </c>
      <c r="G3913" s="74">
        <v>200000.0</v>
      </c>
      <c r="H3913" s="74">
        <v>0.0</v>
      </c>
      <c r="I3913" s="74">
        <f t="shared" si="1"/>
        <v>200000</v>
      </c>
      <c r="J3913" s="74">
        <f>IF(E3913="SERVICE",I3913-(I3913*50%),Vlookup(E3913,DATABASE!C:Q,10,false)*F3913)</f>
        <v>25000</v>
      </c>
      <c r="K3913" s="74">
        <f>VLOOKUP(E3913,DATABASE!C:Q,7,false)</f>
        <v>75000</v>
      </c>
      <c r="L3913" s="74">
        <v>75000.0</v>
      </c>
      <c r="M3913" s="74">
        <f t="shared" si="2"/>
        <v>75000</v>
      </c>
      <c r="N3913" s="74">
        <f t="shared" si="3"/>
        <v>100000</v>
      </c>
      <c r="O3913" s="65" t="str">
        <f>VLOOKUP(E3913,DATABASE!C:Q,8,false)</f>
        <v>BIAN</v>
      </c>
      <c r="P3913" s="65">
        <f>VLOOKUP(E3913,DATABASE!C:Q,9,False)</f>
        <v>0</v>
      </c>
      <c r="Q3913" s="93" t="str">
        <f>VLOOKUP(E3913,DATABASE!C:Q,4,false)</f>
        <v>Baut Camber ss-carry</v>
      </c>
      <c r="R3913" s="93" t="str">
        <f>VLOOKUP(E3913,DATABASE!C:Q,11,false)</f>
        <v>COMPLEMENTARY</v>
      </c>
    </row>
    <row r="3914" ht="22.5" customHeight="1">
      <c r="A3914" s="49"/>
      <c r="C3914" s="384">
        <v>45867.0</v>
      </c>
      <c r="D3914" s="65">
        <v>6658.0</v>
      </c>
      <c r="E3914" s="445" t="s">
        <v>932</v>
      </c>
      <c r="F3914" s="386">
        <v>4.0</v>
      </c>
      <c r="G3914" s="74">
        <v>700000.0</v>
      </c>
      <c r="H3914" s="74">
        <v>0.0</v>
      </c>
      <c r="I3914" s="74">
        <f t="shared" si="1"/>
        <v>2800000</v>
      </c>
      <c r="J3914" s="74">
        <f>IF(E3914="SERVICE",I3914-(I3914*50%),Vlookup(E3914,DATABASE!C:Q,10,false)*F3914)</f>
        <v>0</v>
      </c>
      <c r="K3914" s="74">
        <f>VLOOKUP(E3914,DATABASE!C:Q,7,false)</f>
        <v>601000</v>
      </c>
      <c r="L3914" s="74">
        <v>595000.0</v>
      </c>
      <c r="M3914" s="74">
        <f t="shared" si="2"/>
        <v>595000</v>
      </c>
      <c r="N3914" s="74">
        <f t="shared" si="3"/>
        <v>420000</v>
      </c>
      <c r="O3914" s="65" t="str">
        <f>VLOOKUP(E3914,DATABASE!C:Q,8,false)</f>
        <v>IBU</v>
      </c>
      <c r="P3914" s="65">
        <f>VLOOKUP(E3914,DATABASE!C:Q,9,False)</f>
        <v>1</v>
      </c>
      <c r="Q3914" s="93" t="str">
        <f>VLOOKUP(E3914,DATABASE!C:Q,4,false)</f>
        <v>Dunlop</v>
      </c>
      <c r="R3914" s="93" t="str">
        <f>VLOOKUP(E3914,DATABASE!C:Q,11,false)</f>
        <v>Tire</v>
      </c>
    </row>
    <row r="3915" ht="22.5" customHeight="1">
      <c r="A3915" s="49"/>
      <c r="C3915" s="384">
        <v>45867.0</v>
      </c>
      <c r="D3915" s="65">
        <v>6660.0</v>
      </c>
      <c r="E3915" s="445" t="s">
        <v>268</v>
      </c>
      <c r="F3915" s="386">
        <v>2.0</v>
      </c>
      <c r="G3915" s="74">
        <v>720000.0</v>
      </c>
      <c r="H3915" s="74">
        <v>0.0</v>
      </c>
      <c r="I3915" s="74">
        <f t="shared" si="1"/>
        <v>1440000</v>
      </c>
      <c r="J3915" s="74">
        <f>IF(E3915="SERVICE",I3915-(I3915*50%),Vlookup(E3915,DATABASE!C:Q,10,false)*F3915)</f>
        <v>0</v>
      </c>
      <c r="K3915" s="74">
        <f>VLOOKUP(E3915,DATABASE!C:Q,7,false)</f>
        <v>653000</v>
      </c>
      <c r="L3915" s="74">
        <v>622000.0</v>
      </c>
      <c r="M3915" s="74">
        <f t="shared" si="2"/>
        <v>625000</v>
      </c>
      <c r="N3915" s="74">
        <f t="shared" si="3"/>
        <v>190000</v>
      </c>
      <c r="O3915" s="65" t="str">
        <f>VLOOKUP(E3915,DATABASE!C:Q,8,false)</f>
        <v>IBU</v>
      </c>
      <c r="P3915" s="65">
        <f>VLOOKUP(E3915,DATABASE!C:Q,9,False)</f>
        <v>1</v>
      </c>
      <c r="Q3915" s="93" t="str">
        <f>VLOOKUP(E3915,DATABASE!C:Q,4,false)</f>
        <v>Dunlop</v>
      </c>
      <c r="R3915" s="93" t="str">
        <f>VLOOKUP(E3915,DATABASE!C:Q,11,false)</f>
        <v>Tire</v>
      </c>
    </row>
    <row r="3916" ht="22.5" customHeight="1">
      <c r="A3916" s="49"/>
      <c r="C3916" s="384">
        <v>45867.0</v>
      </c>
      <c r="D3916" s="65">
        <v>6660.0</v>
      </c>
      <c r="E3916" s="445" t="s">
        <v>569</v>
      </c>
      <c r="F3916" s="386">
        <v>2.0</v>
      </c>
      <c r="G3916" s="74">
        <v>80000.0</v>
      </c>
      <c r="H3916" s="74">
        <v>0.0</v>
      </c>
      <c r="I3916" s="74">
        <f t="shared" si="1"/>
        <v>160000</v>
      </c>
      <c r="J3916" s="74">
        <f>IF(E3916="SERVICE",I3916-(I3916*50%),Vlookup(E3916,DATABASE!C:Q,10,false)*F3916)</f>
        <v>0</v>
      </c>
      <c r="K3916" s="74">
        <f>VLOOKUP(E3916,DATABASE!C:Q,7,false)</f>
        <v>45439.582</v>
      </c>
      <c r="L3916" s="74">
        <v>45309.6</v>
      </c>
      <c r="M3916" s="74">
        <f t="shared" si="2"/>
        <v>50000</v>
      </c>
      <c r="N3916" s="74">
        <f t="shared" si="3"/>
        <v>60000</v>
      </c>
      <c r="O3916" s="65" t="str">
        <f>VLOOKUP(E3916,DATABASE!C:Q,8,false)</f>
        <v>BIAN</v>
      </c>
      <c r="P3916" s="65">
        <f>VLOOKUP(E3916,DATABASE!C:Q,9,False)</f>
        <v>1</v>
      </c>
      <c r="Q3916" s="93" t="str">
        <f>VLOOKUP(E3916,DATABASE!C:Q,4,false)</f>
        <v>BD</v>
      </c>
      <c r="R3916" s="93" t="str">
        <f>VLOOKUP(E3916,DATABASE!C:Q,11,false)</f>
        <v>Tire</v>
      </c>
    </row>
    <row r="3917" ht="22.5" customHeight="1">
      <c r="A3917" s="49"/>
      <c r="C3917" s="384">
        <v>45867.0</v>
      </c>
      <c r="D3917" s="65">
        <v>6661.0</v>
      </c>
      <c r="E3917" s="445" t="s">
        <v>839</v>
      </c>
      <c r="F3917" s="386">
        <v>2.0</v>
      </c>
      <c r="G3917" s="74">
        <v>565000.0</v>
      </c>
      <c r="H3917" s="74">
        <v>0.0</v>
      </c>
      <c r="I3917" s="74">
        <f t="shared" si="1"/>
        <v>1130000</v>
      </c>
      <c r="J3917" s="74">
        <f>IF(E3917="SERVICE",I3917-(I3917*50%),Vlookup(E3917,DATABASE!C:Q,10,false)*F3917)</f>
        <v>0</v>
      </c>
      <c r="K3917" s="74">
        <f>VLOOKUP(E3917,DATABASE!C:Q,7,false)</f>
        <v>512640</v>
      </c>
      <c r="L3917" s="74">
        <v>475700.0</v>
      </c>
      <c r="M3917" s="74">
        <f t="shared" si="2"/>
        <v>480000</v>
      </c>
      <c r="N3917" s="74">
        <f t="shared" si="3"/>
        <v>170000</v>
      </c>
      <c r="O3917" s="65" t="str">
        <f>VLOOKUP(E3917,DATABASE!C:Q,8,false)</f>
        <v>BIAN</v>
      </c>
      <c r="P3917" s="65">
        <f>VLOOKUP(E3917,DATABASE!C:Q,9,False)</f>
        <v>1</v>
      </c>
      <c r="Q3917" s="93" t="str">
        <f>VLOOKUP(E3917,DATABASE!C:Q,4,false)</f>
        <v>GT</v>
      </c>
      <c r="R3917" s="93" t="str">
        <f>VLOOKUP(E3917,DATABASE!C:Q,11,false)</f>
        <v>Tire</v>
      </c>
    </row>
    <row r="3918" ht="22.5" customHeight="1">
      <c r="A3918" s="49"/>
      <c r="C3918" s="384">
        <v>45867.0</v>
      </c>
      <c r="D3918" s="65">
        <v>6662.0</v>
      </c>
      <c r="E3918" s="445" t="s">
        <v>1361</v>
      </c>
      <c r="F3918" s="386">
        <v>1.0</v>
      </c>
      <c r="G3918" s="74">
        <v>950000.0</v>
      </c>
      <c r="H3918" s="74">
        <v>0.0</v>
      </c>
      <c r="I3918" s="74">
        <f t="shared" si="1"/>
        <v>950000</v>
      </c>
      <c r="J3918" s="74">
        <f>IF(E3918="SERVICE",I3918-(I3918*50%),Vlookup(E3918,DATABASE!C:Q,10,false)*F3918)</f>
        <v>0</v>
      </c>
      <c r="K3918" s="74">
        <f>VLOOKUP(E3918,DATABASE!C:Q,7,false)</f>
        <v>881000</v>
      </c>
      <c r="L3918" s="74">
        <v>881000.0</v>
      </c>
      <c r="M3918" s="74">
        <f t="shared" si="2"/>
        <v>885000</v>
      </c>
      <c r="N3918" s="74">
        <f t="shared" si="3"/>
        <v>65000</v>
      </c>
      <c r="O3918" s="65" t="str">
        <f>VLOOKUP(E3918,DATABASE!C:Q,8,false)</f>
        <v>IBU</v>
      </c>
      <c r="P3918" s="65">
        <f>VLOOKUP(E3918,DATABASE!C:Q,9,False)</f>
        <v>1</v>
      </c>
      <c r="Q3918" s="93" t="str">
        <f>VLOOKUP(E3918,DATABASE!C:Q,4,false)</f>
        <v>Dunlop</v>
      </c>
      <c r="R3918" s="93" t="str">
        <f>VLOOKUP(E3918,DATABASE!C:Q,11,false)</f>
        <v>Tire</v>
      </c>
    </row>
    <row r="3919" ht="22.5" customHeight="1">
      <c r="A3919" s="49"/>
      <c r="C3919" s="384">
        <v>45867.0</v>
      </c>
      <c r="D3919" s="65">
        <v>6663.0</v>
      </c>
      <c r="E3919" s="445" t="s">
        <v>968</v>
      </c>
      <c r="F3919" s="386">
        <v>2.0</v>
      </c>
      <c r="G3919" s="74">
        <v>675000.0</v>
      </c>
      <c r="H3919" s="74">
        <v>0.0</v>
      </c>
      <c r="I3919" s="74">
        <f t="shared" si="1"/>
        <v>1350000</v>
      </c>
      <c r="J3919" s="74">
        <f>IF(E3919="SERVICE",I3919-(I3919*50%),Vlookup(E3919,DATABASE!C:Q,10,false)*F3919)</f>
        <v>0</v>
      </c>
      <c r="K3919" s="74">
        <f>VLOOKUP(E3919,DATABASE!C:Q,7,false)</f>
        <v>582500</v>
      </c>
      <c r="L3919" s="74">
        <v>582500.0</v>
      </c>
      <c r="M3919" s="74">
        <f t="shared" si="2"/>
        <v>585000</v>
      </c>
      <c r="N3919" s="74">
        <f t="shared" si="3"/>
        <v>180000</v>
      </c>
      <c r="O3919" s="65" t="str">
        <f>VLOOKUP(E3919,DATABASE!C:Q,8,false)</f>
        <v>IBU</v>
      </c>
      <c r="P3919" s="65">
        <f>VLOOKUP(E3919,DATABASE!C:Q,9,False)</f>
        <v>1</v>
      </c>
      <c r="Q3919" s="93" t="str">
        <f>VLOOKUP(E3919,DATABASE!C:Q,4,false)</f>
        <v>Dunlop</v>
      </c>
      <c r="R3919" s="93" t="str">
        <f>VLOOKUP(E3919,DATABASE!C:Q,11,false)</f>
        <v>Tire</v>
      </c>
    </row>
    <row r="3920" ht="22.5" customHeight="1">
      <c r="A3920" s="49"/>
      <c r="C3920" s="384">
        <v>45867.0</v>
      </c>
      <c r="D3920" s="65">
        <v>6664.0</v>
      </c>
      <c r="E3920" s="445" t="s">
        <v>268</v>
      </c>
      <c r="F3920" s="386">
        <v>1.0</v>
      </c>
      <c r="G3920" s="74">
        <v>720000.0</v>
      </c>
      <c r="H3920" s="74">
        <v>0.0</v>
      </c>
      <c r="I3920" s="74">
        <f t="shared" si="1"/>
        <v>720000</v>
      </c>
      <c r="J3920" s="74">
        <f>IF(E3920="SERVICE",I3920-(I3920*50%),Vlookup(E3920,DATABASE!C:Q,10,false)*F3920)</f>
        <v>0</v>
      </c>
      <c r="K3920" s="74">
        <f>VLOOKUP(E3920,DATABASE!C:Q,7,false)</f>
        <v>653000</v>
      </c>
      <c r="L3920" s="74">
        <v>622000.0</v>
      </c>
      <c r="M3920" s="74">
        <f t="shared" si="2"/>
        <v>625000</v>
      </c>
      <c r="N3920" s="74">
        <f t="shared" si="3"/>
        <v>95000</v>
      </c>
      <c r="O3920" s="65" t="str">
        <f>VLOOKUP(E3920,DATABASE!C:Q,8,false)</f>
        <v>IBU</v>
      </c>
      <c r="P3920" s="65">
        <f>VLOOKUP(E3920,DATABASE!C:Q,9,False)</f>
        <v>1</v>
      </c>
      <c r="Q3920" s="93" t="str">
        <f>VLOOKUP(E3920,DATABASE!C:Q,4,false)</f>
        <v>Dunlop</v>
      </c>
      <c r="R3920" s="93" t="str">
        <f>VLOOKUP(E3920,DATABASE!C:Q,11,false)</f>
        <v>Tire</v>
      </c>
    </row>
    <row r="3921" ht="22.5" customHeight="1">
      <c r="A3921" s="49"/>
      <c r="C3921" s="384">
        <v>45867.0</v>
      </c>
      <c r="D3921" s="65">
        <v>6665.0</v>
      </c>
      <c r="E3921" s="445" t="s">
        <v>955</v>
      </c>
      <c r="F3921" s="386">
        <v>2.0</v>
      </c>
      <c r="G3921" s="74">
        <v>780000.0</v>
      </c>
      <c r="H3921" s="74">
        <v>0.0</v>
      </c>
      <c r="I3921" s="74">
        <f t="shared" si="1"/>
        <v>1560000</v>
      </c>
      <c r="J3921" s="74">
        <f>IF(E3921="SERVICE",I3921-(I3921*50%),Vlookup(E3921,DATABASE!C:Q,10,false)*F3921)</f>
        <v>0</v>
      </c>
      <c r="K3921" s="74">
        <f>VLOOKUP(E3921,DATABASE!C:Q,7,false)</f>
        <v>712000</v>
      </c>
      <c r="L3921" s="74">
        <v>674000.0</v>
      </c>
      <c r="M3921" s="74">
        <f t="shared" si="2"/>
        <v>675000</v>
      </c>
      <c r="N3921" s="74">
        <f t="shared" si="3"/>
        <v>210000</v>
      </c>
      <c r="O3921" s="65" t="str">
        <f>VLOOKUP(E3921,DATABASE!C:Q,8,false)</f>
        <v>IBU</v>
      </c>
      <c r="P3921" s="65">
        <f>VLOOKUP(E3921,DATABASE!C:Q,9,False)</f>
        <v>1</v>
      </c>
      <c r="Q3921" s="93" t="str">
        <f>VLOOKUP(E3921,DATABASE!C:Q,4,false)</f>
        <v>Dunlop</v>
      </c>
      <c r="R3921" s="93" t="str">
        <f>VLOOKUP(E3921,DATABASE!C:Q,11,false)</f>
        <v>Tire</v>
      </c>
    </row>
    <row r="3922" ht="22.5" customHeight="1">
      <c r="A3922" s="49"/>
      <c r="C3922" s="384">
        <v>45868.0</v>
      </c>
      <c r="D3922" s="65">
        <v>6666.0</v>
      </c>
      <c r="E3922" s="445" t="s">
        <v>2057</v>
      </c>
      <c r="F3922" s="386">
        <v>1.0</v>
      </c>
      <c r="G3922" s="74">
        <v>660000.0</v>
      </c>
      <c r="H3922" s="74">
        <v>0.0</v>
      </c>
      <c r="I3922" s="74">
        <f t="shared" si="1"/>
        <v>660000</v>
      </c>
      <c r="J3922" s="74">
        <f>IF(E3922="SERVICE",I3922-(I3922*50%),Vlookup(E3922,DATABASE!C:Q,10,false)*F3922)</f>
        <v>0</v>
      </c>
      <c r="K3922" s="74">
        <f>VLOOKUP(E3922,DATABASE!C:Q,7,false)</f>
        <v>565000</v>
      </c>
      <c r="L3922" s="74">
        <v>565000.0</v>
      </c>
      <c r="M3922" s="74">
        <f t="shared" si="2"/>
        <v>565000</v>
      </c>
      <c r="N3922" s="74">
        <f t="shared" si="3"/>
        <v>95000</v>
      </c>
      <c r="O3922" s="65" t="str">
        <f>VLOOKUP(E3922,DATABASE!C:Q,8,false)</f>
        <v>BIAN</v>
      </c>
      <c r="P3922" s="65">
        <f>VLOOKUP(E3922,DATABASE!C:Q,9,False)</f>
        <v>1</v>
      </c>
      <c r="Q3922" s="93" t="str">
        <f>VLOOKUP(E3922,DATABASE!C:Q,4,false)</f>
        <v>Hankook</v>
      </c>
      <c r="R3922" s="93" t="str">
        <f>VLOOKUP(E3922,DATABASE!C:Q,11,false)</f>
        <v>Tire</v>
      </c>
    </row>
    <row r="3923" ht="22.5" customHeight="1">
      <c r="A3923" s="49"/>
      <c r="C3923" s="384">
        <v>45868.0</v>
      </c>
      <c r="D3923" s="65">
        <v>6667.0</v>
      </c>
      <c r="E3923" s="445" t="s">
        <v>1948</v>
      </c>
      <c r="F3923" s="386">
        <v>4.0</v>
      </c>
      <c r="G3923" s="74">
        <v>1035000.0</v>
      </c>
      <c r="H3923" s="74">
        <v>0.0</v>
      </c>
      <c r="I3923" s="74">
        <f t="shared" si="1"/>
        <v>4140000</v>
      </c>
      <c r="J3923" s="74">
        <f>IF(E3923="SERVICE",I3923-(I3923*50%),Vlookup(E3923,DATABASE!C:Q,10,false)*F3923)</f>
        <v>0</v>
      </c>
      <c r="K3923" s="74">
        <f>VLOOKUP(E3923,DATABASE!C:Q,7,false)</f>
        <v>790700</v>
      </c>
      <c r="L3923" s="74">
        <v>790700.0</v>
      </c>
      <c r="M3923" s="74">
        <f t="shared" si="2"/>
        <v>795000</v>
      </c>
      <c r="N3923" s="74">
        <f t="shared" si="3"/>
        <v>960000</v>
      </c>
      <c r="O3923" s="65" t="str">
        <f>VLOOKUP(E3923,DATABASE!C:Q,8,false)</f>
        <v>BIAN</v>
      </c>
      <c r="P3923" s="65">
        <f>VLOOKUP(E3923,DATABASE!C:Q,9,False)</f>
        <v>1</v>
      </c>
      <c r="Q3923" s="93" t="str">
        <f>VLOOKUP(E3923,DATABASE!C:Q,4,false)</f>
        <v>GT</v>
      </c>
      <c r="R3923" s="93" t="str">
        <f>VLOOKUP(E3923,DATABASE!C:Q,11,false)</f>
        <v>Tire</v>
      </c>
    </row>
    <row r="3924" ht="22.5" customHeight="1">
      <c r="A3924" s="49"/>
      <c r="C3924" s="384">
        <v>45868.0</v>
      </c>
      <c r="D3924" s="65">
        <v>6668.0</v>
      </c>
      <c r="E3924" s="445" t="s">
        <v>250</v>
      </c>
      <c r="F3924" s="386">
        <v>1.0</v>
      </c>
      <c r="G3924" s="74">
        <v>135000.0</v>
      </c>
      <c r="H3924" s="74">
        <v>0.0</v>
      </c>
      <c r="I3924" s="74">
        <f t="shared" si="1"/>
        <v>135000</v>
      </c>
      <c r="J3924" s="74">
        <f>IF(E3924="SERVICE",I3924-(I3924*50%),Vlookup(E3924,DATABASE!C:Q,10,false)*F3924)</f>
        <v>0</v>
      </c>
      <c r="K3924" s="74">
        <f>VLOOKUP(E3924,DATABASE!C:Q,7,false)</f>
        <v>102000</v>
      </c>
      <c r="L3924" s="74">
        <v>102000.0</v>
      </c>
      <c r="M3924" s="74">
        <f t="shared" si="2"/>
        <v>105000</v>
      </c>
      <c r="N3924" s="74">
        <f t="shared" si="3"/>
        <v>30000</v>
      </c>
      <c r="O3924" s="65" t="str">
        <f>VLOOKUP(E3924,DATABASE!C:Q,8,false)</f>
        <v>BIAN</v>
      </c>
      <c r="P3924" s="65">
        <f>VLOOKUP(E3924,DATABASE!C:Q,9,False)</f>
        <v>1</v>
      </c>
      <c r="Q3924" s="93" t="str">
        <f>VLOOKUP(E3924,DATABASE!C:Q,4,false)</f>
        <v>BD</v>
      </c>
      <c r="R3924" s="93" t="str">
        <f>VLOOKUP(E3924,DATABASE!C:Q,11,false)</f>
        <v>Tire</v>
      </c>
    </row>
    <row r="3925" ht="22.5" customHeight="1">
      <c r="A3925" s="49"/>
      <c r="C3925" s="384">
        <v>45868.0</v>
      </c>
      <c r="D3925" s="65">
        <v>6669.0</v>
      </c>
      <c r="E3925" s="445" t="s">
        <v>955</v>
      </c>
      <c r="F3925" s="386">
        <v>2.0</v>
      </c>
      <c r="G3925" s="74">
        <v>780000.0</v>
      </c>
      <c r="H3925" s="74">
        <v>0.0</v>
      </c>
      <c r="I3925" s="74">
        <f t="shared" si="1"/>
        <v>1560000</v>
      </c>
      <c r="J3925" s="74">
        <f>IF(E3925="SERVICE",I3925-(I3925*50%),Vlookup(E3925,DATABASE!C:Q,10,false)*F3925)</f>
        <v>0</v>
      </c>
      <c r="K3925" s="74">
        <f>VLOOKUP(E3925,DATABASE!C:Q,7,false)</f>
        <v>712000</v>
      </c>
      <c r="L3925" s="74">
        <v>674000.0</v>
      </c>
      <c r="M3925" s="74">
        <f t="shared" si="2"/>
        <v>675000</v>
      </c>
      <c r="N3925" s="74">
        <f t="shared" si="3"/>
        <v>210000</v>
      </c>
      <c r="O3925" s="65" t="str">
        <f>VLOOKUP(E3925,DATABASE!C:Q,8,false)</f>
        <v>IBU</v>
      </c>
      <c r="P3925" s="65">
        <f>VLOOKUP(E3925,DATABASE!C:Q,9,False)</f>
        <v>1</v>
      </c>
      <c r="Q3925" s="93" t="str">
        <f>VLOOKUP(E3925,DATABASE!C:Q,4,false)</f>
        <v>Dunlop</v>
      </c>
      <c r="R3925" s="93" t="str">
        <f>VLOOKUP(E3925,DATABASE!C:Q,11,false)</f>
        <v>Tire</v>
      </c>
    </row>
    <row r="3926" ht="22.5" customHeight="1">
      <c r="A3926" s="49"/>
      <c r="C3926" s="384">
        <v>45868.0</v>
      </c>
      <c r="D3926" s="65">
        <v>6670.0</v>
      </c>
      <c r="E3926" s="445" t="s">
        <v>955</v>
      </c>
      <c r="F3926" s="386">
        <v>4.0</v>
      </c>
      <c r="G3926" s="74">
        <v>780000.0</v>
      </c>
      <c r="H3926" s="74">
        <v>0.0</v>
      </c>
      <c r="I3926" s="74">
        <f t="shared" si="1"/>
        <v>3120000</v>
      </c>
      <c r="J3926" s="74">
        <f>IF(E3926="SERVICE",I3926-(I3926*50%),Vlookup(E3926,DATABASE!C:Q,10,false)*F3926)</f>
        <v>0</v>
      </c>
      <c r="K3926" s="74">
        <f>VLOOKUP(E3926,DATABASE!C:Q,7,false)</f>
        <v>712000</v>
      </c>
      <c r="L3926" s="74">
        <v>674000.0</v>
      </c>
      <c r="M3926" s="74">
        <f t="shared" si="2"/>
        <v>675000</v>
      </c>
      <c r="N3926" s="74">
        <f t="shared" si="3"/>
        <v>420000</v>
      </c>
      <c r="O3926" s="65" t="str">
        <f>VLOOKUP(E3926,DATABASE!C:Q,8,false)</f>
        <v>IBU</v>
      </c>
      <c r="P3926" s="65">
        <f>VLOOKUP(E3926,DATABASE!C:Q,9,False)</f>
        <v>1</v>
      </c>
      <c r="Q3926" s="93" t="str">
        <f>VLOOKUP(E3926,DATABASE!C:Q,4,false)</f>
        <v>Dunlop</v>
      </c>
      <c r="R3926" s="93" t="str">
        <f>VLOOKUP(E3926,DATABASE!C:Q,11,false)</f>
        <v>Tire</v>
      </c>
    </row>
    <row r="3927" ht="22.5" customHeight="1">
      <c r="A3927" s="49"/>
      <c r="C3927" s="384">
        <v>45868.0</v>
      </c>
      <c r="D3927" s="65">
        <v>6670.0</v>
      </c>
      <c r="E3927" s="385" t="s">
        <v>299</v>
      </c>
      <c r="F3927" s="386">
        <v>2.0</v>
      </c>
      <c r="G3927" s="74">
        <v>30000.0</v>
      </c>
      <c r="H3927" s="74">
        <v>0.0</v>
      </c>
      <c r="I3927" s="74">
        <f t="shared" si="1"/>
        <v>60000</v>
      </c>
      <c r="J3927" s="74">
        <f>IF(E3927="SERVICE",I3927-(I3927*50%),Vlookup(E3927,DATABASE!C:Q,10,false)*F3927)</f>
        <v>0</v>
      </c>
      <c r="K3927" s="74">
        <v>0.0</v>
      </c>
      <c r="L3927" s="74">
        <v>0.0</v>
      </c>
      <c r="M3927" s="74">
        <f t="shared" si="2"/>
        <v>0</v>
      </c>
      <c r="N3927" s="74">
        <f t="shared" si="3"/>
        <v>60000</v>
      </c>
      <c r="O3927" s="65" t="str">
        <f>VLOOKUP(E3927,DATABASE!C:Q,8,false)</f>
        <v>BIAN</v>
      </c>
      <c r="P3927" s="65">
        <f>VLOOKUP(E3927,DATABASE!C:Q,9,False)</f>
        <v>0</v>
      </c>
      <c r="Q3927" s="93" t="str">
        <f>VLOOKUP(E3927,DATABASE!C:Q,4,false)</f>
        <v>Balancing</v>
      </c>
      <c r="R3927" s="93" t="str">
        <f>VLOOKUP(E3927,DATABASE!C:Q,11,false)</f>
        <v>COMPLEMENTARY</v>
      </c>
    </row>
    <row r="3928" ht="22.5" customHeight="1">
      <c r="A3928" s="49"/>
      <c r="C3928" s="384">
        <v>45868.0</v>
      </c>
      <c r="D3928" s="65">
        <v>6670.0</v>
      </c>
      <c r="E3928" s="445" t="s">
        <v>262</v>
      </c>
      <c r="F3928" s="386">
        <v>1.0</v>
      </c>
      <c r="G3928" s="74">
        <v>110000.0</v>
      </c>
      <c r="H3928" s="74">
        <v>0.0</v>
      </c>
      <c r="I3928" s="74">
        <f t="shared" si="1"/>
        <v>110000</v>
      </c>
      <c r="J3928" s="74">
        <f>IF(E3928="SERVICE",I3928-(I3928*50%),Vlookup(E3928,DATABASE!C:Q,10,false)*F3928)</f>
        <v>5000</v>
      </c>
      <c r="K3928" s="74">
        <f>VLOOKUP(E3928,DATABASE!C:Q,7,false)</f>
        <v>0</v>
      </c>
      <c r="L3928" s="74">
        <v>0.0</v>
      </c>
      <c r="M3928" s="74">
        <f t="shared" si="2"/>
        <v>0</v>
      </c>
      <c r="N3928" s="74">
        <f t="shared" si="3"/>
        <v>105000</v>
      </c>
      <c r="O3928" s="65" t="str">
        <f>VLOOKUP(E3928,DATABASE!C:Q,8,false)</f>
        <v>IBU</v>
      </c>
      <c r="P3928" s="65">
        <f>VLOOKUP(E3928,DATABASE!C:Q,9,False)</f>
        <v>0</v>
      </c>
      <c r="Q3928" s="93" t="str">
        <f>VLOOKUP(E3928,DATABASE!C:Q,4,false)</f>
        <v>SPOORING SS/CARRY LOS BAK</v>
      </c>
      <c r="R3928" s="93" t="str">
        <f>VLOOKUP(E3928,DATABASE!C:Q,11,false)</f>
        <v>SERVICE</v>
      </c>
    </row>
    <row r="3929" ht="22.5" customHeight="1">
      <c r="A3929" s="49"/>
      <c r="C3929" s="384">
        <v>45868.0</v>
      </c>
      <c r="D3929" s="65">
        <v>6670.0</v>
      </c>
      <c r="E3929" s="445" t="s">
        <v>251</v>
      </c>
      <c r="F3929" s="386">
        <v>1.0</v>
      </c>
      <c r="G3929" s="74">
        <v>150000.0</v>
      </c>
      <c r="H3929" s="74">
        <v>0.0</v>
      </c>
      <c r="I3929" s="74">
        <f t="shared" si="1"/>
        <v>150000</v>
      </c>
      <c r="J3929" s="74">
        <f>IF(E3929="SERVICE",I3929-(I3929*50%),Vlookup(E3929,DATABASE!C:Q,10,false)*F3929)</f>
        <v>75000</v>
      </c>
      <c r="K3929" s="74">
        <f>VLOOKUP(E3929,DATABASE!C:Q,7,false)</f>
        <v>0</v>
      </c>
      <c r="L3929" s="74">
        <v>0.0</v>
      </c>
      <c r="M3929" s="74">
        <f t="shared" si="2"/>
        <v>0</v>
      </c>
      <c r="N3929" s="74">
        <f t="shared" si="3"/>
        <v>75000</v>
      </c>
      <c r="O3929" s="65" t="str">
        <f>VLOOKUP(E3929,DATABASE!C:Q,8,false)</f>
        <v>IBU</v>
      </c>
      <c r="P3929" s="65">
        <f>VLOOKUP(E3929,DATABASE!C:Q,9,False)</f>
        <v>0</v>
      </c>
      <c r="Q3929" s="93" t="str">
        <f>VLOOKUP(E3929,DATABASE!C:Q,4,false)</f>
        <v>SERVICE</v>
      </c>
      <c r="R3929" s="93" t="str">
        <f>VLOOKUP(E3929,DATABASE!C:Q,11,false)</f>
        <v>SERVICE</v>
      </c>
    </row>
    <row r="3930" ht="22.5" customHeight="1">
      <c r="A3930" s="49"/>
      <c r="C3930" s="384">
        <v>45868.0</v>
      </c>
      <c r="D3930" s="65">
        <v>6671.0</v>
      </c>
      <c r="E3930" s="445" t="s">
        <v>251</v>
      </c>
      <c r="F3930" s="386">
        <v>1.0</v>
      </c>
      <c r="G3930" s="74">
        <v>60000.0</v>
      </c>
      <c r="H3930" s="74">
        <v>0.0</v>
      </c>
      <c r="I3930" s="74">
        <f t="shared" si="1"/>
        <v>60000</v>
      </c>
      <c r="J3930" s="74">
        <f>IF(E3930="SERVICE",I3930-(I3930*50%),Vlookup(E3930,DATABASE!C:Q,10,false)*F3930)</f>
        <v>30000</v>
      </c>
      <c r="K3930" s="74">
        <f>VLOOKUP(E3930,DATABASE!C:Q,7,false)</f>
        <v>0</v>
      </c>
      <c r="L3930" s="74">
        <v>0.0</v>
      </c>
      <c r="M3930" s="74">
        <f t="shared" si="2"/>
        <v>0</v>
      </c>
      <c r="N3930" s="74">
        <f t="shared" si="3"/>
        <v>30000</v>
      </c>
      <c r="O3930" s="65" t="str">
        <f>VLOOKUP(E3930,DATABASE!C:Q,8,false)</f>
        <v>IBU</v>
      </c>
      <c r="P3930" s="65">
        <f>VLOOKUP(E3930,DATABASE!C:Q,9,False)</f>
        <v>0</v>
      </c>
      <c r="Q3930" s="93" t="str">
        <f>VLOOKUP(E3930,DATABASE!C:Q,4,false)</f>
        <v>SERVICE</v>
      </c>
      <c r="R3930" s="93" t="str">
        <f>VLOOKUP(E3930,DATABASE!C:Q,11,false)</f>
        <v>SERVICE</v>
      </c>
    </row>
    <row r="3931" ht="22.5" customHeight="1">
      <c r="A3931" s="49"/>
      <c r="C3931" s="384">
        <v>45868.0</v>
      </c>
      <c r="D3931" s="65">
        <v>6672.0</v>
      </c>
      <c r="E3931" s="445" t="s">
        <v>1237</v>
      </c>
      <c r="F3931" s="386">
        <v>5.0</v>
      </c>
      <c r="G3931" s="74">
        <v>1215000.0</v>
      </c>
      <c r="H3931" s="74">
        <v>0.0</v>
      </c>
      <c r="I3931" s="74">
        <f t="shared" si="1"/>
        <v>6075000</v>
      </c>
      <c r="J3931" s="74">
        <f>IF(E3931="SERVICE",I3931-(I3931*50%),Vlookup(E3931,DATABASE!C:Q,10,false)*F3931)</f>
        <v>0</v>
      </c>
      <c r="K3931" s="74">
        <f>VLOOKUP(E3931,DATABASE!C:Q,7,false)</f>
        <v>1170353.16</v>
      </c>
      <c r="L3931" s="74">
        <v>1113907.2</v>
      </c>
      <c r="M3931" s="74">
        <f t="shared" si="2"/>
        <v>1115000</v>
      </c>
      <c r="N3931" s="74">
        <f t="shared" si="3"/>
        <v>500000</v>
      </c>
      <c r="O3931" s="65" t="str">
        <f>VLOOKUP(E3931,DATABASE!C:Q,8,false)</f>
        <v>IBU</v>
      </c>
      <c r="P3931" s="65">
        <f>VLOOKUP(E3931,DATABASE!C:Q,9,False)</f>
        <v>1</v>
      </c>
      <c r="Q3931" s="93" t="str">
        <f>VLOOKUP(E3931,DATABASE!C:Q,4,false)</f>
        <v>Bridgestone</v>
      </c>
      <c r="R3931" s="93" t="str">
        <f>VLOOKUP(E3931,DATABASE!C:Q,11,false)</f>
        <v>Tire</v>
      </c>
    </row>
    <row r="3932" ht="22.5" customHeight="1">
      <c r="A3932" s="49"/>
      <c r="C3932" s="384">
        <v>45868.0</v>
      </c>
      <c r="D3932" s="65">
        <v>6672.0</v>
      </c>
      <c r="E3932" s="385" t="s">
        <v>299</v>
      </c>
      <c r="F3932" s="386">
        <v>5.0</v>
      </c>
      <c r="G3932" s="74">
        <v>40000.0</v>
      </c>
      <c r="H3932" s="74">
        <v>0.0</v>
      </c>
      <c r="I3932" s="74">
        <f t="shared" si="1"/>
        <v>200000</v>
      </c>
      <c r="J3932" s="74">
        <f>IF(E3932="SERVICE",I3932-(I3932*50%),Vlookup(E3932,DATABASE!C:Q,10,false)*F3932)</f>
        <v>0</v>
      </c>
      <c r="K3932" s="74">
        <v>0.0</v>
      </c>
      <c r="L3932" s="74">
        <v>0.0</v>
      </c>
      <c r="M3932" s="74">
        <f t="shared" si="2"/>
        <v>0</v>
      </c>
      <c r="N3932" s="74">
        <f t="shared" si="3"/>
        <v>200000</v>
      </c>
      <c r="O3932" s="65" t="str">
        <f>VLOOKUP(E3932,DATABASE!C:Q,8,false)</f>
        <v>BIAN</v>
      </c>
      <c r="P3932" s="65">
        <f>VLOOKUP(E3932,DATABASE!C:Q,9,False)</f>
        <v>0</v>
      </c>
      <c r="Q3932" s="93" t="str">
        <f>VLOOKUP(E3932,DATABASE!C:Q,4,false)</f>
        <v>Balancing</v>
      </c>
      <c r="R3932" s="93" t="str">
        <f>VLOOKUP(E3932,DATABASE!C:Q,11,false)</f>
        <v>COMPLEMENTARY</v>
      </c>
    </row>
    <row r="3933" ht="22.5" customHeight="1">
      <c r="A3933" s="49"/>
      <c r="C3933" s="384">
        <v>45868.0</v>
      </c>
      <c r="D3933" s="65">
        <v>6673.0</v>
      </c>
      <c r="E3933" s="445" t="s">
        <v>276</v>
      </c>
      <c r="F3933" s="386">
        <v>4.0</v>
      </c>
      <c r="G3933" s="74">
        <v>710000.0</v>
      </c>
      <c r="H3933" s="74">
        <v>0.0</v>
      </c>
      <c r="I3933" s="74">
        <f t="shared" si="1"/>
        <v>2840000</v>
      </c>
      <c r="J3933" s="74">
        <f>IF(E3933="SERVICE",I3933-(I3933*50%),Vlookup(E3933,DATABASE!C:Q,10,false)*F3933)</f>
        <v>0</v>
      </c>
      <c r="K3933" s="74">
        <f>VLOOKUP(E3933,DATABASE!C:Q,7,false)</f>
        <v>620000</v>
      </c>
      <c r="L3933" s="74">
        <v>607000.0</v>
      </c>
      <c r="M3933" s="74">
        <f t="shared" si="2"/>
        <v>610000</v>
      </c>
      <c r="N3933" s="74">
        <f t="shared" si="3"/>
        <v>400000</v>
      </c>
      <c r="O3933" s="65" t="str">
        <f>VLOOKUP(E3933,DATABASE!C:Q,8,false)</f>
        <v>IBU</v>
      </c>
      <c r="P3933" s="65">
        <f>VLOOKUP(E3933,DATABASE!C:Q,9,False)</f>
        <v>1</v>
      </c>
      <c r="Q3933" s="93" t="str">
        <f>VLOOKUP(E3933,DATABASE!C:Q,4,false)</f>
        <v>Dunlop</v>
      </c>
      <c r="R3933" s="93" t="str">
        <f>VLOOKUP(E3933,DATABASE!C:Q,11,false)</f>
        <v>Tire</v>
      </c>
    </row>
    <row r="3934" ht="22.5" customHeight="1">
      <c r="A3934" s="49"/>
      <c r="C3934" s="384">
        <v>45868.0</v>
      </c>
      <c r="D3934" s="65">
        <v>6673.0</v>
      </c>
      <c r="E3934" s="385" t="s">
        <v>299</v>
      </c>
      <c r="F3934" s="386">
        <v>2.0</v>
      </c>
      <c r="G3934" s="74">
        <v>30000.0</v>
      </c>
      <c r="H3934" s="74">
        <v>0.0</v>
      </c>
      <c r="I3934" s="74">
        <f t="shared" si="1"/>
        <v>60000</v>
      </c>
      <c r="J3934" s="74">
        <f>IF(E3934="SERVICE",I3934-(I3934*50%),Vlookup(E3934,DATABASE!C:Q,10,false)*F3934)</f>
        <v>0</v>
      </c>
      <c r="K3934" s="74">
        <v>0.0</v>
      </c>
      <c r="L3934" s="74">
        <v>0.0</v>
      </c>
      <c r="M3934" s="74">
        <f t="shared" si="2"/>
        <v>0</v>
      </c>
      <c r="N3934" s="74">
        <f t="shared" si="3"/>
        <v>60000</v>
      </c>
      <c r="O3934" s="65" t="str">
        <f>VLOOKUP(E3934,DATABASE!C:Q,8,false)</f>
        <v>BIAN</v>
      </c>
      <c r="P3934" s="65">
        <f>VLOOKUP(E3934,DATABASE!C:Q,9,False)</f>
        <v>0</v>
      </c>
      <c r="Q3934" s="93" t="str">
        <f>VLOOKUP(E3934,DATABASE!C:Q,4,false)</f>
        <v>Balancing</v>
      </c>
      <c r="R3934" s="93" t="str">
        <f>VLOOKUP(E3934,DATABASE!C:Q,11,false)</f>
        <v>COMPLEMENTARY</v>
      </c>
    </row>
    <row r="3935" ht="22.5" customHeight="1">
      <c r="A3935" s="49"/>
      <c r="C3935" s="384">
        <v>45869.0</v>
      </c>
      <c r="D3935" s="65">
        <v>6674.0</v>
      </c>
      <c r="E3935" s="445" t="s">
        <v>591</v>
      </c>
      <c r="F3935" s="386">
        <v>1.0</v>
      </c>
      <c r="G3935" s="74">
        <v>700000.0</v>
      </c>
      <c r="H3935" s="74">
        <v>0.0</v>
      </c>
      <c r="I3935" s="74">
        <f t="shared" si="1"/>
        <v>700000</v>
      </c>
      <c r="J3935" s="74">
        <f>IF(E3935="SERVICE",I3935-(I3935*50%),Vlookup(E3935,DATABASE!C:Q,10,false)*F3935)</f>
        <v>0</v>
      </c>
      <c r="K3935" s="74">
        <f>VLOOKUP(E3935,DATABASE!C:Q,7,false)</f>
        <v>633035.16</v>
      </c>
      <c r="L3935" s="74">
        <v>593488.4</v>
      </c>
      <c r="M3935" s="74">
        <f t="shared" si="2"/>
        <v>595000</v>
      </c>
      <c r="N3935" s="74">
        <f t="shared" si="3"/>
        <v>105000</v>
      </c>
      <c r="O3935" s="65" t="str">
        <f>VLOOKUP(E3935,DATABASE!C:Q,8,false)</f>
        <v>IBU</v>
      </c>
      <c r="P3935" s="65">
        <f>VLOOKUP(E3935,DATABASE!C:Q,9,False)</f>
        <v>1</v>
      </c>
      <c r="Q3935" s="93" t="str">
        <f>VLOOKUP(E3935,DATABASE!C:Q,4,false)</f>
        <v>Bridgestone</v>
      </c>
      <c r="R3935" s="93" t="str">
        <f>VLOOKUP(E3935,DATABASE!C:Q,11,false)</f>
        <v>Tire</v>
      </c>
    </row>
    <row r="3936" ht="22.5" customHeight="1">
      <c r="A3936" s="49"/>
      <c r="C3936" s="384">
        <v>45869.0</v>
      </c>
      <c r="D3936" s="65">
        <v>6675.0</v>
      </c>
      <c r="E3936" s="445" t="s">
        <v>268</v>
      </c>
      <c r="F3936" s="386">
        <v>4.0</v>
      </c>
      <c r="G3936" s="74">
        <v>720000.0</v>
      </c>
      <c r="H3936" s="74">
        <v>0.0</v>
      </c>
      <c r="I3936" s="74">
        <f t="shared" si="1"/>
        <v>2880000</v>
      </c>
      <c r="J3936" s="74">
        <f>IF(E3936="SERVICE",I3936-(I3936*50%),Vlookup(E3936,DATABASE!C:Q,10,false)*F3936)</f>
        <v>0</v>
      </c>
      <c r="K3936" s="74">
        <f>VLOOKUP(E3936,DATABASE!C:Q,7,false)</f>
        <v>653000</v>
      </c>
      <c r="L3936" s="74">
        <v>622000.0</v>
      </c>
      <c r="M3936" s="74">
        <f t="shared" si="2"/>
        <v>625000</v>
      </c>
      <c r="N3936" s="74">
        <f t="shared" si="3"/>
        <v>380000</v>
      </c>
      <c r="O3936" s="65" t="str">
        <f>VLOOKUP(E3936,DATABASE!C:Q,8,false)</f>
        <v>IBU</v>
      </c>
      <c r="P3936" s="65">
        <f>VLOOKUP(E3936,DATABASE!C:Q,9,False)</f>
        <v>1</v>
      </c>
      <c r="Q3936" s="93" t="str">
        <f>VLOOKUP(E3936,DATABASE!C:Q,4,false)</f>
        <v>Dunlop</v>
      </c>
      <c r="R3936" s="93" t="str">
        <f>VLOOKUP(E3936,DATABASE!C:Q,11,false)</f>
        <v>Tire</v>
      </c>
    </row>
    <row r="3937" ht="22.5" customHeight="1">
      <c r="A3937" s="49"/>
      <c r="C3937" s="384">
        <v>45869.0</v>
      </c>
      <c r="D3937" s="65">
        <v>6676.0</v>
      </c>
      <c r="E3937" s="445" t="s">
        <v>268</v>
      </c>
      <c r="F3937" s="386">
        <v>2.0</v>
      </c>
      <c r="G3937" s="74">
        <v>720000.0</v>
      </c>
      <c r="H3937" s="74">
        <v>0.0</v>
      </c>
      <c r="I3937" s="74">
        <f t="shared" si="1"/>
        <v>1440000</v>
      </c>
      <c r="J3937" s="74">
        <f>IF(E3937="SERVICE",I3937-(I3937*50%),Vlookup(E3937,DATABASE!C:Q,10,false)*F3937)</f>
        <v>0</v>
      </c>
      <c r="K3937" s="74">
        <f>VLOOKUP(E3937,DATABASE!C:Q,7,false)</f>
        <v>653000</v>
      </c>
      <c r="L3937" s="74">
        <v>622000.0</v>
      </c>
      <c r="M3937" s="74">
        <f t="shared" si="2"/>
        <v>625000</v>
      </c>
      <c r="N3937" s="74">
        <f t="shared" si="3"/>
        <v>190000</v>
      </c>
      <c r="O3937" s="65" t="str">
        <f>VLOOKUP(E3937,DATABASE!C:Q,8,false)</f>
        <v>IBU</v>
      </c>
      <c r="P3937" s="65">
        <f>VLOOKUP(E3937,DATABASE!C:Q,9,False)</f>
        <v>1</v>
      </c>
      <c r="Q3937" s="93" t="str">
        <f>VLOOKUP(E3937,DATABASE!C:Q,4,false)</f>
        <v>Dunlop</v>
      </c>
      <c r="R3937" s="93" t="str">
        <f>VLOOKUP(E3937,DATABASE!C:Q,11,false)</f>
        <v>Tire</v>
      </c>
    </row>
    <row r="3938" ht="22.5" customHeight="1">
      <c r="A3938" s="49"/>
      <c r="C3938" s="384">
        <v>45869.0</v>
      </c>
      <c r="D3938" s="65">
        <v>6676.0</v>
      </c>
      <c r="E3938" s="445" t="s">
        <v>250</v>
      </c>
      <c r="F3938" s="386">
        <v>1.0</v>
      </c>
      <c r="G3938" s="74">
        <v>135000.0</v>
      </c>
      <c r="H3938" s="74">
        <v>0.0</v>
      </c>
      <c r="I3938" s="74">
        <f t="shared" si="1"/>
        <v>135000</v>
      </c>
      <c r="J3938" s="74">
        <f>IF(E3938="SERVICE",I3938-(I3938*50%),Vlookup(E3938,DATABASE!C:Q,10,false)*F3938)</f>
        <v>0</v>
      </c>
      <c r="K3938" s="74">
        <f>VLOOKUP(E3938,DATABASE!C:Q,7,false)</f>
        <v>102000</v>
      </c>
      <c r="L3938" s="74">
        <v>102000.0</v>
      </c>
      <c r="M3938" s="74">
        <f t="shared" si="2"/>
        <v>105000</v>
      </c>
      <c r="N3938" s="74">
        <f t="shared" si="3"/>
        <v>30000</v>
      </c>
      <c r="O3938" s="65" t="str">
        <f>VLOOKUP(E3938,DATABASE!C:Q,8,false)</f>
        <v>BIAN</v>
      </c>
      <c r="P3938" s="65">
        <f>VLOOKUP(E3938,DATABASE!C:Q,9,False)</f>
        <v>1</v>
      </c>
      <c r="Q3938" s="93" t="str">
        <f>VLOOKUP(E3938,DATABASE!C:Q,4,false)</f>
        <v>BD</v>
      </c>
      <c r="R3938" s="93" t="str">
        <f>VLOOKUP(E3938,DATABASE!C:Q,11,false)</f>
        <v>Tire</v>
      </c>
    </row>
    <row r="3939" ht="22.5" customHeight="1">
      <c r="A3939" s="49"/>
      <c r="C3939" s="384">
        <v>45869.0</v>
      </c>
      <c r="D3939" s="65">
        <v>6677.0</v>
      </c>
      <c r="E3939" s="445" t="s">
        <v>572</v>
      </c>
      <c r="F3939" s="386">
        <v>1.0</v>
      </c>
      <c r="G3939" s="74">
        <v>1365000.0</v>
      </c>
      <c r="H3939" s="74">
        <v>0.0</v>
      </c>
      <c r="I3939" s="74">
        <f t="shared" si="1"/>
        <v>1365000</v>
      </c>
      <c r="J3939" s="74">
        <f>IF(E3939="SERVICE",I3939-(I3939*50%),Vlookup(E3939,DATABASE!C:Q,10,false)*F3939)</f>
        <v>0</v>
      </c>
      <c r="K3939" s="74">
        <f>VLOOKUP(E3939,DATABASE!C:Q,7,false)</f>
        <v>1265000</v>
      </c>
      <c r="L3939" s="74">
        <v>1245000.0</v>
      </c>
      <c r="M3939" s="74">
        <f t="shared" si="2"/>
        <v>1245000</v>
      </c>
      <c r="N3939" s="74">
        <f t="shared" si="3"/>
        <v>120000</v>
      </c>
      <c r="O3939" s="65" t="str">
        <f>VLOOKUP(E3939,DATABASE!C:Q,8,false)</f>
        <v>IBU</v>
      </c>
      <c r="P3939" s="65">
        <f>VLOOKUP(E3939,DATABASE!C:Q,9,False)</f>
        <v>1</v>
      </c>
      <c r="Q3939" s="93" t="str">
        <f>VLOOKUP(E3939,DATABASE!C:Q,4,false)</f>
        <v>Bridgestone</v>
      </c>
      <c r="R3939" s="93" t="str">
        <f>VLOOKUP(E3939,DATABASE!C:Q,11,false)</f>
        <v>Tire</v>
      </c>
    </row>
    <row r="3940" ht="22.5" customHeight="1">
      <c r="A3940" s="49"/>
      <c r="C3940" s="384">
        <v>45869.0</v>
      </c>
      <c r="D3940" s="65">
        <v>6677.0</v>
      </c>
      <c r="E3940" s="445" t="s">
        <v>255</v>
      </c>
      <c r="F3940" s="386">
        <v>1.0</v>
      </c>
      <c r="G3940" s="74">
        <v>200000.0</v>
      </c>
      <c r="H3940" s="74">
        <v>0.0</v>
      </c>
      <c r="I3940" s="74">
        <f t="shared" si="1"/>
        <v>200000</v>
      </c>
      <c r="J3940" s="74">
        <f>IF(E3940="SERVICE",I3940-(I3940*50%),Vlookup(E3940,DATABASE!C:Q,10,false)*F3940)</f>
        <v>0</v>
      </c>
      <c r="K3940" s="74">
        <f>VLOOKUP(E3940,DATABASE!C:Q,7,false)</f>
        <v>161840</v>
      </c>
      <c r="L3940" s="74">
        <v>161840.0</v>
      </c>
      <c r="M3940" s="74">
        <f t="shared" si="2"/>
        <v>165000</v>
      </c>
      <c r="N3940" s="74">
        <f t="shared" si="3"/>
        <v>35000</v>
      </c>
      <c r="O3940" s="65" t="str">
        <f>VLOOKUP(E3940,DATABASE!C:Q,8,false)</f>
        <v>BIAN</v>
      </c>
      <c r="P3940" s="65">
        <f>VLOOKUP(E3940,DATABASE!C:Q,9,False)</f>
        <v>1</v>
      </c>
      <c r="Q3940" s="93" t="str">
        <f>VLOOKUP(E3940,DATABASE!C:Q,4,false)</f>
        <v>BD</v>
      </c>
      <c r="R3940" s="93" t="str">
        <f>VLOOKUP(E3940,DATABASE!C:Q,11,false)</f>
        <v>Tire</v>
      </c>
    </row>
    <row r="3941" ht="22.5" customHeight="1">
      <c r="A3941" s="49"/>
      <c r="C3941" s="384">
        <v>45869.0</v>
      </c>
      <c r="D3941" s="65">
        <v>6677.0</v>
      </c>
      <c r="E3941" s="445" t="s">
        <v>814</v>
      </c>
      <c r="F3941" s="386">
        <v>1.0</v>
      </c>
      <c r="G3941" s="74">
        <v>65000.0</v>
      </c>
      <c r="H3941" s="74">
        <v>0.0</v>
      </c>
      <c r="I3941" s="74">
        <f t="shared" si="1"/>
        <v>65000</v>
      </c>
      <c r="J3941" s="74">
        <f>IF(E3941="SERVICE",I3941-(I3941*50%),Vlookup(E3941,DATABASE!C:Q,10,false)*F3941)</f>
        <v>0</v>
      </c>
      <c r="K3941" s="74">
        <f>VLOOKUP(E3941,DATABASE!C:Q,7,false)</f>
        <v>39440</v>
      </c>
      <c r="L3941" s="74">
        <v>39440.0</v>
      </c>
      <c r="M3941" s="74">
        <f t="shared" si="2"/>
        <v>40000</v>
      </c>
      <c r="N3941" s="74">
        <f t="shared" si="3"/>
        <v>25000</v>
      </c>
      <c r="O3941" s="65" t="str">
        <f>VLOOKUP(E3941,DATABASE!C:Q,8,false)</f>
        <v>BIAN</v>
      </c>
      <c r="P3941" s="65">
        <f>VLOOKUP(E3941,DATABASE!C:Q,9,False)</f>
        <v>1</v>
      </c>
      <c r="Q3941" s="93" t="str">
        <f>VLOOKUP(E3941,DATABASE!C:Q,4,false)</f>
        <v>Flap</v>
      </c>
      <c r="R3941" s="93" t="str">
        <f>VLOOKUP(E3941,DATABASE!C:Q,11,false)</f>
        <v>Tire</v>
      </c>
    </row>
    <row r="3942" ht="22.5" customHeight="1">
      <c r="A3942" s="49"/>
      <c r="C3942" s="384">
        <v>45869.0</v>
      </c>
      <c r="D3942" s="65">
        <v>6678.0</v>
      </c>
      <c r="E3942" s="445" t="s">
        <v>2019</v>
      </c>
      <c r="F3942" s="386">
        <v>1.0</v>
      </c>
      <c r="G3942" s="74">
        <v>685000.0</v>
      </c>
      <c r="H3942" s="74">
        <v>0.0</v>
      </c>
      <c r="I3942" s="74">
        <f t="shared" si="1"/>
        <v>685000</v>
      </c>
      <c r="J3942" s="74">
        <f>IF(E3942="SERVICE",I3942-(I3942*50%),Vlookup(E3942,DATABASE!C:Q,10,false)*F3942)</f>
        <v>0</v>
      </c>
      <c r="K3942" s="74">
        <f>VLOOKUP(E3942,DATABASE!C:Q,7,false)</f>
        <v>620000</v>
      </c>
      <c r="L3942" s="74">
        <v>585000.0</v>
      </c>
      <c r="M3942" s="74">
        <f t="shared" si="2"/>
        <v>585000</v>
      </c>
      <c r="N3942" s="74">
        <f t="shared" si="3"/>
        <v>100000</v>
      </c>
      <c r="O3942" s="65" t="str">
        <f>VLOOKUP(E3942,DATABASE!C:Q,8,false)</f>
        <v>BIAN</v>
      </c>
      <c r="P3942" s="65">
        <f>VLOOKUP(E3942,DATABASE!C:Q,9,False)</f>
        <v>1</v>
      </c>
      <c r="Q3942" s="93" t="str">
        <f>VLOOKUP(E3942,DATABASE!C:Q,4,false)</f>
        <v>GT</v>
      </c>
      <c r="R3942" s="93" t="str">
        <f>VLOOKUP(E3942,DATABASE!C:Q,11,false)</f>
        <v>Tire</v>
      </c>
    </row>
    <row r="3943" ht="22.5" customHeight="1">
      <c r="A3943" s="49"/>
      <c r="C3943" s="384">
        <v>45869.0</v>
      </c>
      <c r="D3943" s="65">
        <v>6679.0</v>
      </c>
      <c r="E3943" s="445" t="s">
        <v>1896</v>
      </c>
      <c r="F3943" s="386">
        <v>1.0</v>
      </c>
      <c r="G3943" s="74">
        <v>625000.0</v>
      </c>
      <c r="H3943" s="74">
        <v>0.0</v>
      </c>
      <c r="I3943" s="74">
        <f t="shared" si="1"/>
        <v>625000</v>
      </c>
      <c r="J3943" s="74">
        <f>IF(E3943="SERVICE",I3943-(I3943*50%),Vlookup(E3943,DATABASE!C:Q,10,false)*F3943)</f>
        <v>0</v>
      </c>
      <c r="K3943" s="74">
        <f>VLOOKUP(E3943,DATABASE!C:Q,7,false)</f>
        <v>575000</v>
      </c>
      <c r="L3943" s="74">
        <v>575000.0</v>
      </c>
      <c r="M3943" s="74">
        <f t="shared" si="2"/>
        <v>575000</v>
      </c>
      <c r="N3943" s="74">
        <f t="shared" si="3"/>
        <v>50000</v>
      </c>
      <c r="O3943" s="65" t="str">
        <f>VLOOKUP(E3943,DATABASE!C:Q,8,false)</f>
        <v>BIAN</v>
      </c>
      <c r="P3943" s="65">
        <f>VLOOKUP(E3943,DATABASE!C:Q,9,False)</f>
        <v>1</v>
      </c>
      <c r="Q3943" s="93" t="str">
        <f>VLOOKUP(E3943,DATABASE!C:Q,4,false)</f>
        <v>GT</v>
      </c>
      <c r="R3943" s="93" t="str">
        <f>VLOOKUP(E3943,DATABASE!C:Q,11,false)</f>
        <v>Tire</v>
      </c>
    </row>
    <row r="3944" ht="22.5" customHeight="1">
      <c r="A3944" s="49"/>
      <c r="C3944" s="384">
        <v>45869.0</v>
      </c>
      <c r="D3944" s="65">
        <v>6680.0</v>
      </c>
      <c r="E3944" s="445" t="s">
        <v>955</v>
      </c>
      <c r="F3944" s="386">
        <v>2.0</v>
      </c>
      <c r="G3944" s="74">
        <v>780000.0</v>
      </c>
      <c r="H3944" s="74">
        <v>0.0</v>
      </c>
      <c r="I3944" s="74">
        <f t="shared" si="1"/>
        <v>1560000</v>
      </c>
      <c r="J3944" s="74">
        <f>IF(E3944="SERVICE",I3944-(I3944*50%),Vlookup(E3944,DATABASE!C:Q,10,false)*F3944)</f>
        <v>0</v>
      </c>
      <c r="K3944" s="74">
        <f>VLOOKUP(E3944,DATABASE!C:Q,7,false)</f>
        <v>712000</v>
      </c>
      <c r="L3944" s="74">
        <v>674000.0</v>
      </c>
      <c r="M3944" s="74">
        <f t="shared" si="2"/>
        <v>675000</v>
      </c>
      <c r="N3944" s="74">
        <f t="shared" si="3"/>
        <v>210000</v>
      </c>
      <c r="O3944" s="65" t="str">
        <f>VLOOKUP(E3944,DATABASE!C:Q,8,false)</f>
        <v>IBU</v>
      </c>
      <c r="P3944" s="65">
        <f>VLOOKUP(E3944,DATABASE!C:Q,9,False)</f>
        <v>1</v>
      </c>
      <c r="Q3944" s="93" t="str">
        <f>VLOOKUP(E3944,DATABASE!C:Q,4,false)</f>
        <v>Dunlop</v>
      </c>
      <c r="R3944" s="93" t="str">
        <f>VLOOKUP(E3944,DATABASE!C:Q,11,false)</f>
        <v>Tire</v>
      </c>
    </row>
    <row r="3945" ht="22.5" customHeight="1">
      <c r="A3945" s="49"/>
      <c r="C3945" s="384">
        <v>45869.0</v>
      </c>
      <c r="D3945" s="65">
        <v>6681.0</v>
      </c>
      <c r="E3945" s="445" t="s">
        <v>791</v>
      </c>
      <c r="F3945" s="386">
        <v>2.0</v>
      </c>
      <c r="G3945" s="74">
        <v>1280000.0</v>
      </c>
      <c r="H3945" s="74">
        <v>0.0</v>
      </c>
      <c r="I3945" s="74">
        <f t="shared" si="1"/>
        <v>2560000</v>
      </c>
      <c r="J3945" s="74">
        <f>IF(E3945="SERVICE",I3945-(I3945*50%),Vlookup(E3945,DATABASE!C:Q,10,false)*F3945)</f>
        <v>0</v>
      </c>
      <c r="K3945" s="74">
        <f>VLOOKUP(E3945,DATABASE!C:Q,7,false)</f>
        <v>1210000</v>
      </c>
      <c r="L3945" s="74">
        <v>1180000.0</v>
      </c>
      <c r="M3945" s="74">
        <f t="shared" si="2"/>
        <v>1180000</v>
      </c>
      <c r="N3945" s="74">
        <f t="shared" si="3"/>
        <v>200000</v>
      </c>
      <c r="O3945" s="65" t="str">
        <f>VLOOKUP(E3945,DATABASE!C:Q,8,false)</f>
        <v>BIAN</v>
      </c>
      <c r="P3945" s="65">
        <f>VLOOKUP(E3945,DATABASE!C:Q,9,False)</f>
        <v>1</v>
      </c>
      <c r="Q3945" s="93" t="str">
        <f>VLOOKUP(E3945,DATABASE!C:Q,4,false)</f>
        <v>GT</v>
      </c>
      <c r="R3945" s="93" t="str">
        <f>VLOOKUP(E3945,DATABASE!C:Q,11,false)</f>
        <v>Tire</v>
      </c>
    </row>
    <row r="3946" ht="22.5" customHeight="1">
      <c r="A3946" s="49"/>
      <c r="C3946" s="384">
        <v>45869.0</v>
      </c>
      <c r="D3946" s="65">
        <v>6681.0</v>
      </c>
      <c r="E3946" s="445" t="s">
        <v>255</v>
      </c>
      <c r="F3946" s="386">
        <v>1.0</v>
      </c>
      <c r="G3946" s="74">
        <v>200000.0</v>
      </c>
      <c r="H3946" s="74">
        <v>0.0</v>
      </c>
      <c r="I3946" s="74">
        <f t="shared" si="1"/>
        <v>200000</v>
      </c>
      <c r="J3946" s="74">
        <f>IF(E3946="SERVICE",I3946-(I3946*50%),Vlookup(E3946,DATABASE!C:Q,10,false)*F3946)</f>
        <v>0</v>
      </c>
      <c r="K3946" s="74">
        <f>VLOOKUP(E3946,DATABASE!C:Q,7,false)</f>
        <v>161840</v>
      </c>
      <c r="L3946" s="74">
        <v>161840.0</v>
      </c>
      <c r="M3946" s="74">
        <f t="shared" si="2"/>
        <v>165000</v>
      </c>
      <c r="N3946" s="74">
        <f t="shared" si="3"/>
        <v>35000</v>
      </c>
      <c r="O3946" s="65" t="str">
        <f>VLOOKUP(E3946,DATABASE!C:Q,8,false)</f>
        <v>BIAN</v>
      </c>
      <c r="P3946" s="65">
        <f>VLOOKUP(E3946,DATABASE!C:Q,9,False)</f>
        <v>1</v>
      </c>
      <c r="Q3946" s="93" t="str">
        <f>VLOOKUP(E3946,DATABASE!C:Q,4,false)</f>
        <v>BD</v>
      </c>
      <c r="R3946" s="93" t="str">
        <f>VLOOKUP(E3946,DATABASE!C:Q,11,false)</f>
        <v>Tire</v>
      </c>
    </row>
    <row r="3947" ht="22.5" customHeight="1">
      <c r="A3947" s="49"/>
      <c r="C3947" s="384">
        <v>45869.0</v>
      </c>
      <c r="D3947" s="65">
        <v>6681.0</v>
      </c>
      <c r="E3947" s="445" t="s">
        <v>814</v>
      </c>
      <c r="F3947" s="386">
        <v>1.0</v>
      </c>
      <c r="G3947" s="74">
        <v>65000.0</v>
      </c>
      <c r="H3947" s="74">
        <v>0.0</v>
      </c>
      <c r="I3947" s="74">
        <f t="shared" si="1"/>
        <v>65000</v>
      </c>
      <c r="J3947" s="74">
        <f>IF(E3947="SERVICE",I3947-(I3947*50%),Vlookup(E3947,DATABASE!C:Q,10,false)*F3947)</f>
        <v>0</v>
      </c>
      <c r="K3947" s="74">
        <f>VLOOKUP(E3947,DATABASE!C:Q,7,false)</f>
        <v>39440</v>
      </c>
      <c r="L3947" s="74">
        <v>39440.0</v>
      </c>
      <c r="M3947" s="74">
        <f t="shared" si="2"/>
        <v>40000</v>
      </c>
      <c r="N3947" s="74">
        <f t="shared" si="3"/>
        <v>25000</v>
      </c>
      <c r="O3947" s="65" t="str">
        <f>VLOOKUP(E3947,DATABASE!C:Q,8,false)</f>
        <v>BIAN</v>
      </c>
      <c r="P3947" s="65">
        <f>VLOOKUP(E3947,DATABASE!C:Q,9,False)</f>
        <v>1</v>
      </c>
      <c r="Q3947" s="93" t="str">
        <f>VLOOKUP(E3947,DATABASE!C:Q,4,false)</f>
        <v>Flap</v>
      </c>
      <c r="R3947" s="93" t="str">
        <f>VLOOKUP(E3947,DATABASE!C:Q,11,false)</f>
        <v>Tire</v>
      </c>
    </row>
    <row r="3948" ht="22.5" customHeight="1">
      <c r="A3948" s="49"/>
      <c r="C3948" s="384">
        <v>45869.0</v>
      </c>
      <c r="D3948" s="65">
        <v>6682.0</v>
      </c>
      <c r="E3948" s="445" t="s">
        <v>256</v>
      </c>
      <c r="F3948" s="386">
        <v>1.0</v>
      </c>
      <c r="G3948" s="74">
        <v>130000.0</v>
      </c>
      <c r="H3948" s="74">
        <v>0.0</v>
      </c>
      <c r="I3948" s="74">
        <f t="shared" si="1"/>
        <v>130000</v>
      </c>
      <c r="J3948" s="74">
        <f>IF(E3948="SERVICE",I3948-(I3948*50%),Vlookup(E3948,DATABASE!C:Q,10,false)*F3948)</f>
        <v>10000</v>
      </c>
      <c r="K3948" s="74">
        <f>VLOOKUP(E3948,DATABASE!C:Q,7,false)</f>
        <v>0</v>
      </c>
      <c r="L3948" s="74">
        <v>0.0</v>
      </c>
      <c r="M3948" s="74">
        <f t="shared" si="2"/>
        <v>0</v>
      </c>
      <c r="N3948" s="74">
        <f t="shared" si="3"/>
        <v>120000</v>
      </c>
      <c r="O3948" s="65" t="str">
        <f>VLOOKUP(E3948,DATABASE!C:Q,8,false)</f>
        <v>IBU</v>
      </c>
      <c r="P3948" s="65">
        <f>VLOOKUP(E3948,DATABASE!C:Q,9,False)</f>
        <v>0</v>
      </c>
      <c r="Q3948" s="93" t="str">
        <f>VLOOKUP(E3948,DATABASE!C:Q,4,false)</f>
        <v>SPOORING</v>
      </c>
      <c r="R3948" s="93" t="str">
        <f>VLOOKUP(E3948,DATABASE!C:Q,11,false)</f>
        <v>SERVICE</v>
      </c>
    </row>
    <row r="3949" ht="22.5" customHeight="1">
      <c r="A3949" s="49"/>
      <c r="C3949" s="384">
        <v>45869.0</v>
      </c>
      <c r="D3949" s="65">
        <v>6682.0</v>
      </c>
      <c r="E3949" s="445" t="s">
        <v>301</v>
      </c>
      <c r="F3949" s="386">
        <v>1.0</v>
      </c>
      <c r="G3949" s="74">
        <v>250000.0</v>
      </c>
      <c r="H3949" s="74">
        <v>0.0</v>
      </c>
      <c r="I3949" s="74">
        <f t="shared" si="1"/>
        <v>250000</v>
      </c>
      <c r="J3949" s="74">
        <f>IF(E3949="SERVICE",I3949-(I3949*50%),Vlookup(E3949,DATABASE!C:Q,10,false)*F3949)</f>
        <v>75000</v>
      </c>
      <c r="K3949" s="74">
        <f>VLOOKUP(E3949,DATABASE!C:Q,7,false)</f>
        <v>75000</v>
      </c>
      <c r="L3949" s="74">
        <v>75000.0</v>
      </c>
      <c r="M3949" s="74">
        <f t="shared" si="2"/>
        <v>75000</v>
      </c>
      <c r="N3949" s="74">
        <f t="shared" si="3"/>
        <v>100000</v>
      </c>
      <c r="O3949" s="65" t="str">
        <f>VLOOKUP(E3949,DATABASE!C:Q,8,false)</f>
        <v>BIAN</v>
      </c>
      <c r="P3949" s="65">
        <f>VLOOKUP(E3949,DATABASE!C:Q,9,False)</f>
        <v>0</v>
      </c>
      <c r="Q3949" s="93" t="str">
        <f>VLOOKUP(E3949,DATABASE!C:Q,4,false)</f>
        <v>Baut Camber</v>
      </c>
      <c r="R3949" s="93" t="str">
        <f>VLOOKUP(E3949,DATABASE!C:Q,11,false)</f>
        <v>COMPLEMENTARY</v>
      </c>
    </row>
    <row r="3950" ht="22.5" customHeight="1">
      <c r="A3950" s="49"/>
      <c r="C3950" s="384">
        <v>45869.0</v>
      </c>
      <c r="D3950" s="65">
        <v>6683.0</v>
      </c>
      <c r="E3950" s="445" t="s">
        <v>932</v>
      </c>
      <c r="F3950" s="386">
        <v>1.0</v>
      </c>
      <c r="G3950" s="74">
        <v>700000.0</v>
      </c>
      <c r="H3950" s="74">
        <v>0.0</v>
      </c>
      <c r="I3950" s="74">
        <f t="shared" si="1"/>
        <v>700000</v>
      </c>
      <c r="J3950" s="74">
        <f>IF(E3950="SERVICE",I3950-(I3950*50%),Vlookup(E3950,DATABASE!C:Q,10,false)*F3950)</f>
        <v>0</v>
      </c>
      <c r="K3950" s="74">
        <f>VLOOKUP(E3950,DATABASE!C:Q,7,false)</f>
        <v>601000</v>
      </c>
      <c r="L3950" s="74">
        <v>595000.0</v>
      </c>
      <c r="M3950" s="74">
        <f t="shared" si="2"/>
        <v>595000</v>
      </c>
      <c r="N3950" s="74">
        <f t="shared" si="3"/>
        <v>105000</v>
      </c>
      <c r="O3950" s="65" t="str">
        <f>VLOOKUP(E3950,DATABASE!C:Q,8,false)</f>
        <v>IBU</v>
      </c>
      <c r="P3950" s="65">
        <f>VLOOKUP(E3950,DATABASE!C:Q,9,False)</f>
        <v>1</v>
      </c>
      <c r="Q3950" s="93" t="str">
        <f>VLOOKUP(E3950,DATABASE!C:Q,4,false)</f>
        <v>Dunlop</v>
      </c>
      <c r="R3950" s="93" t="str">
        <f>VLOOKUP(E3950,DATABASE!C:Q,11,false)</f>
        <v>Tire</v>
      </c>
    </row>
    <row r="3951" ht="22.5" customHeight="1">
      <c r="A3951" s="49"/>
      <c r="C3951" s="384">
        <v>45869.0</v>
      </c>
      <c r="D3951" s="65">
        <v>6684.0</v>
      </c>
      <c r="E3951" s="385" t="s">
        <v>299</v>
      </c>
      <c r="F3951" s="386">
        <v>2.0</v>
      </c>
      <c r="G3951" s="74">
        <v>35000.0</v>
      </c>
      <c r="H3951" s="74">
        <v>0.0</v>
      </c>
      <c r="I3951" s="74">
        <f t="shared" si="1"/>
        <v>70000</v>
      </c>
      <c r="J3951" s="74">
        <f>IF(E3951="SERVICE",I3951-(I3951*50%),Vlookup(E3951,DATABASE!C:Q,10,false)*F3951)</f>
        <v>0</v>
      </c>
      <c r="K3951" s="74">
        <v>0.0</v>
      </c>
      <c r="L3951" s="74">
        <v>0.0</v>
      </c>
      <c r="M3951" s="74">
        <f t="shared" si="2"/>
        <v>0</v>
      </c>
      <c r="N3951" s="74">
        <f t="shared" si="3"/>
        <v>70000</v>
      </c>
      <c r="O3951" s="65" t="str">
        <f>VLOOKUP(E3951,DATABASE!C:Q,8,false)</f>
        <v>BIAN</v>
      </c>
      <c r="P3951" s="65">
        <f>VLOOKUP(E3951,DATABASE!C:Q,9,False)</f>
        <v>0</v>
      </c>
      <c r="Q3951" s="93" t="str">
        <f>VLOOKUP(E3951,DATABASE!C:Q,4,false)</f>
        <v>Balancing</v>
      </c>
      <c r="R3951" s="93" t="str">
        <f>VLOOKUP(E3951,DATABASE!C:Q,11,false)</f>
        <v>COMPLEMENTARY</v>
      </c>
    </row>
    <row r="3952" ht="22.5" customHeight="1">
      <c r="A3952" s="49"/>
      <c r="C3952" s="384">
        <v>45869.0</v>
      </c>
      <c r="D3952" s="65">
        <v>6684.0</v>
      </c>
      <c r="E3952" s="445" t="s">
        <v>878</v>
      </c>
      <c r="F3952" s="386">
        <v>4.0</v>
      </c>
      <c r="G3952" s="74">
        <v>40000.0</v>
      </c>
      <c r="H3952" s="74">
        <v>0.0</v>
      </c>
      <c r="I3952" s="74">
        <f t="shared" si="1"/>
        <v>160000</v>
      </c>
      <c r="J3952" s="74">
        <f>IF(E3952="SERVICE",I3952-(I3952*50%),Vlookup(E3952,DATABASE!C:Q,10,false)*F3952)</f>
        <v>0</v>
      </c>
      <c r="K3952" s="74">
        <f>VLOOKUP(E3952,DATABASE!C:Q,7,false)</f>
        <v>0</v>
      </c>
      <c r="L3952" s="74">
        <v>0.0</v>
      </c>
      <c r="M3952" s="74">
        <f t="shared" si="2"/>
        <v>0</v>
      </c>
      <c r="N3952" s="74">
        <f t="shared" si="3"/>
        <v>160000</v>
      </c>
      <c r="O3952" s="65" t="str">
        <f>VLOOKUP(E3952,DATABASE!C:Q,8,false)</f>
        <v>IBU</v>
      </c>
      <c r="P3952" s="65">
        <f>VLOOKUP(E3952,DATABASE!C:Q,9,False)</f>
        <v>0</v>
      </c>
      <c r="Q3952" s="93" t="str">
        <f>VLOOKUP(E3952,DATABASE!C:Q,4,false)</f>
        <v>Bongkar Pasang 17</v>
      </c>
      <c r="R3952" s="93" t="str">
        <f>VLOOKUP(E3952,DATABASE!C:Q,11,false)</f>
        <v>SERVICE</v>
      </c>
    </row>
    <row r="3953" ht="22.5" customHeight="1">
      <c r="A3953" s="49"/>
      <c r="C3953" s="384">
        <v>45870.0</v>
      </c>
      <c r="D3953" s="65">
        <v>6685.0</v>
      </c>
      <c r="E3953" s="445" t="s">
        <v>268</v>
      </c>
      <c r="F3953" s="386">
        <v>2.0</v>
      </c>
      <c r="G3953" s="74">
        <v>720000.0</v>
      </c>
      <c r="H3953" s="74">
        <v>0.0</v>
      </c>
      <c r="I3953" s="74">
        <f t="shared" si="1"/>
        <v>1440000</v>
      </c>
      <c r="J3953" s="74">
        <f>IF(E3953="SERVICE",I3953-(I3953*50%),Vlookup(E3953,DATABASE!C:Q,10,false)*F3953)</f>
        <v>0</v>
      </c>
      <c r="K3953" s="74">
        <f>VLOOKUP(E3953,DATABASE!C:Q,7,false)</f>
        <v>653000</v>
      </c>
      <c r="L3953" s="74">
        <v>622000.0</v>
      </c>
      <c r="M3953" s="74">
        <f t="shared" si="2"/>
        <v>625000</v>
      </c>
      <c r="N3953" s="74">
        <f t="shared" si="3"/>
        <v>190000</v>
      </c>
      <c r="O3953" s="65" t="str">
        <f>VLOOKUP(E3953,DATABASE!C:Q,8,false)</f>
        <v>IBU</v>
      </c>
      <c r="P3953" s="65">
        <f>VLOOKUP(E3953,DATABASE!C:Q,9,False)</f>
        <v>1</v>
      </c>
      <c r="Q3953" s="93" t="str">
        <f>VLOOKUP(E3953,DATABASE!C:Q,4,false)</f>
        <v>Dunlop</v>
      </c>
      <c r="R3953" s="93" t="str">
        <f>VLOOKUP(E3953,DATABASE!C:Q,11,false)</f>
        <v>Tire</v>
      </c>
    </row>
    <row r="3954" ht="22.5" customHeight="1">
      <c r="A3954" s="49"/>
      <c r="C3954" s="384">
        <v>45870.0</v>
      </c>
      <c r="D3954" s="65">
        <v>6686.0</v>
      </c>
      <c r="E3954" s="445" t="s">
        <v>256</v>
      </c>
      <c r="F3954" s="386">
        <v>1.0</v>
      </c>
      <c r="G3954" s="74">
        <v>130000.0</v>
      </c>
      <c r="H3954" s="74">
        <v>0.0</v>
      </c>
      <c r="I3954" s="74">
        <f t="shared" si="1"/>
        <v>130000</v>
      </c>
      <c r="J3954" s="74">
        <f>IF(E3954="SERVICE",I3954-(I3954*50%),Vlookup(E3954,DATABASE!C:Q,10,false)*F3954)</f>
        <v>10000</v>
      </c>
      <c r="K3954" s="74">
        <f>VLOOKUP(E3954,DATABASE!C:Q,7,false)</f>
        <v>0</v>
      </c>
      <c r="L3954" s="74">
        <v>0.0</v>
      </c>
      <c r="M3954" s="74">
        <f t="shared" si="2"/>
        <v>0</v>
      </c>
      <c r="N3954" s="74">
        <f t="shared" si="3"/>
        <v>120000</v>
      </c>
      <c r="O3954" s="65" t="str">
        <f>VLOOKUP(E3954,DATABASE!C:Q,8,false)</f>
        <v>IBU</v>
      </c>
      <c r="P3954" s="65">
        <f>VLOOKUP(E3954,DATABASE!C:Q,9,False)</f>
        <v>0</v>
      </c>
      <c r="Q3954" s="93" t="str">
        <f>VLOOKUP(E3954,DATABASE!C:Q,4,false)</f>
        <v>SPOORING</v>
      </c>
      <c r="R3954" s="93" t="str">
        <f>VLOOKUP(E3954,DATABASE!C:Q,11,false)</f>
        <v>SERVICE</v>
      </c>
    </row>
    <row r="3955" ht="22.5" customHeight="1">
      <c r="A3955" s="49"/>
      <c r="C3955" s="384">
        <v>45870.0</v>
      </c>
      <c r="D3955" s="65">
        <v>6687.0</v>
      </c>
      <c r="E3955" s="445" t="s">
        <v>932</v>
      </c>
      <c r="F3955" s="386">
        <v>1.0</v>
      </c>
      <c r="G3955" s="74">
        <v>700000.0</v>
      </c>
      <c r="H3955" s="74">
        <v>0.0</v>
      </c>
      <c r="I3955" s="74">
        <f t="shared" si="1"/>
        <v>700000</v>
      </c>
      <c r="J3955" s="74">
        <f>IF(E3955="SERVICE",I3955-(I3955*50%),Vlookup(E3955,DATABASE!C:Q,10,false)*F3955)</f>
        <v>0</v>
      </c>
      <c r="K3955" s="74">
        <f>VLOOKUP(E3955,DATABASE!C:Q,7,false)</f>
        <v>601000</v>
      </c>
      <c r="L3955" s="74">
        <v>595000.0</v>
      </c>
      <c r="M3955" s="74">
        <f t="shared" si="2"/>
        <v>595000</v>
      </c>
      <c r="N3955" s="74">
        <f t="shared" si="3"/>
        <v>105000</v>
      </c>
      <c r="O3955" s="65" t="str">
        <f>VLOOKUP(E3955,DATABASE!C:Q,8,false)</f>
        <v>IBU</v>
      </c>
      <c r="P3955" s="65">
        <f>VLOOKUP(E3955,DATABASE!C:Q,9,False)</f>
        <v>1</v>
      </c>
      <c r="Q3955" s="93" t="str">
        <f>VLOOKUP(E3955,DATABASE!C:Q,4,false)</f>
        <v>Dunlop</v>
      </c>
      <c r="R3955" s="93" t="str">
        <f>VLOOKUP(E3955,DATABASE!C:Q,11,false)</f>
        <v>Tire</v>
      </c>
    </row>
    <row r="3956" ht="22.5" customHeight="1">
      <c r="A3956" s="49"/>
      <c r="C3956" s="384">
        <v>45870.0</v>
      </c>
      <c r="D3956" s="65">
        <v>6688.0</v>
      </c>
      <c r="E3956" s="445" t="s">
        <v>256</v>
      </c>
      <c r="F3956" s="386">
        <v>1.0</v>
      </c>
      <c r="G3956" s="74">
        <v>130000.0</v>
      </c>
      <c r="H3956" s="74">
        <v>0.0</v>
      </c>
      <c r="I3956" s="74">
        <f t="shared" si="1"/>
        <v>130000</v>
      </c>
      <c r="J3956" s="74">
        <f>IF(E3956="SERVICE",I3956-(I3956*50%),Vlookup(E3956,DATABASE!C:Q,10,false)*F3956)</f>
        <v>10000</v>
      </c>
      <c r="K3956" s="74">
        <f>VLOOKUP(E3956,DATABASE!C:Q,7,false)</f>
        <v>0</v>
      </c>
      <c r="L3956" s="74">
        <v>0.0</v>
      </c>
      <c r="M3956" s="74">
        <f t="shared" si="2"/>
        <v>0</v>
      </c>
      <c r="N3956" s="74">
        <f t="shared" si="3"/>
        <v>120000</v>
      </c>
      <c r="O3956" s="65" t="str">
        <f>VLOOKUP(E3956,DATABASE!C:Q,8,false)</f>
        <v>IBU</v>
      </c>
      <c r="P3956" s="65">
        <f>VLOOKUP(E3956,DATABASE!C:Q,9,False)</f>
        <v>0</v>
      </c>
      <c r="Q3956" s="93" t="str">
        <f>VLOOKUP(E3956,DATABASE!C:Q,4,false)</f>
        <v>SPOORING</v>
      </c>
      <c r="R3956" s="93" t="str">
        <f>VLOOKUP(E3956,DATABASE!C:Q,11,false)</f>
        <v>SERVICE</v>
      </c>
    </row>
    <row r="3957" ht="22.5" customHeight="1">
      <c r="A3957" s="49"/>
      <c r="C3957" s="384">
        <v>45870.0</v>
      </c>
      <c r="D3957" s="65">
        <v>6688.0</v>
      </c>
      <c r="E3957" s="385" t="s">
        <v>299</v>
      </c>
      <c r="F3957" s="386">
        <v>2.0</v>
      </c>
      <c r="G3957" s="74">
        <v>30000.0</v>
      </c>
      <c r="H3957" s="74">
        <v>0.0</v>
      </c>
      <c r="I3957" s="74">
        <f t="shared" si="1"/>
        <v>60000</v>
      </c>
      <c r="J3957" s="74">
        <f>IF(E3957="SERVICE",I3957-(I3957*50%),Vlookup(E3957,DATABASE!C:Q,10,false)*F3957)</f>
        <v>0</v>
      </c>
      <c r="K3957" s="74">
        <v>0.0</v>
      </c>
      <c r="L3957" s="74">
        <v>0.0</v>
      </c>
      <c r="M3957" s="74">
        <f t="shared" si="2"/>
        <v>0</v>
      </c>
      <c r="N3957" s="74">
        <f t="shared" si="3"/>
        <v>60000</v>
      </c>
      <c r="O3957" s="65" t="str">
        <f>VLOOKUP(E3957,DATABASE!C:Q,8,false)</f>
        <v>BIAN</v>
      </c>
      <c r="P3957" s="65">
        <f>VLOOKUP(E3957,DATABASE!C:Q,9,False)</f>
        <v>0</v>
      </c>
      <c r="Q3957" s="93" t="str">
        <f>VLOOKUP(E3957,DATABASE!C:Q,4,false)</f>
        <v>Balancing</v>
      </c>
      <c r="R3957" s="93" t="str">
        <f>VLOOKUP(E3957,DATABASE!C:Q,11,false)</f>
        <v>COMPLEMENTARY</v>
      </c>
    </row>
    <row r="3958" ht="22.5" customHeight="1">
      <c r="A3958" s="49"/>
      <c r="C3958" s="384">
        <v>45871.0</v>
      </c>
      <c r="D3958" s="65">
        <v>6690.0</v>
      </c>
      <c r="E3958" s="445" t="s">
        <v>569</v>
      </c>
      <c r="F3958" s="386">
        <v>1.0</v>
      </c>
      <c r="G3958" s="74">
        <v>80000.0</v>
      </c>
      <c r="H3958" s="74">
        <v>0.0</v>
      </c>
      <c r="I3958" s="74">
        <f t="shared" si="1"/>
        <v>80000</v>
      </c>
      <c r="J3958" s="74">
        <f>IF(E3958="SERVICE",I3958-(I3958*50%),Vlookup(E3958,DATABASE!C:Q,10,false)*F3958)</f>
        <v>0</v>
      </c>
      <c r="K3958" s="74">
        <f>VLOOKUP(E3958,DATABASE!C:Q,7,false)</f>
        <v>45439.582</v>
      </c>
      <c r="L3958" s="74">
        <v>45309.6</v>
      </c>
      <c r="M3958" s="74">
        <f t="shared" si="2"/>
        <v>50000</v>
      </c>
      <c r="N3958" s="74">
        <f t="shared" si="3"/>
        <v>30000</v>
      </c>
      <c r="O3958" s="65" t="str">
        <f>VLOOKUP(E3958,DATABASE!C:Q,8,false)</f>
        <v>BIAN</v>
      </c>
      <c r="P3958" s="65">
        <f>VLOOKUP(E3958,DATABASE!C:Q,9,False)</f>
        <v>1</v>
      </c>
      <c r="Q3958" s="93" t="str">
        <f>VLOOKUP(E3958,DATABASE!C:Q,4,false)</f>
        <v>BD</v>
      </c>
      <c r="R3958" s="93" t="str">
        <f>VLOOKUP(E3958,DATABASE!C:Q,11,false)</f>
        <v>Tire</v>
      </c>
    </row>
    <row r="3959" ht="22.5" customHeight="1">
      <c r="A3959" s="49"/>
      <c r="C3959" s="384">
        <v>45871.0</v>
      </c>
      <c r="D3959" s="65">
        <v>6691.0</v>
      </c>
      <c r="E3959" s="445" t="s">
        <v>268</v>
      </c>
      <c r="F3959" s="386">
        <v>2.0</v>
      </c>
      <c r="G3959" s="74">
        <v>720000.0</v>
      </c>
      <c r="H3959" s="74">
        <v>0.0</v>
      </c>
      <c r="I3959" s="74">
        <f t="shared" si="1"/>
        <v>1440000</v>
      </c>
      <c r="J3959" s="74">
        <f>IF(E3959="SERVICE",I3959-(I3959*50%),Vlookup(E3959,DATABASE!C:Q,10,false)*F3959)</f>
        <v>0</v>
      </c>
      <c r="K3959" s="74">
        <f>VLOOKUP(E3959,DATABASE!C:Q,7,false)</f>
        <v>653000</v>
      </c>
      <c r="L3959" s="74">
        <v>622000.0</v>
      </c>
      <c r="M3959" s="74">
        <f t="shared" si="2"/>
        <v>625000</v>
      </c>
      <c r="N3959" s="74">
        <f t="shared" si="3"/>
        <v>190000</v>
      </c>
      <c r="O3959" s="65" t="str">
        <f>VLOOKUP(E3959,DATABASE!C:Q,8,false)</f>
        <v>IBU</v>
      </c>
      <c r="P3959" s="65">
        <f>VLOOKUP(E3959,DATABASE!C:Q,9,False)</f>
        <v>1</v>
      </c>
      <c r="Q3959" s="93" t="str">
        <f>VLOOKUP(E3959,DATABASE!C:Q,4,false)</f>
        <v>Dunlop</v>
      </c>
      <c r="R3959" s="93" t="str">
        <f>VLOOKUP(E3959,DATABASE!C:Q,11,false)</f>
        <v>Tire</v>
      </c>
    </row>
    <row r="3960" ht="22.5" customHeight="1">
      <c r="A3960" s="49"/>
      <c r="C3960" s="384">
        <v>45871.0</v>
      </c>
      <c r="D3960" s="65">
        <v>6692.0</v>
      </c>
      <c r="E3960" s="445" t="s">
        <v>744</v>
      </c>
      <c r="F3960" s="386">
        <v>2.0</v>
      </c>
      <c r="G3960" s="74">
        <v>230000.0</v>
      </c>
      <c r="H3960" s="74">
        <v>0.0</v>
      </c>
      <c r="I3960" s="74">
        <f t="shared" si="1"/>
        <v>460000</v>
      </c>
      <c r="J3960" s="74">
        <f>IF(E3960="SERVICE",I3960-(I3960*50%),Vlookup(E3960,DATABASE!C:Q,10,false)*F3960)</f>
        <v>0</v>
      </c>
      <c r="K3960" s="74">
        <f>VLOOKUP(E3960,DATABASE!C:Q,7,false)</f>
        <v>182200</v>
      </c>
      <c r="L3960" s="74">
        <v>199920.0</v>
      </c>
      <c r="M3960" s="74">
        <f t="shared" si="2"/>
        <v>200000</v>
      </c>
      <c r="N3960" s="74">
        <f t="shared" si="3"/>
        <v>60000</v>
      </c>
      <c r="O3960" s="65" t="str">
        <f>VLOOKUP(E3960,DATABASE!C:Q,8,false)</f>
        <v>BIAN</v>
      </c>
      <c r="P3960" s="65">
        <f>VLOOKUP(E3960,DATABASE!C:Q,9,False)</f>
        <v>1</v>
      </c>
      <c r="Q3960" s="93" t="str">
        <f>VLOOKUP(E3960,DATABASE!C:Q,4,false)</f>
        <v>BD</v>
      </c>
      <c r="R3960" s="93" t="str">
        <f>VLOOKUP(E3960,DATABASE!C:Q,11,false)</f>
        <v>Tire</v>
      </c>
    </row>
    <row r="3961" ht="22.5" customHeight="1">
      <c r="A3961" s="49"/>
      <c r="C3961" s="384">
        <v>45871.0</v>
      </c>
      <c r="D3961" s="65">
        <v>6692.0</v>
      </c>
      <c r="E3961" s="445" t="s">
        <v>821</v>
      </c>
      <c r="F3961" s="386">
        <v>2.0</v>
      </c>
      <c r="G3961" s="74">
        <v>80000.0</v>
      </c>
      <c r="H3961" s="74">
        <v>0.0</v>
      </c>
      <c r="I3961" s="74">
        <f t="shared" si="1"/>
        <v>160000</v>
      </c>
      <c r="J3961" s="74">
        <f>IF(E3961="SERVICE",I3961-(I3961*50%),Vlookup(E3961,DATABASE!C:Q,10,false)*F3961)</f>
        <v>0</v>
      </c>
      <c r="K3961" s="74">
        <f>VLOOKUP(E3961,DATABASE!C:Q,7,false)</f>
        <v>43500</v>
      </c>
      <c r="L3961" s="74">
        <v>43520.0</v>
      </c>
      <c r="M3961" s="74">
        <f t="shared" si="2"/>
        <v>45000</v>
      </c>
      <c r="N3961" s="74">
        <f t="shared" si="3"/>
        <v>70000</v>
      </c>
      <c r="O3961" s="65" t="str">
        <f>VLOOKUP(E3961,DATABASE!C:Q,8,false)</f>
        <v>BIAN</v>
      </c>
      <c r="P3961" s="65">
        <f>VLOOKUP(E3961,DATABASE!C:Q,9,False)</f>
        <v>1</v>
      </c>
      <c r="Q3961" s="93" t="str">
        <f>VLOOKUP(E3961,DATABASE!C:Q,4,false)</f>
        <v>Flap</v>
      </c>
      <c r="R3961" s="93" t="str">
        <f>VLOOKUP(E3961,DATABASE!C:Q,11,false)</f>
        <v>Tire</v>
      </c>
    </row>
    <row r="3962" ht="22.5" customHeight="1">
      <c r="A3962" s="49"/>
      <c r="C3962" s="384">
        <v>45871.0</v>
      </c>
      <c r="D3962" s="65">
        <v>6693.0</v>
      </c>
      <c r="E3962" s="445" t="s">
        <v>256</v>
      </c>
      <c r="F3962" s="386">
        <v>1.0</v>
      </c>
      <c r="G3962" s="74">
        <v>130000.0</v>
      </c>
      <c r="H3962" s="74">
        <v>0.0</v>
      </c>
      <c r="I3962" s="74">
        <f t="shared" si="1"/>
        <v>130000</v>
      </c>
      <c r="J3962" s="74">
        <f>IF(E3962="SERVICE",I3962-(I3962*50%),Vlookup(E3962,DATABASE!C:Q,10,false)*F3962)</f>
        <v>10000</v>
      </c>
      <c r="K3962" s="74">
        <f>VLOOKUP(E3962,DATABASE!C:Q,7,false)</f>
        <v>0</v>
      </c>
      <c r="L3962" s="74">
        <v>0.0</v>
      </c>
      <c r="M3962" s="74">
        <f t="shared" si="2"/>
        <v>0</v>
      </c>
      <c r="N3962" s="74">
        <f t="shared" si="3"/>
        <v>120000</v>
      </c>
      <c r="O3962" s="65" t="str">
        <f>VLOOKUP(E3962,DATABASE!C:Q,8,false)</f>
        <v>IBU</v>
      </c>
      <c r="P3962" s="65">
        <f>VLOOKUP(E3962,DATABASE!C:Q,9,False)</f>
        <v>0</v>
      </c>
      <c r="Q3962" s="93" t="str">
        <f>VLOOKUP(E3962,DATABASE!C:Q,4,false)</f>
        <v>SPOORING</v>
      </c>
      <c r="R3962" s="93" t="str">
        <f>VLOOKUP(E3962,DATABASE!C:Q,11,false)</f>
        <v>SERVICE</v>
      </c>
    </row>
    <row r="3963" ht="22.5" customHeight="1">
      <c r="A3963" s="49"/>
      <c r="C3963" s="384">
        <v>45871.0</v>
      </c>
      <c r="D3963" s="65">
        <v>6693.0</v>
      </c>
      <c r="E3963" s="385" t="s">
        <v>299</v>
      </c>
      <c r="F3963" s="386">
        <v>2.0</v>
      </c>
      <c r="G3963" s="74">
        <v>30000.0</v>
      </c>
      <c r="H3963" s="74">
        <v>0.0</v>
      </c>
      <c r="I3963" s="74">
        <f t="shared" si="1"/>
        <v>60000</v>
      </c>
      <c r="J3963" s="74">
        <f>IF(E3963="SERVICE",I3963-(I3963*50%),Vlookup(E3963,DATABASE!C:Q,10,false)*F3963)</f>
        <v>0</v>
      </c>
      <c r="K3963" s="74">
        <v>0.0</v>
      </c>
      <c r="L3963" s="74">
        <v>0.0</v>
      </c>
      <c r="M3963" s="74">
        <f t="shared" si="2"/>
        <v>0</v>
      </c>
      <c r="N3963" s="74">
        <f t="shared" si="3"/>
        <v>60000</v>
      </c>
      <c r="O3963" s="65" t="str">
        <f>VLOOKUP(E3963,DATABASE!C:Q,8,false)</f>
        <v>BIAN</v>
      </c>
      <c r="P3963" s="65">
        <f>VLOOKUP(E3963,DATABASE!C:Q,9,False)</f>
        <v>0</v>
      </c>
      <c r="Q3963" s="93" t="str">
        <f>VLOOKUP(E3963,DATABASE!C:Q,4,false)</f>
        <v>Balancing</v>
      </c>
      <c r="R3963" s="93" t="str">
        <f>VLOOKUP(E3963,DATABASE!C:Q,11,false)</f>
        <v>COMPLEMENTARY</v>
      </c>
    </row>
    <row r="3964" ht="22.5" customHeight="1">
      <c r="A3964" s="49"/>
      <c r="C3964" s="384">
        <v>45871.0</v>
      </c>
      <c r="D3964" s="65">
        <v>6693.0</v>
      </c>
      <c r="E3964" s="445" t="s">
        <v>251</v>
      </c>
      <c r="F3964" s="386">
        <v>1.0</v>
      </c>
      <c r="G3964" s="74">
        <v>150000.0</v>
      </c>
      <c r="H3964" s="74">
        <v>0.0</v>
      </c>
      <c r="I3964" s="74">
        <f t="shared" si="1"/>
        <v>150000</v>
      </c>
      <c r="J3964" s="74">
        <f>IF(E3964="SERVICE",I3964-(I3964*50%),Vlookup(E3964,DATABASE!C:Q,10,false)*F3964)</f>
        <v>75000</v>
      </c>
      <c r="K3964" s="74">
        <f>VLOOKUP(E3964,DATABASE!C:Q,7,false)</f>
        <v>0</v>
      </c>
      <c r="L3964" s="74">
        <v>0.0</v>
      </c>
      <c r="M3964" s="74">
        <f t="shared" si="2"/>
        <v>0</v>
      </c>
      <c r="N3964" s="74">
        <f t="shared" si="3"/>
        <v>75000</v>
      </c>
      <c r="O3964" s="65" t="str">
        <f>VLOOKUP(E3964,DATABASE!C:Q,8,false)</f>
        <v>IBU</v>
      </c>
      <c r="P3964" s="65">
        <f>VLOOKUP(E3964,DATABASE!C:Q,9,False)</f>
        <v>0</v>
      </c>
      <c r="Q3964" s="93" t="str">
        <f>VLOOKUP(E3964,DATABASE!C:Q,4,false)</f>
        <v>SERVICE</v>
      </c>
      <c r="R3964" s="93" t="str">
        <f>VLOOKUP(E3964,DATABASE!C:Q,11,false)</f>
        <v>SERVICE</v>
      </c>
    </row>
    <row r="3965" ht="22.5" customHeight="1">
      <c r="A3965" s="49"/>
      <c r="C3965" s="384">
        <v>45871.0</v>
      </c>
      <c r="D3965" s="65">
        <v>6694.0</v>
      </c>
      <c r="E3965" s="445" t="s">
        <v>932</v>
      </c>
      <c r="F3965" s="386">
        <v>4.0</v>
      </c>
      <c r="G3965" s="74">
        <v>700000.0</v>
      </c>
      <c r="H3965" s="74">
        <v>0.0</v>
      </c>
      <c r="I3965" s="74">
        <f t="shared" si="1"/>
        <v>2800000</v>
      </c>
      <c r="J3965" s="74">
        <f>IF(E3965="SERVICE",I3965-(I3965*50%),Vlookup(E3965,DATABASE!C:Q,10,false)*F3965)</f>
        <v>0</v>
      </c>
      <c r="K3965" s="74">
        <f>VLOOKUP(E3965,DATABASE!C:Q,7,false)</f>
        <v>601000</v>
      </c>
      <c r="L3965" s="74">
        <v>595000.0</v>
      </c>
      <c r="M3965" s="74">
        <f t="shared" si="2"/>
        <v>595000</v>
      </c>
      <c r="N3965" s="74">
        <f t="shared" si="3"/>
        <v>420000</v>
      </c>
      <c r="O3965" s="65" t="str">
        <f>VLOOKUP(E3965,DATABASE!C:Q,8,false)</f>
        <v>IBU</v>
      </c>
      <c r="P3965" s="65">
        <f>VLOOKUP(E3965,DATABASE!C:Q,9,False)</f>
        <v>1</v>
      </c>
      <c r="Q3965" s="93" t="str">
        <f>VLOOKUP(E3965,DATABASE!C:Q,4,false)</f>
        <v>Dunlop</v>
      </c>
      <c r="R3965" s="93" t="str">
        <f>VLOOKUP(E3965,DATABASE!C:Q,11,false)</f>
        <v>Tire</v>
      </c>
    </row>
    <row r="3966" ht="22.5" customHeight="1">
      <c r="A3966" s="49"/>
      <c r="C3966" s="384">
        <v>45871.0</v>
      </c>
      <c r="D3966" s="65">
        <v>6694.0</v>
      </c>
      <c r="E3966" s="385" t="s">
        <v>299</v>
      </c>
      <c r="F3966" s="386">
        <v>2.0</v>
      </c>
      <c r="G3966" s="74">
        <v>30000.0</v>
      </c>
      <c r="H3966" s="74">
        <v>0.0</v>
      </c>
      <c r="I3966" s="74">
        <f t="shared" si="1"/>
        <v>60000</v>
      </c>
      <c r="J3966" s="74">
        <f>IF(E3966="SERVICE",I3966-(I3966*50%),Vlookup(E3966,DATABASE!C:Q,10,false)*F3966)</f>
        <v>0</v>
      </c>
      <c r="K3966" s="74">
        <v>0.0</v>
      </c>
      <c r="L3966" s="74">
        <v>0.0</v>
      </c>
      <c r="M3966" s="74">
        <f t="shared" si="2"/>
        <v>0</v>
      </c>
      <c r="N3966" s="74">
        <f t="shared" si="3"/>
        <v>60000</v>
      </c>
      <c r="O3966" s="65" t="str">
        <f>VLOOKUP(E3966,DATABASE!C:Q,8,false)</f>
        <v>BIAN</v>
      </c>
      <c r="P3966" s="65">
        <f>VLOOKUP(E3966,DATABASE!C:Q,9,False)</f>
        <v>0</v>
      </c>
      <c r="Q3966" s="93" t="str">
        <f>VLOOKUP(E3966,DATABASE!C:Q,4,false)</f>
        <v>Balancing</v>
      </c>
      <c r="R3966" s="93" t="str">
        <f>VLOOKUP(E3966,DATABASE!C:Q,11,false)</f>
        <v>COMPLEMENTARY</v>
      </c>
    </row>
    <row r="3967" ht="22.5" customHeight="1">
      <c r="A3967" s="49"/>
      <c r="C3967" s="384">
        <v>45871.0</v>
      </c>
      <c r="D3967" s="65">
        <v>6694.0</v>
      </c>
      <c r="E3967" s="445" t="s">
        <v>256</v>
      </c>
      <c r="F3967" s="386">
        <v>1.0</v>
      </c>
      <c r="G3967" s="74">
        <v>130000.0</v>
      </c>
      <c r="H3967" s="74">
        <v>0.0</v>
      </c>
      <c r="I3967" s="74">
        <f t="shared" si="1"/>
        <v>130000</v>
      </c>
      <c r="J3967" s="74">
        <f>IF(E3967="SERVICE",I3967-(I3967*50%),Vlookup(E3967,DATABASE!C:Q,10,false)*F3967)</f>
        <v>10000</v>
      </c>
      <c r="K3967" s="74">
        <f>VLOOKUP(E3967,DATABASE!C:Q,7,false)</f>
        <v>0</v>
      </c>
      <c r="L3967" s="74">
        <v>0.0</v>
      </c>
      <c r="M3967" s="74">
        <f t="shared" si="2"/>
        <v>0</v>
      </c>
      <c r="N3967" s="74">
        <f t="shared" si="3"/>
        <v>120000</v>
      </c>
      <c r="O3967" s="65" t="str">
        <f>VLOOKUP(E3967,DATABASE!C:Q,8,false)</f>
        <v>IBU</v>
      </c>
      <c r="P3967" s="65">
        <f>VLOOKUP(E3967,DATABASE!C:Q,9,False)</f>
        <v>0</v>
      </c>
      <c r="Q3967" s="93" t="str">
        <f>VLOOKUP(E3967,DATABASE!C:Q,4,false)</f>
        <v>SPOORING</v>
      </c>
      <c r="R3967" s="93" t="str">
        <f>VLOOKUP(E3967,DATABASE!C:Q,11,false)</f>
        <v>SERVICE</v>
      </c>
    </row>
    <row r="3968" ht="22.5" customHeight="1">
      <c r="A3968" s="49"/>
      <c r="C3968" s="384">
        <v>45871.0</v>
      </c>
      <c r="D3968" s="65">
        <v>6694.0</v>
      </c>
      <c r="E3968" s="445" t="s">
        <v>301</v>
      </c>
      <c r="F3968" s="386">
        <v>1.0</v>
      </c>
      <c r="G3968" s="74">
        <v>250000.0</v>
      </c>
      <c r="H3968" s="74">
        <v>0.0</v>
      </c>
      <c r="I3968" s="74">
        <f t="shared" si="1"/>
        <v>250000</v>
      </c>
      <c r="J3968" s="74">
        <f>IF(E3968="SERVICE",I3968-(I3968*50%),Vlookup(E3968,DATABASE!C:Q,10,false)*F3968)</f>
        <v>75000</v>
      </c>
      <c r="K3968" s="74">
        <f>VLOOKUP(E3968,DATABASE!C:Q,7,false)</f>
        <v>75000</v>
      </c>
      <c r="L3968" s="74">
        <v>75000.0</v>
      </c>
      <c r="M3968" s="74">
        <f t="shared" si="2"/>
        <v>75000</v>
      </c>
      <c r="N3968" s="74">
        <f t="shared" si="3"/>
        <v>100000</v>
      </c>
      <c r="O3968" s="65" t="str">
        <f>VLOOKUP(E3968,DATABASE!C:Q,8,false)</f>
        <v>BIAN</v>
      </c>
      <c r="P3968" s="65">
        <f>VLOOKUP(E3968,DATABASE!C:Q,9,False)</f>
        <v>0</v>
      </c>
      <c r="Q3968" s="93" t="str">
        <f>VLOOKUP(E3968,DATABASE!C:Q,4,false)</f>
        <v>Baut Camber</v>
      </c>
      <c r="R3968" s="93" t="str">
        <f>VLOOKUP(E3968,DATABASE!C:Q,11,false)</f>
        <v>COMPLEMENTARY</v>
      </c>
    </row>
    <row r="3969" ht="22.5" customHeight="1">
      <c r="A3969" s="49"/>
      <c r="C3969" s="384">
        <v>45871.0</v>
      </c>
      <c r="D3969" s="65">
        <v>6695.0</v>
      </c>
      <c r="E3969" s="445" t="s">
        <v>265</v>
      </c>
      <c r="F3969" s="386">
        <v>1.0</v>
      </c>
      <c r="G3969" s="74">
        <v>700000.0</v>
      </c>
      <c r="H3969" s="74">
        <v>0.0</v>
      </c>
      <c r="I3969" s="74">
        <f t="shared" si="1"/>
        <v>700000</v>
      </c>
      <c r="J3969" s="74">
        <f>IF(E3969="SERVICE",I3969-(I3969*50%),Vlookup(E3969,DATABASE!C:Q,10,false)*F3969)</f>
        <v>0</v>
      </c>
      <c r="K3969" s="74">
        <f>VLOOKUP(E3969,DATABASE!C:Q,7,false)</f>
        <v>628000</v>
      </c>
      <c r="L3969" s="74">
        <v>610000.0</v>
      </c>
      <c r="M3969" s="74">
        <f t="shared" si="2"/>
        <v>610000</v>
      </c>
      <c r="N3969" s="74">
        <f t="shared" si="3"/>
        <v>90000</v>
      </c>
      <c r="O3969" s="65" t="str">
        <f>VLOOKUP(E3969,DATABASE!C:Q,8,false)</f>
        <v>IBU</v>
      </c>
      <c r="P3969" s="65">
        <f>VLOOKUP(E3969,DATABASE!C:Q,9,False)</f>
        <v>1</v>
      </c>
      <c r="Q3969" s="93" t="str">
        <f>VLOOKUP(E3969,DATABASE!C:Q,4,false)</f>
        <v>Dunlop</v>
      </c>
      <c r="R3969" s="93" t="str">
        <f>VLOOKUP(E3969,DATABASE!C:Q,11,false)</f>
        <v>Tire</v>
      </c>
    </row>
    <row r="3970" ht="22.5" customHeight="1">
      <c r="A3970" s="49"/>
      <c r="C3970" s="384">
        <v>45871.0</v>
      </c>
      <c r="D3970" s="65">
        <v>6696.0</v>
      </c>
      <c r="E3970" s="445" t="s">
        <v>268</v>
      </c>
      <c r="F3970" s="386">
        <v>2.0</v>
      </c>
      <c r="G3970" s="74">
        <v>720000.0</v>
      </c>
      <c r="H3970" s="74">
        <v>0.0</v>
      </c>
      <c r="I3970" s="74">
        <f t="shared" si="1"/>
        <v>1440000</v>
      </c>
      <c r="J3970" s="74">
        <f>IF(E3970="SERVICE",I3970-(I3970*50%),Vlookup(E3970,DATABASE!C:Q,10,false)*F3970)</f>
        <v>0</v>
      </c>
      <c r="K3970" s="74">
        <f>VLOOKUP(E3970,DATABASE!C:Q,7,false)</f>
        <v>653000</v>
      </c>
      <c r="L3970" s="74">
        <v>622000.0</v>
      </c>
      <c r="M3970" s="74">
        <f t="shared" si="2"/>
        <v>625000</v>
      </c>
      <c r="N3970" s="74">
        <f t="shared" si="3"/>
        <v>190000</v>
      </c>
      <c r="O3970" s="65" t="str">
        <f>VLOOKUP(E3970,DATABASE!C:Q,8,false)</f>
        <v>IBU</v>
      </c>
      <c r="P3970" s="65">
        <f>VLOOKUP(E3970,DATABASE!C:Q,9,False)</f>
        <v>1</v>
      </c>
      <c r="Q3970" s="93" t="str">
        <f>VLOOKUP(E3970,DATABASE!C:Q,4,false)</f>
        <v>Dunlop</v>
      </c>
      <c r="R3970" s="93" t="str">
        <f>VLOOKUP(E3970,DATABASE!C:Q,11,false)</f>
        <v>Tire</v>
      </c>
    </row>
    <row r="3971" ht="22.5" customHeight="1">
      <c r="A3971" s="49"/>
      <c r="C3971" s="384">
        <v>45871.0</v>
      </c>
      <c r="D3971" s="65">
        <v>6697.0</v>
      </c>
      <c r="E3971" s="445" t="s">
        <v>256</v>
      </c>
      <c r="F3971" s="386">
        <v>1.0</v>
      </c>
      <c r="G3971" s="74">
        <v>130000.0</v>
      </c>
      <c r="H3971" s="74">
        <v>0.0</v>
      </c>
      <c r="I3971" s="74">
        <f t="shared" si="1"/>
        <v>130000</v>
      </c>
      <c r="J3971" s="74">
        <f>IF(E3971="SERVICE",I3971-(I3971*50%),Vlookup(E3971,DATABASE!C:Q,10,false)*F3971)</f>
        <v>10000</v>
      </c>
      <c r="K3971" s="74">
        <f>VLOOKUP(E3971,DATABASE!C:Q,7,false)</f>
        <v>0</v>
      </c>
      <c r="L3971" s="74">
        <v>0.0</v>
      </c>
      <c r="M3971" s="74">
        <f t="shared" si="2"/>
        <v>0</v>
      </c>
      <c r="N3971" s="74">
        <f t="shared" si="3"/>
        <v>120000</v>
      </c>
      <c r="O3971" s="65" t="str">
        <f>VLOOKUP(E3971,DATABASE!C:Q,8,false)</f>
        <v>IBU</v>
      </c>
      <c r="P3971" s="65">
        <f>VLOOKUP(E3971,DATABASE!C:Q,9,False)</f>
        <v>0</v>
      </c>
      <c r="Q3971" s="93" t="str">
        <f>VLOOKUP(E3971,DATABASE!C:Q,4,false)</f>
        <v>SPOORING</v>
      </c>
      <c r="R3971" s="93" t="str">
        <f>VLOOKUP(E3971,DATABASE!C:Q,11,false)</f>
        <v>SERVICE</v>
      </c>
    </row>
    <row r="3972" ht="22.5" customHeight="1">
      <c r="A3972" s="49"/>
      <c r="C3972" s="384">
        <v>45871.0</v>
      </c>
      <c r="D3972" s="65">
        <v>6698.0</v>
      </c>
      <c r="E3972" s="445" t="s">
        <v>262</v>
      </c>
      <c r="F3972" s="386">
        <v>1.0</v>
      </c>
      <c r="G3972" s="74">
        <v>110000.0</v>
      </c>
      <c r="H3972" s="74">
        <v>0.0</v>
      </c>
      <c r="I3972" s="74">
        <f t="shared" si="1"/>
        <v>110000</v>
      </c>
      <c r="J3972" s="74">
        <f>IF(E3972="SERVICE",I3972-(I3972*50%),Vlookup(E3972,DATABASE!C:Q,10,false)*F3972)</f>
        <v>5000</v>
      </c>
      <c r="K3972" s="74">
        <f>VLOOKUP(E3972,DATABASE!C:Q,7,false)</f>
        <v>0</v>
      </c>
      <c r="L3972" s="74">
        <v>0.0</v>
      </c>
      <c r="M3972" s="74">
        <f t="shared" si="2"/>
        <v>0</v>
      </c>
      <c r="N3972" s="74">
        <f t="shared" si="3"/>
        <v>105000</v>
      </c>
      <c r="O3972" s="65" t="str">
        <f>VLOOKUP(E3972,DATABASE!C:Q,8,false)</f>
        <v>IBU</v>
      </c>
      <c r="P3972" s="65">
        <f>VLOOKUP(E3972,DATABASE!C:Q,9,False)</f>
        <v>0</v>
      </c>
      <c r="Q3972" s="93" t="str">
        <f>VLOOKUP(E3972,DATABASE!C:Q,4,false)</f>
        <v>SPOORING SS/CARRY LOS BAK</v>
      </c>
      <c r="R3972" s="93" t="str">
        <f>VLOOKUP(E3972,DATABASE!C:Q,11,false)</f>
        <v>SERVICE</v>
      </c>
    </row>
    <row r="3973" ht="22.5" customHeight="1">
      <c r="A3973" s="49"/>
      <c r="C3973" s="384">
        <v>45872.0</v>
      </c>
      <c r="D3973" s="65">
        <v>6699.0</v>
      </c>
      <c r="E3973" s="445" t="s">
        <v>968</v>
      </c>
      <c r="F3973" s="386">
        <v>1.0</v>
      </c>
      <c r="G3973" s="74">
        <v>675000.0</v>
      </c>
      <c r="H3973" s="74">
        <v>0.0</v>
      </c>
      <c r="I3973" s="74">
        <f t="shared" si="1"/>
        <v>675000</v>
      </c>
      <c r="J3973" s="74">
        <f>IF(E3973="SERVICE",I3973-(I3973*50%),Vlookup(E3973,DATABASE!C:Q,10,false)*F3973)</f>
        <v>0</v>
      </c>
      <c r="K3973" s="74">
        <f>VLOOKUP(E3973,DATABASE!C:Q,7,false)</f>
        <v>582500</v>
      </c>
      <c r="L3973" s="74">
        <v>582500.0</v>
      </c>
      <c r="M3973" s="74">
        <f t="shared" si="2"/>
        <v>585000</v>
      </c>
      <c r="N3973" s="74">
        <f t="shared" si="3"/>
        <v>90000</v>
      </c>
      <c r="O3973" s="65" t="str">
        <f>VLOOKUP(E3973,DATABASE!C:Q,8,false)</f>
        <v>IBU</v>
      </c>
      <c r="P3973" s="65">
        <f>VLOOKUP(E3973,DATABASE!C:Q,9,False)</f>
        <v>1</v>
      </c>
      <c r="Q3973" s="93" t="str">
        <f>VLOOKUP(E3973,DATABASE!C:Q,4,false)</f>
        <v>Dunlop</v>
      </c>
      <c r="R3973" s="93" t="str">
        <f>VLOOKUP(E3973,DATABASE!C:Q,11,false)</f>
        <v>Tire</v>
      </c>
    </row>
    <row r="3974" ht="22.5" customHeight="1">
      <c r="A3974" s="49"/>
      <c r="C3974" s="384">
        <v>45872.0</v>
      </c>
      <c r="D3974" s="65">
        <v>6700.0</v>
      </c>
      <c r="E3974" s="445" t="s">
        <v>932</v>
      </c>
      <c r="F3974" s="386">
        <v>2.0</v>
      </c>
      <c r="G3974" s="74">
        <v>700000.0</v>
      </c>
      <c r="H3974" s="74">
        <v>0.0</v>
      </c>
      <c r="I3974" s="74">
        <f t="shared" si="1"/>
        <v>1400000</v>
      </c>
      <c r="J3974" s="74">
        <f>IF(E3974="SERVICE",I3974-(I3974*50%),Vlookup(E3974,DATABASE!C:Q,10,false)*F3974)</f>
        <v>0</v>
      </c>
      <c r="K3974" s="74">
        <f>VLOOKUP(E3974,DATABASE!C:Q,7,false)</f>
        <v>601000</v>
      </c>
      <c r="L3974" s="74">
        <v>595000.0</v>
      </c>
      <c r="M3974" s="74">
        <f t="shared" si="2"/>
        <v>595000</v>
      </c>
      <c r="N3974" s="74">
        <f t="shared" si="3"/>
        <v>210000</v>
      </c>
      <c r="O3974" s="65" t="str">
        <f>VLOOKUP(E3974,DATABASE!C:Q,8,false)</f>
        <v>IBU</v>
      </c>
      <c r="P3974" s="65">
        <f>VLOOKUP(E3974,DATABASE!C:Q,9,False)</f>
        <v>1</v>
      </c>
      <c r="Q3974" s="93" t="str">
        <f>VLOOKUP(E3974,DATABASE!C:Q,4,false)</f>
        <v>Dunlop</v>
      </c>
      <c r="R3974" s="93" t="str">
        <f>VLOOKUP(E3974,DATABASE!C:Q,11,false)</f>
        <v>Tire</v>
      </c>
    </row>
    <row r="3975" ht="22.5" customHeight="1">
      <c r="A3975" s="49"/>
      <c r="C3975" s="384">
        <v>45872.0</v>
      </c>
      <c r="D3975" s="65">
        <v>6701.0</v>
      </c>
      <c r="E3975" s="445" t="s">
        <v>955</v>
      </c>
      <c r="F3975" s="386">
        <v>4.0</v>
      </c>
      <c r="G3975" s="74">
        <v>780000.0</v>
      </c>
      <c r="H3975" s="74">
        <v>0.0</v>
      </c>
      <c r="I3975" s="74">
        <f t="shared" si="1"/>
        <v>3120000</v>
      </c>
      <c r="J3975" s="74">
        <f>IF(E3975="SERVICE",I3975-(I3975*50%),Vlookup(E3975,DATABASE!C:Q,10,false)*F3975)</f>
        <v>0</v>
      </c>
      <c r="K3975" s="74">
        <f>VLOOKUP(E3975,DATABASE!C:Q,7,false)</f>
        <v>712000</v>
      </c>
      <c r="L3975" s="74">
        <v>674000.0</v>
      </c>
      <c r="M3975" s="74">
        <f t="shared" si="2"/>
        <v>675000</v>
      </c>
      <c r="N3975" s="74">
        <f t="shared" si="3"/>
        <v>420000</v>
      </c>
      <c r="O3975" s="65" t="str">
        <f>VLOOKUP(E3975,DATABASE!C:Q,8,false)</f>
        <v>IBU</v>
      </c>
      <c r="P3975" s="65">
        <f>VLOOKUP(E3975,DATABASE!C:Q,9,False)</f>
        <v>1</v>
      </c>
      <c r="Q3975" s="93" t="str">
        <f>VLOOKUP(E3975,DATABASE!C:Q,4,false)</f>
        <v>Dunlop</v>
      </c>
      <c r="R3975" s="93" t="str">
        <f>VLOOKUP(E3975,DATABASE!C:Q,11,false)</f>
        <v>Tire</v>
      </c>
    </row>
    <row r="3976" ht="22.5" customHeight="1">
      <c r="A3976" s="49"/>
      <c r="C3976" s="384">
        <v>45872.0</v>
      </c>
      <c r="D3976" s="65">
        <v>6702.0</v>
      </c>
      <c r="E3976" s="445" t="s">
        <v>256</v>
      </c>
      <c r="F3976" s="386">
        <v>1.0</v>
      </c>
      <c r="G3976" s="74">
        <v>130000.0</v>
      </c>
      <c r="H3976" s="74">
        <v>0.0</v>
      </c>
      <c r="I3976" s="74">
        <f t="shared" si="1"/>
        <v>130000</v>
      </c>
      <c r="J3976" s="74">
        <f>IF(E3976="SERVICE",I3976-(I3976*50%),Vlookup(E3976,DATABASE!C:Q,10,false)*F3976)</f>
        <v>10000</v>
      </c>
      <c r="K3976" s="74">
        <f>VLOOKUP(E3976,DATABASE!C:Q,7,false)</f>
        <v>0</v>
      </c>
      <c r="L3976" s="74">
        <v>0.0</v>
      </c>
      <c r="M3976" s="74">
        <f t="shared" si="2"/>
        <v>0</v>
      </c>
      <c r="N3976" s="74">
        <f t="shared" si="3"/>
        <v>120000</v>
      </c>
      <c r="O3976" s="65" t="str">
        <f>VLOOKUP(E3976,DATABASE!C:Q,8,false)</f>
        <v>IBU</v>
      </c>
      <c r="P3976" s="65">
        <f>VLOOKUP(E3976,DATABASE!C:Q,9,False)</f>
        <v>0</v>
      </c>
      <c r="Q3976" s="93" t="str">
        <f>VLOOKUP(E3976,DATABASE!C:Q,4,false)</f>
        <v>SPOORING</v>
      </c>
      <c r="R3976" s="93" t="str">
        <f>VLOOKUP(E3976,DATABASE!C:Q,11,false)</f>
        <v>SERVICE</v>
      </c>
    </row>
    <row r="3977" ht="22.5" customHeight="1">
      <c r="A3977" s="49"/>
      <c r="C3977" s="384">
        <v>45872.0</v>
      </c>
      <c r="D3977" s="65">
        <v>6702.0</v>
      </c>
      <c r="E3977" s="445" t="s">
        <v>251</v>
      </c>
      <c r="F3977" s="386">
        <v>1.0</v>
      </c>
      <c r="G3977" s="74">
        <v>150000.0</v>
      </c>
      <c r="H3977" s="74">
        <v>0.0</v>
      </c>
      <c r="I3977" s="74">
        <f t="shared" si="1"/>
        <v>150000</v>
      </c>
      <c r="J3977" s="74">
        <f>IF(E3977="SERVICE",I3977-(I3977*50%),Vlookup(E3977,DATABASE!C:Q,10,false)*F3977)</f>
        <v>75000</v>
      </c>
      <c r="K3977" s="74">
        <f>VLOOKUP(E3977,DATABASE!C:Q,7,false)</f>
        <v>0</v>
      </c>
      <c r="L3977" s="74">
        <v>0.0</v>
      </c>
      <c r="M3977" s="74">
        <f t="shared" si="2"/>
        <v>0</v>
      </c>
      <c r="N3977" s="74">
        <f t="shared" si="3"/>
        <v>75000</v>
      </c>
      <c r="O3977" s="65" t="str">
        <f>VLOOKUP(E3977,DATABASE!C:Q,8,false)</f>
        <v>IBU</v>
      </c>
      <c r="P3977" s="65">
        <f>VLOOKUP(E3977,DATABASE!C:Q,9,False)</f>
        <v>0</v>
      </c>
      <c r="Q3977" s="93" t="str">
        <f>VLOOKUP(E3977,DATABASE!C:Q,4,false)</f>
        <v>SERVICE</v>
      </c>
      <c r="R3977" s="93" t="str">
        <f>VLOOKUP(E3977,DATABASE!C:Q,11,false)</f>
        <v>SERVICE</v>
      </c>
    </row>
    <row r="3978" ht="22.5" customHeight="1">
      <c r="A3978" s="49"/>
      <c r="C3978" s="384">
        <v>45872.0</v>
      </c>
      <c r="D3978" s="65">
        <v>6703.0</v>
      </c>
      <c r="E3978" s="445" t="s">
        <v>265</v>
      </c>
      <c r="F3978" s="386">
        <v>1.0</v>
      </c>
      <c r="G3978" s="74">
        <v>700000.0</v>
      </c>
      <c r="H3978" s="74">
        <v>0.0</v>
      </c>
      <c r="I3978" s="74">
        <f t="shared" si="1"/>
        <v>700000</v>
      </c>
      <c r="J3978" s="74">
        <f>IF(E3978="SERVICE",I3978-(I3978*50%),Vlookup(E3978,DATABASE!C:Q,10,false)*F3978)</f>
        <v>0</v>
      </c>
      <c r="K3978" s="74">
        <f>VLOOKUP(E3978,DATABASE!C:Q,7,false)</f>
        <v>628000</v>
      </c>
      <c r="L3978" s="74">
        <v>610000.0</v>
      </c>
      <c r="M3978" s="74">
        <f t="shared" si="2"/>
        <v>610000</v>
      </c>
      <c r="N3978" s="74">
        <f t="shared" si="3"/>
        <v>90000</v>
      </c>
      <c r="O3978" s="65" t="str">
        <f>VLOOKUP(E3978,DATABASE!C:Q,8,false)</f>
        <v>IBU</v>
      </c>
      <c r="P3978" s="65">
        <f>VLOOKUP(E3978,DATABASE!C:Q,9,False)</f>
        <v>1</v>
      </c>
      <c r="Q3978" s="93" t="str">
        <f>VLOOKUP(E3978,DATABASE!C:Q,4,false)</f>
        <v>Dunlop</v>
      </c>
      <c r="R3978" s="93" t="str">
        <f>VLOOKUP(E3978,DATABASE!C:Q,11,false)</f>
        <v>Tire</v>
      </c>
    </row>
    <row r="3979" ht="22.5" customHeight="1">
      <c r="A3979" s="49"/>
      <c r="C3979" s="384">
        <v>45873.0</v>
      </c>
      <c r="D3979" s="65">
        <v>6705.0</v>
      </c>
      <c r="E3979" s="445" t="s">
        <v>1526</v>
      </c>
      <c r="F3979" s="386">
        <v>2.0</v>
      </c>
      <c r="G3979" s="74">
        <v>540000.0</v>
      </c>
      <c r="H3979" s="74">
        <v>0.0</v>
      </c>
      <c r="I3979" s="74">
        <f t="shared" si="1"/>
        <v>1080000</v>
      </c>
      <c r="J3979" s="74">
        <f>IF(E3979="SERVICE",I3979-(I3979*50%),Vlookup(E3979,DATABASE!C:Q,10,false)*F3979)</f>
        <v>0</v>
      </c>
      <c r="K3979" s="74">
        <f>VLOOKUP(E3979,DATABASE!C:Q,7,false)</f>
        <v>450000</v>
      </c>
      <c r="L3979" s="74">
        <v>437000.0</v>
      </c>
      <c r="M3979" s="74">
        <f t="shared" si="2"/>
        <v>440000</v>
      </c>
      <c r="N3979" s="74">
        <f t="shared" si="3"/>
        <v>200000</v>
      </c>
      <c r="O3979" s="65" t="str">
        <f>VLOOKUP(E3979,DATABASE!C:Q,8,false)</f>
        <v>BIAN</v>
      </c>
      <c r="P3979" s="65">
        <f>VLOOKUP(E3979,DATABASE!C:Q,9,False)</f>
        <v>1</v>
      </c>
      <c r="Q3979" s="93" t="str">
        <f>VLOOKUP(E3979,DATABASE!C:Q,4,false)</f>
        <v>Laufen</v>
      </c>
      <c r="R3979" s="93" t="str">
        <f>VLOOKUP(E3979,DATABASE!C:Q,11,false)</f>
        <v>Tire</v>
      </c>
    </row>
    <row r="3980" ht="22.5" customHeight="1">
      <c r="A3980" s="49"/>
      <c r="C3980" s="384">
        <v>45873.0</v>
      </c>
      <c r="D3980" s="65">
        <v>6706.0</v>
      </c>
      <c r="E3980" s="657" t="s">
        <v>2064</v>
      </c>
      <c r="F3980" s="386">
        <v>2.0</v>
      </c>
      <c r="G3980" s="74">
        <v>700000.0</v>
      </c>
      <c r="H3980" s="74">
        <v>0.0</v>
      </c>
      <c r="I3980" s="74">
        <f t="shared" si="1"/>
        <v>1400000</v>
      </c>
      <c r="J3980" s="74">
        <f>IF(E3980="SERVICE",I3980-(I3980*50%),Vlookup(E3980,DATABASE!C:Q,10,false)*F3980)</f>
        <v>0</v>
      </c>
      <c r="K3980" s="74">
        <f>VLOOKUP(E3980,DATABASE!C:Q,7,false)</f>
        <v>608000</v>
      </c>
      <c r="L3980" s="74">
        <v>608000.0</v>
      </c>
      <c r="M3980" s="74">
        <f t="shared" si="2"/>
        <v>610000</v>
      </c>
      <c r="N3980" s="74">
        <f t="shared" si="3"/>
        <v>180000</v>
      </c>
      <c r="O3980" s="65" t="str">
        <f>VLOOKUP(E3980,DATABASE!C:Q,8,false)</f>
        <v>BIAN</v>
      </c>
      <c r="P3980" s="65">
        <f>VLOOKUP(E3980,DATABASE!C:Q,9,False)</f>
        <v>1</v>
      </c>
      <c r="Q3980" s="93" t="str">
        <f>VLOOKUP(E3980,DATABASE!C:Q,4,false)</f>
        <v>Hankook</v>
      </c>
      <c r="R3980" s="93" t="str">
        <f>VLOOKUP(E3980,DATABASE!C:Q,11,false)</f>
        <v>Tire</v>
      </c>
    </row>
    <row r="3981" ht="22.5" customHeight="1">
      <c r="A3981" s="49"/>
      <c r="C3981" s="384">
        <v>45873.0</v>
      </c>
      <c r="D3981" s="65">
        <v>6706.0</v>
      </c>
      <c r="E3981" s="385" t="s">
        <v>299</v>
      </c>
      <c r="F3981" s="386">
        <v>2.0</v>
      </c>
      <c r="G3981" s="74">
        <v>30000.0</v>
      </c>
      <c r="H3981" s="74">
        <v>0.0</v>
      </c>
      <c r="I3981" s="74">
        <f t="shared" si="1"/>
        <v>60000</v>
      </c>
      <c r="J3981" s="74">
        <f>IF(E3981="SERVICE",I3981-(I3981*50%),Vlookup(E3981,DATABASE!C:Q,10,false)*F3981)</f>
        <v>0</v>
      </c>
      <c r="K3981" s="74">
        <v>0.0</v>
      </c>
      <c r="L3981" s="74">
        <v>0.0</v>
      </c>
      <c r="M3981" s="74">
        <f t="shared" si="2"/>
        <v>0</v>
      </c>
      <c r="N3981" s="74">
        <f t="shared" si="3"/>
        <v>60000</v>
      </c>
      <c r="O3981" s="65" t="str">
        <f>VLOOKUP(E3981,DATABASE!C:Q,8,false)</f>
        <v>BIAN</v>
      </c>
      <c r="P3981" s="65">
        <f>VLOOKUP(E3981,DATABASE!C:Q,9,False)</f>
        <v>0</v>
      </c>
      <c r="Q3981" s="93" t="str">
        <f>VLOOKUP(E3981,DATABASE!C:Q,4,false)</f>
        <v>Balancing</v>
      </c>
      <c r="R3981" s="93" t="str">
        <f>VLOOKUP(E3981,DATABASE!C:Q,11,false)</f>
        <v>COMPLEMENTARY</v>
      </c>
    </row>
    <row r="3982" ht="22.5" customHeight="1">
      <c r="A3982" s="49"/>
      <c r="C3982" s="384">
        <v>45873.0</v>
      </c>
      <c r="D3982" s="65">
        <v>6706.0</v>
      </c>
      <c r="E3982" s="445" t="s">
        <v>256</v>
      </c>
      <c r="F3982" s="386">
        <v>1.0</v>
      </c>
      <c r="G3982" s="74">
        <v>130000.0</v>
      </c>
      <c r="H3982" s="74">
        <v>0.0</v>
      </c>
      <c r="I3982" s="74">
        <f t="shared" si="1"/>
        <v>130000</v>
      </c>
      <c r="J3982" s="74">
        <f>IF(E3982="SERVICE",I3982-(I3982*50%),Vlookup(E3982,DATABASE!C:Q,10,false)*F3982)</f>
        <v>10000</v>
      </c>
      <c r="K3982" s="74">
        <f>VLOOKUP(E3982,DATABASE!C:Q,7,false)</f>
        <v>0</v>
      </c>
      <c r="L3982" s="74">
        <v>0.0</v>
      </c>
      <c r="M3982" s="74">
        <f t="shared" si="2"/>
        <v>0</v>
      </c>
      <c r="N3982" s="74">
        <f t="shared" si="3"/>
        <v>120000</v>
      </c>
      <c r="O3982" s="65" t="str">
        <f>VLOOKUP(E3982,DATABASE!C:Q,8,false)</f>
        <v>IBU</v>
      </c>
      <c r="P3982" s="65">
        <f>VLOOKUP(E3982,DATABASE!C:Q,9,False)</f>
        <v>0</v>
      </c>
      <c r="Q3982" s="93" t="str">
        <f>VLOOKUP(E3982,DATABASE!C:Q,4,false)</f>
        <v>SPOORING</v>
      </c>
      <c r="R3982" s="93" t="str">
        <f>VLOOKUP(E3982,DATABASE!C:Q,11,false)</f>
        <v>SERVICE</v>
      </c>
    </row>
    <row r="3983" ht="22.5" customHeight="1">
      <c r="A3983" s="49"/>
      <c r="C3983" s="384">
        <v>45873.0</v>
      </c>
      <c r="D3983" s="65">
        <v>6707.0</v>
      </c>
      <c r="E3983" s="445" t="s">
        <v>268</v>
      </c>
      <c r="F3983" s="386">
        <v>1.0</v>
      </c>
      <c r="G3983" s="74">
        <v>720000.0</v>
      </c>
      <c r="H3983" s="74">
        <v>0.0</v>
      </c>
      <c r="I3983" s="74">
        <f t="shared" si="1"/>
        <v>720000</v>
      </c>
      <c r="J3983" s="74">
        <f>IF(E3983="SERVICE",I3983-(I3983*50%),Vlookup(E3983,DATABASE!C:Q,10,false)*F3983)</f>
        <v>0</v>
      </c>
      <c r="K3983" s="74">
        <f>VLOOKUP(E3983,DATABASE!C:Q,7,false)</f>
        <v>653000</v>
      </c>
      <c r="L3983" s="74">
        <v>622000.0</v>
      </c>
      <c r="M3983" s="74">
        <f t="shared" si="2"/>
        <v>625000</v>
      </c>
      <c r="N3983" s="74">
        <f t="shared" si="3"/>
        <v>95000</v>
      </c>
      <c r="O3983" s="65" t="str">
        <f>VLOOKUP(E3983,DATABASE!C:Q,8,false)</f>
        <v>IBU</v>
      </c>
      <c r="P3983" s="65">
        <f>VLOOKUP(E3983,DATABASE!C:Q,9,False)</f>
        <v>1</v>
      </c>
      <c r="Q3983" s="93" t="str">
        <f>VLOOKUP(E3983,DATABASE!C:Q,4,false)</f>
        <v>Dunlop</v>
      </c>
      <c r="R3983" s="93" t="str">
        <f>VLOOKUP(E3983,DATABASE!C:Q,11,false)</f>
        <v>Tire</v>
      </c>
    </row>
    <row r="3984" ht="22.5" customHeight="1">
      <c r="A3984" s="49"/>
      <c r="C3984" s="384">
        <v>45873.0</v>
      </c>
      <c r="D3984" s="65">
        <v>6708.0</v>
      </c>
      <c r="E3984" s="445" t="s">
        <v>268</v>
      </c>
      <c r="F3984" s="386">
        <v>2.0</v>
      </c>
      <c r="G3984" s="74">
        <v>720000.0</v>
      </c>
      <c r="H3984" s="74">
        <v>0.0</v>
      </c>
      <c r="I3984" s="74">
        <f t="shared" si="1"/>
        <v>1440000</v>
      </c>
      <c r="J3984" s="74">
        <f>IF(E3984="SERVICE",I3984-(I3984*50%),Vlookup(E3984,DATABASE!C:Q,10,false)*F3984)</f>
        <v>0</v>
      </c>
      <c r="K3984" s="74">
        <f>VLOOKUP(E3984,DATABASE!C:Q,7,false)</f>
        <v>653000</v>
      </c>
      <c r="L3984" s="74">
        <v>622000.0</v>
      </c>
      <c r="M3984" s="74">
        <f t="shared" si="2"/>
        <v>625000</v>
      </c>
      <c r="N3984" s="74">
        <f t="shared" si="3"/>
        <v>190000</v>
      </c>
      <c r="O3984" s="65" t="str">
        <f>VLOOKUP(E3984,DATABASE!C:Q,8,false)</f>
        <v>IBU</v>
      </c>
      <c r="P3984" s="65">
        <f>VLOOKUP(E3984,DATABASE!C:Q,9,False)</f>
        <v>1</v>
      </c>
      <c r="Q3984" s="93" t="str">
        <f>VLOOKUP(E3984,DATABASE!C:Q,4,false)</f>
        <v>Dunlop</v>
      </c>
      <c r="R3984" s="93" t="str">
        <f>VLOOKUP(E3984,DATABASE!C:Q,11,false)</f>
        <v>Tire</v>
      </c>
    </row>
    <row r="3985" ht="22.5" customHeight="1">
      <c r="A3985" s="49"/>
      <c r="C3985" s="384">
        <v>45873.0</v>
      </c>
      <c r="D3985" s="65">
        <v>6709.0</v>
      </c>
      <c r="E3985" s="445" t="s">
        <v>268</v>
      </c>
      <c r="F3985" s="386">
        <v>1.0</v>
      </c>
      <c r="G3985" s="74">
        <v>720000.0</v>
      </c>
      <c r="H3985" s="74">
        <v>0.0</v>
      </c>
      <c r="I3985" s="74">
        <f t="shared" si="1"/>
        <v>720000</v>
      </c>
      <c r="J3985" s="74">
        <f>IF(E3985="SERVICE",I3985-(I3985*50%),Vlookup(E3985,DATABASE!C:Q,10,false)*F3985)</f>
        <v>0</v>
      </c>
      <c r="K3985" s="74">
        <f>VLOOKUP(E3985,DATABASE!C:Q,7,false)</f>
        <v>653000</v>
      </c>
      <c r="L3985" s="74">
        <v>622000.0</v>
      </c>
      <c r="M3985" s="74">
        <f t="shared" si="2"/>
        <v>625000</v>
      </c>
      <c r="N3985" s="74">
        <f t="shared" si="3"/>
        <v>95000</v>
      </c>
      <c r="O3985" s="65" t="str">
        <f>VLOOKUP(E3985,DATABASE!C:Q,8,false)</f>
        <v>IBU</v>
      </c>
      <c r="P3985" s="65">
        <f>VLOOKUP(E3985,DATABASE!C:Q,9,False)</f>
        <v>1</v>
      </c>
      <c r="Q3985" s="93" t="str">
        <f>VLOOKUP(E3985,DATABASE!C:Q,4,false)</f>
        <v>Dunlop</v>
      </c>
      <c r="R3985" s="93" t="str">
        <f>VLOOKUP(E3985,DATABASE!C:Q,11,false)</f>
        <v>Tire</v>
      </c>
    </row>
    <row r="3986" ht="22.5" customHeight="1">
      <c r="A3986" s="49"/>
      <c r="C3986" s="384">
        <v>45873.0</v>
      </c>
      <c r="D3986" s="65">
        <v>6710.0</v>
      </c>
      <c r="E3986" s="445" t="s">
        <v>777</v>
      </c>
      <c r="F3986" s="386">
        <v>2.0</v>
      </c>
      <c r="G3986" s="74">
        <v>580000.0</v>
      </c>
      <c r="H3986" s="74">
        <v>0.0</v>
      </c>
      <c r="I3986" s="74">
        <f t="shared" si="1"/>
        <v>1160000</v>
      </c>
      <c r="J3986" s="74">
        <f>IF(E3986="SERVICE",I3986-(I3986*50%),Vlookup(E3986,DATABASE!C:Q,10,false)*F3986)</f>
        <v>0</v>
      </c>
      <c r="K3986" s="74">
        <f>VLOOKUP(E3986,DATABASE!C:Q,7,false)</f>
        <v>540000</v>
      </c>
      <c r="L3986" s="74">
        <v>507000.0</v>
      </c>
      <c r="M3986" s="74">
        <f t="shared" si="2"/>
        <v>510000</v>
      </c>
      <c r="N3986" s="74">
        <f t="shared" si="3"/>
        <v>140000</v>
      </c>
      <c r="O3986" s="65" t="str">
        <f>VLOOKUP(E3986,DATABASE!C:Q,8,false)</f>
        <v>BIAN</v>
      </c>
      <c r="P3986" s="65">
        <f>VLOOKUP(E3986,DATABASE!C:Q,9,False)</f>
        <v>1</v>
      </c>
      <c r="Q3986" s="93" t="str">
        <f>VLOOKUP(E3986,DATABASE!C:Q,4,false)</f>
        <v>GT</v>
      </c>
      <c r="R3986" s="93" t="str">
        <f>VLOOKUP(E3986,DATABASE!C:Q,11,false)</f>
        <v>Tire</v>
      </c>
    </row>
    <row r="3987" ht="22.5" customHeight="1">
      <c r="A3987" s="49"/>
      <c r="C3987" s="384">
        <v>45873.0</v>
      </c>
      <c r="D3987" s="65">
        <v>6710.0</v>
      </c>
      <c r="E3987" s="445" t="s">
        <v>250</v>
      </c>
      <c r="F3987" s="386">
        <v>1.0</v>
      </c>
      <c r="G3987" s="74">
        <v>135000.0</v>
      </c>
      <c r="H3987" s="74">
        <v>0.0</v>
      </c>
      <c r="I3987" s="74">
        <f t="shared" si="1"/>
        <v>135000</v>
      </c>
      <c r="J3987" s="74">
        <f>IF(E3987="SERVICE",I3987-(I3987*50%),Vlookup(E3987,DATABASE!C:Q,10,false)*F3987)</f>
        <v>0</v>
      </c>
      <c r="K3987" s="74">
        <f>VLOOKUP(E3987,DATABASE!C:Q,7,false)</f>
        <v>102000</v>
      </c>
      <c r="L3987" s="74">
        <v>102000.0</v>
      </c>
      <c r="M3987" s="74">
        <f t="shared" si="2"/>
        <v>105000</v>
      </c>
      <c r="N3987" s="74">
        <f t="shared" si="3"/>
        <v>30000</v>
      </c>
      <c r="O3987" s="65" t="str">
        <f>VLOOKUP(E3987,DATABASE!C:Q,8,false)</f>
        <v>BIAN</v>
      </c>
      <c r="P3987" s="65">
        <f>VLOOKUP(E3987,DATABASE!C:Q,9,False)</f>
        <v>1</v>
      </c>
      <c r="Q3987" s="93" t="str">
        <f>VLOOKUP(E3987,DATABASE!C:Q,4,false)</f>
        <v>BD</v>
      </c>
      <c r="R3987" s="93" t="str">
        <f>VLOOKUP(E3987,DATABASE!C:Q,11,false)</f>
        <v>Tire</v>
      </c>
    </row>
    <row r="3988" ht="22.5" customHeight="1">
      <c r="A3988" s="49"/>
      <c r="C3988" s="384">
        <v>45873.0</v>
      </c>
      <c r="D3988" s="65">
        <v>6711.0</v>
      </c>
      <c r="E3988" s="445" t="s">
        <v>569</v>
      </c>
      <c r="F3988" s="386">
        <v>1.0</v>
      </c>
      <c r="G3988" s="74">
        <v>80000.0</v>
      </c>
      <c r="H3988" s="74">
        <v>0.0</v>
      </c>
      <c r="I3988" s="74">
        <f t="shared" si="1"/>
        <v>80000</v>
      </c>
      <c r="J3988" s="74">
        <f>IF(E3988="SERVICE",I3988-(I3988*50%),Vlookup(E3988,DATABASE!C:Q,10,false)*F3988)</f>
        <v>0</v>
      </c>
      <c r="K3988" s="74">
        <f>VLOOKUP(E3988,DATABASE!C:Q,7,false)</f>
        <v>45439.582</v>
      </c>
      <c r="L3988" s="74">
        <v>45309.6</v>
      </c>
      <c r="M3988" s="74">
        <f t="shared" si="2"/>
        <v>50000</v>
      </c>
      <c r="N3988" s="74">
        <f t="shared" si="3"/>
        <v>30000</v>
      </c>
      <c r="O3988" s="65" t="str">
        <f>VLOOKUP(E3988,DATABASE!C:Q,8,false)</f>
        <v>BIAN</v>
      </c>
      <c r="P3988" s="65">
        <f>VLOOKUP(E3988,DATABASE!C:Q,9,False)</f>
        <v>1</v>
      </c>
      <c r="Q3988" s="93" t="str">
        <f>VLOOKUP(E3988,DATABASE!C:Q,4,false)</f>
        <v>BD</v>
      </c>
      <c r="R3988" s="93" t="str">
        <f>VLOOKUP(E3988,DATABASE!C:Q,11,false)</f>
        <v>Tire</v>
      </c>
    </row>
    <row r="3989" ht="22.5" customHeight="1">
      <c r="A3989" s="49"/>
      <c r="C3989" s="384">
        <v>45873.0</v>
      </c>
      <c r="D3989" s="65">
        <v>6712.0</v>
      </c>
      <c r="E3989" s="445" t="s">
        <v>1439</v>
      </c>
      <c r="F3989" s="386">
        <v>1.0</v>
      </c>
      <c r="G3989" s="74">
        <v>630000.0</v>
      </c>
      <c r="H3989" s="74">
        <v>0.0</v>
      </c>
      <c r="I3989" s="74">
        <f t="shared" si="1"/>
        <v>630000</v>
      </c>
      <c r="J3989" s="74">
        <f>IF(E3989="SERVICE",I3989-(I3989*50%),Vlookup(E3989,DATABASE!C:Q,10,false)*F3989)</f>
        <v>0</v>
      </c>
      <c r="K3989" s="74">
        <f>VLOOKUP(E3989,DATABASE!C:Q,7,false)</f>
        <v>556800</v>
      </c>
      <c r="L3989" s="74">
        <v>540800.0</v>
      </c>
      <c r="M3989" s="74">
        <f t="shared" si="2"/>
        <v>545000</v>
      </c>
      <c r="N3989" s="74">
        <f t="shared" si="3"/>
        <v>85000</v>
      </c>
      <c r="O3989" s="65" t="str">
        <f>VLOOKUP(E3989,DATABASE!C:Q,8,false)</f>
        <v>BIAN</v>
      </c>
      <c r="P3989" s="65">
        <f>VLOOKUP(E3989,DATABASE!C:Q,9,False)</f>
        <v>1</v>
      </c>
      <c r="Q3989" s="93" t="str">
        <f>VLOOKUP(E3989,DATABASE!C:Q,4,false)</f>
        <v>GT</v>
      </c>
      <c r="R3989" s="93" t="str">
        <f>VLOOKUP(E3989,DATABASE!C:Q,11,false)</f>
        <v>Tire</v>
      </c>
    </row>
    <row r="3990" ht="22.5" customHeight="1">
      <c r="A3990" s="49"/>
      <c r="C3990" s="384">
        <v>45873.0</v>
      </c>
      <c r="D3990" s="65">
        <v>6713.0</v>
      </c>
      <c r="E3990" s="445" t="s">
        <v>403</v>
      </c>
      <c r="F3990" s="386">
        <v>2.0</v>
      </c>
      <c r="G3990" s="74">
        <v>2260000.0</v>
      </c>
      <c r="H3990" s="74">
        <v>0.0</v>
      </c>
      <c r="I3990" s="74">
        <f t="shared" si="1"/>
        <v>4520000</v>
      </c>
      <c r="J3990" s="74">
        <f>IF(E3990="SERVICE",I3990-(I3990*50%),Vlookup(E3990,DATABASE!C:Q,10,false)*F3990)</f>
        <v>0</v>
      </c>
      <c r="K3990" s="74">
        <f>VLOOKUP(E3990,DATABASE!C:Q,7,false)</f>
        <v>2160000</v>
      </c>
      <c r="L3990" s="74">
        <v>2160000.0</v>
      </c>
      <c r="M3990" s="74">
        <f t="shared" si="2"/>
        <v>2160000</v>
      </c>
      <c r="N3990" s="74">
        <f t="shared" si="3"/>
        <v>200000</v>
      </c>
      <c r="O3990" s="65" t="str">
        <f>VLOOKUP(E3990,DATABASE!C:Q,8,false)</f>
        <v>BIAN</v>
      </c>
      <c r="P3990" s="65">
        <f>VLOOKUP(E3990,DATABASE!C:Q,9,False)</f>
        <v>1</v>
      </c>
      <c r="Q3990" s="93" t="str">
        <f>VLOOKUP(E3990,DATABASE!C:Q,4,false)</f>
        <v>Advance</v>
      </c>
      <c r="R3990" s="93" t="str">
        <f>VLOOKUP(E3990,DATABASE!C:Q,11,false)</f>
        <v>Tire</v>
      </c>
    </row>
    <row r="3991" ht="22.5" customHeight="1">
      <c r="A3991" s="49"/>
      <c r="C3991" s="384">
        <v>45873.0</v>
      </c>
      <c r="D3991" s="65">
        <v>6715.0</v>
      </c>
      <c r="E3991" s="445" t="s">
        <v>955</v>
      </c>
      <c r="F3991" s="386">
        <v>2.0</v>
      </c>
      <c r="G3991" s="74">
        <v>780000.0</v>
      </c>
      <c r="H3991" s="74">
        <v>0.0</v>
      </c>
      <c r="I3991" s="74">
        <f t="shared" si="1"/>
        <v>1560000</v>
      </c>
      <c r="J3991" s="74">
        <f>IF(E3991="SERVICE",I3991-(I3991*50%),Vlookup(E3991,DATABASE!C:Q,10,false)*F3991)</f>
        <v>0</v>
      </c>
      <c r="K3991" s="74">
        <f>VLOOKUP(E3991,DATABASE!C:Q,7,false)</f>
        <v>712000</v>
      </c>
      <c r="L3991" s="74">
        <v>674000.0</v>
      </c>
      <c r="M3991" s="74">
        <f t="shared" si="2"/>
        <v>675000</v>
      </c>
      <c r="N3991" s="74">
        <f t="shared" si="3"/>
        <v>210000</v>
      </c>
      <c r="O3991" s="65" t="str">
        <f>VLOOKUP(E3991,DATABASE!C:Q,8,false)</f>
        <v>IBU</v>
      </c>
      <c r="P3991" s="65">
        <f>VLOOKUP(E3991,DATABASE!C:Q,9,False)</f>
        <v>1</v>
      </c>
      <c r="Q3991" s="93" t="str">
        <f>VLOOKUP(E3991,DATABASE!C:Q,4,false)</f>
        <v>Dunlop</v>
      </c>
      <c r="R3991" s="93" t="str">
        <f>VLOOKUP(E3991,DATABASE!C:Q,11,false)</f>
        <v>Tire</v>
      </c>
    </row>
    <row r="3992" ht="22.5" customHeight="1">
      <c r="A3992" s="49"/>
      <c r="C3992" s="384">
        <v>45873.0</v>
      </c>
      <c r="D3992" s="65">
        <v>6716.0</v>
      </c>
      <c r="E3992" s="445" t="s">
        <v>265</v>
      </c>
      <c r="F3992" s="386">
        <v>1.0</v>
      </c>
      <c r="G3992" s="74">
        <v>700000.0</v>
      </c>
      <c r="H3992" s="74">
        <v>0.0</v>
      </c>
      <c r="I3992" s="74">
        <f t="shared" si="1"/>
        <v>700000</v>
      </c>
      <c r="J3992" s="74">
        <f>IF(E3992="SERVICE",I3992-(I3992*50%),Vlookup(E3992,DATABASE!C:Q,10,false)*F3992)</f>
        <v>0</v>
      </c>
      <c r="K3992" s="74">
        <f>VLOOKUP(E3992,DATABASE!C:Q,7,false)</f>
        <v>628000</v>
      </c>
      <c r="L3992" s="74">
        <v>610000.0</v>
      </c>
      <c r="M3992" s="74">
        <f t="shared" si="2"/>
        <v>610000</v>
      </c>
      <c r="N3992" s="74">
        <f t="shared" si="3"/>
        <v>90000</v>
      </c>
      <c r="O3992" s="65" t="str">
        <f>VLOOKUP(E3992,DATABASE!C:Q,8,false)</f>
        <v>IBU</v>
      </c>
      <c r="P3992" s="65">
        <f>VLOOKUP(E3992,DATABASE!C:Q,9,False)</f>
        <v>1</v>
      </c>
      <c r="Q3992" s="93" t="str">
        <f>VLOOKUP(E3992,DATABASE!C:Q,4,false)</f>
        <v>Dunlop</v>
      </c>
      <c r="R3992" s="93" t="str">
        <f>VLOOKUP(E3992,DATABASE!C:Q,11,false)</f>
        <v>Tire</v>
      </c>
    </row>
    <row r="3993" ht="22.5" customHeight="1">
      <c r="A3993" s="49"/>
      <c r="C3993" s="384">
        <v>45873.0</v>
      </c>
      <c r="D3993" s="65">
        <v>6717.0</v>
      </c>
      <c r="E3993" s="445" t="s">
        <v>256</v>
      </c>
      <c r="F3993" s="386">
        <v>1.0</v>
      </c>
      <c r="G3993" s="74">
        <v>130000.0</v>
      </c>
      <c r="H3993" s="74">
        <v>0.0</v>
      </c>
      <c r="I3993" s="74">
        <f t="shared" si="1"/>
        <v>130000</v>
      </c>
      <c r="J3993" s="74">
        <f>IF(E3993="SERVICE",I3993-(I3993*50%),Vlookup(E3993,DATABASE!C:Q,10,false)*F3993)</f>
        <v>10000</v>
      </c>
      <c r="K3993" s="74">
        <f>VLOOKUP(E3993,DATABASE!C:Q,7,false)</f>
        <v>0</v>
      </c>
      <c r="L3993" s="74">
        <v>0.0</v>
      </c>
      <c r="M3993" s="74">
        <f t="shared" si="2"/>
        <v>0</v>
      </c>
      <c r="N3993" s="74">
        <f t="shared" si="3"/>
        <v>120000</v>
      </c>
      <c r="O3993" s="65" t="str">
        <f>VLOOKUP(E3993,DATABASE!C:Q,8,false)</f>
        <v>IBU</v>
      </c>
      <c r="P3993" s="65">
        <f>VLOOKUP(E3993,DATABASE!C:Q,9,False)</f>
        <v>0</v>
      </c>
      <c r="Q3993" s="93" t="str">
        <f>VLOOKUP(E3993,DATABASE!C:Q,4,false)</f>
        <v>SPOORING</v>
      </c>
      <c r="R3993" s="93" t="str">
        <f>VLOOKUP(E3993,DATABASE!C:Q,11,false)</f>
        <v>SERVICE</v>
      </c>
    </row>
    <row r="3994" ht="22.5" customHeight="1">
      <c r="A3994" s="49"/>
      <c r="C3994" s="384">
        <v>45873.0</v>
      </c>
      <c r="D3994" s="65">
        <v>6717.0</v>
      </c>
      <c r="E3994" s="445" t="s">
        <v>251</v>
      </c>
      <c r="F3994" s="386">
        <v>1.0</v>
      </c>
      <c r="G3994" s="74">
        <v>150000.0</v>
      </c>
      <c r="H3994" s="74">
        <v>0.0</v>
      </c>
      <c r="I3994" s="74">
        <f t="shared" si="1"/>
        <v>150000</v>
      </c>
      <c r="J3994" s="74">
        <f>IF(E3994="SERVICE",I3994-(I3994*50%),Vlookup(E3994,DATABASE!C:Q,10,false)*F3994)</f>
        <v>75000</v>
      </c>
      <c r="K3994" s="74">
        <f>VLOOKUP(E3994,DATABASE!C:Q,7,false)</f>
        <v>0</v>
      </c>
      <c r="L3994" s="74">
        <v>0.0</v>
      </c>
      <c r="M3994" s="74">
        <f t="shared" si="2"/>
        <v>0</v>
      </c>
      <c r="N3994" s="74">
        <f t="shared" si="3"/>
        <v>75000</v>
      </c>
      <c r="O3994" s="65" t="str">
        <f>VLOOKUP(E3994,DATABASE!C:Q,8,false)</f>
        <v>IBU</v>
      </c>
      <c r="P3994" s="65">
        <f>VLOOKUP(E3994,DATABASE!C:Q,9,False)</f>
        <v>0</v>
      </c>
      <c r="Q3994" s="93" t="str">
        <f>VLOOKUP(E3994,DATABASE!C:Q,4,false)</f>
        <v>SERVICE</v>
      </c>
      <c r="R3994" s="93" t="str">
        <f>VLOOKUP(E3994,DATABASE!C:Q,11,false)</f>
        <v>SERVICE</v>
      </c>
    </row>
    <row r="3995" ht="22.5" customHeight="1">
      <c r="A3995" s="49"/>
      <c r="C3995" s="384">
        <v>45873.0</v>
      </c>
      <c r="D3995" s="65">
        <v>6719.0</v>
      </c>
      <c r="E3995" s="445" t="s">
        <v>2140</v>
      </c>
      <c r="F3995" s="386">
        <v>1.0</v>
      </c>
      <c r="G3995" s="74">
        <v>15000.0</v>
      </c>
      <c r="H3995" s="74">
        <v>0.0</v>
      </c>
      <c r="I3995" s="74">
        <f t="shared" si="1"/>
        <v>15000</v>
      </c>
      <c r="J3995" s="74">
        <f>IF(E3995="SERVICE",I3995-(I3995*50%),Vlookup(E3995,DATABASE!C:Q,10,false)*F3995)</f>
        <v>0</v>
      </c>
      <c r="K3995" s="74">
        <f>VLOOKUP(E3995,DATABASE!C:Q,7,false)</f>
        <v>5000</v>
      </c>
      <c r="L3995" s="74">
        <v>0.0</v>
      </c>
      <c r="M3995" s="74">
        <f t="shared" si="2"/>
        <v>0</v>
      </c>
      <c r="N3995" s="74">
        <f t="shared" si="3"/>
        <v>15000</v>
      </c>
      <c r="O3995" s="65" t="str">
        <f>VLOOKUP(E3995,DATABASE!C:Q,8,false)</f>
        <v>IBU</v>
      </c>
      <c r="P3995" s="65">
        <f>VLOOKUP(E3995,DATABASE!C:Q,9,False)</f>
        <v>0</v>
      </c>
      <c r="Q3995" s="93" t="str">
        <f>VLOOKUP(E3995,DATABASE!C:Q,4,false)</f>
        <v>PENTIL + PASANG</v>
      </c>
      <c r="R3995" s="93" t="str">
        <f>VLOOKUP(E3995,DATABASE!C:Q,11,false)</f>
        <v>COMPLEMENTARY</v>
      </c>
    </row>
    <row r="3996" ht="22.5" customHeight="1">
      <c r="A3996" s="49"/>
      <c r="C3996" s="384">
        <v>45874.0</v>
      </c>
      <c r="D3996" s="65">
        <v>6720.0</v>
      </c>
      <c r="E3996" s="445" t="s">
        <v>262</v>
      </c>
      <c r="F3996" s="386">
        <v>1.0</v>
      </c>
      <c r="G3996" s="74">
        <v>110000.0</v>
      </c>
      <c r="H3996" s="74">
        <v>0.0</v>
      </c>
      <c r="I3996" s="74">
        <f t="shared" si="1"/>
        <v>110000</v>
      </c>
      <c r="J3996" s="74">
        <f>IF(E3996="SERVICE",I3996-(I3996*50%),Vlookup(E3996,DATABASE!C:Q,10,false)*F3996)</f>
        <v>5000</v>
      </c>
      <c r="K3996" s="74">
        <f>VLOOKUP(E3996,DATABASE!C:Q,7,false)</f>
        <v>0</v>
      </c>
      <c r="L3996" s="74">
        <v>0.0</v>
      </c>
      <c r="M3996" s="74">
        <f t="shared" si="2"/>
        <v>0</v>
      </c>
      <c r="N3996" s="74">
        <f t="shared" si="3"/>
        <v>105000</v>
      </c>
      <c r="O3996" s="65" t="str">
        <f>VLOOKUP(E3996,DATABASE!C:Q,8,false)</f>
        <v>IBU</v>
      </c>
      <c r="P3996" s="65">
        <f>VLOOKUP(E3996,DATABASE!C:Q,9,False)</f>
        <v>0</v>
      </c>
      <c r="Q3996" s="93" t="str">
        <f>VLOOKUP(E3996,DATABASE!C:Q,4,false)</f>
        <v>SPOORING SS/CARRY LOS BAK</v>
      </c>
      <c r="R3996" s="93" t="str">
        <f>VLOOKUP(E3996,DATABASE!C:Q,11,false)</f>
        <v>SERVICE</v>
      </c>
    </row>
    <row r="3997" ht="22.5" customHeight="1">
      <c r="A3997" s="49"/>
      <c r="C3997" s="384">
        <v>45874.0</v>
      </c>
      <c r="D3997" s="65">
        <v>6720.0</v>
      </c>
      <c r="E3997" s="385" t="s">
        <v>299</v>
      </c>
      <c r="F3997" s="386">
        <v>2.0</v>
      </c>
      <c r="G3997" s="74">
        <v>30000.0</v>
      </c>
      <c r="H3997" s="74">
        <v>0.0</v>
      </c>
      <c r="I3997" s="74">
        <f t="shared" si="1"/>
        <v>60000</v>
      </c>
      <c r="J3997" s="74">
        <f>IF(E3997="SERVICE",I3997-(I3997*50%),Vlookup(E3997,DATABASE!C:Q,10,false)*F3997)</f>
        <v>0</v>
      </c>
      <c r="K3997" s="74">
        <v>0.0</v>
      </c>
      <c r="L3997" s="74">
        <v>0.0</v>
      </c>
      <c r="M3997" s="74">
        <f t="shared" si="2"/>
        <v>0</v>
      </c>
      <c r="N3997" s="74">
        <f t="shared" si="3"/>
        <v>60000</v>
      </c>
      <c r="O3997" s="65" t="str">
        <f>VLOOKUP(E3997,DATABASE!C:Q,8,false)</f>
        <v>BIAN</v>
      </c>
      <c r="P3997" s="65">
        <f>VLOOKUP(E3997,DATABASE!C:Q,9,False)</f>
        <v>0</v>
      </c>
      <c r="Q3997" s="93" t="str">
        <f>VLOOKUP(E3997,DATABASE!C:Q,4,false)</f>
        <v>Balancing</v>
      </c>
      <c r="R3997" s="93" t="str">
        <f>VLOOKUP(E3997,DATABASE!C:Q,11,false)</f>
        <v>COMPLEMENTARY</v>
      </c>
    </row>
    <row r="3998" ht="22.5" customHeight="1">
      <c r="A3998" s="49"/>
      <c r="C3998" s="384">
        <v>45874.0</v>
      </c>
      <c r="D3998" s="65">
        <v>6720.0</v>
      </c>
      <c r="E3998" s="445" t="s">
        <v>478</v>
      </c>
      <c r="F3998" s="386">
        <v>1.0</v>
      </c>
      <c r="G3998" s="74">
        <v>200000.0</v>
      </c>
      <c r="H3998" s="74">
        <v>0.0</v>
      </c>
      <c r="I3998" s="74">
        <f t="shared" si="1"/>
        <v>200000</v>
      </c>
      <c r="J3998" s="74">
        <f>IF(E3998="SERVICE",I3998-(I3998*50%),Vlookup(E3998,DATABASE!C:Q,10,false)*F3998)</f>
        <v>25000</v>
      </c>
      <c r="K3998" s="74">
        <f>VLOOKUP(E3998,DATABASE!C:Q,7,false)</f>
        <v>75000</v>
      </c>
      <c r="L3998" s="74">
        <v>75000.0</v>
      </c>
      <c r="M3998" s="74">
        <f t="shared" si="2"/>
        <v>75000</v>
      </c>
      <c r="N3998" s="74">
        <f t="shared" si="3"/>
        <v>100000</v>
      </c>
      <c r="O3998" s="65" t="str">
        <f>VLOOKUP(E3998,DATABASE!C:Q,8,false)</f>
        <v>BIAN</v>
      </c>
      <c r="P3998" s="65">
        <f>VLOOKUP(E3998,DATABASE!C:Q,9,False)</f>
        <v>0</v>
      </c>
      <c r="Q3998" s="93" t="str">
        <f>VLOOKUP(E3998,DATABASE!C:Q,4,false)</f>
        <v>Baut Camber ss-carry</v>
      </c>
      <c r="R3998" s="93" t="str">
        <f>VLOOKUP(E3998,DATABASE!C:Q,11,false)</f>
        <v>COMPLEMENTARY</v>
      </c>
    </row>
    <row r="3999" ht="22.5" customHeight="1">
      <c r="A3999" s="49"/>
      <c r="C3999" s="384">
        <v>45874.0</v>
      </c>
      <c r="D3999" s="65">
        <v>6721.0</v>
      </c>
      <c r="E3999" s="445" t="s">
        <v>265</v>
      </c>
      <c r="F3999" s="386">
        <v>2.0</v>
      </c>
      <c r="G3999" s="74">
        <v>700000.0</v>
      </c>
      <c r="H3999" s="74">
        <v>0.0</v>
      </c>
      <c r="I3999" s="74">
        <f t="shared" si="1"/>
        <v>1400000</v>
      </c>
      <c r="J3999" s="74">
        <f>IF(E3999="SERVICE",I3999-(I3999*50%),Vlookup(E3999,DATABASE!C:Q,10,false)*F3999)</f>
        <v>0</v>
      </c>
      <c r="K3999" s="74">
        <f>VLOOKUP(E3999,DATABASE!C:Q,7,false)</f>
        <v>628000</v>
      </c>
      <c r="L3999" s="74">
        <v>610000.0</v>
      </c>
      <c r="M3999" s="74">
        <f t="shared" si="2"/>
        <v>610000</v>
      </c>
      <c r="N3999" s="74">
        <f t="shared" si="3"/>
        <v>180000</v>
      </c>
      <c r="O3999" s="65" t="str">
        <f>VLOOKUP(E3999,DATABASE!C:Q,8,false)</f>
        <v>IBU</v>
      </c>
      <c r="P3999" s="65">
        <f>VLOOKUP(E3999,DATABASE!C:Q,9,False)</f>
        <v>1</v>
      </c>
      <c r="Q3999" s="93" t="str">
        <f>VLOOKUP(E3999,DATABASE!C:Q,4,false)</f>
        <v>Dunlop</v>
      </c>
      <c r="R3999" s="93" t="str">
        <f>VLOOKUP(E3999,DATABASE!C:Q,11,false)</f>
        <v>Tire</v>
      </c>
    </row>
    <row r="4000" ht="22.5" customHeight="1">
      <c r="A4000" s="49"/>
      <c r="C4000" s="384">
        <v>45874.0</v>
      </c>
      <c r="D4000" s="65">
        <v>6722.0</v>
      </c>
      <c r="E4000" s="445" t="s">
        <v>265</v>
      </c>
      <c r="F4000" s="386">
        <v>1.0</v>
      </c>
      <c r="G4000" s="74">
        <v>700000.0</v>
      </c>
      <c r="H4000" s="74">
        <v>0.0</v>
      </c>
      <c r="I4000" s="74">
        <f t="shared" si="1"/>
        <v>700000</v>
      </c>
      <c r="J4000" s="74">
        <f>IF(E4000="SERVICE",I4000-(I4000*50%),Vlookup(E4000,DATABASE!C:Q,10,false)*F4000)</f>
        <v>0</v>
      </c>
      <c r="K4000" s="74">
        <f>VLOOKUP(E4000,DATABASE!C:Q,7,false)</f>
        <v>628000</v>
      </c>
      <c r="L4000" s="74">
        <v>610000.0</v>
      </c>
      <c r="M4000" s="74">
        <f t="shared" si="2"/>
        <v>610000</v>
      </c>
      <c r="N4000" s="74">
        <f t="shared" si="3"/>
        <v>90000</v>
      </c>
      <c r="O4000" s="65" t="str">
        <f>VLOOKUP(E4000,DATABASE!C:Q,8,false)</f>
        <v>IBU</v>
      </c>
      <c r="P4000" s="65">
        <f>VLOOKUP(E4000,DATABASE!C:Q,9,False)</f>
        <v>1</v>
      </c>
      <c r="Q4000" s="93" t="str">
        <f>VLOOKUP(E4000,DATABASE!C:Q,4,false)</f>
        <v>Dunlop</v>
      </c>
      <c r="R4000" s="93" t="str">
        <f>VLOOKUP(E4000,DATABASE!C:Q,11,false)</f>
        <v>Tire</v>
      </c>
    </row>
    <row r="4001" ht="22.5" customHeight="1">
      <c r="A4001" s="49"/>
      <c r="C4001" s="384">
        <v>45874.0</v>
      </c>
      <c r="D4001" s="65">
        <v>6723.0</v>
      </c>
      <c r="E4001" s="657" t="s">
        <v>2064</v>
      </c>
      <c r="F4001" s="386">
        <v>1.0</v>
      </c>
      <c r="G4001" s="74">
        <v>700000.0</v>
      </c>
      <c r="H4001" s="74">
        <v>0.0</v>
      </c>
      <c r="I4001" s="74">
        <f t="shared" si="1"/>
        <v>700000</v>
      </c>
      <c r="J4001" s="74">
        <f>IF(E4001="SERVICE",I4001-(I4001*50%),Vlookup(E4001,DATABASE!C:Q,10,false)*F4001)</f>
        <v>0</v>
      </c>
      <c r="K4001" s="74">
        <f>VLOOKUP(E4001,DATABASE!C:Q,7,false)</f>
        <v>608000</v>
      </c>
      <c r="L4001" s="74">
        <v>608000.0</v>
      </c>
      <c r="M4001" s="74">
        <f t="shared" si="2"/>
        <v>610000</v>
      </c>
      <c r="N4001" s="74">
        <f t="shared" si="3"/>
        <v>90000</v>
      </c>
      <c r="O4001" s="65" t="str">
        <f>VLOOKUP(E4001,DATABASE!C:Q,8,false)</f>
        <v>BIAN</v>
      </c>
      <c r="P4001" s="65">
        <f>VLOOKUP(E4001,DATABASE!C:Q,9,False)</f>
        <v>1</v>
      </c>
      <c r="Q4001" s="93" t="str">
        <f>VLOOKUP(E4001,DATABASE!C:Q,4,false)</f>
        <v>Hankook</v>
      </c>
      <c r="R4001" s="93" t="str">
        <f>VLOOKUP(E4001,DATABASE!C:Q,11,false)</f>
        <v>Tire</v>
      </c>
    </row>
    <row r="4002" ht="22.5" customHeight="1">
      <c r="A4002" s="49"/>
      <c r="C4002" s="384">
        <v>45874.0</v>
      </c>
      <c r="D4002" s="65">
        <v>6725.0</v>
      </c>
      <c r="E4002" s="445" t="s">
        <v>391</v>
      </c>
      <c r="F4002" s="386">
        <v>1.0</v>
      </c>
      <c r="G4002" s="74">
        <v>1950000.0</v>
      </c>
      <c r="H4002" s="74">
        <v>0.0</v>
      </c>
      <c r="I4002" s="74">
        <f t="shared" si="1"/>
        <v>1950000</v>
      </c>
      <c r="J4002" s="74">
        <f>IF(E4002="SERVICE",I4002-(I4002*50%),Vlookup(E4002,DATABASE!C:Q,10,false)*F4002)</f>
        <v>0</v>
      </c>
      <c r="K4002" s="74">
        <f>VLOOKUP(E4002,DATABASE!C:Q,7,false)</f>
        <v>1885000</v>
      </c>
      <c r="L4002" s="74">
        <v>1840000.0</v>
      </c>
      <c r="M4002" s="74">
        <f t="shared" si="2"/>
        <v>1840000</v>
      </c>
      <c r="N4002" s="74">
        <f t="shared" si="3"/>
        <v>110000</v>
      </c>
      <c r="O4002" s="65" t="str">
        <f>VLOOKUP(E4002,DATABASE!C:Q,8,false)</f>
        <v>BIAN</v>
      </c>
      <c r="P4002" s="65">
        <f>VLOOKUP(E4002,DATABASE!C:Q,9,False)</f>
        <v>1</v>
      </c>
      <c r="Q4002" s="93" t="str">
        <f>VLOOKUP(E4002,DATABASE!C:Q,4,false)</f>
        <v>Advance</v>
      </c>
      <c r="R4002" s="93" t="str">
        <f>VLOOKUP(E4002,DATABASE!C:Q,11,false)</f>
        <v>Tire</v>
      </c>
    </row>
    <row r="4003" ht="22.5" customHeight="1">
      <c r="A4003" s="49"/>
      <c r="C4003" s="384">
        <v>45874.0</v>
      </c>
      <c r="D4003" s="65">
        <v>6727.0</v>
      </c>
      <c r="E4003" s="445" t="s">
        <v>265</v>
      </c>
      <c r="F4003" s="386">
        <v>2.0</v>
      </c>
      <c r="G4003" s="74">
        <v>700000.0</v>
      </c>
      <c r="H4003" s="74">
        <v>0.0</v>
      </c>
      <c r="I4003" s="74">
        <f t="shared" si="1"/>
        <v>1400000</v>
      </c>
      <c r="J4003" s="74">
        <f>IF(E4003="SERVICE",I4003-(I4003*50%),Vlookup(E4003,DATABASE!C:Q,10,false)*F4003)</f>
        <v>0</v>
      </c>
      <c r="K4003" s="74">
        <f>VLOOKUP(E4003,DATABASE!C:Q,7,false)</f>
        <v>628000</v>
      </c>
      <c r="L4003" s="74">
        <v>610000.0</v>
      </c>
      <c r="M4003" s="74">
        <f t="shared" si="2"/>
        <v>610000</v>
      </c>
      <c r="N4003" s="74">
        <f t="shared" si="3"/>
        <v>180000</v>
      </c>
      <c r="O4003" s="65" t="str">
        <f>VLOOKUP(E4003,DATABASE!C:Q,8,false)</f>
        <v>IBU</v>
      </c>
      <c r="P4003" s="65">
        <f>VLOOKUP(E4003,DATABASE!C:Q,9,False)</f>
        <v>1</v>
      </c>
      <c r="Q4003" s="93" t="str">
        <f>VLOOKUP(E4003,DATABASE!C:Q,4,false)</f>
        <v>Dunlop</v>
      </c>
      <c r="R4003" s="93" t="str">
        <f>VLOOKUP(E4003,DATABASE!C:Q,11,false)</f>
        <v>Tire</v>
      </c>
    </row>
    <row r="4004" ht="22.5" customHeight="1">
      <c r="A4004" s="49"/>
      <c r="C4004" s="384">
        <v>45874.0</v>
      </c>
      <c r="D4004" s="65">
        <v>6728.0</v>
      </c>
      <c r="E4004" s="445" t="s">
        <v>256</v>
      </c>
      <c r="F4004" s="386">
        <v>1.0</v>
      </c>
      <c r="G4004" s="74">
        <v>130000.0</v>
      </c>
      <c r="H4004" s="74">
        <v>0.0</v>
      </c>
      <c r="I4004" s="74">
        <f t="shared" si="1"/>
        <v>130000</v>
      </c>
      <c r="J4004" s="74">
        <f>IF(E4004="SERVICE",I4004-(I4004*50%),Vlookup(E4004,DATABASE!C:Q,10,false)*F4004)</f>
        <v>10000</v>
      </c>
      <c r="K4004" s="74">
        <f>VLOOKUP(E4004,DATABASE!C:Q,7,false)</f>
        <v>0</v>
      </c>
      <c r="L4004" s="74">
        <v>0.0</v>
      </c>
      <c r="M4004" s="74">
        <f t="shared" si="2"/>
        <v>0</v>
      </c>
      <c r="N4004" s="74">
        <f t="shared" si="3"/>
        <v>120000</v>
      </c>
      <c r="O4004" s="65" t="str">
        <f>VLOOKUP(E4004,DATABASE!C:Q,8,false)</f>
        <v>IBU</v>
      </c>
      <c r="P4004" s="65">
        <f>VLOOKUP(E4004,DATABASE!C:Q,9,False)</f>
        <v>0</v>
      </c>
      <c r="Q4004" s="93" t="str">
        <f>VLOOKUP(E4004,DATABASE!C:Q,4,false)</f>
        <v>SPOORING</v>
      </c>
      <c r="R4004" s="93" t="str">
        <f>VLOOKUP(E4004,DATABASE!C:Q,11,false)</f>
        <v>SERVICE</v>
      </c>
    </row>
    <row r="4005" ht="22.5" customHeight="1">
      <c r="A4005" s="49"/>
      <c r="C4005" s="384">
        <v>45874.0</v>
      </c>
      <c r="D4005" s="65">
        <v>6728.0</v>
      </c>
      <c r="E4005" s="385" t="s">
        <v>299</v>
      </c>
      <c r="F4005" s="386">
        <v>2.0</v>
      </c>
      <c r="G4005" s="74">
        <v>30000.0</v>
      </c>
      <c r="H4005" s="74">
        <v>0.0</v>
      </c>
      <c r="I4005" s="74">
        <f t="shared" si="1"/>
        <v>60000</v>
      </c>
      <c r="J4005" s="74">
        <f>IF(E4005="SERVICE",I4005-(I4005*50%),Vlookup(E4005,DATABASE!C:Q,10,false)*F4005)</f>
        <v>0</v>
      </c>
      <c r="K4005" s="74">
        <v>0.0</v>
      </c>
      <c r="L4005" s="74">
        <v>0.0</v>
      </c>
      <c r="M4005" s="74">
        <f t="shared" si="2"/>
        <v>0</v>
      </c>
      <c r="N4005" s="74">
        <f t="shared" si="3"/>
        <v>60000</v>
      </c>
      <c r="O4005" s="65" t="str">
        <f>VLOOKUP(E4005,DATABASE!C:Q,8,false)</f>
        <v>BIAN</v>
      </c>
      <c r="P4005" s="65">
        <f>VLOOKUP(E4005,DATABASE!C:Q,9,False)</f>
        <v>0</v>
      </c>
      <c r="Q4005" s="93" t="str">
        <f>VLOOKUP(E4005,DATABASE!C:Q,4,false)</f>
        <v>Balancing</v>
      </c>
      <c r="R4005" s="93" t="str">
        <f>VLOOKUP(E4005,DATABASE!C:Q,11,false)</f>
        <v>COMPLEMENTARY</v>
      </c>
    </row>
    <row r="4006" ht="22.5" customHeight="1">
      <c r="A4006" s="49"/>
      <c r="C4006" s="384">
        <v>45874.0</v>
      </c>
      <c r="D4006" s="65">
        <v>6728.0</v>
      </c>
      <c r="E4006" s="445" t="s">
        <v>301</v>
      </c>
      <c r="F4006" s="386">
        <v>1.0</v>
      </c>
      <c r="G4006" s="74">
        <v>250000.0</v>
      </c>
      <c r="H4006" s="74">
        <v>0.0</v>
      </c>
      <c r="I4006" s="74">
        <f t="shared" si="1"/>
        <v>250000</v>
      </c>
      <c r="J4006" s="74">
        <f>IF(E4006="SERVICE",I4006-(I4006*50%),Vlookup(E4006,DATABASE!C:Q,10,false)*F4006)</f>
        <v>75000</v>
      </c>
      <c r="K4006" s="74">
        <f>VLOOKUP(E4006,DATABASE!C:Q,7,false)</f>
        <v>75000</v>
      </c>
      <c r="L4006" s="74">
        <v>75000.0</v>
      </c>
      <c r="M4006" s="74">
        <f t="shared" si="2"/>
        <v>75000</v>
      </c>
      <c r="N4006" s="74">
        <f t="shared" si="3"/>
        <v>100000</v>
      </c>
      <c r="O4006" s="65" t="str">
        <f>VLOOKUP(E4006,DATABASE!C:Q,8,false)</f>
        <v>BIAN</v>
      </c>
      <c r="P4006" s="65">
        <f>VLOOKUP(E4006,DATABASE!C:Q,9,False)</f>
        <v>0</v>
      </c>
      <c r="Q4006" s="93" t="str">
        <f>VLOOKUP(E4006,DATABASE!C:Q,4,false)</f>
        <v>Baut Camber</v>
      </c>
      <c r="R4006" s="93" t="str">
        <f>VLOOKUP(E4006,DATABASE!C:Q,11,false)</f>
        <v>COMPLEMENTARY</v>
      </c>
    </row>
    <row r="4007" ht="22.5" customHeight="1">
      <c r="A4007" s="49"/>
      <c r="C4007" s="384">
        <v>45874.0</v>
      </c>
      <c r="D4007" s="65">
        <v>6729.0</v>
      </c>
      <c r="E4007" s="445" t="s">
        <v>268</v>
      </c>
      <c r="F4007" s="386">
        <v>4.0</v>
      </c>
      <c r="G4007" s="74">
        <v>710000.0</v>
      </c>
      <c r="H4007" s="74">
        <v>0.0</v>
      </c>
      <c r="I4007" s="74">
        <f t="shared" si="1"/>
        <v>2840000</v>
      </c>
      <c r="J4007" s="74">
        <f>IF(E4007="SERVICE",I4007-(I4007*50%),Vlookup(E4007,DATABASE!C:Q,10,false)*F4007)</f>
        <v>0</v>
      </c>
      <c r="K4007" s="74">
        <v>613000.0</v>
      </c>
      <c r="L4007" s="74">
        <v>613000.0</v>
      </c>
      <c r="M4007" s="74">
        <f t="shared" si="2"/>
        <v>615000</v>
      </c>
      <c r="N4007" s="74">
        <f t="shared" si="3"/>
        <v>380000</v>
      </c>
      <c r="O4007" s="65" t="str">
        <f>VLOOKUP(E4007,DATABASE!C:Q,8,false)</f>
        <v>IBU</v>
      </c>
      <c r="P4007" s="65">
        <f>VLOOKUP(E4007,DATABASE!C:Q,9,False)</f>
        <v>1</v>
      </c>
      <c r="Q4007" s="93" t="str">
        <f>VLOOKUP(E4007,DATABASE!C:Q,4,false)</f>
        <v>Dunlop</v>
      </c>
      <c r="R4007" s="93" t="str">
        <f>VLOOKUP(E4007,DATABASE!C:Q,11,false)</f>
        <v>Tire</v>
      </c>
    </row>
    <row r="4008" ht="22.5" customHeight="1">
      <c r="A4008" s="49"/>
      <c r="C4008" s="384">
        <v>45874.0</v>
      </c>
      <c r="D4008" s="65">
        <v>6729.0</v>
      </c>
      <c r="E4008" s="445" t="s">
        <v>256</v>
      </c>
      <c r="F4008" s="386">
        <v>1.0</v>
      </c>
      <c r="G4008" s="74">
        <v>130000.0</v>
      </c>
      <c r="H4008" s="74">
        <v>0.0</v>
      </c>
      <c r="I4008" s="74">
        <f t="shared" si="1"/>
        <v>130000</v>
      </c>
      <c r="J4008" s="74">
        <f>IF(E4008="SERVICE",I4008-(I4008*50%),Vlookup(E4008,DATABASE!C:Q,10,false)*F4008)</f>
        <v>10000</v>
      </c>
      <c r="K4008" s="74">
        <f>VLOOKUP(E4008,DATABASE!C:Q,7,false)</f>
        <v>0</v>
      </c>
      <c r="L4008" s="74">
        <v>0.0</v>
      </c>
      <c r="M4008" s="74">
        <f t="shared" si="2"/>
        <v>0</v>
      </c>
      <c r="N4008" s="74">
        <f t="shared" si="3"/>
        <v>120000</v>
      </c>
      <c r="O4008" s="65" t="str">
        <f>VLOOKUP(E4008,DATABASE!C:Q,8,false)</f>
        <v>IBU</v>
      </c>
      <c r="P4008" s="65">
        <f>VLOOKUP(E4008,DATABASE!C:Q,9,False)</f>
        <v>0</v>
      </c>
      <c r="Q4008" s="93" t="str">
        <f>VLOOKUP(E4008,DATABASE!C:Q,4,false)</f>
        <v>SPOORING</v>
      </c>
      <c r="R4008" s="93" t="str">
        <f>VLOOKUP(E4008,DATABASE!C:Q,11,false)</f>
        <v>SERVICE</v>
      </c>
    </row>
    <row r="4009" ht="22.5" customHeight="1">
      <c r="A4009" s="49"/>
      <c r="C4009" s="384">
        <v>45874.0</v>
      </c>
      <c r="D4009" s="65">
        <v>6729.0</v>
      </c>
      <c r="E4009" s="445" t="s">
        <v>251</v>
      </c>
      <c r="F4009" s="386">
        <v>1.0</v>
      </c>
      <c r="G4009" s="74">
        <v>150000.0</v>
      </c>
      <c r="H4009" s="74">
        <v>0.0</v>
      </c>
      <c r="I4009" s="74">
        <f t="shared" si="1"/>
        <v>150000</v>
      </c>
      <c r="J4009" s="74">
        <f>IF(E4009="SERVICE",I4009-(I4009*50%),Vlookup(E4009,DATABASE!C:Q,10,false)*F4009)</f>
        <v>75000</v>
      </c>
      <c r="K4009" s="74">
        <f>VLOOKUP(E4009,DATABASE!C:Q,7,false)</f>
        <v>0</v>
      </c>
      <c r="L4009" s="74">
        <v>0.0</v>
      </c>
      <c r="M4009" s="74">
        <f t="shared" si="2"/>
        <v>0</v>
      </c>
      <c r="N4009" s="74">
        <f t="shared" si="3"/>
        <v>75000</v>
      </c>
      <c r="O4009" s="65" t="str">
        <f>VLOOKUP(E4009,DATABASE!C:Q,8,false)</f>
        <v>IBU</v>
      </c>
      <c r="P4009" s="65">
        <f>VLOOKUP(E4009,DATABASE!C:Q,9,False)</f>
        <v>0</v>
      </c>
      <c r="Q4009" s="93" t="str">
        <f>VLOOKUP(E4009,DATABASE!C:Q,4,false)</f>
        <v>SERVICE</v>
      </c>
      <c r="R4009" s="93" t="str">
        <f>VLOOKUP(E4009,DATABASE!C:Q,11,false)</f>
        <v>SERVICE</v>
      </c>
    </row>
    <row r="4010" ht="22.5" customHeight="1">
      <c r="A4010" s="49"/>
      <c r="C4010" s="384">
        <v>45874.0</v>
      </c>
      <c r="D4010" s="65">
        <v>6731.0</v>
      </c>
      <c r="E4010" s="445" t="s">
        <v>1894</v>
      </c>
      <c r="F4010" s="386">
        <v>1.0</v>
      </c>
      <c r="G4010" s="74">
        <v>545000.0</v>
      </c>
      <c r="H4010" s="74">
        <v>0.0</v>
      </c>
      <c r="I4010" s="74">
        <f t="shared" si="1"/>
        <v>545000</v>
      </c>
      <c r="J4010" s="74">
        <f>IF(E4010="SERVICE",I4010-(I4010*50%),Vlookup(E4010,DATABASE!C:Q,10,false)*F4010)</f>
        <v>0</v>
      </c>
      <c r="K4010" s="74">
        <f>VLOOKUP(E4010,DATABASE!C:Q,7,false)</f>
        <v>458600</v>
      </c>
      <c r="L4010" s="74">
        <v>445400.0</v>
      </c>
      <c r="M4010" s="74">
        <f t="shared" si="2"/>
        <v>450000</v>
      </c>
      <c r="N4010" s="74">
        <f t="shared" si="3"/>
        <v>95000</v>
      </c>
      <c r="O4010" s="65" t="str">
        <f>VLOOKUP(E4010,DATABASE!C:Q,8,false)</f>
        <v>BIAN</v>
      </c>
      <c r="P4010" s="65">
        <f>VLOOKUP(E4010,DATABASE!C:Q,9,False)</f>
        <v>1</v>
      </c>
      <c r="Q4010" s="93" t="str">
        <f>VLOOKUP(E4010,DATABASE!C:Q,4,false)</f>
        <v>GT</v>
      </c>
      <c r="R4010" s="93" t="str">
        <f>VLOOKUP(E4010,DATABASE!C:Q,11,false)</f>
        <v>Tire</v>
      </c>
    </row>
    <row r="4011" ht="22.5" customHeight="1">
      <c r="A4011" s="49"/>
      <c r="C4011" s="384">
        <v>45874.0</v>
      </c>
      <c r="D4011" s="65">
        <v>6732.0</v>
      </c>
      <c r="E4011" s="445" t="s">
        <v>268</v>
      </c>
      <c r="F4011" s="386">
        <v>2.0</v>
      </c>
      <c r="G4011" s="74">
        <v>720000.0</v>
      </c>
      <c r="H4011" s="74">
        <v>0.0</v>
      </c>
      <c r="I4011" s="74">
        <f t="shared" si="1"/>
        <v>1440000</v>
      </c>
      <c r="J4011" s="74">
        <f>IF(E4011="SERVICE",I4011-(I4011*50%),Vlookup(E4011,DATABASE!C:Q,10,false)*F4011)</f>
        <v>0</v>
      </c>
      <c r="K4011" s="74">
        <f>VLOOKUP(E4011,DATABASE!C:Q,7,false)</f>
        <v>653000</v>
      </c>
      <c r="L4011" s="74">
        <v>622000.0</v>
      </c>
      <c r="M4011" s="74">
        <f t="shared" si="2"/>
        <v>625000</v>
      </c>
      <c r="N4011" s="74">
        <f t="shared" si="3"/>
        <v>190000</v>
      </c>
      <c r="O4011" s="65" t="str">
        <f>VLOOKUP(E4011,DATABASE!C:Q,8,false)</f>
        <v>IBU</v>
      </c>
      <c r="P4011" s="65">
        <f>VLOOKUP(E4011,DATABASE!C:Q,9,False)</f>
        <v>1</v>
      </c>
      <c r="Q4011" s="93" t="str">
        <f>VLOOKUP(E4011,DATABASE!C:Q,4,false)</f>
        <v>Dunlop</v>
      </c>
      <c r="R4011" s="93" t="str">
        <f>VLOOKUP(E4011,DATABASE!C:Q,11,false)</f>
        <v>Tire</v>
      </c>
    </row>
    <row r="4012" ht="22.5" customHeight="1">
      <c r="A4012" s="49"/>
      <c r="C4012" s="384">
        <v>45874.0</v>
      </c>
      <c r="D4012" s="65">
        <v>6732.0</v>
      </c>
      <c r="E4012" s="445" t="s">
        <v>250</v>
      </c>
      <c r="F4012" s="386">
        <v>1.0</v>
      </c>
      <c r="G4012" s="74">
        <v>135000.0</v>
      </c>
      <c r="H4012" s="74">
        <v>0.0</v>
      </c>
      <c r="I4012" s="74">
        <f t="shared" si="1"/>
        <v>135000</v>
      </c>
      <c r="J4012" s="74">
        <f>IF(E4012="SERVICE",I4012-(I4012*50%),Vlookup(E4012,DATABASE!C:Q,10,false)*F4012)</f>
        <v>0</v>
      </c>
      <c r="K4012" s="74">
        <f>VLOOKUP(E4012,DATABASE!C:Q,7,false)</f>
        <v>102000</v>
      </c>
      <c r="L4012" s="74">
        <v>102000.0</v>
      </c>
      <c r="M4012" s="74">
        <f t="shared" si="2"/>
        <v>105000</v>
      </c>
      <c r="N4012" s="74">
        <f t="shared" si="3"/>
        <v>30000</v>
      </c>
      <c r="O4012" s="65" t="str">
        <f>VLOOKUP(E4012,DATABASE!C:Q,8,false)</f>
        <v>BIAN</v>
      </c>
      <c r="P4012" s="65">
        <f>VLOOKUP(E4012,DATABASE!C:Q,9,False)</f>
        <v>1</v>
      </c>
      <c r="Q4012" s="93" t="str">
        <f>VLOOKUP(E4012,DATABASE!C:Q,4,false)</f>
        <v>BD</v>
      </c>
      <c r="R4012" s="93" t="str">
        <f>VLOOKUP(E4012,DATABASE!C:Q,11,false)</f>
        <v>Tire</v>
      </c>
    </row>
    <row r="4013" ht="22.5" customHeight="1">
      <c r="A4013" s="49"/>
      <c r="C4013" s="384">
        <v>45875.0</v>
      </c>
      <c r="D4013" s="65">
        <v>6733.0</v>
      </c>
      <c r="E4013" s="445" t="s">
        <v>374</v>
      </c>
      <c r="F4013" s="386">
        <v>1.0</v>
      </c>
      <c r="G4013" s="74">
        <v>1950000.0</v>
      </c>
      <c r="H4013" s="74">
        <v>0.0</v>
      </c>
      <c r="I4013" s="74">
        <f t="shared" si="1"/>
        <v>1950000</v>
      </c>
      <c r="J4013" s="74">
        <f>IF(E4013="SERVICE",I4013-(I4013*50%),Vlookup(E4013,DATABASE!C:Q,10,false)*F4013)</f>
        <v>0</v>
      </c>
      <c r="K4013" s="74">
        <f>VLOOKUP(E4013,DATABASE!C:Q,7,false)</f>
        <v>1980000</v>
      </c>
      <c r="L4013" s="74">
        <v>1850000.0</v>
      </c>
      <c r="M4013" s="74">
        <f t="shared" si="2"/>
        <v>1850000</v>
      </c>
      <c r="N4013" s="74">
        <f t="shared" si="3"/>
        <v>100000</v>
      </c>
      <c r="O4013" s="65" t="str">
        <f>VLOOKUP(E4013,DATABASE!C:Q,8,false)</f>
        <v>BIAN</v>
      </c>
      <c r="P4013" s="65">
        <f>VLOOKUP(E4013,DATABASE!C:Q,9,False)</f>
        <v>1</v>
      </c>
      <c r="Q4013" s="93" t="str">
        <f>VLOOKUP(E4013,DATABASE!C:Q,4,false)</f>
        <v>Advance</v>
      </c>
      <c r="R4013" s="93" t="str">
        <f>VLOOKUP(E4013,DATABASE!C:Q,11,false)</f>
        <v>Tire</v>
      </c>
    </row>
    <row r="4014" ht="22.5" customHeight="1">
      <c r="A4014" s="49"/>
      <c r="C4014" s="384">
        <v>45875.0</v>
      </c>
      <c r="D4014" s="65">
        <v>6735.0</v>
      </c>
      <c r="E4014" s="445" t="s">
        <v>1743</v>
      </c>
      <c r="F4014" s="386">
        <v>1.0</v>
      </c>
      <c r="G4014" s="74">
        <v>75000.0</v>
      </c>
      <c r="H4014" s="74">
        <v>0.0</v>
      </c>
      <c r="I4014" s="74">
        <f t="shared" si="1"/>
        <v>75000</v>
      </c>
      <c r="J4014" s="74">
        <f>IF(E4014="SERVICE",I4014-(I4014*50%),Vlookup(E4014,DATABASE!C:Q,10,false)*F4014)</f>
        <v>0</v>
      </c>
      <c r="K4014" s="74">
        <f>VLOOKUP(E4014,DATABASE!C:Q,7,false)</f>
        <v>45000</v>
      </c>
      <c r="L4014" s="74">
        <v>45000.0</v>
      </c>
      <c r="M4014" s="74">
        <f t="shared" si="2"/>
        <v>45000</v>
      </c>
      <c r="N4014" s="74">
        <f t="shared" si="3"/>
        <v>30000</v>
      </c>
      <c r="O4014" s="65" t="str">
        <f>VLOOKUP(E4014,DATABASE!C:Q,8,false)</f>
        <v>BIAN</v>
      </c>
      <c r="P4014" s="65">
        <f>VLOOKUP(E4014,DATABASE!C:Q,9,False)</f>
        <v>1</v>
      </c>
      <c r="Q4014" s="93" t="str">
        <f>VLOOKUP(E4014,DATABASE!C:Q,4,false)</f>
        <v>FLAP</v>
      </c>
      <c r="R4014" s="93" t="str">
        <f>VLOOKUP(E4014,DATABASE!C:Q,11,false)</f>
        <v>Tire</v>
      </c>
    </row>
    <row r="4015" ht="22.5" customHeight="1">
      <c r="A4015" s="49"/>
      <c r="C4015" s="384">
        <v>45875.0</v>
      </c>
      <c r="D4015" s="65">
        <v>6736.0</v>
      </c>
      <c r="E4015" s="445" t="s">
        <v>290</v>
      </c>
      <c r="F4015" s="386">
        <v>1.0</v>
      </c>
      <c r="G4015" s="74">
        <v>720000.0</v>
      </c>
      <c r="H4015" s="74">
        <v>0.0</v>
      </c>
      <c r="I4015" s="74">
        <f t="shared" si="1"/>
        <v>720000</v>
      </c>
      <c r="J4015" s="74">
        <f>IF(E4015="SERVICE",I4015-(I4015*50%),Vlookup(E4015,DATABASE!C:Q,10,false)*F4015)</f>
        <v>0</v>
      </c>
      <c r="K4015" s="74">
        <f>VLOOKUP(E4015,DATABASE!C:Q,7,false)</f>
        <v>628100</v>
      </c>
      <c r="L4015" s="74">
        <v>609804.0</v>
      </c>
      <c r="M4015" s="74">
        <f t="shared" si="2"/>
        <v>610000</v>
      </c>
      <c r="N4015" s="74">
        <f t="shared" si="3"/>
        <v>110000</v>
      </c>
      <c r="O4015" s="65" t="str">
        <f>VLOOKUP(E4015,DATABASE!C:Q,8,false)</f>
        <v>BIAN</v>
      </c>
      <c r="P4015" s="65">
        <f>VLOOKUP(E4015,DATABASE!C:Q,9,False)</f>
        <v>1</v>
      </c>
      <c r="Q4015" s="93" t="str">
        <f>VLOOKUP(E4015,DATABASE!C:Q,4,false)</f>
        <v>GT</v>
      </c>
      <c r="R4015" s="93" t="str">
        <f>VLOOKUP(E4015,DATABASE!C:Q,11,false)</f>
        <v>Tire</v>
      </c>
    </row>
    <row r="4016" ht="22.5" customHeight="1">
      <c r="A4016" s="49"/>
      <c r="C4016" s="384">
        <v>45875.0</v>
      </c>
      <c r="D4016" s="65">
        <v>6737.0</v>
      </c>
      <c r="E4016" s="445" t="s">
        <v>265</v>
      </c>
      <c r="F4016" s="386">
        <v>1.0</v>
      </c>
      <c r="G4016" s="74">
        <v>700000.0</v>
      </c>
      <c r="H4016" s="74">
        <v>0.0</v>
      </c>
      <c r="I4016" s="74">
        <f t="shared" si="1"/>
        <v>700000</v>
      </c>
      <c r="J4016" s="74">
        <f>IF(E4016="SERVICE",I4016-(I4016*50%),Vlookup(E4016,DATABASE!C:Q,10,false)*F4016)</f>
        <v>0</v>
      </c>
      <c r="K4016" s="74">
        <f>VLOOKUP(E4016,DATABASE!C:Q,7,false)</f>
        <v>628000</v>
      </c>
      <c r="L4016" s="74">
        <v>610000.0</v>
      </c>
      <c r="M4016" s="74">
        <f t="shared" si="2"/>
        <v>610000</v>
      </c>
      <c r="N4016" s="74">
        <f t="shared" si="3"/>
        <v>90000</v>
      </c>
      <c r="O4016" s="65" t="str">
        <f>VLOOKUP(E4016,DATABASE!C:Q,8,false)</f>
        <v>IBU</v>
      </c>
      <c r="P4016" s="65">
        <f>VLOOKUP(E4016,DATABASE!C:Q,9,False)</f>
        <v>1</v>
      </c>
      <c r="Q4016" s="93" t="str">
        <f>VLOOKUP(E4016,DATABASE!C:Q,4,false)</f>
        <v>Dunlop</v>
      </c>
      <c r="R4016" s="93" t="str">
        <f>VLOOKUP(E4016,DATABASE!C:Q,11,false)</f>
        <v>Tire</v>
      </c>
    </row>
    <row r="4017" ht="22.5" customHeight="1">
      <c r="A4017" s="49"/>
      <c r="C4017" s="384">
        <v>45875.0</v>
      </c>
      <c r="D4017" s="65">
        <v>6738.0</v>
      </c>
      <c r="E4017" s="445" t="s">
        <v>554</v>
      </c>
      <c r="F4017" s="386">
        <v>1.0</v>
      </c>
      <c r="G4017" s="74">
        <v>800000.0</v>
      </c>
      <c r="H4017" s="74">
        <v>0.0</v>
      </c>
      <c r="I4017" s="74">
        <f t="shared" si="1"/>
        <v>800000</v>
      </c>
      <c r="J4017" s="74">
        <f>IF(E4017="SERVICE",I4017-(I4017*50%),Vlookup(E4017,DATABASE!C:Q,10,false)*F4017)</f>
        <v>0</v>
      </c>
      <c r="K4017" s="74">
        <f>VLOOKUP(E4017,DATABASE!C:Q,7,false)</f>
        <v>710000</v>
      </c>
      <c r="L4017" s="74">
        <v>680000.0</v>
      </c>
      <c r="M4017" s="74">
        <f t="shared" si="2"/>
        <v>680000</v>
      </c>
      <c r="N4017" s="74">
        <f t="shared" si="3"/>
        <v>120000</v>
      </c>
      <c r="O4017" s="65" t="str">
        <f>VLOOKUP(E4017,DATABASE!C:Q,8,false)</f>
        <v>IBU</v>
      </c>
      <c r="P4017" s="65">
        <f>VLOOKUP(E4017,DATABASE!C:Q,9,False)</f>
        <v>1</v>
      </c>
      <c r="Q4017" s="93" t="str">
        <f>VLOOKUP(E4017,DATABASE!C:Q,4,false)</f>
        <v>Bridgestone</v>
      </c>
      <c r="R4017" s="93" t="str">
        <f>VLOOKUP(E4017,DATABASE!C:Q,11,false)</f>
        <v>Tire</v>
      </c>
    </row>
    <row r="4018" ht="22.5" customHeight="1">
      <c r="A4018" s="49"/>
      <c r="C4018" s="384">
        <v>45875.0</v>
      </c>
      <c r="D4018" s="65">
        <v>6739.0</v>
      </c>
      <c r="E4018" s="445" t="s">
        <v>256</v>
      </c>
      <c r="F4018" s="386">
        <v>1.0</v>
      </c>
      <c r="G4018" s="74">
        <v>130000.0</v>
      </c>
      <c r="H4018" s="74">
        <v>0.0</v>
      </c>
      <c r="I4018" s="74">
        <f t="shared" si="1"/>
        <v>130000</v>
      </c>
      <c r="J4018" s="74">
        <f>IF(E4018="SERVICE",I4018-(I4018*50%),Vlookup(E4018,DATABASE!C:Q,10,false)*F4018)</f>
        <v>10000</v>
      </c>
      <c r="K4018" s="74">
        <f>VLOOKUP(E4018,DATABASE!C:Q,7,false)</f>
        <v>0</v>
      </c>
      <c r="L4018" s="74">
        <v>0.0</v>
      </c>
      <c r="M4018" s="74">
        <f t="shared" si="2"/>
        <v>0</v>
      </c>
      <c r="N4018" s="74">
        <f t="shared" si="3"/>
        <v>120000</v>
      </c>
      <c r="O4018" s="65" t="str">
        <f>VLOOKUP(E4018,DATABASE!C:Q,8,false)</f>
        <v>IBU</v>
      </c>
      <c r="P4018" s="65">
        <f>VLOOKUP(E4018,DATABASE!C:Q,9,False)</f>
        <v>0</v>
      </c>
      <c r="Q4018" s="93" t="str">
        <f>VLOOKUP(E4018,DATABASE!C:Q,4,false)</f>
        <v>SPOORING</v>
      </c>
      <c r="R4018" s="93" t="str">
        <f>VLOOKUP(E4018,DATABASE!C:Q,11,false)</f>
        <v>SERVICE</v>
      </c>
    </row>
    <row r="4019" ht="22.5" customHeight="1">
      <c r="A4019" s="49"/>
      <c r="C4019" s="384">
        <v>45875.0</v>
      </c>
      <c r="D4019" s="65">
        <v>6739.0</v>
      </c>
      <c r="E4019" s="385" t="s">
        <v>299</v>
      </c>
      <c r="F4019" s="386">
        <v>2.0</v>
      </c>
      <c r="G4019" s="74">
        <v>30000.0</v>
      </c>
      <c r="H4019" s="74">
        <v>0.0</v>
      </c>
      <c r="I4019" s="74">
        <f t="shared" si="1"/>
        <v>60000</v>
      </c>
      <c r="J4019" s="74">
        <f>IF(E4019="SERVICE",I4019-(I4019*50%),Vlookup(E4019,DATABASE!C:Q,10,false)*F4019)</f>
        <v>0</v>
      </c>
      <c r="K4019" s="74">
        <v>0.0</v>
      </c>
      <c r="L4019" s="74">
        <v>0.0</v>
      </c>
      <c r="M4019" s="74">
        <f t="shared" si="2"/>
        <v>0</v>
      </c>
      <c r="N4019" s="74">
        <f t="shared" si="3"/>
        <v>60000</v>
      </c>
      <c r="O4019" s="65" t="str">
        <f>VLOOKUP(E4019,DATABASE!C:Q,8,false)</f>
        <v>BIAN</v>
      </c>
      <c r="P4019" s="65">
        <f>VLOOKUP(E4019,DATABASE!C:Q,9,False)</f>
        <v>0</v>
      </c>
      <c r="Q4019" s="93" t="str">
        <f>VLOOKUP(E4019,DATABASE!C:Q,4,false)</f>
        <v>Balancing</v>
      </c>
      <c r="R4019" s="93" t="str">
        <f>VLOOKUP(E4019,DATABASE!C:Q,11,false)</f>
        <v>COMPLEMENTARY</v>
      </c>
    </row>
    <row r="4020" ht="22.5" customHeight="1">
      <c r="A4020" s="49"/>
      <c r="C4020" s="384">
        <v>45875.0</v>
      </c>
      <c r="D4020" s="65">
        <v>6739.0</v>
      </c>
      <c r="E4020" s="445" t="s">
        <v>301</v>
      </c>
      <c r="F4020" s="386">
        <v>1.0</v>
      </c>
      <c r="G4020" s="74">
        <v>250000.0</v>
      </c>
      <c r="H4020" s="74">
        <v>0.0</v>
      </c>
      <c r="I4020" s="74">
        <f t="shared" si="1"/>
        <v>250000</v>
      </c>
      <c r="J4020" s="74">
        <f>IF(E4020="SERVICE",I4020-(I4020*50%),Vlookup(E4020,DATABASE!C:Q,10,false)*F4020)</f>
        <v>75000</v>
      </c>
      <c r="K4020" s="74">
        <f>VLOOKUP(E4020,DATABASE!C:Q,7,false)</f>
        <v>75000</v>
      </c>
      <c r="L4020" s="74">
        <v>75000.0</v>
      </c>
      <c r="M4020" s="74">
        <f t="shared" si="2"/>
        <v>75000</v>
      </c>
      <c r="N4020" s="74">
        <f t="shared" si="3"/>
        <v>100000</v>
      </c>
      <c r="O4020" s="65" t="str">
        <f>VLOOKUP(E4020,DATABASE!C:Q,8,false)</f>
        <v>BIAN</v>
      </c>
      <c r="P4020" s="65">
        <f>VLOOKUP(E4020,DATABASE!C:Q,9,False)</f>
        <v>0</v>
      </c>
      <c r="Q4020" s="93" t="str">
        <f>VLOOKUP(E4020,DATABASE!C:Q,4,false)</f>
        <v>Baut Camber</v>
      </c>
      <c r="R4020" s="93" t="str">
        <f>VLOOKUP(E4020,DATABASE!C:Q,11,false)</f>
        <v>COMPLEMENTARY</v>
      </c>
    </row>
    <row r="4021" ht="22.5" customHeight="1">
      <c r="A4021" s="49"/>
      <c r="C4021" s="384">
        <v>45875.0</v>
      </c>
      <c r="D4021" s="65">
        <v>6741.0</v>
      </c>
      <c r="E4021" s="445" t="s">
        <v>781</v>
      </c>
      <c r="F4021" s="386">
        <v>2.0</v>
      </c>
      <c r="G4021" s="74">
        <v>525000.0</v>
      </c>
      <c r="H4021" s="74">
        <v>0.0</v>
      </c>
      <c r="I4021" s="74">
        <f t="shared" si="1"/>
        <v>1050000</v>
      </c>
      <c r="J4021" s="74">
        <f>IF(E4021="SERVICE",I4021-(I4021*50%),Vlookup(E4021,DATABASE!C:Q,10,false)*F4021)</f>
        <v>0</v>
      </c>
      <c r="K4021" s="74">
        <f>VLOOKUP(E4021,DATABASE!C:Q,7,false)</f>
        <v>470000</v>
      </c>
      <c r="L4021" s="74">
        <v>442500.0</v>
      </c>
      <c r="M4021" s="74">
        <f t="shared" si="2"/>
        <v>445000</v>
      </c>
      <c r="N4021" s="74">
        <f t="shared" si="3"/>
        <v>160000</v>
      </c>
      <c r="O4021" s="65" t="str">
        <f>VLOOKUP(E4021,DATABASE!C:Q,8,false)</f>
        <v>BIAN</v>
      </c>
      <c r="P4021" s="65">
        <f>VLOOKUP(E4021,DATABASE!C:Q,9,False)</f>
        <v>1</v>
      </c>
      <c r="Q4021" s="93" t="str">
        <f>VLOOKUP(E4021,DATABASE!C:Q,4,false)</f>
        <v>GT</v>
      </c>
      <c r="R4021" s="93" t="str">
        <f>VLOOKUP(E4021,DATABASE!C:Q,11,false)</f>
        <v>Tire</v>
      </c>
    </row>
    <row r="4022" ht="22.5" customHeight="1">
      <c r="A4022" s="49"/>
      <c r="C4022" s="384">
        <v>45875.0</v>
      </c>
      <c r="D4022" s="65">
        <v>6742.0</v>
      </c>
      <c r="E4022" s="445" t="s">
        <v>572</v>
      </c>
      <c r="F4022" s="386">
        <v>1.0</v>
      </c>
      <c r="G4022" s="74">
        <v>1350000.0</v>
      </c>
      <c r="H4022" s="74">
        <v>0.0</v>
      </c>
      <c r="I4022" s="74">
        <f t="shared" si="1"/>
        <v>1350000</v>
      </c>
      <c r="J4022" s="74">
        <f>IF(E4022="SERVICE",I4022-(I4022*50%),Vlookup(E4022,DATABASE!C:Q,10,false)*F4022)</f>
        <v>0</v>
      </c>
      <c r="K4022" s="74">
        <f>VLOOKUP(E4022,DATABASE!C:Q,7,false)</f>
        <v>1265000</v>
      </c>
      <c r="L4022" s="74">
        <v>1245000.0</v>
      </c>
      <c r="M4022" s="74">
        <f t="shared" si="2"/>
        <v>1245000</v>
      </c>
      <c r="N4022" s="74">
        <f t="shared" si="3"/>
        <v>105000</v>
      </c>
      <c r="O4022" s="65" t="str">
        <f>VLOOKUP(E4022,DATABASE!C:Q,8,false)</f>
        <v>IBU</v>
      </c>
      <c r="P4022" s="65">
        <f>VLOOKUP(E4022,DATABASE!C:Q,9,False)</f>
        <v>1</v>
      </c>
      <c r="Q4022" s="93" t="str">
        <f>VLOOKUP(E4022,DATABASE!C:Q,4,false)</f>
        <v>Bridgestone</v>
      </c>
      <c r="R4022" s="93" t="str">
        <f>VLOOKUP(E4022,DATABASE!C:Q,11,false)</f>
        <v>Tire</v>
      </c>
    </row>
    <row r="4023" ht="22.5" customHeight="1">
      <c r="A4023" s="49"/>
      <c r="C4023" s="384">
        <v>45875.0</v>
      </c>
      <c r="D4023" s="65">
        <v>6743.0</v>
      </c>
      <c r="E4023" s="445" t="s">
        <v>839</v>
      </c>
      <c r="F4023" s="386">
        <v>1.0</v>
      </c>
      <c r="G4023" s="74">
        <v>565000.0</v>
      </c>
      <c r="H4023" s="74">
        <v>0.0</v>
      </c>
      <c r="I4023" s="74">
        <f t="shared" si="1"/>
        <v>565000</v>
      </c>
      <c r="J4023" s="74">
        <f>IF(E4023="SERVICE",I4023-(I4023*50%),Vlookup(E4023,DATABASE!C:Q,10,false)*F4023)</f>
        <v>0</v>
      </c>
      <c r="K4023" s="74">
        <f>VLOOKUP(E4023,DATABASE!C:Q,7,false)</f>
        <v>512640</v>
      </c>
      <c r="L4023" s="74">
        <v>475700.0</v>
      </c>
      <c r="M4023" s="74">
        <f t="shared" si="2"/>
        <v>480000</v>
      </c>
      <c r="N4023" s="74">
        <f t="shared" si="3"/>
        <v>85000</v>
      </c>
      <c r="O4023" s="65" t="str">
        <f>VLOOKUP(E4023,DATABASE!C:Q,8,false)</f>
        <v>BIAN</v>
      </c>
      <c r="P4023" s="65">
        <f>VLOOKUP(E4023,DATABASE!C:Q,9,False)</f>
        <v>1</v>
      </c>
      <c r="Q4023" s="93" t="str">
        <f>VLOOKUP(E4023,DATABASE!C:Q,4,false)</f>
        <v>GT</v>
      </c>
      <c r="R4023" s="93" t="str">
        <f>VLOOKUP(E4023,DATABASE!C:Q,11,false)</f>
        <v>Tire</v>
      </c>
    </row>
    <row r="4024" ht="22.5" customHeight="1">
      <c r="A4024" s="49"/>
      <c r="C4024" s="384">
        <v>45875.0</v>
      </c>
      <c r="D4024" s="65">
        <v>6744.0</v>
      </c>
      <c r="E4024" s="445" t="s">
        <v>261</v>
      </c>
      <c r="F4024" s="386">
        <v>2.0</v>
      </c>
      <c r="G4024" s="74">
        <v>500000.0</v>
      </c>
      <c r="H4024" s="74">
        <v>0.0</v>
      </c>
      <c r="I4024" s="74">
        <f t="shared" si="1"/>
        <v>1000000</v>
      </c>
      <c r="J4024" s="74">
        <f>IF(E4024="SERVICE",I4024-(I4024*50%),Vlookup(E4024,DATABASE!C:Q,10,false)*F4024)</f>
        <v>0</v>
      </c>
      <c r="K4024" s="74">
        <f>VLOOKUP(E4024,DATABASE!C:Q,7,false)</f>
        <v>415000</v>
      </c>
      <c r="L4024" s="74">
        <v>415000.0</v>
      </c>
      <c r="M4024" s="74">
        <f t="shared" si="2"/>
        <v>415000</v>
      </c>
      <c r="N4024" s="74">
        <f t="shared" si="3"/>
        <v>170000</v>
      </c>
      <c r="O4024" s="65" t="str">
        <f>VLOOKUP(E4024,DATABASE!C:Q,8,false)</f>
        <v>IBU</v>
      </c>
      <c r="P4024" s="65">
        <f>VLOOKUP(E4024,DATABASE!C:Q,9,False)</f>
        <v>1</v>
      </c>
      <c r="Q4024" s="93" t="str">
        <f>VLOOKUP(E4024,DATABASE!C:Q,4,false)</f>
        <v>Dunlop</v>
      </c>
      <c r="R4024" s="93" t="str">
        <f>VLOOKUP(E4024,DATABASE!C:Q,11,false)</f>
        <v>Tire</v>
      </c>
    </row>
    <row r="4025" ht="22.5" customHeight="1">
      <c r="A4025" s="49"/>
      <c r="C4025" s="384">
        <v>45875.0</v>
      </c>
      <c r="D4025" s="65">
        <v>6745.0</v>
      </c>
      <c r="E4025" s="445" t="s">
        <v>1076</v>
      </c>
      <c r="F4025" s="386">
        <v>2.0</v>
      </c>
      <c r="G4025" s="74">
        <v>770000.0</v>
      </c>
      <c r="H4025" s="74">
        <v>0.0</v>
      </c>
      <c r="I4025" s="74">
        <f t="shared" si="1"/>
        <v>1540000</v>
      </c>
      <c r="J4025" s="74">
        <f>IF(E4025="SERVICE",I4025-(I4025*50%),Vlookup(E4025,DATABASE!C:Q,10,false)*F4025)</f>
        <v>0</v>
      </c>
      <c r="K4025" s="74">
        <f>VLOOKUP(E4025,DATABASE!C:Q,7,false)</f>
        <v>666540</v>
      </c>
      <c r="L4025" s="74">
        <v>666540.0</v>
      </c>
      <c r="M4025" s="74">
        <f t="shared" si="2"/>
        <v>670000</v>
      </c>
      <c r="N4025" s="74">
        <f t="shared" si="3"/>
        <v>200000</v>
      </c>
      <c r="O4025" s="65" t="str">
        <f>VLOOKUP(E4025,DATABASE!C:Q,8,false)</f>
        <v>BIAN</v>
      </c>
      <c r="P4025" s="65">
        <f>VLOOKUP(E4025,DATABASE!C:Q,9,False)</f>
        <v>1</v>
      </c>
      <c r="Q4025" s="93" t="str">
        <f>VLOOKUP(E4025,DATABASE!C:Q,4,false)</f>
        <v>GT</v>
      </c>
      <c r="R4025" s="93" t="str">
        <f>VLOOKUP(E4025,DATABASE!C:Q,11,false)</f>
        <v>Tire</v>
      </c>
    </row>
    <row r="4026" ht="22.5" customHeight="1">
      <c r="A4026" s="49"/>
      <c r="C4026" s="384">
        <v>45876.0</v>
      </c>
      <c r="D4026" s="65">
        <v>6746.0</v>
      </c>
      <c r="E4026" s="445" t="s">
        <v>1389</v>
      </c>
      <c r="F4026" s="386">
        <v>2.0</v>
      </c>
      <c r="G4026" s="74">
        <v>1020000.0</v>
      </c>
      <c r="H4026" s="74">
        <v>0.0</v>
      </c>
      <c r="I4026" s="74">
        <f t="shared" si="1"/>
        <v>2040000</v>
      </c>
      <c r="J4026" s="74">
        <f>IF(E4026="SERVICE",I4026-(I4026*50%),Vlookup(E4026,DATABASE!C:Q,10,false)*F4026)</f>
        <v>0</v>
      </c>
      <c r="K4026" s="74">
        <f>VLOOKUP(E4026,DATABASE!C:Q,7,false)</f>
        <v>908000</v>
      </c>
      <c r="L4026" s="74">
        <v>897000.0</v>
      </c>
      <c r="M4026" s="74">
        <f t="shared" si="2"/>
        <v>900000</v>
      </c>
      <c r="N4026" s="74">
        <f t="shared" si="3"/>
        <v>240000</v>
      </c>
      <c r="O4026" s="65" t="str">
        <f>VLOOKUP(E4026,DATABASE!C:Q,8,false)</f>
        <v>IBU</v>
      </c>
      <c r="P4026" s="65">
        <f>VLOOKUP(E4026,DATABASE!C:Q,9,False)</f>
        <v>1</v>
      </c>
      <c r="Q4026" s="93" t="str">
        <f>VLOOKUP(E4026,DATABASE!C:Q,4,false)</f>
        <v>Dunlop</v>
      </c>
      <c r="R4026" s="93" t="str">
        <f>VLOOKUP(E4026,DATABASE!C:Q,11,false)</f>
        <v>Tire</v>
      </c>
    </row>
    <row r="4027" ht="22.5" customHeight="1">
      <c r="A4027" s="49"/>
      <c r="C4027" s="384">
        <v>45876.0</v>
      </c>
      <c r="D4027" s="65">
        <v>6746.0</v>
      </c>
      <c r="E4027" s="445" t="s">
        <v>1960</v>
      </c>
      <c r="F4027" s="386">
        <v>2.0</v>
      </c>
      <c r="G4027" s="74">
        <v>900000.0</v>
      </c>
      <c r="H4027" s="74">
        <v>0.0</v>
      </c>
      <c r="I4027" s="74">
        <f t="shared" si="1"/>
        <v>1800000</v>
      </c>
      <c r="J4027" s="74">
        <f>IF(E4027="SERVICE",I4027-(I4027*50%),Vlookup(E4027,DATABASE!C:Q,10,false)*F4027)</f>
        <v>0</v>
      </c>
      <c r="K4027" s="74">
        <f>VLOOKUP(E4027,DATABASE!C:Q,7,false)</f>
        <v>808300</v>
      </c>
      <c r="L4027" s="74">
        <v>808300.0</v>
      </c>
      <c r="M4027" s="74">
        <f t="shared" si="2"/>
        <v>810000</v>
      </c>
      <c r="N4027" s="74">
        <f t="shared" si="3"/>
        <v>180000</v>
      </c>
      <c r="O4027" s="65" t="str">
        <f>VLOOKUP(E4027,DATABASE!C:Q,8,false)</f>
        <v>BIAN</v>
      </c>
      <c r="P4027" s="65">
        <f>VLOOKUP(E4027,DATABASE!C:Q,9,False)</f>
        <v>1</v>
      </c>
      <c r="Q4027" s="93" t="str">
        <f>VLOOKUP(E4027,DATABASE!C:Q,4,false)</f>
        <v>GT</v>
      </c>
      <c r="R4027" s="93" t="str">
        <f>VLOOKUP(E4027,DATABASE!C:Q,11,false)</f>
        <v>Tire</v>
      </c>
    </row>
    <row r="4028" ht="22.5" customHeight="1">
      <c r="A4028" s="49"/>
      <c r="C4028" s="384">
        <v>45876.0</v>
      </c>
      <c r="D4028" s="65">
        <v>6747.0</v>
      </c>
      <c r="E4028" s="657" t="s">
        <v>276</v>
      </c>
      <c r="F4028" s="386">
        <v>2.0</v>
      </c>
      <c r="G4028" s="74">
        <v>700000.0</v>
      </c>
      <c r="H4028" s="74">
        <v>0.0</v>
      </c>
      <c r="I4028" s="74">
        <f t="shared" si="1"/>
        <v>1400000</v>
      </c>
      <c r="J4028" s="74">
        <f>IF(E4028="SERVICE",I4028-(I4028*50%),Vlookup(E4028,DATABASE!C:Q,10,false)*F4028)</f>
        <v>0</v>
      </c>
      <c r="K4028" s="74">
        <f>VLOOKUP(E4028,DATABASE!C:Q,7,false)</f>
        <v>620000</v>
      </c>
      <c r="L4028" s="140">
        <v>607000.0</v>
      </c>
      <c r="M4028" s="74">
        <f t="shared" si="2"/>
        <v>610000</v>
      </c>
      <c r="N4028" s="74">
        <f t="shared" si="3"/>
        <v>180000</v>
      </c>
      <c r="O4028" s="65" t="str">
        <f>VLOOKUP(E4028,DATABASE!C:Q,8,false)</f>
        <v>IBU</v>
      </c>
      <c r="P4028" s="65">
        <f>VLOOKUP(E4028,DATABASE!C:Q,9,False)</f>
        <v>1</v>
      </c>
      <c r="Q4028" s="93" t="str">
        <f>VLOOKUP(E4028,DATABASE!C:Q,4,false)</f>
        <v>Dunlop</v>
      </c>
      <c r="R4028" s="93" t="str">
        <f>VLOOKUP(E4028,DATABASE!C:Q,11,false)</f>
        <v>Tire</v>
      </c>
    </row>
    <row r="4029" ht="22.5" customHeight="1">
      <c r="A4029" s="49"/>
      <c r="C4029" s="384">
        <v>45876.0</v>
      </c>
      <c r="D4029" s="65">
        <v>6747.0</v>
      </c>
      <c r="E4029" s="445" t="s">
        <v>569</v>
      </c>
      <c r="F4029" s="386">
        <v>2.0</v>
      </c>
      <c r="G4029" s="74">
        <v>80000.0</v>
      </c>
      <c r="H4029" s="74">
        <v>0.0</v>
      </c>
      <c r="I4029" s="74">
        <f t="shared" si="1"/>
        <v>160000</v>
      </c>
      <c r="J4029" s="74">
        <f>IF(E4029="SERVICE",I4029-(I4029*50%),Vlookup(E4029,DATABASE!C:Q,10,false)*F4029)</f>
        <v>0</v>
      </c>
      <c r="K4029" s="74">
        <f>VLOOKUP(E4029,DATABASE!C:Q,7,false)</f>
        <v>45439.582</v>
      </c>
      <c r="L4029" s="74">
        <v>45309.6</v>
      </c>
      <c r="M4029" s="74">
        <f t="shared" si="2"/>
        <v>50000</v>
      </c>
      <c r="N4029" s="74">
        <f t="shared" si="3"/>
        <v>60000</v>
      </c>
      <c r="O4029" s="65" t="str">
        <f>VLOOKUP(E4029,DATABASE!C:Q,8,false)</f>
        <v>BIAN</v>
      </c>
      <c r="P4029" s="65">
        <f>VLOOKUP(E4029,DATABASE!C:Q,9,False)</f>
        <v>1</v>
      </c>
      <c r="Q4029" s="93" t="str">
        <f>VLOOKUP(E4029,DATABASE!C:Q,4,false)</f>
        <v>BD</v>
      </c>
      <c r="R4029" s="93" t="str">
        <f>VLOOKUP(E4029,DATABASE!C:Q,11,false)</f>
        <v>Tire</v>
      </c>
    </row>
    <row r="4030" ht="22.5" customHeight="1">
      <c r="A4030" s="49"/>
      <c r="C4030" s="384">
        <v>45876.0</v>
      </c>
      <c r="D4030" s="65">
        <v>6748.0</v>
      </c>
      <c r="E4030" s="445" t="s">
        <v>1009</v>
      </c>
      <c r="F4030" s="386">
        <v>2.0</v>
      </c>
      <c r="G4030" s="74">
        <v>700000.0</v>
      </c>
      <c r="H4030" s="74">
        <v>0.0</v>
      </c>
      <c r="I4030" s="74">
        <f t="shared" si="1"/>
        <v>1400000</v>
      </c>
      <c r="J4030" s="74">
        <f>IF(E4030="SERVICE",I4030-(I4030*50%),Vlookup(E4030,DATABASE!C:Q,10,false)*F4030)</f>
        <v>0</v>
      </c>
      <c r="K4030" s="74">
        <f>VLOOKUP(E4030,DATABASE!C:Q,7,false)</f>
        <v>609800</v>
      </c>
      <c r="L4030" s="74">
        <v>592200.0</v>
      </c>
      <c r="M4030" s="74">
        <f t="shared" si="2"/>
        <v>595000</v>
      </c>
      <c r="N4030" s="74">
        <f t="shared" si="3"/>
        <v>210000</v>
      </c>
      <c r="O4030" s="65" t="str">
        <f>VLOOKUP(E4030,DATABASE!C:Q,8,false)</f>
        <v>BIAN</v>
      </c>
      <c r="P4030" s="65">
        <f>VLOOKUP(E4030,DATABASE!C:Q,9,False)</f>
        <v>1</v>
      </c>
      <c r="Q4030" s="93" t="str">
        <f>VLOOKUP(E4030,DATABASE!C:Q,4,false)</f>
        <v>GT</v>
      </c>
      <c r="R4030" s="93" t="str">
        <f>VLOOKUP(E4030,DATABASE!C:Q,11,false)</f>
        <v>Tire</v>
      </c>
    </row>
    <row r="4031" ht="22.5" customHeight="1">
      <c r="A4031" s="49"/>
      <c r="C4031" s="384">
        <v>45876.0</v>
      </c>
      <c r="D4031" s="65">
        <v>6748.0</v>
      </c>
      <c r="E4031" s="445" t="s">
        <v>256</v>
      </c>
      <c r="F4031" s="386">
        <v>1.0</v>
      </c>
      <c r="G4031" s="74">
        <v>130000.0</v>
      </c>
      <c r="H4031" s="74">
        <v>0.0</v>
      </c>
      <c r="I4031" s="74">
        <f t="shared" si="1"/>
        <v>130000</v>
      </c>
      <c r="J4031" s="74">
        <f>IF(E4031="SERVICE",I4031-(I4031*50%),Vlookup(E4031,DATABASE!C:Q,10,false)*F4031)</f>
        <v>10000</v>
      </c>
      <c r="K4031" s="74">
        <f>VLOOKUP(E4031,DATABASE!C:Q,7,false)</f>
        <v>0</v>
      </c>
      <c r="L4031" s="74">
        <v>0.0</v>
      </c>
      <c r="M4031" s="74">
        <f t="shared" si="2"/>
        <v>0</v>
      </c>
      <c r="N4031" s="74">
        <f t="shared" si="3"/>
        <v>120000</v>
      </c>
      <c r="O4031" s="65" t="str">
        <f>VLOOKUP(E4031,DATABASE!C:Q,8,false)</f>
        <v>IBU</v>
      </c>
      <c r="P4031" s="65">
        <f>VLOOKUP(E4031,DATABASE!C:Q,9,False)</f>
        <v>0</v>
      </c>
      <c r="Q4031" s="93" t="str">
        <f>VLOOKUP(E4031,DATABASE!C:Q,4,false)</f>
        <v>SPOORING</v>
      </c>
      <c r="R4031" s="93" t="str">
        <f>VLOOKUP(E4031,DATABASE!C:Q,11,false)</f>
        <v>SERVICE</v>
      </c>
    </row>
    <row r="4032" ht="22.5" customHeight="1">
      <c r="A4032" s="49"/>
      <c r="C4032" s="384">
        <v>45876.0</v>
      </c>
      <c r="D4032" s="65">
        <v>6748.0</v>
      </c>
      <c r="E4032" s="385" t="s">
        <v>299</v>
      </c>
      <c r="F4032" s="386">
        <v>2.0</v>
      </c>
      <c r="G4032" s="74">
        <v>30000.0</v>
      </c>
      <c r="H4032" s="74">
        <v>0.0</v>
      </c>
      <c r="I4032" s="74">
        <f t="shared" si="1"/>
        <v>60000</v>
      </c>
      <c r="J4032" s="74">
        <f>IF(E4032="SERVICE",I4032-(I4032*50%),Vlookup(E4032,DATABASE!C:Q,10,false)*F4032)</f>
        <v>0</v>
      </c>
      <c r="K4032" s="74">
        <v>0.0</v>
      </c>
      <c r="L4032" s="74">
        <v>0.0</v>
      </c>
      <c r="M4032" s="74">
        <f t="shared" si="2"/>
        <v>0</v>
      </c>
      <c r="N4032" s="74">
        <f t="shared" si="3"/>
        <v>60000</v>
      </c>
      <c r="O4032" s="65" t="str">
        <f>VLOOKUP(E4032,DATABASE!C:Q,8,false)</f>
        <v>BIAN</v>
      </c>
      <c r="P4032" s="65">
        <f>VLOOKUP(E4032,DATABASE!C:Q,9,False)</f>
        <v>0</v>
      </c>
      <c r="Q4032" s="93" t="str">
        <f>VLOOKUP(E4032,DATABASE!C:Q,4,false)</f>
        <v>Balancing</v>
      </c>
      <c r="R4032" s="93" t="str">
        <f>VLOOKUP(E4032,DATABASE!C:Q,11,false)</f>
        <v>COMPLEMENTARY</v>
      </c>
    </row>
    <row r="4033" ht="22.5" customHeight="1">
      <c r="A4033" s="49"/>
      <c r="C4033" s="384">
        <v>45876.0</v>
      </c>
      <c r="D4033" s="65">
        <v>6748.0</v>
      </c>
      <c r="E4033" s="445" t="s">
        <v>301</v>
      </c>
      <c r="F4033" s="386">
        <v>1.0</v>
      </c>
      <c r="G4033" s="74">
        <v>250000.0</v>
      </c>
      <c r="H4033" s="74">
        <v>0.0</v>
      </c>
      <c r="I4033" s="74">
        <f t="shared" si="1"/>
        <v>250000</v>
      </c>
      <c r="J4033" s="74">
        <f>IF(E4033="SERVICE",I4033-(I4033*50%),Vlookup(E4033,DATABASE!C:Q,10,false)*F4033)</f>
        <v>75000</v>
      </c>
      <c r="K4033" s="74">
        <f>VLOOKUP(E4033,DATABASE!C:Q,7,false)</f>
        <v>75000</v>
      </c>
      <c r="L4033" s="74">
        <v>75000.0</v>
      </c>
      <c r="M4033" s="74">
        <f t="shared" si="2"/>
        <v>75000</v>
      </c>
      <c r="N4033" s="74">
        <f t="shared" si="3"/>
        <v>100000</v>
      </c>
      <c r="O4033" s="65" t="str">
        <f>VLOOKUP(E4033,DATABASE!C:Q,8,false)</f>
        <v>BIAN</v>
      </c>
      <c r="P4033" s="65">
        <f>VLOOKUP(E4033,DATABASE!C:Q,9,False)</f>
        <v>0</v>
      </c>
      <c r="Q4033" s="93" t="str">
        <f>VLOOKUP(E4033,DATABASE!C:Q,4,false)</f>
        <v>Baut Camber</v>
      </c>
      <c r="R4033" s="93" t="str">
        <f>VLOOKUP(E4033,DATABASE!C:Q,11,false)</f>
        <v>COMPLEMENTARY</v>
      </c>
    </row>
    <row r="4034" ht="22.5" customHeight="1">
      <c r="A4034" s="49"/>
      <c r="C4034" s="384">
        <v>45876.0</v>
      </c>
      <c r="D4034" s="65">
        <v>6749.0</v>
      </c>
      <c r="E4034" s="445" t="s">
        <v>268</v>
      </c>
      <c r="F4034" s="386">
        <v>1.0</v>
      </c>
      <c r="G4034" s="74">
        <v>720000.0</v>
      </c>
      <c r="H4034" s="74">
        <v>0.0</v>
      </c>
      <c r="I4034" s="74">
        <f t="shared" si="1"/>
        <v>720000</v>
      </c>
      <c r="J4034" s="74">
        <f>IF(E4034="SERVICE",I4034-(I4034*50%),Vlookup(E4034,DATABASE!C:Q,10,false)*F4034)</f>
        <v>0</v>
      </c>
      <c r="K4034" s="74">
        <f>VLOOKUP(E4034,DATABASE!C:Q,7,false)</f>
        <v>653000</v>
      </c>
      <c r="L4034" s="74">
        <v>622000.0</v>
      </c>
      <c r="M4034" s="74">
        <f t="shared" si="2"/>
        <v>625000</v>
      </c>
      <c r="N4034" s="74">
        <f t="shared" si="3"/>
        <v>95000</v>
      </c>
      <c r="O4034" s="65" t="str">
        <f>VLOOKUP(E4034,DATABASE!C:Q,8,false)</f>
        <v>IBU</v>
      </c>
      <c r="P4034" s="65">
        <f>VLOOKUP(E4034,DATABASE!C:Q,9,False)</f>
        <v>1</v>
      </c>
      <c r="Q4034" s="93" t="str">
        <f>VLOOKUP(E4034,DATABASE!C:Q,4,false)</f>
        <v>Dunlop</v>
      </c>
      <c r="R4034" s="93" t="str">
        <f>VLOOKUP(E4034,DATABASE!C:Q,11,false)</f>
        <v>Tire</v>
      </c>
    </row>
    <row r="4035" ht="22.5" customHeight="1">
      <c r="A4035" s="49"/>
      <c r="C4035" s="384">
        <v>45876.0</v>
      </c>
      <c r="D4035" s="65">
        <v>6750.0</v>
      </c>
      <c r="E4035" s="445" t="s">
        <v>614</v>
      </c>
      <c r="F4035" s="386">
        <v>4.0</v>
      </c>
      <c r="G4035" s="74">
        <v>870000.0</v>
      </c>
      <c r="H4035" s="74">
        <v>0.0</v>
      </c>
      <c r="I4035" s="74">
        <f t="shared" si="1"/>
        <v>3480000</v>
      </c>
      <c r="J4035" s="74">
        <f>IF(E4035="SERVICE",I4035-(I4035*50%),Vlookup(E4035,DATABASE!C:Q,10,false)*F4035)</f>
        <v>0</v>
      </c>
      <c r="K4035" s="74">
        <f>VLOOKUP(E4035,DATABASE!C:Q,7,false)</f>
        <v>754660.6</v>
      </c>
      <c r="L4035" s="74">
        <v>766438.4</v>
      </c>
      <c r="M4035" s="74">
        <f t="shared" si="2"/>
        <v>770000</v>
      </c>
      <c r="N4035" s="74">
        <f t="shared" si="3"/>
        <v>400000</v>
      </c>
      <c r="O4035" s="65" t="str">
        <f>VLOOKUP(E4035,DATABASE!C:Q,8,false)</f>
        <v>IBU</v>
      </c>
      <c r="P4035" s="65">
        <f>VLOOKUP(E4035,DATABASE!C:Q,9,False)</f>
        <v>1</v>
      </c>
      <c r="Q4035" s="93" t="str">
        <f>VLOOKUP(E4035,DATABASE!C:Q,4,false)</f>
        <v>Bridgestone</v>
      </c>
      <c r="R4035" s="93" t="str">
        <f>VLOOKUP(E4035,DATABASE!C:Q,11,false)</f>
        <v>Tire</v>
      </c>
    </row>
    <row r="4036" ht="22.5" customHeight="1">
      <c r="A4036" s="49"/>
      <c r="C4036" s="384">
        <v>45876.0</v>
      </c>
      <c r="D4036" s="65">
        <v>6750.0</v>
      </c>
      <c r="E4036" s="385" t="s">
        <v>299</v>
      </c>
      <c r="F4036" s="386">
        <v>2.0</v>
      </c>
      <c r="G4036" s="74">
        <v>30000.0</v>
      </c>
      <c r="H4036" s="74">
        <v>0.0</v>
      </c>
      <c r="I4036" s="74">
        <f t="shared" si="1"/>
        <v>60000</v>
      </c>
      <c r="J4036" s="74">
        <f>IF(E4036="SERVICE",I4036-(I4036*50%),Vlookup(E4036,DATABASE!C:Q,10,false)*F4036)</f>
        <v>0</v>
      </c>
      <c r="K4036" s="74">
        <v>0.0</v>
      </c>
      <c r="L4036" s="74">
        <v>0.0</v>
      </c>
      <c r="M4036" s="74">
        <f t="shared" si="2"/>
        <v>0</v>
      </c>
      <c r="N4036" s="74">
        <f t="shared" si="3"/>
        <v>60000</v>
      </c>
      <c r="O4036" s="65" t="str">
        <f>VLOOKUP(E4036,DATABASE!C:Q,8,false)</f>
        <v>BIAN</v>
      </c>
      <c r="P4036" s="65">
        <f>VLOOKUP(E4036,DATABASE!C:Q,9,False)</f>
        <v>0</v>
      </c>
      <c r="Q4036" s="93" t="str">
        <f>VLOOKUP(E4036,DATABASE!C:Q,4,false)</f>
        <v>Balancing</v>
      </c>
      <c r="R4036" s="93" t="str">
        <f>VLOOKUP(E4036,DATABASE!C:Q,11,false)</f>
        <v>COMPLEMENTARY</v>
      </c>
    </row>
    <row r="4037" ht="22.5" customHeight="1">
      <c r="A4037" s="49"/>
      <c r="C4037" s="384">
        <v>45876.0</v>
      </c>
      <c r="D4037" s="65">
        <v>6751.0</v>
      </c>
      <c r="E4037" s="445" t="s">
        <v>256</v>
      </c>
      <c r="F4037" s="386">
        <v>1.0</v>
      </c>
      <c r="G4037" s="74">
        <v>130000.0</v>
      </c>
      <c r="H4037" s="74">
        <v>0.0</v>
      </c>
      <c r="I4037" s="74">
        <f t="shared" si="1"/>
        <v>130000</v>
      </c>
      <c r="J4037" s="74">
        <f>IF(E4037="SERVICE",I4037-(I4037*50%),Vlookup(E4037,DATABASE!C:Q,10,false)*F4037)</f>
        <v>10000</v>
      </c>
      <c r="K4037" s="74">
        <f>VLOOKUP(E4037,DATABASE!C:Q,7,false)</f>
        <v>0</v>
      </c>
      <c r="L4037" s="74">
        <v>0.0</v>
      </c>
      <c r="M4037" s="74">
        <f t="shared" si="2"/>
        <v>0</v>
      </c>
      <c r="N4037" s="74">
        <f t="shared" si="3"/>
        <v>120000</v>
      </c>
      <c r="O4037" s="65" t="str">
        <f>VLOOKUP(E4037,DATABASE!C:Q,8,false)</f>
        <v>IBU</v>
      </c>
      <c r="P4037" s="65">
        <f>VLOOKUP(E4037,DATABASE!C:Q,9,False)</f>
        <v>0</v>
      </c>
      <c r="Q4037" s="93" t="str">
        <f>VLOOKUP(E4037,DATABASE!C:Q,4,false)</f>
        <v>SPOORING</v>
      </c>
      <c r="R4037" s="93" t="str">
        <f>VLOOKUP(E4037,DATABASE!C:Q,11,false)</f>
        <v>SERVICE</v>
      </c>
    </row>
    <row r="4038" ht="22.5" customHeight="1">
      <c r="A4038" s="49"/>
      <c r="C4038" s="384">
        <v>45876.0</v>
      </c>
      <c r="D4038" s="65">
        <v>6751.0</v>
      </c>
      <c r="E4038" s="385" t="s">
        <v>299</v>
      </c>
      <c r="F4038" s="386">
        <v>2.0</v>
      </c>
      <c r="G4038" s="74">
        <v>30000.0</v>
      </c>
      <c r="H4038" s="74">
        <v>0.0</v>
      </c>
      <c r="I4038" s="74">
        <f t="shared" si="1"/>
        <v>60000</v>
      </c>
      <c r="J4038" s="74">
        <f>IF(E4038="SERVICE",I4038-(I4038*50%),Vlookup(E4038,DATABASE!C:Q,10,false)*F4038)</f>
        <v>0</v>
      </c>
      <c r="K4038" s="74">
        <v>0.0</v>
      </c>
      <c r="L4038" s="74">
        <v>0.0</v>
      </c>
      <c r="M4038" s="74">
        <f t="shared" si="2"/>
        <v>0</v>
      </c>
      <c r="N4038" s="74">
        <f t="shared" si="3"/>
        <v>60000</v>
      </c>
      <c r="O4038" s="65" t="str">
        <f>VLOOKUP(E4038,DATABASE!C:Q,8,false)</f>
        <v>BIAN</v>
      </c>
      <c r="P4038" s="65">
        <f>VLOOKUP(E4038,DATABASE!C:Q,9,False)</f>
        <v>0</v>
      </c>
      <c r="Q4038" s="93" t="str">
        <f>VLOOKUP(E4038,DATABASE!C:Q,4,false)</f>
        <v>Balancing</v>
      </c>
      <c r="R4038" s="93" t="str">
        <f>VLOOKUP(E4038,DATABASE!C:Q,11,false)</f>
        <v>COMPLEMENTARY</v>
      </c>
    </row>
    <row r="4039" ht="22.5" customHeight="1">
      <c r="A4039" s="49"/>
      <c r="C4039" s="384">
        <v>45876.0</v>
      </c>
      <c r="D4039" s="65">
        <v>6751.0</v>
      </c>
      <c r="E4039" s="445" t="s">
        <v>301</v>
      </c>
      <c r="F4039" s="386">
        <v>1.0</v>
      </c>
      <c r="G4039" s="74">
        <v>250000.0</v>
      </c>
      <c r="H4039" s="74">
        <v>0.0</v>
      </c>
      <c r="I4039" s="74">
        <f t="shared" si="1"/>
        <v>250000</v>
      </c>
      <c r="J4039" s="74">
        <f>IF(E4039="SERVICE",I4039-(I4039*50%),Vlookup(E4039,DATABASE!C:Q,10,false)*F4039)</f>
        <v>75000</v>
      </c>
      <c r="K4039" s="74">
        <f>VLOOKUP(E4039,DATABASE!C:Q,7,false)</f>
        <v>75000</v>
      </c>
      <c r="L4039" s="74">
        <v>75000.0</v>
      </c>
      <c r="M4039" s="74">
        <f t="shared" si="2"/>
        <v>75000</v>
      </c>
      <c r="N4039" s="74">
        <f t="shared" si="3"/>
        <v>100000</v>
      </c>
      <c r="O4039" s="65" t="str">
        <f>VLOOKUP(E4039,DATABASE!C:Q,8,false)</f>
        <v>BIAN</v>
      </c>
      <c r="P4039" s="65">
        <f>VLOOKUP(E4039,DATABASE!C:Q,9,False)</f>
        <v>0</v>
      </c>
      <c r="Q4039" s="93" t="str">
        <f>VLOOKUP(E4039,DATABASE!C:Q,4,false)</f>
        <v>Baut Camber</v>
      </c>
      <c r="R4039" s="93" t="str">
        <f>VLOOKUP(E4039,DATABASE!C:Q,11,false)</f>
        <v>COMPLEMENTARY</v>
      </c>
    </row>
    <row r="4040" ht="22.5" customHeight="1">
      <c r="A4040" s="49"/>
      <c r="C4040" s="384">
        <v>45877.0</v>
      </c>
      <c r="D4040" s="65">
        <v>6752.0</v>
      </c>
      <c r="E4040" s="445" t="s">
        <v>744</v>
      </c>
      <c r="F4040" s="386">
        <v>1.0</v>
      </c>
      <c r="G4040" s="74">
        <v>230000.0</v>
      </c>
      <c r="H4040" s="74">
        <v>0.0</v>
      </c>
      <c r="I4040" s="74">
        <f t="shared" si="1"/>
        <v>230000</v>
      </c>
      <c r="J4040" s="74">
        <f>IF(E4040="SERVICE",I4040-(I4040*50%),Vlookup(E4040,DATABASE!C:Q,10,false)*F4040)</f>
        <v>0</v>
      </c>
      <c r="K4040" s="74">
        <f>VLOOKUP(E4040,DATABASE!C:Q,7,false)</f>
        <v>182200</v>
      </c>
      <c r="L4040" s="74">
        <v>199920.0</v>
      </c>
      <c r="M4040" s="74">
        <f t="shared" si="2"/>
        <v>200000</v>
      </c>
      <c r="N4040" s="74">
        <f t="shared" si="3"/>
        <v>30000</v>
      </c>
      <c r="O4040" s="65" t="str">
        <f>VLOOKUP(E4040,DATABASE!C:Q,8,false)</f>
        <v>BIAN</v>
      </c>
      <c r="P4040" s="65">
        <f>VLOOKUP(E4040,DATABASE!C:Q,9,False)</f>
        <v>1</v>
      </c>
      <c r="Q4040" s="93" t="str">
        <f>VLOOKUP(E4040,DATABASE!C:Q,4,false)</f>
        <v>BD</v>
      </c>
      <c r="R4040" s="93" t="str">
        <f>VLOOKUP(E4040,DATABASE!C:Q,11,false)</f>
        <v>Tire</v>
      </c>
    </row>
    <row r="4041" ht="22.5" customHeight="1">
      <c r="A4041" s="49"/>
      <c r="C4041" s="384">
        <v>45877.0</v>
      </c>
      <c r="D4041" s="65">
        <v>6754.0</v>
      </c>
      <c r="E4041" s="657" t="s">
        <v>2064</v>
      </c>
      <c r="F4041" s="386">
        <v>2.0</v>
      </c>
      <c r="G4041" s="74">
        <v>700000.0</v>
      </c>
      <c r="H4041" s="74">
        <v>0.0</v>
      </c>
      <c r="I4041" s="74">
        <f t="shared" si="1"/>
        <v>1400000</v>
      </c>
      <c r="J4041" s="74">
        <f>IF(E4041="SERVICE",I4041-(I4041*50%),Vlookup(E4041,DATABASE!C:Q,10,false)*F4041)</f>
        <v>0</v>
      </c>
      <c r="K4041" s="74">
        <f>VLOOKUP(E4041,DATABASE!C:Q,7,false)</f>
        <v>608000</v>
      </c>
      <c r="L4041" s="74">
        <v>608000.0</v>
      </c>
      <c r="M4041" s="74">
        <f t="shared" si="2"/>
        <v>610000</v>
      </c>
      <c r="N4041" s="74">
        <f t="shared" si="3"/>
        <v>180000</v>
      </c>
      <c r="O4041" s="65" t="str">
        <f>VLOOKUP(E4041,DATABASE!C:Q,8,false)</f>
        <v>BIAN</v>
      </c>
      <c r="P4041" s="65">
        <f>VLOOKUP(E4041,DATABASE!C:Q,9,False)</f>
        <v>1</v>
      </c>
      <c r="Q4041" s="93" t="str">
        <f>VLOOKUP(E4041,DATABASE!C:Q,4,false)</f>
        <v>Hankook</v>
      </c>
      <c r="R4041" s="93" t="str">
        <f>VLOOKUP(E4041,DATABASE!C:Q,11,false)</f>
        <v>Tire</v>
      </c>
    </row>
    <row r="4042" ht="22.5" customHeight="1">
      <c r="A4042" s="49"/>
      <c r="C4042" s="384">
        <v>45877.0</v>
      </c>
      <c r="D4042" s="65">
        <v>6754.0</v>
      </c>
      <c r="E4042" s="385" t="s">
        <v>299</v>
      </c>
      <c r="F4042" s="386">
        <v>2.0</v>
      </c>
      <c r="G4042" s="74">
        <v>30000.0</v>
      </c>
      <c r="H4042" s="74">
        <v>0.0</v>
      </c>
      <c r="I4042" s="74">
        <f t="shared" si="1"/>
        <v>60000</v>
      </c>
      <c r="J4042" s="74">
        <f>IF(E4042="SERVICE",I4042-(I4042*50%),Vlookup(E4042,DATABASE!C:Q,10,false)*F4042)</f>
        <v>0</v>
      </c>
      <c r="K4042" s="74">
        <v>0.0</v>
      </c>
      <c r="L4042" s="74">
        <v>0.0</v>
      </c>
      <c r="M4042" s="74">
        <f t="shared" si="2"/>
        <v>0</v>
      </c>
      <c r="N4042" s="74">
        <f t="shared" si="3"/>
        <v>60000</v>
      </c>
      <c r="O4042" s="65" t="str">
        <f>VLOOKUP(E4042,DATABASE!C:Q,8,false)</f>
        <v>BIAN</v>
      </c>
      <c r="P4042" s="65">
        <f>VLOOKUP(E4042,DATABASE!C:Q,9,False)</f>
        <v>0</v>
      </c>
      <c r="Q4042" s="93" t="str">
        <f>VLOOKUP(E4042,DATABASE!C:Q,4,false)</f>
        <v>Balancing</v>
      </c>
      <c r="R4042" s="93" t="str">
        <f>VLOOKUP(E4042,DATABASE!C:Q,11,false)</f>
        <v>COMPLEMENTARY</v>
      </c>
    </row>
    <row r="4043" ht="22.5" customHeight="1">
      <c r="A4043" s="49"/>
      <c r="C4043" s="384">
        <v>45877.0</v>
      </c>
      <c r="D4043" s="65">
        <v>6756.0</v>
      </c>
      <c r="E4043" s="445" t="s">
        <v>1862</v>
      </c>
      <c r="F4043" s="386">
        <v>2.0</v>
      </c>
      <c r="G4043" s="74">
        <v>2150000.0</v>
      </c>
      <c r="H4043" s="74">
        <v>0.0</v>
      </c>
      <c r="I4043" s="74">
        <f t="shared" si="1"/>
        <v>4300000</v>
      </c>
      <c r="J4043" s="74">
        <f>IF(E4043="SERVICE",I4043-(I4043*50%),Vlookup(E4043,DATABASE!C:Q,10,false)*F4043)</f>
        <v>0</v>
      </c>
      <c r="K4043" s="74">
        <f>VLOOKUP(E4043,DATABASE!C:Q,7,false)</f>
        <v>2080000</v>
      </c>
      <c r="L4043" s="74">
        <v>2050000.0</v>
      </c>
      <c r="M4043" s="74">
        <f t="shared" si="2"/>
        <v>2050000</v>
      </c>
      <c r="N4043" s="74">
        <f t="shared" si="3"/>
        <v>200000</v>
      </c>
      <c r="O4043" s="65" t="str">
        <f>VLOOKUP(E4043,DATABASE!C:Q,8,false)</f>
        <v>BIAN</v>
      </c>
      <c r="P4043" s="65">
        <f>VLOOKUP(E4043,DATABASE!C:Q,9,False)</f>
        <v>1</v>
      </c>
      <c r="Q4043" s="93" t="str">
        <f>VLOOKUP(E4043,DATABASE!C:Q,4,false)</f>
        <v>GiTi</v>
      </c>
      <c r="R4043" s="93" t="str">
        <f>VLOOKUP(E4043,DATABASE!C:Q,11,false)</f>
        <v>Tire</v>
      </c>
    </row>
    <row r="4044" ht="22.5" customHeight="1">
      <c r="A4044" s="49"/>
      <c r="C4044" s="384">
        <v>45877.0</v>
      </c>
      <c r="D4044" s="65">
        <v>6757.0</v>
      </c>
      <c r="E4044" s="445" t="s">
        <v>1507</v>
      </c>
      <c r="F4044" s="386">
        <v>2.0</v>
      </c>
      <c r="G4044" s="74">
        <v>730000.0</v>
      </c>
      <c r="H4044" s="74">
        <v>0.0</v>
      </c>
      <c r="I4044" s="74">
        <f t="shared" si="1"/>
        <v>1460000</v>
      </c>
      <c r="J4044" s="74">
        <f>IF(E4044="SERVICE",I4044-(I4044*50%),Vlookup(E4044,DATABASE!C:Q,10,false)*F4044)</f>
        <v>0</v>
      </c>
      <c r="K4044" s="74">
        <f>VLOOKUP(E4044,DATABASE!C:Q,7,false)</f>
        <v>638500</v>
      </c>
      <c r="L4044" s="74">
        <v>638500.0</v>
      </c>
      <c r="M4044" s="74">
        <f t="shared" si="2"/>
        <v>640000</v>
      </c>
      <c r="N4044" s="74">
        <f t="shared" si="3"/>
        <v>180000</v>
      </c>
      <c r="O4044" s="65" t="str">
        <f>VLOOKUP(E4044,DATABASE!C:Q,8,false)</f>
        <v>IBU</v>
      </c>
      <c r="P4044" s="65">
        <f>VLOOKUP(E4044,DATABASE!C:Q,9,False)</f>
        <v>1</v>
      </c>
      <c r="Q4044" s="93" t="str">
        <f>VLOOKUP(E4044,DATABASE!C:Q,4,false)</f>
        <v>Dunlop</v>
      </c>
      <c r="R4044" s="93" t="str">
        <f>VLOOKUP(E4044,DATABASE!C:Q,11,false)</f>
        <v>Tire</v>
      </c>
    </row>
    <row r="4045" ht="22.5" customHeight="1">
      <c r="A4045" s="49"/>
      <c r="C4045" s="384">
        <v>45877.0</v>
      </c>
      <c r="D4045" s="65">
        <v>6757.0</v>
      </c>
      <c r="E4045" s="445" t="s">
        <v>2199</v>
      </c>
      <c r="F4045" s="386">
        <v>1.0</v>
      </c>
      <c r="G4045" s="74">
        <v>15000.0</v>
      </c>
      <c r="H4045" s="74">
        <v>0.0</v>
      </c>
      <c r="I4045" s="74">
        <f t="shared" si="1"/>
        <v>15000</v>
      </c>
      <c r="J4045" s="74">
        <f>IF(E4045="SERVICE",I4045-(I4045*50%),Vlookup(E4045,DATABASE!C:Q,10,false)*F4045)</f>
        <v>0</v>
      </c>
      <c r="K4045" s="74">
        <f>VLOOKUP(E4045,DATABASE!C:Q,7,false)</f>
        <v>5000</v>
      </c>
      <c r="L4045" s="74">
        <v>0.0</v>
      </c>
      <c r="M4045" s="74">
        <f t="shared" si="2"/>
        <v>0</v>
      </c>
      <c r="N4045" s="74">
        <f t="shared" si="3"/>
        <v>15000</v>
      </c>
      <c r="O4045" s="65" t="str">
        <f>VLOOKUP(E4045,DATABASE!C:Q,8,false)</f>
        <v>BIAN</v>
      </c>
      <c r="P4045" s="65">
        <f>VLOOKUP(E4045,DATABASE!C:Q,9,False)</f>
        <v>0</v>
      </c>
      <c r="Q4045" s="93" t="str">
        <f>VLOOKUP(E4045,DATABASE!C:Q,4,false)</f>
        <v>TAMBAL TUBLES</v>
      </c>
      <c r="R4045" s="93" t="str">
        <f>VLOOKUP(E4045,DATABASE!C:Q,11,false)</f>
        <v>COMPLEMENTARY</v>
      </c>
    </row>
    <row r="4046" ht="22.5" customHeight="1">
      <c r="A4046" s="49"/>
      <c r="C4046" s="384">
        <v>45877.0</v>
      </c>
      <c r="D4046" s="65">
        <v>6758.0</v>
      </c>
      <c r="E4046" s="445" t="s">
        <v>268</v>
      </c>
      <c r="F4046" s="386">
        <v>4.0</v>
      </c>
      <c r="G4046" s="74">
        <v>720000.0</v>
      </c>
      <c r="H4046" s="74">
        <v>0.0</v>
      </c>
      <c r="I4046" s="74">
        <f t="shared" si="1"/>
        <v>2880000</v>
      </c>
      <c r="J4046" s="74">
        <f>IF(E4046="SERVICE",I4046-(I4046*50%),Vlookup(E4046,DATABASE!C:Q,10,false)*F4046)</f>
        <v>0</v>
      </c>
      <c r="K4046" s="74">
        <f>VLOOKUP(E4046,DATABASE!C:Q,7,false)</f>
        <v>653000</v>
      </c>
      <c r="L4046" s="74">
        <v>622000.0</v>
      </c>
      <c r="M4046" s="74">
        <f t="shared" si="2"/>
        <v>625000</v>
      </c>
      <c r="N4046" s="74">
        <f t="shared" si="3"/>
        <v>380000</v>
      </c>
      <c r="O4046" s="65" t="str">
        <f>VLOOKUP(E4046,DATABASE!C:Q,8,false)</f>
        <v>IBU</v>
      </c>
      <c r="P4046" s="65">
        <f>VLOOKUP(E4046,DATABASE!C:Q,9,False)</f>
        <v>1</v>
      </c>
      <c r="Q4046" s="93" t="str">
        <f>VLOOKUP(E4046,DATABASE!C:Q,4,false)</f>
        <v>Dunlop</v>
      </c>
      <c r="R4046" s="93" t="str">
        <f>VLOOKUP(E4046,DATABASE!C:Q,11,false)</f>
        <v>Tire</v>
      </c>
    </row>
    <row r="4047" ht="22.5" customHeight="1">
      <c r="A4047" s="49"/>
      <c r="C4047" s="384">
        <v>45877.0</v>
      </c>
      <c r="D4047" s="65">
        <v>6758.0</v>
      </c>
      <c r="E4047" s="385" t="s">
        <v>299</v>
      </c>
      <c r="F4047" s="386">
        <v>2.0</v>
      </c>
      <c r="G4047" s="74">
        <v>30000.0</v>
      </c>
      <c r="H4047" s="74">
        <v>0.0</v>
      </c>
      <c r="I4047" s="74">
        <f t="shared" si="1"/>
        <v>60000</v>
      </c>
      <c r="J4047" s="74">
        <f>IF(E4047="SERVICE",I4047-(I4047*50%),Vlookup(E4047,DATABASE!C:Q,10,false)*F4047)</f>
        <v>0</v>
      </c>
      <c r="K4047" s="74">
        <v>0.0</v>
      </c>
      <c r="L4047" s="74">
        <v>0.0</v>
      </c>
      <c r="M4047" s="74">
        <f t="shared" si="2"/>
        <v>0</v>
      </c>
      <c r="N4047" s="74">
        <f t="shared" si="3"/>
        <v>60000</v>
      </c>
      <c r="O4047" s="65" t="str">
        <f>VLOOKUP(E4047,DATABASE!C:Q,8,false)</f>
        <v>BIAN</v>
      </c>
      <c r="P4047" s="65">
        <f>VLOOKUP(E4047,DATABASE!C:Q,9,False)</f>
        <v>0</v>
      </c>
      <c r="Q4047" s="93" t="str">
        <f>VLOOKUP(E4047,DATABASE!C:Q,4,false)</f>
        <v>Balancing</v>
      </c>
      <c r="R4047" s="93" t="str">
        <f>VLOOKUP(E4047,DATABASE!C:Q,11,false)</f>
        <v>COMPLEMENTARY</v>
      </c>
    </row>
    <row r="4048" ht="22.5" customHeight="1">
      <c r="A4048" s="49"/>
      <c r="C4048" s="384">
        <v>45877.0</v>
      </c>
      <c r="D4048" s="65">
        <v>6758.0</v>
      </c>
      <c r="E4048" s="445" t="s">
        <v>256</v>
      </c>
      <c r="F4048" s="386">
        <v>1.0</v>
      </c>
      <c r="G4048" s="74">
        <v>130000.0</v>
      </c>
      <c r="H4048" s="74">
        <v>0.0</v>
      </c>
      <c r="I4048" s="74">
        <f t="shared" si="1"/>
        <v>130000</v>
      </c>
      <c r="J4048" s="74">
        <f>IF(E4048="SERVICE",I4048-(I4048*50%),Vlookup(E4048,DATABASE!C:Q,10,false)*F4048)</f>
        <v>10000</v>
      </c>
      <c r="K4048" s="74">
        <f>VLOOKUP(E4048,DATABASE!C:Q,7,false)</f>
        <v>0</v>
      </c>
      <c r="L4048" s="74">
        <v>0.0</v>
      </c>
      <c r="M4048" s="74">
        <f t="shared" si="2"/>
        <v>0</v>
      </c>
      <c r="N4048" s="74">
        <f t="shared" si="3"/>
        <v>120000</v>
      </c>
      <c r="O4048" s="65" t="str">
        <f>VLOOKUP(E4048,DATABASE!C:Q,8,false)</f>
        <v>IBU</v>
      </c>
      <c r="P4048" s="65">
        <f>VLOOKUP(E4048,DATABASE!C:Q,9,False)</f>
        <v>0</v>
      </c>
      <c r="Q4048" s="93" t="str">
        <f>VLOOKUP(E4048,DATABASE!C:Q,4,false)</f>
        <v>SPOORING</v>
      </c>
      <c r="R4048" s="93" t="str">
        <f>VLOOKUP(E4048,DATABASE!C:Q,11,false)</f>
        <v>SERVICE</v>
      </c>
    </row>
    <row r="4049" ht="22.5" customHeight="1">
      <c r="A4049" s="49"/>
      <c r="C4049" s="384">
        <v>45877.0</v>
      </c>
      <c r="D4049" s="65">
        <v>6758.0</v>
      </c>
      <c r="E4049" s="445" t="s">
        <v>301</v>
      </c>
      <c r="F4049" s="386">
        <v>1.0</v>
      </c>
      <c r="G4049" s="74">
        <v>250000.0</v>
      </c>
      <c r="H4049" s="74">
        <v>0.0</v>
      </c>
      <c r="I4049" s="74">
        <f t="shared" si="1"/>
        <v>250000</v>
      </c>
      <c r="J4049" s="74">
        <f>IF(E4049="SERVICE",I4049-(I4049*50%),Vlookup(E4049,DATABASE!C:Q,10,false)*F4049)</f>
        <v>75000</v>
      </c>
      <c r="K4049" s="74">
        <f>VLOOKUP(E4049,DATABASE!C:Q,7,false)</f>
        <v>75000</v>
      </c>
      <c r="L4049" s="74">
        <v>75000.0</v>
      </c>
      <c r="M4049" s="74">
        <f t="shared" si="2"/>
        <v>75000</v>
      </c>
      <c r="N4049" s="74">
        <f t="shared" si="3"/>
        <v>100000</v>
      </c>
      <c r="O4049" s="65" t="str">
        <f>VLOOKUP(E4049,DATABASE!C:Q,8,false)</f>
        <v>BIAN</v>
      </c>
      <c r="P4049" s="65">
        <f>VLOOKUP(E4049,DATABASE!C:Q,9,False)</f>
        <v>0</v>
      </c>
      <c r="Q4049" s="93" t="str">
        <f>VLOOKUP(E4049,DATABASE!C:Q,4,false)</f>
        <v>Baut Camber</v>
      </c>
      <c r="R4049" s="93" t="str">
        <f>VLOOKUP(E4049,DATABASE!C:Q,11,false)</f>
        <v>COMPLEMENTARY</v>
      </c>
    </row>
    <row r="4050" ht="22.5" customHeight="1">
      <c r="A4050" s="49"/>
      <c r="C4050" s="384">
        <v>45877.0</v>
      </c>
      <c r="D4050" s="65">
        <v>6759.0</v>
      </c>
      <c r="E4050" s="445" t="s">
        <v>262</v>
      </c>
      <c r="F4050" s="386">
        <v>1.0</v>
      </c>
      <c r="G4050" s="74">
        <v>100000.0</v>
      </c>
      <c r="H4050" s="74">
        <v>0.0</v>
      </c>
      <c r="I4050" s="74">
        <f t="shared" si="1"/>
        <v>100000</v>
      </c>
      <c r="J4050" s="74">
        <f>IF(E4050="SERVICE",I4050-(I4050*50%),Vlookup(E4050,DATABASE!C:Q,10,false)*F4050)</f>
        <v>5000</v>
      </c>
      <c r="K4050" s="74">
        <f>VLOOKUP(E4050,DATABASE!C:Q,7,false)</f>
        <v>0</v>
      </c>
      <c r="L4050" s="74">
        <v>0.0</v>
      </c>
      <c r="M4050" s="74">
        <f t="shared" si="2"/>
        <v>0</v>
      </c>
      <c r="N4050" s="74">
        <f t="shared" si="3"/>
        <v>95000</v>
      </c>
      <c r="O4050" s="65" t="str">
        <f>VLOOKUP(E4050,DATABASE!C:Q,8,false)</f>
        <v>IBU</v>
      </c>
      <c r="P4050" s="65">
        <f>VLOOKUP(E4050,DATABASE!C:Q,9,False)</f>
        <v>0</v>
      </c>
      <c r="Q4050" s="93" t="str">
        <f>VLOOKUP(E4050,DATABASE!C:Q,4,false)</f>
        <v>SPOORING SS/CARRY LOS BAK</v>
      </c>
      <c r="R4050" s="93" t="str">
        <f>VLOOKUP(E4050,DATABASE!C:Q,11,false)</f>
        <v>SERVICE</v>
      </c>
    </row>
    <row r="4051" ht="22.5" customHeight="1">
      <c r="A4051" s="49"/>
      <c r="C4051" s="384">
        <v>45877.0</v>
      </c>
      <c r="D4051" s="65">
        <v>6760.0</v>
      </c>
      <c r="E4051" s="445" t="s">
        <v>246</v>
      </c>
      <c r="F4051" s="386">
        <v>2.0</v>
      </c>
      <c r="G4051" s="74">
        <v>30000.0</v>
      </c>
      <c r="H4051" s="74">
        <v>0.0</v>
      </c>
      <c r="I4051" s="74">
        <f t="shared" si="1"/>
        <v>60000</v>
      </c>
      <c r="J4051" s="74">
        <f>IF(E4051="SERVICE",I4051-(I4051*50%),Vlookup(E4051,DATABASE!C:Q,10,false)*F4051)</f>
        <v>0</v>
      </c>
      <c r="K4051" s="74">
        <f>VLOOKUP(E4051,DATABASE!C:Q,7,false)</f>
        <v>0</v>
      </c>
      <c r="L4051" s="74">
        <v>0.0</v>
      </c>
      <c r="M4051" s="74">
        <f t="shared" si="2"/>
        <v>0</v>
      </c>
      <c r="N4051" s="74">
        <f t="shared" si="3"/>
        <v>60000</v>
      </c>
      <c r="O4051" s="65" t="str">
        <f>VLOOKUP(E4051,DATABASE!C:Q,8,false)</f>
        <v>IBU</v>
      </c>
      <c r="P4051" s="65">
        <f>VLOOKUP(E4051,DATABASE!C:Q,9,False)</f>
        <v>0</v>
      </c>
      <c r="Q4051" s="93" t="str">
        <f>VLOOKUP(E4051,DATABASE!C:Q,4,false)</f>
        <v>Bongkar Pasang</v>
      </c>
      <c r="R4051" s="93" t="str">
        <f>VLOOKUP(E4051,DATABASE!C:Q,11,false)</f>
        <v>SERVICE</v>
      </c>
    </row>
    <row r="4052" ht="22.5" customHeight="1">
      <c r="A4052" s="49"/>
      <c r="C4052" s="384">
        <v>45877.0</v>
      </c>
      <c r="D4052" s="65">
        <v>6761.0</v>
      </c>
      <c r="E4052" s="445" t="s">
        <v>275</v>
      </c>
      <c r="F4052" s="386">
        <v>1.0</v>
      </c>
      <c r="G4052" s="74">
        <v>850000.0</v>
      </c>
      <c r="H4052" s="74">
        <v>0.0</v>
      </c>
      <c r="I4052" s="74">
        <f t="shared" si="1"/>
        <v>850000</v>
      </c>
      <c r="J4052" s="74">
        <f>IF(E4052="SERVICE",I4052-(I4052*50%),Vlookup(E4052,DATABASE!C:Q,10,false)*F4052)</f>
        <v>0</v>
      </c>
      <c r="K4052" s="74">
        <f>VLOOKUP(E4052,DATABASE!C:Q,7,false)</f>
        <v>782000</v>
      </c>
      <c r="L4052" s="74">
        <v>745000.0</v>
      </c>
      <c r="M4052" s="74">
        <f t="shared" si="2"/>
        <v>745000</v>
      </c>
      <c r="N4052" s="74">
        <f t="shared" si="3"/>
        <v>105000</v>
      </c>
      <c r="O4052" s="65" t="str">
        <f>VLOOKUP(E4052,DATABASE!C:Q,8,false)</f>
        <v>IBU</v>
      </c>
      <c r="P4052" s="65">
        <f>VLOOKUP(E4052,DATABASE!C:Q,9,False)</f>
        <v>1</v>
      </c>
      <c r="Q4052" s="93" t="str">
        <f>VLOOKUP(E4052,DATABASE!C:Q,4,false)</f>
        <v>Dunlop</v>
      </c>
      <c r="R4052" s="93" t="str">
        <f>VLOOKUP(E4052,DATABASE!C:Q,11,false)</f>
        <v>Tire</v>
      </c>
    </row>
    <row r="4053" ht="22.5" customHeight="1">
      <c r="A4053" s="49"/>
      <c r="C4053" s="384">
        <v>45877.0</v>
      </c>
      <c r="D4053" s="65">
        <v>6763.0</v>
      </c>
      <c r="E4053" s="445" t="s">
        <v>566</v>
      </c>
      <c r="F4053" s="386">
        <v>2.0</v>
      </c>
      <c r="G4053" s="74">
        <v>1670000.0</v>
      </c>
      <c r="H4053" s="74">
        <v>0.0</v>
      </c>
      <c r="I4053" s="74">
        <f t="shared" si="1"/>
        <v>3340000</v>
      </c>
      <c r="J4053" s="74">
        <f>IF(E4053="SERVICE",I4053-(I4053*50%),Vlookup(E4053,DATABASE!C:Q,10,false)*F4053)</f>
        <v>0</v>
      </c>
      <c r="K4053" s="74">
        <f>VLOOKUP(E4053,DATABASE!C:Q,7,false)</f>
        <v>1565000</v>
      </c>
      <c r="L4053" s="74">
        <v>1545000.0</v>
      </c>
      <c r="M4053" s="74">
        <f t="shared" si="2"/>
        <v>1545000</v>
      </c>
      <c r="N4053" s="74">
        <f t="shared" si="3"/>
        <v>250000</v>
      </c>
      <c r="O4053" s="65" t="str">
        <f>VLOOKUP(E4053,DATABASE!C:Q,8,false)</f>
        <v>IBU</v>
      </c>
      <c r="P4053" s="65">
        <f>VLOOKUP(E4053,DATABASE!C:Q,9,False)</f>
        <v>1</v>
      </c>
      <c r="Q4053" s="93" t="str">
        <f>VLOOKUP(E4053,DATABASE!C:Q,4,false)</f>
        <v>Bridgestone</v>
      </c>
      <c r="R4053" s="93" t="str">
        <f>VLOOKUP(E4053,DATABASE!C:Q,11,false)</f>
        <v>Tire</v>
      </c>
    </row>
    <row r="4054" ht="22.5" customHeight="1">
      <c r="A4054" s="49"/>
      <c r="C4054" s="384">
        <v>45877.0</v>
      </c>
      <c r="D4054" s="65">
        <v>6763.0</v>
      </c>
      <c r="E4054" s="445" t="s">
        <v>764</v>
      </c>
      <c r="F4054" s="386">
        <v>2.0</v>
      </c>
      <c r="G4054" s="74">
        <v>200000.0</v>
      </c>
      <c r="H4054" s="74">
        <v>0.0</v>
      </c>
      <c r="I4054" s="74">
        <f t="shared" si="1"/>
        <v>400000</v>
      </c>
      <c r="J4054" s="74">
        <f>IF(E4054="SERVICE",I4054-(I4054*50%),Vlookup(E4054,DATABASE!C:Q,10,false)*F4054)</f>
        <v>0</v>
      </c>
      <c r="K4054" s="74">
        <f>VLOOKUP(E4054,DATABASE!C:Q,7,false)</f>
        <v>145000</v>
      </c>
      <c r="L4054" s="74">
        <v>145000.0</v>
      </c>
      <c r="M4054" s="74">
        <f t="shared" si="2"/>
        <v>145000</v>
      </c>
      <c r="N4054" s="74">
        <f t="shared" si="3"/>
        <v>110000</v>
      </c>
      <c r="O4054" s="65" t="str">
        <f>VLOOKUP(E4054,DATABASE!C:Q,8,false)</f>
        <v>BIAN</v>
      </c>
      <c r="P4054" s="65">
        <f>VLOOKUP(E4054,DATABASE!C:Q,9,False)</f>
        <v>1</v>
      </c>
      <c r="Q4054" s="93" t="str">
        <f>VLOOKUP(E4054,DATABASE!C:Q,4,false)</f>
        <v>BD</v>
      </c>
      <c r="R4054" s="93" t="str">
        <f>VLOOKUP(E4054,DATABASE!C:Q,11,false)</f>
        <v>Tire</v>
      </c>
    </row>
    <row r="4055" ht="22.5" customHeight="1">
      <c r="A4055" s="49"/>
      <c r="C4055" s="384">
        <v>45877.0</v>
      </c>
      <c r="D4055" s="65">
        <v>6763.0</v>
      </c>
      <c r="E4055" s="445" t="s">
        <v>1743</v>
      </c>
      <c r="F4055" s="386">
        <v>2.0</v>
      </c>
      <c r="G4055" s="74">
        <v>75000.0</v>
      </c>
      <c r="H4055" s="74">
        <v>0.0</v>
      </c>
      <c r="I4055" s="74">
        <f t="shared" si="1"/>
        <v>150000</v>
      </c>
      <c r="J4055" s="74">
        <f>IF(E4055="SERVICE",I4055-(I4055*50%),Vlookup(E4055,DATABASE!C:Q,10,false)*F4055)</f>
        <v>0</v>
      </c>
      <c r="K4055" s="74">
        <f>VLOOKUP(E4055,DATABASE!C:Q,7,false)</f>
        <v>45000</v>
      </c>
      <c r="L4055" s="74">
        <v>45000.0</v>
      </c>
      <c r="M4055" s="74">
        <f t="shared" si="2"/>
        <v>45000</v>
      </c>
      <c r="N4055" s="74">
        <f t="shared" si="3"/>
        <v>60000</v>
      </c>
      <c r="O4055" s="65" t="str">
        <f>VLOOKUP(E4055,DATABASE!C:Q,8,false)</f>
        <v>BIAN</v>
      </c>
      <c r="P4055" s="65">
        <f>VLOOKUP(E4055,DATABASE!C:Q,9,False)</f>
        <v>1</v>
      </c>
      <c r="Q4055" s="93" t="str">
        <f>VLOOKUP(E4055,DATABASE!C:Q,4,false)</f>
        <v>FLAP</v>
      </c>
      <c r="R4055" s="93" t="str">
        <f>VLOOKUP(E4055,DATABASE!C:Q,11,false)</f>
        <v>Tire</v>
      </c>
    </row>
    <row r="4056" ht="22.5" customHeight="1">
      <c r="A4056" s="49"/>
      <c r="C4056" s="384">
        <v>45877.0</v>
      </c>
      <c r="D4056" s="65">
        <v>6764.0</v>
      </c>
      <c r="E4056" s="445" t="s">
        <v>256</v>
      </c>
      <c r="F4056" s="386">
        <v>1.0</v>
      </c>
      <c r="G4056" s="74">
        <v>130000.0</v>
      </c>
      <c r="H4056" s="74">
        <v>0.0</v>
      </c>
      <c r="I4056" s="74">
        <f t="shared" si="1"/>
        <v>130000</v>
      </c>
      <c r="J4056" s="74">
        <f>IF(E4056="SERVICE",I4056-(I4056*50%),Vlookup(E4056,DATABASE!C:Q,10,false)*F4056)</f>
        <v>10000</v>
      </c>
      <c r="K4056" s="74">
        <f>VLOOKUP(E4056,DATABASE!C:Q,7,false)</f>
        <v>0</v>
      </c>
      <c r="L4056" s="74">
        <v>0.0</v>
      </c>
      <c r="M4056" s="74">
        <f t="shared" si="2"/>
        <v>0</v>
      </c>
      <c r="N4056" s="74">
        <f t="shared" si="3"/>
        <v>120000</v>
      </c>
      <c r="O4056" s="65" t="str">
        <f>VLOOKUP(E4056,DATABASE!C:Q,8,false)</f>
        <v>IBU</v>
      </c>
      <c r="P4056" s="65">
        <f>VLOOKUP(E4056,DATABASE!C:Q,9,False)</f>
        <v>0</v>
      </c>
      <c r="Q4056" s="93" t="str">
        <f>VLOOKUP(E4056,DATABASE!C:Q,4,false)</f>
        <v>SPOORING</v>
      </c>
      <c r="R4056" s="93" t="str">
        <f>VLOOKUP(E4056,DATABASE!C:Q,11,false)</f>
        <v>SERVICE</v>
      </c>
    </row>
    <row r="4057" ht="22.5" customHeight="1">
      <c r="A4057" s="49"/>
      <c r="C4057" s="384">
        <v>45878.0</v>
      </c>
      <c r="D4057" s="65">
        <v>6265.0</v>
      </c>
      <c r="E4057" s="445" t="s">
        <v>262</v>
      </c>
      <c r="F4057" s="386">
        <v>1.0</v>
      </c>
      <c r="G4057" s="74">
        <v>110000.0</v>
      </c>
      <c r="H4057" s="74">
        <v>0.0</v>
      </c>
      <c r="I4057" s="74">
        <f t="shared" si="1"/>
        <v>110000</v>
      </c>
      <c r="J4057" s="74">
        <f>IF(E4057="SERVICE",I4057-(I4057*50%),Vlookup(E4057,DATABASE!C:Q,10,false)*F4057)</f>
        <v>5000</v>
      </c>
      <c r="K4057" s="74">
        <f>VLOOKUP(E4057,DATABASE!C:Q,7,false)</f>
        <v>0</v>
      </c>
      <c r="L4057" s="74">
        <v>0.0</v>
      </c>
      <c r="M4057" s="74">
        <f t="shared" si="2"/>
        <v>0</v>
      </c>
      <c r="N4057" s="74">
        <f t="shared" si="3"/>
        <v>105000</v>
      </c>
      <c r="O4057" s="65" t="str">
        <f>VLOOKUP(E4057,DATABASE!C:Q,8,false)</f>
        <v>IBU</v>
      </c>
      <c r="P4057" s="65">
        <f>VLOOKUP(E4057,DATABASE!C:Q,9,False)</f>
        <v>0</v>
      </c>
      <c r="Q4057" s="93" t="str">
        <f>VLOOKUP(E4057,DATABASE!C:Q,4,false)</f>
        <v>SPOORING SS/CARRY LOS BAK</v>
      </c>
      <c r="R4057" s="93" t="str">
        <f>VLOOKUP(E4057,DATABASE!C:Q,11,false)</f>
        <v>SERVICE</v>
      </c>
    </row>
    <row r="4058" ht="22.5" customHeight="1">
      <c r="A4058" s="49"/>
      <c r="C4058" s="384">
        <v>45878.0</v>
      </c>
      <c r="D4058" s="65">
        <v>6265.0</v>
      </c>
      <c r="E4058" s="445" t="s">
        <v>478</v>
      </c>
      <c r="F4058" s="386">
        <v>1.0</v>
      </c>
      <c r="G4058" s="74">
        <v>200000.0</v>
      </c>
      <c r="H4058" s="74">
        <v>0.0</v>
      </c>
      <c r="I4058" s="74">
        <f t="shared" si="1"/>
        <v>200000</v>
      </c>
      <c r="J4058" s="74">
        <f>IF(E4058="SERVICE",I4058-(I4058*50%),Vlookup(E4058,DATABASE!C:Q,10,false)*F4058)</f>
        <v>25000</v>
      </c>
      <c r="K4058" s="74">
        <f>VLOOKUP(E4058,DATABASE!C:Q,7,false)</f>
        <v>75000</v>
      </c>
      <c r="L4058" s="74">
        <v>75000.0</v>
      </c>
      <c r="M4058" s="74">
        <f t="shared" si="2"/>
        <v>75000</v>
      </c>
      <c r="N4058" s="74">
        <f t="shared" si="3"/>
        <v>100000</v>
      </c>
      <c r="O4058" s="65" t="str">
        <f>VLOOKUP(E4058,DATABASE!C:Q,8,false)</f>
        <v>BIAN</v>
      </c>
      <c r="P4058" s="65">
        <f>VLOOKUP(E4058,DATABASE!C:Q,9,False)</f>
        <v>0</v>
      </c>
      <c r="Q4058" s="93" t="str">
        <f>VLOOKUP(E4058,DATABASE!C:Q,4,false)</f>
        <v>Baut Camber ss-carry</v>
      </c>
      <c r="R4058" s="93" t="str">
        <f>VLOOKUP(E4058,DATABASE!C:Q,11,false)</f>
        <v>COMPLEMENTARY</v>
      </c>
    </row>
    <row r="4059" ht="22.5" customHeight="1">
      <c r="A4059" s="49"/>
      <c r="C4059" s="384">
        <v>45878.0</v>
      </c>
      <c r="D4059" s="65">
        <v>6265.0</v>
      </c>
      <c r="E4059" s="385" t="s">
        <v>305</v>
      </c>
      <c r="F4059" s="386">
        <v>1.0</v>
      </c>
      <c r="G4059" s="74">
        <v>235000.0</v>
      </c>
      <c r="H4059" s="74">
        <v>0.0</v>
      </c>
      <c r="I4059" s="74">
        <f t="shared" si="1"/>
        <v>235000</v>
      </c>
      <c r="J4059" s="74">
        <f>IF(E4059="SERVICE",I4059-(I4059*50%),Vlookup(E4059,DATABASE!C:Q,10,false)*F4059)</f>
        <v>40000</v>
      </c>
      <c r="K4059" s="74">
        <f>VLOOKUP(E4059,DATABASE!C:Q,7,false)</f>
        <v>158530.2</v>
      </c>
      <c r="L4059" s="74">
        <v>151890.0</v>
      </c>
      <c r="M4059" s="74">
        <f t="shared" si="2"/>
        <v>155000</v>
      </c>
      <c r="N4059" s="74">
        <f t="shared" si="3"/>
        <v>40000</v>
      </c>
      <c r="O4059" s="65" t="str">
        <f>VLOOKUP(E4059,DATABASE!C:Q,8,false)</f>
        <v>BIAN</v>
      </c>
      <c r="P4059" s="65">
        <f>VLOOKUP(E4059,DATABASE!C:Q,9,False)</f>
        <v>1</v>
      </c>
      <c r="Q4059" s="93" t="str">
        <f>VLOOKUP(E4059,DATABASE!C:Q,4,false)</f>
        <v>Lower Arm</v>
      </c>
      <c r="R4059" s="93" t="str">
        <f>VLOOKUP(E4059,DATABASE!C:Q,11,false)</f>
        <v>COMPLEMENTARY</v>
      </c>
    </row>
    <row r="4060" ht="22.5" customHeight="1">
      <c r="A4060" s="49"/>
      <c r="C4060" s="384">
        <v>45878.0</v>
      </c>
      <c r="D4060" s="65">
        <v>6766.0</v>
      </c>
      <c r="E4060" s="445" t="s">
        <v>1617</v>
      </c>
      <c r="F4060" s="386">
        <v>2.0</v>
      </c>
      <c r="G4060" s="74">
        <v>850000.0</v>
      </c>
      <c r="H4060" s="74">
        <v>0.0</v>
      </c>
      <c r="I4060" s="74">
        <f t="shared" si="1"/>
        <v>1700000</v>
      </c>
      <c r="J4060" s="74">
        <f>IF(E4060="SERVICE",I4060-(I4060*50%),Vlookup(E4060,DATABASE!C:Q,10,false)*F4060)</f>
        <v>0</v>
      </c>
      <c r="K4060" s="74">
        <f>VLOOKUP(E4060,DATABASE!C:Q,7,false)</f>
        <v>739000</v>
      </c>
      <c r="L4060" s="74">
        <v>739000.0</v>
      </c>
      <c r="M4060" s="74">
        <f t="shared" si="2"/>
        <v>740000</v>
      </c>
      <c r="N4060" s="74">
        <f t="shared" si="3"/>
        <v>220000</v>
      </c>
      <c r="O4060" s="65" t="str">
        <f>VLOOKUP(E4060,DATABASE!C:Q,8,false)</f>
        <v>BIAN</v>
      </c>
      <c r="P4060" s="65">
        <f>VLOOKUP(E4060,DATABASE!C:Q,9,False)</f>
        <v>1</v>
      </c>
      <c r="Q4060" s="93" t="str">
        <f>VLOOKUP(E4060,DATABASE!C:Q,4,false)</f>
        <v>GT</v>
      </c>
      <c r="R4060" s="93" t="str">
        <f>VLOOKUP(E4060,DATABASE!C:Q,11,false)</f>
        <v>Tire</v>
      </c>
    </row>
    <row r="4061" ht="22.5" customHeight="1">
      <c r="A4061" s="49"/>
      <c r="C4061" s="384">
        <v>45878.0</v>
      </c>
      <c r="D4061" s="65">
        <v>6767.0</v>
      </c>
      <c r="E4061" s="445" t="s">
        <v>744</v>
      </c>
      <c r="F4061" s="386">
        <v>1.0</v>
      </c>
      <c r="G4061" s="74">
        <v>230000.0</v>
      </c>
      <c r="H4061" s="74">
        <v>0.0</v>
      </c>
      <c r="I4061" s="74">
        <f t="shared" si="1"/>
        <v>230000</v>
      </c>
      <c r="J4061" s="74">
        <f>IF(E4061="SERVICE",I4061-(I4061*50%),Vlookup(E4061,DATABASE!C:Q,10,false)*F4061)</f>
        <v>0</v>
      </c>
      <c r="K4061" s="74">
        <f>VLOOKUP(E4061,DATABASE!C:Q,7,false)</f>
        <v>182200</v>
      </c>
      <c r="L4061" s="74">
        <v>199920.0</v>
      </c>
      <c r="M4061" s="74">
        <f t="shared" si="2"/>
        <v>200000</v>
      </c>
      <c r="N4061" s="74">
        <f t="shared" si="3"/>
        <v>30000</v>
      </c>
      <c r="O4061" s="65" t="str">
        <f>VLOOKUP(E4061,DATABASE!C:Q,8,false)</f>
        <v>BIAN</v>
      </c>
      <c r="P4061" s="65">
        <f>VLOOKUP(E4061,DATABASE!C:Q,9,False)</f>
        <v>1</v>
      </c>
      <c r="Q4061" s="93" t="str">
        <f>VLOOKUP(E4061,DATABASE!C:Q,4,false)</f>
        <v>BD</v>
      </c>
      <c r="R4061" s="93" t="str">
        <f>VLOOKUP(E4061,DATABASE!C:Q,11,false)</f>
        <v>Tire</v>
      </c>
    </row>
    <row r="4062" ht="22.5" customHeight="1">
      <c r="A4062" s="49"/>
      <c r="C4062" s="384">
        <v>45878.0</v>
      </c>
      <c r="D4062" s="65">
        <v>6768.0</v>
      </c>
      <c r="E4062" s="445" t="s">
        <v>1743</v>
      </c>
      <c r="F4062" s="386">
        <v>1.0</v>
      </c>
      <c r="G4062" s="74">
        <v>70000.0</v>
      </c>
      <c r="H4062" s="74">
        <v>0.0</v>
      </c>
      <c r="I4062" s="74">
        <f t="shared" si="1"/>
        <v>70000</v>
      </c>
      <c r="J4062" s="74">
        <f>IF(E4062="SERVICE",I4062-(I4062*50%),Vlookup(E4062,DATABASE!C:Q,10,false)*F4062)</f>
        <v>0</v>
      </c>
      <c r="K4062" s="74">
        <f>VLOOKUP(E4062,DATABASE!C:Q,7,false)</f>
        <v>45000</v>
      </c>
      <c r="L4062" s="74">
        <v>45000.0</v>
      </c>
      <c r="M4062" s="74">
        <f t="shared" si="2"/>
        <v>45000</v>
      </c>
      <c r="N4062" s="74">
        <f t="shared" si="3"/>
        <v>25000</v>
      </c>
      <c r="O4062" s="65" t="str">
        <f>VLOOKUP(E4062,DATABASE!C:Q,8,false)</f>
        <v>BIAN</v>
      </c>
      <c r="P4062" s="65">
        <f>VLOOKUP(E4062,DATABASE!C:Q,9,False)</f>
        <v>1</v>
      </c>
      <c r="Q4062" s="93" t="str">
        <f>VLOOKUP(E4062,DATABASE!C:Q,4,false)</f>
        <v>FLAP</v>
      </c>
      <c r="R4062" s="93" t="str">
        <f>VLOOKUP(E4062,DATABASE!C:Q,11,false)</f>
        <v>Tire</v>
      </c>
    </row>
    <row r="4063" ht="22.5" customHeight="1">
      <c r="A4063" s="49"/>
      <c r="C4063" s="384">
        <v>45878.0</v>
      </c>
      <c r="D4063" s="65">
        <v>6769.0</v>
      </c>
      <c r="E4063" s="445" t="s">
        <v>764</v>
      </c>
      <c r="F4063" s="386">
        <v>1.0</v>
      </c>
      <c r="G4063" s="74">
        <v>200000.0</v>
      </c>
      <c r="H4063" s="74">
        <v>0.0</v>
      </c>
      <c r="I4063" s="74">
        <f t="shared" si="1"/>
        <v>200000</v>
      </c>
      <c r="J4063" s="74">
        <f>IF(E4063="SERVICE",I4063-(I4063*50%),Vlookup(E4063,DATABASE!C:Q,10,false)*F4063)</f>
        <v>0</v>
      </c>
      <c r="K4063" s="74">
        <f>VLOOKUP(E4063,DATABASE!C:Q,7,false)</f>
        <v>145000</v>
      </c>
      <c r="L4063" s="74">
        <v>145000.0</v>
      </c>
      <c r="M4063" s="74">
        <f t="shared" si="2"/>
        <v>145000</v>
      </c>
      <c r="N4063" s="74">
        <f t="shared" si="3"/>
        <v>55000</v>
      </c>
      <c r="O4063" s="65" t="str">
        <f>VLOOKUP(E4063,DATABASE!C:Q,8,false)</f>
        <v>BIAN</v>
      </c>
      <c r="P4063" s="65">
        <f>VLOOKUP(E4063,DATABASE!C:Q,9,False)</f>
        <v>1</v>
      </c>
      <c r="Q4063" s="93" t="str">
        <f>VLOOKUP(E4063,DATABASE!C:Q,4,false)</f>
        <v>BD</v>
      </c>
      <c r="R4063" s="93" t="str">
        <f>VLOOKUP(E4063,DATABASE!C:Q,11,false)</f>
        <v>Tire</v>
      </c>
    </row>
    <row r="4064" ht="22.5" customHeight="1">
      <c r="A4064" s="49"/>
      <c r="C4064" s="384">
        <v>45878.0</v>
      </c>
      <c r="D4064" s="65">
        <v>6769.0</v>
      </c>
      <c r="E4064" s="445" t="s">
        <v>1743</v>
      </c>
      <c r="F4064" s="386">
        <v>1.0</v>
      </c>
      <c r="G4064" s="74">
        <v>75000.0</v>
      </c>
      <c r="H4064" s="74">
        <v>0.0</v>
      </c>
      <c r="I4064" s="74">
        <f t="shared" si="1"/>
        <v>75000</v>
      </c>
      <c r="J4064" s="74">
        <f>IF(E4064="SERVICE",I4064-(I4064*50%),Vlookup(E4064,DATABASE!C:Q,10,false)*F4064)</f>
        <v>0</v>
      </c>
      <c r="K4064" s="74">
        <f>VLOOKUP(E4064,DATABASE!C:Q,7,false)</f>
        <v>45000</v>
      </c>
      <c r="L4064" s="74">
        <v>45000.0</v>
      </c>
      <c r="M4064" s="74">
        <f t="shared" si="2"/>
        <v>45000</v>
      </c>
      <c r="N4064" s="74">
        <f t="shared" si="3"/>
        <v>30000</v>
      </c>
      <c r="O4064" s="65" t="str">
        <f>VLOOKUP(E4064,DATABASE!C:Q,8,false)</f>
        <v>BIAN</v>
      </c>
      <c r="P4064" s="65">
        <f>VLOOKUP(E4064,DATABASE!C:Q,9,False)</f>
        <v>1</v>
      </c>
      <c r="Q4064" s="93" t="str">
        <f>VLOOKUP(E4064,DATABASE!C:Q,4,false)</f>
        <v>FLAP</v>
      </c>
      <c r="R4064" s="93" t="str">
        <f>VLOOKUP(E4064,DATABASE!C:Q,11,false)</f>
        <v>Tire</v>
      </c>
    </row>
    <row r="4065" ht="22.5" customHeight="1">
      <c r="A4065" s="49"/>
      <c r="C4065" s="384">
        <v>45878.0</v>
      </c>
      <c r="D4065" s="65">
        <v>6771.0</v>
      </c>
      <c r="E4065" s="445" t="s">
        <v>1894</v>
      </c>
      <c r="F4065" s="386">
        <v>1.0</v>
      </c>
      <c r="G4065" s="74">
        <v>545000.0</v>
      </c>
      <c r="H4065" s="74">
        <v>0.0</v>
      </c>
      <c r="I4065" s="74">
        <f t="shared" si="1"/>
        <v>545000</v>
      </c>
      <c r="J4065" s="74">
        <f>IF(E4065="SERVICE",I4065-(I4065*50%),Vlookup(E4065,DATABASE!C:Q,10,false)*F4065)</f>
        <v>0</v>
      </c>
      <c r="K4065" s="74">
        <f>VLOOKUP(E4065,DATABASE!C:Q,7,false)</f>
        <v>458600</v>
      </c>
      <c r="L4065" s="74">
        <v>445400.0</v>
      </c>
      <c r="M4065" s="74">
        <f t="shared" si="2"/>
        <v>450000</v>
      </c>
      <c r="N4065" s="74">
        <f t="shared" si="3"/>
        <v>95000</v>
      </c>
      <c r="O4065" s="65" t="str">
        <f>VLOOKUP(E4065,DATABASE!C:Q,8,false)</f>
        <v>BIAN</v>
      </c>
      <c r="P4065" s="65">
        <f>VLOOKUP(E4065,DATABASE!C:Q,9,False)</f>
        <v>1</v>
      </c>
      <c r="Q4065" s="93" t="str">
        <f>VLOOKUP(E4065,DATABASE!C:Q,4,false)</f>
        <v>GT</v>
      </c>
      <c r="R4065" s="93" t="str">
        <f>VLOOKUP(E4065,DATABASE!C:Q,11,false)</f>
        <v>Tire</v>
      </c>
    </row>
    <row r="4066" ht="22.5" customHeight="1">
      <c r="A4066" s="49"/>
      <c r="C4066" s="384">
        <v>45878.0</v>
      </c>
      <c r="D4066" s="65">
        <v>6772.0</v>
      </c>
      <c r="E4066" s="445" t="s">
        <v>1743</v>
      </c>
      <c r="F4066" s="386">
        <v>1.0</v>
      </c>
      <c r="G4066" s="74">
        <v>75000.0</v>
      </c>
      <c r="H4066" s="74">
        <v>0.0</v>
      </c>
      <c r="I4066" s="74">
        <f t="shared" si="1"/>
        <v>75000</v>
      </c>
      <c r="J4066" s="74">
        <f>IF(E4066="SERVICE",I4066-(I4066*50%),Vlookup(E4066,DATABASE!C:Q,10,false)*F4066)</f>
        <v>0</v>
      </c>
      <c r="K4066" s="74">
        <f>VLOOKUP(E4066,DATABASE!C:Q,7,false)</f>
        <v>45000</v>
      </c>
      <c r="L4066" s="74">
        <v>45000.0</v>
      </c>
      <c r="M4066" s="74">
        <f t="shared" si="2"/>
        <v>45000</v>
      </c>
      <c r="N4066" s="74">
        <f t="shared" si="3"/>
        <v>30000</v>
      </c>
      <c r="O4066" s="65" t="str">
        <f>VLOOKUP(E4066,DATABASE!C:Q,8,false)</f>
        <v>BIAN</v>
      </c>
      <c r="P4066" s="65">
        <f>VLOOKUP(E4066,DATABASE!C:Q,9,False)</f>
        <v>1</v>
      </c>
      <c r="Q4066" s="93" t="str">
        <f>VLOOKUP(E4066,DATABASE!C:Q,4,false)</f>
        <v>FLAP</v>
      </c>
      <c r="R4066" s="93" t="str">
        <f>VLOOKUP(E4066,DATABASE!C:Q,11,false)</f>
        <v>Tire</v>
      </c>
    </row>
    <row r="4067" ht="22.5" customHeight="1">
      <c r="A4067" s="49"/>
      <c r="C4067" s="384">
        <v>45878.0</v>
      </c>
      <c r="D4067" s="65">
        <v>6773.0</v>
      </c>
      <c r="E4067" s="445" t="s">
        <v>256</v>
      </c>
      <c r="F4067" s="386">
        <v>1.0</v>
      </c>
      <c r="G4067" s="74">
        <v>130000.0</v>
      </c>
      <c r="H4067" s="74">
        <v>0.0</v>
      </c>
      <c r="I4067" s="74">
        <f t="shared" si="1"/>
        <v>130000</v>
      </c>
      <c r="J4067" s="74">
        <f>IF(E4067="SERVICE",I4067-(I4067*50%),Vlookup(E4067,DATABASE!C:Q,10,false)*F4067)</f>
        <v>10000</v>
      </c>
      <c r="K4067" s="74">
        <f>VLOOKUP(E4067,DATABASE!C:Q,7,false)</f>
        <v>0</v>
      </c>
      <c r="L4067" s="74">
        <v>0.0</v>
      </c>
      <c r="M4067" s="74">
        <f t="shared" si="2"/>
        <v>0</v>
      </c>
      <c r="N4067" s="74">
        <f t="shared" si="3"/>
        <v>120000</v>
      </c>
      <c r="O4067" s="65" t="str">
        <f>VLOOKUP(E4067,DATABASE!C:Q,8,false)</f>
        <v>IBU</v>
      </c>
      <c r="P4067" s="65">
        <f>VLOOKUP(E4067,DATABASE!C:Q,9,False)</f>
        <v>0</v>
      </c>
      <c r="Q4067" s="93" t="str">
        <f>VLOOKUP(E4067,DATABASE!C:Q,4,false)</f>
        <v>SPOORING</v>
      </c>
      <c r="R4067" s="93" t="str">
        <f>VLOOKUP(E4067,DATABASE!C:Q,11,false)</f>
        <v>SERVICE</v>
      </c>
    </row>
    <row r="4068" ht="22.5" customHeight="1">
      <c r="A4068" s="49"/>
      <c r="C4068" s="384">
        <v>45878.0</v>
      </c>
      <c r="D4068" s="65">
        <v>6774.0</v>
      </c>
      <c r="E4068" s="445" t="s">
        <v>256</v>
      </c>
      <c r="F4068" s="386">
        <v>1.0</v>
      </c>
      <c r="G4068" s="74">
        <v>130000.0</v>
      </c>
      <c r="H4068" s="74">
        <v>0.0</v>
      </c>
      <c r="I4068" s="74">
        <f t="shared" si="1"/>
        <v>130000</v>
      </c>
      <c r="J4068" s="74">
        <f>IF(E4068="SERVICE",I4068-(I4068*50%),Vlookup(E4068,DATABASE!C:Q,10,false)*F4068)</f>
        <v>10000</v>
      </c>
      <c r="K4068" s="74">
        <f>VLOOKUP(E4068,DATABASE!C:Q,7,false)</f>
        <v>0</v>
      </c>
      <c r="L4068" s="74">
        <v>0.0</v>
      </c>
      <c r="M4068" s="74">
        <f t="shared" si="2"/>
        <v>0</v>
      </c>
      <c r="N4068" s="74">
        <f t="shared" si="3"/>
        <v>120000</v>
      </c>
      <c r="O4068" s="65" t="str">
        <f>VLOOKUP(E4068,DATABASE!C:Q,8,false)</f>
        <v>IBU</v>
      </c>
      <c r="P4068" s="65">
        <f>VLOOKUP(E4068,DATABASE!C:Q,9,False)</f>
        <v>0</v>
      </c>
      <c r="Q4068" s="93" t="str">
        <f>VLOOKUP(E4068,DATABASE!C:Q,4,false)</f>
        <v>SPOORING</v>
      </c>
      <c r="R4068" s="93" t="str">
        <f>VLOOKUP(E4068,DATABASE!C:Q,11,false)</f>
        <v>SERVICE</v>
      </c>
    </row>
    <row r="4069" ht="22.5" customHeight="1">
      <c r="A4069" s="49"/>
      <c r="C4069" s="384">
        <v>45878.0</v>
      </c>
      <c r="D4069" s="65">
        <v>6774.0</v>
      </c>
      <c r="E4069" s="385" t="s">
        <v>299</v>
      </c>
      <c r="F4069" s="386">
        <v>2.0</v>
      </c>
      <c r="G4069" s="74">
        <v>30000.0</v>
      </c>
      <c r="H4069" s="74">
        <v>0.0</v>
      </c>
      <c r="I4069" s="74">
        <f t="shared" si="1"/>
        <v>60000</v>
      </c>
      <c r="J4069" s="74">
        <f>IF(E4069="SERVICE",I4069-(I4069*50%),Vlookup(E4069,DATABASE!C:Q,10,false)*F4069)</f>
        <v>0</v>
      </c>
      <c r="K4069" s="74">
        <v>0.0</v>
      </c>
      <c r="L4069" s="74">
        <v>0.0</v>
      </c>
      <c r="M4069" s="74">
        <f t="shared" si="2"/>
        <v>0</v>
      </c>
      <c r="N4069" s="74">
        <f t="shared" si="3"/>
        <v>60000</v>
      </c>
      <c r="O4069" s="65" t="str">
        <f>VLOOKUP(E4069,DATABASE!C:Q,8,false)</f>
        <v>BIAN</v>
      </c>
      <c r="P4069" s="65">
        <f>VLOOKUP(E4069,DATABASE!C:Q,9,False)</f>
        <v>0</v>
      </c>
      <c r="Q4069" s="93" t="str">
        <f>VLOOKUP(E4069,DATABASE!C:Q,4,false)</f>
        <v>Balancing</v>
      </c>
      <c r="R4069" s="93" t="str">
        <f>VLOOKUP(E4069,DATABASE!C:Q,11,false)</f>
        <v>COMPLEMENTARY</v>
      </c>
    </row>
    <row r="4070" ht="22.5" customHeight="1">
      <c r="A4070" s="49"/>
      <c r="C4070" s="384">
        <v>45878.0</v>
      </c>
      <c r="D4070" s="65">
        <v>6774.0</v>
      </c>
      <c r="E4070" s="445" t="s">
        <v>301</v>
      </c>
      <c r="F4070" s="386">
        <v>1.0</v>
      </c>
      <c r="G4070" s="74">
        <v>250000.0</v>
      </c>
      <c r="H4070" s="74">
        <v>0.0</v>
      </c>
      <c r="I4070" s="74">
        <f t="shared" si="1"/>
        <v>250000</v>
      </c>
      <c r="J4070" s="74">
        <f>IF(E4070="SERVICE",I4070-(I4070*50%),Vlookup(E4070,DATABASE!C:Q,10,false)*F4070)</f>
        <v>75000</v>
      </c>
      <c r="K4070" s="74">
        <f>VLOOKUP(E4070,DATABASE!C:Q,7,false)</f>
        <v>75000</v>
      </c>
      <c r="L4070" s="74">
        <v>75000.0</v>
      </c>
      <c r="M4070" s="74">
        <f t="shared" si="2"/>
        <v>75000</v>
      </c>
      <c r="N4070" s="74">
        <f t="shared" si="3"/>
        <v>100000</v>
      </c>
      <c r="O4070" s="65" t="str">
        <f>VLOOKUP(E4070,DATABASE!C:Q,8,false)</f>
        <v>BIAN</v>
      </c>
      <c r="P4070" s="65">
        <f>VLOOKUP(E4070,DATABASE!C:Q,9,False)</f>
        <v>0</v>
      </c>
      <c r="Q4070" s="93" t="str">
        <f>VLOOKUP(E4070,DATABASE!C:Q,4,false)</f>
        <v>Baut Camber</v>
      </c>
      <c r="R4070" s="93" t="str">
        <f>VLOOKUP(E4070,DATABASE!C:Q,11,false)</f>
        <v>COMPLEMENTARY</v>
      </c>
    </row>
    <row r="4071" ht="22.5" customHeight="1">
      <c r="A4071" s="49"/>
      <c r="C4071" s="384">
        <v>45878.0</v>
      </c>
      <c r="D4071" s="65">
        <v>6775.0</v>
      </c>
      <c r="E4071" s="445" t="s">
        <v>695</v>
      </c>
      <c r="F4071" s="386">
        <v>2.0</v>
      </c>
      <c r="G4071" s="74">
        <v>675000.0</v>
      </c>
      <c r="H4071" s="74">
        <v>0.0</v>
      </c>
      <c r="I4071" s="74">
        <f t="shared" si="1"/>
        <v>1350000</v>
      </c>
      <c r="J4071" s="74">
        <f>IF(E4071="SERVICE",I4071-(I4071*50%),Vlookup(E4071,DATABASE!C:Q,10,false)*F4071)</f>
        <v>0</v>
      </c>
      <c r="K4071" s="74">
        <f>VLOOKUP(E4071,DATABASE!C:Q,7,false)</f>
        <v>582000</v>
      </c>
      <c r="L4071" s="74">
        <v>570000.0</v>
      </c>
      <c r="M4071" s="74">
        <f t="shared" si="2"/>
        <v>570000</v>
      </c>
      <c r="N4071" s="74">
        <f t="shared" si="3"/>
        <v>210000</v>
      </c>
      <c r="O4071" s="65" t="str">
        <f>VLOOKUP(E4071,DATABASE!C:Q,8,false)</f>
        <v>IBU</v>
      </c>
      <c r="P4071" s="65">
        <f>VLOOKUP(E4071,DATABASE!C:Q,9,False)</f>
        <v>1</v>
      </c>
      <c r="Q4071" s="93" t="str">
        <f>VLOOKUP(E4071,DATABASE!C:Q,4,false)</f>
        <v>Dunlop</v>
      </c>
      <c r="R4071" s="93" t="str">
        <f>VLOOKUP(E4071,DATABASE!C:Q,11,false)</f>
        <v>Tire</v>
      </c>
    </row>
    <row r="4072" ht="22.5" customHeight="1">
      <c r="A4072" s="49"/>
      <c r="C4072" s="384">
        <v>45878.0</v>
      </c>
      <c r="D4072" s="65">
        <v>6776.0</v>
      </c>
      <c r="E4072" s="445" t="s">
        <v>1597</v>
      </c>
      <c r="F4072" s="386">
        <v>2.0</v>
      </c>
      <c r="G4072" s="74">
        <v>645000.0</v>
      </c>
      <c r="H4072" s="74">
        <v>0.0</v>
      </c>
      <c r="I4072" s="74">
        <f t="shared" si="1"/>
        <v>1290000</v>
      </c>
      <c r="J4072" s="74">
        <f>IF(E4072="SERVICE",I4072-(I4072*50%),Vlookup(E4072,DATABASE!C:Q,10,false)*F4072)</f>
        <v>0</v>
      </c>
      <c r="K4072" s="74">
        <f>VLOOKUP(E4072,DATABASE!C:Q,7,false)</f>
        <v>560700</v>
      </c>
      <c r="L4072" s="74">
        <v>544300.0</v>
      </c>
      <c r="M4072" s="74">
        <f t="shared" si="2"/>
        <v>545000</v>
      </c>
      <c r="N4072" s="74">
        <f t="shared" si="3"/>
        <v>200000</v>
      </c>
      <c r="O4072" s="65" t="str">
        <f>VLOOKUP(E4072,DATABASE!C:Q,8,false)</f>
        <v>BIAN</v>
      </c>
      <c r="P4072" s="65">
        <f>VLOOKUP(E4072,DATABASE!C:Q,9,False)</f>
        <v>1</v>
      </c>
      <c r="Q4072" s="93" t="str">
        <f>VLOOKUP(E4072,DATABASE!C:Q,4,false)</f>
        <v>GT</v>
      </c>
      <c r="R4072" s="93" t="str">
        <f>VLOOKUP(E4072,DATABASE!C:Q,11,false)</f>
        <v>Tire</v>
      </c>
    </row>
    <row r="4073" ht="22.5" customHeight="1">
      <c r="A4073" s="49"/>
      <c r="C4073" s="384">
        <v>45878.0</v>
      </c>
      <c r="D4073" s="65">
        <v>6777.0</v>
      </c>
      <c r="E4073" s="445" t="s">
        <v>256</v>
      </c>
      <c r="F4073" s="386">
        <v>1.0</v>
      </c>
      <c r="G4073" s="74">
        <v>130000.0</v>
      </c>
      <c r="H4073" s="74">
        <v>0.0</v>
      </c>
      <c r="I4073" s="74">
        <f t="shared" si="1"/>
        <v>130000</v>
      </c>
      <c r="J4073" s="74">
        <f>IF(E4073="SERVICE",I4073-(I4073*50%),Vlookup(E4073,DATABASE!C:Q,10,false)*F4073)</f>
        <v>10000</v>
      </c>
      <c r="K4073" s="74">
        <f>VLOOKUP(E4073,DATABASE!C:Q,7,false)</f>
        <v>0</v>
      </c>
      <c r="L4073" s="74">
        <v>0.0</v>
      </c>
      <c r="M4073" s="74">
        <f t="shared" si="2"/>
        <v>0</v>
      </c>
      <c r="N4073" s="74">
        <f t="shared" si="3"/>
        <v>120000</v>
      </c>
      <c r="O4073" s="65" t="str">
        <f>VLOOKUP(E4073,DATABASE!C:Q,8,false)</f>
        <v>IBU</v>
      </c>
      <c r="P4073" s="65">
        <f>VLOOKUP(E4073,DATABASE!C:Q,9,False)</f>
        <v>0</v>
      </c>
      <c r="Q4073" s="93" t="str">
        <f>VLOOKUP(E4073,DATABASE!C:Q,4,false)</f>
        <v>SPOORING</v>
      </c>
      <c r="R4073" s="93" t="str">
        <f>VLOOKUP(E4073,DATABASE!C:Q,11,false)</f>
        <v>SERVICE</v>
      </c>
    </row>
    <row r="4074" ht="22.5" customHeight="1">
      <c r="A4074" s="49"/>
      <c r="C4074" s="384">
        <v>45878.0</v>
      </c>
      <c r="D4074" s="65">
        <v>6777.0</v>
      </c>
      <c r="E4074" s="385" t="s">
        <v>299</v>
      </c>
      <c r="F4074" s="386">
        <v>2.0</v>
      </c>
      <c r="G4074" s="74">
        <v>30000.0</v>
      </c>
      <c r="H4074" s="74">
        <v>0.0</v>
      </c>
      <c r="I4074" s="74">
        <f t="shared" si="1"/>
        <v>60000</v>
      </c>
      <c r="J4074" s="74">
        <f>IF(E4074="SERVICE",I4074-(I4074*50%),Vlookup(E4074,DATABASE!C:Q,10,false)*F4074)</f>
        <v>0</v>
      </c>
      <c r="K4074" s="74">
        <v>0.0</v>
      </c>
      <c r="L4074" s="74">
        <v>0.0</v>
      </c>
      <c r="M4074" s="74">
        <f t="shared" si="2"/>
        <v>0</v>
      </c>
      <c r="N4074" s="74">
        <f t="shared" si="3"/>
        <v>60000</v>
      </c>
      <c r="O4074" s="65" t="str">
        <f>VLOOKUP(E4074,DATABASE!C:Q,8,false)</f>
        <v>BIAN</v>
      </c>
      <c r="P4074" s="65">
        <f>VLOOKUP(E4074,DATABASE!C:Q,9,False)</f>
        <v>0</v>
      </c>
      <c r="Q4074" s="93" t="str">
        <f>VLOOKUP(E4074,DATABASE!C:Q,4,false)</f>
        <v>Balancing</v>
      </c>
      <c r="R4074" s="93" t="str">
        <f>VLOOKUP(E4074,DATABASE!C:Q,11,false)</f>
        <v>COMPLEMENTARY</v>
      </c>
    </row>
    <row r="4075" ht="22.5" customHeight="1">
      <c r="A4075" s="49"/>
      <c r="C4075" s="384">
        <v>45878.0</v>
      </c>
      <c r="D4075" s="65">
        <v>6777.0</v>
      </c>
      <c r="E4075" s="445" t="s">
        <v>301</v>
      </c>
      <c r="F4075" s="386">
        <v>1.0</v>
      </c>
      <c r="G4075" s="74">
        <v>250000.0</v>
      </c>
      <c r="H4075" s="74">
        <v>0.0</v>
      </c>
      <c r="I4075" s="74">
        <f t="shared" si="1"/>
        <v>250000</v>
      </c>
      <c r="J4075" s="74">
        <f>IF(E4075="SERVICE",I4075-(I4075*50%),Vlookup(E4075,DATABASE!C:Q,10,false)*F4075)</f>
        <v>75000</v>
      </c>
      <c r="K4075" s="74">
        <f>VLOOKUP(E4075,DATABASE!C:Q,7,false)</f>
        <v>75000</v>
      </c>
      <c r="L4075" s="74">
        <v>75000.0</v>
      </c>
      <c r="M4075" s="74">
        <f t="shared" si="2"/>
        <v>75000</v>
      </c>
      <c r="N4075" s="74">
        <f t="shared" si="3"/>
        <v>100000</v>
      </c>
      <c r="O4075" s="65" t="str">
        <f>VLOOKUP(E4075,DATABASE!C:Q,8,false)</f>
        <v>BIAN</v>
      </c>
      <c r="P4075" s="65">
        <f>VLOOKUP(E4075,DATABASE!C:Q,9,False)</f>
        <v>0</v>
      </c>
      <c r="Q4075" s="93" t="str">
        <f>VLOOKUP(E4075,DATABASE!C:Q,4,false)</f>
        <v>Baut Camber</v>
      </c>
      <c r="R4075" s="93" t="str">
        <f>VLOOKUP(E4075,DATABASE!C:Q,11,false)</f>
        <v>COMPLEMENTARY</v>
      </c>
    </row>
    <row r="4076" ht="22.5" customHeight="1">
      <c r="A4076" s="49"/>
      <c r="C4076" s="384">
        <v>45878.0</v>
      </c>
      <c r="D4076" s="65">
        <v>6778.0</v>
      </c>
      <c r="E4076" s="445" t="s">
        <v>1439</v>
      </c>
      <c r="F4076" s="386">
        <v>1.0</v>
      </c>
      <c r="G4076" s="74">
        <v>630000.0</v>
      </c>
      <c r="H4076" s="74">
        <v>0.0</v>
      </c>
      <c r="I4076" s="74">
        <f t="shared" si="1"/>
        <v>630000</v>
      </c>
      <c r="J4076" s="74">
        <f>IF(E4076="SERVICE",I4076-(I4076*50%),Vlookup(E4076,DATABASE!C:Q,10,false)*F4076)</f>
        <v>0</v>
      </c>
      <c r="K4076" s="74">
        <f>VLOOKUP(E4076,DATABASE!C:Q,7,false)</f>
        <v>556800</v>
      </c>
      <c r="L4076" s="74">
        <v>540800.0</v>
      </c>
      <c r="M4076" s="74">
        <f t="shared" si="2"/>
        <v>545000</v>
      </c>
      <c r="N4076" s="74">
        <f t="shared" si="3"/>
        <v>85000</v>
      </c>
      <c r="O4076" s="65" t="str">
        <f>VLOOKUP(E4076,DATABASE!C:Q,8,false)</f>
        <v>BIAN</v>
      </c>
      <c r="P4076" s="65">
        <f>VLOOKUP(E4076,DATABASE!C:Q,9,False)</f>
        <v>1</v>
      </c>
      <c r="Q4076" s="93" t="str">
        <f>VLOOKUP(E4076,DATABASE!C:Q,4,false)</f>
        <v>GT</v>
      </c>
      <c r="R4076" s="93" t="str">
        <f>VLOOKUP(E4076,DATABASE!C:Q,11,false)</f>
        <v>Tire</v>
      </c>
    </row>
    <row r="4077" ht="22.5" customHeight="1">
      <c r="A4077" s="49"/>
      <c r="C4077" s="384">
        <v>45879.0</v>
      </c>
      <c r="D4077" s="65">
        <v>6779.0</v>
      </c>
      <c r="E4077" s="445" t="s">
        <v>268</v>
      </c>
      <c r="F4077" s="386">
        <v>1.0</v>
      </c>
      <c r="G4077" s="74">
        <v>700000.0</v>
      </c>
      <c r="H4077" s="74">
        <v>0.0</v>
      </c>
      <c r="I4077" s="74">
        <f t="shared" si="1"/>
        <v>700000</v>
      </c>
      <c r="J4077" s="74">
        <f>IF(E4077="SERVICE",I4077-(I4077*50%),Vlookup(E4077,DATABASE!C:Q,10,false)*F4077)</f>
        <v>0</v>
      </c>
      <c r="K4077" s="74">
        <v>613000.0</v>
      </c>
      <c r="L4077" s="74">
        <v>613000.0</v>
      </c>
      <c r="M4077" s="74">
        <f t="shared" si="2"/>
        <v>615000</v>
      </c>
      <c r="N4077" s="74">
        <f t="shared" si="3"/>
        <v>85000</v>
      </c>
      <c r="O4077" s="65" t="str">
        <f>VLOOKUP(E4077,DATABASE!C:Q,8,false)</f>
        <v>IBU</v>
      </c>
      <c r="P4077" s="65">
        <f>VLOOKUP(E4077,DATABASE!C:Q,9,False)</f>
        <v>1</v>
      </c>
      <c r="Q4077" s="93" t="str">
        <f>VLOOKUP(E4077,DATABASE!C:Q,4,false)</f>
        <v>Dunlop</v>
      </c>
      <c r="R4077" s="93" t="str">
        <f>VLOOKUP(E4077,DATABASE!C:Q,11,false)</f>
        <v>Tire</v>
      </c>
    </row>
    <row r="4078" ht="22.5" customHeight="1">
      <c r="A4078" s="49"/>
      <c r="C4078" s="384">
        <v>45879.0</v>
      </c>
      <c r="D4078" s="65">
        <v>6780.0</v>
      </c>
      <c r="E4078" s="445" t="s">
        <v>695</v>
      </c>
      <c r="F4078" s="386">
        <v>1.0</v>
      </c>
      <c r="G4078" s="74">
        <v>675000.0</v>
      </c>
      <c r="H4078" s="74">
        <v>0.0</v>
      </c>
      <c r="I4078" s="74">
        <f t="shared" si="1"/>
        <v>675000</v>
      </c>
      <c r="J4078" s="74">
        <f>IF(E4078="SERVICE",I4078-(I4078*50%),Vlookup(E4078,DATABASE!C:Q,10,false)*F4078)</f>
        <v>0</v>
      </c>
      <c r="K4078" s="74">
        <f>VLOOKUP(E4078,DATABASE!C:Q,7,false)</f>
        <v>582000</v>
      </c>
      <c r="L4078" s="74">
        <v>570000.0</v>
      </c>
      <c r="M4078" s="74">
        <f t="shared" si="2"/>
        <v>570000</v>
      </c>
      <c r="N4078" s="74">
        <f t="shared" si="3"/>
        <v>105000</v>
      </c>
      <c r="O4078" s="65" t="str">
        <f>VLOOKUP(E4078,DATABASE!C:Q,8,false)</f>
        <v>IBU</v>
      </c>
      <c r="P4078" s="65">
        <f>VLOOKUP(E4078,DATABASE!C:Q,9,False)</f>
        <v>1</v>
      </c>
      <c r="Q4078" s="93" t="str">
        <f>VLOOKUP(E4078,DATABASE!C:Q,4,false)</f>
        <v>Dunlop</v>
      </c>
      <c r="R4078" s="93" t="str">
        <f>VLOOKUP(E4078,DATABASE!C:Q,11,false)</f>
        <v>Tire</v>
      </c>
    </row>
    <row r="4079" ht="22.5" customHeight="1">
      <c r="A4079" s="49"/>
      <c r="C4079" s="384">
        <v>45879.0</v>
      </c>
      <c r="D4079" s="65">
        <v>6781.0</v>
      </c>
      <c r="E4079" s="445" t="s">
        <v>569</v>
      </c>
      <c r="F4079" s="386">
        <v>1.0</v>
      </c>
      <c r="G4079" s="74">
        <v>80000.0</v>
      </c>
      <c r="H4079" s="74">
        <v>0.0</v>
      </c>
      <c r="I4079" s="74">
        <f t="shared" si="1"/>
        <v>80000</v>
      </c>
      <c r="J4079" s="74">
        <f>IF(E4079="SERVICE",I4079-(I4079*50%),Vlookup(E4079,DATABASE!C:Q,10,false)*F4079)</f>
        <v>0</v>
      </c>
      <c r="K4079" s="74">
        <f>VLOOKUP(E4079,DATABASE!C:Q,7,false)</f>
        <v>45439.582</v>
      </c>
      <c r="L4079" s="74">
        <v>45309.6</v>
      </c>
      <c r="M4079" s="74">
        <f t="shared" si="2"/>
        <v>50000</v>
      </c>
      <c r="N4079" s="74">
        <f t="shared" si="3"/>
        <v>30000</v>
      </c>
      <c r="O4079" s="65" t="str">
        <f>VLOOKUP(E4079,DATABASE!C:Q,8,false)</f>
        <v>BIAN</v>
      </c>
      <c r="P4079" s="65">
        <f>VLOOKUP(E4079,DATABASE!C:Q,9,False)</f>
        <v>1</v>
      </c>
      <c r="Q4079" s="93" t="str">
        <f>VLOOKUP(E4079,DATABASE!C:Q,4,false)</f>
        <v>BD</v>
      </c>
      <c r="R4079" s="93" t="str">
        <f>VLOOKUP(E4079,DATABASE!C:Q,11,false)</f>
        <v>Tire</v>
      </c>
    </row>
    <row r="4080" ht="22.5" customHeight="1">
      <c r="A4080" s="49"/>
      <c r="C4080" s="384">
        <v>45880.0</v>
      </c>
      <c r="D4080" s="65">
        <v>6782.0</v>
      </c>
      <c r="E4080" s="445" t="s">
        <v>246</v>
      </c>
      <c r="F4080" s="386">
        <v>2.0</v>
      </c>
      <c r="G4080" s="74">
        <v>40000.0</v>
      </c>
      <c r="H4080" s="74">
        <v>0.0</v>
      </c>
      <c r="I4080" s="74">
        <f t="shared" si="1"/>
        <v>80000</v>
      </c>
      <c r="J4080" s="74">
        <f>IF(E4080="SERVICE",I4080-(I4080*50%),Vlookup(E4080,DATABASE!C:Q,10,false)*F4080)</f>
        <v>0</v>
      </c>
      <c r="K4080" s="74">
        <f>VLOOKUP(E4080,DATABASE!C:Q,7,false)</f>
        <v>0</v>
      </c>
      <c r="L4080" s="74">
        <v>0.0</v>
      </c>
      <c r="M4080" s="74">
        <f t="shared" si="2"/>
        <v>0</v>
      </c>
      <c r="N4080" s="74">
        <f t="shared" si="3"/>
        <v>80000</v>
      </c>
      <c r="O4080" s="65" t="str">
        <f>VLOOKUP(E4080,DATABASE!C:Q,8,false)</f>
        <v>IBU</v>
      </c>
      <c r="P4080" s="65">
        <f>VLOOKUP(E4080,DATABASE!C:Q,9,False)</f>
        <v>0</v>
      </c>
      <c r="Q4080" s="93" t="str">
        <f>VLOOKUP(E4080,DATABASE!C:Q,4,false)</f>
        <v>Bongkar Pasang</v>
      </c>
      <c r="R4080" s="93" t="str">
        <f>VLOOKUP(E4080,DATABASE!C:Q,11,false)</f>
        <v>SERVICE</v>
      </c>
    </row>
    <row r="4081" ht="22.5" customHeight="1">
      <c r="A4081" s="49"/>
      <c r="C4081" s="384">
        <v>45880.0</v>
      </c>
      <c r="D4081" s="65">
        <v>6783.0</v>
      </c>
      <c r="E4081" s="445" t="s">
        <v>265</v>
      </c>
      <c r="F4081" s="386">
        <v>2.0</v>
      </c>
      <c r="G4081" s="74">
        <v>690000.0</v>
      </c>
      <c r="H4081" s="74">
        <v>0.0</v>
      </c>
      <c r="I4081" s="74">
        <f t="shared" si="1"/>
        <v>1380000</v>
      </c>
      <c r="J4081" s="74">
        <f>IF(E4081="SERVICE",I4081-(I4081*50%),Vlookup(E4081,DATABASE!C:Q,10,false)*F4081)</f>
        <v>0</v>
      </c>
      <c r="K4081" s="74">
        <f>VLOOKUP(E4081,DATABASE!C:Q,7,false)</f>
        <v>628000</v>
      </c>
      <c r="L4081" s="74">
        <v>610000.0</v>
      </c>
      <c r="M4081" s="74">
        <f t="shared" si="2"/>
        <v>610000</v>
      </c>
      <c r="N4081" s="74">
        <f t="shared" si="3"/>
        <v>160000</v>
      </c>
      <c r="O4081" s="65" t="str">
        <f>VLOOKUP(E4081,DATABASE!C:Q,8,false)</f>
        <v>IBU</v>
      </c>
      <c r="P4081" s="65">
        <f>VLOOKUP(E4081,DATABASE!C:Q,9,False)</f>
        <v>1</v>
      </c>
      <c r="Q4081" s="93" t="str">
        <f>VLOOKUP(E4081,DATABASE!C:Q,4,false)</f>
        <v>Dunlop</v>
      </c>
      <c r="R4081" s="93" t="str">
        <f>VLOOKUP(E4081,DATABASE!C:Q,11,false)</f>
        <v>Tire</v>
      </c>
    </row>
    <row r="4082" ht="22.5" customHeight="1">
      <c r="A4082" s="49"/>
      <c r="C4082" s="384">
        <v>45880.0</v>
      </c>
      <c r="D4082" s="65">
        <v>6784.0</v>
      </c>
      <c r="E4082" s="445" t="s">
        <v>839</v>
      </c>
      <c r="F4082" s="386">
        <v>1.0</v>
      </c>
      <c r="G4082" s="74">
        <v>565000.0</v>
      </c>
      <c r="H4082" s="74">
        <v>0.0</v>
      </c>
      <c r="I4082" s="74">
        <f t="shared" si="1"/>
        <v>565000</v>
      </c>
      <c r="J4082" s="74">
        <f>IF(E4082="SERVICE",I4082-(I4082*50%),Vlookup(E4082,DATABASE!C:Q,10,false)*F4082)</f>
        <v>0</v>
      </c>
      <c r="K4082" s="74">
        <f>VLOOKUP(E4082,DATABASE!C:Q,7,false)</f>
        <v>512640</v>
      </c>
      <c r="L4082" s="74">
        <v>475700.0</v>
      </c>
      <c r="M4082" s="74">
        <f t="shared" si="2"/>
        <v>480000</v>
      </c>
      <c r="N4082" s="74">
        <f t="shared" si="3"/>
        <v>85000</v>
      </c>
      <c r="O4082" s="65" t="str">
        <f>VLOOKUP(E4082,DATABASE!C:Q,8,false)</f>
        <v>BIAN</v>
      </c>
      <c r="P4082" s="65">
        <f>VLOOKUP(E4082,DATABASE!C:Q,9,False)</f>
        <v>1</v>
      </c>
      <c r="Q4082" s="93" t="str">
        <f>VLOOKUP(E4082,DATABASE!C:Q,4,false)</f>
        <v>GT</v>
      </c>
      <c r="R4082" s="93" t="str">
        <f>VLOOKUP(E4082,DATABASE!C:Q,11,false)</f>
        <v>Tire</v>
      </c>
    </row>
    <row r="4083" ht="22.5" customHeight="1">
      <c r="A4083" s="49"/>
      <c r="C4083" s="384">
        <v>45880.0</v>
      </c>
      <c r="D4083" s="65">
        <v>6786.0</v>
      </c>
      <c r="E4083" s="445" t="s">
        <v>1439</v>
      </c>
      <c r="F4083" s="386">
        <v>1.0</v>
      </c>
      <c r="G4083" s="74">
        <v>630000.0</v>
      </c>
      <c r="H4083" s="74">
        <v>0.0</v>
      </c>
      <c r="I4083" s="74">
        <f t="shared" si="1"/>
        <v>630000</v>
      </c>
      <c r="J4083" s="74">
        <f>IF(E4083="SERVICE",I4083-(I4083*50%),Vlookup(E4083,DATABASE!C:Q,10,false)*F4083)</f>
        <v>0</v>
      </c>
      <c r="K4083" s="74">
        <f>VLOOKUP(E4083,DATABASE!C:Q,7,false)</f>
        <v>556800</v>
      </c>
      <c r="L4083" s="74">
        <v>540800.0</v>
      </c>
      <c r="M4083" s="74">
        <f t="shared" si="2"/>
        <v>545000</v>
      </c>
      <c r="N4083" s="74">
        <f t="shared" si="3"/>
        <v>85000</v>
      </c>
      <c r="O4083" s="65" t="str">
        <f>VLOOKUP(E4083,DATABASE!C:Q,8,false)</f>
        <v>BIAN</v>
      </c>
      <c r="P4083" s="65">
        <f>VLOOKUP(E4083,DATABASE!C:Q,9,False)</f>
        <v>1</v>
      </c>
      <c r="Q4083" s="93" t="str">
        <f>VLOOKUP(E4083,DATABASE!C:Q,4,false)</f>
        <v>GT</v>
      </c>
      <c r="R4083" s="93" t="str">
        <f>VLOOKUP(E4083,DATABASE!C:Q,11,false)</f>
        <v>Tire</v>
      </c>
    </row>
    <row r="4084" ht="22.5" customHeight="1">
      <c r="A4084" s="49"/>
      <c r="C4084" s="384">
        <v>45880.0</v>
      </c>
      <c r="D4084" s="65">
        <v>6787.0</v>
      </c>
      <c r="E4084" s="445" t="s">
        <v>2057</v>
      </c>
      <c r="F4084" s="386">
        <v>1.0</v>
      </c>
      <c r="G4084" s="74">
        <v>660000.0</v>
      </c>
      <c r="H4084" s="74">
        <v>0.0</v>
      </c>
      <c r="I4084" s="74">
        <f t="shared" si="1"/>
        <v>660000</v>
      </c>
      <c r="J4084" s="74">
        <f>IF(E4084="SERVICE",I4084-(I4084*50%),Vlookup(E4084,DATABASE!C:Q,10,false)*F4084)</f>
        <v>0</v>
      </c>
      <c r="K4084" s="74">
        <f>VLOOKUP(E4084,DATABASE!C:Q,7,false)</f>
        <v>565000</v>
      </c>
      <c r="L4084" s="74">
        <v>565000.0</v>
      </c>
      <c r="M4084" s="74">
        <f t="shared" si="2"/>
        <v>565000</v>
      </c>
      <c r="N4084" s="74">
        <f t="shared" si="3"/>
        <v>95000</v>
      </c>
      <c r="O4084" s="65" t="str">
        <f>VLOOKUP(E4084,DATABASE!C:Q,8,false)</f>
        <v>BIAN</v>
      </c>
      <c r="P4084" s="65">
        <f>VLOOKUP(E4084,DATABASE!C:Q,9,False)</f>
        <v>1</v>
      </c>
      <c r="Q4084" s="93" t="str">
        <f>VLOOKUP(E4084,DATABASE!C:Q,4,false)</f>
        <v>Hankook</v>
      </c>
      <c r="R4084" s="93" t="str">
        <f>VLOOKUP(E4084,DATABASE!C:Q,11,false)</f>
        <v>Tire</v>
      </c>
    </row>
    <row r="4085" ht="22.5" customHeight="1">
      <c r="A4085" s="49"/>
      <c r="C4085" s="384">
        <v>45880.0</v>
      </c>
      <c r="D4085" s="65">
        <v>6788.0</v>
      </c>
      <c r="E4085" s="445" t="s">
        <v>744</v>
      </c>
      <c r="F4085" s="386">
        <v>1.0</v>
      </c>
      <c r="G4085" s="74">
        <v>230000.0</v>
      </c>
      <c r="H4085" s="74">
        <v>0.0</v>
      </c>
      <c r="I4085" s="74">
        <f t="shared" si="1"/>
        <v>230000</v>
      </c>
      <c r="J4085" s="74">
        <f>IF(E4085="SERVICE",I4085-(I4085*50%),Vlookup(E4085,DATABASE!C:Q,10,false)*F4085)</f>
        <v>0</v>
      </c>
      <c r="K4085" s="74">
        <f>VLOOKUP(E4085,DATABASE!C:Q,7,false)</f>
        <v>182200</v>
      </c>
      <c r="L4085" s="74">
        <v>199920.0</v>
      </c>
      <c r="M4085" s="74">
        <f t="shared" si="2"/>
        <v>200000</v>
      </c>
      <c r="N4085" s="74">
        <f t="shared" si="3"/>
        <v>30000</v>
      </c>
      <c r="O4085" s="65" t="str">
        <f>VLOOKUP(E4085,DATABASE!C:Q,8,false)</f>
        <v>BIAN</v>
      </c>
      <c r="P4085" s="65">
        <f>VLOOKUP(E4085,DATABASE!C:Q,9,False)</f>
        <v>1</v>
      </c>
      <c r="Q4085" s="93" t="str">
        <f>VLOOKUP(E4085,DATABASE!C:Q,4,false)</f>
        <v>BD</v>
      </c>
      <c r="R4085" s="93" t="str">
        <f>VLOOKUP(E4085,DATABASE!C:Q,11,false)</f>
        <v>Tire</v>
      </c>
    </row>
    <row r="4086" ht="22.5" customHeight="1">
      <c r="A4086" s="49"/>
      <c r="C4086" s="384">
        <v>45880.0</v>
      </c>
      <c r="D4086" s="65">
        <v>6790.0</v>
      </c>
      <c r="E4086" s="445" t="s">
        <v>1507</v>
      </c>
      <c r="F4086" s="386">
        <v>2.0</v>
      </c>
      <c r="G4086" s="74">
        <v>730000.0</v>
      </c>
      <c r="H4086" s="74">
        <v>0.0</v>
      </c>
      <c r="I4086" s="74">
        <f t="shared" si="1"/>
        <v>1460000</v>
      </c>
      <c r="J4086" s="74">
        <f>IF(E4086="SERVICE",I4086-(I4086*50%),Vlookup(E4086,DATABASE!C:Q,10,false)*F4086)</f>
        <v>0</v>
      </c>
      <c r="K4086" s="74">
        <f>VLOOKUP(E4086,DATABASE!C:Q,7,false)</f>
        <v>638500</v>
      </c>
      <c r="L4086" s="74">
        <v>638500.0</v>
      </c>
      <c r="M4086" s="74">
        <f t="shared" si="2"/>
        <v>640000</v>
      </c>
      <c r="N4086" s="74">
        <f t="shared" si="3"/>
        <v>180000</v>
      </c>
      <c r="O4086" s="65" t="str">
        <f>VLOOKUP(E4086,DATABASE!C:Q,8,false)</f>
        <v>IBU</v>
      </c>
      <c r="P4086" s="65">
        <f>VLOOKUP(E4086,DATABASE!C:Q,9,False)</f>
        <v>1</v>
      </c>
      <c r="Q4086" s="93" t="str">
        <f>VLOOKUP(E4086,DATABASE!C:Q,4,false)</f>
        <v>Dunlop</v>
      </c>
      <c r="R4086" s="93" t="str">
        <f>VLOOKUP(E4086,DATABASE!C:Q,11,false)</f>
        <v>Tire</v>
      </c>
    </row>
    <row r="4087" ht="22.5" customHeight="1">
      <c r="A4087" s="49"/>
      <c r="C4087" s="384">
        <v>45880.0</v>
      </c>
      <c r="D4087" s="65">
        <v>6791.0</v>
      </c>
      <c r="E4087" s="445" t="s">
        <v>262</v>
      </c>
      <c r="F4087" s="386">
        <v>1.0</v>
      </c>
      <c r="G4087" s="74">
        <v>110000.0</v>
      </c>
      <c r="H4087" s="74">
        <v>0.0</v>
      </c>
      <c r="I4087" s="74">
        <f t="shared" si="1"/>
        <v>110000</v>
      </c>
      <c r="J4087" s="74">
        <f>IF(E4087="SERVICE",I4087-(I4087*50%),Vlookup(E4087,DATABASE!C:Q,10,false)*F4087)</f>
        <v>5000</v>
      </c>
      <c r="K4087" s="74">
        <f>VLOOKUP(E4087,DATABASE!C:Q,7,false)</f>
        <v>0</v>
      </c>
      <c r="L4087" s="74">
        <v>0.0</v>
      </c>
      <c r="M4087" s="74">
        <f t="shared" si="2"/>
        <v>0</v>
      </c>
      <c r="N4087" s="74">
        <f t="shared" si="3"/>
        <v>105000</v>
      </c>
      <c r="O4087" s="65" t="str">
        <f>VLOOKUP(E4087,DATABASE!C:Q,8,false)</f>
        <v>IBU</v>
      </c>
      <c r="P4087" s="65">
        <f>VLOOKUP(E4087,DATABASE!C:Q,9,False)</f>
        <v>0</v>
      </c>
      <c r="Q4087" s="93" t="str">
        <f>VLOOKUP(E4087,DATABASE!C:Q,4,false)</f>
        <v>SPOORING SS/CARRY LOS BAK</v>
      </c>
      <c r="R4087" s="93" t="str">
        <f>VLOOKUP(E4087,DATABASE!C:Q,11,false)</f>
        <v>SERVICE</v>
      </c>
    </row>
    <row r="4088" ht="22.5" customHeight="1">
      <c r="A4088" s="49"/>
      <c r="C4088" s="384">
        <v>45880.0</v>
      </c>
      <c r="D4088" s="65">
        <v>6791.0</v>
      </c>
      <c r="E4088" s="445" t="s">
        <v>478</v>
      </c>
      <c r="F4088" s="386">
        <v>1.0</v>
      </c>
      <c r="G4088" s="74">
        <v>200000.0</v>
      </c>
      <c r="H4088" s="74">
        <v>0.0</v>
      </c>
      <c r="I4088" s="74">
        <f t="shared" si="1"/>
        <v>200000</v>
      </c>
      <c r="J4088" s="74">
        <f>IF(E4088="SERVICE",I4088-(I4088*50%),Vlookup(E4088,DATABASE!C:Q,10,false)*F4088)</f>
        <v>25000</v>
      </c>
      <c r="K4088" s="74">
        <f>VLOOKUP(E4088,DATABASE!C:Q,7,false)</f>
        <v>75000</v>
      </c>
      <c r="L4088" s="74">
        <v>75000.0</v>
      </c>
      <c r="M4088" s="74">
        <f t="shared" si="2"/>
        <v>75000</v>
      </c>
      <c r="N4088" s="74">
        <f t="shared" si="3"/>
        <v>100000</v>
      </c>
      <c r="O4088" s="65" t="str">
        <f>VLOOKUP(E4088,DATABASE!C:Q,8,false)</f>
        <v>BIAN</v>
      </c>
      <c r="P4088" s="65">
        <f>VLOOKUP(E4088,DATABASE!C:Q,9,False)</f>
        <v>0</v>
      </c>
      <c r="Q4088" s="93" t="str">
        <f>VLOOKUP(E4088,DATABASE!C:Q,4,false)</f>
        <v>Baut Camber ss-carry</v>
      </c>
      <c r="R4088" s="93" t="str">
        <f>VLOOKUP(E4088,DATABASE!C:Q,11,false)</f>
        <v>COMPLEMENTARY</v>
      </c>
    </row>
    <row r="4089" ht="22.5" customHeight="1">
      <c r="A4089" s="49"/>
      <c r="C4089" s="384">
        <v>45880.0</v>
      </c>
      <c r="D4089" s="65">
        <v>6791.0</v>
      </c>
      <c r="E4089" s="445" t="s">
        <v>251</v>
      </c>
      <c r="F4089" s="386">
        <v>1.0</v>
      </c>
      <c r="G4089" s="74">
        <v>60000.0</v>
      </c>
      <c r="H4089" s="74">
        <v>0.0</v>
      </c>
      <c r="I4089" s="74">
        <f t="shared" si="1"/>
        <v>60000</v>
      </c>
      <c r="J4089" s="74">
        <f>IF(E4089="SERVICE",I4089-(I4089*50%),Vlookup(E4089,DATABASE!C:Q,10,false)*F4089)</f>
        <v>30000</v>
      </c>
      <c r="K4089" s="74">
        <f>VLOOKUP(E4089,DATABASE!C:Q,7,false)</f>
        <v>0</v>
      </c>
      <c r="L4089" s="74">
        <v>0.0</v>
      </c>
      <c r="M4089" s="74">
        <f t="shared" si="2"/>
        <v>0</v>
      </c>
      <c r="N4089" s="74">
        <f t="shared" si="3"/>
        <v>30000</v>
      </c>
      <c r="O4089" s="65" t="str">
        <f>VLOOKUP(E4089,DATABASE!C:Q,8,false)</f>
        <v>IBU</v>
      </c>
      <c r="P4089" s="65">
        <f>VLOOKUP(E4089,DATABASE!C:Q,9,False)</f>
        <v>0</v>
      </c>
      <c r="Q4089" s="93" t="str">
        <f>VLOOKUP(E4089,DATABASE!C:Q,4,false)</f>
        <v>SERVICE</v>
      </c>
      <c r="R4089" s="93" t="str">
        <f>VLOOKUP(E4089,DATABASE!C:Q,11,false)</f>
        <v>SERVICE</v>
      </c>
    </row>
    <row r="4090" ht="22.5" customHeight="1">
      <c r="A4090" s="49"/>
      <c r="C4090" s="384">
        <v>45880.0</v>
      </c>
      <c r="D4090" s="65">
        <v>6792.0</v>
      </c>
      <c r="E4090" s="445" t="s">
        <v>1565</v>
      </c>
      <c r="F4090" s="386">
        <v>1.0</v>
      </c>
      <c r="G4090" s="74">
        <v>1430000.0</v>
      </c>
      <c r="H4090" s="74">
        <v>0.0</v>
      </c>
      <c r="I4090" s="74">
        <f t="shared" si="1"/>
        <v>1430000</v>
      </c>
      <c r="J4090" s="74">
        <f>IF(E4090="SERVICE",I4090-(I4090*50%),Vlookup(E4090,DATABASE!C:Q,10,false)*F4090)</f>
        <v>0</v>
      </c>
      <c r="K4090" s="74">
        <f>VLOOKUP(E4090,DATABASE!C:Q,7,false)</f>
        <v>1292000</v>
      </c>
      <c r="L4090" s="74">
        <v>1320000.0</v>
      </c>
      <c r="M4090" s="74">
        <f t="shared" si="2"/>
        <v>1320000</v>
      </c>
      <c r="N4090" s="74">
        <f t="shared" si="3"/>
        <v>110000</v>
      </c>
      <c r="O4090" s="65" t="str">
        <f>VLOOKUP(E4090,DATABASE!C:Q,8,false)</f>
        <v>IBU</v>
      </c>
      <c r="P4090" s="65">
        <f>VLOOKUP(E4090,DATABASE!C:Q,9,False)</f>
        <v>1</v>
      </c>
      <c r="Q4090" s="93" t="str">
        <f>VLOOKUP(E4090,DATABASE!C:Q,4,false)</f>
        <v>Dunlop</v>
      </c>
      <c r="R4090" s="93" t="str">
        <f>VLOOKUP(E4090,DATABASE!C:Q,11,false)</f>
        <v>Tire</v>
      </c>
    </row>
    <row r="4091" ht="22.5" customHeight="1">
      <c r="A4091" s="49"/>
      <c r="C4091" s="384">
        <v>45880.0</v>
      </c>
      <c r="D4091" s="65">
        <v>6793.0</v>
      </c>
      <c r="E4091" s="445" t="s">
        <v>268</v>
      </c>
      <c r="F4091" s="386">
        <v>1.0</v>
      </c>
      <c r="G4091" s="74">
        <v>720000.0</v>
      </c>
      <c r="H4091" s="74">
        <v>0.0</v>
      </c>
      <c r="I4091" s="74">
        <f t="shared" si="1"/>
        <v>720000</v>
      </c>
      <c r="J4091" s="74">
        <f>IF(E4091="SERVICE",I4091-(I4091*50%),Vlookup(E4091,DATABASE!C:Q,10,false)*F4091)</f>
        <v>0</v>
      </c>
      <c r="K4091" s="74">
        <f>VLOOKUP(E4091,DATABASE!C:Q,7,false)</f>
        <v>653000</v>
      </c>
      <c r="L4091" s="74">
        <v>622000.0</v>
      </c>
      <c r="M4091" s="74">
        <f t="shared" si="2"/>
        <v>625000</v>
      </c>
      <c r="N4091" s="74">
        <f t="shared" si="3"/>
        <v>95000</v>
      </c>
      <c r="O4091" s="65" t="str">
        <f>VLOOKUP(E4091,DATABASE!C:Q,8,false)</f>
        <v>IBU</v>
      </c>
      <c r="P4091" s="65">
        <f>VLOOKUP(E4091,DATABASE!C:Q,9,False)</f>
        <v>1</v>
      </c>
      <c r="Q4091" s="93" t="str">
        <f>VLOOKUP(E4091,DATABASE!C:Q,4,false)</f>
        <v>Dunlop</v>
      </c>
      <c r="R4091" s="93" t="str">
        <f>VLOOKUP(E4091,DATABASE!C:Q,11,false)</f>
        <v>Tire</v>
      </c>
    </row>
    <row r="4092" ht="22.5" customHeight="1">
      <c r="A4092" s="49"/>
      <c r="C4092" s="384">
        <v>45880.0</v>
      </c>
      <c r="D4092" s="65">
        <v>6794.0</v>
      </c>
      <c r="E4092" s="445" t="s">
        <v>591</v>
      </c>
      <c r="F4092" s="386">
        <v>1.0</v>
      </c>
      <c r="G4092" s="74">
        <v>700000.0</v>
      </c>
      <c r="H4092" s="74">
        <v>0.0</v>
      </c>
      <c r="I4092" s="74">
        <f t="shared" si="1"/>
        <v>700000</v>
      </c>
      <c r="J4092" s="74">
        <f>IF(E4092="SERVICE",I4092-(I4092*50%),Vlookup(E4092,DATABASE!C:Q,10,false)*F4092)</f>
        <v>0</v>
      </c>
      <c r="K4092" s="74">
        <f>VLOOKUP(E4092,DATABASE!C:Q,7,false)</f>
        <v>633035.16</v>
      </c>
      <c r="L4092" s="74">
        <v>593488.4</v>
      </c>
      <c r="M4092" s="74">
        <f t="shared" si="2"/>
        <v>595000</v>
      </c>
      <c r="N4092" s="74">
        <f t="shared" si="3"/>
        <v>105000</v>
      </c>
      <c r="O4092" s="65" t="str">
        <f>VLOOKUP(E4092,DATABASE!C:Q,8,false)</f>
        <v>IBU</v>
      </c>
      <c r="P4092" s="65">
        <f>VLOOKUP(E4092,DATABASE!C:Q,9,False)</f>
        <v>1</v>
      </c>
      <c r="Q4092" s="93" t="str">
        <f>VLOOKUP(E4092,DATABASE!C:Q,4,false)</f>
        <v>Bridgestone</v>
      </c>
      <c r="R4092" s="93" t="str">
        <f>VLOOKUP(E4092,DATABASE!C:Q,11,false)</f>
        <v>Tire</v>
      </c>
    </row>
    <row r="4093" ht="22.5" customHeight="1">
      <c r="A4093" s="49"/>
      <c r="C4093" s="384">
        <v>45881.0</v>
      </c>
      <c r="D4093" s="65">
        <v>6795.0</v>
      </c>
      <c r="E4093" s="445" t="s">
        <v>1439</v>
      </c>
      <c r="F4093" s="386">
        <v>1.0</v>
      </c>
      <c r="G4093" s="74">
        <v>630000.0</v>
      </c>
      <c r="H4093" s="74">
        <v>0.0</v>
      </c>
      <c r="I4093" s="74">
        <f t="shared" si="1"/>
        <v>630000</v>
      </c>
      <c r="J4093" s="74">
        <f>IF(E4093="SERVICE",I4093-(I4093*50%),Vlookup(E4093,DATABASE!C:Q,10,false)*F4093)</f>
        <v>0</v>
      </c>
      <c r="K4093" s="74">
        <f>VLOOKUP(E4093,DATABASE!C:Q,7,false)</f>
        <v>556800</v>
      </c>
      <c r="L4093" s="74">
        <v>540800.0</v>
      </c>
      <c r="M4093" s="74">
        <f t="shared" si="2"/>
        <v>545000</v>
      </c>
      <c r="N4093" s="74">
        <f t="shared" si="3"/>
        <v>85000</v>
      </c>
      <c r="O4093" s="65" t="str">
        <f>VLOOKUP(E4093,DATABASE!C:Q,8,false)</f>
        <v>BIAN</v>
      </c>
      <c r="P4093" s="65">
        <f>VLOOKUP(E4093,DATABASE!C:Q,9,False)</f>
        <v>1</v>
      </c>
      <c r="Q4093" s="93" t="str">
        <f>VLOOKUP(E4093,DATABASE!C:Q,4,false)</f>
        <v>GT</v>
      </c>
      <c r="R4093" s="93" t="str">
        <f>VLOOKUP(E4093,DATABASE!C:Q,11,false)</f>
        <v>Tire</v>
      </c>
    </row>
    <row r="4094" ht="22.5" customHeight="1">
      <c r="A4094" s="49"/>
      <c r="C4094" s="384">
        <v>45881.0</v>
      </c>
      <c r="D4094" s="65">
        <v>6796.0</v>
      </c>
      <c r="E4094" s="445" t="s">
        <v>614</v>
      </c>
      <c r="F4094" s="386">
        <v>1.0</v>
      </c>
      <c r="G4094" s="74">
        <v>870000.0</v>
      </c>
      <c r="H4094" s="74">
        <v>0.0</v>
      </c>
      <c r="I4094" s="74">
        <f t="shared" si="1"/>
        <v>870000</v>
      </c>
      <c r="J4094" s="74">
        <f>IF(E4094="SERVICE",I4094-(I4094*50%),Vlookup(E4094,DATABASE!C:Q,10,false)*F4094)</f>
        <v>0</v>
      </c>
      <c r="K4094" s="74">
        <f>VLOOKUP(E4094,DATABASE!C:Q,7,false)</f>
        <v>754660.6</v>
      </c>
      <c r="L4094" s="74">
        <v>766438.4</v>
      </c>
      <c r="M4094" s="74">
        <f t="shared" si="2"/>
        <v>770000</v>
      </c>
      <c r="N4094" s="74">
        <f t="shared" si="3"/>
        <v>100000</v>
      </c>
      <c r="O4094" s="65" t="str">
        <f>VLOOKUP(E4094,DATABASE!C:Q,8,false)</f>
        <v>IBU</v>
      </c>
      <c r="P4094" s="65">
        <f>VLOOKUP(E4094,DATABASE!C:Q,9,False)</f>
        <v>1</v>
      </c>
      <c r="Q4094" s="93" t="str">
        <f>VLOOKUP(E4094,DATABASE!C:Q,4,false)</f>
        <v>Bridgestone</v>
      </c>
      <c r="R4094" s="93" t="str">
        <f>VLOOKUP(E4094,DATABASE!C:Q,11,false)</f>
        <v>Tire</v>
      </c>
    </row>
    <row r="4095" ht="22.5" customHeight="1">
      <c r="A4095" s="49"/>
      <c r="C4095" s="384">
        <v>45881.0</v>
      </c>
      <c r="D4095" s="65">
        <v>6797.0</v>
      </c>
      <c r="E4095" s="657" t="s">
        <v>2072</v>
      </c>
      <c r="F4095" s="386">
        <v>4.0</v>
      </c>
      <c r="G4095" s="74">
        <v>1900000.0</v>
      </c>
      <c r="H4095" s="74">
        <v>0.0</v>
      </c>
      <c r="I4095" s="74">
        <f t="shared" si="1"/>
        <v>7600000</v>
      </c>
      <c r="J4095" s="74">
        <f>IF(E4095="SERVICE",I4095-(I4095*50%),Vlookup(E4095,DATABASE!C:Q,10,false)*F4095)</f>
        <v>0</v>
      </c>
      <c r="K4095" s="74">
        <f>VLOOKUP(E4095,DATABASE!C:Q,7,false)</f>
        <v>1740000</v>
      </c>
      <c r="L4095" s="74">
        <v>1740000.0</v>
      </c>
      <c r="M4095" s="74">
        <f t="shared" si="2"/>
        <v>1740000</v>
      </c>
      <c r="N4095" s="74">
        <f t="shared" si="3"/>
        <v>640000</v>
      </c>
      <c r="O4095" s="65" t="str">
        <f>VLOOKUP(E4095,DATABASE!C:Q,8,false)</f>
        <v>BIAN</v>
      </c>
      <c r="P4095" s="65">
        <f>VLOOKUP(E4095,DATABASE!C:Q,9,False)</f>
        <v>1</v>
      </c>
      <c r="Q4095" s="93" t="str">
        <f>VLOOKUP(E4095,DATABASE!C:Q,4,false)</f>
        <v>hankook</v>
      </c>
      <c r="R4095" s="93" t="str">
        <f>VLOOKUP(E4095,DATABASE!C:Q,11,false)</f>
        <v>Tire</v>
      </c>
    </row>
    <row r="4096" ht="22.5" customHeight="1">
      <c r="A4096" s="49"/>
      <c r="C4096" s="384">
        <v>45881.0</v>
      </c>
      <c r="D4096" s="65">
        <v>6798.0</v>
      </c>
      <c r="E4096" s="445" t="s">
        <v>777</v>
      </c>
      <c r="F4096" s="386">
        <v>1.0</v>
      </c>
      <c r="G4096" s="74">
        <v>585000.0</v>
      </c>
      <c r="H4096" s="74">
        <v>0.0</v>
      </c>
      <c r="I4096" s="74">
        <f t="shared" si="1"/>
        <v>585000</v>
      </c>
      <c r="J4096" s="74">
        <f>IF(E4096="SERVICE",I4096-(I4096*50%),Vlookup(E4096,DATABASE!C:Q,10,false)*F4096)</f>
        <v>0</v>
      </c>
      <c r="K4096" s="74">
        <f>VLOOKUP(E4096,DATABASE!C:Q,7,false)</f>
        <v>540000</v>
      </c>
      <c r="L4096" s="74">
        <v>507000.0</v>
      </c>
      <c r="M4096" s="74">
        <f t="shared" si="2"/>
        <v>510000</v>
      </c>
      <c r="N4096" s="74">
        <f t="shared" si="3"/>
        <v>75000</v>
      </c>
      <c r="O4096" s="65" t="str">
        <f>VLOOKUP(E4096,DATABASE!C:Q,8,false)</f>
        <v>BIAN</v>
      </c>
      <c r="P4096" s="65">
        <f>VLOOKUP(E4096,DATABASE!C:Q,9,False)</f>
        <v>1</v>
      </c>
      <c r="Q4096" s="93" t="str">
        <f>VLOOKUP(E4096,DATABASE!C:Q,4,false)</f>
        <v>GT</v>
      </c>
      <c r="R4096" s="93" t="str">
        <f>VLOOKUP(E4096,DATABASE!C:Q,11,false)</f>
        <v>Tire</v>
      </c>
    </row>
    <row r="4097" ht="22.5" customHeight="1">
      <c r="A4097" s="49"/>
      <c r="C4097" s="384">
        <v>45881.0</v>
      </c>
      <c r="D4097" s="65">
        <v>6798.0</v>
      </c>
      <c r="E4097" s="445" t="s">
        <v>250</v>
      </c>
      <c r="F4097" s="386">
        <v>1.0</v>
      </c>
      <c r="G4097" s="74">
        <v>135000.0</v>
      </c>
      <c r="H4097" s="74">
        <v>0.0</v>
      </c>
      <c r="I4097" s="74">
        <f t="shared" si="1"/>
        <v>135000</v>
      </c>
      <c r="J4097" s="74">
        <f>IF(E4097="SERVICE",I4097-(I4097*50%),Vlookup(E4097,DATABASE!C:Q,10,false)*F4097)</f>
        <v>0</v>
      </c>
      <c r="K4097" s="74">
        <f>VLOOKUP(E4097,DATABASE!C:Q,7,false)</f>
        <v>102000</v>
      </c>
      <c r="L4097" s="74">
        <v>102000.0</v>
      </c>
      <c r="M4097" s="74">
        <f t="shared" si="2"/>
        <v>105000</v>
      </c>
      <c r="N4097" s="74">
        <f t="shared" si="3"/>
        <v>30000</v>
      </c>
      <c r="O4097" s="65" t="str">
        <f>VLOOKUP(E4097,DATABASE!C:Q,8,false)</f>
        <v>BIAN</v>
      </c>
      <c r="P4097" s="65">
        <f>VLOOKUP(E4097,DATABASE!C:Q,9,False)</f>
        <v>1</v>
      </c>
      <c r="Q4097" s="93" t="str">
        <f>VLOOKUP(E4097,DATABASE!C:Q,4,false)</f>
        <v>BD</v>
      </c>
      <c r="R4097" s="93" t="str">
        <f>VLOOKUP(E4097,DATABASE!C:Q,11,false)</f>
        <v>Tire</v>
      </c>
    </row>
    <row r="4098" ht="22.5" customHeight="1">
      <c r="A4098" s="49"/>
      <c r="C4098" s="384">
        <v>45881.0</v>
      </c>
      <c r="D4098" s="65">
        <v>6799.0</v>
      </c>
      <c r="E4098" s="445" t="s">
        <v>256</v>
      </c>
      <c r="F4098" s="386">
        <v>1.0</v>
      </c>
      <c r="G4098" s="74">
        <v>130000.0</v>
      </c>
      <c r="H4098" s="74">
        <v>0.0</v>
      </c>
      <c r="I4098" s="74">
        <f t="shared" si="1"/>
        <v>130000</v>
      </c>
      <c r="J4098" s="74">
        <f>IF(E4098="SERVICE",I4098-(I4098*50%),Vlookup(E4098,DATABASE!C:Q,10,false)*F4098)</f>
        <v>10000</v>
      </c>
      <c r="K4098" s="74">
        <f>VLOOKUP(E4098,DATABASE!C:Q,7,false)</f>
        <v>0</v>
      </c>
      <c r="L4098" s="74">
        <v>0.0</v>
      </c>
      <c r="M4098" s="74">
        <f t="shared" si="2"/>
        <v>0</v>
      </c>
      <c r="N4098" s="74">
        <f t="shared" si="3"/>
        <v>120000</v>
      </c>
      <c r="O4098" s="65" t="str">
        <f>VLOOKUP(E4098,DATABASE!C:Q,8,false)</f>
        <v>IBU</v>
      </c>
      <c r="P4098" s="65">
        <f>VLOOKUP(E4098,DATABASE!C:Q,9,False)</f>
        <v>0</v>
      </c>
      <c r="Q4098" s="93" t="str">
        <f>VLOOKUP(E4098,DATABASE!C:Q,4,false)</f>
        <v>SPOORING</v>
      </c>
      <c r="R4098" s="93" t="str">
        <f>VLOOKUP(E4098,DATABASE!C:Q,11,false)</f>
        <v>SERVICE</v>
      </c>
    </row>
    <row r="4099" ht="22.5" customHeight="1">
      <c r="A4099" s="49"/>
      <c r="C4099" s="384">
        <v>45881.0</v>
      </c>
      <c r="D4099" s="65">
        <v>6799.0</v>
      </c>
      <c r="E4099" s="385" t="s">
        <v>299</v>
      </c>
      <c r="F4099" s="386">
        <v>2.0</v>
      </c>
      <c r="G4099" s="74">
        <v>30000.0</v>
      </c>
      <c r="H4099" s="74">
        <v>0.0</v>
      </c>
      <c r="I4099" s="74">
        <f t="shared" si="1"/>
        <v>60000</v>
      </c>
      <c r="J4099" s="74">
        <f>IF(E4099="SERVICE",I4099-(I4099*50%),Vlookup(E4099,DATABASE!C:Q,10,false)*F4099)</f>
        <v>0</v>
      </c>
      <c r="K4099" s="74">
        <v>0.0</v>
      </c>
      <c r="L4099" s="74">
        <v>0.0</v>
      </c>
      <c r="M4099" s="74">
        <f t="shared" si="2"/>
        <v>0</v>
      </c>
      <c r="N4099" s="74">
        <f t="shared" si="3"/>
        <v>60000</v>
      </c>
      <c r="O4099" s="65" t="str">
        <f>VLOOKUP(E4099,DATABASE!C:Q,8,false)</f>
        <v>BIAN</v>
      </c>
      <c r="P4099" s="65">
        <f>VLOOKUP(E4099,DATABASE!C:Q,9,False)</f>
        <v>0</v>
      </c>
      <c r="Q4099" s="93" t="str">
        <f>VLOOKUP(E4099,DATABASE!C:Q,4,false)</f>
        <v>Balancing</v>
      </c>
      <c r="R4099" s="93" t="str">
        <f>VLOOKUP(E4099,DATABASE!C:Q,11,false)</f>
        <v>COMPLEMENTARY</v>
      </c>
    </row>
    <row r="4100" ht="22.5" customHeight="1">
      <c r="A4100" s="49"/>
      <c r="C4100" s="384">
        <v>45881.0</v>
      </c>
      <c r="D4100" s="65">
        <v>6799.0</v>
      </c>
      <c r="E4100" s="445" t="s">
        <v>301</v>
      </c>
      <c r="F4100" s="386">
        <v>1.0</v>
      </c>
      <c r="G4100" s="74">
        <v>250000.0</v>
      </c>
      <c r="H4100" s="74">
        <v>0.0</v>
      </c>
      <c r="I4100" s="74">
        <f t="shared" si="1"/>
        <v>250000</v>
      </c>
      <c r="J4100" s="74">
        <f>IF(E4100="SERVICE",I4100-(I4100*50%),Vlookup(E4100,DATABASE!C:Q,10,false)*F4100)</f>
        <v>75000</v>
      </c>
      <c r="K4100" s="74">
        <f>VLOOKUP(E4100,DATABASE!C:Q,7,false)</f>
        <v>75000</v>
      </c>
      <c r="L4100" s="74">
        <v>75000.0</v>
      </c>
      <c r="M4100" s="74">
        <f t="shared" si="2"/>
        <v>75000</v>
      </c>
      <c r="N4100" s="74">
        <f t="shared" si="3"/>
        <v>100000</v>
      </c>
      <c r="O4100" s="65" t="str">
        <f>VLOOKUP(E4100,DATABASE!C:Q,8,false)</f>
        <v>BIAN</v>
      </c>
      <c r="P4100" s="65">
        <f>VLOOKUP(E4100,DATABASE!C:Q,9,False)</f>
        <v>0</v>
      </c>
      <c r="Q4100" s="93" t="str">
        <f>VLOOKUP(E4100,DATABASE!C:Q,4,false)</f>
        <v>Baut Camber</v>
      </c>
      <c r="R4100" s="93" t="str">
        <f>VLOOKUP(E4100,DATABASE!C:Q,11,false)</f>
        <v>COMPLEMENTARY</v>
      </c>
    </row>
    <row r="4101" ht="22.5" customHeight="1">
      <c r="A4101" s="49"/>
      <c r="C4101" s="384">
        <v>45881.0</v>
      </c>
      <c r="D4101" s="65">
        <v>6800.0</v>
      </c>
      <c r="E4101" s="445" t="s">
        <v>271</v>
      </c>
      <c r="F4101" s="386">
        <v>2.0</v>
      </c>
      <c r="G4101" s="74">
        <v>640000.0</v>
      </c>
      <c r="H4101" s="74">
        <v>0.0</v>
      </c>
      <c r="I4101" s="74">
        <f t="shared" si="1"/>
        <v>1280000</v>
      </c>
      <c r="J4101" s="74">
        <f>IF(E4101="SERVICE",I4101-(I4101*50%),Vlookup(E4101,DATABASE!C:Q,10,false)*F4101)</f>
        <v>0</v>
      </c>
      <c r="K4101" s="74">
        <f>VLOOKUP(E4101,DATABASE!C:Q,7,false)</f>
        <v>570000</v>
      </c>
      <c r="L4101" s="74">
        <v>539000.0</v>
      </c>
      <c r="M4101" s="74">
        <f t="shared" si="2"/>
        <v>540000</v>
      </c>
      <c r="N4101" s="74">
        <f t="shared" si="3"/>
        <v>200000</v>
      </c>
      <c r="O4101" s="65" t="str">
        <f>VLOOKUP(E4101,DATABASE!C:Q,8,false)</f>
        <v>IBU</v>
      </c>
      <c r="P4101" s="65">
        <f>VLOOKUP(E4101,DATABASE!C:Q,9,False)</f>
        <v>1</v>
      </c>
      <c r="Q4101" s="93" t="str">
        <f>VLOOKUP(E4101,DATABASE!C:Q,4,false)</f>
        <v>Dunlop</v>
      </c>
      <c r="R4101" s="93" t="str">
        <f>VLOOKUP(E4101,DATABASE!C:Q,11,false)</f>
        <v>Tire</v>
      </c>
    </row>
    <row r="4102" ht="22.5" customHeight="1">
      <c r="A4102" s="49"/>
      <c r="C4102" s="384">
        <v>45881.0</v>
      </c>
      <c r="D4102" s="65">
        <v>6801.0</v>
      </c>
      <c r="E4102" s="445" t="s">
        <v>256</v>
      </c>
      <c r="F4102" s="386">
        <v>1.0</v>
      </c>
      <c r="G4102" s="74">
        <v>130000.0</v>
      </c>
      <c r="H4102" s="74">
        <v>0.0</v>
      </c>
      <c r="I4102" s="74">
        <f t="shared" si="1"/>
        <v>130000</v>
      </c>
      <c r="J4102" s="74">
        <f>IF(E4102="SERVICE",I4102-(I4102*50%),Vlookup(E4102,DATABASE!C:Q,10,false)*F4102)</f>
        <v>10000</v>
      </c>
      <c r="K4102" s="74">
        <f>VLOOKUP(E4102,DATABASE!C:Q,7,false)</f>
        <v>0</v>
      </c>
      <c r="L4102" s="74">
        <v>0.0</v>
      </c>
      <c r="M4102" s="74">
        <f t="shared" si="2"/>
        <v>0</v>
      </c>
      <c r="N4102" s="74">
        <f t="shared" si="3"/>
        <v>120000</v>
      </c>
      <c r="O4102" s="65" t="str">
        <f>VLOOKUP(E4102,DATABASE!C:Q,8,false)</f>
        <v>IBU</v>
      </c>
      <c r="P4102" s="65">
        <f>VLOOKUP(E4102,DATABASE!C:Q,9,False)</f>
        <v>0</v>
      </c>
      <c r="Q4102" s="93" t="str">
        <f>VLOOKUP(E4102,DATABASE!C:Q,4,false)</f>
        <v>SPOORING</v>
      </c>
      <c r="R4102" s="93" t="str">
        <f>VLOOKUP(E4102,DATABASE!C:Q,11,false)</f>
        <v>SERVICE</v>
      </c>
    </row>
    <row r="4103" ht="22.5" customHeight="1">
      <c r="A4103" s="49"/>
      <c r="C4103" s="384">
        <v>45881.0</v>
      </c>
      <c r="D4103" s="65">
        <v>6801.0</v>
      </c>
      <c r="E4103" s="385" t="s">
        <v>299</v>
      </c>
      <c r="F4103" s="386">
        <v>2.0</v>
      </c>
      <c r="G4103" s="74">
        <v>30000.0</v>
      </c>
      <c r="H4103" s="74">
        <v>0.0</v>
      </c>
      <c r="I4103" s="74">
        <f t="shared" si="1"/>
        <v>60000</v>
      </c>
      <c r="J4103" s="74">
        <f>IF(E4103="SERVICE",I4103-(I4103*50%),Vlookup(E4103,DATABASE!C:Q,10,false)*F4103)</f>
        <v>0</v>
      </c>
      <c r="K4103" s="74">
        <v>0.0</v>
      </c>
      <c r="L4103" s="74">
        <v>0.0</v>
      </c>
      <c r="M4103" s="74">
        <f t="shared" si="2"/>
        <v>0</v>
      </c>
      <c r="N4103" s="74">
        <f t="shared" si="3"/>
        <v>60000</v>
      </c>
      <c r="O4103" s="65" t="str">
        <f>VLOOKUP(E4103,DATABASE!C:Q,8,false)</f>
        <v>BIAN</v>
      </c>
      <c r="P4103" s="65">
        <f>VLOOKUP(E4103,DATABASE!C:Q,9,False)</f>
        <v>0</v>
      </c>
      <c r="Q4103" s="93" t="str">
        <f>VLOOKUP(E4103,DATABASE!C:Q,4,false)</f>
        <v>Balancing</v>
      </c>
      <c r="R4103" s="93" t="str">
        <f>VLOOKUP(E4103,DATABASE!C:Q,11,false)</f>
        <v>COMPLEMENTARY</v>
      </c>
    </row>
    <row r="4104" ht="22.5" customHeight="1">
      <c r="A4104" s="49"/>
      <c r="C4104" s="384">
        <v>45881.0</v>
      </c>
      <c r="D4104" s="65">
        <v>6801.0</v>
      </c>
      <c r="E4104" s="445" t="s">
        <v>301</v>
      </c>
      <c r="F4104" s="386">
        <v>1.0</v>
      </c>
      <c r="G4104" s="74">
        <v>250000.0</v>
      </c>
      <c r="H4104" s="74">
        <v>0.0</v>
      </c>
      <c r="I4104" s="74">
        <f t="shared" si="1"/>
        <v>250000</v>
      </c>
      <c r="J4104" s="74">
        <f>IF(E4104="SERVICE",I4104-(I4104*50%),Vlookup(E4104,DATABASE!C:Q,10,false)*F4104)</f>
        <v>75000</v>
      </c>
      <c r="K4104" s="74">
        <f>VLOOKUP(E4104,DATABASE!C:Q,7,false)</f>
        <v>75000</v>
      </c>
      <c r="L4104" s="74">
        <v>75000.0</v>
      </c>
      <c r="M4104" s="74">
        <f t="shared" si="2"/>
        <v>75000</v>
      </c>
      <c r="N4104" s="74">
        <f t="shared" si="3"/>
        <v>100000</v>
      </c>
      <c r="O4104" s="65" t="str">
        <f>VLOOKUP(E4104,DATABASE!C:Q,8,false)</f>
        <v>BIAN</v>
      </c>
      <c r="P4104" s="65">
        <f>VLOOKUP(E4104,DATABASE!C:Q,9,False)</f>
        <v>0</v>
      </c>
      <c r="Q4104" s="93" t="str">
        <f>VLOOKUP(E4104,DATABASE!C:Q,4,false)</f>
        <v>Baut Camber</v>
      </c>
      <c r="R4104" s="93" t="str">
        <f>VLOOKUP(E4104,DATABASE!C:Q,11,false)</f>
        <v>COMPLEMENTARY</v>
      </c>
    </row>
    <row r="4105" ht="22.5" customHeight="1">
      <c r="A4105" s="49"/>
      <c r="C4105" s="384">
        <v>45881.0</v>
      </c>
      <c r="D4105" s="65">
        <v>6802.0</v>
      </c>
      <c r="E4105" s="445" t="s">
        <v>256</v>
      </c>
      <c r="F4105" s="386">
        <v>1.0</v>
      </c>
      <c r="G4105" s="74">
        <v>130000.0</v>
      </c>
      <c r="H4105" s="74">
        <v>0.0</v>
      </c>
      <c r="I4105" s="74">
        <f t="shared" si="1"/>
        <v>130000</v>
      </c>
      <c r="J4105" s="74">
        <f>IF(E4105="SERVICE",I4105-(I4105*50%),Vlookup(E4105,DATABASE!C:Q,10,false)*F4105)</f>
        <v>10000</v>
      </c>
      <c r="K4105" s="74">
        <f>VLOOKUP(E4105,DATABASE!C:Q,7,false)</f>
        <v>0</v>
      </c>
      <c r="L4105" s="74">
        <v>0.0</v>
      </c>
      <c r="M4105" s="74">
        <f t="shared" si="2"/>
        <v>0</v>
      </c>
      <c r="N4105" s="74">
        <f t="shared" si="3"/>
        <v>120000</v>
      </c>
      <c r="O4105" s="65" t="str">
        <f>VLOOKUP(E4105,DATABASE!C:Q,8,false)</f>
        <v>IBU</v>
      </c>
      <c r="P4105" s="65">
        <f>VLOOKUP(E4105,DATABASE!C:Q,9,False)</f>
        <v>0</v>
      </c>
      <c r="Q4105" s="93" t="str">
        <f>VLOOKUP(E4105,DATABASE!C:Q,4,false)</f>
        <v>SPOORING</v>
      </c>
      <c r="R4105" s="93" t="str">
        <f>VLOOKUP(E4105,DATABASE!C:Q,11,false)</f>
        <v>SERVICE</v>
      </c>
    </row>
    <row r="4106" ht="22.5" customHeight="1">
      <c r="A4106" s="49"/>
      <c r="C4106" s="384">
        <v>45881.0</v>
      </c>
      <c r="D4106" s="65">
        <v>6802.0</v>
      </c>
      <c r="E4106" s="385" t="s">
        <v>299</v>
      </c>
      <c r="F4106" s="386">
        <v>2.0</v>
      </c>
      <c r="G4106" s="74">
        <v>30000.0</v>
      </c>
      <c r="H4106" s="74">
        <v>0.0</v>
      </c>
      <c r="I4106" s="74">
        <f t="shared" si="1"/>
        <v>60000</v>
      </c>
      <c r="J4106" s="74">
        <f>IF(E4106="SERVICE",I4106-(I4106*50%),Vlookup(E4106,DATABASE!C:Q,10,false)*F4106)</f>
        <v>0</v>
      </c>
      <c r="K4106" s="74">
        <v>0.0</v>
      </c>
      <c r="L4106" s="74">
        <v>0.0</v>
      </c>
      <c r="M4106" s="74">
        <f t="shared" si="2"/>
        <v>0</v>
      </c>
      <c r="N4106" s="74">
        <f t="shared" si="3"/>
        <v>60000</v>
      </c>
      <c r="O4106" s="65" t="str">
        <f>VLOOKUP(E4106,DATABASE!C:Q,8,false)</f>
        <v>BIAN</v>
      </c>
      <c r="P4106" s="65">
        <f>VLOOKUP(E4106,DATABASE!C:Q,9,False)</f>
        <v>0</v>
      </c>
      <c r="Q4106" s="93" t="str">
        <f>VLOOKUP(E4106,DATABASE!C:Q,4,false)</f>
        <v>Balancing</v>
      </c>
      <c r="R4106" s="93" t="str">
        <f>VLOOKUP(E4106,DATABASE!C:Q,11,false)</f>
        <v>COMPLEMENTARY</v>
      </c>
    </row>
    <row r="4107" ht="22.5" customHeight="1">
      <c r="A4107" s="49"/>
      <c r="C4107" s="384">
        <v>45881.0</v>
      </c>
      <c r="D4107" s="65">
        <v>6802.0</v>
      </c>
      <c r="E4107" s="445" t="s">
        <v>301</v>
      </c>
      <c r="F4107" s="386">
        <v>1.0</v>
      </c>
      <c r="G4107" s="74">
        <v>250000.0</v>
      </c>
      <c r="H4107" s="74">
        <v>0.0</v>
      </c>
      <c r="I4107" s="74">
        <f t="shared" si="1"/>
        <v>250000</v>
      </c>
      <c r="J4107" s="74">
        <f>IF(E4107="SERVICE",I4107-(I4107*50%),Vlookup(E4107,DATABASE!C:Q,10,false)*F4107)</f>
        <v>75000</v>
      </c>
      <c r="K4107" s="74">
        <f>VLOOKUP(E4107,DATABASE!C:Q,7,false)</f>
        <v>75000</v>
      </c>
      <c r="L4107" s="74">
        <v>75000.0</v>
      </c>
      <c r="M4107" s="74">
        <f t="shared" si="2"/>
        <v>75000</v>
      </c>
      <c r="N4107" s="74">
        <f t="shared" si="3"/>
        <v>100000</v>
      </c>
      <c r="O4107" s="65" t="str">
        <f>VLOOKUP(E4107,DATABASE!C:Q,8,false)</f>
        <v>BIAN</v>
      </c>
      <c r="P4107" s="65">
        <f>VLOOKUP(E4107,DATABASE!C:Q,9,False)</f>
        <v>0</v>
      </c>
      <c r="Q4107" s="93" t="str">
        <f>VLOOKUP(E4107,DATABASE!C:Q,4,false)</f>
        <v>Baut Camber</v>
      </c>
      <c r="R4107" s="93" t="str">
        <f>VLOOKUP(E4107,DATABASE!C:Q,11,false)</f>
        <v>COMPLEMENTARY</v>
      </c>
    </row>
    <row r="4108" ht="22.5" customHeight="1">
      <c r="A4108" s="49"/>
      <c r="C4108" s="384">
        <v>45881.0</v>
      </c>
      <c r="D4108" s="65">
        <v>6803.0</v>
      </c>
      <c r="E4108" s="445" t="s">
        <v>271</v>
      </c>
      <c r="F4108" s="386">
        <v>2.0</v>
      </c>
      <c r="G4108" s="74">
        <v>630000.0</v>
      </c>
      <c r="H4108" s="74">
        <v>0.0</v>
      </c>
      <c r="I4108" s="74">
        <f t="shared" si="1"/>
        <v>1260000</v>
      </c>
      <c r="J4108" s="74">
        <f>IF(E4108="SERVICE",I4108-(I4108*50%),Vlookup(E4108,DATABASE!C:Q,10,false)*F4108)</f>
        <v>0</v>
      </c>
      <c r="K4108" s="74">
        <f>VLOOKUP(E4108,DATABASE!C:Q,7,false)</f>
        <v>570000</v>
      </c>
      <c r="L4108" s="74">
        <v>539000.0</v>
      </c>
      <c r="M4108" s="74">
        <f t="shared" si="2"/>
        <v>540000</v>
      </c>
      <c r="N4108" s="74">
        <f t="shared" si="3"/>
        <v>180000</v>
      </c>
      <c r="O4108" s="65" t="str">
        <f>VLOOKUP(E4108,DATABASE!C:Q,8,false)</f>
        <v>IBU</v>
      </c>
      <c r="P4108" s="65">
        <f>VLOOKUP(E4108,DATABASE!C:Q,9,False)</f>
        <v>1</v>
      </c>
      <c r="Q4108" s="93" t="str">
        <f>VLOOKUP(E4108,DATABASE!C:Q,4,false)</f>
        <v>Dunlop</v>
      </c>
      <c r="R4108" s="93" t="str">
        <f>VLOOKUP(E4108,DATABASE!C:Q,11,false)</f>
        <v>Tire</v>
      </c>
    </row>
    <row r="4109" ht="22.5" customHeight="1">
      <c r="A4109" s="49"/>
      <c r="C4109" s="384">
        <v>45881.0</v>
      </c>
      <c r="D4109" s="65">
        <v>6803.0</v>
      </c>
      <c r="E4109" s="445" t="s">
        <v>286</v>
      </c>
      <c r="F4109" s="386">
        <v>4.0</v>
      </c>
      <c r="G4109" s="74">
        <v>550000.0</v>
      </c>
      <c r="H4109" s="74">
        <v>0.0</v>
      </c>
      <c r="I4109" s="74">
        <f t="shared" si="1"/>
        <v>2200000</v>
      </c>
      <c r="J4109" s="74">
        <f>IF(E4109="SERVICE",I4109-(I4109*50%),Vlookup(E4109,DATABASE!C:Q,10,false)*F4109)</f>
        <v>0</v>
      </c>
      <c r="K4109" s="74">
        <f>VLOOKUP(E4109,DATABASE!C:Q,7,false)</f>
        <v>488320</v>
      </c>
      <c r="L4109" s="74">
        <v>452970.0</v>
      </c>
      <c r="M4109" s="74">
        <f t="shared" si="2"/>
        <v>455000</v>
      </c>
      <c r="N4109" s="74">
        <f t="shared" si="3"/>
        <v>380000</v>
      </c>
      <c r="O4109" s="65" t="str">
        <f>VLOOKUP(E4109,DATABASE!C:Q,8,false)</f>
        <v>BIAN</v>
      </c>
      <c r="P4109" s="65">
        <f>VLOOKUP(E4109,DATABASE!C:Q,9,False)</f>
        <v>1</v>
      </c>
      <c r="Q4109" s="93" t="str">
        <f>VLOOKUP(E4109,DATABASE!C:Q,4,false)</f>
        <v>GT</v>
      </c>
      <c r="R4109" s="93" t="str">
        <f>VLOOKUP(E4109,DATABASE!C:Q,11,false)</f>
        <v>Tire</v>
      </c>
    </row>
    <row r="4110" ht="22.5" customHeight="1">
      <c r="A4110" s="49"/>
      <c r="C4110" s="384">
        <v>45881.0</v>
      </c>
      <c r="D4110" s="65">
        <v>6804.0</v>
      </c>
      <c r="E4110" s="445" t="s">
        <v>781</v>
      </c>
      <c r="F4110" s="386">
        <v>1.0</v>
      </c>
      <c r="G4110" s="74">
        <v>530000.0</v>
      </c>
      <c r="H4110" s="74">
        <v>0.0</v>
      </c>
      <c r="I4110" s="74">
        <f t="shared" si="1"/>
        <v>530000</v>
      </c>
      <c r="J4110" s="74">
        <f>IF(E4110="SERVICE",I4110-(I4110*50%),Vlookup(E4110,DATABASE!C:Q,10,false)*F4110)</f>
        <v>0</v>
      </c>
      <c r="K4110" s="74">
        <f>VLOOKUP(E4110,DATABASE!C:Q,7,false)</f>
        <v>470000</v>
      </c>
      <c r="L4110" s="74">
        <v>442500.0</v>
      </c>
      <c r="M4110" s="74">
        <f t="shared" si="2"/>
        <v>445000</v>
      </c>
      <c r="N4110" s="74">
        <f t="shared" si="3"/>
        <v>85000</v>
      </c>
      <c r="O4110" s="65" t="str">
        <f>VLOOKUP(E4110,DATABASE!C:Q,8,false)</f>
        <v>BIAN</v>
      </c>
      <c r="P4110" s="65">
        <f>VLOOKUP(E4110,DATABASE!C:Q,9,False)</f>
        <v>1</v>
      </c>
      <c r="Q4110" s="93" t="str">
        <f>VLOOKUP(E4110,DATABASE!C:Q,4,false)</f>
        <v>GT</v>
      </c>
      <c r="R4110" s="93" t="str">
        <f>VLOOKUP(E4110,DATABASE!C:Q,11,false)</f>
        <v>Tire</v>
      </c>
    </row>
    <row r="4111" ht="22.5" customHeight="1">
      <c r="A4111" s="49"/>
      <c r="C4111" s="384">
        <v>45881.0</v>
      </c>
      <c r="D4111" s="65">
        <v>6805.0</v>
      </c>
      <c r="E4111" s="445" t="s">
        <v>1858</v>
      </c>
      <c r="F4111" s="386">
        <v>2.0</v>
      </c>
      <c r="G4111" s="74">
        <v>2125000.0</v>
      </c>
      <c r="H4111" s="74">
        <v>0.0</v>
      </c>
      <c r="I4111" s="74">
        <f t="shared" si="1"/>
        <v>4250000</v>
      </c>
      <c r="J4111" s="74">
        <f>IF(E4111="SERVICE",I4111-(I4111*50%),Vlookup(E4111,DATABASE!C:Q,10,false)*F4111)</f>
        <v>0</v>
      </c>
      <c r="K4111" s="74">
        <f>VLOOKUP(E4111,DATABASE!C:Q,7,false)</f>
        <v>2030000</v>
      </c>
      <c r="L4111" s="74">
        <v>2025000.0</v>
      </c>
      <c r="M4111" s="74">
        <f t="shared" si="2"/>
        <v>2025000</v>
      </c>
      <c r="N4111" s="74">
        <f t="shared" si="3"/>
        <v>200000</v>
      </c>
      <c r="O4111" s="65" t="str">
        <f>VLOOKUP(E4111,DATABASE!C:Q,8,false)</f>
        <v>BIAN</v>
      </c>
      <c r="P4111" s="65">
        <f>VLOOKUP(E4111,DATABASE!C:Q,9,False)</f>
        <v>1</v>
      </c>
      <c r="Q4111" s="93" t="str">
        <f>VLOOKUP(E4111,DATABASE!C:Q,4,false)</f>
        <v>GiTi</v>
      </c>
      <c r="R4111" s="93" t="str">
        <f>VLOOKUP(E4111,DATABASE!C:Q,11,false)</f>
        <v>Tire</v>
      </c>
    </row>
    <row r="4112" ht="22.5" customHeight="1">
      <c r="A4112" s="49"/>
      <c r="C4112" s="384">
        <v>45882.0</v>
      </c>
      <c r="D4112" s="65">
        <v>6806.0</v>
      </c>
      <c r="E4112" s="445" t="s">
        <v>275</v>
      </c>
      <c r="F4112" s="386">
        <v>1.0</v>
      </c>
      <c r="G4112" s="74">
        <v>850000.0</v>
      </c>
      <c r="H4112" s="74">
        <v>0.0</v>
      </c>
      <c r="I4112" s="74">
        <f t="shared" si="1"/>
        <v>850000</v>
      </c>
      <c r="J4112" s="74">
        <f>IF(E4112="SERVICE",I4112-(I4112*50%),Vlookup(E4112,DATABASE!C:Q,10,false)*F4112)</f>
        <v>0</v>
      </c>
      <c r="K4112" s="74">
        <f>VLOOKUP(E4112,DATABASE!C:Q,7,false)</f>
        <v>782000</v>
      </c>
      <c r="L4112" s="74">
        <v>745000.0</v>
      </c>
      <c r="M4112" s="74">
        <f t="shared" si="2"/>
        <v>745000</v>
      </c>
      <c r="N4112" s="74">
        <f t="shared" si="3"/>
        <v>105000</v>
      </c>
      <c r="O4112" s="65" t="str">
        <f>VLOOKUP(E4112,DATABASE!C:Q,8,false)</f>
        <v>IBU</v>
      </c>
      <c r="P4112" s="65">
        <f>VLOOKUP(E4112,DATABASE!C:Q,9,False)</f>
        <v>1</v>
      </c>
      <c r="Q4112" s="93" t="str">
        <f>VLOOKUP(E4112,DATABASE!C:Q,4,false)</f>
        <v>Dunlop</v>
      </c>
      <c r="R4112" s="93" t="str">
        <f>VLOOKUP(E4112,DATABASE!C:Q,11,false)</f>
        <v>Tire</v>
      </c>
    </row>
    <row r="4113" ht="22.5" customHeight="1">
      <c r="A4113" s="49"/>
      <c r="C4113" s="384">
        <v>45882.0</v>
      </c>
      <c r="D4113" s="65">
        <v>6807.0</v>
      </c>
      <c r="E4113" s="445" t="s">
        <v>287</v>
      </c>
      <c r="F4113" s="386">
        <v>2.0</v>
      </c>
      <c r="G4113" s="74">
        <v>780000.0</v>
      </c>
      <c r="H4113" s="74">
        <v>0.0</v>
      </c>
      <c r="I4113" s="74">
        <f t="shared" si="1"/>
        <v>1560000</v>
      </c>
      <c r="J4113" s="74">
        <f>IF(E4113="SERVICE",I4113-(I4113*50%),Vlookup(E4113,DATABASE!C:Q,10,false)*F4113)</f>
        <v>0</v>
      </c>
      <c r="K4113" s="74">
        <f>VLOOKUP(E4113,DATABASE!C:Q,7,false)</f>
        <v>711000</v>
      </c>
      <c r="L4113" s="74">
        <v>690600.0</v>
      </c>
      <c r="M4113" s="74">
        <f t="shared" si="2"/>
        <v>695000</v>
      </c>
      <c r="N4113" s="74">
        <f t="shared" si="3"/>
        <v>170000</v>
      </c>
      <c r="O4113" s="65" t="str">
        <f>VLOOKUP(E4113,DATABASE!C:Q,8,false)</f>
        <v>BIAN</v>
      </c>
      <c r="P4113" s="65">
        <f>VLOOKUP(E4113,DATABASE!C:Q,9,False)</f>
        <v>1</v>
      </c>
      <c r="Q4113" s="93" t="str">
        <f>VLOOKUP(E4113,DATABASE!C:Q,4,false)</f>
        <v>GT</v>
      </c>
      <c r="R4113" s="93" t="str">
        <f>VLOOKUP(E4113,DATABASE!C:Q,11,false)</f>
        <v>Tire</v>
      </c>
    </row>
    <row r="4114" ht="22.5" customHeight="1">
      <c r="A4114" s="49"/>
      <c r="C4114" s="384">
        <v>45882.0</v>
      </c>
      <c r="D4114" s="65">
        <v>6807.0</v>
      </c>
      <c r="E4114" s="445" t="s">
        <v>613</v>
      </c>
      <c r="F4114" s="386">
        <v>1.0</v>
      </c>
      <c r="G4114" s="74">
        <v>95000.0</v>
      </c>
      <c r="H4114" s="74">
        <v>0.0</v>
      </c>
      <c r="I4114" s="74">
        <f t="shared" si="1"/>
        <v>95000</v>
      </c>
      <c r="J4114" s="74">
        <f>IF(E4114="SERVICE",I4114-(I4114*50%),Vlookup(E4114,DATABASE!C:Q,10,false)*F4114)</f>
        <v>0</v>
      </c>
      <c r="K4114" s="74">
        <f>VLOOKUP(E4114,DATABASE!C:Q,7,false)</f>
        <v>58371.2695</v>
      </c>
      <c r="L4114" s="74">
        <v>55000.0</v>
      </c>
      <c r="M4114" s="74">
        <f t="shared" si="2"/>
        <v>55000</v>
      </c>
      <c r="N4114" s="74">
        <f t="shared" si="3"/>
        <v>40000</v>
      </c>
      <c r="O4114" s="65" t="str">
        <f>VLOOKUP(E4114,DATABASE!C:Q,8,false)</f>
        <v>BIAN</v>
      </c>
      <c r="P4114" s="65">
        <f>VLOOKUP(E4114,DATABASE!C:Q,9,False)</f>
        <v>1</v>
      </c>
      <c r="Q4114" s="93" t="str">
        <f>VLOOKUP(E4114,DATABASE!C:Q,4,false)</f>
        <v>BD</v>
      </c>
      <c r="R4114" s="93" t="str">
        <f>VLOOKUP(E4114,DATABASE!C:Q,11,false)</f>
        <v>Tire</v>
      </c>
    </row>
    <row r="4115" ht="22.5" customHeight="1">
      <c r="A4115" s="49"/>
      <c r="C4115" s="384">
        <v>45882.0</v>
      </c>
      <c r="D4115" s="65">
        <v>6808.0</v>
      </c>
      <c r="E4115" s="445" t="s">
        <v>1361</v>
      </c>
      <c r="F4115" s="386">
        <v>2.0</v>
      </c>
      <c r="G4115" s="74">
        <v>980000.0</v>
      </c>
      <c r="H4115" s="74">
        <v>0.0</v>
      </c>
      <c r="I4115" s="74">
        <f t="shared" si="1"/>
        <v>1960000</v>
      </c>
      <c r="J4115" s="74">
        <f>IF(E4115="SERVICE",I4115-(I4115*50%),Vlookup(E4115,DATABASE!C:Q,10,false)*F4115)</f>
        <v>0</v>
      </c>
      <c r="K4115" s="74">
        <f>VLOOKUP(E4115,DATABASE!C:Q,7,false)</f>
        <v>881000</v>
      </c>
      <c r="L4115" s="74">
        <v>881000.0</v>
      </c>
      <c r="M4115" s="74">
        <f t="shared" si="2"/>
        <v>885000</v>
      </c>
      <c r="N4115" s="74">
        <f t="shared" si="3"/>
        <v>190000</v>
      </c>
      <c r="O4115" s="65" t="str">
        <f>VLOOKUP(E4115,DATABASE!C:Q,8,false)</f>
        <v>IBU</v>
      </c>
      <c r="P4115" s="65">
        <f>VLOOKUP(E4115,DATABASE!C:Q,9,False)</f>
        <v>1</v>
      </c>
      <c r="Q4115" s="93" t="str">
        <f>VLOOKUP(E4115,DATABASE!C:Q,4,false)</f>
        <v>Dunlop</v>
      </c>
      <c r="R4115" s="93" t="str">
        <f>VLOOKUP(E4115,DATABASE!C:Q,11,false)</f>
        <v>Tire</v>
      </c>
    </row>
    <row r="4116" ht="22.5" customHeight="1">
      <c r="A4116" s="49"/>
      <c r="C4116" s="384">
        <v>45882.0</v>
      </c>
      <c r="D4116" s="65">
        <v>6809.0</v>
      </c>
      <c r="E4116" s="445" t="s">
        <v>290</v>
      </c>
      <c r="F4116" s="386">
        <v>2.0</v>
      </c>
      <c r="G4116" s="74">
        <v>710000.0</v>
      </c>
      <c r="H4116" s="74">
        <v>0.0</v>
      </c>
      <c r="I4116" s="74">
        <f t="shared" si="1"/>
        <v>1420000</v>
      </c>
      <c r="J4116" s="74">
        <f>IF(E4116="SERVICE",I4116-(I4116*50%),Vlookup(E4116,DATABASE!C:Q,10,false)*F4116)</f>
        <v>0</v>
      </c>
      <c r="K4116" s="74">
        <f>VLOOKUP(E4116,DATABASE!C:Q,7,false)</f>
        <v>628100</v>
      </c>
      <c r="L4116" s="74">
        <v>609804.0</v>
      </c>
      <c r="M4116" s="74">
        <f t="shared" si="2"/>
        <v>610000</v>
      </c>
      <c r="N4116" s="74">
        <f t="shared" si="3"/>
        <v>200000</v>
      </c>
      <c r="O4116" s="65" t="str">
        <f>VLOOKUP(E4116,DATABASE!C:Q,8,false)</f>
        <v>BIAN</v>
      </c>
      <c r="P4116" s="65">
        <f>VLOOKUP(E4116,DATABASE!C:Q,9,False)</f>
        <v>1</v>
      </c>
      <c r="Q4116" s="93" t="str">
        <f>VLOOKUP(E4116,DATABASE!C:Q,4,false)</f>
        <v>GT</v>
      </c>
      <c r="R4116" s="93" t="str">
        <f>VLOOKUP(E4116,DATABASE!C:Q,11,false)</f>
        <v>Tire</v>
      </c>
    </row>
    <row r="4117" ht="22.5" customHeight="1">
      <c r="A4117" s="49"/>
      <c r="C4117" s="384">
        <v>45882.0</v>
      </c>
      <c r="D4117" s="65">
        <v>6810.0</v>
      </c>
      <c r="E4117" s="445" t="s">
        <v>1009</v>
      </c>
      <c r="F4117" s="386">
        <v>4.0</v>
      </c>
      <c r="G4117" s="74">
        <v>690000.0</v>
      </c>
      <c r="H4117" s="74">
        <v>0.0</v>
      </c>
      <c r="I4117" s="74">
        <f t="shared" si="1"/>
        <v>2760000</v>
      </c>
      <c r="J4117" s="74">
        <f>IF(E4117="SERVICE",I4117-(I4117*50%),Vlookup(E4117,DATABASE!C:Q,10,false)*F4117)</f>
        <v>0</v>
      </c>
      <c r="K4117" s="74">
        <f>VLOOKUP(E4117,DATABASE!C:Q,7,false)</f>
        <v>609800</v>
      </c>
      <c r="L4117" s="74">
        <v>592200.0</v>
      </c>
      <c r="M4117" s="74">
        <f t="shared" si="2"/>
        <v>595000</v>
      </c>
      <c r="N4117" s="74">
        <f t="shared" si="3"/>
        <v>380000</v>
      </c>
      <c r="O4117" s="65" t="str">
        <f>VLOOKUP(E4117,DATABASE!C:Q,8,false)</f>
        <v>BIAN</v>
      </c>
      <c r="P4117" s="65">
        <f>VLOOKUP(E4117,DATABASE!C:Q,9,False)</f>
        <v>1</v>
      </c>
      <c r="Q4117" s="93" t="str">
        <f>VLOOKUP(E4117,DATABASE!C:Q,4,false)</f>
        <v>GT</v>
      </c>
      <c r="R4117" s="93" t="str">
        <f>VLOOKUP(E4117,DATABASE!C:Q,11,false)</f>
        <v>Tire</v>
      </c>
    </row>
    <row r="4118" ht="22.5" customHeight="1">
      <c r="A4118" s="49"/>
      <c r="C4118" s="384">
        <v>45882.0</v>
      </c>
      <c r="D4118" s="65">
        <v>6811.0</v>
      </c>
      <c r="E4118" s="445" t="s">
        <v>572</v>
      </c>
      <c r="F4118" s="386">
        <v>1.0</v>
      </c>
      <c r="G4118" s="74">
        <v>1350000.0</v>
      </c>
      <c r="H4118" s="74">
        <v>0.0</v>
      </c>
      <c r="I4118" s="74">
        <f t="shared" si="1"/>
        <v>1350000</v>
      </c>
      <c r="J4118" s="74">
        <f>IF(E4118="SERVICE",I4118-(I4118*50%),Vlookup(E4118,DATABASE!C:Q,10,false)*F4118)</f>
        <v>0</v>
      </c>
      <c r="K4118" s="74">
        <f>VLOOKUP(E4118,DATABASE!C:Q,7,false)</f>
        <v>1265000</v>
      </c>
      <c r="L4118" s="74">
        <v>1245000.0</v>
      </c>
      <c r="M4118" s="74">
        <f t="shared" si="2"/>
        <v>1245000</v>
      </c>
      <c r="N4118" s="74">
        <f t="shared" si="3"/>
        <v>105000</v>
      </c>
      <c r="O4118" s="65" t="str">
        <f>VLOOKUP(E4118,DATABASE!C:Q,8,false)</f>
        <v>IBU</v>
      </c>
      <c r="P4118" s="65">
        <f>VLOOKUP(E4118,DATABASE!C:Q,9,False)</f>
        <v>1</v>
      </c>
      <c r="Q4118" s="93" t="str">
        <f>VLOOKUP(E4118,DATABASE!C:Q,4,false)</f>
        <v>Bridgestone</v>
      </c>
      <c r="R4118" s="93" t="str">
        <f>VLOOKUP(E4118,DATABASE!C:Q,11,false)</f>
        <v>Tire</v>
      </c>
    </row>
    <row r="4119" ht="22.5" customHeight="1">
      <c r="A4119" s="49"/>
      <c r="C4119" s="384">
        <v>45882.0</v>
      </c>
      <c r="D4119" s="65">
        <v>6812.0</v>
      </c>
      <c r="E4119" s="445" t="s">
        <v>1536</v>
      </c>
      <c r="F4119" s="386">
        <v>3.0</v>
      </c>
      <c r="G4119" s="74">
        <v>685000.0</v>
      </c>
      <c r="H4119" s="74">
        <v>0.0</v>
      </c>
      <c r="I4119" s="74">
        <f t="shared" si="1"/>
        <v>2055000</v>
      </c>
      <c r="J4119" s="74">
        <f>IF(E4119="SERVICE",I4119-(I4119*50%),Vlookup(E4119,DATABASE!C:Q,10,false)*F4119)</f>
        <v>0</v>
      </c>
      <c r="K4119" s="74">
        <f>VLOOKUP(E4119,DATABASE!C:Q,7,false)</f>
        <v>599000</v>
      </c>
      <c r="L4119" s="74">
        <v>573000.0</v>
      </c>
      <c r="M4119" s="74">
        <f t="shared" si="2"/>
        <v>575000</v>
      </c>
      <c r="N4119" s="74">
        <f t="shared" si="3"/>
        <v>330000</v>
      </c>
      <c r="O4119" s="65" t="str">
        <f>VLOOKUP(E4119,DATABASE!C:Q,8,false)</f>
        <v>BIAN</v>
      </c>
      <c r="P4119" s="65">
        <f>VLOOKUP(E4119,DATABASE!C:Q,9,False)</f>
        <v>1</v>
      </c>
      <c r="Q4119" s="93" t="str">
        <f>VLOOKUP(E4119,DATABASE!C:Q,4,false)</f>
        <v>Laufen</v>
      </c>
      <c r="R4119" s="93" t="str">
        <f>VLOOKUP(E4119,DATABASE!C:Q,11,false)</f>
        <v>Tire</v>
      </c>
    </row>
    <row r="4120" ht="22.5" customHeight="1">
      <c r="A4120" s="49"/>
      <c r="C4120" s="384">
        <v>45882.0</v>
      </c>
      <c r="D4120" s="65">
        <v>6813.0</v>
      </c>
      <c r="E4120" s="445" t="s">
        <v>604</v>
      </c>
      <c r="F4120" s="386">
        <v>1.0</v>
      </c>
      <c r="G4120" s="74">
        <v>160000.0</v>
      </c>
      <c r="H4120" s="74">
        <v>0.0</v>
      </c>
      <c r="I4120" s="74">
        <f t="shared" si="1"/>
        <v>160000</v>
      </c>
      <c r="J4120" s="74">
        <f>IF(E4120="SERVICE",I4120-(I4120*50%),Vlookup(E4120,DATABASE!C:Q,10,false)*F4120)</f>
        <v>0</v>
      </c>
      <c r="K4120" s="74">
        <f>VLOOKUP(E4120,DATABASE!C:Q,7,false)</f>
        <v>124000</v>
      </c>
      <c r="L4120" s="74">
        <v>124000.0</v>
      </c>
      <c r="M4120" s="74">
        <f t="shared" si="2"/>
        <v>125000</v>
      </c>
      <c r="N4120" s="74">
        <f t="shared" si="3"/>
        <v>35000</v>
      </c>
      <c r="O4120" s="65" t="str">
        <f>VLOOKUP(E4120,DATABASE!C:Q,8,false)</f>
        <v>BIAN</v>
      </c>
      <c r="P4120" s="65">
        <f>VLOOKUP(E4120,DATABASE!C:Q,9,False)</f>
        <v>1</v>
      </c>
      <c r="Q4120" s="93" t="str">
        <f>VLOOKUP(E4120,DATABASE!C:Q,4,false)</f>
        <v>BD</v>
      </c>
      <c r="R4120" s="93" t="str">
        <f>VLOOKUP(E4120,DATABASE!C:Q,11,false)</f>
        <v>Tire</v>
      </c>
    </row>
    <row r="4121" ht="22.5" customHeight="1">
      <c r="A4121" s="49"/>
      <c r="C4121" s="384">
        <v>45882.0</v>
      </c>
      <c r="D4121" s="65">
        <v>6814.0</v>
      </c>
      <c r="E4121" s="385" t="s">
        <v>222</v>
      </c>
      <c r="F4121" s="386">
        <v>1.0</v>
      </c>
      <c r="G4121" s="74">
        <v>930000.0</v>
      </c>
      <c r="H4121" s="74">
        <v>0.0</v>
      </c>
      <c r="I4121" s="74">
        <f t="shared" si="1"/>
        <v>930000</v>
      </c>
      <c r="J4121" s="74">
        <f>IF(E4121="SERVICE",I4121-(I4121*50%),Vlookup(E4121,DATABASE!C:Q,10,false)*F4121)</f>
        <v>0</v>
      </c>
      <c r="K4121" s="74">
        <f>VLOOKUP(E4121,DATABASE!C:Q,7,false)</f>
        <v>805000</v>
      </c>
      <c r="L4121" s="74">
        <v>805000.0</v>
      </c>
      <c r="M4121" s="74">
        <f t="shared" si="2"/>
        <v>805000</v>
      </c>
      <c r="N4121" s="74">
        <f t="shared" si="3"/>
        <v>125000</v>
      </c>
      <c r="O4121" s="65" t="str">
        <f>VLOOKUP(E4121,DATABASE!C:Q,8,false)</f>
        <v>BIAN</v>
      </c>
      <c r="P4121" s="65">
        <f>VLOOKUP(E4121,DATABASE!C:Q,9,False)</f>
        <v>1</v>
      </c>
      <c r="Q4121" s="93" t="str">
        <f>VLOOKUP(E4121,DATABASE!C:Q,4,false)</f>
        <v>Accelera</v>
      </c>
      <c r="R4121" s="93" t="str">
        <f>VLOOKUP(E4121,DATABASE!C:Q,11,false)</f>
        <v>Tire</v>
      </c>
    </row>
    <row r="4122" ht="22.5" customHeight="1">
      <c r="A4122" s="49"/>
      <c r="C4122" s="384">
        <v>45882.0</v>
      </c>
      <c r="D4122" s="65">
        <v>6816.0</v>
      </c>
      <c r="E4122" s="445" t="s">
        <v>265</v>
      </c>
      <c r="F4122" s="386">
        <v>2.0</v>
      </c>
      <c r="G4122" s="74">
        <v>700000.0</v>
      </c>
      <c r="H4122" s="74">
        <v>0.0</v>
      </c>
      <c r="I4122" s="74">
        <f t="shared" si="1"/>
        <v>1400000</v>
      </c>
      <c r="J4122" s="74">
        <f>IF(E4122="SERVICE",I4122-(I4122*50%),Vlookup(E4122,DATABASE!C:Q,10,false)*F4122)</f>
        <v>0</v>
      </c>
      <c r="K4122" s="74">
        <f>VLOOKUP(E4122,DATABASE!C:Q,7,false)</f>
        <v>628000</v>
      </c>
      <c r="L4122" s="74">
        <v>610000.0</v>
      </c>
      <c r="M4122" s="74">
        <f t="shared" si="2"/>
        <v>610000</v>
      </c>
      <c r="N4122" s="74">
        <f t="shared" si="3"/>
        <v>180000</v>
      </c>
      <c r="O4122" s="65" t="str">
        <f>VLOOKUP(E4122,DATABASE!C:Q,8,false)</f>
        <v>IBU</v>
      </c>
      <c r="P4122" s="65">
        <f>VLOOKUP(E4122,DATABASE!C:Q,9,False)</f>
        <v>1</v>
      </c>
      <c r="Q4122" s="93" t="str">
        <f>VLOOKUP(E4122,DATABASE!C:Q,4,false)</f>
        <v>Dunlop</v>
      </c>
      <c r="R4122" s="93" t="str">
        <f>VLOOKUP(E4122,DATABASE!C:Q,11,false)</f>
        <v>Tire</v>
      </c>
    </row>
    <row r="4123" ht="22.5" customHeight="1">
      <c r="A4123" s="49"/>
      <c r="C4123" s="384">
        <v>45882.0</v>
      </c>
      <c r="D4123" s="65">
        <v>6816.0</v>
      </c>
      <c r="E4123" s="445" t="s">
        <v>246</v>
      </c>
      <c r="F4123" s="386">
        <v>2.0</v>
      </c>
      <c r="G4123" s="74">
        <v>25000.0</v>
      </c>
      <c r="H4123" s="74">
        <v>0.0</v>
      </c>
      <c r="I4123" s="74">
        <f t="shared" si="1"/>
        <v>50000</v>
      </c>
      <c r="J4123" s="74">
        <f>IF(E4123="SERVICE",I4123-(I4123*50%),Vlookup(E4123,DATABASE!C:Q,10,false)*F4123)</f>
        <v>0</v>
      </c>
      <c r="K4123" s="74">
        <f>VLOOKUP(E4123,DATABASE!C:Q,7,false)</f>
        <v>0</v>
      </c>
      <c r="L4123" s="74">
        <v>0.0</v>
      </c>
      <c r="M4123" s="74">
        <f t="shared" si="2"/>
        <v>0</v>
      </c>
      <c r="N4123" s="74">
        <f t="shared" si="3"/>
        <v>50000</v>
      </c>
      <c r="O4123" s="65" t="str">
        <f>VLOOKUP(E4123,DATABASE!C:Q,8,false)</f>
        <v>IBU</v>
      </c>
      <c r="P4123" s="65">
        <f>VLOOKUP(E4123,DATABASE!C:Q,9,False)</f>
        <v>0</v>
      </c>
      <c r="Q4123" s="93" t="str">
        <f>VLOOKUP(E4123,DATABASE!C:Q,4,false)</f>
        <v>Bongkar Pasang</v>
      </c>
      <c r="R4123" s="93" t="str">
        <f>VLOOKUP(E4123,DATABASE!C:Q,11,false)</f>
        <v>SERVICE</v>
      </c>
    </row>
    <row r="4124" ht="22.5" customHeight="1">
      <c r="A4124" s="49"/>
      <c r="C4124" s="384">
        <v>45883.0</v>
      </c>
      <c r="D4124" s="65">
        <v>6817.0</v>
      </c>
      <c r="E4124" s="445" t="s">
        <v>265</v>
      </c>
      <c r="F4124" s="386">
        <v>2.0</v>
      </c>
      <c r="G4124" s="74">
        <v>700000.0</v>
      </c>
      <c r="H4124" s="74">
        <v>0.0</v>
      </c>
      <c r="I4124" s="74">
        <f t="shared" si="1"/>
        <v>1400000</v>
      </c>
      <c r="J4124" s="74">
        <f>IF(E4124="SERVICE",I4124-(I4124*50%),Vlookup(E4124,DATABASE!C:Q,10,false)*F4124)</f>
        <v>0</v>
      </c>
      <c r="K4124" s="74">
        <f>VLOOKUP(E4124,DATABASE!C:Q,7,false)</f>
        <v>628000</v>
      </c>
      <c r="L4124" s="74">
        <v>610000.0</v>
      </c>
      <c r="M4124" s="74">
        <f t="shared" si="2"/>
        <v>610000</v>
      </c>
      <c r="N4124" s="74">
        <f t="shared" si="3"/>
        <v>180000</v>
      </c>
      <c r="O4124" s="65" t="str">
        <f>VLOOKUP(E4124,DATABASE!C:Q,8,false)</f>
        <v>IBU</v>
      </c>
      <c r="P4124" s="65">
        <f>VLOOKUP(E4124,DATABASE!C:Q,9,False)</f>
        <v>1</v>
      </c>
      <c r="Q4124" s="93" t="str">
        <f>VLOOKUP(E4124,DATABASE!C:Q,4,false)</f>
        <v>Dunlop</v>
      </c>
      <c r="R4124" s="93" t="str">
        <f>VLOOKUP(E4124,DATABASE!C:Q,11,false)</f>
        <v>Tire</v>
      </c>
    </row>
    <row r="4125" ht="22.5" customHeight="1">
      <c r="A4125" s="49"/>
      <c r="C4125" s="384">
        <v>45883.0</v>
      </c>
      <c r="D4125" s="65">
        <v>6818.0</v>
      </c>
      <c r="E4125" s="445" t="s">
        <v>268</v>
      </c>
      <c r="F4125" s="386">
        <v>2.0</v>
      </c>
      <c r="G4125" s="74">
        <v>710000.0</v>
      </c>
      <c r="H4125" s="74">
        <v>0.0</v>
      </c>
      <c r="I4125" s="74">
        <f t="shared" si="1"/>
        <v>1420000</v>
      </c>
      <c r="J4125" s="74">
        <f>IF(E4125="SERVICE",I4125-(I4125*50%),Vlookup(E4125,DATABASE!C:Q,10,false)*F4125)</f>
        <v>0</v>
      </c>
      <c r="K4125" s="74">
        <f>VLOOKUP(E4125,DATABASE!C:Q,7,false)</f>
        <v>653000</v>
      </c>
      <c r="L4125" s="74">
        <v>622000.0</v>
      </c>
      <c r="M4125" s="74">
        <f t="shared" si="2"/>
        <v>625000</v>
      </c>
      <c r="N4125" s="74">
        <f t="shared" si="3"/>
        <v>170000</v>
      </c>
      <c r="O4125" s="65" t="str">
        <f>VLOOKUP(E4125,DATABASE!C:Q,8,false)</f>
        <v>IBU</v>
      </c>
      <c r="P4125" s="65">
        <f>VLOOKUP(E4125,DATABASE!C:Q,9,False)</f>
        <v>1</v>
      </c>
      <c r="Q4125" s="93" t="str">
        <f>VLOOKUP(E4125,DATABASE!C:Q,4,false)</f>
        <v>Dunlop</v>
      </c>
      <c r="R4125" s="93" t="str">
        <f>VLOOKUP(E4125,DATABASE!C:Q,11,false)</f>
        <v>Tire</v>
      </c>
    </row>
    <row r="4126" ht="22.5" customHeight="1">
      <c r="A4126" s="49"/>
      <c r="C4126" s="384">
        <v>45883.0</v>
      </c>
      <c r="D4126" s="65">
        <v>6819.0</v>
      </c>
      <c r="E4126" s="445" t="s">
        <v>262</v>
      </c>
      <c r="F4126" s="386">
        <v>1.0</v>
      </c>
      <c r="G4126" s="74">
        <v>110000.0</v>
      </c>
      <c r="H4126" s="74">
        <v>0.0</v>
      </c>
      <c r="I4126" s="74">
        <f t="shared" si="1"/>
        <v>110000</v>
      </c>
      <c r="J4126" s="74">
        <f>IF(E4126="SERVICE",I4126-(I4126*50%),Vlookup(E4126,DATABASE!C:Q,10,false)*F4126)</f>
        <v>5000</v>
      </c>
      <c r="K4126" s="74">
        <f>VLOOKUP(E4126,DATABASE!C:Q,7,false)</f>
        <v>0</v>
      </c>
      <c r="L4126" s="74">
        <v>0.0</v>
      </c>
      <c r="M4126" s="74">
        <f t="shared" si="2"/>
        <v>0</v>
      </c>
      <c r="N4126" s="74">
        <f t="shared" si="3"/>
        <v>105000</v>
      </c>
      <c r="O4126" s="65" t="str">
        <f>VLOOKUP(E4126,DATABASE!C:Q,8,false)</f>
        <v>IBU</v>
      </c>
      <c r="P4126" s="65">
        <f>VLOOKUP(E4126,DATABASE!C:Q,9,False)</f>
        <v>0</v>
      </c>
      <c r="Q4126" s="93" t="str">
        <f>VLOOKUP(E4126,DATABASE!C:Q,4,false)</f>
        <v>SPOORING SS/CARRY LOS BAK</v>
      </c>
      <c r="R4126" s="93" t="str">
        <f>VLOOKUP(E4126,DATABASE!C:Q,11,false)</f>
        <v>SERVICE</v>
      </c>
    </row>
    <row r="4127" ht="22.5" customHeight="1">
      <c r="A4127" s="49"/>
      <c r="C4127" s="384">
        <v>45883.0</v>
      </c>
      <c r="D4127" s="65">
        <v>6819.0</v>
      </c>
      <c r="E4127" s="385" t="s">
        <v>299</v>
      </c>
      <c r="F4127" s="386">
        <v>2.0</v>
      </c>
      <c r="G4127" s="74">
        <v>30000.0</v>
      </c>
      <c r="H4127" s="74">
        <v>0.0</v>
      </c>
      <c r="I4127" s="74">
        <f t="shared" si="1"/>
        <v>60000</v>
      </c>
      <c r="J4127" s="74">
        <f>IF(E4127="SERVICE",I4127-(I4127*50%),Vlookup(E4127,DATABASE!C:Q,10,false)*F4127)</f>
        <v>0</v>
      </c>
      <c r="K4127" s="74">
        <v>0.0</v>
      </c>
      <c r="L4127" s="74">
        <v>0.0</v>
      </c>
      <c r="M4127" s="74">
        <f t="shared" si="2"/>
        <v>0</v>
      </c>
      <c r="N4127" s="74">
        <f t="shared" si="3"/>
        <v>60000</v>
      </c>
      <c r="O4127" s="65" t="str">
        <f>VLOOKUP(E4127,DATABASE!C:Q,8,false)</f>
        <v>BIAN</v>
      </c>
      <c r="P4127" s="65">
        <f>VLOOKUP(E4127,DATABASE!C:Q,9,False)</f>
        <v>0</v>
      </c>
      <c r="Q4127" s="93" t="str">
        <f>VLOOKUP(E4127,DATABASE!C:Q,4,false)</f>
        <v>Balancing</v>
      </c>
      <c r="R4127" s="93" t="str">
        <f>VLOOKUP(E4127,DATABASE!C:Q,11,false)</f>
        <v>COMPLEMENTARY</v>
      </c>
    </row>
    <row r="4128" ht="22.5" customHeight="1">
      <c r="A4128" s="49"/>
      <c r="C4128" s="384">
        <v>45883.0</v>
      </c>
      <c r="D4128" s="65">
        <v>6819.0</v>
      </c>
      <c r="E4128" s="445" t="s">
        <v>251</v>
      </c>
      <c r="F4128" s="386">
        <v>1.0</v>
      </c>
      <c r="G4128" s="74">
        <v>150000.0</v>
      </c>
      <c r="H4128" s="74">
        <v>0.0</v>
      </c>
      <c r="I4128" s="74">
        <f t="shared" si="1"/>
        <v>150000</v>
      </c>
      <c r="J4128" s="74">
        <f>IF(E4128="SERVICE",I4128-(I4128*50%),Vlookup(E4128,DATABASE!C:Q,10,false)*F4128)</f>
        <v>75000</v>
      </c>
      <c r="K4128" s="74">
        <f>VLOOKUP(E4128,DATABASE!C:Q,7,false)</f>
        <v>0</v>
      </c>
      <c r="L4128" s="74">
        <v>0.0</v>
      </c>
      <c r="M4128" s="74">
        <f t="shared" si="2"/>
        <v>0</v>
      </c>
      <c r="N4128" s="74">
        <f t="shared" si="3"/>
        <v>75000</v>
      </c>
      <c r="O4128" s="65" t="str">
        <f>VLOOKUP(E4128,DATABASE!C:Q,8,false)</f>
        <v>IBU</v>
      </c>
      <c r="P4128" s="65">
        <f>VLOOKUP(E4128,DATABASE!C:Q,9,False)</f>
        <v>0</v>
      </c>
      <c r="Q4128" s="93" t="str">
        <f>VLOOKUP(E4128,DATABASE!C:Q,4,false)</f>
        <v>SERVICE</v>
      </c>
      <c r="R4128" s="93" t="str">
        <f>VLOOKUP(E4128,DATABASE!C:Q,11,false)</f>
        <v>SERVICE</v>
      </c>
    </row>
    <row r="4129" ht="22.5" customHeight="1">
      <c r="A4129" s="49"/>
      <c r="C4129" s="384">
        <v>45883.0</v>
      </c>
      <c r="D4129" s="65">
        <v>6820.0</v>
      </c>
      <c r="E4129" s="445" t="s">
        <v>288</v>
      </c>
      <c r="F4129" s="386">
        <v>1.0</v>
      </c>
      <c r="G4129" s="74">
        <v>620000.0</v>
      </c>
      <c r="H4129" s="74">
        <v>0.0</v>
      </c>
      <c r="I4129" s="74">
        <f t="shared" si="1"/>
        <v>620000</v>
      </c>
      <c r="J4129" s="74">
        <f>IF(E4129="SERVICE",I4129-(I4129*50%),Vlookup(E4129,DATABASE!C:Q,10,false)*F4129)</f>
        <v>0</v>
      </c>
      <c r="K4129" s="74">
        <f>VLOOKUP(E4129,DATABASE!C:Q,7,false)</f>
        <v>565760</v>
      </c>
      <c r="L4129" s="74">
        <v>524800.0</v>
      </c>
      <c r="M4129" s="74">
        <f t="shared" si="2"/>
        <v>525000</v>
      </c>
      <c r="N4129" s="74">
        <f t="shared" si="3"/>
        <v>95000</v>
      </c>
      <c r="O4129" s="65" t="str">
        <f>VLOOKUP(E4129,DATABASE!C:Q,8,false)</f>
        <v>BIAN</v>
      </c>
      <c r="P4129" s="65">
        <f>VLOOKUP(E4129,DATABASE!C:Q,9,False)</f>
        <v>1</v>
      </c>
      <c r="Q4129" s="93" t="str">
        <f>VLOOKUP(E4129,DATABASE!C:Q,4,false)</f>
        <v>GT</v>
      </c>
      <c r="R4129" s="93" t="str">
        <f>VLOOKUP(E4129,DATABASE!C:Q,11,false)</f>
        <v>Tire</v>
      </c>
    </row>
    <row r="4130" ht="22.5" customHeight="1">
      <c r="A4130" s="49"/>
      <c r="C4130" s="384">
        <v>45883.0</v>
      </c>
      <c r="D4130" s="65">
        <v>6821.0</v>
      </c>
      <c r="E4130" s="445" t="s">
        <v>268</v>
      </c>
      <c r="F4130" s="386">
        <v>2.0</v>
      </c>
      <c r="G4130" s="74">
        <v>715000.0</v>
      </c>
      <c r="H4130" s="74">
        <v>0.0</v>
      </c>
      <c r="I4130" s="74">
        <f t="shared" si="1"/>
        <v>1430000</v>
      </c>
      <c r="J4130" s="74">
        <f>IF(E4130="SERVICE",I4130-(I4130*50%),Vlookup(E4130,DATABASE!C:Q,10,false)*F4130)</f>
        <v>0</v>
      </c>
      <c r="K4130" s="74">
        <f>VLOOKUP(E4130,DATABASE!C:Q,7,false)</f>
        <v>653000</v>
      </c>
      <c r="L4130" s="74">
        <v>622000.0</v>
      </c>
      <c r="M4130" s="74">
        <f t="shared" si="2"/>
        <v>625000</v>
      </c>
      <c r="N4130" s="74">
        <f t="shared" si="3"/>
        <v>180000</v>
      </c>
      <c r="O4130" s="65" t="str">
        <f>VLOOKUP(E4130,DATABASE!C:Q,8,false)</f>
        <v>IBU</v>
      </c>
      <c r="P4130" s="65">
        <f>VLOOKUP(E4130,DATABASE!C:Q,9,False)</f>
        <v>1</v>
      </c>
      <c r="Q4130" s="93" t="str">
        <f>VLOOKUP(E4130,DATABASE!C:Q,4,false)</f>
        <v>Dunlop</v>
      </c>
      <c r="R4130" s="93" t="str">
        <f>VLOOKUP(E4130,DATABASE!C:Q,11,false)</f>
        <v>Tire</v>
      </c>
    </row>
    <row r="4131" ht="22.5" customHeight="1">
      <c r="A4131" s="49"/>
      <c r="C4131" s="384">
        <v>45883.0</v>
      </c>
      <c r="D4131" s="65">
        <v>6823.0</v>
      </c>
      <c r="E4131" s="445" t="s">
        <v>1439</v>
      </c>
      <c r="F4131" s="386">
        <v>2.0</v>
      </c>
      <c r="G4131" s="74">
        <v>630000.0</v>
      </c>
      <c r="H4131" s="74">
        <v>0.0</v>
      </c>
      <c r="I4131" s="74">
        <f t="shared" si="1"/>
        <v>1260000</v>
      </c>
      <c r="J4131" s="74">
        <f>IF(E4131="SERVICE",I4131-(I4131*50%),Vlookup(E4131,DATABASE!C:Q,10,false)*F4131)</f>
        <v>0</v>
      </c>
      <c r="K4131" s="74">
        <f>VLOOKUP(E4131,DATABASE!C:Q,7,false)</f>
        <v>556800</v>
      </c>
      <c r="L4131" s="74">
        <v>540800.0</v>
      </c>
      <c r="M4131" s="74">
        <f t="shared" si="2"/>
        <v>545000</v>
      </c>
      <c r="N4131" s="74">
        <f t="shared" si="3"/>
        <v>170000</v>
      </c>
      <c r="O4131" s="65" t="str">
        <f>VLOOKUP(E4131,DATABASE!C:Q,8,false)</f>
        <v>BIAN</v>
      </c>
      <c r="P4131" s="65">
        <f>VLOOKUP(E4131,DATABASE!C:Q,9,False)</f>
        <v>1</v>
      </c>
      <c r="Q4131" s="93" t="str">
        <f>VLOOKUP(E4131,DATABASE!C:Q,4,false)</f>
        <v>GT</v>
      </c>
      <c r="R4131" s="93" t="str">
        <f>VLOOKUP(E4131,DATABASE!C:Q,11,false)</f>
        <v>Tire</v>
      </c>
    </row>
    <row r="4132" ht="22.5" customHeight="1">
      <c r="A4132" s="49"/>
      <c r="C4132" s="384">
        <v>45883.0</v>
      </c>
      <c r="D4132" s="65">
        <v>6823.0</v>
      </c>
      <c r="E4132" s="385" t="s">
        <v>299</v>
      </c>
      <c r="F4132" s="386">
        <v>2.0</v>
      </c>
      <c r="G4132" s="74">
        <v>30000.0</v>
      </c>
      <c r="H4132" s="74">
        <v>0.0</v>
      </c>
      <c r="I4132" s="74">
        <f t="shared" si="1"/>
        <v>60000</v>
      </c>
      <c r="J4132" s="74">
        <f>IF(E4132="SERVICE",I4132-(I4132*50%),Vlookup(E4132,DATABASE!C:Q,10,false)*F4132)</f>
        <v>0</v>
      </c>
      <c r="K4132" s="74">
        <v>0.0</v>
      </c>
      <c r="L4132" s="74">
        <v>0.0</v>
      </c>
      <c r="M4132" s="74">
        <f t="shared" si="2"/>
        <v>0</v>
      </c>
      <c r="N4132" s="74">
        <f t="shared" si="3"/>
        <v>60000</v>
      </c>
      <c r="O4132" s="65" t="str">
        <f>VLOOKUP(E4132,DATABASE!C:Q,8,false)</f>
        <v>BIAN</v>
      </c>
      <c r="P4132" s="65">
        <f>VLOOKUP(E4132,DATABASE!C:Q,9,False)</f>
        <v>0</v>
      </c>
      <c r="Q4132" s="93" t="str">
        <f>VLOOKUP(E4132,DATABASE!C:Q,4,false)</f>
        <v>Balancing</v>
      </c>
      <c r="R4132" s="93" t="str">
        <f>VLOOKUP(E4132,DATABASE!C:Q,11,false)</f>
        <v>COMPLEMENTARY</v>
      </c>
    </row>
    <row r="4133" ht="22.5" customHeight="1">
      <c r="A4133" s="49"/>
      <c r="C4133" s="384">
        <v>45883.0</v>
      </c>
      <c r="D4133" s="65">
        <v>6823.0</v>
      </c>
      <c r="E4133" s="445" t="s">
        <v>256</v>
      </c>
      <c r="F4133" s="386">
        <v>1.0</v>
      </c>
      <c r="G4133" s="74">
        <v>130000.0</v>
      </c>
      <c r="H4133" s="74">
        <v>0.0</v>
      </c>
      <c r="I4133" s="74">
        <f t="shared" si="1"/>
        <v>130000</v>
      </c>
      <c r="J4133" s="74">
        <f>IF(E4133="SERVICE",I4133-(I4133*50%),Vlookup(E4133,DATABASE!C:Q,10,false)*F4133)</f>
        <v>10000</v>
      </c>
      <c r="K4133" s="74">
        <f>VLOOKUP(E4133,DATABASE!C:Q,7,false)</f>
        <v>0</v>
      </c>
      <c r="L4133" s="74">
        <v>0.0</v>
      </c>
      <c r="M4133" s="74">
        <f t="shared" si="2"/>
        <v>0</v>
      </c>
      <c r="N4133" s="74">
        <f t="shared" si="3"/>
        <v>120000</v>
      </c>
      <c r="O4133" s="65" t="str">
        <f>VLOOKUP(E4133,DATABASE!C:Q,8,false)</f>
        <v>IBU</v>
      </c>
      <c r="P4133" s="65">
        <f>VLOOKUP(E4133,DATABASE!C:Q,9,False)</f>
        <v>0</v>
      </c>
      <c r="Q4133" s="93" t="str">
        <f>VLOOKUP(E4133,DATABASE!C:Q,4,false)</f>
        <v>SPOORING</v>
      </c>
      <c r="R4133" s="93" t="str">
        <f>VLOOKUP(E4133,DATABASE!C:Q,11,false)</f>
        <v>SERVICE</v>
      </c>
    </row>
    <row r="4134" ht="22.5" customHeight="1">
      <c r="A4134" s="49"/>
      <c r="C4134" s="384">
        <v>45883.0</v>
      </c>
      <c r="D4134" s="65">
        <v>6823.0</v>
      </c>
      <c r="E4134" s="445" t="s">
        <v>301</v>
      </c>
      <c r="F4134" s="386">
        <v>1.0</v>
      </c>
      <c r="G4134" s="74">
        <v>250000.0</v>
      </c>
      <c r="H4134" s="74">
        <v>0.0</v>
      </c>
      <c r="I4134" s="74">
        <f t="shared" si="1"/>
        <v>250000</v>
      </c>
      <c r="J4134" s="74">
        <f>IF(E4134="SERVICE",I4134-(I4134*50%),Vlookup(E4134,DATABASE!C:Q,10,false)*F4134)</f>
        <v>75000</v>
      </c>
      <c r="K4134" s="74">
        <f>VLOOKUP(E4134,DATABASE!C:Q,7,false)</f>
        <v>75000</v>
      </c>
      <c r="L4134" s="74">
        <v>75000.0</v>
      </c>
      <c r="M4134" s="74">
        <f t="shared" si="2"/>
        <v>75000</v>
      </c>
      <c r="N4134" s="74">
        <f t="shared" si="3"/>
        <v>100000</v>
      </c>
      <c r="O4134" s="65" t="str">
        <f>VLOOKUP(E4134,DATABASE!C:Q,8,false)</f>
        <v>BIAN</v>
      </c>
      <c r="P4134" s="65">
        <f>VLOOKUP(E4134,DATABASE!C:Q,9,False)</f>
        <v>0</v>
      </c>
      <c r="Q4134" s="93" t="str">
        <f>VLOOKUP(E4134,DATABASE!C:Q,4,false)</f>
        <v>Baut Camber</v>
      </c>
      <c r="R4134" s="93" t="str">
        <f>VLOOKUP(E4134,DATABASE!C:Q,11,false)</f>
        <v>COMPLEMENTARY</v>
      </c>
    </row>
    <row r="4135" ht="22.5" customHeight="1">
      <c r="A4135" s="49"/>
      <c r="C4135" s="384">
        <v>45883.0</v>
      </c>
      <c r="D4135" s="65">
        <v>6825.0</v>
      </c>
      <c r="E4135" s="445" t="s">
        <v>613</v>
      </c>
      <c r="F4135" s="386">
        <v>2.0</v>
      </c>
      <c r="G4135" s="74">
        <v>95000.0</v>
      </c>
      <c r="H4135" s="74">
        <v>0.0</v>
      </c>
      <c r="I4135" s="74">
        <f t="shared" si="1"/>
        <v>190000</v>
      </c>
      <c r="J4135" s="74">
        <f>IF(E4135="SERVICE",I4135-(I4135*50%),Vlookup(E4135,DATABASE!C:Q,10,false)*F4135)</f>
        <v>0</v>
      </c>
      <c r="K4135" s="74">
        <f>VLOOKUP(E4135,DATABASE!C:Q,7,false)</f>
        <v>58371.2695</v>
      </c>
      <c r="L4135" s="74">
        <v>55000.0</v>
      </c>
      <c r="M4135" s="74">
        <f t="shared" si="2"/>
        <v>55000</v>
      </c>
      <c r="N4135" s="74">
        <f t="shared" si="3"/>
        <v>80000</v>
      </c>
      <c r="O4135" s="65" t="str">
        <f>VLOOKUP(E4135,DATABASE!C:Q,8,false)</f>
        <v>BIAN</v>
      </c>
      <c r="P4135" s="65">
        <f>VLOOKUP(E4135,DATABASE!C:Q,9,False)</f>
        <v>1</v>
      </c>
      <c r="Q4135" s="93" t="str">
        <f>VLOOKUP(E4135,DATABASE!C:Q,4,false)</f>
        <v>BD</v>
      </c>
      <c r="R4135" s="93" t="str">
        <f>VLOOKUP(E4135,DATABASE!C:Q,11,false)</f>
        <v>Tire</v>
      </c>
    </row>
    <row r="4136" ht="22.5" customHeight="1">
      <c r="A4136" s="49"/>
      <c r="C4136" s="384">
        <v>45883.0</v>
      </c>
      <c r="D4136" s="65">
        <v>6826.0</v>
      </c>
      <c r="E4136" s="445" t="s">
        <v>1926</v>
      </c>
      <c r="F4136" s="386">
        <v>4.0</v>
      </c>
      <c r="G4136" s="74">
        <v>730000.0</v>
      </c>
      <c r="H4136" s="74">
        <v>0.0</v>
      </c>
      <c r="I4136" s="74">
        <f t="shared" si="1"/>
        <v>2920000</v>
      </c>
      <c r="J4136" s="74">
        <f>IF(E4136="SERVICE",I4136-(I4136*50%),Vlookup(E4136,DATABASE!C:Q,10,false)*F4136)</f>
        <v>0</v>
      </c>
      <c r="K4136" s="74">
        <f>VLOOKUP(E4136,DATABASE!C:Q,7,false)</f>
        <v>643230</v>
      </c>
      <c r="L4136" s="74">
        <v>643230.0</v>
      </c>
      <c r="M4136" s="74">
        <f t="shared" si="2"/>
        <v>645000</v>
      </c>
      <c r="N4136" s="74">
        <f t="shared" si="3"/>
        <v>340000</v>
      </c>
      <c r="O4136" s="65" t="str">
        <f>VLOOKUP(E4136,DATABASE!C:Q,8,false)</f>
        <v>BIAN</v>
      </c>
      <c r="P4136" s="65">
        <f>VLOOKUP(E4136,DATABASE!C:Q,9,False)</f>
        <v>1</v>
      </c>
      <c r="Q4136" s="93" t="str">
        <f>VLOOKUP(E4136,DATABASE!C:Q,4,false)</f>
        <v>GT</v>
      </c>
      <c r="R4136" s="93" t="str">
        <f>VLOOKUP(E4136,DATABASE!C:Q,11,false)</f>
        <v>Tire</v>
      </c>
    </row>
    <row r="4137" ht="22.5" customHeight="1">
      <c r="A4137" s="49"/>
      <c r="C4137" s="384">
        <v>45884.0</v>
      </c>
      <c r="D4137" s="65">
        <v>6828.0</v>
      </c>
      <c r="E4137" s="445" t="s">
        <v>605</v>
      </c>
      <c r="F4137" s="386">
        <v>1.0</v>
      </c>
      <c r="G4137" s="74">
        <v>760000.0</v>
      </c>
      <c r="H4137" s="74">
        <v>0.0</v>
      </c>
      <c r="I4137" s="74">
        <f t="shared" si="1"/>
        <v>760000</v>
      </c>
      <c r="J4137" s="74">
        <f>IF(E4137="SERVICE",I4137-(I4137*50%),Vlookup(E4137,DATABASE!C:Q,10,false)*F4137)</f>
        <v>0</v>
      </c>
      <c r="K4137" s="74">
        <v>670000.0</v>
      </c>
      <c r="L4137" s="74">
        <v>670000.0</v>
      </c>
      <c r="M4137" s="74">
        <f t="shared" si="2"/>
        <v>670000</v>
      </c>
      <c r="N4137" s="74">
        <f t="shared" si="3"/>
        <v>90000</v>
      </c>
      <c r="O4137" s="65" t="str">
        <f>VLOOKUP(E4137,DATABASE!C:Q,8,false)</f>
        <v>IBU</v>
      </c>
      <c r="P4137" s="65">
        <f>VLOOKUP(E4137,DATABASE!C:Q,9,False)</f>
        <v>1</v>
      </c>
      <c r="Q4137" s="93" t="str">
        <f>VLOOKUP(E4137,DATABASE!C:Q,4,false)</f>
        <v>Bridgestone</v>
      </c>
      <c r="R4137" s="93" t="str">
        <f>VLOOKUP(E4137,DATABASE!C:Q,11,false)</f>
        <v>Tire</v>
      </c>
    </row>
    <row r="4138" ht="22.5" customHeight="1">
      <c r="A4138" s="49"/>
      <c r="C4138" s="384">
        <v>45884.0</v>
      </c>
      <c r="D4138" s="65">
        <v>6828.0</v>
      </c>
      <c r="E4138" s="445" t="s">
        <v>256</v>
      </c>
      <c r="F4138" s="386">
        <v>1.0</v>
      </c>
      <c r="G4138" s="74">
        <v>65000.0</v>
      </c>
      <c r="H4138" s="74">
        <v>0.0</v>
      </c>
      <c r="I4138" s="74">
        <f t="shared" si="1"/>
        <v>65000</v>
      </c>
      <c r="J4138" s="74">
        <f>IF(E4138="SERVICE",I4138-(I4138*50%),Vlookup(E4138,DATABASE!C:Q,10,false)*F4138)</f>
        <v>10000</v>
      </c>
      <c r="K4138" s="74">
        <f>VLOOKUP(E4138,DATABASE!C:Q,7,false)</f>
        <v>0</v>
      </c>
      <c r="L4138" s="74">
        <v>0.0</v>
      </c>
      <c r="M4138" s="74">
        <f t="shared" si="2"/>
        <v>0</v>
      </c>
      <c r="N4138" s="74">
        <f t="shared" si="3"/>
        <v>55000</v>
      </c>
      <c r="O4138" s="65" t="str">
        <f>VLOOKUP(E4138,DATABASE!C:Q,8,false)</f>
        <v>IBU</v>
      </c>
      <c r="P4138" s="65">
        <f>VLOOKUP(E4138,DATABASE!C:Q,9,False)</f>
        <v>0</v>
      </c>
      <c r="Q4138" s="93" t="str">
        <f>VLOOKUP(E4138,DATABASE!C:Q,4,false)</f>
        <v>SPOORING</v>
      </c>
      <c r="R4138" s="93" t="str">
        <f>VLOOKUP(E4138,DATABASE!C:Q,11,false)</f>
        <v>SERVICE</v>
      </c>
    </row>
    <row r="4139" ht="22.5" customHeight="1">
      <c r="A4139" s="49"/>
      <c r="C4139" s="384">
        <v>45884.0</v>
      </c>
      <c r="D4139" s="65">
        <v>6829.0</v>
      </c>
      <c r="E4139" s="445" t="s">
        <v>256</v>
      </c>
      <c r="F4139" s="386">
        <v>1.0</v>
      </c>
      <c r="G4139" s="74">
        <v>130000.0</v>
      </c>
      <c r="H4139" s="74">
        <v>0.0</v>
      </c>
      <c r="I4139" s="74">
        <f t="shared" si="1"/>
        <v>130000</v>
      </c>
      <c r="J4139" s="74">
        <f>IF(E4139="SERVICE",I4139-(I4139*50%),Vlookup(E4139,DATABASE!C:Q,10,false)*F4139)</f>
        <v>10000</v>
      </c>
      <c r="K4139" s="74">
        <f>VLOOKUP(E4139,DATABASE!C:Q,7,false)</f>
        <v>0</v>
      </c>
      <c r="L4139" s="74">
        <v>0.0</v>
      </c>
      <c r="M4139" s="74">
        <f t="shared" si="2"/>
        <v>0</v>
      </c>
      <c r="N4139" s="74">
        <f t="shared" si="3"/>
        <v>120000</v>
      </c>
      <c r="O4139" s="65" t="str">
        <f>VLOOKUP(E4139,DATABASE!C:Q,8,false)</f>
        <v>IBU</v>
      </c>
      <c r="P4139" s="65">
        <f>VLOOKUP(E4139,DATABASE!C:Q,9,False)</f>
        <v>0</v>
      </c>
      <c r="Q4139" s="93" t="str">
        <f>VLOOKUP(E4139,DATABASE!C:Q,4,false)</f>
        <v>SPOORING</v>
      </c>
      <c r="R4139" s="93" t="str">
        <f>VLOOKUP(E4139,DATABASE!C:Q,11,false)</f>
        <v>SERVICE</v>
      </c>
    </row>
    <row r="4140" ht="22.5" customHeight="1">
      <c r="A4140" s="49"/>
      <c r="C4140" s="384">
        <v>45884.0</v>
      </c>
      <c r="D4140" s="65">
        <v>6829.0</v>
      </c>
      <c r="E4140" s="445" t="s">
        <v>251</v>
      </c>
      <c r="F4140" s="386">
        <v>1.0</v>
      </c>
      <c r="G4140" s="74">
        <v>150000.0</v>
      </c>
      <c r="H4140" s="74">
        <v>0.0</v>
      </c>
      <c r="I4140" s="74">
        <f t="shared" si="1"/>
        <v>150000</v>
      </c>
      <c r="J4140" s="74">
        <f>IF(E4140="SERVICE",I4140-(I4140*50%),Vlookup(E4140,DATABASE!C:Q,10,false)*F4140)</f>
        <v>75000</v>
      </c>
      <c r="K4140" s="74">
        <f>VLOOKUP(E4140,DATABASE!C:Q,7,false)</f>
        <v>0</v>
      </c>
      <c r="L4140" s="74">
        <v>0.0</v>
      </c>
      <c r="M4140" s="74">
        <f t="shared" si="2"/>
        <v>0</v>
      </c>
      <c r="N4140" s="74">
        <f t="shared" si="3"/>
        <v>75000</v>
      </c>
      <c r="O4140" s="65" t="str">
        <f>VLOOKUP(E4140,DATABASE!C:Q,8,false)</f>
        <v>IBU</v>
      </c>
      <c r="P4140" s="65">
        <f>VLOOKUP(E4140,DATABASE!C:Q,9,False)</f>
        <v>0</v>
      </c>
      <c r="Q4140" s="93" t="str">
        <f>VLOOKUP(E4140,DATABASE!C:Q,4,false)</f>
        <v>SERVICE</v>
      </c>
      <c r="R4140" s="93" t="str">
        <f>VLOOKUP(E4140,DATABASE!C:Q,11,false)</f>
        <v>SERVICE</v>
      </c>
    </row>
    <row r="4141" ht="22.5" customHeight="1">
      <c r="A4141" s="49"/>
      <c r="C4141" s="384">
        <v>45884.0</v>
      </c>
      <c r="D4141" s="65">
        <v>6830.0</v>
      </c>
      <c r="E4141" s="445" t="s">
        <v>288</v>
      </c>
      <c r="F4141" s="386">
        <v>1.0</v>
      </c>
      <c r="G4141" s="74">
        <v>620000.0</v>
      </c>
      <c r="H4141" s="74">
        <v>0.0</v>
      </c>
      <c r="I4141" s="74">
        <f t="shared" si="1"/>
        <v>620000</v>
      </c>
      <c r="J4141" s="74">
        <f>IF(E4141="SERVICE",I4141-(I4141*50%),Vlookup(E4141,DATABASE!C:Q,10,false)*F4141)</f>
        <v>0</v>
      </c>
      <c r="K4141" s="74">
        <f>VLOOKUP(E4141,DATABASE!C:Q,7,false)</f>
        <v>565760</v>
      </c>
      <c r="L4141" s="74">
        <v>524800.0</v>
      </c>
      <c r="M4141" s="74">
        <f t="shared" si="2"/>
        <v>525000</v>
      </c>
      <c r="N4141" s="74">
        <f t="shared" si="3"/>
        <v>95000</v>
      </c>
      <c r="O4141" s="65" t="str">
        <f>VLOOKUP(E4141,DATABASE!C:Q,8,false)</f>
        <v>BIAN</v>
      </c>
      <c r="P4141" s="65">
        <f>VLOOKUP(E4141,DATABASE!C:Q,9,False)</f>
        <v>1</v>
      </c>
      <c r="Q4141" s="93" t="str">
        <f>VLOOKUP(E4141,DATABASE!C:Q,4,false)</f>
        <v>GT</v>
      </c>
      <c r="R4141" s="93" t="str">
        <f>VLOOKUP(E4141,DATABASE!C:Q,11,false)</f>
        <v>Tire</v>
      </c>
    </row>
    <row r="4142" ht="22.5" customHeight="1">
      <c r="A4142" s="49"/>
      <c r="C4142" s="384">
        <v>45884.0</v>
      </c>
      <c r="D4142" s="65">
        <v>6831.0</v>
      </c>
      <c r="E4142" s="445" t="s">
        <v>1439</v>
      </c>
      <c r="F4142" s="386">
        <v>2.0</v>
      </c>
      <c r="G4142" s="74">
        <v>625000.0</v>
      </c>
      <c r="H4142" s="74">
        <v>0.0</v>
      </c>
      <c r="I4142" s="74">
        <f t="shared" si="1"/>
        <v>1250000</v>
      </c>
      <c r="J4142" s="74">
        <f>IF(E4142="SERVICE",I4142-(I4142*50%),Vlookup(E4142,DATABASE!C:Q,10,false)*F4142)</f>
        <v>0</v>
      </c>
      <c r="K4142" s="74">
        <f>VLOOKUP(E4142,DATABASE!C:Q,7,false)</f>
        <v>556800</v>
      </c>
      <c r="L4142" s="74">
        <v>540800.0</v>
      </c>
      <c r="M4142" s="74">
        <f t="shared" si="2"/>
        <v>545000</v>
      </c>
      <c r="N4142" s="74">
        <f t="shared" si="3"/>
        <v>160000</v>
      </c>
      <c r="O4142" s="65" t="str">
        <f>VLOOKUP(E4142,DATABASE!C:Q,8,false)</f>
        <v>BIAN</v>
      </c>
      <c r="P4142" s="65">
        <f>VLOOKUP(E4142,DATABASE!C:Q,9,False)</f>
        <v>1</v>
      </c>
      <c r="Q4142" s="93" t="str">
        <f>VLOOKUP(E4142,DATABASE!C:Q,4,false)</f>
        <v>GT</v>
      </c>
      <c r="R4142" s="93" t="str">
        <f>VLOOKUP(E4142,DATABASE!C:Q,11,false)</f>
        <v>Tire</v>
      </c>
    </row>
    <row r="4143" ht="22.5" customHeight="1">
      <c r="A4143" s="49"/>
      <c r="C4143" s="384">
        <v>45884.0</v>
      </c>
      <c r="D4143" s="65">
        <v>6832.0</v>
      </c>
      <c r="E4143" s="445" t="s">
        <v>294</v>
      </c>
      <c r="F4143" s="386">
        <v>1.0</v>
      </c>
      <c r="G4143" s="74">
        <v>570000.0</v>
      </c>
      <c r="H4143" s="74">
        <v>0.0</v>
      </c>
      <c r="I4143" s="74">
        <f t="shared" si="1"/>
        <v>570000</v>
      </c>
      <c r="J4143" s="74">
        <f>IF(E4143="SERVICE",I4143-(I4143*50%),Vlookup(E4143,DATABASE!C:Q,10,false)*F4143)</f>
        <v>0</v>
      </c>
      <c r="K4143" s="74">
        <f>VLOOKUP(E4143,DATABASE!C:Q,7,false)</f>
        <v>505000</v>
      </c>
      <c r="L4143" s="74">
        <v>490000.0</v>
      </c>
      <c r="M4143" s="74">
        <f t="shared" si="2"/>
        <v>490000</v>
      </c>
      <c r="N4143" s="74">
        <f t="shared" si="3"/>
        <v>80000</v>
      </c>
      <c r="O4143" s="65" t="str">
        <f>VLOOKUP(E4143,DATABASE!C:Q,8,false)</f>
        <v>BIAN</v>
      </c>
      <c r="P4143" s="65">
        <f>VLOOKUP(E4143,DATABASE!C:Q,9,False)</f>
        <v>1</v>
      </c>
      <c r="Q4143" s="93" t="str">
        <f>VLOOKUP(E4143,DATABASE!C:Q,4,false)</f>
        <v>GT</v>
      </c>
      <c r="R4143" s="93" t="str">
        <f>VLOOKUP(E4143,DATABASE!C:Q,11,false)</f>
        <v>Tire</v>
      </c>
    </row>
    <row r="4144" ht="22.5" customHeight="1">
      <c r="A4144" s="49"/>
      <c r="C4144" s="384">
        <v>45884.0</v>
      </c>
      <c r="D4144" s="65">
        <v>6832.0</v>
      </c>
      <c r="E4144" s="445" t="s">
        <v>569</v>
      </c>
      <c r="F4144" s="386">
        <v>1.0</v>
      </c>
      <c r="G4144" s="74">
        <v>80000.0</v>
      </c>
      <c r="H4144" s="74">
        <v>0.0</v>
      </c>
      <c r="I4144" s="74">
        <f t="shared" si="1"/>
        <v>80000</v>
      </c>
      <c r="J4144" s="74">
        <f>IF(E4144="SERVICE",I4144-(I4144*50%),Vlookup(E4144,DATABASE!C:Q,10,false)*F4144)</f>
        <v>0</v>
      </c>
      <c r="K4144" s="74">
        <f>VLOOKUP(E4144,DATABASE!C:Q,7,false)</f>
        <v>45439.582</v>
      </c>
      <c r="L4144" s="74">
        <v>45309.6</v>
      </c>
      <c r="M4144" s="74">
        <f t="shared" si="2"/>
        <v>50000</v>
      </c>
      <c r="N4144" s="74">
        <f t="shared" si="3"/>
        <v>30000</v>
      </c>
      <c r="O4144" s="65" t="str">
        <f>VLOOKUP(E4144,DATABASE!C:Q,8,false)</f>
        <v>BIAN</v>
      </c>
      <c r="P4144" s="65">
        <f>VLOOKUP(E4144,DATABASE!C:Q,9,False)</f>
        <v>1</v>
      </c>
      <c r="Q4144" s="93" t="str">
        <f>VLOOKUP(E4144,DATABASE!C:Q,4,false)</f>
        <v>BD</v>
      </c>
      <c r="R4144" s="93" t="str">
        <f>VLOOKUP(E4144,DATABASE!C:Q,11,false)</f>
        <v>Tire</v>
      </c>
    </row>
    <row r="4145" ht="22.5" customHeight="1">
      <c r="A4145" s="49"/>
      <c r="C4145" s="384">
        <v>45884.0</v>
      </c>
      <c r="D4145" s="65">
        <v>6833.0</v>
      </c>
      <c r="E4145" s="445" t="s">
        <v>262</v>
      </c>
      <c r="F4145" s="386">
        <v>1.0</v>
      </c>
      <c r="G4145" s="74">
        <v>110000.0</v>
      </c>
      <c r="H4145" s="74">
        <v>0.0</v>
      </c>
      <c r="I4145" s="74">
        <f t="shared" si="1"/>
        <v>110000</v>
      </c>
      <c r="J4145" s="74">
        <f>IF(E4145="SERVICE",I4145-(I4145*50%),Vlookup(E4145,DATABASE!C:Q,10,false)*F4145)</f>
        <v>5000</v>
      </c>
      <c r="K4145" s="74">
        <f>VLOOKUP(E4145,DATABASE!C:Q,7,false)</f>
        <v>0</v>
      </c>
      <c r="L4145" s="74">
        <v>0.0</v>
      </c>
      <c r="M4145" s="74">
        <f t="shared" si="2"/>
        <v>0</v>
      </c>
      <c r="N4145" s="74">
        <f t="shared" si="3"/>
        <v>105000</v>
      </c>
      <c r="O4145" s="65" t="str">
        <f>VLOOKUP(E4145,DATABASE!C:Q,8,false)</f>
        <v>IBU</v>
      </c>
      <c r="P4145" s="65">
        <f>VLOOKUP(E4145,DATABASE!C:Q,9,False)</f>
        <v>0</v>
      </c>
      <c r="Q4145" s="93" t="str">
        <f>VLOOKUP(E4145,DATABASE!C:Q,4,false)</f>
        <v>SPOORING SS/CARRY LOS BAK</v>
      </c>
      <c r="R4145" s="93" t="str">
        <f>VLOOKUP(E4145,DATABASE!C:Q,11,false)</f>
        <v>SERVICE</v>
      </c>
    </row>
    <row r="4146" ht="22.5" customHeight="1">
      <c r="A4146" s="49"/>
      <c r="C4146" s="384">
        <v>45884.0</v>
      </c>
      <c r="D4146" s="65">
        <v>6834.0</v>
      </c>
      <c r="E4146" s="445" t="s">
        <v>265</v>
      </c>
      <c r="F4146" s="386">
        <v>2.0</v>
      </c>
      <c r="G4146" s="74">
        <v>700000.0</v>
      </c>
      <c r="H4146" s="74">
        <v>0.0</v>
      </c>
      <c r="I4146" s="74">
        <f t="shared" si="1"/>
        <v>1400000</v>
      </c>
      <c r="J4146" s="74">
        <f>IF(E4146="SERVICE",I4146-(I4146*50%),Vlookup(E4146,DATABASE!C:Q,10,false)*F4146)</f>
        <v>0</v>
      </c>
      <c r="K4146" s="74">
        <f>VLOOKUP(E4146,DATABASE!C:Q,7,false)</f>
        <v>628000</v>
      </c>
      <c r="L4146" s="74">
        <v>610000.0</v>
      </c>
      <c r="M4146" s="74">
        <f t="shared" si="2"/>
        <v>610000</v>
      </c>
      <c r="N4146" s="74">
        <f t="shared" si="3"/>
        <v>180000</v>
      </c>
      <c r="O4146" s="65" t="str">
        <f>VLOOKUP(E4146,DATABASE!C:Q,8,false)</f>
        <v>IBU</v>
      </c>
      <c r="P4146" s="65">
        <f>VLOOKUP(E4146,DATABASE!C:Q,9,False)</f>
        <v>1</v>
      </c>
      <c r="Q4146" s="93" t="str">
        <f>VLOOKUP(E4146,DATABASE!C:Q,4,false)</f>
        <v>Dunlop</v>
      </c>
      <c r="R4146" s="93" t="str">
        <f>VLOOKUP(E4146,DATABASE!C:Q,11,false)</f>
        <v>Tire</v>
      </c>
    </row>
    <row r="4147" ht="22.5" customHeight="1">
      <c r="A4147" s="49"/>
      <c r="C4147" s="384">
        <v>45884.0</v>
      </c>
      <c r="D4147" s="65">
        <v>6834.0</v>
      </c>
      <c r="E4147" s="445" t="s">
        <v>262</v>
      </c>
      <c r="F4147" s="386">
        <v>1.0</v>
      </c>
      <c r="G4147" s="74">
        <v>110000.0</v>
      </c>
      <c r="H4147" s="74">
        <v>0.0</v>
      </c>
      <c r="I4147" s="74">
        <f t="shared" si="1"/>
        <v>110000</v>
      </c>
      <c r="J4147" s="74">
        <f>IF(E4147="SERVICE",I4147-(I4147*50%),Vlookup(E4147,DATABASE!C:Q,10,false)*F4147)</f>
        <v>5000</v>
      </c>
      <c r="K4147" s="74">
        <f>VLOOKUP(E4147,DATABASE!C:Q,7,false)</f>
        <v>0</v>
      </c>
      <c r="L4147" s="74">
        <v>0.0</v>
      </c>
      <c r="M4147" s="74">
        <f t="shared" si="2"/>
        <v>0</v>
      </c>
      <c r="N4147" s="74">
        <f t="shared" si="3"/>
        <v>105000</v>
      </c>
      <c r="O4147" s="65" t="str">
        <f>VLOOKUP(E4147,DATABASE!C:Q,8,false)</f>
        <v>IBU</v>
      </c>
      <c r="P4147" s="65">
        <f>VLOOKUP(E4147,DATABASE!C:Q,9,False)</f>
        <v>0</v>
      </c>
      <c r="Q4147" s="93" t="str">
        <f>VLOOKUP(E4147,DATABASE!C:Q,4,false)</f>
        <v>SPOORING SS/CARRY LOS BAK</v>
      </c>
      <c r="R4147" s="93" t="str">
        <f>VLOOKUP(E4147,DATABASE!C:Q,11,false)</f>
        <v>SERVICE</v>
      </c>
    </row>
    <row r="4148" ht="22.5" customHeight="1">
      <c r="A4148" s="49"/>
      <c r="C4148" s="384">
        <v>45884.0</v>
      </c>
      <c r="D4148" s="65">
        <v>6834.0</v>
      </c>
      <c r="E4148" s="445" t="s">
        <v>251</v>
      </c>
      <c r="F4148" s="386">
        <v>1.0</v>
      </c>
      <c r="G4148" s="74">
        <v>150000.0</v>
      </c>
      <c r="H4148" s="74">
        <v>0.0</v>
      </c>
      <c r="I4148" s="74">
        <f t="shared" si="1"/>
        <v>150000</v>
      </c>
      <c r="J4148" s="74">
        <f>IF(E4148="SERVICE",I4148-(I4148*50%),Vlookup(E4148,DATABASE!C:Q,10,false)*F4148)</f>
        <v>75000</v>
      </c>
      <c r="K4148" s="74">
        <f>VLOOKUP(E4148,DATABASE!C:Q,7,false)</f>
        <v>0</v>
      </c>
      <c r="L4148" s="74">
        <v>0.0</v>
      </c>
      <c r="M4148" s="74">
        <f t="shared" si="2"/>
        <v>0</v>
      </c>
      <c r="N4148" s="74">
        <f t="shared" si="3"/>
        <v>75000</v>
      </c>
      <c r="O4148" s="65" t="str">
        <f>VLOOKUP(E4148,DATABASE!C:Q,8,false)</f>
        <v>IBU</v>
      </c>
      <c r="P4148" s="65">
        <f>VLOOKUP(E4148,DATABASE!C:Q,9,False)</f>
        <v>0</v>
      </c>
      <c r="Q4148" s="93" t="str">
        <f>VLOOKUP(E4148,DATABASE!C:Q,4,false)</f>
        <v>SERVICE</v>
      </c>
      <c r="R4148" s="93" t="str">
        <f>VLOOKUP(E4148,DATABASE!C:Q,11,false)</f>
        <v>SERVICE</v>
      </c>
    </row>
    <row r="4149" ht="22.5" customHeight="1">
      <c r="A4149" s="49"/>
      <c r="C4149" s="384">
        <v>45884.0</v>
      </c>
      <c r="D4149" s="65">
        <v>6835.0</v>
      </c>
      <c r="E4149" s="385" t="s">
        <v>299</v>
      </c>
      <c r="F4149" s="386">
        <v>4.0</v>
      </c>
      <c r="G4149" s="74">
        <v>25000.0</v>
      </c>
      <c r="H4149" s="74">
        <v>0.0</v>
      </c>
      <c r="I4149" s="74">
        <f t="shared" si="1"/>
        <v>100000</v>
      </c>
      <c r="J4149" s="74">
        <f>IF(E4149="SERVICE",I4149-(I4149*50%),Vlookup(E4149,DATABASE!C:Q,10,false)*F4149)</f>
        <v>0</v>
      </c>
      <c r="K4149" s="74">
        <v>0.0</v>
      </c>
      <c r="L4149" s="74">
        <v>0.0</v>
      </c>
      <c r="M4149" s="74">
        <f t="shared" si="2"/>
        <v>0</v>
      </c>
      <c r="N4149" s="74">
        <f t="shared" si="3"/>
        <v>100000</v>
      </c>
      <c r="O4149" s="65" t="str">
        <f>VLOOKUP(E4149,DATABASE!C:Q,8,false)</f>
        <v>BIAN</v>
      </c>
      <c r="P4149" s="65">
        <f>VLOOKUP(E4149,DATABASE!C:Q,9,False)</f>
        <v>0</v>
      </c>
      <c r="Q4149" s="93" t="str">
        <f>VLOOKUP(E4149,DATABASE!C:Q,4,false)</f>
        <v>Balancing</v>
      </c>
      <c r="R4149" s="93" t="str">
        <f>VLOOKUP(E4149,DATABASE!C:Q,11,false)</f>
        <v>COMPLEMENTARY</v>
      </c>
    </row>
    <row r="4150" ht="22.5" customHeight="1">
      <c r="A4150" s="49"/>
      <c r="C4150" s="384">
        <v>45884.0</v>
      </c>
      <c r="D4150" s="65">
        <v>6836.0</v>
      </c>
      <c r="E4150" s="445" t="s">
        <v>569</v>
      </c>
      <c r="F4150" s="386">
        <v>1.0</v>
      </c>
      <c r="G4150" s="74">
        <v>80000.0</v>
      </c>
      <c r="H4150" s="74">
        <v>0.0</v>
      </c>
      <c r="I4150" s="74">
        <f t="shared" si="1"/>
        <v>80000</v>
      </c>
      <c r="J4150" s="74">
        <f>IF(E4150="SERVICE",I4150-(I4150*50%),Vlookup(E4150,DATABASE!C:Q,10,false)*F4150)</f>
        <v>0</v>
      </c>
      <c r="K4150" s="74">
        <f>VLOOKUP(E4150,DATABASE!C:Q,7,false)</f>
        <v>45439.582</v>
      </c>
      <c r="L4150" s="74">
        <v>45309.6</v>
      </c>
      <c r="M4150" s="74">
        <f t="shared" si="2"/>
        <v>50000</v>
      </c>
      <c r="N4150" s="74">
        <f t="shared" si="3"/>
        <v>30000</v>
      </c>
      <c r="O4150" s="65" t="str">
        <f>VLOOKUP(E4150,DATABASE!C:Q,8,false)</f>
        <v>BIAN</v>
      </c>
      <c r="P4150" s="65">
        <f>VLOOKUP(E4150,DATABASE!C:Q,9,False)</f>
        <v>1</v>
      </c>
      <c r="Q4150" s="93" t="str">
        <f>VLOOKUP(E4150,DATABASE!C:Q,4,false)</f>
        <v>BD</v>
      </c>
      <c r="R4150" s="93" t="str">
        <f>VLOOKUP(E4150,DATABASE!C:Q,11,false)</f>
        <v>Tire</v>
      </c>
    </row>
    <row r="4151" ht="22.5" customHeight="1">
      <c r="A4151" s="49"/>
      <c r="C4151" s="384">
        <v>45884.0</v>
      </c>
      <c r="D4151" s="65">
        <v>6837.0</v>
      </c>
      <c r="E4151" s="445" t="s">
        <v>246</v>
      </c>
      <c r="F4151" s="386">
        <v>2.0</v>
      </c>
      <c r="G4151" s="74">
        <v>20000.0</v>
      </c>
      <c r="H4151" s="74">
        <v>0.0</v>
      </c>
      <c r="I4151" s="74">
        <f t="shared" si="1"/>
        <v>40000</v>
      </c>
      <c r="J4151" s="74">
        <f>IF(E4151="SERVICE",I4151-(I4151*50%),Vlookup(E4151,DATABASE!C:Q,10,false)*F4151)</f>
        <v>0</v>
      </c>
      <c r="K4151" s="74">
        <f>VLOOKUP(E4151,DATABASE!C:Q,7,false)</f>
        <v>0</v>
      </c>
      <c r="L4151" s="74">
        <v>0.0</v>
      </c>
      <c r="M4151" s="74">
        <f t="shared" si="2"/>
        <v>0</v>
      </c>
      <c r="N4151" s="74">
        <f t="shared" si="3"/>
        <v>40000</v>
      </c>
      <c r="O4151" s="65" t="str">
        <f>VLOOKUP(E4151,DATABASE!C:Q,8,false)</f>
        <v>IBU</v>
      </c>
      <c r="P4151" s="65">
        <f>VLOOKUP(E4151,DATABASE!C:Q,9,False)</f>
        <v>0</v>
      </c>
      <c r="Q4151" s="93" t="str">
        <f>VLOOKUP(E4151,DATABASE!C:Q,4,false)</f>
        <v>Bongkar Pasang</v>
      </c>
      <c r="R4151" s="93" t="str">
        <f>VLOOKUP(E4151,DATABASE!C:Q,11,false)</f>
        <v>SERVICE</v>
      </c>
    </row>
    <row r="4152" ht="22.5" customHeight="1">
      <c r="A4152" s="49"/>
      <c r="C4152" s="384">
        <v>45885.0</v>
      </c>
      <c r="D4152" s="65">
        <v>6839.0</v>
      </c>
      <c r="E4152" s="445" t="s">
        <v>256</v>
      </c>
      <c r="F4152" s="386">
        <v>1.0</v>
      </c>
      <c r="G4152" s="74">
        <v>130000.0</v>
      </c>
      <c r="H4152" s="74">
        <v>0.0</v>
      </c>
      <c r="I4152" s="74">
        <f t="shared" si="1"/>
        <v>130000</v>
      </c>
      <c r="J4152" s="74">
        <f>IF(E4152="SERVICE",I4152-(I4152*50%),Vlookup(E4152,DATABASE!C:Q,10,false)*F4152)</f>
        <v>10000</v>
      </c>
      <c r="K4152" s="74">
        <f>VLOOKUP(E4152,DATABASE!C:Q,7,false)</f>
        <v>0</v>
      </c>
      <c r="L4152" s="74">
        <v>0.0</v>
      </c>
      <c r="M4152" s="74">
        <f t="shared" si="2"/>
        <v>0</v>
      </c>
      <c r="N4152" s="74">
        <f t="shared" si="3"/>
        <v>120000</v>
      </c>
      <c r="O4152" s="65" t="str">
        <f>VLOOKUP(E4152,DATABASE!C:Q,8,false)</f>
        <v>IBU</v>
      </c>
      <c r="P4152" s="65">
        <f>VLOOKUP(E4152,DATABASE!C:Q,9,False)</f>
        <v>0</v>
      </c>
      <c r="Q4152" s="93" t="str">
        <f>VLOOKUP(E4152,DATABASE!C:Q,4,false)</f>
        <v>SPOORING</v>
      </c>
      <c r="R4152" s="93" t="str">
        <f>VLOOKUP(E4152,DATABASE!C:Q,11,false)</f>
        <v>SERVICE</v>
      </c>
    </row>
    <row r="4153" ht="22.5" customHeight="1">
      <c r="A4153" s="49"/>
      <c r="C4153" s="384">
        <v>45885.0</v>
      </c>
      <c r="D4153" s="65">
        <v>6839.0</v>
      </c>
      <c r="E4153" s="445" t="s">
        <v>301</v>
      </c>
      <c r="F4153" s="386">
        <v>1.0</v>
      </c>
      <c r="G4153" s="74">
        <v>250000.0</v>
      </c>
      <c r="H4153" s="74">
        <v>0.0</v>
      </c>
      <c r="I4153" s="74">
        <f t="shared" si="1"/>
        <v>250000</v>
      </c>
      <c r="J4153" s="74">
        <f>IF(E4153="SERVICE",I4153-(I4153*50%),Vlookup(E4153,DATABASE!C:Q,10,false)*F4153)</f>
        <v>75000</v>
      </c>
      <c r="K4153" s="74">
        <f>VLOOKUP(E4153,DATABASE!C:Q,7,false)</f>
        <v>75000</v>
      </c>
      <c r="L4153" s="74">
        <v>75000.0</v>
      </c>
      <c r="M4153" s="74">
        <f t="shared" si="2"/>
        <v>75000</v>
      </c>
      <c r="N4153" s="74">
        <f t="shared" si="3"/>
        <v>100000</v>
      </c>
      <c r="O4153" s="65" t="str">
        <f>VLOOKUP(E4153,DATABASE!C:Q,8,false)</f>
        <v>BIAN</v>
      </c>
      <c r="P4153" s="65">
        <f>VLOOKUP(E4153,DATABASE!C:Q,9,False)</f>
        <v>0</v>
      </c>
      <c r="Q4153" s="93" t="str">
        <f>VLOOKUP(E4153,DATABASE!C:Q,4,false)</f>
        <v>Baut Camber</v>
      </c>
      <c r="R4153" s="93" t="str">
        <f>VLOOKUP(E4153,DATABASE!C:Q,11,false)</f>
        <v>COMPLEMENTARY</v>
      </c>
    </row>
    <row r="4154" ht="22.5" customHeight="1">
      <c r="A4154" s="49"/>
      <c r="C4154" s="384">
        <v>45885.0</v>
      </c>
      <c r="D4154" s="65">
        <v>6840.0</v>
      </c>
      <c r="E4154" s="445" t="s">
        <v>256</v>
      </c>
      <c r="F4154" s="386">
        <v>1.0</v>
      </c>
      <c r="G4154" s="74">
        <v>130000.0</v>
      </c>
      <c r="H4154" s="74">
        <v>0.0</v>
      </c>
      <c r="I4154" s="74">
        <f t="shared" si="1"/>
        <v>130000</v>
      </c>
      <c r="J4154" s="74">
        <f>IF(E4154="SERVICE",I4154-(I4154*50%),Vlookup(E4154,DATABASE!C:Q,10,false)*F4154)</f>
        <v>10000</v>
      </c>
      <c r="K4154" s="74">
        <f>VLOOKUP(E4154,DATABASE!C:Q,7,false)</f>
        <v>0</v>
      </c>
      <c r="L4154" s="74">
        <v>0.0</v>
      </c>
      <c r="M4154" s="74">
        <f t="shared" si="2"/>
        <v>0</v>
      </c>
      <c r="N4154" s="74">
        <f t="shared" si="3"/>
        <v>120000</v>
      </c>
      <c r="O4154" s="65" t="str">
        <f>VLOOKUP(E4154,DATABASE!C:Q,8,false)</f>
        <v>IBU</v>
      </c>
      <c r="P4154" s="65">
        <f>VLOOKUP(E4154,DATABASE!C:Q,9,False)</f>
        <v>0</v>
      </c>
      <c r="Q4154" s="93" t="str">
        <f>VLOOKUP(E4154,DATABASE!C:Q,4,false)</f>
        <v>SPOORING</v>
      </c>
      <c r="R4154" s="93" t="str">
        <f>VLOOKUP(E4154,DATABASE!C:Q,11,false)</f>
        <v>SERVICE</v>
      </c>
    </row>
    <row r="4155" ht="22.5" customHeight="1">
      <c r="A4155" s="49"/>
      <c r="C4155" s="384">
        <v>45885.0</v>
      </c>
      <c r="D4155" s="65">
        <v>6840.0</v>
      </c>
      <c r="E4155" s="445" t="s">
        <v>301</v>
      </c>
      <c r="F4155" s="386">
        <v>1.0</v>
      </c>
      <c r="G4155" s="74">
        <v>250000.0</v>
      </c>
      <c r="H4155" s="74">
        <v>0.0</v>
      </c>
      <c r="I4155" s="74">
        <f t="shared" si="1"/>
        <v>250000</v>
      </c>
      <c r="J4155" s="74">
        <f>IF(E4155="SERVICE",I4155-(I4155*50%),Vlookup(E4155,DATABASE!C:Q,10,false)*F4155)</f>
        <v>75000</v>
      </c>
      <c r="K4155" s="74">
        <f>VLOOKUP(E4155,DATABASE!C:Q,7,false)</f>
        <v>75000</v>
      </c>
      <c r="L4155" s="74">
        <v>75000.0</v>
      </c>
      <c r="M4155" s="74">
        <f t="shared" si="2"/>
        <v>75000</v>
      </c>
      <c r="N4155" s="74">
        <f t="shared" si="3"/>
        <v>100000</v>
      </c>
      <c r="O4155" s="65" t="str">
        <f>VLOOKUP(E4155,DATABASE!C:Q,8,false)</f>
        <v>BIAN</v>
      </c>
      <c r="P4155" s="65">
        <f>VLOOKUP(E4155,DATABASE!C:Q,9,False)</f>
        <v>0</v>
      </c>
      <c r="Q4155" s="93" t="str">
        <f>VLOOKUP(E4155,DATABASE!C:Q,4,false)</f>
        <v>Baut Camber</v>
      </c>
      <c r="R4155" s="93" t="str">
        <f>VLOOKUP(E4155,DATABASE!C:Q,11,false)</f>
        <v>COMPLEMENTARY</v>
      </c>
    </row>
    <row r="4156" ht="22.5" customHeight="1">
      <c r="A4156" s="49"/>
      <c r="C4156" s="384">
        <v>45885.0</v>
      </c>
      <c r="D4156" s="65">
        <v>6841.0</v>
      </c>
      <c r="E4156" s="445" t="s">
        <v>2019</v>
      </c>
      <c r="F4156" s="386">
        <v>2.0</v>
      </c>
      <c r="G4156" s="74">
        <v>670000.0</v>
      </c>
      <c r="H4156" s="74">
        <v>0.0</v>
      </c>
      <c r="I4156" s="74">
        <f t="shared" si="1"/>
        <v>1340000</v>
      </c>
      <c r="J4156" s="74">
        <f>IF(E4156="SERVICE",I4156-(I4156*50%),Vlookup(E4156,DATABASE!C:Q,10,false)*F4156)</f>
        <v>0</v>
      </c>
      <c r="K4156" s="74">
        <f>VLOOKUP(E4156,DATABASE!C:Q,7,false)</f>
        <v>620000</v>
      </c>
      <c r="L4156" s="74">
        <v>585000.0</v>
      </c>
      <c r="M4156" s="74">
        <f t="shared" si="2"/>
        <v>585000</v>
      </c>
      <c r="N4156" s="74">
        <f t="shared" si="3"/>
        <v>170000</v>
      </c>
      <c r="O4156" s="65" t="str">
        <f>VLOOKUP(E4156,DATABASE!C:Q,8,false)</f>
        <v>BIAN</v>
      </c>
      <c r="P4156" s="65">
        <f>VLOOKUP(E4156,DATABASE!C:Q,9,False)</f>
        <v>1</v>
      </c>
      <c r="Q4156" s="93" t="str">
        <f>VLOOKUP(E4156,DATABASE!C:Q,4,false)</f>
        <v>GT</v>
      </c>
      <c r="R4156" s="93" t="str">
        <f>VLOOKUP(E4156,DATABASE!C:Q,11,false)</f>
        <v>Tire</v>
      </c>
    </row>
    <row r="4157" ht="22.5" customHeight="1">
      <c r="A4157" s="49"/>
      <c r="C4157" s="384">
        <v>45885.0</v>
      </c>
      <c r="D4157" s="65">
        <v>6841.0</v>
      </c>
      <c r="E4157" s="445" t="s">
        <v>613</v>
      </c>
      <c r="F4157" s="386">
        <v>2.0</v>
      </c>
      <c r="G4157" s="74">
        <v>95000.0</v>
      </c>
      <c r="H4157" s="74">
        <v>0.0</v>
      </c>
      <c r="I4157" s="74">
        <f t="shared" si="1"/>
        <v>190000</v>
      </c>
      <c r="J4157" s="74">
        <f>IF(E4157="SERVICE",I4157-(I4157*50%),Vlookup(E4157,DATABASE!C:Q,10,false)*F4157)</f>
        <v>0</v>
      </c>
      <c r="K4157" s="74">
        <f>VLOOKUP(E4157,DATABASE!C:Q,7,false)</f>
        <v>58371.2695</v>
      </c>
      <c r="L4157" s="74">
        <v>55000.0</v>
      </c>
      <c r="M4157" s="74">
        <f t="shared" si="2"/>
        <v>55000</v>
      </c>
      <c r="N4157" s="74">
        <f t="shared" si="3"/>
        <v>80000</v>
      </c>
      <c r="O4157" s="65" t="str">
        <f>VLOOKUP(E4157,DATABASE!C:Q,8,false)</f>
        <v>BIAN</v>
      </c>
      <c r="P4157" s="65">
        <f>VLOOKUP(E4157,DATABASE!C:Q,9,False)</f>
        <v>1</v>
      </c>
      <c r="Q4157" s="93" t="str">
        <f>VLOOKUP(E4157,DATABASE!C:Q,4,false)</f>
        <v>BD</v>
      </c>
      <c r="R4157" s="93" t="str">
        <f>VLOOKUP(E4157,DATABASE!C:Q,11,false)</f>
        <v>Tire</v>
      </c>
    </row>
    <row r="4158" ht="22.5" customHeight="1">
      <c r="A4158" s="49"/>
      <c r="C4158" s="384">
        <v>45885.0</v>
      </c>
      <c r="D4158" s="65">
        <v>6842.0</v>
      </c>
      <c r="E4158" s="445" t="s">
        <v>246</v>
      </c>
      <c r="F4158" s="386">
        <v>2.0</v>
      </c>
      <c r="G4158" s="74">
        <v>30000.0</v>
      </c>
      <c r="H4158" s="74">
        <v>0.0</v>
      </c>
      <c r="I4158" s="74">
        <f t="shared" si="1"/>
        <v>60000</v>
      </c>
      <c r="J4158" s="74">
        <f>IF(E4158="SERVICE",I4158-(I4158*50%),Vlookup(E4158,DATABASE!C:Q,10,false)*F4158)</f>
        <v>0</v>
      </c>
      <c r="K4158" s="74">
        <f>VLOOKUP(E4158,DATABASE!C:Q,7,false)</f>
        <v>0</v>
      </c>
      <c r="L4158" s="74">
        <v>0.0</v>
      </c>
      <c r="M4158" s="74">
        <f t="shared" si="2"/>
        <v>0</v>
      </c>
      <c r="N4158" s="74">
        <f t="shared" si="3"/>
        <v>60000</v>
      </c>
      <c r="O4158" s="65" t="str">
        <f>VLOOKUP(E4158,DATABASE!C:Q,8,false)</f>
        <v>IBU</v>
      </c>
      <c r="P4158" s="65">
        <f>VLOOKUP(E4158,DATABASE!C:Q,9,False)</f>
        <v>0</v>
      </c>
      <c r="Q4158" s="93" t="str">
        <f>VLOOKUP(E4158,DATABASE!C:Q,4,false)</f>
        <v>Bongkar Pasang</v>
      </c>
      <c r="R4158" s="93" t="str">
        <f>VLOOKUP(E4158,DATABASE!C:Q,11,false)</f>
        <v>SERVICE</v>
      </c>
    </row>
    <row r="4159" ht="22.5" customHeight="1">
      <c r="A4159" s="49"/>
      <c r="C4159" s="384">
        <v>45885.0</v>
      </c>
      <c r="D4159" s="65">
        <v>6843.0</v>
      </c>
      <c r="E4159" s="445" t="s">
        <v>856</v>
      </c>
      <c r="F4159" s="386">
        <v>1.0</v>
      </c>
      <c r="G4159" s="74">
        <v>670000.0</v>
      </c>
      <c r="H4159" s="74">
        <v>0.0</v>
      </c>
      <c r="I4159" s="74">
        <f t="shared" si="1"/>
        <v>670000</v>
      </c>
      <c r="J4159" s="74">
        <f>IF(E4159="SERVICE",I4159-(I4159*50%),Vlookup(E4159,DATABASE!C:Q,10,false)*F4159)</f>
        <v>0</v>
      </c>
      <c r="K4159" s="74">
        <f>VLOOKUP(E4159,DATABASE!C:Q,7,false)</f>
        <v>615300</v>
      </c>
      <c r="L4159" s="74">
        <v>581120.0</v>
      </c>
      <c r="M4159" s="74">
        <f t="shared" si="2"/>
        <v>585000</v>
      </c>
      <c r="N4159" s="74">
        <f t="shared" si="3"/>
        <v>85000</v>
      </c>
      <c r="O4159" s="65" t="str">
        <f>VLOOKUP(E4159,DATABASE!C:Q,8,false)</f>
        <v>BIAN</v>
      </c>
      <c r="P4159" s="65">
        <f>VLOOKUP(E4159,DATABASE!C:Q,9,False)</f>
        <v>1</v>
      </c>
      <c r="Q4159" s="93" t="str">
        <f>VLOOKUP(E4159,DATABASE!C:Q,4,false)</f>
        <v>GT</v>
      </c>
      <c r="R4159" s="93" t="str">
        <f>VLOOKUP(E4159,DATABASE!C:Q,11,false)</f>
        <v>Tire</v>
      </c>
    </row>
    <row r="4160" ht="22.5" customHeight="1">
      <c r="A4160" s="49"/>
      <c r="C4160" s="384">
        <v>45885.0</v>
      </c>
      <c r="D4160" s="65">
        <v>6844.0</v>
      </c>
      <c r="E4160" s="445" t="s">
        <v>287</v>
      </c>
      <c r="F4160" s="386">
        <v>1.0</v>
      </c>
      <c r="G4160" s="74">
        <v>770000.0</v>
      </c>
      <c r="H4160" s="74">
        <v>0.0</v>
      </c>
      <c r="I4160" s="74">
        <f t="shared" si="1"/>
        <v>770000</v>
      </c>
      <c r="J4160" s="74">
        <f>IF(E4160="SERVICE",I4160-(I4160*50%),Vlookup(E4160,DATABASE!C:Q,10,false)*F4160)</f>
        <v>0</v>
      </c>
      <c r="K4160" s="74">
        <f>VLOOKUP(E4160,DATABASE!C:Q,7,false)</f>
        <v>711000</v>
      </c>
      <c r="L4160" s="74">
        <v>690600.0</v>
      </c>
      <c r="M4160" s="74">
        <f t="shared" si="2"/>
        <v>695000</v>
      </c>
      <c r="N4160" s="74">
        <f t="shared" si="3"/>
        <v>75000</v>
      </c>
      <c r="O4160" s="65" t="str">
        <f>VLOOKUP(E4160,DATABASE!C:Q,8,false)</f>
        <v>BIAN</v>
      </c>
      <c r="P4160" s="65">
        <f>VLOOKUP(E4160,DATABASE!C:Q,9,False)</f>
        <v>1</v>
      </c>
      <c r="Q4160" s="93" t="str">
        <f>VLOOKUP(E4160,DATABASE!C:Q,4,false)</f>
        <v>GT</v>
      </c>
      <c r="R4160" s="93" t="str">
        <f>VLOOKUP(E4160,DATABASE!C:Q,11,false)</f>
        <v>Tire</v>
      </c>
    </row>
    <row r="4161" ht="22.5" customHeight="1">
      <c r="A4161" s="49"/>
      <c r="C4161" s="384">
        <v>45885.0</v>
      </c>
      <c r="D4161" s="65">
        <v>6844.0</v>
      </c>
      <c r="E4161" s="445" t="s">
        <v>256</v>
      </c>
      <c r="F4161" s="386">
        <v>1.0</v>
      </c>
      <c r="G4161" s="74">
        <v>130000.0</v>
      </c>
      <c r="H4161" s="74">
        <v>0.0</v>
      </c>
      <c r="I4161" s="74">
        <f t="shared" si="1"/>
        <v>130000</v>
      </c>
      <c r="J4161" s="74">
        <f>IF(E4161="SERVICE",I4161-(I4161*50%),Vlookup(E4161,DATABASE!C:Q,10,false)*F4161)</f>
        <v>10000</v>
      </c>
      <c r="K4161" s="74">
        <f>VLOOKUP(E4161,DATABASE!C:Q,7,false)</f>
        <v>0</v>
      </c>
      <c r="L4161" s="74">
        <v>0.0</v>
      </c>
      <c r="M4161" s="74">
        <f t="shared" si="2"/>
        <v>0</v>
      </c>
      <c r="N4161" s="74">
        <f t="shared" si="3"/>
        <v>120000</v>
      </c>
      <c r="O4161" s="65" t="str">
        <f>VLOOKUP(E4161,DATABASE!C:Q,8,false)</f>
        <v>IBU</v>
      </c>
      <c r="P4161" s="65">
        <f>VLOOKUP(E4161,DATABASE!C:Q,9,False)</f>
        <v>0</v>
      </c>
      <c r="Q4161" s="93" t="str">
        <f>VLOOKUP(E4161,DATABASE!C:Q,4,false)</f>
        <v>SPOORING</v>
      </c>
      <c r="R4161" s="93" t="str">
        <f>VLOOKUP(E4161,DATABASE!C:Q,11,false)</f>
        <v>SERVICE</v>
      </c>
    </row>
    <row r="4162" ht="22.5" customHeight="1">
      <c r="A4162" s="49"/>
      <c r="C4162" s="384">
        <v>45885.0</v>
      </c>
      <c r="D4162" s="65">
        <v>6845.0</v>
      </c>
      <c r="E4162" s="445" t="s">
        <v>1278</v>
      </c>
      <c r="F4162" s="386">
        <v>2.0</v>
      </c>
      <c r="G4162" s="74">
        <v>1575000.0</v>
      </c>
      <c r="H4162" s="74">
        <v>0.0</v>
      </c>
      <c r="I4162" s="74">
        <f t="shared" si="1"/>
        <v>3150000</v>
      </c>
      <c r="J4162" s="74">
        <f>IF(E4162="SERVICE",I4162-(I4162*50%),Vlookup(E4162,DATABASE!C:Q,10,false)*F4162)</f>
        <v>0</v>
      </c>
      <c r="K4162" s="74">
        <f>VLOOKUP(E4162,DATABASE!C:Q,7,false)</f>
        <v>1466393.5</v>
      </c>
      <c r="L4162" s="74">
        <v>1466393.5</v>
      </c>
      <c r="M4162" s="74">
        <f t="shared" si="2"/>
        <v>1470000</v>
      </c>
      <c r="N4162" s="74">
        <f t="shared" si="3"/>
        <v>210000</v>
      </c>
      <c r="O4162" s="65" t="str">
        <f>VLOOKUP(E4162,DATABASE!C:Q,8,false)</f>
        <v>IBU</v>
      </c>
      <c r="P4162" s="65">
        <f>VLOOKUP(E4162,DATABASE!C:Q,9,False)</f>
        <v>1</v>
      </c>
      <c r="Q4162" s="93" t="str">
        <f>VLOOKUP(E4162,DATABASE!C:Q,4,false)</f>
        <v>Bridgestone</v>
      </c>
      <c r="R4162" s="93" t="str">
        <f>VLOOKUP(E4162,DATABASE!C:Q,11,false)</f>
        <v>Tire</v>
      </c>
    </row>
    <row r="4163" ht="22.5" customHeight="1">
      <c r="A4163" s="49"/>
      <c r="C4163" s="384">
        <v>45885.0</v>
      </c>
      <c r="D4163" s="65">
        <v>6846.0</v>
      </c>
      <c r="E4163" s="445" t="s">
        <v>268</v>
      </c>
      <c r="F4163" s="386">
        <v>2.0</v>
      </c>
      <c r="G4163" s="74">
        <v>720000.0</v>
      </c>
      <c r="H4163" s="74">
        <v>0.0</v>
      </c>
      <c r="I4163" s="74">
        <f t="shared" si="1"/>
        <v>1440000</v>
      </c>
      <c r="J4163" s="74">
        <f>IF(E4163="SERVICE",I4163-(I4163*50%),Vlookup(E4163,DATABASE!C:Q,10,false)*F4163)</f>
        <v>0</v>
      </c>
      <c r="K4163" s="74">
        <f>VLOOKUP(E4163,DATABASE!C:Q,7,false)</f>
        <v>653000</v>
      </c>
      <c r="L4163" s="74">
        <v>622000.0</v>
      </c>
      <c r="M4163" s="74">
        <f t="shared" si="2"/>
        <v>625000</v>
      </c>
      <c r="N4163" s="74">
        <f t="shared" si="3"/>
        <v>190000</v>
      </c>
      <c r="O4163" s="65" t="str">
        <f>VLOOKUP(E4163,DATABASE!C:Q,8,false)</f>
        <v>IBU</v>
      </c>
      <c r="P4163" s="65">
        <f>VLOOKUP(E4163,DATABASE!C:Q,9,False)</f>
        <v>1</v>
      </c>
      <c r="Q4163" s="93" t="str">
        <f>VLOOKUP(E4163,DATABASE!C:Q,4,false)</f>
        <v>Dunlop</v>
      </c>
      <c r="R4163" s="93" t="str">
        <f>VLOOKUP(E4163,DATABASE!C:Q,11,false)</f>
        <v>Tire</v>
      </c>
    </row>
    <row r="4164" ht="22.5" customHeight="1">
      <c r="A4164" s="49"/>
      <c r="C4164" s="384">
        <v>45885.0</v>
      </c>
      <c r="D4164" s="65">
        <v>6847.0</v>
      </c>
      <c r="E4164" s="445" t="s">
        <v>1439</v>
      </c>
      <c r="F4164" s="386">
        <v>1.0</v>
      </c>
      <c r="G4164" s="74">
        <v>630000.0</v>
      </c>
      <c r="H4164" s="74">
        <v>0.0</v>
      </c>
      <c r="I4164" s="74">
        <f t="shared" si="1"/>
        <v>630000</v>
      </c>
      <c r="J4164" s="74">
        <f>IF(E4164="SERVICE",I4164-(I4164*50%),Vlookup(E4164,DATABASE!C:Q,10,false)*F4164)</f>
        <v>0</v>
      </c>
      <c r="K4164" s="74">
        <f>VLOOKUP(E4164,DATABASE!C:Q,7,false)</f>
        <v>556800</v>
      </c>
      <c r="L4164" s="74">
        <v>540800.0</v>
      </c>
      <c r="M4164" s="74">
        <f t="shared" si="2"/>
        <v>545000</v>
      </c>
      <c r="N4164" s="74">
        <f t="shared" si="3"/>
        <v>85000</v>
      </c>
      <c r="O4164" s="65" t="str">
        <f>VLOOKUP(E4164,DATABASE!C:Q,8,false)</f>
        <v>BIAN</v>
      </c>
      <c r="P4164" s="65">
        <f>VLOOKUP(E4164,DATABASE!C:Q,9,False)</f>
        <v>1</v>
      </c>
      <c r="Q4164" s="93" t="str">
        <f>VLOOKUP(E4164,DATABASE!C:Q,4,false)</f>
        <v>GT</v>
      </c>
      <c r="R4164" s="93" t="str">
        <f>VLOOKUP(E4164,DATABASE!C:Q,11,false)</f>
        <v>Tire</v>
      </c>
    </row>
    <row r="4165" ht="22.5" customHeight="1">
      <c r="A4165" s="49"/>
      <c r="C4165" s="384">
        <v>45885.0</v>
      </c>
      <c r="D4165" s="65">
        <v>6848.0</v>
      </c>
      <c r="E4165" s="445" t="s">
        <v>256</v>
      </c>
      <c r="F4165" s="386">
        <v>1.0</v>
      </c>
      <c r="G4165" s="74">
        <v>130000.0</v>
      </c>
      <c r="H4165" s="74">
        <v>0.0</v>
      </c>
      <c r="I4165" s="74">
        <f t="shared" si="1"/>
        <v>130000</v>
      </c>
      <c r="J4165" s="74">
        <f>IF(E4165="SERVICE",I4165-(I4165*50%),Vlookup(E4165,DATABASE!C:Q,10,false)*F4165)</f>
        <v>10000</v>
      </c>
      <c r="K4165" s="74">
        <f>VLOOKUP(E4165,DATABASE!C:Q,7,false)</f>
        <v>0</v>
      </c>
      <c r="L4165" s="74">
        <v>0.0</v>
      </c>
      <c r="M4165" s="74">
        <f t="shared" si="2"/>
        <v>0</v>
      </c>
      <c r="N4165" s="74">
        <f t="shared" si="3"/>
        <v>120000</v>
      </c>
      <c r="O4165" s="65" t="str">
        <f>VLOOKUP(E4165,DATABASE!C:Q,8,false)</f>
        <v>IBU</v>
      </c>
      <c r="P4165" s="65">
        <f>VLOOKUP(E4165,DATABASE!C:Q,9,False)</f>
        <v>0</v>
      </c>
      <c r="Q4165" s="93" t="str">
        <f>VLOOKUP(E4165,DATABASE!C:Q,4,false)</f>
        <v>SPOORING</v>
      </c>
      <c r="R4165" s="93" t="str">
        <f>VLOOKUP(E4165,DATABASE!C:Q,11,false)</f>
        <v>SERVICE</v>
      </c>
    </row>
    <row r="4166" ht="22.5" customHeight="1">
      <c r="A4166" s="49"/>
      <c r="C4166" s="384">
        <v>45885.0</v>
      </c>
      <c r="D4166" s="65">
        <v>6848.0</v>
      </c>
      <c r="E4166" s="445" t="s">
        <v>301</v>
      </c>
      <c r="F4166" s="386">
        <v>1.0</v>
      </c>
      <c r="G4166" s="74">
        <v>250000.0</v>
      </c>
      <c r="H4166" s="74">
        <v>0.0</v>
      </c>
      <c r="I4166" s="74">
        <f t="shared" si="1"/>
        <v>250000</v>
      </c>
      <c r="J4166" s="74">
        <f>IF(E4166="SERVICE",I4166-(I4166*50%),Vlookup(E4166,DATABASE!C:Q,10,false)*F4166)</f>
        <v>75000</v>
      </c>
      <c r="K4166" s="74">
        <f>VLOOKUP(E4166,DATABASE!C:Q,7,false)</f>
        <v>75000</v>
      </c>
      <c r="L4166" s="74">
        <v>75000.0</v>
      </c>
      <c r="M4166" s="74">
        <f t="shared" si="2"/>
        <v>75000</v>
      </c>
      <c r="N4166" s="74">
        <f t="shared" si="3"/>
        <v>100000</v>
      </c>
      <c r="O4166" s="65" t="str">
        <f>VLOOKUP(E4166,DATABASE!C:Q,8,false)</f>
        <v>BIAN</v>
      </c>
      <c r="P4166" s="65">
        <f>VLOOKUP(E4166,DATABASE!C:Q,9,False)</f>
        <v>0</v>
      </c>
      <c r="Q4166" s="93" t="str">
        <f>VLOOKUP(E4166,DATABASE!C:Q,4,false)</f>
        <v>Baut Camber</v>
      </c>
      <c r="R4166" s="93" t="str">
        <f>VLOOKUP(E4166,DATABASE!C:Q,11,false)</f>
        <v>COMPLEMENTARY</v>
      </c>
    </row>
    <row r="4167" ht="22.5" customHeight="1">
      <c r="A4167" s="49"/>
      <c r="C4167" s="384">
        <v>45885.0</v>
      </c>
      <c r="D4167" s="65">
        <v>6849.0</v>
      </c>
      <c r="E4167" s="445" t="s">
        <v>275</v>
      </c>
      <c r="F4167" s="386">
        <v>2.0</v>
      </c>
      <c r="G4167" s="74">
        <v>850000.0</v>
      </c>
      <c r="H4167" s="74">
        <v>0.0</v>
      </c>
      <c r="I4167" s="74">
        <f t="shared" si="1"/>
        <v>1700000</v>
      </c>
      <c r="J4167" s="74">
        <f>IF(E4167="SERVICE",I4167-(I4167*50%),Vlookup(E4167,DATABASE!C:Q,10,false)*F4167)</f>
        <v>0</v>
      </c>
      <c r="K4167" s="74">
        <f>VLOOKUP(E4167,DATABASE!C:Q,7,false)</f>
        <v>782000</v>
      </c>
      <c r="L4167" s="74">
        <v>745000.0</v>
      </c>
      <c r="M4167" s="74">
        <f t="shared" si="2"/>
        <v>745000</v>
      </c>
      <c r="N4167" s="74">
        <f t="shared" si="3"/>
        <v>210000</v>
      </c>
      <c r="O4167" s="65" t="str">
        <f>VLOOKUP(E4167,DATABASE!C:Q,8,false)</f>
        <v>IBU</v>
      </c>
      <c r="P4167" s="65">
        <f>VLOOKUP(E4167,DATABASE!C:Q,9,False)</f>
        <v>1</v>
      </c>
      <c r="Q4167" s="93" t="str">
        <f>VLOOKUP(E4167,DATABASE!C:Q,4,false)</f>
        <v>Dunlop</v>
      </c>
      <c r="R4167" s="93" t="str">
        <f>VLOOKUP(E4167,DATABASE!C:Q,11,false)</f>
        <v>Tire</v>
      </c>
    </row>
    <row r="4168" ht="22.5" customHeight="1">
      <c r="A4168" s="49"/>
      <c r="C4168" s="384">
        <v>45885.0</v>
      </c>
      <c r="D4168" s="65">
        <v>6849.0</v>
      </c>
      <c r="E4168" s="385" t="s">
        <v>299</v>
      </c>
      <c r="F4168" s="386">
        <v>2.0</v>
      </c>
      <c r="G4168" s="74">
        <v>30000.0</v>
      </c>
      <c r="H4168" s="74">
        <v>0.0</v>
      </c>
      <c r="I4168" s="74">
        <f t="shared" si="1"/>
        <v>60000</v>
      </c>
      <c r="J4168" s="74">
        <f>IF(E4168="SERVICE",I4168-(I4168*50%),Vlookup(E4168,DATABASE!C:Q,10,false)*F4168)</f>
        <v>0</v>
      </c>
      <c r="K4168" s="74">
        <v>0.0</v>
      </c>
      <c r="L4168" s="74">
        <v>0.0</v>
      </c>
      <c r="M4168" s="74">
        <f t="shared" si="2"/>
        <v>0</v>
      </c>
      <c r="N4168" s="74">
        <f t="shared" si="3"/>
        <v>60000</v>
      </c>
      <c r="O4168" s="65" t="str">
        <f>VLOOKUP(E4168,DATABASE!C:Q,8,false)</f>
        <v>BIAN</v>
      </c>
      <c r="P4168" s="65">
        <f>VLOOKUP(E4168,DATABASE!C:Q,9,False)</f>
        <v>0</v>
      </c>
      <c r="Q4168" s="93" t="str">
        <f>VLOOKUP(E4168,DATABASE!C:Q,4,false)</f>
        <v>Balancing</v>
      </c>
      <c r="R4168" s="93" t="str">
        <f>VLOOKUP(E4168,DATABASE!C:Q,11,false)</f>
        <v>COMPLEMENTARY</v>
      </c>
    </row>
    <row r="4169" ht="22.5" customHeight="1">
      <c r="A4169" s="49"/>
      <c r="C4169" s="384">
        <v>45885.0</v>
      </c>
      <c r="D4169" s="65">
        <v>6850.0</v>
      </c>
      <c r="E4169" s="445" t="s">
        <v>1439</v>
      </c>
      <c r="F4169" s="386">
        <v>1.0</v>
      </c>
      <c r="G4169" s="74">
        <v>630000.0</v>
      </c>
      <c r="H4169" s="74">
        <v>0.0</v>
      </c>
      <c r="I4169" s="74">
        <f t="shared" si="1"/>
        <v>630000</v>
      </c>
      <c r="J4169" s="74">
        <f>IF(E4169="SERVICE",I4169-(I4169*50%),Vlookup(E4169,DATABASE!C:Q,10,false)*F4169)</f>
        <v>0</v>
      </c>
      <c r="K4169" s="74">
        <f>VLOOKUP(E4169,DATABASE!C:Q,7,false)</f>
        <v>556800</v>
      </c>
      <c r="L4169" s="74">
        <v>540800.0</v>
      </c>
      <c r="M4169" s="74">
        <f t="shared" si="2"/>
        <v>545000</v>
      </c>
      <c r="N4169" s="74">
        <f t="shared" si="3"/>
        <v>85000</v>
      </c>
      <c r="O4169" s="65" t="str">
        <f>VLOOKUP(E4169,DATABASE!C:Q,8,false)</f>
        <v>BIAN</v>
      </c>
      <c r="P4169" s="65">
        <f>VLOOKUP(E4169,DATABASE!C:Q,9,False)</f>
        <v>1</v>
      </c>
      <c r="Q4169" s="93" t="str">
        <f>VLOOKUP(E4169,DATABASE!C:Q,4,false)</f>
        <v>GT</v>
      </c>
      <c r="R4169" s="93" t="str">
        <f>VLOOKUP(E4169,DATABASE!C:Q,11,false)</f>
        <v>Tire</v>
      </c>
    </row>
    <row r="4170" ht="22.5" customHeight="1">
      <c r="A4170" s="49"/>
      <c r="C4170" s="384">
        <v>45885.0</v>
      </c>
      <c r="D4170" s="65">
        <v>6851.0</v>
      </c>
      <c r="E4170" s="445" t="s">
        <v>268</v>
      </c>
      <c r="F4170" s="386">
        <v>2.0</v>
      </c>
      <c r="G4170" s="74">
        <v>720000.0</v>
      </c>
      <c r="H4170" s="74">
        <v>0.0</v>
      </c>
      <c r="I4170" s="74">
        <f t="shared" si="1"/>
        <v>1440000</v>
      </c>
      <c r="J4170" s="74">
        <f>IF(E4170="SERVICE",I4170-(I4170*50%),Vlookup(E4170,DATABASE!C:Q,10,false)*F4170)</f>
        <v>0</v>
      </c>
      <c r="K4170" s="74">
        <f>VLOOKUP(E4170,DATABASE!C:Q,7,false)</f>
        <v>653000</v>
      </c>
      <c r="L4170" s="74">
        <v>622000.0</v>
      </c>
      <c r="M4170" s="74">
        <f t="shared" si="2"/>
        <v>625000</v>
      </c>
      <c r="N4170" s="74">
        <f t="shared" si="3"/>
        <v>190000</v>
      </c>
      <c r="O4170" s="65" t="str">
        <f>VLOOKUP(E4170,DATABASE!C:Q,8,false)</f>
        <v>IBU</v>
      </c>
      <c r="P4170" s="65">
        <f>VLOOKUP(E4170,DATABASE!C:Q,9,False)</f>
        <v>1</v>
      </c>
      <c r="Q4170" s="93" t="str">
        <f>VLOOKUP(E4170,DATABASE!C:Q,4,false)</f>
        <v>Dunlop</v>
      </c>
      <c r="R4170" s="93" t="str">
        <f>VLOOKUP(E4170,DATABASE!C:Q,11,false)</f>
        <v>Tire</v>
      </c>
    </row>
    <row r="4171" ht="22.5" customHeight="1">
      <c r="A4171" s="49"/>
      <c r="C4171" s="384">
        <v>45885.0</v>
      </c>
      <c r="D4171" s="65">
        <v>6852.0</v>
      </c>
      <c r="E4171" s="445" t="s">
        <v>932</v>
      </c>
      <c r="F4171" s="386">
        <v>1.0</v>
      </c>
      <c r="G4171" s="74">
        <v>700000.0</v>
      </c>
      <c r="H4171" s="74">
        <v>0.0</v>
      </c>
      <c r="I4171" s="74">
        <f t="shared" si="1"/>
        <v>700000</v>
      </c>
      <c r="J4171" s="74">
        <f>IF(E4171="SERVICE",I4171-(I4171*50%),Vlookup(E4171,DATABASE!C:Q,10,false)*F4171)</f>
        <v>0</v>
      </c>
      <c r="K4171" s="74">
        <f>VLOOKUP(E4171,DATABASE!C:Q,7,false)</f>
        <v>601000</v>
      </c>
      <c r="L4171" s="74">
        <v>595000.0</v>
      </c>
      <c r="M4171" s="74">
        <f t="shared" si="2"/>
        <v>595000</v>
      </c>
      <c r="N4171" s="74">
        <f t="shared" si="3"/>
        <v>105000</v>
      </c>
      <c r="O4171" s="65" t="str">
        <f>VLOOKUP(E4171,DATABASE!C:Q,8,false)</f>
        <v>IBU</v>
      </c>
      <c r="P4171" s="65">
        <f>VLOOKUP(E4171,DATABASE!C:Q,9,False)</f>
        <v>1</v>
      </c>
      <c r="Q4171" s="93" t="str">
        <f>VLOOKUP(E4171,DATABASE!C:Q,4,false)</f>
        <v>Dunlop</v>
      </c>
      <c r="R4171" s="93" t="str">
        <f>VLOOKUP(E4171,DATABASE!C:Q,11,false)</f>
        <v>Tire</v>
      </c>
    </row>
    <row r="4172" ht="22.5" customHeight="1">
      <c r="A4172" s="49"/>
      <c r="C4172" s="384">
        <v>45885.0</v>
      </c>
      <c r="D4172" s="65">
        <v>6853.0</v>
      </c>
      <c r="E4172" s="445" t="s">
        <v>262</v>
      </c>
      <c r="F4172" s="386">
        <v>1.0</v>
      </c>
      <c r="G4172" s="74">
        <v>110000.0</v>
      </c>
      <c r="H4172" s="74">
        <v>0.0</v>
      </c>
      <c r="I4172" s="74">
        <f t="shared" si="1"/>
        <v>110000</v>
      </c>
      <c r="J4172" s="74">
        <f>IF(E4172="SERVICE",I4172-(I4172*50%),Vlookup(E4172,DATABASE!C:Q,10,false)*F4172)</f>
        <v>5000</v>
      </c>
      <c r="K4172" s="74">
        <f>VLOOKUP(E4172,DATABASE!C:Q,7,false)</f>
        <v>0</v>
      </c>
      <c r="L4172" s="74">
        <v>0.0</v>
      </c>
      <c r="M4172" s="74">
        <f t="shared" si="2"/>
        <v>0</v>
      </c>
      <c r="N4172" s="74">
        <f t="shared" si="3"/>
        <v>105000</v>
      </c>
      <c r="O4172" s="65" t="str">
        <f>VLOOKUP(E4172,DATABASE!C:Q,8,false)</f>
        <v>IBU</v>
      </c>
      <c r="P4172" s="65">
        <f>VLOOKUP(E4172,DATABASE!C:Q,9,False)</f>
        <v>0</v>
      </c>
      <c r="Q4172" s="93" t="str">
        <f>VLOOKUP(E4172,DATABASE!C:Q,4,false)</f>
        <v>SPOORING SS/CARRY LOS BAK</v>
      </c>
      <c r="R4172" s="93" t="str">
        <f>VLOOKUP(E4172,DATABASE!C:Q,11,false)</f>
        <v>SERVICE</v>
      </c>
    </row>
    <row r="4173" ht="22.5" customHeight="1">
      <c r="A4173" s="49"/>
      <c r="C4173" s="384">
        <v>45885.0</v>
      </c>
      <c r="D4173" s="65">
        <v>6853.0</v>
      </c>
      <c r="E4173" s="445" t="s">
        <v>251</v>
      </c>
      <c r="F4173" s="386">
        <v>1.0</v>
      </c>
      <c r="G4173" s="74">
        <v>150000.0</v>
      </c>
      <c r="H4173" s="74">
        <v>0.0</v>
      </c>
      <c r="I4173" s="74">
        <f t="shared" si="1"/>
        <v>150000</v>
      </c>
      <c r="J4173" s="74">
        <f>IF(E4173="SERVICE",I4173-(I4173*50%),Vlookup(E4173,DATABASE!C:Q,10,false)*F4173)</f>
        <v>75000</v>
      </c>
      <c r="K4173" s="74">
        <f>VLOOKUP(E4173,DATABASE!C:Q,7,false)</f>
        <v>0</v>
      </c>
      <c r="L4173" s="74">
        <v>0.0</v>
      </c>
      <c r="M4173" s="74">
        <f t="shared" si="2"/>
        <v>0</v>
      </c>
      <c r="N4173" s="74">
        <f t="shared" si="3"/>
        <v>75000</v>
      </c>
      <c r="O4173" s="65" t="str">
        <f>VLOOKUP(E4173,DATABASE!C:Q,8,false)</f>
        <v>IBU</v>
      </c>
      <c r="P4173" s="65">
        <f>VLOOKUP(E4173,DATABASE!C:Q,9,False)</f>
        <v>0</v>
      </c>
      <c r="Q4173" s="93" t="str">
        <f>VLOOKUP(E4173,DATABASE!C:Q,4,false)</f>
        <v>SERVICE</v>
      </c>
      <c r="R4173" s="93" t="str">
        <f>VLOOKUP(E4173,DATABASE!C:Q,11,false)</f>
        <v>SERVICE</v>
      </c>
    </row>
    <row r="4174" ht="22.5" customHeight="1">
      <c r="A4174" s="49"/>
      <c r="C4174" s="384">
        <v>45887.0</v>
      </c>
      <c r="D4174" s="65">
        <v>6855.0</v>
      </c>
      <c r="E4174" s="445" t="s">
        <v>1025</v>
      </c>
      <c r="F4174" s="386">
        <v>2.0</v>
      </c>
      <c r="G4174" s="74">
        <v>800000.0</v>
      </c>
      <c r="H4174" s="74">
        <v>0.0</v>
      </c>
      <c r="I4174" s="74">
        <f t="shared" si="1"/>
        <v>1600000</v>
      </c>
      <c r="J4174" s="74">
        <f>IF(E4174="SERVICE",I4174-(I4174*50%),Vlookup(E4174,DATABASE!C:Q,10,false)*F4174)</f>
        <v>0</v>
      </c>
      <c r="K4174" s="74">
        <f>VLOOKUP(E4174,DATABASE!C:Q,7,false)</f>
        <v>683020.8</v>
      </c>
      <c r="L4174" s="74">
        <v>683020.8</v>
      </c>
      <c r="M4174" s="74">
        <f t="shared" si="2"/>
        <v>685000</v>
      </c>
      <c r="N4174" s="74">
        <f t="shared" si="3"/>
        <v>230000</v>
      </c>
      <c r="O4174" s="65" t="str">
        <f>VLOOKUP(E4174,DATABASE!C:Q,8,false)</f>
        <v>IBU</v>
      </c>
      <c r="P4174" s="65">
        <f>VLOOKUP(E4174,DATABASE!C:Q,9,False)</f>
        <v>1</v>
      </c>
      <c r="Q4174" s="93" t="str">
        <f>VLOOKUP(E4174,DATABASE!C:Q,4,false)</f>
        <v>Bridgestone</v>
      </c>
      <c r="R4174" s="93" t="str">
        <f>VLOOKUP(E4174,DATABASE!C:Q,11,false)</f>
        <v>Tire</v>
      </c>
    </row>
    <row r="4175" ht="22.5" customHeight="1">
      <c r="A4175" s="49"/>
      <c r="C4175" s="384">
        <v>45887.0</v>
      </c>
      <c r="D4175" s="65">
        <v>6857.0</v>
      </c>
      <c r="E4175" s="445" t="s">
        <v>290</v>
      </c>
      <c r="F4175" s="386">
        <v>2.0</v>
      </c>
      <c r="G4175" s="74">
        <v>720000.0</v>
      </c>
      <c r="H4175" s="74">
        <v>0.0</v>
      </c>
      <c r="I4175" s="74">
        <f t="shared" si="1"/>
        <v>1440000</v>
      </c>
      <c r="J4175" s="74">
        <f>IF(E4175="SERVICE",I4175-(I4175*50%),Vlookup(E4175,DATABASE!C:Q,10,false)*F4175)</f>
        <v>0</v>
      </c>
      <c r="K4175" s="74">
        <f>VLOOKUP(E4175,DATABASE!C:Q,7,false)</f>
        <v>628100</v>
      </c>
      <c r="L4175" s="74">
        <v>609804.0</v>
      </c>
      <c r="M4175" s="74">
        <f t="shared" si="2"/>
        <v>610000</v>
      </c>
      <c r="N4175" s="74">
        <f t="shared" si="3"/>
        <v>220000</v>
      </c>
      <c r="O4175" s="65" t="str">
        <f>VLOOKUP(E4175,DATABASE!C:Q,8,false)</f>
        <v>BIAN</v>
      </c>
      <c r="P4175" s="65">
        <f>VLOOKUP(E4175,DATABASE!C:Q,9,False)</f>
        <v>1</v>
      </c>
      <c r="Q4175" s="93" t="str">
        <f>VLOOKUP(E4175,DATABASE!C:Q,4,false)</f>
        <v>GT</v>
      </c>
      <c r="R4175" s="93" t="str">
        <f>VLOOKUP(E4175,DATABASE!C:Q,11,false)</f>
        <v>Tire</v>
      </c>
    </row>
    <row r="4176" ht="22.5" customHeight="1">
      <c r="A4176" s="49"/>
      <c r="C4176" s="384">
        <v>45887.0</v>
      </c>
      <c r="D4176" s="65">
        <v>6858.0</v>
      </c>
      <c r="E4176" s="445" t="s">
        <v>2199</v>
      </c>
      <c r="F4176" s="386">
        <v>1.0</v>
      </c>
      <c r="G4176" s="74">
        <v>15000.0</v>
      </c>
      <c r="H4176" s="74">
        <v>0.0</v>
      </c>
      <c r="I4176" s="74">
        <f t="shared" si="1"/>
        <v>15000</v>
      </c>
      <c r="J4176" s="74">
        <f>IF(E4176="SERVICE",I4176-(I4176*50%),Vlookup(E4176,DATABASE!C:Q,10,false)*F4176)</f>
        <v>0</v>
      </c>
      <c r="K4176" s="74">
        <f>VLOOKUP(E4176,DATABASE!C:Q,7,false)</f>
        <v>5000</v>
      </c>
      <c r="L4176" s="74">
        <v>0.0</v>
      </c>
      <c r="M4176" s="74">
        <f t="shared" si="2"/>
        <v>0</v>
      </c>
      <c r="N4176" s="74">
        <f t="shared" si="3"/>
        <v>15000</v>
      </c>
      <c r="O4176" s="65" t="str">
        <f>VLOOKUP(E4176,DATABASE!C:Q,8,false)</f>
        <v>BIAN</v>
      </c>
      <c r="P4176" s="65">
        <f>VLOOKUP(E4176,DATABASE!C:Q,9,False)</f>
        <v>0</v>
      </c>
      <c r="Q4176" s="93" t="str">
        <f>VLOOKUP(E4176,DATABASE!C:Q,4,false)</f>
        <v>TAMBAL TUBLES</v>
      </c>
      <c r="R4176" s="93" t="str">
        <f>VLOOKUP(E4176,DATABASE!C:Q,11,false)</f>
        <v>COMPLEMENTARY</v>
      </c>
    </row>
    <row r="4177" ht="22.5" customHeight="1">
      <c r="A4177" s="49"/>
      <c r="C4177" s="384">
        <v>45887.0</v>
      </c>
      <c r="D4177" s="65">
        <v>6859.0</v>
      </c>
      <c r="E4177" s="445" t="s">
        <v>613</v>
      </c>
      <c r="F4177" s="386">
        <v>2.0</v>
      </c>
      <c r="G4177" s="74">
        <v>95000.0</v>
      </c>
      <c r="H4177" s="74">
        <v>0.0</v>
      </c>
      <c r="I4177" s="74">
        <f t="shared" si="1"/>
        <v>190000</v>
      </c>
      <c r="J4177" s="74">
        <f>IF(E4177="SERVICE",I4177-(I4177*50%),Vlookup(E4177,DATABASE!C:Q,10,false)*F4177)</f>
        <v>0</v>
      </c>
      <c r="K4177" s="74">
        <f>VLOOKUP(E4177,DATABASE!C:Q,7,false)</f>
        <v>58371.2695</v>
      </c>
      <c r="L4177" s="74">
        <v>55000.0</v>
      </c>
      <c r="M4177" s="74">
        <f t="shared" si="2"/>
        <v>55000</v>
      </c>
      <c r="N4177" s="74">
        <f t="shared" si="3"/>
        <v>80000</v>
      </c>
      <c r="O4177" s="65" t="str">
        <f>VLOOKUP(E4177,DATABASE!C:Q,8,false)</f>
        <v>BIAN</v>
      </c>
      <c r="P4177" s="65">
        <f>VLOOKUP(E4177,DATABASE!C:Q,9,False)</f>
        <v>1</v>
      </c>
      <c r="Q4177" s="93" t="str">
        <f>VLOOKUP(E4177,DATABASE!C:Q,4,false)</f>
        <v>BD</v>
      </c>
      <c r="R4177" s="93" t="str">
        <f>VLOOKUP(E4177,DATABASE!C:Q,11,false)</f>
        <v>Tire</v>
      </c>
    </row>
    <row r="4178" ht="22.5" customHeight="1">
      <c r="A4178" s="49"/>
      <c r="C4178" s="384">
        <v>45887.0</v>
      </c>
      <c r="D4178" s="65">
        <v>6860.0</v>
      </c>
      <c r="E4178" s="445" t="s">
        <v>572</v>
      </c>
      <c r="F4178" s="386">
        <v>1.0</v>
      </c>
      <c r="G4178" s="74">
        <v>1370000.0</v>
      </c>
      <c r="H4178" s="74">
        <v>0.0</v>
      </c>
      <c r="I4178" s="74">
        <f t="shared" si="1"/>
        <v>1370000</v>
      </c>
      <c r="J4178" s="74">
        <f>IF(E4178="SERVICE",I4178-(I4178*50%),Vlookup(E4178,DATABASE!C:Q,10,false)*F4178)</f>
        <v>0</v>
      </c>
      <c r="K4178" s="74">
        <f>VLOOKUP(E4178,DATABASE!C:Q,7,false)</f>
        <v>1265000</v>
      </c>
      <c r="L4178" s="74">
        <v>1245000.0</v>
      </c>
      <c r="M4178" s="74">
        <f t="shared" si="2"/>
        <v>1245000</v>
      </c>
      <c r="N4178" s="74">
        <f t="shared" si="3"/>
        <v>125000</v>
      </c>
      <c r="O4178" s="65" t="str">
        <f>VLOOKUP(E4178,DATABASE!C:Q,8,false)</f>
        <v>IBU</v>
      </c>
      <c r="P4178" s="65">
        <f>VLOOKUP(E4178,DATABASE!C:Q,9,False)</f>
        <v>1</v>
      </c>
      <c r="Q4178" s="93" t="str">
        <f>VLOOKUP(E4178,DATABASE!C:Q,4,false)</f>
        <v>Bridgestone</v>
      </c>
      <c r="R4178" s="93" t="str">
        <f>VLOOKUP(E4178,DATABASE!C:Q,11,false)</f>
        <v>Tire</v>
      </c>
    </row>
    <row r="4179" ht="22.5" customHeight="1">
      <c r="A4179" s="49"/>
      <c r="C4179" s="384">
        <v>45887.0</v>
      </c>
      <c r="D4179" s="65">
        <v>6861.0</v>
      </c>
      <c r="E4179" s="445" t="s">
        <v>275</v>
      </c>
      <c r="F4179" s="386">
        <v>2.0</v>
      </c>
      <c r="G4179" s="74">
        <v>850000.0</v>
      </c>
      <c r="H4179" s="74">
        <v>0.0</v>
      </c>
      <c r="I4179" s="74">
        <f t="shared" si="1"/>
        <v>1700000</v>
      </c>
      <c r="J4179" s="74">
        <f>IF(E4179="SERVICE",I4179-(I4179*50%),Vlookup(E4179,DATABASE!C:Q,10,false)*F4179)</f>
        <v>0</v>
      </c>
      <c r="K4179" s="74">
        <f>VLOOKUP(E4179,DATABASE!C:Q,7,false)</f>
        <v>782000</v>
      </c>
      <c r="L4179" s="74">
        <v>745000.0</v>
      </c>
      <c r="M4179" s="74">
        <f t="shared" si="2"/>
        <v>745000</v>
      </c>
      <c r="N4179" s="74">
        <f t="shared" si="3"/>
        <v>210000</v>
      </c>
      <c r="O4179" s="65" t="str">
        <f>VLOOKUP(E4179,DATABASE!C:Q,8,false)</f>
        <v>IBU</v>
      </c>
      <c r="P4179" s="65">
        <f>VLOOKUP(E4179,DATABASE!C:Q,9,False)</f>
        <v>1</v>
      </c>
      <c r="Q4179" s="93" t="str">
        <f>VLOOKUP(E4179,DATABASE!C:Q,4,false)</f>
        <v>Dunlop</v>
      </c>
      <c r="R4179" s="93" t="str">
        <f>VLOOKUP(E4179,DATABASE!C:Q,11,false)</f>
        <v>Tire</v>
      </c>
    </row>
    <row r="4180" ht="22.5" customHeight="1">
      <c r="A4180" s="49"/>
      <c r="C4180" s="384">
        <v>45887.0</v>
      </c>
      <c r="D4180" s="65">
        <v>6862.0</v>
      </c>
      <c r="E4180" s="445" t="s">
        <v>256</v>
      </c>
      <c r="F4180" s="386">
        <v>1.0</v>
      </c>
      <c r="G4180" s="74">
        <v>130000.0</v>
      </c>
      <c r="H4180" s="74">
        <v>0.0</v>
      </c>
      <c r="I4180" s="74">
        <f t="shared" si="1"/>
        <v>130000</v>
      </c>
      <c r="J4180" s="74">
        <f>IF(E4180="SERVICE",I4180-(I4180*50%),Vlookup(E4180,DATABASE!C:Q,10,false)*F4180)</f>
        <v>10000</v>
      </c>
      <c r="K4180" s="74">
        <f>VLOOKUP(E4180,DATABASE!C:Q,7,false)</f>
        <v>0</v>
      </c>
      <c r="L4180" s="74">
        <v>0.0</v>
      </c>
      <c r="M4180" s="74">
        <f t="shared" si="2"/>
        <v>0</v>
      </c>
      <c r="N4180" s="74">
        <f t="shared" si="3"/>
        <v>120000</v>
      </c>
      <c r="O4180" s="65" t="str">
        <f>VLOOKUP(E4180,DATABASE!C:Q,8,false)</f>
        <v>IBU</v>
      </c>
      <c r="P4180" s="65">
        <f>VLOOKUP(E4180,DATABASE!C:Q,9,False)</f>
        <v>0</v>
      </c>
      <c r="Q4180" s="93" t="str">
        <f>VLOOKUP(E4180,DATABASE!C:Q,4,false)</f>
        <v>SPOORING</v>
      </c>
      <c r="R4180" s="93" t="str">
        <f>VLOOKUP(E4180,DATABASE!C:Q,11,false)</f>
        <v>SERVICE</v>
      </c>
    </row>
    <row r="4181" ht="22.5" customHeight="1">
      <c r="A4181" s="49"/>
      <c r="C4181" s="384">
        <v>45887.0</v>
      </c>
      <c r="D4181" s="65">
        <v>6862.0</v>
      </c>
      <c r="E4181" s="385" t="s">
        <v>299</v>
      </c>
      <c r="F4181" s="386">
        <v>2.0</v>
      </c>
      <c r="G4181" s="74">
        <v>30000.0</v>
      </c>
      <c r="H4181" s="74">
        <v>0.0</v>
      </c>
      <c r="I4181" s="74">
        <f t="shared" si="1"/>
        <v>60000</v>
      </c>
      <c r="J4181" s="74">
        <f>IF(E4181="SERVICE",I4181-(I4181*50%),Vlookup(E4181,DATABASE!C:Q,10,false)*F4181)</f>
        <v>0</v>
      </c>
      <c r="K4181" s="74">
        <v>0.0</v>
      </c>
      <c r="L4181" s="74">
        <v>0.0</v>
      </c>
      <c r="M4181" s="74">
        <f t="shared" si="2"/>
        <v>0</v>
      </c>
      <c r="N4181" s="74">
        <f t="shared" si="3"/>
        <v>60000</v>
      </c>
      <c r="O4181" s="65" t="str">
        <f>VLOOKUP(E4181,DATABASE!C:Q,8,false)</f>
        <v>BIAN</v>
      </c>
      <c r="P4181" s="65">
        <f>VLOOKUP(E4181,DATABASE!C:Q,9,False)</f>
        <v>0</v>
      </c>
      <c r="Q4181" s="93" t="str">
        <f>VLOOKUP(E4181,DATABASE!C:Q,4,false)</f>
        <v>Balancing</v>
      </c>
      <c r="R4181" s="93" t="str">
        <f>VLOOKUP(E4181,DATABASE!C:Q,11,false)</f>
        <v>COMPLEMENTARY</v>
      </c>
    </row>
    <row r="4182" ht="22.5" customHeight="1">
      <c r="A4182" s="49"/>
      <c r="C4182" s="384">
        <v>45887.0</v>
      </c>
      <c r="D4182" s="65">
        <v>6862.0</v>
      </c>
      <c r="E4182" s="445" t="s">
        <v>301</v>
      </c>
      <c r="F4182" s="386">
        <v>1.0</v>
      </c>
      <c r="G4182" s="74">
        <v>250000.0</v>
      </c>
      <c r="H4182" s="74">
        <v>0.0</v>
      </c>
      <c r="I4182" s="74">
        <f t="shared" si="1"/>
        <v>250000</v>
      </c>
      <c r="J4182" s="74">
        <f>IF(E4182="SERVICE",I4182-(I4182*50%),Vlookup(E4182,DATABASE!C:Q,10,false)*F4182)</f>
        <v>75000</v>
      </c>
      <c r="K4182" s="74">
        <f>VLOOKUP(E4182,DATABASE!C:Q,7,false)</f>
        <v>75000</v>
      </c>
      <c r="L4182" s="74">
        <v>75000.0</v>
      </c>
      <c r="M4182" s="74">
        <f t="shared" si="2"/>
        <v>75000</v>
      </c>
      <c r="N4182" s="74">
        <f t="shared" si="3"/>
        <v>100000</v>
      </c>
      <c r="O4182" s="65" t="str">
        <f>VLOOKUP(E4182,DATABASE!C:Q,8,false)</f>
        <v>BIAN</v>
      </c>
      <c r="P4182" s="65">
        <f>VLOOKUP(E4182,DATABASE!C:Q,9,False)</f>
        <v>0</v>
      </c>
      <c r="Q4182" s="93" t="str">
        <f>VLOOKUP(E4182,DATABASE!C:Q,4,false)</f>
        <v>Baut Camber</v>
      </c>
      <c r="R4182" s="93" t="str">
        <f>VLOOKUP(E4182,DATABASE!C:Q,11,false)</f>
        <v>COMPLEMENTARY</v>
      </c>
    </row>
    <row r="4183" ht="22.5" customHeight="1">
      <c r="A4183" s="49"/>
      <c r="C4183" s="384">
        <v>45887.0</v>
      </c>
      <c r="D4183" s="65">
        <v>6863.0</v>
      </c>
      <c r="E4183" s="445" t="s">
        <v>1097</v>
      </c>
      <c r="F4183" s="386">
        <v>2.0</v>
      </c>
      <c r="G4183" s="74">
        <v>920000.0</v>
      </c>
      <c r="H4183" s="74">
        <v>0.0</v>
      </c>
      <c r="I4183" s="74">
        <f t="shared" si="1"/>
        <v>1840000</v>
      </c>
      <c r="J4183" s="74">
        <f>IF(E4183="SERVICE",I4183-(I4183*50%),Vlookup(E4183,DATABASE!C:Q,10,false)*F4183)</f>
        <v>0</v>
      </c>
      <c r="K4183" s="74">
        <f>VLOOKUP(E4183,DATABASE!C:Q,7,false)</f>
        <v>844838.5</v>
      </c>
      <c r="L4183" s="74">
        <v>808945.0</v>
      </c>
      <c r="M4183" s="74">
        <f t="shared" si="2"/>
        <v>810000</v>
      </c>
      <c r="N4183" s="74">
        <f t="shared" si="3"/>
        <v>220000</v>
      </c>
      <c r="O4183" s="65" t="str">
        <f>VLOOKUP(E4183,DATABASE!C:Q,8,false)</f>
        <v>IBU</v>
      </c>
      <c r="P4183" s="65">
        <f>VLOOKUP(E4183,DATABASE!C:Q,9,False)</f>
        <v>1</v>
      </c>
      <c r="Q4183" s="93" t="str">
        <f>VLOOKUP(E4183,DATABASE!C:Q,4,false)</f>
        <v>Bridgestone</v>
      </c>
      <c r="R4183" s="93" t="str">
        <f>VLOOKUP(E4183,DATABASE!C:Q,11,false)</f>
        <v>Tire</v>
      </c>
    </row>
    <row r="4184" ht="22.5" customHeight="1">
      <c r="A4184" s="49"/>
      <c r="C4184" s="384">
        <v>45887.0</v>
      </c>
      <c r="D4184" s="65">
        <v>6866.0</v>
      </c>
      <c r="E4184" s="445" t="s">
        <v>256</v>
      </c>
      <c r="F4184" s="386">
        <v>1.0</v>
      </c>
      <c r="G4184" s="74">
        <v>130000.0</v>
      </c>
      <c r="H4184" s="74">
        <v>0.0</v>
      </c>
      <c r="I4184" s="74">
        <f t="shared" si="1"/>
        <v>130000</v>
      </c>
      <c r="J4184" s="74">
        <f>IF(E4184="SERVICE",I4184-(I4184*50%),Vlookup(E4184,DATABASE!C:Q,10,false)*F4184)</f>
        <v>10000</v>
      </c>
      <c r="K4184" s="74">
        <f>VLOOKUP(E4184,DATABASE!C:Q,7,false)</f>
        <v>0</v>
      </c>
      <c r="L4184" s="74">
        <v>0.0</v>
      </c>
      <c r="M4184" s="74">
        <f t="shared" si="2"/>
        <v>0</v>
      </c>
      <c r="N4184" s="74">
        <f t="shared" si="3"/>
        <v>120000</v>
      </c>
      <c r="O4184" s="65" t="str">
        <f>VLOOKUP(E4184,DATABASE!C:Q,8,false)</f>
        <v>IBU</v>
      </c>
      <c r="P4184" s="65">
        <f>VLOOKUP(E4184,DATABASE!C:Q,9,False)</f>
        <v>0</v>
      </c>
      <c r="Q4184" s="93" t="str">
        <f>VLOOKUP(E4184,DATABASE!C:Q,4,false)</f>
        <v>SPOORING</v>
      </c>
      <c r="R4184" s="93" t="str">
        <f>VLOOKUP(E4184,DATABASE!C:Q,11,false)</f>
        <v>SERVICE</v>
      </c>
    </row>
    <row r="4185" ht="22.5" customHeight="1">
      <c r="A4185" s="49"/>
      <c r="C4185" s="384">
        <v>45887.0</v>
      </c>
      <c r="D4185" s="65">
        <v>6866.0</v>
      </c>
      <c r="E4185" s="385" t="s">
        <v>299</v>
      </c>
      <c r="F4185" s="386">
        <v>2.0</v>
      </c>
      <c r="G4185" s="74">
        <v>30000.0</v>
      </c>
      <c r="H4185" s="74">
        <v>0.0</v>
      </c>
      <c r="I4185" s="74">
        <f t="shared" si="1"/>
        <v>60000</v>
      </c>
      <c r="J4185" s="74">
        <f>IF(E4185="SERVICE",I4185-(I4185*50%),Vlookup(E4185,DATABASE!C:Q,10,false)*F4185)</f>
        <v>0</v>
      </c>
      <c r="K4185" s="74">
        <v>0.0</v>
      </c>
      <c r="L4185" s="74">
        <v>0.0</v>
      </c>
      <c r="M4185" s="74">
        <f t="shared" si="2"/>
        <v>0</v>
      </c>
      <c r="N4185" s="74">
        <f t="shared" si="3"/>
        <v>60000</v>
      </c>
      <c r="O4185" s="65" t="str">
        <f>VLOOKUP(E4185,DATABASE!C:Q,8,false)</f>
        <v>BIAN</v>
      </c>
      <c r="P4185" s="65">
        <f>VLOOKUP(E4185,DATABASE!C:Q,9,False)</f>
        <v>0</v>
      </c>
      <c r="Q4185" s="93" t="str">
        <f>VLOOKUP(E4185,DATABASE!C:Q,4,false)</f>
        <v>Balancing</v>
      </c>
      <c r="R4185" s="93" t="str">
        <f>VLOOKUP(E4185,DATABASE!C:Q,11,false)</f>
        <v>COMPLEMENTARY</v>
      </c>
    </row>
    <row r="4186" ht="22.5" customHeight="1">
      <c r="A4186" s="49"/>
      <c r="C4186" s="384">
        <v>45887.0</v>
      </c>
      <c r="D4186" s="65">
        <v>6866.0</v>
      </c>
      <c r="E4186" s="445" t="s">
        <v>251</v>
      </c>
      <c r="F4186" s="386">
        <v>1.0</v>
      </c>
      <c r="G4186" s="74">
        <v>150000.0</v>
      </c>
      <c r="H4186" s="74">
        <v>0.0</v>
      </c>
      <c r="I4186" s="74">
        <f t="shared" si="1"/>
        <v>150000</v>
      </c>
      <c r="J4186" s="74">
        <f>IF(E4186="SERVICE",I4186-(I4186*50%),Vlookup(E4186,DATABASE!C:Q,10,false)*F4186)</f>
        <v>75000</v>
      </c>
      <c r="K4186" s="74">
        <f>VLOOKUP(E4186,DATABASE!C:Q,7,false)</f>
        <v>0</v>
      </c>
      <c r="L4186" s="74">
        <v>0.0</v>
      </c>
      <c r="M4186" s="74">
        <f t="shared" si="2"/>
        <v>0</v>
      </c>
      <c r="N4186" s="74">
        <f t="shared" si="3"/>
        <v>75000</v>
      </c>
      <c r="O4186" s="65" t="str">
        <f>VLOOKUP(E4186,DATABASE!C:Q,8,false)</f>
        <v>IBU</v>
      </c>
      <c r="P4186" s="65">
        <f>VLOOKUP(E4186,DATABASE!C:Q,9,False)</f>
        <v>0</v>
      </c>
      <c r="Q4186" s="93" t="str">
        <f>VLOOKUP(E4186,DATABASE!C:Q,4,false)</f>
        <v>SERVICE</v>
      </c>
      <c r="R4186" s="93" t="str">
        <f>VLOOKUP(E4186,DATABASE!C:Q,11,false)</f>
        <v>SERVICE</v>
      </c>
    </row>
    <row r="4187" ht="22.5" customHeight="1">
      <c r="A4187" s="49"/>
      <c r="C4187" s="384">
        <v>45888.0</v>
      </c>
      <c r="D4187" s="65">
        <v>6867.0</v>
      </c>
      <c r="E4187" s="445" t="s">
        <v>268</v>
      </c>
      <c r="F4187" s="386">
        <v>2.0</v>
      </c>
      <c r="G4187" s="74">
        <v>720000.0</v>
      </c>
      <c r="H4187" s="74">
        <v>0.0</v>
      </c>
      <c r="I4187" s="74">
        <f t="shared" si="1"/>
        <v>1440000</v>
      </c>
      <c r="J4187" s="74">
        <f>IF(E4187="SERVICE",I4187-(I4187*50%),Vlookup(E4187,DATABASE!C:Q,10,false)*F4187)</f>
        <v>0</v>
      </c>
      <c r="K4187" s="74">
        <f>VLOOKUP(E4187,DATABASE!C:Q,7,false)</f>
        <v>653000</v>
      </c>
      <c r="L4187" s="74">
        <v>622000.0</v>
      </c>
      <c r="M4187" s="74">
        <f t="shared" si="2"/>
        <v>625000</v>
      </c>
      <c r="N4187" s="74">
        <f t="shared" si="3"/>
        <v>190000</v>
      </c>
      <c r="O4187" s="65" t="str">
        <f>VLOOKUP(E4187,DATABASE!C:Q,8,false)</f>
        <v>IBU</v>
      </c>
      <c r="P4187" s="65">
        <f>VLOOKUP(E4187,DATABASE!C:Q,9,False)</f>
        <v>1</v>
      </c>
      <c r="Q4187" s="93" t="str">
        <f>VLOOKUP(E4187,DATABASE!C:Q,4,false)</f>
        <v>Dunlop</v>
      </c>
      <c r="R4187" s="93" t="str">
        <f>VLOOKUP(E4187,DATABASE!C:Q,11,false)</f>
        <v>Tire</v>
      </c>
    </row>
    <row r="4188" ht="22.5" customHeight="1">
      <c r="A4188" s="49"/>
      <c r="C4188" s="384">
        <v>45888.0</v>
      </c>
      <c r="D4188" s="65">
        <v>6868.0</v>
      </c>
      <c r="E4188" s="445" t="s">
        <v>275</v>
      </c>
      <c r="F4188" s="386">
        <v>1.0</v>
      </c>
      <c r="G4188" s="74">
        <v>850000.0</v>
      </c>
      <c r="H4188" s="74">
        <v>0.0</v>
      </c>
      <c r="I4188" s="74">
        <f t="shared" si="1"/>
        <v>850000</v>
      </c>
      <c r="J4188" s="74">
        <f>IF(E4188="SERVICE",I4188-(I4188*50%),Vlookup(E4188,DATABASE!C:Q,10,false)*F4188)</f>
        <v>0</v>
      </c>
      <c r="K4188" s="74">
        <f>VLOOKUP(E4188,DATABASE!C:Q,7,false)</f>
        <v>782000</v>
      </c>
      <c r="L4188" s="74">
        <v>745000.0</v>
      </c>
      <c r="M4188" s="74">
        <f t="shared" si="2"/>
        <v>745000</v>
      </c>
      <c r="N4188" s="74">
        <f t="shared" si="3"/>
        <v>105000</v>
      </c>
      <c r="O4188" s="65" t="str">
        <f>VLOOKUP(E4188,DATABASE!C:Q,8,false)</f>
        <v>IBU</v>
      </c>
      <c r="P4188" s="65">
        <f>VLOOKUP(E4188,DATABASE!C:Q,9,False)</f>
        <v>1</v>
      </c>
      <c r="Q4188" s="93" t="str">
        <f>VLOOKUP(E4188,DATABASE!C:Q,4,false)</f>
        <v>Dunlop</v>
      </c>
      <c r="R4188" s="93" t="str">
        <f>VLOOKUP(E4188,DATABASE!C:Q,11,false)</f>
        <v>Tire</v>
      </c>
    </row>
    <row r="4189" ht="22.5" customHeight="1">
      <c r="A4189" s="49"/>
      <c r="C4189" s="384">
        <v>45888.0</v>
      </c>
      <c r="D4189" s="65">
        <v>6869.0</v>
      </c>
      <c r="E4189" s="445" t="s">
        <v>262</v>
      </c>
      <c r="F4189" s="386">
        <v>1.0</v>
      </c>
      <c r="G4189" s="74">
        <v>110000.0</v>
      </c>
      <c r="H4189" s="74">
        <v>0.0</v>
      </c>
      <c r="I4189" s="74">
        <f t="shared" si="1"/>
        <v>110000</v>
      </c>
      <c r="J4189" s="74">
        <f>IF(E4189="SERVICE",I4189-(I4189*50%),Vlookup(E4189,DATABASE!C:Q,10,false)*F4189)</f>
        <v>5000</v>
      </c>
      <c r="K4189" s="74">
        <f>VLOOKUP(E4189,DATABASE!C:Q,7,false)</f>
        <v>0</v>
      </c>
      <c r="L4189" s="74">
        <v>0.0</v>
      </c>
      <c r="M4189" s="74">
        <f t="shared" si="2"/>
        <v>0</v>
      </c>
      <c r="N4189" s="74">
        <f t="shared" si="3"/>
        <v>105000</v>
      </c>
      <c r="O4189" s="65" t="str">
        <f>VLOOKUP(E4189,DATABASE!C:Q,8,false)</f>
        <v>IBU</v>
      </c>
      <c r="P4189" s="65">
        <f>VLOOKUP(E4189,DATABASE!C:Q,9,False)</f>
        <v>0</v>
      </c>
      <c r="Q4189" s="93" t="str">
        <f>VLOOKUP(E4189,DATABASE!C:Q,4,false)</f>
        <v>SPOORING SS/CARRY LOS BAK</v>
      </c>
      <c r="R4189" s="93" t="str">
        <f>VLOOKUP(E4189,DATABASE!C:Q,11,false)</f>
        <v>SERVICE</v>
      </c>
    </row>
    <row r="4190" ht="22.5" customHeight="1">
      <c r="A4190" s="49"/>
      <c r="C4190" s="384">
        <v>45888.0</v>
      </c>
      <c r="D4190" s="65">
        <v>6869.0</v>
      </c>
      <c r="E4190" s="445" t="s">
        <v>251</v>
      </c>
      <c r="F4190" s="386">
        <v>1.0</v>
      </c>
      <c r="G4190" s="74">
        <v>150000.0</v>
      </c>
      <c r="H4190" s="74">
        <v>0.0</v>
      </c>
      <c r="I4190" s="74">
        <f t="shared" si="1"/>
        <v>150000</v>
      </c>
      <c r="J4190" s="74">
        <f>IF(E4190="SERVICE",I4190-(I4190*50%),Vlookup(E4190,DATABASE!C:Q,10,false)*F4190)</f>
        <v>75000</v>
      </c>
      <c r="K4190" s="74">
        <f>VLOOKUP(E4190,DATABASE!C:Q,7,false)</f>
        <v>0</v>
      </c>
      <c r="L4190" s="74">
        <v>0.0</v>
      </c>
      <c r="M4190" s="74">
        <f t="shared" si="2"/>
        <v>0</v>
      </c>
      <c r="N4190" s="74">
        <f t="shared" si="3"/>
        <v>75000</v>
      </c>
      <c r="O4190" s="65" t="str">
        <f>VLOOKUP(E4190,DATABASE!C:Q,8,false)</f>
        <v>IBU</v>
      </c>
      <c r="P4190" s="65">
        <f>VLOOKUP(E4190,DATABASE!C:Q,9,False)</f>
        <v>0</v>
      </c>
      <c r="Q4190" s="93" t="str">
        <f>VLOOKUP(E4190,DATABASE!C:Q,4,false)</f>
        <v>SERVICE</v>
      </c>
      <c r="R4190" s="93" t="str">
        <f>VLOOKUP(E4190,DATABASE!C:Q,11,false)</f>
        <v>SERVICE</v>
      </c>
    </row>
    <row r="4191" ht="22.5" customHeight="1">
      <c r="A4191" s="49"/>
      <c r="C4191" s="384">
        <v>45888.0</v>
      </c>
      <c r="D4191" s="65">
        <v>6869.0</v>
      </c>
      <c r="E4191" s="445" t="s">
        <v>251</v>
      </c>
      <c r="F4191" s="386">
        <v>1.0</v>
      </c>
      <c r="G4191" s="74">
        <v>150000.0</v>
      </c>
      <c r="H4191" s="74">
        <v>0.0</v>
      </c>
      <c r="I4191" s="74">
        <f t="shared" si="1"/>
        <v>150000</v>
      </c>
      <c r="J4191" s="74">
        <f>IF(E4191="SERVICE",I4191-(I4191*50%),Vlookup(E4191,DATABASE!C:Q,10,false)*F4191)</f>
        <v>75000</v>
      </c>
      <c r="K4191" s="74">
        <f>VLOOKUP(E4191,DATABASE!C:Q,7,false)</f>
        <v>0</v>
      </c>
      <c r="L4191" s="74">
        <v>0.0</v>
      </c>
      <c r="M4191" s="74">
        <f t="shared" si="2"/>
        <v>0</v>
      </c>
      <c r="N4191" s="74">
        <f t="shared" si="3"/>
        <v>75000</v>
      </c>
      <c r="O4191" s="65" t="str">
        <f>VLOOKUP(E4191,DATABASE!C:Q,8,false)</f>
        <v>IBU</v>
      </c>
      <c r="P4191" s="65">
        <f>VLOOKUP(E4191,DATABASE!C:Q,9,False)</f>
        <v>0</v>
      </c>
      <c r="Q4191" s="93" t="str">
        <f>VLOOKUP(E4191,DATABASE!C:Q,4,false)</f>
        <v>SERVICE</v>
      </c>
      <c r="R4191" s="93" t="str">
        <f>VLOOKUP(E4191,DATABASE!C:Q,11,false)</f>
        <v>SERVICE</v>
      </c>
    </row>
    <row r="4192" ht="22.5" customHeight="1">
      <c r="A4192" s="49"/>
      <c r="C4192" s="384">
        <v>45888.0</v>
      </c>
      <c r="D4192" s="65">
        <v>6869.0</v>
      </c>
      <c r="E4192" s="445" t="s">
        <v>251</v>
      </c>
      <c r="F4192" s="386">
        <v>1.0</v>
      </c>
      <c r="G4192" s="74">
        <v>130000.0</v>
      </c>
      <c r="H4192" s="74">
        <v>0.0</v>
      </c>
      <c r="I4192" s="74">
        <f t="shared" si="1"/>
        <v>130000</v>
      </c>
      <c r="J4192" s="74">
        <f>IF(E4192="SERVICE",I4192-(I4192*50%),Vlookup(E4192,DATABASE!C:Q,10,false)*F4192)</f>
        <v>65000</v>
      </c>
      <c r="K4192" s="74">
        <f>VLOOKUP(E4192,DATABASE!C:Q,7,false)</f>
        <v>0</v>
      </c>
      <c r="L4192" s="74">
        <v>0.0</v>
      </c>
      <c r="M4192" s="74">
        <f t="shared" si="2"/>
        <v>0</v>
      </c>
      <c r="N4192" s="74">
        <f t="shared" si="3"/>
        <v>65000</v>
      </c>
      <c r="O4192" s="65" t="str">
        <f>VLOOKUP(E4192,DATABASE!C:Q,8,false)</f>
        <v>IBU</v>
      </c>
      <c r="P4192" s="65">
        <f>VLOOKUP(E4192,DATABASE!C:Q,9,False)</f>
        <v>0</v>
      </c>
      <c r="Q4192" s="93" t="str">
        <f>VLOOKUP(E4192,DATABASE!C:Q,4,false)</f>
        <v>SERVICE</v>
      </c>
      <c r="R4192" s="93" t="str">
        <f>VLOOKUP(E4192,DATABASE!C:Q,11,false)</f>
        <v>SERVICE</v>
      </c>
    </row>
    <row r="4193" ht="22.5" customHeight="1">
      <c r="A4193" s="49"/>
      <c r="C4193" s="384">
        <v>45888.0</v>
      </c>
      <c r="D4193" s="65">
        <v>6870.0</v>
      </c>
      <c r="E4193" s="445" t="s">
        <v>256</v>
      </c>
      <c r="F4193" s="386">
        <v>1.0</v>
      </c>
      <c r="G4193" s="74">
        <v>130000.0</v>
      </c>
      <c r="H4193" s="74">
        <v>0.0</v>
      </c>
      <c r="I4193" s="74">
        <f t="shared" si="1"/>
        <v>130000</v>
      </c>
      <c r="J4193" s="74">
        <f>IF(E4193="SERVICE",I4193-(I4193*50%),Vlookup(E4193,DATABASE!C:Q,10,false)*F4193)</f>
        <v>10000</v>
      </c>
      <c r="K4193" s="74">
        <f>VLOOKUP(E4193,DATABASE!C:Q,7,false)</f>
        <v>0</v>
      </c>
      <c r="L4193" s="74">
        <v>0.0</v>
      </c>
      <c r="M4193" s="74">
        <f t="shared" si="2"/>
        <v>0</v>
      </c>
      <c r="N4193" s="74">
        <f t="shared" si="3"/>
        <v>120000</v>
      </c>
      <c r="O4193" s="65" t="str">
        <f>VLOOKUP(E4193,DATABASE!C:Q,8,false)</f>
        <v>IBU</v>
      </c>
      <c r="P4193" s="65">
        <f>VLOOKUP(E4193,DATABASE!C:Q,9,False)</f>
        <v>0</v>
      </c>
      <c r="Q4193" s="93" t="str">
        <f>VLOOKUP(E4193,DATABASE!C:Q,4,false)</f>
        <v>SPOORING</v>
      </c>
      <c r="R4193" s="93" t="str">
        <f>VLOOKUP(E4193,DATABASE!C:Q,11,false)</f>
        <v>SERVICE</v>
      </c>
    </row>
    <row r="4194" ht="22.5" customHeight="1">
      <c r="A4194" s="49"/>
      <c r="C4194" s="384">
        <v>45888.0</v>
      </c>
      <c r="D4194" s="65">
        <v>6870.0</v>
      </c>
      <c r="E4194" s="445" t="s">
        <v>301</v>
      </c>
      <c r="F4194" s="386">
        <v>1.0</v>
      </c>
      <c r="G4194" s="74">
        <v>250000.0</v>
      </c>
      <c r="H4194" s="74">
        <v>0.0</v>
      </c>
      <c r="I4194" s="74">
        <f t="shared" si="1"/>
        <v>250000</v>
      </c>
      <c r="J4194" s="74">
        <f>IF(E4194="SERVICE",I4194-(I4194*50%),Vlookup(E4194,DATABASE!C:Q,10,false)*F4194)</f>
        <v>75000</v>
      </c>
      <c r="K4194" s="74">
        <f>VLOOKUP(E4194,DATABASE!C:Q,7,false)</f>
        <v>75000</v>
      </c>
      <c r="L4194" s="74">
        <v>75000.0</v>
      </c>
      <c r="M4194" s="74">
        <f t="shared" si="2"/>
        <v>75000</v>
      </c>
      <c r="N4194" s="74">
        <f t="shared" si="3"/>
        <v>100000</v>
      </c>
      <c r="O4194" s="65" t="str">
        <f>VLOOKUP(E4194,DATABASE!C:Q,8,false)</f>
        <v>BIAN</v>
      </c>
      <c r="P4194" s="65">
        <f>VLOOKUP(E4194,DATABASE!C:Q,9,False)</f>
        <v>0</v>
      </c>
      <c r="Q4194" s="93" t="str">
        <f>VLOOKUP(E4194,DATABASE!C:Q,4,false)</f>
        <v>Baut Camber</v>
      </c>
      <c r="R4194" s="93" t="str">
        <f>VLOOKUP(E4194,DATABASE!C:Q,11,false)</f>
        <v>COMPLEMENTARY</v>
      </c>
    </row>
    <row r="4195" ht="22.5" customHeight="1">
      <c r="A4195" s="49"/>
      <c r="C4195" s="384">
        <v>45888.0</v>
      </c>
      <c r="D4195" s="65">
        <v>6870.0</v>
      </c>
      <c r="E4195" s="445" t="s">
        <v>251</v>
      </c>
      <c r="F4195" s="386">
        <v>1.0</v>
      </c>
      <c r="G4195" s="74">
        <v>50000.0</v>
      </c>
      <c r="H4195" s="74">
        <v>0.0</v>
      </c>
      <c r="I4195" s="74">
        <f t="shared" si="1"/>
        <v>50000</v>
      </c>
      <c r="J4195" s="74">
        <f>IF(E4195="SERVICE",I4195-(I4195*50%),Vlookup(E4195,DATABASE!C:Q,10,false)*F4195)</f>
        <v>25000</v>
      </c>
      <c r="K4195" s="74">
        <f>VLOOKUP(E4195,DATABASE!C:Q,7,false)</f>
        <v>0</v>
      </c>
      <c r="L4195" s="74">
        <v>0.0</v>
      </c>
      <c r="M4195" s="74">
        <f t="shared" si="2"/>
        <v>0</v>
      </c>
      <c r="N4195" s="74">
        <f t="shared" si="3"/>
        <v>25000</v>
      </c>
      <c r="O4195" s="65" t="str">
        <f>VLOOKUP(E4195,DATABASE!C:Q,8,false)</f>
        <v>IBU</v>
      </c>
      <c r="P4195" s="65">
        <f>VLOOKUP(E4195,DATABASE!C:Q,9,False)</f>
        <v>0</v>
      </c>
      <c r="Q4195" s="93" t="str">
        <f>VLOOKUP(E4195,DATABASE!C:Q,4,false)</f>
        <v>SERVICE</v>
      </c>
      <c r="R4195" s="93" t="str">
        <f>VLOOKUP(E4195,DATABASE!C:Q,11,false)</f>
        <v>SERVICE</v>
      </c>
    </row>
    <row r="4196" ht="22.5" customHeight="1">
      <c r="A4196" s="49"/>
      <c r="C4196" s="384">
        <v>45888.0</v>
      </c>
      <c r="D4196" s="65">
        <v>6871.0</v>
      </c>
      <c r="E4196" s="445" t="s">
        <v>781</v>
      </c>
      <c r="F4196" s="386">
        <v>1.0</v>
      </c>
      <c r="G4196" s="74">
        <v>530000.0</v>
      </c>
      <c r="H4196" s="74">
        <v>0.0</v>
      </c>
      <c r="I4196" s="74">
        <f t="shared" si="1"/>
        <v>530000</v>
      </c>
      <c r="J4196" s="74">
        <f>IF(E4196="SERVICE",I4196-(I4196*50%),Vlookup(E4196,DATABASE!C:Q,10,false)*F4196)</f>
        <v>0</v>
      </c>
      <c r="K4196" s="74">
        <f>VLOOKUP(E4196,DATABASE!C:Q,7,false)</f>
        <v>470000</v>
      </c>
      <c r="L4196" s="74">
        <v>442500.0</v>
      </c>
      <c r="M4196" s="74">
        <f t="shared" si="2"/>
        <v>445000</v>
      </c>
      <c r="N4196" s="74">
        <f t="shared" si="3"/>
        <v>85000</v>
      </c>
      <c r="O4196" s="65" t="str">
        <f>VLOOKUP(E4196,DATABASE!C:Q,8,false)</f>
        <v>BIAN</v>
      </c>
      <c r="P4196" s="65">
        <f>VLOOKUP(E4196,DATABASE!C:Q,9,False)</f>
        <v>1</v>
      </c>
      <c r="Q4196" s="93" t="str">
        <f>VLOOKUP(E4196,DATABASE!C:Q,4,false)</f>
        <v>GT</v>
      </c>
      <c r="R4196" s="93" t="str">
        <f>VLOOKUP(E4196,DATABASE!C:Q,11,false)</f>
        <v>Tire</v>
      </c>
    </row>
    <row r="4197" ht="22.5" customHeight="1">
      <c r="A4197" s="49"/>
      <c r="C4197" s="384">
        <v>45888.0</v>
      </c>
      <c r="D4197" s="65">
        <v>6872.0</v>
      </c>
      <c r="E4197" s="445" t="s">
        <v>265</v>
      </c>
      <c r="F4197" s="386">
        <v>2.0</v>
      </c>
      <c r="G4197" s="74">
        <v>700000.0</v>
      </c>
      <c r="H4197" s="74">
        <v>0.0</v>
      </c>
      <c r="I4197" s="74">
        <f t="shared" si="1"/>
        <v>1400000</v>
      </c>
      <c r="J4197" s="74">
        <f>IF(E4197="SERVICE",I4197-(I4197*50%),Vlookup(E4197,DATABASE!C:Q,10,false)*F4197)</f>
        <v>0</v>
      </c>
      <c r="K4197" s="74">
        <f>VLOOKUP(E4197,DATABASE!C:Q,7,false)</f>
        <v>628000</v>
      </c>
      <c r="L4197" s="74">
        <v>610000.0</v>
      </c>
      <c r="M4197" s="74">
        <f t="shared" si="2"/>
        <v>610000</v>
      </c>
      <c r="N4197" s="74">
        <f t="shared" si="3"/>
        <v>180000</v>
      </c>
      <c r="O4197" s="65" t="str">
        <f>VLOOKUP(E4197,DATABASE!C:Q,8,false)</f>
        <v>IBU</v>
      </c>
      <c r="P4197" s="65">
        <f>VLOOKUP(E4197,DATABASE!C:Q,9,False)</f>
        <v>1</v>
      </c>
      <c r="Q4197" s="93" t="str">
        <f>VLOOKUP(E4197,DATABASE!C:Q,4,false)</f>
        <v>Dunlop</v>
      </c>
      <c r="R4197" s="93" t="str">
        <f>VLOOKUP(E4197,DATABASE!C:Q,11,false)</f>
        <v>Tire</v>
      </c>
    </row>
    <row r="4198" ht="22.5" customHeight="1">
      <c r="A4198" s="49"/>
      <c r="C4198" s="384">
        <v>45888.0</v>
      </c>
      <c r="D4198" s="65">
        <v>6873.0</v>
      </c>
      <c r="E4198" s="445" t="s">
        <v>275</v>
      </c>
      <c r="F4198" s="386">
        <v>2.0</v>
      </c>
      <c r="G4198" s="74">
        <v>850000.0</v>
      </c>
      <c r="H4198" s="74">
        <v>0.0</v>
      </c>
      <c r="I4198" s="74">
        <f t="shared" si="1"/>
        <v>1700000</v>
      </c>
      <c r="J4198" s="74">
        <f>IF(E4198="SERVICE",I4198-(I4198*50%),Vlookup(E4198,DATABASE!C:Q,10,false)*F4198)</f>
        <v>0</v>
      </c>
      <c r="K4198" s="74">
        <f>VLOOKUP(E4198,DATABASE!C:Q,7,false)</f>
        <v>782000</v>
      </c>
      <c r="L4198" s="74">
        <v>745000.0</v>
      </c>
      <c r="M4198" s="74">
        <f t="shared" si="2"/>
        <v>745000</v>
      </c>
      <c r="N4198" s="74">
        <f t="shared" si="3"/>
        <v>210000</v>
      </c>
      <c r="O4198" s="65" t="str">
        <f>VLOOKUP(E4198,DATABASE!C:Q,8,false)</f>
        <v>IBU</v>
      </c>
      <c r="P4198" s="65">
        <f>VLOOKUP(E4198,DATABASE!C:Q,9,False)</f>
        <v>1</v>
      </c>
      <c r="Q4198" s="93" t="str">
        <f>VLOOKUP(E4198,DATABASE!C:Q,4,false)</f>
        <v>Dunlop</v>
      </c>
      <c r="R4198" s="93" t="str">
        <f>VLOOKUP(E4198,DATABASE!C:Q,11,false)</f>
        <v>Tire</v>
      </c>
    </row>
    <row r="4199" ht="22.5" customHeight="1">
      <c r="A4199" s="49"/>
      <c r="C4199" s="384">
        <v>45888.0</v>
      </c>
      <c r="D4199" s="65">
        <v>6874.0</v>
      </c>
      <c r="E4199" s="445" t="s">
        <v>271</v>
      </c>
      <c r="F4199" s="386">
        <v>2.0</v>
      </c>
      <c r="G4199" s="74">
        <v>640000.0</v>
      </c>
      <c r="H4199" s="74">
        <v>0.0</v>
      </c>
      <c r="I4199" s="74">
        <f t="shared" si="1"/>
        <v>1280000</v>
      </c>
      <c r="J4199" s="74">
        <f>IF(E4199="SERVICE",I4199-(I4199*50%),Vlookup(E4199,DATABASE!C:Q,10,false)*F4199)</f>
        <v>0</v>
      </c>
      <c r="K4199" s="74">
        <f>VLOOKUP(E4199,DATABASE!C:Q,7,false)</f>
        <v>570000</v>
      </c>
      <c r="L4199" s="74">
        <v>539000.0</v>
      </c>
      <c r="M4199" s="74">
        <f t="shared" si="2"/>
        <v>540000</v>
      </c>
      <c r="N4199" s="74">
        <f t="shared" si="3"/>
        <v>200000</v>
      </c>
      <c r="O4199" s="65" t="str">
        <f>VLOOKUP(E4199,DATABASE!C:Q,8,false)</f>
        <v>IBU</v>
      </c>
      <c r="P4199" s="65">
        <f>VLOOKUP(E4199,DATABASE!C:Q,9,False)</f>
        <v>1</v>
      </c>
      <c r="Q4199" s="93" t="str">
        <f>VLOOKUP(E4199,DATABASE!C:Q,4,false)</f>
        <v>Dunlop</v>
      </c>
      <c r="R4199" s="93" t="str">
        <f>VLOOKUP(E4199,DATABASE!C:Q,11,false)</f>
        <v>Tire</v>
      </c>
    </row>
    <row r="4200" ht="22.5" customHeight="1">
      <c r="A4200" s="49"/>
      <c r="C4200" s="384">
        <v>45888.0</v>
      </c>
      <c r="D4200" s="65">
        <v>6874.0</v>
      </c>
      <c r="E4200" s="385" t="s">
        <v>299</v>
      </c>
      <c r="F4200" s="386">
        <v>2.0</v>
      </c>
      <c r="G4200" s="74">
        <v>30000.0</v>
      </c>
      <c r="H4200" s="74">
        <v>0.0</v>
      </c>
      <c r="I4200" s="74">
        <f t="shared" si="1"/>
        <v>60000</v>
      </c>
      <c r="J4200" s="74">
        <f>IF(E4200="SERVICE",I4200-(I4200*50%),Vlookup(E4200,DATABASE!C:Q,10,false)*F4200)</f>
        <v>0</v>
      </c>
      <c r="K4200" s="74">
        <v>0.0</v>
      </c>
      <c r="L4200" s="74">
        <v>0.0</v>
      </c>
      <c r="M4200" s="74">
        <f t="shared" si="2"/>
        <v>0</v>
      </c>
      <c r="N4200" s="74">
        <f t="shared" si="3"/>
        <v>60000</v>
      </c>
      <c r="O4200" s="65" t="str">
        <f>VLOOKUP(E4200,DATABASE!C:Q,8,false)</f>
        <v>BIAN</v>
      </c>
      <c r="P4200" s="65">
        <f>VLOOKUP(E4200,DATABASE!C:Q,9,False)</f>
        <v>0</v>
      </c>
      <c r="Q4200" s="93" t="str">
        <f>VLOOKUP(E4200,DATABASE!C:Q,4,false)</f>
        <v>Balancing</v>
      </c>
      <c r="R4200" s="93" t="str">
        <f>VLOOKUP(E4200,DATABASE!C:Q,11,false)</f>
        <v>COMPLEMENTARY</v>
      </c>
    </row>
    <row r="4201" ht="22.5" customHeight="1">
      <c r="A4201" s="49"/>
      <c r="C4201" s="384">
        <v>45888.0</v>
      </c>
      <c r="D4201" s="65">
        <v>6875.0</v>
      </c>
      <c r="E4201" s="445" t="s">
        <v>275</v>
      </c>
      <c r="F4201" s="386">
        <v>1.0</v>
      </c>
      <c r="G4201" s="74">
        <v>850000.0</v>
      </c>
      <c r="H4201" s="74">
        <v>0.0</v>
      </c>
      <c r="I4201" s="74">
        <f t="shared" si="1"/>
        <v>850000</v>
      </c>
      <c r="J4201" s="74">
        <f>IF(E4201="SERVICE",I4201-(I4201*50%),Vlookup(E4201,DATABASE!C:Q,10,false)*F4201)</f>
        <v>0</v>
      </c>
      <c r="K4201" s="74">
        <f>VLOOKUP(E4201,DATABASE!C:Q,7,false)</f>
        <v>782000</v>
      </c>
      <c r="L4201" s="74">
        <v>745000.0</v>
      </c>
      <c r="M4201" s="74">
        <f t="shared" si="2"/>
        <v>745000</v>
      </c>
      <c r="N4201" s="74">
        <f t="shared" si="3"/>
        <v>105000</v>
      </c>
      <c r="O4201" s="65" t="str">
        <f>VLOOKUP(E4201,DATABASE!C:Q,8,false)</f>
        <v>IBU</v>
      </c>
      <c r="P4201" s="65">
        <f>VLOOKUP(E4201,DATABASE!C:Q,9,False)</f>
        <v>1</v>
      </c>
      <c r="Q4201" s="93" t="str">
        <f>VLOOKUP(E4201,DATABASE!C:Q,4,false)</f>
        <v>Dunlop</v>
      </c>
      <c r="R4201" s="93" t="str">
        <f>VLOOKUP(E4201,DATABASE!C:Q,11,false)</f>
        <v>Tire</v>
      </c>
    </row>
    <row r="4202" ht="22.5" customHeight="1">
      <c r="A4202" s="49"/>
      <c r="C4202" s="384">
        <v>45888.0</v>
      </c>
      <c r="D4202" s="65">
        <v>6876.0</v>
      </c>
      <c r="E4202" s="445" t="s">
        <v>282</v>
      </c>
      <c r="F4202" s="386">
        <v>2.0</v>
      </c>
      <c r="G4202" s="74">
        <v>865000.0</v>
      </c>
      <c r="H4202" s="74">
        <v>0.0</v>
      </c>
      <c r="I4202" s="74">
        <f t="shared" si="1"/>
        <v>1730000</v>
      </c>
      <c r="J4202" s="74">
        <f>IF(E4202="SERVICE",I4202-(I4202*50%),Vlookup(E4202,DATABASE!C:Q,10,false)*F4202)</f>
        <v>0</v>
      </c>
      <c r="K4202" s="74">
        <f>VLOOKUP(E4202,DATABASE!C:Q,7,false)</f>
        <v>779500</v>
      </c>
      <c r="L4202" s="74">
        <v>771000.0</v>
      </c>
      <c r="M4202" s="74">
        <f t="shared" si="2"/>
        <v>775000</v>
      </c>
      <c r="N4202" s="74">
        <f t="shared" si="3"/>
        <v>180000</v>
      </c>
      <c r="O4202" s="65" t="str">
        <f>VLOOKUP(E4202,DATABASE!C:Q,8,false)</f>
        <v>IBU</v>
      </c>
      <c r="P4202" s="65">
        <f>VLOOKUP(E4202,DATABASE!C:Q,9,False)</f>
        <v>1</v>
      </c>
      <c r="Q4202" s="93" t="str">
        <f>VLOOKUP(E4202,DATABASE!C:Q,4,false)</f>
        <v>Dunlop</v>
      </c>
      <c r="R4202" s="93" t="str">
        <f>VLOOKUP(E4202,DATABASE!C:Q,11,false)</f>
        <v>Tire</v>
      </c>
    </row>
    <row r="4203" ht="22.5" customHeight="1">
      <c r="A4203" s="49"/>
      <c r="C4203" s="384">
        <v>45888.0</v>
      </c>
      <c r="D4203" s="65">
        <v>6877.0</v>
      </c>
      <c r="E4203" s="445" t="s">
        <v>688</v>
      </c>
      <c r="F4203" s="386">
        <v>5.0</v>
      </c>
      <c r="G4203" s="74">
        <v>140000.0</v>
      </c>
      <c r="H4203" s="74">
        <v>0.0</v>
      </c>
      <c r="I4203" s="74">
        <f t="shared" si="1"/>
        <v>700000</v>
      </c>
      <c r="J4203" s="74">
        <f>IF(E4203="SERVICE",I4203-(I4203*50%),Vlookup(E4203,DATABASE!C:Q,10,false)*F4203)</f>
        <v>0</v>
      </c>
      <c r="K4203" s="74">
        <f>VLOOKUP(E4203,DATABASE!C:Q,7,false)</f>
        <v>100000</v>
      </c>
      <c r="L4203" s="74">
        <v>100000.0</v>
      </c>
      <c r="M4203" s="74">
        <f t="shared" si="2"/>
        <v>100000</v>
      </c>
      <c r="N4203" s="74">
        <f t="shared" si="3"/>
        <v>200000</v>
      </c>
      <c r="O4203" s="65" t="str">
        <f>VLOOKUP(E4203,DATABASE!C:Q,8,false)</f>
        <v>BIAN</v>
      </c>
      <c r="P4203" s="65">
        <f>VLOOKUP(E4203,DATABASE!C:Q,9,False)</f>
        <v>1</v>
      </c>
      <c r="Q4203" s="93" t="str">
        <f>VLOOKUP(E4203,DATABASE!C:Q,4,false)</f>
        <v>BD</v>
      </c>
      <c r="R4203" s="93" t="str">
        <f>VLOOKUP(E4203,DATABASE!C:Q,11,false)</f>
        <v>Tire</v>
      </c>
    </row>
    <row r="4204" ht="22.5" customHeight="1">
      <c r="A4204" s="49"/>
      <c r="C4204" s="384">
        <v>45888.0</v>
      </c>
      <c r="D4204" s="65">
        <v>6877.0</v>
      </c>
      <c r="E4204" s="445" t="s">
        <v>764</v>
      </c>
      <c r="F4204" s="386">
        <v>5.0</v>
      </c>
      <c r="G4204" s="74">
        <v>170000.0</v>
      </c>
      <c r="H4204" s="74">
        <v>0.0</v>
      </c>
      <c r="I4204" s="74">
        <f t="shared" si="1"/>
        <v>850000</v>
      </c>
      <c r="J4204" s="74">
        <f>IF(E4204="SERVICE",I4204-(I4204*50%),Vlookup(E4204,DATABASE!C:Q,10,false)*F4204)</f>
        <v>0</v>
      </c>
      <c r="K4204" s="74">
        <f>VLOOKUP(E4204,DATABASE!C:Q,7,false)</f>
        <v>145000</v>
      </c>
      <c r="L4204" s="74">
        <v>145000.0</v>
      </c>
      <c r="M4204" s="74">
        <f t="shared" si="2"/>
        <v>145000</v>
      </c>
      <c r="N4204" s="74">
        <f t="shared" si="3"/>
        <v>125000</v>
      </c>
      <c r="O4204" s="65" t="str">
        <f>VLOOKUP(E4204,DATABASE!C:Q,8,false)</f>
        <v>BIAN</v>
      </c>
      <c r="P4204" s="65">
        <f>VLOOKUP(E4204,DATABASE!C:Q,9,False)</f>
        <v>1</v>
      </c>
      <c r="Q4204" s="93" t="str">
        <f>VLOOKUP(E4204,DATABASE!C:Q,4,false)</f>
        <v>BD</v>
      </c>
      <c r="R4204" s="93" t="str">
        <f>VLOOKUP(E4204,DATABASE!C:Q,11,false)</f>
        <v>Tire</v>
      </c>
    </row>
    <row r="4205" ht="22.5" customHeight="1">
      <c r="A4205" s="49"/>
      <c r="C4205" s="384">
        <v>45888.0</v>
      </c>
      <c r="D4205" s="65">
        <v>6877.0</v>
      </c>
      <c r="E4205" s="445" t="s">
        <v>284</v>
      </c>
      <c r="F4205" s="386">
        <v>5.0</v>
      </c>
      <c r="G4205" s="74">
        <v>70000.0</v>
      </c>
      <c r="H4205" s="74">
        <v>0.0</v>
      </c>
      <c r="I4205" s="74">
        <f t="shared" si="1"/>
        <v>350000</v>
      </c>
      <c r="J4205" s="74">
        <f>IF(E4205="SERVICE",I4205-(I4205*50%),Vlookup(E4205,DATABASE!C:Q,10,false)*F4205)</f>
        <v>0</v>
      </c>
      <c r="K4205" s="74">
        <f>VLOOKUP(E4205,DATABASE!C:Q,7,false)</f>
        <v>36630</v>
      </c>
      <c r="L4205" s="74">
        <v>36630.0</v>
      </c>
      <c r="M4205" s="74">
        <f t="shared" si="2"/>
        <v>40000</v>
      </c>
      <c r="N4205" s="74">
        <f t="shared" si="3"/>
        <v>150000</v>
      </c>
      <c r="O4205" s="65" t="str">
        <f>VLOOKUP(E4205,DATABASE!C:Q,8,false)</f>
        <v>BIAN</v>
      </c>
      <c r="P4205" s="65">
        <f>VLOOKUP(E4205,DATABASE!C:Q,9,False)</f>
        <v>1</v>
      </c>
      <c r="Q4205" s="93" t="str">
        <f>VLOOKUP(E4205,DATABASE!C:Q,4,false)</f>
        <v>Flap</v>
      </c>
      <c r="R4205" s="93" t="str">
        <f>VLOOKUP(E4205,DATABASE!C:Q,11,false)</f>
        <v>Tire</v>
      </c>
    </row>
    <row r="4206" ht="22.5" customHeight="1">
      <c r="A4206" s="49"/>
      <c r="C4206" s="384">
        <v>45888.0</v>
      </c>
      <c r="D4206" s="65">
        <v>6877.0</v>
      </c>
      <c r="E4206" s="445" t="s">
        <v>1743</v>
      </c>
      <c r="F4206" s="386">
        <v>5.0</v>
      </c>
      <c r="G4206" s="74">
        <v>80000.0</v>
      </c>
      <c r="H4206" s="74">
        <v>0.0</v>
      </c>
      <c r="I4206" s="74">
        <f t="shared" si="1"/>
        <v>400000</v>
      </c>
      <c r="J4206" s="74">
        <f>IF(E4206="SERVICE",I4206-(I4206*50%),Vlookup(E4206,DATABASE!C:Q,10,false)*F4206)</f>
        <v>0</v>
      </c>
      <c r="K4206" s="74">
        <f>VLOOKUP(E4206,DATABASE!C:Q,7,false)</f>
        <v>45000</v>
      </c>
      <c r="L4206" s="74">
        <v>45000.0</v>
      </c>
      <c r="M4206" s="74">
        <f t="shared" si="2"/>
        <v>45000</v>
      </c>
      <c r="N4206" s="74">
        <f t="shared" si="3"/>
        <v>175000</v>
      </c>
      <c r="O4206" s="65" t="str">
        <f>VLOOKUP(E4206,DATABASE!C:Q,8,false)</f>
        <v>BIAN</v>
      </c>
      <c r="P4206" s="65">
        <f>VLOOKUP(E4206,DATABASE!C:Q,9,False)</f>
        <v>1</v>
      </c>
      <c r="Q4206" s="93" t="str">
        <f>VLOOKUP(E4206,DATABASE!C:Q,4,false)</f>
        <v>FLAP</v>
      </c>
      <c r="R4206" s="93" t="str">
        <f>VLOOKUP(E4206,DATABASE!C:Q,11,false)</f>
        <v>Tire</v>
      </c>
    </row>
    <row r="4207" ht="22.5" customHeight="1">
      <c r="A4207" s="49"/>
      <c r="C4207" s="384">
        <v>45888.0</v>
      </c>
      <c r="D4207" s="65">
        <v>6878.0</v>
      </c>
      <c r="E4207" s="445" t="s">
        <v>256</v>
      </c>
      <c r="F4207" s="386">
        <v>1.0</v>
      </c>
      <c r="G4207" s="74">
        <v>110000.0</v>
      </c>
      <c r="H4207" s="74">
        <v>0.0</v>
      </c>
      <c r="I4207" s="74">
        <f t="shared" si="1"/>
        <v>110000</v>
      </c>
      <c r="J4207" s="74">
        <f>IF(E4207="SERVICE",I4207-(I4207*50%),Vlookup(E4207,DATABASE!C:Q,10,false)*F4207)</f>
        <v>10000</v>
      </c>
      <c r="K4207" s="74">
        <f>VLOOKUP(E4207,DATABASE!C:Q,7,false)</f>
        <v>0</v>
      </c>
      <c r="L4207" s="74">
        <v>0.0</v>
      </c>
      <c r="M4207" s="74">
        <f t="shared" si="2"/>
        <v>0</v>
      </c>
      <c r="N4207" s="74">
        <f t="shared" si="3"/>
        <v>100000</v>
      </c>
      <c r="O4207" s="65" t="str">
        <f>VLOOKUP(E4207,DATABASE!C:Q,8,false)</f>
        <v>IBU</v>
      </c>
      <c r="P4207" s="65">
        <f>VLOOKUP(E4207,DATABASE!C:Q,9,False)</f>
        <v>0</v>
      </c>
      <c r="Q4207" s="93" t="str">
        <f>VLOOKUP(E4207,DATABASE!C:Q,4,false)</f>
        <v>SPOORING</v>
      </c>
      <c r="R4207" s="93" t="str">
        <f>VLOOKUP(E4207,DATABASE!C:Q,11,false)</f>
        <v>SERVICE</v>
      </c>
    </row>
    <row r="4208" ht="22.5" customHeight="1">
      <c r="A4208" s="49"/>
      <c r="C4208" s="384">
        <v>45888.0</v>
      </c>
      <c r="D4208" s="65">
        <v>6879.0</v>
      </c>
      <c r="E4208" s="445" t="s">
        <v>2019</v>
      </c>
      <c r="F4208" s="386">
        <v>1.0</v>
      </c>
      <c r="G4208" s="74">
        <v>670000.0</v>
      </c>
      <c r="H4208" s="74">
        <v>0.0</v>
      </c>
      <c r="I4208" s="74">
        <f t="shared" si="1"/>
        <v>670000</v>
      </c>
      <c r="J4208" s="74">
        <f>IF(E4208="SERVICE",I4208-(I4208*50%),Vlookup(E4208,DATABASE!C:Q,10,false)*F4208)</f>
        <v>0</v>
      </c>
      <c r="K4208" s="74">
        <f>VLOOKUP(E4208,DATABASE!C:Q,7,false)</f>
        <v>620000</v>
      </c>
      <c r="L4208" s="74">
        <v>585000.0</v>
      </c>
      <c r="M4208" s="74">
        <f t="shared" si="2"/>
        <v>585000</v>
      </c>
      <c r="N4208" s="74">
        <f t="shared" si="3"/>
        <v>85000</v>
      </c>
      <c r="O4208" s="65" t="str">
        <f>VLOOKUP(E4208,DATABASE!C:Q,8,false)</f>
        <v>BIAN</v>
      </c>
      <c r="P4208" s="65">
        <f>VLOOKUP(E4208,DATABASE!C:Q,9,False)</f>
        <v>1</v>
      </c>
      <c r="Q4208" s="93" t="str">
        <f>VLOOKUP(E4208,DATABASE!C:Q,4,false)</f>
        <v>GT</v>
      </c>
      <c r="R4208" s="93" t="str">
        <f>VLOOKUP(E4208,DATABASE!C:Q,11,false)</f>
        <v>Tire</v>
      </c>
    </row>
    <row r="4209" ht="22.5" customHeight="1">
      <c r="A4209" s="49"/>
      <c r="C4209" s="384">
        <v>45888.0</v>
      </c>
      <c r="D4209" s="65">
        <v>6880.0</v>
      </c>
      <c r="E4209" s="445" t="s">
        <v>265</v>
      </c>
      <c r="F4209" s="386">
        <v>4.0</v>
      </c>
      <c r="G4209" s="74">
        <v>700000.0</v>
      </c>
      <c r="H4209" s="74">
        <v>0.0</v>
      </c>
      <c r="I4209" s="74">
        <f t="shared" si="1"/>
        <v>2800000</v>
      </c>
      <c r="J4209" s="74">
        <f>IF(E4209="SERVICE",I4209-(I4209*50%),Vlookup(E4209,DATABASE!C:Q,10,false)*F4209)</f>
        <v>0</v>
      </c>
      <c r="K4209" s="74">
        <f>VLOOKUP(E4209,DATABASE!C:Q,7,false)</f>
        <v>628000</v>
      </c>
      <c r="L4209" s="74">
        <v>610000.0</v>
      </c>
      <c r="M4209" s="74">
        <f t="shared" si="2"/>
        <v>610000</v>
      </c>
      <c r="N4209" s="74">
        <f t="shared" si="3"/>
        <v>360000</v>
      </c>
      <c r="O4209" s="65" t="str">
        <f>VLOOKUP(E4209,DATABASE!C:Q,8,false)</f>
        <v>IBU</v>
      </c>
      <c r="P4209" s="65">
        <f>VLOOKUP(E4209,DATABASE!C:Q,9,False)</f>
        <v>1</v>
      </c>
      <c r="Q4209" s="93" t="str">
        <f>VLOOKUP(E4209,DATABASE!C:Q,4,false)</f>
        <v>Dunlop</v>
      </c>
      <c r="R4209" s="93" t="str">
        <f>VLOOKUP(E4209,DATABASE!C:Q,11,false)</f>
        <v>Tire</v>
      </c>
    </row>
    <row r="4210" ht="22.5" customHeight="1">
      <c r="A4210" s="49"/>
      <c r="C4210" s="384">
        <v>45888.0</v>
      </c>
      <c r="D4210" s="65">
        <v>6881.0</v>
      </c>
      <c r="E4210" s="445" t="s">
        <v>256</v>
      </c>
      <c r="F4210" s="386">
        <v>1.0</v>
      </c>
      <c r="G4210" s="74">
        <v>130000.0</v>
      </c>
      <c r="H4210" s="74">
        <v>0.0</v>
      </c>
      <c r="I4210" s="74">
        <f t="shared" si="1"/>
        <v>130000</v>
      </c>
      <c r="J4210" s="74">
        <f>IF(E4210="SERVICE",I4210-(I4210*50%),Vlookup(E4210,DATABASE!C:Q,10,false)*F4210)</f>
        <v>10000</v>
      </c>
      <c r="K4210" s="74">
        <f>VLOOKUP(E4210,DATABASE!C:Q,7,false)</f>
        <v>0</v>
      </c>
      <c r="L4210" s="74">
        <v>0.0</v>
      </c>
      <c r="M4210" s="74">
        <f t="shared" si="2"/>
        <v>0</v>
      </c>
      <c r="N4210" s="74">
        <f t="shared" si="3"/>
        <v>120000</v>
      </c>
      <c r="O4210" s="65" t="str">
        <f>VLOOKUP(E4210,DATABASE!C:Q,8,false)</f>
        <v>IBU</v>
      </c>
      <c r="P4210" s="65">
        <f>VLOOKUP(E4210,DATABASE!C:Q,9,False)</f>
        <v>0</v>
      </c>
      <c r="Q4210" s="93" t="str">
        <f>VLOOKUP(E4210,DATABASE!C:Q,4,false)</f>
        <v>SPOORING</v>
      </c>
      <c r="R4210" s="93" t="str">
        <f>VLOOKUP(E4210,DATABASE!C:Q,11,false)</f>
        <v>SERVICE</v>
      </c>
    </row>
    <row r="4211" ht="22.5" customHeight="1">
      <c r="A4211" s="49"/>
      <c r="C4211" s="384">
        <v>45888.0</v>
      </c>
      <c r="D4211" s="65">
        <v>6881.0</v>
      </c>
      <c r="E4211" s="445" t="s">
        <v>251</v>
      </c>
      <c r="F4211" s="386">
        <v>1.0</v>
      </c>
      <c r="G4211" s="74">
        <v>150000.0</v>
      </c>
      <c r="H4211" s="74">
        <v>0.0</v>
      </c>
      <c r="I4211" s="74">
        <f t="shared" si="1"/>
        <v>150000</v>
      </c>
      <c r="J4211" s="74">
        <f>IF(E4211="SERVICE",I4211-(I4211*50%),Vlookup(E4211,DATABASE!C:Q,10,false)*F4211)</f>
        <v>75000</v>
      </c>
      <c r="K4211" s="74">
        <f>VLOOKUP(E4211,DATABASE!C:Q,7,false)</f>
        <v>0</v>
      </c>
      <c r="L4211" s="74">
        <v>0.0</v>
      </c>
      <c r="M4211" s="74">
        <f t="shared" si="2"/>
        <v>0</v>
      </c>
      <c r="N4211" s="74">
        <f t="shared" si="3"/>
        <v>75000</v>
      </c>
      <c r="O4211" s="65" t="str">
        <f>VLOOKUP(E4211,DATABASE!C:Q,8,false)</f>
        <v>IBU</v>
      </c>
      <c r="P4211" s="65">
        <f>VLOOKUP(E4211,DATABASE!C:Q,9,False)</f>
        <v>0</v>
      </c>
      <c r="Q4211" s="93" t="str">
        <f>VLOOKUP(E4211,DATABASE!C:Q,4,false)</f>
        <v>SERVICE</v>
      </c>
      <c r="R4211" s="93" t="str">
        <f>VLOOKUP(E4211,DATABASE!C:Q,11,false)</f>
        <v>SERVICE</v>
      </c>
    </row>
    <row r="4212" ht="22.5" customHeight="1">
      <c r="A4212" s="49"/>
      <c r="C4212" s="384">
        <v>45889.0</v>
      </c>
      <c r="D4212" s="65">
        <v>6882.0</v>
      </c>
      <c r="E4212" s="445" t="s">
        <v>974</v>
      </c>
      <c r="F4212" s="386">
        <v>2.0</v>
      </c>
      <c r="G4212" s="74">
        <v>585000.0</v>
      </c>
      <c r="H4212" s="74">
        <v>0.0</v>
      </c>
      <c r="I4212" s="74">
        <f t="shared" si="1"/>
        <v>1170000</v>
      </c>
      <c r="J4212" s="74">
        <f>IF(E4212="SERVICE",I4212-(I4212*50%),Vlookup(E4212,DATABASE!C:Q,10,false)*F4212)</f>
        <v>0</v>
      </c>
      <c r="K4212" s="74">
        <f>VLOOKUP(E4212,DATABASE!C:Q,7,false)</f>
        <v>501500</v>
      </c>
      <c r="L4212" s="74">
        <v>491000.0</v>
      </c>
      <c r="M4212" s="74">
        <f t="shared" si="2"/>
        <v>495000</v>
      </c>
      <c r="N4212" s="74">
        <f t="shared" si="3"/>
        <v>180000</v>
      </c>
      <c r="O4212" s="65" t="str">
        <f>VLOOKUP(E4212,DATABASE!C:Q,8,false)</f>
        <v>IBU</v>
      </c>
      <c r="P4212" s="65">
        <f>VLOOKUP(E4212,DATABASE!C:Q,9,False)</f>
        <v>1</v>
      </c>
      <c r="Q4212" s="93" t="str">
        <f>VLOOKUP(E4212,DATABASE!C:Q,4,false)</f>
        <v>Dunlop</v>
      </c>
      <c r="R4212" s="93" t="str">
        <f>VLOOKUP(E4212,DATABASE!C:Q,11,false)</f>
        <v>Tire</v>
      </c>
    </row>
    <row r="4213" ht="22.5" customHeight="1">
      <c r="A4213" s="49"/>
      <c r="C4213" s="384">
        <v>45889.0</v>
      </c>
      <c r="D4213" s="65">
        <v>6883.0</v>
      </c>
      <c r="E4213" s="445" t="s">
        <v>856</v>
      </c>
      <c r="F4213" s="386">
        <v>1.0</v>
      </c>
      <c r="G4213" s="74">
        <v>670000.0</v>
      </c>
      <c r="H4213" s="74">
        <v>0.0</v>
      </c>
      <c r="I4213" s="74">
        <f t="shared" si="1"/>
        <v>670000</v>
      </c>
      <c r="J4213" s="74">
        <f>IF(E4213="SERVICE",I4213-(I4213*50%),Vlookup(E4213,DATABASE!C:Q,10,false)*F4213)</f>
        <v>0</v>
      </c>
      <c r="K4213" s="74">
        <f>VLOOKUP(E4213,DATABASE!C:Q,7,false)</f>
        <v>615300</v>
      </c>
      <c r="L4213" s="74">
        <v>581120.0</v>
      </c>
      <c r="M4213" s="74">
        <f t="shared" si="2"/>
        <v>585000</v>
      </c>
      <c r="N4213" s="74">
        <f t="shared" si="3"/>
        <v>85000</v>
      </c>
      <c r="O4213" s="65" t="str">
        <f>VLOOKUP(E4213,DATABASE!C:Q,8,false)</f>
        <v>BIAN</v>
      </c>
      <c r="P4213" s="65">
        <f>VLOOKUP(E4213,DATABASE!C:Q,9,False)</f>
        <v>1</v>
      </c>
      <c r="Q4213" s="93" t="str">
        <f>VLOOKUP(E4213,DATABASE!C:Q,4,false)</f>
        <v>GT</v>
      </c>
      <c r="R4213" s="93" t="str">
        <f>VLOOKUP(E4213,DATABASE!C:Q,11,false)</f>
        <v>Tire</v>
      </c>
    </row>
    <row r="4214" ht="22.5" customHeight="1">
      <c r="A4214" s="49"/>
      <c r="C4214" s="384">
        <v>45889.0</v>
      </c>
      <c r="D4214" s="65">
        <v>6886.0</v>
      </c>
      <c r="E4214" s="445" t="s">
        <v>265</v>
      </c>
      <c r="F4214" s="386">
        <v>2.0</v>
      </c>
      <c r="G4214" s="74">
        <v>700000.0</v>
      </c>
      <c r="H4214" s="74">
        <v>0.0</v>
      </c>
      <c r="I4214" s="74">
        <f t="shared" si="1"/>
        <v>1400000</v>
      </c>
      <c r="J4214" s="74">
        <f>IF(E4214="SERVICE",I4214-(I4214*50%),Vlookup(E4214,DATABASE!C:Q,10,false)*F4214)</f>
        <v>0</v>
      </c>
      <c r="K4214" s="74">
        <f>VLOOKUP(E4214,DATABASE!C:Q,7,false)</f>
        <v>628000</v>
      </c>
      <c r="L4214" s="74">
        <v>610000.0</v>
      </c>
      <c r="M4214" s="74">
        <f t="shared" si="2"/>
        <v>610000</v>
      </c>
      <c r="N4214" s="74">
        <f t="shared" si="3"/>
        <v>180000</v>
      </c>
      <c r="O4214" s="65" t="str">
        <f>VLOOKUP(E4214,DATABASE!C:Q,8,false)</f>
        <v>IBU</v>
      </c>
      <c r="P4214" s="65">
        <f>VLOOKUP(E4214,DATABASE!C:Q,9,False)</f>
        <v>1</v>
      </c>
      <c r="Q4214" s="93" t="str">
        <f>VLOOKUP(E4214,DATABASE!C:Q,4,false)</f>
        <v>Dunlop</v>
      </c>
      <c r="R4214" s="93" t="str">
        <f>VLOOKUP(E4214,DATABASE!C:Q,11,false)</f>
        <v>Tire</v>
      </c>
    </row>
    <row r="4215" ht="22.5" customHeight="1">
      <c r="A4215" s="49"/>
      <c r="C4215" s="384">
        <v>45889.0</v>
      </c>
      <c r="D4215" s="65">
        <v>6887.0</v>
      </c>
      <c r="E4215" s="445" t="s">
        <v>268</v>
      </c>
      <c r="F4215" s="386">
        <v>2.0</v>
      </c>
      <c r="G4215" s="74">
        <v>720000.0</v>
      </c>
      <c r="H4215" s="74">
        <v>0.0</v>
      </c>
      <c r="I4215" s="74">
        <f t="shared" si="1"/>
        <v>1440000</v>
      </c>
      <c r="J4215" s="74">
        <f>IF(E4215="SERVICE",I4215-(I4215*50%),Vlookup(E4215,DATABASE!C:Q,10,false)*F4215)</f>
        <v>0</v>
      </c>
      <c r="K4215" s="74">
        <f>VLOOKUP(E4215,DATABASE!C:Q,7,false)</f>
        <v>653000</v>
      </c>
      <c r="L4215" s="74">
        <v>622000.0</v>
      </c>
      <c r="M4215" s="74">
        <f t="shared" si="2"/>
        <v>625000</v>
      </c>
      <c r="N4215" s="74">
        <f t="shared" si="3"/>
        <v>190000</v>
      </c>
      <c r="O4215" s="65" t="str">
        <f>VLOOKUP(E4215,DATABASE!C:Q,8,false)</f>
        <v>IBU</v>
      </c>
      <c r="P4215" s="65">
        <f>VLOOKUP(E4215,DATABASE!C:Q,9,False)</f>
        <v>1</v>
      </c>
      <c r="Q4215" s="93" t="str">
        <f>VLOOKUP(E4215,DATABASE!C:Q,4,false)</f>
        <v>Dunlop</v>
      </c>
      <c r="R4215" s="93" t="str">
        <f>VLOOKUP(E4215,DATABASE!C:Q,11,false)</f>
        <v>Tire</v>
      </c>
    </row>
    <row r="4216" ht="22.5" customHeight="1">
      <c r="A4216" s="49"/>
      <c r="C4216" s="384">
        <v>45889.0</v>
      </c>
      <c r="D4216" s="65">
        <v>6889.0</v>
      </c>
      <c r="E4216" s="445" t="s">
        <v>256</v>
      </c>
      <c r="F4216" s="386">
        <v>1.0</v>
      </c>
      <c r="G4216" s="74">
        <v>130000.0</v>
      </c>
      <c r="H4216" s="74">
        <v>0.0</v>
      </c>
      <c r="I4216" s="74">
        <f t="shared" si="1"/>
        <v>130000</v>
      </c>
      <c r="J4216" s="74">
        <f>IF(E4216="SERVICE",I4216-(I4216*50%),Vlookup(E4216,DATABASE!C:Q,10,false)*F4216)</f>
        <v>10000</v>
      </c>
      <c r="K4216" s="74">
        <f>VLOOKUP(E4216,DATABASE!C:Q,7,false)</f>
        <v>0</v>
      </c>
      <c r="L4216" s="74">
        <v>0.0</v>
      </c>
      <c r="M4216" s="74">
        <f t="shared" si="2"/>
        <v>0</v>
      </c>
      <c r="N4216" s="74">
        <f t="shared" si="3"/>
        <v>120000</v>
      </c>
      <c r="O4216" s="65" t="str">
        <f>VLOOKUP(E4216,DATABASE!C:Q,8,false)</f>
        <v>IBU</v>
      </c>
      <c r="P4216" s="65">
        <f>VLOOKUP(E4216,DATABASE!C:Q,9,False)</f>
        <v>0</v>
      </c>
      <c r="Q4216" s="93" t="str">
        <f>VLOOKUP(E4216,DATABASE!C:Q,4,false)</f>
        <v>SPOORING</v>
      </c>
      <c r="R4216" s="93" t="str">
        <f>VLOOKUP(E4216,DATABASE!C:Q,11,false)</f>
        <v>SERVICE</v>
      </c>
    </row>
    <row r="4217" ht="22.5" customHeight="1">
      <c r="A4217" s="49"/>
      <c r="C4217" s="384">
        <v>45889.0</v>
      </c>
      <c r="D4217" s="65">
        <v>6889.0</v>
      </c>
      <c r="E4217" s="445" t="s">
        <v>251</v>
      </c>
      <c r="F4217" s="386">
        <v>1.0</v>
      </c>
      <c r="G4217" s="74">
        <v>150000.0</v>
      </c>
      <c r="H4217" s="74">
        <v>0.0</v>
      </c>
      <c r="I4217" s="74">
        <f t="shared" si="1"/>
        <v>150000</v>
      </c>
      <c r="J4217" s="74">
        <f>IF(E4217="SERVICE",I4217-(I4217*50%),Vlookup(E4217,DATABASE!C:Q,10,false)*F4217)</f>
        <v>75000</v>
      </c>
      <c r="K4217" s="74">
        <f>VLOOKUP(E4217,DATABASE!C:Q,7,false)</f>
        <v>0</v>
      </c>
      <c r="L4217" s="74">
        <v>0.0</v>
      </c>
      <c r="M4217" s="74">
        <f t="shared" si="2"/>
        <v>0</v>
      </c>
      <c r="N4217" s="74">
        <f t="shared" si="3"/>
        <v>75000</v>
      </c>
      <c r="O4217" s="65" t="str">
        <f>VLOOKUP(E4217,DATABASE!C:Q,8,false)</f>
        <v>IBU</v>
      </c>
      <c r="P4217" s="65">
        <f>VLOOKUP(E4217,DATABASE!C:Q,9,False)</f>
        <v>0</v>
      </c>
      <c r="Q4217" s="93" t="str">
        <f>VLOOKUP(E4217,DATABASE!C:Q,4,false)</f>
        <v>SERVICE</v>
      </c>
      <c r="R4217" s="93" t="str">
        <f>VLOOKUP(E4217,DATABASE!C:Q,11,false)</f>
        <v>SERVICE</v>
      </c>
    </row>
    <row r="4218" ht="22.5" customHeight="1">
      <c r="A4218" s="49"/>
      <c r="C4218" s="384">
        <v>45889.0</v>
      </c>
      <c r="D4218" s="65">
        <v>6890.0</v>
      </c>
      <c r="E4218" s="445" t="s">
        <v>1597</v>
      </c>
      <c r="F4218" s="386">
        <v>2.0</v>
      </c>
      <c r="G4218" s="74">
        <v>640000.0</v>
      </c>
      <c r="H4218" s="74">
        <v>0.0</v>
      </c>
      <c r="I4218" s="74">
        <f t="shared" si="1"/>
        <v>1280000</v>
      </c>
      <c r="J4218" s="74">
        <f>IF(E4218="SERVICE",I4218-(I4218*50%),Vlookup(E4218,DATABASE!C:Q,10,false)*F4218)</f>
        <v>0</v>
      </c>
      <c r="K4218" s="74">
        <f>VLOOKUP(E4218,DATABASE!C:Q,7,false)</f>
        <v>560700</v>
      </c>
      <c r="L4218" s="74">
        <v>544300.0</v>
      </c>
      <c r="M4218" s="74">
        <f t="shared" si="2"/>
        <v>545000</v>
      </c>
      <c r="N4218" s="74">
        <f t="shared" si="3"/>
        <v>190000</v>
      </c>
      <c r="O4218" s="65" t="str">
        <f>VLOOKUP(E4218,DATABASE!C:Q,8,false)</f>
        <v>BIAN</v>
      </c>
      <c r="P4218" s="65">
        <f>VLOOKUP(E4218,DATABASE!C:Q,9,False)</f>
        <v>1</v>
      </c>
      <c r="Q4218" s="93" t="str">
        <f>VLOOKUP(E4218,DATABASE!C:Q,4,false)</f>
        <v>GT</v>
      </c>
      <c r="R4218" s="93" t="str">
        <f>VLOOKUP(E4218,DATABASE!C:Q,11,false)</f>
        <v>Tire</v>
      </c>
    </row>
    <row r="4219" ht="22.5" customHeight="1">
      <c r="A4219" s="49"/>
      <c r="C4219" s="384">
        <v>45889.0</v>
      </c>
      <c r="D4219" s="65">
        <v>6891.0</v>
      </c>
      <c r="E4219" s="445" t="s">
        <v>268</v>
      </c>
      <c r="F4219" s="386">
        <v>1.0</v>
      </c>
      <c r="G4219" s="74">
        <v>720000.0</v>
      </c>
      <c r="H4219" s="74">
        <v>0.0</v>
      </c>
      <c r="I4219" s="74">
        <f t="shared" si="1"/>
        <v>720000</v>
      </c>
      <c r="J4219" s="74">
        <f>IF(E4219="SERVICE",I4219-(I4219*50%),Vlookup(E4219,DATABASE!C:Q,10,false)*F4219)</f>
        <v>0</v>
      </c>
      <c r="K4219" s="74">
        <f>VLOOKUP(E4219,DATABASE!C:Q,7,false)</f>
        <v>653000</v>
      </c>
      <c r="L4219" s="74">
        <v>622000.0</v>
      </c>
      <c r="M4219" s="74">
        <f t="shared" si="2"/>
        <v>625000</v>
      </c>
      <c r="N4219" s="74">
        <f t="shared" si="3"/>
        <v>95000</v>
      </c>
      <c r="O4219" s="65" t="str">
        <f>VLOOKUP(E4219,DATABASE!C:Q,8,false)</f>
        <v>IBU</v>
      </c>
      <c r="P4219" s="65">
        <f>VLOOKUP(E4219,DATABASE!C:Q,9,False)</f>
        <v>1</v>
      </c>
      <c r="Q4219" s="93" t="str">
        <f>VLOOKUP(E4219,DATABASE!C:Q,4,false)</f>
        <v>Dunlop</v>
      </c>
      <c r="R4219" s="93" t="str">
        <f>VLOOKUP(E4219,DATABASE!C:Q,11,false)</f>
        <v>Tire</v>
      </c>
    </row>
    <row r="4220" ht="22.5" customHeight="1">
      <c r="A4220" s="49"/>
      <c r="C4220" s="384">
        <v>45889.0</v>
      </c>
      <c r="D4220" s="65">
        <v>6892.0</v>
      </c>
      <c r="E4220" s="445" t="s">
        <v>1097</v>
      </c>
      <c r="F4220" s="386">
        <v>2.0</v>
      </c>
      <c r="G4220" s="74">
        <v>920000.0</v>
      </c>
      <c r="H4220" s="74">
        <v>0.0</v>
      </c>
      <c r="I4220" s="74">
        <f t="shared" si="1"/>
        <v>1840000</v>
      </c>
      <c r="J4220" s="74">
        <f>IF(E4220="SERVICE",I4220-(I4220*50%),Vlookup(E4220,DATABASE!C:Q,10,false)*F4220)</f>
        <v>0</v>
      </c>
      <c r="K4220" s="74">
        <f>VLOOKUP(E4220,DATABASE!C:Q,7,false)</f>
        <v>844838.5</v>
      </c>
      <c r="L4220" s="74">
        <v>808945.0</v>
      </c>
      <c r="M4220" s="74">
        <f t="shared" si="2"/>
        <v>810000</v>
      </c>
      <c r="N4220" s="74">
        <f t="shared" si="3"/>
        <v>220000</v>
      </c>
      <c r="O4220" s="65" t="str">
        <f>VLOOKUP(E4220,DATABASE!C:Q,8,false)</f>
        <v>IBU</v>
      </c>
      <c r="P4220" s="65">
        <f>VLOOKUP(E4220,DATABASE!C:Q,9,False)</f>
        <v>1</v>
      </c>
      <c r="Q4220" s="93" t="str">
        <f>VLOOKUP(E4220,DATABASE!C:Q,4,false)</f>
        <v>Bridgestone</v>
      </c>
      <c r="R4220" s="93" t="str">
        <f>VLOOKUP(E4220,DATABASE!C:Q,11,false)</f>
        <v>Tire</v>
      </c>
    </row>
    <row r="4221" ht="22.5" customHeight="1">
      <c r="A4221" s="49"/>
      <c r="C4221" s="384">
        <v>45889.0</v>
      </c>
      <c r="D4221" s="65">
        <v>6893.0</v>
      </c>
      <c r="E4221" s="445" t="s">
        <v>268</v>
      </c>
      <c r="F4221" s="386">
        <v>2.0</v>
      </c>
      <c r="G4221" s="74">
        <v>720000.0</v>
      </c>
      <c r="H4221" s="74">
        <v>0.0</v>
      </c>
      <c r="I4221" s="74">
        <f t="shared" si="1"/>
        <v>1440000</v>
      </c>
      <c r="J4221" s="74">
        <f>IF(E4221="SERVICE",I4221-(I4221*50%),Vlookup(E4221,DATABASE!C:Q,10,false)*F4221)</f>
        <v>0</v>
      </c>
      <c r="K4221" s="74">
        <f>VLOOKUP(E4221,DATABASE!C:Q,7,false)</f>
        <v>653000</v>
      </c>
      <c r="L4221" s="74">
        <v>622000.0</v>
      </c>
      <c r="M4221" s="74">
        <f t="shared" si="2"/>
        <v>625000</v>
      </c>
      <c r="N4221" s="74">
        <f t="shared" si="3"/>
        <v>190000</v>
      </c>
      <c r="O4221" s="65" t="str">
        <f>VLOOKUP(E4221,DATABASE!C:Q,8,false)</f>
        <v>IBU</v>
      </c>
      <c r="P4221" s="65">
        <f>VLOOKUP(E4221,DATABASE!C:Q,9,False)</f>
        <v>1</v>
      </c>
      <c r="Q4221" s="93" t="str">
        <f>VLOOKUP(E4221,DATABASE!C:Q,4,false)</f>
        <v>Dunlop</v>
      </c>
      <c r="R4221" s="93" t="str">
        <f>VLOOKUP(E4221,DATABASE!C:Q,11,false)</f>
        <v>Tire</v>
      </c>
    </row>
    <row r="4222" ht="22.5" customHeight="1">
      <c r="A4222" s="49"/>
      <c r="C4222" s="384">
        <v>45890.0</v>
      </c>
      <c r="D4222" s="65">
        <v>6894.0</v>
      </c>
      <c r="E4222" s="445" t="s">
        <v>647</v>
      </c>
      <c r="F4222" s="386">
        <v>1.0</v>
      </c>
      <c r="G4222" s="74">
        <v>1470000.0</v>
      </c>
      <c r="H4222" s="74">
        <v>0.0</v>
      </c>
      <c r="I4222" s="74">
        <f t="shared" si="1"/>
        <v>1470000</v>
      </c>
      <c r="J4222" s="74">
        <f>IF(E4222="SERVICE",I4222-(I4222*50%),Vlookup(E4222,DATABASE!C:Q,10,false)*F4222)</f>
        <v>0</v>
      </c>
      <c r="K4222" s="74">
        <f>VLOOKUP(E4222,DATABASE!C:Q,7,false)</f>
        <v>1420000</v>
      </c>
      <c r="L4222" s="74">
        <v>1420000.0</v>
      </c>
      <c r="M4222" s="74">
        <f t="shared" si="2"/>
        <v>1420000</v>
      </c>
      <c r="N4222" s="74">
        <f t="shared" si="3"/>
        <v>50000</v>
      </c>
      <c r="O4222" s="65" t="str">
        <f>VLOOKUP(E4222,DATABASE!C:Q,8,false)</f>
        <v>BIAN</v>
      </c>
      <c r="P4222" s="65">
        <f>VLOOKUP(E4222,DATABASE!C:Q,9,False)</f>
        <v>1</v>
      </c>
      <c r="Q4222" s="93" t="str">
        <f>VLOOKUP(E4222,DATABASE!C:Q,4,false)</f>
        <v>G. YEAR</v>
      </c>
      <c r="R4222" s="93" t="str">
        <f>VLOOKUP(E4222,DATABASE!C:Q,11,false)</f>
        <v>Tire</v>
      </c>
    </row>
    <row r="4223" ht="22.5" customHeight="1">
      <c r="A4223" s="49"/>
      <c r="C4223" s="384">
        <v>45890.0</v>
      </c>
      <c r="D4223" s="65">
        <v>6895.0</v>
      </c>
      <c r="E4223" s="445" t="s">
        <v>1606</v>
      </c>
      <c r="F4223" s="386">
        <v>1.0</v>
      </c>
      <c r="G4223" s="74">
        <v>1700000.0</v>
      </c>
      <c r="H4223" s="74">
        <v>0.0</v>
      </c>
      <c r="I4223" s="74">
        <f t="shared" si="1"/>
        <v>1700000</v>
      </c>
      <c r="J4223" s="74">
        <f>IF(E4223="SERVICE",I4223-(I4223*50%),Vlookup(E4223,DATABASE!C:Q,10,false)*F4223)</f>
        <v>0</v>
      </c>
      <c r="K4223" s="74">
        <f>VLOOKUP(E4223,DATABASE!C:Q,7,false)</f>
        <v>1635000</v>
      </c>
      <c r="L4223" s="74">
        <v>1635000.0</v>
      </c>
      <c r="M4223" s="74">
        <f t="shared" si="2"/>
        <v>1635000</v>
      </c>
      <c r="N4223" s="74">
        <f t="shared" si="3"/>
        <v>65000</v>
      </c>
      <c r="O4223" s="65" t="str">
        <f>VLOOKUP(E4223,DATABASE!C:Q,8,false)</f>
        <v>IBU</v>
      </c>
      <c r="P4223" s="65">
        <f>VLOOKUP(E4223,DATABASE!C:Q,9,False)</f>
        <v>0</v>
      </c>
      <c r="Q4223" s="93" t="str">
        <f>VLOOKUP(E4223,DATABASE!C:Q,4,false)</f>
        <v>Dunlop</v>
      </c>
      <c r="R4223" s="93" t="str">
        <f>VLOOKUP(E4223,DATABASE!C:Q,11,false)</f>
        <v>Tire</v>
      </c>
    </row>
    <row r="4224" ht="22.5" customHeight="1">
      <c r="A4224" s="49"/>
      <c r="C4224" s="384">
        <v>45890.0</v>
      </c>
      <c r="D4224" s="65">
        <v>6896.0</v>
      </c>
      <c r="E4224" s="445" t="s">
        <v>246</v>
      </c>
      <c r="F4224" s="386">
        <v>2.0</v>
      </c>
      <c r="G4224" s="74">
        <v>25000.0</v>
      </c>
      <c r="H4224" s="74">
        <v>0.0</v>
      </c>
      <c r="I4224" s="74">
        <f t="shared" si="1"/>
        <v>50000</v>
      </c>
      <c r="J4224" s="74">
        <f>IF(E4224="SERVICE",I4224-(I4224*50%),Vlookup(E4224,DATABASE!C:Q,10,false)*F4224)</f>
        <v>0</v>
      </c>
      <c r="K4224" s="74">
        <f>VLOOKUP(E4224,DATABASE!C:Q,7,false)</f>
        <v>0</v>
      </c>
      <c r="L4224" s="74">
        <v>0.0</v>
      </c>
      <c r="M4224" s="74">
        <f t="shared" si="2"/>
        <v>0</v>
      </c>
      <c r="N4224" s="74">
        <f t="shared" si="3"/>
        <v>50000</v>
      </c>
      <c r="O4224" s="65" t="str">
        <f>VLOOKUP(E4224,DATABASE!C:Q,8,false)</f>
        <v>IBU</v>
      </c>
      <c r="P4224" s="65">
        <f>VLOOKUP(E4224,DATABASE!C:Q,9,False)</f>
        <v>0</v>
      </c>
      <c r="Q4224" s="93" t="str">
        <f>VLOOKUP(E4224,DATABASE!C:Q,4,false)</f>
        <v>Bongkar Pasang</v>
      </c>
      <c r="R4224" s="93" t="str">
        <f>VLOOKUP(E4224,DATABASE!C:Q,11,false)</f>
        <v>SERVICE</v>
      </c>
    </row>
    <row r="4225" ht="22.5" customHeight="1">
      <c r="A4225" s="49"/>
      <c r="C4225" s="384">
        <v>45890.0</v>
      </c>
      <c r="D4225" s="65">
        <v>6896.0</v>
      </c>
      <c r="E4225" s="445" t="s">
        <v>2199</v>
      </c>
      <c r="F4225" s="386">
        <v>1.0</v>
      </c>
      <c r="G4225" s="74">
        <v>15000.0</v>
      </c>
      <c r="H4225" s="74">
        <v>0.0</v>
      </c>
      <c r="I4225" s="74">
        <f t="shared" si="1"/>
        <v>15000</v>
      </c>
      <c r="J4225" s="74">
        <f>IF(E4225="SERVICE",I4225-(I4225*50%),Vlookup(E4225,DATABASE!C:Q,10,false)*F4225)</f>
        <v>0</v>
      </c>
      <c r="K4225" s="74">
        <f>VLOOKUP(E4225,DATABASE!C:Q,7,false)</f>
        <v>5000</v>
      </c>
      <c r="L4225" s="74">
        <v>0.0</v>
      </c>
      <c r="M4225" s="74">
        <f t="shared" si="2"/>
        <v>0</v>
      </c>
      <c r="N4225" s="74">
        <f t="shared" si="3"/>
        <v>15000</v>
      </c>
      <c r="O4225" s="65" t="str">
        <f>VLOOKUP(E4225,DATABASE!C:Q,8,false)</f>
        <v>BIAN</v>
      </c>
      <c r="P4225" s="65">
        <f>VLOOKUP(E4225,DATABASE!C:Q,9,False)</f>
        <v>0</v>
      </c>
      <c r="Q4225" s="93" t="str">
        <f>VLOOKUP(E4225,DATABASE!C:Q,4,false)</f>
        <v>TAMBAL TUBLES</v>
      </c>
      <c r="R4225" s="93" t="str">
        <f>VLOOKUP(E4225,DATABASE!C:Q,11,false)</f>
        <v>COMPLEMENTARY</v>
      </c>
    </row>
    <row r="4226" ht="22.5" customHeight="1">
      <c r="A4226" s="49"/>
      <c r="C4226" s="384">
        <v>45890.0</v>
      </c>
      <c r="D4226" s="65">
        <v>6897.0</v>
      </c>
      <c r="E4226" s="445" t="s">
        <v>271</v>
      </c>
      <c r="F4226" s="386">
        <v>1.0</v>
      </c>
      <c r="G4226" s="74">
        <v>640000.0</v>
      </c>
      <c r="H4226" s="74">
        <v>0.0</v>
      </c>
      <c r="I4226" s="74">
        <f t="shared" si="1"/>
        <v>640000</v>
      </c>
      <c r="J4226" s="74">
        <f>IF(E4226="SERVICE",I4226-(I4226*50%),Vlookup(E4226,DATABASE!C:Q,10,false)*F4226)</f>
        <v>0</v>
      </c>
      <c r="K4226" s="74">
        <f>VLOOKUP(E4226,DATABASE!C:Q,7,false)</f>
        <v>570000</v>
      </c>
      <c r="L4226" s="74">
        <v>539000.0</v>
      </c>
      <c r="M4226" s="74">
        <f t="shared" si="2"/>
        <v>540000</v>
      </c>
      <c r="N4226" s="74">
        <f t="shared" si="3"/>
        <v>100000</v>
      </c>
      <c r="O4226" s="65" t="str">
        <f>VLOOKUP(E4226,DATABASE!C:Q,8,false)</f>
        <v>IBU</v>
      </c>
      <c r="P4226" s="65">
        <f>VLOOKUP(E4226,DATABASE!C:Q,9,False)</f>
        <v>1</v>
      </c>
      <c r="Q4226" s="93" t="str">
        <f>VLOOKUP(E4226,DATABASE!C:Q,4,false)</f>
        <v>Dunlop</v>
      </c>
      <c r="R4226" s="93" t="str">
        <f>VLOOKUP(E4226,DATABASE!C:Q,11,false)</f>
        <v>Tire</v>
      </c>
    </row>
    <row r="4227" ht="22.5" customHeight="1">
      <c r="A4227" s="49"/>
      <c r="C4227" s="384">
        <v>45890.0</v>
      </c>
      <c r="D4227" s="65">
        <v>6898.0</v>
      </c>
      <c r="E4227" s="445" t="s">
        <v>777</v>
      </c>
      <c r="F4227" s="386">
        <v>2.0</v>
      </c>
      <c r="G4227" s="74">
        <v>585000.0</v>
      </c>
      <c r="H4227" s="74">
        <v>0.0</v>
      </c>
      <c r="I4227" s="74">
        <f t="shared" si="1"/>
        <v>1170000</v>
      </c>
      <c r="J4227" s="74">
        <f>IF(E4227="SERVICE",I4227-(I4227*50%),Vlookup(E4227,DATABASE!C:Q,10,false)*F4227)</f>
        <v>0</v>
      </c>
      <c r="K4227" s="74">
        <f>VLOOKUP(E4227,DATABASE!C:Q,7,false)</f>
        <v>540000</v>
      </c>
      <c r="L4227" s="74">
        <v>507000.0</v>
      </c>
      <c r="M4227" s="74">
        <f t="shared" si="2"/>
        <v>510000</v>
      </c>
      <c r="N4227" s="74">
        <f t="shared" si="3"/>
        <v>150000</v>
      </c>
      <c r="O4227" s="65" t="str">
        <f>VLOOKUP(E4227,DATABASE!C:Q,8,false)</f>
        <v>BIAN</v>
      </c>
      <c r="P4227" s="65">
        <f>VLOOKUP(E4227,DATABASE!C:Q,9,False)</f>
        <v>1</v>
      </c>
      <c r="Q4227" s="93" t="str">
        <f>VLOOKUP(E4227,DATABASE!C:Q,4,false)</f>
        <v>GT</v>
      </c>
      <c r="R4227" s="93" t="str">
        <f>VLOOKUP(E4227,DATABASE!C:Q,11,false)</f>
        <v>Tire</v>
      </c>
    </row>
    <row r="4228" ht="22.5" customHeight="1">
      <c r="A4228" s="49"/>
      <c r="C4228" s="384">
        <v>45890.0</v>
      </c>
      <c r="D4228" s="65">
        <v>6898.0</v>
      </c>
      <c r="E4228" s="445" t="s">
        <v>250</v>
      </c>
      <c r="F4228" s="386">
        <v>3.0</v>
      </c>
      <c r="G4228" s="74">
        <v>135000.0</v>
      </c>
      <c r="H4228" s="74">
        <v>0.0</v>
      </c>
      <c r="I4228" s="74">
        <f t="shared" si="1"/>
        <v>405000</v>
      </c>
      <c r="J4228" s="74">
        <f>IF(E4228="SERVICE",I4228-(I4228*50%),Vlookup(E4228,DATABASE!C:Q,10,false)*F4228)</f>
        <v>0</v>
      </c>
      <c r="K4228" s="74">
        <f>VLOOKUP(E4228,DATABASE!C:Q,7,false)</f>
        <v>102000</v>
      </c>
      <c r="L4228" s="74">
        <v>102000.0</v>
      </c>
      <c r="M4228" s="74">
        <f t="shared" si="2"/>
        <v>105000</v>
      </c>
      <c r="N4228" s="74">
        <f t="shared" si="3"/>
        <v>90000</v>
      </c>
      <c r="O4228" s="65" t="str">
        <f>VLOOKUP(E4228,DATABASE!C:Q,8,false)</f>
        <v>BIAN</v>
      </c>
      <c r="P4228" s="65">
        <f>VLOOKUP(E4228,DATABASE!C:Q,9,False)</f>
        <v>1</v>
      </c>
      <c r="Q4228" s="93" t="str">
        <f>VLOOKUP(E4228,DATABASE!C:Q,4,false)</f>
        <v>BD</v>
      </c>
      <c r="R4228" s="93" t="str">
        <f>VLOOKUP(E4228,DATABASE!C:Q,11,false)</f>
        <v>Tire</v>
      </c>
    </row>
    <row r="4229" ht="22.5" customHeight="1">
      <c r="A4229" s="49"/>
      <c r="C4229" s="384">
        <v>45890.0</v>
      </c>
      <c r="D4229" s="65">
        <v>6898.0</v>
      </c>
      <c r="E4229" s="445" t="s">
        <v>256</v>
      </c>
      <c r="F4229" s="386">
        <v>1.0</v>
      </c>
      <c r="G4229" s="74">
        <v>125000.0</v>
      </c>
      <c r="H4229" s="74">
        <v>0.0</v>
      </c>
      <c r="I4229" s="74">
        <f t="shared" si="1"/>
        <v>125000</v>
      </c>
      <c r="J4229" s="74">
        <f>IF(E4229="SERVICE",I4229-(I4229*50%),Vlookup(E4229,DATABASE!C:Q,10,false)*F4229)</f>
        <v>10000</v>
      </c>
      <c r="K4229" s="74">
        <f>VLOOKUP(E4229,DATABASE!C:Q,7,false)</f>
        <v>0</v>
      </c>
      <c r="L4229" s="74">
        <v>0.0</v>
      </c>
      <c r="M4229" s="74">
        <f t="shared" si="2"/>
        <v>0</v>
      </c>
      <c r="N4229" s="74">
        <f t="shared" si="3"/>
        <v>115000</v>
      </c>
      <c r="O4229" s="65" t="str">
        <f>VLOOKUP(E4229,DATABASE!C:Q,8,false)</f>
        <v>IBU</v>
      </c>
      <c r="P4229" s="65">
        <f>VLOOKUP(E4229,DATABASE!C:Q,9,False)</f>
        <v>0</v>
      </c>
      <c r="Q4229" s="93" t="str">
        <f>VLOOKUP(E4229,DATABASE!C:Q,4,false)</f>
        <v>SPOORING</v>
      </c>
      <c r="R4229" s="93" t="str">
        <f>VLOOKUP(E4229,DATABASE!C:Q,11,false)</f>
        <v>SERVICE</v>
      </c>
    </row>
    <row r="4230" ht="22.5" customHeight="1">
      <c r="A4230" s="49"/>
      <c r="C4230" s="384">
        <v>45890.0</v>
      </c>
      <c r="D4230" s="65">
        <v>6898.0</v>
      </c>
      <c r="E4230" s="445" t="s">
        <v>301</v>
      </c>
      <c r="F4230" s="386">
        <v>1.0</v>
      </c>
      <c r="G4230" s="74">
        <v>250000.0</v>
      </c>
      <c r="H4230" s="74">
        <v>0.0</v>
      </c>
      <c r="I4230" s="74">
        <f t="shared" si="1"/>
        <v>250000</v>
      </c>
      <c r="J4230" s="74">
        <f>IF(E4230="SERVICE",I4230-(I4230*50%),Vlookup(E4230,DATABASE!C:Q,10,false)*F4230)</f>
        <v>75000</v>
      </c>
      <c r="K4230" s="74">
        <f>VLOOKUP(E4230,DATABASE!C:Q,7,false)</f>
        <v>75000</v>
      </c>
      <c r="L4230" s="74">
        <v>75000.0</v>
      </c>
      <c r="M4230" s="74">
        <f t="shared" si="2"/>
        <v>75000</v>
      </c>
      <c r="N4230" s="74">
        <f t="shared" si="3"/>
        <v>100000</v>
      </c>
      <c r="O4230" s="65" t="str">
        <f>VLOOKUP(E4230,DATABASE!C:Q,8,false)</f>
        <v>BIAN</v>
      </c>
      <c r="P4230" s="65">
        <f>VLOOKUP(E4230,DATABASE!C:Q,9,False)</f>
        <v>0</v>
      </c>
      <c r="Q4230" s="93" t="str">
        <f>VLOOKUP(E4230,DATABASE!C:Q,4,false)</f>
        <v>Baut Camber</v>
      </c>
      <c r="R4230" s="93" t="str">
        <f>VLOOKUP(E4230,DATABASE!C:Q,11,false)</f>
        <v>COMPLEMENTARY</v>
      </c>
    </row>
    <row r="4231" ht="22.5" customHeight="1">
      <c r="A4231" s="49"/>
      <c r="C4231" s="384">
        <v>45890.0</v>
      </c>
      <c r="D4231" s="65">
        <v>6900.0</v>
      </c>
      <c r="E4231" s="445" t="s">
        <v>268</v>
      </c>
      <c r="F4231" s="386">
        <v>2.0</v>
      </c>
      <c r="G4231" s="74">
        <v>720000.0</v>
      </c>
      <c r="H4231" s="74">
        <v>0.0</v>
      </c>
      <c r="I4231" s="74">
        <f t="shared" si="1"/>
        <v>1440000</v>
      </c>
      <c r="J4231" s="74">
        <f>IF(E4231="SERVICE",I4231-(I4231*50%),Vlookup(E4231,DATABASE!C:Q,10,false)*F4231)</f>
        <v>0</v>
      </c>
      <c r="K4231" s="74">
        <f>VLOOKUP(E4231,DATABASE!C:Q,7,false)</f>
        <v>653000</v>
      </c>
      <c r="L4231" s="74">
        <v>622000.0</v>
      </c>
      <c r="M4231" s="74">
        <f t="shared" si="2"/>
        <v>625000</v>
      </c>
      <c r="N4231" s="74">
        <f t="shared" si="3"/>
        <v>190000</v>
      </c>
      <c r="O4231" s="65" t="str">
        <f>VLOOKUP(E4231,DATABASE!C:Q,8,false)</f>
        <v>IBU</v>
      </c>
      <c r="P4231" s="65">
        <f>VLOOKUP(E4231,DATABASE!C:Q,9,False)</f>
        <v>1</v>
      </c>
      <c r="Q4231" s="93" t="str">
        <f>VLOOKUP(E4231,DATABASE!C:Q,4,false)</f>
        <v>Dunlop</v>
      </c>
      <c r="R4231" s="93" t="str">
        <f>VLOOKUP(E4231,DATABASE!C:Q,11,false)</f>
        <v>Tire</v>
      </c>
    </row>
    <row r="4232" ht="22.5" customHeight="1">
      <c r="A4232" s="49"/>
      <c r="C4232" s="384">
        <v>45890.0</v>
      </c>
      <c r="D4232" s="65">
        <v>6901.0</v>
      </c>
      <c r="E4232" s="445" t="s">
        <v>275</v>
      </c>
      <c r="F4232" s="386">
        <v>1.0</v>
      </c>
      <c r="G4232" s="74">
        <v>850000.0</v>
      </c>
      <c r="H4232" s="74">
        <v>0.0</v>
      </c>
      <c r="I4232" s="74">
        <f t="shared" si="1"/>
        <v>850000</v>
      </c>
      <c r="J4232" s="74">
        <f>IF(E4232="SERVICE",I4232-(I4232*50%),Vlookup(E4232,DATABASE!C:Q,10,false)*F4232)</f>
        <v>0</v>
      </c>
      <c r="K4232" s="74">
        <f>VLOOKUP(E4232,DATABASE!C:Q,7,false)</f>
        <v>782000</v>
      </c>
      <c r="L4232" s="74">
        <v>745000.0</v>
      </c>
      <c r="M4232" s="74">
        <f t="shared" si="2"/>
        <v>745000</v>
      </c>
      <c r="N4232" s="74">
        <f t="shared" si="3"/>
        <v>105000</v>
      </c>
      <c r="O4232" s="65" t="str">
        <f>VLOOKUP(E4232,DATABASE!C:Q,8,false)</f>
        <v>IBU</v>
      </c>
      <c r="P4232" s="65">
        <f>VLOOKUP(E4232,DATABASE!C:Q,9,False)</f>
        <v>1</v>
      </c>
      <c r="Q4232" s="93" t="str">
        <f>VLOOKUP(E4232,DATABASE!C:Q,4,false)</f>
        <v>Dunlop</v>
      </c>
      <c r="R4232" s="93" t="str">
        <f>VLOOKUP(E4232,DATABASE!C:Q,11,false)</f>
        <v>Tire</v>
      </c>
    </row>
    <row r="4233" ht="22.5" customHeight="1">
      <c r="A4233" s="49"/>
      <c r="C4233" s="384">
        <v>45890.0</v>
      </c>
      <c r="D4233" s="65">
        <v>6902.0</v>
      </c>
      <c r="E4233" s="445" t="s">
        <v>290</v>
      </c>
      <c r="F4233" s="386">
        <v>1.0</v>
      </c>
      <c r="G4233" s="74">
        <v>710000.0</v>
      </c>
      <c r="H4233" s="74">
        <v>0.0</v>
      </c>
      <c r="I4233" s="74">
        <f t="shared" si="1"/>
        <v>710000</v>
      </c>
      <c r="J4233" s="74">
        <f>IF(E4233="SERVICE",I4233-(I4233*50%),Vlookup(E4233,DATABASE!C:Q,10,false)*F4233)</f>
        <v>0</v>
      </c>
      <c r="K4233" s="74">
        <f>VLOOKUP(E4233,DATABASE!C:Q,7,false)</f>
        <v>628100</v>
      </c>
      <c r="L4233" s="74">
        <v>609804.0</v>
      </c>
      <c r="M4233" s="74">
        <f t="shared" si="2"/>
        <v>610000</v>
      </c>
      <c r="N4233" s="74">
        <f t="shared" si="3"/>
        <v>100000</v>
      </c>
      <c r="O4233" s="65" t="str">
        <f>VLOOKUP(E4233,DATABASE!C:Q,8,false)</f>
        <v>BIAN</v>
      </c>
      <c r="P4233" s="65">
        <f>VLOOKUP(E4233,DATABASE!C:Q,9,False)</f>
        <v>1</v>
      </c>
      <c r="Q4233" s="93" t="str">
        <f>VLOOKUP(E4233,DATABASE!C:Q,4,false)</f>
        <v>GT</v>
      </c>
      <c r="R4233" s="93" t="str">
        <f>VLOOKUP(E4233,DATABASE!C:Q,11,false)</f>
        <v>Tire</v>
      </c>
    </row>
    <row r="4234" ht="22.5" customHeight="1">
      <c r="A4234" s="49"/>
      <c r="C4234" s="384">
        <v>45890.0</v>
      </c>
      <c r="D4234" s="65">
        <v>6903.0</v>
      </c>
      <c r="E4234" s="445" t="s">
        <v>706</v>
      </c>
      <c r="F4234" s="386">
        <v>1.0</v>
      </c>
      <c r="G4234" s="74">
        <v>570000.0</v>
      </c>
      <c r="H4234" s="74">
        <v>0.0</v>
      </c>
      <c r="I4234" s="74">
        <f t="shared" si="1"/>
        <v>570000</v>
      </c>
      <c r="J4234" s="74">
        <f>IF(E4234="SERVICE",I4234-(I4234*50%),Vlookup(E4234,DATABASE!C:Q,10,false)*F4234)</f>
        <v>0</v>
      </c>
      <c r="K4234" s="74">
        <f>VLOOKUP(E4234,DATABASE!C:Q,7,false)</f>
        <v>485000</v>
      </c>
      <c r="L4234" s="74">
        <v>485000.0</v>
      </c>
      <c r="M4234" s="74">
        <f t="shared" si="2"/>
        <v>485000</v>
      </c>
      <c r="N4234" s="74">
        <f t="shared" si="3"/>
        <v>85000</v>
      </c>
      <c r="O4234" s="65" t="str">
        <f>VLOOKUP(E4234,DATABASE!C:Q,8,false)</f>
        <v>IBU</v>
      </c>
      <c r="P4234" s="65">
        <f>VLOOKUP(E4234,DATABASE!C:Q,9,False)</f>
        <v>1</v>
      </c>
      <c r="Q4234" s="93" t="str">
        <f>VLOOKUP(E4234,DATABASE!C:Q,4,false)</f>
        <v>Dunlop</v>
      </c>
      <c r="R4234" s="93" t="str">
        <f>VLOOKUP(E4234,DATABASE!C:Q,11,false)</f>
        <v>Tire</v>
      </c>
    </row>
    <row r="4235" ht="22.5" customHeight="1">
      <c r="A4235" s="49"/>
      <c r="C4235" s="384">
        <v>45890.0</v>
      </c>
      <c r="D4235" s="65">
        <v>6904.0</v>
      </c>
      <c r="E4235" s="445" t="s">
        <v>256</v>
      </c>
      <c r="F4235" s="386">
        <v>1.0</v>
      </c>
      <c r="G4235" s="74">
        <v>125000.0</v>
      </c>
      <c r="H4235" s="74">
        <v>0.0</v>
      </c>
      <c r="I4235" s="74">
        <f t="shared" si="1"/>
        <v>125000</v>
      </c>
      <c r="J4235" s="74">
        <f>IF(E4235="SERVICE",I4235-(I4235*50%),Vlookup(E4235,DATABASE!C:Q,10,false)*F4235)</f>
        <v>10000</v>
      </c>
      <c r="K4235" s="74">
        <f>VLOOKUP(E4235,DATABASE!C:Q,7,false)</f>
        <v>0</v>
      </c>
      <c r="L4235" s="74">
        <v>0.0</v>
      </c>
      <c r="M4235" s="74">
        <f t="shared" si="2"/>
        <v>0</v>
      </c>
      <c r="N4235" s="74">
        <f t="shared" si="3"/>
        <v>115000</v>
      </c>
      <c r="O4235" s="65" t="str">
        <f>VLOOKUP(E4235,DATABASE!C:Q,8,false)</f>
        <v>IBU</v>
      </c>
      <c r="P4235" s="65">
        <f>VLOOKUP(E4235,DATABASE!C:Q,9,False)</f>
        <v>0</v>
      </c>
      <c r="Q4235" s="93" t="str">
        <f>VLOOKUP(E4235,DATABASE!C:Q,4,false)</f>
        <v>SPOORING</v>
      </c>
      <c r="R4235" s="93" t="str">
        <f>VLOOKUP(E4235,DATABASE!C:Q,11,false)</f>
        <v>SERVICE</v>
      </c>
    </row>
    <row r="4236" ht="22.5" customHeight="1">
      <c r="A4236" s="49"/>
      <c r="C4236" s="384">
        <v>45890.0</v>
      </c>
      <c r="D4236" s="65">
        <v>6904.0</v>
      </c>
      <c r="E4236" s="445" t="s">
        <v>301</v>
      </c>
      <c r="F4236" s="386">
        <v>1.0</v>
      </c>
      <c r="G4236" s="74">
        <v>250000.0</v>
      </c>
      <c r="H4236" s="74">
        <v>0.0</v>
      </c>
      <c r="I4236" s="74">
        <f t="shared" si="1"/>
        <v>250000</v>
      </c>
      <c r="J4236" s="74">
        <f>IF(E4236="SERVICE",I4236-(I4236*50%),Vlookup(E4236,DATABASE!C:Q,10,false)*F4236)</f>
        <v>75000</v>
      </c>
      <c r="K4236" s="74">
        <f>VLOOKUP(E4236,DATABASE!C:Q,7,false)</f>
        <v>75000</v>
      </c>
      <c r="L4236" s="74">
        <v>75000.0</v>
      </c>
      <c r="M4236" s="74">
        <f t="shared" si="2"/>
        <v>75000</v>
      </c>
      <c r="N4236" s="74">
        <f t="shared" si="3"/>
        <v>100000</v>
      </c>
      <c r="O4236" s="65" t="str">
        <f>VLOOKUP(E4236,DATABASE!C:Q,8,false)</f>
        <v>BIAN</v>
      </c>
      <c r="P4236" s="65">
        <f>VLOOKUP(E4236,DATABASE!C:Q,9,False)</f>
        <v>0</v>
      </c>
      <c r="Q4236" s="93" t="str">
        <f>VLOOKUP(E4236,DATABASE!C:Q,4,false)</f>
        <v>Baut Camber</v>
      </c>
      <c r="R4236" s="93" t="str">
        <f>VLOOKUP(E4236,DATABASE!C:Q,11,false)</f>
        <v>COMPLEMENTARY</v>
      </c>
    </row>
    <row r="4237" ht="22.5" customHeight="1">
      <c r="A4237" s="49"/>
      <c r="C4237" s="384">
        <v>45891.0</v>
      </c>
      <c r="D4237" s="65">
        <v>6905.0</v>
      </c>
      <c r="E4237" s="445" t="s">
        <v>613</v>
      </c>
      <c r="F4237" s="386">
        <v>1.0</v>
      </c>
      <c r="G4237" s="74">
        <v>95000.0</v>
      </c>
      <c r="H4237" s="74">
        <v>0.0</v>
      </c>
      <c r="I4237" s="74">
        <f t="shared" si="1"/>
        <v>95000</v>
      </c>
      <c r="J4237" s="74">
        <f>IF(E4237="SERVICE",I4237-(I4237*50%),Vlookup(E4237,DATABASE!C:Q,10,false)*F4237)</f>
        <v>0</v>
      </c>
      <c r="K4237" s="74">
        <f>VLOOKUP(E4237,DATABASE!C:Q,7,false)</f>
        <v>58371.2695</v>
      </c>
      <c r="L4237" s="74">
        <v>55000.0</v>
      </c>
      <c r="M4237" s="74">
        <f t="shared" si="2"/>
        <v>55000</v>
      </c>
      <c r="N4237" s="74">
        <f t="shared" si="3"/>
        <v>40000</v>
      </c>
      <c r="O4237" s="65" t="str">
        <f>VLOOKUP(E4237,DATABASE!C:Q,8,false)</f>
        <v>BIAN</v>
      </c>
      <c r="P4237" s="65">
        <f>VLOOKUP(E4237,DATABASE!C:Q,9,False)</f>
        <v>1</v>
      </c>
      <c r="Q4237" s="93" t="str">
        <f>VLOOKUP(E4237,DATABASE!C:Q,4,false)</f>
        <v>BD</v>
      </c>
      <c r="R4237" s="93" t="str">
        <f>VLOOKUP(E4237,DATABASE!C:Q,11,false)</f>
        <v>Tire</v>
      </c>
    </row>
    <row r="4238" ht="22.5" customHeight="1">
      <c r="A4238" s="49"/>
      <c r="C4238" s="384">
        <v>45891.0</v>
      </c>
      <c r="D4238" s="65">
        <v>6906.0</v>
      </c>
      <c r="E4238" s="445" t="s">
        <v>706</v>
      </c>
      <c r="F4238" s="386">
        <v>1.0</v>
      </c>
      <c r="G4238" s="74">
        <v>570000.0</v>
      </c>
      <c r="H4238" s="74">
        <v>0.0</v>
      </c>
      <c r="I4238" s="74">
        <f t="shared" si="1"/>
        <v>570000</v>
      </c>
      <c r="J4238" s="74">
        <f>IF(E4238="SERVICE",I4238-(I4238*50%),Vlookup(E4238,DATABASE!C:Q,10,false)*F4238)</f>
        <v>0</v>
      </c>
      <c r="K4238" s="74">
        <f>VLOOKUP(E4238,DATABASE!C:Q,7,false)</f>
        <v>485000</v>
      </c>
      <c r="L4238" s="74">
        <v>485000.0</v>
      </c>
      <c r="M4238" s="74">
        <f t="shared" si="2"/>
        <v>485000</v>
      </c>
      <c r="N4238" s="74">
        <f t="shared" si="3"/>
        <v>85000</v>
      </c>
      <c r="O4238" s="65" t="str">
        <f>VLOOKUP(E4238,DATABASE!C:Q,8,false)</f>
        <v>IBU</v>
      </c>
      <c r="P4238" s="65">
        <f>VLOOKUP(E4238,DATABASE!C:Q,9,False)</f>
        <v>1</v>
      </c>
      <c r="Q4238" s="93" t="str">
        <f>VLOOKUP(E4238,DATABASE!C:Q,4,false)</f>
        <v>Dunlop</v>
      </c>
      <c r="R4238" s="93" t="str">
        <f>VLOOKUP(E4238,DATABASE!C:Q,11,false)</f>
        <v>Tire</v>
      </c>
    </row>
    <row r="4239" ht="22.5" customHeight="1">
      <c r="A4239" s="49"/>
      <c r="C4239" s="384">
        <v>45891.0</v>
      </c>
      <c r="D4239" s="65">
        <v>6907.0</v>
      </c>
      <c r="E4239" s="445" t="s">
        <v>897</v>
      </c>
      <c r="F4239" s="386">
        <v>2.0</v>
      </c>
      <c r="G4239" s="74">
        <v>1600000.0</v>
      </c>
      <c r="H4239" s="74">
        <v>0.0</v>
      </c>
      <c r="I4239" s="74">
        <f t="shared" si="1"/>
        <v>3200000</v>
      </c>
      <c r="J4239" s="74">
        <f>IF(E4239="SERVICE",I4239-(I4239*50%),Vlookup(E4239,DATABASE!C:Q,10,false)*F4239)</f>
        <v>0</v>
      </c>
      <c r="K4239" s="74">
        <f>VLOOKUP(E4239,DATABASE!C:Q,7,false)</f>
        <v>1560000</v>
      </c>
      <c r="L4239" s="74">
        <v>1500000.0</v>
      </c>
      <c r="M4239" s="74">
        <f t="shared" si="2"/>
        <v>1500000</v>
      </c>
      <c r="N4239" s="74">
        <f t="shared" si="3"/>
        <v>200000</v>
      </c>
      <c r="O4239" s="65" t="str">
        <f>VLOOKUP(E4239,DATABASE!C:Q,8,false)</f>
        <v>BIAN</v>
      </c>
      <c r="P4239" s="65">
        <f>VLOOKUP(E4239,DATABASE!C:Q,9,False)</f>
        <v>1</v>
      </c>
      <c r="Q4239" s="93" t="str">
        <f>VLOOKUP(E4239,DATABASE!C:Q,4,false)</f>
        <v>GT</v>
      </c>
      <c r="R4239" s="93" t="str">
        <f>VLOOKUP(E4239,DATABASE!C:Q,11,false)</f>
        <v>Tire</v>
      </c>
    </row>
    <row r="4240" ht="22.5" customHeight="1">
      <c r="A4240" s="49"/>
      <c r="C4240" s="384">
        <v>45891.0</v>
      </c>
      <c r="D4240" s="65">
        <v>6908.0</v>
      </c>
      <c r="E4240" s="445" t="s">
        <v>897</v>
      </c>
      <c r="F4240" s="386">
        <v>2.0</v>
      </c>
      <c r="G4240" s="74">
        <v>1600000.0</v>
      </c>
      <c r="H4240" s="74">
        <v>0.0</v>
      </c>
      <c r="I4240" s="74">
        <f t="shared" si="1"/>
        <v>3200000</v>
      </c>
      <c r="J4240" s="74">
        <f>IF(E4240="SERVICE",I4240-(I4240*50%),Vlookup(E4240,DATABASE!C:Q,10,false)*F4240)</f>
        <v>0</v>
      </c>
      <c r="K4240" s="74">
        <f>VLOOKUP(E4240,DATABASE!C:Q,7,false)</f>
        <v>1560000</v>
      </c>
      <c r="L4240" s="74">
        <v>1500000.0</v>
      </c>
      <c r="M4240" s="74">
        <f t="shared" si="2"/>
        <v>1500000</v>
      </c>
      <c r="N4240" s="74">
        <f t="shared" si="3"/>
        <v>200000</v>
      </c>
      <c r="O4240" s="65" t="str">
        <f>VLOOKUP(E4240,DATABASE!C:Q,8,false)</f>
        <v>BIAN</v>
      </c>
      <c r="P4240" s="65">
        <f>VLOOKUP(E4240,DATABASE!C:Q,9,False)</f>
        <v>1</v>
      </c>
      <c r="Q4240" s="93" t="str">
        <f>VLOOKUP(E4240,DATABASE!C:Q,4,false)</f>
        <v>GT</v>
      </c>
      <c r="R4240" s="93" t="str">
        <f>VLOOKUP(E4240,DATABASE!C:Q,11,false)</f>
        <v>Tire</v>
      </c>
    </row>
    <row r="4241" ht="22.5" customHeight="1">
      <c r="A4241" s="49"/>
      <c r="C4241" s="384">
        <v>45891.0</v>
      </c>
      <c r="D4241" s="65">
        <v>6908.0</v>
      </c>
      <c r="E4241" s="445" t="s">
        <v>1743</v>
      </c>
      <c r="F4241" s="386">
        <v>1.0</v>
      </c>
      <c r="G4241" s="74">
        <v>70000.0</v>
      </c>
      <c r="H4241" s="74">
        <v>0.0</v>
      </c>
      <c r="I4241" s="74">
        <f t="shared" si="1"/>
        <v>70000</v>
      </c>
      <c r="J4241" s="74">
        <f>IF(E4241="SERVICE",I4241-(I4241*50%),Vlookup(E4241,DATABASE!C:Q,10,false)*F4241)</f>
        <v>0</v>
      </c>
      <c r="K4241" s="74">
        <f>VLOOKUP(E4241,DATABASE!C:Q,7,false)</f>
        <v>45000</v>
      </c>
      <c r="L4241" s="74">
        <v>45000.0</v>
      </c>
      <c r="M4241" s="74">
        <f t="shared" si="2"/>
        <v>45000</v>
      </c>
      <c r="N4241" s="74">
        <f t="shared" si="3"/>
        <v>25000</v>
      </c>
      <c r="O4241" s="65" t="str">
        <f>VLOOKUP(E4241,DATABASE!C:Q,8,false)</f>
        <v>BIAN</v>
      </c>
      <c r="P4241" s="65">
        <f>VLOOKUP(E4241,DATABASE!C:Q,9,False)</f>
        <v>1</v>
      </c>
      <c r="Q4241" s="93" t="str">
        <f>VLOOKUP(E4241,DATABASE!C:Q,4,false)</f>
        <v>FLAP</v>
      </c>
      <c r="R4241" s="93" t="str">
        <f>VLOOKUP(E4241,DATABASE!C:Q,11,false)</f>
        <v>Tire</v>
      </c>
    </row>
    <row r="4242" ht="22.5" customHeight="1">
      <c r="A4242" s="49"/>
      <c r="C4242" s="384">
        <v>45891.0</v>
      </c>
      <c r="D4242" s="65">
        <v>6908.0</v>
      </c>
      <c r="E4242" s="445" t="s">
        <v>764</v>
      </c>
      <c r="F4242" s="386">
        <v>1.0</v>
      </c>
      <c r="G4242" s="74">
        <v>200000.0</v>
      </c>
      <c r="H4242" s="74">
        <v>0.0</v>
      </c>
      <c r="I4242" s="74">
        <f t="shared" si="1"/>
        <v>200000</v>
      </c>
      <c r="J4242" s="74">
        <f>IF(E4242="SERVICE",I4242-(I4242*50%),Vlookup(E4242,DATABASE!C:Q,10,false)*F4242)</f>
        <v>0</v>
      </c>
      <c r="K4242" s="74">
        <f>VLOOKUP(E4242,DATABASE!C:Q,7,false)</f>
        <v>145000</v>
      </c>
      <c r="L4242" s="74">
        <v>145000.0</v>
      </c>
      <c r="M4242" s="74">
        <f t="shared" si="2"/>
        <v>145000</v>
      </c>
      <c r="N4242" s="74">
        <f t="shared" si="3"/>
        <v>55000</v>
      </c>
      <c r="O4242" s="65" t="str">
        <f>VLOOKUP(E4242,DATABASE!C:Q,8,false)</f>
        <v>BIAN</v>
      </c>
      <c r="P4242" s="65">
        <f>VLOOKUP(E4242,DATABASE!C:Q,9,False)</f>
        <v>1</v>
      </c>
      <c r="Q4242" s="93" t="str">
        <f>VLOOKUP(E4242,DATABASE!C:Q,4,false)</f>
        <v>BD</v>
      </c>
      <c r="R4242" s="93" t="str">
        <f>VLOOKUP(E4242,DATABASE!C:Q,11,false)</f>
        <v>Tire</v>
      </c>
    </row>
    <row r="4243" ht="22.5" customHeight="1">
      <c r="A4243" s="49"/>
      <c r="C4243" s="384">
        <v>45891.0</v>
      </c>
      <c r="D4243" s="65">
        <v>6909.0</v>
      </c>
      <c r="E4243" s="445" t="s">
        <v>262</v>
      </c>
      <c r="F4243" s="386">
        <v>1.0</v>
      </c>
      <c r="G4243" s="74">
        <v>110000.0</v>
      </c>
      <c r="H4243" s="74">
        <v>0.0</v>
      </c>
      <c r="I4243" s="74">
        <f t="shared" si="1"/>
        <v>110000</v>
      </c>
      <c r="J4243" s="74">
        <f>IF(E4243="SERVICE",I4243-(I4243*50%),Vlookup(E4243,DATABASE!C:Q,10,false)*F4243)</f>
        <v>5000</v>
      </c>
      <c r="K4243" s="74">
        <f>VLOOKUP(E4243,DATABASE!C:Q,7,false)</f>
        <v>0</v>
      </c>
      <c r="L4243" s="74">
        <v>0.0</v>
      </c>
      <c r="M4243" s="74">
        <f t="shared" si="2"/>
        <v>0</v>
      </c>
      <c r="N4243" s="74">
        <f t="shared" si="3"/>
        <v>105000</v>
      </c>
      <c r="O4243" s="65" t="str">
        <f>VLOOKUP(E4243,DATABASE!C:Q,8,false)</f>
        <v>IBU</v>
      </c>
      <c r="P4243" s="65">
        <f>VLOOKUP(E4243,DATABASE!C:Q,9,False)</f>
        <v>0</v>
      </c>
      <c r="Q4243" s="93" t="str">
        <f>VLOOKUP(E4243,DATABASE!C:Q,4,false)</f>
        <v>SPOORING SS/CARRY LOS BAK</v>
      </c>
      <c r="R4243" s="93" t="str">
        <f>VLOOKUP(E4243,DATABASE!C:Q,11,false)</f>
        <v>SERVICE</v>
      </c>
    </row>
    <row r="4244" ht="22.5" customHeight="1">
      <c r="A4244" s="49"/>
      <c r="C4244" s="384">
        <v>45891.0</v>
      </c>
      <c r="D4244" s="65">
        <v>6909.0</v>
      </c>
      <c r="E4244" s="385" t="s">
        <v>305</v>
      </c>
      <c r="F4244" s="386">
        <v>1.0</v>
      </c>
      <c r="G4244" s="74">
        <v>235000.0</v>
      </c>
      <c r="H4244" s="74">
        <v>0.0</v>
      </c>
      <c r="I4244" s="74">
        <f t="shared" si="1"/>
        <v>235000</v>
      </c>
      <c r="J4244" s="74">
        <f>IF(E4244="SERVICE",I4244-(I4244*50%),Vlookup(E4244,DATABASE!C:Q,10,false)*F4244)</f>
        <v>40000</v>
      </c>
      <c r="K4244" s="74">
        <f>VLOOKUP(E4244,DATABASE!C:Q,7,false)</f>
        <v>158530.2</v>
      </c>
      <c r="L4244" s="74">
        <v>151890.0</v>
      </c>
      <c r="M4244" s="74">
        <f t="shared" si="2"/>
        <v>155000</v>
      </c>
      <c r="N4244" s="74">
        <f t="shared" si="3"/>
        <v>40000</v>
      </c>
      <c r="O4244" s="65" t="str">
        <f>VLOOKUP(E4244,DATABASE!C:Q,8,false)</f>
        <v>BIAN</v>
      </c>
      <c r="P4244" s="65">
        <f>VLOOKUP(E4244,DATABASE!C:Q,9,False)</f>
        <v>1</v>
      </c>
      <c r="Q4244" s="93" t="str">
        <f>VLOOKUP(E4244,DATABASE!C:Q,4,false)</f>
        <v>Lower Arm</v>
      </c>
      <c r="R4244" s="93" t="str">
        <f>VLOOKUP(E4244,DATABASE!C:Q,11,false)</f>
        <v>COMPLEMENTARY</v>
      </c>
    </row>
    <row r="4245" ht="22.5" customHeight="1">
      <c r="A4245" s="49"/>
      <c r="C4245" s="384">
        <v>45891.0</v>
      </c>
      <c r="D4245" s="65">
        <v>6909.0</v>
      </c>
      <c r="E4245" s="445" t="s">
        <v>2154</v>
      </c>
      <c r="F4245" s="386">
        <v>1.0</v>
      </c>
      <c r="G4245" s="74">
        <v>225000.0</v>
      </c>
      <c r="H4245" s="74">
        <v>0.0</v>
      </c>
      <c r="I4245" s="74">
        <f t="shared" si="1"/>
        <v>225000</v>
      </c>
      <c r="J4245" s="74">
        <f>IF(E4245="SERVICE",I4245-(I4245*50%),Vlookup(E4245,DATABASE!C:Q,10,false)*F4245)</f>
        <v>80000</v>
      </c>
      <c r="K4245" s="74">
        <f>VLOOKUP(E4245,DATABASE!C:Q,7,false)</f>
        <v>90000</v>
      </c>
      <c r="L4245" s="74">
        <v>65000.0</v>
      </c>
      <c r="M4245" s="74">
        <f t="shared" si="2"/>
        <v>65000</v>
      </c>
      <c r="N4245" s="74">
        <f t="shared" si="3"/>
        <v>80000</v>
      </c>
      <c r="O4245" s="65" t="str">
        <f>VLOOKUP(E4245,DATABASE!C:Q,8,false)</f>
        <v>IBU</v>
      </c>
      <c r="P4245" s="65">
        <f>VLOOKUP(E4245,DATABASE!C:Q,9,False)</f>
        <v>0</v>
      </c>
      <c r="Q4245" s="93" t="str">
        <f>VLOOKUP(E4245,DATABASE!C:Q,4,false)</f>
        <v>SERVICE</v>
      </c>
      <c r="R4245" s="93" t="str">
        <f>VLOOKUP(E4245,DATABASE!C:Q,11,false)</f>
        <v>COMPLEMENTARY</v>
      </c>
    </row>
    <row r="4246" ht="22.5" customHeight="1">
      <c r="A4246" s="49"/>
      <c r="C4246" s="384">
        <v>45891.0</v>
      </c>
      <c r="D4246" s="65">
        <v>6909.0</v>
      </c>
      <c r="E4246" s="445" t="s">
        <v>251</v>
      </c>
      <c r="F4246" s="386">
        <v>1.0</v>
      </c>
      <c r="G4246" s="74">
        <v>150000.0</v>
      </c>
      <c r="H4246" s="74">
        <v>0.0</v>
      </c>
      <c r="I4246" s="74">
        <f t="shared" si="1"/>
        <v>150000</v>
      </c>
      <c r="J4246" s="74">
        <f>IF(E4246="SERVICE",I4246-(I4246*50%),Vlookup(E4246,DATABASE!C:Q,10,false)*F4246)</f>
        <v>75000</v>
      </c>
      <c r="K4246" s="74">
        <f>VLOOKUP(E4246,DATABASE!C:Q,7,false)</f>
        <v>0</v>
      </c>
      <c r="L4246" s="74">
        <v>0.0</v>
      </c>
      <c r="M4246" s="74">
        <f t="shared" si="2"/>
        <v>0</v>
      </c>
      <c r="N4246" s="74">
        <f t="shared" si="3"/>
        <v>75000</v>
      </c>
      <c r="O4246" s="65" t="str">
        <f>VLOOKUP(E4246,DATABASE!C:Q,8,false)</f>
        <v>IBU</v>
      </c>
      <c r="P4246" s="65">
        <f>VLOOKUP(E4246,DATABASE!C:Q,9,False)</f>
        <v>0</v>
      </c>
      <c r="Q4246" s="93" t="str">
        <f>VLOOKUP(E4246,DATABASE!C:Q,4,false)</f>
        <v>SERVICE</v>
      </c>
      <c r="R4246" s="93" t="str">
        <f>VLOOKUP(E4246,DATABASE!C:Q,11,false)</f>
        <v>SERVICE</v>
      </c>
    </row>
    <row r="4247" ht="22.5" customHeight="1">
      <c r="A4247" s="49"/>
      <c r="C4247" s="384">
        <v>45891.0</v>
      </c>
      <c r="D4247" s="65">
        <v>6909.0</v>
      </c>
      <c r="E4247" s="445" t="s">
        <v>251</v>
      </c>
      <c r="F4247" s="386">
        <v>1.0</v>
      </c>
      <c r="G4247" s="74">
        <v>120000.0</v>
      </c>
      <c r="H4247" s="74">
        <v>0.0</v>
      </c>
      <c r="I4247" s="74">
        <f t="shared" si="1"/>
        <v>120000</v>
      </c>
      <c r="J4247" s="74">
        <f>IF(E4247="SERVICE",I4247-(I4247*50%),Vlookup(E4247,DATABASE!C:Q,10,false)*F4247)</f>
        <v>60000</v>
      </c>
      <c r="K4247" s="74">
        <f>VLOOKUP(E4247,DATABASE!C:Q,7,false)</f>
        <v>0</v>
      </c>
      <c r="L4247" s="74">
        <v>0.0</v>
      </c>
      <c r="M4247" s="74">
        <f t="shared" si="2"/>
        <v>0</v>
      </c>
      <c r="N4247" s="74">
        <f t="shared" si="3"/>
        <v>60000</v>
      </c>
      <c r="O4247" s="65" t="str">
        <f>VLOOKUP(E4247,DATABASE!C:Q,8,false)</f>
        <v>IBU</v>
      </c>
      <c r="P4247" s="65">
        <f>VLOOKUP(E4247,DATABASE!C:Q,9,False)</f>
        <v>0</v>
      </c>
      <c r="Q4247" s="93" t="str">
        <f>VLOOKUP(E4247,DATABASE!C:Q,4,false)</f>
        <v>SERVICE</v>
      </c>
      <c r="R4247" s="93" t="str">
        <f>VLOOKUP(E4247,DATABASE!C:Q,11,false)</f>
        <v>SERVICE</v>
      </c>
    </row>
    <row r="4248" ht="22.5" customHeight="1">
      <c r="A4248" s="49"/>
      <c r="C4248" s="384">
        <v>45891.0</v>
      </c>
      <c r="D4248" s="65">
        <v>6910.0</v>
      </c>
      <c r="E4248" s="445" t="s">
        <v>569</v>
      </c>
      <c r="F4248" s="386">
        <v>1.0</v>
      </c>
      <c r="G4248" s="74">
        <v>80000.0</v>
      </c>
      <c r="H4248" s="74">
        <v>0.0</v>
      </c>
      <c r="I4248" s="74">
        <f t="shared" si="1"/>
        <v>80000</v>
      </c>
      <c r="J4248" s="74">
        <f>IF(E4248="SERVICE",I4248-(I4248*50%),Vlookup(E4248,DATABASE!C:Q,10,false)*F4248)</f>
        <v>0</v>
      </c>
      <c r="K4248" s="74">
        <f>VLOOKUP(E4248,DATABASE!C:Q,7,false)</f>
        <v>45439.582</v>
      </c>
      <c r="L4248" s="74">
        <v>45309.6</v>
      </c>
      <c r="M4248" s="74">
        <f t="shared" si="2"/>
        <v>50000</v>
      </c>
      <c r="N4248" s="74">
        <f t="shared" si="3"/>
        <v>30000</v>
      </c>
      <c r="O4248" s="65" t="str">
        <f>VLOOKUP(E4248,DATABASE!C:Q,8,false)</f>
        <v>BIAN</v>
      </c>
      <c r="P4248" s="65">
        <f>VLOOKUP(E4248,DATABASE!C:Q,9,False)</f>
        <v>1</v>
      </c>
      <c r="Q4248" s="93" t="str">
        <f>VLOOKUP(E4248,DATABASE!C:Q,4,false)</f>
        <v>BD</v>
      </c>
      <c r="R4248" s="93" t="str">
        <f>VLOOKUP(E4248,DATABASE!C:Q,11,false)</f>
        <v>Tire</v>
      </c>
    </row>
    <row r="4249" ht="22.5" customHeight="1">
      <c r="A4249" s="49"/>
      <c r="C4249" s="384">
        <v>45892.0</v>
      </c>
      <c r="D4249" s="65">
        <v>6913.0</v>
      </c>
      <c r="E4249" s="445" t="s">
        <v>268</v>
      </c>
      <c r="F4249" s="386">
        <v>1.0</v>
      </c>
      <c r="G4249" s="74">
        <v>720000.0</v>
      </c>
      <c r="H4249" s="74">
        <v>0.0</v>
      </c>
      <c r="I4249" s="74">
        <f t="shared" si="1"/>
        <v>720000</v>
      </c>
      <c r="J4249" s="74">
        <f>IF(E4249="SERVICE",I4249-(I4249*50%),Vlookup(E4249,DATABASE!C:Q,10,false)*F4249)</f>
        <v>0</v>
      </c>
      <c r="K4249" s="74">
        <f>VLOOKUP(E4249,DATABASE!C:Q,7,false)</f>
        <v>653000</v>
      </c>
      <c r="L4249" s="74">
        <v>622000.0</v>
      </c>
      <c r="M4249" s="74">
        <f t="shared" si="2"/>
        <v>625000</v>
      </c>
      <c r="N4249" s="74">
        <f t="shared" si="3"/>
        <v>95000</v>
      </c>
      <c r="O4249" s="65" t="str">
        <f>VLOOKUP(E4249,DATABASE!C:Q,8,false)</f>
        <v>IBU</v>
      </c>
      <c r="P4249" s="65">
        <f>VLOOKUP(E4249,DATABASE!C:Q,9,False)</f>
        <v>1</v>
      </c>
      <c r="Q4249" s="93" t="str">
        <f>VLOOKUP(E4249,DATABASE!C:Q,4,false)</f>
        <v>Dunlop</v>
      </c>
      <c r="R4249" s="93" t="str">
        <f>VLOOKUP(E4249,DATABASE!C:Q,11,false)</f>
        <v>Tire</v>
      </c>
    </row>
    <row r="4250" ht="22.5" customHeight="1">
      <c r="A4250" s="49"/>
      <c r="C4250" s="384">
        <v>45892.0</v>
      </c>
      <c r="D4250" s="65">
        <v>6913.0</v>
      </c>
      <c r="E4250" s="445" t="s">
        <v>569</v>
      </c>
      <c r="F4250" s="386">
        <v>1.0</v>
      </c>
      <c r="G4250" s="74">
        <v>80000.0</v>
      </c>
      <c r="H4250" s="74">
        <v>0.0</v>
      </c>
      <c r="I4250" s="74">
        <f t="shared" si="1"/>
        <v>80000</v>
      </c>
      <c r="J4250" s="74">
        <f>IF(E4250="SERVICE",I4250-(I4250*50%),Vlookup(E4250,DATABASE!C:Q,10,false)*F4250)</f>
        <v>0</v>
      </c>
      <c r="K4250" s="74">
        <f>VLOOKUP(E4250,DATABASE!C:Q,7,false)</f>
        <v>45439.582</v>
      </c>
      <c r="L4250" s="74">
        <v>45309.6</v>
      </c>
      <c r="M4250" s="74">
        <f t="shared" si="2"/>
        <v>50000</v>
      </c>
      <c r="N4250" s="74">
        <f t="shared" si="3"/>
        <v>30000</v>
      </c>
      <c r="O4250" s="65" t="str">
        <f>VLOOKUP(E4250,DATABASE!C:Q,8,false)</f>
        <v>BIAN</v>
      </c>
      <c r="P4250" s="65">
        <f>VLOOKUP(E4250,DATABASE!C:Q,9,False)</f>
        <v>1</v>
      </c>
      <c r="Q4250" s="93" t="str">
        <f>VLOOKUP(E4250,DATABASE!C:Q,4,false)</f>
        <v>BD</v>
      </c>
      <c r="R4250" s="93" t="str">
        <f>VLOOKUP(E4250,DATABASE!C:Q,11,false)</f>
        <v>Tire</v>
      </c>
    </row>
    <row r="4251" ht="22.5" customHeight="1">
      <c r="A4251" s="49"/>
      <c r="C4251" s="384">
        <v>45892.0</v>
      </c>
      <c r="D4251" s="65">
        <v>6914.0</v>
      </c>
      <c r="E4251" s="445" t="s">
        <v>613</v>
      </c>
      <c r="F4251" s="386">
        <v>1.0</v>
      </c>
      <c r="G4251" s="74">
        <v>95000.0</v>
      </c>
      <c r="H4251" s="74">
        <v>0.0</v>
      </c>
      <c r="I4251" s="74">
        <f t="shared" si="1"/>
        <v>95000</v>
      </c>
      <c r="J4251" s="74">
        <f>IF(E4251="SERVICE",I4251-(I4251*50%),Vlookup(E4251,DATABASE!C:Q,10,false)*F4251)</f>
        <v>0</v>
      </c>
      <c r="K4251" s="74">
        <f>VLOOKUP(E4251,DATABASE!C:Q,7,false)</f>
        <v>58371.2695</v>
      </c>
      <c r="L4251" s="74">
        <v>55000.0</v>
      </c>
      <c r="M4251" s="74">
        <f t="shared" si="2"/>
        <v>55000</v>
      </c>
      <c r="N4251" s="74">
        <f t="shared" si="3"/>
        <v>40000</v>
      </c>
      <c r="O4251" s="65" t="str">
        <f>VLOOKUP(E4251,DATABASE!C:Q,8,false)</f>
        <v>BIAN</v>
      </c>
      <c r="P4251" s="65">
        <f>VLOOKUP(E4251,DATABASE!C:Q,9,False)</f>
        <v>1</v>
      </c>
      <c r="Q4251" s="93" t="str">
        <f>VLOOKUP(E4251,DATABASE!C:Q,4,false)</f>
        <v>BD</v>
      </c>
      <c r="R4251" s="93" t="str">
        <f>VLOOKUP(E4251,DATABASE!C:Q,11,false)</f>
        <v>Tire</v>
      </c>
    </row>
    <row r="4252" ht="22.5" customHeight="1">
      <c r="A4252" s="49"/>
      <c r="C4252" s="384">
        <v>45892.0</v>
      </c>
      <c r="D4252" s="65">
        <v>6914.0</v>
      </c>
      <c r="E4252" s="445" t="s">
        <v>2140</v>
      </c>
      <c r="F4252" s="386">
        <v>1.0</v>
      </c>
      <c r="G4252" s="74">
        <v>25000.0</v>
      </c>
      <c r="H4252" s="74">
        <v>0.0</v>
      </c>
      <c r="I4252" s="74">
        <f t="shared" si="1"/>
        <v>25000</v>
      </c>
      <c r="J4252" s="74">
        <f>IF(E4252="SERVICE",I4252-(I4252*50%),Vlookup(E4252,DATABASE!C:Q,10,false)*F4252)</f>
        <v>0</v>
      </c>
      <c r="K4252" s="74">
        <f>VLOOKUP(E4252,DATABASE!C:Q,7,false)</f>
        <v>5000</v>
      </c>
      <c r="L4252" s="74">
        <v>0.0</v>
      </c>
      <c r="M4252" s="74">
        <f t="shared" si="2"/>
        <v>0</v>
      </c>
      <c r="N4252" s="74">
        <f t="shared" si="3"/>
        <v>25000</v>
      </c>
      <c r="O4252" s="65" t="str">
        <f>VLOOKUP(E4252,DATABASE!C:Q,8,false)</f>
        <v>IBU</v>
      </c>
      <c r="P4252" s="65">
        <f>VLOOKUP(E4252,DATABASE!C:Q,9,False)</f>
        <v>0</v>
      </c>
      <c r="Q4252" s="93" t="str">
        <f>VLOOKUP(E4252,DATABASE!C:Q,4,false)</f>
        <v>PENTIL + PASANG</v>
      </c>
      <c r="R4252" s="93" t="str">
        <f>VLOOKUP(E4252,DATABASE!C:Q,11,false)</f>
        <v>COMPLEMENTARY</v>
      </c>
    </row>
    <row r="4253" ht="22.5" customHeight="1">
      <c r="A4253" s="49"/>
      <c r="C4253" s="384">
        <v>45892.0</v>
      </c>
      <c r="D4253" s="65">
        <v>6915.0</v>
      </c>
      <c r="E4253" s="445" t="s">
        <v>695</v>
      </c>
      <c r="F4253" s="386">
        <v>1.0</v>
      </c>
      <c r="G4253" s="74">
        <v>675000.0</v>
      </c>
      <c r="H4253" s="74">
        <v>0.0</v>
      </c>
      <c r="I4253" s="74">
        <f t="shared" si="1"/>
        <v>675000</v>
      </c>
      <c r="J4253" s="74">
        <f>IF(E4253="SERVICE",I4253-(I4253*50%),Vlookup(E4253,DATABASE!C:Q,10,false)*F4253)</f>
        <v>0</v>
      </c>
      <c r="K4253" s="74">
        <f>VLOOKUP(E4253,DATABASE!C:Q,7,false)</f>
        <v>582000</v>
      </c>
      <c r="L4253" s="74">
        <v>570000.0</v>
      </c>
      <c r="M4253" s="74">
        <f t="shared" si="2"/>
        <v>570000</v>
      </c>
      <c r="N4253" s="74">
        <f t="shared" si="3"/>
        <v>105000</v>
      </c>
      <c r="O4253" s="65" t="str">
        <f>VLOOKUP(E4253,DATABASE!C:Q,8,false)</f>
        <v>IBU</v>
      </c>
      <c r="P4253" s="65">
        <f>VLOOKUP(E4253,DATABASE!C:Q,9,False)</f>
        <v>1</v>
      </c>
      <c r="Q4253" s="93" t="str">
        <f>VLOOKUP(E4253,DATABASE!C:Q,4,false)</f>
        <v>Dunlop</v>
      </c>
      <c r="R4253" s="93" t="str">
        <f>VLOOKUP(E4253,DATABASE!C:Q,11,false)</f>
        <v>Tire</v>
      </c>
    </row>
    <row r="4254" ht="22.5" customHeight="1">
      <c r="A4254" s="49"/>
      <c r="C4254" s="384">
        <v>45892.0</v>
      </c>
      <c r="D4254" s="65">
        <v>6916.0</v>
      </c>
      <c r="E4254" s="445" t="s">
        <v>706</v>
      </c>
      <c r="F4254" s="386">
        <v>1.0</v>
      </c>
      <c r="G4254" s="74">
        <v>570000.0</v>
      </c>
      <c r="H4254" s="74">
        <v>0.0</v>
      </c>
      <c r="I4254" s="74">
        <f t="shared" si="1"/>
        <v>570000</v>
      </c>
      <c r="J4254" s="74">
        <f>IF(E4254="SERVICE",I4254-(I4254*50%),Vlookup(E4254,DATABASE!C:Q,10,false)*F4254)</f>
        <v>0</v>
      </c>
      <c r="K4254" s="74">
        <f>VLOOKUP(E4254,DATABASE!C:Q,7,false)</f>
        <v>485000</v>
      </c>
      <c r="L4254" s="74">
        <v>485000.0</v>
      </c>
      <c r="M4254" s="74">
        <f t="shared" si="2"/>
        <v>485000</v>
      </c>
      <c r="N4254" s="74">
        <f t="shared" si="3"/>
        <v>85000</v>
      </c>
      <c r="O4254" s="65" t="str">
        <f>VLOOKUP(E4254,DATABASE!C:Q,8,false)</f>
        <v>IBU</v>
      </c>
      <c r="P4254" s="65">
        <f>VLOOKUP(E4254,DATABASE!C:Q,9,False)</f>
        <v>1</v>
      </c>
      <c r="Q4254" s="93" t="str">
        <f>VLOOKUP(E4254,DATABASE!C:Q,4,false)</f>
        <v>Dunlop</v>
      </c>
      <c r="R4254" s="93" t="str">
        <f>VLOOKUP(E4254,DATABASE!C:Q,11,false)</f>
        <v>Tire</v>
      </c>
    </row>
    <row r="4255" ht="22.5" customHeight="1">
      <c r="A4255" s="49"/>
      <c r="C4255" s="384">
        <v>45892.0</v>
      </c>
      <c r="D4255" s="65">
        <v>6917.0</v>
      </c>
      <c r="E4255" s="445" t="s">
        <v>2199</v>
      </c>
      <c r="F4255" s="386">
        <v>1.0</v>
      </c>
      <c r="G4255" s="74">
        <v>15000.0</v>
      </c>
      <c r="H4255" s="74">
        <v>0.0</v>
      </c>
      <c r="I4255" s="74">
        <f t="shared" si="1"/>
        <v>15000</v>
      </c>
      <c r="J4255" s="74">
        <f>IF(E4255="SERVICE",I4255-(I4255*50%),Vlookup(E4255,DATABASE!C:Q,10,false)*F4255)</f>
        <v>0</v>
      </c>
      <c r="K4255" s="74">
        <f>VLOOKUP(E4255,DATABASE!C:Q,7,false)</f>
        <v>5000</v>
      </c>
      <c r="L4255" s="74">
        <v>0.0</v>
      </c>
      <c r="M4255" s="74">
        <f t="shared" si="2"/>
        <v>0</v>
      </c>
      <c r="N4255" s="74">
        <f t="shared" si="3"/>
        <v>15000</v>
      </c>
      <c r="O4255" s="65" t="str">
        <f>VLOOKUP(E4255,DATABASE!C:Q,8,false)</f>
        <v>BIAN</v>
      </c>
      <c r="P4255" s="65">
        <f>VLOOKUP(E4255,DATABASE!C:Q,9,False)</f>
        <v>0</v>
      </c>
      <c r="Q4255" s="93" t="str">
        <f>VLOOKUP(E4255,DATABASE!C:Q,4,false)</f>
        <v>TAMBAL TUBLES</v>
      </c>
      <c r="R4255" s="93" t="str">
        <f>VLOOKUP(E4255,DATABASE!C:Q,11,false)</f>
        <v>COMPLEMENTARY</v>
      </c>
    </row>
    <row r="4256" ht="22.5" customHeight="1">
      <c r="A4256" s="49"/>
      <c r="C4256" s="384">
        <v>45892.0</v>
      </c>
      <c r="D4256" s="65">
        <v>6918.0</v>
      </c>
      <c r="E4256" s="445" t="s">
        <v>1912</v>
      </c>
      <c r="F4256" s="386">
        <v>2.0</v>
      </c>
      <c r="G4256" s="74">
        <v>730000.0</v>
      </c>
      <c r="H4256" s="74">
        <v>0.0</v>
      </c>
      <c r="I4256" s="74">
        <f t="shared" si="1"/>
        <v>1460000</v>
      </c>
      <c r="J4256" s="74">
        <f>IF(E4256="SERVICE",I4256-(I4256*50%),Vlookup(E4256,DATABASE!C:Q,10,false)*F4256)</f>
        <v>0</v>
      </c>
      <c r="K4256" s="74">
        <f>VLOOKUP(E4256,DATABASE!C:Q,7,false)</f>
        <v>636300</v>
      </c>
      <c r="L4256" s="74">
        <v>636300.0</v>
      </c>
      <c r="M4256" s="74">
        <f t="shared" si="2"/>
        <v>640000</v>
      </c>
      <c r="N4256" s="74">
        <f t="shared" si="3"/>
        <v>180000</v>
      </c>
      <c r="O4256" s="65" t="str">
        <f>VLOOKUP(E4256,DATABASE!C:Q,8,false)</f>
        <v>BIAN</v>
      </c>
      <c r="P4256" s="65">
        <f>VLOOKUP(E4256,DATABASE!C:Q,9,False)</f>
        <v>1</v>
      </c>
      <c r="Q4256" s="93" t="str">
        <f>VLOOKUP(E4256,DATABASE!C:Q,4,false)</f>
        <v>GT</v>
      </c>
      <c r="R4256" s="93" t="str">
        <f>VLOOKUP(E4256,DATABASE!C:Q,11,false)</f>
        <v>Tire</v>
      </c>
    </row>
    <row r="4257" ht="22.5" customHeight="1">
      <c r="A4257" s="49"/>
      <c r="C4257" s="384">
        <v>45892.0</v>
      </c>
      <c r="D4257" s="65">
        <v>6918.0</v>
      </c>
      <c r="E4257" s="385" t="s">
        <v>299</v>
      </c>
      <c r="F4257" s="386">
        <v>2.0</v>
      </c>
      <c r="G4257" s="74">
        <v>30000.0</v>
      </c>
      <c r="H4257" s="74">
        <v>0.0</v>
      </c>
      <c r="I4257" s="74">
        <f t="shared" si="1"/>
        <v>60000</v>
      </c>
      <c r="J4257" s="74">
        <f>IF(E4257="SERVICE",I4257-(I4257*50%),Vlookup(E4257,DATABASE!C:Q,10,false)*F4257)</f>
        <v>0</v>
      </c>
      <c r="K4257" s="74">
        <v>0.0</v>
      </c>
      <c r="L4257" s="74">
        <v>0.0</v>
      </c>
      <c r="M4257" s="74">
        <f t="shared" si="2"/>
        <v>0</v>
      </c>
      <c r="N4257" s="74">
        <f t="shared" si="3"/>
        <v>60000</v>
      </c>
      <c r="O4257" s="65" t="str">
        <f>VLOOKUP(E4257,DATABASE!C:Q,8,false)</f>
        <v>BIAN</v>
      </c>
      <c r="P4257" s="65">
        <f>VLOOKUP(E4257,DATABASE!C:Q,9,False)</f>
        <v>0</v>
      </c>
      <c r="Q4257" s="93" t="str">
        <f>VLOOKUP(E4257,DATABASE!C:Q,4,false)</f>
        <v>Balancing</v>
      </c>
      <c r="R4257" s="93" t="str">
        <f>VLOOKUP(E4257,DATABASE!C:Q,11,false)</f>
        <v>COMPLEMENTARY</v>
      </c>
    </row>
    <row r="4258" ht="22.5" customHeight="1">
      <c r="A4258" s="49"/>
      <c r="C4258" s="384">
        <v>45892.0</v>
      </c>
      <c r="D4258" s="65">
        <v>6918.0</v>
      </c>
      <c r="E4258" s="445" t="s">
        <v>256</v>
      </c>
      <c r="F4258" s="386">
        <v>1.0</v>
      </c>
      <c r="G4258" s="74">
        <v>130000.0</v>
      </c>
      <c r="H4258" s="74">
        <v>0.0</v>
      </c>
      <c r="I4258" s="74">
        <f t="shared" si="1"/>
        <v>130000</v>
      </c>
      <c r="J4258" s="74">
        <f>IF(E4258="SERVICE",I4258-(I4258*50%),Vlookup(E4258,DATABASE!C:Q,10,false)*F4258)</f>
        <v>10000</v>
      </c>
      <c r="K4258" s="74">
        <f>VLOOKUP(E4258,DATABASE!C:Q,7,false)</f>
        <v>0</v>
      </c>
      <c r="L4258" s="74">
        <v>0.0</v>
      </c>
      <c r="M4258" s="74">
        <f t="shared" si="2"/>
        <v>0</v>
      </c>
      <c r="N4258" s="74">
        <f t="shared" si="3"/>
        <v>120000</v>
      </c>
      <c r="O4258" s="65" t="str">
        <f>VLOOKUP(E4258,DATABASE!C:Q,8,false)</f>
        <v>IBU</v>
      </c>
      <c r="P4258" s="65">
        <f>VLOOKUP(E4258,DATABASE!C:Q,9,False)</f>
        <v>0</v>
      </c>
      <c r="Q4258" s="93" t="str">
        <f>VLOOKUP(E4258,DATABASE!C:Q,4,false)</f>
        <v>SPOORING</v>
      </c>
      <c r="R4258" s="93" t="str">
        <f>VLOOKUP(E4258,DATABASE!C:Q,11,false)</f>
        <v>SERVICE</v>
      </c>
    </row>
    <row r="4259" ht="22.5" customHeight="1">
      <c r="A4259" s="49"/>
      <c r="C4259" s="384">
        <v>45892.0</v>
      </c>
      <c r="D4259" s="65">
        <v>6918.0</v>
      </c>
      <c r="E4259" s="445" t="s">
        <v>301</v>
      </c>
      <c r="F4259" s="386">
        <v>1.0</v>
      </c>
      <c r="G4259" s="74">
        <v>250000.0</v>
      </c>
      <c r="H4259" s="74">
        <v>0.0</v>
      </c>
      <c r="I4259" s="74">
        <f t="shared" si="1"/>
        <v>250000</v>
      </c>
      <c r="J4259" s="74">
        <f>IF(E4259="SERVICE",I4259-(I4259*50%),Vlookup(E4259,DATABASE!C:Q,10,false)*F4259)</f>
        <v>75000</v>
      </c>
      <c r="K4259" s="74">
        <f>VLOOKUP(E4259,DATABASE!C:Q,7,false)</f>
        <v>75000</v>
      </c>
      <c r="L4259" s="74">
        <v>75000.0</v>
      </c>
      <c r="M4259" s="74">
        <f t="shared" si="2"/>
        <v>75000</v>
      </c>
      <c r="N4259" s="74">
        <f t="shared" si="3"/>
        <v>100000</v>
      </c>
      <c r="O4259" s="65" t="str">
        <f>VLOOKUP(E4259,DATABASE!C:Q,8,false)</f>
        <v>BIAN</v>
      </c>
      <c r="P4259" s="65">
        <f>VLOOKUP(E4259,DATABASE!C:Q,9,False)</f>
        <v>0</v>
      </c>
      <c r="Q4259" s="93" t="str">
        <f>VLOOKUP(E4259,DATABASE!C:Q,4,false)</f>
        <v>Baut Camber</v>
      </c>
      <c r="R4259" s="93" t="str">
        <f>VLOOKUP(E4259,DATABASE!C:Q,11,false)</f>
        <v>COMPLEMENTARY</v>
      </c>
    </row>
    <row r="4260" ht="22.5" customHeight="1">
      <c r="A4260" s="49"/>
      <c r="C4260" s="384">
        <v>45892.0</v>
      </c>
      <c r="D4260" s="65">
        <v>6919.0</v>
      </c>
      <c r="E4260" s="445" t="s">
        <v>566</v>
      </c>
      <c r="F4260" s="386">
        <v>1.0</v>
      </c>
      <c r="G4260" s="74">
        <v>1650000.0</v>
      </c>
      <c r="H4260" s="74">
        <v>0.0</v>
      </c>
      <c r="I4260" s="74">
        <f t="shared" si="1"/>
        <v>1650000</v>
      </c>
      <c r="J4260" s="74">
        <f>IF(E4260="SERVICE",I4260-(I4260*50%),Vlookup(E4260,DATABASE!C:Q,10,false)*F4260)</f>
        <v>0</v>
      </c>
      <c r="K4260" s="74">
        <f>VLOOKUP(E4260,DATABASE!C:Q,7,false)</f>
        <v>1565000</v>
      </c>
      <c r="L4260" s="74">
        <v>1545000.0</v>
      </c>
      <c r="M4260" s="74">
        <f t="shared" si="2"/>
        <v>1545000</v>
      </c>
      <c r="N4260" s="74">
        <f t="shared" si="3"/>
        <v>105000</v>
      </c>
      <c r="O4260" s="65" t="str">
        <f>VLOOKUP(E4260,DATABASE!C:Q,8,false)</f>
        <v>IBU</v>
      </c>
      <c r="P4260" s="65">
        <f>VLOOKUP(E4260,DATABASE!C:Q,9,False)</f>
        <v>1</v>
      </c>
      <c r="Q4260" s="93" t="str">
        <f>VLOOKUP(E4260,DATABASE!C:Q,4,false)</f>
        <v>Bridgestone</v>
      </c>
      <c r="R4260" s="93" t="str">
        <f>VLOOKUP(E4260,DATABASE!C:Q,11,false)</f>
        <v>Tire</v>
      </c>
    </row>
    <row r="4261" ht="22.5" customHeight="1">
      <c r="A4261" s="49"/>
      <c r="C4261" s="384">
        <v>45892.0</v>
      </c>
      <c r="D4261" s="65">
        <v>6919.0</v>
      </c>
      <c r="E4261" s="445" t="s">
        <v>744</v>
      </c>
      <c r="F4261" s="386">
        <v>1.0</v>
      </c>
      <c r="G4261" s="74">
        <v>230000.0</v>
      </c>
      <c r="H4261" s="74">
        <v>0.0</v>
      </c>
      <c r="I4261" s="74">
        <f t="shared" si="1"/>
        <v>230000</v>
      </c>
      <c r="J4261" s="74">
        <f>IF(E4261="SERVICE",I4261-(I4261*50%),Vlookup(E4261,DATABASE!C:Q,10,false)*F4261)</f>
        <v>0</v>
      </c>
      <c r="K4261" s="74">
        <f>VLOOKUP(E4261,DATABASE!C:Q,7,false)</f>
        <v>182200</v>
      </c>
      <c r="L4261" s="74">
        <v>199920.0</v>
      </c>
      <c r="M4261" s="74">
        <f t="shared" si="2"/>
        <v>200000</v>
      </c>
      <c r="N4261" s="74">
        <f t="shared" si="3"/>
        <v>30000</v>
      </c>
      <c r="O4261" s="65" t="str">
        <f>VLOOKUP(E4261,DATABASE!C:Q,8,false)</f>
        <v>BIAN</v>
      </c>
      <c r="P4261" s="65">
        <f>VLOOKUP(E4261,DATABASE!C:Q,9,False)</f>
        <v>1</v>
      </c>
      <c r="Q4261" s="93" t="str">
        <f>VLOOKUP(E4261,DATABASE!C:Q,4,false)</f>
        <v>BD</v>
      </c>
      <c r="R4261" s="93" t="str">
        <f>VLOOKUP(E4261,DATABASE!C:Q,11,false)</f>
        <v>Tire</v>
      </c>
    </row>
    <row r="4262" ht="22.5" customHeight="1">
      <c r="A4262" s="49"/>
      <c r="C4262" s="384">
        <v>45892.0</v>
      </c>
      <c r="D4262" s="65">
        <v>6919.0</v>
      </c>
      <c r="E4262" s="445" t="s">
        <v>821</v>
      </c>
      <c r="F4262" s="386">
        <v>1.0</v>
      </c>
      <c r="G4262" s="74">
        <v>65000.0</v>
      </c>
      <c r="H4262" s="74">
        <v>0.0</v>
      </c>
      <c r="I4262" s="74">
        <f t="shared" si="1"/>
        <v>65000</v>
      </c>
      <c r="J4262" s="74">
        <f>IF(E4262="SERVICE",I4262-(I4262*50%),Vlookup(E4262,DATABASE!C:Q,10,false)*F4262)</f>
        <v>0</v>
      </c>
      <c r="K4262" s="74">
        <f>VLOOKUP(E4262,DATABASE!C:Q,7,false)</f>
        <v>43500</v>
      </c>
      <c r="L4262" s="74">
        <v>43520.0</v>
      </c>
      <c r="M4262" s="74">
        <f t="shared" si="2"/>
        <v>45000</v>
      </c>
      <c r="N4262" s="74">
        <f t="shared" si="3"/>
        <v>20000</v>
      </c>
      <c r="O4262" s="65" t="str">
        <f>VLOOKUP(E4262,DATABASE!C:Q,8,false)</f>
        <v>BIAN</v>
      </c>
      <c r="P4262" s="65">
        <f>VLOOKUP(E4262,DATABASE!C:Q,9,False)</f>
        <v>1</v>
      </c>
      <c r="Q4262" s="93" t="str">
        <f>VLOOKUP(E4262,DATABASE!C:Q,4,false)</f>
        <v>Flap</v>
      </c>
      <c r="R4262" s="93" t="str">
        <f>VLOOKUP(E4262,DATABASE!C:Q,11,false)</f>
        <v>Tire</v>
      </c>
    </row>
    <row r="4263" ht="22.5" customHeight="1">
      <c r="A4263" s="49"/>
      <c r="C4263" s="384">
        <v>45892.0</v>
      </c>
      <c r="D4263" s="65">
        <v>6920.0</v>
      </c>
      <c r="E4263" s="445" t="s">
        <v>268</v>
      </c>
      <c r="F4263" s="386">
        <v>1.0</v>
      </c>
      <c r="G4263" s="74">
        <v>720000.0</v>
      </c>
      <c r="H4263" s="74">
        <v>0.0</v>
      </c>
      <c r="I4263" s="74">
        <f t="shared" si="1"/>
        <v>720000</v>
      </c>
      <c r="J4263" s="74">
        <f>IF(E4263="SERVICE",I4263-(I4263*50%),Vlookup(E4263,DATABASE!C:Q,10,false)*F4263)</f>
        <v>0</v>
      </c>
      <c r="K4263" s="74">
        <f>VLOOKUP(E4263,DATABASE!C:Q,7,false)</f>
        <v>653000</v>
      </c>
      <c r="L4263" s="74">
        <v>622000.0</v>
      </c>
      <c r="M4263" s="74">
        <f t="shared" si="2"/>
        <v>625000</v>
      </c>
      <c r="N4263" s="74">
        <f t="shared" si="3"/>
        <v>95000</v>
      </c>
      <c r="O4263" s="65" t="str">
        <f>VLOOKUP(E4263,DATABASE!C:Q,8,false)</f>
        <v>IBU</v>
      </c>
      <c r="P4263" s="65">
        <f>VLOOKUP(E4263,DATABASE!C:Q,9,False)</f>
        <v>1</v>
      </c>
      <c r="Q4263" s="93" t="str">
        <f>VLOOKUP(E4263,DATABASE!C:Q,4,false)</f>
        <v>Dunlop</v>
      </c>
      <c r="R4263" s="93" t="str">
        <f>VLOOKUP(E4263,DATABASE!C:Q,11,false)</f>
        <v>Tire</v>
      </c>
    </row>
    <row r="4264" ht="22.5" customHeight="1">
      <c r="A4264" s="49"/>
      <c r="C4264" s="384">
        <v>45892.0</v>
      </c>
      <c r="D4264" s="65">
        <v>6921.0</v>
      </c>
      <c r="E4264" s="445" t="s">
        <v>839</v>
      </c>
      <c r="F4264" s="386">
        <v>2.0</v>
      </c>
      <c r="G4264" s="74">
        <v>565000.0</v>
      </c>
      <c r="H4264" s="74">
        <v>0.0</v>
      </c>
      <c r="I4264" s="74">
        <f t="shared" si="1"/>
        <v>1130000</v>
      </c>
      <c r="J4264" s="74">
        <f>IF(E4264="SERVICE",I4264-(I4264*50%),Vlookup(E4264,DATABASE!C:Q,10,false)*F4264)</f>
        <v>0</v>
      </c>
      <c r="K4264" s="74">
        <f>VLOOKUP(E4264,DATABASE!C:Q,7,false)</f>
        <v>512640</v>
      </c>
      <c r="L4264" s="74">
        <v>475700.0</v>
      </c>
      <c r="M4264" s="74">
        <f t="shared" si="2"/>
        <v>480000</v>
      </c>
      <c r="N4264" s="74">
        <f t="shared" si="3"/>
        <v>170000</v>
      </c>
      <c r="O4264" s="65" t="str">
        <f>VLOOKUP(E4264,DATABASE!C:Q,8,false)</f>
        <v>BIAN</v>
      </c>
      <c r="P4264" s="65">
        <f>VLOOKUP(E4264,DATABASE!C:Q,9,False)</f>
        <v>1</v>
      </c>
      <c r="Q4264" s="93" t="str">
        <f>VLOOKUP(E4264,DATABASE!C:Q,4,false)</f>
        <v>GT</v>
      </c>
      <c r="R4264" s="93" t="str">
        <f>VLOOKUP(E4264,DATABASE!C:Q,11,false)</f>
        <v>Tire</v>
      </c>
    </row>
    <row r="4265" ht="22.5" customHeight="1">
      <c r="A4265" s="49"/>
      <c r="C4265" s="384">
        <v>45893.0</v>
      </c>
      <c r="D4265" s="65">
        <v>6922.0</v>
      </c>
      <c r="E4265" s="445" t="s">
        <v>932</v>
      </c>
      <c r="F4265" s="386">
        <v>1.0</v>
      </c>
      <c r="G4265" s="74">
        <v>700000.0</v>
      </c>
      <c r="H4265" s="74">
        <v>0.0</v>
      </c>
      <c r="I4265" s="74">
        <f t="shared" si="1"/>
        <v>700000</v>
      </c>
      <c r="J4265" s="74">
        <f>IF(E4265="SERVICE",I4265-(I4265*50%),Vlookup(E4265,DATABASE!C:Q,10,false)*F4265)</f>
        <v>0</v>
      </c>
      <c r="K4265" s="74">
        <f>VLOOKUP(E4265,DATABASE!C:Q,7,false)</f>
        <v>601000</v>
      </c>
      <c r="L4265" s="74">
        <v>595000.0</v>
      </c>
      <c r="M4265" s="74">
        <f t="shared" si="2"/>
        <v>595000</v>
      </c>
      <c r="N4265" s="74">
        <f t="shared" si="3"/>
        <v>105000</v>
      </c>
      <c r="O4265" s="65" t="str">
        <f>VLOOKUP(E4265,DATABASE!C:Q,8,false)</f>
        <v>IBU</v>
      </c>
      <c r="P4265" s="65">
        <f>VLOOKUP(E4265,DATABASE!C:Q,9,False)</f>
        <v>1</v>
      </c>
      <c r="Q4265" s="93" t="str">
        <f>VLOOKUP(E4265,DATABASE!C:Q,4,false)</f>
        <v>Dunlop</v>
      </c>
      <c r="R4265" s="93" t="str">
        <f>VLOOKUP(E4265,DATABASE!C:Q,11,false)</f>
        <v>Tire</v>
      </c>
    </row>
    <row r="4266" ht="22.5" customHeight="1">
      <c r="A4266" s="49"/>
      <c r="C4266" s="384">
        <v>45893.0</v>
      </c>
      <c r="D4266" s="65">
        <v>6923.0</v>
      </c>
      <c r="E4266" s="445" t="s">
        <v>256</v>
      </c>
      <c r="F4266" s="386">
        <v>1.0</v>
      </c>
      <c r="G4266" s="74">
        <v>130000.0</v>
      </c>
      <c r="H4266" s="74">
        <v>0.0</v>
      </c>
      <c r="I4266" s="74">
        <f t="shared" si="1"/>
        <v>130000</v>
      </c>
      <c r="J4266" s="74">
        <f>IF(E4266="SERVICE",I4266-(I4266*50%),Vlookup(E4266,DATABASE!C:Q,10,false)*F4266)</f>
        <v>10000</v>
      </c>
      <c r="K4266" s="74">
        <f>VLOOKUP(E4266,DATABASE!C:Q,7,false)</f>
        <v>0</v>
      </c>
      <c r="L4266" s="74">
        <v>0.0</v>
      </c>
      <c r="M4266" s="74">
        <f t="shared" si="2"/>
        <v>0</v>
      </c>
      <c r="N4266" s="74">
        <f t="shared" si="3"/>
        <v>120000</v>
      </c>
      <c r="O4266" s="65" t="str">
        <f>VLOOKUP(E4266,DATABASE!C:Q,8,false)</f>
        <v>IBU</v>
      </c>
      <c r="P4266" s="65">
        <f>VLOOKUP(E4266,DATABASE!C:Q,9,False)</f>
        <v>0</v>
      </c>
      <c r="Q4266" s="93" t="str">
        <f>VLOOKUP(E4266,DATABASE!C:Q,4,false)</f>
        <v>SPOORING</v>
      </c>
      <c r="R4266" s="93" t="str">
        <f>VLOOKUP(E4266,DATABASE!C:Q,11,false)</f>
        <v>SERVICE</v>
      </c>
    </row>
    <row r="4267" ht="22.5" customHeight="1">
      <c r="A4267" s="49"/>
      <c r="C4267" s="384">
        <v>45893.0</v>
      </c>
      <c r="D4267" s="65">
        <v>6923.0</v>
      </c>
      <c r="E4267" s="445" t="s">
        <v>251</v>
      </c>
      <c r="F4267" s="386">
        <v>1.0</v>
      </c>
      <c r="G4267" s="74">
        <v>150000.0</v>
      </c>
      <c r="H4267" s="74">
        <v>0.0</v>
      </c>
      <c r="I4267" s="74">
        <f t="shared" si="1"/>
        <v>150000</v>
      </c>
      <c r="J4267" s="74">
        <f>IF(E4267="SERVICE",I4267-(I4267*50%),Vlookup(E4267,DATABASE!C:Q,10,false)*F4267)</f>
        <v>75000</v>
      </c>
      <c r="K4267" s="74">
        <f>VLOOKUP(E4267,DATABASE!C:Q,7,false)</f>
        <v>0</v>
      </c>
      <c r="L4267" s="74">
        <v>0.0</v>
      </c>
      <c r="M4267" s="74">
        <f t="shared" si="2"/>
        <v>0</v>
      </c>
      <c r="N4267" s="74">
        <f t="shared" si="3"/>
        <v>75000</v>
      </c>
      <c r="O4267" s="65" t="str">
        <f>VLOOKUP(E4267,DATABASE!C:Q,8,false)</f>
        <v>IBU</v>
      </c>
      <c r="P4267" s="65">
        <f>VLOOKUP(E4267,DATABASE!C:Q,9,False)</f>
        <v>0</v>
      </c>
      <c r="Q4267" s="93" t="str">
        <f>VLOOKUP(E4267,DATABASE!C:Q,4,false)</f>
        <v>SERVICE</v>
      </c>
      <c r="R4267" s="93" t="str">
        <f>VLOOKUP(E4267,DATABASE!C:Q,11,false)</f>
        <v>SERVICE</v>
      </c>
    </row>
    <row r="4268" ht="22.5" customHeight="1">
      <c r="A4268" s="49"/>
      <c r="C4268" s="384">
        <v>45893.0</v>
      </c>
      <c r="D4268" s="65">
        <v>6925.0</v>
      </c>
      <c r="E4268" s="445" t="s">
        <v>1429</v>
      </c>
      <c r="F4268" s="386">
        <v>1.0</v>
      </c>
      <c r="G4268" s="74">
        <v>950000.0</v>
      </c>
      <c r="H4268" s="74">
        <v>0.0</v>
      </c>
      <c r="I4268" s="74">
        <f t="shared" si="1"/>
        <v>950000</v>
      </c>
      <c r="J4268" s="74">
        <f>IF(E4268="SERVICE",I4268-(I4268*50%),Vlookup(E4268,DATABASE!C:Q,10,false)*F4268)</f>
        <v>0</v>
      </c>
      <c r="K4268" s="74">
        <f>VLOOKUP(E4268,DATABASE!C:Q,7,false)</f>
        <v>849000</v>
      </c>
      <c r="L4268" s="74">
        <v>849000.0</v>
      </c>
      <c r="M4268" s="74">
        <f t="shared" si="2"/>
        <v>850000</v>
      </c>
      <c r="N4268" s="74">
        <f t="shared" si="3"/>
        <v>100000</v>
      </c>
      <c r="O4268" s="65" t="str">
        <f>VLOOKUP(E4268,DATABASE!C:Q,8,false)</f>
        <v>IBU</v>
      </c>
      <c r="P4268" s="65">
        <f>VLOOKUP(E4268,DATABASE!C:Q,9,False)</f>
        <v>1</v>
      </c>
      <c r="Q4268" s="93" t="str">
        <f>VLOOKUP(E4268,DATABASE!C:Q,4,false)</f>
        <v>Dunlop</v>
      </c>
      <c r="R4268" s="93" t="str">
        <f>VLOOKUP(E4268,DATABASE!C:Q,11,false)</f>
        <v>Tire</v>
      </c>
    </row>
    <row r="4269" ht="22.5" customHeight="1">
      <c r="A4269" s="49"/>
      <c r="C4269" s="384">
        <v>45893.0</v>
      </c>
      <c r="D4269" s="65">
        <v>6925.0</v>
      </c>
      <c r="E4269" s="385" t="s">
        <v>299</v>
      </c>
      <c r="F4269" s="386">
        <v>2.0</v>
      </c>
      <c r="G4269" s="74">
        <v>25000.0</v>
      </c>
      <c r="H4269" s="74">
        <v>0.0</v>
      </c>
      <c r="I4269" s="74">
        <f t="shared" si="1"/>
        <v>50000</v>
      </c>
      <c r="J4269" s="74">
        <f>IF(E4269="SERVICE",I4269-(I4269*50%),Vlookup(E4269,DATABASE!C:Q,10,false)*F4269)</f>
        <v>0</v>
      </c>
      <c r="K4269" s="74">
        <v>0.0</v>
      </c>
      <c r="L4269" s="74">
        <v>0.0</v>
      </c>
      <c r="M4269" s="74">
        <f t="shared" si="2"/>
        <v>0</v>
      </c>
      <c r="N4269" s="74">
        <f t="shared" si="3"/>
        <v>50000</v>
      </c>
      <c r="O4269" s="65" t="str">
        <f>VLOOKUP(E4269,DATABASE!C:Q,8,false)</f>
        <v>BIAN</v>
      </c>
      <c r="P4269" s="65">
        <f>VLOOKUP(E4269,DATABASE!C:Q,9,False)</f>
        <v>0</v>
      </c>
      <c r="Q4269" s="93" t="str">
        <f>VLOOKUP(E4269,DATABASE!C:Q,4,false)</f>
        <v>Balancing</v>
      </c>
      <c r="R4269" s="93" t="str">
        <f>VLOOKUP(E4269,DATABASE!C:Q,11,false)</f>
        <v>COMPLEMENTARY</v>
      </c>
    </row>
    <row r="4270" ht="22.5" customHeight="1">
      <c r="A4270" s="49"/>
      <c r="C4270" s="384">
        <v>45894.0</v>
      </c>
      <c r="D4270" s="65">
        <v>6926.0</v>
      </c>
      <c r="E4270" s="445" t="s">
        <v>268</v>
      </c>
      <c r="F4270" s="386">
        <v>1.0</v>
      </c>
      <c r="G4270" s="74">
        <v>720000.0</v>
      </c>
      <c r="H4270" s="74">
        <v>0.0</v>
      </c>
      <c r="I4270" s="74">
        <f t="shared" si="1"/>
        <v>720000</v>
      </c>
      <c r="J4270" s="74">
        <f>IF(E4270="SERVICE",I4270-(I4270*50%),Vlookup(E4270,DATABASE!C:Q,10,false)*F4270)</f>
        <v>0</v>
      </c>
      <c r="K4270" s="74">
        <f>VLOOKUP(E4270,DATABASE!C:Q,7,false)</f>
        <v>653000</v>
      </c>
      <c r="L4270" s="74">
        <v>622000.0</v>
      </c>
      <c r="M4270" s="74">
        <f t="shared" si="2"/>
        <v>625000</v>
      </c>
      <c r="N4270" s="74">
        <f t="shared" si="3"/>
        <v>95000</v>
      </c>
      <c r="O4270" s="65" t="str">
        <f>VLOOKUP(E4270,DATABASE!C:Q,8,false)</f>
        <v>IBU</v>
      </c>
      <c r="P4270" s="65">
        <f>VLOOKUP(E4270,DATABASE!C:Q,9,False)</f>
        <v>1</v>
      </c>
      <c r="Q4270" s="93" t="str">
        <f>VLOOKUP(E4270,DATABASE!C:Q,4,false)</f>
        <v>Dunlop</v>
      </c>
      <c r="R4270" s="93" t="str">
        <f>VLOOKUP(E4270,DATABASE!C:Q,11,false)</f>
        <v>Tire</v>
      </c>
    </row>
    <row r="4271" ht="22.5" customHeight="1">
      <c r="A4271" s="49"/>
      <c r="C4271" s="384">
        <v>45894.0</v>
      </c>
      <c r="D4271" s="65">
        <v>6927.0</v>
      </c>
      <c r="E4271" s="445" t="s">
        <v>1890</v>
      </c>
      <c r="F4271" s="386">
        <v>2.0</v>
      </c>
      <c r="G4271" s="74">
        <v>820000.0</v>
      </c>
      <c r="H4271" s="74">
        <v>0.0</v>
      </c>
      <c r="I4271" s="74">
        <f t="shared" si="1"/>
        <v>1640000</v>
      </c>
      <c r="J4271" s="74">
        <f>IF(E4271="SERVICE",I4271-(I4271*50%),Vlookup(E4271,DATABASE!C:Q,10,false)*F4271)</f>
        <v>0</v>
      </c>
      <c r="K4271" s="74">
        <f>VLOOKUP(E4271,DATABASE!C:Q,7,false)</f>
        <v>739600</v>
      </c>
      <c r="L4271" s="74">
        <v>700000.0</v>
      </c>
      <c r="M4271" s="74">
        <f t="shared" si="2"/>
        <v>700000</v>
      </c>
      <c r="N4271" s="74">
        <f t="shared" si="3"/>
        <v>240000</v>
      </c>
      <c r="O4271" s="65" t="str">
        <f>VLOOKUP(E4271,DATABASE!C:Q,8,false)</f>
        <v>BIAN</v>
      </c>
      <c r="P4271" s="65">
        <f>VLOOKUP(E4271,DATABASE!C:Q,9,False)</f>
        <v>1</v>
      </c>
      <c r="Q4271" s="93" t="str">
        <f>VLOOKUP(E4271,DATABASE!C:Q,4,false)</f>
        <v>GT</v>
      </c>
      <c r="R4271" s="93" t="str">
        <f>VLOOKUP(E4271,DATABASE!C:Q,11,false)</f>
        <v>Tire</v>
      </c>
    </row>
    <row r="4272" ht="22.5" customHeight="1">
      <c r="A4272" s="49"/>
      <c r="C4272" s="384">
        <v>45894.0</v>
      </c>
      <c r="D4272" s="65">
        <v>6928.0</v>
      </c>
      <c r="E4272" s="385" t="s">
        <v>299</v>
      </c>
      <c r="F4272" s="386">
        <v>2.0</v>
      </c>
      <c r="G4272" s="74">
        <v>30000.0</v>
      </c>
      <c r="H4272" s="74">
        <v>0.0</v>
      </c>
      <c r="I4272" s="74">
        <f t="shared" si="1"/>
        <v>60000</v>
      </c>
      <c r="J4272" s="74">
        <f>IF(E4272="SERVICE",I4272-(I4272*50%),Vlookup(E4272,DATABASE!C:Q,10,false)*F4272)</f>
        <v>0</v>
      </c>
      <c r="K4272" s="74">
        <v>0.0</v>
      </c>
      <c r="L4272" s="74">
        <v>0.0</v>
      </c>
      <c r="M4272" s="74">
        <f t="shared" si="2"/>
        <v>0</v>
      </c>
      <c r="N4272" s="74">
        <f t="shared" si="3"/>
        <v>60000</v>
      </c>
      <c r="O4272" s="65" t="str">
        <f>VLOOKUP(E4272,DATABASE!C:Q,8,false)</f>
        <v>BIAN</v>
      </c>
      <c r="P4272" s="65">
        <f>VLOOKUP(E4272,DATABASE!C:Q,9,False)</f>
        <v>0</v>
      </c>
      <c r="Q4272" s="93" t="str">
        <f>VLOOKUP(E4272,DATABASE!C:Q,4,false)</f>
        <v>Balancing</v>
      </c>
      <c r="R4272" s="93" t="str">
        <f>VLOOKUP(E4272,DATABASE!C:Q,11,false)</f>
        <v>COMPLEMENTARY</v>
      </c>
    </row>
    <row r="4273" ht="22.5" customHeight="1">
      <c r="A4273" s="49"/>
      <c r="C4273" s="384">
        <v>45894.0</v>
      </c>
      <c r="D4273" s="65">
        <v>6929.0</v>
      </c>
      <c r="E4273" s="445" t="s">
        <v>268</v>
      </c>
      <c r="F4273" s="386">
        <v>2.0</v>
      </c>
      <c r="G4273" s="74">
        <v>720000.0</v>
      </c>
      <c r="H4273" s="74">
        <v>0.0</v>
      </c>
      <c r="I4273" s="74">
        <f t="shared" si="1"/>
        <v>1440000</v>
      </c>
      <c r="J4273" s="74">
        <f>IF(E4273="SERVICE",I4273-(I4273*50%),Vlookup(E4273,DATABASE!C:Q,10,false)*F4273)</f>
        <v>0</v>
      </c>
      <c r="K4273" s="74">
        <f>VLOOKUP(E4273,DATABASE!C:Q,7,false)</f>
        <v>653000</v>
      </c>
      <c r="L4273" s="74">
        <v>622000.0</v>
      </c>
      <c r="M4273" s="74">
        <f t="shared" si="2"/>
        <v>625000</v>
      </c>
      <c r="N4273" s="74">
        <f t="shared" si="3"/>
        <v>190000</v>
      </c>
      <c r="O4273" s="65" t="str">
        <f>VLOOKUP(E4273,DATABASE!C:Q,8,false)</f>
        <v>IBU</v>
      </c>
      <c r="P4273" s="65">
        <f>VLOOKUP(E4273,DATABASE!C:Q,9,False)</f>
        <v>1</v>
      </c>
      <c r="Q4273" s="93" t="str">
        <f>VLOOKUP(E4273,DATABASE!C:Q,4,false)</f>
        <v>Dunlop</v>
      </c>
      <c r="R4273" s="93" t="str">
        <f>VLOOKUP(E4273,DATABASE!C:Q,11,false)</f>
        <v>Tire</v>
      </c>
    </row>
    <row r="4274" ht="22.5" customHeight="1">
      <c r="A4274" s="49"/>
      <c r="C4274" s="384">
        <v>45894.0</v>
      </c>
      <c r="D4274" s="65">
        <v>6930.0</v>
      </c>
      <c r="E4274" s="445" t="s">
        <v>275</v>
      </c>
      <c r="F4274" s="386">
        <v>2.0</v>
      </c>
      <c r="G4274" s="74">
        <v>850000.0</v>
      </c>
      <c r="H4274" s="74">
        <v>0.0</v>
      </c>
      <c r="I4274" s="74">
        <f t="shared" si="1"/>
        <v>1700000</v>
      </c>
      <c r="J4274" s="74">
        <f>IF(E4274="SERVICE",I4274-(I4274*50%),Vlookup(E4274,DATABASE!C:Q,10,false)*F4274)</f>
        <v>0</v>
      </c>
      <c r="K4274" s="74">
        <f>VLOOKUP(E4274,DATABASE!C:Q,7,false)</f>
        <v>782000</v>
      </c>
      <c r="L4274" s="74">
        <v>745000.0</v>
      </c>
      <c r="M4274" s="74">
        <f t="shared" si="2"/>
        <v>745000</v>
      </c>
      <c r="N4274" s="74">
        <f t="shared" si="3"/>
        <v>210000</v>
      </c>
      <c r="O4274" s="65" t="str">
        <f>VLOOKUP(E4274,DATABASE!C:Q,8,false)</f>
        <v>IBU</v>
      </c>
      <c r="P4274" s="65">
        <f>VLOOKUP(E4274,DATABASE!C:Q,9,False)</f>
        <v>1</v>
      </c>
      <c r="Q4274" s="93" t="str">
        <f>VLOOKUP(E4274,DATABASE!C:Q,4,false)</f>
        <v>Dunlop</v>
      </c>
      <c r="R4274" s="93" t="str">
        <f>VLOOKUP(E4274,DATABASE!C:Q,11,false)</f>
        <v>Tire</v>
      </c>
    </row>
    <row r="4275" ht="22.5" customHeight="1">
      <c r="A4275" s="49"/>
      <c r="C4275" s="384">
        <v>45894.0</v>
      </c>
      <c r="D4275" s="65">
        <v>6931.0</v>
      </c>
      <c r="E4275" s="385" t="s">
        <v>299</v>
      </c>
      <c r="F4275" s="386">
        <v>2.0</v>
      </c>
      <c r="G4275" s="74">
        <v>30000.0</v>
      </c>
      <c r="H4275" s="74">
        <v>0.0</v>
      </c>
      <c r="I4275" s="74">
        <f t="shared" si="1"/>
        <v>60000</v>
      </c>
      <c r="J4275" s="74">
        <f>IF(E4275="SERVICE",I4275-(I4275*50%),Vlookup(E4275,DATABASE!C:Q,10,false)*F4275)</f>
        <v>0</v>
      </c>
      <c r="K4275" s="74">
        <v>0.0</v>
      </c>
      <c r="L4275" s="74">
        <v>0.0</v>
      </c>
      <c r="M4275" s="74">
        <f t="shared" si="2"/>
        <v>0</v>
      </c>
      <c r="N4275" s="74">
        <f t="shared" si="3"/>
        <v>60000</v>
      </c>
      <c r="O4275" s="65" t="str">
        <f>VLOOKUP(E4275,DATABASE!C:Q,8,false)</f>
        <v>BIAN</v>
      </c>
      <c r="P4275" s="65">
        <f>VLOOKUP(E4275,DATABASE!C:Q,9,False)</f>
        <v>0</v>
      </c>
      <c r="Q4275" s="93" t="str">
        <f>VLOOKUP(E4275,DATABASE!C:Q,4,false)</f>
        <v>Balancing</v>
      </c>
      <c r="R4275" s="93" t="str">
        <f>VLOOKUP(E4275,DATABASE!C:Q,11,false)</f>
        <v>COMPLEMENTARY</v>
      </c>
    </row>
    <row r="4276" ht="22.5" customHeight="1">
      <c r="A4276" s="49"/>
      <c r="C4276" s="384">
        <v>45894.0</v>
      </c>
      <c r="D4276" s="65">
        <v>6932.0</v>
      </c>
      <c r="E4276" s="445" t="s">
        <v>591</v>
      </c>
      <c r="F4276" s="386">
        <v>1.0</v>
      </c>
      <c r="G4276" s="74">
        <v>700000.0</v>
      </c>
      <c r="H4276" s="74">
        <v>0.0</v>
      </c>
      <c r="I4276" s="74">
        <f t="shared" si="1"/>
        <v>700000</v>
      </c>
      <c r="J4276" s="74">
        <f>IF(E4276="SERVICE",I4276-(I4276*50%),Vlookup(E4276,DATABASE!C:Q,10,false)*F4276)</f>
        <v>0</v>
      </c>
      <c r="K4276" s="74">
        <f>VLOOKUP(E4276,DATABASE!C:Q,7,false)</f>
        <v>633035.16</v>
      </c>
      <c r="L4276" s="74">
        <v>593488.4</v>
      </c>
      <c r="M4276" s="74">
        <f t="shared" si="2"/>
        <v>595000</v>
      </c>
      <c r="N4276" s="74">
        <f t="shared" si="3"/>
        <v>105000</v>
      </c>
      <c r="O4276" s="65" t="str">
        <f>VLOOKUP(E4276,DATABASE!C:Q,8,false)</f>
        <v>IBU</v>
      </c>
      <c r="P4276" s="65">
        <f>VLOOKUP(E4276,DATABASE!C:Q,9,False)</f>
        <v>1</v>
      </c>
      <c r="Q4276" s="93" t="str">
        <f>VLOOKUP(E4276,DATABASE!C:Q,4,false)</f>
        <v>Bridgestone</v>
      </c>
      <c r="R4276" s="93" t="str">
        <f>VLOOKUP(E4276,DATABASE!C:Q,11,false)</f>
        <v>Tire</v>
      </c>
    </row>
    <row r="4277" ht="22.5" customHeight="1">
      <c r="A4277" s="49"/>
      <c r="C4277" s="384">
        <v>45894.0</v>
      </c>
      <c r="D4277" s="65">
        <v>6933.0</v>
      </c>
      <c r="E4277" s="445" t="s">
        <v>569</v>
      </c>
      <c r="F4277" s="386">
        <v>2.0</v>
      </c>
      <c r="G4277" s="74">
        <v>80000.0</v>
      </c>
      <c r="H4277" s="74">
        <v>0.0</v>
      </c>
      <c r="I4277" s="74">
        <f t="shared" si="1"/>
        <v>160000</v>
      </c>
      <c r="J4277" s="74">
        <f>IF(E4277="SERVICE",I4277-(I4277*50%),Vlookup(E4277,DATABASE!C:Q,10,false)*F4277)</f>
        <v>0</v>
      </c>
      <c r="K4277" s="74">
        <f>VLOOKUP(E4277,DATABASE!C:Q,7,false)</f>
        <v>45439.582</v>
      </c>
      <c r="L4277" s="74">
        <v>45309.6</v>
      </c>
      <c r="M4277" s="74">
        <f t="shared" si="2"/>
        <v>50000</v>
      </c>
      <c r="N4277" s="74">
        <f t="shared" si="3"/>
        <v>60000</v>
      </c>
      <c r="O4277" s="65" t="str">
        <f>VLOOKUP(E4277,DATABASE!C:Q,8,false)</f>
        <v>BIAN</v>
      </c>
      <c r="P4277" s="65">
        <f>VLOOKUP(E4277,DATABASE!C:Q,9,False)</f>
        <v>1</v>
      </c>
      <c r="Q4277" s="93" t="str">
        <f>VLOOKUP(E4277,DATABASE!C:Q,4,false)</f>
        <v>BD</v>
      </c>
      <c r="R4277" s="93" t="str">
        <f>VLOOKUP(E4277,DATABASE!C:Q,11,false)</f>
        <v>Tire</v>
      </c>
    </row>
    <row r="4278" ht="22.5" customHeight="1">
      <c r="A4278" s="49"/>
      <c r="C4278" s="384">
        <v>45894.0</v>
      </c>
      <c r="D4278" s="65">
        <v>6934.0</v>
      </c>
      <c r="E4278" s="445" t="s">
        <v>2221</v>
      </c>
      <c r="F4278" s="386">
        <v>2.0</v>
      </c>
      <c r="G4278" s="74">
        <v>550000.0</v>
      </c>
      <c r="H4278" s="74">
        <v>0.0</v>
      </c>
      <c r="I4278" s="74">
        <f t="shared" si="1"/>
        <v>1100000</v>
      </c>
      <c r="J4278" s="74">
        <f>IF(E4278="SERVICE",I4278-(I4278*50%),Vlookup(E4278,DATABASE!C:Q,10,false)*F4278)</f>
        <v>0</v>
      </c>
      <c r="K4278" s="74">
        <f>VLOOKUP(E4278,DATABASE!C:Q,7,false)</f>
        <v>450000</v>
      </c>
      <c r="L4278" s="74">
        <v>450000.0</v>
      </c>
      <c r="M4278" s="74">
        <f t="shared" si="2"/>
        <v>450000</v>
      </c>
      <c r="N4278" s="74">
        <f t="shared" si="3"/>
        <v>200000</v>
      </c>
      <c r="O4278" s="65" t="str">
        <f>VLOOKUP(E4278,DATABASE!C:Q,8,false)</f>
        <v>BIAN</v>
      </c>
      <c r="P4278" s="65">
        <f>VLOOKUP(E4278,DATABASE!C:Q,9,False)</f>
        <v>1</v>
      </c>
      <c r="Q4278" s="93" t="str">
        <f>VLOOKUP(E4278,DATABASE!C:Q,4,false)</f>
        <v>Velg</v>
      </c>
      <c r="R4278" s="93" t="str">
        <f>VLOOKUP(E4278,DATABASE!C:Q,11,false)</f>
        <v>Tire</v>
      </c>
    </row>
    <row r="4279" ht="22.5" customHeight="1">
      <c r="A4279" s="49"/>
      <c r="C4279" s="384">
        <v>45894.0</v>
      </c>
      <c r="D4279" s="65">
        <v>6934.0</v>
      </c>
      <c r="E4279" s="445" t="s">
        <v>275</v>
      </c>
      <c r="F4279" s="386">
        <v>2.0</v>
      </c>
      <c r="G4279" s="74">
        <v>850000.0</v>
      </c>
      <c r="H4279" s="74">
        <v>0.0</v>
      </c>
      <c r="I4279" s="74">
        <f t="shared" si="1"/>
        <v>1700000</v>
      </c>
      <c r="J4279" s="74">
        <f>IF(E4279="SERVICE",I4279-(I4279*50%),Vlookup(E4279,DATABASE!C:Q,10,false)*F4279)</f>
        <v>0</v>
      </c>
      <c r="K4279" s="74">
        <f>VLOOKUP(E4279,DATABASE!C:Q,7,false)</f>
        <v>782000</v>
      </c>
      <c r="L4279" s="74">
        <v>745000.0</v>
      </c>
      <c r="M4279" s="74">
        <f t="shared" si="2"/>
        <v>745000</v>
      </c>
      <c r="N4279" s="74">
        <f t="shared" si="3"/>
        <v>210000</v>
      </c>
      <c r="O4279" s="65" t="str">
        <f>VLOOKUP(E4279,DATABASE!C:Q,8,false)</f>
        <v>IBU</v>
      </c>
      <c r="P4279" s="65">
        <f>VLOOKUP(E4279,DATABASE!C:Q,9,False)</f>
        <v>1</v>
      </c>
      <c r="Q4279" s="93" t="str">
        <f>VLOOKUP(E4279,DATABASE!C:Q,4,false)</f>
        <v>Dunlop</v>
      </c>
      <c r="R4279" s="93" t="str">
        <f>VLOOKUP(E4279,DATABASE!C:Q,11,false)</f>
        <v>Tire</v>
      </c>
    </row>
    <row r="4280" ht="22.5" customHeight="1">
      <c r="A4280" s="49"/>
      <c r="C4280" s="384">
        <v>45894.0</v>
      </c>
      <c r="D4280" s="65">
        <v>6935.0</v>
      </c>
      <c r="E4280" s="445" t="s">
        <v>781</v>
      </c>
      <c r="F4280" s="386">
        <v>2.0</v>
      </c>
      <c r="G4280" s="74">
        <v>525000.0</v>
      </c>
      <c r="H4280" s="74">
        <v>0.0</v>
      </c>
      <c r="I4280" s="74">
        <f t="shared" si="1"/>
        <v>1050000</v>
      </c>
      <c r="J4280" s="74">
        <f>IF(E4280="SERVICE",I4280-(I4280*50%),Vlookup(E4280,DATABASE!C:Q,10,false)*F4280)</f>
        <v>0</v>
      </c>
      <c r="K4280" s="74">
        <f>VLOOKUP(E4280,DATABASE!C:Q,7,false)</f>
        <v>470000</v>
      </c>
      <c r="L4280" s="74">
        <v>442500.0</v>
      </c>
      <c r="M4280" s="74">
        <f t="shared" si="2"/>
        <v>445000</v>
      </c>
      <c r="N4280" s="74">
        <f t="shared" si="3"/>
        <v>160000</v>
      </c>
      <c r="O4280" s="65" t="str">
        <f>VLOOKUP(E4280,DATABASE!C:Q,8,false)</f>
        <v>BIAN</v>
      </c>
      <c r="P4280" s="65">
        <f>VLOOKUP(E4280,DATABASE!C:Q,9,False)</f>
        <v>1</v>
      </c>
      <c r="Q4280" s="93" t="str">
        <f>VLOOKUP(E4280,DATABASE!C:Q,4,false)</f>
        <v>GT</v>
      </c>
      <c r="R4280" s="93" t="str">
        <f>VLOOKUP(E4280,DATABASE!C:Q,11,false)</f>
        <v>Tire</v>
      </c>
    </row>
    <row r="4281" ht="22.5" customHeight="1">
      <c r="A4281" s="49"/>
      <c r="C4281" s="384">
        <v>45894.0</v>
      </c>
      <c r="D4281" s="65">
        <v>6936.0</v>
      </c>
      <c r="E4281" s="445" t="s">
        <v>256</v>
      </c>
      <c r="F4281" s="386">
        <v>1.0</v>
      </c>
      <c r="G4281" s="74">
        <v>130000.0</v>
      </c>
      <c r="H4281" s="74">
        <v>0.0</v>
      </c>
      <c r="I4281" s="74">
        <f t="shared" si="1"/>
        <v>130000</v>
      </c>
      <c r="J4281" s="74">
        <f>IF(E4281="SERVICE",I4281-(I4281*50%),Vlookup(E4281,DATABASE!C:Q,10,false)*F4281)</f>
        <v>10000</v>
      </c>
      <c r="K4281" s="74">
        <f>VLOOKUP(E4281,DATABASE!C:Q,7,false)</f>
        <v>0</v>
      </c>
      <c r="L4281" s="74">
        <v>0.0</v>
      </c>
      <c r="M4281" s="74">
        <f t="shared" si="2"/>
        <v>0</v>
      </c>
      <c r="N4281" s="74">
        <f t="shared" si="3"/>
        <v>120000</v>
      </c>
      <c r="O4281" s="65" t="str">
        <f>VLOOKUP(E4281,DATABASE!C:Q,8,false)</f>
        <v>IBU</v>
      </c>
      <c r="P4281" s="65">
        <f>VLOOKUP(E4281,DATABASE!C:Q,9,False)</f>
        <v>0</v>
      </c>
      <c r="Q4281" s="93" t="str">
        <f>VLOOKUP(E4281,DATABASE!C:Q,4,false)</f>
        <v>SPOORING</v>
      </c>
      <c r="R4281" s="93" t="str">
        <f>VLOOKUP(E4281,DATABASE!C:Q,11,false)</f>
        <v>SERVICE</v>
      </c>
    </row>
    <row r="4282" ht="22.5" customHeight="1">
      <c r="A4282" s="49"/>
      <c r="C4282" s="384">
        <v>45894.0</v>
      </c>
      <c r="D4282" s="65">
        <v>6936.0</v>
      </c>
      <c r="E4282" s="445" t="s">
        <v>301</v>
      </c>
      <c r="F4282" s="386">
        <v>1.0</v>
      </c>
      <c r="G4282" s="74">
        <v>250000.0</v>
      </c>
      <c r="H4282" s="74">
        <v>0.0</v>
      </c>
      <c r="I4282" s="74">
        <f t="shared" si="1"/>
        <v>250000</v>
      </c>
      <c r="J4282" s="74">
        <f>IF(E4282="SERVICE",I4282-(I4282*50%),Vlookup(E4282,DATABASE!C:Q,10,false)*F4282)</f>
        <v>75000</v>
      </c>
      <c r="K4282" s="74">
        <f>VLOOKUP(E4282,DATABASE!C:Q,7,false)</f>
        <v>75000</v>
      </c>
      <c r="L4282" s="74">
        <v>75000.0</v>
      </c>
      <c r="M4282" s="74">
        <f t="shared" si="2"/>
        <v>75000</v>
      </c>
      <c r="N4282" s="74">
        <f t="shared" si="3"/>
        <v>100000</v>
      </c>
      <c r="O4282" s="65" t="str">
        <f>VLOOKUP(E4282,DATABASE!C:Q,8,false)</f>
        <v>BIAN</v>
      </c>
      <c r="P4282" s="65">
        <f>VLOOKUP(E4282,DATABASE!C:Q,9,False)</f>
        <v>0</v>
      </c>
      <c r="Q4282" s="93" t="str">
        <f>VLOOKUP(E4282,DATABASE!C:Q,4,false)</f>
        <v>Baut Camber</v>
      </c>
      <c r="R4282" s="93" t="str">
        <f>VLOOKUP(E4282,DATABASE!C:Q,11,false)</f>
        <v>COMPLEMENTARY</v>
      </c>
    </row>
    <row r="4283" ht="22.5" customHeight="1">
      <c r="A4283" s="49"/>
      <c r="C4283" s="384">
        <v>45894.0</v>
      </c>
      <c r="D4283" s="65">
        <v>6937.0</v>
      </c>
      <c r="E4283" s="445" t="s">
        <v>256</v>
      </c>
      <c r="F4283" s="386">
        <v>1.0</v>
      </c>
      <c r="G4283" s="74">
        <v>130000.0</v>
      </c>
      <c r="H4283" s="74">
        <v>0.0</v>
      </c>
      <c r="I4283" s="74">
        <f t="shared" si="1"/>
        <v>130000</v>
      </c>
      <c r="J4283" s="74">
        <f>IF(E4283="SERVICE",I4283-(I4283*50%),Vlookup(E4283,DATABASE!C:Q,10,false)*F4283)</f>
        <v>10000</v>
      </c>
      <c r="K4283" s="74">
        <f>VLOOKUP(E4283,DATABASE!C:Q,7,false)</f>
        <v>0</v>
      </c>
      <c r="L4283" s="74">
        <v>0.0</v>
      </c>
      <c r="M4283" s="74">
        <f t="shared" si="2"/>
        <v>0</v>
      </c>
      <c r="N4283" s="74">
        <f t="shared" si="3"/>
        <v>120000</v>
      </c>
      <c r="O4283" s="65" t="str">
        <f>VLOOKUP(E4283,DATABASE!C:Q,8,false)</f>
        <v>IBU</v>
      </c>
      <c r="P4283" s="65">
        <f>VLOOKUP(E4283,DATABASE!C:Q,9,False)</f>
        <v>0</v>
      </c>
      <c r="Q4283" s="93" t="str">
        <f>VLOOKUP(E4283,DATABASE!C:Q,4,false)</f>
        <v>SPOORING</v>
      </c>
      <c r="R4283" s="93" t="str">
        <f>VLOOKUP(E4283,DATABASE!C:Q,11,false)</f>
        <v>SERVICE</v>
      </c>
    </row>
    <row r="4284" ht="22.5" customHeight="1">
      <c r="A4284" s="49"/>
      <c r="C4284" s="384">
        <v>45894.0</v>
      </c>
      <c r="D4284" s="65">
        <v>6937.0</v>
      </c>
      <c r="E4284" s="445" t="s">
        <v>301</v>
      </c>
      <c r="F4284" s="386">
        <v>1.0</v>
      </c>
      <c r="G4284" s="74">
        <v>250000.0</v>
      </c>
      <c r="H4284" s="74">
        <v>0.0</v>
      </c>
      <c r="I4284" s="74">
        <f t="shared" si="1"/>
        <v>250000</v>
      </c>
      <c r="J4284" s="74">
        <f>IF(E4284="SERVICE",I4284-(I4284*50%),Vlookup(E4284,DATABASE!C:Q,10,false)*F4284)</f>
        <v>75000</v>
      </c>
      <c r="K4284" s="74">
        <f>VLOOKUP(E4284,DATABASE!C:Q,7,false)</f>
        <v>75000</v>
      </c>
      <c r="L4284" s="74">
        <v>75000.0</v>
      </c>
      <c r="M4284" s="74">
        <f t="shared" si="2"/>
        <v>75000</v>
      </c>
      <c r="N4284" s="74">
        <f t="shared" si="3"/>
        <v>100000</v>
      </c>
      <c r="O4284" s="65" t="str">
        <f>VLOOKUP(E4284,DATABASE!C:Q,8,false)</f>
        <v>BIAN</v>
      </c>
      <c r="P4284" s="65">
        <f>VLOOKUP(E4284,DATABASE!C:Q,9,False)</f>
        <v>0</v>
      </c>
      <c r="Q4284" s="93" t="str">
        <f>VLOOKUP(E4284,DATABASE!C:Q,4,false)</f>
        <v>Baut Camber</v>
      </c>
      <c r="R4284" s="93" t="str">
        <f>VLOOKUP(E4284,DATABASE!C:Q,11,false)</f>
        <v>COMPLEMENTARY</v>
      </c>
    </row>
    <row r="4285" ht="22.5" customHeight="1">
      <c r="A4285" s="49"/>
      <c r="C4285" s="384">
        <v>45895.0</v>
      </c>
      <c r="D4285" s="65">
        <v>6938.0</v>
      </c>
      <c r="E4285" s="445" t="s">
        <v>268</v>
      </c>
      <c r="F4285" s="386">
        <v>1.0</v>
      </c>
      <c r="G4285" s="74">
        <v>720000.0</v>
      </c>
      <c r="H4285" s="74">
        <v>0.0</v>
      </c>
      <c r="I4285" s="74">
        <f t="shared" si="1"/>
        <v>720000</v>
      </c>
      <c r="J4285" s="74">
        <f>IF(E4285="SERVICE",I4285-(I4285*50%),Vlookup(E4285,DATABASE!C:Q,10,false)*F4285)</f>
        <v>0</v>
      </c>
      <c r="K4285" s="74">
        <f>VLOOKUP(E4285,DATABASE!C:Q,7,false)</f>
        <v>653000</v>
      </c>
      <c r="L4285" s="74">
        <v>622000.0</v>
      </c>
      <c r="M4285" s="74">
        <f t="shared" si="2"/>
        <v>625000</v>
      </c>
      <c r="N4285" s="74">
        <f t="shared" si="3"/>
        <v>95000</v>
      </c>
      <c r="O4285" s="65" t="str">
        <f>VLOOKUP(E4285,DATABASE!C:Q,8,false)</f>
        <v>IBU</v>
      </c>
      <c r="P4285" s="65">
        <f>VLOOKUP(E4285,DATABASE!C:Q,9,False)</f>
        <v>1</v>
      </c>
      <c r="Q4285" s="93" t="str">
        <f>VLOOKUP(E4285,DATABASE!C:Q,4,false)</f>
        <v>Dunlop</v>
      </c>
      <c r="R4285" s="93" t="str">
        <f>VLOOKUP(E4285,DATABASE!C:Q,11,false)</f>
        <v>Tire</v>
      </c>
    </row>
    <row r="4286" ht="22.5" customHeight="1">
      <c r="A4286" s="49"/>
      <c r="C4286" s="384">
        <v>45895.0</v>
      </c>
      <c r="D4286" s="65">
        <v>6939.0</v>
      </c>
      <c r="E4286" s="445" t="s">
        <v>268</v>
      </c>
      <c r="F4286" s="386">
        <v>1.0</v>
      </c>
      <c r="G4286" s="74">
        <v>720000.0</v>
      </c>
      <c r="H4286" s="74">
        <v>0.0</v>
      </c>
      <c r="I4286" s="74">
        <f t="shared" si="1"/>
        <v>720000</v>
      </c>
      <c r="J4286" s="74">
        <f>IF(E4286="SERVICE",I4286-(I4286*50%),Vlookup(E4286,DATABASE!C:Q,10,false)*F4286)</f>
        <v>0</v>
      </c>
      <c r="K4286" s="74">
        <f>VLOOKUP(E4286,DATABASE!C:Q,7,false)</f>
        <v>653000</v>
      </c>
      <c r="L4286" s="74">
        <v>622000.0</v>
      </c>
      <c r="M4286" s="74">
        <f t="shared" si="2"/>
        <v>625000</v>
      </c>
      <c r="N4286" s="74">
        <f t="shared" si="3"/>
        <v>95000</v>
      </c>
      <c r="O4286" s="65" t="str">
        <f>VLOOKUP(E4286,DATABASE!C:Q,8,false)</f>
        <v>IBU</v>
      </c>
      <c r="P4286" s="65">
        <f>VLOOKUP(E4286,DATABASE!C:Q,9,False)</f>
        <v>1</v>
      </c>
      <c r="Q4286" s="93" t="str">
        <f>VLOOKUP(E4286,DATABASE!C:Q,4,false)</f>
        <v>Dunlop</v>
      </c>
      <c r="R4286" s="93" t="str">
        <f>VLOOKUP(E4286,DATABASE!C:Q,11,false)</f>
        <v>Tire</v>
      </c>
    </row>
    <row r="4287" ht="22.5" customHeight="1">
      <c r="A4287" s="49"/>
      <c r="C4287" s="384">
        <v>45895.0</v>
      </c>
      <c r="D4287" s="65">
        <v>6940.0</v>
      </c>
      <c r="E4287" s="445" t="s">
        <v>1009</v>
      </c>
      <c r="F4287" s="386">
        <v>1.0</v>
      </c>
      <c r="G4287" s="74">
        <v>700000.0</v>
      </c>
      <c r="H4287" s="74">
        <v>0.0</v>
      </c>
      <c r="I4287" s="74">
        <f t="shared" si="1"/>
        <v>700000</v>
      </c>
      <c r="J4287" s="74">
        <f>IF(E4287="SERVICE",I4287-(I4287*50%),Vlookup(E4287,DATABASE!C:Q,10,false)*F4287)</f>
        <v>0</v>
      </c>
      <c r="K4287" s="74">
        <f>VLOOKUP(E4287,DATABASE!C:Q,7,false)</f>
        <v>609800</v>
      </c>
      <c r="L4287" s="74">
        <v>592200.0</v>
      </c>
      <c r="M4287" s="74">
        <f t="shared" si="2"/>
        <v>595000</v>
      </c>
      <c r="N4287" s="74">
        <f t="shared" si="3"/>
        <v>105000</v>
      </c>
      <c r="O4287" s="65" t="str">
        <f>VLOOKUP(E4287,DATABASE!C:Q,8,false)</f>
        <v>BIAN</v>
      </c>
      <c r="P4287" s="65">
        <f>VLOOKUP(E4287,DATABASE!C:Q,9,False)</f>
        <v>1</v>
      </c>
      <c r="Q4287" s="93" t="str">
        <f>VLOOKUP(E4287,DATABASE!C:Q,4,false)</f>
        <v>GT</v>
      </c>
      <c r="R4287" s="93" t="str">
        <f>VLOOKUP(E4287,DATABASE!C:Q,11,false)</f>
        <v>Tire</v>
      </c>
    </row>
    <row r="4288" ht="22.5" customHeight="1">
      <c r="A4288" s="49"/>
      <c r="C4288" s="384">
        <v>45895.0</v>
      </c>
      <c r="D4288" s="65">
        <v>6941.0</v>
      </c>
      <c r="E4288" s="445" t="s">
        <v>839</v>
      </c>
      <c r="F4288" s="386">
        <v>2.0</v>
      </c>
      <c r="G4288" s="74">
        <v>565000.0</v>
      </c>
      <c r="H4288" s="74">
        <v>0.0</v>
      </c>
      <c r="I4288" s="74">
        <f t="shared" si="1"/>
        <v>1130000</v>
      </c>
      <c r="J4288" s="74">
        <f>IF(E4288="SERVICE",I4288-(I4288*50%),Vlookup(E4288,DATABASE!C:Q,10,false)*F4288)</f>
        <v>0</v>
      </c>
      <c r="K4288" s="74">
        <f>VLOOKUP(E4288,DATABASE!C:Q,7,false)</f>
        <v>512640</v>
      </c>
      <c r="L4288" s="74">
        <v>475700.0</v>
      </c>
      <c r="M4288" s="74">
        <f t="shared" si="2"/>
        <v>480000</v>
      </c>
      <c r="N4288" s="74">
        <f t="shared" si="3"/>
        <v>170000</v>
      </c>
      <c r="O4288" s="65" t="str">
        <f>VLOOKUP(E4288,DATABASE!C:Q,8,false)</f>
        <v>BIAN</v>
      </c>
      <c r="P4288" s="65">
        <f>VLOOKUP(E4288,DATABASE!C:Q,9,False)</f>
        <v>1</v>
      </c>
      <c r="Q4288" s="93" t="str">
        <f>VLOOKUP(E4288,DATABASE!C:Q,4,false)</f>
        <v>GT</v>
      </c>
      <c r="R4288" s="93" t="str">
        <f>VLOOKUP(E4288,DATABASE!C:Q,11,false)</f>
        <v>Tire</v>
      </c>
    </row>
    <row r="4289" ht="22.5" customHeight="1">
      <c r="A4289" s="49"/>
      <c r="C4289" s="384">
        <v>45895.0</v>
      </c>
      <c r="D4289" s="65">
        <v>6942.0</v>
      </c>
      <c r="E4289" s="445" t="s">
        <v>268</v>
      </c>
      <c r="F4289" s="386">
        <v>2.0</v>
      </c>
      <c r="G4289" s="74">
        <v>720000.0</v>
      </c>
      <c r="H4289" s="74">
        <v>0.0</v>
      </c>
      <c r="I4289" s="74">
        <f t="shared" si="1"/>
        <v>1440000</v>
      </c>
      <c r="J4289" s="74">
        <f>IF(E4289="SERVICE",I4289-(I4289*50%),Vlookup(E4289,DATABASE!C:Q,10,false)*F4289)</f>
        <v>0</v>
      </c>
      <c r="K4289" s="74">
        <f>VLOOKUP(E4289,DATABASE!C:Q,7,false)</f>
        <v>653000</v>
      </c>
      <c r="L4289" s="74">
        <v>622000.0</v>
      </c>
      <c r="M4289" s="74">
        <f t="shared" si="2"/>
        <v>625000</v>
      </c>
      <c r="N4289" s="74">
        <f t="shared" si="3"/>
        <v>190000</v>
      </c>
      <c r="O4289" s="65" t="str">
        <f>VLOOKUP(E4289,DATABASE!C:Q,8,false)</f>
        <v>IBU</v>
      </c>
      <c r="P4289" s="65">
        <f>VLOOKUP(E4289,DATABASE!C:Q,9,False)</f>
        <v>1</v>
      </c>
      <c r="Q4289" s="93" t="str">
        <f>VLOOKUP(E4289,DATABASE!C:Q,4,false)</f>
        <v>Dunlop</v>
      </c>
      <c r="R4289" s="93" t="str">
        <f>VLOOKUP(E4289,DATABASE!C:Q,11,false)</f>
        <v>Tire</v>
      </c>
    </row>
    <row r="4290" ht="22.5" customHeight="1">
      <c r="A4290" s="49"/>
      <c r="C4290" s="384">
        <v>45895.0</v>
      </c>
      <c r="D4290" s="65">
        <v>6943.0</v>
      </c>
      <c r="E4290" s="445" t="s">
        <v>256</v>
      </c>
      <c r="F4290" s="386">
        <v>1.0</v>
      </c>
      <c r="G4290" s="74">
        <v>130000.0</v>
      </c>
      <c r="H4290" s="74">
        <v>0.0</v>
      </c>
      <c r="I4290" s="74">
        <f t="shared" si="1"/>
        <v>130000</v>
      </c>
      <c r="J4290" s="74">
        <f>IF(E4290="SERVICE",I4290-(I4290*50%),Vlookup(E4290,DATABASE!C:Q,10,false)*F4290)</f>
        <v>10000</v>
      </c>
      <c r="K4290" s="74">
        <f>VLOOKUP(E4290,DATABASE!C:Q,7,false)</f>
        <v>0</v>
      </c>
      <c r="L4290" s="74">
        <v>0.0</v>
      </c>
      <c r="M4290" s="74">
        <f t="shared" si="2"/>
        <v>0</v>
      </c>
      <c r="N4290" s="74">
        <f t="shared" si="3"/>
        <v>120000</v>
      </c>
      <c r="O4290" s="65" t="str">
        <f>VLOOKUP(E4290,DATABASE!C:Q,8,false)</f>
        <v>IBU</v>
      </c>
      <c r="P4290" s="65">
        <f>VLOOKUP(E4290,DATABASE!C:Q,9,False)</f>
        <v>0</v>
      </c>
      <c r="Q4290" s="93" t="str">
        <f>VLOOKUP(E4290,DATABASE!C:Q,4,false)</f>
        <v>SPOORING</v>
      </c>
      <c r="R4290" s="93" t="str">
        <f>VLOOKUP(E4290,DATABASE!C:Q,11,false)</f>
        <v>SERVICE</v>
      </c>
    </row>
    <row r="4291" ht="22.5" customHeight="1">
      <c r="A4291" s="49"/>
      <c r="C4291" s="384">
        <v>45895.0</v>
      </c>
      <c r="D4291" s="65">
        <v>6943.0</v>
      </c>
      <c r="E4291" s="445" t="s">
        <v>301</v>
      </c>
      <c r="F4291" s="386">
        <v>1.0</v>
      </c>
      <c r="G4291" s="74">
        <v>250000.0</v>
      </c>
      <c r="H4291" s="74">
        <v>0.0</v>
      </c>
      <c r="I4291" s="74">
        <f t="shared" si="1"/>
        <v>250000</v>
      </c>
      <c r="J4291" s="74">
        <f>IF(E4291="SERVICE",I4291-(I4291*50%),Vlookup(E4291,DATABASE!C:Q,10,false)*F4291)</f>
        <v>75000</v>
      </c>
      <c r="K4291" s="74">
        <f>VLOOKUP(E4291,DATABASE!C:Q,7,false)</f>
        <v>75000</v>
      </c>
      <c r="L4291" s="74">
        <v>75000.0</v>
      </c>
      <c r="M4291" s="74">
        <f t="shared" si="2"/>
        <v>75000</v>
      </c>
      <c r="N4291" s="74">
        <f t="shared" si="3"/>
        <v>100000</v>
      </c>
      <c r="O4291" s="65" t="str">
        <f>VLOOKUP(E4291,DATABASE!C:Q,8,false)</f>
        <v>BIAN</v>
      </c>
      <c r="P4291" s="65">
        <f>VLOOKUP(E4291,DATABASE!C:Q,9,False)</f>
        <v>0</v>
      </c>
      <c r="Q4291" s="93" t="str">
        <f>VLOOKUP(E4291,DATABASE!C:Q,4,false)</f>
        <v>Baut Camber</v>
      </c>
      <c r="R4291" s="93" t="str">
        <f>VLOOKUP(E4291,DATABASE!C:Q,11,false)</f>
        <v>COMPLEMENTARY</v>
      </c>
    </row>
    <row r="4292" ht="22.5" customHeight="1">
      <c r="A4292" s="49"/>
      <c r="C4292" s="384">
        <v>45895.0</v>
      </c>
      <c r="D4292" s="65">
        <v>6944.0</v>
      </c>
      <c r="E4292" s="445" t="s">
        <v>932</v>
      </c>
      <c r="F4292" s="386">
        <v>1.0</v>
      </c>
      <c r="G4292" s="74">
        <v>690000.0</v>
      </c>
      <c r="H4292" s="74">
        <v>0.0</v>
      </c>
      <c r="I4292" s="74">
        <f t="shared" si="1"/>
        <v>690000</v>
      </c>
      <c r="J4292" s="74">
        <f>IF(E4292="SERVICE",I4292-(I4292*50%),Vlookup(E4292,DATABASE!C:Q,10,false)*F4292)</f>
        <v>0</v>
      </c>
      <c r="K4292" s="74">
        <f>VLOOKUP(E4292,DATABASE!C:Q,7,false)</f>
        <v>601000</v>
      </c>
      <c r="L4292" s="74">
        <v>595000.0</v>
      </c>
      <c r="M4292" s="74">
        <f t="shared" si="2"/>
        <v>595000</v>
      </c>
      <c r="N4292" s="74">
        <f t="shared" si="3"/>
        <v>95000</v>
      </c>
      <c r="O4292" s="65" t="str">
        <f>VLOOKUP(E4292,DATABASE!C:Q,8,false)</f>
        <v>IBU</v>
      </c>
      <c r="P4292" s="65">
        <f>VLOOKUP(E4292,DATABASE!C:Q,9,False)</f>
        <v>1</v>
      </c>
      <c r="Q4292" s="93" t="str">
        <f>VLOOKUP(E4292,DATABASE!C:Q,4,false)</f>
        <v>Dunlop</v>
      </c>
      <c r="R4292" s="93" t="str">
        <f>VLOOKUP(E4292,DATABASE!C:Q,11,false)</f>
        <v>Tire</v>
      </c>
    </row>
    <row r="4293" ht="22.5" customHeight="1">
      <c r="A4293" s="49"/>
      <c r="C4293" s="384">
        <v>45895.0</v>
      </c>
      <c r="D4293" s="65">
        <v>6945.0</v>
      </c>
      <c r="E4293" s="445" t="s">
        <v>2199</v>
      </c>
      <c r="F4293" s="386">
        <v>1.0</v>
      </c>
      <c r="G4293" s="74">
        <v>15000.0</v>
      </c>
      <c r="H4293" s="74">
        <v>0.0</v>
      </c>
      <c r="I4293" s="74">
        <f t="shared" si="1"/>
        <v>15000</v>
      </c>
      <c r="J4293" s="74">
        <f>IF(E4293="SERVICE",I4293-(I4293*50%),Vlookup(E4293,DATABASE!C:Q,10,false)*F4293)</f>
        <v>0</v>
      </c>
      <c r="K4293" s="74">
        <f>VLOOKUP(E4293,DATABASE!C:Q,7,false)</f>
        <v>5000</v>
      </c>
      <c r="L4293" s="74">
        <v>0.0</v>
      </c>
      <c r="M4293" s="74">
        <f t="shared" si="2"/>
        <v>0</v>
      </c>
      <c r="N4293" s="74">
        <f t="shared" si="3"/>
        <v>15000</v>
      </c>
      <c r="O4293" s="65" t="str">
        <f>VLOOKUP(E4293,DATABASE!C:Q,8,false)</f>
        <v>BIAN</v>
      </c>
      <c r="P4293" s="65">
        <f>VLOOKUP(E4293,DATABASE!C:Q,9,False)</f>
        <v>0</v>
      </c>
      <c r="Q4293" s="93" t="str">
        <f>VLOOKUP(E4293,DATABASE!C:Q,4,false)</f>
        <v>TAMBAL TUBLES</v>
      </c>
      <c r="R4293" s="93" t="str">
        <f>VLOOKUP(E4293,DATABASE!C:Q,11,false)</f>
        <v>COMPLEMENTARY</v>
      </c>
    </row>
    <row r="4294" ht="22.5" customHeight="1">
      <c r="A4294" s="49"/>
      <c r="C4294" s="384">
        <v>45895.0</v>
      </c>
      <c r="D4294" s="65">
        <v>6946.0</v>
      </c>
      <c r="E4294" s="445" t="s">
        <v>256</v>
      </c>
      <c r="F4294" s="386">
        <v>1.0</v>
      </c>
      <c r="G4294" s="74">
        <v>130000.0</v>
      </c>
      <c r="H4294" s="74">
        <v>0.0</v>
      </c>
      <c r="I4294" s="74">
        <f t="shared" si="1"/>
        <v>130000</v>
      </c>
      <c r="J4294" s="74">
        <f>IF(E4294="SERVICE",I4294-(I4294*50%),Vlookup(E4294,DATABASE!C:Q,10,false)*F4294)</f>
        <v>10000</v>
      </c>
      <c r="K4294" s="74">
        <f>VLOOKUP(E4294,DATABASE!C:Q,7,false)</f>
        <v>0</v>
      </c>
      <c r="L4294" s="74">
        <v>0.0</v>
      </c>
      <c r="M4294" s="74">
        <f t="shared" si="2"/>
        <v>0</v>
      </c>
      <c r="N4294" s="74">
        <f t="shared" si="3"/>
        <v>120000</v>
      </c>
      <c r="O4294" s="65" t="str">
        <f>VLOOKUP(E4294,DATABASE!C:Q,8,false)</f>
        <v>IBU</v>
      </c>
      <c r="P4294" s="65">
        <f>VLOOKUP(E4294,DATABASE!C:Q,9,False)</f>
        <v>0</v>
      </c>
      <c r="Q4294" s="93" t="str">
        <f>VLOOKUP(E4294,DATABASE!C:Q,4,false)</f>
        <v>SPOORING</v>
      </c>
      <c r="R4294" s="93" t="str">
        <f>VLOOKUP(E4294,DATABASE!C:Q,11,false)</f>
        <v>SERVICE</v>
      </c>
    </row>
    <row r="4295" ht="22.5" customHeight="1">
      <c r="A4295" s="49"/>
      <c r="C4295" s="384">
        <v>45895.0</v>
      </c>
      <c r="D4295" s="65">
        <v>6946.0</v>
      </c>
      <c r="E4295" s="445" t="s">
        <v>301</v>
      </c>
      <c r="F4295" s="386">
        <v>1.0</v>
      </c>
      <c r="G4295" s="74">
        <v>250000.0</v>
      </c>
      <c r="H4295" s="74">
        <v>0.0</v>
      </c>
      <c r="I4295" s="74">
        <f t="shared" si="1"/>
        <v>250000</v>
      </c>
      <c r="J4295" s="74">
        <f>IF(E4295="SERVICE",I4295-(I4295*50%),Vlookup(E4295,DATABASE!C:Q,10,false)*F4295)</f>
        <v>75000</v>
      </c>
      <c r="K4295" s="74">
        <f>VLOOKUP(E4295,DATABASE!C:Q,7,false)</f>
        <v>75000</v>
      </c>
      <c r="L4295" s="74">
        <v>75000.0</v>
      </c>
      <c r="M4295" s="74">
        <f t="shared" si="2"/>
        <v>75000</v>
      </c>
      <c r="N4295" s="74">
        <f t="shared" si="3"/>
        <v>100000</v>
      </c>
      <c r="O4295" s="65" t="str">
        <f>VLOOKUP(E4295,DATABASE!C:Q,8,false)</f>
        <v>BIAN</v>
      </c>
      <c r="P4295" s="65">
        <f>VLOOKUP(E4295,DATABASE!C:Q,9,False)</f>
        <v>0</v>
      </c>
      <c r="Q4295" s="93" t="str">
        <f>VLOOKUP(E4295,DATABASE!C:Q,4,false)</f>
        <v>Baut Camber</v>
      </c>
      <c r="R4295" s="93" t="str">
        <f>VLOOKUP(E4295,DATABASE!C:Q,11,false)</f>
        <v>COMPLEMENTARY</v>
      </c>
    </row>
    <row r="4296" ht="22.5" customHeight="1">
      <c r="A4296" s="49"/>
      <c r="C4296" s="384">
        <v>45895.0</v>
      </c>
      <c r="D4296" s="65">
        <v>6949.0</v>
      </c>
      <c r="E4296" s="445" t="s">
        <v>256</v>
      </c>
      <c r="F4296" s="386">
        <v>1.0</v>
      </c>
      <c r="G4296" s="74">
        <v>130000.0</v>
      </c>
      <c r="H4296" s="74">
        <v>0.0</v>
      </c>
      <c r="I4296" s="74">
        <f t="shared" si="1"/>
        <v>130000</v>
      </c>
      <c r="J4296" s="74">
        <f>IF(E4296="SERVICE",I4296-(I4296*50%),Vlookup(E4296,DATABASE!C:Q,10,false)*F4296)</f>
        <v>10000</v>
      </c>
      <c r="K4296" s="74">
        <f>VLOOKUP(E4296,DATABASE!C:Q,7,false)</f>
        <v>0</v>
      </c>
      <c r="L4296" s="74">
        <v>0.0</v>
      </c>
      <c r="M4296" s="74">
        <f t="shared" si="2"/>
        <v>0</v>
      </c>
      <c r="N4296" s="74">
        <f t="shared" si="3"/>
        <v>120000</v>
      </c>
      <c r="O4296" s="65" t="str">
        <f>VLOOKUP(E4296,DATABASE!C:Q,8,false)</f>
        <v>IBU</v>
      </c>
      <c r="P4296" s="65">
        <f>VLOOKUP(E4296,DATABASE!C:Q,9,False)</f>
        <v>0</v>
      </c>
      <c r="Q4296" s="93" t="str">
        <f>VLOOKUP(E4296,DATABASE!C:Q,4,false)</f>
        <v>SPOORING</v>
      </c>
      <c r="R4296" s="93" t="str">
        <f>VLOOKUP(E4296,DATABASE!C:Q,11,false)</f>
        <v>SERVICE</v>
      </c>
    </row>
    <row r="4297" ht="22.5" customHeight="1">
      <c r="A4297" s="49"/>
      <c r="C4297" s="384">
        <v>45895.0</v>
      </c>
      <c r="D4297" s="65">
        <v>6949.0</v>
      </c>
      <c r="E4297" s="445" t="s">
        <v>301</v>
      </c>
      <c r="F4297" s="386">
        <v>1.0</v>
      </c>
      <c r="G4297" s="74">
        <v>250000.0</v>
      </c>
      <c r="H4297" s="74">
        <v>0.0</v>
      </c>
      <c r="I4297" s="74">
        <f t="shared" si="1"/>
        <v>250000</v>
      </c>
      <c r="J4297" s="74">
        <f>IF(E4297="SERVICE",I4297-(I4297*50%),Vlookup(E4297,DATABASE!C:Q,10,false)*F4297)</f>
        <v>75000</v>
      </c>
      <c r="K4297" s="74">
        <f>VLOOKUP(E4297,DATABASE!C:Q,7,false)</f>
        <v>75000</v>
      </c>
      <c r="L4297" s="74">
        <v>75000.0</v>
      </c>
      <c r="M4297" s="74">
        <f t="shared" si="2"/>
        <v>75000</v>
      </c>
      <c r="N4297" s="74">
        <f t="shared" si="3"/>
        <v>100000</v>
      </c>
      <c r="O4297" s="65" t="str">
        <f>VLOOKUP(E4297,DATABASE!C:Q,8,false)</f>
        <v>BIAN</v>
      </c>
      <c r="P4297" s="65">
        <f>VLOOKUP(E4297,DATABASE!C:Q,9,False)</f>
        <v>0</v>
      </c>
      <c r="Q4297" s="93" t="str">
        <f>VLOOKUP(E4297,DATABASE!C:Q,4,false)</f>
        <v>Baut Camber</v>
      </c>
      <c r="R4297" s="93" t="str">
        <f>VLOOKUP(E4297,DATABASE!C:Q,11,false)</f>
        <v>COMPLEMENTARY</v>
      </c>
    </row>
    <row r="4298" ht="22.5" customHeight="1">
      <c r="A4298" s="49"/>
      <c r="C4298" s="384">
        <v>45896.0</v>
      </c>
      <c r="D4298" s="65">
        <v>6950.0</v>
      </c>
      <c r="E4298" s="445" t="s">
        <v>256</v>
      </c>
      <c r="F4298" s="386">
        <v>1.0</v>
      </c>
      <c r="G4298" s="74">
        <v>130000.0</v>
      </c>
      <c r="H4298" s="74">
        <v>0.0</v>
      </c>
      <c r="I4298" s="74">
        <f t="shared" si="1"/>
        <v>130000</v>
      </c>
      <c r="J4298" s="74">
        <f>IF(E4298="SERVICE",I4298-(I4298*50%),Vlookup(E4298,DATABASE!C:Q,10,false)*F4298)</f>
        <v>10000</v>
      </c>
      <c r="K4298" s="74">
        <f>VLOOKUP(E4298,DATABASE!C:Q,7,false)</f>
        <v>0</v>
      </c>
      <c r="L4298" s="74">
        <v>0.0</v>
      </c>
      <c r="M4298" s="74">
        <f t="shared" si="2"/>
        <v>0</v>
      </c>
      <c r="N4298" s="74">
        <f t="shared" si="3"/>
        <v>120000</v>
      </c>
      <c r="O4298" s="65" t="str">
        <f>VLOOKUP(E4298,DATABASE!C:Q,8,false)</f>
        <v>IBU</v>
      </c>
      <c r="P4298" s="65">
        <f>VLOOKUP(E4298,DATABASE!C:Q,9,False)</f>
        <v>0</v>
      </c>
      <c r="Q4298" s="93" t="str">
        <f>VLOOKUP(E4298,DATABASE!C:Q,4,false)</f>
        <v>SPOORING</v>
      </c>
      <c r="R4298" s="93" t="str">
        <f>VLOOKUP(E4298,DATABASE!C:Q,11,false)</f>
        <v>SERVICE</v>
      </c>
    </row>
    <row r="4299" ht="22.5" customHeight="1">
      <c r="A4299" s="49"/>
      <c r="C4299" s="384">
        <v>45896.0</v>
      </c>
      <c r="D4299" s="65">
        <v>6950.0</v>
      </c>
      <c r="E4299" s="445" t="s">
        <v>251</v>
      </c>
      <c r="F4299" s="386">
        <v>1.0</v>
      </c>
      <c r="G4299" s="74">
        <v>150000.0</v>
      </c>
      <c r="H4299" s="74">
        <v>0.0</v>
      </c>
      <c r="I4299" s="74">
        <f t="shared" si="1"/>
        <v>150000</v>
      </c>
      <c r="J4299" s="74">
        <f>IF(E4299="SERVICE",I4299-(I4299*50%),Vlookup(E4299,DATABASE!C:Q,10,false)*F4299)</f>
        <v>75000</v>
      </c>
      <c r="K4299" s="74">
        <f>VLOOKUP(E4299,DATABASE!C:Q,7,false)</f>
        <v>0</v>
      </c>
      <c r="L4299" s="74">
        <v>0.0</v>
      </c>
      <c r="M4299" s="74">
        <f t="shared" si="2"/>
        <v>0</v>
      </c>
      <c r="N4299" s="74">
        <f t="shared" si="3"/>
        <v>75000</v>
      </c>
      <c r="O4299" s="65" t="str">
        <f>VLOOKUP(E4299,DATABASE!C:Q,8,false)</f>
        <v>IBU</v>
      </c>
      <c r="P4299" s="65">
        <f>VLOOKUP(E4299,DATABASE!C:Q,9,False)</f>
        <v>0</v>
      </c>
      <c r="Q4299" s="93" t="str">
        <f>VLOOKUP(E4299,DATABASE!C:Q,4,false)</f>
        <v>SERVICE</v>
      </c>
      <c r="R4299" s="93" t="str">
        <f>VLOOKUP(E4299,DATABASE!C:Q,11,false)</f>
        <v>SERVICE</v>
      </c>
    </row>
    <row r="4300" ht="22.5" customHeight="1">
      <c r="A4300" s="49"/>
      <c r="C4300" s="384">
        <v>45896.0</v>
      </c>
      <c r="D4300" s="65">
        <v>6951.0</v>
      </c>
      <c r="E4300" s="445" t="s">
        <v>744</v>
      </c>
      <c r="F4300" s="386">
        <v>1.0</v>
      </c>
      <c r="G4300" s="74">
        <v>230000.0</v>
      </c>
      <c r="H4300" s="74">
        <v>0.0</v>
      </c>
      <c r="I4300" s="74">
        <f t="shared" si="1"/>
        <v>230000</v>
      </c>
      <c r="J4300" s="74">
        <f>IF(E4300="SERVICE",I4300-(I4300*50%),Vlookup(E4300,DATABASE!C:Q,10,false)*F4300)</f>
        <v>0</v>
      </c>
      <c r="K4300" s="74">
        <f>VLOOKUP(E4300,DATABASE!C:Q,7,false)</f>
        <v>182200</v>
      </c>
      <c r="L4300" s="74">
        <v>199920.0</v>
      </c>
      <c r="M4300" s="74">
        <f t="shared" si="2"/>
        <v>200000</v>
      </c>
      <c r="N4300" s="74">
        <f t="shared" si="3"/>
        <v>30000</v>
      </c>
      <c r="O4300" s="65" t="str">
        <f>VLOOKUP(E4300,DATABASE!C:Q,8,false)</f>
        <v>BIAN</v>
      </c>
      <c r="P4300" s="65">
        <f>VLOOKUP(E4300,DATABASE!C:Q,9,False)</f>
        <v>1</v>
      </c>
      <c r="Q4300" s="93" t="str">
        <f>VLOOKUP(E4300,DATABASE!C:Q,4,false)</f>
        <v>BD</v>
      </c>
      <c r="R4300" s="93" t="str">
        <f>VLOOKUP(E4300,DATABASE!C:Q,11,false)</f>
        <v>Tire</v>
      </c>
    </row>
    <row r="4301" ht="22.5" customHeight="1">
      <c r="A4301" s="49"/>
      <c r="C4301" s="384">
        <v>45896.0</v>
      </c>
      <c r="D4301" s="65">
        <v>6952.0</v>
      </c>
      <c r="E4301" s="445" t="s">
        <v>256</v>
      </c>
      <c r="F4301" s="386">
        <v>1.0</v>
      </c>
      <c r="G4301" s="74">
        <v>130000.0</v>
      </c>
      <c r="H4301" s="74">
        <v>0.0</v>
      </c>
      <c r="I4301" s="74">
        <f t="shared" si="1"/>
        <v>130000</v>
      </c>
      <c r="J4301" s="74">
        <f>IF(E4301="SERVICE",I4301-(I4301*50%),Vlookup(E4301,DATABASE!C:Q,10,false)*F4301)</f>
        <v>10000</v>
      </c>
      <c r="K4301" s="74">
        <f>VLOOKUP(E4301,DATABASE!C:Q,7,false)</f>
        <v>0</v>
      </c>
      <c r="L4301" s="74">
        <v>0.0</v>
      </c>
      <c r="M4301" s="74">
        <f t="shared" si="2"/>
        <v>0</v>
      </c>
      <c r="N4301" s="74">
        <f t="shared" si="3"/>
        <v>120000</v>
      </c>
      <c r="O4301" s="65" t="str">
        <f>VLOOKUP(E4301,DATABASE!C:Q,8,false)</f>
        <v>IBU</v>
      </c>
      <c r="P4301" s="65">
        <f>VLOOKUP(E4301,DATABASE!C:Q,9,False)</f>
        <v>0</v>
      </c>
      <c r="Q4301" s="93" t="str">
        <f>VLOOKUP(E4301,DATABASE!C:Q,4,false)</f>
        <v>SPOORING</v>
      </c>
      <c r="R4301" s="93" t="str">
        <f>VLOOKUP(E4301,DATABASE!C:Q,11,false)</f>
        <v>SERVICE</v>
      </c>
    </row>
    <row r="4302" ht="22.5" customHeight="1">
      <c r="A4302" s="49"/>
      <c r="C4302" s="384">
        <v>45896.0</v>
      </c>
      <c r="D4302" s="65">
        <v>6952.0</v>
      </c>
      <c r="E4302" s="445" t="s">
        <v>251</v>
      </c>
      <c r="F4302" s="386">
        <v>1.0</v>
      </c>
      <c r="G4302" s="74">
        <v>150000.0</v>
      </c>
      <c r="H4302" s="74">
        <v>0.0</v>
      </c>
      <c r="I4302" s="74">
        <f t="shared" si="1"/>
        <v>150000</v>
      </c>
      <c r="J4302" s="74">
        <f>IF(E4302="SERVICE",I4302-(I4302*50%),Vlookup(E4302,DATABASE!C:Q,10,false)*F4302)</f>
        <v>75000</v>
      </c>
      <c r="K4302" s="74">
        <f>VLOOKUP(E4302,DATABASE!C:Q,7,false)</f>
        <v>0</v>
      </c>
      <c r="L4302" s="74">
        <v>0.0</v>
      </c>
      <c r="M4302" s="74">
        <f t="shared" si="2"/>
        <v>0</v>
      </c>
      <c r="N4302" s="74">
        <f t="shared" si="3"/>
        <v>75000</v>
      </c>
      <c r="O4302" s="65" t="str">
        <f>VLOOKUP(E4302,DATABASE!C:Q,8,false)</f>
        <v>IBU</v>
      </c>
      <c r="P4302" s="65">
        <f>VLOOKUP(E4302,DATABASE!C:Q,9,False)</f>
        <v>0</v>
      </c>
      <c r="Q4302" s="93" t="str">
        <f>VLOOKUP(E4302,DATABASE!C:Q,4,false)</f>
        <v>SERVICE</v>
      </c>
      <c r="R4302" s="93" t="str">
        <f>VLOOKUP(E4302,DATABASE!C:Q,11,false)</f>
        <v>SERVICE</v>
      </c>
    </row>
    <row r="4303" ht="22.5" customHeight="1">
      <c r="A4303" s="49"/>
      <c r="C4303" s="384">
        <v>45896.0</v>
      </c>
      <c r="D4303" s="65">
        <v>6953.0</v>
      </c>
      <c r="E4303" s="445" t="s">
        <v>268</v>
      </c>
      <c r="F4303" s="386">
        <v>1.0</v>
      </c>
      <c r="G4303" s="74">
        <v>720000.0</v>
      </c>
      <c r="H4303" s="74">
        <v>0.0</v>
      </c>
      <c r="I4303" s="74">
        <f t="shared" si="1"/>
        <v>720000</v>
      </c>
      <c r="J4303" s="74">
        <f>IF(E4303="SERVICE",I4303-(I4303*50%),Vlookup(E4303,DATABASE!C:Q,10,false)*F4303)</f>
        <v>0</v>
      </c>
      <c r="K4303" s="74">
        <f>VLOOKUP(E4303,DATABASE!C:Q,7,false)</f>
        <v>653000</v>
      </c>
      <c r="L4303" s="74">
        <v>622000.0</v>
      </c>
      <c r="M4303" s="74">
        <f t="shared" si="2"/>
        <v>625000</v>
      </c>
      <c r="N4303" s="74">
        <f t="shared" si="3"/>
        <v>95000</v>
      </c>
      <c r="O4303" s="65" t="str">
        <f>VLOOKUP(E4303,DATABASE!C:Q,8,false)</f>
        <v>IBU</v>
      </c>
      <c r="P4303" s="65">
        <f>VLOOKUP(E4303,DATABASE!C:Q,9,False)</f>
        <v>1</v>
      </c>
      <c r="Q4303" s="93" t="str">
        <f>VLOOKUP(E4303,DATABASE!C:Q,4,false)</f>
        <v>Dunlop</v>
      </c>
      <c r="R4303" s="93" t="str">
        <f>VLOOKUP(E4303,DATABASE!C:Q,11,false)</f>
        <v>Tire</v>
      </c>
    </row>
    <row r="4304" ht="22.5" customHeight="1">
      <c r="A4304" s="49"/>
      <c r="C4304" s="384">
        <v>45896.0</v>
      </c>
      <c r="D4304" s="65">
        <v>6956.0</v>
      </c>
      <c r="E4304" s="445" t="s">
        <v>256</v>
      </c>
      <c r="F4304" s="386">
        <v>1.0</v>
      </c>
      <c r="G4304" s="74">
        <v>130000.0</v>
      </c>
      <c r="H4304" s="74">
        <v>0.0</v>
      </c>
      <c r="I4304" s="74">
        <f t="shared" si="1"/>
        <v>130000</v>
      </c>
      <c r="J4304" s="74">
        <f>IF(E4304="SERVICE",I4304-(I4304*50%),Vlookup(E4304,DATABASE!C:Q,10,false)*F4304)</f>
        <v>10000</v>
      </c>
      <c r="K4304" s="74">
        <f>VLOOKUP(E4304,DATABASE!C:Q,7,false)</f>
        <v>0</v>
      </c>
      <c r="L4304" s="74">
        <v>0.0</v>
      </c>
      <c r="M4304" s="74">
        <f t="shared" si="2"/>
        <v>0</v>
      </c>
      <c r="N4304" s="74">
        <f t="shared" si="3"/>
        <v>120000</v>
      </c>
      <c r="O4304" s="65" t="str">
        <f>VLOOKUP(E4304,DATABASE!C:Q,8,false)</f>
        <v>IBU</v>
      </c>
      <c r="P4304" s="65">
        <f>VLOOKUP(E4304,DATABASE!C:Q,9,False)</f>
        <v>0</v>
      </c>
      <c r="Q4304" s="93" t="str">
        <f>VLOOKUP(E4304,DATABASE!C:Q,4,false)</f>
        <v>SPOORING</v>
      </c>
      <c r="R4304" s="93" t="str">
        <f>VLOOKUP(E4304,DATABASE!C:Q,11,false)</f>
        <v>SERVICE</v>
      </c>
    </row>
    <row r="4305" ht="22.5" customHeight="1">
      <c r="A4305" s="49"/>
      <c r="C4305" s="384">
        <v>45896.0</v>
      </c>
      <c r="D4305" s="65">
        <v>6956.0</v>
      </c>
      <c r="E4305" s="445" t="s">
        <v>301</v>
      </c>
      <c r="F4305" s="386">
        <v>1.0</v>
      </c>
      <c r="G4305" s="74">
        <v>250000.0</v>
      </c>
      <c r="H4305" s="74">
        <v>0.0</v>
      </c>
      <c r="I4305" s="74">
        <f t="shared" si="1"/>
        <v>250000</v>
      </c>
      <c r="J4305" s="74">
        <f>IF(E4305="SERVICE",I4305-(I4305*50%),Vlookup(E4305,DATABASE!C:Q,10,false)*F4305)</f>
        <v>75000</v>
      </c>
      <c r="K4305" s="74">
        <f>VLOOKUP(E4305,DATABASE!C:Q,7,false)</f>
        <v>75000</v>
      </c>
      <c r="L4305" s="74">
        <v>75000.0</v>
      </c>
      <c r="M4305" s="74">
        <f t="shared" si="2"/>
        <v>75000</v>
      </c>
      <c r="N4305" s="74">
        <f t="shared" si="3"/>
        <v>100000</v>
      </c>
      <c r="O4305" s="65" t="str">
        <f>VLOOKUP(E4305,DATABASE!C:Q,8,false)</f>
        <v>BIAN</v>
      </c>
      <c r="P4305" s="65">
        <f>VLOOKUP(E4305,DATABASE!C:Q,9,False)</f>
        <v>0</v>
      </c>
      <c r="Q4305" s="93" t="str">
        <f>VLOOKUP(E4305,DATABASE!C:Q,4,false)</f>
        <v>Baut Camber</v>
      </c>
      <c r="R4305" s="93" t="str">
        <f>VLOOKUP(E4305,DATABASE!C:Q,11,false)</f>
        <v>COMPLEMENTARY</v>
      </c>
    </row>
    <row r="4306" ht="22.5" customHeight="1">
      <c r="A4306" s="49"/>
      <c r="C4306" s="384">
        <v>45897.0</v>
      </c>
      <c r="D4306" s="65">
        <v>6957.0</v>
      </c>
      <c r="E4306" s="445" t="s">
        <v>2019</v>
      </c>
      <c r="F4306" s="386">
        <v>1.0</v>
      </c>
      <c r="G4306" s="74">
        <v>670000.0</v>
      </c>
      <c r="H4306" s="74">
        <v>0.0</v>
      </c>
      <c r="I4306" s="74">
        <f t="shared" si="1"/>
        <v>670000</v>
      </c>
      <c r="J4306" s="74">
        <f>IF(E4306="SERVICE",I4306-(I4306*50%),Vlookup(E4306,DATABASE!C:Q,10,false)*F4306)</f>
        <v>0</v>
      </c>
      <c r="K4306" s="74">
        <f>VLOOKUP(E4306,DATABASE!C:Q,7,false)</f>
        <v>620000</v>
      </c>
      <c r="L4306" s="74">
        <v>585000.0</v>
      </c>
      <c r="M4306" s="74">
        <f t="shared" si="2"/>
        <v>585000</v>
      </c>
      <c r="N4306" s="74">
        <f t="shared" si="3"/>
        <v>85000</v>
      </c>
      <c r="O4306" s="65" t="str">
        <f>VLOOKUP(E4306,DATABASE!C:Q,8,false)</f>
        <v>BIAN</v>
      </c>
      <c r="P4306" s="65">
        <f>VLOOKUP(E4306,DATABASE!C:Q,9,False)</f>
        <v>1</v>
      </c>
      <c r="Q4306" s="93" t="str">
        <f>VLOOKUP(E4306,DATABASE!C:Q,4,false)</f>
        <v>GT</v>
      </c>
      <c r="R4306" s="93" t="str">
        <f>VLOOKUP(E4306,DATABASE!C:Q,11,false)</f>
        <v>Tire</v>
      </c>
    </row>
    <row r="4307" ht="22.5" customHeight="1">
      <c r="A4307" s="49"/>
      <c r="C4307" s="384">
        <v>45897.0</v>
      </c>
      <c r="D4307" s="65">
        <v>6958.0</v>
      </c>
      <c r="E4307" s="445" t="s">
        <v>256</v>
      </c>
      <c r="F4307" s="386">
        <v>1.0</v>
      </c>
      <c r="G4307" s="74">
        <v>150000.0</v>
      </c>
      <c r="H4307" s="74">
        <v>0.0</v>
      </c>
      <c r="I4307" s="74">
        <f t="shared" si="1"/>
        <v>150000</v>
      </c>
      <c r="J4307" s="74">
        <f>IF(E4307="SERVICE",I4307-(I4307*50%),Vlookup(E4307,DATABASE!C:Q,10,false)*F4307)</f>
        <v>10000</v>
      </c>
      <c r="K4307" s="74">
        <f>VLOOKUP(E4307,DATABASE!C:Q,7,false)</f>
        <v>0</v>
      </c>
      <c r="L4307" s="74">
        <v>0.0</v>
      </c>
      <c r="M4307" s="74">
        <f t="shared" si="2"/>
        <v>0</v>
      </c>
      <c r="N4307" s="74">
        <f t="shared" si="3"/>
        <v>140000</v>
      </c>
      <c r="O4307" s="65" t="str">
        <f>VLOOKUP(E4307,DATABASE!C:Q,8,false)</f>
        <v>IBU</v>
      </c>
      <c r="P4307" s="65">
        <f>VLOOKUP(E4307,DATABASE!C:Q,9,False)</f>
        <v>0</v>
      </c>
      <c r="Q4307" s="93" t="str">
        <f>VLOOKUP(E4307,DATABASE!C:Q,4,false)</f>
        <v>SPOORING</v>
      </c>
      <c r="R4307" s="93" t="str">
        <f>VLOOKUP(E4307,DATABASE!C:Q,11,false)</f>
        <v>SERVICE</v>
      </c>
    </row>
    <row r="4308" ht="22.5" customHeight="1">
      <c r="A4308" s="49"/>
      <c r="C4308" s="384">
        <v>45897.0</v>
      </c>
      <c r="D4308" s="65">
        <v>6958.0</v>
      </c>
      <c r="E4308" s="385" t="s">
        <v>299</v>
      </c>
      <c r="F4308" s="386">
        <v>2.0</v>
      </c>
      <c r="G4308" s="74">
        <v>35000.0</v>
      </c>
      <c r="H4308" s="74">
        <v>0.0</v>
      </c>
      <c r="I4308" s="74">
        <f t="shared" si="1"/>
        <v>70000</v>
      </c>
      <c r="J4308" s="74">
        <f>IF(E4308="SERVICE",I4308-(I4308*50%),Vlookup(E4308,DATABASE!C:Q,10,false)*F4308)</f>
        <v>0</v>
      </c>
      <c r="K4308" s="74">
        <v>0.0</v>
      </c>
      <c r="L4308" s="74">
        <v>0.0</v>
      </c>
      <c r="M4308" s="74">
        <f t="shared" si="2"/>
        <v>0</v>
      </c>
      <c r="N4308" s="74">
        <f t="shared" si="3"/>
        <v>70000</v>
      </c>
      <c r="O4308" s="65" t="str">
        <f>VLOOKUP(E4308,DATABASE!C:Q,8,false)</f>
        <v>BIAN</v>
      </c>
      <c r="P4308" s="65">
        <f>VLOOKUP(E4308,DATABASE!C:Q,9,False)</f>
        <v>0</v>
      </c>
      <c r="Q4308" s="93" t="str">
        <f>VLOOKUP(E4308,DATABASE!C:Q,4,false)</f>
        <v>Balancing</v>
      </c>
      <c r="R4308" s="93" t="str">
        <f>VLOOKUP(E4308,DATABASE!C:Q,11,false)</f>
        <v>COMPLEMENTARY</v>
      </c>
    </row>
    <row r="4309" ht="22.5" customHeight="1">
      <c r="A4309" s="49"/>
      <c r="C4309" s="384">
        <v>45897.0</v>
      </c>
      <c r="D4309" s="65">
        <v>6958.0</v>
      </c>
      <c r="E4309" s="445" t="s">
        <v>251</v>
      </c>
      <c r="F4309" s="386">
        <v>1.0</v>
      </c>
      <c r="G4309" s="74">
        <v>150000.0</v>
      </c>
      <c r="H4309" s="74">
        <v>0.0</v>
      </c>
      <c r="I4309" s="74">
        <f t="shared" si="1"/>
        <v>150000</v>
      </c>
      <c r="J4309" s="74">
        <f>IF(E4309="SERVICE",I4309-(I4309*50%),Vlookup(E4309,DATABASE!C:Q,10,false)*F4309)</f>
        <v>75000</v>
      </c>
      <c r="K4309" s="74">
        <f>VLOOKUP(E4309,DATABASE!C:Q,7,false)</f>
        <v>0</v>
      </c>
      <c r="L4309" s="74">
        <v>0.0</v>
      </c>
      <c r="M4309" s="74">
        <f t="shared" si="2"/>
        <v>0</v>
      </c>
      <c r="N4309" s="74">
        <f t="shared" si="3"/>
        <v>75000</v>
      </c>
      <c r="O4309" s="65" t="str">
        <f>VLOOKUP(E4309,DATABASE!C:Q,8,false)</f>
        <v>IBU</v>
      </c>
      <c r="P4309" s="65">
        <f>VLOOKUP(E4309,DATABASE!C:Q,9,False)</f>
        <v>0</v>
      </c>
      <c r="Q4309" s="93" t="str">
        <f>VLOOKUP(E4309,DATABASE!C:Q,4,false)</f>
        <v>SERVICE</v>
      </c>
      <c r="R4309" s="93" t="str">
        <f>VLOOKUP(E4309,DATABASE!C:Q,11,false)</f>
        <v>SERVICE</v>
      </c>
    </row>
    <row r="4310" ht="22.5" customHeight="1">
      <c r="A4310" s="49"/>
      <c r="C4310" s="384">
        <v>45897.0</v>
      </c>
      <c r="D4310" s="65">
        <v>6958.0</v>
      </c>
      <c r="E4310" s="445" t="s">
        <v>2199</v>
      </c>
      <c r="F4310" s="386">
        <v>2.0</v>
      </c>
      <c r="G4310" s="74">
        <v>15000.0</v>
      </c>
      <c r="H4310" s="74">
        <v>0.0</v>
      </c>
      <c r="I4310" s="74">
        <f t="shared" si="1"/>
        <v>30000</v>
      </c>
      <c r="J4310" s="74">
        <f>IF(E4310="SERVICE",I4310-(I4310*50%),Vlookup(E4310,DATABASE!C:Q,10,false)*F4310)</f>
        <v>0</v>
      </c>
      <c r="K4310" s="74">
        <f>VLOOKUP(E4310,DATABASE!C:Q,7,false)</f>
        <v>5000</v>
      </c>
      <c r="L4310" s="74">
        <v>0.0</v>
      </c>
      <c r="M4310" s="74">
        <f t="shared" si="2"/>
        <v>0</v>
      </c>
      <c r="N4310" s="74">
        <f t="shared" si="3"/>
        <v>30000</v>
      </c>
      <c r="O4310" s="65" t="str">
        <f>VLOOKUP(E4310,DATABASE!C:Q,8,false)</f>
        <v>BIAN</v>
      </c>
      <c r="P4310" s="65">
        <f>VLOOKUP(E4310,DATABASE!C:Q,9,False)</f>
        <v>0</v>
      </c>
      <c r="Q4310" s="93" t="str">
        <f>VLOOKUP(E4310,DATABASE!C:Q,4,false)</f>
        <v>TAMBAL TUBLES</v>
      </c>
      <c r="R4310" s="93" t="str">
        <f>VLOOKUP(E4310,DATABASE!C:Q,11,false)</f>
        <v>COMPLEMENTARY</v>
      </c>
    </row>
    <row r="4311" ht="22.5" customHeight="1">
      <c r="A4311" s="49"/>
      <c r="C4311" s="384">
        <v>45897.0</v>
      </c>
      <c r="D4311" s="65">
        <v>6960.0</v>
      </c>
      <c r="E4311" s="445" t="s">
        <v>777</v>
      </c>
      <c r="F4311" s="386">
        <v>1.0</v>
      </c>
      <c r="G4311" s="74">
        <v>585000.0</v>
      </c>
      <c r="H4311" s="74">
        <v>0.0</v>
      </c>
      <c r="I4311" s="74">
        <f t="shared" si="1"/>
        <v>585000</v>
      </c>
      <c r="J4311" s="74">
        <f>IF(E4311="SERVICE",I4311-(I4311*50%),Vlookup(E4311,DATABASE!C:Q,10,false)*F4311)</f>
        <v>0</v>
      </c>
      <c r="K4311" s="74">
        <f>VLOOKUP(E4311,DATABASE!C:Q,7,false)</f>
        <v>540000</v>
      </c>
      <c r="L4311" s="74">
        <v>507000.0</v>
      </c>
      <c r="M4311" s="74">
        <f t="shared" si="2"/>
        <v>510000</v>
      </c>
      <c r="N4311" s="74">
        <f t="shared" si="3"/>
        <v>75000</v>
      </c>
      <c r="O4311" s="65" t="str">
        <f>VLOOKUP(E4311,DATABASE!C:Q,8,false)</f>
        <v>BIAN</v>
      </c>
      <c r="P4311" s="65">
        <f>VLOOKUP(E4311,DATABASE!C:Q,9,False)</f>
        <v>1</v>
      </c>
      <c r="Q4311" s="93" t="str">
        <f>VLOOKUP(E4311,DATABASE!C:Q,4,false)</f>
        <v>GT</v>
      </c>
      <c r="R4311" s="93" t="str">
        <f>VLOOKUP(E4311,DATABASE!C:Q,11,false)</f>
        <v>Tire</v>
      </c>
    </row>
    <row r="4312" ht="22.5" customHeight="1">
      <c r="A4312" s="49"/>
      <c r="C4312" s="384">
        <v>45897.0</v>
      </c>
      <c r="D4312" s="65">
        <v>6960.0</v>
      </c>
      <c r="E4312" s="445" t="s">
        <v>250</v>
      </c>
      <c r="F4312" s="386">
        <v>1.0</v>
      </c>
      <c r="G4312" s="74">
        <v>135000.0</v>
      </c>
      <c r="H4312" s="74">
        <v>0.0</v>
      </c>
      <c r="I4312" s="74">
        <f t="shared" si="1"/>
        <v>135000</v>
      </c>
      <c r="J4312" s="74">
        <f>IF(E4312="SERVICE",I4312-(I4312*50%),Vlookup(E4312,DATABASE!C:Q,10,false)*F4312)</f>
        <v>0</v>
      </c>
      <c r="K4312" s="74">
        <f>VLOOKUP(E4312,DATABASE!C:Q,7,false)</f>
        <v>102000</v>
      </c>
      <c r="L4312" s="74">
        <v>102000.0</v>
      </c>
      <c r="M4312" s="74">
        <f t="shared" si="2"/>
        <v>105000</v>
      </c>
      <c r="N4312" s="74">
        <f t="shared" si="3"/>
        <v>30000</v>
      </c>
      <c r="O4312" s="65" t="str">
        <f>VLOOKUP(E4312,DATABASE!C:Q,8,false)</f>
        <v>BIAN</v>
      </c>
      <c r="P4312" s="65">
        <f>VLOOKUP(E4312,DATABASE!C:Q,9,False)</f>
        <v>1</v>
      </c>
      <c r="Q4312" s="93" t="str">
        <f>VLOOKUP(E4312,DATABASE!C:Q,4,false)</f>
        <v>BD</v>
      </c>
      <c r="R4312" s="93" t="str">
        <f>VLOOKUP(E4312,DATABASE!C:Q,11,false)</f>
        <v>Tire</v>
      </c>
    </row>
    <row r="4313" ht="22.5" customHeight="1">
      <c r="A4313" s="49"/>
      <c r="C4313" s="384">
        <v>45897.0</v>
      </c>
      <c r="D4313" s="65">
        <v>6961.0</v>
      </c>
      <c r="E4313" s="445" t="s">
        <v>268</v>
      </c>
      <c r="F4313" s="386">
        <v>2.0</v>
      </c>
      <c r="G4313" s="74">
        <v>720000.0</v>
      </c>
      <c r="H4313" s="74">
        <v>0.0</v>
      </c>
      <c r="I4313" s="74">
        <f t="shared" si="1"/>
        <v>1440000</v>
      </c>
      <c r="J4313" s="74">
        <f>IF(E4313="SERVICE",I4313-(I4313*50%),Vlookup(E4313,DATABASE!C:Q,10,false)*F4313)</f>
        <v>0</v>
      </c>
      <c r="K4313" s="74">
        <f>VLOOKUP(E4313,DATABASE!C:Q,7,false)</f>
        <v>653000</v>
      </c>
      <c r="L4313" s="74">
        <v>622000.0</v>
      </c>
      <c r="M4313" s="74">
        <f t="shared" si="2"/>
        <v>625000</v>
      </c>
      <c r="N4313" s="74">
        <f t="shared" si="3"/>
        <v>190000</v>
      </c>
      <c r="O4313" s="65" t="str">
        <f>VLOOKUP(E4313,DATABASE!C:Q,8,false)</f>
        <v>IBU</v>
      </c>
      <c r="P4313" s="65">
        <f>VLOOKUP(E4313,DATABASE!C:Q,9,False)</f>
        <v>1</v>
      </c>
      <c r="Q4313" s="93" t="str">
        <f>VLOOKUP(E4313,DATABASE!C:Q,4,false)</f>
        <v>Dunlop</v>
      </c>
      <c r="R4313" s="93" t="str">
        <f>VLOOKUP(E4313,DATABASE!C:Q,11,false)</f>
        <v>Tire</v>
      </c>
    </row>
    <row r="4314" ht="22.5" customHeight="1">
      <c r="A4314" s="49"/>
      <c r="C4314" s="384">
        <v>45897.0</v>
      </c>
      <c r="D4314" s="65">
        <v>6962.0</v>
      </c>
      <c r="E4314" s="445" t="s">
        <v>1427</v>
      </c>
      <c r="F4314" s="386">
        <v>1.0</v>
      </c>
      <c r="G4314" s="74">
        <v>785000.0</v>
      </c>
      <c r="H4314" s="74">
        <v>0.0</v>
      </c>
      <c r="I4314" s="74">
        <f t="shared" si="1"/>
        <v>785000</v>
      </c>
      <c r="J4314" s="74">
        <f>IF(E4314="SERVICE",I4314-(I4314*50%),Vlookup(E4314,DATABASE!C:Q,10,false)*F4314)</f>
        <v>0</v>
      </c>
      <c r="K4314" s="74">
        <f>VLOOKUP(E4314,DATABASE!C:Q,7,false)</f>
        <v>696500</v>
      </c>
      <c r="L4314" s="74">
        <v>689000.0</v>
      </c>
      <c r="M4314" s="74">
        <f t="shared" si="2"/>
        <v>690000</v>
      </c>
      <c r="N4314" s="74">
        <f t="shared" si="3"/>
        <v>95000</v>
      </c>
      <c r="O4314" s="65" t="str">
        <f>VLOOKUP(E4314,DATABASE!C:Q,8,false)</f>
        <v>IBU</v>
      </c>
      <c r="P4314" s="65">
        <f>VLOOKUP(E4314,DATABASE!C:Q,9,False)</f>
        <v>1</v>
      </c>
      <c r="Q4314" s="93" t="str">
        <f>VLOOKUP(E4314,DATABASE!C:Q,4,false)</f>
        <v>Dunlop</v>
      </c>
      <c r="R4314" s="93" t="str">
        <f>VLOOKUP(E4314,DATABASE!C:Q,11,false)</f>
        <v>Tire</v>
      </c>
    </row>
    <row r="4315" ht="22.5" customHeight="1">
      <c r="A4315" s="49"/>
      <c r="C4315" s="384">
        <v>45897.0</v>
      </c>
      <c r="D4315" s="65">
        <v>6963.0</v>
      </c>
      <c r="E4315" s="445" t="s">
        <v>1862</v>
      </c>
      <c r="F4315" s="386">
        <v>2.0</v>
      </c>
      <c r="G4315" s="74">
        <v>2150000.0</v>
      </c>
      <c r="H4315" s="74">
        <v>0.0</v>
      </c>
      <c r="I4315" s="74">
        <f t="shared" si="1"/>
        <v>4300000</v>
      </c>
      <c r="J4315" s="74">
        <f>IF(E4315="SERVICE",I4315-(I4315*50%),Vlookup(E4315,DATABASE!C:Q,10,false)*F4315)</f>
        <v>0</v>
      </c>
      <c r="K4315" s="74">
        <f>VLOOKUP(E4315,DATABASE!C:Q,7,false)</f>
        <v>2080000</v>
      </c>
      <c r="L4315" s="74">
        <v>2050000.0</v>
      </c>
      <c r="M4315" s="74">
        <f t="shared" si="2"/>
        <v>2050000</v>
      </c>
      <c r="N4315" s="74">
        <f t="shared" si="3"/>
        <v>200000</v>
      </c>
      <c r="O4315" s="65" t="str">
        <f>VLOOKUP(E4315,DATABASE!C:Q,8,false)</f>
        <v>BIAN</v>
      </c>
      <c r="P4315" s="65">
        <f>VLOOKUP(E4315,DATABASE!C:Q,9,False)</f>
        <v>1</v>
      </c>
      <c r="Q4315" s="93" t="str">
        <f>VLOOKUP(E4315,DATABASE!C:Q,4,false)</f>
        <v>GiTi</v>
      </c>
      <c r="R4315" s="93" t="str">
        <f>VLOOKUP(E4315,DATABASE!C:Q,11,false)</f>
        <v>Tire</v>
      </c>
    </row>
    <row r="4316" ht="22.5" customHeight="1">
      <c r="A4316" s="49"/>
      <c r="C4316" s="384">
        <v>45897.0</v>
      </c>
      <c r="D4316" s="65">
        <v>6965.0</v>
      </c>
      <c r="E4316" s="445" t="s">
        <v>847</v>
      </c>
      <c r="F4316" s="386">
        <v>2.0</v>
      </c>
      <c r="G4316" s="74">
        <v>770000.0</v>
      </c>
      <c r="H4316" s="74">
        <v>0.0</v>
      </c>
      <c r="I4316" s="74">
        <f t="shared" si="1"/>
        <v>1540000</v>
      </c>
      <c r="J4316" s="74">
        <f>IF(E4316="SERVICE",I4316-(I4316*50%),Vlookup(E4316,DATABASE!C:Q,10,false)*F4316)</f>
        <v>0</v>
      </c>
      <c r="K4316" s="74">
        <f>VLOOKUP(E4316,DATABASE!C:Q,7,false)</f>
        <v>718080</v>
      </c>
      <c r="L4316" s="74">
        <v>672210.0</v>
      </c>
      <c r="M4316" s="74">
        <f t="shared" si="2"/>
        <v>675000</v>
      </c>
      <c r="N4316" s="74">
        <f t="shared" si="3"/>
        <v>190000</v>
      </c>
      <c r="O4316" s="65" t="str">
        <f>VLOOKUP(E4316,DATABASE!C:Q,8,false)</f>
        <v>BIAN</v>
      </c>
      <c r="P4316" s="65">
        <f>VLOOKUP(E4316,DATABASE!C:Q,9,False)</f>
        <v>1</v>
      </c>
      <c r="Q4316" s="93" t="str">
        <f>VLOOKUP(E4316,DATABASE!C:Q,4,false)</f>
        <v>GT</v>
      </c>
      <c r="R4316" s="93" t="str">
        <f>VLOOKUP(E4316,DATABASE!C:Q,11,false)</f>
        <v>Tire</v>
      </c>
    </row>
    <row r="4317" ht="22.5" customHeight="1">
      <c r="A4317" s="49"/>
      <c r="C4317" s="384">
        <v>45897.0</v>
      </c>
      <c r="D4317" s="65">
        <v>6966.0</v>
      </c>
      <c r="E4317" s="445" t="s">
        <v>554</v>
      </c>
      <c r="F4317" s="386">
        <v>2.0</v>
      </c>
      <c r="G4317" s="74">
        <v>800000.0</v>
      </c>
      <c r="H4317" s="74">
        <v>0.0</v>
      </c>
      <c r="I4317" s="74">
        <f t="shared" si="1"/>
        <v>1600000</v>
      </c>
      <c r="J4317" s="74">
        <f>IF(E4317="SERVICE",I4317-(I4317*50%),Vlookup(E4317,DATABASE!C:Q,10,false)*F4317)</f>
        <v>0</v>
      </c>
      <c r="K4317" s="74">
        <f>VLOOKUP(E4317,DATABASE!C:Q,7,false)</f>
        <v>710000</v>
      </c>
      <c r="L4317" s="74">
        <v>680000.0</v>
      </c>
      <c r="M4317" s="74">
        <f t="shared" si="2"/>
        <v>680000</v>
      </c>
      <c r="N4317" s="74">
        <f t="shared" si="3"/>
        <v>240000</v>
      </c>
      <c r="O4317" s="65" t="str">
        <f>VLOOKUP(E4317,DATABASE!C:Q,8,false)</f>
        <v>IBU</v>
      </c>
      <c r="P4317" s="65">
        <f>VLOOKUP(E4317,DATABASE!C:Q,9,False)</f>
        <v>1</v>
      </c>
      <c r="Q4317" s="93" t="str">
        <f>VLOOKUP(E4317,DATABASE!C:Q,4,false)</f>
        <v>Bridgestone</v>
      </c>
      <c r="R4317" s="93" t="str">
        <f>VLOOKUP(E4317,DATABASE!C:Q,11,false)</f>
        <v>Tire</v>
      </c>
    </row>
    <row r="4318" ht="22.5" customHeight="1">
      <c r="A4318" s="49"/>
      <c r="C4318" s="384">
        <v>45897.0</v>
      </c>
      <c r="D4318" s="65">
        <v>6966.0</v>
      </c>
      <c r="E4318" s="445" t="s">
        <v>256</v>
      </c>
      <c r="F4318" s="386">
        <v>1.0</v>
      </c>
      <c r="G4318" s="74">
        <v>130000.0</v>
      </c>
      <c r="H4318" s="74">
        <v>0.0</v>
      </c>
      <c r="I4318" s="74">
        <f t="shared" si="1"/>
        <v>130000</v>
      </c>
      <c r="J4318" s="74">
        <f>IF(E4318="SERVICE",I4318-(I4318*50%),Vlookup(E4318,DATABASE!C:Q,10,false)*F4318)</f>
        <v>10000</v>
      </c>
      <c r="K4318" s="74">
        <f>VLOOKUP(E4318,DATABASE!C:Q,7,false)</f>
        <v>0</v>
      </c>
      <c r="L4318" s="74">
        <v>0.0</v>
      </c>
      <c r="M4318" s="74">
        <f t="shared" si="2"/>
        <v>0</v>
      </c>
      <c r="N4318" s="74">
        <f t="shared" si="3"/>
        <v>120000</v>
      </c>
      <c r="O4318" s="65" t="str">
        <f>VLOOKUP(E4318,DATABASE!C:Q,8,false)</f>
        <v>IBU</v>
      </c>
      <c r="P4318" s="65">
        <f>VLOOKUP(E4318,DATABASE!C:Q,9,False)</f>
        <v>0</v>
      </c>
      <c r="Q4318" s="93" t="str">
        <f>VLOOKUP(E4318,DATABASE!C:Q,4,false)</f>
        <v>SPOORING</v>
      </c>
      <c r="R4318" s="93" t="str">
        <f>VLOOKUP(E4318,DATABASE!C:Q,11,false)</f>
        <v>SERVICE</v>
      </c>
    </row>
    <row r="4319" ht="22.5" customHeight="1">
      <c r="A4319" s="49"/>
      <c r="C4319" s="384">
        <v>45897.0</v>
      </c>
      <c r="D4319" s="65">
        <v>6966.0</v>
      </c>
      <c r="E4319" s="445" t="s">
        <v>251</v>
      </c>
      <c r="F4319" s="386">
        <v>1.0</v>
      </c>
      <c r="G4319" s="74">
        <v>150000.0</v>
      </c>
      <c r="H4319" s="74">
        <v>0.0</v>
      </c>
      <c r="I4319" s="74">
        <f t="shared" si="1"/>
        <v>150000</v>
      </c>
      <c r="J4319" s="74">
        <f>IF(E4319="SERVICE",I4319-(I4319*50%),Vlookup(E4319,DATABASE!C:Q,10,false)*F4319)</f>
        <v>75000</v>
      </c>
      <c r="K4319" s="74">
        <f>VLOOKUP(E4319,DATABASE!C:Q,7,false)</f>
        <v>0</v>
      </c>
      <c r="L4319" s="74">
        <v>0.0</v>
      </c>
      <c r="M4319" s="74">
        <f t="shared" si="2"/>
        <v>0</v>
      </c>
      <c r="N4319" s="74">
        <f t="shared" si="3"/>
        <v>75000</v>
      </c>
      <c r="O4319" s="65" t="str">
        <f>VLOOKUP(E4319,DATABASE!C:Q,8,false)</f>
        <v>IBU</v>
      </c>
      <c r="P4319" s="65">
        <f>VLOOKUP(E4319,DATABASE!C:Q,9,False)</f>
        <v>0</v>
      </c>
      <c r="Q4319" s="93" t="str">
        <f>VLOOKUP(E4319,DATABASE!C:Q,4,false)</f>
        <v>SERVICE</v>
      </c>
      <c r="R4319" s="93" t="str">
        <f>VLOOKUP(E4319,DATABASE!C:Q,11,false)</f>
        <v>SERVICE</v>
      </c>
    </row>
    <row r="4320" ht="22.5" customHeight="1">
      <c r="A4320" s="49"/>
      <c r="C4320" s="384">
        <v>45898.0</v>
      </c>
      <c r="D4320" s="65">
        <v>6967.0</v>
      </c>
      <c r="E4320" s="445" t="s">
        <v>2140</v>
      </c>
      <c r="F4320" s="386">
        <v>1.0</v>
      </c>
      <c r="G4320" s="74">
        <v>20000.0</v>
      </c>
      <c r="H4320" s="74">
        <v>0.0</v>
      </c>
      <c r="I4320" s="74">
        <f t="shared" si="1"/>
        <v>20000</v>
      </c>
      <c r="J4320" s="74">
        <f>IF(E4320="SERVICE",I4320-(I4320*50%),Vlookup(E4320,DATABASE!C:Q,10,false)*F4320)</f>
        <v>0</v>
      </c>
      <c r="K4320" s="74">
        <f>VLOOKUP(E4320,DATABASE!C:Q,7,false)</f>
        <v>5000</v>
      </c>
      <c r="L4320" s="74">
        <v>0.0</v>
      </c>
      <c r="M4320" s="74">
        <f t="shared" si="2"/>
        <v>0</v>
      </c>
      <c r="N4320" s="74">
        <f t="shared" si="3"/>
        <v>20000</v>
      </c>
      <c r="O4320" s="65" t="str">
        <f>VLOOKUP(E4320,DATABASE!C:Q,8,false)</f>
        <v>IBU</v>
      </c>
      <c r="P4320" s="65">
        <f>VLOOKUP(E4320,DATABASE!C:Q,9,False)</f>
        <v>0</v>
      </c>
      <c r="Q4320" s="93" t="str">
        <f>VLOOKUP(E4320,DATABASE!C:Q,4,false)</f>
        <v>PENTIL + PASANG</v>
      </c>
      <c r="R4320" s="93" t="str">
        <f>VLOOKUP(E4320,DATABASE!C:Q,11,false)</f>
        <v>COMPLEMENTARY</v>
      </c>
    </row>
    <row r="4321" ht="22.5" customHeight="1">
      <c r="A4321" s="49"/>
      <c r="C4321" s="384">
        <v>45898.0</v>
      </c>
      <c r="D4321" s="65">
        <v>6968.0</v>
      </c>
      <c r="E4321" s="445" t="s">
        <v>554</v>
      </c>
      <c r="F4321" s="386">
        <v>2.0</v>
      </c>
      <c r="G4321" s="74">
        <v>800000.0</v>
      </c>
      <c r="H4321" s="74">
        <v>0.0</v>
      </c>
      <c r="I4321" s="74">
        <f t="shared" si="1"/>
        <v>1600000</v>
      </c>
      <c r="J4321" s="74">
        <f>IF(E4321="SERVICE",I4321-(I4321*50%),Vlookup(E4321,DATABASE!C:Q,10,false)*F4321)</f>
        <v>0</v>
      </c>
      <c r="K4321" s="74">
        <f>VLOOKUP(E4321,DATABASE!C:Q,7,false)</f>
        <v>710000</v>
      </c>
      <c r="L4321" s="74">
        <v>680000.0</v>
      </c>
      <c r="M4321" s="74">
        <f t="shared" si="2"/>
        <v>680000</v>
      </c>
      <c r="N4321" s="74">
        <f t="shared" si="3"/>
        <v>240000</v>
      </c>
      <c r="O4321" s="65" t="str">
        <f>VLOOKUP(E4321,DATABASE!C:Q,8,false)</f>
        <v>IBU</v>
      </c>
      <c r="P4321" s="65">
        <f>VLOOKUP(E4321,DATABASE!C:Q,9,False)</f>
        <v>1</v>
      </c>
      <c r="Q4321" s="93" t="str">
        <f>VLOOKUP(E4321,DATABASE!C:Q,4,false)</f>
        <v>Bridgestone</v>
      </c>
      <c r="R4321" s="93" t="str">
        <f>VLOOKUP(E4321,DATABASE!C:Q,11,false)</f>
        <v>Tire</v>
      </c>
    </row>
    <row r="4322" ht="22.5" customHeight="1">
      <c r="A4322" s="49"/>
      <c r="C4322" s="384">
        <v>45898.0</v>
      </c>
      <c r="D4322" s="65">
        <v>6969.0</v>
      </c>
      <c r="E4322" s="445" t="s">
        <v>947</v>
      </c>
      <c r="F4322" s="386">
        <v>1.0</v>
      </c>
      <c r="G4322" s="74">
        <v>780000.0</v>
      </c>
      <c r="H4322" s="74">
        <v>0.0</v>
      </c>
      <c r="I4322" s="74">
        <f t="shared" si="1"/>
        <v>780000</v>
      </c>
      <c r="J4322" s="74">
        <f>IF(E4322="SERVICE",I4322-(I4322*50%),Vlookup(E4322,DATABASE!C:Q,10,false)*F4322)</f>
        <v>0</v>
      </c>
      <c r="K4322" s="74">
        <f>VLOOKUP(E4322,DATABASE!C:Q,7,false)</f>
        <v>704346</v>
      </c>
      <c r="L4322" s="74">
        <v>680512.0</v>
      </c>
      <c r="M4322" s="74">
        <f t="shared" si="2"/>
        <v>685000</v>
      </c>
      <c r="N4322" s="74">
        <f t="shared" si="3"/>
        <v>95000</v>
      </c>
      <c r="O4322" s="65" t="str">
        <f>VLOOKUP(E4322,DATABASE!C:Q,8,false)</f>
        <v>IBU</v>
      </c>
      <c r="P4322" s="65">
        <f>VLOOKUP(E4322,DATABASE!C:Q,9,False)</f>
        <v>1</v>
      </c>
      <c r="Q4322" s="93" t="str">
        <f>VLOOKUP(E4322,DATABASE!C:Q,4,false)</f>
        <v>Bridgestone</v>
      </c>
      <c r="R4322" s="93" t="str">
        <f>VLOOKUP(E4322,DATABASE!C:Q,11,false)</f>
        <v>Tire</v>
      </c>
    </row>
    <row r="4323" ht="22.5" customHeight="1">
      <c r="A4323" s="49"/>
      <c r="C4323" s="384">
        <v>45898.0</v>
      </c>
      <c r="D4323" s="65">
        <v>6970.0</v>
      </c>
      <c r="E4323" s="445" t="s">
        <v>2048</v>
      </c>
      <c r="F4323" s="386">
        <v>2.0</v>
      </c>
      <c r="G4323" s="74">
        <v>700000.0</v>
      </c>
      <c r="H4323" s="74">
        <v>0.0</v>
      </c>
      <c r="I4323" s="74">
        <f t="shared" si="1"/>
        <v>1400000</v>
      </c>
      <c r="J4323" s="74">
        <f>IF(E4323="SERVICE",I4323-(I4323*50%),Vlookup(E4323,DATABASE!C:Q,10,false)*F4323)</f>
        <v>0</v>
      </c>
      <c r="K4323" s="74">
        <f>VLOOKUP(E4323,DATABASE!C:Q,7,false)</f>
        <v>615000</v>
      </c>
      <c r="L4323" s="74">
        <v>615000.0</v>
      </c>
      <c r="M4323" s="74">
        <f t="shared" si="2"/>
        <v>615000</v>
      </c>
      <c r="N4323" s="74">
        <f t="shared" si="3"/>
        <v>170000</v>
      </c>
      <c r="O4323" s="65" t="str">
        <f>VLOOKUP(E4323,DATABASE!C:Q,8,false)</f>
        <v>BIAN</v>
      </c>
      <c r="P4323" s="65">
        <f>VLOOKUP(E4323,DATABASE!C:Q,9,False)</f>
        <v>1</v>
      </c>
      <c r="Q4323" s="93" t="str">
        <f>VLOOKUP(E4323,DATABASE!C:Q,4,false)</f>
        <v>HANKOOK</v>
      </c>
      <c r="R4323" s="93" t="str">
        <f>VLOOKUP(E4323,DATABASE!C:Q,11,false)</f>
        <v>Tire</v>
      </c>
    </row>
    <row r="4324" ht="22.5" customHeight="1">
      <c r="A4324" s="49"/>
      <c r="C4324" s="384">
        <v>45898.0</v>
      </c>
      <c r="D4324" s="65">
        <v>6971.0</v>
      </c>
      <c r="E4324" s="445" t="s">
        <v>268</v>
      </c>
      <c r="F4324" s="386">
        <v>1.0</v>
      </c>
      <c r="G4324" s="74">
        <v>720000.0</v>
      </c>
      <c r="H4324" s="74">
        <v>0.0</v>
      </c>
      <c r="I4324" s="74">
        <f t="shared" si="1"/>
        <v>720000</v>
      </c>
      <c r="J4324" s="74">
        <f>IF(E4324="SERVICE",I4324-(I4324*50%),Vlookup(E4324,DATABASE!C:Q,10,false)*F4324)</f>
        <v>0</v>
      </c>
      <c r="K4324" s="74">
        <f>VLOOKUP(E4324,DATABASE!C:Q,7,false)</f>
        <v>653000</v>
      </c>
      <c r="L4324" s="74">
        <v>622000.0</v>
      </c>
      <c r="M4324" s="74">
        <f t="shared" si="2"/>
        <v>625000</v>
      </c>
      <c r="N4324" s="74">
        <f t="shared" si="3"/>
        <v>95000</v>
      </c>
      <c r="O4324" s="65" t="str">
        <f>VLOOKUP(E4324,DATABASE!C:Q,8,false)</f>
        <v>IBU</v>
      </c>
      <c r="P4324" s="65">
        <f>VLOOKUP(E4324,DATABASE!C:Q,9,False)</f>
        <v>1</v>
      </c>
      <c r="Q4324" s="93" t="str">
        <f>VLOOKUP(E4324,DATABASE!C:Q,4,false)</f>
        <v>Dunlop</v>
      </c>
      <c r="R4324" s="93" t="str">
        <f>VLOOKUP(E4324,DATABASE!C:Q,11,false)</f>
        <v>Tire</v>
      </c>
    </row>
    <row r="4325" ht="22.5" customHeight="1">
      <c r="A4325" s="49"/>
      <c r="C4325" s="384">
        <v>45898.0</v>
      </c>
      <c r="D4325" s="65">
        <v>6971.0</v>
      </c>
      <c r="E4325" s="385" t="s">
        <v>299</v>
      </c>
      <c r="F4325" s="386">
        <v>2.0</v>
      </c>
      <c r="G4325" s="74">
        <v>30000.0</v>
      </c>
      <c r="H4325" s="74">
        <v>0.0</v>
      </c>
      <c r="I4325" s="74">
        <f t="shared" si="1"/>
        <v>60000</v>
      </c>
      <c r="J4325" s="74">
        <f>IF(E4325="SERVICE",I4325-(I4325*50%),Vlookup(E4325,DATABASE!C:Q,10,false)*F4325)</f>
        <v>0</v>
      </c>
      <c r="K4325" s="74">
        <v>0.0</v>
      </c>
      <c r="L4325" s="74">
        <v>0.0</v>
      </c>
      <c r="M4325" s="74">
        <f t="shared" si="2"/>
        <v>0</v>
      </c>
      <c r="N4325" s="74">
        <f t="shared" si="3"/>
        <v>60000</v>
      </c>
      <c r="O4325" s="65" t="str">
        <f>VLOOKUP(E4325,DATABASE!C:Q,8,false)</f>
        <v>BIAN</v>
      </c>
      <c r="P4325" s="65">
        <f>VLOOKUP(E4325,DATABASE!C:Q,9,False)</f>
        <v>0</v>
      </c>
      <c r="Q4325" s="93" t="str">
        <f>VLOOKUP(E4325,DATABASE!C:Q,4,false)</f>
        <v>Balancing</v>
      </c>
      <c r="R4325" s="93" t="str">
        <f>VLOOKUP(E4325,DATABASE!C:Q,11,false)</f>
        <v>COMPLEMENTARY</v>
      </c>
    </row>
    <row r="4326" ht="22.5" customHeight="1">
      <c r="A4326" s="49"/>
      <c r="C4326" s="384">
        <v>45898.0</v>
      </c>
      <c r="D4326" s="65">
        <v>6972.0</v>
      </c>
      <c r="E4326" s="445" t="s">
        <v>839</v>
      </c>
      <c r="F4326" s="386">
        <v>4.0</v>
      </c>
      <c r="G4326" s="74">
        <v>565000.0</v>
      </c>
      <c r="H4326" s="74">
        <v>0.0</v>
      </c>
      <c r="I4326" s="74">
        <f t="shared" si="1"/>
        <v>2260000</v>
      </c>
      <c r="J4326" s="74">
        <f>IF(E4326="SERVICE",I4326-(I4326*50%),Vlookup(E4326,DATABASE!C:Q,10,false)*F4326)</f>
        <v>0</v>
      </c>
      <c r="K4326" s="74">
        <f>VLOOKUP(E4326,DATABASE!C:Q,7,false)</f>
        <v>512640</v>
      </c>
      <c r="L4326" s="74">
        <v>475700.0</v>
      </c>
      <c r="M4326" s="74">
        <f t="shared" si="2"/>
        <v>480000</v>
      </c>
      <c r="N4326" s="74">
        <f t="shared" si="3"/>
        <v>340000</v>
      </c>
      <c r="O4326" s="65" t="str">
        <f>VLOOKUP(E4326,DATABASE!C:Q,8,false)</f>
        <v>BIAN</v>
      </c>
      <c r="P4326" s="65">
        <f>VLOOKUP(E4326,DATABASE!C:Q,9,False)</f>
        <v>1</v>
      </c>
      <c r="Q4326" s="93" t="str">
        <f>VLOOKUP(E4326,DATABASE!C:Q,4,false)</f>
        <v>GT</v>
      </c>
      <c r="R4326" s="93" t="str">
        <f>VLOOKUP(E4326,DATABASE!C:Q,11,false)</f>
        <v>Tire</v>
      </c>
    </row>
    <row r="4327" ht="22.5" customHeight="1">
      <c r="A4327" s="49"/>
      <c r="C4327" s="384">
        <v>45898.0</v>
      </c>
      <c r="D4327" s="65">
        <v>6972.0</v>
      </c>
      <c r="E4327" s="385" t="s">
        <v>299</v>
      </c>
      <c r="F4327" s="386">
        <v>3.0</v>
      </c>
      <c r="G4327" s="74">
        <v>30000.0</v>
      </c>
      <c r="H4327" s="74">
        <v>0.0</v>
      </c>
      <c r="I4327" s="74">
        <f t="shared" si="1"/>
        <v>90000</v>
      </c>
      <c r="J4327" s="74">
        <f>IF(E4327="SERVICE",I4327-(I4327*50%),Vlookup(E4327,DATABASE!C:Q,10,false)*F4327)</f>
        <v>0</v>
      </c>
      <c r="K4327" s="74">
        <v>0.0</v>
      </c>
      <c r="L4327" s="74">
        <v>0.0</v>
      </c>
      <c r="M4327" s="74">
        <f t="shared" si="2"/>
        <v>0</v>
      </c>
      <c r="N4327" s="74">
        <f t="shared" si="3"/>
        <v>90000</v>
      </c>
      <c r="O4327" s="65" t="str">
        <f>VLOOKUP(E4327,DATABASE!C:Q,8,false)</f>
        <v>BIAN</v>
      </c>
      <c r="P4327" s="65">
        <f>VLOOKUP(E4327,DATABASE!C:Q,9,False)</f>
        <v>0</v>
      </c>
      <c r="Q4327" s="93" t="str">
        <f>VLOOKUP(E4327,DATABASE!C:Q,4,false)</f>
        <v>Balancing</v>
      </c>
      <c r="R4327" s="93" t="str">
        <f>VLOOKUP(E4327,DATABASE!C:Q,11,false)</f>
        <v>COMPLEMENTARY</v>
      </c>
    </row>
    <row r="4328" ht="22.5" customHeight="1">
      <c r="A4328" s="49"/>
      <c r="C4328" s="384">
        <v>45898.0</v>
      </c>
      <c r="D4328" s="65">
        <v>6972.0</v>
      </c>
      <c r="E4328" s="445" t="s">
        <v>256</v>
      </c>
      <c r="F4328" s="386">
        <v>1.0</v>
      </c>
      <c r="G4328" s="74">
        <v>130000.0</v>
      </c>
      <c r="H4328" s="74">
        <v>0.0</v>
      </c>
      <c r="I4328" s="74">
        <f t="shared" si="1"/>
        <v>130000</v>
      </c>
      <c r="J4328" s="74">
        <f>IF(E4328="SERVICE",I4328-(I4328*50%),Vlookup(E4328,DATABASE!C:Q,10,false)*F4328)</f>
        <v>10000</v>
      </c>
      <c r="K4328" s="74">
        <f>VLOOKUP(E4328,DATABASE!C:Q,7,false)</f>
        <v>0</v>
      </c>
      <c r="L4328" s="74">
        <v>0.0</v>
      </c>
      <c r="M4328" s="74">
        <f t="shared" si="2"/>
        <v>0</v>
      </c>
      <c r="N4328" s="74">
        <f t="shared" si="3"/>
        <v>120000</v>
      </c>
      <c r="O4328" s="65" t="str">
        <f>VLOOKUP(E4328,DATABASE!C:Q,8,false)</f>
        <v>IBU</v>
      </c>
      <c r="P4328" s="65">
        <f>VLOOKUP(E4328,DATABASE!C:Q,9,False)</f>
        <v>0</v>
      </c>
      <c r="Q4328" s="93" t="str">
        <f>VLOOKUP(E4328,DATABASE!C:Q,4,false)</f>
        <v>SPOORING</v>
      </c>
      <c r="R4328" s="93" t="str">
        <f>VLOOKUP(E4328,DATABASE!C:Q,11,false)</f>
        <v>SERVICE</v>
      </c>
    </row>
    <row r="4329" ht="22.5" customHeight="1">
      <c r="A4329" s="49"/>
      <c r="C4329" s="384">
        <v>45898.0</v>
      </c>
      <c r="D4329" s="65">
        <v>6972.0</v>
      </c>
      <c r="E4329" s="445" t="s">
        <v>301</v>
      </c>
      <c r="F4329" s="386">
        <v>1.0</v>
      </c>
      <c r="G4329" s="74">
        <v>250000.0</v>
      </c>
      <c r="H4329" s="74">
        <v>0.0</v>
      </c>
      <c r="I4329" s="74">
        <f t="shared" si="1"/>
        <v>250000</v>
      </c>
      <c r="J4329" s="74">
        <f>IF(E4329="SERVICE",I4329-(I4329*50%),Vlookup(E4329,DATABASE!C:Q,10,false)*F4329)</f>
        <v>75000</v>
      </c>
      <c r="K4329" s="74">
        <f>VLOOKUP(E4329,DATABASE!C:Q,7,false)</f>
        <v>75000</v>
      </c>
      <c r="L4329" s="74">
        <v>75000.0</v>
      </c>
      <c r="M4329" s="74">
        <f t="shared" si="2"/>
        <v>75000</v>
      </c>
      <c r="N4329" s="74">
        <f t="shared" si="3"/>
        <v>100000</v>
      </c>
      <c r="O4329" s="65" t="str">
        <f>VLOOKUP(E4329,DATABASE!C:Q,8,false)</f>
        <v>BIAN</v>
      </c>
      <c r="P4329" s="65">
        <f>VLOOKUP(E4329,DATABASE!C:Q,9,False)</f>
        <v>0</v>
      </c>
      <c r="Q4329" s="93" t="str">
        <f>VLOOKUP(E4329,DATABASE!C:Q,4,false)</f>
        <v>Baut Camber</v>
      </c>
      <c r="R4329" s="93" t="str">
        <f>VLOOKUP(E4329,DATABASE!C:Q,11,false)</f>
        <v>COMPLEMENTARY</v>
      </c>
    </row>
    <row r="4330" ht="22.5" customHeight="1">
      <c r="A4330" s="49"/>
      <c r="C4330" s="384">
        <v>45898.0</v>
      </c>
      <c r="D4330" s="65">
        <v>6974.0</v>
      </c>
      <c r="E4330" s="445" t="s">
        <v>591</v>
      </c>
      <c r="F4330" s="386">
        <v>1.0</v>
      </c>
      <c r="G4330" s="74">
        <v>700000.0</v>
      </c>
      <c r="H4330" s="74">
        <v>0.0</v>
      </c>
      <c r="I4330" s="74">
        <f t="shared" si="1"/>
        <v>700000</v>
      </c>
      <c r="J4330" s="74">
        <f>IF(E4330="SERVICE",I4330-(I4330*50%),Vlookup(E4330,DATABASE!C:Q,10,false)*F4330)</f>
        <v>0</v>
      </c>
      <c r="K4330" s="74">
        <f>VLOOKUP(E4330,DATABASE!C:Q,7,false)</f>
        <v>633035.16</v>
      </c>
      <c r="L4330" s="74">
        <v>593488.4</v>
      </c>
      <c r="M4330" s="74">
        <f t="shared" si="2"/>
        <v>595000</v>
      </c>
      <c r="N4330" s="74">
        <f t="shared" si="3"/>
        <v>105000</v>
      </c>
      <c r="O4330" s="65" t="str">
        <f>VLOOKUP(E4330,DATABASE!C:Q,8,false)</f>
        <v>IBU</v>
      </c>
      <c r="P4330" s="65">
        <f>VLOOKUP(E4330,DATABASE!C:Q,9,False)</f>
        <v>1</v>
      </c>
      <c r="Q4330" s="93" t="str">
        <f>VLOOKUP(E4330,DATABASE!C:Q,4,false)</f>
        <v>Bridgestone</v>
      </c>
      <c r="R4330" s="93" t="str">
        <f>VLOOKUP(E4330,DATABASE!C:Q,11,false)</f>
        <v>Tire</v>
      </c>
    </row>
    <row r="4331" ht="22.5" customHeight="1">
      <c r="A4331" s="49"/>
      <c r="C4331" s="384">
        <v>45898.0</v>
      </c>
      <c r="D4331" s="65">
        <v>6975.0</v>
      </c>
      <c r="E4331" s="445" t="s">
        <v>262</v>
      </c>
      <c r="F4331" s="386">
        <v>1.0</v>
      </c>
      <c r="G4331" s="74">
        <v>100000.0</v>
      </c>
      <c r="H4331" s="74">
        <v>0.0</v>
      </c>
      <c r="I4331" s="74">
        <f t="shared" si="1"/>
        <v>100000</v>
      </c>
      <c r="J4331" s="74">
        <f>IF(E4331="SERVICE",I4331-(I4331*50%),Vlookup(E4331,DATABASE!C:Q,10,false)*F4331)</f>
        <v>5000</v>
      </c>
      <c r="K4331" s="74">
        <f>VLOOKUP(E4331,DATABASE!C:Q,7,false)</f>
        <v>0</v>
      </c>
      <c r="L4331" s="74">
        <v>0.0</v>
      </c>
      <c r="M4331" s="74">
        <f t="shared" si="2"/>
        <v>0</v>
      </c>
      <c r="N4331" s="74">
        <f t="shared" si="3"/>
        <v>95000</v>
      </c>
      <c r="O4331" s="65" t="str">
        <f>VLOOKUP(E4331,DATABASE!C:Q,8,false)</f>
        <v>IBU</v>
      </c>
      <c r="P4331" s="65">
        <f>VLOOKUP(E4331,DATABASE!C:Q,9,False)</f>
        <v>0</v>
      </c>
      <c r="Q4331" s="93" t="str">
        <f>VLOOKUP(E4331,DATABASE!C:Q,4,false)</f>
        <v>SPOORING SS/CARRY LOS BAK</v>
      </c>
      <c r="R4331" s="93" t="str">
        <f>VLOOKUP(E4331,DATABASE!C:Q,11,false)</f>
        <v>SERVICE</v>
      </c>
    </row>
    <row r="4332" ht="22.5" customHeight="1">
      <c r="A4332" s="49"/>
      <c r="C4332" s="384">
        <v>45898.0</v>
      </c>
      <c r="D4332" s="65">
        <v>6975.0</v>
      </c>
      <c r="E4332" s="385" t="s">
        <v>305</v>
      </c>
      <c r="F4332" s="386">
        <v>1.0</v>
      </c>
      <c r="G4332" s="74">
        <v>235000.0</v>
      </c>
      <c r="H4332" s="74">
        <v>0.0</v>
      </c>
      <c r="I4332" s="74">
        <f t="shared" si="1"/>
        <v>235000</v>
      </c>
      <c r="J4332" s="74">
        <f>IF(E4332="SERVICE",I4332-(I4332*50%),Vlookup(E4332,DATABASE!C:Q,10,false)*F4332)</f>
        <v>40000</v>
      </c>
      <c r="K4332" s="74">
        <f>VLOOKUP(E4332,DATABASE!C:Q,7,false)</f>
        <v>158530.2</v>
      </c>
      <c r="L4332" s="74">
        <v>151890.0</v>
      </c>
      <c r="M4332" s="74">
        <f t="shared" si="2"/>
        <v>155000</v>
      </c>
      <c r="N4332" s="74">
        <f t="shared" si="3"/>
        <v>40000</v>
      </c>
      <c r="O4332" s="65" t="str">
        <f>VLOOKUP(E4332,DATABASE!C:Q,8,false)</f>
        <v>BIAN</v>
      </c>
      <c r="P4332" s="65">
        <f>VLOOKUP(E4332,DATABASE!C:Q,9,False)</f>
        <v>1</v>
      </c>
      <c r="Q4332" s="93" t="str">
        <f>VLOOKUP(E4332,DATABASE!C:Q,4,false)</f>
        <v>Lower Arm</v>
      </c>
      <c r="R4332" s="93" t="str">
        <f>VLOOKUP(E4332,DATABASE!C:Q,11,false)</f>
        <v>COMPLEMENTARY</v>
      </c>
    </row>
    <row r="4333" ht="22.5" customHeight="1">
      <c r="A4333" s="49"/>
      <c r="C4333" s="384">
        <v>45898.0</v>
      </c>
      <c r="D4333" s="65">
        <v>6975.0</v>
      </c>
      <c r="E4333" s="445" t="s">
        <v>478</v>
      </c>
      <c r="F4333" s="386">
        <v>1.0</v>
      </c>
      <c r="G4333" s="74">
        <v>200000.0</v>
      </c>
      <c r="H4333" s="74">
        <v>0.0</v>
      </c>
      <c r="I4333" s="74">
        <f t="shared" si="1"/>
        <v>200000</v>
      </c>
      <c r="J4333" s="74">
        <f>IF(E4333="SERVICE",I4333-(I4333*50%),Vlookup(E4333,DATABASE!C:Q,10,false)*F4333)</f>
        <v>25000</v>
      </c>
      <c r="K4333" s="74">
        <f>VLOOKUP(E4333,DATABASE!C:Q,7,false)</f>
        <v>75000</v>
      </c>
      <c r="L4333" s="74">
        <v>75000.0</v>
      </c>
      <c r="M4333" s="74">
        <f t="shared" si="2"/>
        <v>75000</v>
      </c>
      <c r="N4333" s="74">
        <f t="shared" si="3"/>
        <v>100000</v>
      </c>
      <c r="O4333" s="65" t="str">
        <f>VLOOKUP(E4333,DATABASE!C:Q,8,false)</f>
        <v>BIAN</v>
      </c>
      <c r="P4333" s="65">
        <f>VLOOKUP(E4333,DATABASE!C:Q,9,False)</f>
        <v>0</v>
      </c>
      <c r="Q4333" s="93" t="str">
        <f>VLOOKUP(E4333,DATABASE!C:Q,4,false)</f>
        <v>Baut Camber ss-carry</v>
      </c>
      <c r="R4333" s="93" t="str">
        <f>VLOOKUP(E4333,DATABASE!C:Q,11,false)</f>
        <v>COMPLEMENTARY</v>
      </c>
    </row>
    <row r="4334" ht="22.5" customHeight="1">
      <c r="A4334" s="49"/>
      <c r="C4334" s="384">
        <v>45899.0</v>
      </c>
      <c r="D4334" s="65">
        <v>6976.0</v>
      </c>
      <c r="E4334" s="445" t="s">
        <v>262</v>
      </c>
      <c r="F4334" s="386">
        <v>1.0</v>
      </c>
      <c r="G4334" s="74">
        <v>110000.0</v>
      </c>
      <c r="H4334" s="74">
        <v>0.0</v>
      </c>
      <c r="I4334" s="74">
        <f t="shared" si="1"/>
        <v>110000</v>
      </c>
      <c r="J4334" s="74">
        <f>IF(E4334="SERVICE",I4334-(I4334*50%),Vlookup(E4334,DATABASE!C:Q,10,false)*F4334)</f>
        <v>5000</v>
      </c>
      <c r="K4334" s="74">
        <f>VLOOKUP(E4334,DATABASE!C:Q,7,false)</f>
        <v>0</v>
      </c>
      <c r="L4334" s="74">
        <v>0.0</v>
      </c>
      <c r="M4334" s="74">
        <f t="shared" si="2"/>
        <v>0</v>
      </c>
      <c r="N4334" s="74">
        <f t="shared" si="3"/>
        <v>105000</v>
      </c>
      <c r="O4334" s="65" t="str">
        <f>VLOOKUP(E4334,DATABASE!C:Q,8,false)</f>
        <v>IBU</v>
      </c>
      <c r="P4334" s="65">
        <f>VLOOKUP(E4334,DATABASE!C:Q,9,False)</f>
        <v>0</v>
      </c>
      <c r="Q4334" s="93" t="str">
        <f>VLOOKUP(E4334,DATABASE!C:Q,4,false)</f>
        <v>SPOORING SS/CARRY LOS BAK</v>
      </c>
      <c r="R4334" s="93" t="str">
        <f>VLOOKUP(E4334,DATABASE!C:Q,11,false)</f>
        <v>SERVICE</v>
      </c>
    </row>
    <row r="4335" ht="22.5" customHeight="1">
      <c r="A4335" s="49"/>
      <c r="C4335" s="384">
        <v>45899.0</v>
      </c>
      <c r="D4335" s="65">
        <v>6976.0</v>
      </c>
      <c r="E4335" s="445" t="s">
        <v>251</v>
      </c>
      <c r="F4335" s="386">
        <v>1.0</v>
      </c>
      <c r="G4335" s="74">
        <v>40000.0</v>
      </c>
      <c r="H4335" s="74">
        <v>0.0</v>
      </c>
      <c r="I4335" s="74">
        <f t="shared" si="1"/>
        <v>40000</v>
      </c>
      <c r="J4335" s="74">
        <f>IF(E4335="SERVICE",I4335-(I4335*50%),Vlookup(E4335,DATABASE!C:Q,10,false)*F4335)</f>
        <v>20000</v>
      </c>
      <c r="K4335" s="74">
        <f>VLOOKUP(E4335,DATABASE!C:Q,7,false)</f>
        <v>0</v>
      </c>
      <c r="L4335" s="74">
        <v>0.0</v>
      </c>
      <c r="M4335" s="74">
        <f t="shared" si="2"/>
        <v>0</v>
      </c>
      <c r="N4335" s="74">
        <f t="shared" si="3"/>
        <v>20000</v>
      </c>
      <c r="O4335" s="65" t="str">
        <f>VLOOKUP(E4335,DATABASE!C:Q,8,false)</f>
        <v>IBU</v>
      </c>
      <c r="P4335" s="65">
        <f>VLOOKUP(E4335,DATABASE!C:Q,9,False)</f>
        <v>0</v>
      </c>
      <c r="Q4335" s="93" t="str">
        <f>VLOOKUP(E4335,DATABASE!C:Q,4,false)</f>
        <v>SERVICE</v>
      </c>
      <c r="R4335" s="93" t="str">
        <f>VLOOKUP(E4335,DATABASE!C:Q,11,false)</f>
        <v>SERVICE</v>
      </c>
    </row>
    <row r="4336" ht="22.5" customHeight="1">
      <c r="A4336" s="49"/>
      <c r="C4336" s="384">
        <v>45899.0</v>
      </c>
      <c r="D4336" s="65">
        <v>6977.0</v>
      </c>
      <c r="E4336" s="445" t="s">
        <v>256</v>
      </c>
      <c r="F4336" s="386">
        <v>1.0</v>
      </c>
      <c r="G4336" s="74">
        <v>130000.0</v>
      </c>
      <c r="H4336" s="74">
        <v>0.0</v>
      </c>
      <c r="I4336" s="74">
        <f t="shared" si="1"/>
        <v>130000</v>
      </c>
      <c r="J4336" s="74">
        <f>IF(E4336="SERVICE",I4336-(I4336*50%),Vlookup(E4336,DATABASE!C:Q,10,false)*F4336)</f>
        <v>10000</v>
      </c>
      <c r="K4336" s="74">
        <f>VLOOKUP(E4336,DATABASE!C:Q,7,false)</f>
        <v>0</v>
      </c>
      <c r="L4336" s="74">
        <v>0.0</v>
      </c>
      <c r="M4336" s="74">
        <f t="shared" si="2"/>
        <v>0</v>
      </c>
      <c r="N4336" s="74">
        <f t="shared" si="3"/>
        <v>120000</v>
      </c>
      <c r="O4336" s="65" t="str">
        <f>VLOOKUP(E4336,DATABASE!C:Q,8,false)</f>
        <v>IBU</v>
      </c>
      <c r="P4336" s="65">
        <f>VLOOKUP(E4336,DATABASE!C:Q,9,False)</f>
        <v>0</v>
      </c>
      <c r="Q4336" s="93" t="str">
        <f>VLOOKUP(E4336,DATABASE!C:Q,4,false)</f>
        <v>SPOORING</v>
      </c>
      <c r="R4336" s="93" t="str">
        <f>VLOOKUP(E4336,DATABASE!C:Q,11,false)</f>
        <v>SERVICE</v>
      </c>
    </row>
    <row r="4337" ht="22.5" customHeight="1">
      <c r="A4337" s="49"/>
      <c r="C4337" s="384">
        <v>45899.0</v>
      </c>
      <c r="D4337" s="65">
        <v>6977.0</v>
      </c>
      <c r="E4337" s="385" t="s">
        <v>299</v>
      </c>
      <c r="F4337" s="386">
        <v>2.0</v>
      </c>
      <c r="G4337" s="74">
        <v>30000.0</v>
      </c>
      <c r="H4337" s="74">
        <v>0.0</v>
      </c>
      <c r="I4337" s="74">
        <f t="shared" si="1"/>
        <v>60000</v>
      </c>
      <c r="J4337" s="74">
        <f>IF(E4337="SERVICE",I4337-(I4337*50%),Vlookup(E4337,DATABASE!C:Q,10,false)*F4337)</f>
        <v>0</v>
      </c>
      <c r="K4337" s="74">
        <v>0.0</v>
      </c>
      <c r="L4337" s="74">
        <v>0.0</v>
      </c>
      <c r="M4337" s="74">
        <f t="shared" si="2"/>
        <v>0</v>
      </c>
      <c r="N4337" s="74">
        <f t="shared" si="3"/>
        <v>60000</v>
      </c>
      <c r="O4337" s="65" t="str">
        <f>VLOOKUP(E4337,DATABASE!C:Q,8,false)</f>
        <v>BIAN</v>
      </c>
      <c r="P4337" s="65">
        <f>VLOOKUP(E4337,DATABASE!C:Q,9,False)</f>
        <v>0</v>
      </c>
      <c r="Q4337" s="93" t="str">
        <f>VLOOKUP(E4337,DATABASE!C:Q,4,false)</f>
        <v>Balancing</v>
      </c>
      <c r="R4337" s="93" t="str">
        <f>VLOOKUP(E4337,DATABASE!C:Q,11,false)</f>
        <v>COMPLEMENTARY</v>
      </c>
    </row>
    <row r="4338" ht="22.5" customHeight="1">
      <c r="A4338" s="49"/>
      <c r="C4338" s="384">
        <v>45899.0</v>
      </c>
      <c r="D4338" s="65">
        <v>6977.0</v>
      </c>
      <c r="E4338" s="445" t="s">
        <v>301</v>
      </c>
      <c r="F4338" s="386">
        <v>1.0</v>
      </c>
      <c r="G4338" s="74">
        <v>250000.0</v>
      </c>
      <c r="H4338" s="74">
        <v>0.0</v>
      </c>
      <c r="I4338" s="74">
        <f t="shared" si="1"/>
        <v>250000</v>
      </c>
      <c r="J4338" s="74">
        <f>IF(E4338="SERVICE",I4338-(I4338*50%),Vlookup(E4338,DATABASE!C:Q,10,false)*F4338)</f>
        <v>75000</v>
      </c>
      <c r="K4338" s="74">
        <f>VLOOKUP(E4338,DATABASE!C:Q,7,false)</f>
        <v>75000</v>
      </c>
      <c r="L4338" s="74">
        <v>75000.0</v>
      </c>
      <c r="M4338" s="74">
        <f t="shared" si="2"/>
        <v>75000</v>
      </c>
      <c r="N4338" s="74">
        <f t="shared" si="3"/>
        <v>100000</v>
      </c>
      <c r="O4338" s="65" t="str">
        <f>VLOOKUP(E4338,DATABASE!C:Q,8,false)</f>
        <v>BIAN</v>
      </c>
      <c r="P4338" s="65">
        <f>VLOOKUP(E4338,DATABASE!C:Q,9,False)</f>
        <v>0</v>
      </c>
      <c r="Q4338" s="93" t="str">
        <f>VLOOKUP(E4338,DATABASE!C:Q,4,false)</f>
        <v>Baut Camber</v>
      </c>
      <c r="R4338" s="93" t="str">
        <f>VLOOKUP(E4338,DATABASE!C:Q,11,false)</f>
        <v>COMPLEMENTARY</v>
      </c>
    </row>
    <row r="4339" ht="22.5" customHeight="1">
      <c r="A4339" s="49"/>
      <c r="C4339" s="384">
        <v>45899.0</v>
      </c>
      <c r="D4339" s="65">
        <v>6978.0</v>
      </c>
      <c r="E4339" s="445" t="s">
        <v>591</v>
      </c>
      <c r="F4339" s="386">
        <v>1.0</v>
      </c>
      <c r="G4339" s="74">
        <v>700000.0</v>
      </c>
      <c r="H4339" s="74">
        <v>0.0</v>
      </c>
      <c r="I4339" s="74">
        <f t="shared" si="1"/>
        <v>700000</v>
      </c>
      <c r="J4339" s="74">
        <f>IF(E4339="SERVICE",I4339-(I4339*50%),Vlookup(E4339,DATABASE!C:Q,10,false)*F4339)</f>
        <v>0</v>
      </c>
      <c r="K4339" s="74">
        <f>VLOOKUP(E4339,DATABASE!C:Q,7,false)</f>
        <v>633035.16</v>
      </c>
      <c r="L4339" s="74">
        <v>593488.4</v>
      </c>
      <c r="M4339" s="74">
        <f t="shared" si="2"/>
        <v>595000</v>
      </c>
      <c r="N4339" s="74">
        <f t="shared" si="3"/>
        <v>105000</v>
      </c>
      <c r="O4339" s="65" t="str">
        <f>VLOOKUP(E4339,DATABASE!C:Q,8,false)</f>
        <v>IBU</v>
      </c>
      <c r="P4339" s="65">
        <f>VLOOKUP(E4339,DATABASE!C:Q,9,False)</f>
        <v>1</v>
      </c>
      <c r="Q4339" s="93" t="str">
        <f>VLOOKUP(E4339,DATABASE!C:Q,4,false)</f>
        <v>Bridgestone</v>
      </c>
      <c r="R4339" s="93" t="str">
        <f>VLOOKUP(E4339,DATABASE!C:Q,11,false)</f>
        <v>Tire</v>
      </c>
    </row>
    <row r="4340" ht="22.5" customHeight="1">
      <c r="A4340" s="49"/>
      <c r="C4340" s="384">
        <v>45899.0</v>
      </c>
      <c r="D4340" s="65">
        <v>6979.0</v>
      </c>
      <c r="E4340" s="445" t="s">
        <v>246</v>
      </c>
      <c r="F4340" s="386">
        <v>1.0</v>
      </c>
      <c r="G4340" s="74">
        <v>20000.0</v>
      </c>
      <c r="H4340" s="74">
        <v>0.0</v>
      </c>
      <c r="I4340" s="74">
        <f t="shared" si="1"/>
        <v>20000</v>
      </c>
      <c r="J4340" s="74">
        <f>IF(E4340="SERVICE",I4340-(I4340*50%),Vlookup(E4340,DATABASE!C:Q,10,false)*F4340)</f>
        <v>0</v>
      </c>
      <c r="K4340" s="74">
        <f>VLOOKUP(E4340,DATABASE!C:Q,7,false)</f>
        <v>0</v>
      </c>
      <c r="L4340" s="74">
        <v>0.0</v>
      </c>
      <c r="M4340" s="74">
        <f t="shared" si="2"/>
        <v>0</v>
      </c>
      <c r="N4340" s="74">
        <f t="shared" si="3"/>
        <v>20000</v>
      </c>
      <c r="O4340" s="65" t="str">
        <f>VLOOKUP(E4340,DATABASE!C:Q,8,false)</f>
        <v>IBU</v>
      </c>
      <c r="P4340" s="65">
        <f>VLOOKUP(E4340,DATABASE!C:Q,9,False)</f>
        <v>0</v>
      </c>
      <c r="Q4340" s="93" t="str">
        <f>VLOOKUP(E4340,DATABASE!C:Q,4,false)</f>
        <v>Bongkar Pasang</v>
      </c>
      <c r="R4340" s="93" t="str">
        <f>VLOOKUP(E4340,DATABASE!C:Q,11,false)</f>
        <v>SERVICE</v>
      </c>
    </row>
    <row r="4341" ht="22.5" customHeight="1">
      <c r="A4341" s="49"/>
      <c r="C4341" s="384">
        <v>45899.0</v>
      </c>
      <c r="D4341" s="65">
        <v>6980.0</v>
      </c>
      <c r="E4341" s="445" t="s">
        <v>591</v>
      </c>
      <c r="F4341" s="386">
        <v>2.0</v>
      </c>
      <c r="G4341" s="74">
        <v>700000.0</v>
      </c>
      <c r="H4341" s="74">
        <v>0.0</v>
      </c>
      <c r="I4341" s="74">
        <f t="shared" si="1"/>
        <v>1400000</v>
      </c>
      <c r="J4341" s="74">
        <f>IF(E4341="SERVICE",I4341-(I4341*50%),Vlookup(E4341,DATABASE!C:Q,10,false)*F4341)</f>
        <v>0</v>
      </c>
      <c r="K4341" s="74">
        <f>VLOOKUP(E4341,DATABASE!C:Q,7,false)</f>
        <v>633035.16</v>
      </c>
      <c r="L4341" s="74">
        <v>593488.4</v>
      </c>
      <c r="M4341" s="74">
        <f t="shared" si="2"/>
        <v>595000</v>
      </c>
      <c r="N4341" s="74">
        <f t="shared" si="3"/>
        <v>210000</v>
      </c>
      <c r="O4341" s="65" t="str">
        <f>VLOOKUP(E4341,DATABASE!C:Q,8,false)</f>
        <v>IBU</v>
      </c>
      <c r="P4341" s="65">
        <f>VLOOKUP(E4341,DATABASE!C:Q,9,False)</f>
        <v>1</v>
      </c>
      <c r="Q4341" s="93" t="str">
        <f>VLOOKUP(E4341,DATABASE!C:Q,4,false)</f>
        <v>Bridgestone</v>
      </c>
      <c r="R4341" s="93" t="str">
        <f>VLOOKUP(E4341,DATABASE!C:Q,11,false)</f>
        <v>Tire</v>
      </c>
    </row>
    <row r="4342" ht="22.5" customHeight="1">
      <c r="A4342" s="49"/>
      <c r="C4342" s="384">
        <v>45899.0</v>
      </c>
      <c r="D4342" s="65">
        <v>6980.0</v>
      </c>
      <c r="E4342" s="385" t="s">
        <v>299</v>
      </c>
      <c r="F4342" s="386">
        <v>2.0</v>
      </c>
      <c r="G4342" s="74">
        <v>30000.0</v>
      </c>
      <c r="H4342" s="74">
        <v>0.0</v>
      </c>
      <c r="I4342" s="74">
        <f t="shared" si="1"/>
        <v>60000</v>
      </c>
      <c r="J4342" s="74">
        <f>IF(E4342="SERVICE",I4342-(I4342*50%),Vlookup(E4342,DATABASE!C:Q,10,false)*F4342)</f>
        <v>0</v>
      </c>
      <c r="K4342" s="74">
        <v>0.0</v>
      </c>
      <c r="L4342" s="74">
        <v>0.0</v>
      </c>
      <c r="M4342" s="74">
        <f t="shared" si="2"/>
        <v>0</v>
      </c>
      <c r="N4342" s="74">
        <f t="shared" si="3"/>
        <v>60000</v>
      </c>
      <c r="O4342" s="65" t="str">
        <f>VLOOKUP(E4342,DATABASE!C:Q,8,false)</f>
        <v>BIAN</v>
      </c>
      <c r="P4342" s="65">
        <f>VLOOKUP(E4342,DATABASE!C:Q,9,False)</f>
        <v>0</v>
      </c>
      <c r="Q4342" s="93" t="str">
        <f>VLOOKUP(E4342,DATABASE!C:Q,4,false)</f>
        <v>Balancing</v>
      </c>
      <c r="R4342" s="93" t="str">
        <f>VLOOKUP(E4342,DATABASE!C:Q,11,false)</f>
        <v>COMPLEMENTARY</v>
      </c>
    </row>
    <row r="4343" ht="22.5" customHeight="1">
      <c r="A4343" s="49"/>
      <c r="C4343" s="384">
        <v>45899.0</v>
      </c>
      <c r="D4343" s="65">
        <v>6980.0</v>
      </c>
      <c r="E4343" s="445" t="s">
        <v>301</v>
      </c>
      <c r="F4343" s="386">
        <v>1.0</v>
      </c>
      <c r="G4343" s="74">
        <v>250000.0</v>
      </c>
      <c r="H4343" s="74">
        <v>0.0</v>
      </c>
      <c r="I4343" s="74">
        <f t="shared" si="1"/>
        <v>250000</v>
      </c>
      <c r="J4343" s="74">
        <f>IF(E4343="SERVICE",I4343-(I4343*50%),Vlookup(E4343,DATABASE!C:Q,10,false)*F4343)</f>
        <v>75000</v>
      </c>
      <c r="K4343" s="74">
        <f>VLOOKUP(E4343,DATABASE!C:Q,7,false)</f>
        <v>75000</v>
      </c>
      <c r="L4343" s="74">
        <v>75000.0</v>
      </c>
      <c r="M4343" s="74">
        <f t="shared" si="2"/>
        <v>75000</v>
      </c>
      <c r="N4343" s="74">
        <f t="shared" si="3"/>
        <v>100000</v>
      </c>
      <c r="O4343" s="65" t="str">
        <f>VLOOKUP(E4343,DATABASE!C:Q,8,false)</f>
        <v>BIAN</v>
      </c>
      <c r="P4343" s="65">
        <f>VLOOKUP(E4343,DATABASE!C:Q,9,False)</f>
        <v>0</v>
      </c>
      <c r="Q4343" s="93" t="str">
        <f>VLOOKUP(E4343,DATABASE!C:Q,4,false)</f>
        <v>Baut Camber</v>
      </c>
      <c r="R4343" s="93" t="str">
        <f>VLOOKUP(E4343,DATABASE!C:Q,11,false)</f>
        <v>COMPLEMENTARY</v>
      </c>
    </row>
    <row r="4344" ht="22.5" customHeight="1">
      <c r="A4344" s="49"/>
      <c r="C4344" s="384">
        <v>45899.0</v>
      </c>
      <c r="D4344" s="65">
        <v>6980.0</v>
      </c>
      <c r="E4344" s="445" t="s">
        <v>256</v>
      </c>
      <c r="F4344" s="386">
        <v>1.0</v>
      </c>
      <c r="G4344" s="74">
        <v>130000.0</v>
      </c>
      <c r="H4344" s="74">
        <v>0.0</v>
      </c>
      <c r="I4344" s="74">
        <f t="shared" si="1"/>
        <v>130000</v>
      </c>
      <c r="J4344" s="74">
        <f>IF(E4344="SERVICE",I4344-(I4344*50%),Vlookup(E4344,DATABASE!C:Q,10,false)*F4344)</f>
        <v>10000</v>
      </c>
      <c r="K4344" s="74">
        <f>VLOOKUP(E4344,DATABASE!C:Q,7,false)</f>
        <v>0</v>
      </c>
      <c r="L4344" s="74">
        <v>0.0</v>
      </c>
      <c r="M4344" s="74">
        <f t="shared" si="2"/>
        <v>0</v>
      </c>
      <c r="N4344" s="74">
        <f t="shared" si="3"/>
        <v>120000</v>
      </c>
      <c r="O4344" s="65" t="str">
        <f>VLOOKUP(E4344,DATABASE!C:Q,8,false)</f>
        <v>IBU</v>
      </c>
      <c r="P4344" s="65">
        <f>VLOOKUP(E4344,DATABASE!C:Q,9,False)</f>
        <v>0</v>
      </c>
      <c r="Q4344" s="93" t="str">
        <f>VLOOKUP(E4344,DATABASE!C:Q,4,false)</f>
        <v>SPOORING</v>
      </c>
      <c r="R4344" s="93" t="str">
        <f>VLOOKUP(E4344,DATABASE!C:Q,11,false)</f>
        <v>SERVICE</v>
      </c>
    </row>
    <row r="4345" ht="22.5" customHeight="1">
      <c r="A4345" s="49"/>
      <c r="C4345" s="384">
        <v>45899.0</v>
      </c>
      <c r="D4345" s="65">
        <v>6981.0</v>
      </c>
      <c r="E4345" s="445" t="s">
        <v>290</v>
      </c>
      <c r="F4345" s="386">
        <v>2.0</v>
      </c>
      <c r="G4345" s="74">
        <v>720000.0</v>
      </c>
      <c r="H4345" s="74">
        <v>0.0</v>
      </c>
      <c r="I4345" s="74">
        <f t="shared" si="1"/>
        <v>1440000</v>
      </c>
      <c r="J4345" s="74">
        <f>IF(E4345="SERVICE",I4345-(I4345*50%),Vlookup(E4345,DATABASE!C:Q,10,false)*F4345)</f>
        <v>0</v>
      </c>
      <c r="K4345" s="74">
        <f>VLOOKUP(E4345,DATABASE!C:Q,7,false)</f>
        <v>628100</v>
      </c>
      <c r="L4345" s="74">
        <v>609804.0</v>
      </c>
      <c r="M4345" s="74">
        <f t="shared" si="2"/>
        <v>610000</v>
      </c>
      <c r="N4345" s="74">
        <f t="shared" si="3"/>
        <v>220000</v>
      </c>
      <c r="O4345" s="65" t="str">
        <f>VLOOKUP(E4345,DATABASE!C:Q,8,false)</f>
        <v>BIAN</v>
      </c>
      <c r="P4345" s="65">
        <f>VLOOKUP(E4345,DATABASE!C:Q,9,False)</f>
        <v>1</v>
      </c>
      <c r="Q4345" s="93" t="str">
        <f>VLOOKUP(E4345,DATABASE!C:Q,4,false)</f>
        <v>GT</v>
      </c>
      <c r="R4345" s="93" t="str">
        <f>VLOOKUP(E4345,DATABASE!C:Q,11,false)</f>
        <v>Tire</v>
      </c>
    </row>
    <row r="4346" ht="22.5" customHeight="1">
      <c r="A4346" s="49"/>
      <c r="C4346" s="384">
        <v>45899.0</v>
      </c>
      <c r="D4346" s="65">
        <v>6982.0</v>
      </c>
      <c r="E4346" s="445" t="s">
        <v>271</v>
      </c>
      <c r="F4346" s="386">
        <v>1.0</v>
      </c>
      <c r="G4346" s="74">
        <v>640000.0</v>
      </c>
      <c r="H4346" s="74">
        <v>0.0</v>
      </c>
      <c r="I4346" s="74">
        <f t="shared" si="1"/>
        <v>640000</v>
      </c>
      <c r="J4346" s="74">
        <f>IF(E4346="SERVICE",I4346-(I4346*50%),Vlookup(E4346,DATABASE!C:Q,10,false)*F4346)</f>
        <v>0</v>
      </c>
      <c r="K4346" s="74">
        <f>VLOOKUP(E4346,DATABASE!C:Q,7,false)</f>
        <v>570000</v>
      </c>
      <c r="L4346" s="74">
        <v>539000.0</v>
      </c>
      <c r="M4346" s="74">
        <f t="shared" si="2"/>
        <v>540000</v>
      </c>
      <c r="N4346" s="74">
        <f t="shared" si="3"/>
        <v>100000</v>
      </c>
      <c r="O4346" s="65" t="str">
        <f>VLOOKUP(E4346,DATABASE!C:Q,8,false)</f>
        <v>IBU</v>
      </c>
      <c r="P4346" s="65">
        <f>VLOOKUP(E4346,DATABASE!C:Q,9,False)</f>
        <v>1</v>
      </c>
      <c r="Q4346" s="93" t="str">
        <f>VLOOKUP(E4346,DATABASE!C:Q,4,false)</f>
        <v>Dunlop</v>
      </c>
      <c r="R4346" s="93" t="str">
        <f>VLOOKUP(E4346,DATABASE!C:Q,11,false)</f>
        <v>Tire</v>
      </c>
    </row>
    <row r="4347" ht="22.5" customHeight="1">
      <c r="A4347" s="49"/>
      <c r="C4347" s="384">
        <v>45899.0</v>
      </c>
      <c r="D4347" s="65">
        <v>6983.0</v>
      </c>
      <c r="E4347" s="445" t="s">
        <v>256</v>
      </c>
      <c r="F4347" s="386">
        <v>1.0</v>
      </c>
      <c r="G4347" s="74">
        <v>130000.0</v>
      </c>
      <c r="H4347" s="74">
        <v>0.0</v>
      </c>
      <c r="I4347" s="74">
        <f t="shared" si="1"/>
        <v>130000</v>
      </c>
      <c r="J4347" s="74">
        <f>IF(E4347="SERVICE",I4347-(I4347*50%),Vlookup(E4347,DATABASE!C:Q,10,false)*F4347)</f>
        <v>10000</v>
      </c>
      <c r="K4347" s="74">
        <f>VLOOKUP(E4347,DATABASE!C:Q,7,false)</f>
        <v>0</v>
      </c>
      <c r="L4347" s="74">
        <v>0.0</v>
      </c>
      <c r="M4347" s="74">
        <f t="shared" si="2"/>
        <v>0</v>
      </c>
      <c r="N4347" s="74">
        <f t="shared" si="3"/>
        <v>120000</v>
      </c>
      <c r="O4347" s="65" t="str">
        <f>VLOOKUP(E4347,DATABASE!C:Q,8,false)</f>
        <v>IBU</v>
      </c>
      <c r="P4347" s="65">
        <f>VLOOKUP(E4347,DATABASE!C:Q,9,False)</f>
        <v>0</v>
      </c>
      <c r="Q4347" s="93" t="str">
        <f>VLOOKUP(E4347,DATABASE!C:Q,4,false)</f>
        <v>SPOORING</v>
      </c>
      <c r="R4347" s="93" t="str">
        <f>VLOOKUP(E4347,DATABASE!C:Q,11,false)</f>
        <v>SERVICE</v>
      </c>
    </row>
    <row r="4348" ht="22.5" customHeight="1">
      <c r="A4348" s="49"/>
      <c r="C4348" s="384">
        <v>45899.0</v>
      </c>
      <c r="D4348" s="65">
        <v>6985.0</v>
      </c>
      <c r="E4348" s="445" t="s">
        <v>839</v>
      </c>
      <c r="F4348" s="386">
        <v>1.0</v>
      </c>
      <c r="G4348" s="74">
        <v>565000.0</v>
      </c>
      <c r="H4348" s="74">
        <v>0.0</v>
      </c>
      <c r="I4348" s="74">
        <f t="shared" si="1"/>
        <v>565000</v>
      </c>
      <c r="J4348" s="74">
        <f>IF(E4348="SERVICE",I4348-(I4348*50%),Vlookup(E4348,DATABASE!C:Q,10,false)*F4348)</f>
        <v>0</v>
      </c>
      <c r="K4348" s="74">
        <f>VLOOKUP(E4348,DATABASE!C:Q,7,false)</f>
        <v>512640</v>
      </c>
      <c r="L4348" s="74">
        <v>475700.0</v>
      </c>
      <c r="M4348" s="74">
        <f t="shared" si="2"/>
        <v>480000</v>
      </c>
      <c r="N4348" s="74">
        <f t="shared" si="3"/>
        <v>85000</v>
      </c>
      <c r="O4348" s="65" t="str">
        <f>VLOOKUP(E4348,DATABASE!C:Q,8,false)</f>
        <v>BIAN</v>
      </c>
      <c r="P4348" s="65">
        <f>VLOOKUP(E4348,DATABASE!C:Q,9,False)</f>
        <v>1</v>
      </c>
      <c r="Q4348" s="93" t="str">
        <f>VLOOKUP(E4348,DATABASE!C:Q,4,false)</f>
        <v>GT</v>
      </c>
      <c r="R4348" s="93" t="str">
        <f>VLOOKUP(E4348,DATABASE!C:Q,11,false)</f>
        <v>Tire</v>
      </c>
    </row>
    <row r="4349" ht="22.5" customHeight="1">
      <c r="A4349" s="49"/>
      <c r="C4349" s="384">
        <v>45899.0</v>
      </c>
      <c r="D4349" s="65">
        <v>69821.0</v>
      </c>
      <c r="E4349" s="445" t="s">
        <v>301</v>
      </c>
      <c r="F4349" s="386">
        <v>1.0</v>
      </c>
      <c r="G4349" s="74">
        <v>100000.0</v>
      </c>
      <c r="H4349" s="74">
        <v>0.0</v>
      </c>
      <c r="I4349" s="74">
        <f t="shared" si="1"/>
        <v>100000</v>
      </c>
      <c r="J4349" s="74">
        <f>IF(E4349="SERVICE",I4349-(I4349*50%),Vlookup(E4349,DATABASE!C:Q,10,false)*F4349)</f>
        <v>75000</v>
      </c>
      <c r="K4349" s="74">
        <f>VLOOKUP(E4349,DATABASE!C:Q,7,false)</f>
        <v>75000</v>
      </c>
      <c r="L4349" s="74">
        <v>75000.0</v>
      </c>
      <c r="M4349" s="74">
        <f t="shared" si="2"/>
        <v>75000</v>
      </c>
      <c r="N4349" s="74">
        <f t="shared" si="3"/>
        <v>-50000</v>
      </c>
      <c r="O4349" s="65" t="str">
        <f>VLOOKUP(E4349,DATABASE!C:Q,8,false)</f>
        <v>BIAN</v>
      </c>
      <c r="P4349" s="65">
        <f>VLOOKUP(E4349,DATABASE!C:Q,9,False)</f>
        <v>0</v>
      </c>
      <c r="Q4349" s="93" t="str">
        <f>VLOOKUP(E4349,DATABASE!C:Q,4,false)</f>
        <v>Baut Camber</v>
      </c>
      <c r="R4349" s="93" t="str">
        <f>VLOOKUP(E4349,DATABASE!C:Q,11,false)</f>
        <v>COMPLEMENTARY</v>
      </c>
    </row>
    <row r="4350" ht="22.5" customHeight="1">
      <c r="A4350" s="49"/>
      <c r="C4350" s="384">
        <v>45900.0</v>
      </c>
      <c r="D4350" s="65">
        <v>6986.0</v>
      </c>
      <c r="E4350" s="445" t="s">
        <v>569</v>
      </c>
      <c r="F4350" s="386">
        <v>1.0</v>
      </c>
      <c r="G4350" s="74">
        <v>60000.0</v>
      </c>
      <c r="H4350" s="74">
        <v>0.0</v>
      </c>
      <c r="I4350" s="74">
        <f t="shared" si="1"/>
        <v>60000</v>
      </c>
      <c r="J4350" s="74">
        <f>IF(E4350="SERVICE",I4350-(I4350*50%),Vlookup(E4350,DATABASE!C:Q,10,false)*F4350)</f>
        <v>0</v>
      </c>
      <c r="K4350" s="74">
        <f>VLOOKUP(E4350,DATABASE!C:Q,7,false)</f>
        <v>45439.582</v>
      </c>
      <c r="L4350" s="74">
        <v>45309.6</v>
      </c>
      <c r="M4350" s="74">
        <f t="shared" si="2"/>
        <v>50000</v>
      </c>
      <c r="N4350" s="74">
        <f t="shared" si="3"/>
        <v>10000</v>
      </c>
      <c r="O4350" s="65" t="str">
        <f>VLOOKUP(E4350,DATABASE!C:Q,8,false)</f>
        <v>BIAN</v>
      </c>
      <c r="P4350" s="65">
        <f>VLOOKUP(E4350,DATABASE!C:Q,9,False)</f>
        <v>1</v>
      </c>
      <c r="Q4350" s="93" t="str">
        <f>VLOOKUP(E4350,DATABASE!C:Q,4,false)</f>
        <v>BD</v>
      </c>
      <c r="R4350" s="93" t="str">
        <f>VLOOKUP(E4350,DATABASE!C:Q,11,false)</f>
        <v>Tire</v>
      </c>
    </row>
    <row r="4351" ht="22.5" customHeight="1">
      <c r="A4351" s="49"/>
      <c r="C4351" s="384">
        <v>45900.0</v>
      </c>
      <c r="D4351" s="65">
        <v>6987.0</v>
      </c>
      <c r="E4351" s="445" t="s">
        <v>1807</v>
      </c>
      <c r="F4351" s="386">
        <v>1.0</v>
      </c>
      <c r="G4351" s="74">
        <v>500000.0</v>
      </c>
      <c r="H4351" s="74">
        <v>0.0</v>
      </c>
      <c r="I4351" s="74">
        <f t="shared" si="1"/>
        <v>500000</v>
      </c>
      <c r="J4351" s="74">
        <f>IF(E4351="SERVICE",I4351-(I4351*50%),Vlookup(E4351,DATABASE!C:Q,10,false)*F4351)</f>
        <v>0</v>
      </c>
      <c r="K4351" s="74">
        <f>VLOOKUP(E4351,DATABASE!C:Q,7,false)</f>
        <v>473000</v>
      </c>
      <c r="L4351" s="74">
        <v>473000.0</v>
      </c>
      <c r="M4351" s="74">
        <f t="shared" si="2"/>
        <v>475000</v>
      </c>
      <c r="N4351" s="74">
        <f t="shared" si="3"/>
        <v>25000</v>
      </c>
      <c r="O4351" s="65" t="str">
        <f>VLOOKUP(E4351,DATABASE!C:Q,8,false)</f>
        <v>BIAN</v>
      </c>
      <c r="P4351" s="65">
        <f>VLOOKUP(E4351,DATABASE!C:Q,9,False)</f>
        <v>1</v>
      </c>
      <c r="Q4351" s="93" t="str">
        <f>VLOOKUP(E4351,DATABASE!C:Q,4,false)</f>
        <v>G. YEAR</v>
      </c>
      <c r="R4351" s="93" t="str">
        <f>VLOOKUP(E4351,DATABASE!C:Q,11,false)</f>
        <v>Tire</v>
      </c>
    </row>
    <row r="4352" ht="22.5" customHeight="1">
      <c r="A4352" s="49"/>
      <c r="C4352" s="384">
        <v>45900.0</v>
      </c>
      <c r="D4352" s="65">
        <v>6988.0</v>
      </c>
      <c r="E4352" s="445" t="s">
        <v>1862</v>
      </c>
      <c r="F4352" s="386">
        <v>4.0</v>
      </c>
      <c r="G4352" s="74">
        <v>2150000.0</v>
      </c>
      <c r="H4352" s="74">
        <v>0.0</v>
      </c>
      <c r="I4352" s="74">
        <f t="shared" si="1"/>
        <v>8600000</v>
      </c>
      <c r="J4352" s="74">
        <f>IF(E4352="SERVICE",I4352-(I4352*50%),Vlookup(E4352,DATABASE!C:Q,10,false)*F4352)</f>
        <v>0</v>
      </c>
      <c r="K4352" s="74">
        <f>VLOOKUP(E4352,DATABASE!C:Q,7,false)</f>
        <v>2080000</v>
      </c>
      <c r="L4352" s="74">
        <v>2050000.0</v>
      </c>
      <c r="M4352" s="74">
        <f t="shared" si="2"/>
        <v>2050000</v>
      </c>
      <c r="N4352" s="74">
        <f t="shared" si="3"/>
        <v>400000</v>
      </c>
      <c r="O4352" s="65" t="str">
        <f>VLOOKUP(E4352,DATABASE!C:Q,8,false)</f>
        <v>BIAN</v>
      </c>
      <c r="P4352" s="65">
        <f>VLOOKUP(E4352,DATABASE!C:Q,9,False)</f>
        <v>1</v>
      </c>
      <c r="Q4352" s="93" t="str">
        <f>VLOOKUP(E4352,DATABASE!C:Q,4,false)</f>
        <v>GiTi</v>
      </c>
      <c r="R4352" s="93" t="str">
        <f>VLOOKUP(E4352,DATABASE!C:Q,11,false)</f>
        <v>Tire</v>
      </c>
    </row>
    <row r="4353" ht="22.5" customHeight="1">
      <c r="A4353" s="49"/>
      <c r="C4353" s="384">
        <v>45900.0</v>
      </c>
      <c r="D4353" s="65">
        <v>6989.0</v>
      </c>
      <c r="E4353" s="445" t="s">
        <v>1807</v>
      </c>
      <c r="F4353" s="386">
        <v>2.0</v>
      </c>
      <c r="G4353" s="74">
        <v>585000.0</v>
      </c>
      <c r="H4353" s="74">
        <v>0.0</v>
      </c>
      <c r="I4353" s="74">
        <f t="shared" si="1"/>
        <v>1170000</v>
      </c>
      <c r="J4353" s="74">
        <f>IF(E4353="SERVICE",I4353-(I4353*50%),Vlookup(E4353,DATABASE!C:Q,10,false)*F4353)</f>
        <v>0</v>
      </c>
      <c r="K4353" s="74">
        <f>VLOOKUP(E4353,DATABASE!C:Q,7,false)</f>
        <v>473000</v>
      </c>
      <c r="L4353" s="74">
        <v>473000.0</v>
      </c>
      <c r="M4353" s="74">
        <f t="shared" si="2"/>
        <v>475000</v>
      </c>
      <c r="N4353" s="74">
        <f t="shared" si="3"/>
        <v>220000</v>
      </c>
      <c r="O4353" s="65" t="str">
        <f>VLOOKUP(E4353,DATABASE!C:Q,8,false)</f>
        <v>BIAN</v>
      </c>
      <c r="P4353" s="65">
        <f>VLOOKUP(E4353,DATABASE!C:Q,9,False)</f>
        <v>1</v>
      </c>
      <c r="Q4353" s="93" t="str">
        <f>VLOOKUP(E4353,DATABASE!C:Q,4,false)</f>
        <v>G. YEAR</v>
      </c>
      <c r="R4353" s="93" t="str">
        <f>VLOOKUP(E4353,DATABASE!C:Q,11,false)</f>
        <v>Tire</v>
      </c>
    </row>
    <row r="4354" ht="22.5" customHeight="1">
      <c r="A4354" s="49"/>
      <c r="C4354" s="384">
        <v>45900.0</v>
      </c>
      <c r="D4354" s="65">
        <v>6990.0</v>
      </c>
      <c r="E4354" s="445" t="s">
        <v>974</v>
      </c>
      <c r="F4354" s="386">
        <v>1.0</v>
      </c>
      <c r="G4354" s="74">
        <v>590000.0</v>
      </c>
      <c r="H4354" s="74">
        <v>0.0</v>
      </c>
      <c r="I4354" s="74">
        <f t="shared" si="1"/>
        <v>590000</v>
      </c>
      <c r="J4354" s="74">
        <f>IF(E4354="SERVICE",I4354-(I4354*50%),Vlookup(E4354,DATABASE!C:Q,10,false)*F4354)</f>
        <v>0</v>
      </c>
      <c r="K4354" s="74">
        <f>VLOOKUP(E4354,DATABASE!C:Q,7,false)</f>
        <v>501500</v>
      </c>
      <c r="L4354" s="74">
        <v>491000.0</v>
      </c>
      <c r="M4354" s="74">
        <f t="shared" si="2"/>
        <v>495000</v>
      </c>
      <c r="N4354" s="74">
        <f t="shared" si="3"/>
        <v>95000</v>
      </c>
      <c r="O4354" s="65" t="str">
        <f>VLOOKUP(E4354,DATABASE!C:Q,8,false)</f>
        <v>IBU</v>
      </c>
      <c r="P4354" s="65">
        <f>VLOOKUP(E4354,DATABASE!C:Q,9,False)</f>
        <v>1</v>
      </c>
      <c r="Q4354" s="93" t="str">
        <f>VLOOKUP(E4354,DATABASE!C:Q,4,false)</f>
        <v>Dunlop</v>
      </c>
      <c r="R4354" s="93" t="str">
        <f>VLOOKUP(E4354,DATABASE!C:Q,11,false)</f>
        <v>Tire</v>
      </c>
    </row>
    <row r="4355" ht="22.5" customHeight="1">
      <c r="A4355" s="49"/>
      <c r="C4355" s="384">
        <v>45900.0</v>
      </c>
      <c r="D4355" s="65">
        <v>6991.0</v>
      </c>
      <c r="E4355" s="445" t="s">
        <v>531</v>
      </c>
      <c r="F4355" s="386">
        <v>1.0</v>
      </c>
      <c r="G4355" s="74">
        <v>70000.0</v>
      </c>
      <c r="H4355" s="74">
        <v>0.0</v>
      </c>
      <c r="I4355" s="74">
        <f t="shared" si="1"/>
        <v>70000</v>
      </c>
      <c r="J4355" s="74">
        <f>IF(E4355="SERVICE",I4355-(I4355*50%),Vlookup(E4355,DATABASE!C:Q,10,false)*F4355)</f>
        <v>0</v>
      </c>
      <c r="K4355" s="74">
        <f>VLOOKUP(E4355,DATABASE!C:Q,7,false)</f>
        <v>47000</v>
      </c>
      <c r="L4355" s="74">
        <v>47000.0</v>
      </c>
      <c r="M4355" s="74">
        <f t="shared" si="2"/>
        <v>50000</v>
      </c>
      <c r="N4355" s="74">
        <f t="shared" si="3"/>
        <v>20000</v>
      </c>
      <c r="O4355" s="65" t="str">
        <f>VLOOKUP(E4355,DATABASE!C:Q,8,false)</f>
        <v>BIAN</v>
      </c>
      <c r="P4355" s="65">
        <f>VLOOKUP(E4355,DATABASE!C:Q,9,False)</f>
        <v>1</v>
      </c>
      <c r="Q4355" s="93" t="str">
        <f>VLOOKUP(E4355,DATABASE!C:Q,4,false)</f>
        <v>BD</v>
      </c>
      <c r="R4355" s="93" t="str">
        <f>VLOOKUP(E4355,DATABASE!C:Q,11,false)</f>
        <v>Tire</v>
      </c>
    </row>
    <row r="4356" ht="22.5" customHeight="1">
      <c r="A4356" s="49"/>
      <c r="C4356" s="384">
        <v>45900.0</v>
      </c>
      <c r="D4356" s="65">
        <v>6992.0</v>
      </c>
      <c r="E4356" s="445" t="s">
        <v>974</v>
      </c>
      <c r="F4356" s="386">
        <v>1.0</v>
      </c>
      <c r="G4356" s="74">
        <v>590000.0</v>
      </c>
      <c r="H4356" s="74">
        <v>0.0</v>
      </c>
      <c r="I4356" s="74">
        <f t="shared" si="1"/>
        <v>590000</v>
      </c>
      <c r="J4356" s="74">
        <f>IF(E4356="SERVICE",I4356-(I4356*50%),Vlookup(E4356,DATABASE!C:Q,10,false)*F4356)</f>
        <v>0</v>
      </c>
      <c r="K4356" s="74">
        <f>VLOOKUP(E4356,DATABASE!C:Q,7,false)</f>
        <v>501500</v>
      </c>
      <c r="L4356" s="74">
        <v>491000.0</v>
      </c>
      <c r="M4356" s="74">
        <f t="shared" si="2"/>
        <v>495000</v>
      </c>
      <c r="N4356" s="74">
        <f t="shared" si="3"/>
        <v>95000</v>
      </c>
      <c r="O4356" s="65" t="str">
        <f>VLOOKUP(E4356,DATABASE!C:Q,8,false)</f>
        <v>IBU</v>
      </c>
      <c r="P4356" s="65">
        <f>VLOOKUP(E4356,DATABASE!C:Q,9,False)</f>
        <v>1</v>
      </c>
      <c r="Q4356" s="93" t="str">
        <f>VLOOKUP(E4356,DATABASE!C:Q,4,false)</f>
        <v>Dunlop</v>
      </c>
      <c r="R4356" s="93" t="str">
        <f>VLOOKUP(E4356,DATABASE!C:Q,11,false)</f>
        <v>Tire</v>
      </c>
    </row>
    <row r="4357" ht="22.5" customHeight="1">
      <c r="A4357" s="49"/>
      <c r="C4357" s="384">
        <v>45901.0</v>
      </c>
      <c r="D4357" s="65">
        <v>6993.0</v>
      </c>
      <c r="E4357" s="445" t="s">
        <v>781</v>
      </c>
      <c r="F4357" s="386">
        <v>2.0</v>
      </c>
      <c r="G4357" s="74">
        <v>530000.0</v>
      </c>
      <c r="H4357" s="74">
        <v>0.0</v>
      </c>
      <c r="I4357" s="74">
        <f t="shared" si="1"/>
        <v>1060000</v>
      </c>
      <c r="J4357" s="74">
        <f>IF(E4357="SERVICE",I4357-(I4357*50%),Vlookup(E4357,DATABASE!C:Q,10,false)*F4357)</f>
        <v>0</v>
      </c>
      <c r="K4357" s="74">
        <f>VLOOKUP(E4357,DATABASE!C:Q,7,false)</f>
        <v>470000</v>
      </c>
      <c r="L4357" s="74">
        <v>442500.0</v>
      </c>
      <c r="M4357" s="74">
        <f t="shared" si="2"/>
        <v>445000</v>
      </c>
      <c r="N4357" s="74">
        <f t="shared" si="3"/>
        <v>170000</v>
      </c>
      <c r="O4357" s="65" t="str">
        <f>VLOOKUP(E4357,DATABASE!C:Q,8,false)</f>
        <v>BIAN</v>
      </c>
      <c r="P4357" s="65">
        <f>VLOOKUP(E4357,DATABASE!C:Q,9,False)</f>
        <v>1</v>
      </c>
      <c r="Q4357" s="93" t="str">
        <f>VLOOKUP(E4357,DATABASE!C:Q,4,false)</f>
        <v>GT</v>
      </c>
      <c r="R4357" s="93" t="str">
        <f>VLOOKUP(E4357,DATABASE!C:Q,11,false)</f>
        <v>Tire</v>
      </c>
    </row>
    <row r="4358" ht="22.5" customHeight="1">
      <c r="A4358" s="49"/>
      <c r="C4358" s="384">
        <v>45901.0</v>
      </c>
      <c r="D4358" s="65">
        <v>6993.0</v>
      </c>
      <c r="E4358" s="445" t="s">
        <v>569</v>
      </c>
      <c r="F4358" s="386">
        <v>1.0</v>
      </c>
      <c r="G4358" s="74">
        <v>80000.0</v>
      </c>
      <c r="H4358" s="74">
        <v>0.0</v>
      </c>
      <c r="I4358" s="74">
        <f t="shared" si="1"/>
        <v>80000</v>
      </c>
      <c r="J4358" s="74">
        <f>IF(E4358="SERVICE",I4358-(I4358*50%),Vlookup(E4358,DATABASE!C:Q,10,false)*F4358)</f>
        <v>0</v>
      </c>
      <c r="K4358" s="74">
        <f>VLOOKUP(E4358,DATABASE!C:Q,7,false)</f>
        <v>45439.582</v>
      </c>
      <c r="L4358" s="74">
        <v>45309.6</v>
      </c>
      <c r="M4358" s="74">
        <f t="shared" si="2"/>
        <v>50000</v>
      </c>
      <c r="N4358" s="74">
        <f t="shared" si="3"/>
        <v>30000</v>
      </c>
      <c r="O4358" s="65" t="str">
        <f>VLOOKUP(E4358,DATABASE!C:Q,8,false)</f>
        <v>BIAN</v>
      </c>
      <c r="P4358" s="65">
        <f>VLOOKUP(E4358,DATABASE!C:Q,9,False)</f>
        <v>1</v>
      </c>
      <c r="Q4358" s="93" t="str">
        <f>VLOOKUP(E4358,DATABASE!C:Q,4,false)</f>
        <v>BD</v>
      </c>
      <c r="R4358" s="93" t="str">
        <f>VLOOKUP(E4358,DATABASE!C:Q,11,false)</f>
        <v>Tire</v>
      </c>
    </row>
    <row r="4359" ht="22.5" customHeight="1">
      <c r="A4359" s="49"/>
      <c r="C4359" s="384">
        <v>45901.0</v>
      </c>
      <c r="D4359" s="65">
        <v>6994.0</v>
      </c>
      <c r="E4359" s="445" t="s">
        <v>2048</v>
      </c>
      <c r="F4359" s="386">
        <v>2.0</v>
      </c>
      <c r="G4359" s="74">
        <v>700000.0</v>
      </c>
      <c r="H4359" s="74">
        <v>0.0</v>
      </c>
      <c r="I4359" s="74">
        <f t="shared" si="1"/>
        <v>1400000</v>
      </c>
      <c r="J4359" s="74">
        <f>IF(E4359="SERVICE",I4359-(I4359*50%),Vlookup(E4359,DATABASE!C:Q,10,false)*F4359)</f>
        <v>0</v>
      </c>
      <c r="K4359" s="74">
        <f>VLOOKUP(E4359,DATABASE!C:Q,7,false)</f>
        <v>615000</v>
      </c>
      <c r="L4359" s="74">
        <v>615000.0</v>
      </c>
      <c r="M4359" s="74">
        <f t="shared" si="2"/>
        <v>615000</v>
      </c>
      <c r="N4359" s="74">
        <f t="shared" si="3"/>
        <v>170000</v>
      </c>
      <c r="O4359" s="65" t="str">
        <f>VLOOKUP(E4359,DATABASE!C:Q,8,false)</f>
        <v>BIAN</v>
      </c>
      <c r="P4359" s="65">
        <f>VLOOKUP(E4359,DATABASE!C:Q,9,False)</f>
        <v>1</v>
      </c>
      <c r="Q4359" s="93" t="str">
        <f>VLOOKUP(E4359,DATABASE!C:Q,4,false)</f>
        <v>HANKOOK</v>
      </c>
      <c r="R4359" s="93" t="str">
        <f>VLOOKUP(E4359,DATABASE!C:Q,11,false)</f>
        <v>Tire</v>
      </c>
    </row>
    <row r="4360" ht="22.5" customHeight="1">
      <c r="A4360" s="49"/>
      <c r="C4360" s="384">
        <v>45901.0</v>
      </c>
      <c r="D4360" s="65">
        <v>6995.0</v>
      </c>
      <c r="E4360" s="445" t="s">
        <v>572</v>
      </c>
      <c r="F4360" s="386">
        <v>2.0</v>
      </c>
      <c r="G4360" s="74">
        <v>1370000.0</v>
      </c>
      <c r="H4360" s="74">
        <v>0.0</v>
      </c>
      <c r="I4360" s="74">
        <f t="shared" si="1"/>
        <v>2740000</v>
      </c>
      <c r="J4360" s="74">
        <f>IF(E4360="SERVICE",I4360-(I4360*50%),Vlookup(E4360,DATABASE!C:Q,10,false)*F4360)</f>
        <v>0</v>
      </c>
      <c r="K4360" s="74">
        <f>VLOOKUP(E4360,DATABASE!C:Q,7,false)</f>
        <v>1265000</v>
      </c>
      <c r="L4360" s="74">
        <v>1245000.0</v>
      </c>
      <c r="M4360" s="74">
        <f t="shared" si="2"/>
        <v>1245000</v>
      </c>
      <c r="N4360" s="74">
        <f t="shared" si="3"/>
        <v>250000</v>
      </c>
      <c r="O4360" s="65" t="str">
        <f>VLOOKUP(E4360,DATABASE!C:Q,8,false)</f>
        <v>IBU</v>
      </c>
      <c r="P4360" s="65">
        <f>VLOOKUP(E4360,DATABASE!C:Q,9,False)</f>
        <v>1</v>
      </c>
      <c r="Q4360" s="93" t="str">
        <f>VLOOKUP(E4360,DATABASE!C:Q,4,false)</f>
        <v>Bridgestone</v>
      </c>
      <c r="R4360" s="93" t="str">
        <f>VLOOKUP(E4360,DATABASE!C:Q,11,false)</f>
        <v>Tire</v>
      </c>
    </row>
    <row r="4361" ht="22.5" customHeight="1">
      <c r="A4361" s="49"/>
      <c r="C4361" s="384">
        <v>45901.0</v>
      </c>
      <c r="D4361" s="65">
        <v>6995.0</v>
      </c>
      <c r="E4361" s="445" t="s">
        <v>255</v>
      </c>
      <c r="F4361" s="386">
        <v>2.0</v>
      </c>
      <c r="G4361" s="74">
        <v>200000.0</v>
      </c>
      <c r="H4361" s="74">
        <v>0.0</v>
      </c>
      <c r="I4361" s="74">
        <f t="shared" si="1"/>
        <v>400000</v>
      </c>
      <c r="J4361" s="74">
        <f>IF(E4361="SERVICE",I4361-(I4361*50%),Vlookup(E4361,DATABASE!C:Q,10,false)*F4361)</f>
        <v>0</v>
      </c>
      <c r="K4361" s="74">
        <f>VLOOKUP(E4361,DATABASE!C:Q,7,false)</f>
        <v>161840</v>
      </c>
      <c r="L4361" s="74">
        <v>161840.0</v>
      </c>
      <c r="M4361" s="74">
        <f t="shared" si="2"/>
        <v>165000</v>
      </c>
      <c r="N4361" s="74">
        <f t="shared" si="3"/>
        <v>70000</v>
      </c>
      <c r="O4361" s="65" t="str">
        <f>VLOOKUP(E4361,DATABASE!C:Q,8,false)</f>
        <v>BIAN</v>
      </c>
      <c r="P4361" s="65">
        <f>VLOOKUP(E4361,DATABASE!C:Q,9,False)</f>
        <v>1</v>
      </c>
      <c r="Q4361" s="93" t="str">
        <f>VLOOKUP(E4361,DATABASE!C:Q,4,false)</f>
        <v>BD</v>
      </c>
      <c r="R4361" s="93" t="str">
        <f>VLOOKUP(E4361,DATABASE!C:Q,11,false)</f>
        <v>Tire</v>
      </c>
    </row>
    <row r="4362" ht="22.5" customHeight="1">
      <c r="A4362" s="49"/>
      <c r="C4362" s="384">
        <v>45901.0</v>
      </c>
      <c r="D4362" s="65">
        <v>6995.0</v>
      </c>
      <c r="E4362" s="445" t="s">
        <v>814</v>
      </c>
      <c r="F4362" s="386">
        <v>1.0</v>
      </c>
      <c r="G4362" s="74">
        <v>65000.0</v>
      </c>
      <c r="H4362" s="74">
        <v>0.0</v>
      </c>
      <c r="I4362" s="74">
        <f t="shared" si="1"/>
        <v>65000</v>
      </c>
      <c r="J4362" s="74">
        <f>IF(E4362="SERVICE",I4362-(I4362*50%),Vlookup(E4362,DATABASE!C:Q,10,false)*F4362)</f>
        <v>0</v>
      </c>
      <c r="K4362" s="74">
        <f>VLOOKUP(E4362,DATABASE!C:Q,7,false)</f>
        <v>39440</v>
      </c>
      <c r="L4362" s="74">
        <v>39440.0</v>
      </c>
      <c r="M4362" s="74">
        <f t="shared" si="2"/>
        <v>40000</v>
      </c>
      <c r="N4362" s="74">
        <f t="shared" si="3"/>
        <v>25000</v>
      </c>
      <c r="O4362" s="65" t="str">
        <f>VLOOKUP(E4362,DATABASE!C:Q,8,false)</f>
        <v>BIAN</v>
      </c>
      <c r="P4362" s="65">
        <f>VLOOKUP(E4362,DATABASE!C:Q,9,False)</f>
        <v>1</v>
      </c>
      <c r="Q4362" s="93" t="str">
        <f>VLOOKUP(E4362,DATABASE!C:Q,4,false)</f>
        <v>Flap</v>
      </c>
      <c r="R4362" s="93" t="str">
        <f>VLOOKUP(E4362,DATABASE!C:Q,11,false)</f>
        <v>Tire</v>
      </c>
    </row>
    <row r="4363" ht="22.5" customHeight="1">
      <c r="A4363" s="49"/>
      <c r="C4363" s="384">
        <v>45901.0</v>
      </c>
      <c r="D4363" s="65">
        <v>6997.0</v>
      </c>
      <c r="E4363" s="445" t="s">
        <v>256</v>
      </c>
      <c r="F4363" s="386">
        <v>1.0</v>
      </c>
      <c r="G4363" s="74">
        <v>130000.0</v>
      </c>
      <c r="H4363" s="74">
        <v>0.0</v>
      </c>
      <c r="I4363" s="74">
        <f t="shared" si="1"/>
        <v>130000</v>
      </c>
      <c r="J4363" s="74">
        <f>IF(E4363="SERVICE",I4363-(I4363*50%),Vlookup(E4363,DATABASE!C:Q,10,false)*F4363)</f>
        <v>10000</v>
      </c>
      <c r="K4363" s="74">
        <f>VLOOKUP(E4363,DATABASE!C:Q,7,false)</f>
        <v>0</v>
      </c>
      <c r="L4363" s="74">
        <v>0.0</v>
      </c>
      <c r="M4363" s="74">
        <f t="shared" si="2"/>
        <v>0</v>
      </c>
      <c r="N4363" s="74">
        <f t="shared" si="3"/>
        <v>120000</v>
      </c>
      <c r="O4363" s="65" t="str">
        <f>VLOOKUP(E4363,DATABASE!C:Q,8,false)</f>
        <v>IBU</v>
      </c>
      <c r="P4363" s="65">
        <f>VLOOKUP(E4363,DATABASE!C:Q,9,False)</f>
        <v>0</v>
      </c>
      <c r="Q4363" s="93" t="str">
        <f>VLOOKUP(E4363,DATABASE!C:Q,4,false)</f>
        <v>SPOORING</v>
      </c>
      <c r="R4363" s="93" t="str">
        <f>VLOOKUP(E4363,DATABASE!C:Q,11,false)</f>
        <v>SERVICE</v>
      </c>
    </row>
    <row r="4364" ht="22.5" customHeight="1">
      <c r="A4364" s="49"/>
      <c r="C4364" s="384">
        <v>45901.0</v>
      </c>
      <c r="D4364" s="65">
        <v>6997.0</v>
      </c>
      <c r="E4364" s="445" t="s">
        <v>251</v>
      </c>
      <c r="F4364" s="386">
        <v>1.0</v>
      </c>
      <c r="G4364" s="74">
        <v>150000.0</v>
      </c>
      <c r="H4364" s="74">
        <v>0.0</v>
      </c>
      <c r="I4364" s="74">
        <f t="shared" si="1"/>
        <v>150000</v>
      </c>
      <c r="J4364" s="74">
        <f>IF(E4364="SERVICE",I4364-(I4364*50%),Vlookup(E4364,DATABASE!C:Q,10,false)*F4364)</f>
        <v>75000</v>
      </c>
      <c r="K4364" s="74">
        <f>VLOOKUP(E4364,DATABASE!C:Q,7,false)</f>
        <v>0</v>
      </c>
      <c r="L4364" s="74">
        <v>0.0</v>
      </c>
      <c r="M4364" s="74">
        <f t="shared" si="2"/>
        <v>0</v>
      </c>
      <c r="N4364" s="74">
        <f t="shared" si="3"/>
        <v>75000</v>
      </c>
      <c r="O4364" s="65" t="str">
        <f>VLOOKUP(E4364,DATABASE!C:Q,8,false)</f>
        <v>IBU</v>
      </c>
      <c r="P4364" s="65">
        <f>VLOOKUP(E4364,DATABASE!C:Q,9,False)</f>
        <v>0</v>
      </c>
      <c r="Q4364" s="93" t="str">
        <f>VLOOKUP(E4364,DATABASE!C:Q,4,false)</f>
        <v>SERVICE</v>
      </c>
      <c r="R4364" s="93" t="str">
        <f>VLOOKUP(E4364,DATABASE!C:Q,11,false)</f>
        <v>SERVICE</v>
      </c>
    </row>
    <row r="4365" ht="22.5" customHeight="1">
      <c r="A4365" s="49"/>
      <c r="C4365" s="384">
        <v>45901.0</v>
      </c>
      <c r="D4365" s="65">
        <v>6998.0</v>
      </c>
      <c r="E4365" s="445" t="s">
        <v>968</v>
      </c>
      <c r="F4365" s="386">
        <v>2.0</v>
      </c>
      <c r="G4365" s="74">
        <v>675000.0</v>
      </c>
      <c r="H4365" s="74">
        <v>0.0</v>
      </c>
      <c r="I4365" s="74">
        <f t="shared" si="1"/>
        <v>1350000</v>
      </c>
      <c r="J4365" s="74">
        <f>IF(E4365="SERVICE",I4365-(I4365*50%),Vlookup(E4365,DATABASE!C:Q,10,false)*F4365)</f>
        <v>0</v>
      </c>
      <c r="K4365" s="74">
        <f>VLOOKUP(E4365,DATABASE!C:Q,7,false)</f>
        <v>582500</v>
      </c>
      <c r="L4365" s="74">
        <v>582500.0</v>
      </c>
      <c r="M4365" s="74">
        <f t="shared" si="2"/>
        <v>585000</v>
      </c>
      <c r="N4365" s="74">
        <f t="shared" si="3"/>
        <v>180000</v>
      </c>
      <c r="O4365" s="65" t="str">
        <f>VLOOKUP(E4365,DATABASE!C:Q,8,false)</f>
        <v>IBU</v>
      </c>
      <c r="P4365" s="65">
        <f>VLOOKUP(E4365,DATABASE!C:Q,9,False)</f>
        <v>1</v>
      </c>
      <c r="Q4365" s="93" t="str">
        <f>VLOOKUP(E4365,DATABASE!C:Q,4,false)</f>
        <v>Dunlop</v>
      </c>
      <c r="R4365" s="93" t="str">
        <f>VLOOKUP(E4365,DATABASE!C:Q,11,false)</f>
        <v>Tire</v>
      </c>
    </row>
    <row r="4366" ht="22.5" customHeight="1">
      <c r="A4366" s="49"/>
      <c r="C4366" s="384">
        <v>45901.0</v>
      </c>
      <c r="D4366" s="65">
        <v>6999.0</v>
      </c>
      <c r="E4366" s="445" t="s">
        <v>262</v>
      </c>
      <c r="F4366" s="386">
        <v>1.0</v>
      </c>
      <c r="G4366" s="74">
        <v>110000.0</v>
      </c>
      <c r="H4366" s="74">
        <v>0.0</v>
      </c>
      <c r="I4366" s="74">
        <f t="shared" si="1"/>
        <v>110000</v>
      </c>
      <c r="J4366" s="74">
        <f>IF(E4366="SERVICE",I4366-(I4366*50%),Vlookup(E4366,DATABASE!C:Q,10,false)*F4366)</f>
        <v>5000</v>
      </c>
      <c r="K4366" s="74">
        <f>VLOOKUP(E4366,DATABASE!C:Q,7,false)</f>
        <v>0</v>
      </c>
      <c r="L4366" s="74">
        <v>0.0</v>
      </c>
      <c r="M4366" s="74">
        <f t="shared" si="2"/>
        <v>0</v>
      </c>
      <c r="N4366" s="74">
        <f t="shared" si="3"/>
        <v>105000</v>
      </c>
      <c r="O4366" s="65" t="str">
        <f>VLOOKUP(E4366,DATABASE!C:Q,8,false)</f>
        <v>IBU</v>
      </c>
      <c r="P4366" s="65">
        <f>VLOOKUP(E4366,DATABASE!C:Q,9,False)</f>
        <v>0</v>
      </c>
      <c r="Q4366" s="93" t="str">
        <f>VLOOKUP(E4366,DATABASE!C:Q,4,false)</f>
        <v>SPOORING SS/CARRY LOS BAK</v>
      </c>
      <c r="R4366" s="93" t="str">
        <f>VLOOKUP(E4366,DATABASE!C:Q,11,false)</f>
        <v>SERVICE</v>
      </c>
    </row>
    <row r="4367" ht="22.5" customHeight="1">
      <c r="A4367" s="49"/>
      <c r="C4367" s="384">
        <v>45901.0</v>
      </c>
      <c r="D4367" s="65">
        <v>7000.0</v>
      </c>
      <c r="E4367" s="445" t="s">
        <v>572</v>
      </c>
      <c r="F4367" s="386">
        <v>2.0</v>
      </c>
      <c r="G4367" s="74">
        <v>1350000.0</v>
      </c>
      <c r="H4367" s="74">
        <v>0.0</v>
      </c>
      <c r="I4367" s="74">
        <f t="shared" si="1"/>
        <v>2700000</v>
      </c>
      <c r="J4367" s="74">
        <f>IF(E4367="SERVICE",I4367-(I4367*50%),Vlookup(E4367,DATABASE!C:Q,10,false)*F4367)</f>
        <v>0</v>
      </c>
      <c r="K4367" s="74">
        <f>VLOOKUP(E4367,DATABASE!C:Q,7,false)</f>
        <v>1265000</v>
      </c>
      <c r="L4367" s="74">
        <v>1245000.0</v>
      </c>
      <c r="M4367" s="74">
        <f t="shared" si="2"/>
        <v>1245000</v>
      </c>
      <c r="N4367" s="74">
        <f t="shared" si="3"/>
        <v>210000</v>
      </c>
      <c r="O4367" s="65" t="str">
        <f>VLOOKUP(E4367,DATABASE!C:Q,8,false)</f>
        <v>IBU</v>
      </c>
      <c r="P4367" s="65">
        <f>VLOOKUP(E4367,DATABASE!C:Q,9,False)</f>
        <v>1</v>
      </c>
      <c r="Q4367" s="93" t="str">
        <f>VLOOKUP(E4367,DATABASE!C:Q,4,false)</f>
        <v>Bridgestone</v>
      </c>
      <c r="R4367" s="93" t="str">
        <f>VLOOKUP(E4367,DATABASE!C:Q,11,false)</f>
        <v>Tire</v>
      </c>
    </row>
    <row r="4368" ht="22.5" customHeight="1">
      <c r="A4368" s="49"/>
      <c r="C4368" s="384">
        <v>45901.0</v>
      </c>
      <c r="D4368" s="65">
        <v>7000.0</v>
      </c>
      <c r="E4368" s="445" t="s">
        <v>255</v>
      </c>
      <c r="F4368" s="386">
        <v>1.0</v>
      </c>
      <c r="G4368" s="74">
        <v>200000.0</v>
      </c>
      <c r="H4368" s="74">
        <v>0.0</v>
      </c>
      <c r="I4368" s="74">
        <f t="shared" si="1"/>
        <v>200000</v>
      </c>
      <c r="J4368" s="74">
        <f>IF(E4368="SERVICE",I4368-(I4368*50%),Vlookup(E4368,DATABASE!C:Q,10,false)*F4368)</f>
        <v>0</v>
      </c>
      <c r="K4368" s="74">
        <f>VLOOKUP(E4368,DATABASE!C:Q,7,false)</f>
        <v>161840</v>
      </c>
      <c r="L4368" s="74">
        <v>161840.0</v>
      </c>
      <c r="M4368" s="74">
        <f t="shared" si="2"/>
        <v>165000</v>
      </c>
      <c r="N4368" s="74">
        <f t="shared" si="3"/>
        <v>35000</v>
      </c>
      <c r="O4368" s="65" t="str">
        <f>VLOOKUP(E4368,DATABASE!C:Q,8,false)</f>
        <v>BIAN</v>
      </c>
      <c r="P4368" s="65">
        <f>VLOOKUP(E4368,DATABASE!C:Q,9,False)</f>
        <v>1</v>
      </c>
      <c r="Q4368" s="93" t="str">
        <f>VLOOKUP(E4368,DATABASE!C:Q,4,false)</f>
        <v>BD</v>
      </c>
      <c r="R4368" s="93" t="str">
        <f>VLOOKUP(E4368,DATABASE!C:Q,11,false)</f>
        <v>Tire</v>
      </c>
    </row>
    <row r="4369" ht="22.5" customHeight="1">
      <c r="A4369" s="49"/>
      <c r="C4369" s="384">
        <v>45901.0</v>
      </c>
      <c r="D4369" s="65">
        <v>7001.0</v>
      </c>
      <c r="E4369" s="445" t="s">
        <v>1237</v>
      </c>
      <c r="F4369" s="386">
        <v>2.0</v>
      </c>
      <c r="G4369" s="74">
        <v>1225000.0</v>
      </c>
      <c r="H4369" s="74">
        <v>0.0</v>
      </c>
      <c r="I4369" s="74">
        <f t="shared" si="1"/>
        <v>2450000</v>
      </c>
      <c r="J4369" s="74">
        <f>IF(E4369="SERVICE",I4369-(I4369*50%),Vlookup(E4369,DATABASE!C:Q,10,false)*F4369)</f>
        <v>0</v>
      </c>
      <c r="K4369" s="74">
        <f>VLOOKUP(E4369,DATABASE!C:Q,7,false)</f>
        <v>1170353.16</v>
      </c>
      <c r="L4369" s="74">
        <v>1113907.2</v>
      </c>
      <c r="M4369" s="74">
        <f t="shared" si="2"/>
        <v>1115000</v>
      </c>
      <c r="N4369" s="74">
        <f t="shared" si="3"/>
        <v>220000</v>
      </c>
      <c r="O4369" s="65" t="str">
        <f>VLOOKUP(E4369,DATABASE!C:Q,8,false)</f>
        <v>IBU</v>
      </c>
      <c r="P4369" s="65">
        <f>VLOOKUP(E4369,DATABASE!C:Q,9,False)</f>
        <v>1</v>
      </c>
      <c r="Q4369" s="93" t="str">
        <f>VLOOKUP(E4369,DATABASE!C:Q,4,false)</f>
        <v>Bridgestone</v>
      </c>
      <c r="R4369" s="93" t="str">
        <f>VLOOKUP(E4369,DATABASE!C:Q,11,false)</f>
        <v>Tire</v>
      </c>
    </row>
    <row r="4370" ht="22.5" customHeight="1">
      <c r="A4370" s="49"/>
      <c r="C4370" s="384">
        <v>45901.0</v>
      </c>
      <c r="D4370" s="65">
        <v>7002.0</v>
      </c>
      <c r="E4370" s="445" t="s">
        <v>275</v>
      </c>
      <c r="F4370" s="386">
        <v>2.0</v>
      </c>
      <c r="G4370" s="74">
        <v>850000.0</v>
      </c>
      <c r="H4370" s="74">
        <v>0.0</v>
      </c>
      <c r="I4370" s="74">
        <f t="shared" si="1"/>
        <v>1700000</v>
      </c>
      <c r="J4370" s="74">
        <f>IF(E4370="SERVICE",I4370-(I4370*50%),Vlookup(E4370,DATABASE!C:Q,10,false)*F4370)</f>
        <v>0</v>
      </c>
      <c r="K4370" s="74">
        <f>VLOOKUP(E4370,DATABASE!C:Q,7,false)</f>
        <v>782000</v>
      </c>
      <c r="L4370" s="74">
        <v>745000.0</v>
      </c>
      <c r="M4370" s="74">
        <f t="shared" si="2"/>
        <v>745000</v>
      </c>
      <c r="N4370" s="74">
        <f t="shared" si="3"/>
        <v>210000</v>
      </c>
      <c r="O4370" s="65" t="str">
        <f>VLOOKUP(E4370,DATABASE!C:Q,8,false)</f>
        <v>IBU</v>
      </c>
      <c r="P4370" s="65">
        <f>VLOOKUP(E4370,DATABASE!C:Q,9,False)</f>
        <v>1</v>
      </c>
      <c r="Q4370" s="93" t="str">
        <f>VLOOKUP(E4370,DATABASE!C:Q,4,false)</f>
        <v>Dunlop</v>
      </c>
      <c r="R4370" s="93" t="str">
        <f>VLOOKUP(E4370,DATABASE!C:Q,11,false)</f>
        <v>Tire</v>
      </c>
    </row>
    <row r="4371" ht="22.5" customHeight="1">
      <c r="A4371" s="49"/>
      <c r="C4371" s="384">
        <v>45901.0</v>
      </c>
      <c r="D4371" s="65">
        <v>7003.0</v>
      </c>
      <c r="E4371" s="445" t="s">
        <v>604</v>
      </c>
      <c r="F4371" s="386">
        <v>1.0</v>
      </c>
      <c r="G4371" s="74">
        <v>150000.0</v>
      </c>
      <c r="H4371" s="74">
        <v>0.0</v>
      </c>
      <c r="I4371" s="74">
        <f t="shared" si="1"/>
        <v>150000</v>
      </c>
      <c r="J4371" s="74">
        <f>IF(E4371="SERVICE",I4371-(I4371*50%),Vlookup(E4371,DATABASE!C:Q,10,false)*F4371)</f>
        <v>0</v>
      </c>
      <c r="K4371" s="74">
        <f>VLOOKUP(E4371,DATABASE!C:Q,7,false)</f>
        <v>124000</v>
      </c>
      <c r="L4371" s="74">
        <v>124000.0</v>
      </c>
      <c r="M4371" s="74">
        <f t="shared" si="2"/>
        <v>125000</v>
      </c>
      <c r="N4371" s="74">
        <f t="shared" si="3"/>
        <v>25000</v>
      </c>
      <c r="O4371" s="65" t="str">
        <f>VLOOKUP(E4371,DATABASE!C:Q,8,false)</f>
        <v>BIAN</v>
      </c>
      <c r="P4371" s="65">
        <f>VLOOKUP(E4371,DATABASE!C:Q,9,False)</f>
        <v>1</v>
      </c>
      <c r="Q4371" s="93" t="str">
        <f>VLOOKUP(E4371,DATABASE!C:Q,4,false)</f>
        <v>BD</v>
      </c>
      <c r="R4371" s="93" t="str">
        <f>VLOOKUP(E4371,DATABASE!C:Q,11,false)</f>
        <v>Tire</v>
      </c>
    </row>
    <row r="4372" ht="22.5" customHeight="1">
      <c r="A4372" s="49"/>
      <c r="C4372" s="384">
        <v>45901.0</v>
      </c>
      <c r="D4372" s="65">
        <v>7004.0</v>
      </c>
      <c r="E4372" s="385" t="s">
        <v>299</v>
      </c>
      <c r="F4372" s="386">
        <v>2.0</v>
      </c>
      <c r="G4372" s="74">
        <v>30000.0</v>
      </c>
      <c r="H4372" s="74">
        <v>0.0</v>
      </c>
      <c r="I4372" s="74">
        <f t="shared" si="1"/>
        <v>60000</v>
      </c>
      <c r="J4372" s="74">
        <f>IF(E4372="SERVICE",I4372-(I4372*50%),Vlookup(E4372,DATABASE!C:Q,10,false)*F4372)</f>
        <v>0</v>
      </c>
      <c r="K4372" s="74">
        <v>0.0</v>
      </c>
      <c r="L4372" s="74">
        <v>0.0</v>
      </c>
      <c r="M4372" s="74">
        <f t="shared" si="2"/>
        <v>0</v>
      </c>
      <c r="N4372" s="74">
        <f t="shared" si="3"/>
        <v>60000</v>
      </c>
      <c r="O4372" s="65" t="str">
        <f>VLOOKUP(E4372,DATABASE!C:Q,8,false)</f>
        <v>BIAN</v>
      </c>
      <c r="P4372" s="65">
        <f>VLOOKUP(E4372,DATABASE!C:Q,9,False)</f>
        <v>0</v>
      </c>
      <c r="Q4372" s="93" t="str">
        <f>VLOOKUP(E4372,DATABASE!C:Q,4,false)</f>
        <v>Balancing</v>
      </c>
      <c r="R4372" s="93" t="str">
        <f>VLOOKUP(E4372,DATABASE!C:Q,11,false)</f>
        <v>COMPLEMENTARY</v>
      </c>
    </row>
    <row r="4373" ht="22.5" customHeight="1">
      <c r="A4373" s="49"/>
      <c r="C4373" s="384">
        <v>45901.0</v>
      </c>
      <c r="D4373" s="65">
        <v>7004.0</v>
      </c>
      <c r="E4373" s="445" t="s">
        <v>246</v>
      </c>
      <c r="F4373" s="386">
        <v>1.0</v>
      </c>
      <c r="G4373" s="74">
        <v>20000.0</v>
      </c>
      <c r="H4373" s="74">
        <v>0.0</v>
      </c>
      <c r="I4373" s="74">
        <f t="shared" si="1"/>
        <v>20000</v>
      </c>
      <c r="J4373" s="74">
        <f>IF(E4373="SERVICE",I4373-(I4373*50%),Vlookup(E4373,DATABASE!C:Q,10,false)*F4373)</f>
        <v>0</v>
      </c>
      <c r="K4373" s="74">
        <f>VLOOKUP(E4373,DATABASE!C:Q,7,false)</f>
        <v>0</v>
      </c>
      <c r="L4373" s="74">
        <v>0.0</v>
      </c>
      <c r="M4373" s="74">
        <f t="shared" si="2"/>
        <v>0</v>
      </c>
      <c r="N4373" s="74">
        <f t="shared" si="3"/>
        <v>20000</v>
      </c>
      <c r="O4373" s="65" t="str">
        <f>VLOOKUP(E4373,DATABASE!C:Q,8,false)</f>
        <v>IBU</v>
      </c>
      <c r="P4373" s="65">
        <f>VLOOKUP(E4373,DATABASE!C:Q,9,False)</f>
        <v>0</v>
      </c>
      <c r="Q4373" s="93" t="str">
        <f>VLOOKUP(E4373,DATABASE!C:Q,4,false)</f>
        <v>Bongkar Pasang</v>
      </c>
      <c r="R4373" s="93" t="str">
        <f>VLOOKUP(E4373,DATABASE!C:Q,11,false)</f>
        <v>SERVICE</v>
      </c>
    </row>
    <row r="4374" ht="22.5" customHeight="1">
      <c r="A4374" s="49"/>
      <c r="C4374" s="384">
        <v>45901.0</v>
      </c>
      <c r="D4374" s="65">
        <v>7006.0</v>
      </c>
      <c r="E4374" s="445" t="s">
        <v>268</v>
      </c>
      <c r="F4374" s="386">
        <v>2.0</v>
      </c>
      <c r="G4374" s="74">
        <v>720000.0</v>
      </c>
      <c r="H4374" s="74">
        <v>0.0</v>
      </c>
      <c r="I4374" s="74">
        <f t="shared" si="1"/>
        <v>1440000</v>
      </c>
      <c r="J4374" s="74">
        <f>IF(E4374="SERVICE",I4374-(I4374*50%),Vlookup(E4374,DATABASE!C:Q,10,false)*F4374)</f>
        <v>0</v>
      </c>
      <c r="K4374" s="74">
        <f>VLOOKUP(E4374,DATABASE!C:Q,7,false)</f>
        <v>653000</v>
      </c>
      <c r="L4374" s="74">
        <v>622000.0</v>
      </c>
      <c r="M4374" s="74">
        <f t="shared" si="2"/>
        <v>625000</v>
      </c>
      <c r="N4374" s="74">
        <f t="shared" si="3"/>
        <v>190000</v>
      </c>
      <c r="O4374" s="65" t="str">
        <f>VLOOKUP(E4374,DATABASE!C:Q,8,false)</f>
        <v>IBU</v>
      </c>
      <c r="P4374" s="65">
        <f>VLOOKUP(E4374,DATABASE!C:Q,9,False)</f>
        <v>1</v>
      </c>
      <c r="Q4374" s="93" t="str">
        <f>VLOOKUP(E4374,DATABASE!C:Q,4,false)</f>
        <v>Dunlop</v>
      </c>
      <c r="R4374" s="93" t="str">
        <f>VLOOKUP(E4374,DATABASE!C:Q,11,false)</f>
        <v>Tire</v>
      </c>
    </row>
    <row r="4375" ht="22.5" customHeight="1">
      <c r="A4375" s="49"/>
      <c r="C4375" s="384">
        <v>45902.0</v>
      </c>
      <c r="D4375" s="65">
        <v>7008.0</v>
      </c>
      <c r="E4375" s="445" t="s">
        <v>287</v>
      </c>
      <c r="F4375" s="386">
        <v>2.0</v>
      </c>
      <c r="G4375" s="74">
        <v>780000.0</v>
      </c>
      <c r="H4375" s="74">
        <v>0.0</v>
      </c>
      <c r="I4375" s="74">
        <f t="shared" si="1"/>
        <v>1560000</v>
      </c>
      <c r="J4375" s="74">
        <f>IF(E4375="SERVICE",I4375-(I4375*50%),Vlookup(E4375,DATABASE!C:Q,10,false)*F4375)</f>
        <v>0</v>
      </c>
      <c r="K4375" s="74">
        <f>VLOOKUP(E4375,DATABASE!C:Q,7,false)</f>
        <v>711000</v>
      </c>
      <c r="L4375" s="74">
        <v>690600.0</v>
      </c>
      <c r="M4375" s="74">
        <f t="shared" si="2"/>
        <v>695000</v>
      </c>
      <c r="N4375" s="74">
        <f t="shared" si="3"/>
        <v>170000</v>
      </c>
      <c r="O4375" s="65" t="str">
        <f>VLOOKUP(E4375,DATABASE!C:Q,8,false)</f>
        <v>BIAN</v>
      </c>
      <c r="P4375" s="65">
        <f>VLOOKUP(E4375,DATABASE!C:Q,9,False)</f>
        <v>1</v>
      </c>
      <c r="Q4375" s="93" t="str">
        <f>VLOOKUP(E4375,DATABASE!C:Q,4,false)</f>
        <v>GT</v>
      </c>
      <c r="R4375" s="93" t="str">
        <f>VLOOKUP(E4375,DATABASE!C:Q,11,false)</f>
        <v>Tire</v>
      </c>
    </row>
    <row r="4376" ht="22.5" customHeight="1">
      <c r="A4376" s="49"/>
      <c r="C4376" s="384">
        <v>45902.0</v>
      </c>
      <c r="D4376" s="65">
        <v>7008.0</v>
      </c>
      <c r="E4376" s="445" t="s">
        <v>256</v>
      </c>
      <c r="F4376" s="386">
        <v>1.0</v>
      </c>
      <c r="G4376" s="74">
        <v>130000.0</v>
      </c>
      <c r="H4376" s="74">
        <v>0.0</v>
      </c>
      <c r="I4376" s="74">
        <f t="shared" si="1"/>
        <v>130000</v>
      </c>
      <c r="J4376" s="74">
        <f>IF(E4376="SERVICE",I4376-(I4376*50%),Vlookup(E4376,DATABASE!C:Q,10,false)*F4376)</f>
        <v>10000</v>
      </c>
      <c r="K4376" s="74">
        <f>VLOOKUP(E4376,DATABASE!C:Q,7,false)</f>
        <v>0</v>
      </c>
      <c r="L4376" s="74">
        <v>0.0</v>
      </c>
      <c r="M4376" s="74">
        <f t="shared" si="2"/>
        <v>0</v>
      </c>
      <c r="N4376" s="74">
        <f t="shared" si="3"/>
        <v>120000</v>
      </c>
      <c r="O4376" s="65" t="str">
        <f>VLOOKUP(E4376,DATABASE!C:Q,8,false)</f>
        <v>IBU</v>
      </c>
      <c r="P4376" s="65">
        <f>VLOOKUP(E4376,DATABASE!C:Q,9,False)</f>
        <v>0</v>
      </c>
      <c r="Q4376" s="93" t="str">
        <f>VLOOKUP(E4376,DATABASE!C:Q,4,false)</f>
        <v>SPOORING</v>
      </c>
      <c r="R4376" s="93" t="str">
        <f>VLOOKUP(E4376,DATABASE!C:Q,11,false)</f>
        <v>SERVICE</v>
      </c>
    </row>
    <row r="4377" ht="22.5" customHeight="1">
      <c r="A4377" s="49"/>
      <c r="C4377" s="384">
        <v>45902.0</v>
      </c>
      <c r="D4377" s="65">
        <v>7008.0</v>
      </c>
      <c r="E4377" s="445" t="s">
        <v>251</v>
      </c>
      <c r="F4377" s="386">
        <v>1.0</v>
      </c>
      <c r="G4377" s="74">
        <v>150000.0</v>
      </c>
      <c r="H4377" s="74">
        <v>0.0</v>
      </c>
      <c r="I4377" s="74">
        <f t="shared" si="1"/>
        <v>150000</v>
      </c>
      <c r="J4377" s="74">
        <f>IF(E4377="SERVICE",I4377-(I4377*50%),Vlookup(E4377,DATABASE!C:Q,10,false)*F4377)</f>
        <v>75000</v>
      </c>
      <c r="K4377" s="74">
        <f>VLOOKUP(E4377,DATABASE!C:Q,7,false)</f>
        <v>0</v>
      </c>
      <c r="L4377" s="74">
        <v>0.0</v>
      </c>
      <c r="M4377" s="74">
        <f t="shared" si="2"/>
        <v>0</v>
      </c>
      <c r="N4377" s="74">
        <f t="shared" si="3"/>
        <v>75000</v>
      </c>
      <c r="O4377" s="65" t="str">
        <f>VLOOKUP(E4377,DATABASE!C:Q,8,false)</f>
        <v>IBU</v>
      </c>
      <c r="P4377" s="65">
        <f>VLOOKUP(E4377,DATABASE!C:Q,9,False)</f>
        <v>0</v>
      </c>
      <c r="Q4377" s="93" t="str">
        <f>VLOOKUP(E4377,DATABASE!C:Q,4,false)</f>
        <v>SERVICE</v>
      </c>
      <c r="R4377" s="93" t="str">
        <f>VLOOKUP(E4377,DATABASE!C:Q,11,false)</f>
        <v>SERVICE</v>
      </c>
    </row>
    <row r="4378" ht="22.5" customHeight="1">
      <c r="A4378" s="49"/>
      <c r="C4378" s="384">
        <v>45902.0</v>
      </c>
      <c r="D4378" s="65">
        <v>7009.0</v>
      </c>
      <c r="E4378" s="445" t="s">
        <v>265</v>
      </c>
      <c r="F4378" s="386">
        <v>2.0</v>
      </c>
      <c r="G4378" s="74">
        <v>700000.0</v>
      </c>
      <c r="H4378" s="74">
        <v>0.0</v>
      </c>
      <c r="I4378" s="74">
        <f t="shared" si="1"/>
        <v>1400000</v>
      </c>
      <c r="J4378" s="74">
        <f>IF(E4378="SERVICE",I4378-(I4378*50%),Vlookup(E4378,DATABASE!C:Q,10,false)*F4378)</f>
        <v>0</v>
      </c>
      <c r="K4378" s="74">
        <f>VLOOKUP(E4378,DATABASE!C:Q,7,false)</f>
        <v>628000</v>
      </c>
      <c r="L4378" s="74">
        <v>610000.0</v>
      </c>
      <c r="M4378" s="74">
        <f t="shared" si="2"/>
        <v>610000</v>
      </c>
      <c r="N4378" s="74">
        <f t="shared" si="3"/>
        <v>180000</v>
      </c>
      <c r="O4378" s="65" t="str">
        <f>VLOOKUP(E4378,DATABASE!C:Q,8,false)</f>
        <v>IBU</v>
      </c>
      <c r="P4378" s="65">
        <f>VLOOKUP(E4378,DATABASE!C:Q,9,False)</f>
        <v>1</v>
      </c>
      <c r="Q4378" s="93" t="str">
        <f>VLOOKUP(E4378,DATABASE!C:Q,4,false)</f>
        <v>Dunlop</v>
      </c>
      <c r="R4378" s="93" t="str">
        <f>VLOOKUP(E4378,DATABASE!C:Q,11,false)</f>
        <v>Tire</v>
      </c>
    </row>
    <row r="4379" ht="22.5" customHeight="1">
      <c r="A4379" s="49"/>
      <c r="C4379" s="384">
        <v>45902.0</v>
      </c>
      <c r="D4379" s="65">
        <v>7010.0</v>
      </c>
      <c r="E4379" s="445" t="s">
        <v>1009</v>
      </c>
      <c r="F4379" s="386">
        <v>1.0</v>
      </c>
      <c r="G4379" s="74">
        <v>700000.0</v>
      </c>
      <c r="H4379" s="74">
        <v>0.0</v>
      </c>
      <c r="I4379" s="74">
        <f t="shared" si="1"/>
        <v>700000</v>
      </c>
      <c r="J4379" s="74">
        <f>IF(E4379="SERVICE",I4379-(I4379*50%),Vlookup(E4379,DATABASE!C:Q,10,false)*F4379)</f>
        <v>0</v>
      </c>
      <c r="K4379" s="74">
        <f>VLOOKUP(E4379,DATABASE!C:Q,7,false)</f>
        <v>609800</v>
      </c>
      <c r="L4379" s="74">
        <v>592200.0</v>
      </c>
      <c r="M4379" s="74">
        <f t="shared" si="2"/>
        <v>595000</v>
      </c>
      <c r="N4379" s="74">
        <f t="shared" si="3"/>
        <v>105000</v>
      </c>
      <c r="O4379" s="65" t="str">
        <f>VLOOKUP(E4379,DATABASE!C:Q,8,false)</f>
        <v>BIAN</v>
      </c>
      <c r="P4379" s="65">
        <f>VLOOKUP(E4379,DATABASE!C:Q,9,False)</f>
        <v>1</v>
      </c>
      <c r="Q4379" s="93" t="str">
        <f>VLOOKUP(E4379,DATABASE!C:Q,4,false)</f>
        <v>GT</v>
      </c>
      <c r="R4379" s="93" t="str">
        <f>VLOOKUP(E4379,DATABASE!C:Q,11,false)</f>
        <v>Tire</v>
      </c>
    </row>
    <row r="4380" ht="22.5" customHeight="1">
      <c r="A4380" s="49"/>
      <c r="C4380" s="384">
        <v>45902.0</v>
      </c>
      <c r="D4380" s="65">
        <v>7011.0</v>
      </c>
      <c r="E4380" s="445" t="s">
        <v>1009</v>
      </c>
      <c r="F4380" s="386">
        <v>1.0</v>
      </c>
      <c r="G4380" s="74">
        <v>700000.0</v>
      </c>
      <c r="H4380" s="74">
        <v>0.0</v>
      </c>
      <c r="I4380" s="74">
        <f t="shared" si="1"/>
        <v>700000</v>
      </c>
      <c r="J4380" s="74">
        <f>IF(E4380="SERVICE",I4380-(I4380*50%),Vlookup(E4380,DATABASE!C:Q,10,false)*F4380)</f>
        <v>0</v>
      </c>
      <c r="K4380" s="74">
        <f>VLOOKUP(E4380,DATABASE!C:Q,7,false)</f>
        <v>609800</v>
      </c>
      <c r="L4380" s="74">
        <v>592200.0</v>
      </c>
      <c r="M4380" s="74">
        <f t="shared" si="2"/>
        <v>595000</v>
      </c>
      <c r="N4380" s="74">
        <f t="shared" si="3"/>
        <v>105000</v>
      </c>
      <c r="O4380" s="65" t="str">
        <f>VLOOKUP(E4380,DATABASE!C:Q,8,false)</f>
        <v>BIAN</v>
      </c>
      <c r="P4380" s="65">
        <f>VLOOKUP(E4380,DATABASE!C:Q,9,False)</f>
        <v>1</v>
      </c>
      <c r="Q4380" s="93" t="str">
        <f>VLOOKUP(E4380,DATABASE!C:Q,4,false)</f>
        <v>GT</v>
      </c>
      <c r="R4380" s="93" t="str">
        <f>VLOOKUP(E4380,DATABASE!C:Q,11,false)</f>
        <v>Tire</v>
      </c>
    </row>
    <row r="4381" ht="22.5" customHeight="1">
      <c r="A4381" s="49"/>
      <c r="C4381" s="384">
        <v>45902.0</v>
      </c>
      <c r="D4381" s="65">
        <v>7012.0</v>
      </c>
      <c r="E4381" s="445" t="s">
        <v>777</v>
      </c>
      <c r="F4381" s="386">
        <v>1.0</v>
      </c>
      <c r="G4381" s="74">
        <v>585000.0</v>
      </c>
      <c r="H4381" s="74">
        <v>0.0</v>
      </c>
      <c r="I4381" s="74">
        <f t="shared" si="1"/>
        <v>585000</v>
      </c>
      <c r="J4381" s="74">
        <f>IF(E4381="SERVICE",I4381-(I4381*50%),Vlookup(E4381,DATABASE!C:Q,10,false)*F4381)</f>
        <v>0</v>
      </c>
      <c r="K4381" s="74">
        <f>VLOOKUP(E4381,DATABASE!C:Q,7,false)</f>
        <v>540000</v>
      </c>
      <c r="L4381" s="74">
        <v>507000.0</v>
      </c>
      <c r="M4381" s="74">
        <f t="shared" si="2"/>
        <v>510000</v>
      </c>
      <c r="N4381" s="74">
        <f t="shared" si="3"/>
        <v>75000</v>
      </c>
      <c r="O4381" s="65" t="str">
        <f>VLOOKUP(E4381,DATABASE!C:Q,8,false)</f>
        <v>BIAN</v>
      </c>
      <c r="P4381" s="65">
        <f>VLOOKUP(E4381,DATABASE!C:Q,9,False)</f>
        <v>1</v>
      </c>
      <c r="Q4381" s="93" t="str">
        <f>VLOOKUP(E4381,DATABASE!C:Q,4,false)</f>
        <v>GT</v>
      </c>
      <c r="R4381" s="93" t="str">
        <f>VLOOKUP(E4381,DATABASE!C:Q,11,false)</f>
        <v>Tire</v>
      </c>
    </row>
    <row r="4382" ht="22.5" customHeight="1">
      <c r="A4382" s="49"/>
      <c r="C4382" s="384">
        <v>45902.0</v>
      </c>
      <c r="D4382" s="65">
        <v>7013.0</v>
      </c>
      <c r="E4382" s="445" t="s">
        <v>268</v>
      </c>
      <c r="F4382" s="386">
        <v>1.0</v>
      </c>
      <c r="G4382" s="74">
        <v>720000.0</v>
      </c>
      <c r="H4382" s="74">
        <v>0.0</v>
      </c>
      <c r="I4382" s="74">
        <f t="shared" si="1"/>
        <v>720000</v>
      </c>
      <c r="J4382" s="74">
        <f>IF(E4382="SERVICE",I4382-(I4382*50%),Vlookup(E4382,DATABASE!C:Q,10,false)*F4382)</f>
        <v>0</v>
      </c>
      <c r="K4382" s="74">
        <f>VLOOKUP(E4382,DATABASE!C:Q,7,false)</f>
        <v>653000</v>
      </c>
      <c r="L4382" s="74">
        <v>622000.0</v>
      </c>
      <c r="M4382" s="74">
        <f t="shared" si="2"/>
        <v>625000</v>
      </c>
      <c r="N4382" s="74">
        <f t="shared" si="3"/>
        <v>95000</v>
      </c>
      <c r="O4382" s="65" t="str">
        <f>VLOOKUP(E4382,DATABASE!C:Q,8,false)</f>
        <v>IBU</v>
      </c>
      <c r="P4382" s="65">
        <f>VLOOKUP(E4382,DATABASE!C:Q,9,False)</f>
        <v>1</v>
      </c>
      <c r="Q4382" s="93" t="str">
        <f>VLOOKUP(E4382,DATABASE!C:Q,4,false)</f>
        <v>Dunlop</v>
      </c>
      <c r="R4382" s="93" t="str">
        <f>VLOOKUP(E4382,DATABASE!C:Q,11,false)</f>
        <v>Tire</v>
      </c>
    </row>
    <row r="4383" ht="22.5" customHeight="1">
      <c r="A4383" s="49"/>
      <c r="C4383" s="384">
        <v>45902.0</v>
      </c>
      <c r="D4383" s="65">
        <v>7014.0</v>
      </c>
      <c r="E4383" s="445" t="s">
        <v>256</v>
      </c>
      <c r="F4383" s="386">
        <v>1.0</v>
      </c>
      <c r="G4383" s="74">
        <v>130000.0</v>
      </c>
      <c r="H4383" s="74">
        <v>0.0</v>
      </c>
      <c r="I4383" s="74">
        <f t="shared" si="1"/>
        <v>130000</v>
      </c>
      <c r="J4383" s="74">
        <f>IF(E4383="SERVICE",I4383-(I4383*50%),Vlookup(E4383,DATABASE!C:Q,10,false)*F4383)</f>
        <v>10000</v>
      </c>
      <c r="K4383" s="74">
        <f>VLOOKUP(E4383,DATABASE!C:Q,7,false)</f>
        <v>0</v>
      </c>
      <c r="L4383" s="74">
        <v>0.0</v>
      </c>
      <c r="M4383" s="74">
        <f t="shared" si="2"/>
        <v>0</v>
      </c>
      <c r="N4383" s="74">
        <f t="shared" si="3"/>
        <v>120000</v>
      </c>
      <c r="O4383" s="65" t="str">
        <f>VLOOKUP(E4383,DATABASE!C:Q,8,false)</f>
        <v>IBU</v>
      </c>
      <c r="P4383" s="65">
        <f>VLOOKUP(E4383,DATABASE!C:Q,9,False)</f>
        <v>0</v>
      </c>
      <c r="Q4383" s="93" t="str">
        <f>VLOOKUP(E4383,DATABASE!C:Q,4,false)</f>
        <v>SPOORING</v>
      </c>
      <c r="R4383" s="93" t="str">
        <f>VLOOKUP(E4383,DATABASE!C:Q,11,false)</f>
        <v>SERVICE</v>
      </c>
    </row>
    <row r="4384" ht="22.5" customHeight="1">
      <c r="A4384" s="49"/>
      <c r="C4384" s="384">
        <v>45902.0</v>
      </c>
      <c r="D4384" s="65">
        <v>7014.0</v>
      </c>
      <c r="E4384" s="445" t="s">
        <v>301</v>
      </c>
      <c r="F4384" s="386">
        <v>1.0</v>
      </c>
      <c r="G4384" s="74">
        <v>250000.0</v>
      </c>
      <c r="H4384" s="74">
        <v>0.0</v>
      </c>
      <c r="I4384" s="74">
        <f t="shared" si="1"/>
        <v>250000</v>
      </c>
      <c r="J4384" s="74">
        <f>IF(E4384="SERVICE",I4384-(I4384*50%),Vlookup(E4384,DATABASE!C:Q,10,false)*F4384)</f>
        <v>75000</v>
      </c>
      <c r="K4384" s="74">
        <f>VLOOKUP(E4384,DATABASE!C:Q,7,false)</f>
        <v>75000</v>
      </c>
      <c r="L4384" s="74">
        <v>75000.0</v>
      </c>
      <c r="M4384" s="74">
        <f t="shared" si="2"/>
        <v>75000</v>
      </c>
      <c r="N4384" s="74">
        <f t="shared" si="3"/>
        <v>100000</v>
      </c>
      <c r="O4384" s="65" t="str">
        <f>VLOOKUP(E4384,DATABASE!C:Q,8,false)</f>
        <v>BIAN</v>
      </c>
      <c r="P4384" s="65">
        <f>VLOOKUP(E4384,DATABASE!C:Q,9,False)</f>
        <v>0</v>
      </c>
      <c r="Q4384" s="93" t="str">
        <f>VLOOKUP(E4384,DATABASE!C:Q,4,false)</f>
        <v>Baut Camber</v>
      </c>
      <c r="R4384" s="93" t="str">
        <f>VLOOKUP(E4384,DATABASE!C:Q,11,false)</f>
        <v>COMPLEMENTARY</v>
      </c>
    </row>
    <row r="4385" ht="22.5" customHeight="1">
      <c r="A4385" s="49"/>
      <c r="C4385" s="384">
        <v>45902.0</v>
      </c>
      <c r="D4385" s="65">
        <v>7014.0</v>
      </c>
      <c r="E4385" s="445" t="s">
        <v>256</v>
      </c>
      <c r="F4385" s="386">
        <v>1.0</v>
      </c>
      <c r="G4385" s="74">
        <v>130000.0</v>
      </c>
      <c r="H4385" s="74">
        <v>0.0</v>
      </c>
      <c r="I4385" s="74">
        <f t="shared" si="1"/>
        <v>130000</v>
      </c>
      <c r="J4385" s="74">
        <f>IF(E4385="SERVICE",I4385-(I4385*50%),Vlookup(E4385,DATABASE!C:Q,10,false)*F4385)</f>
        <v>10000</v>
      </c>
      <c r="K4385" s="74">
        <f>VLOOKUP(E4385,DATABASE!C:Q,7,false)</f>
        <v>0</v>
      </c>
      <c r="L4385" s="74">
        <v>0.0</v>
      </c>
      <c r="M4385" s="74">
        <f t="shared" si="2"/>
        <v>0</v>
      </c>
      <c r="N4385" s="74">
        <f t="shared" si="3"/>
        <v>120000</v>
      </c>
      <c r="O4385" s="65" t="str">
        <f>VLOOKUP(E4385,DATABASE!C:Q,8,false)</f>
        <v>IBU</v>
      </c>
      <c r="P4385" s="65">
        <f>VLOOKUP(E4385,DATABASE!C:Q,9,False)</f>
        <v>0</v>
      </c>
      <c r="Q4385" s="93" t="str">
        <f>VLOOKUP(E4385,DATABASE!C:Q,4,false)</f>
        <v>SPOORING</v>
      </c>
      <c r="R4385" s="93" t="str">
        <f>VLOOKUP(E4385,DATABASE!C:Q,11,false)</f>
        <v>SERVICE</v>
      </c>
    </row>
    <row r="4386" ht="22.5" customHeight="1">
      <c r="A4386" s="49"/>
      <c r="C4386" s="384">
        <v>45902.0</v>
      </c>
      <c r="D4386" s="65">
        <v>7016.0</v>
      </c>
      <c r="E4386" s="445" t="s">
        <v>1928</v>
      </c>
      <c r="F4386" s="386">
        <v>2.0</v>
      </c>
      <c r="G4386" s="74">
        <v>675000.0</v>
      </c>
      <c r="H4386" s="74">
        <v>0.0</v>
      </c>
      <c r="I4386" s="74">
        <f t="shared" si="1"/>
        <v>1350000</v>
      </c>
      <c r="J4386" s="74">
        <f>IF(E4386="SERVICE",I4386-(I4386*50%),Vlookup(E4386,DATABASE!C:Q,10,false)*F4386)</f>
        <v>0</v>
      </c>
      <c r="K4386" s="74">
        <f>VLOOKUP(E4386,DATABASE!C:Q,7,false)</f>
        <v>589700</v>
      </c>
      <c r="L4386" s="74">
        <v>572700.0</v>
      </c>
      <c r="M4386" s="74">
        <f t="shared" si="2"/>
        <v>575000</v>
      </c>
      <c r="N4386" s="74">
        <f t="shared" si="3"/>
        <v>200000</v>
      </c>
      <c r="O4386" s="65" t="str">
        <f>VLOOKUP(E4386,DATABASE!C:Q,8,false)</f>
        <v>BIAN</v>
      </c>
      <c r="P4386" s="65">
        <f>VLOOKUP(E4386,DATABASE!C:Q,9,False)</f>
        <v>1</v>
      </c>
      <c r="Q4386" s="93" t="str">
        <f>VLOOKUP(E4386,DATABASE!C:Q,4,false)</f>
        <v>GT</v>
      </c>
      <c r="R4386" s="93" t="str">
        <f>VLOOKUP(E4386,DATABASE!C:Q,11,false)</f>
        <v>Tire</v>
      </c>
    </row>
    <row r="4387" ht="22.5" customHeight="1">
      <c r="A4387" s="49"/>
      <c r="C4387" s="384">
        <v>45902.0</v>
      </c>
      <c r="D4387" s="65">
        <v>7017.0</v>
      </c>
      <c r="E4387" s="445" t="s">
        <v>256</v>
      </c>
      <c r="F4387" s="386">
        <v>1.0</v>
      </c>
      <c r="G4387" s="74">
        <v>130000.0</v>
      </c>
      <c r="H4387" s="74">
        <v>0.0</v>
      </c>
      <c r="I4387" s="74">
        <f t="shared" si="1"/>
        <v>130000</v>
      </c>
      <c r="J4387" s="74">
        <f>IF(E4387="SERVICE",I4387-(I4387*50%),Vlookup(E4387,DATABASE!C:Q,10,false)*F4387)</f>
        <v>10000</v>
      </c>
      <c r="K4387" s="74">
        <f>VLOOKUP(E4387,DATABASE!C:Q,7,false)</f>
        <v>0</v>
      </c>
      <c r="L4387" s="74">
        <v>0.0</v>
      </c>
      <c r="M4387" s="74">
        <f t="shared" si="2"/>
        <v>0</v>
      </c>
      <c r="N4387" s="74">
        <f t="shared" si="3"/>
        <v>120000</v>
      </c>
      <c r="O4387" s="65" t="str">
        <f>VLOOKUP(E4387,DATABASE!C:Q,8,false)</f>
        <v>IBU</v>
      </c>
      <c r="P4387" s="65">
        <f>VLOOKUP(E4387,DATABASE!C:Q,9,False)</f>
        <v>0</v>
      </c>
      <c r="Q4387" s="93" t="str">
        <f>VLOOKUP(E4387,DATABASE!C:Q,4,false)</f>
        <v>SPOORING</v>
      </c>
      <c r="R4387" s="93" t="str">
        <f>VLOOKUP(E4387,DATABASE!C:Q,11,false)</f>
        <v>SERVICE</v>
      </c>
    </row>
    <row r="4388" ht="22.5" customHeight="1">
      <c r="A4388" s="49"/>
      <c r="C4388" s="384">
        <v>45902.0</v>
      </c>
      <c r="D4388" s="65">
        <v>7018.0</v>
      </c>
      <c r="E4388" s="445" t="s">
        <v>301</v>
      </c>
      <c r="F4388" s="386">
        <v>1.0</v>
      </c>
      <c r="G4388" s="74">
        <v>250000.0</v>
      </c>
      <c r="H4388" s="74">
        <v>0.0</v>
      </c>
      <c r="I4388" s="74">
        <f t="shared" si="1"/>
        <v>250000</v>
      </c>
      <c r="J4388" s="74">
        <f>IF(E4388="SERVICE",I4388-(I4388*50%),Vlookup(E4388,DATABASE!C:Q,10,false)*F4388)</f>
        <v>75000</v>
      </c>
      <c r="K4388" s="74">
        <f>VLOOKUP(E4388,DATABASE!C:Q,7,false)</f>
        <v>75000</v>
      </c>
      <c r="L4388" s="74">
        <v>75000.0</v>
      </c>
      <c r="M4388" s="74">
        <f t="shared" si="2"/>
        <v>75000</v>
      </c>
      <c r="N4388" s="74">
        <f t="shared" si="3"/>
        <v>100000</v>
      </c>
      <c r="O4388" s="65" t="str">
        <f>VLOOKUP(E4388,DATABASE!C:Q,8,false)</f>
        <v>BIAN</v>
      </c>
      <c r="P4388" s="65">
        <f>VLOOKUP(E4388,DATABASE!C:Q,9,False)</f>
        <v>0</v>
      </c>
      <c r="Q4388" s="93" t="str">
        <f>VLOOKUP(E4388,DATABASE!C:Q,4,false)</f>
        <v>Baut Camber</v>
      </c>
      <c r="R4388" s="93" t="str">
        <f>VLOOKUP(E4388,DATABASE!C:Q,11,false)</f>
        <v>COMPLEMENTARY</v>
      </c>
    </row>
    <row r="4389" ht="22.5" customHeight="1">
      <c r="A4389" s="49"/>
      <c r="C4389" s="384">
        <v>45902.0</v>
      </c>
      <c r="D4389" s="65">
        <v>7019.0</v>
      </c>
      <c r="E4389" s="445" t="s">
        <v>275</v>
      </c>
      <c r="F4389" s="386">
        <v>2.0</v>
      </c>
      <c r="G4389" s="74">
        <v>850000.0</v>
      </c>
      <c r="H4389" s="74">
        <v>0.0</v>
      </c>
      <c r="I4389" s="74">
        <f t="shared" si="1"/>
        <v>1700000</v>
      </c>
      <c r="J4389" s="74">
        <f>IF(E4389="SERVICE",I4389-(I4389*50%),Vlookup(E4389,DATABASE!C:Q,10,false)*F4389)</f>
        <v>0</v>
      </c>
      <c r="K4389" s="74">
        <f>VLOOKUP(E4389,DATABASE!C:Q,7,false)</f>
        <v>782000</v>
      </c>
      <c r="L4389" s="74">
        <v>745000.0</v>
      </c>
      <c r="M4389" s="74">
        <f t="shared" si="2"/>
        <v>745000</v>
      </c>
      <c r="N4389" s="74">
        <f t="shared" si="3"/>
        <v>210000</v>
      </c>
      <c r="O4389" s="65" t="str">
        <f>VLOOKUP(E4389,DATABASE!C:Q,8,false)</f>
        <v>IBU</v>
      </c>
      <c r="P4389" s="65">
        <f>VLOOKUP(E4389,DATABASE!C:Q,9,False)</f>
        <v>1</v>
      </c>
      <c r="Q4389" s="93" t="str">
        <f>VLOOKUP(E4389,DATABASE!C:Q,4,false)</f>
        <v>Dunlop</v>
      </c>
      <c r="R4389" s="93" t="str">
        <f>VLOOKUP(E4389,DATABASE!C:Q,11,false)</f>
        <v>Tire</v>
      </c>
    </row>
    <row r="4390" ht="22.5" customHeight="1">
      <c r="A4390" s="49"/>
      <c r="C4390" s="384">
        <v>45902.0</v>
      </c>
      <c r="D4390" s="65">
        <v>7020.0</v>
      </c>
      <c r="E4390" s="385" t="s">
        <v>299</v>
      </c>
      <c r="F4390" s="386">
        <v>2.0</v>
      </c>
      <c r="G4390" s="74">
        <v>25000.0</v>
      </c>
      <c r="H4390" s="74">
        <v>0.0</v>
      </c>
      <c r="I4390" s="74">
        <f t="shared" si="1"/>
        <v>50000</v>
      </c>
      <c r="J4390" s="74">
        <f>IF(E4390="SERVICE",I4390-(I4390*50%),Vlookup(E4390,DATABASE!C:Q,10,false)*F4390)</f>
        <v>0</v>
      </c>
      <c r="K4390" s="74">
        <v>0.0</v>
      </c>
      <c r="L4390" s="74">
        <v>0.0</v>
      </c>
      <c r="M4390" s="74">
        <f t="shared" si="2"/>
        <v>0</v>
      </c>
      <c r="N4390" s="74">
        <f t="shared" si="3"/>
        <v>50000</v>
      </c>
      <c r="O4390" s="65" t="str">
        <f>VLOOKUP(E4390,DATABASE!C:Q,8,false)</f>
        <v>BIAN</v>
      </c>
      <c r="P4390" s="65">
        <f>VLOOKUP(E4390,DATABASE!C:Q,9,False)</f>
        <v>0</v>
      </c>
      <c r="Q4390" s="93" t="str">
        <f>VLOOKUP(E4390,DATABASE!C:Q,4,false)</f>
        <v>Balancing</v>
      </c>
      <c r="R4390" s="93" t="str">
        <f>VLOOKUP(E4390,DATABASE!C:Q,11,false)</f>
        <v>COMPLEMENTARY</v>
      </c>
    </row>
    <row r="4391" ht="22.5" customHeight="1">
      <c r="A4391" s="49"/>
      <c r="C4391" s="384">
        <v>45903.0</v>
      </c>
      <c r="D4391" s="65">
        <v>7023.0</v>
      </c>
      <c r="E4391" s="445" t="s">
        <v>268</v>
      </c>
      <c r="F4391" s="386">
        <v>1.0</v>
      </c>
      <c r="G4391" s="74">
        <v>720000.0</v>
      </c>
      <c r="H4391" s="74">
        <v>0.0</v>
      </c>
      <c r="I4391" s="74">
        <f t="shared" si="1"/>
        <v>720000</v>
      </c>
      <c r="J4391" s="74">
        <f>IF(E4391="SERVICE",I4391-(I4391*50%),Vlookup(E4391,DATABASE!C:Q,10,false)*F4391)</f>
        <v>0</v>
      </c>
      <c r="K4391" s="74">
        <f>VLOOKUP(E4391,DATABASE!C:Q,7,false)</f>
        <v>653000</v>
      </c>
      <c r="L4391" s="74">
        <v>622000.0</v>
      </c>
      <c r="M4391" s="74">
        <f t="shared" si="2"/>
        <v>625000</v>
      </c>
      <c r="N4391" s="74">
        <f t="shared" si="3"/>
        <v>95000</v>
      </c>
      <c r="O4391" s="65" t="str">
        <f>VLOOKUP(E4391,DATABASE!C:Q,8,false)</f>
        <v>IBU</v>
      </c>
      <c r="P4391" s="65">
        <f>VLOOKUP(E4391,DATABASE!C:Q,9,False)</f>
        <v>1</v>
      </c>
      <c r="Q4391" s="93" t="str">
        <f>VLOOKUP(E4391,DATABASE!C:Q,4,false)</f>
        <v>Dunlop</v>
      </c>
      <c r="R4391" s="93" t="str">
        <f>VLOOKUP(E4391,DATABASE!C:Q,11,false)</f>
        <v>Tire</v>
      </c>
    </row>
    <row r="4392" ht="22.5" customHeight="1">
      <c r="A4392" s="49"/>
      <c r="C4392" s="384">
        <v>45903.0</v>
      </c>
      <c r="D4392" s="65">
        <v>7024.0</v>
      </c>
      <c r="E4392" s="445" t="s">
        <v>290</v>
      </c>
      <c r="F4392" s="386">
        <v>1.0</v>
      </c>
      <c r="G4392" s="74">
        <v>720000.0</v>
      </c>
      <c r="H4392" s="74">
        <v>0.0</v>
      </c>
      <c r="I4392" s="74">
        <f t="shared" si="1"/>
        <v>720000</v>
      </c>
      <c r="J4392" s="74">
        <f>IF(E4392="SERVICE",I4392-(I4392*50%),Vlookup(E4392,DATABASE!C:Q,10,false)*F4392)</f>
        <v>0</v>
      </c>
      <c r="K4392" s="74">
        <f>VLOOKUP(E4392,DATABASE!C:Q,7,false)</f>
        <v>628100</v>
      </c>
      <c r="L4392" s="74">
        <v>609804.0</v>
      </c>
      <c r="M4392" s="74">
        <f t="shared" si="2"/>
        <v>610000</v>
      </c>
      <c r="N4392" s="74">
        <f t="shared" si="3"/>
        <v>110000</v>
      </c>
      <c r="O4392" s="65" t="str">
        <f>VLOOKUP(E4392,DATABASE!C:Q,8,false)</f>
        <v>BIAN</v>
      </c>
      <c r="P4392" s="65">
        <f>VLOOKUP(E4392,DATABASE!C:Q,9,False)</f>
        <v>1</v>
      </c>
      <c r="Q4392" s="93" t="str">
        <f>VLOOKUP(E4392,DATABASE!C:Q,4,false)</f>
        <v>GT</v>
      </c>
      <c r="R4392" s="93" t="str">
        <f>VLOOKUP(E4392,DATABASE!C:Q,11,false)</f>
        <v>Tire</v>
      </c>
    </row>
    <row r="4393" ht="22.5" customHeight="1">
      <c r="A4393" s="49"/>
      <c r="C4393" s="384">
        <v>45903.0</v>
      </c>
      <c r="D4393" s="65">
        <v>7025.0</v>
      </c>
      <c r="E4393" s="445" t="s">
        <v>262</v>
      </c>
      <c r="F4393" s="386">
        <v>1.0</v>
      </c>
      <c r="G4393" s="74">
        <v>100000.0</v>
      </c>
      <c r="H4393" s="74">
        <v>0.0</v>
      </c>
      <c r="I4393" s="74">
        <f t="shared" si="1"/>
        <v>100000</v>
      </c>
      <c r="J4393" s="74">
        <f>IF(E4393="SERVICE",I4393-(I4393*50%),Vlookup(E4393,DATABASE!C:Q,10,false)*F4393)</f>
        <v>5000</v>
      </c>
      <c r="K4393" s="74">
        <f>VLOOKUP(E4393,DATABASE!C:Q,7,false)</f>
        <v>0</v>
      </c>
      <c r="L4393" s="74">
        <v>0.0</v>
      </c>
      <c r="M4393" s="74">
        <f t="shared" si="2"/>
        <v>0</v>
      </c>
      <c r="N4393" s="74">
        <f t="shared" si="3"/>
        <v>95000</v>
      </c>
      <c r="O4393" s="65" t="str">
        <f>VLOOKUP(E4393,DATABASE!C:Q,8,false)</f>
        <v>IBU</v>
      </c>
      <c r="P4393" s="65">
        <f>VLOOKUP(E4393,DATABASE!C:Q,9,False)</f>
        <v>0</v>
      </c>
      <c r="Q4393" s="93" t="str">
        <f>VLOOKUP(E4393,DATABASE!C:Q,4,false)</f>
        <v>SPOORING SS/CARRY LOS BAK</v>
      </c>
      <c r="R4393" s="93" t="str">
        <f>VLOOKUP(E4393,DATABASE!C:Q,11,false)</f>
        <v>SERVICE</v>
      </c>
    </row>
    <row r="4394" ht="22.5" customHeight="1">
      <c r="A4394" s="49"/>
      <c r="C4394" s="384">
        <v>45903.0</v>
      </c>
      <c r="D4394" s="65">
        <v>7025.0</v>
      </c>
      <c r="E4394" s="445" t="s">
        <v>478</v>
      </c>
      <c r="F4394" s="386">
        <v>1.0</v>
      </c>
      <c r="G4394" s="74">
        <v>200000.0</v>
      </c>
      <c r="H4394" s="74">
        <v>0.0</v>
      </c>
      <c r="I4394" s="74">
        <f t="shared" si="1"/>
        <v>200000</v>
      </c>
      <c r="J4394" s="74">
        <f>IF(E4394="SERVICE",I4394-(I4394*50%),Vlookup(E4394,DATABASE!C:Q,10,false)*F4394)</f>
        <v>25000</v>
      </c>
      <c r="K4394" s="74">
        <f>VLOOKUP(E4394,DATABASE!C:Q,7,false)</f>
        <v>75000</v>
      </c>
      <c r="L4394" s="74">
        <v>75000.0</v>
      </c>
      <c r="M4394" s="74">
        <f t="shared" si="2"/>
        <v>75000</v>
      </c>
      <c r="N4394" s="74">
        <f t="shared" si="3"/>
        <v>100000</v>
      </c>
      <c r="O4394" s="65" t="str">
        <f>VLOOKUP(E4394,DATABASE!C:Q,8,false)</f>
        <v>BIAN</v>
      </c>
      <c r="P4394" s="65">
        <f>VLOOKUP(E4394,DATABASE!C:Q,9,False)</f>
        <v>0</v>
      </c>
      <c r="Q4394" s="93" t="str">
        <f>VLOOKUP(E4394,DATABASE!C:Q,4,false)</f>
        <v>Baut Camber ss-carry</v>
      </c>
      <c r="R4394" s="93" t="str">
        <f>VLOOKUP(E4394,DATABASE!C:Q,11,false)</f>
        <v>COMPLEMENTARY</v>
      </c>
    </row>
    <row r="4395" ht="22.5" customHeight="1">
      <c r="A4395" s="49"/>
      <c r="C4395" s="384">
        <v>45903.0</v>
      </c>
      <c r="D4395" s="65">
        <v>7026.0</v>
      </c>
      <c r="E4395" s="445" t="s">
        <v>276</v>
      </c>
      <c r="F4395" s="386">
        <v>2.0</v>
      </c>
      <c r="G4395" s="74">
        <v>720000.0</v>
      </c>
      <c r="H4395" s="74">
        <v>0.0</v>
      </c>
      <c r="I4395" s="74">
        <f t="shared" si="1"/>
        <v>1440000</v>
      </c>
      <c r="J4395" s="74">
        <f>IF(E4395="SERVICE",I4395-(I4395*50%),Vlookup(E4395,DATABASE!C:Q,10,false)*F4395)</f>
        <v>0</v>
      </c>
      <c r="K4395" s="74">
        <f>VLOOKUP(E4395,DATABASE!C:Q,7,false)</f>
        <v>620000</v>
      </c>
      <c r="L4395" s="74">
        <v>607000.0</v>
      </c>
      <c r="M4395" s="74">
        <f t="shared" si="2"/>
        <v>610000</v>
      </c>
      <c r="N4395" s="74">
        <f t="shared" si="3"/>
        <v>220000</v>
      </c>
      <c r="O4395" s="65" t="str">
        <f>VLOOKUP(E4395,DATABASE!C:Q,8,false)</f>
        <v>IBU</v>
      </c>
      <c r="P4395" s="65">
        <f>VLOOKUP(E4395,DATABASE!C:Q,9,False)</f>
        <v>1</v>
      </c>
      <c r="Q4395" s="93" t="str">
        <f>VLOOKUP(E4395,DATABASE!C:Q,4,false)</f>
        <v>Dunlop</v>
      </c>
      <c r="R4395" s="93" t="str">
        <f>VLOOKUP(E4395,DATABASE!C:Q,11,false)</f>
        <v>Tire</v>
      </c>
    </row>
    <row r="4396" ht="22.5" customHeight="1">
      <c r="A4396" s="49"/>
      <c r="C4396" s="384">
        <v>45903.0</v>
      </c>
      <c r="D4396" s="65">
        <v>7029.0</v>
      </c>
      <c r="E4396" s="445" t="s">
        <v>251</v>
      </c>
      <c r="F4396" s="386">
        <v>1.0</v>
      </c>
      <c r="G4396" s="74">
        <v>120000.0</v>
      </c>
      <c r="H4396" s="74">
        <v>0.0</v>
      </c>
      <c r="I4396" s="74">
        <f t="shared" si="1"/>
        <v>120000</v>
      </c>
      <c r="J4396" s="74">
        <f>IF(E4396="SERVICE",I4396-(I4396*50%),Vlookup(E4396,DATABASE!C:Q,10,false)*F4396)</f>
        <v>60000</v>
      </c>
      <c r="K4396" s="74">
        <f>VLOOKUP(E4396,DATABASE!C:Q,7,false)</f>
        <v>0</v>
      </c>
      <c r="L4396" s="74">
        <v>0.0</v>
      </c>
      <c r="M4396" s="74">
        <f t="shared" si="2"/>
        <v>0</v>
      </c>
      <c r="N4396" s="74">
        <f t="shared" si="3"/>
        <v>60000</v>
      </c>
      <c r="O4396" s="65" t="str">
        <f>VLOOKUP(E4396,DATABASE!C:Q,8,false)</f>
        <v>IBU</v>
      </c>
      <c r="P4396" s="65">
        <f>VLOOKUP(E4396,DATABASE!C:Q,9,False)</f>
        <v>0</v>
      </c>
      <c r="Q4396" s="93" t="str">
        <f>VLOOKUP(E4396,DATABASE!C:Q,4,false)</f>
        <v>SERVICE</v>
      </c>
      <c r="R4396" s="93" t="str">
        <f>VLOOKUP(E4396,DATABASE!C:Q,11,false)</f>
        <v>SERVICE</v>
      </c>
    </row>
    <row r="4397" ht="22.5" customHeight="1">
      <c r="A4397" s="49"/>
      <c r="C4397" s="384">
        <v>45903.0</v>
      </c>
      <c r="D4397" s="65">
        <v>7030.0</v>
      </c>
      <c r="E4397" s="445" t="s">
        <v>600</v>
      </c>
      <c r="F4397" s="386">
        <v>2.0</v>
      </c>
      <c r="G4397" s="74">
        <v>675000.0</v>
      </c>
      <c r="H4397" s="74">
        <v>0.0</v>
      </c>
      <c r="I4397" s="74">
        <f t="shared" si="1"/>
        <v>1350000</v>
      </c>
      <c r="J4397" s="74">
        <f>IF(E4397="SERVICE",I4397-(I4397*50%),Vlookup(E4397,DATABASE!C:Q,10,false)*F4397)</f>
        <v>0</v>
      </c>
      <c r="K4397" s="74">
        <f>VLOOKUP(E4397,DATABASE!C:Q,7,false)</f>
        <v>611109.16</v>
      </c>
      <c r="L4397" s="74">
        <v>572762.4</v>
      </c>
      <c r="M4397" s="74">
        <f t="shared" si="2"/>
        <v>575000</v>
      </c>
      <c r="N4397" s="74">
        <f t="shared" si="3"/>
        <v>200000</v>
      </c>
      <c r="O4397" s="65" t="str">
        <f>VLOOKUP(E4397,DATABASE!C:Q,8,false)</f>
        <v>IBU</v>
      </c>
      <c r="P4397" s="65">
        <f>VLOOKUP(E4397,DATABASE!C:Q,9,False)</f>
        <v>1</v>
      </c>
      <c r="Q4397" s="93" t="str">
        <f>VLOOKUP(E4397,DATABASE!C:Q,4,false)</f>
        <v>Bridgestone</v>
      </c>
      <c r="R4397" s="93" t="str">
        <f>VLOOKUP(E4397,DATABASE!C:Q,11,false)</f>
        <v>Tire</v>
      </c>
    </row>
    <row r="4398" ht="22.5" customHeight="1">
      <c r="A4398" s="49"/>
      <c r="C4398" s="384">
        <v>45904.0</v>
      </c>
      <c r="D4398" s="65">
        <v>7032.0</v>
      </c>
      <c r="E4398" s="445" t="s">
        <v>777</v>
      </c>
      <c r="F4398" s="386">
        <v>1.0</v>
      </c>
      <c r="G4398" s="74">
        <v>585000.0</v>
      </c>
      <c r="H4398" s="74">
        <v>0.0</v>
      </c>
      <c r="I4398" s="74">
        <f t="shared" si="1"/>
        <v>585000</v>
      </c>
      <c r="J4398" s="74">
        <f>IF(E4398="SERVICE",I4398-(I4398*50%),Vlookup(E4398,DATABASE!C:Q,10,false)*F4398)</f>
        <v>0</v>
      </c>
      <c r="K4398" s="74">
        <f>VLOOKUP(E4398,DATABASE!C:Q,7,false)</f>
        <v>540000</v>
      </c>
      <c r="L4398" s="74">
        <v>507000.0</v>
      </c>
      <c r="M4398" s="74">
        <f t="shared" si="2"/>
        <v>510000</v>
      </c>
      <c r="N4398" s="74">
        <f t="shared" si="3"/>
        <v>75000</v>
      </c>
      <c r="O4398" s="65" t="str">
        <f>VLOOKUP(E4398,DATABASE!C:Q,8,false)</f>
        <v>BIAN</v>
      </c>
      <c r="P4398" s="65">
        <f>VLOOKUP(E4398,DATABASE!C:Q,9,False)</f>
        <v>1</v>
      </c>
      <c r="Q4398" s="93" t="str">
        <f>VLOOKUP(E4398,DATABASE!C:Q,4,false)</f>
        <v>GT</v>
      </c>
      <c r="R4398" s="93" t="str">
        <f>VLOOKUP(E4398,DATABASE!C:Q,11,false)</f>
        <v>Tire</v>
      </c>
    </row>
    <row r="4399" ht="22.5" customHeight="1">
      <c r="A4399" s="49"/>
      <c r="C4399" s="384">
        <v>45904.0</v>
      </c>
      <c r="D4399" s="65">
        <v>7032.0</v>
      </c>
      <c r="E4399" s="445" t="s">
        <v>250</v>
      </c>
      <c r="F4399" s="386">
        <v>1.0</v>
      </c>
      <c r="G4399" s="74">
        <v>135000.0</v>
      </c>
      <c r="H4399" s="74">
        <v>0.0</v>
      </c>
      <c r="I4399" s="74">
        <f t="shared" si="1"/>
        <v>135000</v>
      </c>
      <c r="J4399" s="74">
        <f>IF(E4399="SERVICE",I4399-(I4399*50%),Vlookup(E4399,DATABASE!C:Q,10,false)*F4399)</f>
        <v>0</v>
      </c>
      <c r="K4399" s="74">
        <f>VLOOKUP(E4399,DATABASE!C:Q,7,false)</f>
        <v>102000</v>
      </c>
      <c r="L4399" s="74">
        <v>102000.0</v>
      </c>
      <c r="M4399" s="74">
        <f t="shared" si="2"/>
        <v>105000</v>
      </c>
      <c r="N4399" s="74">
        <f t="shared" si="3"/>
        <v>30000</v>
      </c>
      <c r="O4399" s="65" t="str">
        <f>VLOOKUP(E4399,DATABASE!C:Q,8,false)</f>
        <v>BIAN</v>
      </c>
      <c r="P4399" s="65">
        <f>VLOOKUP(E4399,DATABASE!C:Q,9,False)</f>
        <v>1</v>
      </c>
      <c r="Q4399" s="93" t="str">
        <f>VLOOKUP(E4399,DATABASE!C:Q,4,false)</f>
        <v>BD</v>
      </c>
      <c r="R4399" s="93" t="str">
        <f>VLOOKUP(E4399,DATABASE!C:Q,11,false)</f>
        <v>Tire</v>
      </c>
    </row>
    <row r="4400" ht="22.5" customHeight="1">
      <c r="A4400" s="49"/>
      <c r="C4400" s="384">
        <v>45904.0</v>
      </c>
      <c r="D4400" s="65">
        <v>7034.0</v>
      </c>
      <c r="E4400" s="445" t="s">
        <v>288</v>
      </c>
      <c r="F4400" s="386">
        <v>1.0</v>
      </c>
      <c r="G4400" s="74">
        <v>620000.0</v>
      </c>
      <c r="H4400" s="74">
        <v>0.0</v>
      </c>
      <c r="I4400" s="74">
        <f t="shared" si="1"/>
        <v>620000</v>
      </c>
      <c r="J4400" s="74">
        <f>IF(E4400="SERVICE",I4400-(I4400*50%),Vlookup(E4400,DATABASE!C:Q,10,false)*F4400)</f>
        <v>0</v>
      </c>
      <c r="K4400" s="74">
        <f>VLOOKUP(E4400,DATABASE!C:Q,7,false)</f>
        <v>565760</v>
      </c>
      <c r="L4400" s="74">
        <v>524800.0</v>
      </c>
      <c r="M4400" s="74">
        <f t="shared" si="2"/>
        <v>525000</v>
      </c>
      <c r="N4400" s="74">
        <f t="shared" si="3"/>
        <v>95000</v>
      </c>
      <c r="O4400" s="65" t="str">
        <f>VLOOKUP(E4400,DATABASE!C:Q,8,false)</f>
        <v>BIAN</v>
      </c>
      <c r="P4400" s="65">
        <f>VLOOKUP(E4400,DATABASE!C:Q,9,False)</f>
        <v>1</v>
      </c>
      <c r="Q4400" s="93" t="str">
        <f>VLOOKUP(E4400,DATABASE!C:Q,4,false)</f>
        <v>GT</v>
      </c>
      <c r="R4400" s="93" t="str">
        <f>VLOOKUP(E4400,DATABASE!C:Q,11,false)</f>
        <v>Tire</v>
      </c>
    </row>
    <row r="4401" ht="22.5" customHeight="1">
      <c r="A4401" s="49"/>
      <c r="C4401" s="384">
        <v>45904.0</v>
      </c>
      <c r="D4401" s="65">
        <v>7035.0</v>
      </c>
      <c r="E4401" s="445" t="s">
        <v>262</v>
      </c>
      <c r="F4401" s="386">
        <v>1.0</v>
      </c>
      <c r="G4401" s="74">
        <v>110000.0</v>
      </c>
      <c r="H4401" s="74">
        <v>0.0</v>
      </c>
      <c r="I4401" s="74">
        <f t="shared" si="1"/>
        <v>110000</v>
      </c>
      <c r="J4401" s="74">
        <f>IF(E4401="SERVICE",I4401-(I4401*50%),Vlookup(E4401,DATABASE!C:Q,10,false)*F4401)</f>
        <v>5000</v>
      </c>
      <c r="K4401" s="74">
        <f>VLOOKUP(E4401,DATABASE!C:Q,7,false)</f>
        <v>0</v>
      </c>
      <c r="L4401" s="74">
        <v>0.0</v>
      </c>
      <c r="M4401" s="74">
        <f t="shared" si="2"/>
        <v>0</v>
      </c>
      <c r="N4401" s="74">
        <f t="shared" si="3"/>
        <v>105000</v>
      </c>
      <c r="O4401" s="65" t="str">
        <f>VLOOKUP(E4401,DATABASE!C:Q,8,false)</f>
        <v>IBU</v>
      </c>
      <c r="P4401" s="65">
        <f>VLOOKUP(E4401,DATABASE!C:Q,9,False)</f>
        <v>0</v>
      </c>
      <c r="Q4401" s="93" t="str">
        <f>VLOOKUP(E4401,DATABASE!C:Q,4,false)</f>
        <v>SPOORING SS/CARRY LOS BAK</v>
      </c>
      <c r="R4401" s="93" t="str">
        <f>VLOOKUP(E4401,DATABASE!C:Q,11,false)</f>
        <v>SERVICE</v>
      </c>
    </row>
    <row r="4402" ht="22.5" customHeight="1">
      <c r="A4402" s="49"/>
      <c r="C4402" s="384">
        <v>45904.0</v>
      </c>
      <c r="D4402" s="65">
        <v>7035.0</v>
      </c>
      <c r="E4402" s="445" t="s">
        <v>251</v>
      </c>
      <c r="F4402" s="386">
        <v>1.0</v>
      </c>
      <c r="G4402" s="74">
        <v>150000.0</v>
      </c>
      <c r="H4402" s="74">
        <v>0.0</v>
      </c>
      <c r="I4402" s="74">
        <f t="shared" si="1"/>
        <v>150000</v>
      </c>
      <c r="J4402" s="74">
        <f>IF(E4402="SERVICE",I4402-(I4402*50%),Vlookup(E4402,DATABASE!C:Q,10,false)*F4402)</f>
        <v>75000</v>
      </c>
      <c r="K4402" s="74">
        <f>VLOOKUP(E4402,DATABASE!C:Q,7,false)</f>
        <v>0</v>
      </c>
      <c r="L4402" s="74">
        <v>0.0</v>
      </c>
      <c r="M4402" s="74">
        <f t="shared" si="2"/>
        <v>0</v>
      </c>
      <c r="N4402" s="74">
        <f t="shared" si="3"/>
        <v>75000</v>
      </c>
      <c r="O4402" s="65" t="str">
        <f>VLOOKUP(E4402,DATABASE!C:Q,8,false)</f>
        <v>IBU</v>
      </c>
      <c r="P4402" s="65">
        <f>VLOOKUP(E4402,DATABASE!C:Q,9,False)</f>
        <v>0</v>
      </c>
      <c r="Q4402" s="93" t="str">
        <f>VLOOKUP(E4402,DATABASE!C:Q,4,false)</f>
        <v>SERVICE</v>
      </c>
      <c r="R4402" s="93" t="str">
        <f>VLOOKUP(E4402,DATABASE!C:Q,11,false)</f>
        <v>SERVICE</v>
      </c>
    </row>
    <row r="4403" ht="22.5" customHeight="1">
      <c r="A4403" s="49"/>
      <c r="C4403" s="384">
        <v>45904.0</v>
      </c>
      <c r="D4403" s="65">
        <v>7036.0</v>
      </c>
      <c r="E4403" s="445" t="s">
        <v>261</v>
      </c>
      <c r="F4403" s="386">
        <v>2.0</v>
      </c>
      <c r="G4403" s="74">
        <v>500000.0</v>
      </c>
      <c r="H4403" s="74">
        <v>0.0</v>
      </c>
      <c r="I4403" s="74">
        <f t="shared" si="1"/>
        <v>1000000</v>
      </c>
      <c r="J4403" s="74">
        <f>IF(E4403="SERVICE",I4403-(I4403*50%),Vlookup(E4403,DATABASE!C:Q,10,false)*F4403)</f>
        <v>0</v>
      </c>
      <c r="K4403" s="74">
        <f>VLOOKUP(E4403,DATABASE!C:Q,7,false)</f>
        <v>415000</v>
      </c>
      <c r="L4403" s="74">
        <v>415000.0</v>
      </c>
      <c r="M4403" s="74">
        <f t="shared" si="2"/>
        <v>415000</v>
      </c>
      <c r="N4403" s="74">
        <f t="shared" si="3"/>
        <v>170000</v>
      </c>
      <c r="O4403" s="65" t="str">
        <f>VLOOKUP(E4403,DATABASE!C:Q,8,false)</f>
        <v>IBU</v>
      </c>
      <c r="P4403" s="65">
        <f>VLOOKUP(E4403,DATABASE!C:Q,9,False)</f>
        <v>1</v>
      </c>
      <c r="Q4403" s="93" t="str">
        <f>VLOOKUP(E4403,DATABASE!C:Q,4,false)</f>
        <v>Dunlop</v>
      </c>
      <c r="R4403" s="93" t="str">
        <f>VLOOKUP(E4403,DATABASE!C:Q,11,false)</f>
        <v>Tire</v>
      </c>
    </row>
    <row r="4404" ht="22.5" customHeight="1">
      <c r="A4404" s="49"/>
      <c r="C4404" s="384">
        <v>45904.0</v>
      </c>
      <c r="D4404" s="65">
        <v>7037.0</v>
      </c>
      <c r="E4404" s="445" t="s">
        <v>897</v>
      </c>
      <c r="F4404" s="386">
        <v>2.0</v>
      </c>
      <c r="G4404" s="74">
        <v>1600000.0</v>
      </c>
      <c r="H4404" s="74">
        <v>0.0</v>
      </c>
      <c r="I4404" s="74">
        <f t="shared" si="1"/>
        <v>3200000</v>
      </c>
      <c r="J4404" s="74">
        <f>IF(E4404="SERVICE",I4404-(I4404*50%),Vlookup(E4404,DATABASE!C:Q,10,false)*F4404)</f>
        <v>0</v>
      </c>
      <c r="K4404" s="74">
        <f>VLOOKUP(E4404,DATABASE!C:Q,7,false)</f>
        <v>1560000</v>
      </c>
      <c r="L4404" s="74">
        <v>1500000.0</v>
      </c>
      <c r="M4404" s="74">
        <f t="shared" si="2"/>
        <v>1500000</v>
      </c>
      <c r="N4404" s="74">
        <f t="shared" si="3"/>
        <v>200000</v>
      </c>
      <c r="O4404" s="65" t="str">
        <f>VLOOKUP(E4404,DATABASE!C:Q,8,false)</f>
        <v>BIAN</v>
      </c>
      <c r="P4404" s="65">
        <f>VLOOKUP(E4404,DATABASE!C:Q,9,False)</f>
        <v>1</v>
      </c>
      <c r="Q4404" s="93" t="str">
        <f>VLOOKUP(E4404,DATABASE!C:Q,4,false)</f>
        <v>GT</v>
      </c>
      <c r="R4404" s="93" t="str">
        <f>VLOOKUP(E4404,DATABASE!C:Q,11,false)</f>
        <v>Tire</v>
      </c>
    </row>
    <row r="4405" ht="22.5" customHeight="1">
      <c r="A4405" s="49"/>
      <c r="C4405" s="384">
        <v>45904.0</v>
      </c>
      <c r="D4405" s="65">
        <v>7037.0</v>
      </c>
      <c r="E4405" s="445" t="s">
        <v>744</v>
      </c>
      <c r="F4405" s="386">
        <v>2.0</v>
      </c>
      <c r="G4405" s="74">
        <v>230000.0</v>
      </c>
      <c r="H4405" s="74">
        <v>0.0</v>
      </c>
      <c r="I4405" s="74">
        <f t="shared" si="1"/>
        <v>460000</v>
      </c>
      <c r="J4405" s="74">
        <f>IF(E4405="SERVICE",I4405-(I4405*50%),Vlookup(E4405,DATABASE!C:Q,10,false)*F4405)</f>
        <v>0</v>
      </c>
      <c r="K4405" s="74">
        <f>VLOOKUP(E4405,DATABASE!C:Q,7,false)</f>
        <v>182200</v>
      </c>
      <c r="L4405" s="74">
        <v>199920.0</v>
      </c>
      <c r="M4405" s="74">
        <f t="shared" si="2"/>
        <v>200000</v>
      </c>
      <c r="N4405" s="74">
        <f t="shared" si="3"/>
        <v>60000</v>
      </c>
      <c r="O4405" s="65" t="str">
        <f>VLOOKUP(E4405,DATABASE!C:Q,8,false)</f>
        <v>BIAN</v>
      </c>
      <c r="P4405" s="65">
        <f>VLOOKUP(E4405,DATABASE!C:Q,9,False)</f>
        <v>1</v>
      </c>
      <c r="Q4405" s="93" t="str">
        <f>VLOOKUP(E4405,DATABASE!C:Q,4,false)</f>
        <v>BD</v>
      </c>
      <c r="R4405" s="93" t="str">
        <f>VLOOKUP(E4405,DATABASE!C:Q,11,false)</f>
        <v>Tire</v>
      </c>
    </row>
    <row r="4406" ht="22.5" customHeight="1">
      <c r="A4406" s="49"/>
      <c r="C4406" s="384">
        <v>45904.0</v>
      </c>
      <c r="D4406" s="65">
        <v>7037.0</v>
      </c>
      <c r="E4406" s="445" t="s">
        <v>821</v>
      </c>
      <c r="F4406" s="386">
        <v>2.0</v>
      </c>
      <c r="G4406" s="74">
        <v>85000.0</v>
      </c>
      <c r="H4406" s="74">
        <v>0.0</v>
      </c>
      <c r="I4406" s="74">
        <f t="shared" si="1"/>
        <v>170000</v>
      </c>
      <c r="J4406" s="74">
        <f>IF(E4406="SERVICE",I4406-(I4406*50%),Vlookup(E4406,DATABASE!C:Q,10,false)*F4406)</f>
        <v>0</v>
      </c>
      <c r="K4406" s="74">
        <f>VLOOKUP(E4406,DATABASE!C:Q,7,false)</f>
        <v>43500</v>
      </c>
      <c r="L4406" s="74">
        <v>43520.0</v>
      </c>
      <c r="M4406" s="74">
        <f t="shared" si="2"/>
        <v>45000</v>
      </c>
      <c r="N4406" s="74">
        <f t="shared" si="3"/>
        <v>80000</v>
      </c>
      <c r="O4406" s="65" t="str">
        <f>VLOOKUP(E4406,DATABASE!C:Q,8,false)</f>
        <v>BIAN</v>
      </c>
      <c r="P4406" s="65">
        <f>VLOOKUP(E4406,DATABASE!C:Q,9,False)</f>
        <v>1</v>
      </c>
      <c r="Q4406" s="93" t="str">
        <f>VLOOKUP(E4406,DATABASE!C:Q,4,false)</f>
        <v>Flap</v>
      </c>
      <c r="R4406" s="93" t="str">
        <f>VLOOKUP(E4406,DATABASE!C:Q,11,false)</f>
        <v>Tire</v>
      </c>
    </row>
    <row r="4407" ht="22.5" customHeight="1">
      <c r="A4407" s="49"/>
      <c r="C4407" s="384">
        <v>45904.0</v>
      </c>
      <c r="D4407" s="65">
        <v>7037.0</v>
      </c>
      <c r="E4407" s="445" t="s">
        <v>294</v>
      </c>
      <c r="F4407" s="386">
        <v>1.0</v>
      </c>
      <c r="G4407" s="74">
        <v>570000.0</v>
      </c>
      <c r="H4407" s="74">
        <v>0.0</v>
      </c>
      <c r="I4407" s="74">
        <f t="shared" si="1"/>
        <v>570000</v>
      </c>
      <c r="J4407" s="74">
        <f>IF(E4407="SERVICE",I4407-(I4407*50%),Vlookup(E4407,DATABASE!C:Q,10,false)*F4407)</f>
        <v>0</v>
      </c>
      <c r="K4407" s="74">
        <f>VLOOKUP(E4407,DATABASE!C:Q,7,false)</f>
        <v>505000</v>
      </c>
      <c r="L4407" s="74">
        <v>490000.0</v>
      </c>
      <c r="M4407" s="74">
        <f t="shared" si="2"/>
        <v>490000</v>
      </c>
      <c r="N4407" s="74">
        <f t="shared" si="3"/>
        <v>80000</v>
      </c>
      <c r="O4407" s="65" t="str">
        <f>VLOOKUP(E4407,DATABASE!C:Q,8,false)</f>
        <v>BIAN</v>
      </c>
      <c r="P4407" s="65">
        <f>VLOOKUP(E4407,DATABASE!C:Q,9,False)</f>
        <v>1</v>
      </c>
      <c r="Q4407" s="93" t="str">
        <f>VLOOKUP(E4407,DATABASE!C:Q,4,false)</f>
        <v>GT</v>
      </c>
      <c r="R4407" s="93" t="str">
        <f>VLOOKUP(E4407,DATABASE!C:Q,11,false)</f>
        <v>Tire</v>
      </c>
    </row>
    <row r="4408" ht="22.5" customHeight="1">
      <c r="A4408" s="49"/>
      <c r="C4408" s="384">
        <v>45904.0</v>
      </c>
      <c r="D4408" s="65">
        <v>7037.0</v>
      </c>
      <c r="E4408" s="445" t="s">
        <v>569</v>
      </c>
      <c r="F4408" s="386">
        <v>1.0</v>
      </c>
      <c r="G4408" s="74">
        <v>80000.0</v>
      </c>
      <c r="H4408" s="74">
        <v>0.0</v>
      </c>
      <c r="I4408" s="74">
        <f t="shared" si="1"/>
        <v>80000</v>
      </c>
      <c r="J4408" s="74">
        <f>IF(E4408="SERVICE",I4408-(I4408*50%),Vlookup(E4408,DATABASE!C:Q,10,false)*F4408)</f>
        <v>0</v>
      </c>
      <c r="K4408" s="74">
        <f>VLOOKUP(E4408,DATABASE!C:Q,7,false)</f>
        <v>45439.582</v>
      </c>
      <c r="L4408" s="74">
        <v>45309.6</v>
      </c>
      <c r="M4408" s="74">
        <f t="shared" si="2"/>
        <v>50000</v>
      </c>
      <c r="N4408" s="74">
        <f t="shared" si="3"/>
        <v>30000</v>
      </c>
      <c r="O4408" s="65" t="str">
        <f>VLOOKUP(E4408,DATABASE!C:Q,8,false)</f>
        <v>BIAN</v>
      </c>
      <c r="P4408" s="65">
        <f>VLOOKUP(E4408,DATABASE!C:Q,9,False)</f>
        <v>1</v>
      </c>
      <c r="Q4408" s="93" t="str">
        <f>VLOOKUP(E4408,DATABASE!C:Q,4,false)</f>
        <v>BD</v>
      </c>
      <c r="R4408" s="93" t="str">
        <f>VLOOKUP(E4408,DATABASE!C:Q,11,false)</f>
        <v>Tire</v>
      </c>
    </row>
    <row r="4409" ht="22.5" customHeight="1">
      <c r="A4409" s="49"/>
      <c r="C4409" s="384">
        <v>45904.0</v>
      </c>
      <c r="D4409" s="65">
        <v>7040.0</v>
      </c>
      <c r="E4409" s="445" t="s">
        <v>256</v>
      </c>
      <c r="F4409" s="386">
        <v>1.0</v>
      </c>
      <c r="G4409" s="74">
        <v>130000.0</v>
      </c>
      <c r="H4409" s="74">
        <v>0.0</v>
      </c>
      <c r="I4409" s="74">
        <f t="shared" si="1"/>
        <v>130000</v>
      </c>
      <c r="J4409" s="74">
        <f>IF(E4409="SERVICE",I4409-(I4409*50%),Vlookup(E4409,DATABASE!C:Q,10,false)*F4409)</f>
        <v>10000</v>
      </c>
      <c r="K4409" s="74">
        <f>VLOOKUP(E4409,DATABASE!C:Q,7,false)</f>
        <v>0</v>
      </c>
      <c r="L4409" s="74">
        <v>0.0</v>
      </c>
      <c r="M4409" s="74">
        <f t="shared" si="2"/>
        <v>0</v>
      </c>
      <c r="N4409" s="74">
        <f t="shared" si="3"/>
        <v>120000</v>
      </c>
      <c r="O4409" s="65" t="str">
        <f>VLOOKUP(E4409,DATABASE!C:Q,8,false)</f>
        <v>IBU</v>
      </c>
      <c r="P4409" s="65">
        <f>VLOOKUP(E4409,DATABASE!C:Q,9,False)</f>
        <v>0</v>
      </c>
      <c r="Q4409" s="93" t="str">
        <f>VLOOKUP(E4409,DATABASE!C:Q,4,false)</f>
        <v>SPOORING</v>
      </c>
      <c r="R4409" s="93" t="str">
        <f>VLOOKUP(E4409,DATABASE!C:Q,11,false)</f>
        <v>SERVICE</v>
      </c>
    </row>
    <row r="4410" ht="22.5" customHeight="1">
      <c r="A4410" s="49"/>
      <c r="C4410" s="384">
        <v>45904.0</v>
      </c>
      <c r="D4410" s="65">
        <v>7041.0</v>
      </c>
      <c r="E4410" s="445" t="s">
        <v>1430</v>
      </c>
      <c r="F4410" s="386">
        <v>1.0</v>
      </c>
      <c r="G4410" s="74">
        <v>760000.0</v>
      </c>
      <c r="H4410" s="74">
        <v>0.0</v>
      </c>
      <c r="I4410" s="74">
        <f t="shared" si="1"/>
        <v>760000</v>
      </c>
      <c r="J4410" s="74">
        <f>IF(E4410="SERVICE",I4410-(I4410*50%),Vlookup(E4410,DATABASE!C:Q,10,false)*F4410)</f>
        <v>0</v>
      </c>
      <c r="K4410" s="74">
        <f>VLOOKUP(E4410,DATABASE!C:Q,7,false)</f>
        <v>672800</v>
      </c>
      <c r="L4410" s="74">
        <v>659610.0</v>
      </c>
      <c r="M4410" s="74">
        <f t="shared" si="2"/>
        <v>660000</v>
      </c>
      <c r="N4410" s="74">
        <f t="shared" si="3"/>
        <v>100000</v>
      </c>
      <c r="O4410" s="65" t="str">
        <f>VLOOKUP(E4410,DATABASE!C:Q,8,false)</f>
        <v>BIAN</v>
      </c>
      <c r="P4410" s="65">
        <f>VLOOKUP(E4410,DATABASE!C:Q,9,False)</f>
        <v>1</v>
      </c>
      <c r="Q4410" s="93" t="str">
        <f>VLOOKUP(E4410,DATABASE!C:Q,4,false)</f>
        <v>GT</v>
      </c>
      <c r="R4410" s="93" t="str">
        <f>VLOOKUP(E4410,DATABASE!C:Q,11,false)</f>
        <v>Tire</v>
      </c>
    </row>
    <row r="4411" ht="22.5" customHeight="1">
      <c r="A4411" s="49"/>
      <c r="C4411" s="384">
        <v>45904.0</v>
      </c>
      <c r="D4411" s="65">
        <v>7042.0</v>
      </c>
      <c r="E4411" s="445" t="s">
        <v>781</v>
      </c>
      <c r="F4411" s="386">
        <v>2.0</v>
      </c>
      <c r="G4411" s="74">
        <v>520000.0</v>
      </c>
      <c r="H4411" s="74">
        <v>0.0</v>
      </c>
      <c r="I4411" s="74">
        <f t="shared" si="1"/>
        <v>1040000</v>
      </c>
      <c r="J4411" s="74">
        <f>IF(E4411="SERVICE",I4411-(I4411*50%),Vlookup(E4411,DATABASE!C:Q,10,false)*F4411)</f>
        <v>0</v>
      </c>
      <c r="K4411" s="74">
        <f>VLOOKUP(E4411,DATABASE!C:Q,7,false)</f>
        <v>470000</v>
      </c>
      <c r="L4411" s="74">
        <v>442500.0</v>
      </c>
      <c r="M4411" s="74">
        <f t="shared" si="2"/>
        <v>445000</v>
      </c>
      <c r="N4411" s="74">
        <f t="shared" si="3"/>
        <v>150000</v>
      </c>
      <c r="O4411" s="65" t="str">
        <f>VLOOKUP(E4411,DATABASE!C:Q,8,false)</f>
        <v>BIAN</v>
      </c>
      <c r="P4411" s="65">
        <f>VLOOKUP(E4411,DATABASE!C:Q,9,False)</f>
        <v>1</v>
      </c>
      <c r="Q4411" s="93" t="str">
        <f>VLOOKUP(E4411,DATABASE!C:Q,4,false)</f>
        <v>GT</v>
      </c>
      <c r="R4411" s="93" t="str">
        <f>VLOOKUP(E4411,DATABASE!C:Q,11,false)</f>
        <v>Tire</v>
      </c>
    </row>
    <row r="4412" ht="22.5" customHeight="1">
      <c r="A4412" s="49"/>
      <c r="C4412" s="384">
        <v>45904.0</v>
      </c>
      <c r="D4412" s="65">
        <v>7043.0</v>
      </c>
      <c r="E4412" s="445" t="s">
        <v>1196</v>
      </c>
      <c r="F4412" s="386">
        <v>2.0</v>
      </c>
      <c r="G4412" s="74">
        <v>1050000.0</v>
      </c>
      <c r="H4412" s="74">
        <v>0.0</v>
      </c>
      <c r="I4412" s="74">
        <f t="shared" si="1"/>
        <v>2100000</v>
      </c>
      <c r="J4412" s="74">
        <f>IF(E4412="SERVICE",I4412-(I4412*50%),Vlookup(E4412,DATABASE!C:Q,10,false)*F4412)</f>
        <v>0</v>
      </c>
      <c r="K4412" s="74">
        <f>VLOOKUP(E4412,DATABASE!C:Q,7,false)</f>
        <v>943430.5</v>
      </c>
      <c r="L4412" s="74">
        <v>945190.375</v>
      </c>
      <c r="M4412" s="74">
        <f t="shared" si="2"/>
        <v>950000</v>
      </c>
      <c r="N4412" s="74">
        <f t="shared" si="3"/>
        <v>200000</v>
      </c>
      <c r="O4412" s="65" t="str">
        <f>VLOOKUP(E4412,DATABASE!C:Q,8,false)</f>
        <v>IBU</v>
      </c>
      <c r="P4412" s="65">
        <f>VLOOKUP(E4412,DATABASE!C:Q,9,False)</f>
        <v>1</v>
      </c>
      <c r="Q4412" s="93" t="str">
        <f>VLOOKUP(E4412,DATABASE!C:Q,4,false)</f>
        <v>Bridgestone</v>
      </c>
      <c r="R4412" s="93" t="str">
        <f>VLOOKUP(E4412,DATABASE!C:Q,11,false)</f>
        <v>Tire</v>
      </c>
    </row>
    <row r="4413" ht="22.5" customHeight="1">
      <c r="A4413" s="49"/>
      <c r="C4413" s="384">
        <v>45904.0</v>
      </c>
      <c r="D4413" s="65">
        <v>7044.0</v>
      </c>
      <c r="E4413" s="445" t="s">
        <v>271</v>
      </c>
      <c r="F4413" s="386">
        <v>1.0</v>
      </c>
      <c r="G4413" s="74">
        <v>640000.0</v>
      </c>
      <c r="H4413" s="74">
        <v>0.0</v>
      </c>
      <c r="I4413" s="74">
        <f t="shared" si="1"/>
        <v>640000</v>
      </c>
      <c r="J4413" s="74">
        <f>IF(E4413="SERVICE",I4413-(I4413*50%),Vlookup(E4413,DATABASE!C:Q,10,false)*F4413)</f>
        <v>0</v>
      </c>
      <c r="K4413" s="74">
        <f>VLOOKUP(E4413,DATABASE!C:Q,7,false)</f>
        <v>570000</v>
      </c>
      <c r="L4413" s="74">
        <v>539000.0</v>
      </c>
      <c r="M4413" s="74">
        <f t="shared" si="2"/>
        <v>540000</v>
      </c>
      <c r="N4413" s="74">
        <f t="shared" si="3"/>
        <v>100000</v>
      </c>
      <c r="O4413" s="65" t="str">
        <f>VLOOKUP(E4413,DATABASE!C:Q,8,false)</f>
        <v>IBU</v>
      </c>
      <c r="P4413" s="65">
        <f>VLOOKUP(E4413,DATABASE!C:Q,9,False)</f>
        <v>1</v>
      </c>
      <c r="Q4413" s="93" t="str">
        <f>VLOOKUP(E4413,DATABASE!C:Q,4,false)</f>
        <v>Dunlop</v>
      </c>
      <c r="R4413" s="93" t="str">
        <f>VLOOKUP(E4413,DATABASE!C:Q,11,false)</f>
        <v>Tire</v>
      </c>
    </row>
    <row r="4414" ht="22.5" customHeight="1">
      <c r="A4414" s="49"/>
      <c r="C4414" s="384">
        <v>45904.0</v>
      </c>
      <c r="D4414" s="65">
        <v>7045.0</v>
      </c>
      <c r="E4414" s="445" t="s">
        <v>256</v>
      </c>
      <c r="F4414" s="386">
        <v>1.0</v>
      </c>
      <c r="G4414" s="74">
        <v>130000.0</v>
      </c>
      <c r="H4414" s="74">
        <v>0.0</v>
      </c>
      <c r="I4414" s="74">
        <f t="shared" si="1"/>
        <v>130000</v>
      </c>
      <c r="J4414" s="74">
        <f>IF(E4414="SERVICE",I4414-(I4414*50%),Vlookup(E4414,DATABASE!C:Q,10,false)*F4414)</f>
        <v>10000</v>
      </c>
      <c r="K4414" s="74">
        <f>VLOOKUP(E4414,DATABASE!C:Q,7,false)</f>
        <v>0</v>
      </c>
      <c r="L4414" s="74">
        <v>0.0</v>
      </c>
      <c r="M4414" s="74">
        <f t="shared" si="2"/>
        <v>0</v>
      </c>
      <c r="N4414" s="74">
        <f t="shared" si="3"/>
        <v>120000</v>
      </c>
      <c r="O4414" s="65" t="str">
        <f>VLOOKUP(E4414,DATABASE!C:Q,8,false)</f>
        <v>IBU</v>
      </c>
      <c r="P4414" s="65">
        <f>VLOOKUP(E4414,DATABASE!C:Q,9,False)</f>
        <v>0</v>
      </c>
      <c r="Q4414" s="93" t="str">
        <f>VLOOKUP(E4414,DATABASE!C:Q,4,false)</f>
        <v>SPOORING</v>
      </c>
      <c r="R4414" s="93" t="str">
        <f>VLOOKUP(E4414,DATABASE!C:Q,11,false)</f>
        <v>SERVICE</v>
      </c>
    </row>
    <row r="4415" ht="22.5" customHeight="1">
      <c r="A4415" s="49"/>
      <c r="C4415" s="384">
        <v>45904.0</v>
      </c>
      <c r="D4415" s="65">
        <v>7045.0</v>
      </c>
      <c r="E4415" s="445" t="s">
        <v>251</v>
      </c>
      <c r="F4415" s="386">
        <v>1.0</v>
      </c>
      <c r="G4415" s="74">
        <v>150000.0</v>
      </c>
      <c r="H4415" s="74">
        <v>0.0</v>
      </c>
      <c r="I4415" s="74">
        <f t="shared" si="1"/>
        <v>150000</v>
      </c>
      <c r="J4415" s="74">
        <f>IF(E4415="SERVICE",I4415-(I4415*50%),Vlookup(E4415,DATABASE!C:Q,10,false)*F4415)</f>
        <v>75000</v>
      </c>
      <c r="K4415" s="74">
        <f>VLOOKUP(E4415,DATABASE!C:Q,7,false)</f>
        <v>0</v>
      </c>
      <c r="L4415" s="74">
        <v>0.0</v>
      </c>
      <c r="M4415" s="74">
        <f t="shared" si="2"/>
        <v>0</v>
      </c>
      <c r="N4415" s="74">
        <f t="shared" si="3"/>
        <v>75000</v>
      </c>
      <c r="O4415" s="65" t="str">
        <f>VLOOKUP(E4415,DATABASE!C:Q,8,false)</f>
        <v>IBU</v>
      </c>
      <c r="P4415" s="65">
        <f>VLOOKUP(E4415,DATABASE!C:Q,9,False)</f>
        <v>0</v>
      </c>
      <c r="Q4415" s="93" t="str">
        <f>VLOOKUP(E4415,DATABASE!C:Q,4,false)</f>
        <v>SERVICE</v>
      </c>
      <c r="R4415" s="93" t="str">
        <f>VLOOKUP(E4415,DATABASE!C:Q,11,false)</f>
        <v>SERVICE</v>
      </c>
    </row>
    <row r="4416" ht="22.5" customHeight="1">
      <c r="A4416" s="49"/>
      <c r="C4416" s="384">
        <v>45904.0</v>
      </c>
      <c r="D4416" s="65">
        <v>7046.0</v>
      </c>
      <c r="E4416" s="445" t="s">
        <v>1867</v>
      </c>
      <c r="F4416" s="386">
        <v>2.0</v>
      </c>
      <c r="G4416" s="74">
        <v>650000.0</v>
      </c>
      <c r="H4416" s="74">
        <v>0.0</v>
      </c>
      <c r="I4416" s="74">
        <f t="shared" si="1"/>
        <v>1300000</v>
      </c>
      <c r="J4416" s="74">
        <f>IF(E4416="SERVICE",I4416-(I4416*50%),Vlookup(E4416,DATABASE!C:Q,10,false)*F4416)</f>
        <v>0</v>
      </c>
      <c r="K4416" s="74">
        <f>VLOOKUP(E4416,DATABASE!C:Q,7,false)</f>
        <v>575200</v>
      </c>
      <c r="L4416" s="74">
        <v>558200.0</v>
      </c>
      <c r="M4416" s="74">
        <f t="shared" si="2"/>
        <v>560000</v>
      </c>
      <c r="N4416" s="74">
        <f t="shared" si="3"/>
        <v>180000</v>
      </c>
      <c r="O4416" s="65" t="str">
        <f>VLOOKUP(E4416,DATABASE!C:Q,8,false)</f>
        <v>BIAN</v>
      </c>
      <c r="P4416" s="65">
        <f>VLOOKUP(E4416,DATABASE!C:Q,9,False)</f>
        <v>1</v>
      </c>
      <c r="Q4416" s="93" t="str">
        <f>VLOOKUP(E4416,DATABASE!C:Q,4,false)</f>
        <v>GT</v>
      </c>
      <c r="R4416" s="93" t="str">
        <f>VLOOKUP(E4416,DATABASE!C:Q,11,false)</f>
        <v>Tire</v>
      </c>
    </row>
    <row r="4417" ht="22.5" customHeight="1">
      <c r="A4417" s="49"/>
      <c r="C4417" s="384">
        <v>45905.0</v>
      </c>
      <c r="D4417" s="65">
        <v>7047.0</v>
      </c>
      <c r="E4417" s="445" t="s">
        <v>600</v>
      </c>
      <c r="F4417" s="386">
        <v>2.0</v>
      </c>
      <c r="G4417" s="74">
        <v>675000.0</v>
      </c>
      <c r="H4417" s="74">
        <v>0.0</v>
      </c>
      <c r="I4417" s="74">
        <f t="shared" si="1"/>
        <v>1350000</v>
      </c>
      <c r="J4417" s="74">
        <f>IF(E4417="SERVICE",I4417-(I4417*50%),Vlookup(E4417,DATABASE!C:Q,10,false)*F4417)</f>
        <v>0</v>
      </c>
      <c r="K4417" s="74">
        <f>VLOOKUP(E4417,DATABASE!C:Q,7,false)</f>
        <v>611109.16</v>
      </c>
      <c r="L4417" s="74">
        <v>572762.4</v>
      </c>
      <c r="M4417" s="74">
        <f t="shared" si="2"/>
        <v>575000</v>
      </c>
      <c r="N4417" s="74">
        <f t="shared" si="3"/>
        <v>200000</v>
      </c>
      <c r="O4417" s="65" t="str">
        <f>VLOOKUP(E4417,DATABASE!C:Q,8,false)</f>
        <v>IBU</v>
      </c>
      <c r="P4417" s="65">
        <f>VLOOKUP(E4417,DATABASE!C:Q,9,False)</f>
        <v>1</v>
      </c>
      <c r="Q4417" s="93" t="str">
        <f>VLOOKUP(E4417,DATABASE!C:Q,4,false)</f>
        <v>Bridgestone</v>
      </c>
      <c r="R4417" s="93" t="str">
        <f>VLOOKUP(E4417,DATABASE!C:Q,11,false)</f>
        <v>Tire</v>
      </c>
    </row>
    <row r="4418" ht="22.5" customHeight="1">
      <c r="A4418" s="49"/>
      <c r="C4418" s="384">
        <v>45905.0</v>
      </c>
      <c r="D4418" s="65">
        <v>7048.0</v>
      </c>
      <c r="E4418" s="445" t="s">
        <v>268</v>
      </c>
      <c r="F4418" s="386">
        <v>1.0</v>
      </c>
      <c r="G4418" s="74">
        <v>720000.0</v>
      </c>
      <c r="H4418" s="74">
        <v>0.0</v>
      </c>
      <c r="I4418" s="74">
        <f t="shared" si="1"/>
        <v>720000</v>
      </c>
      <c r="J4418" s="74">
        <f>IF(E4418="SERVICE",I4418-(I4418*50%),Vlookup(E4418,DATABASE!C:Q,10,false)*F4418)</f>
        <v>0</v>
      </c>
      <c r="K4418" s="74">
        <f>VLOOKUP(E4418,DATABASE!C:Q,7,false)</f>
        <v>653000</v>
      </c>
      <c r="L4418" s="74">
        <v>622000.0</v>
      </c>
      <c r="M4418" s="74">
        <f t="shared" si="2"/>
        <v>625000</v>
      </c>
      <c r="N4418" s="74">
        <f t="shared" si="3"/>
        <v>95000</v>
      </c>
      <c r="O4418" s="65" t="str">
        <f>VLOOKUP(E4418,DATABASE!C:Q,8,false)</f>
        <v>IBU</v>
      </c>
      <c r="P4418" s="65">
        <f>VLOOKUP(E4418,DATABASE!C:Q,9,False)</f>
        <v>1</v>
      </c>
      <c r="Q4418" s="93" t="str">
        <f>VLOOKUP(E4418,DATABASE!C:Q,4,false)</f>
        <v>Dunlop</v>
      </c>
      <c r="R4418" s="93" t="str">
        <f>VLOOKUP(E4418,DATABASE!C:Q,11,false)</f>
        <v>Tire</v>
      </c>
    </row>
    <row r="4419" ht="22.5" customHeight="1">
      <c r="A4419" s="49"/>
      <c r="C4419" s="384">
        <v>45905.0</v>
      </c>
      <c r="D4419" s="65">
        <v>7049.0</v>
      </c>
      <c r="E4419" s="445" t="s">
        <v>262</v>
      </c>
      <c r="F4419" s="386">
        <v>1.0</v>
      </c>
      <c r="G4419" s="74">
        <v>110000.0</v>
      </c>
      <c r="H4419" s="74">
        <v>0.0</v>
      </c>
      <c r="I4419" s="74">
        <f t="shared" si="1"/>
        <v>110000</v>
      </c>
      <c r="J4419" s="74">
        <f>IF(E4419="SERVICE",I4419-(I4419*50%),Vlookup(E4419,DATABASE!C:Q,10,false)*F4419)</f>
        <v>5000</v>
      </c>
      <c r="K4419" s="74">
        <f>VLOOKUP(E4419,DATABASE!C:Q,7,false)</f>
        <v>0</v>
      </c>
      <c r="L4419" s="74">
        <v>0.0</v>
      </c>
      <c r="M4419" s="74">
        <f t="shared" si="2"/>
        <v>0</v>
      </c>
      <c r="N4419" s="74">
        <f t="shared" si="3"/>
        <v>105000</v>
      </c>
      <c r="O4419" s="65" t="str">
        <f>VLOOKUP(E4419,DATABASE!C:Q,8,false)</f>
        <v>IBU</v>
      </c>
      <c r="P4419" s="65">
        <f>VLOOKUP(E4419,DATABASE!C:Q,9,False)</f>
        <v>0</v>
      </c>
      <c r="Q4419" s="93" t="str">
        <f>VLOOKUP(E4419,DATABASE!C:Q,4,false)</f>
        <v>SPOORING SS/CARRY LOS BAK</v>
      </c>
      <c r="R4419" s="93" t="str">
        <f>VLOOKUP(E4419,DATABASE!C:Q,11,false)</f>
        <v>SERVICE</v>
      </c>
    </row>
    <row r="4420" ht="22.5" customHeight="1">
      <c r="A4420" s="49"/>
      <c r="C4420" s="384">
        <v>45905.0</v>
      </c>
      <c r="D4420" s="65">
        <v>7049.0</v>
      </c>
      <c r="E4420" s="445" t="s">
        <v>478</v>
      </c>
      <c r="F4420" s="386">
        <v>1.0</v>
      </c>
      <c r="G4420" s="74">
        <v>200000.0</v>
      </c>
      <c r="H4420" s="74">
        <v>0.0</v>
      </c>
      <c r="I4420" s="74">
        <f t="shared" si="1"/>
        <v>200000</v>
      </c>
      <c r="J4420" s="74">
        <f>IF(E4420="SERVICE",I4420-(I4420*50%),Vlookup(E4420,DATABASE!C:Q,10,false)*F4420)</f>
        <v>25000</v>
      </c>
      <c r="K4420" s="74">
        <f>VLOOKUP(E4420,DATABASE!C:Q,7,false)</f>
        <v>75000</v>
      </c>
      <c r="L4420" s="74">
        <v>75000.0</v>
      </c>
      <c r="M4420" s="74">
        <f t="shared" si="2"/>
        <v>75000</v>
      </c>
      <c r="N4420" s="74">
        <f t="shared" si="3"/>
        <v>100000</v>
      </c>
      <c r="O4420" s="65" t="str">
        <f>VLOOKUP(E4420,DATABASE!C:Q,8,false)</f>
        <v>BIAN</v>
      </c>
      <c r="P4420" s="65">
        <f>VLOOKUP(E4420,DATABASE!C:Q,9,False)</f>
        <v>0</v>
      </c>
      <c r="Q4420" s="93" t="str">
        <f>VLOOKUP(E4420,DATABASE!C:Q,4,false)</f>
        <v>Baut Camber ss-carry</v>
      </c>
      <c r="R4420" s="93" t="str">
        <f>VLOOKUP(E4420,DATABASE!C:Q,11,false)</f>
        <v>COMPLEMENTARY</v>
      </c>
    </row>
    <row r="4421" ht="22.5" customHeight="1">
      <c r="A4421" s="49"/>
      <c r="C4421" s="384">
        <v>45905.0</v>
      </c>
      <c r="D4421" s="65">
        <v>7049.0</v>
      </c>
      <c r="E4421" s="385" t="s">
        <v>305</v>
      </c>
      <c r="F4421" s="386">
        <v>1.0</v>
      </c>
      <c r="G4421" s="74">
        <v>235000.0</v>
      </c>
      <c r="H4421" s="74">
        <v>0.0</v>
      </c>
      <c r="I4421" s="74">
        <f t="shared" si="1"/>
        <v>235000</v>
      </c>
      <c r="J4421" s="74">
        <f>IF(E4421="SERVICE",I4421-(I4421*50%),Vlookup(E4421,DATABASE!C:Q,10,false)*F4421)</f>
        <v>40000</v>
      </c>
      <c r="K4421" s="74">
        <f>VLOOKUP(E4421,DATABASE!C:Q,7,false)</f>
        <v>158530.2</v>
      </c>
      <c r="L4421" s="74">
        <v>151890.0</v>
      </c>
      <c r="M4421" s="74">
        <f t="shared" si="2"/>
        <v>155000</v>
      </c>
      <c r="N4421" s="74">
        <f t="shared" si="3"/>
        <v>40000</v>
      </c>
      <c r="O4421" s="65" t="str">
        <f>VLOOKUP(E4421,DATABASE!C:Q,8,false)</f>
        <v>BIAN</v>
      </c>
      <c r="P4421" s="65">
        <f>VLOOKUP(E4421,DATABASE!C:Q,9,False)</f>
        <v>1</v>
      </c>
      <c r="Q4421" s="93" t="str">
        <f>VLOOKUP(E4421,DATABASE!C:Q,4,false)</f>
        <v>Lower Arm</v>
      </c>
      <c r="R4421" s="93" t="str">
        <f>VLOOKUP(E4421,DATABASE!C:Q,11,false)</f>
        <v>COMPLEMENTARY</v>
      </c>
    </row>
    <row r="4422" ht="22.5" customHeight="1">
      <c r="A4422" s="49"/>
      <c r="C4422" s="384">
        <v>45905.0</v>
      </c>
      <c r="D4422" s="65">
        <v>7050.0</v>
      </c>
      <c r="E4422" s="445" t="s">
        <v>271</v>
      </c>
      <c r="F4422" s="386">
        <v>1.0</v>
      </c>
      <c r="G4422" s="74">
        <v>640000.0</v>
      </c>
      <c r="H4422" s="74">
        <v>0.0</v>
      </c>
      <c r="I4422" s="74">
        <f t="shared" si="1"/>
        <v>640000</v>
      </c>
      <c r="J4422" s="74">
        <f>IF(E4422="SERVICE",I4422-(I4422*50%),Vlookup(E4422,DATABASE!C:Q,10,false)*F4422)</f>
        <v>0</v>
      </c>
      <c r="K4422" s="74">
        <f>VLOOKUP(E4422,DATABASE!C:Q,7,false)</f>
        <v>570000</v>
      </c>
      <c r="L4422" s="74">
        <v>539000.0</v>
      </c>
      <c r="M4422" s="74">
        <f t="shared" si="2"/>
        <v>540000</v>
      </c>
      <c r="N4422" s="74">
        <f t="shared" si="3"/>
        <v>100000</v>
      </c>
      <c r="O4422" s="65" t="str">
        <f>VLOOKUP(E4422,DATABASE!C:Q,8,false)</f>
        <v>IBU</v>
      </c>
      <c r="P4422" s="65">
        <f>VLOOKUP(E4422,DATABASE!C:Q,9,False)</f>
        <v>1</v>
      </c>
      <c r="Q4422" s="93" t="str">
        <f>VLOOKUP(E4422,DATABASE!C:Q,4,false)</f>
        <v>Dunlop</v>
      </c>
      <c r="R4422" s="93" t="str">
        <f>VLOOKUP(E4422,DATABASE!C:Q,11,false)</f>
        <v>Tire</v>
      </c>
    </row>
    <row r="4423" ht="22.5" customHeight="1">
      <c r="A4423" s="49"/>
      <c r="C4423" s="384">
        <v>45905.0</v>
      </c>
      <c r="D4423" s="65">
        <v>7051.0</v>
      </c>
      <c r="E4423" s="445" t="s">
        <v>256</v>
      </c>
      <c r="F4423" s="386">
        <v>1.0</v>
      </c>
      <c r="G4423" s="74">
        <v>130000.0</v>
      </c>
      <c r="H4423" s="74">
        <v>0.0</v>
      </c>
      <c r="I4423" s="74">
        <f t="shared" si="1"/>
        <v>130000</v>
      </c>
      <c r="J4423" s="74">
        <f>IF(E4423="SERVICE",I4423-(I4423*50%),Vlookup(E4423,DATABASE!C:Q,10,false)*F4423)</f>
        <v>10000</v>
      </c>
      <c r="K4423" s="74">
        <f>VLOOKUP(E4423,DATABASE!C:Q,7,false)</f>
        <v>0</v>
      </c>
      <c r="L4423" s="74">
        <v>0.0</v>
      </c>
      <c r="M4423" s="74">
        <f t="shared" si="2"/>
        <v>0</v>
      </c>
      <c r="N4423" s="74">
        <f t="shared" si="3"/>
        <v>120000</v>
      </c>
      <c r="O4423" s="65" t="str">
        <f>VLOOKUP(E4423,DATABASE!C:Q,8,false)</f>
        <v>IBU</v>
      </c>
      <c r="P4423" s="65">
        <f>VLOOKUP(E4423,DATABASE!C:Q,9,False)</f>
        <v>0</v>
      </c>
      <c r="Q4423" s="93" t="str">
        <f>VLOOKUP(E4423,DATABASE!C:Q,4,false)</f>
        <v>SPOORING</v>
      </c>
      <c r="R4423" s="93" t="str">
        <f>VLOOKUP(E4423,DATABASE!C:Q,11,false)</f>
        <v>SERVICE</v>
      </c>
    </row>
    <row r="4424" ht="22.5" customHeight="1">
      <c r="A4424" s="49"/>
      <c r="C4424" s="384">
        <v>45905.0</v>
      </c>
      <c r="D4424" s="65">
        <v>7051.0</v>
      </c>
      <c r="E4424" s="385" t="s">
        <v>299</v>
      </c>
      <c r="F4424" s="386">
        <v>2.0</v>
      </c>
      <c r="G4424" s="74">
        <v>30000.0</v>
      </c>
      <c r="H4424" s="74">
        <v>0.0</v>
      </c>
      <c r="I4424" s="74">
        <f t="shared" si="1"/>
        <v>60000</v>
      </c>
      <c r="J4424" s="74">
        <f>IF(E4424="SERVICE",I4424-(I4424*50%),Vlookup(E4424,DATABASE!C:Q,10,false)*F4424)</f>
        <v>0</v>
      </c>
      <c r="K4424" s="74">
        <v>0.0</v>
      </c>
      <c r="L4424" s="74">
        <v>0.0</v>
      </c>
      <c r="M4424" s="74">
        <f t="shared" si="2"/>
        <v>0</v>
      </c>
      <c r="N4424" s="74">
        <f t="shared" si="3"/>
        <v>60000</v>
      </c>
      <c r="O4424" s="65" t="str">
        <f>VLOOKUP(E4424,DATABASE!C:Q,8,false)</f>
        <v>BIAN</v>
      </c>
      <c r="P4424" s="65">
        <f>VLOOKUP(E4424,DATABASE!C:Q,9,False)</f>
        <v>0</v>
      </c>
      <c r="Q4424" s="93" t="str">
        <f>VLOOKUP(E4424,DATABASE!C:Q,4,false)</f>
        <v>Balancing</v>
      </c>
      <c r="R4424" s="93" t="str">
        <f>VLOOKUP(E4424,DATABASE!C:Q,11,false)</f>
        <v>COMPLEMENTARY</v>
      </c>
    </row>
    <row r="4425" ht="22.5" customHeight="1">
      <c r="A4425" s="49"/>
      <c r="C4425" s="384">
        <v>45905.0</v>
      </c>
      <c r="D4425" s="65">
        <v>7051.0</v>
      </c>
      <c r="E4425" s="445" t="s">
        <v>301</v>
      </c>
      <c r="F4425" s="386">
        <v>1.0</v>
      </c>
      <c r="G4425" s="74">
        <v>250000.0</v>
      </c>
      <c r="H4425" s="74">
        <v>0.0</v>
      </c>
      <c r="I4425" s="74">
        <f t="shared" si="1"/>
        <v>250000</v>
      </c>
      <c r="J4425" s="74">
        <f>IF(E4425="SERVICE",I4425-(I4425*50%),Vlookup(E4425,DATABASE!C:Q,10,false)*F4425)</f>
        <v>75000</v>
      </c>
      <c r="K4425" s="74">
        <f>VLOOKUP(E4425,DATABASE!C:Q,7,false)</f>
        <v>75000</v>
      </c>
      <c r="L4425" s="74">
        <v>75000.0</v>
      </c>
      <c r="M4425" s="74">
        <f t="shared" si="2"/>
        <v>75000</v>
      </c>
      <c r="N4425" s="74">
        <f t="shared" si="3"/>
        <v>100000</v>
      </c>
      <c r="O4425" s="65" t="str">
        <f>VLOOKUP(E4425,DATABASE!C:Q,8,false)</f>
        <v>BIAN</v>
      </c>
      <c r="P4425" s="65">
        <f>VLOOKUP(E4425,DATABASE!C:Q,9,False)</f>
        <v>0</v>
      </c>
      <c r="Q4425" s="93" t="str">
        <f>VLOOKUP(E4425,DATABASE!C:Q,4,false)</f>
        <v>Baut Camber</v>
      </c>
      <c r="R4425" s="93" t="str">
        <f>VLOOKUP(E4425,DATABASE!C:Q,11,false)</f>
        <v>COMPLEMENTARY</v>
      </c>
    </row>
    <row r="4426" ht="22.5" customHeight="1">
      <c r="A4426" s="49"/>
      <c r="C4426" s="384">
        <v>45905.0</v>
      </c>
      <c r="D4426" s="65">
        <v>7052.0</v>
      </c>
      <c r="E4426" s="445" t="s">
        <v>605</v>
      </c>
      <c r="F4426" s="386">
        <v>2.0</v>
      </c>
      <c r="G4426" s="74">
        <v>760000.0</v>
      </c>
      <c r="H4426" s="74">
        <v>0.0</v>
      </c>
      <c r="I4426" s="74">
        <f t="shared" si="1"/>
        <v>1520000</v>
      </c>
      <c r="J4426" s="74">
        <f>IF(E4426="SERVICE",I4426-(I4426*50%),Vlookup(E4426,DATABASE!C:Q,10,false)*F4426)</f>
        <v>0</v>
      </c>
      <c r="K4426" s="74">
        <v>670000.0</v>
      </c>
      <c r="L4426" s="74">
        <v>670000.0</v>
      </c>
      <c r="M4426" s="74">
        <f t="shared" si="2"/>
        <v>670000</v>
      </c>
      <c r="N4426" s="74">
        <f t="shared" si="3"/>
        <v>180000</v>
      </c>
      <c r="O4426" s="65" t="str">
        <f>VLOOKUP(E4426,DATABASE!C:Q,8,false)</f>
        <v>IBU</v>
      </c>
      <c r="P4426" s="65">
        <f>VLOOKUP(E4426,DATABASE!C:Q,9,False)</f>
        <v>1</v>
      </c>
      <c r="Q4426" s="93" t="str">
        <f>VLOOKUP(E4426,DATABASE!C:Q,4,false)</f>
        <v>Bridgestone</v>
      </c>
      <c r="R4426" s="93" t="str">
        <f>VLOOKUP(E4426,DATABASE!C:Q,11,false)</f>
        <v>Tire</v>
      </c>
    </row>
    <row r="4427" ht="22.5" customHeight="1">
      <c r="A4427" s="49"/>
      <c r="C4427" s="384">
        <v>45905.0</v>
      </c>
      <c r="D4427" s="65">
        <v>7054.0</v>
      </c>
      <c r="E4427" s="445" t="s">
        <v>262</v>
      </c>
      <c r="F4427" s="386">
        <v>1.0</v>
      </c>
      <c r="G4427" s="74">
        <v>110000.0</v>
      </c>
      <c r="H4427" s="74">
        <v>0.0</v>
      </c>
      <c r="I4427" s="74">
        <f t="shared" si="1"/>
        <v>110000</v>
      </c>
      <c r="J4427" s="74">
        <f>IF(E4427="SERVICE",I4427-(I4427*50%),Vlookup(E4427,DATABASE!C:Q,10,false)*F4427)</f>
        <v>5000</v>
      </c>
      <c r="K4427" s="74">
        <f>VLOOKUP(E4427,DATABASE!C:Q,7,false)</f>
        <v>0</v>
      </c>
      <c r="L4427" s="74">
        <v>0.0</v>
      </c>
      <c r="M4427" s="74">
        <f t="shared" si="2"/>
        <v>0</v>
      </c>
      <c r="N4427" s="74">
        <f t="shared" si="3"/>
        <v>105000</v>
      </c>
      <c r="O4427" s="65" t="str">
        <f>VLOOKUP(E4427,DATABASE!C:Q,8,false)</f>
        <v>IBU</v>
      </c>
      <c r="P4427" s="65">
        <f>VLOOKUP(E4427,DATABASE!C:Q,9,False)</f>
        <v>0</v>
      </c>
      <c r="Q4427" s="93" t="str">
        <f>VLOOKUP(E4427,DATABASE!C:Q,4,false)</f>
        <v>SPOORING SS/CARRY LOS BAK</v>
      </c>
      <c r="R4427" s="93" t="str">
        <f>VLOOKUP(E4427,DATABASE!C:Q,11,false)</f>
        <v>SERVICE</v>
      </c>
    </row>
    <row r="4428" ht="22.5" customHeight="1">
      <c r="A4428" s="49"/>
      <c r="C4428" s="384">
        <v>45905.0</v>
      </c>
      <c r="D4428" s="65">
        <v>7054.0</v>
      </c>
      <c r="E4428" s="445" t="s">
        <v>2206</v>
      </c>
      <c r="F4428" s="386">
        <v>2.0</v>
      </c>
      <c r="G4428" s="74">
        <v>200000.0</v>
      </c>
      <c r="H4428" s="74">
        <v>0.0</v>
      </c>
      <c r="I4428" s="74">
        <f t="shared" si="1"/>
        <v>400000</v>
      </c>
      <c r="J4428" s="74">
        <f>IF(E4428="SERVICE",I4428-(I4428*50%),Vlookup(E4428,DATABASE!C:Q,10,false)*F4428)</f>
        <v>80000</v>
      </c>
      <c r="K4428" s="74">
        <f>VLOOKUP(E4428,DATABASE!C:Q,7,false)</f>
        <v>95450</v>
      </c>
      <c r="L4428" s="74">
        <v>61000.0</v>
      </c>
      <c r="M4428" s="74">
        <f t="shared" si="2"/>
        <v>65000</v>
      </c>
      <c r="N4428" s="74">
        <f t="shared" si="3"/>
        <v>190000</v>
      </c>
      <c r="O4428" s="65" t="str">
        <f>VLOOKUP(E4428,DATABASE!C:Q,8,false)</f>
        <v>IBU</v>
      </c>
      <c r="P4428" s="65">
        <f>VLOOKUP(E4428,DATABASE!C:Q,9,False)</f>
        <v>1</v>
      </c>
      <c r="Q4428" s="93" t="str">
        <f>VLOOKUP(E4428,DATABASE!C:Q,4,false)</f>
        <v>TIEROD</v>
      </c>
      <c r="R4428" s="93" t="str">
        <f>VLOOKUP(E4428,DATABASE!C:Q,11,false)</f>
        <v>COMPLEMENTARY</v>
      </c>
    </row>
    <row r="4429" ht="22.5" customHeight="1">
      <c r="A4429" s="49"/>
      <c r="C4429" s="384">
        <v>45905.0</v>
      </c>
      <c r="D4429" s="65">
        <v>7054.0</v>
      </c>
      <c r="E4429" s="445" t="s">
        <v>251</v>
      </c>
      <c r="F4429" s="386">
        <v>1.0</v>
      </c>
      <c r="G4429" s="74">
        <v>150000.0</v>
      </c>
      <c r="H4429" s="74">
        <v>0.0</v>
      </c>
      <c r="I4429" s="74">
        <f t="shared" si="1"/>
        <v>150000</v>
      </c>
      <c r="J4429" s="74">
        <f>IF(E4429="SERVICE",I4429-(I4429*50%),Vlookup(E4429,DATABASE!C:Q,10,false)*F4429)</f>
        <v>75000</v>
      </c>
      <c r="K4429" s="74">
        <f>VLOOKUP(E4429,DATABASE!C:Q,7,false)</f>
        <v>0</v>
      </c>
      <c r="L4429" s="74">
        <v>0.0</v>
      </c>
      <c r="M4429" s="74">
        <f t="shared" si="2"/>
        <v>0</v>
      </c>
      <c r="N4429" s="74">
        <f t="shared" si="3"/>
        <v>75000</v>
      </c>
      <c r="O4429" s="65" t="str">
        <f>VLOOKUP(E4429,DATABASE!C:Q,8,false)</f>
        <v>IBU</v>
      </c>
      <c r="P4429" s="65">
        <f>VLOOKUP(E4429,DATABASE!C:Q,9,False)</f>
        <v>0</v>
      </c>
      <c r="Q4429" s="93" t="str">
        <f>VLOOKUP(E4429,DATABASE!C:Q,4,false)</f>
        <v>SERVICE</v>
      </c>
      <c r="R4429" s="93" t="str">
        <f>VLOOKUP(E4429,DATABASE!C:Q,11,false)</f>
        <v>SERVICE</v>
      </c>
    </row>
    <row r="4430" ht="22.5" customHeight="1">
      <c r="A4430" s="49"/>
      <c r="C4430" s="384">
        <v>45905.0</v>
      </c>
      <c r="D4430" s="65">
        <v>7056.0</v>
      </c>
      <c r="E4430" s="445" t="s">
        <v>265</v>
      </c>
      <c r="F4430" s="386">
        <v>1.0</v>
      </c>
      <c r="G4430" s="74">
        <v>700000.0</v>
      </c>
      <c r="H4430" s="74">
        <v>0.0</v>
      </c>
      <c r="I4430" s="74">
        <f t="shared" si="1"/>
        <v>700000</v>
      </c>
      <c r="J4430" s="74">
        <f>IF(E4430="SERVICE",I4430-(I4430*50%),Vlookup(E4430,DATABASE!C:Q,10,false)*F4430)</f>
        <v>0</v>
      </c>
      <c r="K4430" s="74">
        <f>VLOOKUP(E4430,DATABASE!C:Q,7,false)</f>
        <v>628000</v>
      </c>
      <c r="L4430" s="74">
        <v>610000.0</v>
      </c>
      <c r="M4430" s="74">
        <f t="shared" si="2"/>
        <v>610000</v>
      </c>
      <c r="N4430" s="74">
        <f t="shared" si="3"/>
        <v>90000</v>
      </c>
      <c r="O4430" s="65" t="str">
        <f>VLOOKUP(E4430,DATABASE!C:Q,8,false)</f>
        <v>IBU</v>
      </c>
      <c r="P4430" s="65">
        <f>VLOOKUP(E4430,DATABASE!C:Q,9,False)</f>
        <v>1</v>
      </c>
      <c r="Q4430" s="93" t="str">
        <f>VLOOKUP(E4430,DATABASE!C:Q,4,false)</f>
        <v>Dunlop</v>
      </c>
      <c r="R4430" s="93" t="str">
        <f>VLOOKUP(E4430,DATABASE!C:Q,11,false)</f>
        <v>Tire</v>
      </c>
    </row>
    <row r="4431" ht="22.5" customHeight="1">
      <c r="A4431" s="49"/>
      <c r="C4431" s="384">
        <v>45906.0</v>
      </c>
      <c r="D4431" s="65">
        <v>7057.0</v>
      </c>
      <c r="E4431" s="445" t="s">
        <v>268</v>
      </c>
      <c r="F4431" s="386">
        <v>1.0</v>
      </c>
      <c r="G4431" s="74">
        <v>720000.0</v>
      </c>
      <c r="H4431" s="74">
        <v>0.0</v>
      </c>
      <c r="I4431" s="74">
        <f t="shared" si="1"/>
        <v>720000</v>
      </c>
      <c r="J4431" s="74">
        <f>IF(E4431="SERVICE",I4431-(I4431*50%),Vlookup(E4431,DATABASE!C:Q,10,false)*F4431)</f>
        <v>0</v>
      </c>
      <c r="K4431" s="74">
        <f>VLOOKUP(E4431,DATABASE!C:Q,7,false)</f>
        <v>653000</v>
      </c>
      <c r="L4431" s="74">
        <v>622000.0</v>
      </c>
      <c r="M4431" s="74">
        <f t="shared" si="2"/>
        <v>625000</v>
      </c>
      <c r="N4431" s="74">
        <f t="shared" si="3"/>
        <v>95000</v>
      </c>
      <c r="O4431" s="65" t="str">
        <f>VLOOKUP(E4431,DATABASE!C:Q,8,false)</f>
        <v>IBU</v>
      </c>
      <c r="P4431" s="65">
        <f>VLOOKUP(E4431,DATABASE!C:Q,9,False)</f>
        <v>1</v>
      </c>
      <c r="Q4431" s="93" t="str">
        <f>VLOOKUP(E4431,DATABASE!C:Q,4,false)</f>
        <v>Dunlop</v>
      </c>
      <c r="R4431" s="93" t="str">
        <f>VLOOKUP(E4431,DATABASE!C:Q,11,false)</f>
        <v>Tire</v>
      </c>
    </row>
    <row r="4432" ht="22.5" customHeight="1">
      <c r="A4432" s="49"/>
      <c r="C4432" s="384">
        <v>45906.0</v>
      </c>
      <c r="D4432" s="65">
        <v>7058.0</v>
      </c>
      <c r="E4432" s="445" t="s">
        <v>256</v>
      </c>
      <c r="F4432" s="386">
        <v>1.0</v>
      </c>
      <c r="G4432" s="74">
        <v>130000.0</v>
      </c>
      <c r="H4432" s="74">
        <v>0.0</v>
      </c>
      <c r="I4432" s="74">
        <f t="shared" si="1"/>
        <v>130000</v>
      </c>
      <c r="J4432" s="74">
        <f>IF(E4432="SERVICE",I4432-(I4432*50%),Vlookup(E4432,DATABASE!C:Q,10,false)*F4432)</f>
        <v>10000</v>
      </c>
      <c r="K4432" s="74">
        <f>VLOOKUP(E4432,DATABASE!C:Q,7,false)</f>
        <v>0</v>
      </c>
      <c r="L4432" s="74">
        <v>0.0</v>
      </c>
      <c r="M4432" s="74">
        <f t="shared" si="2"/>
        <v>0</v>
      </c>
      <c r="N4432" s="74">
        <f t="shared" si="3"/>
        <v>120000</v>
      </c>
      <c r="O4432" s="65" t="str">
        <f>VLOOKUP(E4432,DATABASE!C:Q,8,false)</f>
        <v>IBU</v>
      </c>
      <c r="P4432" s="65">
        <f>VLOOKUP(E4432,DATABASE!C:Q,9,False)</f>
        <v>0</v>
      </c>
      <c r="Q4432" s="93" t="str">
        <f>VLOOKUP(E4432,DATABASE!C:Q,4,false)</f>
        <v>SPOORING</v>
      </c>
      <c r="R4432" s="93" t="str">
        <f>VLOOKUP(E4432,DATABASE!C:Q,11,false)</f>
        <v>SERVICE</v>
      </c>
    </row>
    <row r="4433" ht="22.5" customHeight="1">
      <c r="A4433" s="49"/>
      <c r="C4433" s="384">
        <v>45906.0</v>
      </c>
      <c r="D4433" s="65">
        <v>7058.0</v>
      </c>
      <c r="E4433" s="445" t="s">
        <v>301</v>
      </c>
      <c r="F4433" s="386">
        <v>1.0</v>
      </c>
      <c r="G4433" s="74">
        <v>250000.0</v>
      </c>
      <c r="H4433" s="74">
        <v>0.0</v>
      </c>
      <c r="I4433" s="74">
        <f t="shared" si="1"/>
        <v>250000</v>
      </c>
      <c r="J4433" s="74">
        <f>IF(E4433="SERVICE",I4433-(I4433*50%),Vlookup(E4433,DATABASE!C:Q,10,false)*F4433)</f>
        <v>75000</v>
      </c>
      <c r="K4433" s="74">
        <f>VLOOKUP(E4433,DATABASE!C:Q,7,false)</f>
        <v>75000</v>
      </c>
      <c r="L4433" s="74">
        <v>75000.0</v>
      </c>
      <c r="M4433" s="74">
        <f t="shared" si="2"/>
        <v>75000</v>
      </c>
      <c r="N4433" s="74">
        <f t="shared" si="3"/>
        <v>100000</v>
      </c>
      <c r="O4433" s="65" t="str">
        <f>VLOOKUP(E4433,DATABASE!C:Q,8,false)</f>
        <v>BIAN</v>
      </c>
      <c r="P4433" s="65">
        <f>VLOOKUP(E4433,DATABASE!C:Q,9,False)</f>
        <v>0</v>
      </c>
      <c r="Q4433" s="93" t="str">
        <f>VLOOKUP(E4433,DATABASE!C:Q,4,false)</f>
        <v>Baut Camber</v>
      </c>
      <c r="R4433" s="93" t="str">
        <f>VLOOKUP(E4433,DATABASE!C:Q,11,false)</f>
        <v>COMPLEMENTARY</v>
      </c>
    </row>
    <row r="4434" ht="22.5" customHeight="1">
      <c r="A4434" s="49"/>
      <c r="C4434" s="384">
        <v>45906.0</v>
      </c>
      <c r="D4434" s="65">
        <v>7059.0</v>
      </c>
      <c r="E4434" s="445" t="s">
        <v>2140</v>
      </c>
      <c r="F4434" s="386">
        <v>1.0</v>
      </c>
      <c r="G4434" s="74">
        <v>25000.0</v>
      </c>
      <c r="H4434" s="74">
        <v>0.0</v>
      </c>
      <c r="I4434" s="74">
        <f t="shared" si="1"/>
        <v>25000</v>
      </c>
      <c r="J4434" s="74">
        <f>IF(E4434="SERVICE",I4434-(I4434*50%),Vlookup(E4434,DATABASE!C:Q,10,false)*F4434)</f>
        <v>0</v>
      </c>
      <c r="K4434" s="74">
        <f>VLOOKUP(E4434,DATABASE!C:Q,7,false)</f>
        <v>5000</v>
      </c>
      <c r="L4434" s="74">
        <v>0.0</v>
      </c>
      <c r="M4434" s="74">
        <f t="shared" si="2"/>
        <v>0</v>
      </c>
      <c r="N4434" s="74">
        <f t="shared" si="3"/>
        <v>25000</v>
      </c>
      <c r="O4434" s="65" t="str">
        <f>VLOOKUP(E4434,DATABASE!C:Q,8,false)</f>
        <v>IBU</v>
      </c>
      <c r="P4434" s="65">
        <f>VLOOKUP(E4434,DATABASE!C:Q,9,False)</f>
        <v>0</v>
      </c>
      <c r="Q4434" s="93" t="str">
        <f>VLOOKUP(E4434,DATABASE!C:Q,4,false)</f>
        <v>PENTIL + PASANG</v>
      </c>
      <c r="R4434" s="93" t="str">
        <f>VLOOKUP(E4434,DATABASE!C:Q,11,false)</f>
        <v>COMPLEMENTARY</v>
      </c>
    </row>
    <row r="4435" ht="22.5" customHeight="1">
      <c r="A4435" s="49"/>
      <c r="C4435" s="384">
        <v>45906.0</v>
      </c>
      <c r="D4435" s="65">
        <v>7060.0</v>
      </c>
      <c r="E4435" s="445" t="s">
        <v>581</v>
      </c>
      <c r="F4435" s="386">
        <v>2.0</v>
      </c>
      <c r="G4435" s="74">
        <v>660000.0</v>
      </c>
      <c r="H4435" s="74">
        <v>0.0</v>
      </c>
      <c r="I4435" s="74">
        <f t="shared" si="1"/>
        <v>1320000</v>
      </c>
      <c r="J4435" s="74">
        <f>IF(E4435="SERVICE",I4435-(I4435*50%),Vlookup(E4435,DATABASE!C:Q,10,false)*F4435)</f>
        <v>0</v>
      </c>
      <c r="K4435" s="74">
        <f>VLOOKUP(E4435,DATABASE!C:Q,7,false)</f>
        <v>542528</v>
      </c>
      <c r="L4435" s="74">
        <v>577500.0</v>
      </c>
      <c r="M4435" s="74">
        <f t="shared" si="2"/>
        <v>580000</v>
      </c>
      <c r="N4435" s="74">
        <f t="shared" si="3"/>
        <v>160000</v>
      </c>
      <c r="O4435" s="65" t="str">
        <f>VLOOKUP(E4435,DATABASE!C:Q,8,false)</f>
        <v>IBU</v>
      </c>
      <c r="P4435" s="65">
        <f>VLOOKUP(E4435,DATABASE!C:Q,9,False)</f>
        <v>1</v>
      </c>
      <c r="Q4435" s="93" t="str">
        <f>VLOOKUP(E4435,DATABASE!C:Q,4,false)</f>
        <v>Bridgestone</v>
      </c>
      <c r="R4435" s="93" t="str">
        <f>VLOOKUP(E4435,DATABASE!C:Q,11,false)</f>
        <v>Tire</v>
      </c>
    </row>
    <row r="4436" ht="22.5" customHeight="1">
      <c r="A4436" s="49"/>
      <c r="C4436" s="384">
        <v>45906.0</v>
      </c>
      <c r="D4436" s="65">
        <v>7061.0</v>
      </c>
      <c r="E4436" s="445" t="s">
        <v>955</v>
      </c>
      <c r="F4436" s="386">
        <v>2.0</v>
      </c>
      <c r="G4436" s="74">
        <v>770000.0</v>
      </c>
      <c r="H4436" s="74">
        <v>0.0</v>
      </c>
      <c r="I4436" s="74">
        <f t="shared" si="1"/>
        <v>1540000</v>
      </c>
      <c r="J4436" s="74">
        <f>IF(E4436="SERVICE",I4436-(I4436*50%),Vlookup(E4436,DATABASE!C:Q,10,false)*F4436)</f>
        <v>0</v>
      </c>
      <c r="K4436" s="74">
        <f>VLOOKUP(E4436,DATABASE!C:Q,7,false)</f>
        <v>712000</v>
      </c>
      <c r="L4436" s="74">
        <v>674000.0</v>
      </c>
      <c r="M4436" s="74">
        <f t="shared" si="2"/>
        <v>675000</v>
      </c>
      <c r="N4436" s="74">
        <f t="shared" si="3"/>
        <v>190000</v>
      </c>
      <c r="O4436" s="65" t="str">
        <f>VLOOKUP(E4436,DATABASE!C:Q,8,false)</f>
        <v>IBU</v>
      </c>
      <c r="P4436" s="65">
        <f>VLOOKUP(E4436,DATABASE!C:Q,9,False)</f>
        <v>1</v>
      </c>
      <c r="Q4436" s="93" t="str">
        <f>VLOOKUP(E4436,DATABASE!C:Q,4,false)</f>
        <v>Dunlop</v>
      </c>
      <c r="R4436" s="93" t="str">
        <f>VLOOKUP(E4436,DATABASE!C:Q,11,false)</f>
        <v>Tire</v>
      </c>
    </row>
    <row r="4437" ht="22.5" customHeight="1">
      <c r="A4437" s="49"/>
      <c r="C4437" s="384">
        <v>45906.0</v>
      </c>
      <c r="D4437" s="65">
        <v>7063.0</v>
      </c>
      <c r="E4437" s="445" t="s">
        <v>256</v>
      </c>
      <c r="F4437" s="386">
        <v>1.0</v>
      </c>
      <c r="G4437" s="74">
        <v>130000.0</v>
      </c>
      <c r="H4437" s="74">
        <v>0.0</v>
      </c>
      <c r="I4437" s="74">
        <f t="shared" si="1"/>
        <v>130000</v>
      </c>
      <c r="J4437" s="74">
        <f>IF(E4437="SERVICE",I4437-(I4437*50%),Vlookup(E4437,DATABASE!C:Q,10,false)*F4437)</f>
        <v>10000</v>
      </c>
      <c r="K4437" s="74">
        <f>VLOOKUP(E4437,DATABASE!C:Q,7,false)</f>
        <v>0</v>
      </c>
      <c r="L4437" s="74">
        <v>0.0</v>
      </c>
      <c r="M4437" s="74">
        <f t="shared" si="2"/>
        <v>0</v>
      </c>
      <c r="N4437" s="74">
        <f t="shared" si="3"/>
        <v>120000</v>
      </c>
      <c r="O4437" s="65" t="str">
        <f>VLOOKUP(E4437,DATABASE!C:Q,8,false)</f>
        <v>IBU</v>
      </c>
      <c r="P4437" s="65">
        <f>VLOOKUP(E4437,DATABASE!C:Q,9,False)</f>
        <v>0</v>
      </c>
      <c r="Q4437" s="93" t="str">
        <f>VLOOKUP(E4437,DATABASE!C:Q,4,false)</f>
        <v>SPOORING</v>
      </c>
      <c r="R4437" s="93" t="str">
        <f>VLOOKUP(E4437,DATABASE!C:Q,11,false)</f>
        <v>SERVICE</v>
      </c>
    </row>
    <row r="4438" ht="22.5" customHeight="1">
      <c r="A4438" s="49"/>
      <c r="C4438" s="384">
        <v>45906.0</v>
      </c>
      <c r="D4438" s="65">
        <v>7063.0</v>
      </c>
      <c r="E4438" s="445" t="s">
        <v>1133</v>
      </c>
      <c r="F4438" s="386">
        <v>2.0</v>
      </c>
      <c r="G4438" s="74">
        <v>820000.0</v>
      </c>
      <c r="H4438" s="74">
        <v>0.0</v>
      </c>
      <c r="I4438" s="74">
        <f t="shared" si="1"/>
        <v>1640000</v>
      </c>
      <c r="J4438" s="74">
        <f>IF(E4438="SERVICE",I4438-(I4438*50%),Vlookup(E4438,DATABASE!C:Q,10,false)*F4438)</f>
        <v>0</v>
      </c>
      <c r="K4438" s="74">
        <f>VLOOKUP(E4438,DATABASE!C:Q,7,false)</f>
        <v>759539.2</v>
      </c>
      <c r="L4438" s="74">
        <v>715635.0</v>
      </c>
      <c r="M4438" s="74">
        <f t="shared" si="2"/>
        <v>720000</v>
      </c>
      <c r="N4438" s="74">
        <f t="shared" si="3"/>
        <v>200000</v>
      </c>
      <c r="O4438" s="65" t="str">
        <f>VLOOKUP(E4438,DATABASE!C:Q,8,false)</f>
        <v>IBU</v>
      </c>
      <c r="P4438" s="65">
        <f>VLOOKUP(E4438,DATABASE!C:Q,9,False)</f>
        <v>1</v>
      </c>
      <c r="Q4438" s="93" t="str">
        <f>VLOOKUP(E4438,DATABASE!C:Q,4,false)</f>
        <v>Bridgestone</v>
      </c>
      <c r="R4438" s="93" t="str">
        <f>VLOOKUP(E4438,DATABASE!C:Q,11,false)</f>
        <v>Tire</v>
      </c>
    </row>
    <row r="4439" ht="22.5" customHeight="1">
      <c r="A4439" s="49"/>
      <c r="C4439" s="384">
        <v>45906.0</v>
      </c>
      <c r="D4439" s="65">
        <v>7064.0</v>
      </c>
      <c r="E4439" s="445" t="s">
        <v>878</v>
      </c>
      <c r="F4439" s="386">
        <v>2.0</v>
      </c>
      <c r="G4439" s="74">
        <v>45000.0</v>
      </c>
      <c r="H4439" s="74">
        <v>0.0</v>
      </c>
      <c r="I4439" s="74">
        <f t="shared" si="1"/>
        <v>90000</v>
      </c>
      <c r="J4439" s="74">
        <f>IF(E4439="SERVICE",I4439-(I4439*50%),Vlookup(E4439,DATABASE!C:Q,10,false)*F4439)</f>
        <v>0</v>
      </c>
      <c r="K4439" s="74">
        <f>VLOOKUP(E4439,DATABASE!C:Q,7,false)</f>
        <v>0</v>
      </c>
      <c r="L4439" s="74">
        <v>0.0</v>
      </c>
      <c r="M4439" s="74">
        <f t="shared" si="2"/>
        <v>0</v>
      </c>
      <c r="N4439" s="74">
        <f t="shared" si="3"/>
        <v>90000</v>
      </c>
      <c r="O4439" s="65" t="str">
        <f>VLOOKUP(E4439,DATABASE!C:Q,8,false)</f>
        <v>IBU</v>
      </c>
      <c r="P4439" s="65">
        <f>VLOOKUP(E4439,DATABASE!C:Q,9,False)</f>
        <v>0</v>
      </c>
      <c r="Q4439" s="93" t="str">
        <f>VLOOKUP(E4439,DATABASE!C:Q,4,false)</f>
        <v>Bongkar Pasang 17</v>
      </c>
      <c r="R4439" s="93" t="str">
        <f>VLOOKUP(E4439,DATABASE!C:Q,11,false)</f>
        <v>SERVICE</v>
      </c>
    </row>
    <row r="4440" ht="22.5" customHeight="1">
      <c r="A4440" s="49"/>
      <c r="C4440" s="384">
        <v>45906.0</v>
      </c>
      <c r="D4440" s="65">
        <v>7065.0</v>
      </c>
      <c r="E4440" s="445" t="s">
        <v>600</v>
      </c>
      <c r="F4440" s="386">
        <v>2.0</v>
      </c>
      <c r="G4440" s="74">
        <v>675000.0</v>
      </c>
      <c r="H4440" s="74">
        <v>0.0</v>
      </c>
      <c r="I4440" s="74">
        <f t="shared" si="1"/>
        <v>1350000</v>
      </c>
      <c r="J4440" s="74">
        <f>IF(E4440="SERVICE",I4440-(I4440*50%),Vlookup(E4440,DATABASE!C:Q,10,false)*F4440)</f>
        <v>0</v>
      </c>
      <c r="K4440" s="74">
        <f>VLOOKUP(E4440,DATABASE!C:Q,7,false)</f>
        <v>611109.16</v>
      </c>
      <c r="L4440" s="74">
        <v>572762.4</v>
      </c>
      <c r="M4440" s="74">
        <f t="shared" si="2"/>
        <v>575000</v>
      </c>
      <c r="N4440" s="74">
        <f t="shared" si="3"/>
        <v>200000</v>
      </c>
      <c r="O4440" s="65" t="str">
        <f>VLOOKUP(E4440,DATABASE!C:Q,8,false)</f>
        <v>IBU</v>
      </c>
      <c r="P4440" s="65">
        <f>VLOOKUP(E4440,DATABASE!C:Q,9,False)</f>
        <v>1</v>
      </c>
      <c r="Q4440" s="93" t="str">
        <f>VLOOKUP(E4440,DATABASE!C:Q,4,false)</f>
        <v>Bridgestone</v>
      </c>
      <c r="R4440" s="93" t="str">
        <f>VLOOKUP(E4440,DATABASE!C:Q,11,false)</f>
        <v>Tire</v>
      </c>
    </row>
    <row r="4441" ht="22.5" customHeight="1">
      <c r="A4441" s="49"/>
      <c r="C4441" s="384">
        <v>45906.0</v>
      </c>
      <c r="D4441" s="65">
        <v>7066.0</v>
      </c>
      <c r="E4441" s="445" t="s">
        <v>262</v>
      </c>
      <c r="F4441" s="386">
        <v>1.0</v>
      </c>
      <c r="G4441" s="74">
        <v>100000.0</v>
      </c>
      <c r="H4441" s="74">
        <v>0.0</v>
      </c>
      <c r="I4441" s="74">
        <f t="shared" si="1"/>
        <v>100000</v>
      </c>
      <c r="J4441" s="74">
        <f>IF(E4441="SERVICE",I4441-(I4441*50%),Vlookup(E4441,DATABASE!C:Q,10,false)*F4441)</f>
        <v>5000</v>
      </c>
      <c r="K4441" s="74">
        <f>VLOOKUP(E4441,DATABASE!C:Q,7,false)</f>
        <v>0</v>
      </c>
      <c r="L4441" s="74">
        <v>0.0</v>
      </c>
      <c r="M4441" s="74">
        <f t="shared" si="2"/>
        <v>0</v>
      </c>
      <c r="N4441" s="74">
        <f t="shared" si="3"/>
        <v>95000</v>
      </c>
      <c r="O4441" s="65" t="str">
        <f>VLOOKUP(E4441,DATABASE!C:Q,8,false)</f>
        <v>IBU</v>
      </c>
      <c r="P4441" s="65">
        <f>VLOOKUP(E4441,DATABASE!C:Q,9,False)</f>
        <v>0</v>
      </c>
      <c r="Q4441" s="93" t="str">
        <f>VLOOKUP(E4441,DATABASE!C:Q,4,false)</f>
        <v>SPOORING SS/CARRY LOS BAK</v>
      </c>
      <c r="R4441" s="93" t="str">
        <f>VLOOKUP(E4441,DATABASE!C:Q,11,false)</f>
        <v>SERVICE</v>
      </c>
    </row>
    <row r="4442" ht="22.5" customHeight="1">
      <c r="A4442" s="49"/>
      <c r="C4442" s="384">
        <v>45906.0</v>
      </c>
      <c r="D4442" s="65">
        <v>7066.0</v>
      </c>
      <c r="E4442" s="445" t="s">
        <v>251</v>
      </c>
      <c r="F4442" s="386">
        <v>1.0</v>
      </c>
      <c r="G4442" s="74">
        <v>150000.0</v>
      </c>
      <c r="H4442" s="74">
        <v>0.0</v>
      </c>
      <c r="I4442" s="74">
        <f t="shared" si="1"/>
        <v>150000</v>
      </c>
      <c r="J4442" s="74">
        <f>IF(E4442="SERVICE",I4442-(I4442*50%),Vlookup(E4442,DATABASE!C:Q,10,false)*F4442)</f>
        <v>75000</v>
      </c>
      <c r="K4442" s="74">
        <f>VLOOKUP(E4442,DATABASE!C:Q,7,false)</f>
        <v>0</v>
      </c>
      <c r="L4442" s="74">
        <v>0.0</v>
      </c>
      <c r="M4442" s="74">
        <f t="shared" si="2"/>
        <v>0</v>
      </c>
      <c r="N4442" s="74">
        <f t="shared" si="3"/>
        <v>75000</v>
      </c>
      <c r="O4442" s="65" t="str">
        <f>VLOOKUP(E4442,DATABASE!C:Q,8,false)</f>
        <v>IBU</v>
      </c>
      <c r="P4442" s="65">
        <f>VLOOKUP(E4442,DATABASE!C:Q,9,False)</f>
        <v>0</v>
      </c>
      <c r="Q4442" s="93" t="str">
        <f>VLOOKUP(E4442,DATABASE!C:Q,4,false)</f>
        <v>SERVICE</v>
      </c>
      <c r="R4442" s="93" t="str">
        <f>VLOOKUP(E4442,DATABASE!C:Q,11,false)</f>
        <v>SERVICE</v>
      </c>
    </row>
    <row r="4443" ht="22.5" customHeight="1">
      <c r="A4443" s="49"/>
      <c r="C4443" s="384">
        <v>45906.0</v>
      </c>
      <c r="D4443" s="65">
        <v>7067.0</v>
      </c>
      <c r="E4443" s="445" t="s">
        <v>246</v>
      </c>
      <c r="F4443" s="386">
        <v>2.0</v>
      </c>
      <c r="G4443" s="74">
        <v>25000.0</v>
      </c>
      <c r="H4443" s="74">
        <v>0.0</v>
      </c>
      <c r="I4443" s="74">
        <f t="shared" si="1"/>
        <v>50000</v>
      </c>
      <c r="J4443" s="74">
        <f>IF(E4443="SERVICE",I4443-(I4443*50%),Vlookup(E4443,DATABASE!C:Q,10,false)*F4443)</f>
        <v>0</v>
      </c>
      <c r="K4443" s="74">
        <f>VLOOKUP(E4443,DATABASE!C:Q,7,false)</f>
        <v>0</v>
      </c>
      <c r="L4443" s="74">
        <v>0.0</v>
      </c>
      <c r="M4443" s="74">
        <f t="shared" si="2"/>
        <v>0</v>
      </c>
      <c r="N4443" s="74">
        <f t="shared" si="3"/>
        <v>50000</v>
      </c>
      <c r="O4443" s="65" t="str">
        <f>VLOOKUP(E4443,DATABASE!C:Q,8,false)</f>
        <v>IBU</v>
      </c>
      <c r="P4443" s="65">
        <f>VLOOKUP(E4443,DATABASE!C:Q,9,False)</f>
        <v>0</v>
      </c>
      <c r="Q4443" s="93" t="str">
        <f>VLOOKUP(E4443,DATABASE!C:Q,4,false)</f>
        <v>Bongkar Pasang</v>
      </c>
      <c r="R4443" s="93" t="str">
        <f>VLOOKUP(E4443,DATABASE!C:Q,11,false)</f>
        <v>SERVICE</v>
      </c>
    </row>
    <row r="4444" ht="22.5" customHeight="1">
      <c r="A4444" s="49"/>
      <c r="C4444" s="384">
        <v>45906.0</v>
      </c>
      <c r="D4444" s="65">
        <v>7068.0</v>
      </c>
      <c r="E4444" s="445" t="s">
        <v>856</v>
      </c>
      <c r="F4444" s="386">
        <v>2.0</v>
      </c>
      <c r="G4444" s="74">
        <v>660000.0</v>
      </c>
      <c r="H4444" s="74">
        <v>0.0</v>
      </c>
      <c r="I4444" s="74">
        <f t="shared" si="1"/>
        <v>1320000</v>
      </c>
      <c r="J4444" s="74">
        <f>IF(E4444="SERVICE",I4444-(I4444*50%),Vlookup(E4444,DATABASE!C:Q,10,false)*F4444)</f>
        <v>0</v>
      </c>
      <c r="K4444" s="74">
        <f>VLOOKUP(E4444,DATABASE!C:Q,7,false)</f>
        <v>615300</v>
      </c>
      <c r="L4444" s="74">
        <v>581120.0</v>
      </c>
      <c r="M4444" s="74">
        <f t="shared" si="2"/>
        <v>585000</v>
      </c>
      <c r="N4444" s="74">
        <f t="shared" si="3"/>
        <v>150000</v>
      </c>
      <c r="O4444" s="65" t="str">
        <f>VLOOKUP(E4444,DATABASE!C:Q,8,false)</f>
        <v>BIAN</v>
      </c>
      <c r="P4444" s="65">
        <f>VLOOKUP(E4444,DATABASE!C:Q,9,False)</f>
        <v>1</v>
      </c>
      <c r="Q4444" s="93" t="str">
        <f>VLOOKUP(E4444,DATABASE!C:Q,4,false)</f>
        <v>GT</v>
      </c>
      <c r="R4444" s="93" t="str">
        <f>VLOOKUP(E4444,DATABASE!C:Q,11,false)</f>
        <v>Tire</v>
      </c>
    </row>
    <row r="4445" ht="22.5" customHeight="1">
      <c r="A4445" s="49"/>
      <c r="C4445" s="384">
        <v>45906.0</v>
      </c>
      <c r="D4445" s="65">
        <v>7069.0</v>
      </c>
      <c r="E4445" s="445" t="s">
        <v>256</v>
      </c>
      <c r="F4445" s="386">
        <v>1.0</v>
      </c>
      <c r="G4445" s="74">
        <v>130000.0</v>
      </c>
      <c r="H4445" s="74">
        <v>0.0</v>
      </c>
      <c r="I4445" s="74">
        <f t="shared" si="1"/>
        <v>130000</v>
      </c>
      <c r="J4445" s="74">
        <f>IF(E4445="SERVICE",I4445-(I4445*50%),Vlookup(E4445,DATABASE!C:Q,10,false)*F4445)</f>
        <v>10000</v>
      </c>
      <c r="K4445" s="74">
        <f>VLOOKUP(E4445,DATABASE!C:Q,7,false)</f>
        <v>0</v>
      </c>
      <c r="L4445" s="74">
        <v>0.0</v>
      </c>
      <c r="M4445" s="74">
        <f t="shared" si="2"/>
        <v>0</v>
      </c>
      <c r="N4445" s="74">
        <f t="shared" si="3"/>
        <v>120000</v>
      </c>
      <c r="O4445" s="65" t="str">
        <f>VLOOKUP(E4445,DATABASE!C:Q,8,false)</f>
        <v>IBU</v>
      </c>
      <c r="P4445" s="65">
        <f>VLOOKUP(E4445,DATABASE!C:Q,9,False)</f>
        <v>0</v>
      </c>
      <c r="Q4445" s="93" t="str">
        <f>VLOOKUP(E4445,DATABASE!C:Q,4,false)</f>
        <v>SPOORING</v>
      </c>
      <c r="R4445" s="93" t="str">
        <f>VLOOKUP(E4445,DATABASE!C:Q,11,false)</f>
        <v>SERVICE</v>
      </c>
    </row>
    <row r="4446" ht="22.5" customHeight="1">
      <c r="A4446" s="49"/>
      <c r="C4446" s="384">
        <v>45906.0</v>
      </c>
      <c r="D4446" s="65">
        <v>7069.0</v>
      </c>
      <c r="E4446" s="445" t="s">
        <v>301</v>
      </c>
      <c r="F4446" s="386">
        <v>1.0</v>
      </c>
      <c r="G4446" s="74">
        <v>250000.0</v>
      </c>
      <c r="H4446" s="74">
        <v>0.0</v>
      </c>
      <c r="I4446" s="74">
        <f t="shared" si="1"/>
        <v>250000</v>
      </c>
      <c r="J4446" s="74">
        <f>IF(E4446="SERVICE",I4446-(I4446*50%),Vlookup(E4446,DATABASE!C:Q,10,false)*F4446)</f>
        <v>75000</v>
      </c>
      <c r="K4446" s="74">
        <f>VLOOKUP(E4446,DATABASE!C:Q,7,false)</f>
        <v>75000</v>
      </c>
      <c r="L4446" s="74">
        <v>75000.0</v>
      </c>
      <c r="M4446" s="74">
        <f t="shared" si="2"/>
        <v>75000</v>
      </c>
      <c r="N4446" s="74">
        <f t="shared" si="3"/>
        <v>100000</v>
      </c>
      <c r="O4446" s="65" t="str">
        <f>VLOOKUP(E4446,DATABASE!C:Q,8,false)</f>
        <v>BIAN</v>
      </c>
      <c r="P4446" s="65">
        <f>VLOOKUP(E4446,DATABASE!C:Q,9,False)</f>
        <v>0</v>
      </c>
      <c r="Q4446" s="93" t="str">
        <f>VLOOKUP(E4446,DATABASE!C:Q,4,false)</f>
        <v>Baut Camber</v>
      </c>
      <c r="R4446" s="93" t="str">
        <f>VLOOKUP(E4446,DATABASE!C:Q,11,false)</f>
        <v>COMPLEMENTARY</v>
      </c>
    </row>
    <row r="4447" ht="22.5" customHeight="1">
      <c r="A4447" s="49"/>
      <c r="C4447" s="384">
        <v>45907.0</v>
      </c>
      <c r="D4447" s="65">
        <v>7070.0</v>
      </c>
      <c r="E4447" s="445" t="s">
        <v>1526</v>
      </c>
      <c r="F4447" s="386">
        <v>2.0</v>
      </c>
      <c r="G4447" s="74">
        <v>540000.0</v>
      </c>
      <c r="H4447" s="74">
        <v>0.0</v>
      </c>
      <c r="I4447" s="74">
        <f t="shared" si="1"/>
        <v>1080000</v>
      </c>
      <c r="J4447" s="74">
        <f>IF(E4447="SERVICE",I4447-(I4447*50%),Vlookup(E4447,DATABASE!C:Q,10,false)*F4447)</f>
        <v>0</v>
      </c>
      <c r="K4447" s="74">
        <f>VLOOKUP(E4447,DATABASE!C:Q,7,false)</f>
        <v>450000</v>
      </c>
      <c r="L4447" s="74">
        <v>437000.0</v>
      </c>
      <c r="M4447" s="74">
        <f t="shared" si="2"/>
        <v>440000</v>
      </c>
      <c r="N4447" s="74">
        <f t="shared" si="3"/>
        <v>200000</v>
      </c>
      <c r="O4447" s="65" t="str">
        <f>VLOOKUP(E4447,DATABASE!C:Q,8,false)</f>
        <v>BIAN</v>
      </c>
      <c r="P4447" s="65">
        <f>VLOOKUP(E4447,DATABASE!C:Q,9,False)</f>
        <v>1</v>
      </c>
      <c r="Q4447" s="93" t="str">
        <f>VLOOKUP(E4447,DATABASE!C:Q,4,false)</f>
        <v>Laufen</v>
      </c>
      <c r="R4447" s="93" t="str">
        <f>VLOOKUP(E4447,DATABASE!C:Q,11,false)</f>
        <v>Tire</v>
      </c>
    </row>
    <row r="4448" ht="22.5" customHeight="1">
      <c r="A4448" s="49"/>
      <c r="C4448" s="384">
        <v>45907.0</v>
      </c>
      <c r="D4448" s="65">
        <v>7071.0</v>
      </c>
      <c r="E4448" s="445" t="s">
        <v>288</v>
      </c>
      <c r="F4448" s="386">
        <v>2.0</v>
      </c>
      <c r="G4448" s="74">
        <v>610000.0</v>
      </c>
      <c r="H4448" s="74">
        <v>0.0</v>
      </c>
      <c r="I4448" s="74">
        <f t="shared" si="1"/>
        <v>1220000</v>
      </c>
      <c r="J4448" s="74">
        <f>IF(E4448="SERVICE",I4448-(I4448*50%),Vlookup(E4448,DATABASE!C:Q,10,false)*F4448)</f>
        <v>0</v>
      </c>
      <c r="K4448" s="74">
        <f>VLOOKUP(E4448,DATABASE!C:Q,7,false)</f>
        <v>565760</v>
      </c>
      <c r="L4448" s="74">
        <v>524800.0</v>
      </c>
      <c r="M4448" s="74">
        <f t="shared" si="2"/>
        <v>525000</v>
      </c>
      <c r="N4448" s="74">
        <f t="shared" si="3"/>
        <v>170000</v>
      </c>
      <c r="O4448" s="65" t="str">
        <f>VLOOKUP(E4448,DATABASE!C:Q,8,false)</f>
        <v>BIAN</v>
      </c>
      <c r="P4448" s="65">
        <f>VLOOKUP(E4448,DATABASE!C:Q,9,False)</f>
        <v>1</v>
      </c>
      <c r="Q4448" s="93" t="str">
        <f>VLOOKUP(E4448,DATABASE!C:Q,4,false)</f>
        <v>GT</v>
      </c>
      <c r="R4448" s="93" t="str">
        <f>VLOOKUP(E4448,DATABASE!C:Q,11,false)</f>
        <v>Tire</v>
      </c>
    </row>
    <row r="4449" ht="22.5" customHeight="1">
      <c r="A4449" s="49"/>
      <c r="C4449" s="384">
        <v>45907.0</v>
      </c>
      <c r="D4449" s="65">
        <v>7072.0</v>
      </c>
      <c r="E4449" s="445" t="s">
        <v>1526</v>
      </c>
      <c r="F4449" s="386">
        <v>1.0</v>
      </c>
      <c r="G4449" s="74">
        <v>550000.0</v>
      </c>
      <c r="H4449" s="74">
        <v>0.0</v>
      </c>
      <c r="I4449" s="74">
        <f t="shared" si="1"/>
        <v>550000</v>
      </c>
      <c r="J4449" s="74">
        <f>IF(E4449="SERVICE",I4449-(I4449*50%),Vlookup(E4449,DATABASE!C:Q,10,false)*F4449)</f>
        <v>0</v>
      </c>
      <c r="K4449" s="74">
        <f>VLOOKUP(E4449,DATABASE!C:Q,7,false)</f>
        <v>450000</v>
      </c>
      <c r="L4449" s="74">
        <v>437000.0</v>
      </c>
      <c r="M4449" s="74">
        <f t="shared" si="2"/>
        <v>440000</v>
      </c>
      <c r="N4449" s="74">
        <f t="shared" si="3"/>
        <v>110000</v>
      </c>
      <c r="O4449" s="65" t="str">
        <f>VLOOKUP(E4449,DATABASE!C:Q,8,false)</f>
        <v>BIAN</v>
      </c>
      <c r="P4449" s="65">
        <f>VLOOKUP(E4449,DATABASE!C:Q,9,False)</f>
        <v>1</v>
      </c>
      <c r="Q4449" s="93" t="str">
        <f>VLOOKUP(E4449,DATABASE!C:Q,4,false)</f>
        <v>Laufen</v>
      </c>
      <c r="R4449" s="93" t="str">
        <f>VLOOKUP(E4449,DATABASE!C:Q,11,false)</f>
        <v>Tire</v>
      </c>
    </row>
    <row r="4450" ht="22.5" customHeight="1">
      <c r="A4450" s="49"/>
      <c r="C4450" s="384">
        <v>45907.0</v>
      </c>
      <c r="D4450" s="65">
        <v>7073.0</v>
      </c>
      <c r="E4450" s="445" t="s">
        <v>268</v>
      </c>
      <c r="F4450" s="386">
        <v>2.0</v>
      </c>
      <c r="G4450" s="74">
        <v>720000.0</v>
      </c>
      <c r="H4450" s="74">
        <v>0.0</v>
      </c>
      <c r="I4450" s="74">
        <f t="shared" si="1"/>
        <v>1440000</v>
      </c>
      <c r="J4450" s="74">
        <f>IF(E4450="SERVICE",I4450-(I4450*50%),Vlookup(E4450,DATABASE!C:Q,10,false)*F4450)</f>
        <v>0</v>
      </c>
      <c r="K4450" s="74">
        <f>VLOOKUP(E4450,DATABASE!C:Q,7,false)</f>
        <v>653000</v>
      </c>
      <c r="L4450" s="74">
        <v>622000.0</v>
      </c>
      <c r="M4450" s="74">
        <f t="shared" si="2"/>
        <v>625000</v>
      </c>
      <c r="N4450" s="74">
        <f t="shared" si="3"/>
        <v>190000</v>
      </c>
      <c r="O4450" s="65" t="str">
        <f>VLOOKUP(E4450,DATABASE!C:Q,8,false)</f>
        <v>IBU</v>
      </c>
      <c r="P4450" s="65">
        <f>VLOOKUP(E4450,DATABASE!C:Q,9,False)</f>
        <v>1</v>
      </c>
      <c r="Q4450" s="93" t="str">
        <f>VLOOKUP(E4450,DATABASE!C:Q,4,false)</f>
        <v>Dunlop</v>
      </c>
      <c r="R4450" s="93" t="str">
        <f>VLOOKUP(E4450,DATABASE!C:Q,11,false)</f>
        <v>Tire</v>
      </c>
    </row>
    <row r="4451" ht="22.5" customHeight="1">
      <c r="A4451" s="49"/>
      <c r="C4451" s="384">
        <v>45907.0</v>
      </c>
      <c r="D4451" s="65">
        <v>7074.0</v>
      </c>
      <c r="E4451" s="445" t="s">
        <v>271</v>
      </c>
      <c r="F4451" s="386">
        <v>2.0</v>
      </c>
      <c r="G4451" s="74">
        <v>640000.0</v>
      </c>
      <c r="H4451" s="74">
        <v>0.0</v>
      </c>
      <c r="I4451" s="74">
        <f t="shared" si="1"/>
        <v>1280000</v>
      </c>
      <c r="J4451" s="74">
        <f>IF(E4451="SERVICE",I4451-(I4451*50%),Vlookup(E4451,DATABASE!C:Q,10,false)*F4451)</f>
        <v>0</v>
      </c>
      <c r="K4451" s="74">
        <f>VLOOKUP(E4451,DATABASE!C:Q,7,false)</f>
        <v>570000</v>
      </c>
      <c r="L4451" s="74">
        <v>539000.0</v>
      </c>
      <c r="M4451" s="74">
        <f t="shared" si="2"/>
        <v>540000</v>
      </c>
      <c r="N4451" s="74">
        <f t="shared" si="3"/>
        <v>200000</v>
      </c>
      <c r="O4451" s="65" t="str">
        <f>VLOOKUP(E4451,DATABASE!C:Q,8,false)</f>
        <v>IBU</v>
      </c>
      <c r="P4451" s="65">
        <f>VLOOKUP(E4451,DATABASE!C:Q,9,False)</f>
        <v>1</v>
      </c>
      <c r="Q4451" s="93" t="str">
        <f>VLOOKUP(E4451,DATABASE!C:Q,4,false)</f>
        <v>Dunlop</v>
      </c>
      <c r="R4451" s="93" t="str">
        <f>VLOOKUP(E4451,DATABASE!C:Q,11,false)</f>
        <v>Tire</v>
      </c>
    </row>
    <row r="4452" ht="22.5" customHeight="1">
      <c r="A4452" s="49"/>
      <c r="C4452" s="384">
        <v>45907.0</v>
      </c>
      <c r="D4452" s="65">
        <v>7075.0</v>
      </c>
      <c r="E4452" s="445" t="s">
        <v>1507</v>
      </c>
      <c r="F4452" s="386">
        <v>1.0</v>
      </c>
      <c r="G4452" s="74">
        <v>730000.0</v>
      </c>
      <c r="H4452" s="74">
        <v>0.0</v>
      </c>
      <c r="I4452" s="74">
        <f t="shared" si="1"/>
        <v>730000</v>
      </c>
      <c r="J4452" s="74">
        <f>IF(E4452="SERVICE",I4452-(I4452*50%),Vlookup(E4452,DATABASE!C:Q,10,false)*F4452)</f>
        <v>0</v>
      </c>
      <c r="K4452" s="74">
        <f>VLOOKUP(E4452,DATABASE!C:Q,7,false)</f>
        <v>638500</v>
      </c>
      <c r="L4452" s="74">
        <v>638500.0</v>
      </c>
      <c r="M4452" s="74">
        <f t="shared" si="2"/>
        <v>640000</v>
      </c>
      <c r="N4452" s="74">
        <f t="shared" si="3"/>
        <v>90000</v>
      </c>
      <c r="O4452" s="65" t="str">
        <f>VLOOKUP(E4452,DATABASE!C:Q,8,false)</f>
        <v>IBU</v>
      </c>
      <c r="P4452" s="65">
        <f>VLOOKUP(E4452,DATABASE!C:Q,9,False)</f>
        <v>1</v>
      </c>
      <c r="Q4452" s="93" t="str">
        <f>VLOOKUP(E4452,DATABASE!C:Q,4,false)</f>
        <v>Dunlop</v>
      </c>
      <c r="R4452" s="93" t="str">
        <f>VLOOKUP(E4452,DATABASE!C:Q,11,false)</f>
        <v>Tire</v>
      </c>
    </row>
    <row r="4453" ht="22.5" customHeight="1">
      <c r="A4453" s="49"/>
      <c r="C4453" s="384">
        <v>45908.0</v>
      </c>
      <c r="D4453" s="65">
        <v>7076.0</v>
      </c>
      <c r="E4453" s="445" t="s">
        <v>791</v>
      </c>
      <c r="F4453" s="386">
        <v>2.0</v>
      </c>
      <c r="G4453" s="74">
        <v>1275000.0</v>
      </c>
      <c r="H4453" s="74">
        <v>0.0</v>
      </c>
      <c r="I4453" s="74">
        <f t="shared" si="1"/>
        <v>2550000</v>
      </c>
      <c r="J4453" s="74">
        <f>IF(E4453="SERVICE",I4453-(I4453*50%),Vlookup(E4453,DATABASE!C:Q,10,false)*F4453)</f>
        <v>0</v>
      </c>
      <c r="K4453" s="74">
        <f>VLOOKUP(E4453,DATABASE!C:Q,7,false)</f>
        <v>1210000</v>
      </c>
      <c r="L4453" s="74">
        <v>1180000.0</v>
      </c>
      <c r="M4453" s="74">
        <f t="shared" si="2"/>
        <v>1180000</v>
      </c>
      <c r="N4453" s="74">
        <f t="shared" si="3"/>
        <v>190000</v>
      </c>
      <c r="O4453" s="65" t="str">
        <f>VLOOKUP(E4453,DATABASE!C:Q,8,false)</f>
        <v>BIAN</v>
      </c>
      <c r="P4453" s="65">
        <f>VLOOKUP(E4453,DATABASE!C:Q,9,False)</f>
        <v>1</v>
      </c>
      <c r="Q4453" s="93" t="str">
        <f>VLOOKUP(E4453,DATABASE!C:Q,4,false)</f>
        <v>GT</v>
      </c>
      <c r="R4453" s="93" t="str">
        <f>VLOOKUP(E4453,DATABASE!C:Q,11,false)</f>
        <v>Tire</v>
      </c>
    </row>
    <row r="4454" ht="22.5" customHeight="1">
      <c r="A4454" s="49"/>
      <c r="C4454" s="384">
        <v>45908.0</v>
      </c>
      <c r="D4454" s="65">
        <v>7076.0</v>
      </c>
      <c r="E4454" s="445" t="s">
        <v>255</v>
      </c>
      <c r="F4454" s="386">
        <v>1.0</v>
      </c>
      <c r="G4454" s="74">
        <v>200000.0</v>
      </c>
      <c r="H4454" s="74">
        <v>0.0</v>
      </c>
      <c r="I4454" s="74">
        <f t="shared" si="1"/>
        <v>200000</v>
      </c>
      <c r="J4454" s="74">
        <f>IF(E4454="SERVICE",I4454-(I4454*50%),Vlookup(E4454,DATABASE!C:Q,10,false)*F4454)</f>
        <v>0</v>
      </c>
      <c r="K4454" s="74">
        <f>VLOOKUP(E4454,DATABASE!C:Q,7,false)</f>
        <v>161840</v>
      </c>
      <c r="L4454" s="74">
        <v>161840.0</v>
      </c>
      <c r="M4454" s="74">
        <f t="shared" si="2"/>
        <v>165000</v>
      </c>
      <c r="N4454" s="74">
        <f t="shared" si="3"/>
        <v>35000</v>
      </c>
      <c r="O4454" s="65" t="str">
        <f>VLOOKUP(E4454,DATABASE!C:Q,8,false)</f>
        <v>BIAN</v>
      </c>
      <c r="P4454" s="65">
        <f>VLOOKUP(E4454,DATABASE!C:Q,9,False)</f>
        <v>1</v>
      </c>
      <c r="Q4454" s="93" t="str">
        <f>VLOOKUP(E4454,DATABASE!C:Q,4,false)</f>
        <v>BD</v>
      </c>
      <c r="R4454" s="93" t="str">
        <f>VLOOKUP(E4454,DATABASE!C:Q,11,false)</f>
        <v>Tire</v>
      </c>
    </row>
    <row r="4455" ht="22.5" customHeight="1">
      <c r="A4455" s="49"/>
      <c r="C4455" s="384">
        <v>45908.0</v>
      </c>
      <c r="D4455" s="65">
        <v>7078.0</v>
      </c>
      <c r="E4455" s="445" t="s">
        <v>955</v>
      </c>
      <c r="F4455" s="386">
        <v>1.0</v>
      </c>
      <c r="G4455" s="74">
        <v>785000.0</v>
      </c>
      <c r="H4455" s="74">
        <v>0.0</v>
      </c>
      <c r="I4455" s="74">
        <f t="shared" si="1"/>
        <v>785000</v>
      </c>
      <c r="J4455" s="74">
        <f>IF(E4455="SERVICE",I4455-(I4455*50%),Vlookup(E4455,DATABASE!C:Q,10,false)*F4455)</f>
        <v>0</v>
      </c>
      <c r="K4455" s="74">
        <f>VLOOKUP(E4455,DATABASE!C:Q,7,false)</f>
        <v>712000</v>
      </c>
      <c r="L4455" s="74">
        <v>674000.0</v>
      </c>
      <c r="M4455" s="74">
        <f t="shared" si="2"/>
        <v>675000</v>
      </c>
      <c r="N4455" s="74">
        <f t="shared" si="3"/>
        <v>110000</v>
      </c>
      <c r="O4455" s="65" t="str">
        <f>VLOOKUP(E4455,DATABASE!C:Q,8,false)</f>
        <v>IBU</v>
      </c>
      <c r="P4455" s="65">
        <f>VLOOKUP(E4455,DATABASE!C:Q,9,False)</f>
        <v>1</v>
      </c>
      <c r="Q4455" s="93" t="str">
        <f>VLOOKUP(E4455,DATABASE!C:Q,4,false)</f>
        <v>Dunlop</v>
      </c>
      <c r="R4455" s="93" t="str">
        <f>VLOOKUP(E4455,DATABASE!C:Q,11,false)</f>
        <v>Tire</v>
      </c>
    </row>
    <row r="4456" ht="22.5" customHeight="1">
      <c r="A4456" s="49"/>
      <c r="C4456" s="384">
        <v>45908.0</v>
      </c>
      <c r="D4456" s="65">
        <v>7079.0</v>
      </c>
      <c r="E4456" s="445" t="s">
        <v>265</v>
      </c>
      <c r="F4456" s="386">
        <v>2.0</v>
      </c>
      <c r="G4456" s="74">
        <v>690000.0</v>
      </c>
      <c r="H4456" s="74">
        <v>0.0</v>
      </c>
      <c r="I4456" s="74">
        <f t="shared" si="1"/>
        <v>1380000</v>
      </c>
      <c r="J4456" s="74">
        <f>IF(E4456="SERVICE",I4456-(I4456*50%),Vlookup(E4456,DATABASE!C:Q,10,false)*F4456)</f>
        <v>0</v>
      </c>
      <c r="K4456" s="74">
        <f>VLOOKUP(E4456,DATABASE!C:Q,7,false)</f>
        <v>628000</v>
      </c>
      <c r="L4456" s="74">
        <v>610000.0</v>
      </c>
      <c r="M4456" s="74">
        <f t="shared" si="2"/>
        <v>610000</v>
      </c>
      <c r="N4456" s="74">
        <f t="shared" si="3"/>
        <v>160000</v>
      </c>
      <c r="O4456" s="65" t="str">
        <f>VLOOKUP(E4456,DATABASE!C:Q,8,false)</f>
        <v>IBU</v>
      </c>
      <c r="P4456" s="65">
        <f>VLOOKUP(E4456,DATABASE!C:Q,9,False)</f>
        <v>1</v>
      </c>
      <c r="Q4456" s="93" t="str">
        <f>VLOOKUP(E4456,DATABASE!C:Q,4,false)</f>
        <v>Dunlop</v>
      </c>
      <c r="R4456" s="93" t="str">
        <f>VLOOKUP(E4456,DATABASE!C:Q,11,false)</f>
        <v>Tire</v>
      </c>
    </row>
    <row r="4457" ht="22.5" customHeight="1">
      <c r="A4457" s="49"/>
      <c r="C4457" s="384">
        <v>45908.0</v>
      </c>
      <c r="D4457" s="65">
        <v>7080.0</v>
      </c>
      <c r="E4457" s="445" t="s">
        <v>268</v>
      </c>
      <c r="F4457" s="386">
        <v>2.0</v>
      </c>
      <c r="G4457" s="74">
        <v>720000.0</v>
      </c>
      <c r="H4457" s="74">
        <v>0.0</v>
      </c>
      <c r="I4457" s="74">
        <f t="shared" si="1"/>
        <v>1440000</v>
      </c>
      <c r="J4457" s="74">
        <f>IF(E4457="SERVICE",I4457-(I4457*50%),Vlookup(E4457,DATABASE!C:Q,10,false)*F4457)</f>
        <v>0</v>
      </c>
      <c r="K4457" s="74">
        <f>VLOOKUP(E4457,DATABASE!C:Q,7,false)</f>
        <v>653000</v>
      </c>
      <c r="L4457" s="74">
        <v>622000.0</v>
      </c>
      <c r="M4457" s="74">
        <f t="shared" si="2"/>
        <v>625000</v>
      </c>
      <c r="N4457" s="74">
        <f t="shared" si="3"/>
        <v>190000</v>
      </c>
      <c r="O4457" s="65" t="str">
        <f>VLOOKUP(E4457,DATABASE!C:Q,8,false)</f>
        <v>IBU</v>
      </c>
      <c r="P4457" s="65">
        <f>VLOOKUP(E4457,DATABASE!C:Q,9,False)</f>
        <v>1</v>
      </c>
      <c r="Q4457" s="93" t="str">
        <f>VLOOKUP(E4457,DATABASE!C:Q,4,false)</f>
        <v>Dunlop</v>
      </c>
      <c r="R4457" s="93" t="str">
        <f>VLOOKUP(E4457,DATABASE!C:Q,11,false)</f>
        <v>Tire</v>
      </c>
    </row>
    <row r="4458" ht="22.5" customHeight="1">
      <c r="A4458" s="49"/>
      <c r="C4458" s="384">
        <v>45908.0</v>
      </c>
      <c r="D4458" s="65">
        <v>7081.0</v>
      </c>
      <c r="E4458" s="445" t="s">
        <v>268</v>
      </c>
      <c r="F4458" s="386">
        <v>1.0</v>
      </c>
      <c r="G4458" s="74">
        <v>720000.0</v>
      </c>
      <c r="H4458" s="74">
        <v>0.0</v>
      </c>
      <c r="I4458" s="74">
        <f t="shared" si="1"/>
        <v>720000</v>
      </c>
      <c r="J4458" s="74">
        <f>IF(E4458="SERVICE",I4458-(I4458*50%),Vlookup(E4458,DATABASE!C:Q,10,false)*F4458)</f>
        <v>0</v>
      </c>
      <c r="K4458" s="74">
        <f>VLOOKUP(E4458,DATABASE!C:Q,7,false)</f>
        <v>653000</v>
      </c>
      <c r="L4458" s="74">
        <v>622000.0</v>
      </c>
      <c r="M4458" s="74">
        <f t="shared" si="2"/>
        <v>625000</v>
      </c>
      <c r="N4458" s="74">
        <f t="shared" si="3"/>
        <v>95000</v>
      </c>
      <c r="O4458" s="65" t="str">
        <f>VLOOKUP(E4458,DATABASE!C:Q,8,false)</f>
        <v>IBU</v>
      </c>
      <c r="P4458" s="65">
        <f>VLOOKUP(E4458,DATABASE!C:Q,9,False)</f>
        <v>1</v>
      </c>
      <c r="Q4458" s="93" t="str">
        <f>VLOOKUP(E4458,DATABASE!C:Q,4,false)</f>
        <v>Dunlop</v>
      </c>
      <c r="R4458" s="93" t="str">
        <f>VLOOKUP(E4458,DATABASE!C:Q,11,false)</f>
        <v>Tire</v>
      </c>
    </row>
    <row r="4459" ht="22.5" customHeight="1">
      <c r="A4459" s="49"/>
      <c r="C4459" s="384">
        <v>45908.0</v>
      </c>
      <c r="D4459" s="65">
        <v>7082.0</v>
      </c>
      <c r="E4459" s="445" t="s">
        <v>569</v>
      </c>
      <c r="F4459" s="386">
        <v>1.0</v>
      </c>
      <c r="G4459" s="74">
        <v>80000.0</v>
      </c>
      <c r="H4459" s="74">
        <v>0.0</v>
      </c>
      <c r="I4459" s="74">
        <f t="shared" si="1"/>
        <v>80000</v>
      </c>
      <c r="J4459" s="74">
        <f>IF(E4459="SERVICE",I4459-(I4459*50%),Vlookup(E4459,DATABASE!C:Q,10,false)*F4459)</f>
        <v>0</v>
      </c>
      <c r="K4459" s="74">
        <f>VLOOKUP(E4459,DATABASE!C:Q,7,false)</f>
        <v>45439.582</v>
      </c>
      <c r="L4459" s="74">
        <v>45309.6</v>
      </c>
      <c r="M4459" s="74">
        <f t="shared" si="2"/>
        <v>50000</v>
      </c>
      <c r="N4459" s="74">
        <f t="shared" si="3"/>
        <v>30000</v>
      </c>
      <c r="O4459" s="65" t="str">
        <f>VLOOKUP(E4459,DATABASE!C:Q,8,false)</f>
        <v>BIAN</v>
      </c>
      <c r="P4459" s="65">
        <f>VLOOKUP(E4459,DATABASE!C:Q,9,False)</f>
        <v>1</v>
      </c>
      <c r="Q4459" s="93" t="str">
        <f>VLOOKUP(E4459,DATABASE!C:Q,4,false)</f>
        <v>BD</v>
      </c>
      <c r="R4459" s="93" t="str">
        <f>VLOOKUP(E4459,DATABASE!C:Q,11,false)</f>
        <v>Tire</v>
      </c>
    </row>
    <row r="4460" ht="22.5" customHeight="1">
      <c r="A4460" s="49"/>
      <c r="C4460" s="384">
        <v>45908.0</v>
      </c>
      <c r="D4460" s="65">
        <v>7083.0</v>
      </c>
      <c r="E4460" s="445" t="s">
        <v>2428</v>
      </c>
      <c r="F4460" s="386">
        <v>1.0</v>
      </c>
      <c r="G4460" s="74">
        <v>1100000.0</v>
      </c>
      <c r="H4460" s="74">
        <v>0.0</v>
      </c>
      <c r="I4460" s="74">
        <f t="shared" si="1"/>
        <v>1100000</v>
      </c>
      <c r="J4460" s="74">
        <f>IF(E4460="SERVICE",I4460-(I4460*50%),Vlookup(E4460,DATABASE!C:Q,10,false)*F4460)</f>
        <v>0</v>
      </c>
      <c r="K4460" s="74">
        <f>VLOOKUP(E4460,DATABASE!C:Q,7,false)</f>
        <v>960000</v>
      </c>
      <c r="L4460" s="74">
        <v>960000.0</v>
      </c>
      <c r="M4460" s="74">
        <f t="shared" si="2"/>
        <v>960000</v>
      </c>
      <c r="N4460" s="74">
        <f t="shared" si="3"/>
        <v>140000</v>
      </c>
      <c r="O4460" s="65" t="str">
        <f>VLOOKUP(E4460,DATABASE!C:Q,8,false)</f>
        <v>BIAN</v>
      </c>
      <c r="P4460" s="65">
        <f>VLOOKUP(E4460,DATABASE!C:Q,9,False)</f>
        <v>1</v>
      </c>
      <c r="Q4460" s="93" t="str">
        <f>VLOOKUP(E4460,DATABASE!C:Q,4,false)</f>
        <v>VELG</v>
      </c>
      <c r="R4460" s="93" t="str">
        <f>VLOOKUP(E4460,DATABASE!C:Q,11,false)</f>
        <v>Tire</v>
      </c>
    </row>
    <row r="4461" ht="22.5" customHeight="1">
      <c r="A4461" s="49"/>
      <c r="C4461" s="384">
        <v>45908.0</v>
      </c>
      <c r="D4461" s="65">
        <v>7084.0</v>
      </c>
      <c r="E4461" s="445" t="s">
        <v>955</v>
      </c>
      <c r="F4461" s="386">
        <v>2.0</v>
      </c>
      <c r="G4461" s="74">
        <v>775000.0</v>
      </c>
      <c r="H4461" s="74">
        <v>0.0</v>
      </c>
      <c r="I4461" s="74">
        <f t="shared" si="1"/>
        <v>1550000</v>
      </c>
      <c r="J4461" s="74">
        <f>IF(E4461="SERVICE",I4461-(I4461*50%),Vlookup(E4461,DATABASE!C:Q,10,false)*F4461)</f>
        <v>0</v>
      </c>
      <c r="K4461" s="74">
        <f>VLOOKUP(E4461,DATABASE!C:Q,7,false)</f>
        <v>712000</v>
      </c>
      <c r="L4461" s="74">
        <v>674000.0</v>
      </c>
      <c r="M4461" s="74">
        <f t="shared" si="2"/>
        <v>675000</v>
      </c>
      <c r="N4461" s="74">
        <f t="shared" si="3"/>
        <v>200000</v>
      </c>
      <c r="O4461" s="65" t="str">
        <f>VLOOKUP(E4461,DATABASE!C:Q,8,false)</f>
        <v>IBU</v>
      </c>
      <c r="P4461" s="65">
        <f>VLOOKUP(E4461,DATABASE!C:Q,9,False)</f>
        <v>1</v>
      </c>
      <c r="Q4461" s="93" t="str">
        <f>VLOOKUP(E4461,DATABASE!C:Q,4,false)</f>
        <v>Dunlop</v>
      </c>
      <c r="R4461" s="93" t="str">
        <f>VLOOKUP(E4461,DATABASE!C:Q,11,false)</f>
        <v>Tire</v>
      </c>
    </row>
    <row r="4462" ht="22.5" customHeight="1">
      <c r="A4462" s="49"/>
      <c r="C4462" s="384">
        <v>45908.0</v>
      </c>
      <c r="D4462" s="65">
        <v>7085.0</v>
      </c>
      <c r="E4462" s="445" t="s">
        <v>286</v>
      </c>
      <c r="F4462" s="386">
        <v>6.0</v>
      </c>
      <c r="G4462" s="74">
        <v>550000.0</v>
      </c>
      <c r="H4462" s="74">
        <v>0.0</v>
      </c>
      <c r="I4462" s="74">
        <f t="shared" si="1"/>
        <v>3300000</v>
      </c>
      <c r="J4462" s="74">
        <f>IF(E4462="SERVICE",I4462-(I4462*50%),Vlookup(E4462,DATABASE!C:Q,10,false)*F4462)</f>
        <v>0</v>
      </c>
      <c r="K4462" s="74">
        <f>VLOOKUP(E4462,DATABASE!C:Q,7,false)</f>
        <v>488320</v>
      </c>
      <c r="L4462" s="74">
        <v>452970.0</v>
      </c>
      <c r="M4462" s="74">
        <f t="shared" si="2"/>
        <v>455000</v>
      </c>
      <c r="N4462" s="74">
        <f t="shared" si="3"/>
        <v>570000</v>
      </c>
      <c r="O4462" s="65" t="str">
        <f>VLOOKUP(E4462,DATABASE!C:Q,8,false)</f>
        <v>BIAN</v>
      </c>
      <c r="P4462" s="65">
        <f>VLOOKUP(E4462,DATABASE!C:Q,9,False)</f>
        <v>1</v>
      </c>
      <c r="Q4462" s="93" t="str">
        <f>VLOOKUP(E4462,DATABASE!C:Q,4,false)</f>
        <v>GT</v>
      </c>
      <c r="R4462" s="93" t="str">
        <f>VLOOKUP(E4462,DATABASE!C:Q,11,false)</f>
        <v>Tire</v>
      </c>
    </row>
    <row r="4463" ht="22.5" customHeight="1">
      <c r="A4463" s="49"/>
      <c r="C4463" s="384">
        <v>45908.0</v>
      </c>
      <c r="D4463" s="65">
        <v>7086.0</v>
      </c>
      <c r="E4463" s="445" t="s">
        <v>1894</v>
      </c>
      <c r="F4463" s="386">
        <v>3.0</v>
      </c>
      <c r="G4463" s="74">
        <v>545000.0</v>
      </c>
      <c r="H4463" s="74">
        <v>0.0</v>
      </c>
      <c r="I4463" s="74">
        <f t="shared" si="1"/>
        <v>1635000</v>
      </c>
      <c r="J4463" s="74">
        <f>IF(E4463="SERVICE",I4463-(I4463*50%),Vlookup(E4463,DATABASE!C:Q,10,false)*F4463)</f>
        <v>0</v>
      </c>
      <c r="K4463" s="74">
        <f>VLOOKUP(E4463,DATABASE!C:Q,7,false)</f>
        <v>458600</v>
      </c>
      <c r="L4463" s="74">
        <v>445400.0</v>
      </c>
      <c r="M4463" s="74">
        <f t="shared" si="2"/>
        <v>450000</v>
      </c>
      <c r="N4463" s="74">
        <f t="shared" si="3"/>
        <v>285000</v>
      </c>
      <c r="O4463" s="65" t="str">
        <f>VLOOKUP(E4463,DATABASE!C:Q,8,false)</f>
        <v>BIAN</v>
      </c>
      <c r="P4463" s="65">
        <f>VLOOKUP(E4463,DATABASE!C:Q,9,False)</f>
        <v>1</v>
      </c>
      <c r="Q4463" s="93" t="str">
        <f>VLOOKUP(E4463,DATABASE!C:Q,4,false)</f>
        <v>GT</v>
      </c>
      <c r="R4463" s="93" t="str">
        <f>VLOOKUP(E4463,DATABASE!C:Q,11,false)</f>
        <v>Tire</v>
      </c>
    </row>
    <row r="4464" ht="22.5" customHeight="1">
      <c r="A4464" s="49"/>
      <c r="C4464" s="384">
        <v>45908.0</v>
      </c>
      <c r="D4464" s="65">
        <v>7087.0</v>
      </c>
      <c r="E4464" s="445" t="s">
        <v>1894</v>
      </c>
      <c r="F4464" s="386">
        <v>1.0</v>
      </c>
      <c r="G4464" s="74">
        <v>545000.0</v>
      </c>
      <c r="H4464" s="74">
        <v>0.0</v>
      </c>
      <c r="I4464" s="74">
        <f t="shared" si="1"/>
        <v>545000</v>
      </c>
      <c r="J4464" s="74">
        <f>IF(E4464="SERVICE",I4464-(I4464*50%),Vlookup(E4464,DATABASE!C:Q,10,false)*F4464)</f>
        <v>0</v>
      </c>
      <c r="K4464" s="74">
        <f>VLOOKUP(E4464,DATABASE!C:Q,7,false)</f>
        <v>458600</v>
      </c>
      <c r="L4464" s="74">
        <v>445400.0</v>
      </c>
      <c r="M4464" s="74">
        <f t="shared" si="2"/>
        <v>450000</v>
      </c>
      <c r="N4464" s="74">
        <f t="shared" si="3"/>
        <v>95000</v>
      </c>
      <c r="O4464" s="65" t="str">
        <f>VLOOKUP(E4464,DATABASE!C:Q,8,false)</f>
        <v>BIAN</v>
      </c>
      <c r="P4464" s="65">
        <f>VLOOKUP(E4464,DATABASE!C:Q,9,False)</f>
        <v>1</v>
      </c>
      <c r="Q4464" s="93" t="str">
        <f>VLOOKUP(E4464,DATABASE!C:Q,4,false)</f>
        <v>GT</v>
      </c>
      <c r="R4464" s="93" t="str">
        <f>VLOOKUP(E4464,DATABASE!C:Q,11,false)</f>
        <v>Tire</v>
      </c>
    </row>
    <row r="4465" ht="22.5" customHeight="1">
      <c r="A4465" s="49"/>
      <c r="C4465" s="384">
        <v>45908.0</v>
      </c>
      <c r="D4465" s="65">
        <v>7088.0</v>
      </c>
      <c r="E4465" s="445" t="s">
        <v>262</v>
      </c>
      <c r="F4465" s="386">
        <v>1.0</v>
      </c>
      <c r="G4465" s="74">
        <v>110000.0</v>
      </c>
      <c r="H4465" s="74">
        <v>0.0</v>
      </c>
      <c r="I4465" s="74">
        <f t="shared" si="1"/>
        <v>110000</v>
      </c>
      <c r="J4465" s="74">
        <f>IF(E4465="SERVICE",I4465-(I4465*50%),Vlookup(E4465,DATABASE!C:Q,10,false)*F4465)</f>
        <v>5000</v>
      </c>
      <c r="K4465" s="74">
        <f>VLOOKUP(E4465,DATABASE!C:Q,7,false)</f>
        <v>0</v>
      </c>
      <c r="L4465" s="74">
        <v>0.0</v>
      </c>
      <c r="M4465" s="74">
        <f t="shared" si="2"/>
        <v>0</v>
      </c>
      <c r="N4465" s="74">
        <f t="shared" si="3"/>
        <v>105000</v>
      </c>
      <c r="O4465" s="65" t="str">
        <f>VLOOKUP(E4465,DATABASE!C:Q,8,false)</f>
        <v>IBU</v>
      </c>
      <c r="P4465" s="65">
        <f>VLOOKUP(E4465,DATABASE!C:Q,9,False)</f>
        <v>0</v>
      </c>
      <c r="Q4465" s="93" t="str">
        <f>VLOOKUP(E4465,DATABASE!C:Q,4,false)</f>
        <v>SPOORING SS/CARRY LOS BAK</v>
      </c>
      <c r="R4465" s="93" t="str">
        <f>VLOOKUP(E4465,DATABASE!C:Q,11,false)</f>
        <v>SERVICE</v>
      </c>
    </row>
    <row r="4466" ht="22.5" customHeight="1">
      <c r="A4466" s="49"/>
      <c r="C4466" s="384">
        <v>45908.0</v>
      </c>
      <c r="D4466" s="65">
        <v>7088.0</v>
      </c>
      <c r="E4466" s="445" t="s">
        <v>2154</v>
      </c>
      <c r="F4466" s="386">
        <v>1.0</v>
      </c>
      <c r="G4466" s="74">
        <v>205000.0</v>
      </c>
      <c r="H4466" s="74">
        <v>0.0</v>
      </c>
      <c r="I4466" s="74">
        <f t="shared" si="1"/>
        <v>205000</v>
      </c>
      <c r="J4466" s="74">
        <f>IF(E4466="SERVICE",I4466-(I4466*50%),Vlookup(E4466,DATABASE!C:Q,10,false)*F4466)</f>
        <v>80000</v>
      </c>
      <c r="K4466" s="74">
        <f>VLOOKUP(E4466,DATABASE!C:Q,7,false)</f>
        <v>90000</v>
      </c>
      <c r="L4466" s="74">
        <v>65000.0</v>
      </c>
      <c r="M4466" s="74">
        <f t="shared" si="2"/>
        <v>65000</v>
      </c>
      <c r="N4466" s="74">
        <f t="shared" si="3"/>
        <v>60000</v>
      </c>
      <c r="O4466" s="65" t="str">
        <f>VLOOKUP(E4466,DATABASE!C:Q,8,false)</f>
        <v>IBU</v>
      </c>
      <c r="P4466" s="65">
        <f>VLOOKUP(E4466,DATABASE!C:Q,9,False)</f>
        <v>0</v>
      </c>
      <c r="Q4466" s="93" t="str">
        <f>VLOOKUP(E4466,DATABASE!C:Q,4,false)</f>
        <v>SERVICE</v>
      </c>
      <c r="R4466" s="93" t="str">
        <f>VLOOKUP(E4466,DATABASE!C:Q,11,false)</f>
        <v>COMPLEMENTARY</v>
      </c>
    </row>
    <row r="4467" ht="22.5" customHeight="1">
      <c r="A4467" s="49"/>
      <c r="C4467" s="384">
        <v>45908.0</v>
      </c>
      <c r="D4467" s="65">
        <v>7089.0</v>
      </c>
      <c r="E4467" s="445" t="s">
        <v>262</v>
      </c>
      <c r="F4467" s="386">
        <v>1.0</v>
      </c>
      <c r="G4467" s="74">
        <v>110000.0</v>
      </c>
      <c r="H4467" s="74">
        <v>0.0</v>
      </c>
      <c r="I4467" s="74">
        <f t="shared" si="1"/>
        <v>110000</v>
      </c>
      <c r="J4467" s="74">
        <f>IF(E4467="SERVICE",I4467-(I4467*50%),Vlookup(E4467,DATABASE!C:Q,10,false)*F4467)</f>
        <v>5000</v>
      </c>
      <c r="K4467" s="74">
        <f>VLOOKUP(E4467,DATABASE!C:Q,7,false)</f>
        <v>0</v>
      </c>
      <c r="L4467" s="74">
        <v>0.0</v>
      </c>
      <c r="M4467" s="74">
        <f t="shared" si="2"/>
        <v>0</v>
      </c>
      <c r="N4467" s="74">
        <f t="shared" si="3"/>
        <v>105000</v>
      </c>
      <c r="O4467" s="65" t="str">
        <f>VLOOKUP(E4467,DATABASE!C:Q,8,false)</f>
        <v>IBU</v>
      </c>
      <c r="P4467" s="65">
        <f>VLOOKUP(E4467,DATABASE!C:Q,9,False)</f>
        <v>0</v>
      </c>
      <c r="Q4467" s="93" t="str">
        <f>VLOOKUP(E4467,DATABASE!C:Q,4,false)</f>
        <v>SPOORING SS/CARRY LOS BAK</v>
      </c>
      <c r="R4467" s="93" t="str">
        <f>VLOOKUP(E4467,DATABASE!C:Q,11,false)</f>
        <v>SERVICE</v>
      </c>
    </row>
    <row r="4468" ht="22.5" customHeight="1">
      <c r="A4468" s="49"/>
      <c r="C4468" s="384">
        <v>45909.0</v>
      </c>
      <c r="D4468" s="65">
        <v>7091.0</v>
      </c>
      <c r="E4468" s="445" t="s">
        <v>932</v>
      </c>
      <c r="F4468" s="386">
        <v>2.0</v>
      </c>
      <c r="G4468" s="74">
        <v>690000.0</v>
      </c>
      <c r="H4468" s="74">
        <v>0.0</v>
      </c>
      <c r="I4468" s="74">
        <f t="shared" si="1"/>
        <v>1380000</v>
      </c>
      <c r="J4468" s="74">
        <f>IF(E4468="SERVICE",I4468-(I4468*50%),Vlookup(E4468,DATABASE!C:Q,10,false)*F4468)</f>
        <v>0</v>
      </c>
      <c r="K4468" s="74">
        <f>VLOOKUP(E4468,DATABASE!C:Q,7,false)</f>
        <v>601000</v>
      </c>
      <c r="L4468" s="74">
        <v>595000.0</v>
      </c>
      <c r="M4468" s="74">
        <f t="shared" si="2"/>
        <v>595000</v>
      </c>
      <c r="N4468" s="74">
        <f t="shared" si="3"/>
        <v>190000</v>
      </c>
      <c r="O4468" s="65" t="str">
        <f>VLOOKUP(E4468,DATABASE!C:Q,8,false)</f>
        <v>IBU</v>
      </c>
      <c r="P4468" s="65">
        <f>VLOOKUP(E4468,DATABASE!C:Q,9,False)</f>
        <v>1</v>
      </c>
      <c r="Q4468" s="93" t="str">
        <f>VLOOKUP(E4468,DATABASE!C:Q,4,false)</f>
        <v>Dunlop</v>
      </c>
      <c r="R4468" s="93" t="str">
        <f>VLOOKUP(E4468,DATABASE!C:Q,11,false)</f>
        <v>Tire</v>
      </c>
    </row>
    <row r="4469" ht="22.5" customHeight="1">
      <c r="A4469" s="49"/>
      <c r="C4469" s="384">
        <v>45909.0</v>
      </c>
      <c r="D4469" s="65">
        <v>7093.0</v>
      </c>
      <c r="E4469" s="445" t="s">
        <v>265</v>
      </c>
      <c r="F4469" s="386">
        <v>2.0</v>
      </c>
      <c r="G4469" s="74">
        <v>690000.0</v>
      </c>
      <c r="H4469" s="74">
        <v>0.0</v>
      </c>
      <c r="I4469" s="74">
        <f t="shared" si="1"/>
        <v>1380000</v>
      </c>
      <c r="J4469" s="74">
        <f>IF(E4469="SERVICE",I4469-(I4469*50%),Vlookup(E4469,DATABASE!C:Q,10,false)*F4469)</f>
        <v>0</v>
      </c>
      <c r="K4469" s="74">
        <f>VLOOKUP(E4469,DATABASE!C:Q,7,false)</f>
        <v>628000</v>
      </c>
      <c r="L4469" s="74">
        <v>610000.0</v>
      </c>
      <c r="M4469" s="74">
        <f t="shared" si="2"/>
        <v>610000</v>
      </c>
      <c r="N4469" s="74">
        <f t="shared" si="3"/>
        <v>160000</v>
      </c>
      <c r="O4469" s="65" t="str">
        <f>VLOOKUP(E4469,DATABASE!C:Q,8,false)</f>
        <v>IBU</v>
      </c>
      <c r="P4469" s="65">
        <f>VLOOKUP(E4469,DATABASE!C:Q,9,False)</f>
        <v>1</v>
      </c>
      <c r="Q4469" s="93" t="str">
        <f>VLOOKUP(E4469,DATABASE!C:Q,4,false)</f>
        <v>Dunlop</v>
      </c>
      <c r="R4469" s="93" t="str">
        <f>VLOOKUP(E4469,DATABASE!C:Q,11,false)</f>
        <v>Tire</v>
      </c>
    </row>
    <row r="4470" ht="22.5" customHeight="1">
      <c r="A4470" s="49"/>
      <c r="C4470" s="384">
        <v>45909.0</v>
      </c>
      <c r="D4470" s="65">
        <v>7093.0</v>
      </c>
      <c r="E4470" s="445" t="s">
        <v>569</v>
      </c>
      <c r="F4470" s="386">
        <v>1.0</v>
      </c>
      <c r="G4470" s="74">
        <v>80000.0</v>
      </c>
      <c r="H4470" s="74">
        <v>0.0</v>
      </c>
      <c r="I4470" s="74">
        <f t="shared" si="1"/>
        <v>80000</v>
      </c>
      <c r="J4470" s="74">
        <f>IF(E4470="SERVICE",I4470-(I4470*50%),Vlookup(E4470,DATABASE!C:Q,10,false)*F4470)</f>
        <v>0</v>
      </c>
      <c r="K4470" s="74">
        <f>VLOOKUP(E4470,DATABASE!C:Q,7,false)</f>
        <v>45439.582</v>
      </c>
      <c r="L4470" s="74">
        <v>45309.6</v>
      </c>
      <c r="M4470" s="74">
        <f t="shared" si="2"/>
        <v>50000</v>
      </c>
      <c r="N4470" s="74">
        <f t="shared" si="3"/>
        <v>30000</v>
      </c>
      <c r="O4470" s="65" t="str">
        <f>VLOOKUP(E4470,DATABASE!C:Q,8,false)</f>
        <v>BIAN</v>
      </c>
      <c r="P4470" s="65">
        <f>VLOOKUP(E4470,DATABASE!C:Q,9,False)</f>
        <v>1</v>
      </c>
      <c r="Q4470" s="93" t="str">
        <f>VLOOKUP(E4470,DATABASE!C:Q,4,false)</f>
        <v>BD</v>
      </c>
      <c r="R4470" s="93" t="str">
        <f>VLOOKUP(E4470,DATABASE!C:Q,11,false)</f>
        <v>Tire</v>
      </c>
    </row>
    <row r="4471" ht="22.5" customHeight="1">
      <c r="A4471" s="49"/>
      <c r="C4471" s="384">
        <v>45909.0</v>
      </c>
      <c r="D4471" s="65">
        <v>7094.0</v>
      </c>
      <c r="E4471" s="445" t="s">
        <v>737</v>
      </c>
      <c r="F4471" s="386">
        <v>1.0</v>
      </c>
      <c r="G4471" s="74">
        <v>260000.0</v>
      </c>
      <c r="H4471" s="74">
        <v>0.0</v>
      </c>
      <c r="I4471" s="74">
        <f t="shared" si="1"/>
        <v>260000</v>
      </c>
      <c r="J4471" s="74">
        <f>IF(E4471="SERVICE",I4471-(I4471*50%),Vlookup(E4471,DATABASE!C:Q,10,false)*F4471)</f>
        <v>0</v>
      </c>
      <c r="K4471" s="74">
        <f>VLOOKUP(E4471,DATABASE!C:Q,7,false)</f>
        <v>241001.6</v>
      </c>
      <c r="L4471" s="74">
        <v>237440.0</v>
      </c>
      <c r="M4471" s="74">
        <f t="shared" si="2"/>
        <v>240000</v>
      </c>
      <c r="N4471" s="74">
        <f t="shared" si="3"/>
        <v>20000</v>
      </c>
      <c r="O4471" s="65" t="str">
        <f>VLOOKUP(E4471,DATABASE!C:Q,8,false)</f>
        <v>IBU</v>
      </c>
      <c r="P4471" s="65">
        <f>VLOOKUP(E4471,DATABASE!C:Q,9,False)</f>
        <v>1</v>
      </c>
      <c r="Q4471" s="93" t="str">
        <f>VLOOKUP(E4471,DATABASE!C:Q,4,false)</f>
        <v>BD</v>
      </c>
      <c r="R4471" s="93" t="str">
        <f>VLOOKUP(E4471,DATABASE!C:Q,11,false)</f>
        <v>Tire</v>
      </c>
    </row>
    <row r="4472" ht="22.5" customHeight="1">
      <c r="A4472" s="49"/>
      <c r="C4472" s="384">
        <v>45909.0</v>
      </c>
      <c r="D4472" s="65">
        <v>7094.0</v>
      </c>
      <c r="E4472" s="445" t="s">
        <v>1714</v>
      </c>
      <c r="F4472" s="386">
        <v>1.0</v>
      </c>
      <c r="G4472" s="74">
        <v>150000.0</v>
      </c>
      <c r="H4472" s="74">
        <v>0.0</v>
      </c>
      <c r="I4472" s="74">
        <f t="shared" si="1"/>
        <v>150000</v>
      </c>
      <c r="J4472" s="74">
        <f>IF(E4472="SERVICE",I4472-(I4472*50%),Vlookup(E4472,DATABASE!C:Q,10,false)*F4472)</f>
        <v>0</v>
      </c>
      <c r="K4472" s="74">
        <f>VLOOKUP(E4472,DATABASE!C:Q,7,false)</f>
        <v>140000</v>
      </c>
      <c r="L4472" s="74">
        <v>140000.0</v>
      </c>
      <c r="M4472" s="74">
        <f t="shared" si="2"/>
        <v>140000</v>
      </c>
      <c r="N4472" s="74">
        <f t="shared" si="3"/>
        <v>10000</v>
      </c>
      <c r="O4472" s="65" t="str">
        <f>VLOOKUP(E4472,DATABASE!C:Q,8,false)</f>
        <v>IBU</v>
      </c>
      <c r="P4472" s="65">
        <f>VLOOKUP(E4472,DATABASE!C:Q,9,False)</f>
        <v>1</v>
      </c>
      <c r="Q4472" s="93" t="str">
        <f>VLOOKUP(E4472,DATABASE!C:Q,4,false)</f>
        <v>Flap</v>
      </c>
      <c r="R4472" s="93" t="str">
        <f>VLOOKUP(E4472,DATABASE!C:Q,11,false)</f>
        <v>Tire</v>
      </c>
    </row>
    <row r="4473" ht="22.5" customHeight="1">
      <c r="A4473" s="49"/>
      <c r="C4473" s="384">
        <v>45909.0</v>
      </c>
      <c r="D4473" s="65">
        <v>7096.0</v>
      </c>
      <c r="E4473" s="445" t="s">
        <v>572</v>
      </c>
      <c r="F4473" s="386">
        <v>2.0</v>
      </c>
      <c r="G4473" s="74">
        <v>1370000.0</v>
      </c>
      <c r="H4473" s="74">
        <v>0.0</v>
      </c>
      <c r="I4473" s="74">
        <f t="shared" si="1"/>
        <v>2740000</v>
      </c>
      <c r="J4473" s="74">
        <f>IF(E4473="SERVICE",I4473-(I4473*50%),Vlookup(E4473,DATABASE!C:Q,10,false)*F4473)</f>
        <v>0</v>
      </c>
      <c r="K4473" s="74">
        <f>VLOOKUP(E4473,DATABASE!C:Q,7,false)</f>
        <v>1265000</v>
      </c>
      <c r="L4473" s="74">
        <v>1245000.0</v>
      </c>
      <c r="M4473" s="74">
        <f t="shared" si="2"/>
        <v>1245000</v>
      </c>
      <c r="N4473" s="74">
        <f t="shared" si="3"/>
        <v>250000</v>
      </c>
      <c r="O4473" s="65" t="str">
        <f>VLOOKUP(E4473,DATABASE!C:Q,8,false)</f>
        <v>IBU</v>
      </c>
      <c r="P4473" s="65">
        <f>VLOOKUP(E4473,DATABASE!C:Q,9,False)</f>
        <v>1</v>
      </c>
      <c r="Q4473" s="93" t="str">
        <f>VLOOKUP(E4473,DATABASE!C:Q,4,false)</f>
        <v>Bridgestone</v>
      </c>
      <c r="R4473" s="93" t="str">
        <f>VLOOKUP(E4473,DATABASE!C:Q,11,false)</f>
        <v>Tire</v>
      </c>
    </row>
    <row r="4474" ht="22.5" customHeight="1">
      <c r="A4474" s="49"/>
      <c r="C4474" s="384">
        <v>45909.0</v>
      </c>
      <c r="D4474" s="65">
        <v>7097.0</v>
      </c>
      <c r="E4474" s="445" t="s">
        <v>932</v>
      </c>
      <c r="F4474" s="386">
        <v>2.0</v>
      </c>
      <c r="G4474" s="74">
        <v>690000.0</v>
      </c>
      <c r="H4474" s="74">
        <v>0.0</v>
      </c>
      <c r="I4474" s="74">
        <f t="shared" si="1"/>
        <v>1380000</v>
      </c>
      <c r="J4474" s="74">
        <f>IF(E4474="SERVICE",I4474-(I4474*50%),Vlookup(E4474,DATABASE!C:Q,10,false)*F4474)</f>
        <v>0</v>
      </c>
      <c r="K4474" s="74">
        <f>VLOOKUP(E4474,DATABASE!C:Q,7,false)</f>
        <v>601000</v>
      </c>
      <c r="L4474" s="74">
        <v>595000.0</v>
      </c>
      <c r="M4474" s="74">
        <f t="shared" si="2"/>
        <v>595000</v>
      </c>
      <c r="N4474" s="74">
        <f t="shared" si="3"/>
        <v>190000</v>
      </c>
      <c r="O4474" s="65" t="str">
        <f>VLOOKUP(E4474,DATABASE!C:Q,8,false)</f>
        <v>IBU</v>
      </c>
      <c r="P4474" s="65">
        <f>VLOOKUP(E4474,DATABASE!C:Q,9,False)</f>
        <v>1</v>
      </c>
      <c r="Q4474" s="93" t="str">
        <f>VLOOKUP(E4474,DATABASE!C:Q,4,false)</f>
        <v>Dunlop</v>
      </c>
      <c r="R4474" s="93" t="str">
        <f>VLOOKUP(E4474,DATABASE!C:Q,11,false)</f>
        <v>Tire</v>
      </c>
    </row>
    <row r="4475" ht="22.5" customHeight="1">
      <c r="A4475" s="49"/>
      <c r="C4475" s="384">
        <v>45909.0</v>
      </c>
      <c r="D4475" s="65">
        <v>7097.0</v>
      </c>
      <c r="E4475" s="445" t="s">
        <v>268</v>
      </c>
      <c r="F4475" s="386">
        <v>2.0</v>
      </c>
      <c r="G4475" s="74">
        <v>710000.0</v>
      </c>
      <c r="H4475" s="74">
        <v>0.0</v>
      </c>
      <c r="I4475" s="74">
        <f t="shared" si="1"/>
        <v>1420000</v>
      </c>
      <c r="J4475" s="74">
        <f>IF(E4475="SERVICE",I4475-(I4475*50%),Vlookup(E4475,DATABASE!C:Q,10,false)*F4475)</f>
        <v>0</v>
      </c>
      <c r="K4475" s="74">
        <f>VLOOKUP(E4475,DATABASE!C:Q,7,false)</f>
        <v>653000</v>
      </c>
      <c r="L4475" s="74">
        <v>622000.0</v>
      </c>
      <c r="M4475" s="74">
        <f t="shared" si="2"/>
        <v>625000</v>
      </c>
      <c r="N4475" s="74">
        <f t="shared" si="3"/>
        <v>170000</v>
      </c>
      <c r="O4475" s="65" t="str">
        <f>VLOOKUP(E4475,DATABASE!C:Q,8,false)</f>
        <v>IBU</v>
      </c>
      <c r="P4475" s="65">
        <f>VLOOKUP(E4475,DATABASE!C:Q,9,False)</f>
        <v>1</v>
      </c>
      <c r="Q4475" s="93" t="str">
        <f>VLOOKUP(E4475,DATABASE!C:Q,4,false)</f>
        <v>Dunlop</v>
      </c>
      <c r="R4475" s="93" t="str">
        <f>VLOOKUP(E4475,DATABASE!C:Q,11,false)</f>
        <v>Tire</v>
      </c>
    </row>
    <row r="4476" ht="22.5" customHeight="1">
      <c r="A4476" s="49"/>
      <c r="C4476" s="384">
        <v>45909.0</v>
      </c>
      <c r="D4476" s="65">
        <v>7097.0</v>
      </c>
      <c r="E4476" s="445" t="s">
        <v>262</v>
      </c>
      <c r="F4476" s="386">
        <v>1.0</v>
      </c>
      <c r="G4476" s="74">
        <v>110000.0</v>
      </c>
      <c r="H4476" s="74">
        <v>0.0</v>
      </c>
      <c r="I4476" s="74">
        <f t="shared" si="1"/>
        <v>110000</v>
      </c>
      <c r="J4476" s="74">
        <f>IF(E4476="SERVICE",I4476-(I4476*50%),Vlookup(E4476,DATABASE!C:Q,10,false)*F4476)</f>
        <v>5000</v>
      </c>
      <c r="K4476" s="74">
        <f>VLOOKUP(E4476,DATABASE!C:Q,7,false)</f>
        <v>0</v>
      </c>
      <c r="L4476" s="74">
        <v>0.0</v>
      </c>
      <c r="M4476" s="74">
        <f t="shared" si="2"/>
        <v>0</v>
      </c>
      <c r="N4476" s="74">
        <f t="shared" si="3"/>
        <v>105000</v>
      </c>
      <c r="O4476" s="65" t="str">
        <f>VLOOKUP(E4476,DATABASE!C:Q,8,false)</f>
        <v>IBU</v>
      </c>
      <c r="P4476" s="65">
        <f>VLOOKUP(E4476,DATABASE!C:Q,9,False)</f>
        <v>0</v>
      </c>
      <c r="Q4476" s="93" t="str">
        <f>VLOOKUP(E4476,DATABASE!C:Q,4,false)</f>
        <v>SPOORING SS/CARRY LOS BAK</v>
      </c>
      <c r="R4476" s="93" t="str">
        <f>VLOOKUP(E4476,DATABASE!C:Q,11,false)</f>
        <v>SERVICE</v>
      </c>
    </row>
    <row r="4477" ht="22.5" customHeight="1">
      <c r="A4477" s="49"/>
      <c r="C4477" s="384">
        <v>45909.0</v>
      </c>
      <c r="D4477" s="65">
        <v>7097.0</v>
      </c>
      <c r="E4477" s="445" t="s">
        <v>591</v>
      </c>
      <c r="F4477" s="386">
        <v>2.0</v>
      </c>
      <c r="G4477" s="74">
        <v>700000.0</v>
      </c>
      <c r="H4477" s="74">
        <v>0.0</v>
      </c>
      <c r="I4477" s="74">
        <f t="shared" si="1"/>
        <v>1400000</v>
      </c>
      <c r="J4477" s="74">
        <f>IF(E4477="SERVICE",I4477-(I4477*50%),Vlookup(E4477,DATABASE!C:Q,10,false)*F4477)</f>
        <v>0</v>
      </c>
      <c r="K4477" s="74">
        <f>VLOOKUP(E4477,DATABASE!C:Q,7,false)</f>
        <v>633035.16</v>
      </c>
      <c r="L4477" s="74">
        <v>593488.4</v>
      </c>
      <c r="M4477" s="74">
        <f t="shared" si="2"/>
        <v>595000</v>
      </c>
      <c r="N4477" s="74">
        <f t="shared" si="3"/>
        <v>210000</v>
      </c>
      <c r="O4477" s="65" t="str">
        <f>VLOOKUP(E4477,DATABASE!C:Q,8,false)</f>
        <v>IBU</v>
      </c>
      <c r="P4477" s="65">
        <f>VLOOKUP(E4477,DATABASE!C:Q,9,False)</f>
        <v>1</v>
      </c>
      <c r="Q4477" s="93" t="str">
        <f>VLOOKUP(E4477,DATABASE!C:Q,4,false)</f>
        <v>Bridgestone</v>
      </c>
      <c r="R4477" s="93" t="str">
        <f>VLOOKUP(E4477,DATABASE!C:Q,11,false)</f>
        <v>Tire</v>
      </c>
    </row>
    <row r="4478" ht="22.5" customHeight="1">
      <c r="A4478" s="49"/>
      <c r="C4478" s="384">
        <v>45909.0</v>
      </c>
      <c r="D4478" s="65">
        <v>7097.0</v>
      </c>
      <c r="E4478" s="445" t="s">
        <v>251</v>
      </c>
      <c r="F4478" s="386">
        <v>1.0</v>
      </c>
      <c r="G4478" s="74">
        <v>60000.0</v>
      </c>
      <c r="H4478" s="74">
        <v>0.0</v>
      </c>
      <c r="I4478" s="74">
        <f t="shared" si="1"/>
        <v>60000</v>
      </c>
      <c r="J4478" s="74">
        <f>IF(E4478="SERVICE",I4478-(I4478*50%),Vlookup(E4478,DATABASE!C:Q,10,false)*F4478)</f>
        <v>30000</v>
      </c>
      <c r="K4478" s="74">
        <f>VLOOKUP(E4478,DATABASE!C:Q,7,false)</f>
        <v>0</v>
      </c>
      <c r="L4478" s="74">
        <v>0.0</v>
      </c>
      <c r="M4478" s="74">
        <f t="shared" si="2"/>
        <v>0</v>
      </c>
      <c r="N4478" s="74">
        <f t="shared" si="3"/>
        <v>30000</v>
      </c>
      <c r="O4478" s="65" t="str">
        <f>VLOOKUP(E4478,DATABASE!C:Q,8,false)</f>
        <v>IBU</v>
      </c>
      <c r="P4478" s="65">
        <f>VLOOKUP(E4478,DATABASE!C:Q,9,False)</f>
        <v>0</v>
      </c>
      <c r="Q4478" s="93" t="str">
        <f>VLOOKUP(E4478,DATABASE!C:Q,4,false)</f>
        <v>SERVICE</v>
      </c>
      <c r="R4478" s="93" t="str">
        <f>VLOOKUP(E4478,DATABASE!C:Q,11,false)</f>
        <v>SERVICE</v>
      </c>
    </row>
    <row r="4479" ht="22.5" customHeight="1">
      <c r="A4479" s="49"/>
      <c r="C4479" s="384">
        <v>45909.0</v>
      </c>
      <c r="D4479" s="65">
        <v>7099.0</v>
      </c>
      <c r="E4479" s="445" t="s">
        <v>250</v>
      </c>
      <c r="F4479" s="386">
        <v>1.0</v>
      </c>
      <c r="G4479" s="74">
        <v>135000.0</v>
      </c>
      <c r="H4479" s="74">
        <v>0.0</v>
      </c>
      <c r="I4479" s="74">
        <f t="shared" si="1"/>
        <v>135000</v>
      </c>
      <c r="J4479" s="74">
        <f>IF(E4479="SERVICE",I4479-(I4479*50%),Vlookup(E4479,DATABASE!C:Q,10,false)*F4479)</f>
        <v>0</v>
      </c>
      <c r="K4479" s="74">
        <f>VLOOKUP(E4479,DATABASE!C:Q,7,false)</f>
        <v>102000</v>
      </c>
      <c r="L4479" s="74">
        <v>102000.0</v>
      </c>
      <c r="M4479" s="74">
        <f t="shared" si="2"/>
        <v>105000</v>
      </c>
      <c r="N4479" s="74">
        <f t="shared" si="3"/>
        <v>30000</v>
      </c>
      <c r="O4479" s="65" t="str">
        <f>VLOOKUP(E4479,DATABASE!C:Q,8,false)</f>
        <v>BIAN</v>
      </c>
      <c r="P4479" s="65">
        <f>VLOOKUP(E4479,DATABASE!C:Q,9,False)</f>
        <v>1</v>
      </c>
      <c r="Q4479" s="93" t="str">
        <f>VLOOKUP(E4479,DATABASE!C:Q,4,false)</f>
        <v>BD</v>
      </c>
      <c r="R4479" s="93" t="str">
        <f>VLOOKUP(E4479,DATABASE!C:Q,11,false)</f>
        <v>Tire</v>
      </c>
    </row>
    <row r="4480" ht="22.5" customHeight="1">
      <c r="A4480" s="49"/>
      <c r="C4480" s="384">
        <v>45910.0</v>
      </c>
      <c r="D4480" s="65">
        <v>7101.0</v>
      </c>
      <c r="E4480" s="445" t="s">
        <v>294</v>
      </c>
      <c r="F4480" s="386">
        <v>1.0</v>
      </c>
      <c r="G4480" s="74">
        <v>570000.0</v>
      </c>
      <c r="H4480" s="74">
        <v>0.0</v>
      </c>
      <c r="I4480" s="74">
        <f t="shared" si="1"/>
        <v>570000</v>
      </c>
      <c r="J4480" s="74">
        <f>IF(E4480="SERVICE",I4480-(I4480*50%),Vlookup(E4480,DATABASE!C:Q,10,false)*F4480)</f>
        <v>0</v>
      </c>
      <c r="K4480" s="74">
        <f>VLOOKUP(E4480,DATABASE!C:Q,7,false)</f>
        <v>505000</v>
      </c>
      <c r="L4480" s="74">
        <v>490000.0</v>
      </c>
      <c r="M4480" s="74">
        <f t="shared" si="2"/>
        <v>490000</v>
      </c>
      <c r="N4480" s="74">
        <f t="shared" si="3"/>
        <v>80000</v>
      </c>
      <c r="O4480" s="65" t="str">
        <f>VLOOKUP(E4480,DATABASE!C:Q,8,false)</f>
        <v>BIAN</v>
      </c>
      <c r="P4480" s="65">
        <f>VLOOKUP(E4480,DATABASE!C:Q,9,False)</f>
        <v>1</v>
      </c>
      <c r="Q4480" s="93" t="str">
        <f>VLOOKUP(E4480,DATABASE!C:Q,4,false)</f>
        <v>GT</v>
      </c>
      <c r="R4480" s="93" t="str">
        <f>VLOOKUP(E4480,DATABASE!C:Q,11,false)</f>
        <v>Tire</v>
      </c>
    </row>
    <row r="4481" ht="22.5" customHeight="1">
      <c r="A4481" s="49"/>
      <c r="C4481" s="384">
        <v>45910.0</v>
      </c>
      <c r="D4481" s="65">
        <v>7101.0</v>
      </c>
      <c r="E4481" s="445" t="s">
        <v>250</v>
      </c>
      <c r="F4481" s="386">
        <v>1.0</v>
      </c>
      <c r="G4481" s="140">
        <v>135000.0</v>
      </c>
      <c r="H4481" s="74">
        <v>0.0</v>
      </c>
      <c r="I4481" s="74">
        <f t="shared" si="1"/>
        <v>135000</v>
      </c>
      <c r="J4481" s="74">
        <f>IF(E4481="SERVICE",I4481-(I4481*50%),Vlookup(E4481,DATABASE!C:Q,10,false)*F4481)</f>
        <v>0</v>
      </c>
      <c r="K4481" s="74">
        <f>VLOOKUP(E4481,DATABASE!C:Q,7,false)</f>
        <v>102000</v>
      </c>
      <c r="L4481" s="74">
        <v>102000.0</v>
      </c>
      <c r="M4481" s="74">
        <f t="shared" si="2"/>
        <v>105000</v>
      </c>
      <c r="N4481" s="74">
        <f t="shared" si="3"/>
        <v>30000</v>
      </c>
      <c r="O4481" s="65" t="str">
        <f>VLOOKUP(E4481,DATABASE!C:Q,8,false)</f>
        <v>BIAN</v>
      </c>
      <c r="P4481" s="65">
        <f>VLOOKUP(E4481,DATABASE!C:Q,9,False)</f>
        <v>1</v>
      </c>
      <c r="Q4481" s="93" t="str">
        <f>VLOOKUP(E4481,DATABASE!C:Q,4,false)</f>
        <v>BD</v>
      </c>
      <c r="R4481" s="93" t="str">
        <f>VLOOKUP(E4481,DATABASE!C:Q,11,false)</f>
        <v>Tire</v>
      </c>
    </row>
    <row r="4482" ht="22.5" customHeight="1">
      <c r="A4482" s="49"/>
      <c r="C4482" s="384">
        <v>45910.0</v>
      </c>
      <c r="D4482" s="65">
        <v>7102.0</v>
      </c>
      <c r="E4482" s="445" t="s">
        <v>268</v>
      </c>
      <c r="F4482" s="386">
        <v>2.0</v>
      </c>
      <c r="G4482" s="74">
        <v>710000.0</v>
      </c>
      <c r="H4482" s="74">
        <v>0.0</v>
      </c>
      <c r="I4482" s="74">
        <f t="shared" si="1"/>
        <v>1420000</v>
      </c>
      <c r="J4482" s="74">
        <f>IF(E4482="SERVICE",I4482-(I4482*50%),Vlookup(E4482,DATABASE!C:Q,10,false)*F4482)</f>
        <v>0</v>
      </c>
      <c r="K4482" s="74">
        <f>VLOOKUP(E4482,DATABASE!C:Q,7,false)</f>
        <v>653000</v>
      </c>
      <c r="L4482" s="74">
        <v>622000.0</v>
      </c>
      <c r="M4482" s="74">
        <f t="shared" si="2"/>
        <v>625000</v>
      </c>
      <c r="N4482" s="74">
        <f t="shared" si="3"/>
        <v>170000</v>
      </c>
      <c r="O4482" s="65" t="str">
        <f>VLOOKUP(E4482,DATABASE!C:Q,8,false)</f>
        <v>IBU</v>
      </c>
      <c r="P4482" s="65">
        <f>VLOOKUP(E4482,DATABASE!C:Q,9,False)</f>
        <v>1</v>
      </c>
      <c r="Q4482" s="93" t="str">
        <f>VLOOKUP(E4482,DATABASE!C:Q,4,false)</f>
        <v>Dunlop</v>
      </c>
      <c r="R4482" s="93" t="str">
        <f>VLOOKUP(E4482,DATABASE!C:Q,11,false)</f>
        <v>Tire</v>
      </c>
    </row>
    <row r="4483" ht="22.5" customHeight="1">
      <c r="A4483" s="49"/>
      <c r="C4483" s="384">
        <v>45910.0</v>
      </c>
      <c r="D4483" s="65">
        <v>7103.0</v>
      </c>
      <c r="E4483" s="445" t="s">
        <v>937</v>
      </c>
      <c r="F4483" s="386">
        <v>2.0</v>
      </c>
      <c r="G4483" s="74">
        <v>900000.0</v>
      </c>
      <c r="H4483" s="74">
        <v>0.0</v>
      </c>
      <c r="I4483" s="74">
        <f t="shared" si="1"/>
        <v>1800000</v>
      </c>
      <c r="J4483" s="74">
        <f>IF(E4483="SERVICE",I4483-(I4483*50%),Vlookup(E4483,DATABASE!C:Q,10,false)*F4483)</f>
        <v>0</v>
      </c>
      <c r="K4483" s="74">
        <f>VLOOKUP(E4483,DATABASE!C:Q,7,false)</f>
        <v>825000</v>
      </c>
      <c r="L4483" s="74">
        <v>790000.0</v>
      </c>
      <c r="M4483" s="74">
        <f t="shared" si="2"/>
        <v>790000</v>
      </c>
      <c r="N4483" s="74">
        <f t="shared" si="3"/>
        <v>220000</v>
      </c>
      <c r="O4483" s="65" t="str">
        <f>VLOOKUP(E4483,DATABASE!C:Q,8,false)</f>
        <v>IBU</v>
      </c>
      <c r="P4483" s="65">
        <f>VLOOKUP(E4483,DATABASE!C:Q,9,False)</f>
        <v>1</v>
      </c>
      <c r="Q4483" s="93" t="str">
        <f>VLOOKUP(E4483,DATABASE!C:Q,4,false)</f>
        <v>Bridgestone</v>
      </c>
      <c r="R4483" s="93" t="str">
        <f>VLOOKUP(E4483,DATABASE!C:Q,11,false)</f>
        <v>Tire</v>
      </c>
    </row>
    <row r="4484" ht="22.5" customHeight="1">
      <c r="A4484" s="49"/>
      <c r="C4484" s="384">
        <v>45910.0</v>
      </c>
      <c r="D4484" s="65">
        <v>7104.0</v>
      </c>
      <c r="E4484" s="445" t="s">
        <v>265</v>
      </c>
      <c r="F4484" s="386">
        <v>2.0</v>
      </c>
      <c r="G4484" s="74">
        <v>685000.0</v>
      </c>
      <c r="H4484" s="74">
        <v>0.0</v>
      </c>
      <c r="I4484" s="74">
        <f t="shared" si="1"/>
        <v>1370000</v>
      </c>
      <c r="J4484" s="74">
        <f>IF(E4484="SERVICE",I4484-(I4484*50%),Vlookup(E4484,DATABASE!C:Q,10,false)*F4484)</f>
        <v>0</v>
      </c>
      <c r="K4484" s="74">
        <f>VLOOKUP(E4484,DATABASE!C:Q,7,false)</f>
        <v>628000</v>
      </c>
      <c r="L4484" s="74">
        <v>610000.0</v>
      </c>
      <c r="M4484" s="74">
        <f t="shared" si="2"/>
        <v>610000</v>
      </c>
      <c r="N4484" s="74">
        <f t="shared" si="3"/>
        <v>150000</v>
      </c>
      <c r="O4484" s="65" t="str">
        <f>VLOOKUP(E4484,DATABASE!C:Q,8,false)</f>
        <v>IBU</v>
      </c>
      <c r="P4484" s="65">
        <f>VLOOKUP(E4484,DATABASE!C:Q,9,False)</f>
        <v>1</v>
      </c>
      <c r="Q4484" s="93" t="str">
        <f>VLOOKUP(E4484,DATABASE!C:Q,4,false)</f>
        <v>Dunlop</v>
      </c>
      <c r="R4484" s="93" t="str">
        <f>VLOOKUP(E4484,DATABASE!C:Q,11,false)</f>
        <v>Tire</v>
      </c>
    </row>
    <row r="4485" ht="22.5" customHeight="1">
      <c r="A4485" s="49"/>
      <c r="C4485" s="384">
        <v>45910.0</v>
      </c>
      <c r="D4485" s="65">
        <v>7106.0</v>
      </c>
      <c r="E4485" s="445" t="s">
        <v>246</v>
      </c>
      <c r="F4485" s="386">
        <v>2.0</v>
      </c>
      <c r="G4485" s="74">
        <v>25000.0</v>
      </c>
      <c r="H4485" s="74">
        <v>0.0</v>
      </c>
      <c r="I4485" s="74">
        <f t="shared" si="1"/>
        <v>50000</v>
      </c>
      <c r="J4485" s="74">
        <f>IF(E4485="SERVICE",I4485-(I4485*50%),Vlookup(E4485,DATABASE!C:Q,10,false)*F4485)</f>
        <v>0</v>
      </c>
      <c r="K4485" s="74">
        <f>VLOOKUP(E4485,DATABASE!C:Q,7,false)</f>
        <v>0</v>
      </c>
      <c r="L4485" s="74">
        <v>0.0</v>
      </c>
      <c r="M4485" s="74">
        <f t="shared" si="2"/>
        <v>0</v>
      </c>
      <c r="N4485" s="74">
        <f t="shared" si="3"/>
        <v>50000</v>
      </c>
      <c r="O4485" s="65" t="str">
        <f>VLOOKUP(E4485,DATABASE!C:Q,8,false)</f>
        <v>IBU</v>
      </c>
      <c r="P4485" s="65">
        <f>VLOOKUP(E4485,DATABASE!C:Q,9,False)</f>
        <v>0</v>
      </c>
      <c r="Q4485" s="93" t="str">
        <f>VLOOKUP(E4485,DATABASE!C:Q,4,false)</f>
        <v>Bongkar Pasang</v>
      </c>
      <c r="R4485" s="93" t="str">
        <f>VLOOKUP(E4485,DATABASE!C:Q,11,false)</f>
        <v>SERVICE</v>
      </c>
    </row>
    <row r="4486" ht="22.5" customHeight="1">
      <c r="A4486" s="49"/>
      <c r="C4486" s="384">
        <v>45910.0</v>
      </c>
      <c r="D4486" s="65">
        <v>7106.0</v>
      </c>
      <c r="E4486" s="445" t="s">
        <v>256</v>
      </c>
      <c r="F4486" s="386">
        <v>1.0</v>
      </c>
      <c r="G4486" s="74">
        <v>130000.0</v>
      </c>
      <c r="H4486" s="74">
        <v>0.0</v>
      </c>
      <c r="I4486" s="74">
        <f t="shared" si="1"/>
        <v>130000</v>
      </c>
      <c r="J4486" s="74">
        <f>IF(E4486="SERVICE",I4486-(I4486*50%),Vlookup(E4486,DATABASE!C:Q,10,false)*F4486)</f>
        <v>10000</v>
      </c>
      <c r="K4486" s="74">
        <f>VLOOKUP(E4486,DATABASE!C:Q,7,false)</f>
        <v>0</v>
      </c>
      <c r="L4486" s="74">
        <v>0.0</v>
      </c>
      <c r="M4486" s="74">
        <f t="shared" si="2"/>
        <v>0</v>
      </c>
      <c r="N4486" s="74">
        <f t="shared" si="3"/>
        <v>120000</v>
      </c>
      <c r="O4486" s="65" t="str">
        <f>VLOOKUP(E4486,DATABASE!C:Q,8,false)</f>
        <v>IBU</v>
      </c>
      <c r="P4486" s="65">
        <f>VLOOKUP(E4486,DATABASE!C:Q,9,False)</f>
        <v>0</v>
      </c>
      <c r="Q4486" s="93" t="str">
        <f>VLOOKUP(E4486,DATABASE!C:Q,4,false)</f>
        <v>SPOORING</v>
      </c>
      <c r="R4486" s="93" t="str">
        <f>VLOOKUP(E4486,DATABASE!C:Q,11,false)</f>
        <v>SERVICE</v>
      </c>
    </row>
    <row r="4487" ht="22.5" customHeight="1">
      <c r="A4487" s="49"/>
      <c r="C4487" s="384">
        <v>45910.0</v>
      </c>
      <c r="D4487" s="65">
        <v>7106.0</v>
      </c>
      <c r="E4487" s="445" t="s">
        <v>301</v>
      </c>
      <c r="F4487" s="386">
        <v>1.0</v>
      </c>
      <c r="G4487" s="74">
        <v>250000.0</v>
      </c>
      <c r="H4487" s="74">
        <v>0.0</v>
      </c>
      <c r="I4487" s="74">
        <f t="shared" si="1"/>
        <v>250000</v>
      </c>
      <c r="J4487" s="74">
        <f>IF(E4487="SERVICE",I4487-(I4487*50%),Vlookup(E4487,DATABASE!C:Q,10,false)*F4487)</f>
        <v>75000</v>
      </c>
      <c r="K4487" s="74">
        <f>VLOOKUP(E4487,DATABASE!C:Q,7,false)</f>
        <v>75000</v>
      </c>
      <c r="L4487" s="74">
        <v>75000.0</v>
      </c>
      <c r="M4487" s="74">
        <f t="shared" si="2"/>
        <v>75000</v>
      </c>
      <c r="N4487" s="74">
        <f t="shared" si="3"/>
        <v>100000</v>
      </c>
      <c r="O4487" s="65" t="str">
        <f>VLOOKUP(E4487,DATABASE!C:Q,8,false)</f>
        <v>BIAN</v>
      </c>
      <c r="P4487" s="65">
        <f>VLOOKUP(E4487,DATABASE!C:Q,9,False)</f>
        <v>0</v>
      </c>
      <c r="Q4487" s="93" t="str">
        <f>VLOOKUP(E4487,DATABASE!C:Q,4,false)</f>
        <v>Baut Camber</v>
      </c>
      <c r="R4487" s="93" t="str">
        <f>VLOOKUP(E4487,DATABASE!C:Q,11,false)</f>
        <v>COMPLEMENTARY</v>
      </c>
    </row>
    <row r="4488" ht="22.5" customHeight="1">
      <c r="A4488" s="49"/>
      <c r="C4488" s="384">
        <v>45910.0</v>
      </c>
      <c r="D4488" s="65">
        <v>7108.0</v>
      </c>
      <c r="E4488" s="445" t="s">
        <v>256</v>
      </c>
      <c r="F4488" s="386">
        <v>1.0</v>
      </c>
      <c r="G4488" s="74">
        <v>130000.0</v>
      </c>
      <c r="H4488" s="74">
        <v>0.0</v>
      </c>
      <c r="I4488" s="74">
        <f t="shared" si="1"/>
        <v>130000</v>
      </c>
      <c r="J4488" s="74">
        <f>IF(E4488="SERVICE",I4488-(I4488*50%),Vlookup(E4488,DATABASE!C:Q,10,false)*F4488)</f>
        <v>10000</v>
      </c>
      <c r="K4488" s="74">
        <f>VLOOKUP(E4488,DATABASE!C:Q,7,false)</f>
        <v>0</v>
      </c>
      <c r="L4488" s="74">
        <v>0.0</v>
      </c>
      <c r="M4488" s="74">
        <f t="shared" si="2"/>
        <v>0</v>
      </c>
      <c r="N4488" s="74">
        <f t="shared" si="3"/>
        <v>120000</v>
      </c>
      <c r="O4488" s="65" t="str">
        <f>VLOOKUP(E4488,DATABASE!C:Q,8,false)</f>
        <v>IBU</v>
      </c>
      <c r="P4488" s="65">
        <f>VLOOKUP(E4488,DATABASE!C:Q,9,False)</f>
        <v>0</v>
      </c>
      <c r="Q4488" s="93" t="str">
        <f>VLOOKUP(E4488,DATABASE!C:Q,4,false)</f>
        <v>SPOORING</v>
      </c>
      <c r="R4488" s="93" t="str">
        <f>VLOOKUP(E4488,DATABASE!C:Q,11,false)</f>
        <v>SERVICE</v>
      </c>
    </row>
    <row r="4489" ht="22.5" customHeight="1">
      <c r="A4489" s="49"/>
      <c r="C4489" s="384">
        <v>45910.0</v>
      </c>
      <c r="D4489" s="65">
        <v>7108.0</v>
      </c>
      <c r="E4489" s="445" t="s">
        <v>251</v>
      </c>
      <c r="F4489" s="386">
        <v>1.0</v>
      </c>
      <c r="G4489" s="74">
        <v>120000.0</v>
      </c>
      <c r="H4489" s="74">
        <v>0.0</v>
      </c>
      <c r="I4489" s="74">
        <f t="shared" si="1"/>
        <v>120000</v>
      </c>
      <c r="J4489" s="74">
        <f>IF(E4489="SERVICE",I4489-(I4489*50%),Vlookup(E4489,DATABASE!C:Q,10,false)*F4489)</f>
        <v>60000</v>
      </c>
      <c r="K4489" s="74">
        <f>VLOOKUP(E4489,DATABASE!C:Q,7,false)</f>
        <v>0</v>
      </c>
      <c r="L4489" s="74">
        <v>0.0</v>
      </c>
      <c r="M4489" s="74">
        <f t="shared" si="2"/>
        <v>0</v>
      </c>
      <c r="N4489" s="74">
        <f t="shared" si="3"/>
        <v>60000</v>
      </c>
      <c r="O4489" s="65" t="str">
        <f>VLOOKUP(E4489,DATABASE!C:Q,8,false)</f>
        <v>IBU</v>
      </c>
      <c r="P4489" s="65">
        <f>VLOOKUP(E4489,DATABASE!C:Q,9,False)</f>
        <v>0</v>
      </c>
      <c r="Q4489" s="93" t="str">
        <f>VLOOKUP(E4489,DATABASE!C:Q,4,false)</f>
        <v>SERVICE</v>
      </c>
      <c r="R4489" s="93" t="str">
        <f>VLOOKUP(E4489,DATABASE!C:Q,11,false)</f>
        <v>SERVICE</v>
      </c>
    </row>
    <row r="4490" ht="22.5" customHeight="1">
      <c r="A4490" s="49"/>
      <c r="C4490" s="384">
        <v>45910.0</v>
      </c>
      <c r="D4490" s="65">
        <v>7109.0</v>
      </c>
      <c r="E4490" s="445" t="s">
        <v>781</v>
      </c>
      <c r="F4490" s="386">
        <v>1.0</v>
      </c>
      <c r="G4490" s="74">
        <v>530000.0</v>
      </c>
      <c r="H4490" s="74">
        <v>0.0</v>
      </c>
      <c r="I4490" s="74">
        <f t="shared" si="1"/>
        <v>530000</v>
      </c>
      <c r="J4490" s="74">
        <f>IF(E4490="SERVICE",I4490-(I4490*50%),Vlookup(E4490,DATABASE!C:Q,10,false)*F4490)</f>
        <v>0</v>
      </c>
      <c r="K4490" s="74">
        <f>VLOOKUP(E4490,DATABASE!C:Q,7,false)</f>
        <v>470000</v>
      </c>
      <c r="L4490" s="74">
        <v>442500.0</v>
      </c>
      <c r="M4490" s="74">
        <f t="shared" si="2"/>
        <v>445000</v>
      </c>
      <c r="N4490" s="74">
        <f t="shared" si="3"/>
        <v>85000</v>
      </c>
      <c r="O4490" s="65" t="str">
        <f>VLOOKUP(E4490,DATABASE!C:Q,8,false)</f>
        <v>BIAN</v>
      </c>
      <c r="P4490" s="65">
        <f>VLOOKUP(E4490,DATABASE!C:Q,9,False)</f>
        <v>1</v>
      </c>
      <c r="Q4490" s="93" t="str">
        <f>VLOOKUP(E4490,DATABASE!C:Q,4,false)</f>
        <v>GT</v>
      </c>
      <c r="R4490" s="93" t="str">
        <f>VLOOKUP(E4490,DATABASE!C:Q,11,false)</f>
        <v>Tire</v>
      </c>
    </row>
    <row r="4491" ht="22.5" customHeight="1">
      <c r="A4491" s="49"/>
      <c r="C4491" s="384">
        <v>45910.0</v>
      </c>
      <c r="D4491" s="65">
        <v>7109.0</v>
      </c>
      <c r="E4491" s="445" t="s">
        <v>250</v>
      </c>
      <c r="F4491" s="386">
        <v>1.0</v>
      </c>
      <c r="G4491" s="74">
        <v>135000.0</v>
      </c>
      <c r="H4491" s="74">
        <v>0.0</v>
      </c>
      <c r="I4491" s="74">
        <f t="shared" si="1"/>
        <v>135000</v>
      </c>
      <c r="J4491" s="74">
        <f>IF(E4491="SERVICE",I4491-(I4491*50%),Vlookup(E4491,DATABASE!C:Q,10,false)*F4491)</f>
        <v>0</v>
      </c>
      <c r="K4491" s="74">
        <f>VLOOKUP(E4491,DATABASE!C:Q,7,false)</f>
        <v>102000</v>
      </c>
      <c r="L4491" s="74">
        <v>102000.0</v>
      </c>
      <c r="M4491" s="74">
        <f t="shared" si="2"/>
        <v>105000</v>
      </c>
      <c r="N4491" s="74">
        <f t="shared" si="3"/>
        <v>30000</v>
      </c>
      <c r="O4491" s="65" t="str">
        <f>VLOOKUP(E4491,DATABASE!C:Q,8,false)</f>
        <v>BIAN</v>
      </c>
      <c r="P4491" s="65">
        <f>VLOOKUP(E4491,DATABASE!C:Q,9,False)</f>
        <v>1</v>
      </c>
      <c r="Q4491" s="93" t="str">
        <f>VLOOKUP(E4491,DATABASE!C:Q,4,false)</f>
        <v>BD</v>
      </c>
      <c r="R4491" s="93" t="str">
        <f>VLOOKUP(E4491,DATABASE!C:Q,11,false)</f>
        <v>Tire</v>
      </c>
    </row>
    <row r="4492" ht="22.5" customHeight="1">
      <c r="A4492" s="49"/>
      <c r="C4492" s="384">
        <v>45910.0</v>
      </c>
      <c r="D4492" s="65">
        <v>7110.0</v>
      </c>
      <c r="E4492" s="445" t="s">
        <v>275</v>
      </c>
      <c r="F4492" s="386">
        <v>1.0</v>
      </c>
      <c r="G4492" s="74">
        <v>840000.0</v>
      </c>
      <c r="H4492" s="74">
        <v>0.0</v>
      </c>
      <c r="I4492" s="74">
        <f t="shared" si="1"/>
        <v>840000</v>
      </c>
      <c r="J4492" s="74">
        <f>IF(E4492="SERVICE",I4492-(I4492*50%),Vlookup(E4492,DATABASE!C:Q,10,false)*F4492)</f>
        <v>0</v>
      </c>
      <c r="K4492" s="74">
        <f>VLOOKUP(E4492,DATABASE!C:Q,7,false)</f>
        <v>782000</v>
      </c>
      <c r="L4492" s="74">
        <v>745000.0</v>
      </c>
      <c r="M4492" s="74">
        <f t="shared" si="2"/>
        <v>745000</v>
      </c>
      <c r="N4492" s="74">
        <f t="shared" si="3"/>
        <v>95000</v>
      </c>
      <c r="O4492" s="65" t="str">
        <f>VLOOKUP(E4492,DATABASE!C:Q,8,false)</f>
        <v>IBU</v>
      </c>
      <c r="P4492" s="65">
        <f>VLOOKUP(E4492,DATABASE!C:Q,9,False)</f>
        <v>1</v>
      </c>
      <c r="Q4492" s="93" t="str">
        <f>VLOOKUP(E4492,DATABASE!C:Q,4,false)</f>
        <v>Dunlop</v>
      </c>
      <c r="R4492" s="93" t="str">
        <f>VLOOKUP(E4492,DATABASE!C:Q,11,false)</f>
        <v>Tire</v>
      </c>
    </row>
    <row r="4493" ht="22.5" customHeight="1">
      <c r="A4493" s="49"/>
      <c r="C4493" s="384">
        <v>45910.0</v>
      </c>
      <c r="D4493" s="65">
        <v>7111.0</v>
      </c>
      <c r="E4493" s="445" t="s">
        <v>613</v>
      </c>
      <c r="F4493" s="386">
        <v>1.0</v>
      </c>
      <c r="G4493" s="74">
        <v>95000.0</v>
      </c>
      <c r="H4493" s="74">
        <v>0.0</v>
      </c>
      <c r="I4493" s="74">
        <f t="shared" si="1"/>
        <v>95000</v>
      </c>
      <c r="J4493" s="74">
        <f>IF(E4493="SERVICE",I4493-(I4493*50%),Vlookup(E4493,DATABASE!C:Q,10,false)*F4493)</f>
        <v>0</v>
      </c>
      <c r="K4493" s="74">
        <f>VLOOKUP(E4493,DATABASE!C:Q,7,false)</f>
        <v>58371.2695</v>
      </c>
      <c r="L4493" s="74">
        <v>55000.0</v>
      </c>
      <c r="M4493" s="74">
        <f t="shared" si="2"/>
        <v>55000</v>
      </c>
      <c r="N4493" s="74">
        <f t="shared" si="3"/>
        <v>40000</v>
      </c>
      <c r="O4493" s="65" t="str">
        <f>VLOOKUP(E4493,DATABASE!C:Q,8,false)</f>
        <v>BIAN</v>
      </c>
      <c r="P4493" s="65">
        <f>VLOOKUP(E4493,DATABASE!C:Q,9,False)</f>
        <v>1</v>
      </c>
      <c r="Q4493" s="93" t="str">
        <f>VLOOKUP(E4493,DATABASE!C:Q,4,false)</f>
        <v>BD</v>
      </c>
      <c r="R4493" s="93" t="str">
        <f>VLOOKUP(E4493,DATABASE!C:Q,11,false)</f>
        <v>Tire</v>
      </c>
    </row>
    <row r="4494" ht="22.5" customHeight="1">
      <c r="A4494" s="49"/>
      <c r="C4494" s="384">
        <v>45910.0</v>
      </c>
      <c r="D4494" s="65">
        <v>7112.0</v>
      </c>
      <c r="E4494" s="445" t="s">
        <v>613</v>
      </c>
      <c r="F4494" s="386">
        <v>1.0</v>
      </c>
      <c r="G4494" s="74">
        <v>95000.0</v>
      </c>
      <c r="H4494" s="74">
        <v>0.0</v>
      </c>
      <c r="I4494" s="74">
        <f t="shared" si="1"/>
        <v>95000</v>
      </c>
      <c r="J4494" s="74">
        <f>IF(E4494="SERVICE",I4494-(I4494*50%),Vlookup(E4494,DATABASE!C:Q,10,false)*F4494)</f>
        <v>0</v>
      </c>
      <c r="K4494" s="74">
        <f>VLOOKUP(E4494,DATABASE!C:Q,7,false)</f>
        <v>58371.2695</v>
      </c>
      <c r="L4494" s="74">
        <v>55000.0</v>
      </c>
      <c r="M4494" s="74">
        <f t="shared" si="2"/>
        <v>55000</v>
      </c>
      <c r="N4494" s="74">
        <f t="shared" si="3"/>
        <v>40000</v>
      </c>
      <c r="O4494" s="65" t="str">
        <f>VLOOKUP(E4494,DATABASE!C:Q,8,false)</f>
        <v>BIAN</v>
      </c>
      <c r="P4494" s="65">
        <f>VLOOKUP(E4494,DATABASE!C:Q,9,False)</f>
        <v>1</v>
      </c>
      <c r="Q4494" s="93" t="str">
        <f>VLOOKUP(E4494,DATABASE!C:Q,4,false)</f>
        <v>BD</v>
      </c>
      <c r="R4494" s="93" t="str">
        <f>VLOOKUP(E4494,DATABASE!C:Q,11,false)</f>
        <v>Tire</v>
      </c>
    </row>
    <row r="4495" ht="22.5" customHeight="1">
      <c r="A4495" s="49"/>
      <c r="C4495" s="384">
        <v>45910.0</v>
      </c>
      <c r="D4495" s="65">
        <v>7113.0</v>
      </c>
      <c r="E4495" s="445" t="s">
        <v>2140</v>
      </c>
      <c r="F4495" s="386">
        <v>1.0</v>
      </c>
      <c r="G4495" s="74">
        <v>35000.0</v>
      </c>
      <c r="H4495" s="74">
        <v>0.0</v>
      </c>
      <c r="I4495" s="74">
        <f t="shared" si="1"/>
        <v>35000</v>
      </c>
      <c r="J4495" s="74">
        <f>IF(E4495="SERVICE",I4495-(I4495*50%),Vlookup(E4495,DATABASE!C:Q,10,false)*F4495)</f>
        <v>0</v>
      </c>
      <c r="K4495" s="74">
        <f>VLOOKUP(E4495,DATABASE!C:Q,7,false)</f>
        <v>5000</v>
      </c>
      <c r="L4495" s="74">
        <v>0.0</v>
      </c>
      <c r="M4495" s="74">
        <f t="shared" si="2"/>
        <v>0</v>
      </c>
      <c r="N4495" s="74">
        <f t="shared" si="3"/>
        <v>35000</v>
      </c>
      <c r="O4495" s="65" t="str">
        <f>VLOOKUP(E4495,DATABASE!C:Q,8,false)</f>
        <v>IBU</v>
      </c>
      <c r="P4495" s="65">
        <f>VLOOKUP(E4495,DATABASE!C:Q,9,False)</f>
        <v>0</v>
      </c>
      <c r="Q4495" s="93" t="str">
        <f>VLOOKUP(E4495,DATABASE!C:Q,4,false)</f>
        <v>PENTIL + PASANG</v>
      </c>
      <c r="R4495" s="93" t="str">
        <f>VLOOKUP(E4495,DATABASE!C:Q,11,false)</f>
        <v>COMPLEMENTARY</v>
      </c>
    </row>
    <row r="4496" ht="22.5" customHeight="1">
      <c r="A4496" s="49"/>
      <c r="C4496" s="384">
        <v>45910.0</v>
      </c>
      <c r="D4496" s="65">
        <v>7114.0</v>
      </c>
      <c r="E4496" s="445" t="s">
        <v>937</v>
      </c>
      <c r="F4496" s="386">
        <v>1.0</v>
      </c>
      <c r="G4496" s="74">
        <v>900000.0</v>
      </c>
      <c r="H4496" s="74">
        <v>0.0</v>
      </c>
      <c r="I4496" s="74">
        <f t="shared" si="1"/>
        <v>900000</v>
      </c>
      <c r="J4496" s="74">
        <f>IF(E4496="SERVICE",I4496-(I4496*50%),Vlookup(E4496,DATABASE!C:Q,10,false)*F4496)</f>
        <v>0</v>
      </c>
      <c r="K4496" s="74">
        <f>VLOOKUP(E4496,DATABASE!C:Q,7,false)</f>
        <v>825000</v>
      </c>
      <c r="L4496" s="74">
        <v>790000.0</v>
      </c>
      <c r="M4496" s="74">
        <f t="shared" si="2"/>
        <v>790000</v>
      </c>
      <c r="N4496" s="74">
        <f t="shared" si="3"/>
        <v>110000</v>
      </c>
      <c r="O4496" s="65" t="str">
        <f>VLOOKUP(E4496,DATABASE!C:Q,8,false)</f>
        <v>IBU</v>
      </c>
      <c r="P4496" s="65">
        <f>VLOOKUP(E4496,DATABASE!C:Q,9,False)</f>
        <v>1</v>
      </c>
      <c r="Q4496" s="93" t="str">
        <f>VLOOKUP(E4496,DATABASE!C:Q,4,false)</f>
        <v>Bridgestone</v>
      </c>
      <c r="R4496" s="93" t="str">
        <f>VLOOKUP(E4496,DATABASE!C:Q,11,false)</f>
        <v>Tire</v>
      </c>
    </row>
    <row r="4497" ht="22.5" customHeight="1">
      <c r="A4497" s="49"/>
      <c r="C4497" s="384">
        <v>45910.0</v>
      </c>
      <c r="D4497" s="65">
        <v>7115.0</v>
      </c>
      <c r="E4497" s="445" t="s">
        <v>937</v>
      </c>
      <c r="F4497" s="386">
        <v>1.0</v>
      </c>
      <c r="G4497" s="74">
        <v>900000.0</v>
      </c>
      <c r="H4497" s="74">
        <v>0.0</v>
      </c>
      <c r="I4497" s="74">
        <f t="shared" si="1"/>
        <v>900000</v>
      </c>
      <c r="J4497" s="74">
        <f>IF(E4497="SERVICE",I4497-(I4497*50%),Vlookup(E4497,DATABASE!C:Q,10,false)*F4497)</f>
        <v>0</v>
      </c>
      <c r="K4497" s="74">
        <f>VLOOKUP(E4497,DATABASE!C:Q,7,false)</f>
        <v>825000</v>
      </c>
      <c r="L4497" s="74">
        <v>790000.0</v>
      </c>
      <c r="M4497" s="74">
        <f t="shared" si="2"/>
        <v>790000</v>
      </c>
      <c r="N4497" s="74">
        <f t="shared" si="3"/>
        <v>110000</v>
      </c>
      <c r="O4497" s="65" t="str">
        <f>VLOOKUP(E4497,DATABASE!C:Q,8,false)</f>
        <v>IBU</v>
      </c>
      <c r="P4497" s="65">
        <f>VLOOKUP(E4497,DATABASE!C:Q,9,False)</f>
        <v>1</v>
      </c>
      <c r="Q4497" s="93" t="str">
        <f>VLOOKUP(E4497,DATABASE!C:Q,4,false)</f>
        <v>Bridgestone</v>
      </c>
      <c r="R4497" s="93" t="str">
        <f>VLOOKUP(E4497,DATABASE!C:Q,11,false)</f>
        <v>Tire</v>
      </c>
    </row>
    <row r="4498" ht="22.5" customHeight="1">
      <c r="A4498" s="49"/>
      <c r="C4498" s="384">
        <v>45910.0</v>
      </c>
      <c r="D4498" s="65">
        <v>7116.0</v>
      </c>
      <c r="E4498" s="445" t="s">
        <v>1389</v>
      </c>
      <c r="F4498" s="386">
        <v>1.0</v>
      </c>
      <c r="G4498" s="74">
        <v>1020000.0</v>
      </c>
      <c r="H4498" s="74">
        <v>0.0</v>
      </c>
      <c r="I4498" s="74">
        <f t="shared" si="1"/>
        <v>1020000</v>
      </c>
      <c r="J4498" s="74">
        <f>IF(E4498="SERVICE",I4498-(I4498*50%),Vlookup(E4498,DATABASE!C:Q,10,false)*F4498)</f>
        <v>0</v>
      </c>
      <c r="K4498" s="74">
        <f>VLOOKUP(E4498,DATABASE!C:Q,7,false)</f>
        <v>908000</v>
      </c>
      <c r="L4498" s="74">
        <v>897000.0</v>
      </c>
      <c r="M4498" s="74">
        <f t="shared" si="2"/>
        <v>900000</v>
      </c>
      <c r="N4498" s="74">
        <f t="shared" si="3"/>
        <v>120000</v>
      </c>
      <c r="O4498" s="65" t="str">
        <f>VLOOKUP(E4498,DATABASE!C:Q,8,false)</f>
        <v>IBU</v>
      </c>
      <c r="P4498" s="65">
        <f>VLOOKUP(E4498,DATABASE!C:Q,9,False)</f>
        <v>1</v>
      </c>
      <c r="Q4498" s="93" t="str">
        <f>VLOOKUP(E4498,DATABASE!C:Q,4,false)</f>
        <v>Dunlop</v>
      </c>
      <c r="R4498" s="93" t="str">
        <f>VLOOKUP(E4498,DATABASE!C:Q,11,false)</f>
        <v>Tire</v>
      </c>
    </row>
    <row r="4499" ht="22.5" customHeight="1">
      <c r="A4499" s="49"/>
      <c r="C4499" s="384">
        <v>45910.0</v>
      </c>
      <c r="D4499" s="65">
        <v>7117.0</v>
      </c>
      <c r="E4499" s="445" t="s">
        <v>256</v>
      </c>
      <c r="F4499" s="386">
        <v>1.0</v>
      </c>
      <c r="G4499" s="74">
        <v>130000.0</v>
      </c>
      <c r="H4499" s="74">
        <v>0.0</v>
      </c>
      <c r="I4499" s="74">
        <f t="shared" si="1"/>
        <v>130000</v>
      </c>
      <c r="J4499" s="74">
        <f>IF(E4499="SERVICE",I4499-(I4499*50%),Vlookup(E4499,DATABASE!C:Q,10,false)*F4499)</f>
        <v>10000</v>
      </c>
      <c r="K4499" s="74">
        <f>VLOOKUP(E4499,DATABASE!C:Q,7,false)</f>
        <v>0</v>
      </c>
      <c r="L4499" s="74">
        <v>0.0</v>
      </c>
      <c r="M4499" s="74">
        <f t="shared" si="2"/>
        <v>0</v>
      </c>
      <c r="N4499" s="74">
        <f t="shared" si="3"/>
        <v>120000</v>
      </c>
      <c r="O4499" s="65" t="str">
        <f>VLOOKUP(E4499,DATABASE!C:Q,8,false)</f>
        <v>IBU</v>
      </c>
      <c r="P4499" s="65">
        <f>VLOOKUP(E4499,DATABASE!C:Q,9,False)</f>
        <v>0</v>
      </c>
      <c r="Q4499" s="93" t="str">
        <f>VLOOKUP(E4499,DATABASE!C:Q,4,false)</f>
        <v>SPOORING</v>
      </c>
      <c r="R4499" s="93" t="str">
        <f>VLOOKUP(E4499,DATABASE!C:Q,11,false)</f>
        <v>SERVICE</v>
      </c>
    </row>
    <row r="4500" ht="22.5" customHeight="1">
      <c r="A4500" s="49"/>
      <c r="C4500" s="384">
        <v>45910.0</v>
      </c>
      <c r="D4500" s="65">
        <v>7117.0</v>
      </c>
      <c r="E4500" s="445" t="s">
        <v>251</v>
      </c>
      <c r="F4500" s="386">
        <v>1.0</v>
      </c>
      <c r="G4500" s="74">
        <v>150000.0</v>
      </c>
      <c r="H4500" s="74">
        <v>0.0</v>
      </c>
      <c r="I4500" s="74">
        <f t="shared" si="1"/>
        <v>150000</v>
      </c>
      <c r="J4500" s="74">
        <f>IF(E4500="SERVICE",I4500-(I4500*50%),Vlookup(E4500,DATABASE!C:Q,10,false)*F4500)</f>
        <v>75000</v>
      </c>
      <c r="K4500" s="74">
        <f>VLOOKUP(E4500,DATABASE!C:Q,7,false)</f>
        <v>0</v>
      </c>
      <c r="L4500" s="74">
        <v>0.0</v>
      </c>
      <c r="M4500" s="74">
        <f t="shared" si="2"/>
        <v>0</v>
      </c>
      <c r="N4500" s="74">
        <f t="shared" si="3"/>
        <v>75000</v>
      </c>
      <c r="O4500" s="65" t="str">
        <f>VLOOKUP(E4500,DATABASE!C:Q,8,false)</f>
        <v>IBU</v>
      </c>
      <c r="P4500" s="65">
        <f>VLOOKUP(E4500,DATABASE!C:Q,9,False)</f>
        <v>0</v>
      </c>
      <c r="Q4500" s="93" t="str">
        <f>VLOOKUP(E4500,DATABASE!C:Q,4,false)</f>
        <v>SERVICE</v>
      </c>
      <c r="R4500" s="93" t="str">
        <f>VLOOKUP(E4500,DATABASE!C:Q,11,false)</f>
        <v>SERVICE</v>
      </c>
    </row>
    <row r="4501" ht="22.5" customHeight="1">
      <c r="A4501" s="49"/>
      <c r="C4501" s="384">
        <v>45911.0</v>
      </c>
      <c r="D4501" s="65">
        <v>7118.0</v>
      </c>
      <c r="E4501" s="445" t="s">
        <v>256</v>
      </c>
      <c r="F4501" s="386">
        <v>1.0</v>
      </c>
      <c r="G4501" s="74">
        <v>130000.0</v>
      </c>
      <c r="H4501" s="74">
        <v>0.0</v>
      </c>
      <c r="I4501" s="74">
        <f t="shared" si="1"/>
        <v>130000</v>
      </c>
      <c r="J4501" s="74">
        <f>IF(E4501="SERVICE",I4501-(I4501*50%),Vlookup(E4501,DATABASE!C:Q,10,false)*F4501)</f>
        <v>10000</v>
      </c>
      <c r="K4501" s="74">
        <f>VLOOKUP(E4501,DATABASE!C:Q,7,false)</f>
        <v>0</v>
      </c>
      <c r="L4501" s="74">
        <v>0.0</v>
      </c>
      <c r="M4501" s="74">
        <f t="shared" si="2"/>
        <v>0</v>
      </c>
      <c r="N4501" s="74">
        <f t="shared" si="3"/>
        <v>120000</v>
      </c>
      <c r="O4501" s="65" t="str">
        <f>VLOOKUP(E4501,DATABASE!C:Q,8,false)</f>
        <v>IBU</v>
      </c>
      <c r="P4501" s="65">
        <f>VLOOKUP(E4501,DATABASE!C:Q,9,False)</f>
        <v>0</v>
      </c>
      <c r="Q4501" s="93" t="str">
        <f>VLOOKUP(E4501,DATABASE!C:Q,4,false)</f>
        <v>SPOORING</v>
      </c>
      <c r="R4501" s="93" t="str">
        <f>VLOOKUP(E4501,DATABASE!C:Q,11,false)</f>
        <v>SERVICE</v>
      </c>
    </row>
    <row r="4502" ht="22.5" customHeight="1">
      <c r="A4502" s="49"/>
      <c r="C4502" s="384">
        <v>45911.0</v>
      </c>
      <c r="D4502" s="65">
        <v>7119.0</v>
      </c>
      <c r="E4502" s="445" t="s">
        <v>937</v>
      </c>
      <c r="F4502" s="386">
        <v>1.0</v>
      </c>
      <c r="G4502" s="74">
        <v>875000.0</v>
      </c>
      <c r="H4502" s="74">
        <v>0.0</v>
      </c>
      <c r="I4502" s="74">
        <f t="shared" si="1"/>
        <v>875000</v>
      </c>
      <c r="J4502" s="74">
        <f>IF(E4502="SERVICE",I4502-(I4502*50%),Vlookup(E4502,DATABASE!C:Q,10,false)*F4502)</f>
        <v>0</v>
      </c>
      <c r="K4502" s="74">
        <f>VLOOKUP(E4502,DATABASE!C:Q,7,false)</f>
        <v>825000</v>
      </c>
      <c r="L4502" s="74">
        <v>790000.0</v>
      </c>
      <c r="M4502" s="74">
        <f t="shared" si="2"/>
        <v>790000</v>
      </c>
      <c r="N4502" s="74">
        <f t="shared" si="3"/>
        <v>85000</v>
      </c>
      <c r="O4502" s="65" t="str">
        <f>VLOOKUP(E4502,DATABASE!C:Q,8,false)</f>
        <v>IBU</v>
      </c>
      <c r="P4502" s="65">
        <f>VLOOKUP(E4502,DATABASE!C:Q,9,False)</f>
        <v>1</v>
      </c>
      <c r="Q4502" s="93" t="str">
        <f>VLOOKUP(E4502,DATABASE!C:Q,4,false)</f>
        <v>Bridgestone</v>
      </c>
      <c r="R4502" s="93" t="str">
        <f>VLOOKUP(E4502,DATABASE!C:Q,11,false)</f>
        <v>Tire</v>
      </c>
    </row>
    <row r="4503" ht="22.5" customHeight="1">
      <c r="A4503" s="49"/>
      <c r="C4503" s="384">
        <v>45911.0</v>
      </c>
      <c r="D4503" s="65">
        <v>7119.0</v>
      </c>
      <c r="E4503" s="445" t="s">
        <v>604</v>
      </c>
      <c r="F4503" s="386">
        <v>1.0</v>
      </c>
      <c r="G4503" s="74">
        <v>160000.0</v>
      </c>
      <c r="H4503" s="74">
        <v>0.0</v>
      </c>
      <c r="I4503" s="74">
        <f t="shared" si="1"/>
        <v>160000</v>
      </c>
      <c r="J4503" s="74">
        <f>IF(E4503="SERVICE",I4503-(I4503*50%),Vlookup(E4503,DATABASE!C:Q,10,false)*F4503)</f>
        <v>0</v>
      </c>
      <c r="K4503" s="74">
        <f>VLOOKUP(E4503,DATABASE!C:Q,7,false)</f>
        <v>124000</v>
      </c>
      <c r="L4503" s="74">
        <v>124000.0</v>
      </c>
      <c r="M4503" s="74">
        <f t="shared" si="2"/>
        <v>125000</v>
      </c>
      <c r="N4503" s="74">
        <f t="shared" si="3"/>
        <v>35000</v>
      </c>
      <c r="O4503" s="65" t="str">
        <f>VLOOKUP(E4503,DATABASE!C:Q,8,false)</f>
        <v>BIAN</v>
      </c>
      <c r="P4503" s="65">
        <f>VLOOKUP(E4503,DATABASE!C:Q,9,False)</f>
        <v>1</v>
      </c>
      <c r="Q4503" s="93" t="str">
        <f>VLOOKUP(E4503,DATABASE!C:Q,4,false)</f>
        <v>BD</v>
      </c>
      <c r="R4503" s="93" t="str">
        <f>VLOOKUP(E4503,DATABASE!C:Q,11,false)</f>
        <v>Tire</v>
      </c>
    </row>
    <row r="4504" ht="22.5" customHeight="1">
      <c r="A4504" s="49"/>
      <c r="C4504" s="384">
        <v>45911.0</v>
      </c>
      <c r="D4504" s="65">
        <v>7120.0</v>
      </c>
      <c r="E4504" s="445" t="s">
        <v>781</v>
      </c>
      <c r="F4504" s="386">
        <v>1.0</v>
      </c>
      <c r="G4504" s="74">
        <v>530000.0</v>
      </c>
      <c r="H4504" s="74">
        <v>0.0</v>
      </c>
      <c r="I4504" s="74">
        <f t="shared" si="1"/>
        <v>530000</v>
      </c>
      <c r="J4504" s="74">
        <f>IF(E4504="SERVICE",I4504-(I4504*50%),Vlookup(E4504,DATABASE!C:Q,10,false)*F4504)</f>
        <v>0</v>
      </c>
      <c r="K4504" s="74">
        <f>VLOOKUP(E4504,DATABASE!C:Q,7,false)</f>
        <v>470000</v>
      </c>
      <c r="L4504" s="74">
        <v>442500.0</v>
      </c>
      <c r="M4504" s="74">
        <f t="shared" si="2"/>
        <v>445000</v>
      </c>
      <c r="N4504" s="74">
        <f t="shared" si="3"/>
        <v>85000</v>
      </c>
      <c r="O4504" s="65" t="str">
        <f>VLOOKUP(E4504,DATABASE!C:Q,8,false)</f>
        <v>BIAN</v>
      </c>
      <c r="P4504" s="65">
        <f>VLOOKUP(E4504,DATABASE!C:Q,9,False)</f>
        <v>1</v>
      </c>
      <c r="Q4504" s="93" t="str">
        <f>VLOOKUP(E4504,DATABASE!C:Q,4,false)</f>
        <v>GT</v>
      </c>
      <c r="R4504" s="93" t="str">
        <f>VLOOKUP(E4504,DATABASE!C:Q,11,false)</f>
        <v>Tire</v>
      </c>
    </row>
    <row r="4505" ht="22.5" customHeight="1">
      <c r="A4505" s="49"/>
      <c r="C4505" s="384">
        <v>45911.0</v>
      </c>
      <c r="D4505" s="65">
        <v>7121.0</v>
      </c>
      <c r="E4505" s="445" t="s">
        <v>251</v>
      </c>
      <c r="F4505" s="386">
        <v>1.0</v>
      </c>
      <c r="G4505" s="74">
        <v>150000.0</v>
      </c>
      <c r="H4505" s="74">
        <v>0.0</v>
      </c>
      <c r="I4505" s="74">
        <f t="shared" si="1"/>
        <v>150000</v>
      </c>
      <c r="J4505" s="74">
        <f>IF(E4505="SERVICE",I4505-(I4505*50%),Vlookup(E4505,DATABASE!C:Q,10,false)*F4505)</f>
        <v>75000</v>
      </c>
      <c r="K4505" s="74">
        <f>VLOOKUP(E4505,DATABASE!C:Q,7,false)</f>
        <v>0</v>
      </c>
      <c r="L4505" s="74">
        <v>0.0</v>
      </c>
      <c r="M4505" s="74">
        <f t="shared" si="2"/>
        <v>0</v>
      </c>
      <c r="N4505" s="74">
        <f t="shared" si="3"/>
        <v>75000</v>
      </c>
      <c r="O4505" s="65" t="str">
        <f>VLOOKUP(E4505,DATABASE!C:Q,8,false)</f>
        <v>IBU</v>
      </c>
      <c r="P4505" s="65">
        <f>VLOOKUP(E4505,DATABASE!C:Q,9,False)</f>
        <v>0</v>
      </c>
      <c r="Q4505" s="93" t="str">
        <f>VLOOKUP(E4505,DATABASE!C:Q,4,false)</f>
        <v>SERVICE</v>
      </c>
      <c r="R4505" s="93" t="str">
        <f>VLOOKUP(E4505,DATABASE!C:Q,11,false)</f>
        <v>SERVICE</v>
      </c>
    </row>
    <row r="4506" ht="22.5" customHeight="1">
      <c r="A4506" s="49"/>
      <c r="C4506" s="384">
        <v>45911.0</v>
      </c>
      <c r="D4506" s="65">
        <v>7121.0</v>
      </c>
      <c r="E4506" s="445" t="s">
        <v>256</v>
      </c>
      <c r="F4506" s="386">
        <v>1.0</v>
      </c>
      <c r="G4506" s="74">
        <v>130000.0</v>
      </c>
      <c r="H4506" s="74">
        <v>0.0</v>
      </c>
      <c r="I4506" s="74">
        <f t="shared" si="1"/>
        <v>130000</v>
      </c>
      <c r="J4506" s="74">
        <f>IF(E4506="SERVICE",I4506-(I4506*50%),Vlookup(E4506,DATABASE!C:Q,10,false)*F4506)</f>
        <v>10000</v>
      </c>
      <c r="K4506" s="74">
        <f>VLOOKUP(E4506,DATABASE!C:Q,7,false)</f>
        <v>0</v>
      </c>
      <c r="L4506" s="74">
        <v>0.0</v>
      </c>
      <c r="M4506" s="74">
        <f t="shared" si="2"/>
        <v>0</v>
      </c>
      <c r="N4506" s="74">
        <f t="shared" si="3"/>
        <v>120000</v>
      </c>
      <c r="O4506" s="65" t="str">
        <f>VLOOKUP(E4506,DATABASE!C:Q,8,false)</f>
        <v>IBU</v>
      </c>
      <c r="P4506" s="65">
        <f>VLOOKUP(E4506,DATABASE!C:Q,9,False)</f>
        <v>0</v>
      </c>
      <c r="Q4506" s="93" t="str">
        <f>VLOOKUP(E4506,DATABASE!C:Q,4,false)</f>
        <v>SPOORING</v>
      </c>
      <c r="R4506" s="93" t="str">
        <f>VLOOKUP(E4506,DATABASE!C:Q,11,false)</f>
        <v>SERVICE</v>
      </c>
    </row>
    <row r="4507" ht="22.5" customHeight="1">
      <c r="A4507" s="49"/>
      <c r="C4507" s="384">
        <v>45911.0</v>
      </c>
      <c r="D4507" s="65">
        <v>7122.0</v>
      </c>
      <c r="E4507" s="445" t="s">
        <v>932</v>
      </c>
      <c r="F4507" s="386">
        <v>2.0</v>
      </c>
      <c r="G4507" s="74">
        <v>700000.0</v>
      </c>
      <c r="H4507" s="74">
        <v>0.0</v>
      </c>
      <c r="I4507" s="74">
        <f t="shared" si="1"/>
        <v>1400000</v>
      </c>
      <c r="J4507" s="74">
        <f>IF(E4507="SERVICE",I4507-(I4507*50%),Vlookup(E4507,DATABASE!C:Q,10,false)*F4507)</f>
        <v>0</v>
      </c>
      <c r="K4507" s="74">
        <f>VLOOKUP(E4507,DATABASE!C:Q,7,false)</f>
        <v>601000</v>
      </c>
      <c r="L4507" s="74">
        <v>595000.0</v>
      </c>
      <c r="M4507" s="74">
        <f t="shared" si="2"/>
        <v>595000</v>
      </c>
      <c r="N4507" s="74">
        <f t="shared" si="3"/>
        <v>210000</v>
      </c>
      <c r="O4507" s="65" t="str">
        <f>VLOOKUP(E4507,DATABASE!C:Q,8,false)</f>
        <v>IBU</v>
      </c>
      <c r="P4507" s="65">
        <f>VLOOKUP(E4507,DATABASE!C:Q,9,False)</f>
        <v>1</v>
      </c>
      <c r="Q4507" s="93" t="str">
        <f>VLOOKUP(E4507,DATABASE!C:Q,4,false)</f>
        <v>Dunlop</v>
      </c>
      <c r="R4507" s="93" t="str">
        <f>VLOOKUP(E4507,DATABASE!C:Q,11,false)</f>
        <v>Tire</v>
      </c>
    </row>
    <row r="4508" ht="22.5" customHeight="1">
      <c r="A4508" s="49"/>
      <c r="C4508" s="384">
        <v>45911.0</v>
      </c>
      <c r="D4508" s="65">
        <v>7124.0</v>
      </c>
      <c r="E4508" s="445" t="s">
        <v>613</v>
      </c>
      <c r="F4508" s="386">
        <v>1.0</v>
      </c>
      <c r="G4508" s="74">
        <v>95000.0</v>
      </c>
      <c r="H4508" s="74">
        <v>0.0</v>
      </c>
      <c r="I4508" s="74">
        <f t="shared" si="1"/>
        <v>95000</v>
      </c>
      <c r="J4508" s="74">
        <f>IF(E4508="SERVICE",I4508-(I4508*50%),Vlookup(E4508,DATABASE!C:Q,10,false)*F4508)</f>
        <v>0</v>
      </c>
      <c r="K4508" s="74">
        <f>VLOOKUP(E4508,DATABASE!C:Q,7,false)</f>
        <v>58371.2695</v>
      </c>
      <c r="L4508" s="74">
        <v>55000.0</v>
      </c>
      <c r="M4508" s="74">
        <f t="shared" si="2"/>
        <v>55000</v>
      </c>
      <c r="N4508" s="74">
        <f t="shared" si="3"/>
        <v>40000</v>
      </c>
      <c r="O4508" s="65" t="str">
        <f>VLOOKUP(E4508,DATABASE!C:Q,8,false)</f>
        <v>BIAN</v>
      </c>
      <c r="P4508" s="65">
        <f>VLOOKUP(E4508,DATABASE!C:Q,9,False)</f>
        <v>1</v>
      </c>
      <c r="Q4508" s="93" t="str">
        <f>VLOOKUP(E4508,DATABASE!C:Q,4,false)</f>
        <v>BD</v>
      </c>
      <c r="R4508" s="93" t="str">
        <f>VLOOKUP(E4508,DATABASE!C:Q,11,false)</f>
        <v>Tire</v>
      </c>
    </row>
    <row r="4509" ht="22.5" customHeight="1">
      <c r="A4509" s="49"/>
      <c r="C4509" s="384">
        <v>45911.0</v>
      </c>
      <c r="D4509" s="65">
        <v>7125.0</v>
      </c>
      <c r="E4509" s="445" t="s">
        <v>1078</v>
      </c>
      <c r="F4509" s="386">
        <v>2.0</v>
      </c>
      <c r="G4509" s="74">
        <v>930000.0</v>
      </c>
      <c r="H4509" s="74">
        <v>0.0</v>
      </c>
      <c r="I4509" s="74">
        <f t="shared" si="1"/>
        <v>1860000</v>
      </c>
      <c r="J4509" s="74">
        <f>IF(E4509="SERVICE",I4509-(I4509*50%),Vlookup(E4509,DATABASE!C:Q,10,false)*F4509)</f>
        <v>0</v>
      </c>
      <c r="K4509" s="74">
        <f>VLOOKUP(E4509,DATABASE!C:Q,7,false)</f>
        <v>834000</v>
      </c>
      <c r="L4509" s="74">
        <v>834000.0</v>
      </c>
      <c r="M4509" s="74">
        <f t="shared" si="2"/>
        <v>835000</v>
      </c>
      <c r="N4509" s="74">
        <f t="shared" si="3"/>
        <v>190000</v>
      </c>
      <c r="O4509" s="65" t="str">
        <f>VLOOKUP(E4509,DATABASE!C:Q,8,false)</f>
        <v>IBU</v>
      </c>
      <c r="P4509" s="65">
        <f>VLOOKUP(E4509,DATABASE!C:Q,9,False)</f>
        <v>1</v>
      </c>
      <c r="Q4509" s="93" t="str">
        <f>VLOOKUP(E4509,DATABASE!C:Q,4,false)</f>
        <v>Bridgestone</v>
      </c>
      <c r="R4509" s="93" t="str">
        <f>VLOOKUP(E4509,DATABASE!C:Q,11,false)</f>
        <v>Tire</v>
      </c>
    </row>
    <row r="4510" ht="22.5" customHeight="1">
      <c r="A4510" s="49"/>
      <c r="C4510" s="384">
        <v>45911.0</v>
      </c>
      <c r="D4510" s="65">
        <v>7126.0</v>
      </c>
      <c r="E4510" s="445" t="s">
        <v>955</v>
      </c>
      <c r="F4510" s="386">
        <v>1.0</v>
      </c>
      <c r="G4510" s="74">
        <v>785000.0</v>
      </c>
      <c r="H4510" s="74">
        <v>0.0</v>
      </c>
      <c r="I4510" s="74">
        <f t="shared" si="1"/>
        <v>785000</v>
      </c>
      <c r="J4510" s="74">
        <f>IF(E4510="SERVICE",I4510-(I4510*50%),Vlookup(E4510,DATABASE!C:Q,10,false)*F4510)</f>
        <v>0</v>
      </c>
      <c r="K4510" s="74">
        <f>VLOOKUP(E4510,DATABASE!C:Q,7,false)</f>
        <v>712000</v>
      </c>
      <c r="L4510" s="74">
        <v>674000.0</v>
      </c>
      <c r="M4510" s="74">
        <f t="shared" si="2"/>
        <v>675000</v>
      </c>
      <c r="N4510" s="74">
        <f t="shared" si="3"/>
        <v>110000</v>
      </c>
      <c r="O4510" s="65" t="str">
        <f>VLOOKUP(E4510,DATABASE!C:Q,8,false)</f>
        <v>IBU</v>
      </c>
      <c r="P4510" s="65">
        <f>VLOOKUP(E4510,DATABASE!C:Q,9,False)</f>
        <v>1</v>
      </c>
      <c r="Q4510" s="93" t="str">
        <f>VLOOKUP(E4510,DATABASE!C:Q,4,false)</f>
        <v>Dunlop</v>
      </c>
      <c r="R4510" s="93" t="str">
        <f>VLOOKUP(E4510,DATABASE!C:Q,11,false)</f>
        <v>Tire</v>
      </c>
    </row>
    <row r="4511" ht="22.5" customHeight="1">
      <c r="A4511" s="49"/>
      <c r="C4511" s="384">
        <v>45911.0</v>
      </c>
      <c r="D4511" s="65">
        <v>7127.0</v>
      </c>
      <c r="E4511" s="445" t="s">
        <v>937</v>
      </c>
      <c r="F4511" s="386">
        <v>2.0</v>
      </c>
      <c r="G4511" s="74">
        <v>875000.0</v>
      </c>
      <c r="H4511" s="74">
        <v>0.0</v>
      </c>
      <c r="I4511" s="74">
        <f t="shared" si="1"/>
        <v>1750000</v>
      </c>
      <c r="J4511" s="74">
        <f>IF(E4511="SERVICE",I4511-(I4511*50%),Vlookup(E4511,DATABASE!C:Q,10,false)*F4511)</f>
        <v>0</v>
      </c>
      <c r="K4511" s="74">
        <f>VLOOKUP(E4511,DATABASE!C:Q,7,false)</f>
        <v>825000</v>
      </c>
      <c r="L4511" s="74">
        <v>790000.0</v>
      </c>
      <c r="M4511" s="74">
        <f t="shared" si="2"/>
        <v>790000</v>
      </c>
      <c r="N4511" s="74">
        <f t="shared" si="3"/>
        <v>170000</v>
      </c>
      <c r="O4511" s="65" t="str">
        <f>VLOOKUP(E4511,DATABASE!C:Q,8,false)</f>
        <v>IBU</v>
      </c>
      <c r="P4511" s="65">
        <f>VLOOKUP(E4511,DATABASE!C:Q,9,False)</f>
        <v>1</v>
      </c>
      <c r="Q4511" s="93" t="str">
        <f>VLOOKUP(E4511,DATABASE!C:Q,4,false)</f>
        <v>Bridgestone</v>
      </c>
      <c r="R4511" s="93" t="str">
        <f>VLOOKUP(E4511,DATABASE!C:Q,11,false)</f>
        <v>Tire</v>
      </c>
    </row>
    <row r="4512" ht="22.5" customHeight="1">
      <c r="A4512" s="49"/>
      <c r="C4512" s="384">
        <v>45911.0</v>
      </c>
      <c r="D4512" s="65">
        <v>7128.0</v>
      </c>
      <c r="E4512" s="445" t="s">
        <v>265</v>
      </c>
      <c r="F4512" s="386">
        <v>2.0</v>
      </c>
      <c r="G4512" s="74">
        <v>690000.0</v>
      </c>
      <c r="H4512" s="74">
        <v>0.0</v>
      </c>
      <c r="I4512" s="74">
        <f t="shared" si="1"/>
        <v>1380000</v>
      </c>
      <c r="J4512" s="74">
        <f>IF(E4512="SERVICE",I4512-(I4512*50%),Vlookup(E4512,DATABASE!C:Q,10,false)*F4512)</f>
        <v>0</v>
      </c>
      <c r="K4512" s="74">
        <f>VLOOKUP(E4512,DATABASE!C:Q,7,false)</f>
        <v>628000</v>
      </c>
      <c r="L4512" s="74">
        <v>610000.0</v>
      </c>
      <c r="M4512" s="74">
        <f t="shared" si="2"/>
        <v>610000</v>
      </c>
      <c r="N4512" s="74">
        <f t="shared" si="3"/>
        <v>160000</v>
      </c>
      <c r="O4512" s="65" t="str">
        <f>VLOOKUP(E4512,DATABASE!C:Q,8,false)</f>
        <v>IBU</v>
      </c>
      <c r="P4512" s="65">
        <f>VLOOKUP(E4512,DATABASE!C:Q,9,False)</f>
        <v>1</v>
      </c>
      <c r="Q4512" s="93" t="str">
        <f>VLOOKUP(E4512,DATABASE!C:Q,4,false)</f>
        <v>Dunlop</v>
      </c>
      <c r="R4512" s="93" t="str">
        <f>VLOOKUP(E4512,DATABASE!C:Q,11,false)</f>
        <v>Tire</v>
      </c>
    </row>
    <row r="4513" ht="22.5" customHeight="1">
      <c r="A4513" s="49"/>
      <c r="C4513" s="384">
        <v>45912.0</v>
      </c>
      <c r="D4513" s="65">
        <v>7131.0</v>
      </c>
      <c r="E4513" s="445" t="s">
        <v>937</v>
      </c>
      <c r="F4513" s="386">
        <v>1.0</v>
      </c>
      <c r="G4513" s="74">
        <v>875000.0</v>
      </c>
      <c r="H4513" s="74">
        <v>0.0</v>
      </c>
      <c r="I4513" s="74">
        <f t="shared" si="1"/>
        <v>875000</v>
      </c>
      <c r="J4513" s="74">
        <f>IF(E4513="SERVICE",I4513-(I4513*50%),Vlookup(E4513,DATABASE!C:Q,10,false)*F4513)</f>
        <v>0</v>
      </c>
      <c r="K4513" s="74">
        <f>VLOOKUP(E4513,DATABASE!C:Q,7,false)</f>
        <v>825000</v>
      </c>
      <c r="L4513" s="74">
        <v>790000.0</v>
      </c>
      <c r="M4513" s="74">
        <f t="shared" si="2"/>
        <v>790000</v>
      </c>
      <c r="N4513" s="74">
        <f t="shared" si="3"/>
        <v>85000</v>
      </c>
      <c r="O4513" s="65" t="str">
        <f>VLOOKUP(E4513,DATABASE!C:Q,8,false)</f>
        <v>IBU</v>
      </c>
      <c r="P4513" s="65">
        <f>VLOOKUP(E4513,DATABASE!C:Q,9,False)</f>
        <v>1</v>
      </c>
      <c r="Q4513" s="93" t="str">
        <f>VLOOKUP(E4513,DATABASE!C:Q,4,false)</f>
        <v>Bridgestone</v>
      </c>
      <c r="R4513" s="93" t="str">
        <f>VLOOKUP(E4513,DATABASE!C:Q,11,false)</f>
        <v>Tire</v>
      </c>
    </row>
    <row r="4514" ht="22.5" customHeight="1">
      <c r="A4514" s="49"/>
      <c r="C4514" s="384">
        <v>45912.0</v>
      </c>
      <c r="D4514" s="65">
        <v>7133.0</v>
      </c>
      <c r="E4514" s="445" t="s">
        <v>275</v>
      </c>
      <c r="F4514" s="386">
        <v>2.0</v>
      </c>
      <c r="G4514" s="74">
        <v>850000.0</v>
      </c>
      <c r="H4514" s="74">
        <v>0.0</v>
      </c>
      <c r="I4514" s="74">
        <f t="shared" si="1"/>
        <v>1700000</v>
      </c>
      <c r="J4514" s="74">
        <f>IF(E4514="SERVICE",I4514-(I4514*50%),Vlookup(E4514,DATABASE!C:Q,10,false)*F4514)</f>
        <v>0</v>
      </c>
      <c r="K4514" s="74">
        <f>VLOOKUP(E4514,DATABASE!C:Q,7,false)</f>
        <v>782000</v>
      </c>
      <c r="L4514" s="74">
        <v>745000.0</v>
      </c>
      <c r="M4514" s="74">
        <f t="shared" si="2"/>
        <v>745000</v>
      </c>
      <c r="N4514" s="74">
        <f t="shared" si="3"/>
        <v>210000</v>
      </c>
      <c r="O4514" s="65" t="str">
        <f>VLOOKUP(E4514,DATABASE!C:Q,8,false)</f>
        <v>IBU</v>
      </c>
      <c r="P4514" s="65">
        <f>VLOOKUP(E4514,DATABASE!C:Q,9,False)</f>
        <v>1</v>
      </c>
      <c r="Q4514" s="93" t="str">
        <f>VLOOKUP(E4514,DATABASE!C:Q,4,false)</f>
        <v>Dunlop</v>
      </c>
      <c r="R4514" s="93" t="str">
        <f>VLOOKUP(E4514,DATABASE!C:Q,11,false)</f>
        <v>Tire</v>
      </c>
    </row>
    <row r="4515" ht="22.5" customHeight="1">
      <c r="A4515" s="49"/>
      <c r="C4515" s="384">
        <v>45912.0</v>
      </c>
      <c r="D4515" s="65">
        <v>7134.0</v>
      </c>
      <c r="E4515" s="445" t="s">
        <v>256</v>
      </c>
      <c r="F4515" s="386">
        <v>1.0</v>
      </c>
      <c r="G4515" s="74">
        <v>130000.0</v>
      </c>
      <c r="H4515" s="74">
        <v>0.0</v>
      </c>
      <c r="I4515" s="74">
        <f t="shared" si="1"/>
        <v>130000</v>
      </c>
      <c r="J4515" s="74">
        <f>IF(E4515="SERVICE",I4515-(I4515*50%),Vlookup(E4515,DATABASE!C:Q,10,false)*F4515)</f>
        <v>10000</v>
      </c>
      <c r="K4515" s="74">
        <f>VLOOKUP(E4515,DATABASE!C:Q,7,false)</f>
        <v>0</v>
      </c>
      <c r="L4515" s="74">
        <v>0.0</v>
      </c>
      <c r="M4515" s="74">
        <f t="shared" si="2"/>
        <v>0</v>
      </c>
      <c r="N4515" s="74">
        <f t="shared" si="3"/>
        <v>120000</v>
      </c>
      <c r="O4515" s="65" t="str">
        <f>VLOOKUP(E4515,DATABASE!C:Q,8,false)</f>
        <v>IBU</v>
      </c>
      <c r="P4515" s="65">
        <f>VLOOKUP(E4515,DATABASE!C:Q,9,False)</f>
        <v>0</v>
      </c>
      <c r="Q4515" s="93" t="str">
        <f>VLOOKUP(E4515,DATABASE!C:Q,4,false)</f>
        <v>SPOORING</v>
      </c>
      <c r="R4515" s="93" t="str">
        <f>VLOOKUP(E4515,DATABASE!C:Q,11,false)</f>
        <v>SERVICE</v>
      </c>
    </row>
    <row r="4516" ht="22.5" customHeight="1">
      <c r="A4516" s="49"/>
      <c r="C4516" s="384">
        <v>45912.0</v>
      </c>
      <c r="D4516" s="65">
        <v>7134.0</v>
      </c>
      <c r="E4516" s="385" t="s">
        <v>299</v>
      </c>
      <c r="F4516" s="386">
        <v>2.0</v>
      </c>
      <c r="G4516" s="74">
        <v>30000.0</v>
      </c>
      <c r="H4516" s="74">
        <v>0.0</v>
      </c>
      <c r="I4516" s="74">
        <f t="shared" si="1"/>
        <v>60000</v>
      </c>
      <c r="J4516" s="74">
        <f>IF(E4516="SERVICE",I4516-(I4516*50%),Vlookup(E4516,DATABASE!C:Q,10,false)*F4516)</f>
        <v>0</v>
      </c>
      <c r="K4516" s="74">
        <v>0.0</v>
      </c>
      <c r="L4516" s="74">
        <v>0.0</v>
      </c>
      <c r="M4516" s="74">
        <f t="shared" si="2"/>
        <v>0</v>
      </c>
      <c r="N4516" s="74">
        <f t="shared" si="3"/>
        <v>60000</v>
      </c>
      <c r="O4516" s="65" t="str">
        <f>VLOOKUP(E4516,DATABASE!C:Q,8,false)</f>
        <v>BIAN</v>
      </c>
      <c r="P4516" s="65">
        <f>VLOOKUP(E4516,DATABASE!C:Q,9,False)</f>
        <v>0</v>
      </c>
      <c r="Q4516" s="93" t="str">
        <f>VLOOKUP(E4516,DATABASE!C:Q,4,false)</f>
        <v>Balancing</v>
      </c>
      <c r="R4516" s="93" t="str">
        <f>VLOOKUP(E4516,DATABASE!C:Q,11,false)</f>
        <v>COMPLEMENTARY</v>
      </c>
    </row>
    <row r="4517" ht="22.5" customHeight="1">
      <c r="A4517" s="49"/>
      <c r="C4517" s="384">
        <v>45912.0</v>
      </c>
      <c r="D4517" s="65">
        <v>7134.0</v>
      </c>
      <c r="E4517" s="445" t="s">
        <v>301</v>
      </c>
      <c r="F4517" s="386">
        <v>1.0</v>
      </c>
      <c r="G4517" s="74">
        <v>250000.0</v>
      </c>
      <c r="H4517" s="74">
        <v>0.0</v>
      </c>
      <c r="I4517" s="74">
        <f t="shared" si="1"/>
        <v>250000</v>
      </c>
      <c r="J4517" s="74">
        <f>IF(E4517="SERVICE",I4517-(I4517*50%),Vlookup(E4517,DATABASE!C:Q,10,false)*F4517)</f>
        <v>75000</v>
      </c>
      <c r="K4517" s="74">
        <f>VLOOKUP(E4517,DATABASE!C:Q,7,false)</f>
        <v>75000</v>
      </c>
      <c r="L4517" s="74">
        <v>75000.0</v>
      </c>
      <c r="M4517" s="74">
        <f t="shared" si="2"/>
        <v>75000</v>
      </c>
      <c r="N4517" s="74">
        <f t="shared" si="3"/>
        <v>100000</v>
      </c>
      <c r="O4517" s="65" t="str">
        <f>VLOOKUP(E4517,DATABASE!C:Q,8,false)</f>
        <v>BIAN</v>
      </c>
      <c r="P4517" s="65">
        <f>VLOOKUP(E4517,DATABASE!C:Q,9,False)</f>
        <v>0</v>
      </c>
      <c r="Q4517" s="93" t="str">
        <f>VLOOKUP(E4517,DATABASE!C:Q,4,false)</f>
        <v>Baut Camber</v>
      </c>
      <c r="R4517" s="93" t="str">
        <f>VLOOKUP(E4517,DATABASE!C:Q,11,false)</f>
        <v>COMPLEMENTARY</v>
      </c>
    </row>
    <row r="4518" ht="22.5" customHeight="1">
      <c r="A4518" s="49"/>
      <c r="C4518" s="384">
        <v>45912.0</v>
      </c>
      <c r="D4518" s="65">
        <v>7136.0</v>
      </c>
      <c r="E4518" s="445" t="s">
        <v>286</v>
      </c>
      <c r="F4518" s="386">
        <v>3.0</v>
      </c>
      <c r="G4518" s="74">
        <v>550000.0</v>
      </c>
      <c r="H4518" s="74">
        <v>0.0</v>
      </c>
      <c r="I4518" s="74">
        <f t="shared" si="1"/>
        <v>1650000</v>
      </c>
      <c r="J4518" s="74">
        <f>IF(E4518="SERVICE",I4518-(I4518*50%),Vlookup(E4518,DATABASE!C:Q,10,false)*F4518)</f>
        <v>0</v>
      </c>
      <c r="K4518" s="74">
        <f>VLOOKUP(E4518,DATABASE!C:Q,7,false)</f>
        <v>488320</v>
      </c>
      <c r="L4518" s="74">
        <v>452970.0</v>
      </c>
      <c r="M4518" s="74">
        <f t="shared" si="2"/>
        <v>455000</v>
      </c>
      <c r="N4518" s="74">
        <f t="shared" si="3"/>
        <v>285000</v>
      </c>
      <c r="O4518" s="65" t="str">
        <f>VLOOKUP(E4518,DATABASE!C:Q,8,false)</f>
        <v>BIAN</v>
      </c>
      <c r="P4518" s="65">
        <f>VLOOKUP(E4518,DATABASE!C:Q,9,False)</f>
        <v>1</v>
      </c>
      <c r="Q4518" s="93" t="str">
        <f>VLOOKUP(E4518,DATABASE!C:Q,4,false)</f>
        <v>GT</v>
      </c>
      <c r="R4518" s="93" t="str">
        <f>VLOOKUP(E4518,DATABASE!C:Q,11,false)</f>
        <v>Tire</v>
      </c>
    </row>
    <row r="4519" ht="22.5" customHeight="1">
      <c r="A4519" s="49"/>
      <c r="C4519" s="384">
        <v>45912.0</v>
      </c>
      <c r="D4519" s="65">
        <v>7137.0</v>
      </c>
      <c r="E4519" s="445" t="s">
        <v>256</v>
      </c>
      <c r="F4519" s="386">
        <v>1.0</v>
      </c>
      <c r="G4519" s="74">
        <v>130000.0</v>
      </c>
      <c r="H4519" s="74">
        <v>0.0</v>
      </c>
      <c r="I4519" s="74">
        <f t="shared" si="1"/>
        <v>130000</v>
      </c>
      <c r="J4519" s="74">
        <f>IF(E4519="SERVICE",I4519-(I4519*50%),Vlookup(E4519,DATABASE!C:Q,10,false)*F4519)</f>
        <v>10000</v>
      </c>
      <c r="K4519" s="74">
        <f>VLOOKUP(E4519,DATABASE!C:Q,7,false)</f>
        <v>0</v>
      </c>
      <c r="L4519" s="74">
        <v>0.0</v>
      </c>
      <c r="M4519" s="74">
        <f t="shared" si="2"/>
        <v>0</v>
      </c>
      <c r="N4519" s="74">
        <f t="shared" si="3"/>
        <v>120000</v>
      </c>
      <c r="O4519" s="65" t="str">
        <f>VLOOKUP(E4519,DATABASE!C:Q,8,false)</f>
        <v>IBU</v>
      </c>
      <c r="P4519" s="65">
        <f>VLOOKUP(E4519,DATABASE!C:Q,9,False)</f>
        <v>0</v>
      </c>
      <c r="Q4519" s="93" t="str">
        <f>VLOOKUP(E4519,DATABASE!C:Q,4,false)</f>
        <v>SPOORING</v>
      </c>
      <c r="R4519" s="93" t="str">
        <f>VLOOKUP(E4519,DATABASE!C:Q,11,false)</f>
        <v>SERVICE</v>
      </c>
    </row>
    <row r="4520" ht="22.5" customHeight="1">
      <c r="A4520" s="49"/>
      <c r="C4520" s="384">
        <v>45912.0</v>
      </c>
      <c r="D4520" s="65">
        <v>7137.0</v>
      </c>
      <c r="E4520" s="385" t="s">
        <v>299</v>
      </c>
      <c r="F4520" s="386">
        <v>2.0</v>
      </c>
      <c r="G4520" s="74">
        <v>30000.0</v>
      </c>
      <c r="H4520" s="74">
        <v>0.0</v>
      </c>
      <c r="I4520" s="74">
        <f t="shared" si="1"/>
        <v>60000</v>
      </c>
      <c r="J4520" s="74">
        <f>IF(E4520="SERVICE",I4520-(I4520*50%),Vlookup(E4520,DATABASE!C:Q,10,false)*F4520)</f>
        <v>0</v>
      </c>
      <c r="K4520" s="74">
        <v>0.0</v>
      </c>
      <c r="L4520" s="74">
        <v>0.0</v>
      </c>
      <c r="M4520" s="74">
        <f t="shared" si="2"/>
        <v>0</v>
      </c>
      <c r="N4520" s="74">
        <f t="shared" si="3"/>
        <v>60000</v>
      </c>
      <c r="O4520" s="65" t="str">
        <f>VLOOKUP(E4520,DATABASE!C:Q,8,false)</f>
        <v>BIAN</v>
      </c>
      <c r="P4520" s="65">
        <f>VLOOKUP(E4520,DATABASE!C:Q,9,False)</f>
        <v>0</v>
      </c>
      <c r="Q4520" s="93" t="str">
        <f>VLOOKUP(E4520,DATABASE!C:Q,4,false)</f>
        <v>Balancing</v>
      </c>
      <c r="R4520" s="93" t="str">
        <f>VLOOKUP(E4520,DATABASE!C:Q,11,false)</f>
        <v>COMPLEMENTARY</v>
      </c>
    </row>
    <row r="4521" ht="22.5" customHeight="1">
      <c r="A4521" s="49"/>
      <c r="C4521" s="384">
        <v>45912.0</v>
      </c>
      <c r="D4521" s="65">
        <v>7137.0</v>
      </c>
      <c r="E4521" s="445" t="s">
        <v>251</v>
      </c>
      <c r="F4521" s="386">
        <v>1.0</v>
      </c>
      <c r="G4521" s="74">
        <v>150000.0</v>
      </c>
      <c r="H4521" s="74">
        <v>0.0</v>
      </c>
      <c r="I4521" s="74">
        <f t="shared" si="1"/>
        <v>150000</v>
      </c>
      <c r="J4521" s="74">
        <f>IF(E4521="SERVICE",I4521-(I4521*50%),Vlookup(E4521,DATABASE!C:Q,10,false)*F4521)</f>
        <v>75000</v>
      </c>
      <c r="K4521" s="74">
        <f>VLOOKUP(E4521,DATABASE!C:Q,7,false)</f>
        <v>0</v>
      </c>
      <c r="L4521" s="74">
        <v>0.0</v>
      </c>
      <c r="M4521" s="74">
        <f t="shared" si="2"/>
        <v>0</v>
      </c>
      <c r="N4521" s="74">
        <f t="shared" si="3"/>
        <v>75000</v>
      </c>
      <c r="O4521" s="65" t="str">
        <f>VLOOKUP(E4521,DATABASE!C:Q,8,false)</f>
        <v>IBU</v>
      </c>
      <c r="P4521" s="65">
        <f>VLOOKUP(E4521,DATABASE!C:Q,9,False)</f>
        <v>0</v>
      </c>
      <c r="Q4521" s="93" t="str">
        <f>VLOOKUP(E4521,DATABASE!C:Q,4,false)</f>
        <v>SERVICE</v>
      </c>
      <c r="R4521" s="93" t="str">
        <f>VLOOKUP(E4521,DATABASE!C:Q,11,false)</f>
        <v>SERVICE</v>
      </c>
    </row>
    <row r="4522" ht="22.5" customHeight="1">
      <c r="A4522" s="49"/>
      <c r="C4522" s="384">
        <v>45912.0</v>
      </c>
      <c r="D4522" s="65">
        <v>7138.0</v>
      </c>
      <c r="E4522" s="445" t="s">
        <v>246</v>
      </c>
      <c r="F4522" s="386">
        <v>1.0</v>
      </c>
      <c r="G4522" s="74">
        <v>25000.0</v>
      </c>
      <c r="H4522" s="74">
        <v>0.0</v>
      </c>
      <c r="I4522" s="74">
        <f t="shared" si="1"/>
        <v>25000</v>
      </c>
      <c r="J4522" s="74">
        <f>IF(E4522="SERVICE",I4522-(I4522*50%),Vlookup(E4522,DATABASE!C:Q,10,false)*F4522)</f>
        <v>0</v>
      </c>
      <c r="K4522" s="74">
        <f>VLOOKUP(E4522,DATABASE!C:Q,7,false)</f>
        <v>0</v>
      </c>
      <c r="L4522" s="74">
        <v>0.0</v>
      </c>
      <c r="M4522" s="74">
        <f t="shared" si="2"/>
        <v>0</v>
      </c>
      <c r="N4522" s="74">
        <f t="shared" si="3"/>
        <v>25000</v>
      </c>
      <c r="O4522" s="65" t="str">
        <f>VLOOKUP(E4522,DATABASE!C:Q,8,false)</f>
        <v>IBU</v>
      </c>
      <c r="P4522" s="65">
        <f>VLOOKUP(E4522,DATABASE!C:Q,9,False)</f>
        <v>0</v>
      </c>
      <c r="Q4522" s="93" t="str">
        <f>VLOOKUP(E4522,DATABASE!C:Q,4,false)</f>
        <v>Bongkar Pasang</v>
      </c>
      <c r="R4522" s="93" t="str">
        <f>VLOOKUP(E4522,DATABASE!C:Q,11,false)</f>
        <v>SERVICE</v>
      </c>
    </row>
    <row r="4523" ht="22.5" customHeight="1">
      <c r="A4523" s="49"/>
      <c r="C4523" s="384">
        <v>45913.0</v>
      </c>
      <c r="D4523" s="65">
        <v>7139.0</v>
      </c>
      <c r="E4523" s="445" t="s">
        <v>1377</v>
      </c>
      <c r="F4523" s="386">
        <v>1.0</v>
      </c>
      <c r="G4523" s="74">
        <v>960000.0</v>
      </c>
      <c r="H4523" s="74">
        <v>0.0</v>
      </c>
      <c r="I4523" s="74">
        <f t="shared" si="1"/>
        <v>960000</v>
      </c>
      <c r="J4523" s="74">
        <f>IF(E4523="SERVICE",I4523-(I4523*50%),Vlookup(E4523,DATABASE!C:Q,10,false)*F4523)</f>
        <v>0</v>
      </c>
      <c r="K4523" s="74">
        <f>VLOOKUP(E4523,DATABASE!C:Q,7,false)</f>
        <v>844000</v>
      </c>
      <c r="L4523" s="74">
        <v>853000.0</v>
      </c>
      <c r="M4523" s="74">
        <f t="shared" si="2"/>
        <v>855000</v>
      </c>
      <c r="N4523" s="74">
        <f t="shared" si="3"/>
        <v>105000</v>
      </c>
      <c r="O4523" s="65" t="str">
        <f>VLOOKUP(E4523,DATABASE!C:Q,8,false)</f>
        <v>IBU</v>
      </c>
      <c r="P4523" s="65">
        <f>VLOOKUP(E4523,DATABASE!C:Q,9,False)</f>
        <v>1</v>
      </c>
      <c r="Q4523" s="93" t="str">
        <f>VLOOKUP(E4523,DATABASE!C:Q,4,false)</f>
        <v>Dunlop</v>
      </c>
      <c r="R4523" s="93" t="str">
        <f>VLOOKUP(E4523,DATABASE!C:Q,11,false)</f>
        <v>Tire</v>
      </c>
    </row>
    <row r="4524" ht="22.5" customHeight="1">
      <c r="A4524" s="49"/>
      <c r="C4524" s="384">
        <v>45913.0</v>
      </c>
      <c r="D4524" s="65">
        <v>7140.0</v>
      </c>
      <c r="E4524" s="657" t="s">
        <v>924</v>
      </c>
      <c r="F4524" s="386">
        <v>4.0</v>
      </c>
      <c r="G4524" s="74">
        <v>1630000.0</v>
      </c>
      <c r="H4524" s="74">
        <v>0.0</v>
      </c>
      <c r="I4524" s="74">
        <f t="shared" si="1"/>
        <v>6520000</v>
      </c>
      <c r="J4524" s="74">
        <f>IF(E4524="SERVICE",I4524-(I4524*50%),Vlookup(E4524,DATABASE!C:Q,10,false)*F4524)</f>
        <v>0</v>
      </c>
      <c r="K4524" s="74">
        <f>VLOOKUP(E4524,DATABASE!C:Q,7,false)</f>
        <v>1560000</v>
      </c>
      <c r="L4524" s="140">
        <v>1545000.0</v>
      </c>
      <c r="M4524" s="74">
        <f t="shared" si="2"/>
        <v>1545000</v>
      </c>
      <c r="N4524" s="74">
        <f t="shared" si="3"/>
        <v>340000</v>
      </c>
      <c r="O4524" s="65" t="str">
        <f>VLOOKUP(E4524,DATABASE!C:Q,8,false)</f>
        <v>BIAN</v>
      </c>
      <c r="P4524" s="65">
        <f>VLOOKUP(E4524,DATABASE!C:Q,9,False)</f>
        <v>1</v>
      </c>
      <c r="Q4524" s="93" t="str">
        <f>VLOOKUP(E4524,DATABASE!C:Q,4,false)</f>
        <v>TIRON</v>
      </c>
      <c r="R4524" s="93" t="str">
        <f>VLOOKUP(E4524,DATABASE!C:Q,11,false)</f>
        <v>Tire</v>
      </c>
    </row>
    <row r="4525" ht="22.5" customHeight="1">
      <c r="A4525" s="49"/>
      <c r="C4525" s="384">
        <v>45913.0</v>
      </c>
      <c r="D4525" s="65">
        <v>7142.0</v>
      </c>
      <c r="E4525" s="445" t="s">
        <v>572</v>
      </c>
      <c r="F4525" s="386">
        <v>2.0</v>
      </c>
      <c r="G4525" s="74">
        <v>1365000.0</v>
      </c>
      <c r="H4525" s="74">
        <v>0.0</v>
      </c>
      <c r="I4525" s="74">
        <f t="shared" si="1"/>
        <v>2730000</v>
      </c>
      <c r="J4525" s="74">
        <f>IF(E4525="SERVICE",I4525-(I4525*50%),Vlookup(E4525,DATABASE!C:Q,10,false)*F4525)</f>
        <v>0</v>
      </c>
      <c r="K4525" s="74">
        <f>VLOOKUP(E4525,DATABASE!C:Q,7,false)</f>
        <v>1265000</v>
      </c>
      <c r="L4525" s="74">
        <v>1245000.0</v>
      </c>
      <c r="M4525" s="74">
        <f t="shared" si="2"/>
        <v>1245000</v>
      </c>
      <c r="N4525" s="74">
        <f t="shared" si="3"/>
        <v>240000</v>
      </c>
      <c r="O4525" s="65" t="str">
        <f>VLOOKUP(E4525,DATABASE!C:Q,8,false)</f>
        <v>IBU</v>
      </c>
      <c r="P4525" s="65">
        <f>VLOOKUP(E4525,DATABASE!C:Q,9,False)</f>
        <v>1</v>
      </c>
      <c r="Q4525" s="93" t="str">
        <f>VLOOKUP(E4525,DATABASE!C:Q,4,false)</f>
        <v>Bridgestone</v>
      </c>
      <c r="R4525" s="93" t="str">
        <f>VLOOKUP(E4525,DATABASE!C:Q,11,false)</f>
        <v>Tire</v>
      </c>
    </row>
    <row r="4526" ht="22.5" customHeight="1">
      <c r="A4526" s="49"/>
      <c r="C4526" s="384">
        <v>45913.0</v>
      </c>
      <c r="D4526" s="65">
        <v>7143.0</v>
      </c>
      <c r="E4526" s="445" t="s">
        <v>591</v>
      </c>
      <c r="F4526" s="386">
        <v>4.0</v>
      </c>
      <c r="G4526" s="74">
        <v>680000.0</v>
      </c>
      <c r="H4526" s="74">
        <v>0.0</v>
      </c>
      <c r="I4526" s="74">
        <f t="shared" si="1"/>
        <v>2720000</v>
      </c>
      <c r="J4526" s="74">
        <f>IF(E4526="SERVICE",I4526-(I4526*50%),Vlookup(E4526,DATABASE!C:Q,10,false)*F4526)</f>
        <v>0</v>
      </c>
      <c r="K4526" s="74">
        <f>VLOOKUP(E4526,DATABASE!C:Q,7,false)</f>
        <v>633035.16</v>
      </c>
      <c r="L4526" s="74">
        <v>593488.4</v>
      </c>
      <c r="M4526" s="74">
        <f t="shared" si="2"/>
        <v>595000</v>
      </c>
      <c r="N4526" s="74">
        <f t="shared" si="3"/>
        <v>340000</v>
      </c>
      <c r="O4526" s="65" t="str">
        <f>VLOOKUP(E4526,DATABASE!C:Q,8,false)</f>
        <v>IBU</v>
      </c>
      <c r="P4526" s="65">
        <f>VLOOKUP(E4526,DATABASE!C:Q,9,False)</f>
        <v>1</v>
      </c>
      <c r="Q4526" s="93" t="str">
        <f>VLOOKUP(E4526,DATABASE!C:Q,4,false)</f>
        <v>Bridgestone</v>
      </c>
      <c r="R4526" s="93" t="str">
        <f>VLOOKUP(E4526,DATABASE!C:Q,11,false)</f>
        <v>Tire</v>
      </c>
    </row>
    <row r="4527" ht="22.5" customHeight="1">
      <c r="A4527" s="49"/>
      <c r="C4527" s="384">
        <v>45913.0</v>
      </c>
      <c r="D4527" s="65">
        <v>7143.0</v>
      </c>
      <c r="E4527" s="445" t="s">
        <v>256</v>
      </c>
      <c r="F4527" s="386">
        <v>1.0</v>
      </c>
      <c r="G4527" s="74">
        <v>130000.0</v>
      </c>
      <c r="H4527" s="74">
        <v>0.0</v>
      </c>
      <c r="I4527" s="74">
        <f t="shared" si="1"/>
        <v>130000</v>
      </c>
      <c r="J4527" s="74">
        <f>IF(E4527="SERVICE",I4527-(I4527*50%),Vlookup(E4527,DATABASE!C:Q,10,false)*F4527)</f>
        <v>10000</v>
      </c>
      <c r="K4527" s="74">
        <f>VLOOKUP(E4527,DATABASE!C:Q,7,false)</f>
        <v>0</v>
      </c>
      <c r="L4527" s="74">
        <v>0.0</v>
      </c>
      <c r="M4527" s="74">
        <f t="shared" si="2"/>
        <v>0</v>
      </c>
      <c r="N4527" s="74">
        <f t="shared" si="3"/>
        <v>120000</v>
      </c>
      <c r="O4527" s="65" t="str">
        <f>VLOOKUP(E4527,DATABASE!C:Q,8,false)</f>
        <v>IBU</v>
      </c>
      <c r="P4527" s="65">
        <f>VLOOKUP(E4527,DATABASE!C:Q,9,False)</f>
        <v>0</v>
      </c>
      <c r="Q4527" s="93" t="str">
        <f>VLOOKUP(E4527,DATABASE!C:Q,4,false)</f>
        <v>SPOORING</v>
      </c>
      <c r="R4527" s="93" t="str">
        <f>VLOOKUP(E4527,DATABASE!C:Q,11,false)</f>
        <v>SERVICE</v>
      </c>
    </row>
    <row r="4528" ht="22.5" customHeight="1">
      <c r="A4528" s="49"/>
      <c r="C4528" s="384">
        <v>45913.0</v>
      </c>
      <c r="D4528" s="65">
        <v>7143.0</v>
      </c>
      <c r="E4528" s="445" t="s">
        <v>301</v>
      </c>
      <c r="F4528" s="386">
        <v>1.0</v>
      </c>
      <c r="G4528" s="74">
        <v>250000.0</v>
      </c>
      <c r="H4528" s="74">
        <v>0.0</v>
      </c>
      <c r="I4528" s="74">
        <f t="shared" si="1"/>
        <v>250000</v>
      </c>
      <c r="J4528" s="74">
        <f>IF(E4528="SERVICE",I4528-(I4528*50%),Vlookup(E4528,DATABASE!C:Q,10,false)*F4528)</f>
        <v>75000</v>
      </c>
      <c r="K4528" s="74">
        <f>VLOOKUP(E4528,DATABASE!C:Q,7,false)</f>
        <v>75000</v>
      </c>
      <c r="L4528" s="74">
        <v>75000.0</v>
      </c>
      <c r="M4528" s="74">
        <f t="shared" si="2"/>
        <v>75000</v>
      </c>
      <c r="N4528" s="74">
        <f t="shared" si="3"/>
        <v>100000</v>
      </c>
      <c r="O4528" s="65" t="str">
        <f>VLOOKUP(E4528,DATABASE!C:Q,8,false)</f>
        <v>BIAN</v>
      </c>
      <c r="P4528" s="65">
        <f>VLOOKUP(E4528,DATABASE!C:Q,9,False)</f>
        <v>0</v>
      </c>
      <c r="Q4528" s="93" t="str">
        <f>VLOOKUP(E4528,DATABASE!C:Q,4,false)</f>
        <v>Baut Camber</v>
      </c>
      <c r="R4528" s="93" t="str">
        <f>VLOOKUP(E4528,DATABASE!C:Q,11,false)</f>
        <v>COMPLEMENTARY</v>
      </c>
    </row>
    <row r="4529" ht="22.5" customHeight="1">
      <c r="A4529" s="49"/>
      <c r="C4529" s="384">
        <v>45915.0</v>
      </c>
      <c r="D4529" s="65">
        <v>7144.0</v>
      </c>
      <c r="E4529" s="445" t="s">
        <v>268</v>
      </c>
      <c r="F4529" s="386">
        <v>1.0</v>
      </c>
      <c r="G4529" s="74">
        <v>720000.0</v>
      </c>
      <c r="H4529" s="74">
        <v>0.0</v>
      </c>
      <c r="I4529" s="74">
        <f t="shared" si="1"/>
        <v>720000</v>
      </c>
      <c r="J4529" s="74">
        <f>IF(E4529="SERVICE",I4529-(I4529*50%),Vlookup(E4529,DATABASE!C:Q,10,false)*F4529)</f>
        <v>0</v>
      </c>
      <c r="K4529" s="74">
        <f>VLOOKUP(E4529,DATABASE!C:Q,7,false)</f>
        <v>653000</v>
      </c>
      <c r="L4529" s="74">
        <v>622000.0</v>
      </c>
      <c r="M4529" s="74">
        <f t="shared" si="2"/>
        <v>625000</v>
      </c>
      <c r="N4529" s="74">
        <f t="shared" si="3"/>
        <v>95000</v>
      </c>
      <c r="O4529" s="65" t="str">
        <f>VLOOKUP(E4529,DATABASE!C:Q,8,false)</f>
        <v>IBU</v>
      </c>
      <c r="P4529" s="65">
        <f>VLOOKUP(E4529,DATABASE!C:Q,9,False)</f>
        <v>1</v>
      </c>
      <c r="Q4529" s="93" t="str">
        <f>VLOOKUP(E4529,DATABASE!C:Q,4,false)</f>
        <v>Dunlop</v>
      </c>
      <c r="R4529" s="93" t="str">
        <f>VLOOKUP(E4529,DATABASE!C:Q,11,false)</f>
        <v>Tire</v>
      </c>
    </row>
    <row r="4530" ht="22.5" customHeight="1">
      <c r="A4530" s="49"/>
      <c r="C4530" s="384">
        <v>45915.0</v>
      </c>
      <c r="D4530" s="65">
        <v>7145.0</v>
      </c>
      <c r="E4530" s="445" t="s">
        <v>856</v>
      </c>
      <c r="F4530" s="386">
        <v>4.0</v>
      </c>
      <c r="G4530" s="74">
        <v>670000.0</v>
      </c>
      <c r="H4530" s="74">
        <v>0.0</v>
      </c>
      <c r="I4530" s="74">
        <f t="shared" si="1"/>
        <v>2680000</v>
      </c>
      <c r="J4530" s="74">
        <f>IF(E4530="SERVICE",I4530-(I4530*50%),Vlookup(E4530,DATABASE!C:Q,10,false)*F4530)</f>
        <v>0</v>
      </c>
      <c r="K4530" s="74">
        <f>VLOOKUP(E4530,DATABASE!C:Q,7,false)</f>
        <v>615300</v>
      </c>
      <c r="L4530" s="74">
        <v>581120.0</v>
      </c>
      <c r="M4530" s="74">
        <f t="shared" si="2"/>
        <v>585000</v>
      </c>
      <c r="N4530" s="74">
        <f t="shared" si="3"/>
        <v>340000</v>
      </c>
      <c r="O4530" s="65" t="str">
        <f>VLOOKUP(E4530,DATABASE!C:Q,8,false)</f>
        <v>BIAN</v>
      </c>
      <c r="P4530" s="65">
        <f>VLOOKUP(E4530,DATABASE!C:Q,9,False)</f>
        <v>1</v>
      </c>
      <c r="Q4530" s="93" t="str">
        <f>VLOOKUP(E4530,DATABASE!C:Q,4,false)</f>
        <v>GT</v>
      </c>
      <c r="R4530" s="93" t="str">
        <f>VLOOKUP(E4530,DATABASE!C:Q,11,false)</f>
        <v>Tire</v>
      </c>
    </row>
    <row r="4531" ht="22.5" customHeight="1">
      <c r="A4531" s="49"/>
      <c r="C4531" s="384">
        <v>45915.0</v>
      </c>
      <c r="D4531" s="65">
        <v>7147.0</v>
      </c>
      <c r="E4531" s="445" t="s">
        <v>265</v>
      </c>
      <c r="F4531" s="386">
        <v>1.0</v>
      </c>
      <c r="G4531" s="74">
        <v>690000.0</v>
      </c>
      <c r="H4531" s="74">
        <v>0.0</v>
      </c>
      <c r="I4531" s="74">
        <f t="shared" si="1"/>
        <v>690000</v>
      </c>
      <c r="J4531" s="74">
        <f>IF(E4531="SERVICE",I4531-(I4531*50%),Vlookup(E4531,DATABASE!C:Q,10,false)*F4531)</f>
        <v>0</v>
      </c>
      <c r="K4531" s="74">
        <f>VLOOKUP(E4531,DATABASE!C:Q,7,false)</f>
        <v>628000</v>
      </c>
      <c r="L4531" s="74">
        <v>610000.0</v>
      </c>
      <c r="M4531" s="74">
        <f t="shared" si="2"/>
        <v>610000</v>
      </c>
      <c r="N4531" s="74">
        <f t="shared" si="3"/>
        <v>80000</v>
      </c>
      <c r="O4531" s="65" t="str">
        <f>VLOOKUP(E4531,DATABASE!C:Q,8,false)</f>
        <v>IBU</v>
      </c>
      <c r="P4531" s="65">
        <f>VLOOKUP(E4531,DATABASE!C:Q,9,False)</f>
        <v>1</v>
      </c>
      <c r="Q4531" s="93" t="str">
        <f>VLOOKUP(E4531,DATABASE!C:Q,4,false)</f>
        <v>Dunlop</v>
      </c>
      <c r="R4531" s="93" t="str">
        <f>VLOOKUP(E4531,DATABASE!C:Q,11,false)</f>
        <v>Tire</v>
      </c>
    </row>
    <row r="4532" ht="22.5" customHeight="1">
      <c r="A4532" s="49"/>
      <c r="C4532" s="384">
        <v>45915.0</v>
      </c>
      <c r="D4532" s="65">
        <v>7148.0</v>
      </c>
      <c r="E4532" s="445" t="s">
        <v>265</v>
      </c>
      <c r="F4532" s="386">
        <v>2.0</v>
      </c>
      <c r="G4532" s="74">
        <v>690000.0</v>
      </c>
      <c r="H4532" s="74">
        <v>0.0</v>
      </c>
      <c r="I4532" s="74">
        <f t="shared" si="1"/>
        <v>1380000</v>
      </c>
      <c r="J4532" s="74">
        <f>IF(E4532="SERVICE",I4532-(I4532*50%),Vlookup(E4532,DATABASE!C:Q,10,false)*F4532)</f>
        <v>0</v>
      </c>
      <c r="K4532" s="74">
        <f>VLOOKUP(E4532,DATABASE!C:Q,7,false)</f>
        <v>628000</v>
      </c>
      <c r="L4532" s="74">
        <v>610000.0</v>
      </c>
      <c r="M4532" s="74">
        <f t="shared" si="2"/>
        <v>610000</v>
      </c>
      <c r="N4532" s="74">
        <f t="shared" si="3"/>
        <v>160000</v>
      </c>
      <c r="O4532" s="65" t="str">
        <f>VLOOKUP(E4532,DATABASE!C:Q,8,false)</f>
        <v>IBU</v>
      </c>
      <c r="P4532" s="65">
        <f>VLOOKUP(E4532,DATABASE!C:Q,9,False)</f>
        <v>1</v>
      </c>
      <c r="Q4532" s="93" t="str">
        <f>VLOOKUP(E4532,DATABASE!C:Q,4,false)</f>
        <v>Dunlop</v>
      </c>
      <c r="R4532" s="93" t="str">
        <f>VLOOKUP(E4532,DATABASE!C:Q,11,false)</f>
        <v>Tire</v>
      </c>
    </row>
    <row r="4533" ht="22.5" customHeight="1">
      <c r="A4533" s="49"/>
      <c r="C4533" s="384">
        <v>45915.0</v>
      </c>
      <c r="D4533" s="65">
        <v>7149.0</v>
      </c>
      <c r="E4533" s="445" t="s">
        <v>256</v>
      </c>
      <c r="F4533" s="386">
        <v>1.0</v>
      </c>
      <c r="G4533" s="74">
        <v>130000.0</v>
      </c>
      <c r="H4533" s="74">
        <v>0.0</v>
      </c>
      <c r="I4533" s="74">
        <f t="shared" si="1"/>
        <v>130000</v>
      </c>
      <c r="J4533" s="74">
        <f>IF(E4533="SERVICE",I4533-(I4533*50%),Vlookup(E4533,DATABASE!C:Q,10,false)*F4533)</f>
        <v>10000</v>
      </c>
      <c r="K4533" s="74">
        <f>VLOOKUP(E4533,DATABASE!C:Q,7,false)</f>
        <v>0</v>
      </c>
      <c r="L4533" s="74">
        <v>0.0</v>
      </c>
      <c r="M4533" s="74">
        <f t="shared" si="2"/>
        <v>0</v>
      </c>
      <c r="N4533" s="74">
        <f t="shared" si="3"/>
        <v>120000</v>
      </c>
      <c r="O4533" s="65" t="str">
        <f>VLOOKUP(E4533,DATABASE!C:Q,8,false)</f>
        <v>IBU</v>
      </c>
      <c r="P4533" s="65">
        <f>VLOOKUP(E4533,DATABASE!C:Q,9,False)</f>
        <v>0</v>
      </c>
      <c r="Q4533" s="93" t="str">
        <f>VLOOKUP(E4533,DATABASE!C:Q,4,false)</f>
        <v>SPOORING</v>
      </c>
      <c r="R4533" s="93" t="str">
        <f>VLOOKUP(E4533,DATABASE!C:Q,11,false)</f>
        <v>SERVICE</v>
      </c>
    </row>
    <row r="4534" ht="22.5" customHeight="1">
      <c r="A4534" s="49"/>
      <c r="C4534" s="384">
        <v>45915.0</v>
      </c>
      <c r="D4534" s="65">
        <v>7149.0</v>
      </c>
      <c r="E4534" s="385" t="s">
        <v>299</v>
      </c>
      <c r="F4534" s="386">
        <v>2.0</v>
      </c>
      <c r="G4534" s="74">
        <v>30000.0</v>
      </c>
      <c r="H4534" s="74">
        <v>0.0</v>
      </c>
      <c r="I4534" s="74">
        <f t="shared" si="1"/>
        <v>60000</v>
      </c>
      <c r="J4534" s="74">
        <f>IF(E4534="SERVICE",I4534-(I4534*50%),Vlookup(E4534,DATABASE!C:Q,10,false)*F4534)</f>
        <v>0</v>
      </c>
      <c r="K4534" s="74">
        <v>0.0</v>
      </c>
      <c r="L4534" s="74">
        <v>0.0</v>
      </c>
      <c r="M4534" s="74">
        <f t="shared" si="2"/>
        <v>0</v>
      </c>
      <c r="N4534" s="74">
        <f t="shared" si="3"/>
        <v>60000</v>
      </c>
      <c r="O4534" s="65" t="str">
        <f>VLOOKUP(E4534,DATABASE!C:Q,8,false)</f>
        <v>BIAN</v>
      </c>
      <c r="P4534" s="65">
        <f>VLOOKUP(E4534,DATABASE!C:Q,9,False)</f>
        <v>0</v>
      </c>
      <c r="Q4534" s="93" t="str">
        <f>VLOOKUP(E4534,DATABASE!C:Q,4,false)</f>
        <v>Balancing</v>
      </c>
      <c r="R4534" s="93" t="str">
        <f>VLOOKUP(E4534,DATABASE!C:Q,11,false)</f>
        <v>COMPLEMENTARY</v>
      </c>
    </row>
    <row r="4535" ht="22.5" customHeight="1">
      <c r="A4535" s="49"/>
      <c r="C4535" s="384">
        <v>45915.0</v>
      </c>
      <c r="D4535" s="65">
        <v>7149.0</v>
      </c>
      <c r="E4535" s="445" t="s">
        <v>301</v>
      </c>
      <c r="F4535" s="386">
        <v>1.0</v>
      </c>
      <c r="G4535" s="74">
        <v>250000.0</v>
      </c>
      <c r="H4535" s="74">
        <v>0.0</v>
      </c>
      <c r="I4535" s="74">
        <f t="shared" si="1"/>
        <v>250000</v>
      </c>
      <c r="J4535" s="74">
        <f>IF(E4535="SERVICE",I4535-(I4535*50%),Vlookup(E4535,DATABASE!C:Q,10,false)*F4535)</f>
        <v>75000</v>
      </c>
      <c r="K4535" s="74">
        <f>VLOOKUP(E4535,DATABASE!C:Q,7,false)</f>
        <v>75000</v>
      </c>
      <c r="L4535" s="74">
        <v>75000.0</v>
      </c>
      <c r="M4535" s="74">
        <f t="shared" si="2"/>
        <v>75000</v>
      </c>
      <c r="N4535" s="74">
        <f t="shared" si="3"/>
        <v>100000</v>
      </c>
      <c r="O4535" s="65" t="str">
        <f>VLOOKUP(E4535,DATABASE!C:Q,8,false)</f>
        <v>BIAN</v>
      </c>
      <c r="P4535" s="65">
        <f>VLOOKUP(E4535,DATABASE!C:Q,9,False)</f>
        <v>0</v>
      </c>
      <c r="Q4535" s="93" t="str">
        <f>VLOOKUP(E4535,DATABASE!C:Q,4,false)</f>
        <v>Baut Camber</v>
      </c>
      <c r="R4535" s="93" t="str">
        <f>VLOOKUP(E4535,DATABASE!C:Q,11,false)</f>
        <v>COMPLEMENTARY</v>
      </c>
    </row>
    <row r="4536" ht="22.5" customHeight="1">
      <c r="A4536" s="49"/>
      <c r="C4536" s="384">
        <v>45915.0</v>
      </c>
      <c r="D4536" s="65">
        <v>7150.0</v>
      </c>
      <c r="E4536" s="445" t="s">
        <v>246</v>
      </c>
      <c r="F4536" s="386">
        <v>1.0</v>
      </c>
      <c r="G4536" s="74">
        <v>20000.0</v>
      </c>
      <c r="H4536" s="74">
        <v>0.0</v>
      </c>
      <c r="I4536" s="74">
        <f t="shared" si="1"/>
        <v>20000</v>
      </c>
      <c r="J4536" s="74">
        <f>IF(E4536="SERVICE",I4536-(I4536*50%),Vlookup(E4536,DATABASE!C:Q,10,false)*F4536)</f>
        <v>0</v>
      </c>
      <c r="K4536" s="74">
        <f>VLOOKUP(E4536,DATABASE!C:Q,7,false)</f>
        <v>0</v>
      </c>
      <c r="L4536" s="74">
        <v>0.0</v>
      </c>
      <c r="M4536" s="74">
        <f t="shared" si="2"/>
        <v>0</v>
      </c>
      <c r="N4536" s="74">
        <f t="shared" si="3"/>
        <v>20000</v>
      </c>
      <c r="O4536" s="65" t="str">
        <f>VLOOKUP(E4536,DATABASE!C:Q,8,false)</f>
        <v>IBU</v>
      </c>
      <c r="P4536" s="65">
        <f>VLOOKUP(E4536,DATABASE!C:Q,9,False)</f>
        <v>0</v>
      </c>
      <c r="Q4536" s="93" t="str">
        <f>VLOOKUP(E4536,DATABASE!C:Q,4,false)</f>
        <v>Bongkar Pasang</v>
      </c>
      <c r="R4536" s="93" t="str">
        <f>VLOOKUP(E4536,DATABASE!C:Q,11,false)</f>
        <v>SERVICE</v>
      </c>
    </row>
    <row r="4537" ht="22.5" customHeight="1">
      <c r="A4537" s="49"/>
      <c r="C4537" s="384">
        <v>45915.0</v>
      </c>
      <c r="D4537" s="65">
        <v>7151.0</v>
      </c>
      <c r="E4537" s="445" t="s">
        <v>282</v>
      </c>
      <c r="F4537" s="386">
        <v>2.0</v>
      </c>
      <c r="G4537" s="74">
        <v>875000.0</v>
      </c>
      <c r="H4537" s="74">
        <v>0.0</v>
      </c>
      <c r="I4537" s="74">
        <f t="shared" si="1"/>
        <v>1750000</v>
      </c>
      <c r="J4537" s="74">
        <f>IF(E4537="SERVICE",I4537-(I4537*50%),Vlookup(E4537,DATABASE!C:Q,10,false)*F4537)</f>
        <v>0</v>
      </c>
      <c r="K4537" s="74">
        <f>VLOOKUP(E4537,DATABASE!C:Q,7,false)</f>
        <v>779500</v>
      </c>
      <c r="L4537" s="74">
        <v>771000.0</v>
      </c>
      <c r="M4537" s="74">
        <f t="shared" si="2"/>
        <v>775000</v>
      </c>
      <c r="N4537" s="74">
        <f t="shared" si="3"/>
        <v>200000</v>
      </c>
      <c r="O4537" s="65" t="str">
        <f>VLOOKUP(E4537,DATABASE!C:Q,8,false)</f>
        <v>IBU</v>
      </c>
      <c r="P4537" s="65">
        <f>VLOOKUP(E4537,DATABASE!C:Q,9,False)</f>
        <v>1</v>
      </c>
      <c r="Q4537" s="93" t="str">
        <f>VLOOKUP(E4537,DATABASE!C:Q,4,false)</f>
        <v>Dunlop</v>
      </c>
      <c r="R4537" s="93" t="str">
        <f>VLOOKUP(E4537,DATABASE!C:Q,11,false)</f>
        <v>Tire</v>
      </c>
    </row>
    <row r="4538" ht="22.5" customHeight="1">
      <c r="A4538" s="49"/>
      <c r="C4538" s="384">
        <v>45915.0</v>
      </c>
      <c r="D4538" s="65">
        <v>7152.0</v>
      </c>
      <c r="E4538" s="445" t="s">
        <v>613</v>
      </c>
      <c r="F4538" s="386">
        <v>1.0</v>
      </c>
      <c r="G4538" s="74">
        <v>95000.0</v>
      </c>
      <c r="H4538" s="74">
        <v>0.0</v>
      </c>
      <c r="I4538" s="74">
        <f t="shared" si="1"/>
        <v>95000</v>
      </c>
      <c r="J4538" s="74">
        <f>IF(E4538="SERVICE",I4538-(I4538*50%),Vlookup(E4538,DATABASE!C:Q,10,false)*F4538)</f>
        <v>0</v>
      </c>
      <c r="K4538" s="74">
        <f>VLOOKUP(E4538,DATABASE!C:Q,7,false)</f>
        <v>58371.2695</v>
      </c>
      <c r="L4538" s="74">
        <v>55000.0</v>
      </c>
      <c r="M4538" s="74">
        <f t="shared" si="2"/>
        <v>55000</v>
      </c>
      <c r="N4538" s="74">
        <f t="shared" si="3"/>
        <v>40000</v>
      </c>
      <c r="O4538" s="65" t="str">
        <f>VLOOKUP(E4538,DATABASE!C:Q,8,false)</f>
        <v>BIAN</v>
      </c>
      <c r="P4538" s="65">
        <f>VLOOKUP(E4538,DATABASE!C:Q,9,False)</f>
        <v>1</v>
      </c>
      <c r="Q4538" s="93" t="str">
        <f>VLOOKUP(E4538,DATABASE!C:Q,4,false)</f>
        <v>BD</v>
      </c>
      <c r="R4538" s="93" t="str">
        <f>VLOOKUP(E4538,DATABASE!C:Q,11,false)</f>
        <v>Tire</v>
      </c>
    </row>
    <row r="4539" ht="22.5" customHeight="1">
      <c r="A4539" s="49"/>
      <c r="C4539" s="384">
        <v>45915.0</v>
      </c>
      <c r="D4539" s="65">
        <v>7153.0</v>
      </c>
      <c r="E4539" s="445" t="s">
        <v>1743</v>
      </c>
      <c r="F4539" s="386">
        <v>2.0</v>
      </c>
      <c r="G4539" s="74">
        <v>75000.0</v>
      </c>
      <c r="H4539" s="74">
        <v>0.0</v>
      </c>
      <c r="I4539" s="74">
        <f t="shared" si="1"/>
        <v>150000</v>
      </c>
      <c r="J4539" s="74">
        <f>IF(E4539="SERVICE",I4539-(I4539*50%),Vlookup(E4539,DATABASE!C:Q,10,false)*F4539)</f>
        <v>0</v>
      </c>
      <c r="K4539" s="74">
        <f>VLOOKUP(E4539,DATABASE!C:Q,7,false)</f>
        <v>45000</v>
      </c>
      <c r="L4539" s="74">
        <v>45000.0</v>
      </c>
      <c r="M4539" s="74">
        <f t="shared" si="2"/>
        <v>45000</v>
      </c>
      <c r="N4539" s="74">
        <f t="shared" si="3"/>
        <v>60000</v>
      </c>
      <c r="O4539" s="65" t="str">
        <f>VLOOKUP(E4539,DATABASE!C:Q,8,false)</f>
        <v>BIAN</v>
      </c>
      <c r="P4539" s="65">
        <f>VLOOKUP(E4539,DATABASE!C:Q,9,False)</f>
        <v>1</v>
      </c>
      <c r="Q4539" s="93" t="str">
        <f>VLOOKUP(E4539,DATABASE!C:Q,4,false)</f>
        <v>FLAP</v>
      </c>
      <c r="R4539" s="93" t="str">
        <f>VLOOKUP(E4539,DATABASE!C:Q,11,false)</f>
        <v>Tire</v>
      </c>
    </row>
    <row r="4540" ht="22.5" customHeight="1">
      <c r="A4540" s="49"/>
      <c r="C4540" s="384">
        <v>45915.0</v>
      </c>
      <c r="D4540" s="65">
        <v>7155.0</v>
      </c>
      <c r="E4540" s="445" t="s">
        <v>256</v>
      </c>
      <c r="F4540" s="386">
        <v>1.0</v>
      </c>
      <c r="G4540" s="74">
        <v>130000.0</v>
      </c>
      <c r="H4540" s="74">
        <v>0.0</v>
      </c>
      <c r="I4540" s="74">
        <f t="shared" si="1"/>
        <v>130000</v>
      </c>
      <c r="J4540" s="74">
        <f>IF(E4540="SERVICE",I4540-(I4540*50%),Vlookup(E4540,DATABASE!C:Q,10,false)*F4540)</f>
        <v>10000</v>
      </c>
      <c r="K4540" s="74">
        <f>VLOOKUP(E4540,DATABASE!C:Q,7,false)</f>
        <v>0</v>
      </c>
      <c r="L4540" s="74">
        <v>0.0</v>
      </c>
      <c r="M4540" s="74">
        <f t="shared" si="2"/>
        <v>0</v>
      </c>
      <c r="N4540" s="74">
        <f t="shared" si="3"/>
        <v>120000</v>
      </c>
      <c r="O4540" s="65" t="str">
        <f>VLOOKUP(E4540,DATABASE!C:Q,8,false)</f>
        <v>IBU</v>
      </c>
      <c r="P4540" s="65">
        <f>VLOOKUP(E4540,DATABASE!C:Q,9,False)</f>
        <v>0</v>
      </c>
      <c r="Q4540" s="93" t="str">
        <f>VLOOKUP(E4540,DATABASE!C:Q,4,false)</f>
        <v>SPOORING</v>
      </c>
      <c r="R4540" s="93" t="str">
        <f>VLOOKUP(E4540,DATABASE!C:Q,11,false)</f>
        <v>SERVICE</v>
      </c>
    </row>
    <row r="4541" ht="22.5" customHeight="1">
      <c r="A4541" s="49"/>
      <c r="C4541" s="384">
        <v>45915.0</v>
      </c>
      <c r="D4541" s="65">
        <v>7155.0</v>
      </c>
      <c r="E4541" s="445" t="s">
        <v>301</v>
      </c>
      <c r="F4541" s="386">
        <v>1.0</v>
      </c>
      <c r="G4541" s="74">
        <v>250000.0</v>
      </c>
      <c r="H4541" s="74">
        <v>0.0</v>
      </c>
      <c r="I4541" s="74">
        <f t="shared" si="1"/>
        <v>250000</v>
      </c>
      <c r="J4541" s="74">
        <f>IF(E4541="SERVICE",I4541-(I4541*50%),Vlookup(E4541,DATABASE!C:Q,10,false)*F4541)</f>
        <v>75000</v>
      </c>
      <c r="K4541" s="74">
        <f>VLOOKUP(E4541,DATABASE!C:Q,7,false)</f>
        <v>75000</v>
      </c>
      <c r="L4541" s="74">
        <v>75000.0</v>
      </c>
      <c r="M4541" s="74">
        <f t="shared" si="2"/>
        <v>75000</v>
      </c>
      <c r="N4541" s="74">
        <f t="shared" si="3"/>
        <v>100000</v>
      </c>
      <c r="O4541" s="65" t="str">
        <f>VLOOKUP(E4541,DATABASE!C:Q,8,false)</f>
        <v>BIAN</v>
      </c>
      <c r="P4541" s="65">
        <f>VLOOKUP(E4541,DATABASE!C:Q,9,False)</f>
        <v>0</v>
      </c>
      <c r="Q4541" s="93" t="str">
        <f>VLOOKUP(E4541,DATABASE!C:Q,4,false)</f>
        <v>Baut Camber</v>
      </c>
      <c r="R4541" s="93" t="str">
        <f>VLOOKUP(E4541,DATABASE!C:Q,11,false)</f>
        <v>COMPLEMENTARY</v>
      </c>
    </row>
    <row r="4542" ht="22.5" customHeight="1">
      <c r="A4542" s="49"/>
      <c r="C4542" s="384">
        <v>45915.0</v>
      </c>
      <c r="D4542" s="65">
        <v>7156.0</v>
      </c>
      <c r="E4542" s="445" t="s">
        <v>591</v>
      </c>
      <c r="F4542" s="386">
        <v>4.0</v>
      </c>
      <c r="G4542" s="74">
        <v>690000.0</v>
      </c>
      <c r="H4542" s="74">
        <v>0.0</v>
      </c>
      <c r="I4542" s="74">
        <f t="shared" si="1"/>
        <v>2760000</v>
      </c>
      <c r="J4542" s="74">
        <f>IF(E4542="SERVICE",I4542-(I4542*50%),Vlookup(E4542,DATABASE!C:Q,10,false)*F4542)</f>
        <v>0</v>
      </c>
      <c r="K4542" s="74">
        <f>VLOOKUP(E4542,DATABASE!C:Q,7,false)</f>
        <v>633035.16</v>
      </c>
      <c r="L4542" s="74">
        <v>593488.4</v>
      </c>
      <c r="M4542" s="74">
        <f t="shared" si="2"/>
        <v>595000</v>
      </c>
      <c r="N4542" s="74">
        <f t="shared" si="3"/>
        <v>380000</v>
      </c>
      <c r="O4542" s="65" t="str">
        <f>VLOOKUP(E4542,DATABASE!C:Q,8,false)</f>
        <v>IBU</v>
      </c>
      <c r="P4542" s="65">
        <f>VLOOKUP(E4542,DATABASE!C:Q,9,False)</f>
        <v>1</v>
      </c>
      <c r="Q4542" s="93" t="str">
        <f>VLOOKUP(E4542,DATABASE!C:Q,4,false)</f>
        <v>Bridgestone</v>
      </c>
      <c r="R4542" s="93" t="str">
        <f>VLOOKUP(E4542,DATABASE!C:Q,11,false)</f>
        <v>Tire</v>
      </c>
    </row>
    <row r="4543" ht="22.5" customHeight="1">
      <c r="A4543" s="49"/>
      <c r="C4543" s="384">
        <v>45915.0</v>
      </c>
      <c r="D4543" s="65">
        <v>7157.0</v>
      </c>
      <c r="E4543" s="445" t="s">
        <v>256</v>
      </c>
      <c r="F4543" s="386">
        <v>1.0</v>
      </c>
      <c r="G4543" s="74">
        <v>130000.0</v>
      </c>
      <c r="H4543" s="74">
        <v>0.0</v>
      </c>
      <c r="I4543" s="74">
        <f t="shared" si="1"/>
        <v>130000</v>
      </c>
      <c r="J4543" s="74">
        <f>IF(E4543="SERVICE",I4543-(I4543*50%),Vlookup(E4543,DATABASE!C:Q,10,false)*F4543)</f>
        <v>10000</v>
      </c>
      <c r="K4543" s="74">
        <f>VLOOKUP(E4543,DATABASE!C:Q,7,false)</f>
        <v>0</v>
      </c>
      <c r="L4543" s="74">
        <v>0.0</v>
      </c>
      <c r="M4543" s="74">
        <f t="shared" si="2"/>
        <v>0</v>
      </c>
      <c r="N4543" s="74">
        <f t="shared" si="3"/>
        <v>120000</v>
      </c>
      <c r="O4543" s="65" t="str">
        <f>VLOOKUP(E4543,DATABASE!C:Q,8,false)</f>
        <v>IBU</v>
      </c>
      <c r="P4543" s="65">
        <f>VLOOKUP(E4543,DATABASE!C:Q,9,False)</f>
        <v>0</v>
      </c>
      <c r="Q4543" s="93" t="str">
        <f>VLOOKUP(E4543,DATABASE!C:Q,4,false)</f>
        <v>SPOORING</v>
      </c>
      <c r="R4543" s="93" t="str">
        <f>VLOOKUP(E4543,DATABASE!C:Q,11,false)</f>
        <v>SERVICE</v>
      </c>
    </row>
    <row r="4544" ht="22.5" customHeight="1">
      <c r="A4544" s="49"/>
      <c r="C4544" s="384">
        <v>45915.0</v>
      </c>
      <c r="D4544" s="65">
        <v>7157.0</v>
      </c>
      <c r="E4544" s="445" t="s">
        <v>251</v>
      </c>
      <c r="F4544" s="386">
        <v>1.0</v>
      </c>
      <c r="G4544" s="74">
        <v>60000.0</v>
      </c>
      <c r="H4544" s="74">
        <v>0.0</v>
      </c>
      <c r="I4544" s="74">
        <f t="shared" si="1"/>
        <v>60000</v>
      </c>
      <c r="J4544" s="74">
        <f>IF(E4544="SERVICE",I4544-(I4544*50%),Vlookup(E4544,DATABASE!C:Q,10,false)*F4544)</f>
        <v>30000</v>
      </c>
      <c r="K4544" s="74">
        <f>VLOOKUP(E4544,DATABASE!C:Q,7,false)</f>
        <v>0</v>
      </c>
      <c r="L4544" s="74">
        <v>0.0</v>
      </c>
      <c r="M4544" s="74">
        <f t="shared" si="2"/>
        <v>0</v>
      </c>
      <c r="N4544" s="74">
        <f t="shared" si="3"/>
        <v>30000</v>
      </c>
      <c r="O4544" s="65" t="str">
        <f>VLOOKUP(E4544,DATABASE!C:Q,8,false)</f>
        <v>IBU</v>
      </c>
      <c r="P4544" s="65">
        <f>VLOOKUP(E4544,DATABASE!C:Q,9,False)</f>
        <v>0</v>
      </c>
      <c r="Q4544" s="93" t="str">
        <f>VLOOKUP(E4544,DATABASE!C:Q,4,false)</f>
        <v>SERVICE</v>
      </c>
      <c r="R4544" s="93" t="str">
        <f>VLOOKUP(E4544,DATABASE!C:Q,11,false)</f>
        <v>SERVICE</v>
      </c>
    </row>
    <row r="4545" ht="22.5" customHeight="1">
      <c r="A4545" s="49"/>
      <c r="C4545" s="384">
        <v>45916.0</v>
      </c>
      <c r="D4545" s="65">
        <v>7159.0</v>
      </c>
      <c r="E4545" s="445" t="s">
        <v>937</v>
      </c>
      <c r="F4545" s="386">
        <v>1.0</v>
      </c>
      <c r="G4545" s="74">
        <v>875000.0</v>
      </c>
      <c r="H4545" s="74">
        <v>0.0</v>
      </c>
      <c r="I4545" s="74">
        <f t="shared" si="1"/>
        <v>875000</v>
      </c>
      <c r="J4545" s="74">
        <f>IF(E4545="SERVICE",I4545-(I4545*50%),Vlookup(E4545,DATABASE!C:Q,10,false)*F4545)</f>
        <v>0</v>
      </c>
      <c r="K4545" s="74">
        <f>VLOOKUP(E4545,DATABASE!C:Q,7,false)</f>
        <v>825000</v>
      </c>
      <c r="L4545" s="74">
        <v>790000.0</v>
      </c>
      <c r="M4545" s="74">
        <f t="shared" si="2"/>
        <v>790000</v>
      </c>
      <c r="N4545" s="74">
        <f t="shared" si="3"/>
        <v>85000</v>
      </c>
      <c r="O4545" s="65" t="str">
        <f>VLOOKUP(E4545,DATABASE!C:Q,8,false)</f>
        <v>IBU</v>
      </c>
      <c r="P4545" s="65">
        <f>VLOOKUP(E4545,DATABASE!C:Q,9,False)</f>
        <v>1</v>
      </c>
      <c r="Q4545" s="93" t="str">
        <f>VLOOKUP(E4545,DATABASE!C:Q,4,false)</f>
        <v>Bridgestone</v>
      </c>
      <c r="R4545" s="93" t="str">
        <f>VLOOKUP(E4545,DATABASE!C:Q,11,false)</f>
        <v>Tire</v>
      </c>
    </row>
    <row r="4546" ht="22.5" customHeight="1">
      <c r="A4546" s="49"/>
      <c r="C4546" s="384">
        <v>45916.0</v>
      </c>
      <c r="D4546" s="65">
        <v>7159.0</v>
      </c>
      <c r="E4546" s="445" t="s">
        <v>687</v>
      </c>
      <c r="F4546" s="386">
        <v>4.0</v>
      </c>
      <c r="G4546" s="74">
        <v>990000.0</v>
      </c>
      <c r="H4546" s="74">
        <v>0.0</v>
      </c>
      <c r="I4546" s="74">
        <f t="shared" si="1"/>
        <v>3960000</v>
      </c>
      <c r="J4546" s="74">
        <f>IF(E4546="SERVICE",I4546-(I4546*50%),Vlookup(E4546,DATABASE!C:Q,10,false)*F4546)</f>
        <v>0</v>
      </c>
      <c r="K4546" s="74">
        <f>VLOOKUP(E4546,DATABASE!C:Q,7,false)</f>
        <v>959000</v>
      </c>
      <c r="L4546" s="74">
        <v>949000.0</v>
      </c>
      <c r="M4546" s="74">
        <f t="shared" si="2"/>
        <v>950000</v>
      </c>
      <c r="N4546" s="74">
        <f t="shared" si="3"/>
        <v>160000</v>
      </c>
      <c r="O4546" s="65" t="str">
        <f>VLOOKUP(E4546,DATABASE!C:Q,8,false)</f>
        <v>IBU</v>
      </c>
      <c r="P4546" s="65">
        <f>VLOOKUP(E4546,DATABASE!C:Q,9,False)</f>
        <v>1</v>
      </c>
      <c r="Q4546" s="93" t="str">
        <f>VLOOKUP(E4546,DATABASE!C:Q,4,false)</f>
        <v>Dunlop</v>
      </c>
      <c r="R4546" s="93" t="str">
        <f>VLOOKUP(E4546,DATABASE!C:Q,11,false)</f>
        <v>Tire</v>
      </c>
    </row>
    <row r="4547" ht="22.5" customHeight="1">
      <c r="A4547" s="49"/>
      <c r="C4547" s="384">
        <v>45916.0</v>
      </c>
      <c r="D4547" s="65">
        <v>7159.0</v>
      </c>
      <c r="E4547" s="385" t="s">
        <v>299</v>
      </c>
      <c r="F4547" s="386">
        <v>2.0</v>
      </c>
      <c r="G4547" s="74">
        <v>30000.0</v>
      </c>
      <c r="H4547" s="74">
        <v>0.0</v>
      </c>
      <c r="I4547" s="74">
        <f t="shared" si="1"/>
        <v>60000</v>
      </c>
      <c r="J4547" s="74">
        <f>IF(E4547="SERVICE",I4547-(I4547*50%),Vlookup(E4547,DATABASE!C:Q,10,false)*F4547)</f>
        <v>0</v>
      </c>
      <c r="K4547" s="74">
        <v>0.0</v>
      </c>
      <c r="L4547" s="74">
        <v>0.0</v>
      </c>
      <c r="M4547" s="74">
        <f t="shared" si="2"/>
        <v>0</v>
      </c>
      <c r="N4547" s="74">
        <f t="shared" si="3"/>
        <v>60000</v>
      </c>
      <c r="O4547" s="65" t="str">
        <f>VLOOKUP(E4547,DATABASE!C:Q,8,false)</f>
        <v>BIAN</v>
      </c>
      <c r="P4547" s="65">
        <f>VLOOKUP(E4547,DATABASE!C:Q,9,False)</f>
        <v>0</v>
      </c>
      <c r="Q4547" s="93" t="str">
        <f>VLOOKUP(E4547,DATABASE!C:Q,4,false)</f>
        <v>Balancing</v>
      </c>
      <c r="R4547" s="93" t="str">
        <f>VLOOKUP(E4547,DATABASE!C:Q,11,false)</f>
        <v>COMPLEMENTARY</v>
      </c>
    </row>
    <row r="4548" ht="22.5" customHeight="1">
      <c r="A4548" s="49"/>
      <c r="C4548" s="384">
        <v>45916.0</v>
      </c>
      <c r="D4548" s="65">
        <v>7159.0</v>
      </c>
      <c r="E4548" s="445" t="s">
        <v>256</v>
      </c>
      <c r="F4548" s="386">
        <v>1.0</v>
      </c>
      <c r="G4548" s="74">
        <v>130000.0</v>
      </c>
      <c r="H4548" s="74">
        <v>0.0</v>
      </c>
      <c r="I4548" s="74">
        <f t="shared" si="1"/>
        <v>130000</v>
      </c>
      <c r="J4548" s="74">
        <f>IF(E4548="SERVICE",I4548-(I4548*50%),Vlookup(E4548,DATABASE!C:Q,10,false)*F4548)</f>
        <v>10000</v>
      </c>
      <c r="K4548" s="74">
        <f>VLOOKUP(E4548,DATABASE!C:Q,7,false)</f>
        <v>0</v>
      </c>
      <c r="L4548" s="74">
        <v>0.0</v>
      </c>
      <c r="M4548" s="74">
        <f t="shared" si="2"/>
        <v>0</v>
      </c>
      <c r="N4548" s="74">
        <f t="shared" si="3"/>
        <v>120000</v>
      </c>
      <c r="O4548" s="65" t="str">
        <f>VLOOKUP(E4548,DATABASE!C:Q,8,false)</f>
        <v>IBU</v>
      </c>
      <c r="P4548" s="65">
        <f>VLOOKUP(E4548,DATABASE!C:Q,9,False)</f>
        <v>0</v>
      </c>
      <c r="Q4548" s="93" t="str">
        <f>VLOOKUP(E4548,DATABASE!C:Q,4,false)</f>
        <v>SPOORING</v>
      </c>
      <c r="R4548" s="93" t="str">
        <f>VLOOKUP(E4548,DATABASE!C:Q,11,false)</f>
        <v>SERVICE</v>
      </c>
    </row>
    <row r="4549" ht="22.5" customHeight="1">
      <c r="A4549" s="49"/>
      <c r="C4549" s="384">
        <v>45916.0</v>
      </c>
      <c r="D4549" s="65">
        <v>7159.0</v>
      </c>
      <c r="E4549" s="445" t="s">
        <v>301</v>
      </c>
      <c r="F4549" s="386">
        <v>1.0</v>
      </c>
      <c r="G4549" s="74">
        <v>250000.0</v>
      </c>
      <c r="H4549" s="74">
        <v>0.0</v>
      </c>
      <c r="I4549" s="74">
        <f t="shared" si="1"/>
        <v>250000</v>
      </c>
      <c r="J4549" s="74">
        <f>IF(E4549="SERVICE",I4549-(I4549*50%),Vlookup(E4549,DATABASE!C:Q,10,false)*F4549)</f>
        <v>75000</v>
      </c>
      <c r="K4549" s="74">
        <f>VLOOKUP(E4549,DATABASE!C:Q,7,false)</f>
        <v>75000</v>
      </c>
      <c r="L4549" s="74">
        <v>75000.0</v>
      </c>
      <c r="M4549" s="74">
        <f t="shared" si="2"/>
        <v>75000</v>
      </c>
      <c r="N4549" s="74">
        <f t="shared" si="3"/>
        <v>100000</v>
      </c>
      <c r="O4549" s="65" t="str">
        <f>VLOOKUP(E4549,DATABASE!C:Q,8,false)</f>
        <v>BIAN</v>
      </c>
      <c r="P4549" s="65">
        <f>VLOOKUP(E4549,DATABASE!C:Q,9,False)</f>
        <v>0</v>
      </c>
      <c r="Q4549" s="93" t="str">
        <f>VLOOKUP(E4549,DATABASE!C:Q,4,false)</f>
        <v>Baut Camber</v>
      </c>
      <c r="R4549" s="93" t="str">
        <f>VLOOKUP(E4549,DATABASE!C:Q,11,false)</f>
        <v>COMPLEMENTARY</v>
      </c>
    </row>
    <row r="4550" ht="22.5" customHeight="1">
      <c r="A4550" s="49"/>
      <c r="C4550" s="384">
        <v>45916.0</v>
      </c>
      <c r="D4550" s="65">
        <v>7161.0</v>
      </c>
      <c r="E4550" s="445" t="s">
        <v>932</v>
      </c>
      <c r="F4550" s="386">
        <v>2.0</v>
      </c>
      <c r="G4550" s="74">
        <v>690000.0</v>
      </c>
      <c r="H4550" s="74">
        <v>0.0</v>
      </c>
      <c r="I4550" s="74">
        <f t="shared" si="1"/>
        <v>1380000</v>
      </c>
      <c r="J4550" s="74">
        <f>IF(E4550="SERVICE",I4550-(I4550*50%),Vlookup(E4550,DATABASE!C:Q,10,false)*F4550)</f>
        <v>0</v>
      </c>
      <c r="K4550" s="74">
        <f>VLOOKUP(E4550,DATABASE!C:Q,7,false)</f>
        <v>601000</v>
      </c>
      <c r="L4550" s="74">
        <v>595000.0</v>
      </c>
      <c r="M4550" s="74">
        <f t="shared" si="2"/>
        <v>595000</v>
      </c>
      <c r="N4550" s="74">
        <f t="shared" si="3"/>
        <v>190000</v>
      </c>
      <c r="O4550" s="65" t="str">
        <f>VLOOKUP(E4550,DATABASE!C:Q,8,false)</f>
        <v>IBU</v>
      </c>
      <c r="P4550" s="65">
        <f>VLOOKUP(E4550,DATABASE!C:Q,9,False)</f>
        <v>1</v>
      </c>
      <c r="Q4550" s="93" t="str">
        <f>VLOOKUP(E4550,DATABASE!C:Q,4,false)</f>
        <v>Dunlop</v>
      </c>
      <c r="R4550" s="93" t="str">
        <f>VLOOKUP(E4550,DATABASE!C:Q,11,false)</f>
        <v>Tire</v>
      </c>
    </row>
    <row r="4551" ht="22.5" customHeight="1">
      <c r="A4551" s="49"/>
      <c r="C4551" s="384">
        <v>45916.0</v>
      </c>
      <c r="D4551" s="65">
        <v>7162.0</v>
      </c>
      <c r="E4551" s="385" t="s">
        <v>299</v>
      </c>
      <c r="F4551" s="386">
        <v>2.0</v>
      </c>
      <c r="G4551" s="74">
        <v>30000.0</v>
      </c>
      <c r="H4551" s="74">
        <v>0.0</v>
      </c>
      <c r="I4551" s="74">
        <f t="shared" si="1"/>
        <v>60000</v>
      </c>
      <c r="J4551" s="74">
        <f>IF(E4551="SERVICE",I4551-(I4551*50%),Vlookup(E4551,DATABASE!C:Q,10,false)*F4551)</f>
        <v>0</v>
      </c>
      <c r="K4551" s="74">
        <v>0.0</v>
      </c>
      <c r="L4551" s="74">
        <v>0.0</v>
      </c>
      <c r="M4551" s="74">
        <f t="shared" si="2"/>
        <v>0</v>
      </c>
      <c r="N4551" s="74">
        <f t="shared" si="3"/>
        <v>60000</v>
      </c>
      <c r="O4551" s="65" t="str">
        <f>VLOOKUP(E4551,DATABASE!C:Q,8,false)</f>
        <v>BIAN</v>
      </c>
      <c r="P4551" s="65">
        <f>VLOOKUP(E4551,DATABASE!C:Q,9,False)</f>
        <v>0</v>
      </c>
      <c r="Q4551" s="93" t="str">
        <f>VLOOKUP(E4551,DATABASE!C:Q,4,false)</f>
        <v>Balancing</v>
      </c>
      <c r="R4551" s="93" t="str">
        <f>VLOOKUP(E4551,DATABASE!C:Q,11,false)</f>
        <v>COMPLEMENTARY</v>
      </c>
    </row>
    <row r="4552" ht="22.5" customHeight="1">
      <c r="A4552" s="49"/>
      <c r="C4552" s="384">
        <v>45916.0</v>
      </c>
      <c r="D4552" s="65">
        <v>7162.0</v>
      </c>
      <c r="E4552" s="445" t="s">
        <v>262</v>
      </c>
      <c r="F4552" s="386">
        <v>1.0</v>
      </c>
      <c r="G4552" s="74">
        <v>110000.0</v>
      </c>
      <c r="H4552" s="74">
        <v>0.0</v>
      </c>
      <c r="I4552" s="74">
        <f t="shared" si="1"/>
        <v>110000</v>
      </c>
      <c r="J4552" s="74">
        <f>IF(E4552="SERVICE",I4552-(I4552*50%),Vlookup(E4552,DATABASE!C:Q,10,false)*F4552)</f>
        <v>5000</v>
      </c>
      <c r="K4552" s="74">
        <f>VLOOKUP(E4552,DATABASE!C:Q,7,false)</f>
        <v>0</v>
      </c>
      <c r="L4552" s="74">
        <v>0.0</v>
      </c>
      <c r="M4552" s="74">
        <f t="shared" si="2"/>
        <v>0</v>
      </c>
      <c r="N4552" s="74">
        <f t="shared" si="3"/>
        <v>105000</v>
      </c>
      <c r="O4552" s="65" t="str">
        <f>VLOOKUP(E4552,DATABASE!C:Q,8,false)</f>
        <v>IBU</v>
      </c>
      <c r="P4552" s="65">
        <f>VLOOKUP(E4552,DATABASE!C:Q,9,False)</f>
        <v>0</v>
      </c>
      <c r="Q4552" s="93" t="str">
        <f>VLOOKUP(E4552,DATABASE!C:Q,4,false)</f>
        <v>SPOORING SS/CARRY LOS BAK</v>
      </c>
      <c r="R4552" s="93" t="str">
        <f>VLOOKUP(E4552,DATABASE!C:Q,11,false)</f>
        <v>SERVICE</v>
      </c>
    </row>
    <row r="4553" ht="22.5" customHeight="1">
      <c r="A4553" s="49"/>
      <c r="C4553" s="384">
        <v>45916.0</v>
      </c>
      <c r="D4553" s="65">
        <v>7162.0</v>
      </c>
      <c r="E4553" s="445" t="s">
        <v>478</v>
      </c>
      <c r="F4553" s="386">
        <v>1.0</v>
      </c>
      <c r="G4553" s="74">
        <v>200000.0</v>
      </c>
      <c r="H4553" s="74">
        <v>0.0</v>
      </c>
      <c r="I4553" s="74">
        <f t="shared" si="1"/>
        <v>200000</v>
      </c>
      <c r="J4553" s="74">
        <f>IF(E4553="SERVICE",I4553-(I4553*50%),Vlookup(E4553,DATABASE!C:Q,10,false)*F4553)</f>
        <v>25000</v>
      </c>
      <c r="K4553" s="74">
        <f>VLOOKUP(E4553,DATABASE!C:Q,7,false)</f>
        <v>75000</v>
      </c>
      <c r="L4553" s="74">
        <v>75000.0</v>
      </c>
      <c r="M4553" s="74">
        <f t="shared" si="2"/>
        <v>75000</v>
      </c>
      <c r="N4553" s="74">
        <f t="shared" si="3"/>
        <v>100000</v>
      </c>
      <c r="O4553" s="65" t="str">
        <f>VLOOKUP(E4553,DATABASE!C:Q,8,false)</f>
        <v>BIAN</v>
      </c>
      <c r="P4553" s="65">
        <f>VLOOKUP(E4553,DATABASE!C:Q,9,False)</f>
        <v>0</v>
      </c>
      <c r="Q4553" s="93" t="str">
        <f>VLOOKUP(E4553,DATABASE!C:Q,4,false)</f>
        <v>Baut Camber ss-carry</v>
      </c>
      <c r="R4553" s="93" t="str">
        <f>VLOOKUP(E4553,DATABASE!C:Q,11,false)</f>
        <v>COMPLEMENTARY</v>
      </c>
    </row>
    <row r="4554" ht="22.5" customHeight="1">
      <c r="A4554" s="49"/>
      <c r="C4554" s="384">
        <v>45916.0</v>
      </c>
      <c r="D4554" s="65">
        <v>7163.0</v>
      </c>
      <c r="E4554" s="445" t="s">
        <v>966</v>
      </c>
      <c r="F4554" s="386">
        <v>2.0</v>
      </c>
      <c r="G4554" s="74">
        <v>945000.0</v>
      </c>
      <c r="H4554" s="74">
        <v>0.0</v>
      </c>
      <c r="I4554" s="74">
        <f t="shared" si="1"/>
        <v>1890000</v>
      </c>
      <c r="J4554" s="74">
        <f>IF(E4554="SERVICE",I4554-(I4554*50%),Vlookup(E4554,DATABASE!C:Q,10,false)*F4554)</f>
        <v>0</v>
      </c>
      <c r="K4554" s="74">
        <f>VLOOKUP(E4554,DATABASE!C:Q,7,false)</f>
        <v>865000</v>
      </c>
      <c r="L4554" s="74">
        <v>865000.0</v>
      </c>
      <c r="M4554" s="74">
        <f t="shared" si="2"/>
        <v>865000</v>
      </c>
      <c r="N4554" s="74">
        <f t="shared" si="3"/>
        <v>160000</v>
      </c>
      <c r="O4554" s="65" t="str">
        <f>VLOOKUP(E4554,DATABASE!C:Q,8,false)</f>
        <v>IBU</v>
      </c>
      <c r="P4554" s="65">
        <f>VLOOKUP(E4554,DATABASE!C:Q,9,False)</f>
        <v>1</v>
      </c>
      <c r="Q4554" s="93" t="str">
        <f>VLOOKUP(E4554,DATABASE!C:Q,4,false)</f>
        <v>Bridgestone</v>
      </c>
      <c r="R4554" s="93" t="str">
        <f>VLOOKUP(E4554,DATABASE!C:Q,11,false)</f>
        <v>Tire</v>
      </c>
    </row>
    <row r="4555" ht="22.5" customHeight="1">
      <c r="A4555" s="49"/>
      <c r="C4555" s="384">
        <v>45916.0</v>
      </c>
      <c r="D4555" s="65">
        <v>7164.0</v>
      </c>
      <c r="E4555" s="445" t="s">
        <v>932</v>
      </c>
      <c r="F4555" s="386">
        <v>2.0</v>
      </c>
      <c r="G4555" s="74">
        <v>690000.0</v>
      </c>
      <c r="H4555" s="74">
        <v>0.0</v>
      </c>
      <c r="I4555" s="74">
        <f t="shared" si="1"/>
        <v>1380000</v>
      </c>
      <c r="J4555" s="74">
        <f>IF(E4555="SERVICE",I4555-(I4555*50%),Vlookup(E4555,DATABASE!C:Q,10,false)*F4555)</f>
        <v>0</v>
      </c>
      <c r="K4555" s="74">
        <f>VLOOKUP(E4555,DATABASE!C:Q,7,false)</f>
        <v>601000</v>
      </c>
      <c r="L4555" s="74">
        <v>595000.0</v>
      </c>
      <c r="M4555" s="74">
        <f t="shared" si="2"/>
        <v>595000</v>
      </c>
      <c r="N4555" s="74">
        <f t="shared" si="3"/>
        <v>190000</v>
      </c>
      <c r="O4555" s="65" t="str">
        <f>VLOOKUP(E4555,DATABASE!C:Q,8,false)</f>
        <v>IBU</v>
      </c>
      <c r="P4555" s="65">
        <f>VLOOKUP(E4555,DATABASE!C:Q,9,False)</f>
        <v>1</v>
      </c>
      <c r="Q4555" s="93" t="str">
        <f>VLOOKUP(E4555,DATABASE!C:Q,4,false)</f>
        <v>Dunlop</v>
      </c>
      <c r="R4555" s="93" t="str">
        <f>VLOOKUP(E4555,DATABASE!C:Q,11,false)</f>
        <v>Tire</v>
      </c>
    </row>
    <row r="4556" ht="22.5" customHeight="1">
      <c r="A4556" s="49"/>
      <c r="C4556" s="384">
        <v>45916.0</v>
      </c>
      <c r="D4556" s="65">
        <v>7165.0</v>
      </c>
      <c r="E4556" s="445" t="s">
        <v>955</v>
      </c>
      <c r="F4556" s="386">
        <v>2.0</v>
      </c>
      <c r="G4556" s="74">
        <v>775000.0</v>
      </c>
      <c r="H4556" s="74">
        <v>0.0</v>
      </c>
      <c r="I4556" s="74">
        <f t="shared" si="1"/>
        <v>1550000</v>
      </c>
      <c r="J4556" s="74">
        <f>IF(E4556="SERVICE",I4556-(I4556*50%),Vlookup(E4556,DATABASE!C:Q,10,false)*F4556)</f>
        <v>0</v>
      </c>
      <c r="K4556" s="74">
        <f>VLOOKUP(E4556,DATABASE!C:Q,7,false)</f>
        <v>712000</v>
      </c>
      <c r="L4556" s="74">
        <v>674000.0</v>
      </c>
      <c r="M4556" s="74">
        <f t="shared" si="2"/>
        <v>675000</v>
      </c>
      <c r="N4556" s="74">
        <f t="shared" si="3"/>
        <v>200000</v>
      </c>
      <c r="O4556" s="65" t="str">
        <f>VLOOKUP(E4556,DATABASE!C:Q,8,false)</f>
        <v>IBU</v>
      </c>
      <c r="P4556" s="65">
        <f>VLOOKUP(E4556,DATABASE!C:Q,9,False)</f>
        <v>1</v>
      </c>
      <c r="Q4556" s="93" t="str">
        <f>VLOOKUP(E4556,DATABASE!C:Q,4,false)</f>
        <v>Dunlop</v>
      </c>
      <c r="R4556" s="93" t="str">
        <f>VLOOKUP(E4556,DATABASE!C:Q,11,false)</f>
        <v>Tire</v>
      </c>
    </row>
    <row r="4557" ht="22.5" customHeight="1">
      <c r="A4557" s="49"/>
      <c r="C4557" s="384">
        <v>45916.0</v>
      </c>
      <c r="D4557" s="65">
        <v>7165.0</v>
      </c>
      <c r="E4557" s="445" t="s">
        <v>256</v>
      </c>
      <c r="F4557" s="386">
        <v>1.0</v>
      </c>
      <c r="G4557" s="74">
        <v>110000.0</v>
      </c>
      <c r="H4557" s="74">
        <v>0.0</v>
      </c>
      <c r="I4557" s="74">
        <f t="shared" si="1"/>
        <v>110000</v>
      </c>
      <c r="J4557" s="74">
        <f>IF(E4557="SERVICE",I4557-(I4557*50%),Vlookup(E4557,DATABASE!C:Q,10,false)*F4557)</f>
        <v>10000</v>
      </c>
      <c r="K4557" s="74">
        <f>VLOOKUP(E4557,DATABASE!C:Q,7,false)</f>
        <v>0</v>
      </c>
      <c r="L4557" s="74">
        <v>0.0</v>
      </c>
      <c r="M4557" s="74">
        <f t="shared" si="2"/>
        <v>0</v>
      </c>
      <c r="N4557" s="74">
        <f t="shared" si="3"/>
        <v>100000</v>
      </c>
      <c r="O4557" s="65" t="str">
        <f>VLOOKUP(E4557,DATABASE!C:Q,8,false)</f>
        <v>IBU</v>
      </c>
      <c r="P4557" s="65">
        <f>VLOOKUP(E4557,DATABASE!C:Q,9,False)</f>
        <v>0</v>
      </c>
      <c r="Q4557" s="93" t="str">
        <f>VLOOKUP(E4557,DATABASE!C:Q,4,false)</f>
        <v>SPOORING</v>
      </c>
      <c r="R4557" s="93" t="str">
        <f>VLOOKUP(E4557,DATABASE!C:Q,11,false)</f>
        <v>SERVICE</v>
      </c>
    </row>
    <row r="4558" ht="22.5" customHeight="1">
      <c r="A4558" s="49"/>
      <c r="C4558" s="384">
        <v>45916.0</v>
      </c>
      <c r="D4558" s="65">
        <v>7165.0</v>
      </c>
      <c r="E4558" s="445" t="s">
        <v>301</v>
      </c>
      <c r="F4558" s="386">
        <v>1.0</v>
      </c>
      <c r="G4558" s="74">
        <v>250000.0</v>
      </c>
      <c r="H4558" s="74">
        <v>0.0</v>
      </c>
      <c r="I4558" s="74">
        <f t="shared" si="1"/>
        <v>250000</v>
      </c>
      <c r="J4558" s="74">
        <f>IF(E4558="SERVICE",I4558-(I4558*50%),Vlookup(E4558,DATABASE!C:Q,10,false)*F4558)</f>
        <v>75000</v>
      </c>
      <c r="K4558" s="74">
        <f>VLOOKUP(E4558,DATABASE!C:Q,7,false)</f>
        <v>75000</v>
      </c>
      <c r="L4558" s="74">
        <v>75000.0</v>
      </c>
      <c r="M4558" s="74">
        <f t="shared" si="2"/>
        <v>75000</v>
      </c>
      <c r="N4558" s="74">
        <f t="shared" si="3"/>
        <v>100000</v>
      </c>
      <c r="O4558" s="65" t="str">
        <f>VLOOKUP(E4558,DATABASE!C:Q,8,false)</f>
        <v>BIAN</v>
      </c>
      <c r="P4558" s="65">
        <f>VLOOKUP(E4558,DATABASE!C:Q,9,False)</f>
        <v>0</v>
      </c>
      <c r="Q4558" s="93" t="str">
        <f>VLOOKUP(E4558,DATABASE!C:Q,4,false)</f>
        <v>Baut Camber</v>
      </c>
      <c r="R4558" s="93" t="str">
        <f>VLOOKUP(E4558,DATABASE!C:Q,11,false)</f>
        <v>COMPLEMENTARY</v>
      </c>
    </row>
    <row r="4559" ht="22.5" customHeight="1">
      <c r="A4559" s="49"/>
      <c r="C4559" s="384">
        <v>45916.0</v>
      </c>
      <c r="D4559" s="65">
        <v>7166.0</v>
      </c>
      <c r="E4559" s="445" t="s">
        <v>286</v>
      </c>
      <c r="F4559" s="386">
        <v>2.0</v>
      </c>
      <c r="G4559" s="74">
        <v>550000.0</v>
      </c>
      <c r="H4559" s="74">
        <v>0.0</v>
      </c>
      <c r="I4559" s="74">
        <f t="shared" si="1"/>
        <v>1100000</v>
      </c>
      <c r="J4559" s="74">
        <f>IF(E4559="SERVICE",I4559-(I4559*50%),Vlookup(E4559,DATABASE!C:Q,10,false)*F4559)</f>
        <v>0</v>
      </c>
      <c r="K4559" s="74">
        <f>VLOOKUP(E4559,DATABASE!C:Q,7,false)</f>
        <v>488320</v>
      </c>
      <c r="L4559" s="74">
        <v>452970.0</v>
      </c>
      <c r="M4559" s="74">
        <f t="shared" si="2"/>
        <v>455000</v>
      </c>
      <c r="N4559" s="74">
        <f t="shared" si="3"/>
        <v>190000</v>
      </c>
      <c r="O4559" s="65" t="str">
        <f>VLOOKUP(E4559,DATABASE!C:Q,8,false)</f>
        <v>BIAN</v>
      </c>
      <c r="P4559" s="65">
        <f>VLOOKUP(E4559,DATABASE!C:Q,9,False)</f>
        <v>1</v>
      </c>
      <c r="Q4559" s="93" t="str">
        <f>VLOOKUP(E4559,DATABASE!C:Q,4,false)</f>
        <v>GT</v>
      </c>
      <c r="R4559" s="93" t="str">
        <f>VLOOKUP(E4559,DATABASE!C:Q,11,false)</f>
        <v>Tire</v>
      </c>
    </row>
    <row r="4560" ht="22.5" customHeight="1">
      <c r="A4560" s="49"/>
      <c r="C4560" s="384">
        <v>45916.0</v>
      </c>
      <c r="D4560" s="65">
        <v>7166.0</v>
      </c>
      <c r="E4560" s="445" t="s">
        <v>1025</v>
      </c>
      <c r="F4560" s="386">
        <v>2.0</v>
      </c>
      <c r="G4560" s="74">
        <v>790000.0</v>
      </c>
      <c r="H4560" s="74">
        <v>0.0</v>
      </c>
      <c r="I4560" s="74">
        <f t="shared" si="1"/>
        <v>1580000</v>
      </c>
      <c r="J4560" s="74">
        <f>IF(E4560="SERVICE",I4560-(I4560*50%),Vlookup(E4560,DATABASE!C:Q,10,false)*F4560)</f>
        <v>0</v>
      </c>
      <c r="K4560" s="74">
        <f>VLOOKUP(E4560,DATABASE!C:Q,7,false)</f>
        <v>683020.8</v>
      </c>
      <c r="L4560" s="74">
        <v>683020.8</v>
      </c>
      <c r="M4560" s="74">
        <f t="shared" si="2"/>
        <v>685000</v>
      </c>
      <c r="N4560" s="74">
        <f t="shared" si="3"/>
        <v>210000</v>
      </c>
      <c r="O4560" s="65" t="str">
        <f>VLOOKUP(E4560,DATABASE!C:Q,8,false)</f>
        <v>IBU</v>
      </c>
      <c r="P4560" s="65">
        <f>VLOOKUP(E4560,DATABASE!C:Q,9,False)</f>
        <v>1</v>
      </c>
      <c r="Q4560" s="93" t="str">
        <f>VLOOKUP(E4560,DATABASE!C:Q,4,false)</f>
        <v>Bridgestone</v>
      </c>
      <c r="R4560" s="93" t="str">
        <f>VLOOKUP(E4560,DATABASE!C:Q,11,false)</f>
        <v>Tire</v>
      </c>
    </row>
    <row r="4561" ht="22.5" customHeight="1">
      <c r="A4561" s="49"/>
      <c r="C4561" s="384">
        <v>45916.0</v>
      </c>
      <c r="D4561" s="65">
        <v>7167.0</v>
      </c>
      <c r="E4561" s="445" t="s">
        <v>1486</v>
      </c>
      <c r="F4561" s="386">
        <v>1.0</v>
      </c>
      <c r="G4561" s="74">
        <v>980000.0</v>
      </c>
      <c r="H4561" s="74">
        <v>0.0</v>
      </c>
      <c r="I4561" s="74">
        <f t="shared" si="1"/>
        <v>980000</v>
      </c>
      <c r="J4561" s="74">
        <f>IF(E4561="SERVICE",I4561-(I4561*50%),Vlookup(E4561,DATABASE!C:Q,10,false)*F4561)</f>
        <v>0</v>
      </c>
      <c r="K4561" s="74">
        <f>VLOOKUP(E4561,DATABASE!C:Q,7,false)</f>
        <v>888000</v>
      </c>
      <c r="L4561" s="74">
        <v>877000.0</v>
      </c>
      <c r="M4561" s="74">
        <f t="shared" si="2"/>
        <v>880000</v>
      </c>
      <c r="N4561" s="74">
        <f t="shared" si="3"/>
        <v>100000</v>
      </c>
      <c r="O4561" s="65" t="str">
        <f>VLOOKUP(E4561,DATABASE!C:Q,8,false)</f>
        <v>IBU</v>
      </c>
      <c r="P4561" s="65">
        <f>VLOOKUP(E4561,DATABASE!C:Q,9,False)</f>
        <v>1</v>
      </c>
      <c r="Q4561" s="93" t="str">
        <f>VLOOKUP(E4561,DATABASE!C:Q,4,false)</f>
        <v>Dunlop</v>
      </c>
      <c r="R4561" s="93" t="str">
        <f>VLOOKUP(E4561,DATABASE!C:Q,11,false)</f>
        <v>Tire</v>
      </c>
    </row>
    <row r="4562" ht="22.5" customHeight="1">
      <c r="A4562" s="49"/>
      <c r="C4562" s="384">
        <v>45916.0</v>
      </c>
      <c r="D4562" s="65">
        <v>7168.0</v>
      </c>
      <c r="E4562" s="445" t="s">
        <v>262</v>
      </c>
      <c r="F4562" s="386">
        <v>1.0</v>
      </c>
      <c r="G4562" s="74">
        <v>110000.0</v>
      </c>
      <c r="H4562" s="74">
        <v>0.0</v>
      </c>
      <c r="I4562" s="74">
        <f t="shared" si="1"/>
        <v>110000</v>
      </c>
      <c r="J4562" s="74">
        <f>IF(E4562="SERVICE",I4562-(I4562*50%),Vlookup(E4562,DATABASE!C:Q,10,false)*F4562)</f>
        <v>5000</v>
      </c>
      <c r="K4562" s="74">
        <f>VLOOKUP(E4562,DATABASE!C:Q,7,false)</f>
        <v>0</v>
      </c>
      <c r="L4562" s="74">
        <v>0.0</v>
      </c>
      <c r="M4562" s="74">
        <f t="shared" si="2"/>
        <v>0</v>
      </c>
      <c r="N4562" s="74">
        <f t="shared" si="3"/>
        <v>105000</v>
      </c>
      <c r="O4562" s="65" t="str">
        <f>VLOOKUP(E4562,DATABASE!C:Q,8,false)</f>
        <v>IBU</v>
      </c>
      <c r="P4562" s="65">
        <f>VLOOKUP(E4562,DATABASE!C:Q,9,False)</f>
        <v>0</v>
      </c>
      <c r="Q4562" s="93" t="str">
        <f>VLOOKUP(E4562,DATABASE!C:Q,4,false)</f>
        <v>SPOORING SS/CARRY LOS BAK</v>
      </c>
      <c r="R4562" s="93" t="str">
        <f>VLOOKUP(E4562,DATABASE!C:Q,11,false)</f>
        <v>SERVICE</v>
      </c>
    </row>
    <row r="4563" ht="22.5" customHeight="1">
      <c r="A4563" s="49"/>
      <c r="C4563" s="384">
        <v>45916.0</v>
      </c>
      <c r="D4563" s="65">
        <v>7168.0</v>
      </c>
      <c r="E4563" s="445" t="s">
        <v>251</v>
      </c>
      <c r="F4563" s="386">
        <v>1.0</v>
      </c>
      <c r="G4563" s="74">
        <v>150000.0</v>
      </c>
      <c r="H4563" s="74">
        <v>0.0</v>
      </c>
      <c r="I4563" s="74">
        <f t="shared" si="1"/>
        <v>150000</v>
      </c>
      <c r="J4563" s="74">
        <f>IF(E4563="SERVICE",I4563-(I4563*50%),Vlookup(E4563,DATABASE!C:Q,10,false)*F4563)</f>
        <v>75000</v>
      </c>
      <c r="K4563" s="74">
        <f>VLOOKUP(E4563,DATABASE!C:Q,7,false)</f>
        <v>0</v>
      </c>
      <c r="L4563" s="74">
        <v>0.0</v>
      </c>
      <c r="M4563" s="74">
        <f t="shared" si="2"/>
        <v>0</v>
      </c>
      <c r="N4563" s="74">
        <f t="shared" si="3"/>
        <v>75000</v>
      </c>
      <c r="O4563" s="65" t="str">
        <f>VLOOKUP(E4563,DATABASE!C:Q,8,false)</f>
        <v>IBU</v>
      </c>
      <c r="P4563" s="65">
        <f>VLOOKUP(E4563,DATABASE!C:Q,9,False)</f>
        <v>0</v>
      </c>
      <c r="Q4563" s="93" t="str">
        <f>VLOOKUP(E4563,DATABASE!C:Q,4,false)</f>
        <v>SERVICE</v>
      </c>
      <c r="R4563" s="93" t="str">
        <f>VLOOKUP(E4563,DATABASE!C:Q,11,false)</f>
        <v>SERVICE</v>
      </c>
    </row>
    <row r="4564" ht="22.5" customHeight="1">
      <c r="A4564" s="49"/>
      <c r="C4564" s="384">
        <v>45917.0</v>
      </c>
      <c r="D4564" s="65">
        <v>7169.0</v>
      </c>
      <c r="E4564" s="445" t="s">
        <v>554</v>
      </c>
      <c r="F4564" s="386">
        <v>1.0</v>
      </c>
      <c r="G4564" s="74">
        <v>765000.0</v>
      </c>
      <c r="H4564" s="74">
        <v>0.0</v>
      </c>
      <c r="I4564" s="74">
        <f t="shared" si="1"/>
        <v>765000</v>
      </c>
      <c r="J4564" s="74">
        <f>IF(E4564="SERVICE",I4564-(I4564*50%),Vlookup(E4564,DATABASE!C:Q,10,false)*F4564)</f>
        <v>0</v>
      </c>
      <c r="K4564" s="74">
        <f>VLOOKUP(E4564,DATABASE!C:Q,7,false)</f>
        <v>710000</v>
      </c>
      <c r="L4564" s="74">
        <v>680000.0</v>
      </c>
      <c r="M4564" s="74">
        <f t="shared" si="2"/>
        <v>680000</v>
      </c>
      <c r="N4564" s="74">
        <f t="shared" si="3"/>
        <v>85000</v>
      </c>
      <c r="O4564" s="65" t="str">
        <f>VLOOKUP(E4564,DATABASE!C:Q,8,false)</f>
        <v>IBU</v>
      </c>
      <c r="P4564" s="65">
        <f>VLOOKUP(E4564,DATABASE!C:Q,9,False)</f>
        <v>1</v>
      </c>
      <c r="Q4564" s="93" t="str">
        <f>VLOOKUP(E4564,DATABASE!C:Q,4,false)</f>
        <v>Bridgestone</v>
      </c>
      <c r="R4564" s="93" t="str">
        <f>VLOOKUP(E4564,DATABASE!C:Q,11,false)</f>
        <v>Tire</v>
      </c>
    </row>
    <row r="4565" ht="22.5" customHeight="1">
      <c r="A4565" s="49"/>
      <c r="C4565" s="384">
        <v>45917.0</v>
      </c>
      <c r="D4565" s="65">
        <v>7170.0</v>
      </c>
      <c r="E4565" s="445" t="s">
        <v>932</v>
      </c>
      <c r="F4565" s="386">
        <v>2.0</v>
      </c>
      <c r="G4565" s="74">
        <v>685000.0</v>
      </c>
      <c r="H4565" s="74">
        <v>0.0</v>
      </c>
      <c r="I4565" s="74">
        <f t="shared" si="1"/>
        <v>1370000</v>
      </c>
      <c r="J4565" s="74">
        <f>IF(E4565="SERVICE",I4565-(I4565*50%),Vlookup(E4565,DATABASE!C:Q,10,false)*F4565)</f>
        <v>0</v>
      </c>
      <c r="K4565" s="74">
        <f>VLOOKUP(E4565,DATABASE!C:Q,7,false)</f>
        <v>601000</v>
      </c>
      <c r="L4565" s="74">
        <v>595000.0</v>
      </c>
      <c r="M4565" s="74">
        <f t="shared" si="2"/>
        <v>595000</v>
      </c>
      <c r="N4565" s="74">
        <f t="shared" si="3"/>
        <v>180000</v>
      </c>
      <c r="O4565" s="65" t="str">
        <f>VLOOKUP(E4565,DATABASE!C:Q,8,false)</f>
        <v>IBU</v>
      </c>
      <c r="P4565" s="65">
        <f>VLOOKUP(E4565,DATABASE!C:Q,9,False)</f>
        <v>1</v>
      </c>
      <c r="Q4565" s="93" t="str">
        <f>VLOOKUP(E4565,DATABASE!C:Q,4,false)</f>
        <v>Dunlop</v>
      </c>
      <c r="R4565" s="93" t="str">
        <f>VLOOKUP(E4565,DATABASE!C:Q,11,false)</f>
        <v>Tire</v>
      </c>
    </row>
    <row r="4566" ht="22.5" customHeight="1">
      <c r="A4566" s="49"/>
      <c r="C4566" s="384">
        <v>45917.0</v>
      </c>
      <c r="D4566" s="65">
        <v>7171.0</v>
      </c>
      <c r="E4566" s="445" t="s">
        <v>268</v>
      </c>
      <c r="F4566" s="386">
        <v>2.0</v>
      </c>
      <c r="G4566" s="74">
        <v>720000.0</v>
      </c>
      <c r="H4566" s="74">
        <v>0.0</v>
      </c>
      <c r="I4566" s="74">
        <f t="shared" si="1"/>
        <v>1440000</v>
      </c>
      <c r="J4566" s="74">
        <f>IF(E4566="SERVICE",I4566-(I4566*50%),Vlookup(E4566,DATABASE!C:Q,10,false)*F4566)</f>
        <v>0</v>
      </c>
      <c r="K4566" s="74">
        <f>VLOOKUP(E4566,DATABASE!C:Q,7,false)</f>
        <v>653000</v>
      </c>
      <c r="L4566" s="74">
        <v>622000.0</v>
      </c>
      <c r="M4566" s="74">
        <f t="shared" si="2"/>
        <v>625000</v>
      </c>
      <c r="N4566" s="74">
        <f t="shared" si="3"/>
        <v>190000</v>
      </c>
      <c r="O4566" s="65" t="str">
        <f>VLOOKUP(E4566,DATABASE!C:Q,8,false)</f>
        <v>IBU</v>
      </c>
      <c r="P4566" s="65">
        <f>VLOOKUP(E4566,DATABASE!C:Q,9,False)</f>
        <v>1</v>
      </c>
      <c r="Q4566" s="93" t="str">
        <f>VLOOKUP(E4566,DATABASE!C:Q,4,false)</f>
        <v>Dunlop</v>
      </c>
      <c r="R4566" s="93" t="str">
        <f>VLOOKUP(E4566,DATABASE!C:Q,11,false)</f>
        <v>Tire</v>
      </c>
    </row>
    <row r="4567" ht="22.5" customHeight="1">
      <c r="A4567" s="49"/>
      <c r="C4567" s="384">
        <v>45917.0</v>
      </c>
      <c r="D4567" s="65">
        <v>7171.0</v>
      </c>
      <c r="E4567" s="445" t="s">
        <v>250</v>
      </c>
      <c r="F4567" s="386">
        <v>1.0</v>
      </c>
      <c r="G4567" s="74">
        <v>135000.0</v>
      </c>
      <c r="H4567" s="74">
        <v>0.0</v>
      </c>
      <c r="I4567" s="74">
        <f t="shared" si="1"/>
        <v>135000</v>
      </c>
      <c r="J4567" s="74">
        <f>IF(E4567="SERVICE",I4567-(I4567*50%),Vlookup(E4567,DATABASE!C:Q,10,false)*F4567)</f>
        <v>0</v>
      </c>
      <c r="K4567" s="74">
        <f>VLOOKUP(E4567,DATABASE!C:Q,7,false)</f>
        <v>102000</v>
      </c>
      <c r="L4567" s="74">
        <v>102000.0</v>
      </c>
      <c r="M4567" s="74">
        <f t="shared" si="2"/>
        <v>105000</v>
      </c>
      <c r="N4567" s="74">
        <f t="shared" si="3"/>
        <v>30000</v>
      </c>
      <c r="O4567" s="65" t="str">
        <f>VLOOKUP(E4567,DATABASE!C:Q,8,false)</f>
        <v>BIAN</v>
      </c>
      <c r="P4567" s="65">
        <f>VLOOKUP(E4567,DATABASE!C:Q,9,False)</f>
        <v>1</v>
      </c>
      <c r="Q4567" s="93" t="str">
        <f>VLOOKUP(E4567,DATABASE!C:Q,4,false)</f>
        <v>BD</v>
      </c>
      <c r="R4567" s="93" t="str">
        <f>VLOOKUP(E4567,DATABASE!C:Q,11,false)</f>
        <v>Tire</v>
      </c>
    </row>
    <row r="4568" ht="22.5" customHeight="1">
      <c r="A4568" s="49"/>
      <c r="C4568" s="384">
        <v>45917.0</v>
      </c>
      <c r="D4568" s="65">
        <v>7174.0</v>
      </c>
      <c r="E4568" s="445" t="s">
        <v>288</v>
      </c>
      <c r="F4568" s="386">
        <v>1.0</v>
      </c>
      <c r="G4568" s="74">
        <v>620000.0</v>
      </c>
      <c r="H4568" s="74">
        <v>0.0</v>
      </c>
      <c r="I4568" s="74">
        <f t="shared" si="1"/>
        <v>620000</v>
      </c>
      <c r="J4568" s="74">
        <f>IF(E4568="SERVICE",I4568-(I4568*50%),Vlookup(E4568,DATABASE!C:Q,10,false)*F4568)</f>
        <v>0</v>
      </c>
      <c r="K4568" s="74">
        <f>VLOOKUP(E4568,DATABASE!C:Q,7,false)</f>
        <v>565760</v>
      </c>
      <c r="L4568" s="74">
        <v>524800.0</v>
      </c>
      <c r="M4568" s="74">
        <f t="shared" si="2"/>
        <v>525000</v>
      </c>
      <c r="N4568" s="74">
        <f t="shared" si="3"/>
        <v>95000</v>
      </c>
      <c r="O4568" s="65" t="str">
        <f>VLOOKUP(E4568,DATABASE!C:Q,8,false)</f>
        <v>BIAN</v>
      </c>
      <c r="P4568" s="65">
        <f>VLOOKUP(E4568,DATABASE!C:Q,9,False)</f>
        <v>1</v>
      </c>
      <c r="Q4568" s="93" t="str">
        <f>VLOOKUP(E4568,DATABASE!C:Q,4,false)</f>
        <v>GT</v>
      </c>
      <c r="R4568" s="93" t="str">
        <f>VLOOKUP(E4568,DATABASE!C:Q,11,false)</f>
        <v>Tire</v>
      </c>
    </row>
    <row r="4569" ht="22.5" customHeight="1">
      <c r="A4569" s="49"/>
      <c r="C4569" s="384">
        <v>45917.0</v>
      </c>
      <c r="D4569" s="65">
        <v>7174.0</v>
      </c>
      <c r="E4569" s="445" t="s">
        <v>478</v>
      </c>
      <c r="F4569" s="386">
        <v>1.0</v>
      </c>
      <c r="G4569" s="74">
        <v>200000.0</v>
      </c>
      <c r="H4569" s="74">
        <v>0.0</v>
      </c>
      <c r="I4569" s="74">
        <f t="shared" si="1"/>
        <v>200000</v>
      </c>
      <c r="J4569" s="74">
        <f>IF(E4569="SERVICE",I4569-(I4569*50%),Vlookup(E4569,DATABASE!C:Q,10,false)*F4569)</f>
        <v>25000</v>
      </c>
      <c r="K4569" s="74">
        <f>VLOOKUP(E4569,DATABASE!C:Q,7,false)</f>
        <v>75000</v>
      </c>
      <c r="L4569" s="74">
        <v>75000.0</v>
      </c>
      <c r="M4569" s="74">
        <f t="shared" si="2"/>
        <v>75000</v>
      </c>
      <c r="N4569" s="74">
        <f t="shared" si="3"/>
        <v>100000</v>
      </c>
      <c r="O4569" s="65" t="str">
        <f>VLOOKUP(E4569,DATABASE!C:Q,8,false)</f>
        <v>BIAN</v>
      </c>
      <c r="P4569" s="65">
        <f>VLOOKUP(E4569,DATABASE!C:Q,9,False)</f>
        <v>0</v>
      </c>
      <c r="Q4569" s="93" t="str">
        <f>VLOOKUP(E4569,DATABASE!C:Q,4,false)</f>
        <v>Baut Camber ss-carry</v>
      </c>
      <c r="R4569" s="93" t="str">
        <f>VLOOKUP(E4569,DATABASE!C:Q,11,false)</f>
        <v>COMPLEMENTARY</v>
      </c>
    </row>
    <row r="4570" ht="22.5" customHeight="1">
      <c r="A4570" s="49"/>
      <c r="C4570" s="384">
        <v>45917.0</v>
      </c>
      <c r="D4570" s="65">
        <v>7174.0</v>
      </c>
      <c r="E4570" s="385" t="s">
        <v>305</v>
      </c>
      <c r="F4570" s="386">
        <v>1.0</v>
      </c>
      <c r="G4570" s="74">
        <v>235000.0</v>
      </c>
      <c r="H4570" s="74">
        <v>0.0</v>
      </c>
      <c r="I4570" s="74">
        <f t="shared" si="1"/>
        <v>235000</v>
      </c>
      <c r="J4570" s="74">
        <f>IF(E4570="SERVICE",I4570-(I4570*50%),Vlookup(E4570,DATABASE!C:Q,10,false)*F4570)</f>
        <v>40000</v>
      </c>
      <c r="K4570" s="74">
        <f>VLOOKUP(E4570,DATABASE!C:Q,7,false)</f>
        <v>158530.2</v>
      </c>
      <c r="L4570" s="74">
        <v>151890.0</v>
      </c>
      <c r="M4570" s="74">
        <f t="shared" si="2"/>
        <v>155000</v>
      </c>
      <c r="N4570" s="74">
        <f t="shared" si="3"/>
        <v>40000</v>
      </c>
      <c r="O4570" s="65" t="str">
        <f>VLOOKUP(E4570,DATABASE!C:Q,8,false)</f>
        <v>BIAN</v>
      </c>
      <c r="P4570" s="65">
        <f>VLOOKUP(E4570,DATABASE!C:Q,9,False)</f>
        <v>1</v>
      </c>
      <c r="Q4570" s="93" t="str">
        <f>VLOOKUP(E4570,DATABASE!C:Q,4,false)</f>
        <v>Lower Arm</v>
      </c>
      <c r="R4570" s="93" t="str">
        <f>VLOOKUP(E4570,DATABASE!C:Q,11,false)</f>
        <v>COMPLEMENTARY</v>
      </c>
    </row>
    <row r="4571" ht="22.5" customHeight="1">
      <c r="A4571" s="49"/>
      <c r="C4571" s="384">
        <v>45917.0</v>
      </c>
      <c r="D4571" s="65">
        <v>7174.0</v>
      </c>
      <c r="E4571" s="445" t="s">
        <v>262</v>
      </c>
      <c r="F4571" s="386">
        <v>1.0</v>
      </c>
      <c r="G4571" s="74">
        <v>110000.0</v>
      </c>
      <c r="H4571" s="74">
        <v>0.0</v>
      </c>
      <c r="I4571" s="74">
        <f t="shared" si="1"/>
        <v>110000</v>
      </c>
      <c r="J4571" s="74">
        <f>IF(E4571="SERVICE",I4571-(I4571*50%),Vlookup(E4571,DATABASE!C:Q,10,false)*F4571)</f>
        <v>5000</v>
      </c>
      <c r="K4571" s="74">
        <f>VLOOKUP(E4571,DATABASE!C:Q,7,false)</f>
        <v>0</v>
      </c>
      <c r="L4571" s="74">
        <v>0.0</v>
      </c>
      <c r="M4571" s="74">
        <f t="shared" si="2"/>
        <v>0</v>
      </c>
      <c r="N4571" s="74">
        <f t="shared" si="3"/>
        <v>105000</v>
      </c>
      <c r="O4571" s="65" t="str">
        <f>VLOOKUP(E4571,DATABASE!C:Q,8,false)</f>
        <v>IBU</v>
      </c>
      <c r="P4571" s="65">
        <f>VLOOKUP(E4571,DATABASE!C:Q,9,False)</f>
        <v>0</v>
      </c>
      <c r="Q4571" s="93" t="str">
        <f>VLOOKUP(E4571,DATABASE!C:Q,4,false)</f>
        <v>SPOORING SS/CARRY LOS BAK</v>
      </c>
      <c r="R4571" s="93" t="str">
        <f>VLOOKUP(E4571,DATABASE!C:Q,11,false)</f>
        <v>SERVICE</v>
      </c>
    </row>
    <row r="4572" ht="22.5" customHeight="1">
      <c r="A4572" s="49"/>
      <c r="C4572" s="384">
        <v>45917.0</v>
      </c>
      <c r="D4572" s="65">
        <v>7175.0</v>
      </c>
      <c r="E4572" s="385" t="s">
        <v>299</v>
      </c>
      <c r="F4572" s="386">
        <v>2.0</v>
      </c>
      <c r="G4572" s="74">
        <v>25000.0</v>
      </c>
      <c r="H4572" s="74">
        <v>0.0</v>
      </c>
      <c r="I4572" s="74">
        <f t="shared" si="1"/>
        <v>50000</v>
      </c>
      <c r="J4572" s="74">
        <f>IF(E4572="SERVICE",I4572-(I4572*50%),Vlookup(E4572,DATABASE!C:Q,10,false)*F4572)</f>
        <v>0</v>
      </c>
      <c r="K4572" s="74">
        <v>0.0</v>
      </c>
      <c r="L4572" s="74">
        <v>0.0</v>
      </c>
      <c r="M4572" s="74">
        <f t="shared" si="2"/>
        <v>0</v>
      </c>
      <c r="N4572" s="74">
        <f t="shared" si="3"/>
        <v>50000</v>
      </c>
      <c r="O4572" s="65" t="str">
        <f>VLOOKUP(E4572,DATABASE!C:Q,8,false)</f>
        <v>BIAN</v>
      </c>
      <c r="P4572" s="65">
        <f>VLOOKUP(E4572,DATABASE!C:Q,9,False)</f>
        <v>0</v>
      </c>
      <c r="Q4572" s="93" t="str">
        <f>VLOOKUP(E4572,DATABASE!C:Q,4,false)</f>
        <v>Balancing</v>
      </c>
      <c r="R4572" s="93" t="str">
        <f>VLOOKUP(E4572,DATABASE!C:Q,11,false)</f>
        <v>COMPLEMENTARY</v>
      </c>
    </row>
    <row r="4573" ht="22.5" customHeight="1">
      <c r="A4573" s="49"/>
      <c r="C4573" s="384">
        <v>45917.0</v>
      </c>
      <c r="D4573" s="65">
        <v>7176.0</v>
      </c>
      <c r="E4573" s="445" t="s">
        <v>777</v>
      </c>
      <c r="F4573" s="386">
        <v>1.0</v>
      </c>
      <c r="G4573" s="74">
        <v>585000.0</v>
      </c>
      <c r="H4573" s="74">
        <v>0.0</v>
      </c>
      <c r="I4573" s="74">
        <f t="shared" si="1"/>
        <v>585000</v>
      </c>
      <c r="J4573" s="74">
        <f>IF(E4573="SERVICE",I4573-(I4573*50%),Vlookup(E4573,DATABASE!C:Q,10,false)*F4573)</f>
        <v>0</v>
      </c>
      <c r="K4573" s="74">
        <f>VLOOKUP(E4573,DATABASE!C:Q,7,false)</f>
        <v>540000</v>
      </c>
      <c r="L4573" s="74">
        <v>507000.0</v>
      </c>
      <c r="M4573" s="74">
        <f t="shared" si="2"/>
        <v>510000</v>
      </c>
      <c r="N4573" s="74">
        <f t="shared" si="3"/>
        <v>75000</v>
      </c>
      <c r="O4573" s="65" t="str">
        <f>VLOOKUP(E4573,DATABASE!C:Q,8,false)</f>
        <v>BIAN</v>
      </c>
      <c r="P4573" s="65">
        <f>VLOOKUP(E4573,DATABASE!C:Q,9,False)</f>
        <v>1</v>
      </c>
      <c r="Q4573" s="93" t="str">
        <f>VLOOKUP(E4573,DATABASE!C:Q,4,false)</f>
        <v>GT</v>
      </c>
      <c r="R4573" s="93" t="str">
        <f>VLOOKUP(E4573,DATABASE!C:Q,11,false)</f>
        <v>Tire</v>
      </c>
    </row>
    <row r="4574" ht="22.5" customHeight="1">
      <c r="A4574" s="49"/>
      <c r="C4574" s="384">
        <v>45917.0</v>
      </c>
      <c r="D4574" s="65">
        <v>7177.0</v>
      </c>
      <c r="E4574" s="445" t="s">
        <v>1361</v>
      </c>
      <c r="F4574" s="386">
        <v>1.0</v>
      </c>
      <c r="G4574" s="74">
        <v>1000000.0</v>
      </c>
      <c r="H4574" s="74">
        <v>0.0</v>
      </c>
      <c r="I4574" s="74">
        <f t="shared" si="1"/>
        <v>1000000</v>
      </c>
      <c r="J4574" s="74">
        <f>IF(E4574="SERVICE",I4574-(I4574*50%),Vlookup(E4574,DATABASE!C:Q,10,false)*F4574)</f>
        <v>0</v>
      </c>
      <c r="K4574" s="74">
        <f>VLOOKUP(E4574,DATABASE!C:Q,7,false)</f>
        <v>881000</v>
      </c>
      <c r="L4574" s="74">
        <v>881000.0</v>
      </c>
      <c r="M4574" s="74">
        <f t="shared" si="2"/>
        <v>885000</v>
      </c>
      <c r="N4574" s="74">
        <f t="shared" si="3"/>
        <v>115000</v>
      </c>
      <c r="O4574" s="65" t="str">
        <f>VLOOKUP(E4574,DATABASE!C:Q,8,false)</f>
        <v>IBU</v>
      </c>
      <c r="P4574" s="65">
        <f>VLOOKUP(E4574,DATABASE!C:Q,9,False)</f>
        <v>1</v>
      </c>
      <c r="Q4574" s="93" t="str">
        <f>VLOOKUP(E4574,DATABASE!C:Q,4,false)</f>
        <v>Dunlop</v>
      </c>
      <c r="R4574" s="93" t="str">
        <f>VLOOKUP(E4574,DATABASE!C:Q,11,false)</f>
        <v>Tire</v>
      </c>
    </row>
    <row r="4575" ht="22.5" customHeight="1">
      <c r="A4575" s="49"/>
      <c r="C4575" s="384">
        <v>45917.0</v>
      </c>
      <c r="D4575" s="65">
        <v>7178.0</v>
      </c>
      <c r="E4575" s="445" t="s">
        <v>262</v>
      </c>
      <c r="F4575" s="386">
        <v>1.0</v>
      </c>
      <c r="G4575" s="74">
        <v>110000.0</v>
      </c>
      <c r="H4575" s="74">
        <v>0.0</v>
      </c>
      <c r="I4575" s="74">
        <f t="shared" si="1"/>
        <v>110000</v>
      </c>
      <c r="J4575" s="74">
        <f>IF(E4575="SERVICE",I4575-(I4575*50%),Vlookup(E4575,DATABASE!C:Q,10,false)*F4575)</f>
        <v>5000</v>
      </c>
      <c r="K4575" s="74">
        <f>VLOOKUP(E4575,DATABASE!C:Q,7,false)</f>
        <v>0</v>
      </c>
      <c r="L4575" s="74">
        <v>0.0</v>
      </c>
      <c r="M4575" s="74">
        <f t="shared" si="2"/>
        <v>0</v>
      </c>
      <c r="N4575" s="74">
        <f t="shared" si="3"/>
        <v>105000</v>
      </c>
      <c r="O4575" s="65" t="str">
        <f>VLOOKUP(E4575,DATABASE!C:Q,8,false)</f>
        <v>IBU</v>
      </c>
      <c r="P4575" s="65">
        <f>VLOOKUP(E4575,DATABASE!C:Q,9,False)</f>
        <v>0</v>
      </c>
      <c r="Q4575" s="93" t="str">
        <f>VLOOKUP(E4575,DATABASE!C:Q,4,false)</f>
        <v>SPOORING SS/CARRY LOS BAK</v>
      </c>
      <c r="R4575" s="93" t="str">
        <f>VLOOKUP(E4575,DATABASE!C:Q,11,false)</f>
        <v>SERVICE</v>
      </c>
    </row>
    <row r="4576" ht="22.5" customHeight="1">
      <c r="A4576" s="49"/>
      <c r="C4576" s="384">
        <v>45917.0</v>
      </c>
      <c r="D4576" s="65">
        <v>7178.0</v>
      </c>
      <c r="E4576" s="445" t="s">
        <v>251</v>
      </c>
      <c r="F4576" s="386">
        <v>1.0</v>
      </c>
      <c r="G4576" s="74">
        <v>150000.0</v>
      </c>
      <c r="H4576" s="74">
        <v>0.0</v>
      </c>
      <c r="I4576" s="74">
        <f t="shared" si="1"/>
        <v>150000</v>
      </c>
      <c r="J4576" s="74">
        <f>IF(E4576="SERVICE",I4576-(I4576*50%),Vlookup(E4576,DATABASE!C:Q,10,false)*F4576)</f>
        <v>75000</v>
      </c>
      <c r="K4576" s="74">
        <f>VLOOKUP(E4576,DATABASE!C:Q,7,false)</f>
        <v>0</v>
      </c>
      <c r="L4576" s="74">
        <v>0.0</v>
      </c>
      <c r="M4576" s="74">
        <f t="shared" si="2"/>
        <v>0</v>
      </c>
      <c r="N4576" s="74">
        <f t="shared" si="3"/>
        <v>75000</v>
      </c>
      <c r="O4576" s="65" t="str">
        <f>VLOOKUP(E4576,DATABASE!C:Q,8,false)</f>
        <v>IBU</v>
      </c>
      <c r="P4576" s="65">
        <f>VLOOKUP(E4576,DATABASE!C:Q,9,False)</f>
        <v>0</v>
      </c>
      <c r="Q4576" s="93" t="str">
        <f>VLOOKUP(E4576,DATABASE!C:Q,4,false)</f>
        <v>SERVICE</v>
      </c>
      <c r="R4576" s="93" t="str">
        <f>VLOOKUP(E4576,DATABASE!C:Q,11,false)</f>
        <v>SERVICE</v>
      </c>
    </row>
    <row r="4577" ht="22.5" customHeight="1">
      <c r="A4577" s="49"/>
      <c r="C4577" s="384">
        <v>45917.0</v>
      </c>
      <c r="D4577" s="65">
        <v>7179.0</v>
      </c>
      <c r="E4577" s="445" t="s">
        <v>566</v>
      </c>
      <c r="F4577" s="386">
        <v>2.0</v>
      </c>
      <c r="G4577" s="74">
        <v>1645000.0</v>
      </c>
      <c r="H4577" s="74">
        <v>0.0</v>
      </c>
      <c r="I4577" s="74">
        <f t="shared" si="1"/>
        <v>3290000</v>
      </c>
      <c r="J4577" s="74">
        <f>IF(E4577="SERVICE",I4577-(I4577*50%),Vlookup(E4577,DATABASE!C:Q,10,false)*F4577)</f>
        <v>0</v>
      </c>
      <c r="K4577" s="74">
        <f>VLOOKUP(E4577,DATABASE!C:Q,7,false)</f>
        <v>1565000</v>
      </c>
      <c r="L4577" s="74">
        <v>1545000.0</v>
      </c>
      <c r="M4577" s="74">
        <f t="shared" si="2"/>
        <v>1545000</v>
      </c>
      <c r="N4577" s="74">
        <f t="shared" si="3"/>
        <v>200000</v>
      </c>
      <c r="O4577" s="65" t="str">
        <f>VLOOKUP(E4577,DATABASE!C:Q,8,false)</f>
        <v>IBU</v>
      </c>
      <c r="P4577" s="65">
        <f>VLOOKUP(E4577,DATABASE!C:Q,9,False)</f>
        <v>1</v>
      </c>
      <c r="Q4577" s="93" t="str">
        <f>VLOOKUP(E4577,DATABASE!C:Q,4,false)</f>
        <v>Bridgestone</v>
      </c>
      <c r="R4577" s="93" t="str">
        <f>VLOOKUP(E4577,DATABASE!C:Q,11,false)</f>
        <v>Tire</v>
      </c>
    </row>
    <row r="4578" ht="22.5" customHeight="1">
      <c r="A4578" s="49"/>
      <c r="C4578" s="384">
        <v>45917.0</v>
      </c>
      <c r="D4578" s="65">
        <v>7180.0</v>
      </c>
      <c r="E4578" s="445" t="s">
        <v>856</v>
      </c>
      <c r="F4578" s="386">
        <v>1.0</v>
      </c>
      <c r="G4578" s="74">
        <v>670000.0</v>
      </c>
      <c r="H4578" s="74">
        <v>0.0</v>
      </c>
      <c r="I4578" s="74">
        <f t="shared" si="1"/>
        <v>670000</v>
      </c>
      <c r="J4578" s="74">
        <f>IF(E4578="SERVICE",I4578-(I4578*50%),Vlookup(E4578,DATABASE!C:Q,10,false)*F4578)</f>
        <v>0</v>
      </c>
      <c r="K4578" s="74">
        <f>VLOOKUP(E4578,DATABASE!C:Q,7,false)</f>
        <v>615300</v>
      </c>
      <c r="L4578" s="74">
        <v>581120.0</v>
      </c>
      <c r="M4578" s="74">
        <f t="shared" si="2"/>
        <v>585000</v>
      </c>
      <c r="N4578" s="74">
        <f t="shared" si="3"/>
        <v>85000</v>
      </c>
      <c r="O4578" s="65" t="str">
        <f>VLOOKUP(E4578,DATABASE!C:Q,8,false)</f>
        <v>BIAN</v>
      </c>
      <c r="P4578" s="65">
        <f>VLOOKUP(E4578,DATABASE!C:Q,9,False)</f>
        <v>1</v>
      </c>
      <c r="Q4578" s="93" t="str">
        <f>VLOOKUP(E4578,DATABASE!C:Q,4,false)</f>
        <v>GT</v>
      </c>
      <c r="R4578" s="93" t="str">
        <f>VLOOKUP(E4578,DATABASE!C:Q,11,false)</f>
        <v>Tire</v>
      </c>
    </row>
    <row r="4579" ht="22.5" customHeight="1">
      <c r="A4579" s="49"/>
      <c r="C4579" s="384">
        <v>45917.0</v>
      </c>
      <c r="D4579" s="65">
        <v>7181.0</v>
      </c>
      <c r="E4579" s="445" t="s">
        <v>268</v>
      </c>
      <c r="F4579" s="386">
        <v>2.0</v>
      </c>
      <c r="G4579" s="74">
        <v>710000.0</v>
      </c>
      <c r="H4579" s="74">
        <v>0.0</v>
      </c>
      <c r="I4579" s="74">
        <f t="shared" si="1"/>
        <v>1420000</v>
      </c>
      <c r="J4579" s="74">
        <f>IF(E4579="SERVICE",I4579-(I4579*50%),Vlookup(E4579,DATABASE!C:Q,10,false)*F4579)</f>
        <v>0</v>
      </c>
      <c r="K4579" s="74">
        <f>VLOOKUP(E4579,DATABASE!C:Q,7,false)</f>
        <v>653000</v>
      </c>
      <c r="L4579" s="74">
        <v>622000.0</v>
      </c>
      <c r="M4579" s="74">
        <f t="shared" si="2"/>
        <v>625000</v>
      </c>
      <c r="N4579" s="74">
        <f t="shared" si="3"/>
        <v>170000</v>
      </c>
      <c r="O4579" s="65" t="str">
        <f>VLOOKUP(E4579,DATABASE!C:Q,8,false)</f>
        <v>IBU</v>
      </c>
      <c r="P4579" s="65">
        <f>VLOOKUP(E4579,DATABASE!C:Q,9,False)</f>
        <v>1</v>
      </c>
      <c r="Q4579" s="93" t="str">
        <f>VLOOKUP(E4579,DATABASE!C:Q,4,false)</f>
        <v>Dunlop</v>
      </c>
      <c r="R4579" s="93" t="str">
        <f>VLOOKUP(E4579,DATABASE!C:Q,11,false)</f>
        <v>Tire</v>
      </c>
    </row>
    <row r="4580" ht="22.5" customHeight="1">
      <c r="A4580" s="49"/>
      <c r="C4580" s="384">
        <v>45917.0</v>
      </c>
      <c r="D4580" s="65">
        <v>7181.0</v>
      </c>
      <c r="E4580" s="445" t="s">
        <v>256</v>
      </c>
      <c r="F4580" s="386">
        <v>1.0</v>
      </c>
      <c r="G4580" s="74">
        <v>130000.0</v>
      </c>
      <c r="H4580" s="74">
        <v>0.0</v>
      </c>
      <c r="I4580" s="74">
        <f t="shared" si="1"/>
        <v>130000</v>
      </c>
      <c r="J4580" s="74">
        <f>IF(E4580="SERVICE",I4580-(I4580*50%),Vlookup(E4580,DATABASE!C:Q,10,false)*F4580)</f>
        <v>10000</v>
      </c>
      <c r="K4580" s="74">
        <f>VLOOKUP(E4580,DATABASE!C:Q,7,false)</f>
        <v>0</v>
      </c>
      <c r="L4580" s="74">
        <v>0.0</v>
      </c>
      <c r="M4580" s="74">
        <f t="shared" si="2"/>
        <v>0</v>
      </c>
      <c r="N4580" s="74">
        <f t="shared" si="3"/>
        <v>120000</v>
      </c>
      <c r="O4580" s="65" t="str">
        <f>VLOOKUP(E4580,DATABASE!C:Q,8,false)</f>
        <v>IBU</v>
      </c>
      <c r="P4580" s="65">
        <f>VLOOKUP(E4580,DATABASE!C:Q,9,False)</f>
        <v>0</v>
      </c>
      <c r="Q4580" s="93" t="str">
        <f>VLOOKUP(E4580,DATABASE!C:Q,4,false)</f>
        <v>SPOORING</v>
      </c>
      <c r="R4580" s="93" t="str">
        <f>VLOOKUP(E4580,DATABASE!C:Q,11,false)</f>
        <v>SERVICE</v>
      </c>
    </row>
    <row r="4581" ht="22.5" customHeight="1">
      <c r="A4581" s="49"/>
      <c r="C4581" s="384">
        <v>45917.0</v>
      </c>
      <c r="D4581" s="65">
        <v>7181.0</v>
      </c>
      <c r="E4581" s="385" t="s">
        <v>299</v>
      </c>
      <c r="F4581" s="386">
        <v>2.0</v>
      </c>
      <c r="G4581" s="74">
        <v>25000.0</v>
      </c>
      <c r="H4581" s="74">
        <v>0.0</v>
      </c>
      <c r="I4581" s="74">
        <f t="shared" si="1"/>
        <v>50000</v>
      </c>
      <c r="J4581" s="74">
        <f>IF(E4581="SERVICE",I4581-(I4581*50%),Vlookup(E4581,DATABASE!C:Q,10,false)*F4581)</f>
        <v>0</v>
      </c>
      <c r="K4581" s="74">
        <v>0.0</v>
      </c>
      <c r="L4581" s="74">
        <v>0.0</v>
      </c>
      <c r="M4581" s="74">
        <f t="shared" si="2"/>
        <v>0</v>
      </c>
      <c r="N4581" s="74">
        <f t="shared" si="3"/>
        <v>50000</v>
      </c>
      <c r="O4581" s="65" t="str">
        <f>VLOOKUP(E4581,DATABASE!C:Q,8,false)</f>
        <v>BIAN</v>
      </c>
      <c r="P4581" s="65">
        <f>VLOOKUP(E4581,DATABASE!C:Q,9,False)</f>
        <v>0</v>
      </c>
      <c r="Q4581" s="93" t="str">
        <f>VLOOKUP(E4581,DATABASE!C:Q,4,false)</f>
        <v>Balancing</v>
      </c>
      <c r="R4581" s="93" t="str">
        <f>VLOOKUP(E4581,DATABASE!C:Q,11,false)</f>
        <v>COMPLEMENTARY</v>
      </c>
    </row>
    <row r="4582" ht="22.5" customHeight="1">
      <c r="A4582" s="49"/>
      <c r="C4582" s="384">
        <v>45917.0</v>
      </c>
      <c r="D4582" s="65">
        <v>7181.0</v>
      </c>
      <c r="E4582" s="445" t="s">
        <v>251</v>
      </c>
      <c r="F4582" s="386">
        <v>1.0</v>
      </c>
      <c r="G4582" s="74">
        <v>150000.0</v>
      </c>
      <c r="H4582" s="74">
        <v>0.0</v>
      </c>
      <c r="I4582" s="74">
        <f t="shared" si="1"/>
        <v>150000</v>
      </c>
      <c r="J4582" s="74">
        <f>IF(E4582="SERVICE",I4582-(I4582*50%),Vlookup(E4582,DATABASE!C:Q,10,false)*F4582)</f>
        <v>75000</v>
      </c>
      <c r="K4582" s="74">
        <f>VLOOKUP(E4582,DATABASE!C:Q,7,false)</f>
        <v>0</v>
      </c>
      <c r="L4582" s="74">
        <v>0.0</v>
      </c>
      <c r="M4582" s="74">
        <f t="shared" si="2"/>
        <v>0</v>
      </c>
      <c r="N4582" s="74">
        <f t="shared" si="3"/>
        <v>75000</v>
      </c>
      <c r="O4582" s="65" t="str">
        <f>VLOOKUP(E4582,DATABASE!C:Q,8,false)</f>
        <v>IBU</v>
      </c>
      <c r="P4582" s="65">
        <f>VLOOKUP(E4582,DATABASE!C:Q,9,False)</f>
        <v>0</v>
      </c>
      <c r="Q4582" s="93" t="str">
        <f>VLOOKUP(E4582,DATABASE!C:Q,4,false)</f>
        <v>SERVICE</v>
      </c>
      <c r="R4582" s="93" t="str">
        <f>VLOOKUP(E4582,DATABASE!C:Q,11,false)</f>
        <v>SERVICE</v>
      </c>
    </row>
    <row r="4583" ht="22.5" customHeight="1">
      <c r="A4583" s="49"/>
      <c r="C4583" s="384">
        <v>45918.0</v>
      </c>
      <c r="D4583" s="65">
        <v>7182.0</v>
      </c>
      <c r="E4583" s="445" t="s">
        <v>554</v>
      </c>
      <c r="F4583" s="386">
        <v>2.0</v>
      </c>
      <c r="G4583" s="74">
        <v>765000.0</v>
      </c>
      <c r="H4583" s="74">
        <v>0.0</v>
      </c>
      <c r="I4583" s="74">
        <f t="shared" si="1"/>
        <v>1530000</v>
      </c>
      <c r="J4583" s="74">
        <f>IF(E4583="SERVICE",I4583-(I4583*50%),Vlookup(E4583,DATABASE!C:Q,10,false)*F4583)</f>
        <v>0</v>
      </c>
      <c r="K4583" s="74">
        <f>VLOOKUP(E4583,DATABASE!C:Q,7,false)</f>
        <v>710000</v>
      </c>
      <c r="L4583" s="74">
        <v>680000.0</v>
      </c>
      <c r="M4583" s="74">
        <f t="shared" si="2"/>
        <v>680000</v>
      </c>
      <c r="N4583" s="74">
        <f t="shared" si="3"/>
        <v>170000</v>
      </c>
      <c r="O4583" s="65" t="str">
        <f>VLOOKUP(E4583,DATABASE!C:Q,8,false)</f>
        <v>IBU</v>
      </c>
      <c r="P4583" s="65">
        <f>VLOOKUP(E4583,DATABASE!C:Q,9,False)</f>
        <v>1</v>
      </c>
      <c r="Q4583" s="93" t="str">
        <f>VLOOKUP(E4583,DATABASE!C:Q,4,false)</f>
        <v>Bridgestone</v>
      </c>
      <c r="R4583" s="93" t="str">
        <f>VLOOKUP(E4583,DATABASE!C:Q,11,false)</f>
        <v>Tire</v>
      </c>
    </row>
    <row r="4584" ht="22.5" customHeight="1">
      <c r="A4584" s="49"/>
      <c r="C4584" s="384">
        <v>45918.0</v>
      </c>
      <c r="D4584" s="65">
        <v>7183.0</v>
      </c>
      <c r="E4584" s="445" t="s">
        <v>256</v>
      </c>
      <c r="F4584" s="386">
        <v>1.0</v>
      </c>
      <c r="G4584" s="74">
        <v>130000.0</v>
      </c>
      <c r="H4584" s="74">
        <v>0.0</v>
      </c>
      <c r="I4584" s="74">
        <f t="shared" si="1"/>
        <v>130000</v>
      </c>
      <c r="J4584" s="74">
        <f>IF(E4584="SERVICE",I4584-(I4584*50%),Vlookup(E4584,DATABASE!C:Q,10,false)*F4584)</f>
        <v>10000</v>
      </c>
      <c r="K4584" s="74">
        <f>VLOOKUP(E4584,DATABASE!C:Q,7,false)</f>
        <v>0</v>
      </c>
      <c r="L4584" s="74">
        <v>0.0</v>
      </c>
      <c r="M4584" s="74">
        <f t="shared" si="2"/>
        <v>0</v>
      </c>
      <c r="N4584" s="74">
        <f t="shared" si="3"/>
        <v>120000</v>
      </c>
      <c r="O4584" s="65" t="str">
        <f>VLOOKUP(E4584,DATABASE!C:Q,8,false)</f>
        <v>IBU</v>
      </c>
      <c r="P4584" s="65">
        <f>VLOOKUP(E4584,DATABASE!C:Q,9,False)</f>
        <v>0</v>
      </c>
      <c r="Q4584" s="93" t="str">
        <f>VLOOKUP(E4584,DATABASE!C:Q,4,false)</f>
        <v>SPOORING</v>
      </c>
      <c r="R4584" s="93" t="str">
        <f>VLOOKUP(E4584,DATABASE!C:Q,11,false)</f>
        <v>SERVICE</v>
      </c>
    </row>
    <row r="4585" ht="22.5" customHeight="1">
      <c r="A4585" s="49"/>
      <c r="C4585" s="384">
        <v>45918.0</v>
      </c>
      <c r="D4585" s="65">
        <v>7184.0</v>
      </c>
      <c r="E4585" s="445" t="s">
        <v>265</v>
      </c>
      <c r="F4585" s="386">
        <v>2.0</v>
      </c>
      <c r="G4585" s="74">
        <v>690000.0</v>
      </c>
      <c r="H4585" s="74">
        <v>0.0</v>
      </c>
      <c r="I4585" s="74">
        <f t="shared" si="1"/>
        <v>1380000</v>
      </c>
      <c r="J4585" s="74">
        <f>IF(E4585="SERVICE",I4585-(I4585*50%),Vlookup(E4585,DATABASE!C:Q,10,false)*F4585)</f>
        <v>0</v>
      </c>
      <c r="K4585" s="74">
        <f>VLOOKUP(E4585,DATABASE!C:Q,7,false)</f>
        <v>628000</v>
      </c>
      <c r="L4585" s="74">
        <v>610000.0</v>
      </c>
      <c r="M4585" s="74">
        <f t="shared" si="2"/>
        <v>610000</v>
      </c>
      <c r="N4585" s="74">
        <f t="shared" si="3"/>
        <v>160000</v>
      </c>
      <c r="O4585" s="65" t="str">
        <f>VLOOKUP(E4585,DATABASE!C:Q,8,false)</f>
        <v>IBU</v>
      </c>
      <c r="P4585" s="65">
        <f>VLOOKUP(E4585,DATABASE!C:Q,9,False)</f>
        <v>1</v>
      </c>
      <c r="Q4585" s="93" t="str">
        <f>VLOOKUP(E4585,DATABASE!C:Q,4,false)</f>
        <v>Dunlop</v>
      </c>
      <c r="R4585" s="93" t="str">
        <f>VLOOKUP(E4585,DATABASE!C:Q,11,false)</f>
        <v>Tire</v>
      </c>
    </row>
    <row r="4586" ht="22.5" customHeight="1">
      <c r="A4586" s="49"/>
      <c r="C4586" s="384">
        <v>45918.0</v>
      </c>
      <c r="D4586" s="65">
        <v>7184.0</v>
      </c>
      <c r="E4586" s="445" t="s">
        <v>262</v>
      </c>
      <c r="F4586" s="386">
        <v>1.0</v>
      </c>
      <c r="G4586" s="74">
        <v>110000.0</v>
      </c>
      <c r="H4586" s="74">
        <v>0.0</v>
      </c>
      <c r="I4586" s="74">
        <f t="shared" si="1"/>
        <v>110000</v>
      </c>
      <c r="J4586" s="74">
        <f>IF(E4586="SERVICE",I4586-(I4586*50%),Vlookup(E4586,DATABASE!C:Q,10,false)*F4586)</f>
        <v>5000</v>
      </c>
      <c r="K4586" s="74">
        <f>VLOOKUP(E4586,DATABASE!C:Q,7,false)</f>
        <v>0</v>
      </c>
      <c r="L4586" s="74">
        <v>0.0</v>
      </c>
      <c r="M4586" s="74">
        <f t="shared" si="2"/>
        <v>0</v>
      </c>
      <c r="N4586" s="74">
        <f t="shared" si="3"/>
        <v>105000</v>
      </c>
      <c r="O4586" s="65" t="str">
        <f>VLOOKUP(E4586,DATABASE!C:Q,8,false)</f>
        <v>IBU</v>
      </c>
      <c r="P4586" s="65">
        <f>VLOOKUP(E4586,DATABASE!C:Q,9,False)</f>
        <v>0</v>
      </c>
      <c r="Q4586" s="93" t="str">
        <f>VLOOKUP(E4586,DATABASE!C:Q,4,false)</f>
        <v>SPOORING SS/CARRY LOS BAK</v>
      </c>
      <c r="R4586" s="93" t="str">
        <f>VLOOKUP(E4586,DATABASE!C:Q,11,false)</f>
        <v>SERVICE</v>
      </c>
    </row>
    <row r="4587" ht="22.5" customHeight="1">
      <c r="A4587" s="49"/>
      <c r="C4587" s="384">
        <v>45918.0</v>
      </c>
      <c r="D4587" s="65">
        <v>7184.0</v>
      </c>
      <c r="E4587" s="445" t="s">
        <v>478</v>
      </c>
      <c r="F4587" s="386">
        <v>1.0</v>
      </c>
      <c r="G4587" s="74">
        <v>200000.0</v>
      </c>
      <c r="H4587" s="74">
        <v>0.0</v>
      </c>
      <c r="I4587" s="74">
        <f t="shared" si="1"/>
        <v>200000</v>
      </c>
      <c r="J4587" s="74">
        <f>IF(E4587="SERVICE",I4587-(I4587*50%),Vlookup(E4587,DATABASE!C:Q,10,false)*F4587)</f>
        <v>25000</v>
      </c>
      <c r="K4587" s="74">
        <f>VLOOKUP(E4587,DATABASE!C:Q,7,false)</f>
        <v>75000</v>
      </c>
      <c r="L4587" s="74">
        <v>75000.0</v>
      </c>
      <c r="M4587" s="74">
        <f t="shared" si="2"/>
        <v>75000</v>
      </c>
      <c r="N4587" s="74">
        <f t="shared" si="3"/>
        <v>100000</v>
      </c>
      <c r="O4587" s="65" t="str">
        <f>VLOOKUP(E4587,DATABASE!C:Q,8,false)</f>
        <v>BIAN</v>
      </c>
      <c r="P4587" s="65">
        <f>VLOOKUP(E4587,DATABASE!C:Q,9,False)</f>
        <v>0</v>
      </c>
      <c r="Q4587" s="93" t="str">
        <f>VLOOKUP(E4587,DATABASE!C:Q,4,false)</f>
        <v>Baut Camber ss-carry</v>
      </c>
      <c r="R4587" s="93" t="str">
        <f>VLOOKUP(E4587,DATABASE!C:Q,11,false)</f>
        <v>COMPLEMENTARY</v>
      </c>
    </row>
    <row r="4588" ht="22.5" customHeight="1">
      <c r="A4588" s="49"/>
      <c r="C4588" s="384">
        <v>45918.0</v>
      </c>
      <c r="D4588" s="65">
        <v>7185.0</v>
      </c>
      <c r="E4588" s="445" t="s">
        <v>271</v>
      </c>
      <c r="F4588" s="386">
        <v>2.0</v>
      </c>
      <c r="G4588" s="74">
        <v>640000.0</v>
      </c>
      <c r="H4588" s="74">
        <v>0.0</v>
      </c>
      <c r="I4588" s="74">
        <f t="shared" si="1"/>
        <v>1280000</v>
      </c>
      <c r="J4588" s="74">
        <f>IF(E4588="SERVICE",I4588-(I4588*50%),Vlookup(E4588,DATABASE!C:Q,10,false)*F4588)</f>
        <v>0</v>
      </c>
      <c r="K4588" s="74">
        <f>VLOOKUP(E4588,DATABASE!C:Q,7,false)</f>
        <v>570000</v>
      </c>
      <c r="L4588" s="74">
        <v>539000.0</v>
      </c>
      <c r="M4588" s="74">
        <f t="shared" si="2"/>
        <v>540000</v>
      </c>
      <c r="N4588" s="74">
        <f t="shared" si="3"/>
        <v>200000</v>
      </c>
      <c r="O4588" s="65" t="str">
        <f>VLOOKUP(E4588,DATABASE!C:Q,8,false)</f>
        <v>IBU</v>
      </c>
      <c r="P4588" s="65">
        <f>VLOOKUP(E4588,DATABASE!C:Q,9,False)</f>
        <v>1</v>
      </c>
      <c r="Q4588" s="93" t="str">
        <f>VLOOKUP(E4588,DATABASE!C:Q,4,false)</f>
        <v>Dunlop</v>
      </c>
      <c r="R4588" s="93" t="str">
        <f>VLOOKUP(E4588,DATABASE!C:Q,11,false)</f>
        <v>Tire</v>
      </c>
    </row>
    <row r="4589" ht="22.5" customHeight="1">
      <c r="A4589" s="49"/>
      <c r="C4589" s="384">
        <v>45918.0</v>
      </c>
      <c r="D4589" s="65">
        <v>7186.0</v>
      </c>
      <c r="E4589" s="445" t="s">
        <v>256</v>
      </c>
      <c r="F4589" s="386">
        <v>1.0</v>
      </c>
      <c r="G4589" s="74">
        <v>130000.0</v>
      </c>
      <c r="H4589" s="74">
        <v>0.0</v>
      </c>
      <c r="I4589" s="74">
        <f t="shared" si="1"/>
        <v>130000</v>
      </c>
      <c r="J4589" s="74">
        <f>IF(E4589="SERVICE",I4589-(I4589*50%),Vlookup(E4589,DATABASE!C:Q,10,false)*F4589)</f>
        <v>10000</v>
      </c>
      <c r="K4589" s="74">
        <f>VLOOKUP(E4589,DATABASE!C:Q,7,false)</f>
        <v>0</v>
      </c>
      <c r="L4589" s="74">
        <v>0.0</v>
      </c>
      <c r="M4589" s="74">
        <f t="shared" si="2"/>
        <v>0</v>
      </c>
      <c r="N4589" s="74">
        <f t="shared" si="3"/>
        <v>120000</v>
      </c>
      <c r="O4589" s="65" t="str">
        <f>VLOOKUP(E4589,DATABASE!C:Q,8,false)</f>
        <v>IBU</v>
      </c>
      <c r="P4589" s="65">
        <f>VLOOKUP(E4589,DATABASE!C:Q,9,False)</f>
        <v>0</v>
      </c>
      <c r="Q4589" s="93" t="str">
        <f>VLOOKUP(E4589,DATABASE!C:Q,4,false)</f>
        <v>SPOORING</v>
      </c>
      <c r="R4589" s="93" t="str">
        <f>VLOOKUP(E4589,DATABASE!C:Q,11,false)</f>
        <v>SERVICE</v>
      </c>
    </row>
    <row r="4590" ht="22.5" customHeight="1">
      <c r="A4590" s="49"/>
      <c r="C4590" s="384">
        <v>45918.0</v>
      </c>
      <c r="D4590" s="65">
        <v>7186.0</v>
      </c>
      <c r="E4590" s="445" t="s">
        <v>251</v>
      </c>
      <c r="F4590" s="386">
        <v>1.0</v>
      </c>
      <c r="G4590" s="74">
        <v>120000.0</v>
      </c>
      <c r="H4590" s="74">
        <v>0.0</v>
      </c>
      <c r="I4590" s="74">
        <f t="shared" si="1"/>
        <v>120000</v>
      </c>
      <c r="J4590" s="74">
        <f>IF(E4590="SERVICE",I4590-(I4590*50%),Vlookup(E4590,DATABASE!C:Q,10,false)*F4590)</f>
        <v>60000</v>
      </c>
      <c r="K4590" s="74">
        <f>VLOOKUP(E4590,DATABASE!C:Q,7,false)</f>
        <v>0</v>
      </c>
      <c r="L4590" s="74">
        <v>0.0</v>
      </c>
      <c r="M4590" s="74">
        <f t="shared" si="2"/>
        <v>0</v>
      </c>
      <c r="N4590" s="74">
        <f t="shared" si="3"/>
        <v>60000</v>
      </c>
      <c r="O4590" s="65" t="str">
        <f>VLOOKUP(E4590,DATABASE!C:Q,8,false)</f>
        <v>IBU</v>
      </c>
      <c r="P4590" s="65">
        <f>VLOOKUP(E4590,DATABASE!C:Q,9,False)</f>
        <v>0</v>
      </c>
      <c r="Q4590" s="93" t="str">
        <f>VLOOKUP(E4590,DATABASE!C:Q,4,false)</f>
        <v>SERVICE</v>
      </c>
      <c r="R4590" s="93" t="str">
        <f>VLOOKUP(E4590,DATABASE!C:Q,11,false)</f>
        <v>SERVICE</v>
      </c>
    </row>
    <row r="4591" ht="22.5" customHeight="1">
      <c r="A4591" s="49"/>
      <c r="C4591" s="384">
        <v>45918.0</v>
      </c>
      <c r="D4591" s="65">
        <v>7187.0</v>
      </c>
      <c r="E4591" s="445" t="s">
        <v>256</v>
      </c>
      <c r="F4591" s="386">
        <v>1.0</v>
      </c>
      <c r="G4591" s="74">
        <v>130000.0</v>
      </c>
      <c r="H4591" s="74">
        <v>0.0</v>
      </c>
      <c r="I4591" s="74">
        <f t="shared" si="1"/>
        <v>130000</v>
      </c>
      <c r="J4591" s="74">
        <f>IF(E4591="SERVICE",I4591-(I4591*50%),Vlookup(E4591,DATABASE!C:Q,10,false)*F4591)</f>
        <v>10000</v>
      </c>
      <c r="K4591" s="74">
        <f>VLOOKUP(E4591,DATABASE!C:Q,7,false)</f>
        <v>0</v>
      </c>
      <c r="L4591" s="74">
        <v>0.0</v>
      </c>
      <c r="M4591" s="74">
        <f t="shared" si="2"/>
        <v>0</v>
      </c>
      <c r="N4591" s="74">
        <f t="shared" si="3"/>
        <v>120000</v>
      </c>
      <c r="O4591" s="65" t="str">
        <f>VLOOKUP(E4591,DATABASE!C:Q,8,false)</f>
        <v>IBU</v>
      </c>
      <c r="P4591" s="65">
        <f>VLOOKUP(E4591,DATABASE!C:Q,9,False)</f>
        <v>0</v>
      </c>
      <c r="Q4591" s="93" t="str">
        <f>VLOOKUP(E4591,DATABASE!C:Q,4,false)</f>
        <v>SPOORING</v>
      </c>
      <c r="R4591" s="93" t="str">
        <f>VLOOKUP(E4591,DATABASE!C:Q,11,false)</f>
        <v>SERVICE</v>
      </c>
    </row>
    <row r="4592" ht="22.5" customHeight="1">
      <c r="A4592" s="49"/>
      <c r="C4592" s="384">
        <v>45918.0</v>
      </c>
      <c r="D4592" s="65">
        <v>7187.0</v>
      </c>
      <c r="E4592" s="385" t="s">
        <v>299</v>
      </c>
      <c r="F4592" s="386">
        <v>2.0</v>
      </c>
      <c r="G4592" s="74">
        <v>30000.0</v>
      </c>
      <c r="H4592" s="74">
        <v>0.0</v>
      </c>
      <c r="I4592" s="74">
        <f t="shared" si="1"/>
        <v>60000</v>
      </c>
      <c r="J4592" s="74">
        <f>IF(E4592="SERVICE",I4592-(I4592*50%),Vlookup(E4592,DATABASE!C:Q,10,false)*F4592)</f>
        <v>0</v>
      </c>
      <c r="K4592" s="74">
        <v>0.0</v>
      </c>
      <c r="L4592" s="74">
        <v>0.0</v>
      </c>
      <c r="M4592" s="74">
        <f t="shared" si="2"/>
        <v>0</v>
      </c>
      <c r="N4592" s="74">
        <f t="shared" si="3"/>
        <v>60000</v>
      </c>
      <c r="O4592" s="65" t="str">
        <f>VLOOKUP(E4592,DATABASE!C:Q,8,false)</f>
        <v>BIAN</v>
      </c>
      <c r="P4592" s="65">
        <f>VLOOKUP(E4592,DATABASE!C:Q,9,False)</f>
        <v>0</v>
      </c>
      <c r="Q4592" s="93" t="str">
        <f>VLOOKUP(E4592,DATABASE!C:Q,4,false)</f>
        <v>Balancing</v>
      </c>
      <c r="R4592" s="93" t="str">
        <f>VLOOKUP(E4592,DATABASE!C:Q,11,false)</f>
        <v>COMPLEMENTARY</v>
      </c>
    </row>
    <row r="4593" ht="22.5" customHeight="1">
      <c r="A4593" s="49"/>
      <c r="C4593" s="384">
        <v>45918.0</v>
      </c>
      <c r="D4593" s="65">
        <v>7189.0</v>
      </c>
      <c r="E4593" s="445" t="s">
        <v>275</v>
      </c>
      <c r="F4593" s="386">
        <v>1.0</v>
      </c>
      <c r="G4593" s="74">
        <v>840000.0</v>
      </c>
      <c r="H4593" s="74">
        <v>0.0</v>
      </c>
      <c r="I4593" s="74">
        <f t="shared" si="1"/>
        <v>840000</v>
      </c>
      <c r="J4593" s="74">
        <f>IF(E4593="SERVICE",I4593-(I4593*50%),Vlookup(E4593,DATABASE!C:Q,10,false)*F4593)</f>
        <v>0</v>
      </c>
      <c r="K4593" s="74">
        <f>VLOOKUP(E4593,DATABASE!C:Q,7,false)</f>
        <v>782000</v>
      </c>
      <c r="L4593" s="74">
        <v>745000.0</v>
      </c>
      <c r="M4593" s="74">
        <f t="shared" si="2"/>
        <v>745000</v>
      </c>
      <c r="N4593" s="74">
        <f t="shared" si="3"/>
        <v>95000</v>
      </c>
      <c r="O4593" s="65" t="str">
        <f>VLOOKUP(E4593,DATABASE!C:Q,8,false)</f>
        <v>IBU</v>
      </c>
      <c r="P4593" s="65">
        <f>VLOOKUP(E4593,DATABASE!C:Q,9,False)</f>
        <v>1</v>
      </c>
      <c r="Q4593" s="93" t="str">
        <f>VLOOKUP(E4593,DATABASE!C:Q,4,false)</f>
        <v>Dunlop</v>
      </c>
      <c r="R4593" s="93" t="str">
        <f>VLOOKUP(E4593,DATABASE!C:Q,11,false)</f>
        <v>Tire</v>
      </c>
    </row>
    <row r="4594" ht="22.5" customHeight="1">
      <c r="A4594" s="49"/>
      <c r="C4594" s="384">
        <v>45918.0</v>
      </c>
      <c r="D4594" s="65">
        <v>7191.0</v>
      </c>
      <c r="E4594" s="445" t="s">
        <v>932</v>
      </c>
      <c r="F4594" s="386">
        <v>1.0</v>
      </c>
      <c r="G4594" s="74">
        <v>690000.0</v>
      </c>
      <c r="H4594" s="74">
        <v>0.0</v>
      </c>
      <c r="I4594" s="74">
        <f t="shared" si="1"/>
        <v>690000</v>
      </c>
      <c r="J4594" s="74">
        <f>IF(E4594="SERVICE",I4594-(I4594*50%),Vlookup(E4594,DATABASE!C:Q,10,false)*F4594)</f>
        <v>0</v>
      </c>
      <c r="K4594" s="74">
        <f>VLOOKUP(E4594,DATABASE!C:Q,7,false)</f>
        <v>601000</v>
      </c>
      <c r="L4594" s="74">
        <v>595000.0</v>
      </c>
      <c r="M4594" s="74">
        <f t="shared" si="2"/>
        <v>595000</v>
      </c>
      <c r="N4594" s="74">
        <f t="shared" si="3"/>
        <v>95000</v>
      </c>
      <c r="O4594" s="65" t="str">
        <f>VLOOKUP(E4594,DATABASE!C:Q,8,false)</f>
        <v>IBU</v>
      </c>
      <c r="P4594" s="65">
        <f>VLOOKUP(E4594,DATABASE!C:Q,9,False)</f>
        <v>1</v>
      </c>
      <c r="Q4594" s="93" t="str">
        <f>VLOOKUP(E4594,DATABASE!C:Q,4,false)</f>
        <v>Dunlop</v>
      </c>
      <c r="R4594" s="93" t="str">
        <f>VLOOKUP(E4594,DATABASE!C:Q,11,false)</f>
        <v>Tire</v>
      </c>
    </row>
    <row r="4595" ht="22.5" customHeight="1">
      <c r="A4595" s="49"/>
      <c r="C4595" s="384">
        <v>45918.0</v>
      </c>
      <c r="D4595" s="65">
        <v>7192.0</v>
      </c>
      <c r="E4595" s="445" t="s">
        <v>652</v>
      </c>
      <c r="F4595" s="386">
        <v>1.0</v>
      </c>
      <c r="G4595" s="74">
        <v>260000.0</v>
      </c>
      <c r="H4595" s="74">
        <v>0.0</v>
      </c>
      <c r="I4595" s="74">
        <f t="shared" si="1"/>
        <v>260000</v>
      </c>
      <c r="J4595" s="74">
        <f>IF(E4595="SERVICE",I4595-(I4595*50%),Vlookup(E4595,DATABASE!C:Q,10,false)*F4595)</f>
        <v>0</v>
      </c>
      <c r="K4595" s="74">
        <f>VLOOKUP(E4595,DATABASE!C:Q,7,false)</f>
        <v>231268</v>
      </c>
      <c r="L4595" s="74">
        <v>227850.0</v>
      </c>
      <c r="M4595" s="74">
        <f t="shared" si="2"/>
        <v>230000</v>
      </c>
      <c r="N4595" s="74">
        <f t="shared" si="3"/>
        <v>30000</v>
      </c>
      <c r="O4595" s="65" t="str">
        <f>VLOOKUP(E4595,DATABASE!C:Q,8,false)</f>
        <v>IBU</v>
      </c>
      <c r="P4595" s="65">
        <f>VLOOKUP(E4595,DATABASE!C:Q,9,False)</f>
        <v>1</v>
      </c>
      <c r="Q4595" s="93" t="str">
        <f>VLOOKUP(E4595,DATABASE!C:Q,4,false)</f>
        <v>BD</v>
      </c>
      <c r="R4595" s="93" t="str">
        <f>VLOOKUP(E4595,DATABASE!C:Q,11,false)</f>
        <v>Tire</v>
      </c>
    </row>
    <row r="4596" ht="22.5" customHeight="1">
      <c r="A4596" s="49"/>
      <c r="C4596" s="384">
        <v>45918.0</v>
      </c>
      <c r="D4596" s="65">
        <v>7193.0</v>
      </c>
      <c r="E4596" s="445" t="s">
        <v>932</v>
      </c>
      <c r="F4596" s="386">
        <v>1.0</v>
      </c>
      <c r="G4596" s="74">
        <v>700000.0</v>
      </c>
      <c r="H4596" s="74">
        <v>0.0</v>
      </c>
      <c r="I4596" s="74">
        <f t="shared" si="1"/>
        <v>700000</v>
      </c>
      <c r="J4596" s="74">
        <f>IF(E4596="SERVICE",I4596-(I4596*50%),Vlookup(E4596,DATABASE!C:Q,10,false)*F4596)</f>
        <v>0</v>
      </c>
      <c r="K4596" s="74">
        <f>VLOOKUP(E4596,DATABASE!C:Q,7,false)</f>
        <v>601000</v>
      </c>
      <c r="L4596" s="74">
        <v>595000.0</v>
      </c>
      <c r="M4596" s="74">
        <f t="shared" si="2"/>
        <v>595000</v>
      </c>
      <c r="N4596" s="74">
        <f t="shared" si="3"/>
        <v>105000</v>
      </c>
      <c r="O4596" s="65" t="str">
        <f>VLOOKUP(E4596,DATABASE!C:Q,8,false)</f>
        <v>IBU</v>
      </c>
      <c r="P4596" s="65">
        <f>VLOOKUP(E4596,DATABASE!C:Q,9,False)</f>
        <v>1</v>
      </c>
      <c r="Q4596" s="93" t="str">
        <f>VLOOKUP(E4596,DATABASE!C:Q,4,false)</f>
        <v>Dunlop</v>
      </c>
      <c r="R4596" s="93" t="str">
        <f>VLOOKUP(E4596,DATABASE!C:Q,11,false)</f>
        <v>Tire</v>
      </c>
    </row>
    <row r="4597" ht="22.5" customHeight="1">
      <c r="A4597" s="49"/>
      <c r="C4597" s="384">
        <v>45918.0</v>
      </c>
      <c r="D4597" s="65">
        <v>7193.0</v>
      </c>
      <c r="E4597" s="445" t="s">
        <v>256</v>
      </c>
      <c r="F4597" s="386">
        <v>1.0</v>
      </c>
      <c r="G4597" s="74">
        <v>110000.0</v>
      </c>
      <c r="H4597" s="74">
        <v>0.0</v>
      </c>
      <c r="I4597" s="74">
        <f t="shared" si="1"/>
        <v>110000</v>
      </c>
      <c r="J4597" s="74">
        <f>IF(E4597="SERVICE",I4597-(I4597*50%),Vlookup(E4597,DATABASE!C:Q,10,false)*F4597)</f>
        <v>10000</v>
      </c>
      <c r="K4597" s="74">
        <f>VLOOKUP(E4597,DATABASE!C:Q,7,false)</f>
        <v>0</v>
      </c>
      <c r="L4597" s="74">
        <v>0.0</v>
      </c>
      <c r="M4597" s="74">
        <f t="shared" si="2"/>
        <v>0</v>
      </c>
      <c r="N4597" s="74">
        <f t="shared" si="3"/>
        <v>100000</v>
      </c>
      <c r="O4597" s="65" t="str">
        <f>VLOOKUP(E4597,DATABASE!C:Q,8,false)</f>
        <v>IBU</v>
      </c>
      <c r="P4597" s="65">
        <f>VLOOKUP(E4597,DATABASE!C:Q,9,False)</f>
        <v>0</v>
      </c>
      <c r="Q4597" s="93" t="str">
        <f>VLOOKUP(E4597,DATABASE!C:Q,4,false)</f>
        <v>SPOORING</v>
      </c>
      <c r="R4597" s="93" t="str">
        <f>VLOOKUP(E4597,DATABASE!C:Q,11,false)</f>
        <v>SERVICE</v>
      </c>
    </row>
    <row r="4598" ht="22.5" customHeight="1">
      <c r="A4598" s="49"/>
      <c r="C4598" s="384">
        <v>45918.0</v>
      </c>
      <c r="D4598" s="65">
        <v>7193.0</v>
      </c>
      <c r="E4598" s="445" t="s">
        <v>251</v>
      </c>
      <c r="F4598" s="386">
        <v>1.0</v>
      </c>
      <c r="G4598" s="74">
        <v>120000.0</v>
      </c>
      <c r="H4598" s="74">
        <v>0.0</v>
      </c>
      <c r="I4598" s="74">
        <f t="shared" si="1"/>
        <v>120000</v>
      </c>
      <c r="J4598" s="74">
        <f>IF(E4598="SERVICE",I4598-(I4598*50%),Vlookup(E4598,DATABASE!C:Q,10,false)*F4598)</f>
        <v>60000</v>
      </c>
      <c r="K4598" s="74">
        <f>VLOOKUP(E4598,DATABASE!C:Q,7,false)</f>
        <v>0</v>
      </c>
      <c r="L4598" s="74">
        <v>0.0</v>
      </c>
      <c r="M4598" s="74">
        <f t="shared" si="2"/>
        <v>0</v>
      </c>
      <c r="N4598" s="74">
        <f t="shared" si="3"/>
        <v>60000</v>
      </c>
      <c r="O4598" s="65" t="str">
        <f>VLOOKUP(E4598,DATABASE!C:Q,8,false)</f>
        <v>IBU</v>
      </c>
      <c r="P4598" s="65">
        <f>VLOOKUP(E4598,DATABASE!C:Q,9,False)</f>
        <v>0</v>
      </c>
      <c r="Q4598" s="93" t="str">
        <f>VLOOKUP(E4598,DATABASE!C:Q,4,false)</f>
        <v>SERVICE</v>
      </c>
      <c r="R4598" s="93" t="str">
        <f>VLOOKUP(E4598,DATABASE!C:Q,11,false)</f>
        <v>SERVICE</v>
      </c>
    </row>
    <row r="4599" ht="22.5" customHeight="1">
      <c r="A4599" s="49"/>
      <c r="C4599" s="384">
        <v>45918.0</v>
      </c>
      <c r="D4599" s="65">
        <v>7194.0</v>
      </c>
      <c r="E4599" s="445" t="s">
        <v>256</v>
      </c>
      <c r="F4599" s="386">
        <v>1.0</v>
      </c>
      <c r="G4599" s="74">
        <v>130000.0</v>
      </c>
      <c r="H4599" s="74">
        <v>0.0</v>
      </c>
      <c r="I4599" s="74">
        <f t="shared" si="1"/>
        <v>130000</v>
      </c>
      <c r="J4599" s="74">
        <f>IF(E4599="SERVICE",I4599-(I4599*50%),Vlookup(E4599,DATABASE!C:Q,10,false)*F4599)</f>
        <v>10000</v>
      </c>
      <c r="K4599" s="74">
        <f>VLOOKUP(E4599,DATABASE!C:Q,7,false)</f>
        <v>0</v>
      </c>
      <c r="L4599" s="74">
        <v>0.0</v>
      </c>
      <c r="M4599" s="74">
        <f t="shared" si="2"/>
        <v>0</v>
      </c>
      <c r="N4599" s="74">
        <f t="shared" si="3"/>
        <v>120000</v>
      </c>
      <c r="O4599" s="65" t="str">
        <f>VLOOKUP(E4599,DATABASE!C:Q,8,false)</f>
        <v>IBU</v>
      </c>
      <c r="P4599" s="65">
        <f>VLOOKUP(E4599,DATABASE!C:Q,9,False)</f>
        <v>0</v>
      </c>
      <c r="Q4599" s="93" t="str">
        <f>VLOOKUP(E4599,DATABASE!C:Q,4,false)</f>
        <v>SPOORING</v>
      </c>
      <c r="R4599" s="93" t="str">
        <f>VLOOKUP(E4599,DATABASE!C:Q,11,false)</f>
        <v>SERVICE</v>
      </c>
    </row>
    <row r="4600" ht="22.5" customHeight="1">
      <c r="A4600" s="49"/>
      <c r="C4600" s="384">
        <v>45918.0</v>
      </c>
      <c r="D4600" s="65">
        <v>7194.0</v>
      </c>
      <c r="E4600" s="445" t="s">
        <v>301</v>
      </c>
      <c r="F4600" s="386">
        <v>1.0</v>
      </c>
      <c r="G4600" s="74">
        <v>250000.0</v>
      </c>
      <c r="H4600" s="74">
        <v>0.0</v>
      </c>
      <c r="I4600" s="74">
        <f t="shared" si="1"/>
        <v>250000</v>
      </c>
      <c r="J4600" s="74">
        <f>IF(E4600="SERVICE",I4600-(I4600*50%),Vlookup(E4600,DATABASE!C:Q,10,false)*F4600)</f>
        <v>75000</v>
      </c>
      <c r="K4600" s="74">
        <f>VLOOKUP(E4600,DATABASE!C:Q,7,false)</f>
        <v>75000</v>
      </c>
      <c r="L4600" s="74">
        <v>75000.0</v>
      </c>
      <c r="M4600" s="74">
        <f t="shared" si="2"/>
        <v>75000</v>
      </c>
      <c r="N4600" s="74">
        <f t="shared" si="3"/>
        <v>100000</v>
      </c>
      <c r="O4600" s="65" t="str">
        <f>VLOOKUP(E4600,DATABASE!C:Q,8,false)</f>
        <v>BIAN</v>
      </c>
      <c r="P4600" s="65">
        <f>VLOOKUP(E4600,DATABASE!C:Q,9,False)</f>
        <v>0</v>
      </c>
      <c r="Q4600" s="93" t="str">
        <f>VLOOKUP(E4600,DATABASE!C:Q,4,false)</f>
        <v>Baut Camber</v>
      </c>
      <c r="R4600" s="93" t="str">
        <f>VLOOKUP(E4600,DATABASE!C:Q,11,false)</f>
        <v>COMPLEMENTARY</v>
      </c>
    </row>
    <row r="4601" ht="22.5" customHeight="1">
      <c r="A4601" s="49"/>
      <c r="C4601" s="384">
        <v>45918.0</v>
      </c>
      <c r="D4601" s="65">
        <v>7195.0</v>
      </c>
      <c r="E4601" s="445" t="s">
        <v>643</v>
      </c>
      <c r="F4601" s="386">
        <v>1.0</v>
      </c>
      <c r="G4601" s="74">
        <v>145000.0</v>
      </c>
      <c r="H4601" s="74">
        <v>0.0</v>
      </c>
      <c r="I4601" s="74">
        <f t="shared" si="1"/>
        <v>145000</v>
      </c>
      <c r="J4601" s="74">
        <f>IF(E4601="SERVICE",I4601-(I4601*50%),Vlookup(E4601,DATABASE!C:Q,10,false)*F4601)</f>
        <v>0</v>
      </c>
      <c r="K4601" s="74">
        <f>VLOOKUP(E4601,DATABASE!C:Q,7,false)</f>
        <v>111800</v>
      </c>
      <c r="L4601" s="74">
        <v>111800.0</v>
      </c>
      <c r="M4601" s="74">
        <f t="shared" si="2"/>
        <v>115000</v>
      </c>
      <c r="N4601" s="74">
        <f t="shared" si="3"/>
        <v>30000</v>
      </c>
      <c r="O4601" s="65" t="str">
        <f>VLOOKUP(E4601,DATABASE!C:Q,8,false)</f>
        <v>BIAN</v>
      </c>
      <c r="P4601" s="65">
        <f>VLOOKUP(E4601,DATABASE!C:Q,9,False)</f>
        <v>1</v>
      </c>
      <c r="Q4601" s="93" t="str">
        <f>VLOOKUP(E4601,DATABASE!C:Q,4,false)</f>
        <v>BD</v>
      </c>
      <c r="R4601" s="93" t="str">
        <f>VLOOKUP(E4601,DATABASE!C:Q,11,false)</f>
        <v>Tire</v>
      </c>
    </row>
    <row r="4602" ht="22.5" customHeight="1">
      <c r="A4602" s="49"/>
      <c r="C4602" s="384">
        <v>45919.0</v>
      </c>
      <c r="D4602" s="65">
        <v>1123.0</v>
      </c>
      <c r="E4602" s="658" t="s">
        <v>2548</v>
      </c>
      <c r="F4602" s="386">
        <v>2.0</v>
      </c>
      <c r="G4602" s="74">
        <v>1180000.0</v>
      </c>
      <c r="H4602" s="74">
        <v>0.0</v>
      </c>
      <c r="I4602" s="74">
        <f t="shared" si="1"/>
        <v>2360000</v>
      </c>
      <c r="J4602" s="74">
        <f>IF(E4602="SERVICE",I4602-(I4602*50%),Vlookup(E4602,DATABASE!C:Q,10,false)*F4602)</f>
        <v>0</v>
      </c>
      <c r="K4602" s="74">
        <f>VLOOKUP(E4602,DATABASE!C:Q,7,false)</f>
        <v>1090000</v>
      </c>
      <c r="L4602" s="74">
        <v>1090000.0</v>
      </c>
      <c r="M4602" s="74">
        <f t="shared" si="2"/>
        <v>1090000</v>
      </c>
      <c r="N4602" s="74">
        <f t="shared" si="3"/>
        <v>180000</v>
      </c>
      <c r="O4602" s="65" t="str">
        <f>VLOOKUP(E4602,DATABASE!C:Q,8,false)</f>
        <v>BIAN</v>
      </c>
      <c r="P4602" s="65">
        <f>VLOOKUP(E4602,DATABASE!C:Q,9,False)</f>
        <v>1</v>
      </c>
      <c r="Q4602" s="93" t="str">
        <f>VLOOKUP(E4602,DATABASE!C:Q,4,false)</f>
        <v>HANKOOK</v>
      </c>
      <c r="R4602" s="93" t="str">
        <f>VLOOKUP(E4602,DATABASE!C:Q,11,false)</f>
        <v>Tire</v>
      </c>
    </row>
    <row r="4603" ht="22.5" customHeight="1">
      <c r="A4603" s="49"/>
      <c r="C4603" s="384">
        <v>45919.0</v>
      </c>
      <c r="D4603" s="65">
        <v>7196.0</v>
      </c>
      <c r="E4603" s="445" t="s">
        <v>1507</v>
      </c>
      <c r="F4603" s="386">
        <v>2.0</v>
      </c>
      <c r="G4603" s="74">
        <v>730000.0</v>
      </c>
      <c r="H4603" s="74">
        <v>0.0</v>
      </c>
      <c r="I4603" s="74">
        <f t="shared" si="1"/>
        <v>1460000</v>
      </c>
      <c r="J4603" s="74">
        <f>IF(E4603="SERVICE",I4603-(I4603*50%),Vlookup(E4603,DATABASE!C:Q,10,false)*F4603)</f>
        <v>0</v>
      </c>
      <c r="K4603" s="74">
        <f>VLOOKUP(E4603,DATABASE!C:Q,7,false)</f>
        <v>638500</v>
      </c>
      <c r="L4603" s="74">
        <v>638500.0</v>
      </c>
      <c r="M4603" s="74">
        <f t="shared" si="2"/>
        <v>640000</v>
      </c>
      <c r="N4603" s="74">
        <f t="shared" si="3"/>
        <v>180000</v>
      </c>
      <c r="O4603" s="65" t="str">
        <f>VLOOKUP(E4603,DATABASE!C:Q,8,false)</f>
        <v>IBU</v>
      </c>
      <c r="P4603" s="65">
        <f>VLOOKUP(E4603,DATABASE!C:Q,9,False)</f>
        <v>1</v>
      </c>
      <c r="Q4603" s="93" t="str">
        <f>VLOOKUP(E4603,DATABASE!C:Q,4,false)</f>
        <v>Dunlop</v>
      </c>
      <c r="R4603" s="93" t="str">
        <f>VLOOKUP(E4603,DATABASE!C:Q,11,false)</f>
        <v>Tire</v>
      </c>
    </row>
    <row r="4604" ht="22.5" customHeight="1">
      <c r="A4604" s="49"/>
      <c r="C4604" s="384">
        <v>45919.0</v>
      </c>
      <c r="D4604" s="65">
        <v>7198.0</v>
      </c>
      <c r="E4604" s="445" t="s">
        <v>1960</v>
      </c>
      <c r="F4604" s="386">
        <v>4.0</v>
      </c>
      <c r="G4604" s="74">
        <v>900000.0</v>
      </c>
      <c r="H4604" s="74">
        <v>0.0</v>
      </c>
      <c r="I4604" s="74">
        <f t="shared" si="1"/>
        <v>3600000</v>
      </c>
      <c r="J4604" s="74">
        <f>IF(E4604="SERVICE",I4604-(I4604*50%),Vlookup(E4604,DATABASE!C:Q,10,false)*F4604)</f>
        <v>0</v>
      </c>
      <c r="K4604" s="74">
        <f>VLOOKUP(E4604,DATABASE!C:Q,7,false)</f>
        <v>808300</v>
      </c>
      <c r="L4604" s="74">
        <v>808300.0</v>
      </c>
      <c r="M4604" s="74">
        <f t="shared" si="2"/>
        <v>810000</v>
      </c>
      <c r="N4604" s="74">
        <f t="shared" si="3"/>
        <v>360000</v>
      </c>
      <c r="O4604" s="65" t="str">
        <f>VLOOKUP(E4604,DATABASE!C:Q,8,false)</f>
        <v>BIAN</v>
      </c>
      <c r="P4604" s="65">
        <f>VLOOKUP(E4604,DATABASE!C:Q,9,False)</f>
        <v>1</v>
      </c>
      <c r="Q4604" s="93" t="str">
        <f>VLOOKUP(E4604,DATABASE!C:Q,4,false)</f>
        <v>GT</v>
      </c>
      <c r="R4604" s="93" t="str">
        <f>VLOOKUP(E4604,DATABASE!C:Q,11,false)</f>
        <v>Tire</v>
      </c>
    </row>
    <row r="4605" ht="22.5" customHeight="1">
      <c r="A4605" s="49"/>
      <c r="C4605" s="384">
        <v>45919.0</v>
      </c>
      <c r="D4605" s="65">
        <v>7199.0</v>
      </c>
      <c r="E4605" s="445" t="s">
        <v>604</v>
      </c>
      <c r="F4605" s="386">
        <v>1.0</v>
      </c>
      <c r="G4605" s="74">
        <v>160000.0</v>
      </c>
      <c r="H4605" s="74">
        <v>0.0</v>
      </c>
      <c r="I4605" s="74">
        <f t="shared" si="1"/>
        <v>160000</v>
      </c>
      <c r="J4605" s="74">
        <f>IF(E4605="SERVICE",I4605-(I4605*50%),Vlookup(E4605,DATABASE!C:Q,10,false)*F4605)</f>
        <v>0</v>
      </c>
      <c r="K4605" s="74">
        <f>VLOOKUP(E4605,DATABASE!C:Q,7,false)</f>
        <v>124000</v>
      </c>
      <c r="L4605" s="74">
        <v>124000.0</v>
      </c>
      <c r="M4605" s="74">
        <f t="shared" si="2"/>
        <v>125000</v>
      </c>
      <c r="N4605" s="74">
        <f t="shared" si="3"/>
        <v>35000</v>
      </c>
      <c r="O4605" s="65" t="str">
        <f>VLOOKUP(E4605,DATABASE!C:Q,8,false)</f>
        <v>BIAN</v>
      </c>
      <c r="P4605" s="65">
        <f>VLOOKUP(E4605,DATABASE!C:Q,9,False)</f>
        <v>1</v>
      </c>
      <c r="Q4605" s="93" t="str">
        <f>VLOOKUP(E4605,DATABASE!C:Q,4,false)</f>
        <v>BD</v>
      </c>
      <c r="R4605" s="93" t="str">
        <f>VLOOKUP(E4605,DATABASE!C:Q,11,false)</f>
        <v>Tire</v>
      </c>
    </row>
    <row r="4606" ht="22.5" customHeight="1">
      <c r="A4606" s="49"/>
      <c r="C4606" s="384">
        <v>45919.0</v>
      </c>
      <c r="D4606" s="65">
        <v>7202.0</v>
      </c>
      <c r="E4606" s="659" t="s">
        <v>268</v>
      </c>
      <c r="F4606" s="386">
        <v>2.0</v>
      </c>
      <c r="G4606" s="74">
        <v>720000.0</v>
      </c>
      <c r="H4606" s="74">
        <v>0.0</v>
      </c>
      <c r="I4606" s="74">
        <f t="shared" si="1"/>
        <v>1440000</v>
      </c>
      <c r="J4606" s="74">
        <f>IF(E4606="SERVICE",I4606-(I4606*50%),Vlookup(E4606,DATABASE!C:Q,10,false)*F4606)</f>
        <v>0</v>
      </c>
      <c r="K4606" s="74">
        <f>VLOOKUP(E4606,DATABASE!C:Q,7,false)</f>
        <v>653000</v>
      </c>
      <c r="L4606" s="74">
        <v>622000.0</v>
      </c>
      <c r="M4606" s="74">
        <f t="shared" si="2"/>
        <v>625000</v>
      </c>
      <c r="N4606" s="74">
        <f t="shared" si="3"/>
        <v>190000</v>
      </c>
      <c r="O4606" s="65" t="str">
        <f>VLOOKUP(E4606,DATABASE!C:Q,8,false)</f>
        <v>IBU</v>
      </c>
      <c r="P4606" s="65">
        <f>VLOOKUP(E4606,DATABASE!C:Q,9,False)</f>
        <v>1</v>
      </c>
      <c r="Q4606" s="93" t="str">
        <f>VLOOKUP(E4606,DATABASE!C:Q,4,false)</f>
        <v>Dunlop</v>
      </c>
      <c r="R4606" s="93" t="str">
        <f>VLOOKUP(E4606,DATABASE!C:Q,11,false)</f>
        <v>Tire</v>
      </c>
    </row>
    <row r="4607" ht="22.5" customHeight="1">
      <c r="A4607" s="49"/>
      <c r="C4607" s="384">
        <v>45919.0</v>
      </c>
      <c r="D4607" s="65">
        <v>7203.0</v>
      </c>
      <c r="E4607" s="660" t="s">
        <v>2064</v>
      </c>
      <c r="F4607" s="386">
        <v>2.0</v>
      </c>
      <c r="G4607" s="74">
        <v>680000.0</v>
      </c>
      <c r="H4607" s="74">
        <v>0.0</v>
      </c>
      <c r="I4607" s="74">
        <f t="shared" si="1"/>
        <v>1360000</v>
      </c>
      <c r="J4607" s="74">
        <f>IF(E4607="SERVICE",I4607-(I4607*50%),Vlookup(E4607,DATABASE!C:Q,10,false)*F4607)</f>
        <v>0</v>
      </c>
      <c r="K4607" s="74">
        <f>VLOOKUP(E4607,DATABASE!C:Q,7,false)</f>
        <v>608000</v>
      </c>
      <c r="L4607" s="74">
        <v>608000.0</v>
      </c>
      <c r="M4607" s="74">
        <f t="shared" si="2"/>
        <v>610000</v>
      </c>
      <c r="N4607" s="74">
        <f t="shared" si="3"/>
        <v>140000</v>
      </c>
      <c r="O4607" s="65" t="str">
        <f>VLOOKUP(E4607,DATABASE!C:Q,8,false)</f>
        <v>BIAN</v>
      </c>
      <c r="P4607" s="65">
        <f>VLOOKUP(E4607,DATABASE!C:Q,9,False)</f>
        <v>1</v>
      </c>
      <c r="Q4607" s="93" t="str">
        <f>VLOOKUP(E4607,DATABASE!C:Q,4,false)</f>
        <v>Hankook</v>
      </c>
      <c r="R4607" s="93" t="str">
        <f>VLOOKUP(E4607,DATABASE!C:Q,11,false)</f>
        <v>Tire</v>
      </c>
    </row>
    <row r="4608" ht="22.5" customHeight="1">
      <c r="A4608" s="49"/>
      <c r="C4608" s="384">
        <v>45919.0</v>
      </c>
      <c r="D4608" s="65">
        <v>7203.0</v>
      </c>
      <c r="E4608" s="445" t="s">
        <v>256</v>
      </c>
      <c r="F4608" s="386">
        <v>1.0</v>
      </c>
      <c r="G4608" s="74">
        <v>130000.0</v>
      </c>
      <c r="H4608" s="74">
        <v>0.0</v>
      </c>
      <c r="I4608" s="74">
        <f t="shared" si="1"/>
        <v>130000</v>
      </c>
      <c r="J4608" s="74">
        <f>IF(E4608="SERVICE",I4608-(I4608*50%),Vlookup(E4608,DATABASE!C:Q,10,false)*F4608)</f>
        <v>10000</v>
      </c>
      <c r="K4608" s="74">
        <f>VLOOKUP(E4608,DATABASE!C:Q,7,false)</f>
        <v>0</v>
      </c>
      <c r="L4608" s="74">
        <v>0.0</v>
      </c>
      <c r="M4608" s="74">
        <f t="shared" si="2"/>
        <v>0</v>
      </c>
      <c r="N4608" s="74">
        <f t="shared" si="3"/>
        <v>120000</v>
      </c>
      <c r="O4608" s="65" t="str">
        <f>VLOOKUP(E4608,DATABASE!C:Q,8,false)</f>
        <v>IBU</v>
      </c>
      <c r="P4608" s="65">
        <f>VLOOKUP(E4608,DATABASE!C:Q,9,False)</f>
        <v>0</v>
      </c>
      <c r="Q4608" s="93" t="str">
        <f>VLOOKUP(E4608,DATABASE!C:Q,4,false)</f>
        <v>SPOORING</v>
      </c>
      <c r="R4608" s="93" t="str">
        <f>VLOOKUP(E4608,DATABASE!C:Q,11,false)</f>
        <v>SERVICE</v>
      </c>
    </row>
    <row r="4609" ht="22.5" customHeight="1">
      <c r="A4609" s="49"/>
      <c r="C4609" s="384">
        <v>45919.0</v>
      </c>
      <c r="D4609" s="65">
        <v>7203.0</v>
      </c>
      <c r="E4609" s="445" t="s">
        <v>251</v>
      </c>
      <c r="F4609" s="386">
        <v>1.0</v>
      </c>
      <c r="G4609" s="74">
        <v>200000.0</v>
      </c>
      <c r="H4609" s="74">
        <v>0.0</v>
      </c>
      <c r="I4609" s="74">
        <f t="shared" si="1"/>
        <v>200000</v>
      </c>
      <c r="J4609" s="74">
        <f>IF(E4609="SERVICE",I4609-(I4609*50%),Vlookup(E4609,DATABASE!C:Q,10,false)*F4609)</f>
        <v>100000</v>
      </c>
      <c r="K4609" s="74">
        <f>VLOOKUP(E4609,DATABASE!C:Q,7,false)</f>
        <v>0</v>
      </c>
      <c r="L4609" s="74">
        <v>0.0</v>
      </c>
      <c r="M4609" s="74">
        <f t="shared" si="2"/>
        <v>0</v>
      </c>
      <c r="N4609" s="74">
        <f t="shared" si="3"/>
        <v>100000</v>
      </c>
      <c r="O4609" s="65" t="str">
        <f>VLOOKUP(E4609,DATABASE!C:Q,8,false)</f>
        <v>IBU</v>
      </c>
      <c r="P4609" s="65">
        <f>VLOOKUP(E4609,DATABASE!C:Q,9,False)</f>
        <v>0</v>
      </c>
      <c r="Q4609" s="93" t="str">
        <f>VLOOKUP(E4609,DATABASE!C:Q,4,false)</f>
        <v>SERVICE</v>
      </c>
      <c r="R4609" s="93" t="str">
        <f>VLOOKUP(E4609,DATABASE!C:Q,11,false)</f>
        <v>SERVICE</v>
      </c>
    </row>
    <row r="4610" ht="22.5" customHeight="1">
      <c r="A4610" s="49"/>
      <c r="C4610" s="384">
        <v>45919.0</v>
      </c>
      <c r="D4610" s="65">
        <v>7204.0</v>
      </c>
      <c r="E4610" s="445" t="s">
        <v>554</v>
      </c>
      <c r="F4610" s="386">
        <v>1.0</v>
      </c>
      <c r="G4610" s="74">
        <v>765000.0</v>
      </c>
      <c r="H4610" s="74">
        <v>0.0</v>
      </c>
      <c r="I4610" s="74">
        <f t="shared" si="1"/>
        <v>765000</v>
      </c>
      <c r="J4610" s="74">
        <f>IF(E4610="SERVICE",I4610-(I4610*50%),Vlookup(E4610,DATABASE!C:Q,10,false)*F4610)</f>
        <v>0</v>
      </c>
      <c r="K4610" s="74">
        <f>VLOOKUP(E4610,DATABASE!C:Q,7,false)</f>
        <v>710000</v>
      </c>
      <c r="L4610" s="74">
        <v>680000.0</v>
      </c>
      <c r="M4610" s="74">
        <f t="shared" si="2"/>
        <v>680000</v>
      </c>
      <c r="N4610" s="74">
        <f t="shared" si="3"/>
        <v>85000</v>
      </c>
      <c r="O4610" s="65" t="str">
        <f>VLOOKUP(E4610,DATABASE!C:Q,8,false)</f>
        <v>IBU</v>
      </c>
      <c r="P4610" s="65">
        <f>VLOOKUP(E4610,DATABASE!C:Q,9,False)</f>
        <v>1</v>
      </c>
      <c r="Q4610" s="93" t="str">
        <f>VLOOKUP(E4610,DATABASE!C:Q,4,false)</f>
        <v>Bridgestone</v>
      </c>
      <c r="R4610" s="93" t="str">
        <f>VLOOKUP(E4610,DATABASE!C:Q,11,false)</f>
        <v>Tire</v>
      </c>
    </row>
    <row r="4611" ht="22.5" customHeight="1">
      <c r="A4611" s="49"/>
      <c r="C4611" s="384">
        <v>45919.0</v>
      </c>
      <c r="D4611" s="65">
        <v>7205.0</v>
      </c>
      <c r="E4611" s="445" t="s">
        <v>262</v>
      </c>
      <c r="F4611" s="386">
        <v>1.0</v>
      </c>
      <c r="G4611" s="74">
        <v>110000.0</v>
      </c>
      <c r="H4611" s="74">
        <v>0.0</v>
      </c>
      <c r="I4611" s="74">
        <f t="shared" si="1"/>
        <v>110000</v>
      </c>
      <c r="J4611" s="74">
        <f>IF(E4611="SERVICE",I4611-(I4611*50%),Vlookup(E4611,DATABASE!C:Q,10,false)*F4611)</f>
        <v>5000</v>
      </c>
      <c r="K4611" s="74">
        <f>VLOOKUP(E4611,DATABASE!C:Q,7,false)</f>
        <v>0</v>
      </c>
      <c r="L4611" s="74">
        <v>0.0</v>
      </c>
      <c r="M4611" s="74">
        <f t="shared" si="2"/>
        <v>0</v>
      </c>
      <c r="N4611" s="74">
        <f t="shared" si="3"/>
        <v>105000</v>
      </c>
      <c r="O4611" s="65" t="str">
        <f>VLOOKUP(E4611,DATABASE!C:Q,8,false)</f>
        <v>IBU</v>
      </c>
      <c r="P4611" s="65">
        <f>VLOOKUP(E4611,DATABASE!C:Q,9,False)</f>
        <v>0</v>
      </c>
      <c r="Q4611" s="93" t="str">
        <f>VLOOKUP(E4611,DATABASE!C:Q,4,false)</f>
        <v>SPOORING SS/CARRY LOS BAK</v>
      </c>
      <c r="R4611" s="93" t="str">
        <f>VLOOKUP(E4611,DATABASE!C:Q,11,false)</f>
        <v>SERVICE</v>
      </c>
    </row>
    <row r="4612" ht="22.5" customHeight="1">
      <c r="A4612" s="49"/>
      <c r="C4612" s="384">
        <v>45919.0</v>
      </c>
      <c r="D4612" s="65">
        <v>7205.0</v>
      </c>
      <c r="E4612" s="445" t="s">
        <v>251</v>
      </c>
      <c r="F4612" s="386">
        <v>1.0</v>
      </c>
      <c r="G4612" s="74">
        <v>120000.0</v>
      </c>
      <c r="H4612" s="74">
        <v>0.0</v>
      </c>
      <c r="I4612" s="74">
        <f t="shared" si="1"/>
        <v>120000</v>
      </c>
      <c r="J4612" s="74">
        <f>IF(E4612="SERVICE",I4612-(I4612*50%),Vlookup(E4612,DATABASE!C:Q,10,false)*F4612)</f>
        <v>60000</v>
      </c>
      <c r="K4612" s="74">
        <f>VLOOKUP(E4612,DATABASE!C:Q,7,false)</f>
        <v>0</v>
      </c>
      <c r="L4612" s="74">
        <v>0.0</v>
      </c>
      <c r="M4612" s="74">
        <f t="shared" si="2"/>
        <v>0</v>
      </c>
      <c r="N4612" s="74">
        <f t="shared" si="3"/>
        <v>60000</v>
      </c>
      <c r="O4612" s="65" t="str">
        <f>VLOOKUP(E4612,DATABASE!C:Q,8,false)</f>
        <v>IBU</v>
      </c>
      <c r="P4612" s="65">
        <f>VLOOKUP(E4612,DATABASE!C:Q,9,False)</f>
        <v>0</v>
      </c>
      <c r="Q4612" s="93" t="str">
        <f>VLOOKUP(E4612,DATABASE!C:Q,4,false)</f>
        <v>SERVICE</v>
      </c>
      <c r="R4612" s="93" t="str">
        <f>VLOOKUP(E4612,DATABASE!C:Q,11,false)</f>
        <v>SERVICE</v>
      </c>
    </row>
    <row r="4613" ht="22.5" customHeight="1">
      <c r="A4613" s="49"/>
      <c r="C4613" s="384">
        <v>45919.0</v>
      </c>
      <c r="D4613" s="65">
        <v>7206.0</v>
      </c>
      <c r="E4613" s="445" t="s">
        <v>256</v>
      </c>
      <c r="F4613" s="386">
        <v>1.0</v>
      </c>
      <c r="G4613" s="74">
        <v>110000.0</v>
      </c>
      <c r="H4613" s="74">
        <v>0.0</v>
      </c>
      <c r="I4613" s="74">
        <f t="shared" si="1"/>
        <v>110000</v>
      </c>
      <c r="J4613" s="74">
        <f>IF(E4613="SERVICE",I4613-(I4613*50%),Vlookup(E4613,DATABASE!C:Q,10,false)*F4613)</f>
        <v>10000</v>
      </c>
      <c r="K4613" s="74">
        <f>VLOOKUP(E4613,DATABASE!C:Q,7,false)</f>
        <v>0</v>
      </c>
      <c r="L4613" s="74">
        <v>0.0</v>
      </c>
      <c r="M4613" s="74">
        <f t="shared" si="2"/>
        <v>0</v>
      </c>
      <c r="N4613" s="74">
        <f t="shared" si="3"/>
        <v>100000</v>
      </c>
      <c r="O4613" s="65" t="str">
        <f>VLOOKUP(E4613,DATABASE!C:Q,8,false)</f>
        <v>IBU</v>
      </c>
      <c r="P4613" s="65">
        <f>VLOOKUP(E4613,DATABASE!C:Q,9,False)</f>
        <v>0</v>
      </c>
      <c r="Q4613" s="93" t="str">
        <f>VLOOKUP(E4613,DATABASE!C:Q,4,false)</f>
        <v>SPOORING</v>
      </c>
      <c r="R4613" s="93" t="str">
        <f>VLOOKUP(E4613,DATABASE!C:Q,11,false)</f>
        <v>SERVICE</v>
      </c>
    </row>
    <row r="4614" ht="22.5" customHeight="1">
      <c r="A4614" s="49"/>
      <c r="C4614" s="384">
        <v>45919.0</v>
      </c>
      <c r="D4614" s="65">
        <v>7207.0</v>
      </c>
      <c r="E4614" s="445" t="s">
        <v>268</v>
      </c>
      <c r="F4614" s="386">
        <v>2.0</v>
      </c>
      <c r="G4614" s="74">
        <v>710000.0</v>
      </c>
      <c r="H4614" s="74">
        <v>0.0</v>
      </c>
      <c r="I4614" s="74">
        <f t="shared" si="1"/>
        <v>1420000</v>
      </c>
      <c r="J4614" s="74">
        <f>IF(E4614="SERVICE",I4614-(I4614*50%),Vlookup(E4614,DATABASE!C:Q,10,false)*F4614)</f>
        <v>0</v>
      </c>
      <c r="K4614" s="74">
        <f>VLOOKUP(E4614,DATABASE!C:Q,7,false)</f>
        <v>653000</v>
      </c>
      <c r="L4614" s="74">
        <v>622000.0</v>
      </c>
      <c r="M4614" s="74">
        <f t="shared" si="2"/>
        <v>625000</v>
      </c>
      <c r="N4614" s="74">
        <f t="shared" si="3"/>
        <v>170000</v>
      </c>
      <c r="O4614" s="65" t="str">
        <f>VLOOKUP(E4614,DATABASE!C:Q,8,false)</f>
        <v>IBU</v>
      </c>
      <c r="P4614" s="65">
        <f>VLOOKUP(E4614,DATABASE!C:Q,9,False)</f>
        <v>1</v>
      </c>
      <c r="Q4614" s="93" t="str">
        <f>VLOOKUP(E4614,DATABASE!C:Q,4,false)</f>
        <v>Dunlop</v>
      </c>
      <c r="R4614" s="93" t="str">
        <f>VLOOKUP(E4614,DATABASE!C:Q,11,false)</f>
        <v>Tire</v>
      </c>
    </row>
    <row r="4615" ht="22.5" customHeight="1">
      <c r="A4615" s="49"/>
      <c r="C4615" s="384">
        <v>45919.0</v>
      </c>
      <c r="D4615" s="65">
        <v>7209.0</v>
      </c>
      <c r="E4615" s="445" t="s">
        <v>256</v>
      </c>
      <c r="F4615" s="386">
        <v>1.0</v>
      </c>
      <c r="G4615" s="74">
        <v>120000.0</v>
      </c>
      <c r="H4615" s="74">
        <v>0.0</v>
      </c>
      <c r="I4615" s="74">
        <f t="shared" si="1"/>
        <v>120000</v>
      </c>
      <c r="J4615" s="74">
        <f>IF(E4615="SERVICE",I4615-(I4615*50%),Vlookup(E4615,DATABASE!C:Q,10,false)*F4615)</f>
        <v>10000</v>
      </c>
      <c r="K4615" s="74">
        <f>VLOOKUP(E4615,DATABASE!C:Q,7,false)</f>
        <v>0</v>
      </c>
      <c r="L4615" s="74">
        <v>0.0</v>
      </c>
      <c r="M4615" s="74">
        <f t="shared" si="2"/>
        <v>0</v>
      </c>
      <c r="N4615" s="74">
        <f t="shared" si="3"/>
        <v>110000</v>
      </c>
      <c r="O4615" s="65" t="str">
        <f>VLOOKUP(E4615,DATABASE!C:Q,8,false)</f>
        <v>IBU</v>
      </c>
      <c r="P4615" s="65">
        <f>VLOOKUP(E4615,DATABASE!C:Q,9,False)</f>
        <v>0</v>
      </c>
      <c r="Q4615" s="93" t="str">
        <f>VLOOKUP(E4615,DATABASE!C:Q,4,false)</f>
        <v>SPOORING</v>
      </c>
      <c r="R4615" s="93" t="str">
        <f>VLOOKUP(E4615,DATABASE!C:Q,11,false)</f>
        <v>SERVICE</v>
      </c>
    </row>
    <row r="4616" ht="22.5" customHeight="1">
      <c r="A4616" s="49"/>
      <c r="C4616" s="384">
        <v>45919.0</v>
      </c>
      <c r="D4616" s="65">
        <v>7209.0</v>
      </c>
      <c r="E4616" s="445" t="s">
        <v>301</v>
      </c>
      <c r="F4616" s="386">
        <v>1.0</v>
      </c>
      <c r="G4616" s="74">
        <v>250000.0</v>
      </c>
      <c r="H4616" s="74">
        <v>0.0</v>
      </c>
      <c r="I4616" s="74">
        <f t="shared" si="1"/>
        <v>250000</v>
      </c>
      <c r="J4616" s="74">
        <f>IF(E4616="SERVICE",I4616-(I4616*50%),Vlookup(E4616,DATABASE!C:Q,10,false)*F4616)</f>
        <v>75000</v>
      </c>
      <c r="K4616" s="74">
        <f>VLOOKUP(E4616,DATABASE!C:Q,7,false)</f>
        <v>75000</v>
      </c>
      <c r="L4616" s="74">
        <v>75000.0</v>
      </c>
      <c r="M4616" s="74">
        <f t="shared" si="2"/>
        <v>75000</v>
      </c>
      <c r="N4616" s="74">
        <f t="shared" si="3"/>
        <v>100000</v>
      </c>
      <c r="O4616" s="65" t="str">
        <f>VLOOKUP(E4616,DATABASE!C:Q,8,false)</f>
        <v>BIAN</v>
      </c>
      <c r="P4616" s="65">
        <f>VLOOKUP(E4616,DATABASE!C:Q,9,False)</f>
        <v>0</v>
      </c>
      <c r="Q4616" s="93" t="str">
        <f>VLOOKUP(E4616,DATABASE!C:Q,4,false)</f>
        <v>Baut Camber</v>
      </c>
      <c r="R4616" s="93" t="str">
        <f>VLOOKUP(E4616,DATABASE!C:Q,11,false)</f>
        <v>COMPLEMENTARY</v>
      </c>
    </row>
    <row r="4617" ht="22.5" customHeight="1">
      <c r="A4617" s="49"/>
      <c r="C4617" s="384">
        <v>45920.0</v>
      </c>
      <c r="D4617" s="65">
        <v>7213.0</v>
      </c>
      <c r="E4617" s="445" t="s">
        <v>2019</v>
      </c>
      <c r="F4617" s="386">
        <v>1.0</v>
      </c>
      <c r="G4617" s="74">
        <v>670000.0</v>
      </c>
      <c r="H4617" s="74">
        <v>0.0</v>
      </c>
      <c r="I4617" s="74">
        <f t="shared" si="1"/>
        <v>670000</v>
      </c>
      <c r="J4617" s="74">
        <f>IF(E4617="SERVICE",I4617-(I4617*50%),Vlookup(E4617,DATABASE!C:Q,10,false)*F4617)</f>
        <v>0</v>
      </c>
      <c r="K4617" s="74">
        <f>VLOOKUP(E4617,DATABASE!C:Q,7,false)</f>
        <v>620000</v>
      </c>
      <c r="L4617" s="74">
        <v>585000.0</v>
      </c>
      <c r="M4617" s="74">
        <f t="shared" si="2"/>
        <v>585000</v>
      </c>
      <c r="N4617" s="74">
        <f t="shared" si="3"/>
        <v>85000</v>
      </c>
      <c r="O4617" s="65" t="str">
        <f>VLOOKUP(E4617,DATABASE!C:Q,8,false)</f>
        <v>BIAN</v>
      </c>
      <c r="P4617" s="65">
        <f>VLOOKUP(E4617,DATABASE!C:Q,9,False)</f>
        <v>1</v>
      </c>
      <c r="Q4617" s="93" t="str">
        <f>VLOOKUP(E4617,DATABASE!C:Q,4,false)</f>
        <v>GT</v>
      </c>
      <c r="R4617" s="93" t="str">
        <f>VLOOKUP(E4617,DATABASE!C:Q,11,false)</f>
        <v>Tire</v>
      </c>
    </row>
    <row r="4618" ht="22.5" customHeight="1">
      <c r="A4618" s="49"/>
      <c r="C4618" s="384">
        <v>45920.0</v>
      </c>
      <c r="D4618" s="65">
        <v>7214.0</v>
      </c>
      <c r="E4618" s="445" t="s">
        <v>256</v>
      </c>
      <c r="F4618" s="386">
        <v>1.0</v>
      </c>
      <c r="G4618" s="74">
        <v>130000.0</v>
      </c>
      <c r="H4618" s="74">
        <v>0.0</v>
      </c>
      <c r="I4618" s="74">
        <f t="shared" si="1"/>
        <v>130000</v>
      </c>
      <c r="J4618" s="74">
        <f>IF(E4618="SERVICE",I4618-(I4618*50%),Vlookup(E4618,DATABASE!C:Q,10,false)*F4618)</f>
        <v>10000</v>
      </c>
      <c r="K4618" s="74">
        <f>VLOOKUP(E4618,DATABASE!C:Q,7,false)</f>
        <v>0</v>
      </c>
      <c r="L4618" s="74">
        <v>0.0</v>
      </c>
      <c r="M4618" s="74">
        <f t="shared" si="2"/>
        <v>0</v>
      </c>
      <c r="N4618" s="74">
        <f t="shared" si="3"/>
        <v>120000</v>
      </c>
      <c r="O4618" s="65" t="str">
        <f>VLOOKUP(E4618,DATABASE!C:Q,8,false)</f>
        <v>IBU</v>
      </c>
      <c r="P4618" s="65">
        <f>VLOOKUP(E4618,DATABASE!C:Q,9,False)</f>
        <v>0</v>
      </c>
      <c r="Q4618" s="93" t="str">
        <f>VLOOKUP(E4618,DATABASE!C:Q,4,false)</f>
        <v>SPOORING</v>
      </c>
      <c r="R4618" s="93" t="str">
        <f>VLOOKUP(E4618,DATABASE!C:Q,11,false)</f>
        <v>SERVICE</v>
      </c>
    </row>
    <row r="4619" ht="22.5" customHeight="1">
      <c r="A4619" s="49"/>
      <c r="C4619" s="384">
        <v>45920.0</v>
      </c>
      <c r="D4619" s="65">
        <v>7214.0</v>
      </c>
      <c r="E4619" s="445" t="s">
        <v>301</v>
      </c>
      <c r="F4619" s="386">
        <v>1.0</v>
      </c>
      <c r="G4619" s="74">
        <v>250000.0</v>
      </c>
      <c r="H4619" s="74">
        <v>0.0</v>
      </c>
      <c r="I4619" s="74">
        <f t="shared" si="1"/>
        <v>250000</v>
      </c>
      <c r="J4619" s="74">
        <f>IF(E4619="SERVICE",I4619-(I4619*50%),Vlookup(E4619,DATABASE!C:Q,10,false)*F4619)</f>
        <v>75000</v>
      </c>
      <c r="K4619" s="74">
        <f>VLOOKUP(E4619,DATABASE!C:Q,7,false)</f>
        <v>75000</v>
      </c>
      <c r="L4619" s="74">
        <v>75000.0</v>
      </c>
      <c r="M4619" s="74">
        <f t="shared" si="2"/>
        <v>75000</v>
      </c>
      <c r="N4619" s="74">
        <f t="shared" si="3"/>
        <v>100000</v>
      </c>
      <c r="O4619" s="65" t="str">
        <f>VLOOKUP(E4619,DATABASE!C:Q,8,false)</f>
        <v>BIAN</v>
      </c>
      <c r="P4619" s="65">
        <f>VLOOKUP(E4619,DATABASE!C:Q,9,False)</f>
        <v>0</v>
      </c>
      <c r="Q4619" s="93" t="str">
        <f>VLOOKUP(E4619,DATABASE!C:Q,4,false)</f>
        <v>Baut Camber</v>
      </c>
      <c r="R4619" s="93" t="str">
        <f>VLOOKUP(E4619,DATABASE!C:Q,11,false)</f>
        <v>COMPLEMENTARY</v>
      </c>
    </row>
    <row r="4620" ht="22.5" customHeight="1">
      <c r="A4620" s="49"/>
      <c r="C4620" s="384">
        <v>45920.0</v>
      </c>
      <c r="D4620" s="65">
        <v>7214.0</v>
      </c>
      <c r="E4620" s="385" t="s">
        <v>299</v>
      </c>
      <c r="F4620" s="386">
        <v>2.0</v>
      </c>
      <c r="G4620" s="74">
        <v>30000.0</v>
      </c>
      <c r="H4620" s="74">
        <v>0.0</v>
      </c>
      <c r="I4620" s="74">
        <f t="shared" si="1"/>
        <v>60000</v>
      </c>
      <c r="J4620" s="74">
        <f>IF(E4620="SERVICE",I4620-(I4620*50%),Vlookup(E4620,DATABASE!C:Q,10,false)*F4620)</f>
        <v>0</v>
      </c>
      <c r="K4620" s="74">
        <v>0.0</v>
      </c>
      <c r="L4620" s="74">
        <v>0.0</v>
      </c>
      <c r="M4620" s="74">
        <f t="shared" si="2"/>
        <v>0</v>
      </c>
      <c r="N4620" s="74">
        <f t="shared" si="3"/>
        <v>60000</v>
      </c>
      <c r="O4620" s="65" t="str">
        <f>VLOOKUP(E4620,DATABASE!C:Q,8,false)</f>
        <v>BIAN</v>
      </c>
      <c r="P4620" s="65">
        <f>VLOOKUP(E4620,DATABASE!C:Q,9,False)</f>
        <v>0</v>
      </c>
      <c r="Q4620" s="93" t="str">
        <f>VLOOKUP(E4620,DATABASE!C:Q,4,false)</f>
        <v>Balancing</v>
      </c>
      <c r="R4620" s="93" t="str">
        <f>VLOOKUP(E4620,DATABASE!C:Q,11,false)</f>
        <v>COMPLEMENTARY</v>
      </c>
    </row>
    <row r="4621" ht="22.5" customHeight="1">
      <c r="A4621" s="49"/>
      <c r="C4621" s="384">
        <v>45920.0</v>
      </c>
      <c r="D4621" s="65">
        <v>7215.0</v>
      </c>
      <c r="E4621" s="445" t="s">
        <v>1862</v>
      </c>
      <c r="F4621" s="386">
        <v>1.0</v>
      </c>
      <c r="G4621" s="74">
        <v>2150000.0</v>
      </c>
      <c r="H4621" s="74">
        <v>0.0</v>
      </c>
      <c r="I4621" s="74">
        <f t="shared" si="1"/>
        <v>2150000</v>
      </c>
      <c r="J4621" s="74">
        <f>IF(E4621="SERVICE",I4621-(I4621*50%),Vlookup(E4621,DATABASE!C:Q,10,false)*F4621)</f>
        <v>0</v>
      </c>
      <c r="K4621" s="74">
        <f>VLOOKUP(E4621,DATABASE!C:Q,7,false)</f>
        <v>2080000</v>
      </c>
      <c r="L4621" s="74">
        <v>2050000.0</v>
      </c>
      <c r="M4621" s="74">
        <f t="shared" si="2"/>
        <v>2050000</v>
      </c>
      <c r="N4621" s="74">
        <f t="shared" si="3"/>
        <v>100000</v>
      </c>
      <c r="O4621" s="65" t="str">
        <f>VLOOKUP(E4621,DATABASE!C:Q,8,false)</f>
        <v>BIAN</v>
      </c>
      <c r="P4621" s="65">
        <f>VLOOKUP(E4621,DATABASE!C:Q,9,False)</f>
        <v>1</v>
      </c>
      <c r="Q4621" s="93" t="str">
        <f>VLOOKUP(E4621,DATABASE!C:Q,4,false)</f>
        <v>GiTi</v>
      </c>
      <c r="R4621" s="93" t="str">
        <f>VLOOKUP(E4621,DATABASE!C:Q,11,false)</f>
        <v>Tire</v>
      </c>
    </row>
    <row r="4622" ht="22.5" customHeight="1">
      <c r="A4622" s="49"/>
      <c r="C4622" s="384">
        <v>45920.0</v>
      </c>
      <c r="D4622" s="65">
        <v>7216.0</v>
      </c>
      <c r="E4622" s="445" t="s">
        <v>286</v>
      </c>
      <c r="F4622" s="386">
        <v>12.0</v>
      </c>
      <c r="G4622" s="74">
        <v>550000.0</v>
      </c>
      <c r="H4622" s="74">
        <v>0.0</v>
      </c>
      <c r="I4622" s="74">
        <f t="shared" si="1"/>
        <v>6600000</v>
      </c>
      <c r="J4622" s="74">
        <f>IF(E4622="SERVICE",I4622-(I4622*50%),Vlookup(E4622,DATABASE!C:Q,10,false)*F4622)</f>
        <v>0</v>
      </c>
      <c r="K4622" s="74">
        <f>VLOOKUP(E4622,DATABASE!C:Q,7,false)</f>
        <v>488320</v>
      </c>
      <c r="L4622" s="74">
        <v>452970.0</v>
      </c>
      <c r="M4622" s="74">
        <f t="shared" si="2"/>
        <v>455000</v>
      </c>
      <c r="N4622" s="74">
        <f t="shared" si="3"/>
        <v>1140000</v>
      </c>
      <c r="O4622" s="65" t="str">
        <f>VLOOKUP(E4622,DATABASE!C:Q,8,false)</f>
        <v>BIAN</v>
      </c>
      <c r="P4622" s="65">
        <f>VLOOKUP(E4622,DATABASE!C:Q,9,False)</f>
        <v>1</v>
      </c>
      <c r="Q4622" s="93" t="str">
        <f>VLOOKUP(E4622,DATABASE!C:Q,4,false)</f>
        <v>GT</v>
      </c>
      <c r="R4622" s="93" t="str">
        <f>VLOOKUP(E4622,DATABASE!C:Q,11,false)</f>
        <v>Tire</v>
      </c>
    </row>
    <row r="4623" ht="22.5" customHeight="1">
      <c r="A4623" s="49"/>
      <c r="C4623" s="384">
        <v>45920.0</v>
      </c>
      <c r="D4623" s="65">
        <v>7217.0</v>
      </c>
      <c r="E4623" s="445" t="s">
        <v>256</v>
      </c>
      <c r="F4623" s="386">
        <v>1.0</v>
      </c>
      <c r="G4623" s="74">
        <v>130000.0</v>
      </c>
      <c r="H4623" s="74">
        <v>0.0</v>
      </c>
      <c r="I4623" s="74">
        <f t="shared" si="1"/>
        <v>130000</v>
      </c>
      <c r="J4623" s="74">
        <f>IF(E4623="SERVICE",I4623-(I4623*50%),Vlookup(E4623,DATABASE!C:Q,10,false)*F4623)</f>
        <v>10000</v>
      </c>
      <c r="K4623" s="74">
        <f>VLOOKUP(E4623,DATABASE!C:Q,7,false)</f>
        <v>0</v>
      </c>
      <c r="L4623" s="74">
        <v>0.0</v>
      </c>
      <c r="M4623" s="74">
        <f t="shared" si="2"/>
        <v>0</v>
      </c>
      <c r="N4623" s="74">
        <f t="shared" si="3"/>
        <v>120000</v>
      </c>
      <c r="O4623" s="65" t="str">
        <f>VLOOKUP(E4623,DATABASE!C:Q,8,false)</f>
        <v>IBU</v>
      </c>
      <c r="P4623" s="65">
        <f>VLOOKUP(E4623,DATABASE!C:Q,9,False)</f>
        <v>0</v>
      </c>
      <c r="Q4623" s="93" t="str">
        <f>VLOOKUP(E4623,DATABASE!C:Q,4,false)</f>
        <v>SPOORING</v>
      </c>
      <c r="R4623" s="93" t="str">
        <f>VLOOKUP(E4623,DATABASE!C:Q,11,false)</f>
        <v>SERVICE</v>
      </c>
    </row>
    <row r="4624" ht="22.5" customHeight="1">
      <c r="A4624" s="49"/>
      <c r="C4624" s="384">
        <v>45920.0</v>
      </c>
      <c r="D4624" s="65">
        <v>7217.0</v>
      </c>
      <c r="E4624" s="445" t="s">
        <v>301</v>
      </c>
      <c r="F4624" s="386">
        <v>1.0</v>
      </c>
      <c r="G4624" s="74">
        <v>250000.0</v>
      </c>
      <c r="H4624" s="74">
        <v>0.0</v>
      </c>
      <c r="I4624" s="74">
        <f t="shared" si="1"/>
        <v>250000</v>
      </c>
      <c r="J4624" s="74">
        <f>IF(E4624="SERVICE",I4624-(I4624*50%),Vlookup(E4624,DATABASE!C:Q,10,false)*F4624)</f>
        <v>75000</v>
      </c>
      <c r="K4624" s="74">
        <f>VLOOKUP(E4624,DATABASE!C:Q,7,false)</f>
        <v>75000</v>
      </c>
      <c r="L4624" s="74">
        <v>75000.0</v>
      </c>
      <c r="M4624" s="74">
        <f t="shared" si="2"/>
        <v>75000</v>
      </c>
      <c r="N4624" s="74">
        <f t="shared" si="3"/>
        <v>100000</v>
      </c>
      <c r="O4624" s="65" t="str">
        <f>VLOOKUP(E4624,DATABASE!C:Q,8,false)</f>
        <v>BIAN</v>
      </c>
      <c r="P4624" s="65">
        <f>VLOOKUP(E4624,DATABASE!C:Q,9,False)</f>
        <v>0</v>
      </c>
      <c r="Q4624" s="93" t="str">
        <f>VLOOKUP(E4624,DATABASE!C:Q,4,false)</f>
        <v>Baut Camber</v>
      </c>
      <c r="R4624" s="93" t="str">
        <f>VLOOKUP(E4624,DATABASE!C:Q,11,false)</f>
        <v>COMPLEMENTARY</v>
      </c>
    </row>
    <row r="4625" ht="22.5" customHeight="1">
      <c r="A4625" s="49"/>
      <c r="C4625" s="384">
        <v>45920.0</v>
      </c>
      <c r="D4625" s="65">
        <v>7217.0</v>
      </c>
      <c r="E4625" s="385" t="s">
        <v>299</v>
      </c>
      <c r="F4625" s="386">
        <v>2.0</v>
      </c>
      <c r="G4625" s="74">
        <v>30000.0</v>
      </c>
      <c r="H4625" s="74">
        <v>0.0</v>
      </c>
      <c r="I4625" s="74">
        <f t="shared" si="1"/>
        <v>60000</v>
      </c>
      <c r="J4625" s="74">
        <f>IF(E4625="SERVICE",I4625-(I4625*50%),Vlookup(E4625,DATABASE!C:Q,10,false)*F4625)</f>
        <v>0</v>
      </c>
      <c r="K4625" s="74">
        <v>0.0</v>
      </c>
      <c r="L4625" s="74">
        <v>0.0</v>
      </c>
      <c r="M4625" s="74">
        <f t="shared" si="2"/>
        <v>0</v>
      </c>
      <c r="N4625" s="74">
        <f t="shared" si="3"/>
        <v>60000</v>
      </c>
      <c r="O4625" s="65" t="str">
        <f>VLOOKUP(E4625,DATABASE!C:Q,8,false)</f>
        <v>BIAN</v>
      </c>
      <c r="P4625" s="65">
        <f>VLOOKUP(E4625,DATABASE!C:Q,9,False)</f>
        <v>0</v>
      </c>
      <c r="Q4625" s="93" t="str">
        <f>VLOOKUP(E4625,DATABASE!C:Q,4,false)</f>
        <v>Balancing</v>
      </c>
      <c r="R4625" s="93" t="str">
        <f>VLOOKUP(E4625,DATABASE!C:Q,11,false)</f>
        <v>COMPLEMENTARY</v>
      </c>
    </row>
    <row r="4626" ht="22.5" customHeight="1">
      <c r="A4626" s="49"/>
      <c r="C4626" s="384">
        <v>45920.0</v>
      </c>
      <c r="D4626" s="65">
        <v>7218.0</v>
      </c>
      <c r="E4626" s="385" t="s">
        <v>299</v>
      </c>
      <c r="F4626" s="386">
        <v>2.0</v>
      </c>
      <c r="G4626" s="74">
        <v>30000.0</v>
      </c>
      <c r="H4626" s="74">
        <v>0.0</v>
      </c>
      <c r="I4626" s="74">
        <f t="shared" si="1"/>
        <v>60000</v>
      </c>
      <c r="J4626" s="74">
        <f>IF(E4626="SERVICE",I4626-(I4626*50%),Vlookup(E4626,DATABASE!C:Q,10,false)*F4626)</f>
        <v>0</v>
      </c>
      <c r="K4626" s="74">
        <v>0.0</v>
      </c>
      <c r="L4626" s="74">
        <v>0.0</v>
      </c>
      <c r="M4626" s="74">
        <f t="shared" si="2"/>
        <v>0</v>
      </c>
      <c r="N4626" s="74">
        <f t="shared" si="3"/>
        <v>60000</v>
      </c>
      <c r="O4626" s="65" t="str">
        <f>VLOOKUP(E4626,DATABASE!C:Q,8,false)</f>
        <v>BIAN</v>
      </c>
      <c r="P4626" s="65">
        <f>VLOOKUP(E4626,DATABASE!C:Q,9,False)</f>
        <v>0</v>
      </c>
      <c r="Q4626" s="93" t="str">
        <f>VLOOKUP(E4626,DATABASE!C:Q,4,false)</f>
        <v>Balancing</v>
      </c>
      <c r="R4626" s="93" t="str">
        <f>VLOOKUP(E4626,DATABASE!C:Q,11,false)</f>
        <v>COMPLEMENTARY</v>
      </c>
    </row>
    <row r="4627" ht="22.5" customHeight="1">
      <c r="A4627" s="49"/>
      <c r="C4627" s="384">
        <v>45920.0</v>
      </c>
      <c r="D4627" s="65">
        <v>7219.0</v>
      </c>
      <c r="E4627" s="445" t="s">
        <v>256</v>
      </c>
      <c r="F4627" s="386">
        <v>1.0</v>
      </c>
      <c r="G4627" s="74">
        <v>130000.0</v>
      </c>
      <c r="H4627" s="74">
        <v>0.0</v>
      </c>
      <c r="I4627" s="74">
        <f t="shared" si="1"/>
        <v>130000</v>
      </c>
      <c r="J4627" s="74">
        <f>IF(E4627="SERVICE",I4627-(I4627*50%),Vlookup(E4627,DATABASE!C:Q,10,false)*F4627)</f>
        <v>10000</v>
      </c>
      <c r="K4627" s="74">
        <f>VLOOKUP(E4627,DATABASE!C:Q,7,false)</f>
        <v>0</v>
      </c>
      <c r="L4627" s="74">
        <v>0.0</v>
      </c>
      <c r="M4627" s="74">
        <f t="shared" si="2"/>
        <v>0</v>
      </c>
      <c r="N4627" s="74">
        <f t="shared" si="3"/>
        <v>120000</v>
      </c>
      <c r="O4627" s="65" t="str">
        <f>VLOOKUP(E4627,DATABASE!C:Q,8,false)</f>
        <v>IBU</v>
      </c>
      <c r="P4627" s="65">
        <f>VLOOKUP(E4627,DATABASE!C:Q,9,False)</f>
        <v>0</v>
      </c>
      <c r="Q4627" s="93" t="str">
        <f>VLOOKUP(E4627,DATABASE!C:Q,4,false)</f>
        <v>SPOORING</v>
      </c>
      <c r="R4627" s="93" t="str">
        <f>VLOOKUP(E4627,DATABASE!C:Q,11,false)</f>
        <v>SERVICE</v>
      </c>
    </row>
    <row r="4628" ht="22.5" customHeight="1">
      <c r="A4628" s="49"/>
      <c r="C4628" s="384">
        <v>45920.0</v>
      </c>
      <c r="D4628" s="65">
        <v>7219.0</v>
      </c>
      <c r="E4628" s="445" t="s">
        <v>251</v>
      </c>
      <c r="F4628" s="386">
        <v>1.0</v>
      </c>
      <c r="G4628" s="74">
        <v>120000.0</v>
      </c>
      <c r="H4628" s="74">
        <v>0.0</v>
      </c>
      <c r="I4628" s="74">
        <f t="shared" si="1"/>
        <v>120000</v>
      </c>
      <c r="J4628" s="74">
        <f>IF(E4628="SERVICE",I4628-(I4628*50%),Vlookup(E4628,DATABASE!C:Q,10,false)*F4628)</f>
        <v>60000</v>
      </c>
      <c r="K4628" s="74">
        <f>VLOOKUP(E4628,DATABASE!C:Q,7,false)</f>
        <v>0</v>
      </c>
      <c r="L4628" s="74">
        <v>0.0</v>
      </c>
      <c r="M4628" s="74">
        <f t="shared" si="2"/>
        <v>0</v>
      </c>
      <c r="N4628" s="74">
        <f t="shared" si="3"/>
        <v>60000</v>
      </c>
      <c r="O4628" s="65" t="str">
        <f>VLOOKUP(E4628,DATABASE!C:Q,8,false)</f>
        <v>IBU</v>
      </c>
      <c r="P4628" s="65">
        <f>VLOOKUP(E4628,DATABASE!C:Q,9,False)</f>
        <v>0</v>
      </c>
      <c r="Q4628" s="93" t="str">
        <f>VLOOKUP(E4628,DATABASE!C:Q,4,false)</f>
        <v>SERVICE</v>
      </c>
      <c r="R4628" s="93" t="str">
        <f>VLOOKUP(E4628,DATABASE!C:Q,11,false)</f>
        <v>SERVICE</v>
      </c>
    </row>
    <row r="4629" ht="22.5" customHeight="1">
      <c r="A4629" s="49"/>
      <c r="C4629" s="384">
        <v>45920.0</v>
      </c>
      <c r="D4629" s="65">
        <v>7710.0</v>
      </c>
      <c r="E4629" s="445" t="s">
        <v>256</v>
      </c>
      <c r="F4629" s="386">
        <v>1.0</v>
      </c>
      <c r="G4629" s="74">
        <v>130000.0</v>
      </c>
      <c r="H4629" s="74">
        <v>0.0</v>
      </c>
      <c r="I4629" s="74">
        <f t="shared" si="1"/>
        <v>130000</v>
      </c>
      <c r="J4629" s="74">
        <f>IF(E4629="SERVICE",I4629-(I4629*50%),Vlookup(E4629,DATABASE!C:Q,10,false)*F4629)</f>
        <v>10000</v>
      </c>
      <c r="K4629" s="74">
        <f>VLOOKUP(E4629,DATABASE!C:Q,7,false)</f>
        <v>0</v>
      </c>
      <c r="L4629" s="74">
        <v>0.0</v>
      </c>
      <c r="M4629" s="74">
        <f t="shared" si="2"/>
        <v>0</v>
      </c>
      <c r="N4629" s="74">
        <f t="shared" si="3"/>
        <v>120000</v>
      </c>
      <c r="O4629" s="65" t="str">
        <f>VLOOKUP(E4629,DATABASE!C:Q,8,false)</f>
        <v>IBU</v>
      </c>
      <c r="P4629" s="65">
        <f>VLOOKUP(E4629,DATABASE!C:Q,9,False)</f>
        <v>0</v>
      </c>
      <c r="Q4629" s="93" t="str">
        <f>VLOOKUP(E4629,DATABASE!C:Q,4,false)</f>
        <v>SPOORING</v>
      </c>
      <c r="R4629" s="93" t="str">
        <f>VLOOKUP(E4629,DATABASE!C:Q,11,false)</f>
        <v>SERVICE</v>
      </c>
    </row>
    <row r="4630" ht="22.5" customHeight="1">
      <c r="A4630" s="49"/>
      <c r="C4630" s="384">
        <v>45920.0</v>
      </c>
      <c r="D4630" s="65">
        <v>7710.0</v>
      </c>
      <c r="E4630" s="445" t="s">
        <v>301</v>
      </c>
      <c r="F4630" s="386">
        <v>1.0</v>
      </c>
      <c r="G4630" s="74">
        <v>250000.0</v>
      </c>
      <c r="H4630" s="74">
        <v>0.0</v>
      </c>
      <c r="I4630" s="74">
        <f t="shared" si="1"/>
        <v>250000</v>
      </c>
      <c r="J4630" s="74">
        <f>IF(E4630="SERVICE",I4630-(I4630*50%),Vlookup(E4630,DATABASE!C:Q,10,false)*F4630)</f>
        <v>75000</v>
      </c>
      <c r="K4630" s="74">
        <f>VLOOKUP(E4630,DATABASE!C:Q,7,false)</f>
        <v>75000</v>
      </c>
      <c r="L4630" s="74">
        <v>75000.0</v>
      </c>
      <c r="M4630" s="74">
        <f t="shared" si="2"/>
        <v>75000</v>
      </c>
      <c r="N4630" s="74">
        <f t="shared" si="3"/>
        <v>100000</v>
      </c>
      <c r="O4630" s="65" t="str">
        <f>VLOOKUP(E4630,DATABASE!C:Q,8,false)</f>
        <v>BIAN</v>
      </c>
      <c r="P4630" s="65">
        <f>VLOOKUP(E4630,DATABASE!C:Q,9,False)</f>
        <v>0</v>
      </c>
      <c r="Q4630" s="93" t="str">
        <f>VLOOKUP(E4630,DATABASE!C:Q,4,false)</f>
        <v>Baut Camber</v>
      </c>
      <c r="R4630" s="93" t="str">
        <f>VLOOKUP(E4630,DATABASE!C:Q,11,false)</f>
        <v>COMPLEMENTARY</v>
      </c>
    </row>
    <row r="4631" ht="22.5" customHeight="1">
      <c r="A4631" s="49"/>
      <c r="C4631" s="384">
        <v>45920.0</v>
      </c>
      <c r="D4631" s="65">
        <v>7711.0</v>
      </c>
      <c r="E4631" s="445" t="s">
        <v>268</v>
      </c>
      <c r="F4631" s="386">
        <v>2.0</v>
      </c>
      <c r="G4631" s="74">
        <v>710000.0</v>
      </c>
      <c r="H4631" s="74">
        <v>0.0</v>
      </c>
      <c r="I4631" s="74">
        <f t="shared" si="1"/>
        <v>1420000</v>
      </c>
      <c r="J4631" s="74">
        <f>IF(E4631="SERVICE",I4631-(I4631*50%),Vlookup(E4631,DATABASE!C:Q,10,false)*F4631)</f>
        <v>0</v>
      </c>
      <c r="K4631" s="74">
        <f>VLOOKUP(E4631,DATABASE!C:Q,7,false)</f>
        <v>653000</v>
      </c>
      <c r="L4631" s="74">
        <v>622000.0</v>
      </c>
      <c r="M4631" s="74">
        <f t="shared" si="2"/>
        <v>625000</v>
      </c>
      <c r="N4631" s="74">
        <f t="shared" si="3"/>
        <v>170000</v>
      </c>
      <c r="O4631" s="65" t="str">
        <f>VLOOKUP(E4631,DATABASE!C:Q,8,false)</f>
        <v>IBU</v>
      </c>
      <c r="P4631" s="65">
        <f>VLOOKUP(E4631,DATABASE!C:Q,9,False)</f>
        <v>1</v>
      </c>
      <c r="Q4631" s="93" t="str">
        <f>VLOOKUP(E4631,DATABASE!C:Q,4,false)</f>
        <v>Dunlop</v>
      </c>
      <c r="R4631" s="93" t="str">
        <f>VLOOKUP(E4631,DATABASE!C:Q,11,false)</f>
        <v>Tire</v>
      </c>
    </row>
    <row r="4632" ht="22.5" customHeight="1">
      <c r="A4632" s="49"/>
      <c r="C4632" s="384">
        <v>45920.0</v>
      </c>
      <c r="D4632" s="65">
        <v>7711.0</v>
      </c>
      <c r="E4632" s="445" t="s">
        <v>250</v>
      </c>
      <c r="F4632" s="386">
        <v>1.0</v>
      </c>
      <c r="G4632" s="74">
        <v>130000.0</v>
      </c>
      <c r="H4632" s="74">
        <v>0.0</v>
      </c>
      <c r="I4632" s="74">
        <f t="shared" si="1"/>
        <v>130000</v>
      </c>
      <c r="J4632" s="74">
        <f>IF(E4632="SERVICE",I4632-(I4632*50%),Vlookup(E4632,DATABASE!C:Q,10,false)*F4632)</f>
        <v>0</v>
      </c>
      <c r="K4632" s="74">
        <f>VLOOKUP(E4632,DATABASE!C:Q,7,false)</f>
        <v>102000</v>
      </c>
      <c r="L4632" s="74">
        <v>102000.0</v>
      </c>
      <c r="M4632" s="74">
        <f t="shared" si="2"/>
        <v>105000</v>
      </c>
      <c r="N4632" s="74">
        <f t="shared" si="3"/>
        <v>25000</v>
      </c>
      <c r="O4632" s="65" t="str">
        <f>VLOOKUP(E4632,DATABASE!C:Q,8,false)</f>
        <v>BIAN</v>
      </c>
      <c r="P4632" s="65">
        <f>VLOOKUP(E4632,DATABASE!C:Q,9,False)</f>
        <v>1</v>
      </c>
      <c r="Q4632" s="93" t="str">
        <f>VLOOKUP(E4632,DATABASE!C:Q,4,false)</f>
        <v>BD</v>
      </c>
      <c r="R4632" s="93" t="str">
        <f>VLOOKUP(E4632,DATABASE!C:Q,11,false)</f>
        <v>Tire</v>
      </c>
    </row>
    <row r="4633" ht="22.5" customHeight="1">
      <c r="A4633" s="49"/>
      <c r="C4633" s="384">
        <v>45920.0</v>
      </c>
      <c r="D4633" s="65">
        <v>7712.0</v>
      </c>
      <c r="E4633" s="445" t="s">
        <v>265</v>
      </c>
      <c r="F4633" s="386">
        <v>2.0</v>
      </c>
      <c r="G4633" s="74">
        <v>690000.0</v>
      </c>
      <c r="H4633" s="74">
        <v>0.0</v>
      </c>
      <c r="I4633" s="74">
        <f t="shared" si="1"/>
        <v>1380000</v>
      </c>
      <c r="J4633" s="74">
        <f>IF(E4633="SERVICE",I4633-(I4633*50%),Vlookup(E4633,DATABASE!C:Q,10,false)*F4633)</f>
        <v>0</v>
      </c>
      <c r="K4633" s="74">
        <f>VLOOKUP(E4633,DATABASE!C:Q,7,false)</f>
        <v>628000</v>
      </c>
      <c r="L4633" s="74">
        <v>610000.0</v>
      </c>
      <c r="M4633" s="74">
        <f t="shared" si="2"/>
        <v>610000</v>
      </c>
      <c r="N4633" s="74">
        <f t="shared" si="3"/>
        <v>160000</v>
      </c>
      <c r="O4633" s="65" t="str">
        <f>VLOOKUP(E4633,DATABASE!C:Q,8,false)</f>
        <v>IBU</v>
      </c>
      <c r="P4633" s="65">
        <f>VLOOKUP(E4633,DATABASE!C:Q,9,False)</f>
        <v>1</v>
      </c>
      <c r="Q4633" s="93" t="str">
        <f>VLOOKUP(E4633,DATABASE!C:Q,4,false)</f>
        <v>Dunlop</v>
      </c>
      <c r="R4633" s="93" t="str">
        <f>VLOOKUP(E4633,DATABASE!C:Q,11,false)</f>
        <v>Tire</v>
      </c>
    </row>
    <row r="4634" ht="22.5" customHeight="1">
      <c r="A4634" s="49"/>
      <c r="C4634" s="384">
        <v>45921.0</v>
      </c>
      <c r="D4634" s="65">
        <v>7220.0</v>
      </c>
      <c r="E4634" s="445" t="s">
        <v>937</v>
      </c>
      <c r="F4634" s="386">
        <v>2.0</v>
      </c>
      <c r="G4634" s="74">
        <v>890000.0</v>
      </c>
      <c r="H4634" s="74">
        <v>0.0</v>
      </c>
      <c r="I4634" s="74">
        <f t="shared" si="1"/>
        <v>1780000</v>
      </c>
      <c r="J4634" s="74">
        <f>IF(E4634="SERVICE",I4634-(I4634*50%),Vlookup(E4634,DATABASE!C:Q,10,false)*F4634)</f>
        <v>0</v>
      </c>
      <c r="K4634" s="74">
        <f>VLOOKUP(E4634,DATABASE!C:Q,7,false)</f>
        <v>825000</v>
      </c>
      <c r="L4634" s="74">
        <v>790000.0</v>
      </c>
      <c r="M4634" s="74">
        <f t="shared" si="2"/>
        <v>790000</v>
      </c>
      <c r="N4634" s="74">
        <f t="shared" si="3"/>
        <v>200000</v>
      </c>
      <c r="O4634" s="65" t="str">
        <f>VLOOKUP(E4634,DATABASE!C:Q,8,false)</f>
        <v>IBU</v>
      </c>
      <c r="P4634" s="65">
        <f>VLOOKUP(E4634,DATABASE!C:Q,9,False)</f>
        <v>1</v>
      </c>
      <c r="Q4634" s="93" t="str">
        <f>VLOOKUP(E4634,DATABASE!C:Q,4,false)</f>
        <v>Bridgestone</v>
      </c>
      <c r="R4634" s="93" t="str">
        <f>VLOOKUP(E4634,DATABASE!C:Q,11,false)</f>
        <v>Tire</v>
      </c>
    </row>
    <row r="4635" ht="22.5" customHeight="1">
      <c r="A4635" s="49"/>
      <c r="C4635" s="384">
        <v>45921.0</v>
      </c>
      <c r="D4635" s="65">
        <v>7220.0</v>
      </c>
      <c r="E4635" s="445" t="s">
        <v>265</v>
      </c>
      <c r="F4635" s="386">
        <v>2.0</v>
      </c>
      <c r="G4635" s="74">
        <v>690000.0</v>
      </c>
      <c r="H4635" s="74">
        <v>0.0</v>
      </c>
      <c r="I4635" s="74">
        <f t="shared" si="1"/>
        <v>1380000</v>
      </c>
      <c r="J4635" s="74">
        <f>IF(E4635="SERVICE",I4635-(I4635*50%),Vlookup(E4635,DATABASE!C:Q,10,false)*F4635)</f>
        <v>0</v>
      </c>
      <c r="K4635" s="74">
        <f>VLOOKUP(E4635,DATABASE!C:Q,7,false)</f>
        <v>628000</v>
      </c>
      <c r="L4635" s="74">
        <v>610000.0</v>
      </c>
      <c r="M4635" s="74">
        <f t="shared" si="2"/>
        <v>610000</v>
      </c>
      <c r="N4635" s="74">
        <f t="shared" si="3"/>
        <v>160000</v>
      </c>
      <c r="O4635" s="65" t="str">
        <f>VLOOKUP(E4635,DATABASE!C:Q,8,false)</f>
        <v>IBU</v>
      </c>
      <c r="P4635" s="65">
        <f>VLOOKUP(E4635,DATABASE!C:Q,9,False)</f>
        <v>1</v>
      </c>
      <c r="Q4635" s="93" t="str">
        <f>VLOOKUP(E4635,DATABASE!C:Q,4,false)</f>
        <v>Dunlop</v>
      </c>
      <c r="R4635" s="93" t="str">
        <f>VLOOKUP(E4635,DATABASE!C:Q,11,false)</f>
        <v>Tire</v>
      </c>
    </row>
    <row r="4636" ht="22.5" customHeight="1">
      <c r="A4636" s="49"/>
      <c r="C4636" s="384">
        <v>45921.0</v>
      </c>
      <c r="D4636" s="65">
        <v>7221.0</v>
      </c>
      <c r="E4636" s="445" t="s">
        <v>256</v>
      </c>
      <c r="F4636" s="386">
        <v>1.0</v>
      </c>
      <c r="G4636" s="74">
        <v>130000.0</v>
      </c>
      <c r="H4636" s="74">
        <v>0.0</v>
      </c>
      <c r="I4636" s="74">
        <f t="shared" si="1"/>
        <v>130000</v>
      </c>
      <c r="J4636" s="74">
        <f>IF(E4636="SERVICE",I4636-(I4636*50%),Vlookup(E4636,DATABASE!C:Q,10,false)*F4636)</f>
        <v>10000</v>
      </c>
      <c r="K4636" s="74">
        <f>VLOOKUP(E4636,DATABASE!C:Q,7,false)</f>
        <v>0</v>
      </c>
      <c r="L4636" s="74">
        <v>0.0</v>
      </c>
      <c r="M4636" s="74">
        <f t="shared" si="2"/>
        <v>0</v>
      </c>
      <c r="N4636" s="74">
        <f t="shared" si="3"/>
        <v>120000</v>
      </c>
      <c r="O4636" s="65" t="str">
        <f>VLOOKUP(E4636,DATABASE!C:Q,8,false)</f>
        <v>IBU</v>
      </c>
      <c r="P4636" s="65">
        <f>VLOOKUP(E4636,DATABASE!C:Q,9,False)</f>
        <v>0</v>
      </c>
      <c r="Q4636" s="93" t="str">
        <f>VLOOKUP(E4636,DATABASE!C:Q,4,false)</f>
        <v>SPOORING</v>
      </c>
      <c r="R4636" s="93" t="str">
        <f>VLOOKUP(E4636,DATABASE!C:Q,11,false)</f>
        <v>SERVICE</v>
      </c>
    </row>
    <row r="4637" ht="22.5" customHeight="1">
      <c r="A4637" s="49"/>
      <c r="C4637" s="384">
        <v>45921.0</v>
      </c>
      <c r="D4637" s="65">
        <v>7221.0</v>
      </c>
      <c r="E4637" s="445" t="s">
        <v>251</v>
      </c>
      <c r="F4637" s="386">
        <v>1.0</v>
      </c>
      <c r="G4637" s="74">
        <v>150000.0</v>
      </c>
      <c r="H4637" s="74">
        <v>0.0</v>
      </c>
      <c r="I4637" s="74">
        <f t="shared" si="1"/>
        <v>150000</v>
      </c>
      <c r="J4637" s="74">
        <f>IF(E4637="SERVICE",I4637-(I4637*50%),Vlookup(E4637,DATABASE!C:Q,10,false)*F4637)</f>
        <v>75000</v>
      </c>
      <c r="K4637" s="74">
        <f>VLOOKUP(E4637,DATABASE!C:Q,7,false)</f>
        <v>0</v>
      </c>
      <c r="L4637" s="74">
        <v>0.0</v>
      </c>
      <c r="M4637" s="74">
        <f t="shared" si="2"/>
        <v>0</v>
      </c>
      <c r="N4637" s="74">
        <f t="shared" si="3"/>
        <v>75000</v>
      </c>
      <c r="O4637" s="65" t="str">
        <f>VLOOKUP(E4637,DATABASE!C:Q,8,false)</f>
        <v>IBU</v>
      </c>
      <c r="P4637" s="65">
        <f>VLOOKUP(E4637,DATABASE!C:Q,9,False)</f>
        <v>0</v>
      </c>
      <c r="Q4637" s="93" t="str">
        <f>VLOOKUP(E4637,DATABASE!C:Q,4,false)</f>
        <v>SERVICE</v>
      </c>
      <c r="R4637" s="93" t="str">
        <f>VLOOKUP(E4637,DATABASE!C:Q,11,false)</f>
        <v>SERVICE</v>
      </c>
    </row>
    <row r="4638" ht="22.5" customHeight="1">
      <c r="A4638" s="49"/>
      <c r="C4638" s="384">
        <v>45921.0</v>
      </c>
      <c r="D4638" s="65">
        <v>7222.0</v>
      </c>
      <c r="E4638" s="445" t="s">
        <v>262</v>
      </c>
      <c r="F4638" s="386">
        <v>1.0</v>
      </c>
      <c r="G4638" s="74">
        <v>110000.0</v>
      </c>
      <c r="H4638" s="74">
        <v>0.0</v>
      </c>
      <c r="I4638" s="74">
        <f t="shared" si="1"/>
        <v>110000</v>
      </c>
      <c r="J4638" s="74">
        <f>IF(E4638="SERVICE",I4638-(I4638*50%),Vlookup(E4638,DATABASE!C:Q,10,false)*F4638)</f>
        <v>5000</v>
      </c>
      <c r="K4638" s="74">
        <f>VLOOKUP(E4638,DATABASE!C:Q,7,false)</f>
        <v>0</v>
      </c>
      <c r="L4638" s="74">
        <v>0.0</v>
      </c>
      <c r="M4638" s="74">
        <f t="shared" si="2"/>
        <v>0</v>
      </c>
      <c r="N4638" s="74">
        <f t="shared" si="3"/>
        <v>105000</v>
      </c>
      <c r="O4638" s="65" t="str">
        <f>VLOOKUP(E4638,DATABASE!C:Q,8,false)</f>
        <v>IBU</v>
      </c>
      <c r="P4638" s="65">
        <f>VLOOKUP(E4638,DATABASE!C:Q,9,False)</f>
        <v>0</v>
      </c>
      <c r="Q4638" s="93" t="str">
        <f>VLOOKUP(E4638,DATABASE!C:Q,4,false)</f>
        <v>SPOORING SS/CARRY LOS BAK</v>
      </c>
      <c r="R4638" s="93" t="str">
        <f>VLOOKUP(E4638,DATABASE!C:Q,11,false)</f>
        <v>SERVICE</v>
      </c>
    </row>
    <row r="4639" ht="22.5" customHeight="1">
      <c r="A4639" s="49"/>
      <c r="C4639" s="384">
        <v>45921.0</v>
      </c>
      <c r="D4639" s="65">
        <v>7222.0</v>
      </c>
      <c r="E4639" s="445" t="s">
        <v>2206</v>
      </c>
      <c r="F4639" s="386">
        <v>1.0</v>
      </c>
      <c r="G4639" s="74">
        <v>200000.0</v>
      </c>
      <c r="H4639" s="74">
        <v>0.0</v>
      </c>
      <c r="I4639" s="74">
        <f t="shared" si="1"/>
        <v>200000</v>
      </c>
      <c r="J4639" s="74">
        <f>IF(E4639="SERVICE",I4639-(I4639*50%),Vlookup(E4639,DATABASE!C:Q,10,false)*F4639)</f>
        <v>40000</v>
      </c>
      <c r="K4639" s="74">
        <f>VLOOKUP(E4639,DATABASE!C:Q,7,false)</f>
        <v>95450</v>
      </c>
      <c r="L4639" s="74">
        <v>61000.0</v>
      </c>
      <c r="M4639" s="74">
        <f t="shared" si="2"/>
        <v>65000</v>
      </c>
      <c r="N4639" s="74">
        <f t="shared" si="3"/>
        <v>95000</v>
      </c>
      <c r="O4639" s="65" t="str">
        <f>VLOOKUP(E4639,DATABASE!C:Q,8,false)</f>
        <v>IBU</v>
      </c>
      <c r="P4639" s="65">
        <f>VLOOKUP(E4639,DATABASE!C:Q,9,False)</f>
        <v>1</v>
      </c>
      <c r="Q4639" s="93" t="str">
        <f>VLOOKUP(E4639,DATABASE!C:Q,4,false)</f>
        <v>TIEROD</v>
      </c>
      <c r="R4639" s="93" t="str">
        <f>VLOOKUP(E4639,DATABASE!C:Q,11,false)</f>
        <v>COMPLEMENTARY</v>
      </c>
    </row>
    <row r="4640" ht="22.5" customHeight="1">
      <c r="A4640" s="49"/>
      <c r="C4640" s="384">
        <v>45921.0</v>
      </c>
      <c r="D4640" s="65">
        <v>7222.0</v>
      </c>
      <c r="E4640" s="445" t="s">
        <v>251</v>
      </c>
      <c r="F4640" s="386">
        <v>1.0</v>
      </c>
      <c r="G4640" s="74">
        <v>150000.0</v>
      </c>
      <c r="H4640" s="74">
        <v>0.0</v>
      </c>
      <c r="I4640" s="74">
        <f t="shared" si="1"/>
        <v>150000</v>
      </c>
      <c r="J4640" s="74">
        <f>IF(E4640="SERVICE",I4640-(I4640*50%),Vlookup(E4640,DATABASE!C:Q,10,false)*F4640)</f>
        <v>75000</v>
      </c>
      <c r="K4640" s="74">
        <f>VLOOKUP(E4640,DATABASE!C:Q,7,false)</f>
        <v>0</v>
      </c>
      <c r="L4640" s="74">
        <v>0.0</v>
      </c>
      <c r="M4640" s="74">
        <f t="shared" si="2"/>
        <v>0</v>
      </c>
      <c r="N4640" s="74">
        <f t="shared" si="3"/>
        <v>75000</v>
      </c>
      <c r="O4640" s="65" t="str">
        <f>VLOOKUP(E4640,DATABASE!C:Q,8,false)</f>
        <v>IBU</v>
      </c>
      <c r="P4640" s="65">
        <f>VLOOKUP(E4640,DATABASE!C:Q,9,False)</f>
        <v>0</v>
      </c>
      <c r="Q4640" s="93" t="str">
        <f>VLOOKUP(E4640,DATABASE!C:Q,4,false)</f>
        <v>SERVICE</v>
      </c>
      <c r="R4640" s="93" t="str">
        <f>VLOOKUP(E4640,DATABASE!C:Q,11,false)</f>
        <v>SERVICE</v>
      </c>
    </row>
    <row r="4641" ht="22.5" customHeight="1">
      <c r="A4641" s="49"/>
      <c r="C4641" s="384">
        <v>45921.0</v>
      </c>
      <c r="D4641" s="65">
        <v>7223.0</v>
      </c>
      <c r="E4641" s="445" t="s">
        <v>614</v>
      </c>
      <c r="F4641" s="386">
        <v>4.0</v>
      </c>
      <c r="G4641" s="74">
        <v>850000.0</v>
      </c>
      <c r="H4641" s="74">
        <v>0.0</v>
      </c>
      <c r="I4641" s="74">
        <f t="shared" si="1"/>
        <v>3400000</v>
      </c>
      <c r="J4641" s="74">
        <f>IF(E4641="SERVICE",I4641-(I4641*50%),Vlookup(E4641,DATABASE!C:Q,10,false)*F4641)</f>
        <v>0</v>
      </c>
      <c r="K4641" s="74">
        <f>VLOOKUP(E4641,DATABASE!C:Q,7,false)</f>
        <v>754660.6</v>
      </c>
      <c r="L4641" s="74">
        <v>766438.4</v>
      </c>
      <c r="M4641" s="74">
        <f t="shared" si="2"/>
        <v>770000</v>
      </c>
      <c r="N4641" s="74">
        <f t="shared" si="3"/>
        <v>320000</v>
      </c>
      <c r="O4641" s="65" t="str">
        <f>VLOOKUP(E4641,DATABASE!C:Q,8,false)</f>
        <v>IBU</v>
      </c>
      <c r="P4641" s="65">
        <f>VLOOKUP(E4641,DATABASE!C:Q,9,False)</f>
        <v>1</v>
      </c>
      <c r="Q4641" s="93" t="str">
        <f>VLOOKUP(E4641,DATABASE!C:Q,4,false)</f>
        <v>Bridgestone</v>
      </c>
      <c r="R4641" s="93" t="str">
        <f>VLOOKUP(E4641,DATABASE!C:Q,11,false)</f>
        <v>Tire</v>
      </c>
    </row>
    <row r="4642" ht="22.5" customHeight="1">
      <c r="A4642" s="49"/>
      <c r="C4642" s="384">
        <v>45921.0</v>
      </c>
      <c r="D4642" s="65">
        <v>7223.0</v>
      </c>
      <c r="E4642" s="445" t="s">
        <v>256</v>
      </c>
      <c r="F4642" s="386">
        <v>1.0</v>
      </c>
      <c r="G4642" s="74">
        <v>130000.0</v>
      </c>
      <c r="H4642" s="74">
        <v>0.0</v>
      </c>
      <c r="I4642" s="74">
        <f t="shared" si="1"/>
        <v>130000</v>
      </c>
      <c r="J4642" s="74">
        <f>IF(E4642="SERVICE",I4642-(I4642*50%),Vlookup(E4642,DATABASE!C:Q,10,false)*F4642)</f>
        <v>10000</v>
      </c>
      <c r="K4642" s="74">
        <f>VLOOKUP(E4642,DATABASE!C:Q,7,false)</f>
        <v>0</v>
      </c>
      <c r="L4642" s="74">
        <v>0.0</v>
      </c>
      <c r="M4642" s="74">
        <f t="shared" si="2"/>
        <v>0</v>
      </c>
      <c r="N4642" s="74">
        <f t="shared" si="3"/>
        <v>120000</v>
      </c>
      <c r="O4642" s="65" t="str">
        <f>VLOOKUP(E4642,DATABASE!C:Q,8,false)</f>
        <v>IBU</v>
      </c>
      <c r="P4642" s="65">
        <f>VLOOKUP(E4642,DATABASE!C:Q,9,False)</f>
        <v>0</v>
      </c>
      <c r="Q4642" s="93" t="str">
        <f>VLOOKUP(E4642,DATABASE!C:Q,4,false)</f>
        <v>SPOORING</v>
      </c>
      <c r="R4642" s="93" t="str">
        <f>VLOOKUP(E4642,DATABASE!C:Q,11,false)</f>
        <v>SERVICE</v>
      </c>
    </row>
    <row r="4643" ht="22.5" customHeight="1">
      <c r="A4643" s="49"/>
      <c r="C4643" s="384">
        <v>45921.0</v>
      </c>
      <c r="D4643" s="65">
        <v>7224.0</v>
      </c>
      <c r="E4643" s="445" t="s">
        <v>246</v>
      </c>
      <c r="F4643" s="386">
        <v>2.0</v>
      </c>
      <c r="G4643" s="74">
        <v>50000.0</v>
      </c>
      <c r="H4643" s="74">
        <v>0.0</v>
      </c>
      <c r="I4643" s="74">
        <f t="shared" si="1"/>
        <v>100000</v>
      </c>
      <c r="J4643" s="74">
        <f>IF(E4643="SERVICE",I4643-(I4643*50%),Vlookup(E4643,DATABASE!C:Q,10,false)*F4643)</f>
        <v>0</v>
      </c>
      <c r="K4643" s="74">
        <f>VLOOKUP(E4643,DATABASE!C:Q,7,false)</f>
        <v>0</v>
      </c>
      <c r="L4643" s="74">
        <v>0.0</v>
      </c>
      <c r="M4643" s="74">
        <f t="shared" si="2"/>
        <v>0</v>
      </c>
      <c r="N4643" s="74">
        <f t="shared" si="3"/>
        <v>100000</v>
      </c>
      <c r="O4643" s="65" t="str">
        <f>VLOOKUP(E4643,DATABASE!C:Q,8,false)</f>
        <v>IBU</v>
      </c>
      <c r="P4643" s="65">
        <f>VLOOKUP(E4643,DATABASE!C:Q,9,False)</f>
        <v>0</v>
      </c>
      <c r="Q4643" s="93" t="str">
        <f>VLOOKUP(E4643,DATABASE!C:Q,4,false)</f>
        <v>Bongkar Pasang</v>
      </c>
      <c r="R4643" s="93" t="str">
        <f>VLOOKUP(E4643,DATABASE!C:Q,11,false)</f>
        <v>SERVICE</v>
      </c>
    </row>
    <row r="4644" ht="22.5" customHeight="1">
      <c r="A4644" s="49"/>
      <c r="C4644" s="384">
        <v>45921.0</v>
      </c>
      <c r="D4644" s="65">
        <v>7225.0</v>
      </c>
      <c r="E4644" s="445" t="s">
        <v>265</v>
      </c>
      <c r="F4644" s="386">
        <v>1.0</v>
      </c>
      <c r="G4644" s="74">
        <v>690000.0</v>
      </c>
      <c r="H4644" s="74">
        <v>0.0</v>
      </c>
      <c r="I4644" s="74">
        <f t="shared" si="1"/>
        <v>690000</v>
      </c>
      <c r="J4644" s="74">
        <f>IF(E4644="SERVICE",I4644-(I4644*50%),Vlookup(E4644,DATABASE!C:Q,10,false)*F4644)</f>
        <v>0</v>
      </c>
      <c r="K4644" s="74">
        <f>VLOOKUP(E4644,DATABASE!C:Q,7,false)</f>
        <v>628000</v>
      </c>
      <c r="L4644" s="74">
        <v>610000.0</v>
      </c>
      <c r="M4644" s="74">
        <f t="shared" si="2"/>
        <v>610000</v>
      </c>
      <c r="N4644" s="74">
        <f t="shared" si="3"/>
        <v>80000</v>
      </c>
      <c r="O4644" s="65" t="str">
        <f>VLOOKUP(E4644,DATABASE!C:Q,8,false)</f>
        <v>IBU</v>
      </c>
      <c r="P4644" s="65">
        <f>VLOOKUP(E4644,DATABASE!C:Q,9,False)</f>
        <v>1</v>
      </c>
      <c r="Q4644" s="93" t="str">
        <f>VLOOKUP(E4644,DATABASE!C:Q,4,false)</f>
        <v>Dunlop</v>
      </c>
      <c r="R4644" s="93" t="str">
        <f>VLOOKUP(E4644,DATABASE!C:Q,11,false)</f>
        <v>Tire</v>
      </c>
    </row>
    <row r="4645" ht="22.5" customHeight="1">
      <c r="A4645" s="49"/>
      <c r="C4645" s="384">
        <v>45921.0</v>
      </c>
      <c r="D4645" s="65">
        <v>7226.0</v>
      </c>
      <c r="E4645" s="445" t="s">
        <v>256</v>
      </c>
      <c r="F4645" s="386">
        <v>1.0</v>
      </c>
      <c r="G4645" s="74">
        <v>130000.0</v>
      </c>
      <c r="H4645" s="74">
        <v>0.0</v>
      </c>
      <c r="I4645" s="74">
        <f t="shared" si="1"/>
        <v>130000</v>
      </c>
      <c r="J4645" s="74">
        <f>IF(E4645="SERVICE",I4645-(I4645*50%),Vlookup(E4645,DATABASE!C:Q,10,false)*F4645)</f>
        <v>10000</v>
      </c>
      <c r="K4645" s="74">
        <f>VLOOKUP(E4645,DATABASE!C:Q,7,false)</f>
        <v>0</v>
      </c>
      <c r="L4645" s="74">
        <v>0.0</v>
      </c>
      <c r="M4645" s="74">
        <f t="shared" si="2"/>
        <v>0</v>
      </c>
      <c r="N4645" s="74">
        <f t="shared" si="3"/>
        <v>120000</v>
      </c>
      <c r="O4645" s="65" t="str">
        <f>VLOOKUP(E4645,DATABASE!C:Q,8,false)</f>
        <v>IBU</v>
      </c>
      <c r="P4645" s="65">
        <f>VLOOKUP(E4645,DATABASE!C:Q,9,False)</f>
        <v>0</v>
      </c>
      <c r="Q4645" s="93" t="str">
        <f>VLOOKUP(E4645,DATABASE!C:Q,4,false)</f>
        <v>SPOORING</v>
      </c>
      <c r="R4645" s="93" t="str">
        <f>VLOOKUP(E4645,DATABASE!C:Q,11,false)</f>
        <v>SERVICE</v>
      </c>
    </row>
    <row r="4646" ht="22.5" customHeight="1">
      <c r="A4646" s="49"/>
      <c r="C4646" s="384">
        <v>45921.0</v>
      </c>
      <c r="D4646" s="65">
        <v>7226.0</v>
      </c>
      <c r="E4646" s="445" t="s">
        <v>251</v>
      </c>
      <c r="F4646" s="386">
        <v>1.0</v>
      </c>
      <c r="G4646" s="74">
        <v>150000.0</v>
      </c>
      <c r="H4646" s="74">
        <v>0.0</v>
      </c>
      <c r="I4646" s="74">
        <f t="shared" si="1"/>
        <v>150000</v>
      </c>
      <c r="J4646" s="74">
        <f>IF(E4646="SERVICE",I4646-(I4646*50%),Vlookup(E4646,DATABASE!C:Q,10,false)*F4646)</f>
        <v>75000</v>
      </c>
      <c r="K4646" s="74">
        <f>VLOOKUP(E4646,DATABASE!C:Q,7,false)</f>
        <v>0</v>
      </c>
      <c r="L4646" s="74">
        <v>0.0</v>
      </c>
      <c r="M4646" s="74">
        <f t="shared" si="2"/>
        <v>0</v>
      </c>
      <c r="N4646" s="74">
        <f t="shared" si="3"/>
        <v>75000</v>
      </c>
      <c r="O4646" s="65" t="str">
        <f>VLOOKUP(E4646,DATABASE!C:Q,8,false)</f>
        <v>IBU</v>
      </c>
      <c r="P4646" s="65">
        <f>VLOOKUP(E4646,DATABASE!C:Q,9,False)</f>
        <v>0</v>
      </c>
      <c r="Q4646" s="93" t="str">
        <f>VLOOKUP(E4646,DATABASE!C:Q,4,false)</f>
        <v>SERVICE</v>
      </c>
      <c r="R4646" s="93" t="str">
        <f>VLOOKUP(E4646,DATABASE!C:Q,11,false)</f>
        <v>SERVICE</v>
      </c>
    </row>
    <row r="4647" ht="22.5" customHeight="1">
      <c r="A4647" s="49"/>
      <c r="C4647" s="384">
        <v>45921.0</v>
      </c>
      <c r="D4647" s="65">
        <v>7227.0</v>
      </c>
      <c r="E4647" s="445" t="s">
        <v>968</v>
      </c>
      <c r="F4647" s="386">
        <v>1.0</v>
      </c>
      <c r="G4647" s="74">
        <v>675000.0</v>
      </c>
      <c r="H4647" s="74">
        <v>0.0</v>
      </c>
      <c r="I4647" s="74">
        <f t="shared" si="1"/>
        <v>675000</v>
      </c>
      <c r="J4647" s="74">
        <f>IF(E4647="SERVICE",I4647-(I4647*50%),Vlookup(E4647,DATABASE!C:Q,10,false)*F4647)</f>
        <v>0</v>
      </c>
      <c r="K4647" s="74">
        <f>VLOOKUP(E4647,DATABASE!C:Q,7,false)</f>
        <v>582500</v>
      </c>
      <c r="L4647" s="74">
        <v>582500.0</v>
      </c>
      <c r="M4647" s="74">
        <f t="shared" si="2"/>
        <v>585000</v>
      </c>
      <c r="N4647" s="74">
        <f t="shared" si="3"/>
        <v>90000</v>
      </c>
      <c r="O4647" s="65" t="str">
        <f>VLOOKUP(E4647,DATABASE!C:Q,8,false)</f>
        <v>IBU</v>
      </c>
      <c r="P4647" s="65">
        <f>VLOOKUP(E4647,DATABASE!C:Q,9,False)</f>
        <v>1</v>
      </c>
      <c r="Q4647" s="93" t="str">
        <f>VLOOKUP(E4647,DATABASE!C:Q,4,false)</f>
        <v>Dunlop</v>
      </c>
      <c r="R4647" s="93" t="str">
        <f>VLOOKUP(E4647,DATABASE!C:Q,11,false)</f>
        <v>Tire</v>
      </c>
    </row>
    <row r="4648" ht="22.5" customHeight="1">
      <c r="A4648" s="49"/>
      <c r="C4648" s="384">
        <v>45922.0</v>
      </c>
      <c r="D4648" s="65">
        <v>7231.0</v>
      </c>
      <c r="E4648" s="445" t="s">
        <v>781</v>
      </c>
      <c r="F4648" s="386">
        <v>3.0</v>
      </c>
      <c r="G4648" s="74">
        <v>530000.0</v>
      </c>
      <c r="H4648" s="74">
        <v>0.0</v>
      </c>
      <c r="I4648" s="74">
        <f t="shared" si="1"/>
        <v>1590000</v>
      </c>
      <c r="J4648" s="74">
        <f>IF(E4648="SERVICE",I4648-(I4648*50%),Vlookup(E4648,DATABASE!C:Q,10,false)*F4648)</f>
        <v>0</v>
      </c>
      <c r="K4648" s="74">
        <f>VLOOKUP(E4648,DATABASE!C:Q,7,false)</f>
        <v>470000</v>
      </c>
      <c r="L4648" s="74">
        <v>442500.0</v>
      </c>
      <c r="M4648" s="74">
        <f t="shared" si="2"/>
        <v>445000</v>
      </c>
      <c r="N4648" s="74">
        <f t="shared" si="3"/>
        <v>255000</v>
      </c>
      <c r="O4648" s="65" t="str">
        <f>VLOOKUP(E4648,DATABASE!C:Q,8,false)</f>
        <v>BIAN</v>
      </c>
      <c r="P4648" s="65">
        <f>VLOOKUP(E4648,DATABASE!C:Q,9,False)</f>
        <v>1</v>
      </c>
      <c r="Q4648" s="93" t="str">
        <f>VLOOKUP(E4648,DATABASE!C:Q,4,false)</f>
        <v>GT</v>
      </c>
      <c r="R4648" s="93" t="str">
        <f>VLOOKUP(E4648,DATABASE!C:Q,11,false)</f>
        <v>Tire</v>
      </c>
    </row>
    <row r="4649" ht="22.5" customHeight="1">
      <c r="A4649" s="49"/>
      <c r="C4649" s="384">
        <v>45922.0</v>
      </c>
      <c r="D4649" s="65">
        <v>7231.0</v>
      </c>
      <c r="E4649" s="445" t="s">
        <v>250</v>
      </c>
      <c r="F4649" s="386">
        <v>1.0</v>
      </c>
      <c r="G4649" s="74">
        <v>135000.0</v>
      </c>
      <c r="H4649" s="74">
        <v>0.0</v>
      </c>
      <c r="I4649" s="74">
        <f t="shared" si="1"/>
        <v>135000</v>
      </c>
      <c r="J4649" s="74">
        <f>IF(E4649="SERVICE",I4649-(I4649*50%),Vlookup(E4649,DATABASE!C:Q,10,false)*F4649)</f>
        <v>0</v>
      </c>
      <c r="K4649" s="74">
        <f>VLOOKUP(E4649,DATABASE!C:Q,7,false)</f>
        <v>102000</v>
      </c>
      <c r="L4649" s="74">
        <v>102000.0</v>
      </c>
      <c r="M4649" s="74">
        <f t="shared" si="2"/>
        <v>105000</v>
      </c>
      <c r="N4649" s="74">
        <f t="shared" si="3"/>
        <v>30000</v>
      </c>
      <c r="O4649" s="65" t="str">
        <f>VLOOKUP(E4649,DATABASE!C:Q,8,false)</f>
        <v>BIAN</v>
      </c>
      <c r="P4649" s="65">
        <f>VLOOKUP(E4649,DATABASE!C:Q,9,False)</f>
        <v>1</v>
      </c>
      <c r="Q4649" s="93" t="str">
        <f>VLOOKUP(E4649,DATABASE!C:Q,4,false)</f>
        <v>BD</v>
      </c>
      <c r="R4649" s="93" t="str">
        <f>VLOOKUP(E4649,DATABASE!C:Q,11,false)</f>
        <v>Tire</v>
      </c>
    </row>
    <row r="4650" ht="22.5" customHeight="1">
      <c r="A4650" s="49"/>
      <c r="C4650" s="384">
        <v>45922.0</v>
      </c>
      <c r="D4650" s="65">
        <v>7232.0</v>
      </c>
      <c r="E4650" s="445" t="s">
        <v>262</v>
      </c>
      <c r="F4650" s="386">
        <v>1.0</v>
      </c>
      <c r="G4650" s="74">
        <v>110000.0</v>
      </c>
      <c r="H4650" s="74">
        <v>0.0</v>
      </c>
      <c r="I4650" s="74">
        <f t="shared" si="1"/>
        <v>110000</v>
      </c>
      <c r="J4650" s="74">
        <f>IF(E4650="SERVICE",I4650-(I4650*50%),Vlookup(E4650,DATABASE!C:Q,10,false)*F4650)</f>
        <v>5000</v>
      </c>
      <c r="K4650" s="74">
        <f>VLOOKUP(E4650,DATABASE!C:Q,7,false)</f>
        <v>0</v>
      </c>
      <c r="L4650" s="74">
        <v>0.0</v>
      </c>
      <c r="M4650" s="74">
        <f t="shared" si="2"/>
        <v>0</v>
      </c>
      <c r="N4650" s="74">
        <f t="shared" si="3"/>
        <v>105000</v>
      </c>
      <c r="O4650" s="65" t="str">
        <f>VLOOKUP(E4650,DATABASE!C:Q,8,false)</f>
        <v>IBU</v>
      </c>
      <c r="P4650" s="65">
        <f>VLOOKUP(E4650,DATABASE!C:Q,9,False)</f>
        <v>0</v>
      </c>
      <c r="Q4650" s="93" t="str">
        <f>VLOOKUP(E4650,DATABASE!C:Q,4,false)</f>
        <v>SPOORING SS/CARRY LOS BAK</v>
      </c>
      <c r="R4650" s="93" t="str">
        <f>VLOOKUP(E4650,DATABASE!C:Q,11,false)</f>
        <v>SERVICE</v>
      </c>
    </row>
    <row r="4651" ht="22.5" customHeight="1">
      <c r="A4651" s="49"/>
      <c r="C4651" s="384">
        <v>45922.0</v>
      </c>
      <c r="D4651" s="65">
        <v>7232.0</v>
      </c>
      <c r="E4651" s="445" t="s">
        <v>251</v>
      </c>
      <c r="F4651" s="386">
        <v>1.0</v>
      </c>
      <c r="G4651" s="74">
        <v>120000.0</v>
      </c>
      <c r="H4651" s="74">
        <v>0.0</v>
      </c>
      <c r="I4651" s="74">
        <f t="shared" si="1"/>
        <v>120000</v>
      </c>
      <c r="J4651" s="74">
        <f>IF(E4651="SERVICE",I4651-(I4651*50%),Vlookup(E4651,DATABASE!C:Q,10,false)*F4651)</f>
        <v>60000</v>
      </c>
      <c r="K4651" s="74">
        <f>VLOOKUP(E4651,DATABASE!C:Q,7,false)</f>
        <v>0</v>
      </c>
      <c r="L4651" s="74">
        <v>0.0</v>
      </c>
      <c r="M4651" s="74">
        <f t="shared" si="2"/>
        <v>0</v>
      </c>
      <c r="N4651" s="74">
        <f t="shared" si="3"/>
        <v>60000</v>
      </c>
      <c r="O4651" s="65" t="str">
        <f>VLOOKUP(E4651,DATABASE!C:Q,8,false)</f>
        <v>IBU</v>
      </c>
      <c r="P4651" s="65">
        <f>VLOOKUP(E4651,DATABASE!C:Q,9,False)</f>
        <v>0</v>
      </c>
      <c r="Q4651" s="93" t="str">
        <f>VLOOKUP(E4651,DATABASE!C:Q,4,false)</f>
        <v>SERVICE</v>
      </c>
      <c r="R4651" s="93" t="str">
        <f>VLOOKUP(E4651,DATABASE!C:Q,11,false)</f>
        <v>SERVICE</v>
      </c>
    </row>
    <row r="4652" ht="22.5" customHeight="1">
      <c r="A4652" s="49"/>
      <c r="C4652" s="384">
        <v>45922.0</v>
      </c>
      <c r="D4652" s="65">
        <v>7233.0</v>
      </c>
      <c r="E4652" s="445" t="s">
        <v>256</v>
      </c>
      <c r="F4652" s="386">
        <v>1.0</v>
      </c>
      <c r="G4652" s="74">
        <v>130000.0</v>
      </c>
      <c r="H4652" s="74">
        <v>0.0</v>
      </c>
      <c r="I4652" s="74">
        <f t="shared" si="1"/>
        <v>130000</v>
      </c>
      <c r="J4652" s="74">
        <f>IF(E4652="SERVICE",I4652-(I4652*50%),Vlookup(E4652,DATABASE!C:Q,10,false)*F4652)</f>
        <v>10000</v>
      </c>
      <c r="K4652" s="74">
        <f>VLOOKUP(E4652,DATABASE!C:Q,7,false)</f>
        <v>0</v>
      </c>
      <c r="L4652" s="74">
        <v>0.0</v>
      </c>
      <c r="M4652" s="74">
        <f t="shared" si="2"/>
        <v>0</v>
      </c>
      <c r="N4652" s="74">
        <f t="shared" si="3"/>
        <v>120000</v>
      </c>
      <c r="O4652" s="65" t="str">
        <f>VLOOKUP(E4652,DATABASE!C:Q,8,false)</f>
        <v>IBU</v>
      </c>
      <c r="P4652" s="65">
        <f>VLOOKUP(E4652,DATABASE!C:Q,9,False)</f>
        <v>0</v>
      </c>
      <c r="Q4652" s="93" t="str">
        <f>VLOOKUP(E4652,DATABASE!C:Q,4,false)</f>
        <v>SPOORING</v>
      </c>
      <c r="R4652" s="93" t="str">
        <f>VLOOKUP(E4652,DATABASE!C:Q,11,false)</f>
        <v>SERVICE</v>
      </c>
    </row>
    <row r="4653" ht="22.5" customHeight="1">
      <c r="A4653" s="49"/>
      <c r="C4653" s="384">
        <v>45922.0</v>
      </c>
      <c r="D4653" s="65">
        <v>7233.0</v>
      </c>
      <c r="E4653" s="445" t="s">
        <v>301</v>
      </c>
      <c r="F4653" s="386">
        <v>1.0</v>
      </c>
      <c r="G4653" s="74">
        <v>250000.0</v>
      </c>
      <c r="H4653" s="74">
        <v>0.0</v>
      </c>
      <c r="I4653" s="74">
        <f t="shared" si="1"/>
        <v>250000</v>
      </c>
      <c r="J4653" s="74">
        <f>IF(E4653="SERVICE",I4653-(I4653*50%),Vlookup(E4653,DATABASE!C:Q,10,false)*F4653)</f>
        <v>75000</v>
      </c>
      <c r="K4653" s="74">
        <f>VLOOKUP(E4653,DATABASE!C:Q,7,false)</f>
        <v>75000</v>
      </c>
      <c r="L4653" s="74">
        <v>75000.0</v>
      </c>
      <c r="M4653" s="74">
        <f t="shared" si="2"/>
        <v>75000</v>
      </c>
      <c r="N4653" s="74">
        <f t="shared" si="3"/>
        <v>100000</v>
      </c>
      <c r="O4653" s="65" t="str">
        <f>VLOOKUP(E4653,DATABASE!C:Q,8,false)</f>
        <v>BIAN</v>
      </c>
      <c r="P4653" s="65">
        <f>VLOOKUP(E4653,DATABASE!C:Q,9,False)</f>
        <v>0</v>
      </c>
      <c r="Q4653" s="93" t="str">
        <f>VLOOKUP(E4653,DATABASE!C:Q,4,false)</f>
        <v>Baut Camber</v>
      </c>
      <c r="R4653" s="93" t="str">
        <f>VLOOKUP(E4653,DATABASE!C:Q,11,false)</f>
        <v>COMPLEMENTARY</v>
      </c>
    </row>
    <row r="4654" ht="22.5" customHeight="1">
      <c r="A4654" s="49"/>
      <c r="C4654" s="384">
        <v>45922.0</v>
      </c>
      <c r="D4654" s="65">
        <v>7234.0</v>
      </c>
      <c r="E4654" s="445" t="s">
        <v>256</v>
      </c>
      <c r="F4654" s="386">
        <v>1.0</v>
      </c>
      <c r="G4654" s="74">
        <v>130000.0</v>
      </c>
      <c r="H4654" s="74">
        <v>0.0</v>
      </c>
      <c r="I4654" s="74">
        <f t="shared" si="1"/>
        <v>130000</v>
      </c>
      <c r="J4654" s="74">
        <f>IF(E4654="SERVICE",I4654-(I4654*50%),Vlookup(E4654,DATABASE!C:Q,10,false)*F4654)</f>
        <v>10000</v>
      </c>
      <c r="K4654" s="74">
        <f>VLOOKUP(E4654,DATABASE!C:Q,7,false)</f>
        <v>0</v>
      </c>
      <c r="L4654" s="74">
        <v>0.0</v>
      </c>
      <c r="M4654" s="74">
        <f t="shared" si="2"/>
        <v>0</v>
      </c>
      <c r="N4654" s="74">
        <f t="shared" si="3"/>
        <v>120000</v>
      </c>
      <c r="O4654" s="65" t="str">
        <f>VLOOKUP(E4654,DATABASE!C:Q,8,false)</f>
        <v>IBU</v>
      </c>
      <c r="P4654" s="65">
        <f>VLOOKUP(E4654,DATABASE!C:Q,9,False)</f>
        <v>0</v>
      </c>
      <c r="Q4654" s="93" t="str">
        <f>VLOOKUP(E4654,DATABASE!C:Q,4,false)</f>
        <v>SPOORING</v>
      </c>
      <c r="R4654" s="93" t="str">
        <f>VLOOKUP(E4654,DATABASE!C:Q,11,false)</f>
        <v>SERVICE</v>
      </c>
    </row>
    <row r="4655" ht="22.5" customHeight="1">
      <c r="A4655" s="49"/>
      <c r="C4655" s="384">
        <v>45922.0</v>
      </c>
      <c r="D4655" s="65">
        <v>7234.0</v>
      </c>
      <c r="E4655" s="445" t="s">
        <v>301</v>
      </c>
      <c r="F4655" s="386">
        <v>1.0</v>
      </c>
      <c r="G4655" s="74">
        <v>250000.0</v>
      </c>
      <c r="H4655" s="74">
        <v>0.0</v>
      </c>
      <c r="I4655" s="74">
        <f t="shared" si="1"/>
        <v>250000</v>
      </c>
      <c r="J4655" s="74">
        <f>IF(E4655="SERVICE",I4655-(I4655*50%),Vlookup(E4655,DATABASE!C:Q,10,false)*F4655)</f>
        <v>75000</v>
      </c>
      <c r="K4655" s="74">
        <f>VLOOKUP(E4655,DATABASE!C:Q,7,false)</f>
        <v>75000</v>
      </c>
      <c r="L4655" s="74">
        <v>75000.0</v>
      </c>
      <c r="M4655" s="74">
        <f t="shared" si="2"/>
        <v>75000</v>
      </c>
      <c r="N4655" s="74">
        <f t="shared" si="3"/>
        <v>100000</v>
      </c>
      <c r="O4655" s="65" t="str">
        <f>VLOOKUP(E4655,DATABASE!C:Q,8,false)</f>
        <v>BIAN</v>
      </c>
      <c r="P4655" s="65">
        <f>VLOOKUP(E4655,DATABASE!C:Q,9,False)</f>
        <v>0</v>
      </c>
      <c r="Q4655" s="93" t="str">
        <f>VLOOKUP(E4655,DATABASE!C:Q,4,false)</f>
        <v>Baut Camber</v>
      </c>
      <c r="R4655" s="93" t="str">
        <f>VLOOKUP(E4655,DATABASE!C:Q,11,false)</f>
        <v>COMPLEMENTARY</v>
      </c>
    </row>
    <row r="4656" ht="22.5" customHeight="1">
      <c r="A4656" s="49"/>
      <c r="C4656" s="384">
        <v>45922.0</v>
      </c>
      <c r="D4656" s="65">
        <v>7234.0</v>
      </c>
      <c r="E4656" s="385" t="s">
        <v>299</v>
      </c>
      <c r="F4656" s="386">
        <v>2.0</v>
      </c>
      <c r="G4656" s="74">
        <v>30000.0</v>
      </c>
      <c r="H4656" s="74">
        <v>0.0</v>
      </c>
      <c r="I4656" s="74">
        <f t="shared" si="1"/>
        <v>60000</v>
      </c>
      <c r="J4656" s="74">
        <f>IF(E4656="SERVICE",I4656-(I4656*50%),Vlookup(E4656,DATABASE!C:Q,10,false)*F4656)</f>
        <v>0</v>
      </c>
      <c r="K4656" s="74">
        <v>0.0</v>
      </c>
      <c r="L4656" s="74">
        <v>0.0</v>
      </c>
      <c r="M4656" s="74">
        <f t="shared" si="2"/>
        <v>0</v>
      </c>
      <c r="N4656" s="74">
        <f t="shared" si="3"/>
        <v>60000</v>
      </c>
      <c r="O4656" s="65" t="str">
        <f>VLOOKUP(E4656,DATABASE!C:Q,8,false)</f>
        <v>BIAN</v>
      </c>
      <c r="P4656" s="65">
        <f>VLOOKUP(E4656,DATABASE!C:Q,9,False)</f>
        <v>0</v>
      </c>
      <c r="Q4656" s="93" t="str">
        <f>VLOOKUP(E4656,DATABASE!C:Q,4,false)</f>
        <v>Balancing</v>
      </c>
      <c r="R4656" s="93" t="str">
        <f>VLOOKUP(E4656,DATABASE!C:Q,11,false)</f>
        <v>COMPLEMENTARY</v>
      </c>
    </row>
    <row r="4657" ht="22.5" customHeight="1">
      <c r="A4657" s="49"/>
      <c r="C4657" s="384">
        <v>45922.0</v>
      </c>
      <c r="D4657" s="65">
        <v>7235.0</v>
      </c>
      <c r="E4657" s="445" t="s">
        <v>1913</v>
      </c>
      <c r="F4657" s="386">
        <v>1.0</v>
      </c>
      <c r="G4657" s="74">
        <v>650000.0</v>
      </c>
      <c r="H4657" s="74">
        <v>0.0</v>
      </c>
      <c r="I4657" s="74">
        <f t="shared" si="1"/>
        <v>650000</v>
      </c>
      <c r="J4657" s="74">
        <f>IF(E4657="SERVICE",I4657-(I4657*50%),Vlookup(E4657,DATABASE!C:Q,10,false)*F4657)</f>
        <v>0</v>
      </c>
      <c r="K4657" s="74">
        <f>VLOOKUP(E4657,DATABASE!C:Q,7,false)</f>
        <v>587200</v>
      </c>
      <c r="L4657" s="74">
        <v>560000.0</v>
      </c>
      <c r="M4657" s="74">
        <f t="shared" si="2"/>
        <v>560000</v>
      </c>
      <c r="N4657" s="74">
        <f t="shared" si="3"/>
        <v>90000</v>
      </c>
      <c r="O4657" s="65" t="str">
        <f>VLOOKUP(E4657,DATABASE!C:Q,8,false)</f>
        <v>BIAN</v>
      </c>
      <c r="P4657" s="65">
        <f>VLOOKUP(E4657,DATABASE!C:Q,9,False)</f>
        <v>1</v>
      </c>
      <c r="Q4657" s="93" t="str">
        <f>VLOOKUP(E4657,DATABASE!C:Q,4,false)</f>
        <v>GT</v>
      </c>
      <c r="R4657" s="93" t="str">
        <f>VLOOKUP(E4657,DATABASE!C:Q,11,false)</f>
        <v>Tire</v>
      </c>
    </row>
    <row r="4658" ht="22.5" customHeight="1">
      <c r="A4658" s="49"/>
      <c r="C4658" s="384">
        <v>45922.0</v>
      </c>
      <c r="D4658" s="65">
        <v>7236.0</v>
      </c>
      <c r="E4658" s="445" t="s">
        <v>268</v>
      </c>
      <c r="F4658" s="386">
        <v>2.0</v>
      </c>
      <c r="G4658" s="74">
        <v>710000.0</v>
      </c>
      <c r="H4658" s="74">
        <v>0.0</v>
      </c>
      <c r="I4658" s="74">
        <f t="shared" si="1"/>
        <v>1420000</v>
      </c>
      <c r="J4658" s="74">
        <f>IF(E4658="SERVICE",I4658-(I4658*50%),Vlookup(E4658,DATABASE!C:Q,10,false)*F4658)</f>
        <v>0</v>
      </c>
      <c r="K4658" s="74">
        <f>VLOOKUP(E4658,DATABASE!C:Q,7,false)</f>
        <v>653000</v>
      </c>
      <c r="L4658" s="74">
        <v>622000.0</v>
      </c>
      <c r="M4658" s="74">
        <f t="shared" si="2"/>
        <v>625000</v>
      </c>
      <c r="N4658" s="74">
        <f t="shared" si="3"/>
        <v>170000</v>
      </c>
      <c r="O4658" s="65" t="str">
        <f>VLOOKUP(E4658,DATABASE!C:Q,8,false)</f>
        <v>IBU</v>
      </c>
      <c r="P4658" s="65">
        <f>VLOOKUP(E4658,DATABASE!C:Q,9,False)</f>
        <v>1</v>
      </c>
      <c r="Q4658" s="93" t="str">
        <f>VLOOKUP(E4658,DATABASE!C:Q,4,false)</f>
        <v>Dunlop</v>
      </c>
      <c r="R4658" s="93" t="str">
        <f>VLOOKUP(E4658,DATABASE!C:Q,11,false)</f>
        <v>Tire</v>
      </c>
    </row>
    <row r="4659" ht="22.5" customHeight="1">
      <c r="A4659" s="49"/>
      <c r="C4659" s="384">
        <v>45922.0</v>
      </c>
      <c r="D4659" s="65">
        <v>7236.0</v>
      </c>
      <c r="E4659" s="445" t="s">
        <v>256</v>
      </c>
      <c r="F4659" s="386">
        <v>1.0</v>
      </c>
      <c r="G4659" s="74">
        <v>130000.0</v>
      </c>
      <c r="H4659" s="74">
        <v>0.0</v>
      </c>
      <c r="I4659" s="74">
        <f t="shared" si="1"/>
        <v>130000</v>
      </c>
      <c r="J4659" s="74">
        <f>IF(E4659="SERVICE",I4659-(I4659*50%),Vlookup(E4659,DATABASE!C:Q,10,false)*F4659)</f>
        <v>10000</v>
      </c>
      <c r="K4659" s="74">
        <f>VLOOKUP(E4659,DATABASE!C:Q,7,false)</f>
        <v>0</v>
      </c>
      <c r="L4659" s="74">
        <v>0.0</v>
      </c>
      <c r="M4659" s="74">
        <f t="shared" si="2"/>
        <v>0</v>
      </c>
      <c r="N4659" s="74">
        <f t="shared" si="3"/>
        <v>120000</v>
      </c>
      <c r="O4659" s="65" t="str">
        <f>VLOOKUP(E4659,DATABASE!C:Q,8,false)</f>
        <v>IBU</v>
      </c>
      <c r="P4659" s="65">
        <f>VLOOKUP(E4659,DATABASE!C:Q,9,False)</f>
        <v>0</v>
      </c>
      <c r="Q4659" s="93" t="str">
        <f>VLOOKUP(E4659,DATABASE!C:Q,4,false)</f>
        <v>SPOORING</v>
      </c>
      <c r="R4659" s="93" t="str">
        <f>VLOOKUP(E4659,DATABASE!C:Q,11,false)</f>
        <v>SERVICE</v>
      </c>
    </row>
    <row r="4660" ht="22.5" customHeight="1">
      <c r="A4660" s="49"/>
      <c r="C4660" s="384">
        <v>45922.0</v>
      </c>
      <c r="D4660" s="65">
        <v>7236.0</v>
      </c>
      <c r="E4660" s="445" t="s">
        <v>301</v>
      </c>
      <c r="F4660" s="386">
        <v>1.0</v>
      </c>
      <c r="G4660" s="74">
        <v>250000.0</v>
      </c>
      <c r="H4660" s="74">
        <v>0.0</v>
      </c>
      <c r="I4660" s="74">
        <f t="shared" si="1"/>
        <v>250000</v>
      </c>
      <c r="J4660" s="74">
        <f>IF(E4660="SERVICE",I4660-(I4660*50%),Vlookup(E4660,DATABASE!C:Q,10,false)*F4660)</f>
        <v>75000</v>
      </c>
      <c r="K4660" s="74">
        <f>VLOOKUP(E4660,DATABASE!C:Q,7,false)</f>
        <v>75000</v>
      </c>
      <c r="L4660" s="74">
        <v>75000.0</v>
      </c>
      <c r="M4660" s="74">
        <f t="shared" si="2"/>
        <v>75000</v>
      </c>
      <c r="N4660" s="74">
        <f t="shared" si="3"/>
        <v>100000</v>
      </c>
      <c r="O4660" s="65" t="str">
        <f>VLOOKUP(E4660,DATABASE!C:Q,8,false)</f>
        <v>BIAN</v>
      </c>
      <c r="P4660" s="65">
        <f>VLOOKUP(E4660,DATABASE!C:Q,9,False)</f>
        <v>0</v>
      </c>
      <c r="Q4660" s="93" t="str">
        <f>VLOOKUP(E4660,DATABASE!C:Q,4,false)</f>
        <v>Baut Camber</v>
      </c>
      <c r="R4660" s="93" t="str">
        <f>VLOOKUP(E4660,DATABASE!C:Q,11,false)</f>
        <v>COMPLEMENTARY</v>
      </c>
    </row>
    <row r="4661" ht="22.5" customHeight="1">
      <c r="A4661" s="49"/>
      <c r="C4661" s="384">
        <v>45922.0</v>
      </c>
      <c r="D4661" s="65">
        <v>7236.0</v>
      </c>
      <c r="E4661" s="385" t="s">
        <v>299</v>
      </c>
      <c r="F4661" s="386">
        <v>2.0</v>
      </c>
      <c r="G4661" s="74">
        <v>30000.0</v>
      </c>
      <c r="H4661" s="74">
        <v>0.0</v>
      </c>
      <c r="I4661" s="74">
        <f t="shared" si="1"/>
        <v>60000</v>
      </c>
      <c r="J4661" s="74">
        <f>IF(E4661="SERVICE",I4661-(I4661*50%),Vlookup(E4661,DATABASE!C:Q,10,false)*F4661)</f>
        <v>0</v>
      </c>
      <c r="K4661" s="74">
        <v>0.0</v>
      </c>
      <c r="L4661" s="74">
        <v>0.0</v>
      </c>
      <c r="M4661" s="74">
        <f t="shared" si="2"/>
        <v>0</v>
      </c>
      <c r="N4661" s="74">
        <f t="shared" si="3"/>
        <v>60000</v>
      </c>
      <c r="O4661" s="65" t="str">
        <f>VLOOKUP(E4661,DATABASE!C:Q,8,false)</f>
        <v>BIAN</v>
      </c>
      <c r="P4661" s="65">
        <f>VLOOKUP(E4661,DATABASE!C:Q,9,False)</f>
        <v>0</v>
      </c>
      <c r="Q4661" s="93" t="str">
        <f>VLOOKUP(E4661,DATABASE!C:Q,4,false)</f>
        <v>Balancing</v>
      </c>
      <c r="R4661" s="93" t="str">
        <f>VLOOKUP(E4661,DATABASE!C:Q,11,false)</f>
        <v>COMPLEMENTARY</v>
      </c>
    </row>
    <row r="4662" ht="22.5" customHeight="1">
      <c r="A4662" s="49"/>
      <c r="C4662" s="384">
        <v>45922.0</v>
      </c>
      <c r="D4662" s="65">
        <v>7237.0</v>
      </c>
      <c r="E4662" s="445" t="s">
        <v>275</v>
      </c>
      <c r="F4662" s="386">
        <v>2.0</v>
      </c>
      <c r="G4662" s="74">
        <v>840000.0</v>
      </c>
      <c r="H4662" s="74">
        <v>0.0</v>
      </c>
      <c r="I4662" s="74">
        <f t="shared" si="1"/>
        <v>1680000</v>
      </c>
      <c r="J4662" s="74">
        <f>IF(E4662="SERVICE",I4662-(I4662*50%),Vlookup(E4662,DATABASE!C:Q,10,false)*F4662)</f>
        <v>0</v>
      </c>
      <c r="K4662" s="74">
        <f>VLOOKUP(E4662,DATABASE!C:Q,7,false)</f>
        <v>782000</v>
      </c>
      <c r="L4662" s="74">
        <v>745000.0</v>
      </c>
      <c r="M4662" s="74">
        <f t="shared" si="2"/>
        <v>745000</v>
      </c>
      <c r="N4662" s="74">
        <f t="shared" si="3"/>
        <v>190000</v>
      </c>
      <c r="O4662" s="65" t="str">
        <f>VLOOKUP(E4662,DATABASE!C:Q,8,false)</f>
        <v>IBU</v>
      </c>
      <c r="P4662" s="65">
        <f>VLOOKUP(E4662,DATABASE!C:Q,9,False)</f>
        <v>1</v>
      </c>
      <c r="Q4662" s="93" t="str">
        <f>VLOOKUP(E4662,DATABASE!C:Q,4,false)</f>
        <v>Dunlop</v>
      </c>
      <c r="R4662" s="93" t="str">
        <f>VLOOKUP(E4662,DATABASE!C:Q,11,false)</f>
        <v>Tire</v>
      </c>
    </row>
    <row r="4663" ht="22.5" customHeight="1">
      <c r="A4663" s="49"/>
      <c r="C4663" s="384">
        <v>45922.0</v>
      </c>
      <c r="D4663" s="65">
        <v>7237.0</v>
      </c>
      <c r="E4663" s="445" t="s">
        <v>256</v>
      </c>
      <c r="F4663" s="386">
        <v>1.0</v>
      </c>
      <c r="G4663" s="74">
        <v>110000.0</v>
      </c>
      <c r="H4663" s="74">
        <v>0.0</v>
      </c>
      <c r="I4663" s="74">
        <f t="shared" si="1"/>
        <v>110000</v>
      </c>
      <c r="J4663" s="74">
        <f>IF(E4663="SERVICE",I4663-(I4663*50%),Vlookup(E4663,DATABASE!C:Q,10,false)*F4663)</f>
        <v>10000</v>
      </c>
      <c r="K4663" s="74">
        <f>VLOOKUP(E4663,DATABASE!C:Q,7,false)</f>
        <v>0</v>
      </c>
      <c r="L4663" s="74">
        <v>0.0</v>
      </c>
      <c r="M4663" s="74">
        <f t="shared" si="2"/>
        <v>0</v>
      </c>
      <c r="N4663" s="74">
        <f t="shared" si="3"/>
        <v>100000</v>
      </c>
      <c r="O4663" s="65" t="str">
        <f>VLOOKUP(E4663,DATABASE!C:Q,8,false)</f>
        <v>IBU</v>
      </c>
      <c r="P4663" s="65">
        <f>VLOOKUP(E4663,DATABASE!C:Q,9,False)</f>
        <v>0</v>
      </c>
      <c r="Q4663" s="93" t="str">
        <f>VLOOKUP(E4663,DATABASE!C:Q,4,false)</f>
        <v>SPOORING</v>
      </c>
      <c r="R4663" s="93" t="str">
        <f>VLOOKUP(E4663,DATABASE!C:Q,11,false)</f>
        <v>SERVICE</v>
      </c>
    </row>
    <row r="4664" ht="22.5" customHeight="1">
      <c r="A4664" s="49"/>
      <c r="C4664" s="384">
        <v>45922.0</v>
      </c>
      <c r="D4664" s="65">
        <v>7237.0</v>
      </c>
      <c r="E4664" s="445" t="s">
        <v>301</v>
      </c>
      <c r="F4664" s="386">
        <v>1.0</v>
      </c>
      <c r="G4664" s="74">
        <v>250000.0</v>
      </c>
      <c r="H4664" s="74">
        <v>0.0</v>
      </c>
      <c r="I4664" s="74">
        <f t="shared" si="1"/>
        <v>250000</v>
      </c>
      <c r="J4664" s="74">
        <f>IF(E4664="SERVICE",I4664-(I4664*50%),Vlookup(E4664,DATABASE!C:Q,10,false)*F4664)</f>
        <v>75000</v>
      </c>
      <c r="K4664" s="74">
        <f>VLOOKUP(E4664,DATABASE!C:Q,7,false)</f>
        <v>75000</v>
      </c>
      <c r="L4664" s="74">
        <v>75000.0</v>
      </c>
      <c r="M4664" s="74">
        <f t="shared" si="2"/>
        <v>75000</v>
      </c>
      <c r="N4664" s="74">
        <f t="shared" si="3"/>
        <v>100000</v>
      </c>
      <c r="O4664" s="65" t="str">
        <f>VLOOKUP(E4664,DATABASE!C:Q,8,false)</f>
        <v>BIAN</v>
      </c>
      <c r="P4664" s="65">
        <f>VLOOKUP(E4664,DATABASE!C:Q,9,False)</f>
        <v>0</v>
      </c>
      <c r="Q4664" s="93" t="str">
        <f>VLOOKUP(E4664,DATABASE!C:Q,4,false)</f>
        <v>Baut Camber</v>
      </c>
      <c r="R4664" s="93" t="str">
        <f>VLOOKUP(E4664,DATABASE!C:Q,11,false)</f>
        <v>COMPLEMENTARY</v>
      </c>
    </row>
    <row r="4665" ht="22.5" customHeight="1">
      <c r="A4665" s="49"/>
      <c r="C4665" s="384">
        <v>45922.0</v>
      </c>
      <c r="D4665" s="65">
        <v>7238.0</v>
      </c>
      <c r="E4665" s="445" t="s">
        <v>256</v>
      </c>
      <c r="F4665" s="386">
        <v>1.0</v>
      </c>
      <c r="G4665" s="74">
        <v>130000.0</v>
      </c>
      <c r="H4665" s="74">
        <v>0.0</v>
      </c>
      <c r="I4665" s="74">
        <f t="shared" si="1"/>
        <v>130000</v>
      </c>
      <c r="J4665" s="74">
        <f>IF(E4665="SERVICE",I4665-(I4665*50%),Vlookup(E4665,DATABASE!C:Q,10,false)*F4665)</f>
        <v>10000</v>
      </c>
      <c r="K4665" s="74">
        <f>VLOOKUP(E4665,DATABASE!C:Q,7,false)</f>
        <v>0</v>
      </c>
      <c r="L4665" s="74">
        <v>0.0</v>
      </c>
      <c r="M4665" s="74">
        <f t="shared" si="2"/>
        <v>0</v>
      </c>
      <c r="N4665" s="74">
        <f t="shared" si="3"/>
        <v>120000</v>
      </c>
      <c r="O4665" s="65" t="str">
        <f>VLOOKUP(E4665,DATABASE!C:Q,8,false)</f>
        <v>IBU</v>
      </c>
      <c r="P4665" s="65">
        <f>VLOOKUP(E4665,DATABASE!C:Q,9,False)</f>
        <v>0</v>
      </c>
      <c r="Q4665" s="93" t="str">
        <f>VLOOKUP(E4665,DATABASE!C:Q,4,false)</f>
        <v>SPOORING</v>
      </c>
      <c r="R4665" s="93" t="str">
        <f>VLOOKUP(E4665,DATABASE!C:Q,11,false)</f>
        <v>SERVICE</v>
      </c>
    </row>
    <row r="4666" ht="22.5" customHeight="1">
      <c r="A4666" s="49"/>
      <c r="C4666" s="384">
        <v>45922.0</v>
      </c>
      <c r="D4666" s="65">
        <v>7238.0</v>
      </c>
      <c r="E4666" s="445" t="s">
        <v>301</v>
      </c>
      <c r="F4666" s="386">
        <v>1.0</v>
      </c>
      <c r="G4666" s="74">
        <v>250000.0</v>
      </c>
      <c r="H4666" s="74">
        <v>0.0</v>
      </c>
      <c r="I4666" s="74">
        <f t="shared" si="1"/>
        <v>250000</v>
      </c>
      <c r="J4666" s="74">
        <f>IF(E4666="SERVICE",I4666-(I4666*50%),Vlookup(E4666,DATABASE!C:Q,10,false)*F4666)</f>
        <v>75000</v>
      </c>
      <c r="K4666" s="74">
        <f>VLOOKUP(E4666,DATABASE!C:Q,7,false)</f>
        <v>75000</v>
      </c>
      <c r="L4666" s="74">
        <v>75000.0</v>
      </c>
      <c r="M4666" s="74">
        <f t="shared" si="2"/>
        <v>75000</v>
      </c>
      <c r="N4666" s="74">
        <f t="shared" si="3"/>
        <v>100000</v>
      </c>
      <c r="O4666" s="65" t="str">
        <f>VLOOKUP(E4666,DATABASE!C:Q,8,false)</f>
        <v>BIAN</v>
      </c>
      <c r="P4666" s="65">
        <f>VLOOKUP(E4666,DATABASE!C:Q,9,False)</f>
        <v>0</v>
      </c>
      <c r="Q4666" s="93" t="str">
        <f>VLOOKUP(E4666,DATABASE!C:Q,4,false)</f>
        <v>Baut Camber</v>
      </c>
      <c r="R4666" s="93" t="str">
        <f>VLOOKUP(E4666,DATABASE!C:Q,11,false)</f>
        <v>COMPLEMENTARY</v>
      </c>
    </row>
    <row r="4667" ht="22.5" customHeight="1">
      <c r="A4667" s="49"/>
      <c r="C4667" s="384">
        <v>45922.0</v>
      </c>
      <c r="D4667" s="65">
        <v>7239.0</v>
      </c>
      <c r="E4667" s="445" t="s">
        <v>478</v>
      </c>
      <c r="F4667" s="386">
        <v>1.0</v>
      </c>
      <c r="G4667" s="74">
        <v>200000.0</v>
      </c>
      <c r="H4667" s="74">
        <v>0.0</v>
      </c>
      <c r="I4667" s="74">
        <f t="shared" si="1"/>
        <v>200000</v>
      </c>
      <c r="J4667" s="74">
        <f>IF(E4667="SERVICE",I4667-(I4667*50%),Vlookup(E4667,DATABASE!C:Q,10,false)*F4667)</f>
        <v>25000</v>
      </c>
      <c r="K4667" s="74">
        <f>VLOOKUP(E4667,DATABASE!C:Q,7,false)</f>
        <v>75000</v>
      </c>
      <c r="L4667" s="74">
        <v>75000.0</v>
      </c>
      <c r="M4667" s="74">
        <f t="shared" si="2"/>
        <v>75000</v>
      </c>
      <c r="N4667" s="74">
        <f t="shared" si="3"/>
        <v>100000</v>
      </c>
      <c r="O4667" s="65" t="str">
        <f>VLOOKUP(E4667,DATABASE!C:Q,8,false)</f>
        <v>BIAN</v>
      </c>
      <c r="P4667" s="65">
        <f>VLOOKUP(E4667,DATABASE!C:Q,9,False)</f>
        <v>0</v>
      </c>
      <c r="Q4667" s="93" t="str">
        <f>VLOOKUP(E4667,DATABASE!C:Q,4,false)</f>
        <v>Baut Camber ss-carry</v>
      </c>
      <c r="R4667" s="93" t="str">
        <f>VLOOKUP(E4667,DATABASE!C:Q,11,false)</f>
        <v>COMPLEMENTARY</v>
      </c>
    </row>
    <row r="4668" ht="22.5" customHeight="1">
      <c r="A4668" s="49"/>
      <c r="C4668" s="384">
        <v>45922.0</v>
      </c>
      <c r="D4668" s="65">
        <v>7242.0</v>
      </c>
      <c r="E4668" s="445" t="s">
        <v>268</v>
      </c>
      <c r="F4668" s="386">
        <v>2.0</v>
      </c>
      <c r="G4668" s="74">
        <v>720000.0</v>
      </c>
      <c r="H4668" s="74">
        <v>0.0</v>
      </c>
      <c r="I4668" s="74">
        <f t="shared" si="1"/>
        <v>1440000</v>
      </c>
      <c r="J4668" s="74">
        <f>IF(E4668="SERVICE",I4668-(I4668*50%),Vlookup(E4668,DATABASE!C:Q,10,false)*F4668)</f>
        <v>0</v>
      </c>
      <c r="K4668" s="74">
        <f>VLOOKUP(E4668,DATABASE!C:Q,7,false)</f>
        <v>653000</v>
      </c>
      <c r="L4668" s="74">
        <v>622000.0</v>
      </c>
      <c r="M4668" s="74">
        <f t="shared" si="2"/>
        <v>625000</v>
      </c>
      <c r="N4668" s="74">
        <f t="shared" si="3"/>
        <v>190000</v>
      </c>
      <c r="O4668" s="65" t="str">
        <f>VLOOKUP(E4668,DATABASE!C:Q,8,false)</f>
        <v>IBU</v>
      </c>
      <c r="P4668" s="65">
        <f>VLOOKUP(E4668,DATABASE!C:Q,9,False)</f>
        <v>1</v>
      </c>
      <c r="Q4668" s="93" t="str">
        <f>VLOOKUP(E4668,DATABASE!C:Q,4,false)</f>
        <v>Dunlop</v>
      </c>
      <c r="R4668" s="93" t="str">
        <f>VLOOKUP(E4668,DATABASE!C:Q,11,false)</f>
        <v>Tire</v>
      </c>
    </row>
    <row r="4669" ht="22.5" customHeight="1">
      <c r="A4669" s="49"/>
      <c r="C4669" s="384">
        <v>45922.0</v>
      </c>
      <c r="D4669" s="65">
        <v>7729.0</v>
      </c>
      <c r="E4669" s="445" t="s">
        <v>275</v>
      </c>
      <c r="F4669" s="386">
        <v>1.0</v>
      </c>
      <c r="G4669" s="74">
        <v>850000.0</v>
      </c>
      <c r="H4669" s="74">
        <v>0.0</v>
      </c>
      <c r="I4669" s="74">
        <f t="shared" si="1"/>
        <v>850000</v>
      </c>
      <c r="J4669" s="74">
        <f>IF(E4669="SERVICE",I4669-(I4669*50%),Vlookup(E4669,DATABASE!C:Q,10,false)*F4669)</f>
        <v>0</v>
      </c>
      <c r="K4669" s="74">
        <f>VLOOKUP(E4669,DATABASE!C:Q,7,false)</f>
        <v>782000</v>
      </c>
      <c r="L4669" s="74">
        <v>745000.0</v>
      </c>
      <c r="M4669" s="74">
        <f t="shared" si="2"/>
        <v>745000</v>
      </c>
      <c r="N4669" s="74">
        <f t="shared" si="3"/>
        <v>105000</v>
      </c>
      <c r="O4669" s="65" t="str">
        <f>VLOOKUP(E4669,DATABASE!C:Q,8,false)</f>
        <v>IBU</v>
      </c>
      <c r="P4669" s="65">
        <f>VLOOKUP(E4669,DATABASE!C:Q,9,False)</f>
        <v>1</v>
      </c>
      <c r="Q4669" s="93" t="str">
        <f>VLOOKUP(E4669,DATABASE!C:Q,4,false)</f>
        <v>Dunlop</v>
      </c>
      <c r="R4669" s="93" t="str">
        <f>VLOOKUP(E4669,DATABASE!C:Q,11,false)</f>
        <v>Tire</v>
      </c>
    </row>
    <row r="4670" ht="22.5" customHeight="1">
      <c r="A4670" s="49"/>
      <c r="C4670" s="384">
        <v>45923.0</v>
      </c>
      <c r="D4670" s="65">
        <v>7245.0</v>
      </c>
      <c r="E4670" s="445" t="s">
        <v>275</v>
      </c>
      <c r="F4670" s="386">
        <v>1.0</v>
      </c>
      <c r="G4670" s="74">
        <v>850000.0</v>
      </c>
      <c r="H4670" s="74">
        <v>0.0</v>
      </c>
      <c r="I4670" s="74">
        <f t="shared" si="1"/>
        <v>850000</v>
      </c>
      <c r="J4670" s="74">
        <f>IF(E4670="SERVICE",I4670-(I4670*50%),Vlookup(E4670,DATABASE!C:Q,10,false)*F4670)</f>
        <v>0</v>
      </c>
      <c r="K4670" s="74">
        <f>VLOOKUP(E4670,DATABASE!C:Q,7,false)</f>
        <v>782000</v>
      </c>
      <c r="L4670" s="74">
        <v>745000.0</v>
      </c>
      <c r="M4670" s="74">
        <f t="shared" si="2"/>
        <v>745000</v>
      </c>
      <c r="N4670" s="74">
        <f t="shared" si="3"/>
        <v>105000</v>
      </c>
      <c r="O4670" s="65" t="str">
        <f>VLOOKUP(E4670,DATABASE!C:Q,8,false)</f>
        <v>IBU</v>
      </c>
      <c r="P4670" s="65">
        <f>VLOOKUP(E4670,DATABASE!C:Q,9,False)</f>
        <v>1</v>
      </c>
      <c r="Q4670" s="93" t="str">
        <f>VLOOKUP(E4670,DATABASE!C:Q,4,false)</f>
        <v>Dunlop</v>
      </c>
      <c r="R4670" s="93" t="str">
        <f>VLOOKUP(E4670,DATABASE!C:Q,11,false)</f>
        <v>Tire</v>
      </c>
    </row>
    <row r="4671" ht="22.5" customHeight="1">
      <c r="A4671" s="49"/>
      <c r="C4671" s="384">
        <v>45923.0</v>
      </c>
      <c r="D4671" s="65">
        <v>7246.0</v>
      </c>
      <c r="E4671" s="445" t="s">
        <v>271</v>
      </c>
      <c r="F4671" s="386">
        <v>2.0</v>
      </c>
      <c r="G4671" s="74">
        <v>640000.0</v>
      </c>
      <c r="H4671" s="74">
        <v>0.0</v>
      </c>
      <c r="I4671" s="74">
        <f t="shared" si="1"/>
        <v>1280000</v>
      </c>
      <c r="J4671" s="74">
        <f>IF(E4671="SERVICE",I4671-(I4671*50%),Vlookup(E4671,DATABASE!C:Q,10,false)*F4671)</f>
        <v>0</v>
      </c>
      <c r="K4671" s="74">
        <f>VLOOKUP(E4671,DATABASE!C:Q,7,false)</f>
        <v>570000</v>
      </c>
      <c r="L4671" s="74">
        <v>539000.0</v>
      </c>
      <c r="M4671" s="74">
        <f t="shared" si="2"/>
        <v>540000</v>
      </c>
      <c r="N4671" s="74">
        <f t="shared" si="3"/>
        <v>200000</v>
      </c>
      <c r="O4671" s="65" t="str">
        <f>VLOOKUP(E4671,DATABASE!C:Q,8,false)</f>
        <v>IBU</v>
      </c>
      <c r="P4671" s="65">
        <f>VLOOKUP(E4671,DATABASE!C:Q,9,False)</f>
        <v>1</v>
      </c>
      <c r="Q4671" s="93" t="str">
        <f>VLOOKUP(E4671,DATABASE!C:Q,4,false)</f>
        <v>Dunlop</v>
      </c>
      <c r="R4671" s="93" t="str">
        <f>VLOOKUP(E4671,DATABASE!C:Q,11,false)</f>
        <v>Tire</v>
      </c>
    </row>
    <row r="4672" ht="22.5" customHeight="1">
      <c r="A4672" s="49"/>
      <c r="C4672" s="384">
        <v>45923.0</v>
      </c>
      <c r="D4672" s="65">
        <v>7247.0</v>
      </c>
      <c r="E4672" s="445" t="s">
        <v>1858</v>
      </c>
      <c r="F4672" s="386">
        <v>1.0</v>
      </c>
      <c r="G4672" s="74">
        <v>2125000.0</v>
      </c>
      <c r="H4672" s="74">
        <v>0.0</v>
      </c>
      <c r="I4672" s="74">
        <f t="shared" si="1"/>
        <v>2125000</v>
      </c>
      <c r="J4672" s="74">
        <f>IF(E4672="SERVICE",I4672-(I4672*50%),Vlookup(E4672,DATABASE!C:Q,10,false)*F4672)</f>
        <v>0</v>
      </c>
      <c r="K4672" s="74">
        <f>VLOOKUP(E4672,DATABASE!C:Q,7,false)</f>
        <v>2030000</v>
      </c>
      <c r="L4672" s="74">
        <v>2025000.0</v>
      </c>
      <c r="M4672" s="74">
        <f t="shared" si="2"/>
        <v>2025000</v>
      </c>
      <c r="N4672" s="74">
        <f t="shared" si="3"/>
        <v>100000</v>
      </c>
      <c r="O4672" s="65" t="str">
        <f>VLOOKUP(E4672,DATABASE!C:Q,8,false)</f>
        <v>BIAN</v>
      </c>
      <c r="P4672" s="65">
        <f>VLOOKUP(E4672,DATABASE!C:Q,9,False)</f>
        <v>1</v>
      </c>
      <c r="Q4672" s="93" t="str">
        <f>VLOOKUP(E4672,DATABASE!C:Q,4,false)</f>
        <v>GiTi</v>
      </c>
      <c r="R4672" s="93" t="str">
        <f>VLOOKUP(E4672,DATABASE!C:Q,11,false)</f>
        <v>Tire</v>
      </c>
    </row>
    <row r="4673" ht="22.5" customHeight="1">
      <c r="A4673" s="49"/>
      <c r="C4673" s="384">
        <v>45923.0</v>
      </c>
      <c r="D4673" s="65">
        <v>7248.0</v>
      </c>
      <c r="E4673" s="445" t="s">
        <v>288</v>
      </c>
      <c r="F4673" s="386">
        <v>2.0</v>
      </c>
      <c r="G4673" s="74">
        <v>600000.0</v>
      </c>
      <c r="H4673" s="74">
        <v>0.0</v>
      </c>
      <c r="I4673" s="74">
        <f t="shared" si="1"/>
        <v>1200000</v>
      </c>
      <c r="J4673" s="74">
        <f>IF(E4673="SERVICE",I4673-(I4673*50%),Vlookup(E4673,DATABASE!C:Q,10,false)*F4673)</f>
        <v>0</v>
      </c>
      <c r="K4673" s="74">
        <f>VLOOKUP(E4673,DATABASE!C:Q,7,false)</f>
        <v>565760</v>
      </c>
      <c r="L4673" s="74">
        <v>524800.0</v>
      </c>
      <c r="M4673" s="74">
        <f t="shared" si="2"/>
        <v>525000</v>
      </c>
      <c r="N4673" s="74">
        <f t="shared" si="3"/>
        <v>150000</v>
      </c>
      <c r="O4673" s="65" t="str">
        <f>VLOOKUP(E4673,DATABASE!C:Q,8,false)</f>
        <v>BIAN</v>
      </c>
      <c r="P4673" s="65">
        <f>VLOOKUP(E4673,DATABASE!C:Q,9,False)</f>
        <v>1</v>
      </c>
      <c r="Q4673" s="93" t="str">
        <f>VLOOKUP(E4673,DATABASE!C:Q,4,false)</f>
        <v>GT</v>
      </c>
      <c r="R4673" s="93" t="str">
        <f>VLOOKUP(E4673,DATABASE!C:Q,11,false)</f>
        <v>Tire</v>
      </c>
    </row>
    <row r="4674" ht="22.5" customHeight="1">
      <c r="A4674" s="49"/>
      <c r="C4674" s="384">
        <v>45923.0</v>
      </c>
      <c r="D4674" s="65">
        <v>7249.0</v>
      </c>
      <c r="E4674" s="445" t="s">
        <v>781</v>
      </c>
      <c r="F4674" s="386">
        <v>2.0</v>
      </c>
      <c r="G4674" s="74">
        <v>525000.0</v>
      </c>
      <c r="H4674" s="74">
        <v>0.0</v>
      </c>
      <c r="I4674" s="74">
        <f t="shared" si="1"/>
        <v>1050000</v>
      </c>
      <c r="J4674" s="74">
        <f>IF(E4674="SERVICE",I4674-(I4674*50%),Vlookup(E4674,DATABASE!C:Q,10,false)*F4674)</f>
        <v>0</v>
      </c>
      <c r="K4674" s="74">
        <f>VLOOKUP(E4674,DATABASE!C:Q,7,false)</f>
        <v>470000</v>
      </c>
      <c r="L4674" s="74">
        <v>442500.0</v>
      </c>
      <c r="M4674" s="74">
        <f t="shared" si="2"/>
        <v>445000</v>
      </c>
      <c r="N4674" s="74">
        <f t="shared" si="3"/>
        <v>160000</v>
      </c>
      <c r="O4674" s="65" t="str">
        <f>VLOOKUP(E4674,DATABASE!C:Q,8,false)</f>
        <v>BIAN</v>
      </c>
      <c r="P4674" s="65">
        <f>VLOOKUP(E4674,DATABASE!C:Q,9,False)</f>
        <v>1</v>
      </c>
      <c r="Q4674" s="93" t="str">
        <f>VLOOKUP(E4674,DATABASE!C:Q,4,false)</f>
        <v>GT</v>
      </c>
      <c r="R4674" s="93" t="str">
        <f>VLOOKUP(E4674,DATABASE!C:Q,11,false)</f>
        <v>Tire</v>
      </c>
    </row>
    <row r="4675" ht="22.5" customHeight="1">
      <c r="A4675" s="49"/>
      <c r="C4675" s="384">
        <v>45923.0</v>
      </c>
      <c r="D4675" s="65">
        <v>7250.0</v>
      </c>
      <c r="E4675" s="445" t="s">
        <v>256</v>
      </c>
      <c r="F4675" s="386">
        <v>1.0</v>
      </c>
      <c r="G4675" s="74">
        <v>130000.0</v>
      </c>
      <c r="H4675" s="74">
        <v>0.0</v>
      </c>
      <c r="I4675" s="74">
        <f t="shared" si="1"/>
        <v>130000</v>
      </c>
      <c r="J4675" s="74">
        <f>IF(E4675="SERVICE",I4675-(I4675*50%),Vlookup(E4675,DATABASE!C:Q,10,false)*F4675)</f>
        <v>10000</v>
      </c>
      <c r="K4675" s="74">
        <f>VLOOKUP(E4675,DATABASE!C:Q,7,false)</f>
        <v>0</v>
      </c>
      <c r="L4675" s="74">
        <v>0.0</v>
      </c>
      <c r="M4675" s="74">
        <f t="shared" si="2"/>
        <v>0</v>
      </c>
      <c r="N4675" s="74">
        <f t="shared" si="3"/>
        <v>120000</v>
      </c>
      <c r="O4675" s="65" t="str">
        <f>VLOOKUP(E4675,DATABASE!C:Q,8,false)</f>
        <v>IBU</v>
      </c>
      <c r="P4675" s="65">
        <f>VLOOKUP(E4675,DATABASE!C:Q,9,False)</f>
        <v>0</v>
      </c>
      <c r="Q4675" s="93" t="str">
        <f>VLOOKUP(E4675,DATABASE!C:Q,4,false)</f>
        <v>SPOORING</v>
      </c>
      <c r="R4675" s="93" t="str">
        <f>VLOOKUP(E4675,DATABASE!C:Q,11,false)</f>
        <v>SERVICE</v>
      </c>
    </row>
    <row r="4676" ht="22.5" customHeight="1">
      <c r="A4676" s="49"/>
      <c r="C4676" s="384">
        <v>45923.0</v>
      </c>
      <c r="D4676" s="65">
        <v>7251.0</v>
      </c>
      <c r="E4676" s="445" t="s">
        <v>265</v>
      </c>
      <c r="F4676" s="386">
        <v>2.0</v>
      </c>
      <c r="G4676" s="74">
        <v>685000.0</v>
      </c>
      <c r="H4676" s="74">
        <v>0.0</v>
      </c>
      <c r="I4676" s="74">
        <f t="shared" si="1"/>
        <v>1370000</v>
      </c>
      <c r="J4676" s="74">
        <f>IF(E4676="SERVICE",I4676-(I4676*50%),Vlookup(E4676,DATABASE!C:Q,10,false)*F4676)</f>
        <v>0</v>
      </c>
      <c r="K4676" s="74">
        <f>VLOOKUP(E4676,DATABASE!C:Q,7,false)</f>
        <v>628000</v>
      </c>
      <c r="L4676" s="74">
        <v>610000.0</v>
      </c>
      <c r="M4676" s="74">
        <f t="shared" si="2"/>
        <v>610000</v>
      </c>
      <c r="N4676" s="74">
        <f t="shared" si="3"/>
        <v>150000</v>
      </c>
      <c r="O4676" s="65" t="str">
        <f>VLOOKUP(E4676,DATABASE!C:Q,8,false)</f>
        <v>IBU</v>
      </c>
      <c r="P4676" s="65">
        <f>VLOOKUP(E4676,DATABASE!C:Q,9,False)</f>
        <v>1</v>
      </c>
      <c r="Q4676" s="93" t="str">
        <f>VLOOKUP(E4676,DATABASE!C:Q,4,false)</f>
        <v>Dunlop</v>
      </c>
      <c r="R4676" s="93" t="str">
        <f>VLOOKUP(E4676,DATABASE!C:Q,11,false)</f>
        <v>Tire</v>
      </c>
    </row>
    <row r="4677" ht="22.5" customHeight="1">
      <c r="A4677" s="49"/>
      <c r="C4677" s="384">
        <v>45923.0</v>
      </c>
      <c r="D4677" s="65">
        <v>7253.0</v>
      </c>
      <c r="E4677" s="445" t="s">
        <v>554</v>
      </c>
      <c r="F4677" s="386">
        <v>2.0</v>
      </c>
      <c r="G4677" s="74">
        <v>765000.0</v>
      </c>
      <c r="H4677" s="74">
        <v>0.0</v>
      </c>
      <c r="I4677" s="74">
        <f t="shared" si="1"/>
        <v>1530000</v>
      </c>
      <c r="J4677" s="74">
        <f>IF(E4677="SERVICE",I4677-(I4677*50%),Vlookup(E4677,DATABASE!C:Q,10,false)*F4677)</f>
        <v>0</v>
      </c>
      <c r="K4677" s="74">
        <f>VLOOKUP(E4677,DATABASE!C:Q,7,false)</f>
        <v>710000</v>
      </c>
      <c r="L4677" s="74">
        <v>680000.0</v>
      </c>
      <c r="M4677" s="74">
        <f t="shared" si="2"/>
        <v>680000</v>
      </c>
      <c r="N4677" s="74">
        <f t="shared" si="3"/>
        <v>170000</v>
      </c>
      <c r="O4677" s="65" t="str">
        <f>VLOOKUP(E4677,DATABASE!C:Q,8,false)</f>
        <v>IBU</v>
      </c>
      <c r="P4677" s="65">
        <f>VLOOKUP(E4677,DATABASE!C:Q,9,False)</f>
        <v>1</v>
      </c>
      <c r="Q4677" s="93" t="str">
        <f>VLOOKUP(E4677,DATABASE!C:Q,4,false)</f>
        <v>Bridgestone</v>
      </c>
      <c r="R4677" s="93" t="str">
        <f>VLOOKUP(E4677,DATABASE!C:Q,11,false)</f>
        <v>Tire</v>
      </c>
    </row>
    <row r="4678" ht="22.5" customHeight="1">
      <c r="A4678" s="49"/>
      <c r="C4678" s="384">
        <v>45923.0</v>
      </c>
      <c r="D4678" s="65">
        <v>7254.0</v>
      </c>
      <c r="E4678" s="445" t="s">
        <v>613</v>
      </c>
      <c r="F4678" s="386">
        <v>1.0</v>
      </c>
      <c r="G4678" s="74">
        <v>95000.0</v>
      </c>
      <c r="H4678" s="74">
        <v>0.0</v>
      </c>
      <c r="I4678" s="74">
        <f t="shared" si="1"/>
        <v>95000</v>
      </c>
      <c r="J4678" s="74">
        <f>IF(E4678="SERVICE",I4678-(I4678*50%),Vlookup(E4678,DATABASE!C:Q,10,false)*F4678)</f>
        <v>0</v>
      </c>
      <c r="K4678" s="74">
        <f>VLOOKUP(E4678,DATABASE!C:Q,7,false)</f>
        <v>58371.2695</v>
      </c>
      <c r="L4678" s="74">
        <v>55000.0</v>
      </c>
      <c r="M4678" s="74">
        <f t="shared" si="2"/>
        <v>55000</v>
      </c>
      <c r="N4678" s="74">
        <f t="shared" si="3"/>
        <v>40000</v>
      </c>
      <c r="O4678" s="65" t="str">
        <f>VLOOKUP(E4678,DATABASE!C:Q,8,false)</f>
        <v>BIAN</v>
      </c>
      <c r="P4678" s="65">
        <f>VLOOKUP(E4678,DATABASE!C:Q,9,False)</f>
        <v>1</v>
      </c>
      <c r="Q4678" s="93" t="str">
        <f>VLOOKUP(E4678,DATABASE!C:Q,4,false)</f>
        <v>BD</v>
      </c>
      <c r="R4678" s="93" t="str">
        <f>VLOOKUP(E4678,DATABASE!C:Q,11,false)</f>
        <v>Tire</v>
      </c>
    </row>
    <row r="4679" ht="22.5" customHeight="1">
      <c r="A4679" s="49"/>
      <c r="C4679" s="384">
        <v>45923.0</v>
      </c>
      <c r="D4679" s="65">
        <v>7255.0</v>
      </c>
      <c r="E4679" s="445" t="s">
        <v>1993</v>
      </c>
      <c r="F4679" s="386">
        <v>2.0</v>
      </c>
      <c r="G4679" s="74">
        <v>1400000.0</v>
      </c>
      <c r="H4679" s="74">
        <v>0.0</v>
      </c>
      <c r="I4679" s="74">
        <f t="shared" si="1"/>
        <v>2800000</v>
      </c>
      <c r="J4679" s="74">
        <f>IF(E4679="SERVICE",I4679-(I4679*50%),Vlookup(E4679,DATABASE!C:Q,10,false)*F4679)</f>
        <v>0</v>
      </c>
      <c r="K4679" s="74">
        <f>VLOOKUP(E4679,DATABASE!C:Q,7,false)</f>
        <v>1290000</v>
      </c>
      <c r="L4679" s="74">
        <v>1290000.0</v>
      </c>
      <c r="M4679" s="74">
        <f t="shared" si="2"/>
        <v>1290000</v>
      </c>
      <c r="N4679" s="74">
        <f t="shared" si="3"/>
        <v>220000</v>
      </c>
      <c r="O4679" s="65" t="str">
        <f>VLOOKUP(E4679,DATABASE!C:Q,8,false)</f>
        <v>BIAN</v>
      </c>
      <c r="P4679" s="65">
        <f>VLOOKUP(E4679,DATABASE!C:Q,9,False)</f>
        <v>1</v>
      </c>
      <c r="Q4679" s="93" t="str">
        <f>VLOOKUP(E4679,DATABASE!C:Q,4,false)</f>
        <v>GT</v>
      </c>
      <c r="R4679" s="93" t="str">
        <f>VLOOKUP(E4679,DATABASE!C:Q,11,false)</f>
        <v>Tire</v>
      </c>
    </row>
    <row r="4680" ht="22.5" customHeight="1">
      <c r="A4680" s="49"/>
      <c r="C4680" s="384">
        <v>45923.0</v>
      </c>
      <c r="D4680" s="65">
        <v>7255.0</v>
      </c>
      <c r="E4680" s="385" t="s">
        <v>299</v>
      </c>
      <c r="F4680" s="386">
        <v>2.0</v>
      </c>
      <c r="G4680" s="74">
        <v>30000.0</v>
      </c>
      <c r="H4680" s="74">
        <v>0.0</v>
      </c>
      <c r="I4680" s="74">
        <f t="shared" si="1"/>
        <v>60000</v>
      </c>
      <c r="J4680" s="74">
        <f>IF(E4680="SERVICE",I4680-(I4680*50%),Vlookup(E4680,DATABASE!C:Q,10,false)*F4680)</f>
        <v>0</v>
      </c>
      <c r="K4680" s="74">
        <v>0.0</v>
      </c>
      <c r="L4680" s="74">
        <v>0.0</v>
      </c>
      <c r="M4680" s="74">
        <f t="shared" si="2"/>
        <v>0</v>
      </c>
      <c r="N4680" s="74">
        <f t="shared" si="3"/>
        <v>60000</v>
      </c>
      <c r="O4680" s="65" t="str">
        <f>VLOOKUP(E4680,DATABASE!C:Q,8,false)</f>
        <v>BIAN</v>
      </c>
      <c r="P4680" s="65">
        <f>VLOOKUP(E4680,DATABASE!C:Q,9,False)</f>
        <v>0</v>
      </c>
      <c r="Q4680" s="93" t="str">
        <f>VLOOKUP(E4680,DATABASE!C:Q,4,false)</f>
        <v>Balancing</v>
      </c>
      <c r="R4680" s="93" t="str">
        <f>VLOOKUP(E4680,DATABASE!C:Q,11,false)</f>
        <v>COMPLEMENTARY</v>
      </c>
    </row>
    <row r="4681" ht="22.5" customHeight="1">
      <c r="A4681" s="49"/>
      <c r="C4681" s="384">
        <v>45923.0</v>
      </c>
      <c r="D4681" s="65">
        <v>7255.0</v>
      </c>
      <c r="E4681" s="445" t="s">
        <v>256</v>
      </c>
      <c r="F4681" s="386">
        <v>1.0</v>
      </c>
      <c r="G4681" s="74">
        <v>150000.0</v>
      </c>
      <c r="H4681" s="74">
        <v>0.0</v>
      </c>
      <c r="I4681" s="74">
        <f t="shared" si="1"/>
        <v>150000</v>
      </c>
      <c r="J4681" s="74">
        <f>IF(E4681="SERVICE",I4681-(I4681*50%),Vlookup(E4681,DATABASE!C:Q,10,false)*F4681)</f>
        <v>10000</v>
      </c>
      <c r="K4681" s="74">
        <f>VLOOKUP(E4681,DATABASE!C:Q,7,false)</f>
        <v>0</v>
      </c>
      <c r="L4681" s="74">
        <v>0.0</v>
      </c>
      <c r="M4681" s="74">
        <f t="shared" si="2"/>
        <v>0</v>
      </c>
      <c r="N4681" s="74">
        <f t="shared" si="3"/>
        <v>140000</v>
      </c>
      <c r="O4681" s="65" t="str">
        <f>VLOOKUP(E4681,DATABASE!C:Q,8,false)</f>
        <v>IBU</v>
      </c>
      <c r="P4681" s="65">
        <f>VLOOKUP(E4681,DATABASE!C:Q,9,False)</f>
        <v>0</v>
      </c>
      <c r="Q4681" s="93" t="str">
        <f>VLOOKUP(E4681,DATABASE!C:Q,4,false)</f>
        <v>SPOORING</v>
      </c>
      <c r="R4681" s="93" t="str">
        <f>VLOOKUP(E4681,DATABASE!C:Q,11,false)</f>
        <v>SERVICE</v>
      </c>
    </row>
    <row r="4682" ht="22.5" customHeight="1">
      <c r="A4682" s="49"/>
      <c r="C4682" s="384">
        <v>45923.0</v>
      </c>
      <c r="D4682" s="65">
        <v>7255.0</v>
      </c>
      <c r="E4682" s="445" t="s">
        <v>251</v>
      </c>
      <c r="F4682" s="386">
        <v>1.0</v>
      </c>
      <c r="G4682" s="74">
        <v>350000.0</v>
      </c>
      <c r="H4682" s="74">
        <v>0.0</v>
      </c>
      <c r="I4682" s="74">
        <f t="shared" si="1"/>
        <v>350000</v>
      </c>
      <c r="J4682" s="74">
        <f>IF(E4682="SERVICE",I4682-(I4682*50%),Vlookup(E4682,DATABASE!C:Q,10,false)*F4682)</f>
        <v>175000</v>
      </c>
      <c r="K4682" s="74">
        <f>VLOOKUP(E4682,DATABASE!C:Q,7,false)</f>
        <v>0</v>
      </c>
      <c r="L4682" s="74">
        <v>0.0</v>
      </c>
      <c r="M4682" s="74">
        <f t="shared" si="2"/>
        <v>0</v>
      </c>
      <c r="N4682" s="74">
        <f t="shared" si="3"/>
        <v>175000</v>
      </c>
      <c r="O4682" s="65" t="str">
        <f>VLOOKUP(E4682,DATABASE!C:Q,8,false)</f>
        <v>IBU</v>
      </c>
      <c r="P4682" s="65">
        <f>VLOOKUP(E4682,DATABASE!C:Q,9,False)</f>
        <v>0</v>
      </c>
      <c r="Q4682" s="93" t="str">
        <f>VLOOKUP(E4682,DATABASE!C:Q,4,false)</f>
        <v>SERVICE</v>
      </c>
      <c r="R4682" s="93" t="str">
        <f>VLOOKUP(E4682,DATABASE!C:Q,11,false)</f>
        <v>SERVICE</v>
      </c>
    </row>
    <row r="4683" ht="22.5" customHeight="1">
      <c r="A4683" s="49"/>
      <c r="C4683" s="384">
        <v>45923.0</v>
      </c>
      <c r="D4683" s="65">
        <v>7256.0</v>
      </c>
      <c r="E4683" s="445" t="s">
        <v>262</v>
      </c>
      <c r="F4683" s="386">
        <v>1.0</v>
      </c>
      <c r="G4683" s="74">
        <v>110000.0</v>
      </c>
      <c r="H4683" s="74">
        <v>0.0</v>
      </c>
      <c r="I4683" s="74">
        <f t="shared" si="1"/>
        <v>110000</v>
      </c>
      <c r="J4683" s="74">
        <f>IF(E4683="SERVICE",I4683-(I4683*50%),Vlookup(E4683,DATABASE!C:Q,10,false)*F4683)</f>
        <v>5000</v>
      </c>
      <c r="K4683" s="74">
        <f>VLOOKUP(E4683,DATABASE!C:Q,7,false)</f>
        <v>0</v>
      </c>
      <c r="L4683" s="74">
        <v>0.0</v>
      </c>
      <c r="M4683" s="74">
        <f t="shared" si="2"/>
        <v>0</v>
      </c>
      <c r="N4683" s="74">
        <f t="shared" si="3"/>
        <v>105000</v>
      </c>
      <c r="O4683" s="65" t="str">
        <f>VLOOKUP(E4683,DATABASE!C:Q,8,false)</f>
        <v>IBU</v>
      </c>
      <c r="P4683" s="65">
        <f>VLOOKUP(E4683,DATABASE!C:Q,9,False)</f>
        <v>0</v>
      </c>
      <c r="Q4683" s="93" t="str">
        <f>VLOOKUP(E4683,DATABASE!C:Q,4,false)</f>
        <v>SPOORING SS/CARRY LOS BAK</v>
      </c>
      <c r="R4683" s="93" t="str">
        <f>VLOOKUP(E4683,DATABASE!C:Q,11,false)</f>
        <v>SERVICE</v>
      </c>
    </row>
    <row r="4684" ht="22.5" customHeight="1">
      <c r="A4684" s="49"/>
      <c r="C4684" s="384">
        <v>45923.0</v>
      </c>
      <c r="D4684" s="65">
        <v>7257.0</v>
      </c>
      <c r="E4684" s="445" t="s">
        <v>256</v>
      </c>
      <c r="F4684" s="386">
        <v>1.0</v>
      </c>
      <c r="G4684" s="74">
        <v>130000.0</v>
      </c>
      <c r="H4684" s="74">
        <v>0.0</v>
      </c>
      <c r="I4684" s="74">
        <f t="shared" si="1"/>
        <v>130000</v>
      </c>
      <c r="J4684" s="74">
        <f>IF(E4684="SERVICE",I4684-(I4684*50%),Vlookup(E4684,DATABASE!C:Q,10,false)*F4684)</f>
        <v>10000</v>
      </c>
      <c r="K4684" s="74">
        <f>VLOOKUP(E4684,DATABASE!C:Q,7,false)</f>
        <v>0</v>
      </c>
      <c r="L4684" s="74">
        <v>0.0</v>
      </c>
      <c r="M4684" s="74">
        <f t="shared" si="2"/>
        <v>0</v>
      </c>
      <c r="N4684" s="74">
        <f t="shared" si="3"/>
        <v>120000</v>
      </c>
      <c r="O4684" s="65" t="str">
        <f>VLOOKUP(E4684,DATABASE!C:Q,8,false)</f>
        <v>IBU</v>
      </c>
      <c r="P4684" s="65">
        <f>VLOOKUP(E4684,DATABASE!C:Q,9,False)</f>
        <v>0</v>
      </c>
      <c r="Q4684" s="93" t="str">
        <f>VLOOKUP(E4684,DATABASE!C:Q,4,false)</f>
        <v>SPOORING</v>
      </c>
      <c r="R4684" s="93" t="str">
        <f>VLOOKUP(E4684,DATABASE!C:Q,11,false)</f>
        <v>SERVICE</v>
      </c>
    </row>
    <row r="4685" ht="22.5" customHeight="1">
      <c r="A4685" s="49"/>
      <c r="C4685" s="384">
        <v>45923.0</v>
      </c>
      <c r="D4685" s="65">
        <v>7258.0</v>
      </c>
      <c r="E4685" s="445" t="s">
        <v>957</v>
      </c>
      <c r="F4685" s="386">
        <v>1.0</v>
      </c>
      <c r="G4685" s="74">
        <v>860000.0</v>
      </c>
      <c r="H4685" s="74">
        <v>0.0</v>
      </c>
      <c r="I4685" s="74">
        <f t="shared" si="1"/>
        <v>860000</v>
      </c>
      <c r="J4685" s="74">
        <f>IF(E4685="SERVICE",I4685-(I4685*50%),Vlookup(E4685,DATABASE!C:Q,10,false)*F4685)</f>
        <v>0</v>
      </c>
      <c r="K4685" s="74">
        <f>VLOOKUP(E4685,DATABASE!C:Q,7,false)</f>
        <v>773337.5</v>
      </c>
      <c r="L4685" s="74">
        <v>762048.0</v>
      </c>
      <c r="M4685" s="74">
        <f t="shared" si="2"/>
        <v>765000</v>
      </c>
      <c r="N4685" s="74">
        <f t="shared" si="3"/>
        <v>95000</v>
      </c>
      <c r="O4685" s="65" t="str">
        <f>VLOOKUP(E4685,DATABASE!C:Q,8,false)</f>
        <v>IBU</v>
      </c>
      <c r="P4685" s="65">
        <f>VLOOKUP(E4685,DATABASE!C:Q,9,False)</f>
        <v>1</v>
      </c>
      <c r="Q4685" s="93" t="str">
        <f>VLOOKUP(E4685,DATABASE!C:Q,4,false)</f>
        <v>Bridgestone</v>
      </c>
      <c r="R4685" s="93" t="str">
        <f>VLOOKUP(E4685,DATABASE!C:Q,11,false)</f>
        <v>Tire</v>
      </c>
    </row>
    <row r="4686" ht="22.5" customHeight="1">
      <c r="A4686" s="49"/>
      <c r="C4686" s="384">
        <v>45924.0</v>
      </c>
      <c r="D4686" s="65">
        <v>7260.0</v>
      </c>
      <c r="E4686" s="445" t="s">
        <v>932</v>
      </c>
      <c r="F4686" s="386">
        <v>2.0</v>
      </c>
      <c r="G4686" s="74">
        <v>700000.0</v>
      </c>
      <c r="H4686" s="74">
        <v>0.0</v>
      </c>
      <c r="I4686" s="74">
        <f t="shared" si="1"/>
        <v>1400000</v>
      </c>
      <c r="J4686" s="74">
        <f>IF(E4686="SERVICE",I4686-(I4686*50%),Vlookup(E4686,DATABASE!C:Q,10,false)*F4686)</f>
        <v>0</v>
      </c>
      <c r="K4686" s="74">
        <f>VLOOKUP(E4686,DATABASE!C:Q,7,false)</f>
        <v>601000</v>
      </c>
      <c r="L4686" s="74">
        <v>595000.0</v>
      </c>
      <c r="M4686" s="74">
        <f t="shared" si="2"/>
        <v>595000</v>
      </c>
      <c r="N4686" s="74">
        <f t="shared" si="3"/>
        <v>210000</v>
      </c>
      <c r="O4686" s="65" t="str">
        <f>VLOOKUP(E4686,DATABASE!C:Q,8,false)</f>
        <v>IBU</v>
      </c>
      <c r="P4686" s="65">
        <f>VLOOKUP(E4686,DATABASE!C:Q,9,False)</f>
        <v>1</v>
      </c>
      <c r="Q4686" s="93" t="str">
        <f>VLOOKUP(E4686,DATABASE!C:Q,4,false)</f>
        <v>Dunlop</v>
      </c>
      <c r="R4686" s="93" t="str">
        <f>VLOOKUP(E4686,DATABASE!C:Q,11,false)</f>
        <v>Tire</v>
      </c>
    </row>
    <row r="4687" ht="22.5" customHeight="1">
      <c r="A4687" s="49"/>
      <c r="C4687" s="384">
        <v>45924.0</v>
      </c>
      <c r="D4687" s="65">
        <v>7261.0</v>
      </c>
      <c r="E4687" s="445" t="s">
        <v>1009</v>
      </c>
      <c r="F4687" s="386">
        <v>1.0</v>
      </c>
      <c r="G4687" s="74">
        <v>700000.0</v>
      </c>
      <c r="H4687" s="74">
        <v>0.0</v>
      </c>
      <c r="I4687" s="74">
        <f t="shared" si="1"/>
        <v>700000</v>
      </c>
      <c r="J4687" s="74">
        <f>IF(E4687="SERVICE",I4687-(I4687*50%),Vlookup(E4687,DATABASE!C:Q,10,false)*F4687)</f>
        <v>0</v>
      </c>
      <c r="K4687" s="74">
        <f>VLOOKUP(E4687,DATABASE!C:Q,7,false)</f>
        <v>609800</v>
      </c>
      <c r="L4687" s="74">
        <v>592200.0</v>
      </c>
      <c r="M4687" s="74">
        <f t="shared" si="2"/>
        <v>595000</v>
      </c>
      <c r="N4687" s="74">
        <f t="shared" si="3"/>
        <v>105000</v>
      </c>
      <c r="O4687" s="65" t="str">
        <f>VLOOKUP(E4687,DATABASE!C:Q,8,false)</f>
        <v>BIAN</v>
      </c>
      <c r="P4687" s="65">
        <f>VLOOKUP(E4687,DATABASE!C:Q,9,False)</f>
        <v>1</v>
      </c>
      <c r="Q4687" s="93" t="str">
        <f>VLOOKUP(E4687,DATABASE!C:Q,4,false)</f>
        <v>GT</v>
      </c>
      <c r="R4687" s="93" t="str">
        <f>VLOOKUP(E4687,DATABASE!C:Q,11,false)</f>
        <v>Tire</v>
      </c>
    </row>
    <row r="4688" ht="22.5" customHeight="1">
      <c r="A4688" s="49"/>
      <c r="C4688" s="384">
        <v>45924.0</v>
      </c>
      <c r="D4688" s="65">
        <v>7262.0</v>
      </c>
      <c r="E4688" s="445" t="s">
        <v>251</v>
      </c>
      <c r="F4688" s="386">
        <v>1.0</v>
      </c>
      <c r="G4688" s="74">
        <v>150000.0</v>
      </c>
      <c r="H4688" s="74">
        <v>0.0</v>
      </c>
      <c r="I4688" s="74">
        <f t="shared" si="1"/>
        <v>150000</v>
      </c>
      <c r="J4688" s="74">
        <f>IF(E4688="SERVICE",I4688-(I4688*50%),Vlookup(E4688,DATABASE!C:Q,10,false)*F4688)</f>
        <v>75000</v>
      </c>
      <c r="K4688" s="74">
        <f>VLOOKUP(E4688,DATABASE!C:Q,7,false)</f>
        <v>0</v>
      </c>
      <c r="L4688" s="74">
        <v>0.0</v>
      </c>
      <c r="M4688" s="74">
        <f t="shared" si="2"/>
        <v>0</v>
      </c>
      <c r="N4688" s="74">
        <f t="shared" si="3"/>
        <v>75000</v>
      </c>
      <c r="O4688" s="65" t="str">
        <f>VLOOKUP(E4688,DATABASE!C:Q,8,false)</f>
        <v>IBU</v>
      </c>
      <c r="P4688" s="65">
        <f>VLOOKUP(E4688,DATABASE!C:Q,9,False)</f>
        <v>0</v>
      </c>
      <c r="Q4688" s="93" t="str">
        <f>VLOOKUP(E4688,DATABASE!C:Q,4,false)</f>
        <v>SERVICE</v>
      </c>
      <c r="R4688" s="93" t="str">
        <f>VLOOKUP(E4688,DATABASE!C:Q,11,false)</f>
        <v>SERVICE</v>
      </c>
    </row>
    <row r="4689" ht="22.5" customHeight="1">
      <c r="A4689" s="49"/>
      <c r="C4689" s="384">
        <v>45924.0</v>
      </c>
      <c r="D4689" s="65">
        <v>7263.0</v>
      </c>
      <c r="E4689" s="445" t="s">
        <v>1940</v>
      </c>
      <c r="F4689" s="386">
        <v>1.0</v>
      </c>
      <c r="G4689" s="74">
        <v>820000.0</v>
      </c>
      <c r="H4689" s="74">
        <v>0.0</v>
      </c>
      <c r="I4689" s="74">
        <f t="shared" si="1"/>
        <v>820000</v>
      </c>
      <c r="J4689" s="74">
        <f>IF(E4689="SERVICE",I4689-(I4689*50%),Vlookup(E4689,DATABASE!C:Q,10,false)*F4689)</f>
        <v>0</v>
      </c>
      <c r="K4689" s="74">
        <f>VLOOKUP(E4689,DATABASE!C:Q,7,false)</f>
        <v>775500</v>
      </c>
      <c r="L4689" s="74">
        <v>716940.0</v>
      </c>
      <c r="M4689" s="74">
        <f t="shared" si="2"/>
        <v>720000</v>
      </c>
      <c r="N4689" s="74">
        <f t="shared" si="3"/>
        <v>100000</v>
      </c>
      <c r="O4689" s="65" t="str">
        <f>VLOOKUP(E4689,DATABASE!C:Q,8,false)</f>
        <v>BIAN</v>
      </c>
      <c r="P4689" s="65">
        <f>VLOOKUP(E4689,DATABASE!C:Q,9,False)</f>
        <v>1</v>
      </c>
      <c r="Q4689" s="93" t="str">
        <f>VLOOKUP(E4689,DATABASE!C:Q,4,false)</f>
        <v>GT</v>
      </c>
      <c r="R4689" s="93" t="str">
        <f>VLOOKUP(E4689,DATABASE!C:Q,11,false)</f>
        <v>Tire</v>
      </c>
    </row>
    <row r="4690" ht="22.5" customHeight="1">
      <c r="A4690" s="49"/>
      <c r="C4690" s="384">
        <v>45924.0</v>
      </c>
      <c r="D4690" s="65">
        <v>7264.0</v>
      </c>
      <c r="E4690" s="658" t="s">
        <v>2345</v>
      </c>
      <c r="F4690" s="386">
        <v>1.0</v>
      </c>
      <c r="G4690" s="74">
        <v>775000.0</v>
      </c>
      <c r="H4690" s="74">
        <v>0.0</v>
      </c>
      <c r="I4690" s="74">
        <f t="shared" si="1"/>
        <v>775000</v>
      </c>
      <c r="J4690" s="74">
        <f>IF(E4690="SERVICE",I4690-(I4690*50%),Vlookup(E4690,DATABASE!C:Q,10,false)*F4690)</f>
        <v>0</v>
      </c>
      <c r="K4690" s="74">
        <f>VLOOKUP(E4690,DATABASE!C:Q,7,false)</f>
        <v>680000</v>
      </c>
      <c r="L4690" s="74">
        <v>650000.0</v>
      </c>
      <c r="M4690" s="74">
        <f t="shared" si="2"/>
        <v>650000</v>
      </c>
      <c r="N4690" s="74">
        <f t="shared" si="3"/>
        <v>125000</v>
      </c>
      <c r="O4690" s="65" t="str">
        <f>VLOOKUP(E4690,DATABASE!C:Q,8,false)</f>
        <v>BIAN</v>
      </c>
      <c r="P4690" s="65">
        <f>VLOOKUP(E4690,DATABASE!C:Q,9,False)</f>
        <v>1</v>
      </c>
      <c r="Q4690" s="93" t="str">
        <f>VLOOKUP(E4690,DATABASE!C:Q,4,false)</f>
        <v>Velg</v>
      </c>
      <c r="R4690" s="93" t="str">
        <f>VLOOKUP(E4690,DATABASE!C:Q,11,false)</f>
        <v>Tire</v>
      </c>
    </row>
    <row r="4691" ht="22.5" customHeight="1">
      <c r="A4691" s="49"/>
      <c r="C4691" s="384">
        <v>45924.0</v>
      </c>
      <c r="D4691" s="65">
        <v>7265.0</v>
      </c>
      <c r="E4691" s="445" t="s">
        <v>294</v>
      </c>
      <c r="F4691" s="386">
        <v>1.0</v>
      </c>
      <c r="G4691" s="74">
        <v>570000.0</v>
      </c>
      <c r="H4691" s="74">
        <v>0.0</v>
      </c>
      <c r="I4691" s="74">
        <f t="shared" si="1"/>
        <v>570000</v>
      </c>
      <c r="J4691" s="74">
        <f>IF(E4691="SERVICE",I4691-(I4691*50%),Vlookup(E4691,DATABASE!C:Q,10,false)*F4691)</f>
        <v>0</v>
      </c>
      <c r="K4691" s="74">
        <f>VLOOKUP(E4691,DATABASE!C:Q,7,false)</f>
        <v>505000</v>
      </c>
      <c r="L4691" s="74">
        <v>490000.0</v>
      </c>
      <c r="M4691" s="74">
        <f t="shared" si="2"/>
        <v>490000</v>
      </c>
      <c r="N4691" s="74">
        <f t="shared" si="3"/>
        <v>80000</v>
      </c>
      <c r="O4691" s="65" t="str">
        <f>VLOOKUP(E4691,DATABASE!C:Q,8,false)</f>
        <v>BIAN</v>
      </c>
      <c r="P4691" s="65">
        <f>VLOOKUP(E4691,DATABASE!C:Q,9,False)</f>
        <v>1</v>
      </c>
      <c r="Q4691" s="93" t="str">
        <f>VLOOKUP(E4691,DATABASE!C:Q,4,false)</f>
        <v>GT</v>
      </c>
      <c r="R4691" s="93" t="str">
        <f>VLOOKUP(E4691,DATABASE!C:Q,11,false)</f>
        <v>Tire</v>
      </c>
    </row>
    <row r="4692" ht="22.5" customHeight="1">
      <c r="A4692" s="49"/>
      <c r="C4692" s="384">
        <v>45924.0</v>
      </c>
      <c r="D4692" s="65">
        <v>7265.0</v>
      </c>
      <c r="E4692" s="445" t="s">
        <v>569</v>
      </c>
      <c r="F4692" s="386">
        <v>1.0</v>
      </c>
      <c r="G4692" s="74">
        <v>80000.0</v>
      </c>
      <c r="H4692" s="74">
        <v>0.0</v>
      </c>
      <c r="I4692" s="74">
        <f t="shared" si="1"/>
        <v>80000</v>
      </c>
      <c r="J4692" s="74">
        <f>IF(E4692="SERVICE",I4692-(I4692*50%),Vlookup(E4692,DATABASE!C:Q,10,false)*F4692)</f>
        <v>0</v>
      </c>
      <c r="K4692" s="74">
        <f>VLOOKUP(E4692,DATABASE!C:Q,7,false)</f>
        <v>45439.582</v>
      </c>
      <c r="L4692" s="74">
        <v>45309.6</v>
      </c>
      <c r="M4692" s="74">
        <f t="shared" si="2"/>
        <v>50000</v>
      </c>
      <c r="N4692" s="74">
        <f t="shared" si="3"/>
        <v>30000</v>
      </c>
      <c r="O4692" s="65" t="str">
        <f>VLOOKUP(E4692,DATABASE!C:Q,8,false)</f>
        <v>BIAN</v>
      </c>
      <c r="P4692" s="65">
        <f>VLOOKUP(E4692,DATABASE!C:Q,9,False)</f>
        <v>1</v>
      </c>
      <c r="Q4692" s="93" t="str">
        <f>VLOOKUP(E4692,DATABASE!C:Q,4,false)</f>
        <v>BD</v>
      </c>
      <c r="R4692" s="93" t="str">
        <f>VLOOKUP(E4692,DATABASE!C:Q,11,false)</f>
        <v>Tire</v>
      </c>
    </row>
    <row r="4693" ht="22.5" customHeight="1">
      <c r="A4693" s="49"/>
      <c r="C4693" s="384">
        <v>45924.0</v>
      </c>
      <c r="D4693" s="65">
        <v>7266.0</v>
      </c>
      <c r="E4693" s="445" t="s">
        <v>287</v>
      </c>
      <c r="F4693" s="386">
        <v>2.0</v>
      </c>
      <c r="G4693" s="74">
        <v>775000.0</v>
      </c>
      <c r="H4693" s="74">
        <v>0.0</v>
      </c>
      <c r="I4693" s="74">
        <f t="shared" si="1"/>
        <v>1550000</v>
      </c>
      <c r="J4693" s="74">
        <f>IF(E4693="SERVICE",I4693-(I4693*50%),Vlookup(E4693,DATABASE!C:Q,10,false)*F4693)</f>
        <v>0</v>
      </c>
      <c r="K4693" s="74">
        <f>VLOOKUP(E4693,DATABASE!C:Q,7,false)</f>
        <v>711000</v>
      </c>
      <c r="L4693" s="74">
        <v>690600.0</v>
      </c>
      <c r="M4693" s="74">
        <f t="shared" si="2"/>
        <v>695000</v>
      </c>
      <c r="N4693" s="74">
        <f t="shared" si="3"/>
        <v>160000</v>
      </c>
      <c r="O4693" s="65" t="str">
        <f>VLOOKUP(E4693,DATABASE!C:Q,8,false)</f>
        <v>BIAN</v>
      </c>
      <c r="P4693" s="65">
        <f>VLOOKUP(E4693,DATABASE!C:Q,9,False)</f>
        <v>1</v>
      </c>
      <c r="Q4693" s="93" t="str">
        <f>VLOOKUP(E4693,DATABASE!C:Q,4,false)</f>
        <v>GT</v>
      </c>
      <c r="R4693" s="93" t="str">
        <f>VLOOKUP(E4693,DATABASE!C:Q,11,false)</f>
        <v>Tire</v>
      </c>
    </row>
    <row r="4694" ht="22.5" customHeight="1">
      <c r="A4694" s="49"/>
      <c r="C4694" s="384">
        <v>45924.0</v>
      </c>
      <c r="D4694" s="65">
        <v>7268.0</v>
      </c>
      <c r="E4694" s="445" t="s">
        <v>1565</v>
      </c>
      <c r="F4694" s="386">
        <v>1.0</v>
      </c>
      <c r="G4694" s="74">
        <v>1430000.0</v>
      </c>
      <c r="H4694" s="74">
        <v>0.0</v>
      </c>
      <c r="I4694" s="74">
        <f t="shared" si="1"/>
        <v>1430000</v>
      </c>
      <c r="J4694" s="74">
        <f>IF(E4694="SERVICE",I4694-(I4694*50%),Vlookup(E4694,DATABASE!C:Q,10,false)*F4694)</f>
        <v>0</v>
      </c>
      <c r="K4694" s="74">
        <f>VLOOKUP(E4694,DATABASE!C:Q,7,false)</f>
        <v>1292000</v>
      </c>
      <c r="L4694" s="74">
        <v>1320000.0</v>
      </c>
      <c r="M4694" s="74">
        <f t="shared" si="2"/>
        <v>1320000</v>
      </c>
      <c r="N4694" s="74">
        <f t="shared" si="3"/>
        <v>110000</v>
      </c>
      <c r="O4694" s="65" t="str">
        <f>VLOOKUP(E4694,DATABASE!C:Q,8,false)</f>
        <v>IBU</v>
      </c>
      <c r="P4694" s="65">
        <f>VLOOKUP(E4694,DATABASE!C:Q,9,False)</f>
        <v>1</v>
      </c>
      <c r="Q4694" s="93" t="str">
        <f>VLOOKUP(E4694,DATABASE!C:Q,4,false)</f>
        <v>Dunlop</v>
      </c>
      <c r="R4694" s="93" t="str">
        <f>VLOOKUP(E4694,DATABASE!C:Q,11,false)</f>
        <v>Tire</v>
      </c>
    </row>
    <row r="4695" ht="22.5" customHeight="1">
      <c r="A4695" s="49"/>
      <c r="C4695" s="384">
        <v>45924.0</v>
      </c>
      <c r="D4695" s="65">
        <v>7268.0</v>
      </c>
      <c r="E4695" s="385" t="s">
        <v>299</v>
      </c>
      <c r="F4695" s="386">
        <v>2.0</v>
      </c>
      <c r="G4695" s="74">
        <v>40000.0</v>
      </c>
      <c r="H4695" s="74">
        <v>0.0</v>
      </c>
      <c r="I4695" s="74">
        <f t="shared" si="1"/>
        <v>80000</v>
      </c>
      <c r="J4695" s="74">
        <f>IF(E4695="SERVICE",I4695-(I4695*50%),Vlookup(E4695,DATABASE!C:Q,10,false)*F4695)</f>
        <v>0</v>
      </c>
      <c r="K4695" s="74">
        <v>0.0</v>
      </c>
      <c r="L4695" s="74">
        <v>0.0</v>
      </c>
      <c r="M4695" s="74">
        <f t="shared" si="2"/>
        <v>0</v>
      </c>
      <c r="N4695" s="74">
        <f t="shared" si="3"/>
        <v>80000</v>
      </c>
      <c r="O4695" s="65" t="str">
        <f>VLOOKUP(E4695,DATABASE!C:Q,8,false)</f>
        <v>BIAN</v>
      </c>
      <c r="P4695" s="65">
        <f>VLOOKUP(E4695,DATABASE!C:Q,9,False)</f>
        <v>0</v>
      </c>
      <c r="Q4695" s="93" t="str">
        <f>VLOOKUP(E4695,DATABASE!C:Q,4,false)</f>
        <v>Balancing</v>
      </c>
      <c r="R4695" s="93" t="str">
        <f>VLOOKUP(E4695,DATABASE!C:Q,11,false)</f>
        <v>COMPLEMENTARY</v>
      </c>
    </row>
    <row r="4696" ht="22.5" customHeight="1">
      <c r="A4696" s="49"/>
      <c r="C4696" s="384">
        <v>45924.0</v>
      </c>
      <c r="D4696" s="65">
        <v>7268.0</v>
      </c>
      <c r="E4696" s="445" t="s">
        <v>2199</v>
      </c>
      <c r="F4696" s="386">
        <v>1.0</v>
      </c>
      <c r="G4696" s="74">
        <v>15000.0</v>
      </c>
      <c r="H4696" s="74">
        <v>0.0</v>
      </c>
      <c r="I4696" s="74">
        <f t="shared" si="1"/>
        <v>15000</v>
      </c>
      <c r="J4696" s="74">
        <f>IF(E4696="SERVICE",I4696-(I4696*50%),Vlookup(E4696,DATABASE!C:Q,10,false)*F4696)</f>
        <v>0</v>
      </c>
      <c r="K4696" s="74">
        <f>VLOOKUP(E4696,DATABASE!C:Q,7,false)</f>
        <v>5000</v>
      </c>
      <c r="L4696" s="74">
        <v>0.0</v>
      </c>
      <c r="M4696" s="74">
        <f t="shared" si="2"/>
        <v>0</v>
      </c>
      <c r="N4696" s="74">
        <f t="shared" si="3"/>
        <v>15000</v>
      </c>
      <c r="O4696" s="65" t="str">
        <f>VLOOKUP(E4696,DATABASE!C:Q,8,false)</f>
        <v>BIAN</v>
      </c>
      <c r="P4696" s="65">
        <f>VLOOKUP(E4696,DATABASE!C:Q,9,False)</f>
        <v>0</v>
      </c>
      <c r="Q4696" s="93" t="str">
        <f>VLOOKUP(E4696,DATABASE!C:Q,4,false)</f>
        <v>TAMBAL TUBLES</v>
      </c>
      <c r="R4696" s="93" t="str">
        <f>VLOOKUP(E4696,DATABASE!C:Q,11,false)</f>
        <v>COMPLEMENTARY</v>
      </c>
    </row>
    <row r="4697" ht="22.5" customHeight="1">
      <c r="A4697" s="49"/>
      <c r="C4697" s="384">
        <v>45925.0</v>
      </c>
      <c r="D4697" s="65">
        <v>7269.0</v>
      </c>
      <c r="E4697" s="445" t="s">
        <v>265</v>
      </c>
      <c r="F4697" s="386">
        <v>2.0</v>
      </c>
      <c r="G4697" s="74">
        <v>700000.0</v>
      </c>
      <c r="H4697" s="74">
        <v>0.0</v>
      </c>
      <c r="I4697" s="74">
        <f t="shared" si="1"/>
        <v>1400000</v>
      </c>
      <c r="J4697" s="74">
        <f>IF(E4697="SERVICE",I4697-(I4697*50%),Vlookup(E4697,DATABASE!C:Q,10,false)*F4697)</f>
        <v>0</v>
      </c>
      <c r="K4697" s="74">
        <f>VLOOKUP(E4697,DATABASE!C:Q,7,false)</f>
        <v>628000</v>
      </c>
      <c r="L4697" s="74">
        <v>610000.0</v>
      </c>
      <c r="M4697" s="74">
        <f t="shared" si="2"/>
        <v>610000</v>
      </c>
      <c r="N4697" s="74">
        <f t="shared" si="3"/>
        <v>180000</v>
      </c>
      <c r="O4697" s="65" t="str">
        <f>VLOOKUP(E4697,DATABASE!C:Q,8,false)</f>
        <v>IBU</v>
      </c>
      <c r="P4697" s="65">
        <f>VLOOKUP(E4697,DATABASE!C:Q,9,False)</f>
        <v>1</v>
      </c>
      <c r="Q4697" s="93" t="str">
        <f>VLOOKUP(E4697,DATABASE!C:Q,4,false)</f>
        <v>Dunlop</v>
      </c>
      <c r="R4697" s="93" t="str">
        <f>VLOOKUP(E4697,DATABASE!C:Q,11,false)</f>
        <v>Tire</v>
      </c>
    </row>
    <row r="4698" ht="22.5" customHeight="1">
      <c r="A4698" s="49"/>
      <c r="C4698" s="384">
        <v>45925.0</v>
      </c>
      <c r="D4698" s="65">
        <v>7269.0</v>
      </c>
      <c r="E4698" s="385" t="s">
        <v>299</v>
      </c>
      <c r="F4698" s="386">
        <v>2.0</v>
      </c>
      <c r="G4698" s="74">
        <v>30000.0</v>
      </c>
      <c r="H4698" s="74">
        <v>0.0</v>
      </c>
      <c r="I4698" s="74">
        <f t="shared" si="1"/>
        <v>60000</v>
      </c>
      <c r="J4698" s="74">
        <f>IF(E4698="SERVICE",I4698-(I4698*50%),Vlookup(E4698,DATABASE!C:Q,10,false)*F4698)</f>
        <v>0</v>
      </c>
      <c r="K4698" s="74">
        <v>0.0</v>
      </c>
      <c r="L4698" s="74">
        <v>0.0</v>
      </c>
      <c r="M4698" s="74">
        <f t="shared" si="2"/>
        <v>0</v>
      </c>
      <c r="N4698" s="74">
        <f t="shared" si="3"/>
        <v>60000</v>
      </c>
      <c r="O4698" s="65" t="str">
        <f>VLOOKUP(E4698,DATABASE!C:Q,8,false)</f>
        <v>BIAN</v>
      </c>
      <c r="P4698" s="65">
        <f>VLOOKUP(E4698,DATABASE!C:Q,9,False)</f>
        <v>0</v>
      </c>
      <c r="Q4698" s="93" t="str">
        <f>VLOOKUP(E4698,DATABASE!C:Q,4,false)</f>
        <v>Balancing</v>
      </c>
      <c r="R4698" s="93" t="str">
        <f>VLOOKUP(E4698,DATABASE!C:Q,11,false)</f>
        <v>COMPLEMENTARY</v>
      </c>
    </row>
    <row r="4699" ht="22.5" customHeight="1">
      <c r="A4699" s="49"/>
      <c r="C4699" s="384">
        <v>45925.0</v>
      </c>
      <c r="D4699" s="65">
        <v>7269.0</v>
      </c>
      <c r="E4699" s="445" t="s">
        <v>262</v>
      </c>
      <c r="F4699" s="386">
        <v>1.0</v>
      </c>
      <c r="G4699" s="74">
        <v>110000.0</v>
      </c>
      <c r="H4699" s="74">
        <v>0.0</v>
      </c>
      <c r="I4699" s="74">
        <f t="shared" si="1"/>
        <v>110000</v>
      </c>
      <c r="J4699" s="74">
        <f>IF(E4699="SERVICE",I4699-(I4699*50%),Vlookup(E4699,DATABASE!C:Q,10,false)*F4699)</f>
        <v>5000</v>
      </c>
      <c r="K4699" s="74">
        <f>VLOOKUP(E4699,DATABASE!C:Q,7,false)</f>
        <v>0</v>
      </c>
      <c r="L4699" s="74">
        <v>0.0</v>
      </c>
      <c r="M4699" s="74">
        <f t="shared" si="2"/>
        <v>0</v>
      </c>
      <c r="N4699" s="74">
        <f t="shared" si="3"/>
        <v>105000</v>
      </c>
      <c r="O4699" s="65" t="str">
        <f>VLOOKUP(E4699,DATABASE!C:Q,8,false)</f>
        <v>IBU</v>
      </c>
      <c r="P4699" s="65">
        <f>VLOOKUP(E4699,DATABASE!C:Q,9,False)</f>
        <v>0</v>
      </c>
      <c r="Q4699" s="93" t="str">
        <f>VLOOKUP(E4699,DATABASE!C:Q,4,false)</f>
        <v>SPOORING SS/CARRY LOS BAK</v>
      </c>
      <c r="R4699" s="93" t="str">
        <f>VLOOKUP(E4699,DATABASE!C:Q,11,false)</f>
        <v>SERVICE</v>
      </c>
    </row>
    <row r="4700" ht="22.5" customHeight="1">
      <c r="A4700" s="49"/>
      <c r="C4700" s="384">
        <v>45925.0</v>
      </c>
      <c r="D4700" s="65">
        <v>7269.0</v>
      </c>
      <c r="E4700" s="445" t="s">
        <v>478</v>
      </c>
      <c r="F4700" s="386">
        <v>1.0</v>
      </c>
      <c r="G4700" s="74">
        <v>200000.0</v>
      </c>
      <c r="H4700" s="74">
        <v>0.0</v>
      </c>
      <c r="I4700" s="74">
        <f t="shared" si="1"/>
        <v>200000</v>
      </c>
      <c r="J4700" s="74">
        <f>IF(E4700="SERVICE",I4700-(I4700*50%),Vlookup(E4700,DATABASE!C:Q,10,false)*F4700)</f>
        <v>25000</v>
      </c>
      <c r="K4700" s="74">
        <f>VLOOKUP(E4700,DATABASE!C:Q,7,false)</f>
        <v>75000</v>
      </c>
      <c r="L4700" s="74">
        <v>75000.0</v>
      </c>
      <c r="M4700" s="74">
        <f t="shared" si="2"/>
        <v>75000</v>
      </c>
      <c r="N4700" s="74">
        <f t="shared" si="3"/>
        <v>100000</v>
      </c>
      <c r="O4700" s="65" t="str">
        <f>VLOOKUP(E4700,DATABASE!C:Q,8,false)</f>
        <v>BIAN</v>
      </c>
      <c r="P4700" s="65">
        <f>VLOOKUP(E4700,DATABASE!C:Q,9,False)</f>
        <v>0</v>
      </c>
      <c r="Q4700" s="93" t="str">
        <f>VLOOKUP(E4700,DATABASE!C:Q,4,false)</f>
        <v>Baut Camber ss-carry</v>
      </c>
      <c r="R4700" s="93" t="str">
        <f>VLOOKUP(E4700,DATABASE!C:Q,11,false)</f>
        <v>COMPLEMENTARY</v>
      </c>
    </row>
    <row r="4701" ht="22.5" customHeight="1">
      <c r="A4701" s="49"/>
      <c r="C4701" s="384">
        <v>45925.0</v>
      </c>
      <c r="D4701" s="65">
        <v>7270.0</v>
      </c>
      <c r="E4701" s="445" t="s">
        <v>256</v>
      </c>
      <c r="F4701" s="386">
        <v>1.0</v>
      </c>
      <c r="G4701" s="74">
        <v>130000.0</v>
      </c>
      <c r="H4701" s="74">
        <v>0.0</v>
      </c>
      <c r="I4701" s="74">
        <f t="shared" si="1"/>
        <v>130000</v>
      </c>
      <c r="J4701" s="74">
        <f>IF(E4701="SERVICE",I4701-(I4701*50%),Vlookup(E4701,DATABASE!C:Q,10,false)*F4701)</f>
        <v>10000</v>
      </c>
      <c r="K4701" s="74">
        <f>VLOOKUP(E4701,DATABASE!C:Q,7,false)</f>
        <v>0</v>
      </c>
      <c r="L4701" s="74">
        <v>0.0</v>
      </c>
      <c r="M4701" s="74">
        <f t="shared" si="2"/>
        <v>0</v>
      </c>
      <c r="N4701" s="74">
        <f t="shared" si="3"/>
        <v>120000</v>
      </c>
      <c r="O4701" s="65" t="str">
        <f>VLOOKUP(E4701,DATABASE!C:Q,8,false)</f>
        <v>IBU</v>
      </c>
      <c r="P4701" s="65">
        <f>VLOOKUP(E4701,DATABASE!C:Q,9,False)</f>
        <v>0</v>
      </c>
      <c r="Q4701" s="93" t="str">
        <f>VLOOKUP(E4701,DATABASE!C:Q,4,false)</f>
        <v>SPOORING</v>
      </c>
      <c r="R4701" s="93" t="str">
        <f>VLOOKUP(E4701,DATABASE!C:Q,11,false)</f>
        <v>SERVICE</v>
      </c>
    </row>
    <row r="4702" ht="22.5" customHeight="1">
      <c r="A4702" s="49"/>
      <c r="C4702" s="384">
        <v>45925.0</v>
      </c>
      <c r="D4702" s="65">
        <v>7270.0</v>
      </c>
      <c r="E4702" s="385" t="s">
        <v>299</v>
      </c>
      <c r="F4702" s="386">
        <v>2.0</v>
      </c>
      <c r="G4702" s="74">
        <v>30000.0</v>
      </c>
      <c r="H4702" s="74">
        <v>0.0</v>
      </c>
      <c r="I4702" s="74">
        <f t="shared" si="1"/>
        <v>60000</v>
      </c>
      <c r="J4702" s="74">
        <f>IF(E4702="SERVICE",I4702-(I4702*50%),Vlookup(E4702,DATABASE!C:Q,10,false)*F4702)</f>
        <v>0</v>
      </c>
      <c r="K4702" s="74">
        <v>0.0</v>
      </c>
      <c r="L4702" s="74">
        <v>0.0</v>
      </c>
      <c r="M4702" s="74">
        <f t="shared" si="2"/>
        <v>0</v>
      </c>
      <c r="N4702" s="74">
        <f t="shared" si="3"/>
        <v>60000</v>
      </c>
      <c r="O4702" s="65" t="str">
        <f>VLOOKUP(E4702,DATABASE!C:Q,8,false)</f>
        <v>BIAN</v>
      </c>
      <c r="P4702" s="65">
        <f>VLOOKUP(E4702,DATABASE!C:Q,9,False)</f>
        <v>0</v>
      </c>
      <c r="Q4702" s="93" t="str">
        <f>VLOOKUP(E4702,DATABASE!C:Q,4,false)</f>
        <v>Balancing</v>
      </c>
      <c r="R4702" s="93" t="str">
        <f>VLOOKUP(E4702,DATABASE!C:Q,11,false)</f>
        <v>COMPLEMENTARY</v>
      </c>
    </row>
    <row r="4703" ht="22.5" customHeight="1">
      <c r="A4703" s="49"/>
      <c r="C4703" s="384">
        <v>45925.0</v>
      </c>
      <c r="D4703" s="65">
        <v>7270.0</v>
      </c>
      <c r="E4703" s="445" t="s">
        <v>301</v>
      </c>
      <c r="F4703" s="386">
        <v>1.0</v>
      </c>
      <c r="G4703" s="74">
        <v>250000.0</v>
      </c>
      <c r="H4703" s="74">
        <v>0.0</v>
      </c>
      <c r="I4703" s="74">
        <f t="shared" si="1"/>
        <v>250000</v>
      </c>
      <c r="J4703" s="74">
        <f>IF(E4703="SERVICE",I4703-(I4703*50%),Vlookup(E4703,DATABASE!C:Q,10,false)*F4703)</f>
        <v>75000</v>
      </c>
      <c r="K4703" s="74">
        <f>VLOOKUP(E4703,DATABASE!C:Q,7,false)</f>
        <v>75000</v>
      </c>
      <c r="L4703" s="74">
        <v>75000.0</v>
      </c>
      <c r="M4703" s="74">
        <f t="shared" si="2"/>
        <v>75000</v>
      </c>
      <c r="N4703" s="74">
        <f t="shared" si="3"/>
        <v>100000</v>
      </c>
      <c r="O4703" s="65" t="str">
        <f>VLOOKUP(E4703,DATABASE!C:Q,8,false)</f>
        <v>BIAN</v>
      </c>
      <c r="P4703" s="65">
        <f>VLOOKUP(E4703,DATABASE!C:Q,9,False)</f>
        <v>0</v>
      </c>
      <c r="Q4703" s="93" t="str">
        <f>VLOOKUP(E4703,DATABASE!C:Q,4,false)</f>
        <v>Baut Camber</v>
      </c>
      <c r="R4703" s="93" t="str">
        <f>VLOOKUP(E4703,DATABASE!C:Q,11,false)</f>
        <v>COMPLEMENTARY</v>
      </c>
    </row>
    <row r="4704" ht="22.5" customHeight="1">
      <c r="A4704" s="49"/>
      <c r="C4704" s="384">
        <v>45925.0</v>
      </c>
      <c r="D4704" s="65">
        <v>7271.0</v>
      </c>
      <c r="E4704" s="445" t="s">
        <v>566</v>
      </c>
      <c r="F4704" s="386">
        <v>4.0</v>
      </c>
      <c r="G4704" s="74">
        <v>1635000.0</v>
      </c>
      <c r="H4704" s="74">
        <v>0.0</v>
      </c>
      <c r="I4704" s="74">
        <f t="shared" si="1"/>
        <v>6540000</v>
      </c>
      <c r="J4704" s="74">
        <f>IF(E4704="SERVICE",I4704-(I4704*50%),Vlookup(E4704,DATABASE!C:Q,10,false)*F4704)</f>
        <v>0</v>
      </c>
      <c r="K4704" s="74">
        <f>VLOOKUP(E4704,DATABASE!C:Q,7,false)</f>
        <v>1565000</v>
      </c>
      <c r="L4704" s="74">
        <v>1545000.0</v>
      </c>
      <c r="M4704" s="74">
        <f t="shared" si="2"/>
        <v>1545000</v>
      </c>
      <c r="N4704" s="74">
        <f t="shared" si="3"/>
        <v>360000</v>
      </c>
      <c r="O4704" s="65" t="str">
        <f>VLOOKUP(E4704,DATABASE!C:Q,8,false)</f>
        <v>IBU</v>
      </c>
      <c r="P4704" s="65">
        <f>VLOOKUP(E4704,DATABASE!C:Q,9,False)</f>
        <v>1</v>
      </c>
      <c r="Q4704" s="93" t="str">
        <f>VLOOKUP(E4704,DATABASE!C:Q,4,false)</f>
        <v>Bridgestone</v>
      </c>
      <c r="R4704" s="93" t="str">
        <f>VLOOKUP(E4704,DATABASE!C:Q,11,false)</f>
        <v>Tire</v>
      </c>
    </row>
    <row r="4705" ht="22.5" customHeight="1">
      <c r="A4705" s="49"/>
      <c r="C4705" s="384">
        <v>45925.0</v>
      </c>
      <c r="D4705" s="65">
        <v>7271.0</v>
      </c>
      <c r="E4705" s="445" t="s">
        <v>737</v>
      </c>
      <c r="F4705" s="386">
        <v>1.0</v>
      </c>
      <c r="G4705" s="74">
        <v>270000.0</v>
      </c>
      <c r="H4705" s="74">
        <v>0.0</v>
      </c>
      <c r="I4705" s="74">
        <f t="shared" si="1"/>
        <v>270000</v>
      </c>
      <c r="J4705" s="74">
        <f>IF(E4705="SERVICE",I4705-(I4705*50%),Vlookup(E4705,DATABASE!C:Q,10,false)*F4705)</f>
        <v>0</v>
      </c>
      <c r="K4705" s="74">
        <f>VLOOKUP(E4705,DATABASE!C:Q,7,false)</f>
        <v>241001.6</v>
      </c>
      <c r="L4705" s="74">
        <v>237440.0</v>
      </c>
      <c r="M4705" s="74">
        <f t="shared" si="2"/>
        <v>240000</v>
      </c>
      <c r="N4705" s="74">
        <f t="shared" si="3"/>
        <v>30000</v>
      </c>
      <c r="O4705" s="65" t="str">
        <f>VLOOKUP(E4705,DATABASE!C:Q,8,false)</f>
        <v>IBU</v>
      </c>
      <c r="P4705" s="65">
        <f>VLOOKUP(E4705,DATABASE!C:Q,9,False)</f>
        <v>1</v>
      </c>
      <c r="Q4705" s="93" t="str">
        <f>VLOOKUP(E4705,DATABASE!C:Q,4,false)</f>
        <v>BD</v>
      </c>
      <c r="R4705" s="93" t="str">
        <f>VLOOKUP(E4705,DATABASE!C:Q,11,false)</f>
        <v>Tire</v>
      </c>
    </row>
    <row r="4706" ht="22.5" customHeight="1">
      <c r="A4706" s="49"/>
      <c r="C4706" s="384">
        <v>45925.0</v>
      </c>
      <c r="D4706" s="65">
        <v>7271.0</v>
      </c>
      <c r="E4706" s="445" t="s">
        <v>1714</v>
      </c>
      <c r="F4706" s="386">
        <v>1.0</v>
      </c>
      <c r="G4706" s="74">
        <v>160000.0</v>
      </c>
      <c r="H4706" s="74">
        <v>0.0</v>
      </c>
      <c r="I4706" s="74">
        <f t="shared" si="1"/>
        <v>160000</v>
      </c>
      <c r="J4706" s="74">
        <f>IF(E4706="SERVICE",I4706-(I4706*50%),Vlookup(E4706,DATABASE!C:Q,10,false)*F4706)</f>
        <v>0</v>
      </c>
      <c r="K4706" s="74">
        <f>VLOOKUP(E4706,DATABASE!C:Q,7,false)</f>
        <v>140000</v>
      </c>
      <c r="L4706" s="74">
        <v>140000.0</v>
      </c>
      <c r="M4706" s="74">
        <f t="shared" si="2"/>
        <v>140000</v>
      </c>
      <c r="N4706" s="74">
        <f t="shared" si="3"/>
        <v>20000</v>
      </c>
      <c r="O4706" s="65" t="str">
        <f>VLOOKUP(E4706,DATABASE!C:Q,8,false)</f>
        <v>IBU</v>
      </c>
      <c r="P4706" s="65">
        <f>VLOOKUP(E4706,DATABASE!C:Q,9,False)</f>
        <v>1</v>
      </c>
      <c r="Q4706" s="93" t="str">
        <f>VLOOKUP(E4706,DATABASE!C:Q,4,false)</f>
        <v>Flap</v>
      </c>
      <c r="R4706" s="93" t="str">
        <f>VLOOKUP(E4706,DATABASE!C:Q,11,false)</f>
        <v>Tire</v>
      </c>
    </row>
    <row r="4707" ht="22.5" customHeight="1">
      <c r="A4707" s="49"/>
      <c r="C4707" s="384">
        <v>45925.0</v>
      </c>
      <c r="D4707" s="65">
        <v>7272.0</v>
      </c>
      <c r="E4707" s="385" t="s">
        <v>299</v>
      </c>
      <c r="F4707" s="386">
        <v>4.0</v>
      </c>
      <c r="G4707" s="74">
        <v>30000.0</v>
      </c>
      <c r="H4707" s="74">
        <v>0.0</v>
      </c>
      <c r="I4707" s="74">
        <f t="shared" si="1"/>
        <v>120000</v>
      </c>
      <c r="J4707" s="74">
        <f>IF(E4707="SERVICE",I4707-(I4707*50%),Vlookup(E4707,DATABASE!C:Q,10,false)*F4707)</f>
        <v>0</v>
      </c>
      <c r="K4707" s="74">
        <v>0.0</v>
      </c>
      <c r="L4707" s="74">
        <v>0.0</v>
      </c>
      <c r="M4707" s="74">
        <f t="shared" si="2"/>
        <v>0</v>
      </c>
      <c r="N4707" s="74">
        <f t="shared" si="3"/>
        <v>120000</v>
      </c>
      <c r="O4707" s="65" t="str">
        <f>VLOOKUP(E4707,DATABASE!C:Q,8,false)</f>
        <v>BIAN</v>
      </c>
      <c r="P4707" s="65">
        <f>VLOOKUP(E4707,DATABASE!C:Q,9,False)</f>
        <v>0</v>
      </c>
      <c r="Q4707" s="93" t="str">
        <f>VLOOKUP(E4707,DATABASE!C:Q,4,false)</f>
        <v>Balancing</v>
      </c>
      <c r="R4707" s="93" t="str">
        <f>VLOOKUP(E4707,DATABASE!C:Q,11,false)</f>
        <v>COMPLEMENTARY</v>
      </c>
    </row>
    <row r="4708" ht="22.5" customHeight="1">
      <c r="A4708" s="49"/>
      <c r="C4708" s="384">
        <v>45925.0</v>
      </c>
      <c r="D4708" s="65">
        <v>7273.0</v>
      </c>
      <c r="E4708" s="445" t="s">
        <v>275</v>
      </c>
      <c r="F4708" s="386">
        <v>1.0</v>
      </c>
      <c r="G4708" s="74">
        <v>850000.0</v>
      </c>
      <c r="H4708" s="74">
        <v>0.0</v>
      </c>
      <c r="I4708" s="74">
        <f t="shared" si="1"/>
        <v>850000</v>
      </c>
      <c r="J4708" s="74">
        <f>IF(E4708="SERVICE",I4708-(I4708*50%),Vlookup(E4708,DATABASE!C:Q,10,false)*F4708)</f>
        <v>0</v>
      </c>
      <c r="K4708" s="74">
        <f>VLOOKUP(E4708,DATABASE!C:Q,7,false)</f>
        <v>782000</v>
      </c>
      <c r="L4708" s="74">
        <v>745000.0</v>
      </c>
      <c r="M4708" s="74">
        <f t="shared" si="2"/>
        <v>745000</v>
      </c>
      <c r="N4708" s="74">
        <f t="shared" si="3"/>
        <v>105000</v>
      </c>
      <c r="O4708" s="65" t="str">
        <f>VLOOKUP(E4708,DATABASE!C:Q,8,false)</f>
        <v>IBU</v>
      </c>
      <c r="P4708" s="65">
        <f>VLOOKUP(E4708,DATABASE!C:Q,9,False)</f>
        <v>1</v>
      </c>
      <c r="Q4708" s="93" t="str">
        <f>VLOOKUP(E4708,DATABASE!C:Q,4,false)</f>
        <v>Dunlop</v>
      </c>
      <c r="R4708" s="93" t="str">
        <f>VLOOKUP(E4708,DATABASE!C:Q,11,false)</f>
        <v>Tire</v>
      </c>
    </row>
    <row r="4709" ht="22.5" customHeight="1">
      <c r="A4709" s="49"/>
      <c r="C4709" s="384">
        <v>45925.0</v>
      </c>
      <c r="D4709" s="65">
        <v>7276.0</v>
      </c>
      <c r="E4709" s="445" t="s">
        <v>268</v>
      </c>
      <c r="F4709" s="386">
        <v>2.0</v>
      </c>
      <c r="G4709" s="74">
        <v>720000.0</v>
      </c>
      <c r="H4709" s="74">
        <v>0.0</v>
      </c>
      <c r="I4709" s="74">
        <f t="shared" si="1"/>
        <v>1440000</v>
      </c>
      <c r="J4709" s="74">
        <f>IF(E4709="SERVICE",I4709-(I4709*50%),Vlookup(E4709,DATABASE!C:Q,10,false)*F4709)</f>
        <v>0</v>
      </c>
      <c r="K4709" s="74">
        <f>VLOOKUP(E4709,DATABASE!C:Q,7,false)</f>
        <v>653000</v>
      </c>
      <c r="L4709" s="74">
        <v>622000.0</v>
      </c>
      <c r="M4709" s="74">
        <f t="shared" si="2"/>
        <v>625000</v>
      </c>
      <c r="N4709" s="74">
        <f t="shared" si="3"/>
        <v>190000</v>
      </c>
      <c r="O4709" s="65" t="str">
        <f>VLOOKUP(E4709,DATABASE!C:Q,8,false)</f>
        <v>IBU</v>
      </c>
      <c r="P4709" s="65">
        <f>VLOOKUP(E4709,DATABASE!C:Q,9,False)</f>
        <v>1</v>
      </c>
      <c r="Q4709" s="93" t="str">
        <f>VLOOKUP(E4709,DATABASE!C:Q,4,false)</f>
        <v>Dunlop</v>
      </c>
      <c r="R4709" s="93" t="str">
        <f>VLOOKUP(E4709,DATABASE!C:Q,11,false)</f>
        <v>Tire</v>
      </c>
    </row>
    <row r="4710" ht="22.5" customHeight="1">
      <c r="A4710" s="49"/>
      <c r="C4710" s="384">
        <v>45925.0</v>
      </c>
      <c r="D4710" s="65">
        <v>7276.0</v>
      </c>
      <c r="E4710" s="445" t="s">
        <v>256</v>
      </c>
      <c r="F4710" s="386">
        <v>1.0</v>
      </c>
      <c r="G4710" s="74">
        <v>130000.0</v>
      </c>
      <c r="H4710" s="74">
        <v>0.0</v>
      </c>
      <c r="I4710" s="74">
        <f t="shared" si="1"/>
        <v>130000</v>
      </c>
      <c r="J4710" s="74">
        <f>IF(E4710="SERVICE",I4710-(I4710*50%),Vlookup(E4710,DATABASE!C:Q,10,false)*F4710)</f>
        <v>10000</v>
      </c>
      <c r="K4710" s="74">
        <f>VLOOKUP(E4710,DATABASE!C:Q,7,false)</f>
        <v>0</v>
      </c>
      <c r="L4710" s="74">
        <v>0.0</v>
      </c>
      <c r="M4710" s="74">
        <f t="shared" si="2"/>
        <v>0</v>
      </c>
      <c r="N4710" s="74">
        <f t="shared" si="3"/>
        <v>120000</v>
      </c>
      <c r="O4710" s="65" t="str">
        <f>VLOOKUP(E4710,DATABASE!C:Q,8,false)</f>
        <v>IBU</v>
      </c>
      <c r="P4710" s="65">
        <f>VLOOKUP(E4710,DATABASE!C:Q,9,False)</f>
        <v>0</v>
      </c>
      <c r="Q4710" s="93" t="str">
        <f>VLOOKUP(E4710,DATABASE!C:Q,4,false)</f>
        <v>SPOORING</v>
      </c>
      <c r="R4710" s="93" t="str">
        <f>VLOOKUP(E4710,DATABASE!C:Q,11,false)</f>
        <v>SERVICE</v>
      </c>
    </row>
    <row r="4711" ht="22.5" customHeight="1">
      <c r="A4711" s="49"/>
      <c r="C4711" s="384">
        <v>45925.0</v>
      </c>
      <c r="D4711" s="65">
        <v>7276.0</v>
      </c>
      <c r="E4711" s="385" t="s">
        <v>299</v>
      </c>
      <c r="F4711" s="386">
        <v>2.0</v>
      </c>
      <c r="G4711" s="74">
        <v>30000.0</v>
      </c>
      <c r="H4711" s="74">
        <v>0.0</v>
      </c>
      <c r="I4711" s="74">
        <f t="shared" si="1"/>
        <v>60000</v>
      </c>
      <c r="J4711" s="74">
        <f>IF(E4711="SERVICE",I4711-(I4711*50%),Vlookup(E4711,DATABASE!C:Q,10,false)*F4711)</f>
        <v>0</v>
      </c>
      <c r="K4711" s="74">
        <v>0.0</v>
      </c>
      <c r="L4711" s="74">
        <v>0.0</v>
      </c>
      <c r="M4711" s="74">
        <f t="shared" si="2"/>
        <v>0</v>
      </c>
      <c r="N4711" s="74">
        <f t="shared" si="3"/>
        <v>60000</v>
      </c>
      <c r="O4711" s="65" t="str">
        <f>VLOOKUP(E4711,DATABASE!C:Q,8,false)</f>
        <v>BIAN</v>
      </c>
      <c r="P4711" s="65">
        <f>VLOOKUP(E4711,DATABASE!C:Q,9,False)</f>
        <v>0</v>
      </c>
      <c r="Q4711" s="93" t="str">
        <f>VLOOKUP(E4711,DATABASE!C:Q,4,false)</f>
        <v>Balancing</v>
      </c>
      <c r="R4711" s="93" t="str">
        <f>VLOOKUP(E4711,DATABASE!C:Q,11,false)</f>
        <v>COMPLEMENTARY</v>
      </c>
    </row>
    <row r="4712" ht="22.5" customHeight="1">
      <c r="A4712" s="49"/>
      <c r="C4712" s="384">
        <v>45926.0</v>
      </c>
      <c r="D4712" s="65">
        <v>7278.0</v>
      </c>
      <c r="E4712" s="445" t="s">
        <v>282</v>
      </c>
      <c r="F4712" s="386">
        <v>1.0</v>
      </c>
      <c r="G4712" s="74">
        <v>860000.0</v>
      </c>
      <c r="H4712" s="74">
        <v>0.0</v>
      </c>
      <c r="I4712" s="74">
        <f t="shared" si="1"/>
        <v>860000</v>
      </c>
      <c r="J4712" s="74">
        <f>IF(E4712="SERVICE",I4712-(I4712*50%),Vlookup(E4712,DATABASE!C:Q,10,false)*F4712)</f>
        <v>0</v>
      </c>
      <c r="K4712" s="74">
        <f>VLOOKUP(E4712,DATABASE!C:Q,7,false)</f>
        <v>779500</v>
      </c>
      <c r="L4712" s="74">
        <v>771000.0</v>
      </c>
      <c r="M4712" s="74">
        <f t="shared" si="2"/>
        <v>775000</v>
      </c>
      <c r="N4712" s="74">
        <f t="shared" si="3"/>
        <v>85000</v>
      </c>
      <c r="O4712" s="65" t="str">
        <f>VLOOKUP(E4712,DATABASE!C:Q,8,false)</f>
        <v>IBU</v>
      </c>
      <c r="P4712" s="65">
        <f>VLOOKUP(E4712,DATABASE!C:Q,9,False)</f>
        <v>1</v>
      </c>
      <c r="Q4712" s="93" t="str">
        <f>VLOOKUP(E4712,DATABASE!C:Q,4,false)</f>
        <v>Dunlop</v>
      </c>
      <c r="R4712" s="93" t="str">
        <f>VLOOKUP(E4712,DATABASE!C:Q,11,false)</f>
        <v>Tire</v>
      </c>
    </row>
    <row r="4713" ht="22.5" customHeight="1">
      <c r="A4713" s="49"/>
      <c r="C4713" s="384">
        <v>45926.0</v>
      </c>
      <c r="D4713" s="65">
        <v>7279.0</v>
      </c>
      <c r="E4713" s="445" t="s">
        <v>554</v>
      </c>
      <c r="F4713" s="386">
        <v>1.0</v>
      </c>
      <c r="G4713" s="74">
        <v>765000.0</v>
      </c>
      <c r="H4713" s="74">
        <v>0.0</v>
      </c>
      <c r="I4713" s="74">
        <f t="shared" si="1"/>
        <v>765000</v>
      </c>
      <c r="J4713" s="74">
        <f>IF(E4713="SERVICE",I4713-(I4713*50%),Vlookup(E4713,DATABASE!C:Q,10,false)*F4713)</f>
        <v>0</v>
      </c>
      <c r="K4713" s="74">
        <f>VLOOKUP(E4713,DATABASE!C:Q,7,false)</f>
        <v>710000</v>
      </c>
      <c r="L4713" s="74">
        <v>680000.0</v>
      </c>
      <c r="M4713" s="74">
        <f t="shared" si="2"/>
        <v>680000</v>
      </c>
      <c r="N4713" s="74">
        <f t="shared" si="3"/>
        <v>85000</v>
      </c>
      <c r="O4713" s="65" t="str">
        <f>VLOOKUP(E4713,DATABASE!C:Q,8,false)</f>
        <v>IBU</v>
      </c>
      <c r="P4713" s="65">
        <f>VLOOKUP(E4713,DATABASE!C:Q,9,False)</f>
        <v>1</v>
      </c>
      <c r="Q4713" s="93" t="str">
        <f>VLOOKUP(E4713,DATABASE!C:Q,4,false)</f>
        <v>Bridgestone</v>
      </c>
      <c r="R4713" s="93" t="str">
        <f>VLOOKUP(E4713,DATABASE!C:Q,11,false)</f>
        <v>Tire</v>
      </c>
    </row>
    <row r="4714" ht="22.5" customHeight="1">
      <c r="A4714" s="49"/>
      <c r="C4714" s="384">
        <v>45926.0</v>
      </c>
      <c r="D4714" s="65">
        <v>7280.0</v>
      </c>
      <c r="E4714" s="445" t="s">
        <v>569</v>
      </c>
      <c r="F4714" s="386">
        <v>3.0</v>
      </c>
      <c r="G4714" s="74">
        <v>80000.0</v>
      </c>
      <c r="H4714" s="74">
        <v>0.0</v>
      </c>
      <c r="I4714" s="74">
        <f t="shared" si="1"/>
        <v>240000</v>
      </c>
      <c r="J4714" s="74">
        <f>IF(E4714="SERVICE",I4714-(I4714*50%),Vlookup(E4714,DATABASE!C:Q,10,false)*F4714)</f>
        <v>0</v>
      </c>
      <c r="K4714" s="74">
        <f>VLOOKUP(E4714,DATABASE!C:Q,7,false)</f>
        <v>45439.582</v>
      </c>
      <c r="L4714" s="74">
        <v>45309.6</v>
      </c>
      <c r="M4714" s="74">
        <f t="shared" si="2"/>
        <v>50000</v>
      </c>
      <c r="N4714" s="74">
        <f t="shared" si="3"/>
        <v>90000</v>
      </c>
      <c r="O4714" s="65" t="str">
        <f>VLOOKUP(E4714,DATABASE!C:Q,8,false)</f>
        <v>BIAN</v>
      </c>
      <c r="P4714" s="65">
        <f>VLOOKUP(E4714,DATABASE!C:Q,9,False)</f>
        <v>1</v>
      </c>
      <c r="Q4714" s="93" t="str">
        <f>VLOOKUP(E4714,DATABASE!C:Q,4,false)</f>
        <v>BD</v>
      </c>
      <c r="R4714" s="93" t="str">
        <f>VLOOKUP(E4714,DATABASE!C:Q,11,false)</f>
        <v>Tire</v>
      </c>
    </row>
    <row r="4715" ht="22.5" customHeight="1">
      <c r="A4715" s="49"/>
      <c r="C4715" s="384">
        <v>45926.0</v>
      </c>
      <c r="D4715" s="65">
        <v>7281.0</v>
      </c>
      <c r="E4715" s="445" t="s">
        <v>889</v>
      </c>
      <c r="F4715" s="386">
        <v>2.0</v>
      </c>
      <c r="G4715" s="74">
        <v>760000.0</v>
      </c>
      <c r="H4715" s="74">
        <v>0.0</v>
      </c>
      <c r="I4715" s="74">
        <f t="shared" si="1"/>
        <v>1520000</v>
      </c>
      <c r="J4715" s="74">
        <f>IF(E4715="SERVICE",I4715-(I4715*50%),Vlookup(E4715,DATABASE!C:Q,10,false)*F4715)</f>
        <v>0</v>
      </c>
      <c r="K4715" s="74">
        <f>VLOOKUP(E4715,DATABASE!C:Q,7,false)</f>
        <v>678000</v>
      </c>
      <c r="L4715" s="74">
        <v>678000.0</v>
      </c>
      <c r="M4715" s="74">
        <f t="shared" si="2"/>
        <v>680000</v>
      </c>
      <c r="N4715" s="74">
        <f t="shared" si="3"/>
        <v>160000</v>
      </c>
      <c r="O4715" s="65" t="str">
        <f>VLOOKUP(E4715,DATABASE!C:Q,8,false)</f>
        <v>BIAN</v>
      </c>
      <c r="P4715" s="65">
        <f>VLOOKUP(E4715,DATABASE!C:Q,9,False)</f>
        <v>1</v>
      </c>
      <c r="Q4715" s="93" t="str">
        <f>VLOOKUP(E4715,DATABASE!C:Q,4,false)</f>
        <v>Sailun</v>
      </c>
      <c r="R4715" s="93" t="str">
        <f>VLOOKUP(E4715,DATABASE!C:Q,11,false)</f>
        <v>Tire</v>
      </c>
    </row>
    <row r="4716" ht="22.5" customHeight="1">
      <c r="A4716" s="49"/>
      <c r="C4716" s="384">
        <v>45926.0</v>
      </c>
      <c r="D4716" s="65">
        <v>7282.0</v>
      </c>
      <c r="E4716" s="445" t="s">
        <v>251</v>
      </c>
      <c r="F4716" s="386">
        <v>1.0</v>
      </c>
      <c r="G4716" s="74">
        <v>150000.0</v>
      </c>
      <c r="H4716" s="74">
        <v>0.0</v>
      </c>
      <c r="I4716" s="74">
        <f t="shared" si="1"/>
        <v>150000</v>
      </c>
      <c r="J4716" s="74">
        <f>IF(E4716="SERVICE",I4716-(I4716*50%),Vlookup(E4716,DATABASE!C:Q,10,false)*F4716)</f>
        <v>75000</v>
      </c>
      <c r="K4716" s="74">
        <f>VLOOKUP(E4716,DATABASE!C:Q,7,false)</f>
        <v>0</v>
      </c>
      <c r="L4716" s="74">
        <v>0.0</v>
      </c>
      <c r="M4716" s="74">
        <f t="shared" si="2"/>
        <v>0</v>
      </c>
      <c r="N4716" s="74">
        <f t="shared" si="3"/>
        <v>75000</v>
      </c>
      <c r="O4716" s="65" t="str">
        <f>VLOOKUP(E4716,DATABASE!C:Q,8,false)</f>
        <v>IBU</v>
      </c>
      <c r="P4716" s="65">
        <f>VLOOKUP(E4716,DATABASE!C:Q,9,False)</f>
        <v>0</v>
      </c>
      <c r="Q4716" s="93" t="str">
        <f>VLOOKUP(E4716,DATABASE!C:Q,4,false)</f>
        <v>SERVICE</v>
      </c>
      <c r="R4716" s="93" t="str">
        <f>VLOOKUP(E4716,DATABASE!C:Q,11,false)</f>
        <v>SERVICE</v>
      </c>
    </row>
    <row r="4717" ht="22.5" customHeight="1">
      <c r="A4717" s="49"/>
      <c r="C4717" s="384">
        <v>45926.0</v>
      </c>
      <c r="D4717" s="65">
        <v>7283.0</v>
      </c>
      <c r="E4717" s="445" t="s">
        <v>268</v>
      </c>
      <c r="F4717" s="386">
        <v>2.0</v>
      </c>
      <c r="G4717" s="74">
        <v>710000.0</v>
      </c>
      <c r="H4717" s="74">
        <v>0.0</v>
      </c>
      <c r="I4717" s="74">
        <f t="shared" si="1"/>
        <v>1420000</v>
      </c>
      <c r="J4717" s="74">
        <f>IF(E4717="SERVICE",I4717-(I4717*50%),Vlookup(E4717,DATABASE!C:Q,10,false)*F4717)</f>
        <v>0</v>
      </c>
      <c r="K4717" s="74">
        <f>VLOOKUP(E4717,DATABASE!C:Q,7,false)</f>
        <v>653000</v>
      </c>
      <c r="L4717" s="74">
        <v>622000.0</v>
      </c>
      <c r="M4717" s="74">
        <f t="shared" si="2"/>
        <v>625000</v>
      </c>
      <c r="N4717" s="74">
        <f t="shared" si="3"/>
        <v>170000</v>
      </c>
      <c r="O4717" s="65" t="str">
        <f>VLOOKUP(E4717,DATABASE!C:Q,8,false)</f>
        <v>IBU</v>
      </c>
      <c r="P4717" s="65">
        <f>VLOOKUP(E4717,DATABASE!C:Q,9,False)</f>
        <v>1</v>
      </c>
      <c r="Q4717" s="93" t="str">
        <f>VLOOKUP(E4717,DATABASE!C:Q,4,false)</f>
        <v>Dunlop</v>
      </c>
      <c r="R4717" s="93" t="str">
        <f>VLOOKUP(E4717,DATABASE!C:Q,11,false)</f>
        <v>Tire</v>
      </c>
    </row>
    <row r="4718" ht="22.5" customHeight="1">
      <c r="A4718" s="49"/>
      <c r="C4718" s="384">
        <v>45926.0</v>
      </c>
      <c r="D4718" s="65">
        <v>7284.0</v>
      </c>
      <c r="E4718" s="445" t="s">
        <v>246</v>
      </c>
      <c r="F4718" s="386">
        <v>2.0</v>
      </c>
      <c r="G4718" s="74">
        <v>25000.0</v>
      </c>
      <c r="H4718" s="74">
        <v>0.0</v>
      </c>
      <c r="I4718" s="74">
        <f t="shared" si="1"/>
        <v>50000</v>
      </c>
      <c r="J4718" s="74">
        <f>IF(E4718="SERVICE",I4718-(I4718*50%),Vlookup(E4718,DATABASE!C:Q,10,false)*F4718)</f>
        <v>0</v>
      </c>
      <c r="K4718" s="74">
        <f>VLOOKUP(E4718,DATABASE!C:Q,7,false)</f>
        <v>0</v>
      </c>
      <c r="L4718" s="74">
        <v>0.0</v>
      </c>
      <c r="M4718" s="74">
        <f t="shared" si="2"/>
        <v>0</v>
      </c>
      <c r="N4718" s="74">
        <f t="shared" si="3"/>
        <v>50000</v>
      </c>
      <c r="O4718" s="65" t="str">
        <f>VLOOKUP(E4718,DATABASE!C:Q,8,false)</f>
        <v>IBU</v>
      </c>
      <c r="P4718" s="65">
        <f>VLOOKUP(E4718,DATABASE!C:Q,9,False)</f>
        <v>0</v>
      </c>
      <c r="Q4718" s="93" t="str">
        <f>VLOOKUP(E4718,DATABASE!C:Q,4,false)</f>
        <v>Bongkar Pasang</v>
      </c>
      <c r="R4718" s="93" t="str">
        <f>VLOOKUP(E4718,DATABASE!C:Q,11,false)</f>
        <v>SERVICE</v>
      </c>
    </row>
    <row r="4719" ht="22.5" customHeight="1">
      <c r="A4719" s="49"/>
      <c r="C4719" s="384">
        <v>45926.0</v>
      </c>
      <c r="D4719" s="65">
        <v>7285.0</v>
      </c>
      <c r="E4719" s="445" t="s">
        <v>268</v>
      </c>
      <c r="F4719" s="386">
        <v>1.0</v>
      </c>
      <c r="G4719" s="74">
        <v>720000.0</v>
      </c>
      <c r="H4719" s="74">
        <v>0.0</v>
      </c>
      <c r="I4719" s="74">
        <f t="shared" si="1"/>
        <v>720000</v>
      </c>
      <c r="J4719" s="74">
        <f>IF(E4719="SERVICE",I4719-(I4719*50%),Vlookup(E4719,DATABASE!C:Q,10,false)*F4719)</f>
        <v>0</v>
      </c>
      <c r="K4719" s="74">
        <f>VLOOKUP(E4719,DATABASE!C:Q,7,false)</f>
        <v>653000</v>
      </c>
      <c r="L4719" s="74">
        <v>622000.0</v>
      </c>
      <c r="M4719" s="74">
        <f t="shared" si="2"/>
        <v>625000</v>
      </c>
      <c r="N4719" s="74">
        <f t="shared" si="3"/>
        <v>95000</v>
      </c>
      <c r="O4719" s="65" t="str">
        <f>VLOOKUP(E4719,DATABASE!C:Q,8,false)</f>
        <v>IBU</v>
      </c>
      <c r="P4719" s="65">
        <f>VLOOKUP(E4719,DATABASE!C:Q,9,False)</f>
        <v>1</v>
      </c>
      <c r="Q4719" s="93" t="str">
        <f>VLOOKUP(E4719,DATABASE!C:Q,4,false)</f>
        <v>Dunlop</v>
      </c>
      <c r="R4719" s="93" t="str">
        <f>VLOOKUP(E4719,DATABASE!C:Q,11,false)</f>
        <v>Tire</v>
      </c>
    </row>
    <row r="4720" ht="22.5" customHeight="1">
      <c r="A4720" s="49"/>
      <c r="C4720" s="384">
        <v>45926.0</v>
      </c>
      <c r="D4720" s="65">
        <v>7286.0</v>
      </c>
      <c r="E4720" s="445" t="s">
        <v>256</v>
      </c>
      <c r="F4720" s="386">
        <v>1.0</v>
      </c>
      <c r="G4720" s="74">
        <v>130000.0</v>
      </c>
      <c r="H4720" s="74">
        <v>0.0</v>
      </c>
      <c r="I4720" s="74">
        <f t="shared" si="1"/>
        <v>130000</v>
      </c>
      <c r="J4720" s="74">
        <f>IF(E4720="SERVICE",I4720-(I4720*50%),Vlookup(E4720,DATABASE!C:Q,10,false)*F4720)</f>
        <v>10000</v>
      </c>
      <c r="K4720" s="74">
        <f>VLOOKUP(E4720,DATABASE!C:Q,7,false)</f>
        <v>0</v>
      </c>
      <c r="L4720" s="74">
        <v>0.0</v>
      </c>
      <c r="M4720" s="74">
        <f t="shared" si="2"/>
        <v>0</v>
      </c>
      <c r="N4720" s="74">
        <f t="shared" si="3"/>
        <v>120000</v>
      </c>
      <c r="O4720" s="65" t="str">
        <f>VLOOKUP(E4720,DATABASE!C:Q,8,false)</f>
        <v>IBU</v>
      </c>
      <c r="P4720" s="65">
        <f>VLOOKUP(E4720,DATABASE!C:Q,9,False)</f>
        <v>0</v>
      </c>
      <c r="Q4720" s="93" t="str">
        <f>VLOOKUP(E4720,DATABASE!C:Q,4,false)</f>
        <v>SPOORING</v>
      </c>
      <c r="R4720" s="93" t="str">
        <f>VLOOKUP(E4720,DATABASE!C:Q,11,false)</f>
        <v>SERVICE</v>
      </c>
    </row>
    <row r="4721" ht="22.5" customHeight="1">
      <c r="A4721" s="49"/>
      <c r="C4721" s="384">
        <v>45926.0</v>
      </c>
      <c r="D4721" s="65">
        <v>7286.0</v>
      </c>
      <c r="E4721" s="445" t="s">
        <v>301</v>
      </c>
      <c r="F4721" s="386">
        <v>1.0</v>
      </c>
      <c r="G4721" s="74">
        <v>250000.0</v>
      </c>
      <c r="H4721" s="74">
        <v>0.0</v>
      </c>
      <c r="I4721" s="74">
        <f t="shared" si="1"/>
        <v>250000</v>
      </c>
      <c r="J4721" s="74">
        <f>IF(E4721="SERVICE",I4721-(I4721*50%),Vlookup(E4721,DATABASE!C:Q,10,false)*F4721)</f>
        <v>75000</v>
      </c>
      <c r="K4721" s="74">
        <f>VLOOKUP(E4721,DATABASE!C:Q,7,false)</f>
        <v>75000</v>
      </c>
      <c r="L4721" s="74">
        <v>75000.0</v>
      </c>
      <c r="M4721" s="74">
        <f t="shared" si="2"/>
        <v>75000</v>
      </c>
      <c r="N4721" s="74">
        <f t="shared" si="3"/>
        <v>100000</v>
      </c>
      <c r="O4721" s="65" t="str">
        <f>VLOOKUP(E4721,DATABASE!C:Q,8,false)</f>
        <v>BIAN</v>
      </c>
      <c r="P4721" s="65">
        <f>VLOOKUP(E4721,DATABASE!C:Q,9,False)</f>
        <v>0</v>
      </c>
      <c r="Q4721" s="93" t="str">
        <f>VLOOKUP(E4721,DATABASE!C:Q,4,false)</f>
        <v>Baut Camber</v>
      </c>
      <c r="R4721" s="93" t="str">
        <f>VLOOKUP(E4721,DATABASE!C:Q,11,false)</f>
        <v>COMPLEMENTARY</v>
      </c>
    </row>
    <row r="4722" ht="22.5" customHeight="1">
      <c r="A4722" s="49"/>
      <c r="C4722" s="384">
        <v>45926.0</v>
      </c>
      <c r="D4722" s="65">
        <v>7286.0</v>
      </c>
      <c r="E4722" s="385" t="s">
        <v>299</v>
      </c>
      <c r="F4722" s="386">
        <v>2.0</v>
      </c>
      <c r="G4722" s="74">
        <v>30000.0</v>
      </c>
      <c r="H4722" s="74">
        <v>0.0</v>
      </c>
      <c r="I4722" s="74">
        <f t="shared" si="1"/>
        <v>60000</v>
      </c>
      <c r="J4722" s="74">
        <f>IF(E4722="SERVICE",I4722-(I4722*50%),Vlookup(E4722,DATABASE!C:Q,10,false)*F4722)</f>
        <v>0</v>
      </c>
      <c r="K4722" s="74">
        <v>0.0</v>
      </c>
      <c r="L4722" s="74">
        <v>0.0</v>
      </c>
      <c r="M4722" s="74">
        <f t="shared" si="2"/>
        <v>0</v>
      </c>
      <c r="N4722" s="74">
        <f t="shared" si="3"/>
        <v>60000</v>
      </c>
      <c r="O4722" s="65" t="str">
        <f>VLOOKUP(E4722,DATABASE!C:Q,8,false)</f>
        <v>BIAN</v>
      </c>
      <c r="P4722" s="65">
        <f>VLOOKUP(E4722,DATABASE!C:Q,9,False)</f>
        <v>0</v>
      </c>
      <c r="Q4722" s="93" t="str">
        <f>VLOOKUP(E4722,DATABASE!C:Q,4,false)</f>
        <v>Balancing</v>
      </c>
      <c r="R4722" s="93" t="str">
        <f>VLOOKUP(E4722,DATABASE!C:Q,11,false)</f>
        <v>COMPLEMENTARY</v>
      </c>
    </row>
    <row r="4723" ht="22.5" customHeight="1">
      <c r="A4723" s="49"/>
      <c r="C4723" s="384">
        <v>45926.0</v>
      </c>
      <c r="D4723" s="65">
        <v>7287.0</v>
      </c>
      <c r="E4723" s="445" t="s">
        <v>566</v>
      </c>
      <c r="F4723" s="386">
        <v>2.0</v>
      </c>
      <c r="G4723" s="74">
        <v>1670000.0</v>
      </c>
      <c r="H4723" s="74">
        <v>0.0</v>
      </c>
      <c r="I4723" s="74">
        <f t="shared" si="1"/>
        <v>3340000</v>
      </c>
      <c r="J4723" s="74">
        <f>IF(E4723="SERVICE",I4723-(I4723*50%),Vlookup(E4723,DATABASE!C:Q,10,false)*F4723)</f>
        <v>0</v>
      </c>
      <c r="K4723" s="74">
        <f>VLOOKUP(E4723,DATABASE!C:Q,7,false)</f>
        <v>1565000</v>
      </c>
      <c r="L4723" s="74">
        <v>1545000.0</v>
      </c>
      <c r="M4723" s="74">
        <f t="shared" si="2"/>
        <v>1545000</v>
      </c>
      <c r="N4723" s="74">
        <f t="shared" si="3"/>
        <v>250000</v>
      </c>
      <c r="O4723" s="65" t="str">
        <f>VLOOKUP(E4723,DATABASE!C:Q,8,false)</f>
        <v>IBU</v>
      </c>
      <c r="P4723" s="65">
        <f>VLOOKUP(E4723,DATABASE!C:Q,9,False)</f>
        <v>1</v>
      </c>
      <c r="Q4723" s="93" t="str">
        <f>VLOOKUP(E4723,DATABASE!C:Q,4,false)</f>
        <v>Bridgestone</v>
      </c>
      <c r="R4723" s="93" t="str">
        <f>VLOOKUP(E4723,DATABASE!C:Q,11,false)</f>
        <v>Tire</v>
      </c>
    </row>
    <row r="4724" ht="22.5" customHeight="1">
      <c r="A4724" s="49"/>
      <c r="C4724" s="384">
        <v>45926.0</v>
      </c>
      <c r="D4724" s="65">
        <v>7288.0</v>
      </c>
      <c r="E4724" s="445" t="s">
        <v>262</v>
      </c>
      <c r="F4724" s="386">
        <v>1.0</v>
      </c>
      <c r="G4724" s="74">
        <v>110000.0</v>
      </c>
      <c r="H4724" s="74">
        <v>0.0</v>
      </c>
      <c r="I4724" s="74">
        <f t="shared" si="1"/>
        <v>110000</v>
      </c>
      <c r="J4724" s="74">
        <f>IF(E4724="SERVICE",I4724-(I4724*50%),Vlookup(E4724,DATABASE!C:Q,10,false)*F4724)</f>
        <v>5000</v>
      </c>
      <c r="K4724" s="74">
        <f>VLOOKUP(E4724,DATABASE!C:Q,7,false)</f>
        <v>0</v>
      </c>
      <c r="L4724" s="74">
        <v>0.0</v>
      </c>
      <c r="M4724" s="74">
        <f t="shared" si="2"/>
        <v>0</v>
      </c>
      <c r="N4724" s="74">
        <f t="shared" si="3"/>
        <v>105000</v>
      </c>
      <c r="O4724" s="65" t="str">
        <f>VLOOKUP(E4724,DATABASE!C:Q,8,false)</f>
        <v>IBU</v>
      </c>
      <c r="P4724" s="65">
        <f>VLOOKUP(E4724,DATABASE!C:Q,9,False)</f>
        <v>0</v>
      </c>
      <c r="Q4724" s="93" t="str">
        <f>VLOOKUP(E4724,DATABASE!C:Q,4,false)</f>
        <v>SPOORING SS/CARRY LOS BAK</v>
      </c>
      <c r="R4724" s="93" t="str">
        <f>VLOOKUP(E4724,DATABASE!C:Q,11,false)</f>
        <v>SERVICE</v>
      </c>
    </row>
    <row r="4725" ht="22.5" customHeight="1">
      <c r="A4725" s="49"/>
      <c r="C4725" s="384">
        <v>45926.0</v>
      </c>
      <c r="D4725" s="65">
        <v>7288.0</v>
      </c>
      <c r="E4725" s="385" t="s">
        <v>305</v>
      </c>
      <c r="F4725" s="386">
        <v>1.0</v>
      </c>
      <c r="G4725" s="74">
        <v>235000.0</v>
      </c>
      <c r="H4725" s="74">
        <v>0.0</v>
      </c>
      <c r="I4725" s="74">
        <f t="shared" si="1"/>
        <v>235000</v>
      </c>
      <c r="J4725" s="74">
        <f>IF(E4725="SERVICE",I4725-(I4725*50%),Vlookup(E4725,DATABASE!C:Q,10,false)*F4725)</f>
        <v>40000</v>
      </c>
      <c r="K4725" s="74">
        <f>VLOOKUP(E4725,DATABASE!C:Q,7,false)</f>
        <v>158530.2</v>
      </c>
      <c r="L4725" s="74">
        <v>151890.0</v>
      </c>
      <c r="M4725" s="74">
        <f t="shared" si="2"/>
        <v>155000</v>
      </c>
      <c r="N4725" s="74">
        <f t="shared" si="3"/>
        <v>40000</v>
      </c>
      <c r="O4725" s="65" t="str">
        <f>VLOOKUP(E4725,DATABASE!C:Q,8,false)</f>
        <v>BIAN</v>
      </c>
      <c r="P4725" s="65">
        <f>VLOOKUP(E4725,DATABASE!C:Q,9,False)</f>
        <v>1</v>
      </c>
      <c r="Q4725" s="93" t="str">
        <f>VLOOKUP(E4725,DATABASE!C:Q,4,false)</f>
        <v>Lower Arm</v>
      </c>
      <c r="R4725" s="93" t="str">
        <f>VLOOKUP(E4725,DATABASE!C:Q,11,false)</f>
        <v>COMPLEMENTARY</v>
      </c>
    </row>
    <row r="4726" ht="22.5" customHeight="1">
      <c r="A4726" s="49"/>
      <c r="C4726" s="384">
        <v>45926.0</v>
      </c>
      <c r="D4726" s="65">
        <v>7288.0</v>
      </c>
      <c r="E4726" s="445" t="s">
        <v>478</v>
      </c>
      <c r="F4726" s="386">
        <v>1.0</v>
      </c>
      <c r="G4726" s="74">
        <v>200000.0</v>
      </c>
      <c r="H4726" s="74">
        <v>0.0</v>
      </c>
      <c r="I4726" s="74">
        <f t="shared" si="1"/>
        <v>200000</v>
      </c>
      <c r="J4726" s="74">
        <f>IF(E4726="SERVICE",I4726-(I4726*50%),Vlookup(E4726,DATABASE!C:Q,10,false)*F4726)</f>
        <v>25000</v>
      </c>
      <c r="K4726" s="74">
        <f>VLOOKUP(E4726,DATABASE!C:Q,7,false)</f>
        <v>75000</v>
      </c>
      <c r="L4726" s="74">
        <v>75000.0</v>
      </c>
      <c r="M4726" s="74">
        <f t="shared" si="2"/>
        <v>75000</v>
      </c>
      <c r="N4726" s="74">
        <f t="shared" si="3"/>
        <v>100000</v>
      </c>
      <c r="O4726" s="65" t="str">
        <f>VLOOKUP(E4726,DATABASE!C:Q,8,false)</f>
        <v>BIAN</v>
      </c>
      <c r="P4726" s="65">
        <f>VLOOKUP(E4726,DATABASE!C:Q,9,False)</f>
        <v>0</v>
      </c>
      <c r="Q4726" s="93" t="str">
        <f>VLOOKUP(E4726,DATABASE!C:Q,4,false)</f>
        <v>Baut Camber ss-carry</v>
      </c>
      <c r="R4726" s="93" t="str">
        <f>VLOOKUP(E4726,DATABASE!C:Q,11,false)</f>
        <v>COMPLEMENTARY</v>
      </c>
    </row>
    <row r="4727" ht="22.5" customHeight="1">
      <c r="A4727" s="49"/>
      <c r="C4727" s="384">
        <v>45927.0</v>
      </c>
      <c r="D4727" s="65">
        <v>7290.0</v>
      </c>
      <c r="E4727" s="445" t="s">
        <v>614</v>
      </c>
      <c r="F4727" s="386">
        <v>2.0</v>
      </c>
      <c r="G4727" s="74">
        <v>870000.0</v>
      </c>
      <c r="H4727" s="74">
        <v>0.0</v>
      </c>
      <c r="I4727" s="74">
        <f t="shared" si="1"/>
        <v>1740000</v>
      </c>
      <c r="J4727" s="74">
        <f>IF(E4727="SERVICE",I4727-(I4727*50%),Vlookup(E4727,DATABASE!C:Q,10,false)*F4727)</f>
        <v>0</v>
      </c>
      <c r="K4727" s="74">
        <f>VLOOKUP(E4727,DATABASE!C:Q,7,false)</f>
        <v>754660.6</v>
      </c>
      <c r="L4727" s="74">
        <v>766438.4</v>
      </c>
      <c r="M4727" s="74">
        <f t="shared" si="2"/>
        <v>770000</v>
      </c>
      <c r="N4727" s="74">
        <f t="shared" si="3"/>
        <v>200000</v>
      </c>
      <c r="O4727" s="65" t="str">
        <f>VLOOKUP(E4727,DATABASE!C:Q,8,false)</f>
        <v>IBU</v>
      </c>
      <c r="P4727" s="65">
        <f>VLOOKUP(E4727,DATABASE!C:Q,9,False)</f>
        <v>1</v>
      </c>
      <c r="Q4727" s="93" t="str">
        <f>VLOOKUP(E4727,DATABASE!C:Q,4,false)</f>
        <v>Bridgestone</v>
      </c>
      <c r="R4727" s="93" t="str">
        <f>VLOOKUP(E4727,DATABASE!C:Q,11,false)</f>
        <v>Tire</v>
      </c>
    </row>
    <row r="4728" ht="22.5" customHeight="1">
      <c r="A4728" s="49"/>
      <c r="C4728" s="384">
        <v>45927.0</v>
      </c>
      <c r="D4728" s="65">
        <v>7291.0</v>
      </c>
      <c r="E4728" s="445" t="s">
        <v>246</v>
      </c>
      <c r="F4728" s="386">
        <v>2.0</v>
      </c>
      <c r="G4728" s="74">
        <v>25000.0</v>
      </c>
      <c r="H4728" s="74">
        <v>0.0</v>
      </c>
      <c r="I4728" s="74">
        <f t="shared" si="1"/>
        <v>50000</v>
      </c>
      <c r="J4728" s="74">
        <f>IF(E4728="SERVICE",I4728-(I4728*50%),Vlookup(E4728,DATABASE!C:Q,10,false)*F4728)</f>
        <v>0</v>
      </c>
      <c r="K4728" s="74">
        <f>VLOOKUP(E4728,DATABASE!C:Q,7,false)</f>
        <v>0</v>
      </c>
      <c r="L4728" s="74">
        <v>0.0</v>
      </c>
      <c r="M4728" s="74">
        <f t="shared" si="2"/>
        <v>0</v>
      </c>
      <c r="N4728" s="74">
        <f t="shared" si="3"/>
        <v>50000</v>
      </c>
      <c r="O4728" s="65" t="str">
        <f>VLOOKUP(E4728,DATABASE!C:Q,8,false)</f>
        <v>IBU</v>
      </c>
      <c r="P4728" s="65">
        <f>VLOOKUP(E4728,DATABASE!C:Q,9,False)</f>
        <v>0</v>
      </c>
      <c r="Q4728" s="93" t="str">
        <f>VLOOKUP(E4728,DATABASE!C:Q,4,false)</f>
        <v>Bongkar Pasang</v>
      </c>
      <c r="R4728" s="93" t="str">
        <f>VLOOKUP(E4728,DATABASE!C:Q,11,false)</f>
        <v>SERVICE</v>
      </c>
    </row>
    <row r="4729" ht="22.5" customHeight="1">
      <c r="A4729" s="49"/>
      <c r="C4729" s="384">
        <v>45927.0</v>
      </c>
      <c r="D4729" s="65">
        <v>7292.0</v>
      </c>
      <c r="E4729" s="445" t="s">
        <v>275</v>
      </c>
      <c r="F4729" s="386">
        <v>2.0</v>
      </c>
      <c r="G4729" s="74">
        <v>850000.0</v>
      </c>
      <c r="H4729" s="74">
        <v>0.0</v>
      </c>
      <c r="I4729" s="74">
        <f t="shared" si="1"/>
        <v>1700000</v>
      </c>
      <c r="J4729" s="74">
        <f>IF(E4729="SERVICE",I4729-(I4729*50%),Vlookup(E4729,DATABASE!C:Q,10,false)*F4729)</f>
        <v>0</v>
      </c>
      <c r="K4729" s="74">
        <f>VLOOKUP(E4729,DATABASE!C:Q,7,false)</f>
        <v>782000</v>
      </c>
      <c r="L4729" s="74">
        <v>745000.0</v>
      </c>
      <c r="M4729" s="74">
        <f t="shared" si="2"/>
        <v>745000</v>
      </c>
      <c r="N4729" s="74">
        <f t="shared" si="3"/>
        <v>210000</v>
      </c>
      <c r="O4729" s="65" t="str">
        <f>VLOOKUP(E4729,DATABASE!C:Q,8,false)</f>
        <v>IBU</v>
      </c>
      <c r="P4729" s="65">
        <f>VLOOKUP(E4729,DATABASE!C:Q,9,False)</f>
        <v>1</v>
      </c>
      <c r="Q4729" s="93" t="str">
        <f>VLOOKUP(E4729,DATABASE!C:Q,4,false)</f>
        <v>Dunlop</v>
      </c>
      <c r="R4729" s="93" t="str">
        <f>VLOOKUP(E4729,DATABASE!C:Q,11,false)</f>
        <v>Tire</v>
      </c>
    </row>
    <row r="4730" ht="22.5" customHeight="1">
      <c r="A4730" s="49"/>
      <c r="C4730" s="384">
        <v>45927.0</v>
      </c>
      <c r="D4730" s="65">
        <v>7293.0</v>
      </c>
      <c r="E4730" s="445" t="s">
        <v>554</v>
      </c>
      <c r="F4730" s="386">
        <v>2.0</v>
      </c>
      <c r="G4730" s="74">
        <v>765000.0</v>
      </c>
      <c r="H4730" s="74">
        <v>0.0</v>
      </c>
      <c r="I4730" s="74">
        <f t="shared" si="1"/>
        <v>1530000</v>
      </c>
      <c r="J4730" s="74">
        <f>IF(E4730="SERVICE",I4730-(I4730*50%),Vlookup(E4730,DATABASE!C:Q,10,false)*F4730)</f>
        <v>0</v>
      </c>
      <c r="K4730" s="74">
        <f>VLOOKUP(E4730,DATABASE!C:Q,7,false)</f>
        <v>710000</v>
      </c>
      <c r="L4730" s="74">
        <v>680000.0</v>
      </c>
      <c r="M4730" s="74">
        <f t="shared" si="2"/>
        <v>680000</v>
      </c>
      <c r="N4730" s="74">
        <f t="shared" si="3"/>
        <v>170000</v>
      </c>
      <c r="O4730" s="65" t="str">
        <f>VLOOKUP(E4730,DATABASE!C:Q,8,false)</f>
        <v>IBU</v>
      </c>
      <c r="P4730" s="65">
        <f>VLOOKUP(E4730,DATABASE!C:Q,9,False)</f>
        <v>1</v>
      </c>
      <c r="Q4730" s="93" t="str">
        <f>VLOOKUP(E4730,DATABASE!C:Q,4,false)</f>
        <v>Bridgestone</v>
      </c>
      <c r="R4730" s="93" t="str">
        <f>VLOOKUP(E4730,DATABASE!C:Q,11,false)</f>
        <v>Tire</v>
      </c>
    </row>
    <row r="4731" ht="22.5" customHeight="1">
      <c r="A4731" s="49"/>
      <c r="C4731" s="384">
        <v>45927.0</v>
      </c>
      <c r="D4731" s="65">
        <v>7294.0</v>
      </c>
      <c r="E4731" s="445" t="s">
        <v>856</v>
      </c>
      <c r="F4731" s="386">
        <v>1.0</v>
      </c>
      <c r="G4731" s="74">
        <v>670000.0</v>
      </c>
      <c r="H4731" s="74">
        <v>0.0</v>
      </c>
      <c r="I4731" s="74">
        <f t="shared" si="1"/>
        <v>670000</v>
      </c>
      <c r="J4731" s="74">
        <f>IF(E4731="SERVICE",I4731-(I4731*50%),Vlookup(E4731,DATABASE!C:Q,10,false)*F4731)</f>
        <v>0</v>
      </c>
      <c r="K4731" s="74">
        <f>VLOOKUP(E4731,DATABASE!C:Q,7,false)</f>
        <v>615300</v>
      </c>
      <c r="L4731" s="74">
        <v>581120.0</v>
      </c>
      <c r="M4731" s="74">
        <f t="shared" si="2"/>
        <v>585000</v>
      </c>
      <c r="N4731" s="74">
        <f t="shared" si="3"/>
        <v>85000</v>
      </c>
      <c r="O4731" s="65" t="str">
        <f>VLOOKUP(E4731,DATABASE!C:Q,8,false)</f>
        <v>BIAN</v>
      </c>
      <c r="P4731" s="65">
        <f>VLOOKUP(E4731,DATABASE!C:Q,9,False)</f>
        <v>1</v>
      </c>
      <c r="Q4731" s="93" t="str">
        <f>VLOOKUP(E4731,DATABASE!C:Q,4,false)</f>
        <v>GT</v>
      </c>
      <c r="R4731" s="93" t="str">
        <f>VLOOKUP(E4731,DATABASE!C:Q,11,false)</f>
        <v>Tire</v>
      </c>
    </row>
    <row r="4732" ht="22.5" customHeight="1">
      <c r="A4732" s="49"/>
      <c r="C4732" s="384">
        <v>45927.0</v>
      </c>
      <c r="D4732" s="65">
        <v>7296.0</v>
      </c>
      <c r="E4732" s="445" t="s">
        <v>2048</v>
      </c>
      <c r="F4732" s="386">
        <v>2.0</v>
      </c>
      <c r="G4732" s="74">
        <v>700000.0</v>
      </c>
      <c r="H4732" s="74">
        <v>0.0</v>
      </c>
      <c r="I4732" s="74">
        <f t="shared" si="1"/>
        <v>1400000</v>
      </c>
      <c r="J4732" s="74">
        <f>IF(E4732="SERVICE",I4732-(I4732*50%),Vlookup(E4732,DATABASE!C:Q,10,false)*F4732)</f>
        <v>0</v>
      </c>
      <c r="K4732" s="74">
        <f>VLOOKUP(E4732,DATABASE!C:Q,7,false)</f>
        <v>615000</v>
      </c>
      <c r="L4732" s="74">
        <v>615000.0</v>
      </c>
      <c r="M4732" s="74">
        <f t="shared" si="2"/>
        <v>615000</v>
      </c>
      <c r="N4732" s="74">
        <f t="shared" si="3"/>
        <v>170000</v>
      </c>
      <c r="O4732" s="65" t="str">
        <f>VLOOKUP(E4732,DATABASE!C:Q,8,false)</f>
        <v>BIAN</v>
      </c>
      <c r="P4732" s="65">
        <f>VLOOKUP(E4732,DATABASE!C:Q,9,False)</f>
        <v>1</v>
      </c>
      <c r="Q4732" s="93" t="str">
        <f>VLOOKUP(E4732,DATABASE!C:Q,4,false)</f>
        <v>HANKOOK</v>
      </c>
      <c r="R4732" s="93" t="str">
        <f>VLOOKUP(E4732,DATABASE!C:Q,11,false)</f>
        <v>Tire</v>
      </c>
    </row>
    <row r="4733" ht="22.5" customHeight="1">
      <c r="A4733" s="49"/>
      <c r="C4733" s="384">
        <v>45928.0</v>
      </c>
      <c r="D4733" s="65">
        <v>7297.0</v>
      </c>
      <c r="E4733" s="385" t="s">
        <v>299</v>
      </c>
      <c r="F4733" s="386">
        <v>2.0</v>
      </c>
      <c r="G4733" s="74">
        <v>30000.0</v>
      </c>
      <c r="H4733" s="74">
        <v>0.0</v>
      </c>
      <c r="I4733" s="74">
        <f t="shared" si="1"/>
        <v>60000</v>
      </c>
      <c r="J4733" s="74">
        <f>IF(E4733="SERVICE",I4733-(I4733*50%),Vlookup(E4733,DATABASE!C:Q,10,false)*F4733)</f>
        <v>0</v>
      </c>
      <c r="K4733" s="74">
        <v>0.0</v>
      </c>
      <c r="L4733" s="74">
        <v>0.0</v>
      </c>
      <c r="M4733" s="74">
        <f t="shared" si="2"/>
        <v>0</v>
      </c>
      <c r="N4733" s="74">
        <f t="shared" si="3"/>
        <v>60000</v>
      </c>
      <c r="O4733" s="65" t="str">
        <f>VLOOKUP(E4733,DATABASE!C:Q,8,false)</f>
        <v>BIAN</v>
      </c>
      <c r="P4733" s="65">
        <f>VLOOKUP(E4733,DATABASE!C:Q,9,False)</f>
        <v>0</v>
      </c>
      <c r="Q4733" s="93" t="str">
        <f>VLOOKUP(E4733,DATABASE!C:Q,4,false)</f>
        <v>Balancing</v>
      </c>
      <c r="R4733" s="93" t="str">
        <f>VLOOKUP(E4733,DATABASE!C:Q,11,false)</f>
        <v>COMPLEMENTARY</v>
      </c>
    </row>
    <row r="4734" ht="22.5" customHeight="1">
      <c r="A4734" s="49"/>
      <c r="C4734" s="384">
        <v>45928.0</v>
      </c>
      <c r="D4734" s="65">
        <v>7298.0</v>
      </c>
      <c r="E4734" s="385" t="s">
        <v>299</v>
      </c>
      <c r="F4734" s="386">
        <v>2.0</v>
      </c>
      <c r="G4734" s="74">
        <v>30000.0</v>
      </c>
      <c r="H4734" s="74">
        <v>0.0</v>
      </c>
      <c r="I4734" s="74">
        <f t="shared" si="1"/>
        <v>60000</v>
      </c>
      <c r="J4734" s="74">
        <f>IF(E4734="SERVICE",I4734-(I4734*50%),Vlookup(E4734,DATABASE!C:Q,10,false)*F4734)</f>
        <v>0</v>
      </c>
      <c r="K4734" s="74">
        <v>0.0</v>
      </c>
      <c r="L4734" s="74">
        <v>0.0</v>
      </c>
      <c r="M4734" s="74">
        <f t="shared" si="2"/>
        <v>0</v>
      </c>
      <c r="N4734" s="74">
        <f t="shared" si="3"/>
        <v>60000</v>
      </c>
      <c r="O4734" s="65" t="str">
        <f>VLOOKUP(E4734,DATABASE!C:Q,8,false)</f>
        <v>BIAN</v>
      </c>
      <c r="P4734" s="65">
        <f>VLOOKUP(E4734,DATABASE!C:Q,9,False)</f>
        <v>0</v>
      </c>
      <c r="Q4734" s="93" t="str">
        <f>VLOOKUP(E4734,DATABASE!C:Q,4,false)</f>
        <v>Balancing</v>
      </c>
      <c r="R4734" s="93" t="str">
        <f>VLOOKUP(E4734,DATABASE!C:Q,11,false)</f>
        <v>COMPLEMENTARY</v>
      </c>
    </row>
    <row r="4735" ht="22.5" customHeight="1">
      <c r="A4735" s="49"/>
      <c r="C4735" s="384">
        <v>45929.0</v>
      </c>
      <c r="D4735" s="65">
        <v>7302.0</v>
      </c>
      <c r="E4735" s="445" t="s">
        <v>262</v>
      </c>
      <c r="F4735" s="386">
        <v>1.0</v>
      </c>
      <c r="G4735" s="74">
        <v>110000.0</v>
      </c>
      <c r="H4735" s="74">
        <v>0.0</v>
      </c>
      <c r="I4735" s="74">
        <f t="shared" si="1"/>
        <v>110000</v>
      </c>
      <c r="J4735" s="74">
        <f>IF(E4735="SERVICE",I4735-(I4735*50%),Vlookup(E4735,DATABASE!C:Q,10,false)*F4735)</f>
        <v>5000</v>
      </c>
      <c r="K4735" s="74">
        <f>VLOOKUP(E4735,DATABASE!C:Q,7,false)</f>
        <v>0</v>
      </c>
      <c r="L4735" s="74">
        <v>0.0</v>
      </c>
      <c r="M4735" s="74">
        <f t="shared" si="2"/>
        <v>0</v>
      </c>
      <c r="N4735" s="74">
        <f t="shared" si="3"/>
        <v>105000</v>
      </c>
      <c r="O4735" s="65" t="str">
        <f>VLOOKUP(E4735,DATABASE!C:Q,8,false)</f>
        <v>IBU</v>
      </c>
      <c r="P4735" s="65">
        <f>VLOOKUP(E4735,DATABASE!C:Q,9,False)</f>
        <v>0</v>
      </c>
      <c r="Q4735" s="93" t="str">
        <f>VLOOKUP(E4735,DATABASE!C:Q,4,false)</f>
        <v>SPOORING SS/CARRY LOS BAK</v>
      </c>
      <c r="R4735" s="93" t="str">
        <f>VLOOKUP(E4735,DATABASE!C:Q,11,false)</f>
        <v>SERVICE</v>
      </c>
    </row>
    <row r="4736" ht="22.5" customHeight="1">
      <c r="A4736" s="49"/>
      <c r="C4736" s="384">
        <v>45929.0</v>
      </c>
      <c r="D4736" s="65">
        <v>7302.0</v>
      </c>
      <c r="E4736" s="445" t="s">
        <v>478</v>
      </c>
      <c r="F4736" s="386">
        <v>1.0</v>
      </c>
      <c r="G4736" s="74">
        <v>200000.0</v>
      </c>
      <c r="H4736" s="74">
        <v>0.0</v>
      </c>
      <c r="I4736" s="74">
        <f t="shared" si="1"/>
        <v>200000</v>
      </c>
      <c r="J4736" s="74">
        <f>IF(E4736="SERVICE",I4736-(I4736*50%),Vlookup(E4736,DATABASE!C:Q,10,false)*F4736)</f>
        <v>25000</v>
      </c>
      <c r="K4736" s="74">
        <f>VLOOKUP(E4736,DATABASE!C:Q,7,false)</f>
        <v>75000</v>
      </c>
      <c r="L4736" s="74">
        <v>75000.0</v>
      </c>
      <c r="M4736" s="74">
        <f t="shared" si="2"/>
        <v>75000</v>
      </c>
      <c r="N4736" s="74">
        <f t="shared" si="3"/>
        <v>100000</v>
      </c>
      <c r="O4736" s="65" t="str">
        <f>VLOOKUP(E4736,DATABASE!C:Q,8,false)</f>
        <v>BIAN</v>
      </c>
      <c r="P4736" s="65">
        <f>VLOOKUP(E4736,DATABASE!C:Q,9,False)</f>
        <v>0</v>
      </c>
      <c r="Q4736" s="93" t="str">
        <f>VLOOKUP(E4736,DATABASE!C:Q,4,false)</f>
        <v>Baut Camber ss-carry</v>
      </c>
      <c r="R4736" s="93" t="str">
        <f>VLOOKUP(E4736,DATABASE!C:Q,11,false)</f>
        <v>COMPLEMENTARY</v>
      </c>
    </row>
    <row r="4737" ht="22.5" customHeight="1">
      <c r="A4737" s="49"/>
      <c r="C4737" s="384">
        <v>45929.0</v>
      </c>
      <c r="D4737" s="65">
        <v>7303.0</v>
      </c>
      <c r="E4737" s="445" t="s">
        <v>613</v>
      </c>
      <c r="F4737" s="386">
        <v>1.0</v>
      </c>
      <c r="G4737" s="74">
        <v>95000.0</v>
      </c>
      <c r="H4737" s="74">
        <v>0.0</v>
      </c>
      <c r="I4737" s="74">
        <f t="shared" si="1"/>
        <v>95000</v>
      </c>
      <c r="J4737" s="74">
        <f>IF(E4737="SERVICE",I4737-(I4737*50%),Vlookup(E4737,DATABASE!C:Q,10,false)*F4737)</f>
        <v>0</v>
      </c>
      <c r="K4737" s="74">
        <f>VLOOKUP(E4737,DATABASE!C:Q,7,false)</f>
        <v>58371.2695</v>
      </c>
      <c r="L4737" s="74">
        <v>55000.0</v>
      </c>
      <c r="M4737" s="74">
        <f t="shared" si="2"/>
        <v>55000</v>
      </c>
      <c r="N4737" s="74">
        <f t="shared" si="3"/>
        <v>40000</v>
      </c>
      <c r="O4737" s="65" t="str">
        <f>VLOOKUP(E4737,DATABASE!C:Q,8,false)</f>
        <v>BIAN</v>
      </c>
      <c r="P4737" s="65">
        <f>VLOOKUP(E4737,DATABASE!C:Q,9,False)</f>
        <v>1</v>
      </c>
      <c r="Q4737" s="93" t="str">
        <f>VLOOKUP(E4737,DATABASE!C:Q,4,false)</f>
        <v>BD</v>
      </c>
      <c r="R4737" s="93" t="str">
        <f>VLOOKUP(E4737,DATABASE!C:Q,11,false)</f>
        <v>Tire</v>
      </c>
    </row>
    <row r="4738" ht="22.5" customHeight="1">
      <c r="A4738" s="49"/>
      <c r="C4738" s="384">
        <v>45929.0</v>
      </c>
      <c r="D4738" s="65">
        <v>7304.0</v>
      </c>
      <c r="E4738" s="445" t="s">
        <v>1301</v>
      </c>
      <c r="F4738" s="386">
        <v>2.0</v>
      </c>
      <c r="G4738" s="74">
        <v>1300000.0</v>
      </c>
      <c r="H4738" s="74">
        <v>0.0</v>
      </c>
      <c r="I4738" s="74">
        <f t="shared" si="1"/>
        <v>2600000</v>
      </c>
      <c r="J4738" s="74">
        <f>IF(E4738="SERVICE",I4738-(I4738*50%),Vlookup(E4738,DATABASE!C:Q,10,false)*F4738)</f>
        <v>0</v>
      </c>
      <c r="K4738" s="74">
        <f>VLOOKUP(E4738,DATABASE!C:Q,7,false)</f>
        <v>1194000</v>
      </c>
      <c r="L4738" s="74">
        <v>1182000.0</v>
      </c>
      <c r="M4738" s="74">
        <f t="shared" si="2"/>
        <v>1185000</v>
      </c>
      <c r="N4738" s="74">
        <f t="shared" si="3"/>
        <v>230000</v>
      </c>
      <c r="O4738" s="65" t="str">
        <f>VLOOKUP(E4738,DATABASE!C:Q,8,false)</f>
        <v>IBU</v>
      </c>
      <c r="P4738" s="65">
        <f>VLOOKUP(E4738,DATABASE!C:Q,9,False)</f>
        <v>1</v>
      </c>
      <c r="Q4738" s="93" t="str">
        <f>VLOOKUP(E4738,DATABASE!C:Q,4,false)</f>
        <v>Dunlop</v>
      </c>
      <c r="R4738" s="93" t="str">
        <f>VLOOKUP(E4738,DATABASE!C:Q,11,false)</f>
        <v>Tire</v>
      </c>
    </row>
    <row r="4739" ht="22.5" customHeight="1">
      <c r="A4739" s="49"/>
      <c r="C4739" s="384">
        <v>45929.0</v>
      </c>
      <c r="D4739" s="65">
        <v>7305.0</v>
      </c>
      <c r="E4739" s="445" t="s">
        <v>256</v>
      </c>
      <c r="F4739" s="386">
        <v>1.0</v>
      </c>
      <c r="G4739" s="74">
        <v>130000.0</v>
      </c>
      <c r="H4739" s="74">
        <v>0.0</v>
      </c>
      <c r="I4739" s="74">
        <f t="shared" si="1"/>
        <v>130000</v>
      </c>
      <c r="J4739" s="74">
        <f>IF(E4739="SERVICE",I4739-(I4739*50%),Vlookup(E4739,DATABASE!C:Q,10,false)*F4739)</f>
        <v>10000</v>
      </c>
      <c r="K4739" s="74">
        <f>VLOOKUP(E4739,DATABASE!C:Q,7,false)</f>
        <v>0</v>
      </c>
      <c r="L4739" s="74">
        <v>0.0</v>
      </c>
      <c r="M4739" s="74">
        <f t="shared" si="2"/>
        <v>0</v>
      </c>
      <c r="N4739" s="74">
        <f t="shared" si="3"/>
        <v>120000</v>
      </c>
      <c r="O4739" s="65" t="str">
        <f>VLOOKUP(E4739,DATABASE!C:Q,8,false)</f>
        <v>IBU</v>
      </c>
      <c r="P4739" s="65">
        <f>VLOOKUP(E4739,DATABASE!C:Q,9,False)</f>
        <v>0</v>
      </c>
      <c r="Q4739" s="93" t="str">
        <f>VLOOKUP(E4739,DATABASE!C:Q,4,false)</f>
        <v>SPOORING</v>
      </c>
      <c r="R4739" s="93" t="str">
        <f>VLOOKUP(E4739,DATABASE!C:Q,11,false)</f>
        <v>SERVICE</v>
      </c>
    </row>
    <row r="4740" ht="22.5" customHeight="1">
      <c r="A4740" s="49"/>
      <c r="C4740" s="384">
        <v>45929.0</v>
      </c>
      <c r="D4740" s="65">
        <v>7305.0</v>
      </c>
      <c r="E4740" s="445" t="s">
        <v>301</v>
      </c>
      <c r="F4740" s="386">
        <v>1.0</v>
      </c>
      <c r="G4740" s="74">
        <v>250000.0</v>
      </c>
      <c r="H4740" s="74">
        <v>0.0</v>
      </c>
      <c r="I4740" s="74">
        <f t="shared" si="1"/>
        <v>250000</v>
      </c>
      <c r="J4740" s="74">
        <f>IF(E4740="SERVICE",I4740-(I4740*50%),Vlookup(E4740,DATABASE!C:Q,10,false)*F4740)</f>
        <v>75000</v>
      </c>
      <c r="K4740" s="74">
        <f>VLOOKUP(E4740,DATABASE!C:Q,7,false)</f>
        <v>75000</v>
      </c>
      <c r="L4740" s="74">
        <v>75000.0</v>
      </c>
      <c r="M4740" s="74">
        <f t="shared" si="2"/>
        <v>75000</v>
      </c>
      <c r="N4740" s="74">
        <f t="shared" si="3"/>
        <v>100000</v>
      </c>
      <c r="O4740" s="65" t="str">
        <f>VLOOKUP(E4740,DATABASE!C:Q,8,false)</f>
        <v>BIAN</v>
      </c>
      <c r="P4740" s="65">
        <f>VLOOKUP(E4740,DATABASE!C:Q,9,False)</f>
        <v>0</v>
      </c>
      <c r="Q4740" s="93" t="str">
        <f>VLOOKUP(E4740,DATABASE!C:Q,4,false)</f>
        <v>Baut Camber</v>
      </c>
      <c r="R4740" s="93" t="str">
        <f>VLOOKUP(E4740,DATABASE!C:Q,11,false)</f>
        <v>COMPLEMENTARY</v>
      </c>
    </row>
    <row r="4741" ht="22.5" customHeight="1">
      <c r="A4741" s="49"/>
      <c r="C4741" s="384">
        <v>45929.0</v>
      </c>
      <c r="D4741" s="65">
        <v>7305.0</v>
      </c>
      <c r="E4741" s="385" t="s">
        <v>299</v>
      </c>
      <c r="F4741" s="386">
        <v>2.0</v>
      </c>
      <c r="G4741" s="74">
        <v>30000.0</v>
      </c>
      <c r="H4741" s="74">
        <v>0.0</v>
      </c>
      <c r="I4741" s="74">
        <f t="shared" si="1"/>
        <v>60000</v>
      </c>
      <c r="J4741" s="74">
        <f>IF(E4741="SERVICE",I4741-(I4741*50%),Vlookup(E4741,DATABASE!C:Q,10,false)*F4741)</f>
        <v>0</v>
      </c>
      <c r="K4741" s="74">
        <v>0.0</v>
      </c>
      <c r="L4741" s="74">
        <v>0.0</v>
      </c>
      <c r="M4741" s="74">
        <f t="shared" si="2"/>
        <v>0</v>
      </c>
      <c r="N4741" s="74">
        <f t="shared" si="3"/>
        <v>60000</v>
      </c>
      <c r="O4741" s="65" t="str">
        <f>VLOOKUP(E4741,DATABASE!C:Q,8,false)</f>
        <v>BIAN</v>
      </c>
      <c r="P4741" s="65">
        <f>VLOOKUP(E4741,DATABASE!C:Q,9,False)</f>
        <v>0</v>
      </c>
      <c r="Q4741" s="93" t="str">
        <f>VLOOKUP(E4741,DATABASE!C:Q,4,false)</f>
        <v>Balancing</v>
      </c>
      <c r="R4741" s="93" t="str">
        <f>VLOOKUP(E4741,DATABASE!C:Q,11,false)</f>
        <v>COMPLEMENTARY</v>
      </c>
    </row>
    <row r="4742" ht="22.5" customHeight="1">
      <c r="A4742" s="49"/>
      <c r="C4742" s="384">
        <v>45930.0</v>
      </c>
      <c r="D4742" s="65">
        <v>7306.0</v>
      </c>
      <c r="E4742" s="445" t="s">
        <v>268</v>
      </c>
      <c r="F4742" s="386">
        <v>2.0</v>
      </c>
      <c r="G4742" s="74">
        <v>720000.0</v>
      </c>
      <c r="H4742" s="74">
        <v>0.0</v>
      </c>
      <c r="I4742" s="74">
        <f t="shared" si="1"/>
        <v>1440000</v>
      </c>
      <c r="J4742" s="74">
        <f>IF(E4742="SERVICE",I4742-(I4742*50%),Vlookup(E4742,DATABASE!C:Q,10,false)*F4742)</f>
        <v>0</v>
      </c>
      <c r="K4742" s="74">
        <f>VLOOKUP(E4742,DATABASE!C:Q,7,false)</f>
        <v>653000</v>
      </c>
      <c r="L4742" s="74">
        <v>622000.0</v>
      </c>
      <c r="M4742" s="74">
        <f t="shared" si="2"/>
        <v>625000</v>
      </c>
      <c r="N4742" s="74">
        <f t="shared" si="3"/>
        <v>190000</v>
      </c>
      <c r="O4742" s="65" t="str">
        <f>VLOOKUP(E4742,DATABASE!C:Q,8,false)</f>
        <v>IBU</v>
      </c>
      <c r="P4742" s="65">
        <f>VLOOKUP(E4742,DATABASE!C:Q,9,False)</f>
        <v>1</v>
      </c>
      <c r="Q4742" s="93" t="str">
        <f>VLOOKUP(E4742,DATABASE!C:Q,4,false)</f>
        <v>Dunlop</v>
      </c>
      <c r="R4742" s="93" t="str">
        <f>VLOOKUP(E4742,DATABASE!C:Q,11,false)</f>
        <v>Tire</v>
      </c>
    </row>
    <row r="4743" ht="22.5" customHeight="1">
      <c r="A4743" s="49"/>
      <c r="C4743" s="384">
        <v>45930.0</v>
      </c>
      <c r="D4743" s="65">
        <v>7307.0</v>
      </c>
      <c r="E4743" s="445" t="s">
        <v>2019</v>
      </c>
      <c r="F4743" s="386">
        <v>1.0</v>
      </c>
      <c r="G4743" s="74">
        <v>670000.0</v>
      </c>
      <c r="H4743" s="74">
        <v>0.0</v>
      </c>
      <c r="I4743" s="74">
        <f t="shared" si="1"/>
        <v>670000</v>
      </c>
      <c r="J4743" s="74">
        <f>IF(E4743="SERVICE",I4743-(I4743*50%),Vlookup(E4743,DATABASE!C:Q,10,false)*F4743)</f>
        <v>0</v>
      </c>
      <c r="K4743" s="74">
        <f>VLOOKUP(E4743,DATABASE!C:Q,7,false)</f>
        <v>620000</v>
      </c>
      <c r="L4743" s="74">
        <v>585000.0</v>
      </c>
      <c r="M4743" s="74">
        <f t="shared" si="2"/>
        <v>585000</v>
      </c>
      <c r="N4743" s="74">
        <f t="shared" si="3"/>
        <v>85000</v>
      </c>
      <c r="O4743" s="65" t="str">
        <f>VLOOKUP(E4743,DATABASE!C:Q,8,false)</f>
        <v>BIAN</v>
      </c>
      <c r="P4743" s="65">
        <f>VLOOKUP(E4743,DATABASE!C:Q,9,False)</f>
        <v>1</v>
      </c>
      <c r="Q4743" s="93" t="str">
        <f>VLOOKUP(E4743,DATABASE!C:Q,4,false)</f>
        <v>GT</v>
      </c>
      <c r="R4743" s="93" t="str">
        <f>VLOOKUP(E4743,DATABASE!C:Q,11,false)</f>
        <v>Tire</v>
      </c>
    </row>
    <row r="4744" ht="22.5" customHeight="1">
      <c r="A4744" s="49"/>
      <c r="C4744" s="384">
        <v>45930.0</v>
      </c>
      <c r="D4744" s="65">
        <v>7308.0</v>
      </c>
      <c r="E4744" s="445" t="s">
        <v>256</v>
      </c>
      <c r="F4744" s="386">
        <v>1.0</v>
      </c>
      <c r="G4744" s="74">
        <v>130000.0</v>
      </c>
      <c r="H4744" s="74">
        <v>0.0</v>
      </c>
      <c r="I4744" s="74">
        <f t="shared" si="1"/>
        <v>130000</v>
      </c>
      <c r="J4744" s="74">
        <f>IF(E4744="SERVICE",I4744-(I4744*50%),Vlookup(E4744,DATABASE!C:Q,10,false)*F4744)</f>
        <v>10000</v>
      </c>
      <c r="K4744" s="74">
        <f>VLOOKUP(E4744,DATABASE!C:Q,7,false)</f>
        <v>0</v>
      </c>
      <c r="L4744" s="74">
        <v>0.0</v>
      </c>
      <c r="M4744" s="74">
        <f t="shared" si="2"/>
        <v>0</v>
      </c>
      <c r="N4744" s="74">
        <f t="shared" si="3"/>
        <v>120000</v>
      </c>
      <c r="O4744" s="65" t="str">
        <f>VLOOKUP(E4744,DATABASE!C:Q,8,false)</f>
        <v>IBU</v>
      </c>
      <c r="P4744" s="65">
        <f>VLOOKUP(E4744,DATABASE!C:Q,9,False)</f>
        <v>0</v>
      </c>
      <c r="Q4744" s="93" t="str">
        <f>VLOOKUP(E4744,DATABASE!C:Q,4,false)</f>
        <v>SPOORING</v>
      </c>
      <c r="R4744" s="93" t="str">
        <f>VLOOKUP(E4744,DATABASE!C:Q,11,false)</f>
        <v>SERVICE</v>
      </c>
    </row>
    <row r="4745" ht="22.5" customHeight="1">
      <c r="A4745" s="49"/>
      <c r="C4745" s="384">
        <v>45930.0</v>
      </c>
      <c r="D4745" s="65">
        <v>7308.0</v>
      </c>
      <c r="E4745" s="445" t="s">
        <v>301</v>
      </c>
      <c r="F4745" s="386">
        <v>1.0</v>
      </c>
      <c r="G4745" s="74">
        <v>250000.0</v>
      </c>
      <c r="H4745" s="74">
        <v>0.0</v>
      </c>
      <c r="I4745" s="74">
        <f t="shared" si="1"/>
        <v>250000</v>
      </c>
      <c r="J4745" s="74">
        <f>IF(E4745="SERVICE",I4745-(I4745*50%),Vlookup(E4745,DATABASE!C:Q,10,false)*F4745)</f>
        <v>75000</v>
      </c>
      <c r="K4745" s="74">
        <f>VLOOKUP(E4745,DATABASE!C:Q,7,false)</f>
        <v>75000</v>
      </c>
      <c r="L4745" s="74">
        <v>75000.0</v>
      </c>
      <c r="M4745" s="74">
        <f t="shared" si="2"/>
        <v>75000</v>
      </c>
      <c r="N4745" s="74">
        <f t="shared" si="3"/>
        <v>100000</v>
      </c>
      <c r="O4745" s="65" t="str">
        <f>VLOOKUP(E4745,DATABASE!C:Q,8,false)</f>
        <v>BIAN</v>
      </c>
      <c r="P4745" s="65">
        <f>VLOOKUP(E4745,DATABASE!C:Q,9,False)</f>
        <v>0</v>
      </c>
      <c r="Q4745" s="93" t="str">
        <f>VLOOKUP(E4745,DATABASE!C:Q,4,false)</f>
        <v>Baut Camber</v>
      </c>
      <c r="R4745" s="93" t="str">
        <f>VLOOKUP(E4745,DATABASE!C:Q,11,false)</f>
        <v>COMPLEMENTARY</v>
      </c>
    </row>
    <row r="4746" ht="22.5" customHeight="1">
      <c r="A4746" s="49"/>
      <c r="C4746" s="384">
        <v>45930.0</v>
      </c>
      <c r="D4746" s="65">
        <v>7309.0</v>
      </c>
      <c r="E4746" s="445" t="s">
        <v>1237</v>
      </c>
      <c r="F4746" s="386">
        <v>1.0</v>
      </c>
      <c r="G4746" s="74">
        <v>1235000.0</v>
      </c>
      <c r="H4746" s="74">
        <v>0.0</v>
      </c>
      <c r="I4746" s="74">
        <f t="shared" si="1"/>
        <v>1235000</v>
      </c>
      <c r="J4746" s="74">
        <f>IF(E4746="SERVICE",I4746-(I4746*50%),Vlookup(E4746,DATABASE!C:Q,10,false)*F4746)</f>
        <v>0</v>
      </c>
      <c r="K4746" s="74">
        <f>VLOOKUP(E4746,DATABASE!C:Q,7,false)</f>
        <v>1170353.16</v>
      </c>
      <c r="L4746" s="74">
        <v>1113907.2</v>
      </c>
      <c r="M4746" s="74">
        <f t="shared" si="2"/>
        <v>1115000</v>
      </c>
      <c r="N4746" s="74">
        <f t="shared" si="3"/>
        <v>120000</v>
      </c>
      <c r="O4746" s="65" t="str">
        <f>VLOOKUP(E4746,DATABASE!C:Q,8,false)</f>
        <v>IBU</v>
      </c>
      <c r="P4746" s="65">
        <f>VLOOKUP(E4746,DATABASE!C:Q,9,False)</f>
        <v>1</v>
      </c>
      <c r="Q4746" s="93" t="str">
        <f>VLOOKUP(E4746,DATABASE!C:Q,4,false)</f>
        <v>Bridgestone</v>
      </c>
      <c r="R4746" s="93" t="str">
        <f>VLOOKUP(E4746,DATABASE!C:Q,11,false)</f>
        <v>Tire</v>
      </c>
    </row>
    <row r="4747" ht="22.5" customHeight="1">
      <c r="A4747" s="49"/>
      <c r="C4747" s="384">
        <v>45930.0</v>
      </c>
      <c r="D4747" s="65">
        <v>7310.0</v>
      </c>
      <c r="E4747" s="445" t="s">
        <v>246</v>
      </c>
      <c r="F4747" s="386">
        <v>1.0</v>
      </c>
      <c r="G4747" s="74">
        <v>30000.0</v>
      </c>
      <c r="H4747" s="74">
        <v>0.0</v>
      </c>
      <c r="I4747" s="74">
        <f t="shared" si="1"/>
        <v>30000</v>
      </c>
      <c r="J4747" s="74">
        <f>IF(E4747="SERVICE",I4747-(I4747*50%),Vlookup(E4747,DATABASE!C:Q,10,false)*F4747)</f>
        <v>0</v>
      </c>
      <c r="K4747" s="74">
        <f>VLOOKUP(E4747,DATABASE!C:Q,7,false)</f>
        <v>0</v>
      </c>
      <c r="L4747" s="74">
        <v>0.0</v>
      </c>
      <c r="M4747" s="74">
        <f t="shared" si="2"/>
        <v>0</v>
      </c>
      <c r="N4747" s="74">
        <f t="shared" si="3"/>
        <v>30000</v>
      </c>
      <c r="O4747" s="65" t="str">
        <f>VLOOKUP(E4747,DATABASE!C:Q,8,false)</f>
        <v>IBU</v>
      </c>
      <c r="P4747" s="65">
        <f>VLOOKUP(E4747,DATABASE!C:Q,9,False)</f>
        <v>0</v>
      </c>
      <c r="Q4747" s="93" t="str">
        <f>VLOOKUP(E4747,DATABASE!C:Q,4,false)</f>
        <v>Bongkar Pasang</v>
      </c>
      <c r="R4747" s="93" t="str">
        <f>VLOOKUP(E4747,DATABASE!C:Q,11,false)</f>
        <v>SERVICE</v>
      </c>
    </row>
    <row r="4748" ht="22.5" customHeight="1">
      <c r="A4748" s="49"/>
      <c r="C4748" s="384">
        <v>45930.0</v>
      </c>
      <c r="D4748" s="65">
        <v>7311.0</v>
      </c>
      <c r="E4748" s="445" t="s">
        <v>856</v>
      </c>
      <c r="F4748" s="386">
        <v>2.0</v>
      </c>
      <c r="G4748" s="74">
        <v>670000.0</v>
      </c>
      <c r="H4748" s="74">
        <v>0.0</v>
      </c>
      <c r="I4748" s="74">
        <f t="shared" si="1"/>
        <v>1340000</v>
      </c>
      <c r="J4748" s="74">
        <f>IF(E4748="SERVICE",I4748-(I4748*50%),Vlookup(E4748,DATABASE!C:Q,10,false)*F4748)</f>
        <v>0</v>
      </c>
      <c r="K4748" s="74">
        <f>VLOOKUP(E4748,DATABASE!C:Q,7,false)</f>
        <v>615300</v>
      </c>
      <c r="L4748" s="74">
        <v>581120.0</v>
      </c>
      <c r="M4748" s="74">
        <f t="shared" si="2"/>
        <v>585000</v>
      </c>
      <c r="N4748" s="74">
        <f t="shared" si="3"/>
        <v>170000</v>
      </c>
      <c r="O4748" s="65" t="str">
        <f>VLOOKUP(E4748,DATABASE!C:Q,8,false)</f>
        <v>BIAN</v>
      </c>
      <c r="P4748" s="65">
        <f>VLOOKUP(E4748,DATABASE!C:Q,9,False)</f>
        <v>1</v>
      </c>
      <c r="Q4748" s="93" t="str">
        <f>VLOOKUP(E4748,DATABASE!C:Q,4,false)</f>
        <v>GT</v>
      </c>
      <c r="R4748" s="93" t="str">
        <f>VLOOKUP(E4748,DATABASE!C:Q,11,false)</f>
        <v>Tire</v>
      </c>
    </row>
    <row r="4749" ht="22.5" customHeight="1">
      <c r="A4749" s="49"/>
      <c r="C4749" s="384">
        <v>45930.0</v>
      </c>
      <c r="D4749" s="65">
        <v>77312.0</v>
      </c>
      <c r="E4749" s="445" t="s">
        <v>889</v>
      </c>
      <c r="F4749" s="386">
        <v>2.0</v>
      </c>
      <c r="G4749" s="74">
        <v>750000.0</v>
      </c>
      <c r="H4749" s="74">
        <v>0.0</v>
      </c>
      <c r="I4749" s="74">
        <f t="shared" si="1"/>
        <v>1500000</v>
      </c>
      <c r="J4749" s="74">
        <f>IF(E4749="SERVICE",I4749-(I4749*50%),Vlookup(E4749,DATABASE!C:Q,10,false)*F4749)</f>
        <v>0</v>
      </c>
      <c r="K4749" s="74">
        <f>VLOOKUP(E4749,DATABASE!C:Q,7,false)</f>
        <v>678000</v>
      </c>
      <c r="L4749" s="74">
        <v>678000.0</v>
      </c>
      <c r="M4749" s="74">
        <f t="shared" si="2"/>
        <v>680000</v>
      </c>
      <c r="N4749" s="74">
        <f t="shared" si="3"/>
        <v>140000</v>
      </c>
      <c r="O4749" s="65" t="str">
        <f>VLOOKUP(E4749,DATABASE!C:Q,8,false)</f>
        <v>BIAN</v>
      </c>
      <c r="P4749" s="65">
        <f>VLOOKUP(E4749,DATABASE!C:Q,9,False)</f>
        <v>1</v>
      </c>
      <c r="Q4749" s="93" t="str">
        <f>VLOOKUP(E4749,DATABASE!C:Q,4,false)</f>
        <v>Sailun</v>
      </c>
      <c r="R4749" s="93" t="str">
        <f>VLOOKUP(E4749,DATABASE!C:Q,11,false)</f>
        <v>Tire</v>
      </c>
    </row>
    <row r="4750" ht="22.5" customHeight="1">
      <c r="A4750" s="49"/>
      <c r="C4750" s="384">
        <v>45931.0</v>
      </c>
      <c r="D4750" s="65">
        <v>7313.0</v>
      </c>
      <c r="E4750" s="445" t="s">
        <v>1439</v>
      </c>
      <c r="F4750" s="386">
        <v>1.0</v>
      </c>
      <c r="G4750" s="74">
        <v>630000.0</v>
      </c>
      <c r="H4750" s="74">
        <v>0.0</v>
      </c>
      <c r="I4750" s="74">
        <f t="shared" si="1"/>
        <v>630000</v>
      </c>
      <c r="J4750" s="74">
        <f>IF(E4750="SERVICE",I4750-(I4750*50%),Vlookup(E4750,DATABASE!C:Q,10,false)*F4750)</f>
        <v>0</v>
      </c>
      <c r="K4750" s="74">
        <f>VLOOKUP(E4750,DATABASE!C:Q,7,false)</f>
        <v>556800</v>
      </c>
      <c r="L4750" s="74">
        <v>540800.0</v>
      </c>
      <c r="M4750" s="74">
        <f t="shared" si="2"/>
        <v>545000</v>
      </c>
      <c r="N4750" s="74">
        <f t="shared" si="3"/>
        <v>85000</v>
      </c>
      <c r="O4750" s="65" t="str">
        <f>VLOOKUP(E4750,DATABASE!C:Q,8,false)</f>
        <v>BIAN</v>
      </c>
      <c r="P4750" s="65">
        <f>VLOOKUP(E4750,DATABASE!C:Q,9,False)</f>
        <v>1</v>
      </c>
      <c r="Q4750" s="93" t="str">
        <f>VLOOKUP(E4750,DATABASE!C:Q,4,false)</f>
        <v>GT</v>
      </c>
      <c r="R4750" s="93" t="str">
        <f>VLOOKUP(E4750,DATABASE!C:Q,11,false)</f>
        <v>Tire</v>
      </c>
    </row>
    <row r="4751" ht="22.5" customHeight="1">
      <c r="A4751" s="49"/>
      <c r="C4751" s="384">
        <v>45931.0</v>
      </c>
      <c r="D4751" s="65">
        <v>7314.0</v>
      </c>
      <c r="E4751" s="445" t="s">
        <v>246</v>
      </c>
      <c r="F4751" s="386">
        <v>2.0</v>
      </c>
      <c r="G4751" s="74">
        <v>30000.0</v>
      </c>
      <c r="H4751" s="74">
        <v>0.0</v>
      </c>
      <c r="I4751" s="74">
        <f t="shared" si="1"/>
        <v>60000</v>
      </c>
      <c r="J4751" s="74">
        <f>IF(E4751="SERVICE",I4751-(I4751*50%),Vlookup(E4751,DATABASE!C:Q,10,false)*F4751)</f>
        <v>0</v>
      </c>
      <c r="K4751" s="74">
        <f>VLOOKUP(E4751,DATABASE!C:Q,7,false)</f>
        <v>0</v>
      </c>
      <c r="L4751" s="74">
        <v>0.0</v>
      </c>
      <c r="M4751" s="74">
        <f t="shared" si="2"/>
        <v>0</v>
      </c>
      <c r="N4751" s="74">
        <f t="shared" si="3"/>
        <v>60000</v>
      </c>
      <c r="O4751" s="65" t="str">
        <f>VLOOKUP(E4751,DATABASE!C:Q,8,false)</f>
        <v>IBU</v>
      </c>
      <c r="P4751" s="65">
        <f>VLOOKUP(E4751,DATABASE!C:Q,9,False)</f>
        <v>0</v>
      </c>
      <c r="Q4751" s="93" t="str">
        <f>VLOOKUP(E4751,DATABASE!C:Q,4,false)</f>
        <v>Bongkar Pasang</v>
      </c>
      <c r="R4751" s="93" t="str">
        <f>VLOOKUP(E4751,DATABASE!C:Q,11,false)</f>
        <v>SERVICE</v>
      </c>
    </row>
    <row r="4752" ht="22.5" customHeight="1">
      <c r="A4752" s="49"/>
      <c r="C4752" s="384">
        <v>45931.0</v>
      </c>
      <c r="D4752" s="65">
        <v>7315.0</v>
      </c>
      <c r="E4752" s="445" t="s">
        <v>268</v>
      </c>
      <c r="F4752" s="386">
        <v>2.0</v>
      </c>
      <c r="G4752" s="74">
        <v>720000.0</v>
      </c>
      <c r="H4752" s="74">
        <v>0.0</v>
      </c>
      <c r="I4752" s="74">
        <f t="shared" si="1"/>
        <v>1440000</v>
      </c>
      <c r="J4752" s="74">
        <f>IF(E4752="SERVICE",I4752-(I4752*50%),Vlookup(E4752,DATABASE!C:Q,10,false)*F4752)</f>
        <v>0</v>
      </c>
      <c r="K4752" s="74">
        <f>VLOOKUP(E4752,DATABASE!C:Q,7,false)</f>
        <v>653000</v>
      </c>
      <c r="L4752" s="74">
        <v>622000.0</v>
      </c>
      <c r="M4752" s="74">
        <f t="shared" si="2"/>
        <v>625000</v>
      </c>
      <c r="N4752" s="74">
        <f t="shared" si="3"/>
        <v>190000</v>
      </c>
      <c r="O4752" s="65" t="str">
        <f>VLOOKUP(E4752,DATABASE!C:Q,8,false)</f>
        <v>IBU</v>
      </c>
      <c r="P4752" s="65">
        <f>VLOOKUP(E4752,DATABASE!C:Q,9,False)</f>
        <v>1</v>
      </c>
      <c r="Q4752" s="93" t="str">
        <f>VLOOKUP(E4752,DATABASE!C:Q,4,false)</f>
        <v>Dunlop</v>
      </c>
      <c r="R4752" s="93" t="str">
        <f>VLOOKUP(E4752,DATABASE!C:Q,11,false)</f>
        <v>Tire</v>
      </c>
    </row>
    <row r="4753" ht="22.5" customHeight="1">
      <c r="A4753" s="49"/>
      <c r="C4753" s="384">
        <v>45931.0</v>
      </c>
      <c r="D4753" s="65">
        <v>7316.0</v>
      </c>
      <c r="E4753" s="445" t="s">
        <v>288</v>
      </c>
      <c r="F4753" s="386">
        <v>1.0</v>
      </c>
      <c r="G4753" s="74">
        <v>620000.0</v>
      </c>
      <c r="H4753" s="74">
        <v>0.0</v>
      </c>
      <c r="I4753" s="74">
        <f t="shared" si="1"/>
        <v>620000</v>
      </c>
      <c r="J4753" s="74">
        <f>IF(E4753="SERVICE",I4753-(I4753*50%),Vlookup(E4753,DATABASE!C:Q,10,false)*F4753)</f>
        <v>0</v>
      </c>
      <c r="K4753" s="74">
        <f>VLOOKUP(E4753,DATABASE!C:Q,7,false)</f>
        <v>565760</v>
      </c>
      <c r="L4753" s="74">
        <v>524800.0</v>
      </c>
      <c r="M4753" s="74">
        <f t="shared" si="2"/>
        <v>525000</v>
      </c>
      <c r="N4753" s="74">
        <f t="shared" si="3"/>
        <v>95000</v>
      </c>
      <c r="O4753" s="65" t="str">
        <f>VLOOKUP(E4753,DATABASE!C:Q,8,false)</f>
        <v>BIAN</v>
      </c>
      <c r="P4753" s="65">
        <f>VLOOKUP(E4753,DATABASE!C:Q,9,False)</f>
        <v>1</v>
      </c>
      <c r="Q4753" s="93" t="str">
        <f>VLOOKUP(E4753,DATABASE!C:Q,4,false)</f>
        <v>GT</v>
      </c>
      <c r="R4753" s="93" t="str">
        <f>VLOOKUP(E4753,DATABASE!C:Q,11,false)</f>
        <v>Tire</v>
      </c>
    </row>
    <row r="4754" ht="22.5" customHeight="1">
      <c r="A4754" s="49"/>
      <c r="C4754" s="384">
        <v>45931.0</v>
      </c>
      <c r="D4754" s="65">
        <v>7316.0</v>
      </c>
      <c r="E4754" s="445" t="s">
        <v>275</v>
      </c>
      <c r="F4754" s="386">
        <v>2.0</v>
      </c>
      <c r="G4754" s="74">
        <v>850000.0</v>
      </c>
      <c r="H4754" s="74">
        <v>0.0</v>
      </c>
      <c r="I4754" s="74">
        <f t="shared" si="1"/>
        <v>1700000</v>
      </c>
      <c r="J4754" s="74">
        <f>IF(E4754="SERVICE",I4754-(I4754*50%),Vlookup(E4754,DATABASE!C:Q,10,false)*F4754)</f>
        <v>0</v>
      </c>
      <c r="K4754" s="74">
        <f>VLOOKUP(E4754,DATABASE!C:Q,7,false)</f>
        <v>782000</v>
      </c>
      <c r="L4754" s="74">
        <v>745000.0</v>
      </c>
      <c r="M4754" s="74">
        <f t="shared" si="2"/>
        <v>745000</v>
      </c>
      <c r="N4754" s="74">
        <f t="shared" si="3"/>
        <v>210000</v>
      </c>
      <c r="O4754" s="65" t="str">
        <f>VLOOKUP(E4754,DATABASE!C:Q,8,false)</f>
        <v>IBU</v>
      </c>
      <c r="P4754" s="65">
        <f>VLOOKUP(E4754,DATABASE!C:Q,9,False)</f>
        <v>1</v>
      </c>
      <c r="Q4754" s="93" t="str">
        <f>VLOOKUP(E4754,DATABASE!C:Q,4,false)</f>
        <v>Dunlop</v>
      </c>
      <c r="R4754" s="93" t="str">
        <f>VLOOKUP(E4754,DATABASE!C:Q,11,false)</f>
        <v>Tire</v>
      </c>
    </row>
    <row r="4755" ht="22.5" customHeight="1">
      <c r="A4755" s="49"/>
      <c r="C4755" s="384">
        <v>45931.0</v>
      </c>
      <c r="D4755" s="65">
        <v>7317.0</v>
      </c>
      <c r="E4755" s="385" t="s">
        <v>461</v>
      </c>
      <c r="F4755" s="386">
        <v>2.0</v>
      </c>
      <c r="G4755" s="74">
        <v>60000.0</v>
      </c>
      <c r="H4755" s="74">
        <v>0.0</v>
      </c>
      <c r="I4755" s="74">
        <f t="shared" si="1"/>
        <v>120000</v>
      </c>
      <c r="J4755" s="74">
        <f>IF(E4755="SERVICE",I4755-(I4755*50%),Vlookup(E4755,DATABASE!C:Q,10,false)*F4755)</f>
        <v>0</v>
      </c>
      <c r="K4755" s="74">
        <v>0.0</v>
      </c>
      <c r="L4755" s="74">
        <v>0.0</v>
      </c>
      <c r="M4755" s="74">
        <f t="shared" si="2"/>
        <v>0</v>
      </c>
      <c r="N4755" s="74">
        <f t="shared" si="3"/>
        <v>120000</v>
      </c>
      <c r="O4755" s="65" t="str">
        <f>VLOOKUP(E4755,DATABASE!C:Q,8,false)</f>
        <v>BIAN</v>
      </c>
      <c r="P4755" s="65">
        <f>VLOOKUP(E4755,DATABASE!C:Q,9,False)</f>
        <v>0</v>
      </c>
      <c r="Q4755" s="93" t="str">
        <f>VLOOKUP(E4755,DATABASE!C:Q,4,false)</f>
        <v>Balancing</v>
      </c>
      <c r="R4755" s="93" t="str">
        <f>VLOOKUP(E4755,DATABASE!C:Q,11,false)</f>
        <v>COMPLEMENTARY</v>
      </c>
    </row>
    <row r="4756" ht="22.5" customHeight="1">
      <c r="A4756" s="49"/>
      <c r="C4756" s="384">
        <v>45931.0</v>
      </c>
      <c r="D4756" s="65">
        <v>7318.0</v>
      </c>
      <c r="E4756" s="445" t="s">
        <v>282</v>
      </c>
      <c r="F4756" s="386">
        <v>1.0</v>
      </c>
      <c r="G4756" s="74">
        <v>880000.0</v>
      </c>
      <c r="H4756" s="74">
        <v>0.0</v>
      </c>
      <c r="I4756" s="74">
        <f t="shared" si="1"/>
        <v>880000</v>
      </c>
      <c r="J4756" s="74">
        <f>IF(E4756="SERVICE",I4756-(I4756*50%),Vlookup(E4756,DATABASE!C:Q,10,false)*F4756)</f>
        <v>0</v>
      </c>
      <c r="K4756" s="74">
        <f>VLOOKUP(E4756,DATABASE!C:Q,7,false)</f>
        <v>779500</v>
      </c>
      <c r="L4756" s="74">
        <v>771000.0</v>
      </c>
      <c r="M4756" s="74">
        <f t="shared" si="2"/>
        <v>775000</v>
      </c>
      <c r="N4756" s="74">
        <f t="shared" si="3"/>
        <v>105000</v>
      </c>
      <c r="O4756" s="65" t="str">
        <f>VLOOKUP(E4756,DATABASE!C:Q,8,false)</f>
        <v>IBU</v>
      </c>
      <c r="P4756" s="65">
        <f>VLOOKUP(E4756,DATABASE!C:Q,9,False)</f>
        <v>1</v>
      </c>
      <c r="Q4756" s="93" t="str">
        <f>VLOOKUP(E4756,DATABASE!C:Q,4,false)</f>
        <v>Dunlop</v>
      </c>
      <c r="R4756" s="93" t="str">
        <f>VLOOKUP(E4756,DATABASE!C:Q,11,false)</f>
        <v>Tire</v>
      </c>
    </row>
    <row r="4757" ht="22.5" customHeight="1">
      <c r="A4757" s="49"/>
      <c r="C4757" s="384">
        <v>45931.0</v>
      </c>
      <c r="D4757" s="65">
        <v>7320.0</v>
      </c>
      <c r="E4757" s="445" t="s">
        <v>749</v>
      </c>
      <c r="F4757" s="386">
        <v>1.0</v>
      </c>
      <c r="G4757" s="74">
        <v>170000.0</v>
      </c>
      <c r="H4757" s="74">
        <v>0.0</v>
      </c>
      <c r="I4757" s="74">
        <f t="shared" si="1"/>
        <v>170000</v>
      </c>
      <c r="J4757" s="74">
        <f>IF(E4757="SERVICE",I4757-(I4757*50%),Vlookup(E4757,DATABASE!C:Q,10,false)*F4757)</f>
        <v>0</v>
      </c>
      <c r="K4757" s="74">
        <f>VLOOKUP(E4757,DATABASE!C:Q,7,false)</f>
        <v>140000</v>
      </c>
      <c r="L4757" s="74">
        <v>140000.0</v>
      </c>
      <c r="M4757" s="74">
        <f t="shared" si="2"/>
        <v>140000</v>
      </c>
      <c r="N4757" s="74">
        <f t="shared" si="3"/>
        <v>30000</v>
      </c>
      <c r="O4757" s="65" t="str">
        <f>VLOOKUP(E4757,DATABASE!C:Q,8,false)</f>
        <v>BIAN</v>
      </c>
      <c r="P4757" s="65">
        <f>VLOOKUP(E4757,DATABASE!C:Q,9,False)</f>
        <v>1</v>
      </c>
      <c r="Q4757" s="93" t="str">
        <f>VLOOKUP(E4757,DATABASE!C:Q,4,false)</f>
        <v>BD</v>
      </c>
      <c r="R4757" s="93" t="str">
        <f>VLOOKUP(E4757,DATABASE!C:Q,11,false)</f>
        <v>Tire</v>
      </c>
    </row>
    <row r="4758" ht="22.5" customHeight="1">
      <c r="A4758" s="49"/>
      <c r="C4758" s="384">
        <v>45931.0</v>
      </c>
      <c r="D4758" s="65">
        <v>7321.0</v>
      </c>
      <c r="E4758" s="445" t="s">
        <v>749</v>
      </c>
      <c r="F4758" s="386">
        <v>1.0</v>
      </c>
      <c r="G4758" s="74">
        <v>170000.0</v>
      </c>
      <c r="H4758" s="74">
        <v>0.0</v>
      </c>
      <c r="I4758" s="74">
        <f t="shared" si="1"/>
        <v>170000</v>
      </c>
      <c r="J4758" s="74">
        <f>IF(E4758="SERVICE",I4758-(I4758*50%),Vlookup(E4758,DATABASE!C:Q,10,false)*F4758)</f>
        <v>0</v>
      </c>
      <c r="K4758" s="74">
        <f>VLOOKUP(E4758,DATABASE!C:Q,7,false)</f>
        <v>140000</v>
      </c>
      <c r="L4758" s="74">
        <v>140000.0</v>
      </c>
      <c r="M4758" s="74">
        <f t="shared" si="2"/>
        <v>140000</v>
      </c>
      <c r="N4758" s="74">
        <f t="shared" si="3"/>
        <v>30000</v>
      </c>
      <c r="O4758" s="65" t="str">
        <f>VLOOKUP(E4758,DATABASE!C:Q,8,false)</f>
        <v>BIAN</v>
      </c>
      <c r="P4758" s="65">
        <f>VLOOKUP(E4758,DATABASE!C:Q,9,False)</f>
        <v>1</v>
      </c>
      <c r="Q4758" s="93" t="str">
        <f>VLOOKUP(E4758,DATABASE!C:Q,4,false)</f>
        <v>BD</v>
      </c>
      <c r="R4758" s="93" t="str">
        <f>VLOOKUP(E4758,DATABASE!C:Q,11,false)</f>
        <v>Tire</v>
      </c>
    </row>
    <row r="4759" ht="22.5" customHeight="1">
      <c r="A4759" s="49"/>
      <c r="C4759" s="384">
        <v>45932.0</v>
      </c>
      <c r="D4759" s="65">
        <v>7321.0</v>
      </c>
      <c r="E4759" s="445" t="s">
        <v>246</v>
      </c>
      <c r="F4759" s="386">
        <v>4.0</v>
      </c>
      <c r="G4759" s="74">
        <v>25000.0</v>
      </c>
      <c r="H4759" s="74">
        <v>0.0</v>
      </c>
      <c r="I4759" s="74">
        <f t="shared" si="1"/>
        <v>100000</v>
      </c>
      <c r="J4759" s="74">
        <f>IF(E4759="SERVICE",I4759-(I4759*50%),Vlookup(E4759,DATABASE!C:Q,10,false)*F4759)</f>
        <v>0</v>
      </c>
      <c r="K4759" s="74">
        <f>VLOOKUP(E4759,DATABASE!C:Q,7,false)</f>
        <v>0</v>
      </c>
      <c r="L4759" s="74">
        <v>0.0</v>
      </c>
      <c r="M4759" s="74">
        <f t="shared" si="2"/>
        <v>0</v>
      </c>
      <c r="N4759" s="74">
        <f t="shared" si="3"/>
        <v>100000</v>
      </c>
      <c r="O4759" s="65" t="str">
        <f>VLOOKUP(E4759,DATABASE!C:Q,8,false)</f>
        <v>IBU</v>
      </c>
      <c r="P4759" s="65">
        <f>VLOOKUP(E4759,DATABASE!C:Q,9,False)</f>
        <v>0</v>
      </c>
      <c r="Q4759" s="93" t="str">
        <f>VLOOKUP(E4759,DATABASE!C:Q,4,false)</f>
        <v>Bongkar Pasang</v>
      </c>
      <c r="R4759" s="93" t="str">
        <f>VLOOKUP(E4759,DATABASE!C:Q,11,false)</f>
        <v>SERVICE</v>
      </c>
    </row>
    <row r="4760" ht="22.5" customHeight="1">
      <c r="A4760" s="49"/>
      <c r="C4760" s="384">
        <v>45932.0</v>
      </c>
      <c r="D4760" s="65">
        <v>7321.0</v>
      </c>
      <c r="E4760" s="445" t="s">
        <v>256</v>
      </c>
      <c r="F4760" s="386">
        <v>1.0</v>
      </c>
      <c r="G4760" s="74">
        <v>130000.0</v>
      </c>
      <c r="H4760" s="74">
        <v>0.0</v>
      </c>
      <c r="I4760" s="74">
        <f t="shared" si="1"/>
        <v>130000</v>
      </c>
      <c r="J4760" s="74">
        <f>IF(E4760="SERVICE",I4760-(I4760*50%),Vlookup(E4760,DATABASE!C:Q,10,false)*F4760)</f>
        <v>10000</v>
      </c>
      <c r="K4760" s="74">
        <f>VLOOKUP(E4760,DATABASE!C:Q,7,false)</f>
        <v>0</v>
      </c>
      <c r="L4760" s="74">
        <v>0.0</v>
      </c>
      <c r="M4760" s="74">
        <f t="shared" si="2"/>
        <v>0</v>
      </c>
      <c r="N4760" s="74">
        <f t="shared" si="3"/>
        <v>120000</v>
      </c>
      <c r="O4760" s="65" t="str">
        <f>VLOOKUP(E4760,DATABASE!C:Q,8,false)</f>
        <v>IBU</v>
      </c>
      <c r="P4760" s="65">
        <f>VLOOKUP(E4760,DATABASE!C:Q,9,False)</f>
        <v>0</v>
      </c>
      <c r="Q4760" s="93" t="str">
        <f>VLOOKUP(E4760,DATABASE!C:Q,4,false)</f>
        <v>SPOORING</v>
      </c>
      <c r="R4760" s="93" t="str">
        <f>VLOOKUP(E4760,DATABASE!C:Q,11,false)</f>
        <v>SERVICE</v>
      </c>
    </row>
    <row r="4761" ht="22.5" customHeight="1">
      <c r="A4761" s="49"/>
      <c r="C4761" s="384">
        <v>45932.0</v>
      </c>
      <c r="D4761" s="65">
        <v>7321.0</v>
      </c>
      <c r="E4761" s="385" t="s">
        <v>299</v>
      </c>
      <c r="F4761" s="386">
        <v>2.0</v>
      </c>
      <c r="G4761" s="74">
        <v>30000.0</v>
      </c>
      <c r="H4761" s="74">
        <v>0.0</v>
      </c>
      <c r="I4761" s="74">
        <f t="shared" si="1"/>
        <v>60000</v>
      </c>
      <c r="J4761" s="74">
        <f>IF(E4761="SERVICE",I4761-(I4761*50%),Vlookup(E4761,DATABASE!C:Q,10,false)*F4761)</f>
        <v>0</v>
      </c>
      <c r="K4761" s="74">
        <v>0.0</v>
      </c>
      <c r="L4761" s="74">
        <v>0.0</v>
      </c>
      <c r="M4761" s="74">
        <f t="shared" si="2"/>
        <v>0</v>
      </c>
      <c r="N4761" s="74">
        <f t="shared" si="3"/>
        <v>60000</v>
      </c>
      <c r="O4761" s="65" t="str">
        <f>VLOOKUP(E4761,DATABASE!C:Q,8,false)</f>
        <v>BIAN</v>
      </c>
      <c r="P4761" s="65">
        <f>VLOOKUP(E4761,DATABASE!C:Q,9,False)</f>
        <v>0</v>
      </c>
      <c r="Q4761" s="93" t="str">
        <f>VLOOKUP(E4761,DATABASE!C:Q,4,false)</f>
        <v>Balancing</v>
      </c>
      <c r="R4761" s="93" t="str">
        <f>VLOOKUP(E4761,DATABASE!C:Q,11,false)</f>
        <v>COMPLEMENTARY</v>
      </c>
    </row>
    <row r="4762" ht="22.5" customHeight="1">
      <c r="A4762" s="49"/>
      <c r="C4762" s="384">
        <v>45932.0</v>
      </c>
      <c r="D4762" s="65">
        <v>7321.0</v>
      </c>
      <c r="E4762" s="445" t="s">
        <v>251</v>
      </c>
      <c r="F4762" s="386">
        <v>1.0</v>
      </c>
      <c r="G4762" s="74">
        <v>150000.0</v>
      </c>
      <c r="H4762" s="74">
        <v>0.0</v>
      </c>
      <c r="I4762" s="74">
        <f t="shared" si="1"/>
        <v>150000</v>
      </c>
      <c r="J4762" s="74">
        <f>IF(E4762="SERVICE",I4762-(I4762*50%),Vlookup(E4762,DATABASE!C:Q,10,false)*F4762)</f>
        <v>75000</v>
      </c>
      <c r="K4762" s="74">
        <f>VLOOKUP(E4762,DATABASE!C:Q,7,false)</f>
        <v>0</v>
      </c>
      <c r="L4762" s="74">
        <v>0.0</v>
      </c>
      <c r="M4762" s="74">
        <f t="shared" si="2"/>
        <v>0</v>
      </c>
      <c r="N4762" s="74">
        <f t="shared" si="3"/>
        <v>75000</v>
      </c>
      <c r="O4762" s="65" t="str">
        <f>VLOOKUP(E4762,DATABASE!C:Q,8,false)</f>
        <v>IBU</v>
      </c>
      <c r="P4762" s="65">
        <f>VLOOKUP(E4762,DATABASE!C:Q,9,False)</f>
        <v>0</v>
      </c>
      <c r="Q4762" s="93" t="str">
        <f>VLOOKUP(E4762,DATABASE!C:Q,4,false)</f>
        <v>SERVICE</v>
      </c>
      <c r="R4762" s="93" t="str">
        <f>VLOOKUP(E4762,DATABASE!C:Q,11,false)</f>
        <v>SERVICE</v>
      </c>
    </row>
    <row r="4763" ht="22.5" customHeight="1">
      <c r="A4763" s="49"/>
      <c r="C4763" s="384">
        <v>45932.0</v>
      </c>
      <c r="D4763" s="65">
        <v>7322.0</v>
      </c>
      <c r="E4763" s="445" t="s">
        <v>246</v>
      </c>
      <c r="F4763" s="386">
        <v>1.0</v>
      </c>
      <c r="G4763" s="74">
        <v>30000.0</v>
      </c>
      <c r="H4763" s="74">
        <v>0.0</v>
      </c>
      <c r="I4763" s="74">
        <f t="shared" si="1"/>
        <v>30000</v>
      </c>
      <c r="J4763" s="74">
        <f>IF(E4763="SERVICE",I4763-(I4763*50%),Vlookup(E4763,DATABASE!C:Q,10,false)*F4763)</f>
        <v>0</v>
      </c>
      <c r="K4763" s="74">
        <f>VLOOKUP(E4763,DATABASE!C:Q,7,false)</f>
        <v>0</v>
      </c>
      <c r="L4763" s="74">
        <v>0.0</v>
      </c>
      <c r="M4763" s="74">
        <f t="shared" si="2"/>
        <v>0</v>
      </c>
      <c r="N4763" s="74">
        <f t="shared" si="3"/>
        <v>30000</v>
      </c>
      <c r="O4763" s="65" t="str">
        <f>VLOOKUP(E4763,DATABASE!C:Q,8,false)</f>
        <v>IBU</v>
      </c>
      <c r="P4763" s="65">
        <f>VLOOKUP(E4763,DATABASE!C:Q,9,False)</f>
        <v>0</v>
      </c>
      <c r="Q4763" s="93" t="str">
        <f>VLOOKUP(E4763,DATABASE!C:Q,4,false)</f>
        <v>Bongkar Pasang</v>
      </c>
      <c r="R4763" s="93" t="str">
        <f>VLOOKUP(E4763,DATABASE!C:Q,11,false)</f>
        <v>SERVICE</v>
      </c>
    </row>
    <row r="4764" ht="22.5" customHeight="1">
      <c r="A4764" s="49"/>
      <c r="C4764" s="384">
        <v>45932.0</v>
      </c>
      <c r="D4764" s="65">
        <v>7322.0</v>
      </c>
      <c r="E4764" s="445" t="s">
        <v>246</v>
      </c>
      <c r="F4764" s="386">
        <v>1.0</v>
      </c>
      <c r="G4764" s="74">
        <v>10000.0</v>
      </c>
      <c r="H4764" s="74">
        <v>0.0</v>
      </c>
      <c r="I4764" s="74">
        <f t="shared" si="1"/>
        <v>10000</v>
      </c>
      <c r="J4764" s="74">
        <f>IF(E4764="SERVICE",I4764-(I4764*50%),Vlookup(E4764,DATABASE!C:Q,10,false)*F4764)</f>
        <v>0</v>
      </c>
      <c r="K4764" s="74">
        <f>VLOOKUP(E4764,DATABASE!C:Q,7,false)</f>
        <v>0</v>
      </c>
      <c r="L4764" s="74">
        <v>0.0</v>
      </c>
      <c r="M4764" s="74">
        <f t="shared" si="2"/>
        <v>0</v>
      </c>
      <c r="N4764" s="74">
        <f t="shared" si="3"/>
        <v>10000</v>
      </c>
      <c r="O4764" s="65" t="str">
        <f>VLOOKUP(E4764,DATABASE!C:Q,8,false)</f>
        <v>IBU</v>
      </c>
      <c r="P4764" s="65">
        <f>VLOOKUP(E4764,DATABASE!C:Q,9,False)</f>
        <v>0</v>
      </c>
      <c r="Q4764" s="93" t="str">
        <f>VLOOKUP(E4764,DATABASE!C:Q,4,false)</f>
        <v>Bongkar Pasang</v>
      </c>
      <c r="R4764" s="93" t="str">
        <f>VLOOKUP(E4764,DATABASE!C:Q,11,false)</f>
        <v>SERVICE</v>
      </c>
    </row>
    <row r="4765" ht="22.5" customHeight="1">
      <c r="A4765" s="49"/>
      <c r="C4765" s="384">
        <v>45932.0</v>
      </c>
      <c r="D4765" s="65">
        <v>7323.0</v>
      </c>
      <c r="E4765" s="445" t="s">
        <v>569</v>
      </c>
      <c r="F4765" s="386">
        <v>1.0</v>
      </c>
      <c r="G4765" s="74">
        <v>80000.0</v>
      </c>
      <c r="H4765" s="74">
        <v>0.0</v>
      </c>
      <c r="I4765" s="74">
        <f t="shared" si="1"/>
        <v>80000</v>
      </c>
      <c r="J4765" s="74">
        <f>IF(E4765="SERVICE",I4765-(I4765*50%),Vlookup(E4765,DATABASE!C:Q,10,false)*F4765)</f>
        <v>0</v>
      </c>
      <c r="K4765" s="74">
        <f>VLOOKUP(E4765,DATABASE!C:Q,7,false)</f>
        <v>45439.582</v>
      </c>
      <c r="L4765" s="74">
        <v>45309.6</v>
      </c>
      <c r="M4765" s="74">
        <f t="shared" si="2"/>
        <v>50000</v>
      </c>
      <c r="N4765" s="74">
        <f t="shared" si="3"/>
        <v>30000</v>
      </c>
      <c r="O4765" s="65" t="str">
        <f>VLOOKUP(E4765,DATABASE!C:Q,8,false)</f>
        <v>BIAN</v>
      </c>
      <c r="P4765" s="65">
        <f>VLOOKUP(E4765,DATABASE!C:Q,9,False)</f>
        <v>1</v>
      </c>
      <c r="Q4765" s="93" t="str">
        <f>VLOOKUP(E4765,DATABASE!C:Q,4,false)</f>
        <v>BD</v>
      </c>
      <c r="R4765" s="93" t="str">
        <f>VLOOKUP(E4765,DATABASE!C:Q,11,false)</f>
        <v>Tire</v>
      </c>
    </row>
    <row r="4766" ht="22.5" customHeight="1">
      <c r="A4766" s="49"/>
      <c r="C4766" s="384">
        <v>45932.0</v>
      </c>
      <c r="D4766" s="65">
        <v>7324.0</v>
      </c>
      <c r="E4766" s="445" t="s">
        <v>275</v>
      </c>
      <c r="F4766" s="386">
        <v>1.0</v>
      </c>
      <c r="G4766" s="74">
        <v>850000.0</v>
      </c>
      <c r="H4766" s="74">
        <v>0.0</v>
      </c>
      <c r="I4766" s="74">
        <f t="shared" si="1"/>
        <v>850000</v>
      </c>
      <c r="J4766" s="74">
        <f>IF(E4766="SERVICE",I4766-(I4766*50%),Vlookup(E4766,DATABASE!C:Q,10,false)*F4766)</f>
        <v>0</v>
      </c>
      <c r="K4766" s="74">
        <f>VLOOKUP(E4766,DATABASE!C:Q,7,false)</f>
        <v>782000</v>
      </c>
      <c r="L4766" s="74">
        <v>745000.0</v>
      </c>
      <c r="M4766" s="74">
        <f t="shared" si="2"/>
        <v>745000</v>
      </c>
      <c r="N4766" s="74">
        <f t="shared" si="3"/>
        <v>105000</v>
      </c>
      <c r="O4766" s="65" t="str">
        <f>VLOOKUP(E4766,DATABASE!C:Q,8,false)</f>
        <v>IBU</v>
      </c>
      <c r="P4766" s="65">
        <f>VLOOKUP(E4766,DATABASE!C:Q,9,False)</f>
        <v>1</v>
      </c>
      <c r="Q4766" s="93" t="str">
        <f>VLOOKUP(E4766,DATABASE!C:Q,4,false)</f>
        <v>Dunlop</v>
      </c>
      <c r="R4766" s="93" t="str">
        <f>VLOOKUP(E4766,DATABASE!C:Q,11,false)</f>
        <v>Tire</v>
      </c>
    </row>
    <row r="4767" ht="22.5" customHeight="1">
      <c r="A4767" s="49"/>
      <c r="C4767" s="384">
        <v>45932.0</v>
      </c>
      <c r="D4767" s="65">
        <v>7325.0</v>
      </c>
      <c r="E4767" s="445" t="s">
        <v>275</v>
      </c>
      <c r="F4767" s="386">
        <v>2.0</v>
      </c>
      <c r="G4767" s="74">
        <v>850000.0</v>
      </c>
      <c r="H4767" s="74">
        <v>0.0</v>
      </c>
      <c r="I4767" s="74">
        <f t="shared" si="1"/>
        <v>1700000</v>
      </c>
      <c r="J4767" s="74">
        <f>IF(E4767="SERVICE",I4767-(I4767*50%),Vlookup(E4767,DATABASE!C:Q,10,false)*F4767)</f>
        <v>0</v>
      </c>
      <c r="K4767" s="74">
        <f>VLOOKUP(E4767,DATABASE!C:Q,7,false)</f>
        <v>782000</v>
      </c>
      <c r="L4767" s="74">
        <v>745000.0</v>
      </c>
      <c r="M4767" s="74">
        <f t="shared" si="2"/>
        <v>745000</v>
      </c>
      <c r="N4767" s="74">
        <f t="shared" si="3"/>
        <v>210000</v>
      </c>
      <c r="O4767" s="65" t="str">
        <f>VLOOKUP(E4767,DATABASE!C:Q,8,false)</f>
        <v>IBU</v>
      </c>
      <c r="P4767" s="65">
        <f>VLOOKUP(E4767,DATABASE!C:Q,9,False)</f>
        <v>1</v>
      </c>
      <c r="Q4767" s="93" t="str">
        <f>VLOOKUP(E4767,DATABASE!C:Q,4,false)</f>
        <v>Dunlop</v>
      </c>
      <c r="R4767" s="93" t="str">
        <f>VLOOKUP(E4767,DATABASE!C:Q,11,false)</f>
        <v>Tire</v>
      </c>
    </row>
    <row r="4768" ht="22.5" customHeight="1">
      <c r="A4768" s="49"/>
      <c r="C4768" s="384">
        <v>45932.0</v>
      </c>
      <c r="D4768" s="65">
        <v>7326.0</v>
      </c>
      <c r="E4768" s="445" t="s">
        <v>287</v>
      </c>
      <c r="F4768" s="386">
        <v>1.0</v>
      </c>
      <c r="G4768" s="74">
        <v>780000.0</v>
      </c>
      <c r="H4768" s="74">
        <v>0.0</v>
      </c>
      <c r="I4768" s="74">
        <f t="shared" si="1"/>
        <v>780000</v>
      </c>
      <c r="J4768" s="74">
        <f>IF(E4768="SERVICE",I4768-(I4768*50%),Vlookup(E4768,DATABASE!C:Q,10,false)*F4768)</f>
        <v>0</v>
      </c>
      <c r="K4768" s="74">
        <f>VLOOKUP(E4768,DATABASE!C:Q,7,false)</f>
        <v>711000</v>
      </c>
      <c r="L4768" s="74">
        <v>690600.0</v>
      </c>
      <c r="M4768" s="74">
        <f t="shared" si="2"/>
        <v>695000</v>
      </c>
      <c r="N4768" s="74">
        <f t="shared" si="3"/>
        <v>85000</v>
      </c>
      <c r="O4768" s="65" t="str">
        <f>VLOOKUP(E4768,DATABASE!C:Q,8,false)</f>
        <v>BIAN</v>
      </c>
      <c r="P4768" s="65">
        <f>VLOOKUP(E4768,DATABASE!C:Q,9,False)</f>
        <v>1</v>
      </c>
      <c r="Q4768" s="93" t="str">
        <f>VLOOKUP(E4768,DATABASE!C:Q,4,false)</f>
        <v>GT</v>
      </c>
      <c r="R4768" s="93" t="str">
        <f>VLOOKUP(E4768,DATABASE!C:Q,11,false)</f>
        <v>Tire</v>
      </c>
    </row>
    <row r="4769" ht="22.5" customHeight="1">
      <c r="A4769" s="49"/>
      <c r="C4769" s="384">
        <v>45932.0</v>
      </c>
      <c r="D4769" s="65">
        <v>7326.0</v>
      </c>
      <c r="E4769" s="445" t="s">
        <v>604</v>
      </c>
      <c r="F4769" s="386">
        <v>1.0</v>
      </c>
      <c r="G4769" s="74">
        <v>160000.0</v>
      </c>
      <c r="H4769" s="74">
        <v>0.0</v>
      </c>
      <c r="I4769" s="74">
        <f t="shared" si="1"/>
        <v>160000</v>
      </c>
      <c r="J4769" s="74">
        <f>IF(E4769="SERVICE",I4769-(I4769*50%),Vlookup(E4769,DATABASE!C:Q,10,false)*F4769)</f>
        <v>0</v>
      </c>
      <c r="K4769" s="74">
        <f>VLOOKUP(E4769,DATABASE!C:Q,7,false)</f>
        <v>124000</v>
      </c>
      <c r="L4769" s="74">
        <v>124000.0</v>
      </c>
      <c r="M4769" s="74">
        <f t="shared" si="2"/>
        <v>125000</v>
      </c>
      <c r="N4769" s="74">
        <f t="shared" si="3"/>
        <v>35000</v>
      </c>
      <c r="O4769" s="65" t="str">
        <f>VLOOKUP(E4769,DATABASE!C:Q,8,false)</f>
        <v>BIAN</v>
      </c>
      <c r="P4769" s="65">
        <f>VLOOKUP(E4769,DATABASE!C:Q,9,False)</f>
        <v>1</v>
      </c>
      <c r="Q4769" s="93" t="str">
        <f>VLOOKUP(E4769,DATABASE!C:Q,4,false)</f>
        <v>BD</v>
      </c>
      <c r="R4769" s="93" t="str">
        <f>VLOOKUP(E4769,DATABASE!C:Q,11,false)</f>
        <v>Tire</v>
      </c>
    </row>
    <row r="4770" ht="22.5" customHeight="1">
      <c r="A4770" s="49"/>
      <c r="C4770" s="384">
        <v>45932.0</v>
      </c>
      <c r="D4770" s="65">
        <v>7327.0</v>
      </c>
      <c r="E4770" s="445" t="s">
        <v>268</v>
      </c>
      <c r="F4770" s="386">
        <v>2.0</v>
      </c>
      <c r="G4770" s="74">
        <v>720000.0</v>
      </c>
      <c r="H4770" s="74">
        <v>0.0</v>
      </c>
      <c r="I4770" s="74">
        <f t="shared" si="1"/>
        <v>1440000</v>
      </c>
      <c r="J4770" s="74">
        <f>IF(E4770="SERVICE",I4770-(I4770*50%),Vlookup(E4770,DATABASE!C:Q,10,false)*F4770)</f>
        <v>0</v>
      </c>
      <c r="K4770" s="74">
        <f>VLOOKUP(E4770,DATABASE!C:Q,7,false)</f>
        <v>653000</v>
      </c>
      <c r="L4770" s="74">
        <v>622000.0</v>
      </c>
      <c r="M4770" s="74">
        <f t="shared" si="2"/>
        <v>625000</v>
      </c>
      <c r="N4770" s="74">
        <f t="shared" si="3"/>
        <v>190000</v>
      </c>
      <c r="O4770" s="65" t="str">
        <f>VLOOKUP(E4770,DATABASE!C:Q,8,false)</f>
        <v>IBU</v>
      </c>
      <c r="P4770" s="65">
        <f>VLOOKUP(E4770,DATABASE!C:Q,9,False)</f>
        <v>1</v>
      </c>
      <c r="Q4770" s="93" t="str">
        <f>VLOOKUP(E4770,DATABASE!C:Q,4,false)</f>
        <v>Dunlop</v>
      </c>
      <c r="R4770" s="93" t="str">
        <f>VLOOKUP(E4770,DATABASE!C:Q,11,false)</f>
        <v>Tire</v>
      </c>
    </row>
    <row r="4771" ht="22.5" customHeight="1">
      <c r="A4771" s="49"/>
      <c r="C4771" s="384">
        <v>45933.0</v>
      </c>
      <c r="D4771" s="65">
        <v>7329.0</v>
      </c>
      <c r="E4771" s="445" t="s">
        <v>265</v>
      </c>
      <c r="F4771" s="386">
        <v>2.0</v>
      </c>
      <c r="G4771" s="74">
        <v>695000.0</v>
      </c>
      <c r="H4771" s="74">
        <v>0.0</v>
      </c>
      <c r="I4771" s="74">
        <f t="shared" si="1"/>
        <v>1390000</v>
      </c>
      <c r="J4771" s="74">
        <f>IF(E4771="SERVICE",I4771-(I4771*50%),Vlookup(E4771,DATABASE!C:Q,10,false)*F4771)</f>
        <v>0</v>
      </c>
      <c r="K4771" s="74">
        <f>VLOOKUP(E4771,DATABASE!C:Q,7,false)</f>
        <v>628000</v>
      </c>
      <c r="L4771" s="74">
        <v>610000.0</v>
      </c>
      <c r="M4771" s="74">
        <f t="shared" si="2"/>
        <v>610000</v>
      </c>
      <c r="N4771" s="74">
        <f t="shared" si="3"/>
        <v>170000</v>
      </c>
      <c r="O4771" s="65" t="str">
        <f>VLOOKUP(E4771,DATABASE!C:Q,8,false)</f>
        <v>IBU</v>
      </c>
      <c r="P4771" s="65">
        <f>VLOOKUP(E4771,DATABASE!C:Q,9,False)</f>
        <v>1</v>
      </c>
      <c r="Q4771" s="93" t="str">
        <f>VLOOKUP(E4771,DATABASE!C:Q,4,false)</f>
        <v>Dunlop</v>
      </c>
      <c r="R4771" s="93" t="str">
        <f>VLOOKUP(E4771,DATABASE!C:Q,11,false)</f>
        <v>Tire</v>
      </c>
    </row>
    <row r="4772" ht="22.5" customHeight="1">
      <c r="A4772" s="49"/>
      <c r="C4772" s="384">
        <v>45933.0</v>
      </c>
      <c r="D4772" s="65">
        <v>7330.0</v>
      </c>
      <c r="E4772" s="445" t="s">
        <v>268</v>
      </c>
      <c r="F4772" s="386">
        <v>2.0</v>
      </c>
      <c r="G4772" s="74">
        <v>710000.0</v>
      </c>
      <c r="H4772" s="74">
        <v>0.0</v>
      </c>
      <c r="I4772" s="74">
        <f t="shared" si="1"/>
        <v>1420000</v>
      </c>
      <c r="J4772" s="74">
        <f>IF(E4772="SERVICE",I4772-(I4772*50%),Vlookup(E4772,DATABASE!C:Q,10,false)*F4772)</f>
        <v>0</v>
      </c>
      <c r="K4772" s="74">
        <f>VLOOKUP(E4772,DATABASE!C:Q,7,false)</f>
        <v>653000</v>
      </c>
      <c r="L4772" s="74">
        <v>622000.0</v>
      </c>
      <c r="M4772" s="74">
        <f t="shared" si="2"/>
        <v>625000</v>
      </c>
      <c r="N4772" s="74">
        <f t="shared" si="3"/>
        <v>170000</v>
      </c>
      <c r="O4772" s="65" t="str">
        <f>VLOOKUP(E4772,DATABASE!C:Q,8,false)</f>
        <v>IBU</v>
      </c>
      <c r="P4772" s="65">
        <f>VLOOKUP(E4772,DATABASE!C:Q,9,False)</f>
        <v>1</v>
      </c>
      <c r="Q4772" s="93" t="str">
        <f>VLOOKUP(E4772,DATABASE!C:Q,4,false)</f>
        <v>Dunlop</v>
      </c>
      <c r="R4772" s="93" t="str">
        <f>VLOOKUP(E4772,DATABASE!C:Q,11,false)</f>
        <v>Tire</v>
      </c>
    </row>
    <row r="4773" ht="22.5" customHeight="1">
      <c r="A4773" s="49"/>
      <c r="C4773" s="384">
        <v>45933.0</v>
      </c>
      <c r="D4773" s="65">
        <v>7331.0</v>
      </c>
      <c r="E4773" s="445" t="s">
        <v>246</v>
      </c>
      <c r="F4773" s="386">
        <v>1.0</v>
      </c>
      <c r="G4773" s="74">
        <v>25000.0</v>
      </c>
      <c r="H4773" s="74">
        <v>0.0</v>
      </c>
      <c r="I4773" s="74">
        <f t="shared" si="1"/>
        <v>25000</v>
      </c>
      <c r="J4773" s="74">
        <f>IF(E4773="SERVICE",I4773-(I4773*50%),Vlookup(E4773,DATABASE!C:Q,10,false)*F4773)</f>
        <v>0</v>
      </c>
      <c r="K4773" s="74">
        <f>VLOOKUP(E4773,DATABASE!C:Q,7,false)</f>
        <v>0</v>
      </c>
      <c r="L4773" s="74">
        <v>0.0</v>
      </c>
      <c r="M4773" s="74">
        <f t="shared" si="2"/>
        <v>0</v>
      </c>
      <c r="N4773" s="74">
        <f t="shared" si="3"/>
        <v>25000</v>
      </c>
      <c r="O4773" s="65" t="str">
        <f>VLOOKUP(E4773,DATABASE!C:Q,8,false)</f>
        <v>IBU</v>
      </c>
      <c r="P4773" s="65">
        <f>VLOOKUP(E4773,DATABASE!C:Q,9,False)</f>
        <v>0</v>
      </c>
      <c r="Q4773" s="93" t="str">
        <f>VLOOKUP(E4773,DATABASE!C:Q,4,false)</f>
        <v>Bongkar Pasang</v>
      </c>
      <c r="R4773" s="93" t="str">
        <f>VLOOKUP(E4773,DATABASE!C:Q,11,false)</f>
        <v>SERVICE</v>
      </c>
    </row>
    <row r="4774" ht="22.5" customHeight="1">
      <c r="A4774" s="49"/>
      <c r="C4774" s="384">
        <v>45933.0</v>
      </c>
      <c r="D4774" s="65">
        <v>7332.0</v>
      </c>
      <c r="E4774" s="445" t="s">
        <v>268</v>
      </c>
      <c r="F4774" s="386">
        <v>2.0</v>
      </c>
      <c r="G4774" s="74">
        <v>720000.0</v>
      </c>
      <c r="H4774" s="74">
        <v>0.0</v>
      </c>
      <c r="I4774" s="74">
        <f t="shared" si="1"/>
        <v>1440000</v>
      </c>
      <c r="J4774" s="74">
        <f>IF(E4774="SERVICE",I4774-(I4774*50%),Vlookup(E4774,DATABASE!C:Q,10,false)*F4774)</f>
        <v>0</v>
      </c>
      <c r="K4774" s="74">
        <f>VLOOKUP(E4774,DATABASE!C:Q,7,false)</f>
        <v>653000</v>
      </c>
      <c r="L4774" s="74">
        <v>622000.0</v>
      </c>
      <c r="M4774" s="74">
        <f t="shared" si="2"/>
        <v>625000</v>
      </c>
      <c r="N4774" s="74">
        <f t="shared" si="3"/>
        <v>190000</v>
      </c>
      <c r="O4774" s="65" t="str">
        <f>VLOOKUP(E4774,DATABASE!C:Q,8,false)</f>
        <v>IBU</v>
      </c>
      <c r="P4774" s="65">
        <f>VLOOKUP(E4774,DATABASE!C:Q,9,False)</f>
        <v>1</v>
      </c>
      <c r="Q4774" s="93" t="str">
        <f>VLOOKUP(E4774,DATABASE!C:Q,4,false)</f>
        <v>Dunlop</v>
      </c>
      <c r="R4774" s="93" t="str">
        <f>VLOOKUP(E4774,DATABASE!C:Q,11,false)</f>
        <v>Tire</v>
      </c>
    </row>
    <row r="4775" ht="22.5" customHeight="1">
      <c r="A4775" s="49"/>
      <c r="C4775" s="384">
        <v>45933.0</v>
      </c>
      <c r="D4775" s="65">
        <v>7333.0</v>
      </c>
      <c r="E4775" s="445" t="s">
        <v>1862</v>
      </c>
      <c r="F4775" s="386">
        <v>2.0</v>
      </c>
      <c r="G4775" s="74">
        <v>2150000.0</v>
      </c>
      <c r="H4775" s="74">
        <v>0.0</v>
      </c>
      <c r="I4775" s="74">
        <f t="shared" si="1"/>
        <v>4300000</v>
      </c>
      <c r="J4775" s="74">
        <f>IF(E4775="SERVICE",I4775-(I4775*50%),Vlookup(E4775,DATABASE!C:Q,10,false)*F4775)</f>
        <v>0</v>
      </c>
      <c r="K4775" s="74">
        <f>VLOOKUP(E4775,DATABASE!C:Q,7,false)</f>
        <v>2080000</v>
      </c>
      <c r="L4775" s="74">
        <v>2050000.0</v>
      </c>
      <c r="M4775" s="74">
        <f t="shared" si="2"/>
        <v>2050000</v>
      </c>
      <c r="N4775" s="74">
        <f t="shared" si="3"/>
        <v>200000</v>
      </c>
      <c r="O4775" s="65" t="str">
        <f>VLOOKUP(E4775,DATABASE!C:Q,8,false)</f>
        <v>BIAN</v>
      </c>
      <c r="P4775" s="65">
        <f>VLOOKUP(E4775,DATABASE!C:Q,9,False)</f>
        <v>1</v>
      </c>
      <c r="Q4775" s="93" t="str">
        <f>VLOOKUP(E4775,DATABASE!C:Q,4,false)</f>
        <v>GiTi</v>
      </c>
      <c r="R4775" s="93" t="str">
        <f>VLOOKUP(E4775,DATABASE!C:Q,11,false)</f>
        <v>Tire</v>
      </c>
    </row>
    <row r="4776" ht="22.5" customHeight="1">
      <c r="A4776" s="49"/>
      <c r="C4776" s="384">
        <v>45933.0</v>
      </c>
      <c r="D4776" s="65">
        <v>7335.0</v>
      </c>
      <c r="E4776" s="385" t="s">
        <v>305</v>
      </c>
      <c r="F4776" s="386">
        <v>2.0</v>
      </c>
      <c r="G4776" s="74">
        <v>235000.0</v>
      </c>
      <c r="H4776" s="74">
        <v>0.0</v>
      </c>
      <c r="I4776" s="74">
        <f t="shared" si="1"/>
        <v>470000</v>
      </c>
      <c r="J4776" s="74">
        <f>IF(E4776="SERVICE",I4776-(I4776*50%),Vlookup(E4776,DATABASE!C:Q,10,false)*F4776)</f>
        <v>80000</v>
      </c>
      <c r="K4776" s="74">
        <f>VLOOKUP(E4776,DATABASE!C:Q,7,false)</f>
        <v>158530.2</v>
      </c>
      <c r="L4776" s="74">
        <v>151890.0</v>
      </c>
      <c r="M4776" s="74">
        <f t="shared" si="2"/>
        <v>155000</v>
      </c>
      <c r="N4776" s="74">
        <f t="shared" si="3"/>
        <v>80000</v>
      </c>
      <c r="O4776" s="65" t="str">
        <f>VLOOKUP(E4776,DATABASE!C:Q,8,false)</f>
        <v>BIAN</v>
      </c>
      <c r="P4776" s="65">
        <f>VLOOKUP(E4776,DATABASE!C:Q,9,False)</f>
        <v>1</v>
      </c>
      <c r="Q4776" s="93" t="str">
        <f>VLOOKUP(E4776,DATABASE!C:Q,4,false)</f>
        <v>Lower Arm</v>
      </c>
      <c r="R4776" s="93" t="str">
        <f>VLOOKUP(E4776,DATABASE!C:Q,11,false)</f>
        <v>COMPLEMENTARY</v>
      </c>
    </row>
    <row r="4777" ht="22.5" customHeight="1">
      <c r="A4777" s="49"/>
      <c r="C4777" s="384">
        <v>45933.0</v>
      </c>
      <c r="D4777" s="65">
        <v>7335.0</v>
      </c>
      <c r="E4777" s="445" t="s">
        <v>478</v>
      </c>
      <c r="F4777" s="386">
        <v>1.0</v>
      </c>
      <c r="G4777" s="74">
        <v>200000.0</v>
      </c>
      <c r="H4777" s="74">
        <v>0.0</v>
      </c>
      <c r="I4777" s="74">
        <f t="shared" si="1"/>
        <v>200000</v>
      </c>
      <c r="J4777" s="74">
        <f>IF(E4777="SERVICE",I4777-(I4777*50%),Vlookup(E4777,DATABASE!C:Q,10,false)*F4777)</f>
        <v>25000</v>
      </c>
      <c r="K4777" s="74">
        <f>VLOOKUP(E4777,DATABASE!C:Q,7,false)</f>
        <v>75000</v>
      </c>
      <c r="L4777" s="74">
        <v>75000.0</v>
      </c>
      <c r="M4777" s="74">
        <f t="shared" si="2"/>
        <v>75000</v>
      </c>
      <c r="N4777" s="74">
        <f t="shared" si="3"/>
        <v>100000</v>
      </c>
      <c r="O4777" s="65" t="str">
        <f>VLOOKUP(E4777,DATABASE!C:Q,8,false)</f>
        <v>BIAN</v>
      </c>
      <c r="P4777" s="65">
        <f>VLOOKUP(E4777,DATABASE!C:Q,9,False)</f>
        <v>0</v>
      </c>
      <c r="Q4777" s="93" t="str">
        <f>VLOOKUP(E4777,DATABASE!C:Q,4,false)</f>
        <v>Baut Camber ss-carry</v>
      </c>
      <c r="R4777" s="93" t="str">
        <f>VLOOKUP(E4777,DATABASE!C:Q,11,false)</f>
        <v>COMPLEMENTARY</v>
      </c>
    </row>
    <row r="4778" ht="22.5" customHeight="1">
      <c r="A4778" s="49"/>
      <c r="C4778" s="384">
        <v>45933.0</v>
      </c>
      <c r="D4778" s="65">
        <v>7335.0</v>
      </c>
      <c r="E4778" s="445" t="s">
        <v>262</v>
      </c>
      <c r="F4778" s="386">
        <v>1.0</v>
      </c>
      <c r="G4778" s="74">
        <v>110000.0</v>
      </c>
      <c r="H4778" s="74">
        <v>0.0</v>
      </c>
      <c r="I4778" s="74">
        <f t="shared" si="1"/>
        <v>110000</v>
      </c>
      <c r="J4778" s="74">
        <f>IF(E4778="SERVICE",I4778-(I4778*50%),Vlookup(E4778,DATABASE!C:Q,10,false)*F4778)</f>
        <v>5000</v>
      </c>
      <c r="K4778" s="74">
        <f>VLOOKUP(E4778,DATABASE!C:Q,7,false)</f>
        <v>0</v>
      </c>
      <c r="L4778" s="74">
        <v>0.0</v>
      </c>
      <c r="M4778" s="74">
        <f t="shared" si="2"/>
        <v>0</v>
      </c>
      <c r="N4778" s="74">
        <f t="shared" si="3"/>
        <v>105000</v>
      </c>
      <c r="O4778" s="65" t="str">
        <f>VLOOKUP(E4778,DATABASE!C:Q,8,false)</f>
        <v>IBU</v>
      </c>
      <c r="P4778" s="65">
        <f>VLOOKUP(E4778,DATABASE!C:Q,9,False)</f>
        <v>0</v>
      </c>
      <c r="Q4778" s="93" t="str">
        <f>VLOOKUP(E4778,DATABASE!C:Q,4,false)</f>
        <v>SPOORING SS/CARRY LOS BAK</v>
      </c>
      <c r="R4778" s="93" t="str">
        <f>VLOOKUP(E4778,DATABASE!C:Q,11,false)</f>
        <v>SERVICE</v>
      </c>
    </row>
    <row r="4779" ht="22.5" customHeight="1">
      <c r="A4779" s="49"/>
      <c r="C4779" s="384">
        <v>45933.0</v>
      </c>
      <c r="D4779" s="65">
        <v>7336.0</v>
      </c>
      <c r="E4779" s="445" t="s">
        <v>932</v>
      </c>
      <c r="F4779" s="386">
        <v>1.0</v>
      </c>
      <c r="G4779" s="74">
        <v>685000.0</v>
      </c>
      <c r="H4779" s="74">
        <v>0.0</v>
      </c>
      <c r="I4779" s="74">
        <f t="shared" si="1"/>
        <v>685000</v>
      </c>
      <c r="J4779" s="74">
        <f>IF(E4779="SERVICE",I4779-(I4779*50%),Vlookup(E4779,DATABASE!C:Q,10,false)*F4779)</f>
        <v>0</v>
      </c>
      <c r="K4779" s="74">
        <f>VLOOKUP(E4779,DATABASE!C:Q,7,false)</f>
        <v>601000</v>
      </c>
      <c r="L4779" s="74">
        <v>595000.0</v>
      </c>
      <c r="M4779" s="74">
        <f t="shared" si="2"/>
        <v>595000</v>
      </c>
      <c r="N4779" s="74">
        <f t="shared" si="3"/>
        <v>90000</v>
      </c>
      <c r="O4779" s="65" t="str">
        <f>VLOOKUP(E4779,DATABASE!C:Q,8,false)</f>
        <v>IBU</v>
      </c>
      <c r="P4779" s="65">
        <f>VLOOKUP(E4779,DATABASE!C:Q,9,False)</f>
        <v>1</v>
      </c>
      <c r="Q4779" s="93" t="str">
        <f>VLOOKUP(E4779,DATABASE!C:Q,4,false)</f>
        <v>Dunlop</v>
      </c>
      <c r="R4779" s="93" t="str">
        <f>VLOOKUP(E4779,DATABASE!C:Q,11,false)</f>
        <v>Tire</v>
      </c>
    </row>
    <row r="4780" ht="22.5" customHeight="1">
      <c r="A4780" s="49"/>
      <c r="C4780" s="384">
        <v>45933.0</v>
      </c>
      <c r="D4780" s="65">
        <v>7337.0</v>
      </c>
      <c r="E4780" s="445" t="s">
        <v>627</v>
      </c>
      <c r="F4780" s="386">
        <v>4.0</v>
      </c>
      <c r="G4780" s="74">
        <v>980000.0</v>
      </c>
      <c r="H4780" s="74">
        <v>0.0</v>
      </c>
      <c r="I4780" s="74">
        <f t="shared" si="1"/>
        <v>3920000</v>
      </c>
      <c r="J4780" s="74">
        <f>IF(E4780="SERVICE",I4780-(I4780*50%),Vlookup(E4780,DATABASE!C:Q,10,false)*F4780)</f>
        <v>0</v>
      </c>
      <c r="K4780" s="74">
        <f>VLOOKUP(E4780,DATABASE!C:Q,7,false)</f>
        <v>879567</v>
      </c>
      <c r="L4780" s="74">
        <v>884979.0</v>
      </c>
      <c r="M4780" s="74">
        <f t="shared" si="2"/>
        <v>885000</v>
      </c>
      <c r="N4780" s="74">
        <f t="shared" si="3"/>
        <v>380000</v>
      </c>
      <c r="O4780" s="65" t="str">
        <f>VLOOKUP(E4780,DATABASE!C:Q,8,false)</f>
        <v>IBU</v>
      </c>
      <c r="P4780" s="65">
        <f>VLOOKUP(E4780,DATABASE!C:Q,9,False)</f>
        <v>1</v>
      </c>
      <c r="Q4780" s="93" t="str">
        <f>VLOOKUP(E4780,DATABASE!C:Q,4,false)</f>
        <v>Bridgestone</v>
      </c>
      <c r="R4780" s="93" t="str">
        <f>VLOOKUP(E4780,DATABASE!C:Q,11,false)</f>
        <v>Tire</v>
      </c>
    </row>
    <row r="4781" ht="22.5" customHeight="1">
      <c r="A4781" s="49"/>
      <c r="C4781" s="384">
        <v>45933.0</v>
      </c>
      <c r="D4781" s="65">
        <v>7337.0</v>
      </c>
      <c r="E4781" s="385" t="s">
        <v>299</v>
      </c>
      <c r="F4781" s="386">
        <v>2.0</v>
      </c>
      <c r="G4781" s="74">
        <v>30000.0</v>
      </c>
      <c r="H4781" s="74">
        <v>0.0</v>
      </c>
      <c r="I4781" s="74">
        <f t="shared" si="1"/>
        <v>60000</v>
      </c>
      <c r="J4781" s="74">
        <f>IF(E4781="SERVICE",I4781-(I4781*50%),Vlookup(E4781,DATABASE!C:Q,10,false)*F4781)</f>
        <v>0</v>
      </c>
      <c r="K4781" s="74">
        <v>0.0</v>
      </c>
      <c r="L4781" s="74">
        <v>0.0</v>
      </c>
      <c r="M4781" s="74">
        <f t="shared" si="2"/>
        <v>0</v>
      </c>
      <c r="N4781" s="74">
        <f t="shared" si="3"/>
        <v>60000</v>
      </c>
      <c r="O4781" s="65" t="str">
        <f>VLOOKUP(E4781,DATABASE!C:Q,8,false)</f>
        <v>BIAN</v>
      </c>
      <c r="P4781" s="65">
        <f>VLOOKUP(E4781,DATABASE!C:Q,9,False)</f>
        <v>0</v>
      </c>
      <c r="Q4781" s="93" t="str">
        <f>VLOOKUP(E4781,DATABASE!C:Q,4,false)</f>
        <v>Balancing</v>
      </c>
      <c r="R4781" s="93" t="str">
        <f>VLOOKUP(E4781,DATABASE!C:Q,11,false)</f>
        <v>COMPLEMENTARY</v>
      </c>
    </row>
    <row r="4782" ht="22.5" customHeight="1">
      <c r="A4782" s="49"/>
      <c r="C4782" s="384">
        <v>45933.0</v>
      </c>
      <c r="D4782" s="65">
        <v>7338.0</v>
      </c>
      <c r="E4782" s="658" t="s">
        <v>2345</v>
      </c>
      <c r="F4782" s="386">
        <v>1.0</v>
      </c>
      <c r="G4782" s="74">
        <v>775000.0</v>
      </c>
      <c r="H4782" s="74">
        <v>0.0</v>
      </c>
      <c r="I4782" s="74">
        <f t="shared" si="1"/>
        <v>775000</v>
      </c>
      <c r="J4782" s="74">
        <f>IF(E4782="SERVICE",I4782-(I4782*50%),Vlookup(E4782,DATABASE!C:Q,10,false)*F4782)</f>
        <v>0</v>
      </c>
      <c r="K4782" s="74">
        <f>VLOOKUP(E4782,DATABASE!C:Q,7,false)</f>
        <v>680000</v>
      </c>
      <c r="L4782" s="74">
        <v>650000.0</v>
      </c>
      <c r="M4782" s="74">
        <f t="shared" si="2"/>
        <v>650000</v>
      </c>
      <c r="N4782" s="74">
        <f t="shared" si="3"/>
        <v>125000</v>
      </c>
      <c r="O4782" s="65" t="str">
        <f>VLOOKUP(E4782,DATABASE!C:Q,8,false)</f>
        <v>BIAN</v>
      </c>
      <c r="P4782" s="65">
        <f>VLOOKUP(E4782,DATABASE!C:Q,9,False)</f>
        <v>1</v>
      </c>
      <c r="Q4782" s="93" t="str">
        <f>VLOOKUP(E4782,DATABASE!C:Q,4,false)</f>
        <v>Velg</v>
      </c>
      <c r="R4782" s="93" t="str">
        <f>VLOOKUP(E4782,DATABASE!C:Q,11,false)</f>
        <v>Tire</v>
      </c>
    </row>
    <row r="4783" ht="22.5" customHeight="1">
      <c r="A4783" s="49"/>
      <c r="C4783" s="384">
        <v>45933.0</v>
      </c>
      <c r="D4783" s="65">
        <v>7339.0</v>
      </c>
      <c r="E4783" s="445" t="s">
        <v>288</v>
      </c>
      <c r="F4783" s="386">
        <v>1.0</v>
      </c>
      <c r="G4783" s="74">
        <v>620000.0</v>
      </c>
      <c r="H4783" s="74">
        <v>0.0</v>
      </c>
      <c r="I4783" s="74">
        <f t="shared" si="1"/>
        <v>620000</v>
      </c>
      <c r="J4783" s="74">
        <f>IF(E4783="SERVICE",I4783-(I4783*50%),Vlookup(E4783,DATABASE!C:Q,10,false)*F4783)</f>
        <v>0</v>
      </c>
      <c r="K4783" s="74">
        <f>VLOOKUP(E4783,DATABASE!C:Q,7,false)</f>
        <v>565760</v>
      </c>
      <c r="L4783" s="74">
        <v>524800.0</v>
      </c>
      <c r="M4783" s="74">
        <f t="shared" si="2"/>
        <v>525000</v>
      </c>
      <c r="N4783" s="74">
        <f t="shared" si="3"/>
        <v>95000</v>
      </c>
      <c r="O4783" s="65" t="str">
        <f>VLOOKUP(E4783,DATABASE!C:Q,8,false)</f>
        <v>BIAN</v>
      </c>
      <c r="P4783" s="65">
        <f>VLOOKUP(E4783,DATABASE!C:Q,9,False)</f>
        <v>1</v>
      </c>
      <c r="Q4783" s="93" t="str">
        <f>VLOOKUP(E4783,DATABASE!C:Q,4,false)</f>
        <v>GT</v>
      </c>
      <c r="R4783" s="93" t="str">
        <f>VLOOKUP(E4783,DATABASE!C:Q,11,false)</f>
        <v>Tire</v>
      </c>
    </row>
    <row r="4784" ht="22.5" customHeight="1">
      <c r="A4784" s="49"/>
      <c r="C4784" s="384">
        <v>45933.0</v>
      </c>
      <c r="D4784" s="65">
        <v>7340.0</v>
      </c>
      <c r="E4784" s="445" t="s">
        <v>1530</v>
      </c>
      <c r="F4784" s="386">
        <v>1.0</v>
      </c>
      <c r="G4784" s="74">
        <v>550000.0</v>
      </c>
      <c r="H4784" s="74">
        <v>0.0</v>
      </c>
      <c r="I4784" s="74">
        <f t="shared" si="1"/>
        <v>550000</v>
      </c>
      <c r="J4784" s="74">
        <f>IF(E4784="SERVICE",I4784-(I4784*50%),Vlookup(E4784,DATABASE!C:Q,10,false)*F4784)</f>
        <v>0</v>
      </c>
      <c r="K4784" s="74">
        <f>VLOOKUP(E4784,DATABASE!C:Q,7,false)</f>
        <v>467000</v>
      </c>
      <c r="L4784" s="74">
        <v>454000.0</v>
      </c>
      <c r="M4784" s="74">
        <f t="shared" si="2"/>
        <v>455000</v>
      </c>
      <c r="N4784" s="74">
        <f t="shared" si="3"/>
        <v>95000</v>
      </c>
      <c r="O4784" s="65" t="str">
        <f>VLOOKUP(E4784,DATABASE!C:Q,8,false)</f>
        <v>BIAN</v>
      </c>
      <c r="P4784" s="65">
        <f>VLOOKUP(E4784,DATABASE!C:Q,9,False)</f>
        <v>1</v>
      </c>
      <c r="Q4784" s="93" t="str">
        <f>VLOOKUP(E4784,DATABASE!C:Q,4,false)</f>
        <v>Laufen</v>
      </c>
      <c r="R4784" s="93" t="str">
        <f>VLOOKUP(E4784,DATABASE!C:Q,11,false)</f>
        <v>Tire</v>
      </c>
    </row>
    <row r="4785" ht="22.5" customHeight="1">
      <c r="A4785" s="49"/>
      <c r="C4785" s="384">
        <v>45933.0</v>
      </c>
      <c r="D4785" s="65">
        <v>7341.0</v>
      </c>
      <c r="E4785" s="445" t="s">
        <v>271</v>
      </c>
      <c r="F4785" s="386">
        <v>1.0</v>
      </c>
      <c r="G4785" s="74">
        <v>640000.0</v>
      </c>
      <c r="H4785" s="74">
        <v>0.0</v>
      </c>
      <c r="I4785" s="74">
        <f t="shared" si="1"/>
        <v>640000</v>
      </c>
      <c r="J4785" s="74">
        <f>IF(E4785="SERVICE",I4785-(I4785*50%),Vlookup(E4785,DATABASE!C:Q,10,false)*F4785)</f>
        <v>0</v>
      </c>
      <c r="K4785" s="74">
        <f>VLOOKUP(E4785,DATABASE!C:Q,7,false)</f>
        <v>570000</v>
      </c>
      <c r="L4785" s="74">
        <v>539000.0</v>
      </c>
      <c r="M4785" s="74">
        <f t="shared" si="2"/>
        <v>540000</v>
      </c>
      <c r="N4785" s="74">
        <f t="shared" si="3"/>
        <v>100000</v>
      </c>
      <c r="O4785" s="65" t="str">
        <f>VLOOKUP(E4785,DATABASE!C:Q,8,false)</f>
        <v>IBU</v>
      </c>
      <c r="P4785" s="65">
        <f>VLOOKUP(E4785,DATABASE!C:Q,9,False)</f>
        <v>1</v>
      </c>
      <c r="Q4785" s="93" t="str">
        <f>VLOOKUP(E4785,DATABASE!C:Q,4,false)</f>
        <v>Dunlop</v>
      </c>
      <c r="R4785" s="93" t="str">
        <f>VLOOKUP(E4785,DATABASE!C:Q,11,false)</f>
        <v>Tire</v>
      </c>
    </row>
    <row r="4786" ht="22.5" customHeight="1">
      <c r="A4786" s="49"/>
      <c r="C4786" s="384">
        <v>45933.0</v>
      </c>
      <c r="D4786" s="65">
        <v>7342.0</v>
      </c>
      <c r="E4786" s="445" t="s">
        <v>256</v>
      </c>
      <c r="F4786" s="386">
        <v>1.0</v>
      </c>
      <c r="G4786" s="74">
        <v>130000.0</v>
      </c>
      <c r="H4786" s="74">
        <v>0.0</v>
      </c>
      <c r="I4786" s="74">
        <f t="shared" si="1"/>
        <v>130000</v>
      </c>
      <c r="J4786" s="74">
        <f>IF(E4786="SERVICE",I4786-(I4786*50%),Vlookup(E4786,DATABASE!C:Q,10,false)*F4786)</f>
        <v>10000</v>
      </c>
      <c r="K4786" s="74">
        <f>VLOOKUP(E4786,DATABASE!C:Q,7,false)</f>
        <v>0</v>
      </c>
      <c r="L4786" s="74">
        <v>0.0</v>
      </c>
      <c r="M4786" s="74">
        <f t="shared" si="2"/>
        <v>0</v>
      </c>
      <c r="N4786" s="74">
        <f t="shared" si="3"/>
        <v>120000</v>
      </c>
      <c r="O4786" s="65" t="str">
        <f>VLOOKUP(E4786,DATABASE!C:Q,8,false)</f>
        <v>IBU</v>
      </c>
      <c r="P4786" s="65">
        <f>VLOOKUP(E4786,DATABASE!C:Q,9,False)</f>
        <v>0</v>
      </c>
      <c r="Q4786" s="93" t="str">
        <f>VLOOKUP(E4786,DATABASE!C:Q,4,false)</f>
        <v>SPOORING</v>
      </c>
      <c r="R4786" s="93" t="str">
        <f>VLOOKUP(E4786,DATABASE!C:Q,11,false)</f>
        <v>SERVICE</v>
      </c>
    </row>
    <row r="4787" ht="22.5" customHeight="1">
      <c r="A4787" s="49"/>
      <c r="C4787" s="384">
        <v>45933.0</v>
      </c>
      <c r="D4787" s="65">
        <v>7342.0</v>
      </c>
      <c r="E4787" s="445" t="s">
        <v>246</v>
      </c>
      <c r="F4787" s="386">
        <v>2.0</v>
      </c>
      <c r="G4787" s="74">
        <v>25000.0</v>
      </c>
      <c r="H4787" s="74">
        <v>0.0</v>
      </c>
      <c r="I4787" s="74">
        <f t="shared" si="1"/>
        <v>50000</v>
      </c>
      <c r="J4787" s="74">
        <f>IF(E4787="SERVICE",I4787-(I4787*50%),Vlookup(E4787,DATABASE!C:Q,10,false)*F4787)</f>
        <v>0</v>
      </c>
      <c r="K4787" s="74">
        <f>VLOOKUP(E4787,DATABASE!C:Q,7,false)</f>
        <v>0</v>
      </c>
      <c r="L4787" s="74">
        <v>0.0</v>
      </c>
      <c r="M4787" s="74">
        <f t="shared" si="2"/>
        <v>0</v>
      </c>
      <c r="N4787" s="74">
        <f t="shared" si="3"/>
        <v>50000</v>
      </c>
      <c r="O4787" s="65" t="str">
        <f>VLOOKUP(E4787,DATABASE!C:Q,8,false)</f>
        <v>IBU</v>
      </c>
      <c r="P4787" s="65">
        <f>VLOOKUP(E4787,DATABASE!C:Q,9,False)</f>
        <v>0</v>
      </c>
      <c r="Q4787" s="93" t="str">
        <f>VLOOKUP(E4787,DATABASE!C:Q,4,false)</f>
        <v>Bongkar Pasang</v>
      </c>
      <c r="R4787" s="93" t="str">
        <f>VLOOKUP(E4787,DATABASE!C:Q,11,false)</f>
        <v>SERVICE</v>
      </c>
    </row>
    <row r="4788" ht="22.5" customHeight="1">
      <c r="A4788" s="49"/>
      <c r="C4788" s="384">
        <v>45933.0</v>
      </c>
      <c r="D4788" s="65">
        <v>7343.0</v>
      </c>
      <c r="E4788" s="385" t="s">
        <v>299</v>
      </c>
      <c r="F4788" s="386">
        <v>2.0</v>
      </c>
      <c r="G4788" s="74">
        <v>30000.0</v>
      </c>
      <c r="H4788" s="74">
        <v>0.0</v>
      </c>
      <c r="I4788" s="74">
        <f t="shared" si="1"/>
        <v>60000</v>
      </c>
      <c r="J4788" s="74">
        <f>IF(E4788="SERVICE",I4788-(I4788*50%),Vlookup(E4788,DATABASE!C:Q,10,false)*F4788)</f>
        <v>0</v>
      </c>
      <c r="K4788" s="74">
        <v>0.0</v>
      </c>
      <c r="L4788" s="74">
        <v>0.0</v>
      </c>
      <c r="M4788" s="74">
        <f t="shared" si="2"/>
        <v>0</v>
      </c>
      <c r="N4788" s="74">
        <f t="shared" si="3"/>
        <v>60000</v>
      </c>
      <c r="O4788" s="65" t="str">
        <f>VLOOKUP(E4788,DATABASE!C:Q,8,false)</f>
        <v>BIAN</v>
      </c>
      <c r="P4788" s="65">
        <f>VLOOKUP(E4788,DATABASE!C:Q,9,False)</f>
        <v>0</v>
      </c>
      <c r="Q4788" s="93" t="str">
        <f>VLOOKUP(E4788,DATABASE!C:Q,4,false)</f>
        <v>Balancing</v>
      </c>
      <c r="R4788" s="93" t="str">
        <f>VLOOKUP(E4788,DATABASE!C:Q,11,false)</f>
        <v>COMPLEMENTARY</v>
      </c>
    </row>
    <row r="4789" ht="22.5" customHeight="1">
      <c r="A4789" s="49"/>
      <c r="C4789" s="384">
        <v>45933.0</v>
      </c>
      <c r="D4789" s="65">
        <v>7344.0</v>
      </c>
      <c r="E4789" s="445" t="s">
        <v>821</v>
      </c>
      <c r="F4789" s="386">
        <v>2.0</v>
      </c>
      <c r="G4789" s="74">
        <v>85000.0</v>
      </c>
      <c r="H4789" s="74">
        <v>0.0</v>
      </c>
      <c r="I4789" s="74">
        <f t="shared" si="1"/>
        <v>170000</v>
      </c>
      <c r="J4789" s="74">
        <f>IF(E4789="SERVICE",I4789-(I4789*50%),Vlookup(E4789,DATABASE!C:Q,10,false)*F4789)</f>
        <v>0</v>
      </c>
      <c r="K4789" s="74">
        <f>VLOOKUP(E4789,DATABASE!C:Q,7,false)</f>
        <v>43500</v>
      </c>
      <c r="L4789" s="74">
        <v>43520.0</v>
      </c>
      <c r="M4789" s="74">
        <f t="shared" si="2"/>
        <v>45000</v>
      </c>
      <c r="N4789" s="74">
        <f t="shared" si="3"/>
        <v>80000</v>
      </c>
      <c r="O4789" s="65" t="str">
        <f>VLOOKUP(E4789,DATABASE!C:Q,8,false)</f>
        <v>BIAN</v>
      </c>
      <c r="P4789" s="65">
        <f>VLOOKUP(E4789,DATABASE!C:Q,9,False)</f>
        <v>1</v>
      </c>
      <c r="Q4789" s="93" t="str">
        <f>VLOOKUP(E4789,DATABASE!C:Q,4,false)</f>
        <v>Flap</v>
      </c>
      <c r="R4789" s="93" t="str">
        <f>VLOOKUP(E4789,DATABASE!C:Q,11,false)</f>
        <v>Tire</v>
      </c>
    </row>
    <row r="4790" ht="22.5" customHeight="1">
      <c r="A4790" s="49"/>
      <c r="C4790" s="384">
        <v>45933.0</v>
      </c>
      <c r="D4790" s="65">
        <v>7345.0</v>
      </c>
      <c r="E4790" s="445" t="s">
        <v>681</v>
      </c>
      <c r="F4790" s="386">
        <v>1.0</v>
      </c>
      <c r="G4790" s="74">
        <v>125000.0</v>
      </c>
      <c r="H4790" s="74">
        <v>0.0</v>
      </c>
      <c r="I4790" s="74">
        <f t="shared" si="1"/>
        <v>125000</v>
      </c>
      <c r="J4790" s="74">
        <f>IF(E4790="SERVICE",I4790-(I4790*50%),Vlookup(E4790,DATABASE!C:Q,10,false)*F4790)</f>
        <v>0</v>
      </c>
      <c r="K4790" s="74">
        <f>VLOOKUP(E4790,DATABASE!C:Q,7,false)</f>
        <v>91000</v>
      </c>
      <c r="L4790" s="74">
        <v>91000.0</v>
      </c>
      <c r="M4790" s="74">
        <f t="shared" si="2"/>
        <v>95000</v>
      </c>
      <c r="N4790" s="74">
        <f t="shared" si="3"/>
        <v>30000</v>
      </c>
      <c r="O4790" s="65" t="str">
        <f>VLOOKUP(E4790,DATABASE!C:Q,8,false)</f>
        <v>BIAN</v>
      </c>
      <c r="P4790" s="65">
        <f>VLOOKUP(E4790,DATABASE!C:Q,9,False)</f>
        <v>1</v>
      </c>
      <c r="Q4790" s="93" t="str">
        <f>VLOOKUP(E4790,DATABASE!C:Q,4,false)</f>
        <v>BD</v>
      </c>
      <c r="R4790" s="93" t="str">
        <f>VLOOKUP(E4790,DATABASE!C:Q,11,false)</f>
        <v>Tire</v>
      </c>
    </row>
    <row r="4791" ht="22.5" customHeight="1">
      <c r="A4791" s="49"/>
      <c r="C4791" s="384">
        <v>45934.0</v>
      </c>
      <c r="D4791" s="65">
        <v>7346.0</v>
      </c>
      <c r="E4791" s="445" t="s">
        <v>932</v>
      </c>
      <c r="F4791" s="386">
        <v>2.0</v>
      </c>
      <c r="G4791" s="74">
        <v>685000.0</v>
      </c>
      <c r="H4791" s="74">
        <v>0.0</v>
      </c>
      <c r="I4791" s="74">
        <f t="shared" si="1"/>
        <v>1370000</v>
      </c>
      <c r="J4791" s="74">
        <f>IF(E4791="SERVICE",I4791-(I4791*50%),Vlookup(E4791,DATABASE!C:Q,10,false)*F4791)</f>
        <v>0</v>
      </c>
      <c r="K4791" s="74">
        <f>VLOOKUP(E4791,DATABASE!C:Q,7,false)</f>
        <v>601000</v>
      </c>
      <c r="L4791" s="74">
        <v>595000.0</v>
      </c>
      <c r="M4791" s="74">
        <f t="shared" si="2"/>
        <v>595000</v>
      </c>
      <c r="N4791" s="74">
        <f t="shared" si="3"/>
        <v>180000</v>
      </c>
      <c r="O4791" s="65" t="str">
        <f>VLOOKUP(E4791,DATABASE!C:Q,8,false)</f>
        <v>IBU</v>
      </c>
      <c r="P4791" s="65">
        <f>VLOOKUP(E4791,DATABASE!C:Q,9,False)</f>
        <v>1</v>
      </c>
      <c r="Q4791" s="93" t="str">
        <f>VLOOKUP(E4791,DATABASE!C:Q,4,false)</f>
        <v>Dunlop</v>
      </c>
      <c r="R4791" s="93" t="str">
        <f>VLOOKUP(E4791,DATABASE!C:Q,11,false)</f>
        <v>Tire</v>
      </c>
    </row>
    <row r="4792" ht="22.5" customHeight="1">
      <c r="A4792" s="49"/>
      <c r="C4792" s="384">
        <v>45934.0</v>
      </c>
      <c r="D4792" s="65">
        <v>7347.0</v>
      </c>
      <c r="E4792" s="445" t="s">
        <v>256</v>
      </c>
      <c r="F4792" s="386">
        <v>1.0</v>
      </c>
      <c r="G4792" s="74">
        <v>130000.0</v>
      </c>
      <c r="H4792" s="74">
        <v>0.0</v>
      </c>
      <c r="I4792" s="74">
        <f t="shared" si="1"/>
        <v>130000</v>
      </c>
      <c r="J4792" s="74">
        <f>IF(E4792="SERVICE",I4792-(I4792*50%),Vlookup(E4792,DATABASE!C:Q,10,false)*F4792)</f>
        <v>10000</v>
      </c>
      <c r="K4792" s="74">
        <f>VLOOKUP(E4792,DATABASE!C:Q,7,false)</f>
        <v>0</v>
      </c>
      <c r="L4792" s="74">
        <v>0.0</v>
      </c>
      <c r="M4792" s="74">
        <f t="shared" si="2"/>
        <v>0</v>
      </c>
      <c r="N4792" s="74">
        <f t="shared" si="3"/>
        <v>120000</v>
      </c>
      <c r="O4792" s="65" t="str">
        <f>VLOOKUP(E4792,DATABASE!C:Q,8,false)</f>
        <v>IBU</v>
      </c>
      <c r="P4792" s="65">
        <f>VLOOKUP(E4792,DATABASE!C:Q,9,False)</f>
        <v>0</v>
      </c>
      <c r="Q4792" s="93" t="str">
        <f>VLOOKUP(E4792,DATABASE!C:Q,4,false)</f>
        <v>SPOORING</v>
      </c>
      <c r="R4792" s="93" t="str">
        <f>VLOOKUP(E4792,DATABASE!C:Q,11,false)</f>
        <v>SERVICE</v>
      </c>
    </row>
    <row r="4793" ht="22.5" customHeight="1">
      <c r="A4793" s="49"/>
      <c r="C4793" s="384">
        <v>45934.0</v>
      </c>
      <c r="D4793" s="65">
        <v>7347.0</v>
      </c>
      <c r="E4793" s="445" t="s">
        <v>251</v>
      </c>
      <c r="F4793" s="386">
        <v>1.0</v>
      </c>
      <c r="G4793" s="74">
        <v>150000.0</v>
      </c>
      <c r="H4793" s="74">
        <v>0.0</v>
      </c>
      <c r="I4793" s="74">
        <f t="shared" si="1"/>
        <v>150000</v>
      </c>
      <c r="J4793" s="74">
        <f>IF(E4793="SERVICE",I4793-(I4793*50%),Vlookup(E4793,DATABASE!C:Q,10,false)*F4793)</f>
        <v>75000</v>
      </c>
      <c r="K4793" s="74">
        <f>VLOOKUP(E4793,DATABASE!C:Q,7,false)</f>
        <v>0</v>
      </c>
      <c r="L4793" s="74">
        <v>0.0</v>
      </c>
      <c r="M4793" s="74">
        <f t="shared" si="2"/>
        <v>0</v>
      </c>
      <c r="N4793" s="74">
        <f t="shared" si="3"/>
        <v>75000</v>
      </c>
      <c r="O4793" s="65" t="str">
        <f>VLOOKUP(E4793,DATABASE!C:Q,8,false)</f>
        <v>IBU</v>
      </c>
      <c r="P4793" s="65">
        <f>VLOOKUP(E4793,DATABASE!C:Q,9,False)</f>
        <v>0</v>
      </c>
      <c r="Q4793" s="93" t="str">
        <f>VLOOKUP(E4793,DATABASE!C:Q,4,false)</f>
        <v>SERVICE</v>
      </c>
      <c r="R4793" s="93" t="str">
        <f>VLOOKUP(E4793,DATABASE!C:Q,11,false)</f>
        <v>SERVICE</v>
      </c>
    </row>
    <row r="4794" ht="22.5" customHeight="1">
      <c r="A4794" s="49"/>
      <c r="C4794" s="384">
        <v>45934.0</v>
      </c>
      <c r="D4794" s="65">
        <v>7348.0</v>
      </c>
      <c r="E4794" s="445" t="s">
        <v>1278</v>
      </c>
      <c r="F4794" s="386">
        <v>2.0</v>
      </c>
      <c r="G4794" s="74">
        <v>1570000.0</v>
      </c>
      <c r="H4794" s="74">
        <v>0.0</v>
      </c>
      <c r="I4794" s="74">
        <f t="shared" si="1"/>
        <v>3140000</v>
      </c>
      <c r="J4794" s="74">
        <f>IF(E4794="SERVICE",I4794-(I4794*50%),Vlookup(E4794,DATABASE!C:Q,10,false)*F4794)</f>
        <v>0</v>
      </c>
      <c r="K4794" s="74">
        <f>VLOOKUP(E4794,DATABASE!C:Q,7,false)</f>
        <v>1466393.5</v>
      </c>
      <c r="L4794" s="74">
        <v>1466393.5</v>
      </c>
      <c r="M4794" s="74">
        <f t="shared" si="2"/>
        <v>1470000</v>
      </c>
      <c r="N4794" s="74">
        <f t="shared" si="3"/>
        <v>200000</v>
      </c>
      <c r="O4794" s="65" t="str">
        <f>VLOOKUP(E4794,DATABASE!C:Q,8,false)</f>
        <v>IBU</v>
      </c>
      <c r="P4794" s="65">
        <f>VLOOKUP(E4794,DATABASE!C:Q,9,False)</f>
        <v>1</v>
      </c>
      <c r="Q4794" s="93" t="str">
        <f>VLOOKUP(E4794,DATABASE!C:Q,4,false)</f>
        <v>Bridgestone</v>
      </c>
      <c r="R4794" s="93" t="str">
        <f>VLOOKUP(E4794,DATABASE!C:Q,11,false)</f>
        <v>Tire</v>
      </c>
    </row>
    <row r="4795" ht="22.5" customHeight="1">
      <c r="A4795" s="49"/>
      <c r="C4795" s="384">
        <v>45934.0</v>
      </c>
      <c r="D4795" s="65">
        <v>7349.0</v>
      </c>
      <c r="E4795" s="445" t="s">
        <v>256</v>
      </c>
      <c r="F4795" s="386">
        <v>1.0</v>
      </c>
      <c r="G4795" s="74">
        <v>130000.0</v>
      </c>
      <c r="H4795" s="74">
        <v>0.0</v>
      </c>
      <c r="I4795" s="74">
        <f t="shared" si="1"/>
        <v>130000</v>
      </c>
      <c r="J4795" s="74">
        <f>IF(E4795="SERVICE",I4795-(I4795*50%),Vlookup(E4795,DATABASE!C:Q,10,false)*F4795)</f>
        <v>10000</v>
      </c>
      <c r="K4795" s="74">
        <f>VLOOKUP(E4795,DATABASE!C:Q,7,false)</f>
        <v>0</v>
      </c>
      <c r="L4795" s="74">
        <v>0.0</v>
      </c>
      <c r="M4795" s="74">
        <f t="shared" si="2"/>
        <v>0</v>
      </c>
      <c r="N4795" s="74">
        <f t="shared" si="3"/>
        <v>120000</v>
      </c>
      <c r="O4795" s="65" t="str">
        <f>VLOOKUP(E4795,DATABASE!C:Q,8,false)</f>
        <v>IBU</v>
      </c>
      <c r="P4795" s="65">
        <f>VLOOKUP(E4795,DATABASE!C:Q,9,False)</f>
        <v>0</v>
      </c>
      <c r="Q4795" s="93" t="str">
        <f>VLOOKUP(E4795,DATABASE!C:Q,4,false)</f>
        <v>SPOORING</v>
      </c>
      <c r="R4795" s="93" t="str">
        <f>VLOOKUP(E4795,DATABASE!C:Q,11,false)</f>
        <v>SERVICE</v>
      </c>
    </row>
    <row r="4796" ht="22.5" customHeight="1">
      <c r="A4796" s="49"/>
      <c r="C4796" s="384">
        <v>45934.0</v>
      </c>
      <c r="D4796" s="65">
        <v>7349.0</v>
      </c>
      <c r="E4796" s="445" t="s">
        <v>301</v>
      </c>
      <c r="F4796" s="386">
        <v>1.0</v>
      </c>
      <c r="G4796" s="74">
        <v>250000.0</v>
      </c>
      <c r="H4796" s="74">
        <v>0.0</v>
      </c>
      <c r="I4796" s="74">
        <f t="shared" si="1"/>
        <v>250000</v>
      </c>
      <c r="J4796" s="74">
        <f>IF(E4796="SERVICE",I4796-(I4796*50%),Vlookup(E4796,DATABASE!C:Q,10,false)*F4796)</f>
        <v>75000</v>
      </c>
      <c r="K4796" s="74">
        <f>VLOOKUP(E4796,DATABASE!C:Q,7,false)</f>
        <v>75000</v>
      </c>
      <c r="L4796" s="74">
        <v>75000.0</v>
      </c>
      <c r="M4796" s="74">
        <f t="shared" si="2"/>
        <v>75000</v>
      </c>
      <c r="N4796" s="74">
        <f t="shared" si="3"/>
        <v>100000</v>
      </c>
      <c r="O4796" s="65" t="str">
        <f>VLOOKUP(E4796,DATABASE!C:Q,8,false)</f>
        <v>BIAN</v>
      </c>
      <c r="P4796" s="65">
        <f>VLOOKUP(E4796,DATABASE!C:Q,9,False)</f>
        <v>0</v>
      </c>
      <c r="Q4796" s="93" t="str">
        <f>VLOOKUP(E4796,DATABASE!C:Q,4,false)</f>
        <v>Baut Camber</v>
      </c>
      <c r="R4796" s="93" t="str">
        <f>VLOOKUP(E4796,DATABASE!C:Q,11,false)</f>
        <v>COMPLEMENTARY</v>
      </c>
    </row>
    <row r="4797" ht="22.5" customHeight="1">
      <c r="A4797" s="49"/>
      <c r="C4797" s="384">
        <v>45934.0</v>
      </c>
      <c r="D4797" s="65">
        <v>7350.0</v>
      </c>
      <c r="E4797" s="445" t="s">
        <v>275</v>
      </c>
      <c r="F4797" s="386">
        <v>2.0</v>
      </c>
      <c r="G4797" s="74">
        <v>850000.0</v>
      </c>
      <c r="H4797" s="74">
        <v>0.0</v>
      </c>
      <c r="I4797" s="74">
        <f t="shared" si="1"/>
        <v>1700000</v>
      </c>
      <c r="J4797" s="74">
        <f>IF(E4797="SERVICE",I4797-(I4797*50%),Vlookup(E4797,DATABASE!C:Q,10,false)*F4797)</f>
        <v>0</v>
      </c>
      <c r="K4797" s="74">
        <f>VLOOKUP(E4797,DATABASE!C:Q,7,false)</f>
        <v>782000</v>
      </c>
      <c r="L4797" s="74">
        <v>745000.0</v>
      </c>
      <c r="M4797" s="74">
        <f t="shared" si="2"/>
        <v>745000</v>
      </c>
      <c r="N4797" s="74">
        <f t="shared" si="3"/>
        <v>210000</v>
      </c>
      <c r="O4797" s="65" t="str">
        <f>VLOOKUP(E4797,DATABASE!C:Q,8,false)</f>
        <v>IBU</v>
      </c>
      <c r="P4797" s="65">
        <f>VLOOKUP(E4797,DATABASE!C:Q,9,False)</f>
        <v>1</v>
      </c>
      <c r="Q4797" s="93" t="str">
        <f>VLOOKUP(E4797,DATABASE!C:Q,4,false)</f>
        <v>Dunlop</v>
      </c>
      <c r="R4797" s="93" t="str">
        <f>VLOOKUP(E4797,DATABASE!C:Q,11,false)</f>
        <v>Tire</v>
      </c>
    </row>
    <row r="4798" ht="22.5" customHeight="1">
      <c r="A4798" s="49"/>
      <c r="C4798" s="384">
        <v>45934.0</v>
      </c>
      <c r="D4798" s="65">
        <v>7351.0</v>
      </c>
      <c r="E4798" s="445" t="s">
        <v>275</v>
      </c>
      <c r="F4798" s="386">
        <v>1.0</v>
      </c>
      <c r="G4798" s="74">
        <v>850000.0</v>
      </c>
      <c r="H4798" s="74">
        <v>0.0</v>
      </c>
      <c r="I4798" s="74">
        <f t="shared" si="1"/>
        <v>850000</v>
      </c>
      <c r="J4798" s="74">
        <f>IF(E4798="SERVICE",I4798-(I4798*50%),Vlookup(E4798,DATABASE!C:Q,10,false)*F4798)</f>
        <v>0</v>
      </c>
      <c r="K4798" s="74">
        <f>VLOOKUP(E4798,DATABASE!C:Q,7,false)</f>
        <v>782000</v>
      </c>
      <c r="L4798" s="74">
        <v>745000.0</v>
      </c>
      <c r="M4798" s="74">
        <f t="shared" si="2"/>
        <v>745000</v>
      </c>
      <c r="N4798" s="74">
        <f t="shared" si="3"/>
        <v>105000</v>
      </c>
      <c r="O4798" s="65" t="str">
        <f>VLOOKUP(E4798,DATABASE!C:Q,8,false)</f>
        <v>IBU</v>
      </c>
      <c r="P4798" s="65">
        <f>VLOOKUP(E4798,DATABASE!C:Q,9,False)</f>
        <v>1</v>
      </c>
      <c r="Q4798" s="93" t="str">
        <f>VLOOKUP(E4798,DATABASE!C:Q,4,false)</f>
        <v>Dunlop</v>
      </c>
      <c r="R4798" s="93" t="str">
        <f>VLOOKUP(E4798,DATABASE!C:Q,11,false)</f>
        <v>Tire</v>
      </c>
    </row>
    <row r="4799" ht="22.5" customHeight="1">
      <c r="A4799" s="49"/>
      <c r="C4799" s="384">
        <v>45934.0</v>
      </c>
      <c r="D4799" s="65">
        <v>7352.0</v>
      </c>
      <c r="E4799" s="445" t="s">
        <v>268</v>
      </c>
      <c r="F4799" s="386">
        <v>1.0</v>
      </c>
      <c r="G4799" s="74">
        <v>720000.0</v>
      </c>
      <c r="H4799" s="74">
        <v>0.0</v>
      </c>
      <c r="I4799" s="74">
        <f t="shared" si="1"/>
        <v>720000</v>
      </c>
      <c r="J4799" s="74">
        <f>IF(E4799="SERVICE",I4799-(I4799*50%),Vlookup(E4799,DATABASE!C:Q,10,false)*F4799)</f>
        <v>0</v>
      </c>
      <c r="K4799" s="74">
        <f>VLOOKUP(E4799,DATABASE!C:Q,7,false)</f>
        <v>653000</v>
      </c>
      <c r="L4799" s="74">
        <v>622000.0</v>
      </c>
      <c r="M4799" s="74">
        <f t="shared" si="2"/>
        <v>625000</v>
      </c>
      <c r="N4799" s="74">
        <f t="shared" si="3"/>
        <v>95000</v>
      </c>
      <c r="O4799" s="65" t="str">
        <f>VLOOKUP(E4799,DATABASE!C:Q,8,false)</f>
        <v>IBU</v>
      </c>
      <c r="P4799" s="65">
        <f>VLOOKUP(E4799,DATABASE!C:Q,9,False)</f>
        <v>1</v>
      </c>
      <c r="Q4799" s="93" t="str">
        <f>VLOOKUP(E4799,DATABASE!C:Q,4,false)</f>
        <v>Dunlop</v>
      </c>
      <c r="R4799" s="93" t="str">
        <f>VLOOKUP(E4799,DATABASE!C:Q,11,false)</f>
        <v>Tire</v>
      </c>
    </row>
    <row r="4800" ht="22.5" customHeight="1">
      <c r="A4800" s="49"/>
      <c r="C4800" s="384">
        <v>45934.0</v>
      </c>
      <c r="D4800" s="65">
        <v>7353.0</v>
      </c>
      <c r="E4800" s="445" t="s">
        <v>1784</v>
      </c>
      <c r="F4800" s="386">
        <v>1.0</v>
      </c>
      <c r="G4800" s="74">
        <v>620000.0</v>
      </c>
      <c r="H4800" s="74">
        <v>0.0</v>
      </c>
      <c r="I4800" s="74">
        <f t="shared" si="1"/>
        <v>620000</v>
      </c>
      <c r="J4800" s="74">
        <f>IF(E4800="SERVICE",I4800-(I4800*50%),Vlookup(E4800,DATABASE!C:Q,10,false)*F4800)</f>
        <v>0</v>
      </c>
      <c r="K4800" s="74">
        <f>VLOOKUP(E4800,DATABASE!C:Q,7,false)</f>
        <v>530580</v>
      </c>
      <c r="L4800" s="74">
        <v>530580.0</v>
      </c>
      <c r="M4800" s="74">
        <f t="shared" si="2"/>
        <v>535000</v>
      </c>
      <c r="N4800" s="74">
        <f t="shared" si="3"/>
        <v>85000</v>
      </c>
      <c r="O4800" s="65" t="str">
        <f>VLOOKUP(E4800,DATABASE!C:Q,8,false)</f>
        <v>BIAN</v>
      </c>
      <c r="P4800" s="65">
        <f>VLOOKUP(E4800,DATABASE!C:Q,9,False)</f>
        <v>1</v>
      </c>
      <c r="Q4800" s="93" t="str">
        <f>VLOOKUP(E4800,DATABASE!C:Q,4,false)</f>
        <v>Forceum</v>
      </c>
      <c r="R4800" s="93" t="str">
        <f>VLOOKUP(E4800,DATABASE!C:Q,11,false)</f>
        <v>Tire</v>
      </c>
    </row>
    <row r="4801" ht="22.5" customHeight="1">
      <c r="A4801" s="49"/>
      <c r="C4801" s="384">
        <v>45934.0</v>
      </c>
      <c r="D4801" s="65">
        <v>7354.0</v>
      </c>
      <c r="E4801" s="445" t="s">
        <v>282</v>
      </c>
      <c r="F4801" s="386">
        <v>2.0</v>
      </c>
      <c r="G4801" s="74">
        <v>870000.0</v>
      </c>
      <c r="H4801" s="74">
        <v>0.0</v>
      </c>
      <c r="I4801" s="74">
        <f t="shared" si="1"/>
        <v>1740000</v>
      </c>
      <c r="J4801" s="74">
        <f>IF(E4801="SERVICE",I4801-(I4801*50%),Vlookup(E4801,DATABASE!C:Q,10,false)*F4801)</f>
        <v>0</v>
      </c>
      <c r="K4801" s="74">
        <f>VLOOKUP(E4801,DATABASE!C:Q,7,false)</f>
        <v>779500</v>
      </c>
      <c r="L4801" s="74">
        <v>771000.0</v>
      </c>
      <c r="M4801" s="74">
        <f t="shared" si="2"/>
        <v>775000</v>
      </c>
      <c r="N4801" s="74">
        <f t="shared" si="3"/>
        <v>190000</v>
      </c>
      <c r="O4801" s="65" t="str">
        <f>VLOOKUP(E4801,DATABASE!C:Q,8,false)</f>
        <v>IBU</v>
      </c>
      <c r="P4801" s="65">
        <f>VLOOKUP(E4801,DATABASE!C:Q,9,False)</f>
        <v>1</v>
      </c>
      <c r="Q4801" s="93" t="str">
        <f>VLOOKUP(E4801,DATABASE!C:Q,4,false)</f>
        <v>Dunlop</v>
      </c>
      <c r="R4801" s="93" t="str">
        <f>VLOOKUP(E4801,DATABASE!C:Q,11,false)</f>
        <v>Tire</v>
      </c>
    </row>
    <row r="4802" ht="22.5" customHeight="1">
      <c r="A4802" s="49"/>
      <c r="C4802" s="384">
        <v>45934.0</v>
      </c>
      <c r="D4802" s="65">
        <v>7354.0</v>
      </c>
      <c r="E4802" s="445" t="s">
        <v>932</v>
      </c>
      <c r="F4802" s="386">
        <v>1.0</v>
      </c>
      <c r="G4802" s="74">
        <v>690000.0</v>
      </c>
      <c r="H4802" s="74">
        <v>0.0</v>
      </c>
      <c r="I4802" s="74">
        <f t="shared" si="1"/>
        <v>690000</v>
      </c>
      <c r="J4802" s="74">
        <f>IF(E4802="SERVICE",I4802-(I4802*50%),Vlookup(E4802,DATABASE!C:Q,10,false)*F4802)</f>
        <v>0</v>
      </c>
      <c r="K4802" s="74">
        <f>VLOOKUP(E4802,DATABASE!C:Q,7,false)</f>
        <v>601000</v>
      </c>
      <c r="L4802" s="74">
        <v>595000.0</v>
      </c>
      <c r="M4802" s="74">
        <f t="shared" si="2"/>
        <v>595000</v>
      </c>
      <c r="N4802" s="74">
        <f t="shared" si="3"/>
        <v>95000</v>
      </c>
      <c r="O4802" s="65" t="str">
        <f>VLOOKUP(E4802,DATABASE!C:Q,8,false)</f>
        <v>IBU</v>
      </c>
      <c r="P4802" s="65">
        <f>VLOOKUP(E4802,DATABASE!C:Q,9,False)</f>
        <v>1</v>
      </c>
      <c r="Q4802" s="93" t="str">
        <f>VLOOKUP(E4802,DATABASE!C:Q,4,false)</f>
        <v>Dunlop</v>
      </c>
      <c r="R4802" s="93" t="str">
        <f>VLOOKUP(E4802,DATABASE!C:Q,11,false)</f>
        <v>Tire</v>
      </c>
    </row>
    <row r="4803" ht="22.5" customHeight="1">
      <c r="A4803" s="49"/>
      <c r="C4803" s="384">
        <v>45934.0</v>
      </c>
      <c r="D4803" s="65">
        <v>7354.0</v>
      </c>
      <c r="E4803" s="445" t="s">
        <v>271</v>
      </c>
      <c r="F4803" s="386">
        <v>2.0</v>
      </c>
      <c r="G4803" s="74">
        <v>630000.0</v>
      </c>
      <c r="H4803" s="74">
        <v>0.0</v>
      </c>
      <c r="I4803" s="74">
        <f t="shared" si="1"/>
        <v>1260000</v>
      </c>
      <c r="J4803" s="74">
        <f>IF(E4803="SERVICE",I4803-(I4803*50%),Vlookup(E4803,DATABASE!C:Q,10,false)*F4803)</f>
        <v>0</v>
      </c>
      <c r="K4803" s="74">
        <f>VLOOKUP(E4803,DATABASE!C:Q,7,false)</f>
        <v>570000</v>
      </c>
      <c r="L4803" s="74">
        <v>539000.0</v>
      </c>
      <c r="M4803" s="74">
        <f t="shared" si="2"/>
        <v>540000</v>
      </c>
      <c r="N4803" s="74">
        <f t="shared" si="3"/>
        <v>180000</v>
      </c>
      <c r="O4803" s="65" t="str">
        <f>VLOOKUP(E4803,DATABASE!C:Q,8,false)</f>
        <v>IBU</v>
      </c>
      <c r="P4803" s="65">
        <f>VLOOKUP(E4803,DATABASE!C:Q,9,False)</f>
        <v>1</v>
      </c>
      <c r="Q4803" s="93" t="str">
        <f>VLOOKUP(E4803,DATABASE!C:Q,4,false)</f>
        <v>Dunlop</v>
      </c>
      <c r="R4803" s="93" t="str">
        <f>VLOOKUP(E4803,DATABASE!C:Q,11,false)</f>
        <v>Tire</v>
      </c>
    </row>
    <row r="4804" ht="22.5" customHeight="1">
      <c r="A4804" s="49"/>
      <c r="C4804" s="384">
        <v>45934.0</v>
      </c>
      <c r="D4804" s="65">
        <v>7355.0</v>
      </c>
      <c r="E4804" s="445" t="s">
        <v>622</v>
      </c>
      <c r="F4804" s="386">
        <v>2.0</v>
      </c>
      <c r="G4804" s="74">
        <v>915000.0</v>
      </c>
      <c r="H4804" s="74">
        <v>0.0</v>
      </c>
      <c r="I4804" s="74">
        <f t="shared" si="1"/>
        <v>1830000</v>
      </c>
      <c r="J4804" s="74">
        <f>IF(E4804="SERVICE",I4804-(I4804*50%),Vlookup(E4804,DATABASE!C:Q,10,false)*F4804)</f>
        <v>0</v>
      </c>
      <c r="K4804" s="74">
        <f>VLOOKUP(E4804,DATABASE!C:Q,7,false)</f>
        <v>851110.375</v>
      </c>
      <c r="L4804" s="74">
        <v>810342.44</v>
      </c>
      <c r="M4804" s="74">
        <f t="shared" si="2"/>
        <v>815000</v>
      </c>
      <c r="N4804" s="74">
        <f t="shared" si="3"/>
        <v>200000</v>
      </c>
      <c r="O4804" s="65" t="str">
        <f>VLOOKUP(E4804,DATABASE!C:Q,8,false)</f>
        <v>IBU</v>
      </c>
      <c r="P4804" s="65">
        <f>VLOOKUP(E4804,DATABASE!C:Q,9,False)</f>
        <v>1</v>
      </c>
      <c r="Q4804" s="93" t="str">
        <f>VLOOKUP(E4804,DATABASE!C:Q,4,false)</f>
        <v>Bridgestone</v>
      </c>
      <c r="R4804" s="93" t="str">
        <f>VLOOKUP(E4804,DATABASE!C:Q,11,false)</f>
        <v>Tire</v>
      </c>
    </row>
    <row r="4805" ht="22.5" customHeight="1">
      <c r="A4805" s="49"/>
      <c r="C4805" s="384">
        <v>45934.0</v>
      </c>
      <c r="D4805" s="65">
        <v>7355.0</v>
      </c>
      <c r="E4805" s="385" t="s">
        <v>299</v>
      </c>
      <c r="F4805" s="386">
        <v>2.0</v>
      </c>
      <c r="G4805" s="74">
        <v>30000.0</v>
      </c>
      <c r="H4805" s="74">
        <v>0.0</v>
      </c>
      <c r="I4805" s="74">
        <f t="shared" si="1"/>
        <v>60000</v>
      </c>
      <c r="J4805" s="74">
        <f>IF(E4805="SERVICE",I4805-(I4805*50%),Vlookup(E4805,DATABASE!C:Q,10,false)*F4805)</f>
        <v>0</v>
      </c>
      <c r="K4805" s="74">
        <v>0.0</v>
      </c>
      <c r="L4805" s="74">
        <v>0.0</v>
      </c>
      <c r="M4805" s="74">
        <f t="shared" si="2"/>
        <v>0</v>
      </c>
      <c r="N4805" s="74">
        <f t="shared" si="3"/>
        <v>60000</v>
      </c>
      <c r="O4805" s="65" t="str">
        <f>VLOOKUP(E4805,DATABASE!C:Q,8,false)</f>
        <v>BIAN</v>
      </c>
      <c r="P4805" s="65">
        <f>VLOOKUP(E4805,DATABASE!C:Q,9,False)</f>
        <v>0</v>
      </c>
      <c r="Q4805" s="93" t="str">
        <f>VLOOKUP(E4805,DATABASE!C:Q,4,false)</f>
        <v>Balancing</v>
      </c>
      <c r="R4805" s="93" t="str">
        <f>VLOOKUP(E4805,DATABASE!C:Q,11,false)</f>
        <v>COMPLEMENTARY</v>
      </c>
    </row>
    <row r="4806" ht="22.5" customHeight="1">
      <c r="A4806" s="49"/>
      <c r="C4806" s="384">
        <v>45934.0</v>
      </c>
      <c r="D4806" s="65">
        <v>7356.0</v>
      </c>
      <c r="E4806" s="445" t="s">
        <v>246</v>
      </c>
      <c r="F4806" s="386">
        <v>1.0</v>
      </c>
      <c r="G4806" s="74">
        <v>35000.0</v>
      </c>
      <c r="H4806" s="74">
        <v>0.0</v>
      </c>
      <c r="I4806" s="74">
        <f t="shared" si="1"/>
        <v>35000</v>
      </c>
      <c r="J4806" s="74">
        <f>IF(E4806="SERVICE",I4806-(I4806*50%),Vlookup(E4806,DATABASE!C:Q,10,false)*F4806)</f>
        <v>0</v>
      </c>
      <c r="K4806" s="74">
        <f>VLOOKUP(E4806,DATABASE!C:Q,7,false)</f>
        <v>0</v>
      </c>
      <c r="L4806" s="74">
        <v>0.0</v>
      </c>
      <c r="M4806" s="74">
        <f t="shared" si="2"/>
        <v>0</v>
      </c>
      <c r="N4806" s="74">
        <f t="shared" si="3"/>
        <v>35000</v>
      </c>
      <c r="O4806" s="65" t="str">
        <f>VLOOKUP(E4806,DATABASE!C:Q,8,false)</f>
        <v>IBU</v>
      </c>
      <c r="P4806" s="65">
        <f>VLOOKUP(E4806,DATABASE!C:Q,9,False)</f>
        <v>0</v>
      </c>
      <c r="Q4806" s="93" t="str">
        <f>VLOOKUP(E4806,DATABASE!C:Q,4,false)</f>
        <v>Bongkar Pasang</v>
      </c>
      <c r="R4806" s="93" t="str">
        <f>VLOOKUP(E4806,DATABASE!C:Q,11,false)</f>
        <v>SERVICE</v>
      </c>
    </row>
    <row r="4807" ht="22.5" customHeight="1">
      <c r="A4807" s="49"/>
      <c r="C4807" s="384">
        <v>45934.0</v>
      </c>
      <c r="D4807" s="65">
        <v>7356.0</v>
      </c>
      <c r="E4807" s="445" t="s">
        <v>2199</v>
      </c>
      <c r="F4807" s="386">
        <v>1.0</v>
      </c>
      <c r="G4807" s="74">
        <v>15000.0</v>
      </c>
      <c r="H4807" s="74">
        <v>0.0</v>
      </c>
      <c r="I4807" s="74">
        <f t="shared" si="1"/>
        <v>15000</v>
      </c>
      <c r="J4807" s="74">
        <f>IF(E4807="SERVICE",I4807-(I4807*50%),Vlookup(E4807,DATABASE!C:Q,10,false)*F4807)</f>
        <v>0</v>
      </c>
      <c r="K4807" s="74">
        <f>VLOOKUP(E4807,DATABASE!C:Q,7,false)</f>
        <v>5000</v>
      </c>
      <c r="L4807" s="74">
        <v>0.0</v>
      </c>
      <c r="M4807" s="74">
        <f t="shared" si="2"/>
        <v>0</v>
      </c>
      <c r="N4807" s="74">
        <f t="shared" si="3"/>
        <v>15000</v>
      </c>
      <c r="O4807" s="65" t="str">
        <f>VLOOKUP(E4807,DATABASE!C:Q,8,false)</f>
        <v>BIAN</v>
      </c>
      <c r="P4807" s="65">
        <f>VLOOKUP(E4807,DATABASE!C:Q,9,False)</f>
        <v>0</v>
      </c>
      <c r="Q4807" s="93" t="str">
        <f>VLOOKUP(E4807,DATABASE!C:Q,4,false)</f>
        <v>TAMBAL TUBLES</v>
      </c>
      <c r="R4807" s="93" t="str">
        <f>VLOOKUP(E4807,DATABASE!C:Q,11,false)</f>
        <v>COMPLEMENTARY</v>
      </c>
    </row>
    <row r="4808" ht="22.5" customHeight="1">
      <c r="A4808" s="49"/>
      <c r="C4808" s="384">
        <v>45935.0</v>
      </c>
      <c r="D4808" s="65">
        <v>7357.0</v>
      </c>
      <c r="E4808" s="445" t="s">
        <v>256</v>
      </c>
      <c r="F4808" s="386">
        <v>1.0</v>
      </c>
      <c r="G4808" s="74">
        <v>130000.0</v>
      </c>
      <c r="H4808" s="74">
        <v>0.0</v>
      </c>
      <c r="I4808" s="74">
        <f t="shared" si="1"/>
        <v>130000</v>
      </c>
      <c r="J4808" s="74">
        <f>IF(E4808="SERVICE",I4808-(I4808*50%),Vlookup(E4808,DATABASE!C:Q,10,false)*F4808)</f>
        <v>10000</v>
      </c>
      <c r="K4808" s="74">
        <f>VLOOKUP(E4808,DATABASE!C:Q,7,false)</f>
        <v>0</v>
      </c>
      <c r="L4808" s="74">
        <v>0.0</v>
      </c>
      <c r="M4808" s="74">
        <f t="shared" si="2"/>
        <v>0</v>
      </c>
      <c r="N4808" s="74">
        <f t="shared" si="3"/>
        <v>120000</v>
      </c>
      <c r="O4808" s="65" t="str">
        <f>VLOOKUP(E4808,DATABASE!C:Q,8,false)</f>
        <v>IBU</v>
      </c>
      <c r="P4808" s="65">
        <f>VLOOKUP(E4808,DATABASE!C:Q,9,False)</f>
        <v>0</v>
      </c>
      <c r="Q4808" s="93" t="str">
        <f>VLOOKUP(E4808,DATABASE!C:Q,4,false)</f>
        <v>SPOORING</v>
      </c>
      <c r="R4808" s="93" t="str">
        <f>VLOOKUP(E4808,DATABASE!C:Q,11,false)</f>
        <v>SERVICE</v>
      </c>
    </row>
    <row r="4809" ht="22.5" customHeight="1">
      <c r="A4809" s="49"/>
      <c r="C4809" s="384">
        <v>45935.0</v>
      </c>
      <c r="D4809" s="65">
        <v>7357.0</v>
      </c>
      <c r="E4809" s="445" t="s">
        <v>301</v>
      </c>
      <c r="F4809" s="386">
        <v>1.0</v>
      </c>
      <c r="G4809" s="74">
        <v>250000.0</v>
      </c>
      <c r="H4809" s="74">
        <v>0.0</v>
      </c>
      <c r="I4809" s="74">
        <f t="shared" si="1"/>
        <v>250000</v>
      </c>
      <c r="J4809" s="74">
        <f>IF(E4809="SERVICE",I4809-(I4809*50%),Vlookup(E4809,DATABASE!C:Q,10,false)*F4809)</f>
        <v>75000</v>
      </c>
      <c r="K4809" s="74">
        <f>VLOOKUP(E4809,DATABASE!C:Q,7,false)</f>
        <v>75000</v>
      </c>
      <c r="L4809" s="74">
        <v>75000.0</v>
      </c>
      <c r="M4809" s="74">
        <f t="shared" si="2"/>
        <v>75000</v>
      </c>
      <c r="N4809" s="74">
        <f t="shared" si="3"/>
        <v>100000</v>
      </c>
      <c r="O4809" s="65" t="str">
        <f>VLOOKUP(E4809,DATABASE!C:Q,8,false)</f>
        <v>BIAN</v>
      </c>
      <c r="P4809" s="65">
        <f>VLOOKUP(E4809,DATABASE!C:Q,9,False)</f>
        <v>0</v>
      </c>
      <c r="Q4809" s="93" t="str">
        <f>VLOOKUP(E4809,DATABASE!C:Q,4,false)</f>
        <v>Baut Camber</v>
      </c>
      <c r="R4809" s="93" t="str">
        <f>VLOOKUP(E4809,DATABASE!C:Q,11,false)</f>
        <v>COMPLEMENTARY</v>
      </c>
    </row>
    <row r="4810" ht="22.5" customHeight="1">
      <c r="A4810" s="49"/>
      <c r="C4810" s="384">
        <v>45935.0</v>
      </c>
      <c r="D4810" s="65">
        <v>7357.0</v>
      </c>
      <c r="E4810" s="445" t="s">
        <v>2199</v>
      </c>
      <c r="F4810" s="386">
        <v>1.0</v>
      </c>
      <c r="G4810" s="74">
        <v>15000.0</v>
      </c>
      <c r="H4810" s="74">
        <v>0.0</v>
      </c>
      <c r="I4810" s="74">
        <f t="shared" si="1"/>
        <v>15000</v>
      </c>
      <c r="J4810" s="74">
        <f>IF(E4810="SERVICE",I4810-(I4810*50%),Vlookup(E4810,DATABASE!C:Q,10,false)*F4810)</f>
        <v>0</v>
      </c>
      <c r="K4810" s="74">
        <f>VLOOKUP(E4810,DATABASE!C:Q,7,false)</f>
        <v>5000</v>
      </c>
      <c r="L4810" s="74">
        <v>0.0</v>
      </c>
      <c r="M4810" s="74">
        <f t="shared" si="2"/>
        <v>0</v>
      </c>
      <c r="N4810" s="74">
        <f t="shared" si="3"/>
        <v>15000</v>
      </c>
      <c r="O4810" s="65" t="str">
        <f>VLOOKUP(E4810,DATABASE!C:Q,8,false)</f>
        <v>BIAN</v>
      </c>
      <c r="P4810" s="65">
        <f>VLOOKUP(E4810,DATABASE!C:Q,9,False)</f>
        <v>0</v>
      </c>
      <c r="Q4810" s="93" t="str">
        <f>VLOOKUP(E4810,DATABASE!C:Q,4,false)</f>
        <v>TAMBAL TUBLES</v>
      </c>
      <c r="R4810" s="93" t="str">
        <f>VLOOKUP(E4810,DATABASE!C:Q,11,false)</f>
        <v>COMPLEMENTARY</v>
      </c>
    </row>
    <row r="4811" ht="22.5" customHeight="1">
      <c r="A4811" s="49"/>
      <c r="C4811" s="384">
        <v>45935.0</v>
      </c>
      <c r="D4811" s="65">
        <v>7358.0</v>
      </c>
      <c r="E4811" s="445" t="s">
        <v>839</v>
      </c>
      <c r="F4811" s="386">
        <v>2.0</v>
      </c>
      <c r="G4811" s="74">
        <v>560000.0</v>
      </c>
      <c r="H4811" s="74">
        <v>0.0</v>
      </c>
      <c r="I4811" s="74">
        <f t="shared" si="1"/>
        <v>1120000</v>
      </c>
      <c r="J4811" s="74">
        <f>IF(E4811="SERVICE",I4811-(I4811*50%),Vlookup(E4811,DATABASE!C:Q,10,false)*F4811)</f>
        <v>0</v>
      </c>
      <c r="K4811" s="74">
        <f>VLOOKUP(E4811,DATABASE!C:Q,7,false)</f>
        <v>512640</v>
      </c>
      <c r="L4811" s="74">
        <v>475700.0</v>
      </c>
      <c r="M4811" s="74">
        <f t="shared" si="2"/>
        <v>480000</v>
      </c>
      <c r="N4811" s="74">
        <f t="shared" si="3"/>
        <v>160000</v>
      </c>
      <c r="O4811" s="65" t="str">
        <f>VLOOKUP(E4811,DATABASE!C:Q,8,false)</f>
        <v>BIAN</v>
      </c>
      <c r="P4811" s="65">
        <f>VLOOKUP(E4811,DATABASE!C:Q,9,False)</f>
        <v>1</v>
      </c>
      <c r="Q4811" s="93" t="str">
        <f>VLOOKUP(E4811,DATABASE!C:Q,4,false)</f>
        <v>GT</v>
      </c>
      <c r="R4811" s="93" t="str">
        <f>VLOOKUP(E4811,DATABASE!C:Q,11,false)</f>
        <v>Tire</v>
      </c>
    </row>
    <row r="4812" ht="22.5" customHeight="1">
      <c r="A4812" s="49"/>
      <c r="C4812" s="384">
        <v>45935.0</v>
      </c>
      <c r="D4812" s="65">
        <v>7358.0</v>
      </c>
      <c r="E4812" s="445" t="s">
        <v>256</v>
      </c>
      <c r="F4812" s="386">
        <v>1.0</v>
      </c>
      <c r="G4812" s="74">
        <v>130000.0</v>
      </c>
      <c r="H4812" s="74">
        <v>0.0</v>
      </c>
      <c r="I4812" s="74">
        <f t="shared" si="1"/>
        <v>130000</v>
      </c>
      <c r="J4812" s="74">
        <f>IF(E4812="SERVICE",I4812-(I4812*50%),Vlookup(E4812,DATABASE!C:Q,10,false)*F4812)</f>
        <v>10000</v>
      </c>
      <c r="K4812" s="74">
        <f>VLOOKUP(E4812,DATABASE!C:Q,7,false)</f>
        <v>0</v>
      </c>
      <c r="L4812" s="74">
        <v>0.0</v>
      </c>
      <c r="M4812" s="74">
        <f t="shared" si="2"/>
        <v>0</v>
      </c>
      <c r="N4812" s="74">
        <f t="shared" si="3"/>
        <v>120000</v>
      </c>
      <c r="O4812" s="65" t="str">
        <f>VLOOKUP(E4812,DATABASE!C:Q,8,false)</f>
        <v>IBU</v>
      </c>
      <c r="P4812" s="65">
        <f>VLOOKUP(E4812,DATABASE!C:Q,9,False)</f>
        <v>0</v>
      </c>
      <c r="Q4812" s="93" t="str">
        <f>VLOOKUP(E4812,DATABASE!C:Q,4,false)</f>
        <v>SPOORING</v>
      </c>
      <c r="R4812" s="93" t="str">
        <f>VLOOKUP(E4812,DATABASE!C:Q,11,false)</f>
        <v>SERVICE</v>
      </c>
    </row>
    <row r="4813" ht="22.5" customHeight="1">
      <c r="A4813" s="49"/>
      <c r="C4813" s="384">
        <v>45935.0</v>
      </c>
      <c r="D4813" s="65">
        <v>7358.0</v>
      </c>
      <c r="E4813" s="445" t="s">
        <v>301</v>
      </c>
      <c r="F4813" s="386">
        <v>1.0</v>
      </c>
      <c r="G4813" s="74">
        <v>250000.0</v>
      </c>
      <c r="H4813" s="74">
        <v>0.0</v>
      </c>
      <c r="I4813" s="74">
        <f t="shared" si="1"/>
        <v>250000</v>
      </c>
      <c r="J4813" s="74">
        <f>IF(E4813="SERVICE",I4813-(I4813*50%),Vlookup(E4813,DATABASE!C:Q,10,false)*F4813)</f>
        <v>75000</v>
      </c>
      <c r="K4813" s="74">
        <f>VLOOKUP(E4813,DATABASE!C:Q,7,false)</f>
        <v>75000</v>
      </c>
      <c r="L4813" s="74">
        <v>75000.0</v>
      </c>
      <c r="M4813" s="74">
        <f t="shared" si="2"/>
        <v>75000</v>
      </c>
      <c r="N4813" s="74">
        <f t="shared" si="3"/>
        <v>100000</v>
      </c>
      <c r="O4813" s="65" t="str">
        <f>VLOOKUP(E4813,DATABASE!C:Q,8,false)</f>
        <v>BIAN</v>
      </c>
      <c r="P4813" s="65">
        <f>VLOOKUP(E4813,DATABASE!C:Q,9,False)</f>
        <v>0</v>
      </c>
      <c r="Q4813" s="93" t="str">
        <f>VLOOKUP(E4813,DATABASE!C:Q,4,false)</f>
        <v>Baut Camber</v>
      </c>
      <c r="R4813" s="93" t="str">
        <f>VLOOKUP(E4813,DATABASE!C:Q,11,false)</f>
        <v>COMPLEMENTARY</v>
      </c>
    </row>
    <row r="4814" ht="22.5" customHeight="1">
      <c r="A4814" s="49"/>
      <c r="C4814" s="384">
        <v>45935.0</v>
      </c>
      <c r="D4814" s="65">
        <v>7360.0</v>
      </c>
      <c r="E4814" s="445" t="s">
        <v>955</v>
      </c>
      <c r="F4814" s="386">
        <v>4.0</v>
      </c>
      <c r="G4814" s="74">
        <v>780000.0</v>
      </c>
      <c r="H4814" s="74">
        <v>0.0</v>
      </c>
      <c r="I4814" s="74">
        <f t="shared" si="1"/>
        <v>3120000</v>
      </c>
      <c r="J4814" s="74">
        <f>IF(E4814="SERVICE",I4814-(I4814*50%),Vlookup(E4814,DATABASE!C:Q,10,false)*F4814)</f>
        <v>0</v>
      </c>
      <c r="K4814" s="74">
        <f>VLOOKUP(E4814,DATABASE!C:Q,7,false)</f>
        <v>712000</v>
      </c>
      <c r="L4814" s="74">
        <v>674000.0</v>
      </c>
      <c r="M4814" s="74">
        <f t="shared" si="2"/>
        <v>675000</v>
      </c>
      <c r="N4814" s="74">
        <f t="shared" si="3"/>
        <v>420000</v>
      </c>
      <c r="O4814" s="65" t="str">
        <f>VLOOKUP(E4814,DATABASE!C:Q,8,false)</f>
        <v>IBU</v>
      </c>
      <c r="P4814" s="65">
        <f>VLOOKUP(E4814,DATABASE!C:Q,9,False)</f>
        <v>1</v>
      </c>
      <c r="Q4814" s="93" t="str">
        <f>VLOOKUP(E4814,DATABASE!C:Q,4,false)</f>
        <v>Dunlop</v>
      </c>
      <c r="R4814" s="93" t="str">
        <f>VLOOKUP(E4814,DATABASE!C:Q,11,false)</f>
        <v>Tire</v>
      </c>
    </row>
    <row r="4815" ht="22.5" customHeight="1">
      <c r="A4815" s="49"/>
      <c r="C4815" s="384">
        <v>45935.0</v>
      </c>
      <c r="D4815" s="65">
        <v>7360.0</v>
      </c>
      <c r="E4815" s="445" t="s">
        <v>256</v>
      </c>
      <c r="F4815" s="386">
        <v>1.0</v>
      </c>
      <c r="G4815" s="74">
        <v>130000.0</v>
      </c>
      <c r="H4815" s="74">
        <v>0.0</v>
      </c>
      <c r="I4815" s="74">
        <f t="shared" si="1"/>
        <v>130000</v>
      </c>
      <c r="J4815" s="74">
        <f>IF(E4815="SERVICE",I4815-(I4815*50%),Vlookup(E4815,DATABASE!C:Q,10,false)*F4815)</f>
        <v>10000</v>
      </c>
      <c r="K4815" s="74">
        <f>VLOOKUP(E4815,DATABASE!C:Q,7,false)</f>
        <v>0</v>
      </c>
      <c r="L4815" s="74">
        <v>0.0</v>
      </c>
      <c r="M4815" s="74">
        <f t="shared" si="2"/>
        <v>0</v>
      </c>
      <c r="N4815" s="74">
        <f t="shared" si="3"/>
        <v>120000</v>
      </c>
      <c r="O4815" s="65" t="str">
        <f>VLOOKUP(E4815,DATABASE!C:Q,8,false)</f>
        <v>IBU</v>
      </c>
      <c r="P4815" s="65">
        <f>VLOOKUP(E4815,DATABASE!C:Q,9,False)</f>
        <v>0</v>
      </c>
      <c r="Q4815" s="93" t="str">
        <f>VLOOKUP(E4815,DATABASE!C:Q,4,false)</f>
        <v>SPOORING</v>
      </c>
      <c r="R4815" s="93" t="str">
        <f>VLOOKUP(E4815,DATABASE!C:Q,11,false)</f>
        <v>SERVICE</v>
      </c>
    </row>
    <row r="4816" ht="22.5" customHeight="1">
      <c r="A4816" s="49"/>
      <c r="C4816" s="384">
        <v>45935.0</v>
      </c>
      <c r="D4816" s="65">
        <v>7360.0</v>
      </c>
      <c r="E4816" s="385" t="s">
        <v>299</v>
      </c>
      <c r="F4816" s="386">
        <v>2.0</v>
      </c>
      <c r="G4816" s="74">
        <v>25000.0</v>
      </c>
      <c r="H4816" s="74">
        <v>0.0</v>
      </c>
      <c r="I4816" s="74">
        <f t="shared" si="1"/>
        <v>50000</v>
      </c>
      <c r="J4816" s="74">
        <f>IF(E4816="SERVICE",I4816-(I4816*50%),Vlookup(E4816,DATABASE!C:Q,10,false)*F4816)</f>
        <v>0</v>
      </c>
      <c r="K4816" s="74">
        <v>0.0</v>
      </c>
      <c r="L4816" s="74">
        <v>0.0</v>
      </c>
      <c r="M4816" s="74">
        <f t="shared" si="2"/>
        <v>0</v>
      </c>
      <c r="N4816" s="74">
        <f t="shared" si="3"/>
        <v>50000</v>
      </c>
      <c r="O4816" s="65" t="str">
        <f>VLOOKUP(E4816,DATABASE!C:Q,8,false)</f>
        <v>BIAN</v>
      </c>
      <c r="P4816" s="65">
        <f>VLOOKUP(E4816,DATABASE!C:Q,9,False)</f>
        <v>0</v>
      </c>
      <c r="Q4816" s="93" t="str">
        <f>VLOOKUP(E4816,DATABASE!C:Q,4,false)</f>
        <v>Balancing</v>
      </c>
      <c r="R4816" s="93" t="str">
        <f>VLOOKUP(E4816,DATABASE!C:Q,11,false)</f>
        <v>COMPLEMENTARY</v>
      </c>
    </row>
    <row r="4817" ht="22.5" customHeight="1">
      <c r="A4817" s="49"/>
      <c r="C4817" s="384">
        <v>45935.0</v>
      </c>
      <c r="D4817" s="65">
        <v>7360.0</v>
      </c>
      <c r="E4817" s="445" t="s">
        <v>301</v>
      </c>
      <c r="F4817" s="386">
        <v>1.0</v>
      </c>
      <c r="G4817" s="74">
        <v>250000.0</v>
      </c>
      <c r="H4817" s="74">
        <v>0.0</v>
      </c>
      <c r="I4817" s="74">
        <f t="shared" si="1"/>
        <v>250000</v>
      </c>
      <c r="J4817" s="74">
        <f>IF(E4817="SERVICE",I4817-(I4817*50%),Vlookup(E4817,DATABASE!C:Q,10,false)*F4817)</f>
        <v>75000</v>
      </c>
      <c r="K4817" s="74">
        <f>VLOOKUP(E4817,DATABASE!C:Q,7,false)</f>
        <v>75000</v>
      </c>
      <c r="L4817" s="74">
        <v>75000.0</v>
      </c>
      <c r="M4817" s="74">
        <f t="shared" si="2"/>
        <v>75000</v>
      </c>
      <c r="N4817" s="74">
        <f t="shared" si="3"/>
        <v>100000</v>
      </c>
      <c r="O4817" s="65" t="str">
        <f>VLOOKUP(E4817,DATABASE!C:Q,8,false)</f>
        <v>BIAN</v>
      </c>
      <c r="P4817" s="65">
        <f>VLOOKUP(E4817,DATABASE!C:Q,9,False)</f>
        <v>0</v>
      </c>
      <c r="Q4817" s="93" t="str">
        <f>VLOOKUP(E4817,DATABASE!C:Q,4,false)</f>
        <v>Baut Camber</v>
      </c>
      <c r="R4817" s="93" t="str">
        <f>VLOOKUP(E4817,DATABASE!C:Q,11,false)</f>
        <v>COMPLEMENTARY</v>
      </c>
    </row>
    <row r="4818" ht="22.5" customHeight="1">
      <c r="A4818" s="49"/>
      <c r="C4818" s="384">
        <v>45935.0</v>
      </c>
      <c r="D4818" s="65">
        <v>7361.0</v>
      </c>
      <c r="E4818" s="445" t="s">
        <v>932</v>
      </c>
      <c r="F4818" s="386">
        <v>1.0</v>
      </c>
      <c r="G4818" s="74">
        <v>685000.0</v>
      </c>
      <c r="H4818" s="74">
        <v>0.0</v>
      </c>
      <c r="I4818" s="74">
        <f t="shared" si="1"/>
        <v>685000</v>
      </c>
      <c r="J4818" s="74">
        <f>IF(E4818="SERVICE",I4818-(I4818*50%),Vlookup(E4818,DATABASE!C:Q,10,false)*F4818)</f>
        <v>0</v>
      </c>
      <c r="K4818" s="74">
        <f>VLOOKUP(E4818,DATABASE!C:Q,7,false)</f>
        <v>601000</v>
      </c>
      <c r="L4818" s="74">
        <v>595000.0</v>
      </c>
      <c r="M4818" s="74">
        <f t="shared" si="2"/>
        <v>595000</v>
      </c>
      <c r="N4818" s="74">
        <f t="shared" si="3"/>
        <v>90000</v>
      </c>
      <c r="O4818" s="65" t="str">
        <f>VLOOKUP(E4818,DATABASE!C:Q,8,false)</f>
        <v>IBU</v>
      </c>
      <c r="P4818" s="65">
        <f>VLOOKUP(E4818,DATABASE!C:Q,9,False)</f>
        <v>1</v>
      </c>
      <c r="Q4818" s="93" t="str">
        <f>VLOOKUP(E4818,DATABASE!C:Q,4,false)</f>
        <v>Dunlop</v>
      </c>
      <c r="R4818" s="93" t="str">
        <f>VLOOKUP(E4818,DATABASE!C:Q,11,false)</f>
        <v>Tire</v>
      </c>
    </row>
    <row r="4819" ht="22.5" customHeight="1">
      <c r="A4819" s="49"/>
      <c r="C4819" s="384">
        <v>45935.0</v>
      </c>
      <c r="D4819" s="65">
        <v>7362.0</v>
      </c>
      <c r="E4819" s="445" t="s">
        <v>262</v>
      </c>
      <c r="F4819" s="386">
        <v>1.0</v>
      </c>
      <c r="G4819" s="74">
        <v>110000.0</v>
      </c>
      <c r="H4819" s="74">
        <v>0.0</v>
      </c>
      <c r="I4819" s="74">
        <f t="shared" si="1"/>
        <v>110000</v>
      </c>
      <c r="J4819" s="74">
        <f>IF(E4819="SERVICE",I4819-(I4819*50%),Vlookup(E4819,DATABASE!C:Q,10,false)*F4819)</f>
        <v>5000</v>
      </c>
      <c r="K4819" s="74">
        <f>VLOOKUP(E4819,DATABASE!C:Q,7,false)</f>
        <v>0</v>
      </c>
      <c r="L4819" s="74">
        <v>0.0</v>
      </c>
      <c r="M4819" s="74">
        <f t="shared" si="2"/>
        <v>0</v>
      </c>
      <c r="N4819" s="74">
        <f t="shared" si="3"/>
        <v>105000</v>
      </c>
      <c r="O4819" s="65" t="str">
        <f>VLOOKUP(E4819,DATABASE!C:Q,8,false)</f>
        <v>IBU</v>
      </c>
      <c r="P4819" s="65">
        <f>VLOOKUP(E4819,DATABASE!C:Q,9,False)</f>
        <v>0</v>
      </c>
      <c r="Q4819" s="93" t="str">
        <f>VLOOKUP(E4819,DATABASE!C:Q,4,false)</f>
        <v>SPOORING SS/CARRY LOS BAK</v>
      </c>
      <c r="R4819" s="93" t="str">
        <f>VLOOKUP(E4819,DATABASE!C:Q,11,false)</f>
        <v>SERVICE</v>
      </c>
    </row>
    <row r="4820" ht="22.5" customHeight="1">
      <c r="A4820" s="49"/>
      <c r="C4820" s="384">
        <v>45935.0</v>
      </c>
      <c r="D4820" s="65">
        <v>7362.0</v>
      </c>
      <c r="E4820" s="445" t="s">
        <v>478</v>
      </c>
      <c r="F4820" s="386">
        <v>1.0</v>
      </c>
      <c r="G4820" s="74">
        <v>200000.0</v>
      </c>
      <c r="H4820" s="74">
        <v>0.0</v>
      </c>
      <c r="I4820" s="74">
        <f t="shared" si="1"/>
        <v>200000</v>
      </c>
      <c r="J4820" s="74">
        <f>IF(E4820="SERVICE",I4820-(I4820*50%),Vlookup(E4820,DATABASE!C:Q,10,false)*F4820)</f>
        <v>25000</v>
      </c>
      <c r="K4820" s="74">
        <f>VLOOKUP(E4820,DATABASE!C:Q,7,false)</f>
        <v>75000</v>
      </c>
      <c r="L4820" s="74">
        <v>75000.0</v>
      </c>
      <c r="M4820" s="74">
        <f t="shared" si="2"/>
        <v>75000</v>
      </c>
      <c r="N4820" s="74">
        <f t="shared" si="3"/>
        <v>100000</v>
      </c>
      <c r="O4820" s="65" t="str">
        <f>VLOOKUP(E4820,DATABASE!C:Q,8,false)</f>
        <v>BIAN</v>
      </c>
      <c r="P4820" s="65">
        <f>VLOOKUP(E4820,DATABASE!C:Q,9,False)</f>
        <v>0</v>
      </c>
      <c r="Q4820" s="93" t="str">
        <f>VLOOKUP(E4820,DATABASE!C:Q,4,false)</f>
        <v>Baut Camber ss-carry</v>
      </c>
      <c r="R4820" s="93" t="str">
        <f>VLOOKUP(E4820,DATABASE!C:Q,11,false)</f>
        <v>COMPLEMENTARY</v>
      </c>
    </row>
    <row r="4821" ht="22.5" customHeight="1">
      <c r="A4821" s="49"/>
      <c r="C4821" s="384">
        <v>45936.0</v>
      </c>
      <c r="D4821" s="65">
        <v>7363.0</v>
      </c>
      <c r="E4821" s="445" t="s">
        <v>572</v>
      </c>
      <c r="F4821" s="386">
        <v>2.0</v>
      </c>
      <c r="G4821" s="74">
        <v>1350000.0</v>
      </c>
      <c r="H4821" s="74">
        <v>0.0</v>
      </c>
      <c r="I4821" s="74">
        <f t="shared" si="1"/>
        <v>2700000</v>
      </c>
      <c r="J4821" s="74">
        <f>IF(E4821="SERVICE",I4821-(I4821*50%),Vlookup(E4821,DATABASE!C:Q,10,false)*F4821)</f>
        <v>0</v>
      </c>
      <c r="K4821" s="74">
        <f>VLOOKUP(E4821,DATABASE!C:Q,7,false)</f>
        <v>1265000</v>
      </c>
      <c r="L4821" s="74">
        <v>1245000.0</v>
      </c>
      <c r="M4821" s="74">
        <f t="shared" si="2"/>
        <v>1245000</v>
      </c>
      <c r="N4821" s="74">
        <f t="shared" si="3"/>
        <v>210000</v>
      </c>
      <c r="O4821" s="65" t="str">
        <f>VLOOKUP(E4821,DATABASE!C:Q,8,false)</f>
        <v>IBU</v>
      </c>
      <c r="P4821" s="65">
        <f>VLOOKUP(E4821,DATABASE!C:Q,9,False)</f>
        <v>1</v>
      </c>
      <c r="Q4821" s="93" t="str">
        <f>VLOOKUP(E4821,DATABASE!C:Q,4,false)</f>
        <v>Bridgestone</v>
      </c>
      <c r="R4821" s="93" t="str">
        <f>VLOOKUP(E4821,DATABASE!C:Q,11,false)</f>
        <v>Tire</v>
      </c>
    </row>
    <row r="4822" ht="22.5" customHeight="1">
      <c r="A4822" s="49"/>
      <c r="C4822" s="384">
        <v>45936.0</v>
      </c>
      <c r="D4822" s="65">
        <v>7364.0</v>
      </c>
      <c r="E4822" s="445" t="s">
        <v>777</v>
      </c>
      <c r="F4822" s="386">
        <v>1.0</v>
      </c>
      <c r="G4822" s="74">
        <v>580000.0</v>
      </c>
      <c r="H4822" s="74">
        <v>0.0</v>
      </c>
      <c r="I4822" s="74">
        <f t="shared" si="1"/>
        <v>580000</v>
      </c>
      <c r="J4822" s="74">
        <f>IF(E4822="SERVICE",I4822-(I4822*50%),Vlookup(E4822,DATABASE!C:Q,10,false)*F4822)</f>
        <v>0</v>
      </c>
      <c r="K4822" s="74">
        <f>VLOOKUP(E4822,DATABASE!C:Q,7,false)</f>
        <v>540000</v>
      </c>
      <c r="L4822" s="74">
        <v>507000.0</v>
      </c>
      <c r="M4822" s="74">
        <f t="shared" si="2"/>
        <v>510000</v>
      </c>
      <c r="N4822" s="74">
        <f t="shared" si="3"/>
        <v>70000</v>
      </c>
      <c r="O4822" s="65" t="str">
        <f>VLOOKUP(E4822,DATABASE!C:Q,8,false)</f>
        <v>BIAN</v>
      </c>
      <c r="P4822" s="65">
        <f>VLOOKUP(E4822,DATABASE!C:Q,9,False)</f>
        <v>1</v>
      </c>
      <c r="Q4822" s="93" t="str">
        <f>VLOOKUP(E4822,DATABASE!C:Q,4,false)</f>
        <v>GT</v>
      </c>
      <c r="R4822" s="93" t="str">
        <f>VLOOKUP(E4822,DATABASE!C:Q,11,false)</f>
        <v>Tire</v>
      </c>
    </row>
    <row r="4823" ht="22.5" customHeight="1">
      <c r="A4823" s="49"/>
      <c r="C4823" s="384">
        <v>45936.0</v>
      </c>
      <c r="D4823" s="65">
        <v>7364.0</v>
      </c>
      <c r="E4823" s="445" t="s">
        <v>1784</v>
      </c>
      <c r="F4823" s="386">
        <v>1.0</v>
      </c>
      <c r="G4823" s="74">
        <v>620000.0</v>
      </c>
      <c r="H4823" s="74">
        <v>0.0</v>
      </c>
      <c r="I4823" s="74">
        <f t="shared" si="1"/>
        <v>620000</v>
      </c>
      <c r="J4823" s="74">
        <f>IF(E4823="SERVICE",I4823-(I4823*50%),Vlookup(E4823,DATABASE!C:Q,10,false)*F4823)</f>
        <v>0</v>
      </c>
      <c r="K4823" s="74">
        <f>VLOOKUP(E4823,DATABASE!C:Q,7,false)</f>
        <v>530580</v>
      </c>
      <c r="L4823" s="74">
        <v>530580.0</v>
      </c>
      <c r="M4823" s="74">
        <f t="shared" si="2"/>
        <v>535000</v>
      </c>
      <c r="N4823" s="74">
        <f t="shared" si="3"/>
        <v>85000</v>
      </c>
      <c r="O4823" s="65" t="str">
        <f>VLOOKUP(E4823,DATABASE!C:Q,8,false)</f>
        <v>BIAN</v>
      </c>
      <c r="P4823" s="65">
        <f>VLOOKUP(E4823,DATABASE!C:Q,9,False)</f>
        <v>1</v>
      </c>
      <c r="Q4823" s="93" t="str">
        <f>VLOOKUP(E4823,DATABASE!C:Q,4,false)</f>
        <v>Forceum</v>
      </c>
      <c r="R4823" s="93" t="str">
        <f>VLOOKUP(E4823,DATABASE!C:Q,11,false)</f>
        <v>Tire</v>
      </c>
    </row>
    <row r="4824" ht="22.5" customHeight="1">
      <c r="A4824" s="49"/>
      <c r="C4824" s="384">
        <v>45936.0</v>
      </c>
      <c r="D4824" s="65">
        <v>7365.0</v>
      </c>
      <c r="E4824" s="445" t="s">
        <v>572</v>
      </c>
      <c r="F4824" s="386">
        <v>2.0</v>
      </c>
      <c r="G4824" s="74">
        <v>1350000.0</v>
      </c>
      <c r="H4824" s="74">
        <v>0.0</v>
      </c>
      <c r="I4824" s="74">
        <f t="shared" si="1"/>
        <v>2700000</v>
      </c>
      <c r="J4824" s="74">
        <f>IF(E4824="SERVICE",I4824-(I4824*50%),Vlookup(E4824,DATABASE!C:Q,10,false)*F4824)</f>
        <v>0</v>
      </c>
      <c r="K4824" s="74">
        <f>VLOOKUP(E4824,DATABASE!C:Q,7,false)</f>
        <v>1265000</v>
      </c>
      <c r="L4824" s="74">
        <v>1245000.0</v>
      </c>
      <c r="M4824" s="74">
        <f t="shared" si="2"/>
        <v>1245000</v>
      </c>
      <c r="N4824" s="74">
        <f t="shared" si="3"/>
        <v>210000</v>
      </c>
      <c r="O4824" s="65" t="str">
        <f>VLOOKUP(E4824,DATABASE!C:Q,8,false)</f>
        <v>IBU</v>
      </c>
      <c r="P4824" s="65">
        <f>VLOOKUP(E4824,DATABASE!C:Q,9,False)</f>
        <v>1</v>
      </c>
      <c r="Q4824" s="93" t="str">
        <f>VLOOKUP(E4824,DATABASE!C:Q,4,false)</f>
        <v>Bridgestone</v>
      </c>
      <c r="R4824" s="93" t="str">
        <f>VLOOKUP(E4824,DATABASE!C:Q,11,false)</f>
        <v>Tire</v>
      </c>
    </row>
    <row r="4825" ht="22.5" customHeight="1">
      <c r="A4825" s="49"/>
      <c r="C4825" s="384">
        <v>45936.0</v>
      </c>
      <c r="D4825" s="65">
        <v>7365.0</v>
      </c>
      <c r="E4825" s="445" t="s">
        <v>652</v>
      </c>
      <c r="F4825" s="386">
        <v>1.0</v>
      </c>
      <c r="G4825" s="74">
        <v>250000.0</v>
      </c>
      <c r="H4825" s="74">
        <v>0.0</v>
      </c>
      <c r="I4825" s="74">
        <f t="shared" si="1"/>
        <v>250000</v>
      </c>
      <c r="J4825" s="74">
        <f>IF(E4825="SERVICE",I4825-(I4825*50%),Vlookup(E4825,DATABASE!C:Q,10,false)*F4825)</f>
        <v>0</v>
      </c>
      <c r="K4825" s="74">
        <f>VLOOKUP(E4825,DATABASE!C:Q,7,false)</f>
        <v>231268</v>
      </c>
      <c r="L4825" s="74">
        <v>227850.0</v>
      </c>
      <c r="M4825" s="74">
        <f t="shared" si="2"/>
        <v>230000</v>
      </c>
      <c r="N4825" s="74">
        <f t="shared" si="3"/>
        <v>20000</v>
      </c>
      <c r="O4825" s="65" t="str">
        <f>VLOOKUP(E4825,DATABASE!C:Q,8,false)</f>
        <v>IBU</v>
      </c>
      <c r="P4825" s="65">
        <f>VLOOKUP(E4825,DATABASE!C:Q,9,False)</f>
        <v>1</v>
      </c>
      <c r="Q4825" s="93" t="str">
        <f>VLOOKUP(E4825,DATABASE!C:Q,4,false)</f>
        <v>BD</v>
      </c>
      <c r="R4825" s="93" t="str">
        <f>VLOOKUP(E4825,DATABASE!C:Q,11,false)</f>
        <v>Tire</v>
      </c>
    </row>
    <row r="4826" ht="22.5" customHeight="1">
      <c r="A4826" s="49"/>
      <c r="C4826" s="384">
        <v>45936.0</v>
      </c>
      <c r="D4826" s="65">
        <v>7366.0</v>
      </c>
      <c r="E4826" s="445" t="s">
        <v>569</v>
      </c>
      <c r="F4826" s="386">
        <v>1.0</v>
      </c>
      <c r="G4826" s="74">
        <v>80000.0</v>
      </c>
      <c r="H4826" s="74">
        <v>0.0</v>
      </c>
      <c r="I4826" s="74">
        <f t="shared" si="1"/>
        <v>80000</v>
      </c>
      <c r="J4826" s="74">
        <f>IF(E4826="SERVICE",I4826-(I4826*50%),Vlookup(E4826,DATABASE!C:Q,10,false)*F4826)</f>
        <v>0</v>
      </c>
      <c r="K4826" s="74">
        <f>VLOOKUP(E4826,DATABASE!C:Q,7,false)</f>
        <v>45439.582</v>
      </c>
      <c r="L4826" s="74">
        <v>45309.6</v>
      </c>
      <c r="M4826" s="74">
        <f t="shared" si="2"/>
        <v>50000</v>
      </c>
      <c r="N4826" s="74">
        <f t="shared" si="3"/>
        <v>30000</v>
      </c>
      <c r="O4826" s="65" t="str">
        <f>VLOOKUP(E4826,DATABASE!C:Q,8,false)</f>
        <v>BIAN</v>
      </c>
      <c r="P4826" s="65">
        <f>VLOOKUP(E4826,DATABASE!C:Q,9,False)</f>
        <v>1</v>
      </c>
      <c r="Q4826" s="93" t="str">
        <f>VLOOKUP(E4826,DATABASE!C:Q,4,false)</f>
        <v>BD</v>
      </c>
      <c r="R4826" s="93" t="str">
        <f>VLOOKUP(E4826,DATABASE!C:Q,11,false)</f>
        <v>Tire</v>
      </c>
    </row>
    <row r="4827" ht="22.5" customHeight="1">
      <c r="A4827" s="49"/>
      <c r="C4827" s="384">
        <v>45936.0</v>
      </c>
      <c r="D4827" s="65">
        <v>7367.0</v>
      </c>
      <c r="E4827" s="445" t="s">
        <v>2019</v>
      </c>
      <c r="F4827" s="386">
        <v>1.0</v>
      </c>
      <c r="G4827" s="74">
        <v>680000.0</v>
      </c>
      <c r="H4827" s="74">
        <v>0.0</v>
      </c>
      <c r="I4827" s="74">
        <f t="shared" si="1"/>
        <v>680000</v>
      </c>
      <c r="J4827" s="74">
        <f>IF(E4827="SERVICE",I4827-(I4827*50%),Vlookup(E4827,DATABASE!C:Q,10,false)*F4827)</f>
        <v>0</v>
      </c>
      <c r="K4827" s="74">
        <f>VLOOKUP(E4827,DATABASE!C:Q,7,false)</f>
        <v>620000</v>
      </c>
      <c r="L4827" s="74">
        <v>585000.0</v>
      </c>
      <c r="M4827" s="74">
        <f t="shared" si="2"/>
        <v>585000</v>
      </c>
      <c r="N4827" s="74">
        <f t="shared" si="3"/>
        <v>95000</v>
      </c>
      <c r="O4827" s="65" t="str">
        <f>VLOOKUP(E4827,DATABASE!C:Q,8,false)</f>
        <v>BIAN</v>
      </c>
      <c r="P4827" s="65">
        <f>VLOOKUP(E4827,DATABASE!C:Q,9,False)</f>
        <v>1</v>
      </c>
      <c r="Q4827" s="93" t="str">
        <f>VLOOKUP(E4827,DATABASE!C:Q,4,false)</f>
        <v>GT</v>
      </c>
      <c r="R4827" s="93" t="str">
        <f>VLOOKUP(E4827,DATABASE!C:Q,11,false)</f>
        <v>Tire</v>
      </c>
    </row>
    <row r="4828" ht="22.5" customHeight="1">
      <c r="A4828" s="49"/>
      <c r="C4828" s="384">
        <v>45936.0</v>
      </c>
      <c r="D4828" s="65">
        <v>7367.0</v>
      </c>
      <c r="E4828" s="445" t="s">
        <v>604</v>
      </c>
      <c r="F4828" s="386">
        <v>2.0</v>
      </c>
      <c r="G4828" s="74">
        <v>160000.0</v>
      </c>
      <c r="H4828" s="74">
        <v>0.0</v>
      </c>
      <c r="I4828" s="74">
        <f t="shared" si="1"/>
        <v>320000</v>
      </c>
      <c r="J4828" s="74">
        <f>IF(E4828="SERVICE",I4828-(I4828*50%),Vlookup(E4828,DATABASE!C:Q,10,false)*F4828)</f>
        <v>0</v>
      </c>
      <c r="K4828" s="74">
        <f>VLOOKUP(E4828,DATABASE!C:Q,7,false)</f>
        <v>124000</v>
      </c>
      <c r="L4828" s="74">
        <v>124000.0</v>
      </c>
      <c r="M4828" s="74">
        <f t="shared" si="2"/>
        <v>125000</v>
      </c>
      <c r="N4828" s="74">
        <f t="shared" si="3"/>
        <v>70000</v>
      </c>
      <c r="O4828" s="65" t="str">
        <f>VLOOKUP(E4828,DATABASE!C:Q,8,false)</f>
        <v>BIAN</v>
      </c>
      <c r="P4828" s="65">
        <f>VLOOKUP(E4828,DATABASE!C:Q,9,False)</f>
        <v>1</v>
      </c>
      <c r="Q4828" s="93" t="str">
        <f>VLOOKUP(E4828,DATABASE!C:Q,4,false)</f>
        <v>BD</v>
      </c>
      <c r="R4828" s="93" t="str">
        <f>VLOOKUP(E4828,DATABASE!C:Q,11,false)</f>
        <v>Tire</v>
      </c>
    </row>
    <row r="4829" ht="22.5" customHeight="1">
      <c r="A4829" s="49"/>
      <c r="C4829" s="384">
        <v>45936.0</v>
      </c>
      <c r="D4829" s="65">
        <v>7368.0</v>
      </c>
      <c r="E4829" s="445" t="s">
        <v>647</v>
      </c>
      <c r="F4829" s="386">
        <v>2.0</v>
      </c>
      <c r="G4829" s="74">
        <v>1520000.0</v>
      </c>
      <c r="H4829" s="74">
        <v>0.0</v>
      </c>
      <c r="I4829" s="74">
        <f t="shared" si="1"/>
        <v>3040000</v>
      </c>
      <c r="J4829" s="74">
        <f>IF(E4829="SERVICE",I4829-(I4829*50%),Vlookup(E4829,DATABASE!C:Q,10,false)*F4829)</f>
        <v>0</v>
      </c>
      <c r="K4829" s="74">
        <f>VLOOKUP(E4829,DATABASE!C:Q,7,false)</f>
        <v>1420000</v>
      </c>
      <c r="L4829" s="74">
        <v>1420000.0</v>
      </c>
      <c r="M4829" s="74">
        <f t="shared" si="2"/>
        <v>1420000</v>
      </c>
      <c r="N4829" s="74">
        <f t="shared" si="3"/>
        <v>200000</v>
      </c>
      <c r="O4829" s="65" t="str">
        <f>VLOOKUP(E4829,DATABASE!C:Q,8,false)</f>
        <v>BIAN</v>
      </c>
      <c r="P4829" s="65">
        <f>VLOOKUP(E4829,DATABASE!C:Q,9,False)</f>
        <v>1</v>
      </c>
      <c r="Q4829" s="93" t="str">
        <f>VLOOKUP(E4829,DATABASE!C:Q,4,false)</f>
        <v>G. YEAR</v>
      </c>
      <c r="R4829" s="93" t="str">
        <f>VLOOKUP(E4829,DATABASE!C:Q,11,false)</f>
        <v>Tire</v>
      </c>
    </row>
    <row r="4830" ht="22.5" customHeight="1">
      <c r="A4830" s="49"/>
      <c r="C4830" s="384">
        <v>45936.0</v>
      </c>
      <c r="D4830" s="65">
        <v>7369.0</v>
      </c>
      <c r="E4830" s="445" t="s">
        <v>256</v>
      </c>
      <c r="F4830" s="386">
        <v>1.0</v>
      </c>
      <c r="G4830" s="74">
        <v>130000.0</v>
      </c>
      <c r="H4830" s="74">
        <v>0.0</v>
      </c>
      <c r="I4830" s="74">
        <f t="shared" si="1"/>
        <v>130000</v>
      </c>
      <c r="J4830" s="74">
        <f>IF(E4830="SERVICE",I4830-(I4830*50%),Vlookup(E4830,DATABASE!C:Q,10,false)*F4830)</f>
        <v>10000</v>
      </c>
      <c r="K4830" s="74">
        <f>VLOOKUP(E4830,DATABASE!C:Q,7,false)</f>
        <v>0</v>
      </c>
      <c r="L4830" s="74">
        <v>0.0</v>
      </c>
      <c r="M4830" s="74">
        <f t="shared" si="2"/>
        <v>0</v>
      </c>
      <c r="N4830" s="74">
        <f t="shared" si="3"/>
        <v>120000</v>
      </c>
      <c r="O4830" s="65" t="str">
        <f>VLOOKUP(E4830,DATABASE!C:Q,8,false)</f>
        <v>IBU</v>
      </c>
      <c r="P4830" s="65">
        <f>VLOOKUP(E4830,DATABASE!C:Q,9,False)</f>
        <v>0</v>
      </c>
      <c r="Q4830" s="93" t="str">
        <f>VLOOKUP(E4830,DATABASE!C:Q,4,false)</f>
        <v>SPOORING</v>
      </c>
      <c r="R4830" s="93" t="str">
        <f>VLOOKUP(E4830,DATABASE!C:Q,11,false)</f>
        <v>SERVICE</v>
      </c>
    </row>
    <row r="4831" ht="22.5" customHeight="1">
      <c r="A4831" s="49"/>
      <c r="C4831" s="384">
        <v>45936.0</v>
      </c>
      <c r="D4831" s="65">
        <v>7369.0</v>
      </c>
      <c r="E4831" s="385" t="s">
        <v>299</v>
      </c>
      <c r="F4831" s="386">
        <v>2.0</v>
      </c>
      <c r="G4831" s="74">
        <v>30000.0</v>
      </c>
      <c r="H4831" s="74">
        <v>0.0</v>
      </c>
      <c r="I4831" s="74">
        <f t="shared" si="1"/>
        <v>60000</v>
      </c>
      <c r="J4831" s="74">
        <f>IF(E4831="SERVICE",I4831-(I4831*50%),Vlookup(E4831,DATABASE!C:Q,10,false)*F4831)</f>
        <v>0</v>
      </c>
      <c r="K4831" s="74">
        <v>0.0</v>
      </c>
      <c r="L4831" s="74">
        <v>0.0</v>
      </c>
      <c r="M4831" s="74">
        <f t="shared" si="2"/>
        <v>0</v>
      </c>
      <c r="N4831" s="74">
        <f t="shared" si="3"/>
        <v>60000</v>
      </c>
      <c r="O4831" s="65" t="str">
        <f>VLOOKUP(E4831,DATABASE!C:Q,8,false)</f>
        <v>BIAN</v>
      </c>
      <c r="P4831" s="65">
        <f>VLOOKUP(E4831,DATABASE!C:Q,9,False)</f>
        <v>0</v>
      </c>
      <c r="Q4831" s="93" t="str">
        <f>VLOOKUP(E4831,DATABASE!C:Q,4,false)</f>
        <v>Balancing</v>
      </c>
      <c r="R4831" s="93" t="str">
        <f>VLOOKUP(E4831,DATABASE!C:Q,11,false)</f>
        <v>COMPLEMENTARY</v>
      </c>
    </row>
    <row r="4832" ht="22.5" customHeight="1">
      <c r="A4832" s="49"/>
      <c r="C4832" s="384">
        <v>45936.0</v>
      </c>
      <c r="D4832" s="65">
        <v>7369.0</v>
      </c>
      <c r="E4832" s="445" t="s">
        <v>251</v>
      </c>
      <c r="F4832" s="386">
        <v>1.0</v>
      </c>
      <c r="G4832" s="74">
        <v>150000.0</v>
      </c>
      <c r="H4832" s="74">
        <v>0.0</v>
      </c>
      <c r="I4832" s="74">
        <f t="shared" si="1"/>
        <v>150000</v>
      </c>
      <c r="J4832" s="74">
        <f>IF(E4832="SERVICE",I4832-(I4832*50%),Vlookup(E4832,DATABASE!C:Q,10,false)*F4832)</f>
        <v>75000</v>
      </c>
      <c r="K4832" s="74">
        <f>VLOOKUP(E4832,DATABASE!C:Q,7,false)</f>
        <v>0</v>
      </c>
      <c r="L4832" s="74">
        <v>0.0</v>
      </c>
      <c r="M4832" s="74">
        <f t="shared" si="2"/>
        <v>0</v>
      </c>
      <c r="N4832" s="74">
        <f t="shared" si="3"/>
        <v>75000</v>
      </c>
      <c r="O4832" s="65" t="str">
        <f>VLOOKUP(E4832,DATABASE!C:Q,8,false)</f>
        <v>IBU</v>
      </c>
      <c r="P4832" s="65">
        <f>VLOOKUP(E4832,DATABASE!C:Q,9,False)</f>
        <v>0</v>
      </c>
      <c r="Q4832" s="93" t="str">
        <f>VLOOKUP(E4832,DATABASE!C:Q,4,false)</f>
        <v>SERVICE</v>
      </c>
      <c r="R4832" s="93" t="str">
        <f>VLOOKUP(E4832,DATABASE!C:Q,11,false)</f>
        <v>SERVICE</v>
      </c>
    </row>
    <row r="4833" ht="22.5" customHeight="1">
      <c r="A4833" s="49"/>
      <c r="C4833" s="384">
        <v>45936.0</v>
      </c>
      <c r="D4833" s="65">
        <v>7370.0</v>
      </c>
      <c r="E4833" s="445" t="s">
        <v>974</v>
      </c>
      <c r="F4833" s="386">
        <v>1.0</v>
      </c>
      <c r="G4833" s="74">
        <v>590000.0</v>
      </c>
      <c r="H4833" s="74">
        <v>0.0</v>
      </c>
      <c r="I4833" s="74">
        <f t="shared" si="1"/>
        <v>590000</v>
      </c>
      <c r="J4833" s="74">
        <f>IF(E4833="SERVICE",I4833-(I4833*50%),Vlookup(E4833,DATABASE!C:Q,10,false)*F4833)</f>
        <v>0</v>
      </c>
      <c r="K4833" s="74">
        <f>VLOOKUP(E4833,DATABASE!C:Q,7,false)</f>
        <v>501500</v>
      </c>
      <c r="L4833" s="74">
        <v>491000.0</v>
      </c>
      <c r="M4833" s="74">
        <f t="shared" si="2"/>
        <v>495000</v>
      </c>
      <c r="N4833" s="74">
        <f t="shared" si="3"/>
        <v>95000</v>
      </c>
      <c r="O4833" s="65" t="str">
        <f>VLOOKUP(E4833,DATABASE!C:Q,8,false)</f>
        <v>IBU</v>
      </c>
      <c r="P4833" s="65">
        <f>VLOOKUP(E4833,DATABASE!C:Q,9,False)</f>
        <v>1</v>
      </c>
      <c r="Q4833" s="93" t="str">
        <f>VLOOKUP(E4833,DATABASE!C:Q,4,false)</f>
        <v>Dunlop</v>
      </c>
      <c r="R4833" s="93" t="str">
        <f>VLOOKUP(E4833,DATABASE!C:Q,11,false)</f>
        <v>Tire</v>
      </c>
    </row>
    <row r="4834" ht="22.5" customHeight="1">
      <c r="A4834" s="49"/>
      <c r="C4834" s="384">
        <v>45936.0</v>
      </c>
      <c r="D4834" s="65">
        <v>7371.0</v>
      </c>
      <c r="E4834" s="445" t="s">
        <v>256</v>
      </c>
      <c r="F4834" s="386">
        <v>1.0</v>
      </c>
      <c r="G4834" s="74">
        <v>130000.0</v>
      </c>
      <c r="H4834" s="74">
        <v>0.0</v>
      </c>
      <c r="I4834" s="74">
        <f t="shared" si="1"/>
        <v>130000</v>
      </c>
      <c r="J4834" s="74">
        <f>IF(E4834="SERVICE",I4834-(I4834*50%),Vlookup(E4834,DATABASE!C:Q,10,false)*F4834)</f>
        <v>10000</v>
      </c>
      <c r="K4834" s="74">
        <f>VLOOKUP(E4834,DATABASE!C:Q,7,false)</f>
        <v>0</v>
      </c>
      <c r="L4834" s="74">
        <v>0.0</v>
      </c>
      <c r="M4834" s="74">
        <f t="shared" si="2"/>
        <v>0</v>
      </c>
      <c r="N4834" s="74">
        <f t="shared" si="3"/>
        <v>120000</v>
      </c>
      <c r="O4834" s="65" t="str">
        <f>VLOOKUP(E4834,DATABASE!C:Q,8,false)</f>
        <v>IBU</v>
      </c>
      <c r="P4834" s="65">
        <f>VLOOKUP(E4834,DATABASE!C:Q,9,False)</f>
        <v>0</v>
      </c>
      <c r="Q4834" s="93" t="str">
        <f>VLOOKUP(E4834,DATABASE!C:Q,4,false)</f>
        <v>SPOORING</v>
      </c>
      <c r="R4834" s="93" t="str">
        <f>VLOOKUP(E4834,DATABASE!C:Q,11,false)</f>
        <v>SERVICE</v>
      </c>
    </row>
    <row r="4835" ht="22.5" customHeight="1">
      <c r="A4835" s="49"/>
      <c r="C4835" s="384">
        <v>45936.0</v>
      </c>
      <c r="D4835" s="65">
        <v>7371.0</v>
      </c>
      <c r="E4835" s="385" t="s">
        <v>305</v>
      </c>
      <c r="F4835" s="386">
        <v>1.0</v>
      </c>
      <c r="G4835" s="74">
        <v>235000.0</v>
      </c>
      <c r="H4835" s="74">
        <v>0.0</v>
      </c>
      <c r="I4835" s="74">
        <f t="shared" si="1"/>
        <v>235000</v>
      </c>
      <c r="J4835" s="74">
        <f>IF(E4835="SERVICE",I4835-(I4835*50%),Vlookup(E4835,DATABASE!C:Q,10,false)*F4835)</f>
        <v>40000</v>
      </c>
      <c r="K4835" s="74">
        <f>VLOOKUP(E4835,DATABASE!C:Q,7,false)</f>
        <v>158530.2</v>
      </c>
      <c r="L4835" s="74">
        <v>151890.0</v>
      </c>
      <c r="M4835" s="74">
        <f t="shared" si="2"/>
        <v>155000</v>
      </c>
      <c r="N4835" s="74">
        <f t="shared" si="3"/>
        <v>40000</v>
      </c>
      <c r="O4835" s="65" t="str">
        <f>VLOOKUP(E4835,DATABASE!C:Q,8,false)</f>
        <v>BIAN</v>
      </c>
      <c r="P4835" s="65">
        <f>VLOOKUP(E4835,DATABASE!C:Q,9,False)</f>
        <v>1</v>
      </c>
      <c r="Q4835" s="93" t="str">
        <f>VLOOKUP(E4835,DATABASE!C:Q,4,false)</f>
        <v>Lower Arm</v>
      </c>
      <c r="R4835" s="93" t="str">
        <f>VLOOKUP(E4835,DATABASE!C:Q,11,false)</f>
        <v>COMPLEMENTARY</v>
      </c>
    </row>
    <row r="4836" ht="22.5" customHeight="1">
      <c r="A4836" s="49"/>
      <c r="C4836" s="384">
        <v>45936.0</v>
      </c>
      <c r="D4836" s="65">
        <v>7371.0</v>
      </c>
      <c r="E4836" s="385" t="s">
        <v>299</v>
      </c>
      <c r="F4836" s="386">
        <v>2.0</v>
      </c>
      <c r="G4836" s="74">
        <v>30000.0</v>
      </c>
      <c r="H4836" s="74">
        <v>0.0</v>
      </c>
      <c r="I4836" s="74">
        <f t="shared" si="1"/>
        <v>60000</v>
      </c>
      <c r="J4836" s="74">
        <f>IF(E4836="SERVICE",I4836-(I4836*50%),Vlookup(E4836,DATABASE!C:Q,10,false)*F4836)</f>
        <v>0</v>
      </c>
      <c r="K4836" s="74">
        <v>0.0</v>
      </c>
      <c r="L4836" s="74">
        <v>0.0</v>
      </c>
      <c r="M4836" s="74">
        <f t="shared" si="2"/>
        <v>0</v>
      </c>
      <c r="N4836" s="74">
        <f t="shared" si="3"/>
        <v>60000</v>
      </c>
      <c r="O4836" s="65" t="str">
        <f>VLOOKUP(E4836,DATABASE!C:Q,8,false)</f>
        <v>BIAN</v>
      </c>
      <c r="P4836" s="65">
        <f>VLOOKUP(E4836,DATABASE!C:Q,9,False)</f>
        <v>0</v>
      </c>
      <c r="Q4836" s="93" t="str">
        <f>VLOOKUP(E4836,DATABASE!C:Q,4,false)</f>
        <v>Balancing</v>
      </c>
      <c r="R4836" s="93" t="str">
        <f>VLOOKUP(E4836,DATABASE!C:Q,11,false)</f>
        <v>COMPLEMENTARY</v>
      </c>
    </row>
    <row r="4837" ht="22.5" customHeight="1">
      <c r="A4837" s="49"/>
      <c r="C4837" s="384">
        <v>45937.0</v>
      </c>
      <c r="D4837" s="65">
        <v>7372.0</v>
      </c>
      <c r="E4837" s="445" t="s">
        <v>246</v>
      </c>
      <c r="F4837" s="386">
        <v>1.0</v>
      </c>
      <c r="G4837" s="74">
        <v>25000.0</v>
      </c>
      <c r="H4837" s="74">
        <v>0.0</v>
      </c>
      <c r="I4837" s="74">
        <f t="shared" si="1"/>
        <v>25000</v>
      </c>
      <c r="J4837" s="74">
        <f>IF(E4837="SERVICE",I4837-(I4837*50%),Vlookup(E4837,DATABASE!C:Q,10,false)*F4837)</f>
        <v>0</v>
      </c>
      <c r="K4837" s="74">
        <f>VLOOKUP(E4837,DATABASE!C:Q,7,false)</f>
        <v>0</v>
      </c>
      <c r="L4837" s="74">
        <v>0.0</v>
      </c>
      <c r="M4837" s="74">
        <f t="shared" si="2"/>
        <v>0</v>
      </c>
      <c r="N4837" s="74">
        <f t="shared" si="3"/>
        <v>25000</v>
      </c>
      <c r="O4837" s="65" t="str">
        <f>VLOOKUP(E4837,DATABASE!C:Q,8,false)</f>
        <v>IBU</v>
      </c>
      <c r="P4837" s="65">
        <f>VLOOKUP(E4837,DATABASE!C:Q,9,False)</f>
        <v>0</v>
      </c>
      <c r="Q4837" s="93" t="str">
        <f>VLOOKUP(E4837,DATABASE!C:Q,4,false)</f>
        <v>Bongkar Pasang</v>
      </c>
      <c r="R4837" s="93" t="str">
        <f>VLOOKUP(E4837,DATABASE!C:Q,11,false)</f>
        <v>SERVICE</v>
      </c>
    </row>
    <row r="4838" ht="22.5" customHeight="1">
      <c r="A4838" s="49"/>
      <c r="C4838" s="384">
        <v>45937.0</v>
      </c>
      <c r="D4838" s="65">
        <v>7373.0</v>
      </c>
      <c r="E4838" s="445" t="s">
        <v>255</v>
      </c>
      <c r="F4838" s="386">
        <v>1.0</v>
      </c>
      <c r="G4838" s="74">
        <v>200000.0</v>
      </c>
      <c r="H4838" s="74">
        <v>0.0</v>
      </c>
      <c r="I4838" s="74">
        <f t="shared" si="1"/>
        <v>200000</v>
      </c>
      <c r="J4838" s="74">
        <f>IF(E4838="SERVICE",I4838-(I4838*50%),Vlookup(E4838,DATABASE!C:Q,10,false)*F4838)</f>
        <v>0</v>
      </c>
      <c r="K4838" s="74">
        <f>VLOOKUP(E4838,DATABASE!C:Q,7,false)</f>
        <v>161840</v>
      </c>
      <c r="L4838" s="74">
        <v>161840.0</v>
      </c>
      <c r="M4838" s="74">
        <f t="shared" si="2"/>
        <v>165000</v>
      </c>
      <c r="N4838" s="74">
        <f t="shared" si="3"/>
        <v>35000</v>
      </c>
      <c r="O4838" s="65" t="str">
        <f>VLOOKUP(E4838,DATABASE!C:Q,8,false)</f>
        <v>BIAN</v>
      </c>
      <c r="P4838" s="65">
        <f>VLOOKUP(E4838,DATABASE!C:Q,9,False)</f>
        <v>1</v>
      </c>
      <c r="Q4838" s="93" t="str">
        <f>VLOOKUP(E4838,DATABASE!C:Q,4,false)</f>
        <v>BD</v>
      </c>
      <c r="R4838" s="93" t="str">
        <f>VLOOKUP(E4838,DATABASE!C:Q,11,false)</f>
        <v>Tire</v>
      </c>
    </row>
    <row r="4839" ht="22.5" customHeight="1">
      <c r="A4839" s="49"/>
      <c r="C4839" s="384">
        <v>45937.0</v>
      </c>
      <c r="D4839" s="65">
        <v>7373.0</v>
      </c>
      <c r="E4839" s="445" t="s">
        <v>814</v>
      </c>
      <c r="F4839" s="386">
        <v>1.0</v>
      </c>
      <c r="G4839" s="74">
        <v>65000.0</v>
      </c>
      <c r="H4839" s="74">
        <v>0.0</v>
      </c>
      <c r="I4839" s="74">
        <f t="shared" si="1"/>
        <v>65000</v>
      </c>
      <c r="J4839" s="74">
        <f>IF(E4839="SERVICE",I4839-(I4839*50%),Vlookup(E4839,DATABASE!C:Q,10,false)*F4839)</f>
        <v>0</v>
      </c>
      <c r="K4839" s="74">
        <f>VLOOKUP(E4839,DATABASE!C:Q,7,false)</f>
        <v>39440</v>
      </c>
      <c r="L4839" s="74">
        <v>39440.0</v>
      </c>
      <c r="M4839" s="74">
        <f t="shared" si="2"/>
        <v>40000</v>
      </c>
      <c r="N4839" s="74">
        <f t="shared" si="3"/>
        <v>25000</v>
      </c>
      <c r="O4839" s="65" t="str">
        <f>VLOOKUP(E4839,DATABASE!C:Q,8,false)</f>
        <v>BIAN</v>
      </c>
      <c r="P4839" s="65">
        <f>VLOOKUP(E4839,DATABASE!C:Q,9,False)</f>
        <v>1</v>
      </c>
      <c r="Q4839" s="93" t="str">
        <f>VLOOKUP(E4839,DATABASE!C:Q,4,false)</f>
        <v>Flap</v>
      </c>
      <c r="R4839" s="93" t="str">
        <f>VLOOKUP(E4839,DATABASE!C:Q,11,false)</f>
        <v>Tire</v>
      </c>
    </row>
    <row r="4840" ht="22.5" customHeight="1">
      <c r="A4840" s="49"/>
      <c r="C4840" s="384">
        <v>45937.0</v>
      </c>
      <c r="D4840" s="65">
        <v>7374.0</v>
      </c>
      <c r="E4840" s="445" t="s">
        <v>781</v>
      </c>
      <c r="F4840" s="386">
        <v>1.0</v>
      </c>
      <c r="G4840" s="74">
        <v>530000.0</v>
      </c>
      <c r="H4840" s="74">
        <v>0.0</v>
      </c>
      <c r="I4840" s="74">
        <f t="shared" si="1"/>
        <v>530000</v>
      </c>
      <c r="J4840" s="74">
        <f>IF(E4840="SERVICE",I4840-(I4840*50%),Vlookup(E4840,DATABASE!C:Q,10,false)*F4840)</f>
        <v>0</v>
      </c>
      <c r="K4840" s="74">
        <f>VLOOKUP(E4840,DATABASE!C:Q,7,false)</f>
        <v>470000</v>
      </c>
      <c r="L4840" s="74">
        <v>442500.0</v>
      </c>
      <c r="M4840" s="74">
        <f t="shared" si="2"/>
        <v>445000</v>
      </c>
      <c r="N4840" s="74">
        <f t="shared" si="3"/>
        <v>85000</v>
      </c>
      <c r="O4840" s="65" t="str">
        <f>VLOOKUP(E4840,DATABASE!C:Q,8,false)</f>
        <v>BIAN</v>
      </c>
      <c r="P4840" s="65">
        <f>VLOOKUP(E4840,DATABASE!C:Q,9,False)</f>
        <v>1</v>
      </c>
      <c r="Q4840" s="93" t="str">
        <f>VLOOKUP(E4840,DATABASE!C:Q,4,false)</f>
        <v>GT</v>
      </c>
      <c r="R4840" s="93" t="str">
        <f>VLOOKUP(E4840,DATABASE!C:Q,11,false)</f>
        <v>Tire</v>
      </c>
    </row>
    <row r="4841" ht="22.5" customHeight="1">
      <c r="A4841" s="49"/>
      <c r="C4841" s="384">
        <v>45937.0</v>
      </c>
      <c r="D4841" s="65">
        <v>7375.0</v>
      </c>
      <c r="E4841" s="445" t="s">
        <v>250</v>
      </c>
      <c r="F4841" s="386">
        <v>1.0</v>
      </c>
      <c r="G4841" s="74">
        <v>135000.0</v>
      </c>
      <c r="H4841" s="74">
        <v>0.0</v>
      </c>
      <c r="I4841" s="74">
        <f t="shared" si="1"/>
        <v>135000</v>
      </c>
      <c r="J4841" s="74">
        <f>IF(E4841="SERVICE",I4841-(I4841*50%),Vlookup(E4841,DATABASE!C:Q,10,false)*F4841)</f>
        <v>0</v>
      </c>
      <c r="K4841" s="74">
        <f>VLOOKUP(E4841,DATABASE!C:Q,7,false)</f>
        <v>102000</v>
      </c>
      <c r="L4841" s="74">
        <v>102000.0</v>
      </c>
      <c r="M4841" s="74">
        <f t="shared" si="2"/>
        <v>105000</v>
      </c>
      <c r="N4841" s="74">
        <f t="shared" si="3"/>
        <v>30000</v>
      </c>
      <c r="O4841" s="65" t="str">
        <f>VLOOKUP(E4841,DATABASE!C:Q,8,false)</f>
        <v>BIAN</v>
      </c>
      <c r="P4841" s="65">
        <f>VLOOKUP(E4841,DATABASE!C:Q,9,False)</f>
        <v>1</v>
      </c>
      <c r="Q4841" s="93" t="str">
        <f>VLOOKUP(E4841,DATABASE!C:Q,4,false)</f>
        <v>BD</v>
      </c>
      <c r="R4841" s="93" t="str">
        <f>VLOOKUP(E4841,DATABASE!C:Q,11,false)</f>
        <v>Tire</v>
      </c>
    </row>
    <row r="4842" ht="22.5" customHeight="1">
      <c r="A4842" s="49"/>
      <c r="C4842" s="384">
        <v>45937.0</v>
      </c>
      <c r="D4842" s="65">
        <v>7376.0</v>
      </c>
      <c r="E4842" s="445" t="s">
        <v>566</v>
      </c>
      <c r="F4842" s="386">
        <v>1.0</v>
      </c>
      <c r="G4842" s="74">
        <v>1650000.0</v>
      </c>
      <c r="H4842" s="74">
        <v>0.0</v>
      </c>
      <c r="I4842" s="74">
        <f t="shared" si="1"/>
        <v>1650000</v>
      </c>
      <c r="J4842" s="74">
        <f>IF(E4842="SERVICE",I4842-(I4842*50%),Vlookup(E4842,DATABASE!C:Q,10,false)*F4842)</f>
        <v>0</v>
      </c>
      <c r="K4842" s="74">
        <f>VLOOKUP(E4842,DATABASE!C:Q,7,false)</f>
        <v>1565000</v>
      </c>
      <c r="L4842" s="74">
        <v>1545000.0</v>
      </c>
      <c r="M4842" s="74">
        <f t="shared" si="2"/>
        <v>1545000</v>
      </c>
      <c r="N4842" s="74">
        <f t="shared" si="3"/>
        <v>105000</v>
      </c>
      <c r="O4842" s="65" t="str">
        <f>VLOOKUP(E4842,DATABASE!C:Q,8,false)</f>
        <v>IBU</v>
      </c>
      <c r="P4842" s="65">
        <f>VLOOKUP(E4842,DATABASE!C:Q,9,False)</f>
        <v>1</v>
      </c>
      <c r="Q4842" s="93" t="str">
        <f>VLOOKUP(E4842,DATABASE!C:Q,4,false)</f>
        <v>Bridgestone</v>
      </c>
      <c r="R4842" s="93" t="str">
        <f>VLOOKUP(E4842,DATABASE!C:Q,11,false)</f>
        <v>Tire</v>
      </c>
    </row>
    <row r="4843" ht="22.5" customHeight="1">
      <c r="A4843" s="49"/>
      <c r="C4843" s="384">
        <v>45937.0</v>
      </c>
      <c r="D4843" s="65">
        <v>7376.0</v>
      </c>
      <c r="E4843" s="445" t="s">
        <v>821</v>
      </c>
      <c r="F4843" s="386">
        <v>1.0</v>
      </c>
      <c r="G4843" s="74">
        <v>85000.0</v>
      </c>
      <c r="H4843" s="74">
        <v>0.0</v>
      </c>
      <c r="I4843" s="74">
        <f t="shared" si="1"/>
        <v>85000</v>
      </c>
      <c r="J4843" s="74">
        <f>IF(E4843="SERVICE",I4843-(I4843*50%),Vlookup(E4843,DATABASE!C:Q,10,false)*F4843)</f>
        <v>0</v>
      </c>
      <c r="K4843" s="74">
        <f>VLOOKUP(E4843,DATABASE!C:Q,7,false)</f>
        <v>43500</v>
      </c>
      <c r="L4843" s="74">
        <v>43520.0</v>
      </c>
      <c r="M4843" s="74">
        <f t="shared" si="2"/>
        <v>45000</v>
      </c>
      <c r="N4843" s="74">
        <f t="shared" si="3"/>
        <v>40000</v>
      </c>
      <c r="O4843" s="65" t="str">
        <f>VLOOKUP(E4843,DATABASE!C:Q,8,false)</f>
        <v>BIAN</v>
      </c>
      <c r="P4843" s="65">
        <f>VLOOKUP(E4843,DATABASE!C:Q,9,False)</f>
        <v>1</v>
      </c>
      <c r="Q4843" s="93" t="str">
        <f>VLOOKUP(E4843,DATABASE!C:Q,4,false)</f>
        <v>Flap</v>
      </c>
      <c r="R4843" s="93" t="str">
        <f>VLOOKUP(E4843,DATABASE!C:Q,11,false)</f>
        <v>Tire</v>
      </c>
    </row>
    <row r="4844" ht="22.5" customHeight="1">
      <c r="A4844" s="49"/>
      <c r="C4844" s="384">
        <v>45937.0</v>
      </c>
      <c r="D4844" s="65">
        <v>7377.0</v>
      </c>
      <c r="E4844" s="445" t="s">
        <v>268</v>
      </c>
      <c r="F4844" s="386">
        <v>2.0</v>
      </c>
      <c r="G4844" s="74">
        <v>720000.0</v>
      </c>
      <c r="H4844" s="74">
        <v>0.0</v>
      </c>
      <c r="I4844" s="74">
        <f t="shared" si="1"/>
        <v>1440000</v>
      </c>
      <c r="J4844" s="74">
        <f>IF(E4844="SERVICE",I4844-(I4844*50%),Vlookup(E4844,DATABASE!C:Q,10,false)*F4844)</f>
        <v>0</v>
      </c>
      <c r="K4844" s="74">
        <f>VLOOKUP(E4844,DATABASE!C:Q,7,false)</f>
        <v>653000</v>
      </c>
      <c r="L4844" s="74">
        <v>622000.0</v>
      </c>
      <c r="M4844" s="74">
        <f t="shared" si="2"/>
        <v>625000</v>
      </c>
      <c r="N4844" s="74">
        <f t="shared" si="3"/>
        <v>190000</v>
      </c>
      <c r="O4844" s="65" t="str">
        <f>VLOOKUP(E4844,DATABASE!C:Q,8,false)</f>
        <v>IBU</v>
      </c>
      <c r="P4844" s="65">
        <f>VLOOKUP(E4844,DATABASE!C:Q,9,False)</f>
        <v>1</v>
      </c>
      <c r="Q4844" s="93" t="str">
        <f>VLOOKUP(E4844,DATABASE!C:Q,4,false)</f>
        <v>Dunlop</v>
      </c>
      <c r="R4844" s="93" t="str">
        <f>VLOOKUP(E4844,DATABASE!C:Q,11,false)</f>
        <v>Tire</v>
      </c>
    </row>
    <row r="4845" ht="22.5" customHeight="1">
      <c r="A4845" s="49"/>
      <c r="C4845" s="384">
        <v>45937.0</v>
      </c>
      <c r="D4845" s="65">
        <v>7377.0</v>
      </c>
      <c r="E4845" s="445" t="s">
        <v>265</v>
      </c>
      <c r="F4845" s="386">
        <v>1.0</v>
      </c>
      <c r="G4845" s="74">
        <v>685000.0</v>
      </c>
      <c r="H4845" s="74">
        <v>0.0</v>
      </c>
      <c r="I4845" s="74">
        <f t="shared" si="1"/>
        <v>685000</v>
      </c>
      <c r="J4845" s="74">
        <f>IF(E4845="SERVICE",I4845-(I4845*50%),Vlookup(E4845,DATABASE!C:Q,10,false)*F4845)</f>
        <v>0</v>
      </c>
      <c r="K4845" s="74">
        <f>VLOOKUP(E4845,DATABASE!C:Q,7,false)</f>
        <v>628000</v>
      </c>
      <c r="L4845" s="74">
        <v>610000.0</v>
      </c>
      <c r="M4845" s="74">
        <f t="shared" si="2"/>
        <v>610000</v>
      </c>
      <c r="N4845" s="74">
        <f t="shared" si="3"/>
        <v>75000</v>
      </c>
      <c r="O4845" s="65" t="str">
        <f>VLOOKUP(E4845,DATABASE!C:Q,8,false)</f>
        <v>IBU</v>
      </c>
      <c r="P4845" s="65">
        <f>VLOOKUP(E4845,DATABASE!C:Q,9,False)</f>
        <v>1</v>
      </c>
      <c r="Q4845" s="93" t="str">
        <f>VLOOKUP(E4845,DATABASE!C:Q,4,false)</f>
        <v>Dunlop</v>
      </c>
      <c r="R4845" s="93" t="str">
        <f>VLOOKUP(E4845,DATABASE!C:Q,11,false)</f>
        <v>Tire</v>
      </c>
    </row>
    <row r="4846" ht="22.5" customHeight="1">
      <c r="A4846" s="49"/>
      <c r="C4846" s="384">
        <v>45937.0</v>
      </c>
      <c r="D4846" s="65">
        <v>7378.0</v>
      </c>
      <c r="E4846" s="445" t="s">
        <v>262</v>
      </c>
      <c r="F4846" s="386">
        <v>1.0</v>
      </c>
      <c r="G4846" s="74">
        <v>110000.0</v>
      </c>
      <c r="H4846" s="74">
        <v>0.0</v>
      </c>
      <c r="I4846" s="74">
        <f t="shared" si="1"/>
        <v>110000</v>
      </c>
      <c r="J4846" s="74">
        <f>IF(E4846="SERVICE",I4846-(I4846*50%),Vlookup(E4846,DATABASE!C:Q,10,false)*F4846)</f>
        <v>5000</v>
      </c>
      <c r="K4846" s="74">
        <f>VLOOKUP(E4846,DATABASE!C:Q,7,false)</f>
        <v>0</v>
      </c>
      <c r="L4846" s="74">
        <v>0.0</v>
      </c>
      <c r="M4846" s="74">
        <f t="shared" si="2"/>
        <v>0</v>
      </c>
      <c r="N4846" s="74">
        <f t="shared" si="3"/>
        <v>105000</v>
      </c>
      <c r="O4846" s="65" t="str">
        <f>VLOOKUP(E4846,DATABASE!C:Q,8,false)</f>
        <v>IBU</v>
      </c>
      <c r="P4846" s="65">
        <f>VLOOKUP(E4846,DATABASE!C:Q,9,False)</f>
        <v>0</v>
      </c>
      <c r="Q4846" s="93" t="str">
        <f>VLOOKUP(E4846,DATABASE!C:Q,4,false)</f>
        <v>SPOORING SS/CARRY LOS BAK</v>
      </c>
      <c r="R4846" s="93" t="str">
        <f>VLOOKUP(E4846,DATABASE!C:Q,11,false)</f>
        <v>SERVICE</v>
      </c>
    </row>
    <row r="4847" ht="22.5" customHeight="1">
      <c r="A4847" s="49"/>
      <c r="C4847" s="384">
        <v>45937.0</v>
      </c>
      <c r="D4847" s="65">
        <v>7378.0</v>
      </c>
      <c r="E4847" s="445" t="s">
        <v>251</v>
      </c>
      <c r="F4847" s="386">
        <v>1.0</v>
      </c>
      <c r="G4847" s="74">
        <v>150000.0</v>
      </c>
      <c r="H4847" s="74">
        <v>0.0</v>
      </c>
      <c r="I4847" s="74">
        <f t="shared" si="1"/>
        <v>150000</v>
      </c>
      <c r="J4847" s="74">
        <f>IF(E4847="SERVICE",I4847-(I4847*50%),Vlookup(E4847,DATABASE!C:Q,10,false)*F4847)</f>
        <v>75000</v>
      </c>
      <c r="K4847" s="74">
        <f>VLOOKUP(E4847,DATABASE!C:Q,7,false)</f>
        <v>0</v>
      </c>
      <c r="L4847" s="74">
        <v>0.0</v>
      </c>
      <c r="M4847" s="74">
        <f t="shared" si="2"/>
        <v>0</v>
      </c>
      <c r="N4847" s="74">
        <f t="shared" si="3"/>
        <v>75000</v>
      </c>
      <c r="O4847" s="65" t="str">
        <f>VLOOKUP(E4847,DATABASE!C:Q,8,false)</f>
        <v>IBU</v>
      </c>
      <c r="P4847" s="65">
        <f>VLOOKUP(E4847,DATABASE!C:Q,9,False)</f>
        <v>0</v>
      </c>
      <c r="Q4847" s="93" t="str">
        <f>VLOOKUP(E4847,DATABASE!C:Q,4,false)</f>
        <v>SERVICE</v>
      </c>
      <c r="R4847" s="93" t="str">
        <f>VLOOKUP(E4847,DATABASE!C:Q,11,false)</f>
        <v>SERVICE</v>
      </c>
    </row>
    <row r="4848" ht="22.5" customHeight="1">
      <c r="A4848" s="49"/>
      <c r="C4848" s="384">
        <v>45937.0</v>
      </c>
      <c r="D4848" s="65">
        <v>7378.0</v>
      </c>
      <c r="E4848" s="385" t="s">
        <v>299</v>
      </c>
      <c r="F4848" s="386">
        <v>2.0</v>
      </c>
      <c r="G4848" s="74">
        <v>30000.0</v>
      </c>
      <c r="H4848" s="74">
        <v>0.0</v>
      </c>
      <c r="I4848" s="74">
        <f t="shared" si="1"/>
        <v>60000</v>
      </c>
      <c r="J4848" s="74">
        <f>IF(E4848="SERVICE",I4848-(I4848*50%),Vlookup(E4848,DATABASE!C:Q,10,false)*F4848)</f>
        <v>0</v>
      </c>
      <c r="K4848" s="74">
        <v>0.0</v>
      </c>
      <c r="L4848" s="74">
        <v>0.0</v>
      </c>
      <c r="M4848" s="74">
        <f t="shared" si="2"/>
        <v>0</v>
      </c>
      <c r="N4848" s="74">
        <f t="shared" si="3"/>
        <v>60000</v>
      </c>
      <c r="O4848" s="65" t="str">
        <f>VLOOKUP(E4848,DATABASE!C:Q,8,false)</f>
        <v>BIAN</v>
      </c>
      <c r="P4848" s="65">
        <f>VLOOKUP(E4848,DATABASE!C:Q,9,False)</f>
        <v>0</v>
      </c>
      <c r="Q4848" s="93" t="str">
        <f>VLOOKUP(E4848,DATABASE!C:Q,4,false)</f>
        <v>Balancing</v>
      </c>
      <c r="R4848" s="93" t="str">
        <f>VLOOKUP(E4848,DATABASE!C:Q,11,false)</f>
        <v>COMPLEMENTARY</v>
      </c>
    </row>
    <row r="4849" ht="22.5" customHeight="1">
      <c r="A4849" s="49"/>
      <c r="C4849" s="384">
        <v>45937.0</v>
      </c>
      <c r="D4849" s="65">
        <v>7379.0</v>
      </c>
      <c r="E4849" s="445" t="s">
        <v>932</v>
      </c>
      <c r="F4849" s="386">
        <v>2.0</v>
      </c>
      <c r="G4849" s="74">
        <v>685000.0</v>
      </c>
      <c r="H4849" s="74">
        <v>0.0</v>
      </c>
      <c r="I4849" s="74">
        <f t="shared" si="1"/>
        <v>1370000</v>
      </c>
      <c r="J4849" s="74">
        <f>IF(E4849="SERVICE",I4849-(I4849*50%),Vlookup(E4849,DATABASE!C:Q,10,false)*F4849)</f>
        <v>0</v>
      </c>
      <c r="K4849" s="74">
        <f>VLOOKUP(E4849,DATABASE!C:Q,7,false)</f>
        <v>601000</v>
      </c>
      <c r="L4849" s="74">
        <v>595000.0</v>
      </c>
      <c r="M4849" s="74">
        <f t="shared" si="2"/>
        <v>595000</v>
      </c>
      <c r="N4849" s="74">
        <f t="shared" si="3"/>
        <v>180000</v>
      </c>
      <c r="O4849" s="65" t="str">
        <f>VLOOKUP(E4849,DATABASE!C:Q,8,false)</f>
        <v>IBU</v>
      </c>
      <c r="P4849" s="65">
        <f>VLOOKUP(E4849,DATABASE!C:Q,9,False)</f>
        <v>1</v>
      </c>
      <c r="Q4849" s="93" t="str">
        <f>VLOOKUP(E4849,DATABASE!C:Q,4,false)</f>
        <v>Dunlop</v>
      </c>
      <c r="R4849" s="93" t="str">
        <f>VLOOKUP(E4849,DATABASE!C:Q,11,false)</f>
        <v>Tire</v>
      </c>
    </row>
    <row r="4850" ht="22.5" customHeight="1">
      <c r="A4850" s="49"/>
      <c r="C4850" s="384">
        <v>45937.0</v>
      </c>
      <c r="D4850" s="65">
        <v>7380.0</v>
      </c>
      <c r="E4850" s="445" t="s">
        <v>275</v>
      </c>
      <c r="F4850" s="386">
        <v>1.0</v>
      </c>
      <c r="G4850" s="74">
        <v>850000.0</v>
      </c>
      <c r="H4850" s="74">
        <v>0.0</v>
      </c>
      <c r="I4850" s="74">
        <f t="shared" si="1"/>
        <v>850000</v>
      </c>
      <c r="J4850" s="74">
        <f>IF(E4850="SERVICE",I4850-(I4850*50%),Vlookup(E4850,DATABASE!C:Q,10,false)*F4850)</f>
        <v>0</v>
      </c>
      <c r="K4850" s="74">
        <f>VLOOKUP(E4850,DATABASE!C:Q,7,false)</f>
        <v>782000</v>
      </c>
      <c r="L4850" s="74">
        <v>745000.0</v>
      </c>
      <c r="M4850" s="74">
        <f t="shared" si="2"/>
        <v>745000</v>
      </c>
      <c r="N4850" s="74">
        <f t="shared" si="3"/>
        <v>105000</v>
      </c>
      <c r="O4850" s="65" t="str">
        <f>VLOOKUP(E4850,DATABASE!C:Q,8,false)</f>
        <v>IBU</v>
      </c>
      <c r="P4850" s="65">
        <f>VLOOKUP(E4850,DATABASE!C:Q,9,False)</f>
        <v>1</v>
      </c>
      <c r="Q4850" s="93" t="str">
        <f>VLOOKUP(E4850,DATABASE!C:Q,4,false)</f>
        <v>Dunlop</v>
      </c>
      <c r="R4850" s="93" t="str">
        <f>VLOOKUP(E4850,DATABASE!C:Q,11,false)</f>
        <v>Tire</v>
      </c>
    </row>
    <row r="4851" ht="22.5" customHeight="1">
      <c r="A4851" s="49"/>
      <c r="C4851" s="384">
        <v>45937.0</v>
      </c>
      <c r="D4851" s="65">
        <v>7381.0</v>
      </c>
      <c r="E4851" s="445" t="s">
        <v>1025</v>
      </c>
      <c r="F4851" s="386">
        <v>1.0</v>
      </c>
      <c r="G4851" s="74">
        <v>785000.0</v>
      </c>
      <c r="H4851" s="74">
        <v>0.0</v>
      </c>
      <c r="I4851" s="74">
        <f t="shared" si="1"/>
        <v>785000</v>
      </c>
      <c r="J4851" s="74">
        <f>IF(E4851="SERVICE",I4851-(I4851*50%),Vlookup(E4851,DATABASE!C:Q,10,false)*F4851)</f>
        <v>0</v>
      </c>
      <c r="K4851" s="74">
        <f>VLOOKUP(E4851,DATABASE!C:Q,7,false)</f>
        <v>683020.8</v>
      </c>
      <c r="L4851" s="74">
        <v>683020.8</v>
      </c>
      <c r="M4851" s="74">
        <f t="shared" si="2"/>
        <v>685000</v>
      </c>
      <c r="N4851" s="74">
        <f t="shared" si="3"/>
        <v>100000</v>
      </c>
      <c r="O4851" s="65" t="str">
        <f>VLOOKUP(E4851,DATABASE!C:Q,8,false)</f>
        <v>IBU</v>
      </c>
      <c r="P4851" s="65">
        <f>VLOOKUP(E4851,DATABASE!C:Q,9,False)</f>
        <v>1</v>
      </c>
      <c r="Q4851" s="93" t="str">
        <f>VLOOKUP(E4851,DATABASE!C:Q,4,false)</f>
        <v>Bridgestone</v>
      </c>
      <c r="R4851" s="93" t="str">
        <f>VLOOKUP(E4851,DATABASE!C:Q,11,false)</f>
        <v>Tire</v>
      </c>
    </row>
    <row r="4852" ht="22.5" customHeight="1">
      <c r="A4852" s="49"/>
      <c r="C4852" s="384">
        <v>45937.0</v>
      </c>
      <c r="D4852" s="65">
        <v>7382.0</v>
      </c>
      <c r="E4852" s="445" t="s">
        <v>256</v>
      </c>
      <c r="F4852" s="386">
        <v>1.0</v>
      </c>
      <c r="G4852" s="74">
        <v>130000.0</v>
      </c>
      <c r="H4852" s="74">
        <v>0.0</v>
      </c>
      <c r="I4852" s="74">
        <f t="shared" si="1"/>
        <v>130000</v>
      </c>
      <c r="J4852" s="74">
        <f>IF(E4852="SERVICE",I4852-(I4852*50%),Vlookup(E4852,DATABASE!C:Q,10,false)*F4852)</f>
        <v>10000</v>
      </c>
      <c r="K4852" s="74">
        <f>VLOOKUP(E4852,DATABASE!C:Q,7,false)</f>
        <v>0</v>
      </c>
      <c r="L4852" s="74">
        <v>0.0</v>
      </c>
      <c r="M4852" s="74">
        <f t="shared" si="2"/>
        <v>0</v>
      </c>
      <c r="N4852" s="74">
        <f t="shared" si="3"/>
        <v>120000</v>
      </c>
      <c r="O4852" s="65" t="str">
        <f>VLOOKUP(E4852,DATABASE!C:Q,8,false)</f>
        <v>IBU</v>
      </c>
      <c r="P4852" s="65">
        <f>VLOOKUP(E4852,DATABASE!C:Q,9,False)</f>
        <v>0</v>
      </c>
      <c r="Q4852" s="93" t="str">
        <f>VLOOKUP(E4852,DATABASE!C:Q,4,false)</f>
        <v>SPOORING</v>
      </c>
      <c r="R4852" s="93" t="str">
        <f>VLOOKUP(E4852,DATABASE!C:Q,11,false)</f>
        <v>SERVICE</v>
      </c>
    </row>
    <row r="4853" ht="22.5" customHeight="1">
      <c r="A4853" s="49"/>
      <c r="C4853" s="384">
        <v>45937.0</v>
      </c>
      <c r="D4853" s="65">
        <v>7382.0</v>
      </c>
      <c r="E4853" s="445" t="s">
        <v>251</v>
      </c>
      <c r="F4853" s="386">
        <v>1.0</v>
      </c>
      <c r="G4853" s="74">
        <v>150000.0</v>
      </c>
      <c r="H4853" s="74">
        <v>0.0</v>
      </c>
      <c r="I4853" s="74">
        <f t="shared" si="1"/>
        <v>150000</v>
      </c>
      <c r="J4853" s="74">
        <f>IF(E4853="SERVICE",I4853-(I4853*50%),Vlookup(E4853,DATABASE!C:Q,10,false)*F4853)</f>
        <v>75000</v>
      </c>
      <c r="K4853" s="74">
        <f>VLOOKUP(E4853,DATABASE!C:Q,7,false)</f>
        <v>0</v>
      </c>
      <c r="L4853" s="74">
        <v>0.0</v>
      </c>
      <c r="M4853" s="74">
        <f t="shared" si="2"/>
        <v>0</v>
      </c>
      <c r="N4853" s="74">
        <f t="shared" si="3"/>
        <v>75000</v>
      </c>
      <c r="O4853" s="65" t="str">
        <f>VLOOKUP(E4853,DATABASE!C:Q,8,false)</f>
        <v>IBU</v>
      </c>
      <c r="P4853" s="65">
        <f>VLOOKUP(E4853,DATABASE!C:Q,9,False)</f>
        <v>0</v>
      </c>
      <c r="Q4853" s="93" t="str">
        <f>VLOOKUP(E4853,DATABASE!C:Q,4,false)</f>
        <v>SERVICE</v>
      </c>
      <c r="R4853" s="93" t="str">
        <f>VLOOKUP(E4853,DATABASE!C:Q,11,false)</f>
        <v>SERVICE</v>
      </c>
    </row>
    <row r="4854" ht="22.5" customHeight="1">
      <c r="A4854" s="49"/>
      <c r="C4854" s="384">
        <v>45937.0</v>
      </c>
      <c r="D4854" s="65">
        <v>7382.0</v>
      </c>
      <c r="E4854" s="385" t="s">
        <v>299</v>
      </c>
      <c r="F4854" s="386">
        <v>2.0</v>
      </c>
      <c r="G4854" s="74">
        <v>30000.0</v>
      </c>
      <c r="H4854" s="74">
        <v>0.0</v>
      </c>
      <c r="I4854" s="74">
        <f t="shared" si="1"/>
        <v>60000</v>
      </c>
      <c r="J4854" s="74">
        <f>IF(E4854="SERVICE",I4854-(I4854*50%),Vlookup(E4854,DATABASE!C:Q,10,false)*F4854)</f>
        <v>0</v>
      </c>
      <c r="K4854" s="74">
        <v>0.0</v>
      </c>
      <c r="L4854" s="74">
        <v>0.0</v>
      </c>
      <c r="M4854" s="74">
        <f t="shared" si="2"/>
        <v>0</v>
      </c>
      <c r="N4854" s="74">
        <f t="shared" si="3"/>
        <v>60000</v>
      </c>
      <c r="O4854" s="65" t="str">
        <f>VLOOKUP(E4854,DATABASE!C:Q,8,false)</f>
        <v>BIAN</v>
      </c>
      <c r="P4854" s="65">
        <f>VLOOKUP(E4854,DATABASE!C:Q,9,False)</f>
        <v>0</v>
      </c>
      <c r="Q4854" s="93" t="str">
        <f>VLOOKUP(E4854,DATABASE!C:Q,4,false)</f>
        <v>Balancing</v>
      </c>
      <c r="R4854" s="93" t="str">
        <f>VLOOKUP(E4854,DATABASE!C:Q,11,false)</f>
        <v>COMPLEMENTARY</v>
      </c>
    </row>
    <row r="4855" ht="22.5" customHeight="1">
      <c r="A4855" s="49"/>
      <c r="C4855" s="384">
        <v>45937.0</v>
      </c>
      <c r="D4855" s="65">
        <v>7383.0</v>
      </c>
      <c r="E4855" s="445" t="s">
        <v>1743</v>
      </c>
      <c r="F4855" s="386">
        <v>2.0</v>
      </c>
      <c r="G4855" s="74">
        <v>75000.0</v>
      </c>
      <c r="H4855" s="74">
        <v>0.0</v>
      </c>
      <c r="I4855" s="74">
        <f t="shared" si="1"/>
        <v>150000</v>
      </c>
      <c r="J4855" s="74">
        <f>IF(E4855="SERVICE",I4855-(I4855*50%),Vlookup(E4855,DATABASE!C:Q,10,false)*F4855)</f>
        <v>0</v>
      </c>
      <c r="K4855" s="74">
        <f>VLOOKUP(E4855,DATABASE!C:Q,7,false)</f>
        <v>45000</v>
      </c>
      <c r="L4855" s="74">
        <v>45000.0</v>
      </c>
      <c r="M4855" s="74">
        <f t="shared" si="2"/>
        <v>45000</v>
      </c>
      <c r="N4855" s="74">
        <f t="shared" si="3"/>
        <v>60000</v>
      </c>
      <c r="O4855" s="65" t="str">
        <f>VLOOKUP(E4855,DATABASE!C:Q,8,false)</f>
        <v>BIAN</v>
      </c>
      <c r="P4855" s="65">
        <f>VLOOKUP(E4855,DATABASE!C:Q,9,False)</f>
        <v>1</v>
      </c>
      <c r="Q4855" s="93" t="str">
        <f>VLOOKUP(E4855,DATABASE!C:Q,4,false)</f>
        <v>FLAP</v>
      </c>
      <c r="R4855" s="93" t="str">
        <f>VLOOKUP(E4855,DATABASE!C:Q,11,false)</f>
        <v>Tire</v>
      </c>
    </row>
    <row r="4856" ht="22.5" customHeight="1">
      <c r="A4856" s="49"/>
      <c r="C4856" s="384">
        <v>45937.0</v>
      </c>
      <c r="D4856" s="65">
        <v>7384.0</v>
      </c>
      <c r="E4856" s="445" t="s">
        <v>932</v>
      </c>
      <c r="F4856" s="386">
        <v>2.0</v>
      </c>
      <c r="G4856" s="74">
        <v>685000.0</v>
      </c>
      <c r="H4856" s="74">
        <v>0.0</v>
      </c>
      <c r="I4856" s="74">
        <f t="shared" si="1"/>
        <v>1370000</v>
      </c>
      <c r="J4856" s="74">
        <f>IF(E4856="SERVICE",I4856-(I4856*50%),Vlookup(E4856,DATABASE!C:Q,10,false)*F4856)</f>
        <v>0</v>
      </c>
      <c r="K4856" s="74">
        <f>VLOOKUP(E4856,DATABASE!C:Q,7,false)</f>
        <v>601000</v>
      </c>
      <c r="L4856" s="74">
        <v>595000.0</v>
      </c>
      <c r="M4856" s="74">
        <f t="shared" si="2"/>
        <v>595000</v>
      </c>
      <c r="N4856" s="74">
        <f t="shared" si="3"/>
        <v>180000</v>
      </c>
      <c r="O4856" s="65" t="str">
        <f>VLOOKUP(E4856,DATABASE!C:Q,8,false)</f>
        <v>IBU</v>
      </c>
      <c r="P4856" s="65">
        <f>VLOOKUP(E4856,DATABASE!C:Q,9,False)</f>
        <v>1</v>
      </c>
      <c r="Q4856" s="93" t="str">
        <f>VLOOKUP(E4856,DATABASE!C:Q,4,false)</f>
        <v>Dunlop</v>
      </c>
      <c r="R4856" s="93" t="str">
        <f>VLOOKUP(E4856,DATABASE!C:Q,11,false)</f>
        <v>Tire</v>
      </c>
    </row>
    <row r="4857" ht="22.5" customHeight="1">
      <c r="A4857" s="49"/>
      <c r="C4857" s="384">
        <v>45937.0</v>
      </c>
      <c r="D4857" s="65">
        <v>7385.0</v>
      </c>
      <c r="E4857" s="445" t="s">
        <v>256</v>
      </c>
      <c r="F4857" s="386">
        <v>1.0</v>
      </c>
      <c r="G4857" s="74">
        <v>130000.0</v>
      </c>
      <c r="H4857" s="74">
        <v>0.0</v>
      </c>
      <c r="I4857" s="74">
        <f t="shared" si="1"/>
        <v>130000</v>
      </c>
      <c r="J4857" s="74">
        <f>IF(E4857="SERVICE",I4857-(I4857*50%),Vlookup(E4857,DATABASE!C:Q,10,false)*F4857)</f>
        <v>10000</v>
      </c>
      <c r="K4857" s="74">
        <f>VLOOKUP(E4857,DATABASE!C:Q,7,false)</f>
        <v>0</v>
      </c>
      <c r="L4857" s="74">
        <v>0.0</v>
      </c>
      <c r="M4857" s="74">
        <f t="shared" si="2"/>
        <v>0</v>
      </c>
      <c r="N4857" s="74">
        <f t="shared" si="3"/>
        <v>120000</v>
      </c>
      <c r="O4857" s="65" t="str">
        <f>VLOOKUP(E4857,DATABASE!C:Q,8,false)</f>
        <v>IBU</v>
      </c>
      <c r="P4857" s="65">
        <f>VLOOKUP(E4857,DATABASE!C:Q,9,False)</f>
        <v>0</v>
      </c>
      <c r="Q4857" s="93" t="str">
        <f>VLOOKUP(E4857,DATABASE!C:Q,4,false)</f>
        <v>SPOORING</v>
      </c>
      <c r="R4857" s="93" t="str">
        <f>VLOOKUP(E4857,DATABASE!C:Q,11,false)</f>
        <v>SERVICE</v>
      </c>
    </row>
    <row r="4858" ht="22.5" customHeight="1">
      <c r="A4858" s="49"/>
      <c r="C4858" s="384">
        <v>45937.0</v>
      </c>
      <c r="D4858" s="65">
        <v>7385.0</v>
      </c>
      <c r="E4858" s="445" t="s">
        <v>251</v>
      </c>
      <c r="F4858" s="386">
        <v>1.0</v>
      </c>
      <c r="G4858" s="74">
        <v>150000.0</v>
      </c>
      <c r="H4858" s="74">
        <v>0.0</v>
      </c>
      <c r="I4858" s="74">
        <f t="shared" si="1"/>
        <v>150000</v>
      </c>
      <c r="J4858" s="74">
        <f>IF(E4858="SERVICE",I4858-(I4858*50%),Vlookup(E4858,DATABASE!C:Q,10,false)*F4858)</f>
        <v>75000</v>
      </c>
      <c r="K4858" s="74">
        <f>VLOOKUP(E4858,DATABASE!C:Q,7,false)</f>
        <v>0</v>
      </c>
      <c r="L4858" s="74">
        <v>0.0</v>
      </c>
      <c r="M4858" s="74">
        <f t="shared" si="2"/>
        <v>0</v>
      </c>
      <c r="N4858" s="74">
        <f t="shared" si="3"/>
        <v>75000</v>
      </c>
      <c r="O4858" s="65" t="str">
        <f>VLOOKUP(E4858,DATABASE!C:Q,8,false)</f>
        <v>IBU</v>
      </c>
      <c r="P4858" s="65">
        <f>VLOOKUP(E4858,DATABASE!C:Q,9,False)</f>
        <v>0</v>
      </c>
      <c r="Q4858" s="93" t="str">
        <f>VLOOKUP(E4858,DATABASE!C:Q,4,false)</f>
        <v>SERVICE</v>
      </c>
      <c r="R4858" s="93" t="str">
        <f>VLOOKUP(E4858,DATABASE!C:Q,11,false)</f>
        <v>SERVICE</v>
      </c>
    </row>
    <row r="4859" ht="22.5" customHeight="1">
      <c r="A4859" s="49"/>
      <c r="C4859" s="384">
        <v>45937.0</v>
      </c>
      <c r="D4859" s="65">
        <v>7387.0</v>
      </c>
      <c r="E4859" s="445" t="s">
        <v>2155</v>
      </c>
      <c r="F4859" s="386">
        <v>1.0</v>
      </c>
      <c r="G4859" s="74">
        <v>640000.0</v>
      </c>
      <c r="H4859" s="74">
        <v>0.0</v>
      </c>
      <c r="I4859" s="74">
        <f t="shared" si="1"/>
        <v>640000</v>
      </c>
      <c r="J4859" s="74">
        <f>IF(E4859="SERVICE",I4859-(I4859*50%),Vlookup(E4859,DATABASE!C:Q,10,false)*F4859)</f>
        <v>0</v>
      </c>
      <c r="K4859" s="74">
        <f>VLOOKUP(E4859,DATABASE!C:Q,7,false)</f>
        <v>555000</v>
      </c>
      <c r="L4859" s="74">
        <v>555000.0</v>
      </c>
      <c r="M4859" s="74">
        <f t="shared" si="2"/>
        <v>555000</v>
      </c>
      <c r="N4859" s="74">
        <f t="shared" si="3"/>
        <v>85000</v>
      </c>
      <c r="O4859" s="65" t="str">
        <f>VLOOKUP(E4859,DATABASE!C:Q,8,false)</f>
        <v>BIAN</v>
      </c>
      <c r="P4859" s="65">
        <f>VLOOKUP(E4859,DATABASE!C:Q,9,False)</f>
        <v>1</v>
      </c>
      <c r="Q4859" s="93" t="str">
        <f>VLOOKUP(E4859,DATABASE!C:Q,4,false)</f>
        <v>SAILUN</v>
      </c>
      <c r="R4859" s="93" t="str">
        <f>VLOOKUP(E4859,DATABASE!C:Q,11,false)</f>
        <v>Tire</v>
      </c>
    </row>
    <row r="4860" ht="22.5" customHeight="1">
      <c r="A4860" s="49"/>
      <c r="C4860" s="384">
        <v>45938.0</v>
      </c>
      <c r="D4860" s="65">
        <v>7388.0</v>
      </c>
      <c r="E4860" s="385" t="s">
        <v>299</v>
      </c>
      <c r="F4860" s="386">
        <v>2.0</v>
      </c>
      <c r="G4860" s="74">
        <v>30000.0</v>
      </c>
      <c r="H4860" s="74">
        <v>0.0</v>
      </c>
      <c r="I4860" s="74">
        <f t="shared" si="1"/>
        <v>60000</v>
      </c>
      <c r="J4860" s="74">
        <f>IF(E4860="SERVICE",I4860-(I4860*50%),Vlookup(E4860,DATABASE!C:Q,10,false)*F4860)</f>
        <v>0</v>
      </c>
      <c r="K4860" s="74">
        <v>0.0</v>
      </c>
      <c r="L4860" s="74">
        <v>0.0</v>
      </c>
      <c r="M4860" s="74">
        <f t="shared" si="2"/>
        <v>0</v>
      </c>
      <c r="N4860" s="74">
        <f t="shared" si="3"/>
        <v>60000</v>
      </c>
      <c r="O4860" s="65" t="str">
        <f>VLOOKUP(E4860,DATABASE!C:Q,8,false)</f>
        <v>BIAN</v>
      </c>
      <c r="P4860" s="65">
        <f>VLOOKUP(E4860,DATABASE!C:Q,9,False)</f>
        <v>0</v>
      </c>
      <c r="Q4860" s="93" t="str">
        <f>VLOOKUP(E4860,DATABASE!C:Q,4,false)</f>
        <v>Balancing</v>
      </c>
      <c r="R4860" s="93" t="str">
        <f>VLOOKUP(E4860,DATABASE!C:Q,11,false)</f>
        <v>COMPLEMENTARY</v>
      </c>
    </row>
    <row r="4861" ht="22.5" customHeight="1">
      <c r="A4861" s="49"/>
      <c r="C4861" s="384">
        <v>45938.0</v>
      </c>
      <c r="D4861" s="65">
        <v>7389.0</v>
      </c>
      <c r="E4861" s="445" t="s">
        <v>647</v>
      </c>
      <c r="F4861" s="386">
        <v>2.0</v>
      </c>
      <c r="G4861" s="74">
        <v>1520000.0</v>
      </c>
      <c r="H4861" s="74">
        <v>0.0</v>
      </c>
      <c r="I4861" s="74">
        <f t="shared" si="1"/>
        <v>3040000</v>
      </c>
      <c r="J4861" s="74">
        <f>IF(E4861="SERVICE",I4861-(I4861*50%),Vlookup(E4861,DATABASE!C:Q,10,false)*F4861)</f>
        <v>0</v>
      </c>
      <c r="K4861" s="74">
        <f>VLOOKUP(E4861,DATABASE!C:Q,7,false)</f>
        <v>1420000</v>
      </c>
      <c r="L4861" s="74">
        <v>1420000.0</v>
      </c>
      <c r="M4861" s="74">
        <f t="shared" si="2"/>
        <v>1420000</v>
      </c>
      <c r="N4861" s="74">
        <f t="shared" si="3"/>
        <v>200000</v>
      </c>
      <c r="O4861" s="65" t="str">
        <f>VLOOKUP(E4861,DATABASE!C:Q,8,false)</f>
        <v>BIAN</v>
      </c>
      <c r="P4861" s="65">
        <f>VLOOKUP(E4861,DATABASE!C:Q,9,False)</f>
        <v>1</v>
      </c>
      <c r="Q4861" s="93" t="str">
        <f>VLOOKUP(E4861,DATABASE!C:Q,4,false)</f>
        <v>G. YEAR</v>
      </c>
      <c r="R4861" s="93" t="str">
        <f>VLOOKUP(E4861,DATABASE!C:Q,11,false)</f>
        <v>Tire</v>
      </c>
    </row>
    <row r="4862" ht="22.5" customHeight="1">
      <c r="A4862" s="49"/>
      <c r="C4862" s="384">
        <v>45938.0</v>
      </c>
      <c r="D4862" s="65">
        <v>7390.0</v>
      </c>
      <c r="E4862" s="445" t="s">
        <v>1704</v>
      </c>
      <c r="F4862" s="386">
        <v>2.0</v>
      </c>
      <c r="G4862" s="74">
        <v>800000.0</v>
      </c>
      <c r="H4862" s="74">
        <v>0.0</v>
      </c>
      <c r="I4862" s="74">
        <f t="shared" si="1"/>
        <v>1600000</v>
      </c>
      <c r="J4862" s="74">
        <f>IF(E4862="SERVICE",I4862-(I4862*50%),Vlookup(E4862,DATABASE!C:Q,10,false)*F4862)</f>
        <v>0</v>
      </c>
      <c r="K4862" s="74">
        <f>VLOOKUP(E4862,DATABASE!C:Q,7,false)</f>
        <v>787500</v>
      </c>
      <c r="L4862" s="74">
        <v>695000.0</v>
      </c>
      <c r="M4862" s="74">
        <f t="shared" si="2"/>
        <v>695000</v>
      </c>
      <c r="N4862" s="74">
        <f t="shared" si="3"/>
        <v>210000</v>
      </c>
      <c r="O4862" s="65" t="str">
        <f>VLOOKUP(E4862,DATABASE!C:Q,8,false)</f>
        <v>BIAN</v>
      </c>
      <c r="P4862" s="65">
        <f>VLOOKUP(E4862,DATABASE!C:Q,9,False)</f>
        <v>1</v>
      </c>
      <c r="Q4862" s="93" t="str">
        <f>VLOOKUP(E4862,DATABASE!C:Q,4,false)</f>
        <v>GT</v>
      </c>
      <c r="R4862" s="93" t="str">
        <f>VLOOKUP(E4862,DATABASE!C:Q,11,false)</f>
        <v>Tire</v>
      </c>
    </row>
    <row r="4863" ht="22.5" customHeight="1">
      <c r="A4863" s="49"/>
      <c r="C4863" s="384">
        <v>45938.0</v>
      </c>
      <c r="D4863" s="65">
        <v>7391.0</v>
      </c>
      <c r="E4863" s="445" t="s">
        <v>932</v>
      </c>
      <c r="F4863" s="386">
        <v>1.0</v>
      </c>
      <c r="G4863" s="74">
        <v>700000.0</v>
      </c>
      <c r="H4863" s="74">
        <v>0.0</v>
      </c>
      <c r="I4863" s="74">
        <f t="shared" si="1"/>
        <v>700000</v>
      </c>
      <c r="J4863" s="74">
        <f>IF(E4863="SERVICE",I4863-(I4863*50%),Vlookup(E4863,DATABASE!C:Q,10,false)*F4863)</f>
        <v>0</v>
      </c>
      <c r="K4863" s="74">
        <f>VLOOKUP(E4863,DATABASE!C:Q,7,false)</f>
        <v>601000</v>
      </c>
      <c r="L4863" s="74">
        <v>595000.0</v>
      </c>
      <c r="M4863" s="74">
        <f t="shared" si="2"/>
        <v>595000</v>
      </c>
      <c r="N4863" s="74">
        <f t="shared" si="3"/>
        <v>105000</v>
      </c>
      <c r="O4863" s="65" t="str">
        <f>VLOOKUP(E4863,DATABASE!C:Q,8,false)</f>
        <v>IBU</v>
      </c>
      <c r="P4863" s="65">
        <f>VLOOKUP(E4863,DATABASE!C:Q,9,False)</f>
        <v>1</v>
      </c>
      <c r="Q4863" s="93" t="str">
        <f>VLOOKUP(E4863,DATABASE!C:Q,4,false)</f>
        <v>Dunlop</v>
      </c>
      <c r="R4863" s="93" t="str">
        <f>VLOOKUP(E4863,DATABASE!C:Q,11,false)</f>
        <v>Tire</v>
      </c>
    </row>
    <row r="4864" ht="22.5" customHeight="1">
      <c r="A4864" s="49"/>
      <c r="C4864" s="384">
        <v>45938.0</v>
      </c>
      <c r="D4864" s="65">
        <v>7392.0</v>
      </c>
      <c r="E4864" s="445" t="s">
        <v>1394</v>
      </c>
      <c r="F4864" s="386">
        <v>4.0</v>
      </c>
      <c r="G4864" s="74">
        <v>540000.0</v>
      </c>
      <c r="H4864" s="74">
        <v>0.0</v>
      </c>
      <c r="I4864" s="74">
        <f t="shared" si="1"/>
        <v>2160000</v>
      </c>
      <c r="J4864" s="74">
        <f>IF(E4864="SERVICE",I4864-(I4864*50%),Vlookup(E4864,DATABASE!C:Q,10,false)*F4864)</f>
        <v>0</v>
      </c>
      <c r="K4864" s="74">
        <f>VLOOKUP(E4864,DATABASE!C:Q,7,false)</f>
        <v>465000</v>
      </c>
      <c r="L4864" s="74">
        <v>455000.0</v>
      </c>
      <c r="M4864" s="74">
        <f t="shared" si="2"/>
        <v>455000</v>
      </c>
      <c r="N4864" s="74">
        <f t="shared" si="3"/>
        <v>340000</v>
      </c>
      <c r="O4864" s="65" t="str">
        <f>VLOOKUP(E4864,DATABASE!C:Q,8,false)</f>
        <v>IBU</v>
      </c>
      <c r="P4864" s="65">
        <f>VLOOKUP(E4864,DATABASE!C:Q,9,False)</f>
        <v>1</v>
      </c>
      <c r="Q4864" s="93" t="str">
        <f>VLOOKUP(E4864,DATABASE!C:Q,4,false)</f>
        <v>Dunlop</v>
      </c>
      <c r="R4864" s="93" t="str">
        <f>VLOOKUP(E4864,DATABASE!C:Q,11,false)</f>
        <v>Tire</v>
      </c>
    </row>
    <row r="4865" ht="22.5" customHeight="1">
      <c r="A4865" s="49"/>
      <c r="C4865" s="384">
        <v>45938.0</v>
      </c>
      <c r="D4865" s="65">
        <v>7392.0</v>
      </c>
      <c r="E4865" s="385" t="s">
        <v>299</v>
      </c>
      <c r="F4865" s="386">
        <v>2.0</v>
      </c>
      <c r="G4865" s="74">
        <v>30000.0</v>
      </c>
      <c r="H4865" s="74">
        <v>0.0</v>
      </c>
      <c r="I4865" s="74">
        <f t="shared" si="1"/>
        <v>60000</v>
      </c>
      <c r="J4865" s="74">
        <f>IF(E4865="SERVICE",I4865-(I4865*50%),Vlookup(E4865,DATABASE!C:Q,10,false)*F4865)</f>
        <v>0</v>
      </c>
      <c r="K4865" s="74">
        <v>0.0</v>
      </c>
      <c r="L4865" s="74">
        <v>0.0</v>
      </c>
      <c r="M4865" s="74">
        <f t="shared" si="2"/>
        <v>0</v>
      </c>
      <c r="N4865" s="74">
        <f t="shared" si="3"/>
        <v>60000</v>
      </c>
      <c r="O4865" s="65" t="str">
        <f>VLOOKUP(E4865,DATABASE!C:Q,8,false)</f>
        <v>BIAN</v>
      </c>
      <c r="P4865" s="65">
        <f>VLOOKUP(E4865,DATABASE!C:Q,9,False)</f>
        <v>0</v>
      </c>
      <c r="Q4865" s="93" t="str">
        <f>VLOOKUP(E4865,DATABASE!C:Q,4,false)</f>
        <v>Balancing</v>
      </c>
      <c r="R4865" s="93" t="str">
        <f>VLOOKUP(E4865,DATABASE!C:Q,11,false)</f>
        <v>COMPLEMENTARY</v>
      </c>
    </row>
    <row r="4866" ht="22.5" customHeight="1">
      <c r="A4866" s="49"/>
      <c r="C4866" s="384">
        <v>45938.0</v>
      </c>
      <c r="D4866" s="65">
        <v>7392.0</v>
      </c>
      <c r="E4866" s="445" t="s">
        <v>256</v>
      </c>
      <c r="F4866" s="386">
        <v>1.0</v>
      </c>
      <c r="G4866" s="74">
        <v>130000.0</v>
      </c>
      <c r="H4866" s="74">
        <v>0.0</v>
      </c>
      <c r="I4866" s="74">
        <f t="shared" si="1"/>
        <v>130000</v>
      </c>
      <c r="J4866" s="74">
        <f>IF(E4866="SERVICE",I4866-(I4866*50%),Vlookup(E4866,DATABASE!C:Q,10,false)*F4866)</f>
        <v>10000</v>
      </c>
      <c r="K4866" s="74">
        <f>VLOOKUP(E4866,DATABASE!C:Q,7,false)</f>
        <v>0</v>
      </c>
      <c r="L4866" s="74">
        <v>0.0</v>
      </c>
      <c r="M4866" s="74">
        <f t="shared" si="2"/>
        <v>0</v>
      </c>
      <c r="N4866" s="74">
        <f t="shared" si="3"/>
        <v>120000</v>
      </c>
      <c r="O4866" s="65" t="str">
        <f>VLOOKUP(E4866,DATABASE!C:Q,8,false)</f>
        <v>IBU</v>
      </c>
      <c r="P4866" s="65">
        <f>VLOOKUP(E4866,DATABASE!C:Q,9,False)</f>
        <v>0</v>
      </c>
      <c r="Q4866" s="93" t="str">
        <f>VLOOKUP(E4866,DATABASE!C:Q,4,false)</f>
        <v>SPOORING</v>
      </c>
      <c r="R4866" s="93" t="str">
        <f>VLOOKUP(E4866,DATABASE!C:Q,11,false)</f>
        <v>SERVICE</v>
      </c>
    </row>
    <row r="4867" ht="22.5" customHeight="1">
      <c r="A4867" s="49"/>
      <c r="C4867" s="384">
        <v>45938.0</v>
      </c>
      <c r="D4867" s="65">
        <v>7392.0</v>
      </c>
      <c r="E4867" s="445" t="s">
        <v>301</v>
      </c>
      <c r="F4867" s="386">
        <v>1.0</v>
      </c>
      <c r="G4867" s="74">
        <v>250000.0</v>
      </c>
      <c r="H4867" s="74">
        <v>0.0</v>
      </c>
      <c r="I4867" s="74">
        <f t="shared" si="1"/>
        <v>250000</v>
      </c>
      <c r="J4867" s="74">
        <f>IF(E4867="SERVICE",I4867-(I4867*50%),Vlookup(E4867,DATABASE!C:Q,10,false)*F4867)</f>
        <v>75000</v>
      </c>
      <c r="K4867" s="74">
        <f>VLOOKUP(E4867,DATABASE!C:Q,7,false)</f>
        <v>75000</v>
      </c>
      <c r="L4867" s="74">
        <v>75000.0</v>
      </c>
      <c r="M4867" s="74">
        <f t="shared" si="2"/>
        <v>75000</v>
      </c>
      <c r="N4867" s="74">
        <f t="shared" si="3"/>
        <v>100000</v>
      </c>
      <c r="O4867" s="65" t="str">
        <f>VLOOKUP(E4867,DATABASE!C:Q,8,false)</f>
        <v>BIAN</v>
      </c>
      <c r="P4867" s="65">
        <f>VLOOKUP(E4867,DATABASE!C:Q,9,False)</f>
        <v>0</v>
      </c>
      <c r="Q4867" s="93" t="str">
        <f>VLOOKUP(E4867,DATABASE!C:Q,4,false)</f>
        <v>Baut Camber</v>
      </c>
      <c r="R4867" s="93" t="str">
        <f>VLOOKUP(E4867,DATABASE!C:Q,11,false)</f>
        <v>COMPLEMENTARY</v>
      </c>
    </row>
    <row r="4868" ht="22.5" customHeight="1">
      <c r="A4868" s="49"/>
      <c r="C4868" s="384">
        <v>45938.0</v>
      </c>
      <c r="D4868" s="65">
        <v>7393.0</v>
      </c>
      <c r="E4868" s="544" t="s">
        <v>2555</v>
      </c>
      <c r="F4868" s="386">
        <v>2.0</v>
      </c>
      <c r="G4868" s="74">
        <v>600000.0</v>
      </c>
      <c r="H4868" s="74">
        <v>0.0</v>
      </c>
      <c r="I4868" s="74">
        <f t="shared" si="1"/>
        <v>1200000</v>
      </c>
      <c r="J4868" s="74">
        <f>IF(E4868="SERVICE",I4868-(I4868*50%),Vlookup(E4868,DATABASE!C:Q,10,false)*F4868)</f>
        <v>0</v>
      </c>
      <c r="K4868" s="74">
        <f>VLOOKUP(E4868,DATABASE!C:Q,7,false)</f>
        <v>520000</v>
      </c>
      <c r="L4868" s="74">
        <v>520000.0</v>
      </c>
      <c r="M4868" s="74">
        <f t="shared" si="2"/>
        <v>520000</v>
      </c>
      <c r="N4868" s="74">
        <f t="shared" si="3"/>
        <v>160000</v>
      </c>
      <c r="O4868" s="65" t="str">
        <f>VLOOKUP(E4868,DATABASE!C:Q,8,false)</f>
        <v>BIAN</v>
      </c>
      <c r="P4868" s="65">
        <f>VLOOKUP(E4868,DATABASE!C:Q,9,False)</f>
        <v>1</v>
      </c>
      <c r="Q4868" s="93" t="str">
        <f>VLOOKUP(E4868,DATABASE!C:Q,4,false)</f>
        <v>Laufen</v>
      </c>
      <c r="R4868" s="93" t="str">
        <f>VLOOKUP(E4868,DATABASE!C:Q,11,false)</f>
        <v>Tire</v>
      </c>
    </row>
    <row r="4869" ht="22.5" customHeight="1">
      <c r="A4869" s="49"/>
      <c r="C4869" s="384">
        <v>45938.0</v>
      </c>
      <c r="D4869" s="65">
        <v>7394.0</v>
      </c>
      <c r="E4869" s="445" t="s">
        <v>286</v>
      </c>
      <c r="F4869" s="386">
        <v>1.0</v>
      </c>
      <c r="G4869" s="74">
        <v>550000.0</v>
      </c>
      <c r="H4869" s="74">
        <v>0.0</v>
      </c>
      <c r="I4869" s="74">
        <f t="shared" si="1"/>
        <v>550000</v>
      </c>
      <c r="J4869" s="74">
        <f>IF(E4869="SERVICE",I4869-(I4869*50%),Vlookup(E4869,DATABASE!C:Q,10,false)*F4869)</f>
        <v>0</v>
      </c>
      <c r="K4869" s="74">
        <f>VLOOKUP(E4869,DATABASE!C:Q,7,false)</f>
        <v>488320</v>
      </c>
      <c r="L4869" s="74">
        <v>452970.0</v>
      </c>
      <c r="M4869" s="74">
        <f t="shared" si="2"/>
        <v>455000</v>
      </c>
      <c r="N4869" s="74">
        <f t="shared" si="3"/>
        <v>95000</v>
      </c>
      <c r="O4869" s="65" t="str">
        <f>VLOOKUP(E4869,DATABASE!C:Q,8,false)</f>
        <v>BIAN</v>
      </c>
      <c r="P4869" s="65">
        <f>VLOOKUP(E4869,DATABASE!C:Q,9,False)</f>
        <v>1</v>
      </c>
      <c r="Q4869" s="93" t="str">
        <f>VLOOKUP(E4869,DATABASE!C:Q,4,false)</f>
        <v>GT</v>
      </c>
      <c r="R4869" s="93" t="str">
        <f>VLOOKUP(E4869,DATABASE!C:Q,11,false)</f>
        <v>Tire</v>
      </c>
    </row>
    <row r="4870" ht="22.5" customHeight="1">
      <c r="A4870" s="49"/>
      <c r="C4870" s="384">
        <v>45939.0</v>
      </c>
      <c r="D4870" s="65">
        <v>7395.0</v>
      </c>
      <c r="E4870" s="445" t="s">
        <v>566</v>
      </c>
      <c r="F4870" s="386">
        <v>1.0</v>
      </c>
      <c r="G4870" s="74">
        <v>1670000.0</v>
      </c>
      <c r="H4870" s="74">
        <v>0.0</v>
      </c>
      <c r="I4870" s="74">
        <f t="shared" si="1"/>
        <v>1670000</v>
      </c>
      <c r="J4870" s="74">
        <f>IF(E4870="SERVICE",I4870-(I4870*50%),Vlookup(E4870,DATABASE!C:Q,10,false)*F4870)</f>
        <v>0</v>
      </c>
      <c r="K4870" s="74">
        <f>VLOOKUP(E4870,DATABASE!C:Q,7,false)</f>
        <v>1565000</v>
      </c>
      <c r="L4870" s="74">
        <v>1545000.0</v>
      </c>
      <c r="M4870" s="74">
        <f t="shared" si="2"/>
        <v>1545000</v>
      </c>
      <c r="N4870" s="74">
        <f t="shared" si="3"/>
        <v>125000</v>
      </c>
      <c r="O4870" s="65" t="str">
        <f>VLOOKUP(E4870,DATABASE!C:Q,8,false)</f>
        <v>IBU</v>
      </c>
      <c r="P4870" s="65">
        <f>VLOOKUP(E4870,DATABASE!C:Q,9,False)</f>
        <v>1</v>
      </c>
      <c r="Q4870" s="93" t="str">
        <f>VLOOKUP(E4870,DATABASE!C:Q,4,false)</f>
        <v>Bridgestone</v>
      </c>
      <c r="R4870" s="93" t="str">
        <f>VLOOKUP(E4870,DATABASE!C:Q,11,false)</f>
        <v>Tire</v>
      </c>
    </row>
    <row r="4871" ht="22.5" customHeight="1">
      <c r="A4871" s="49"/>
      <c r="C4871" s="384">
        <v>45939.0</v>
      </c>
      <c r="D4871" s="65">
        <v>7395.0</v>
      </c>
      <c r="E4871" s="445" t="s">
        <v>744</v>
      </c>
      <c r="F4871" s="386">
        <v>1.0</v>
      </c>
      <c r="G4871" s="74">
        <v>230000.0</v>
      </c>
      <c r="H4871" s="74">
        <v>0.0</v>
      </c>
      <c r="I4871" s="74">
        <f t="shared" si="1"/>
        <v>230000</v>
      </c>
      <c r="J4871" s="74">
        <f>IF(E4871="SERVICE",I4871-(I4871*50%),Vlookup(E4871,DATABASE!C:Q,10,false)*F4871)</f>
        <v>0</v>
      </c>
      <c r="K4871" s="74">
        <f>VLOOKUP(E4871,DATABASE!C:Q,7,false)</f>
        <v>182200</v>
      </c>
      <c r="L4871" s="74">
        <v>199920.0</v>
      </c>
      <c r="M4871" s="74">
        <f t="shared" si="2"/>
        <v>200000</v>
      </c>
      <c r="N4871" s="74">
        <f t="shared" si="3"/>
        <v>30000</v>
      </c>
      <c r="O4871" s="65" t="str">
        <f>VLOOKUP(E4871,DATABASE!C:Q,8,false)</f>
        <v>BIAN</v>
      </c>
      <c r="P4871" s="65">
        <f>VLOOKUP(E4871,DATABASE!C:Q,9,False)</f>
        <v>1</v>
      </c>
      <c r="Q4871" s="93" t="str">
        <f>VLOOKUP(E4871,DATABASE!C:Q,4,false)</f>
        <v>BD</v>
      </c>
      <c r="R4871" s="93" t="str">
        <f>VLOOKUP(E4871,DATABASE!C:Q,11,false)</f>
        <v>Tire</v>
      </c>
    </row>
    <row r="4872" ht="22.5" customHeight="1">
      <c r="A4872" s="49"/>
      <c r="C4872" s="384">
        <v>45939.0</v>
      </c>
      <c r="D4872" s="65">
        <v>7395.0</v>
      </c>
      <c r="E4872" s="445" t="s">
        <v>821</v>
      </c>
      <c r="F4872" s="386">
        <v>1.0</v>
      </c>
      <c r="G4872" s="74">
        <v>85000.0</v>
      </c>
      <c r="H4872" s="74">
        <v>0.0</v>
      </c>
      <c r="I4872" s="74">
        <f t="shared" si="1"/>
        <v>85000</v>
      </c>
      <c r="J4872" s="74">
        <f>IF(E4872="SERVICE",I4872-(I4872*50%),Vlookup(E4872,DATABASE!C:Q,10,false)*F4872)</f>
        <v>0</v>
      </c>
      <c r="K4872" s="74">
        <f>VLOOKUP(E4872,DATABASE!C:Q,7,false)</f>
        <v>43500</v>
      </c>
      <c r="L4872" s="74">
        <v>43520.0</v>
      </c>
      <c r="M4872" s="74">
        <f t="shared" si="2"/>
        <v>45000</v>
      </c>
      <c r="N4872" s="74">
        <f t="shared" si="3"/>
        <v>40000</v>
      </c>
      <c r="O4872" s="65" t="str">
        <f>VLOOKUP(E4872,DATABASE!C:Q,8,false)</f>
        <v>BIAN</v>
      </c>
      <c r="P4872" s="65">
        <f>VLOOKUP(E4872,DATABASE!C:Q,9,False)</f>
        <v>1</v>
      </c>
      <c r="Q4872" s="93" t="str">
        <f>VLOOKUP(E4872,DATABASE!C:Q,4,false)</f>
        <v>Flap</v>
      </c>
      <c r="R4872" s="93" t="str">
        <f>VLOOKUP(E4872,DATABASE!C:Q,11,false)</f>
        <v>Tire</v>
      </c>
    </row>
    <row r="4873" ht="22.5" customHeight="1">
      <c r="A4873" s="49"/>
      <c r="C4873" s="384">
        <v>45939.0</v>
      </c>
      <c r="D4873" s="65">
        <v>7396.0</v>
      </c>
      <c r="E4873" s="445" t="s">
        <v>932</v>
      </c>
      <c r="F4873" s="386">
        <v>1.0</v>
      </c>
      <c r="G4873" s="74">
        <v>700000.0</v>
      </c>
      <c r="H4873" s="74">
        <v>0.0</v>
      </c>
      <c r="I4873" s="74">
        <f t="shared" si="1"/>
        <v>700000</v>
      </c>
      <c r="J4873" s="74">
        <f>IF(E4873="SERVICE",I4873-(I4873*50%),Vlookup(E4873,DATABASE!C:Q,10,false)*F4873)</f>
        <v>0</v>
      </c>
      <c r="K4873" s="74">
        <f>VLOOKUP(E4873,DATABASE!C:Q,7,false)</f>
        <v>601000</v>
      </c>
      <c r="L4873" s="74">
        <v>595000.0</v>
      </c>
      <c r="M4873" s="74">
        <f t="shared" si="2"/>
        <v>595000</v>
      </c>
      <c r="N4873" s="74">
        <f t="shared" si="3"/>
        <v>105000</v>
      </c>
      <c r="O4873" s="65" t="str">
        <f>VLOOKUP(E4873,DATABASE!C:Q,8,false)</f>
        <v>IBU</v>
      </c>
      <c r="P4873" s="65">
        <f>VLOOKUP(E4873,DATABASE!C:Q,9,False)</f>
        <v>1</v>
      </c>
      <c r="Q4873" s="93" t="str">
        <f>VLOOKUP(E4873,DATABASE!C:Q,4,false)</f>
        <v>Dunlop</v>
      </c>
      <c r="R4873" s="93" t="str">
        <f>VLOOKUP(E4873,DATABASE!C:Q,11,false)</f>
        <v>Tire</v>
      </c>
    </row>
    <row r="4874" ht="22.5" customHeight="1">
      <c r="A4874" s="49"/>
      <c r="C4874" s="384">
        <v>45939.0</v>
      </c>
      <c r="D4874" s="65">
        <v>7397.0</v>
      </c>
      <c r="E4874" s="445" t="s">
        <v>286</v>
      </c>
      <c r="F4874" s="386">
        <v>6.0</v>
      </c>
      <c r="G4874" s="74">
        <v>550000.0</v>
      </c>
      <c r="H4874" s="74">
        <v>0.0</v>
      </c>
      <c r="I4874" s="74">
        <f t="shared" si="1"/>
        <v>3300000</v>
      </c>
      <c r="J4874" s="74">
        <f>IF(E4874="SERVICE",I4874-(I4874*50%),Vlookup(E4874,DATABASE!C:Q,10,false)*F4874)</f>
        <v>0</v>
      </c>
      <c r="K4874" s="74">
        <f>VLOOKUP(E4874,DATABASE!C:Q,7,false)</f>
        <v>488320</v>
      </c>
      <c r="L4874" s="74">
        <v>452970.0</v>
      </c>
      <c r="M4874" s="74">
        <f t="shared" si="2"/>
        <v>455000</v>
      </c>
      <c r="N4874" s="74">
        <f t="shared" si="3"/>
        <v>570000</v>
      </c>
      <c r="O4874" s="65" t="str">
        <f>VLOOKUP(E4874,DATABASE!C:Q,8,false)</f>
        <v>BIAN</v>
      </c>
      <c r="P4874" s="65">
        <f>VLOOKUP(E4874,DATABASE!C:Q,9,False)</f>
        <v>1</v>
      </c>
      <c r="Q4874" s="93" t="str">
        <f>VLOOKUP(E4874,DATABASE!C:Q,4,false)</f>
        <v>GT</v>
      </c>
      <c r="R4874" s="93" t="str">
        <f>VLOOKUP(E4874,DATABASE!C:Q,11,false)</f>
        <v>Tire</v>
      </c>
    </row>
    <row r="4875" ht="22.5" customHeight="1">
      <c r="A4875" s="49"/>
      <c r="C4875" s="384">
        <v>45939.0</v>
      </c>
      <c r="D4875" s="65">
        <v>7398.0</v>
      </c>
      <c r="E4875" s="445" t="s">
        <v>268</v>
      </c>
      <c r="F4875" s="386">
        <v>2.0</v>
      </c>
      <c r="G4875" s="74">
        <v>715000.0</v>
      </c>
      <c r="H4875" s="74">
        <v>0.0</v>
      </c>
      <c r="I4875" s="74">
        <f t="shared" si="1"/>
        <v>1430000</v>
      </c>
      <c r="J4875" s="74">
        <f>IF(E4875="SERVICE",I4875-(I4875*50%),Vlookup(E4875,DATABASE!C:Q,10,false)*F4875)</f>
        <v>0</v>
      </c>
      <c r="K4875" s="74">
        <f>VLOOKUP(E4875,DATABASE!C:Q,7,false)</f>
        <v>653000</v>
      </c>
      <c r="L4875" s="74">
        <v>622000.0</v>
      </c>
      <c r="M4875" s="74">
        <f t="shared" si="2"/>
        <v>625000</v>
      </c>
      <c r="N4875" s="74">
        <f t="shared" si="3"/>
        <v>180000</v>
      </c>
      <c r="O4875" s="65" t="str">
        <f>VLOOKUP(E4875,DATABASE!C:Q,8,false)</f>
        <v>IBU</v>
      </c>
      <c r="P4875" s="65">
        <f>VLOOKUP(E4875,DATABASE!C:Q,9,False)</f>
        <v>1</v>
      </c>
      <c r="Q4875" s="93" t="str">
        <f>VLOOKUP(E4875,DATABASE!C:Q,4,false)</f>
        <v>Dunlop</v>
      </c>
      <c r="R4875" s="93" t="str">
        <f>VLOOKUP(E4875,DATABASE!C:Q,11,false)</f>
        <v>Tire</v>
      </c>
    </row>
    <row r="4876" ht="22.5" customHeight="1">
      <c r="A4876" s="49"/>
      <c r="C4876" s="384">
        <v>45939.0</v>
      </c>
      <c r="D4876" s="65">
        <v>7399.0</v>
      </c>
      <c r="E4876" s="445" t="s">
        <v>955</v>
      </c>
      <c r="F4876" s="386">
        <v>1.0</v>
      </c>
      <c r="G4876" s="74">
        <v>780000.0</v>
      </c>
      <c r="H4876" s="74">
        <v>0.0</v>
      </c>
      <c r="I4876" s="74">
        <f t="shared" si="1"/>
        <v>780000</v>
      </c>
      <c r="J4876" s="74">
        <f>IF(E4876="SERVICE",I4876-(I4876*50%),Vlookup(E4876,DATABASE!C:Q,10,false)*F4876)</f>
        <v>0</v>
      </c>
      <c r="K4876" s="74">
        <f>VLOOKUP(E4876,DATABASE!C:Q,7,false)</f>
        <v>712000</v>
      </c>
      <c r="L4876" s="74">
        <v>674000.0</v>
      </c>
      <c r="M4876" s="74">
        <f t="shared" si="2"/>
        <v>675000</v>
      </c>
      <c r="N4876" s="74">
        <f t="shared" si="3"/>
        <v>105000</v>
      </c>
      <c r="O4876" s="65" t="str">
        <f>VLOOKUP(E4876,DATABASE!C:Q,8,false)</f>
        <v>IBU</v>
      </c>
      <c r="P4876" s="65">
        <f>VLOOKUP(E4876,DATABASE!C:Q,9,False)</f>
        <v>1</v>
      </c>
      <c r="Q4876" s="93" t="str">
        <f>VLOOKUP(E4876,DATABASE!C:Q,4,false)</f>
        <v>Dunlop</v>
      </c>
      <c r="R4876" s="93" t="str">
        <f>VLOOKUP(E4876,DATABASE!C:Q,11,false)</f>
        <v>Tire</v>
      </c>
    </row>
    <row r="4877" ht="22.5" customHeight="1">
      <c r="A4877" s="49"/>
      <c r="C4877" s="384">
        <v>45939.0</v>
      </c>
      <c r="D4877" s="65">
        <v>7400.0</v>
      </c>
      <c r="E4877" s="445" t="s">
        <v>955</v>
      </c>
      <c r="F4877" s="386">
        <v>1.0</v>
      </c>
      <c r="G4877" s="74">
        <v>780000.0</v>
      </c>
      <c r="H4877" s="74">
        <v>0.0</v>
      </c>
      <c r="I4877" s="74">
        <f t="shared" si="1"/>
        <v>780000</v>
      </c>
      <c r="J4877" s="74">
        <f>IF(E4877="SERVICE",I4877-(I4877*50%),Vlookup(E4877,DATABASE!C:Q,10,false)*F4877)</f>
        <v>0</v>
      </c>
      <c r="K4877" s="74">
        <f>VLOOKUP(E4877,DATABASE!C:Q,7,false)</f>
        <v>712000</v>
      </c>
      <c r="L4877" s="74">
        <v>674000.0</v>
      </c>
      <c r="M4877" s="74">
        <f t="shared" si="2"/>
        <v>675000</v>
      </c>
      <c r="N4877" s="74">
        <f t="shared" si="3"/>
        <v>105000</v>
      </c>
      <c r="O4877" s="65" t="str">
        <f>VLOOKUP(E4877,DATABASE!C:Q,8,false)</f>
        <v>IBU</v>
      </c>
      <c r="P4877" s="65">
        <f>VLOOKUP(E4877,DATABASE!C:Q,9,False)</f>
        <v>1</v>
      </c>
      <c r="Q4877" s="93" t="str">
        <f>VLOOKUP(E4877,DATABASE!C:Q,4,false)</f>
        <v>Dunlop</v>
      </c>
      <c r="R4877" s="93" t="str">
        <f>VLOOKUP(E4877,DATABASE!C:Q,11,false)</f>
        <v>Tire</v>
      </c>
    </row>
    <row r="4878" ht="22.5" customHeight="1">
      <c r="A4878" s="49"/>
      <c r="C4878" s="384">
        <v>45939.0</v>
      </c>
      <c r="D4878" s="65">
        <v>7401.0</v>
      </c>
      <c r="E4878" s="445" t="s">
        <v>932</v>
      </c>
      <c r="F4878" s="386">
        <v>2.0</v>
      </c>
      <c r="G4878" s="74">
        <v>690000.0</v>
      </c>
      <c r="H4878" s="74">
        <v>0.0</v>
      </c>
      <c r="I4878" s="74">
        <f t="shared" si="1"/>
        <v>1380000</v>
      </c>
      <c r="J4878" s="74">
        <f>IF(E4878="SERVICE",I4878-(I4878*50%),Vlookup(E4878,DATABASE!C:Q,10,false)*F4878)</f>
        <v>0</v>
      </c>
      <c r="K4878" s="74">
        <f>VLOOKUP(E4878,DATABASE!C:Q,7,false)</f>
        <v>601000</v>
      </c>
      <c r="L4878" s="74">
        <v>595000.0</v>
      </c>
      <c r="M4878" s="74">
        <f t="shared" si="2"/>
        <v>595000</v>
      </c>
      <c r="N4878" s="74">
        <f t="shared" si="3"/>
        <v>190000</v>
      </c>
      <c r="O4878" s="65" t="str">
        <f>VLOOKUP(E4878,DATABASE!C:Q,8,false)</f>
        <v>IBU</v>
      </c>
      <c r="P4878" s="65">
        <f>VLOOKUP(E4878,DATABASE!C:Q,9,False)</f>
        <v>1</v>
      </c>
      <c r="Q4878" s="93" t="str">
        <f>VLOOKUP(E4878,DATABASE!C:Q,4,false)</f>
        <v>Dunlop</v>
      </c>
      <c r="R4878" s="93" t="str">
        <f>VLOOKUP(E4878,DATABASE!C:Q,11,false)</f>
        <v>Tire</v>
      </c>
    </row>
    <row r="4879" ht="22.5" customHeight="1">
      <c r="A4879" s="49"/>
      <c r="C4879" s="384">
        <v>45939.0</v>
      </c>
      <c r="D4879" s="65">
        <v>7402.0</v>
      </c>
      <c r="E4879" s="445" t="s">
        <v>1009</v>
      </c>
      <c r="F4879" s="386">
        <v>2.0</v>
      </c>
      <c r="G4879" s="74">
        <v>690000.0</v>
      </c>
      <c r="H4879" s="74">
        <v>0.0</v>
      </c>
      <c r="I4879" s="74">
        <f t="shared" si="1"/>
        <v>1380000</v>
      </c>
      <c r="J4879" s="74">
        <f>IF(E4879="SERVICE",I4879-(I4879*50%),Vlookup(E4879,DATABASE!C:Q,10,false)*F4879)</f>
        <v>0</v>
      </c>
      <c r="K4879" s="74">
        <f>VLOOKUP(E4879,DATABASE!C:Q,7,false)</f>
        <v>609800</v>
      </c>
      <c r="L4879" s="74">
        <v>592200.0</v>
      </c>
      <c r="M4879" s="74">
        <f t="shared" si="2"/>
        <v>595000</v>
      </c>
      <c r="N4879" s="74">
        <f t="shared" si="3"/>
        <v>190000</v>
      </c>
      <c r="O4879" s="65" t="str">
        <f>VLOOKUP(E4879,DATABASE!C:Q,8,false)</f>
        <v>BIAN</v>
      </c>
      <c r="P4879" s="65">
        <f>VLOOKUP(E4879,DATABASE!C:Q,9,False)</f>
        <v>1</v>
      </c>
      <c r="Q4879" s="93" t="str">
        <f>VLOOKUP(E4879,DATABASE!C:Q,4,false)</f>
        <v>GT</v>
      </c>
      <c r="R4879" s="93" t="str">
        <f>VLOOKUP(E4879,DATABASE!C:Q,11,false)</f>
        <v>Tire</v>
      </c>
    </row>
    <row r="4880" ht="22.5" customHeight="1">
      <c r="A4880" s="49"/>
      <c r="C4880" s="384">
        <v>45939.0</v>
      </c>
      <c r="D4880" s="65">
        <v>7403.0</v>
      </c>
      <c r="E4880" s="445" t="s">
        <v>256</v>
      </c>
      <c r="F4880" s="386">
        <v>1.0</v>
      </c>
      <c r="G4880" s="74">
        <v>130000.0</v>
      </c>
      <c r="H4880" s="74">
        <v>0.0</v>
      </c>
      <c r="I4880" s="74">
        <f t="shared" si="1"/>
        <v>130000</v>
      </c>
      <c r="J4880" s="74">
        <f>IF(E4880="SERVICE",I4880-(I4880*50%),Vlookup(E4880,DATABASE!C:Q,10,false)*F4880)</f>
        <v>10000</v>
      </c>
      <c r="K4880" s="74">
        <f>VLOOKUP(E4880,DATABASE!C:Q,7,false)</f>
        <v>0</v>
      </c>
      <c r="L4880" s="74">
        <v>0.0</v>
      </c>
      <c r="M4880" s="74">
        <f t="shared" si="2"/>
        <v>0</v>
      </c>
      <c r="N4880" s="74">
        <f t="shared" si="3"/>
        <v>120000</v>
      </c>
      <c r="O4880" s="65" t="str">
        <f>VLOOKUP(E4880,DATABASE!C:Q,8,false)</f>
        <v>IBU</v>
      </c>
      <c r="P4880" s="65">
        <f>VLOOKUP(E4880,DATABASE!C:Q,9,False)</f>
        <v>0</v>
      </c>
      <c r="Q4880" s="93" t="str">
        <f>VLOOKUP(E4880,DATABASE!C:Q,4,false)</f>
        <v>SPOORING</v>
      </c>
      <c r="R4880" s="93" t="str">
        <f>VLOOKUP(E4880,DATABASE!C:Q,11,false)</f>
        <v>SERVICE</v>
      </c>
    </row>
    <row r="4881" ht="22.5" customHeight="1">
      <c r="A4881" s="49"/>
      <c r="C4881" s="384">
        <v>45939.0</v>
      </c>
      <c r="D4881" s="65">
        <v>7403.0</v>
      </c>
      <c r="E4881" s="445" t="s">
        <v>301</v>
      </c>
      <c r="F4881" s="386">
        <v>1.0</v>
      </c>
      <c r="G4881" s="74">
        <v>250000.0</v>
      </c>
      <c r="H4881" s="74">
        <v>0.0</v>
      </c>
      <c r="I4881" s="74">
        <f t="shared" si="1"/>
        <v>250000</v>
      </c>
      <c r="J4881" s="74">
        <f>IF(E4881="SERVICE",I4881-(I4881*50%),Vlookup(E4881,DATABASE!C:Q,10,false)*F4881)</f>
        <v>75000</v>
      </c>
      <c r="K4881" s="74">
        <f>VLOOKUP(E4881,DATABASE!C:Q,7,false)</f>
        <v>75000</v>
      </c>
      <c r="L4881" s="74">
        <v>75000.0</v>
      </c>
      <c r="M4881" s="74">
        <f t="shared" si="2"/>
        <v>75000</v>
      </c>
      <c r="N4881" s="74">
        <f t="shared" si="3"/>
        <v>100000</v>
      </c>
      <c r="O4881" s="65" t="str">
        <f>VLOOKUP(E4881,DATABASE!C:Q,8,false)</f>
        <v>BIAN</v>
      </c>
      <c r="P4881" s="65">
        <f>VLOOKUP(E4881,DATABASE!C:Q,9,False)</f>
        <v>0</v>
      </c>
      <c r="Q4881" s="93" t="str">
        <f>VLOOKUP(E4881,DATABASE!C:Q,4,false)</f>
        <v>Baut Camber</v>
      </c>
      <c r="R4881" s="93" t="str">
        <f>VLOOKUP(E4881,DATABASE!C:Q,11,false)</f>
        <v>COMPLEMENTARY</v>
      </c>
    </row>
    <row r="4882" ht="22.5" customHeight="1">
      <c r="A4882" s="49"/>
      <c r="C4882" s="384">
        <v>45939.0</v>
      </c>
      <c r="D4882" s="65">
        <v>7404.0</v>
      </c>
      <c r="E4882" s="445" t="s">
        <v>391</v>
      </c>
      <c r="F4882" s="386">
        <v>1.0</v>
      </c>
      <c r="G4882" s="74">
        <v>1950000.0</v>
      </c>
      <c r="H4882" s="74">
        <v>0.0</v>
      </c>
      <c r="I4882" s="74">
        <f t="shared" si="1"/>
        <v>1950000</v>
      </c>
      <c r="J4882" s="74">
        <f>IF(E4882="SERVICE",I4882-(I4882*50%),Vlookup(E4882,DATABASE!C:Q,10,false)*F4882)</f>
        <v>0</v>
      </c>
      <c r="K4882" s="74">
        <f>VLOOKUP(E4882,DATABASE!C:Q,7,false)</f>
        <v>1885000</v>
      </c>
      <c r="L4882" s="74">
        <v>1840000.0</v>
      </c>
      <c r="M4882" s="74">
        <f t="shared" si="2"/>
        <v>1840000</v>
      </c>
      <c r="N4882" s="74">
        <f t="shared" si="3"/>
        <v>110000</v>
      </c>
      <c r="O4882" s="65" t="str">
        <f>VLOOKUP(E4882,DATABASE!C:Q,8,false)</f>
        <v>BIAN</v>
      </c>
      <c r="P4882" s="65">
        <f>VLOOKUP(E4882,DATABASE!C:Q,9,False)</f>
        <v>1</v>
      </c>
      <c r="Q4882" s="93" t="str">
        <f>VLOOKUP(E4882,DATABASE!C:Q,4,false)</f>
        <v>Advance</v>
      </c>
      <c r="R4882" s="93" t="str">
        <f>VLOOKUP(E4882,DATABASE!C:Q,11,false)</f>
        <v>Tire</v>
      </c>
    </row>
    <row r="4883" ht="22.5" customHeight="1">
      <c r="A4883" s="49"/>
      <c r="C4883" s="384">
        <v>45939.0</v>
      </c>
      <c r="D4883" s="65">
        <v>7405.0</v>
      </c>
      <c r="E4883" s="445" t="s">
        <v>256</v>
      </c>
      <c r="F4883" s="386">
        <v>1.0</v>
      </c>
      <c r="G4883" s="74">
        <v>130000.0</v>
      </c>
      <c r="H4883" s="74">
        <v>0.0</v>
      </c>
      <c r="I4883" s="74">
        <f t="shared" si="1"/>
        <v>130000</v>
      </c>
      <c r="J4883" s="74">
        <f>IF(E4883="SERVICE",I4883-(I4883*50%),Vlookup(E4883,DATABASE!C:Q,10,false)*F4883)</f>
        <v>10000</v>
      </c>
      <c r="K4883" s="74">
        <f>VLOOKUP(E4883,DATABASE!C:Q,7,false)</f>
        <v>0</v>
      </c>
      <c r="L4883" s="74">
        <v>0.0</v>
      </c>
      <c r="M4883" s="74">
        <f t="shared" si="2"/>
        <v>0</v>
      </c>
      <c r="N4883" s="74">
        <f t="shared" si="3"/>
        <v>120000</v>
      </c>
      <c r="O4883" s="65" t="str">
        <f>VLOOKUP(E4883,DATABASE!C:Q,8,false)</f>
        <v>IBU</v>
      </c>
      <c r="P4883" s="65">
        <f>VLOOKUP(E4883,DATABASE!C:Q,9,False)</f>
        <v>0</v>
      </c>
      <c r="Q4883" s="93" t="str">
        <f>VLOOKUP(E4883,DATABASE!C:Q,4,false)</f>
        <v>SPOORING</v>
      </c>
      <c r="R4883" s="93" t="str">
        <f>VLOOKUP(E4883,DATABASE!C:Q,11,false)</f>
        <v>SERVICE</v>
      </c>
    </row>
    <row r="4884" ht="22.5" customHeight="1">
      <c r="A4884" s="49"/>
      <c r="C4884" s="384">
        <v>45939.0</v>
      </c>
      <c r="D4884" s="65">
        <v>7406.0</v>
      </c>
      <c r="E4884" s="445" t="s">
        <v>275</v>
      </c>
      <c r="F4884" s="386">
        <v>4.0</v>
      </c>
      <c r="G4884" s="74">
        <v>850000.0</v>
      </c>
      <c r="H4884" s="74">
        <v>0.0</v>
      </c>
      <c r="I4884" s="74">
        <f t="shared" si="1"/>
        <v>3400000</v>
      </c>
      <c r="J4884" s="74">
        <f>IF(E4884="SERVICE",I4884-(I4884*50%),Vlookup(E4884,DATABASE!C:Q,10,false)*F4884)</f>
        <v>0</v>
      </c>
      <c r="K4884" s="74">
        <f>VLOOKUP(E4884,DATABASE!C:Q,7,false)</f>
        <v>782000</v>
      </c>
      <c r="L4884" s="74">
        <v>745000.0</v>
      </c>
      <c r="M4884" s="74">
        <f t="shared" si="2"/>
        <v>745000</v>
      </c>
      <c r="N4884" s="74">
        <f t="shared" si="3"/>
        <v>420000</v>
      </c>
      <c r="O4884" s="65" t="str">
        <f>VLOOKUP(E4884,DATABASE!C:Q,8,false)</f>
        <v>IBU</v>
      </c>
      <c r="P4884" s="65">
        <f>VLOOKUP(E4884,DATABASE!C:Q,9,False)</f>
        <v>1</v>
      </c>
      <c r="Q4884" s="93" t="str">
        <f>VLOOKUP(E4884,DATABASE!C:Q,4,false)</f>
        <v>Dunlop</v>
      </c>
      <c r="R4884" s="93" t="str">
        <f>VLOOKUP(E4884,DATABASE!C:Q,11,false)</f>
        <v>Tire</v>
      </c>
    </row>
    <row r="4885" ht="22.5" customHeight="1">
      <c r="A4885" s="49"/>
      <c r="C4885" s="384">
        <v>45939.0</v>
      </c>
      <c r="D4885" s="65">
        <v>7406.0</v>
      </c>
      <c r="E4885" s="385" t="s">
        <v>299</v>
      </c>
      <c r="F4885" s="386">
        <v>2.0</v>
      </c>
      <c r="G4885" s="74">
        <v>30000.0</v>
      </c>
      <c r="H4885" s="74">
        <v>0.0</v>
      </c>
      <c r="I4885" s="74">
        <f t="shared" si="1"/>
        <v>60000</v>
      </c>
      <c r="J4885" s="74">
        <f>IF(E4885="SERVICE",I4885-(I4885*50%),Vlookup(E4885,DATABASE!C:Q,10,false)*F4885)</f>
        <v>0</v>
      </c>
      <c r="K4885" s="74">
        <v>0.0</v>
      </c>
      <c r="L4885" s="74">
        <v>0.0</v>
      </c>
      <c r="M4885" s="74">
        <f t="shared" si="2"/>
        <v>0</v>
      </c>
      <c r="N4885" s="74">
        <f t="shared" si="3"/>
        <v>60000</v>
      </c>
      <c r="O4885" s="65" t="str">
        <f>VLOOKUP(E4885,DATABASE!C:Q,8,false)</f>
        <v>BIAN</v>
      </c>
      <c r="P4885" s="65">
        <f>VLOOKUP(E4885,DATABASE!C:Q,9,False)</f>
        <v>0</v>
      </c>
      <c r="Q4885" s="93" t="str">
        <f>VLOOKUP(E4885,DATABASE!C:Q,4,false)</f>
        <v>Balancing</v>
      </c>
      <c r="R4885" s="93" t="str">
        <f>VLOOKUP(E4885,DATABASE!C:Q,11,false)</f>
        <v>COMPLEMENTARY</v>
      </c>
    </row>
    <row r="4886" ht="22.5" customHeight="1">
      <c r="A4886" s="49"/>
      <c r="C4886" s="384">
        <v>45939.0</v>
      </c>
      <c r="D4886" s="65">
        <v>7406.0</v>
      </c>
      <c r="E4886" s="445" t="s">
        <v>478</v>
      </c>
      <c r="F4886" s="386">
        <v>1.0</v>
      </c>
      <c r="G4886" s="74">
        <v>200000.0</v>
      </c>
      <c r="H4886" s="74">
        <v>0.0</v>
      </c>
      <c r="I4886" s="74">
        <f t="shared" si="1"/>
        <v>200000</v>
      </c>
      <c r="J4886" s="74">
        <f>IF(E4886="SERVICE",I4886-(I4886*50%),Vlookup(E4886,DATABASE!C:Q,10,false)*F4886)</f>
        <v>25000</v>
      </c>
      <c r="K4886" s="74">
        <f>VLOOKUP(E4886,DATABASE!C:Q,7,false)</f>
        <v>75000</v>
      </c>
      <c r="L4886" s="74">
        <v>75000.0</v>
      </c>
      <c r="M4886" s="74">
        <f t="shared" si="2"/>
        <v>75000</v>
      </c>
      <c r="N4886" s="74">
        <f t="shared" si="3"/>
        <v>100000</v>
      </c>
      <c r="O4886" s="65" t="str">
        <f>VLOOKUP(E4886,DATABASE!C:Q,8,false)</f>
        <v>BIAN</v>
      </c>
      <c r="P4886" s="65">
        <f>VLOOKUP(E4886,DATABASE!C:Q,9,False)</f>
        <v>0</v>
      </c>
      <c r="Q4886" s="93" t="str">
        <f>VLOOKUP(E4886,DATABASE!C:Q,4,false)</f>
        <v>Baut Camber ss-carry</v>
      </c>
      <c r="R4886" s="93" t="str">
        <f>VLOOKUP(E4886,DATABASE!C:Q,11,false)</f>
        <v>COMPLEMENTARY</v>
      </c>
    </row>
    <row r="4887" ht="22.5" customHeight="1">
      <c r="A4887" s="49"/>
      <c r="C4887" s="384">
        <v>45939.0</v>
      </c>
      <c r="D4887" s="65">
        <v>7406.0</v>
      </c>
      <c r="E4887" s="385" t="s">
        <v>305</v>
      </c>
      <c r="F4887" s="386">
        <v>1.0</v>
      </c>
      <c r="G4887" s="74">
        <v>230000.0</v>
      </c>
      <c r="H4887" s="74">
        <v>0.0</v>
      </c>
      <c r="I4887" s="74">
        <f t="shared" si="1"/>
        <v>230000</v>
      </c>
      <c r="J4887" s="74">
        <f>IF(E4887="SERVICE",I4887-(I4887*50%),Vlookup(E4887,DATABASE!C:Q,10,false)*F4887)</f>
        <v>40000</v>
      </c>
      <c r="K4887" s="74">
        <f>VLOOKUP(E4887,DATABASE!C:Q,7,false)</f>
        <v>158530.2</v>
      </c>
      <c r="L4887" s="74">
        <v>151890.0</v>
      </c>
      <c r="M4887" s="74">
        <f t="shared" si="2"/>
        <v>155000</v>
      </c>
      <c r="N4887" s="74">
        <f t="shared" si="3"/>
        <v>35000</v>
      </c>
      <c r="O4887" s="65" t="str">
        <f>VLOOKUP(E4887,DATABASE!C:Q,8,false)</f>
        <v>BIAN</v>
      </c>
      <c r="P4887" s="65">
        <f>VLOOKUP(E4887,DATABASE!C:Q,9,False)</f>
        <v>1</v>
      </c>
      <c r="Q4887" s="93" t="str">
        <f>VLOOKUP(E4887,DATABASE!C:Q,4,false)</f>
        <v>Lower Arm</v>
      </c>
      <c r="R4887" s="93" t="str">
        <f>VLOOKUP(E4887,DATABASE!C:Q,11,false)</f>
        <v>COMPLEMENTARY</v>
      </c>
    </row>
    <row r="4888" ht="22.5" customHeight="1">
      <c r="A4888" s="49"/>
      <c r="C4888" s="384">
        <v>45939.0</v>
      </c>
      <c r="D4888" s="65">
        <v>7406.0</v>
      </c>
      <c r="E4888" s="445" t="s">
        <v>262</v>
      </c>
      <c r="F4888" s="386">
        <v>1.0</v>
      </c>
      <c r="G4888" s="74">
        <v>110000.0</v>
      </c>
      <c r="H4888" s="74">
        <v>0.0</v>
      </c>
      <c r="I4888" s="74">
        <f t="shared" si="1"/>
        <v>110000</v>
      </c>
      <c r="J4888" s="74">
        <f>IF(E4888="SERVICE",I4888-(I4888*50%),Vlookup(E4888,DATABASE!C:Q,10,false)*F4888)</f>
        <v>5000</v>
      </c>
      <c r="K4888" s="74">
        <f>VLOOKUP(E4888,DATABASE!C:Q,7,false)</f>
        <v>0</v>
      </c>
      <c r="L4888" s="74">
        <v>0.0</v>
      </c>
      <c r="M4888" s="74">
        <f t="shared" si="2"/>
        <v>0</v>
      </c>
      <c r="N4888" s="74">
        <f t="shared" si="3"/>
        <v>105000</v>
      </c>
      <c r="O4888" s="65" t="str">
        <f>VLOOKUP(E4888,DATABASE!C:Q,8,false)</f>
        <v>IBU</v>
      </c>
      <c r="P4888" s="65">
        <f>VLOOKUP(E4888,DATABASE!C:Q,9,False)</f>
        <v>0</v>
      </c>
      <c r="Q4888" s="93" t="str">
        <f>VLOOKUP(E4888,DATABASE!C:Q,4,false)</f>
        <v>SPOORING SS/CARRY LOS BAK</v>
      </c>
      <c r="R4888" s="93" t="str">
        <f>VLOOKUP(E4888,DATABASE!C:Q,11,false)</f>
        <v>SERVICE</v>
      </c>
    </row>
    <row r="4889" ht="22.5" customHeight="1">
      <c r="A4889" s="49"/>
      <c r="C4889" s="384">
        <v>45939.0</v>
      </c>
      <c r="D4889" s="65">
        <v>7406.0</v>
      </c>
      <c r="E4889" s="445" t="s">
        <v>2206</v>
      </c>
      <c r="F4889" s="386">
        <v>1.0</v>
      </c>
      <c r="G4889" s="74">
        <v>200000.0</v>
      </c>
      <c r="H4889" s="74">
        <v>0.0</v>
      </c>
      <c r="I4889" s="74">
        <f t="shared" si="1"/>
        <v>200000</v>
      </c>
      <c r="J4889" s="74">
        <f>IF(E4889="SERVICE",I4889-(I4889*50%),Vlookup(E4889,DATABASE!C:Q,10,false)*F4889)</f>
        <v>40000</v>
      </c>
      <c r="K4889" s="74">
        <f>VLOOKUP(E4889,DATABASE!C:Q,7,false)</f>
        <v>95450</v>
      </c>
      <c r="L4889" s="74">
        <v>61000.0</v>
      </c>
      <c r="M4889" s="74">
        <f t="shared" si="2"/>
        <v>65000</v>
      </c>
      <c r="N4889" s="74">
        <f t="shared" si="3"/>
        <v>95000</v>
      </c>
      <c r="O4889" s="65" t="str">
        <f>VLOOKUP(E4889,DATABASE!C:Q,8,false)</f>
        <v>IBU</v>
      </c>
      <c r="P4889" s="65">
        <f>VLOOKUP(E4889,DATABASE!C:Q,9,False)</f>
        <v>1</v>
      </c>
      <c r="Q4889" s="93" t="str">
        <f>VLOOKUP(E4889,DATABASE!C:Q,4,false)</f>
        <v>TIEROD</v>
      </c>
      <c r="R4889" s="93" t="str">
        <f>VLOOKUP(E4889,DATABASE!C:Q,11,false)</f>
        <v>COMPLEMENTARY</v>
      </c>
    </row>
    <row r="4890" ht="22.5" customHeight="1">
      <c r="A4890" s="49"/>
      <c r="C4890" s="384">
        <v>45939.0</v>
      </c>
      <c r="D4890" s="65">
        <v>7408.0</v>
      </c>
      <c r="E4890" s="445" t="s">
        <v>1439</v>
      </c>
      <c r="F4890" s="386">
        <v>2.0</v>
      </c>
      <c r="G4890" s="74">
        <v>630000.0</v>
      </c>
      <c r="H4890" s="74">
        <v>0.0</v>
      </c>
      <c r="I4890" s="74">
        <f t="shared" si="1"/>
        <v>1260000</v>
      </c>
      <c r="J4890" s="74">
        <f>IF(E4890="SERVICE",I4890-(I4890*50%),Vlookup(E4890,DATABASE!C:Q,10,false)*F4890)</f>
        <v>0</v>
      </c>
      <c r="K4890" s="74">
        <f>VLOOKUP(E4890,DATABASE!C:Q,7,false)</f>
        <v>556800</v>
      </c>
      <c r="L4890" s="74">
        <v>540800.0</v>
      </c>
      <c r="M4890" s="74">
        <f t="shared" si="2"/>
        <v>545000</v>
      </c>
      <c r="N4890" s="74">
        <f t="shared" si="3"/>
        <v>170000</v>
      </c>
      <c r="O4890" s="65" t="str">
        <f>VLOOKUP(E4890,DATABASE!C:Q,8,false)</f>
        <v>BIAN</v>
      </c>
      <c r="P4890" s="65">
        <f>VLOOKUP(E4890,DATABASE!C:Q,9,False)</f>
        <v>1</v>
      </c>
      <c r="Q4890" s="93" t="str">
        <f>VLOOKUP(E4890,DATABASE!C:Q,4,false)</f>
        <v>GT</v>
      </c>
      <c r="R4890" s="93" t="str">
        <f>VLOOKUP(E4890,DATABASE!C:Q,11,false)</f>
        <v>Tire</v>
      </c>
    </row>
    <row r="4891" ht="22.5" customHeight="1">
      <c r="A4891" s="49"/>
      <c r="C4891" s="384">
        <v>45939.0</v>
      </c>
      <c r="D4891" s="65">
        <v>7409.0</v>
      </c>
      <c r="E4891" s="445" t="s">
        <v>268</v>
      </c>
      <c r="F4891" s="386">
        <v>1.0</v>
      </c>
      <c r="G4891" s="74">
        <v>720000.0</v>
      </c>
      <c r="H4891" s="74">
        <v>0.0</v>
      </c>
      <c r="I4891" s="74">
        <f t="shared" si="1"/>
        <v>720000</v>
      </c>
      <c r="J4891" s="74">
        <f>IF(E4891="SERVICE",I4891-(I4891*50%),Vlookup(E4891,DATABASE!C:Q,10,false)*F4891)</f>
        <v>0</v>
      </c>
      <c r="K4891" s="74">
        <f>VLOOKUP(E4891,DATABASE!C:Q,7,false)</f>
        <v>653000</v>
      </c>
      <c r="L4891" s="74">
        <v>622000.0</v>
      </c>
      <c r="M4891" s="74">
        <f t="shared" si="2"/>
        <v>625000</v>
      </c>
      <c r="N4891" s="74">
        <f t="shared" si="3"/>
        <v>95000</v>
      </c>
      <c r="O4891" s="65" t="str">
        <f>VLOOKUP(E4891,DATABASE!C:Q,8,false)</f>
        <v>IBU</v>
      </c>
      <c r="P4891" s="65">
        <f>VLOOKUP(E4891,DATABASE!C:Q,9,False)</f>
        <v>1</v>
      </c>
      <c r="Q4891" s="93" t="str">
        <f>VLOOKUP(E4891,DATABASE!C:Q,4,false)</f>
        <v>Dunlop</v>
      </c>
      <c r="R4891" s="93" t="str">
        <f>VLOOKUP(E4891,DATABASE!C:Q,11,false)</f>
        <v>Tire</v>
      </c>
    </row>
    <row r="4892" ht="22.5" customHeight="1">
      <c r="A4892" s="49"/>
      <c r="C4892" s="384">
        <v>45939.0</v>
      </c>
      <c r="D4892" s="65">
        <v>7410.0</v>
      </c>
      <c r="E4892" s="445" t="s">
        <v>262</v>
      </c>
      <c r="F4892" s="386">
        <v>1.0</v>
      </c>
      <c r="G4892" s="74">
        <v>110000.0</v>
      </c>
      <c r="H4892" s="74">
        <v>0.0</v>
      </c>
      <c r="I4892" s="74">
        <f t="shared" si="1"/>
        <v>110000</v>
      </c>
      <c r="J4892" s="74">
        <f>IF(E4892="SERVICE",I4892-(I4892*50%),Vlookup(E4892,DATABASE!C:Q,10,false)*F4892)</f>
        <v>5000</v>
      </c>
      <c r="K4892" s="74">
        <f>VLOOKUP(E4892,DATABASE!C:Q,7,false)</f>
        <v>0</v>
      </c>
      <c r="L4892" s="74">
        <v>0.0</v>
      </c>
      <c r="M4892" s="74">
        <f t="shared" si="2"/>
        <v>0</v>
      </c>
      <c r="N4892" s="74">
        <f t="shared" si="3"/>
        <v>105000</v>
      </c>
      <c r="O4892" s="65" t="str">
        <f>VLOOKUP(E4892,DATABASE!C:Q,8,false)</f>
        <v>IBU</v>
      </c>
      <c r="P4892" s="65">
        <f>VLOOKUP(E4892,DATABASE!C:Q,9,False)</f>
        <v>0</v>
      </c>
      <c r="Q4892" s="93" t="str">
        <f>VLOOKUP(E4892,DATABASE!C:Q,4,false)</f>
        <v>SPOORING SS/CARRY LOS BAK</v>
      </c>
      <c r="R4892" s="93" t="str">
        <f>VLOOKUP(E4892,DATABASE!C:Q,11,false)</f>
        <v>SERVICE</v>
      </c>
    </row>
    <row r="4893" ht="22.5" customHeight="1">
      <c r="A4893" s="49"/>
      <c r="C4893" s="384">
        <v>45939.0</v>
      </c>
      <c r="D4893" s="65">
        <v>7410.0</v>
      </c>
      <c r="E4893" s="385" t="s">
        <v>305</v>
      </c>
      <c r="F4893" s="386">
        <v>1.0</v>
      </c>
      <c r="G4893" s="74">
        <v>235000.0</v>
      </c>
      <c r="H4893" s="74">
        <v>0.0</v>
      </c>
      <c r="I4893" s="74">
        <f t="shared" si="1"/>
        <v>235000</v>
      </c>
      <c r="J4893" s="74">
        <f>IF(E4893="SERVICE",I4893-(I4893*50%),Vlookup(E4893,DATABASE!C:Q,10,false)*F4893)</f>
        <v>40000</v>
      </c>
      <c r="K4893" s="74">
        <f>VLOOKUP(E4893,DATABASE!C:Q,7,false)</f>
        <v>158530.2</v>
      </c>
      <c r="L4893" s="74">
        <v>151890.0</v>
      </c>
      <c r="M4893" s="74">
        <f t="shared" si="2"/>
        <v>155000</v>
      </c>
      <c r="N4893" s="74">
        <f t="shared" si="3"/>
        <v>40000</v>
      </c>
      <c r="O4893" s="65" t="str">
        <f>VLOOKUP(E4893,DATABASE!C:Q,8,false)</f>
        <v>BIAN</v>
      </c>
      <c r="P4893" s="65">
        <f>VLOOKUP(E4893,DATABASE!C:Q,9,False)</f>
        <v>1</v>
      </c>
      <c r="Q4893" s="93" t="str">
        <f>VLOOKUP(E4893,DATABASE!C:Q,4,false)</f>
        <v>Lower Arm</v>
      </c>
      <c r="R4893" s="93" t="str">
        <f>VLOOKUP(E4893,DATABASE!C:Q,11,false)</f>
        <v>COMPLEMENTARY</v>
      </c>
    </row>
    <row r="4894" ht="22.5" customHeight="1">
      <c r="A4894" s="49"/>
      <c r="C4894" s="384">
        <v>45939.0</v>
      </c>
      <c r="D4894" s="65">
        <v>7410.0</v>
      </c>
      <c r="E4894" s="445" t="s">
        <v>251</v>
      </c>
      <c r="F4894" s="386">
        <v>1.0</v>
      </c>
      <c r="G4894" s="74">
        <v>120000.0</v>
      </c>
      <c r="H4894" s="74">
        <v>0.0</v>
      </c>
      <c r="I4894" s="74">
        <f t="shared" si="1"/>
        <v>120000</v>
      </c>
      <c r="J4894" s="74">
        <f>IF(E4894="SERVICE",I4894-(I4894*50%),Vlookup(E4894,DATABASE!C:Q,10,false)*F4894)</f>
        <v>60000</v>
      </c>
      <c r="K4894" s="74">
        <f>VLOOKUP(E4894,DATABASE!C:Q,7,false)</f>
        <v>0</v>
      </c>
      <c r="L4894" s="74">
        <v>0.0</v>
      </c>
      <c r="M4894" s="74">
        <f t="shared" si="2"/>
        <v>0</v>
      </c>
      <c r="N4894" s="74">
        <f t="shared" si="3"/>
        <v>60000</v>
      </c>
      <c r="O4894" s="65" t="str">
        <f>VLOOKUP(E4894,DATABASE!C:Q,8,false)</f>
        <v>IBU</v>
      </c>
      <c r="P4894" s="65">
        <f>VLOOKUP(E4894,DATABASE!C:Q,9,False)</f>
        <v>0</v>
      </c>
      <c r="Q4894" s="93" t="str">
        <f>VLOOKUP(E4894,DATABASE!C:Q,4,false)</f>
        <v>SERVICE</v>
      </c>
      <c r="R4894" s="93" t="str">
        <f>VLOOKUP(E4894,DATABASE!C:Q,11,false)</f>
        <v>SERVICE</v>
      </c>
    </row>
    <row r="4895" ht="22.5" customHeight="1">
      <c r="A4895" s="49"/>
      <c r="C4895" s="384">
        <v>45939.0</v>
      </c>
      <c r="D4895" s="65">
        <v>7411.0</v>
      </c>
      <c r="E4895" s="445" t="s">
        <v>256</v>
      </c>
      <c r="F4895" s="386">
        <v>1.0</v>
      </c>
      <c r="G4895" s="74">
        <v>130000.0</v>
      </c>
      <c r="H4895" s="74">
        <v>0.0</v>
      </c>
      <c r="I4895" s="74">
        <f t="shared" si="1"/>
        <v>130000</v>
      </c>
      <c r="J4895" s="74">
        <f>IF(E4895="SERVICE",I4895-(I4895*50%),Vlookup(E4895,DATABASE!C:Q,10,false)*F4895)</f>
        <v>10000</v>
      </c>
      <c r="K4895" s="74">
        <f>VLOOKUP(E4895,DATABASE!C:Q,7,false)</f>
        <v>0</v>
      </c>
      <c r="L4895" s="74">
        <v>0.0</v>
      </c>
      <c r="M4895" s="74">
        <f t="shared" si="2"/>
        <v>0</v>
      </c>
      <c r="N4895" s="74">
        <f t="shared" si="3"/>
        <v>120000</v>
      </c>
      <c r="O4895" s="65" t="str">
        <f>VLOOKUP(E4895,DATABASE!C:Q,8,false)</f>
        <v>IBU</v>
      </c>
      <c r="P4895" s="65">
        <f>VLOOKUP(E4895,DATABASE!C:Q,9,False)</f>
        <v>0</v>
      </c>
      <c r="Q4895" s="93" t="str">
        <f>VLOOKUP(E4895,DATABASE!C:Q,4,false)</f>
        <v>SPOORING</v>
      </c>
      <c r="R4895" s="93" t="str">
        <f>VLOOKUP(E4895,DATABASE!C:Q,11,false)</f>
        <v>SERVICE</v>
      </c>
    </row>
    <row r="4896" ht="22.5" customHeight="1">
      <c r="A4896" s="49"/>
      <c r="C4896" s="384">
        <v>45940.0</v>
      </c>
      <c r="D4896" s="65">
        <v>7412.0</v>
      </c>
      <c r="E4896" s="445" t="s">
        <v>256</v>
      </c>
      <c r="F4896" s="386">
        <v>1.0</v>
      </c>
      <c r="G4896" s="74">
        <v>130000.0</v>
      </c>
      <c r="H4896" s="74">
        <v>0.0</v>
      </c>
      <c r="I4896" s="74">
        <f t="shared" si="1"/>
        <v>130000</v>
      </c>
      <c r="J4896" s="74">
        <f>IF(E4896="SERVICE",I4896-(I4896*50%),Vlookup(E4896,DATABASE!C:Q,10,false)*F4896)</f>
        <v>10000</v>
      </c>
      <c r="K4896" s="74">
        <f>VLOOKUP(E4896,DATABASE!C:Q,7,false)</f>
        <v>0</v>
      </c>
      <c r="L4896" s="74">
        <v>0.0</v>
      </c>
      <c r="M4896" s="74">
        <f t="shared" si="2"/>
        <v>0</v>
      </c>
      <c r="N4896" s="74">
        <f t="shared" si="3"/>
        <v>120000</v>
      </c>
      <c r="O4896" s="65" t="str">
        <f>VLOOKUP(E4896,DATABASE!C:Q,8,false)</f>
        <v>IBU</v>
      </c>
      <c r="P4896" s="65">
        <f>VLOOKUP(E4896,DATABASE!C:Q,9,False)</f>
        <v>0</v>
      </c>
      <c r="Q4896" s="93" t="str">
        <f>VLOOKUP(E4896,DATABASE!C:Q,4,false)</f>
        <v>SPOORING</v>
      </c>
      <c r="R4896" s="93" t="str">
        <f>VLOOKUP(E4896,DATABASE!C:Q,11,false)</f>
        <v>SERVICE</v>
      </c>
    </row>
    <row r="4897" ht="22.5" customHeight="1">
      <c r="A4897" s="49"/>
      <c r="C4897" s="384">
        <v>45940.0</v>
      </c>
      <c r="D4897" s="65">
        <v>7413.0</v>
      </c>
      <c r="E4897" s="445" t="s">
        <v>275</v>
      </c>
      <c r="F4897" s="386">
        <v>1.0</v>
      </c>
      <c r="G4897" s="74">
        <v>850000.0</v>
      </c>
      <c r="H4897" s="74">
        <v>0.0</v>
      </c>
      <c r="I4897" s="74">
        <f t="shared" si="1"/>
        <v>850000</v>
      </c>
      <c r="J4897" s="74">
        <f>IF(E4897="SERVICE",I4897-(I4897*50%),Vlookup(E4897,DATABASE!C:Q,10,false)*F4897)</f>
        <v>0</v>
      </c>
      <c r="K4897" s="74">
        <f>VLOOKUP(E4897,DATABASE!C:Q,7,false)</f>
        <v>782000</v>
      </c>
      <c r="L4897" s="74">
        <v>745000.0</v>
      </c>
      <c r="M4897" s="74">
        <f t="shared" si="2"/>
        <v>745000</v>
      </c>
      <c r="N4897" s="74">
        <f t="shared" si="3"/>
        <v>105000</v>
      </c>
      <c r="O4897" s="65" t="str">
        <f>VLOOKUP(E4897,DATABASE!C:Q,8,false)</f>
        <v>IBU</v>
      </c>
      <c r="P4897" s="65">
        <f>VLOOKUP(E4897,DATABASE!C:Q,9,False)</f>
        <v>1</v>
      </c>
      <c r="Q4897" s="93" t="str">
        <f>VLOOKUP(E4897,DATABASE!C:Q,4,false)</f>
        <v>Dunlop</v>
      </c>
      <c r="R4897" s="93" t="str">
        <f>VLOOKUP(E4897,DATABASE!C:Q,11,false)</f>
        <v>Tire</v>
      </c>
    </row>
    <row r="4898" ht="22.5" customHeight="1">
      <c r="A4898" s="49"/>
      <c r="C4898" s="384">
        <v>45940.0</v>
      </c>
      <c r="D4898" s="65">
        <v>7414.0</v>
      </c>
      <c r="E4898" s="445" t="s">
        <v>268</v>
      </c>
      <c r="F4898" s="386">
        <v>1.0</v>
      </c>
      <c r="G4898" s="74">
        <v>720000.0</v>
      </c>
      <c r="H4898" s="74">
        <v>0.0</v>
      </c>
      <c r="I4898" s="74">
        <f t="shared" si="1"/>
        <v>720000</v>
      </c>
      <c r="J4898" s="74">
        <f>IF(E4898="SERVICE",I4898-(I4898*50%),Vlookup(E4898,DATABASE!C:Q,10,false)*F4898)</f>
        <v>0</v>
      </c>
      <c r="K4898" s="74">
        <f>VLOOKUP(E4898,DATABASE!C:Q,7,false)</f>
        <v>653000</v>
      </c>
      <c r="L4898" s="74">
        <v>622000.0</v>
      </c>
      <c r="M4898" s="74">
        <f t="shared" si="2"/>
        <v>625000</v>
      </c>
      <c r="N4898" s="74">
        <f t="shared" si="3"/>
        <v>95000</v>
      </c>
      <c r="O4898" s="65" t="str">
        <f>VLOOKUP(E4898,DATABASE!C:Q,8,false)</f>
        <v>IBU</v>
      </c>
      <c r="P4898" s="65">
        <f>VLOOKUP(E4898,DATABASE!C:Q,9,False)</f>
        <v>1</v>
      </c>
      <c r="Q4898" s="93" t="str">
        <f>VLOOKUP(E4898,DATABASE!C:Q,4,false)</f>
        <v>Dunlop</v>
      </c>
      <c r="R4898" s="93" t="str">
        <f>VLOOKUP(E4898,DATABASE!C:Q,11,false)</f>
        <v>Tire</v>
      </c>
    </row>
    <row r="4899" ht="22.5" customHeight="1">
      <c r="A4899" s="49"/>
      <c r="C4899" s="384">
        <v>45940.0</v>
      </c>
      <c r="D4899" s="65">
        <v>7415.0</v>
      </c>
      <c r="E4899" s="445" t="s">
        <v>1258</v>
      </c>
      <c r="F4899" s="386">
        <v>2.0</v>
      </c>
      <c r="G4899" s="74">
        <v>1300000.0</v>
      </c>
      <c r="H4899" s="74">
        <v>0.0</v>
      </c>
      <c r="I4899" s="74">
        <f t="shared" si="1"/>
        <v>2600000</v>
      </c>
      <c r="J4899" s="74">
        <f>IF(E4899="SERVICE",I4899-(I4899*50%),Vlookup(E4899,DATABASE!C:Q,10,false)*F4899)</f>
        <v>0</v>
      </c>
      <c r="K4899" s="74">
        <f>VLOOKUP(E4899,DATABASE!C:Q,7,false)</f>
        <v>1198000</v>
      </c>
      <c r="L4899" s="74">
        <v>1198000.0</v>
      </c>
      <c r="M4899" s="74">
        <f t="shared" si="2"/>
        <v>1200000</v>
      </c>
      <c r="N4899" s="74">
        <f t="shared" si="3"/>
        <v>200000</v>
      </c>
      <c r="O4899" s="65" t="str">
        <f>VLOOKUP(E4899,DATABASE!C:Q,8,false)</f>
        <v>IBU</v>
      </c>
      <c r="P4899" s="65">
        <f>VLOOKUP(E4899,DATABASE!C:Q,9,False)</f>
        <v>1</v>
      </c>
      <c r="Q4899" s="93" t="str">
        <f>VLOOKUP(E4899,DATABASE!C:Q,4,false)</f>
        <v>Bridgestone</v>
      </c>
      <c r="R4899" s="93" t="str">
        <f>VLOOKUP(E4899,DATABASE!C:Q,11,false)</f>
        <v>Tire</v>
      </c>
    </row>
    <row r="4900" ht="22.5" customHeight="1">
      <c r="A4900" s="49"/>
      <c r="C4900" s="384">
        <v>45940.0</v>
      </c>
      <c r="D4900" s="65">
        <v>7416.0</v>
      </c>
      <c r="E4900" s="445" t="s">
        <v>275</v>
      </c>
      <c r="F4900" s="386">
        <v>1.0</v>
      </c>
      <c r="G4900" s="74">
        <v>850000.0</v>
      </c>
      <c r="H4900" s="74">
        <v>0.0</v>
      </c>
      <c r="I4900" s="74">
        <f t="shared" si="1"/>
        <v>850000</v>
      </c>
      <c r="J4900" s="74">
        <f>IF(E4900="SERVICE",I4900-(I4900*50%),Vlookup(E4900,DATABASE!C:Q,10,false)*F4900)</f>
        <v>0</v>
      </c>
      <c r="K4900" s="74">
        <f>VLOOKUP(E4900,DATABASE!C:Q,7,false)</f>
        <v>782000</v>
      </c>
      <c r="L4900" s="74">
        <v>745000.0</v>
      </c>
      <c r="M4900" s="74">
        <f t="shared" si="2"/>
        <v>745000</v>
      </c>
      <c r="N4900" s="74">
        <f t="shared" si="3"/>
        <v>105000</v>
      </c>
      <c r="O4900" s="65" t="str">
        <f>VLOOKUP(E4900,DATABASE!C:Q,8,false)</f>
        <v>IBU</v>
      </c>
      <c r="P4900" s="65">
        <f>VLOOKUP(E4900,DATABASE!C:Q,9,False)</f>
        <v>1</v>
      </c>
      <c r="Q4900" s="93" t="str">
        <f>VLOOKUP(E4900,DATABASE!C:Q,4,false)</f>
        <v>Dunlop</v>
      </c>
      <c r="R4900" s="93" t="str">
        <f>VLOOKUP(E4900,DATABASE!C:Q,11,false)</f>
        <v>Tire</v>
      </c>
    </row>
    <row r="4901" ht="22.5" customHeight="1">
      <c r="A4901" s="49"/>
      <c r="C4901" s="384">
        <v>45940.0</v>
      </c>
      <c r="D4901" s="65">
        <v>7416.0</v>
      </c>
      <c r="E4901" s="445" t="s">
        <v>856</v>
      </c>
      <c r="F4901" s="386">
        <v>1.0</v>
      </c>
      <c r="G4901" s="74">
        <v>670000.0</v>
      </c>
      <c r="H4901" s="74">
        <v>0.0</v>
      </c>
      <c r="I4901" s="74">
        <f t="shared" si="1"/>
        <v>670000</v>
      </c>
      <c r="J4901" s="74">
        <f>IF(E4901="SERVICE",I4901-(I4901*50%),Vlookup(E4901,DATABASE!C:Q,10,false)*F4901)</f>
        <v>0</v>
      </c>
      <c r="K4901" s="74">
        <f>VLOOKUP(E4901,DATABASE!C:Q,7,false)</f>
        <v>615300</v>
      </c>
      <c r="L4901" s="74">
        <v>581120.0</v>
      </c>
      <c r="M4901" s="74">
        <f t="shared" si="2"/>
        <v>585000</v>
      </c>
      <c r="N4901" s="74">
        <f t="shared" si="3"/>
        <v>85000</v>
      </c>
      <c r="O4901" s="65" t="str">
        <f>VLOOKUP(E4901,DATABASE!C:Q,8,false)</f>
        <v>BIAN</v>
      </c>
      <c r="P4901" s="65">
        <f>VLOOKUP(E4901,DATABASE!C:Q,9,False)</f>
        <v>1</v>
      </c>
      <c r="Q4901" s="93" t="str">
        <f>VLOOKUP(E4901,DATABASE!C:Q,4,false)</f>
        <v>GT</v>
      </c>
      <c r="R4901" s="93" t="str">
        <f>VLOOKUP(E4901,DATABASE!C:Q,11,false)</f>
        <v>Tire</v>
      </c>
    </row>
    <row r="4902" ht="22.5" customHeight="1">
      <c r="A4902" s="49"/>
      <c r="C4902" s="384">
        <v>45940.0</v>
      </c>
      <c r="D4902" s="65">
        <v>7417.0</v>
      </c>
      <c r="E4902" s="445" t="s">
        <v>251</v>
      </c>
      <c r="F4902" s="386">
        <v>1.0</v>
      </c>
      <c r="G4902" s="74">
        <v>150000.0</v>
      </c>
      <c r="H4902" s="74">
        <v>0.0</v>
      </c>
      <c r="I4902" s="74">
        <f t="shared" si="1"/>
        <v>150000</v>
      </c>
      <c r="J4902" s="74">
        <f>IF(E4902="SERVICE",I4902-(I4902*50%),Vlookup(E4902,DATABASE!C:Q,10,false)*F4902)</f>
        <v>75000</v>
      </c>
      <c r="K4902" s="74">
        <f>VLOOKUP(E4902,DATABASE!C:Q,7,false)</f>
        <v>0</v>
      </c>
      <c r="L4902" s="74">
        <v>0.0</v>
      </c>
      <c r="M4902" s="74">
        <f t="shared" si="2"/>
        <v>0</v>
      </c>
      <c r="N4902" s="74">
        <f t="shared" si="3"/>
        <v>75000</v>
      </c>
      <c r="O4902" s="65" t="str">
        <f>VLOOKUP(E4902,DATABASE!C:Q,8,false)</f>
        <v>IBU</v>
      </c>
      <c r="P4902" s="65">
        <f>VLOOKUP(E4902,DATABASE!C:Q,9,False)</f>
        <v>0</v>
      </c>
      <c r="Q4902" s="93" t="str">
        <f>VLOOKUP(E4902,DATABASE!C:Q,4,false)</f>
        <v>SERVICE</v>
      </c>
      <c r="R4902" s="93" t="str">
        <f>VLOOKUP(E4902,DATABASE!C:Q,11,false)</f>
        <v>SERVICE</v>
      </c>
    </row>
    <row r="4903" ht="22.5" customHeight="1">
      <c r="A4903" s="49"/>
      <c r="C4903" s="384">
        <v>45940.0</v>
      </c>
      <c r="D4903" s="65">
        <v>7418.0</v>
      </c>
      <c r="E4903" s="445" t="s">
        <v>614</v>
      </c>
      <c r="F4903" s="386">
        <v>2.0</v>
      </c>
      <c r="G4903" s="74">
        <v>870000.0</v>
      </c>
      <c r="H4903" s="74">
        <v>0.0</v>
      </c>
      <c r="I4903" s="74">
        <f t="shared" si="1"/>
        <v>1740000</v>
      </c>
      <c r="J4903" s="74">
        <f>IF(E4903="SERVICE",I4903-(I4903*50%),Vlookup(E4903,DATABASE!C:Q,10,false)*F4903)</f>
        <v>0</v>
      </c>
      <c r="K4903" s="74">
        <f>VLOOKUP(E4903,DATABASE!C:Q,7,false)</f>
        <v>754660.6</v>
      </c>
      <c r="L4903" s="74">
        <v>766438.4</v>
      </c>
      <c r="M4903" s="74">
        <f t="shared" si="2"/>
        <v>770000</v>
      </c>
      <c r="N4903" s="74">
        <f t="shared" si="3"/>
        <v>200000</v>
      </c>
      <c r="O4903" s="65" t="str">
        <f>VLOOKUP(E4903,DATABASE!C:Q,8,false)</f>
        <v>IBU</v>
      </c>
      <c r="P4903" s="65">
        <f>VLOOKUP(E4903,DATABASE!C:Q,9,False)</f>
        <v>1</v>
      </c>
      <c r="Q4903" s="93" t="str">
        <f>VLOOKUP(E4903,DATABASE!C:Q,4,false)</f>
        <v>Bridgestone</v>
      </c>
      <c r="R4903" s="93" t="str">
        <f>VLOOKUP(E4903,DATABASE!C:Q,11,false)</f>
        <v>Tire</v>
      </c>
    </row>
    <row r="4904" ht="22.5" customHeight="1">
      <c r="A4904" s="49"/>
      <c r="C4904" s="384">
        <v>45940.0</v>
      </c>
      <c r="D4904" s="65">
        <v>7419.0</v>
      </c>
      <c r="E4904" s="445" t="s">
        <v>572</v>
      </c>
      <c r="F4904" s="386">
        <v>1.0</v>
      </c>
      <c r="G4904" s="74">
        <v>1350000.0</v>
      </c>
      <c r="H4904" s="74">
        <v>0.0</v>
      </c>
      <c r="I4904" s="74">
        <f t="shared" si="1"/>
        <v>1350000</v>
      </c>
      <c r="J4904" s="74">
        <f>IF(E4904="SERVICE",I4904-(I4904*50%),Vlookup(E4904,DATABASE!C:Q,10,false)*F4904)</f>
        <v>0</v>
      </c>
      <c r="K4904" s="74">
        <f>VLOOKUP(E4904,DATABASE!C:Q,7,false)</f>
        <v>1265000</v>
      </c>
      <c r="L4904" s="74">
        <v>1245000.0</v>
      </c>
      <c r="M4904" s="74">
        <f t="shared" si="2"/>
        <v>1245000</v>
      </c>
      <c r="N4904" s="74">
        <f t="shared" si="3"/>
        <v>105000</v>
      </c>
      <c r="O4904" s="65" t="str">
        <f>VLOOKUP(E4904,DATABASE!C:Q,8,false)</f>
        <v>IBU</v>
      </c>
      <c r="P4904" s="65">
        <f>VLOOKUP(E4904,DATABASE!C:Q,9,False)</f>
        <v>1</v>
      </c>
      <c r="Q4904" s="93" t="str">
        <f>VLOOKUP(E4904,DATABASE!C:Q,4,false)</f>
        <v>Bridgestone</v>
      </c>
      <c r="R4904" s="93" t="str">
        <f>VLOOKUP(E4904,DATABASE!C:Q,11,false)</f>
        <v>Tire</v>
      </c>
    </row>
    <row r="4905" ht="22.5" customHeight="1">
      <c r="A4905" s="49"/>
      <c r="C4905" s="384">
        <v>45940.0</v>
      </c>
      <c r="D4905" s="65">
        <v>7419.0</v>
      </c>
      <c r="E4905" s="445" t="s">
        <v>604</v>
      </c>
      <c r="F4905" s="386">
        <v>1.0</v>
      </c>
      <c r="G4905" s="74">
        <v>200000.0</v>
      </c>
      <c r="H4905" s="74">
        <v>0.0</v>
      </c>
      <c r="I4905" s="74">
        <f t="shared" si="1"/>
        <v>200000</v>
      </c>
      <c r="J4905" s="74">
        <f>IF(E4905="SERVICE",I4905-(I4905*50%),Vlookup(E4905,DATABASE!C:Q,10,false)*F4905)</f>
        <v>0</v>
      </c>
      <c r="K4905" s="74">
        <f>VLOOKUP(E4905,DATABASE!C:Q,7,false)</f>
        <v>124000</v>
      </c>
      <c r="L4905" s="74">
        <v>124000.0</v>
      </c>
      <c r="M4905" s="74">
        <f t="shared" si="2"/>
        <v>125000</v>
      </c>
      <c r="N4905" s="74">
        <f t="shared" si="3"/>
        <v>75000</v>
      </c>
      <c r="O4905" s="65" t="str">
        <f>VLOOKUP(E4905,DATABASE!C:Q,8,false)</f>
        <v>BIAN</v>
      </c>
      <c r="P4905" s="65">
        <f>VLOOKUP(E4905,DATABASE!C:Q,9,False)</f>
        <v>1</v>
      </c>
      <c r="Q4905" s="93" t="str">
        <f>VLOOKUP(E4905,DATABASE!C:Q,4,false)</f>
        <v>BD</v>
      </c>
      <c r="R4905" s="93" t="str">
        <f>VLOOKUP(E4905,DATABASE!C:Q,11,false)</f>
        <v>Tire</v>
      </c>
    </row>
    <row r="4906" ht="22.5" customHeight="1">
      <c r="A4906" s="49"/>
      <c r="C4906" s="384">
        <v>45940.0</v>
      </c>
      <c r="D4906" s="65">
        <v>7420.0</v>
      </c>
      <c r="E4906" s="445" t="s">
        <v>695</v>
      </c>
      <c r="F4906" s="386">
        <v>2.0</v>
      </c>
      <c r="G4906" s="74">
        <v>675000.0</v>
      </c>
      <c r="H4906" s="74">
        <v>0.0</v>
      </c>
      <c r="I4906" s="74">
        <f t="shared" si="1"/>
        <v>1350000</v>
      </c>
      <c r="J4906" s="74">
        <f>IF(E4906="SERVICE",I4906-(I4906*50%),Vlookup(E4906,DATABASE!C:Q,10,false)*F4906)</f>
        <v>0</v>
      </c>
      <c r="K4906" s="74">
        <f>VLOOKUP(E4906,DATABASE!C:Q,7,false)</f>
        <v>582000</v>
      </c>
      <c r="L4906" s="74">
        <v>570000.0</v>
      </c>
      <c r="M4906" s="74">
        <f t="shared" si="2"/>
        <v>570000</v>
      </c>
      <c r="N4906" s="74">
        <f t="shared" si="3"/>
        <v>210000</v>
      </c>
      <c r="O4906" s="65" t="str">
        <f>VLOOKUP(E4906,DATABASE!C:Q,8,false)</f>
        <v>IBU</v>
      </c>
      <c r="P4906" s="65">
        <f>VLOOKUP(E4906,DATABASE!C:Q,9,False)</f>
        <v>1</v>
      </c>
      <c r="Q4906" s="93" t="str">
        <f>VLOOKUP(E4906,DATABASE!C:Q,4,false)</f>
        <v>Dunlop</v>
      </c>
      <c r="R4906" s="93" t="str">
        <f>VLOOKUP(E4906,DATABASE!C:Q,11,false)</f>
        <v>Tire</v>
      </c>
    </row>
    <row r="4907" ht="22.5" customHeight="1">
      <c r="A4907" s="49"/>
      <c r="C4907" s="384">
        <v>45940.0</v>
      </c>
      <c r="D4907" s="65">
        <v>7420.0</v>
      </c>
      <c r="E4907" s="445" t="s">
        <v>256</v>
      </c>
      <c r="F4907" s="386">
        <v>1.0</v>
      </c>
      <c r="G4907" s="74">
        <v>130000.0</v>
      </c>
      <c r="H4907" s="74">
        <v>0.0</v>
      </c>
      <c r="I4907" s="74">
        <f t="shared" si="1"/>
        <v>130000</v>
      </c>
      <c r="J4907" s="74">
        <f>IF(E4907="SERVICE",I4907-(I4907*50%),Vlookup(E4907,DATABASE!C:Q,10,false)*F4907)</f>
        <v>10000</v>
      </c>
      <c r="K4907" s="74">
        <f>VLOOKUP(E4907,DATABASE!C:Q,7,false)</f>
        <v>0</v>
      </c>
      <c r="L4907" s="74">
        <v>0.0</v>
      </c>
      <c r="M4907" s="74">
        <f t="shared" si="2"/>
        <v>0</v>
      </c>
      <c r="N4907" s="74">
        <f t="shared" si="3"/>
        <v>120000</v>
      </c>
      <c r="O4907" s="65" t="str">
        <f>VLOOKUP(E4907,DATABASE!C:Q,8,false)</f>
        <v>IBU</v>
      </c>
      <c r="P4907" s="65">
        <f>VLOOKUP(E4907,DATABASE!C:Q,9,False)</f>
        <v>0</v>
      </c>
      <c r="Q4907" s="93" t="str">
        <f>VLOOKUP(E4907,DATABASE!C:Q,4,false)</f>
        <v>SPOORING</v>
      </c>
      <c r="R4907" s="93" t="str">
        <f>VLOOKUP(E4907,DATABASE!C:Q,11,false)</f>
        <v>SERVICE</v>
      </c>
    </row>
    <row r="4908" ht="22.5" customHeight="1">
      <c r="A4908" s="49"/>
      <c r="C4908" s="384">
        <v>45940.0</v>
      </c>
      <c r="D4908" s="65">
        <v>7420.0</v>
      </c>
      <c r="E4908" s="445" t="s">
        <v>301</v>
      </c>
      <c r="F4908" s="386">
        <v>1.0</v>
      </c>
      <c r="G4908" s="74">
        <v>250000.0</v>
      </c>
      <c r="H4908" s="74">
        <v>0.0</v>
      </c>
      <c r="I4908" s="74">
        <f t="shared" si="1"/>
        <v>250000</v>
      </c>
      <c r="J4908" s="74">
        <f>IF(E4908="SERVICE",I4908-(I4908*50%),Vlookup(E4908,DATABASE!C:Q,10,false)*F4908)</f>
        <v>75000</v>
      </c>
      <c r="K4908" s="74">
        <f>VLOOKUP(E4908,DATABASE!C:Q,7,false)</f>
        <v>75000</v>
      </c>
      <c r="L4908" s="74">
        <v>75000.0</v>
      </c>
      <c r="M4908" s="74">
        <f t="shared" si="2"/>
        <v>75000</v>
      </c>
      <c r="N4908" s="74">
        <f t="shared" si="3"/>
        <v>100000</v>
      </c>
      <c r="O4908" s="65" t="str">
        <f>VLOOKUP(E4908,DATABASE!C:Q,8,false)</f>
        <v>BIAN</v>
      </c>
      <c r="P4908" s="65">
        <f>VLOOKUP(E4908,DATABASE!C:Q,9,False)</f>
        <v>0</v>
      </c>
      <c r="Q4908" s="93" t="str">
        <f>VLOOKUP(E4908,DATABASE!C:Q,4,false)</f>
        <v>Baut Camber</v>
      </c>
      <c r="R4908" s="93" t="str">
        <f>VLOOKUP(E4908,DATABASE!C:Q,11,false)</f>
        <v>COMPLEMENTARY</v>
      </c>
    </row>
    <row r="4909" ht="22.5" customHeight="1">
      <c r="A4909" s="49"/>
      <c r="C4909" s="384">
        <v>45940.0</v>
      </c>
      <c r="D4909" s="65">
        <v>7420.0</v>
      </c>
      <c r="E4909" s="385" t="s">
        <v>299</v>
      </c>
      <c r="F4909" s="386">
        <v>2.0</v>
      </c>
      <c r="G4909" s="74">
        <v>30000.0</v>
      </c>
      <c r="H4909" s="74">
        <v>0.0</v>
      </c>
      <c r="I4909" s="74">
        <f t="shared" si="1"/>
        <v>60000</v>
      </c>
      <c r="J4909" s="74">
        <f>IF(E4909="SERVICE",I4909-(I4909*50%),Vlookup(E4909,DATABASE!C:Q,10,false)*F4909)</f>
        <v>0</v>
      </c>
      <c r="K4909" s="74">
        <v>0.0</v>
      </c>
      <c r="L4909" s="74">
        <v>0.0</v>
      </c>
      <c r="M4909" s="74">
        <f t="shared" si="2"/>
        <v>0</v>
      </c>
      <c r="N4909" s="74">
        <f t="shared" si="3"/>
        <v>60000</v>
      </c>
      <c r="O4909" s="65" t="str">
        <f>VLOOKUP(E4909,DATABASE!C:Q,8,false)</f>
        <v>BIAN</v>
      </c>
      <c r="P4909" s="65">
        <f>VLOOKUP(E4909,DATABASE!C:Q,9,False)</f>
        <v>0</v>
      </c>
      <c r="Q4909" s="93" t="str">
        <f>VLOOKUP(E4909,DATABASE!C:Q,4,false)</f>
        <v>Balancing</v>
      </c>
      <c r="R4909" s="93" t="str">
        <f>VLOOKUP(E4909,DATABASE!C:Q,11,false)</f>
        <v>COMPLEMENTARY</v>
      </c>
    </row>
    <row r="4910" ht="22.5" customHeight="1">
      <c r="A4910" s="49"/>
      <c r="C4910" s="384">
        <v>45940.0</v>
      </c>
      <c r="D4910" s="65">
        <v>7421.0</v>
      </c>
      <c r="E4910" s="445" t="s">
        <v>932</v>
      </c>
      <c r="F4910" s="386">
        <v>2.0</v>
      </c>
      <c r="G4910" s="74">
        <v>685000.0</v>
      </c>
      <c r="H4910" s="74">
        <v>0.0</v>
      </c>
      <c r="I4910" s="74">
        <f t="shared" si="1"/>
        <v>1370000</v>
      </c>
      <c r="J4910" s="74">
        <f>IF(E4910="SERVICE",I4910-(I4910*50%),Vlookup(E4910,DATABASE!C:Q,10,false)*F4910)</f>
        <v>0</v>
      </c>
      <c r="K4910" s="74">
        <f>VLOOKUP(E4910,DATABASE!C:Q,7,false)</f>
        <v>601000</v>
      </c>
      <c r="L4910" s="74">
        <v>595000.0</v>
      </c>
      <c r="M4910" s="74">
        <f t="shared" si="2"/>
        <v>595000</v>
      </c>
      <c r="N4910" s="74">
        <f t="shared" si="3"/>
        <v>180000</v>
      </c>
      <c r="O4910" s="65" t="str">
        <f>VLOOKUP(E4910,DATABASE!C:Q,8,false)</f>
        <v>IBU</v>
      </c>
      <c r="P4910" s="65">
        <f>VLOOKUP(E4910,DATABASE!C:Q,9,False)</f>
        <v>1</v>
      </c>
      <c r="Q4910" s="93" t="str">
        <f>VLOOKUP(E4910,DATABASE!C:Q,4,false)</f>
        <v>Dunlop</v>
      </c>
      <c r="R4910" s="93" t="str">
        <f>VLOOKUP(E4910,DATABASE!C:Q,11,false)</f>
        <v>Tire</v>
      </c>
    </row>
    <row r="4911" ht="22.5" customHeight="1">
      <c r="A4911" s="49"/>
      <c r="C4911" s="384">
        <v>45940.0</v>
      </c>
      <c r="D4911" s="65">
        <v>7421.0</v>
      </c>
      <c r="E4911" s="385" t="s">
        <v>299</v>
      </c>
      <c r="F4911" s="386">
        <v>2.0</v>
      </c>
      <c r="G4911" s="74">
        <v>25000.0</v>
      </c>
      <c r="H4911" s="74">
        <v>0.0</v>
      </c>
      <c r="I4911" s="74">
        <f t="shared" si="1"/>
        <v>50000</v>
      </c>
      <c r="J4911" s="74">
        <f>IF(E4911="SERVICE",I4911-(I4911*50%),Vlookup(E4911,DATABASE!C:Q,10,false)*F4911)</f>
        <v>0</v>
      </c>
      <c r="K4911" s="74">
        <v>0.0</v>
      </c>
      <c r="L4911" s="74">
        <v>0.0</v>
      </c>
      <c r="M4911" s="74">
        <f t="shared" si="2"/>
        <v>0</v>
      </c>
      <c r="N4911" s="74">
        <f t="shared" si="3"/>
        <v>50000</v>
      </c>
      <c r="O4911" s="65" t="str">
        <f>VLOOKUP(E4911,DATABASE!C:Q,8,false)</f>
        <v>BIAN</v>
      </c>
      <c r="P4911" s="65">
        <f>VLOOKUP(E4911,DATABASE!C:Q,9,False)</f>
        <v>0</v>
      </c>
      <c r="Q4911" s="93" t="str">
        <f>VLOOKUP(E4911,DATABASE!C:Q,4,false)</f>
        <v>Balancing</v>
      </c>
      <c r="R4911" s="93" t="str">
        <f>VLOOKUP(E4911,DATABASE!C:Q,11,false)</f>
        <v>COMPLEMENTARY</v>
      </c>
    </row>
    <row r="4912" ht="22.5" customHeight="1">
      <c r="A4912" s="49"/>
      <c r="C4912" s="384">
        <v>45940.0</v>
      </c>
      <c r="D4912" s="65">
        <v>7421.0</v>
      </c>
      <c r="E4912" s="445" t="s">
        <v>256</v>
      </c>
      <c r="F4912" s="386">
        <v>1.0</v>
      </c>
      <c r="G4912" s="74">
        <v>130000.0</v>
      </c>
      <c r="H4912" s="74">
        <v>0.0</v>
      </c>
      <c r="I4912" s="74">
        <f t="shared" si="1"/>
        <v>130000</v>
      </c>
      <c r="J4912" s="74">
        <f>IF(E4912="SERVICE",I4912-(I4912*50%),Vlookup(E4912,DATABASE!C:Q,10,false)*F4912)</f>
        <v>10000</v>
      </c>
      <c r="K4912" s="74">
        <f>VLOOKUP(E4912,DATABASE!C:Q,7,false)</f>
        <v>0</v>
      </c>
      <c r="L4912" s="74">
        <v>0.0</v>
      </c>
      <c r="M4912" s="74">
        <f t="shared" si="2"/>
        <v>0</v>
      </c>
      <c r="N4912" s="74">
        <f t="shared" si="3"/>
        <v>120000</v>
      </c>
      <c r="O4912" s="65" t="str">
        <f>VLOOKUP(E4912,DATABASE!C:Q,8,false)</f>
        <v>IBU</v>
      </c>
      <c r="P4912" s="65">
        <f>VLOOKUP(E4912,DATABASE!C:Q,9,False)</f>
        <v>0</v>
      </c>
      <c r="Q4912" s="93" t="str">
        <f>VLOOKUP(E4912,DATABASE!C:Q,4,false)</f>
        <v>SPOORING</v>
      </c>
      <c r="R4912" s="93" t="str">
        <f>VLOOKUP(E4912,DATABASE!C:Q,11,false)</f>
        <v>SERVICE</v>
      </c>
    </row>
    <row r="4913" ht="22.5" customHeight="1">
      <c r="A4913" s="49"/>
      <c r="C4913" s="384">
        <v>45940.0</v>
      </c>
      <c r="D4913" s="65">
        <v>7421.0</v>
      </c>
      <c r="E4913" s="445" t="s">
        <v>301</v>
      </c>
      <c r="F4913" s="386">
        <v>1.0</v>
      </c>
      <c r="G4913" s="74">
        <v>250000.0</v>
      </c>
      <c r="H4913" s="74">
        <v>0.0</v>
      </c>
      <c r="I4913" s="74">
        <f t="shared" si="1"/>
        <v>250000</v>
      </c>
      <c r="J4913" s="74">
        <f>IF(E4913="SERVICE",I4913-(I4913*50%),Vlookup(E4913,DATABASE!C:Q,10,false)*F4913)</f>
        <v>75000</v>
      </c>
      <c r="K4913" s="74">
        <f>VLOOKUP(E4913,DATABASE!C:Q,7,false)</f>
        <v>75000</v>
      </c>
      <c r="L4913" s="74">
        <v>75000.0</v>
      </c>
      <c r="M4913" s="74">
        <f t="shared" si="2"/>
        <v>75000</v>
      </c>
      <c r="N4913" s="74">
        <f t="shared" si="3"/>
        <v>100000</v>
      </c>
      <c r="O4913" s="65" t="str">
        <f>VLOOKUP(E4913,DATABASE!C:Q,8,false)</f>
        <v>BIAN</v>
      </c>
      <c r="P4913" s="65">
        <f>VLOOKUP(E4913,DATABASE!C:Q,9,False)</f>
        <v>0</v>
      </c>
      <c r="Q4913" s="93" t="str">
        <f>VLOOKUP(E4913,DATABASE!C:Q,4,false)</f>
        <v>Baut Camber</v>
      </c>
      <c r="R4913" s="93" t="str">
        <f>VLOOKUP(E4913,DATABASE!C:Q,11,false)</f>
        <v>COMPLEMENTARY</v>
      </c>
    </row>
    <row r="4914" ht="22.5" customHeight="1">
      <c r="A4914" s="49"/>
      <c r="C4914" s="384">
        <v>45940.0</v>
      </c>
      <c r="D4914" s="65">
        <v>7422.0</v>
      </c>
      <c r="E4914" s="445" t="s">
        <v>268</v>
      </c>
      <c r="F4914" s="386">
        <v>2.0</v>
      </c>
      <c r="G4914" s="74">
        <v>720000.0</v>
      </c>
      <c r="H4914" s="74">
        <v>0.0</v>
      </c>
      <c r="I4914" s="74">
        <f t="shared" si="1"/>
        <v>1440000</v>
      </c>
      <c r="J4914" s="74">
        <f>IF(E4914="SERVICE",I4914-(I4914*50%),Vlookup(E4914,DATABASE!C:Q,10,false)*F4914)</f>
        <v>0</v>
      </c>
      <c r="K4914" s="74">
        <f>VLOOKUP(E4914,DATABASE!C:Q,7,false)</f>
        <v>653000</v>
      </c>
      <c r="L4914" s="74">
        <v>622000.0</v>
      </c>
      <c r="M4914" s="74">
        <f t="shared" si="2"/>
        <v>625000</v>
      </c>
      <c r="N4914" s="74">
        <f t="shared" si="3"/>
        <v>190000</v>
      </c>
      <c r="O4914" s="65" t="str">
        <f>VLOOKUP(E4914,DATABASE!C:Q,8,false)</f>
        <v>IBU</v>
      </c>
      <c r="P4914" s="65">
        <f>VLOOKUP(E4914,DATABASE!C:Q,9,False)</f>
        <v>1</v>
      </c>
      <c r="Q4914" s="93" t="str">
        <f>VLOOKUP(E4914,DATABASE!C:Q,4,false)</f>
        <v>Dunlop</v>
      </c>
      <c r="R4914" s="93" t="str">
        <f>VLOOKUP(E4914,DATABASE!C:Q,11,false)</f>
        <v>Tire</v>
      </c>
    </row>
    <row r="4915" ht="22.5" customHeight="1">
      <c r="A4915" s="49"/>
      <c r="C4915" s="384">
        <v>45940.0</v>
      </c>
      <c r="D4915" s="65">
        <v>7422.0</v>
      </c>
      <c r="E4915" s="445" t="s">
        <v>262</v>
      </c>
      <c r="F4915" s="386">
        <v>1.0</v>
      </c>
      <c r="G4915" s="74">
        <v>110000.0</v>
      </c>
      <c r="H4915" s="74">
        <v>0.0</v>
      </c>
      <c r="I4915" s="74">
        <f t="shared" si="1"/>
        <v>110000</v>
      </c>
      <c r="J4915" s="74">
        <f>IF(E4915="SERVICE",I4915-(I4915*50%),Vlookup(E4915,DATABASE!C:Q,10,false)*F4915)</f>
        <v>5000</v>
      </c>
      <c r="K4915" s="74">
        <f>VLOOKUP(E4915,DATABASE!C:Q,7,false)</f>
        <v>0</v>
      </c>
      <c r="L4915" s="74">
        <v>0.0</v>
      </c>
      <c r="M4915" s="74">
        <f t="shared" si="2"/>
        <v>0</v>
      </c>
      <c r="N4915" s="74">
        <f t="shared" si="3"/>
        <v>105000</v>
      </c>
      <c r="O4915" s="65" t="str">
        <f>VLOOKUP(E4915,DATABASE!C:Q,8,false)</f>
        <v>IBU</v>
      </c>
      <c r="P4915" s="65">
        <f>VLOOKUP(E4915,DATABASE!C:Q,9,False)</f>
        <v>0</v>
      </c>
      <c r="Q4915" s="93" t="str">
        <f>VLOOKUP(E4915,DATABASE!C:Q,4,false)</f>
        <v>SPOORING SS/CARRY LOS BAK</v>
      </c>
      <c r="R4915" s="93" t="str">
        <f>VLOOKUP(E4915,DATABASE!C:Q,11,false)</f>
        <v>SERVICE</v>
      </c>
    </row>
    <row r="4916" ht="22.5" customHeight="1">
      <c r="A4916" s="49"/>
      <c r="C4916" s="384">
        <v>45940.0</v>
      </c>
      <c r="D4916" s="65">
        <v>7422.0</v>
      </c>
      <c r="E4916" s="445" t="s">
        <v>251</v>
      </c>
      <c r="F4916" s="386">
        <v>1.0</v>
      </c>
      <c r="G4916" s="74">
        <v>150000.0</v>
      </c>
      <c r="H4916" s="74">
        <v>0.0</v>
      </c>
      <c r="I4916" s="74">
        <f t="shared" si="1"/>
        <v>150000</v>
      </c>
      <c r="J4916" s="74">
        <f>IF(E4916="SERVICE",I4916-(I4916*50%),Vlookup(E4916,DATABASE!C:Q,10,false)*F4916)</f>
        <v>75000</v>
      </c>
      <c r="K4916" s="74">
        <f>VLOOKUP(E4916,DATABASE!C:Q,7,false)</f>
        <v>0</v>
      </c>
      <c r="L4916" s="74">
        <v>0.0</v>
      </c>
      <c r="M4916" s="74">
        <f t="shared" si="2"/>
        <v>0</v>
      </c>
      <c r="N4916" s="74">
        <f t="shared" si="3"/>
        <v>75000</v>
      </c>
      <c r="O4916" s="65" t="str">
        <f>VLOOKUP(E4916,DATABASE!C:Q,8,false)</f>
        <v>IBU</v>
      </c>
      <c r="P4916" s="65">
        <f>VLOOKUP(E4916,DATABASE!C:Q,9,False)</f>
        <v>0</v>
      </c>
      <c r="Q4916" s="93" t="str">
        <f>VLOOKUP(E4916,DATABASE!C:Q,4,false)</f>
        <v>SERVICE</v>
      </c>
      <c r="R4916" s="93" t="str">
        <f>VLOOKUP(E4916,DATABASE!C:Q,11,false)</f>
        <v>SERVICE</v>
      </c>
    </row>
    <row r="4917" ht="22.5" customHeight="1">
      <c r="A4917" s="49"/>
      <c r="C4917" s="384">
        <v>45940.0</v>
      </c>
      <c r="D4917" s="65">
        <v>7423.0</v>
      </c>
      <c r="E4917" s="445" t="s">
        <v>275</v>
      </c>
      <c r="F4917" s="386">
        <v>1.0</v>
      </c>
      <c r="G4917" s="74">
        <v>850000.0</v>
      </c>
      <c r="H4917" s="74">
        <v>0.0</v>
      </c>
      <c r="I4917" s="74">
        <f t="shared" si="1"/>
        <v>850000</v>
      </c>
      <c r="J4917" s="74">
        <f>IF(E4917="SERVICE",I4917-(I4917*50%),Vlookup(E4917,DATABASE!C:Q,10,false)*F4917)</f>
        <v>0</v>
      </c>
      <c r="K4917" s="74">
        <f>VLOOKUP(E4917,DATABASE!C:Q,7,false)</f>
        <v>782000</v>
      </c>
      <c r="L4917" s="74">
        <v>745000.0</v>
      </c>
      <c r="M4917" s="74">
        <f t="shared" si="2"/>
        <v>745000</v>
      </c>
      <c r="N4917" s="74">
        <f t="shared" si="3"/>
        <v>105000</v>
      </c>
      <c r="O4917" s="65" t="str">
        <f>VLOOKUP(E4917,DATABASE!C:Q,8,false)</f>
        <v>IBU</v>
      </c>
      <c r="P4917" s="65">
        <f>VLOOKUP(E4917,DATABASE!C:Q,9,False)</f>
        <v>1</v>
      </c>
      <c r="Q4917" s="93" t="str">
        <f>VLOOKUP(E4917,DATABASE!C:Q,4,false)</f>
        <v>Dunlop</v>
      </c>
      <c r="R4917" s="93" t="str">
        <f>VLOOKUP(E4917,DATABASE!C:Q,11,false)</f>
        <v>Tire</v>
      </c>
    </row>
    <row r="4918" ht="22.5" customHeight="1">
      <c r="A4918" s="49"/>
      <c r="C4918" s="384">
        <v>45940.0</v>
      </c>
      <c r="D4918" s="65">
        <v>7424.0</v>
      </c>
      <c r="E4918" s="445" t="s">
        <v>250</v>
      </c>
      <c r="F4918" s="386">
        <v>1.0</v>
      </c>
      <c r="G4918" s="74">
        <v>130000.0</v>
      </c>
      <c r="H4918" s="74">
        <v>0.0</v>
      </c>
      <c r="I4918" s="74">
        <f t="shared" si="1"/>
        <v>130000</v>
      </c>
      <c r="J4918" s="74">
        <f>IF(E4918="SERVICE",I4918-(I4918*50%),Vlookup(E4918,DATABASE!C:Q,10,false)*F4918)</f>
        <v>0</v>
      </c>
      <c r="K4918" s="74">
        <f>VLOOKUP(E4918,DATABASE!C:Q,7,false)</f>
        <v>102000</v>
      </c>
      <c r="L4918" s="74">
        <v>102000.0</v>
      </c>
      <c r="M4918" s="74">
        <f t="shared" si="2"/>
        <v>105000</v>
      </c>
      <c r="N4918" s="74">
        <f t="shared" si="3"/>
        <v>25000</v>
      </c>
      <c r="O4918" s="65" t="str">
        <f>VLOOKUP(E4918,DATABASE!C:Q,8,false)</f>
        <v>BIAN</v>
      </c>
      <c r="P4918" s="65">
        <f>VLOOKUP(E4918,DATABASE!C:Q,9,False)</f>
        <v>1</v>
      </c>
      <c r="Q4918" s="93" t="str">
        <f>VLOOKUP(E4918,DATABASE!C:Q,4,false)</f>
        <v>BD</v>
      </c>
      <c r="R4918" s="93" t="str">
        <f>VLOOKUP(E4918,DATABASE!C:Q,11,false)</f>
        <v>Tire</v>
      </c>
    </row>
    <row r="4919" ht="22.5" customHeight="1">
      <c r="A4919" s="49"/>
      <c r="C4919" s="384">
        <v>45941.0</v>
      </c>
      <c r="D4919" s="65">
        <v>7427.0</v>
      </c>
      <c r="E4919" s="445" t="s">
        <v>1206</v>
      </c>
      <c r="F4919" s="386">
        <v>4.0</v>
      </c>
      <c r="G4919" s="74">
        <v>1150000.0</v>
      </c>
      <c r="H4919" s="74">
        <v>0.0</v>
      </c>
      <c r="I4919" s="74">
        <f t="shared" si="1"/>
        <v>4600000</v>
      </c>
      <c r="J4919" s="74">
        <f>IF(E4919="SERVICE",I4919-(I4919*50%),Vlookup(E4919,DATABASE!C:Q,10,false)*F4919)</f>
        <v>0</v>
      </c>
      <c r="K4919" s="74">
        <f>VLOOKUP(E4919,DATABASE!C:Q,7,false)</f>
        <v>1004147</v>
      </c>
      <c r="L4919" s="74">
        <v>1062000.0</v>
      </c>
      <c r="M4919" s="74">
        <f t="shared" si="2"/>
        <v>1065000</v>
      </c>
      <c r="N4919" s="74">
        <f t="shared" si="3"/>
        <v>340000</v>
      </c>
      <c r="O4919" s="65" t="str">
        <f>VLOOKUP(E4919,DATABASE!C:Q,8,false)</f>
        <v>IBU</v>
      </c>
      <c r="P4919" s="65">
        <f>VLOOKUP(E4919,DATABASE!C:Q,9,False)</f>
        <v>1</v>
      </c>
      <c r="Q4919" s="93" t="str">
        <f>VLOOKUP(E4919,DATABASE!C:Q,4,false)</f>
        <v>Bridgestone</v>
      </c>
      <c r="R4919" s="93" t="str">
        <f>VLOOKUP(E4919,DATABASE!C:Q,11,false)</f>
        <v>Tire</v>
      </c>
    </row>
    <row r="4920" ht="22.5" customHeight="1">
      <c r="A4920" s="49"/>
      <c r="C4920" s="384">
        <v>45941.0</v>
      </c>
      <c r="D4920" s="65">
        <v>7427.0</v>
      </c>
      <c r="E4920" s="385" t="s">
        <v>299</v>
      </c>
      <c r="F4920" s="386">
        <v>2.0</v>
      </c>
      <c r="G4920" s="74">
        <v>30000.0</v>
      </c>
      <c r="H4920" s="74">
        <v>0.0</v>
      </c>
      <c r="I4920" s="74">
        <f t="shared" si="1"/>
        <v>60000</v>
      </c>
      <c r="J4920" s="74">
        <f>IF(E4920="SERVICE",I4920-(I4920*50%),Vlookup(E4920,DATABASE!C:Q,10,false)*F4920)</f>
        <v>0</v>
      </c>
      <c r="K4920" s="74">
        <v>0.0</v>
      </c>
      <c r="L4920" s="74">
        <v>0.0</v>
      </c>
      <c r="M4920" s="74">
        <f t="shared" si="2"/>
        <v>0</v>
      </c>
      <c r="N4920" s="74">
        <f t="shared" si="3"/>
        <v>60000</v>
      </c>
      <c r="O4920" s="65" t="str">
        <f>VLOOKUP(E4920,DATABASE!C:Q,8,false)</f>
        <v>BIAN</v>
      </c>
      <c r="P4920" s="65">
        <f>VLOOKUP(E4920,DATABASE!C:Q,9,False)</f>
        <v>0</v>
      </c>
      <c r="Q4920" s="93" t="str">
        <f>VLOOKUP(E4920,DATABASE!C:Q,4,false)</f>
        <v>Balancing</v>
      </c>
      <c r="R4920" s="93" t="str">
        <f>VLOOKUP(E4920,DATABASE!C:Q,11,false)</f>
        <v>COMPLEMENTARY</v>
      </c>
    </row>
    <row r="4921" ht="22.5" customHeight="1">
      <c r="A4921" s="49"/>
      <c r="C4921" s="384">
        <v>45941.0</v>
      </c>
      <c r="D4921" s="65">
        <v>7428.0</v>
      </c>
      <c r="E4921" s="445" t="s">
        <v>271</v>
      </c>
      <c r="F4921" s="386">
        <v>1.0</v>
      </c>
      <c r="G4921" s="74">
        <v>640000.0</v>
      </c>
      <c r="H4921" s="74">
        <v>0.0</v>
      </c>
      <c r="I4921" s="74">
        <f t="shared" si="1"/>
        <v>640000</v>
      </c>
      <c r="J4921" s="74">
        <f>IF(E4921="SERVICE",I4921-(I4921*50%),Vlookup(E4921,DATABASE!C:Q,10,false)*F4921)</f>
        <v>0</v>
      </c>
      <c r="K4921" s="74">
        <f>VLOOKUP(E4921,DATABASE!C:Q,7,false)</f>
        <v>570000</v>
      </c>
      <c r="L4921" s="74">
        <v>539000.0</v>
      </c>
      <c r="M4921" s="74">
        <f t="shared" si="2"/>
        <v>540000</v>
      </c>
      <c r="N4921" s="74">
        <f t="shared" si="3"/>
        <v>100000</v>
      </c>
      <c r="O4921" s="65" t="str">
        <f>VLOOKUP(E4921,DATABASE!C:Q,8,false)</f>
        <v>IBU</v>
      </c>
      <c r="P4921" s="65">
        <f>VLOOKUP(E4921,DATABASE!C:Q,9,False)</f>
        <v>1</v>
      </c>
      <c r="Q4921" s="93" t="str">
        <f>VLOOKUP(E4921,DATABASE!C:Q,4,false)</f>
        <v>Dunlop</v>
      </c>
      <c r="R4921" s="93" t="str">
        <f>VLOOKUP(E4921,DATABASE!C:Q,11,false)</f>
        <v>Tire</v>
      </c>
    </row>
    <row r="4922" ht="22.5" customHeight="1">
      <c r="A4922" s="49"/>
      <c r="C4922" s="384">
        <v>45941.0</v>
      </c>
      <c r="D4922" s="65">
        <v>7429.0</v>
      </c>
      <c r="E4922" s="445" t="s">
        <v>791</v>
      </c>
      <c r="F4922" s="386">
        <v>1.0</v>
      </c>
      <c r="G4922" s="74">
        <v>1280000.0</v>
      </c>
      <c r="H4922" s="74">
        <v>0.0</v>
      </c>
      <c r="I4922" s="74">
        <f t="shared" si="1"/>
        <v>1280000</v>
      </c>
      <c r="J4922" s="74">
        <f>IF(E4922="SERVICE",I4922-(I4922*50%),Vlookup(E4922,DATABASE!C:Q,10,false)*F4922)</f>
        <v>0</v>
      </c>
      <c r="K4922" s="74">
        <f>VLOOKUP(E4922,DATABASE!C:Q,7,false)</f>
        <v>1210000</v>
      </c>
      <c r="L4922" s="74">
        <v>1180000.0</v>
      </c>
      <c r="M4922" s="74">
        <f t="shared" si="2"/>
        <v>1180000</v>
      </c>
      <c r="N4922" s="74">
        <f t="shared" si="3"/>
        <v>100000</v>
      </c>
      <c r="O4922" s="65" t="str">
        <f>VLOOKUP(E4922,DATABASE!C:Q,8,false)</f>
        <v>BIAN</v>
      </c>
      <c r="P4922" s="65">
        <f>VLOOKUP(E4922,DATABASE!C:Q,9,False)</f>
        <v>1</v>
      </c>
      <c r="Q4922" s="93" t="str">
        <f>VLOOKUP(E4922,DATABASE!C:Q,4,false)</f>
        <v>GT</v>
      </c>
      <c r="R4922" s="93" t="str">
        <f>VLOOKUP(E4922,DATABASE!C:Q,11,false)</f>
        <v>Tire</v>
      </c>
    </row>
    <row r="4923" ht="22.5" customHeight="1">
      <c r="A4923" s="49"/>
      <c r="C4923" s="384">
        <v>45941.0</v>
      </c>
      <c r="D4923" s="65">
        <v>7429.0</v>
      </c>
      <c r="E4923" s="445" t="s">
        <v>255</v>
      </c>
      <c r="F4923" s="386">
        <v>1.0</v>
      </c>
      <c r="G4923" s="74">
        <v>200000.0</v>
      </c>
      <c r="H4923" s="74">
        <v>0.0</v>
      </c>
      <c r="I4923" s="74">
        <f t="shared" si="1"/>
        <v>200000</v>
      </c>
      <c r="J4923" s="74">
        <f>IF(E4923="SERVICE",I4923-(I4923*50%),Vlookup(E4923,DATABASE!C:Q,10,false)*F4923)</f>
        <v>0</v>
      </c>
      <c r="K4923" s="74">
        <f>VLOOKUP(E4923,DATABASE!C:Q,7,false)</f>
        <v>161840</v>
      </c>
      <c r="L4923" s="74">
        <v>161840.0</v>
      </c>
      <c r="M4923" s="74">
        <f t="shared" si="2"/>
        <v>165000</v>
      </c>
      <c r="N4923" s="74">
        <f t="shared" si="3"/>
        <v>35000</v>
      </c>
      <c r="O4923" s="65" t="str">
        <f>VLOOKUP(E4923,DATABASE!C:Q,8,false)</f>
        <v>BIAN</v>
      </c>
      <c r="P4923" s="65">
        <f>VLOOKUP(E4923,DATABASE!C:Q,9,False)</f>
        <v>1</v>
      </c>
      <c r="Q4923" s="93" t="str">
        <f>VLOOKUP(E4923,DATABASE!C:Q,4,false)</f>
        <v>BD</v>
      </c>
      <c r="R4923" s="93" t="str">
        <f>VLOOKUP(E4923,DATABASE!C:Q,11,false)</f>
        <v>Tire</v>
      </c>
    </row>
    <row r="4924" ht="22.5" customHeight="1">
      <c r="A4924" s="49"/>
      <c r="C4924" s="384">
        <v>45941.0</v>
      </c>
      <c r="D4924" s="65">
        <v>7429.0</v>
      </c>
      <c r="E4924" s="445" t="s">
        <v>814</v>
      </c>
      <c r="F4924" s="386">
        <v>1.0</v>
      </c>
      <c r="G4924" s="74">
        <v>65000.0</v>
      </c>
      <c r="H4924" s="74">
        <v>0.0</v>
      </c>
      <c r="I4924" s="74">
        <f t="shared" si="1"/>
        <v>65000</v>
      </c>
      <c r="J4924" s="74">
        <f>IF(E4924="SERVICE",I4924-(I4924*50%),Vlookup(E4924,DATABASE!C:Q,10,false)*F4924)</f>
        <v>0</v>
      </c>
      <c r="K4924" s="74">
        <f>VLOOKUP(E4924,DATABASE!C:Q,7,false)</f>
        <v>39440</v>
      </c>
      <c r="L4924" s="74">
        <v>39440.0</v>
      </c>
      <c r="M4924" s="74">
        <f t="shared" si="2"/>
        <v>40000</v>
      </c>
      <c r="N4924" s="74">
        <f t="shared" si="3"/>
        <v>25000</v>
      </c>
      <c r="O4924" s="65" t="str">
        <f>VLOOKUP(E4924,DATABASE!C:Q,8,false)</f>
        <v>BIAN</v>
      </c>
      <c r="P4924" s="65">
        <f>VLOOKUP(E4924,DATABASE!C:Q,9,False)</f>
        <v>1</v>
      </c>
      <c r="Q4924" s="93" t="str">
        <f>VLOOKUP(E4924,DATABASE!C:Q,4,false)</f>
        <v>Flap</v>
      </c>
      <c r="R4924" s="93" t="str">
        <f>VLOOKUP(E4924,DATABASE!C:Q,11,false)</f>
        <v>Tire</v>
      </c>
    </row>
    <row r="4925" ht="22.5" customHeight="1">
      <c r="A4925" s="49"/>
      <c r="C4925" s="384">
        <v>45941.0</v>
      </c>
      <c r="D4925" s="65">
        <v>7430.0</v>
      </c>
      <c r="E4925" s="445" t="s">
        <v>1104</v>
      </c>
      <c r="F4925" s="386">
        <v>2.0</v>
      </c>
      <c r="G4925" s="74">
        <v>825000.0</v>
      </c>
      <c r="H4925" s="74">
        <v>0.0</v>
      </c>
      <c r="I4925" s="74">
        <f t="shared" si="1"/>
        <v>1650000</v>
      </c>
      <c r="J4925" s="74">
        <f>IF(E4925="SERVICE",I4925-(I4925*50%),Vlookup(E4925,DATABASE!C:Q,10,false)*F4925)</f>
        <v>0</v>
      </c>
      <c r="K4925" s="74">
        <f>VLOOKUP(E4925,DATABASE!C:Q,7,false)</f>
        <v>715000</v>
      </c>
      <c r="L4925" s="74">
        <v>738500.0</v>
      </c>
      <c r="M4925" s="74">
        <f t="shared" si="2"/>
        <v>740000</v>
      </c>
      <c r="N4925" s="74">
        <f t="shared" si="3"/>
        <v>170000</v>
      </c>
      <c r="O4925" s="65" t="str">
        <f>VLOOKUP(E4925,DATABASE!C:Q,8,false)</f>
        <v>IBU</v>
      </c>
      <c r="P4925" s="65">
        <f>VLOOKUP(E4925,DATABASE!C:Q,9,False)</f>
        <v>0</v>
      </c>
      <c r="Q4925" s="93" t="str">
        <f>VLOOKUP(E4925,DATABASE!C:Q,4,false)</f>
        <v>Bridgestone</v>
      </c>
      <c r="R4925" s="93" t="str">
        <f>VLOOKUP(E4925,DATABASE!C:Q,11,false)</f>
        <v>Tire</v>
      </c>
    </row>
    <row r="4926" ht="22.5" customHeight="1">
      <c r="A4926" s="49"/>
      <c r="C4926" s="384">
        <v>45941.0</v>
      </c>
      <c r="D4926" s="65">
        <v>7431.0</v>
      </c>
      <c r="E4926" s="445" t="s">
        <v>256</v>
      </c>
      <c r="F4926" s="386">
        <v>1.0</v>
      </c>
      <c r="G4926" s="74">
        <v>130000.0</v>
      </c>
      <c r="H4926" s="74">
        <v>0.0</v>
      </c>
      <c r="I4926" s="74">
        <f t="shared" si="1"/>
        <v>130000</v>
      </c>
      <c r="J4926" s="74">
        <f>IF(E4926="SERVICE",I4926-(I4926*50%),Vlookup(E4926,DATABASE!C:Q,10,false)*F4926)</f>
        <v>10000</v>
      </c>
      <c r="K4926" s="74">
        <f>VLOOKUP(E4926,DATABASE!C:Q,7,false)</f>
        <v>0</v>
      </c>
      <c r="L4926" s="74">
        <v>0.0</v>
      </c>
      <c r="M4926" s="74">
        <f t="shared" si="2"/>
        <v>0</v>
      </c>
      <c r="N4926" s="74">
        <f t="shared" si="3"/>
        <v>120000</v>
      </c>
      <c r="O4926" s="65" t="str">
        <f>VLOOKUP(E4926,DATABASE!C:Q,8,false)</f>
        <v>IBU</v>
      </c>
      <c r="P4926" s="65">
        <f>VLOOKUP(E4926,DATABASE!C:Q,9,False)</f>
        <v>0</v>
      </c>
      <c r="Q4926" s="93" t="str">
        <f>VLOOKUP(E4926,DATABASE!C:Q,4,false)</f>
        <v>SPOORING</v>
      </c>
      <c r="R4926" s="93" t="str">
        <f>VLOOKUP(E4926,DATABASE!C:Q,11,false)</f>
        <v>SERVICE</v>
      </c>
    </row>
    <row r="4927" ht="22.5" customHeight="1">
      <c r="A4927" s="49"/>
      <c r="C4927" s="384">
        <v>45941.0</v>
      </c>
      <c r="D4927" s="65">
        <v>7431.0</v>
      </c>
      <c r="E4927" s="385" t="s">
        <v>299</v>
      </c>
      <c r="F4927" s="386">
        <v>2.0</v>
      </c>
      <c r="G4927" s="74">
        <v>35000.0</v>
      </c>
      <c r="H4927" s="74">
        <v>0.0</v>
      </c>
      <c r="I4927" s="74">
        <f t="shared" si="1"/>
        <v>70000</v>
      </c>
      <c r="J4927" s="74">
        <f>IF(E4927="SERVICE",I4927-(I4927*50%),Vlookup(E4927,DATABASE!C:Q,10,false)*F4927)</f>
        <v>0</v>
      </c>
      <c r="K4927" s="74">
        <v>0.0</v>
      </c>
      <c r="L4927" s="74">
        <v>0.0</v>
      </c>
      <c r="M4927" s="74">
        <f t="shared" si="2"/>
        <v>0</v>
      </c>
      <c r="N4927" s="74">
        <f t="shared" si="3"/>
        <v>70000</v>
      </c>
      <c r="O4927" s="65" t="str">
        <f>VLOOKUP(E4927,DATABASE!C:Q,8,false)</f>
        <v>BIAN</v>
      </c>
      <c r="P4927" s="65">
        <f>VLOOKUP(E4927,DATABASE!C:Q,9,False)</f>
        <v>0</v>
      </c>
      <c r="Q4927" s="93" t="str">
        <f>VLOOKUP(E4927,DATABASE!C:Q,4,false)</f>
        <v>Balancing</v>
      </c>
      <c r="R4927" s="93" t="str">
        <f>VLOOKUP(E4927,DATABASE!C:Q,11,false)</f>
        <v>COMPLEMENTARY</v>
      </c>
    </row>
    <row r="4928" ht="22.5" customHeight="1">
      <c r="A4928" s="49"/>
      <c r="C4928" s="384">
        <v>45941.0</v>
      </c>
      <c r="D4928" s="65">
        <v>7431.0</v>
      </c>
      <c r="E4928" s="445" t="s">
        <v>251</v>
      </c>
      <c r="F4928" s="386">
        <v>1.0</v>
      </c>
      <c r="G4928" s="74">
        <v>150000.0</v>
      </c>
      <c r="H4928" s="74">
        <v>0.0</v>
      </c>
      <c r="I4928" s="74">
        <f t="shared" si="1"/>
        <v>150000</v>
      </c>
      <c r="J4928" s="74">
        <f>IF(E4928="SERVICE",I4928-(I4928*50%),Vlookup(E4928,DATABASE!C:Q,10,false)*F4928)</f>
        <v>75000</v>
      </c>
      <c r="K4928" s="74">
        <f>VLOOKUP(E4928,DATABASE!C:Q,7,false)</f>
        <v>0</v>
      </c>
      <c r="L4928" s="74">
        <v>0.0</v>
      </c>
      <c r="M4928" s="74">
        <f t="shared" si="2"/>
        <v>0</v>
      </c>
      <c r="N4928" s="74">
        <f t="shared" si="3"/>
        <v>75000</v>
      </c>
      <c r="O4928" s="65" t="str">
        <f>VLOOKUP(E4928,DATABASE!C:Q,8,false)</f>
        <v>IBU</v>
      </c>
      <c r="P4928" s="65">
        <f>VLOOKUP(E4928,DATABASE!C:Q,9,False)</f>
        <v>0</v>
      </c>
      <c r="Q4928" s="93" t="str">
        <f>VLOOKUP(E4928,DATABASE!C:Q,4,false)</f>
        <v>SERVICE</v>
      </c>
      <c r="R4928" s="93" t="str">
        <f>VLOOKUP(E4928,DATABASE!C:Q,11,false)</f>
        <v>SERVICE</v>
      </c>
    </row>
    <row r="4929" ht="22.5" customHeight="1">
      <c r="A4929" s="49"/>
      <c r="C4929" s="384">
        <v>45941.0</v>
      </c>
      <c r="D4929" s="65">
        <v>7432.0</v>
      </c>
      <c r="E4929" s="445" t="s">
        <v>262</v>
      </c>
      <c r="F4929" s="386">
        <v>1.0</v>
      </c>
      <c r="G4929" s="74">
        <v>110000.0</v>
      </c>
      <c r="H4929" s="74">
        <v>0.0</v>
      </c>
      <c r="I4929" s="74">
        <f t="shared" si="1"/>
        <v>110000</v>
      </c>
      <c r="J4929" s="74">
        <f>IF(E4929="SERVICE",I4929-(I4929*50%),Vlookup(E4929,DATABASE!C:Q,10,false)*F4929)</f>
        <v>5000</v>
      </c>
      <c r="K4929" s="74">
        <f>VLOOKUP(E4929,DATABASE!C:Q,7,false)</f>
        <v>0</v>
      </c>
      <c r="L4929" s="74">
        <v>0.0</v>
      </c>
      <c r="M4929" s="74">
        <f t="shared" si="2"/>
        <v>0</v>
      </c>
      <c r="N4929" s="74">
        <f t="shared" si="3"/>
        <v>105000</v>
      </c>
      <c r="O4929" s="65" t="str">
        <f>VLOOKUP(E4929,DATABASE!C:Q,8,false)</f>
        <v>IBU</v>
      </c>
      <c r="P4929" s="65">
        <f>VLOOKUP(E4929,DATABASE!C:Q,9,False)</f>
        <v>0</v>
      </c>
      <c r="Q4929" s="93" t="str">
        <f>VLOOKUP(E4929,DATABASE!C:Q,4,false)</f>
        <v>SPOORING SS/CARRY LOS BAK</v>
      </c>
      <c r="R4929" s="93" t="str">
        <f>VLOOKUP(E4929,DATABASE!C:Q,11,false)</f>
        <v>SERVICE</v>
      </c>
    </row>
    <row r="4930" ht="22.5" customHeight="1">
      <c r="A4930" s="49"/>
      <c r="C4930" s="384">
        <v>45941.0</v>
      </c>
      <c r="D4930" s="65">
        <v>7432.0</v>
      </c>
      <c r="E4930" s="385" t="s">
        <v>299</v>
      </c>
      <c r="F4930" s="386">
        <v>2.0</v>
      </c>
      <c r="G4930" s="74">
        <v>30000.0</v>
      </c>
      <c r="H4930" s="74">
        <v>0.0</v>
      </c>
      <c r="I4930" s="74">
        <f t="shared" si="1"/>
        <v>60000</v>
      </c>
      <c r="J4930" s="74">
        <f>IF(E4930="SERVICE",I4930-(I4930*50%),Vlookup(E4930,DATABASE!C:Q,10,false)*F4930)</f>
        <v>0</v>
      </c>
      <c r="K4930" s="74">
        <v>0.0</v>
      </c>
      <c r="L4930" s="74">
        <v>0.0</v>
      </c>
      <c r="M4930" s="74">
        <f t="shared" si="2"/>
        <v>0</v>
      </c>
      <c r="N4930" s="74">
        <f t="shared" si="3"/>
        <v>60000</v>
      </c>
      <c r="O4930" s="65" t="str">
        <f>VLOOKUP(E4930,DATABASE!C:Q,8,false)</f>
        <v>BIAN</v>
      </c>
      <c r="P4930" s="65">
        <f>VLOOKUP(E4930,DATABASE!C:Q,9,False)</f>
        <v>0</v>
      </c>
      <c r="Q4930" s="93" t="str">
        <f>VLOOKUP(E4930,DATABASE!C:Q,4,false)</f>
        <v>Balancing</v>
      </c>
      <c r="R4930" s="93" t="str">
        <f>VLOOKUP(E4930,DATABASE!C:Q,11,false)</f>
        <v>COMPLEMENTARY</v>
      </c>
    </row>
    <row r="4931" ht="22.5" customHeight="1">
      <c r="A4931" s="49"/>
      <c r="C4931" s="384">
        <v>45941.0</v>
      </c>
      <c r="D4931" s="65">
        <v>7432.0</v>
      </c>
      <c r="E4931" s="445" t="s">
        <v>251</v>
      </c>
      <c r="F4931" s="386">
        <v>1.0</v>
      </c>
      <c r="G4931" s="74">
        <v>120000.0</v>
      </c>
      <c r="H4931" s="74">
        <v>0.0</v>
      </c>
      <c r="I4931" s="74">
        <f t="shared" si="1"/>
        <v>120000</v>
      </c>
      <c r="J4931" s="74">
        <f>IF(E4931="SERVICE",I4931-(I4931*50%),Vlookup(E4931,DATABASE!C:Q,10,false)*F4931)</f>
        <v>60000</v>
      </c>
      <c r="K4931" s="74">
        <f>VLOOKUP(E4931,DATABASE!C:Q,7,false)</f>
        <v>0</v>
      </c>
      <c r="L4931" s="74">
        <v>0.0</v>
      </c>
      <c r="M4931" s="74">
        <f t="shared" si="2"/>
        <v>0</v>
      </c>
      <c r="N4931" s="74">
        <f t="shared" si="3"/>
        <v>60000</v>
      </c>
      <c r="O4931" s="65" t="str">
        <f>VLOOKUP(E4931,DATABASE!C:Q,8,false)</f>
        <v>IBU</v>
      </c>
      <c r="P4931" s="65">
        <f>VLOOKUP(E4931,DATABASE!C:Q,9,False)</f>
        <v>0</v>
      </c>
      <c r="Q4931" s="93" t="str">
        <f>VLOOKUP(E4931,DATABASE!C:Q,4,false)</f>
        <v>SERVICE</v>
      </c>
      <c r="R4931" s="93" t="str">
        <f>VLOOKUP(E4931,DATABASE!C:Q,11,false)</f>
        <v>SERVICE</v>
      </c>
    </row>
    <row r="4932" ht="22.5" customHeight="1">
      <c r="A4932" s="49"/>
      <c r="C4932" s="384">
        <v>45941.0</v>
      </c>
      <c r="D4932" s="65">
        <v>7433.0</v>
      </c>
      <c r="E4932" s="445" t="s">
        <v>265</v>
      </c>
      <c r="F4932" s="386">
        <v>2.0</v>
      </c>
      <c r="G4932" s="74">
        <v>700000.0</v>
      </c>
      <c r="H4932" s="74">
        <v>0.0</v>
      </c>
      <c r="I4932" s="74">
        <f t="shared" si="1"/>
        <v>1400000</v>
      </c>
      <c r="J4932" s="74">
        <f>IF(E4932="SERVICE",I4932-(I4932*50%),Vlookup(E4932,DATABASE!C:Q,10,false)*F4932)</f>
        <v>0</v>
      </c>
      <c r="K4932" s="74">
        <f>VLOOKUP(E4932,DATABASE!C:Q,7,false)</f>
        <v>628000</v>
      </c>
      <c r="L4932" s="74">
        <v>610000.0</v>
      </c>
      <c r="M4932" s="74">
        <f t="shared" si="2"/>
        <v>610000</v>
      </c>
      <c r="N4932" s="74">
        <f t="shared" si="3"/>
        <v>180000</v>
      </c>
      <c r="O4932" s="65" t="str">
        <f>VLOOKUP(E4932,DATABASE!C:Q,8,false)</f>
        <v>IBU</v>
      </c>
      <c r="P4932" s="65">
        <f>VLOOKUP(E4932,DATABASE!C:Q,9,False)</f>
        <v>1</v>
      </c>
      <c r="Q4932" s="93" t="str">
        <f>VLOOKUP(E4932,DATABASE!C:Q,4,false)</f>
        <v>Dunlop</v>
      </c>
      <c r="R4932" s="93" t="str">
        <f>VLOOKUP(E4932,DATABASE!C:Q,11,false)</f>
        <v>Tire</v>
      </c>
    </row>
    <row r="4933" ht="22.5" customHeight="1">
      <c r="A4933" s="49"/>
      <c r="C4933" s="384">
        <v>45941.0</v>
      </c>
      <c r="D4933" s="65">
        <v>7434.0</v>
      </c>
      <c r="E4933" s="445" t="s">
        <v>268</v>
      </c>
      <c r="F4933" s="386">
        <v>2.0</v>
      </c>
      <c r="G4933" s="74">
        <v>720000.0</v>
      </c>
      <c r="H4933" s="74">
        <v>0.0</v>
      </c>
      <c r="I4933" s="74">
        <f t="shared" si="1"/>
        <v>1440000</v>
      </c>
      <c r="J4933" s="74">
        <f>IF(E4933="SERVICE",I4933-(I4933*50%),Vlookup(E4933,DATABASE!C:Q,10,false)*F4933)</f>
        <v>0</v>
      </c>
      <c r="K4933" s="74">
        <f>VLOOKUP(E4933,DATABASE!C:Q,7,false)</f>
        <v>653000</v>
      </c>
      <c r="L4933" s="74">
        <v>622000.0</v>
      </c>
      <c r="M4933" s="74">
        <f t="shared" si="2"/>
        <v>625000</v>
      </c>
      <c r="N4933" s="74">
        <f t="shared" si="3"/>
        <v>190000</v>
      </c>
      <c r="O4933" s="65" t="str">
        <f>VLOOKUP(E4933,DATABASE!C:Q,8,false)</f>
        <v>IBU</v>
      </c>
      <c r="P4933" s="65">
        <f>VLOOKUP(E4933,DATABASE!C:Q,9,False)</f>
        <v>1</v>
      </c>
      <c r="Q4933" s="93" t="str">
        <f>VLOOKUP(E4933,DATABASE!C:Q,4,false)</f>
        <v>Dunlop</v>
      </c>
      <c r="R4933" s="93" t="str">
        <f>VLOOKUP(E4933,DATABASE!C:Q,11,false)</f>
        <v>Tire</v>
      </c>
    </row>
    <row r="4934" ht="22.5" customHeight="1">
      <c r="A4934" s="49"/>
      <c r="C4934" s="384">
        <v>45941.0</v>
      </c>
      <c r="D4934" s="65">
        <v>7435.0</v>
      </c>
      <c r="E4934" s="445" t="s">
        <v>727</v>
      </c>
      <c r="F4934" s="386">
        <v>1.0</v>
      </c>
      <c r="G4934" s="74">
        <v>190000.0</v>
      </c>
      <c r="H4934" s="74">
        <v>0.0</v>
      </c>
      <c r="I4934" s="74">
        <f t="shared" si="1"/>
        <v>190000</v>
      </c>
      <c r="J4934" s="74">
        <f>IF(E4934="SERVICE",I4934-(I4934*50%),Vlookup(E4934,DATABASE!C:Q,10,false)*F4934)</f>
        <v>0</v>
      </c>
      <c r="K4934" s="74">
        <f>VLOOKUP(E4934,DATABASE!C:Q,7,false)</f>
        <v>135000</v>
      </c>
      <c r="L4934" s="74">
        <v>135000.0</v>
      </c>
      <c r="M4934" s="74">
        <f t="shared" si="2"/>
        <v>135000</v>
      </c>
      <c r="N4934" s="74">
        <f t="shared" si="3"/>
        <v>55000</v>
      </c>
      <c r="O4934" s="65" t="str">
        <f>VLOOKUP(E4934,DATABASE!C:Q,8,false)</f>
        <v>BIAN</v>
      </c>
      <c r="P4934" s="65">
        <f>VLOOKUP(E4934,DATABASE!C:Q,9,False)</f>
        <v>1</v>
      </c>
      <c r="Q4934" s="93" t="str">
        <f>VLOOKUP(E4934,DATABASE!C:Q,4,false)</f>
        <v>BD</v>
      </c>
      <c r="R4934" s="93" t="str">
        <f>VLOOKUP(E4934,DATABASE!C:Q,11,false)</f>
        <v>Tire</v>
      </c>
    </row>
    <row r="4935" ht="22.5" customHeight="1">
      <c r="A4935" s="49"/>
      <c r="C4935" s="384">
        <v>45941.0</v>
      </c>
      <c r="D4935" s="65">
        <v>7437.0</v>
      </c>
      <c r="E4935" s="445" t="s">
        <v>1530</v>
      </c>
      <c r="F4935" s="386">
        <v>1.0</v>
      </c>
      <c r="G4935" s="74">
        <v>560000.0</v>
      </c>
      <c r="H4935" s="74">
        <v>0.0</v>
      </c>
      <c r="I4935" s="74">
        <f t="shared" si="1"/>
        <v>560000</v>
      </c>
      <c r="J4935" s="74">
        <f>IF(E4935="SERVICE",I4935-(I4935*50%),Vlookup(E4935,DATABASE!C:Q,10,false)*F4935)</f>
        <v>0</v>
      </c>
      <c r="K4935" s="74">
        <f>VLOOKUP(E4935,DATABASE!C:Q,7,false)</f>
        <v>467000</v>
      </c>
      <c r="L4935" s="74">
        <v>454000.0</v>
      </c>
      <c r="M4935" s="74">
        <f t="shared" si="2"/>
        <v>455000</v>
      </c>
      <c r="N4935" s="74">
        <f t="shared" si="3"/>
        <v>105000</v>
      </c>
      <c r="O4935" s="65" t="str">
        <f>VLOOKUP(E4935,DATABASE!C:Q,8,false)</f>
        <v>BIAN</v>
      </c>
      <c r="P4935" s="65">
        <f>VLOOKUP(E4935,DATABASE!C:Q,9,False)</f>
        <v>1</v>
      </c>
      <c r="Q4935" s="93" t="str">
        <f>VLOOKUP(E4935,DATABASE!C:Q,4,false)</f>
        <v>Laufen</v>
      </c>
      <c r="R4935" s="93" t="str">
        <f>VLOOKUP(E4935,DATABASE!C:Q,11,false)</f>
        <v>Tire</v>
      </c>
    </row>
    <row r="4936" ht="22.5" customHeight="1">
      <c r="A4936" s="49"/>
      <c r="C4936" s="384">
        <v>45942.0</v>
      </c>
      <c r="D4936" s="65">
        <v>7438.0</v>
      </c>
      <c r="E4936" s="445" t="s">
        <v>932</v>
      </c>
      <c r="F4936" s="386">
        <v>2.0</v>
      </c>
      <c r="G4936" s="74">
        <v>700000.0</v>
      </c>
      <c r="H4936" s="74">
        <v>0.0</v>
      </c>
      <c r="I4936" s="74">
        <f t="shared" si="1"/>
        <v>1400000</v>
      </c>
      <c r="J4936" s="74">
        <f>IF(E4936="SERVICE",I4936-(I4936*50%),Vlookup(E4936,DATABASE!C:Q,10,false)*F4936)</f>
        <v>0</v>
      </c>
      <c r="K4936" s="74">
        <f>VLOOKUP(E4936,DATABASE!C:Q,7,false)</f>
        <v>601000</v>
      </c>
      <c r="L4936" s="74">
        <v>595000.0</v>
      </c>
      <c r="M4936" s="74">
        <f t="shared" si="2"/>
        <v>595000</v>
      </c>
      <c r="N4936" s="74">
        <f t="shared" si="3"/>
        <v>210000</v>
      </c>
      <c r="O4936" s="65" t="str">
        <f>VLOOKUP(E4936,DATABASE!C:Q,8,false)</f>
        <v>IBU</v>
      </c>
      <c r="P4936" s="65">
        <f>VLOOKUP(E4936,DATABASE!C:Q,9,False)</f>
        <v>1</v>
      </c>
      <c r="Q4936" s="93" t="str">
        <f>VLOOKUP(E4936,DATABASE!C:Q,4,false)</f>
        <v>Dunlop</v>
      </c>
      <c r="R4936" s="93" t="str">
        <f>VLOOKUP(E4936,DATABASE!C:Q,11,false)</f>
        <v>Tire</v>
      </c>
    </row>
    <row r="4937" ht="22.5" customHeight="1">
      <c r="A4937" s="49"/>
      <c r="C4937" s="384">
        <v>45942.0</v>
      </c>
      <c r="D4937" s="65">
        <v>7440.0</v>
      </c>
      <c r="E4937" s="445" t="s">
        <v>968</v>
      </c>
      <c r="F4937" s="386">
        <v>1.0</v>
      </c>
      <c r="G4937" s="74">
        <v>675000.0</v>
      </c>
      <c r="H4937" s="74">
        <v>0.0</v>
      </c>
      <c r="I4937" s="74">
        <f t="shared" si="1"/>
        <v>675000</v>
      </c>
      <c r="J4937" s="74">
        <f>IF(E4937="SERVICE",I4937-(I4937*50%),Vlookup(E4937,DATABASE!C:Q,10,false)*F4937)</f>
        <v>0</v>
      </c>
      <c r="K4937" s="74">
        <f>VLOOKUP(E4937,DATABASE!C:Q,7,false)</f>
        <v>582500</v>
      </c>
      <c r="L4937" s="74">
        <v>582500.0</v>
      </c>
      <c r="M4937" s="74">
        <f t="shared" si="2"/>
        <v>585000</v>
      </c>
      <c r="N4937" s="74">
        <f t="shared" si="3"/>
        <v>90000</v>
      </c>
      <c r="O4937" s="65" t="str">
        <f>VLOOKUP(E4937,DATABASE!C:Q,8,false)</f>
        <v>IBU</v>
      </c>
      <c r="P4937" s="65">
        <f>VLOOKUP(E4937,DATABASE!C:Q,9,False)</f>
        <v>1</v>
      </c>
      <c r="Q4937" s="93" t="str">
        <f>VLOOKUP(E4937,DATABASE!C:Q,4,false)</f>
        <v>Dunlop</v>
      </c>
      <c r="R4937" s="93" t="str">
        <f>VLOOKUP(E4937,DATABASE!C:Q,11,false)</f>
        <v>Tire</v>
      </c>
    </row>
    <row r="4938" ht="22.5" customHeight="1">
      <c r="A4938" s="49"/>
      <c r="C4938" s="384">
        <v>45942.0</v>
      </c>
      <c r="D4938" s="65">
        <v>7441.0</v>
      </c>
      <c r="E4938" s="445" t="s">
        <v>1449</v>
      </c>
      <c r="F4938" s="386">
        <v>2.0</v>
      </c>
      <c r="G4938" s="74">
        <v>785000.0</v>
      </c>
      <c r="H4938" s="74">
        <v>0.0</v>
      </c>
      <c r="I4938" s="74">
        <f t="shared" si="1"/>
        <v>1570000</v>
      </c>
      <c r="J4938" s="74">
        <f>IF(E4938="SERVICE",I4938-(I4938*50%),Vlookup(E4938,DATABASE!C:Q,10,false)*F4938)</f>
        <v>0</v>
      </c>
      <c r="K4938" s="74">
        <f>VLOOKUP(E4938,DATABASE!C:Q,7,false)</f>
        <v>682000</v>
      </c>
      <c r="L4938" s="74">
        <v>682000.0</v>
      </c>
      <c r="M4938" s="74">
        <f t="shared" si="2"/>
        <v>685000</v>
      </c>
      <c r="N4938" s="74">
        <f t="shared" si="3"/>
        <v>200000</v>
      </c>
      <c r="O4938" s="65" t="str">
        <f>VLOOKUP(E4938,DATABASE!C:Q,8,false)</f>
        <v>IBU</v>
      </c>
      <c r="P4938" s="65">
        <f>VLOOKUP(E4938,DATABASE!C:Q,9,False)</f>
        <v>1</v>
      </c>
      <c r="Q4938" s="93" t="str">
        <f>VLOOKUP(E4938,DATABASE!C:Q,4,false)</f>
        <v>Dunlop</v>
      </c>
      <c r="R4938" s="93" t="str">
        <f>VLOOKUP(E4938,DATABASE!C:Q,11,false)</f>
        <v>Tire</v>
      </c>
    </row>
    <row r="4939" ht="22.5" customHeight="1">
      <c r="A4939" s="49"/>
      <c r="C4939" s="384">
        <v>45942.0</v>
      </c>
      <c r="D4939" s="65">
        <v>7442.0</v>
      </c>
      <c r="E4939" s="445" t="s">
        <v>265</v>
      </c>
      <c r="F4939" s="386">
        <v>1.0</v>
      </c>
      <c r="G4939" s="74">
        <v>700000.0</v>
      </c>
      <c r="H4939" s="74">
        <v>0.0</v>
      </c>
      <c r="I4939" s="74">
        <f t="shared" si="1"/>
        <v>700000</v>
      </c>
      <c r="J4939" s="74">
        <f>IF(E4939="SERVICE",I4939-(I4939*50%),Vlookup(E4939,DATABASE!C:Q,10,false)*F4939)</f>
        <v>0</v>
      </c>
      <c r="K4939" s="74">
        <f>VLOOKUP(E4939,DATABASE!C:Q,7,false)</f>
        <v>628000</v>
      </c>
      <c r="L4939" s="74">
        <v>610000.0</v>
      </c>
      <c r="M4939" s="74">
        <f t="shared" si="2"/>
        <v>610000</v>
      </c>
      <c r="N4939" s="74">
        <f t="shared" si="3"/>
        <v>90000</v>
      </c>
      <c r="O4939" s="65" t="str">
        <f>VLOOKUP(E4939,DATABASE!C:Q,8,false)</f>
        <v>IBU</v>
      </c>
      <c r="P4939" s="65">
        <f>VLOOKUP(E4939,DATABASE!C:Q,9,False)</f>
        <v>1</v>
      </c>
      <c r="Q4939" s="93" t="str">
        <f>VLOOKUP(E4939,DATABASE!C:Q,4,false)</f>
        <v>Dunlop</v>
      </c>
      <c r="R4939" s="93" t="str">
        <f>VLOOKUP(E4939,DATABASE!C:Q,11,false)</f>
        <v>Tire</v>
      </c>
    </row>
    <row r="4940" ht="22.5" customHeight="1">
      <c r="A4940" s="49"/>
      <c r="C4940" s="384">
        <v>45942.0</v>
      </c>
      <c r="D4940" s="65">
        <v>7443.0</v>
      </c>
      <c r="E4940" s="445" t="s">
        <v>290</v>
      </c>
      <c r="F4940" s="386">
        <v>1.0</v>
      </c>
      <c r="G4940" s="74">
        <v>720000.0</v>
      </c>
      <c r="H4940" s="74">
        <v>0.0</v>
      </c>
      <c r="I4940" s="74">
        <f t="shared" si="1"/>
        <v>720000</v>
      </c>
      <c r="J4940" s="74">
        <f>IF(E4940="SERVICE",I4940-(I4940*50%),Vlookup(E4940,DATABASE!C:Q,10,false)*F4940)</f>
        <v>0</v>
      </c>
      <c r="K4940" s="74">
        <f>VLOOKUP(E4940,DATABASE!C:Q,7,false)</f>
        <v>628100</v>
      </c>
      <c r="L4940" s="74">
        <v>609804.0</v>
      </c>
      <c r="M4940" s="74">
        <f t="shared" si="2"/>
        <v>610000</v>
      </c>
      <c r="N4940" s="74">
        <f t="shared" si="3"/>
        <v>110000</v>
      </c>
      <c r="O4940" s="65" t="str">
        <f>VLOOKUP(E4940,DATABASE!C:Q,8,false)</f>
        <v>BIAN</v>
      </c>
      <c r="P4940" s="65">
        <f>VLOOKUP(E4940,DATABASE!C:Q,9,False)</f>
        <v>1</v>
      </c>
      <c r="Q4940" s="93" t="str">
        <f>VLOOKUP(E4940,DATABASE!C:Q,4,false)</f>
        <v>GT</v>
      </c>
      <c r="R4940" s="93" t="str">
        <f>VLOOKUP(E4940,DATABASE!C:Q,11,false)</f>
        <v>Tire</v>
      </c>
    </row>
    <row r="4941" ht="22.5" customHeight="1">
      <c r="A4941" s="49"/>
      <c r="C4941" s="384">
        <v>45942.0</v>
      </c>
      <c r="D4941" s="65">
        <v>7445.0</v>
      </c>
      <c r="E4941" s="445" t="s">
        <v>301</v>
      </c>
      <c r="F4941" s="386">
        <v>1.0</v>
      </c>
      <c r="G4941" s="74">
        <v>250000.0</v>
      </c>
      <c r="H4941" s="74">
        <v>0.0</v>
      </c>
      <c r="I4941" s="74">
        <f t="shared" si="1"/>
        <v>250000</v>
      </c>
      <c r="J4941" s="74">
        <f>IF(E4941="SERVICE",I4941-(I4941*50%),Vlookup(E4941,DATABASE!C:Q,10,false)*F4941)</f>
        <v>75000</v>
      </c>
      <c r="K4941" s="74">
        <f>VLOOKUP(E4941,DATABASE!C:Q,7,false)</f>
        <v>75000</v>
      </c>
      <c r="L4941" s="74">
        <v>75000.0</v>
      </c>
      <c r="M4941" s="74">
        <f t="shared" si="2"/>
        <v>75000</v>
      </c>
      <c r="N4941" s="74">
        <f t="shared" si="3"/>
        <v>100000</v>
      </c>
      <c r="O4941" s="65" t="str">
        <f>VLOOKUP(E4941,DATABASE!C:Q,8,false)</f>
        <v>BIAN</v>
      </c>
      <c r="P4941" s="65">
        <f>VLOOKUP(E4941,DATABASE!C:Q,9,False)</f>
        <v>0</v>
      </c>
      <c r="Q4941" s="93" t="str">
        <f>VLOOKUP(E4941,DATABASE!C:Q,4,false)</f>
        <v>Baut Camber</v>
      </c>
      <c r="R4941" s="93" t="str">
        <f>VLOOKUP(E4941,DATABASE!C:Q,11,false)</f>
        <v>COMPLEMENTARY</v>
      </c>
    </row>
    <row r="4942" ht="22.5" customHeight="1">
      <c r="A4942" s="49"/>
      <c r="C4942" s="384">
        <v>45942.0</v>
      </c>
      <c r="D4942" s="65">
        <v>7446.0</v>
      </c>
      <c r="E4942" s="445" t="s">
        <v>1530</v>
      </c>
      <c r="F4942" s="386">
        <v>2.0</v>
      </c>
      <c r="G4942" s="74">
        <v>560000.0</v>
      </c>
      <c r="H4942" s="74">
        <v>0.0</v>
      </c>
      <c r="I4942" s="74">
        <f t="shared" si="1"/>
        <v>1120000</v>
      </c>
      <c r="J4942" s="74">
        <f>IF(E4942="SERVICE",I4942-(I4942*50%),Vlookup(E4942,DATABASE!C:Q,10,false)*F4942)</f>
        <v>0</v>
      </c>
      <c r="K4942" s="74">
        <f>VLOOKUP(E4942,DATABASE!C:Q,7,false)</f>
        <v>467000</v>
      </c>
      <c r="L4942" s="74">
        <v>454000.0</v>
      </c>
      <c r="M4942" s="74">
        <f t="shared" si="2"/>
        <v>455000</v>
      </c>
      <c r="N4942" s="74">
        <f t="shared" si="3"/>
        <v>210000</v>
      </c>
      <c r="O4942" s="65" t="str">
        <f>VLOOKUP(E4942,DATABASE!C:Q,8,false)</f>
        <v>BIAN</v>
      </c>
      <c r="P4942" s="65">
        <f>VLOOKUP(E4942,DATABASE!C:Q,9,False)</f>
        <v>1</v>
      </c>
      <c r="Q4942" s="93" t="str">
        <f>VLOOKUP(E4942,DATABASE!C:Q,4,false)</f>
        <v>Laufen</v>
      </c>
      <c r="R4942" s="93" t="str">
        <f>VLOOKUP(E4942,DATABASE!C:Q,11,false)</f>
        <v>Tire</v>
      </c>
    </row>
    <row r="4943" ht="22.5" customHeight="1">
      <c r="A4943" s="49"/>
      <c r="C4943" s="384">
        <v>45942.0</v>
      </c>
      <c r="D4943" s="65">
        <v>7446.0</v>
      </c>
      <c r="E4943" s="445" t="s">
        <v>256</v>
      </c>
      <c r="F4943" s="386">
        <v>1.0</v>
      </c>
      <c r="G4943" s="74">
        <v>110000.0</v>
      </c>
      <c r="H4943" s="74">
        <v>0.0</v>
      </c>
      <c r="I4943" s="74">
        <f t="shared" si="1"/>
        <v>110000</v>
      </c>
      <c r="J4943" s="74">
        <f>IF(E4943="SERVICE",I4943-(I4943*50%),Vlookup(E4943,DATABASE!C:Q,10,false)*F4943)</f>
        <v>10000</v>
      </c>
      <c r="K4943" s="74">
        <f>VLOOKUP(E4943,DATABASE!C:Q,7,false)</f>
        <v>0</v>
      </c>
      <c r="L4943" s="74">
        <v>0.0</v>
      </c>
      <c r="M4943" s="74">
        <f t="shared" si="2"/>
        <v>0</v>
      </c>
      <c r="N4943" s="74">
        <f t="shared" si="3"/>
        <v>100000</v>
      </c>
      <c r="O4943" s="65" t="str">
        <f>VLOOKUP(E4943,DATABASE!C:Q,8,false)</f>
        <v>IBU</v>
      </c>
      <c r="P4943" s="65">
        <f>VLOOKUP(E4943,DATABASE!C:Q,9,False)</f>
        <v>0</v>
      </c>
      <c r="Q4943" s="93" t="str">
        <f>VLOOKUP(E4943,DATABASE!C:Q,4,false)</f>
        <v>SPOORING</v>
      </c>
      <c r="R4943" s="93" t="str">
        <f>VLOOKUP(E4943,DATABASE!C:Q,11,false)</f>
        <v>SERVICE</v>
      </c>
    </row>
    <row r="4944" ht="22.5" customHeight="1">
      <c r="A4944" s="49"/>
      <c r="C4944" s="384">
        <v>45943.0</v>
      </c>
      <c r="D4944" s="65">
        <v>7447.0</v>
      </c>
      <c r="E4944" s="445" t="s">
        <v>1389</v>
      </c>
      <c r="F4944" s="386">
        <v>2.0</v>
      </c>
      <c r="G4944" s="74">
        <v>1020000.0</v>
      </c>
      <c r="H4944" s="74">
        <v>0.0</v>
      </c>
      <c r="I4944" s="74">
        <f t="shared" si="1"/>
        <v>2040000</v>
      </c>
      <c r="J4944" s="74">
        <f>IF(E4944="SERVICE",I4944-(I4944*50%),Vlookup(E4944,DATABASE!C:Q,10,false)*F4944)</f>
        <v>0</v>
      </c>
      <c r="K4944" s="74">
        <f>VLOOKUP(E4944,DATABASE!C:Q,7,false)</f>
        <v>908000</v>
      </c>
      <c r="L4944" s="74">
        <v>897000.0</v>
      </c>
      <c r="M4944" s="74">
        <f t="shared" si="2"/>
        <v>900000</v>
      </c>
      <c r="N4944" s="74">
        <f t="shared" si="3"/>
        <v>240000</v>
      </c>
      <c r="O4944" s="65" t="str">
        <f>VLOOKUP(E4944,DATABASE!C:Q,8,false)</f>
        <v>IBU</v>
      </c>
      <c r="P4944" s="65">
        <f>VLOOKUP(E4944,DATABASE!C:Q,9,False)</f>
        <v>1</v>
      </c>
      <c r="Q4944" s="93" t="str">
        <f>VLOOKUP(E4944,DATABASE!C:Q,4,false)</f>
        <v>Dunlop</v>
      </c>
      <c r="R4944" s="93" t="str">
        <f>VLOOKUP(E4944,DATABASE!C:Q,11,false)</f>
        <v>Tire</v>
      </c>
    </row>
    <row r="4945" ht="22.5" customHeight="1">
      <c r="A4945" s="49"/>
      <c r="C4945" s="384">
        <v>45943.0</v>
      </c>
      <c r="D4945" s="65">
        <v>7448.0</v>
      </c>
      <c r="E4945" s="445" t="s">
        <v>246</v>
      </c>
      <c r="F4945" s="386">
        <v>1.0</v>
      </c>
      <c r="G4945" s="74">
        <v>35000.0</v>
      </c>
      <c r="H4945" s="74">
        <v>0.0</v>
      </c>
      <c r="I4945" s="74">
        <f t="shared" si="1"/>
        <v>35000</v>
      </c>
      <c r="J4945" s="74">
        <f>IF(E4945="SERVICE",I4945-(I4945*50%),Vlookup(E4945,DATABASE!C:Q,10,false)*F4945)</f>
        <v>0</v>
      </c>
      <c r="K4945" s="74">
        <f>VLOOKUP(E4945,DATABASE!C:Q,7,false)</f>
        <v>0</v>
      </c>
      <c r="L4945" s="74">
        <v>0.0</v>
      </c>
      <c r="M4945" s="74">
        <f t="shared" si="2"/>
        <v>0</v>
      </c>
      <c r="N4945" s="74">
        <f t="shared" si="3"/>
        <v>35000</v>
      </c>
      <c r="O4945" s="65" t="str">
        <f>VLOOKUP(E4945,DATABASE!C:Q,8,false)</f>
        <v>IBU</v>
      </c>
      <c r="P4945" s="65">
        <f>VLOOKUP(E4945,DATABASE!C:Q,9,False)</f>
        <v>0</v>
      </c>
      <c r="Q4945" s="93" t="str">
        <f>VLOOKUP(E4945,DATABASE!C:Q,4,false)</f>
        <v>Bongkar Pasang</v>
      </c>
      <c r="R4945" s="93" t="str">
        <f>VLOOKUP(E4945,DATABASE!C:Q,11,false)</f>
        <v>SERVICE</v>
      </c>
    </row>
    <row r="4946" ht="22.5" customHeight="1">
      <c r="A4946" s="49"/>
      <c r="C4946" s="384">
        <v>45943.0</v>
      </c>
      <c r="D4946" s="65">
        <v>7449.0</v>
      </c>
      <c r="E4946" s="445" t="s">
        <v>604</v>
      </c>
      <c r="F4946" s="386">
        <v>1.0</v>
      </c>
      <c r="G4946" s="74">
        <v>160000.0</v>
      </c>
      <c r="H4946" s="74">
        <v>0.0</v>
      </c>
      <c r="I4946" s="74">
        <f t="shared" si="1"/>
        <v>160000</v>
      </c>
      <c r="J4946" s="74">
        <f>IF(E4946="SERVICE",I4946-(I4946*50%),Vlookup(E4946,DATABASE!C:Q,10,false)*F4946)</f>
        <v>0</v>
      </c>
      <c r="K4946" s="74">
        <f>VLOOKUP(E4946,DATABASE!C:Q,7,false)</f>
        <v>124000</v>
      </c>
      <c r="L4946" s="74">
        <v>124000.0</v>
      </c>
      <c r="M4946" s="74">
        <f t="shared" si="2"/>
        <v>125000</v>
      </c>
      <c r="N4946" s="74">
        <f t="shared" si="3"/>
        <v>35000</v>
      </c>
      <c r="O4946" s="65" t="str">
        <f>VLOOKUP(E4946,DATABASE!C:Q,8,false)</f>
        <v>BIAN</v>
      </c>
      <c r="P4946" s="65">
        <f>VLOOKUP(E4946,DATABASE!C:Q,9,False)</f>
        <v>1</v>
      </c>
      <c r="Q4946" s="93" t="str">
        <f>VLOOKUP(E4946,DATABASE!C:Q,4,false)</f>
        <v>BD</v>
      </c>
      <c r="R4946" s="93" t="str">
        <f>VLOOKUP(E4946,DATABASE!C:Q,11,false)</f>
        <v>Tire</v>
      </c>
    </row>
    <row r="4947" ht="22.5" customHeight="1">
      <c r="A4947" s="49"/>
      <c r="C4947" s="384">
        <v>45943.0</v>
      </c>
      <c r="D4947" s="65">
        <v>7450.0</v>
      </c>
      <c r="E4947" s="445" t="s">
        <v>262</v>
      </c>
      <c r="F4947" s="386">
        <v>1.0</v>
      </c>
      <c r="G4947" s="74">
        <v>110000.0</v>
      </c>
      <c r="H4947" s="74">
        <v>0.0</v>
      </c>
      <c r="I4947" s="74">
        <f t="shared" si="1"/>
        <v>110000</v>
      </c>
      <c r="J4947" s="74">
        <f>IF(E4947="SERVICE",I4947-(I4947*50%),Vlookup(E4947,DATABASE!C:Q,10,false)*F4947)</f>
        <v>5000</v>
      </c>
      <c r="K4947" s="74">
        <f>VLOOKUP(E4947,DATABASE!C:Q,7,false)</f>
        <v>0</v>
      </c>
      <c r="L4947" s="74">
        <v>0.0</v>
      </c>
      <c r="M4947" s="74">
        <f t="shared" si="2"/>
        <v>0</v>
      </c>
      <c r="N4947" s="74">
        <f t="shared" si="3"/>
        <v>105000</v>
      </c>
      <c r="O4947" s="65" t="str">
        <f>VLOOKUP(E4947,DATABASE!C:Q,8,false)</f>
        <v>IBU</v>
      </c>
      <c r="P4947" s="65">
        <f>VLOOKUP(E4947,DATABASE!C:Q,9,False)</f>
        <v>0</v>
      </c>
      <c r="Q4947" s="93" t="str">
        <f>VLOOKUP(E4947,DATABASE!C:Q,4,false)</f>
        <v>SPOORING SS/CARRY LOS BAK</v>
      </c>
      <c r="R4947" s="93" t="str">
        <f>VLOOKUP(E4947,DATABASE!C:Q,11,false)</f>
        <v>SERVICE</v>
      </c>
    </row>
    <row r="4948" ht="22.5" customHeight="1">
      <c r="A4948" s="49"/>
      <c r="C4948" s="384">
        <v>45943.0</v>
      </c>
      <c r="D4948" s="65">
        <v>7450.0</v>
      </c>
      <c r="E4948" s="445" t="s">
        <v>478</v>
      </c>
      <c r="F4948" s="386">
        <v>1.0</v>
      </c>
      <c r="G4948" s="74">
        <v>200000.0</v>
      </c>
      <c r="H4948" s="74">
        <v>0.0</v>
      </c>
      <c r="I4948" s="74">
        <f t="shared" si="1"/>
        <v>200000</v>
      </c>
      <c r="J4948" s="74">
        <f>IF(E4948="SERVICE",I4948-(I4948*50%),Vlookup(E4948,DATABASE!C:Q,10,false)*F4948)</f>
        <v>25000</v>
      </c>
      <c r="K4948" s="74">
        <f>VLOOKUP(E4948,DATABASE!C:Q,7,false)</f>
        <v>75000</v>
      </c>
      <c r="L4948" s="74">
        <v>75000.0</v>
      </c>
      <c r="M4948" s="74">
        <f t="shared" si="2"/>
        <v>75000</v>
      </c>
      <c r="N4948" s="74">
        <f t="shared" si="3"/>
        <v>100000</v>
      </c>
      <c r="O4948" s="65" t="str">
        <f>VLOOKUP(E4948,DATABASE!C:Q,8,false)</f>
        <v>BIAN</v>
      </c>
      <c r="P4948" s="65">
        <f>VLOOKUP(E4948,DATABASE!C:Q,9,False)</f>
        <v>0</v>
      </c>
      <c r="Q4948" s="93" t="str">
        <f>VLOOKUP(E4948,DATABASE!C:Q,4,false)</f>
        <v>Baut Camber ss-carry</v>
      </c>
      <c r="R4948" s="93" t="str">
        <f>VLOOKUP(E4948,DATABASE!C:Q,11,false)</f>
        <v>COMPLEMENTARY</v>
      </c>
    </row>
    <row r="4949" ht="22.5" customHeight="1">
      <c r="A4949" s="49"/>
      <c r="C4949" s="384">
        <v>45943.0</v>
      </c>
      <c r="D4949" s="65">
        <v>7451.0</v>
      </c>
      <c r="E4949" s="445" t="s">
        <v>256</v>
      </c>
      <c r="F4949" s="386">
        <v>1.0</v>
      </c>
      <c r="G4949" s="74">
        <v>130000.0</v>
      </c>
      <c r="H4949" s="74">
        <v>0.0</v>
      </c>
      <c r="I4949" s="74">
        <f t="shared" si="1"/>
        <v>130000</v>
      </c>
      <c r="J4949" s="74">
        <f>IF(E4949="SERVICE",I4949-(I4949*50%),Vlookup(E4949,DATABASE!C:Q,10,false)*F4949)</f>
        <v>10000</v>
      </c>
      <c r="K4949" s="74">
        <f>VLOOKUP(E4949,DATABASE!C:Q,7,false)</f>
        <v>0</v>
      </c>
      <c r="L4949" s="74">
        <v>0.0</v>
      </c>
      <c r="M4949" s="74">
        <f t="shared" si="2"/>
        <v>0</v>
      </c>
      <c r="N4949" s="74">
        <f t="shared" si="3"/>
        <v>120000</v>
      </c>
      <c r="O4949" s="65" t="str">
        <f>VLOOKUP(E4949,DATABASE!C:Q,8,false)</f>
        <v>IBU</v>
      </c>
      <c r="P4949" s="65">
        <f>VLOOKUP(E4949,DATABASE!C:Q,9,False)</f>
        <v>0</v>
      </c>
      <c r="Q4949" s="93" t="str">
        <f>VLOOKUP(E4949,DATABASE!C:Q,4,false)</f>
        <v>SPOORING</v>
      </c>
      <c r="R4949" s="93" t="str">
        <f>VLOOKUP(E4949,DATABASE!C:Q,11,false)</f>
        <v>SERVICE</v>
      </c>
    </row>
    <row r="4950" ht="22.5" customHeight="1">
      <c r="A4950" s="49"/>
      <c r="C4950" s="384">
        <v>45943.0</v>
      </c>
      <c r="D4950" s="65">
        <v>7451.0</v>
      </c>
      <c r="E4950" s="385" t="s">
        <v>299</v>
      </c>
      <c r="F4950" s="386">
        <v>2.0</v>
      </c>
      <c r="G4950" s="74">
        <v>30000.0</v>
      </c>
      <c r="H4950" s="74">
        <v>0.0</v>
      </c>
      <c r="I4950" s="74">
        <f t="shared" si="1"/>
        <v>60000</v>
      </c>
      <c r="J4950" s="74">
        <f>IF(E4950="SERVICE",I4950-(I4950*50%),Vlookup(E4950,DATABASE!C:Q,10,false)*F4950)</f>
        <v>0</v>
      </c>
      <c r="K4950" s="74">
        <v>0.0</v>
      </c>
      <c r="L4950" s="74">
        <v>0.0</v>
      </c>
      <c r="M4950" s="74">
        <f t="shared" si="2"/>
        <v>0</v>
      </c>
      <c r="N4950" s="74">
        <f t="shared" si="3"/>
        <v>60000</v>
      </c>
      <c r="O4950" s="65" t="str">
        <f>VLOOKUP(E4950,DATABASE!C:Q,8,false)</f>
        <v>BIAN</v>
      </c>
      <c r="P4950" s="65">
        <f>VLOOKUP(E4950,DATABASE!C:Q,9,False)</f>
        <v>0</v>
      </c>
      <c r="Q4950" s="93" t="str">
        <f>VLOOKUP(E4950,DATABASE!C:Q,4,false)</f>
        <v>Balancing</v>
      </c>
      <c r="R4950" s="93" t="str">
        <f>VLOOKUP(E4950,DATABASE!C:Q,11,false)</f>
        <v>COMPLEMENTARY</v>
      </c>
    </row>
    <row r="4951" ht="22.5" customHeight="1">
      <c r="A4951" s="49"/>
      <c r="C4951" s="384">
        <v>45943.0</v>
      </c>
      <c r="D4951" s="65">
        <v>7451.0</v>
      </c>
      <c r="E4951" s="445" t="s">
        <v>301</v>
      </c>
      <c r="F4951" s="386">
        <v>1.0</v>
      </c>
      <c r="G4951" s="74">
        <v>250000.0</v>
      </c>
      <c r="H4951" s="74">
        <v>0.0</v>
      </c>
      <c r="I4951" s="74">
        <f t="shared" si="1"/>
        <v>250000</v>
      </c>
      <c r="J4951" s="74">
        <f>IF(E4951="SERVICE",I4951-(I4951*50%),Vlookup(E4951,DATABASE!C:Q,10,false)*F4951)</f>
        <v>75000</v>
      </c>
      <c r="K4951" s="74">
        <f>VLOOKUP(E4951,DATABASE!C:Q,7,false)</f>
        <v>75000</v>
      </c>
      <c r="L4951" s="74">
        <v>75000.0</v>
      </c>
      <c r="M4951" s="74">
        <f t="shared" si="2"/>
        <v>75000</v>
      </c>
      <c r="N4951" s="74">
        <f t="shared" si="3"/>
        <v>100000</v>
      </c>
      <c r="O4951" s="65" t="str">
        <f>VLOOKUP(E4951,DATABASE!C:Q,8,false)</f>
        <v>BIAN</v>
      </c>
      <c r="P4951" s="65">
        <f>VLOOKUP(E4951,DATABASE!C:Q,9,False)</f>
        <v>0</v>
      </c>
      <c r="Q4951" s="93" t="str">
        <f>VLOOKUP(E4951,DATABASE!C:Q,4,false)</f>
        <v>Baut Camber</v>
      </c>
      <c r="R4951" s="93" t="str">
        <f>VLOOKUP(E4951,DATABASE!C:Q,11,false)</f>
        <v>COMPLEMENTARY</v>
      </c>
    </row>
    <row r="4952" ht="22.5" customHeight="1">
      <c r="A4952" s="49"/>
      <c r="C4952" s="384">
        <v>45943.0</v>
      </c>
      <c r="D4952" s="65">
        <v>7452.0</v>
      </c>
      <c r="E4952" s="445" t="s">
        <v>974</v>
      </c>
      <c r="F4952" s="386">
        <v>1.0</v>
      </c>
      <c r="G4952" s="74">
        <v>590000.0</v>
      </c>
      <c r="H4952" s="74">
        <v>0.0</v>
      </c>
      <c r="I4952" s="74">
        <f t="shared" si="1"/>
        <v>590000</v>
      </c>
      <c r="J4952" s="74">
        <f>IF(E4952="SERVICE",I4952-(I4952*50%),Vlookup(E4952,DATABASE!C:Q,10,false)*F4952)</f>
        <v>0</v>
      </c>
      <c r="K4952" s="74">
        <f>VLOOKUP(E4952,DATABASE!C:Q,7,false)</f>
        <v>501500</v>
      </c>
      <c r="L4952" s="74">
        <v>491000.0</v>
      </c>
      <c r="M4952" s="74">
        <f t="shared" si="2"/>
        <v>495000</v>
      </c>
      <c r="N4952" s="74">
        <f t="shared" si="3"/>
        <v>95000</v>
      </c>
      <c r="O4952" s="65" t="str">
        <f>VLOOKUP(E4952,DATABASE!C:Q,8,false)</f>
        <v>IBU</v>
      </c>
      <c r="P4952" s="65">
        <f>VLOOKUP(E4952,DATABASE!C:Q,9,False)</f>
        <v>1</v>
      </c>
      <c r="Q4952" s="93" t="str">
        <f>VLOOKUP(E4952,DATABASE!C:Q,4,false)</f>
        <v>Dunlop</v>
      </c>
      <c r="R4952" s="93" t="str">
        <f>VLOOKUP(E4952,DATABASE!C:Q,11,false)</f>
        <v>Tire</v>
      </c>
    </row>
    <row r="4953" ht="22.5" customHeight="1">
      <c r="A4953" s="49"/>
      <c r="C4953" s="384">
        <v>45943.0</v>
      </c>
      <c r="D4953" s="65">
        <v>7453.0</v>
      </c>
      <c r="E4953" s="445" t="s">
        <v>262</v>
      </c>
      <c r="F4953" s="386">
        <v>1.0</v>
      </c>
      <c r="G4953" s="74">
        <v>110000.0</v>
      </c>
      <c r="H4953" s="74">
        <v>0.0</v>
      </c>
      <c r="I4953" s="74">
        <f t="shared" si="1"/>
        <v>110000</v>
      </c>
      <c r="J4953" s="74">
        <f>IF(E4953="SERVICE",I4953-(I4953*50%),Vlookup(E4953,DATABASE!C:Q,10,false)*F4953)</f>
        <v>5000</v>
      </c>
      <c r="K4953" s="74">
        <f>VLOOKUP(E4953,DATABASE!C:Q,7,false)</f>
        <v>0</v>
      </c>
      <c r="L4953" s="74">
        <v>0.0</v>
      </c>
      <c r="M4953" s="74">
        <f t="shared" si="2"/>
        <v>0</v>
      </c>
      <c r="N4953" s="74">
        <f t="shared" si="3"/>
        <v>105000</v>
      </c>
      <c r="O4953" s="65" t="str">
        <f>VLOOKUP(E4953,DATABASE!C:Q,8,false)</f>
        <v>IBU</v>
      </c>
      <c r="P4953" s="65">
        <f>VLOOKUP(E4953,DATABASE!C:Q,9,False)</f>
        <v>0</v>
      </c>
      <c r="Q4953" s="93" t="str">
        <f>VLOOKUP(E4953,DATABASE!C:Q,4,false)</f>
        <v>SPOORING SS/CARRY LOS BAK</v>
      </c>
      <c r="R4953" s="93" t="str">
        <f>VLOOKUP(E4953,DATABASE!C:Q,11,false)</f>
        <v>SERVICE</v>
      </c>
    </row>
    <row r="4954" ht="22.5" customHeight="1">
      <c r="A4954" s="49"/>
      <c r="C4954" s="384">
        <v>45943.0</v>
      </c>
      <c r="D4954" s="65">
        <v>7453.0</v>
      </c>
      <c r="E4954" s="445" t="s">
        <v>478</v>
      </c>
      <c r="F4954" s="386">
        <v>1.0</v>
      </c>
      <c r="G4954" s="74">
        <v>200000.0</v>
      </c>
      <c r="H4954" s="74">
        <v>0.0</v>
      </c>
      <c r="I4954" s="74">
        <f t="shared" si="1"/>
        <v>200000</v>
      </c>
      <c r="J4954" s="74">
        <f>IF(E4954="SERVICE",I4954-(I4954*50%),Vlookup(E4954,DATABASE!C:Q,10,false)*F4954)</f>
        <v>25000</v>
      </c>
      <c r="K4954" s="74">
        <f>VLOOKUP(E4954,DATABASE!C:Q,7,false)</f>
        <v>75000</v>
      </c>
      <c r="L4954" s="74">
        <v>75000.0</v>
      </c>
      <c r="M4954" s="74">
        <f t="shared" si="2"/>
        <v>75000</v>
      </c>
      <c r="N4954" s="74">
        <f t="shared" si="3"/>
        <v>100000</v>
      </c>
      <c r="O4954" s="65" t="str">
        <f>VLOOKUP(E4954,DATABASE!C:Q,8,false)</f>
        <v>BIAN</v>
      </c>
      <c r="P4954" s="65">
        <f>VLOOKUP(E4954,DATABASE!C:Q,9,False)</f>
        <v>0</v>
      </c>
      <c r="Q4954" s="93" t="str">
        <f>VLOOKUP(E4954,DATABASE!C:Q,4,false)</f>
        <v>Baut Camber ss-carry</v>
      </c>
      <c r="R4954" s="93" t="str">
        <f>VLOOKUP(E4954,DATABASE!C:Q,11,false)</f>
        <v>COMPLEMENTARY</v>
      </c>
    </row>
    <row r="4955" ht="22.5" customHeight="1">
      <c r="A4955" s="49"/>
      <c r="C4955" s="384">
        <v>45943.0</v>
      </c>
      <c r="D4955" s="65">
        <v>7454.0</v>
      </c>
      <c r="E4955" s="445" t="s">
        <v>268</v>
      </c>
      <c r="F4955" s="386">
        <v>2.0</v>
      </c>
      <c r="G4955" s="74">
        <v>720000.0</v>
      </c>
      <c r="H4955" s="74">
        <v>0.0</v>
      </c>
      <c r="I4955" s="74">
        <f t="shared" si="1"/>
        <v>1440000</v>
      </c>
      <c r="J4955" s="74">
        <f>IF(E4955="SERVICE",I4955-(I4955*50%),Vlookup(E4955,DATABASE!C:Q,10,false)*F4955)</f>
        <v>0</v>
      </c>
      <c r="K4955" s="74">
        <f>VLOOKUP(E4955,DATABASE!C:Q,7,false)</f>
        <v>653000</v>
      </c>
      <c r="L4955" s="74">
        <v>622000.0</v>
      </c>
      <c r="M4955" s="74">
        <f t="shared" si="2"/>
        <v>625000</v>
      </c>
      <c r="N4955" s="74">
        <f t="shared" si="3"/>
        <v>190000</v>
      </c>
      <c r="O4955" s="65" t="str">
        <f>VLOOKUP(E4955,DATABASE!C:Q,8,false)</f>
        <v>IBU</v>
      </c>
      <c r="P4955" s="65">
        <f>VLOOKUP(E4955,DATABASE!C:Q,9,False)</f>
        <v>1</v>
      </c>
      <c r="Q4955" s="93" t="str">
        <f>VLOOKUP(E4955,DATABASE!C:Q,4,false)</f>
        <v>Dunlop</v>
      </c>
      <c r="R4955" s="93" t="str">
        <f>VLOOKUP(E4955,DATABASE!C:Q,11,false)</f>
        <v>Tire</v>
      </c>
    </row>
    <row r="4956" ht="22.5" customHeight="1">
      <c r="A4956" s="49"/>
      <c r="C4956" s="384">
        <v>45943.0</v>
      </c>
      <c r="D4956" s="65">
        <v>7454.0</v>
      </c>
      <c r="E4956" s="385" t="s">
        <v>299</v>
      </c>
      <c r="F4956" s="386">
        <v>2.0</v>
      </c>
      <c r="G4956" s="74">
        <v>30000.0</v>
      </c>
      <c r="H4956" s="74">
        <v>0.0</v>
      </c>
      <c r="I4956" s="74">
        <f t="shared" si="1"/>
        <v>60000</v>
      </c>
      <c r="J4956" s="74">
        <f>IF(E4956="SERVICE",I4956-(I4956*50%),Vlookup(E4956,DATABASE!C:Q,10,false)*F4956)</f>
        <v>0</v>
      </c>
      <c r="K4956" s="74">
        <v>0.0</v>
      </c>
      <c r="L4956" s="74">
        <v>0.0</v>
      </c>
      <c r="M4956" s="74">
        <f t="shared" si="2"/>
        <v>0</v>
      </c>
      <c r="N4956" s="74">
        <f t="shared" si="3"/>
        <v>60000</v>
      </c>
      <c r="O4956" s="65" t="str">
        <f>VLOOKUP(E4956,DATABASE!C:Q,8,false)</f>
        <v>BIAN</v>
      </c>
      <c r="P4956" s="65">
        <f>VLOOKUP(E4956,DATABASE!C:Q,9,False)</f>
        <v>0</v>
      </c>
      <c r="Q4956" s="93" t="str">
        <f>VLOOKUP(E4956,DATABASE!C:Q,4,false)</f>
        <v>Balancing</v>
      </c>
      <c r="R4956" s="93" t="str">
        <f>VLOOKUP(E4956,DATABASE!C:Q,11,false)</f>
        <v>COMPLEMENTARY</v>
      </c>
    </row>
    <row r="4957" ht="22.5" customHeight="1">
      <c r="A4957" s="49"/>
      <c r="C4957" s="384">
        <v>45943.0</v>
      </c>
      <c r="D4957" s="65">
        <v>7455.0</v>
      </c>
      <c r="E4957" s="445" t="s">
        <v>275</v>
      </c>
      <c r="F4957" s="386">
        <v>2.0</v>
      </c>
      <c r="G4957" s="74">
        <v>850000.0</v>
      </c>
      <c r="H4957" s="74">
        <v>0.0</v>
      </c>
      <c r="I4957" s="74">
        <f t="shared" si="1"/>
        <v>1700000</v>
      </c>
      <c r="J4957" s="74">
        <f>IF(E4957="SERVICE",I4957-(I4957*50%),Vlookup(E4957,DATABASE!C:Q,10,false)*F4957)</f>
        <v>0</v>
      </c>
      <c r="K4957" s="74">
        <f>VLOOKUP(E4957,DATABASE!C:Q,7,false)</f>
        <v>782000</v>
      </c>
      <c r="L4957" s="74">
        <v>745000.0</v>
      </c>
      <c r="M4957" s="74">
        <f t="shared" si="2"/>
        <v>745000</v>
      </c>
      <c r="N4957" s="74">
        <f t="shared" si="3"/>
        <v>210000</v>
      </c>
      <c r="O4957" s="65" t="str">
        <f>VLOOKUP(E4957,DATABASE!C:Q,8,false)</f>
        <v>IBU</v>
      </c>
      <c r="P4957" s="65">
        <f>VLOOKUP(E4957,DATABASE!C:Q,9,False)</f>
        <v>1</v>
      </c>
      <c r="Q4957" s="93" t="str">
        <f>VLOOKUP(E4957,DATABASE!C:Q,4,false)</f>
        <v>Dunlop</v>
      </c>
      <c r="R4957" s="93" t="str">
        <f>VLOOKUP(E4957,DATABASE!C:Q,11,false)</f>
        <v>Tire</v>
      </c>
    </row>
    <row r="4958" ht="22.5" customHeight="1">
      <c r="A4958" s="49"/>
      <c r="C4958" s="384">
        <v>45943.0</v>
      </c>
      <c r="D4958" s="65">
        <v>7456.0</v>
      </c>
      <c r="E4958" s="445" t="s">
        <v>1588</v>
      </c>
      <c r="F4958" s="386">
        <v>2.0</v>
      </c>
      <c r="G4958" s="74">
        <v>1000000.0</v>
      </c>
      <c r="H4958" s="74">
        <v>0.0</v>
      </c>
      <c r="I4958" s="74">
        <f t="shared" si="1"/>
        <v>2000000</v>
      </c>
      <c r="J4958" s="74">
        <f>IF(E4958="SERVICE",I4958-(I4958*50%),Vlookup(E4958,DATABASE!C:Q,10,false)*F4958)</f>
        <v>0</v>
      </c>
      <c r="K4958" s="74">
        <f>VLOOKUP(E4958,DATABASE!C:Q,7,false)</f>
        <v>930000</v>
      </c>
      <c r="L4958" s="74">
        <v>940000.0</v>
      </c>
      <c r="M4958" s="74">
        <f t="shared" si="2"/>
        <v>940000</v>
      </c>
      <c r="N4958" s="74">
        <f t="shared" si="3"/>
        <v>120000</v>
      </c>
      <c r="O4958" s="65" t="str">
        <f>VLOOKUP(E4958,DATABASE!C:Q,8,false)</f>
        <v>IBU</v>
      </c>
      <c r="P4958" s="65">
        <f>VLOOKUP(E4958,DATABASE!C:Q,9,False)</f>
        <v>1</v>
      </c>
      <c r="Q4958" s="93" t="str">
        <f>VLOOKUP(E4958,DATABASE!C:Q,4,false)</f>
        <v>Dunlop</v>
      </c>
      <c r="R4958" s="93" t="str">
        <f>VLOOKUP(E4958,DATABASE!C:Q,11,false)</f>
        <v>Tire</v>
      </c>
    </row>
    <row r="4959" ht="22.5" customHeight="1">
      <c r="A4959" s="49"/>
      <c r="C4959" s="384">
        <v>45944.0</v>
      </c>
      <c r="D4959" s="65">
        <v>7459.0</v>
      </c>
      <c r="E4959" s="445" t="s">
        <v>737</v>
      </c>
      <c r="F4959" s="386">
        <v>1.0</v>
      </c>
      <c r="G4959" s="74">
        <v>270000.0</v>
      </c>
      <c r="H4959" s="74">
        <v>0.0</v>
      </c>
      <c r="I4959" s="74">
        <f t="shared" si="1"/>
        <v>270000</v>
      </c>
      <c r="J4959" s="74">
        <f>IF(E4959="SERVICE",I4959-(I4959*50%),Vlookup(E4959,DATABASE!C:Q,10,false)*F4959)</f>
        <v>0</v>
      </c>
      <c r="K4959" s="74">
        <f>VLOOKUP(E4959,DATABASE!C:Q,7,false)</f>
        <v>241001.6</v>
      </c>
      <c r="L4959" s="74">
        <v>237440.0</v>
      </c>
      <c r="M4959" s="74">
        <f t="shared" si="2"/>
        <v>240000</v>
      </c>
      <c r="N4959" s="74">
        <f t="shared" si="3"/>
        <v>30000</v>
      </c>
      <c r="O4959" s="65" t="str">
        <f>VLOOKUP(E4959,DATABASE!C:Q,8,false)</f>
        <v>IBU</v>
      </c>
      <c r="P4959" s="65">
        <f>VLOOKUP(E4959,DATABASE!C:Q,9,False)</f>
        <v>1</v>
      </c>
      <c r="Q4959" s="93" t="str">
        <f>VLOOKUP(E4959,DATABASE!C:Q,4,false)</f>
        <v>BD</v>
      </c>
      <c r="R4959" s="93" t="str">
        <f>VLOOKUP(E4959,DATABASE!C:Q,11,false)</f>
        <v>Tire</v>
      </c>
    </row>
    <row r="4960" ht="22.5" customHeight="1">
      <c r="A4960" s="49"/>
      <c r="C4960" s="384">
        <v>45944.0</v>
      </c>
      <c r="D4960" s="65">
        <v>7459.0</v>
      </c>
      <c r="E4960" s="445" t="s">
        <v>821</v>
      </c>
      <c r="F4960" s="386">
        <v>1.0</v>
      </c>
      <c r="G4960" s="74">
        <v>85000.0</v>
      </c>
      <c r="H4960" s="74">
        <v>0.0</v>
      </c>
      <c r="I4960" s="74">
        <f t="shared" si="1"/>
        <v>85000</v>
      </c>
      <c r="J4960" s="74">
        <f>IF(E4960="SERVICE",I4960-(I4960*50%),Vlookup(E4960,DATABASE!C:Q,10,false)*F4960)</f>
        <v>0</v>
      </c>
      <c r="K4960" s="74">
        <f>VLOOKUP(E4960,DATABASE!C:Q,7,false)</f>
        <v>43500</v>
      </c>
      <c r="L4960" s="74">
        <v>43520.0</v>
      </c>
      <c r="M4960" s="74">
        <f t="shared" si="2"/>
        <v>45000</v>
      </c>
      <c r="N4960" s="74">
        <f t="shared" si="3"/>
        <v>40000</v>
      </c>
      <c r="O4960" s="65" t="str">
        <f>VLOOKUP(E4960,DATABASE!C:Q,8,false)</f>
        <v>BIAN</v>
      </c>
      <c r="P4960" s="65">
        <f>VLOOKUP(E4960,DATABASE!C:Q,9,False)</f>
        <v>1</v>
      </c>
      <c r="Q4960" s="93" t="str">
        <f>VLOOKUP(E4960,DATABASE!C:Q,4,false)</f>
        <v>Flap</v>
      </c>
      <c r="R4960" s="93" t="str">
        <f>VLOOKUP(E4960,DATABASE!C:Q,11,false)</f>
        <v>Tire</v>
      </c>
    </row>
    <row r="4961" ht="22.5" customHeight="1">
      <c r="A4961" s="49"/>
      <c r="C4961" s="384">
        <v>45944.0</v>
      </c>
      <c r="D4961" s="65">
        <v>7460.0</v>
      </c>
      <c r="E4961" s="445" t="s">
        <v>647</v>
      </c>
      <c r="F4961" s="386">
        <v>2.0</v>
      </c>
      <c r="G4961" s="74">
        <v>1520000.0</v>
      </c>
      <c r="H4961" s="74">
        <v>0.0</v>
      </c>
      <c r="I4961" s="74">
        <f t="shared" si="1"/>
        <v>3040000</v>
      </c>
      <c r="J4961" s="74">
        <f>IF(E4961="SERVICE",I4961-(I4961*50%),Vlookup(E4961,DATABASE!C:Q,10,false)*F4961)</f>
        <v>0</v>
      </c>
      <c r="K4961" s="74">
        <f>VLOOKUP(E4961,DATABASE!C:Q,7,false)</f>
        <v>1420000</v>
      </c>
      <c r="L4961" s="74">
        <v>1420000.0</v>
      </c>
      <c r="M4961" s="74">
        <f t="shared" si="2"/>
        <v>1420000</v>
      </c>
      <c r="N4961" s="74">
        <f t="shared" si="3"/>
        <v>200000</v>
      </c>
      <c r="O4961" s="65" t="str">
        <f>VLOOKUP(E4961,DATABASE!C:Q,8,false)</f>
        <v>BIAN</v>
      </c>
      <c r="P4961" s="65">
        <f>VLOOKUP(E4961,DATABASE!C:Q,9,False)</f>
        <v>1</v>
      </c>
      <c r="Q4961" s="93" t="str">
        <f>VLOOKUP(E4961,DATABASE!C:Q,4,false)</f>
        <v>G. YEAR</v>
      </c>
      <c r="R4961" s="93" t="str">
        <f>VLOOKUP(E4961,DATABASE!C:Q,11,false)</f>
        <v>Tire</v>
      </c>
    </row>
    <row r="4962" ht="22.5" customHeight="1">
      <c r="A4962" s="49"/>
      <c r="C4962" s="384">
        <v>45944.0</v>
      </c>
      <c r="D4962" s="65">
        <v>7462.0</v>
      </c>
      <c r="E4962" s="445" t="s">
        <v>275</v>
      </c>
      <c r="F4962" s="386">
        <v>1.0</v>
      </c>
      <c r="G4962" s="74">
        <v>850000.0</v>
      </c>
      <c r="H4962" s="74">
        <v>0.0</v>
      </c>
      <c r="I4962" s="74">
        <f t="shared" si="1"/>
        <v>850000</v>
      </c>
      <c r="J4962" s="74">
        <f>IF(E4962="SERVICE",I4962-(I4962*50%),Vlookup(E4962,DATABASE!C:Q,10,false)*F4962)</f>
        <v>0</v>
      </c>
      <c r="K4962" s="74">
        <f>VLOOKUP(E4962,DATABASE!C:Q,7,false)</f>
        <v>782000</v>
      </c>
      <c r="L4962" s="74">
        <v>745000.0</v>
      </c>
      <c r="M4962" s="74">
        <f t="shared" si="2"/>
        <v>745000</v>
      </c>
      <c r="N4962" s="74">
        <f t="shared" si="3"/>
        <v>105000</v>
      </c>
      <c r="O4962" s="65" t="str">
        <f>VLOOKUP(E4962,DATABASE!C:Q,8,false)</f>
        <v>IBU</v>
      </c>
      <c r="P4962" s="65">
        <f>VLOOKUP(E4962,DATABASE!C:Q,9,False)</f>
        <v>1</v>
      </c>
      <c r="Q4962" s="93" t="str">
        <f>VLOOKUP(E4962,DATABASE!C:Q,4,false)</f>
        <v>Dunlop</v>
      </c>
      <c r="R4962" s="93" t="str">
        <f>VLOOKUP(E4962,DATABASE!C:Q,11,false)</f>
        <v>Tire</v>
      </c>
    </row>
    <row r="4963" ht="22.5" customHeight="1">
      <c r="A4963" s="49"/>
      <c r="C4963" s="384">
        <v>45944.0</v>
      </c>
      <c r="D4963" s="65">
        <v>7463.0</v>
      </c>
      <c r="E4963" s="445" t="s">
        <v>1530</v>
      </c>
      <c r="F4963" s="386">
        <v>2.0</v>
      </c>
      <c r="G4963" s="74">
        <v>560000.0</v>
      </c>
      <c r="H4963" s="74">
        <v>0.0</v>
      </c>
      <c r="I4963" s="74">
        <f t="shared" si="1"/>
        <v>1120000</v>
      </c>
      <c r="J4963" s="74">
        <f>IF(E4963="SERVICE",I4963-(I4963*50%),Vlookup(E4963,DATABASE!C:Q,10,false)*F4963)</f>
        <v>0</v>
      </c>
      <c r="K4963" s="74">
        <f>VLOOKUP(E4963,DATABASE!C:Q,7,false)</f>
        <v>467000</v>
      </c>
      <c r="L4963" s="74">
        <v>454000.0</v>
      </c>
      <c r="M4963" s="74">
        <f t="shared" si="2"/>
        <v>455000</v>
      </c>
      <c r="N4963" s="74">
        <f t="shared" si="3"/>
        <v>210000</v>
      </c>
      <c r="O4963" s="65" t="str">
        <f>VLOOKUP(E4963,DATABASE!C:Q,8,false)</f>
        <v>BIAN</v>
      </c>
      <c r="P4963" s="65">
        <f>VLOOKUP(E4963,DATABASE!C:Q,9,False)</f>
        <v>1</v>
      </c>
      <c r="Q4963" s="93" t="str">
        <f>VLOOKUP(E4963,DATABASE!C:Q,4,false)</f>
        <v>Laufen</v>
      </c>
      <c r="R4963" s="93" t="str">
        <f>VLOOKUP(E4963,DATABASE!C:Q,11,false)</f>
        <v>Tire</v>
      </c>
    </row>
    <row r="4964" ht="22.5" customHeight="1">
      <c r="A4964" s="49"/>
      <c r="C4964" s="384">
        <v>45944.0</v>
      </c>
      <c r="D4964" s="65">
        <v>7464.0</v>
      </c>
      <c r="E4964" s="445" t="s">
        <v>275</v>
      </c>
      <c r="F4964" s="386">
        <v>2.0</v>
      </c>
      <c r="G4964" s="74">
        <v>850000.0</v>
      </c>
      <c r="H4964" s="74">
        <v>0.0</v>
      </c>
      <c r="I4964" s="74">
        <f t="shared" si="1"/>
        <v>1700000</v>
      </c>
      <c r="J4964" s="74">
        <f>IF(E4964="SERVICE",I4964-(I4964*50%),Vlookup(E4964,DATABASE!C:Q,10,false)*F4964)</f>
        <v>0</v>
      </c>
      <c r="K4964" s="74">
        <f>VLOOKUP(E4964,DATABASE!C:Q,7,false)</f>
        <v>782000</v>
      </c>
      <c r="L4964" s="74">
        <v>745000.0</v>
      </c>
      <c r="M4964" s="74">
        <f t="shared" si="2"/>
        <v>745000</v>
      </c>
      <c r="N4964" s="74">
        <f t="shared" si="3"/>
        <v>210000</v>
      </c>
      <c r="O4964" s="65" t="str">
        <f>VLOOKUP(E4964,DATABASE!C:Q,8,false)</f>
        <v>IBU</v>
      </c>
      <c r="P4964" s="65">
        <f>VLOOKUP(E4964,DATABASE!C:Q,9,False)</f>
        <v>1</v>
      </c>
      <c r="Q4964" s="93" t="str">
        <f>VLOOKUP(E4964,DATABASE!C:Q,4,false)</f>
        <v>Dunlop</v>
      </c>
      <c r="R4964" s="93" t="str">
        <f>VLOOKUP(E4964,DATABASE!C:Q,11,false)</f>
        <v>Tire</v>
      </c>
    </row>
    <row r="4965" ht="22.5" customHeight="1">
      <c r="A4965" s="49"/>
      <c r="C4965" s="384">
        <v>45944.0</v>
      </c>
      <c r="D4965" s="65">
        <v>7465.0</v>
      </c>
      <c r="E4965" s="445" t="s">
        <v>251</v>
      </c>
      <c r="F4965" s="386">
        <v>1.0</v>
      </c>
      <c r="G4965" s="74">
        <v>150000.0</v>
      </c>
      <c r="H4965" s="74">
        <v>0.0</v>
      </c>
      <c r="I4965" s="74">
        <f t="shared" si="1"/>
        <v>150000</v>
      </c>
      <c r="J4965" s="74">
        <f>IF(E4965="SERVICE",I4965-(I4965*50%),Vlookup(E4965,DATABASE!C:Q,10,false)*F4965)</f>
        <v>75000</v>
      </c>
      <c r="K4965" s="74">
        <f>VLOOKUP(E4965,DATABASE!C:Q,7,false)</f>
        <v>0</v>
      </c>
      <c r="L4965" s="74">
        <v>0.0</v>
      </c>
      <c r="M4965" s="74">
        <f t="shared" si="2"/>
        <v>0</v>
      </c>
      <c r="N4965" s="74">
        <f t="shared" si="3"/>
        <v>75000</v>
      </c>
      <c r="O4965" s="65" t="str">
        <f>VLOOKUP(E4965,DATABASE!C:Q,8,false)</f>
        <v>IBU</v>
      </c>
      <c r="P4965" s="65">
        <f>VLOOKUP(E4965,DATABASE!C:Q,9,False)</f>
        <v>0</v>
      </c>
      <c r="Q4965" s="93" t="str">
        <f>VLOOKUP(E4965,DATABASE!C:Q,4,false)</f>
        <v>SERVICE</v>
      </c>
      <c r="R4965" s="93" t="str">
        <f>VLOOKUP(E4965,DATABASE!C:Q,11,false)</f>
        <v>SERVICE</v>
      </c>
    </row>
    <row r="4966" ht="22.5" customHeight="1">
      <c r="A4966" s="49"/>
      <c r="C4966" s="384">
        <v>45944.0</v>
      </c>
      <c r="D4966" s="65">
        <v>7466.0</v>
      </c>
      <c r="E4966" s="445" t="s">
        <v>268</v>
      </c>
      <c r="F4966" s="386">
        <v>2.0</v>
      </c>
      <c r="G4966" s="74">
        <v>720000.0</v>
      </c>
      <c r="H4966" s="74">
        <v>0.0</v>
      </c>
      <c r="I4966" s="74">
        <f t="shared" si="1"/>
        <v>1440000</v>
      </c>
      <c r="J4966" s="74">
        <f>IF(E4966="SERVICE",I4966-(I4966*50%),Vlookup(E4966,DATABASE!C:Q,10,false)*F4966)</f>
        <v>0</v>
      </c>
      <c r="K4966" s="74">
        <f>VLOOKUP(E4966,DATABASE!C:Q,7,false)</f>
        <v>653000</v>
      </c>
      <c r="L4966" s="74">
        <v>622000.0</v>
      </c>
      <c r="M4966" s="74">
        <f t="shared" si="2"/>
        <v>625000</v>
      </c>
      <c r="N4966" s="74">
        <f t="shared" si="3"/>
        <v>190000</v>
      </c>
      <c r="O4966" s="65" t="str">
        <f>VLOOKUP(E4966,DATABASE!C:Q,8,false)</f>
        <v>IBU</v>
      </c>
      <c r="P4966" s="65">
        <f>VLOOKUP(E4966,DATABASE!C:Q,9,False)</f>
        <v>1</v>
      </c>
      <c r="Q4966" s="93" t="str">
        <f>VLOOKUP(E4966,DATABASE!C:Q,4,false)</f>
        <v>Dunlop</v>
      </c>
      <c r="R4966" s="93" t="str">
        <f>VLOOKUP(E4966,DATABASE!C:Q,11,false)</f>
        <v>Tire</v>
      </c>
    </row>
    <row r="4967" ht="22.5" customHeight="1">
      <c r="A4967" s="49"/>
      <c r="C4967" s="384">
        <v>45944.0</v>
      </c>
      <c r="D4967" s="65">
        <v>7466.0</v>
      </c>
      <c r="E4967" s="385" t="s">
        <v>299</v>
      </c>
      <c r="F4967" s="386">
        <v>2.0</v>
      </c>
      <c r="G4967" s="74">
        <v>30000.0</v>
      </c>
      <c r="H4967" s="74">
        <v>0.0</v>
      </c>
      <c r="I4967" s="74">
        <f t="shared" si="1"/>
        <v>60000</v>
      </c>
      <c r="J4967" s="74">
        <f>IF(E4967="SERVICE",I4967-(I4967*50%),Vlookup(E4967,DATABASE!C:Q,10,false)*F4967)</f>
        <v>0</v>
      </c>
      <c r="K4967" s="74">
        <v>0.0</v>
      </c>
      <c r="L4967" s="74">
        <v>0.0</v>
      </c>
      <c r="M4967" s="74">
        <f t="shared" si="2"/>
        <v>0</v>
      </c>
      <c r="N4967" s="74">
        <f t="shared" si="3"/>
        <v>60000</v>
      </c>
      <c r="O4967" s="65" t="str">
        <f>VLOOKUP(E4967,DATABASE!C:Q,8,false)</f>
        <v>BIAN</v>
      </c>
      <c r="P4967" s="65">
        <f>VLOOKUP(E4967,DATABASE!C:Q,9,False)</f>
        <v>0</v>
      </c>
      <c r="Q4967" s="93" t="str">
        <f>VLOOKUP(E4967,DATABASE!C:Q,4,false)</f>
        <v>Balancing</v>
      </c>
      <c r="R4967" s="93" t="str">
        <f>VLOOKUP(E4967,DATABASE!C:Q,11,false)</f>
        <v>COMPLEMENTARY</v>
      </c>
    </row>
    <row r="4968" ht="22.5" customHeight="1">
      <c r="A4968" s="49"/>
      <c r="C4968" s="384">
        <v>45944.0</v>
      </c>
      <c r="D4968" s="65">
        <v>7466.0</v>
      </c>
      <c r="E4968" s="445" t="s">
        <v>251</v>
      </c>
      <c r="F4968" s="386">
        <v>1.0</v>
      </c>
      <c r="G4968" s="74">
        <v>150000.0</v>
      </c>
      <c r="H4968" s="74">
        <v>0.0</v>
      </c>
      <c r="I4968" s="74">
        <f t="shared" si="1"/>
        <v>150000</v>
      </c>
      <c r="J4968" s="74">
        <f>IF(E4968="SERVICE",I4968-(I4968*50%),Vlookup(E4968,DATABASE!C:Q,10,false)*F4968)</f>
        <v>75000</v>
      </c>
      <c r="K4968" s="74">
        <f>VLOOKUP(E4968,DATABASE!C:Q,7,false)</f>
        <v>0</v>
      </c>
      <c r="L4968" s="74">
        <v>0.0</v>
      </c>
      <c r="M4968" s="74">
        <f t="shared" si="2"/>
        <v>0</v>
      </c>
      <c r="N4968" s="74">
        <f t="shared" si="3"/>
        <v>75000</v>
      </c>
      <c r="O4968" s="65" t="str">
        <f>VLOOKUP(E4968,DATABASE!C:Q,8,false)</f>
        <v>IBU</v>
      </c>
      <c r="P4968" s="65">
        <f>VLOOKUP(E4968,DATABASE!C:Q,9,False)</f>
        <v>0</v>
      </c>
      <c r="Q4968" s="93" t="str">
        <f>VLOOKUP(E4968,DATABASE!C:Q,4,false)</f>
        <v>SERVICE</v>
      </c>
      <c r="R4968" s="93" t="str">
        <f>VLOOKUP(E4968,DATABASE!C:Q,11,false)</f>
        <v>SERVICE</v>
      </c>
    </row>
    <row r="4969" ht="22.5" customHeight="1">
      <c r="A4969" s="49"/>
      <c r="C4969" s="384">
        <v>45944.0</v>
      </c>
      <c r="D4969" s="65">
        <v>7466.0</v>
      </c>
      <c r="E4969" s="445" t="s">
        <v>256</v>
      </c>
      <c r="F4969" s="386">
        <v>1.0</v>
      </c>
      <c r="G4969" s="74">
        <v>130000.0</v>
      </c>
      <c r="H4969" s="74">
        <v>0.0</v>
      </c>
      <c r="I4969" s="74">
        <f t="shared" si="1"/>
        <v>130000</v>
      </c>
      <c r="J4969" s="74">
        <f>IF(E4969="SERVICE",I4969-(I4969*50%),Vlookup(E4969,DATABASE!C:Q,10,false)*F4969)</f>
        <v>10000</v>
      </c>
      <c r="K4969" s="74">
        <f>VLOOKUP(E4969,DATABASE!C:Q,7,false)</f>
        <v>0</v>
      </c>
      <c r="L4969" s="74">
        <v>0.0</v>
      </c>
      <c r="M4969" s="74">
        <f t="shared" si="2"/>
        <v>0</v>
      </c>
      <c r="N4969" s="74">
        <f t="shared" si="3"/>
        <v>120000</v>
      </c>
      <c r="O4969" s="65" t="str">
        <f>VLOOKUP(E4969,DATABASE!C:Q,8,false)</f>
        <v>IBU</v>
      </c>
      <c r="P4969" s="65">
        <f>VLOOKUP(E4969,DATABASE!C:Q,9,False)</f>
        <v>0</v>
      </c>
      <c r="Q4969" s="93" t="str">
        <f>VLOOKUP(E4969,DATABASE!C:Q,4,false)</f>
        <v>SPOORING</v>
      </c>
      <c r="R4969" s="93" t="str">
        <f>VLOOKUP(E4969,DATABASE!C:Q,11,false)</f>
        <v>SERVICE</v>
      </c>
    </row>
    <row r="4970" ht="22.5" customHeight="1">
      <c r="A4970" s="49"/>
      <c r="C4970" s="384">
        <v>45944.0</v>
      </c>
      <c r="D4970" s="65">
        <v>7467.0</v>
      </c>
      <c r="E4970" s="445" t="s">
        <v>287</v>
      </c>
      <c r="F4970" s="386">
        <v>1.0</v>
      </c>
      <c r="G4970" s="74">
        <v>780000.0</v>
      </c>
      <c r="H4970" s="74">
        <v>0.0</v>
      </c>
      <c r="I4970" s="74">
        <f t="shared" si="1"/>
        <v>780000</v>
      </c>
      <c r="J4970" s="74">
        <f>IF(E4970="SERVICE",I4970-(I4970*50%),Vlookup(E4970,DATABASE!C:Q,10,false)*F4970)</f>
        <v>0</v>
      </c>
      <c r="K4970" s="74">
        <f>VLOOKUP(E4970,DATABASE!C:Q,7,false)</f>
        <v>711000</v>
      </c>
      <c r="L4970" s="74">
        <v>690600.0</v>
      </c>
      <c r="M4970" s="74">
        <f t="shared" si="2"/>
        <v>695000</v>
      </c>
      <c r="N4970" s="74">
        <f t="shared" si="3"/>
        <v>85000</v>
      </c>
      <c r="O4970" s="65" t="str">
        <f>VLOOKUP(E4970,DATABASE!C:Q,8,false)</f>
        <v>BIAN</v>
      </c>
      <c r="P4970" s="65">
        <f>VLOOKUP(E4970,DATABASE!C:Q,9,False)</f>
        <v>1</v>
      </c>
      <c r="Q4970" s="93" t="str">
        <f>VLOOKUP(E4970,DATABASE!C:Q,4,false)</f>
        <v>GT</v>
      </c>
      <c r="R4970" s="93" t="str">
        <f>VLOOKUP(E4970,DATABASE!C:Q,11,false)</f>
        <v>Tire</v>
      </c>
    </row>
    <row r="4971" ht="22.5" customHeight="1">
      <c r="A4971" s="49"/>
      <c r="C4971" s="384">
        <v>45944.0</v>
      </c>
      <c r="D4971" s="65">
        <v>7468.0</v>
      </c>
      <c r="E4971" s="445" t="s">
        <v>256</v>
      </c>
      <c r="F4971" s="386">
        <v>1.0</v>
      </c>
      <c r="G4971" s="74">
        <v>100000.0</v>
      </c>
      <c r="H4971" s="74">
        <v>0.0</v>
      </c>
      <c r="I4971" s="74">
        <f t="shared" si="1"/>
        <v>100000</v>
      </c>
      <c r="J4971" s="74">
        <f>IF(E4971="SERVICE",I4971-(I4971*50%),Vlookup(E4971,DATABASE!C:Q,10,false)*F4971)</f>
        <v>10000</v>
      </c>
      <c r="K4971" s="74">
        <f>VLOOKUP(E4971,DATABASE!C:Q,7,false)</f>
        <v>0</v>
      </c>
      <c r="L4971" s="74">
        <v>0.0</v>
      </c>
      <c r="M4971" s="74">
        <f t="shared" si="2"/>
        <v>0</v>
      </c>
      <c r="N4971" s="74">
        <f t="shared" si="3"/>
        <v>90000</v>
      </c>
      <c r="O4971" s="65" t="str">
        <f>VLOOKUP(E4971,DATABASE!C:Q,8,false)</f>
        <v>IBU</v>
      </c>
      <c r="P4971" s="65">
        <f>VLOOKUP(E4971,DATABASE!C:Q,9,False)</f>
        <v>0</v>
      </c>
      <c r="Q4971" s="93" t="str">
        <f>VLOOKUP(E4971,DATABASE!C:Q,4,false)</f>
        <v>SPOORING</v>
      </c>
      <c r="R4971" s="93" t="str">
        <f>VLOOKUP(E4971,DATABASE!C:Q,11,false)</f>
        <v>SERVICE</v>
      </c>
    </row>
    <row r="4972" ht="22.5" customHeight="1">
      <c r="A4972" s="49"/>
      <c r="C4972" s="384">
        <v>45944.0</v>
      </c>
      <c r="D4972" s="65">
        <v>7468.0</v>
      </c>
      <c r="E4972" s="445" t="s">
        <v>301</v>
      </c>
      <c r="F4972" s="386">
        <v>1.0</v>
      </c>
      <c r="G4972" s="74">
        <v>250000.0</v>
      </c>
      <c r="H4972" s="74">
        <v>0.0</v>
      </c>
      <c r="I4972" s="74">
        <f t="shared" si="1"/>
        <v>250000</v>
      </c>
      <c r="J4972" s="74">
        <f>IF(E4972="SERVICE",I4972-(I4972*50%),Vlookup(E4972,DATABASE!C:Q,10,false)*F4972)</f>
        <v>75000</v>
      </c>
      <c r="K4972" s="74">
        <f>VLOOKUP(E4972,DATABASE!C:Q,7,false)</f>
        <v>75000</v>
      </c>
      <c r="L4972" s="74">
        <v>75000.0</v>
      </c>
      <c r="M4972" s="74">
        <f t="shared" si="2"/>
        <v>75000</v>
      </c>
      <c r="N4972" s="74">
        <f t="shared" si="3"/>
        <v>100000</v>
      </c>
      <c r="O4972" s="65" t="str">
        <f>VLOOKUP(E4972,DATABASE!C:Q,8,false)</f>
        <v>BIAN</v>
      </c>
      <c r="P4972" s="65">
        <f>VLOOKUP(E4972,DATABASE!C:Q,9,False)</f>
        <v>0</v>
      </c>
      <c r="Q4972" s="93" t="str">
        <f>VLOOKUP(E4972,DATABASE!C:Q,4,false)</f>
        <v>Baut Camber</v>
      </c>
      <c r="R4972" s="93" t="str">
        <f>VLOOKUP(E4972,DATABASE!C:Q,11,false)</f>
        <v>COMPLEMENTARY</v>
      </c>
    </row>
    <row r="4973" ht="22.5" customHeight="1">
      <c r="A4973" s="49"/>
      <c r="C4973" s="384">
        <v>45944.0</v>
      </c>
      <c r="D4973" s="65">
        <v>7469.0</v>
      </c>
      <c r="E4973" s="445" t="s">
        <v>847</v>
      </c>
      <c r="F4973" s="386">
        <v>4.0</v>
      </c>
      <c r="G4973" s="74">
        <v>775000.0</v>
      </c>
      <c r="H4973" s="74">
        <v>0.0</v>
      </c>
      <c r="I4973" s="74">
        <f t="shared" si="1"/>
        <v>3100000</v>
      </c>
      <c r="J4973" s="74">
        <f>IF(E4973="SERVICE",I4973-(I4973*50%),Vlookup(E4973,DATABASE!C:Q,10,false)*F4973)</f>
        <v>0</v>
      </c>
      <c r="K4973" s="74">
        <f>VLOOKUP(E4973,DATABASE!C:Q,7,false)</f>
        <v>718080</v>
      </c>
      <c r="L4973" s="74">
        <v>672210.0</v>
      </c>
      <c r="M4973" s="74">
        <f t="shared" si="2"/>
        <v>675000</v>
      </c>
      <c r="N4973" s="74">
        <f t="shared" si="3"/>
        <v>400000</v>
      </c>
      <c r="O4973" s="65" t="str">
        <f>VLOOKUP(E4973,DATABASE!C:Q,8,false)</f>
        <v>BIAN</v>
      </c>
      <c r="P4973" s="65">
        <f>VLOOKUP(E4973,DATABASE!C:Q,9,False)</f>
        <v>1</v>
      </c>
      <c r="Q4973" s="93" t="str">
        <f>VLOOKUP(E4973,DATABASE!C:Q,4,false)</f>
        <v>GT</v>
      </c>
      <c r="R4973" s="93" t="str">
        <f>VLOOKUP(E4973,DATABASE!C:Q,11,false)</f>
        <v>Tire</v>
      </c>
    </row>
    <row r="4974" ht="22.5" customHeight="1">
      <c r="A4974" s="49"/>
      <c r="C4974" s="384">
        <v>45944.0</v>
      </c>
      <c r="D4974" s="65">
        <v>7469.0</v>
      </c>
      <c r="E4974" s="385" t="s">
        <v>299</v>
      </c>
      <c r="F4974" s="386">
        <v>2.0</v>
      </c>
      <c r="G4974" s="74">
        <v>30000.0</v>
      </c>
      <c r="H4974" s="74">
        <v>0.0</v>
      </c>
      <c r="I4974" s="74">
        <f t="shared" si="1"/>
        <v>60000</v>
      </c>
      <c r="J4974" s="74">
        <f>IF(E4974="SERVICE",I4974-(I4974*50%),Vlookup(E4974,DATABASE!C:Q,10,false)*F4974)</f>
        <v>0</v>
      </c>
      <c r="K4974" s="74">
        <v>0.0</v>
      </c>
      <c r="L4974" s="74">
        <v>0.0</v>
      </c>
      <c r="M4974" s="74">
        <f t="shared" si="2"/>
        <v>0</v>
      </c>
      <c r="N4974" s="74">
        <f t="shared" si="3"/>
        <v>60000</v>
      </c>
      <c r="O4974" s="65" t="str">
        <f>VLOOKUP(E4974,DATABASE!C:Q,8,false)</f>
        <v>BIAN</v>
      </c>
      <c r="P4974" s="65">
        <f>VLOOKUP(E4974,DATABASE!C:Q,9,False)</f>
        <v>0</v>
      </c>
      <c r="Q4974" s="93" t="str">
        <f>VLOOKUP(E4974,DATABASE!C:Q,4,false)</f>
        <v>Balancing</v>
      </c>
      <c r="R4974" s="93" t="str">
        <f>VLOOKUP(E4974,DATABASE!C:Q,11,false)</f>
        <v>COMPLEMENTARY</v>
      </c>
    </row>
    <row r="4975" ht="22.5" customHeight="1">
      <c r="A4975" s="49"/>
      <c r="C4975" s="384">
        <v>45944.0</v>
      </c>
      <c r="D4975" s="65">
        <v>7469.0</v>
      </c>
      <c r="E4975" s="445" t="s">
        <v>256</v>
      </c>
      <c r="F4975" s="386">
        <v>1.0</v>
      </c>
      <c r="G4975" s="74">
        <v>130000.0</v>
      </c>
      <c r="H4975" s="74">
        <v>0.0</v>
      </c>
      <c r="I4975" s="74">
        <f t="shared" si="1"/>
        <v>130000</v>
      </c>
      <c r="J4975" s="74">
        <f>IF(E4975="SERVICE",I4975-(I4975*50%),Vlookup(E4975,DATABASE!C:Q,10,false)*F4975)</f>
        <v>10000</v>
      </c>
      <c r="K4975" s="74">
        <f>VLOOKUP(E4975,DATABASE!C:Q,7,false)</f>
        <v>0</v>
      </c>
      <c r="L4975" s="74">
        <v>0.0</v>
      </c>
      <c r="M4975" s="74">
        <f t="shared" si="2"/>
        <v>0</v>
      </c>
      <c r="N4975" s="74">
        <f t="shared" si="3"/>
        <v>120000</v>
      </c>
      <c r="O4975" s="65" t="str">
        <f>VLOOKUP(E4975,DATABASE!C:Q,8,false)</f>
        <v>IBU</v>
      </c>
      <c r="P4975" s="65">
        <f>VLOOKUP(E4975,DATABASE!C:Q,9,False)</f>
        <v>0</v>
      </c>
      <c r="Q4975" s="93" t="str">
        <f>VLOOKUP(E4975,DATABASE!C:Q,4,false)</f>
        <v>SPOORING</v>
      </c>
      <c r="R4975" s="93" t="str">
        <f>VLOOKUP(E4975,DATABASE!C:Q,11,false)</f>
        <v>SERVICE</v>
      </c>
    </row>
    <row r="4976" ht="22.5" customHeight="1">
      <c r="A4976" s="49"/>
      <c r="C4976" s="384">
        <v>45944.0</v>
      </c>
      <c r="D4976" s="65">
        <v>7470.0</v>
      </c>
      <c r="E4976" s="445" t="s">
        <v>301</v>
      </c>
      <c r="F4976" s="386">
        <v>1.0</v>
      </c>
      <c r="G4976" s="74">
        <v>250000.0</v>
      </c>
      <c r="H4976" s="74">
        <v>0.0</v>
      </c>
      <c r="I4976" s="74">
        <f t="shared" si="1"/>
        <v>250000</v>
      </c>
      <c r="J4976" s="74">
        <f>IF(E4976="SERVICE",I4976-(I4976*50%),Vlookup(E4976,DATABASE!C:Q,10,false)*F4976)</f>
        <v>75000</v>
      </c>
      <c r="K4976" s="74">
        <f>VLOOKUP(E4976,DATABASE!C:Q,7,false)</f>
        <v>75000</v>
      </c>
      <c r="L4976" s="74">
        <v>75000.0</v>
      </c>
      <c r="M4976" s="74">
        <f t="shared" si="2"/>
        <v>75000</v>
      </c>
      <c r="N4976" s="74">
        <f t="shared" si="3"/>
        <v>100000</v>
      </c>
      <c r="O4976" s="65" t="str">
        <f>VLOOKUP(E4976,DATABASE!C:Q,8,false)</f>
        <v>BIAN</v>
      </c>
      <c r="P4976" s="65">
        <f>VLOOKUP(E4976,DATABASE!C:Q,9,False)</f>
        <v>0</v>
      </c>
      <c r="Q4976" s="93" t="str">
        <f>VLOOKUP(E4976,DATABASE!C:Q,4,false)</f>
        <v>Baut Camber</v>
      </c>
      <c r="R4976" s="93" t="str">
        <f>VLOOKUP(E4976,DATABASE!C:Q,11,false)</f>
        <v>COMPLEMENTARY</v>
      </c>
    </row>
    <row r="4977" ht="22.5" customHeight="1">
      <c r="A4977" s="49"/>
      <c r="C4977" s="384">
        <v>45945.0</v>
      </c>
      <c r="D4977" s="65">
        <v>7471.0</v>
      </c>
      <c r="E4977" s="445" t="s">
        <v>282</v>
      </c>
      <c r="F4977" s="386">
        <v>1.0</v>
      </c>
      <c r="G4977" s="74">
        <v>880000.0</v>
      </c>
      <c r="H4977" s="74">
        <v>0.0</v>
      </c>
      <c r="I4977" s="74">
        <f t="shared" si="1"/>
        <v>880000</v>
      </c>
      <c r="J4977" s="74">
        <f>IF(E4977="SERVICE",I4977-(I4977*50%),Vlookup(E4977,DATABASE!C:Q,10,false)*F4977)</f>
        <v>0</v>
      </c>
      <c r="K4977" s="74">
        <f>VLOOKUP(E4977,DATABASE!C:Q,7,false)</f>
        <v>779500</v>
      </c>
      <c r="L4977" s="74">
        <v>771000.0</v>
      </c>
      <c r="M4977" s="74">
        <f t="shared" si="2"/>
        <v>775000</v>
      </c>
      <c r="N4977" s="74">
        <f t="shared" si="3"/>
        <v>105000</v>
      </c>
      <c r="O4977" s="65" t="str">
        <f>VLOOKUP(E4977,DATABASE!C:Q,8,false)</f>
        <v>IBU</v>
      </c>
      <c r="P4977" s="65">
        <f>VLOOKUP(E4977,DATABASE!C:Q,9,False)</f>
        <v>1</v>
      </c>
      <c r="Q4977" s="93" t="str">
        <f>VLOOKUP(E4977,DATABASE!C:Q,4,false)</f>
        <v>Dunlop</v>
      </c>
      <c r="R4977" s="93" t="str">
        <f>VLOOKUP(E4977,DATABASE!C:Q,11,false)</f>
        <v>Tire</v>
      </c>
    </row>
    <row r="4978" ht="22.5" customHeight="1">
      <c r="A4978" s="49"/>
      <c r="C4978" s="384">
        <v>45945.0</v>
      </c>
      <c r="D4978" s="65">
        <v>7472.0</v>
      </c>
      <c r="E4978" s="445" t="s">
        <v>554</v>
      </c>
      <c r="F4978" s="386">
        <v>1.0</v>
      </c>
      <c r="G4978" s="74">
        <v>765000.0</v>
      </c>
      <c r="H4978" s="74">
        <v>0.0</v>
      </c>
      <c r="I4978" s="74">
        <f t="shared" si="1"/>
        <v>765000</v>
      </c>
      <c r="J4978" s="74">
        <f>IF(E4978="SERVICE",I4978-(I4978*50%),Vlookup(E4978,DATABASE!C:Q,10,false)*F4978)</f>
        <v>0</v>
      </c>
      <c r="K4978" s="74">
        <f>VLOOKUP(E4978,DATABASE!C:Q,7,false)</f>
        <v>710000</v>
      </c>
      <c r="L4978" s="74">
        <v>680000.0</v>
      </c>
      <c r="M4978" s="74">
        <f t="shared" si="2"/>
        <v>680000</v>
      </c>
      <c r="N4978" s="74">
        <f t="shared" si="3"/>
        <v>85000</v>
      </c>
      <c r="O4978" s="65" t="str">
        <f>VLOOKUP(E4978,DATABASE!C:Q,8,false)</f>
        <v>IBU</v>
      </c>
      <c r="P4978" s="65">
        <f>VLOOKUP(E4978,DATABASE!C:Q,9,False)</f>
        <v>1</v>
      </c>
      <c r="Q4978" s="93" t="str">
        <f>VLOOKUP(E4978,DATABASE!C:Q,4,false)</f>
        <v>Bridgestone</v>
      </c>
      <c r="R4978" s="93" t="str">
        <f>VLOOKUP(E4978,DATABASE!C:Q,11,false)</f>
        <v>Tire</v>
      </c>
    </row>
    <row r="4979" ht="22.5" customHeight="1">
      <c r="A4979" s="49"/>
      <c r="C4979" s="384">
        <v>45945.0</v>
      </c>
      <c r="D4979" s="65">
        <v>7474.0</v>
      </c>
      <c r="E4979" s="445" t="s">
        <v>856</v>
      </c>
      <c r="F4979" s="386">
        <v>2.0</v>
      </c>
      <c r="G4979" s="74">
        <v>670000.0</v>
      </c>
      <c r="H4979" s="74">
        <v>0.0</v>
      </c>
      <c r="I4979" s="74">
        <f t="shared" si="1"/>
        <v>1340000</v>
      </c>
      <c r="J4979" s="74">
        <f>IF(E4979="SERVICE",I4979-(I4979*50%),Vlookup(E4979,DATABASE!C:Q,10,false)*F4979)</f>
        <v>0</v>
      </c>
      <c r="K4979" s="74">
        <f>VLOOKUP(E4979,DATABASE!C:Q,7,false)</f>
        <v>615300</v>
      </c>
      <c r="L4979" s="74">
        <v>581120.0</v>
      </c>
      <c r="M4979" s="74">
        <f t="shared" si="2"/>
        <v>585000</v>
      </c>
      <c r="N4979" s="74">
        <f t="shared" si="3"/>
        <v>170000</v>
      </c>
      <c r="O4979" s="65" t="str">
        <f>VLOOKUP(E4979,DATABASE!C:Q,8,false)</f>
        <v>BIAN</v>
      </c>
      <c r="P4979" s="65">
        <f>VLOOKUP(E4979,DATABASE!C:Q,9,False)</f>
        <v>1</v>
      </c>
      <c r="Q4979" s="93" t="str">
        <f>VLOOKUP(E4979,DATABASE!C:Q,4,false)</f>
        <v>GT</v>
      </c>
      <c r="R4979" s="93" t="str">
        <f>VLOOKUP(E4979,DATABASE!C:Q,11,false)</f>
        <v>Tire</v>
      </c>
    </row>
    <row r="4980" ht="22.5" customHeight="1">
      <c r="A4980" s="49"/>
      <c r="C4980" s="384">
        <v>45945.0</v>
      </c>
      <c r="D4980" s="65">
        <v>7475.0</v>
      </c>
      <c r="E4980" s="445" t="s">
        <v>290</v>
      </c>
      <c r="F4980" s="386">
        <v>1.0</v>
      </c>
      <c r="G4980" s="74">
        <v>700000.0</v>
      </c>
      <c r="H4980" s="74">
        <v>0.0</v>
      </c>
      <c r="I4980" s="74">
        <f t="shared" si="1"/>
        <v>700000</v>
      </c>
      <c r="J4980" s="74">
        <f>IF(E4980="SERVICE",I4980-(I4980*50%),Vlookup(E4980,DATABASE!C:Q,10,false)*F4980)</f>
        <v>0</v>
      </c>
      <c r="K4980" s="74">
        <f>VLOOKUP(E4980,DATABASE!C:Q,7,false)</f>
        <v>628100</v>
      </c>
      <c r="L4980" s="74">
        <v>609804.0</v>
      </c>
      <c r="M4980" s="74">
        <f t="shared" si="2"/>
        <v>610000</v>
      </c>
      <c r="N4980" s="74">
        <f t="shared" si="3"/>
        <v>90000</v>
      </c>
      <c r="O4980" s="65" t="str">
        <f>VLOOKUP(E4980,DATABASE!C:Q,8,false)</f>
        <v>BIAN</v>
      </c>
      <c r="P4980" s="65">
        <f>VLOOKUP(E4980,DATABASE!C:Q,9,False)</f>
        <v>1</v>
      </c>
      <c r="Q4980" s="93" t="str">
        <f>VLOOKUP(E4980,DATABASE!C:Q,4,false)</f>
        <v>GT</v>
      </c>
      <c r="R4980" s="93" t="str">
        <f>VLOOKUP(E4980,DATABASE!C:Q,11,false)</f>
        <v>Tire</v>
      </c>
    </row>
    <row r="4981" ht="22.5" customHeight="1">
      <c r="A4981" s="49"/>
      <c r="C4981" s="384">
        <v>45945.0</v>
      </c>
      <c r="D4981" s="65">
        <v>7477.0</v>
      </c>
      <c r="E4981" s="445" t="s">
        <v>604</v>
      </c>
      <c r="F4981" s="386">
        <v>1.0</v>
      </c>
      <c r="G4981" s="74">
        <v>160000.0</v>
      </c>
      <c r="H4981" s="74">
        <v>0.0</v>
      </c>
      <c r="I4981" s="74">
        <f t="shared" si="1"/>
        <v>160000</v>
      </c>
      <c r="J4981" s="74">
        <f>IF(E4981="SERVICE",I4981-(I4981*50%),Vlookup(E4981,DATABASE!C:Q,10,false)*F4981)</f>
        <v>0</v>
      </c>
      <c r="K4981" s="74">
        <f>VLOOKUP(E4981,DATABASE!C:Q,7,false)</f>
        <v>124000</v>
      </c>
      <c r="L4981" s="74">
        <v>124000.0</v>
      </c>
      <c r="M4981" s="74">
        <f t="shared" si="2"/>
        <v>125000</v>
      </c>
      <c r="N4981" s="74">
        <f t="shared" si="3"/>
        <v>35000</v>
      </c>
      <c r="O4981" s="65" t="str">
        <f>VLOOKUP(E4981,DATABASE!C:Q,8,false)</f>
        <v>BIAN</v>
      </c>
      <c r="P4981" s="65">
        <f>VLOOKUP(E4981,DATABASE!C:Q,9,False)</f>
        <v>1</v>
      </c>
      <c r="Q4981" s="93" t="str">
        <f>VLOOKUP(E4981,DATABASE!C:Q,4,false)</f>
        <v>BD</v>
      </c>
      <c r="R4981" s="93" t="str">
        <f>VLOOKUP(E4981,DATABASE!C:Q,11,false)</f>
        <v>Tire</v>
      </c>
    </row>
    <row r="4982" ht="22.5" customHeight="1">
      <c r="A4982" s="49"/>
      <c r="C4982" s="384">
        <v>45945.0</v>
      </c>
      <c r="D4982" s="65">
        <v>7478.0</v>
      </c>
      <c r="E4982" s="445" t="s">
        <v>1237</v>
      </c>
      <c r="F4982" s="386">
        <v>1.0</v>
      </c>
      <c r="G4982" s="74">
        <v>1220000.0</v>
      </c>
      <c r="H4982" s="74">
        <v>0.0</v>
      </c>
      <c r="I4982" s="74">
        <f t="shared" si="1"/>
        <v>1220000</v>
      </c>
      <c r="J4982" s="74">
        <f>IF(E4982="SERVICE",I4982-(I4982*50%),Vlookup(E4982,DATABASE!C:Q,10,false)*F4982)</f>
        <v>0</v>
      </c>
      <c r="K4982" s="74">
        <f>VLOOKUP(E4982,DATABASE!C:Q,7,false)</f>
        <v>1170353.16</v>
      </c>
      <c r="L4982" s="74">
        <v>1113907.2</v>
      </c>
      <c r="M4982" s="74">
        <f t="shared" si="2"/>
        <v>1115000</v>
      </c>
      <c r="N4982" s="74">
        <f t="shared" si="3"/>
        <v>105000</v>
      </c>
      <c r="O4982" s="65" t="str">
        <f>VLOOKUP(E4982,DATABASE!C:Q,8,false)</f>
        <v>IBU</v>
      </c>
      <c r="P4982" s="65">
        <f>VLOOKUP(E4982,DATABASE!C:Q,9,False)</f>
        <v>1</v>
      </c>
      <c r="Q4982" s="93" t="str">
        <f>VLOOKUP(E4982,DATABASE!C:Q,4,false)</f>
        <v>Bridgestone</v>
      </c>
      <c r="R4982" s="93" t="str">
        <f>VLOOKUP(E4982,DATABASE!C:Q,11,false)</f>
        <v>Tire</v>
      </c>
    </row>
    <row r="4983" ht="22.5" customHeight="1">
      <c r="A4983" s="49"/>
      <c r="C4983" s="384">
        <v>45945.0</v>
      </c>
      <c r="D4983" s="65">
        <v>7479.0</v>
      </c>
      <c r="E4983" s="445" t="s">
        <v>1383</v>
      </c>
      <c r="F4983" s="386">
        <v>2.0</v>
      </c>
      <c r="G4983" s="74">
        <v>925000.0</v>
      </c>
      <c r="H4983" s="74">
        <v>0.0</v>
      </c>
      <c r="I4983" s="74">
        <f t="shared" si="1"/>
        <v>1850000</v>
      </c>
      <c r="J4983" s="74">
        <f>IF(E4983="SERVICE",I4983-(I4983*50%),Vlookup(E4983,DATABASE!C:Q,10,false)*F4983)</f>
        <v>0</v>
      </c>
      <c r="K4983" s="74">
        <f>VLOOKUP(E4983,DATABASE!C:Q,7,false)</f>
        <v>812000</v>
      </c>
      <c r="L4983" s="74">
        <v>812000.0</v>
      </c>
      <c r="M4983" s="74">
        <f t="shared" si="2"/>
        <v>815000</v>
      </c>
      <c r="N4983" s="74">
        <f t="shared" si="3"/>
        <v>220000</v>
      </c>
      <c r="O4983" s="65" t="str">
        <f>VLOOKUP(E4983,DATABASE!C:Q,8,false)</f>
        <v>IBU</v>
      </c>
      <c r="P4983" s="65">
        <f>VLOOKUP(E4983,DATABASE!C:Q,9,False)</f>
        <v>1</v>
      </c>
      <c r="Q4983" s="93" t="str">
        <f>VLOOKUP(E4983,DATABASE!C:Q,4,false)</f>
        <v>Dunlop</v>
      </c>
      <c r="R4983" s="93" t="str">
        <f>VLOOKUP(E4983,DATABASE!C:Q,11,false)</f>
        <v>Tire</v>
      </c>
    </row>
    <row r="4984" ht="22.5" customHeight="1">
      <c r="A4984" s="49"/>
      <c r="C4984" s="384">
        <v>45945.0</v>
      </c>
      <c r="D4984" s="65">
        <v>7480.0</v>
      </c>
      <c r="E4984" s="445" t="s">
        <v>271</v>
      </c>
      <c r="F4984" s="386">
        <v>2.0</v>
      </c>
      <c r="G4984" s="74">
        <v>640000.0</v>
      </c>
      <c r="H4984" s="74">
        <v>0.0</v>
      </c>
      <c r="I4984" s="74">
        <f t="shared" si="1"/>
        <v>1280000</v>
      </c>
      <c r="J4984" s="74">
        <f>IF(E4984="SERVICE",I4984-(I4984*50%),Vlookup(E4984,DATABASE!C:Q,10,false)*F4984)</f>
        <v>0</v>
      </c>
      <c r="K4984" s="74">
        <f>VLOOKUP(E4984,DATABASE!C:Q,7,false)</f>
        <v>570000</v>
      </c>
      <c r="L4984" s="74">
        <v>539000.0</v>
      </c>
      <c r="M4984" s="74">
        <f t="shared" si="2"/>
        <v>540000</v>
      </c>
      <c r="N4984" s="74">
        <f t="shared" si="3"/>
        <v>200000</v>
      </c>
      <c r="O4984" s="65" t="str">
        <f>VLOOKUP(E4984,DATABASE!C:Q,8,false)</f>
        <v>IBU</v>
      </c>
      <c r="P4984" s="65">
        <f>VLOOKUP(E4984,DATABASE!C:Q,9,False)</f>
        <v>1</v>
      </c>
      <c r="Q4984" s="93" t="str">
        <f>VLOOKUP(E4984,DATABASE!C:Q,4,false)</f>
        <v>Dunlop</v>
      </c>
      <c r="R4984" s="93" t="str">
        <f>VLOOKUP(E4984,DATABASE!C:Q,11,false)</f>
        <v>Tire</v>
      </c>
    </row>
    <row r="4985" ht="22.5" customHeight="1">
      <c r="A4985" s="49"/>
      <c r="C4985" s="384">
        <v>45945.0</v>
      </c>
      <c r="D4985" s="65">
        <v>7480.0</v>
      </c>
      <c r="E4985" s="385" t="s">
        <v>299</v>
      </c>
      <c r="F4985" s="386">
        <v>2.0</v>
      </c>
      <c r="G4985" s="74">
        <v>30000.0</v>
      </c>
      <c r="H4985" s="74">
        <v>0.0</v>
      </c>
      <c r="I4985" s="74">
        <f t="shared" si="1"/>
        <v>60000</v>
      </c>
      <c r="J4985" s="74">
        <f>IF(E4985="SERVICE",I4985-(I4985*50%),Vlookup(E4985,DATABASE!C:Q,10,false)*F4985)</f>
        <v>0</v>
      </c>
      <c r="K4985" s="74">
        <v>0.0</v>
      </c>
      <c r="L4985" s="74">
        <v>0.0</v>
      </c>
      <c r="M4985" s="74">
        <f t="shared" si="2"/>
        <v>0</v>
      </c>
      <c r="N4985" s="74">
        <f t="shared" si="3"/>
        <v>60000</v>
      </c>
      <c r="O4985" s="65" t="str">
        <f>VLOOKUP(E4985,DATABASE!C:Q,8,false)</f>
        <v>BIAN</v>
      </c>
      <c r="P4985" s="65">
        <f>VLOOKUP(E4985,DATABASE!C:Q,9,False)</f>
        <v>0</v>
      </c>
      <c r="Q4985" s="93" t="str">
        <f>VLOOKUP(E4985,DATABASE!C:Q,4,false)</f>
        <v>Balancing</v>
      </c>
      <c r="R4985" s="93" t="str">
        <f>VLOOKUP(E4985,DATABASE!C:Q,11,false)</f>
        <v>COMPLEMENTARY</v>
      </c>
    </row>
    <row r="4986" ht="22.5" customHeight="1">
      <c r="A4986" s="49"/>
      <c r="C4986" s="384">
        <v>45945.0</v>
      </c>
      <c r="D4986" s="65">
        <v>7480.0</v>
      </c>
      <c r="E4986" s="445" t="s">
        <v>256</v>
      </c>
      <c r="F4986" s="386">
        <v>1.0</v>
      </c>
      <c r="G4986" s="74">
        <v>130000.0</v>
      </c>
      <c r="H4986" s="74">
        <v>0.0</v>
      </c>
      <c r="I4986" s="74">
        <f t="shared" si="1"/>
        <v>130000</v>
      </c>
      <c r="J4986" s="74">
        <f>IF(E4986="SERVICE",I4986-(I4986*50%),Vlookup(E4986,DATABASE!C:Q,10,false)*F4986)</f>
        <v>10000</v>
      </c>
      <c r="K4986" s="74">
        <f>VLOOKUP(E4986,DATABASE!C:Q,7,false)</f>
        <v>0</v>
      </c>
      <c r="L4986" s="74">
        <v>0.0</v>
      </c>
      <c r="M4986" s="74">
        <f t="shared" si="2"/>
        <v>0</v>
      </c>
      <c r="N4986" s="74">
        <f t="shared" si="3"/>
        <v>120000</v>
      </c>
      <c r="O4986" s="65" t="str">
        <f>VLOOKUP(E4986,DATABASE!C:Q,8,false)</f>
        <v>IBU</v>
      </c>
      <c r="P4986" s="65">
        <f>VLOOKUP(E4986,DATABASE!C:Q,9,False)</f>
        <v>0</v>
      </c>
      <c r="Q4986" s="93" t="str">
        <f>VLOOKUP(E4986,DATABASE!C:Q,4,false)</f>
        <v>SPOORING</v>
      </c>
      <c r="R4986" s="93" t="str">
        <f>VLOOKUP(E4986,DATABASE!C:Q,11,false)</f>
        <v>SERVICE</v>
      </c>
    </row>
    <row r="4987" ht="22.5" customHeight="1">
      <c r="A4987" s="49"/>
      <c r="C4987" s="384">
        <v>45945.0</v>
      </c>
      <c r="D4987" s="65">
        <v>7480.0</v>
      </c>
      <c r="E4987" s="445" t="s">
        <v>301</v>
      </c>
      <c r="F4987" s="386">
        <v>1.0</v>
      </c>
      <c r="G4987" s="74">
        <v>250000.0</v>
      </c>
      <c r="H4987" s="74">
        <v>0.0</v>
      </c>
      <c r="I4987" s="74">
        <f t="shared" si="1"/>
        <v>250000</v>
      </c>
      <c r="J4987" s="74">
        <f>IF(E4987="SERVICE",I4987-(I4987*50%),Vlookup(E4987,DATABASE!C:Q,10,false)*F4987)</f>
        <v>75000</v>
      </c>
      <c r="K4987" s="74">
        <f>VLOOKUP(E4987,DATABASE!C:Q,7,false)</f>
        <v>75000</v>
      </c>
      <c r="L4987" s="74">
        <v>75000.0</v>
      </c>
      <c r="M4987" s="74">
        <f t="shared" si="2"/>
        <v>75000</v>
      </c>
      <c r="N4987" s="74">
        <f t="shared" si="3"/>
        <v>100000</v>
      </c>
      <c r="O4987" s="65" t="str">
        <f>VLOOKUP(E4987,DATABASE!C:Q,8,false)</f>
        <v>BIAN</v>
      </c>
      <c r="P4987" s="65">
        <f>VLOOKUP(E4987,DATABASE!C:Q,9,False)</f>
        <v>0</v>
      </c>
      <c r="Q4987" s="93" t="str">
        <f>VLOOKUP(E4987,DATABASE!C:Q,4,false)</f>
        <v>Baut Camber</v>
      </c>
      <c r="R4987" s="93" t="str">
        <f>VLOOKUP(E4987,DATABASE!C:Q,11,false)</f>
        <v>COMPLEMENTARY</v>
      </c>
    </row>
    <row r="4988" ht="22.5" customHeight="1">
      <c r="A4988" s="49"/>
      <c r="C4988" s="384">
        <v>45945.0</v>
      </c>
      <c r="D4988" s="65">
        <v>7481.0</v>
      </c>
      <c r="E4988" s="445" t="s">
        <v>1597</v>
      </c>
      <c r="F4988" s="386">
        <v>1.0</v>
      </c>
      <c r="G4988" s="74">
        <v>630000.0</v>
      </c>
      <c r="H4988" s="74">
        <v>0.0</v>
      </c>
      <c r="I4988" s="74">
        <f t="shared" si="1"/>
        <v>630000</v>
      </c>
      <c r="J4988" s="74">
        <f>IF(E4988="SERVICE",I4988-(I4988*50%),Vlookup(E4988,DATABASE!C:Q,10,false)*F4988)</f>
        <v>0</v>
      </c>
      <c r="K4988" s="74">
        <f>VLOOKUP(E4988,DATABASE!C:Q,7,false)</f>
        <v>560700</v>
      </c>
      <c r="L4988" s="74">
        <v>544300.0</v>
      </c>
      <c r="M4988" s="74">
        <f t="shared" si="2"/>
        <v>545000</v>
      </c>
      <c r="N4988" s="74">
        <f t="shared" si="3"/>
        <v>85000</v>
      </c>
      <c r="O4988" s="65" t="str">
        <f>VLOOKUP(E4988,DATABASE!C:Q,8,false)</f>
        <v>BIAN</v>
      </c>
      <c r="P4988" s="65">
        <f>VLOOKUP(E4988,DATABASE!C:Q,9,False)</f>
        <v>1</v>
      </c>
      <c r="Q4988" s="93" t="str">
        <f>VLOOKUP(E4988,DATABASE!C:Q,4,false)</f>
        <v>GT</v>
      </c>
      <c r="R4988" s="93" t="str">
        <f>VLOOKUP(E4988,DATABASE!C:Q,11,false)</f>
        <v>Tire</v>
      </c>
    </row>
    <row r="4989" ht="22.5" customHeight="1">
      <c r="A4989" s="49"/>
      <c r="C4989" s="384">
        <v>45945.0</v>
      </c>
      <c r="D4989" s="65">
        <v>7481.0</v>
      </c>
      <c r="E4989" s="385" t="s">
        <v>299</v>
      </c>
      <c r="F4989" s="386">
        <v>2.0</v>
      </c>
      <c r="G4989" s="74">
        <v>30000.0</v>
      </c>
      <c r="H4989" s="74">
        <v>0.0</v>
      </c>
      <c r="I4989" s="74">
        <f t="shared" si="1"/>
        <v>60000</v>
      </c>
      <c r="J4989" s="74">
        <f>IF(E4989="SERVICE",I4989-(I4989*50%),Vlookup(E4989,DATABASE!C:Q,10,false)*F4989)</f>
        <v>0</v>
      </c>
      <c r="K4989" s="74">
        <v>0.0</v>
      </c>
      <c r="L4989" s="74">
        <v>0.0</v>
      </c>
      <c r="M4989" s="74">
        <f t="shared" si="2"/>
        <v>0</v>
      </c>
      <c r="N4989" s="74">
        <f t="shared" si="3"/>
        <v>60000</v>
      </c>
      <c r="O4989" s="65" t="str">
        <f>VLOOKUP(E4989,DATABASE!C:Q,8,false)</f>
        <v>BIAN</v>
      </c>
      <c r="P4989" s="65">
        <f>VLOOKUP(E4989,DATABASE!C:Q,9,False)</f>
        <v>0</v>
      </c>
      <c r="Q4989" s="93" t="str">
        <f>VLOOKUP(E4989,DATABASE!C:Q,4,false)</f>
        <v>Balancing</v>
      </c>
      <c r="R4989" s="93" t="str">
        <f>VLOOKUP(E4989,DATABASE!C:Q,11,false)</f>
        <v>COMPLEMENTARY</v>
      </c>
    </row>
    <row r="4990" ht="22.5" customHeight="1">
      <c r="A4990" s="49"/>
      <c r="C4990" s="384">
        <v>45946.0</v>
      </c>
      <c r="D4990" s="65">
        <v>7482.0</v>
      </c>
      <c r="E4990" s="445" t="s">
        <v>246</v>
      </c>
      <c r="F4990" s="386">
        <v>1.0</v>
      </c>
      <c r="G4990" s="74">
        <v>20000.0</v>
      </c>
      <c r="H4990" s="74">
        <v>0.0</v>
      </c>
      <c r="I4990" s="74">
        <f t="shared" si="1"/>
        <v>20000</v>
      </c>
      <c r="J4990" s="74">
        <f>IF(E4990="SERVICE",I4990-(I4990*50%),Vlookup(E4990,DATABASE!C:Q,10,false)*F4990)</f>
        <v>0</v>
      </c>
      <c r="K4990" s="74">
        <f>VLOOKUP(E4990,DATABASE!C:Q,7,false)</f>
        <v>0</v>
      </c>
      <c r="L4990" s="74">
        <v>0.0</v>
      </c>
      <c r="M4990" s="74">
        <f t="shared" si="2"/>
        <v>0</v>
      </c>
      <c r="N4990" s="74">
        <f t="shared" si="3"/>
        <v>20000</v>
      </c>
      <c r="O4990" s="65" t="str">
        <f>VLOOKUP(E4990,DATABASE!C:Q,8,false)</f>
        <v>IBU</v>
      </c>
      <c r="P4990" s="65">
        <f>VLOOKUP(E4990,DATABASE!C:Q,9,False)</f>
        <v>0</v>
      </c>
      <c r="Q4990" s="93" t="str">
        <f>VLOOKUP(E4990,DATABASE!C:Q,4,false)</f>
        <v>Bongkar Pasang</v>
      </c>
      <c r="R4990" s="93" t="str">
        <f>VLOOKUP(E4990,DATABASE!C:Q,11,false)</f>
        <v>SERVICE</v>
      </c>
    </row>
    <row r="4991" ht="22.5" customHeight="1">
      <c r="A4991" s="49"/>
      <c r="C4991" s="384">
        <v>45946.0</v>
      </c>
      <c r="D4991" s="65">
        <v>7483.0</v>
      </c>
      <c r="E4991" s="445" t="s">
        <v>268</v>
      </c>
      <c r="F4991" s="386">
        <v>2.0</v>
      </c>
      <c r="G4991" s="74">
        <v>720000.0</v>
      </c>
      <c r="H4991" s="74">
        <v>0.0</v>
      </c>
      <c r="I4991" s="74">
        <f t="shared" si="1"/>
        <v>1440000</v>
      </c>
      <c r="J4991" s="74">
        <f>IF(E4991="SERVICE",I4991-(I4991*50%),Vlookup(E4991,DATABASE!C:Q,10,false)*F4991)</f>
        <v>0</v>
      </c>
      <c r="K4991" s="74">
        <f>VLOOKUP(E4991,DATABASE!C:Q,7,false)</f>
        <v>653000</v>
      </c>
      <c r="L4991" s="74">
        <v>622000.0</v>
      </c>
      <c r="M4991" s="74">
        <f t="shared" si="2"/>
        <v>625000</v>
      </c>
      <c r="N4991" s="74">
        <f t="shared" si="3"/>
        <v>190000</v>
      </c>
      <c r="O4991" s="65" t="str">
        <f>VLOOKUP(E4991,DATABASE!C:Q,8,false)</f>
        <v>IBU</v>
      </c>
      <c r="P4991" s="65">
        <f>VLOOKUP(E4991,DATABASE!C:Q,9,False)</f>
        <v>1</v>
      </c>
      <c r="Q4991" s="93" t="str">
        <f>VLOOKUP(E4991,DATABASE!C:Q,4,false)</f>
        <v>Dunlop</v>
      </c>
      <c r="R4991" s="93" t="str">
        <f>VLOOKUP(E4991,DATABASE!C:Q,11,false)</f>
        <v>Tire</v>
      </c>
    </row>
    <row r="4992" ht="22.5" customHeight="1">
      <c r="A4992" s="49"/>
      <c r="C4992" s="384">
        <v>45946.0</v>
      </c>
      <c r="D4992" s="65">
        <v>7484.0</v>
      </c>
      <c r="E4992" s="445" t="s">
        <v>1890</v>
      </c>
      <c r="F4992" s="386">
        <v>1.0</v>
      </c>
      <c r="G4992" s="74">
        <v>800000.0</v>
      </c>
      <c r="H4992" s="74">
        <v>0.0</v>
      </c>
      <c r="I4992" s="74">
        <f t="shared" si="1"/>
        <v>800000</v>
      </c>
      <c r="J4992" s="74">
        <f>IF(E4992="SERVICE",I4992-(I4992*50%),Vlookup(E4992,DATABASE!C:Q,10,false)*F4992)</f>
        <v>0</v>
      </c>
      <c r="K4992" s="74">
        <f>VLOOKUP(E4992,DATABASE!C:Q,7,false)</f>
        <v>739600</v>
      </c>
      <c r="L4992" s="74">
        <v>700000.0</v>
      </c>
      <c r="M4992" s="74">
        <f t="shared" si="2"/>
        <v>700000</v>
      </c>
      <c r="N4992" s="74">
        <f t="shared" si="3"/>
        <v>100000</v>
      </c>
      <c r="O4992" s="65" t="str">
        <f>VLOOKUP(E4992,DATABASE!C:Q,8,false)</f>
        <v>BIAN</v>
      </c>
      <c r="P4992" s="65">
        <f>VLOOKUP(E4992,DATABASE!C:Q,9,False)</f>
        <v>1</v>
      </c>
      <c r="Q4992" s="93" t="str">
        <f>VLOOKUP(E4992,DATABASE!C:Q,4,false)</f>
        <v>GT</v>
      </c>
      <c r="R4992" s="93" t="str">
        <f>VLOOKUP(E4992,DATABASE!C:Q,11,false)</f>
        <v>Tire</v>
      </c>
    </row>
    <row r="4993" ht="22.5" customHeight="1">
      <c r="A4993" s="49"/>
      <c r="C4993" s="384">
        <v>45946.0</v>
      </c>
      <c r="D4993" s="65">
        <v>7485.0</v>
      </c>
      <c r="E4993" s="445" t="s">
        <v>256</v>
      </c>
      <c r="F4993" s="386">
        <v>1.0</v>
      </c>
      <c r="G4993" s="74">
        <v>130000.0</v>
      </c>
      <c r="H4993" s="74">
        <v>0.0</v>
      </c>
      <c r="I4993" s="74">
        <f t="shared" si="1"/>
        <v>130000</v>
      </c>
      <c r="J4993" s="74">
        <f>IF(E4993="SERVICE",I4993-(I4993*50%),Vlookup(E4993,DATABASE!C:Q,10,false)*F4993)</f>
        <v>10000</v>
      </c>
      <c r="K4993" s="74">
        <f>VLOOKUP(E4993,DATABASE!C:Q,7,false)</f>
        <v>0</v>
      </c>
      <c r="L4993" s="74">
        <v>0.0</v>
      </c>
      <c r="M4993" s="74">
        <f t="shared" si="2"/>
        <v>0</v>
      </c>
      <c r="N4993" s="74">
        <f t="shared" si="3"/>
        <v>120000</v>
      </c>
      <c r="O4993" s="65" t="str">
        <f>VLOOKUP(E4993,DATABASE!C:Q,8,false)</f>
        <v>IBU</v>
      </c>
      <c r="P4993" s="65">
        <f>VLOOKUP(E4993,DATABASE!C:Q,9,False)</f>
        <v>0</v>
      </c>
      <c r="Q4993" s="93" t="str">
        <f>VLOOKUP(E4993,DATABASE!C:Q,4,false)</f>
        <v>SPOORING</v>
      </c>
      <c r="R4993" s="93" t="str">
        <f>VLOOKUP(E4993,DATABASE!C:Q,11,false)</f>
        <v>SERVICE</v>
      </c>
    </row>
    <row r="4994" ht="22.5" customHeight="1">
      <c r="A4994" s="49"/>
      <c r="C4994" s="384">
        <v>45946.0</v>
      </c>
      <c r="D4994" s="65">
        <v>7485.0</v>
      </c>
      <c r="E4994" s="445" t="s">
        <v>251</v>
      </c>
      <c r="F4994" s="386">
        <v>1.0</v>
      </c>
      <c r="G4994" s="74">
        <v>150000.0</v>
      </c>
      <c r="H4994" s="74">
        <v>0.0</v>
      </c>
      <c r="I4994" s="74">
        <f t="shared" si="1"/>
        <v>150000</v>
      </c>
      <c r="J4994" s="74">
        <f>IF(E4994="SERVICE",I4994-(I4994*50%),Vlookup(E4994,DATABASE!C:Q,10,false)*F4994)</f>
        <v>75000</v>
      </c>
      <c r="K4994" s="74">
        <f>VLOOKUP(E4994,DATABASE!C:Q,7,false)</f>
        <v>0</v>
      </c>
      <c r="L4994" s="74">
        <v>0.0</v>
      </c>
      <c r="M4994" s="74">
        <f t="shared" si="2"/>
        <v>0</v>
      </c>
      <c r="N4994" s="74">
        <f t="shared" si="3"/>
        <v>75000</v>
      </c>
      <c r="O4994" s="65" t="str">
        <f>VLOOKUP(E4994,DATABASE!C:Q,8,false)</f>
        <v>IBU</v>
      </c>
      <c r="P4994" s="65">
        <f>VLOOKUP(E4994,DATABASE!C:Q,9,False)</f>
        <v>0</v>
      </c>
      <c r="Q4994" s="93" t="str">
        <f>VLOOKUP(E4994,DATABASE!C:Q,4,false)</f>
        <v>SERVICE</v>
      </c>
      <c r="R4994" s="93" t="str">
        <f>VLOOKUP(E4994,DATABASE!C:Q,11,false)</f>
        <v>SERVICE</v>
      </c>
    </row>
    <row r="4995" ht="22.5" customHeight="1">
      <c r="A4995" s="49"/>
      <c r="C4995" s="384">
        <v>45946.0</v>
      </c>
      <c r="D4995" s="65">
        <v>7486.0</v>
      </c>
      <c r="E4995" s="445" t="s">
        <v>1025</v>
      </c>
      <c r="F4995" s="386">
        <v>1.0</v>
      </c>
      <c r="G4995" s="74">
        <v>785000.0</v>
      </c>
      <c r="H4995" s="74">
        <v>0.0</v>
      </c>
      <c r="I4995" s="74">
        <f t="shared" si="1"/>
        <v>785000</v>
      </c>
      <c r="J4995" s="74">
        <f>IF(E4995="SERVICE",I4995-(I4995*50%),Vlookup(E4995,DATABASE!C:Q,10,false)*F4995)</f>
        <v>0</v>
      </c>
      <c r="K4995" s="74">
        <f>VLOOKUP(E4995,DATABASE!C:Q,7,false)</f>
        <v>683020.8</v>
      </c>
      <c r="L4995" s="74">
        <v>683020.8</v>
      </c>
      <c r="M4995" s="74">
        <f t="shared" si="2"/>
        <v>685000</v>
      </c>
      <c r="N4995" s="74">
        <f t="shared" si="3"/>
        <v>100000</v>
      </c>
      <c r="O4995" s="65" t="str">
        <f>VLOOKUP(E4995,DATABASE!C:Q,8,false)</f>
        <v>IBU</v>
      </c>
      <c r="P4995" s="65">
        <f>VLOOKUP(E4995,DATABASE!C:Q,9,False)</f>
        <v>1</v>
      </c>
      <c r="Q4995" s="93" t="str">
        <f>VLOOKUP(E4995,DATABASE!C:Q,4,false)</f>
        <v>Bridgestone</v>
      </c>
      <c r="R4995" s="93" t="str">
        <f>VLOOKUP(E4995,DATABASE!C:Q,11,false)</f>
        <v>Tire</v>
      </c>
    </row>
    <row r="4996" ht="22.5" customHeight="1">
      <c r="A4996" s="49"/>
      <c r="C4996" s="384">
        <v>45946.0</v>
      </c>
      <c r="D4996" s="65">
        <v>7487.0</v>
      </c>
      <c r="E4996" s="445" t="s">
        <v>2155</v>
      </c>
      <c r="F4996" s="386">
        <v>3.0</v>
      </c>
      <c r="G4996" s="74">
        <v>640000.0</v>
      </c>
      <c r="H4996" s="74">
        <v>0.0</v>
      </c>
      <c r="I4996" s="74">
        <f t="shared" si="1"/>
        <v>1920000</v>
      </c>
      <c r="J4996" s="74">
        <f>IF(E4996="SERVICE",I4996-(I4996*50%),Vlookup(E4996,DATABASE!C:Q,10,false)*F4996)</f>
        <v>0</v>
      </c>
      <c r="K4996" s="74">
        <f>VLOOKUP(E4996,DATABASE!C:Q,7,false)</f>
        <v>555000</v>
      </c>
      <c r="L4996" s="74">
        <v>555000.0</v>
      </c>
      <c r="M4996" s="74">
        <f t="shared" si="2"/>
        <v>555000</v>
      </c>
      <c r="N4996" s="74">
        <f t="shared" si="3"/>
        <v>255000</v>
      </c>
      <c r="O4996" s="65" t="str">
        <f>VLOOKUP(E4996,DATABASE!C:Q,8,false)</f>
        <v>BIAN</v>
      </c>
      <c r="P4996" s="65">
        <f>VLOOKUP(E4996,DATABASE!C:Q,9,False)</f>
        <v>1</v>
      </c>
      <c r="Q4996" s="93" t="str">
        <f>VLOOKUP(E4996,DATABASE!C:Q,4,false)</f>
        <v>SAILUN</v>
      </c>
      <c r="R4996" s="93" t="str">
        <f>VLOOKUP(E4996,DATABASE!C:Q,11,false)</f>
        <v>Tire</v>
      </c>
    </row>
    <row r="4997" ht="22.5" customHeight="1">
      <c r="A4997" s="49"/>
      <c r="C4997" s="384">
        <v>45946.0</v>
      </c>
      <c r="D4997" s="65">
        <v>7487.0</v>
      </c>
      <c r="E4997" s="445" t="s">
        <v>569</v>
      </c>
      <c r="F4997" s="386">
        <v>3.0</v>
      </c>
      <c r="G4997" s="74">
        <v>80000.0</v>
      </c>
      <c r="H4997" s="74">
        <v>0.0</v>
      </c>
      <c r="I4997" s="74">
        <f t="shared" si="1"/>
        <v>240000</v>
      </c>
      <c r="J4997" s="74">
        <f>IF(E4997="SERVICE",I4997-(I4997*50%),Vlookup(E4997,DATABASE!C:Q,10,false)*F4997)</f>
        <v>0</v>
      </c>
      <c r="K4997" s="74">
        <f>VLOOKUP(E4997,DATABASE!C:Q,7,false)</f>
        <v>45439.582</v>
      </c>
      <c r="L4997" s="74">
        <v>45309.6</v>
      </c>
      <c r="M4997" s="74">
        <f t="shared" si="2"/>
        <v>50000</v>
      </c>
      <c r="N4997" s="74">
        <f t="shared" si="3"/>
        <v>90000</v>
      </c>
      <c r="O4997" s="65" t="str">
        <f>VLOOKUP(E4997,DATABASE!C:Q,8,false)</f>
        <v>BIAN</v>
      </c>
      <c r="P4997" s="65">
        <f>VLOOKUP(E4997,DATABASE!C:Q,9,False)</f>
        <v>1</v>
      </c>
      <c r="Q4997" s="93" t="str">
        <f>VLOOKUP(E4997,DATABASE!C:Q,4,false)</f>
        <v>BD</v>
      </c>
      <c r="R4997" s="93" t="str">
        <f>VLOOKUP(E4997,DATABASE!C:Q,11,false)</f>
        <v>Tire</v>
      </c>
    </row>
    <row r="4998" ht="22.5" customHeight="1">
      <c r="A4998" s="49"/>
      <c r="C4998" s="384">
        <v>45946.0</v>
      </c>
      <c r="D4998" s="65">
        <v>7488.0</v>
      </c>
      <c r="E4998" s="445" t="s">
        <v>256</v>
      </c>
      <c r="F4998" s="386">
        <v>1.0</v>
      </c>
      <c r="G4998" s="74">
        <v>130000.0</v>
      </c>
      <c r="H4998" s="74">
        <v>0.0</v>
      </c>
      <c r="I4998" s="74">
        <f t="shared" si="1"/>
        <v>130000</v>
      </c>
      <c r="J4998" s="74">
        <f>IF(E4998="SERVICE",I4998-(I4998*50%),Vlookup(E4998,DATABASE!C:Q,10,false)*F4998)</f>
        <v>10000</v>
      </c>
      <c r="K4998" s="74">
        <f>VLOOKUP(E4998,DATABASE!C:Q,7,false)</f>
        <v>0</v>
      </c>
      <c r="L4998" s="74">
        <v>0.0</v>
      </c>
      <c r="M4998" s="74">
        <f t="shared" si="2"/>
        <v>0</v>
      </c>
      <c r="N4998" s="74">
        <f t="shared" si="3"/>
        <v>120000</v>
      </c>
      <c r="O4998" s="65" t="str">
        <f>VLOOKUP(E4998,DATABASE!C:Q,8,false)</f>
        <v>IBU</v>
      </c>
      <c r="P4998" s="65">
        <f>VLOOKUP(E4998,DATABASE!C:Q,9,False)</f>
        <v>0</v>
      </c>
      <c r="Q4998" s="93" t="str">
        <f>VLOOKUP(E4998,DATABASE!C:Q,4,false)</f>
        <v>SPOORING</v>
      </c>
      <c r="R4998" s="93" t="str">
        <f>VLOOKUP(E4998,DATABASE!C:Q,11,false)</f>
        <v>SERVICE</v>
      </c>
    </row>
    <row r="4999" ht="22.5" customHeight="1">
      <c r="A4999" s="49"/>
      <c r="C4999" s="384">
        <v>45946.0</v>
      </c>
      <c r="D4999" s="65">
        <v>7488.0</v>
      </c>
      <c r="E4999" s="385" t="s">
        <v>299</v>
      </c>
      <c r="F4999" s="386">
        <v>2.0</v>
      </c>
      <c r="G4999" s="74">
        <v>30000.0</v>
      </c>
      <c r="H4999" s="74">
        <v>0.0</v>
      </c>
      <c r="I4999" s="74">
        <f t="shared" si="1"/>
        <v>60000</v>
      </c>
      <c r="J4999" s="74">
        <f>IF(E4999="SERVICE",I4999-(I4999*50%),Vlookup(E4999,DATABASE!C:Q,10,false)*F4999)</f>
        <v>0</v>
      </c>
      <c r="K4999" s="74">
        <v>0.0</v>
      </c>
      <c r="L4999" s="74">
        <v>0.0</v>
      </c>
      <c r="M4999" s="74">
        <f t="shared" si="2"/>
        <v>0</v>
      </c>
      <c r="N4999" s="74">
        <f t="shared" si="3"/>
        <v>60000</v>
      </c>
      <c r="O4999" s="65" t="str">
        <f>VLOOKUP(E4999,DATABASE!C:Q,8,false)</f>
        <v>BIAN</v>
      </c>
      <c r="P4999" s="65">
        <f>VLOOKUP(E4999,DATABASE!C:Q,9,False)</f>
        <v>0</v>
      </c>
      <c r="Q4999" s="93" t="str">
        <f>VLOOKUP(E4999,DATABASE!C:Q,4,false)</f>
        <v>Balancing</v>
      </c>
      <c r="R4999" s="93" t="str">
        <f>VLOOKUP(E4999,DATABASE!C:Q,11,false)</f>
        <v>COMPLEMENTARY</v>
      </c>
    </row>
    <row r="5000" ht="22.5" customHeight="1">
      <c r="A5000" s="49"/>
      <c r="C5000" s="384">
        <v>45946.0</v>
      </c>
      <c r="D5000" s="65">
        <v>7488.0</v>
      </c>
      <c r="E5000" s="445" t="s">
        <v>301</v>
      </c>
      <c r="F5000" s="386">
        <v>1.0</v>
      </c>
      <c r="G5000" s="74">
        <v>250000.0</v>
      </c>
      <c r="H5000" s="74">
        <v>0.0</v>
      </c>
      <c r="I5000" s="74">
        <f t="shared" si="1"/>
        <v>250000</v>
      </c>
      <c r="J5000" s="74">
        <f>IF(E5000="SERVICE",I5000-(I5000*50%),Vlookup(E5000,DATABASE!C:Q,10,false)*F5000)</f>
        <v>75000</v>
      </c>
      <c r="K5000" s="74">
        <f>VLOOKUP(E5000,DATABASE!C:Q,7,false)</f>
        <v>75000</v>
      </c>
      <c r="L5000" s="74">
        <v>75000.0</v>
      </c>
      <c r="M5000" s="74">
        <f t="shared" si="2"/>
        <v>75000</v>
      </c>
      <c r="N5000" s="74">
        <f t="shared" si="3"/>
        <v>100000</v>
      </c>
      <c r="O5000" s="65" t="str">
        <f>VLOOKUP(E5000,DATABASE!C:Q,8,false)</f>
        <v>BIAN</v>
      </c>
      <c r="P5000" s="65">
        <f>VLOOKUP(E5000,DATABASE!C:Q,9,False)</f>
        <v>0</v>
      </c>
      <c r="Q5000" s="93" t="str">
        <f>VLOOKUP(E5000,DATABASE!C:Q,4,false)</f>
        <v>Baut Camber</v>
      </c>
      <c r="R5000" s="93" t="str">
        <f>VLOOKUP(E5000,DATABASE!C:Q,11,false)</f>
        <v>COMPLEMENTARY</v>
      </c>
    </row>
    <row r="5001" ht="22.5" customHeight="1">
      <c r="A5001" s="49"/>
      <c r="C5001" s="384">
        <v>45946.0</v>
      </c>
      <c r="D5001" s="65">
        <v>7488.0</v>
      </c>
      <c r="E5001" s="445" t="s">
        <v>600</v>
      </c>
      <c r="F5001" s="386">
        <v>2.0</v>
      </c>
      <c r="G5001" s="74">
        <v>675000.0</v>
      </c>
      <c r="H5001" s="74">
        <v>0.0</v>
      </c>
      <c r="I5001" s="74">
        <f t="shared" si="1"/>
        <v>1350000</v>
      </c>
      <c r="J5001" s="74">
        <f>IF(E5001="SERVICE",I5001-(I5001*50%),Vlookup(E5001,DATABASE!C:Q,10,false)*F5001)</f>
        <v>0</v>
      </c>
      <c r="K5001" s="74">
        <f>VLOOKUP(E5001,DATABASE!C:Q,7,false)</f>
        <v>611109.16</v>
      </c>
      <c r="L5001" s="74">
        <v>572762.4</v>
      </c>
      <c r="M5001" s="74">
        <f t="shared" si="2"/>
        <v>575000</v>
      </c>
      <c r="N5001" s="74">
        <f t="shared" si="3"/>
        <v>200000</v>
      </c>
      <c r="O5001" s="65" t="str">
        <f>VLOOKUP(E5001,DATABASE!C:Q,8,false)</f>
        <v>IBU</v>
      </c>
      <c r="P5001" s="65">
        <f>VLOOKUP(E5001,DATABASE!C:Q,9,False)</f>
        <v>1</v>
      </c>
      <c r="Q5001" s="93" t="str">
        <f>VLOOKUP(E5001,DATABASE!C:Q,4,false)</f>
        <v>Bridgestone</v>
      </c>
      <c r="R5001" s="93" t="str">
        <f>VLOOKUP(E5001,DATABASE!C:Q,11,false)</f>
        <v>Tire</v>
      </c>
    </row>
    <row r="5002" ht="22.5" customHeight="1">
      <c r="A5002" s="49"/>
      <c r="C5002" s="384">
        <v>45946.0</v>
      </c>
      <c r="D5002" s="65">
        <v>7488.0</v>
      </c>
      <c r="E5002" s="445" t="s">
        <v>268</v>
      </c>
      <c r="F5002" s="386">
        <v>1.0</v>
      </c>
      <c r="G5002" s="74">
        <v>720000.0</v>
      </c>
      <c r="H5002" s="74">
        <v>0.0</v>
      </c>
      <c r="I5002" s="74">
        <f t="shared" si="1"/>
        <v>720000</v>
      </c>
      <c r="J5002" s="74">
        <f>IF(E5002="SERVICE",I5002-(I5002*50%),Vlookup(E5002,DATABASE!C:Q,10,false)*F5002)</f>
        <v>0</v>
      </c>
      <c r="K5002" s="74">
        <f>VLOOKUP(E5002,DATABASE!C:Q,7,false)</f>
        <v>653000</v>
      </c>
      <c r="L5002" s="74">
        <v>622000.0</v>
      </c>
      <c r="M5002" s="74">
        <f t="shared" si="2"/>
        <v>625000</v>
      </c>
      <c r="N5002" s="74">
        <f t="shared" si="3"/>
        <v>95000</v>
      </c>
      <c r="O5002" s="65" t="str">
        <f>VLOOKUP(E5002,DATABASE!C:Q,8,false)</f>
        <v>IBU</v>
      </c>
      <c r="P5002" s="65">
        <f>VLOOKUP(E5002,DATABASE!C:Q,9,False)</f>
        <v>1</v>
      </c>
      <c r="Q5002" s="93" t="str">
        <f>VLOOKUP(E5002,DATABASE!C:Q,4,false)</f>
        <v>Dunlop</v>
      </c>
      <c r="R5002" s="93" t="str">
        <f>VLOOKUP(E5002,DATABASE!C:Q,11,false)</f>
        <v>Tire</v>
      </c>
    </row>
    <row r="5003" ht="22.5" customHeight="1">
      <c r="A5003" s="49"/>
      <c r="C5003" s="384">
        <v>45946.0</v>
      </c>
      <c r="D5003" s="65">
        <v>7491.0</v>
      </c>
      <c r="E5003" s="445" t="s">
        <v>286</v>
      </c>
      <c r="F5003" s="386">
        <v>1.0</v>
      </c>
      <c r="G5003" s="74">
        <v>550000.0</v>
      </c>
      <c r="H5003" s="74">
        <v>0.0</v>
      </c>
      <c r="I5003" s="74">
        <f t="shared" si="1"/>
        <v>550000</v>
      </c>
      <c r="J5003" s="74">
        <f>IF(E5003="SERVICE",I5003-(I5003*50%),Vlookup(E5003,DATABASE!C:Q,10,false)*F5003)</f>
        <v>0</v>
      </c>
      <c r="K5003" s="74">
        <f>VLOOKUP(E5003,DATABASE!C:Q,7,false)</f>
        <v>488320</v>
      </c>
      <c r="L5003" s="74">
        <v>452970.0</v>
      </c>
      <c r="M5003" s="74">
        <f t="shared" si="2"/>
        <v>455000</v>
      </c>
      <c r="N5003" s="74">
        <f t="shared" si="3"/>
        <v>95000</v>
      </c>
      <c r="O5003" s="65" t="str">
        <f>VLOOKUP(E5003,DATABASE!C:Q,8,false)</f>
        <v>BIAN</v>
      </c>
      <c r="P5003" s="65">
        <f>VLOOKUP(E5003,DATABASE!C:Q,9,False)</f>
        <v>1</v>
      </c>
      <c r="Q5003" s="93" t="str">
        <f>VLOOKUP(E5003,DATABASE!C:Q,4,false)</f>
        <v>GT</v>
      </c>
      <c r="R5003" s="93" t="str">
        <f>VLOOKUP(E5003,DATABASE!C:Q,11,false)</f>
        <v>Tire</v>
      </c>
    </row>
    <row r="5004" ht="22.5" customHeight="1">
      <c r="A5004" s="49"/>
      <c r="C5004" s="384">
        <v>45946.0</v>
      </c>
      <c r="D5004" s="65">
        <v>7492.0</v>
      </c>
      <c r="E5004" s="445" t="s">
        <v>268</v>
      </c>
      <c r="F5004" s="386">
        <v>2.0</v>
      </c>
      <c r="G5004" s="74">
        <v>720000.0</v>
      </c>
      <c r="H5004" s="74">
        <v>0.0</v>
      </c>
      <c r="I5004" s="74">
        <f t="shared" si="1"/>
        <v>1440000</v>
      </c>
      <c r="J5004" s="74">
        <f>IF(E5004="SERVICE",I5004-(I5004*50%),Vlookup(E5004,DATABASE!C:Q,10,false)*F5004)</f>
        <v>0</v>
      </c>
      <c r="K5004" s="74">
        <f>VLOOKUP(E5004,DATABASE!C:Q,7,false)</f>
        <v>653000</v>
      </c>
      <c r="L5004" s="74">
        <v>622000.0</v>
      </c>
      <c r="M5004" s="74">
        <f t="shared" si="2"/>
        <v>625000</v>
      </c>
      <c r="N5004" s="74">
        <f t="shared" si="3"/>
        <v>190000</v>
      </c>
      <c r="O5004" s="65" t="str">
        <f>VLOOKUP(E5004,DATABASE!C:Q,8,false)</f>
        <v>IBU</v>
      </c>
      <c r="P5004" s="65">
        <f>VLOOKUP(E5004,DATABASE!C:Q,9,False)</f>
        <v>1</v>
      </c>
      <c r="Q5004" s="93" t="str">
        <f>VLOOKUP(E5004,DATABASE!C:Q,4,false)</f>
        <v>Dunlop</v>
      </c>
      <c r="R5004" s="93" t="str">
        <f>VLOOKUP(E5004,DATABASE!C:Q,11,false)</f>
        <v>Tire</v>
      </c>
    </row>
    <row r="5005" ht="22.5" customHeight="1">
      <c r="A5005" s="49"/>
      <c r="C5005" s="384">
        <v>45946.0</v>
      </c>
      <c r="D5005" s="65">
        <v>7493.0</v>
      </c>
      <c r="E5005" s="385" t="s">
        <v>554</v>
      </c>
      <c r="F5005" s="386">
        <v>2.0</v>
      </c>
      <c r="G5005" s="74">
        <v>785000.0</v>
      </c>
      <c r="H5005" s="74">
        <v>0.0</v>
      </c>
      <c r="I5005" s="74">
        <f t="shared" si="1"/>
        <v>1570000</v>
      </c>
      <c r="J5005" s="74">
        <f>IF(E5005="SERVICE",I5005-(I5005*50%),Vlookup(E5005,DATABASE!C:Q,10,false)*F5005)</f>
        <v>0</v>
      </c>
      <c r="K5005" s="74">
        <f>VLOOKUP(E5005,DATABASE!C:Q,7,false)</f>
        <v>710000</v>
      </c>
      <c r="L5005" s="74">
        <v>680000.0</v>
      </c>
      <c r="M5005" s="74">
        <f t="shared" si="2"/>
        <v>680000</v>
      </c>
      <c r="N5005" s="74">
        <f t="shared" si="3"/>
        <v>210000</v>
      </c>
      <c r="O5005" s="65" t="str">
        <f>VLOOKUP(E5005,DATABASE!C:Q,8,false)</f>
        <v>IBU</v>
      </c>
      <c r="P5005" s="65">
        <f>VLOOKUP(E5005,DATABASE!C:Q,9,False)</f>
        <v>1</v>
      </c>
      <c r="Q5005" s="93" t="str">
        <f>VLOOKUP(E5005,DATABASE!C:Q,4,false)</f>
        <v>Bridgestone</v>
      </c>
      <c r="R5005" s="93" t="str">
        <f>VLOOKUP(E5005,DATABASE!C:Q,11,false)</f>
        <v>Tire</v>
      </c>
    </row>
    <row r="5006" ht="22.5" customHeight="1">
      <c r="A5006" s="49"/>
      <c r="C5006" s="384">
        <v>45946.0</v>
      </c>
      <c r="D5006" s="65">
        <v>7494.0</v>
      </c>
      <c r="E5006" s="445" t="s">
        <v>256</v>
      </c>
      <c r="F5006" s="386">
        <v>1.0</v>
      </c>
      <c r="G5006" s="74">
        <v>130000.0</v>
      </c>
      <c r="H5006" s="74">
        <v>0.0</v>
      </c>
      <c r="I5006" s="74">
        <f t="shared" si="1"/>
        <v>130000</v>
      </c>
      <c r="J5006" s="74">
        <f>IF(E5006="SERVICE",I5006-(I5006*50%),Vlookup(E5006,DATABASE!C:Q,10,false)*F5006)</f>
        <v>10000</v>
      </c>
      <c r="K5006" s="74">
        <f>VLOOKUP(E5006,DATABASE!C:Q,7,false)</f>
        <v>0</v>
      </c>
      <c r="L5006" s="74">
        <v>0.0</v>
      </c>
      <c r="M5006" s="74">
        <f t="shared" si="2"/>
        <v>0</v>
      </c>
      <c r="N5006" s="74">
        <f t="shared" si="3"/>
        <v>120000</v>
      </c>
      <c r="O5006" s="65" t="str">
        <f>VLOOKUP(E5006,DATABASE!C:Q,8,false)</f>
        <v>IBU</v>
      </c>
      <c r="P5006" s="65">
        <f>VLOOKUP(E5006,DATABASE!C:Q,9,False)</f>
        <v>0</v>
      </c>
      <c r="Q5006" s="93" t="str">
        <f>VLOOKUP(E5006,DATABASE!C:Q,4,false)</f>
        <v>SPOORING</v>
      </c>
      <c r="R5006" s="93" t="str">
        <f>VLOOKUP(E5006,DATABASE!C:Q,11,false)</f>
        <v>SERVICE</v>
      </c>
    </row>
    <row r="5007" ht="22.5" customHeight="1">
      <c r="A5007" s="49"/>
      <c r="C5007" s="384">
        <v>45946.0</v>
      </c>
      <c r="D5007" s="65">
        <v>7494.0</v>
      </c>
      <c r="E5007" s="445" t="s">
        <v>251</v>
      </c>
      <c r="F5007" s="386">
        <v>1.0</v>
      </c>
      <c r="G5007" s="74">
        <v>200000.0</v>
      </c>
      <c r="H5007" s="74">
        <v>0.0</v>
      </c>
      <c r="I5007" s="74">
        <f t="shared" si="1"/>
        <v>200000</v>
      </c>
      <c r="J5007" s="74">
        <f>IF(E5007="SERVICE",I5007-(I5007*50%),Vlookup(E5007,DATABASE!C:Q,10,false)*F5007)</f>
        <v>100000</v>
      </c>
      <c r="K5007" s="74">
        <f>VLOOKUP(E5007,DATABASE!C:Q,7,false)</f>
        <v>0</v>
      </c>
      <c r="L5007" s="74">
        <v>0.0</v>
      </c>
      <c r="M5007" s="74">
        <f t="shared" si="2"/>
        <v>0</v>
      </c>
      <c r="N5007" s="74">
        <f t="shared" si="3"/>
        <v>100000</v>
      </c>
      <c r="O5007" s="65" t="str">
        <f>VLOOKUP(E5007,DATABASE!C:Q,8,false)</f>
        <v>IBU</v>
      </c>
      <c r="P5007" s="65">
        <f>VLOOKUP(E5007,DATABASE!C:Q,9,False)</f>
        <v>0</v>
      </c>
      <c r="Q5007" s="93" t="str">
        <f>VLOOKUP(E5007,DATABASE!C:Q,4,false)</f>
        <v>SERVICE</v>
      </c>
      <c r="R5007" s="93" t="str">
        <f>VLOOKUP(E5007,DATABASE!C:Q,11,false)</f>
        <v>SERVICE</v>
      </c>
    </row>
    <row r="5008" ht="22.5" customHeight="1">
      <c r="A5008" s="49"/>
      <c r="C5008" s="384">
        <v>45946.0</v>
      </c>
      <c r="D5008" s="65">
        <v>7495.0</v>
      </c>
      <c r="E5008" s="385" t="s">
        <v>299</v>
      </c>
      <c r="F5008" s="386">
        <v>2.0</v>
      </c>
      <c r="G5008" s="74">
        <v>30000.0</v>
      </c>
      <c r="H5008" s="74">
        <v>0.0</v>
      </c>
      <c r="I5008" s="74">
        <f t="shared" si="1"/>
        <v>60000</v>
      </c>
      <c r="J5008" s="74">
        <f>IF(E5008="SERVICE",I5008-(I5008*50%),Vlookup(E5008,DATABASE!C:Q,10,false)*F5008)</f>
        <v>0</v>
      </c>
      <c r="K5008" s="74">
        <v>0.0</v>
      </c>
      <c r="L5008" s="74">
        <v>0.0</v>
      </c>
      <c r="M5008" s="74">
        <f t="shared" si="2"/>
        <v>0</v>
      </c>
      <c r="N5008" s="74">
        <f t="shared" si="3"/>
        <v>60000</v>
      </c>
      <c r="O5008" s="65" t="str">
        <f>VLOOKUP(E5008,DATABASE!C:Q,8,false)</f>
        <v>BIAN</v>
      </c>
      <c r="P5008" s="65">
        <f>VLOOKUP(E5008,DATABASE!C:Q,9,False)</f>
        <v>0</v>
      </c>
      <c r="Q5008" s="93" t="str">
        <f>VLOOKUP(E5008,DATABASE!C:Q,4,false)</f>
        <v>Balancing</v>
      </c>
      <c r="R5008" s="93" t="str">
        <f>VLOOKUP(E5008,DATABASE!C:Q,11,false)</f>
        <v>COMPLEMENTARY</v>
      </c>
    </row>
    <row r="5009" ht="22.5" customHeight="1">
      <c r="A5009" s="49"/>
      <c r="C5009" s="384">
        <v>45946.0</v>
      </c>
      <c r="D5009" s="65">
        <v>7495.0</v>
      </c>
      <c r="E5009" s="445" t="s">
        <v>262</v>
      </c>
      <c r="F5009" s="386">
        <v>1.0</v>
      </c>
      <c r="G5009" s="74">
        <v>110000.0</v>
      </c>
      <c r="H5009" s="74">
        <v>0.0</v>
      </c>
      <c r="I5009" s="74">
        <f t="shared" si="1"/>
        <v>110000</v>
      </c>
      <c r="J5009" s="74">
        <f>IF(E5009="SERVICE",I5009-(I5009*50%),Vlookup(E5009,DATABASE!C:Q,10,false)*F5009)</f>
        <v>5000</v>
      </c>
      <c r="K5009" s="74">
        <f>VLOOKUP(E5009,DATABASE!C:Q,7,false)</f>
        <v>0</v>
      </c>
      <c r="L5009" s="74">
        <v>0.0</v>
      </c>
      <c r="M5009" s="74">
        <f t="shared" si="2"/>
        <v>0</v>
      </c>
      <c r="N5009" s="74">
        <f t="shared" si="3"/>
        <v>105000</v>
      </c>
      <c r="O5009" s="65" t="str">
        <f>VLOOKUP(E5009,DATABASE!C:Q,8,false)</f>
        <v>IBU</v>
      </c>
      <c r="P5009" s="65">
        <f>VLOOKUP(E5009,DATABASE!C:Q,9,False)</f>
        <v>0</v>
      </c>
      <c r="Q5009" s="93" t="str">
        <f>VLOOKUP(E5009,DATABASE!C:Q,4,false)</f>
        <v>SPOORING SS/CARRY LOS BAK</v>
      </c>
      <c r="R5009" s="93" t="str">
        <f>VLOOKUP(E5009,DATABASE!C:Q,11,false)</f>
        <v>SERVICE</v>
      </c>
    </row>
    <row r="5010" ht="22.5" customHeight="1">
      <c r="A5010" s="49"/>
      <c r="C5010" s="384">
        <v>45946.0</v>
      </c>
      <c r="D5010" s="65">
        <v>7495.0</v>
      </c>
      <c r="E5010" s="445" t="s">
        <v>251</v>
      </c>
      <c r="F5010" s="386">
        <v>1.0</v>
      </c>
      <c r="G5010" s="74">
        <v>150000.0</v>
      </c>
      <c r="H5010" s="74">
        <v>0.0</v>
      </c>
      <c r="I5010" s="74">
        <f t="shared" si="1"/>
        <v>150000</v>
      </c>
      <c r="J5010" s="74">
        <f>IF(E5010="SERVICE",I5010-(I5010*50%),Vlookup(E5010,DATABASE!C:Q,10,false)*F5010)</f>
        <v>75000</v>
      </c>
      <c r="K5010" s="74">
        <f>VLOOKUP(E5010,DATABASE!C:Q,7,false)</f>
        <v>0</v>
      </c>
      <c r="L5010" s="74">
        <v>0.0</v>
      </c>
      <c r="M5010" s="74">
        <f t="shared" si="2"/>
        <v>0</v>
      </c>
      <c r="N5010" s="74">
        <f t="shared" si="3"/>
        <v>75000</v>
      </c>
      <c r="O5010" s="65" t="str">
        <f>VLOOKUP(E5010,DATABASE!C:Q,8,false)</f>
        <v>IBU</v>
      </c>
      <c r="P5010" s="65">
        <f>VLOOKUP(E5010,DATABASE!C:Q,9,False)</f>
        <v>0</v>
      </c>
      <c r="Q5010" s="93" t="str">
        <f>VLOOKUP(E5010,DATABASE!C:Q,4,false)</f>
        <v>SERVICE</v>
      </c>
      <c r="R5010" s="93" t="str">
        <f>VLOOKUP(E5010,DATABASE!C:Q,11,false)</f>
        <v>SERVICE</v>
      </c>
    </row>
    <row r="5011" ht="22.5" customHeight="1">
      <c r="A5011" s="49"/>
      <c r="C5011" s="384">
        <v>45946.0</v>
      </c>
      <c r="D5011" s="65">
        <v>7496.0</v>
      </c>
      <c r="E5011" s="445" t="s">
        <v>2140</v>
      </c>
      <c r="F5011" s="386">
        <v>1.0</v>
      </c>
      <c r="G5011" s="74">
        <v>20000.0</v>
      </c>
      <c r="H5011" s="74">
        <v>0.0</v>
      </c>
      <c r="I5011" s="74">
        <f t="shared" si="1"/>
        <v>20000</v>
      </c>
      <c r="J5011" s="74">
        <f>IF(E5011="SERVICE",I5011-(I5011*50%),Vlookup(E5011,DATABASE!C:Q,10,false)*F5011)</f>
        <v>0</v>
      </c>
      <c r="K5011" s="74">
        <f>VLOOKUP(E5011,DATABASE!C:Q,7,false)</f>
        <v>5000</v>
      </c>
      <c r="L5011" s="74">
        <v>0.0</v>
      </c>
      <c r="M5011" s="74">
        <f t="shared" si="2"/>
        <v>0</v>
      </c>
      <c r="N5011" s="74">
        <f t="shared" si="3"/>
        <v>20000</v>
      </c>
      <c r="O5011" s="65" t="str">
        <f>VLOOKUP(E5011,DATABASE!C:Q,8,false)</f>
        <v>IBU</v>
      </c>
      <c r="P5011" s="65">
        <f>VLOOKUP(E5011,DATABASE!C:Q,9,False)</f>
        <v>0</v>
      </c>
      <c r="Q5011" s="93" t="str">
        <f>VLOOKUP(E5011,DATABASE!C:Q,4,false)</f>
        <v>PENTIL + PASANG</v>
      </c>
      <c r="R5011" s="93" t="str">
        <f>VLOOKUP(E5011,DATABASE!C:Q,11,false)</f>
        <v>COMPLEMENTARY</v>
      </c>
    </row>
    <row r="5012" ht="22.5" customHeight="1">
      <c r="A5012" s="49"/>
      <c r="C5012" s="384">
        <v>45947.0</v>
      </c>
      <c r="D5012" s="65">
        <v>7498.0</v>
      </c>
      <c r="E5012" s="445" t="s">
        <v>1009</v>
      </c>
      <c r="F5012" s="386">
        <v>2.0</v>
      </c>
      <c r="G5012" s="74">
        <v>700000.0</v>
      </c>
      <c r="H5012" s="74">
        <v>0.0</v>
      </c>
      <c r="I5012" s="74">
        <f t="shared" si="1"/>
        <v>1400000</v>
      </c>
      <c r="J5012" s="74">
        <f>IF(E5012="SERVICE",I5012-(I5012*50%),Vlookup(E5012,DATABASE!C:Q,10,false)*F5012)</f>
        <v>0</v>
      </c>
      <c r="K5012" s="74">
        <f>VLOOKUP(E5012,DATABASE!C:Q,7,false)</f>
        <v>609800</v>
      </c>
      <c r="L5012" s="74">
        <v>592200.0</v>
      </c>
      <c r="M5012" s="74">
        <f t="shared" si="2"/>
        <v>595000</v>
      </c>
      <c r="N5012" s="74">
        <f t="shared" si="3"/>
        <v>210000</v>
      </c>
      <c r="O5012" s="65" t="str">
        <f>VLOOKUP(E5012,DATABASE!C:Q,8,false)</f>
        <v>BIAN</v>
      </c>
      <c r="P5012" s="65">
        <f>VLOOKUP(E5012,DATABASE!C:Q,9,False)</f>
        <v>1</v>
      </c>
      <c r="Q5012" s="93" t="str">
        <f>VLOOKUP(E5012,DATABASE!C:Q,4,false)</f>
        <v>GT</v>
      </c>
      <c r="R5012" s="93" t="str">
        <f>VLOOKUP(E5012,DATABASE!C:Q,11,false)</f>
        <v>Tire</v>
      </c>
    </row>
    <row r="5013" ht="22.5" customHeight="1">
      <c r="A5013" s="49"/>
      <c r="C5013" s="384">
        <v>45947.0</v>
      </c>
      <c r="D5013" s="65">
        <v>7500.0</v>
      </c>
      <c r="E5013" s="445" t="s">
        <v>275</v>
      </c>
      <c r="F5013" s="386">
        <v>2.0</v>
      </c>
      <c r="G5013" s="74">
        <v>850000.0</v>
      </c>
      <c r="H5013" s="74">
        <v>0.0</v>
      </c>
      <c r="I5013" s="74">
        <f t="shared" si="1"/>
        <v>1700000</v>
      </c>
      <c r="J5013" s="74">
        <f>IF(E5013="SERVICE",I5013-(I5013*50%),Vlookup(E5013,DATABASE!C:Q,10,false)*F5013)</f>
        <v>0</v>
      </c>
      <c r="K5013" s="74">
        <f>VLOOKUP(E5013,DATABASE!C:Q,7,false)</f>
        <v>782000</v>
      </c>
      <c r="L5013" s="74">
        <v>745000.0</v>
      </c>
      <c r="M5013" s="74">
        <f t="shared" si="2"/>
        <v>745000</v>
      </c>
      <c r="N5013" s="74">
        <f t="shared" si="3"/>
        <v>210000</v>
      </c>
      <c r="O5013" s="65" t="str">
        <f>VLOOKUP(E5013,DATABASE!C:Q,8,false)</f>
        <v>IBU</v>
      </c>
      <c r="P5013" s="65">
        <f>VLOOKUP(E5013,DATABASE!C:Q,9,False)</f>
        <v>1</v>
      </c>
      <c r="Q5013" s="93" t="str">
        <f>VLOOKUP(E5013,DATABASE!C:Q,4,false)</f>
        <v>Dunlop</v>
      </c>
      <c r="R5013" s="93" t="str">
        <f>VLOOKUP(E5013,DATABASE!C:Q,11,false)</f>
        <v>Tire</v>
      </c>
    </row>
    <row r="5014" ht="22.5" customHeight="1">
      <c r="A5014" s="49"/>
      <c r="C5014" s="384">
        <v>45947.0</v>
      </c>
      <c r="D5014" s="65">
        <v>7501.0</v>
      </c>
      <c r="E5014" s="445" t="s">
        <v>781</v>
      </c>
      <c r="F5014" s="386">
        <v>1.0</v>
      </c>
      <c r="G5014" s="74">
        <v>530000.0</v>
      </c>
      <c r="H5014" s="74">
        <v>0.0</v>
      </c>
      <c r="I5014" s="74">
        <f t="shared" si="1"/>
        <v>530000</v>
      </c>
      <c r="J5014" s="74">
        <f>IF(E5014="SERVICE",I5014-(I5014*50%),Vlookup(E5014,DATABASE!C:Q,10,false)*F5014)</f>
        <v>0</v>
      </c>
      <c r="K5014" s="74">
        <f>VLOOKUP(E5014,DATABASE!C:Q,7,false)</f>
        <v>470000</v>
      </c>
      <c r="L5014" s="74">
        <v>442500.0</v>
      </c>
      <c r="M5014" s="74">
        <f t="shared" si="2"/>
        <v>445000</v>
      </c>
      <c r="N5014" s="74">
        <f t="shared" si="3"/>
        <v>85000</v>
      </c>
      <c r="O5014" s="65" t="str">
        <f>VLOOKUP(E5014,DATABASE!C:Q,8,false)</f>
        <v>BIAN</v>
      </c>
      <c r="P5014" s="65">
        <f>VLOOKUP(E5014,DATABASE!C:Q,9,False)</f>
        <v>1</v>
      </c>
      <c r="Q5014" s="93" t="str">
        <f>VLOOKUP(E5014,DATABASE!C:Q,4,false)</f>
        <v>GT</v>
      </c>
      <c r="R5014" s="93" t="str">
        <f>VLOOKUP(E5014,DATABASE!C:Q,11,false)</f>
        <v>Tire</v>
      </c>
    </row>
    <row r="5015" ht="22.5" customHeight="1">
      <c r="A5015" s="49"/>
      <c r="C5015" s="384">
        <v>45947.0</v>
      </c>
      <c r="D5015" s="65">
        <v>7502.0</v>
      </c>
      <c r="E5015" s="445" t="s">
        <v>403</v>
      </c>
      <c r="F5015" s="386">
        <v>2.0</v>
      </c>
      <c r="G5015" s="74">
        <v>2260000.0</v>
      </c>
      <c r="H5015" s="74">
        <v>0.0</v>
      </c>
      <c r="I5015" s="74">
        <f t="shared" si="1"/>
        <v>4520000</v>
      </c>
      <c r="J5015" s="74">
        <f>IF(E5015="SERVICE",I5015-(I5015*50%),Vlookup(E5015,DATABASE!C:Q,10,false)*F5015)</f>
        <v>0</v>
      </c>
      <c r="K5015" s="74">
        <f>VLOOKUP(E5015,DATABASE!C:Q,7,false)</f>
        <v>2160000</v>
      </c>
      <c r="L5015" s="74">
        <v>2160000.0</v>
      </c>
      <c r="M5015" s="74">
        <f t="shared" si="2"/>
        <v>2160000</v>
      </c>
      <c r="N5015" s="74">
        <f t="shared" si="3"/>
        <v>200000</v>
      </c>
      <c r="O5015" s="65" t="str">
        <f>VLOOKUP(E5015,DATABASE!C:Q,8,false)</f>
        <v>BIAN</v>
      </c>
      <c r="P5015" s="65">
        <f>VLOOKUP(E5015,DATABASE!C:Q,9,False)</f>
        <v>1</v>
      </c>
      <c r="Q5015" s="93" t="str">
        <f>VLOOKUP(E5015,DATABASE!C:Q,4,false)</f>
        <v>Advance</v>
      </c>
      <c r="R5015" s="93" t="str">
        <f>VLOOKUP(E5015,DATABASE!C:Q,11,false)</f>
        <v>Tire</v>
      </c>
    </row>
    <row r="5016" ht="22.5" customHeight="1">
      <c r="A5016" s="49"/>
      <c r="C5016" s="384">
        <v>45947.0</v>
      </c>
      <c r="D5016" s="65">
        <v>7503.0</v>
      </c>
      <c r="E5016" s="445" t="s">
        <v>627</v>
      </c>
      <c r="F5016" s="386">
        <v>2.0</v>
      </c>
      <c r="G5016" s="74">
        <v>940000.0</v>
      </c>
      <c r="H5016" s="74">
        <v>0.0</v>
      </c>
      <c r="I5016" s="74">
        <f t="shared" si="1"/>
        <v>1880000</v>
      </c>
      <c r="J5016" s="74">
        <f>IF(E5016="SERVICE",I5016-(I5016*50%),Vlookup(E5016,DATABASE!C:Q,10,false)*F5016)</f>
        <v>0</v>
      </c>
      <c r="K5016" s="74">
        <f>VLOOKUP(E5016,DATABASE!C:Q,7,false)</f>
        <v>879567</v>
      </c>
      <c r="L5016" s="74">
        <v>884979.0</v>
      </c>
      <c r="M5016" s="74">
        <f t="shared" si="2"/>
        <v>885000</v>
      </c>
      <c r="N5016" s="74">
        <f t="shared" si="3"/>
        <v>110000</v>
      </c>
      <c r="O5016" s="65" t="str">
        <f>VLOOKUP(E5016,DATABASE!C:Q,8,false)</f>
        <v>IBU</v>
      </c>
      <c r="P5016" s="65">
        <f>VLOOKUP(E5016,DATABASE!C:Q,9,False)</f>
        <v>1</v>
      </c>
      <c r="Q5016" s="93" t="str">
        <f>VLOOKUP(E5016,DATABASE!C:Q,4,false)</f>
        <v>Bridgestone</v>
      </c>
      <c r="R5016" s="93" t="str">
        <f>VLOOKUP(E5016,DATABASE!C:Q,11,false)</f>
        <v>Tire</v>
      </c>
    </row>
    <row r="5017" ht="22.5" customHeight="1">
      <c r="A5017" s="49"/>
      <c r="C5017" s="384">
        <v>45947.0</v>
      </c>
      <c r="D5017" s="65">
        <v>7503.0</v>
      </c>
      <c r="E5017" s="445" t="s">
        <v>256</v>
      </c>
      <c r="F5017" s="386">
        <v>1.0</v>
      </c>
      <c r="G5017" s="74">
        <v>130000.0</v>
      </c>
      <c r="H5017" s="74">
        <v>0.0</v>
      </c>
      <c r="I5017" s="74">
        <f t="shared" si="1"/>
        <v>130000</v>
      </c>
      <c r="J5017" s="74">
        <f>IF(E5017="SERVICE",I5017-(I5017*50%),Vlookup(E5017,DATABASE!C:Q,10,false)*F5017)</f>
        <v>10000</v>
      </c>
      <c r="K5017" s="74">
        <f>VLOOKUP(E5017,DATABASE!C:Q,7,false)</f>
        <v>0</v>
      </c>
      <c r="L5017" s="74">
        <v>0.0</v>
      </c>
      <c r="M5017" s="74">
        <f t="shared" si="2"/>
        <v>0</v>
      </c>
      <c r="N5017" s="74">
        <f t="shared" si="3"/>
        <v>120000</v>
      </c>
      <c r="O5017" s="65" t="str">
        <f>VLOOKUP(E5017,DATABASE!C:Q,8,false)</f>
        <v>IBU</v>
      </c>
      <c r="P5017" s="65">
        <f>VLOOKUP(E5017,DATABASE!C:Q,9,False)</f>
        <v>0</v>
      </c>
      <c r="Q5017" s="93" t="str">
        <f>VLOOKUP(E5017,DATABASE!C:Q,4,false)</f>
        <v>SPOORING</v>
      </c>
      <c r="R5017" s="93" t="str">
        <f>VLOOKUP(E5017,DATABASE!C:Q,11,false)</f>
        <v>SERVICE</v>
      </c>
    </row>
    <row r="5018" ht="22.5" customHeight="1">
      <c r="A5018" s="49"/>
      <c r="C5018" s="384">
        <v>45947.0</v>
      </c>
      <c r="D5018" s="65">
        <v>7503.0</v>
      </c>
      <c r="E5018" s="445" t="s">
        <v>251</v>
      </c>
      <c r="F5018" s="386">
        <v>1.0</v>
      </c>
      <c r="G5018" s="74">
        <v>150000.0</v>
      </c>
      <c r="H5018" s="74">
        <v>0.0</v>
      </c>
      <c r="I5018" s="74">
        <f t="shared" si="1"/>
        <v>150000</v>
      </c>
      <c r="J5018" s="74">
        <f>IF(E5018="SERVICE",I5018-(I5018*50%),Vlookup(E5018,DATABASE!C:Q,10,false)*F5018)</f>
        <v>75000</v>
      </c>
      <c r="K5018" s="74">
        <f>VLOOKUP(E5018,DATABASE!C:Q,7,false)</f>
        <v>0</v>
      </c>
      <c r="L5018" s="74">
        <v>0.0</v>
      </c>
      <c r="M5018" s="74">
        <f t="shared" si="2"/>
        <v>0</v>
      </c>
      <c r="N5018" s="74">
        <f t="shared" si="3"/>
        <v>75000</v>
      </c>
      <c r="O5018" s="65" t="str">
        <f>VLOOKUP(E5018,DATABASE!C:Q,8,false)</f>
        <v>IBU</v>
      </c>
      <c r="P5018" s="65">
        <f>VLOOKUP(E5018,DATABASE!C:Q,9,False)</f>
        <v>0</v>
      </c>
      <c r="Q5018" s="93" t="str">
        <f>VLOOKUP(E5018,DATABASE!C:Q,4,false)</f>
        <v>SERVICE</v>
      </c>
      <c r="R5018" s="93" t="str">
        <f>VLOOKUP(E5018,DATABASE!C:Q,11,false)</f>
        <v>SERVICE</v>
      </c>
    </row>
    <row r="5019" ht="22.5" customHeight="1">
      <c r="A5019" s="49"/>
      <c r="C5019" s="384">
        <v>45947.0</v>
      </c>
      <c r="D5019" s="65">
        <v>7504.0</v>
      </c>
      <c r="E5019" s="445" t="s">
        <v>1862</v>
      </c>
      <c r="F5019" s="386">
        <v>2.0</v>
      </c>
      <c r="G5019" s="74">
        <v>2150000.0</v>
      </c>
      <c r="H5019" s="74">
        <v>0.0</v>
      </c>
      <c r="I5019" s="74">
        <f t="shared" si="1"/>
        <v>4300000</v>
      </c>
      <c r="J5019" s="74">
        <f>IF(E5019="SERVICE",I5019-(I5019*50%),Vlookup(E5019,DATABASE!C:Q,10,false)*F5019)</f>
        <v>0</v>
      </c>
      <c r="K5019" s="74">
        <f>VLOOKUP(E5019,DATABASE!C:Q,7,false)</f>
        <v>2080000</v>
      </c>
      <c r="L5019" s="74">
        <v>2050000.0</v>
      </c>
      <c r="M5019" s="74">
        <f t="shared" si="2"/>
        <v>2050000</v>
      </c>
      <c r="N5019" s="74">
        <f t="shared" si="3"/>
        <v>200000</v>
      </c>
      <c r="O5019" s="65" t="str">
        <f>VLOOKUP(E5019,DATABASE!C:Q,8,false)</f>
        <v>BIAN</v>
      </c>
      <c r="P5019" s="65">
        <f>VLOOKUP(E5019,DATABASE!C:Q,9,False)</f>
        <v>1</v>
      </c>
      <c r="Q5019" s="93" t="str">
        <f>VLOOKUP(E5019,DATABASE!C:Q,4,false)</f>
        <v>GiTi</v>
      </c>
      <c r="R5019" s="93" t="str">
        <f>VLOOKUP(E5019,DATABASE!C:Q,11,false)</f>
        <v>Tire</v>
      </c>
    </row>
    <row r="5020" ht="22.5" customHeight="1">
      <c r="A5020" s="49"/>
      <c r="C5020" s="384">
        <v>45947.0</v>
      </c>
      <c r="D5020" s="65">
        <v>7504.0</v>
      </c>
      <c r="E5020" s="445" t="s">
        <v>937</v>
      </c>
      <c r="F5020" s="386">
        <v>1.0</v>
      </c>
      <c r="G5020" s="74">
        <v>880000.0</v>
      </c>
      <c r="H5020" s="74">
        <v>0.0</v>
      </c>
      <c r="I5020" s="74">
        <f t="shared" si="1"/>
        <v>880000</v>
      </c>
      <c r="J5020" s="74">
        <f>IF(E5020="SERVICE",I5020-(I5020*50%),Vlookup(E5020,DATABASE!C:Q,10,false)*F5020)</f>
        <v>0</v>
      </c>
      <c r="K5020" s="74">
        <f>VLOOKUP(E5020,DATABASE!C:Q,7,false)</f>
        <v>825000</v>
      </c>
      <c r="L5020" s="74">
        <v>790000.0</v>
      </c>
      <c r="M5020" s="74">
        <f t="shared" si="2"/>
        <v>790000</v>
      </c>
      <c r="N5020" s="74">
        <f t="shared" si="3"/>
        <v>90000</v>
      </c>
      <c r="O5020" s="65" t="str">
        <f>VLOOKUP(E5020,DATABASE!C:Q,8,false)</f>
        <v>IBU</v>
      </c>
      <c r="P5020" s="65">
        <f>VLOOKUP(E5020,DATABASE!C:Q,9,False)</f>
        <v>1</v>
      </c>
      <c r="Q5020" s="93" t="str">
        <f>VLOOKUP(E5020,DATABASE!C:Q,4,false)</f>
        <v>Bridgestone</v>
      </c>
      <c r="R5020" s="93" t="str">
        <f>VLOOKUP(E5020,DATABASE!C:Q,11,false)</f>
        <v>Tire</v>
      </c>
    </row>
    <row r="5021" ht="22.5" customHeight="1">
      <c r="A5021" s="49"/>
      <c r="C5021" s="384">
        <v>45947.0</v>
      </c>
      <c r="D5021" s="65">
        <v>7505.0</v>
      </c>
      <c r="E5021" s="445" t="s">
        <v>604</v>
      </c>
      <c r="F5021" s="386">
        <v>1.0</v>
      </c>
      <c r="G5021" s="74">
        <v>160000.0</v>
      </c>
      <c r="H5021" s="74">
        <v>0.0</v>
      </c>
      <c r="I5021" s="74">
        <f t="shared" si="1"/>
        <v>160000</v>
      </c>
      <c r="J5021" s="74">
        <f>IF(E5021="SERVICE",I5021-(I5021*50%),Vlookup(E5021,DATABASE!C:Q,10,false)*F5021)</f>
        <v>0</v>
      </c>
      <c r="K5021" s="74">
        <f>VLOOKUP(E5021,DATABASE!C:Q,7,false)</f>
        <v>124000</v>
      </c>
      <c r="L5021" s="74">
        <v>124000.0</v>
      </c>
      <c r="M5021" s="74">
        <f t="shared" si="2"/>
        <v>125000</v>
      </c>
      <c r="N5021" s="74">
        <f t="shared" si="3"/>
        <v>35000</v>
      </c>
      <c r="O5021" s="65" t="str">
        <f>VLOOKUP(E5021,DATABASE!C:Q,8,false)</f>
        <v>BIAN</v>
      </c>
      <c r="P5021" s="65">
        <f>VLOOKUP(E5021,DATABASE!C:Q,9,False)</f>
        <v>1</v>
      </c>
      <c r="Q5021" s="93" t="str">
        <f>VLOOKUP(E5021,DATABASE!C:Q,4,false)</f>
        <v>BD</v>
      </c>
      <c r="R5021" s="93" t="str">
        <f>VLOOKUP(E5021,DATABASE!C:Q,11,false)</f>
        <v>Tire</v>
      </c>
    </row>
    <row r="5022" ht="22.5" customHeight="1">
      <c r="A5022" s="49"/>
      <c r="C5022" s="384">
        <v>45947.0</v>
      </c>
      <c r="D5022" s="65">
        <v>7506.0</v>
      </c>
      <c r="E5022" s="445" t="s">
        <v>256</v>
      </c>
      <c r="F5022" s="386">
        <v>1.0</v>
      </c>
      <c r="G5022" s="74">
        <v>130000.0</v>
      </c>
      <c r="H5022" s="74">
        <v>0.0</v>
      </c>
      <c r="I5022" s="74">
        <f t="shared" si="1"/>
        <v>130000</v>
      </c>
      <c r="J5022" s="74">
        <f>IF(E5022="SERVICE",I5022-(I5022*50%),Vlookup(E5022,DATABASE!C:Q,10,false)*F5022)</f>
        <v>10000</v>
      </c>
      <c r="K5022" s="74">
        <f>VLOOKUP(E5022,DATABASE!C:Q,7,false)</f>
        <v>0</v>
      </c>
      <c r="L5022" s="74">
        <v>0.0</v>
      </c>
      <c r="M5022" s="74">
        <f t="shared" si="2"/>
        <v>0</v>
      </c>
      <c r="N5022" s="74">
        <f t="shared" si="3"/>
        <v>120000</v>
      </c>
      <c r="O5022" s="65" t="str">
        <f>VLOOKUP(E5022,DATABASE!C:Q,8,false)</f>
        <v>IBU</v>
      </c>
      <c r="P5022" s="65">
        <f>VLOOKUP(E5022,DATABASE!C:Q,9,False)</f>
        <v>0</v>
      </c>
      <c r="Q5022" s="93" t="str">
        <f>VLOOKUP(E5022,DATABASE!C:Q,4,false)</f>
        <v>SPOORING</v>
      </c>
      <c r="R5022" s="93" t="str">
        <f>VLOOKUP(E5022,DATABASE!C:Q,11,false)</f>
        <v>SERVICE</v>
      </c>
    </row>
    <row r="5023" ht="22.5" customHeight="1">
      <c r="A5023" s="49"/>
      <c r="C5023" s="384">
        <v>45947.0</v>
      </c>
      <c r="D5023" s="65">
        <v>7506.0</v>
      </c>
      <c r="E5023" s="445" t="s">
        <v>301</v>
      </c>
      <c r="F5023" s="386">
        <v>1.0</v>
      </c>
      <c r="G5023" s="74">
        <v>250000.0</v>
      </c>
      <c r="H5023" s="74">
        <v>0.0</v>
      </c>
      <c r="I5023" s="74">
        <f t="shared" si="1"/>
        <v>250000</v>
      </c>
      <c r="J5023" s="74">
        <f>IF(E5023="SERVICE",I5023-(I5023*50%),Vlookup(E5023,DATABASE!C:Q,10,false)*F5023)</f>
        <v>75000</v>
      </c>
      <c r="K5023" s="74">
        <f>VLOOKUP(E5023,DATABASE!C:Q,7,false)</f>
        <v>75000</v>
      </c>
      <c r="L5023" s="74">
        <v>75000.0</v>
      </c>
      <c r="M5023" s="74">
        <f t="shared" si="2"/>
        <v>75000</v>
      </c>
      <c r="N5023" s="74">
        <f t="shared" si="3"/>
        <v>100000</v>
      </c>
      <c r="O5023" s="65" t="str">
        <f>VLOOKUP(E5023,DATABASE!C:Q,8,false)</f>
        <v>BIAN</v>
      </c>
      <c r="P5023" s="65">
        <f>VLOOKUP(E5023,DATABASE!C:Q,9,False)</f>
        <v>0</v>
      </c>
      <c r="Q5023" s="93" t="str">
        <f>VLOOKUP(E5023,DATABASE!C:Q,4,false)</f>
        <v>Baut Camber</v>
      </c>
      <c r="R5023" s="93" t="str">
        <f>VLOOKUP(E5023,DATABASE!C:Q,11,false)</f>
        <v>COMPLEMENTARY</v>
      </c>
    </row>
    <row r="5024" ht="22.5" customHeight="1">
      <c r="A5024" s="49"/>
      <c r="C5024" s="384">
        <v>45947.0</v>
      </c>
      <c r="D5024" s="65">
        <v>7507.0</v>
      </c>
      <c r="E5024" s="445" t="s">
        <v>1530</v>
      </c>
      <c r="F5024" s="386">
        <v>2.0</v>
      </c>
      <c r="G5024" s="74">
        <v>560000.0</v>
      </c>
      <c r="H5024" s="74">
        <v>0.0</v>
      </c>
      <c r="I5024" s="74">
        <f t="shared" si="1"/>
        <v>1120000</v>
      </c>
      <c r="J5024" s="74">
        <f>IF(E5024="SERVICE",I5024-(I5024*50%),Vlookup(E5024,DATABASE!C:Q,10,false)*F5024)</f>
        <v>0</v>
      </c>
      <c r="K5024" s="74">
        <f>VLOOKUP(E5024,DATABASE!C:Q,7,false)</f>
        <v>467000</v>
      </c>
      <c r="L5024" s="74">
        <v>454000.0</v>
      </c>
      <c r="M5024" s="74">
        <f t="shared" si="2"/>
        <v>455000</v>
      </c>
      <c r="N5024" s="74">
        <f t="shared" si="3"/>
        <v>210000</v>
      </c>
      <c r="O5024" s="65" t="str">
        <f>VLOOKUP(E5024,DATABASE!C:Q,8,false)</f>
        <v>BIAN</v>
      </c>
      <c r="P5024" s="65">
        <f>VLOOKUP(E5024,DATABASE!C:Q,9,False)</f>
        <v>1</v>
      </c>
      <c r="Q5024" s="93" t="str">
        <f>VLOOKUP(E5024,DATABASE!C:Q,4,false)</f>
        <v>Laufen</v>
      </c>
      <c r="R5024" s="93" t="str">
        <f>VLOOKUP(E5024,DATABASE!C:Q,11,false)</f>
        <v>Tire</v>
      </c>
    </row>
    <row r="5025" ht="22.5" customHeight="1">
      <c r="A5025" s="49"/>
      <c r="C5025" s="384">
        <v>45947.0</v>
      </c>
      <c r="D5025" s="65">
        <v>7509.0</v>
      </c>
      <c r="E5025" s="445" t="s">
        <v>294</v>
      </c>
      <c r="F5025" s="386">
        <v>1.0</v>
      </c>
      <c r="G5025" s="74">
        <v>570000.0</v>
      </c>
      <c r="H5025" s="74">
        <v>0.0</v>
      </c>
      <c r="I5025" s="74">
        <f t="shared" si="1"/>
        <v>570000</v>
      </c>
      <c r="J5025" s="74">
        <f>IF(E5025="SERVICE",I5025-(I5025*50%),Vlookup(E5025,DATABASE!C:Q,10,false)*F5025)</f>
        <v>0</v>
      </c>
      <c r="K5025" s="74">
        <f>VLOOKUP(E5025,DATABASE!C:Q,7,false)</f>
        <v>505000</v>
      </c>
      <c r="L5025" s="74">
        <v>490000.0</v>
      </c>
      <c r="M5025" s="74">
        <f t="shared" si="2"/>
        <v>490000</v>
      </c>
      <c r="N5025" s="74">
        <f t="shared" si="3"/>
        <v>80000</v>
      </c>
      <c r="O5025" s="65" t="str">
        <f>VLOOKUP(E5025,DATABASE!C:Q,8,false)</f>
        <v>BIAN</v>
      </c>
      <c r="P5025" s="65">
        <f>VLOOKUP(E5025,DATABASE!C:Q,9,False)</f>
        <v>1</v>
      </c>
      <c r="Q5025" s="93" t="str">
        <f>VLOOKUP(E5025,DATABASE!C:Q,4,false)</f>
        <v>GT</v>
      </c>
      <c r="R5025" s="93" t="str">
        <f>VLOOKUP(E5025,DATABASE!C:Q,11,false)</f>
        <v>Tire</v>
      </c>
    </row>
    <row r="5026" ht="22.5" customHeight="1">
      <c r="A5026" s="49"/>
      <c r="C5026" s="384">
        <v>45947.0</v>
      </c>
      <c r="D5026" s="65">
        <v>7509.0</v>
      </c>
      <c r="E5026" s="445" t="s">
        <v>569</v>
      </c>
      <c r="F5026" s="386">
        <v>1.0</v>
      </c>
      <c r="G5026" s="74">
        <v>80000.0</v>
      </c>
      <c r="H5026" s="74">
        <v>0.0</v>
      </c>
      <c r="I5026" s="74">
        <f t="shared" si="1"/>
        <v>80000</v>
      </c>
      <c r="J5026" s="74">
        <f>IF(E5026="SERVICE",I5026-(I5026*50%),Vlookup(E5026,DATABASE!C:Q,10,false)*F5026)</f>
        <v>0</v>
      </c>
      <c r="K5026" s="74">
        <f>VLOOKUP(E5026,DATABASE!C:Q,7,false)</f>
        <v>45439.582</v>
      </c>
      <c r="L5026" s="74">
        <v>45309.6</v>
      </c>
      <c r="M5026" s="74">
        <f t="shared" si="2"/>
        <v>50000</v>
      </c>
      <c r="N5026" s="74">
        <f t="shared" si="3"/>
        <v>30000</v>
      </c>
      <c r="O5026" s="65" t="str">
        <f>VLOOKUP(E5026,DATABASE!C:Q,8,false)</f>
        <v>BIAN</v>
      </c>
      <c r="P5026" s="65">
        <f>VLOOKUP(E5026,DATABASE!C:Q,9,False)</f>
        <v>1</v>
      </c>
      <c r="Q5026" s="93" t="str">
        <f>VLOOKUP(E5026,DATABASE!C:Q,4,false)</f>
        <v>BD</v>
      </c>
      <c r="R5026" s="93" t="str">
        <f>VLOOKUP(E5026,DATABASE!C:Q,11,false)</f>
        <v>Tire</v>
      </c>
    </row>
    <row r="5027" ht="22.5" customHeight="1">
      <c r="A5027" s="49"/>
      <c r="C5027" s="384">
        <v>45947.0</v>
      </c>
      <c r="D5027" s="65">
        <v>7510.0</v>
      </c>
      <c r="E5027" s="445" t="s">
        <v>1430</v>
      </c>
      <c r="F5027" s="386">
        <v>2.0</v>
      </c>
      <c r="G5027" s="74">
        <v>750000.0</v>
      </c>
      <c r="H5027" s="74">
        <v>0.0</v>
      </c>
      <c r="I5027" s="74">
        <f t="shared" si="1"/>
        <v>1500000</v>
      </c>
      <c r="J5027" s="74">
        <f>IF(E5027="SERVICE",I5027-(I5027*50%),Vlookup(E5027,DATABASE!C:Q,10,false)*F5027)</f>
        <v>0</v>
      </c>
      <c r="K5027" s="74">
        <f>VLOOKUP(E5027,DATABASE!C:Q,7,false)</f>
        <v>672800</v>
      </c>
      <c r="L5027" s="74">
        <v>659610.0</v>
      </c>
      <c r="M5027" s="74">
        <f t="shared" si="2"/>
        <v>660000</v>
      </c>
      <c r="N5027" s="74">
        <f t="shared" si="3"/>
        <v>180000</v>
      </c>
      <c r="O5027" s="65" t="str">
        <f>VLOOKUP(E5027,DATABASE!C:Q,8,false)</f>
        <v>BIAN</v>
      </c>
      <c r="P5027" s="65">
        <f>VLOOKUP(E5027,DATABASE!C:Q,9,False)</f>
        <v>1</v>
      </c>
      <c r="Q5027" s="93" t="str">
        <f>VLOOKUP(E5027,DATABASE!C:Q,4,false)</f>
        <v>GT</v>
      </c>
      <c r="R5027" s="93" t="str">
        <f>VLOOKUP(E5027,DATABASE!C:Q,11,false)</f>
        <v>Tire</v>
      </c>
    </row>
    <row r="5028" ht="22.5" customHeight="1">
      <c r="A5028" s="49"/>
      <c r="C5028" s="384">
        <v>45947.0</v>
      </c>
      <c r="D5028" s="65">
        <v>7511.0</v>
      </c>
      <c r="E5028" s="445" t="s">
        <v>930</v>
      </c>
      <c r="F5028" s="386">
        <v>2.0</v>
      </c>
      <c r="G5028" s="74">
        <v>750000.0</v>
      </c>
      <c r="H5028" s="74">
        <v>0.0</v>
      </c>
      <c r="I5028" s="74">
        <f t="shared" si="1"/>
        <v>1500000</v>
      </c>
      <c r="J5028" s="74">
        <f>IF(E5028="SERVICE",I5028-(I5028*50%),Vlookup(E5028,DATABASE!C:Q,10,false)*F5028)</f>
        <v>0</v>
      </c>
      <c r="K5028" s="74">
        <f>VLOOKUP(E5028,DATABASE!C:Q,7,false)</f>
        <v>634099.2</v>
      </c>
      <c r="L5028" s="74">
        <v>634099.2</v>
      </c>
      <c r="M5028" s="74">
        <f t="shared" si="2"/>
        <v>635000</v>
      </c>
      <c r="N5028" s="74">
        <f t="shared" si="3"/>
        <v>230000</v>
      </c>
      <c r="O5028" s="65" t="str">
        <f>VLOOKUP(E5028,DATABASE!C:Q,8,false)</f>
        <v>IBU</v>
      </c>
      <c r="P5028" s="65">
        <f>VLOOKUP(E5028,DATABASE!C:Q,9,False)</f>
        <v>1</v>
      </c>
      <c r="Q5028" s="93" t="str">
        <f>VLOOKUP(E5028,DATABASE!C:Q,4,false)</f>
        <v>Bridgestone</v>
      </c>
      <c r="R5028" s="93" t="str">
        <f>VLOOKUP(E5028,DATABASE!C:Q,11,false)</f>
        <v>Tire</v>
      </c>
    </row>
    <row r="5029" ht="22.5" customHeight="1">
      <c r="A5029" s="49"/>
      <c r="C5029" s="384">
        <v>45947.0</v>
      </c>
      <c r="D5029" s="65">
        <v>7512.0</v>
      </c>
      <c r="E5029" s="445" t="s">
        <v>256</v>
      </c>
      <c r="F5029" s="386">
        <v>1.0</v>
      </c>
      <c r="G5029" s="74">
        <v>130000.0</v>
      </c>
      <c r="H5029" s="74">
        <v>0.0</v>
      </c>
      <c r="I5029" s="74">
        <f t="shared" si="1"/>
        <v>130000</v>
      </c>
      <c r="J5029" s="74">
        <f>IF(E5029="SERVICE",I5029-(I5029*50%),Vlookup(E5029,DATABASE!C:Q,10,false)*F5029)</f>
        <v>10000</v>
      </c>
      <c r="K5029" s="74">
        <f>VLOOKUP(E5029,DATABASE!C:Q,7,false)</f>
        <v>0</v>
      </c>
      <c r="L5029" s="74">
        <v>0.0</v>
      </c>
      <c r="M5029" s="74">
        <f t="shared" si="2"/>
        <v>0</v>
      </c>
      <c r="N5029" s="74">
        <f t="shared" si="3"/>
        <v>120000</v>
      </c>
      <c r="O5029" s="65" t="str">
        <f>VLOOKUP(E5029,DATABASE!C:Q,8,false)</f>
        <v>IBU</v>
      </c>
      <c r="P5029" s="65">
        <f>VLOOKUP(E5029,DATABASE!C:Q,9,False)</f>
        <v>0</v>
      </c>
      <c r="Q5029" s="93" t="str">
        <f>VLOOKUP(E5029,DATABASE!C:Q,4,false)</f>
        <v>SPOORING</v>
      </c>
      <c r="R5029" s="93" t="str">
        <f>VLOOKUP(E5029,DATABASE!C:Q,11,false)</f>
        <v>SERVICE</v>
      </c>
    </row>
    <row r="5030" ht="22.5" customHeight="1">
      <c r="A5030" s="49"/>
      <c r="C5030" s="384">
        <v>45947.0</v>
      </c>
      <c r="D5030" s="65">
        <v>7512.0</v>
      </c>
      <c r="E5030" s="445" t="s">
        <v>301</v>
      </c>
      <c r="F5030" s="386">
        <v>1.0</v>
      </c>
      <c r="G5030" s="74">
        <v>250000.0</v>
      </c>
      <c r="H5030" s="74">
        <v>0.0</v>
      </c>
      <c r="I5030" s="74">
        <f t="shared" si="1"/>
        <v>250000</v>
      </c>
      <c r="J5030" s="74">
        <f>IF(E5030="SERVICE",I5030-(I5030*50%),Vlookup(E5030,DATABASE!C:Q,10,false)*F5030)</f>
        <v>75000</v>
      </c>
      <c r="K5030" s="74">
        <f>VLOOKUP(E5030,DATABASE!C:Q,7,false)</f>
        <v>75000</v>
      </c>
      <c r="L5030" s="74">
        <v>75000.0</v>
      </c>
      <c r="M5030" s="74">
        <f t="shared" si="2"/>
        <v>75000</v>
      </c>
      <c r="N5030" s="74">
        <f t="shared" si="3"/>
        <v>100000</v>
      </c>
      <c r="O5030" s="65" t="str">
        <f>VLOOKUP(E5030,DATABASE!C:Q,8,false)</f>
        <v>BIAN</v>
      </c>
      <c r="P5030" s="65">
        <f>VLOOKUP(E5030,DATABASE!C:Q,9,False)</f>
        <v>0</v>
      </c>
      <c r="Q5030" s="93" t="str">
        <f>VLOOKUP(E5030,DATABASE!C:Q,4,false)</f>
        <v>Baut Camber</v>
      </c>
      <c r="R5030" s="93" t="str">
        <f>VLOOKUP(E5030,DATABASE!C:Q,11,false)</f>
        <v>COMPLEMENTARY</v>
      </c>
    </row>
    <row r="5031" ht="22.5" customHeight="1">
      <c r="A5031" s="49"/>
      <c r="C5031" s="384">
        <v>45947.0</v>
      </c>
      <c r="D5031" s="65">
        <v>7513.0</v>
      </c>
      <c r="E5031" s="445" t="s">
        <v>569</v>
      </c>
      <c r="F5031" s="386">
        <v>1.0</v>
      </c>
      <c r="G5031" s="74">
        <v>80000.0</v>
      </c>
      <c r="H5031" s="74">
        <v>0.0</v>
      </c>
      <c r="I5031" s="74">
        <f t="shared" si="1"/>
        <v>80000</v>
      </c>
      <c r="J5031" s="74">
        <f>IF(E5031="SERVICE",I5031-(I5031*50%),Vlookup(E5031,DATABASE!C:Q,10,false)*F5031)</f>
        <v>0</v>
      </c>
      <c r="K5031" s="74">
        <f>VLOOKUP(E5031,DATABASE!C:Q,7,false)</f>
        <v>45439.582</v>
      </c>
      <c r="L5031" s="74">
        <v>45309.6</v>
      </c>
      <c r="M5031" s="74">
        <f t="shared" si="2"/>
        <v>50000</v>
      </c>
      <c r="N5031" s="74">
        <f t="shared" si="3"/>
        <v>30000</v>
      </c>
      <c r="O5031" s="65" t="str">
        <f>VLOOKUP(E5031,DATABASE!C:Q,8,false)</f>
        <v>BIAN</v>
      </c>
      <c r="P5031" s="65">
        <f>VLOOKUP(E5031,DATABASE!C:Q,9,False)</f>
        <v>1</v>
      </c>
      <c r="Q5031" s="93" t="str">
        <f>VLOOKUP(E5031,DATABASE!C:Q,4,false)</f>
        <v>BD</v>
      </c>
      <c r="R5031" s="93" t="str">
        <f>VLOOKUP(E5031,DATABASE!C:Q,11,false)</f>
        <v>Tire</v>
      </c>
    </row>
    <row r="5032" ht="22.5" customHeight="1">
      <c r="A5032" s="49"/>
      <c r="C5032" s="384">
        <v>45948.0</v>
      </c>
      <c r="D5032" s="65">
        <v>7516.0</v>
      </c>
      <c r="E5032" s="445" t="s">
        <v>868</v>
      </c>
      <c r="F5032" s="386">
        <v>2.0</v>
      </c>
      <c r="G5032" s="74">
        <v>940000.0</v>
      </c>
      <c r="H5032" s="74">
        <v>0.0</v>
      </c>
      <c r="I5032" s="74">
        <f t="shared" si="1"/>
        <v>1880000</v>
      </c>
      <c r="J5032" s="74">
        <f>IF(E5032="SERVICE",I5032-(I5032*50%),Vlookup(E5032,DATABASE!C:Q,10,false)*F5032)</f>
        <v>0</v>
      </c>
      <c r="K5032" s="74">
        <f>VLOOKUP(E5032,DATABASE!C:Q,7,false)</f>
        <v>861200</v>
      </c>
      <c r="L5032" s="74">
        <v>836000.0</v>
      </c>
      <c r="M5032" s="74">
        <f t="shared" si="2"/>
        <v>840000</v>
      </c>
      <c r="N5032" s="74">
        <f t="shared" si="3"/>
        <v>200000</v>
      </c>
      <c r="O5032" s="65" t="str">
        <f>VLOOKUP(E5032,DATABASE!C:Q,8,false)</f>
        <v>BIAN</v>
      </c>
      <c r="P5032" s="65">
        <f>VLOOKUP(E5032,DATABASE!C:Q,9,False)</f>
        <v>1</v>
      </c>
      <c r="Q5032" s="93" t="str">
        <f>VLOOKUP(E5032,DATABASE!C:Q,4,false)</f>
        <v>GT</v>
      </c>
      <c r="R5032" s="93" t="str">
        <f>VLOOKUP(E5032,DATABASE!C:Q,11,false)</f>
        <v>Tire</v>
      </c>
    </row>
    <row r="5033" ht="22.5" customHeight="1">
      <c r="A5033" s="49"/>
      <c r="C5033" s="384">
        <v>45948.0</v>
      </c>
      <c r="D5033" s="65">
        <v>7517.0</v>
      </c>
      <c r="E5033" s="445" t="s">
        <v>2199</v>
      </c>
      <c r="F5033" s="386">
        <v>2.0</v>
      </c>
      <c r="G5033" s="74">
        <v>15000.0</v>
      </c>
      <c r="H5033" s="74">
        <v>0.0</v>
      </c>
      <c r="I5033" s="74">
        <f t="shared" si="1"/>
        <v>30000</v>
      </c>
      <c r="J5033" s="74">
        <f>IF(E5033="SERVICE",I5033-(I5033*50%),Vlookup(E5033,DATABASE!C:Q,10,false)*F5033)</f>
        <v>0</v>
      </c>
      <c r="K5033" s="74">
        <f>VLOOKUP(E5033,DATABASE!C:Q,7,false)</f>
        <v>5000</v>
      </c>
      <c r="L5033" s="74">
        <v>0.0</v>
      </c>
      <c r="M5033" s="74">
        <f t="shared" si="2"/>
        <v>0</v>
      </c>
      <c r="N5033" s="74">
        <f t="shared" si="3"/>
        <v>30000</v>
      </c>
      <c r="O5033" s="65" t="str">
        <f>VLOOKUP(E5033,DATABASE!C:Q,8,false)</f>
        <v>BIAN</v>
      </c>
      <c r="P5033" s="65">
        <f>VLOOKUP(E5033,DATABASE!C:Q,9,False)</f>
        <v>0</v>
      </c>
      <c r="Q5033" s="93" t="str">
        <f>VLOOKUP(E5033,DATABASE!C:Q,4,false)</f>
        <v>TAMBAL TUBLES</v>
      </c>
      <c r="R5033" s="93" t="str">
        <f>VLOOKUP(E5033,DATABASE!C:Q,11,false)</f>
        <v>COMPLEMENTARY</v>
      </c>
    </row>
    <row r="5034" ht="22.5" customHeight="1">
      <c r="A5034" s="49"/>
      <c r="C5034" s="384">
        <v>45948.0</v>
      </c>
      <c r="D5034" s="65">
        <v>7518.0</v>
      </c>
      <c r="E5034" s="445" t="s">
        <v>286</v>
      </c>
      <c r="F5034" s="386">
        <v>8.0</v>
      </c>
      <c r="G5034" s="74">
        <v>550000.0</v>
      </c>
      <c r="H5034" s="74">
        <v>0.0</v>
      </c>
      <c r="I5034" s="74">
        <f t="shared" si="1"/>
        <v>4400000</v>
      </c>
      <c r="J5034" s="74">
        <f>IF(E5034="SERVICE",I5034-(I5034*50%),Vlookup(E5034,DATABASE!C:Q,10,false)*F5034)</f>
        <v>0</v>
      </c>
      <c r="K5034" s="74">
        <f>VLOOKUP(E5034,DATABASE!C:Q,7,false)</f>
        <v>488320</v>
      </c>
      <c r="L5034" s="74">
        <v>452970.0</v>
      </c>
      <c r="M5034" s="74">
        <f t="shared" si="2"/>
        <v>455000</v>
      </c>
      <c r="N5034" s="74">
        <f t="shared" si="3"/>
        <v>760000</v>
      </c>
      <c r="O5034" s="65" t="str">
        <f>VLOOKUP(E5034,DATABASE!C:Q,8,false)</f>
        <v>BIAN</v>
      </c>
      <c r="P5034" s="65">
        <f>VLOOKUP(E5034,DATABASE!C:Q,9,False)</f>
        <v>1</v>
      </c>
      <c r="Q5034" s="93" t="str">
        <f>VLOOKUP(E5034,DATABASE!C:Q,4,false)</f>
        <v>GT</v>
      </c>
      <c r="R5034" s="93" t="str">
        <f>VLOOKUP(E5034,DATABASE!C:Q,11,false)</f>
        <v>Tire</v>
      </c>
    </row>
    <row r="5035" ht="22.5" customHeight="1">
      <c r="A5035" s="49"/>
      <c r="C5035" s="384">
        <v>45948.0</v>
      </c>
      <c r="D5035" s="65">
        <v>7519.0</v>
      </c>
      <c r="E5035" s="445" t="s">
        <v>1439</v>
      </c>
      <c r="F5035" s="386">
        <v>2.0</v>
      </c>
      <c r="G5035" s="74">
        <v>630000.0</v>
      </c>
      <c r="H5035" s="74">
        <v>0.0</v>
      </c>
      <c r="I5035" s="74">
        <f t="shared" si="1"/>
        <v>1260000</v>
      </c>
      <c r="J5035" s="74">
        <f>IF(E5035="SERVICE",I5035-(I5035*50%),Vlookup(E5035,DATABASE!C:Q,10,false)*F5035)</f>
        <v>0</v>
      </c>
      <c r="K5035" s="74">
        <f>VLOOKUP(E5035,DATABASE!C:Q,7,false)</f>
        <v>556800</v>
      </c>
      <c r="L5035" s="74">
        <v>540800.0</v>
      </c>
      <c r="M5035" s="74">
        <f t="shared" si="2"/>
        <v>545000</v>
      </c>
      <c r="N5035" s="74">
        <f t="shared" si="3"/>
        <v>170000</v>
      </c>
      <c r="O5035" s="65" t="str">
        <f>VLOOKUP(E5035,DATABASE!C:Q,8,false)</f>
        <v>BIAN</v>
      </c>
      <c r="P5035" s="65">
        <f>VLOOKUP(E5035,DATABASE!C:Q,9,False)</f>
        <v>1</v>
      </c>
      <c r="Q5035" s="93" t="str">
        <f>VLOOKUP(E5035,DATABASE!C:Q,4,false)</f>
        <v>GT</v>
      </c>
      <c r="R5035" s="93" t="str">
        <f>VLOOKUP(E5035,DATABASE!C:Q,11,false)</f>
        <v>Tire</v>
      </c>
    </row>
    <row r="5036" ht="22.5" customHeight="1">
      <c r="A5036" s="49"/>
      <c r="C5036" s="384">
        <v>45948.0</v>
      </c>
      <c r="D5036" s="65">
        <v>7520.0</v>
      </c>
      <c r="E5036" s="445" t="s">
        <v>856</v>
      </c>
      <c r="F5036" s="386">
        <v>1.0</v>
      </c>
      <c r="G5036" s="74">
        <v>660000.0</v>
      </c>
      <c r="H5036" s="74">
        <v>0.0</v>
      </c>
      <c r="I5036" s="74">
        <f t="shared" si="1"/>
        <v>660000</v>
      </c>
      <c r="J5036" s="74">
        <f>IF(E5036="SERVICE",I5036-(I5036*50%),Vlookup(E5036,DATABASE!C:Q,10,false)*F5036)</f>
        <v>0</v>
      </c>
      <c r="K5036" s="74">
        <f>VLOOKUP(E5036,DATABASE!C:Q,7,false)</f>
        <v>615300</v>
      </c>
      <c r="L5036" s="74">
        <v>581120.0</v>
      </c>
      <c r="M5036" s="74">
        <f t="shared" si="2"/>
        <v>585000</v>
      </c>
      <c r="N5036" s="74">
        <f t="shared" si="3"/>
        <v>75000</v>
      </c>
      <c r="O5036" s="65" t="str">
        <f>VLOOKUP(E5036,DATABASE!C:Q,8,false)</f>
        <v>BIAN</v>
      </c>
      <c r="P5036" s="65">
        <f>VLOOKUP(E5036,DATABASE!C:Q,9,False)</f>
        <v>1</v>
      </c>
      <c r="Q5036" s="93" t="str">
        <f>VLOOKUP(E5036,DATABASE!C:Q,4,false)</f>
        <v>GT</v>
      </c>
      <c r="R5036" s="93" t="str">
        <f>VLOOKUP(E5036,DATABASE!C:Q,11,false)</f>
        <v>Tire</v>
      </c>
    </row>
    <row r="5037" ht="22.5" customHeight="1">
      <c r="A5037" s="49"/>
      <c r="C5037" s="384">
        <v>45948.0</v>
      </c>
      <c r="D5037" s="65">
        <v>7520.0</v>
      </c>
      <c r="E5037" s="445" t="s">
        <v>569</v>
      </c>
      <c r="F5037" s="386">
        <v>3.0</v>
      </c>
      <c r="G5037" s="74">
        <v>80000.0</v>
      </c>
      <c r="H5037" s="74">
        <v>0.0</v>
      </c>
      <c r="I5037" s="74">
        <f t="shared" si="1"/>
        <v>240000</v>
      </c>
      <c r="J5037" s="74">
        <f>IF(E5037="SERVICE",I5037-(I5037*50%),Vlookup(E5037,DATABASE!C:Q,10,false)*F5037)</f>
        <v>0</v>
      </c>
      <c r="K5037" s="74">
        <f>VLOOKUP(E5037,DATABASE!C:Q,7,false)</f>
        <v>45439.582</v>
      </c>
      <c r="L5037" s="74">
        <v>45309.6</v>
      </c>
      <c r="M5037" s="74">
        <f t="shared" si="2"/>
        <v>50000</v>
      </c>
      <c r="N5037" s="74">
        <f t="shared" si="3"/>
        <v>90000</v>
      </c>
      <c r="O5037" s="65" t="str">
        <f>VLOOKUP(E5037,DATABASE!C:Q,8,false)</f>
        <v>BIAN</v>
      </c>
      <c r="P5037" s="65">
        <f>VLOOKUP(E5037,DATABASE!C:Q,9,False)</f>
        <v>1</v>
      </c>
      <c r="Q5037" s="93" t="str">
        <f>VLOOKUP(E5037,DATABASE!C:Q,4,false)</f>
        <v>BD</v>
      </c>
      <c r="R5037" s="93" t="str">
        <f>VLOOKUP(E5037,DATABASE!C:Q,11,false)</f>
        <v>Tire</v>
      </c>
    </row>
    <row r="5038" ht="22.5" customHeight="1">
      <c r="A5038" s="49"/>
      <c r="C5038" s="384">
        <v>45948.0</v>
      </c>
      <c r="D5038" s="65">
        <v>7521.0</v>
      </c>
      <c r="E5038" s="445" t="s">
        <v>268</v>
      </c>
      <c r="F5038" s="386">
        <v>2.0</v>
      </c>
      <c r="G5038" s="74">
        <v>720000.0</v>
      </c>
      <c r="H5038" s="74">
        <v>0.0</v>
      </c>
      <c r="I5038" s="74">
        <f t="shared" si="1"/>
        <v>1440000</v>
      </c>
      <c r="J5038" s="74">
        <f>IF(E5038="SERVICE",I5038-(I5038*50%),Vlookup(E5038,DATABASE!C:Q,10,false)*F5038)</f>
        <v>0</v>
      </c>
      <c r="K5038" s="74">
        <f>VLOOKUP(E5038,DATABASE!C:Q,7,false)</f>
        <v>653000</v>
      </c>
      <c r="L5038" s="74">
        <v>622000.0</v>
      </c>
      <c r="M5038" s="74">
        <f t="shared" si="2"/>
        <v>625000</v>
      </c>
      <c r="N5038" s="74">
        <f t="shared" si="3"/>
        <v>190000</v>
      </c>
      <c r="O5038" s="65" t="str">
        <f>VLOOKUP(E5038,DATABASE!C:Q,8,false)</f>
        <v>IBU</v>
      </c>
      <c r="P5038" s="65">
        <f>VLOOKUP(E5038,DATABASE!C:Q,9,False)</f>
        <v>1</v>
      </c>
      <c r="Q5038" s="93" t="str">
        <f>VLOOKUP(E5038,DATABASE!C:Q,4,false)</f>
        <v>Dunlop</v>
      </c>
      <c r="R5038" s="93" t="str">
        <f>VLOOKUP(E5038,DATABASE!C:Q,11,false)</f>
        <v>Tire</v>
      </c>
    </row>
    <row r="5039" ht="22.5" customHeight="1">
      <c r="A5039" s="49"/>
      <c r="C5039" s="384">
        <v>45948.0</v>
      </c>
      <c r="D5039" s="65">
        <v>7522.0</v>
      </c>
      <c r="E5039" s="445" t="s">
        <v>613</v>
      </c>
      <c r="F5039" s="386">
        <v>1.0</v>
      </c>
      <c r="G5039" s="74">
        <v>95000.0</v>
      </c>
      <c r="H5039" s="74">
        <v>0.0</v>
      </c>
      <c r="I5039" s="74">
        <f t="shared" si="1"/>
        <v>95000</v>
      </c>
      <c r="J5039" s="74">
        <f>IF(E5039="SERVICE",I5039-(I5039*50%),Vlookup(E5039,DATABASE!C:Q,10,false)*F5039)</f>
        <v>0</v>
      </c>
      <c r="K5039" s="74">
        <f>VLOOKUP(E5039,DATABASE!C:Q,7,false)</f>
        <v>58371.2695</v>
      </c>
      <c r="L5039" s="74">
        <v>55000.0</v>
      </c>
      <c r="M5039" s="74">
        <f t="shared" si="2"/>
        <v>55000</v>
      </c>
      <c r="N5039" s="74">
        <f t="shared" si="3"/>
        <v>40000</v>
      </c>
      <c r="O5039" s="65" t="str">
        <f>VLOOKUP(E5039,DATABASE!C:Q,8,false)</f>
        <v>BIAN</v>
      </c>
      <c r="P5039" s="65">
        <f>VLOOKUP(E5039,DATABASE!C:Q,9,False)</f>
        <v>1</v>
      </c>
      <c r="Q5039" s="93" t="str">
        <f>VLOOKUP(E5039,DATABASE!C:Q,4,false)</f>
        <v>BD</v>
      </c>
      <c r="R5039" s="93" t="str">
        <f>VLOOKUP(E5039,DATABASE!C:Q,11,false)</f>
        <v>Tire</v>
      </c>
    </row>
    <row r="5040" ht="22.5" customHeight="1">
      <c r="A5040" s="49"/>
      <c r="C5040" s="384">
        <v>45948.0</v>
      </c>
      <c r="D5040" s="65">
        <v>7523.0</v>
      </c>
      <c r="E5040" s="445" t="s">
        <v>287</v>
      </c>
      <c r="F5040" s="386">
        <v>1.0</v>
      </c>
      <c r="G5040" s="74">
        <v>780000.0</v>
      </c>
      <c r="H5040" s="74">
        <v>0.0</v>
      </c>
      <c r="I5040" s="74">
        <f t="shared" si="1"/>
        <v>780000</v>
      </c>
      <c r="J5040" s="74">
        <f>IF(E5040="SERVICE",I5040-(I5040*50%),Vlookup(E5040,DATABASE!C:Q,10,false)*F5040)</f>
        <v>0</v>
      </c>
      <c r="K5040" s="74">
        <f>VLOOKUP(E5040,DATABASE!C:Q,7,false)</f>
        <v>711000</v>
      </c>
      <c r="L5040" s="74">
        <v>690600.0</v>
      </c>
      <c r="M5040" s="74">
        <f t="shared" si="2"/>
        <v>695000</v>
      </c>
      <c r="N5040" s="74">
        <f t="shared" si="3"/>
        <v>85000</v>
      </c>
      <c r="O5040" s="65" t="str">
        <f>VLOOKUP(E5040,DATABASE!C:Q,8,false)</f>
        <v>BIAN</v>
      </c>
      <c r="P5040" s="65">
        <f>VLOOKUP(E5040,DATABASE!C:Q,9,False)</f>
        <v>1</v>
      </c>
      <c r="Q5040" s="93" t="str">
        <f>VLOOKUP(E5040,DATABASE!C:Q,4,false)</f>
        <v>GT</v>
      </c>
      <c r="R5040" s="93" t="str">
        <f>VLOOKUP(E5040,DATABASE!C:Q,11,false)</f>
        <v>Tire</v>
      </c>
    </row>
    <row r="5041" ht="22.5" customHeight="1">
      <c r="A5041" s="49"/>
      <c r="C5041" s="384">
        <v>45948.0</v>
      </c>
      <c r="D5041" s="65">
        <v>7523.0</v>
      </c>
      <c r="E5041" s="445" t="s">
        <v>604</v>
      </c>
      <c r="F5041" s="386">
        <v>1.0</v>
      </c>
      <c r="G5041" s="74">
        <v>160000.0</v>
      </c>
      <c r="H5041" s="74">
        <v>0.0</v>
      </c>
      <c r="I5041" s="74">
        <f t="shared" si="1"/>
        <v>160000</v>
      </c>
      <c r="J5041" s="74">
        <f>IF(E5041="SERVICE",I5041-(I5041*50%),Vlookup(E5041,DATABASE!C:Q,10,false)*F5041)</f>
        <v>0</v>
      </c>
      <c r="K5041" s="74">
        <f>VLOOKUP(E5041,DATABASE!C:Q,7,false)</f>
        <v>124000</v>
      </c>
      <c r="L5041" s="74">
        <v>124000.0</v>
      </c>
      <c r="M5041" s="74">
        <f t="shared" si="2"/>
        <v>125000</v>
      </c>
      <c r="N5041" s="74">
        <f t="shared" si="3"/>
        <v>35000</v>
      </c>
      <c r="O5041" s="65" t="str">
        <f>VLOOKUP(E5041,DATABASE!C:Q,8,false)</f>
        <v>BIAN</v>
      </c>
      <c r="P5041" s="65">
        <f>VLOOKUP(E5041,DATABASE!C:Q,9,False)</f>
        <v>1</v>
      </c>
      <c r="Q5041" s="93" t="str">
        <f>VLOOKUP(E5041,DATABASE!C:Q,4,false)</f>
        <v>BD</v>
      </c>
      <c r="R5041" s="93" t="str">
        <f>VLOOKUP(E5041,DATABASE!C:Q,11,false)</f>
        <v>Tire</v>
      </c>
    </row>
    <row r="5042" ht="22.5" customHeight="1">
      <c r="A5042" s="49"/>
      <c r="C5042" s="384">
        <v>45948.0</v>
      </c>
      <c r="D5042" s="65">
        <v>7524.0</v>
      </c>
      <c r="E5042" s="445" t="s">
        <v>856</v>
      </c>
      <c r="F5042" s="386">
        <v>1.0</v>
      </c>
      <c r="G5042" s="74">
        <v>670000.0</v>
      </c>
      <c r="H5042" s="74">
        <v>0.0</v>
      </c>
      <c r="I5042" s="74">
        <f t="shared" si="1"/>
        <v>670000</v>
      </c>
      <c r="J5042" s="74">
        <f>IF(E5042="SERVICE",I5042-(I5042*50%),Vlookup(E5042,DATABASE!C:Q,10,false)*F5042)</f>
        <v>0</v>
      </c>
      <c r="K5042" s="74">
        <f>VLOOKUP(E5042,DATABASE!C:Q,7,false)</f>
        <v>615300</v>
      </c>
      <c r="L5042" s="74">
        <v>581120.0</v>
      </c>
      <c r="M5042" s="74">
        <f t="shared" si="2"/>
        <v>585000</v>
      </c>
      <c r="N5042" s="74">
        <f t="shared" si="3"/>
        <v>85000</v>
      </c>
      <c r="O5042" s="65" t="str">
        <f>VLOOKUP(E5042,DATABASE!C:Q,8,false)</f>
        <v>BIAN</v>
      </c>
      <c r="P5042" s="65">
        <f>VLOOKUP(E5042,DATABASE!C:Q,9,False)</f>
        <v>1</v>
      </c>
      <c r="Q5042" s="93" t="str">
        <f>VLOOKUP(E5042,DATABASE!C:Q,4,false)</f>
        <v>GT</v>
      </c>
      <c r="R5042" s="93" t="str">
        <f>VLOOKUP(E5042,DATABASE!C:Q,11,false)</f>
        <v>Tire</v>
      </c>
    </row>
    <row r="5043" ht="22.5" customHeight="1">
      <c r="A5043" s="49"/>
      <c r="C5043" s="384">
        <v>45948.0</v>
      </c>
      <c r="D5043" s="65">
        <v>7525.0</v>
      </c>
      <c r="E5043" s="445" t="s">
        <v>1530</v>
      </c>
      <c r="F5043" s="386">
        <v>1.0</v>
      </c>
      <c r="G5043" s="74">
        <v>560000.0</v>
      </c>
      <c r="H5043" s="74">
        <v>0.0</v>
      </c>
      <c r="I5043" s="74">
        <f t="shared" si="1"/>
        <v>560000</v>
      </c>
      <c r="J5043" s="74">
        <f>IF(E5043="SERVICE",I5043-(I5043*50%),Vlookup(E5043,DATABASE!C:Q,10,false)*F5043)</f>
        <v>0</v>
      </c>
      <c r="K5043" s="74">
        <f>VLOOKUP(E5043,DATABASE!C:Q,7,false)</f>
        <v>467000</v>
      </c>
      <c r="L5043" s="74">
        <v>454000.0</v>
      </c>
      <c r="M5043" s="74">
        <f t="shared" si="2"/>
        <v>455000</v>
      </c>
      <c r="N5043" s="74">
        <f t="shared" si="3"/>
        <v>105000</v>
      </c>
      <c r="O5043" s="65" t="str">
        <f>VLOOKUP(E5043,DATABASE!C:Q,8,false)</f>
        <v>BIAN</v>
      </c>
      <c r="P5043" s="65">
        <f>VLOOKUP(E5043,DATABASE!C:Q,9,False)</f>
        <v>1</v>
      </c>
      <c r="Q5043" s="93" t="str">
        <f>VLOOKUP(E5043,DATABASE!C:Q,4,false)</f>
        <v>Laufen</v>
      </c>
      <c r="R5043" s="93" t="str">
        <f>VLOOKUP(E5043,DATABASE!C:Q,11,false)</f>
        <v>Tire</v>
      </c>
    </row>
    <row r="5044" ht="22.5" customHeight="1">
      <c r="A5044" s="49"/>
      <c r="C5044" s="384">
        <v>45948.0</v>
      </c>
      <c r="D5044" s="65">
        <v>7526.0</v>
      </c>
      <c r="E5044" s="445" t="s">
        <v>932</v>
      </c>
      <c r="F5044" s="386">
        <v>1.0</v>
      </c>
      <c r="G5044" s="74">
        <v>685000.0</v>
      </c>
      <c r="H5044" s="74">
        <v>0.0</v>
      </c>
      <c r="I5044" s="74">
        <f t="shared" si="1"/>
        <v>685000</v>
      </c>
      <c r="J5044" s="74">
        <f>IF(E5044="SERVICE",I5044-(I5044*50%),Vlookup(E5044,DATABASE!C:Q,10,false)*F5044)</f>
        <v>0</v>
      </c>
      <c r="K5044" s="74">
        <f>VLOOKUP(E5044,DATABASE!C:Q,7,false)</f>
        <v>601000</v>
      </c>
      <c r="L5044" s="74">
        <v>595000.0</v>
      </c>
      <c r="M5044" s="74">
        <f t="shared" si="2"/>
        <v>595000</v>
      </c>
      <c r="N5044" s="74">
        <f t="shared" si="3"/>
        <v>90000</v>
      </c>
      <c r="O5044" s="65" t="str">
        <f>VLOOKUP(E5044,DATABASE!C:Q,8,false)</f>
        <v>IBU</v>
      </c>
      <c r="P5044" s="65">
        <f>VLOOKUP(E5044,DATABASE!C:Q,9,False)</f>
        <v>1</v>
      </c>
      <c r="Q5044" s="93" t="str">
        <f>VLOOKUP(E5044,DATABASE!C:Q,4,false)</f>
        <v>Dunlop</v>
      </c>
      <c r="R5044" s="93" t="str">
        <f>VLOOKUP(E5044,DATABASE!C:Q,11,false)</f>
        <v>Tire</v>
      </c>
    </row>
    <row r="5045" ht="22.5" customHeight="1">
      <c r="A5045" s="49"/>
      <c r="C5045" s="384">
        <v>45948.0</v>
      </c>
      <c r="D5045" s="65">
        <v>7527.0</v>
      </c>
      <c r="E5045" s="445" t="s">
        <v>256</v>
      </c>
      <c r="F5045" s="386">
        <v>1.0</v>
      </c>
      <c r="G5045" s="74">
        <v>130000.0</v>
      </c>
      <c r="H5045" s="74">
        <v>0.0</v>
      </c>
      <c r="I5045" s="74">
        <f t="shared" si="1"/>
        <v>130000</v>
      </c>
      <c r="J5045" s="74">
        <f>IF(E5045="SERVICE",I5045-(I5045*50%),Vlookup(E5045,DATABASE!C:Q,10,false)*F5045)</f>
        <v>10000</v>
      </c>
      <c r="K5045" s="74">
        <f>VLOOKUP(E5045,DATABASE!C:Q,7,false)</f>
        <v>0</v>
      </c>
      <c r="L5045" s="74">
        <v>0.0</v>
      </c>
      <c r="M5045" s="74">
        <f t="shared" si="2"/>
        <v>0</v>
      </c>
      <c r="N5045" s="74">
        <f t="shared" si="3"/>
        <v>120000</v>
      </c>
      <c r="O5045" s="65" t="str">
        <f>VLOOKUP(E5045,DATABASE!C:Q,8,false)</f>
        <v>IBU</v>
      </c>
      <c r="P5045" s="65">
        <f>VLOOKUP(E5045,DATABASE!C:Q,9,False)</f>
        <v>0</v>
      </c>
      <c r="Q5045" s="93" t="str">
        <f>VLOOKUP(E5045,DATABASE!C:Q,4,false)</f>
        <v>SPOORING</v>
      </c>
      <c r="R5045" s="93" t="str">
        <f>VLOOKUP(E5045,DATABASE!C:Q,11,false)</f>
        <v>SERVICE</v>
      </c>
    </row>
    <row r="5046" ht="22.5" customHeight="1">
      <c r="A5046" s="49"/>
      <c r="C5046" s="384">
        <v>45948.0</v>
      </c>
      <c r="D5046" s="65">
        <v>7528.0</v>
      </c>
      <c r="E5046" s="445" t="s">
        <v>268</v>
      </c>
      <c r="F5046" s="386">
        <v>2.0</v>
      </c>
      <c r="G5046" s="74">
        <v>720000.0</v>
      </c>
      <c r="H5046" s="74">
        <v>0.0</v>
      </c>
      <c r="I5046" s="74">
        <f t="shared" si="1"/>
        <v>1440000</v>
      </c>
      <c r="J5046" s="74">
        <f>IF(E5046="SERVICE",I5046-(I5046*50%),Vlookup(E5046,DATABASE!C:Q,10,false)*F5046)</f>
        <v>0</v>
      </c>
      <c r="K5046" s="74">
        <f>VLOOKUP(E5046,DATABASE!C:Q,7,false)</f>
        <v>653000</v>
      </c>
      <c r="L5046" s="74">
        <v>622000.0</v>
      </c>
      <c r="M5046" s="74">
        <f t="shared" si="2"/>
        <v>625000</v>
      </c>
      <c r="N5046" s="74">
        <f t="shared" si="3"/>
        <v>190000</v>
      </c>
      <c r="O5046" s="65" t="str">
        <f>VLOOKUP(E5046,DATABASE!C:Q,8,false)</f>
        <v>IBU</v>
      </c>
      <c r="P5046" s="65">
        <f>VLOOKUP(E5046,DATABASE!C:Q,9,False)</f>
        <v>1</v>
      </c>
      <c r="Q5046" s="93" t="str">
        <f>VLOOKUP(E5046,DATABASE!C:Q,4,false)</f>
        <v>Dunlop</v>
      </c>
      <c r="R5046" s="93" t="str">
        <f>VLOOKUP(E5046,DATABASE!C:Q,11,false)</f>
        <v>Tire</v>
      </c>
    </row>
    <row r="5047" ht="22.5" customHeight="1">
      <c r="A5047" s="49"/>
      <c r="C5047" s="384">
        <v>45949.0</v>
      </c>
      <c r="D5047" s="65">
        <v>7529.0</v>
      </c>
      <c r="E5047" s="445" t="s">
        <v>256</v>
      </c>
      <c r="F5047" s="386">
        <v>1.0</v>
      </c>
      <c r="G5047" s="74">
        <v>130000.0</v>
      </c>
      <c r="H5047" s="74">
        <v>0.0</v>
      </c>
      <c r="I5047" s="74">
        <f t="shared" si="1"/>
        <v>130000</v>
      </c>
      <c r="J5047" s="74">
        <f>IF(E5047="SERVICE",I5047-(I5047*50%),Vlookup(E5047,DATABASE!C:Q,10,false)*F5047)</f>
        <v>10000</v>
      </c>
      <c r="K5047" s="74">
        <f>VLOOKUP(E5047,DATABASE!C:Q,7,false)</f>
        <v>0</v>
      </c>
      <c r="L5047" s="74">
        <v>0.0</v>
      </c>
      <c r="M5047" s="74">
        <f t="shared" si="2"/>
        <v>0</v>
      </c>
      <c r="N5047" s="74">
        <f t="shared" si="3"/>
        <v>120000</v>
      </c>
      <c r="O5047" s="65" t="str">
        <f>VLOOKUP(E5047,DATABASE!C:Q,8,false)</f>
        <v>IBU</v>
      </c>
      <c r="P5047" s="65">
        <f>VLOOKUP(E5047,DATABASE!C:Q,9,False)</f>
        <v>0</v>
      </c>
      <c r="Q5047" s="93" t="str">
        <f>VLOOKUP(E5047,DATABASE!C:Q,4,false)</f>
        <v>SPOORING</v>
      </c>
      <c r="R5047" s="93" t="str">
        <f>VLOOKUP(E5047,DATABASE!C:Q,11,false)</f>
        <v>SERVICE</v>
      </c>
    </row>
    <row r="5048" ht="22.5" customHeight="1">
      <c r="A5048" s="49"/>
      <c r="C5048" s="384">
        <v>45949.0</v>
      </c>
      <c r="D5048" s="65">
        <v>7529.0</v>
      </c>
      <c r="E5048" s="445" t="s">
        <v>251</v>
      </c>
      <c r="F5048" s="386">
        <v>1.0</v>
      </c>
      <c r="G5048" s="74">
        <v>150000.0</v>
      </c>
      <c r="H5048" s="74">
        <v>0.0</v>
      </c>
      <c r="I5048" s="74">
        <f t="shared" si="1"/>
        <v>150000</v>
      </c>
      <c r="J5048" s="74">
        <f>IF(E5048="SERVICE",I5048-(I5048*50%),Vlookup(E5048,DATABASE!C:Q,10,false)*F5048)</f>
        <v>75000</v>
      </c>
      <c r="K5048" s="74">
        <f>VLOOKUP(E5048,DATABASE!C:Q,7,false)</f>
        <v>0</v>
      </c>
      <c r="L5048" s="74">
        <v>0.0</v>
      </c>
      <c r="M5048" s="74">
        <f t="shared" si="2"/>
        <v>0</v>
      </c>
      <c r="N5048" s="74">
        <f t="shared" si="3"/>
        <v>75000</v>
      </c>
      <c r="O5048" s="65" t="str">
        <f>VLOOKUP(E5048,DATABASE!C:Q,8,false)</f>
        <v>IBU</v>
      </c>
      <c r="P5048" s="65">
        <f>VLOOKUP(E5048,DATABASE!C:Q,9,False)</f>
        <v>0</v>
      </c>
      <c r="Q5048" s="93" t="str">
        <f>VLOOKUP(E5048,DATABASE!C:Q,4,false)</f>
        <v>SERVICE</v>
      </c>
      <c r="R5048" s="93" t="str">
        <f>VLOOKUP(E5048,DATABASE!C:Q,11,false)</f>
        <v>SERVICE</v>
      </c>
    </row>
    <row r="5049" ht="22.5" customHeight="1">
      <c r="A5049" s="49"/>
      <c r="C5049" s="384">
        <v>45949.0</v>
      </c>
      <c r="D5049" s="65">
        <v>7530.0</v>
      </c>
      <c r="E5049" s="445" t="s">
        <v>262</v>
      </c>
      <c r="F5049" s="386">
        <v>1.0</v>
      </c>
      <c r="G5049" s="74">
        <v>110000.0</v>
      </c>
      <c r="H5049" s="74">
        <v>0.0</v>
      </c>
      <c r="I5049" s="74">
        <f t="shared" si="1"/>
        <v>110000</v>
      </c>
      <c r="J5049" s="74">
        <f>IF(E5049="SERVICE",I5049-(I5049*50%),Vlookup(E5049,DATABASE!C:Q,10,false)*F5049)</f>
        <v>5000</v>
      </c>
      <c r="K5049" s="74">
        <f>VLOOKUP(E5049,DATABASE!C:Q,7,false)</f>
        <v>0</v>
      </c>
      <c r="L5049" s="74">
        <v>0.0</v>
      </c>
      <c r="M5049" s="74">
        <f t="shared" si="2"/>
        <v>0</v>
      </c>
      <c r="N5049" s="74">
        <f t="shared" si="3"/>
        <v>105000</v>
      </c>
      <c r="O5049" s="65" t="str">
        <f>VLOOKUP(E5049,DATABASE!C:Q,8,false)</f>
        <v>IBU</v>
      </c>
      <c r="P5049" s="65">
        <f>VLOOKUP(E5049,DATABASE!C:Q,9,False)</f>
        <v>0</v>
      </c>
      <c r="Q5049" s="93" t="str">
        <f>VLOOKUP(E5049,DATABASE!C:Q,4,false)</f>
        <v>SPOORING SS/CARRY LOS BAK</v>
      </c>
      <c r="R5049" s="93" t="str">
        <f>VLOOKUP(E5049,DATABASE!C:Q,11,false)</f>
        <v>SERVICE</v>
      </c>
    </row>
    <row r="5050" ht="22.5" customHeight="1">
      <c r="A5050" s="49"/>
      <c r="C5050" s="384">
        <v>45949.0</v>
      </c>
      <c r="D5050" s="65">
        <v>7530.0</v>
      </c>
      <c r="E5050" s="445" t="s">
        <v>251</v>
      </c>
      <c r="F5050" s="386">
        <v>1.0</v>
      </c>
      <c r="G5050" s="74">
        <v>150000.0</v>
      </c>
      <c r="H5050" s="74">
        <v>0.0</v>
      </c>
      <c r="I5050" s="74">
        <f t="shared" si="1"/>
        <v>150000</v>
      </c>
      <c r="J5050" s="74">
        <f>IF(E5050="SERVICE",I5050-(I5050*50%),Vlookup(E5050,DATABASE!C:Q,10,false)*F5050)</f>
        <v>75000</v>
      </c>
      <c r="K5050" s="74">
        <f>VLOOKUP(E5050,DATABASE!C:Q,7,false)</f>
        <v>0</v>
      </c>
      <c r="L5050" s="74">
        <v>0.0</v>
      </c>
      <c r="M5050" s="74">
        <f t="shared" si="2"/>
        <v>0</v>
      </c>
      <c r="N5050" s="74">
        <f t="shared" si="3"/>
        <v>75000</v>
      </c>
      <c r="O5050" s="65" t="str">
        <f>VLOOKUP(E5050,DATABASE!C:Q,8,false)</f>
        <v>IBU</v>
      </c>
      <c r="P5050" s="65">
        <f>VLOOKUP(E5050,DATABASE!C:Q,9,False)</f>
        <v>0</v>
      </c>
      <c r="Q5050" s="93" t="str">
        <f>VLOOKUP(E5050,DATABASE!C:Q,4,false)</f>
        <v>SERVICE</v>
      </c>
      <c r="R5050" s="93" t="str">
        <f>VLOOKUP(E5050,DATABASE!C:Q,11,false)</f>
        <v>SERVICE</v>
      </c>
    </row>
    <row r="5051" ht="22.5" customHeight="1">
      <c r="A5051" s="49"/>
      <c r="C5051" s="384">
        <v>45949.0</v>
      </c>
      <c r="D5051" s="65">
        <v>7531.0</v>
      </c>
      <c r="E5051" s="445" t="s">
        <v>566</v>
      </c>
      <c r="F5051" s="386">
        <v>2.0</v>
      </c>
      <c r="G5051" s="74">
        <v>1660000.0</v>
      </c>
      <c r="H5051" s="74">
        <v>0.0</v>
      </c>
      <c r="I5051" s="74">
        <f t="shared" si="1"/>
        <v>3320000</v>
      </c>
      <c r="J5051" s="74">
        <f>IF(E5051="SERVICE",I5051-(I5051*50%),Vlookup(E5051,DATABASE!C:Q,10,false)*F5051)</f>
        <v>0</v>
      </c>
      <c r="K5051" s="74">
        <f>VLOOKUP(E5051,DATABASE!C:Q,7,false)</f>
        <v>1565000</v>
      </c>
      <c r="L5051" s="74">
        <v>1545000.0</v>
      </c>
      <c r="M5051" s="74">
        <f t="shared" si="2"/>
        <v>1545000</v>
      </c>
      <c r="N5051" s="74">
        <f t="shared" si="3"/>
        <v>230000</v>
      </c>
      <c r="O5051" s="65" t="str">
        <f>VLOOKUP(E5051,DATABASE!C:Q,8,false)</f>
        <v>IBU</v>
      </c>
      <c r="P5051" s="65">
        <f>VLOOKUP(E5051,DATABASE!C:Q,9,False)</f>
        <v>1</v>
      </c>
      <c r="Q5051" s="93" t="str">
        <f>VLOOKUP(E5051,DATABASE!C:Q,4,false)</f>
        <v>Bridgestone</v>
      </c>
      <c r="R5051" s="93" t="str">
        <f>VLOOKUP(E5051,DATABASE!C:Q,11,false)</f>
        <v>Tire</v>
      </c>
    </row>
    <row r="5052" ht="22.5" customHeight="1">
      <c r="A5052" s="49"/>
      <c r="C5052" s="384">
        <v>45949.0</v>
      </c>
      <c r="D5052" s="65">
        <v>7531.0</v>
      </c>
      <c r="E5052" s="445" t="s">
        <v>737</v>
      </c>
      <c r="F5052" s="386">
        <v>1.0</v>
      </c>
      <c r="G5052" s="74">
        <v>270000.0</v>
      </c>
      <c r="H5052" s="74">
        <v>0.0</v>
      </c>
      <c r="I5052" s="74">
        <f t="shared" si="1"/>
        <v>270000</v>
      </c>
      <c r="J5052" s="74">
        <f>IF(E5052="SERVICE",I5052-(I5052*50%),Vlookup(E5052,DATABASE!C:Q,10,false)*F5052)</f>
        <v>0</v>
      </c>
      <c r="K5052" s="74">
        <f>VLOOKUP(E5052,DATABASE!C:Q,7,false)</f>
        <v>241001.6</v>
      </c>
      <c r="L5052" s="74">
        <v>237440.0</v>
      </c>
      <c r="M5052" s="74">
        <f t="shared" si="2"/>
        <v>240000</v>
      </c>
      <c r="N5052" s="74">
        <f t="shared" si="3"/>
        <v>30000</v>
      </c>
      <c r="O5052" s="65" t="str">
        <f>VLOOKUP(E5052,DATABASE!C:Q,8,false)</f>
        <v>IBU</v>
      </c>
      <c r="P5052" s="65">
        <f>VLOOKUP(E5052,DATABASE!C:Q,9,False)</f>
        <v>1</v>
      </c>
      <c r="Q5052" s="93" t="str">
        <f>VLOOKUP(E5052,DATABASE!C:Q,4,false)</f>
        <v>BD</v>
      </c>
      <c r="R5052" s="93" t="str">
        <f>VLOOKUP(E5052,DATABASE!C:Q,11,false)</f>
        <v>Tire</v>
      </c>
    </row>
    <row r="5053" ht="22.5" customHeight="1">
      <c r="A5053" s="49"/>
      <c r="C5053" s="384">
        <v>45949.0</v>
      </c>
      <c r="D5053" s="65">
        <v>7531.0</v>
      </c>
      <c r="E5053" s="445" t="s">
        <v>1714</v>
      </c>
      <c r="F5053" s="386">
        <v>1.0</v>
      </c>
      <c r="G5053" s="74">
        <v>160000.0</v>
      </c>
      <c r="H5053" s="74">
        <v>0.0</v>
      </c>
      <c r="I5053" s="74">
        <f t="shared" si="1"/>
        <v>160000</v>
      </c>
      <c r="J5053" s="74">
        <f>IF(E5053="SERVICE",I5053-(I5053*50%),Vlookup(E5053,DATABASE!C:Q,10,false)*F5053)</f>
        <v>0</v>
      </c>
      <c r="K5053" s="74">
        <f>VLOOKUP(E5053,DATABASE!C:Q,7,false)</f>
        <v>140000</v>
      </c>
      <c r="L5053" s="74">
        <v>140000.0</v>
      </c>
      <c r="M5053" s="74">
        <f t="shared" si="2"/>
        <v>140000</v>
      </c>
      <c r="N5053" s="74">
        <f t="shared" si="3"/>
        <v>20000</v>
      </c>
      <c r="O5053" s="65" t="str">
        <f>VLOOKUP(E5053,DATABASE!C:Q,8,false)</f>
        <v>IBU</v>
      </c>
      <c r="P5053" s="65">
        <f>VLOOKUP(E5053,DATABASE!C:Q,9,False)</f>
        <v>1</v>
      </c>
      <c r="Q5053" s="93" t="str">
        <f>VLOOKUP(E5053,DATABASE!C:Q,4,false)</f>
        <v>Flap</v>
      </c>
      <c r="R5053" s="93" t="str">
        <f>VLOOKUP(E5053,DATABASE!C:Q,11,false)</f>
        <v>Tire</v>
      </c>
    </row>
    <row r="5054" ht="22.5" customHeight="1">
      <c r="A5054" s="49"/>
      <c r="C5054" s="384">
        <v>45949.0</v>
      </c>
      <c r="D5054" s="65">
        <v>7532.0</v>
      </c>
      <c r="E5054" s="445" t="s">
        <v>256</v>
      </c>
      <c r="F5054" s="386">
        <v>1.0</v>
      </c>
      <c r="G5054" s="74">
        <v>130000.0</v>
      </c>
      <c r="H5054" s="74">
        <v>0.0</v>
      </c>
      <c r="I5054" s="74">
        <f t="shared" si="1"/>
        <v>130000</v>
      </c>
      <c r="J5054" s="74">
        <f>IF(E5054="SERVICE",I5054-(I5054*50%),Vlookup(E5054,DATABASE!C:Q,10,false)*F5054)</f>
        <v>10000</v>
      </c>
      <c r="K5054" s="74">
        <f>VLOOKUP(E5054,DATABASE!C:Q,7,false)</f>
        <v>0</v>
      </c>
      <c r="L5054" s="74">
        <v>0.0</v>
      </c>
      <c r="M5054" s="74">
        <f t="shared" si="2"/>
        <v>0</v>
      </c>
      <c r="N5054" s="74">
        <f t="shared" si="3"/>
        <v>120000</v>
      </c>
      <c r="O5054" s="65" t="str">
        <f>VLOOKUP(E5054,DATABASE!C:Q,8,false)</f>
        <v>IBU</v>
      </c>
      <c r="P5054" s="65">
        <f>VLOOKUP(E5054,DATABASE!C:Q,9,False)</f>
        <v>0</v>
      </c>
      <c r="Q5054" s="93" t="str">
        <f>VLOOKUP(E5054,DATABASE!C:Q,4,false)</f>
        <v>SPOORING</v>
      </c>
      <c r="R5054" s="93" t="str">
        <f>VLOOKUP(E5054,DATABASE!C:Q,11,false)</f>
        <v>SERVICE</v>
      </c>
    </row>
    <row r="5055" ht="22.5" customHeight="1">
      <c r="A5055" s="49"/>
      <c r="C5055" s="384">
        <v>45949.0</v>
      </c>
      <c r="D5055" s="65">
        <v>7532.0</v>
      </c>
      <c r="E5055" s="445" t="s">
        <v>301</v>
      </c>
      <c r="F5055" s="386">
        <v>1.0</v>
      </c>
      <c r="G5055" s="74">
        <v>250000.0</v>
      </c>
      <c r="H5055" s="74">
        <v>0.0</v>
      </c>
      <c r="I5055" s="74">
        <f t="shared" si="1"/>
        <v>250000</v>
      </c>
      <c r="J5055" s="74">
        <f>IF(E5055="SERVICE",I5055-(I5055*50%),Vlookup(E5055,DATABASE!C:Q,10,false)*F5055)</f>
        <v>75000</v>
      </c>
      <c r="K5055" s="74">
        <f>VLOOKUP(E5055,DATABASE!C:Q,7,false)</f>
        <v>75000</v>
      </c>
      <c r="L5055" s="74">
        <v>75000.0</v>
      </c>
      <c r="M5055" s="74">
        <f t="shared" si="2"/>
        <v>75000</v>
      </c>
      <c r="N5055" s="74">
        <f t="shared" si="3"/>
        <v>100000</v>
      </c>
      <c r="O5055" s="65" t="str">
        <f>VLOOKUP(E5055,DATABASE!C:Q,8,false)</f>
        <v>BIAN</v>
      </c>
      <c r="P5055" s="65">
        <f>VLOOKUP(E5055,DATABASE!C:Q,9,False)</f>
        <v>0</v>
      </c>
      <c r="Q5055" s="93" t="str">
        <f>VLOOKUP(E5055,DATABASE!C:Q,4,false)</f>
        <v>Baut Camber</v>
      </c>
      <c r="R5055" s="93" t="str">
        <f>VLOOKUP(E5055,DATABASE!C:Q,11,false)</f>
        <v>COMPLEMENTARY</v>
      </c>
    </row>
    <row r="5056" ht="22.5" customHeight="1">
      <c r="A5056" s="49"/>
      <c r="C5056" s="384">
        <v>45949.0</v>
      </c>
      <c r="D5056" s="65">
        <v>7532.0</v>
      </c>
      <c r="E5056" s="385" t="s">
        <v>299</v>
      </c>
      <c r="F5056" s="386">
        <v>2.0</v>
      </c>
      <c r="G5056" s="74">
        <v>30000.0</v>
      </c>
      <c r="H5056" s="74">
        <v>0.0</v>
      </c>
      <c r="I5056" s="74">
        <f t="shared" si="1"/>
        <v>60000</v>
      </c>
      <c r="J5056" s="74">
        <f>IF(E5056="SERVICE",I5056-(I5056*50%),Vlookup(E5056,DATABASE!C:Q,10,false)*F5056)</f>
        <v>0</v>
      </c>
      <c r="K5056" s="74">
        <v>0.0</v>
      </c>
      <c r="L5056" s="74">
        <v>0.0</v>
      </c>
      <c r="M5056" s="74">
        <f t="shared" si="2"/>
        <v>0</v>
      </c>
      <c r="N5056" s="74">
        <f t="shared" si="3"/>
        <v>60000</v>
      </c>
      <c r="O5056" s="65" t="str">
        <f>VLOOKUP(E5056,DATABASE!C:Q,8,false)</f>
        <v>BIAN</v>
      </c>
      <c r="P5056" s="65">
        <f>VLOOKUP(E5056,DATABASE!C:Q,9,False)</f>
        <v>0</v>
      </c>
      <c r="Q5056" s="93" t="str">
        <f>VLOOKUP(E5056,DATABASE!C:Q,4,false)</f>
        <v>Balancing</v>
      </c>
      <c r="R5056" s="93" t="str">
        <f>VLOOKUP(E5056,DATABASE!C:Q,11,false)</f>
        <v>COMPLEMENTARY</v>
      </c>
    </row>
    <row r="5057" ht="22.5" customHeight="1">
      <c r="A5057" s="49"/>
      <c r="C5057" s="384">
        <v>45949.0</v>
      </c>
      <c r="D5057" s="65">
        <v>7533.0</v>
      </c>
      <c r="E5057" s="445" t="s">
        <v>256</v>
      </c>
      <c r="F5057" s="386">
        <v>1.0</v>
      </c>
      <c r="G5057" s="74">
        <v>130000.0</v>
      </c>
      <c r="H5057" s="74">
        <v>0.0</v>
      </c>
      <c r="I5057" s="74">
        <f t="shared" si="1"/>
        <v>130000</v>
      </c>
      <c r="J5057" s="74">
        <f>IF(E5057="SERVICE",I5057-(I5057*50%),Vlookup(E5057,DATABASE!C:Q,10,false)*F5057)</f>
        <v>10000</v>
      </c>
      <c r="K5057" s="74">
        <f>VLOOKUP(E5057,DATABASE!C:Q,7,false)</f>
        <v>0</v>
      </c>
      <c r="L5057" s="74">
        <v>0.0</v>
      </c>
      <c r="M5057" s="74">
        <f t="shared" si="2"/>
        <v>0</v>
      </c>
      <c r="N5057" s="74">
        <f t="shared" si="3"/>
        <v>120000</v>
      </c>
      <c r="O5057" s="65" t="str">
        <f>VLOOKUP(E5057,DATABASE!C:Q,8,false)</f>
        <v>IBU</v>
      </c>
      <c r="P5057" s="65">
        <f>VLOOKUP(E5057,DATABASE!C:Q,9,False)</f>
        <v>0</v>
      </c>
      <c r="Q5057" s="93" t="str">
        <f>VLOOKUP(E5057,DATABASE!C:Q,4,false)</f>
        <v>SPOORING</v>
      </c>
      <c r="R5057" s="93" t="str">
        <f>VLOOKUP(E5057,DATABASE!C:Q,11,false)</f>
        <v>SERVICE</v>
      </c>
    </row>
    <row r="5058" ht="22.5" customHeight="1">
      <c r="A5058" s="49"/>
      <c r="C5058" s="384">
        <v>45949.0</v>
      </c>
      <c r="D5058" s="65">
        <v>7533.0</v>
      </c>
      <c r="E5058" s="385" t="s">
        <v>299</v>
      </c>
      <c r="F5058" s="386">
        <v>2.0</v>
      </c>
      <c r="G5058" s="74">
        <v>30000.0</v>
      </c>
      <c r="H5058" s="74">
        <v>0.0</v>
      </c>
      <c r="I5058" s="74">
        <f t="shared" si="1"/>
        <v>60000</v>
      </c>
      <c r="J5058" s="74">
        <f>IF(E5058="SERVICE",I5058-(I5058*50%),Vlookup(E5058,DATABASE!C:Q,10,false)*F5058)</f>
        <v>0</v>
      </c>
      <c r="K5058" s="74">
        <v>0.0</v>
      </c>
      <c r="L5058" s="74">
        <v>0.0</v>
      </c>
      <c r="M5058" s="74">
        <f t="shared" si="2"/>
        <v>0</v>
      </c>
      <c r="N5058" s="74">
        <f t="shared" si="3"/>
        <v>60000</v>
      </c>
      <c r="O5058" s="65" t="str">
        <f>VLOOKUP(E5058,DATABASE!C:Q,8,false)</f>
        <v>BIAN</v>
      </c>
      <c r="P5058" s="65">
        <f>VLOOKUP(E5058,DATABASE!C:Q,9,False)</f>
        <v>0</v>
      </c>
      <c r="Q5058" s="93" t="str">
        <f>VLOOKUP(E5058,DATABASE!C:Q,4,false)</f>
        <v>Balancing</v>
      </c>
      <c r="R5058" s="93" t="str">
        <f>VLOOKUP(E5058,DATABASE!C:Q,11,false)</f>
        <v>COMPLEMENTARY</v>
      </c>
    </row>
    <row r="5059" ht="22.5" customHeight="1">
      <c r="A5059" s="49"/>
      <c r="C5059" s="384">
        <v>45949.0</v>
      </c>
      <c r="D5059" s="65">
        <v>7534.0</v>
      </c>
      <c r="E5059" s="445" t="s">
        <v>246</v>
      </c>
      <c r="F5059" s="386">
        <v>2.0</v>
      </c>
      <c r="G5059" s="74">
        <v>30000.0</v>
      </c>
      <c r="H5059" s="74">
        <v>0.0</v>
      </c>
      <c r="I5059" s="74">
        <f t="shared" si="1"/>
        <v>60000</v>
      </c>
      <c r="J5059" s="74">
        <f>IF(E5059="SERVICE",I5059-(I5059*50%),Vlookup(E5059,DATABASE!C:Q,10,false)*F5059)</f>
        <v>0</v>
      </c>
      <c r="K5059" s="74">
        <f>VLOOKUP(E5059,DATABASE!C:Q,7,false)</f>
        <v>0</v>
      </c>
      <c r="L5059" s="74">
        <v>0.0</v>
      </c>
      <c r="M5059" s="74">
        <f t="shared" si="2"/>
        <v>0</v>
      </c>
      <c r="N5059" s="74">
        <f t="shared" si="3"/>
        <v>60000</v>
      </c>
      <c r="O5059" s="65" t="str">
        <f>VLOOKUP(E5059,DATABASE!C:Q,8,false)</f>
        <v>IBU</v>
      </c>
      <c r="P5059" s="65">
        <f>VLOOKUP(E5059,DATABASE!C:Q,9,False)</f>
        <v>0</v>
      </c>
      <c r="Q5059" s="93" t="str">
        <f>VLOOKUP(E5059,DATABASE!C:Q,4,false)</f>
        <v>Bongkar Pasang</v>
      </c>
      <c r="R5059" s="93" t="str">
        <f>VLOOKUP(E5059,DATABASE!C:Q,11,false)</f>
        <v>SERVICE</v>
      </c>
    </row>
    <row r="5060" ht="22.5" customHeight="1">
      <c r="A5060" s="49"/>
      <c r="C5060" s="384">
        <v>45950.0</v>
      </c>
      <c r="D5060" s="65">
        <v>7535.0</v>
      </c>
      <c r="E5060" s="445" t="s">
        <v>1025</v>
      </c>
      <c r="F5060" s="386">
        <v>2.0</v>
      </c>
      <c r="G5060" s="74">
        <v>785000.0</v>
      </c>
      <c r="H5060" s="74">
        <v>0.0</v>
      </c>
      <c r="I5060" s="74">
        <f t="shared" si="1"/>
        <v>1570000</v>
      </c>
      <c r="J5060" s="74">
        <f>IF(E5060="SERVICE",I5060-(I5060*50%),Vlookup(E5060,DATABASE!C:Q,10,false)*F5060)</f>
        <v>0</v>
      </c>
      <c r="K5060" s="74">
        <f>VLOOKUP(E5060,DATABASE!C:Q,7,false)</f>
        <v>683020.8</v>
      </c>
      <c r="L5060" s="74">
        <v>683020.8</v>
      </c>
      <c r="M5060" s="74">
        <f t="shared" si="2"/>
        <v>685000</v>
      </c>
      <c r="N5060" s="74">
        <f t="shared" si="3"/>
        <v>200000</v>
      </c>
      <c r="O5060" s="65" t="str">
        <f>VLOOKUP(E5060,DATABASE!C:Q,8,false)</f>
        <v>IBU</v>
      </c>
      <c r="P5060" s="65">
        <f>VLOOKUP(E5060,DATABASE!C:Q,9,False)</f>
        <v>1</v>
      </c>
      <c r="Q5060" s="93" t="str">
        <f>VLOOKUP(E5060,DATABASE!C:Q,4,false)</f>
        <v>Bridgestone</v>
      </c>
      <c r="R5060" s="93" t="str">
        <f>VLOOKUP(E5060,DATABASE!C:Q,11,false)</f>
        <v>Tire</v>
      </c>
    </row>
    <row r="5061" ht="22.5" customHeight="1">
      <c r="A5061" s="49"/>
      <c r="C5061" s="384">
        <v>45950.0</v>
      </c>
      <c r="D5061" s="65">
        <v>7536.0</v>
      </c>
      <c r="E5061" s="445" t="s">
        <v>614</v>
      </c>
      <c r="F5061" s="386">
        <v>2.0</v>
      </c>
      <c r="G5061" s="74">
        <v>785000.0</v>
      </c>
      <c r="H5061" s="74">
        <v>0.0</v>
      </c>
      <c r="I5061" s="74">
        <f t="shared" si="1"/>
        <v>1570000</v>
      </c>
      <c r="J5061" s="74">
        <f>IF(E5061="SERVICE",I5061-(I5061*50%),Vlookup(E5061,DATABASE!C:Q,10,false)*F5061)</f>
        <v>0</v>
      </c>
      <c r="K5061" s="74">
        <f>VLOOKUP(E5061,DATABASE!C:Q,7,false)</f>
        <v>754660.6</v>
      </c>
      <c r="L5061" s="74">
        <v>766438.4</v>
      </c>
      <c r="M5061" s="74">
        <f t="shared" si="2"/>
        <v>770000</v>
      </c>
      <c r="N5061" s="74">
        <f t="shared" si="3"/>
        <v>30000</v>
      </c>
      <c r="O5061" s="65" t="str">
        <f>VLOOKUP(E5061,DATABASE!C:Q,8,false)</f>
        <v>IBU</v>
      </c>
      <c r="P5061" s="65">
        <f>VLOOKUP(E5061,DATABASE!C:Q,9,False)</f>
        <v>1</v>
      </c>
      <c r="Q5061" s="93" t="str">
        <f>VLOOKUP(E5061,DATABASE!C:Q,4,false)</f>
        <v>Bridgestone</v>
      </c>
      <c r="R5061" s="93" t="str">
        <f>VLOOKUP(E5061,DATABASE!C:Q,11,false)</f>
        <v>Tire</v>
      </c>
    </row>
    <row r="5062" ht="22.5" customHeight="1">
      <c r="A5062" s="49"/>
      <c r="C5062" s="384">
        <v>45950.0</v>
      </c>
      <c r="D5062" s="65">
        <v>7537.0</v>
      </c>
      <c r="E5062" s="445" t="s">
        <v>1507</v>
      </c>
      <c r="F5062" s="386">
        <v>2.0</v>
      </c>
      <c r="G5062" s="74">
        <v>730000.0</v>
      </c>
      <c r="H5062" s="74">
        <v>0.0</v>
      </c>
      <c r="I5062" s="74">
        <f t="shared" si="1"/>
        <v>1460000</v>
      </c>
      <c r="J5062" s="74">
        <f>IF(E5062="SERVICE",I5062-(I5062*50%),Vlookup(E5062,DATABASE!C:Q,10,false)*F5062)</f>
        <v>0</v>
      </c>
      <c r="K5062" s="74">
        <f>VLOOKUP(E5062,DATABASE!C:Q,7,false)</f>
        <v>638500</v>
      </c>
      <c r="L5062" s="74">
        <v>638500.0</v>
      </c>
      <c r="M5062" s="74">
        <f t="shared" si="2"/>
        <v>640000</v>
      </c>
      <c r="N5062" s="74">
        <f t="shared" si="3"/>
        <v>180000</v>
      </c>
      <c r="O5062" s="65" t="str">
        <f>VLOOKUP(E5062,DATABASE!C:Q,8,false)</f>
        <v>IBU</v>
      </c>
      <c r="P5062" s="65">
        <f>VLOOKUP(E5062,DATABASE!C:Q,9,False)</f>
        <v>1</v>
      </c>
      <c r="Q5062" s="93" t="str">
        <f>VLOOKUP(E5062,DATABASE!C:Q,4,false)</f>
        <v>Dunlop</v>
      </c>
      <c r="R5062" s="93" t="str">
        <f>VLOOKUP(E5062,DATABASE!C:Q,11,false)</f>
        <v>Tire</v>
      </c>
    </row>
    <row r="5063" ht="22.5" customHeight="1">
      <c r="A5063" s="49"/>
      <c r="C5063" s="384">
        <v>45950.0</v>
      </c>
      <c r="D5063" s="65">
        <v>7541.0</v>
      </c>
      <c r="E5063" s="445" t="s">
        <v>268</v>
      </c>
      <c r="F5063" s="386">
        <v>4.0</v>
      </c>
      <c r="G5063" s="74">
        <v>720000.0</v>
      </c>
      <c r="H5063" s="74">
        <v>0.0</v>
      </c>
      <c r="I5063" s="74">
        <f t="shared" si="1"/>
        <v>2880000</v>
      </c>
      <c r="J5063" s="74">
        <f>IF(E5063="SERVICE",I5063-(I5063*50%),Vlookup(E5063,DATABASE!C:Q,10,false)*F5063)</f>
        <v>0</v>
      </c>
      <c r="K5063" s="74">
        <f>VLOOKUP(E5063,DATABASE!C:Q,7,false)</f>
        <v>653000</v>
      </c>
      <c r="L5063" s="74">
        <v>622000.0</v>
      </c>
      <c r="M5063" s="74">
        <f t="shared" si="2"/>
        <v>625000</v>
      </c>
      <c r="N5063" s="74">
        <f t="shared" si="3"/>
        <v>380000</v>
      </c>
      <c r="O5063" s="65" t="str">
        <f>VLOOKUP(E5063,DATABASE!C:Q,8,false)</f>
        <v>IBU</v>
      </c>
      <c r="P5063" s="65">
        <f>VLOOKUP(E5063,DATABASE!C:Q,9,False)</f>
        <v>1</v>
      </c>
      <c r="Q5063" s="93" t="str">
        <f>VLOOKUP(E5063,DATABASE!C:Q,4,false)</f>
        <v>Dunlop</v>
      </c>
      <c r="R5063" s="93" t="str">
        <f>VLOOKUP(E5063,DATABASE!C:Q,11,false)</f>
        <v>Tire</v>
      </c>
    </row>
    <row r="5064" ht="22.5" customHeight="1">
      <c r="A5064" s="49"/>
      <c r="C5064" s="384">
        <v>45950.0</v>
      </c>
      <c r="D5064" s="65">
        <v>7542.0</v>
      </c>
      <c r="E5064" s="445" t="s">
        <v>932</v>
      </c>
      <c r="F5064" s="386">
        <v>1.0</v>
      </c>
      <c r="G5064" s="74">
        <v>680000.0</v>
      </c>
      <c r="H5064" s="74">
        <v>0.0</v>
      </c>
      <c r="I5064" s="74">
        <f t="shared" si="1"/>
        <v>680000</v>
      </c>
      <c r="J5064" s="74">
        <f>IF(E5064="SERVICE",I5064-(I5064*50%),Vlookup(E5064,DATABASE!C:Q,10,false)*F5064)</f>
        <v>0</v>
      </c>
      <c r="K5064" s="74">
        <f>VLOOKUP(E5064,DATABASE!C:Q,7,false)</f>
        <v>601000</v>
      </c>
      <c r="L5064" s="74">
        <v>595000.0</v>
      </c>
      <c r="M5064" s="74">
        <f t="shared" si="2"/>
        <v>595000</v>
      </c>
      <c r="N5064" s="74">
        <f t="shared" si="3"/>
        <v>85000</v>
      </c>
      <c r="O5064" s="65" t="str">
        <f>VLOOKUP(E5064,DATABASE!C:Q,8,false)</f>
        <v>IBU</v>
      </c>
      <c r="P5064" s="65">
        <f>VLOOKUP(E5064,DATABASE!C:Q,9,False)</f>
        <v>1</v>
      </c>
      <c r="Q5064" s="93" t="str">
        <f>VLOOKUP(E5064,DATABASE!C:Q,4,false)</f>
        <v>Dunlop</v>
      </c>
      <c r="R5064" s="93" t="str">
        <f>VLOOKUP(E5064,DATABASE!C:Q,11,false)</f>
        <v>Tire</v>
      </c>
    </row>
    <row r="5065" ht="22.5" customHeight="1">
      <c r="A5065" s="49"/>
      <c r="C5065" s="384">
        <v>45950.0</v>
      </c>
      <c r="D5065" s="65">
        <v>7542.0</v>
      </c>
      <c r="E5065" s="445" t="s">
        <v>275</v>
      </c>
      <c r="F5065" s="386">
        <v>2.0</v>
      </c>
      <c r="G5065" s="74">
        <v>850000.0</v>
      </c>
      <c r="H5065" s="74">
        <v>0.0</v>
      </c>
      <c r="I5065" s="74">
        <f t="shared" si="1"/>
        <v>1700000</v>
      </c>
      <c r="J5065" s="74">
        <f>IF(E5065="SERVICE",I5065-(I5065*50%),Vlookup(E5065,DATABASE!C:Q,10,false)*F5065)</f>
        <v>0</v>
      </c>
      <c r="K5065" s="74">
        <f>VLOOKUP(E5065,DATABASE!C:Q,7,false)</f>
        <v>782000</v>
      </c>
      <c r="L5065" s="74">
        <v>745000.0</v>
      </c>
      <c r="M5065" s="74">
        <f t="shared" si="2"/>
        <v>745000</v>
      </c>
      <c r="N5065" s="74">
        <f t="shared" si="3"/>
        <v>210000</v>
      </c>
      <c r="O5065" s="65" t="str">
        <f>VLOOKUP(E5065,DATABASE!C:Q,8,false)</f>
        <v>IBU</v>
      </c>
      <c r="P5065" s="65">
        <f>VLOOKUP(E5065,DATABASE!C:Q,9,False)</f>
        <v>1</v>
      </c>
      <c r="Q5065" s="93" t="str">
        <f>VLOOKUP(E5065,DATABASE!C:Q,4,false)</f>
        <v>Dunlop</v>
      </c>
      <c r="R5065" s="93" t="str">
        <f>VLOOKUP(E5065,DATABASE!C:Q,11,false)</f>
        <v>Tire</v>
      </c>
    </row>
    <row r="5066" ht="22.5" customHeight="1">
      <c r="A5066" s="49"/>
      <c r="C5066" s="384">
        <v>45950.0</v>
      </c>
      <c r="D5066" s="65">
        <v>7542.0</v>
      </c>
      <c r="E5066" s="385" t="s">
        <v>305</v>
      </c>
      <c r="F5066" s="386">
        <v>2.0</v>
      </c>
      <c r="G5066" s="74">
        <v>235000.0</v>
      </c>
      <c r="H5066" s="74">
        <v>0.0</v>
      </c>
      <c r="I5066" s="74">
        <f t="shared" si="1"/>
        <v>470000</v>
      </c>
      <c r="J5066" s="74">
        <f>IF(E5066="SERVICE",I5066-(I5066*50%),Vlookup(E5066,DATABASE!C:Q,10,false)*F5066)</f>
        <v>80000</v>
      </c>
      <c r="K5066" s="74">
        <f>VLOOKUP(E5066,DATABASE!C:Q,7,false)</f>
        <v>158530.2</v>
      </c>
      <c r="L5066" s="74">
        <v>151890.0</v>
      </c>
      <c r="M5066" s="74">
        <f t="shared" si="2"/>
        <v>155000</v>
      </c>
      <c r="N5066" s="74">
        <f t="shared" si="3"/>
        <v>80000</v>
      </c>
      <c r="O5066" s="65" t="str">
        <f>VLOOKUP(E5066,DATABASE!C:Q,8,false)</f>
        <v>BIAN</v>
      </c>
      <c r="P5066" s="65">
        <f>VLOOKUP(E5066,DATABASE!C:Q,9,False)</f>
        <v>1</v>
      </c>
      <c r="Q5066" s="93" t="str">
        <f>VLOOKUP(E5066,DATABASE!C:Q,4,false)</f>
        <v>Lower Arm</v>
      </c>
      <c r="R5066" s="93" t="str">
        <f>VLOOKUP(E5066,DATABASE!C:Q,11,false)</f>
        <v>COMPLEMENTARY</v>
      </c>
    </row>
    <row r="5067" ht="22.5" customHeight="1">
      <c r="A5067" s="49"/>
      <c r="C5067" s="384">
        <v>45950.0</v>
      </c>
      <c r="D5067" s="65">
        <v>7542.0</v>
      </c>
      <c r="E5067" s="445" t="s">
        <v>2206</v>
      </c>
      <c r="F5067" s="386">
        <v>1.0</v>
      </c>
      <c r="G5067" s="74">
        <v>200000.0</v>
      </c>
      <c r="H5067" s="74">
        <v>0.0</v>
      </c>
      <c r="I5067" s="74">
        <f t="shared" si="1"/>
        <v>200000</v>
      </c>
      <c r="J5067" s="74">
        <f>IF(E5067="SERVICE",I5067-(I5067*50%),Vlookup(E5067,DATABASE!C:Q,10,false)*F5067)</f>
        <v>40000</v>
      </c>
      <c r="K5067" s="74">
        <f>VLOOKUP(E5067,DATABASE!C:Q,7,false)</f>
        <v>95450</v>
      </c>
      <c r="L5067" s="74">
        <v>61000.0</v>
      </c>
      <c r="M5067" s="74">
        <f t="shared" si="2"/>
        <v>65000</v>
      </c>
      <c r="N5067" s="74">
        <f t="shared" si="3"/>
        <v>95000</v>
      </c>
      <c r="O5067" s="65" t="str">
        <f>VLOOKUP(E5067,DATABASE!C:Q,8,false)</f>
        <v>IBU</v>
      </c>
      <c r="P5067" s="65">
        <f>VLOOKUP(E5067,DATABASE!C:Q,9,False)</f>
        <v>1</v>
      </c>
      <c r="Q5067" s="93" t="str">
        <f>VLOOKUP(E5067,DATABASE!C:Q,4,false)</f>
        <v>TIEROD</v>
      </c>
      <c r="R5067" s="93" t="str">
        <f>VLOOKUP(E5067,DATABASE!C:Q,11,false)</f>
        <v>COMPLEMENTARY</v>
      </c>
    </row>
    <row r="5068" ht="22.5" customHeight="1">
      <c r="A5068" s="49"/>
      <c r="C5068" s="384">
        <v>45950.0</v>
      </c>
      <c r="D5068" s="65">
        <v>7542.0</v>
      </c>
      <c r="E5068" s="445" t="s">
        <v>478</v>
      </c>
      <c r="F5068" s="386">
        <v>1.0</v>
      </c>
      <c r="G5068" s="74">
        <v>200000.0</v>
      </c>
      <c r="H5068" s="74">
        <v>0.0</v>
      </c>
      <c r="I5068" s="74">
        <f t="shared" si="1"/>
        <v>200000</v>
      </c>
      <c r="J5068" s="74">
        <f>IF(E5068="SERVICE",I5068-(I5068*50%),Vlookup(E5068,DATABASE!C:Q,10,false)*F5068)</f>
        <v>25000</v>
      </c>
      <c r="K5068" s="74">
        <f>VLOOKUP(E5068,DATABASE!C:Q,7,false)</f>
        <v>75000</v>
      </c>
      <c r="L5068" s="74">
        <v>75000.0</v>
      </c>
      <c r="M5068" s="74">
        <f t="shared" si="2"/>
        <v>75000</v>
      </c>
      <c r="N5068" s="74">
        <f t="shared" si="3"/>
        <v>100000</v>
      </c>
      <c r="O5068" s="65" t="str">
        <f>VLOOKUP(E5068,DATABASE!C:Q,8,false)</f>
        <v>BIAN</v>
      </c>
      <c r="P5068" s="65">
        <f>VLOOKUP(E5068,DATABASE!C:Q,9,False)</f>
        <v>0</v>
      </c>
      <c r="Q5068" s="93" t="str">
        <f>VLOOKUP(E5068,DATABASE!C:Q,4,false)</f>
        <v>Baut Camber ss-carry</v>
      </c>
      <c r="R5068" s="93" t="str">
        <f>VLOOKUP(E5068,DATABASE!C:Q,11,false)</f>
        <v>COMPLEMENTARY</v>
      </c>
    </row>
    <row r="5069" ht="22.5" customHeight="1">
      <c r="A5069" s="49"/>
      <c r="C5069" s="384">
        <v>45950.0</v>
      </c>
      <c r="D5069" s="65">
        <v>7542.0</v>
      </c>
      <c r="E5069" s="445" t="s">
        <v>2154</v>
      </c>
      <c r="F5069" s="386">
        <v>1.0</v>
      </c>
      <c r="G5069" s="74">
        <v>225000.0</v>
      </c>
      <c r="H5069" s="74">
        <v>0.0</v>
      </c>
      <c r="I5069" s="74">
        <f t="shared" si="1"/>
        <v>225000</v>
      </c>
      <c r="J5069" s="74">
        <f>IF(E5069="SERVICE",I5069-(I5069*50%),Vlookup(E5069,DATABASE!C:Q,10,false)*F5069)</f>
        <v>80000</v>
      </c>
      <c r="K5069" s="74">
        <f>VLOOKUP(E5069,DATABASE!C:Q,7,false)</f>
        <v>90000</v>
      </c>
      <c r="L5069" s="74">
        <v>65000.0</v>
      </c>
      <c r="M5069" s="74">
        <f t="shared" si="2"/>
        <v>65000</v>
      </c>
      <c r="N5069" s="74">
        <f t="shared" si="3"/>
        <v>80000</v>
      </c>
      <c r="O5069" s="65" t="str">
        <f>VLOOKUP(E5069,DATABASE!C:Q,8,false)</f>
        <v>IBU</v>
      </c>
      <c r="P5069" s="65">
        <f>VLOOKUP(E5069,DATABASE!C:Q,9,False)</f>
        <v>0</v>
      </c>
      <c r="Q5069" s="93" t="str">
        <f>VLOOKUP(E5069,DATABASE!C:Q,4,false)</f>
        <v>SERVICE</v>
      </c>
      <c r="R5069" s="93" t="str">
        <f>VLOOKUP(E5069,DATABASE!C:Q,11,false)</f>
        <v>COMPLEMENTARY</v>
      </c>
    </row>
    <row r="5070" ht="22.5" customHeight="1">
      <c r="A5070" s="49"/>
      <c r="C5070" s="384">
        <v>45950.0</v>
      </c>
      <c r="D5070" s="65">
        <v>7542.0</v>
      </c>
      <c r="E5070" s="445" t="s">
        <v>256</v>
      </c>
      <c r="F5070" s="386">
        <v>1.0</v>
      </c>
      <c r="G5070" s="74">
        <v>110000.0</v>
      </c>
      <c r="H5070" s="74">
        <v>0.0</v>
      </c>
      <c r="I5070" s="74">
        <f t="shared" si="1"/>
        <v>110000</v>
      </c>
      <c r="J5070" s="74">
        <f>IF(E5070="SERVICE",I5070-(I5070*50%),Vlookup(E5070,DATABASE!C:Q,10,false)*F5070)</f>
        <v>10000</v>
      </c>
      <c r="K5070" s="74">
        <f>VLOOKUP(E5070,DATABASE!C:Q,7,false)</f>
        <v>0</v>
      </c>
      <c r="L5070" s="74">
        <v>0.0</v>
      </c>
      <c r="M5070" s="74">
        <f t="shared" si="2"/>
        <v>0</v>
      </c>
      <c r="N5070" s="74">
        <f t="shared" si="3"/>
        <v>100000</v>
      </c>
      <c r="O5070" s="65" t="str">
        <f>VLOOKUP(E5070,DATABASE!C:Q,8,false)</f>
        <v>IBU</v>
      </c>
      <c r="P5070" s="65">
        <f>VLOOKUP(E5070,DATABASE!C:Q,9,False)</f>
        <v>0</v>
      </c>
      <c r="Q5070" s="93" t="str">
        <f>VLOOKUP(E5070,DATABASE!C:Q,4,false)</f>
        <v>SPOORING</v>
      </c>
      <c r="R5070" s="93" t="str">
        <f>VLOOKUP(E5070,DATABASE!C:Q,11,false)</f>
        <v>SERVICE</v>
      </c>
    </row>
    <row r="5071" ht="22.5" customHeight="1">
      <c r="A5071" s="49"/>
      <c r="C5071" s="384">
        <v>45950.0</v>
      </c>
      <c r="D5071" s="65">
        <v>7542.0</v>
      </c>
      <c r="E5071" s="445" t="s">
        <v>251</v>
      </c>
      <c r="F5071" s="386">
        <v>1.0</v>
      </c>
      <c r="G5071" s="74">
        <v>100000.0</v>
      </c>
      <c r="H5071" s="74">
        <v>0.0</v>
      </c>
      <c r="I5071" s="74">
        <f t="shared" si="1"/>
        <v>100000</v>
      </c>
      <c r="J5071" s="74">
        <f>IF(E5071="SERVICE",I5071-(I5071*50%),Vlookup(E5071,DATABASE!C:Q,10,false)*F5071)</f>
        <v>50000</v>
      </c>
      <c r="K5071" s="74">
        <f>VLOOKUP(E5071,DATABASE!C:Q,7,false)</f>
        <v>0</v>
      </c>
      <c r="L5071" s="74">
        <v>0.0</v>
      </c>
      <c r="M5071" s="74">
        <f t="shared" si="2"/>
        <v>0</v>
      </c>
      <c r="N5071" s="74">
        <f t="shared" si="3"/>
        <v>50000</v>
      </c>
      <c r="O5071" s="65" t="str">
        <f>VLOOKUP(E5071,DATABASE!C:Q,8,false)</f>
        <v>IBU</v>
      </c>
      <c r="P5071" s="65">
        <f>VLOOKUP(E5071,DATABASE!C:Q,9,False)</f>
        <v>0</v>
      </c>
      <c r="Q5071" s="93" t="str">
        <f>VLOOKUP(E5071,DATABASE!C:Q,4,false)</f>
        <v>SERVICE</v>
      </c>
      <c r="R5071" s="93" t="str">
        <f>VLOOKUP(E5071,DATABASE!C:Q,11,false)</f>
        <v>SERVICE</v>
      </c>
    </row>
    <row r="5072" ht="22.5" customHeight="1">
      <c r="A5072" s="49"/>
      <c r="C5072" s="384">
        <v>45950.0</v>
      </c>
      <c r="D5072" s="65">
        <v>7543.0</v>
      </c>
      <c r="E5072" s="445" t="s">
        <v>591</v>
      </c>
      <c r="F5072" s="386">
        <v>1.0</v>
      </c>
      <c r="G5072" s="74">
        <v>700000.0</v>
      </c>
      <c r="H5072" s="74">
        <v>0.0</v>
      </c>
      <c r="I5072" s="74">
        <f t="shared" si="1"/>
        <v>700000</v>
      </c>
      <c r="J5072" s="74">
        <f>IF(E5072="SERVICE",I5072-(I5072*50%),Vlookup(E5072,DATABASE!C:Q,10,false)*F5072)</f>
        <v>0</v>
      </c>
      <c r="K5072" s="74">
        <f>VLOOKUP(E5072,DATABASE!C:Q,7,false)</f>
        <v>633035.16</v>
      </c>
      <c r="L5072" s="74">
        <v>593488.4</v>
      </c>
      <c r="M5072" s="74">
        <f t="shared" si="2"/>
        <v>595000</v>
      </c>
      <c r="N5072" s="74">
        <f t="shared" si="3"/>
        <v>105000</v>
      </c>
      <c r="O5072" s="65" t="str">
        <f>VLOOKUP(E5072,DATABASE!C:Q,8,false)</f>
        <v>IBU</v>
      </c>
      <c r="P5072" s="65">
        <f>VLOOKUP(E5072,DATABASE!C:Q,9,False)</f>
        <v>1</v>
      </c>
      <c r="Q5072" s="93" t="str">
        <f>VLOOKUP(E5072,DATABASE!C:Q,4,false)</f>
        <v>Bridgestone</v>
      </c>
      <c r="R5072" s="93" t="str">
        <f>VLOOKUP(E5072,DATABASE!C:Q,11,false)</f>
        <v>Tire</v>
      </c>
    </row>
    <row r="5073" ht="22.5" customHeight="1">
      <c r="A5073" s="49"/>
      <c r="C5073" s="384">
        <v>45950.0</v>
      </c>
      <c r="D5073" s="65">
        <v>7544.0</v>
      </c>
      <c r="E5073" s="445" t="s">
        <v>1536</v>
      </c>
      <c r="F5073" s="386">
        <v>1.0</v>
      </c>
      <c r="G5073" s="74">
        <v>685000.0</v>
      </c>
      <c r="H5073" s="74">
        <v>0.0</v>
      </c>
      <c r="I5073" s="74">
        <f t="shared" si="1"/>
        <v>685000</v>
      </c>
      <c r="J5073" s="74">
        <f>IF(E5073="SERVICE",I5073-(I5073*50%),Vlookup(E5073,DATABASE!C:Q,10,false)*F5073)</f>
        <v>0</v>
      </c>
      <c r="K5073" s="74">
        <f>VLOOKUP(E5073,DATABASE!C:Q,7,false)</f>
        <v>599000</v>
      </c>
      <c r="L5073" s="74">
        <v>573000.0</v>
      </c>
      <c r="M5073" s="74">
        <f t="shared" si="2"/>
        <v>575000</v>
      </c>
      <c r="N5073" s="74">
        <f t="shared" si="3"/>
        <v>110000</v>
      </c>
      <c r="O5073" s="65" t="str">
        <f>VLOOKUP(E5073,DATABASE!C:Q,8,false)</f>
        <v>BIAN</v>
      </c>
      <c r="P5073" s="65">
        <f>VLOOKUP(E5073,DATABASE!C:Q,9,False)</f>
        <v>1</v>
      </c>
      <c r="Q5073" s="93" t="str">
        <f>VLOOKUP(E5073,DATABASE!C:Q,4,false)</f>
        <v>Laufen</v>
      </c>
      <c r="R5073" s="93" t="str">
        <f>VLOOKUP(E5073,DATABASE!C:Q,11,false)</f>
        <v>Tire</v>
      </c>
    </row>
    <row r="5074" ht="22.5" customHeight="1">
      <c r="A5074" s="49"/>
      <c r="C5074" s="384">
        <v>45950.0</v>
      </c>
      <c r="D5074" s="65">
        <v>7545.0</v>
      </c>
      <c r="E5074" s="445" t="s">
        <v>2019</v>
      </c>
      <c r="F5074" s="386">
        <v>1.0</v>
      </c>
      <c r="G5074" s="74">
        <v>680000.0</v>
      </c>
      <c r="H5074" s="74">
        <v>0.0</v>
      </c>
      <c r="I5074" s="74">
        <f t="shared" si="1"/>
        <v>680000</v>
      </c>
      <c r="J5074" s="74">
        <f>IF(E5074="SERVICE",I5074-(I5074*50%),Vlookup(E5074,DATABASE!C:Q,10,false)*F5074)</f>
        <v>0</v>
      </c>
      <c r="K5074" s="74">
        <f>VLOOKUP(E5074,DATABASE!C:Q,7,false)</f>
        <v>620000</v>
      </c>
      <c r="L5074" s="74">
        <v>585000.0</v>
      </c>
      <c r="M5074" s="74">
        <f t="shared" si="2"/>
        <v>585000</v>
      </c>
      <c r="N5074" s="74">
        <f t="shared" si="3"/>
        <v>95000</v>
      </c>
      <c r="O5074" s="65" t="str">
        <f>VLOOKUP(E5074,DATABASE!C:Q,8,false)</f>
        <v>BIAN</v>
      </c>
      <c r="P5074" s="65">
        <f>VLOOKUP(E5074,DATABASE!C:Q,9,False)</f>
        <v>1</v>
      </c>
      <c r="Q5074" s="93" t="str">
        <f>VLOOKUP(E5074,DATABASE!C:Q,4,false)</f>
        <v>GT</v>
      </c>
      <c r="R5074" s="93" t="str">
        <f>VLOOKUP(E5074,DATABASE!C:Q,11,false)</f>
        <v>Tire</v>
      </c>
    </row>
    <row r="5075" ht="22.5" customHeight="1">
      <c r="A5075" s="49"/>
      <c r="C5075" s="384">
        <v>45950.0</v>
      </c>
      <c r="D5075" s="65">
        <v>7545.0</v>
      </c>
      <c r="E5075" s="445" t="s">
        <v>613</v>
      </c>
      <c r="F5075" s="386">
        <v>1.0</v>
      </c>
      <c r="G5075" s="74">
        <v>95000.0</v>
      </c>
      <c r="H5075" s="74">
        <v>0.0</v>
      </c>
      <c r="I5075" s="74">
        <f t="shared" si="1"/>
        <v>95000</v>
      </c>
      <c r="J5075" s="74">
        <f>IF(E5075="SERVICE",I5075-(I5075*50%),Vlookup(E5075,DATABASE!C:Q,10,false)*F5075)</f>
        <v>0</v>
      </c>
      <c r="K5075" s="74">
        <f>VLOOKUP(E5075,DATABASE!C:Q,7,false)</f>
        <v>58371.2695</v>
      </c>
      <c r="L5075" s="74">
        <v>55000.0</v>
      </c>
      <c r="M5075" s="74">
        <f t="shared" si="2"/>
        <v>55000</v>
      </c>
      <c r="N5075" s="74">
        <f t="shared" si="3"/>
        <v>40000</v>
      </c>
      <c r="O5075" s="65" t="str">
        <f>VLOOKUP(E5075,DATABASE!C:Q,8,false)</f>
        <v>BIAN</v>
      </c>
      <c r="P5075" s="65">
        <f>VLOOKUP(E5075,DATABASE!C:Q,9,False)</f>
        <v>1</v>
      </c>
      <c r="Q5075" s="93" t="str">
        <f>VLOOKUP(E5075,DATABASE!C:Q,4,false)</f>
        <v>BD</v>
      </c>
      <c r="R5075" s="93" t="str">
        <f>VLOOKUP(E5075,DATABASE!C:Q,11,false)</f>
        <v>Tire</v>
      </c>
    </row>
    <row r="5076" ht="22.5" customHeight="1">
      <c r="A5076" s="49"/>
      <c r="C5076" s="384">
        <v>45950.0</v>
      </c>
      <c r="D5076" s="65">
        <v>7546.0</v>
      </c>
      <c r="E5076" s="445" t="s">
        <v>256</v>
      </c>
      <c r="F5076" s="386">
        <v>1.0</v>
      </c>
      <c r="G5076" s="74">
        <v>110000.0</v>
      </c>
      <c r="H5076" s="74">
        <v>0.0</v>
      </c>
      <c r="I5076" s="74">
        <f t="shared" si="1"/>
        <v>110000</v>
      </c>
      <c r="J5076" s="74">
        <f>IF(E5076="SERVICE",I5076-(I5076*50%),Vlookup(E5076,DATABASE!C:Q,10,false)*F5076)</f>
        <v>10000</v>
      </c>
      <c r="K5076" s="74">
        <f>VLOOKUP(E5076,DATABASE!C:Q,7,false)</f>
        <v>0</v>
      </c>
      <c r="L5076" s="74">
        <v>0.0</v>
      </c>
      <c r="M5076" s="74">
        <f t="shared" si="2"/>
        <v>0</v>
      </c>
      <c r="N5076" s="74">
        <f t="shared" si="3"/>
        <v>100000</v>
      </c>
      <c r="O5076" s="65" t="str">
        <f>VLOOKUP(E5076,DATABASE!C:Q,8,false)</f>
        <v>IBU</v>
      </c>
      <c r="P5076" s="65">
        <f>VLOOKUP(E5076,DATABASE!C:Q,9,False)</f>
        <v>0</v>
      </c>
      <c r="Q5076" s="93" t="str">
        <f>VLOOKUP(E5076,DATABASE!C:Q,4,false)</f>
        <v>SPOORING</v>
      </c>
      <c r="R5076" s="93" t="str">
        <f>VLOOKUP(E5076,DATABASE!C:Q,11,false)</f>
        <v>SERVICE</v>
      </c>
    </row>
    <row r="5077" ht="22.5" customHeight="1">
      <c r="A5077" s="49"/>
      <c r="C5077" s="384">
        <v>45950.0</v>
      </c>
      <c r="D5077" s="65">
        <v>7546.0</v>
      </c>
      <c r="E5077" s="445" t="s">
        <v>2154</v>
      </c>
      <c r="F5077" s="386">
        <v>1.0</v>
      </c>
      <c r="G5077" s="74">
        <v>225000.0</v>
      </c>
      <c r="H5077" s="74">
        <v>0.0</v>
      </c>
      <c r="I5077" s="74">
        <f t="shared" si="1"/>
        <v>225000</v>
      </c>
      <c r="J5077" s="74">
        <f>IF(E5077="SERVICE",I5077-(I5077*50%),Vlookup(E5077,DATABASE!C:Q,10,false)*F5077)</f>
        <v>80000</v>
      </c>
      <c r="K5077" s="74">
        <f>VLOOKUP(E5077,DATABASE!C:Q,7,false)</f>
        <v>90000</v>
      </c>
      <c r="L5077" s="74">
        <v>65000.0</v>
      </c>
      <c r="M5077" s="74">
        <f t="shared" si="2"/>
        <v>65000</v>
      </c>
      <c r="N5077" s="74">
        <f t="shared" si="3"/>
        <v>80000</v>
      </c>
      <c r="O5077" s="65" t="str">
        <f>VLOOKUP(E5077,DATABASE!C:Q,8,false)</f>
        <v>IBU</v>
      </c>
      <c r="P5077" s="65">
        <f>VLOOKUP(E5077,DATABASE!C:Q,9,False)</f>
        <v>0</v>
      </c>
      <c r="Q5077" s="93" t="str">
        <f>VLOOKUP(E5077,DATABASE!C:Q,4,false)</f>
        <v>SERVICE</v>
      </c>
      <c r="R5077" s="93" t="str">
        <f>VLOOKUP(E5077,DATABASE!C:Q,11,false)</f>
        <v>COMPLEMENTARY</v>
      </c>
    </row>
    <row r="5078" ht="22.5" customHeight="1">
      <c r="A5078" s="49"/>
      <c r="C5078" s="384">
        <v>45950.0</v>
      </c>
      <c r="D5078" s="65">
        <v>7547.0</v>
      </c>
      <c r="E5078" s="445" t="s">
        <v>554</v>
      </c>
      <c r="F5078" s="386">
        <v>3.0</v>
      </c>
      <c r="G5078" s="74">
        <v>765000.0</v>
      </c>
      <c r="H5078" s="74">
        <v>0.0</v>
      </c>
      <c r="I5078" s="74">
        <f t="shared" si="1"/>
        <v>2295000</v>
      </c>
      <c r="J5078" s="74">
        <f>IF(E5078="SERVICE",I5078-(I5078*50%),Vlookup(E5078,DATABASE!C:Q,10,false)*F5078)</f>
        <v>0</v>
      </c>
      <c r="K5078" s="74">
        <f>VLOOKUP(E5078,DATABASE!C:Q,7,false)</f>
        <v>710000</v>
      </c>
      <c r="L5078" s="74">
        <v>680000.0</v>
      </c>
      <c r="M5078" s="74">
        <f t="shared" si="2"/>
        <v>680000</v>
      </c>
      <c r="N5078" s="74">
        <f t="shared" si="3"/>
        <v>255000</v>
      </c>
      <c r="O5078" s="65" t="str">
        <f>VLOOKUP(E5078,DATABASE!C:Q,8,false)</f>
        <v>IBU</v>
      </c>
      <c r="P5078" s="65">
        <f>VLOOKUP(E5078,DATABASE!C:Q,9,False)</f>
        <v>1</v>
      </c>
      <c r="Q5078" s="93" t="str">
        <f>VLOOKUP(E5078,DATABASE!C:Q,4,false)</f>
        <v>Bridgestone</v>
      </c>
      <c r="R5078" s="93" t="str">
        <f>VLOOKUP(E5078,DATABASE!C:Q,11,false)</f>
        <v>Tire</v>
      </c>
    </row>
    <row r="5079" ht="22.5" customHeight="1">
      <c r="A5079" s="49"/>
      <c r="C5079" s="384">
        <v>45951.0</v>
      </c>
      <c r="D5079" s="65">
        <v>7548.0</v>
      </c>
      <c r="E5079" s="445" t="s">
        <v>275</v>
      </c>
      <c r="F5079" s="386">
        <v>1.0</v>
      </c>
      <c r="G5079" s="74">
        <v>850000.0</v>
      </c>
      <c r="H5079" s="74">
        <v>0.0</v>
      </c>
      <c r="I5079" s="74">
        <f t="shared" si="1"/>
        <v>850000</v>
      </c>
      <c r="J5079" s="74">
        <f>IF(E5079="SERVICE",I5079-(I5079*50%),Vlookup(E5079,DATABASE!C:Q,10,false)*F5079)</f>
        <v>0</v>
      </c>
      <c r="K5079" s="74">
        <f>VLOOKUP(E5079,DATABASE!C:Q,7,false)</f>
        <v>782000</v>
      </c>
      <c r="L5079" s="74">
        <v>745000.0</v>
      </c>
      <c r="M5079" s="74">
        <f t="shared" si="2"/>
        <v>745000</v>
      </c>
      <c r="N5079" s="74">
        <f t="shared" si="3"/>
        <v>105000</v>
      </c>
      <c r="O5079" s="65" t="str">
        <f>VLOOKUP(E5079,DATABASE!C:Q,8,false)</f>
        <v>IBU</v>
      </c>
      <c r="P5079" s="65">
        <f>VLOOKUP(E5079,DATABASE!C:Q,9,False)</f>
        <v>1</v>
      </c>
      <c r="Q5079" s="93" t="str">
        <f>VLOOKUP(E5079,DATABASE!C:Q,4,false)</f>
        <v>Dunlop</v>
      </c>
      <c r="R5079" s="93" t="str">
        <f>VLOOKUP(E5079,DATABASE!C:Q,11,false)</f>
        <v>Tire</v>
      </c>
    </row>
    <row r="5080" ht="22.5" customHeight="1">
      <c r="A5080" s="49"/>
      <c r="C5080" s="384">
        <v>45951.0</v>
      </c>
      <c r="D5080" s="65">
        <v>7549.0</v>
      </c>
      <c r="E5080" s="445" t="s">
        <v>246</v>
      </c>
      <c r="F5080" s="386">
        <v>8.0</v>
      </c>
      <c r="G5080" s="74">
        <v>25000.0</v>
      </c>
      <c r="H5080" s="74">
        <v>0.0</v>
      </c>
      <c r="I5080" s="74">
        <f t="shared" si="1"/>
        <v>200000</v>
      </c>
      <c r="J5080" s="74">
        <f>IF(E5080="SERVICE",I5080-(I5080*50%),Vlookup(E5080,DATABASE!C:Q,10,false)*F5080)</f>
        <v>0</v>
      </c>
      <c r="K5080" s="74">
        <f>VLOOKUP(E5080,DATABASE!C:Q,7,false)</f>
        <v>0</v>
      </c>
      <c r="L5080" s="74">
        <v>0.0</v>
      </c>
      <c r="M5080" s="74">
        <f t="shared" si="2"/>
        <v>0</v>
      </c>
      <c r="N5080" s="74">
        <f t="shared" si="3"/>
        <v>200000</v>
      </c>
      <c r="O5080" s="65" t="str">
        <f>VLOOKUP(E5080,DATABASE!C:Q,8,false)</f>
        <v>IBU</v>
      </c>
      <c r="P5080" s="65">
        <f>VLOOKUP(E5080,DATABASE!C:Q,9,False)</f>
        <v>0</v>
      </c>
      <c r="Q5080" s="93" t="str">
        <f>VLOOKUP(E5080,DATABASE!C:Q,4,false)</f>
        <v>Bongkar Pasang</v>
      </c>
      <c r="R5080" s="93" t="str">
        <f>VLOOKUP(E5080,DATABASE!C:Q,11,false)</f>
        <v>SERVICE</v>
      </c>
    </row>
    <row r="5081" ht="22.5" customHeight="1">
      <c r="A5081" s="49"/>
      <c r="C5081" s="384">
        <v>45951.0</v>
      </c>
      <c r="D5081" s="65">
        <v>7550.0</v>
      </c>
      <c r="E5081" s="445" t="s">
        <v>268</v>
      </c>
      <c r="F5081" s="386">
        <v>2.0</v>
      </c>
      <c r="G5081" s="74">
        <v>720000.0</v>
      </c>
      <c r="H5081" s="74">
        <v>0.0</v>
      </c>
      <c r="I5081" s="74">
        <f t="shared" si="1"/>
        <v>1440000</v>
      </c>
      <c r="J5081" s="74">
        <f>IF(E5081="SERVICE",I5081-(I5081*50%),Vlookup(E5081,DATABASE!C:Q,10,false)*F5081)</f>
        <v>0</v>
      </c>
      <c r="K5081" s="74">
        <f>VLOOKUP(E5081,DATABASE!C:Q,7,false)</f>
        <v>653000</v>
      </c>
      <c r="L5081" s="74">
        <v>622000.0</v>
      </c>
      <c r="M5081" s="74">
        <f t="shared" si="2"/>
        <v>625000</v>
      </c>
      <c r="N5081" s="74">
        <f t="shared" si="3"/>
        <v>190000</v>
      </c>
      <c r="O5081" s="65" t="str">
        <f>VLOOKUP(E5081,DATABASE!C:Q,8,false)</f>
        <v>IBU</v>
      </c>
      <c r="P5081" s="65">
        <f>VLOOKUP(E5081,DATABASE!C:Q,9,False)</f>
        <v>1</v>
      </c>
      <c r="Q5081" s="93" t="str">
        <f>VLOOKUP(E5081,DATABASE!C:Q,4,false)</f>
        <v>Dunlop</v>
      </c>
      <c r="R5081" s="93" t="str">
        <f>VLOOKUP(E5081,DATABASE!C:Q,11,false)</f>
        <v>Tire</v>
      </c>
    </row>
    <row r="5082" ht="22.5" customHeight="1">
      <c r="A5082" s="49"/>
      <c r="C5082" s="384">
        <v>45951.0</v>
      </c>
      <c r="D5082" s="65">
        <v>7550.0</v>
      </c>
      <c r="E5082" s="445" t="s">
        <v>256</v>
      </c>
      <c r="F5082" s="386">
        <v>1.0</v>
      </c>
      <c r="G5082" s="74">
        <v>130000.0</v>
      </c>
      <c r="H5082" s="74">
        <v>0.0</v>
      </c>
      <c r="I5082" s="74">
        <f t="shared" si="1"/>
        <v>130000</v>
      </c>
      <c r="J5082" s="74">
        <f>IF(E5082="SERVICE",I5082-(I5082*50%),Vlookup(E5082,DATABASE!C:Q,10,false)*F5082)</f>
        <v>10000</v>
      </c>
      <c r="K5082" s="74">
        <f>VLOOKUP(E5082,DATABASE!C:Q,7,false)</f>
        <v>0</v>
      </c>
      <c r="L5082" s="74">
        <v>0.0</v>
      </c>
      <c r="M5082" s="74">
        <f t="shared" si="2"/>
        <v>0</v>
      </c>
      <c r="N5082" s="74">
        <f t="shared" si="3"/>
        <v>120000</v>
      </c>
      <c r="O5082" s="65" t="str">
        <f>VLOOKUP(E5082,DATABASE!C:Q,8,false)</f>
        <v>IBU</v>
      </c>
      <c r="P5082" s="65">
        <f>VLOOKUP(E5082,DATABASE!C:Q,9,False)</f>
        <v>0</v>
      </c>
      <c r="Q5082" s="93" t="str">
        <f>VLOOKUP(E5082,DATABASE!C:Q,4,false)</f>
        <v>SPOORING</v>
      </c>
      <c r="R5082" s="93" t="str">
        <f>VLOOKUP(E5082,DATABASE!C:Q,11,false)</f>
        <v>SERVICE</v>
      </c>
    </row>
    <row r="5083" ht="22.5" customHeight="1">
      <c r="A5083" s="49"/>
      <c r="C5083" s="384">
        <v>45951.0</v>
      </c>
      <c r="D5083" s="65">
        <v>7550.0</v>
      </c>
      <c r="E5083" s="385" t="s">
        <v>299</v>
      </c>
      <c r="F5083" s="386">
        <v>2.0</v>
      </c>
      <c r="G5083" s="74">
        <v>30000.0</v>
      </c>
      <c r="H5083" s="74">
        <v>0.0</v>
      </c>
      <c r="I5083" s="74">
        <f t="shared" si="1"/>
        <v>60000</v>
      </c>
      <c r="J5083" s="74">
        <f>IF(E5083="SERVICE",I5083-(I5083*50%),Vlookup(E5083,DATABASE!C:Q,10,false)*F5083)</f>
        <v>0</v>
      </c>
      <c r="K5083" s="74">
        <v>0.0</v>
      </c>
      <c r="L5083" s="74">
        <v>0.0</v>
      </c>
      <c r="M5083" s="74">
        <f t="shared" si="2"/>
        <v>0</v>
      </c>
      <c r="N5083" s="74">
        <f t="shared" si="3"/>
        <v>60000</v>
      </c>
      <c r="O5083" s="65" t="str">
        <f>VLOOKUP(E5083,DATABASE!C:Q,8,false)</f>
        <v>BIAN</v>
      </c>
      <c r="P5083" s="65">
        <f>VLOOKUP(E5083,DATABASE!C:Q,9,False)</f>
        <v>0</v>
      </c>
      <c r="Q5083" s="93" t="str">
        <f>VLOOKUP(E5083,DATABASE!C:Q,4,false)</f>
        <v>Balancing</v>
      </c>
      <c r="R5083" s="93" t="str">
        <f>VLOOKUP(E5083,DATABASE!C:Q,11,false)</f>
        <v>COMPLEMENTARY</v>
      </c>
    </row>
    <row r="5084" ht="22.5" customHeight="1">
      <c r="A5084" s="49"/>
      <c r="C5084" s="384">
        <v>45951.0</v>
      </c>
      <c r="D5084" s="65">
        <v>7551.0</v>
      </c>
      <c r="E5084" s="445" t="s">
        <v>268</v>
      </c>
      <c r="F5084" s="386">
        <v>1.0</v>
      </c>
      <c r="G5084" s="74">
        <v>720000.0</v>
      </c>
      <c r="H5084" s="74">
        <v>0.0</v>
      </c>
      <c r="I5084" s="74">
        <f t="shared" si="1"/>
        <v>720000</v>
      </c>
      <c r="J5084" s="74">
        <f>IF(E5084="SERVICE",I5084-(I5084*50%),Vlookup(E5084,DATABASE!C:Q,10,false)*F5084)</f>
        <v>0</v>
      </c>
      <c r="K5084" s="74">
        <f>VLOOKUP(E5084,DATABASE!C:Q,7,false)</f>
        <v>653000</v>
      </c>
      <c r="L5084" s="74">
        <v>622000.0</v>
      </c>
      <c r="M5084" s="74">
        <f t="shared" si="2"/>
        <v>625000</v>
      </c>
      <c r="N5084" s="74">
        <f t="shared" si="3"/>
        <v>95000</v>
      </c>
      <c r="O5084" s="65" t="str">
        <f>VLOOKUP(E5084,DATABASE!C:Q,8,false)</f>
        <v>IBU</v>
      </c>
      <c r="P5084" s="65">
        <f>VLOOKUP(E5084,DATABASE!C:Q,9,False)</f>
        <v>1</v>
      </c>
      <c r="Q5084" s="93" t="str">
        <f>VLOOKUP(E5084,DATABASE!C:Q,4,false)</f>
        <v>Dunlop</v>
      </c>
      <c r="R5084" s="93" t="str">
        <f>VLOOKUP(E5084,DATABASE!C:Q,11,false)</f>
        <v>Tire</v>
      </c>
    </row>
    <row r="5085" ht="22.5" customHeight="1">
      <c r="A5085" s="49"/>
      <c r="C5085" s="384">
        <v>45951.0</v>
      </c>
      <c r="D5085" s="65">
        <v>7552.0</v>
      </c>
      <c r="E5085" s="445" t="s">
        <v>256</v>
      </c>
      <c r="F5085" s="386">
        <v>1.0</v>
      </c>
      <c r="G5085" s="74">
        <v>130000.0</v>
      </c>
      <c r="H5085" s="74">
        <v>0.0</v>
      </c>
      <c r="I5085" s="74">
        <f t="shared" si="1"/>
        <v>130000</v>
      </c>
      <c r="J5085" s="74">
        <f>IF(E5085="SERVICE",I5085-(I5085*50%),Vlookup(E5085,DATABASE!C:Q,10,false)*F5085)</f>
        <v>10000</v>
      </c>
      <c r="K5085" s="74">
        <f>VLOOKUP(E5085,DATABASE!C:Q,7,false)</f>
        <v>0</v>
      </c>
      <c r="L5085" s="74">
        <v>0.0</v>
      </c>
      <c r="M5085" s="74">
        <f t="shared" si="2"/>
        <v>0</v>
      </c>
      <c r="N5085" s="74">
        <f t="shared" si="3"/>
        <v>120000</v>
      </c>
      <c r="O5085" s="65" t="str">
        <f>VLOOKUP(E5085,DATABASE!C:Q,8,false)</f>
        <v>IBU</v>
      </c>
      <c r="P5085" s="65">
        <f>VLOOKUP(E5085,DATABASE!C:Q,9,False)</f>
        <v>0</v>
      </c>
      <c r="Q5085" s="93" t="str">
        <f>VLOOKUP(E5085,DATABASE!C:Q,4,false)</f>
        <v>SPOORING</v>
      </c>
      <c r="R5085" s="93" t="str">
        <f>VLOOKUP(E5085,DATABASE!C:Q,11,false)</f>
        <v>SERVICE</v>
      </c>
    </row>
    <row r="5086" ht="22.5" customHeight="1">
      <c r="A5086" s="49"/>
      <c r="C5086" s="384">
        <v>45951.0</v>
      </c>
      <c r="D5086" s="65">
        <v>7552.0</v>
      </c>
      <c r="E5086" s="385" t="s">
        <v>299</v>
      </c>
      <c r="F5086" s="386">
        <v>2.0</v>
      </c>
      <c r="G5086" s="74">
        <v>30000.0</v>
      </c>
      <c r="H5086" s="74">
        <v>0.0</v>
      </c>
      <c r="I5086" s="74">
        <f t="shared" si="1"/>
        <v>60000</v>
      </c>
      <c r="J5086" s="74">
        <f>IF(E5086="SERVICE",I5086-(I5086*50%),Vlookup(E5086,DATABASE!C:Q,10,false)*F5086)</f>
        <v>0</v>
      </c>
      <c r="K5086" s="74">
        <v>0.0</v>
      </c>
      <c r="L5086" s="74">
        <v>0.0</v>
      </c>
      <c r="M5086" s="74">
        <f t="shared" si="2"/>
        <v>0</v>
      </c>
      <c r="N5086" s="74">
        <f t="shared" si="3"/>
        <v>60000</v>
      </c>
      <c r="O5086" s="65" t="str">
        <f>VLOOKUP(E5086,DATABASE!C:Q,8,false)</f>
        <v>BIAN</v>
      </c>
      <c r="P5086" s="65">
        <f>VLOOKUP(E5086,DATABASE!C:Q,9,False)</f>
        <v>0</v>
      </c>
      <c r="Q5086" s="93" t="str">
        <f>VLOOKUP(E5086,DATABASE!C:Q,4,false)</f>
        <v>Balancing</v>
      </c>
      <c r="R5086" s="93" t="str">
        <f>VLOOKUP(E5086,DATABASE!C:Q,11,false)</f>
        <v>COMPLEMENTARY</v>
      </c>
    </row>
    <row r="5087" ht="22.5" customHeight="1">
      <c r="A5087" s="49"/>
      <c r="C5087" s="384">
        <v>45951.0</v>
      </c>
      <c r="D5087" s="65">
        <v>7552.0</v>
      </c>
      <c r="E5087" s="445" t="s">
        <v>251</v>
      </c>
      <c r="F5087" s="386">
        <v>1.0</v>
      </c>
      <c r="G5087" s="74">
        <v>150000.0</v>
      </c>
      <c r="H5087" s="74">
        <v>0.0</v>
      </c>
      <c r="I5087" s="74">
        <f t="shared" si="1"/>
        <v>150000</v>
      </c>
      <c r="J5087" s="74">
        <f>IF(E5087="SERVICE",I5087-(I5087*50%),Vlookup(E5087,DATABASE!C:Q,10,false)*F5087)</f>
        <v>75000</v>
      </c>
      <c r="K5087" s="74">
        <f>VLOOKUP(E5087,DATABASE!C:Q,7,false)</f>
        <v>0</v>
      </c>
      <c r="L5087" s="74">
        <v>0.0</v>
      </c>
      <c r="M5087" s="74">
        <f t="shared" si="2"/>
        <v>0</v>
      </c>
      <c r="N5087" s="74">
        <f t="shared" si="3"/>
        <v>75000</v>
      </c>
      <c r="O5087" s="65" t="str">
        <f>VLOOKUP(E5087,DATABASE!C:Q,8,false)</f>
        <v>IBU</v>
      </c>
      <c r="P5087" s="65">
        <f>VLOOKUP(E5087,DATABASE!C:Q,9,False)</f>
        <v>0</v>
      </c>
      <c r="Q5087" s="93" t="str">
        <f>VLOOKUP(E5087,DATABASE!C:Q,4,false)</f>
        <v>SERVICE</v>
      </c>
      <c r="R5087" s="93" t="str">
        <f>VLOOKUP(E5087,DATABASE!C:Q,11,false)</f>
        <v>SERVICE</v>
      </c>
    </row>
    <row r="5088" ht="22.5" customHeight="1">
      <c r="A5088" s="49"/>
      <c r="C5088" s="384">
        <v>45951.0</v>
      </c>
      <c r="D5088" s="65">
        <v>7553.0</v>
      </c>
      <c r="E5088" s="445" t="s">
        <v>290</v>
      </c>
      <c r="F5088" s="386">
        <v>1.0</v>
      </c>
      <c r="G5088" s="74">
        <v>700000.0</v>
      </c>
      <c r="H5088" s="74">
        <v>0.0</v>
      </c>
      <c r="I5088" s="74">
        <f t="shared" si="1"/>
        <v>700000</v>
      </c>
      <c r="J5088" s="74">
        <f>IF(E5088="SERVICE",I5088-(I5088*50%),Vlookup(E5088,DATABASE!C:Q,10,false)*F5088)</f>
        <v>0</v>
      </c>
      <c r="K5088" s="74">
        <f>VLOOKUP(E5088,DATABASE!C:Q,7,false)</f>
        <v>628100</v>
      </c>
      <c r="L5088" s="74">
        <v>609804.0</v>
      </c>
      <c r="M5088" s="74">
        <f t="shared" si="2"/>
        <v>610000</v>
      </c>
      <c r="N5088" s="74">
        <f t="shared" si="3"/>
        <v>90000</v>
      </c>
      <c r="O5088" s="65" t="str">
        <f>VLOOKUP(E5088,DATABASE!C:Q,8,false)</f>
        <v>BIAN</v>
      </c>
      <c r="P5088" s="65">
        <f>VLOOKUP(E5088,DATABASE!C:Q,9,False)</f>
        <v>1</v>
      </c>
      <c r="Q5088" s="93" t="str">
        <f>VLOOKUP(E5088,DATABASE!C:Q,4,false)</f>
        <v>GT</v>
      </c>
      <c r="R5088" s="93" t="str">
        <f>VLOOKUP(E5088,DATABASE!C:Q,11,false)</f>
        <v>Tire</v>
      </c>
    </row>
    <row r="5089" ht="22.5" customHeight="1">
      <c r="A5089" s="49"/>
      <c r="C5089" s="384">
        <v>45951.0</v>
      </c>
      <c r="D5089" s="65">
        <v>7554.0</v>
      </c>
      <c r="E5089" s="385" t="s">
        <v>305</v>
      </c>
      <c r="F5089" s="386">
        <v>2.0</v>
      </c>
      <c r="G5089" s="74">
        <v>235000.0</v>
      </c>
      <c r="H5089" s="74">
        <v>0.0</v>
      </c>
      <c r="I5089" s="74">
        <f t="shared" si="1"/>
        <v>470000</v>
      </c>
      <c r="J5089" s="74">
        <f>IF(E5089="SERVICE",I5089-(I5089*50%),Vlookup(E5089,DATABASE!C:Q,10,false)*F5089)</f>
        <v>80000</v>
      </c>
      <c r="K5089" s="74">
        <f>VLOOKUP(E5089,DATABASE!C:Q,7,false)</f>
        <v>158530.2</v>
      </c>
      <c r="L5089" s="74">
        <v>151890.0</v>
      </c>
      <c r="M5089" s="74">
        <f t="shared" si="2"/>
        <v>155000</v>
      </c>
      <c r="N5089" s="74">
        <f t="shared" si="3"/>
        <v>80000</v>
      </c>
      <c r="O5089" s="65" t="str">
        <f>VLOOKUP(E5089,DATABASE!C:Q,8,false)</f>
        <v>BIAN</v>
      </c>
      <c r="P5089" s="65">
        <f>VLOOKUP(E5089,DATABASE!C:Q,9,False)</f>
        <v>1</v>
      </c>
      <c r="Q5089" s="93" t="str">
        <f>VLOOKUP(E5089,DATABASE!C:Q,4,false)</f>
        <v>Lower Arm</v>
      </c>
      <c r="R5089" s="93" t="str">
        <f>VLOOKUP(E5089,DATABASE!C:Q,11,false)</f>
        <v>COMPLEMENTARY</v>
      </c>
    </row>
    <row r="5090" ht="22.5" customHeight="1">
      <c r="A5090" s="49"/>
      <c r="C5090" s="384">
        <v>45951.0</v>
      </c>
      <c r="D5090" s="65">
        <v>7554.0</v>
      </c>
      <c r="E5090" s="445" t="s">
        <v>251</v>
      </c>
      <c r="F5090" s="386">
        <v>1.0</v>
      </c>
      <c r="G5090" s="74">
        <v>150000.0</v>
      </c>
      <c r="H5090" s="74">
        <v>0.0</v>
      </c>
      <c r="I5090" s="74">
        <f t="shared" si="1"/>
        <v>150000</v>
      </c>
      <c r="J5090" s="74">
        <f>IF(E5090="SERVICE",I5090-(I5090*50%),Vlookup(E5090,DATABASE!C:Q,10,false)*F5090)</f>
        <v>75000</v>
      </c>
      <c r="K5090" s="74">
        <f>VLOOKUP(E5090,DATABASE!C:Q,7,false)</f>
        <v>0</v>
      </c>
      <c r="L5090" s="74">
        <v>0.0</v>
      </c>
      <c r="M5090" s="74">
        <f t="shared" si="2"/>
        <v>0</v>
      </c>
      <c r="N5090" s="74">
        <f t="shared" si="3"/>
        <v>75000</v>
      </c>
      <c r="O5090" s="65" t="str">
        <f>VLOOKUP(E5090,DATABASE!C:Q,8,false)</f>
        <v>IBU</v>
      </c>
      <c r="P5090" s="65">
        <f>VLOOKUP(E5090,DATABASE!C:Q,9,False)</f>
        <v>0</v>
      </c>
      <c r="Q5090" s="93" t="str">
        <f>VLOOKUP(E5090,DATABASE!C:Q,4,false)</f>
        <v>SERVICE</v>
      </c>
      <c r="R5090" s="93" t="str">
        <f>VLOOKUP(E5090,DATABASE!C:Q,11,false)</f>
        <v>SERVICE</v>
      </c>
    </row>
    <row r="5091" ht="22.5" customHeight="1">
      <c r="A5091" s="49"/>
      <c r="C5091" s="384">
        <v>45951.0</v>
      </c>
      <c r="D5091" s="65">
        <v>7554.0</v>
      </c>
      <c r="E5091" s="445" t="s">
        <v>256</v>
      </c>
      <c r="F5091" s="386">
        <v>1.0</v>
      </c>
      <c r="G5091" s="74">
        <v>110000.0</v>
      </c>
      <c r="H5091" s="74">
        <v>0.0</v>
      </c>
      <c r="I5091" s="74">
        <f t="shared" si="1"/>
        <v>110000</v>
      </c>
      <c r="J5091" s="74">
        <f>IF(E5091="SERVICE",I5091-(I5091*50%),Vlookup(E5091,DATABASE!C:Q,10,false)*F5091)</f>
        <v>10000</v>
      </c>
      <c r="K5091" s="74">
        <f>VLOOKUP(E5091,DATABASE!C:Q,7,false)</f>
        <v>0</v>
      </c>
      <c r="L5091" s="74">
        <v>0.0</v>
      </c>
      <c r="M5091" s="74">
        <f t="shared" si="2"/>
        <v>0</v>
      </c>
      <c r="N5091" s="74">
        <f t="shared" si="3"/>
        <v>100000</v>
      </c>
      <c r="O5091" s="65" t="str">
        <f>VLOOKUP(E5091,DATABASE!C:Q,8,false)</f>
        <v>IBU</v>
      </c>
      <c r="P5091" s="65">
        <f>VLOOKUP(E5091,DATABASE!C:Q,9,False)</f>
        <v>0</v>
      </c>
      <c r="Q5091" s="93" t="str">
        <f>VLOOKUP(E5091,DATABASE!C:Q,4,false)</f>
        <v>SPOORING</v>
      </c>
      <c r="R5091" s="93" t="str">
        <f>VLOOKUP(E5091,DATABASE!C:Q,11,false)</f>
        <v>SERVICE</v>
      </c>
    </row>
    <row r="5092" ht="22.5" customHeight="1">
      <c r="A5092" s="49"/>
      <c r="C5092" s="384">
        <v>45951.0</v>
      </c>
      <c r="D5092" s="65">
        <v>7554.0</v>
      </c>
      <c r="E5092" s="385" t="s">
        <v>299</v>
      </c>
      <c r="F5092" s="386">
        <v>2.0</v>
      </c>
      <c r="G5092" s="74">
        <v>30000.0</v>
      </c>
      <c r="H5092" s="74">
        <v>0.0</v>
      </c>
      <c r="I5092" s="74">
        <f t="shared" si="1"/>
        <v>60000</v>
      </c>
      <c r="J5092" s="74">
        <f>IF(E5092="SERVICE",I5092-(I5092*50%),Vlookup(E5092,DATABASE!C:Q,10,false)*F5092)</f>
        <v>0</v>
      </c>
      <c r="K5092" s="74">
        <v>0.0</v>
      </c>
      <c r="L5092" s="74">
        <v>0.0</v>
      </c>
      <c r="M5092" s="74">
        <f t="shared" si="2"/>
        <v>0</v>
      </c>
      <c r="N5092" s="74">
        <f t="shared" si="3"/>
        <v>60000</v>
      </c>
      <c r="O5092" s="65" t="str">
        <f>VLOOKUP(E5092,DATABASE!C:Q,8,false)</f>
        <v>BIAN</v>
      </c>
      <c r="P5092" s="65">
        <f>VLOOKUP(E5092,DATABASE!C:Q,9,False)</f>
        <v>0</v>
      </c>
      <c r="Q5092" s="93" t="str">
        <f>VLOOKUP(E5092,DATABASE!C:Q,4,false)</f>
        <v>Balancing</v>
      </c>
      <c r="R5092" s="93" t="str">
        <f>VLOOKUP(E5092,DATABASE!C:Q,11,false)</f>
        <v>COMPLEMENTARY</v>
      </c>
    </row>
    <row r="5093" ht="22.5" customHeight="1">
      <c r="A5093" s="49"/>
      <c r="C5093" s="384">
        <v>45951.0</v>
      </c>
      <c r="D5093" s="65">
        <v>7555.0</v>
      </c>
      <c r="E5093" s="445" t="s">
        <v>256</v>
      </c>
      <c r="F5093" s="386">
        <v>1.0</v>
      </c>
      <c r="G5093" s="74">
        <v>110000.0</v>
      </c>
      <c r="H5093" s="74">
        <v>0.0</v>
      </c>
      <c r="I5093" s="74">
        <f t="shared" si="1"/>
        <v>110000</v>
      </c>
      <c r="J5093" s="74">
        <f>IF(E5093="SERVICE",I5093-(I5093*50%),Vlookup(E5093,DATABASE!C:Q,10,false)*F5093)</f>
        <v>10000</v>
      </c>
      <c r="K5093" s="74">
        <f>VLOOKUP(E5093,DATABASE!C:Q,7,false)</f>
        <v>0</v>
      </c>
      <c r="L5093" s="74">
        <v>0.0</v>
      </c>
      <c r="M5093" s="74">
        <f t="shared" si="2"/>
        <v>0</v>
      </c>
      <c r="N5093" s="74">
        <f t="shared" si="3"/>
        <v>100000</v>
      </c>
      <c r="O5093" s="65" t="str">
        <f>VLOOKUP(E5093,DATABASE!C:Q,8,false)</f>
        <v>IBU</v>
      </c>
      <c r="P5093" s="65">
        <f>VLOOKUP(E5093,DATABASE!C:Q,9,False)</f>
        <v>0</v>
      </c>
      <c r="Q5093" s="93" t="str">
        <f>VLOOKUP(E5093,DATABASE!C:Q,4,false)</f>
        <v>SPOORING</v>
      </c>
      <c r="R5093" s="93" t="str">
        <f>VLOOKUP(E5093,DATABASE!C:Q,11,false)</f>
        <v>SERVICE</v>
      </c>
    </row>
    <row r="5094" ht="22.5" customHeight="1">
      <c r="A5094" s="49"/>
      <c r="C5094" s="384">
        <v>45951.0</v>
      </c>
      <c r="D5094" s="65">
        <v>7555.0</v>
      </c>
      <c r="E5094" s="385" t="s">
        <v>299</v>
      </c>
      <c r="F5094" s="386">
        <v>4.0</v>
      </c>
      <c r="G5094" s="74">
        <v>30000.0</v>
      </c>
      <c r="H5094" s="74">
        <v>0.0</v>
      </c>
      <c r="I5094" s="74">
        <f t="shared" si="1"/>
        <v>120000</v>
      </c>
      <c r="J5094" s="74">
        <f>IF(E5094="SERVICE",I5094-(I5094*50%),Vlookup(E5094,DATABASE!C:Q,10,false)*F5094)</f>
        <v>0</v>
      </c>
      <c r="K5094" s="74">
        <v>0.0</v>
      </c>
      <c r="L5094" s="74">
        <v>0.0</v>
      </c>
      <c r="M5094" s="74">
        <f t="shared" si="2"/>
        <v>0</v>
      </c>
      <c r="N5094" s="74">
        <f t="shared" si="3"/>
        <v>120000</v>
      </c>
      <c r="O5094" s="65" t="str">
        <f>VLOOKUP(E5094,DATABASE!C:Q,8,false)</f>
        <v>BIAN</v>
      </c>
      <c r="P5094" s="65">
        <f>VLOOKUP(E5094,DATABASE!C:Q,9,False)</f>
        <v>0</v>
      </c>
      <c r="Q5094" s="93" t="str">
        <f>VLOOKUP(E5094,DATABASE!C:Q,4,false)</f>
        <v>Balancing</v>
      </c>
      <c r="R5094" s="93" t="str">
        <f>VLOOKUP(E5094,DATABASE!C:Q,11,false)</f>
        <v>COMPLEMENTARY</v>
      </c>
    </row>
    <row r="5095" ht="22.5" customHeight="1">
      <c r="A5095" s="49"/>
      <c r="C5095" s="384">
        <v>45952.0</v>
      </c>
      <c r="D5095" s="65">
        <v>7556.0</v>
      </c>
      <c r="E5095" s="445" t="s">
        <v>286</v>
      </c>
      <c r="F5095" s="386">
        <v>1.0</v>
      </c>
      <c r="G5095" s="74">
        <v>550000.0</v>
      </c>
      <c r="H5095" s="74">
        <v>0.0</v>
      </c>
      <c r="I5095" s="74">
        <f t="shared" si="1"/>
        <v>550000</v>
      </c>
      <c r="J5095" s="74">
        <f>IF(E5095="SERVICE",I5095-(I5095*50%),Vlookup(E5095,DATABASE!C:Q,10,false)*F5095)</f>
        <v>0</v>
      </c>
      <c r="K5095" s="74">
        <f>VLOOKUP(E5095,DATABASE!C:Q,7,false)</f>
        <v>488320</v>
      </c>
      <c r="L5095" s="74">
        <v>452970.0</v>
      </c>
      <c r="M5095" s="74">
        <f t="shared" si="2"/>
        <v>455000</v>
      </c>
      <c r="N5095" s="74">
        <f t="shared" si="3"/>
        <v>95000</v>
      </c>
      <c r="O5095" s="65" t="str">
        <f>VLOOKUP(E5095,DATABASE!C:Q,8,false)</f>
        <v>BIAN</v>
      </c>
      <c r="P5095" s="65">
        <f>VLOOKUP(E5095,DATABASE!C:Q,9,False)</f>
        <v>1</v>
      </c>
      <c r="Q5095" s="93" t="str">
        <f>VLOOKUP(E5095,DATABASE!C:Q,4,false)</f>
        <v>GT</v>
      </c>
      <c r="R5095" s="93" t="str">
        <f>VLOOKUP(E5095,DATABASE!C:Q,11,false)</f>
        <v>Tire</v>
      </c>
    </row>
    <row r="5096" ht="22.5" customHeight="1">
      <c r="A5096" s="49"/>
      <c r="C5096" s="384">
        <v>45952.0</v>
      </c>
      <c r="D5096" s="65">
        <v>7557.0</v>
      </c>
      <c r="E5096" s="445" t="s">
        <v>256</v>
      </c>
      <c r="F5096" s="386">
        <v>1.0</v>
      </c>
      <c r="G5096" s="74">
        <v>130000.0</v>
      </c>
      <c r="H5096" s="74">
        <v>0.0</v>
      </c>
      <c r="I5096" s="74">
        <f t="shared" si="1"/>
        <v>130000</v>
      </c>
      <c r="J5096" s="74">
        <f>IF(E5096="SERVICE",I5096-(I5096*50%),Vlookup(E5096,DATABASE!C:Q,10,false)*F5096)</f>
        <v>10000</v>
      </c>
      <c r="K5096" s="74">
        <f>VLOOKUP(E5096,DATABASE!C:Q,7,false)</f>
        <v>0</v>
      </c>
      <c r="L5096" s="74">
        <v>0.0</v>
      </c>
      <c r="M5096" s="74">
        <f t="shared" si="2"/>
        <v>0</v>
      </c>
      <c r="N5096" s="74">
        <f t="shared" si="3"/>
        <v>120000</v>
      </c>
      <c r="O5096" s="65" t="str">
        <f>VLOOKUP(E5096,DATABASE!C:Q,8,false)</f>
        <v>IBU</v>
      </c>
      <c r="P5096" s="65">
        <f>VLOOKUP(E5096,DATABASE!C:Q,9,False)</f>
        <v>0</v>
      </c>
      <c r="Q5096" s="93" t="str">
        <f>VLOOKUP(E5096,DATABASE!C:Q,4,false)</f>
        <v>SPOORING</v>
      </c>
      <c r="R5096" s="93" t="str">
        <f>VLOOKUP(E5096,DATABASE!C:Q,11,false)</f>
        <v>SERVICE</v>
      </c>
    </row>
    <row r="5097" ht="22.5" customHeight="1">
      <c r="A5097" s="49"/>
      <c r="C5097" s="384">
        <v>45952.0</v>
      </c>
      <c r="D5097" s="65">
        <v>7558.0</v>
      </c>
      <c r="E5097" s="445" t="s">
        <v>2140</v>
      </c>
      <c r="F5097" s="386">
        <v>4.0</v>
      </c>
      <c r="G5097" s="74">
        <v>35000.0</v>
      </c>
      <c r="H5097" s="74">
        <v>0.0</v>
      </c>
      <c r="I5097" s="74">
        <f t="shared" si="1"/>
        <v>140000</v>
      </c>
      <c r="J5097" s="74">
        <f>IF(E5097="SERVICE",I5097-(I5097*50%),Vlookup(E5097,DATABASE!C:Q,10,false)*F5097)</f>
        <v>0</v>
      </c>
      <c r="K5097" s="74">
        <f>VLOOKUP(E5097,DATABASE!C:Q,7,false)</f>
        <v>5000</v>
      </c>
      <c r="L5097" s="74">
        <v>0.0</v>
      </c>
      <c r="M5097" s="74">
        <f t="shared" si="2"/>
        <v>0</v>
      </c>
      <c r="N5097" s="74">
        <f t="shared" si="3"/>
        <v>140000</v>
      </c>
      <c r="O5097" s="65" t="str">
        <f>VLOOKUP(E5097,DATABASE!C:Q,8,false)</f>
        <v>IBU</v>
      </c>
      <c r="P5097" s="65">
        <f>VLOOKUP(E5097,DATABASE!C:Q,9,False)</f>
        <v>0</v>
      </c>
      <c r="Q5097" s="93" t="str">
        <f>VLOOKUP(E5097,DATABASE!C:Q,4,false)</f>
        <v>PENTIL + PASANG</v>
      </c>
      <c r="R5097" s="93" t="str">
        <f>VLOOKUP(E5097,DATABASE!C:Q,11,false)</f>
        <v>COMPLEMENTARY</v>
      </c>
    </row>
    <row r="5098" ht="22.5" customHeight="1">
      <c r="A5098" s="49"/>
      <c r="C5098" s="384">
        <v>45952.0</v>
      </c>
      <c r="D5098" s="65">
        <v>7559.0</v>
      </c>
      <c r="E5098" s="445" t="s">
        <v>268</v>
      </c>
      <c r="F5098" s="386">
        <v>1.0</v>
      </c>
      <c r="G5098" s="74">
        <v>720000.0</v>
      </c>
      <c r="H5098" s="74">
        <v>0.0</v>
      </c>
      <c r="I5098" s="74">
        <f t="shared" si="1"/>
        <v>720000</v>
      </c>
      <c r="J5098" s="74">
        <f>IF(E5098="SERVICE",I5098-(I5098*50%),Vlookup(E5098,DATABASE!C:Q,10,false)*F5098)</f>
        <v>0</v>
      </c>
      <c r="K5098" s="74">
        <f>VLOOKUP(E5098,DATABASE!C:Q,7,false)</f>
        <v>653000</v>
      </c>
      <c r="L5098" s="74">
        <v>622000.0</v>
      </c>
      <c r="M5098" s="74">
        <f t="shared" si="2"/>
        <v>625000</v>
      </c>
      <c r="N5098" s="74">
        <f t="shared" si="3"/>
        <v>95000</v>
      </c>
      <c r="O5098" s="65" t="str">
        <f>VLOOKUP(E5098,DATABASE!C:Q,8,false)</f>
        <v>IBU</v>
      </c>
      <c r="P5098" s="65">
        <f>VLOOKUP(E5098,DATABASE!C:Q,9,False)</f>
        <v>1</v>
      </c>
      <c r="Q5098" s="93" t="str">
        <f>VLOOKUP(E5098,DATABASE!C:Q,4,false)</f>
        <v>Dunlop</v>
      </c>
      <c r="R5098" s="93" t="str">
        <f>VLOOKUP(E5098,DATABASE!C:Q,11,false)</f>
        <v>Tire</v>
      </c>
    </row>
    <row r="5099" ht="22.5" customHeight="1">
      <c r="A5099" s="49"/>
      <c r="C5099" s="384">
        <v>45952.0</v>
      </c>
      <c r="D5099" s="65">
        <v>7560.0</v>
      </c>
      <c r="E5099" s="445" t="s">
        <v>268</v>
      </c>
      <c r="F5099" s="386">
        <v>2.0</v>
      </c>
      <c r="G5099" s="74">
        <v>720000.0</v>
      </c>
      <c r="H5099" s="74">
        <v>0.0</v>
      </c>
      <c r="I5099" s="74">
        <f t="shared" si="1"/>
        <v>1440000</v>
      </c>
      <c r="J5099" s="74">
        <f>IF(E5099="SERVICE",I5099-(I5099*50%),Vlookup(E5099,DATABASE!C:Q,10,false)*F5099)</f>
        <v>0</v>
      </c>
      <c r="K5099" s="74">
        <f>VLOOKUP(E5099,DATABASE!C:Q,7,false)</f>
        <v>653000</v>
      </c>
      <c r="L5099" s="74">
        <v>622000.0</v>
      </c>
      <c r="M5099" s="74">
        <f t="shared" si="2"/>
        <v>625000</v>
      </c>
      <c r="N5099" s="74">
        <f t="shared" si="3"/>
        <v>190000</v>
      </c>
      <c r="O5099" s="65" t="str">
        <f>VLOOKUP(E5099,DATABASE!C:Q,8,false)</f>
        <v>IBU</v>
      </c>
      <c r="P5099" s="65">
        <f>VLOOKUP(E5099,DATABASE!C:Q,9,False)</f>
        <v>1</v>
      </c>
      <c r="Q5099" s="93" t="str">
        <f>VLOOKUP(E5099,DATABASE!C:Q,4,false)</f>
        <v>Dunlop</v>
      </c>
      <c r="R5099" s="93" t="str">
        <f>VLOOKUP(E5099,DATABASE!C:Q,11,false)</f>
        <v>Tire</v>
      </c>
    </row>
    <row r="5100" ht="22.5" customHeight="1">
      <c r="A5100" s="49"/>
      <c r="C5100" s="384">
        <v>45952.0</v>
      </c>
      <c r="D5100" s="65">
        <v>7563.0</v>
      </c>
      <c r="E5100" s="657" t="s">
        <v>2215</v>
      </c>
      <c r="F5100" s="386">
        <v>1.0</v>
      </c>
      <c r="G5100" s="74">
        <v>1750000.0</v>
      </c>
      <c r="H5100" s="74">
        <v>0.0</v>
      </c>
      <c r="I5100" s="74">
        <f t="shared" si="1"/>
        <v>1750000</v>
      </c>
      <c r="J5100" s="74">
        <f>IF(E5100="SERVICE",I5100-(I5100*50%),Vlookup(E5100,DATABASE!C:Q,10,false)*F5100)</f>
        <v>0</v>
      </c>
      <c r="K5100" s="74">
        <f>VLOOKUP(E5100,DATABASE!C:Q,7,false)</f>
        <v>1650000</v>
      </c>
      <c r="L5100" s="74">
        <v>1650000.0</v>
      </c>
      <c r="M5100" s="74">
        <f t="shared" si="2"/>
        <v>1650000</v>
      </c>
      <c r="N5100" s="74">
        <f t="shared" si="3"/>
        <v>100000</v>
      </c>
      <c r="O5100" s="65" t="str">
        <f>VLOOKUP(E5100,DATABASE!C:Q,8,false)</f>
        <v>BIAN</v>
      </c>
      <c r="P5100" s="65">
        <f>VLOOKUP(E5100,DATABASE!C:Q,9,False)</f>
        <v>1</v>
      </c>
      <c r="Q5100" s="93" t="str">
        <f>VLOOKUP(E5100,DATABASE!C:Q,4,false)</f>
        <v>TIRON</v>
      </c>
      <c r="R5100" s="93" t="str">
        <f>VLOOKUP(E5100,DATABASE!C:Q,11,false)</f>
        <v>Tire</v>
      </c>
    </row>
    <row r="5101" ht="22.5" customHeight="1">
      <c r="A5101" s="49"/>
      <c r="C5101" s="384">
        <v>45952.0</v>
      </c>
      <c r="D5101" s="65">
        <v>7564.0</v>
      </c>
      <c r="E5101" s="445" t="s">
        <v>1439</v>
      </c>
      <c r="F5101" s="386">
        <v>1.0</v>
      </c>
      <c r="G5101" s="74">
        <v>630000.0</v>
      </c>
      <c r="H5101" s="74">
        <v>0.0</v>
      </c>
      <c r="I5101" s="74">
        <f t="shared" si="1"/>
        <v>630000</v>
      </c>
      <c r="J5101" s="74">
        <f>IF(E5101="SERVICE",I5101-(I5101*50%),Vlookup(E5101,DATABASE!C:Q,10,false)*F5101)</f>
        <v>0</v>
      </c>
      <c r="K5101" s="74">
        <f>VLOOKUP(E5101,DATABASE!C:Q,7,false)</f>
        <v>556800</v>
      </c>
      <c r="L5101" s="74">
        <v>540800.0</v>
      </c>
      <c r="M5101" s="74">
        <f t="shared" si="2"/>
        <v>545000</v>
      </c>
      <c r="N5101" s="74">
        <f t="shared" si="3"/>
        <v>85000</v>
      </c>
      <c r="O5101" s="65" t="str">
        <f>VLOOKUP(E5101,DATABASE!C:Q,8,false)</f>
        <v>BIAN</v>
      </c>
      <c r="P5101" s="65">
        <f>VLOOKUP(E5101,DATABASE!C:Q,9,False)</f>
        <v>1</v>
      </c>
      <c r="Q5101" s="93" t="str">
        <f>VLOOKUP(E5101,DATABASE!C:Q,4,false)</f>
        <v>GT</v>
      </c>
      <c r="R5101" s="93" t="str">
        <f>VLOOKUP(E5101,DATABASE!C:Q,11,false)</f>
        <v>Tire</v>
      </c>
    </row>
    <row r="5102" ht="22.5" customHeight="1">
      <c r="A5102" s="49"/>
      <c r="C5102" s="384">
        <v>45952.0</v>
      </c>
      <c r="D5102" s="65">
        <v>7565.0</v>
      </c>
      <c r="E5102" s="445" t="s">
        <v>265</v>
      </c>
      <c r="F5102" s="386">
        <v>2.0</v>
      </c>
      <c r="G5102" s="74">
        <v>700000.0</v>
      </c>
      <c r="H5102" s="74">
        <v>0.0</v>
      </c>
      <c r="I5102" s="74">
        <f t="shared" si="1"/>
        <v>1400000</v>
      </c>
      <c r="J5102" s="74">
        <f>IF(E5102="SERVICE",I5102-(I5102*50%),Vlookup(E5102,DATABASE!C:Q,10,false)*F5102)</f>
        <v>0</v>
      </c>
      <c r="K5102" s="74">
        <f>VLOOKUP(E5102,DATABASE!C:Q,7,false)</f>
        <v>628000</v>
      </c>
      <c r="L5102" s="74">
        <v>610000.0</v>
      </c>
      <c r="M5102" s="74">
        <f t="shared" si="2"/>
        <v>610000</v>
      </c>
      <c r="N5102" s="74">
        <f t="shared" si="3"/>
        <v>180000</v>
      </c>
      <c r="O5102" s="65" t="str">
        <f>VLOOKUP(E5102,DATABASE!C:Q,8,false)</f>
        <v>IBU</v>
      </c>
      <c r="P5102" s="65">
        <f>VLOOKUP(E5102,DATABASE!C:Q,9,False)</f>
        <v>1</v>
      </c>
      <c r="Q5102" s="93" t="str">
        <f>VLOOKUP(E5102,DATABASE!C:Q,4,false)</f>
        <v>Dunlop</v>
      </c>
      <c r="R5102" s="93" t="str">
        <f>VLOOKUP(E5102,DATABASE!C:Q,11,false)</f>
        <v>Tire</v>
      </c>
    </row>
    <row r="5103" ht="22.5" customHeight="1">
      <c r="A5103" s="49"/>
      <c r="C5103" s="384">
        <v>45952.0</v>
      </c>
      <c r="D5103" s="65">
        <v>7566.0</v>
      </c>
      <c r="E5103" s="385" t="s">
        <v>299</v>
      </c>
      <c r="F5103" s="386">
        <v>2.0</v>
      </c>
      <c r="G5103" s="74">
        <v>30000.0</v>
      </c>
      <c r="H5103" s="74">
        <v>0.0</v>
      </c>
      <c r="I5103" s="74">
        <f t="shared" si="1"/>
        <v>60000</v>
      </c>
      <c r="J5103" s="74">
        <f>IF(E5103="SERVICE",I5103-(I5103*50%),Vlookup(E5103,DATABASE!C:Q,10,false)*F5103)</f>
        <v>0</v>
      </c>
      <c r="K5103" s="74">
        <v>0.0</v>
      </c>
      <c r="L5103" s="74">
        <v>0.0</v>
      </c>
      <c r="M5103" s="74">
        <f t="shared" si="2"/>
        <v>0</v>
      </c>
      <c r="N5103" s="74">
        <f t="shared" si="3"/>
        <v>60000</v>
      </c>
      <c r="O5103" s="65" t="str">
        <f>VLOOKUP(E5103,DATABASE!C:Q,8,false)</f>
        <v>BIAN</v>
      </c>
      <c r="P5103" s="65">
        <f>VLOOKUP(E5103,DATABASE!C:Q,9,False)</f>
        <v>0</v>
      </c>
      <c r="Q5103" s="93" t="str">
        <f>VLOOKUP(E5103,DATABASE!C:Q,4,false)</f>
        <v>Balancing</v>
      </c>
      <c r="R5103" s="93" t="str">
        <f>VLOOKUP(E5103,DATABASE!C:Q,11,false)</f>
        <v>COMPLEMENTARY</v>
      </c>
    </row>
    <row r="5104" ht="22.5" customHeight="1">
      <c r="A5104" s="49"/>
      <c r="C5104" s="384">
        <v>45952.0</v>
      </c>
      <c r="D5104" s="65">
        <v>7566.0</v>
      </c>
      <c r="E5104" s="445" t="s">
        <v>256</v>
      </c>
      <c r="F5104" s="386">
        <v>1.0</v>
      </c>
      <c r="G5104" s="74">
        <v>130000.0</v>
      </c>
      <c r="H5104" s="74">
        <v>0.0</v>
      </c>
      <c r="I5104" s="74">
        <f t="shared" si="1"/>
        <v>130000</v>
      </c>
      <c r="J5104" s="74">
        <f>IF(E5104="SERVICE",I5104-(I5104*50%),Vlookup(E5104,DATABASE!C:Q,10,false)*F5104)</f>
        <v>10000</v>
      </c>
      <c r="K5104" s="74">
        <f>VLOOKUP(E5104,DATABASE!C:Q,7,false)</f>
        <v>0</v>
      </c>
      <c r="L5104" s="74">
        <v>0.0</v>
      </c>
      <c r="M5104" s="74">
        <f t="shared" si="2"/>
        <v>0</v>
      </c>
      <c r="N5104" s="74">
        <f t="shared" si="3"/>
        <v>120000</v>
      </c>
      <c r="O5104" s="65" t="str">
        <f>VLOOKUP(E5104,DATABASE!C:Q,8,false)</f>
        <v>IBU</v>
      </c>
      <c r="P5104" s="65">
        <f>VLOOKUP(E5104,DATABASE!C:Q,9,False)</f>
        <v>0</v>
      </c>
      <c r="Q5104" s="93" t="str">
        <f>VLOOKUP(E5104,DATABASE!C:Q,4,false)</f>
        <v>SPOORING</v>
      </c>
      <c r="R5104" s="93" t="str">
        <f>VLOOKUP(E5104,DATABASE!C:Q,11,false)</f>
        <v>SERVICE</v>
      </c>
    </row>
    <row r="5105" ht="22.5" customHeight="1">
      <c r="A5105" s="49"/>
      <c r="C5105" s="384">
        <v>45952.0</v>
      </c>
      <c r="D5105" s="65">
        <v>7567.0</v>
      </c>
      <c r="E5105" s="445" t="s">
        <v>1530</v>
      </c>
      <c r="F5105" s="386">
        <v>1.0</v>
      </c>
      <c r="G5105" s="74">
        <v>560000.0</v>
      </c>
      <c r="H5105" s="74">
        <v>0.0</v>
      </c>
      <c r="I5105" s="74">
        <f t="shared" si="1"/>
        <v>560000</v>
      </c>
      <c r="J5105" s="74">
        <f>IF(E5105="SERVICE",I5105-(I5105*50%),Vlookup(E5105,DATABASE!C:Q,10,false)*F5105)</f>
        <v>0</v>
      </c>
      <c r="K5105" s="74">
        <f>VLOOKUP(E5105,DATABASE!C:Q,7,false)</f>
        <v>467000</v>
      </c>
      <c r="L5105" s="74">
        <v>454000.0</v>
      </c>
      <c r="M5105" s="74">
        <f t="shared" si="2"/>
        <v>455000</v>
      </c>
      <c r="N5105" s="74">
        <f t="shared" si="3"/>
        <v>105000</v>
      </c>
      <c r="O5105" s="65" t="str">
        <f>VLOOKUP(E5105,DATABASE!C:Q,8,false)</f>
        <v>BIAN</v>
      </c>
      <c r="P5105" s="65">
        <f>VLOOKUP(E5105,DATABASE!C:Q,9,False)</f>
        <v>1</v>
      </c>
      <c r="Q5105" s="93" t="str">
        <f>VLOOKUP(E5105,DATABASE!C:Q,4,false)</f>
        <v>Laufen</v>
      </c>
      <c r="R5105" s="93" t="str">
        <f>VLOOKUP(E5105,DATABASE!C:Q,11,false)</f>
        <v>Tire</v>
      </c>
    </row>
    <row r="5106" ht="22.5" customHeight="1">
      <c r="A5106" s="49"/>
      <c r="C5106" s="384">
        <v>45952.0</v>
      </c>
      <c r="D5106" s="65">
        <v>7569.0</v>
      </c>
      <c r="E5106" s="445" t="s">
        <v>821</v>
      </c>
      <c r="F5106" s="386">
        <v>10.0</v>
      </c>
      <c r="G5106" s="74">
        <v>80000.0</v>
      </c>
      <c r="H5106" s="74">
        <v>0.0</v>
      </c>
      <c r="I5106" s="74">
        <f t="shared" si="1"/>
        <v>800000</v>
      </c>
      <c r="J5106" s="74">
        <f>IF(E5106="SERVICE",I5106-(I5106*50%),Vlookup(E5106,DATABASE!C:Q,10,false)*F5106)</f>
        <v>0</v>
      </c>
      <c r="K5106" s="74">
        <f>VLOOKUP(E5106,DATABASE!C:Q,7,false)</f>
        <v>43500</v>
      </c>
      <c r="L5106" s="74">
        <v>43520.0</v>
      </c>
      <c r="M5106" s="74">
        <f t="shared" si="2"/>
        <v>45000</v>
      </c>
      <c r="N5106" s="74">
        <f t="shared" si="3"/>
        <v>350000</v>
      </c>
      <c r="O5106" s="65" t="str">
        <f>VLOOKUP(E5106,DATABASE!C:Q,8,false)</f>
        <v>BIAN</v>
      </c>
      <c r="P5106" s="65">
        <f>VLOOKUP(E5106,DATABASE!C:Q,9,False)</f>
        <v>1</v>
      </c>
      <c r="Q5106" s="93" t="str">
        <f>VLOOKUP(E5106,DATABASE!C:Q,4,false)</f>
        <v>Flap</v>
      </c>
      <c r="R5106" s="93" t="str">
        <f>VLOOKUP(E5106,DATABASE!C:Q,11,false)</f>
        <v>Tire</v>
      </c>
    </row>
    <row r="5107" ht="22.5" customHeight="1">
      <c r="A5107" s="49"/>
      <c r="C5107" s="384">
        <v>45952.0</v>
      </c>
      <c r="D5107" s="65">
        <v>7569.0</v>
      </c>
      <c r="E5107" s="445" t="s">
        <v>770</v>
      </c>
      <c r="F5107" s="386">
        <v>10.0</v>
      </c>
      <c r="G5107" s="74">
        <v>170000.0</v>
      </c>
      <c r="H5107" s="74">
        <v>0.0</v>
      </c>
      <c r="I5107" s="74">
        <f t="shared" si="1"/>
        <v>1700000</v>
      </c>
      <c r="J5107" s="74">
        <f>IF(E5107="SERVICE",I5107-(I5107*50%),Vlookup(E5107,DATABASE!C:Q,10,false)*F5107)</f>
        <v>0</v>
      </c>
      <c r="K5107" s="74">
        <f>VLOOKUP(E5107,DATABASE!C:Q,7,false)</f>
        <v>145180</v>
      </c>
      <c r="L5107" s="74">
        <v>145180.0</v>
      </c>
      <c r="M5107" s="74">
        <f t="shared" si="2"/>
        <v>150000</v>
      </c>
      <c r="N5107" s="74">
        <f t="shared" si="3"/>
        <v>200000</v>
      </c>
      <c r="O5107" s="65" t="str">
        <f>VLOOKUP(E5107,DATABASE!C:Q,8,false)</f>
        <v>BIAN</v>
      </c>
      <c r="P5107" s="65">
        <f>VLOOKUP(E5107,DATABASE!C:Q,9,False)</f>
        <v>1</v>
      </c>
      <c r="Q5107" s="93" t="str">
        <f>VLOOKUP(E5107,DATABASE!C:Q,4,false)</f>
        <v>BD</v>
      </c>
      <c r="R5107" s="93" t="str">
        <f>VLOOKUP(E5107,DATABASE!C:Q,11,false)</f>
        <v>Tire</v>
      </c>
    </row>
    <row r="5108" ht="22.5" customHeight="1">
      <c r="A5108" s="49"/>
      <c r="C5108" s="384">
        <v>45952.0</v>
      </c>
      <c r="D5108" s="65">
        <v>7569.0</v>
      </c>
      <c r="E5108" s="445" t="s">
        <v>284</v>
      </c>
      <c r="F5108" s="386">
        <v>10.0</v>
      </c>
      <c r="G5108" s="74">
        <v>70000.0</v>
      </c>
      <c r="H5108" s="74">
        <v>0.0</v>
      </c>
      <c r="I5108" s="74">
        <f t="shared" si="1"/>
        <v>700000</v>
      </c>
      <c r="J5108" s="74">
        <f>IF(E5108="SERVICE",I5108-(I5108*50%),Vlookup(E5108,DATABASE!C:Q,10,false)*F5108)</f>
        <v>0</v>
      </c>
      <c r="K5108" s="74">
        <f>VLOOKUP(E5108,DATABASE!C:Q,7,false)</f>
        <v>36630</v>
      </c>
      <c r="L5108" s="74">
        <v>36630.0</v>
      </c>
      <c r="M5108" s="74">
        <f t="shared" si="2"/>
        <v>40000</v>
      </c>
      <c r="N5108" s="74">
        <f t="shared" si="3"/>
        <v>300000</v>
      </c>
      <c r="O5108" s="65" t="str">
        <f>VLOOKUP(E5108,DATABASE!C:Q,8,false)</f>
        <v>BIAN</v>
      </c>
      <c r="P5108" s="65">
        <f>VLOOKUP(E5108,DATABASE!C:Q,9,False)</f>
        <v>1</v>
      </c>
      <c r="Q5108" s="93" t="str">
        <f>VLOOKUP(E5108,DATABASE!C:Q,4,false)</f>
        <v>Flap</v>
      </c>
      <c r="R5108" s="93" t="str">
        <f>VLOOKUP(E5108,DATABASE!C:Q,11,false)</f>
        <v>Tire</v>
      </c>
    </row>
    <row r="5109" ht="22.5" customHeight="1">
      <c r="A5109" s="49"/>
      <c r="C5109" s="384">
        <v>45952.0</v>
      </c>
      <c r="D5109" s="65">
        <v>7569.0</v>
      </c>
      <c r="E5109" s="445" t="s">
        <v>688</v>
      </c>
      <c r="F5109" s="386">
        <v>10.0</v>
      </c>
      <c r="G5109" s="74">
        <v>140000.0</v>
      </c>
      <c r="H5109" s="74">
        <v>0.0</v>
      </c>
      <c r="I5109" s="74">
        <f t="shared" si="1"/>
        <v>1400000</v>
      </c>
      <c r="J5109" s="74">
        <f>IF(E5109="SERVICE",I5109-(I5109*50%),Vlookup(E5109,DATABASE!C:Q,10,false)*F5109)</f>
        <v>0</v>
      </c>
      <c r="K5109" s="74">
        <f>VLOOKUP(E5109,DATABASE!C:Q,7,false)</f>
        <v>100000</v>
      </c>
      <c r="L5109" s="74">
        <v>100000.0</v>
      </c>
      <c r="M5109" s="74">
        <f t="shared" si="2"/>
        <v>100000</v>
      </c>
      <c r="N5109" s="74">
        <f t="shared" si="3"/>
        <v>400000</v>
      </c>
      <c r="O5109" s="65" t="str">
        <f>VLOOKUP(E5109,DATABASE!C:Q,8,false)</f>
        <v>BIAN</v>
      </c>
      <c r="P5109" s="65">
        <f>VLOOKUP(E5109,DATABASE!C:Q,9,False)</f>
        <v>1</v>
      </c>
      <c r="Q5109" s="93" t="str">
        <f>VLOOKUP(E5109,DATABASE!C:Q,4,false)</f>
        <v>BD</v>
      </c>
      <c r="R5109" s="93" t="str">
        <f>VLOOKUP(E5109,DATABASE!C:Q,11,false)</f>
        <v>Tire</v>
      </c>
    </row>
    <row r="5110" ht="22.5" customHeight="1">
      <c r="A5110" s="49"/>
      <c r="C5110" s="384">
        <v>45952.0</v>
      </c>
      <c r="D5110" s="65">
        <v>7570.0</v>
      </c>
      <c r="E5110" s="445" t="s">
        <v>777</v>
      </c>
      <c r="F5110" s="386">
        <v>2.0</v>
      </c>
      <c r="G5110" s="74">
        <v>585000.0</v>
      </c>
      <c r="H5110" s="74">
        <v>0.0</v>
      </c>
      <c r="I5110" s="74">
        <f t="shared" si="1"/>
        <v>1170000</v>
      </c>
      <c r="J5110" s="74">
        <f>IF(E5110="SERVICE",I5110-(I5110*50%),Vlookup(E5110,DATABASE!C:Q,10,false)*F5110)</f>
        <v>0</v>
      </c>
      <c r="K5110" s="74">
        <f>VLOOKUP(E5110,DATABASE!C:Q,7,false)</f>
        <v>540000</v>
      </c>
      <c r="L5110" s="74">
        <v>507000.0</v>
      </c>
      <c r="M5110" s="74">
        <f t="shared" si="2"/>
        <v>510000</v>
      </c>
      <c r="N5110" s="74">
        <f t="shared" si="3"/>
        <v>150000</v>
      </c>
      <c r="O5110" s="65" t="str">
        <f>VLOOKUP(E5110,DATABASE!C:Q,8,false)</f>
        <v>BIAN</v>
      </c>
      <c r="P5110" s="65">
        <f>VLOOKUP(E5110,DATABASE!C:Q,9,False)</f>
        <v>1</v>
      </c>
      <c r="Q5110" s="93" t="str">
        <f>VLOOKUP(E5110,DATABASE!C:Q,4,false)</f>
        <v>GT</v>
      </c>
      <c r="R5110" s="93" t="str">
        <f>VLOOKUP(E5110,DATABASE!C:Q,11,false)</f>
        <v>Tire</v>
      </c>
    </row>
    <row r="5111" ht="22.5" customHeight="1">
      <c r="A5111" s="49"/>
      <c r="C5111" s="384">
        <v>45952.0</v>
      </c>
      <c r="D5111" s="65">
        <v>7570.0</v>
      </c>
      <c r="E5111" s="445" t="s">
        <v>569</v>
      </c>
      <c r="F5111" s="386">
        <v>1.0</v>
      </c>
      <c r="G5111" s="74">
        <v>80000.0</v>
      </c>
      <c r="H5111" s="74">
        <v>0.0</v>
      </c>
      <c r="I5111" s="74">
        <f t="shared" si="1"/>
        <v>80000</v>
      </c>
      <c r="J5111" s="74">
        <f>IF(E5111="SERVICE",I5111-(I5111*50%),Vlookup(E5111,DATABASE!C:Q,10,false)*F5111)</f>
        <v>0</v>
      </c>
      <c r="K5111" s="74">
        <f>VLOOKUP(E5111,DATABASE!C:Q,7,false)</f>
        <v>45439.582</v>
      </c>
      <c r="L5111" s="74">
        <v>45309.6</v>
      </c>
      <c r="M5111" s="74">
        <f t="shared" si="2"/>
        <v>50000</v>
      </c>
      <c r="N5111" s="74">
        <f t="shared" si="3"/>
        <v>30000</v>
      </c>
      <c r="O5111" s="65" t="str">
        <f>VLOOKUP(E5111,DATABASE!C:Q,8,false)</f>
        <v>BIAN</v>
      </c>
      <c r="P5111" s="65">
        <f>VLOOKUP(E5111,DATABASE!C:Q,9,False)</f>
        <v>1</v>
      </c>
      <c r="Q5111" s="93" t="str">
        <f>VLOOKUP(E5111,DATABASE!C:Q,4,false)</f>
        <v>BD</v>
      </c>
      <c r="R5111" s="93" t="str">
        <f>VLOOKUP(E5111,DATABASE!C:Q,11,false)</f>
        <v>Tire</v>
      </c>
    </row>
    <row r="5112" ht="22.5" customHeight="1">
      <c r="A5112" s="49"/>
      <c r="C5112" s="384">
        <v>45952.0</v>
      </c>
      <c r="D5112" s="65">
        <v>7571.0</v>
      </c>
      <c r="E5112" s="445" t="s">
        <v>591</v>
      </c>
      <c r="F5112" s="386">
        <v>2.0</v>
      </c>
      <c r="G5112" s="74">
        <v>700000.0</v>
      </c>
      <c r="H5112" s="74">
        <v>0.0</v>
      </c>
      <c r="I5112" s="74">
        <f t="shared" si="1"/>
        <v>1400000</v>
      </c>
      <c r="J5112" s="74">
        <f>IF(E5112="SERVICE",I5112-(I5112*50%),Vlookup(E5112,DATABASE!C:Q,10,false)*F5112)</f>
        <v>0</v>
      </c>
      <c r="K5112" s="74">
        <f>VLOOKUP(E5112,DATABASE!C:Q,7,false)</f>
        <v>633035.16</v>
      </c>
      <c r="L5112" s="74">
        <v>593488.4</v>
      </c>
      <c r="M5112" s="74">
        <f t="shared" si="2"/>
        <v>595000</v>
      </c>
      <c r="N5112" s="74">
        <f t="shared" si="3"/>
        <v>210000</v>
      </c>
      <c r="O5112" s="65" t="str">
        <f>VLOOKUP(E5112,DATABASE!C:Q,8,false)</f>
        <v>IBU</v>
      </c>
      <c r="P5112" s="65">
        <f>VLOOKUP(E5112,DATABASE!C:Q,9,False)</f>
        <v>1</v>
      </c>
      <c r="Q5112" s="93" t="str">
        <f>VLOOKUP(E5112,DATABASE!C:Q,4,false)</f>
        <v>Bridgestone</v>
      </c>
      <c r="R5112" s="93" t="str">
        <f>VLOOKUP(E5112,DATABASE!C:Q,11,false)</f>
        <v>Tire</v>
      </c>
    </row>
    <row r="5113" ht="22.5" customHeight="1">
      <c r="A5113" s="49"/>
      <c r="C5113" s="384">
        <v>45953.0</v>
      </c>
      <c r="D5113" s="65">
        <v>7573.0</v>
      </c>
      <c r="E5113" s="445" t="s">
        <v>250</v>
      </c>
      <c r="F5113" s="386">
        <v>2.0</v>
      </c>
      <c r="G5113" s="74">
        <v>135000.0</v>
      </c>
      <c r="H5113" s="74">
        <v>0.0</v>
      </c>
      <c r="I5113" s="74">
        <f t="shared" si="1"/>
        <v>270000</v>
      </c>
      <c r="J5113" s="74">
        <f>IF(E5113="SERVICE",I5113-(I5113*50%),Vlookup(E5113,DATABASE!C:Q,10,false)*F5113)</f>
        <v>0</v>
      </c>
      <c r="K5113" s="74">
        <f>VLOOKUP(E5113,DATABASE!C:Q,7,false)</f>
        <v>102000</v>
      </c>
      <c r="L5113" s="74">
        <v>102000.0</v>
      </c>
      <c r="M5113" s="74">
        <f t="shared" si="2"/>
        <v>105000</v>
      </c>
      <c r="N5113" s="74">
        <f t="shared" si="3"/>
        <v>60000</v>
      </c>
      <c r="O5113" s="65" t="str">
        <f>VLOOKUP(E5113,DATABASE!C:Q,8,false)</f>
        <v>BIAN</v>
      </c>
      <c r="P5113" s="65">
        <f>VLOOKUP(E5113,DATABASE!C:Q,9,False)</f>
        <v>1</v>
      </c>
      <c r="Q5113" s="93" t="str">
        <f>VLOOKUP(E5113,DATABASE!C:Q,4,false)</f>
        <v>BD</v>
      </c>
      <c r="R5113" s="93" t="str">
        <f>VLOOKUP(E5113,DATABASE!C:Q,11,false)</f>
        <v>Tire</v>
      </c>
    </row>
    <row r="5114" ht="22.5" customHeight="1">
      <c r="A5114" s="49"/>
      <c r="C5114" s="384">
        <v>45953.0</v>
      </c>
      <c r="D5114" s="65">
        <v>7574.0</v>
      </c>
      <c r="E5114" s="445" t="s">
        <v>1076</v>
      </c>
      <c r="F5114" s="386">
        <v>2.0</v>
      </c>
      <c r="G5114" s="74">
        <v>770000.0</v>
      </c>
      <c r="H5114" s="74">
        <v>0.0</v>
      </c>
      <c r="I5114" s="74">
        <f t="shared" si="1"/>
        <v>1540000</v>
      </c>
      <c r="J5114" s="74">
        <f>IF(E5114="SERVICE",I5114-(I5114*50%),Vlookup(E5114,DATABASE!C:Q,10,false)*F5114)</f>
        <v>0</v>
      </c>
      <c r="K5114" s="74">
        <f>VLOOKUP(E5114,DATABASE!C:Q,7,false)</f>
        <v>666540</v>
      </c>
      <c r="L5114" s="74">
        <v>666540.0</v>
      </c>
      <c r="M5114" s="74">
        <f t="shared" si="2"/>
        <v>670000</v>
      </c>
      <c r="N5114" s="74">
        <f t="shared" si="3"/>
        <v>200000</v>
      </c>
      <c r="O5114" s="65" t="str">
        <f>VLOOKUP(E5114,DATABASE!C:Q,8,false)</f>
        <v>BIAN</v>
      </c>
      <c r="P5114" s="65">
        <f>VLOOKUP(E5114,DATABASE!C:Q,9,False)</f>
        <v>1</v>
      </c>
      <c r="Q5114" s="93" t="str">
        <f>VLOOKUP(E5114,DATABASE!C:Q,4,false)</f>
        <v>GT</v>
      </c>
      <c r="R5114" s="93" t="str">
        <f>VLOOKUP(E5114,DATABASE!C:Q,11,false)</f>
        <v>Tire</v>
      </c>
    </row>
    <row r="5115" ht="22.5" customHeight="1">
      <c r="A5115" s="49"/>
      <c r="C5115" s="384">
        <v>45953.0</v>
      </c>
      <c r="D5115" s="65">
        <v>7575.0</v>
      </c>
      <c r="E5115" s="445" t="s">
        <v>251</v>
      </c>
      <c r="F5115" s="386">
        <v>1.0</v>
      </c>
      <c r="G5115" s="74">
        <v>200000.0</v>
      </c>
      <c r="H5115" s="74">
        <v>0.0</v>
      </c>
      <c r="I5115" s="74">
        <f t="shared" si="1"/>
        <v>200000</v>
      </c>
      <c r="J5115" s="74">
        <f>IF(E5115="SERVICE",I5115-(I5115*50%),Vlookup(E5115,DATABASE!C:Q,10,false)*F5115)</f>
        <v>100000</v>
      </c>
      <c r="K5115" s="74">
        <f>VLOOKUP(E5115,DATABASE!C:Q,7,false)</f>
        <v>0</v>
      </c>
      <c r="L5115" s="74">
        <v>0.0</v>
      </c>
      <c r="M5115" s="74">
        <f t="shared" si="2"/>
        <v>0</v>
      </c>
      <c r="N5115" s="74">
        <f t="shared" si="3"/>
        <v>100000</v>
      </c>
      <c r="O5115" s="65" t="str">
        <f>VLOOKUP(E5115,DATABASE!C:Q,8,false)</f>
        <v>IBU</v>
      </c>
      <c r="P5115" s="65">
        <f>VLOOKUP(E5115,DATABASE!C:Q,9,False)</f>
        <v>0</v>
      </c>
      <c r="Q5115" s="93" t="str">
        <f>VLOOKUP(E5115,DATABASE!C:Q,4,false)</f>
        <v>SERVICE</v>
      </c>
      <c r="R5115" s="93" t="str">
        <f>VLOOKUP(E5115,DATABASE!C:Q,11,false)</f>
        <v>SERVICE</v>
      </c>
    </row>
    <row r="5116" ht="22.5" customHeight="1">
      <c r="A5116" s="49"/>
      <c r="C5116" s="384">
        <v>45953.0</v>
      </c>
      <c r="D5116" s="65">
        <v>7576.0</v>
      </c>
      <c r="E5116" s="445" t="s">
        <v>256</v>
      </c>
      <c r="F5116" s="386">
        <v>1.0</v>
      </c>
      <c r="G5116" s="74">
        <v>130000.0</v>
      </c>
      <c r="H5116" s="74">
        <v>0.0</v>
      </c>
      <c r="I5116" s="74">
        <f t="shared" si="1"/>
        <v>130000</v>
      </c>
      <c r="J5116" s="74">
        <f>IF(E5116="SERVICE",I5116-(I5116*50%),Vlookup(E5116,DATABASE!C:Q,10,false)*F5116)</f>
        <v>10000</v>
      </c>
      <c r="K5116" s="74">
        <f>VLOOKUP(E5116,DATABASE!C:Q,7,false)</f>
        <v>0</v>
      </c>
      <c r="L5116" s="74">
        <v>0.0</v>
      </c>
      <c r="M5116" s="74">
        <f t="shared" si="2"/>
        <v>0</v>
      </c>
      <c r="N5116" s="74">
        <f t="shared" si="3"/>
        <v>120000</v>
      </c>
      <c r="O5116" s="65" t="str">
        <f>VLOOKUP(E5116,DATABASE!C:Q,8,false)</f>
        <v>IBU</v>
      </c>
      <c r="P5116" s="65">
        <f>VLOOKUP(E5116,DATABASE!C:Q,9,False)</f>
        <v>0</v>
      </c>
      <c r="Q5116" s="93" t="str">
        <f>VLOOKUP(E5116,DATABASE!C:Q,4,false)</f>
        <v>SPOORING</v>
      </c>
      <c r="R5116" s="93" t="str">
        <f>VLOOKUP(E5116,DATABASE!C:Q,11,false)</f>
        <v>SERVICE</v>
      </c>
    </row>
    <row r="5117" ht="22.5" customHeight="1">
      <c r="A5117" s="49"/>
      <c r="C5117" s="384">
        <v>45953.0</v>
      </c>
      <c r="D5117" s="65">
        <v>7576.0</v>
      </c>
      <c r="E5117" s="445" t="s">
        <v>301</v>
      </c>
      <c r="F5117" s="386">
        <v>1.0</v>
      </c>
      <c r="G5117" s="74">
        <v>250000.0</v>
      </c>
      <c r="H5117" s="74">
        <v>0.0</v>
      </c>
      <c r="I5117" s="74">
        <f t="shared" si="1"/>
        <v>250000</v>
      </c>
      <c r="J5117" s="74">
        <f>IF(E5117="SERVICE",I5117-(I5117*50%),Vlookup(E5117,DATABASE!C:Q,10,false)*F5117)</f>
        <v>75000</v>
      </c>
      <c r="K5117" s="74">
        <f>VLOOKUP(E5117,DATABASE!C:Q,7,false)</f>
        <v>75000</v>
      </c>
      <c r="L5117" s="74">
        <v>75000.0</v>
      </c>
      <c r="M5117" s="74">
        <f t="shared" si="2"/>
        <v>75000</v>
      </c>
      <c r="N5117" s="74">
        <f t="shared" si="3"/>
        <v>100000</v>
      </c>
      <c r="O5117" s="65" t="str">
        <f>VLOOKUP(E5117,DATABASE!C:Q,8,false)</f>
        <v>BIAN</v>
      </c>
      <c r="P5117" s="65">
        <f>VLOOKUP(E5117,DATABASE!C:Q,9,False)</f>
        <v>0</v>
      </c>
      <c r="Q5117" s="93" t="str">
        <f>VLOOKUP(E5117,DATABASE!C:Q,4,false)</f>
        <v>Baut Camber</v>
      </c>
      <c r="R5117" s="93" t="str">
        <f>VLOOKUP(E5117,DATABASE!C:Q,11,false)</f>
        <v>COMPLEMENTARY</v>
      </c>
    </row>
    <row r="5118" ht="22.5" customHeight="1">
      <c r="A5118" s="49"/>
      <c r="C5118" s="384">
        <v>45953.0</v>
      </c>
      <c r="D5118" s="65">
        <v>7578.0</v>
      </c>
      <c r="E5118" s="445" t="s">
        <v>271</v>
      </c>
      <c r="F5118" s="386">
        <v>1.0</v>
      </c>
      <c r="G5118" s="74">
        <v>640000.0</v>
      </c>
      <c r="H5118" s="74">
        <v>0.0</v>
      </c>
      <c r="I5118" s="74">
        <f t="shared" si="1"/>
        <v>640000</v>
      </c>
      <c r="J5118" s="74">
        <f>IF(E5118="SERVICE",I5118-(I5118*50%),Vlookup(E5118,DATABASE!C:Q,10,false)*F5118)</f>
        <v>0</v>
      </c>
      <c r="K5118" s="74">
        <f>VLOOKUP(E5118,DATABASE!C:Q,7,false)</f>
        <v>570000</v>
      </c>
      <c r="L5118" s="74">
        <v>539000.0</v>
      </c>
      <c r="M5118" s="74">
        <f t="shared" si="2"/>
        <v>540000</v>
      </c>
      <c r="N5118" s="74">
        <f t="shared" si="3"/>
        <v>100000</v>
      </c>
      <c r="O5118" s="65" t="str">
        <f>VLOOKUP(E5118,DATABASE!C:Q,8,false)</f>
        <v>IBU</v>
      </c>
      <c r="P5118" s="65">
        <f>VLOOKUP(E5118,DATABASE!C:Q,9,False)</f>
        <v>1</v>
      </c>
      <c r="Q5118" s="93" t="str">
        <f>VLOOKUP(E5118,DATABASE!C:Q,4,false)</f>
        <v>Dunlop</v>
      </c>
      <c r="R5118" s="93" t="str">
        <f>VLOOKUP(E5118,DATABASE!C:Q,11,false)</f>
        <v>Tire</v>
      </c>
    </row>
    <row r="5119" ht="22.5" customHeight="1">
      <c r="A5119" s="49"/>
      <c r="C5119" s="384">
        <v>45953.0</v>
      </c>
      <c r="D5119" s="65">
        <v>7579.0</v>
      </c>
      <c r="E5119" s="445" t="s">
        <v>265</v>
      </c>
      <c r="F5119" s="386">
        <v>2.0</v>
      </c>
      <c r="G5119" s="74">
        <v>700000.0</v>
      </c>
      <c r="H5119" s="74">
        <v>0.0</v>
      </c>
      <c r="I5119" s="74">
        <f t="shared" si="1"/>
        <v>1400000</v>
      </c>
      <c r="J5119" s="74">
        <f>IF(E5119="SERVICE",I5119-(I5119*50%),Vlookup(E5119,DATABASE!C:Q,10,false)*F5119)</f>
        <v>0</v>
      </c>
      <c r="K5119" s="74">
        <f>VLOOKUP(E5119,DATABASE!C:Q,7,false)</f>
        <v>628000</v>
      </c>
      <c r="L5119" s="74">
        <v>610000.0</v>
      </c>
      <c r="M5119" s="74">
        <f t="shared" si="2"/>
        <v>610000</v>
      </c>
      <c r="N5119" s="74">
        <f t="shared" si="3"/>
        <v>180000</v>
      </c>
      <c r="O5119" s="65" t="str">
        <f>VLOOKUP(E5119,DATABASE!C:Q,8,false)</f>
        <v>IBU</v>
      </c>
      <c r="P5119" s="65">
        <f>VLOOKUP(E5119,DATABASE!C:Q,9,False)</f>
        <v>1</v>
      </c>
      <c r="Q5119" s="93" t="str">
        <f>VLOOKUP(E5119,DATABASE!C:Q,4,false)</f>
        <v>Dunlop</v>
      </c>
      <c r="R5119" s="93" t="str">
        <f>VLOOKUP(E5119,DATABASE!C:Q,11,false)</f>
        <v>Tire</v>
      </c>
    </row>
    <row r="5120" ht="22.5" customHeight="1">
      <c r="A5120" s="49"/>
      <c r="C5120" s="384">
        <v>45954.0</v>
      </c>
      <c r="D5120" s="65">
        <v>7580.0</v>
      </c>
      <c r="E5120" s="445" t="s">
        <v>1858</v>
      </c>
      <c r="F5120" s="386">
        <v>2.0</v>
      </c>
      <c r="G5120" s="74">
        <v>2130000.0</v>
      </c>
      <c r="H5120" s="74">
        <v>0.0</v>
      </c>
      <c r="I5120" s="74">
        <f t="shared" si="1"/>
        <v>4260000</v>
      </c>
      <c r="J5120" s="74">
        <f>IF(E5120="SERVICE",I5120-(I5120*50%),Vlookup(E5120,DATABASE!C:Q,10,false)*F5120)</f>
        <v>0</v>
      </c>
      <c r="K5120" s="74">
        <f>VLOOKUP(E5120,DATABASE!C:Q,7,false)</f>
        <v>2030000</v>
      </c>
      <c r="L5120" s="74">
        <v>2025000.0</v>
      </c>
      <c r="M5120" s="74">
        <f t="shared" si="2"/>
        <v>2025000</v>
      </c>
      <c r="N5120" s="74">
        <f t="shared" si="3"/>
        <v>210000</v>
      </c>
      <c r="O5120" s="65" t="str">
        <f>VLOOKUP(E5120,DATABASE!C:Q,8,false)</f>
        <v>BIAN</v>
      </c>
      <c r="P5120" s="65">
        <f>VLOOKUP(E5120,DATABASE!C:Q,9,False)</f>
        <v>1</v>
      </c>
      <c r="Q5120" s="93" t="str">
        <f>VLOOKUP(E5120,DATABASE!C:Q,4,false)</f>
        <v>GiTi</v>
      </c>
      <c r="R5120" s="93" t="str">
        <f>VLOOKUP(E5120,DATABASE!C:Q,11,false)</f>
        <v>Tire</v>
      </c>
    </row>
    <row r="5121" ht="22.5" customHeight="1">
      <c r="A5121" s="49"/>
      <c r="C5121" s="384">
        <v>45954.0</v>
      </c>
      <c r="D5121" s="65">
        <v>7581.0</v>
      </c>
      <c r="E5121" s="445" t="s">
        <v>256</v>
      </c>
      <c r="F5121" s="386">
        <v>1.0</v>
      </c>
      <c r="G5121" s="74">
        <v>130000.0</v>
      </c>
      <c r="H5121" s="74">
        <v>0.0</v>
      </c>
      <c r="I5121" s="74">
        <f t="shared" si="1"/>
        <v>130000</v>
      </c>
      <c r="J5121" s="74">
        <f>IF(E5121="SERVICE",I5121-(I5121*50%),Vlookup(E5121,DATABASE!C:Q,10,false)*F5121)</f>
        <v>10000</v>
      </c>
      <c r="K5121" s="74">
        <f>VLOOKUP(E5121,DATABASE!C:Q,7,false)</f>
        <v>0</v>
      </c>
      <c r="L5121" s="74">
        <v>0.0</v>
      </c>
      <c r="M5121" s="74">
        <f t="shared" si="2"/>
        <v>0</v>
      </c>
      <c r="N5121" s="74">
        <f t="shared" si="3"/>
        <v>120000</v>
      </c>
      <c r="O5121" s="65" t="str">
        <f>VLOOKUP(E5121,DATABASE!C:Q,8,false)</f>
        <v>IBU</v>
      </c>
      <c r="P5121" s="65">
        <f>VLOOKUP(E5121,DATABASE!C:Q,9,False)</f>
        <v>0</v>
      </c>
      <c r="Q5121" s="93" t="str">
        <f>VLOOKUP(E5121,DATABASE!C:Q,4,false)</f>
        <v>SPOORING</v>
      </c>
      <c r="R5121" s="93" t="str">
        <f>VLOOKUP(E5121,DATABASE!C:Q,11,false)</f>
        <v>SERVICE</v>
      </c>
    </row>
    <row r="5122" ht="22.5" customHeight="1">
      <c r="A5122" s="49"/>
      <c r="C5122" s="384">
        <v>45954.0</v>
      </c>
      <c r="D5122" s="65">
        <v>7582.0</v>
      </c>
      <c r="E5122" s="445" t="s">
        <v>1907</v>
      </c>
      <c r="F5122" s="386">
        <v>2.0</v>
      </c>
      <c r="G5122" s="74">
        <v>600000.0</v>
      </c>
      <c r="H5122" s="74">
        <v>0.0</v>
      </c>
      <c r="I5122" s="74">
        <f t="shared" si="1"/>
        <v>1200000</v>
      </c>
      <c r="J5122" s="74">
        <f>IF(E5122="SERVICE",I5122-(I5122*50%),Vlookup(E5122,DATABASE!C:Q,10,false)*F5122)</f>
        <v>0</v>
      </c>
      <c r="K5122" s="74">
        <f>VLOOKUP(E5122,DATABASE!C:Q,7,false)</f>
        <v>515000</v>
      </c>
      <c r="L5122" s="74">
        <v>515000.0</v>
      </c>
      <c r="M5122" s="74">
        <f t="shared" si="2"/>
        <v>515000</v>
      </c>
      <c r="N5122" s="74">
        <f t="shared" si="3"/>
        <v>170000</v>
      </c>
      <c r="O5122" s="65" t="str">
        <f>VLOOKUP(E5122,DATABASE!C:Q,8,false)</f>
        <v>BIAN</v>
      </c>
      <c r="P5122" s="65">
        <f>VLOOKUP(E5122,DATABASE!C:Q,9,False)</f>
        <v>1</v>
      </c>
      <c r="Q5122" s="93" t="str">
        <f>VLOOKUP(E5122,DATABASE!C:Q,4,false)</f>
        <v>GT</v>
      </c>
      <c r="R5122" s="93" t="str">
        <f>VLOOKUP(E5122,DATABASE!C:Q,11,false)</f>
        <v>Tire</v>
      </c>
    </row>
    <row r="5123" ht="22.5" customHeight="1">
      <c r="A5123" s="49"/>
      <c r="C5123" s="384">
        <v>45954.0</v>
      </c>
      <c r="D5123" s="65">
        <v>7583.0</v>
      </c>
      <c r="E5123" s="445" t="s">
        <v>781</v>
      </c>
      <c r="F5123" s="386">
        <v>2.0</v>
      </c>
      <c r="G5123" s="74">
        <v>530000.0</v>
      </c>
      <c r="H5123" s="74">
        <v>0.0</v>
      </c>
      <c r="I5123" s="74">
        <f t="shared" si="1"/>
        <v>1060000</v>
      </c>
      <c r="J5123" s="74">
        <f>IF(E5123="SERVICE",I5123-(I5123*50%),Vlookup(E5123,DATABASE!C:Q,10,false)*F5123)</f>
        <v>0</v>
      </c>
      <c r="K5123" s="74">
        <f>VLOOKUP(E5123,DATABASE!C:Q,7,false)</f>
        <v>470000</v>
      </c>
      <c r="L5123" s="74">
        <v>442500.0</v>
      </c>
      <c r="M5123" s="74">
        <f t="shared" si="2"/>
        <v>445000</v>
      </c>
      <c r="N5123" s="74">
        <f t="shared" si="3"/>
        <v>170000</v>
      </c>
      <c r="O5123" s="65" t="str">
        <f>VLOOKUP(E5123,DATABASE!C:Q,8,false)</f>
        <v>BIAN</v>
      </c>
      <c r="P5123" s="65">
        <f>VLOOKUP(E5123,DATABASE!C:Q,9,False)</f>
        <v>1</v>
      </c>
      <c r="Q5123" s="93" t="str">
        <f>VLOOKUP(E5123,DATABASE!C:Q,4,false)</f>
        <v>GT</v>
      </c>
      <c r="R5123" s="93" t="str">
        <f>VLOOKUP(E5123,DATABASE!C:Q,11,false)</f>
        <v>Tire</v>
      </c>
    </row>
    <row r="5124" ht="22.5" customHeight="1">
      <c r="A5124" s="49"/>
      <c r="C5124" s="384">
        <v>45954.0</v>
      </c>
      <c r="D5124" s="65">
        <v>7584.0</v>
      </c>
      <c r="E5124" s="445" t="s">
        <v>569</v>
      </c>
      <c r="F5124" s="386">
        <v>2.0</v>
      </c>
      <c r="G5124" s="74">
        <v>80000.0</v>
      </c>
      <c r="H5124" s="74">
        <v>0.0</v>
      </c>
      <c r="I5124" s="74">
        <f t="shared" si="1"/>
        <v>160000</v>
      </c>
      <c r="J5124" s="74">
        <f>IF(E5124="SERVICE",I5124-(I5124*50%),Vlookup(E5124,DATABASE!C:Q,10,false)*F5124)</f>
        <v>0</v>
      </c>
      <c r="K5124" s="74">
        <f>VLOOKUP(E5124,DATABASE!C:Q,7,false)</f>
        <v>45439.582</v>
      </c>
      <c r="L5124" s="74">
        <v>45309.6</v>
      </c>
      <c r="M5124" s="74">
        <f t="shared" si="2"/>
        <v>50000</v>
      </c>
      <c r="N5124" s="74">
        <f t="shared" si="3"/>
        <v>60000</v>
      </c>
      <c r="O5124" s="65" t="str">
        <f>VLOOKUP(E5124,DATABASE!C:Q,8,false)</f>
        <v>BIAN</v>
      </c>
      <c r="P5124" s="65">
        <f>VLOOKUP(E5124,DATABASE!C:Q,9,False)</f>
        <v>1</v>
      </c>
      <c r="Q5124" s="93" t="str">
        <f>VLOOKUP(E5124,DATABASE!C:Q,4,false)</f>
        <v>BD</v>
      </c>
      <c r="R5124" s="93" t="str">
        <f>VLOOKUP(E5124,DATABASE!C:Q,11,false)</f>
        <v>Tire</v>
      </c>
    </row>
    <row r="5125" ht="22.5" customHeight="1">
      <c r="A5125" s="49"/>
      <c r="C5125" s="384">
        <v>45954.0</v>
      </c>
      <c r="D5125" s="65">
        <v>7585.0</v>
      </c>
      <c r="E5125" s="445" t="s">
        <v>256</v>
      </c>
      <c r="F5125" s="386">
        <v>1.0</v>
      </c>
      <c r="G5125" s="74">
        <v>130000.0</v>
      </c>
      <c r="H5125" s="74">
        <v>0.0</v>
      </c>
      <c r="I5125" s="74">
        <f t="shared" si="1"/>
        <v>130000</v>
      </c>
      <c r="J5125" s="74">
        <f>IF(E5125="SERVICE",I5125-(I5125*50%),Vlookup(E5125,DATABASE!C:Q,10,false)*F5125)</f>
        <v>10000</v>
      </c>
      <c r="K5125" s="74">
        <f>VLOOKUP(E5125,DATABASE!C:Q,7,false)</f>
        <v>0</v>
      </c>
      <c r="L5125" s="74">
        <v>0.0</v>
      </c>
      <c r="M5125" s="74">
        <f t="shared" si="2"/>
        <v>0</v>
      </c>
      <c r="N5125" s="74">
        <f t="shared" si="3"/>
        <v>120000</v>
      </c>
      <c r="O5125" s="65" t="str">
        <f>VLOOKUP(E5125,DATABASE!C:Q,8,false)</f>
        <v>IBU</v>
      </c>
      <c r="P5125" s="65">
        <f>VLOOKUP(E5125,DATABASE!C:Q,9,False)</f>
        <v>0</v>
      </c>
      <c r="Q5125" s="93" t="str">
        <f>VLOOKUP(E5125,DATABASE!C:Q,4,false)</f>
        <v>SPOORING</v>
      </c>
      <c r="R5125" s="93" t="str">
        <f>VLOOKUP(E5125,DATABASE!C:Q,11,false)</f>
        <v>SERVICE</v>
      </c>
    </row>
    <row r="5126" ht="22.5" customHeight="1">
      <c r="A5126" s="49"/>
      <c r="C5126" s="384">
        <v>45954.0</v>
      </c>
      <c r="D5126" s="65">
        <v>7585.0</v>
      </c>
      <c r="E5126" s="385" t="s">
        <v>299</v>
      </c>
      <c r="F5126" s="386">
        <v>2.0</v>
      </c>
      <c r="G5126" s="74">
        <v>30000.0</v>
      </c>
      <c r="H5126" s="74">
        <v>0.0</v>
      </c>
      <c r="I5126" s="74">
        <f t="shared" si="1"/>
        <v>60000</v>
      </c>
      <c r="J5126" s="74">
        <f>IF(E5126="SERVICE",I5126-(I5126*50%),Vlookup(E5126,DATABASE!C:Q,10,false)*F5126)</f>
        <v>0</v>
      </c>
      <c r="K5126" s="74">
        <v>0.0</v>
      </c>
      <c r="L5126" s="74">
        <v>0.0</v>
      </c>
      <c r="M5126" s="74">
        <f t="shared" si="2"/>
        <v>0</v>
      </c>
      <c r="N5126" s="74">
        <f t="shared" si="3"/>
        <v>60000</v>
      </c>
      <c r="O5126" s="65" t="str">
        <f>VLOOKUP(E5126,DATABASE!C:Q,8,false)</f>
        <v>BIAN</v>
      </c>
      <c r="P5126" s="65">
        <f>VLOOKUP(E5126,DATABASE!C:Q,9,False)</f>
        <v>0</v>
      </c>
      <c r="Q5126" s="93" t="str">
        <f>VLOOKUP(E5126,DATABASE!C:Q,4,false)</f>
        <v>Balancing</v>
      </c>
      <c r="R5126" s="93" t="str">
        <f>VLOOKUP(E5126,DATABASE!C:Q,11,false)</f>
        <v>COMPLEMENTARY</v>
      </c>
    </row>
    <row r="5127" ht="22.5" customHeight="1">
      <c r="A5127" s="49"/>
      <c r="C5127" s="384">
        <v>45954.0</v>
      </c>
      <c r="D5127" s="65">
        <v>7586.0</v>
      </c>
      <c r="E5127" s="445" t="s">
        <v>268</v>
      </c>
      <c r="F5127" s="386">
        <v>1.0</v>
      </c>
      <c r="G5127" s="74">
        <v>720000.0</v>
      </c>
      <c r="H5127" s="74">
        <v>0.0</v>
      </c>
      <c r="I5127" s="74">
        <f t="shared" si="1"/>
        <v>720000</v>
      </c>
      <c r="J5127" s="74">
        <f>IF(E5127="SERVICE",I5127-(I5127*50%),Vlookup(E5127,DATABASE!C:Q,10,false)*F5127)</f>
        <v>0</v>
      </c>
      <c r="K5127" s="74">
        <f>VLOOKUP(E5127,DATABASE!C:Q,7,false)</f>
        <v>653000</v>
      </c>
      <c r="L5127" s="74">
        <v>622000.0</v>
      </c>
      <c r="M5127" s="74">
        <f t="shared" si="2"/>
        <v>625000</v>
      </c>
      <c r="N5127" s="74">
        <f t="shared" si="3"/>
        <v>95000</v>
      </c>
      <c r="O5127" s="65" t="str">
        <f>VLOOKUP(E5127,DATABASE!C:Q,8,false)</f>
        <v>IBU</v>
      </c>
      <c r="P5127" s="65">
        <f>VLOOKUP(E5127,DATABASE!C:Q,9,False)</f>
        <v>1</v>
      </c>
      <c r="Q5127" s="93" t="str">
        <f>VLOOKUP(E5127,DATABASE!C:Q,4,false)</f>
        <v>Dunlop</v>
      </c>
      <c r="R5127" s="93" t="str">
        <f>VLOOKUP(E5127,DATABASE!C:Q,11,false)</f>
        <v>Tire</v>
      </c>
    </row>
    <row r="5128" ht="22.5" customHeight="1">
      <c r="A5128" s="49"/>
      <c r="C5128" s="384">
        <v>45954.0</v>
      </c>
      <c r="D5128" s="65">
        <v>7587.0</v>
      </c>
      <c r="E5128" s="445" t="s">
        <v>261</v>
      </c>
      <c r="F5128" s="386">
        <v>1.0</v>
      </c>
      <c r="G5128" s="74">
        <v>500000.0</v>
      </c>
      <c r="H5128" s="74">
        <v>0.0</v>
      </c>
      <c r="I5128" s="74">
        <f t="shared" si="1"/>
        <v>500000</v>
      </c>
      <c r="J5128" s="74">
        <f>IF(E5128="SERVICE",I5128-(I5128*50%),Vlookup(E5128,DATABASE!C:Q,10,false)*F5128)</f>
        <v>0</v>
      </c>
      <c r="K5128" s="74">
        <f>VLOOKUP(E5128,DATABASE!C:Q,7,false)</f>
        <v>415000</v>
      </c>
      <c r="L5128" s="74">
        <v>415000.0</v>
      </c>
      <c r="M5128" s="74">
        <f t="shared" si="2"/>
        <v>415000</v>
      </c>
      <c r="N5128" s="74">
        <f t="shared" si="3"/>
        <v>85000</v>
      </c>
      <c r="O5128" s="65" t="str">
        <f>VLOOKUP(E5128,DATABASE!C:Q,8,false)</f>
        <v>IBU</v>
      </c>
      <c r="P5128" s="65">
        <f>VLOOKUP(E5128,DATABASE!C:Q,9,False)</f>
        <v>1</v>
      </c>
      <c r="Q5128" s="93" t="str">
        <f>VLOOKUP(E5128,DATABASE!C:Q,4,false)</f>
        <v>Dunlop</v>
      </c>
      <c r="R5128" s="93" t="str">
        <f>VLOOKUP(E5128,DATABASE!C:Q,11,false)</f>
        <v>Tire</v>
      </c>
    </row>
    <row r="5129" ht="22.5" customHeight="1">
      <c r="A5129" s="49"/>
      <c r="C5129" s="384">
        <v>45954.0</v>
      </c>
      <c r="D5129" s="65">
        <v>7588.0</v>
      </c>
      <c r="E5129" s="445" t="s">
        <v>256</v>
      </c>
      <c r="F5129" s="386">
        <v>1.0</v>
      </c>
      <c r="G5129" s="74">
        <v>130000.0</v>
      </c>
      <c r="H5129" s="74">
        <v>0.0</v>
      </c>
      <c r="I5129" s="74">
        <f t="shared" si="1"/>
        <v>130000</v>
      </c>
      <c r="J5129" s="74">
        <f>IF(E5129="SERVICE",I5129-(I5129*50%),Vlookup(E5129,DATABASE!C:Q,10,false)*F5129)</f>
        <v>10000</v>
      </c>
      <c r="K5129" s="74">
        <f>VLOOKUP(E5129,DATABASE!C:Q,7,false)</f>
        <v>0</v>
      </c>
      <c r="L5129" s="74">
        <v>0.0</v>
      </c>
      <c r="M5129" s="74">
        <f t="shared" si="2"/>
        <v>0</v>
      </c>
      <c r="N5129" s="74">
        <f t="shared" si="3"/>
        <v>120000</v>
      </c>
      <c r="O5129" s="65" t="str">
        <f>VLOOKUP(E5129,DATABASE!C:Q,8,false)</f>
        <v>IBU</v>
      </c>
      <c r="P5129" s="65">
        <f>VLOOKUP(E5129,DATABASE!C:Q,9,False)</f>
        <v>0</v>
      </c>
      <c r="Q5129" s="93" t="str">
        <f>VLOOKUP(E5129,DATABASE!C:Q,4,false)</f>
        <v>SPOORING</v>
      </c>
      <c r="R5129" s="93" t="str">
        <f>VLOOKUP(E5129,DATABASE!C:Q,11,false)</f>
        <v>SERVICE</v>
      </c>
    </row>
    <row r="5130" ht="22.5" customHeight="1">
      <c r="A5130" s="49"/>
      <c r="C5130" s="384">
        <v>45954.0</v>
      </c>
      <c r="D5130" s="65">
        <v>7588.0</v>
      </c>
      <c r="E5130" s="385" t="s">
        <v>299</v>
      </c>
      <c r="F5130" s="386">
        <v>2.0</v>
      </c>
      <c r="G5130" s="74">
        <v>30000.0</v>
      </c>
      <c r="H5130" s="74">
        <v>0.0</v>
      </c>
      <c r="I5130" s="74">
        <f t="shared" si="1"/>
        <v>60000</v>
      </c>
      <c r="J5130" s="74">
        <f>IF(E5130="SERVICE",I5130-(I5130*50%),Vlookup(E5130,DATABASE!C:Q,10,false)*F5130)</f>
        <v>0</v>
      </c>
      <c r="K5130" s="74">
        <v>0.0</v>
      </c>
      <c r="L5130" s="74">
        <v>0.0</v>
      </c>
      <c r="M5130" s="74">
        <f t="shared" si="2"/>
        <v>0</v>
      </c>
      <c r="N5130" s="74">
        <f t="shared" si="3"/>
        <v>60000</v>
      </c>
      <c r="O5130" s="65" t="str">
        <f>VLOOKUP(E5130,DATABASE!C:Q,8,false)</f>
        <v>BIAN</v>
      </c>
      <c r="P5130" s="65">
        <f>VLOOKUP(E5130,DATABASE!C:Q,9,False)</f>
        <v>0</v>
      </c>
      <c r="Q5130" s="93" t="str">
        <f>VLOOKUP(E5130,DATABASE!C:Q,4,false)</f>
        <v>Balancing</v>
      </c>
      <c r="R5130" s="93" t="str">
        <f>VLOOKUP(E5130,DATABASE!C:Q,11,false)</f>
        <v>COMPLEMENTARY</v>
      </c>
    </row>
    <row r="5131" ht="22.5" customHeight="1">
      <c r="A5131" s="49"/>
      <c r="C5131" s="384">
        <v>45954.0</v>
      </c>
      <c r="D5131" s="65">
        <v>7588.0</v>
      </c>
      <c r="E5131" s="445" t="s">
        <v>301</v>
      </c>
      <c r="F5131" s="386">
        <v>1.0</v>
      </c>
      <c r="G5131" s="74">
        <v>250000.0</v>
      </c>
      <c r="H5131" s="74">
        <v>0.0</v>
      </c>
      <c r="I5131" s="74">
        <f t="shared" si="1"/>
        <v>250000</v>
      </c>
      <c r="J5131" s="74">
        <f>IF(E5131="SERVICE",I5131-(I5131*50%),Vlookup(E5131,DATABASE!C:Q,10,false)*F5131)</f>
        <v>75000</v>
      </c>
      <c r="K5131" s="74">
        <f>VLOOKUP(E5131,DATABASE!C:Q,7,false)</f>
        <v>75000</v>
      </c>
      <c r="L5131" s="74">
        <v>75000.0</v>
      </c>
      <c r="M5131" s="74">
        <f t="shared" si="2"/>
        <v>75000</v>
      </c>
      <c r="N5131" s="74">
        <f t="shared" si="3"/>
        <v>100000</v>
      </c>
      <c r="O5131" s="65" t="str">
        <f>VLOOKUP(E5131,DATABASE!C:Q,8,false)</f>
        <v>BIAN</v>
      </c>
      <c r="P5131" s="65">
        <f>VLOOKUP(E5131,DATABASE!C:Q,9,False)</f>
        <v>0</v>
      </c>
      <c r="Q5131" s="93" t="str">
        <f>VLOOKUP(E5131,DATABASE!C:Q,4,false)</f>
        <v>Baut Camber</v>
      </c>
      <c r="R5131" s="93" t="str">
        <f>VLOOKUP(E5131,DATABASE!C:Q,11,false)</f>
        <v>COMPLEMENTARY</v>
      </c>
    </row>
    <row r="5132" ht="22.5" customHeight="1">
      <c r="A5132" s="49"/>
      <c r="C5132" s="384">
        <v>45954.0</v>
      </c>
      <c r="D5132" s="65">
        <v>7590.0</v>
      </c>
      <c r="E5132" s="445" t="s">
        <v>251</v>
      </c>
      <c r="F5132" s="386">
        <v>1.0</v>
      </c>
      <c r="G5132" s="74">
        <v>150000.0</v>
      </c>
      <c r="H5132" s="74">
        <v>0.0</v>
      </c>
      <c r="I5132" s="74">
        <f t="shared" si="1"/>
        <v>150000</v>
      </c>
      <c r="J5132" s="74">
        <f>IF(E5132="SERVICE",I5132-(I5132*50%),Vlookup(E5132,DATABASE!C:Q,10,false)*F5132)</f>
        <v>75000</v>
      </c>
      <c r="K5132" s="74">
        <f>VLOOKUP(E5132,DATABASE!C:Q,7,false)</f>
        <v>0</v>
      </c>
      <c r="L5132" s="74">
        <v>0.0</v>
      </c>
      <c r="M5132" s="74">
        <f t="shared" si="2"/>
        <v>0</v>
      </c>
      <c r="N5132" s="74">
        <f t="shared" si="3"/>
        <v>75000</v>
      </c>
      <c r="O5132" s="65" t="str">
        <f>VLOOKUP(E5132,DATABASE!C:Q,8,false)</f>
        <v>IBU</v>
      </c>
      <c r="P5132" s="65">
        <f>VLOOKUP(E5132,DATABASE!C:Q,9,False)</f>
        <v>0</v>
      </c>
      <c r="Q5132" s="93" t="str">
        <f>VLOOKUP(E5132,DATABASE!C:Q,4,false)</f>
        <v>SERVICE</v>
      </c>
      <c r="R5132" s="93" t="str">
        <f>VLOOKUP(E5132,DATABASE!C:Q,11,false)</f>
        <v>SERVICE</v>
      </c>
    </row>
    <row r="5133" ht="22.5" customHeight="1">
      <c r="A5133" s="49"/>
      <c r="C5133" s="384">
        <v>45954.0</v>
      </c>
      <c r="D5133" s="65">
        <v>7590.0</v>
      </c>
      <c r="E5133" s="445" t="s">
        <v>256</v>
      </c>
      <c r="F5133" s="386">
        <v>1.0</v>
      </c>
      <c r="G5133" s="74">
        <v>130000.0</v>
      </c>
      <c r="H5133" s="74">
        <v>0.0</v>
      </c>
      <c r="I5133" s="74">
        <f t="shared" si="1"/>
        <v>130000</v>
      </c>
      <c r="J5133" s="74">
        <f>IF(E5133="SERVICE",I5133-(I5133*50%),Vlookup(E5133,DATABASE!C:Q,10,false)*F5133)</f>
        <v>10000</v>
      </c>
      <c r="K5133" s="74">
        <f>VLOOKUP(E5133,DATABASE!C:Q,7,false)</f>
        <v>0</v>
      </c>
      <c r="L5133" s="74">
        <v>0.0</v>
      </c>
      <c r="M5133" s="74">
        <f t="shared" si="2"/>
        <v>0</v>
      </c>
      <c r="N5133" s="74">
        <f t="shared" si="3"/>
        <v>120000</v>
      </c>
      <c r="O5133" s="65" t="str">
        <f>VLOOKUP(E5133,DATABASE!C:Q,8,false)</f>
        <v>IBU</v>
      </c>
      <c r="P5133" s="65">
        <f>VLOOKUP(E5133,DATABASE!C:Q,9,False)</f>
        <v>0</v>
      </c>
      <c r="Q5133" s="93" t="str">
        <f>VLOOKUP(E5133,DATABASE!C:Q,4,false)</f>
        <v>SPOORING</v>
      </c>
      <c r="R5133" s="93" t="str">
        <f>VLOOKUP(E5133,DATABASE!C:Q,11,false)</f>
        <v>SERVICE</v>
      </c>
    </row>
    <row r="5134" ht="22.5" customHeight="1">
      <c r="A5134" s="49"/>
      <c r="C5134" s="384">
        <v>45955.0</v>
      </c>
      <c r="D5134" s="65">
        <v>7591.0</v>
      </c>
      <c r="E5134" s="445" t="s">
        <v>569</v>
      </c>
      <c r="F5134" s="386">
        <v>1.0</v>
      </c>
      <c r="G5134" s="74">
        <v>80000.0</v>
      </c>
      <c r="H5134" s="74">
        <v>0.0</v>
      </c>
      <c r="I5134" s="74">
        <f t="shared" si="1"/>
        <v>80000</v>
      </c>
      <c r="J5134" s="74">
        <f>IF(E5134="SERVICE",I5134-(I5134*50%),Vlookup(E5134,DATABASE!C:Q,10,false)*F5134)</f>
        <v>0</v>
      </c>
      <c r="K5134" s="74">
        <f>VLOOKUP(E5134,DATABASE!C:Q,7,false)</f>
        <v>45439.582</v>
      </c>
      <c r="L5134" s="74">
        <v>45309.6</v>
      </c>
      <c r="M5134" s="74">
        <f t="shared" si="2"/>
        <v>50000</v>
      </c>
      <c r="N5134" s="74">
        <f t="shared" si="3"/>
        <v>30000</v>
      </c>
      <c r="O5134" s="65" t="str">
        <f>VLOOKUP(E5134,DATABASE!C:Q,8,false)</f>
        <v>BIAN</v>
      </c>
      <c r="P5134" s="65">
        <f>VLOOKUP(E5134,DATABASE!C:Q,9,False)</f>
        <v>1</v>
      </c>
      <c r="Q5134" s="93" t="str">
        <f>VLOOKUP(E5134,DATABASE!C:Q,4,false)</f>
        <v>BD</v>
      </c>
      <c r="R5134" s="93" t="str">
        <f>VLOOKUP(E5134,DATABASE!C:Q,11,false)</f>
        <v>Tire</v>
      </c>
    </row>
    <row r="5135" ht="22.5" customHeight="1">
      <c r="A5135" s="49"/>
      <c r="C5135" s="384">
        <v>45955.0</v>
      </c>
      <c r="D5135" s="65">
        <v>7592.0</v>
      </c>
      <c r="E5135" s="445" t="s">
        <v>695</v>
      </c>
      <c r="F5135" s="386">
        <v>2.0</v>
      </c>
      <c r="G5135" s="74">
        <v>665000.0</v>
      </c>
      <c r="H5135" s="74">
        <v>0.0</v>
      </c>
      <c r="I5135" s="74">
        <f t="shared" si="1"/>
        <v>1330000</v>
      </c>
      <c r="J5135" s="74">
        <f>IF(E5135="SERVICE",I5135-(I5135*50%),Vlookup(E5135,DATABASE!C:Q,10,false)*F5135)</f>
        <v>0</v>
      </c>
      <c r="K5135" s="74">
        <f>VLOOKUP(E5135,DATABASE!C:Q,7,false)</f>
        <v>582000</v>
      </c>
      <c r="L5135" s="74">
        <v>570000.0</v>
      </c>
      <c r="M5135" s="74">
        <f t="shared" si="2"/>
        <v>570000</v>
      </c>
      <c r="N5135" s="74">
        <f t="shared" si="3"/>
        <v>190000</v>
      </c>
      <c r="O5135" s="65" t="str">
        <f>VLOOKUP(E5135,DATABASE!C:Q,8,false)</f>
        <v>IBU</v>
      </c>
      <c r="P5135" s="65">
        <f>VLOOKUP(E5135,DATABASE!C:Q,9,False)</f>
        <v>1</v>
      </c>
      <c r="Q5135" s="93" t="str">
        <f>VLOOKUP(E5135,DATABASE!C:Q,4,false)</f>
        <v>Dunlop</v>
      </c>
      <c r="R5135" s="93" t="str">
        <f>VLOOKUP(E5135,DATABASE!C:Q,11,false)</f>
        <v>Tire</v>
      </c>
    </row>
    <row r="5136" ht="22.5" customHeight="1">
      <c r="A5136" s="49"/>
      <c r="C5136" s="384">
        <v>45955.0</v>
      </c>
      <c r="D5136" s="65">
        <v>7594.0</v>
      </c>
      <c r="E5136" s="445" t="s">
        <v>256</v>
      </c>
      <c r="F5136" s="386">
        <v>1.0</v>
      </c>
      <c r="G5136" s="74">
        <v>130000.0</v>
      </c>
      <c r="H5136" s="74">
        <v>0.0</v>
      </c>
      <c r="I5136" s="74">
        <f t="shared" si="1"/>
        <v>130000</v>
      </c>
      <c r="J5136" s="74">
        <f>IF(E5136="SERVICE",I5136-(I5136*50%),Vlookup(E5136,DATABASE!C:Q,10,false)*F5136)</f>
        <v>10000</v>
      </c>
      <c r="K5136" s="74">
        <f>VLOOKUP(E5136,DATABASE!C:Q,7,false)</f>
        <v>0</v>
      </c>
      <c r="L5136" s="74">
        <v>0.0</v>
      </c>
      <c r="M5136" s="74">
        <f t="shared" si="2"/>
        <v>0</v>
      </c>
      <c r="N5136" s="74">
        <f t="shared" si="3"/>
        <v>120000</v>
      </c>
      <c r="O5136" s="65" t="str">
        <f>VLOOKUP(E5136,DATABASE!C:Q,8,false)</f>
        <v>IBU</v>
      </c>
      <c r="P5136" s="65">
        <f>VLOOKUP(E5136,DATABASE!C:Q,9,False)</f>
        <v>0</v>
      </c>
      <c r="Q5136" s="93" t="str">
        <f>VLOOKUP(E5136,DATABASE!C:Q,4,false)</f>
        <v>SPOORING</v>
      </c>
      <c r="R5136" s="93" t="str">
        <f>VLOOKUP(E5136,DATABASE!C:Q,11,false)</f>
        <v>SERVICE</v>
      </c>
    </row>
    <row r="5137" ht="22.5" customHeight="1">
      <c r="A5137" s="49"/>
      <c r="C5137" s="384">
        <v>45955.0</v>
      </c>
      <c r="D5137" s="65">
        <v>7594.0</v>
      </c>
      <c r="E5137" s="445" t="s">
        <v>251</v>
      </c>
      <c r="F5137" s="386">
        <v>1.0</v>
      </c>
      <c r="G5137" s="74">
        <v>200000.0</v>
      </c>
      <c r="H5137" s="74">
        <v>0.0</v>
      </c>
      <c r="I5137" s="74">
        <f t="shared" si="1"/>
        <v>200000</v>
      </c>
      <c r="J5137" s="74">
        <f>IF(E5137="SERVICE",I5137-(I5137*50%),Vlookup(E5137,DATABASE!C:Q,10,false)*F5137)</f>
        <v>100000</v>
      </c>
      <c r="K5137" s="74">
        <f>VLOOKUP(E5137,DATABASE!C:Q,7,false)</f>
        <v>0</v>
      </c>
      <c r="L5137" s="74">
        <v>0.0</v>
      </c>
      <c r="M5137" s="74">
        <f t="shared" si="2"/>
        <v>0</v>
      </c>
      <c r="N5137" s="74">
        <f t="shared" si="3"/>
        <v>100000</v>
      </c>
      <c r="O5137" s="65" t="str">
        <f>VLOOKUP(E5137,DATABASE!C:Q,8,false)</f>
        <v>IBU</v>
      </c>
      <c r="P5137" s="65">
        <f>VLOOKUP(E5137,DATABASE!C:Q,9,False)</f>
        <v>0</v>
      </c>
      <c r="Q5137" s="93" t="str">
        <f>VLOOKUP(E5137,DATABASE!C:Q,4,false)</f>
        <v>SERVICE</v>
      </c>
      <c r="R5137" s="93" t="str">
        <f>VLOOKUP(E5137,DATABASE!C:Q,11,false)</f>
        <v>SERVICE</v>
      </c>
    </row>
    <row r="5138" ht="22.5" customHeight="1">
      <c r="A5138" s="49"/>
      <c r="C5138" s="384">
        <v>45955.0</v>
      </c>
      <c r="D5138" s="65">
        <v>7595.0</v>
      </c>
      <c r="E5138" s="445" t="s">
        <v>268</v>
      </c>
      <c r="F5138" s="386">
        <v>1.0</v>
      </c>
      <c r="G5138" s="74">
        <v>720000.0</v>
      </c>
      <c r="H5138" s="74">
        <v>0.0</v>
      </c>
      <c r="I5138" s="74">
        <f t="shared" si="1"/>
        <v>720000</v>
      </c>
      <c r="J5138" s="74">
        <f>IF(E5138="SERVICE",I5138-(I5138*50%),Vlookup(E5138,DATABASE!C:Q,10,false)*F5138)</f>
        <v>0</v>
      </c>
      <c r="K5138" s="74">
        <f>VLOOKUP(E5138,DATABASE!C:Q,7,false)</f>
        <v>653000</v>
      </c>
      <c r="L5138" s="74">
        <v>622000.0</v>
      </c>
      <c r="M5138" s="74">
        <f t="shared" si="2"/>
        <v>625000</v>
      </c>
      <c r="N5138" s="74">
        <f t="shared" si="3"/>
        <v>95000</v>
      </c>
      <c r="O5138" s="65" t="str">
        <f>VLOOKUP(E5138,DATABASE!C:Q,8,false)</f>
        <v>IBU</v>
      </c>
      <c r="P5138" s="65">
        <f>VLOOKUP(E5138,DATABASE!C:Q,9,False)</f>
        <v>1</v>
      </c>
      <c r="Q5138" s="93" t="str">
        <f>VLOOKUP(E5138,DATABASE!C:Q,4,false)</f>
        <v>Dunlop</v>
      </c>
      <c r="R5138" s="93" t="str">
        <f>VLOOKUP(E5138,DATABASE!C:Q,11,false)</f>
        <v>Tire</v>
      </c>
    </row>
    <row r="5139" ht="22.5" customHeight="1">
      <c r="A5139" s="49"/>
      <c r="C5139" s="384">
        <v>45955.0</v>
      </c>
      <c r="D5139" s="65">
        <v>7596.0</v>
      </c>
      <c r="E5139" s="445" t="s">
        <v>256</v>
      </c>
      <c r="F5139" s="386">
        <v>1.0</v>
      </c>
      <c r="G5139" s="74">
        <v>130000.0</v>
      </c>
      <c r="H5139" s="74">
        <v>0.0</v>
      </c>
      <c r="I5139" s="74">
        <f t="shared" si="1"/>
        <v>130000</v>
      </c>
      <c r="J5139" s="74">
        <f>IF(E5139="SERVICE",I5139-(I5139*50%),Vlookup(E5139,DATABASE!C:Q,10,false)*F5139)</f>
        <v>10000</v>
      </c>
      <c r="K5139" s="74">
        <f>VLOOKUP(E5139,DATABASE!C:Q,7,false)</f>
        <v>0</v>
      </c>
      <c r="L5139" s="74">
        <v>0.0</v>
      </c>
      <c r="M5139" s="74">
        <f t="shared" si="2"/>
        <v>0</v>
      </c>
      <c r="N5139" s="74">
        <f t="shared" si="3"/>
        <v>120000</v>
      </c>
      <c r="O5139" s="65" t="str">
        <f>VLOOKUP(E5139,DATABASE!C:Q,8,false)</f>
        <v>IBU</v>
      </c>
      <c r="P5139" s="65">
        <f>VLOOKUP(E5139,DATABASE!C:Q,9,False)</f>
        <v>0</v>
      </c>
      <c r="Q5139" s="93" t="str">
        <f>VLOOKUP(E5139,DATABASE!C:Q,4,false)</f>
        <v>SPOORING</v>
      </c>
      <c r="R5139" s="93" t="str">
        <f>VLOOKUP(E5139,DATABASE!C:Q,11,false)</f>
        <v>SERVICE</v>
      </c>
    </row>
    <row r="5140" ht="22.5" customHeight="1">
      <c r="A5140" s="49"/>
      <c r="C5140" s="384">
        <v>45955.0</v>
      </c>
      <c r="D5140" s="65">
        <v>7597.0</v>
      </c>
      <c r="E5140" s="445" t="s">
        <v>246</v>
      </c>
      <c r="F5140" s="386">
        <v>1.0</v>
      </c>
      <c r="G5140" s="74">
        <v>25000.0</v>
      </c>
      <c r="H5140" s="74">
        <v>0.0</v>
      </c>
      <c r="I5140" s="74">
        <f t="shared" si="1"/>
        <v>25000</v>
      </c>
      <c r="J5140" s="74">
        <f>IF(E5140="SERVICE",I5140-(I5140*50%),Vlookup(E5140,DATABASE!C:Q,10,false)*F5140)</f>
        <v>0</v>
      </c>
      <c r="K5140" s="74">
        <f>VLOOKUP(E5140,DATABASE!C:Q,7,false)</f>
        <v>0</v>
      </c>
      <c r="L5140" s="74">
        <v>0.0</v>
      </c>
      <c r="M5140" s="74">
        <f t="shared" si="2"/>
        <v>0</v>
      </c>
      <c r="N5140" s="74">
        <f t="shared" si="3"/>
        <v>25000</v>
      </c>
      <c r="O5140" s="65" t="str">
        <f>VLOOKUP(E5140,DATABASE!C:Q,8,false)</f>
        <v>IBU</v>
      </c>
      <c r="P5140" s="65">
        <f>VLOOKUP(E5140,DATABASE!C:Q,9,False)</f>
        <v>0</v>
      </c>
      <c r="Q5140" s="93" t="str">
        <f>VLOOKUP(E5140,DATABASE!C:Q,4,false)</f>
        <v>Bongkar Pasang</v>
      </c>
      <c r="R5140" s="93" t="str">
        <f>VLOOKUP(E5140,DATABASE!C:Q,11,false)</f>
        <v>SERVICE</v>
      </c>
    </row>
    <row r="5141" ht="22.5" customHeight="1">
      <c r="A5141" s="49"/>
      <c r="C5141" s="384">
        <v>45955.0</v>
      </c>
      <c r="D5141" s="65">
        <v>7598.0</v>
      </c>
      <c r="E5141" s="445" t="s">
        <v>781</v>
      </c>
      <c r="F5141" s="386">
        <v>2.0</v>
      </c>
      <c r="G5141" s="74">
        <v>525000.0</v>
      </c>
      <c r="H5141" s="74">
        <v>0.0</v>
      </c>
      <c r="I5141" s="74">
        <f t="shared" si="1"/>
        <v>1050000</v>
      </c>
      <c r="J5141" s="74">
        <f>IF(E5141="SERVICE",I5141-(I5141*50%),Vlookup(E5141,DATABASE!C:Q,10,false)*F5141)</f>
        <v>0</v>
      </c>
      <c r="K5141" s="74">
        <f>VLOOKUP(E5141,DATABASE!C:Q,7,false)</f>
        <v>470000</v>
      </c>
      <c r="L5141" s="74">
        <v>442500.0</v>
      </c>
      <c r="M5141" s="74">
        <f t="shared" si="2"/>
        <v>445000</v>
      </c>
      <c r="N5141" s="74">
        <f t="shared" si="3"/>
        <v>160000</v>
      </c>
      <c r="O5141" s="65" t="str">
        <f>VLOOKUP(E5141,DATABASE!C:Q,8,false)</f>
        <v>BIAN</v>
      </c>
      <c r="P5141" s="65">
        <f>VLOOKUP(E5141,DATABASE!C:Q,9,False)</f>
        <v>1</v>
      </c>
      <c r="Q5141" s="93" t="str">
        <f>VLOOKUP(E5141,DATABASE!C:Q,4,false)</f>
        <v>GT</v>
      </c>
      <c r="R5141" s="93" t="str">
        <f>VLOOKUP(E5141,DATABASE!C:Q,11,false)</f>
        <v>Tire</v>
      </c>
    </row>
    <row r="5142" ht="22.5" customHeight="1">
      <c r="A5142" s="49"/>
      <c r="C5142" s="384">
        <v>45955.0</v>
      </c>
      <c r="D5142" s="65">
        <v>7599.0</v>
      </c>
      <c r="E5142" s="445" t="s">
        <v>286</v>
      </c>
      <c r="F5142" s="386">
        <v>8.0</v>
      </c>
      <c r="G5142" s="74">
        <v>550000.0</v>
      </c>
      <c r="H5142" s="74">
        <v>0.0</v>
      </c>
      <c r="I5142" s="74">
        <f t="shared" si="1"/>
        <v>4400000</v>
      </c>
      <c r="J5142" s="74">
        <f>IF(E5142="SERVICE",I5142-(I5142*50%),Vlookup(E5142,DATABASE!C:Q,10,false)*F5142)</f>
        <v>0</v>
      </c>
      <c r="K5142" s="74">
        <f>VLOOKUP(E5142,DATABASE!C:Q,7,false)</f>
        <v>488320</v>
      </c>
      <c r="L5142" s="74">
        <v>452970.0</v>
      </c>
      <c r="M5142" s="74">
        <f t="shared" si="2"/>
        <v>455000</v>
      </c>
      <c r="N5142" s="74">
        <f t="shared" si="3"/>
        <v>760000</v>
      </c>
      <c r="O5142" s="65" t="str">
        <f>VLOOKUP(E5142,DATABASE!C:Q,8,false)</f>
        <v>BIAN</v>
      </c>
      <c r="P5142" s="65">
        <f>VLOOKUP(E5142,DATABASE!C:Q,9,False)</f>
        <v>1</v>
      </c>
      <c r="Q5142" s="93" t="str">
        <f>VLOOKUP(E5142,DATABASE!C:Q,4,false)</f>
        <v>GT</v>
      </c>
      <c r="R5142" s="93" t="str">
        <f>VLOOKUP(E5142,DATABASE!C:Q,11,false)</f>
        <v>Tire</v>
      </c>
    </row>
    <row r="5143" ht="22.5" customHeight="1">
      <c r="A5143" s="49"/>
      <c r="C5143" s="384">
        <v>45955.0</v>
      </c>
      <c r="D5143" s="65">
        <v>7600.0</v>
      </c>
      <c r="E5143" s="445" t="s">
        <v>932</v>
      </c>
      <c r="F5143" s="386">
        <v>1.0</v>
      </c>
      <c r="G5143" s="74">
        <v>685000.0</v>
      </c>
      <c r="H5143" s="74">
        <v>0.0</v>
      </c>
      <c r="I5143" s="74">
        <f t="shared" si="1"/>
        <v>685000</v>
      </c>
      <c r="J5143" s="74">
        <f>IF(E5143="SERVICE",I5143-(I5143*50%),Vlookup(E5143,DATABASE!C:Q,10,false)*F5143)</f>
        <v>0</v>
      </c>
      <c r="K5143" s="74">
        <f>VLOOKUP(E5143,DATABASE!C:Q,7,false)</f>
        <v>601000</v>
      </c>
      <c r="L5143" s="74">
        <v>595000.0</v>
      </c>
      <c r="M5143" s="74">
        <f t="shared" si="2"/>
        <v>595000</v>
      </c>
      <c r="N5143" s="74">
        <f t="shared" si="3"/>
        <v>90000</v>
      </c>
      <c r="O5143" s="65" t="str">
        <f>VLOOKUP(E5143,DATABASE!C:Q,8,false)</f>
        <v>IBU</v>
      </c>
      <c r="P5143" s="65">
        <f>VLOOKUP(E5143,DATABASE!C:Q,9,False)</f>
        <v>1</v>
      </c>
      <c r="Q5143" s="93" t="str">
        <f>VLOOKUP(E5143,DATABASE!C:Q,4,false)</f>
        <v>Dunlop</v>
      </c>
      <c r="R5143" s="93" t="str">
        <f>VLOOKUP(E5143,DATABASE!C:Q,11,false)</f>
        <v>Tire</v>
      </c>
    </row>
    <row r="5144" ht="22.5" customHeight="1">
      <c r="A5144" s="49"/>
      <c r="C5144" s="384">
        <v>45955.0</v>
      </c>
      <c r="D5144" s="65">
        <v>7601.0</v>
      </c>
      <c r="E5144" s="445" t="s">
        <v>932</v>
      </c>
      <c r="F5144" s="386">
        <v>1.0</v>
      </c>
      <c r="G5144" s="74">
        <v>685000.0</v>
      </c>
      <c r="H5144" s="74">
        <v>0.0</v>
      </c>
      <c r="I5144" s="74">
        <f t="shared" si="1"/>
        <v>685000</v>
      </c>
      <c r="J5144" s="74">
        <f>IF(E5144="SERVICE",I5144-(I5144*50%),Vlookup(E5144,DATABASE!C:Q,10,false)*F5144)</f>
        <v>0</v>
      </c>
      <c r="K5144" s="74">
        <f>VLOOKUP(E5144,DATABASE!C:Q,7,false)</f>
        <v>601000</v>
      </c>
      <c r="L5144" s="74">
        <v>595000.0</v>
      </c>
      <c r="M5144" s="74">
        <f t="shared" si="2"/>
        <v>595000</v>
      </c>
      <c r="N5144" s="74">
        <f t="shared" si="3"/>
        <v>90000</v>
      </c>
      <c r="O5144" s="65" t="str">
        <f>VLOOKUP(E5144,DATABASE!C:Q,8,false)</f>
        <v>IBU</v>
      </c>
      <c r="P5144" s="65">
        <f>VLOOKUP(E5144,DATABASE!C:Q,9,False)</f>
        <v>1</v>
      </c>
      <c r="Q5144" s="93" t="str">
        <f>VLOOKUP(E5144,DATABASE!C:Q,4,false)</f>
        <v>Dunlop</v>
      </c>
      <c r="R5144" s="93" t="str">
        <f>VLOOKUP(E5144,DATABASE!C:Q,11,false)</f>
        <v>Tire</v>
      </c>
    </row>
    <row r="5145" ht="22.5" customHeight="1">
      <c r="A5145" s="49"/>
      <c r="C5145" s="384">
        <v>45955.0</v>
      </c>
      <c r="D5145" s="65">
        <v>7602.0</v>
      </c>
      <c r="E5145" s="445" t="s">
        <v>262</v>
      </c>
      <c r="F5145" s="386">
        <v>1.0</v>
      </c>
      <c r="G5145" s="74">
        <v>110000.0</v>
      </c>
      <c r="H5145" s="74">
        <v>0.0</v>
      </c>
      <c r="I5145" s="74">
        <f t="shared" si="1"/>
        <v>110000</v>
      </c>
      <c r="J5145" s="74">
        <f>IF(E5145="SERVICE",I5145-(I5145*50%),Vlookup(E5145,DATABASE!C:Q,10,false)*F5145)</f>
        <v>5000</v>
      </c>
      <c r="K5145" s="74">
        <f>VLOOKUP(E5145,DATABASE!C:Q,7,false)</f>
        <v>0</v>
      </c>
      <c r="L5145" s="74">
        <v>0.0</v>
      </c>
      <c r="M5145" s="74">
        <f t="shared" si="2"/>
        <v>0</v>
      </c>
      <c r="N5145" s="74">
        <f t="shared" si="3"/>
        <v>105000</v>
      </c>
      <c r="O5145" s="65" t="str">
        <f>VLOOKUP(E5145,DATABASE!C:Q,8,false)</f>
        <v>IBU</v>
      </c>
      <c r="P5145" s="65">
        <f>VLOOKUP(E5145,DATABASE!C:Q,9,False)</f>
        <v>0</v>
      </c>
      <c r="Q5145" s="93" t="str">
        <f>VLOOKUP(E5145,DATABASE!C:Q,4,false)</f>
        <v>SPOORING SS/CARRY LOS BAK</v>
      </c>
      <c r="R5145" s="93" t="str">
        <f>VLOOKUP(E5145,DATABASE!C:Q,11,false)</f>
        <v>SERVICE</v>
      </c>
    </row>
    <row r="5146" ht="22.5" customHeight="1">
      <c r="A5146" s="49"/>
      <c r="C5146" s="384">
        <v>45955.0</v>
      </c>
      <c r="D5146" s="65">
        <v>7602.0</v>
      </c>
      <c r="E5146" s="445" t="s">
        <v>251</v>
      </c>
      <c r="F5146" s="386">
        <v>1.0</v>
      </c>
      <c r="G5146" s="74">
        <v>250000.0</v>
      </c>
      <c r="H5146" s="74">
        <v>0.0</v>
      </c>
      <c r="I5146" s="74">
        <f t="shared" si="1"/>
        <v>250000</v>
      </c>
      <c r="J5146" s="74">
        <f>IF(E5146="SERVICE",I5146-(I5146*50%),Vlookup(E5146,DATABASE!C:Q,10,false)*F5146)</f>
        <v>125000</v>
      </c>
      <c r="K5146" s="74">
        <f>VLOOKUP(E5146,DATABASE!C:Q,7,false)</f>
        <v>0</v>
      </c>
      <c r="L5146" s="74">
        <v>0.0</v>
      </c>
      <c r="M5146" s="74">
        <f t="shared" si="2"/>
        <v>0</v>
      </c>
      <c r="N5146" s="74">
        <f t="shared" si="3"/>
        <v>125000</v>
      </c>
      <c r="O5146" s="65" t="str">
        <f>VLOOKUP(E5146,DATABASE!C:Q,8,false)</f>
        <v>IBU</v>
      </c>
      <c r="P5146" s="65">
        <f>VLOOKUP(E5146,DATABASE!C:Q,9,False)</f>
        <v>0</v>
      </c>
      <c r="Q5146" s="93" t="str">
        <f>VLOOKUP(E5146,DATABASE!C:Q,4,false)</f>
        <v>SERVICE</v>
      </c>
      <c r="R5146" s="93" t="str">
        <f>VLOOKUP(E5146,DATABASE!C:Q,11,false)</f>
        <v>SERVICE</v>
      </c>
    </row>
    <row r="5147" ht="22.5" customHeight="1">
      <c r="A5147" s="49"/>
      <c r="C5147" s="384">
        <v>45955.0</v>
      </c>
      <c r="D5147" s="65">
        <v>7602.0</v>
      </c>
      <c r="E5147" s="445" t="s">
        <v>251</v>
      </c>
      <c r="F5147" s="386">
        <v>1.0</v>
      </c>
      <c r="G5147" s="74">
        <v>150000.0</v>
      </c>
      <c r="H5147" s="74">
        <v>0.0</v>
      </c>
      <c r="I5147" s="74">
        <f t="shared" si="1"/>
        <v>150000</v>
      </c>
      <c r="J5147" s="74">
        <f>IF(E5147="SERVICE",I5147-(I5147*50%),Vlookup(E5147,DATABASE!C:Q,10,false)*F5147)</f>
        <v>75000</v>
      </c>
      <c r="K5147" s="74">
        <f>VLOOKUP(E5147,DATABASE!C:Q,7,false)</f>
        <v>0</v>
      </c>
      <c r="L5147" s="74">
        <v>0.0</v>
      </c>
      <c r="M5147" s="74">
        <f t="shared" si="2"/>
        <v>0</v>
      </c>
      <c r="N5147" s="74">
        <f t="shared" si="3"/>
        <v>75000</v>
      </c>
      <c r="O5147" s="65" t="str">
        <f>VLOOKUP(E5147,DATABASE!C:Q,8,false)</f>
        <v>IBU</v>
      </c>
      <c r="P5147" s="65">
        <f>VLOOKUP(E5147,DATABASE!C:Q,9,False)</f>
        <v>0</v>
      </c>
      <c r="Q5147" s="93" t="str">
        <f>VLOOKUP(E5147,DATABASE!C:Q,4,false)</f>
        <v>SERVICE</v>
      </c>
      <c r="R5147" s="93" t="str">
        <f>VLOOKUP(E5147,DATABASE!C:Q,11,false)</f>
        <v>SERVICE</v>
      </c>
    </row>
    <row r="5148" ht="22.5" customHeight="1">
      <c r="A5148" s="49"/>
      <c r="C5148" s="384">
        <v>45955.0</v>
      </c>
      <c r="D5148" s="65">
        <v>7604.0</v>
      </c>
      <c r="E5148" s="445" t="s">
        <v>1430</v>
      </c>
      <c r="F5148" s="386">
        <v>2.0</v>
      </c>
      <c r="G5148" s="74">
        <v>760000.0</v>
      </c>
      <c r="H5148" s="74">
        <v>0.0</v>
      </c>
      <c r="I5148" s="74">
        <f t="shared" si="1"/>
        <v>1520000</v>
      </c>
      <c r="J5148" s="74">
        <f>IF(E5148="SERVICE",I5148-(I5148*50%),Vlookup(E5148,DATABASE!C:Q,10,false)*F5148)</f>
        <v>0</v>
      </c>
      <c r="K5148" s="74">
        <f>VLOOKUP(E5148,DATABASE!C:Q,7,false)</f>
        <v>672800</v>
      </c>
      <c r="L5148" s="74">
        <v>659610.0</v>
      </c>
      <c r="M5148" s="74">
        <f t="shared" si="2"/>
        <v>660000</v>
      </c>
      <c r="N5148" s="74">
        <f t="shared" si="3"/>
        <v>200000</v>
      </c>
      <c r="O5148" s="65" t="str">
        <f>VLOOKUP(E5148,DATABASE!C:Q,8,false)</f>
        <v>BIAN</v>
      </c>
      <c r="P5148" s="65">
        <f>VLOOKUP(E5148,DATABASE!C:Q,9,False)</f>
        <v>1</v>
      </c>
      <c r="Q5148" s="93" t="str">
        <f>VLOOKUP(E5148,DATABASE!C:Q,4,false)</f>
        <v>GT</v>
      </c>
      <c r="R5148" s="93" t="str">
        <f>VLOOKUP(E5148,DATABASE!C:Q,11,false)</f>
        <v>Tire</v>
      </c>
    </row>
    <row r="5149" ht="22.5" customHeight="1">
      <c r="A5149" s="49"/>
      <c r="C5149" s="384">
        <v>45955.0</v>
      </c>
      <c r="D5149" s="65">
        <v>7683.0</v>
      </c>
      <c r="E5149" s="445" t="s">
        <v>2206</v>
      </c>
      <c r="F5149" s="386">
        <v>1.0</v>
      </c>
      <c r="G5149" s="74">
        <v>200000.0</v>
      </c>
      <c r="H5149" s="74">
        <v>0.0</v>
      </c>
      <c r="I5149" s="74">
        <f t="shared" si="1"/>
        <v>200000</v>
      </c>
      <c r="J5149" s="74">
        <f>IF(E5149="SERVICE",I5149-(I5149*50%),Vlookup(E5149,DATABASE!C:Q,10,false)*F5149)</f>
        <v>40000</v>
      </c>
      <c r="K5149" s="74">
        <f>VLOOKUP(E5149,DATABASE!C:Q,7,false)</f>
        <v>95450</v>
      </c>
      <c r="L5149" s="74">
        <v>61000.0</v>
      </c>
      <c r="M5149" s="74">
        <f t="shared" si="2"/>
        <v>65000</v>
      </c>
      <c r="N5149" s="74">
        <f t="shared" si="3"/>
        <v>95000</v>
      </c>
      <c r="O5149" s="65" t="str">
        <f>VLOOKUP(E5149,DATABASE!C:Q,8,false)</f>
        <v>IBU</v>
      </c>
      <c r="P5149" s="65">
        <f>VLOOKUP(E5149,DATABASE!C:Q,9,False)</f>
        <v>1</v>
      </c>
      <c r="Q5149" s="93" t="str">
        <f>VLOOKUP(E5149,DATABASE!C:Q,4,false)</f>
        <v>TIEROD</v>
      </c>
      <c r="R5149" s="93" t="str">
        <f>VLOOKUP(E5149,DATABASE!C:Q,11,false)</f>
        <v>COMPLEMENTARY</v>
      </c>
    </row>
    <row r="5150" ht="22.5" customHeight="1">
      <c r="A5150" s="49"/>
      <c r="C5150" s="384">
        <v>45956.0</v>
      </c>
      <c r="D5150" s="65">
        <v>7606.0</v>
      </c>
      <c r="E5150" s="445" t="s">
        <v>1928</v>
      </c>
      <c r="F5150" s="386">
        <v>2.0</v>
      </c>
      <c r="G5150" s="74">
        <v>675000.0</v>
      </c>
      <c r="H5150" s="74">
        <v>0.0</v>
      </c>
      <c r="I5150" s="74">
        <f t="shared" si="1"/>
        <v>1350000</v>
      </c>
      <c r="J5150" s="74">
        <f>IF(E5150="SERVICE",I5150-(I5150*50%),Vlookup(E5150,DATABASE!C:Q,10,false)*F5150)</f>
        <v>0</v>
      </c>
      <c r="K5150" s="74">
        <f>VLOOKUP(E5150,DATABASE!C:Q,7,false)</f>
        <v>589700</v>
      </c>
      <c r="L5150" s="74">
        <v>572700.0</v>
      </c>
      <c r="M5150" s="74">
        <f t="shared" si="2"/>
        <v>575000</v>
      </c>
      <c r="N5150" s="74">
        <f t="shared" si="3"/>
        <v>200000</v>
      </c>
      <c r="O5150" s="65" t="str">
        <f>VLOOKUP(E5150,DATABASE!C:Q,8,false)</f>
        <v>BIAN</v>
      </c>
      <c r="P5150" s="65">
        <f>VLOOKUP(E5150,DATABASE!C:Q,9,False)</f>
        <v>1</v>
      </c>
      <c r="Q5150" s="93" t="str">
        <f>VLOOKUP(E5150,DATABASE!C:Q,4,false)</f>
        <v>GT</v>
      </c>
      <c r="R5150" s="93" t="str">
        <f>VLOOKUP(E5150,DATABASE!C:Q,11,false)</f>
        <v>Tire</v>
      </c>
    </row>
    <row r="5151" ht="22.5" customHeight="1">
      <c r="A5151" s="49"/>
      <c r="C5151" s="384">
        <v>45956.0</v>
      </c>
      <c r="D5151" s="65">
        <v>7607.0</v>
      </c>
      <c r="E5151" s="445" t="s">
        <v>605</v>
      </c>
      <c r="F5151" s="386">
        <v>1.0</v>
      </c>
      <c r="G5151" s="74">
        <v>735000.0</v>
      </c>
      <c r="H5151" s="74">
        <v>0.0</v>
      </c>
      <c r="I5151" s="74">
        <f t="shared" si="1"/>
        <v>735000</v>
      </c>
      <c r="J5151" s="74">
        <f>IF(E5151="SERVICE",I5151-(I5151*50%),Vlookup(E5151,DATABASE!C:Q,10,false)*F5151)</f>
        <v>0</v>
      </c>
      <c r="K5151" s="74">
        <f>VLOOKUP(E5151,DATABASE!C:Q,7,false)</f>
        <v>675000</v>
      </c>
      <c r="L5151" s="74">
        <v>650000.0</v>
      </c>
      <c r="M5151" s="74">
        <f t="shared" si="2"/>
        <v>650000</v>
      </c>
      <c r="N5151" s="74">
        <f t="shared" si="3"/>
        <v>85000</v>
      </c>
      <c r="O5151" s="65" t="str">
        <f>VLOOKUP(E5151,DATABASE!C:Q,8,false)</f>
        <v>IBU</v>
      </c>
      <c r="P5151" s="65">
        <f>VLOOKUP(E5151,DATABASE!C:Q,9,False)</f>
        <v>1</v>
      </c>
      <c r="Q5151" s="93" t="str">
        <f>VLOOKUP(E5151,DATABASE!C:Q,4,false)</f>
        <v>Bridgestone</v>
      </c>
      <c r="R5151" s="93" t="str">
        <f>VLOOKUP(E5151,DATABASE!C:Q,11,false)</f>
        <v>Tire</v>
      </c>
    </row>
    <row r="5152" ht="22.5" customHeight="1">
      <c r="A5152" s="49"/>
      <c r="C5152" s="384">
        <v>45956.0</v>
      </c>
      <c r="D5152" s="65">
        <v>7607.0</v>
      </c>
      <c r="E5152" s="445" t="s">
        <v>554</v>
      </c>
      <c r="F5152" s="386">
        <v>1.0</v>
      </c>
      <c r="G5152" s="74">
        <v>765000.0</v>
      </c>
      <c r="H5152" s="74">
        <v>0.0</v>
      </c>
      <c r="I5152" s="74">
        <f t="shared" si="1"/>
        <v>765000</v>
      </c>
      <c r="J5152" s="74">
        <f>IF(E5152="SERVICE",I5152-(I5152*50%),Vlookup(E5152,DATABASE!C:Q,10,false)*F5152)</f>
        <v>0</v>
      </c>
      <c r="K5152" s="74">
        <f>VLOOKUP(E5152,DATABASE!C:Q,7,false)</f>
        <v>710000</v>
      </c>
      <c r="L5152" s="74">
        <v>680000.0</v>
      </c>
      <c r="M5152" s="74">
        <f t="shared" si="2"/>
        <v>680000</v>
      </c>
      <c r="N5152" s="74">
        <f t="shared" si="3"/>
        <v>85000</v>
      </c>
      <c r="O5152" s="65" t="str">
        <f>VLOOKUP(E5152,DATABASE!C:Q,8,false)</f>
        <v>IBU</v>
      </c>
      <c r="P5152" s="65">
        <f>VLOOKUP(E5152,DATABASE!C:Q,9,False)</f>
        <v>1</v>
      </c>
      <c r="Q5152" s="93" t="str">
        <f>VLOOKUP(E5152,DATABASE!C:Q,4,false)</f>
        <v>Bridgestone</v>
      </c>
      <c r="R5152" s="93" t="str">
        <f>VLOOKUP(E5152,DATABASE!C:Q,11,false)</f>
        <v>Tire</v>
      </c>
    </row>
    <row r="5153" ht="22.5" customHeight="1">
      <c r="A5153" s="49"/>
      <c r="C5153" s="384">
        <v>45956.0</v>
      </c>
      <c r="D5153" s="65">
        <v>7608.0</v>
      </c>
      <c r="E5153" s="445" t="s">
        <v>572</v>
      </c>
      <c r="F5153" s="386">
        <v>2.0</v>
      </c>
      <c r="G5153" s="74">
        <v>1400000.0</v>
      </c>
      <c r="H5153" s="74">
        <v>0.0</v>
      </c>
      <c r="I5153" s="74">
        <f t="shared" si="1"/>
        <v>2800000</v>
      </c>
      <c r="J5153" s="74">
        <f>IF(E5153="SERVICE",I5153-(I5153*50%),Vlookup(E5153,DATABASE!C:Q,10,false)*F5153)</f>
        <v>0</v>
      </c>
      <c r="K5153" s="74">
        <f>VLOOKUP(E5153,DATABASE!C:Q,7,false)</f>
        <v>1265000</v>
      </c>
      <c r="L5153" s="74">
        <v>1245000.0</v>
      </c>
      <c r="M5153" s="74">
        <f t="shared" si="2"/>
        <v>1245000</v>
      </c>
      <c r="N5153" s="74">
        <f t="shared" si="3"/>
        <v>310000</v>
      </c>
      <c r="O5153" s="65" t="str">
        <f>VLOOKUP(E5153,DATABASE!C:Q,8,false)</f>
        <v>IBU</v>
      </c>
      <c r="P5153" s="65">
        <f>VLOOKUP(E5153,DATABASE!C:Q,9,False)</f>
        <v>1</v>
      </c>
      <c r="Q5153" s="93" t="str">
        <f>VLOOKUP(E5153,DATABASE!C:Q,4,false)</f>
        <v>Bridgestone</v>
      </c>
      <c r="R5153" s="93" t="str">
        <f>VLOOKUP(E5153,DATABASE!C:Q,11,false)</f>
        <v>Tire</v>
      </c>
    </row>
    <row r="5154" ht="22.5" customHeight="1">
      <c r="A5154" s="49"/>
      <c r="C5154" s="384">
        <v>45956.0</v>
      </c>
      <c r="D5154" s="65">
        <v>7698.0</v>
      </c>
      <c r="E5154" s="445" t="s">
        <v>652</v>
      </c>
      <c r="F5154" s="386">
        <v>2.0</v>
      </c>
      <c r="G5154" s="74">
        <v>270000.0</v>
      </c>
      <c r="H5154" s="74">
        <v>0.0</v>
      </c>
      <c r="I5154" s="74">
        <f t="shared" si="1"/>
        <v>540000</v>
      </c>
      <c r="J5154" s="74">
        <f>IF(E5154="SERVICE",I5154-(I5154*50%),Vlookup(E5154,DATABASE!C:Q,10,false)*F5154)</f>
        <v>0</v>
      </c>
      <c r="K5154" s="74">
        <f>VLOOKUP(E5154,DATABASE!C:Q,7,false)</f>
        <v>231268</v>
      </c>
      <c r="L5154" s="74">
        <v>227850.0</v>
      </c>
      <c r="M5154" s="74">
        <f t="shared" si="2"/>
        <v>230000</v>
      </c>
      <c r="N5154" s="74">
        <f t="shared" si="3"/>
        <v>80000</v>
      </c>
      <c r="O5154" s="65" t="str">
        <f>VLOOKUP(E5154,DATABASE!C:Q,8,false)</f>
        <v>IBU</v>
      </c>
      <c r="P5154" s="65">
        <f>VLOOKUP(E5154,DATABASE!C:Q,9,False)</f>
        <v>1</v>
      </c>
      <c r="Q5154" s="93" t="str">
        <f>VLOOKUP(E5154,DATABASE!C:Q,4,false)</f>
        <v>BD</v>
      </c>
      <c r="R5154" s="93" t="str">
        <f>VLOOKUP(E5154,DATABASE!C:Q,11,false)</f>
        <v>Tire</v>
      </c>
    </row>
    <row r="5155" ht="22.5" customHeight="1">
      <c r="A5155" s="49"/>
      <c r="C5155" s="384">
        <v>45956.0</v>
      </c>
      <c r="D5155" s="65">
        <v>7698.0</v>
      </c>
      <c r="E5155" s="445" t="s">
        <v>814</v>
      </c>
      <c r="F5155" s="386">
        <v>2.0</v>
      </c>
      <c r="G5155" s="74">
        <v>75000.0</v>
      </c>
      <c r="H5155" s="74">
        <v>0.0</v>
      </c>
      <c r="I5155" s="74">
        <f t="shared" si="1"/>
        <v>150000</v>
      </c>
      <c r="J5155" s="74">
        <f>IF(E5155="SERVICE",I5155-(I5155*50%),Vlookup(E5155,DATABASE!C:Q,10,false)*F5155)</f>
        <v>0</v>
      </c>
      <c r="K5155" s="74">
        <f>VLOOKUP(E5155,DATABASE!C:Q,7,false)</f>
        <v>39440</v>
      </c>
      <c r="L5155" s="74">
        <v>39440.0</v>
      </c>
      <c r="M5155" s="74">
        <f t="shared" si="2"/>
        <v>40000</v>
      </c>
      <c r="N5155" s="74">
        <f t="shared" si="3"/>
        <v>70000</v>
      </c>
      <c r="O5155" s="65" t="str">
        <f>VLOOKUP(E5155,DATABASE!C:Q,8,false)</f>
        <v>BIAN</v>
      </c>
      <c r="P5155" s="65">
        <f>VLOOKUP(E5155,DATABASE!C:Q,9,False)</f>
        <v>1</v>
      </c>
      <c r="Q5155" s="93" t="str">
        <f>VLOOKUP(E5155,DATABASE!C:Q,4,false)</f>
        <v>Flap</v>
      </c>
      <c r="R5155" s="93" t="str">
        <f>VLOOKUP(E5155,DATABASE!C:Q,11,false)</f>
        <v>Tire</v>
      </c>
    </row>
    <row r="5156" ht="22.5" customHeight="1">
      <c r="A5156" s="49"/>
      <c r="C5156" s="384">
        <v>45957.0</v>
      </c>
      <c r="D5156" s="65">
        <v>7609.0</v>
      </c>
      <c r="E5156" s="445" t="s">
        <v>1439</v>
      </c>
      <c r="F5156" s="386">
        <v>2.0</v>
      </c>
      <c r="G5156" s="74">
        <v>630000.0</v>
      </c>
      <c r="H5156" s="74">
        <v>0.0</v>
      </c>
      <c r="I5156" s="74">
        <f t="shared" si="1"/>
        <v>1260000</v>
      </c>
      <c r="J5156" s="74">
        <f>IF(E5156="SERVICE",I5156-(I5156*50%),Vlookup(E5156,DATABASE!C:Q,10,false)*F5156)</f>
        <v>0</v>
      </c>
      <c r="K5156" s="74">
        <f>VLOOKUP(E5156,DATABASE!C:Q,7,false)</f>
        <v>556800</v>
      </c>
      <c r="L5156" s="74">
        <v>540800.0</v>
      </c>
      <c r="M5156" s="74">
        <f t="shared" si="2"/>
        <v>545000</v>
      </c>
      <c r="N5156" s="74">
        <f t="shared" si="3"/>
        <v>170000</v>
      </c>
      <c r="O5156" s="65" t="str">
        <f>VLOOKUP(E5156,DATABASE!C:Q,8,false)</f>
        <v>BIAN</v>
      </c>
      <c r="P5156" s="65">
        <f>VLOOKUP(E5156,DATABASE!C:Q,9,False)</f>
        <v>1</v>
      </c>
      <c r="Q5156" s="93" t="str">
        <f>VLOOKUP(E5156,DATABASE!C:Q,4,false)</f>
        <v>GT</v>
      </c>
      <c r="R5156" s="93" t="str">
        <f>VLOOKUP(E5156,DATABASE!C:Q,11,false)</f>
        <v>Tire</v>
      </c>
    </row>
    <row r="5157" ht="22.5" customHeight="1">
      <c r="A5157" s="49"/>
      <c r="C5157" s="384">
        <v>45957.0</v>
      </c>
      <c r="D5157" s="65">
        <v>7610.0</v>
      </c>
      <c r="E5157" s="445" t="s">
        <v>937</v>
      </c>
      <c r="F5157" s="386">
        <v>1.0</v>
      </c>
      <c r="G5157" s="74">
        <v>880000.0</v>
      </c>
      <c r="H5157" s="74">
        <v>0.0</v>
      </c>
      <c r="I5157" s="74">
        <f t="shared" si="1"/>
        <v>880000</v>
      </c>
      <c r="J5157" s="74">
        <f>IF(E5157="SERVICE",I5157-(I5157*50%),Vlookup(E5157,DATABASE!C:Q,10,false)*F5157)</f>
        <v>0</v>
      </c>
      <c r="K5157" s="74">
        <f>VLOOKUP(E5157,DATABASE!C:Q,7,false)</f>
        <v>825000</v>
      </c>
      <c r="L5157" s="74">
        <v>790000.0</v>
      </c>
      <c r="M5157" s="74">
        <f t="shared" si="2"/>
        <v>790000</v>
      </c>
      <c r="N5157" s="74">
        <f t="shared" si="3"/>
        <v>90000</v>
      </c>
      <c r="O5157" s="65" t="str">
        <f>VLOOKUP(E5157,DATABASE!C:Q,8,false)</f>
        <v>IBU</v>
      </c>
      <c r="P5157" s="65">
        <f>VLOOKUP(E5157,DATABASE!C:Q,9,False)</f>
        <v>1</v>
      </c>
      <c r="Q5157" s="93" t="str">
        <f>VLOOKUP(E5157,DATABASE!C:Q,4,false)</f>
        <v>Bridgestone</v>
      </c>
      <c r="R5157" s="93" t="str">
        <f>VLOOKUP(E5157,DATABASE!C:Q,11,false)</f>
        <v>Tire</v>
      </c>
    </row>
    <row r="5158" ht="22.5" customHeight="1">
      <c r="A5158" s="49"/>
      <c r="C5158" s="384">
        <v>45957.0</v>
      </c>
      <c r="D5158" s="65">
        <v>7611.0</v>
      </c>
      <c r="E5158" s="445" t="s">
        <v>271</v>
      </c>
      <c r="F5158" s="386">
        <v>1.0</v>
      </c>
      <c r="G5158" s="74">
        <v>640000.0</v>
      </c>
      <c r="H5158" s="74">
        <v>0.0</v>
      </c>
      <c r="I5158" s="74">
        <f t="shared" si="1"/>
        <v>640000</v>
      </c>
      <c r="J5158" s="74">
        <f>IF(E5158="SERVICE",I5158-(I5158*50%),Vlookup(E5158,DATABASE!C:Q,10,false)*F5158)</f>
        <v>0</v>
      </c>
      <c r="K5158" s="74">
        <f>VLOOKUP(E5158,DATABASE!C:Q,7,false)</f>
        <v>570000</v>
      </c>
      <c r="L5158" s="74">
        <v>539000.0</v>
      </c>
      <c r="M5158" s="74">
        <f t="shared" si="2"/>
        <v>540000</v>
      </c>
      <c r="N5158" s="74">
        <f t="shared" si="3"/>
        <v>100000</v>
      </c>
      <c r="O5158" s="65" t="str">
        <f>VLOOKUP(E5158,DATABASE!C:Q,8,false)</f>
        <v>IBU</v>
      </c>
      <c r="P5158" s="65">
        <f>VLOOKUP(E5158,DATABASE!C:Q,9,False)</f>
        <v>1</v>
      </c>
      <c r="Q5158" s="93" t="str">
        <f>VLOOKUP(E5158,DATABASE!C:Q,4,false)</f>
        <v>Dunlop</v>
      </c>
      <c r="R5158" s="93" t="str">
        <f>VLOOKUP(E5158,DATABASE!C:Q,11,false)</f>
        <v>Tire</v>
      </c>
    </row>
    <row r="5159" ht="22.5" customHeight="1">
      <c r="A5159" s="49"/>
      <c r="C5159" s="384">
        <v>45957.0</v>
      </c>
      <c r="D5159" s="65">
        <v>7612.0</v>
      </c>
      <c r="E5159" s="445" t="s">
        <v>256</v>
      </c>
      <c r="F5159" s="386">
        <v>1.0</v>
      </c>
      <c r="G5159" s="74">
        <v>130000.0</v>
      </c>
      <c r="H5159" s="74">
        <v>0.0</v>
      </c>
      <c r="I5159" s="74">
        <f t="shared" si="1"/>
        <v>130000</v>
      </c>
      <c r="J5159" s="74">
        <f>IF(E5159="SERVICE",I5159-(I5159*50%),Vlookup(E5159,DATABASE!C:Q,10,false)*F5159)</f>
        <v>10000</v>
      </c>
      <c r="K5159" s="74">
        <f>VLOOKUP(E5159,DATABASE!C:Q,7,false)</f>
        <v>0</v>
      </c>
      <c r="L5159" s="74">
        <v>0.0</v>
      </c>
      <c r="M5159" s="74">
        <f t="shared" si="2"/>
        <v>0</v>
      </c>
      <c r="N5159" s="74">
        <f t="shared" si="3"/>
        <v>120000</v>
      </c>
      <c r="O5159" s="65" t="str">
        <f>VLOOKUP(E5159,DATABASE!C:Q,8,false)</f>
        <v>IBU</v>
      </c>
      <c r="P5159" s="65">
        <f>VLOOKUP(E5159,DATABASE!C:Q,9,False)</f>
        <v>0</v>
      </c>
      <c r="Q5159" s="93" t="str">
        <f>VLOOKUP(E5159,DATABASE!C:Q,4,false)</f>
        <v>SPOORING</v>
      </c>
      <c r="R5159" s="93" t="str">
        <f>VLOOKUP(E5159,DATABASE!C:Q,11,false)</f>
        <v>SERVICE</v>
      </c>
    </row>
    <row r="5160" ht="22.5" customHeight="1">
      <c r="A5160" s="49"/>
      <c r="C5160" s="384">
        <v>45957.0</v>
      </c>
      <c r="D5160" s="65">
        <v>7613.0</v>
      </c>
      <c r="E5160" s="445" t="s">
        <v>287</v>
      </c>
      <c r="F5160" s="386">
        <v>1.0</v>
      </c>
      <c r="G5160" s="74">
        <v>780000.0</v>
      </c>
      <c r="H5160" s="74">
        <v>0.0</v>
      </c>
      <c r="I5160" s="74">
        <f t="shared" si="1"/>
        <v>780000</v>
      </c>
      <c r="J5160" s="74">
        <f>IF(E5160="SERVICE",I5160-(I5160*50%),Vlookup(E5160,DATABASE!C:Q,10,false)*F5160)</f>
        <v>0</v>
      </c>
      <c r="K5160" s="74">
        <f>VLOOKUP(E5160,DATABASE!C:Q,7,false)</f>
        <v>711000</v>
      </c>
      <c r="L5160" s="74">
        <v>690600.0</v>
      </c>
      <c r="M5160" s="74">
        <f t="shared" si="2"/>
        <v>695000</v>
      </c>
      <c r="N5160" s="74">
        <f t="shared" si="3"/>
        <v>85000</v>
      </c>
      <c r="O5160" s="65" t="str">
        <f>VLOOKUP(E5160,DATABASE!C:Q,8,false)</f>
        <v>BIAN</v>
      </c>
      <c r="P5160" s="65">
        <f>VLOOKUP(E5160,DATABASE!C:Q,9,False)</f>
        <v>1</v>
      </c>
      <c r="Q5160" s="93" t="str">
        <f>VLOOKUP(E5160,DATABASE!C:Q,4,false)</f>
        <v>GT</v>
      </c>
      <c r="R5160" s="93" t="str">
        <f>VLOOKUP(E5160,DATABASE!C:Q,11,false)</f>
        <v>Tire</v>
      </c>
    </row>
    <row r="5161" ht="22.5" customHeight="1">
      <c r="A5161" s="49"/>
      <c r="C5161" s="384">
        <v>45957.0</v>
      </c>
      <c r="D5161" s="65">
        <v>7614.0</v>
      </c>
      <c r="E5161" s="445" t="s">
        <v>256</v>
      </c>
      <c r="F5161" s="386">
        <v>1.0</v>
      </c>
      <c r="G5161" s="74">
        <v>130000.0</v>
      </c>
      <c r="H5161" s="74">
        <v>0.0</v>
      </c>
      <c r="I5161" s="74">
        <f t="shared" si="1"/>
        <v>130000</v>
      </c>
      <c r="J5161" s="74">
        <f>IF(E5161="SERVICE",I5161-(I5161*50%),Vlookup(E5161,DATABASE!C:Q,10,false)*F5161)</f>
        <v>10000</v>
      </c>
      <c r="K5161" s="74">
        <f>VLOOKUP(E5161,DATABASE!C:Q,7,false)</f>
        <v>0</v>
      </c>
      <c r="L5161" s="74">
        <v>0.0</v>
      </c>
      <c r="M5161" s="74">
        <f t="shared" si="2"/>
        <v>0</v>
      </c>
      <c r="N5161" s="74">
        <f t="shared" si="3"/>
        <v>120000</v>
      </c>
      <c r="O5161" s="65" t="str">
        <f>VLOOKUP(E5161,DATABASE!C:Q,8,false)</f>
        <v>IBU</v>
      </c>
      <c r="P5161" s="65">
        <f>VLOOKUP(E5161,DATABASE!C:Q,9,False)</f>
        <v>0</v>
      </c>
      <c r="Q5161" s="93" t="str">
        <f>VLOOKUP(E5161,DATABASE!C:Q,4,false)</f>
        <v>SPOORING</v>
      </c>
      <c r="R5161" s="93" t="str">
        <f>VLOOKUP(E5161,DATABASE!C:Q,11,false)</f>
        <v>SERVICE</v>
      </c>
    </row>
    <row r="5162" ht="22.5" customHeight="1">
      <c r="A5162" s="49"/>
      <c r="C5162" s="384">
        <v>45957.0</v>
      </c>
      <c r="D5162" s="65">
        <v>7614.0</v>
      </c>
      <c r="E5162" s="445" t="s">
        <v>251</v>
      </c>
      <c r="F5162" s="386">
        <v>1.0</v>
      </c>
      <c r="G5162" s="74">
        <v>150000.0</v>
      </c>
      <c r="H5162" s="74">
        <v>0.0</v>
      </c>
      <c r="I5162" s="74">
        <f t="shared" si="1"/>
        <v>150000</v>
      </c>
      <c r="J5162" s="74">
        <f>IF(E5162="SERVICE",I5162-(I5162*50%),Vlookup(E5162,DATABASE!C:Q,10,false)*F5162)</f>
        <v>75000</v>
      </c>
      <c r="K5162" s="74">
        <f>VLOOKUP(E5162,DATABASE!C:Q,7,false)</f>
        <v>0</v>
      </c>
      <c r="L5162" s="74">
        <v>0.0</v>
      </c>
      <c r="M5162" s="74">
        <f t="shared" si="2"/>
        <v>0</v>
      </c>
      <c r="N5162" s="74">
        <f t="shared" si="3"/>
        <v>75000</v>
      </c>
      <c r="O5162" s="65" t="str">
        <f>VLOOKUP(E5162,DATABASE!C:Q,8,false)</f>
        <v>IBU</v>
      </c>
      <c r="P5162" s="65">
        <f>VLOOKUP(E5162,DATABASE!C:Q,9,False)</f>
        <v>0</v>
      </c>
      <c r="Q5162" s="93" t="str">
        <f>VLOOKUP(E5162,DATABASE!C:Q,4,false)</f>
        <v>SERVICE</v>
      </c>
      <c r="R5162" s="93" t="str">
        <f>VLOOKUP(E5162,DATABASE!C:Q,11,false)</f>
        <v>SERVICE</v>
      </c>
    </row>
    <row r="5163" ht="22.5" customHeight="1">
      <c r="A5163" s="49"/>
      <c r="C5163" s="384">
        <v>45957.0</v>
      </c>
      <c r="D5163" s="65">
        <v>7615.0</v>
      </c>
      <c r="E5163" s="445" t="s">
        <v>554</v>
      </c>
      <c r="F5163" s="386">
        <v>2.0</v>
      </c>
      <c r="G5163" s="74">
        <v>765000.0</v>
      </c>
      <c r="H5163" s="74">
        <v>0.0</v>
      </c>
      <c r="I5163" s="74">
        <f t="shared" si="1"/>
        <v>1530000</v>
      </c>
      <c r="J5163" s="74">
        <f>IF(E5163="SERVICE",I5163-(I5163*50%),Vlookup(E5163,DATABASE!C:Q,10,false)*F5163)</f>
        <v>0</v>
      </c>
      <c r="K5163" s="74">
        <f>VLOOKUP(E5163,DATABASE!C:Q,7,false)</f>
        <v>710000</v>
      </c>
      <c r="L5163" s="74">
        <v>680000.0</v>
      </c>
      <c r="M5163" s="74">
        <f t="shared" si="2"/>
        <v>680000</v>
      </c>
      <c r="N5163" s="74">
        <f t="shared" si="3"/>
        <v>170000</v>
      </c>
      <c r="O5163" s="65" t="str">
        <f>VLOOKUP(E5163,DATABASE!C:Q,8,false)</f>
        <v>IBU</v>
      </c>
      <c r="P5163" s="65">
        <f>VLOOKUP(E5163,DATABASE!C:Q,9,False)</f>
        <v>1</v>
      </c>
      <c r="Q5163" s="93" t="str">
        <f>VLOOKUP(E5163,DATABASE!C:Q,4,false)</f>
        <v>Bridgestone</v>
      </c>
      <c r="R5163" s="93" t="str">
        <f>VLOOKUP(E5163,DATABASE!C:Q,11,false)</f>
        <v>Tire</v>
      </c>
    </row>
    <row r="5164" ht="22.5" customHeight="1">
      <c r="A5164" s="49"/>
      <c r="C5164" s="384">
        <v>45957.0</v>
      </c>
      <c r="D5164" s="65">
        <v>7616.0</v>
      </c>
      <c r="E5164" s="445" t="s">
        <v>1867</v>
      </c>
      <c r="F5164" s="386">
        <v>1.0</v>
      </c>
      <c r="G5164" s="74">
        <v>650000.0</v>
      </c>
      <c r="H5164" s="74">
        <v>0.0</v>
      </c>
      <c r="I5164" s="74">
        <f t="shared" si="1"/>
        <v>650000</v>
      </c>
      <c r="J5164" s="74">
        <f>IF(E5164="SERVICE",I5164-(I5164*50%),Vlookup(E5164,DATABASE!C:Q,10,false)*F5164)</f>
        <v>0</v>
      </c>
      <c r="K5164" s="74">
        <f>VLOOKUP(E5164,DATABASE!C:Q,7,false)</f>
        <v>575200</v>
      </c>
      <c r="L5164" s="74">
        <v>558200.0</v>
      </c>
      <c r="M5164" s="74">
        <f t="shared" si="2"/>
        <v>560000</v>
      </c>
      <c r="N5164" s="74">
        <f t="shared" si="3"/>
        <v>90000</v>
      </c>
      <c r="O5164" s="65" t="str">
        <f>VLOOKUP(E5164,DATABASE!C:Q,8,false)</f>
        <v>BIAN</v>
      </c>
      <c r="P5164" s="65">
        <f>VLOOKUP(E5164,DATABASE!C:Q,9,False)</f>
        <v>1</v>
      </c>
      <c r="Q5164" s="93" t="str">
        <f>VLOOKUP(E5164,DATABASE!C:Q,4,false)</f>
        <v>GT</v>
      </c>
      <c r="R5164" s="93" t="str">
        <f>VLOOKUP(E5164,DATABASE!C:Q,11,false)</f>
        <v>Tire</v>
      </c>
    </row>
    <row r="5165" ht="22.5" customHeight="1">
      <c r="A5165" s="49"/>
      <c r="C5165" s="384">
        <v>45957.0</v>
      </c>
      <c r="D5165" s="65">
        <v>7617.0</v>
      </c>
      <c r="E5165" s="445" t="s">
        <v>937</v>
      </c>
      <c r="F5165" s="386">
        <v>1.0</v>
      </c>
      <c r="G5165" s="74">
        <v>880000.0</v>
      </c>
      <c r="H5165" s="74">
        <v>0.0</v>
      </c>
      <c r="I5165" s="74">
        <f t="shared" si="1"/>
        <v>880000</v>
      </c>
      <c r="J5165" s="74">
        <f>IF(E5165="SERVICE",I5165-(I5165*50%),Vlookup(E5165,DATABASE!C:Q,10,false)*F5165)</f>
        <v>0</v>
      </c>
      <c r="K5165" s="74">
        <f>VLOOKUP(E5165,DATABASE!C:Q,7,false)</f>
        <v>825000</v>
      </c>
      <c r="L5165" s="74">
        <v>790000.0</v>
      </c>
      <c r="M5165" s="74">
        <f t="shared" si="2"/>
        <v>790000</v>
      </c>
      <c r="N5165" s="74">
        <f t="shared" si="3"/>
        <v>90000</v>
      </c>
      <c r="O5165" s="65" t="str">
        <f>VLOOKUP(E5165,DATABASE!C:Q,8,false)</f>
        <v>IBU</v>
      </c>
      <c r="P5165" s="65">
        <f>VLOOKUP(E5165,DATABASE!C:Q,9,False)</f>
        <v>1</v>
      </c>
      <c r="Q5165" s="93" t="str">
        <f>VLOOKUP(E5165,DATABASE!C:Q,4,false)</f>
        <v>Bridgestone</v>
      </c>
      <c r="R5165" s="93" t="str">
        <f>VLOOKUP(E5165,DATABASE!C:Q,11,false)</f>
        <v>Tire</v>
      </c>
    </row>
    <row r="5166" ht="22.5" customHeight="1">
      <c r="A5166" s="49"/>
      <c r="C5166" s="384">
        <v>45957.0</v>
      </c>
      <c r="D5166" s="65">
        <v>7619.0</v>
      </c>
      <c r="E5166" s="445" t="s">
        <v>1361</v>
      </c>
      <c r="F5166" s="386">
        <v>1.0</v>
      </c>
      <c r="G5166" s="74">
        <v>980000.0</v>
      </c>
      <c r="H5166" s="74">
        <v>0.0</v>
      </c>
      <c r="I5166" s="74">
        <f t="shared" si="1"/>
        <v>980000</v>
      </c>
      <c r="J5166" s="74">
        <f>IF(E5166="SERVICE",I5166-(I5166*50%),Vlookup(E5166,DATABASE!C:Q,10,false)*F5166)</f>
        <v>0</v>
      </c>
      <c r="K5166" s="74">
        <f>VLOOKUP(E5166,DATABASE!C:Q,7,false)</f>
        <v>881000</v>
      </c>
      <c r="L5166" s="74">
        <v>881000.0</v>
      </c>
      <c r="M5166" s="74">
        <f t="shared" si="2"/>
        <v>885000</v>
      </c>
      <c r="N5166" s="74">
        <f t="shared" si="3"/>
        <v>95000</v>
      </c>
      <c r="O5166" s="65" t="str">
        <f>VLOOKUP(E5166,DATABASE!C:Q,8,false)</f>
        <v>IBU</v>
      </c>
      <c r="P5166" s="65">
        <f>VLOOKUP(E5166,DATABASE!C:Q,9,False)</f>
        <v>1</v>
      </c>
      <c r="Q5166" s="93" t="str">
        <f>VLOOKUP(E5166,DATABASE!C:Q,4,false)</f>
        <v>Dunlop</v>
      </c>
      <c r="R5166" s="93" t="str">
        <f>VLOOKUP(E5166,DATABASE!C:Q,11,false)</f>
        <v>Tire</v>
      </c>
    </row>
    <row r="5167" ht="22.5" customHeight="1">
      <c r="A5167" s="49"/>
      <c r="C5167" s="384">
        <v>45957.0</v>
      </c>
      <c r="D5167" s="65">
        <v>7620.0</v>
      </c>
      <c r="E5167" s="445" t="s">
        <v>1940</v>
      </c>
      <c r="F5167" s="386">
        <v>2.0</v>
      </c>
      <c r="G5167" s="74">
        <v>800000.0</v>
      </c>
      <c r="H5167" s="74">
        <v>0.0</v>
      </c>
      <c r="I5167" s="74">
        <f t="shared" si="1"/>
        <v>1600000</v>
      </c>
      <c r="J5167" s="74">
        <f>IF(E5167="SERVICE",I5167-(I5167*50%),Vlookup(E5167,DATABASE!C:Q,10,false)*F5167)</f>
        <v>0</v>
      </c>
      <c r="K5167" s="74">
        <f>VLOOKUP(E5167,DATABASE!C:Q,7,false)</f>
        <v>775500</v>
      </c>
      <c r="L5167" s="74">
        <v>716940.0</v>
      </c>
      <c r="M5167" s="74">
        <f t="shared" si="2"/>
        <v>720000</v>
      </c>
      <c r="N5167" s="74">
        <f t="shared" si="3"/>
        <v>160000</v>
      </c>
      <c r="O5167" s="65" t="str">
        <f>VLOOKUP(E5167,DATABASE!C:Q,8,false)</f>
        <v>BIAN</v>
      </c>
      <c r="P5167" s="65">
        <f>VLOOKUP(E5167,DATABASE!C:Q,9,False)</f>
        <v>1</v>
      </c>
      <c r="Q5167" s="93" t="str">
        <f>VLOOKUP(E5167,DATABASE!C:Q,4,false)</f>
        <v>GT</v>
      </c>
      <c r="R5167" s="93" t="str">
        <f>VLOOKUP(E5167,DATABASE!C:Q,11,false)</f>
        <v>Tire</v>
      </c>
    </row>
    <row r="5168" ht="22.5" customHeight="1">
      <c r="A5168" s="49"/>
      <c r="C5168" s="384">
        <v>45957.0</v>
      </c>
      <c r="D5168" s="65">
        <v>7622.0</v>
      </c>
      <c r="E5168" s="445" t="s">
        <v>1196</v>
      </c>
      <c r="F5168" s="386">
        <v>2.0</v>
      </c>
      <c r="G5168" s="74">
        <v>1050000.0</v>
      </c>
      <c r="H5168" s="74">
        <v>0.0</v>
      </c>
      <c r="I5168" s="74">
        <f t="shared" si="1"/>
        <v>2100000</v>
      </c>
      <c r="J5168" s="74">
        <f>IF(E5168="SERVICE",I5168-(I5168*50%),Vlookup(E5168,DATABASE!C:Q,10,false)*F5168)</f>
        <v>0</v>
      </c>
      <c r="K5168" s="74">
        <f>VLOOKUP(E5168,DATABASE!C:Q,7,false)</f>
        <v>943430.5</v>
      </c>
      <c r="L5168" s="74">
        <v>945190.375</v>
      </c>
      <c r="M5168" s="74">
        <f t="shared" si="2"/>
        <v>950000</v>
      </c>
      <c r="N5168" s="74">
        <f t="shared" si="3"/>
        <v>200000</v>
      </c>
      <c r="O5168" s="65" t="str">
        <f>VLOOKUP(E5168,DATABASE!C:Q,8,false)</f>
        <v>IBU</v>
      </c>
      <c r="P5168" s="65">
        <f>VLOOKUP(E5168,DATABASE!C:Q,9,False)</f>
        <v>1</v>
      </c>
      <c r="Q5168" s="93" t="str">
        <f>VLOOKUP(E5168,DATABASE!C:Q,4,false)</f>
        <v>Bridgestone</v>
      </c>
      <c r="R5168" s="93" t="str">
        <f>VLOOKUP(E5168,DATABASE!C:Q,11,false)</f>
        <v>Tire</v>
      </c>
    </row>
    <row r="5169" ht="22.5" customHeight="1">
      <c r="A5169" s="49"/>
      <c r="C5169" s="384">
        <v>45957.0</v>
      </c>
      <c r="D5169" s="65">
        <v>7622.0</v>
      </c>
      <c r="E5169" s="385" t="s">
        <v>299</v>
      </c>
      <c r="F5169" s="386">
        <v>2.0</v>
      </c>
      <c r="G5169" s="74">
        <v>30000.0</v>
      </c>
      <c r="H5169" s="74">
        <v>0.0</v>
      </c>
      <c r="I5169" s="74">
        <f t="shared" si="1"/>
        <v>60000</v>
      </c>
      <c r="J5169" s="74">
        <f>IF(E5169="SERVICE",I5169-(I5169*50%),Vlookup(E5169,DATABASE!C:Q,10,false)*F5169)</f>
        <v>0</v>
      </c>
      <c r="K5169" s="74">
        <v>0.0</v>
      </c>
      <c r="L5169" s="74">
        <v>0.0</v>
      </c>
      <c r="M5169" s="74">
        <f t="shared" si="2"/>
        <v>0</v>
      </c>
      <c r="N5169" s="74">
        <f t="shared" si="3"/>
        <v>60000</v>
      </c>
      <c r="O5169" s="65" t="str">
        <f>VLOOKUP(E5169,DATABASE!C:Q,8,false)</f>
        <v>BIAN</v>
      </c>
      <c r="P5169" s="65">
        <f>VLOOKUP(E5169,DATABASE!C:Q,9,False)</f>
        <v>0</v>
      </c>
      <c r="Q5169" s="93" t="str">
        <f>VLOOKUP(E5169,DATABASE!C:Q,4,false)</f>
        <v>Balancing</v>
      </c>
      <c r="R5169" s="93" t="str">
        <f>VLOOKUP(E5169,DATABASE!C:Q,11,false)</f>
        <v>COMPLEMENTARY</v>
      </c>
    </row>
    <row r="5170" ht="22.5" customHeight="1">
      <c r="A5170" s="49"/>
      <c r="C5170" s="384">
        <v>45957.0</v>
      </c>
      <c r="D5170" s="65">
        <v>7622.0</v>
      </c>
      <c r="E5170" s="445" t="s">
        <v>256</v>
      </c>
      <c r="F5170" s="386">
        <v>1.0</v>
      </c>
      <c r="G5170" s="74">
        <v>130000.0</v>
      </c>
      <c r="H5170" s="74">
        <v>0.0</v>
      </c>
      <c r="I5170" s="74">
        <f t="shared" si="1"/>
        <v>130000</v>
      </c>
      <c r="J5170" s="74">
        <f>IF(E5170="SERVICE",I5170-(I5170*50%),Vlookup(E5170,DATABASE!C:Q,10,false)*F5170)</f>
        <v>10000</v>
      </c>
      <c r="K5170" s="74">
        <f>VLOOKUP(E5170,DATABASE!C:Q,7,false)</f>
        <v>0</v>
      </c>
      <c r="L5170" s="74">
        <v>0.0</v>
      </c>
      <c r="M5170" s="74">
        <f t="shared" si="2"/>
        <v>0</v>
      </c>
      <c r="N5170" s="74">
        <f t="shared" si="3"/>
        <v>120000</v>
      </c>
      <c r="O5170" s="65" t="str">
        <f>VLOOKUP(E5170,DATABASE!C:Q,8,false)</f>
        <v>IBU</v>
      </c>
      <c r="P5170" s="65">
        <f>VLOOKUP(E5170,DATABASE!C:Q,9,False)</f>
        <v>0</v>
      </c>
      <c r="Q5170" s="93" t="str">
        <f>VLOOKUP(E5170,DATABASE!C:Q,4,false)</f>
        <v>SPOORING</v>
      </c>
      <c r="R5170" s="93" t="str">
        <f>VLOOKUP(E5170,DATABASE!C:Q,11,false)</f>
        <v>SERVICE</v>
      </c>
    </row>
    <row r="5171" ht="22.5" customHeight="1">
      <c r="A5171" s="49"/>
      <c r="C5171" s="384">
        <v>45957.0</v>
      </c>
      <c r="D5171" s="65">
        <v>7622.0</v>
      </c>
      <c r="E5171" s="445" t="s">
        <v>251</v>
      </c>
      <c r="F5171" s="386">
        <v>1.0</v>
      </c>
      <c r="G5171" s="74">
        <v>150000.0</v>
      </c>
      <c r="H5171" s="74">
        <v>0.0</v>
      </c>
      <c r="I5171" s="74">
        <f t="shared" si="1"/>
        <v>150000</v>
      </c>
      <c r="J5171" s="74">
        <f>IF(E5171="SERVICE",I5171-(I5171*50%),Vlookup(E5171,DATABASE!C:Q,10,false)*F5171)</f>
        <v>75000</v>
      </c>
      <c r="K5171" s="74">
        <f>VLOOKUP(E5171,DATABASE!C:Q,7,false)</f>
        <v>0</v>
      </c>
      <c r="L5171" s="74">
        <v>0.0</v>
      </c>
      <c r="M5171" s="74">
        <f t="shared" si="2"/>
        <v>0</v>
      </c>
      <c r="N5171" s="74">
        <f t="shared" si="3"/>
        <v>75000</v>
      </c>
      <c r="O5171" s="65" t="str">
        <f>VLOOKUP(E5171,DATABASE!C:Q,8,false)</f>
        <v>IBU</v>
      </c>
      <c r="P5171" s="65">
        <f>VLOOKUP(E5171,DATABASE!C:Q,9,False)</f>
        <v>0</v>
      </c>
      <c r="Q5171" s="93" t="str">
        <f>VLOOKUP(E5171,DATABASE!C:Q,4,false)</f>
        <v>SERVICE</v>
      </c>
      <c r="R5171" s="93" t="str">
        <f>VLOOKUP(E5171,DATABASE!C:Q,11,false)</f>
        <v>SERVICE</v>
      </c>
    </row>
    <row r="5172" ht="22.5" customHeight="1">
      <c r="A5172" s="49"/>
      <c r="C5172" s="384">
        <v>45957.0</v>
      </c>
      <c r="D5172" s="65">
        <v>7623.0</v>
      </c>
      <c r="E5172" s="445" t="s">
        <v>937</v>
      </c>
      <c r="F5172" s="386">
        <v>2.0</v>
      </c>
      <c r="G5172" s="74">
        <v>880000.0</v>
      </c>
      <c r="H5172" s="74">
        <v>0.0</v>
      </c>
      <c r="I5172" s="74">
        <f t="shared" si="1"/>
        <v>1760000</v>
      </c>
      <c r="J5172" s="74">
        <f>IF(E5172="SERVICE",I5172-(I5172*50%),Vlookup(E5172,DATABASE!C:Q,10,false)*F5172)</f>
        <v>0</v>
      </c>
      <c r="K5172" s="74">
        <f>VLOOKUP(E5172,DATABASE!C:Q,7,false)</f>
        <v>825000</v>
      </c>
      <c r="L5172" s="74">
        <v>790000.0</v>
      </c>
      <c r="M5172" s="74">
        <f t="shared" si="2"/>
        <v>790000</v>
      </c>
      <c r="N5172" s="74">
        <f t="shared" si="3"/>
        <v>180000</v>
      </c>
      <c r="O5172" s="65" t="str">
        <f>VLOOKUP(E5172,DATABASE!C:Q,8,false)</f>
        <v>IBU</v>
      </c>
      <c r="P5172" s="65">
        <f>VLOOKUP(E5172,DATABASE!C:Q,9,False)</f>
        <v>1</v>
      </c>
      <c r="Q5172" s="93" t="str">
        <f>VLOOKUP(E5172,DATABASE!C:Q,4,false)</f>
        <v>Bridgestone</v>
      </c>
      <c r="R5172" s="93" t="str">
        <f>VLOOKUP(E5172,DATABASE!C:Q,11,false)</f>
        <v>Tire</v>
      </c>
    </row>
    <row r="5173" ht="22.5" customHeight="1">
      <c r="A5173" s="49"/>
      <c r="C5173" s="384">
        <v>45957.0</v>
      </c>
      <c r="D5173" s="65">
        <v>7623.0</v>
      </c>
      <c r="E5173" s="445" t="s">
        <v>604</v>
      </c>
      <c r="F5173" s="386">
        <v>2.0</v>
      </c>
      <c r="G5173" s="74">
        <v>160000.0</v>
      </c>
      <c r="H5173" s="74">
        <v>0.0</v>
      </c>
      <c r="I5173" s="74">
        <f t="shared" si="1"/>
        <v>320000</v>
      </c>
      <c r="J5173" s="74">
        <f>IF(E5173="SERVICE",I5173-(I5173*50%),Vlookup(E5173,DATABASE!C:Q,10,false)*F5173)</f>
        <v>0</v>
      </c>
      <c r="K5173" s="74">
        <f>VLOOKUP(E5173,DATABASE!C:Q,7,false)</f>
        <v>124000</v>
      </c>
      <c r="L5173" s="74">
        <v>124000.0</v>
      </c>
      <c r="M5173" s="74">
        <f t="shared" si="2"/>
        <v>125000</v>
      </c>
      <c r="N5173" s="74">
        <f t="shared" si="3"/>
        <v>70000</v>
      </c>
      <c r="O5173" s="65" t="str">
        <f>VLOOKUP(E5173,DATABASE!C:Q,8,false)</f>
        <v>BIAN</v>
      </c>
      <c r="P5173" s="65">
        <f>VLOOKUP(E5173,DATABASE!C:Q,9,False)</f>
        <v>1</v>
      </c>
      <c r="Q5173" s="93" t="str">
        <f>VLOOKUP(E5173,DATABASE!C:Q,4,false)</f>
        <v>BD</v>
      </c>
      <c r="R5173" s="93" t="str">
        <f>VLOOKUP(E5173,DATABASE!C:Q,11,false)</f>
        <v>Tire</v>
      </c>
    </row>
    <row r="5174" ht="22.5" customHeight="1">
      <c r="A5174" s="49"/>
      <c r="C5174" s="384">
        <v>45957.0</v>
      </c>
      <c r="D5174" s="65">
        <v>7624.0</v>
      </c>
      <c r="E5174" s="445" t="s">
        <v>282</v>
      </c>
      <c r="F5174" s="386">
        <v>3.0</v>
      </c>
      <c r="G5174" s="74">
        <v>880000.0</v>
      </c>
      <c r="H5174" s="74">
        <v>0.0</v>
      </c>
      <c r="I5174" s="74">
        <f t="shared" si="1"/>
        <v>2640000</v>
      </c>
      <c r="J5174" s="74">
        <f>IF(E5174="SERVICE",I5174-(I5174*50%),Vlookup(E5174,DATABASE!C:Q,10,false)*F5174)</f>
        <v>0</v>
      </c>
      <c r="K5174" s="74">
        <f>VLOOKUP(E5174,DATABASE!C:Q,7,false)</f>
        <v>779500</v>
      </c>
      <c r="L5174" s="74">
        <v>771000.0</v>
      </c>
      <c r="M5174" s="74">
        <f t="shared" si="2"/>
        <v>775000</v>
      </c>
      <c r="N5174" s="74">
        <f t="shared" si="3"/>
        <v>315000</v>
      </c>
      <c r="O5174" s="65" t="str">
        <f>VLOOKUP(E5174,DATABASE!C:Q,8,false)</f>
        <v>IBU</v>
      </c>
      <c r="P5174" s="65">
        <f>VLOOKUP(E5174,DATABASE!C:Q,9,False)</f>
        <v>1</v>
      </c>
      <c r="Q5174" s="93" t="str">
        <f>VLOOKUP(E5174,DATABASE!C:Q,4,false)</f>
        <v>Dunlop</v>
      </c>
      <c r="R5174" s="93" t="str">
        <f>VLOOKUP(E5174,DATABASE!C:Q,11,false)</f>
        <v>Tire</v>
      </c>
    </row>
    <row r="5175" ht="22.5" customHeight="1">
      <c r="A5175" s="49"/>
      <c r="C5175" s="384">
        <v>45957.0</v>
      </c>
      <c r="D5175" s="65">
        <v>7624.0</v>
      </c>
      <c r="E5175" s="385" t="s">
        <v>299</v>
      </c>
      <c r="F5175" s="386">
        <v>2.0</v>
      </c>
      <c r="G5175" s="74">
        <v>30000.0</v>
      </c>
      <c r="H5175" s="74">
        <v>0.0</v>
      </c>
      <c r="I5175" s="74">
        <f t="shared" si="1"/>
        <v>60000</v>
      </c>
      <c r="J5175" s="74">
        <f>IF(E5175="SERVICE",I5175-(I5175*50%),Vlookup(E5175,DATABASE!C:Q,10,false)*F5175)</f>
        <v>0</v>
      </c>
      <c r="K5175" s="74">
        <v>0.0</v>
      </c>
      <c r="L5175" s="74">
        <v>0.0</v>
      </c>
      <c r="M5175" s="74">
        <f t="shared" si="2"/>
        <v>0</v>
      </c>
      <c r="N5175" s="74">
        <f t="shared" si="3"/>
        <v>60000</v>
      </c>
      <c r="O5175" s="65" t="str">
        <f>VLOOKUP(E5175,DATABASE!C:Q,8,false)</f>
        <v>BIAN</v>
      </c>
      <c r="P5175" s="65">
        <f>VLOOKUP(E5175,DATABASE!C:Q,9,False)</f>
        <v>0</v>
      </c>
      <c r="Q5175" s="93" t="str">
        <f>VLOOKUP(E5175,DATABASE!C:Q,4,false)</f>
        <v>Balancing</v>
      </c>
      <c r="R5175" s="93" t="str">
        <f>VLOOKUP(E5175,DATABASE!C:Q,11,false)</f>
        <v>COMPLEMENTARY</v>
      </c>
    </row>
    <row r="5176" ht="22.5" customHeight="1">
      <c r="A5176" s="49"/>
      <c r="C5176" s="384">
        <v>45957.0</v>
      </c>
      <c r="D5176" s="65">
        <v>7624.0</v>
      </c>
      <c r="E5176" s="445" t="s">
        <v>256</v>
      </c>
      <c r="F5176" s="386">
        <v>1.0</v>
      </c>
      <c r="G5176" s="74">
        <v>130000.0</v>
      </c>
      <c r="H5176" s="74">
        <v>0.0</v>
      </c>
      <c r="I5176" s="74">
        <f t="shared" si="1"/>
        <v>130000</v>
      </c>
      <c r="J5176" s="74">
        <f>IF(E5176="SERVICE",I5176-(I5176*50%),Vlookup(E5176,DATABASE!C:Q,10,false)*F5176)</f>
        <v>10000</v>
      </c>
      <c r="K5176" s="74">
        <f>VLOOKUP(E5176,DATABASE!C:Q,7,false)</f>
        <v>0</v>
      </c>
      <c r="L5176" s="74">
        <v>0.0</v>
      </c>
      <c r="M5176" s="74">
        <f t="shared" si="2"/>
        <v>0</v>
      </c>
      <c r="N5176" s="74">
        <f t="shared" si="3"/>
        <v>120000</v>
      </c>
      <c r="O5176" s="65" t="str">
        <f>VLOOKUP(E5176,DATABASE!C:Q,8,false)</f>
        <v>IBU</v>
      </c>
      <c r="P5176" s="65">
        <f>VLOOKUP(E5176,DATABASE!C:Q,9,False)</f>
        <v>0</v>
      </c>
      <c r="Q5176" s="93" t="str">
        <f>VLOOKUP(E5176,DATABASE!C:Q,4,false)</f>
        <v>SPOORING</v>
      </c>
      <c r="R5176" s="93" t="str">
        <f>VLOOKUP(E5176,DATABASE!C:Q,11,false)</f>
        <v>SERVICE</v>
      </c>
    </row>
    <row r="5177" ht="22.5" customHeight="1">
      <c r="A5177" s="49"/>
      <c r="C5177" s="384">
        <v>45957.0</v>
      </c>
      <c r="D5177" s="65">
        <v>7624.0</v>
      </c>
      <c r="E5177" s="445" t="s">
        <v>301</v>
      </c>
      <c r="F5177" s="386">
        <v>1.0</v>
      </c>
      <c r="G5177" s="74">
        <v>250000.0</v>
      </c>
      <c r="H5177" s="74">
        <v>0.0</v>
      </c>
      <c r="I5177" s="74">
        <f t="shared" si="1"/>
        <v>250000</v>
      </c>
      <c r="J5177" s="74">
        <f>IF(E5177="SERVICE",I5177-(I5177*50%),Vlookup(E5177,DATABASE!C:Q,10,false)*F5177)</f>
        <v>75000</v>
      </c>
      <c r="K5177" s="74">
        <f>VLOOKUP(E5177,DATABASE!C:Q,7,false)</f>
        <v>75000</v>
      </c>
      <c r="L5177" s="74">
        <v>75000.0</v>
      </c>
      <c r="M5177" s="74">
        <f t="shared" si="2"/>
        <v>75000</v>
      </c>
      <c r="N5177" s="74">
        <f t="shared" si="3"/>
        <v>100000</v>
      </c>
      <c r="O5177" s="65" t="str">
        <f>VLOOKUP(E5177,DATABASE!C:Q,8,false)</f>
        <v>BIAN</v>
      </c>
      <c r="P5177" s="65">
        <f>VLOOKUP(E5177,DATABASE!C:Q,9,False)</f>
        <v>0</v>
      </c>
      <c r="Q5177" s="93" t="str">
        <f>VLOOKUP(E5177,DATABASE!C:Q,4,false)</f>
        <v>Baut Camber</v>
      </c>
      <c r="R5177" s="93" t="str">
        <f>VLOOKUP(E5177,DATABASE!C:Q,11,false)</f>
        <v>COMPLEMENTARY</v>
      </c>
    </row>
    <row r="5178" ht="22.5" customHeight="1">
      <c r="A5178" s="49"/>
      <c r="C5178" s="384">
        <v>45957.0</v>
      </c>
      <c r="D5178" s="65">
        <v>7625.0</v>
      </c>
      <c r="E5178" s="445" t="s">
        <v>294</v>
      </c>
      <c r="F5178" s="386">
        <v>2.0</v>
      </c>
      <c r="G5178" s="74">
        <v>570000.0</v>
      </c>
      <c r="H5178" s="74">
        <v>0.0</v>
      </c>
      <c r="I5178" s="74">
        <f t="shared" si="1"/>
        <v>1140000</v>
      </c>
      <c r="J5178" s="74">
        <f>IF(E5178="SERVICE",I5178-(I5178*50%),Vlookup(E5178,DATABASE!C:Q,10,false)*F5178)</f>
        <v>0</v>
      </c>
      <c r="K5178" s="74">
        <f>VLOOKUP(E5178,DATABASE!C:Q,7,false)</f>
        <v>505000</v>
      </c>
      <c r="L5178" s="74">
        <v>490000.0</v>
      </c>
      <c r="M5178" s="74">
        <f t="shared" si="2"/>
        <v>490000</v>
      </c>
      <c r="N5178" s="74">
        <f t="shared" si="3"/>
        <v>160000</v>
      </c>
      <c r="O5178" s="65" t="str">
        <f>VLOOKUP(E5178,DATABASE!C:Q,8,false)</f>
        <v>BIAN</v>
      </c>
      <c r="P5178" s="65">
        <f>VLOOKUP(E5178,DATABASE!C:Q,9,False)</f>
        <v>1</v>
      </c>
      <c r="Q5178" s="93" t="str">
        <f>VLOOKUP(E5178,DATABASE!C:Q,4,false)</f>
        <v>GT</v>
      </c>
      <c r="R5178" s="93" t="str">
        <f>VLOOKUP(E5178,DATABASE!C:Q,11,false)</f>
        <v>Tire</v>
      </c>
    </row>
    <row r="5179" ht="22.5" customHeight="1">
      <c r="A5179" s="49"/>
      <c r="C5179" s="384">
        <v>45958.0</v>
      </c>
      <c r="D5179" s="65">
        <v>7626.0</v>
      </c>
      <c r="E5179" s="445" t="s">
        <v>268</v>
      </c>
      <c r="F5179" s="386">
        <v>2.0</v>
      </c>
      <c r="G5179" s="74">
        <v>720000.0</v>
      </c>
      <c r="H5179" s="74">
        <v>0.0</v>
      </c>
      <c r="I5179" s="74">
        <f t="shared" si="1"/>
        <v>1440000</v>
      </c>
      <c r="J5179" s="74">
        <f>IF(E5179="SERVICE",I5179-(I5179*50%),Vlookup(E5179,DATABASE!C:Q,10,false)*F5179)</f>
        <v>0</v>
      </c>
      <c r="K5179" s="74">
        <f>VLOOKUP(E5179,DATABASE!C:Q,7,false)</f>
        <v>653000</v>
      </c>
      <c r="L5179" s="74">
        <v>622000.0</v>
      </c>
      <c r="M5179" s="74">
        <f t="shared" si="2"/>
        <v>625000</v>
      </c>
      <c r="N5179" s="74">
        <f t="shared" si="3"/>
        <v>190000</v>
      </c>
      <c r="O5179" s="65" t="str">
        <f>VLOOKUP(E5179,DATABASE!C:Q,8,false)</f>
        <v>IBU</v>
      </c>
      <c r="P5179" s="65">
        <f>VLOOKUP(E5179,DATABASE!C:Q,9,False)</f>
        <v>1</v>
      </c>
      <c r="Q5179" s="93" t="str">
        <f>VLOOKUP(E5179,DATABASE!C:Q,4,false)</f>
        <v>Dunlop</v>
      </c>
      <c r="R5179" s="93" t="str">
        <f>VLOOKUP(E5179,DATABASE!C:Q,11,false)</f>
        <v>Tire</v>
      </c>
    </row>
    <row r="5180" ht="22.5" customHeight="1">
      <c r="A5180" s="49"/>
      <c r="C5180" s="384">
        <v>45958.0</v>
      </c>
      <c r="D5180" s="65">
        <v>7627.0</v>
      </c>
      <c r="E5180" s="445" t="s">
        <v>268</v>
      </c>
      <c r="F5180" s="386">
        <v>1.0</v>
      </c>
      <c r="G5180" s="74">
        <v>720000.0</v>
      </c>
      <c r="H5180" s="74">
        <v>0.0</v>
      </c>
      <c r="I5180" s="74">
        <f t="shared" si="1"/>
        <v>720000</v>
      </c>
      <c r="J5180" s="74">
        <f>IF(E5180="SERVICE",I5180-(I5180*50%),Vlookup(E5180,DATABASE!C:Q,10,false)*F5180)</f>
        <v>0</v>
      </c>
      <c r="K5180" s="74">
        <f>VLOOKUP(E5180,DATABASE!C:Q,7,false)</f>
        <v>653000</v>
      </c>
      <c r="L5180" s="74">
        <v>622000.0</v>
      </c>
      <c r="M5180" s="74">
        <f t="shared" si="2"/>
        <v>625000</v>
      </c>
      <c r="N5180" s="74">
        <f t="shared" si="3"/>
        <v>95000</v>
      </c>
      <c r="O5180" s="65" t="str">
        <f>VLOOKUP(E5180,DATABASE!C:Q,8,false)</f>
        <v>IBU</v>
      </c>
      <c r="P5180" s="65">
        <f>VLOOKUP(E5180,DATABASE!C:Q,9,False)</f>
        <v>1</v>
      </c>
      <c r="Q5180" s="93" t="str">
        <f>VLOOKUP(E5180,DATABASE!C:Q,4,false)</f>
        <v>Dunlop</v>
      </c>
      <c r="R5180" s="93" t="str">
        <f>VLOOKUP(E5180,DATABASE!C:Q,11,false)</f>
        <v>Tire</v>
      </c>
    </row>
    <row r="5181" ht="22.5" customHeight="1">
      <c r="A5181" s="49"/>
      <c r="C5181" s="384">
        <v>45958.0</v>
      </c>
      <c r="D5181" s="65">
        <v>7627.0</v>
      </c>
      <c r="E5181" s="385" t="s">
        <v>299</v>
      </c>
      <c r="F5181" s="386">
        <v>2.0</v>
      </c>
      <c r="G5181" s="74">
        <v>30000.0</v>
      </c>
      <c r="H5181" s="74">
        <v>0.0</v>
      </c>
      <c r="I5181" s="74">
        <f t="shared" si="1"/>
        <v>60000</v>
      </c>
      <c r="J5181" s="74">
        <f>IF(E5181="SERVICE",I5181-(I5181*50%),Vlookup(E5181,DATABASE!C:Q,10,false)*F5181)</f>
        <v>0</v>
      </c>
      <c r="K5181" s="74">
        <v>0.0</v>
      </c>
      <c r="L5181" s="74">
        <v>0.0</v>
      </c>
      <c r="M5181" s="74">
        <f t="shared" si="2"/>
        <v>0</v>
      </c>
      <c r="N5181" s="74">
        <f t="shared" si="3"/>
        <v>60000</v>
      </c>
      <c r="O5181" s="65" t="str">
        <f>VLOOKUP(E5181,DATABASE!C:Q,8,false)</f>
        <v>BIAN</v>
      </c>
      <c r="P5181" s="65">
        <f>VLOOKUP(E5181,DATABASE!C:Q,9,False)</f>
        <v>0</v>
      </c>
      <c r="Q5181" s="93" t="str">
        <f>VLOOKUP(E5181,DATABASE!C:Q,4,false)</f>
        <v>Balancing</v>
      </c>
      <c r="R5181" s="93" t="str">
        <f>VLOOKUP(E5181,DATABASE!C:Q,11,false)</f>
        <v>COMPLEMENTARY</v>
      </c>
    </row>
    <row r="5182" ht="22.5" customHeight="1">
      <c r="A5182" s="49"/>
      <c r="C5182" s="384">
        <v>45958.0</v>
      </c>
      <c r="D5182" s="65">
        <v>7628.0</v>
      </c>
      <c r="E5182" s="445" t="s">
        <v>937</v>
      </c>
      <c r="F5182" s="386">
        <v>2.0</v>
      </c>
      <c r="G5182" s="74">
        <v>880000.0</v>
      </c>
      <c r="H5182" s="74">
        <v>0.0</v>
      </c>
      <c r="I5182" s="74">
        <f t="shared" si="1"/>
        <v>1760000</v>
      </c>
      <c r="J5182" s="74">
        <f>IF(E5182="SERVICE",I5182-(I5182*50%),Vlookup(E5182,DATABASE!C:Q,10,false)*F5182)</f>
        <v>0</v>
      </c>
      <c r="K5182" s="74">
        <f>VLOOKUP(E5182,DATABASE!C:Q,7,false)</f>
        <v>825000</v>
      </c>
      <c r="L5182" s="74">
        <v>790000.0</v>
      </c>
      <c r="M5182" s="74">
        <f t="shared" si="2"/>
        <v>790000</v>
      </c>
      <c r="N5182" s="74">
        <f t="shared" si="3"/>
        <v>180000</v>
      </c>
      <c r="O5182" s="65" t="str">
        <f>VLOOKUP(E5182,DATABASE!C:Q,8,false)</f>
        <v>IBU</v>
      </c>
      <c r="P5182" s="65">
        <f>VLOOKUP(E5182,DATABASE!C:Q,9,False)</f>
        <v>1</v>
      </c>
      <c r="Q5182" s="93" t="str">
        <f>VLOOKUP(E5182,DATABASE!C:Q,4,false)</f>
        <v>Bridgestone</v>
      </c>
      <c r="R5182" s="93" t="str">
        <f>VLOOKUP(E5182,DATABASE!C:Q,11,false)</f>
        <v>Tire</v>
      </c>
    </row>
    <row r="5183" ht="22.5" customHeight="1">
      <c r="A5183" s="49"/>
      <c r="C5183" s="384">
        <v>45958.0</v>
      </c>
      <c r="D5183" s="65">
        <v>7629.0</v>
      </c>
      <c r="E5183" s="445" t="s">
        <v>932</v>
      </c>
      <c r="F5183" s="386">
        <v>2.0</v>
      </c>
      <c r="G5183" s="74">
        <v>685000.0</v>
      </c>
      <c r="H5183" s="74">
        <v>0.0</v>
      </c>
      <c r="I5183" s="74">
        <f t="shared" si="1"/>
        <v>1370000</v>
      </c>
      <c r="J5183" s="74">
        <f>IF(E5183="SERVICE",I5183-(I5183*50%),Vlookup(E5183,DATABASE!C:Q,10,false)*F5183)</f>
        <v>0</v>
      </c>
      <c r="K5183" s="74">
        <f>VLOOKUP(E5183,DATABASE!C:Q,7,false)</f>
        <v>601000</v>
      </c>
      <c r="L5183" s="74">
        <v>595000.0</v>
      </c>
      <c r="M5183" s="74">
        <f t="shared" si="2"/>
        <v>595000</v>
      </c>
      <c r="N5183" s="74">
        <f t="shared" si="3"/>
        <v>180000</v>
      </c>
      <c r="O5183" s="65" t="str">
        <f>VLOOKUP(E5183,DATABASE!C:Q,8,false)</f>
        <v>IBU</v>
      </c>
      <c r="P5183" s="65">
        <f>VLOOKUP(E5183,DATABASE!C:Q,9,False)</f>
        <v>1</v>
      </c>
      <c r="Q5183" s="93" t="str">
        <f>VLOOKUP(E5183,DATABASE!C:Q,4,false)</f>
        <v>Dunlop</v>
      </c>
      <c r="R5183" s="93" t="str">
        <f>VLOOKUP(E5183,DATABASE!C:Q,11,false)</f>
        <v>Tire</v>
      </c>
    </row>
    <row r="5184" ht="22.5" customHeight="1">
      <c r="A5184" s="49"/>
      <c r="C5184" s="384">
        <v>45958.0</v>
      </c>
      <c r="D5184" s="65">
        <v>7629.0</v>
      </c>
      <c r="E5184" s="385" t="s">
        <v>299</v>
      </c>
      <c r="F5184" s="386">
        <v>2.0</v>
      </c>
      <c r="G5184" s="74">
        <v>30000.0</v>
      </c>
      <c r="H5184" s="74">
        <v>0.0</v>
      </c>
      <c r="I5184" s="74">
        <f t="shared" si="1"/>
        <v>60000</v>
      </c>
      <c r="J5184" s="74">
        <f>IF(E5184="SERVICE",I5184-(I5184*50%),Vlookup(E5184,DATABASE!C:Q,10,false)*F5184)</f>
        <v>0</v>
      </c>
      <c r="K5184" s="74">
        <v>0.0</v>
      </c>
      <c r="L5184" s="74">
        <v>0.0</v>
      </c>
      <c r="M5184" s="74">
        <f t="shared" si="2"/>
        <v>0</v>
      </c>
      <c r="N5184" s="74">
        <f t="shared" si="3"/>
        <v>60000</v>
      </c>
      <c r="O5184" s="65" t="str">
        <f>VLOOKUP(E5184,DATABASE!C:Q,8,false)</f>
        <v>BIAN</v>
      </c>
      <c r="P5184" s="65">
        <f>VLOOKUP(E5184,DATABASE!C:Q,9,False)</f>
        <v>0</v>
      </c>
      <c r="Q5184" s="93" t="str">
        <f>VLOOKUP(E5184,DATABASE!C:Q,4,false)</f>
        <v>Balancing</v>
      </c>
      <c r="R5184" s="93" t="str">
        <f>VLOOKUP(E5184,DATABASE!C:Q,11,false)</f>
        <v>COMPLEMENTARY</v>
      </c>
    </row>
    <row r="5185" ht="22.5" customHeight="1">
      <c r="A5185" s="49"/>
      <c r="C5185" s="384">
        <v>45958.0</v>
      </c>
      <c r="D5185" s="65">
        <v>7629.0</v>
      </c>
      <c r="E5185" s="445" t="s">
        <v>256</v>
      </c>
      <c r="F5185" s="386">
        <v>1.0</v>
      </c>
      <c r="G5185" s="74">
        <v>120000.0</v>
      </c>
      <c r="H5185" s="74">
        <v>0.0</v>
      </c>
      <c r="I5185" s="74">
        <f t="shared" si="1"/>
        <v>120000</v>
      </c>
      <c r="J5185" s="74">
        <f>IF(E5185="SERVICE",I5185-(I5185*50%),Vlookup(E5185,DATABASE!C:Q,10,false)*F5185)</f>
        <v>10000</v>
      </c>
      <c r="K5185" s="74">
        <f>VLOOKUP(E5185,DATABASE!C:Q,7,false)</f>
        <v>0</v>
      </c>
      <c r="L5185" s="74">
        <v>0.0</v>
      </c>
      <c r="M5185" s="74">
        <f t="shared" si="2"/>
        <v>0</v>
      </c>
      <c r="N5185" s="74">
        <f t="shared" si="3"/>
        <v>110000</v>
      </c>
      <c r="O5185" s="65" t="str">
        <f>VLOOKUP(E5185,DATABASE!C:Q,8,false)</f>
        <v>IBU</v>
      </c>
      <c r="P5185" s="65">
        <f>VLOOKUP(E5185,DATABASE!C:Q,9,False)</f>
        <v>0</v>
      </c>
      <c r="Q5185" s="93" t="str">
        <f>VLOOKUP(E5185,DATABASE!C:Q,4,false)</f>
        <v>SPOORING</v>
      </c>
      <c r="R5185" s="93" t="str">
        <f>VLOOKUP(E5185,DATABASE!C:Q,11,false)</f>
        <v>SERVICE</v>
      </c>
    </row>
    <row r="5186" ht="22.5" customHeight="1">
      <c r="A5186" s="49"/>
      <c r="C5186" s="384">
        <v>45958.0</v>
      </c>
      <c r="D5186" s="65">
        <v>7629.0</v>
      </c>
      <c r="E5186" s="445" t="s">
        <v>301</v>
      </c>
      <c r="F5186" s="386">
        <v>1.0</v>
      </c>
      <c r="G5186" s="74">
        <v>250000.0</v>
      </c>
      <c r="H5186" s="74">
        <v>0.0</v>
      </c>
      <c r="I5186" s="74">
        <f t="shared" si="1"/>
        <v>250000</v>
      </c>
      <c r="J5186" s="74">
        <f>IF(E5186="SERVICE",I5186-(I5186*50%),Vlookup(E5186,DATABASE!C:Q,10,false)*F5186)</f>
        <v>75000</v>
      </c>
      <c r="K5186" s="74">
        <f>VLOOKUP(E5186,DATABASE!C:Q,7,false)</f>
        <v>75000</v>
      </c>
      <c r="L5186" s="74">
        <v>75000.0</v>
      </c>
      <c r="M5186" s="74">
        <f t="shared" si="2"/>
        <v>75000</v>
      </c>
      <c r="N5186" s="74">
        <f t="shared" si="3"/>
        <v>100000</v>
      </c>
      <c r="O5186" s="65" t="str">
        <f>VLOOKUP(E5186,DATABASE!C:Q,8,false)</f>
        <v>BIAN</v>
      </c>
      <c r="P5186" s="65">
        <f>VLOOKUP(E5186,DATABASE!C:Q,9,False)</f>
        <v>0</v>
      </c>
      <c r="Q5186" s="93" t="str">
        <f>VLOOKUP(E5186,DATABASE!C:Q,4,false)</f>
        <v>Baut Camber</v>
      </c>
      <c r="R5186" s="93" t="str">
        <f>VLOOKUP(E5186,DATABASE!C:Q,11,false)</f>
        <v>COMPLEMENTARY</v>
      </c>
    </row>
    <row r="5187" ht="22.5" customHeight="1">
      <c r="A5187" s="49"/>
      <c r="C5187" s="384">
        <v>45958.0</v>
      </c>
      <c r="D5187" s="65">
        <v>7631.0</v>
      </c>
      <c r="E5187" s="445" t="s">
        <v>554</v>
      </c>
      <c r="F5187" s="386">
        <v>2.0</v>
      </c>
      <c r="G5187" s="74">
        <v>765000.0</v>
      </c>
      <c r="H5187" s="74">
        <v>0.0</v>
      </c>
      <c r="I5187" s="74">
        <f t="shared" si="1"/>
        <v>1530000</v>
      </c>
      <c r="J5187" s="74">
        <f>IF(E5187="SERVICE",I5187-(I5187*50%),Vlookup(E5187,DATABASE!C:Q,10,false)*F5187)</f>
        <v>0</v>
      </c>
      <c r="K5187" s="74">
        <f>VLOOKUP(E5187,DATABASE!C:Q,7,false)</f>
        <v>710000</v>
      </c>
      <c r="L5187" s="74">
        <v>680000.0</v>
      </c>
      <c r="M5187" s="74">
        <f t="shared" si="2"/>
        <v>680000</v>
      </c>
      <c r="N5187" s="74">
        <f t="shared" si="3"/>
        <v>170000</v>
      </c>
      <c r="O5187" s="65" t="str">
        <f>VLOOKUP(E5187,DATABASE!C:Q,8,false)</f>
        <v>IBU</v>
      </c>
      <c r="P5187" s="65">
        <f>VLOOKUP(E5187,DATABASE!C:Q,9,False)</f>
        <v>1</v>
      </c>
      <c r="Q5187" s="93" t="str">
        <f>VLOOKUP(E5187,DATABASE!C:Q,4,false)</f>
        <v>Bridgestone</v>
      </c>
      <c r="R5187" s="93" t="str">
        <f>VLOOKUP(E5187,DATABASE!C:Q,11,false)</f>
        <v>Tire</v>
      </c>
    </row>
    <row r="5188" ht="22.5" customHeight="1">
      <c r="A5188" s="49"/>
      <c r="C5188" s="384">
        <v>45958.0</v>
      </c>
      <c r="D5188" s="65">
        <v>7632.0</v>
      </c>
      <c r="E5188" s="445" t="s">
        <v>256</v>
      </c>
      <c r="F5188" s="386">
        <v>1.0</v>
      </c>
      <c r="G5188" s="74">
        <v>120000.0</v>
      </c>
      <c r="H5188" s="74">
        <v>0.0</v>
      </c>
      <c r="I5188" s="74">
        <f t="shared" si="1"/>
        <v>120000</v>
      </c>
      <c r="J5188" s="74">
        <f>IF(E5188="SERVICE",I5188-(I5188*50%),Vlookup(E5188,DATABASE!C:Q,10,false)*F5188)</f>
        <v>10000</v>
      </c>
      <c r="K5188" s="74">
        <f>VLOOKUP(E5188,DATABASE!C:Q,7,false)</f>
        <v>0</v>
      </c>
      <c r="L5188" s="74">
        <v>0.0</v>
      </c>
      <c r="M5188" s="74">
        <f t="shared" si="2"/>
        <v>0</v>
      </c>
      <c r="N5188" s="74">
        <f t="shared" si="3"/>
        <v>110000</v>
      </c>
      <c r="O5188" s="65" t="str">
        <f>VLOOKUP(E5188,DATABASE!C:Q,8,false)</f>
        <v>IBU</v>
      </c>
      <c r="P5188" s="65">
        <f>VLOOKUP(E5188,DATABASE!C:Q,9,False)</f>
        <v>0</v>
      </c>
      <c r="Q5188" s="93" t="str">
        <f>VLOOKUP(E5188,DATABASE!C:Q,4,false)</f>
        <v>SPOORING</v>
      </c>
      <c r="R5188" s="93" t="str">
        <f>VLOOKUP(E5188,DATABASE!C:Q,11,false)</f>
        <v>SERVICE</v>
      </c>
    </row>
    <row r="5189" ht="22.5" customHeight="1">
      <c r="A5189" s="49"/>
      <c r="C5189" s="384">
        <v>45958.0</v>
      </c>
      <c r="D5189" s="65">
        <v>7632.0</v>
      </c>
      <c r="E5189" s="385" t="s">
        <v>299</v>
      </c>
      <c r="F5189" s="386">
        <v>2.0</v>
      </c>
      <c r="G5189" s="74">
        <v>30000.0</v>
      </c>
      <c r="H5189" s="74">
        <v>0.0</v>
      </c>
      <c r="I5189" s="74">
        <f t="shared" si="1"/>
        <v>60000</v>
      </c>
      <c r="J5189" s="74">
        <f>IF(E5189="SERVICE",I5189-(I5189*50%),Vlookup(E5189,DATABASE!C:Q,10,false)*F5189)</f>
        <v>0</v>
      </c>
      <c r="K5189" s="74">
        <v>0.0</v>
      </c>
      <c r="L5189" s="74">
        <v>0.0</v>
      </c>
      <c r="M5189" s="74">
        <f t="shared" si="2"/>
        <v>0</v>
      </c>
      <c r="N5189" s="74">
        <f t="shared" si="3"/>
        <v>60000</v>
      </c>
      <c r="O5189" s="65" t="str">
        <f>VLOOKUP(E5189,DATABASE!C:Q,8,false)</f>
        <v>BIAN</v>
      </c>
      <c r="P5189" s="65">
        <f>VLOOKUP(E5189,DATABASE!C:Q,9,False)</f>
        <v>0</v>
      </c>
      <c r="Q5189" s="93" t="str">
        <f>VLOOKUP(E5189,DATABASE!C:Q,4,false)</f>
        <v>Balancing</v>
      </c>
      <c r="R5189" s="93" t="str">
        <f>VLOOKUP(E5189,DATABASE!C:Q,11,false)</f>
        <v>COMPLEMENTARY</v>
      </c>
    </row>
    <row r="5190" ht="22.5" customHeight="1">
      <c r="A5190" s="49"/>
      <c r="C5190" s="384">
        <v>45958.0</v>
      </c>
      <c r="D5190" s="65">
        <v>7632.0</v>
      </c>
      <c r="E5190" s="445" t="s">
        <v>301</v>
      </c>
      <c r="F5190" s="386">
        <v>1.0</v>
      </c>
      <c r="G5190" s="74">
        <v>250000.0</v>
      </c>
      <c r="H5190" s="74">
        <v>0.0</v>
      </c>
      <c r="I5190" s="74">
        <f t="shared" si="1"/>
        <v>250000</v>
      </c>
      <c r="J5190" s="74">
        <f>IF(E5190="SERVICE",I5190-(I5190*50%),Vlookup(E5190,DATABASE!C:Q,10,false)*F5190)</f>
        <v>75000</v>
      </c>
      <c r="K5190" s="74">
        <f>VLOOKUP(E5190,DATABASE!C:Q,7,false)</f>
        <v>75000</v>
      </c>
      <c r="L5190" s="74">
        <v>75000.0</v>
      </c>
      <c r="M5190" s="74">
        <f t="shared" si="2"/>
        <v>75000</v>
      </c>
      <c r="N5190" s="74">
        <f t="shared" si="3"/>
        <v>100000</v>
      </c>
      <c r="O5190" s="65" t="str">
        <f>VLOOKUP(E5190,DATABASE!C:Q,8,false)</f>
        <v>BIAN</v>
      </c>
      <c r="P5190" s="65">
        <f>VLOOKUP(E5190,DATABASE!C:Q,9,False)</f>
        <v>0</v>
      </c>
      <c r="Q5190" s="93" t="str">
        <f>VLOOKUP(E5190,DATABASE!C:Q,4,false)</f>
        <v>Baut Camber</v>
      </c>
      <c r="R5190" s="93" t="str">
        <f>VLOOKUP(E5190,DATABASE!C:Q,11,false)</f>
        <v>COMPLEMENTARY</v>
      </c>
    </row>
    <row r="5191" ht="22.5" customHeight="1">
      <c r="A5191" s="49"/>
      <c r="C5191" s="384">
        <v>45958.0</v>
      </c>
      <c r="D5191" s="65">
        <v>7633.0</v>
      </c>
      <c r="E5191" s="445" t="s">
        <v>554</v>
      </c>
      <c r="F5191" s="386">
        <v>2.0</v>
      </c>
      <c r="G5191" s="74">
        <v>765000.0</v>
      </c>
      <c r="H5191" s="74">
        <v>0.0</v>
      </c>
      <c r="I5191" s="74">
        <f t="shared" si="1"/>
        <v>1530000</v>
      </c>
      <c r="J5191" s="74">
        <f>IF(E5191="SERVICE",I5191-(I5191*50%),Vlookup(E5191,DATABASE!C:Q,10,false)*F5191)</f>
        <v>0</v>
      </c>
      <c r="K5191" s="74">
        <f>VLOOKUP(E5191,DATABASE!C:Q,7,false)</f>
        <v>710000</v>
      </c>
      <c r="L5191" s="74">
        <v>680000.0</v>
      </c>
      <c r="M5191" s="74">
        <f t="shared" si="2"/>
        <v>680000</v>
      </c>
      <c r="N5191" s="74">
        <f t="shared" si="3"/>
        <v>170000</v>
      </c>
      <c r="O5191" s="65" t="str">
        <f>VLOOKUP(E5191,DATABASE!C:Q,8,false)</f>
        <v>IBU</v>
      </c>
      <c r="P5191" s="65">
        <f>VLOOKUP(E5191,DATABASE!C:Q,9,False)</f>
        <v>1</v>
      </c>
      <c r="Q5191" s="93" t="str">
        <f>VLOOKUP(E5191,DATABASE!C:Q,4,false)</f>
        <v>Bridgestone</v>
      </c>
      <c r="R5191" s="93" t="str">
        <f>VLOOKUP(E5191,DATABASE!C:Q,11,false)</f>
        <v>Tire</v>
      </c>
    </row>
    <row r="5192" ht="22.5" customHeight="1">
      <c r="A5192" s="49"/>
      <c r="C5192" s="384">
        <v>45958.0</v>
      </c>
      <c r="D5192" s="65">
        <v>7634.0</v>
      </c>
      <c r="E5192" s="445" t="s">
        <v>1383</v>
      </c>
      <c r="F5192" s="386">
        <v>2.0</v>
      </c>
      <c r="G5192" s="74">
        <v>925000.0</v>
      </c>
      <c r="H5192" s="74">
        <v>0.0</v>
      </c>
      <c r="I5192" s="74">
        <f t="shared" si="1"/>
        <v>1850000</v>
      </c>
      <c r="J5192" s="74">
        <f>IF(E5192="SERVICE",I5192-(I5192*50%),Vlookup(E5192,DATABASE!C:Q,10,false)*F5192)</f>
        <v>0</v>
      </c>
      <c r="K5192" s="74">
        <f>VLOOKUP(E5192,DATABASE!C:Q,7,false)</f>
        <v>812000</v>
      </c>
      <c r="L5192" s="74">
        <v>812000.0</v>
      </c>
      <c r="M5192" s="74">
        <f t="shared" si="2"/>
        <v>815000</v>
      </c>
      <c r="N5192" s="74">
        <f t="shared" si="3"/>
        <v>220000</v>
      </c>
      <c r="O5192" s="65" t="str">
        <f>VLOOKUP(E5192,DATABASE!C:Q,8,false)</f>
        <v>IBU</v>
      </c>
      <c r="P5192" s="65">
        <f>VLOOKUP(E5192,DATABASE!C:Q,9,False)</f>
        <v>1</v>
      </c>
      <c r="Q5192" s="93" t="str">
        <f>VLOOKUP(E5192,DATABASE!C:Q,4,false)</f>
        <v>Dunlop</v>
      </c>
      <c r="R5192" s="93" t="str">
        <f>VLOOKUP(E5192,DATABASE!C:Q,11,false)</f>
        <v>Tire</v>
      </c>
    </row>
    <row r="5193" ht="22.5" customHeight="1">
      <c r="A5193" s="49"/>
      <c r="C5193" s="384">
        <v>45958.0</v>
      </c>
      <c r="D5193" s="65">
        <v>7634.0</v>
      </c>
      <c r="E5193" s="385" t="s">
        <v>299</v>
      </c>
      <c r="F5193" s="386">
        <v>2.0</v>
      </c>
      <c r="G5193" s="74">
        <v>30000.0</v>
      </c>
      <c r="H5193" s="74">
        <v>0.0</v>
      </c>
      <c r="I5193" s="74">
        <f t="shared" si="1"/>
        <v>60000</v>
      </c>
      <c r="J5193" s="74">
        <f>IF(E5193="SERVICE",I5193-(I5193*50%),Vlookup(E5193,DATABASE!C:Q,10,false)*F5193)</f>
        <v>0</v>
      </c>
      <c r="K5193" s="74">
        <v>0.0</v>
      </c>
      <c r="L5193" s="74">
        <v>0.0</v>
      </c>
      <c r="M5193" s="74">
        <f t="shared" si="2"/>
        <v>0</v>
      </c>
      <c r="N5193" s="74">
        <f t="shared" si="3"/>
        <v>60000</v>
      </c>
      <c r="O5193" s="65" t="str">
        <f>VLOOKUP(E5193,DATABASE!C:Q,8,false)</f>
        <v>BIAN</v>
      </c>
      <c r="P5193" s="65">
        <f>VLOOKUP(E5193,DATABASE!C:Q,9,False)</f>
        <v>0</v>
      </c>
      <c r="Q5193" s="93" t="str">
        <f>VLOOKUP(E5193,DATABASE!C:Q,4,false)</f>
        <v>Balancing</v>
      </c>
      <c r="R5193" s="93" t="str">
        <f>VLOOKUP(E5193,DATABASE!C:Q,11,false)</f>
        <v>COMPLEMENTARY</v>
      </c>
    </row>
    <row r="5194" ht="22.5" customHeight="1">
      <c r="A5194" s="49"/>
      <c r="C5194" s="384">
        <v>45958.0</v>
      </c>
      <c r="D5194" s="65">
        <v>7634.0</v>
      </c>
      <c r="E5194" s="445" t="s">
        <v>256</v>
      </c>
      <c r="F5194" s="386">
        <v>1.0</v>
      </c>
      <c r="G5194" s="74">
        <v>130000.0</v>
      </c>
      <c r="H5194" s="74">
        <v>0.0</v>
      </c>
      <c r="I5194" s="74">
        <f t="shared" si="1"/>
        <v>130000</v>
      </c>
      <c r="J5194" s="74">
        <f>IF(E5194="SERVICE",I5194-(I5194*50%),Vlookup(E5194,DATABASE!C:Q,10,false)*F5194)</f>
        <v>10000</v>
      </c>
      <c r="K5194" s="74">
        <f>VLOOKUP(E5194,DATABASE!C:Q,7,false)</f>
        <v>0</v>
      </c>
      <c r="L5194" s="74">
        <v>0.0</v>
      </c>
      <c r="M5194" s="74">
        <f t="shared" si="2"/>
        <v>0</v>
      </c>
      <c r="N5194" s="74">
        <f t="shared" si="3"/>
        <v>120000</v>
      </c>
      <c r="O5194" s="65" t="str">
        <f>VLOOKUP(E5194,DATABASE!C:Q,8,false)</f>
        <v>IBU</v>
      </c>
      <c r="P5194" s="65">
        <f>VLOOKUP(E5194,DATABASE!C:Q,9,False)</f>
        <v>0</v>
      </c>
      <c r="Q5194" s="93" t="str">
        <f>VLOOKUP(E5194,DATABASE!C:Q,4,false)</f>
        <v>SPOORING</v>
      </c>
      <c r="R5194" s="93" t="str">
        <f>VLOOKUP(E5194,DATABASE!C:Q,11,false)</f>
        <v>SERVICE</v>
      </c>
    </row>
    <row r="5195" ht="22.5" customHeight="1">
      <c r="A5195" s="49"/>
      <c r="C5195" s="384">
        <v>45958.0</v>
      </c>
      <c r="D5195" s="65">
        <v>7634.0</v>
      </c>
      <c r="E5195" s="445" t="s">
        <v>301</v>
      </c>
      <c r="F5195" s="386">
        <v>1.0</v>
      </c>
      <c r="G5195" s="74">
        <v>250000.0</v>
      </c>
      <c r="H5195" s="74">
        <v>0.0</v>
      </c>
      <c r="I5195" s="74">
        <f t="shared" si="1"/>
        <v>250000</v>
      </c>
      <c r="J5195" s="74">
        <f>IF(E5195="SERVICE",I5195-(I5195*50%),Vlookup(E5195,DATABASE!C:Q,10,false)*F5195)</f>
        <v>75000</v>
      </c>
      <c r="K5195" s="74">
        <f>VLOOKUP(E5195,DATABASE!C:Q,7,false)</f>
        <v>75000</v>
      </c>
      <c r="L5195" s="74">
        <v>75000.0</v>
      </c>
      <c r="M5195" s="74">
        <f t="shared" si="2"/>
        <v>75000</v>
      </c>
      <c r="N5195" s="74">
        <f t="shared" si="3"/>
        <v>100000</v>
      </c>
      <c r="O5195" s="65" t="str">
        <f>VLOOKUP(E5195,DATABASE!C:Q,8,false)</f>
        <v>BIAN</v>
      </c>
      <c r="P5195" s="65">
        <f>VLOOKUP(E5195,DATABASE!C:Q,9,False)</f>
        <v>0</v>
      </c>
      <c r="Q5195" s="93" t="str">
        <f>VLOOKUP(E5195,DATABASE!C:Q,4,false)</f>
        <v>Baut Camber</v>
      </c>
      <c r="R5195" s="93" t="str">
        <f>VLOOKUP(E5195,DATABASE!C:Q,11,false)</f>
        <v>COMPLEMENTARY</v>
      </c>
    </row>
    <row r="5196" ht="22.5" customHeight="1">
      <c r="A5196" s="49"/>
      <c r="C5196" s="384">
        <v>45958.0</v>
      </c>
      <c r="D5196" s="65">
        <v>7635.0</v>
      </c>
      <c r="E5196" s="445" t="s">
        <v>268</v>
      </c>
      <c r="F5196" s="386">
        <v>1.0</v>
      </c>
      <c r="G5196" s="74">
        <v>720000.0</v>
      </c>
      <c r="H5196" s="74">
        <v>0.0</v>
      </c>
      <c r="I5196" s="74">
        <f t="shared" si="1"/>
        <v>720000</v>
      </c>
      <c r="J5196" s="74">
        <f>IF(E5196="SERVICE",I5196-(I5196*50%),Vlookup(E5196,DATABASE!C:Q,10,false)*F5196)</f>
        <v>0</v>
      </c>
      <c r="K5196" s="74">
        <f>VLOOKUP(E5196,DATABASE!C:Q,7,false)</f>
        <v>653000</v>
      </c>
      <c r="L5196" s="74">
        <v>622000.0</v>
      </c>
      <c r="M5196" s="74">
        <f t="shared" si="2"/>
        <v>625000</v>
      </c>
      <c r="N5196" s="74">
        <f t="shared" si="3"/>
        <v>95000</v>
      </c>
      <c r="O5196" s="65" t="str">
        <f>VLOOKUP(E5196,DATABASE!C:Q,8,false)</f>
        <v>IBU</v>
      </c>
      <c r="P5196" s="65">
        <f>VLOOKUP(E5196,DATABASE!C:Q,9,False)</f>
        <v>1</v>
      </c>
      <c r="Q5196" s="93" t="str">
        <f>VLOOKUP(E5196,DATABASE!C:Q,4,false)</f>
        <v>Dunlop</v>
      </c>
      <c r="R5196" s="93" t="str">
        <f>VLOOKUP(E5196,DATABASE!C:Q,11,false)</f>
        <v>Tire</v>
      </c>
    </row>
    <row r="5197" ht="22.5" customHeight="1">
      <c r="A5197" s="49"/>
      <c r="C5197" s="384">
        <v>45958.0</v>
      </c>
      <c r="D5197" s="65">
        <v>7636.0</v>
      </c>
      <c r="E5197" s="445" t="s">
        <v>246</v>
      </c>
      <c r="F5197" s="386">
        <v>2.0</v>
      </c>
      <c r="G5197" s="74">
        <v>40000.0</v>
      </c>
      <c r="H5197" s="74">
        <v>0.0</v>
      </c>
      <c r="I5197" s="74">
        <f t="shared" si="1"/>
        <v>80000</v>
      </c>
      <c r="J5197" s="74">
        <f>IF(E5197="SERVICE",I5197-(I5197*50%),Vlookup(E5197,DATABASE!C:Q,10,false)*F5197)</f>
        <v>0</v>
      </c>
      <c r="K5197" s="74">
        <f>VLOOKUP(E5197,DATABASE!C:Q,7,false)</f>
        <v>0</v>
      </c>
      <c r="L5197" s="74">
        <v>0.0</v>
      </c>
      <c r="M5197" s="74">
        <f t="shared" si="2"/>
        <v>0</v>
      </c>
      <c r="N5197" s="74">
        <f t="shared" si="3"/>
        <v>80000</v>
      </c>
      <c r="O5197" s="65" t="str">
        <f>VLOOKUP(E5197,DATABASE!C:Q,8,false)</f>
        <v>IBU</v>
      </c>
      <c r="P5197" s="65">
        <f>VLOOKUP(E5197,DATABASE!C:Q,9,False)</f>
        <v>0</v>
      </c>
      <c r="Q5197" s="93" t="str">
        <f>VLOOKUP(E5197,DATABASE!C:Q,4,false)</f>
        <v>Bongkar Pasang</v>
      </c>
      <c r="R5197" s="93" t="str">
        <f>VLOOKUP(E5197,DATABASE!C:Q,11,false)</f>
        <v>SERVICE</v>
      </c>
    </row>
    <row r="5198" ht="22.5" customHeight="1">
      <c r="A5198" s="49"/>
      <c r="C5198" s="384">
        <v>45958.0</v>
      </c>
      <c r="D5198" s="65">
        <v>7636.0</v>
      </c>
      <c r="E5198" s="445" t="s">
        <v>643</v>
      </c>
      <c r="F5198" s="386">
        <v>1.0</v>
      </c>
      <c r="G5198" s="74">
        <v>150000.0</v>
      </c>
      <c r="H5198" s="74">
        <v>0.0</v>
      </c>
      <c r="I5198" s="74">
        <f t="shared" si="1"/>
        <v>150000</v>
      </c>
      <c r="J5198" s="74">
        <f>IF(E5198="SERVICE",I5198-(I5198*50%),Vlookup(E5198,DATABASE!C:Q,10,false)*F5198)</f>
        <v>0</v>
      </c>
      <c r="K5198" s="74">
        <f>VLOOKUP(E5198,DATABASE!C:Q,7,false)</f>
        <v>111800</v>
      </c>
      <c r="L5198" s="74">
        <v>111800.0</v>
      </c>
      <c r="M5198" s="74">
        <f t="shared" si="2"/>
        <v>115000</v>
      </c>
      <c r="N5198" s="74">
        <f t="shared" si="3"/>
        <v>35000</v>
      </c>
      <c r="O5198" s="65" t="str">
        <f>VLOOKUP(E5198,DATABASE!C:Q,8,false)</f>
        <v>BIAN</v>
      </c>
      <c r="P5198" s="65">
        <f>VLOOKUP(E5198,DATABASE!C:Q,9,False)</f>
        <v>1</v>
      </c>
      <c r="Q5198" s="93" t="str">
        <f>VLOOKUP(E5198,DATABASE!C:Q,4,false)</f>
        <v>BD</v>
      </c>
      <c r="R5198" s="93" t="str">
        <f>VLOOKUP(E5198,DATABASE!C:Q,11,false)</f>
        <v>Tire</v>
      </c>
    </row>
    <row r="5199" ht="22.5" customHeight="1">
      <c r="A5199" s="49"/>
      <c r="C5199" s="384">
        <v>45958.0</v>
      </c>
      <c r="D5199" s="65">
        <v>7637.0</v>
      </c>
      <c r="E5199" s="445" t="s">
        <v>268</v>
      </c>
      <c r="F5199" s="386">
        <v>1.0</v>
      </c>
      <c r="G5199" s="74">
        <v>720000.0</v>
      </c>
      <c r="H5199" s="74">
        <v>0.0</v>
      </c>
      <c r="I5199" s="74">
        <f t="shared" si="1"/>
        <v>720000</v>
      </c>
      <c r="J5199" s="74">
        <f>IF(E5199="SERVICE",I5199-(I5199*50%),Vlookup(E5199,DATABASE!C:Q,10,false)*F5199)</f>
        <v>0</v>
      </c>
      <c r="K5199" s="74">
        <f>VLOOKUP(E5199,DATABASE!C:Q,7,false)</f>
        <v>653000</v>
      </c>
      <c r="L5199" s="74">
        <v>622000.0</v>
      </c>
      <c r="M5199" s="74">
        <f t="shared" si="2"/>
        <v>625000</v>
      </c>
      <c r="N5199" s="74">
        <f t="shared" si="3"/>
        <v>95000</v>
      </c>
      <c r="O5199" s="65" t="str">
        <f>VLOOKUP(E5199,DATABASE!C:Q,8,false)</f>
        <v>IBU</v>
      </c>
      <c r="P5199" s="65">
        <f>VLOOKUP(E5199,DATABASE!C:Q,9,False)</f>
        <v>1</v>
      </c>
      <c r="Q5199" s="93" t="str">
        <f>VLOOKUP(E5199,DATABASE!C:Q,4,false)</f>
        <v>Dunlop</v>
      </c>
      <c r="R5199" s="93" t="str">
        <f>VLOOKUP(E5199,DATABASE!C:Q,11,false)</f>
        <v>Tire</v>
      </c>
    </row>
    <row r="5200" ht="22.5" customHeight="1">
      <c r="A5200" s="49"/>
      <c r="C5200" s="384">
        <v>45959.0</v>
      </c>
      <c r="D5200" s="65">
        <v>7638.0</v>
      </c>
      <c r="E5200" s="445" t="s">
        <v>604</v>
      </c>
      <c r="F5200" s="386">
        <v>1.0</v>
      </c>
      <c r="G5200" s="74">
        <v>160000.0</v>
      </c>
      <c r="H5200" s="74">
        <v>0.0</v>
      </c>
      <c r="I5200" s="74">
        <f t="shared" si="1"/>
        <v>160000</v>
      </c>
      <c r="J5200" s="74">
        <f>IF(E5200="SERVICE",I5200-(I5200*50%),Vlookup(E5200,DATABASE!C:Q,10,false)*F5200)</f>
        <v>0</v>
      </c>
      <c r="K5200" s="74">
        <f>VLOOKUP(E5200,DATABASE!C:Q,7,false)</f>
        <v>124000</v>
      </c>
      <c r="L5200" s="74">
        <v>124000.0</v>
      </c>
      <c r="M5200" s="74">
        <f t="shared" si="2"/>
        <v>125000</v>
      </c>
      <c r="N5200" s="74">
        <f t="shared" si="3"/>
        <v>35000</v>
      </c>
      <c r="O5200" s="65" t="str">
        <f>VLOOKUP(E5200,DATABASE!C:Q,8,false)</f>
        <v>BIAN</v>
      </c>
      <c r="P5200" s="65">
        <f>VLOOKUP(E5200,DATABASE!C:Q,9,False)</f>
        <v>1</v>
      </c>
      <c r="Q5200" s="93" t="str">
        <f>VLOOKUP(E5200,DATABASE!C:Q,4,false)</f>
        <v>BD</v>
      </c>
      <c r="R5200" s="93" t="str">
        <f>VLOOKUP(E5200,DATABASE!C:Q,11,false)</f>
        <v>Tire</v>
      </c>
    </row>
    <row r="5201" ht="22.5" customHeight="1">
      <c r="A5201" s="49"/>
      <c r="C5201" s="384">
        <v>45959.0</v>
      </c>
      <c r="D5201" s="65">
        <v>7639.0</v>
      </c>
      <c r="E5201" s="445" t="s">
        <v>643</v>
      </c>
      <c r="F5201" s="386">
        <v>2.0</v>
      </c>
      <c r="G5201" s="74">
        <v>150000.0</v>
      </c>
      <c r="H5201" s="74">
        <v>0.0</v>
      </c>
      <c r="I5201" s="74">
        <f t="shared" si="1"/>
        <v>300000</v>
      </c>
      <c r="J5201" s="74">
        <f>IF(E5201="SERVICE",I5201-(I5201*50%),Vlookup(E5201,DATABASE!C:Q,10,false)*F5201)</f>
        <v>0</v>
      </c>
      <c r="K5201" s="74">
        <f>VLOOKUP(E5201,DATABASE!C:Q,7,false)</f>
        <v>111800</v>
      </c>
      <c r="L5201" s="74">
        <v>111800.0</v>
      </c>
      <c r="M5201" s="74">
        <f t="shared" si="2"/>
        <v>115000</v>
      </c>
      <c r="N5201" s="74">
        <f t="shared" si="3"/>
        <v>70000</v>
      </c>
      <c r="O5201" s="65" t="str">
        <f>VLOOKUP(E5201,DATABASE!C:Q,8,false)</f>
        <v>BIAN</v>
      </c>
      <c r="P5201" s="65">
        <f>VLOOKUP(E5201,DATABASE!C:Q,9,False)</f>
        <v>1</v>
      </c>
      <c r="Q5201" s="93" t="str">
        <f>VLOOKUP(E5201,DATABASE!C:Q,4,false)</f>
        <v>BD</v>
      </c>
      <c r="R5201" s="93" t="str">
        <f>VLOOKUP(E5201,DATABASE!C:Q,11,false)</f>
        <v>Tire</v>
      </c>
    </row>
    <row r="5202" ht="22.5" customHeight="1">
      <c r="A5202" s="49"/>
      <c r="C5202" s="384">
        <v>45959.0</v>
      </c>
      <c r="D5202" s="65">
        <v>7640.0</v>
      </c>
      <c r="E5202" s="445" t="s">
        <v>261</v>
      </c>
      <c r="F5202" s="386">
        <v>2.0</v>
      </c>
      <c r="G5202" s="74">
        <v>500000.0</v>
      </c>
      <c r="H5202" s="74">
        <v>0.0</v>
      </c>
      <c r="I5202" s="74">
        <f t="shared" si="1"/>
        <v>1000000</v>
      </c>
      <c r="J5202" s="74">
        <f>IF(E5202="SERVICE",I5202-(I5202*50%),Vlookup(E5202,DATABASE!C:Q,10,false)*F5202)</f>
        <v>0</v>
      </c>
      <c r="K5202" s="74">
        <f>VLOOKUP(E5202,DATABASE!C:Q,7,false)</f>
        <v>415000</v>
      </c>
      <c r="L5202" s="74">
        <v>415000.0</v>
      </c>
      <c r="M5202" s="74">
        <f t="shared" si="2"/>
        <v>415000</v>
      </c>
      <c r="N5202" s="74">
        <f t="shared" si="3"/>
        <v>170000</v>
      </c>
      <c r="O5202" s="65" t="str">
        <f>VLOOKUP(E5202,DATABASE!C:Q,8,false)</f>
        <v>IBU</v>
      </c>
      <c r="P5202" s="65">
        <f>VLOOKUP(E5202,DATABASE!C:Q,9,False)</f>
        <v>1</v>
      </c>
      <c r="Q5202" s="93" t="str">
        <f>VLOOKUP(E5202,DATABASE!C:Q,4,false)</f>
        <v>Dunlop</v>
      </c>
      <c r="R5202" s="93" t="str">
        <f>VLOOKUP(E5202,DATABASE!C:Q,11,false)</f>
        <v>Tire</v>
      </c>
    </row>
    <row r="5203" ht="22.5" customHeight="1">
      <c r="A5203" s="49"/>
      <c r="C5203" s="384">
        <v>45959.0</v>
      </c>
      <c r="D5203" s="65">
        <v>7641.0</v>
      </c>
      <c r="E5203" s="445" t="s">
        <v>1526</v>
      </c>
      <c r="F5203" s="386">
        <v>2.0</v>
      </c>
      <c r="G5203" s="74">
        <v>540000.0</v>
      </c>
      <c r="H5203" s="74">
        <v>0.0</v>
      </c>
      <c r="I5203" s="74">
        <f t="shared" si="1"/>
        <v>1080000</v>
      </c>
      <c r="J5203" s="74">
        <f>IF(E5203="SERVICE",I5203-(I5203*50%),Vlookup(E5203,DATABASE!C:Q,10,false)*F5203)</f>
        <v>0</v>
      </c>
      <c r="K5203" s="74">
        <f>VLOOKUP(E5203,DATABASE!C:Q,7,false)</f>
        <v>450000</v>
      </c>
      <c r="L5203" s="74">
        <v>437000.0</v>
      </c>
      <c r="M5203" s="74">
        <f t="shared" si="2"/>
        <v>440000</v>
      </c>
      <c r="N5203" s="74">
        <f t="shared" si="3"/>
        <v>200000</v>
      </c>
      <c r="O5203" s="65" t="str">
        <f>VLOOKUP(E5203,DATABASE!C:Q,8,false)</f>
        <v>BIAN</v>
      </c>
      <c r="P5203" s="65">
        <f>VLOOKUP(E5203,DATABASE!C:Q,9,False)</f>
        <v>1</v>
      </c>
      <c r="Q5203" s="93" t="str">
        <f>VLOOKUP(E5203,DATABASE!C:Q,4,false)</f>
        <v>Laufen</v>
      </c>
      <c r="R5203" s="93" t="str">
        <f>VLOOKUP(E5203,DATABASE!C:Q,11,false)</f>
        <v>Tire</v>
      </c>
    </row>
    <row r="5204" ht="22.5" customHeight="1">
      <c r="A5204" s="49"/>
      <c r="C5204" s="384">
        <v>45959.0</v>
      </c>
      <c r="D5204" s="65">
        <v>7642.0</v>
      </c>
      <c r="E5204" s="445" t="s">
        <v>256</v>
      </c>
      <c r="F5204" s="386">
        <v>1.0</v>
      </c>
      <c r="G5204" s="74">
        <v>130000.0</v>
      </c>
      <c r="H5204" s="74">
        <v>0.0</v>
      </c>
      <c r="I5204" s="74">
        <f t="shared" si="1"/>
        <v>130000</v>
      </c>
      <c r="J5204" s="74">
        <f>IF(E5204="SERVICE",I5204-(I5204*50%),Vlookup(E5204,DATABASE!C:Q,10,false)*F5204)</f>
        <v>10000</v>
      </c>
      <c r="K5204" s="74">
        <f>VLOOKUP(E5204,DATABASE!C:Q,7,false)</f>
        <v>0</v>
      </c>
      <c r="L5204" s="74">
        <v>0.0</v>
      </c>
      <c r="M5204" s="74">
        <f t="shared" si="2"/>
        <v>0</v>
      </c>
      <c r="N5204" s="74">
        <f t="shared" si="3"/>
        <v>120000</v>
      </c>
      <c r="O5204" s="65" t="str">
        <f>VLOOKUP(E5204,DATABASE!C:Q,8,false)</f>
        <v>IBU</v>
      </c>
      <c r="P5204" s="65">
        <f>VLOOKUP(E5204,DATABASE!C:Q,9,False)</f>
        <v>0</v>
      </c>
      <c r="Q5204" s="93" t="str">
        <f>VLOOKUP(E5204,DATABASE!C:Q,4,false)</f>
        <v>SPOORING</v>
      </c>
      <c r="R5204" s="93" t="str">
        <f>VLOOKUP(E5204,DATABASE!C:Q,11,false)</f>
        <v>SERVICE</v>
      </c>
    </row>
    <row r="5205" ht="22.5" customHeight="1">
      <c r="A5205" s="49"/>
      <c r="C5205" s="384">
        <v>45959.0</v>
      </c>
      <c r="D5205" s="65">
        <v>7642.0</v>
      </c>
      <c r="E5205" s="445" t="s">
        <v>246</v>
      </c>
      <c r="F5205" s="386">
        <v>2.0</v>
      </c>
      <c r="G5205" s="74">
        <v>25000.0</v>
      </c>
      <c r="H5205" s="74">
        <v>0.0</v>
      </c>
      <c r="I5205" s="74">
        <f t="shared" si="1"/>
        <v>50000</v>
      </c>
      <c r="J5205" s="74">
        <f>IF(E5205="SERVICE",I5205-(I5205*50%),Vlookup(E5205,DATABASE!C:Q,10,false)*F5205)</f>
        <v>0</v>
      </c>
      <c r="K5205" s="74">
        <f>VLOOKUP(E5205,DATABASE!C:Q,7,false)</f>
        <v>0</v>
      </c>
      <c r="L5205" s="74">
        <v>0.0</v>
      </c>
      <c r="M5205" s="74">
        <f t="shared" si="2"/>
        <v>0</v>
      </c>
      <c r="N5205" s="74">
        <f t="shared" si="3"/>
        <v>50000</v>
      </c>
      <c r="O5205" s="65" t="str">
        <f>VLOOKUP(E5205,DATABASE!C:Q,8,false)</f>
        <v>IBU</v>
      </c>
      <c r="P5205" s="65">
        <f>VLOOKUP(E5205,DATABASE!C:Q,9,False)</f>
        <v>0</v>
      </c>
      <c r="Q5205" s="93" t="str">
        <f>VLOOKUP(E5205,DATABASE!C:Q,4,false)</f>
        <v>Bongkar Pasang</v>
      </c>
      <c r="R5205" s="93" t="str">
        <f>VLOOKUP(E5205,DATABASE!C:Q,11,false)</f>
        <v>SERVICE</v>
      </c>
    </row>
    <row r="5206" ht="22.5" customHeight="1">
      <c r="A5206" s="49"/>
      <c r="C5206" s="384">
        <v>45959.0</v>
      </c>
      <c r="D5206" s="65">
        <v>7643.0</v>
      </c>
      <c r="E5206" s="445" t="s">
        <v>286</v>
      </c>
      <c r="F5206" s="386">
        <v>2.0</v>
      </c>
      <c r="G5206" s="74">
        <v>560000.0</v>
      </c>
      <c r="H5206" s="74">
        <v>0.0</v>
      </c>
      <c r="I5206" s="74">
        <f t="shared" si="1"/>
        <v>1120000</v>
      </c>
      <c r="J5206" s="74">
        <f>IF(E5206="SERVICE",I5206-(I5206*50%),Vlookup(E5206,DATABASE!C:Q,10,false)*F5206)</f>
        <v>0</v>
      </c>
      <c r="K5206" s="74">
        <f>VLOOKUP(E5206,DATABASE!C:Q,7,false)</f>
        <v>488320</v>
      </c>
      <c r="L5206" s="74">
        <v>452970.0</v>
      </c>
      <c r="M5206" s="74">
        <f t="shared" si="2"/>
        <v>455000</v>
      </c>
      <c r="N5206" s="74">
        <f t="shared" si="3"/>
        <v>210000</v>
      </c>
      <c r="O5206" s="65" t="str">
        <f>VLOOKUP(E5206,DATABASE!C:Q,8,false)</f>
        <v>BIAN</v>
      </c>
      <c r="P5206" s="65">
        <f>VLOOKUP(E5206,DATABASE!C:Q,9,False)</f>
        <v>1</v>
      </c>
      <c r="Q5206" s="93" t="str">
        <f>VLOOKUP(E5206,DATABASE!C:Q,4,false)</f>
        <v>GT</v>
      </c>
      <c r="R5206" s="93" t="str">
        <f>VLOOKUP(E5206,DATABASE!C:Q,11,false)</f>
        <v>Tire</v>
      </c>
    </row>
    <row r="5207" ht="22.5" customHeight="1">
      <c r="A5207" s="49"/>
      <c r="C5207" s="384">
        <v>45959.0</v>
      </c>
      <c r="D5207" s="65">
        <v>7643.0</v>
      </c>
      <c r="E5207" s="385" t="s">
        <v>299</v>
      </c>
      <c r="F5207" s="386">
        <v>2.0</v>
      </c>
      <c r="G5207" s="74">
        <v>30000.0</v>
      </c>
      <c r="H5207" s="74">
        <v>0.0</v>
      </c>
      <c r="I5207" s="74">
        <f t="shared" si="1"/>
        <v>60000</v>
      </c>
      <c r="J5207" s="74">
        <f>IF(E5207="SERVICE",I5207-(I5207*50%),Vlookup(E5207,DATABASE!C:Q,10,false)*F5207)</f>
        <v>0</v>
      </c>
      <c r="K5207" s="74">
        <v>0.0</v>
      </c>
      <c r="L5207" s="74">
        <v>0.0</v>
      </c>
      <c r="M5207" s="74">
        <f t="shared" si="2"/>
        <v>0</v>
      </c>
      <c r="N5207" s="74">
        <f t="shared" si="3"/>
        <v>60000</v>
      </c>
      <c r="O5207" s="65" t="str">
        <f>VLOOKUP(E5207,DATABASE!C:Q,8,false)</f>
        <v>BIAN</v>
      </c>
      <c r="P5207" s="65">
        <f>VLOOKUP(E5207,DATABASE!C:Q,9,False)</f>
        <v>0</v>
      </c>
      <c r="Q5207" s="93" t="str">
        <f>VLOOKUP(E5207,DATABASE!C:Q,4,false)</f>
        <v>Balancing</v>
      </c>
      <c r="R5207" s="93" t="str">
        <f>VLOOKUP(E5207,DATABASE!C:Q,11,false)</f>
        <v>COMPLEMENTARY</v>
      </c>
    </row>
    <row r="5208" ht="22.5" customHeight="1">
      <c r="A5208" s="49"/>
      <c r="C5208" s="384">
        <v>45959.0</v>
      </c>
      <c r="D5208" s="65">
        <v>7645.0</v>
      </c>
      <c r="E5208" s="445" t="s">
        <v>643</v>
      </c>
      <c r="F5208" s="386">
        <v>1.0</v>
      </c>
      <c r="G5208" s="74">
        <v>150000.0</v>
      </c>
      <c r="H5208" s="74">
        <v>0.0</v>
      </c>
      <c r="I5208" s="74">
        <f t="shared" si="1"/>
        <v>150000</v>
      </c>
      <c r="J5208" s="74">
        <f>IF(E5208="SERVICE",I5208-(I5208*50%),Vlookup(E5208,DATABASE!C:Q,10,false)*F5208)</f>
        <v>0</v>
      </c>
      <c r="K5208" s="74">
        <f>VLOOKUP(E5208,DATABASE!C:Q,7,false)</f>
        <v>111800</v>
      </c>
      <c r="L5208" s="74">
        <v>111800.0</v>
      </c>
      <c r="M5208" s="74">
        <f t="shared" si="2"/>
        <v>115000</v>
      </c>
      <c r="N5208" s="74">
        <f t="shared" si="3"/>
        <v>35000</v>
      </c>
      <c r="O5208" s="65" t="str">
        <f>VLOOKUP(E5208,DATABASE!C:Q,8,false)</f>
        <v>BIAN</v>
      </c>
      <c r="P5208" s="65">
        <f>VLOOKUP(E5208,DATABASE!C:Q,9,False)</f>
        <v>1</v>
      </c>
      <c r="Q5208" s="93" t="str">
        <f>VLOOKUP(E5208,DATABASE!C:Q,4,false)</f>
        <v>BD</v>
      </c>
      <c r="R5208" s="93" t="str">
        <f>VLOOKUP(E5208,DATABASE!C:Q,11,false)</f>
        <v>Tire</v>
      </c>
    </row>
    <row r="5209" ht="22.5" customHeight="1">
      <c r="A5209" s="49"/>
      <c r="C5209" s="384">
        <v>45959.0</v>
      </c>
      <c r="D5209" s="65">
        <v>7645.0</v>
      </c>
      <c r="E5209" s="445" t="s">
        <v>613</v>
      </c>
      <c r="F5209" s="386">
        <v>1.0</v>
      </c>
      <c r="G5209" s="74">
        <v>95000.0</v>
      </c>
      <c r="H5209" s="74">
        <v>0.0</v>
      </c>
      <c r="I5209" s="74">
        <f t="shared" si="1"/>
        <v>95000</v>
      </c>
      <c r="J5209" s="74">
        <f>IF(E5209="SERVICE",I5209-(I5209*50%),Vlookup(E5209,DATABASE!C:Q,10,false)*F5209)</f>
        <v>0</v>
      </c>
      <c r="K5209" s="74">
        <f>VLOOKUP(E5209,DATABASE!C:Q,7,false)</f>
        <v>58371.2695</v>
      </c>
      <c r="L5209" s="74">
        <v>55000.0</v>
      </c>
      <c r="M5209" s="74">
        <f t="shared" si="2"/>
        <v>55000</v>
      </c>
      <c r="N5209" s="74">
        <f t="shared" si="3"/>
        <v>40000</v>
      </c>
      <c r="O5209" s="65" t="str">
        <f>VLOOKUP(E5209,DATABASE!C:Q,8,false)</f>
        <v>BIAN</v>
      </c>
      <c r="P5209" s="65">
        <f>VLOOKUP(E5209,DATABASE!C:Q,9,False)</f>
        <v>1</v>
      </c>
      <c r="Q5209" s="93" t="str">
        <f>VLOOKUP(E5209,DATABASE!C:Q,4,false)</f>
        <v>BD</v>
      </c>
      <c r="R5209" s="93" t="str">
        <f>VLOOKUP(E5209,DATABASE!C:Q,11,false)</f>
        <v>Tire</v>
      </c>
    </row>
    <row r="5210" ht="22.5" customHeight="1">
      <c r="A5210" s="49"/>
      <c r="C5210" s="384">
        <v>45959.0</v>
      </c>
      <c r="D5210" s="65">
        <v>7646.0</v>
      </c>
      <c r="E5210" s="445" t="s">
        <v>265</v>
      </c>
      <c r="F5210" s="386">
        <v>2.0</v>
      </c>
      <c r="G5210" s="74">
        <v>700000.0</v>
      </c>
      <c r="H5210" s="74">
        <v>0.0</v>
      </c>
      <c r="I5210" s="74">
        <f t="shared" si="1"/>
        <v>1400000</v>
      </c>
      <c r="J5210" s="74">
        <f>IF(E5210="SERVICE",I5210-(I5210*50%),Vlookup(E5210,DATABASE!C:Q,10,false)*F5210)</f>
        <v>0</v>
      </c>
      <c r="K5210" s="74">
        <f>VLOOKUP(E5210,DATABASE!C:Q,7,false)</f>
        <v>628000</v>
      </c>
      <c r="L5210" s="74">
        <v>610000.0</v>
      </c>
      <c r="M5210" s="74">
        <f t="shared" si="2"/>
        <v>610000</v>
      </c>
      <c r="N5210" s="74">
        <f t="shared" si="3"/>
        <v>180000</v>
      </c>
      <c r="O5210" s="65" t="str">
        <f>VLOOKUP(E5210,DATABASE!C:Q,8,false)</f>
        <v>IBU</v>
      </c>
      <c r="P5210" s="65">
        <f>VLOOKUP(E5210,DATABASE!C:Q,9,False)</f>
        <v>1</v>
      </c>
      <c r="Q5210" s="93" t="str">
        <f>VLOOKUP(E5210,DATABASE!C:Q,4,false)</f>
        <v>Dunlop</v>
      </c>
      <c r="R5210" s="93" t="str">
        <f>VLOOKUP(E5210,DATABASE!C:Q,11,false)</f>
        <v>Tire</v>
      </c>
    </row>
    <row r="5211" ht="22.5" customHeight="1">
      <c r="A5211" s="49"/>
      <c r="C5211" s="384">
        <v>45959.0</v>
      </c>
      <c r="D5211" s="65">
        <v>7647.0</v>
      </c>
      <c r="E5211" s="445" t="s">
        <v>271</v>
      </c>
      <c r="F5211" s="386">
        <v>1.0</v>
      </c>
      <c r="G5211" s="74">
        <v>640000.0</v>
      </c>
      <c r="H5211" s="74">
        <v>0.0</v>
      </c>
      <c r="I5211" s="74">
        <f t="shared" si="1"/>
        <v>640000</v>
      </c>
      <c r="J5211" s="74">
        <f>IF(E5211="SERVICE",I5211-(I5211*50%),Vlookup(E5211,DATABASE!C:Q,10,false)*F5211)</f>
        <v>0</v>
      </c>
      <c r="K5211" s="74">
        <f>VLOOKUP(E5211,DATABASE!C:Q,7,false)</f>
        <v>570000</v>
      </c>
      <c r="L5211" s="74">
        <v>539000.0</v>
      </c>
      <c r="M5211" s="74">
        <f t="shared" si="2"/>
        <v>540000</v>
      </c>
      <c r="N5211" s="74">
        <f t="shared" si="3"/>
        <v>100000</v>
      </c>
      <c r="O5211" s="65" t="str">
        <f>VLOOKUP(E5211,DATABASE!C:Q,8,false)</f>
        <v>IBU</v>
      </c>
      <c r="P5211" s="65">
        <f>VLOOKUP(E5211,DATABASE!C:Q,9,False)</f>
        <v>1</v>
      </c>
      <c r="Q5211" s="93" t="str">
        <f>VLOOKUP(E5211,DATABASE!C:Q,4,false)</f>
        <v>Dunlop</v>
      </c>
      <c r="R5211" s="93" t="str">
        <f>VLOOKUP(E5211,DATABASE!C:Q,11,false)</f>
        <v>Tire</v>
      </c>
    </row>
    <row r="5212" ht="22.5" customHeight="1">
      <c r="A5212" s="49"/>
      <c r="C5212" s="384">
        <v>45960.0</v>
      </c>
      <c r="D5212" s="65">
        <v>7649.0</v>
      </c>
      <c r="E5212" s="445" t="s">
        <v>1962</v>
      </c>
      <c r="F5212" s="386">
        <v>1.0</v>
      </c>
      <c r="G5212" s="74">
        <v>850000.0</v>
      </c>
      <c r="H5212" s="74">
        <v>0.0</v>
      </c>
      <c r="I5212" s="74">
        <f t="shared" si="1"/>
        <v>850000</v>
      </c>
      <c r="J5212" s="74">
        <f>IF(E5212="SERVICE",I5212-(I5212*50%),Vlookup(E5212,DATABASE!C:Q,10,false)*F5212)</f>
        <v>0</v>
      </c>
      <c r="K5212" s="74">
        <f>VLOOKUP(E5212,DATABASE!C:Q,7,false)</f>
        <v>727260</v>
      </c>
      <c r="L5212" s="74">
        <v>727260.0</v>
      </c>
      <c r="M5212" s="74">
        <f t="shared" si="2"/>
        <v>730000</v>
      </c>
      <c r="N5212" s="74">
        <f t="shared" si="3"/>
        <v>120000</v>
      </c>
      <c r="O5212" s="65" t="str">
        <f>VLOOKUP(E5212,DATABASE!C:Q,8,false)</f>
        <v>BIAN</v>
      </c>
      <c r="P5212" s="65">
        <f>VLOOKUP(E5212,DATABASE!C:Q,9,False)</f>
        <v>1</v>
      </c>
      <c r="Q5212" s="93" t="str">
        <f>VLOOKUP(E5212,DATABASE!C:Q,4,false)</f>
        <v>GT</v>
      </c>
      <c r="R5212" s="93" t="str">
        <f>VLOOKUP(E5212,DATABASE!C:Q,11,false)</f>
        <v>Tire</v>
      </c>
    </row>
    <row r="5213" ht="22.5" customHeight="1">
      <c r="A5213" s="49"/>
      <c r="C5213" s="384">
        <v>45960.0</v>
      </c>
      <c r="D5213" s="65">
        <v>7650.0</v>
      </c>
      <c r="E5213" s="445" t="s">
        <v>256</v>
      </c>
      <c r="F5213" s="386">
        <v>1.0</v>
      </c>
      <c r="G5213" s="74">
        <v>130000.0</v>
      </c>
      <c r="H5213" s="74">
        <v>0.0</v>
      </c>
      <c r="I5213" s="74">
        <f t="shared" si="1"/>
        <v>130000</v>
      </c>
      <c r="J5213" s="74">
        <f>IF(E5213="SERVICE",I5213-(I5213*50%),Vlookup(E5213,DATABASE!C:Q,10,false)*F5213)</f>
        <v>10000</v>
      </c>
      <c r="K5213" s="74">
        <f>VLOOKUP(E5213,DATABASE!C:Q,7,false)</f>
        <v>0</v>
      </c>
      <c r="L5213" s="74">
        <v>0.0</v>
      </c>
      <c r="M5213" s="74">
        <f t="shared" si="2"/>
        <v>0</v>
      </c>
      <c r="N5213" s="74">
        <f t="shared" si="3"/>
        <v>120000</v>
      </c>
      <c r="O5213" s="65" t="str">
        <f>VLOOKUP(E5213,DATABASE!C:Q,8,false)</f>
        <v>IBU</v>
      </c>
      <c r="P5213" s="65">
        <f>VLOOKUP(E5213,DATABASE!C:Q,9,False)</f>
        <v>0</v>
      </c>
      <c r="Q5213" s="93" t="str">
        <f>VLOOKUP(E5213,DATABASE!C:Q,4,false)</f>
        <v>SPOORING</v>
      </c>
      <c r="R5213" s="93" t="str">
        <f>VLOOKUP(E5213,DATABASE!C:Q,11,false)</f>
        <v>SERVICE</v>
      </c>
    </row>
    <row r="5214" ht="22.5" customHeight="1">
      <c r="A5214" s="49"/>
      <c r="C5214" s="384">
        <v>45960.0</v>
      </c>
      <c r="D5214" s="65">
        <v>7651.0</v>
      </c>
      <c r="E5214" s="445" t="s">
        <v>1427</v>
      </c>
      <c r="F5214" s="386">
        <v>1.0</v>
      </c>
      <c r="G5214" s="74">
        <v>780000.0</v>
      </c>
      <c r="H5214" s="74">
        <v>0.0</v>
      </c>
      <c r="I5214" s="74">
        <f t="shared" si="1"/>
        <v>780000</v>
      </c>
      <c r="J5214" s="74">
        <f>IF(E5214="SERVICE",I5214-(I5214*50%),Vlookup(E5214,DATABASE!C:Q,10,false)*F5214)</f>
        <v>0</v>
      </c>
      <c r="K5214" s="74">
        <f>VLOOKUP(E5214,DATABASE!C:Q,7,false)</f>
        <v>696500</v>
      </c>
      <c r="L5214" s="74">
        <v>689000.0</v>
      </c>
      <c r="M5214" s="74">
        <f t="shared" si="2"/>
        <v>690000</v>
      </c>
      <c r="N5214" s="74">
        <f t="shared" si="3"/>
        <v>90000</v>
      </c>
      <c r="O5214" s="65" t="str">
        <f>VLOOKUP(E5214,DATABASE!C:Q,8,false)</f>
        <v>IBU</v>
      </c>
      <c r="P5214" s="65">
        <f>VLOOKUP(E5214,DATABASE!C:Q,9,False)</f>
        <v>1</v>
      </c>
      <c r="Q5214" s="93" t="str">
        <f>VLOOKUP(E5214,DATABASE!C:Q,4,false)</f>
        <v>Dunlop</v>
      </c>
      <c r="R5214" s="93" t="str">
        <f>VLOOKUP(E5214,DATABASE!C:Q,11,false)</f>
        <v>Tire</v>
      </c>
    </row>
    <row r="5215" ht="22.5" customHeight="1">
      <c r="A5215" s="49"/>
      <c r="C5215" s="384">
        <v>45960.0</v>
      </c>
      <c r="D5215" s="65">
        <v>7652.0</v>
      </c>
      <c r="E5215" s="445" t="s">
        <v>262</v>
      </c>
      <c r="F5215" s="386">
        <v>1.0</v>
      </c>
      <c r="G5215" s="74">
        <v>110000.0</v>
      </c>
      <c r="H5215" s="74">
        <v>0.0</v>
      </c>
      <c r="I5215" s="74">
        <f t="shared" si="1"/>
        <v>110000</v>
      </c>
      <c r="J5215" s="74">
        <f>IF(E5215="SERVICE",I5215-(I5215*50%),Vlookup(E5215,DATABASE!C:Q,10,false)*F5215)</f>
        <v>5000</v>
      </c>
      <c r="K5215" s="74">
        <f>VLOOKUP(E5215,DATABASE!C:Q,7,false)</f>
        <v>0</v>
      </c>
      <c r="L5215" s="74">
        <v>0.0</v>
      </c>
      <c r="M5215" s="74">
        <f t="shared" si="2"/>
        <v>0</v>
      </c>
      <c r="N5215" s="74">
        <f t="shared" si="3"/>
        <v>105000</v>
      </c>
      <c r="O5215" s="65" t="str">
        <f>VLOOKUP(E5215,DATABASE!C:Q,8,false)</f>
        <v>IBU</v>
      </c>
      <c r="P5215" s="65">
        <f>VLOOKUP(E5215,DATABASE!C:Q,9,False)</f>
        <v>0</v>
      </c>
      <c r="Q5215" s="93" t="str">
        <f>VLOOKUP(E5215,DATABASE!C:Q,4,false)</f>
        <v>SPOORING SS/CARRY LOS BAK</v>
      </c>
      <c r="R5215" s="93" t="str">
        <f>VLOOKUP(E5215,DATABASE!C:Q,11,false)</f>
        <v>SERVICE</v>
      </c>
    </row>
    <row r="5216" ht="22.5" customHeight="1">
      <c r="A5216" s="49"/>
      <c r="C5216" s="384">
        <v>45960.0</v>
      </c>
      <c r="D5216" s="65">
        <v>7653.0</v>
      </c>
      <c r="E5216" s="445" t="s">
        <v>256</v>
      </c>
      <c r="F5216" s="386">
        <v>1.0</v>
      </c>
      <c r="G5216" s="74">
        <v>130000.0</v>
      </c>
      <c r="H5216" s="74">
        <v>0.0</v>
      </c>
      <c r="I5216" s="74">
        <f t="shared" si="1"/>
        <v>130000</v>
      </c>
      <c r="J5216" s="74">
        <f>IF(E5216="SERVICE",I5216-(I5216*50%),Vlookup(E5216,DATABASE!C:Q,10,false)*F5216)</f>
        <v>10000</v>
      </c>
      <c r="K5216" s="74">
        <f>VLOOKUP(E5216,DATABASE!C:Q,7,false)</f>
        <v>0</v>
      </c>
      <c r="L5216" s="74">
        <v>0.0</v>
      </c>
      <c r="M5216" s="74">
        <f t="shared" si="2"/>
        <v>0</v>
      </c>
      <c r="N5216" s="74">
        <f t="shared" si="3"/>
        <v>120000</v>
      </c>
      <c r="O5216" s="65" t="str">
        <f>VLOOKUP(E5216,DATABASE!C:Q,8,false)</f>
        <v>IBU</v>
      </c>
      <c r="P5216" s="65">
        <f>VLOOKUP(E5216,DATABASE!C:Q,9,False)</f>
        <v>0</v>
      </c>
      <c r="Q5216" s="93" t="str">
        <f>VLOOKUP(E5216,DATABASE!C:Q,4,false)</f>
        <v>SPOORING</v>
      </c>
      <c r="R5216" s="93" t="str">
        <f>VLOOKUP(E5216,DATABASE!C:Q,11,false)</f>
        <v>SERVICE</v>
      </c>
    </row>
    <row r="5217" ht="22.5" customHeight="1">
      <c r="A5217" s="49"/>
      <c r="C5217" s="384">
        <v>45960.0</v>
      </c>
      <c r="D5217" s="65">
        <v>7653.0</v>
      </c>
      <c r="E5217" s="385" t="s">
        <v>299</v>
      </c>
      <c r="F5217" s="386">
        <v>2.0</v>
      </c>
      <c r="G5217" s="74">
        <v>40000.0</v>
      </c>
      <c r="H5217" s="74">
        <v>0.0</v>
      </c>
      <c r="I5217" s="74">
        <f t="shared" si="1"/>
        <v>80000</v>
      </c>
      <c r="J5217" s="74">
        <f>IF(E5217="SERVICE",I5217-(I5217*50%),Vlookup(E5217,DATABASE!C:Q,10,false)*F5217)</f>
        <v>0</v>
      </c>
      <c r="K5217" s="74">
        <v>0.0</v>
      </c>
      <c r="L5217" s="74">
        <v>0.0</v>
      </c>
      <c r="M5217" s="74">
        <f t="shared" si="2"/>
        <v>0</v>
      </c>
      <c r="N5217" s="74">
        <f t="shared" si="3"/>
        <v>80000</v>
      </c>
      <c r="O5217" s="65" t="str">
        <f>VLOOKUP(E5217,DATABASE!C:Q,8,false)</f>
        <v>BIAN</v>
      </c>
      <c r="P5217" s="65">
        <f>VLOOKUP(E5217,DATABASE!C:Q,9,False)</f>
        <v>0</v>
      </c>
      <c r="Q5217" s="93" t="str">
        <f>VLOOKUP(E5217,DATABASE!C:Q,4,false)</f>
        <v>Balancing</v>
      </c>
      <c r="R5217" s="93" t="str">
        <f>VLOOKUP(E5217,DATABASE!C:Q,11,false)</f>
        <v>COMPLEMENTARY</v>
      </c>
    </row>
    <row r="5218" ht="22.5" customHeight="1">
      <c r="A5218" s="49"/>
      <c r="C5218" s="384">
        <v>45960.0</v>
      </c>
      <c r="D5218" s="65">
        <v>7653.0</v>
      </c>
      <c r="E5218" s="445" t="s">
        <v>251</v>
      </c>
      <c r="F5218" s="386">
        <v>1.0</v>
      </c>
      <c r="G5218" s="74">
        <v>150000.0</v>
      </c>
      <c r="H5218" s="74">
        <v>0.0</v>
      </c>
      <c r="I5218" s="74">
        <f t="shared" si="1"/>
        <v>150000</v>
      </c>
      <c r="J5218" s="74">
        <f>IF(E5218="SERVICE",I5218-(I5218*50%),Vlookup(E5218,DATABASE!C:Q,10,false)*F5218)</f>
        <v>75000</v>
      </c>
      <c r="K5218" s="74">
        <f>VLOOKUP(E5218,DATABASE!C:Q,7,false)</f>
        <v>0</v>
      </c>
      <c r="L5218" s="74">
        <v>0.0</v>
      </c>
      <c r="M5218" s="74">
        <f t="shared" si="2"/>
        <v>0</v>
      </c>
      <c r="N5218" s="74">
        <f t="shared" si="3"/>
        <v>75000</v>
      </c>
      <c r="O5218" s="65" t="str">
        <f>VLOOKUP(E5218,DATABASE!C:Q,8,false)</f>
        <v>IBU</v>
      </c>
      <c r="P5218" s="65">
        <f>VLOOKUP(E5218,DATABASE!C:Q,9,False)</f>
        <v>0</v>
      </c>
      <c r="Q5218" s="93" t="str">
        <f>VLOOKUP(E5218,DATABASE!C:Q,4,false)</f>
        <v>SERVICE</v>
      </c>
      <c r="R5218" s="93" t="str">
        <f>VLOOKUP(E5218,DATABASE!C:Q,11,false)</f>
        <v>SERVICE</v>
      </c>
    </row>
    <row r="5219" ht="22.5" customHeight="1">
      <c r="A5219" s="49"/>
      <c r="C5219" s="384">
        <v>45960.0</v>
      </c>
      <c r="D5219" s="65">
        <v>7654.0</v>
      </c>
      <c r="E5219" s="445" t="s">
        <v>940</v>
      </c>
      <c r="F5219" s="386">
        <v>2.0</v>
      </c>
      <c r="G5219" s="74">
        <v>800000.0</v>
      </c>
      <c r="H5219" s="74">
        <v>0.0</v>
      </c>
      <c r="I5219" s="74">
        <f t="shared" si="1"/>
        <v>1600000</v>
      </c>
      <c r="J5219" s="74">
        <f>IF(E5219="SERVICE",I5219-(I5219*50%),Vlookup(E5219,DATABASE!C:Q,10,false)*F5219)</f>
        <v>0</v>
      </c>
      <c r="K5219" s="74">
        <f>VLOOKUP(E5219,DATABASE!C:Q,7,false)</f>
        <v>716500</v>
      </c>
      <c r="L5219" s="74">
        <v>709000.0</v>
      </c>
      <c r="M5219" s="74">
        <f t="shared" si="2"/>
        <v>710000</v>
      </c>
      <c r="N5219" s="74">
        <f t="shared" si="3"/>
        <v>180000</v>
      </c>
      <c r="O5219" s="65" t="str">
        <f>VLOOKUP(E5219,DATABASE!C:Q,8,false)</f>
        <v>IBU</v>
      </c>
      <c r="P5219" s="65">
        <f>VLOOKUP(E5219,DATABASE!C:Q,9,False)</f>
        <v>1</v>
      </c>
      <c r="Q5219" s="93" t="str">
        <f>VLOOKUP(E5219,DATABASE!C:Q,4,false)</f>
        <v>Dunlop</v>
      </c>
      <c r="R5219" s="93" t="str">
        <f>VLOOKUP(E5219,DATABASE!C:Q,11,false)</f>
        <v>Tire</v>
      </c>
    </row>
    <row r="5220" ht="22.5" customHeight="1">
      <c r="A5220" s="49"/>
      <c r="C5220" s="384">
        <v>45960.0</v>
      </c>
      <c r="D5220" s="65">
        <v>7655.0</v>
      </c>
      <c r="E5220" s="445" t="s">
        <v>276</v>
      </c>
      <c r="F5220" s="386">
        <v>2.0</v>
      </c>
      <c r="G5220" s="74">
        <v>700000.0</v>
      </c>
      <c r="H5220" s="74">
        <v>0.0</v>
      </c>
      <c r="I5220" s="74">
        <f t="shared" si="1"/>
        <v>1400000</v>
      </c>
      <c r="J5220" s="74">
        <f>IF(E5220="SERVICE",I5220-(I5220*50%),Vlookup(E5220,DATABASE!C:Q,10,false)*F5220)</f>
        <v>0</v>
      </c>
      <c r="K5220" s="74">
        <f>VLOOKUP(E5220,DATABASE!C:Q,7,false)</f>
        <v>620000</v>
      </c>
      <c r="L5220" s="74">
        <v>607000.0</v>
      </c>
      <c r="M5220" s="74">
        <f t="shared" si="2"/>
        <v>610000</v>
      </c>
      <c r="N5220" s="74">
        <f t="shared" si="3"/>
        <v>180000</v>
      </c>
      <c r="O5220" s="65" t="str">
        <f>VLOOKUP(E5220,DATABASE!C:Q,8,false)</f>
        <v>IBU</v>
      </c>
      <c r="P5220" s="65">
        <f>VLOOKUP(E5220,DATABASE!C:Q,9,False)</f>
        <v>1</v>
      </c>
      <c r="Q5220" s="93" t="str">
        <f>VLOOKUP(E5220,DATABASE!C:Q,4,false)</f>
        <v>Dunlop</v>
      </c>
      <c r="R5220" s="93" t="str">
        <f>VLOOKUP(E5220,DATABASE!C:Q,11,false)</f>
        <v>Tire</v>
      </c>
    </row>
    <row r="5221" ht="22.5" customHeight="1">
      <c r="A5221" s="49"/>
      <c r="C5221" s="384">
        <v>45960.0</v>
      </c>
      <c r="D5221" s="65">
        <v>7656.0</v>
      </c>
      <c r="E5221" s="445" t="s">
        <v>262</v>
      </c>
      <c r="F5221" s="386">
        <v>1.0</v>
      </c>
      <c r="G5221" s="74">
        <v>110000.0</v>
      </c>
      <c r="H5221" s="74">
        <v>0.0</v>
      </c>
      <c r="I5221" s="74">
        <f t="shared" si="1"/>
        <v>110000</v>
      </c>
      <c r="J5221" s="74">
        <f>IF(E5221="SERVICE",I5221-(I5221*50%),Vlookup(E5221,DATABASE!C:Q,10,false)*F5221)</f>
        <v>5000</v>
      </c>
      <c r="K5221" s="74">
        <f>VLOOKUP(E5221,DATABASE!C:Q,7,false)</f>
        <v>0</v>
      </c>
      <c r="L5221" s="74">
        <v>0.0</v>
      </c>
      <c r="M5221" s="74">
        <f t="shared" si="2"/>
        <v>0</v>
      </c>
      <c r="N5221" s="74">
        <f t="shared" si="3"/>
        <v>105000</v>
      </c>
      <c r="O5221" s="65" t="str">
        <f>VLOOKUP(E5221,DATABASE!C:Q,8,false)</f>
        <v>IBU</v>
      </c>
      <c r="P5221" s="65">
        <f>VLOOKUP(E5221,DATABASE!C:Q,9,False)</f>
        <v>0</v>
      </c>
      <c r="Q5221" s="93" t="str">
        <f>VLOOKUP(E5221,DATABASE!C:Q,4,false)</f>
        <v>SPOORING SS/CARRY LOS BAK</v>
      </c>
      <c r="R5221" s="93" t="str">
        <f>VLOOKUP(E5221,DATABASE!C:Q,11,false)</f>
        <v>SERVICE</v>
      </c>
    </row>
    <row r="5222" ht="22.5" customHeight="1">
      <c r="A5222" s="49"/>
      <c r="C5222" s="384">
        <v>45960.0</v>
      </c>
      <c r="D5222" s="65">
        <v>7656.0</v>
      </c>
      <c r="E5222" s="445" t="s">
        <v>251</v>
      </c>
      <c r="F5222" s="386">
        <v>1.0</v>
      </c>
      <c r="G5222" s="74">
        <v>150000.0</v>
      </c>
      <c r="H5222" s="74">
        <v>0.0</v>
      </c>
      <c r="I5222" s="74">
        <f t="shared" si="1"/>
        <v>150000</v>
      </c>
      <c r="J5222" s="74">
        <f>IF(E5222="SERVICE",I5222-(I5222*50%),Vlookup(E5222,DATABASE!C:Q,10,false)*F5222)</f>
        <v>75000</v>
      </c>
      <c r="K5222" s="74">
        <f>VLOOKUP(E5222,DATABASE!C:Q,7,false)</f>
        <v>0</v>
      </c>
      <c r="L5222" s="74">
        <v>0.0</v>
      </c>
      <c r="M5222" s="74">
        <f t="shared" si="2"/>
        <v>0</v>
      </c>
      <c r="N5222" s="74">
        <f t="shared" si="3"/>
        <v>75000</v>
      </c>
      <c r="O5222" s="65" t="str">
        <f>VLOOKUP(E5222,DATABASE!C:Q,8,false)</f>
        <v>IBU</v>
      </c>
      <c r="P5222" s="65">
        <f>VLOOKUP(E5222,DATABASE!C:Q,9,False)</f>
        <v>0</v>
      </c>
      <c r="Q5222" s="93" t="str">
        <f>VLOOKUP(E5222,DATABASE!C:Q,4,false)</f>
        <v>SERVICE</v>
      </c>
      <c r="R5222" s="93" t="str">
        <f>VLOOKUP(E5222,DATABASE!C:Q,11,false)</f>
        <v>SERVICE</v>
      </c>
    </row>
    <row r="5223" ht="22.5" customHeight="1">
      <c r="A5223" s="49"/>
      <c r="C5223" s="384">
        <v>45960.0</v>
      </c>
      <c r="D5223" s="65">
        <v>7657.0</v>
      </c>
      <c r="E5223" s="385" t="s">
        <v>299</v>
      </c>
      <c r="F5223" s="386">
        <v>2.0</v>
      </c>
      <c r="G5223" s="74">
        <v>35000.0</v>
      </c>
      <c r="H5223" s="74">
        <v>0.0</v>
      </c>
      <c r="I5223" s="74">
        <f t="shared" si="1"/>
        <v>70000</v>
      </c>
      <c r="J5223" s="74">
        <f>IF(E5223="SERVICE",I5223-(I5223*50%),Vlookup(E5223,DATABASE!C:Q,10,false)*F5223)</f>
        <v>0</v>
      </c>
      <c r="K5223" s="74">
        <v>0.0</v>
      </c>
      <c r="L5223" s="74">
        <v>0.0</v>
      </c>
      <c r="M5223" s="74">
        <f t="shared" si="2"/>
        <v>0</v>
      </c>
      <c r="N5223" s="74">
        <f t="shared" si="3"/>
        <v>70000</v>
      </c>
      <c r="O5223" s="65" t="str">
        <f>VLOOKUP(E5223,DATABASE!C:Q,8,false)</f>
        <v>BIAN</v>
      </c>
      <c r="P5223" s="65">
        <f>VLOOKUP(E5223,DATABASE!C:Q,9,False)</f>
        <v>0</v>
      </c>
      <c r="Q5223" s="93" t="str">
        <f>VLOOKUP(E5223,DATABASE!C:Q,4,false)</f>
        <v>Balancing</v>
      </c>
      <c r="R5223" s="93" t="str">
        <f>VLOOKUP(E5223,DATABASE!C:Q,11,false)</f>
        <v>COMPLEMENTARY</v>
      </c>
    </row>
    <row r="5224" ht="22.5" customHeight="1">
      <c r="A5224" s="49"/>
      <c r="C5224" s="384">
        <v>45960.0</v>
      </c>
      <c r="D5224" s="65">
        <v>7657.0</v>
      </c>
      <c r="E5224" s="445" t="s">
        <v>246</v>
      </c>
      <c r="F5224" s="386">
        <v>3.0</v>
      </c>
      <c r="G5224" s="74">
        <v>25000.0</v>
      </c>
      <c r="H5224" s="74">
        <v>0.0</v>
      </c>
      <c r="I5224" s="74">
        <f t="shared" si="1"/>
        <v>75000</v>
      </c>
      <c r="J5224" s="74">
        <f>IF(E5224="SERVICE",I5224-(I5224*50%),Vlookup(E5224,DATABASE!C:Q,10,false)*F5224)</f>
        <v>0</v>
      </c>
      <c r="K5224" s="74">
        <f>VLOOKUP(E5224,DATABASE!C:Q,7,false)</f>
        <v>0</v>
      </c>
      <c r="L5224" s="74">
        <v>0.0</v>
      </c>
      <c r="M5224" s="74">
        <f t="shared" si="2"/>
        <v>0</v>
      </c>
      <c r="N5224" s="74">
        <f t="shared" si="3"/>
        <v>75000</v>
      </c>
      <c r="O5224" s="65" t="str">
        <f>VLOOKUP(E5224,DATABASE!C:Q,8,false)</f>
        <v>IBU</v>
      </c>
      <c r="P5224" s="65">
        <f>VLOOKUP(E5224,DATABASE!C:Q,9,False)</f>
        <v>0</v>
      </c>
      <c r="Q5224" s="93" t="str">
        <f>VLOOKUP(E5224,DATABASE!C:Q,4,false)</f>
        <v>Bongkar Pasang</v>
      </c>
      <c r="R5224" s="93" t="str">
        <f>VLOOKUP(E5224,DATABASE!C:Q,11,false)</f>
        <v>SERVICE</v>
      </c>
    </row>
    <row r="5225" ht="22.5" customHeight="1">
      <c r="A5225" s="49"/>
      <c r="C5225" s="384">
        <v>45960.0</v>
      </c>
      <c r="D5225" s="65">
        <v>7658.0</v>
      </c>
      <c r="E5225" s="445" t="s">
        <v>566</v>
      </c>
      <c r="F5225" s="386">
        <v>2.0</v>
      </c>
      <c r="G5225" s="74">
        <v>1650000.0</v>
      </c>
      <c r="H5225" s="74">
        <v>0.0</v>
      </c>
      <c r="I5225" s="74">
        <f t="shared" si="1"/>
        <v>3300000</v>
      </c>
      <c r="J5225" s="74">
        <f>IF(E5225="SERVICE",I5225-(I5225*50%),Vlookup(E5225,DATABASE!C:Q,10,false)*F5225)</f>
        <v>0</v>
      </c>
      <c r="K5225" s="74">
        <f>VLOOKUP(E5225,DATABASE!C:Q,7,false)</f>
        <v>1565000</v>
      </c>
      <c r="L5225" s="74">
        <v>1545000.0</v>
      </c>
      <c r="M5225" s="74">
        <f t="shared" si="2"/>
        <v>1545000</v>
      </c>
      <c r="N5225" s="74">
        <f t="shared" si="3"/>
        <v>210000</v>
      </c>
      <c r="O5225" s="65" t="str">
        <f>VLOOKUP(E5225,DATABASE!C:Q,8,false)</f>
        <v>IBU</v>
      </c>
      <c r="P5225" s="65">
        <f>VLOOKUP(E5225,DATABASE!C:Q,9,False)</f>
        <v>1</v>
      </c>
      <c r="Q5225" s="93" t="str">
        <f>VLOOKUP(E5225,DATABASE!C:Q,4,false)</f>
        <v>Bridgestone</v>
      </c>
      <c r="R5225" s="93" t="str">
        <f>VLOOKUP(E5225,DATABASE!C:Q,11,false)</f>
        <v>Tire</v>
      </c>
    </row>
    <row r="5226" ht="22.5" customHeight="1">
      <c r="A5226" s="49"/>
      <c r="C5226" s="384">
        <v>45960.0</v>
      </c>
      <c r="D5226" s="65">
        <v>7659.0</v>
      </c>
      <c r="E5226" s="445" t="s">
        <v>294</v>
      </c>
      <c r="F5226" s="386">
        <v>1.0</v>
      </c>
      <c r="G5226" s="74">
        <v>570000.0</v>
      </c>
      <c r="H5226" s="74">
        <v>0.0</v>
      </c>
      <c r="I5226" s="74">
        <f t="shared" si="1"/>
        <v>570000</v>
      </c>
      <c r="J5226" s="74">
        <f>IF(E5226="SERVICE",I5226-(I5226*50%),Vlookup(E5226,DATABASE!C:Q,10,false)*F5226)</f>
        <v>0</v>
      </c>
      <c r="K5226" s="74">
        <f>VLOOKUP(E5226,DATABASE!C:Q,7,false)</f>
        <v>505000</v>
      </c>
      <c r="L5226" s="74">
        <v>490000.0</v>
      </c>
      <c r="M5226" s="74">
        <f t="shared" si="2"/>
        <v>490000</v>
      </c>
      <c r="N5226" s="74">
        <f t="shared" si="3"/>
        <v>80000</v>
      </c>
      <c r="O5226" s="65" t="str">
        <f>VLOOKUP(E5226,DATABASE!C:Q,8,false)</f>
        <v>BIAN</v>
      </c>
      <c r="P5226" s="65">
        <f>VLOOKUP(E5226,DATABASE!C:Q,9,False)</f>
        <v>1</v>
      </c>
      <c r="Q5226" s="93" t="str">
        <f>VLOOKUP(E5226,DATABASE!C:Q,4,false)</f>
        <v>GT</v>
      </c>
      <c r="R5226" s="93" t="str">
        <f>VLOOKUP(E5226,DATABASE!C:Q,11,false)</f>
        <v>Tire</v>
      </c>
    </row>
    <row r="5227" ht="22.5" customHeight="1">
      <c r="A5227" s="49"/>
      <c r="C5227" s="384">
        <v>45960.0</v>
      </c>
      <c r="D5227" s="65">
        <v>7660.0</v>
      </c>
      <c r="E5227" s="445" t="s">
        <v>569</v>
      </c>
      <c r="F5227" s="386">
        <v>1.0</v>
      </c>
      <c r="G5227" s="74">
        <v>80000.0</v>
      </c>
      <c r="H5227" s="74">
        <v>0.0</v>
      </c>
      <c r="I5227" s="74">
        <f t="shared" si="1"/>
        <v>80000</v>
      </c>
      <c r="J5227" s="74">
        <f>IF(E5227="SERVICE",I5227-(I5227*50%),Vlookup(E5227,DATABASE!C:Q,10,false)*F5227)</f>
        <v>0</v>
      </c>
      <c r="K5227" s="74">
        <f>VLOOKUP(E5227,DATABASE!C:Q,7,false)</f>
        <v>45439.582</v>
      </c>
      <c r="L5227" s="74">
        <v>45309.6</v>
      </c>
      <c r="M5227" s="74">
        <f t="shared" si="2"/>
        <v>50000</v>
      </c>
      <c r="N5227" s="74">
        <f t="shared" si="3"/>
        <v>30000</v>
      </c>
      <c r="O5227" s="65" t="str">
        <f>VLOOKUP(E5227,DATABASE!C:Q,8,false)</f>
        <v>BIAN</v>
      </c>
      <c r="P5227" s="65">
        <f>VLOOKUP(E5227,DATABASE!C:Q,9,False)</f>
        <v>1</v>
      </c>
      <c r="Q5227" s="93" t="str">
        <f>VLOOKUP(E5227,DATABASE!C:Q,4,false)</f>
        <v>BD</v>
      </c>
      <c r="R5227" s="93" t="str">
        <f>VLOOKUP(E5227,DATABASE!C:Q,11,false)</f>
        <v>Tire</v>
      </c>
    </row>
    <row r="5228" ht="22.5" customHeight="1">
      <c r="A5228" s="49"/>
      <c r="C5228" s="384">
        <v>45960.0</v>
      </c>
      <c r="D5228" s="65">
        <v>7661.0</v>
      </c>
      <c r="E5228" s="445" t="s">
        <v>569</v>
      </c>
      <c r="F5228" s="386">
        <v>1.0</v>
      </c>
      <c r="G5228" s="74">
        <v>80000.0</v>
      </c>
      <c r="H5228" s="74">
        <v>0.0</v>
      </c>
      <c r="I5228" s="74">
        <f t="shared" si="1"/>
        <v>80000</v>
      </c>
      <c r="J5228" s="74">
        <f>IF(E5228="SERVICE",I5228-(I5228*50%),Vlookup(E5228,DATABASE!C:Q,10,false)*F5228)</f>
        <v>0</v>
      </c>
      <c r="K5228" s="74">
        <f>VLOOKUP(E5228,DATABASE!C:Q,7,false)</f>
        <v>45439.582</v>
      </c>
      <c r="L5228" s="74">
        <v>45309.6</v>
      </c>
      <c r="M5228" s="74">
        <f t="shared" si="2"/>
        <v>50000</v>
      </c>
      <c r="N5228" s="74">
        <f t="shared" si="3"/>
        <v>30000</v>
      </c>
      <c r="O5228" s="65" t="str">
        <f>VLOOKUP(E5228,DATABASE!C:Q,8,false)</f>
        <v>BIAN</v>
      </c>
      <c r="P5228" s="65">
        <f>VLOOKUP(E5228,DATABASE!C:Q,9,False)</f>
        <v>1</v>
      </c>
      <c r="Q5228" s="93" t="str">
        <f>VLOOKUP(E5228,DATABASE!C:Q,4,false)</f>
        <v>BD</v>
      </c>
      <c r="R5228" s="93" t="str">
        <f>VLOOKUP(E5228,DATABASE!C:Q,11,false)</f>
        <v>Tire</v>
      </c>
    </row>
    <row r="5229" ht="22.5" customHeight="1">
      <c r="A5229" s="49"/>
      <c r="C5229" s="384">
        <v>45960.0</v>
      </c>
      <c r="D5229" s="65">
        <v>7661.0</v>
      </c>
      <c r="E5229" s="445" t="s">
        <v>294</v>
      </c>
      <c r="F5229" s="386">
        <v>1.0</v>
      </c>
      <c r="G5229" s="74">
        <v>570000.0</v>
      </c>
      <c r="H5229" s="74">
        <v>0.0</v>
      </c>
      <c r="I5229" s="74">
        <f t="shared" si="1"/>
        <v>570000</v>
      </c>
      <c r="J5229" s="74">
        <f>IF(E5229="SERVICE",I5229-(I5229*50%),Vlookup(E5229,DATABASE!C:Q,10,false)*F5229)</f>
        <v>0</v>
      </c>
      <c r="K5229" s="74">
        <f>VLOOKUP(E5229,DATABASE!C:Q,7,false)</f>
        <v>505000</v>
      </c>
      <c r="L5229" s="74">
        <v>490000.0</v>
      </c>
      <c r="M5229" s="74">
        <f t="shared" si="2"/>
        <v>490000</v>
      </c>
      <c r="N5229" s="74">
        <f t="shared" si="3"/>
        <v>80000</v>
      </c>
      <c r="O5229" s="65" t="str">
        <f>VLOOKUP(E5229,DATABASE!C:Q,8,false)</f>
        <v>BIAN</v>
      </c>
      <c r="P5229" s="65">
        <f>VLOOKUP(E5229,DATABASE!C:Q,9,False)</f>
        <v>1</v>
      </c>
      <c r="Q5229" s="93" t="str">
        <f>VLOOKUP(E5229,DATABASE!C:Q,4,false)</f>
        <v>GT</v>
      </c>
      <c r="R5229" s="93" t="str">
        <f>VLOOKUP(E5229,DATABASE!C:Q,11,false)</f>
        <v>Tire</v>
      </c>
    </row>
    <row r="5230" ht="22.5" customHeight="1">
      <c r="A5230" s="49"/>
      <c r="C5230" s="384">
        <v>45960.0</v>
      </c>
      <c r="D5230" s="65">
        <v>7662.0</v>
      </c>
      <c r="E5230" s="445" t="s">
        <v>265</v>
      </c>
      <c r="F5230" s="386">
        <v>2.0</v>
      </c>
      <c r="G5230" s="74">
        <v>700000.0</v>
      </c>
      <c r="H5230" s="74">
        <v>0.0</v>
      </c>
      <c r="I5230" s="74">
        <f t="shared" si="1"/>
        <v>1400000</v>
      </c>
      <c r="J5230" s="74">
        <f>IF(E5230="SERVICE",I5230-(I5230*50%),Vlookup(E5230,DATABASE!C:Q,10,false)*F5230)</f>
        <v>0</v>
      </c>
      <c r="K5230" s="74">
        <f>VLOOKUP(E5230,DATABASE!C:Q,7,false)</f>
        <v>628000</v>
      </c>
      <c r="L5230" s="74">
        <v>610000.0</v>
      </c>
      <c r="M5230" s="74">
        <f t="shared" si="2"/>
        <v>610000</v>
      </c>
      <c r="N5230" s="74">
        <f t="shared" si="3"/>
        <v>180000</v>
      </c>
      <c r="O5230" s="65" t="str">
        <f>VLOOKUP(E5230,DATABASE!C:Q,8,false)</f>
        <v>IBU</v>
      </c>
      <c r="P5230" s="65">
        <f>VLOOKUP(E5230,DATABASE!C:Q,9,False)</f>
        <v>1</v>
      </c>
      <c r="Q5230" s="93" t="str">
        <f>VLOOKUP(E5230,DATABASE!C:Q,4,false)</f>
        <v>Dunlop</v>
      </c>
      <c r="R5230" s="93" t="str">
        <f>VLOOKUP(E5230,DATABASE!C:Q,11,false)</f>
        <v>Tire</v>
      </c>
    </row>
    <row r="5231" ht="22.5" customHeight="1">
      <c r="A5231" s="49"/>
      <c r="C5231" s="384">
        <v>45960.0</v>
      </c>
      <c r="D5231" s="65">
        <v>7663.0</v>
      </c>
      <c r="E5231" s="445" t="s">
        <v>1361</v>
      </c>
      <c r="F5231" s="386">
        <v>2.0</v>
      </c>
      <c r="G5231" s="74">
        <v>950000.0</v>
      </c>
      <c r="H5231" s="74">
        <v>0.0</v>
      </c>
      <c r="I5231" s="74">
        <f t="shared" si="1"/>
        <v>1900000</v>
      </c>
      <c r="J5231" s="74">
        <f>IF(E5231="SERVICE",I5231-(I5231*50%),Vlookup(E5231,DATABASE!C:Q,10,false)*F5231)</f>
        <v>0</v>
      </c>
      <c r="K5231" s="74">
        <f>VLOOKUP(E5231,DATABASE!C:Q,7,false)</f>
        <v>881000</v>
      </c>
      <c r="L5231" s="74">
        <v>881000.0</v>
      </c>
      <c r="M5231" s="74">
        <f t="shared" si="2"/>
        <v>885000</v>
      </c>
      <c r="N5231" s="74">
        <f t="shared" si="3"/>
        <v>130000</v>
      </c>
      <c r="O5231" s="65" t="str">
        <f>VLOOKUP(E5231,DATABASE!C:Q,8,false)</f>
        <v>IBU</v>
      </c>
      <c r="P5231" s="65">
        <f>VLOOKUP(E5231,DATABASE!C:Q,9,False)</f>
        <v>1</v>
      </c>
      <c r="Q5231" s="93" t="str">
        <f>VLOOKUP(E5231,DATABASE!C:Q,4,false)</f>
        <v>Dunlop</v>
      </c>
      <c r="R5231" s="93" t="str">
        <f>VLOOKUP(E5231,DATABASE!C:Q,11,false)</f>
        <v>Tire</v>
      </c>
    </row>
    <row r="5232" ht="22.5" customHeight="1">
      <c r="A5232" s="49"/>
      <c r="C5232" s="384">
        <v>45961.0</v>
      </c>
      <c r="D5232" s="65">
        <v>7664.0</v>
      </c>
      <c r="E5232" s="445" t="s">
        <v>605</v>
      </c>
      <c r="F5232" s="386">
        <v>1.0</v>
      </c>
      <c r="G5232" s="74">
        <v>735000.0</v>
      </c>
      <c r="H5232" s="74">
        <v>0.0</v>
      </c>
      <c r="I5232" s="74">
        <f t="shared" si="1"/>
        <v>735000</v>
      </c>
      <c r="J5232" s="74">
        <f>IF(E5232="SERVICE",I5232-(I5232*50%),Vlookup(E5232,DATABASE!C:Q,10,false)*F5232)</f>
        <v>0</v>
      </c>
      <c r="K5232" s="74">
        <f>VLOOKUP(E5232,DATABASE!C:Q,7,false)</f>
        <v>675000</v>
      </c>
      <c r="L5232" s="74">
        <v>650000.0</v>
      </c>
      <c r="M5232" s="74">
        <f t="shared" si="2"/>
        <v>650000</v>
      </c>
      <c r="N5232" s="74">
        <f t="shared" si="3"/>
        <v>85000</v>
      </c>
      <c r="O5232" s="65" t="str">
        <f>VLOOKUP(E5232,DATABASE!C:Q,8,false)</f>
        <v>IBU</v>
      </c>
      <c r="P5232" s="65">
        <f>VLOOKUP(E5232,DATABASE!C:Q,9,False)</f>
        <v>1</v>
      </c>
      <c r="Q5232" s="93" t="str">
        <f>VLOOKUP(E5232,DATABASE!C:Q,4,false)</f>
        <v>Bridgestone</v>
      </c>
      <c r="R5232" s="93" t="str">
        <f>VLOOKUP(E5232,DATABASE!C:Q,11,false)</f>
        <v>Tire</v>
      </c>
    </row>
    <row r="5233" ht="22.5" customHeight="1">
      <c r="A5233" s="49"/>
      <c r="C5233" s="384">
        <v>45961.0</v>
      </c>
      <c r="D5233" s="65">
        <v>7665.0</v>
      </c>
      <c r="E5233" s="445" t="s">
        <v>839</v>
      </c>
      <c r="F5233" s="386">
        <v>2.0</v>
      </c>
      <c r="G5233" s="74">
        <v>565000.0</v>
      </c>
      <c r="H5233" s="74">
        <v>0.0</v>
      </c>
      <c r="I5233" s="74">
        <f t="shared" si="1"/>
        <v>1130000</v>
      </c>
      <c r="J5233" s="74">
        <f>IF(E5233="SERVICE",I5233-(I5233*50%),Vlookup(E5233,DATABASE!C:Q,10,false)*F5233)</f>
        <v>0</v>
      </c>
      <c r="K5233" s="74">
        <f>VLOOKUP(E5233,DATABASE!C:Q,7,false)</f>
        <v>512640</v>
      </c>
      <c r="L5233" s="74">
        <v>475700.0</v>
      </c>
      <c r="M5233" s="74">
        <f t="shared" si="2"/>
        <v>480000</v>
      </c>
      <c r="N5233" s="74">
        <f t="shared" si="3"/>
        <v>170000</v>
      </c>
      <c r="O5233" s="65" t="str">
        <f>VLOOKUP(E5233,DATABASE!C:Q,8,false)</f>
        <v>BIAN</v>
      </c>
      <c r="P5233" s="65">
        <f>VLOOKUP(E5233,DATABASE!C:Q,9,False)</f>
        <v>1</v>
      </c>
      <c r="Q5233" s="93" t="str">
        <f>VLOOKUP(E5233,DATABASE!C:Q,4,false)</f>
        <v>GT</v>
      </c>
      <c r="R5233" s="93" t="str">
        <f>VLOOKUP(E5233,DATABASE!C:Q,11,false)</f>
        <v>Tire</v>
      </c>
    </row>
    <row r="5234" ht="22.5" customHeight="1">
      <c r="A5234" s="49"/>
      <c r="C5234" s="384">
        <v>45961.0</v>
      </c>
      <c r="D5234" s="65">
        <v>7666.0</v>
      </c>
      <c r="E5234" s="445" t="s">
        <v>1867</v>
      </c>
      <c r="F5234" s="386">
        <v>1.0</v>
      </c>
      <c r="G5234" s="74">
        <v>650000.0</v>
      </c>
      <c r="H5234" s="74">
        <v>0.0</v>
      </c>
      <c r="I5234" s="74">
        <f t="shared" si="1"/>
        <v>650000</v>
      </c>
      <c r="J5234" s="74">
        <f>IF(E5234="SERVICE",I5234-(I5234*50%),Vlookup(E5234,DATABASE!C:Q,10,false)*F5234)</f>
        <v>0</v>
      </c>
      <c r="K5234" s="74">
        <f>VLOOKUP(E5234,DATABASE!C:Q,7,false)</f>
        <v>575200</v>
      </c>
      <c r="L5234" s="74">
        <v>558200.0</v>
      </c>
      <c r="M5234" s="74">
        <f t="shared" si="2"/>
        <v>560000</v>
      </c>
      <c r="N5234" s="74">
        <f t="shared" si="3"/>
        <v>90000</v>
      </c>
      <c r="O5234" s="65" t="str">
        <f>VLOOKUP(E5234,DATABASE!C:Q,8,false)</f>
        <v>BIAN</v>
      </c>
      <c r="P5234" s="65">
        <f>VLOOKUP(E5234,DATABASE!C:Q,9,False)</f>
        <v>1</v>
      </c>
      <c r="Q5234" s="93" t="str">
        <f>VLOOKUP(E5234,DATABASE!C:Q,4,false)</f>
        <v>GT</v>
      </c>
      <c r="R5234" s="93" t="str">
        <f>VLOOKUP(E5234,DATABASE!C:Q,11,false)</f>
        <v>Tire</v>
      </c>
    </row>
    <row r="5235" ht="22.5" customHeight="1">
      <c r="A5235" s="49"/>
      <c r="C5235" s="661">
        <v>45962.0</v>
      </c>
      <c r="D5235" s="662">
        <v>7667.0</v>
      </c>
      <c r="E5235" s="663" t="s">
        <v>847</v>
      </c>
      <c r="F5235" s="664">
        <v>1.0</v>
      </c>
      <c r="G5235" s="665">
        <v>770000.0</v>
      </c>
      <c r="H5235" s="74">
        <v>0.0</v>
      </c>
      <c r="I5235" s="74">
        <f t="shared" si="1"/>
        <v>770000</v>
      </c>
      <c r="J5235" s="74">
        <f>IF(E5235="SERVICE",I5235-(I5235*50%),Vlookup(E5235,DATABASE!C:Q,10,false)*F5235)</f>
        <v>0</v>
      </c>
      <c r="K5235" s="74">
        <f>VLOOKUP(E5235,DATABASE!C:Q,7,false)</f>
        <v>718080</v>
      </c>
      <c r="L5235" s="74">
        <v>672210.0</v>
      </c>
      <c r="M5235" s="74">
        <f t="shared" si="2"/>
        <v>675000</v>
      </c>
      <c r="N5235" s="74">
        <f t="shared" si="3"/>
        <v>95000</v>
      </c>
      <c r="O5235" s="65" t="str">
        <f>VLOOKUP(E5235,DATABASE!C:Q,8,false)</f>
        <v>BIAN</v>
      </c>
      <c r="P5235" s="65">
        <f>VLOOKUP(E5235,DATABASE!C:Q,9,False)</f>
        <v>1</v>
      </c>
      <c r="Q5235" s="93" t="str">
        <f>VLOOKUP(E5235,DATABASE!C:Q,4,false)</f>
        <v>GT</v>
      </c>
      <c r="R5235" s="93" t="str">
        <f>VLOOKUP(E5235,DATABASE!C:Q,11,false)</f>
        <v>Tire</v>
      </c>
      <c r="U5235" s="9">
        <v>770000.0</v>
      </c>
    </row>
    <row r="5236" ht="22.5" customHeight="1">
      <c r="A5236" s="49"/>
      <c r="C5236" s="666">
        <v>45962.0</v>
      </c>
      <c r="D5236" s="667">
        <v>7669.0</v>
      </c>
      <c r="E5236" s="668" t="s">
        <v>271</v>
      </c>
      <c r="F5236" s="664">
        <v>2.0</v>
      </c>
      <c r="G5236" s="669">
        <v>630000.0</v>
      </c>
      <c r="H5236" s="74">
        <v>0.0</v>
      </c>
      <c r="I5236" s="74">
        <f t="shared" si="1"/>
        <v>1260000</v>
      </c>
      <c r="J5236" s="74">
        <f>IF(E5236="SERVICE",I5236-(I5236*50%),Vlookup(E5236,DATABASE!C:Q,10,false)*F5236)</f>
        <v>0</v>
      </c>
      <c r="K5236" s="74">
        <f>VLOOKUP(E5236,DATABASE!C:Q,7,false)</f>
        <v>570000</v>
      </c>
      <c r="L5236" s="74">
        <v>539000.0</v>
      </c>
      <c r="M5236" s="74">
        <f t="shared" si="2"/>
        <v>540000</v>
      </c>
      <c r="N5236" s="74">
        <f t="shared" si="3"/>
        <v>180000</v>
      </c>
      <c r="O5236" s="65" t="str">
        <f>VLOOKUP(E5236,DATABASE!C:Q,8,false)</f>
        <v>IBU</v>
      </c>
      <c r="P5236" s="65">
        <f>VLOOKUP(E5236,DATABASE!C:Q,9,False)</f>
        <v>1</v>
      </c>
      <c r="Q5236" s="93" t="str">
        <f>VLOOKUP(E5236,DATABASE!C:Q,4,false)</f>
        <v>Dunlop</v>
      </c>
      <c r="R5236" s="93" t="str">
        <f>VLOOKUP(E5236,DATABASE!C:Q,11,false)</f>
        <v>Tire</v>
      </c>
      <c r="U5236" s="9"/>
    </row>
    <row r="5237" ht="22.5" customHeight="1">
      <c r="A5237" s="49"/>
      <c r="C5237" s="661">
        <v>45962.0</v>
      </c>
      <c r="D5237" s="662">
        <v>7670.0</v>
      </c>
      <c r="E5237" s="663" t="s">
        <v>932</v>
      </c>
      <c r="F5237" s="664">
        <v>1.0</v>
      </c>
      <c r="G5237" s="665">
        <v>680000.0</v>
      </c>
      <c r="H5237" s="74">
        <v>0.0</v>
      </c>
      <c r="I5237" s="74">
        <f t="shared" si="1"/>
        <v>680000</v>
      </c>
      <c r="J5237" s="74">
        <f>IF(E5237="SERVICE",I5237-(I5237*50%),Vlookup(E5237,DATABASE!C:Q,10,false)*F5237)</f>
        <v>0</v>
      </c>
      <c r="K5237" s="74">
        <f>VLOOKUP(E5237,DATABASE!C:Q,7,false)</f>
        <v>601000</v>
      </c>
      <c r="L5237" s="74">
        <v>595000.0</v>
      </c>
      <c r="M5237" s="74">
        <f t="shared" si="2"/>
        <v>595000</v>
      </c>
      <c r="N5237" s="74">
        <f t="shared" si="3"/>
        <v>85000</v>
      </c>
      <c r="O5237" s="65" t="str">
        <f>VLOOKUP(E5237,DATABASE!C:Q,8,false)</f>
        <v>IBU</v>
      </c>
      <c r="P5237" s="65">
        <f>VLOOKUP(E5237,DATABASE!C:Q,9,False)</f>
        <v>1</v>
      </c>
      <c r="Q5237" s="93" t="str">
        <f>VLOOKUP(E5237,DATABASE!C:Q,4,false)</f>
        <v>Dunlop</v>
      </c>
      <c r="R5237" s="93" t="str">
        <f>VLOOKUP(E5237,DATABASE!C:Q,11,false)</f>
        <v>Tire</v>
      </c>
      <c r="U5237" s="9"/>
    </row>
    <row r="5238" ht="22.5" customHeight="1">
      <c r="A5238" s="49"/>
      <c r="C5238" s="666">
        <v>45962.0</v>
      </c>
      <c r="D5238" s="667">
        <v>7671.0</v>
      </c>
      <c r="E5238" s="668" t="s">
        <v>256</v>
      </c>
      <c r="F5238" s="670">
        <v>1.0</v>
      </c>
      <c r="G5238" s="669">
        <v>130000.0</v>
      </c>
      <c r="H5238" s="74">
        <v>0.0</v>
      </c>
      <c r="I5238" s="74">
        <f t="shared" si="1"/>
        <v>130000</v>
      </c>
      <c r="J5238" s="74">
        <f>IF(E5238="SERVICE",I5238-(I5238*50%),Vlookup(E5238,DATABASE!C:Q,10,false)*F5238)</f>
        <v>10000</v>
      </c>
      <c r="K5238" s="74">
        <f>VLOOKUP(E5238,DATABASE!C:Q,7,false)</f>
        <v>0</v>
      </c>
      <c r="L5238" s="74">
        <v>0.0</v>
      </c>
      <c r="M5238" s="74">
        <f t="shared" si="2"/>
        <v>0</v>
      </c>
      <c r="N5238" s="74">
        <f t="shared" si="3"/>
        <v>120000</v>
      </c>
      <c r="O5238" s="65" t="str">
        <f>VLOOKUP(E5238,DATABASE!C:Q,8,false)</f>
        <v>IBU</v>
      </c>
      <c r="P5238" s="65">
        <f>VLOOKUP(E5238,DATABASE!C:Q,9,False)</f>
        <v>0</v>
      </c>
      <c r="Q5238" s="93" t="str">
        <f>VLOOKUP(E5238,DATABASE!C:Q,4,false)</f>
        <v>SPOORING</v>
      </c>
      <c r="R5238" s="93" t="str">
        <f>VLOOKUP(E5238,DATABASE!C:Q,11,false)</f>
        <v>SERVICE</v>
      </c>
    </row>
    <row r="5239" ht="22.5" customHeight="1">
      <c r="A5239" s="49"/>
      <c r="C5239" s="661">
        <v>45962.0</v>
      </c>
      <c r="D5239" s="662">
        <v>7671.0</v>
      </c>
      <c r="E5239" s="671" t="s">
        <v>299</v>
      </c>
      <c r="F5239" s="664">
        <v>2.0</v>
      </c>
      <c r="G5239" s="665">
        <v>30000.0</v>
      </c>
      <c r="H5239" s="74">
        <v>0.0</v>
      </c>
      <c r="I5239" s="74">
        <f t="shared" si="1"/>
        <v>60000</v>
      </c>
      <c r="J5239" s="74">
        <f>IF(E5239="SERVICE",I5239-(I5239*50%),Vlookup(E5239,DATABASE!C:Q,10,false)*F5239)</f>
        <v>0</v>
      </c>
      <c r="K5239" s="74">
        <f>VLOOKUP(E5239,DATABASE!C:Q,7,false)</f>
        <v>10000</v>
      </c>
      <c r="L5239" s="74">
        <v>5000.0</v>
      </c>
      <c r="M5239" s="74">
        <f t="shared" si="2"/>
        <v>5000</v>
      </c>
      <c r="N5239" s="74">
        <f t="shared" si="3"/>
        <v>50000</v>
      </c>
      <c r="O5239" s="65" t="str">
        <f>VLOOKUP(E5239,DATABASE!C:Q,8,false)</f>
        <v>BIAN</v>
      </c>
      <c r="P5239" s="65">
        <f>VLOOKUP(E5239,DATABASE!C:Q,9,False)</f>
        <v>0</v>
      </c>
      <c r="Q5239" s="93" t="str">
        <f>VLOOKUP(E5239,DATABASE!C:Q,4,false)</f>
        <v>Balancing</v>
      </c>
      <c r="R5239" s="93" t="str">
        <f>VLOOKUP(E5239,DATABASE!C:Q,11,false)</f>
        <v>COMPLEMENTARY</v>
      </c>
    </row>
    <row r="5240" ht="22.5" customHeight="1">
      <c r="A5240" s="49"/>
      <c r="C5240" s="666">
        <v>45962.0</v>
      </c>
      <c r="D5240" s="667">
        <v>7672.0</v>
      </c>
      <c r="E5240" s="668" t="s">
        <v>268</v>
      </c>
      <c r="F5240" s="664">
        <v>1.0</v>
      </c>
      <c r="G5240" s="669">
        <v>710000.0</v>
      </c>
      <c r="H5240" s="74">
        <v>0.0</v>
      </c>
      <c r="I5240" s="74">
        <f t="shared" si="1"/>
        <v>710000</v>
      </c>
      <c r="J5240" s="74">
        <f>IF(E5240="SERVICE",I5240-(I5240*50%),Vlookup(E5240,DATABASE!C:Q,10,false)*F5240)</f>
        <v>0</v>
      </c>
      <c r="K5240" s="74">
        <f>VLOOKUP(E5240,DATABASE!C:Q,7,false)</f>
        <v>653000</v>
      </c>
      <c r="L5240" s="74">
        <v>622000.0</v>
      </c>
      <c r="M5240" s="74">
        <f t="shared" si="2"/>
        <v>625000</v>
      </c>
      <c r="N5240" s="74">
        <f t="shared" si="3"/>
        <v>85000</v>
      </c>
      <c r="O5240" s="65" t="str">
        <f>VLOOKUP(E5240,DATABASE!C:Q,8,false)</f>
        <v>IBU</v>
      </c>
      <c r="P5240" s="65">
        <f>VLOOKUP(E5240,DATABASE!C:Q,9,False)</f>
        <v>1</v>
      </c>
      <c r="Q5240" s="93" t="str">
        <f>VLOOKUP(E5240,DATABASE!C:Q,4,false)</f>
        <v>Dunlop</v>
      </c>
      <c r="R5240" s="93" t="str">
        <f>VLOOKUP(E5240,DATABASE!C:Q,11,false)</f>
        <v>Tire</v>
      </c>
      <c r="U5240" s="9"/>
    </row>
    <row r="5241" ht="22.5" customHeight="1">
      <c r="A5241" s="49"/>
      <c r="C5241" s="661">
        <v>45962.0</v>
      </c>
      <c r="D5241" s="662">
        <v>7673.0</v>
      </c>
      <c r="E5241" s="663" t="s">
        <v>2199</v>
      </c>
      <c r="F5241" s="664">
        <v>1.0</v>
      </c>
      <c r="G5241" s="665">
        <v>15000.0</v>
      </c>
      <c r="H5241" s="74">
        <v>0.0</v>
      </c>
      <c r="I5241" s="74">
        <f t="shared" si="1"/>
        <v>15000</v>
      </c>
      <c r="J5241" s="74">
        <f>IF(E5241="SERVICE",I5241-(I5241*50%),Vlookup(E5241,DATABASE!C:Q,10,false)*F5241)</f>
        <v>0</v>
      </c>
      <c r="K5241" s="74">
        <f>VLOOKUP(E5241,DATABASE!C:Q,7,false)</f>
        <v>5000</v>
      </c>
      <c r="L5241" s="74">
        <v>0.0</v>
      </c>
      <c r="M5241" s="74">
        <f t="shared" si="2"/>
        <v>0</v>
      </c>
      <c r="N5241" s="74">
        <f t="shared" si="3"/>
        <v>15000</v>
      </c>
      <c r="O5241" s="65" t="str">
        <f>VLOOKUP(E5241,DATABASE!C:Q,8,false)</f>
        <v>BIAN</v>
      </c>
      <c r="P5241" s="65">
        <f>VLOOKUP(E5241,DATABASE!C:Q,9,False)</f>
        <v>0</v>
      </c>
      <c r="Q5241" s="93" t="str">
        <f>VLOOKUP(E5241,DATABASE!C:Q,4,false)</f>
        <v>TAMBAL TUBLES</v>
      </c>
      <c r="R5241" s="93" t="str">
        <f>VLOOKUP(E5241,DATABASE!C:Q,11,false)</f>
        <v>COMPLEMENTARY</v>
      </c>
    </row>
    <row r="5242" ht="22.5" customHeight="1">
      <c r="A5242" s="49"/>
      <c r="C5242" s="666">
        <v>45962.0</v>
      </c>
      <c r="D5242" s="667">
        <v>7674.0</v>
      </c>
      <c r="E5242" s="668" t="s">
        <v>1430</v>
      </c>
      <c r="F5242" s="664">
        <v>1.0</v>
      </c>
      <c r="G5242" s="669">
        <v>760000.0</v>
      </c>
      <c r="H5242" s="74">
        <v>0.0</v>
      </c>
      <c r="I5242" s="74">
        <f t="shared" si="1"/>
        <v>760000</v>
      </c>
      <c r="J5242" s="74">
        <f>IF(E5242="SERVICE",I5242-(I5242*50%),Vlookup(E5242,DATABASE!C:Q,10,false)*F5242)</f>
        <v>0</v>
      </c>
      <c r="K5242" s="74">
        <f>VLOOKUP(E5242,DATABASE!C:Q,7,false)</f>
        <v>672800</v>
      </c>
      <c r="L5242" s="74">
        <v>659610.0</v>
      </c>
      <c r="M5242" s="74">
        <f t="shared" si="2"/>
        <v>660000</v>
      </c>
      <c r="N5242" s="74">
        <f t="shared" si="3"/>
        <v>100000</v>
      </c>
      <c r="O5242" s="65" t="str">
        <f>VLOOKUP(E5242,DATABASE!C:Q,8,false)</f>
        <v>BIAN</v>
      </c>
      <c r="P5242" s="65">
        <f>VLOOKUP(E5242,DATABASE!C:Q,9,False)</f>
        <v>1</v>
      </c>
      <c r="Q5242" s="93" t="str">
        <f>VLOOKUP(E5242,DATABASE!C:Q,4,false)</f>
        <v>GT</v>
      </c>
      <c r="R5242" s="93" t="str">
        <f>VLOOKUP(E5242,DATABASE!C:Q,11,false)</f>
        <v>Tire</v>
      </c>
      <c r="U5242" s="9">
        <v>760000.0</v>
      </c>
    </row>
    <row r="5243" ht="22.5" customHeight="1">
      <c r="A5243" s="49"/>
      <c r="C5243" s="661">
        <v>45962.0</v>
      </c>
      <c r="D5243" s="662">
        <v>7675.0</v>
      </c>
      <c r="E5243" s="663" t="s">
        <v>777</v>
      </c>
      <c r="F5243" s="664">
        <v>2.0</v>
      </c>
      <c r="G5243" s="665">
        <v>585000.0</v>
      </c>
      <c r="H5243" s="74">
        <v>0.0</v>
      </c>
      <c r="I5243" s="74">
        <f t="shared" si="1"/>
        <v>1170000</v>
      </c>
      <c r="J5243" s="74">
        <f>IF(E5243="SERVICE",I5243-(I5243*50%),Vlookup(E5243,DATABASE!C:Q,10,false)*F5243)</f>
        <v>0</v>
      </c>
      <c r="K5243" s="74">
        <f>VLOOKUP(E5243,DATABASE!C:Q,7,false)</f>
        <v>540000</v>
      </c>
      <c r="L5243" s="74">
        <v>507000.0</v>
      </c>
      <c r="M5243" s="74">
        <f t="shared" si="2"/>
        <v>510000</v>
      </c>
      <c r="N5243" s="74">
        <f t="shared" si="3"/>
        <v>150000</v>
      </c>
      <c r="O5243" s="65" t="str">
        <f>VLOOKUP(E5243,DATABASE!C:Q,8,false)</f>
        <v>BIAN</v>
      </c>
      <c r="P5243" s="65">
        <f>VLOOKUP(E5243,DATABASE!C:Q,9,False)</f>
        <v>1</v>
      </c>
      <c r="Q5243" s="93" t="str">
        <f>VLOOKUP(E5243,DATABASE!C:Q,4,false)</f>
        <v>GT</v>
      </c>
      <c r="R5243" s="93" t="str">
        <f>VLOOKUP(E5243,DATABASE!C:Q,11,false)</f>
        <v>Tire</v>
      </c>
      <c r="U5243" s="9">
        <v>1170000.0</v>
      </c>
    </row>
    <row r="5244" ht="22.5" customHeight="1">
      <c r="A5244" s="49"/>
      <c r="C5244" s="666">
        <v>45962.0</v>
      </c>
      <c r="D5244" s="667">
        <v>7676.0</v>
      </c>
      <c r="E5244" s="668" t="s">
        <v>1486</v>
      </c>
      <c r="F5244" s="664">
        <v>2.0</v>
      </c>
      <c r="G5244" s="669">
        <v>970000.0</v>
      </c>
      <c r="H5244" s="74">
        <v>0.0</v>
      </c>
      <c r="I5244" s="74">
        <f t="shared" si="1"/>
        <v>1940000</v>
      </c>
      <c r="J5244" s="74">
        <f>IF(E5244="SERVICE",I5244-(I5244*50%),Vlookup(E5244,DATABASE!C:Q,10,false)*F5244)</f>
        <v>0</v>
      </c>
      <c r="K5244" s="74">
        <f>VLOOKUP(E5244,DATABASE!C:Q,7,false)</f>
        <v>888000</v>
      </c>
      <c r="L5244" s="74">
        <v>877000.0</v>
      </c>
      <c r="M5244" s="74">
        <f t="shared" si="2"/>
        <v>880000</v>
      </c>
      <c r="N5244" s="74">
        <f t="shared" si="3"/>
        <v>180000</v>
      </c>
      <c r="O5244" s="65" t="str">
        <f>VLOOKUP(E5244,DATABASE!C:Q,8,false)</f>
        <v>IBU</v>
      </c>
      <c r="P5244" s="65">
        <f>VLOOKUP(E5244,DATABASE!C:Q,9,False)</f>
        <v>1</v>
      </c>
      <c r="Q5244" s="93" t="str">
        <f>VLOOKUP(E5244,DATABASE!C:Q,4,false)</f>
        <v>Dunlop</v>
      </c>
      <c r="R5244" s="93" t="str">
        <f>VLOOKUP(E5244,DATABASE!C:Q,11,false)</f>
        <v>Tire</v>
      </c>
      <c r="U5244" s="9"/>
    </row>
    <row r="5245" ht="22.5" customHeight="1">
      <c r="A5245" s="49"/>
      <c r="C5245" s="661">
        <v>45962.0</v>
      </c>
      <c r="D5245" s="662">
        <v>7677.0</v>
      </c>
      <c r="E5245" s="663" t="s">
        <v>781</v>
      </c>
      <c r="F5245" s="664">
        <v>1.0</v>
      </c>
      <c r="G5245" s="665">
        <v>530000.0</v>
      </c>
      <c r="H5245" s="74">
        <v>0.0</v>
      </c>
      <c r="I5245" s="74">
        <f t="shared" si="1"/>
        <v>530000</v>
      </c>
      <c r="J5245" s="74">
        <f>IF(E5245="SERVICE",I5245-(I5245*50%),Vlookup(E5245,DATABASE!C:Q,10,false)*F5245)</f>
        <v>0</v>
      </c>
      <c r="K5245" s="74">
        <f>VLOOKUP(E5245,DATABASE!C:Q,7,false)</f>
        <v>470000</v>
      </c>
      <c r="L5245" s="74">
        <v>442500.0</v>
      </c>
      <c r="M5245" s="74">
        <f t="shared" si="2"/>
        <v>445000</v>
      </c>
      <c r="N5245" s="74">
        <f t="shared" si="3"/>
        <v>85000</v>
      </c>
      <c r="O5245" s="65" t="str">
        <f>VLOOKUP(E5245,DATABASE!C:Q,8,false)</f>
        <v>BIAN</v>
      </c>
      <c r="P5245" s="65">
        <f>VLOOKUP(E5245,DATABASE!C:Q,9,False)</f>
        <v>1</v>
      </c>
      <c r="Q5245" s="93" t="str">
        <f>VLOOKUP(E5245,DATABASE!C:Q,4,false)</f>
        <v>GT</v>
      </c>
      <c r="R5245" s="93" t="str">
        <f>VLOOKUP(E5245,DATABASE!C:Q,11,false)</f>
        <v>Tire</v>
      </c>
      <c r="U5245" s="9">
        <v>530000.0</v>
      </c>
    </row>
    <row r="5246" ht="22.5" customHeight="1">
      <c r="A5246" s="49"/>
      <c r="C5246" s="666">
        <v>45962.0</v>
      </c>
      <c r="D5246" s="667">
        <v>7678.0</v>
      </c>
      <c r="E5246" s="668" t="s">
        <v>1389</v>
      </c>
      <c r="F5246" s="664">
        <v>1.0</v>
      </c>
      <c r="G5246" s="669">
        <v>1000000.0</v>
      </c>
      <c r="H5246" s="74">
        <v>0.0</v>
      </c>
      <c r="I5246" s="74">
        <f t="shared" si="1"/>
        <v>1000000</v>
      </c>
      <c r="J5246" s="74">
        <f>IF(E5246="SERVICE",I5246-(I5246*50%),Vlookup(E5246,DATABASE!C:Q,10,false)*F5246)</f>
        <v>0</v>
      </c>
      <c r="K5246" s="74">
        <f>VLOOKUP(E5246,DATABASE!C:Q,7,false)</f>
        <v>908000</v>
      </c>
      <c r="L5246" s="74">
        <v>897000.0</v>
      </c>
      <c r="M5246" s="74">
        <f t="shared" si="2"/>
        <v>900000</v>
      </c>
      <c r="N5246" s="74">
        <f t="shared" si="3"/>
        <v>100000</v>
      </c>
      <c r="O5246" s="65" t="str">
        <f>VLOOKUP(E5246,DATABASE!C:Q,8,false)</f>
        <v>IBU</v>
      </c>
      <c r="P5246" s="65">
        <f>VLOOKUP(E5246,DATABASE!C:Q,9,False)</f>
        <v>1</v>
      </c>
      <c r="Q5246" s="93" t="str">
        <f>VLOOKUP(E5246,DATABASE!C:Q,4,false)</f>
        <v>Dunlop</v>
      </c>
      <c r="R5246" s="93" t="str">
        <f>VLOOKUP(E5246,DATABASE!C:Q,11,false)</f>
        <v>Tire</v>
      </c>
      <c r="U5246" s="9"/>
    </row>
    <row r="5247" ht="22.5" customHeight="1">
      <c r="A5247" s="49"/>
      <c r="C5247" s="661">
        <v>45963.0</v>
      </c>
      <c r="D5247" s="662">
        <v>7679.0</v>
      </c>
      <c r="E5247" s="663" t="s">
        <v>268</v>
      </c>
      <c r="F5247" s="664">
        <v>1.0</v>
      </c>
      <c r="G5247" s="665">
        <v>710000.0</v>
      </c>
      <c r="H5247" s="74">
        <v>0.0</v>
      </c>
      <c r="I5247" s="74">
        <f t="shared" si="1"/>
        <v>710000</v>
      </c>
      <c r="J5247" s="74">
        <f>IF(E5247="SERVICE",I5247-(I5247*50%),Vlookup(E5247,DATABASE!C:Q,10,false)*F5247)</f>
        <v>0</v>
      </c>
      <c r="K5247" s="74">
        <f>VLOOKUP(E5247,DATABASE!C:Q,7,false)</f>
        <v>653000</v>
      </c>
      <c r="L5247" s="74">
        <v>622000.0</v>
      </c>
      <c r="M5247" s="74">
        <f t="shared" si="2"/>
        <v>625000</v>
      </c>
      <c r="N5247" s="74">
        <f t="shared" si="3"/>
        <v>85000</v>
      </c>
      <c r="O5247" s="65" t="str">
        <f>VLOOKUP(E5247,DATABASE!C:Q,8,false)</f>
        <v>IBU</v>
      </c>
      <c r="P5247" s="65">
        <f>VLOOKUP(E5247,DATABASE!C:Q,9,False)</f>
        <v>1</v>
      </c>
      <c r="Q5247" s="93" t="str">
        <f>VLOOKUP(E5247,DATABASE!C:Q,4,false)</f>
        <v>Dunlop</v>
      </c>
      <c r="R5247" s="93" t="str">
        <f>VLOOKUP(E5247,DATABASE!C:Q,11,false)</f>
        <v>Tire</v>
      </c>
      <c r="U5247" s="9"/>
    </row>
    <row r="5248" ht="22.5" customHeight="1">
      <c r="A5248" s="49"/>
      <c r="C5248" s="666">
        <v>45963.0</v>
      </c>
      <c r="D5248" s="667">
        <v>7681.0</v>
      </c>
      <c r="E5248" s="668" t="s">
        <v>932</v>
      </c>
      <c r="F5248" s="664">
        <v>1.0</v>
      </c>
      <c r="G5248" s="669">
        <v>680000.0</v>
      </c>
      <c r="H5248" s="74">
        <v>0.0</v>
      </c>
      <c r="I5248" s="74">
        <f t="shared" si="1"/>
        <v>680000</v>
      </c>
      <c r="J5248" s="74">
        <f>IF(E5248="SERVICE",I5248-(I5248*50%),Vlookup(E5248,DATABASE!C:Q,10,false)*F5248)</f>
        <v>0</v>
      </c>
      <c r="K5248" s="74">
        <f>VLOOKUP(E5248,DATABASE!C:Q,7,false)</f>
        <v>601000</v>
      </c>
      <c r="L5248" s="74">
        <v>595000.0</v>
      </c>
      <c r="M5248" s="74">
        <f t="shared" si="2"/>
        <v>595000</v>
      </c>
      <c r="N5248" s="74">
        <f t="shared" si="3"/>
        <v>85000</v>
      </c>
      <c r="O5248" s="65" t="str">
        <f>VLOOKUP(E5248,DATABASE!C:Q,8,false)</f>
        <v>IBU</v>
      </c>
      <c r="P5248" s="65">
        <f>VLOOKUP(E5248,DATABASE!C:Q,9,False)</f>
        <v>1</v>
      </c>
      <c r="Q5248" s="93" t="str">
        <f>VLOOKUP(E5248,DATABASE!C:Q,4,false)</f>
        <v>Dunlop</v>
      </c>
      <c r="R5248" s="93" t="str">
        <f>VLOOKUP(E5248,DATABASE!C:Q,11,false)</f>
        <v>Tire</v>
      </c>
      <c r="U5248" s="9"/>
    </row>
    <row r="5249" ht="22.5" customHeight="1">
      <c r="A5249" s="49"/>
      <c r="C5249" s="666">
        <v>45964.0</v>
      </c>
      <c r="D5249" s="667">
        <v>7682.0</v>
      </c>
      <c r="E5249" s="668" t="s">
        <v>591</v>
      </c>
      <c r="F5249" s="664">
        <v>2.0</v>
      </c>
      <c r="G5249" s="669">
        <v>700000.0</v>
      </c>
      <c r="H5249" s="74">
        <v>0.0</v>
      </c>
      <c r="I5249" s="74">
        <f t="shared" si="1"/>
        <v>1400000</v>
      </c>
      <c r="J5249" s="74">
        <f>IF(E5249="SERVICE",I5249-(I5249*50%),Vlookup(E5249,DATABASE!C:Q,10,false)*F5249)</f>
        <v>0</v>
      </c>
      <c r="K5249" s="74">
        <f>VLOOKUP(E5249,DATABASE!C:Q,7,false)</f>
        <v>633035.16</v>
      </c>
      <c r="L5249" s="74">
        <v>593488.4</v>
      </c>
      <c r="M5249" s="74">
        <f t="shared" si="2"/>
        <v>595000</v>
      </c>
      <c r="N5249" s="74">
        <f t="shared" si="3"/>
        <v>210000</v>
      </c>
      <c r="O5249" s="65" t="str">
        <f>VLOOKUP(E5249,DATABASE!C:Q,8,false)</f>
        <v>IBU</v>
      </c>
      <c r="P5249" s="65">
        <f>VLOOKUP(E5249,DATABASE!C:Q,9,False)</f>
        <v>1</v>
      </c>
      <c r="Q5249" s="93" t="str">
        <f>VLOOKUP(E5249,DATABASE!C:Q,4,false)</f>
        <v>Bridgestone</v>
      </c>
      <c r="R5249" s="93" t="str">
        <f>VLOOKUP(E5249,DATABASE!C:Q,11,false)</f>
        <v>Tire</v>
      </c>
      <c r="U5249" s="9"/>
    </row>
    <row r="5250" ht="22.5" customHeight="1">
      <c r="A5250" s="49"/>
      <c r="C5250" s="661">
        <v>45964.0</v>
      </c>
      <c r="D5250" s="662">
        <v>7683.0</v>
      </c>
      <c r="E5250" s="663" t="s">
        <v>1486</v>
      </c>
      <c r="F5250" s="664">
        <v>2.0</v>
      </c>
      <c r="G5250" s="665">
        <v>970000.0</v>
      </c>
      <c r="H5250" s="74">
        <v>0.0</v>
      </c>
      <c r="I5250" s="74">
        <f t="shared" si="1"/>
        <v>1940000</v>
      </c>
      <c r="J5250" s="74">
        <f>IF(E5250="SERVICE",I5250-(I5250*50%),Vlookup(E5250,DATABASE!C:Q,10,false)*F5250)</f>
        <v>0</v>
      </c>
      <c r="K5250" s="74">
        <f>VLOOKUP(E5250,DATABASE!C:Q,7,false)</f>
        <v>888000</v>
      </c>
      <c r="L5250" s="74">
        <v>877000.0</v>
      </c>
      <c r="M5250" s="74">
        <f t="shared" si="2"/>
        <v>880000</v>
      </c>
      <c r="N5250" s="74">
        <f t="shared" si="3"/>
        <v>180000</v>
      </c>
      <c r="O5250" s="65" t="str">
        <f>VLOOKUP(E5250,DATABASE!C:Q,8,false)</f>
        <v>IBU</v>
      </c>
      <c r="P5250" s="65">
        <f>VLOOKUP(E5250,DATABASE!C:Q,9,False)</f>
        <v>1</v>
      </c>
      <c r="Q5250" s="93" t="str">
        <f>VLOOKUP(E5250,DATABASE!C:Q,4,false)</f>
        <v>Dunlop</v>
      </c>
      <c r="R5250" s="93" t="str">
        <f>VLOOKUP(E5250,DATABASE!C:Q,11,false)</f>
        <v>Tire</v>
      </c>
    </row>
    <row r="5251" ht="22.5" customHeight="1">
      <c r="A5251" s="49"/>
      <c r="C5251" s="666">
        <v>45964.0</v>
      </c>
      <c r="D5251" s="667">
        <v>7684.0</v>
      </c>
      <c r="E5251" s="668" t="s">
        <v>246</v>
      </c>
      <c r="F5251" s="664">
        <v>2.0</v>
      </c>
      <c r="G5251" s="669">
        <v>25000.0</v>
      </c>
      <c r="H5251" s="74">
        <v>0.0</v>
      </c>
      <c r="I5251" s="74">
        <f t="shared" si="1"/>
        <v>50000</v>
      </c>
      <c r="J5251" s="74">
        <f>IF(E5251="SERVICE",I5251-(I5251*50%),Vlookup(E5251,DATABASE!C:Q,10,false)*F5251)</f>
        <v>0</v>
      </c>
      <c r="K5251" s="74">
        <f>VLOOKUP(E5251,DATABASE!C:Q,7,false)</f>
        <v>0</v>
      </c>
      <c r="L5251" s="74">
        <v>0.0</v>
      </c>
      <c r="M5251" s="74">
        <f t="shared" si="2"/>
        <v>0</v>
      </c>
      <c r="N5251" s="74">
        <f t="shared" si="3"/>
        <v>50000</v>
      </c>
      <c r="O5251" s="65" t="str">
        <f>VLOOKUP(E5251,DATABASE!C:Q,8,false)</f>
        <v>IBU</v>
      </c>
      <c r="P5251" s="65">
        <f>VLOOKUP(E5251,DATABASE!C:Q,9,False)</f>
        <v>0</v>
      </c>
      <c r="Q5251" s="93" t="str">
        <f>VLOOKUP(E5251,DATABASE!C:Q,4,false)</f>
        <v>Bongkar Pasang</v>
      </c>
      <c r="R5251" s="93" t="str">
        <f>VLOOKUP(E5251,DATABASE!C:Q,11,false)</f>
        <v>SERVICE</v>
      </c>
    </row>
    <row r="5252" ht="22.5" customHeight="1">
      <c r="A5252" s="49"/>
      <c r="C5252" s="661">
        <v>45964.0</v>
      </c>
      <c r="D5252" s="662">
        <v>7684.0</v>
      </c>
      <c r="E5252" s="663" t="s">
        <v>2139</v>
      </c>
      <c r="F5252" s="664">
        <v>2.0</v>
      </c>
      <c r="G5252" s="665">
        <v>10000.0</v>
      </c>
      <c r="H5252" s="74">
        <v>0.0</v>
      </c>
      <c r="I5252" s="74">
        <f t="shared" si="1"/>
        <v>20000</v>
      </c>
      <c r="J5252" s="74">
        <f>IF(E5252="SERVICE",I5252-(I5252*50%),Vlookup(E5252,DATABASE!C:Q,10,false)*F5252)</f>
        <v>0</v>
      </c>
      <c r="K5252" s="74">
        <f>VLOOKUP(E5252,DATABASE!C:Q,7,false)</f>
        <v>0</v>
      </c>
      <c r="L5252" s="74">
        <v>0.0</v>
      </c>
      <c r="M5252" s="74">
        <f t="shared" si="2"/>
        <v>0</v>
      </c>
      <c r="N5252" s="74">
        <f t="shared" si="3"/>
        <v>20000</v>
      </c>
      <c r="O5252" s="65" t="str">
        <f>VLOOKUP(E5252,DATABASE!C:Q,8,false)</f>
        <v>IBU</v>
      </c>
      <c r="P5252" s="65">
        <f>VLOOKUP(E5252,DATABASE!C:Q,9,False)</f>
        <v>0</v>
      </c>
      <c r="Q5252" s="93" t="str">
        <f>VLOOKUP(E5252,DATABASE!C:Q,4,false)</f>
        <v>PENTIL</v>
      </c>
      <c r="R5252" s="93" t="str">
        <f>VLOOKUP(E5252,DATABASE!C:Q,11,false)</f>
        <v>COMPLEMENTARY</v>
      </c>
    </row>
    <row r="5253" ht="22.5" customHeight="1">
      <c r="A5253" s="49"/>
      <c r="C5253" s="666">
        <v>45964.0</v>
      </c>
      <c r="D5253" s="667">
        <v>7684.0</v>
      </c>
      <c r="E5253" s="671" t="s">
        <v>299</v>
      </c>
      <c r="F5253" s="664">
        <v>2.0</v>
      </c>
      <c r="G5253" s="669">
        <v>30000.0</v>
      </c>
      <c r="H5253" s="74">
        <v>0.0</v>
      </c>
      <c r="I5253" s="74">
        <f t="shared" si="1"/>
        <v>60000</v>
      </c>
      <c r="J5253" s="74">
        <f>IF(E5253="SERVICE",I5253-(I5253*50%),Vlookup(E5253,DATABASE!C:Q,10,false)*F5253)</f>
        <v>0</v>
      </c>
      <c r="K5253" s="74">
        <f>VLOOKUP(E5253,DATABASE!C:Q,7,false)</f>
        <v>10000</v>
      </c>
      <c r="L5253" s="74">
        <v>5000.0</v>
      </c>
      <c r="M5253" s="74">
        <f t="shared" si="2"/>
        <v>5000</v>
      </c>
      <c r="N5253" s="74">
        <f t="shared" si="3"/>
        <v>50000</v>
      </c>
      <c r="O5253" s="65" t="str">
        <f>VLOOKUP(E5253,DATABASE!C:Q,8,false)</f>
        <v>BIAN</v>
      </c>
      <c r="P5253" s="65">
        <f>VLOOKUP(E5253,DATABASE!C:Q,9,False)</f>
        <v>0</v>
      </c>
      <c r="Q5253" s="93" t="str">
        <f>VLOOKUP(E5253,DATABASE!C:Q,4,false)</f>
        <v>Balancing</v>
      </c>
      <c r="R5253" s="93" t="str">
        <f>VLOOKUP(E5253,DATABASE!C:Q,11,false)</f>
        <v>COMPLEMENTARY</v>
      </c>
    </row>
    <row r="5254" ht="22.5" customHeight="1">
      <c r="A5254" s="49"/>
      <c r="C5254" s="661">
        <v>45964.0</v>
      </c>
      <c r="D5254" s="662">
        <v>7684.0</v>
      </c>
      <c r="E5254" s="663" t="s">
        <v>256</v>
      </c>
      <c r="F5254" s="664">
        <v>1.0</v>
      </c>
      <c r="G5254" s="665">
        <v>130000.0</v>
      </c>
      <c r="H5254" s="74">
        <v>0.0</v>
      </c>
      <c r="I5254" s="74">
        <f t="shared" si="1"/>
        <v>130000</v>
      </c>
      <c r="J5254" s="74">
        <f>IF(E5254="SERVICE",I5254-(I5254*50%),Vlookup(E5254,DATABASE!C:Q,10,false)*F5254)</f>
        <v>10000</v>
      </c>
      <c r="K5254" s="74">
        <f>VLOOKUP(E5254,DATABASE!C:Q,7,false)</f>
        <v>0</v>
      </c>
      <c r="L5254" s="74">
        <v>0.0</v>
      </c>
      <c r="M5254" s="74">
        <f t="shared" si="2"/>
        <v>0</v>
      </c>
      <c r="N5254" s="74">
        <f t="shared" si="3"/>
        <v>120000</v>
      </c>
      <c r="O5254" s="65" t="str">
        <f>VLOOKUP(E5254,DATABASE!C:Q,8,false)</f>
        <v>IBU</v>
      </c>
      <c r="P5254" s="65">
        <f>VLOOKUP(E5254,DATABASE!C:Q,9,False)</f>
        <v>0</v>
      </c>
      <c r="Q5254" s="93" t="str">
        <f>VLOOKUP(E5254,DATABASE!C:Q,4,false)</f>
        <v>SPOORING</v>
      </c>
      <c r="R5254" s="93" t="str">
        <f>VLOOKUP(E5254,DATABASE!C:Q,11,false)</f>
        <v>SERVICE</v>
      </c>
    </row>
    <row r="5255" ht="22.5" customHeight="1">
      <c r="A5255" s="49"/>
      <c r="C5255" s="666">
        <v>45964.0</v>
      </c>
      <c r="D5255" s="667">
        <v>7685.0</v>
      </c>
      <c r="E5255" s="671" t="s">
        <v>299</v>
      </c>
      <c r="F5255" s="664">
        <v>2.0</v>
      </c>
      <c r="G5255" s="669">
        <v>30000.0</v>
      </c>
      <c r="H5255" s="74">
        <v>0.0</v>
      </c>
      <c r="I5255" s="74">
        <f t="shared" si="1"/>
        <v>60000</v>
      </c>
      <c r="J5255" s="74">
        <f>IF(E5255="SERVICE",I5255-(I5255*50%),Vlookup(E5255,DATABASE!C:Q,10,false)*F5255)</f>
        <v>0</v>
      </c>
      <c r="K5255" s="74">
        <f>VLOOKUP(E5255,DATABASE!C:Q,7,false)</f>
        <v>10000</v>
      </c>
      <c r="L5255" s="74">
        <v>5000.0</v>
      </c>
      <c r="M5255" s="74">
        <f t="shared" si="2"/>
        <v>5000</v>
      </c>
      <c r="N5255" s="74">
        <f t="shared" si="3"/>
        <v>50000</v>
      </c>
      <c r="O5255" s="65" t="str">
        <f>VLOOKUP(E5255,DATABASE!C:Q,8,false)</f>
        <v>BIAN</v>
      </c>
      <c r="P5255" s="65">
        <f>VLOOKUP(E5255,DATABASE!C:Q,9,False)</f>
        <v>0</v>
      </c>
      <c r="Q5255" s="93" t="str">
        <f>VLOOKUP(E5255,DATABASE!C:Q,4,false)</f>
        <v>Balancing</v>
      </c>
      <c r="R5255" s="93" t="str">
        <f>VLOOKUP(E5255,DATABASE!C:Q,11,false)</f>
        <v>COMPLEMENTARY</v>
      </c>
    </row>
    <row r="5256" ht="22.5" customHeight="1">
      <c r="A5256" s="49"/>
      <c r="C5256" s="661">
        <v>45964.0</v>
      </c>
      <c r="D5256" s="662">
        <v>7685.0</v>
      </c>
      <c r="E5256" s="663" t="s">
        <v>256</v>
      </c>
      <c r="F5256" s="664">
        <v>1.0</v>
      </c>
      <c r="G5256" s="665">
        <v>130000.0</v>
      </c>
      <c r="H5256" s="74">
        <v>0.0</v>
      </c>
      <c r="I5256" s="74">
        <f t="shared" si="1"/>
        <v>130000</v>
      </c>
      <c r="J5256" s="74">
        <f>IF(E5256="SERVICE",I5256-(I5256*50%),Vlookup(E5256,DATABASE!C:Q,10,false)*F5256)</f>
        <v>10000</v>
      </c>
      <c r="K5256" s="74">
        <f>VLOOKUP(E5256,DATABASE!C:Q,7,false)</f>
        <v>0</v>
      </c>
      <c r="L5256" s="74">
        <v>0.0</v>
      </c>
      <c r="M5256" s="74">
        <f t="shared" si="2"/>
        <v>0</v>
      </c>
      <c r="N5256" s="74">
        <f t="shared" si="3"/>
        <v>120000</v>
      </c>
      <c r="O5256" s="65" t="str">
        <f>VLOOKUP(E5256,DATABASE!C:Q,8,false)</f>
        <v>IBU</v>
      </c>
      <c r="P5256" s="65">
        <f>VLOOKUP(E5256,DATABASE!C:Q,9,False)</f>
        <v>0</v>
      </c>
      <c r="Q5256" s="93" t="str">
        <f>VLOOKUP(E5256,DATABASE!C:Q,4,false)</f>
        <v>SPOORING</v>
      </c>
      <c r="R5256" s="93" t="str">
        <f>VLOOKUP(E5256,DATABASE!C:Q,11,false)</f>
        <v>SERVICE</v>
      </c>
    </row>
    <row r="5257" ht="22.5" customHeight="1">
      <c r="A5257" s="49"/>
      <c r="C5257" s="666">
        <v>45964.0</v>
      </c>
      <c r="D5257" s="667">
        <v>7685.0</v>
      </c>
      <c r="E5257" s="668" t="s">
        <v>301</v>
      </c>
      <c r="F5257" s="664">
        <v>1.0</v>
      </c>
      <c r="G5257" s="669">
        <v>250000.0</v>
      </c>
      <c r="H5257" s="74">
        <v>0.0</v>
      </c>
      <c r="I5257" s="74">
        <f t="shared" si="1"/>
        <v>250000</v>
      </c>
      <c r="J5257" s="74">
        <f>IF(E5257="SERVICE",I5257-(I5257*50%),Vlookup(E5257,DATABASE!C:Q,10,false)*F5257)</f>
        <v>75000</v>
      </c>
      <c r="K5257" s="74">
        <f>VLOOKUP(E5257,DATABASE!C:Q,7,false)</f>
        <v>75000</v>
      </c>
      <c r="L5257" s="74">
        <v>75000.0</v>
      </c>
      <c r="M5257" s="74">
        <f t="shared" si="2"/>
        <v>75000</v>
      </c>
      <c r="N5257" s="74">
        <f t="shared" si="3"/>
        <v>100000</v>
      </c>
      <c r="O5257" s="65" t="str">
        <f>VLOOKUP(E5257,DATABASE!C:Q,8,false)</f>
        <v>BIAN</v>
      </c>
      <c r="P5257" s="65">
        <f>VLOOKUP(E5257,DATABASE!C:Q,9,False)</f>
        <v>0</v>
      </c>
      <c r="Q5257" s="93" t="str">
        <f>VLOOKUP(E5257,DATABASE!C:Q,4,false)</f>
        <v>Baut Camber</v>
      </c>
      <c r="R5257" s="93" t="str">
        <f>VLOOKUP(E5257,DATABASE!C:Q,11,false)</f>
        <v>COMPLEMENTARY</v>
      </c>
      <c r="U5257" s="9">
        <v>230000.0</v>
      </c>
    </row>
    <row r="5258" ht="22.5" customHeight="1">
      <c r="A5258" s="49"/>
      <c r="C5258" s="661">
        <v>45964.0</v>
      </c>
      <c r="D5258" s="662">
        <v>7686.0</v>
      </c>
      <c r="E5258" s="663" t="s">
        <v>744</v>
      </c>
      <c r="F5258" s="664">
        <v>1.0</v>
      </c>
      <c r="G5258" s="665">
        <v>230000.0</v>
      </c>
      <c r="H5258" s="74">
        <v>0.0</v>
      </c>
      <c r="I5258" s="74">
        <f t="shared" si="1"/>
        <v>230000</v>
      </c>
      <c r="J5258" s="74">
        <f>IF(E5258="SERVICE",I5258-(I5258*50%),Vlookup(E5258,DATABASE!C:Q,10,false)*F5258)</f>
        <v>0</v>
      </c>
      <c r="K5258" s="74">
        <f>VLOOKUP(E5258,DATABASE!C:Q,7,false)</f>
        <v>182200</v>
      </c>
      <c r="L5258" s="74">
        <v>199920.0</v>
      </c>
      <c r="M5258" s="74">
        <f t="shared" si="2"/>
        <v>200000</v>
      </c>
      <c r="N5258" s="74">
        <f t="shared" si="3"/>
        <v>30000</v>
      </c>
      <c r="O5258" s="65" t="str">
        <f>VLOOKUP(E5258,DATABASE!C:Q,8,false)</f>
        <v>BIAN</v>
      </c>
      <c r="P5258" s="65">
        <f>VLOOKUP(E5258,DATABASE!C:Q,9,False)</f>
        <v>1</v>
      </c>
      <c r="Q5258" s="93" t="str">
        <f>VLOOKUP(E5258,DATABASE!C:Q,4,false)</f>
        <v>BD</v>
      </c>
      <c r="R5258" s="93" t="str">
        <f>VLOOKUP(E5258,DATABASE!C:Q,11,false)</f>
        <v>Tire</v>
      </c>
    </row>
    <row r="5259" ht="22.5" customHeight="1">
      <c r="A5259" s="49"/>
      <c r="C5259" s="666">
        <v>45964.0</v>
      </c>
      <c r="D5259" s="667">
        <v>7687.0</v>
      </c>
      <c r="E5259" s="668" t="s">
        <v>256</v>
      </c>
      <c r="F5259" s="664">
        <v>1.0</v>
      </c>
      <c r="G5259" s="669">
        <v>130000.0</v>
      </c>
      <c r="H5259" s="74">
        <v>0.0</v>
      </c>
      <c r="I5259" s="74">
        <f t="shared" si="1"/>
        <v>130000</v>
      </c>
      <c r="J5259" s="74">
        <f>IF(E5259="SERVICE",I5259-(I5259*50%),Vlookup(E5259,DATABASE!C:Q,10,false)*F5259)</f>
        <v>10000</v>
      </c>
      <c r="K5259" s="74">
        <f>VLOOKUP(E5259,DATABASE!C:Q,7,false)</f>
        <v>0</v>
      </c>
      <c r="L5259" s="74">
        <v>0.0</v>
      </c>
      <c r="M5259" s="74">
        <f t="shared" si="2"/>
        <v>0</v>
      </c>
      <c r="N5259" s="74">
        <f t="shared" si="3"/>
        <v>120000</v>
      </c>
      <c r="O5259" s="65" t="str">
        <f>VLOOKUP(E5259,DATABASE!C:Q,8,false)</f>
        <v>IBU</v>
      </c>
      <c r="P5259" s="65">
        <f>VLOOKUP(E5259,DATABASE!C:Q,9,False)</f>
        <v>0</v>
      </c>
      <c r="Q5259" s="93" t="str">
        <f>VLOOKUP(E5259,DATABASE!C:Q,4,false)</f>
        <v>SPOORING</v>
      </c>
      <c r="R5259" s="93" t="str">
        <f>VLOOKUP(E5259,DATABASE!C:Q,11,false)</f>
        <v>SERVICE</v>
      </c>
    </row>
    <row r="5260" ht="22.5" customHeight="1">
      <c r="A5260" s="49"/>
      <c r="C5260" s="661">
        <v>45964.0</v>
      </c>
      <c r="D5260" s="662">
        <v>7687.0</v>
      </c>
      <c r="E5260" s="663" t="s">
        <v>301</v>
      </c>
      <c r="F5260" s="664">
        <v>1.0</v>
      </c>
      <c r="G5260" s="665">
        <v>250000.0</v>
      </c>
      <c r="H5260" s="74">
        <v>0.0</v>
      </c>
      <c r="I5260" s="74">
        <f t="shared" si="1"/>
        <v>250000</v>
      </c>
      <c r="J5260" s="74">
        <f>IF(E5260="SERVICE",I5260-(I5260*50%),Vlookup(E5260,DATABASE!C:Q,10,false)*F5260)</f>
        <v>75000</v>
      </c>
      <c r="K5260" s="74">
        <f>VLOOKUP(E5260,DATABASE!C:Q,7,false)</f>
        <v>75000</v>
      </c>
      <c r="L5260" s="74">
        <v>75000.0</v>
      </c>
      <c r="M5260" s="74">
        <f t="shared" si="2"/>
        <v>75000</v>
      </c>
      <c r="N5260" s="74">
        <f t="shared" si="3"/>
        <v>100000</v>
      </c>
      <c r="O5260" s="65" t="str">
        <f>VLOOKUP(E5260,DATABASE!C:Q,8,false)</f>
        <v>BIAN</v>
      </c>
      <c r="P5260" s="65">
        <f>VLOOKUP(E5260,DATABASE!C:Q,9,False)</f>
        <v>0</v>
      </c>
      <c r="Q5260" s="93" t="str">
        <f>VLOOKUP(E5260,DATABASE!C:Q,4,false)</f>
        <v>Baut Camber</v>
      </c>
      <c r="R5260" s="93" t="str">
        <f>VLOOKUP(E5260,DATABASE!C:Q,11,false)</f>
        <v>COMPLEMENTARY</v>
      </c>
      <c r="U5260" s="9"/>
    </row>
    <row r="5261" ht="22.5" customHeight="1">
      <c r="A5261" s="49"/>
      <c r="C5261" s="661">
        <v>45964.0</v>
      </c>
      <c r="D5261" s="662">
        <v>7688.0</v>
      </c>
      <c r="E5261" s="663" t="s">
        <v>1389</v>
      </c>
      <c r="F5261" s="664">
        <v>1.0</v>
      </c>
      <c r="G5261" s="665">
        <v>1000000.0</v>
      </c>
      <c r="H5261" s="74">
        <v>0.0</v>
      </c>
      <c r="I5261" s="74">
        <f t="shared" si="1"/>
        <v>1000000</v>
      </c>
      <c r="J5261" s="74">
        <f>IF(E5261="SERVICE",I5261-(I5261*50%),Vlookup(E5261,DATABASE!C:Q,10,false)*F5261)</f>
        <v>0</v>
      </c>
      <c r="K5261" s="74">
        <f>VLOOKUP(E5261,DATABASE!C:Q,7,false)</f>
        <v>908000</v>
      </c>
      <c r="L5261" s="74">
        <v>897000.0</v>
      </c>
      <c r="M5261" s="74">
        <f t="shared" si="2"/>
        <v>900000</v>
      </c>
      <c r="N5261" s="74">
        <f t="shared" si="3"/>
        <v>100000</v>
      </c>
      <c r="O5261" s="65" t="str">
        <f>VLOOKUP(E5261,DATABASE!C:Q,8,false)</f>
        <v>IBU</v>
      </c>
      <c r="P5261" s="65">
        <f>VLOOKUP(E5261,DATABASE!C:Q,9,False)</f>
        <v>1</v>
      </c>
      <c r="Q5261" s="93" t="str">
        <f>VLOOKUP(E5261,DATABASE!C:Q,4,false)</f>
        <v>Dunlop</v>
      </c>
      <c r="R5261" s="93" t="str">
        <f>VLOOKUP(E5261,DATABASE!C:Q,11,false)</f>
        <v>Tire</v>
      </c>
      <c r="U5261" s="9"/>
    </row>
    <row r="5262" ht="22.5" customHeight="1">
      <c r="A5262" s="49"/>
      <c r="C5262" s="666">
        <v>45964.0</v>
      </c>
      <c r="D5262" s="667">
        <v>7689.0</v>
      </c>
      <c r="E5262" s="668" t="s">
        <v>897</v>
      </c>
      <c r="F5262" s="664">
        <v>1.0</v>
      </c>
      <c r="G5262" s="669">
        <v>1600000.0</v>
      </c>
      <c r="H5262" s="74">
        <v>0.0</v>
      </c>
      <c r="I5262" s="74">
        <f t="shared" si="1"/>
        <v>1600000</v>
      </c>
      <c r="J5262" s="74">
        <f>IF(E5262="SERVICE",I5262-(I5262*50%),Vlookup(E5262,DATABASE!C:Q,10,false)*F5262)</f>
        <v>0</v>
      </c>
      <c r="K5262" s="74">
        <f>VLOOKUP(E5262,DATABASE!C:Q,7,false)</f>
        <v>1560000</v>
      </c>
      <c r="L5262" s="74">
        <v>1500000.0</v>
      </c>
      <c r="M5262" s="74">
        <f t="shared" si="2"/>
        <v>1500000</v>
      </c>
      <c r="N5262" s="74">
        <f t="shared" si="3"/>
        <v>100000</v>
      </c>
      <c r="O5262" s="65" t="str">
        <f>VLOOKUP(E5262,DATABASE!C:Q,8,false)</f>
        <v>BIAN</v>
      </c>
      <c r="P5262" s="65">
        <f>VLOOKUP(E5262,DATABASE!C:Q,9,False)</f>
        <v>1</v>
      </c>
      <c r="Q5262" s="93" t="str">
        <f>VLOOKUP(E5262,DATABASE!C:Q,4,false)</f>
        <v>GT</v>
      </c>
      <c r="R5262" s="93" t="str">
        <f>VLOOKUP(E5262,DATABASE!C:Q,11,false)</f>
        <v>Tire</v>
      </c>
      <c r="U5262" s="9">
        <v>1600000.0</v>
      </c>
    </row>
    <row r="5263" ht="22.5" customHeight="1">
      <c r="A5263" s="49"/>
      <c r="C5263" s="661">
        <v>45964.0</v>
      </c>
      <c r="D5263" s="662">
        <v>7690.0</v>
      </c>
      <c r="E5263" s="663" t="s">
        <v>821</v>
      </c>
      <c r="F5263" s="664">
        <v>1.0</v>
      </c>
      <c r="G5263" s="665">
        <v>85000.0</v>
      </c>
      <c r="H5263" s="74">
        <v>0.0</v>
      </c>
      <c r="I5263" s="74">
        <f t="shared" si="1"/>
        <v>85000</v>
      </c>
      <c r="J5263" s="74">
        <f>IF(E5263="SERVICE",I5263-(I5263*50%),Vlookup(E5263,DATABASE!C:Q,10,false)*F5263)</f>
        <v>0</v>
      </c>
      <c r="K5263" s="74">
        <f>VLOOKUP(E5263,DATABASE!C:Q,7,false)</f>
        <v>43500</v>
      </c>
      <c r="L5263" s="74">
        <v>43520.0</v>
      </c>
      <c r="M5263" s="74">
        <f t="shared" si="2"/>
        <v>45000</v>
      </c>
      <c r="N5263" s="74">
        <f t="shared" si="3"/>
        <v>40000</v>
      </c>
      <c r="O5263" s="65" t="str">
        <f>VLOOKUP(E5263,DATABASE!C:Q,8,false)</f>
        <v>BIAN</v>
      </c>
      <c r="P5263" s="65">
        <f>VLOOKUP(E5263,DATABASE!C:Q,9,False)</f>
        <v>1</v>
      </c>
      <c r="Q5263" s="93" t="str">
        <f>VLOOKUP(E5263,DATABASE!C:Q,4,false)</f>
        <v>Flap</v>
      </c>
      <c r="R5263" s="93" t="str">
        <f>VLOOKUP(E5263,DATABASE!C:Q,11,false)</f>
        <v>Tire</v>
      </c>
      <c r="U5263" s="9">
        <v>85000.0</v>
      </c>
    </row>
    <row r="5264" ht="22.5" customHeight="1">
      <c r="A5264" s="49"/>
      <c r="C5264" s="666">
        <v>45964.0</v>
      </c>
      <c r="D5264" s="667">
        <v>7691.0</v>
      </c>
      <c r="E5264" s="668" t="s">
        <v>275</v>
      </c>
      <c r="F5264" s="664">
        <v>1.0</v>
      </c>
      <c r="G5264" s="669">
        <v>830000.0</v>
      </c>
      <c r="H5264" s="74">
        <v>0.0</v>
      </c>
      <c r="I5264" s="74">
        <f t="shared" si="1"/>
        <v>830000</v>
      </c>
      <c r="J5264" s="74">
        <f>IF(E5264="SERVICE",I5264-(I5264*50%),Vlookup(E5264,DATABASE!C:Q,10,false)*F5264)</f>
        <v>0</v>
      </c>
      <c r="K5264" s="74">
        <f>VLOOKUP(E5264,DATABASE!C:Q,7,false)</f>
        <v>782000</v>
      </c>
      <c r="L5264" s="74">
        <v>745000.0</v>
      </c>
      <c r="M5264" s="74">
        <f t="shared" si="2"/>
        <v>745000</v>
      </c>
      <c r="N5264" s="74">
        <f t="shared" si="3"/>
        <v>85000</v>
      </c>
      <c r="O5264" s="65" t="str">
        <f>VLOOKUP(E5264,DATABASE!C:Q,8,false)</f>
        <v>IBU</v>
      </c>
      <c r="P5264" s="65">
        <f>VLOOKUP(E5264,DATABASE!C:Q,9,False)</f>
        <v>1</v>
      </c>
      <c r="Q5264" s="93" t="str">
        <f>VLOOKUP(E5264,DATABASE!C:Q,4,false)</f>
        <v>Dunlop</v>
      </c>
      <c r="R5264" s="93" t="str">
        <f>VLOOKUP(E5264,DATABASE!C:Q,11,false)</f>
        <v>Tire</v>
      </c>
      <c r="U5264" s="9"/>
    </row>
    <row r="5265" ht="22.5" customHeight="1">
      <c r="A5265" s="49"/>
      <c r="C5265" s="661">
        <v>45964.0</v>
      </c>
      <c r="D5265" s="662">
        <v>7692.0</v>
      </c>
      <c r="E5265" s="663" t="s">
        <v>1009</v>
      </c>
      <c r="F5265" s="664">
        <v>2.0</v>
      </c>
      <c r="G5265" s="665">
        <v>700000.0</v>
      </c>
      <c r="H5265" s="74">
        <v>0.0</v>
      </c>
      <c r="I5265" s="74">
        <f t="shared" si="1"/>
        <v>1400000</v>
      </c>
      <c r="J5265" s="74">
        <f>IF(E5265="SERVICE",I5265-(I5265*50%),Vlookup(E5265,DATABASE!C:Q,10,false)*F5265)</f>
        <v>0</v>
      </c>
      <c r="K5265" s="74">
        <f>VLOOKUP(E5265,DATABASE!C:Q,7,false)</f>
        <v>609800</v>
      </c>
      <c r="L5265" s="74">
        <v>592200.0</v>
      </c>
      <c r="M5265" s="74">
        <f t="shared" si="2"/>
        <v>595000</v>
      </c>
      <c r="N5265" s="74">
        <f t="shared" si="3"/>
        <v>210000</v>
      </c>
      <c r="O5265" s="65" t="str">
        <f>VLOOKUP(E5265,DATABASE!C:Q,8,false)</f>
        <v>BIAN</v>
      </c>
      <c r="P5265" s="65">
        <f>VLOOKUP(E5265,DATABASE!C:Q,9,False)</f>
        <v>1</v>
      </c>
      <c r="Q5265" s="93" t="str">
        <f>VLOOKUP(E5265,DATABASE!C:Q,4,false)</f>
        <v>GT</v>
      </c>
      <c r="R5265" s="93" t="str">
        <f>VLOOKUP(E5265,DATABASE!C:Q,11,false)</f>
        <v>Tire</v>
      </c>
      <c r="U5265" s="9">
        <v>1400000.0</v>
      </c>
    </row>
    <row r="5266" ht="22.5" customHeight="1">
      <c r="A5266" s="49"/>
      <c r="C5266" s="666">
        <v>45964.0</v>
      </c>
      <c r="D5266" s="667">
        <v>7693.0</v>
      </c>
      <c r="E5266" s="668" t="s">
        <v>262</v>
      </c>
      <c r="F5266" s="664">
        <v>1.0</v>
      </c>
      <c r="G5266" s="669">
        <v>110000.0</v>
      </c>
      <c r="H5266" s="74">
        <v>0.0</v>
      </c>
      <c r="I5266" s="74">
        <f t="shared" si="1"/>
        <v>110000</v>
      </c>
      <c r="J5266" s="74">
        <f>IF(E5266="SERVICE",I5266-(I5266*50%),Vlookup(E5266,DATABASE!C:Q,10,false)*F5266)</f>
        <v>5000</v>
      </c>
      <c r="K5266" s="74">
        <f>VLOOKUP(E5266,DATABASE!C:Q,7,false)</f>
        <v>0</v>
      </c>
      <c r="L5266" s="74">
        <v>0.0</v>
      </c>
      <c r="M5266" s="74">
        <f t="shared" si="2"/>
        <v>0</v>
      </c>
      <c r="N5266" s="74">
        <f t="shared" si="3"/>
        <v>105000</v>
      </c>
      <c r="O5266" s="65" t="str">
        <f>VLOOKUP(E5266,DATABASE!C:Q,8,false)</f>
        <v>IBU</v>
      </c>
      <c r="P5266" s="65">
        <f>VLOOKUP(E5266,DATABASE!C:Q,9,False)</f>
        <v>0</v>
      </c>
      <c r="Q5266" s="93" t="str">
        <f>VLOOKUP(E5266,DATABASE!C:Q,4,false)</f>
        <v>SPOORING SS/CARRY LOS BAK</v>
      </c>
      <c r="R5266" s="93" t="str">
        <f>VLOOKUP(E5266,DATABASE!C:Q,11,false)</f>
        <v>SERVICE</v>
      </c>
    </row>
    <row r="5267" ht="22.5" customHeight="1">
      <c r="A5267" s="49"/>
      <c r="C5267" s="661">
        <v>45964.0</v>
      </c>
      <c r="D5267" s="662">
        <v>7693.0</v>
      </c>
      <c r="E5267" s="663" t="s">
        <v>478</v>
      </c>
      <c r="F5267" s="664">
        <v>1.0</v>
      </c>
      <c r="G5267" s="665">
        <v>200000.0</v>
      </c>
      <c r="H5267" s="74">
        <v>0.0</v>
      </c>
      <c r="I5267" s="74">
        <f t="shared" si="1"/>
        <v>200000</v>
      </c>
      <c r="J5267" s="74">
        <f>IF(E5267="SERVICE",I5267-(I5267*50%),Vlookup(E5267,DATABASE!C:Q,10,false)*F5267)</f>
        <v>25000</v>
      </c>
      <c r="K5267" s="74">
        <f>VLOOKUP(E5267,DATABASE!C:Q,7,false)</f>
        <v>75000</v>
      </c>
      <c r="L5267" s="74">
        <v>75000.0</v>
      </c>
      <c r="M5267" s="74">
        <f t="shared" si="2"/>
        <v>75000</v>
      </c>
      <c r="N5267" s="74">
        <f t="shared" si="3"/>
        <v>100000</v>
      </c>
      <c r="O5267" s="65" t="str">
        <f>VLOOKUP(E5267,DATABASE!C:Q,8,false)</f>
        <v>BIAN</v>
      </c>
      <c r="P5267" s="65">
        <f>VLOOKUP(E5267,DATABASE!C:Q,9,False)</f>
        <v>0</v>
      </c>
      <c r="Q5267" s="93" t="str">
        <f>VLOOKUP(E5267,DATABASE!C:Q,4,false)</f>
        <v>Baut Camber ss-carry</v>
      </c>
      <c r="R5267" s="93" t="str">
        <f>VLOOKUP(E5267,DATABASE!C:Q,11,false)</f>
        <v>COMPLEMENTARY</v>
      </c>
    </row>
    <row r="5268" ht="22.5" customHeight="1">
      <c r="A5268" s="49"/>
      <c r="C5268" s="666">
        <v>45964.0</v>
      </c>
      <c r="D5268" s="667">
        <v>7694.0</v>
      </c>
      <c r="E5268" s="668" t="s">
        <v>246</v>
      </c>
      <c r="F5268" s="664">
        <v>2.0</v>
      </c>
      <c r="G5268" s="669">
        <v>25000.0</v>
      </c>
      <c r="H5268" s="74">
        <v>0.0</v>
      </c>
      <c r="I5268" s="74">
        <f t="shared" si="1"/>
        <v>50000</v>
      </c>
      <c r="J5268" s="74">
        <f>IF(E5268="SERVICE",I5268-(I5268*50%),Vlookup(E5268,DATABASE!C:Q,10,false)*F5268)</f>
        <v>0</v>
      </c>
      <c r="K5268" s="74">
        <f>VLOOKUP(E5268,DATABASE!C:Q,7,false)</f>
        <v>0</v>
      </c>
      <c r="L5268" s="74">
        <v>0.0</v>
      </c>
      <c r="M5268" s="74">
        <f t="shared" si="2"/>
        <v>0</v>
      </c>
      <c r="N5268" s="74">
        <f t="shared" si="3"/>
        <v>50000</v>
      </c>
      <c r="O5268" s="65" t="str">
        <f>VLOOKUP(E5268,DATABASE!C:Q,8,false)</f>
        <v>IBU</v>
      </c>
      <c r="P5268" s="65">
        <f>VLOOKUP(E5268,DATABASE!C:Q,9,False)</f>
        <v>0</v>
      </c>
      <c r="Q5268" s="93" t="str">
        <f>VLOOKUP(E5268,DATABASE!C:Q,4,false)</f>
        <v>Bongkar Pasang</v>
      </c>
      <c r="R5268" s="93" t="str">
        <f>VLOOKUP(E5268,DATABASE!C:Q,11,false)</f>
        <v>SERVICE</v>
      </c>
    </row>
    <row r="5269" ht="22.5" customHeight="1">
      <c r="A5269" s="49"/>
      <c r="C5269" s="661">
        <v>45965.0</v>
      </c>
      <c r="D5269" s="662">
        <v>7695.0</v>
      </c>
      <c r="E5269" s="663" t="s">
        <v>294</v>
      </c>
      <c r="F5269" s="664">
        <v>1.0</v>
      </c>
      <c r="G5269" s="665">
        <v>570000.0</v>
      </c>
      <c r="H5269" s="74">
        <v>0.0</v>
      </c>
      <c r="I5269" s="74">
        <f t="shared" si="1"/>
        <v>570000</v>
      </c>
      <c r="J5269" s="74">
        <f>IF(E5269="SERVICE",I5269-(I5269*50%),Vlookup(E5269,DATABASE!C:Q,10,false)*F5269)</f>
        <v>0</v>
      </c>
      <c r="K5269" s="74">
        <f>VLOOKUP(E5269,DATABASE!C:Q,7,false)</f>
        <v>505000</v>
      </c>
      <c r="L5269" s="74">
        <v>490000.0</v>
      </c>
      <c r="M5269" s="74">
        <f t="shared" si="2"/>
        <v>490000</v>
      </c>
      <c r="N5269" s="74">
        <f t="shared" si="3"/>
        <v>80000</v>
      </c>
      <c r="O5269" s="65" t="str">
        <f>VLOOKUP(E5269,DATABASE!C:Q,8,false)</f>
        <v>BIAN</v>
      </c>
      <c r="P5269" s="65">
        <f>VLOOKUP(E5269,DATABASE!C:Q,9,False)</f>
        <v>1</v>
      </c>
      <c r="Q5269" s="93" t="str">
        <f>VLOOKUP(E5269,DATABASE!C:Q,4,false)</f>
        <v>GT</v>
      </c>
      <c r="R5269" s="93" t="str">
        <f>VLOOKUP(E5269,DATABASE!C:Q,11,false)</f>
        <v>Tire</v>
      </c>
      <c r="U5269" s="9">
        <v>570000.0</v>
      </c>
    </row>
    <row r="5270" ht="22.5" customHeight="1">
      <c r="A5270" s="49"/>
      <c r="C5270" s="666">
        <v>45965.0</v>
      </c>
      <c r="D5270" s="667">
        <v>7695.0</v>
      </c>
      <c r="E5270" s="668" t="s">
        <v>569</v>
      </c>
      <c r="F5270" s="664">
        <v>1.0</v>
      </c>
      <c r="G5270" s="669">
        <v>80000.0</v>
      </c>
      <c r="H5270" s="74">
        <v>0.0</v>
      </c>
      <c r="I5270" s="74">
        <f t="shared" si="1"/>
        <v>80000</v>
      </c>
      <c r="J5270" s="74">
        <f>IF(E5270="SERVICE",I5270-(I5270*50%),Vlookup(E5270,DATABASE!C:Q,10,false)*F5270)</f>
        <v>0</v>
      </c>
      <c r="K5270" s="74">
        <f>VLOOKUP(E5270,DATABASE!C:Q,7,false)</f>
        <v>45439.582</v>
      </c>
      <c r="L5270" s="74">
        <v>45309.6</v>
      </c>
      <c r="M5270" s="74">
        <f t="shared" si="2"/>
        <v>50000</v>
      </c>
      <c r="N5270" s="74">
        <f t="shared" si="3"/>
        <v>30000</v>
      </c>
      <c r="O5270" s="65" t="str">
        <f>VLOOKUP(E5270,DATABASE!C:Q,8,false)</f>
        <v>BIAN</v>
      </c>
      <c r="P5270" s="65">
        <f>VLOOKUP(E5270,DATABASE!C:Q,9,False)</f>
        <v>1</v>
      </c>
      <c r="Q5270" s="93" t="str">
        <f>VLOOKUP(E5270,DATABASE!C:Q,4,false)</f>
        <v>BD</v>
      </c>
      <c r="R5270" s="93" t="str">
        <f>VLOOKUP(E5270,DATABASE!C:Q,11,false)</f>
        <v>Tire</v>
      </c>
      <c r="U5270" s="9">
        <v>80000.0</v>
      </c>
    </row>
    <row r="5271" ht="22.5" customHeight="1">
      <c r="A5271" s="49"/>
      <c r="C5271" s="661">
        <v>45965.0</v>
      </c>
      <c r="D5271" s="662">
        <v>7696.0</v>
      </c>
      <c r="E5271" s="663" t="s">
        <v>1424</v>
      </c>
      <c r="F5271" s="664">
        <v>1.0</v>
      </c>
      <c r="G5271" s="665">
        <v>780000.0</v>
      </c>
      <c r="H5271" s="74">
        <v>0.0</v>
      </c>
      <c r="I5271" s="74">
        <f t="shared" si="1"/>
        <v>780000</v>
      </c>
      <c r="J5271" s="74">
        <f>IF(E5271="SERVICE",I5271-(I5271*50%),Vlookup(E5271,DATABASE!C:Q,10,false)*F5271)</f>
        <v>0</v>
      </c>
      <c r="K5271" s="74">
        <f>VLOOKUP(E5271,DATABASE!C:Q,7,false)</f>
        <v>671600</v>
      </c>
      <c r="L5271" s="74">
        <v>671600.0</v>
      </c>
      <c r="M5271" s="74">
        <f t="shared" si="2"/>
        <v>675000</v>
      </c>
      <c r="N5271" s="74">
        <f t="shared" si="3"/>
        <v>105000</v>
      </c>
      <c r="O5271" s="65" t="str">
        <f>VLOOKUP(E5271,DATABASE!C:Q,8,false)</f>
        <v>BIAN</v>
      </c>
      <c r="P5271" s="65">
        <f>VLOOKUP(E5271,DATABASE!C:Q,9,False)</f>
        <v>1</v>
      </c>
      <c r="Q5271" s="93" t="str">
        <f>VLOOKUP(E5271,DATABASE!C:Q,4,false)</f>
        <v>GT</v>
      </c>
      <c r="R5271" s="93" t="str">
        <f>VLOOKUP(E5271,DATABASE!C:Q,11,false)</f>
        <v>Tire</v>
      </c>
      <c r="U5271" s="9">
        <v>780000.0</v>
      </c>
    </row>
    <row r="5272" ht="22.5" customHeight="1">
      <c r="A5272" s="49"/>
      <c r="C5272" s="666">
        <v>45965.0</v>
      </c>
      <c r="D5272" s="667">
        <v>7697.0</v>
      </c>
      <c r="E5272" s="668" t="s">
        <v>600</v>
      </c>
      <c r="F5272" s="664">
        <v>1.0</v>
      </c>
      <c r="G5272" s="669">
        <v>675000.0</v>
      </c>
      <c r="H5272" s="74">
        <v>0.0</v>
      </c>
      <c r="I5272" s="74">
        <f t="shared" si="1"/>
        <v>675000</v>
      </c>
      <c r="J5272" s="74">
        <f>IF(E5272="SERVICE",I5272-(I5272*50%),Vlookup(E5272,DATABASE!C:Q,10,false)*F5272)</f>
        <v>0</v>
      </c>
      <c r="K5272" s="74">
        <f>VLOOKUP(E5272,DATABASE!C:Q,7,false)</f>
        <v>611109.16</v>
      </c>
      <c r="L5272" s="74">
        <v>572762.4</v>
      </c>
      <c r="M5272" s="74">
        <f t="shared" si="2"/>
        <v>575000</v>
      </c>
      <c r="N5272" s="74">
        <f t="shared" si="3"/>
        <v>100000</v>
      </c>
      <c r="O5272" s="65" t="str">
        <f>VLOOKUP(E5272,DATABASE!C:Q,8,false)</f>
        <v>IBU</v>
      </c>
      <c r="P5272" s="65">
        <f>VLOOKUP(E5272,DATABASE!C:Q,9,False)</f>
        <v>1</v>
      </c>
      <c r="Q5272" s="93" t="str">
        <f>VLOOKUP(E5272,DATABASE!C:Q,4,false)</f>
        <v>Bridgestone</v>
      </c>
      <c r="R5272" s="93" t="str">
        <f>VLOOKUP(E5272,DATABASE!C:Q,11,false)</f>
        <v>Tire</v>
      </c>
      <c r="U5272" s="9"/>
    </row>
    <row r="5273" ht="22.5" customHeight="1">
      <c r="A5273" s="49"/>
      <c r="C5273" s="661">
        <v>45965.0</v>
      </c>
      <c r="D5273" s="662">
        <v>7698.0</v>
      </c>
      <c r="E5273" s="663" t="s">
        <v>271</v>
      </c>
      <c r="F5273" s="664">
        <v>2.0</v>
      </c>
      <c r="G5273" s="665">
        <v>630000.0</v>
      </c>
      <c r="H5273" s="74">
        <v>0.0</v>
      </c>
      <c r="I5273" s="74">
        <f t="shared" si="1"/>
        <v>1260000</v>
      </c>
      <c r="J5273" s="74">
        <f>IF(E5273="SERVICE",I5273-(I5273*50%),Vlookup(E5273,DATABASE!C:Q,10,false)*F5273)</f>
        <v>0</v>
      </c>
      <c r="K5273" s="74">
        <f>VLOOKUP(E5273,DATABASE!C:Q,7,false)</f>
        <v>570000</v>
      </c>
      <c r="L5273" s="74">
        <v>539000.0</v>
      </c>
      <c r="M5273" s="74">
        <f t="shared" si="2"/>
        <v>540000</v>
      </c>
      <c r="N5273" s="74">
        <f t="shared" si="3"/>
        <v>180000</v>
      </c>
      <c r="O5273" s="65" t="str">
        <f>VLOOKUP(E5273,DATABASE!C:Q,8,false)</f>
        <v>IBU</v>
      </c>
      <c r="P5273" s="65">
        <f>VLOOKUP(E5273,DATABASE!C:Q,9,False)</f>
        <v>1</v>
      </c>
      <c r="Q5273" s="93" t="str">
        <f>VLOOKUP(E5273,DATABASE!C:Q,4,false)</f>
        <v>Dunlop</v>
      </c>
      <c r="R5273" s="93" t="str">
        <f>VLOOKUP(E5273,DATABASE!C:Q,11,false)</f>
        <v>Tire</v>
      </c>
      <c r="U5273" s="9"/>
    </row>
    <row r="5274" ht="22.5" customHeight="1">
      <c r="A5274" s="49"/>
      <c r="C5274" s="666">
        <v>45965.0</v>
      </c>
      <c r="D5274" s="667">
        <v>7699.0</v>
      </c>
      <c r="E5274" s="668" t="s">
        <v>591</v>
      </c>
      <c r="F5274" s="664">
        <v>2.0</v>
      </c>
      <c r="G5274" s="669">
        <v>700000.0</v>
      </c>
      <c r="H5274" s="74">
        <v>0.0</v>
      </c>
      <c r="I5274" s="74">
        <f t="shared" si="1"/>
        <v>1400000</v>
      </c>
      <c r="J5274" s="74">
        <f>IF(E5274="SERVICE",I5274-(I5274*50%),Vlookup(E5274,DATABASE!C:Q,10,false)*F5274)</f>
        <v>0</v>
      </c>
      <c r="K5274" s="74">
        <f>VLOOKUP(E5274,DATABASE!C:Q,7,false)</f>
        <v>633035.16</v>
      </c>
      <c r="L5274" s="74">
        <v>593488.4</v>
      </c>
      <c r="M5274" s="74">
        <f t="shared" si="2"/>
        <v>595000</v>
      </c>
      <c r="N5274" s="74">
        <f t="shared" si="3"/>
        <v>210000</v>
      </c>
      <c r="O5274" s="65" t="str">
        <f>VLOOKUP(E5274,DATABASE!C:Q,8,false)</f>
        <v>IBU</v>
      </c>
      <c r="P5274" s="65">
        <f>VLOOKUP(E5274,DATABASE!C:Q,9,False)</f>
        <v>1</v>
      </c>
      <c r="Q5274" s="93" t="str">
        <f>VLOOKUP(E5274,DATABASE!C:Q,4,false)</f>
        <v>Bridgestone</v>
      </c>
      <c r="R5274" s="93" t="str">
        <f>VLOOKUP(E5274,DATABASE!C:Q,11,false)</f>
        <v>Tire</v>
      </c>
      <c r="U5274" s="9"/>
    </row>
    <row r="5275" ht="22.5" customHeight="1">
      <c r="A5275" s="49"/>
      <c r="C5275" s="661">
        <v>45965.0</v>
      </c>
      <c r="D5275" s="662">
        <v>7699.0</v>
      </c>
      <c r="E5275" s="671" t="s">
        <v>299</v>
      </c>
      <c r="F5275" s="664">
        <v>2.0</v>
      </c>
      <c r="G5275" s="665">
        <v>30000.0</v>
      </c>
      <c r="H5275" s="74">
        <v>0.0</v>
      </c>
      <c r="I5275" s="74">
        <f t="shared" si="1"/>
        <v>60000</v>
      </c>
      <c r="J5275" s="74">
        <f>IF(E5275="SERVICE",I5275-(I5275*50%),Vlookup(E5275,DATABASE!C:Q,10,false)*F5275)</f>
        <v>0</v>
      </c>
      <c r="K5275" s="74">
        <f>VLOOKUP(E5275,DATABASE!C:Q,7,false)</f>
        <v>10000</v>
      </c>
      <c r="L5275" s="74">
        <v>5000.0</v>
      </c>
      <c r="M5275" s="74">
        <f t="shared" si="2"/>
        <v>5000</v>
      </c>
      <c r="N5275" s="74">
        <f t="shared" si="3"/>
        <v>50000</v>
      </c>
      <c r="O5275" s="65" t="str">
        <f>VLOOKUP(E5275,DATABASE!C:Q,8,false)</f>
        <v>BIAN</v>
      </c>
      <c r="P5275" s="65">
        <f>VLOOKUP(E5275,DATABASE!C:Q,9,False)</f>
        <v>0</v>
      </c>
      <c r="Q5275" s="93" t="str">
        <f>VLOOKUP(E5275,DATABASE!C:Q,4,false)</f>
        <v>Balancing</v>
      </c>
      <c r="R5275" s="93" t="str">
        <f>VLOOKUP(E5275,DATABASE!C:Q,11,false)</f>
        <v>COMPLEMENTARY</v>
      </c>
    </row>
    <row r="5276" ht="22.5" customHeight="1">
      <c r="A5276" s="49"/>
      <c r="C5276" s="666">
        <v>45965.0</v>
      </c>
      <c r="D5276" s="667">
        <v>7699.0</v>
      </c>
      <c r="E5276" s="668" t="s">
        <v>256</v>
      </c>
      <c r="F5276" s="664">
        <v>1.0</v>
      </c>
      <c r="G5276" s="669">
        <v>130000.0</v>
      </c>
      <c r="H5276" s="74">
        <v>0.0</v>
      </c>
      <c r="I5276" s="74">
        <f t="shared" si="1"/>
        <v>130000</v>
      </c>
      <c r="J5276" s="74">
        <f>IF(E5276="SERVICE",I5276-(I5276*50%),Vlookup(E5276,DATABASE!C:Q,10,false)*F5276)</f>
        <v>10000</v>
      </c>
      <c r="K5276" s="74">
        <f>VLOOKUP(E5276,DATABASE!C:Q,7,false)</f>
        <v>0</v>
      </c>
      <c r="L5276" s="74">
        <v>0.0</v>
      </c>
      <c r="M5276" s="74">
        <f t="shared" si="2"/>
        <v>0</v>
      </c>
      <c r="N5276" s="74">
        <f t="shared" si="3"/>
        <v>120000</v>
      </c>
      <c r="O5276" s="65" t="str">
        <f>VLOOKUP(E5276,DATABASE!C:Q,8,false)</f>
        <v>IBU</v>
      </c>
      <c r="P5276" s="65">
        <f>VLOOKUP(E5276,DATABASE!C:Q,9,False)</f>
        <v>0</v>
      </c>
      <c r="Q5276" s="93" t="str">
        <f>VLOOKUP(E5276,DATABASE!C:Q,4,false)</f>
        <v>SPOORING</v>
      </c>
      <c r="R5276" s="93" t="str">
        <f>VLOOKUP(E5276,DATABASE!C:Q,11,false)</f>
        <v>SERVICE</v>
      </c>
    </row>
    <row r="5277" ht="22.5" customHeight="1">
      <c r="A5277" s="49"/>
      <c r="C5277" s="661">
        <v>45965.0</v>
      </c>
      <c r="D5277" s="662">
        <v>7699.0</v>
      </c>
      <c r="E5277" s="663" t="s">
        <v>301</v>
      </c>
      <c r="F5277" s="664">
        <v>1.0</v>
      </c>
      <c r="G5277" s="665">
        <v>250000.0</v>
      </c>
      <c r="H5277" s="74">
        <v>0.0</v>
      </c>
      <c r="I5277" s="74">
        <f t="shared" si="1"/>
        <v>250000</v>
      </c>
      <c r="J5277" s="74">
        <f>IF(E5277="SERVICE",I5277-(I5277*50%),Vlookup(E5277,DATABASE!C:Q,10,false)*F5277)</f>
        <v>75000</v>
      </c>
      <c r="K5277" s="74">
        <f>VLOOKUP(E5277,DATABASE!C:Q,7,false)</f>
        <v>75000</v>
      </c>
      <c r="L5277" s="74">
        <v>75000.0</v>
      </c>
      <c r="M5277" s="74">
        <f t="shared" si="2"/>
        <v>75000</v>
      </c>
      <c r="N5277" s="74">
        <f t="shared" si="3"/>
        <v>100000</v>
      </c>
      <c r="O5277" s="65" t="str">
        <f>VLOOKUP(E5277,DATABASE!C:Q,8,false)</f>
        <v>BIAN</v>
      </c>
      <c r="P5277" s="65">
        <f>VLOOKUP(E5277,DATABASE!C:Q,9,False)</f>
        <v>0</v>
      </c>
      <c r="Q5277" s="93" t="str">
        <f>VLOOKUP(E5277,DATABASE!C:Q,4,false)</f>
        <v>Baut Camber</v>
      </c>
      <c r="R5277" s="93" t="str">
        <f>VLOOKUP(E5277,DATABASE!C:Q,11,false)</f>
        <v>COMPLEMENTARY</v>
      </c>
    </row>
    <row r="5278" ht="22.5" customHeight="1">
      <c r="A5278" s="49"/>
      <c r="C5278" s="666">
        <v>45965.0</v>
      </c>
      <c r="D5278" s="667">
        <v>7701.0</v>
      </c>
      <c r="E5278" s="668" t="s">
        <v>301</v>
      </c>
      <c r="F5278" s="664">
        <v>1.0</v>
      </c>
      <c r="G5278" s="669">
        <v>250000.0</v>
      </c>
      <c r="H5278" s="74">
        <v>0.0</v>
      </c>
      <c r="I5278" s="74">
        <f t="shared" si="1"/>
        <v>250000</v>
      </c>
      <c r="J5278" s="74">
        <f>IF(E5278="SERVICE",I5278-(I5278*50%),Vlookup(E5278,DATABASE!C:Q,10,false)*F5278)</f>
        <v>75000</v>
      </c>
      <c r="K5278" s="74">
        <f>VLOOKUP(E5278,DATABASE!C:Q,7,false)</f>
        <v>75000</v>
      </c>
      <c r="L5278" s="74">
        <v>75000.0</v>
      </c>
      <c r="M5278" s="74">
        <f t="shared" si="2"/>
        <v>75000</v>
      </c>
      <c r="N5278" s="74">
        <f t="shared" si="3"/>
        <v>100000</v>
      </c>
      <c r="O5278" s="65" t="str">
        <f>VLOOKUP(E5278,DATABASE!C:Q,8,false)</f>
        <v>BIAN</v>
      </c>
      <c r="P5278" s="65">
        <f>VLOOKUP(E5278,DATABASE!C:Q,9,False)</f>
        <v>0</v>
      </c>
      <c r="Q5278" s="93" t="str">
        <f>VLOOKUP(E5278,DATABASE!C:Q,4,false)</f>
        <v>Baut Camber</v>
      </c>
      <c r="R5278" s="93" t="str">
        <f>VLOOKUP(E5278,DATABASE!C:Q,11,false)</f>
        <v>COMPLEMENTARY</v>
      </c>
    </row>
    <row r="5279" ht="22.5" customHeight="1">
      <c r="A5279" s="49"/>
      <c r="C5279" s="661">
        <v>45965.0</v>
      </c>
      <c r="D5279" s="662">
        <v>7702.0</v>
      </c>
      <c r="E5279" s="663" t="s">
        <v>288</v>
      </c>
      <c r="F5279" s="664">
        <v>1.0</v>
      </c>
      <c r="G5279" s="665">
        <v>620000.0</v>
      </c>
      <c r="H5279" s="74">
        <v>0.0</v>
      </c>
      <c r="I5279" s="74">
        <f t="shared" si="1"/>
        <v>620000</v>
      </c>
      <c r="J5279" s="74">
        <f>IF(E5279="SERVICE",I5279-(I5279*50%),Vlookup(E5279,DATABASE!C:Q,10,false)*F5279)</f>
        <v>0</v>
      </c>
      <c r="K5279" s="74">
        <f>VLOOKUP(E5279,DATABASE!C:Q,7,false)</f>
        <v>565760</v>
      </c>
      <c r="L5279" s="74">
        <v>524800.0</v>
      </c>
      <c r="M5279" s="74">
        <f t="shared" si="2"/>
        <v>525000</v>
      </c>
      <c r="N5279" s="74">
        <f t="shared" si="3"/>
        <v>95000</v>
      </c>
      <c r="O5279" s="65" t="str">
        <f>VLOOKUP(E5279,DATABASE!C:Q,8,false)</f>
        <v>BIAN</v>
      </c>
      <c r="P5279" s="65">
        <f>VLOOKUP(E5279,DATABASE!C:Q,9,False)</f>
        <v>1</v>
      </c>
      <c r="Q5279" s="93" t="str">
        <f>VLOOKUP(E5279,DATABASE!C:Q,4,false)</f>
        <v>GT</v>
      </c>
      <c r="R5279" s="93" t="str">
        <f>VLOOKUP(E5279,DATABASE!C:Q,11,false)</f>
        <v>Tire</v>
      </c>
      <c r="U5279" s="9">
        <v>620000.0</v>
      </c>
    </row>
    <row r="5280" ht="22.5" customHeight="1">
      <c r="A5280" s="49"/>
      <c r="C5280" s="666">
        <v>45965.0</v>
      </c>
      <c r="D5280" s="667">
        <v>7703.0</v>
      </c>
      <c r="E5280" s="668" t="s">
        <v>268</v>
      </c>
      <c r="F5280" s="664">
        <v>2.0</v>
      </c>
      <c r="G5280" s="669">
        <v>710000.0</v>
      </c>
      <c r="H5280" s="74">
        <v>0.0</v>
      </c>
      <c r="I5280" s="74">
        <f t="shared" si="1"/>
        <v>1420000</v>
      </c>
      <c r="J5280" s="74">
        <f>IF(E5280="SERVICE",I5280-(I5280*50%),Vlookup(E5280,DATABASE!C:Q,10,false)*F5280)</f>
        <v>0</v>
      </c>
      <c r="K5280" s="74">
        <f>VLOOKUP(E5280,DATABASE!C:Q,7,false)</f>
        <v>653000</v>
      </c>
      <c r="L5280" s="74">
        <v>622000.0</v>
      </c>
      <c r="M5280" s="74">
        <f t="shared" si="2"/>
        <v>625000</v>
      </c>
      <c r="N5280" s="74">
        <f t="shared" si="3"/>
        <v>170000</v>
      </c>
      <c r="O5280" s="65" t="str">
        <f>VLOOKUP(E5280,DATABASE!C:Q,8,false)</f>
        <v>IBU</v>
      </c>
      <c r="P5280" s="65">
        <f>VLOOKUP(E5280,DATABASE!C:Q,9,False)</f>
        <v>1</v>
      </c>
      <c r="Q5280" s="93" t="str">
        <f>VLOOKUP(E5280,DATABASE!C:Q,4,false)</f>
        <v>Dunlop</v>
      </c>
      <c r="R5280" s="93" t="str">
        <f>VLOOKUP(E5280,DATABASE!C:Q,11,false)</f>
        <v>Tire</v>
      </c>
      <c r="U5280" s="9"/>
    </row>
    <row r="5281" ht="22.5" customHeight="1">
      <c r="A5281" s="49"/>
      <c r="C5281" s="661">
        <v>45965.0</v>
      </c>
      <c r="D5281" s="662">
        <v>7704.0</v>
      </c>
      <c r="E5281" s="663" t="s">
        <v>256</v>
      </c>
      <c r="F5281" s="664">
        <v>1.0</v>
      </c>
      <c r="G5281" s="665">
        <v>130000.0</v>
      </c>
      <c r="H5281" s="74">
        <v>0.0</v>
      </c>
      <c r="I5281" s="74">
        <f t="shared" si="1"/>
        <v>130000</v>
      </c>
      <c r="J5281" s="74">
        <f>IF(E5281="SERVICE",I5281-(I5281*50%),Vlookup(E5281,DATABASE!C:Q,10,false)*F5281)</f>
        <v>10000</v>
      </c>
      <c r="K5281" s="74">
        <f>VLOOKUP(E5281,DATABASE!C:Q,7,false)</f>
        <v>0</v>
      </c>
      <c r="L5281" s="74">
        <v>0.0</v>
      </c>
      <c r="M5281" s="74">
        <f t="shared" si="2"/>
        <v>0</v>
      </c>
      <c r="N5281" s="74">
        <f t="shared" si="3"/>
        <v>120000</v>
      </c>
      <c r="O5281" s="65" t="str">
        <f>VLOOKUP(E5281,DATABASE!C:Q,8,false)</f>
        <v>IBU</v>
      </c>
      <c r="P5281" s="65">
        <f>VLOOKUP(E5281,DATABASE!C:Q,9,False)</f>
        <v>0</v>
      </c>
      <c r="Q5281" s="93" t="str">
        <f>VLOOKUP(E5281,DATABASE!C:Q,4,false)</f>
        <v>SPOORING</v>
      </c>
      <c r="R5281" s="93" t="str">
        <f>VLOOKUP(E5281,DATABASE!C:Q,11,false)</f>
        <v>SERVICE</v>
      </c>
    </row>
    <row r="5282" ht="22.5" customHeight="1">
      <c r="A5282" s="49"/>
      <c r="C5282" s="666">
        <v>45965.0</v>
      </c>
      <c r="D5282" s="667">
        <v>7704.0</v>
      </c>
      <c r="E5282" s="671" t="s">
        <v>299</v>
      </c>
      <c r="F5282" s="664">
        <v>2.0</v>
      </c>
      <c r="G5282" s="669">
        <v>30000.0</v>
      </c>
      <c r="H5282" s="74">
        <v>0.0</v>
      </c>
      <c r="I5282" s="74">
        <f t="shared" si="1"/>
        <v>60000</v>
      </c>
      <c r="J5282" s="74">
        <f>IF(E5282="SERVICE",I5282-(I5282*50%),Vlookup(E5282,DATABASE!C:Q,10,false)*F5282)</f>
        <v>0</v>
      </c>
      <c r="K5282" s="74">
        <f>VLOOKUP(E5282,DATABASE!C:Q,7,false)</f>
        <v>10000</v>
      </c>
      <c r="L5282" s="74">
        <v>5000.0</v>
      </c>
      <c r="M5282" s="74">
        <f t="shared" si="2"/>
        <v>5000</v>
      </c>
      <c r="N5282" s="74">
        <f t="shared" si="3"/>
        <v>50000</v>
      </c>
      <c r="O5282" s="65" t="str">
        <f>VLOOKUP(E5282,DATABASE!C:Q,8,false)</f>
        <v>BIAN</v>
      </c>
      <c r="P5282" s="65">
        <f>VLOOKUP(E5282,DATABASE!C:Q,9,False)</f>
        <v>0</v>
      </c>
      <c r="Q5282" s="93" t="str">
        <f>VLOOKUP(E5282,DATABASE!C:Q,4,false)</f>
        <v>Balancing</v>
      </c>
      <c r="R5282" s="93" t="str">
        <f>VLOOKUP(E5282,DATABASE!C:Q,11,false)</f>
        <v>COMPLEMENTARY</v>
      </c>
    </row>
    <row r="5283" ht="22.5" customHeight="1">
      <c r="A5283" s="49"/>
      <c r="C5283" s="661">
        <v>45965.0</v>
      </c>
      <c r="D5283" s="662">
        <v>7704.0</v>
      </c>
      <c r="E5283" s="663" t="s">
        <v>301</v>
      </c>
      <c r="F5283" s="664">
        <v>1.0</v>
      </c>
      <c r="G5283" s="665">
        <v>250000.0</v>
      </c>
      <c r="H5283" s="74">
        <v>0.0</v>
      </c>
      <c r="I5283" s="74">
        <f t="shared" si="1"/>
        <v>250000</v>
      </c>
      <c r="J5283" s="74">
        <f>IF(E5283="SERVICE",I5283-(I5283*50%),Vlookup(E5283,DATABASE!C:Q,10,false)*F5283)</f>
        <v>75000</v>
      </c>
      <c r="K5283" s="74">
        <f>VLOOKUP(E5283,DATABASE!C:Q,7,false)</f>
        <v>75000</v>
      </c>
      <c r="L5283" s="74">
        <v>75000.0</v>
      </c>
      <c r="M5283" s="74">
        <f t="shared" si="2"/>
        <v>75000</v>
      </c>
      <c r="N5283" s="74">
        <f t="shared" si="3"/>
        <v>100000</v>
      </c>
      <c r="O5283" s="65" t="str">
        <f>VLOOKUP(E5283,DATABASE!C:Q,8,false)</f>
        <v>BIAN</v>
      </c>
      <c r="P5283" s="65">
        <f>VLOOKUP(E5283,DATABASE!C:Q,9,False)</f>
        <v>0</v>
      </c>
      <c r="Q5283" s="93" t="str">
        <f>VLOOKUP(E5283,DATABASE!C:Q,4,false)</f>
        <v>Baut Camber</v>
      </c>
      <c r="R5283" s="93" t="str">
        <f>VLOOKUP(E5283,DATABASE!C:Q,11,false)</f>
        <v>COMPLEMENTARY</v>
      </c>
    </row>
    <row r="5284" ht="22.5" customHeight="1">
      <c r="A5284" s="49"/>
      <c r="C5284" s="666">
        <v>45965.0</v>
      </c>
      <c r="D5284" s="667">
        <v>7705.0</v>
      </c>
      <c r="E5284" s="668" t="s">
        <v>250</v>
      </c>
      <c r="F5284" s="664">
        <v>1.0</v>
      </c>
      <c r="G5284" s="669">
        <v>135000.0</v>
      </c>
      <c r="H5284" s="74">
        <v>0.0</v>
      </c>
      <c r="I5284" s="74">
        <f t="shared" si="1"/>
        <v>135000</v>
      </c>
      <c r="J5284" s="74">
        <f>IF(E5284="SERVICE",I5284-(I5284*50%),Vlookup(E5284,DATABASE!C:Q,10,false)*F5284)</f>
        <v>0</v>
      </c>
      <c r="K5284" s="74">
        <f>VLOOKUP(E5284,DATABASE!C:Q,7,false)</f>
        <v>102000</v>
      </c>
      <c r="L5284" s="74">
        <v>102000.0</v>
      </c>
      <c r="M5284" s="74">
        <f t="shared" si="2"/>
        <v>105000</v>
      </c>
      <c r="N5284" s="74">
        <f t="shared" si="3"/>
        <v>30000</v>
      </c>
      <c r="O5284" s="65" t="str">
        <f>VLOOKUP(E5284,DATABASE!C:Q,8,false)</f>
        <v>BIAN</v>
      </c>
      <c r="P5284" s="65">
        <f>VLOOKUP(E5284,DATABASE!C:Q,9,False)</f>
        <v>1</v>
      </c>
      <c r="Q5284" s="93" t="str">
        <f>VLOOKUP(E5284,DATABASE!C:Q,4,false)</f>
        <v>BD</v>
      </c>
      <c r="R5284" s="93" t="str">
        <f>VLOOKUP(E5284,DATABASE!C:Q,11,false)</f>
        <v>Tire</v>
      </c>
      <c r="U5284" s="9">
        <v>135000.0</v>
      </c>
    </row>
    <row r="5285" ht="22.5" customHeight="1">
      <c r="A5285" s="49"/>
      <c r="C5285" s="661">
        <v>45965.0</v>
      </c>
      <c r="D5285" s="662">
        <v>7706.0</v>
      </c>
      <c r="E5285" s="663" t="s">
        <v>1065</v>
      </c>
      <c r="F5285" s="664">
        <v>2.0</v>
      </c>
      <c r="G5285" s="665">
        <v>870000.0</v>
      </c>
      <c r="H5285" s="74">
        <v>0.0</v>
      </c>
      <c r="I5285" s="74">
        <f t="shared" si="1"/>
        <v>1740000</v>
      </c>
      <c r="J5285" s="74">
        <f>IF(E5285="SERVICE",I5285-(I5285*50%),Vlookup(E5285,DATABASE!C:Q,10,false)*F5285)</f>
        <v>0</v>
      </c>
      <c r="K5285" s="74">
        <f>VLOOKUP(E5285,DATABASE!C:Q,7,false)</f>
        <v>784000</v>
      </c>
      <c r="L5285" s="74">
        <v>784000.0</v>
      </c>
      <c r="M5285" s="74">
        <f t="shared" si="2"/>
        <v>785000</v>
      </c>
      <c r="N5285" s="74">
        <f t="shared" si="3"/>
        <v>170000</v>
      </c>
      <c r="O5285" s="65" t="str">
        <f>VLOOKUP(E5285,DATABASE!C:Q,8,false)</f>
        <v>IBU</v>
      </c>
      <c r="P5285" s="65">
        <f>VLOOKUP(E5285,DATABASE!C:Q,9,False)</f>
        <v>1</v>
      </c>
      <c r="Q5285" s="93" t="str">
        <f>VLOOKUP(E5285,DATABASE!C:Q,4,false)</f>
        <v>Bridgestone</v>
      </c>
      <c r="R5285" s="93" t="str">
        <f>VLOOKUP(E5285,DATABASE!C:Q,11,false)</f>
        <v>Tire</v>
      </c>
      <c r="U5285" s="9"/>
    </row>
    <row r="5286" ht="22.5" customHeight="1">
      <c r="A5286" s="49"/>
      <c r="C5286" s="666">
        <v>45965.0</v>
      </c>
      <c r="D5286" s="667">
        <v>7707.0</v>
      </c>
      <c r="E5286" s="668" t="s">
        <v>932</v>
      </c>
      <c r="F5286" s="664">
        <v>1.0</v>
      </c>
      <c r="G5286" s="669">
        <v>680000.0</v>
      </c>
      <c r="H5286" s="74">
        <v>0.0</v>
      </c>
      <c r="I5286" s="74">
        <f t="shared" si="1"/>
        <v>680000</v>
      </c>
      <c r="J5286" s="74">
        <f>IF(E5286="SERVICE",I5286-(I5286*50%),Vlookup(E5286,DATABASE!C:Q,10,false)*F5286)</f>
        <v>0</v>
      </c>
      <c r="K5286" s="74">
        <f>VLOOKUP(E5286,DATABASE!C:Q,7,false)</f>
        <v>601000</v>
      </c>
      <c r="L5286" s="74">
        <v>595000.0</v>
      </c>
      <c r="M5286" s="74">
        <f t="shared" si="2"/>
        <v>595000</v>
      </c>
      <c r="N5286" s="74">
        <f t="shared" si="3"/>
        <v>85000</v>
      </c>
      <c r="O5286" s="65" t="str">
        <f>VLOOKUP(E5286,DATABASE!C:Q,8,false)</f>
        <v>IBU</v>
      </c>
      <c r="P5286" s="65">
        <f>VLOOKUP(E5286,DATABASE!C:Q,9,False)</f>
        <v>1</v>
      </c>
      <c r="Q5286" s="93" t="str">
        <f>VLOOKUP(E5286,DATABASE!C:Q,4,false)</f>
        <v>Dunlop</v>
      </c>
      <c r="R5286" s="93" t="str">
        <f>VLOOKUP(E5286,DATABASE!C:Q,11,false)</f>
        <v>Tire</v>
      </c>
      <c r="U5286" s="9"/>
    </row>
    <row r="5287" ht="22.5" customHeight="1">
      <c r="A5287" s="49"/>
      <c r="C5287" s="661">
        <v>45965.0</v>
      </c>
      <c r="D5287" s="662">
        <v>7708.0</v>
      </c>
      <c r="E5287" s="663" t="s">
        <v>1104</v>
      </c>
      <c r="F5287" s="664">
        <v>4.0</v>
      </c>
      <c r="G5287" s="665">
        <v>840000.0</v>
      </c>
      <c r="H5287" s="74">
        <v>0.0</v>
      </c>
      <c r="I5287" s="74">
        <f t="shared" si="1"/>
        <v>3360000</v>
      </c>
      <c r="J5287" s="74">
        <f>IF(E5287="SERVICE",I5287-(I5287*50%),Vlookup(E5287,DATABASE!C:Q,10,false)*F5287)</f>
        <v>0</v>
      </c>
      <c r="K5287" s="74">
        <f>VLOOKUP(E5287,DATABASE!C:Q,7,false)</f>
        <v>715000</v>
      </c>
      <c r="L5287" s="74">
        <v>738500.0</v>
      </c>
      <c r="M5287" s="74">
        <f t="shared" si="2"/>
        <v>740000</v>
      </c>
      <c r="N5287" s="74">
        <f t="shared" si="3"/>
        <v>400000</v>
      </c>
      <c r="O5287" s="65" t="str">
        <f>VLOOKUP(E5287,DATABASE!C:Q,8,false)</f>
        <v>IBU</v>
      </c>
      <c r="P5287" s="65">
        <f>VLOOKUP(E5287,DATABASE!C:Q,9,False)</f>
        <v>0</v>
      </c>
      <c r="Q5287" s="93" t="str">
        <f>VLOOKUP(E5287,DATABASE!C:Q,4,false)</f>
        <v>Bridgestone</v>
      </c>
      <c r="R5287" s="93" t="str">
        <f>VLOOKUP(E5287,DATABASE!C:Q,11,false)</f>
        <v>Tire</v>
      </c>
    </row>
    <row r="5288" ht="22.5" customHeight="1">
      <c r="A5288" s="49"/>
      <c r="C5288" s="666">
        <v>45965.0</v>
      </c>
      <c r="D5288" s="667">
        <v>7708.0</v>
      </c>
      <c r="E5288" s="671" t="s">
        <v>299</v>
      </c>
      <c r="F5288" s="664">
        <v>2.0</v>
      </c>
      <c r="G5288" s="669">
        <v>30000.0</v>
      </c>
      <c r="H5288" s="74">
        <v>0.0</v>
      </c>
      <c r="I5288" s="74">
        <f t="shared" si="1"/>
        <v>60000</v>
      </c>
      <c r="J5288" s="74">
        <f>IF(E5288="SERVICE",I5288-(I5288*50%),Vlookup(E5288,DATABASE!C:Q,10,false)*F5288)</f>
        <v>0</v>
      </c>
      <c r="K5288" s="74">
        <f>VLOOKUP(E5288,DATABASE!C:Q,7,false)</f>
        <v>10000</v>
      </c>
      <c r="L5288" s="74">
        <v>5000.0</v>
      </c>
      <c r="M5288" s="74">
        <f t="shared" si="2"/>
        <v>5000</v>
      </c>
      <c r="N5288" s="74">
        <f t="shared" si="3"/>
        <v>50000</v>
      </c>
      <c r="O5288" s="65" t="str">
        <f>VLOOKUP(E5288,DATABASE!C:Q,8,false)</f>
        <v>BIAN</v>
      </c>
      <c r="P5288" s="65">
        <f>VLOOKUP(E5288,DATABASE!C:Q,9,False)</f>
        <v>0</v>
      </c>
      <c r="Q5288" s="93" t="str">
        <f>VLOOKUP(E5288,DATABASE!C:Q,4,false)</f>
        <v>Balancing</v>
      </c>
      <c r="R5288" s="93" t="str">
        <f>VLOOKUP(E5288,DATABASE!C:Q,11,false)</f>
        <v>COMPLEMENTARY</v>
      </c>
    </row>
    <row r="5289" ht="22.5" customHeight="1">
      <c r="A5289" s="49"/>
      <c r="C5289" s="661">
        <v>45965.0</v>
      </c>
      <c r="D5289" s="662">
        <v>7708.0</v>
      </c>
      <c r="E5289" s="663" t="s">
        <v>301</v>
      </c>
      <c r="F5289" s="664">
        <v>1.0</v>
      </c>
      <c r="G5289" s="665">
        <v>250000.0</v>
      </c>
      <c r="H5289" s="74">
        <v>0.0</v>
      </c>
      <c r="I5289" s="74">
        <f t="shared" si="1"/>
        <v>250000</v>
      </c>
      <c r="J5289" s="74">
        <f>IF(E5289="SERVICE",I5289-(I5289*50%),Vlookup(E5289,DATABASE!C:Q,10,false)*F5289)</f>
        <v>75000</v>
      </c>
      <c r="K5289" s="74">
        <f>VLOOKUP(E5289,DATABASE!C:Q,7,false)</f>
        <v>75000</v>
      </c>
      <c r="L5289" s="74">
        <v>75000.0</v>
      </c>
      <c r="M5289" s="74">
        <f t="shared" si="2"/>
        <v>75000</v>
      </c>
      <c r="N5289" s="74">
        <f t="shared" si="3"/>
        <v>100000</v>
      </c>
      <c r="O5289" s="65" t="str">
        <f>VLOOKUP(E5289,DATABASE!C:Q,8,false)</f>
        <v>BIAN</v>
      </c>
      <c r="P5289" s="65">
        <f>VLOOKUP(E5289,DATABASE!C:Q,9,False)</f>
        <v>0</v>
      </c>
      <c r="Q5289" s="93" t="str">
        <f>VLOOKUP(E5289,DATABASE!C:Q,4,false)</f>
        <v>Baut Camber</v>
      </c>
      <c r="R5289" s="93" t="str">
        <f>VLOOKUP(E5289,DATABASE!C:Q,11,false)</f>
        <v>COMPLEMENTARY</v>
      </c>
    </row>
    <row r="5290" ht="22.5" customHeight="1">
      <c r="A5290" s="49"/>
      <c r="C5290" s="666">
        <v>45965.0</v>
      </c>
      <c r="D5290" s="667">
        <v>7708.0</v>
      </c>
      <c r="E5290" s="668" t="s">
        <v>256</v>
      </c>
      <c r="F5290" s="664">
        <v>1.0</v>
      </c>
      <c r="G5290" s="669">
        <v>130000.0</v>
      </c>
      <c r="H5290" s="74">
        <v>0.0</v>
      </c>
      <c r="I5290" s="74">
        <f t="shared" si="1"/>
        <v>130000</v>
      </c>
      <c r="J5290" s="74">
        <f>IF(E5290="SERVICE",I5290-(I5290*50%),Vlookup(E5290,DATABASE!C:Q,10,false)*F5290)</f>
        <v>10000</v>
      </c>
      <c r="K5290" s="74">
        <f>VLOOKUP(E5290,DATABASE!C:Q,7,false)</f>
        <v>0</v>
      </c>
      <c r="L5290" s="74">
        <v>0.0</v>
      </c>
      <c r="M5290" s="74">
        <f t="shared" si="2"/>
        <v>0</v>
      </c>
      <c r="N5290" s="74">
        <f t="shared" si="3"/>
        <v>120000</v>
      </c>
      <c r="O5290" s="65" t="str">
        <f>VLOOKUP(E5290,DATABASE!C:Q,8,false)</f>
        <v>IBU</v>
      </c>
      <c r="P5290" s="65">
        <f>VLOOKUP(E5290,DATABASE!C:Q,9,False)</f>
        <v>0</v>
      </c>
      <c r="Q5290" s="93" t="str">
        <f>VLOOKUP(E5290,DATABASE!C:Q,4,false)</f>
        <v>SPOORING</v>
      </c>
      <c r="R5290" s="93" t="str">
        <f>VLOOKUP(E5290,DATABASE!C:Q,11,false)</f>
        <v>SERVICE</v>
      </c>
    </row>
    <row r="5291" ht="22.5" customHeight="1">
      <c r="A5291" s="49"/>
      <c r="C5291" s="661">
        <v>45965.0</v>
      </c>
      <c r="D5291" s="662">
        <v>7709.0</v>
      </c>
      <c r="E5291" s="671" t="s">
        <v>299</v>
      </c>
      <c r="F5291" s="664">
        <v>2.0</v>
      </c>
      <c r="G5291" s="665">
        <v>30000.0</v>
      </c>
      <c r="H5291" s="74">
        <v>0.0</v>
      </c>
      <c r="I5291" s="74">
        <f t="shared" si="1"/>
        <v>60000</v>
      </c>
      <c r="J5291" s="74">
        <f>IF(E5291="SERVICE",I5291-(I5291*50%),Vlookup(E5291,DATABASE!C:Q,10,false)*F5291)</f>
        <v>0</v>
      </c>
      <c r="K5291" s="74">
        <f>VLOOKUP(E5291,DATABASE!C:Q,7,false)</f>
        <v>10000</v>
      </c>
      <c r="L5291" s="74">
        <v>5000.0</v>
      </c>
      <c r="M5291" s="74">
        <f t="shared" si="2"/>
        <v>5000</v>
      </c>
      <c r="N5291" s="74">
        <f t="shared" si="3"/>
        <v>50000</v>
      </c>
      <c r="O5291" s="65" t="str">
        <f>VLOOKUP(E5291,DATABASE!C:Q,8,false)</f>
        <v>BIAN</v>
      </c>
      <c r="P5291" s="65">
        <f>VLOOKUP(E5291,DATABASE!C:Q,9,False)</f>
        <v>0</v>
      </c>
      <c r="Q5291" s="93" t="str">
        <f>VLOOKUP(E5291,DATABASE!C:Q,4,false)</f>
        <v>Balancing</v>
      </c>
      <c r="R5291" s="93" t="str">
        <f>VLOOKUP(E5291,DATABASE!C:Q,11,false)</f>
        <v>COMPLEMENTARY</v>
      </c>
    </row>
    <row r="5292" ht="22.5" customHeight="1">
      <c r="A5292" s="49"/>
      <c r="C5292" s="666">
        <v>45965.0</v>
      </c>
      <c r="D5292" s="667">
        <v>7709.0</v>
      </c>
      <c r="E5292" s="668" t="s">
        <v>301</v>
      </c>
      <c r="F5292" s="664">
        <v>1.0</v>
      </c>
      <c r="G5292" s="669">
        <v>250000.0</v>
      </c>
      <c r="H5292" s="74">
        <v>0.0</v>
      </c>
      <c r="I5292" s="74">
        <f t="shared" si="1"/>
        <v>250000</v>
      </c>
      <c r="J5292" s="74">
        <f>IF(E5292="SERVICE",I5292-(I5292*50%),Vlookup(E5292,DATABASE!C:Q,10,false)*F5292)</f>
        <v>75000</v>
      </c>
      <c r="K5292" s="74">
        <f>VLOOKUP(E5292,DATABASE!C:Q,7,false)</f>
        <v>75000</v>
      </c>
      <c r="L5292" s="74">
        <v>75000.0</v>
      </c>
      <c r="M5292" s="74">
        <f t="shared" si="2"/>
        <v>75000</v>
      </c>
      <c r="N5292" s="74">
        <f t="shared" si="3"/>
        <v>100000</v>
      </c>
      <c r="O5292" s="65" t="str">
        <f>VLOOKUP(E5292,DATABASE!C:Q,8,false)</f>
        <v>BIAN</v>
      </c>
      <c r="P5292" s="65">
        <f>VLOOKUP(E5292,DATABASE!C:Q,9,False)</f>
        <v>0</v>
      </c>
      <c r="Q5292" s="93" t="str">
        <f>VLOOKUP(E5292,DATABASE!C:Q,4,false)</f>
        <v>Baut Camber</v>
      </c>
      <c r="R5292" s="93" t="str">
        <f>VLOOKUP(E5292,DATABASE!C:Q,11,false)</f>
        <v>COMPLEMENTARY</v>
      </c>
    </row>
    <row r="5293" ht="22.5" customHeight="1">
      <c r="A5293" s="49"/>
      <c r="C5293" s="661">
        <v>45965.0</v>
      </c>
      <c r="D5293" s="662">
        <v>7709.0</v>
      </c>
      <c r="E5293" s="663" t="s">
        <v>256</v>
      </c>
      <c r="F5293" s="664">
        <v>1.0</v>
      </c>
      <c r="G5293" s="665">
        <v>130000.0</v>
      </c>
      <c r="H5293" s="74">
        <v>0.0</v>
      </c>
      <c r="I5293" s="74">
        <f t="shared" si="1"/>
        <v>130000</v>
      </c>
      <c r="J5293" s="74">
        <f>IF(E5293="SERVICE",I5293-(I5293*50%),Vlookup(E5293,DATABASE!C:Q,10,false)*F5293)</f>
        <v>10000</v>
      </c>
      <c r="K5293" s="74">
        <f>VLOOKUP(E5293,DATABASE!C:Q,7,false)</f>
        <v>0</v>
      </c>
      <c r="L5293" s="74">
        <v>0.0</v>
      </c>
      <c r="M5293" s="74">
        <f t="shared" si="2"/>
        <v>0</v>
      </c>
      <c r="N5293" s="74">
        <f t="shared" si="3"/>
        <v>120000</v>
      </c>
      <c r="O5293" s="65" t="str">
        <f>VLOOKUP(E5293,DATABASE!C:Q,8,false)</f>
        <v>IBU</v>
      </c>
      <c r="P5293" s="65">
        <f>VLOOKUP(E5293,DATABASE!C:Q,9,False)</f>
        <v>0</v>
      </c>
      <c r="Q5293" s="93" t="str">
        <f>VLOOKUP(E5293,DATABASE!C:Q,4,false)</f>
        <v>SPOORING</v>
      </c>
      <c r="R5293" s="93" t="str">
        <f>VLOOKUP(E5293,DATABASE!C:Q,11,false)</f>
        <v>SERVICE</v>
      </c>
    </row>
    <row r="5294" ht="22.5" customHeight="1">
      <c r="A5294" s="49"/>
      <c r="C5294" s="666">
        <v>45965.0</v>
      </c>
      <c r="D5294" s="667">
        <v>7710.0</v>
      </c>
      <c r="E5294" s="668" t="s">
        <v>974</v>
      </c>
      <c r="F5294" s="664">
        <v>4.0</v>
      </c>
      <c r="G5294" s="669">
        <v>575000.0</v>
      </c>
      <c r="H5294" s="74">
        <v>0.0</v>
      </c>
      <c r="I5294" s="74">
        <f t="shared" si="1"/>
        <v>2300000</v>
      </c>
      <c r="J5294" s="74">
        <f>IF(E5294="SERVICE",I5294-(I5294*50%),Vlookup(E5294,DATABASE!C:Q,10,false)*F5294)</f>
        <v>0</v>
      </c>
      <c r="K5294" s="74">
        <f>VLOOKUP(E5294,DATABASE!C:Q,7,false)</f>
        <v>501500</v>
      </c>
      <c r="L5294" s="74">
        <v>491000.0</v>
      </c>
      <c r="M5294" s="74">
        <f t="shared" si="2"/>
        <v>495000</v>
      </c>
      <c r="N5294" s="74">
        <f t="shared" si="3"/>
        <v>320000</v>
      </c>
      <c r="O5294" s="65" t="str">
        <f>VLOOKUP(E5294,DATABASE!C:Q,8,false)</f>
        <v>IBU</v>
      </c>
      <c r="P5294" s="65">
        <f>VLOOKUP(E5294,DATABASE!C:Q,9,False)</f>
        <v>1</v>
      </c>
      <c r="Q5294" s="93" t="str">
        <f>VLOOKUP(E5294,DATABASE!C:Q,4,false)</f>
        <v>Dunlop</v>
      </c>
      <c r="R5294" s="93" t="str">
        <f>VLOOKUP(E5294,DATABASE!C:Q,11,false)</f>
        <v>Tire</v>
      </c>
      <c r="U5294" s="9"/>
    </row>
    <row r="5295" ht="22.5" customHeight="1">
      <c r="A5295" s="49"/>
      <c r="C5295" s="661">
        <v>45966.0</v>
      </c>
      <c r="D5295" s="662">
        <v>7711.0</v>
      </c>
      <c r="E5295" s="663" t="s">
        <v>268</v>
      </c>
      <c r="F5295" s="664">
        <v>2.0</v>
      </c>
      <c r="G5295" s="665">
        <v>710000.0</v>
      </c>
      <c r="H5295" s="74">
        <v>0.0</v>
      </c>
      <c r="I5295" s="74">
        <f t="shared" si="1"/>
        <v>1420000</v>
      </c>
      <c r="J5295" s="74">
        <f>IF(E5295="SERVICE",I5295-(I5295*50%),Vlookup(E5295,DATABASE!C:Q,10,false)*F5295)</f>
        <v>0</v>
      </c>
      <c r="K5295" s="74">
        <f>VLOOKUP(E5295,DATABASE!C:Q,7,false)</f>
        <v>653000</v>
      </c>
      <c r="L5295" s="74">
        <v>622000.0</v>
      </c>
      <c r="M5295" s="74">
        <f t="shared" si="2"/>
        <v>625000</v>
      </c>
      <c r="N5295" s="74">
        <f t="shared" si="3"/>
        <v>170000</v>
      </c>
      <c r="O5295" s="65" t="str">
        <f>VLOOKUP(E5295,DATABASE!C:Q,8,false)</f>
        <v>IBU</v>
      </c>
      <c r="P5295" s="65">
        <f>VLOOKUP(E5295,DATABASE!C:Q,9,False)</f>
        <v>1</v>
      </c>
      <c r="Q5295" s="93" t="str">
        <f>VLOOKUP(E5295,DATABASE!C:Q,4,false)</f>
        <v>Dunlop</v>
      </c>
      <c r="R5295" s="93" t="str">
        <f>VLOOKUP(E5295,DATABASE!C:Q,11,false)</f>
        <v>Tire</v>
      </c>
      <c r="U5295" s="9"/>
    </row>
    <row r="5296" ht="22.5" customHeight="1">
      <c r="A5296" s="49"/>
      <c r="C5296" s="666">
        <v>45966.0</v>
      </c>
      <c r="D5296" s="667">
        <v>7712.0</v>
      </c>
      <c r="E5296" s="668" t="s">
        <v>268</v>
      </c>
      <c r="F5296" s="664">
        <v>1.0</v>
      </c>
      <c r="G5296" s="669">
        <v>710000.0</v>
      </c>
      <c r="H5296" s="74">
        <v>0.0</v>
      </c>
      <c r="I5296" s="74">
        <f t="shared" si="1"/>
        <v>710000</v>
      </c>
      <c r="J5296" s="74">
        <f>IF(E5296="SERVICE",I5296-(I5296*50%),Vlookup(E5296,DATABASE!C:Q,10,false)*F5296)</f>
        <v>0</v>
      </c>
      <c r="K5296" s="74">
        <f>VLOOKUP(E5296,DATABASE!C:Q,7,false)</f>
        <v>653000</v>
      </c>
      <c r="L5296" s="74">
        <v>622000.0</v>
      </c>
      <c r="M5296" s="74">
        <f t="shared" si="2"/>
        <v>625000</v>
      </c>
      <c r="N5296" s="74">
        <f t="shared" si="3"/>
        <v>85000</v>
      </c>
      <c r="O5296" s="65" t="str">
        <f>VLOOKUP(E5296,DATABASE!C:Q,8,false)</f>
        <v>IBU</v>
      </c>
      <c r="P5296" s="65">
        <f>VLOOKUP(E5296,DATABASE!C:Q,9,False)</f>
        <v>1</v>
      </c>
      <c r="Q5296" s="93" t="str">
        <f>VLOOKUP(E5296,DATABASE!C:Q,4,false)</f>
        <v>Dunlop</v>
      </c>
      <c r="R5296" s="93" t="str">
        <f>VLOOKUP(E5296,DATABASE!C:Q,11,false)</f>
        <v>Tire</v>
      </c>
      <c r="U5296" s="9"/>
    </row>
    <row r="5297" ht="22.5" customHeight="1">
      <c r="A5297" s="49"/>
      <c r="C5297" s="661">
        <v>45966.0</v>
      </c>
      <c r="D5297" s="662">
        <v>7714.0</v>
      </c>
      <c r="E5297" s="671" t="s">
        <v>299</v>
      </c>
      <c r="F5297" s="664">
        <v>2.0</v>
      </c>
      <c r="G5297" s="665">
        <v>30000.0</v>
      </c>
      <c r="H5297" s="74">
        <v>0.0</v>
      </c>
      <c r="I5297" s="74">
        <f t="shared" si="1"/>
        <v>60000</v>
      </c>
      <c r="J5297" s="74">
        <f>IF(E5297="SERVICE",I5297-(I5297*50%),Vlookup(E5297,DATABASE!C:Q,10,false)*F5297)</f>
        <v>0</v>
      </c>
      <c r="K5297" s="74">
        <f>VLOOKUP(E5297,DATABASE!C:Q,7,false)</f>
        <v>10000</v>
      </c>
      <c r="L5297" s="74">
        <v>5000.0</v>
      </c>
      <c r="M5297" s="74">
        <f t="shared" si="2"/>
        <v>5000</v>
      </c>
      <c r="N5297" s="74">
        <f t="shared" si="3"/>
        <v>50000</v>
      </c>
      <c r="O5297" s="65" t="str">
        <f>VLOOKUP(E5297,DATABASE!C:Q,8,false)</f>
        <v>BIAN</v>
      </c>
      <c r="P5297" s="65">
        <f>VLOOKUP(E5297,DATABASE!C:Q,9,False)</f>
        <v>0</v>
      </c>
      <c r="Q5297" s="93" t="str">
        <f>VLOOKUP(E5297,DATABASE!C:Q,4,false)</f>
        <v>Balancing</v>
      </c>
      <c r="R5297" s="93" t="str">
        <f>VLOOKUP(E5297,DATABASE!C:Q,11,false)</f>
        <v>COMPLEMENTARY</v>
      </c>
    </row>
    <row r="5298" ht="22.5" customHeight="1">
      <c r="A5298" s="49"/>
      <c r="C5298" s="661">
        <v>45966.0</v>
      </c>
      <c r="D5298" s="662">
        <v>7715.0</v>
      </c>
      <c r="E5298" s="663" t="s">
        <v>288</v>
      </c>
      <c r="F5298" s="664">
        <v>1.0</v>
      </c>
      <c r="G5298" s="665">
        <v>620000.0</v>
      </c>
      <c r="H5298" s="74">
        <v>0.0</v>
      </c>
      <c r="I5298" s="74">
        <f t="shared" si="1"/>
        <v>620000</v>
      </c>
      <c r="J5298" s="74">
        <f>IF(E5298="SERVICE",I5298-(I5298*50%),Vlookup(E5298,DATABASE!C:Q,10,false)*F5298)</f>
        <v>0</v>
      </c>
      <c r="K5298" s="74">
        <f>VLOOKUP(E5298,DATABASE!C:Q,7,false)</f>
        <v>565760</v>
      </c>
      <c r="L5298" s="74">
        <v>524800.0</v>
      </c>
      <c r="M5298" s="74">
        <f t="shared" si="2"/>
        <v>525000</v>
      </c>
      <c r="N5298" s="74">
        <f t="shared" si="3"/>
        <v>95000</v>
      </c>
      <c r="O5298" s="65" t="str">
        <f>VLOOKUP(E5298,DATABASE!C:Q,8,false)</f>
        <v>BIAN</v>
      </c>
      <c r="P5298" s="65">
        <f>VLOOKUP(E5298,DATABASE!C:Q,9,False)</f>
        <v>1</v>
      </c>
      <c r="Q5298" s="93" t="str">
        <f>VLOOKUP(E5298,DATABASE!C:Q,4,false)</f>
        <v>GT</v>
      </c>
      <c r="R5298" s="93" t="str">
        <f>VLOOKUP(E5298,DATABASE!C:Q,11,false)</f>
        <v>Tire</v>
      </c>
      <c r="U5298" s="9"/>
    </row>
    <row r="5299" ht="22.5" customHeight="1">
      <c r="A5299" s="49"/>
      <c r="C5299" s="666">
        <v>45966.0</v>
      </c>
      <c r="D5299" s="667">
        <v>7716.0</v>
      </c>
      <c r="E5299" s="668" t="s">
        <v>268</v>
      </c>
      <c r="F5299" s="664">
        <v>2.0</v>
      </c>
      <c r="G5299" s="669">
        <v>710000.0</v>
      </c>
      <c r="H5299" s="74">
        <v>0.0</v>
      </c>
      <c r="I5299" s="74">
        <f t="shared" si="1"/>
        <v>1420000</v>
      </c>
      <c r="J5299" s="74">
        <f>IF(E5299="SERVICE",I5299-(I5299*50%),Vlookup(E5299,DATABASE!C:Q,10,false)*F5299)</f>
        <v>0</v>
      </c>
      <c r="K5299" s="74">
        <f>VLOOKUP(E5299,DATABASE!C:Q,7,false)</f>
        <v>653000</v>
      </c>
      <c r="L5299" s="74">
        <v>622000.0</v>
      </c>
      <c r="M5299" s="74">
        <f t="shared" si="2"/>
        <v>625000</v>
      </c>
      <c r="N5299" s="74">
        <f t="shared" si="3"/>
        <v>170000</v>
      </c>
      <c r="O5299" s="65" t="str">
        <f>VLOOKUP(E5299,DATABASE!C:Q,8,false)</f>
        <v>IBU</v>
      </c>
      <c r="P5299" s="65">
        <f>VLOOKUP(E5299,DATABASE!C:Q,9,False)</f>
        <v>1</v>
      </c>
      <c r="Q5299" s="93" t="str">
        <f>VLOOKUP(E5299,DATABASE!C:Q,4,false)</f>
        <v>Dunlop</v>
      </c>
      <c r="R5299" s="93" t="str">
        <f>VLOOKUP(E5299,DATABASE!C:Q,11,false)</f>
        <v>Tire</v>
      </c>
      <c r="U5299" s="9">
        <v>620000.0</v>
      </c>
    </row>
    <row r="5300" ht="22.5" customHeight="1">
      <c r="A5300" s="49"/>
      <c r="C5300" s="666">
        <v>45966.0</v>
      </c>
      <c r="D5300" s="667">
        <v>7717.0</v>
      </c>
      <c r="E5300" s="668" t="s">
        <v>262</v>
      </c>
      <c r="F5300" s="664">
        <v>1.0</v>
      </c>
      <c r="G5300" s="669">
        <v>110000.0</v>
      </c>
      <c r="H5300" s="74">
        <v>0.0</v>
      </c>
      <c r="I5300" s="74">
        <f t="shared" si="1"/>
        <v>110000</v>
      </c>
      <c r="J5300" s="74">
        <f>IF(E5300="SERVICE",I5300-(I5300*50%),Vlookup(E5300,DATABASE!C:Q,10,false)*F5300)</f>
        <v>5000</v>
      </c>
      <c r="K5300" s="74">
        <f>VLOOKUP(E5300,DATABASE!C:Q,7,false)</f>
        <v>0</v>
      </c>
      <c r="L5300" s="74">
        <v>0.0</v>
      </c>
      <c r="M5300" s="74">
        <f t="shared" si="2"/>
        <v>0</v>
      </c>
      <c r="N5300" s="74">
        <f t="shared" si="3"/>
        <v>105000</v>
      </c>
      <c r="O5300" s="65" t="str">
        <f>VLOOKUP(E5300,DATABASE!C:Q,8,false)</f>
        <v>IBU</v>
      </c>
      <c r="P5300" s="65">
        <f>VLOOKUP(E5300,DATABASE!C:Q,9,False)</f>
        <v>0</v>
      </c>
      <c r="Q5300" s="93" t="str">
        <f>VLOOKUP(E5300,DATABASE!C:Q,4,false)</f>
        <v>SPOORING SS/CARRY LOS BAK</v>
      </c>
      <c r="R5300" s="93" t="str">
        <f>VLOOKUP(E5300,DATABASE!C:Q,11,false)</f>
        <v>SERVICE</v>
      </c>
    </row>
    <row r="5301" ht="22.5" customHeight="1">
      <c r="A5301" s="49"/>
      <c r="C5301" s="661">
        <v>45966.0</v>
      </c>
      <c r="D5301" s="662">
        <v>7717.0</v>
      </c>
      <c r="E5301" s="663" t="s">
        <v>478</v>
      </c>
      <c r="F5301" s="664">
        <v>1.0</v>
      </c>
      <c r="G5301" s="568">
        <v>200000.0</v>
      </c>
      <c r="H5301" s="74">
        <v>0.0</v>
      </c>
      <c r="I5301" s="74">
        <f t="shared" si="1"/>
        <v>200000</v>
      </c>
      <c r="J5301" s="74">
        <f>IF(E5301="SERVICE",I5301-(I5301*50%),Vlookup(E5301,DATABASE!C:Q,10,false)*F5301)</f>
        <v>25000</v>
      </c>
      <c r="K5301" s="74">
        <f>VLOOKUP(E5301,DATABASE!C:Q,7,false)</f>
        <v>75000</v>
      </c>
      <c r="L5301" s="74">
        <v>75000.0</v>
      </c>
      <c r="M5301" s="74">
        <f t="shared" si="2"/>
        <v>75000</v>
      </c>
      <c r="N5301" s="74">
        <f t="shared" si="3"/>
        <v>100000</v>
      </c>
      <c r="O5301" s="65" t="str">
        <f>VLOOKUP(E5301,DATABASE!C:Q,8,false)</f>
        <v>BIAN</v>
      </c>
      <c r="P5301" s="65">
        <f>VLOOKUP(E5301,DATABASE!C:Q,9,False)</f>
        <v>0</v>
      </c>
      <c r="Q5301" s="93" t="str">
        <f>VLOOKUP(E5301,DATABASE!C:Q,4,false)</f>
        <v>Baut Camber ss-carry</v>
      </c>
      <c r="R5301" s="93" t="str">
        <f>VLOOKUP(E5301,DATABASE!C:Q,11,false)</f>
        <v>COMPLEMENTARY</v>
      </c>
    </row>
    <row r="5302" ht="22.5" customHeight="1">
      <c r="A5302" s="49"/>
      <c r="C5302" s="666">
        <v>45966.0</v>
      </c>
      <c r="D5302" s="667">
        <v>7718.0</v>
      </c>
      <c r="E5302" s="668" t="s">
        <v>614</v>
      </c>
      <c r="F5302" s="670">
        <v>1.0</v>
      </c>
      <c r="G5302" s="568">
        <v>820000.0</v>
      </c>
      <c r="H5302" s="74">
        <v>0.0</v>
      </c>
      <c r="I5302" s="74">
        <f t="shared" si="1"/>
        <v>820000</v>
      </c>
      <c r="J5302" s="74">
        <f>IF(E5302="SERVICE",I5302-(I5302*50%),Vlookup(E5302,DATABASE!C:Q,10,false)*F5302)</f>
        <v>0</v>
      </c>
      <c r="K5302" s="74">
        <f>VLOOKUP(E5302,DATABASE!C:Q,7,false)</f>
        <v>754660.6</v>
      </c>
      <c r="L5302" s="74">
        <v>766438.4</v>
      </c>
      <c r="M5302" s="74">
        <f t="shared" si="2"/>
        <v>770000</v>
      </c>
      <c r="N5302" s="74">
        <f t="shared" si="3"/>
        <v>50000</v>
      </c>
      <c r="O5302" s="65" t="str">
        <f>VLOOKUP(E5302,DATABASE!C:Q,8,false)</f>
        <v>IBU</v>
      </c>
      <c r="P5302" s="65">
        <f>VLOOKUP(E5302,DATABASE!C:Q,9,False)</f>
        <v>1</v>
      </c>
      <c r="Q5302" s="93" t="str">
        <f>VLOOKUP(E5302,DATABASE!C:Q,4,false)</f>
        <v>Bridgestone</v>
      </c>
      <c r="R5302" s="93" t="str">
        <f>VLOOKUP(E5302,DATABASE!C:Q,11,false)</f>
        <v>Tire</v>
      </c>
      <c r="U5302" s="9"/>
    </row>
    <row r="5303" ht="22.5" customHeight="1">
      <c r="A5303" s="49"/>
      <c r="C5303" s="661">
        <v>45966.0</v>
      </c>
      <c r="D5303" s="662">
        <v>7719.0</v>
      </c>
      <c r="E5303" s="663" t="s">
        <v>1597</v>
      </c>
      <c r="F5303" s="664">
        <v>2.0</v>
      </c>
      <c r="G5303" s="584">
        <v>645000.0</v>
      </c>
      <c r="H5303" s="74">
        <v>0.0</v>
      </c>
      <c r="I5303" s="74">
        <f t="shared" si="1"/>
        <v>1290000</v>
      </c>
      <c r="J5303" s="74">
        <f>IF(E5303="SERVICE",I5303-(I5303*50%),Vlookup(E5303,DATABASE!C:Q,10,false)*F5303)</f>
        <v>0</v>
      </c>
      <c r="K5303" s="74">
        <f>VLOOKUP(E5303,DATABASE!C:Q,7,false)</f>
        <v>560700</v>
      </c>
      <c r="L5303" s="74">
        <v>544300.0</v>
      </c>
      <c r="M5303" s="74">
        <f t="shared" si="2"/>
        <v>545000</v>
      </c>
      <c r="N5303" s="74">
        <f t="shared" si="3"/>
        <v>200000</v>
      </c>
      <c r="O5303" s="65" t="str">
        <f>VLOOKUP(E5303,DATABASE!C:Q,8,false)</f>
        <v>BIAN</v>
      </c>
      <c r="P5303" s="65">
        <f>VLOOKUP(E5303,DATABASE!C:Q,9,False)</f>
        <v>1</v>
      </c>
      <c r="Q5303" s="93" t="str">
        <f>VLOOKUP(E5303,DATABASE!C:Q,4,false)</f>
        <v>GT</v>
      </c>
      <c r="R5303" s="93" t="str">
        <f>VLOOKUP(E5303,DATABASE!C:Q,11,false)</f>
        <v>Tire</v>
      </c>
      <c r="U5303" s="9">
        <v>1290000.0</v>
      </c>
    </row>
    <row r="5304" ht="22.5" customHeight="1">
      <c r="A5304" s="49"/>
      <c r="C5304" s="666">
        <v>45966.0</v>
      </c>
      <c r="D5304" s="667">
        <v>7719.0</v>
      </c>
      <c r="E5304" s="671" t="s">
        <v>299</v>
      </c>
      <c r="F5304" s="664">
        <v>2.0</v>
      </c>
      <c r="G5304" s="568">
        <v>30000.0</v>
      </c>
      <c r="H5304" s="74">
        <v>0.0</v>
      </c>
      <c r="I5304" s="74">
        <f t="shared" si="1"/>
        <v>60000</v>
      </c>
      <c r="J5304" s="74">
        <f>IF(E5304="SERVICE",I5304-(I5304*50%),Vlookup(E5304,DATABASE!C:Q,10,false)*F5304)</f>
        <v>0</v>
      </c>
      <c r="K5304" s="74">
        <f>VLOOKUP(E5304,DATABASE!C:Q,7,false)</f>
        <v>10000</v>
      </c>
      <c r="L5304" s="74">
        <v>5000.0</v>
      </c>
      <c r="M5304" s="74">
        <f t="shared" si="2"/>
        <v>5000</v>
      </c>
      <c r="N5304" s="74">
        <f t="shared" si="3"/>
        <v>50000</v>
      </c>
      <c r="O5304" s="65" t="str">
        <f>VLOOKUP(E5304,DATABASE!C:Q,8,false)</f>
        <v>BIAN</v>
      </c>
      <c r="P5304" s="65">
        <f>VLOOKUP(E5304,DATABASE!C:Q,9,False)</f>
        <v>0</v>
      </c>
      <c r="Q5304" s="93" t="str">
        <f>VLOOKUP(E5304,DATABASE!C:Q,4,false)</f>
        <v>Balancing</v>
      </c>
      <c r="R5304" s="93" t="str">
        <f>VLOOKUP(E5304,DATABASE!C:Q,11,false)</f>
        <v>COMPLEMENTARY</v>
      </c>
    </row>
    <row r="5305" ht="22.5" customHeight="1">
      <c r="A5305" s="49"/>
      <c r="C5305" s="661">
        <v>45966.0</v>
      </c>
      <c r="D5305" s="662">
        <v>7719.0</v>
      </c>
      <c r="E5305" s="663" t="s">
        <v>256</v>
      </c>
      <c r="F5305" s="664">
        <v>1.0</v>
      </c>
      <c r="G5305" s="584">
        <v>130000.0</v>
      </c>
      <c r="H5305" s="74">
        <v>0.0</v>
      </c>
      <c r="I5305" s="74">
        <f t="shared" si="1"/>
        <v>130000</v>
      </c>
      <c r="J5305" s="74">
        <f>IF(E5305="SERVICE",I5305-(I5305*50%),Vlookup(E5305,DATABASE!C:Q,10,false)*F5305)</f>
        <v>10000</v>
      </c>
      <c r="K5305" s="74">
        <f>VLOOKUP(E5305,DATABASE!C:Q,7,false)</f>
        <v>0</v>
      </c>
      <c r="L5305" s="74">
        <v>0.0</v>
      </c>
      <c r="M5305" s="74">
        <f t="shared" si="2"/>
        <v>0</v>
      </c>
      <c r="N5305" s="74">
        <f t="shared" si="3"/>
        <v>120000</v>
      </c>
      <c r="O5305" s="65" t="str">
        <f>VLOOKUP(E5305,DATABASE!C:Q,8,false)</f>
        <v>IBU</v>
      </c>
      <c r="P5305" s="65">
        <f>VLOOKUP(E5305,DATABASE!C:Q,9,False)</f>
        <v>0</v>
      </c>
      <c r="Q5305" s="93" t="str">
        <f>VLOOKUP(E5305,DATABASE!C:Q,4,false)</f>
        <v>SPOORING</v>
      </c>
      <c r="R5305" s="93" t="str">
        <f>VLOOKUP(E5305,DATABASE!C:Q,11,false)</f>
        <v>SERVICE</v>
      </c>
    </row>
    <row r="5306" ht="22.5" customHeight="1">
      <c r="A5306" s="49"/>
      <c r="C5306" s="666">
        <v>45966.0</v>
      </c>
      <c r="D5306" s="662">
        <v>7719.0</v>
      </c>
      <c r="E5306" s="672" t="s">
        <v>251</v>
      </c>
      <c r="F5306" s="664">
        <v>1.0</v>
      </c>
      <c r="G5306" s="568">
        <v>150000.0</v>
      </c>
      <c r="H5306" s="74">
        <v>0.0</v>
      </c>
      <c r="I5306" s="74">
        <f t="shared" si="1"/>
        <v>150000</v>
      </c>
      <c r="J5306" s="74">
        <f>IF(E5306="SERVICE",I5306-(I5306*50%),Vlookup(E5306,DATABASE!C:Q,10,false)*F5306)</f>
        <v>75000</v>
      </c>
      <c r="K5306" s="74">
        <f>VLOOKUP(E5306,DATABASE!C:Q,7,false)</f>
        <v>0</v>
      </c>
      <c r="L5306" s="74">
        <v>0.0</v>
      </c>
      <c r="M5306" s="74">
        <f t="shared" si="2"/>
        <v>0</v>
      </c>
      <c r="N5306" s="74">
        <f t="shared" si="3"/>
        <v>75000</v>
      </c>
      <c r="O5306" s="65" t="str">
        <f>VLOOKUP(E5306,DATABASE!C:Q,8,false)</f>
        <v>IBU</v>
      </c>
      <c r="P5306" s="65">
        <f>VLOOKUP(E5306,DATABASE!C:Q,9,False)</f>
        <v>0</v>
      </c>
      <c r="Q5306" s="93" t="str">
        <f>VLOOKUP(E5306,DATABASE!C:Q,4,false)</f>
        <v>SERVICE</v>
      </c>
      <c r="R5306" s="93" t="str">
        <f>VLOOKUP(E5306,DATABASE!C:Q,11,false)</f>
        <v>SERVICE</v>
      </c>
    </row>
    <row r="5307" ht="22.5" customHeight="1">
      <c r="A5307" s="49"/>
      <c r="C5307" s="661">
        <v>45966.0</v>
      </c>
      <c r="D5307" s="667">
        <v>7721.0</v>
      </c>
      <c r="E5307" s="672" t="s">
        <v>937</v>
      </c>
      <c r="F5307" s="664">
        <v>1.0</v>
      </c>
      <c r="G5307" s="584">
        <v>880000.0</v>
      </c>
      <c r="H5307" s="74">
        <v>0.0</v>
      </c>
      <c r="I5307" s="74">
        <f t="shared" si="1"/>
        <v>880000</v>
      </c>
      <c r="J5307" s="74">
        <f>IF(E5307="SERVICE",I5307-(I5307*50%),Vlookup(E5307,DATABASE!C:Q,10,false)*F5307)</f>
        <v>0</v>
      </c>
      <c r="K5307" s="74">
        <f>VLOOKUP(E5307,DATABASE!C:Q,7,false)</f>
        <v>825000</v>
      </c>
      <c r="L5307" s="74">
        <v>790000.0</v>
      </c>
      <c r="M5307" s="74">
        <f t="shared" si="2"/>
        <v>790000</v>
      </c>
      <c r="N5307" s="74">
        <f t="shared" si="3"/>
        <v>90000</v>
      </c>
      <c r="O5307" s="65" t="str">
        <f>VLOOKUP(E5307,DATABASE!C:Q,8,false)</f>
        <v>IBU</v>
      </c>
      <c r="P5307" s="65">
        <f>VLOOKUP(E5307,DATABASE!C:Q,9,False)</f>
        <v>1</v>
      </c>
      <c r="Q5307" s="93" t="str">
        <f>VLOOKUP(E5307,DATABASE!C:Q,4,false)</f>
        <v>Bridgestone</v>
      </c>
      <c r="R5307" s="93" t="str">
        <f>VLOOKUP(E5307,DATABASE!C:Q,11,false)</f>
        <v>Tire</v>
      </c>
      <c r="U5307" s="9"/>
    </row>
    <row r="5308" ht="22.5" customHeight="1">
      <c r="A5308" s="49"/>
      <c r="C5308" s="666">
        <v>45966.0</v>
      </c>
      <c r="D5308" s="662">
        <v>7722.0</v>
      </c>
      <c r="E5308" s="672" t="s">
        <v>268</v>
      </c>
      <c r="F5308" s="664">
        <v>1.0</v>
      </c>
      <c r="G5308" s="568">
        <v>710000.0</v>
      </c>
      <c r="H5308" s="74">
        <v>0.0</v>
      </c>
      <c r="I5308" s="74">
        <f t="shared" si="1"/>
        <v>710000</v>
      </c>
      <c r="J5308" s="74">
        <f>IF(E5308="SERVICE",I5308-(I5308*50%),Vlookup(E5308,DATABASE!C:Q,10,false)*F5308)</f>
        <v>0</v>
      </c>
      <c r="K5308" s="74">
        <f>VLOOKUP(E5308,DATABASE!C:Q,7,false)</f>
        <v>653000</v>
      </c>
      <c r="L5308" s="74">
        <v>622000.0</v>
      </c>
      <c r="M5308" s="74">
        <f t="shared" si="2"/>
        <v>625000</v>
      </c>
      <c r="N5308" s="74">
        <f t="shared" si="3"/>
        <v>85000</v>
      </c>
      <c r="O5308" s="65" t="str">
        <f>VLOOKUP(E5308,DATABASE!C:Q,8,false)</f>
        <v>IBU</v>
      </c>
      <c r="P5308" s="65">
        <f>VLOOKUP(E5308,DATABASE!C:Q,9,False)</f>
        <v>1</v>
      </c>
      <c r="Q5308" s="93" t="str">
        <f>VLOOKUP(E5308,DATABASE!C:Q,4,false)</f>
        <v>Dunlop</v>
      </c>
      <c r="R5308" s="93" t="str">
        <f>VLOOKUP(E5308,DATABASE!C:Q,11,false)</f>
        <v>Tire</v>
      </c>
      <c r="U5308" s="9"/>
    </row>
    <row r="5309" ht="22.5" customHeight="1">
      <c r="A5309" s="49"/>
      <c r="C5309" s="666">
        <v>45966.0</v>
      </c>
      <c r="D5309" s="667">
        <v>7722.0</v>
      </c>
      <c r="E5309" s="668" t="s">
        <v>262</v>
      </c>
      <c r="F5309" s="664">
        <v>1.0</v>
      </c>
      <c r="G5309" s="669">
        <v>110000.0</v>
      </c>
      <c r="H5309" s="74">
        <v>0.0</v>
      </c>
      <c r="I5309" s="74">
        <f t="shared" si="1"/>
        <v>110000</v>
      </c>
      <c r="J5309" s="74">
        <f>IF(E5309="SERVICE",I5309-(I5309*50%),Vlookup(E5309,DATABASE!C:Q,10,false)*F5309)</f>
        <v>5000</v>
      </c>
      <c r="K5309" s="74">
        <f>VLOOKUP(E5309,DATABASE!C:Q,7,false)</f>
        <v>0</v>
      </c>
      <c r="L5309" s="74">
        <v>0.0</v>
      </c>
      <c r="M5309" s="74">
        <f t="shared" si="2"/>
        <v>0</v>
      </c>
      <c r="N5309" s="74">
        <f t="shared" si="3"/>
        <v>105000</v>
      </c>
      <c r="O5309" s="65" t="str">
        <f>VLOOKUP(E5309,DATABASE!C:Q,8,false)</f>
        <v>IBU</v>
      </c>
      <c r="P5309" s="65">
        <f>VLOOKUP(E5309,DATABASE!C:Q,9,False)</f>
        <v>0</v>
      </c>
      <c r="Q5309" s="93" t="str">
        <f>VLOOKUP(E5309,DATABASE!C:Q,4,false)</f>
        <v>SPOORING SS/CARRY LOS BAK</v>
      </c>
      <c r="R5309" s="93" t="str">
        <f>VLOOKUP(E5309,DATABASE!C:Q,11,false)</f>
        <v>SERVICE</v>
      </c>
    </row>
    <row r="5310" ht="22.5" customHeight="1">
      <c r="A5310" s="49"/>
      <c r="C5310" s="661">
        <v>45966.0</v>
      </c>
      <c r="D5310" s="662">
        <v>7722.0</v>
      </c>
      <c r="E5310" s="663" t="s">
        <v>478</v>
      </c>
      <c r="F5310" s="664">
        <v>1.0</v>
      </c>
      <c r="G5310" s="568">
        <v>200000.0</v>
      </c>
      <c r="H5310" s="74">
        <v>0.0</v>
      </c>
      <c r="I5310" s="74">
        <f t="shared" si="1"/>
        <v>200000</v>
      </c>
      <c r="J5310" s="74">
        <f>IF(E5310="SERVICE",I5310-(I5310*50%),Vlookup(E5310,DATABASE!C:Q,10,false)*F5310)</f>
        <v>25000</v>
      </c>
      <c r="K5310" s="74">
        <f>VLOOKUP(E5310,DATABASE!C:Q,7,false)</f>
        <v>75000</v>
      </c>
      <c r="L5310" s="74">
        <v>75000.0</v>
      </c>
      <c r="M5310" s="74">
        <f t="shared" si="2"/>
        <v>75000</v>
      </c>
      <c r="N5310" s="74">
        <f t="shared" si="3"/>
        <v>100000</v>
      </c>
      <c r="O5310" s="65" t="str">
        <f>VLOOKUP(E5310,DATABASE!C:Q,8,false)</f>
        <v>BIAN</v>
      </c>
      <c r="P5310" s="65">
        <f>VLOOKUP(E5310,DATABASE!C:Q,9,False)</f>
        <v>0</v>
      </c>
      <c r="Q5310" s="93" t="str">
        <f>VLOOKUP(E5310,DATABASE!C:Q,4,false)</f>
        <v>Baut Camber ss-carry</v>
      </c>
      <c r="R5310" s="93" t="str">
        <f>VLOOKUP(E5310,DATABASE!C:Q,11,false)</f>
        <v>COMPLEMENTARY</v>
      </c>
    </row>
    <row r="5311" ht="22.5" customHeight="1">
      <c r="A5311" s="49"/>
      <c r="C5311" s="666">
        <v>45966.0</v>
      </c>
      <c r="D5311" s="667">
        <v>7722.0</v>
      </c>
      <c r="E5311" s="671" t="s">
        <v>299</v>
      </c>
      <c r="F5311" s="664">
        <v>2.0</v>
      </c>
      <c r="G5311" s="568">
        <v>30000.0</v>
      </c>
      <c r="H5311" s="74">
        <v>0.0</v>
      </c>
      <c r="I5311" s="74">
        <f t="shared" si="1"/>
        <v>60000</v>
      </c>
      <c r="J5311" s="74">
        <f>IF(E5311="SERVICE",I5311-(I5311*50%),Vlookup(E5311,DATABASE!C:Q,10,false)*F5311)</f>
        <v>0</v>
      </c>
      <c r="K5311" s="74">
        <f>VLOOKUP(E5311,DATABASE!C:Q,7,false)</f>
        <v>10000</v>
      </c>
      <c r="L5311" s="74">
        <v>5000.0</v>
      </c>
      <c r="M5311" s="74">
        <f t="shared" si="2"/>
        <v>5000</v>
      </c>
      <c r="N5311" s="74">
        <f t="shared" si="3"/>
        <v>50000</v>
      </c>
      <c r="O5311" s="65" t="str">
        <f>VLOOKUP(E5311,DATABASE!C:Q,8,false)</f>
        <v>BIAN</v>
      </c>
      <c r="P5311" s="65">
        <f>VLOOKUP(E5311,DATABASE!C:Q,9,False)</f>
        <v>0</v>
      </c>
      <c r="Q5311" s="93" t="str">
        <f>VLOOKUP(E5311,DATABASE!C:Q,4,false)</f>
        <v>Balancing</v>
      </c>
      <c r="R5311" s="93" t="str">
        <f>VLOOKUP(E5311,DATABASE!C:Q,11,false)</f>
        <v>COMPLEMENTARY</v>
      </c>
    </row>
    <row r="5312" ht="22.5" customHeight="1">
      <c r="A5312" s="49"/>
      <c r="C5312" s="661">
        <v>45966.0</v>
      </c>
      <c r="D5312" s="673">
        <v>7723.0</v>
      </c>
      <c r="E5312" s="672" t="s">
        <v>275</v>
      </c>
      <c r="F5312" s="664">
        <v>2.0</v>
      </c>
      <c r="G5312" s="584">
        <v>830000.0</v>
      </c>
      <c r="H5312" s="74">
        <v>0.0</v>
      </c>
      <c r="I5312" s="74">
        <f t="shared" si="1"/>
        <v>1660000</v>
      </c>
      <c r="J5312" s="74">
        <f>IF(E5312="SERVICE",I5312-(I5312*50%),Vlookup(E5312,DATABASE!C:Q,10,false)*F5312)</f>
        <v>0</v>
      </c>
      <c r="K5312" s="74">
        <f>VLOOKUP(E5312,DATABASE!C:Q,7,false)</f>
        <v>782000</v>
      </c>
      <c r="L5312" s="74">
        <v>745000.0</v>
      </c>
      <c r="M5312" s="74">
        <f t="shared" si="2"/>
        <v>745000</v>
      </c>
      <c r="N5312" s="74">
        <f t="shared" si="3"/>
        <v>170000</v>
      </c>
      <c r="O5312" s="65" t="str">
        <f>VLOOKUP(E5312,DATABASE!C:Q,8,false)</f>
        <v>IBU</v>
      </c>
      <c r="P5312" s="65">
        <f>VLOOKUP(E5312,DATABASE!C:Q,9,False)</f>
        <v>1</v>
      </c>
      <c r="Q5312" s="93" t="str">
        <f>VLOOKUP(E5312,DATABASE!C:Q,4,false)</f>
        <v>Dunlop</v>
      </c>
      <c r="R5312" s="93" t="str">
        <f>VLOOKUP(E5312,DATABASE!C:Q,11,false)</f>
        <v>Tire</v>
      </c>
      <c r="U5312" s="9"/>
    </row>
    <row r="5313" ht="22.5" customHeight="1">
      <c r="A5313" s="49"/>
      <c r="C5313" s="666">
        <v>45966.0</v>
      </c>
      <c r="D5313" s="673">
        <v>7724.0</v>
      </c>
      <c r="E5313" s="672" t="s">
        <v>275</v>
      </c>
      <c r="F5313" s="664">
        <v>1.0</v>
      </c>
      <c r="G5313" s="568">
        <v>830000.0</v>
      </c>
      <c r="H5313" s="74">
        <v>0.0</v>
      </c>
      <c r="I5313" s="74">
        <f t="shared" si="1"/>
        <v>830000</v>
      </c>
      <c r="J5313" s="74">
        <f>IF(E5313="SERVICE",I5313-(I5313*50%),Vlookup(E5313,DATABASE!C:Q,10,false)*F5313)</f>
        <v>0</v>
      </c>
      <c r="K5313" s="74">
        <f>VLOOKUP(E5313,DATABASE!C:Q,7,false)</f>
        <v>782000</v>
      </c>
      <c r="L5313" s="74">
        <v>745000.0</v>
      </c>
      <c r="M5313" s="74">
        <f t="shared" si="2"/>
        <v>745000</v>
      </c>
      <c r="N5313" s="74">
        <f t="shared" si="3"/>
        <v>85000</v>
      </c>
      <c r="O5313" s="65" t="str">
        <f>VLOOKUP(E5313,DATABASE!C:Q,8,false)</f>
        <v>IBU</v>
      </c>
      <c r="P5313" s="65">
        <f>VLOOKUP(E5313,DATABASE!C:Q,9,False)</f>
        <v>1</v>
      </c>
      <c r="Q5313" s="93" t="str">
        <f>VLOOKUP(E5313,DATABASE!C:Q,4,false)</f>
        <v>Dunlop</v>
      </c>
      <c r="R5313" s="93" t="str">
        <f>VLOOKUP(E5313,DATABASE!C:Q,11,false)</f>
        <v>Tire</v>
      </c>
      <c r="U5313" s="9"/>
    </row>
    <row r="5314" ht="22.5" customHeight="1">
      <c r="A5314" s="49"/>
      <c r="C5314" s="661">
        <v>45966.0</v>
      </c>
      <c r="D5314" s="673">
        <v>7725.0</v>
      </c>
      <c r="E5314" s="672" t="s">
        <v>265</v>
      </c>
      <c r="F5314" s="664">
        <v>1.0</v>
      </c>
      <c r="G5314" s="584">
        <v>685000.0</v>
      </c>
      <c r="H5314" s="74">
        <v>0.0</v>
      </c>
      <c r="I5314" s="74">
        <f t="shared" si="1"/>
        <v>685000</v>
      </c>
      <c r="J5314" s="74">
        <f>IF(E5314="SERVICE",I5314-(I5314*50%),Vlookup(E5314,DATABASE!C:Q,10,false)*F5314)</f>
        <v>0</v>
      </c>
      <c r="K5314" s="74">
        <f>VLOOKUP(E5314,DATABASE!C:Q,7,false)</f>
        <v>628000</v>
      </c>
      <c r="L5314" s="74">
        <v>610000.0</v>
      </c>
      <c r="M5314" s="74">
        <f t="shared" si="2"/>
        <v>610000</v>
      </c>
      <c r="N5314" s="74">
        <f t="shared" si="3"/>
        <v>75000</v>
      </c>
      <c r="O5314" s="65" t="str">
        <f>VLOOKUP(E5314,DATABASE!C:Q,8,false)</f>
        <v>IBU</v>
      </c>
      <c r="P5314" s="65">
        <f>VLOOKUP(E5314,DATABASE!C:Q,9,False)</f>
        <v>1</v>
      </c>
      <c r="Q5314" s="93" t="str">
        <f>VLOOKUP(E5314,DATABASE!C:Q,4,false)</f>
        <v>Dunlop</v>
      </c>
      <c r="R5314" s="93" t="str">
        <f>VLOOKUP(E5314,DATABASE!C:Q,11,false)</f>
        <v>Tire</v>
      </c>
      <c r="U5314" s="9"/>
    </row>
    <row r="5315" ht="22.5" customHeight="1">
      <c r="A5315" s="49"/>
      <c r="C5315" s="666">
        <v>45966.0</v>
      </c>
      <c r="D5315" s="673">
        <v>7726.0</v>
      </c>
      <c r="E5315" s="672" t="s">
        <v>856</v>
      </c>
      <c r="F5315" s="664">
        <v>1.0</v>
      </c>
      <c r="G5315" s="568">
        <v>670000.0</v>
      </c>
      <c r="H5315" s="74">
        <v>0.0</v>
      </c>
      <c r="I5315" s="74">
        <f t="shared" si="1"/>
        <v>670000</v>
      </c>
      <c r="J5315" s="74">
        <f>IF(E5315="SERVICE",I5315-(I5315*50%),Vlookup(E5315,DATABASE!C:Q,10,false)*F5315)</f>
        <v>0</v>
      </c>
      <c r="K5315" s="74">
        <f>VLOOKUP(E5315,DATABASE!C:Q,7,false)</f>
        <v>615300</v>
      </c>
      <c r="L5315" s="74">
        <v>581120.0</v>
      </c>
      <c r="M5315" s="74">
        <f t="shared" si="2"/>
        <v>585000</v>
      </c>
      <c r="N5315" s="74">
        <f t="shared" si="3"/>
        <v>85000</v>
      </c>
      <c r="O5315" s="65" t="str">
        <f>VLOOKUP(E5315,DATABASE!C:Q,8,false)</f>
        <v>BIAN</v>
      </c>
      <c r="P5315" s="65">
        <f>VLOOKUP(E5315,DATABASE!C:Q,9,False)</f>
        <v>1</v>
      </c>
      <c r="Q5315" s="93" t="str">
        <f>VLOOKUP(E5315,DATABASE!C:Q,4,false)</f>
        <v>GT</v>
      </c>
      <c r="R5315" s="93" t="str">
        <f>VLOOKUP(E5315,DATABASE!C:Q,11,false)</f>
        <v>Tire</v>
      </c>
      <c r="U5315" s="9">
        <v>670000.0</v>
      </c>
    </row>
    <row r="5316" ht="22.5" customHeight="1">
      <c r="A5316" s="49"/>
      <c r="C5316" s="661">
        <v>45966.0</v>
      </c>
      <c r="D5316" s="673">
        <v>7727.0</v>
      </c>
      <c r="E5316" s="672" t="s">
        <v>262</v>
      </c>
      <c r="F5316" s="664">
        <v>1.0</v>
      </c>
      <c r="G5316" s="584">
        <v>110000.0</v>
      </c>
      <c r="H5316" s="74">
        <v>0.0</v>
      </c>
      <c r="I5316" s="74">
        <f t="shared" si="1"/>
        <v>110000</v>
      </c>
      <c r="J5316" s="74">
        <f>IF(E5316="SERVICE",I5316-(I5316*50%),Vlookup(E5316,DATABASE!C:Q,10,false)*F5316)</f>
        <v>5000</v>
      </c>
      <c r="K5316" s="74">
        <f>VLOOKUP(E5316,DATABASE!C:Q,7,false)</f>
        <v>0</v>
      </c>
      <c r="L5316" s="74">
        <v>0.0</v>
      </c>
      <c r="M5316" s="74">
        <f t="shared" si="2"/>
        <v>0</v>
      </c>
      <c r="N5316" s="74">
        <f t="shared" si="3"/>
        <v>105000</v>
      </c>
      <c r="O5316" s="65" t="str">
        <f>VLOOKUP(E5316,DATABASE!C:Q,8,false)</f>
        <v>IBU</v>
      </c>
      <c r="P5316" s="65">
        <f>VLOOKUP(E5316,DATABASE!C:Q,9,False)</f>
        <v>0</v>
      </c>
      <c r="Q5316" s="93" t="str">
        <f>VLOOKUP(E5316,DATABASE!C:Q,4,false)</f>
        <v>SPOORING SS/CARRY LOS BAK</v>
      </c>
      <c r="R5316" s="93" t="str">
        <f>VLOOKUP(E5316,DATABASE!C:Q,11,false)</f>
        <v>SERVICE</v>
      </c>
    </row>
    <row r="5317" ht="22.5" customHeight="1">
      <c r="A5317" s="49"/>
      <c r="C5317" s="666">
        <v>45966.0</v>
      </c>
      <c r="D5317" s="673">
        <v>7727.0</v>
      </c>
      <c r="E5317" s="672" t="s">
        <v>2154</v>
      </c>
      <c r="F5317" s="664">
        <v>1.0</v>
      </c>
      <c r="G5317" s="568">
        <v>225000.0</v>
      </c>
      <c r="H5317" s="74">
        <v>0.0</v>
      </c>
      <c r="I5317" s="74">
        <f t="shared" si="1"/>
        <v>225000</v>
      </c>
      <c r="J5317" s="74">
        <f>IF(E5317="SERVICE",I5317-(I5317*50%),Vlookup(E5317,DATABASE!C:Q,10,false)*F5317)</f>
        <v>80000</v>
      </c>
      <c r="K5317" s="74">
        <f>VLOOKUP(E5317,DATABASE!C:Q,7,false)</f>
        <v>90000</v>
      </c>
      <c r="L5317" s="74">
        <v>65000.0</v>
      </c>
      <c r="M5317" s="74">
        <f t="shared" si="2"/>
        <v>65000</v>
      </c>
      <c r="N5317" s="74">
        <f t="shared" si="3"/>
        <v>80000</v>
      </c>
      <c r="O5317" s="65" t="str">
        <f>VLOOKUP(E5317,DATABASE!C:Q,8,false)</f>
        <v>IBU</v>
      </c>
      <c r="P5317" s="65">
        <f>VLOOKUP(E5317,DATABASE!C:Q,9,False)</f>
        <v>0</v>
      </c>
      <c r="Q5317" s="93" t="str">
        <f>VLOOKUP(E5317,DATABASE!C:Q,4,false)</f>
        <v>SERVICE</v>
      </c>
      <c r="R5317" s="93" t="str">
        <f>VLOOKUP(E5317,DATABASE!C:Q,11,false)</f>
        <v>COMPLEMENTARY</v>
      </c>
    </row>
    <row r="5318" ht="22.5" customHeight="1">
      <c r="A5318" s="49"/>
      <c r="C5318" s="666">
        <v>45966.0</v>
      </c>
      <c r="D5318" s="673">
        <v>7728.0</v>
      </c>
      <c r="E5318" s="672" t="s">
        <v>2140</v>
      </c>
      <c r="F5318" s="664">
        <v>2.0</v>
      </c>
      <c r="G5318" s="568">
        <v>20000.0</v>
      </c>
      <c r="H5318" s="74">
        <v>0.0</v>
      </c>
      <c r="I5318" s="74">
        <f t="shared" si="1"/>
        <v>40000</v>
      </c>
      <c r="J5318" s="74">
        <f>IF(E5318="SERVICE",I5318-(I5318*50%),Vlookup(E5318,DATABASE!C:Q,10,false)*F5318)</f>
        <v>0</v>
      </c>
      <c r="K5318" s="74">
        <f>VLOOKUP(E5318,DATABASE!C:Q,7,false)</f>
        <v>5000</v>
      </c>
      <c r="L5318" s="74">
        <v>0.0</v>
      </c>
      <c r="M5318" s="74">
        <f t="shared" si="2"/>
        <v>0</v>
      </c>
      <c r="N5318" s="74">
        <f t="shared" si="3"/>
        <v>40000</v>
      </c>
      <c r="O5318" s="65" t="str">
        <f>VLOOKUP(E5318,DATABASE!C:Q,8,false)</f>
        <v>IBU</v>
      </c>
      <c r="P5318" s="65">
        <f>VLOOKUP(E5318,DATABASE!C:Q,9,False)</f>
        <v>0</v>
      </c>
      <c r="Q5318" s="93" t="str">
        <f>VLOOKUP(E5318,DATABASE!C:Q,4,false)</f>
        <v>PENTIL + PASANG</v>
      </c>
      <c r="R5318" s="93" t="str">
        <f>VLOOKUP(E5318,DATABASE!C:Q,11,false)</f>
        <v>COMPLEMENTARY</v>
      </c>
    </row>
    <row r="5319" ht="22.5" customHeight="1">
      <c r="A5319" s="49"/>
      <c r="C5319" s="661">
        <v>45966.0</v>
      </c>
      <c r="D5319" s="673" t="s">
        <v>0</v>
      </c>
      <c r="E5319" s="672" t="s">
        <v>2174</v>
      </c>
      <c r="F5319" s="664">
        <v>1.0</v>
      </c>
      <c r="G5319" s="584">
        <v>215000.0</v>
      </c>
      <c r="H5319" s="74">
        <v>0.0</v>
      </c>
      <c r="I5319" s="74">
        <f t="shared" si="1"/>
        <v>215000</v>
      </c>
      <c r="J5319" s="74">
        <f>IF(E5319="SERVICE",I5319-(I5319*50%),Vlookup(E5319,DATABASE!C:Q,10,false)*F5319)</f>
        <v>0</v>
      </c>
      <c r="K5319" s="74">
        <f>VLOOKUP(E5319,DATABASE!C:Q,7,false)</f>
        <v>225314</v>
      </c>
      <c r="L5319" s="74">
        <v>179445.0</v>
      </c>
      <c r="M5319" s="74">
        <f t="shared" si="2"/>
        <v>180000</v>
      </c>
      <c r="N5319" s="74">
        <f t="shared" si="3"/>
        <v>35000</v>
      </c>
      <c r="O5319" s="65" t="str">
        <f>VLOOKUP(E5319,DATABASE!C:Q,8,false)</f>
        <v>NON</v>
      </c>
      <c r="P5319" s="65">
        <f>VLOOKUP(E5319,DATABASE!C:Q,9,False)</f>
        <v>0</v>
      </c>
      <c r="Q5319" s="93" t="str">
        <f>VLOOKUP(E5319,DATABASE!C:Q,4,false)</f>
        <v>Shell</v>
      </c>
      <c r="R5319" s="93" t="str">
        <f>VLOOKUP(E5319,DATABASE!C:Q,11,false)</f>
        <v>OIL</v>
      </c>
    </row>
    <row r="5320" ht="22.5" customHeight="1">
      <c r="A5320" s="49"/>
      <c r="C5320" s="661">
        <v>45967.0</v>
      </c>
      <c r="D5320" s="673">
        <v>7729.0</v>
      </c>
      <c r="E5320" s="672" t="s">
        <v>268</v>
      </c>
      <c r="F5320" s="664">
        <v>2.0</v>
      </c>
      <c r="G5320" s="584">
        <v>710000.0</v>
      </c>
      <c r="H5320" s="74">
        <v>0.0</v>
      </c>
      <c r="I5320" s="74">
        <f t="shared" si="1"/>
        <v>1420000</v>
      </c>
      <c r="J5320" s="74">
        <f>IF(E5320="SERVICE",I5320-(I5320*50%),Vlookup(E5320,DATABASE!C:Q,10,false)*F5320)</f>
        <v>0</v>
      </c>
      <c r="K5320" s="74">
        <f>VLOOKUP(E5320,DATABASE!C:Q,7,false)</f>
        <v>653000</v>
      </c>
      <c r="L5320" s="74">
        <v>622000.0</v>
      </c>
      <c r="M5320" s="74">
        <f t="shared" si="2"/>
        <v>625000</v>
      </c>
      <c r="N5320" s="74">
        <f t="shared" si="3"/>
        <v>170000</v>
      </c>
      <c r="O5320" s="65" t="str">
        <f>VLOOKUP(E5320,DATABASE!C:Q,8,false)</f>
        <v>IBU</v>
      </c>
      <c r="P5320" s="65">
        <f>VLOOKUP(E5320,DATABASE!C:Q,9,False)</f>
        <v>1</v>
      </c>
      <c r="Q5320" s="93" t="str">
        <f>VLOOKUP(E5320,DATABASE!C:Q,4,false)</f>
        <v>Dunlop</v>
      </c>
      <c r="R5320" s="93" t="str">
        <f>VLOOKUP(E5320,DATABASE!C:Q,11,false)</f>
        <v>Tire</v>
      </c>
      <c r="U5320" s="9"/>
    </row>
    <row r="5321" ht="22.5" customHeight="1">
      <c r="A5321" s="49"/>
      <c r="C5321" s="666">
        <v>45967.0</v>
      </c>
      <c r="D5321" s="673">
        <v>7729.0</v>
      </c>
      <c r="E5321" s="672" t="s">
        <v>2146</v>
      </c>
      <c r="F5321" s="664">
        <v>1.0</v>
      </c>
      <c r="G5321" s="568">
        <v>190000.0</v>
      </c>
      <c r="H5321" s="74">
        <v>0.0</v>
      </c>
      <c r="I5321" s="74">
        <f t="shared" si="1"/>
        <v>190000</v>
      </c>
      <c r="J5321" s="74">
        <f>IF(E5321="SERVICE",I5321-(I5321*50%),Vlookup(E5321,DATABASE!C:Q,10,false)*F5321)</f>
        <v>0</v>
      </c>
      <c r="K5321" s="74">
        <f>VLOOKUP(E5321,DATABASE!C:Q,7,false)</f>
        <v>40000</v>
      </c>
      <c r="L5321" s="74">
        <v>40000.0</v>
      </c>
      <c r="M5321" s="74">
        <f t="shared" si="2"/>
        <v>40000</v>
      </c>
      <c r="N5321" s="74">
        <f t="shared" si="3"/>
        <v>150000</v>
      </c>
      <c r="O5321" s="65" t="str">
        <f>VLOOKUP(E5321,DATABASE!C:Q,8,false)</f>
        <v>NON</v>
      </c>
      <c r="P5321" s="65">
        <f>VLOOKUP(E5321,DATABASE!C:Q,9,False)</f>
        <v>0</v>
      </c>
      <c r="Q5321" s="93" t="str">
        <f>VLOOKUP(E5321,DATABASE!C:Q,4,false)</f>
        <v>Pertamina</v>
      </c>
      <c r="R5321" s="93" t="str">
        <f>VLOOKUP(E5321,DATABASE!C:Q,11,false)</f>
        <v>OIL</v>
      </c>
    </row>
    <row r="5322" ht="22.5" customHeight="1">
      <c r="A5322" s="49"/>
      <c r="C5322" s="661">
        <v>45967.0</v>
      </c>
      <c r="D5322" s="673">
        <v>7730.0</v>
      </c>
      <c r="E5322" s="672" t="s">
        <v>1597</v>
      </c>
      <c r="F5322" s="664">
        <v>1.0</v>
      </c>
      <c r="G5322" s="584">
        <v>630000.0</v>
      </c>
      <c r="H5322" s="74">
        <v>0.0</v>
      </c>
      <c r="I5322" s="74">
        <f t="shared" si="1"/>
        <v>630000</v>
      </c>
      <c r="J5322" s="74">
        <f>IF(E5322="SERVICE",I5322-(I5322*50%),Vlookup(E5322,DATABASE!C:Q,10,false)*F5322)</f>
        <v>0</v>
      </c>
      <c r="K5322" s="74">
        <f>VLOOKUP(E5322,DATABASE!C:Q,7,false)</f>
        <v>560700</v>
      </c>
      <c r="L5322" s="74">
        <v>544300.0</v>
      </c>
      <c r="M5322" s="74">
        <f t="shared" si="2"/>
        <v>545000</v>
      </c>
      <c r="N5322" s="74">
        <f t="shared" si="3"/>
        <v>85000</v>
      </c>
      <c r="O5322" s="65" t="str">
        <f>VLOOKUP(E5322,DATABASE!C:Q,8,false)</f>
        <v>BIAN</v>
      </c>
      <c r="P5322" s="65">
        <f>VLOOKUP(E5322,DATABASE!C:Q,9,False)</f>
        <v>1</v>
      </c>
      <c r="Q5322" s="93" t="str">
        <f>VLOOKUP(E5322,DATABASE!C:Q,4,false)</f>
        <v>GT</v>
      </c>
      <c r="R5322" s="93" t="str">
        <f>VLOOKUP(E5322,DATABASE!C:Q,11,false)</f>
        <v>Tire</v>
      </c>
      <c r="U5322" s="9">
        <v>630000.0</v>
      </c>
    </row>
    <row r="5323" ht="22.5" customHeight="1">
      <c r="A5323" s="49"/>
      <c r="C5323" s="666">
        <v>45967.0</v>
      </c>
      <c r="D5323" s="673">
        <v>7730.0</v>
      </c>
      <c r="E5323" s="671" t="s">
        <v>299</v>
      </c>
      <c r="F5323" s="664">
        <v>1.0</v>
      </c>
      <c r="G5323" s="568">
        <v>30000.0</v>
      </c>
      <c r="H5323" s="74">
        <v>0.0</v>
      </c>
      <c r="I5323" s="74">
        <f t="shared" si="1"/>
        <v>30000</v>
      </c>
      <c r="J5323" s="74">
        <f>IF(E5323="SERVICE",I5323-(I5323*50%),Vlookup(E5323,DATABASE!C:Q,10,false)*F5323)</f>
        <v>0</v>
      </c>
      <c r="K5323" s="74">
        <f>VLOOKUP(E5323,DATABASE!C:Q,7,false)</f>
        <v>10000</v>
      </c>
      <c r="L5323" s="74">
        <v>5000.0</v>
      </c>
      <c r="M5323" s="74">
        <f t="shared" si="2"/>
        <v>5000</v>
      </c>
      <c r="N5323" s="74">
        <f t="shared" si="3"/>
        <v>25000</v>
      </c>
      <c r="O5323" s="65" t="str">
        <f>VLOOKUP(E5323,DATABASE!C:Q,8,false)</f>
        <v>BIAN</v>
      </c>
      <c r="P5323" s="65">
        <f>VLOOKUP(E5323,DATABASE!C:Q,9,False)</f>
        <v>0</v>
      </c>
      <c r="Q5323" s="93" t="str">
        <f>VLOOKUP(E5323,DATABASE!C:Q,4,false)</f>
        <v>Balancing</v>
      </c>
      <c r="R5323" s="93" t="str">
        <f>VLOOKUP(E5323,DATABASE!C:Q,11,false)</f>
        <v>COMPLEMENTARY</v>
      </c>
    </row>
    <row r="5324" ht="22.5" customHeight="1">
      <c r="A5324" s="49"/>
      <c r="C5324" s="661">
        <v>45967.0</v>
      </c>
      <c r="D5324" s="673">
        <v>7732.0</v>
      </c>
      <c r="E5324" s="672" t="s">
        <v>246</v>
      </c>
      <c r="F5324" s="664">
        <v>2.0</v>
      </c>
      <c r="G5324" s="584">
        <v>20000.0</v>
      </c>
      <c r="H5324" s="74">
        <v>0.0</v>
      </c>
      <c r="I5324" s="74">
        <f t="shared" si="1"/>
        <v>40000</v>
      </c>
      <c r="J5324" s="74">
        <f>IF(E5324="SERVICE",I5324-(I5324*50%),Vlookup(E5324,DATABASE!C:Q,10,false)*F5324)</f>
        <v>0</v>
      </c>
      <c r="K5324" s="74">
        <f>VLOOKUP(E5324,DATABASE!C:Q,7,false)</f>
        <v>0</v>
      </c>
      <c r="L5324" s="74">
        <v>0.0</v>
      </c>
      <c r="M5324" s="74">
        <f t="shared" si="2"/>
        <v>0</v>
      </c>
      <c r="N5324" s="74">
        <f t="shared" si="3"/>
        <v>40000</v>
      </c>
      <c r="O5324" s="65" t="str">
        <f>VLOOKUP(E5324,DATABASE!C:Q,8,false)</f>
        <v>IBU</v>
      </c>
      <c r="P5324" s="65">
        <f>VLOOKUP(E5324,DATABASE!C:Q,9,False)</f>
        <v>0</v>
      </c>
      <c r="Q5324" s="93" t="str">
        <f>VLOOKUP(E5324,DATABASE!C:Q,4,false)</f>
        <v>Bongkar Pasang</v>
      </c>
      <c r="R5324" s="93" t="str">
        <f>VLOOKUP(E5324,DATABASE!C:Q,11,false)</f>
        <v>SERVICE</v>
      </c>
    </row>
    <row r="5325" ht="22.5" customHeight="1">
      <c r="A5325" s="49"/>
      <c r="C5325" s="666">
        <v>45967.0</v>
      </c>
      <c r="D5325" s="673">
        <v>7733.0</v>
      </c>
      <c r="E5325" s="672" t="s">
        <v>256</v>
      </c>
      <c r="F5325" s="664">
        <v>1.0</v>
      </c>
      <c r="G5325" s="568">
        <v>110000.0</v>
      </c>
      <c r="H5325" s="74">
        <v>0.0</v>
      </c>
      <c r="I5325" s="74">
        <f t="shared" si="1"/>
        <v>110000</v>
      </c>
      <c r="J5325" s="74">
        <f>IF(E5325="SERVICE",I5325-(I5325*50%),Vlookup(E5325,DATABASE!C:Q,10,false)*F5325)</f>
        <v>10000</v>
      </c>
      <c r="K5325" s="74">
        <f>VLOOKUP(E5325,DATABASE!C:Q,7,false)</f>
        <v>0</v>
      </c>
      <c r="L5325" s="74">
        <v>0.0</v>
      </c>
      <c r="M5325" s="74">
        <f t="shared" si="2"/>
        <v>0</v>
      </c>
      <c r="N5325" s="74">
        <f t="shared" si="3"/>
        <v>100000</v>
      </c>
      <c r="O5325" s="65" t="str">
        <f>VLOOKUP(E5325,DATABASE!C:Q,8,false)</f>
        <v>IBU</v>
      </c>
      <c r="P5325" s="65">
        <f>VLOOKUP(E5325,DATABASE!C:Q,9,False)</f>
        <v>0</v>
      </c>
      <c r="Q5325" s="93" t="str">
        <f>VLOOKUP(E5325,DATABASE!C:Q,4,false)</f>
        <v>SPOORING</v>
      </c>
      <c r="R5325" s="93" t="str">
        <f>VLOOKUP(E5325,DATABASE!C:Q,11,false)</f>
        <v>SERVICE</v>
      </c>
    </row>
    <row r="5326" ht="22.5" customHeight="1">
      <c r="A5326" s="49"/>
      <c r="C5326" s="661">
        <v>45967.0</v>
      </c>
      <c r="D5326" s="673">
        <v>7733.0</v>
      </c>
      <c r="E5326" s="672" t="s">
        <v>478</v>
      </c>
      <c r="F5326" s="664">
        <v>1.0</v>
      </c>
      <c r="G5326" s="584">
        <v>200000.0</v>
      </c>
      <c r="H5326" s="74">
        <v>0.0</v>
      </c>
      <c r="I5326" s="74">
        <f t="shared" si="1"/>
        <v>200000</v>
      </c>
      <c r="J5326" s="74">
        <f>IF(E5326="SERVICE",I5326-(I5326*50%),Vlookup(E5326,DATABASE!C:Q,10,false)*F5326)</f>
        <v>25000</v>
      </c>
      <c r="K5326" s="74">
        <f>VLOOKUP(E5326,DATABASE!C:Q,7,false)</f>
        <v>75000</v>
      </c>
      <c r="L5326" s="74">
        <v>75000.0</v>
      </c>
      <c r="M5326" s="74">
        <f t="shared" si="2"/>
        <v>75000</v>
      </c>
      <c r="N5326" s="74">
        <f t="shared" si="3"/>
        <v>100000</v>
      </c>
      <c r="O5326" s="65" t="str">
        <f>VLOOKUP(E5326,DATABASE!C:Q,8,false)</f>
        <v>BIAN</v>
      </c>
      <c r="P5326" s="65">
        <f>VLOOKUP(E5326,DATABASE!C:Q,9,False)</f>
        <v>0</v>
      </c>
      <c r="Q5326" s="93" t="str">
        <f>VLOOKUP(E5326,DATABASE!C:Q,4,false)</f>
        <v>Baut Camber ss-carry</v>
      </c>
      <c r="R5326" s="93" t="str">
        <f>VLOOKUP(E5326,DATABASE!C:Q,11,false)</f>
        <v>COMPLEMENTARY</v>
      </c>
    </row>
    <row r="5327" ht="22.5" customHeight="1">
      <c r="A5327" s="49"/>
      <c r="C5327" s="666">
        <v>45967.0</v>
      </c>
      <c r="D5327" s="673">
        <v>7735.0</v>
      </c>
      <c r="E5327" s="672" t="s">
        <v>265</v>
      </c>
      <c r="F5327" s="664">
        <v>2.0</v>
      </c>
      <c r="G5327" s="568">
        <v>685000.0</v>
      </c>
      <c r="H5327" s="74">
        <v>0.0</v>
      </c>
      <c r="I5327" s="74">
        <f t="shared" si="1"/>
        <v>1370000</v>
      </c>
      <c r="J5327" s="74">
        <f>IF(E5327="SERVICE",I5327-(I5327*50%),Vlookup(E5327,DATABASE!C:Q,10,false)*F5327)</f>
        <v>0</v>
      </c>
      <c r="K5327" s="74">
        <f>VLOOKUP(E5327,DATABASE!C:Q,7,false)</f>
        <v>628000</v>
      </c>
      <c r="L5327" s="74">
        <v>610000.0</v>
      </c>
      <c r="M5327" s="74">
        <f t="shared" si="2"/>
        <v>610000</v>
      </c>
      <c r="N5327" s="74">
        <f t="shared" si="3"/>
        <v>150000</v>
      </c>
      <c r="O5327" s="65" t="str">
        <f>VLOOKUP(E5327,DATABASE!C:Q,8,false)</f>
        <v>IBU</v>
      </c>
      <c r="P5327" s="65">
        <f>VLOOKUP(E5327,DATABASE!C:Q,9,False)</f>
        <v>1</v>
      </c>
      <c r="Q5327" s="93" t="str">
        <f>VLOOKUP(E5327,DATABASE!C:Q,4,false)</f>
        <v>Dunlop</v>
      </c>
      <c r="R5327" s="93" t="str">
        <f>VLOOKUP(E5327,DATABASE!C:Q,11,false)</f>
        <v>Tire</v>
      </c>
      <c r="U5327" s="9"/>
    </row>
    <row r="5328" ht="22.5" customHeight="1">
      <c r="A5328" s="49"/>
      <c r="C5328" s="661">
        <v>45967.0</v>
      </c>
      <c r="D5328" s="673">
        <v>7735.0</v>
      </c>
      <c r="E5328" s="671" t="s">
        <v>299</v>
      </c>
      <c r="F5328" s="664">
        <v>2.0</v>
      </c>
      <c r="G5328" s="584">
        <v>30000.0</v>
      </c>
      <c r="H5328" s="74">
        <v>0.0</v>
      </c>
      <c r="I5328" s="74">
        <f t="shared" si="1"/>
        <v>60000</v>
      </c>
      <c r="J5328" s="74">
        <f>IF(E5328="SERVICE",I5328-(I5328*50%),Vlookup(E5328,DATABASE!C:Q,10,false)*F5328)</f>
        <v>0</v>
      </c>
      <c r="K5328" s="74">
        <f>VLOOKUP(E5328,DATABASE!C:Q,7,false)</f>
        <v>10000</v>
      </c>
      <c r="L5328" s="74">
        <v>5000.0</v>
      </c>
      <c r="M5328" s="74">
        <f t="shared" si="2"/>
        <v>5000</v>
      </c>
      <c r="N5328" s="74">
        <f t="shared" si="3"/>
        <v>50000</v>
      </c>
      <c r="O5328" s="65" t="str">
        <f>VLOOKUP(E5328,DATABASE!C:Q,8,false)</f>
        <v>BIAN</v>
      </c>
      <c r="P5328" s="65">
        <f>VLOOKUP(E5328,DATABASE!C:Q,9,False)</f>
        <v>0</v>
      </c>
      <c r="Q5328" s="93" t="str">
        <f>VLOOKUP(E5328,DATABASE!C:Q,4,false)</f>
        <v>Balancing</v>
      </c>
      <c r="R5328" s="93" t="str">
        <f>VLOOKUP(E5328,DATABASE!C:Q,11,false)</f>
        <v>COMPLEMENTARY</v>
      </c>
    </row>
    <row r="5329" ht="22.5" customHeight="1">
      <c r="A5329" s="49"/>
      <c r="C5329" s="666">
        <v>45967.0</v>
      </c>
      <c r="D5329" s="673">
        <v>7735.0</v>
      </c>
      <c r="E5329" s="672" t="s">
        <v>256</v>
      </c>
      <c r="F5329" s="664">
        <v>1.0</v>
      </c>
      <c r="G5329" s="568">
        <v>130000.0</v>
      </c>
      <c r="H5329" s="74">
        <v>0.0</v>
      </c>
      <c r="I5329" s="74">
        <f t="shared" si="1"/>
        <v>130000</v>
      </c>
      <c r="J5329" s="74">
        <f>IF(E5329="SERVICE",I5329-(I5329*50%),Vlookup(E5329,DATABASE!C:Q,10,false)*F5329)</f>
        <v>10000</v>
      </c>
      <c r="K5329" s="74">
        <f>VLOOKUP(E5329,DATABASE!C:Q,7,false)</f>
        <v>0</v>
      </c>
      <c r="L5329" s="74">
        <v>0.0</v>
      </c>
      <c r="M5329" s="74">
        <f t="shared" si="2"/>
        <v>0</v>
      </c>
      <c r="N5329" s="74">
        <f t="shared" si="3"/>
        <v>120000</v>
      </c>
      <c r="O5329" s="65" t="str">
        <f>VLOOKUP(E5329,DATABASE!C:Q,8,false)</f>
        <v>IBU</v>
      </c>
      <c r="P5329" s="65">
        <f>VLOOKUP(E5329,DATABASE!C:Q,9,False)</f>
        <v>0</v>
      </c>
      <c r="Q5329" s="93" t="str">
        <f>VLOOKUP(E5329,DATABASE!C:Q,4,false)</f>
        <v>SPOORING</v>
      </c>
      <c r="R5329" s="93" t="str">
        <f>VLOOKUP(E5329,DATABASE!C:Q,11,false)</f>
        <v>SERVICE</v>
      </c>
    </row>
    <row r="5330" ht="22.5" customHeight="1">
      <c r="A5330" s="49"/>
      <c r="C5330" s="661">
        <v>45967.0</v>
      </c>
      <c r="D5330" s="673">
        <v>7735.0</v>
      </c>
      <c r="E5330" s="672" t="s">
        <v>301</v>
      </c>
      <c r="F5330" s="664">
        <v>1.0</v>
      </c>
      <c r="G5330" s="584">
        <v>250000.0</v>
      </c>
      <c r="H5330" s="74">
        <v>0.0</v>
      </c>
      <c r="I5330" s="74">
        <f t="shared" si="1"/>
        <v>250000</v>
      </c>
      <c r="J5330" s="74">
        <f>IF(E5330="SERVICE",I5330-(I5330*50%),Vlookup(E5330,DATABASE!C:Q,10,false)*F5330)</f>
        <v>75000</v>
      </c>
      <c r="K5330" s="74">
        <f>VLOOKUP(E5330,DATABASE!C:Q,7,false)</f>
        <v>75000</v>
      </c>
      <c r="L5330" s="74">
        <v>75000.0</v>
      </c>
      <c r="M5330" s="74">
        <f t="shared" si="2"/>
        <v>75000</v>
      </c>
      <c r="N5330" s="74">
        <f t="shared" si="3"/>
        <v>100000</v>
      </c>
      <c r="O5330" s="65" t="str">
        <f>VLOOKUP(E5330,DATABASE!C:Q,8,false)</f>
        <v>BIAN</v>
      </c>
      <c r="P5330" s="65">
        <f>VLOOKUP(E5330,DATABASE!C:Q,9,False)</f>
        <v>0</v>
      </c>
      <c r="Q5330" s="93" t="str">
        <f>VLOOKUP(E5330,DATABASE!C:Q,4,false)</f>
        <v>Baut Camber</v>
      </c>
      <c r="R5330" s="93" t="str">
        <f>VLOOKUP(E5330,DATABASE!C:Q,11,false)</f>
        <v>COMPLEMENTARY</v>
      </c>
    </row>
    <row r="5331" ht="22.5" customHeight="1">
      <c r="A5331" s="49"/>
      <c r="C5331" s="674">
        <v>45967.0</v>
      </c>
      <c r="D5331" s="673">
        <v>7736.0</v>
      </c>
      <c r="E5331" s="672" t="s">
        <v>777</v>
      </c>
      <c r="F5331" s="664">
        <v>1.0</v>
      </c>
      <c r="G5331" s="568">
        <v>585000.0</v>
      </c>
      <c r="H5331" s="74">
        <v>0.0</v>
      </c>
      <c r="I5331" s="74">
        <f t="shared" si="1"/>
        <v>585000</v>
      </c>
      <c r="J5331" s="74">
        <f>IF(E5331="SERVICE",I5331-(I5331*50%),Vlookup(E5331,DATABASE!C:Q,10,false)*F5331)</f>
        <v>0</v>
      </c>
      <c r="K5331" s="74">
        <f>VLOOKUP(E5331,DATABASE!C:Q,7,false)</f>
        <v>540000</v>
      </c>
      <c r="L5331" s="74">
        <v>507000.0</v>
      </c>
      <c r="M5331" s="74">
        <f t="shared" si="2"/>
        <v>510000</v>
      </c>
      <c r="N5331" s="74">
        <f t="shared" si="3"/>
        <v>75000</v>
      </c>
      <c r="O5331" s="65" t="str">
        <f>VLOOKUP(E5331,DATABASE!C:Q,8,false)</f>
        <v>BIAN</v>
      </c>
      <c r="P5331" s="65">
        <f>VLOOKUP(E5331,DATABASE!C:Q,9,False)</f>
        <v>1</v>
      </c>
      <c r="Q5331" s="93" t="str">
        <f>VLOOKUP(E5331,DATABASE!C:Q,4,false)</f>
        <v>GT</v>
      </c>
      <c r="R5331" s="93" t="str">
        <f>VLOOKUP(E5331,DATABASE!C:Q,11,false)</f>
        <v>Tire</v>
      </c>
      <c r="U5331" s="9">
        <v>585000.0</v>
      </c>
    </row>
    <row r="5332" ht="22.5" customHeight="1">
      <c r="A5332" s="49"/>
      <c r="C5332" s="674">
        <v>45967.0</v>
      </c>
      <c r="D5332" s="673">
        <v>7736.0</v>
      </c>
      <c r="E5332" s="672" t="s">
        <v>250</v>
      </c>
      <c r="F5332" s="664">
        <v>1.0</v>
      </c>
      <c r="G5332" s="584">
        <v>135000.0</v>
      </c>
      <c r="H5332" s="74">
        <v>0.0</v>
      </c>
      <c r="I5332" s="74">
        <f t="shared" si="1"/>
        <v>135000</v>
      </c>
      <c r="J5332" s="74">
        <f>IF(E5332="SERVICE",I5332-(I5332*50%),Vlookup(E5332,DATABASE!C:Q,10,false)*F5332)</f>
        <v>0</v>
      </c>
      <c r="K5332" s="74">
        <f>VLOOKUP(E5332,DATABASE!C:Q,7,false)</f>
        <v>102000</v>
      </c>
      <c r="L5332" s="74">
        <v>102000.0</v>
      </c>
      <c r="M5332" s="74">
        <f t="shared" si="2"/>
        <v>105000</v>
      </c>
      <c r="N5332" s="74">
        <f t="shared" si="3"/>
        <v>30000</v>
      </c>
      <c r="O5332" s="65" t="str">
        <f>VLOOKUP(E5332,DATABASE!C:Q,8,false)</f>
        <v>BIAN</v>
      </c>
      <c r="P5332" s="65">
        <f>VLOOKUP(E5332,DATABASE!C:Q,9,False)</f>
        <v>1</v>
      </c>
      <c r="Q5332" s="93" t="str">
        <f>VLOOKUP(E5332,DATABASE!C:Q,4,false)</f>
        <v>BD</v>
      </c>
      <c r="R5332" s="93" t="str">
        <f>VLOOKUP(E5332,DATABASE!C:Q,11,false)</f>
        <v>Tire</v>
      </c>
      <c r="U5332" s="9">
        <v>135000.0</v>
      </c>
    </row>
    <row r="5333" ht="22.5" customHeight="1">
      <c r="A5333" s="49"/>
      <c r="C5333" s="675">
        <v>45968.0</v>
      </c>
      <c r="D5333" s="673">
        <v>7738.0</v>
      </c>
      <c r="E5333" s="672" t="s">
        <v>246</v>
      </c>
      <c r="F5333" s="664">
        <v>2.0</v>
      </c>
      <c r="G5333" s="584">
        <v>30000.0</v>
      </c>
      <c r="H5333" s="74">
        <v>0.0</v>
      </c>
      <c r="I5333" s="74">
        <f t="shared" si="1"/>
        <v>60000</v>
      </c>
      <c r="J5333" s="74">
        <f>IF(E5333="SERVICE",I5333-(I5333*50%),Vlookup(E5333,DATABASE!C:Q,10,false)*F5333)</f>
        <v>0</v>
      </c>
      <c r="K5333" s="74">
        <f>VLOOKUP(E5333,DATABASE!C:Q,7,false)</f>
        <v>0</v>
      </c>
      <c r="L5333" s="74">
        <v>0.0</v>
      </c>
      <c r="M5333" s="74">
        <f t="shared" si="2"/>
        <v>0</v>
      </c>
      <c r="N5333" s="74">
        <f t="shared" si="3"/>
        <v>60000</v>
      </c>
      <c r="O5333" s="65" t="str">
        <f>VLOOKUP(E5333,DATABASE!C:Q,8,false)</f>
        <v>IBU</v>
      </c>
      <c r="P5333" s="65">
        <f>VLOOKUP(E5333,DATABASE!C:Q,9,False)</f>
        <v>0</v>
      </c>
      <c r="Q5333" s="93" t="str">
        <f>VLOOKUP(E5333,DATABASE!C:Q,4,false)</f>
        <v>Bongkar Pasang</v>
      </c>
      <c r="R5333" s="93" t="str">
        <f>VLOOKUP(E5333,DATABASE!C:Q,11,false)</f>
        <v>SERVICE</v>
      </c>
    </row>
    <row r="5334" ht="22.5" customHeight="1">
      <c r="A5334" s="49"/>
      <c r="C5334" s="675">
        <v>45968.0</v>
      </c>
      <c r="D5334" s="673">
        <v>7738.0</v>
      </c>
      <c r="E5334" s="672" t="s">
        <v>2139</v>
      </c>
      <c r="F5334" s="664">
        <v>1.0</v>
      </c>
      <c r="G5334" s="568">
        <v>10000.0</v>
      </c>
      <c r="H5334" s="74">
        <v>0.0</v>
      </c>
      <c r="I5334" s="74">
        <f t="shared" si="1"/>
        <v>10000</v>
      </c>
      <c r="J5334" s="74">
        <f>IF(E5334="SERVICE",I5334-(I5334*50%),Vlookup(E5334,DATABASE!C:Q,10,false)*F5334)</f>
        <v>0</v>
      </c>
      <c r="K5334" s="74">
        <f>VLOOKUP(E5334,DATABASE!C:Q,7,false)</f>
        <v>0</v>
      </c>
      <c r="L5334" s="74">
        <v>0.0</v>
      </c>
      <c r="M5334" s="74">
        <f t="shared" si="2"/>
        <v>0</v>
      </c>
      <c r="N5334" s="74">
        <f t="shared" si="3"/>
        <v>10000</v>
      </c>
      <c r="O5334" s="65" t="str">
        <f>VLOOKUP(E5334,DATABASE!C:Q,8,false)</f>
        <v>IBU</v>
      </c>
      <c r="P5334" s="65">
        <f>VLOOKUP(E5334,DATABASE!C:Q,9,False)</f>
        <v>0</v>
      </c>
      <c r="Q5334" s="93" t="str">
        <f>VLOOKUP(E5334,DATABASE!C:Q,4,false)</f>
        <v>PENTIL</v>
      </c>
      <c r="R5334" s="93" t="str">
        <f>VLOOKUP(E5334,DATABASE!C:Q,11,false)</f>
        <v>COMPLEMENTARY</v>
      </c>
    </row>
    <row r="5335" ht="22.5" customHeight="1">
      <c r="A5335" s="49"/>
      <c r="C5335" s="675">
        <v>45968.0</v>
      </c>
      <c r="D5335" s="673">
        <v>7739.0</v>
      </c>
      <c r="E5335" s="672" t="s">
        <v>262</v>
      </c>
      <c r="F5335" s="664">
        <v>1.0</v>
      </c>
      <c r="G5335" s="584">
        <v>110000.0</v>
      </c>
      <c r="H5335" s="74">
        <v>0.0</v>
      </c>
      <c r="I5335" s="74">
        <f t="shared" si="1"/>
        <v>110000</v>
      </c>
      <c r="J5335" s="74">
        <f>IF(E5335="SERVICE",I5335-(I5335*50%),Vlookup(E5335,DATABASE!C:Q,10,false)*F5335)</f>
        <v>5000</v>
      </c>
      <c r="K5335" s="74">
        <f>VLOOKUP(E5335,DATABASE!C:Q,7,false)</f>
        <v>0</v>
      </c>
      <c r="L5335" s="74">
        <v>0.0</v>
      </c>
      <c r="M5335" s="74">
        <f t="shared" si="2"/>
        <v>0</v>
      </c>
      <c r="N5335" s="74">
        <f t="shared" si="3"/>
        <v>105000</v>
      </c>
      <c r="O5335" s="65" t="str">
        <f>VLOOKUP(E5335,DATABASE!C:Q,8,false)</f>
        <v>IBU</v>
      </c>
      <c r="P5335" s="65">
        <f>VLOOKUP(E5335,DATABASE!C:Q,9,False)</f>
        <v>0</v>
      </c>
      <c r="Q5335" s="93" t="str">
        <f>VLOOKUP(E5335,DATABASE!C:Q,4,false)</f>
        <v>SPOORING SS/CARRY LOS BAK</v>
      </c>
      <c r="R5335" s="93" t="str">
        <f>VLOOKUP(E5335,DATABASE!C:Q,11,false)</f>
        <v>SERVICE</v>
      </c>
    </row>
    <row r="5336" ht="22.5" customHeight="1">
      <c r="A5336" s="49"/>
      <c r="C5336" s="675">
        <v>45968.0</v>
      </c>
      <c r="D5336" s="673">
        <v>7740.0</v>
      </c>
      <c r="E5336" s="672" t="s">
        <v>1617</v>
      </c>
      <c r="F5336" s="664">
        <v>1.0</v>
      </c>
      <c r="G5336" s="568">
        <v>840000.0</v>
      </c>
      <c r="H5336" s="74">
        <v>0.0</v>
      </c>
      <c r="I5336" s="74">
        <f t="shared" si="1"/>
        <v>840000</v>
      </c>
      <c r="J5336" s="74">
        <f>IF(E5336="SERVICE",I5336-(I5336*50%),Vlookup(E5336,DATABASE!C:Q,10,false)*F5336)</f>
        <v>0</v>
      </c>
      <c r="K5336" s="74">
        <f>VLOOKUP(E5336,DATABASE!C:Q,7,false)</f>
        <v>739000</v>
      </c>
      <c r="L5336" s="74">
        <v>739000.0</v>
      </c>
      <c r="M5336" s="74">
        <f t="shared" si="2"/>
        <v>740000</v>
      </c>
      <c r="N5336" s="74">
        <f t="shared" si="3"/>
        <v>100000</v>
      </c>
      <c r="O5336" s="65" t="str">
        <f>VLOOKUP(E5336,DATABASE!C:Q,8,false)</f>
        <v>BIAN</v>
      </c>
      <c r="P5336" s="65">
        <f>VLOOKUP(E5336,DATABASE!C:Q,9,False)</f>
        <v>1</v>
      </c>
      <c r="Q5336" s="93" t="str">
        <f>VLOOKUP(E5336,DATABASE!C:Q,4,false)</f>
        <v>GT</v>
      </c>
      <c r="R5336" s="93" t="str">
        <f>VLOOKUP(E5336,DATABASE!C:Q,11,false)</f>
        <v>Tire</v>
      </c>
    </row>
    <row r="5337" ht="22.5" customHeight="1">
      <c r="A5337" s="49"/>
      <c r="C5337" s="675">
        <v>45968.0</v>
      </c>
      <c r="D5337" s="673">
        <v>7741.0</v>
      </c>
      <c r="E5337" s="672" t="s">
        <v>1617</v>
      </c>
      <c r="F5337" s="664">
        <v>1.0</v>
      </c>
      <c r="G5337" s="584">
        <v>820000.0</v>
      </c>
      <c r="H5337" s="74">
        <v>0.0</v>
      </c>
      <c r="I5337" s="74">
        <f t="shared" si="1"/>
        <v>820000</v>
      </c>
      <c r="J5337" s="74">
        <f>IF(E5337="SERVICE",I5337-(I5337*50%),Vlookup(E5337,DATABASE!C:Q,10,false)*F5337)</f>
        <v>0</v>
      </c>
      <c r="K5337" s="74">
        <f>VLOOKUP(E5337,DATABASE!C:Q,7,false)</f>
        <v>739000</v>
      </c>
      <c r="L5337" s="74">
        <v>739000.0</v>
      </c>
      <c r="M5337" s="74">
        <f t="shared" si="2"/>
        <v>740000</v>
      </c>
      <c r="N5337" s="74">
        <f t="shared" si="3"/>
        <v>80000</v>
      </c>
      <c r="O5337" s="65" t="str">
        <f>VLOOKUP(E5337,DATABASE!C:Q,8,false)</f>
        <v>BIAN</v>
      </c>
      <c r="P5337" s="65">
        <f>VLOOKUP(E5337,DATABASE!C:Q,9,False)</f>
        <v>1</v>
      </c>
      <c r="Q5337" s="93" t="str">
        <f>VLOOKUP(E5337,DATABASE!C:Q,4,false)</f>
        <v>GT</v>
      </c>
      <c r="R5337" s="93" t="str">
        <f>VLOOKUP(E5337,DATABASE!C:Q,11,false)</f>
        <v>Tire</v>
      </c>
      <c r="U5337" s="9">
        <v>840000.0</v>
      </c>
    </row>
    <row r="5338" ht="22.5" customHeight="1">
      <c r="A5338" s="49"/>
      <c r="C5338" s="675">
        <v>45968.0</v>
      </c>
      <c r="D5338" s="673">
        <v>7742.0</v>
      </c>
      <c r="E5338" s="672" t="s">
        <v>262</v>
      </c>
      <c r="F5338" s="664">
        <v>1.0</v>
      </c>
      <c r="G5338" s="568">
        <v>110000.0</v>
      </c>
      <c r="H5338" s="74">
        <v>0.0</v>
      </c>
      <c r="I5338" s="74">
        <f t="shared" si="1"/>
        <v>110000</v>
      </c>
      <c r="J5338" s="74">
        <f>IF(E5338="SERVICE",I5338-(I5338*50%),Vlookup(E5338,DATABASE!C:Q,10,false)*F5338)</f>
        <v>5000</v>
      </c>
      <c r="K5338" s="74">
        <f>VLOOKUP(E5338,DATABASE!C:Q,7,false)</f>
        <v>0</v>
      </c>
      <c r="L5338" s="74">
        <v>0.0</v>
      </c>
      <c r="M5338" s="74">
        <f t="shared" si="2"/>
        <v>0</v>
      </c>
      <c r="N5338" s="74">
        <f t="shared" si="3"/>
        <v>105000</v>
      </c>
      <c r="O5338" s="65" t="str">
        <f>VLOOKUP(E5338,DATABASE!C:Q,8,false)</f>
        <v>IBU</v>
      </c>
      <c r="P5338" s="65">
        <f>VLOOKUP(E5338,DATABASE!C:Q,9,False)</f>
        <v>0</v>
      </c>
      <c r="Q5338" s="93" t="str">
        <f>VLOOKUP(E5338,DATABASE!C:Q,4,false)</f>
        <v>SPOORING SS/CARRY LOS BAK</v>
      </c>
      <c r="R5338" s="93" t="str">
        <f>VLOOKUP(E5338,DATABASE!C:Q,11,false)</f>
        <v>SERVICE</v>
      </c>
      <c r="U5338" s="9">
        <v>820000.0</v>
      </c>
    </row>
    <row r="5339" ht="22.5" customHeight="1">
      <c r="A5339" s="49"/>
      <c r="C5339" s="675">
        <v>45968.0</v>
      </c>
      <c r="D5339" s="673">
        <v>7744.0</v>
      </c>
      <c r="E5339" s="672" t="s">
        <v>287</v>
      </c>
      <c r="F5339" s="664">
        <v>2.0</v>
      </c>
      <c r="G5339" s="584">
        <v>780000.0</v>
      </c>
      <c r="H5339" s="74">
        <v>0.0</v>
      </c>
      <c r="I5339" s="74">
        <f t="shared" si="1"/>
        <v>1560000</v>
      </c>
      <c r="J5339" s="74">
        <f>IF(E5339="SERVICE",I5339-(I5339*50%),Vlookup(E5339,DATABASE!C:Q,10,false)*F5339)</f>
        <v>0</v>
      </c>
      <c r="K5339" s="74">
        <f>VLOOKUP(E5339,DATABASE!C:Q,7,false)</f>
        <v>711000</v>
      </c>
      <c r="L5339" s="74">
        <v>690600.0</v>
      </c>
      <c r="M5339" s="74">
        <f t="shared" si="2"/>
        <v>695000</v>
      </c>
      <c r="N5339" s="74">
        <f t="shared" si="3"/>
        <v>170000</v>
      </c>
      <c r="O5339" s="65" t="str">
        <f>VLOOKUP(E5339,DATABASE!C:Q,8,false)</f>
        <v>BIAN</v>
      </c>
      <c r="P5339" s="65">
        <f>VLOOKUP(E5339,DATABASE!C:Q,9,False)</f>
        <v>1</v>
      </c>
      <c r="Q5339" s="93" t="str">
        <f>VLOOKUP(E5339,DATABASE!C:Q,4,false)</f>
        <v>GT</v>
      </c>
      <c r="R5339" s="93" t="str">
        <f>VLOOKUP(E5339,DATABASE!C:Q,11,false)</f>
        <v>Tire</v>
      </c>
    </row>
    <row r="5340" ht="22.5" customHeight="1">
      <c r="A5340" s="49"/>
      <c r="C5340" s="675">
        <v>45968.0</v>
      </c>
      <c r="D5340" s="673">
        <v>7744.0</v>
      </c>
      <c r="E5340" s="671" t="s">
        <v>299</v>
      </c>
      <c r="F5340" s="664">
        <v>2.0</v>
      </c>
      <c r="G5340" s="568">
        <v>30000.0</v>
      </c>
      <c r="H5340" s="74">
        <v>0.0</v>
      </c>
      <c r="I5340" s="74">
        <f t="shared" si="1"/>
        <v>60000</v>
      </c>
      <c r="J5340" s="74">
        <f>IF(E5340="SERVICE",I5340-(I5340*50%),Vlookup(E5340,DATABASE!C:Q,10,false)*F5340)</f>
        <v>0</v>
      </c>
      <c r="K5340" s="74">
        <f>VLOOKUP(E5340,DATABASE!C:Q,7,false)</f>
        <v>10000</v>
      </c>
      <c r="L5340" s="74">
        <v>5000.0</v>
      </c>
      <c r="M5340" s="74">
        <f t="shared" si="2"/>
        <v>5000</v>
      </c>
      <c r="N5340" s="74">
        <f t="shared" si="3"/>
        <v>50000</v>
      </c>
      <c r="O5340" s="65" t="str">
        <f>VLOOKUP(E5340,DATABASE!C:Q,8,false)</f>
        <v>BIAN</v>
      </c>
      <c r="P5340" s="65">
        <f>VLOOKUP(E5340,DATABASE!C:Q,9,False)</f>
        <v>0</v>
      </c>
      <c r="Q5340" s="93" t="str">
        <f>VLOOKUP(E5340,DATABASE!C:Q,4,false)</f>
        <v>Balancing</v>
      </c>
      <c r="R5340" s="93" t="str">
        <f>VLOOKUP(E5340,DATABASE!C:Q,11,false)</f>
        <v>COMPLEMENTARY</v>
      </c>
      <c r="U5340" s="9">
        <v>1560000.0</v>
      </c>
    </row>
    <row r="5341" ht="22.5" customHeight="1">
      <c r="A5341" s="49"/>
      <c r="C5341" s="675">
        <v>45968.0</v>
      </c>
      <c r="D5341" s="673">
        <v>7744.0</v>
      </c>
      <c r="E5341" s="672" t="s">
        <v>256</v>
      </c>
      <c r="F5341" s="664">
        <v>1.0</v>
      </c>
      <c r="G5341" s="584">
        <v>130000.0</v>
      </c>
      <c r="H5341" s="74">
        <v>0.0</v>
      </c>
      <c r="I5341" s="74">
        <f t="shared" si="1"/>
        <v>130000</v>
      </c>
      <c r="J5341" s="74">
        <f>IF(E5341="SERVICE",I5341-(I5341*50%),Vlookup(E5341,DATABASE!C:Q,10,false)*F5341)</f>
        <v>10000</v>
      </c>
      <c r="K5341" s="74">
        <f>VLOOKUP(E5341,DATABASE!C:Q,7,false)</f>
        <v>0</v>
      </c>
      <c r="L5341" s="74">
        <v>0.0</v>
      </c>
      <c r="M5341" s="74">
        <f t="shared" si="2"/>
        <v>0</v>
      </c>
      <c r="N5341" s="74">
        <f t="shared" si="3"/>
        <v>120000</v>
      </c>
      <c r="O5341" s="65" t="str">
        <f>VLOOKUP(E5341,DATABASE!C:Q,8,false)</f>
        <v>IBU</v>
      </c>
      <c r="P5341" s="65">
        <f>VLOOKUP(E5341,DATABASE!C:Q,9,False)</f>
        <v>0</v>
      </c>
      <c r="Q5341" s="93" t="str">
        <f>VLOOKUP(E5341,DATABASE!C:Q,4,false)</f>
        <v>SPOORING</v>
      </c>
      <c r="R5341" s="93" t="str">
        <f>VLOOKUP(E5341,DATABASE!C:Q,11,false)</f>
        <v>SERVICE</v>
      </c>
    </row>
    <row r="5342" ht="22.5" customHeight="1">
      <c r="A5342" s="49"/>
      <c r="C5342" s="675">
        <v>45968.0</v>
      </c>
      <c r="D5342" s="673">
        <v>7744.0</v>
      </c>
      <c r="E5342" s="676" t="s">
        <v>251</v>
      </c>
      <c r="F5342" s="664">
        <v>1.0</v>
      </c>
      <c r="G5342" s="568">
        <v>120000.0</v>
      </c>
      <c r="H5342" s="74">
        <v>0.0</v>
      </c>
      <c r="I5342" s="74">
        <f t="shared" si="1"/>
        <v>120000</v>
      </c>
      <c r="J5342" s="74">
        <f>IF(E5342="SERVICE",I5342-(I5342*50%),Vlookup(E5342,DATABASE!C:Q,10,false)*F5342)</f>
        <v>60000</v>
      </c>
      <c r="K5342" s="74">
        <f>VLOOKUP(E5342,DATABASE!C:Q,7,false)</f>
        <v>0</v>
      </c>
      <c r="L5342" s="74">
        <v>0.0</v>
      </c>
      <c r="M5342" s="74">
        <f t="shared" si="2"/>
        <v>0</v>
      </c>
      <c r="N5342" s="74">
        <f t="shared" si="3"/>
        <v>60000</v>
      </c>
      <c r="O5342" s="65" t="str">
        <f>VLOOKUP(E5342,DATABASE!C:Q,8,false)</f>
        <v>IBU</v>
      </c>
      <c r="P5342" s="65">
        <f>VLOOKUP(E5342,DATABASE!C:Q,9,False)</f>
        <v>0</v>
      </c>
      <c r="Q5342" s="93" t="str">
        <f>VLOOKUP(E5342,DATABASE!C:Q,4,false)</f>
        <v>SERVICE</v>
      </c>
      <c r="R5342" s="93" t="str">
        <f>VLOOKUP(E5342,DATABASE!C:Q,11,false)</f>
        <v>SERVICE</v>
      </c>
    </row>
    <row r="5343" ht="22.5" customHeight="1">
      <c r="A5343" s="49"/>
      <c r="C5343" s="675">
        <v>45968.0</v>
      </c>
      <c r="D5343" s="673">
        <v>7745.0</v>
      </c>
      <c r="E5343" s="676" t="s">
        <v>569</v>
      </c>
      <c r="F5343" s="664">
        <v>1.0</v>
      </c>
      <c r="G5343" s="584">
        <v>80000.0</v>
      </c>
      <c r="H5343" s="74">
        <v>0.0</v>
      </c>
      <c r="I5343" s="74">
        <f t="shared" si="1"/>
        <v>80000</v>
      </c>
      <c r="J5343" s="74">
        <f>IF(E5343="SERVICE",I5343-(I5343*50%),Vlookup(E5343,DATABASE!C:Q,10,false)*F5343)</f>
        <v>0</v>
      </c>
      <c r="K5343" s="74">
        <f>VLOOKUP(E5343,DATABASE!C:Q,7,false)</f>
        <v>45439.582</v>
      </c>
      <c r="L5343" s="74">
        <v>45309.6</v>
      </c>
      <c r="M5343" s="74">
        <f t="shared" si="2"/>
        <v>50000</v>
      </c>
      <c r="N5343" s="74">
        <f t="shared" si="3"/>
        <v>30000</v>
      </c>
      <c r="O5343" s="65" t="str">
        <f>VLOOKUP(E5343,DATABASE!C:Q,8,false)</f>
        <v>BIAN</v>
      </c>
      <c r="P5343" s="65">
        <f>VLOOKUP(E5343,DATABASE!C:Q,9,False)</f>
        <v>1</v>
      </c>
      <c r="Q5343" s="93" t="str">
        <f>VLOOKUP(E5343,DATABASE!C:Q,4,false)</f>
        <v>BD</v>
      </c>
      <c r="R5343" s="93" t="str">
        <f>VLOOKUP(E5343,DATABASE!C:Q,11,false)</f>
        <v>Tire</v>
      </c>
    </row>
    <row r="5344" ht="22.5" customHeight="1">
      <c r="A5344" s="49"/>
      <c r="C5344" s="675">
        <v>45968.0</v>
      </c>
      <c r="D5344" s="673">
        <v>7746.0</v>
      </c>
      <c r="E5344" s="676" t="s">
        <v>968</v>
      </c>
      <c r="F5344" s="664">
        <v>2.0</v>
      </c>
      <c r="G5344" s="568">
        <v>675000.0</v>
      </c>
      <c r="H5344" s="74">
        <v>0.0</v>
      </c>
      <c r="I5344" s="74">
        <f t="shared" si="1"/>
        <v>1350000</v>
      </c>
      <c r="J5344" s="74">
        <f>IF(E5344="SERVICE",I5344-(I5344*50%),Vlookup(E5344,DATABASE!C:Q,10,false)*F5344)</f>
        <v>0</v>
      </c>
      <c r="K5344" s="74">
        <f>VLOOKUP(E5344,DATABASE!C:Q,7,false)</f>
        <v>582500</v>
      </c>
      <c r="L5344" s="74">
        <v>582500.0</v>
      </c>
      <c r="M5344" s="74">
        <f t="shared" si="2"/>
        <v>585000</v>
      </c>
      <c r="N5344" s="74">
        <f t="shared" si="3"/>
        <v>180000</v>
      </c>
      <c r="O5344" s="65" t="str">
        <f>VLOOKUP(E5344,DATABASE!C:Q,8,false)</f>
        <v>IBU</v>
      </c>
      <c r="P5344" s="65">
        <f>VLOOKUP(E5344,DATABASE!C:Q,9,False)</f>
        <v>1</v>
      </c>
      <c r="Q5344" s="93" t="str">
        <f>VLOOKUP(E5344,DATABASE!C:Q,4,false)</f>
        <v>Dunlop</v>
      </c>
      <c r="R5344" s="93" t="str">
        <f>VLOOKUP(E5344,DATABASE!C:Q,11,false)</f>
        <v>Tire</v>
      </c>
      <c r="U5344" s="9">
        <v>80000.0</v>
      </c>
    </row>
    <row r="5345" ht="22.5" customHeight="1">
      <c r="A5345" s="49"/>
      <c r="C5345" s="675">
        <v>45968.0</v>
      </c>
      <c r="D5345" s="673">
        <v>7747.0</v>
      </c>
      <c r="E5345" s="676" t="s">
        <v>968</v>
      </c>
      <c r="F5345" s="664">
        <v>2.0</v>
      </c>
      <c r="G5345" s="584">
        <v>675000.0</v>
      </c>
      <c r="H5345" s="74">
        <v>0.0</v>
      </c>
      <c r="I5345" s="74">
        <f t="shared" si="1"/>
        <v>1350000</v>
      </c>
      <c r="J5345" s="74">
        <f>IF(E5345="SERVICE",I5345-(I5345*50%),Vlookup(E5345,DATABASE!C:Q,10,false)*F5345)</f>
        <v>0</v>
      </c>
      <c r="K5345" s="74">
        <f>VLOOKUP(E5345,DATABASE!C:Q,7,false)</f>
        <v>582500</v>
      </c>
      <c r="L5345" s="74">
        <v>582500.0</v>
      </c>
      <c r="M5345" s="74">
        <f t="shared" si="2"/>
        <v>585000</v>
      </c>
      <c r="N5345" s="74">
        <f t="shared" si="3"/>
        <v>180000</v>
      </c>
      <c r="O5345" s="65" t="str">
        <f>VLOOKUP(E5345,DATABASE!C:Q,8,false)</f>
        <v>IBU</v>
      </c>
      <c r="P5345" s="65">
        <f>VLOOKUP(E5345,DATABASE!C:Q,9,False)</f>
        <v>1</v>
      </c>
      <c r="Q5345" s="93" t="str">
        <f>VLOOKUP(E5345,DATABASE!C:Q,4,false)</f>
        <v>Dunlop</v>
      </c>
      <c r="R5345" s="93" t="str">
        <f>VLOOKUP(E5345,DATABASE!C:Q,11,false)</f>
        <v>Tire</v>
      </c>
      <c r="U5345" s="9"/>
    </row>
    <row r="5346" ht="22.5" customHeight="1">
      <c r="A5346" s="49"/>
      <c r="C5346" s="661">
        <v>45968.0</v>
      </c>
      <c r="D5346" s="673">
        <v>7748.0</v>
      </c>
      <c r="E5346" s="672" t="s">
        <v>275</v>
      </c>
      <c r="F5346" s="664">
        <v>1.0</v>
      </c>
      <c r="G5346" s="568">
        <v>830000.0</v>
      </c>
      <c r="H5346" s="74">
        <v>0.0</v>
      </c>
      <c r="I5346" s="74">
        <f t="shared" si="1"/>
        <v>830000</v>
      </c>
      <c r="J5346" s="74">
        <f>IF(E5346="SERVICE",I5346-(I5346*50%),Vlookup(E5346,DATABASE!C:Q,10,false)*F5346)</f>
        <v>0</v>
      </c>
      <c r="K5346" s="74">
        <f>VLOOKUP(E5346,DATABASE!C:Q,7,false)</f>
        <v>782000</v>
      </c>
      <c r="L5346" s="74">
        <v>745000.0</v>
      </c>
      <c r="M5346" s="74">
        <f t="shared" si="2"/>
        <v>745000</v>
      </c>
      <c r="N5346" s="74">
        <f t="shared" si="3"/>
        <v>85000</v>
      </c>
      <c r="O5346" s="65" t="str">
        <f>VLOOKUP(E5346,DATABASE!C:Q,8,false)</f>
        <v>IBU</v>
      </c>
      <c r="P5346" s="65">
        <f>VLOOKUP(E5346,DATABASE!C:Q,9,False)</f>
        <v>1</v>
      </c>
      <c r="Q5346" s="93" t="str">
        <f>VLOOKUP(E5346,DATABASE!C:Q,4,false)</f>
        <v>Dunlop</v>
      </c>
      <c r="R5346" s="93" t="str">
        <f>VLOOKUP(E5346,DATABASE!C:Q,11,false)</f>
        <v>Tire</v>
      </c>
      <c r="U5346" s="9"/>
    </row>
    <row r="5347" ht="22.5" customHeight="1">
      <c r="A5347" s="49"/>
      <c r="C5347" s="675">
        <v>45968.0</v>
      </c>
      <c r="D5347" s="645"/>
      <c r="E5347" s="672" t="s">
        <v>263</v>
      </c>
      <c r="F5347" s="664">
        <v>1.0</v>
      </c>
      <c r="G5347" s="568">
        <v>320000.0</v>
      </c>
      <c r="H5347" s="74">
        <v>0.0</v>
      </c>
      <c r="I5347" s="74">
        <f t="shared" si="1"/>
        <v>320000</v>
      </c>
      <c r="J5347" s="74">
        <f>IF(E5347="SERVICE",I5347-(I5347*50%),Vlookup(E5347,DATABASE!C:Q,10,false)*F5347)</f>
        <v>0</v>
      </c>
      <c r="K5347" s="74">
        <f>VLOOKUP(E5347,DATABASE!C:Q,7,false)</f>
        <v>334916</v>
      </c>
      <c r="L5347" s="74">
        <v>287688.0</v>
      </c>
      <c r="M5347" s="74">
        <f t="shared" si="2"/>
        <v>290000</v>
      </c>
      <c r="N5347" s="74">
        <f t="shared" si="3"/>
        <v>30000</v>
      </c>
      <c r="O5347" s="65" t="str">
        <f>VLOOKUP(E5347,DATABASE!C:Q,8,false)</f>
        <v>NON</v>
      </c>
      <c r="P5347" s="65">
        <f>VLOOKUP(E5347,DATABASE!C:Q,9,False)</f>
        <v>0</v>
      </c>
      <c r="Q5347" s="93" t="str">
        <f>VLOOKUP(E5347,DATABASE!C:Q,4,false)</f>
        <v>Shell</v>
      </c>
      <c r="R5347" s="93" t="str">
        <f>VLOOKUP(E5347,DATABASE!C:Q,11,false)</f>
        <v>OIL</v>
      </c>
      <c r="U5347" s="9"/>
    </row>
    <row r="5348" ht="22.5" customHeight="1">
      <c r="A5348" s="49"/>
      <c r="C5348" s="666">
        <v>45969.0</v>
      </c>
      <c r="D5348" s="673">
        <v>7750.0</v>
      </c>
      <c r="E5348" s="676" t="s">
        <v>276</v>
      </c>
      <c r="F5348" s="664">
        <v>2.0</v>
      </c>
      <c r="G5348" s="584">
        <v>700000.0</v>
      </c>
      <c r="H5348" s="74">
        <v>0.0</v>
      </c>
      <c r="I5348" s="74">
        <f t="shared" si="1"/>
        <v>1400000</v>
      </c>
      <c r="J5348" s="74">
        <f>IF(E5348="SERVICE",I5348-(I5348*50%),Vlookup(E5348,DATABASE!C:Q,10,false)*F5348)</f>
        <v>0</v>
      </c>
      <c r="K5348" s="74">
        <f>VLOOKUP(E5348,DATABASE!C:Q,7,false)</f>
        <v>620000</v>
      </c>
      <c r="L5348" s="74">
        <v>607000.0</v>
      </c>
      <c r="M5348" s="74">
        <f t="shared" si="2"/>
        <v>610000</v>
      </c>
      <c r="N5348" s="74">
        <f t="shared" si="3"/>
        <v>180000</v>
      </c>
      <c r="O5348" s="65" t="str">
        <f>VLOOKUP(E5348,DATABASE!C:Q,8,false)</f>
        <v>IBU</v>
      </c>
      <c r="P5348" s="65">
        <f>VLOOKUP(E5348,DATABASE!C:Q,9,False)</f>
        <v>1</v>
      </c>
      <c r="Q5348" s="93" t="str">
        <f>VLOOKUP(E5348,DATABASE!C:Q,4,false)</f>
        <v>Dunlop</v>
      </c>
      <c r="R5348" s="93" t="str">
        <f>VLOOKUP(E5348,DATABASE!C:Q,11,false)</f>
        <v>Tire</v>
      </c>
      <c r="U5348" s="9"/>
    </row>
    <row r="5349" ht="22.5" customHeight="1">
      <c r="A5349" s="49"/>
      <c r="C5349" s="661">
        <v>45969.0</v>
      </c>
      <c r="D5349" s="673">
        <v>7751.0</v>
      </c>
      <c r="E5349" s="676" t="s">
        <v>268</v>
      </c>
      <c r="F5349" s="664">
        <v>1.0</v>
      </c>
      <c r="G5349" s="568">
        <v>710000.0</v>
      </c>
      <c r="H5349" s="74">
        <v>0.0</v>
      </c>
      <c r="I5349" s="74">
        <f t="shared" si="1"/>
        <v>710000</v>
      </c>
      <c r="J5349" s="74">
        <f>IF(E5349="SERVICE",I5349-(I5349*50%),Vlookup(E5349,DATABASE!C:Q,10,false)*F5349)</f>
        <v>0</v>
      </c>
      <c r="K5349" s="74">
        <f>VLOOKUP(E5349,DATABASE!C:Q,7,false)</f>
        <v>653000</v>
      </c>
      <c r="L5349" s="74">
        <v>622000.0</v>
      </c>
      <c r="M5349" s="74">
        <f t="shared" si="2"/>
        <v>625000</v>
      </c>
      <c r="N5349" s="74">
        <f t="shared" si="3"/>
        <v>85000</v>
      </c>
      <c r="O5349" s="65" t="str">
        <f>VLOOKUP(E5349,DATABASE!C:Q,8,false)</f>
        <v>IBU</v>
      </c>
      <c r="P5349" s="65">
        <f>VLOOKUP(E5349,DATABASE!C:Q,9,False)</f>
        <v>1</v>
      </c>
      <c r="Q5349" s="93" t="str">
        <f>VLOOKUP(E5349,DATABASE!C:Q,4,false)</f>
        <v>Dunlop</v>
      </c>
      <c r="R5349" s="93" t="str">
        <f>VLOOKUP(E5349,DATABASE!C:Q,11,false)</f>
        <v>Tire</v>
      </c>
      <c r="U5349" s="9"/>
    </row>
    <row r="5350" ht="22.5" customHeight="1">
      <c r="A5350" s="49"/>
      <c r="C5350" s="666">
        <v>45969.0</v>
      </c>
      <c r="D5350" s="673">
        <v>7752.0</v>
      </c>
      <c r="E5350" s="676" t="s">
        <v>781</v>
      </c>
      <c r="F5350" s="664">
        <v>2.0</v>
      </c>
      <c r="G5350" s="584">
        <v>525000.0</v>
      </c>
      <c r="H5350" s="74">
        <v>0.0</v>
      </c>
      <c r="I5350" s="74">
        <f t="shared" si="1"/>
        <v>1050000</v>
      </c>
      <c r="J5350" s="74">
        <f>IF(E5350="SERVICE",I5350-(I5350*50%),Vlookup(E5350,DATABASE!C:Q,10,false)*F5350)</f>
        <v>0</v>
      </c>
      <c r="K5350" s="74">
        <f>VLOOKUP(E5350,DATABASE!C:Q,7,false)</f>
        <v>470000</v>
      </c>
      <c r="L5350" s="74">
        <v>442500.0</v>
      </c>
      <c r="M5350" s="74">
        <f t="shared" si="2"/>
        <v>445000</v>
      </c>
      <c r="N5350" s="74">
        <f t="shared" si="3"/>
        <v>160000</v>
      </c>
      <c r="O5350" s="65" t="str">
        <f>VLOOKUP(E5350,DATABASE!C:Q,8,false)</f>
        <v>BIAN</v>
      </c>
      <c r="P5350" s="65">
        <f>VLOOKUP(E5350,DATABASE!C:Q,9,False)</f>
        <v>1</v>
      </c>
      <c r="Q5350" s="93" t="str">
        <f>VLOOKUP(E5350,DATABASE!C:Q,4,false)</f>
        <v>GT</v>
      </c>
      <c r="R5350" s="93" t="str">
        <f>VLOOKUP(E5350,DATABASE!C:Q,11,false)</f>
        <v>Tire</v>
      </c>
      <c r="U5350" s="9">
        <v>1050000.0</v>
      </c>
    </row>
    <row r="5351" ht="22.5" customHeight="1">
      <c r="A5351" s="49"/>
      <c r="C5351" s="661">
        <v>45969.0</v>
      </c>
      <c r="D5351" s="673">
        <v>7753.0</v>
      </c>
      <c r="E5351" s="676" t="s">
        <v>1076</v>
      </c>
      <c r="F5351" s="664">
        <v>1.0</v>
      </c>
      <c r="G5351" s="568">
        <v>770000.0</v>
      </c>
      <c r="H5351" s="74">
        <v>0.0</v>
      </c>
      <c r="I5351" s="74">
        <f t="shared" si="1"/>
        <v>770000</v>
      </c>
      <c r="J5351" s="74">
        <f>IF(E5351="SERVICE",I5351-(I5351*50%),Vlookup(E5351,DATABASE!C:Q,10,false)*F5351)</f>
        <v>0</v>
      </c>
      <c r="K5351" s="74">
        <f>VLOOKUP(E5351,DATABASE!C:Q,7,false)</f>
        <v>666540</v>
      </c>
      <c r="L5351" s="74">
        <v>666540.0</v>
      </c>
      <c r="M5351" s="74">
        <f t="shared" si="2"/>
        <v>670000</v>
      </c>
      <c r="N5351" s="74">
        <f t="shared" si="3"/>
        <v>100000</v>
      </c>
      <c r="O5351" s="65" t="str">
        <f>VLOOKUP(E5351,DATABASE!C:Q,8,false)</f>
        <v>BIAN</v>
      </c>
      <c r="P5351" s="65">
        <f>VLOOKUP(E5351,DATABASE!C:Q,9,False)</f>
        <v>1</v>
      </c>
      <c r="Q5351" s="93" t="str">
        <f>VLOOKUP(E5351,DATABASE!C:Q,4,false)</f>
        <v>GT</v>
      </c>
      <c r="R5351" s="93" t="str">
        <f>VLOOKUP(E5351,DATABASE!C:Q,11,false)</f>
        <v>Tire</v>
      </c>
      <c r="U5351" s="9">
        <v>770000.0</v>
      </c>
    </row>
    <row r="5352" ht="22.5" customHeight="1">
      <c r="A5352" s="49"/>
      <c r="C5352" s="666">
        <v>45969.0</v>
      </c>
      <c r="D5352" s="673">
        <v>7754.0</v>
      </c>
      <c r="E5352" s="672" t="s">
        <v>288</v>
      </c>
      <c r="F5352" s="664">
        <v>2.0</v>
      </c>
      <c r="G5352" s="584">
        <v>620000.0</v>
      </c>
      <c r="H5352" s="74">
        <v>0.0</v>
      </c>
      <c r="I5352" s="74">
        <f t="shared" si="1"/>
        <v>1240000</v>
      </c>
      <c r="J5352" s="74">
        <f>IF(E5352="SERVICE",I5352-(I5352*50%),Vlookup(E5352,DATABASE!C:Q,10,false)*F5352)</f>
        <v>0</v>
      </c>
      <c r="K5352" s="74">
        <f>VLOOKUP(E5352,DATABASE!C:Q,7,false)</f>
        <v>565760</v>
      </c>
      <c r="L5352" s="74">
        <v>524800.0</v>
      </c>
      <c r="M5352" s="74">
        <f t="shared" si="2"/>
        <v>525000</v>
      </c>
      <c r="N5352" s="74">
        <f t="shared" si="3"/>
        <v>190000</v>
      </c>
      <c r="O5352" s="65" t="str">
        <f>VLOOKUP(E5352,DATABASE!C:Q,8,false)</f>
        <v>BIAN</v>
      </c>
      <c r="P5352" s="65">
        <f>VLOOKUP(E5352,DATABASE!C:Q,9,False)</f>
        <v>1</v>
      </c>
      <c r="Q5352" s="93" t="str">
        <f>VLOOKUP(E5352,DATABASE!C:Q,4,false)</f>
        <v>GT</v>
      </c>
      <c r="R5352" s="93" t="str">
        <f>VLOOKUP(E5352,DATABASE!C:Q,11,false)</f>
        <v>Tire</v>
      </c>
      <c r="U5352" s="9">
        <v>1240000.0</v>
      </c>
    </row>
    <row r="5353" ht="22.5" customHeight="1">
      <c r="A5353" s="49"/>
      <c r="C5353" s="661">
        <v>45969.0</v>
      </c>
      <c r="D5353" s="673">
        <v>7755.0</v>
      </c>
      <c r="E5353" s="676" t="s">
        <v>604</v>
      </c>
      <c r="F5353" s="664">
        <v>1.0</v>
      </c>
      <c r="G5353" s="568">
        <v>160000.0</v>
      </c>
      <c r="H5353" s="74">
        <v>0.0</v>
      </c>
      <c r="I5353" s="74">
        <f t="shared" si="1"/>
        <v>160000</v>
      </c>
      <c r="J5353" s="74">
        <f>IF(E5353="SERVICE",I5353-(I5353*50%),Vlookup(E5353,DATABASE!C:Q,10,false)*F5353)</f>
        <v>0</v>
      </c>
      <c r="K5353" s="74">
        <f>VLOOKUP(E5353,DATABASE!C:Q,7,false)</f>
        <v>124000</v>
      </c>
      <c r="L5353" s="74">
        <v>124000.0</v>
      </c>
      <c r="M5353" s="74">
        <f t="shared" si="2"/>
        <v>125000</v>
      </c>
      <c r="N5353" s="74">
        <f t="shared" si="3"/>
        <v>35000</v>
      </c>
      <c r="O5353" s="65" t="str">
        <f>VLOOKUP(E5353,DATABASE!C:Q,8,false)</f>
        <v>BIAN</v>
      </c>
      <c r="P5353" s="65">
        <f>VLOOKUP(E5353,DATABASE!C:Q,9,False)</f>
        <v>1</v>
      </c>
      <c r="Q5353" s="93" t="str">
        <f>VLOOKUP(E5353,DATABASE!C:Q,4,false)</f>
        <v>BD</v>
      </c>
      <c r="R5353" s="93" t="str">
        <f>VLOOKUP(E5353,DATABASE!C:Q,11,false)</f>
        <v>Tire</v>
      </c>
      <c r="U5353" s="9">
        <v>160000.0</v>
      </c>
    </row>
    <row r="5354" ht="22.5" customHeight="1">
      <c r="A5354" s="49"/>
      <c r="C5354" s="666">
        <v>45969.0</v>
      </c>
      <c r="D5354" s="673">
        <v>7756.0</v>
      </c>
      <c r="E5354" s="676" t="s">
        <v>600</v>
      </c>
      <c r="F5354" s="664">
        <v>2.0</v>
      </c>
      <c r="G5354" s="584">
        <v>665000.0</v>
      </c>
      <c r="H5354" s="74">
        <v>0.0</v>
      </c>
      <c r="I5354" s="74">
        <f t="shared" si="1"/>
        <v>1330000</v>
      </c>
      <c r="J5354" s="74">
        <f>IF(E5354="SERVICE",I5354-(I5354*50%),Vlookup(E5354,DATABASE!C:Q,10,false)*F5354)</f>
        <v>0</v>
      </c>
      <c r="K5354" s="74">
        <f>VLOOKUP(E5354,DATABASE!C:Q,7,false)</f>
        <v>611109.16</v>
      </c>
      <c r="L5354" s="74">
        <v>572762.4</v>
      </c>
      <c r="M5354" s="74">
        <f t="shared" si="2"/>
        <v>575000</v>
      </c>
      <c r="N5354" s="74">
        <f t="shared" si="3"/>
        <v>180000</v>
      </c>
      <c r="O5354" s="65" t="str">
        <f>VLOOKUP(E5354,DATABASE!C:Q,8,false)</f>
        <v>IBU</v>
      </c>
      <c r="P5354" s="65">
        <f>VLOOKUP(E5354,DATABASE!C:Q,9,False)</f>
        <v>1</v>
      </c>
      <c r="Q5354" s="93" t="str">
        <f>VLOOKUP(E5354,DATABASE!C:Q,4,false)</f>
        <v>Bridgestone</v>
      </c>
      <c r="R5354" s="93" t="str">
        <f>VLOOKUP(E5354,DATABASE!C:Q,11,false)</f>
        <v>Tire</v>
      </c>
      <c r="U5354" s="9"/>
    </row>
    <row r="5355" ht="22.5" customHeight="1">
      <c r="A5355" s="49"/>
      <c r="C5355" s="661">
        <v>45969.0</v>
      </c>
      <c r="D5355" s="673">
        <v>7756.0</v>
      </c>
      <c r="E5355" s="676" t="s">
        <v>695</v>
      </c>
      <c r="F5355" s="664">
        <v>2.0</v>
      </c>
      <c r="G5355" s="568">
        <v>650000.0</v>
      </c>
      <c r="H5355" s="74">
        <v>0.0</v>
      </c>
      <c r="I5355" s="74">
        <f t="shared" si="1"/>
        <v>1300000</v>
      </c>
      <c r="J5355" s="74">
        <f>IF(E5355="SERVICE",I5355-(I5355*50%),Vlookup(E5355,DATABASE!C:Q,10,false)*F5355)</f>
        <v>0</v>
      </c>
      <c r="K5355" s="74">
        <f>VLOOKUP(E5355,DATABASE!C:Q,7,false)</f>
        <v>582000</v>
      </c>
      <c r="L5355" s="74">
        <v>570000.0</v>
      </c>
      <c r="M5355" s="74">
        <f t="shared" si="2"/>
        <v>570000</v>
      </c>
      <c r="N5355" s="74">
        <f t="shared" si="3"/>
        <v>160000</v>
      </c>
      <c r="O5355" s="65" t="str">
        <f>VLOOKUP(E5355,DATABASE!C:Q,8,false)</f>
        <v>IBU</v>
      </c>
      <c r="P5355" s="65">
        <f>VLOOKUP(E5355,DATABASE!C:Q,9,False)</f>
        <v>1</v>
      </c>
      <c r="Q5355" s="93" t="str">
        <f>VLOOKUP(E5355,DATABASE!C:Q,4,false)</f>
        <v>Dunlop</v>
      </c>
      <c r="R5355" s="93" t="str">
        <f>VLOOKUP(E5355,DATABASE!C:Q,11,false)</f>
        <v>Tire</v>
      </c>
      <c r="U5355" s="9"/>
    </row>
    <row r="5356" ht="22.5" customHeight="1">
      <c r="A5356" s="49"/>
      <c r="C5356" s="666">
        <v>45969.0</v>
      </c>
      <c r="D5356" s="673">
        <v>7756.0</v>
      </c>
      <c r="E5356" s="676" t="s">
        <v>286</v>
      </c>
      <c r="F5356" s="664">
        <v>5.0</v>
      </c>
      <c r="G5356" s="584">
        <v>550000.0</v>
      </c>
      <c r="H5356" s="74">
        <v>0.0</v>
      </c>
      <c r="I5356" s="74">
        <f t="shared" si="1"/>
        <v>2750000</v>
      </c>
      <c r="J5356" s="74">
        <f>IF(E5356="SERVICE",I5356-(I5356*50%),Vlookup(E5356,DATABASE!C:Q,10,false)*F5356)</f>
        <v>0</v>
      </c>
      <c r="K5356" s="74">
        <f>VLOOKUP(E5356,DATABASE!C:Q,7,false)</f>
        <v>488320</v>
      </c>
      <c r="L5356" s="74">
        <v>452970.0</v>
      </c>
      <c r="M5356" s="74">
        <f t="shared" si="2"/>
        <v>455000</v>
      </c>
      <c r="N5356" s="74">
        <f t="shared" si="3"/>
        <v>475000</v>
      </c>
      <c r="O5356" s="65" t="str">
        <f>VLOOKUP(E5356,DATABASE!C:Q,8,false)</f>
        <v>BIAN</v>
      </c>
      <c r="P5356" s="65">
        <f>VLOOKUP(E5356,DATABASE!C:Q,9,False)</f>
        <v>1</v>
      </c>
      <c r="Q5356" s="93" t="str">
        <f>VLOOKUP(E5356,DATABASE!C:Q,4,false)</f>
        <v>GT</v>
      </c>
      <c r="R5356" s="93" t="str">
        <f>VLOOKUP(E5356,DATABASE!C:Q,11,false)</f>
        <v>Tire</v>
      </c>
      <c r="U5356" s="9">
        <v>2750000.0</v>
      </c>
    </row>
    <row r="5357" ht="22.5" customHeight="1">
      <c r="A5357" s="49"/>
      <c r="C5357" s="661">
        <v>45969.0</v>
      </c>
      <c r="D5357" s="673">
        <v>7757.0</v>
      </c>
      <c r="E5357" s="671" t="s">
        <v>299</v>
      </c>
      <c r="F5357" s="664">
        <v>2.0</v>
      </c>
      <c r="G5357" s="568">
        <v>30000.0</v>
      </c>
      <c r="H5357" s="74">
        <v>0.0</v>
      </c>
      <c r="I5357" s="74">
        <f t="shared" si="1"/>
        <v>60000</v>
      </c>
      <c r="J5357" s="74">
        <f>IF(E5357="SERVICE",I5357-(I5357*50%),Vlookup(E5357,DATABASE!C:Q,10,false)*F5357)</f>
        <v>0</v>
      </c>
      <c r="K5357" s="74">
        <f>VLOOKUP(E5357,DATABASE!C:Q,7,false)</f>
        <v>10000</v>
      </c>
      <c r="L5357" s="74">
        <v>5000.0</v>
      </c>
      <c r="M5357" s="74">
        <f t="shared" si="2"/>
        <v>5000</v>
      </c>
      <c r="N5357" s="74">
        <f t="shared" si="3"/>
        <v>50000</v>
      </c>
      <c r="O5357" s="65" t="str">
        <f>VLOOKUP(E5357,DATABASE!C:Q,8,false)</f>
        <v>BIAN</v>
      </c>
      <c r="P5357" s="65">
        <f>VLOOKUP(E5357,DATABASE!C:Q,9,False)</f>
        <v>0</v>
      </c>
      <c r="Q5357" s="93" t="str">
        <f>VLOOKUP(E5357,DATABASE!C:Q,4,false)</f>
        <v>Balancing</v>
      </c>
      <c r="R5357" s="93" t="str">
        <f>VLOOKUP(E5357,DATABASE!C:Q,11,false)</f>
        <v>COMPLEMENTARY</v>
      </c>
    </row>
    <row r="5358" ht="22.5" customHeight="1">
      <c r="A5358" s="49"/>
      <c r="C5358" s="666">
        <v>45969.0</v>
      </c>
      <c r="D5358" s="673">
        <v>7757.0</v>
      </c>
      <c r="E5358" s="676" t="s">
        <v>2139</v>
      </c>
      <c r="F5358" s="664">
        <v>1.0</v>
      </c>
      <c r="G5358" s="584">
        <v>10000.0</v>
      </c>
      <c r="H5358" s="74">
        <v>0.0</v>
      </c>
      <c r="I5358" s="74">
        <f t="shared" si="1"/>
        <v>10000</v>
      </c>
      <c r="J5358" s="74">
        <f>IF(E5358="SERVICE",I5358-(I5358*50%),Vlookup(E5358,DATABASE!C:Q,10,false)*F5358)</f>
        <v>0</v>
      </c>
      <c r="K5358" s="74">
        <f>VLOOKUP(E5358,DATABASE!C:Q,7,false)</f>
        <v>0</v>
      </c>
      <c r="L5358" s="74">
        <v>0.0</v>
      </c>
      <c r="M5358" s="74">
        <f t="shared" si="2"/>
        <v>0</v>
      </c>
      <c r="N5358" s="74">
        <f t="shared" si="3"/>
        <v>10000</v>
      </c>
      <c r="O5358" s="65" t="str">
        <f>VLOOKUP(E5358,DATABASE!C:Q,8,false)</f>
        <v>IBU</v>
      </c>
      <c r="P5358" s="65">
        <f>VLOOKUP(E5358,DATABASE!C:Q,9,False)</f>
        <v>0</v>
      </c>
      <c r="Q5358" s="93" t="str">
        <f>VLOOKUP(E5358,DATABASE!C:Q,4,false)</f>
        <v>PENTIL</v>
      </c>
      <c r="R5358" s="93" t="str">
        <f>VLOOKUP(E5358,DATABASE!C:Q,11,false)</f>
        <v>COMPLEMENTARY</v>
      </c>
    </row>
    <row r="5359" ht="22.5" customHeight="1">
      <c r="A5359" s="49"/>
      <c r="C5359" s="661">
        <v>45969.0</v>
      </c>
      <c r="D5359" s="673">
        <v>7757.0</v>
      </c>
      <c r="E5359" s="676" t="s">
        <v>256</v>
      </c>
      <c r="F5359" s="664">
        <v>1.0</v>
      </c>
      <c r="G5359" s="568">
        <v>130000.0</v>
      </c>
      <c r="H5359" s="74">
        <v>0.0</v>
      </c>
      <c r="I5359" s="74">
        <f t="shared" si="1"/>
        <v>130000</v>
      </c>
      <c r="J5359" s="74">
        <f>IF(E5359="SERVICE",I5359-(I5359*50%),Vlookup(E5359,DATABASE!C:Q,10,false)*F5359)</f>
        <v>10000</v>
      </c>
      <c r="K5359" s="74">
        <f>VLOOKUP(E5359,DATABASE!C:Q,7,false)</f>
        <v>0</v>
      </c>
      <c r="L5359" s="74">
        <v>0.0</v>
      </c>
      <c r="M5359" s="74">
        <f t="shared" si="2"/>
        <v>0</v>
      </c>
      <c r="N5359" s="74">
        <f t="shared" si="3"/>
        <v>120000</v>
      </c>
      <c r="O5359" s="65" t="str">
        <f>VLOOKUP(E5359,DATABASE!C:Q,8,false)</f>
        <v>IBU</v>
      </c>
      <c r="P5359" s="65">
        <f>VLOOKUP(E5359,DATABASE!C:Q,9,False)</f>
        <v>0</v>
      </c>
      <c r="Q5359" s="93" t="str">
        <f>VLOOKUP(E5359,DATABASE!C:Q,4,false)</f>
        <v>SPOORING</v>
      </c>
      <c r="R5359" s="93" t="str">
        <f>VLOOKUP(E5359,DATABASE!C:Q,11,false)</f>
        <v>SERVICE</v>
      </c>
    </row>
    <row r="5360" ht="22.5" customHeight="1">
      <c r="A5360" s="49"/>
      <c r="C5360" s="666">
        <v>45969.0</v>
      </c>
      <c r="D5360" s="673">
        <v>7757.0</v>
      </c>
      <c r="E5360" s="676" t="s">
        <v>301</v>
      </c>
      <c r="F5360" s="664">
        <v>1.0</v>
      </c>
      <c r="G5360" s="584">
        <v>250000.0</v>
      </c>
      <c r="H5360" s="74">
        <v>0.0</v>
      </c>
      <c r="I5360" s="74">
        <f t="shared" si="1"/>
        <v>250000</v>
      </c>
      <c r="J5360" s="74">
        <f>IF(E5360="SERVICE",I5360-(I5360*50%),Vlookup(E5360,DATABASE!C:Q,10,false)*F5360)</f>
        <v>75000</v>
      </c>
      <c r="K5360" s="74">
        <f>VLOOKUP(E5360,DATABASE!C:Q,7,false)</f>
        <v>75000</v>
      </c>
      <c r="L5360" s="74">
        <v>75000.0</v>
      </c>
      <c r="M5360" s="74">
        <f t="shared" si="2"/>
        <v>75000</v>
      </c>
      <c r="N5360" s="74">
        <f t="shared" si="3"/>
        <v>100000</v>
      </c>
      <c r="O5360" s="65" t="str">
        <f>VLOOKUP(E5360,DATABASE!C:Q,8,false)</f>
        <v>BIAN</v>
      </c>
      <c r="P5360" s="65">
        <f>VLOOKUP(E5360,DATABASE!C:Q,9,False)</f>
        <v>0</v>
      </c>
      <c r="Q5360" s="93" t="str">
        <f>VLOOKUP(E5360,DATABASE!C:Q,4,false)</f>
        <v>Baut Camber</v>
      </c>
      <c r="R5360" s="93" t="str">
        <f>VLOOKUP(E5360,DATABASE!C:Q,11,false)</f>
        <v>COMPLEMENTARY</v>
      </c>
    </row>
    <row r="5361" ht="22.5" customHeight="1">
      <c r="A5361" s="49"/>
      <c r="C5361" s="666">
        <v>45969.0</v>
      </c>
      <c r="D5361" s="673">
        <v>7757.0</v>
      </c>
      <c r="E5361" s="676" t="s">
        <v>256</v>
      </c>
      <c r="F5361" s="664">
        <v>1.0</v>
      </c>
      <c r="G5361" s="584">
        <v>130000.0</v>
      </c>
      <c r="H5361" s="74">
        <v>0.0</v>
      </c>
      <c r="I5361" s="74">
        <f t="shared" si="1"/>
        <v>130000</v>
      </c>
      <c r="J5361" s="74">
        <f>IF(E5361="SERVICE",I5361-(I5361*50%),Vlookup(E5361,DATABASE!C:Q,10,false)*F5361)</f>
        <v>10000</v>
      </c>
      <c r="K5361" s="74">
        <f>VLOOKUP(E5361,DATABASE!C:Q,7,false)</f>
        <v>0</v>
      </c>
      <c r="L5361" s="74">
        <v>0.0</v>
      </c>
      <c r="M5361" s="74">
        <f t="shared" si="2"/>
        <v>0</v>
      </c>
      <c r="N5361" s="74">
        <f t="shared" si="3"/>
        <v>120000</v>
      </c>
      <c r="O5361" s="65" t="str">
        <f>VLOOKUP(E5361,DATABASE!C:Q,8,false)</f>
        <v>IBU</v>
      </c>
      <c r="P5361" s="65">
        <f>VLOOKUP(E5361,DATABASE!C:Q,9,False)</f>
        <v>0</v>
      </c>
      <c r="Q5361" s="93" t="str">
        <f>VLOOKUP(E5361,DATABASE!C:Q,4,false)</f>
        <v>SPOORING</v>
      </c>
      <c r="R5361" s="93" t="str">
        <f>VLOOKUP(E5361,DATABASE!C:Q,11,false)</f>
        <v>SERVICE</v>
      </c>
      <c r="U5361" s="9"/>
    </row>
    <row r="5362" ht="22.5" customHeight="1">
      <c r="A5362" s="49"/>
      <c r="C5362" s="661">
        <v>45969.0</v>
      </c>
      <c r="D5362" s="673">
        <v>7758.0</v>
      </c>
      <c r="E5362" s="676" t="s">
        <v>572</v>
      </c>
      <c r="F5362" s="664">
        <v>2.0</v>
      </c>
      <c r="G5362" s="568">
        <v>1350000.0</v>
      </c>
      <c r="H5362" s="74">
        <v>0.0</v>
      </c>
      <c r="I5362" s="74">
        <f t="shared" si="1"/>
        <v>2700000</v>
      </c>
      <c r="J5362" s="74">
        <f>IF(E5362="SERVICE",I5362-(I5362*50%),Vlookup(E5362,DATABASE!C:Q,10,false)*F5362)</f>
        <v>0</v>
      </c>
      <c r="K5362" s="74">
        <f>VLOOKUP(E5362,DATABASE!C:Q,7,false)</f>
        <v>1265000</v>
      </c>
      <c r="L5362" s="74">
        <v>1245000.0</v>
      </c>
      <c r="M5362" s="74">
        <f t="shared" si="2"/>
        <v>1245000</v>
      </c>
      <c r="N5362" s="74">
        <f t="shared" si="3"/>
        <v>210000</v>
      </c>
      <c r="O5362" s="65" t="str">
        <f>VLOOKUP(E5362,DATABASE!C:Q,8,false)</f>
        <v>IBU</v>
      </c>
      <c r="P5362" s="65">
        <f>VLOOKUP(E5362,DATABASE!C:Q,9,False)</f>
        <v>1</v>
      </c>
      <c r="Q5362" s="93" t="str">
        <f>VLOOKUP(E5362,DATABASE!C:Q,4,false)</f>
        <v>Bridgestone</v>
      </c>
      <c r="R5362" s="93" t="str">
        <f>VLOOKUP(E5362,DATABASE!C:Q,11,false)</f>
        <v>Tire</v>
      </c>
      <c r="U5362" s="9"/>
    </row>
    <row r="5363" ht="22.5" customHeight="1">
      <c r="A5363" s="49"/>
      <c r="C5363" s="666">
        <v>45969.0</v>
      </c>
      <c r="D5363" s="673">
        <v>7758.0</v>
      </c>
      <c r="E5363" s="676" t="s">
        <v>652</v>
      </c>
      <c r="F5363" s="664">
        <v>2.0</v>
      </c>
      <c r="G5363" s="584">
        <v>260000.0</v>
      </c>
      <c r="H5363" s="74">
        <v>0.0</v>
      </c>
      <c r="I5363" s="74">
        <f t="shared" si="1"/>
        <v>520000</v>
      </c>
      <c r="J5363" s="74">
        <f>IF(E5363="SERVICE",I5363-(I5363*50%),Vlookup(E5363,DATABASE!C:Q,10,false)*F5363)</f>
        <v>0</v>
      </c>
      <c r="K5363" s="74">
        <f>VLOOKUP(E5363,DATABASE!C:Q,7,false)</f>
        <v>231268</v>
      </c>
      <c r="L5363" s="74">
        <v>227850.0</v>
      </c>
      <c r="M5363" s="74">
        <f t="shared" si="2"/>
        <v>230000</v>
      </c>
      <c r="N5363" s="74">
        <f t="shared" si="3"/>
        <v>60000</v>
      </c>
      <c r="O5363" s="65" t="str">
        <f>VLOOKUP(E5363,DATABASE!C:Q,8,false)</f>
        <v>IBU</v>
      </c>
      <c r="P5363" s="65">
        <f>VLOOKUP(E5363,DATABASE!C:Q,9,False)</f>
        <v>1</v>
      </c>
      <c r="Q5363" s="93" t="str">
        <f>VLOOKUP(E5363,DATABASE!C:Q,4,false)</f>
        <v>BD</v>
      </c>
      <c r="R5363" s="93" t="str">
        <f>VLOOKUP(E5363,DATABASE!C:Q,11,false)</f>
        <v>Tire</v>
      </c>
      <c r="U5363" s="9">
        <v>130000.0</v>
      </c>
    </row>
    <row r="5364" ht="22.5" customHeight="1">
      <c r="A5364" s="49"/>
      <c r="C5364" s="661">
        <v>45969.0</v>
      </c>
      <c r="D5364" s="673">
        <v>7758.0</v>
      </c>
      <c r="E5364" s="676" t="s">
        <v>814</v>
      </c>
      <c r="F5364" s="664">
        <v>2.0</v>
      </c>
      <c r="G5364" s="568">
        <v>65000.0</v>
      </c>
      <c r="H5364" s="74">
        <v>0.0</v>
      </c>
      <c r="I5364" s="74">
        <f t="shared" si="1"/>
        <v>130000</v>
      </c>
      <c r="J5364" s="74">
        <f>IF(E5364="SERVICE",I5364-(I5364*50%),Vlookup(E5364,DATABASE!C:Q,10,false)*F5364)</f>
        <v>0</v>
      </c>
      <c r="K5364" s="74">
        <f>VLOOKUP(E5364,DATABASE!C:Q,7,false)</f>
        <v>39440</v>
      </c>
      <c r="L5364" s="74">
        <v>39440.0</v>
      </c>
      <c r="M5364" s="74">
        <f t="shared" si="2"/>
        <v>40000</v>
      </c>
      <c r="N5364" s="74">
        <f t="shared" si="3"/>
        <v>50000</v>
      </c>
      <c r="O5364" s="65" t="str">
        <f>VLOOKUP(E5364,DATABASE!C:Q,8,false)</f>
        <v>BIAN</v>
      </c>
      <c r="P5364" s="65">
        <f>VLOOKUP(E5364,DATABASE!C:Q,9,False)</f>
        <v>1</v>
      </c>
      <c r="Q5364" s="93" t="str">
        <f>VLOOKUP(E5364,DATABASE!C:Q,4,false)</f>
        <v>Flap</v>
      </c>
      <c r="R5364" s="93" t="str">
        <f>VLOOKUP(E5364,DATABASE!C:Q,11,false)</f>
        <v>Tire</v>
      </c>
    </row>
    <row r="5365" ht="22.5" customHeight="1">
      <c r="A5365" s="49"/>
      <c r="C5365" s="661">
        <v>45969.0</v>
      </c>
      <c r="D5365" s="673" t="s">
        <v>0</v>
      </c>
      <c r="E5365" s="676" t="s">
        <v>263</v>
      </c>
      <c r="F5365" s="664">
        <v>1.0</v>
      </c>
      <c r="G5365" s="568">
        <v>320000.0</v>
      </c>
      <c r="H5365" s="74">
        <v>0.0</v>
      </c>
      <c r="I5365" s="74">
        <f t="shared" si="1"/>
        <v>320000</v>
      </c>
      <c r="J5365" s="74">
        <f>IF(E5365="SERVICE",I5365-(I5365*50%),Vlookup(E5365,DATABASE!C:Q,10,false)*F5365)</f>
        <v>0</v>
      </c>
      <c r="K5365" s="74">
        <f>VLOOKUP(E5365,DATABASE!C:Q,7,false)</f>
        <v>334916</v>
      </c>
      <c r="L5365" s="74">
        <v>287688.0</v>
      </c>
      <c r="M5365" s="74">
        <f t="shared" si="2"/>
        <v>290000</v>
      </c>
      <c r="N5365" s="74">
        <f t="shared" si="3"/>
        <v>30000</v>
      </c>
      <c r="O5365" s="65" t="str">
        <f>VLOOKUP(E5365,DATABASE!C:Q,8,false)</f>
        <v>NON</v>
      </c>
      <c r="P5365" s="65">
        <f>VLOOKUP(E5365,DATABASE!C:Q,9,False)</f>
        <v>0</v>
      </c>
      <c r="Q5365" s="93" t="str">
        <f>VLOOKUP(E5365,DATABASE!C:Q,4,false)</f>
        <v>Shell</v>
      </c>
      <c r="R5365" s="93" t="str">
        <f>VLOOKUP(E5365,DATABASE!C:Q,11,false)</f>
        <v>OIL</v>
      </c>
    </row>
    <row r="5366" ht="22.5" customHeight="1">
      <c r="A5366" s="49"/>
      <c r="C5366" s="666">
        <v>45969.0</v>
      </c>
      <c r="D5366" s="673" t="s">
        <v>0</v>
      </c>
      <c r="E5366" s="676" t="s">
        <v>263</v>
      </c>
      <c r="F5366" s="664">
        <v>1.0</v>
      </c>
      <c r="G5366" s="584">
        <v>320000.0</v>
      </c>
      <c r="H5366" s="74">
        <v>0.0</v>
      </c>
      <c r="I5366" s="74">
        <f t="shared" si="1"/>
        <v>320000</v>
      </c>
      <c r="J5366" s="74">
        <f>IF(E5366="SERVICE",I5366-(I5366*50%),Vlookup(E5366,DATABASE!C:Q,10,false)*F5366)</f>
        <v>0</v>
      </c>
      <c r="K5366" s="74">
        <f>VLOOKUP(E5366,DATABASE!C:Q,7,false)</f>
        <v>334916</v>
      </c>
      <c r="L5366" s="74">
        <v>287688.0</v>
      </c>
      <c r="M5366" s="74">
        <f t="shared" si="2"/>
        <v>290000</v>
      </c>
      <c r="N5366" s="74">
        <f t="shared" si="3"/>
        <v>30000</v>
      </c>
      <c r="O5366" s="65" t="str">
        <f>VLOOKUP(E5366,DATABASE!C:Q,8,false)</f>
        <v>NON</v>
      </c>
      <c r="P5366" s="65">
        <f>VLOOKUP(E5366,DATABASE!C:Q,9,False)</f>
        <v>0</v>
      </c>
      <c r="Q5366" s="93" t="str">
        <f>VLOOKUP(E5366,DATABASE!C:Q,4,false)</f>
        <v>Shell</v>
      </c>
      <c r="R5366" s="93" t="str">
        <f>VLOOKUP(E5366,DATABASE!C:Q,11,false)</f>
        <v>OIL</v>
      </c>
    </row>
    <row r="5367" ht="22.5" customHeight="1">
      <c r="A5367" s="49"/>
      <c r="C5367" s="666">
        <v>45970.0</v>
      </c>
      <c r="D5367" s="673">
        <v>7760.0</v>
      </c>
      <c r="E5367" s="676" t="s">
        <v>268</v>
      </c>
      <c r="F5367" s="664">
        <v>2.0</v>
      </c>
      <c r="G5367" s="584">
        <v>710000.0</v>
      </c>
      <c r="H5367" s="74">
        <v>0.0</v>
      </c>
      <c r="I5367" s="74">
        <f t="shared" si="1"/>
        <v>1420000</v>
      </c>
      <c r="J5367" s="74">
        <f>IF(E5367="SERVICE",I5367-(I5367*50%),Vlookup(E5367,DATABASE!C:Q,10,false)*F5367)</f>
        <v>0</v>
      </c>
      <c r="K5367" s="74">
        <f>VLOOKUP(E5367,DATABASE!C:Q,7,false)</f>
        <v>653000</v>
      </c>
      <c r="L5367" s="74">
        <v>622000.0</v>
      </c>
      <c r="M5367" s="74">
        <f t="shared" si="2"/>
        <v>625000</v>
      </c>
      <c r="N5367" s="74">
        <f t="shared" si="3"/>
        <v>170000</v>
      </c>
      <c r="O5367" s="65" t="str">
        <f>VLOOKUP(E5367,DATABASE!C:Q,8,false)</f>
        <v>IBU</v>
      </c>
      <c r="P5367" s="65">
        <f>VLOOKUP(E5367,DATABASE!C:Q,9,False)</f>
        <v>1</v>
      </c>
      <c r="Q5367" s="93" t="str">
        <f>VLOOKUP(E5367,DATABASE!C:Q,4,false)</f>
        <v>Dunlop</v>
      </c>
      <c r="R5367" s="93" t="str">
        <f>VLOOKUP(E5367,DATABASE!C:Q,11,false)</f>
        <v>Tire</v>
      </c>
    </row>
    <row r="5368" ht="22.5" customHeight="1">
      <c r="A5368" s="49"/>
      <c r="C5368" s="661">
        <v>45970.0</v>
      </c>
      <c r="D5368" s="673">
        <v>7761.0</v>
      </c>
      <c r="E5368" s="676" t="s">
        <v>839</v>
      </c>
      <c r="F5368" s="664">
        <v>1.0</v>
      </c>
      <c r="G5368" s="568">
        <v>565000.0</v>
      </c>
      <c r="H5368" s="74">
        <v>0.0</v>
      </c>
      <c r="I5368" s="74">
        <f t="shared" si="1"/>
        <v>565000</v>
      </c>
      <c r="J5368" s="74">
        <f>IF(E5368="SERVICE",I5368-(I5368*50%),Vlookup(E5368,DATABASE!C:Q,10,false)*F5368)</f>
        <v>0</v>
      </c>
      <c r="K5368" s="74">
        <f>VLOOKUP(E5368,DATABASE!C:Q,7,false)</f>
        <v>512640</v>
      </c>
      <c r="L5368" s="74">
        <v>475700.0</v>
      </c>
      <c r="M5368" s="74">
        <f t="shared" si="2"/>
        <v>480000</v>
      </c>
      <c r="N5368" s="74">
        <f t="shared" si="3"/>
        <v>85000</v>
      </c>
      <c r="O5368" s="65" t="str">
        <f>VLOOKUP(E5368,DATABASE!C:Q,8,false)</f>
        <v>BIAN</v>
      </c>
      <c r="P5368" s="65">
        <f>VLOOKUP(E5368,DATABASE!C:Q,9,False)</f>
        <v>1</v>
      </c>
      <c r="Q5368" s="93" t="str">
        <f>VLOOKUP(E5368,DATABASE!C:Q,4,false)</f>
        <v>GT</v>
      </c>
      <c r="R5368" s="93" t="str">
        <f>VLOOKUP(E5368,DATABASE!C:Q,11,false)</f>
        <v>Tire</v>
      </c>
      <c r="U5368" s="9"/>
    </row>
    <row r="5369" ht="22.5" customHeight="1">
      <c r="A5369" s="49"/>
      <c r="C5369" s="666">
        <v>45970.0</v>
      </c>
      <c r="D5369" s="673">
        <v>7762.0</v>
      </c>
      <c r="E5369" s="676" t="s">
        <v>275</v>
      </c>
      <c r="F5369" s="664">
        <v>2.0</v>
      </c>
      <c r="G5369" s="584">
        <v>830000.0</v>
      </c>
      <c r="H5369" s="74">
        <v>0.0</v>
      </c>
      <c r="I5369" s="74">
        <f t="shared" si="1"/>
        <v>1660000</v>
      </c>
      <c r="J5369" s="74">
        <f>IF(E5369="SERVICE",I5369-(I5369*50%),Vlookup(E5369,DATABASE!C:Q,10,false)*F5369)</f>
        <v>0</v>
      </c>
      <c r="K5369" s="74">
        <f>VLOOKUP(E5369,DATABASE!C:Q,7,false)</f>
        <v>782000</v>
      </c>
      <c r="L5369" s="74">
        <v>745000.0</v>
      </c>
      <c r="M5369" s="74">
        <f t="shared" si="2"/>
        <v>745000</v>
      </c>
      <c r="N5369" s="74">
        <f t="shared" si="3"/>
        <v>170000</v>
      </c>
      <c r="O5369" s="65" t="str">
        <f>VLOOKUP(E5369,DATABASE!C:Q,8,false)</f>
        <v>IBU</v>
      </c>
      <c r="P5369" s="65">
        <f>VLOOKUP(E5369,DATABASE!C:Q,9,False)</f>
        <v>1</v>
      </c>
      <c r="Q5369" s="93" t="str">
        <f>VLOOKUP(E5369,DATABASE!C:Q,4,false)</f>
        <v>Dunlop</v>
      </c>
      <c r="R5369" s="93" t="str">
        <f>VLOOKUP(E5369,DATABASE!C:Q,11,false)</f>
        <v>Tire</v>
      </c>
    </row>
    <row r="5370" ht="22.5" customHeight="1">
      <c r="A5370" s="49"/>
      <c r="C5370" s="666">
        <v>45970.0</v>
      </c>
      <c r="D5370" s="673">
        <v>7765.0</v>
      </c>
      <c r="E5370" s="676" t="s">
        <v>744</v>
      </c>
      <c r="F5370" s="664">
        <v>1.0</v>
      </c>
      <c r="G5370" s="584">
        <v>230000.0</v>
      </c>
      <c r="H5370" s="74">
        <v>0.0</v>
      </c>
      <c r="I5370" s="74">
        <f t="shared" si="1"/>
        <v>230000</v>
      </c>
      <c r="J5370" s="74">
        <f>IF(E5370="SERVICE",I5370-(I5370*50%),Vlookup(E5370,DATABASE!C:Q,10,false)*F5370)</f>
        <v>0</v>
      </c>
      <c r="K5370" s="74">
        <f>VLOOKUP(E5370,DATABASE!C:Q,7,false)</f>
        <v>182200</v>
      </c>
      <c r="L5370" s="74">
        <v>199920.0</v>
      </c>
      <c r="M5370" s="74">
        <f t="shared" si="2"/>
        <v>200000</v>
      </c>
      <c r="N5370" s="74">
        <f t="shared" si="3"/>
        <v>30000</v>
      </c>
      <c r="O5370" s="65" t="str">
        <f>VLOOKUP(E5370,DATABASE!C:Q,8,false)</f>
        <v>BIAN</v>
      </c>
      <c r="P5370" s="65">
        <f>VLOOKUP(E5370,DATABASE!C:Q,9,False)</f>
        <v>1</v>
      </c>
      <c r="Q5370" s="93" t="str">
        <f>VLOOKUP(E5370,DATABASE!C:Q,4,false)</f>
        <v>BD</v>
      </c>
      <c r="R5370" s="93" t="str">
        <f>VLOOKUP(E5370,DATABASE!C:Q,11,false)</f>
        <v>Tire</v>
      </c>
    </row>
    <row r="5371" ht="22.5" customHeight="1">
      <c r="A5371" s="49"/>
      <c r="C5371" s="661">
        <v>45970.0</v>
      </c>
      <c r="D5371" s="673">
        <v>7765.0</v>
      </c>
      <c r="E5371" s="676" t="s">
        <v>643</v>
      </c>
      <c r="F5371" s="664">
        <v>1.0</v>
      </c>
      <c r="G5371" s="568">
        <v>150000.0</v>
      </c>
      <c r="H5371" s="74">
        <v>0.0</v>
      </c>
      <c r="I5371" s="74">
        <f t="shared" si="1"/>
        <v>150000</v>
      </c>
      <c r="J5371" s="74">
        <f>IF(E5371="SERVICE",I5371-(I5371*50%),Vlookup(E5371,DATABASE!C:Q,10,false)*F5371)</f>
        <v>0</v>
      </c>
      <c r="K5371" s="74">
        <f>VLOOKUP(E5371,DATABASE!C:Q,7,false)</f>
        <v>111800</v>
      </c>
      <c r="L5371" s="74">
        <v>111800.0</v>
      </c>
      <c r="M5371" s="74">
        <f t="shared" si="2"/>
        <v>115000</v>
      </c>
      <c r="N5371" s="74">
        <f t="shared" si="3"/>
        <v>35000</v>
      </c>
      <c r="O5371" s="65" t="str">
        <f>VLOOKUP(E5371,DATABASE!C:Q,8,false)</f>
        <v>BIAN</v>
      </c>
      <c r="P5371" s="65">
        <f>VLOOKUP(E5371,DATABASE!C:Q,9,False)</f>
        <v>1</v>
      </c>
      <c r="Q5371" s="93" t="str">
        <f>VLOOKUP(E5371,DATABASE!C:Q,4,false)</f>
        <v>BD</v>
      </c>
      <c r="R5371" s="93" t="str">
        <f>VLOOKUP(E5371,DATABASE!C:Q,11,false)</f>
        <v>Tire</v>
      </c>
      <c r="U5371" s="9">
        <v>565000.0</v>
      </c>
    </row>
    <row r="5372" ht="22.5" customHeight="1">
      <c r="A5372" s="49"/>
      <c r="C5372" s="661">
        <v>45970.0</v>
      </c>
      <c r="D5372" s="673">
        <v>7766.0</v>
      </c>
      <c r="E5372" s="676" t="s">
        <v>288</v>
      </c>
      <c r="F5372" s="664">
        <v>1.0</v>
      </c>
      <c r="G5372" s="568">
        <v>620000.0</v>
      </c>
      <c r="H5372" s="74">
        <v>0.0</v>
      </c>
      <c r="I5372" s="74">
        <f t="shared" si="1"/>
        <v>620000</v>
      </c>
      <c r="J5372" s="74">
        <f>IF(E5372="SERVICE",I5372-(I5372*50%),Vlookup(E5372,DATABASE!C:Q,10,false)*F5372)</f>
        <v>0</v>
      </c>
      <c r="K5372" s="74">
        <f>VLOOKUP(E5372,DATABASE!C:Q,7,false)</f>
        <v>565760</v>
      </c>
      <c r="L5372" s="74">
        <v>524800.0</v>
      </c>
      <c r="M5372" s="74">
        <f t="shared" si="2"/>
        <v>525000</v>
      </c>
      <c r="N5372" s="74">
        <f t="shared" si="3"/>
        <v>95000</v>
      </c>
      <c r="O5372" s="65" t="str">
        <f>VLOOKUP(E5372,DATABASE!C:Q,8,false)</f>
        <v>BIAN</v>
      </c>
      <c r="P5372" s="65">
        <f>VLOOKUP(E5372,DATABASE!C:Q,9,False)</f>
        <v>1</v>
      </c>
      <c r="Q5372" s="93" t="str">
        <f>VLOOKUP(E5372,DATABASE!C:Q,4,false)</f>
        <v>GT</v>
      </c>
      <c r="R5372" s="93" t="str">
        <f>VLOOKUP(E5372,DATABASE!C:Q,11,false)</f>
        <v>Tire</v>
      </c>
      <c r="U5372" s="9"/>
    </row>
    <row r="5373" ht="22.5" customHeight="1">
      <c r="A5373" s="49"/>
      <c r="C5373" s="661">
        <v>45970.0</v>
      </c>
      <c r="D5373" s="673">
        <v>7767.0</v>
      </c>
      <c r="E5373" s="671" t="s">
        <v>299</v>
      </c>
      <c r="F5373" s="664">
        <v>2.0</v>
      </c>
      <c r="G5373" s="568">
        <v>30000.0</v>
      </c>
      <c r="H5373" s="74">
        <v>0.0</v>
      </c>
      <c r="I5373" s="74">
        <f t="shared" si="1"/>
        <v>60000</v>
      </c>
      <c r="J5373" s="74">
        <f>IF(E5373="SERVICE",I5373-(I5373*50%),Vlookup(E5373,DATABASE!C:Q,10,false)*F5373)</f>
        <v>0</v>
      </c>
      <c r="K5373" s="74">
        <f>VLOOKUP(E5373,DATABASE!C:Q,7,false)</f>
        <v>10000</v>
      </c>
      <c r="L5373" s="74">
        <v>5000.0</v>
      </c>
      <c r="M5373" s="74">
        <f t="shared" si="2"/>
        <v>5000</v>
      </c>
      <c r="N5373" s="74">
        <f t="shared" si="3"/>
        <v>50000</v>
      </c>
      <c r="O5373" s="65" t="str">
        <f>VLOOKUP(E5373,DATABASE!C:Q,8,false)</f>
        <v>BIAN</v>
      </c>
      <c r="P5373" s="65">
        <f>VLOOKUP(E5373,DATABASE!C:Q,9,False)</f>
        <v>0</v>
      </c>
      <c r="Q5373" s="93" t="str">
        <f>VLOOKUP(E5373,DATABASE!C:Q,4,false)</f>
        <v>Balancing</v>
      </c>
      <c r="R5373" s="93" t="str">
        <f>VLOOKUP(E5373,DATABASE!C:Q,11,false)</f>
        <v>COMPLEMENTARY</v>
      </c>
      <c r="U5373" s="9">
        <v>620000.0</v>
      </c>
    </row>
    <row r="5374" ht="22.5" customHeight="1">
      <c r="A5374" s="49"/>
      <c r="C5374" s="661">
        <v>45970.0</v>
      </c>
      <c r="D5374" s="673">
        <v>7767.0</v>
      </c>
      <c r="E5374" s="676" t="s">
        <v>256</v>
      </c>
      <c r="F5374" s="664">
        <v>1.0</v>
      </c>
      <c r="G5374" s="568">
        <v>130000.0</v>
      </c>
      <c r="H5374" s="74">
        <v>0.0</v>
      </c>
      <c r="I5374" s="74">
        <f t="shared" si="1"/>
        <v>130000</v>
      </c>
      <c r="J5374" s="74">
        <f>IF(E5374="SERVICE",I5374-(I5374*50%),Vlookup(E5374,DATABASE!C:Q,10,false)*F5374)</f>
        <v>10000</v>
      </c>
      <c r="K5374" s="74">
        <f>VLOOKUP(E5374,DATABASE!C:Q,7,false)</f>
        <v>0</v>
      </c>
      <c r="L5374" s="74">
        <v>0.0</v>
      </c>
      <c r="M5374" s="74">
        <f t="shared" si="2"/>
        <v>0</v>
      </c>
      <c r="N5374" s="74">
        <f t="shared" si="3"/>
        <v>120000</v>
      </c>
      <c r="O5374" s="65" t="str">
        <f>VLOOKUP(E5374,DATABASE!C:Q,8,false)</f>
        <v>IBU</v>
      </c>
      <c r="P5374" s="65">
        <f>VLOOKUP(E5374,DATABASE!C:Q,9,False)</f>
        <v>0</v>
      </c>
      <c r="Q5374" s="93" t="str">
        <f>VLOOKUP(E5374,DATABASE!C:Q,4,false)</f>
        <v>SPOORING</v>
      </c>
      <c r="R5374" s="93" t="str">
        <f>VLOOKUP(E5374,DATABASE!C:Q,11,false)</f>
        <v>SERVICE</v>
      </c>
      <c r="U5374" s="9">
        <v>230000.0</v>
      </c>
    </row>
    <row r="5375" ht="22.5" customHeight="1">
      <c r="A5375" s="49"/>
      <c r="C5375" s="666">
        <v>45970.0</v>
      </c>
      <c r="D5375" s="673">
        <v>7767.0</v>
      </c>
      <c r="E5375" s="676" t="s">
        <v>301</v>
      </c>
      <c r="F5375" s="664">
        <v>1.0</v>
      </c>
      <c r="G5375" s="584">
        <v>250000.0</v>
      </c>
      <c r="H5375" s="74">
        <v>0.0</v>
      </c>
      <c r="I5375" s="74">
        <f t="shared" si="1"/>
        <v>250000</v>
      </c>
      <c r="J5375" s="74">
        <f>IF(E5375="SERVICE",I5375-(I5375*50%),Vlookup(E5375,DATABASE!C:Q,10,false)*F5375)</f>
        <v>75000</v>
      </c>
      <c r="K5375" s="74">
        <f>VLOOKUP(E5375,DATABASE!C:Q,7,false)</f>
        <v>75000</v>
      </c>
      <c r="L5375" s="74">
        <v>75000.0</v>
      </c>
      <c r="M5375" s="74">
        <f t="shared" si="2"/>
        <v>75000</v>
      </c>
      <c r="N5375" s="74">
        <f t="shared" si="3"/>
        <v>100000</v>
      </c>
      <c r="O5375" s="65" t="str">
        <f>VLOOKUP(E5375,DATABASE!C:Q,8,false)</f>
        <v>BIAN</v>
      </c>
      <c r="P5375" s="65">
        <f>VLOOKUP(E5375,DATABASE!C:Q,9,False)</f>
        <v>0</v>
      </c>
      <c r="Q5375" s="93" t="str">
        <f>VLOOKUP(E5375,DATABASE!C:Q,4,false)</f>
        <v>Baut Camber</v>
      </c>
      <c r="R5375" s="93" t="str">
        <f>VLOOKUP(E5375,DATABASE!C:Q,11,false)</f>
        <v>COMPLEMENTARY</v>
      </c>
      <c r="U5375" s="9">
        <v>150000.0</v>
      </c>
    </row>
    <row r="5376" ht="22.5" customHeight="1">
      <c r="A5376" s="49"/>
      <c r="C5376" s="666">
        <v>45971.0</v>
      </c>
      <c r="D5376" s="673">
        <v>7768.0</v>
      </c>
      <c r="E5376" s="671" t="s">
        <v>299</v>
      </c>
      <c r="F5376" s="664">
        <v>2.0</v>
      </c>
      <c r="G5376" s="584">
        <v>25000.0</v>
      </c>
      <c r="H5376" s="74">
        <v>0.0</v>
      </c>
      <c r="I5376" s="74">
        <f t="shared" si="1"/>
        <v>50000</v>
      </c>
      <c r="J5376" s="74">
        <f>IF(E5376="SERVICE",I5376-(I5376*50%),Vlookup(E5376,DATABASE!C:Q,10,false)*F5376)</f>
        <v>0</v>
      </c>
      <c r="K5376" s="74">
        <f>VLOOKUP(E5376,DATABASE!C:Q,7,false)</f>
        <v>10000</v>
      </c>
      <c r="L5376" s="74">
        <v>5000.0</v>
      </c>
      <c r="M5376" s="74">
        <f t="shared" si="2"/>
        <v>5000</v>
      </c>
      <c r="N5376" s="74">
        <f t="shared" si="3"/>
        <v>40000</v>
      </c>
      <c r="O5376" s="65" t="str">
        <f>VLOOKUP(E5376,DATABASE!C:Q,8,false)</f>
        <v>BIAN</v>
      </c>
      <c r="P5376" s="65">
        <f>VLOOKUP(E5376,DATABASE!C:Q,9,False)</f>
        <v>0</v>
      </c>
      <c r="Q5376" s="93" t="str">
        <f>VLOOKUP(E5376,DATABASE!C:Q,4,false)</f>
        <v>Balancing</v>
      </c>
      <c r="R5376" s="93" t="str">
        <f>VLOOKUP(E5376,DATABASE!C:Q,11,false)</f>
        <v>COMPLEMENTARY</v>
      </c>
    </row>
    <row r="5377" ht="22.5" customHeight="1">
      <c r="A5377" s="49"/>
      <c r="C5377" s="661">
        <v>45971.0</v>
      </c>
      <c r="D5377" s="673">
        <v>7769.0</v>
      </c>
      <c r="E5377" s="676" t="s">
        <v>268</v>
      </c>
      <c r="F5377" s="664">
        <v>2.0</v>
      </c>
      <c r="G5377" s="568">
        <v>710000.0</v>
      </c>
      <c r="H5377" s="74">
        <v>0.0</v>
      </c>
      <c r="I5377" s="74">
        <f t="shared" si="1"/>
        <v>1420000</v>
      </c>
      <c r="J5377" s="74">
        <f>IF(E5377="SERVICE",I5377-(I5377*50%),Vlookup(E5377,DATABASE!C:Q,10,false)*F5377)</f>
        <v>0</v>
      </c>
      <c r="K5377" s="74">
        <f>VLOOKUP(E5377,DATABASE!C:Q,7,false)</f>
        <v>653000</v>
      </c>
      <c r="L5377" s="74">
        <v>622000.0</v>
      </c>
      <c r="M5377" s="74">
        <f t="shared" si="2"/>
        <v>625000</v>
      </c>
      <c r="N5377" s="74">
        <f t="shared" si="3"/>
        <v>170000</v>
      </c>
      <c r="O5377" s="65" t="str">
        <f>VLOOKUP(E5377,DATABASE!C:Q,8,false)</f>
        <v>IBU</v>
      </c>
      <c r="P5377" s="65">
        <f>VLOOKUP(E5377,DATABASE!C:Q,9,False)</f>
        <v>1</v>
      </c>
      <c r="Q5377" s="93" t="str">
        <f>VLOOKUP(E5377,DATABASE!C:Q,4,false)</f>
        <v>Dunlop</v>
      </c>
      <c r="R5377" s="93" t="str">
        <f>VLOOKUP(E5377,DATABASE!C:Q,11,false)</f>
        <v>Tire</v>
      </c>
      <c r="U5377" s="9"/>
    </row>
    <row r="5378" ht="22.5" customHeight="1">
      <c r="A5378" s="49"/>
      <c r="C5378" s="666">
        <v>45971.0</v>
      </c>
      <c r="D5378" s="673">
        <v>7770.0</v>
      </c>
      <c r="E5378" s="676" t="s">
        <v>391</v>
      </c>
      <c r="F5378" s="664">
        <v>1.0</v>
      </c>
      <c r="G5378" s="677">
        <v>1950000.0</v>
      </c>
      <c r="H5378" s="74">
        <v>0.0</v>
      </c>
      <c r="I5378" s="74">
        <f t="shared" si="1"/>
        <v>1950000</v>
      </c>
      <c r="J5378" s="74">
        <f>IF(E5378="SERVICE",I5378-(I5378*50%),Vlookup(E5378,DATABASE!C:Q,10,false)*F5378)</f>
        <v>0</v>
      </c>
      <c r="K5378" s="74">
        <f>VLOOKUP(E5378,DATABASE!C:Q,7,false)</f>
        <v>1885000</v>
      </c>
      <c r="L5378" s="74">
        <v>1840000.0</v>
      </c>
      <c r="M5378" s="74">
        <f t="shared" si="2"/>
        <v>1840000</v>
      </c>
      <c r="N5378" s="74">
        <f t="shared" si="3"/>
        <v>110000</v>
      </c>
      <c r="O5378" s="65" t="str">
        <f>VLOOKUP(E5378,DATABASE!C:Q,8,false)</f>
        <v>BIAN</v>
      </c>
      <c r="P5378" s="65">
        <f>VLOOKUP(E5378,DATABASE!C:Q,9,False)</f>
        <v>1</v>
      </c>
      <c r="Q5378" s="93" t="str">
        <f>VLOOKUP(E5378,DATABASE!C:Q,4,false)</f>
        <v>Advance</v>
      </c>
      <c r="R5378" s="93" t="str">
        <f>VLOOKUP(E5378,DATABASE!C:Q,11,false)</f>
        <v>Tire</v>
      </c>
    </row>
    <row r="5379" ht="22.5" customHeight="1">
      <c r="A5379" s="49"/>
      <c r="C5379" s="666">
        <v>45971.0</v>
      </c>
      <c r="D5379" s="673">
        <v>7771.0</v>
      </c>
      <c r="E5379" s="676" t="s">
        <v>251</v>
      </c>
      <c r="F5379" s="664">
        <v>1.0</v>
      </c>
      <c r="G5379" s="677">
        <v>150000.0</v>
      </c>
      <c r="H5379" s="74">
        <v>0.0</v>
      </c>
      <c r="I5379" s="74">
        <f t="shared" si="1"/>
        <v>150000</v>
      </c>
      <c r="J5379" s="74">
        <f>IF(E5379="SERVICE",I5379-(I5379*50%),Vlookup(E5379,DATABASE!C:Q,10,false)*F5379)</f>
        <v>75000</v>
      </c>
      <c r="K5379" s="74">
        <f>VLOOKUP(E5379,DATABASE!C:Q,7,false)</f>
        <v>0</v>
      </c>
      <c r="L5379" s="74">
        <v>0.0</v>
      </c>
      <c r="M5379" s="74">
        <f t="shared" si="2"/>
        <v>0</v>
      </c>
      <c r="N5379" s="74">
        <f t="shared" si="3"/>
        <v>75000</v>
      </c>
      <c r="O5379" s="65" t="str">
        <f>VLOOKUP(E5379,DATABASE!C:Q,8,false)</f>
        <v>IBU</v>
      </c>
      <c r="P5379" s="65">
        <f>VLOOKUP(E5379,DATABASE!C:Q,9,False)</f>
        <v>0</v>
      </c>
      <c r="Q5379" s="93" t="str">
        <f>VLOOKUP(E5379,DATABASE!C:Q,4,false)</f>
        <v>SERVICE</v>
      </c>
      <c r="R5379" s="93" t="str">
        <f>VLOOKUP(E5379,DATABASE!C:Q,11,false)</f>
        <v>SERVICE</v>
      </c>
      <c r="U5379" s="9">
        <v>530000.0</v>
      </c>
    </row>
    <row r="5380" ht="22.5" customHeight="1">
      <c r="A5380" s="49"/>
      <c r="C5380" s="661">
        <v>45971.0</v>
      </c>
      <c r="D5380" s="673">
        <v>7772.0</v>
      </c>
      <c r="E5380" s="676" t="s">
        <v>781</v>
      </c>
      <c r="F5380" s="664">
        <v>1.0</v>
      </c>
      <c r="G5380" s="677">
        <v>530000.0</v>
      </c>
      <c r="H5380" s="74">
        <v>0.0</v>
      </c>
      <c r="I5380" s="74">
        <f t="shared" si="1"/>
        <v>530000</v>
      </c>
      <c r="J5380" s="74">
        <f>IF(E5380="SERVICE",I5380-(I5380*50%),Vlookup(E5380,DATABASE!C:Q,10,false)*F5380)</f>
        <v>0</v>
      </c>
      <c r="K5380" s="74">
        <f>VLOOKUP(E5380,DATABASE!C:Q,7,false)</f>
        <v>470000</v>
      </c>
      <c r="L5380" s="74">
        <v>442500.0</v>
      </c>
      <c r="M5380" s="74">
        <f t="shared" si="2"/>
        <v>445000</v>
      </c>
      <c r="N5380" s="74">
        <f t="shared" si="3"/>
        <v>85000</v>
      </c>
      <c r="O5380" s="65" t="str">
        <f>VLOOKUP(E5380,DATABASE!C:Q,8,false)</f>
        <v>BIAN</v>
      </c>
      <c r="P5380" s="65">
        <f>VLOOKUP(E5380,DATABASE!C:Q,9,False)</f>
        <v>1</v>
      </c>
      <c r="Q5380" s="93" t="str">
        <f>VLOOKUP(E5380,DATABASE!C:Q,4,false)</f>
        <v>GT</v>
      </c>
      <c r="R5380" s="93" t="str">
        <f>VLOOKUP(E5380,DATABASE!C:Q,11,false)</f>
        <v>Tire</v>
      </c>
      <c r="U5380" s="9">
        <v>1950000.0</v>
      </c>
    </row>
    <row r="5381" ht="22.5" customHeight="1">
      <c r="A5381" s="49"/>
      <c r="C5381" s="661">
        <v>45971.0</v>
      </c>
      <c r="D5381" s="673">
        <v>7773.0</v>
      </c>
      <c r="E5381" s="671" t="s">
        <v>299</v>
      </c>
      <c r="F5381" s="664">
        <v>4.0</v>
      </c>
      <c r="G5381" s="677">
        <v>25000.0</v>
      </c>
      <c r="H5381" s="74">
        <v>0.0</v>
      </c>
      <c r="I5381" s="74">
        <f t="shared" si="1"/>
        <v>100000</v>
      </c>
      <c r="J5381" s="74">
        <f>IF(E5381="SERVICE",I5381-(I5381*50%),Vlookup(E5381,DATABASE!C:Q,10,false)*F5381)</f>
        <v>0</v>
      </c>
      <c r="K5381" s="74">
        <f>VLOOKUP(E5381,DATABASE!C:Q,7,false)</f>
        <v>10000</v>
      </c>
      <c r="L5381" s="74">
        <v>5000.0</v>
      </c>
      <c r="M5381" s="74">
        <f t="shared" si="2"/>
        <v>5000</v>
      </c>
      <c r="N5381" s="74">
        <f t="shared" si="3"/>
        <v>80000</v>
      </c>
      <c r="O5381" s="65" t="str">
        <f>VLOOKUP(E5381,DATABASE!C:Q,8,false)</f>
        <v>BIAN</v>
      </c>
      <c r="P5381" s="65">
        <f>VLOOKUP(E5381,DATABASE!C:Q,9,False)</f>
        <v>0</v>
      </c>
      <c r="Q5381" s="93" t="str">
        <f>VLOOKUP(E5381,DATABASE!C:Q,4,false)</f>
        <v>Balancing</v>
      </c>
      <c r="R5381" s="93" t="str">
        <f>VLOOKUP(E5381,DATABASE!C:Q,11,false)</f>
        <v>COMPLEMENTARY</v>
      </c>
    </row>
    <row r="5382" ht="22.5" customHeight="1">
      <c r="A5382" s="49"/>
      <c r="C5382" s="666">
        <v>45971.0</v>
      </c>
      <c r="D5382" s="673">
        <v>7774.0</v>
      </c>
      <c r="E5382" s="676" t="s">
        <v>275</v>
      </c>
      <c r="F5382" s="664">
        <v>2.0</v>
      </c>
      <c r="G5382" s="677">
        <v>830000.0</v>
      </c>
      <c r="H5382" s="74">
        <v>0.0</v>
      </c>
      <c r="I5382" s="74">
        <f t="shared" si="1"/>
        <v>1660000</v>
      </c>
      <c r="J5382" s="74">
        <f>IF(E5382="SERVICE",I5382-(I5382*50%),Vlookup(E5382,DATABASE!C:Q,10,false)*F5382)</f>
        <v>0</v>
      </c>
      <c r="K5382" s="74">
        <f>VLOOKUP(E5382,DATABASE!C:Q,7,false)</f>
        <v>782000</v>
      </c>
      <c r="L5382" s="74">
        <v>745000.0</v>
      </c>
      <c r="M5382" s="74">
        <f t="shared" si="2"/>
        <v>745000</v>
      </c>
      <c r="N5382" s="74">
        <f t="shared" si="3"/>
        <v>170000</v>
      </c>
      <c r="O5382" s="65" t="str">
        <f>VLOOKUP(E5382,DATABASE!C:Q,8,false)</f>
        <v>IBU</v>
      </c>
      <c r="P5382" s="65">
        <f>VLOOKUP(E5382,DATABASE!C:Q,9,False)</f>
        <v>1</v>
      </c>
      <c r="Q5382" s="93" t="str">
        <f>VLOOKUP(E5382,DATABASE!C:Q,4,false)</f>
        <v>Dunlop</v>
      </c>
      <c r="R5382" s="93" t="str">
        <f>VLOOKUP(E5382,DATABASE!C:Q,11,false)</f>
        <v>Tire</v>
      </c>
      <c r="U5382" s="9"/>
    </row>
    <row r="5383" ht="22.5" customHeight="1">
      <c r="A5383" s="49"/>
      <c r="C5383" s="661">
        <v>45971.0</v>
      </c>
      <c r="D5383" s="673">
        <v>7775.0</v>
      </c>
      <c r="E5383" s="676" t="s">
        <v>268</v>
      </c>
      <c r="F5383" s="664">
        <v>2.0</v>
      </c>
      <c r="G5383" s="677">
        <v>710000.0</v>
      </c>
      <c r="H5383" s="74">
        <v>0.0</v>
      </c>
      <c r="I5383" s="74">
        <f t="shared" si="1"/>
        <v>1420000</v>
      </c>
      <c r="J5383" s="74">
        <f>IF(E5383="SERVICE",I5383-(I5383*50%),Vlookup(E5383,DATABASE!C:Q,10,false)*F5383)</f>
        <v>0</v>
      </c>
      <c r="K5383" s="74">
        <f>VLOOKUP(E5383,DATABASE!C:Q,7,false)</f>
        <v>653000</v>
      </c>
      <c r="L5383" s="74">
        <v>622000.0</v>
      </c>
      <c r="M5383" s="74">
        <f t="shared" si="2"/>
        <v>625000</v>
      </c>
      <c r="N5383" s="74">
        <f t="shared" si="3"/>
        <v>170000</v>
      </c>
      <c r="O5383" s="65" t="str">
        <f>VLOOKUP(E5383,DATABASE!C:Q,8,false)</f>
        <v>IBU</v>
      </c>
      <c r="P5383" s="65">
        <f>VLOOKUP(E5383,DATABASE!C:Q,9,False)</f>
        <v>1</v>
      </c>
      <c r="Q5383" s="93" t="str">
        <f>VLOOKUP(E5383,DATABASE!C:Q,4,false)</f>
        <v>Dunlop</v>
      </c>
      <c r="R5383" s="93" t="str">
        <f>VLOOKUP(E5383,DATABASE!C:Q,11,false)</f>
        <v>Tire</v>
      </c>
      <c r="U5383" s="9"/>
    </row>
    <row r="5384" ht="22.5" customHeight="1">
      <c r="A5384" s="49"/>
      <c r="C5384" s="666">
        <v>45971.0</v>
      </c>
      <c r="D5384" s="673">
        <v>7775.0</v>
      </c>
      <c r="E5384" s="676" t="s">
        <v>246</v>
      </c>
      <c r="F5384" s="664">
        <v>1.0</v>
      </c>
      <c r="G5384" s="677">
        <v>20000.0</v>
      </c>
      <c r="H5384" s="74">
        <v>0.0</v>
      </c>
      <c r="I5384" s="74">
        <f t="shared" si="1"/>
        <v>20000</v>
      </c>
      <c r="J5384" s="74">
        <f>IF(E5384="SERVICE",I5384-(I5384*50%),Vlookup(E5384,DATABASE!C:Q,10,false)*F5384)</f>
        <v>0</v>
      </c>
      <c r="K5384" s="74">
        <f>VLOOKUP(E5384,DATABASE!C:Q,7,false)</f>
        <v>0</v>
      </c>
      <c r="L5384" s="74">
        <v>0.0</v>
      </c>
      <c r="M5384" s="74">
        <f t="shared" si="2"/>
        <v>0</v>
      </c>
      <c r="N5384" s="74">
        <f t="shared" si="3"/>
        <v>20000</v>
      </c>
      <c r="O5384" s="65" t="str">
        <f>VLOOKUP(E5384,DATABASE!C:Q,8,false)</f>
        <v>IBU</v>
      </c>
      <c r="P5384" s="65">
        <f>VLOOKUP(E5384,DATABASE!C:Q,9,False)</f>
        <v>0</v>
      </c>
      <c r="Q5384" s="93" t="str">
        <f>VLOOKUP(E5384,DATABASE!C:Q,4,false)</f>
        <v>Bongkar Pasang</v>
      </c>
      <c r="R5384" s="93" t="str">
        <f>VLOOKUP(E5384,DATABASE!C:Q,11,false)</f>
        <v>SERVICE</v>
      </c>
    </row>
    <row r="5385" ht="22.5" customHeight="1">
      <c r="A5385" s="49"/>
      <c r="C5385" s="661">
        <v>45971.0</v>
      </c>
      <c r="D5385" s="673">
        <v>7775.0</v>
      </c>
      <c r="E5385" s="676" t="s">
        <v>246</v>
      </c>
      <c r="F5385" s="664">
        <v>1.0</v>
      </c>
      <c r="G5385" s="677">
        <v>20000.0</v>
      </c>
      <c r="H5385" s="74">
        <v>0.0</v>
      </c>
      <c r="I5385" s="74">
        <f t="shared" si="1"/>
        <v>20000</v>
      </c>
      <c r="J5385" s="74">
        <f>IF(E5385="SERVICE",I5385-(I5385*50%),Vlookup(E5385,DATABASE!C:Q,10,false)*F5385)</f>
        <v>0</v>
      </c>
      <c r="K5385" s="74">
        <f>VLOOKUP(E5385,DATABASE!C:Q,7,false)</f>
        <v>0</v>
      </c>
      <c r="L5385" s="74">
        <v>0.0</v>
      </c>
      <c r="M5385" s="74">
        <f t="shared" si="2"/>
        <v>0</v>
      </c>
      <c r="N5385" s="74">
        <f t="shared" si="3"/>
        <v>20000</v>
      </c>
      <c r="O5385" s="65" t="str">
        <f>VLOOKUP(E5385,DATABASE!C:Q,8,false)</f>
        <v>IBU</v>
      </c>
      <c r="P5385" s="65">
        <f>VLOOKUP(E5385,DATABASE!C:Q,9,False)</f>
        <v>0</v>
      </c>
      <c r="Q5385" s="93" t="str">
        <f>VLOOKUP(E5385,DATABASE!C:Q,4,false)</f>
        <v>Bongkar Pasang</v>
      </c>
      <c r="R5385" s="93" t="str">
        <f>VLOOKUP(E5385,DATABASE!C:Q,11,false)</f>
        <v>SERVICE</v>
      </c>
    </row>
    <row r="5386" ht="22.5" customHeight="1">
      <c r="A5386" s="49"/>
      <c r="C5386" s="666">
        <v>45971.0</v>
      </c>
      <c r="D5386" s="673">
        <v>7776.0</v>
      </c>
      <c r="E5386" s="676" t="s">
        <v>275</v>
      </c>
      <c r="F5386" s="664">
        <v>2.0</v>
      </c>
      <c r="G5386" s="677">
        <v>830000.0</v>
      </c>
      <c r="H5386" s="74">
        <v>0.0</v>
      </c>
      <c r="I5386" s="74">
        <f t="shared" si="1"/>
        <v>1660000</v>
      </c>
      <c r="J5386" s="74">
        <f>IF(E5386="SERVICE",I5386-(I5386*50%),Vlookup(E5386,DATABASE!C:Q,10,false)*F5386)</f>
        <v>0</v>
      </c>
      <c r="K5386" s="74">
        <f>VLOOKUP(E5386,DATABASE!C:Q,7,false)</f>
        <v>782000</v>
      </c>
      <c r="L5386" s="74">
        <v>745000.0</v>
      </c>
      <c r="M5386" s="74">
        <f t="shared" si="2"/>
        <v>745000</v>
      </c>
      <c r="N5386" s="74">
        <f t="shared" si="3"/>
        <v>170000</v>
      </c>
      <c r="O5386" s="65" t="str">
        <f>VLOOKUP(E5386,DATABASE!C:Q,8,false)</f>
        <v>IBU</v>
      </c>
      <c r="P5386" s="65">
        <f>VLOOKUP(E5386,DATABASE!C:Q,9,False)</f>
        <v>1</v>
      </c>
      <c r="Q5386" s="93" t="str">
        <f>VLOOKUP(E5386,DATABASE!C:Q,4,false)</f>
        <v>Dunlop</v>
      </c>
      <c r="R5386" s="93" t="str">
        <f>VLOOKUP(E5386,DATABASE!C:Q,11,false)</f>
        <v>Tire</v>
      </c>
      <c r="U5386" s="9"/>
    </row>
    <row r="5387" ht="22.5" customHeight="1">
      <c r="A5387" s="49"/>
      <c r="C5387" s="661">
        <v>45971.0</v>
      </c>
      <c r="D5387" s="673">
        <v>7777.0</v>
      </c>
      <c r="E5387" s="676" t="s">
        <v>268</v>
      </c>
      <c r="F5387" s="664">
        <v>2.0</v>
      </c>
      <c r="G5387" s="677">
        <v>700000.0</v>
      </c>
      <c r="H5387" s="74">
        <v>0.0</v>
      </c>
      <c r="I5387" s="74">
        <f t="shared" si="1"/>
        <v>1400000</v>
      </c>
      <c r="J5387" s="74">
        <f>IF(E5387="SERVICE",I5387-(I5387*50%),Vlookup(E5387,DATABASE!C:Q,10,false)*F5387)</f>
        <v>0</v>
      </c>
      <c r="K5387" s="74">
        <f>VLOOKUP(E5387,DATABASE!C:Q,7,false)</f>
        <v>653000</v>
      </c>
      <c r="L5387" s="74">
        <v>622000.0</v>
      </c>
      <c r="M5387" s="74">
        <f t="shared" si="2"/>
        <v>625000</v>
      </c>
      <c r="N5387" s="74">
        <f t="shared" si="3"/>
        <v>150000</v>
      </c>
      <c r="O5387" s="65" t="str">
        <f>VLOOKUP(E5387,DATABASE!C:Q,8,false)</f>
        <v>IBU</v>
      </c>
      <c r="P5387" s="65">
        <f>VLOOKUP(E5387,DATABASE!C:Q,9,False)</f>
        <v>1</v>
      </c>
      <c r="Q5387" s="93" t="str">
        <f>VLOOKUP(E5387,DATABASE!C:Q,4,false)</f>
        <v>Dunlop</v>
      </c>
      <c r="R5387" s="93" t="str">
        <f>VLOOKUP(E5387,DATABASE!C:Q,11,false)</f>
        <v>Tire</v>
      </c>
      <c r="U5387" s="9"/>
    </row>
    <row r="5388" ht="22.5" customHeight="1">
      <c r="A5388" s="49"/>
      <c r="C5388" s="661">
        <v>45971.0</v>
      </c>
      <c r="D5388" s="673">
        <v>7778.0</v>
      </c>
      <c r="E5388" s="676" t="s">
        <v>246</v>
      </c>
      <c r="F5388" s="664">
        <v>4.0</v>
      </c>
      <c r="G5388" s="677">
        <v>25000.0</v>
      </c>
      <c r="H5388" s="74">
        <v>0.0</v>
      </c>
      <c r="I5388" s="74">
        <f t="shared" si="1"/>
        <v>100000</v>
      </c>
      <c r="J5388" s="74">
        <f>IF(E5388="SERVICE",I5388-(I5388*50%),Vlookup(E5388,DATABASE!C:Q,10,false)*F5388)</f>
        <v>0</v>
      </c>
      <c r="K5388" s="74">
        <f>VLOOKUP(E5388,DATABASE!C:Q,7,false)</f>
        <v>0</v>
      </c>
      <c r="L5388" s="74">
        <v>0.0</v>
      </c>
      <c r="M5388" s="74">
        <f t="shared" si="2"/>
        <v>0</v>
      </c>
      <c r="N5388" s="74">
        <f t="shared" si="3"/>
        <v>100000</v>
      </c>
      <c r="O5388" s="65" t="str">
        <f>VLOOKUP(E5388,DATABASE!C:Q,8,false)</f>
        <v>IBU</v>
      </c>
      <c r="P5388" s="65">
        <f>VLOOKUP(E5388,DATABASE!C:Q,9,False)</f>
        <v>0</v>
      </c>
      <c r="Q5388" s="93" t="str">
        <f>VLOOKUP(E5388,DATABASE!C:Q,4,false)</f>
        <v>Bongkar Pasang</v>
      </c>
      <c r="R5388" s="93" t="str">
        <f>VLOOKUP(E5388,DATABASE!C:Q,11,false)</f>
        <v>SERVICE</v>
      </c>
    </row>
    <row r="5389" ht="22.5" customHeight="1">
      <c r="A5389" s="49"/>
      <c r="C5389" s="666">
        <v>45971.0</v>
      </c>
      <c r="D5389" s="673">
        <v>7778.0</v>
      </c>
      <c r="E5389" s="671" t="s">
        <v>299</v>
      </c>
      <c r="F5389" s="664">
        <v>4.0</v>
      </c>
      <c r="G5389" s="677">
        <v>30000.0</v>
      </c>
      <c r="H5389" s="74">
        <v>0.0</v>
      </c>
      <c r="I5389" s="74">
        <f t="shared" si="1"/>
        <v>120000</v>
      </c>
      <c r="J5389" s="74">
        <f>IF(E5389="SERVICE",I5389-(I5389*50%),Vlookup(E5389,DATABASE!C:Q,10,false)*F5389)</f>
        <v>0</v>
      </c>
      <c r="K5389" s="74">
        <f>VLOOKUP(E5389,DATABASE!C:Q,7,false)</f>
        <v>10000</v>
      </c>
      <c r="L5389" s="74">
        <v>5000.0</v>
      </c>
      <c r="M5389" s="74">
        <f t="shared" si="2"/>
        <v>5000</v>
      </c>
      <c r="N5389" s="74">
        <f t="shared" si="3"/>
        <v>100000</v>
      </c>
      <c r="O5389" s="65" t="str">
        <f>VLOOKUP(E5389,DATABASE!C:Q,8,false)</f>
        <v>BIAN</v>
      </c>
      <c r="P5389" s="65">
        <f>VLOOKUP(E5389,DATABASE!C:Q,9,False)</f>
        <v>0</v>
      </c>
      <c r="Q5389" s="93" t="str">
        <f>VLOOKUP(E5389,DATABASE!C:Q,4,false)</f>
        <v>Balancing</v>
      </c>
      <c r="R5389" s="93" t="str">
        <f>VLOOKUP(E5389,DATABASE!C:Q,11,false)</f>
        <v>COMPLEMENTARY</v>
      </c>
    </row>
    <row r="5390" ht="22.5" customHeight="1">
      <c r="A5390" s="49"/>
      <c r="C5390" s="661">
        <v>45971.0</v>
      </c>
      <c r="D5390" s="673">
        <v>7778.0</v>
      </c>
      <c r="E5390" s="676" t="s">
        <v>256</v>
      </c>
      <c r="F5390" s="664">
        <v>1.0</v>
      </c>
      <c r="G5390" s="677">
        <v>130000.0</v>
      </c>
      <c r="H5390" s="74">
        <v>0.0</v>
      </c>
      <c r="I5390" s="74">
        <f t="shared" si="1"/>
        <v>130000</v>
      </c>
      <c r="J5390" s="74">
        <f>IF(E5390="SERVICE",I5390-(I5390*50%),Vlookup(E5390,DATABASE!C:Q,10,false)*F5390)</f>
        <v>10000</v>
      </c>
      <c r="K5390" s="74">
        <f>VLOOKUP(E5390,DATABASE!C:Q,7,false)</f>
        <v>0</v>
      </c>
      <c r="L5390" s="74">
        <v>0.0</v>
      </c>
      <c r="M5390" s="74">
        <f t="shared" si="2"/>
        <v>0</v>
      </c>
      <c r="N5390" s="74">
        <f t="shared" si="3"/>
        <v>120000</v>
      </c>
      <c r="O5390" s="65" t="str">
        <f>VLOOKUP(E5390,DATABASE!C:Q,8,false)</f>
        <v>IBU</v>
      </c>
      <c r="P5390" s="65">
        <f>VLOOKUP(E5390,DATABASE!C:Q,9,False)</f>
        <v>0</v>
      </c>
      <c r="Q5390" s="93" t="str">
        <f>VLOOKUP(E5390,DATABASE!C:Q,4,false)</f>
        <v>SPOORING</v>
      </c>
      <c r="R5390" s="93" t="str">
        <f>VLOOKUP(E5390,DATABASE!C:Q,11,false)</f>
        <v>SERVICE</v>
      </c>
    </row>
    <row r="5391" ht="22.5" customHeight="1">
      <c r="A5391" s="49"/>
      <c r="C5391" s="666">
        <v>45971.0</v>
      </c>
      <c r="D5391" s="673">
        <v>7778.0</v>
      </c>
      <c r="E5391" s="676" t="s">
        <v>301</v>
      </c>
      <c r="F5391" s="664">
        <v>1.0</v>
      </c>
      <c r="G5391" s="677">
        <v>250000.0</v>
      </c>
      <c r="H5391" s="74">
        <v>0.0</v>
      </c>
      <c r="I5391" s="74">
        <f t="shared" si="1"/>
        <v>250000</v>
      </c>
      <c r="J5391" s="74">
        <f>IF(E5391="SERVICE",I5391-(I5391*50%),Vlookup(E5391,DATABASE!C:Q,10,false)*F5391)</f>
        <v>75000</v>
      </c>
      <c r="K5391" s="74">
        <f>VLOOKUP(E5391,DATABASE!C:Q,7,false)</f>
        <v>75000</v>
      </c>
      <c r="L5391" s="74">
        <v>75000.0</v>
      </c>
      <c r="M5391" s="74">
        <f t="shared" si="2"/>
        <v>75000</v>
      </c>
      <c r="N5391" s="74">
        <f t="shared" si="3"/>
        <v>100000</v>
      </c>
      <c r="O5391" s="65" t="str">
        <f>VLOOKUP(E5391,DATABASE!C:Q,8,false)</f>
        <v>BIAN</v>
      </c>
      <c r="P5391" s="65">
        <f>VLOOKUP(E5391,DATABASE!C:Q,9,False)</f>
        <v>0</v>
      </c>
      <c r="Q5391" s="93" t="str">
        <f>VLOOKUP(E5391,DATABASE!C:Q,4,false)</f>
        <v>Baut Camber</v>
      </c>
      <c r="R5391" s="93" t="str">
        <f>VLOOKUP(E5391,DATABASE!C:Q,11,false)</f>
        <v>COMPLEMENTARY</v>
      </c>
    </row>
    <row r="5392" ht="22.5" customHeight="1">
      <c r="A5392" s="49"/>
      <c r="C5392" s="661">
        <v>45971.0</v>
      </c>
      <c r="D5392" s="673">
        <v>7779.0</v>
      </c>
      <c r="E5392" s="676" t="s">
        <v>777</v>
      </c>
      <c r="F5392" s="664">
        <v>1.0</v>
      </c>
      <c r="G5392" s="677">
        <v>585000.0</v>
      </c>
      <c r="H5392" s="74">
        <v>0.0</v>
      </c>
      <c r="I5392" s="74">
        <f t="shared" si="1"/>
        <v>585000</v>
      </c>
      <c r="J5392" s="74">
        <f>IF(E5392="SERVICE",I5392-(I5392*50%),Vlookup(E5392,DATABASE!C:Q,10,false)*F5392)</f>
        <v>0</v>
      </c>
      <c r="K5392" s="74">
        <f>VLOOKUP(E5392,DATABASE!C:Q,7,false)</f>
        <v>540000</v>
      </c>
      <c r="L5392" s="74">
        <v>507000.0</v>
      </c>
      <c r="M5392" s="74">
        <f t="shared" si="2"/>
        <v>510000</v>
      </c>
      <c r="N5392" s="74">
        <f t="shared" si="3"/>
        <v>75000</v>
      </c>
      <c r="O5392" s="65" t="str">
        <f>VLOOKUP(E5392,DATABASE!C:Q,8,false)</f>
        <v>BIAN</v>
      </c>
      <c r="P5392" s="65">
        <f>VLOOKUP(E5392,DATABASE!C:Q,9,False)</f>
        <v>1</v>
      </c>
      <c r="Q5392" s="93" t="str">
        <f>VLOOKUP(E5392,DATABASE!C:Q,4,false)</f>
        <v>GT</v>
      </c>
      <c r="R5392" s="93" t="str">
        <f>VLOOKUP(E5392,DATABASE!C:Q,11,false)</f>
        <v>Tire</v>
      </c>
    </row>
    <row r="5393" ht="22.5" customHeight="1">
      <c r="A5393" s="49"/>
      <c r="C5393" s="666">
        <v>45971.0</v>
      </c>
      <c r="D5393" s="673">
        <v>7780.0</v>
      </c>
      <c r="E5393" s="676" t="s">
        <v>374</v>
      </c>
      <c r="F5393" s="664">
        <v>1.0</v>
      </c>
      <c r="G5393" s="677">
        <v>1950000.0</v>
      </c>
      <c r="H5393" s="74">
        <v>0.0</v>
      </c>
      <c r="I5393" s="74">
        <f t="shared" si="1"/>
        <v>1950000</v>
      </c>
      <c r="J5393" s="74">
        <f>IF(E5393="SERVICE",I5393-(I5393*50%),Vlookup(E5393,DATABASE!C:Q,10,false)*F5393)</f>
        <v>0</v>
      </c>
      <c r="K5393" s="74">
        <f>VLOOKUP(E5393,DATABASE!C:Q,7,false)</f>
        <v>1980000</v>
      </c>
      <c r="L5393" s="74">
        <v>1850000.0</v>
      </c>
      <c r="M5393" s="74">
        <f t="shared" si="2"/>
        <v>1850000</v>
      </c>
      <c r="N5393" s="74">
        <f t="shared" si="3"/>
        <v>100000</v>
      </c>
      <c r="O5393" s="65" t="str">
        <f>VLOOKUP(E5393,DATABASE!C:Q,8,false)</f>
        <v>BIAN</v>
      </c>
      <c r="P5393" s="65">
        <f>VLOOKUP(E5393,DATABASE!C:Q,9,False)</f>
        <v>1</v>
      </c>
      <c r="Q5393" s="93" t="str">
        <f>VLOOKUP(E5393,DATABASE!C:Q,4,false)</f>
        <v>Advance</v>
      </c>
      <c r="R5393" s="93" t="str">
        <f>VLOOKUP(E5393,DATABASE!C:Q,11,false)</f>
        <v>Tire</v>
      </c>
      <c r="U5393" s="9">
        <v>585000.0</v>
      </c>
    </row>
    <row r="5394" ht="22.5" customHeight="1">
      <c r="A5394" s="49"/>
      <c r="C5394" s="666">
        <v>45971.0</v>
      </c>
      <c r="D5394" s="645"/>
      <c r="E5394" s="676" t="s">
        <v>263</v>
      </c>
      <c r="F5394" s="664">
        <v>1.0</v>
      </c>
      <c r="G5394" s="677">
        <v>320000.0</v>
      </c>
      <c r="H5394" s="74">
        <v>0.0</v>
      </c>
      <c r="I5394" s="74">
        <f t="shared" si="1"/>
        <v>320000</v>
      </c>
      <c r="J5394" s="74">
        <f>IF(E5394="SERVICE",I5394-(I5394*50%),Vlookup(E5394,DATABASE!C:Q,10,false)*F5394)</f>
        <v>0</v>
      </c>
      <c r="K5394" s="74">
        <f>VLOOKUP(E5394,DATABASE!C:Q,7,false)</f>
        <v>334916</v>
      </c>
      <c r="L5394" s="74">
        <v>287688.0</v>
      </c>
      <c r="M5394" s="74">
        <f t="shared" si="2"/>
        <v>290000</v>
      </c>
      <c r="N5394" s="74">
        <f t="shared" si="3"/>
        <v>30000</v>
      </c>
      <c r="O5394" s="65" t="str">
        <f>VLOOKUP(E5394,DATABASE!C:Q,8,false)</f>
        <v>NON</v>
      </c>
      <c r="P5394" s="65">
        <f>VLOOKUP(E5394,DATABASE!C:Q,9,False)</f>
        <v>0</v>
      </c>
      <c r="Q5394" s="93" t="str">
        <f>VLOOKUP(E5394,DATABASE!C:Q,4,false)</f>
        <v>Shell</v>
      </c>
      <c r="R5394" s="93" t="str">
        <f>VLOOKUP(E5394,DATABASE!C:Q,11,false)</f>
        <v>OIL</v>
      </c>
      <c r="U5394" s="9">
        <v>1950000.0</v>
      </c>
    </row>
    <row r="5395" ht="22.5" customHeight="1">
      <c r="A5395" s="49"/>
      <c r="C5395" s="661">
        <v>45972.0</v>
      </c>
      <c r="D5395" s="673">
        <v>7782.0</v>
      </c>
      <c r="E5395" s="676" t="s">
        <v>1076</v>
      </c>
      <c r="F5395" s="664">
        <v>2.0</v>
      </c>
      <c r="G5395" s="677">
        <v>770000.0</v>
      </c>
      <c r="H5395" s="74">
        <v>0.0</v>
      </c>
      <c r="I5395" s="74">
        <f t="shared" si="1"/>
        <v>1540000</v>
      </c>
      <c r="J5395" s="74">
        <f>IF(E5395="SERVICE",I5395-(I5395*50%),Vlookup(E5395,DATABASE!C:Q,10,false)*F5395)</f>
        <v>0</v>
      </c>
      <c r="K5395" s="74">
        <f>VLOOKUP(E5395,DATABASE!C:Q,7,false)</f>
        <v>666540</v>
      </c>
      <c r="L5395" s="74">
        <v>666540.0</v>
      </c>
      <c r="M5395" s="74">
        <f t="shared" si="2"/>
        <v>670000</v>
      </c>
      <c r="N5395" s="74">
        <f t="shared" si="3"/>
        <v>200000</v>
      </c>
      <c r="O5395" s="65" t="str">
        <f>VLOOKUP(E5395,DATABASE!C:Q,8,false)</f>
        <v>BIAN</v>
      </c>
      <c r="P5395" s="65">
        <f>VLOOKUP(E5395,DATABASE!C:Q,9,False)</f>
        <v>1</v>
      </c>
      <c r="Q5395" s="93" t="str">
        <f>VLOOKUP(E5395,DATABASE!C:Q,4,false)</f>
        <v>GT</v>
      </c>
      <c r="R5395" s="93" t="str">
        <f>VLOOKUP(E5395,DATABASE!C:Q,11,false)</f>
        <v>Tire</v>
      </c>
      <c r="U5395" s="9">
        <v>1540000.0</v>
      </c>
    </row>
    <row r="5396" ht="22.5" customHeight="1">
      <c r="A5396" s="49"/>
      <c r="C5396" s="666">
        <v>45972.0</v>
      </c>
      <c r="D5396" s="673">
        <v>7783.0</v>
      </c>
      <c r="E5396" s="676" t="s">
        <v>271</v>
      </c>
      <c r="F5396" s="664">
        <v>1.0</v>
      </c>
      <c r="G5396" s="677">
        <v>630000.0</v>
      </c>
      <c r="H5396" s="74">
        <v>0.0</v>
      </c>
      <c r="I5396" s="74">
        <f t="shared" si="1"/>
        <v>630000</v>
      </c>
      <c r="J5396" s="74">
        <f>IF(E5396="SERVICE",I5396-(I5396*50%),Vlookup(E5396,DATABASE!C:Q,10,false)*F5396)</f>
        <v>0</v>
      </c>
      <c r="K5396" s="74">
        <f>VLOOKUP(E5396,DATABASE!C:Q,7,false)</f>
        <v>570000</v>
      </c>
      <c r="L5396" s="74">
        <v>539000.0</v>
      </c>
      <c r="M5396" s="74">
        <f t="shared" si="2"/>
        <v>540000</v>
      </c>
      <c r="N5396" s="74">
        <f t="shared" si="3"/>
        <v>90000</v>
      </c>
      <c r="O5396" s="65" t="str">
        <f>VLOOKUP(E5396,DATABASE!C:Q,8,false)</f>
        <v>IBU</v>
      </c>
      <c r="P5396" s="65">
        <f>VLOOKUP(E5396,DATABASE!C:Q,9,False)</f>
        <v>1</v>
      </c>
      <c r="Q5396" s="93" t="str">
        <f>VLOOKUP(E5396,DATABASE!C:Q,4,false)</f>
        <v>Dunlop</v>
      </c>
      <c r="R5396" s="93" t="str">
        <f>VLOOKUP(E5396,DATABASE!C:Q,11,false)</f>
        <v>Tire</v>
      </c>
      <c r="U5396" s="9"/>
    </row>
    <row r="5397" ht="22.5" customHeight="1">
      <c r="A5397" s="49"/>
      <c r="C5397" s="661">
        <v>45972.0</v>
      </c>
      <c r="D5397" s="673">
        <v>7784.0</v>
      </c>
      <c r="E5397" s="676" t="s">
        <v>777</v>
      </c>
      <c r="F5397" s="664">
        <v>1.0</v>
      </c>
      <c r="G5397" s="677">
        <v>585000.0</v>
      </c>
      <c r="H5397" s="74">
        <v>0.0</v>
      </c>
      <c r="I5397" s="74">
        <f t="shared" si="1"/>
        <v>585000</v>
      </c>
      <c r="J5397" s="74">
        <f>IF(E5397="SERVICE",I5397-(I5397*50%),Vlookup(E5397,DATABASE!C:Q,10,false)*F5397)</f>
        <v>0</v>
      </c>
      <c r="K5397" s="74">
        <f>VLOOKUP(E5397,DATABASE!C:Q,7,false)</f>
        <v>540000</v>
      </c>
      <c r="L5397" s="74">
        <v>507000.0</v>
      </c>
      <c r="M5397" s="74">
        <f t="shared" si="2"/>
        <v>510000</v>
      </c>
      <c r="N5397" s="74">
        <f t="shared" si="3"/>
        <v>75000</v>
      </c>
      <c r="O5397" s="65" t="str">
        <f>VLOOKUP(E5397,DATABASE!C:Q,8,false)</f>
        <v>BIAN</v>
      </c>
      <c r="P5397" s="65">
        <f>VLOOKUP(E5397,DATABASE!C:Q,9,False)</f>
        <v>1</v>
      </c>
      <c r="Q5397" s="93" t="str">
        <f>VLOOKUP(E5397,DATABASE!C:Q,4,false)</f>
        <v>GT</v>
      </c>
      <c r="R5397" s="93" t="str">
        <f>VLOOKUP(E5397,DATABASE!C:Q,11,false)</f>
        <v>Tire</v>
      </c>
      <c r="U5397" s="9">
        <v>585000.0</v>
      </c>
    </row>
    <row r="5398" ht="22.5" customHeight="1">
      <c r="A5398" s="49"/>
      <c r="C5398" s="666">
        <v>45972.0</v>
      </c>
      <c r="D5398" s="673">
        <v>7785.0</v>
      </c>
      <c r="E5398" s="676" t="s">
        <v>569</v>
      </c>
      <c r="F5398" s="664">
        <v>1.0</v>
      </c>
      <c r="G5398" s="677">
        <v>80000.0</v>
      </c>
      <c r="H5398" s="74">
        <v>0.0</v>
      </c>
      <c r="I5398" s="74">
        <f t="shared" si="1"/>
        <v>80000</v>
      </c>
      <c r="J5398" s="74">
        <f>IF(E5398="SERVICE",I5398-(I5398*50%),Vlookup(E5398,DATABASE!C:Q,10,false)*F5398)</f>
        <v>0</v>
      </c>
      <c r="K5398" s="74">
        <f>VLOOKUP(E5398,DATABASE!C:Q,7,false)</f>
        <v>45439.582</v>
      </c>
      <c r="L5398" s="74">
        <v>45309.6</v>
      </c>
      <c r="M5398" s="74">
        <f t="shared" si="2"/>
        <v>50000</v>
      </c>
      <c r="N5398" s="74">
        <f t="shared" si="3"/>
        <v>30000</v>
      </c>
      <c r="O5398" s="65" t="str">
        <f>VLOOKUP(E5398,DATABASE!C:Q,8,false)</f>
        <v>BIAN</v>
      </c>
      <c r="P5398" s="65">
        <f>VLOOKUP(E5398,DATABASE!C:Q,9,False)</f>
        <v>1</v>
      </c>
      <c r="Q5398" s="93" t="str">
        <f>VLOOKUP(E5398,DATABASE!C:Q,4,false)</f>
        <v>BD</v>
      </c>
      <c r="R5398" s="93" t="str">
        <f>VLOOKUP(E5398,DATABASE!C:Q,11,false)</f>
        <v>Tire</v>
      </c>
      <c r="U5398" s="9">
        <v>80000.0</v>
      </c>
    </row>
    <row r="5399" ht="22.5" customHeight="1">
      <c r="A5399" s="49"/>
      <c r="C5399" s="661">
        <v>45972.0</v>
      </c>
      <c r="D5399" s="673">
        <v>7786.0</v>
      </c>
      <c r="E5399" s="676" t="s">
        <v>403</v>
      </c>
      <c r="F5399" s="664">
        <v>2.0</v>
      </c>
      <c r="G5399" s="677">
        <v>2260000.0</v>
      </c>
      <c r="H5399" s="74">
        <v>0.0</v>
      </c>
      <c r="I5399" s="74">
        <f t="shared" si="1"/>
        <v>4520000</v>
      </c>
      <c r="J5399" s="74">
        <f>IF(E5399="SERVICE",I5399-(I5399*50%),Vlookup(E5399,DATABASE!C:Q,10,false)*F5399)</f>
        <v>0</v>
      </c>
      <c r="K5399" s="74">
        <f>VLOOKUP(E5399,DATABASE!C:Q,7,false)</f>
        <v>2160000</v>
      </c>
      <c r="L5399" s="74">
        <v>2160000.0</v>
      </c>
      <c r="M5399" s="74">
        <f t="shared" si="2"/>
        <v>2160000</v>
      </c>
      <c r="N5399" s="74">
        <f t="shared" si="3"/>
        <v>200000</v>
      </c>
      <c r="O5399" s="65" t="str">
        <f>VLOOKUP(E5399,DATABASE!C:Q,8,false)</f>
        <v>BIAN</v>
      </c>
      <c r="P5399" s="65">
        <f>VLOOKUP(E5399,DATABASE!C:Q,9,False)</f>
        <v>1</v>
      </c>
      <c r="Q5399" s="93" t="str">
        <f>VLOOKUP(E5399,DATABASE!C:Q,4,false)</f>
        <v>Advance</v>
      </c>
      <c r="R5399" s="93" t="str">
        <f>VLOOKUP(E5399,DATABASE!C:Q,11,false)</f>
        <v>Tire</v>
      </c>
      <c r="U5399" s="9">
        <v>4520000.0</v>
      </c>
    </row>
    <row r="5400" ht="22.5" customHeight="1">
      <c r="A5400" s="49"/>
      <c r="C5400" s="661">
        <v>45972.0</v>
      </c>
      <c r="D5400" s="673">
        <v>7787.0</v>
      </c>
      <c r="E5400" s="676" t="s">
        <v>256</v>
      </c>
      <c r="F5400" s="664">
        <v>1.0</v>
      </c>
      <c r="G5400" s="677">
        <v>130000.0</v>
      </c>
      <c r="H5400" s="74">
        <v>0.0</v>
      </c>
      <c r="I5400" s="74">
        <f t="shared" si="1"/>
        <v>130000</v>
      </c>
      <c r="J5400" s="74">
        <f>IF(E5400="SERVICE",I5400-(I5400*50%),Vlookup(E5400,DATABASE!C:Q,10,false)*F5400)</f>
        <v>10000</v>
      </c>
      <c r="K5400" s="74">
        <f>VLOOKUP(E5400,DATABASE!C:Q,7,false)</f>
        <v>0</v>
      </c>
      <c r="L5400" s="74">
        <v>0.0</v>
      </c>
      <c r="M5400" s="74">
        <f t="shared" si="2"/>
        <v>0</v>
      </c>
      <c r="N5400" s="74">
        <f t="shared" si="3"/>
        <v>120000</v>
      </c>
      <c r="O5400" s="65" t="str">
        <f>VLOOKUP(E5400,DATABASE!C:Q,8,false)</f>
        <v>IBU</v>
      </c>
      <c r="P5400" s="65">
        <f>VLOOKUP(E5400,DATABASE!C:Q,9,False)</f>
        <v>0</v>
      </c>
      <c r="Q5400" s="93" t="str">
        <f>VLOOKUP(E5400,DATABASE!C:Q,4,false)</f>
        <v>SPOORING</v>
      </c>
      <c r="R5400" s="93" t="str">
        <f>VLOOKUP(E5400,DATABASE!C:Q,11,false)</f>
        <v>SERVICE</v>
      </c>
    </row>
    <row r="5401" ht="22.5" customHeight="1">
      <c r="A5401" s="49"/>
      <c r="C5401" s="666">
        <v>45972.0</v>
      </c>
      <c r="D5401" s="673">
        <v>7787.0</v>
      </c>
      <c r="E5401" s="671" t="s">
        <v>299</v>
      </c>
      <c r="F5401" s="664">
        <v>2.0</v>
      </c>
      <c r="G5401" s="677">
        <v>30000.0</v>
      </c>
      <c r="H5401" s="74">
        <v>0.0</v>
      </c>
      <c r="I5401" s="74">
        <f t="shared" si="1"/>
        <v>60000</v>
      </c>
      <c r="J5401" s="74">
        <f>IF(E5401="SERVICE",I5401-(I5401*50%),Vlookup(E5401,DATABASE!C:Q,10,false)*F5401)</f>
        <v>0</v>
      </c>
      <c r="K5401" s="74">
        <f>VLOOKUP(E5401,DATABASE!C:Q,7,false)</f>
        <v>10000</v>
      </c>
      <c r="L5401" s="74">
        <v>5000.0</v>
      </c>
      <c r="M5401" s="74">
        <f t="shared" si="2"/>
        <v>5000</v>
      </c>
      <c r="N5401" s="74">
        <f t="shared" si="3"/>
        <v>50000</v>
      </c>
      <c r="O5401" s="65" t="str">
        <f>VLOOKUP(E5401,DATABASE!C:Q,8,false)</f>
        <v>BIAN</v>
      </c>
      <c r="P5401" s="65">
        <f>VLOOKUP(E5401,DATABASE!C:Q,9,False)</f>
        <v>0</v>
      </c>
      <c r="Q5401" s="93" t="str">
        <f>VLOOKUP(E5401,DATABASE!C:Q,4,false)</f>
        <v>Balancing</v>
      </c>
      <c r="R5401" s="93" t="str">
        <f>VLOOKUP(E5401,DATABASE!C:Q,11,false)</f>
        <v>COMPLEMENTARY</v>
      </c>
    </row>
    <row r="5402" ht="22.5" customHeight="1">
      <c r="A5402" s="49"/>
      <c r="C5402" s="661">
        <v>45972.0</v>
      </c>
      <c r="D5402" s="673">
        <v>7787.0</v>
      </c>
      <c r="E5402" s="676" t="s">
        <v>301</v>
      </c>
      <c r="F5402" s="664">
        <v>1.0</v>
      </c>
      <c r="G5402" s="677">
        <v>250000.0</v>
      </c>
      <c r="H5402" s="74">
        <v>0.0</v>
      </c>
      <c r="I5402" s="74">
        <f t="shared" si="1"/>
        <v>250000</v>
      </c>
      <c r="J5402" s="74">
        <f>IF(E5402="SERVICE",I5402-(I5402*50%),Vlookup(E5402,DATABASE!C:Q,10,false)*F5402)</f>
        <v>75000</v>
      </c>
      <c r="K5402" s="74">
        <f>VLOOKUP(E5402,DATABASE!C:Q,7,false)</f>
        <v>75000</v>
      </c>
      <c r="L5402" s="74">
        <v>75000.0</v>
      </c>
      <c r="M5402" s="74">
        <f t="shared" si="2"/>
        <v>75000</v>
      </c>
      <c r="N5402" s="74">
        <f t="shared" si="3"/>
        <v>100000</v>
      </c>
      <c r="O5402" s="65" t="str">
        <f>VLOOKUP(E5402,DATABASE!C:Q,8,false)</f>
        <v>BIAN</v>
      </c>
      <c r="P5402" s="65">
        <f>VLOOKUP(E5402,DATABASE!C:Q,9,False)</f>
        <v>0</v>
      </c>
      <c r="Q5402" s="93" t="str">
        <f>VLOOKUP(E5402,DATABASE!C:Q,4,false)</f>
        <v>Baut Camber</v>
      </c>
      <c r="R5402" s="93" t="str">
        <f>VLOOKUP(E5402,DATABASE!C:Q,11,false)</f>
        <v>COMPLEMENTARY</v>
      </c>
    </row>
    <row r="5403" ht="22.5" customHeight="1">
      <c r="A5403" s="49"/>
      <c r="C5403" s="666">
        <v>45972.0</v>
      </c>
      <c r="D5403" s="673">
        <v>7789.0</v>
      </c>
      <c r="E5403" s="676" t="s">
        <v>2154</v>
      </c>
      <c r="F5403" s="664">
        <v>1.0</v>
      </c>
      <c r="G5403" s="677">
        <v>225000.0</v>
      </c>
      <c r="H5403" s="74">
        <v>0.0</v>
      </c>
      <c r="I5403" s="74">
        <f t="shared" si="1"/>
        <v>225000</v>
      </c>
      <c r="J5403" s="74">
        <f>IF(E5403="SERVICE",I5403-(I5403*50%),Vlookup(E5403,DATABASE!C:Q,10,false)*F5403)</f>
        <v>80000</v>
      </c>
      <c r="K5403" s="74">
        <f>VLOOKUP(E5403,DATABASE!C:Q,7,false)</f>
        <v>90000</v>
      </c>
      <c r="L5403" s="74">
        <v>65000.0</v>
      </c>
      <c r="M5403" s="74">
        <f t="shared" si="2"/>
        <v>65000</v>
      </c>
      <c r="N5403" s="74">
        <f t="shared" si="3"/>
        <v>80000</v>
      </c>
      <c r="O5403" s="65" t="str">
        <f>VLOOKUP(E5403,DATABASE!C:Q,8,false)</f>
        <v>IBU</v>
      </c>
      <c r="P5403" s="65">
        <f>VLOOKUP(E5403,DATABASE!C:Q,9,False)</f>
        <v>0</v>
      </c>
      <c r="Q5403" s="93" t="str">
        <f>VLOOKUP(E5403,DATABASE!C:Q,4,false)</f>
        <v>SERVICE</v>
      </c>
      <c r="R5403" s="93" t="str">
        <f>VLOOKUP(E5403,DATABASE!C:Q,11,false)</f>
        <v>COMPLEMENTARY</v>
      </c>
    </row>
    <row r="5404" ht="22.5" customHeight="1">
      <c r="A5404" s="49"/>
      <c r="C5404" s="666">
        <v>45972.0</v>
      </c>
      <c r="D5404" s="673">
        <v>7790.0</v>
      </c>
      <c r="E5404" s="676" t="s">
        <v>275</v>
      </c>
      <c r="F5404" s="664">
        <v>2.0</v>
      </c>
      <c r="G5404" s="677">
        <v>830000.0</v>
      </c>
      <c r="H5404" s="74">
        <v>0.0</v>
      </c>
      <c r="I5404" s="74">
        <f t="shared" si="1"/>
        <v>1660000</v>
      </c>
      <c r="J5404" s="74">
        <f>IF(E5404="SERVICE",I5404-(I5404*50%),Vlookup(E5404,DATABASE!C:Q,10,false)*F5404)</f>
        <v>0</v>
      </c>
      <c r="K5404" s="74">
        <f>VLOOKUP(E5404,DATABASE!C:Q,7,false)</f>
        <v>782000</v>
      </c>
      <c r="L5404" s="74">
        <v>745000.0</v>
      </c>
      <c r="M5404" s="74">
        <f t="shared" si="2"/>
        <v>745000</v>
      </c>
      <c r="N5404" s="74">
        <f t="shared" si="3"/>
        <v>170000</v>
      </c>
      <c r="O5404" s="65" t="str">
        <f>VLOOKUP(E5404,DATABASE!C:Q,8,false)</f>
        <v>IBU</v>
      </c>
      <c r="P5404" s="65">
        <f>VLOOKUP(E5404,DATABASE!C:Q,9,False)</f>
        <v>1</v>
      </c>
      <c r="Q5404" s="93" t="str">
        <f>VLOOKUP(E5404,DATABASE!C:Q,4,false)</f>
        <v>Dunlop</v>
      </c>
      <c r="R5404" s="93" t="str">
        <f>VLOOKUP(E5404,DATABASE!C:Q,11,false)</f>
        <v>Tire</v>
      </c>
      <c r="U5404" s="9"/>
    </row>
    <row r="5405" ht="22.5" customHeight="1">
      <c r="A5405" s="49"/>
      <c r="C5405" s="661">
        <v>45972.0</v>
      </c>
      <c r="D5405" s="673">
        <v>7791.0</v>
      </c>
      <c r="E5405" s="676" t="s">
        <v>256</v>
      </c>
      <c r="F5405" s="664">
        <v>1.0</v>
      </c>
      <c r="G5405" s="677">
        <v>110000.0</v>
      </c>
      <c r="H5405" s="74">
        <v>0.0</v>
      </c>
      <c r="I5405" s="74">
        <f t="shared" si="1"/>
        <v>110000</v>
      </c>
      <c r="J5405" s="74">
        <f>IF(E5405="SERVICE",I5405-(I5405*50%),Vlookup(E5405,DATABASE!C:Q,10,false)*F5405)</f>
        <v>10000</v>
      </c>
      <c r="K5405" s="74">
        <f>VLOOKUP(E5405,DATABASE!C:Q,7,false)</f>
        <v>0</v>
      </c>
      <c r="L5405" s="74">
        <v>0.0</v>
      </c>
      <c r="M5405" s="74">
        <f t="shared" si="2"/>
        <v>0</v>
      </c>
      <c r="N5405" s="74">
        <f t="shared" si="3"/>
        <v>100000</v>
      </c>
      <c r="O5405" s="65" t="str">
        <f>VLOOKUP(E5405,DATABASE!C:Q,8,false)</f>
        <v>IBU</v>
      </c>
      <c r="P5405" s="65">
        <f>VLOOKUP(E5405,DATABASE!C:Q,9,False)</f>
        <v>0</v>
      </c>
      <c r="Q5405" s="93" t="str">
        <f>VLOOKUP(E5405,DATABASE!C:Q,4,false)</f>
        <v>SPOORING</v>
      </c>
      <c r="R5405" s="93" t="str">
        <f>VLOOKUP(E5405,DATABASE!C:Q,11,false)</f>
        <v>SERVICE</v>
      </c>
    </row>
    <row r="5406" ht="22.5" customHeight="1">
      <c r="A5406" s="49"/>
      <c r="C5406" s="666">
        <v>45972.0</v>
      </c>
      <c r="D5406" s="673">
        <v>7791.0</v>
      </c>
      <c r="E5406" s="676" t="s">
        <v>478</v>
      </c>
      <c r="F5406" s="664">
        <v>1.0</v>
      </c>
      <c r="G5406" s="677">
        <v>200000.0</v>
      </c>
      <c r="H5406" s="74">
        <v>0.0</v>
      </c>
      <c r="I5406" s="74">
        <f t="shared" si="1"/>
        <v>200000</v>
      </c>
      <c r="J5406" s="74">
        <f>IF(E5406="SERVICE",I5406-(I5406*50%),Vlookup(E5406,DATABASE!C:Q,10,false)*F5406)</f>
        <v>25000</v>
      </c>
      <c r="K5406" s="74">
        <f>VLOOKUP(E5406,DATABASE!C:Q,7,false)</f>
        <v>75000</v>
      </c>
      <c r="L5406" s="74">
        <v>75000.0</v>
      </c>
      <c r="M5406" s="74">
        <f t="shared" si="2"/>
        <v>75000</v>
      </c>
      <c r="N5406" s="74">
        <f t="shared" si="3"/>
        <v>100000</v>
      </c>
      <c r="O5406" s="65" t="str">
        <f>VLOOKUP(E5406,DATABASE!C:Q,8,false)</f>
        <v>BIAN</v>
      </c>
      <c r="P5406" s="65">
        <f>VLOOKUP(E5406,DATABASE!C:Q,9,False)</f>
        <v>0</v>
      </c>
      <c r="Q5406" s="93" t="str">
        <f>VLOOKUP(E5406,DATABASE!C:Q,4,false)</f>
        <v>Baut Camber ss-carry</v>
      </c>
      <c r="R5406" s="93" t="str">
        <f>VLOOKUP(E5406,DATABASE!C:Q,11,false)</f>
        <v>COMPLEMENTARY</v>
      </c>
    </row>
    <row r="5407" ht="22.5" customHeight="1">
      <c r="A5407" s="49"/>
      <c r="C5407" s="661">
        <v>45972.0</v>
      </c>
      <c r="D5407" s="673">
        <v>7791.0</v>
      </c>
      <c r="E5407" s="676" t="s">
        <v>2206</v>
      </c>
      <c r="F5407" s="664">
        <v>1.0</v>
      </c>
      <c r="G5407" s="677">
        <v>200000.0</v>
      </c>
      <c r="H5407" s="74">
        <v>0.0</v>
      </c>
      <c r="I5407" s="74">
        <f t="shared" si="1"/>
        <v>200000</v>
      </c>
      <c r="J5407" s="74">
        <f>IF(E5407="SERVICE",I5407-(I5407*50%),Vlookup(E5407,DATABASE!C:Q,10,false)*F5407)</f>
        <v>40000</v>
      </c>
      <c r="K5407" s="74">
        <f>VLOOKUP(E5407,DATABASE!C:Q,7,false)</f>
        <v>95450</v>
      </c>
      <c r="L5407" s="74">
        <v>61000.0</v>
      </c>
      <c r="M5407" s="74">
        <f t="shared" si="2"/>
        <v>65000</v>
      </c>
      <c r="N5407" s="74">
        <f t="shared" si="3"/>
        <v>95000</v>
      </c>
      <c r="O5407" s="65" t="str">
        <f>VLOOKUP(E5407,DATABASE!C:Q,8,false)</f>
        <v>IBU</v>
      </c>
      <c r="P5407" s="65">
        <f>VLOOKUP(E5407,DATABASE!C:Q,9,False)</f>
        <v>1</v>
      </c>
      <c r="Q5407" s="93" t="str">
        <f>VLOOKUP(E5407,DATABASE!C:Q,4,false)</f>
        <v>TIEROD</v>
      </c>
      <c r="R5407" s="93" t="str">
        <f>VLOOKUP(E5407,DATABASE!C:Q,11,false)</f>
        <v>COMPLEMENTARY</v>
      </c>
    </row>
    <row r="5408" ht="22.5" customHeight="1">
      <c r="A5408" s="49"/>
      <c r="C5408" s="666">
        <v>45972.0</v>
      </c>
      <c r="D5408" s="673">
        <v>7792.0</v>
      </c>
      <c r="E5408" s="676" t="s">
        <v>275</v>
      </c>
      <c r="F5408" s="664">
        <v>1.0</v>
      </c>
      <c r="G5408" s="677">
        <v>830000.0</v>
      </c>
      <c r="H5408" s="74">
        <v>0.0</v>
      </c>
      <c r="I5408" s="74">
        <f t="shared" si="1"/>
        <v>830000</v>
      </c>
      <c r="J5408" s="74">
        <f>IF(E5408="SERVICE",I5408-(I5408*50%),Vlookup(E5408,DATABASE!C:Q,10,false)*F5408)</f>
        <v>0</v>
      </c>
      <c r="K5408" s="74">
        <f>VLOOKUP(E5408,DATABASE!C:Q,7,false)</f>
        <v>782000</v>
      </c>
      <c r="L5408" s="74">
        <v>745000.0</v>
      </c>
      <c r="M5408" s="74">
        <f t="shared" si="2"/>
        <v>745000</v>
      </c>
      <c r="N5408" s="74">
        <f t="shared" si="3"/>
        <v>85000</v>
      </c>
      <c r="O5408" s="65" t="str">
        <f>VLOOKUP(E5408,DATABASE!C:Q,8,false)</f>
        <v>IBU</v>
      </c>
      <c r="P5408" s="65">
        <f>VLOOKUP(E5408,DATABASE!C:Q,9,False)</f>
        <v>1</v>
      </c>
      <c r="Q5408" s="93" t="str">
        <f>VLOOKUP(E5408,DATABASE!C:Q,4,false)</f>
        <v>Dunlop</v>
      </c>
      <c r="R5408" s="93" t="str">
        <f>VLOOKUP(E5408,DATABASE!C:Q,11,false)</f>
        <v>Tire</v>
      </c>
      <c r="U5408" s="9"/>
    </row>
    <row r="5409" ht="22.5" customHeight="1">
      <c r="A5409" s="49"/>
      <c r="C5409" s="661">
        <v>45972.0</v>
      </c>
      <c r="D5409" s="673">
        <v>7792.0</v>
      </c>
      <c r="E5409" s="676" t="s">
        <v>604</v>
      </c>
      <c r="F5409" s="664">
        <v>3.0</v>
      </c>
      <c r="G5409" s="677">
        <v>150000.0</v>
      </c>
      <c r="H5409" s="74">
        <v>0.0</v>
      </c>
      <c r="I5409" s="74">
        <f t="shared" si="1"/>
        <v>450000</v>
      </c>
      <c r="J5409" s="74">
        <f>IF(E5409="SERVICE",I5409-(I5409*50%),Vlookup(E5409,DATABASE!C:Q,10,false)*F5409)</f>
        <v>0</v>
      </c>
      <c r="K5409" s="74">
        <f>VLOOKUP(E5409,DATABASE!C:Q,7,false)</f>
        <v>124000</v>
      </c>
      <c r="L5409" s="74">
        <v>124000.0</v>
      </c>
      <c r="M5409" s="74">
        <f t="shared" si="2"/>
        <v>125000</v>
      </c>
      <c r="N5409" s="74">
        <f t="shared" si="3"/>
        <v>75000</v>
      </c>
      <c r="O5409" s="65" t="str">
        <f>VLOOKUP(E5409,DATABASE!C:Q,8,false)</f>
        <v>BIAN</v>
      </c>
      <c r="P5409" s="65">
        <f>VLOOKUP(E5409,DATABASE!C:Q,9,False)</f>
        <v>1</v>
      </c>
      <c r="Q5409" s="93" t="str">
        <f>VLOOKUP(E5409,DATABASE!C:Q,4,false)</f>
        <v>BD</v>
      </c>
      <c r="R5409" s="93" t="str">
        <f>VLOOKUP(E5409,DATABASE!C:Q,11,false)</f>
        <v>Tire</v>
      </c>
      <c r="U5409" s="9">
        <v>450000.0</v>
      </c>
    </row>
    <row r="5410" ht="22.5" customHeight="1">
      <c r="A5410" s="49"/>
      <c r="C5410" s="666">
        <v>45972.0</v>
      </c>
      <c r="D5410" s="673">
        <v>7793.0</v>
      </c>
      <c r="E5410" s="676" t="s">
        <v>256</v>
      </c>
      <c r="F5410" s="664">
        <v>1.0</v>
      </c>
      <c r="G5410" s="677">
        <v>130000.0</v>
      </c>
      <c r="H5410" s="74">
        <v>0.0</v>
      </c>
      <c r="I5410" s="74">
        <f t="shared" si="1"/>
        <v>130000</v>
      </c>
      <c r="J5410" s="74">
        <f>IF(E5410="SERVICE",I5410-(I5410*50%),Vlookup(E5410,DATABASE!C:Q,10,false)*F5410)</f>
        <v>10000</v>
      </c>
      <c r="K5410" s="74">
        <f>VLOOKUP(E5410,DATABASE!C:Q,7,false)</f>
        <v>0</v>
      </c>
      <c r="L5410" s="74">
        <v>0.0</v>
      </c>
      <c r="M5410" s="74">
        <f t="shared" si="2"/>
        <v>0</v>
      </c>
      <c r="N5410" s="74">
        <f t="shared" si="3"/>
        <v>120000</v>
      </c>
      <c r="O5410" s="65" t="str">
        <f>VLOOKUP(E5410,DATABASE!C:Q,8,false)</f>
        <v>IBU</v>
      </c>
      <c r="P5410" s="65">
        <f>VLOOKUP(E5410,DATABASE!C:Q,9,False)</f>
        <v>0</v>
      </c>
      <c r="Q5410" s="93" t="str">
        <f>VLOOKUP(E5410,DATABASE!C:Q,4,false)</f>
        <v>SPOORING</v>
      </c>
      <c r="R5410" s="93" t="str">
        <f>VLOOKUP(E5410,DATABASE!C:Q,11,false)</f>
        <v>SERVICE</v>
      </c>
    </row>
    <row r="5411" ht="22.5" customHeight="1">
      <c r="A5411" s="49"/>
      <c r="C5411" s="661">
        <v>45972.0</v>
      </c>
      <c r="D5411" s="673">
        <v>7793.0</v>
      </c>
      <c r="E5411" s="676" t="s">
        <v>251</v>
      </c>
      <c r="F5411" s="664">
        <v>1.0</v>
      </c>
      <c r="G5411" s="677">
        <v>120000.0</v>
      </c>
      <c r="H5411" s="74">
        <v>0.0</v>
      </c>
      <c r="I5411" s="74">
        <f t="shared" si="1"/>
        <v>120000</v>
      </c>
      <c r="J5411" s="74">
        <f>IF(E5411="SERVICE",I5411-(I5411*50%),Vlookup(E5411,DATABASE!C:Q,10,false)*F5411)</f>
        <v>60000</v>
      </c>
      <c r="K5411" s="74">
        <f>VLOOKUP(E5411,DATABASE!C:Q,7,false)</f>
        <v>0</v>
      </c>
      <c r="L5411" s="74">
        <v>0.0</v>
      </c>
      <c r="M5411" s="74">
        <f t="shared" si="2"/>
        <v>0</v>
      </c>
      <c r="N5411" s="74">
        <f t="shared" si="3"/>
        <v>60000</v>
      </c>
      <c r="O5411" s="65" t="str">
        <f>VLOOKUP(E5411,DATABASE!C:Q,8,false)</f>
        <v>IBU</v>
      </c>
      <c r="P5411" s="65">
        <f>VLOOKUP(E5411,DATABASE!C:Q,9,False)</f>
        <v>0</v>
      </c>
      <c r="Q5411" s="93" t="str">
        <f>VLOOKUP(E5411,DATABASE!C:Q,4,false)</f>
        <v>SERVICE</v>
      </c>
      <c r="R5411" s="93" t="str">
        <f>VLOOKUP(E5411,DATABASE!C:Q,11,false)</f>
        <v>SERVICE</v>
      </c>
    </row>
    <row r="5412" ht="22.5" customHeight="1">
      <c r="A5412" s="49"/>
      <c r="C5412" s="666">
        <v>45972.0</v>
      </c>
      <c r="D5412" s="673">
        <v>7794.0</v>
      </c>
      <c r="E5412" s="676" t="s">
        <v>268</v>
      </c>
      <c r="F5412" s="664">
        <v>1.0</v>
      </c>
      <c r="G5412" s="677">
        <v>710000.0</v>
      </c>
      <c r="H5412" s="74">
        <v>0.0</v>
      </c>
      <c r="I5412" s="74">
        <f t="shared" si="1"/>
        <v>710000</v>
      </c>
      <c r="J5412" s="74">
        <f>IF(E5412="SERVICE",I5412-(I5412*50%),Vlookup(E5412,DATABASE!C:Q,10,false)*F5412)</f>
        <v>0</v>
      </c>
      <c r="K5412" s="74">
        <f>VLOOKUP(E5412,DATABASE!C:Q,7,false)</f>
        <v>653000</v>
      </c>
      <c r="L5412" s="74">
        <v>622000.0</v>
      </c>
      <c r="M5412" s="74">
        <f t="shared" si="2"/>
        <v>625000</v>
      </c>
      <c r="N5412" s="74">
        <f t="shared" si="3"/>
        <v>85000</v>
      </c>
      <c r="O5412" s="65" t="str">
        <f>VLOOKUP(E5412,DATABASE!C:Q,8,false)</f>
        <v>IBU</v>
      </c>
      <c r="P5412" s="65">
        <f>VLOOKUP(E5412,DATABASE!C:Q,9,False)</f>
        <v>1</v>
      </c>
      <c r="Q5412" s="93" t="str">
        <f>VLOOKUP(E5412,DATABASE!C:Q,4,false)</f>
        <v>Dunlop</v>
      </c>
      <c r="R5412" s="93" t="str">
        <f>VLOOKUP(E5412,DATABASE!C:Q,11,false)</f>
        <v>Tire</v>
      </c>
      <c r="U5412" s="9"/>
    </row>
    <row r="5413" ht="22.5" customHeight="1">
      <c r="A5413" s="49"/>
      <c r="C5413" s="661">
        <v>45972.0</v>
      </c>
      <c r="D5413" s="673">
        <v>7795.0</v>
      </c>
      <c r="E5413" s="676" t="s">
        <v>256</v>
      </c>
      <c r="F5413" s="664">
        <v>1.0</v>
      </c>
      <c r="G5413" s="677">
        <v>130000.0</v>
      </c>
      <c r="H5413" s="74">
        <v>0.0</v>
      </c>
      <c r="I5413" s="74">
        <f t="shared" si="1"/>
        <v>130000</v>
      </c>
      <c r="J5413" s="74">
        <f>IF(E5413="SERVICE",I5413-(I5413*50%),Vlookup(E5413,DATABASE!C:Q,10,false)*F5413)</f>
        <v>10000</v>
      </c>
      <c r="K5413" s="74">
        <f>VLOOKUP(E5413,DATABASE!C:Q,7,false)</f>
        <v>0</v>
      </c>
      <c r="L5413" s="74">
        <v>0.0</v>
      </c>
      <c r="M5413" s="74">
        <f t="shared" si="2"/>
        <v>0</v>
      </c>
      <c r="N5413" s="74">
        <f t="shared" si="3"/>
        <v>120000</v>
      </c>
      <c r="O5413" s="65" t="str">
        <f>VLOOKUP(E5413,DATABASE!C:Q,8,false)</f>
        <v>IBU</v>
      </c>
      <c r="P5413" s="65">
        <f>VLOOKUP(E5413,DATABASE!C:Q,9,False)</f>
        <v>0</v>
      </c>
      <c r="Q5413" s="93" t="str">
        <f>VLOOKUP(E5413,DATABASE!C:Q,4,false)</f>
        <v>SPOORING</v>
      </c>
      <c r="R5413" s="93" t="str">
        <f>VLOOKUP(E5413,DATABASE!C:Q,11,false)</f>
        <v>SERVICE</v>
      </c>
    </row>
    <row r="5414" ht="22.5" customHeight="1">
      <c r="A5414" s="49"/>
      <c r="C5414" s="666">
        <v>45972.0</v>
      </c>
      <c r="D5414" s="673">
        <v>7796.0</v>
      </c>
      <c r="E5414" s="676" t="s">
        <v>1237</v>
      </c>
      <c r="F5414" s="664">
        <v>1.0</v>
      </c>
      <c r="G5414" s="677">
        <v>1235000.0</v>
      </c>
      <c r="H5414" s="74">
        <v>0.0</v>
      </c>
      <c r="I5414" s="74">
        <f t="shared" si="1"/>
        <v>1235000</v>
      </c>
      <c r="J5414" s="74">
        <f>IF(E5414="SERVICE",I5414-(I5414*50%),Vlookup(E5414,DATABASE!C:Q,10,false)*F5414)</f>
        <v>0</v>
      </c>
      <c r="K5414" s="74">
        <f>VLOOKUP(E5414,DATABASE!C:Q,7,false)</f>
        <v>1170353.16</v>
      </c>
      <c r="L5414" s="74">
        <v>1113907.2</v>
      </c>
      <c r="M5414" s="74">
        <f t="shared" si="2"/>
        <v>1115000</v>
      </c>
      <c r="N5414" s="74">
        <f t="shared" si="3"/>
        <v>120000</v>
      </c>
      <c r="O5414" s="65" t="str">
        <f>VLOOKUP(E5414,DATABASE!C:Q,8,false)</f>
        <v>IBU</v>
      </c>
      <c r="P5414" s="65">
        <f>VLOOKUP(E5414,DATABASE!C:Q,9,False)</f>
        <v>1</v>
      </c>
      <c r="Q5414" s="93" t="str">
        <f>VLOOKUP(E5414,DATABASE!C:Q,4,false)</f>
        <v>Bridgestone</v>
      </c>
      <c r="R5414" s="93" t="str">
        <f>VLOOKUP(E5414,DATABASE!C:Q,11,false)</f>
        <v>Tire</v>
      </c>
      <c r="U5414" s="9"/>
    </row>
    <row r="5415" ht="22.5" customHeight="1">
      <c r="A5415" s="49"/>
      <c r="C5415" s="661">
        <v>45972.0</v>
      </c>
      <c r="D5415" s="673">
        <v>7797.0</v>
      </c>
      <c r="E5415" s="676" t="s">
        <v>744</v>
      </c>
      <c r="F5415" s="664">
        <v>4.0</v>
      </c>
      <c r="G5415" s="677">
        <v>220000.0</v>
      </c>
      <c r="H5415" s="74">
        <v>0.0</v>
      </c>
      <c r="I5415" s="74">
        <f t="shared" si="1"/>
        <v>880000</v>
      </c>
      <c r="J5415" s="74">
        <f>IF(E5415="SERVICE",I5415-(I5415*50%),Vlookup(E5415,DATABASE!C:Q,10,false)*F5415)</f>
        <v>0</v>
      </c>
      <c r="K5415" s="74">
        <f>VLOOKUP(E5415,DATABASE!C:Q,7,false)</f>
        <v>182200</v>
      </c>
      <c r="L5415" s="74">
        <v>199920.0</v>
      </c>
      <c r="M5415" s="74">
        <f t="shared" si="2"/>
        <v>200000</v>
      </c>
      <c r="N5415" s="74">
        <f t="shared" si="3"/>
        <v>80000</v>
      </c>
      <c r="O5415" s="65" t="str">
        <f>VLOOKUP(E5415,DATABASE!C:Q,8,false)</f>
        <v>BIAN</v>
      </c>
      <c r="P5415" s="65">
        <f>VLOOKUP(E5415,DATABASE!C:Q,9,False)</f>
        <v>1</v>
      </c>
      <c r="Q5415" s="93" t="str">
        <f>VLOOKUP(E5415,DATABASE!C:Q,4,false)</f>
        <v>BD</v>
      </c>
      <c r="R5415" s="93" t="str">
        <f>VLOOKUP(E5415,DATABASE!C:Q,11,false)</f>
        <v>Tire</v>
      </c>
      <c r="U5415" s="9">
        <v>880000.0</v>
      </c>
    </row>
    <row r="5416" ht="22.5" customHeight="1">
      <c r="A5416" s="49"/>
      <c r="C5416" s="666">
        <v>45972.0</v>
      </c>
      <c r="D5416" s="673">
        <v>7798.0</v>
      </c>
      <c r="E5416" s="676" t="s">
        <v>262</v>
      </c>
      <c r="F5416" s="664">
        <v>1.0</v>
      </c>
      <c r="G5416" s="677">
        <v>110000.0</v>
      </c>
      <c r="H5416" s="74">
        <v>0.0</v>
      </c>
      <c r="I5416" s="74">
        <f t="shared" si="1"/>
        <v>110000</v>
      </c>
      <c r="J5416" s="74">
        <f>IF(E5416="SERVICE",I5416-(I5416*50%),Vlookup(E5416,DATABASE!C:Q,10,false)*F5416)</f>
        <v>5000</v>
      </c>
      <c r="K5416" s="74">
        <f>VLOOKUP(E5416,DATABASE!C:Q,7,false)</f>
        <v>0</v>
      </c>
      <c r="L5416" s="74">
        <v>0.0</v>
      </c>
      <c r="M5416" s="74">
        <f t="shared" si="2"/>
        <v>0</v>
      </c>
      <c r="N5416" s="74">
        <f t="shared" si="3"/>
        <v>105000</v>
      </c>
      <c r="O5416" s="65" t="str">
        <f>VLOOKUP(E5416,DATABASE!C:Q,8,false)</f>
        <v>IBU</v>
      </c>
      <c r="P5416" s="65">
        <f>VLOOKUP(E5416,DATABASE!C:Q,9,False)</f>
        <v>0</v>
      </c>
      <c r="Q5416" s="93" t="str">
        <f>VLOOKUP(E5416,DATABASE!C:Q,4,false)</f>
        <v>SPOORING SS/CARRY LOS BAK</v>
      </c>
      <c r="R5416" s="93" t="str">
        <f>VLOOKUP(E5416,DATABASE!C:Q,11,false)</f>
        <v>SERVICE</v>
      </c>
    </row>
    <row r="5417" ht="22.5" customHeight="1">
      <c r="A5417" s="49"/>
      <c r="C5417" s="661">
        <v>45972.0</v>
      </c>
      <c r="D5417" s="673">
        <v>7798.0</v>
      </c>
      <c r="E5417" s="676" t="s">
        <v>305</v>
      </c>
      <c r="F5417" s="664">
        <v>1.0</v>
      </c>
      <c r="G5417" s="677">
        <v>235000.0</v>
      </c>
      <c r="H5417" s="74">
        <v>0.0</v>
      </c>
      <c r="I5417" s="74">
        <f t="shared" si="1"/>
        <v>235000</v>
      </c>
      <c r="J5417" s="74">
        <f>IF(E5417="SERVICE",I5417-(I5417*50%),Vlookup(E5417,DATABASE!C:Q,10,false)*F5417)</f>
        <v>40000</v>
      </c>
      <c r="K5417" s="74">
        <f>VLOOKUP(E5417,DATABASE!C:Q,7,false)</f>
        <v>158530.2</v>
      </c>
      <c r="L5417" s="74">
        <v>151890.0</v>
      </c>
      <c r="M5417" s="74">
        <f t="shared" si="2"/>
        <v>155000</v>
      </c>
      <c r="N5417" s="74">
        <f t="shared" si="3"/>
        <v>40000</v>
      </c>
      <c r="O5417" s="65" t="str">
        <f>VLOOKUP(E5417,DATABASE!C:Q,8,false)</f>
        <v>BIAN</v>
      </c>
      <c r="P5417" s="65">
        <f>VLOOKUP(E5417,DATABASE!C:Q,9,False)</f>
        <v>1</v>
      </c>
      <c r="Q5417" s="93" t="str">
        <f>VLOOKUP(E5417,DATABASE!C:Q,4,false)</f>
        <v>Lower Arm</v>
      </c>
      <c r="R5417" s="93" t="str">
        <f>VLOOKUP(E5417,DATABASE!C:Q,11,false)</f>
        <v>COMPLEMENTARY</v>
      </c>
    </row>
    <row r="5418" ht="22.5" customHeight="1">
      <c r="A5418" s="49"/>
      <c r="C5418" s="666">
        <v>45972.0</v>
      </c>
      <c r="D5418" s="673">
        <v>7798.0</v>
      </c>
      <c r="E5418" s="676" t="s">
        <v>251</v>
      </c>
      <c r="F5418" s="664">
        <v>1.0</v>
      </c>
      <c r="G5418" s="677">
        <v>120000.0</v>
      </c>
      <c r="H5418" s="74">
        <v>0.0</v>
      </c>
      <c r="I5418" s="74">
        <f t="shared" si="1"/>
        <v>120000</v>
      </c>
      <c r="J5418" s="74">
        <f>IF(E5418="SERVICE",I5418-(I5418*50%),Vlookup(E5418,DATABASE!C:Q,10,false)*F5418)</f>
        <v>60000</v>
      </c>
      <c r="K5418" s="74">
        <f>VLOOKUP(E5418,DATABASE!C:Q,7,false)</f>
        <v>0</v>
      </c>
      <c r="L5418" s="74">
        <v>0.0</v>
      </c>
      <c r="M5418" s="74">
        <f t="shared" si="2"/>
        <v>0</v>
      </c>
      <c r="N5418" s="74">
        <f t="shared" si="3"/>
        <v>60000</v>
      </c>
      <c r="O5418" s="65" t="str">
        <f>VLOOKUP(E5418,DATABASE!C:Q,8,false)</f>
        <v>IBU</v>
      </c>
      <c r="P5418" s="65">
        <f>VLOOKUP(E5418,DATABASE!C:Q,9,False)</f>
        <v>0</v>
      </c>
      <c r="Q5418" s="93" t="str">
        <f>VLOOKUP(E5418,DATABASE!C:Q,4,false)</f>
        <v>SERVICE</v>
      </c>
      <c r="R5418" s="93" t="str">
        <f>VLOOKUP(E5418,DATABASE!C:Q,11,false)</f>
        <v>SERVICE</v>
      </c>
    </row>
    <row r="5419" ht="22.5" customHeight="1">
      <c r="A5419" s="49"/>
      <c r="C5419" s="661">
        <v>45973.0</v>
      </c>
      <c r="D5419" s="673">
        <v>7800.0</v>
      </c>
      <c r="E5419" s="676" t="s">
        <v>1439</v>
      </c>
      <c r="F5419" s="664">
        <v>2.0</v>
      </c>
      <c r="G5419" s="677">
        <v>625000.0</v>
      </c>
      <c r="H5419" s="74">
        <v>0.0</v>
      </c>
      <c r="I5419" s="74">
        <f t="shared" si="1"/>
        <v>1250000</v>
      </c>
      <c r="J5419" s="74">
        <f>IF(E5419="SERVICE",I5419-(I5419*50%),Vlookup(E5419,DATABASE!C:Q,10,false)*F5419)</f>
        <v>0</v>
      </c>
      <c r="K5419" s="74">
        <f>VLOOKUP(E5419,DATABASE!C:Q,7,false)</f>
        <v>556800</v>
      </c>
      <c r="L5419" s="74">
        <v>540800.0</v>
      </c>
      <c r="M5419" s="74">
        <f t="shared" si="2"/>
        <v>545000</v>
      </c>
      <c r="N5419" s="74">
        <f t="shared" si="3"/>
        <v>160000</v>
      </c>
      <c r="O5419" s="65" t="str">
        <f>VLOOKUP(E5419,DATABASE!C:Q,8,false)</f>
        <v>BIAN</v>
      </c>
      <c r="P5419" s="65">
        <f>VLOOKUP(E5419,DATABASE!C:Q,9,False)</f>
        <v>1</v>
      </c>
      <c r="Q5419" s="93" t="str">
        <f>VLOOKUP(E5419,DATABASE!C:Q,4,false)</f>
        <v>GT</v>
      </c>
      <c r="R5419" s="93" t="str">
        <f>VLOOKUP(E5419,DATABASE!C:Q,11,false)</f>
        <v>Tire</v>
      </c>
      <c r="U5419" s="9">
        <v>1250000.0</v>
      </c>
    </row>
    <row r="5420" ht="22.5" customHeight="1">
      <c r="A5420" s="49"/>
      <c r="C5420" s="666">
        <v>45973.0</v>
      </c>
      <c r="D5420" s="673">
        <v>7801.0</v>
      </c>
      <c r="E5420" s="676" t="s">
        <v>744</v>
      </c>
      <c r="F5420" s="664">
        <v>1.0</v>
      </c>
      <c r="G5420" s="677">
        <v>230000.0</v>
      </c>
      <c r="H5420" s="74">
        <v>0.0</v>
      </c>
      <c r="I5420" s="74">
        <f t="shared" si="1"/>
        <v>230000</v>
      </c>
      <c r="J5420" s="74">
        <f>IF(E5420="SERVICE",I5420-(I5420*50%),Vlookup(E5420,DATABASE!C:Q,10,false)*F5420)</f>
        <v>0</v>
      </c>
      <c r="K5420" s="74">
        <f>VLOOKUP(E5420,DATABASE!C:Q,7,false)</f>
        <v>182200</v>
      </c>
      <c r="L5420" s="74">
        <v>199920.0</v>
      </c>
      <c r="M5420" s="74">
        <f t="shared" si="2"/>
        <v>200000</v>
      </c>
      <c r="N5420" s="74">
        <f t="shared" si="3"/>
        <v>30000</v>
      </c>
      <c r="O5420" s="65" t="str">
        <f>VLOOKUP(E5420,DATABASE!C:Q,8,false)</f>
        <v>BIAN</v>
      </c>
      <c r="P5420" s="65">
        <f>VLOOKUP(E5420,DATABASE!C:Q,9,False)</f>
        <v>1</v>
      </c>
      <c r="Q5420" s="93" t="str">
        <f>VLOOKUP(E5420,DATABASE!C:Q,4,false)</f>
        <v>BD</v>
      </c>
      <c r="R5420" s="93" t="str">
        <f>VLOOKUP(E5420,DATABASE!C:Q,11,false)</f>
        <v>Tire</v>
      </c>
      <c r="U5420" s="9">
        <v>230000.0</v>
      </c>
    </row>
    <row r="5421" ht="22.5" customHeight="1">
      <c r="A5421" s="49"/>
      <c r="C5421" s="661">
        <v>45973.0</v>
      </c>
      <c r="D5421" s="673">
        <v>7802.0</v>
      </c>
      <c r="E5421" s="676" t="s">
        <v>268</v>
      </c>
      <c r="F5421" s="664">
        <v>2.0</v>
      </c>
      <c r="G5421" s="677">
        <v>705000.0</v>
      </c>
      <c r="H5421" s="74">
        <v>0.0</v>
      </c>
      <c r="I5421" s="74">
        <f t="shared" si="1"/>
        <v>1410000</v>
      </c>
      <c r="J5421" s="74">
        <f>IF(E5421="SERVICE",I5421-(I5421*50%),Vlookup(E5421,DATABASE!C:Q,10,false)*F5421)</f>
        <v>0</v>
      </c>
      <c r="K5421" s="74">
        <f>VLOOKUP(E5421,DATABASE!C:Q,7,false)</f>
        <v>653000</v>
      </c>
      <c r="L5421" s="74">
        <v>622000.0</v>
      </c>
      <c r="M5421" s="74">
        <f t="shared" si="2"/>
        <v>625000</v>
      </c>
      <c r="N5421" s="74">
        <f t="shared" si="3"/>
        <v>160000</v>
      </c>
      <c r="O5421" s="65" t="str">
        <f>VLOOKUP(E5421,DATABASE!C:Q,8,false)</f>
        <v>IBU</v>
      </c>
      <c r="P5421" s="65">
        <f>VLOOKUP(E5421,DATABASE!C:Q,9,False)</f>
        <v>1</v>
      </c>
      <c r="Q5421" s="93" t="str">
        <f>VLOOKUP(E5421,DATABASE!C:Q,4,false)</f>
        <v>Dunlop</v>
      </c>
      <c r="R5421" s="93" t="str">
        <f>VLOOKUP(E5421,DATABASE!C:Q,11,false)</f>
        <v>Tire</v>
      </c>
      <c r="U5421" s="9"/>
    </row>
    <row r="5422" ht="22.5" customHeight="1">
      <c r="A5422" s="49"/>
      <c r="C5422" s="666">
        <v>45973.0</v>
      </c>
      <c r="D5422" s="673">
        <v>7802.0</v>
      </c>
      <c r="E5422" s="676" t="s">
        <v>262</v>
      </c>
      <c r="F5422" s="664">
        <v>1.0</v>
      </c>
      <c r="G5422" s="677">
        <v>110000.0</v>
      </c>
      <c r="H5422" s="74">
        <v>0.0</v>
      </c>
      <c r="I5422" s="74">
        <f t="shared" si="1"/>
        <v>110000</v>
      </c>
      <c r="J5422" s="74">
        <f>IF(E5422="SERVICE",I5422-(I5422*50%),Vlookup(E5422,DATABASE!C:Q,10,false)*F5422)</f>
        <v>5000</v>
      </c>
      <c r="K5422" s="74">
        <f>VLOOKUP(E5422,DATABASE!C:Q,7,false)</f>
        <v>0</v>
      </c>
      <c r="L5422" s="74">
        <v>0.0</v>
      </c>
      <c r="M5422" s="74">
        <f t="shared" si="2"/>
        <v>0</v>
      </c>
      <c r="N5422" s="74">
        <f t="shared" si="3"/>
        <v>105000</v>
      </c>
      <c r="O5422" s="65" t="str">
        <f>VLOOKUP(E5422,DATABASE!C:Q,8,false)</f>
        <v>IBU</v>
      </c>
      <c r="P5422" s="65">
        <f>VLOOKUP(E5422,DATABASE!C:Q,9,False)</f>
        <v>0</v>
      </c>
      <c r="Q5422" s="93" t="str">
        <f>VLOOKUP(E5422,DATABASE!C:Q,4,false)</f>
        <v>SPOORING SS/CARRY LOS BAK</v>
      </c>
      <c r="R5422" s="93" t="str">
        <f>VLOOKUP(E5422,DATABASE!C:Q,11,false)</f>
        <v>SERVICE</v>
      </c>
    </row>
    <row r="5423" ht="22.5" customHeight="1">
      <c r="A5423" s="49"/>
      <c r="C5423" s="666">
        <v>45973.0</v>
      </c>
      <c r="D5423" s="673">
        <v>7803.0</v>
      </c>
      <c r="E5423" s="671" t="s">
        <v>299</v>
      </c>
      <c r="F5423" s="664">
        <v>2.0</v>
      </c>
      <c r="G5423" s="677">
        <v>30000.0</v>
      </c>
      <c r="H5423" s="74">
        <v>0.0</v>
      </c>
      <c r="I5423" s="74">
        <f t="shared" si="1"/>
        <v>60000</v>
      </c>
      <c r="J5423" s="74">
        <f>IF(E5423="SERVICE",I5423-(I5423*50%),Vlookup(E5423,DATABASE!C:Q,10,false)*F5423)</f>
        <v>0</v>
      </c>
      <c r="K5423" s="74">
        <f>VLOOKUP(E5423,DATABASE!C:Q,7,false)</f>
        <v>10000</v>
      </c>
      <c r="L5423" s="74">
        <v>5000.0</v>
      </c>
      <c r="M5423" s="74">
        <f t="shared" si="2"/>
        <v>5000</v>
      </c>
      <c r="N5423" s="74">
        <f t="shared" si="3"/>
        <v>50000</v>
      </c>
      <c r="O5423" s="65" t="str">
        <f>VLOOKUP(E5423,DATABASE!C:Q,8,false)</f>
        <v>BIAN</v>
      </c>
      <c r="P5423" s="65">
        <f>VLOOKUP(E5423,DATABASE!C:Q,9,False)</f>
        <v>0</v>
      </c>
      <c r="Q5423" s="93" t="str">
        <f>VLOOKUP(E5423,DATABASE!C:Q,4,false)</f>
        <v>Balancing</v>
      </c>
      <c r="R5423" s="93" t="str">
        <f>VLOOKUP(E5423,DATABASE!C:Q,11,false)</f>
        <v>COMPLEMENTARY</v>
      </c>
    </row>
    <row r="5424" ht="22.5" customHeight="1">
      <c r="A5424" s="49"/>
      <c r="C5424" s="661">
        <v>45973.0</v>
      </c>
      <c r="D5424" s="673">
        <v>7803.0</v>
      </c>
      <c r="E5424" s="676" t="s">
        <v>256</v>
      </c>
      <c r="F5424" s="664">
        <v>1.0</v>
      </c>
      <c r="G5424" s="677">
        <v>130000.0</v>
      </c>
      <c r="H5424" s="74">
        <v>0.0</v>
      </c>
      <c r="I5424" s="74">
        <f t="shared" si="1"/>
        <v>130000</v>
      </c>
      <c r="J5424" s="74">
        <f>IF(E5424="SERVICE",I5424-(I5424*50%),Vlookup(E5424,DATABASE!C:Q,10,false)*F5424)</f>
        <v>10000</v>
      </c>
      <c r="K5424" s="74">
        <f>VLOOKUP(E5424,DATABASE!C:Q,7,false)</f>
        <v>0</v>
      </c>
      <c r="L5424" s="74">
        <v>0.0</v>
      </c>
      <c r="M5424" s="74">
        <f t="shared" si="2"/>
        <v>0</v>
      </c>
      <c r="N5424" s="74">
        <f t="shared" si="3"/>
        <v>120000</v>
      </c>
      <c r="O5424" s="65" t="str">
        <f>VLOOKUP(E5424,DATABASE!C:Q,8,false)</f>
        <v>IBU</v>
      </c>
      <c r="P5424" s="65">
        <f>VLOOKUP(E5424,DATABASE!C:Q,9,False)</f>
        <v>0</v>
      </c>
      <c r="Q5424" s="93" t="str">
        <f>VLOOKUP(E5424,DATABASE!C:Q,4,false)</f>
        <v>SPOORING</v>
      </c>
      <c r="R5424" s="93" t="str">
        <f>VLOOKUP(E5424,DATABASE!C:Q,11,false)</f>
        <v>SERVICE</v>
      </c>
    </row>
    <row r="5425" ht="22.5" customHeight="1">
      <c r="A5425" s="49"/>
      <c r="C5425" s="666">
        <v>45973.0</v>
      </c>
      <c r="D5425" s="673">
        <v>7803.0</v>
      </c>
      <c r="E5425" s="676" t="s">
        <v>301</v>
      </c>
      <c r="F5425" s="664">
        <v>1.0</v>
      </c>
      <c r="G5425" s="677">
        <v>250000.0</v>
      </c>
      <c r="H5425" s="74">
        <v>0.0</v>
      </c>
      <c r="I5425" s="74">
        <f t="shared" si="1"/>
        <v>250000</v>
      </c>
      <c r="J5425" s="74">
        <f>IF(E5425="SERVICE",I5425-(I5425*50%),Vlookup(E5425,DATABASE!C:Q,10,false)*F5425)</f>
        <v>75000</v>
      </c>
      <c r="K5425" s="74">
        <f>VLOOKUP(E5425,DATABASE!C:Q,7,false)</f>
        <v>75000</v>
      </c>
      <c r="L5425" s="74">
        <v>75000.0</v>
      </c>
      <c r="M5425" s="74">
        <f t="shared" si="2"/>
        <v>75000</v>
      </c>
      <c r="N5425" s="74">
        <f t="shared" si="3"/>
        <v>100000</v>
      </c>
      <c r="O5425" s="65" t="str">
        <f>VLOOKUP(E5425,DATABASE!C:Q,8,false)</f>
        <v>BIAN</v>
      </c>
      <c r="P5425" s="65">
        <f>VLOOKUP(E5425,DATABASE!C:Q,9,False)</f>
        <v>0</v>
      </c>
      <c r="Q5425" s="93" t="str">
        <f>VLOOKUP(E5425,DATABASE!C:Q,4,false)</f>
        <v>Baut Camber</v>
      </c>
      <c r="R5425" s="93" t="str">
        <f>VLOOKUP(E5425,DATABASE!C:Q,11,false)</f>
        <v>COMPLEMENTARY</v>
      </c>
      <c r="U5425" s="9">
        <v>3200000.0</v>
      </c>
    </row>
    <row r="5426" ht="22.5" customHeight="1">
      <c r="A5426" s="49"/>
      <c r="C5426" s="661">
        <v>45973.0</v>
      </c>
      <c r="D5426" s="673">
        <v>7804.0</v>
      </c>
      <c r="E5426" s="676" t="s">
        <v>897</v>
      </c>
      <c r="F5426" s="664">
        <v>2.0</v>
      </c>
      <c r="G5426" s="677">
        <v>1600000.0</v>
      </c>
      <c r="H5426" s="74">
        <v>0.0</v>
      </c>
      <c r="I5426" s="74">
        <f t="shared" si="1"/>
        <v>3200000</v>
      </c>
      <c r="J5426" s="74">
        <f>IF(E5426="SERVICE",I5426-(I5426*50%),Vlookup(E5426,DATABASE!C:Q,10,false)*F5426)</f>
        <v>0</v>
      </c>
      <c r="K5426" s="74">
        <f>VLOOKUP(E5426,DATABASE!C:Q,7,false)</f>
        <v>1560000</v>
      </c>
      <c r="L5426" s="74">
        <v>1500000.0</v>
      </c>
      <c r="M5426" s="74">
        <f t="shared" si="2"/>
        <v>1500000</v>
      </c>
      <c r="N5426" s="74">
        <f t="shared" si="3"/>
        <v>200000</v>
      </c>
      <c r="O5426" s="65" t="str">
        <f>VLOOKUP(E5426,DATABASE!C:Q,8,false)</f>
        <v>BIAN</v>
      </c>
      <c r="P5426" s="65">
        <f>VLOOKUP(E5426,DATABASE!C:Q,9,False)</f>
        <v>1</v>
      </c>
      <c r="Q5426" s="93" t="str">
        <f>VLOOKUP(E5426,DATABASE!C:Q,4,false)</f>
        <v>GT</v>
      </c>
      <c r="R5426" s="93" t="str">
        <f>VLOOKUP(E5426,DATABASE!C:Q,11,false)</f>
        <v>Tire</v>
      </c>
      <c r="U5426" s="9">
        <v>460000.0</v>
      </c>
    </row>
    <row r="5427" ht="22.5" customHeight="1">
      <c r="A5427" s="49"/>
      <c r="C5427" s="666">
        <v>45973.0</v>
      </c>
      <c r="D5427" s="673">
        <v>7804.0</v>
      </c>
      <c r="E5427" s="676" t="s">
        <v>744</v>
      </c>
      <c r="F5427" s="664">
        <v>2.0</v>
      </c>
      <c r="G5427" s="677">
        <v>230000.0</v>
      </c>
      <c r="H5427" s="74">
        <v>0.0</v>
      </c>
      <c r="I5427" s="74">
        <f t="shared" si="1"/>
        <v>460000</v>
      </c>
      <c r="J5427" s="74">
        <f>IF(E5427="SERVICE",I5427-(I5427*50%),Vlookup(E5427,DATABASE!C:Q,10,false)*F5427)</f>
        <v>0</v>
      </c>
      <c r="K5427" s="74">
        <f>VLOOKUP(E5427,DATABASE!C:Q,7,false)</f>
        <v>182200</v>
      </c>
      <c r="L5427" s="74">
        <v>199920.0</v>
      </c>
      <c r="M5427" s="74">
        <f t="shared" si="2"/>
        <v>200000</v>
      </c>
      <c r="N5427" s="74">
        <f t="shared" si="3"/>
        <v>60000</v>
      </c>
      <c r="O5427" s="65" t="str">
        <f>VLOOKUP(E5427,DATABASE!C:Q,8,false)</f>
        <v>BIAN</v>
      </c>
      <c r="P5427" s="65">
        <f>VLOOKUP(E5427,DATABASE!C:Q,9,False)</f>
        <v>1</v>
      </c>
      <c r="Q5427" s="93" t="str">
        <f>VLOOKUP(E5427,DATABASE!C:Q,4,false)</f>
        <v>BD</v>
      </c>
      <c r="R5427" s="93" t="str">
        <f>VLOOKUP(E5427,DATABASE!C:Q,11,false)</f>
        <v>Tire</v>
      </c>
      <c r="U5427" s="9">
        <v>170000.0</v>
      </c>
    </row>
    <row r="5428" ht="22.5" customHeight="1">
      <c r="A5428" s="49"/>
      <c r="C5428" s="661">
        <v>45973.0</v>
      </c>
      <c r="D5428" s="673">
        <v>7804.0</v>
      </c>
      <c r="E5428" s="676" t="s">
        <v>821</v>
      </c>
      <c r="F5428" s="664">
        <v>2.0</v>
      </c>
      <c r="G5428" s="677">
        <v>85000.0</v>
      </c>
      <c r="H5428" s="74">
        <v>0.0</v>
      </c>
      <c r="I5428" s="74">
        <f t="shared" si="1"/>
        <v>170000</v>
      </c>
      <c r="J5428" s="74">
        <f>IF(E5428="SERVICE",I5428-(I5428*50%),Vlookup(E5428,DATABASE!C:Q,10,false)*F5428)</f>
        <v>0</v>
      </c>
      <c r="K5428" s="74">
        <f>VLOOKUP(E5428,DATABASE!C:Q,7,false)</f>
        <v>43500</v>
      </c>
      <c r="L5428" s="74">
        <v>43520.0</v>
      </c>
      <c r="M5428" s="74">
        <f t="shared" si="2"/>
        <v>45000</v>
      </c>
      <c r="N5428" s="74">
        <f t="shared" si="3"/>
        <v>80000</v>
      </c>
      <c r="O5428" s="65" t="str">
        <f>VLOOKUP(E5428,DATABASE!C:Q,8,false)</f>
        <v>BIAN</v>
      </c>
      <c r="P5428" s="65">
        <f>VLOOKUP(E5428,DATABASE!C:Q,9,False)</f>
        <v>1</v>
      </c>
      <c r="Q5428" s="93" t="str">
        <f>VLOOKUP(E5428,DATABASE!C:Q,4,false)</f>
        <v>Flap</v>
      </c>
      <c r="R5428" s="93" t="str">
        <f>VLOOKUP(E5428,DATABASE!C:Q,11,false)</f>
        <v>Tire</v>
      </c>
      <c r="U5428" s="9">
        <v>8520000.0</v>
      </c>
    </row>
    <row r="5429" ht="22.5" customHeight="1">
      <c r="A5429" s="49"/>
      <c r="C5429" s="666">
        <v>45973.0</v>
      </c>
      <c r="D5429" s="673">
        <v>7805.0</v>
      </c>
      <c r="E5429" s="676" t="s">
        <v>1858</v>
      </c>
      <c r="F5429" s="664">
        <v>4.0</v>
      </c>
      <c r="G5429" s="677">
        <v>2130000.0</v>
      </c>
      <c r="H5429" s="74">
        <v>0.0</v>
      </c>
      <c r="I5429" s="74">
        <f t="shared" si="1"/>
        <v>8520000</v>
      </c>
      <c r="J5429" s="74">
        <f>IF(E5429="SERVICE",I5429-(I5429*50%),Vlookup(E5429,DATABASE!C:Q,10,false)*F5429)</f>
        <v>0</v>
      </c>
      <c r="K5429" s="74">
        <f>VLOOKUP(E5429,DATABASE!C:Q,7,false)</f>
        <v>2030000</v>
      </c>
      <c r="L5429" s="74">
        <v>2025000.0</v>
      </c>
      <c r="M5429" s="74">
        <f t="shared" si="2"/>
        <v>2025000</v>
      </c>
      <c r="N5429" s="74">
        <f t="shared" si="3"/>
        <v>420000</v>
      </c>
      <c r="O5429" s="65" t="str">
        <f>VLOOKUP(E5429,DATABASE!C:Q,8,false)</f>
        <v>BIAN</v>
      </c>
      <c r="P5429" s="65">
        <f>VLOOKUP(E5429,DATABASE!C:Q,9,False)</f>
        <v>1</v>
      </c>
      <c r="Q5429" s="93" t="str">
        <f>VLOOKUP(E5429,DATABASE!C:Q,4,false)</f>
        <v>GiTi</v>
      </c>
      <c r="R5429" s="93" t="str">
        <f>VLOOKUP(E5429,DATABASE!C:Q,11,false)</f>
        <v>Tire</v>
      </c>
    </row>
    <row r="5430" ht="22.5" customHeight="1">
      <c r="A5430" s="49"/>
      <c r="C5430" s="661">
        <v>45973.0</v>
      </c>
      <c r="D5430" s="673">
        <v>7806.0</v>
      </c>
      <c r="E5430" s="676" t="s">
        <v>305</v>
      </c>
      <c r="F5430" s="664">
        <v>1.0</v>
      </c>
      <c r="G5430" s="677">
        <v>200000.0</v>
      </c>
      <c r="H5430" s="74">
        <v>0.0</v>
      </c>
      <c r="I5430" s="74">
        <f t="shared" si="1"/>
        <v>200000</v>
      </c>
      <c r="J5430" s="74">
        <f>IF(E5430="SERVICE",I5430-(I5430*50%),Vlookup(E5430,DATABASE!C:Q,10,false)*F5430)</f>
        <v>40000</v>
      </c>
      <c r="K5430" s="74">
        <f>VLOOKUP(E5430,DATABASE!C:Q,7,false)</f>
        <v>158530.2</v>
      </c>
      <c r="L5430" s="74">
        <v>151890.0</v>
      </c>
      <c r="M5430" s="74">
        <f t="shared" si="2"/>
        <v>155000</v>
      </c>
      <c r="N5430" s="74">
        <f t="shared" si="3"/>
        <v>5000</v>
      </c>
      <c r="O5430" s="65" t="str">
        <f>VLOOKUP(E5430,DATABASE!C:Q,8,false)</f>
        <v>BIAN</v>
      </c>
      <c r="P5430" s="65">
        <f>VLOOKUP(E5430,DATABASE!C:Q,9,False)</f>
        <v>1</v>
      </c>
      <c r="Q5430" s="93" t="str">
        <f>VLOOKUP(E5430,DATABASE!C:Q,4,false)</f>
        <v>Lower Arm</v>
      </c>
      <c r="R5430" s="93" t="str">
        <f>VLOOKUP(E5430,DATABASE!C:Q,11,false)</f>
        <v>COMPLEMENTARY</v>
      </c>
    </row>
    <row r="5431" ht="22.5" customHeight="1">
      <c r="A5431" s="49"/>
      <c r="C5431" s="661">
        <v>45973.0</v>
      </c>
      <c r="D5431" s="673">
        <v>7808.0</v>
      </c>
      <c r="E5431" s="676" t="s">
        <v>290</v>
      </c>
      <c r="F5431" s="664">
        <v>2.0</v>
      </c>
      <c r="G5431" s="677">
        <v>710000.0</v>
      </c>
      <c r="H5431" s="74">
        <v>0.0</v>
      </c>
      <c r="I5431" s="74">
        <f t="shared" si="1"/>
        <v>1420000</v>
      </c>
      <c r="J5431" s="74">
        <f>IF(E5431="SERVICE",I5431-(I5431*50%),Vlookup(E5431,DATABASE!C:Q,10,false)*F5431)</f>
        <v>0</v>
      </c>
      <c r="K5431" s="74">
        <f>VLOOKUP(E5431,DATABASE!C:Q,7,false)</f>
        <v>628100</v>
      </c>
      <c r="L5431" s="74">
        <v>609804.0</v>
      </c>
      <c r="M5431" s="74">
        <f t="shared" si="2"/>
        <v>610000</v>
      </c>
      <c r="N5431" s="74">
        <f t="shared" si="3"/>
        <v>200000</v>
      </c>
      <c r="O5431" s="65" t="str">
        <f>VLOOKUP(E5431,DATABASE!C:Q,8,false)</f>
        <v>BIAN</v>
      </c>
      <c r="P5431" s="65">
        <f>VLOOKUP(E5431,DATABASE!C:Q,9,False)</f>
        <v>1</v>
      </c>
      <c r="Q5431" s="93" t="str">
        <f>VLOOKUP(E5431,DATABASE!C:Q,4,false)</f>
        <v>GT</v>
      </c>
      <c r="R5431" s="93" t="str">
        <f>VLOOKUP(E5431,DATABASE!C:Q,11,false)</f>
        <v>Tire</v>
      </c>
    </row>
    <row r="5432" ht="22.5" customHeight="1">
      <c r="A5432" s="49"/>
      <c r="C5432" s="666">
        <v>45973.0</v>
      </c>
      <c r="D5432" s="673">
        <v>7809.0</v>
      </c>
      <c r="E5432" s="676" t="s">
        <v>1056</v>
      </c>
      <c r="F5432" s="664">
        <v>2.0</v>
      </c>
      <c r="G5432" s="677">
        <v>1075000.0</v>
      </c>
      <c r="H5432" s="74">
        <v>0.0</v>
      </c>
      <c r="I5432" s="74">
        <f t="shared" si="1"/>
        <v>2150000</v>
      </c>
      <c r="J5432" s="74">
        <f>IF(E5432="SERVICE",I5432-(I5432*50%),Vlookup(E5432,DATABASE!C:Q,10,false)*F5432)</f>
        <v>0</v>
      </c>
      <c r="K5432" s="74">
        <f>VLOOKUP(E5432,DATABASE!C:Q,7,false)</f>
        <v>980000</v>
      </c>
      <c r="L5432" s="74">
        <v>980000.0</v>
      </c>
      <c r="M5432" s="74">
        <f t="shared" si="2"/>
        <v>980000</v>
      </c>
      <c r="N5432" s="74">
        <f t="shared" si="3"/>
        <v>190000</v>
      </c>
      <c r="O5432" s="65" t="str">
        <f>VLOOKUP(E5432,DATABASE!C:Q,8,false)</f>
        <v>IBU</v>
      </c>
      <c r="P5432" s="65">
        <f>VLOOKUP(E5432,DATABASE!C:Q,9,False)</f>
        <v>1</v>
      </c>
      <c r="Q5432" s="93" t="str">
        <f>VLOOKUP(E5432,DATABASE!C:Q,4,false)</f>
        <v>Bridgestone</v>
      </c>
      <c r="R5432" s="93" t="str">
        <f>VLOOKUP(E5432,DATABASE!C:Q,11,false)</f>
        <v>Tire</v>
      </c>
    </row>
    <row r="5433" ht="22.5" customHeight="1">
      <c r="A5433" s="49"/>
      <c r="C5433" s="661">
        <v>45973.0</v>
      </c>
      <c r="D5433" s="673">
        <v>7810.0</v>
      </c>
      <c r="E5433" s="676" t="s">
        <v>262</v>
      </c>
      <c r="F5433" s="664">
        <v>1.0</v>
      </c>
      <c r="G5433" s="677">
        <v>110000.0</v>
      </c>
      <c r="H5433" s="74">
        <v>0.0</v>
      </c>
      <c r="I5433" s="74">
        <f t="shared" si="1"/>
        <v>110000</v>
      </c>
      <c r="J5433" s="74">
        <f>IF(E5433="SERVICE",I5433-(I5433*50%),Vlookup(E5433,DATABASE!C:Q,10,false)*F5433)</f>
        <v>5000</v>
      </c>
      <c r="K5433" s="74">
        <f>VLOOKUP(E5433,DATABASE!C:Q,7,false)</f>
        <v>0</v>
      </c>
      <c r="L5433" s="74">
        <v>0.0</v>
      </c>
      <c r="M5433" s="74">
        <f t="shared" si="2"/>
        <v>0</v>
      </c>
      <c r="N5433" s="74">
        <f t="shared" si="3"/>
        <v>105000</v>
      </c>
      <c r="O5433" s="65" t="str">
        <f>VLOOKUP(E5433,DATABASE!C:Q,8,false)</f>
        <v>IBU</v>
      </c>
      <c r="P5433" s="65">
        <f>VLOOKUP(E5433,DATABASE!C:Q,9,False)</f>
        <v>0</v>
      </c>
      <c r="Q5433" s="93" t="str">
        <f>VLOOKUP(E5433,DATABASE!C:Q,4,false)</f>
        <v>SPOORING SS/CARRY LOS BAK</v>
      </c>
      <c r="R5433" s="93" t="str">
        <f>VLOOKUP(E5433,DATABASE!C:Q,11,false)</f>
        <v>SERVICE</v>
      </c>
      <c r="U5433" s="9">
        <v>1420000.0</v>
      </c>
    </row>
    <row r="5434" ht="22.5" customHeight="1">
      <c r="A5434" s="49"/>
      <c r="C5434" s="666">
        <v>45973.0</v>
      </c>
      <c r="D5434" s="673">
        <v>7810.0</v>
      </c>
      <c r="E5434" s="676" t="s">
        <v>478</v>
      </c>
      <c r="F5434" s="664">
        <v>1.0</v>
      </c>
      <c r="G5434" s="677">
        <v>200000.0</v>
      </c>
      <c r="H5434" s="74">
        <v>0.0</v>
      </c>
      <c r="I5434" s="74">
        <f t="shared" si="1"/>
        <v>200000</v>
      </c>
      <c r="J5434" s="74">
        <f>IF(E5434="SERVICE",I5434-(I5434*50%),Vlookup(E5434,DATABASE!C:Q,10,false)*F5434)</f>
        <v>25000</v>
      </c>
      <c r="K5434" s="74">
        <f>VLOOKUP(E5434,DATABASE!C:Q,7,false)</f>
        <v>75000</v>
      </c>
      <c r="L5434" s="74">
        <v>75000.0</v>
      </c>
      <c r="M5434" s="74">
        <f t="shared" si="2"/>
        <v>75000</v>
      </c>
      <c r="N5434" s="74">
        <f t="shared" si="3"/>
        <v>100000</v>
      </c>
      <c r="O5434" s="65" t="str">
        <f>VLOOKUP(E5434,DATABASE!C:Q,8,false)</f>
        <v>BIAN</v>
      </c>
      <c r="P5434" s="65">
        <f>VLOOKUP(E5434,DATABASE!C:Q,9,False)</f>
        <v>0</v>
      </c>
      <c r="Q5434" s="93" t="str">
        <f>VLOOKUP(E5434,DATABASE!C:Q,4,false)</f>
        <v>Baut Camber ss-carry</v>
      </c>
      <c r="R5434" s="93" t="str">
        <f>VLOOKUP(E5434,DATABASE!C:Q,11,false)</f>
        <v>COMPLEMENTARY</v>
      </c>
      <c r="U5434" s="9"/>
    </row>
    <row r="5435" ht="22.5" customHeight="1">
      <c r="A5435" s="49"/>
      <c r="C5435" s="661">
        <v>45973.0</v>
      </c>
      <c r="D5435" s="673">
        <v>7810.0</v>
      </c>
      <c r="E5435" s="676" t="s">
        <v>305</v>
      </c>
      <c r="F5435" s="664">
        <v>2.0</v>
      </c>
      <c r="G5435" s="677">
        <v>235000.0</v>
      </c>
      <c r="H5435" s="74">
        <v>0.0</v>
      </c>
      <c r="I5435" s="74">
        <f t="shared" si="1"/>
        <v>470000</v>
      </c>
      <c r="J5435" s="74">
        <f>IF(E5435="SERVICE",I5435-(I5435*50%),Vlookup(E5435,DATABASE!C:Q,10,false)*F5435)</f>
        <v>80000</v>
      </c>
      <c r="K5435" s="74">
        <f>VLOOKUP(E5435,DATABASE!C:Q,7,false)</f>
        <v>158530.2</v>
      </c>
      <c r="L5435" s="74">
        <v>151890.0</v>
      </c>
      <c r="M5435" s="74">
        <f t="shared" si="2"/>
        <v>155000</v>
      </c>
      <c r="N5435" s="74">
        <f t="shared" si="3"/>
        <v>80000</v>
      </c>
      <c r="O5435" s="65" t="str">
        <f>VLOOKUP(E5435,DATABASE!C:Q,8,false)</f>
        <v>BIAN</v>
      </c>
      <c r="P5435" s="65">
        <f>VLOOKUP(E5435,DATABASE!C:Q,9,False)</f>
        <v>1</v>
      </c>
      <c r="Q5435" s="93" t="str">
        <f>VLOOKUP(E5435,DATABASE!C:Q,4,false)</f>
        <v>Lower Arm</v>
      </c>
      <c r="R5435" s="93" t="str">
        <f>VLOOKUP(E5435,DATABASE!C:Q,11,false)</f>
        <v>COMPLEMENTARY</v>
      </c>
    </row>
    <row r="5436" ht="22.5" customHeight="1">
      <c r="A5436" s="49"/>
      <c r="C5436" s="666">
        <v>45973.0</v>
      </c>
      <c r="D5436" s="673">
        <v>7810.0</v>
      </c>
      <c r="E5436" s="676" t="s">
        <v>2154</v>
      </c>
      <c r="F5436" s="664">
        <v>1.0</v>
      </c>
      <c r="G5436" s="677">
        <v>225000.0</v>
      </c>
      <c r="H5436" s="74">
        <v>0.0</v>
      </c>
      <c r="I5436" s="74">
        <f t="shared" si="1"/>
        <v>225000</v>
      </c>
      <c r="J5436" s="74">
        <f>IF(E5436="SERVICE",I5436-(I5436*50%),Vlookup(E5436,DATABASE!C:Q,10,false)*F5436)</f>
        <v>80000</v>
      </c>
      <c r="K5436" s="74">
        <f>VLOOKUP(E5436,DATABASE!C:Q,7,false)</f>
        <v>90000</v>
      </c>
      <c r="L5436" s="74">
        <v>65000.0</v>
      </c>
      <c r="M5436" s="74">
        <f t="shared" si="2"/>
        <v>65000</v>
      </c>
      <c r="N5436" s="74">
        <f t="shared" si="3"/>
        <v>80000</v>
      </c>
      <c r="O5436" s="65" t="str">
        <f>VLOOKUP(E5436,DATABASE!C:Q,8,false)</f>
        <v>IBU</v>
      </c>
      <c r="P5436" s="65">
        <f>VLOOKUP(E5436,DATABASE!C:Q,9,False)</f>
        <v>0</v>
      </c>
      <c r="Q5436" s="93" t="str">
        <f>VLOOKUP(E5436,DATABASE!C:Q,4,false)</f>
        <v>SERVICE</v>
      </c>
      <c r="R5436" s="93" t="str">
        <f>VLOOKUP(E5436,DATABASE!C:Q,11,false)</f>
        <v>COMPLEMENTARY</v>
      </c>
    </row>
    <row r="5437" ht="22.5" customHeight="1">
      <c r="A5437" s="49"/>
      <c r="C5437" s="661">
        <v>45973.0</v>
      </c>
      <c r="D5437" s="673">
        <v>7810.0</v>
      </c>
      <c r="E5437" s="676" t="s">
        <v>974</v>
      </c>
      <c r="F5437" s="664">
        <v>1.0</v>
      </c>
      <c r="G5437" s="677">
        <v>585000.0</v>
      </c>
      <c r="H5437" s="74">
        <v>0.0</v>
      </c>
      <c r="I5437" s="74">
        <f t="shared" si="1"/>
        <v>585000</v>
      </c>
      <c r="J5437" s="74">
        <f>IF(E5437="SERVICE",I5437-(I5437*50%),Vlookup(E5437,DATABASE!C:Q,10,false)*F5437)</f>
        <v>0</v>
      </c>
      <c r="K5437" s="74">
        <f>VLOOKUP(E5437,DATABASE!C:Q,7,false)</f>
        <v>501500</v>
      </c>
      <c r="L5437" s="74">
        <v>491000.0</v>
      </c>
      <c r="M5437" s="74">
        <f t="shared" si="2"/>
        <v>495000</v>
      </c>
      <c r="N5437" s="74">
        <f t="shared" si="3"/>
        <v>90000</v>
      </c>
      <c r="O5437" s="65" t="str">
        <f>VLOOKUP(E5437,DATABASE!C:Q,8,false)</f>
        <v>IBU</v>
      </c>
      <c r="P5437" s="65">
        <f>VLOOKUP(E5437,DATABASE!C:Q,9,False)</f>
        <v>1</v>
      </c>
      <c r="Q5437" s="93" t="str">
        <f>VLOOKUP(E5437,DATABASE!C:Q,4,false)</f>
        <v>Dunlop</v>
      </c>
      <c r="R5437" s="93" t="str">
        <f>VLOOKUP(E5437,DATABASE!C:Q,11,false)</f>
        <v>Tire</v>
      </c>
    </row>
    <row r="5438" ht="22.5" customHeight="1">
      <c r="A5438" s="49"/>
      <c r="C5438" s="666">
        <v>45973.0</v>
      </c>
      <c r="D5438" s="673">
        <v>7811.0</v>
      </c>
      <c r="E5438" s="676" t="s">
        <v>256</v>
      </c>
      <c r="F5438" s="664">
        <v>1.0</v>
      </c>
      <c r="G5438" s="677">
        <v>130000.0</v>
      </c>
      <c r="H5438" s="74">
        <v>0.0</v>
      </c>
      <c r="I5438" s="74">
        <f t="shared" si="1"/>
        <v>130000</v>
      </c>
      <c r="J5438" s="74">
        <f>IF(E5438="SERVICE",I5438-(I5438*50%),Vlookup(E5438,DATABASE!C:Q,10,false)*F5438)</f>
        <v>10000</v>
      </c>
      <c r="K5438" s="74">
        <f>VLOOKUP(E5438,DATABASE!C:Q,7,false)</f>
        <v>0</v>
      </c>
      <c r="L5438" s="74">
        <v>0.0</v>
      </c>
      <c r="M5438" s="74">
        <f t="shared" si="2"/>
        <v>0</v>
      </c>
      <c r="N5438" s="74">
        <f t="shared" si="3"/>
        <v>120000</v>
      </c>
      <c r="O5438" s="65" t="str">
        <f>VLOOKUP(E5438,DATABASE!C:Q,8,false)</f>
        <v>IBU</v>
      </c>
      <c r="P5438" s="65">
        <f>VLOOKUP(E5438,DATABASE!C:Q,9,False)</f>
        <v>0</v>
      </c>
      <c r="Q5438" s="93" t="str">
        <f>VLOOKUP(E5438,DATABASE!C:Q,4,false)</f>
        <v>SPOORING</v>
      </c>
      <c r="R5438" s="93" t="str">
        <f>VLOOKUP(E5438,DATABASE!C:Q,11,false)</f>
        <v>SERVICE</v>
      </c>
    </row>
    <row r="5439" ht="22.5" customHeight="1">
      <c r="A5439" s="49"/>
      <c r="C5439" s="661">
        <v>45973.0</v>
      </c>
      <c r="D5439" s="673">
        <v>7811.0</v>
      </c>
      <c r="E5439" s="676" t="s">
        <v>301</v>
      </c>
      <c r="F5439" s="664">
        <v>1.0</v>
      </c>
      <c r="G5439" s="677">
        <v>250000.0</v>
      </c>
      <c r="H5439" s="74">
        <v>0.0</v>
      </c>
      <c r="I5439" s="74">
        <f t="shared" si="1"/>
        <v>250000</v>
      </c>
      <c r="J5439" s="74">
        <f>IF(E5439="SERVICE",I5439-(I5439*50%),Vlookup(E5439,DATABASE!C:Q,10,false)*F5439)</f>
        <v>75000</v>
      </c>
      <c r="K5439" s="74">
        <f>VLOOKUP(E5439,DATABASE!C:Q,7,false)</f>
        <v>75000</v>
      </c>
      <c r="L5439" s="74">
        <v>75000.0</v>
      </c>
      <c r="M5439" s="74">
        <f t="shared" si="2"/>
        <v>75000</v>
      </c>
      <c r="N5439" s="74">
        <f t="shared" si="3"/>
        <v>100000</v>
      </c>
      <c r="O5439" s="65" t="str">
        <f>VLOOKUP(E5439,DATABASE!C:Q,8,false)</f>
        <v>BIAN</v>
      </c>
      <c r="P5439" s="65">
        <f>VLOOKUP(E5439,DATABASE!C:Q,9,False)</f>
        <v>0</v>
      </c>
      <c r="Q5439" s="93" t="str">
        <f>VLOOKUP(E5439,DATABASE!C:Q,4,false)</f>
        <v>Baut Camber</v>
      </c>
      <c r="R5439" s="93" t="str">
        <f>VLOOKUP(E5439,DATABASE!C:Q,11,false)</f>
        <v>COMPLEMENTARY</v>
      </c>
      <c r="U5439" s="9"/>
    </row>
    <row r="5440" ht="22.5" customHeight="1">
      <c r="A5440" s="49"/>
      <c r="C5440" s="661">
        <v>45973.0</v>
      </c>
      <c r="D5440" s="673" t="s">
        <v>0</v>
      </c>
      <c r="E5440" s="676" t="s">
        <v>263</v>
      </c>
      <c r="F5440" s="664">
        <v>1.0</v>
      </c>
      <c r="G5440" s="677">
        <v>320000.0</v>
      </c>
      <c r="H5440" s="74">
        <v>0.0</v>
      </c>
      <c r="I5440" s="74">
        <f t="shared" si="1"/>
        <v>320000</v>
      </c>
      <c r="J5440" s="74">
        <f>IF(E5440="SERVICE",I5440-(I5440*50%),Vlookup(E5440,DATABASE!C:Q,10,false)*F5440)</f>
        <v>0</v>
      </c>
      <c r="K5440" s="74">
        <f>VLOOKUP(E5440,DATABASE!C:Q,7,false)</f>
        <v>334916</v>
      </c>
      <c r="L5440" s="74">
        <v>287688.0</v>
      </c>
      <c r="M5440" s="74">
        <f t="shared" si="2"/>
        <v>290000</v>
      </c>
      <c r="N5440" s="74">
        <f t="shared" si="3"/>
        <v>30000</v>
      </c>
      <c r="O5440" s="65" t="str">
        <f>VLOOKUP(E5440,DATABASE!C:Q,8,false)</f>
        <v>NON</v>
      </c>
      <c r="P5440" s="65">
        <f>VLOOKUP(E5440,DATABASE!C:Q,9,False)</f>
        <v>0</v>
      </c>
      <c r="Q5440" s="93" t="str">
        <f>VLOOKUP(E5440,DATABASE!C:Q,4,false)</f>
        <v>Shell</v>
      </c>
      <c r="R5440" s="93" t="str">
        <f>VLOOKUP(E5440,DATABASE!C:Q,11,false)</f>
        <v>OIL</v>
      </c>
    </row>
    <row r="5441" ht="22.5" customHeight="1">
      <c r="A5441" s="49"/>
      <c r="C5441" s="666">
        <v>45973.0</v>
      </c>
      <c r="D5441" s="673" t="s">
        <v>0</v>
      </c>
      <c r="E5441" s="676" t="s">
        <v>252</v>
      </c>
      <c r="F5441" s="664">
        <v>1.0</v>
      </c>
      <c r="G5441" s="677">
        <v>300000.0</v>
      </c>
      <c r="H5441" s="74">
        <v>0.0</v>
      </c>
      <c r="I5441" s="74">
        <f t="shared" si="1"/>
        <v>300000</v>
      </c>
      <c r="J5441" s="74">
        <f>IF(E5441="SERVICE",I5441-(I5441*50%),Vlookup(E5441,DATABASE!C:Q,10,false)*F5441)</f>
        <v>0</v>
      </c>
      <c r="K5441" s="74">
        <f>VLOOKUP(E5441,DATABASE!C:Q,7,false)</f>
        <v>317518</v>
      </c>
      <c r="L5441" s="74">
        <v>271778.0</v>
      </c>
      <c r="M5441" s="74">
        <f t="shared" si="2"/>
        <v>275000</v>
      </c>
      <c r="N5441" s="74">
        <f t="shared" si="3"/>
        <v>25000</v>
      </c>
      <c r="O5441" s="65" t="str">
        <f>VLOOKUP(E5441,DATABASE!C:Q,8,false)</f>
        <v>NON</v>
      </c>
      <c r="P5441" s="65">
        <f>VLOOKUP(E5441,DATABASE!C:Q,9,False)</f>
        <v>0</v>
      </c>
      <c r="Q5441" s="93" t="str">
        <f>VLOOKUP(E5441,DATABASE!C:Q,4,false)</f>
        <v>Shell</v>
      </c>
      <c r="R5441" s="93" t="str">
        <f>VLOOKUP(E5441,DATABASE!C:Q,11,false)</f>
        <v>OIL</v>
      </c>
    </row>
    <row r="5442" ht="22.5" customHeight="1">
      <c r="A5442" s="49"/>
      <c r="C5442" s="666">
        <v>45974.0</v>
      </c>
      <c r="D5442" s="673">
        <v>7813.0</v>
      </c>
      <c r="E5442" s="676" t="s">
        <v>265</v>
      </c>
      <c r="F5442" s="664">
        <v>2.0</v>
      </c>
      <c r="G5442" s="677">
        <v>690000.0</v>
      </c>
      <c r="H5442" s="74">
        <v>0.0</v>
      </c>
      <c r="I5442" s="74">
        <f t="shared" si="1"/>
        <v>1380000</v>
      </c>
      <c r="J5442" s="74">
        <f>IF(E5442="SERVICE",I5442-(I5442*50%),Vlookup(E5442,DATABASE!C:Q,10,false)*F5442)</f>
        <v>0</v>
      </c>
      <c r="K5442" s="74">
        <f>VLOOKUP(E5442,DATABASE!C:Q,7,false)</f>
        <v>628000</v>
      </c>
      <c r="L5442" s="74">
        <v>610000.0</v>
      </c>
      <c r="M5442" s="74">
        <f t="shared" si="2"/>
        <v>610000</v>
      </c>
      <c r="N5442" s="74">
        <f t="shared" si="3"/>
        <v>160000</v>
      </c>
      <c r="O5442" s="65" t="str">
        <f>VLOOKUP(E5442,DATABASE!C:Q,8,false)</f>
        <v>IBU</v>
      </c>
      <c r="P5442" s="65">
        <f>VLOOKUP(E5442,DATABASE!C:Q,9,False)</f>
        <v>1</v>
      </c>
      <c r="Q5442" s="93" t="str">
        <f>VLOOKUP(E5442,DATABASE!C:Q,4,false)</f>
        <v>Dunlop</v>
      </c>
      <c r="R5442" s="93" t="str">
        <f>VLOOKUP(E5442,DATABASE!C:Q,11,false)</f>
        <v>Tire</v>
      </c>
      <c r="U5442" s="9"/>
    </row>
    <row r="5443" ht="22.5" customHeight="1">
      <c r="A5443" s="49"/>
      <c r="C5443" s="661">
        <v>45974.0</v>
      </c>
      <c r="D5443" s="673">
        <v>7814.0</v>
      </c>
      <c r="E5443" s="676" t="s">
        <v>287</v>
      </c>
      <c r="F5443" s="664">
        <v>1.0</v>
      </c>
      <c r="G5443" s="677">
        <v>780000.0</v>
      </c>
      <c r="H5443" s="74">
        <v>0.0</v>
      </c>
      <c r="I5443" s="74">
        <f t="shared" si="1"/>
        <v>780000</v>
      </c>
      <c r="J5443" s="74">
        <f>IF(E5443="SERVICE",I5443-(I5443*50%),Vlookup(E5443,DATABASE!C:Q,10,false)*F5443)</f>
        <v>0</v>
      </c>
      <c r="K5443" s="74">
        <f>VLOOKUP(E5443,DATABASE!C:Q,7,false)</f>
        <v>711000</v>
      </c>
      <c r="L5443" s="74">
        <v>690600.0</v>
      </c>
      <c r="M5443" s="74">
        <f t="shared" si="2"/>
        <v>695000</v>
      </c>
      <c r="N5443" s="74">
        <f t="shared" si="3"/>
        <v>85000</v>
      </c>
      <c r="O5443" s="65" t="str">
        <f>VLOOKUP(E5443,DATABASE!C:Q,8,false)</f>
        <v>BIAN</v>
      </c>
      <c r="P5443" s="65">
        <f>VLOOKUP(E5443,DATABASE!C:Q,9,False)</f>
        <v>1</v>
      </c>
      <c r="Q5443" s="93" t="str">
        <f>VLOOKUP(E5443,DATABASE!C:Q,4,false)</f>
        <v>GT</v>
      </c>
      <c r="R5443" s="93" t="str">
        <f>VLOOKUP(E5443,DATABASE!C:Q,11,false)</f>
        <v>Tire</v>
      </c>
      <c r="U5443" s="9">
        <v>780000.0</v>
      </c>
    </row>
    <row r="5444" ht="22.5" customHeight="1">
      <c r="A5444" s="49"/>
      <c r="C5444" s="666">
        <v>45974.0</v>
      </c>
      <c r="D5444" s="673">
        <v>7815.0</v>
      </c>
      <c r="E5444" s="676" t="s">
        <v>600</v>
      </c>
      <c r="F5444" s="664">
        <v>1.0</v>
      </c>
      <c r="G5444" s="677">
        <v>675000.0</v>
      </c>
      <c r="H5444" s="74">
        <v>0.0</v>
      </c>
      <c r="I5444" s="74">
        <f t="shared" si="1"/>
        <v>675000</v>
      </c>
      <c r="J5444" s="74">
        <f>IF(E5444="SERVICE",I5444-(I5444*50%),Vlookup(E5444,DATABASE!C:Q,10,false)*F5444)</f>
        <v>0</v>
      </c>
      <c r="K5444" s="74">
        <f>VLOOKUP(E5444,DATABASE!C:Q,7,false)</f>
        <v>611109.16</v>
      </c>
      <c r="L5444" s="74">
        <v>572762.4</v>
      </c>
      <c r="M5444" s="74">
        <f t="shared" si="2"/>
        <v>575000</v>
      </c>
      <c r="N5444" s="74">
        <f t="shared" si="3"/>
        <v>100000</v>
      </c>
      <c r="O5444" s="65" t="str">
        <f>VLOOKUP(E5444,DATABASE!C:Q,8,false)</f>
        <v>IBU</v>
      </c>
      <c r="P5444" s="65">
        <f>VLOOKUP(E5444,DATABASE!C:Q,9,False)</f>
        <v>1</v>
      </c>
      <c r="Q5444" s="93" t="str">
        <f>VLOOKUP(E5444,DATABASE!C:Q,4,false)</f>
        <v>Bridgestone</v>
      </c>
      <c r="R5444" s="93" t="str">
        <f>VLOOKUP(E5444,DATABASE!C:Q,11,false)</f>
        <v>Tire</v>
      </c>
      <c r="U5444" s="9"/>
    </row>
    <row r="5445" ht="22.5" customHeight="1">
      <c r="A5445" s="49"/>
      <c r="C5445" s="666">
        <v>45974.0</v>
      </c>
      <c r="D5445" s="673">
        <v>7816.0</v>
      </c>
      <c r="E5445" s="676" t="s">
        <v>1009</v>
      </c>
      <c r="F5445" s="664">
        <v>2.0</v>
      </c>
      <c r="G5445" s="677">
        <v>700000.0</v>
      </c>
      <c r="H5445" s="74">
        <v>0.0</v>
      </c>
      <c r="I5445" s="74">
        <f t="shared" si="1"/>
        <v>1400000</v>
      </c>
      <c r="J5445" s="74">
        <f>IF(E5445="SERVICE",I5445-(I5445*50%),Vlookup(E5445,DATABASE!C:Q,10,false)*F5445)</f>
        <v>0</v>
      </c>
      <c r="K5445" s="74">
        <f>VLOOKUP(E5445,DATABASE!C:Q,7,false)</f>
        <v>609800</v>
      </c>
      <c r="L5445" s="74">
        <v>592200.0</v>
      </c>
      <c r="M5445" s="74">
        <f t="shared" si="2"/>
        <v>595000</v>
      </c>
      <c r="N5445" s="74">
        <f t="shared" si="3"/>
        <v>210000</v>
      </c>
      <c r="O5445" s="65" t="str">
        <f>VLOOKUP(E5445,DATABASE!C:Q,8,false)</f>
        <v>BIAN</v>
      </c>
      <c r="P5445" s="65">
        <f>VLOOKUP(E5445,DATABASE!C:Q,9,False)</f>
        <v>1</v>
      </c>
      <c r="Q5445" s="93" t="str">
        <f>VLOOKUP(E5445,DATABASE!C:Q,4,false)</f>
        <v>GT</v>
      </c>
      <c r="R5445" s="93" t="str">
        <f>VLOOKUP(E5445,DATABASE!C:Q,11,false)</f>
        <v>Tire</v>
      </c>
    </row>
    <row r="5446" ht="22.5" customHeight="1">
      <c r="A5446" s="49"/>
      <c r="C5446" s="661">
        <v>45974.0</v>
      </c>
      <c r="D5446" s="673">
        <v>7817.0</v>
      </c>
      <c r="E5446" s="676" t="s">
        <v>294</v>
      </c>
      <c r="F5446" s="664">
        <v>1.0</v>
      </c>
      <c r="G5446" s="677">
        <v>570000.0</v>
      </c>
      <c r="H5446" s="74">
        <v>0.0</v>
      </c>
      <c r="I5446" s="74">
        <f t="shared" si="1"/>
        <v>570000</v>
      </c>
      <c r="J5446" s="74">
        <f>IF(E5446="SERVICE",I5446-(I5446*50%),Vlookup(E5446,DATABASE!C:Q,10,false)*F5446)</f>
        <v>0</v>
      </c>
      <c r="K5446" s="74">
        <f>VLOOKUP(E5446,DATABASE!C:Q,7,false)</f>
        <v>505000</v>
      </c>
      <c r="L5446" s="74">
        <v>490000.0</v>
      </c>
      <c r="M5446" s="74">
        <f t="shared" si="2"/>
        <v>490000</v>
      </c>
      <c r="N5446" s="74">
        <f t="shared" si="3"/>
        <v>80000</v>
      </c>
      <c r="O5446" s="65" t="str">
        <f>VLOOKUP(E5446,DATABASE!C:Q,8,false)</f>
        <v>BIAN</v>
      </c>
      <c r="P5446" s="65">
        <f>VLOOKUP(E5446,DATABASE!C:Q,9,False)</f>
        <v>1</v>
      </c>
      <c r="Q5446" s="93" t="str">
        <f>VLOOKUP(E5446,DATABASE!C:Q,4,false)</f>
        <v>GT</v>
      </c>
      <c r="R5446" s="93" t="str">
        <f>VLOOKUP(E5446,DATABASE!C:Q,11,false)</f>
        <v>Tire</v>
      </c>
      <c r="U5446" s="9">
        <v>1400000.0</v>
      </c>
    </row>
    <row r="5447" ht="22.5" customHeight="1">
      <c r="A5447" s="49"/>
      <c r="C5447" s="666">
        <v>45974.0</v>
      </c>
      <c r="D5447" s="673">
        <v>7818.0</v>
      </c>
      <c r="E5447" s="676" t="s">
        <v>282</v>
      </c>
      <c r="F5447" s="664">
        <v>1.0</v>
      </c>
      <c r="G5447" s="677">
        <v>865000.0</v>
      </c>
      <c r="H5447" s="74">
        <v>0.0</v>
      </c>
      <c r="I5447" s="74">
        <f t="shared" si="1"/>
        <v>865000</v>
      </c>
      <c r="J5447" s="74">
        <f>IF(E5447="SERVICE",I5447-(I5447*50%),Vlookup(E5447,DATABASE!C:Q,10,false)*F5447)</f>
        <v>0</v>
      </c>
      <c r="K5447" s="74">
        <f>VLOOKUP(E5447,DATABASE!C:Q,7,false)</f>
        <v>779500</v>
      </c>
      <c r="L5447" s="74">
        <v>771000.0</v>
      </c>
      <c r="M5447" s="74">
        <f t="shared" si="2"/>
        <v>775000</v>
      </c>
      <c r="N5447" s="74">
        <f t="shared" si="3"/>
        <v>90000</v>
      </c>
      <c r="O5447" s="65" t="str">
        <f>VLOOKUP(E5447,DATABASE!C:Q,8,false)</f>
        <v>IBU</v>
      </c>
      <c r="P5447" s="65">
        <f>VLOOKUP(E5447,DATABASE!C:Q,9,False)</f>
        <v>1</v>
      </c>
      <c r="Q5447" s="93" t="str">
        <f>VLOOKUP(E5447,DATABASE!C:Q,4,false)</f>
        <v>Dunlop</v>
      </c>
      <c r="R5447" s="93" t="str">
        <f>VLOOKUP(E5447,DATABASE!C:Q,11,false)</f>
        <v>Tire</v>
      </c>
      <c r="U5447" s="9">
        <v>570000.0</v>
      </c>
    </row>
    <row r="5448" ht="22.5" customHeight="1">
      <c r="A5448" s="49"/>
      <c r="C5448" s="661">
        <v>45974.0</v>
      </c>
      <c r="D5448" s="673">
        <v>7818.0</v>
      </c>
      <c r="E5448" s="676" t="s">
        <v>604</v>
      </c>
      <c r="F5448" s="664">
        <v>2.0</v>
      </c>
      <c r="G5448" s="677">
        <v>160000.0</v>
      </c>
      <c r="H5448" s="74">
        <v>0.0</v>
      </c>
      <c r="I5448" s="74">
        <f t="shared" si="1"/>
        <v>320000</v>
      </c>
      <c r="J5448" s="74">
        <f>IF(E5448="SERVICE",I5448-(I5448*50%),Vlookup(E5448,DATABASE!C:Q,10,false)*F5448)</f>
        <v>0</v>
      </c>
      <c r="K5448" s="74">
        <f>VLOOKUP(E5448,DATABASE!C:Q,7,false)</f>
        <v>124000</v>
      </c>
      <c r="L5448" s="74">
        <v>124000.0</v>
      </c>
      <c r="M5448" s="74">
        <f t="shared" si="2"/>
        <v>125000</v>
      </c>
      <c r="N5448" s="74">
        <f t="shared" si="3"/>
        <v>70000</v>
      </c>
      <c r="O5448" s="65" t="str">
        <f>VLOOKUP(E5448,DATABASE!C:Q,8,false)</f>
        <v>BIAN</v>
      </c>
      <c r="P5448" s="65">
        <f>VLOOKUP(E5448,DATABASE!C:Q,9,False)</f>
        <v>1</v>
      </c>
      <c r="Q5448" s="93" t="str">
        <f>VLOOKUP(E5448,DATABASE!C:Q,4,false)</f>
        <v>BD</v>
      </c>
      <c r="R5448" s="93" t="str">
        <f>VLOOKUP(E5448,DATABASE!C:Q,11,false)</f>
        <v>Tire</v>
      </c>
      <c r="U5448" s="9"/>
    </row>
    <row r="5449" ht="22.5" customHeight="1">
      <c r="A5449" s="49"/>
      <c r="C5449" s="666">
        <v>45974.0</v>
      </c>
      <c r="D5449" s="673">
        <v>7818.0</v>
      </c>
      <c r="E5449" s="676" t="s">
        <v>2199</v>
      </c>
      <c r="F5449" s="664">
        <v>1.0</v>
      </c>
      <c r="G5449" s="677">
        <v>15000.0</v>
      </c>
      <c r="H5449" s="74">
        <v>0.0</v>
      </c>
      <c r="I5449" s="74">
        <f t="shared" si="1"/>
        <v>15000</v>
      </c>
      <c r="J5449" s="74">
        <f>IF(E5449="SERVICE",I5449-(I5449*50%),Vlookup(E5449,DATABASE!C:Q,10,false)*F5449)</f>
        <v>0</v>
      </c>
      <c r="K5449" s="74">
        <f>VLOOKUP(E5449,DATABASE!C:Q,7,false)</f>
        <v>5000</v>
      </c>
      <c r="L5449" s="74">
        <v>0.0</v>
      </c>
      <c r="M5449" s="74">
        <f t="shared" si="2"/>
        <v>0</v>
      </c>
      <c r="N5449" s="74">
        <f t="shared" si="3"/>
        <v>15000</v>
      </c>
      <c r="O5449" s="65" t="str">
        <f>VLOOKUP(E5449,DATABASE!C:Q,8,false)</f>
        <v>BIAN</v>
      </c>
      <c r="P5449" s="65">
        <f>VLOOKUP(E5449,DATABASE!C:Q,9,False)</f>
        <v>0</v>
      </c>
      <c r="Q5449" s="93" t="str">
        <f>VLOOKUP(E5449,DATABASE!C:Q,4,false)</f>
        <v>TAMBAL TUBLES</v>
      </c>
      <c r="R5449" s="93" t="str">
        <f>VLOOKUP(E5449,DATABASE!C:Q,11,false)</f>
        <v>COMPLEMENTARY</v>
      </c>
      <c r="U5449" s="9">
        <v>320000.0</v>
      </c>
    </row>
    <row r="5450" ht="22.5" customHeight="1">
      <c r="A5450" s="49"/>
      <c r="C5450" s="666">
        <v>45974.0</v>
      </c>
      <c r="D5450" s="673">
        <v>7819.0</v>
      </c>
      <c r="E5450" s="676" t="s">
        <v>271</v>
      </c>
      <c r="F5450" s="664">
        <v>4.0</v>
      </c>
      <c r="G5450" s="677">
        <v>630000.0</v>
      </c>
      <c r="H5450" s="74">
        <v>0.0</v>
      </c>
      <c r="I5450" s="74">
        <f t="shared" si="1"/>
        <v>2520000</v>
      </c>
      <c r="J5450" s="74">
        <f>IF(E5450="SERVICE",I5450-(I5450*50%),Vlookup(E5450,DATABASE!C:Q,10,false)*F5450)</f>
        <v>0</v>
      </c>
      <c r="K5450" s="74">
        <f>VLOOKUP(E5450,DATABASE!C:Q,7,false)</f>
        <v>570000</v>
      </c>
      <c r="L5450" s="74">
        <v>539000.0</v>
      </c>
      <c r="M5450" s="74">
        <f t="shared" si="2"/>
        <v>540000</v>
      </c>
      <c r="N5450" s="74">
        <f t="shared" si="3"/>
        <v>360000</v>
      </c>
      <c r="O5450" s="65" t="str">
        <f>VLOOKUP(E5450,DATABASE!C:Q,8,false)</f>
        <v>IBU</v>
      </c>
      <c r="P5450" s="65">
        <f>VLOOKUP(E5450,DATABASE!C:Q,9,False)</f>
        <v>1</v>
      </c>
      <c r="Q5450" s="93" t="str">
        <f>VLOOKUP(E5450,DATABASE!C:Q,4,false)</f>
        <v>Dunlop</v>
      </c>
      <c r="R5450" s="93" t="str">
        <f>VLOOKUP(E5450,DATABASE!C:Q,11,false)</f>
        <v>Tire</v>
      </c>
    </row>
    <row r="5451" ht="22.5" customHeight="1">
      <c r="A5451" s="49"/>
      <c r="C5451" s="661">
        <v>45974.0</v>
      </c>
      <c r="D5451" s="673">
        <v>7819.0</v>
      </c>
      <c r="E5451" s="671" t="s">
        <v>299</v>
      </c>
      <c r="F5451" s="664">
        <v>2.0</v>
      </c>
      <c r="G5451" s="677">
        <v>30000.0</v>
      </c>
      <c r="H5451" s="74">
        <v>0.0</v>
      </c>
      <c r="I5451" s="74">
        <f t="shared" si="1"/>
        <v>60000</v>
      </c>
      <c r="J5451" s="74">
        <f>IF(E5451="SERVICE",I5451-(I5451*50%),Vlookup(E5451,DATABASE!C:Q,10,false)*F5451)</f>
        <v>0</v>
      </c>
      <c r="K5451" s="74">
        <f>VLOOKUP(E5451,DATABASE!C:Q,7,false)</f>
        <v>10000</v>
      </c>
      <c r="L5451" s="74">
        <v>5000.0</v>
      </c>
      <c r="M5451" s="74">
        <f t="shared" si="2"/>
        <v>5000</v>
      </c>
      <c r="N5451" s="74">
        <f t="shared" si="3"/>
        <v>50000</v>
      </c>
      <c r="O5451" s="65" t="str">
        <f>VLOOKUP(E5451,DATABASE!C:Q,8,false)</f>
        <v>BIAN</v>
      </c>
      <c r="P5451" s="65">
        <f>VLOOKUP(E5451,DATABASE!C:Q,9,False)</f>
        <v>0</v>
      </c>
      <c r="Q5451" s="93" t="str">
        <f>VLOOKUP(E5451,DATABASE!C:Q,4,false)</f>
        <v>Balancing</v>
      </c>
      <c r="R5451" s="93" t="str">
        <f>VLOOKUP(E5451,DATABASE!C:Q,11,false)</f>
        <v>COMPLEMENTARY</v>
      </c>
    </row>
    <row r="5452" ht="22.5" customHeight="1">
      <c r="A5452" s="49"/>
      <c r="C5452" s="666">
        <v>45974.0</v>
      </c>
      <c r="D5452" s="673">
        <v>7819.0</v>
      </c>
      <c r="E5452" s="676" t="s">
        <v>256</v>
      </c>
      <c r="F5452" s="664">
        <v>1.0</v>
      </c>
      <c r="G5452" s="677">
        <v>130000.0</v>
      </c>
      <c r="H5452" s="74">
        <v>0.0</v>
      </c>
      <c r="I5452" s="74">
        <f t="shared" si="1"/>
        <v>130000</v>
      </c>
      <c r="J5452" s="74">
        <f>IF(E5452="SERVICE",I5452-(I5452*50%),Vlookup(E5452,DATABASE!C:Q,10,false)*F5452)</f>
        <v>10000</v>
      </c>
      <c r="K5452" s="74">
        <f>VLOOKUP(E5452,DATABASE!C:Q,7,false)</f>
        <v>0</v>
      </c>
      <c r="L5452" s="74">
        <v>0.0</v>
      </c>
      <c r="M5452" s="74">
        <f t="shared" si="2"/>
        <v>0</v>
      </c>
      <c r="N5452" s="74">
        <f t="shared" si="3"/>
        <v>120000</v>
      </c>
      <c r="O5452" s="65" t="str">
        <f>VLOOKUP(E5452,DATABASE!C:Q,8,false)</f>
        <v>IBU</v>
      </c>
      <c r="P5452" s="65">
        <f>VLOOKUP(E5452,DATABASE!C:Q,9,False)</f>
        <v>0</v>
      </c>
      <c r="Q5452" s="93" t="str">
        <f>VLOOKUP(E5452,DATABASE!C:Q,4,false)</f>
        <v>SPOORING</v>
      </c>
      <c r="R5452" s="93" t="str">
        <f>VLOOKUP(E5452,DATABASE!C:Q,11,false)</f>
        <v>SERVICE</v>
      </c>
      <c r="U5452" s="9"/>
    </row>
    <row r="5453" ht="22.5" customHeight="1">
      <c r="A5453" s="49"/>
      <c r="C5453" s="661">
        <v>45974.0</v>
      </c>
      <c r="D5453" s="673">
        <v>7819.0</v>
      </c>
      <c r="E5453" s="676" t="s">
        <v>251</v>
      </c>
      <c r="F5453" s="664">
        <v>1.0</v>
      </c>
      <c r="G5453" s="677">
        <v>150000.0</v>
      </c>
      <c r="H5453" s="74">
        <v>0.0</v>
      </c>
      <c r="I5453" s="74">
        <f t="shared" si="1"/>
        <v>150000</v>
      </c>
      <c r="J5453" s="74">
        <f>IF(E5453="SERVICE",I5453-(I5453*50%),Vlookup(E5453,DATABASE!C:Q,10,false)*F5453)</f>
        <v>75000</v>
      </c>
      <c r="K5453" s="74">
        <f>VLOOKUP(E5453,DATABASE!C:Q,7,false)</f>
        <v>0</v>
      </c>
      <c r="L5453" s="74">
        <v>0.0</v>
      </c>
      <c r="M5453" s="74">
        <f t="shared" si="2"/>
        <v>0</v>
      </c>
      <c r="N5453" s="74">
        <f t="shared" si="3"/>
        <v>75000</v>
      </c>
      <c r="O5453" s="65" t="str">
        <f>VLOOKUP(E5453,DATABASE!C:Q,8,false)</f>
        <v>IBU</v>
      </c>
      <c r="P5453" s="65">
        <f>VLOOKUP(E5453,DATABASE!C:Q,9,False)</f>
        <v>0</v>
      </c>
      <c r="Q5453" s="93" t="str">
        <f>VLOOKUP(E5453,DATABASE!C:Q,4,false)</f>
        <v>SERVICE</v>
      </c>
      <c r="R5453" s="93" t="str">
        <f>VLOOKUP(E5453,DATABASE!C:Q,11,false)</f>
        <v>SERVICE</v>
      </c>
    </row>
    <row r="5454" ht="22.5" customHeight="1">
      <c r="A5454" s="49"/>
      <c r="C5454" s="666">
        <v>45974.0</v>
      </c>
      <c r="D5454" s="673">
        <v>7820.0</v>
      </c>
      <c r="E5454" s="676" t="s">
        <v>1389</v>
      </c>
      <c r="F5454" s="664">
        <v>3.0</v>
      </c>
      <c r="G5454" s="677">
        <v>1000000.0</v>
      </c>
      <c r="H5454" s="74">
        <v>0.0</v>
      </c>
      <c r="I5454" s="74">
        <f t="shared" si="1"/>
        <v>3000000</v>
      </c>
      <c r="J5454" s="74">
        <f>IF(E5454="SERVICE",I5454-(I5454*50%),Vlookup(E5454,DATABASE!C:Q,10,false)*F5454)</f>
        <v>0</v>
      </c>
      <c r="K5454" s="74">
        <f>VLOOKUP(E5454,DATABASE!C:Q,7,false)</f>
        <v>908000</v>
      </c>
      <c r="L5454" s="74">
        <v>897000.0</v>
      </c>
      <c r="M5454" s="74">
        <f t="shared" si="2"/>
        <v>900000</v>
      </c>
      <c r="N5454" s="74">
        <f t="shared" si="3"/>
        <v>300000</v>
      </c>
      <c r="O5454" s="65" t="str">
        <f>VLOOKUP(E5454,DATABASE!C:Q,8,false)</f>
        <v>IBU</v>
      </c>
      <c r="P5454" s="65">
        <f>VLOOKUP(E5454,DATABASE!C:Q,9,False)</f>
        <v>1</v>
      </c>
      <c r="Q5454" s="93" t="str">
        <f>VLOOKUP(E5454,DATABASE!C:Q,4,false)</f>
        <v>Dunlop</v>
      </c>
      <c r="R5454" s="93" t="str">
        <f>VLOOKUP(E5454,DATABASE!C:Q,11,false)</f>
        <v>Tire</v>
      </c>
    </row>
    <row r="5455" ht="22.5" customHeight="1">
      <c r="A5455" s="49"/>
      <c r="C5455" s="661">
        <v>45974.0</v>
      </c>
      <c r="D5455" s="673">
        <v>7821.0</v>
      </c>
      <c r="E5455" s="676" t="s">
        <v>256</v>
      </c>
      <c r="F5455" s="664">
        <v>1.0</v>
      </c>
      <c r="G5455" s="677">
        <v>130000.0</v>
      </c>
      <c r="H5455" s="74">
        <v>0.0</v>
      </c>
      <c r="I5455" s="74">
        <f t="shared" si="1"/>
        <v>130000</v>
      </c>
      <c r="J5455" s="74">
        <f>IF(E5455="SERVICE",I5455-(I5455*50%),Vlookup(E5455,DATABASE!C:Q,10,false)*F5455)</f>
        <v>10000</v>
      </c>
      <c r="K5455" s="74">
        <f>VLOOKUP(E5455,DATABASE!C:Q,7,false)</f>
        <v>0</v>
      </c>
      <c r="L5455" s="74">
        <v>0.0</v>
      </c>
      <c r="M5455" s="74">
        <f t="shared" si="2"/>
        <v>0</v>
      </c>
      <c r="N5455" s="74">
        <f t="shared" si="3"/>
        <v>120000</v>
      </c>
      <c r="O5455" s="65" t="str">
        <f>VLOOKUP(E5455,DATABASE!C:Q,8,false)</f>
        <v>IBU</v>
      </c>
      <c r="P5455" s="65">
        <f>VLOOKUP(E5455,DATABASE!C:Q,9,False)</f>
        <v>0</v>
      </c>
      <c r="Q5455" s="93" t="str">
        <f>VLOOKUP(E5455,DATABASE!C:Q,4,false)</f>
        <v>SPOORING</v>
      </c>
      <c r="R5455" s="93" t="str">
        <f>VLOOKUP(E5455,DATABASE!C:Q,11,false)</f>
        <v>SERVICE</v>
      </c>
    </row>
    <row r="5456" ht="22.5" customHeight="1">
      <c r="A5456" s="49"/>
      <c r="C5456" s="666">
        <v>45974.0</v>
      </c>
      <c r="D5456" s="673">
        <v>7821.0</v>
      </c>
      <c r="E5456" s="676" t="s">
        <v>301</v>
      </c>
      <c r="F5456" s="664">
        <v>1.0</v>
      </c>
      <c r="G5456" s="677">
        <v>250000.0</v>
      </c>
      <c r="H5456" s="74">
        <v>0.0</v>
      </c>
      <c r="I5456" s="74">
        <f t="shared" si="1"/>
        <v>250000</v>
      </c>
      <c r="J5456" s="74">
        <f>IF(E5456="SERVICE",I5456-(I5456*50%),Vlookup(E5456,DATABASE!C:Q,10,false)*F5456)</f>
        <v>75000</v>
      </c>
      <c r="K5456" s="74">
        <f>VLOOKUP(E5456,DATABASE!C:Q,7,false)</f>
        <v>75000</v>
      </c>
      <c r="L5456" s="74">
        <v>75000.0</v>
      </c>
      <c r="M5456" s="74">
        <f t="shared" si="2"/>
        <v>75000</v>
      </c>
      <c r="N5456" s="74">
        <f t="shared" si="3"/>
        <v>100000</v>
      </c>
      <c r="O5456" s="65" t="str">
        <f>VLOOKUP(E5456,DATABASE!C:Q,8,false)</f>
        <v>BIAN</v>
      </c>
      <c r="P5456" s="65">
        <f>VLOOKUP(E5456,DATABASE!C:Q,9,False)</f>
        <v>0</v>
      </c>
      <c r="Q5456" s="93" t="str">
        <f>VLOOKUP(E5456,DATABASE!C:Q,4,false)</f>
        <v>Baut Camber</v>
      </c>
      <c r="R5456" s="93" t="str">
        <f>VLOOKUP(E5456,DATABASE!C:Q,11,false)</f>
        <v>COMPLEMENTARY</v>
      </c>
      <c r="U5456" s="9"/>
    </row>
    <row r="5457" ht="22.5" customHeight="1">
      <c r="A5457" s="49"/>
      <c r="C5457" s="661">
        <v>45974.0</v>
      </c>
      <c r="D5457" s="673">
        <v>7822.0</v>
      </c>
      <c r="E5457" s="676" t="s">
        <v>255</v>
      </c>
      <c r="F5457" s="664">
        <v>1.0</v>
      </c>
      <c r="G5457" s="677">
        <v>200000.0</v>
      </c>
      <c r="H5457" s="74">
        <v>0.0</v>
      </c>
      <c r="I5457" s="74">
        <f t="shared" si="1"/>
        <v>200000</v>
      </c>
      <c r="J5457" s="74">
        <f>IF(E5457="SERVICE",I5457-(I5457*50%),Vlookup(E5457,DATABASE!C:Q,10,false)*F5457)</f>
        <v>0</v>
      </c>
      <c r="K5457" s="74">
        <f>VLOOKUP(E5457,DATABASE!C:Q,7,false)</f>
        <v>161840</v>
      </c>
      <c r="L5457" s="74">
        <v>161840.0</v>
      </c>
      <c r="M5457" s="74">
        <f t="shared" si="2"/>
        <v>165000</v>
      </c>
      <c r="N5457" s="74">
        <f t="shared" si="3"/>
        <v>35000</v>
      </c>
      <c r="O5457" s="65" t="str">
        <f>VLOOKUP(E5457,DATABASE!C:Q,8,false)</f>
        <v>BIAN</v>
      </c>
      <c r="P5457" s="65">
        <f>VLOOKUP(E5457,DATABASE!C:Q,9,False)</f>
        <v>1</v>
      </c>
      <c r="Q5457" s="93" t="str">
        <f>VLOOKUP(E5457,DATABASE!C:Q,4,false)</f>
        <v>BD</v>
      </c>
      <c r="R5457" s="93" t="str">
        <f>VLOOKUP(E5457,DATABASE!C:Q,11,false)</f>
        <v>Tire</v>
      </c>
    </row>
    <row r="5458" ht="22.5" customHeight="1">
      <c r="A5458" s="49"/>
      <c r="C5458" s="666">
        <v>45974.0</v>
      </c>
      <c r="D5458" s="673">
        <v>7823.0</v>
      </c>
      <c r="E5458" s="676" t="s">
        <v>643</v>
      </c>
      <c r="F5458" s="664">
        <v>1.0</v>
      </c>
      <c r="G5458" s="677">
        <v>150000.0</v>
      </c>
      <c r="H5458" s="74">
        <v>0.0</v>
      </c>
      <c r="I5458" s="74">
        <f t="shared" si="1"/>
        <v>150000</v>
      </c>
      <c r="J5458" s="74">
        <f>IF(E5458="SERVICE",I5458-(I5458*50%),Vlookup(E5458,DATABASE!C:Q,10,false)*F5458)</f>
        <v>0</v>
      </c>
      <c r="K5458" s="74">
        <f>VLOOKUP(E5458,DATABASE!C:Q,7,false)</f>
        <v>111800</v>
      </c>
      <c r="L5458" s="74">
        <v>111800.0</v>
      </c>
      <c r="M5458" s="74">
        <f t="shared" si="2"/>
        <v>115000</v>
      </c>
      <c r="N5458" s="74">
        <f t="shared" si="3"/>
        <v>35000</v>
      </c>
      <c r="O5458" s="65" t="str">
        <f>VLOOKUP(E5458,DATABASE!C:Q,8,false)</f>
        <v>BIAN</v>
      </c>
      <c r="P5458" s="65">
        <f>VLOOKUP(E5458,DATABASE!C:Q,9,False)</f>
        <v>1</v>
      </c>
      <c r="Q5458" s="93" t="str">
        <f>VLOOKUP(E5458,DATABASE!C:Q,4,false)</f>
        <v>BD</v>
      </c>
      <c r="R5458" s="93" t="str">
        <f>VLOOKUP(E5458,DATABASE!C:Q,11,false)</f>
        <v>Tire</v>
      </c>
    </row>
    <row r="5459" ht="22.5" customHeight="1">
      <c r="A5459" s="49"/>
      <c r="C5459" s="661">
        <v>45974.0</v>
      </c>
      <c r="D5459" s="673">
        <v>7824.0</v>
      </c>
      <c r="E5459" s="676" t="s">
        <v>1009</v>
      </c>
      <c r="F5459" s="664">
        <v>1.0</v>
      </c>
      <c r="G5459" s="677">
        <v>700000.0</v>
      </c>
      <c r="H5459" s="74">
        <v>0.0</v>
      </c>
      <c r="I5459" s="74">
        <f t="shared" si="1"/>
        <v>700000</v>
      </c>
      <c r="J5459" s="74">
        <f>IF(E5459="SERVICE",I5459-(I5459*50%),Vlookup(E5459,DATABASE!C:Q,10,false)*F5459)</f>
        <v>0</v>
      </c>
      <c r="K5459" s="74">
        <f>VLOOKUP(E5459,DATABASE!C:Q,7,false)</f>
        <v>609800</v>
      </c>
      <c r="L5459" s="74">
        <v>592200.0</v>
      </c>
      <c r="M5459" s="74">
        <f t="shared" si="2"/>
        <v>595000</v>
      </c>
      <c r="N5459" s="74">
        <f t="shared" si="3"/>
        <v>105000</v>
      </c>
      <c r="O5459" s="65" t="str">
        <f>VLOOKUP(E5459,DATABASE!C:Q,8,false)</f>
        <v>BIAN</v>
      </c>
      <c r="P5459" s="65">
        <f>VLOOKUP(E5459,DATABASE!C:Q,9,False)</f>
        <v>1</v>
      </c>
      <c r="Q5459" s="93" t="str">
        <f>VLOOKUP(E5459,DATABASE!C:Q,4,false)</f>
        <v>GT</v>
      </c>
      <c r="R5459" s="93" t="str">
        <f>VLOOKUP(E5459,DATABASE!C:Q,11,false)</f>
        <v>Tire</v>
      </c>
      <c r="U5459" s="9">
        <v>200000.0</v>
      </c>
    </row>
    <row r="5460" ht="22.5" customHeight="1">
      <c r="A5460" s="49"/>
      <c r="C5460" s="666">
        <v>45974.0</v>
      </c>
      <c r="D5460" s="673">
        <v>7824.0</v>
      </c>
      <c r="E5460" s="676" t="s">
        <v>2199</v>
      </c>
      <c r="F5460" s="664">
        <v>1.0</v>
      </c>
      <c r="G5460" s="677">
        <v>15000.0</v>
      </c>
      <c r="H5460" s="74">
        <v>0.0</v>
      </c>
      <c r="I5460" s="74">
        <f t="shared" si="1"/>
        <v>15000</v>
      </c>
      <c r="J5460" s="74">
        <f>IF(E5460="SERVICE",I5460-(I5460*50%),Vlookup(E5460,DATABASE!C:Q,10,false)*F5460)</f>
        <v>0</v>
      </c>
      <c r="K5460" s="74">
        <f>VLOOKUP(E5460,DATABASE!C:Q,7,false)</f>
        <v>5000</v>
      </c>
      <c r="L5460" s="74">
        <v>0.0</v>
      </c>
      <c r="M5460" s="74">
        <f t="shared" si="2"/>
        <v>0</v>
      </c>
      <c r="N5460" s="74">
        <f t="shared" si="3"/>
        <v>15000</v>
      </c>
      <c r="O5460" s="65" t="str">
        <f>VLOOKUP(E5460,DATABASE!C:Q,8,false)</f>
        <v>BIAN</v>
      </c>
      <c r="P5460" s="65">
        <f>VLOOKUP(E5460,DATABASE!C:Q,9,False)</f>
        <v>0</v>
      </c>
      <c r="Q5460" s="93" t="str">
        <f>VLOOKUP(E5460,DATABASE!C:Q,4,false)</f>
        <v>TAMBAL TUBLES</v>
      </c>
      <c r="R5460" s="93" t="str">
        <f>VLOOKUP(E5460,DATABASE!C:Q,11,false)</f>
        <v>COMPLEMENTARY</v>
      </c>
      <c r="U5460" s="9">
        <v>150000.0</v>
      </c>
    </row>
    <row r="5461" ht="22.5" customHeight="1">
      <c r="A5461" s="49"/>
      <c r="C5461" s="661">
        <v>45974.0</v>
      </c>
      <c r="D5461" s="673" t="s">
        <v>0</v>
      </c>
      <c r="E5461" s="676" t="s">
        <v>2174</v>
      </c>
      <c r="F5461" s="664">
        <v>1.0</v>
      </c>
      <c r="G5461" s="677">
        <v>215000.0</v>
      </c>
      <c r="H5461" s="74">
        <v>0.0</v>
      </c>
      <c r="I5461" s="74">
        <f t="shared" si="1"/>
        <v>215000</v>
      </c>
      <c r="J5461" s="74">
        <f>IF(E5461="SERVICE",I5461-(I5461*50%),Vlookup(E5461,DATABASE!C:Q,10,false)*F5461)</f>
        <v>0</v>
      </c>
      <c r="K5461" s="74">
        <f>VLOOKUP(E5461,DATABASE!C:Q,7,false)</f>
        <v>225314</v>
      </c>
      <c r="L5461" s="74">
        <v>179445.0</v>
      </c>
      <c r="M5461" s="74">
        <f t="shared" si="2"/>
        <v>180000</v>
      </c>
      <c r="N5461" s="74">
        <f t="shared" si="3"/>
        <v>35000</v>
      </c>
      <c r="O5461" s="65" t="str">
        <f>VLOOKUP(E5461,DATABASE!C:Q,8,false)</f>
        <v>NON</v>
      </c>
      <c r="P5461" s="65">
        <f>VLOOKUP(E5461,DATABASE!C:Q,9,False)</f>
        <v>0</v>
      </c>
      <c r="Q5461" s="93" t="str">
        <f>VLOOKUP(E5461,DATABASE!C:Q,4,false)</f>
        <v>Shell</v>
      </c>
      <c r="R5461" s="93" t="str">
        <f>VLOOKUP(E5461,DATABASE!C:Q,11,false)</f>
        <v>OIL</v>
      </c>
      <c r="U5461" s="9">
        <v>700000.0</v>
      </c>
    </row>
    <row r="5462" ht="22.5" customHeight="1">
      <c r="A5462" s="49"/>
      <c r="C5462" s="661">
        <v>45974.0</v>
      </c>
      <c r="D5462" s="645"/>
      <c r="E5462" s="676" t="s">
        <v>263</v>
      </c>
      <c r="F5462" s="664">
        <v>1.0</v>
      </c>
      <c r="G5462" s="677">
        <v>320000.0</v>
      </c>
      <c r="H5462" s="74">
        <v>0.0</v>
      </c>
      <c r="I5462" s="74">
        <f t="shared" si="1"/>
        <v>320000</v>
      </c>
      <c r="J5462" s="74">
        <f>IF(E5462="SERVICE",I5462-(I5462*50%),Vlookup(E5462,DATABASE!C:Q,10,false)*F5462)</f>
        <v>0</v>
      </c>
      <c r="K5462" s="74">
        <f>VLOOKUP(E5462,DATABASE!C:Q,7,false)</f>
        <v>334916</v>
      </c>
      <c r="L5462" s="74">
        <v>287688.0</v>
      </c>
      <c r="M5462" s="74">
        <f t="shared" si="2"/>
        <v>290000</v>
      </c>
      <c r="N5462" s="74">
        <f t="shared" si="3"/>
        <v>30000</v>
      </c>
      <c r="O5462" s="65" t="str">
        <f>VLOOKUP(E5462,DATABASE!C:Q,8,false)</f>
        <v>NON</v>
      </c>
      <c r="P5462" s="65">
        <f>VLOOKUP(E5462,DATABASE!C:Q,9,False)</f>
        <v>0</v>
      </c>
      <c r="Q5462" s="93" t="str">
        <f>VLOOKUP(E5462,DATABASE!C:Q,4,false)</f>
        <v>Shell</v>
      </c>
      <c r="R5462" s="93" t="str">
        <f>VLOOKUP(E5462,DATABASE!C:Q,11,false)</f>
        <v>OIL</v>
      </c>
    </row>
    <row r="5463" ht="22.5" customHeight="1">
      <c r="A5463" s="49"/>
      <c r="C5463" s="661">
        <v>45975.0</v>
      </c>
      <c r="D5463" s="673">
        <v>784.0</v>
      </c>
      <c r="E5463" s="676" t="s">
        <v>256</v>
      </c>
      <c r="F5463" s="664">
        <v>1.0</v>
      </c>
      <c r="G5463" s="677">
        <v>130000.0</v>
      </c>
      <c r="H5463" s="74">
        <v>0.0</v>
      </c>
      <c r="I5463" s="74">
        <f t="shared" si="1"/>
        <v>130000</v>
      </c>
      <c r="J5463" s="74">
        <f>IF(E5463="SERVICE",I5463-(I5463*50%),Vlookup(E5463,DATABASE!C:Q,10,false)*F5463)</f>
        <v>10000</v>
      </c>
      <c r="K5463" s="74">
        <f>VLOOKUP(E5463,DATABASE!C:Q,7,false)</f>
        <v>0</v>
      </c>
      <c r="L5463" s="74">
        <v>0.0</v>
      </c>
      <c r="M5463" s="74">
        <f t="shared" si="2"/>
        <v>0</v>
      </c>
      <c r="N5463" s="74">
        <f t="shared" si="3"/>
        <v>120000</v>
      </c>
      <c r="O5463" s="65" t="str">
        <f>VLOOKUP(E5463,DATABASE!C:Q,8,false)</f>
        <v>IBU</v>
      </c>
      <c r="P5463" s="65">
        <f>VLOOKUP(E5463,DATABASE!C:Q,9,False)</f>
        <v>0</v>
      </c>
      <c r="Q5463" s="93" t="str">
        <f>VLOOKUP(E5463,DATABASE!C:Q,4,false)</f>
        <v>SPOORING</v>
      </c>
      <c r="R5463" s="93" t="str">
        <f>VLOOKUP(E5463,DATABASE!C:Q,11,false)</f>
        <v>SERVICE</v>
      </c>
      <c r="U5463" s="9"/>
    </row>
    <row r="5464" ht="22.5" customHeight="1">
      <c r="A5464" s="49"/>
      <c r="C5464" s="661">
        <v>45975.0</v>
      </c>
      <c r="D5464" s="673">
        <v>7826.0</v>
      </c>
      <c r="E5464" s="676" t="s">
        <v>271</v>
      </c>
      <c r="F5464" s="664">
        <v>2.0</v>
      </c>
      <c r="G5464" s="677">
        <v>630000.0</v>
      </c>
      <c r="H5464" s="74">
        <v>0.0</v>
      </c>
      <c r="I5464" s="74">
        <f t="shared" si="1"/>
        <v>1260000</v>
      </c>
      <c r="J5464" s="74">
        <f>IF(E5464="SERVICE",I5464-(I5464*50%),Vlookup(E5464,DATABASE!C:Q,10,false)*F5464)</f>
        <v>0</v>
      </c>
      <c r="K5464" s="74">
        <f>VLOOKUP(E5464,DATABASE!C:Q,7,false)</f>
        <v>570000</v>
      </c>
      <c r="L5464" s="74">
        <v>539000.0</v>
      </c>
      <c r="M5464" s="74">
        <f t="shared" si="2"/>
        <v>540000</v>
      </c>
      <c r="N5464" s="74">
        <f t="shared" si="3"/>
        <v>180000</v>
      </c>
      <c r="O5464" s="65" t="str">
        <f>VLOOKUP(E5464,DATABASE!C:Q,8,false)</f>
        <v>IBU</v>
      </c>
      <c r="P5464" s="65">
        <f>VLOOKUP(E5464,DATABASE!C:Q,9,False)</f>
        <v>1</v>
      </c>
      <c r="Q5464" s="93" t="str">
        <f>VLOOKUP(E5464,DATABASE!C:Q,4,false)</f>
        <v>Dunlop</v>
      </c>
      <c r="R5464" s="93" t="str">
        <f>VLOOKUP(E5464,DATABASE!C:Q,11,false)</f>
        <v>Tire</v>
      </c>
    </row>
    <row r="5465" ht="22.5" customHeight="1">
      <c r="A5465" s="49"/>
      <c r="C5465" s="666">
        <v>45975.0</v>
      </c>
      <c r="D5465" s="673">
        <v>7831.0</v>
      </c>
      <c r="E5465" s="676" t="s">
        <v>246</v>
      </c>
      <c r="F5465" s="664">
        <v>8.0</v>
      </c>
      <c r="G5465" s="677">
        <v>30000.0</v>
      </c>
      <c r="H5465" s="74">
        <v>0.0</v>
      </c>
      <c r="I5465" s="74">
        <f t="shared" si="1"/>
        <v>240000</v>
      </c>
      <c r="J5465" s="74">
        <f>IF(E5465="SERVICE",I5465-(I5465*50%),Vlookup(E5465,DATABASE!C:Q,10,false)*F5465)</f>
        <v>0</v>
      </c>
      <c r="K5465" s="74">
        <f>VLOOKUP(E5465,DATABASE!C:Q,7,false)</f>
        <v>0</v>
      </c>
      <c r="L5465" s="74">
        <v>0.0</v>
      </c>
      <c r="M5465" s="74">
        <f t="shared" si="2"/>
        <v>0</v>
      </c>
      <c r="N5465" s="74">
        <f t="shared" si="3"/>
        <v>240000</v>
      </c>
      <c r="O5465" s="65" t="str">
        <f>VLOOKUP(E5465,DATABASE!C:Q,8,false)</f>
        <v>IBU</v>
      </c>
      <c r="P5465" s="65">
        <f>VLOOKUP(E5465,DATABASE!C:Q,9,False)</f>
        <v>0</v>
      </c>
      <c r="Q5465" s="93" t="str">
        <f>VLOOKUP(E5465,DATABASE!C:Q,4,false)</f>
        <v>Bongkar Pasang</v>
      </c>
      <c r="R5465" s="93" t="str">
        <f>VLOOKUP(E5465,DATABASE!C:Q,11,false)</f>
        <v>SERVICE</v>
      </c>
    </row>
    <row r="5466" ht="22.5" customHeight="1">
      <c r="A5466" s="49"/>
      <c r="C5466" s="661">
        <v>45975.0</v>
      </c>
      <c r="D5466" s="673">
        <v>7831.0</v>
      </c>
      <c r="E5466" s="671" t="s">
        <v>299</v>
      </c>
      <c r="F5466" s="664">
        <v>2.0</v>
      </c>
      <c r="G5466" s="677">
        <v>30000.0</v>
      </c>
      <c r="H5466" s="74">
        <v>0.0</v>
      </c>
      <c r="I5466" s="74">
        <f t="shared" si="1"/>
        <v>60000</v>
      </c>
      <c r="J5466" s="74">
        <f>IF(E5466="SERVICE",I5466-(I5466*50%),Vlookup(E5466,DATABASE!C:Q,10,false)*F5466)</f>
        <v>0</v>
      </c>
      <c r="K5466" s="74">
        <f>VLOOKUP(E5466,DATABASE!C:Q,7,false)</f>
        <v>10000</v>
      </c>
      <c r="L5466" s="74">
        <v>5000.0</v>
      </c>
      <c r="M5466" s="74">
        <f t="shared" si="2"/>
        <v>5000</v>
      </c>
      <c r="N5466" s="74">
        <f t="shared" si="3"/>
        <v>50000</v>
      </c>
      <c r="O5466" s="65" t="str">
        <f>VLOOKUP(E5466,DATABASE!C:Q,8,false)</f>
        <v>BIAN</v>
      </c>
      <c r="P5466" s="65">
        <f>VLOOKUP(E5466,DATABASE!C:Q,9,False)</f>
        <v>0</v>
      </c>
      <c r="Q5466" s="93" t="str">
        <f>VLOOKUP(E5466,DATABASE!C:Q,4,false)</f>
        <v>Balancing</v>
      </c>
      <c r="R5466" s="93" t="str">
        <f>VLOOKUP(E5466,DATABASE!C:Q,11,false)</f>
        <v>COMPLEMENTARY</v>
      </c>
    </row>
    <row r="5467" ht="22.5" customHeight="1">
      <c r="A5467" s="49"/>
      <c r="C5467" s="666">
        <v>45975.0</v>
      </c>
      <c r="D5467" s="673">
        <v>7832.0</v>
      </c>
      <c r="E5467" s="676" t="s">
        <v>256</v>
      </c>
      <c r="F5467" s="664">
        <v>1.0</v>
      </c>
      <c r="G5467" s="677">
        <v>130000.0</v>
      </c>
      <c r="H5467" s="74">
        <v>0.0</v>
      </c>
      <c r="I5467" s="74">
        <f t="shared" si="1"/>
        <v>130000</v>
      </c>
      <c r="J5467" s="74">
        <f>IF(E5467="SERVICE",I5467-(I5467*50%),Vlookup(E5467,DATABASE!C:Q,10,false)*F5467)</f>
        <v>10000</v>
      </c>
      <c r="K5467" s="74">
        <f>VLOOKUP(E5467,DATABASE!C:Q,7,false)</f>
        <v>0</v>
      </c>
      <c r="L5467" s="74">
        <v>0.0</v>
      </c>
      <c r="M5467" s="74">
        <f t="shared" si="2"/>
        <v>0</v>
      </c>
      <c r="N5467" s="74">
        <f t="shared" si="3"/>
        <v>120000</v>
      </c>
      <c r="O5467" s="65" t="str">
        <f>VLOOKUP(E5467,DATABASE!C:Q,8,false)</f>
        <v>IBU</v>
      </c>
      <c r="P5467" s="65">
        <f>VLOOKUP(E5467,DATABASE!C:Q,9,False)</f>
        <v>0</v>
      </c>
      <c r="Q5467" s="93" t="str">
        <f>VLOOKUP(E5467,DATABASE!C:Q,4,false)</f>
        <v>SPOORING</v>
      </c>
      <c r="R5467" s="93" t="str">
        <f>VLOOKUP(E5467,DATABASE!C:Q,11,false)</f>
        <v>SERVICE</v>
      </c>
      <c r="U5467" s="9">
        <v>670000.0</v>
      </c>
    </row>
    <row r="5468" ht="22.5" customHeight="1">
      <c r="A5468" s="49"/>
      <c r="C5468" s="661">
        <v>45975.0</v>
      </c>
      <c r="D5468" s="673">
        <v>7833.0</v>
      </c>
      <c r="E5468" s="676" t="s">
        <v>856</v>
      </c>
      <c r="F5468" s="664">
        <v>1.0</v>
      </c>
      <c r="G5468" s="677">
        <v>670000.0</v>
      </c>
      <c r="H5468" s="74">
        <v>0.0</v>
      </c>
      <c r="I5468" s="74">
        <f t="shared" si="1"/>
        <v>670000</v>
      </c>
      <c r="J5468" s="74">
        <f>IF(E5468="SERVICE",I5468-(I5468*50%),Vlookup(E5468,DATABASE!C:Q,10,false)*F5468)</f>
        <v>0</v>
      </c>
      <c r="K5468" s="74">
        <f>VLOOKUP(E5468,DATABASE!C:Q,7,false)</f>
        <v>615300</v>
      </c>
      <c r="L5468" s="74">
        <v>581120.0</v>
      </c>
      <c r="M5468" s="74">
        <f t="shared" si="2"/>
        <v>585000</v>
      </c>
      <c r="N5468" s="74">
        <f t="shared" si="3"/>
        <v>85000</v>
      </c>
      <c r="O5468" s="65" t="str">
        <f>VLOOKUP(E5468,DATABASE!C:Q,8,false)</f>
        <v>BIAN</v>
      </c>
      <c r="P5468" s="65">
        <f>VLOOKUP(E5468,DATABASE!C:Q,9,False)</f>
        <v>1</v>
      </c>
      <c r="Q5468" s="93" t="str">
        <f>VLOOKUP(E5468,DATABASE!C:Q,4,false)</f>
        <v>GT</v>
      </c>
      <c r="R5468" s="93" t="str">
        <f>VLOOKUP(E5468,DATABASE!C:Q,11,false)</f>
        <v>Tire</v>
      </c>
    </row>
    <row r="5469" ht="22.5" customHeight="1">
      <c r="A5469" s="49"/>
      <c r="C5469" s="666">
        <v>45975.0</v>
      </c>
      <c r="D5469" s="673">
        <v>7834.0</v>
      </c>
      <c r="E5469" s="676" t="s">
        <v>2199</v>
      </c>
      <c r="F5469" s="664">
        <v>1.0</v>
      </c>
      <c r="G5469" s="677">
        <v>15000.0</v>
      </c>
      <c r="H5469" s="74">
        <v>0.0</v>
      </c>
      <c r="I5469" s="74">
        <f t="shared" si="1"/>
        <v>15000</v>
      </c>
      <c r="J5469" s="74">
        <f>IF(E5469="SERVICE",I5469-(I5469*50%),Vlookup(E5469,DATABASE!C:Q,10,false)*F5469)</f>
        <v>0</v>
      </c>
      <c r="K5469" s="74">
        <f>VLOOKUP(E5469,DATABASE!C:Q,7,false)</f>
        <v>5000</v>
      </c>
      <c r="L5469" s="74">
        <v>0.0</v>
      </c>
      <c r="M5469" s="74">
        <f t="shared" si="2"/>
        <v>0</v>
      </c>
      <c r="N5469" s="74">
        <f t="shared" si="3"/>
        <v>15000</v>
      </c>
      <c r="O5469" s="65" t="str">
        <f>VLOOKUP(E5469,DATABASE!C:Q,8,false)</f>
        <v>BIAN</v>
      </c>
      <c r="P5469" s="65">
        <f>VLOOKUP(E5469,DATABASE!C:Q,9,False)</f>
        <v>0</v>
      </c>
      <c r="Q5469" s="93" t="str">
        <f>VLOOKUP(E5469,DATABASE!C:Q,4,false)</f>
        <v>TAMBAL TUBLES</v>
      </c>
      <c r="R5469" s="93" t="str">
        <f>VLOOKUP(E5469,DATABASE!C:Q,11,false)</f>
        <v>COMPLEMENTARY</v>
      </c>
      <c r="U5469" s="9"/>
    </row>
    <row r="5470" ht="22.5" customHeight="1">
      <c r="A5470" s="49"/>
      <c r="C5470" s="661">
        <v>45975.0</v>
      </c>
      <c r="D5470" s="673">
        <v>7835.0</v>
      </c>
      <c r="E5470" s="676" t="s">
        <v>268</v>
      </c>
      <c r="F5470" s="664">
        <v>2.0</v>
      </c>
      <c r="G5470" s="677">
        <v>710000.0</v>
      </c>
      <c r="H5470" s="74">
        <v>0.0</v>
      </c>
      <c r="I5470" s="74">
        <f t="shared" si="1"/>
        <v>1420000</v>
      </c>
      <c r="J5470" s="74">
        <f>IF(E5470="SERVICE",I5470-(I5470*50%),Vlookup(E5470,DATABASE!C:Q,10,false)*F5470)</f>
        <v>0</v>
      </c>
      <c r="K5470" s="74">
        <f>VLOOKUP(E5470,DATABASE!C:Q,7,false)</f>
        <v>653000</v>
      </c>
      <c r="L5470" s="74">
        <v>622000.0</v>
      </c>
      <c r="M5470" s="74">
        <f t="shared" si="2"/>
        <v>625000</v>
      </c>
      <c r="N5470" s="74">
        <f t="shared" si="3"/>
        <v>170000</v>
      </c>
      <c r="O5470" s="65" t="str">
        <f>VLOOKUP(E5470,DATABASE!C:Q,8,false)</f>
        <v>IBU</v>
      </c>
      <c r="P5470" s="65">
        <f>VLOOKUP(E5470,DATABASE!C:Q,9,False)</f>
        <v>1</v>
      </c>
      <c r="Q5470" s="93" t="str">
        <f>VLOOKUP(E5470,DATABASE!C:Q,4,false)</f>
        <v>Dunlop</v>
      </c>
      <c r="R5470" s="93" t="str">
        <f>VLOOKUP(E5470,DATABASE!C:Q,11,false)</f>
        <v>Tire</v>
      </c>
      <c r="U5470" s="9">
        <v>200000.0</v>
      </c>
    </row>
    <row r="5471" ht="22.5" customHeight="1">
      <c r="A5471" s="49"/>
      <c r="C5471" s="666">
        <v>45975.0</v>
      </c>
      <c r="D5471" s="673">
        <v>7837.0</v>
      </c>
      <c r="E5471" s="676" t="s">
        <v>255</v>
      </c>
      <c r="F5471" s="664">
        <v>1.0</v>
      </c>
      <c r="G5471" s="677">
        <v>200000.0</v>
      </c>
      <c r="H5471" s="74">
        <v>0.0</v>
      </c>
      <c r="I5471" s="74">
        <f t="shared" si="1"/>
        <v>200000</v>
      </c>
      <c r="J5471" s="74">
        <f>IF(E5471="SERVICE",I5471-(I5471*50%),Vlookup(E5471,DATABASE!C:Q,10,false)*F5471)</f>
        <v>0</v>
      </c>
      <c r="K5471" s="74">
        <f>VLOOKUP(E5471,DATABASE!C:Q,7,false)</f>
        <v>161840</v>
      </c>
      <c r="L5471" s="74">
        <v>161840.0</v>
      </c>
      <c r="M5471" s="74">
        <f t="shared" si="2"/>
        <v>165000</v>
      </c>
      <c r="N5471" s="74">
        <f t="shared" si="3"/>
        <v>35000</v>
      </c>
      <c r="O5471" s="65" t="str">
        <f>VLOOKUP(E5471,DATABASE!C:Q,8,false)</f>
        <v>BIAN</v>
      </c>
      <c r="P5471" s="65">
        <f>VLOOKUP(E5471,DATABASE!C:Q,9,False)</f>
        <v>1</v>
      </c>
      <c r="Q5471" s="93" t="str">
        <f>VLOOKUP(E5471,DATABASE!C:Q,4,false)</f>
        <v>BD</v>
      </c>
      <c r="R5471" s="93" t="str">
        <f>VLOOKUP(E5471,DATABASE!C:Q,11,false)</f>
        <v>Tire</v>
      </c>
      <c r="U5471" s="9"/>
    </row>
    <row r="5472" ht="22.5" customHeight="1">
      <c r="A5472" s="49"/>
      <c r="C5472" s="661">
        <v>45975.0</v>
      </c>
      <c r="D5472" s="673">
        <v>7838.0</v>
      </c>
      <c r="E5472" s="676" t="s">
        <v>275</v>
      </c>
      <c r="F5472" s="664">
        <v>2.0</v>
      </c>
      <c r="G5472" s="677">
        <v>830000.0</v>
      </c>
      <c r="H5472" s="74">
        <v>0.0</v>
      </c>
      <c r="I5472" s="74">
        <f t="shared" si="1"/>
        <v>1660000</v>
      </c>
      <c r="J5472" s="74">
        <f>IF(E5472="SERVICE",I5472-(I5472*50%),Vlookup(E5472,DATABASE!C:Q,10,false)*F5472)</f>
        <v>0</v>
      </c>
      <c r="K5472" s="74">
        <f>VLOOKUP(E5472,DATABASE!C:Q,7,false)</f>
        <v>782000</v>
      </c>
      <c r="L5472" s="74">
        <v>745000.0</v>
      </c>
      <c r="M5472" s="74">
        <f t="shared" si="2"/>
        <v>745000</v>
      </c>
      <c r="N5472" s="74">
        <f t="shared" si="3"/>
        <v>170000</v>
      </c>
      <c r="O5472" s="65" t="str">
        <f>VLOOKUP(E5472,DATABASE!C:Q,8,false)</f>
        <v>IBU</v>
      </c>
      <c r="P5472" s="65">
        <f>VLOOKUP(E5472,DATABASE!C:Q,9,False)</f>
        <v>1</v>
      </c>
      <c r="Q5472" s="93" t="str">
        <f>VLOOKUP(E5472,DATABASE!C:Q,4,false)</f>
        <v>Dunlop</v>
      </c>
      <c r="R5472" s="93" t="str">
        <f>VLOOKUP(E5472,DATABASE!C:Q,11,false)</f>
        <v>Tire</v>
      </c>
      <c r="U5472" s="9"/>
    </row>
    <row r="5473" ht="22.5" customHeight="1">
      <c r="A5473" s="49"/>
      <c r="C5473" s="666">
        <v>45975.0</v>
      </c>
      <c r="D5473" s="673">
        <v>7839.0</v>
      </c>
      <c r="E5473" s="676" t="s">
        <v>1524</v>
      </c>
      <c r="F5473" s="664">
        <v>4.0</v>
      </c>
      <c r="G5473" s="677">
        <v>1130000.0</v>
      </c>
      <c r="H5473" s="74">
        <v>0.0</v>
      </c>
      <c r="I5473" s="74">
        <f t="shared" si="1"/>
        <v>4520000</v>
      </c>
      <c r="J5473" s="74">
        <f>IF(E5473="SERVICE",I5473-(I5473*50%),Vlookup(E5473,DATABASE!C:Q,10,false)*F5473)</f>
        <v>0</v>
      </c>
      <c r="K5473" s="74">
        <f>VLOOKUP(E5473,DATABASE!C:Q,7,false)</f>
        <v>1028000</v>
      </c>
      <c r="L5473" s="74">
        <v>1028000.0</v>
      </c>
      <c r="M5473" s="74">
        <f t="shared" si="2"/>
        <v>1030000</v>
      </c>
      <c r="N5473" s="74">
        <f t="shared" si="3"/>
        <v>400000</v>
      </c>
      <c r="O5473" s="65" t="str">
        <f>VLOOKUP(E5473,DATABASE!C:Q,8,false)</f>
        <v>IBU</v>
      </c>
      <c r="P5473" s="65">
        <f>VLOOKUP(E5473,DATABASE!C:Q,9,False)</f>
        <v>1</v>
      </c>
      <c r="Q5473" s="93" t="str">
        <f>VLOOKUP(E5473,DATABASE!C:Q,4,false)</f>
        <v>Dunlop</v>
      </c>
      <c r="R5473" s="93" t="str">
        <f>VLOOKUP(E5473,DATABASE!C:Q,11,false)</f>
        <v>Tire</v>
      </c>
    </row>
    <row r="5474" ht="22.5" customHeight="1">
      <c r="A5474" s="49"/>
      <c r="C5474" s="666">
        <v>45975.0</v>
      </c>
      <c r="D5474" s="673">
        <v>7840.0</v>
      </c>
      <c r="E5474" s="676" t="s">
        <v>301</v>
      </c>
      <c r="F5474" s="664">
        <v>1.0</v>
      </c>
      <c r="G5474" s="677">
        <v>250000.0</v>
      </c>
      <c r="H5474" s="74">
        <v>0.0</v>
      </c>
      <c r="I5474" s="74">
        <f t="shared" si="1"/>
        <v>250000</v>
      </c>
      <c r="J5474" s="74">
        <f>IF(E5474="SERVICE",I5474-(I5474*50%),Vlookup(E5474,DATABASE!C:Q,10,false)*F5474)</f>
        <v>75000</v>
      </c>
      <c r="K5474" s="74">
        <f>VLOOKUP(E5474,DATABASE!C:Q,7,false)</f>
        <v>75000</v>
      </c>
      <c r="L5474" s="74">
        <v>75000.0</v>
      </c>
      <c r="M5474" s="74">
        <f t="shared" si="2"/>
        <v>75000</v>
      </c>
      <c r="N5474" s="74">
        <f t="shared" si="3"/>
        <v>100000</v>
      </c>
      <c r="O5474" s="65" t="str">
        <f>VLOOKUP(E5474,DATABASE!C:Q,8,false)</f>
        <v>BIAN</v>
      </c>
      <c r="P5474" s="65">
        <f>VLOOKUP(E5474,DATABASE!C:Q,9,False)</f>
        <v>0</v>
      </c>
      <c r="Q5474" s="93" t="str">
        <f>VLOOKUP(E5474,DATABASE!C:Q,4,false)</f>
        <v>Baut Camber</v>
      </c>
      <c r="R5474" s="93" t="str">
        <f>VLOOKUP(E5474,DATABASE!C:Q,11,false)</f>
        <v>COMPLEMENTARY</v>
      </c>
    </row>
    <row r="5475" ht="22.5" customHeight="1">
      <c r="A5475" s="49"/>
      <c r="C5475" s="661">
        <v>45975.0</v>
      </c>
      <c r="D5475" s="673">
        <v>7841.0</v>
      </c>
      <c r="E5475" s="676" t="s">
        <v>955</v>
      </c>
      <c r="F5475" s="664">
        <v>1.0</v>
      </c>
      <c r="G5475" s="677">
        <v>765000.0</v>
      </c>
      <c r="H5475" s="74">
        <v>0.0</v>
      </c>
      <c r="I5475" s="74">
        <f t="shared" si="1"/>
        <v>765000</v>
      </c>
      <c r="J5475" s="74">
        <f>IF(E5475="SERVICE",I5475-(I5475*50%),Vlookup(E5475,DATABASE!C:Q,10,false)*F5475)</f>
        <v>0</v>
      </c>
      <c r="K5475" s="74">
        <f>VLOOKUP(E5475,DATABASE!C:Q,7,false)</f>
        <v>712000</v>
      </c>
      <c r="L5475" s="74">
        <v>674000.0</v>
      </c>
      <c r="M5475" s="74">
        <f t="shared" si="2"/>
        <v>675000</v>
      </c>
      <c r="N5475" s="74">
        <f t="shared" si="3"/>
        <v>90000</v>
      </c>
      <c r="O5475" s="65" t="str">
        <f>VLOOKUP(E5475,DATABASE!C:Q,8,false)</f>
        <v>IBU</v>
      </c>
      <c r="P5475" s="65">
        <f>VLOOKUP(E5475,DATABASE!C:Q,9,False)</f>
        <v>1</v>
      </c>
      <c r="Q5475" s="93" t="str">
        <f>VLOOKUP(E5475,DATABASE!C:Q,4,false)</f>
        <v>Dunlop</v>
      </c>
      <c r="R5475" s="93" t="str">
        <f>VLOOKUP(E5475,DATABASE!C:Q,11,false)</f>
        <v>Tire</v>
      </c>
      <c r="U5475" s="9"/>
    </row>
    <row r="5476" ht="22.5" customHeight="1">
      <c r="A5476" s="49"/>
      <c r="C5476" s="666">
        <v>45975.0</v>
      </c>
      <c r="D5476" s="673">
        <v>7842.0</v>
      </c>
      <c r="E5476" s="676" t="s">
        <v>262</v>
      </c>
      <c r="F5476" s="664">
        <v>1.0</v>
      </c>
      <c r="G5476" s="677">
        <v>110000.0</v>
      </c>
      <c r="H5476" s="74">
        <v>0.0</v>
      </c>
      <c r="I5476" s="74">
        <f t="shared" si="1"/>
        <v>110000</v>
      </c>
      <c r="J5476" s="74">
        <f>IF(E5476="SERVICE",I5476-(I5476*50%),Vlookup(E5476,DATABASE!C:Q,10,false)*F5476)</f>
        <v>5000</v>
      </c>
      <c r="K5476" s="74">
        <f>VLOOKUP(E5476,DATABASE!C:Q,7,false)</f>
        <v>0</v>
      </c>
      <c r="L5476" s="74">
        <v>0.0</v>
      </c>
      <c r="M5476" s="74">
        <f t="shared" si="2"/>
        <v>0</v>
      </c>
      <c r="N5476" s="74">
        <f t="shared" si="3"/>
        <v>105000</v>
      </c>
      <c r="O5476" s="65" t="str">
        <f>VLOOKUP(E5476,DATABASE!C:Q,8,false)</f>
        <v>IBU</v>
      </c>
      <c r="P5476" s="65">
        <f>VLOOKUP(E5476,DATABASE!C:Q,9,False)</f>
        <v>0</v>
      </c>
      <c r="Q5476" s="93" t="str">
        <f>VLOOKUP(E5476,DATABASE!C:Q,4,false)</f>
        <v>SPOORING SS/CARRY LOS BAK</v>
      </c>
      <c r="R5476" s="93" t="str">
        <f>VLOOKUP(E5476,DATABASE!C:Q,11,false)</f>
        <v>SERVICE</v>
      </c>
    </row>
    <row r="5477" ht="22.5" customHeight="1">
      <c r="A5477" s="49"/>
      <c r="C5477" s="661">
        <v>45975.0</v>
      </c>
      <c r="D5477" s="673">
        <v>7842.0</v>
      </c>
      <c r="E5477" s="676" t="s">
        <v>251</v>
      </c>
      <c r="F5477" s="664">
        <v>1.0</v>
      </c>
      <c r="G5477" s="677">
        <v>150000.0</v>
      </c>
      <c r="H5477" s="74">
        <v>0.0</v>
      </c>
      <c r="I5477" s="74">
        <f t="shared" si="1"/>
        <v>150000</v>
      </c>
      <c r="J5477" s="74">
        <f>IF(E5477="SERVICE",I5477-(I5477*50%),Vlookup(E5477,DATABASE!C:Q,10,false)*F5477)</f>
        <v>75000</v>
      </c>
      <c r="K5477" s="74">
        <f>VLOOKUP(E5477,DATABASE!C:Q,7,false)</f>
        <v>0</v>
      </c>
      <c r="L5477" s="74">
        <v>0.0</v>
      </c>
      <c r="M5477" s="74">
        <f t="shared" si="2"/>
        <v>0</v>
      </c>
      <c r="N5477" s="74">
        <f t="shared" si="3"/>
        <v>75000</v>
      </c>
      <c r="O5477" s="65" t="str">
        <f>VLOOKUP(E5477,DATABASE!C:Q,8,false)</f>
        <v>IBU</v>
      </c>
      <c r="P5477" s="65">
        <f>VLOOKUP(E5477,DATABASE!C:Q,9,False)</f>
        <v>0</v>
      </c>
      <c r="Q5477" s="93" t="str">
        <f>VLOOKUP(E5477,DATABASE!C:Q,4,false)</f>
        <v>SERVICE</v>
      </c>
      <c r="R5477" s="93" t="str">
        <f>VLOOKUP(E5477,DATABASE!C:Q,11,false)</f>
        <v>SERVICE</v>
      </c>
    </row>
    <row r="5478" ht="22.5" customHeight="1">
      <c r="A5478" s="49"/>
      <c r="C5478" s="666">
        <v>45975.0</v>
      </c>
      <c r="D5478" s="673">
        <v>7843.0</v>
      </c>
      <c r="E5478" s="676" t="s">
        <v>932</v>
      </c>
      <c r="F5478" s="664">
        <v>4.0</v>
      </c>
      <c r="G5478" s="677">
        <v>680000.0</v>
      </c>
      <c r="H5478" s="74">
        <v>0.0</v>
      </c>
      <c r="I5478" s="74">
        <f t="shared" si="1"/>
        <v>2720000</v>
      </c>
      <c r="J5478" s="74">
        <f>IF(E5478="SERVICE",I5478-(I5478*50%),Vlookup(E5478,DATABASE!C:Q,10,false)*F5478)</f>
        <v>0</v>
      </c>
      <c r="K5478" s="74">
        <f>VLOOKUP(E5478,DATABASE!C:Q,7,false)</f>
        <v>601000</v>
      </c>
      <c r="L5478" s="74">
        <v>595000.0</v>
      </c>
      <c r="M5478" s="74">
        <f t="shared" si="2"/>
        <v>595000</v>
      </c>
      <c r="N5478" s="74">
        <f t="shared" si="3"/>
        <v>340000</v>
      </c>
      <c r="O5478" s="65" t="str">
        <f>VLOOKUP(E5478,DATABASE!C:Q,8,false)</f>
        <v>IBU</v>
      </c>
      <c r="P5478" s="65">
        <f>VLOOKUP(E5478,DATABASE!C:Q,9,False)</f>
        <v>1</v>
      </c>
      <c r="Q5478" s="93" t="str">
        <f>VLOOKUP(E5478,DATABASE!C:Q,4,false)</f>
        <v>Dunlop</v>
      </c>
      <c r="R5478" s="93" t="str">
        <f>VLOOKUP(E5478,DATABASE!C:Q,11,false)</f>
        <v>Tire</v>
      </c>
      <c r="U5478" s="9"/>
    </row>
    <row r="5479" ht="22.5" customHeight="1">
      <c r="A5479" s="49"/>
      <c r="C5479" s="661">
        <v>45975.0</v>
      </c>
      <c r="D5479" s="673">
        <v>7843.0</v>
      </c>
      <c r="E5479" s="671" t="s">
        <v>299</v>
      </c>
      <c r="F5479" s="664">
        <v>2.0</v>
      </c>
      <c r="G5479" s="677">
        <v>30000.0</v>
      </c>
      <c r="H5479" s="74">
        <v>0.0</v>
      </c>
      <c r="I5479" s="74">
        <f t="shared" si="1"/>
        <v>60000</v>
      </c>
      <c r="J5479" s="74">
        <f>IF(E5479="SERVICE",I5479-(I5479*50%),Vlookup(E5479,DATABASE!C:Q,10,false)*F5479)</f>
        <v>0</v>
      </c>
      <c r="K5479" s="74">
        <f>VLOOKUP(E5479,DATABASE!C:Q,7,false)</f>
        <v>10000</v>
      </c>
      <c r="L5479" s="74">
        <v>5000.0</v>
      </c>
      <c r="M5479" s="74">
        <f t="shared" si="2"/>
        <v>5000</v>
      </c>
      <c r="N5479" s="74">
        <f t="shared" si="3"/>
        <v>50000</v>
      </c>
      <c r="O5479" s="65" t="str">
        <f>VLOOKUP(E5479,DATABASE!C:Q,8,false)</f>
        <v>BIAN</v>
      </c>
      <c r="P5479" s="65">
        <f>VLOOKUP(E5479,DATABASE!C:Q,9,False)</f>
        <v>0</v>
      </c>
      <c r="Q5479" s="93" t="str">
        <f>VLOOKUP(E5479,DATABASE!C:Q,4,false)</f>
        <v>Balancing</v>
      </c>
      <c r="R5479" s="93" t="str">
        <f>VLOOKUP(E5479,DATABASE!C:Q,11,false)</f>
        <v>COMPLEMENTARY</v>
      </c>
    </row>
    <row r="5480" ht="22.5" customHeight="1">
      <c r="A5480" s="49"/>
      <c r="C5480" s="666">
        <v>45975.0</v>
      </c>
      <c r="D5480" s="673">
        <v>7844.0</v>
      </c>
      <c r="E5480" s="676" t="s">
        <v>1617</v>
      </c>
      <c r="F5480" s="664">
        <v>2.0</v>
      </c>
      <c r="G5480" s="677">
        <v>850000.0</v>
      </c>
      <c r="H5480" s="74">
        <v>0.0</v>
      </c>
      <c r="I5480" s="74">
        <f t="shared" si="1"/>
        <v>1700000</v>
      </c>
      <c r="J5480" s="74">
        <f>IF(E5480="SERVICE",I5480-(I5480*50%),Vlookup(E5480,DATABASE!C:Q,10,false)*F5480)</f>
        <v>0</v>
      </c>
      <c r="K5480" s="74">
        <f>VLOOKUP(E5480,DATABASE!C:Q,7,false)</f>
        <v>739000</v>
      </c>
      <c r="L5480" s="74">
        <v>739000.0</v>
      </c>
      <c r="M5480" s="74">
        <f t="shared" si="2"/>
        <v>740000</v>
      </c>
      <c r="N5480" s="74">
        <f t="shared" si="3"/>
        <v>220000</v>
      </c>
      <c r="O5480" s="65" t="str">
        <f>VLOOKUP(E5480,DATABASE!C:Q,8,false)</f>
        <v>BIAN</v>
      </c>
      <c r="P5480" s="65">
        <f>VLOOKUP(E5480,DATABASE!C:Q,9,False)</f>
        <v>1</v>
      </c>
      <c r="Q5480" s="93" t="str">
        <f>VLOOKUP(E5480,DATABASE!C:Q,4,false)</f>
        <v>GT</v>
      </c>
      <c r="R5480" s="93" t="str">
        <f>VLOOKUP(E5480,DATABASE!C:Q,11,false)</f>
        <v>Tire</v>
      </c>
      <c r="U5480" s="9">
        <v>1700000.0</v>
      </c>
    </row>
    <row r="5481" ht="22.5" customHeight="1">
      <c r="A5481" s="49"/>
      <c r="C5481" s="661">
        <v>45975.0</v>
      </c>
      <c r="D5481" s="673">
        <v>7844.0</v>
      </c>
      <c r="E5481" s="671" t="s">
        <v>299</v>
      </c>
      <c r="F5481" s="664">
        <v>2.0</v>
      </c>
      <c r="G5481" s="677">
        <v>30000.0</v>
      </c>
      <c r="H5481" s="74">
        <v>0.0</v>
      </c>
      <c r="I5481" s="74">
        <f t="shared" si="1"/>
        <v>60000</v>
      </c>
      <c r="J5481" s="74">
        <f>IF(E5481="SERVICE",I5481-(I5481*50%),Vlookup(E5481,DATABASE!C:Q,10,false)*F5481)</f>
        <v>0</v>
      </c>
      <c r="K5481" s="74">
        <f>VLOOKUP(E5481,DATABASE!C:Q,7,false)</f>
        <v>10000</v>
      </c>
      <c r="L5481" s="74">
        <v>5000.0</v>
      </c>
      <c r="M5481" s="74">
        <f t="shared" si="2"/>
        <v>5000</v>
      </c>
      <c r="N5481" s="74">
        <f t="shared" si="3"/>
        <v>50000</v>
      </c>
      <c r="O5481" s="65" t="str">
        <f>VLOOKUP(E5481,DATABASE!C:Q,8,false)</f>
        <v>BIAN</v>
      </c>
      <c r="P5481" s="65">
        <f>VLOOKUP(E5481,DATABASE!C:Q,9,False)</f>
        <v>0</v>
      </c>
      <c r="Q5481" s="93" t="str">
        <f>VLOOKUP(E5481,DATABASE!C:Q,4,false)</f>
        <v>Balancing</v>
      </c>
      <c r="R5481" s="93" t="str">
        <f>VLOOKUP(E5481,DATABASE!C:Q,11,false)</f>
        <v>COMPLEMENTARY</v>
      </c>
    </row>
    <row r="5482" ht="22.5" customHeight="1">
      <c r="A5482" s="49"/>
      <c r="C5482" s="666">
        <v>45975.0</v>
      </c>
      <c r="D5482" s="673">
        <v>7844.0</v>
      </c>
      <c r="E5482" s="676" t="s">
        <v>256</v>
      </c>
      <c r="F5482" s="664">
        <v>1.0</v>
      </c>
      <c r="G5482" s="677">
        <v>130000.0</v>
      </c>
      <c r="H5482" s="74">
        <v>0.0</v>
      </c>
      <c r="I5482" s="74">
        <f t="shared" si="1"/>
        <v>130000</v>
      </c>
      <c r="J5482" s="74">
        <f>IF(E5482="SERVICE",I5482-(I5482*50%),Vlookup(E5482,DATABASE!C:Q,10,false)*F5482)</f>
        <v>10000</v>
      </c>
      <c r="K5482" s="74">
        <f>VLOOKUP(E5482,DATABASE!C:Q,7,false)</f>
        <v>0</v>
      </c>
      <c r="L5482" s="74">
        <v>0.0</v>
      </c>
      <c r="M5482" s="74">
        <f t="shared" si="2"/>
        <v>0</v>
      </c>
      <c r="N5482" s="74">
        <f t="shared" si="3"/>
        <v>120000</v>
      </c>
      <c r="O5482" s="65" t="str">
        <f>VLOOKUP(E5482,DATABASE!C:Q,8,false)</f>
        <v>IBU</v>
      </c>
      <c r="P5482" s="65">
        <f>VLOOKUP(E5482,DATABASE!C:Q,9,False)</f>
        <v>0</v>
      </c>
      <c r="Q5482" s="93" t="str">
        <f>VLOOKUP(E5482,DATABASE!C:Q,4,false)</f>
        <v>SPOORING</v>
      </c>
      <c r="R5482" s="93" t="str">
        <f>VLOOKUP(E5482,DATABASE!C:Q,11,false)</f>
        <v>SERVICE</v>
      </c>
    </row>
    <row r="5483" ht="22.5" customHeight="1">
      <c r="A5483" s="49"/>
      <c r="C5483" s="661">
        <v>45975.0</v>
      </c>
      <c r="D5483" s="673">
        <v>7844.0</v>
      </c>
      <c r="E5483" s="676" t="s">
        <v>301</v>
      </c>
      <c r="F5483" s="664">
        <v>1.0</v>
      </c>
      <c r="G5483" s="677">
        <v>250000.0</v>
      </c>
      <c r="H5483" s="74">
        <v>0.0</v>
      </c>
      <c r="I5483" s="74">
        <f t="shared" si="1"/>
        <v>250000</v>
      </c>
      <c r="J5483" s="74">
        <f>IF(E5483="SERVICE",I5483-(I5483*50%),Vlookup(E5483,DATABASE!C:Q,10,false)*F5483)</f>
        <v>75000</v>
      </c>
      <c r="K5483" s="74">
        <f>VLOOKUP(E5483,DATABASE!C:Q,7,false)</f>
        <v>75000</v>
      </c>
      <c r="L5483" s="74">
        <v>75000.0</v>
      </c>
      <c r="M5483" s="74">
        <f t="shared" si="2"/>
        <v>75000</v>
      </c>
      <c r="N5483" s="74">
        <f t="shared" si="3"/>
        <v>100000</v>
      </c>
      <c r="O5483" s="65" t="str">
        <f>VLOOKUP(E5483,DATABASE!C:Q,8,false)</f>
        <v>BIAN</v>
      </c>
      <c r="P5483" s="65">
        <f>VLOOKUP(E5483,DATABASE!C:Q,9,False)</f>
        <v>0</v>
      </c>
      <c r="Q5483" s="93" t="str">
        <f>VLOOKUP(E5483,DATABASE!C:Q,4,false)</f>
        <v>Baut Camber</v>
      </c>
      <c r="R5483" s="93" t="str">
        <f>VLOOKUP(E5483,DATABASE!C:Q,11,false)</f>
        <v>COMPLEMENTARY</v>
      </c>
    </row>
    <row r="5484" ht="22.5" customHeight="1">
      <c r="A5484" s="49"/>
      <c r="C5484" s="666">
        <v>45975.0</v>
      </c>
      <c r="D5484" s="673">
        <v>7845.0</v>
      </c>
      <c r="E5484" s="676" t="s">
        <v>1940</v>
      </c>
      <c r="F5484" s="664">
        <v>2.0</v>
      </c>
      <c r="G5484" s="677">
        <v>800000.0</v>
      </c>
      <c r="H5484" s="74">
        <v>0.0</v>
      </c>
      <c r="I5484" s="74">
        <f t="shared" si="1"/>
        <v>1600000</v>
      </c>
      <c r="J5484" s="74">
        <f>IF(E5484="SERVICE",I5484-(I5484*50%),Vlookup(E5484,DATABASE!C:Q,10,false)*F5484)</f>
        <v>0</v>
      </c>
      <c r="K5484" s="74">
        <f>VLOOKUP(E5484,DATABASE!C:Q,7,false)</f>
        <v>775500</v>
      </c>
      <c r="L5484" s="74">
        <v>716940.0</v>
      </c>
      <c r="M5484" s="74">
        <f t="shared" si="2"/>
        <v>720000</v>
      </c>
      <c r="N5484" s="74">
        <f t="shared" si="3"/>
        <v>160000</v>
      </c>
      <c r="O5484" s="65" t="str">
        <f>VLOOKUP(E5484,DATABASE!C:Q,8,false)</f>
        <v>BIAN</v>
      </c>
      <c r="P5484" s="65">
        <f>VLOOKUP(E5484,DATABASE!C:Q,9,False)</f>
        <v>1</v>
      </c>
      <c r="Q5484" s="93" t="str">
        <f>VLOOKUP(E5484,DATABASE!C:Q,4,false)</f>
        <v>GT</v>
      </c>
      <c r="R5484" s="93" t="str">
        <f>VLOOKUP(E5484,DATABASE!C:Q,11,false)</f>
        <v>Tire</v>
      </c>
      <c r="U5484" s="9">
        <v>1600000.0</v>
      </c>
    </row>
    <row r="5485" ht="22.5" customHeight="1">
      <c r="A5485" s="49"/>
      <c r="C5485" s="661">
        <v>45975.0</v>
      </c>
      <c r="D5485" s="673">
        <v>7846.0</v>
      </c>
      <c r="E5485" s="671" t="s">
        <v>299</v>
      </c>
      <c r="F5485" s="664">
        <v>2.0</v>
      </c>
      <c r="G5485" s="677">
        <v>30000.0</v>
      </c>
      <c r="H5485" s="74">
        <v>0.0</v>
      </c>
      <c r="I5485" s="74">
        <f t="shared" si="1"/>
        <v>60000</v>
      </c>
      <c r="J5485" s="74">
        <f>IF(E5485="SERVICE",I5485-(I5485*50%),Vlookup(E5485,DATABASE!C:Q,10,false)*F5485)</f>
        <v>0</v>
      </c>
      <c r="K5485" s="74">
        <f>VLOOKUP(E5485,DATABASE!C:Q,7,false)</f>
        <v>10000</v>
      </c>
      <c r="L5485" s="74">
        <v>5000.0</v>
      </c>
      <c r="M5485" s="74">
        <f t="shared" si="2"/>
        <v>5000</v>
      </c>
      <c r="N5485" s="74">
        <f t="shared" si="3"/>
        <v>50000</v>
      </c>
      <c r="O5485" s="65" t="str">
        <f>VLOOKUP(E5485,DATABASE!C:Q,8,false)</f>
        <v>BIAN</v>
      </c>
      <c r="P5485" s="65">
        <f>VLOOKUP(E5485,DATABASE!C:Q,9,False)</f>
        <v>0</v>
      </c>
      <c r="Q5485" s="93" t="str">
        <f>VLOOKUP(E5485,DATABASE!C:Q,4,false)</f>
        <v>Balancing</v>
      </c>
      <c r="R5485" s="93" t="str">
        <f>VLOOKUP(E5485,DATABASE!C:Q,11,false)</f>
        <v>COMPLEMENTARY</v>
      </c>
    </row>
    <row r="5486" ht="22.5" customHeight="1">
      <c r="A5486" s="49"/>
      <c r="C5486" s="666">
        <v>45975.0</v>
      </c>
      <c r="D5486" s="673">
        <v>7846.0</v>
      </c>
      <c r="E5486" s="676" t="s">
        <v>256</v>
      </c>
      <c r="F5486" s="664">
        <v>1.0</v>
      </c>
      <c r="G5486" s="677">
        <v>130000.0</v>
      </c>
      <c r="H5486" s="74">
        <v>0.0</v>
      </c>
      <c r="I5486" s="74">
        <f t="shared" si="1"/>
        <v>130000</v>
      </c>
      <c r="J5486" s="74">
        <f>IF(E5486="SERVICE",I5486-(I5486*50%),Vlookup(E5486,DATABASE!C:Q,10,false)*F5486)</f>
        <v>10000</v>
      </c>
      <c r="K5486" s="74">
        <f>VLOOKUP(E5486,DATABASE!C:Q,7,false)</f>
        <v>0</v>
      </c>
      <c r="L5486" s="74">
        <v>0.0</v>
      </c>
      <c r="M5486" s="74">
        <f t="shared" si="2"/>
        <v>0</v>
      </c>
      <c r="N5486" s="74">
        <f t="shared" si="3"/>
        <v>120000</v>
      </c>
      <c r="O5486" s="65" t="str">
        <f>VLOOKUP(E5486,DATABASE!C:Q,8,false)</f>
        <v>IBU</v>
      </c>
      <c r="P5486" s="65">
        <f>VLOOKUP(E5486,DATABASE!C:Q,9,False)</f>
        <v>0</v>
      </c>
      <c r="Q5486" s="93" t="str">
        <f>VLOOKUP(E5486,DATABASE!C:Q,4,false)</f>
        <v>SPOORING</v>
      </c>
      <c r="R5486" s="93" t="str">
        <f>VLOOKUP(E5486,DATABASE!C:Q,11,false)</f>
        <v>SERVICE</v>
      </c>
    </row>
    <row r="5487" ht="22.5" customHeight="1">
      <c r="A5487" s="49"/>
      <c r="C5487" s="661">
        <v>45975.0</v>
      </c>
      <c r="D5487" s="673">
        <v>7846.0</v>
      </c>
      <c r="E5487" s="676" t="s">
        <v>251</v>
      </c>
      <c r="F5487" s="664">
        <v>1.0</v>
      </c>
      <c r="G5487" s="677">
        <v>150000.0</v>
      </c>
      <c r="H5487" s="74">
        <v>0.0</v>
      </c>
      <c r="I5487" s="74">
        <f t="shared" si="1"/>
        <v>150000</v>
      </c>
      <c r="J5487" s="74">
        <f>IF(E5487="SERVICE",I5487-(I5487*50%),Vlookup(E5487,DATABASE!C:Q,10,false)*F5487)</f>
        <v>75000</v>
      </c>
      <c r="K5487" s="74">
        <f>VLOOKUP(E5487,DATABASE!C:Q,7,false)</f>
        <v>0</v>
      </c>
      <c r="L5487" s="74">
        <v>0.0</v>
      </c>
      <c r="M5487" s="74">
        <f t="shared" si="2"/>
        <v>0</v>
      </c>
      <c r="N5487" s="74">
        <f t="shared" si="3"/>
        <v>75000</v>
      </c>
      <c r="O5487" s="65" t="str">
        <f>VLOOKUP(E5487,DATABASE!C:Q,8,false)</f>
        <v>IBU</v>
      </c>
      <c r="P5487" s="65">
        <f>VLOOKUP(E5487,DATABASE!C:Q,9,False)</f>
        <v>0</v>
      </c>
      <c r="Q5487" s="93" t="str">
        <f>VLOOKUP(E5487,DATABASE!C:Q,4,false)</f>
        <v>SERVICE</v>
      </c>
      <c r="R5487" s="93" t="str">
        <f>VLOOKUP(E5487,DATABASE!C:Q,11,false)</f>
        <v>SERVICE</v>
      </c>
    </row>
    <row r="5488" ht="22.5" customHeight="1">
      <c r="A5488" s="49"/>
      <c r="C5488" s="666">
        <v>45975.0</v>
      </c>
      <c r="D5488" s="673">
        <v>7847.0</v>
      </c>
      <c r="E5488" s="676" t="s">
        <v>569</v>
      </c>
      <c r="F5488" s="664">
        <v>1.0</v>
      </c>
      <c r="G5488" s="677">
        <v>80000.0</v>
      </c>
      <c r="H5488" s="74">
        <v>0.0</v>
      </c>
      <c r="I5488" s="74">
        <f t="shared" si="1"/>
        <v>80000</v>
      </c>
      <c r="J5488" s="74">
        <f>IF(E5488="SERVICE",I5488-(I5488*50%),Vlookup(E5488,DATABASE!C:Q,10,false)*F5488)</f>
        <v>0</v>
      </c>
      <c r="K5488" s="74">
        <f>VLOOKUP(E5488,DATABASE!C:Q,7,false)</f>
        <v>45439.582</v>
      </c>
      <c r="L5488" s="74">
        <v>45309.6</v>
      </c>
      <c r="M5488" s="74">
        <f t="shared" si="2"/>
        <v>50000</v>
      </c>
      <c r="N5488" s="74">
        <f t="shared" si="3"/>
        <v>30000</v>
      </c>
      <c r="O5488" s="65" t="str">
        <f>VLOOKUP(E5488,DATABASE!C:Q,8,false)</f>
        <v>BIAN</v>
      </c>
      <c r="P5488" s="65">
        <f>VLOOKUP(E5488,DATABASE!C:Q,9,False)</f>
        <v>1</v>
      </c>
      <c r="Q5488" s="93" t="str">
        <f>VLOOKUP(E5488,DATABASE!C:Q,4,false)</f>
        <v>BD</v>
      </c>
      <c r="R5488" s="93" t="str">
        <f>VLOOKUP(E5488,DATABASE!C:Q,11,false)</f>
        <v>Tire</v>
      </c>
      <c r="U5488" s="9">
        <v>80000.0</v>
      </c>
    </row>
    <row r="5489" ht="22.5" customHeight="1">
      <c r="A5489" s="49"/>
      <c r="C5489" s="661">
        <v>45976.0</v>
      </c>
      <c r="D5489" s="673">
        <v>7849.0</v>
      </c>
      <c r="E5489" s="676" t="s">
        <v>1439</v>
      </c>
      <c r="F5489" s="664">
        <v>2.0</v>
      </c>
      <c r="G5489" s="677">
        <v>630000.0</v>
      </c>
      <c r="H5489" s="74">
        <v>0.0</v>
      </c>
      <c r="I5489" s="74">
        <f t="shared" si="1"/>
        <v>1260000</v>
      </c>
      <c r="J5489" s="74">
        <f>IF(E5489="SERVICE",I5489-(I5489*50%),Vlookup(E5489,DATABASE!C:Q,10,false)*F5489)</f>
        <v>0</v>
      </c>
      <c r="K5489" s="74">
        <f>VLOOKUP(E5489,DATABASE!C:Q,7,false)</f>
        <v>556800</v>
      </c>
      <c r="L5489" s="74">
        <v>540800.0</v>
      </c>
      <c r="M5489" s="74">
        <f t="shared" si="2"/>
        <v>545000</v>
      </c>
      <c r="N5489" s="74">
        <f t="shared" si="3"/>
        <v>170000</v>
      </c>
      <c r="O5489" s="65" t="str">
        <f>VLOOKUP(E5489,DATABASE!C:Q,8,false)</f>
        <v>BIAN</v>
      </c>
      <c r="P5489" s="65">
        <f>VLOOKUP(E5489,DATABASE!C:Q,9,False)</f>
        <v>1</v>
      </c>
      <c r="Q5489" s="93" t="str">
        <f>VLOOKUP(E5489,DATABASE!C:Q,4,false)</f>
        <v>GT</v>
      </c>
      <c r="R5489" s="93" t="str">
        <f>VLOOKUP(E5489,DATABASE!C:Q,11,false)</f>
        <v>Tire</v>
      </c>
      <c r="U5489" s="9">
        <v>1260000.0</v>
      </c>
    </row>
    <row r="5490" ht="22.5" customHeight="1">
      <c r="A5490" s="49"/>
      <c r="C5490" s="666">
        <v>45976.0</v>
      </c>
      <c r="D5490" s="673">
        <v>7850.0</v>
      </c>
      <c r="E5490" s="676" t="s">
        <v>301</v>
      </c>
      <c r="F5490" s="664">
        <v>1.0</v>
      </c>
      <c r="G5490" s="677">
        <v>250000.0</v>
      </c>
      <c r="H5490" s="74">
        <v>0.0</v>
      </c>
      <c r="I5490" s="74">
        <f t="shared" si="1"/>
        <v>250000</v>
      </c>
      <c r="J5490" s="74">
        <f>IF(E5490="SERVICE",I5490-(I5490*50%),Vlookup(E5490,DATABASE!C:Q,10,false)*F5490)</f>
        <v>75000</v>
      </c>
      <c r="K5490" s="74">
        <f>VLOOKUP(E5490,DATABASE!C:Q,7,false)</f>
        <v>75000</v>
      </c>
      <c r="L5490" s="74">
        <v>75000.0</v>
      </c>
      <c r="M5490" s="74">
        <f t="shared" si="2"/>
        <v>75000</v>
      </c>
      <c r="N5490" s="74">
        <f t="shared" si="3"/>
        <v>100000</v>
      </c>
      <c r="O5490" s="65" t="str">
        <f>VLOOKUP(E5490,DATABASE!C:Q,8,false)</f>
        <v>BIAN</v>
      </c>
      <c r="P5490" s="65">
        <f>VLOOKUP(E5490,DATABASE!C:Q,9,False)</f>
        <v>0</v>
      </c>
      <c r="Q5490" s="93" t="str">
        <f>VLOOKUP(E5490,DATABASE!C:Q,4,false)</f>
        <v>Baut Camber</v>
      </c>
      <c r="R5490" s="93" t="str">
        <f>VLOOKUP(E5490,DATABASE!C:Q,11,false)</f>
        <v>COMPLEMENTARY</v>
      </c>
    </row>
    <row r="5491" ht="22.5" customHeight="1">
      <c r="A5491" s="49"/>
      <c r="C5491" s="666">
        <v>45976.0</v>
      </c>
      <c r="D5491" s="673">
        <v>7851.0</v>
      </c>
      <c r="E5491" s="676" t="s">
        <v>955</v>
      </c>
      <c r="F5491" s="664">
        <v>1.0</v>
      </c>
      <c r="G5491" s="677">
        <v>760000.0</v>
      </c>
      <c r="H5491" s="74">
        <v>0.0</v>
      </c>
      <c r="I5491" s="74">
        <f t="shared" si="1"/>
        <v>760000</v>
      </c>
      <c r="J5491" s="74">
        <f>IF(E5491="SERVICE",I5491-(I5491*50%),Vlookup(E5491,DATABASE!C:Q,10,false)*F5491)</f>
        <v>0</v>
      </c>
      <c r="K5491" s="74">
        <f>VLOOKUP(E5491,DATABASE!C:Q,7,false)</f>
        <v>712000</v>
      </c>
      <c r="L5491" s="74">
        <v>674000.0</v>
      </c>
      <c r="M5491" s="74">
        <f t="shared" si="2"/>
        <v>675000</v>
      </c>
      <c r="N5491" s="74">
        <f t="shared" si="3"/>
        <v>85000</v>
      </c>
      <c r="O5491" s="65" t="str">
        <f>VLOOKUP(E5491,DATABASE!C:Q,8,false)</f>
        <v>IBU</v>
      </c>
      <c r="P5491" s="65">
        <f>VLOOKUP(E5491,DATABASE!C:Q,9,False)</f>
        <v>1</v>
      </c>
      <c r="Q5491" s="93" t="str">
        <f>VLOOKUP(E5491,DATABASE!C:Q,4,false)</f>
        <v>Dunlop</v>
      </c>
      <c r="R5491" s="93" t="str">
        <f>VLOOKUP(E5491,DATABASE!C:Q,11,false)</f>
        <v>Tire</v>
      </c>
    </row>
    <row r="5492" ht="22.5" customHeight="1">
      <c r="A5492" s="49"/>
      <c r="C5492" s="661">
        <v>45976.0</v>
      </c>
      <c r="D5492" s="673">
        <v>7852.0</v>
      </c>
      <c r="E5492" s="671" t="s">
        <v>299</v>
      </c>
      <c r="F5492" s="664">
        <v>2.0</v>
      </c>
      <c r="G5492" s="677">
        <v>30000.0</v>
      </c>
      <c r="H5492" s="74">
        <v>0.0</v>
      </c>
      <c r="I5492" s="74">
        <f t="shared" si="1"/>
        <v>60000</v>
      </c>
      <c r="J5492" s="74">
        <f>IF(E5492="SERVICE",I5492-(I5492*50%),Vlookup(E5492,DATABASE!C:Q,10,false)*F5492)</f>
        <v>0</v>
      </c>
      <c r="K5492" s="74">
        <f>VLOOKUP(E5492,DATABASE!C:Q,7,false)</f>
        <v>10000</v>
      </c>
      <c r="L5492" s="74">
        <v>5000.0</v>
      </c>
      <c r="M5492" s="74">
        <f t="shared" si="2"/>
        <v>5000</v>
      </c>
      <c r="N5492" s="74">
        <f t="shared" si="3"/>
        <v>50000</v>
      </c>
      <c r="O5492" s="65" t="str">
        <f>VLOOKUP(E5492,DATABASE!C:Q,8,false)</f>
        <v>BIAN</v>
      </c>
      <c r="P5492" s="65">
        <f>VLOOKUP(E5492,DATABASE!C:Q,9,False)</f>
        <v>0</v>
      </c>
      <c r="Q5492" s="93" t="str">
        <f>VLOOKUP(E5492,DATABASE!C:Q,4,false)</f>
        <v>Balancing</v>
      </c>
      <c r="R5492" s="93" t="str">
        <f>VLOOKUP(E5492,DATABASE!C:Q,11,false)</f>
        <v>COMPLEMENTARY</v>
      </c>
      <c r="U5492" s="9"/>
    </row>
    <row r="5493" ht="22.5" customHeight="1">
      <c r="A5493" s="49"/>
      <c r="C5493" s="666">
        <v>45976.0</v>
      </c>
      <c r="D5493" s="673">
        <v>7852.0</v>
      </c>
      <c r="E5493" s="676" t="s">
        <v>256</v>
      </c>
      <c r="F5493" s="664">
        <v>1.0</v>
      </c>
      <c r="G5493" s="677">
        <v>130000.0</v>
      </c>
      <c r="H5493" s="74">
        <v>0.0</v>
      </c>
      <c r="I5493" s="74">
        <f t="shared" si="1"/>
        <v>130000</v>
      </c>
      <c r="J5493" s="74">
        <f>IF(E5493="SERVICE",I5493-(I5493*50%),Vlookup(E5493,DATABASE!C:Q,10,false)*F5493)</f>
        <v>10000</v>
      </c>
      <c r="K5493" s="74">
        <f>VLOOKUP(E5493,DATABASE!C:Q,7,false)</f>
        <v>0</v>
      </c>
      <c r="L5493" s="74">
        <v>0.0</v>
      </c>
      <c r="M5493" s="74">
        <f t="shared" si="2"/>
        <v>0</v>
      </c>
      <c r="N5493" s="74">
        <f t="shared" si="3"/>
        <v>120000</v>
      </c>
      <c r="O5493" s="65" t="str">
        <f>VLOOKUP(E5493,DATABASE!C:Q,8,false)</f>
        <v>IBU</v>
      </c>
      <c r="P5493" s="65">
        <f>VLOOKUP(E5493,DATABASE!C:Q,9,False)</f>
        <v>0</v>
      </c>
      <c r="Q5493" s="93" t="str">
        <f>VLOOKUP(E5493,DATABASE!C:Q,4,false)</f>
        <v>SPOORING</v>
      </c>
      <c r="R5493" s="93" t="str">
        <f>VLOOKUP(E5493,DATABASE!C:Q,11,false)</f>
        <v>SERVICE</v>
      </c>
    </row>
    <row r="5494" ht="22.5" customHeight="1">
      <c r="A5494" s="49"/>
      <c r="C5494" s="661">
        <v>45976.0</v>
      </c>
      <c r="D5494" s="673">
        <v>7852.0</v>
      </c>
      <c r="E5494" s="676" t="s">
        <v>251</v>
      </c>
      <c r="F5494" s="664">
        <v>1.0</v>
      </c>
      <c r="G5494" s="677">
        <v>150000.0</v>
      </c>
      <c r="H5494" s="74">
        <v>0.0</v>
      </c>
      <c r="I5494" s="74">
        <f t="shared" si="1"/>
        <v>150000</v>
      </c>
      <c r="J5494" s="74">
        <f>IF(E5494="SERVICE",I5494-(I5494*50%),Vlookup(E5494,DATABASE!C:Q,10,false)*F5494)</f>
        <v>75000</v>
      </c>
      <c r="K5494" s="74">
        <f>VLOOKUP(E5494,DATABASE!C:Q,7,false)</f>
        <v>0</v>
      </c>
      <c r="L5494" s="74">
        <v>0.0</v>
      </c>
      <c r="M5494" s="74">
        <f t="shared" si="2"/>
        <v>0</v>
      </c>
      <c r="N5494" s="74">
        <f t="shared" si="3"/>
        <v>75000</v>
      </c>
      <c r="O5494" s="65" t="str">
        <f>VLOOKUP(E5494,DATABASE!C:Q,8,false)</f>
        <v>IBU</v>
      </c>
      <c r="P5494" s="65">
        <f>VLOOKUP(E5494,DATABASE!C:Q,9,False)</f>
        <v>0</v>
      </c>
      <c r="Q5494" s="93" t="str">
        <f>VLOOKUP(E5494,DATABASE!C:Q,4,false)</f>
        <v>SERVICE</v>
      </c>
      <c r="R5494" s="93" t="str">
        <f>VLOOKUP(E5494,DATABASE!C:Q,11,false)</f>
        <v>SERVICE</v>
      </c>
    </row>
    <row r="5495" ht="22.5" customHeight="1">
      <c r="A5495" s="49"/>
      <c r="C5495" s="666">
        <v>45976.0</v>
      </c>
      <c r="D5495" s="673">
        <v>7853.0</v>
      </c>
      <c r="E5495" s="676" t="s">
        <v>600</v>
      </c>
      <c r="F5495" s="664">
        <v>2.0</v>
      </c>
      <c r="G5495" s="677">
        <v>665000.0</v>
      </c>
      <c r="H5495" s="74">
        <v>0.0</v>
      </c>
      <c r="I5495" s="74">
        <f t="shared" si="1"/>
        <v>1330000</v>
      </c>
      <c r="J5495" s="74">
        <f>IF(E5495="SERVICE",I5495-(I5495*50%),Vlookup(E5495,DATABASE!C:Q,10,false)*F5495)</f>
        <v>0</v>
      </c>
      <c r="K5495" s="74">
        <f>VLOOKUP(E5495,DATABASE!C:Q,7,false)</f>
        <v>611109.16</v>
      </c>
      <c r="L5495" s="74">
        <v>572762.4</v>
      </c>
      <c r="M5495" s="74">
        <f t="shared" si="2"/>
        <v>575000</v>
      </c>
      <c r="N5495" s="74">
        <f t="shared" si="3"/>
        <v>180000</v>
      </c>
      <c r="O5495" s="65" t="str">
        <f>VLOOKUP(E5495,DATABASE!C:Q,8,false)</f>
        <v>IBU</v>
      </c>
      <c r="P5495" s="65">
        <f>VLOOKUP(E5495,DATABASE!C:Q,9,False)</f>
        <v>1</v>
      </c>
      <c r="Q5495" s="93" t="str">
        <f>VLOOKUP(E5495,DATABASE!C:Q,4,false)</f>
        <v>Bridgestone</v>
      </c>
      <c r="R5495" s="93" t="str">
        <f>VLOOKUP(E5495,DATABASE!C:Q,11,false)</f>
        <v>Tire</v>
      </c>
    </row>
    <row r="5496" ht="22.5" customHeight="1">
      <c r="A5496" s="49"/>
      <c r="C5496" s="661">
        <v>45976.0</v>
      </c>
      <c r="D5496" s="673">
        <v>7853.0</v>
      </c>
      <c r="E5496" s="676" t="s">
        <v>282</v>
      </c>
      <c r="F5496" s="664">
        <v>2.0</v>
      </c>
      <c r="G5496" s="677">
        <v>860000.0</v>
      </c>
      <c r="H5496" s="74">
        <v>0.0</v>
      </c>
      <c r="I5496" s="74">
        <f t="shared" si="1"/>
        <v>1720000</v>
      </c>
      <c r="J5496" s="74">
        <f>IF(E5496="SERVICE",I5496-(I5496*50%),Vlookup(E5496,DATABASE!C:Q,10,false)*F5496)</f>
        <v>0</v>
      </c>
      <c r="K5496" s="74">
        <f>VLOOKUP(E5496,DATABASE!C:Q,7,false)</f>
        <v>779500</v>
      </c>
      <c r="L5496" s="74">
        <v>771000.0</v>
      </c>
      <c r="M5496" s="74">
        <f t="shared" si="2"/>
        <v>775000</v>
      </c>
      <c r="N5496" s="74">
        <f t="shared" si="3"/>
        <v>170000</v>
      </c>
      <c r="O5496" s="65" t="str">
        <f>VLOOKUP(E5496,DATABASE!C:Q,8,false)</f>
        <v>IBU</v>
      </c>
      <c r="P5496" s="65">
        <f>VLOOKUP(E5496,DATABASE!C:Q,9,False)</f>
        <v>1</v>
      </c>
      <c r="Q5496" s="93" t="str">
        <f>VLOOKUP(E5496,DATABASE!C:Q,4,false)</f>
        <v>Dunlop</v>
      </c>
      <c r="R5496" s="93" t="str">
        <f>VLOOKUP(E5496,DATABASE!C:Q,11,false)</f>
        <v>Tire</v>
      </c>
      <c r="U5496" s="9"/>
    </row>
    <row r="5497" ht="22.5" customHeight="1">
      <c r="A5497" s="49"/>
      <c r="C5497" s="666">
        <v>45976.0</v>
      </c>
      <c r="D5497" s="673">
        <v>7855.0</v>
      </c>
      <c r="E5497" s="676" t="s">
        <v>256</v>
      </c>
      <c r="F5497" s="664">
        <v>1.0</v>
      </c>
      <c r="G5497" s="677">
        <v>130000.0</v>
      </c>
      <c r="H5497" s="74">
        <v>0.0</v>
      </c>
      <c r="I5497" s="74">
        <f t="shared" si="1"/>
        <v>130000</v>
      </c>
      <c r="J5497" s="74">
        <f>IF(E5497="SERVICE",I5497-(I5497*50%),Vlookup(E5497,DATABASE!C:Q,10,false)*F5497)</f>
        <v>10000</v>
      </c>
      <c r="K5497" s="74">
        <f>VLOOKUP(E5497,DATABASE!C:Q,7,false)</f>
        <v>0</v>
      </c>
      <c r="L5497" s="74">
        <v>0.0</v>
      </c>
      <c r="M5497" s="74">
        <f t="shared" si="2"/>
        <v>0</v>
      </c>
      <c r="N5497" s="74">
        <f t="shared" si="3"/>
        <v>120000</v>
      </c>
      <c r="O5497" s="65" t="str">
        <f>VLOOKUP(E5497,DATABASE!C:Q,8,false)</f>
        <v>IBU</v>
      </c>
      <c r="P5497" s="65">
        <f>VLOOKUP(E5497,DATABASE!C:Q,9,False)</f>
        <v>0</v>
      </c>
      <c r="Q5497" s="93" t="str">
        <f>VLOOKUP(E5497,DATABASE!C:Q,4,false)</f>
        <v>SPOORING</v>
      </c>
      <c r="R5497" s="93" t="str">
        <f>VLOOKUP(E5497,DATABASE!C:Q,11,false)</f>
        <v>SERVICE</v>
      </c>
      <c r="U5497" s="9"/>
    </row>
    <row r="5498" ht="22.5" customHeight="1">
      <c r="A5498" s="49"/>
      <c r="C5498" s="661">
        <v>45976.0</v>
      </c>
      <c r="D5498" s="673">
        <v>7855.0</v>
      </c>
      <c r="E5498" s="676" t="s">
        <v>251</v>
      </c>
      <c r="F5498" s="664">
        <v>1.0</v>
      </c>
      <c r="G5498" s="677">
        <v>150000.0</v>
      </c>
      <c r="H5498" s="74">
        <v>0.0</v>
      </c>
      <c r="I5498" s="74">
        <f t="shared" si="1"/>
        <v>150000</v>
      </c>
      <c r="J5498" s="74">
        <f>IF(E5498="SERVICE",I5498-(I5498*50%),Vlookup(E5498,DATABASE!C:Q,10,false)*F5498)</f>
        <v>75000</v>
      </c>
      <c r="K5498" s="74">
        <f>VLOOKUP(E5498,DATABASE!C:Q,7,false)</f>
        <v>0</v>
      </c>
      <c r="L5498" s="74">
        <v>0.0</v>
      </c>
      <c r="M5498" s="74">
        <f t="shared" si="2"/>
        <v>0</v>
      </c>
      <c r="N5498" s="74">
        <f t="shared" si="3"/>
        <v>75000</v>
      </c>
      <c r="O5498" s="65" t="str">
        <f>VLOOKUP(E5498,DATABASE!C:Q,8,false)</f>
        <v>IBU</v>
      </c>
      <c r="P5498" s="65">
        <f>VLOOKUP(E5498,DATABASE!C:Q,9,False)</f>
        <v>0</v>
      </c>
      <c r="Q5498" s="93" t="str">
        <f>VLOOKUP(E5498,DATABASE!C:Q,4,false)</f>
        <v>SERVICE</v>
      </c>
      <c r="R5498" s="93" t="str">
        <f>VLOOKUP(E5498,DATABASE!C:Q,11,false)</f>
        <v>SERVICE</v>
      </c>
    </row>
    <row r="5499" ht="22.5" customHeight="1">
      <c r="A5499" s="49"/>
      <c r="C5499" s="666">
        <v>45976.0</v>
      </c>
      <c r="D5499" s="673">
        <v>7856.0</v>
      </c>
      <c r="E5499" s="676" t="s">
        <v>391</v>
      </c>
      <c r="F5499" s="664">
        <v>1.0</v>
      </c>
      <c r="G5499" s="677">
        <v>1950000.0</v>
      </c>
      <c r="H5499" s="74">
        <v>0.0</v>
      </c>
      <c r="I5499" s="74">
        <f t="shared" si="1"/>
        <v>1950000</v>
      </c>
      <c r="J5499" s="74">
        <f>IF(E5499="SERVICE",I5499-(I5499*50%),Vlookup(E5499,DATABASE!C:Q,10,false)*F5499)</f>
        <v>0</v>
      </c>
      <c r="K5499" s="74">
        <f>VLOOKUP(E5499,DATABASE!C:Q,7,false)</f>
        <v>1885000</v>
      </c>
      <c r="L5499" s="74">
        <v>1840000.0</v>
      </c>
      <c r="M5499" s="74">
        <f t="shared" si="2"/>
        <v>1840000</v>
      </c>
      <c r="N5499" s="74">
        <f t="shared" si="3"/>
        <v>110000</v>
      </c>
      <c r="O5499" s="65" t="str">
        <f>VLOOKUP(E5499,DATABASE!C:Q,8,false)</f>
        <v>BIAN</v>
      </c>
      <c r="P5499" s="65">
        <f>VLOOKUP(E5499,DATABASE!C:Q,9,False)</f>
        <v>1</v>
      </c>
      <c r="Q5499" s="93" t="str">
        <f>VLOOKUP(E5499,DATABASE!C:Q,4,false)</f>
        <v>Advance</v>
      </c>
      <c r="R5499" s="93" t="str">
        <f>VLOOKUP(E5499,DATABASE!C:Q,11,false)</f>
        <v>Tire</v>
      </c>
    </row>
    <row r="5500" ht="22.5" customHeight="1">
      <c r="A5500" s="49"/>
      <c r="C5500" s="661">
        <v>45976.0</v>
      </c>
      <c r="D5500" s="673">
        <v>7857.0</v>
      </c>
      <c r="E5500" s="676" t="s">
        <v>932</v>
      </c>
      <c r="F5500" s="664">
        <v>2.0</v>
      </c>
      <c r="G5500" s="677">
        <v>680000.0</v>
      </c>
      <c r="H5500" s="74">
        <v>0.0</v>
      </c>
      <c r="I5500" s="74">
        <f t="shared" si="1"/>
        <v>1360000</v>
      </c>
      <c r="J5500" s="74">
        <f>IF(E5500="SERVICE",I5500-(I5500*50%),Vlookup(E5500,DATABASE!C:Q,10,false)*F5500)</f>
        <v>0</v>
      </c>
      <c r="K5500" s="74">
        <f>VLOOKUP(E5500,DATABASE!C:Q,7,false)</f>
        <v>601000</v>
      </c>
      <c r="L5500" s="74">
        <v>595000.0</v>
      </c>
      <c r="M5500" s="74">
        <f t="shared" si="2"/>
        <v>595000</v>
      </c>
      <c r="N5500" s="74">
        <f t="shared" si="3"/>
        <v>170000</v>
      </c>
      <c r="O5500" s="65" t="str">
        <f>VLOOKUP(E5500,DATABASE!C:Q,8,false)</f>
        <v>IBU</v>
      </c>
      <c r="P5500" s="65">
        <f>VLOOKUP(E5500,DATABASE!C:Q,9,False)</f>
        <v>1</v>
      </c>
      <c r="Q5500" s="93" t="str">
        <f>VLOOKUP(E5500,DATABASE!C:Q,4,false)</f>
        <v>Dunlop</v>
      </c>
      <c r="R5500" s="93" t="str">
        <f>VLOOKUP(E5500,DATABASE!C:Q,11,false)</f>
        <v>Tire</v>
      </c>
    </row>
    <row r="5501" ht="22.5" customHeight="1">
      <c r="A5501" s="49"/>
      <c r="C5501" s="661">
        <v>45976.0</v>
      </c>
      <c r="D5501" s="673">
        <v>7858.0</v>
      </c>
      <c r="E5501" s="676" t="s">
        <v>250</v>
      </c>
      <c r="F5501" s="664">
        <v>1.0</v>
      </c>
      <c r="G5501" s="677">
        <v>135000.0</v>
      </c>
      <c r="H5501" s="74">
        <v>0.0</v>
      </c>
      <c r="I5501" s="74">
        <f t="shared" si="1"/>
        <v>135000</v>
      </c>
      <c r="J5501" s="74">
        <f>IF(E5501="SERVICE",I5501-(I5501*50%),Vlookup(E5501,DATABASE!C:Q,10,false)*F5501)</f>
        <v>0</v>
      </c>
      <c r="K5501" s="74">
        <f>VLOOKUP(E5501,DATABASE!C:Q,7,false)</f>
        <v>102000</v>
      </c>
      <c r="L5501" s="74">
        <v>102000.0</v>
      </c>
      <c r="M5501" s="74">
        <f t="shared" si="2"/>
        <v>105000</v>
      </c>
      <c r="N5501" s="74">
        <f t="shared" si="3"/>
        <v>30000</v>
      </c>
      <c r="O5501" s="65" t="str">
        <f>VLOOKUP(E5501,DATABASE!C:Q,8,false)</f>
        <v>BIAN</v>
      </c>
      <c r="P5501" s="65">
        <f>VLOOKUP(E5501,DATABASE!C:Q,9,False)</f>
        <v>1</v>
      </c>
      <c r="Q5501" s="93" t="str">
        <f>VLOOKUP(E5501,DATABASE!C:Q,4,false)</f>
        <v>BD</v>
      </c>
      <c r="R5501" s="93" t="str">
        <f>VLOOKUP(E5501,DATABASE!C:Q,11,false)</f>
        <v>Tire</v>
      </c>
      <c r="U5501" s="9"/>
    </row>
    <row r="5502" ht="22.5" customHeight="1">
      <c r="A5502" s="49"/>
      <c r="C5502" s="666">
        <v>45976.0</v>
      </c>
      <c r="D5502" s="673">
        <v>7858.0</v>
      </c>
      <c r="E5502" s="676" t="s">
        <v>1133</v>
      </c>
      <c r="F5502" s="664">
        <v>1.0</v>
      </c>
      <c r="G5502" s="677">
        <v>820000.0</v>
      </c>
      <c r="H5502" s="74">
        <v>0.0</v>
      </c>
      <c r="I5502" s="74">
        <f t="shared" si="1"/>
        <v>820000</v>
      </c>
      <c r="J5502" s="74">
        <f>IF(E5502="SERVICE",I5502-(I5502*50%),Vlookup(E5502,DATABASE!C:Q,10,false)*F5502)</f>
        <v>0</v>
      </c>
      <c r="K5502" s="74">
        <f>VLOOKUP(E5502,DATABASE!C:Q,7,false)</f>
        <v>759539.2</v>
      </c>
      <c r="L5502" s="74">
        <v>715635.0</v>
      </c>
      <c r="M5502" s="74">
        <f t="shared" si="2"/>
        <v>720000</v>
      </c>
      <c r="N5502" s="74">
        <f t="shared" si="3"/>
        <v>100000</v>
      </c>
      <c r="O5502" s="65" t="str">
        <f>VLOOKUP(E5502,DATABASE!C:Q,8,false)</f>
        <v>IBU</v>
      </c>
      <c r="P5502" s="65">
        <f>VLOOKUP(E5502,DATABASE!C:Q,9,False)</f>
        <v>1</v>
      </c>
      <c r="Q5502" s="93" t="str">
        <f>VLOOKUP(E5502,DATABASE!C:Q,4,false)</f>
        <v>Bridgestone</v>
      </c>
      <c r="R5502" s="93" t="str">
        <f>VLOOKUP(E5502,DATABASE!C:Q,11,false)</f>
        <v>Tire</v>
      </c>
      <c r="U5502" s="9">
        <v>1950000.0</v>
      </c>
    </row>
    <row r="5503" ht="22.5" customHeight="1">
      <c r="A5503" s="49"/>
      <c r="C5503" s="661">
        <v>45976.0</v>
      </c>
      <c r="D5503" s="673">
        <v>7858.0</v>
      </c>
      <c r="E5503" s="676" t="s">
        <v>256</v>
      </c>
      <c r="F5503" s="664">
        <v>1.0</v>
      </c>
      <c r="G5503" s="677">
        <v>130000.0</v>
      </c>
      <c r="H5503" s="74">
        <v>0.0</v>
      </c>
      <c r="I5503" s="74">
        <f t="shared" si="1"/>
        <v>130000</v>
      </c>
      <c r="J5503" s="74">
        <f>IF(E5503="SERVICE",I5503-(I5503*50%),Vlookup(E5503,DATABASE!C:Q,10,false)*F5503)</f>
        <v>10000</v>
      </c>
      <c r="K5503" s="74">
        <f>VLOOKUP(E5503,DATABASE!C:Q,7,false)</f>
        <v>0</v>
      </c>
      <c r="L5503" s="74">
        <v>0.0</v>
      </c>
      <c r="M5503" s="74">
        <f t="shared" si="2"/>
        <v>0</v>
      </c>
      <c r="N5503" s="74">
        <f t="shared" si="3"/>
        <v>120000</v>
      </c>
      <c r="O5503" s="65" t="str">
        <f>VLOOKUP(E5503,DATABASE!C:Q,8,false)</f>
        <v>IBU</v>
      </c>
      <c r="P5503" s="65">
        <f>VLOOKUP(E5503,DATABASE!C:Q,9,False)</f>
        <v>0</v>
      </c>
      <c r="Q5503" s="93" t="str">
        <f>VLOOKUP(E5503,DATABASE!C:Q,4,false)</f>
        <v>SPOORING</v>
      </c>
      <c r="R5503" s="93" t="str">
        <f>VLOOKUP(E5503,DATABASE!C:Q,11,false)</f>
        <v>SERVICE</v>
      </c>
      <c r="U5503" s="9">
        <v>135000.0</v>
      </c>
    </row>
    <row r="5504" ht="22.5" customHeight="1">
      <c r="A5504" s="49"/>
      <c r="C5504" s="666">
        <v>45976.0</v>
      </c>
      <c r="D5504" s="673">
        <v>7858.0</v>
      </c>
      <c r="E5504" s="676" t="s">
        <v>251</v>
      </c>
      <c r="F5504" s="664">
        <v>1.0</v>
      </c>
      <c r="G5504" s="677">
        <v>150000.0</v>
      </c>
      <c r="H5504" s="74">
        <v>0.0</v>
      </c>
      <c r="I5504" s="74">
        <f t="shared" si="1"/>
        <v>150000</v>
      </c>
      <c r="J5504" s="74">
        <f>IF(E5504="SERVICE",I5504-(I5504*50%),Vlookup(E5504,DATABASE!C:Q,10,false)*F5504)</f>
        <v>75000</v>
      </c>
      <c r="K5504" s="74">
        <f>VLOOKUP(E5504,DATABASE!C:Q,7,false)</f>
        <v>0</v>
      </c>
      <c r="L5504" s="74">
        <v>0.0</v>
      </c>
      <c r="M5504" s="74">
        <f t="shared" si="2"/>
        <v>0</v>
      </c>
      <c r="N5504" s="74">
        <f t="shared" si="3"/>
        <v>75000</v>
      </c>
      <c r="O5504" s="65" t="str">
        <f>VLOOKUP(E5504,DATABASE!C:Q,8,false)</f>
        <v>IBU</v>
      </c>
      <c r="P5504" s="65">
        <f>VLOOKUP(E5504,DATABASE!C:Q,9,False)</f>
        <v>0</v>
      </c>
      <c r="Q5504" s="93" t="str">
        <f>VLOOKUP(E5504,DATABASE!C:Q,4,false)</f>
        <v>SERVICE</v>
      </c>
      <c r="R5504" s="93" t="str">
        <f>VLOOKUP(E5504,DATABASE!C:Q,11,false)</f>
        <v>SERVICE</v>
      </c>
      <c r="U5504" s="9"/>
    </row>
    <row r="5505" ht="22.5" customHeight="1">
      <c r="A5505" s="49"/>
      <c r="C5505" s="666">
        <v>45976.0</v>
      </c>
      <c r="D5505" s="673">
        <v>7859.0</v>
      </c>
      <c r="E5505" s="676" t="s">
        <v>256</v>
      </c>
      <c r="F5505" s="664">
        <v>1.0</v>
      </c>
      <c r="G5505" s="677">
        <v>130000.0</v>
      </c>
      <c r="H5505" s="74">
        <v>0.0</v>
      </c>
      <c r="I5505" s="74">
        <f t="shared" si="1"/>
        <v>130000</v>
      </c>
      <c r="J5505" s="74">
        <f>IF(E5505="SERVICE",I5505-(I5505*50%),Vlookup(E5505,DATABASE!C:Q,10,false)*F5505)</f>
        <v>10000</v>
      </c>
      <c r="K5505" s="74">
        <f>VLOOKUP(E5505,DATABASE!C:Q,7,false)</f>
        <v>0</v>
      </c>
      <c r="L5505" s="74">
        <v>0.0</v>
      </c>
      <c r="M5505" s="74">
        <f t="shared" si="2"/>
        <v>0</v>
      </c>
      <c r="N5505" s="74">
        <f t="shared" si="3"/>
        <v>120000</v>
      </c>
      <c r="O5505" s="65" t="str">
        <f>VLOOKUP(E5505,DATABASE!C:Q,8,false)</f>
        <v>IBU</v>
      </c>
      <c r="P5505" s="65">
        <f>VLOOKUP(E5505,DATABASE!C:Q,9,False)</f>
        <v>0</v>
      </c>
      <c r="Q5505" s="93" t="str">
        <f>VLOOKUP(E5505,DATABASE!C:Q,4,false)</f>
        <v>SPOORING</v>
      </c>
      <c r="R5505" s="93" t="str">
        <f>VLOOKUP(E5505,DATABASE!C:Q,11,false)</f>
        <v>SERVICE</v>
      </c>
    </row>
    <row r="5506" ht="22.5" customHeight="1">
      <c r="A5506" s="49"/>
      <c r="C5506" s="661">
        <v>45976.0</v>
      </c>
      <c r="D5506" s="673">
        <v>7859.0</v>
      </c>
      <c r="E5506" s="676" t="s">
        <v>251</v>
      </c>
      <c r="F5506" s="664">
        <v>1.0</v>
      </c>
      <c r="G5506" s="677">
        <v>150000.0</v>
      </c>
      <c r="H5506" s="74">
        <v>0.0</v>
      </c>
      <c r="I5506" s="74">
        <f t="shared" si="1"/>
        <v>150000</v>
      </c>
      <c r="J5506" s="74">
        <f>IF(E5506="SERVICE",I5506-(I5506*50%),Vlookup(E5506,DATABASE!C:Q,10,false)*F5506)</f>
        <v>75000</v>
      </c>
      <c r="K5506" s="74">
        <f>VLOOKUP(E5506,DATABASE!C:Q,7,false)</f>
        <v>0</v>
      </c>
      <c r="L5506" s="74">
        <v>0.0</v>
      </c>
      <c r="M5506" s="74">
        <f t="shared" si="2"/>
        <v>0</v>
      </c>
      <c r="N5506" s="74">
        <f t="shared" si="3"/>
        <v>75000</v>
      </c>
      <c r="O5506" s="65" t="str">
        <f>VLOOKUP(E5506,DATABASE!C:Q,8,false)</f>
        <v>IBU</v>
      </c>
      <c r="P5506" s="65">
        <f>VLOOKUP(E5506,DATABASE!C:Q,9,False)</f>
        <v>0</v>
      </c>
      <c r="Q5506" s="93" t="str">
        <f>VLOOKUP(E5506,DATABASE!C:Q,4,false)</f>
        <v>SERVICE</v>
      </c>
      <c r="R5506" s="93" t="str">
        <f>VLOOKUP(E5506,DATABASE!C:Q,11,false)</f>
        <v>SERVICE</v>
      </c>
    </row>
    <row r="5507" ht="22.5" customHeight="1">
      <c r="A5507" s="49"/>
      <c r="C5507" s="666">
        <v>45976.0</v>
      </c>
      <c r="D5507" s="673">
        <v>7860.0</v>
      </c>
      <c r="E5507" s="676" t="s">
        <v>275</v>
      </c>
      <c r="F5507" s="664">
        <v>4.0</v>
      </c>
      <c r="G5507" s="677">
        <v>830000.0</v>
      </c>
      <c r="H5507" s="74">
        <v>0.0</v>
      </c>
      <c r="I5507" s="74">
        <f t="shared" si="1"/>
        <v>3320000</v>
      </c>
      <c r="J5507" s="74">
        <f>IF(E5507="SERVICE",I5507-(I5507*50%),Vlookup(E5507,DATABASE!C:Q,10,false)*F5507)</f>
        <v>0</v>
      </c>
      <c r="K5507" s="74">
        <f>VLOOKUP(E5507,DATABASE!C:Q,7,false)</f>
        <v>782000</v>
      </c>
      <c r="L5507" s="74">
        <v>745000.0</v>
      </c>
      <c r="M5507" s="74">
        <f t="shared" si="2"/>
        <v>745000</v>
      </c>
      <c r="N5507" s="74">
        <f t="shared" si="3"/>
        <v>340000</v>
      </c>
      <c r="O5507" s="65" t="str">
        <f>VLOOKUP(E5507,DATABASE!C:Q,8,false)</f>
        <v>IBU</v>
      </c>
      <c r="P5507" s="65">
        <f>VLOOKUP(E5507,DATABASE!C:Q,9,False)</f>
        <v>1</v>
      </c>
      <c r="Q5507" s="93" t="str">
        <f>VLOOKUP(E5507,DATABASE!C:Q,4,false)</f>
        <v>Dunlop</v>
      </c>
      <c r="R5507" s="93" t="str">
        <f>VLOOKUP(E5507,DATABASE!C:Q,11,false)</f>
        <v>Tire</v>
      </c>
    </row>
    <row r="5508" ht="22.5" customHeight="1">
      <c r="A5508" s="49"/>
      <c r="C5508" s="666">
        <v>45976.0</v>
      </c>
      <c r="D5508" s="673" t="s">
        <v>0</v>
      </c>
      <c r="E5508" s="676" t="s">
        <v>263</v>
      </c>
      <c r="F5508" s="664">
        <v>1.0</v>
      </c>
      <c r="G5508" s="677">
        <v>320000.0</v>
      </c>
      <c r="H5508" s="74">
        <v>0.0</v>
      </c>
      <c r="I5508" s="74">
        <f t="shared" si="1"/>
        <v>320000</v>
      </c>
      <c r="J5508" s="74">
        <f>IF(E5508="SERVICE",I5508-(I5508*50%),Vlookup(E5508,DATABASE!C:Q,10,false)*F5508)</f>
        <v>0</v>
      </c>
      <c r="K5508" s="74">
        <f>VLOOKUP(E5508,DATABASE!C:Q,7,false)</f>
        <v>334916</v>
      </c>
      <c r="L5508" s="74">
        <v>287688.0</v>
      </c>
      <c r="M5508" s="74">
        <f t="shared" si="2"/>
        <v>290000</v>
      </c>
      <c r="N5508" s="74">
        <f t="shared" si="3"/>
        <v>30000</v>
      </c>
      <c r="O5508" s="65" t="str">
        <f>VLOOKUP(E5508,DATABASE!C:Q,8,false)</f>
        <v>NON</v>
      </c>
      <c r="P5508" s="65">
        <f>VLOOKUP(E5508,DATABASE!C:Q,9,False)</f>
        <v>0</v>
      </c>
      <c r="Q5508" s="93" t="str">
        <f>VLOOKUP(E5508,DATABASE!C:Q,4,false)</f>
        <v>Shell</v>
      </c>
      <c r="R5508" s="93" t="str">
        <f>VLOOKUP(E5508,DATABASE!C:Q,11,false)</f>
        <v>OIL</v>
      </c>
    </row>
    <row r="5509" ht="22.5" customHeight="1">
      <c r="A5509" s="49"/>
      <c r="C5509" s="661">
        <v>45976.0</v>
      </c>
      <c r="D5509" s="645"/>
      <c r="E5509" s="676" t="s">
        <v>252</v>
      </c>
      <c r="F5509" s="664">
        <v>1.0</v>
      </c>
      <c r="G5509" s="677">
        <v>300000.0</v>
      </c>
      <c r="H5509" s="74">
        <v>0.0</v>
      </c>
      <c r="I5509" s="74">
        <f t="shared" si="1"/>
        <v>300000</v>
      </c>
      <c r="J5509" s="74">
        <f>IF(E5509="SERVICE",I5509-(I5509*50%),Vlookup(E5509,DATABASE!C:Q,10,false)*F5509)</f>
        <v>0</v>
      </c>
      <c r="K5509" s="74">
        <f>VLOOKUP(E5509,DATABASE!C:Q,7,false)</f>
        <v>317518</v>
      </c>
      <c r="L5509" s="74">
        <v>271778.0</v>
      </c>
      <c r="M5509" s="74">
        <f t="shared" si="2"/>
        <v>275000</v>
      </c>
      <c r="N5509" s="74">
        <f t="shared" si="3"/>
        <v>25000</v>
      </c>
      <c r="O5509" s="65" t="str">
        <f>VLOOKUP(E5509,DATABASE!C:Q,8,false)</f>
        <v>NON</v>
      </c>
      <c r="P5509" s="65">
        <f>VLOOKUP(E5509,DATABASE!C:Q,9,False)</f>
        <v>0</v>
      </c>
      <c r="Q5509" s="93" t="str">
        <f>VLOOKUP(E5509,DATABASE!C:Q,4,false)</f>
        <v>Shell</v>
      </c>
      <c r="R5509" s="93" t="str">
        <f>VLOOKUP(E5509,DATABASE!C:Q,11,false)</f>
        <v>OIL</v>
      </c>
    </row>
    <row r="5510" ht="22.5" customHeight="1">
      <c r="A5510" s="49"/>
      <c r="C5510" s="661">
        <v>45976.0</v>
      </c>
      <c r="D5510" s="645"/>
      <c r="E5510" s="676" t="s">
        <v>252</v>
      </c>
      <c r="F5510" s="664">
        <v>1.0</v>
      </c>
      <c r="G5510" s="677">
        <v>300000.0</v>
      </c>
      <c r="H5510" s="74">
        <v>0.0</v>
      </c>
      <c r="I5510" s="74">
        <f t="shared" si="1"/>
        <v>300000</v>
      </c>
      <c r="J5510" s="74">
        <f>IF(E5510="SERVICE",I5510-(I5510*50%),Vlookup(E5510,DATABASE!C:Q,10,false)*F5510)</f>
        <v>0</v>
      </c>
      <c r="K5510" s="74">
        <f>VLOOKUP(E5510,DATABASE!C:Q,7,false)</f>
        <v>317518</v>
      </c>
      <c r="L5510" s="74">
        <v>271778.0</v>
      </c>
      <c r="M5510" s="74">
        <f t="shared" si="2"/>
        <v>275000</v>
      </c>
      <c r="N5510" s="74">
        <f t="shared" si="3"/>
        <v>25000</v>
      </c>
      <c r="O5510" s="65" t="str">
        <f>VLOOKUP(E5510,DATABASE!C:Q,8,false)</f>
        <v>NON</v>
      </c>
      <c r="P5510" s="65">
        <f>VLOOKUP(E5510,DATABASE!C:Q,9,False)</f>
        <v>0</v>
      </c>
      <c r="Q5510" s="93" t="str">
        <f>VLOOKUP(E5510,DATABASE!C:Q,4,false)</f>
        <v>Shell</v>
      </c>
      <c r="R5510" s="93" t="str">
        <f>VLOOKUP(E5510,DATABASE!C:Q,11,false)</f>
        <v>OIL</v>
      </c>
      <c r="U5510" s="9"/>
    </row>
    <row r="5511" ht="22.5" customHeight="1">
      <c r="A5511" s="49"/>
      <c r="C5511" s="678">
        <v>45977.0</v>
      </c>
      <c r="D5511" s="679">
        <v>7861.0</v>
      </c>
      <c r="E5511" s="680" t="s">
        <v>275</v>
      </c>
      <c r="F5511" s="670">
        <v>2.0</v>
      </c>
      <c r="G5511" s="681">
        <v>830000.0</v>
      </c>
      <c r="H5511" s="74">
        <v>0.0</v>
      </c>
      <c r="I5511" s="74">
        <f t="shared" si="1"/>
        <v>1660000</v>
      </c>
      <c r="J5511" s="74">
        <f>IF(E5511="SERVICE",I5511-(I5511*50%),Vlookup(E5511,DATABASE!C:Q,10,false)*F5511)</f>
        <v>0</v>
      </c>
      <c r="K5511" s="74">
        <f>VLOOKUP(E5511,DATABASE!C:Q,7,false)</f>
        <v>782000</v>
      </c>
      <c r="L5511" s="74">
        <v>745000.0</v>
      </c>
      <c r="M5511" s="74">
        <f t="shared" si="2"/>
        <v>745000</v>
      </c>
      <c r="N5511" s="74">
        <f t="shared" si="3"/>
        <v>170000</v>
      </c>
      <c r="O5511" s="65" t="str">
        <f>VLOOKUP(E5511,DATABASE!C:Q,8,false)</f>
        <v>IBU</v>
      </c>
      <c r="P5511" s="65">
        <f>VLOOKUP(E5511,DATABASE!C:Q,9,False)</f>
        <v>1</v>
      </c>
      <c r="Q5511" s="93" t="str">
        <f>VLOOKUP(E5511,DATABASE!C:Q,4,false)</f>
        <v>Dunlop</v>
      </c>
      <c r="R5511" s="93" t="str">
        <f>VLOOKUP(E5511,DATABASE!C:Q,11,false)</f>
        <v>Tire</v>
      </c>
      <c r="U5511" s="9"/>
    </row>
    <row r="5512" ht="22.5" customHeight="1">
      <c r="A5512" s="49"/>
      <c r="C5512" s="666">
        <v>45977.0</v>
      </c>
      <c r="D5512" s="679">
        <v>7862.0</v>
      </c>
      <c r="E5512" s="676" t="s">
        <v>268</v>
      </c>
      <c r="F5512" s="664">
        <v>2.0</v>
      </c>
      <c r="G5512" s="677">
        <v>710000.0</v>
      </c>
      <c r="H5512" s="74">
        <v>0.0</v>
      </c>
      <c r="I5512" s="74">
        <f t="shared" si="1"/>
        <v>1420000</v>
      </c>
      <c r="J5512" s="74">
        <f>IF(E5512="SERVICE",I5512-(I5512*50%),Vlookup(E5512,DATABASE!C:Q,10,false)*F5512)</f>
        <v>0</v>
      </c>
      <c r="K5512" s="74">
        <f>VLOOKUP(E5512,DATABASE!C:Q,7,false)</f>
        <v>653000</v>
      </c>
      <c r="L5512" s="74">
        <v>622000.0</v>
      </c>
      <c r="M5512" s="74">
        <f t="shared" si="2"/>
        <v>625000</v>
      </c>
      <c r="N5512" s="74">
        <f t="shared" si="3"/>
        <v>170000</v>
      </c>
      <c r="O5512" s="65" t="str">
        <f>VLOOKUP(E5512,DATABASE!C:Q,8,false)</f>
        <v>IBU</v>
      </c>
      <c r="P5512" s="65">
        <f>VLOOKUP(E5512,DATABASE!C:Q,9,False)</f>
        <v>1</v>
      </c>
      <c r="Q5512" s="93" t="str">
        <f>VLOOKUP(E5512,DATABASE!C:Q,4,false)</f>
        <v>Dunlop</v>
      </c>
      <c r="R5512" s="93" t="str">
        <f>VLOOKUP(E5512,DATABASE!C:Q,11,false)</f>
        <v>Tire</v>
      </c>
      <c r="U5512" s="9"/>
    </row>
    <row r="5513" ht="22.5" customHeight="1">
      <c r="A5513" s="49"/>
      <c r="C5513" s="666">
        <v>45977.0</v>
      </c>
      <c r="D5513" s="673">
        <v>7863.0</v>
      </c>
      <c r="E5513" s="676" t="s">
        <v>275</v>
      </c>
      <c r="F5513" s="664">
        <v>2.0</v>
      </c>
      <c r="G5513" s="677">
        <v>830000.0</v>
      </c>
      <c r="H5513" s="74">
        <v>0.0</v>
      </c>
      <c r="I5513" s="74">
        <f t="shared" si="1"/>
        <v>1660000</v>
      </c>
      <c r="J5513" s="74">
        <f>IF(E5513="SERVICE",I5513-(I5513*50%),Vlookup(E5513,DATABASE!C:Q,10,false)*F5513)</f>
        <v>0</v>
      </c>
      <c r="K5513" s="74">
        <f>VLOOKUP(E5513,DATABASE!C:Q,7,false)</f>
        <v>782000</v>
      </c>
      <c r="L5513" s="74">
        <v>745000.0</v>
      </c>
      <c r="M5513" s="74">
        <f t="shared" si="2"/>
        <v>745000</v>
      </c>
      <c r="N5513" s="74">
        <f t="shared" si="3"/>
        <v>170000</v>
      </c>
      <c r="O5513" s="65" t="str">
        <f>VLOOKUP(E5513,DATABASE!C:Q,8,false)</f>
        <v>IBU</v>
      </c>
      <c r="P5513" s="65">
        <f>VLOOKUP(E5513,DATABASE!C:Q,9,False)</f>
        <v>1</v>
      </c>
      <c r="Q5513" s="93" t="str">
        <f>VLOOKUP(E5513,DATABASE!C:Q,4,false)</f>
        <v>Dunlop</v>
      </c>
      <c r="R5513" s="93" t="str">
        <f>VLOOKUP(E5513,DATABASE!C:Q,11,false)</f>
        <v>Tire</v>
      </c>
    </row>
    <row r="5514" ht="22.5" customHeight="1">
      <c r="A5514" s="49"/>
      <c r="C5514" s="661">
        <v>45977.0</v>
      </c>
      <c r="D5514" s="673">
        <v>7863.0</v>
      </c>
      <c r="E5514" s="671" t="s">
        <v>299</v>
      </c>
      <c r="F5514" s="664">
        <v>2.0</v>
      </c>
      <c r="G5514" s="677">
        <v>30000.0</v>
      </c>
      <c r="H5514" s="74">
        <v>0.0</v>
      </c>
      <c r="I5514" s="74">
        <f t="shared" si="1"/>
        <v>60000</v>
      </c>
      <c r="J5514" s="74">
        <f>IF(E5514="SERVICE",I5514-(I5514*50%),Vlookup(E5514,DATABASE!C:Q,10,false)*F5514)</f>
        <v>0</v>
      </c>
      <c r="K5514" s="74">
        <f>VLOOKUP(E5514,DATABASE!C:Q,7,false)</f>
        <v>10000</v>
      </c>
      <c r="L5514" s="74">
        <v>5000.0</v>
      </c>
      <c r="M5514" s="74">
        <f t="shared" si="2"/>
        <v>5000</v>
      </c>
      <c r="N5514" s="74">
        <f t="shared" si="3"/>
        <v>50000</v>
      </c>
      <c r="O5514" s="65" t="str">
        <f>VLOOKUP(E5514,DATABASE!C:Q,8,false)</f>
        <v>BIAN</v>
      </c>
      <c r="P5514" s="65">
        <f>VLOOKUP(E5514,DATABASE!C:Q,9,False)</f>
        <v>0</v>
      </c>
      <c r="Q5514" s="93" t="str">
        <f>VLOOKUP(E5514,DATABASE!C:Q,4,false)</f>
        <v>Balancing</v>
      </c>
      <c r="R5514" s="93" t="str">
        <f>VLOOKUP(E5514,DATABASE!C:Q,11,false)</f>
        <v>COMPLEMENTARY</v>
      </c>
      <c r="U5514" s="9"/>
    </row>
    <row r="5515" ht="22.5" customHeight="1">
      <c r="A5515" s="49"/>
      <c r="C5515" s="666">
        <v>45977.0</v>
      </c>
      <c r="D5515" s="673">
        <v>7863.0</v>
      </c>
      <c r="E5515" s="676" t="s">
        <v>256</v>
      </c>
      <c r="F5515" s="664">
        <v>1.0</v>
      </c>
      <c r="G5515" s="677">
        <v>130000.0</v>
      </c>
      <c r="H5515" s="74">
        <v>0.0</v>
      </c>
      <c r="I5515" s="74">
        <f t="shared" si="1"/>
        <v>130000</v>
      </c>
      <c r="J5515" s="74">
        <f>IF(E5515="SERVICE",I5515-(I5515*50%),Vlookup(E5515,DATABASE!C:Q,10,false)*F5515)</f>
        <v>10000</v>
      </c>
      <c r="K5515" s="74">
        <f>VLOOKUP(E5515,DATABASE!C:Q,7,false)</f>
        <v>0</v>
      </c>
      <c r="L5515" s="74">
        <v>0.0</v>
      </c>
      <c r="M5515" s="74">
        <f t="shared" si="2"/>
        <v>0</v>
      </c>
      <c r="N5515" s="74">
        <f t="shared" si="3"/>
        <v>120000</v>
      </c>
      <c r="O5515" s="65" t="str">
        <f>VLOOKUP(E5515,DATABASE!C:Q,8,false)</f>
        <v>IBU</v>
      </c>
      <c r="P5515" s="65">
        <f>VLOOKUP(E5515,DATABASE!C:Q,9,False)</f>
        <v>0</v>
      </c>
      <c r="Q5515" s="93" t="str">
        <f>VLOOKUP(E5515,DATABASE!C:Q,4,false)</f>
        <v>SPOORING</v>
      </c>
      <c r="R5515" s="93" t="str">
        <f>VLOOKUP(E5515,DATABASE!C:Q,11,false)</f>
        <v>SERVICE</v>
      </c>
    </row>
    <row r="5516" ht="22.5" customHeight="1">
      <c r="A5516" s="49"/>
      <c r="C5516" s="661">
        <v>45977.0</v>
      </c>
      <c r="D5516" s="673">
        <v>7863.0</v>
      </c>
      <c r="E5516" s="676" t="s">
        <v>301</v>
      </c>
      <c r="F5516" s="664">
        <v>1.0</v>
      </c>
      <c r="G5516" s="677">
        <v>250000.0</v>
      </c>
      <c r="H5516" s="74">
        <v>0.0</v>
      </c>
      <c r="I5516" s="74">
        <f t="shared" si="1"/>
        <v>250000</v>
      </c>
      <c r="J5516" s="74">
        <f>IF(E5516="SERVICE",I5516-(I5516*50%),Vlookup(E5516,DATABASE!C:Q,10,false)*F5516)</f>
        <v>75000</v>
      </c>
      <c r="K5516" s="74">
        <f>VLOOKUP(E5516,DATABASE!C:Q,7,false)</f>
        <v>75000</v>
      </c>
      <c r="L5516" s="74">
        <v>75000.0</v>
      </c>
      <c r="M5516" s="74">
        <f t="shared" si="2"/>
        <v>75000</v>
      </c>
      <c r="N5516" s="74">
        <f t="shared" si="3"/>
        <v>100000</v>
      </c>
      <c r="O5516" s="65" t="str">
        <f>VLOOKUP(E5516,DATABASE!C:Q,8,false)</f>
        <v>BIAN</v>
      </c>
      <c r="P5516" s="65">
        <f>VLOOKUP(E5516,DATABASE!C:Q,9,False)</f>
        <v>0</v>
      </c>
      <c r="Q5516" s="93" t="str">
        <f>VLOOKUP(E5516,DATABASE!C:Q,4,false)</f>
        <v>Baut Camber</v>
      </c>
      <c r="R5516" s="93" t="str">
        <f>VLOOKUP(E5516,DATABASE!C:Q,11,false)</f>
        <v>COMPLEMENTARY</v>
      </c>
    </row>
    <row r="5517" ht="22.5" customHeight="1">
      <c r="A5517" s="49"/>
      <c r="C5517" s="661">
        <v>45977.0</v>
      </c>
      <c r="D5517" s="673">
        <v>7864.0</v>
      </c>
      <c r="E5517" s="676" t="s">
        <v>687</v>
      </c>
      <c r="F5517" s="664">
        <v>2.0</v>
      </c>
      <c r="G5517" s="677">
        <v>1050000.0</v>
      </c>
      <c r="H5517" s="74">
        <v>0.0</v>
      </c>
      <c r="I5517" s="74">
        <f t="shared" si="1"/>
        <v>2100000</v>
      </c>
      <c r="J5517" s="74">
        <f>IF(E5517="SERVICE",I5517-(I5517*50%),Vlookup(E5517,DATABASE!C:Q,10,false)*F5517)</f>
        <v>0</v>
      </c>
      <c r="K5517" s="74">
        <f>VLOOKUP(E5517,DATABASE!C:Q,7,false)</f>
        <v>959000</v>
      </c>
      <c r="L5517" s="74">
        <v>949000.0</v>
      </c>
      <c r="M5517" s="74">
        <f t="shared" si="2"/>
        <v>950000</v>
      </c>
      <c r="N5517" s="74">
        <f t="shared" si="3"/>
        <v>200000</v>
      </c>
      <c r="O5517" s="65" t="str">
        <f>VLOOKUP(E5517,DATABASE!C:Q,8,false)</f>
        <v>IBU</v>
      </c>
      <c r="P5517" s="65">
        <f>VLOOKUP(E5517,DATABASE!C:Q,9,False)</f>
        <v>1</v>
      </c>
      <c r="Q5517" s="93" t="str">
        <f>VLOOKUP(E5517,DATABASE!C:Q,4,false)</f>
        <v>Dunlop</v>
      </c>
      <c r="R5517" s="93" t="str">
        <f>VLOOKUP(E5517,DATABASE!C:Q,11,false)</f>
        <v>Tire</v>
      </c>
    </row>
    <row r="5518" ht="22.5" customHeight="1">
      <c r="A5518" s="49"/>
      <c r="C5518" s="666">
        <v>45977.0</v>
      </c>
      <c r="D5518" s="673">
        <v>7864.0</v>
      </c>
      <c r="E5518" s="676" t="s">
        <v>246</v>
      </c>
      <c r="F5518" s="664">
        <v>2.0</v>
      </c>
      <c r="G5518" s="677">
        <v>25000.0</v>
      </c>
      <c r="H5518" s="74">
        <v>0.0</v>
      </c>
      <c r="I5518" s="74">
        <f t="shared" si="1"/>
        <v>50000</v>
      </c>
      <c r="J5518" s="74">
        <f>IF(E5518="SERVICE",I5518-(I5518*50%),Vlookup(E5518,DATABASE!C:Q,10,false)*F5518)</f>
        <v>0</v>
      </c>
      <c r="K5518" s="74">
        <f>VLOOKUP(E5518,DATABASE!C:Q,7,false)</f>
        <v>0</v>
      </c>
      <c r="L5518" s="74">
        <v>0.0</v>
      </c>
      <c r="M5518" s="74">
        <f t="shared" si="2"/>
        <v>0</v>
      </c>
      <c r="N5518" s="74">
        <f t="shared" si="3"/>
        <v>50000</v>
      </c>
      <c r="O5518" s="65" t="str">
        <f>VLOOKUP(E5518,DATABASE!C:Q,8,false)</f>
        <v>IBU</v>
      </c>
      <c r="P5518" s="65">
        <f>VLOOKUP(E5518,DATABASE!C:Q,9,False)</f>
        <v>0</v>
      </c>
      <c r="Q5518" s="93" t="str">
        <f>VLOOKUP(E5518,DATABASE!C:Q,4,false)</f>
        <v>Bongkar Pasang</v>
      </c>
      <c r="R5518" s="93" t="str">
        <f>VLOOKUP(E5518,DATABASE!C:Q,11,false)</f>
        <v>SERVICE</v>
      </c>
    </row>
    <row r="5519" ht="22.5" customHeight="1">
      <c r="A5519" s="49"/>
      <c r="C5519" s="661">
        <v>45977.0</v>
      </c>
      <c r="D5519" s="673" t="s">
        <v>0</v>
      </c>
      <c r="E5519" s="676" t="s">
        <v>1369</v>
      </c>
      <c r="F5519" s="664">
        <v>1.0</v>
      </c>
      <c r="G5519" s="677">
        <v>500000.0</v>
      </c>
      <c r="H5519" s="74">
        <v>0.0</v>
      </c>
      <c r="I5519" s="74">
        <f t="shared" si="1"/>
        <v>500000</v>
      </c>
      <c r="J5519" s="74">
        <f>IF(E5519="SERVICE",I5519-(I5519*50%),Vlookup(E5519,DATABASE!C:Q,10,false)*F5519)</f>
        <v>0</v>
      </c>
      <c r="K5519" s="74">
        <f>VLOOKUP(E5519,DATABASE!C:Q,7,false)</f>
        <v>480000</v>
      </c>
      <c r="L5519" s="74">
        <v>480000.0</v>
      </c>
      <c r="M5519" s="74">
        <f t="shared" si="2"/>
        <v>480000</v>
      </c>
      <c r="N5519" s="74">
        <f t="shared" si="3"/>
        <v>20000</v>
      </c>
      <c r="O5519" s="65" t="str">
        <f>VLOOKUP(E5519,DATABASE!C:Q,8,false)</f>
        <v>NON</v>
      </c>
      <c r="P5519" s="65">
        <f>VLOOKUP(E5519,DATABASE!C:Q,9,False)</f>
        <v>0</v>
      </c>
      <c r="Q5519" s="93" t="str">
        <f>VLOOKUP(E5519,DATABASE!C:Q,4,false)</f>
        <v>Castrol</v>
      </c>
      <c r="R5519" s="93" t="str">
        <f>VLOOKUP(E5519,DATABASE!C:Q,11,false)</f>
        <v>OIL</v>
      </c>
      <c r="U5519" s="9"/>
    </row>
    <row r="5520" ht="22.5" customHeight="1">
      <c r="A5520" s="49"/>
      <c r="C5520" s="666">
        <v>45977.0</v>
      </c>
      <c r="D5520" s="645"/>
      <c r="E5520" s="676" t="s">
        <v>263</v>
      </c>
      <c r="F5520" s="664">
        <v>1.0</v>
      </c>
      <c r="G5520" s="677">
        <v>300000.0</v>
      </c>
      <c r="H5520" s="74">
        <v>0.0</v>
      </c>
      <c r="I5520" s="74">
        <f t="shared" si="1"/>
        <v>300000</v>
      </c>
      <c r="J5520" s="74">
        <f>IF(E5520="SERVICE",I5520-(I5520*50%),Vlookup(E5520,DATABASE!C:Q,10,false)*F5520)</f>
        <v>0</v>
      </c>
      <c r="K5520" s="74">
        <f>VLOOKUP(E5520,DATABASE!C:Q,7,false)</f>
        <v>334916</v>
      </c>
      <c r="L5520" s="74">
        <v>287688.0</v>
      </c>
      <c r="M5520" s="74">
        <f t="shared" si="2"/>
        <v>290000</v>
      </c>
      <c r="N5520" s="74">
        <f t="shared" si="3"/>
        <v>10000</v>
      </c>
      <c r="O5520" s="65" t="str">
        <f>VLOOKUP(E5520,DATABASE!C:Q,8,false)</f>
        <v>NON</v>
      </c>
      <c r="P5520" s="65">
        <f>VLOOKUP(E5520,DATABASE!C:Q,9,False)</f>
        <v>0</v>
      </c>
      <c r="Q5520" s="93" t="str">
        <f>VLOOKUP(E5520,DATABASE!C:Q,4,false)</f>
        <v>Shell</v>
      </c>
      <c r="R5520" s="93" t="str">
        <f>VLOOKUP(E5520,DATABASE!C:Q,11,false)</f>
        <v>OIL</v>
      </c>
    </row>
    <row r="5521" ht="22.5" customHeight="1">
      <c r="A5521" s="49"/>
      <c r="C5521" s="661">
        <v>45978.0</v>
      </c>
      <c r="D5521" s="673">
        <v>7865.0</v>
      </c>
      <c r="E5521" s="676" t="s">
        <v>265</v>
      </c>
      <c r="F5521" s="664">
        <v>1.0</v>
      </c>
      <c r="G5521" s="677">
        <v>680000.0</v>
      </c>
      <c r="H5521" s="74">
        <v>0.0</v>
      </c>
      <c r="I5521" s="74">
        <f t="shared" si="1"/>
        <v>680000</v>
      </c>
      <c r="J5521" s="74">
        <f>IF(E5521="SERVICE",I5521-(I5521*50%),Vlookup(E5521,DATABASE!C:Q,10,false)*F5521)</f>
        <v>0</v>
      </c>
      <c r="K5521" s="74">
        <f>VLOOKUP(E5521,DATABASE!C:Q,7,false)</f>
        <v>628000</v>
      </c>
      <c r="L5521" s="74">
        <v>610000.0</v>
      </c>
      <c r="M5521" s="74">
        <f t="shared" si="2"/>
        <v>610000</v>
      </c>
      <c r="N5521" s="74">
        <f t="shared" si="3"/>
        <v>70000</v>
      </c>
      <c r="O5521" s="65" t="str">
        <f>VLOOKUP(E5521,DATABASE!C:Q,8,false)</f>
        <v>IBU</v>
      </c>
      <c r="P5521" s="65">
        <f>VLOOKUP(E5521,DATABASE!C:Q,9,False)</f>
        <v>1</v>
      </c>
      <c r="Q5521" s="93" t="str">
        <f>VLOOKUP(E5521,DATABASE!C:Q,4,false)</f>
        <v>Dunlop</v>
      </c>
      <c r="R5521" s="93" t="str">
        <f>VLOOKUP(E5521,DATABASE!C:Q,11,false)</f>
        <v>Tire</v>
      </c>
      <c r="U5521" s="9"/>
    </row>
    <row r="5522" ht="22.5" customHeight="1">
      <c r="A5522" s="49"/>
      <c r="C5522" s="666">
        <v>45978.0</v>
      </c>
      <c r="D5522" s="673">
        <v>7865.0</v>
      </c>
      <c r="E5522" s="671" t="s">
        <v>299</v>
      </c>
      <c r="F5522" s="664">
        <v>2.0</v>
      </c>
      <c r="G5522" s="677">
        <v>30000.0</v>
      </c>
      <c r="H5522" s="74">
        <v>0.0</v>
      </c>
      <c r="I5522" s="74">
        <f t="shared" si="1"/>
        <v>60000</v>
      </c>
      <c r="J5522" s="74">
        <f>IF(E5522="SERVICE",I5522-(I5522*50%),Vlookup(E5522,DATABASE!C:Q,10,false)*F5522)</f>
        <v>0</v>
      </c>
      <c r="K5522" s="74">
        <f>VLOOKUP(E5522,DATABASE!C:Q,7,false)</f>
        <v>10000</v>
      </c>
      <c r="L5522" s="74">
        <v>5000.0</v>
      </c>
      <c r="M5522" s="74">
        <f t="shared" si="2"/>
        <v>5000</v>
      </c>
      <c r="N5522" s="74">
        <f t="shared" si="3"/>
        <v>50000</v>
      </c>
      <c r="O5522" s="65" t="str">
        <f>VLOOKUP(E5522,DATABASE!C:Q,8,false)</f>
        <v>BIAN</v>
      </c>
      <c r="P5522" s="65">
        <f>VLOOKUP(E5522,DATABASE!C:Q,9,False)</f>
        <v>0</v>
      </c>
      <c r="Q5522" s="93" t="str">
        <f>VLOOKUP(E5522,DATABASE!C:Q,4,false)</f>
        <v>Balancing</v>
      </c>
      <c r="R5522" s="93" t="str">
        <f>VLOOKUP(E5522,DATABASE!C:Q,11,false)</f>
        <v>COMPLEMENTARY</v>
      </c>
    </row>
    <row r="5523" ht="22.5" customHeight="1">
      <c r="A5523" s="49"/>
      <c r="C5523" s="661">
        <v>45978.0</v>
      </c>
      <c r="D5523" s="673">
        <v>7865.0</v>
      </c>
      <c r="E5523" s="676" t="s">
        <v>256</v>
      </c>
      <c r="F5523" s="664">
        <v>1.0</v>
      </c>
      <c r="G5523" s="677">
        <v>130000.0</v>
      </c>
      <c r="H5523" s="74">
        <v>0.0</v>
      </c>
      <c r="I5523" s="74">
        <f t="shared" si="1"/>
        <v>130000</v>
      </c>
      <c r="J5523" s="74">
        <f>IF(E5523="SERVICE",I5523-(I5523*50%),Vlookup(E5523,DATABASE!C:Q,10,false)*F5523)</f>
        <v>10000</v>
      </c>
      <c r="K5523" s="74">
        <f>VLOOKUP(E5523,DATABASE!C:Q,7,false)</f>
        <v>0</v>
      </c>
      <c r="L5523" s="74">
        <v>0.0</v>
      </c>
      <c r="M5523" s="74">
        <f t="shared" si="2"/>
        <v>0</v>
      </c>
      <c r="N5523" s="74">
        <f t="shared" si="3"/>
        <v>120000</v>
      </c>
      <c r="O5523" s="65" t="str">
        <f>VLOOKUP(E5523,DATABASE!C:Q,8,false)</f>
        <v>IBU</v>
      </c>
      <c r="P5523" s="65">
        <f>VLOOKUP(E5523,DATABASE!C:Q,9,False)</f>
        <v>0</v>
      </c>
      <c r="Q5523" s="93" t="str">
        <f>VLOOKUP(E5523,DATABASE!C:Q,4,false)</f>
        <v>SPOORING</v>
      </c>
      <c r="R5523" s="93" t="str">
        <f>VLOOKUP(E5523,DATABASE!C:Q,11,false)</f>
        <v>SERVICE</v>
      </c>
    </row>
    <row r="5524" ht="22.5" customHeight="1">
      <c r="A5524" s="49"/>
      <c r="C5524" s="666">
        <v>45978.0</v>
      </c>
      <c r="D5524" s="673">
        <v>7866.0</v>
      </c>
      <c r="E5524" s="676" t="s">
        <v>268</v>
      </c>
      <c r="F5524" s="664">
        <v>2.0</v>
      </c>
      <c r="G5524" s="677">
        <v>710000.0</v>
      </c>
      <c r="H5524" s="74">
        <v>0.0</v>
      </c>
      <c r="I5524" s="74">
        <f t="shared" si="1"/>
        <v>1420000</v>
      </c>
      <c r="J5524" s="74">
        <f>IF(E5524="SERVICE",I5524-(I5524*50%),Vlookup(E5524,DATABASE!C:Q,10,false)*F5524)</f>
        <v>0</v>
      </c>
      <c r="K5524" s="74">
        <f>VLOOKUP(E5524,DATABASE!C:Q,7,false)</f>
        <v>653000</v>
      </c>
      <c r="L5524" s="74">
        <v>622000.0</v>
      </c>
      <c r="M5524" s="74">
        <f t="shared" si="2"/>
        <v>625000</v>
      </c>
      <c r="N5524" s="74">
        <f t="shared" si="3"/>
        <v>170000</v>
      </c>
      <c r="O5524" s="65" t="str">
        <f>VLOOKUP(E5524,DATABASE!C:Q,8,false)</f>
        <v>IBU</v>
      </c>
      <c r="P5524" s="65">
        <f>VLOOKUP(E5524,DATABASE!C:Q,9,False)</f>
        <v>1</v>
      </c>
      <c r="Q5524" s="93" t="str">
        <f>VLOOKUP(E5524,DATABASE!C:Q,4,false)</f>
        <v>Dunlop</v>
      </c>
      <c r="R5524" s="93" t="str">
        <f>VLOOKUP(E5524,DATABASE!C:Q,11,false)</f>
        <v>Tire</v>
      </c>
      <c r="U5524" s="9"/>
    </row>
    <row r="5525" ht="22.5" customHeight="1">
      <c r="A5525" s="49"/>
      <c r="C5525" s="661">
        <v>45978.0</v>
      </c>
      <c r="D5525" s="673">
        <v>7867.0</v>
      </c>
      <c r="E5525" s="676" t="s">
        <v>275</v>
      </c>
      <c r="F5525" s="664">
        <v>2.0</v>
      </c>
      <c r="G5525" s="677">
        <v>830000.0</v>
      </c>
      <c r="H5525" s="74">
        <v>0.0</v>
      </c>
      <c r="I5525" s="74">
        <f t="shared" si="1"/>
        <v>1660000</v>
      </c>
      <c r="J5525" s="74">
        <f>IF(E5525="SERVICE",I5525-(I5525*50%),Vlookup(E5525,DATABASE!C:Q,10,false)*F5525)</f>
        <v>0</v>
      </c>
      <c r="K5525" s="74">
        <f>VLOOKUP(E5525,DATABASE!C:Q,7,false)</f>
        <v>782000</v>
      </c>
      <c r="L5525" s="74">
        <v>745000.0</v>
      </c>
      <c r="M5525" s="74">
        <f t="shared" si="2"/>
        <v>745000</v>
      </c>
      <c r="N5525" s="74">
        <f t="shared" si="3"/>
        <v>170000</v>
      </c>
      <c r="O5525" s="65" t="str">
        <f>VLOOKUP(E5525,DATABASE!C:Q,8,false)</f>
        <v>IBU</v>
      </c>
      <c r="P5525" s="65">
        <f>VLOOKUP(E5525,DATABASE!C:Q,9,False)</f>
        <v>1</v>
      </c>
      <c r="Q5525" s="93" t="str">
        <f>VLOOKUP(E5525,DATABASE!C:Q,4,false)</f>
        <v>Dunlop</v>
      </c>
      <c r="R5525" s="93" t="str">
        <f>VLOOKUP(E5525,DATABASE!C:Q,11,false)</f>
        <v>Tire</v>
      </c>
      <c r="U5525" s="9"/>
    </row>
    <row r="5526" ht="22.5" customHeight="1">
      <c r="A5526" s="49"/>
      <c r="C5526" s="661">
        <v>45978.0</v>
      </c>
      <c r="D5526" s="673">
        <v>7868.0</v>
      </c>
      <c r="E5526" s="676" t="s">
        <v>290</v>
      </c>
      <c r="F5526" s="664">
        <v>4.0</v>
      </c>
      <c r="G5526" s="677">
        <v>720000.0</v>
      </c>
      <c r="H5526" s="74">
        <v>0.0</v>
      </c>
      <c r="I5526" s="74">
        <f t="shared" si="1"/>
        <v>2880000</v>
      </c>
      <c r="J5526" s="74">
        <f>IF(E5526="SERVICE",I5526-(I5526*50%),Vlookup(E5526,DATABASE!C:Q,10,false)*F5526)</f>
        <v>0</v>
      </c>
      <c r="K5526" s="74">
        <f>VLOOKUP(E5526,DATABASE!C:Q,7,false)</f>
        <v>628100</v>
      </c>
      <c r="L5526" s="74">
        <v>609804.0</v>
      </c>
      <c r="M5526" s="74">
        <f t="shared" si="2"/>
        <v>610000</v>
      </c>
      <c r="N5526" s="74">
        <f t="shared" si="3"/>
        <v>440000</v>
      </c>
      <c r="O5526" s="65" t="str">
        <f>VLOOKUP(E5526,DATABASE!C:Q,8,false)</f>
        <v>BIAN</v>
      </c>
      <c r="P5526" s="65">
        <f>VLOOKUP(E5526,DATABASE!C:Q,9,False)</f>
        <v>1</v>
      </c>
      <c r="Q5526" s="93" t="str">
        <f>VLOOKUP(E5526,DATABASE!C:Q,4,false)</f>
        <v>GT</v>
      </c>
      <c r="R5526" s="93" t="str">
        <f>VLOOKUP(E5526,DATABASE!C:Q,11,false)</f>
        <v>Tire</v>
      </c>
    </row>
    <row r="5527" ht="22.5" customHeight="1">
      <c r="A5527" s="49"/>
      <c r="C5527" s="666">
        <v>45978.0</v>
      </c>
      <c r="D5527" s="673">
        <v>7868.0</v>
      </c>
      <c r="E5527" s="671" t="s">
        <v>299</v>
      </c>
      <c r="F5527" s="664">
        <v>2.0</v>
      </c>
      <c r="G5527" s="677">
        <v>30000.0</v>
      </c>
      <c r="H5527" s="74">
        <v>0.0</v>
      </c>
      <c r="I5527" s="74">
        <f t="shared" si="1"/>
        <v>60000</v>
      </c>
      <c r="J5527" s="74">
        <f>IF(E5527="SERVICE",I5527-(I5527*50%),Vlookup(E5527,DATABASE!C:Q,10,false)*F5527)</f>
        <v>0</v>
      </c>
      <c r="K5527" s="74">
        <f>VLOOKUP(E5527,DATABASE!C:Q,7,false)</f>
        <v>10000</v>
      </c>
      <c r="L5527" s="74">
        <v>5000.0</v>
      </c>
      <c r="M5527" s="74">
        <f t="shared" si="2"/>
        <v>5000</v>
      </c>
      <c r="N5527" s="74">
        <f t="shared" si="3"/>
        <v>50000</v>
      </c>
      <c r="O5527" s="65" t="str">
        <f>VLOOKUP(E5527,DATABASE!C:Q,8,false)</f>
        <v>BIAN</v>
      </c>
      <c r="P5527" s="65">
        <f>VLOOKUP(E5527,DATABASE!C:Q,9,False)</f>
        <v>0</v>
      </c>
      <c r="Q5527" s="93" t="str">
        <f>VLOOKUP(E5527,DATABASE!C:Q,4,false)</f>
        <v>Balancing</v>
      </c>
      <c r="R5527" s="93" t="str">
        <f>VLOOKUP(E5527,DATABASE!C:Q,11,false)</f>
        <v>COMPLEMENTARY</v>
      </c>
      <c r="U5527" s="9">
        <v>2880000.0</v>
      </c>
    </row>
    <row r="5528" ht="22.5" customHeight="1">
      <c r="A5528" s="49"/>
      <c r="C5528" s="661">
        <v>45978.0</v>
      </c>
      <c r="D5528" s="673">
        <v>7869.0</v>
      </c>
      <c r="E5528" s="676" t="s">
        <v>955</v>
      </c>
      <c r="F5528" s="664">
        <v>4.0</v>
      </c>
      <c r="G5528" s="677">
        <v>762500.0</v>
      </c>
      <c r="H5528" s="74">
        <v>0.0</v>
      </c>
      <c r="I5528" s="74">
        <f t="shared" si="1"/>
        <v>3050000</v>
      </c>
      <c r="J5528" s="74">
        <f>IF(E5528="SERVICE",I5528-(I5528*50%),Vlookup(E5528,DATABASE!C:Q,10,false)*F5528)</f>
        <v>0</v>
      </c>
      <c r="K5528" s="74">
        <f>VLOOKUP(E5528,DATABASE!C:Q,7,false)</f>
        <v>712000</v>
      </c>
      <c r="L5528" s="74">
        <v>674000.0</v>
      </c>
      <c r="M5528" s="74">
        <f t="shared" si="2"/>
        <v>675000</v>
      </c>
      <c r="N5528" s="74">
        <f t="shared" si="3"/>
        <v>350000</v>
      </c>
      <c r="O5528" s="65" t="str">
        <f>VLOOKUP(E5528,DATABASE!C:Q,8,false)</f>
        <v>IBU</v>
      </c>
      <c r="P5528" s="65">
        <f>VLOOKUP(E5528,DATABASE!C:Q,9,False)</f>
        <v>1</v>
      </c>
      <c r="Q5528" s="93" t="str">
        <f>VLOOKUP(E5528,DATABASE!C:Q,4,false)</f>
        <v>Dunlop</v>
      </c>
      <c r="R5528" s="93" t="str">
        <f>VLOOKUP(E5528,DATABASE!C:Q,11,false)</f>
        <v>Tire</v>
      </c>
    </row>
    <row r="5529" ht="22.5" customHeight="1">
      <c r="A5529" s="49"/>
      <c r="C5529" s="666">
        <v>45978.0</v>
      </c>
      <c r="D5529" s="673">
        <v>7870.0</v>
      </c>
      <c r="E5529" s="676" t="s">
        <v>791</v>
      </c>
      <c r="F5529" s="664">
        <v>2.0</v>
      </c>
      <c r="G5529" s="677">
        <v>1280000.0</v>
      </c>
      <c r="H5529" s="74">
        <v>0.0</v>
      </c>
      <c r="I5529" s="74">
        <f t="shared" si="1"/>
        <v>2560000</v>
      </c>
      <c r="J5529" s="74">
        <f>IF(E5529="SERVICE",I5529-(I5529*50%),Vlookup(E5529,DATABASE!C:Q,10,false)*F5529)</f>
        <v>0</v>
      </c>
      <c r="K5529" s="74">
        <f>VLOOKUP(E5529,DATABASE!C:Q,7,false)</f>
        <v>1210000</v>
      </c>
      <c r="L5529" s="74">
        <v>1180000.0</v>
      </c>
      <c r="M5529" s="74">
        <f t="shared" si="2"/>
        <v>1180000</v>
      </c>
      <c r="N5529" s="74">
        <f t="shared" si="3"/>
        <v>200000</v>
      </c>
      <c r="O5529" s="65" t="str">
        <f>VLOOKUP(E5529,DATABASE!C:Q,8,false)</f>
        <v>BIAN</v>
      </c>
      <c r="P5529" s="65">
        <f>VLOOKUP(E5529,DATABASE!C:Q,9,False)</f>
        <v>1</v>
      </c>
      <c r="Q5529" s="93" t="str">
        <f>VLOOKUP(E5529,DATABASE!C:Q,4,false)</f>
        <v>GT</v>
      </c>
      <c r="R5529" s="93" t="str">
        <f>VLOOKUP(E5529,DATABASE!C:Q,11,false)</f>
        <v>Tire</v>
      </c>
      <c r="U5529" s="9"/>
    </row>
    <row r="5530" ht="22.5" customHeight="1">
      <c r="A5530" s="49"/>
      <c r="C5530" s="661">
        <v>45978.0</v>
      </c>
      <c r="D5530" s="673">
        <v>7870.0</v>
      </c>
      <c r="E5530" s="676" t="s">
        <v>255</v>
      </c>
      <c r="F5530" s="664">
        <v>2.0</v>
      </c>
      <c r="G5530" s="677">
        <v>200000.0</v>
      </c>
      <c r="H5530" s="74">
        <v>0.0</v>
      </c>
      <c r="I5530" s="74">
        <f t="shared" si="1"/>
        <v>400000</v>
      </c>
      <c r="J5530" s="74">
        <f>IF(E5530="SERVICE",I5530-(I5530*50%),Vlookup(E5530,DATABASE!C:Q,10,false)*F5530)</f>
        <v>0</v>
      </c>
      <c r="K5530" s="74">
        <f>VLOOKUP(E5530,DATABASE!C:Q,7,false)</f>
        <v>161840</v>
      </c>
      <c r="L5530" s="74">
        <v>161840.0</v>
      </c>
      <c r="M5530" s="74">
        <f t="shared" si="2"/>
        <v>165000</v>
      </c>
      <c r="N5530" s="74">
        <f t="shared" si="3"/>
        <v>70000</v>
      </c>
      <c r="O5530" s="65" t="str">
        <f>VLOOKUP(E5530,DATABASE!C:Q,8,false)</f>
        <v>BIAN</v>
      </c>
      <c r="P5530" s="65">
        <f>VLOOKUP(E5530,DATABASE!C:Q,9,False)</f>
        <v>1</v>
      </c>
      <c r="Q5530" s="93" t="str">
        <f>VLOOKUP(E5530,DATABASE!C:Q,4,false)</f>
        <v>BD</v>
      </c>
      <c r="R5530" s="93" t="str">
        <f>VLOOKUP(E5530,DATABASE!C:Q,11,false)</f>
        <v>Tire</v>
      </c>
      <c r="U5530" s="9">
        <v>2560000.0</v>
      </c>
    </row>
    <row r="5531" ht="22.5" customHeight="1">
      <c r="A5531" s="49"/>
      <c r="C5531" s="661">
        <v>45978.0</v>
      </c>
      <c r="D5531" s="673">
        <v>7871.0</v>
      </c>
      <c r="E5531" s="676" t="s">
        <v>1427</v>
      </c>
      <c r="F5531" s="664">
        <v>1.0</v>
      </c>
      <c r="G5531" s="677">
        <v>780000.0</v>
      </c>
      <c r="H5531" s="74">
        <v>0.0</v>
      </c>
      <c r="I5531" s="74">
        <f t="shared" si="1"/>
        <v>780000</v>
      </c>
      <c r="J5531" s="74">
        <f>IF(E5531="SERVICE",I5531-(I5531*50%),Vlookup(E5531,DATABASE!C:Q,10,false)*F5531)</f>
        <v>0</v>
      </c>
      <c r="K5531" s="74">
        <f>VLOOKUP(E5531,DATABASE!C:Q,7,false)</f>
        <v>696500</v>
      </c>
      <c r="L5531" s="74">
        <v>689000.0</v>
      </c>
      <c r="M5531" s="74">
        <f t="shared" si="2"/>
        <v>690000</v>
      </c>
      <c r="N5531" s="74">
        <f t="shared" si="3"/>
        <v>90000</v>
      </c>
      <c r="O5531" s="65" t="str">
        <f>VLOOKUP(E5531,DATABASE!C:Q,8,false)</f>
        <v>IBU</v>
      </c>
      <c r="P5531" s="65">
        <f>VLOOKUP(E5531,DATABASE!C:Q,9,False)</f>
        <v>1</v>
      </c>
      <c r="Q5531" s="93" t="str">
        <f>VLOOKUP(E5531,DATABASE!C:Q,4,false)</f>
        <v>Dunlop</v>
      </c>
      <c r="R5531" s="93" t="str">
        <f>VLOOKUP(E5531,DATABASE!C:Q,11,false)</f>
        <v>Tire</v>
      </c>
      <c r="U5531" s="9">
        <v>400000.0</v>
      </c>
    </row>
    <row r="5532" ht="22.5" customHeight="1">
      <c r="A5532" s="49"/>
      <c r="C5532" s="666">
        <v>45978.0</v>
      </c>
      <c r="D5532" s="673">
        <v>7872.0</v>
      </c>
      <c r="E5532" s="676" t="s">
        <v>2019</v>
      </c>
      <c r="F5532" s="664">
        <v>2.0</v>
      </c>
      <c r="G5532" s="677">
        <v>680000.0</v>
      </c>
      <c r="H5532" s="74">
        <v>0.0</v>
      </c>
      <c r="I5532" s="74">
        <f t="shared" si="1"/>
        <v>1360000</v>
      </c>
      <c r="J5532" s="74">
        <f>IF(E5532="SERVICE",I5532-(I5532*50%),Vlookup(E5532,DATABASE!C:Q,10,false)*F5532)</f>
        <v>0</v>
      </c>
      <c r="K5532" s="74">
        <f>VLOOKUP(E5532,DATABASE!C:Q,7,false)</f>
        <v>620000</v>
      </c>
      <c r="L5532" s="74">
        <v>585000.0</v>
      </c>
      <c r="M5532" s="74">
        <f t="shared" si="2"/>
        <v>585000</v>
      </c>
      <c r="N5532" s="74">
        <f t="shared" si="3"/>
        <v>190000</v>
      </c>
      <c r="O5532" s="65" t="str">
        <f>VLOOKUP(E5532,DATABASE!C:Q,8,false)</f>
        <v>BIAN</v>
      </c>
      <c r="P5532" s="65">
        <f>VLOOKUP(E5532,DATABASE!C:Q,9,False)</f>
        <v>1</v>
      </c>
      <c r="Q5532" s="93" t="str">
        <f>VLOOKUP(E5532,DATABASE!C:Q,4,false)</f>
        <v>GT</v>
      </c>
      <c r="R5532" s="93" t="str">
        <f>VLOOKUP(E5532,DATABASE!C:Q,11,false)</f>
        <v>Tire</v>
      </c>
      <c r="U5532" s="9">
        <v>1360000.0</v>
      </c>
    </row>
    <row r="5533" ht="22.5" customHeight="1">
      <c r="A5533" s="49"/>
      <c r="C5533" s="661">
        <v>45978.0</v>
      </c>
      <c r="D5533" s="673">
        <v>7872.0</v>
      </c>
      <c r="E5533" s="676" t="s">
        <v>613</v>
      </c>
      <c r="F5533" s="664">
        <v>1.0</v>
      </c>
      <c r="G5533" s="677">
        <v>95000.0</v>
      </c>
      <c r="H5533" s="74">
        <v>0.0</v>
      </c>
      <c r="I5533" s="74">
        <f t="shared" si="1"/>
        <v>95000</v>
      </c>
      <c r="J5533" s="74">
        <f>IF(E5533="SERVICE",I5533-(I5533*50%),Vlookup(E5533,DATABASE!C:Q,10,false)*F5533)</f>
        <v>0</v>
      </c>
      <c r="K5533" s="74">
        <f>VLOOKUP(E5533,DATABASE!C:Q,7,false)</f>
        <v>58371.2695</v>
      </c>
      <c r="L5533" s="74">
        <v>55000.0</v>
      </c>
      <c r="M5533" s="74">
        <f t="shared" si="2"/>
        <v>55000</v>
      </c>
      <c r="N5533" s="74">
        <f t="shared" si="3"/>
        <v>40000</v>
      </c>
      <c r="O5533" s="65" t="str">
        <f>VLOOKUP(E5533,DATABASE!C:Q,8,false)</f>
        <v>BIAN</v>
      </c>
      <c r="P5533" s="65">
        <f>VLOOKUP(E5533,DATABASE!C:Q,9,False)</f>
        <v>1</v>
      </c>
      <c r="Q5533" s="93" t="str">
        <f>VLOOKUP(E5533,DATABASE!C:Q,4,false)</f>
        <v>BD</v>
      </c>
      <c r="R5533" s="93" t="str">
        <f>VLOOKUP(E5533,DATABASE!C:Q,11,false)</f>
        <v>Tire</v>
      </c>
      <c r="U5533" s="9">
        <v>95000.0</v>
      </c>
    </row>
    <row r="5534" ht="22.5" customHeight="1">
      <c r="A5534" s="49"/>
      <c r="C5534" s="666">
        <v>45978.0</v>
      </c>
      <c r="D5534" s="673">
        <v>7873.0</v>
      </c>
      <c r="E5534" s="676" t="s">
        <v>605</v>
      </c>
      <c r="F5534" s="664">
        <v>1.0</v>
      </c>
      <c r="G5534" s="677">
        <v>735000.0</v>
      </c>
      <c r="H5534" s="74">
        <v>0.0</v>
      </c>
      <c r="I5534" s="74">
        <f t="shared" si="1"/>
        <v>735000</v>
      </c>
      <c r="J5534" s="74">
        <f>IF(E5534="SERVICE",I5534-(I5534*50%),Vlookup(E5534,DATABASE!C:Q,10,false)*F5534)</f>
        <v>0</v>
      </c>
      <c r="K5534" s="74">
        <f>VLOOKUP(E5534,DATABASE!C:Q,7,false)</f>
        <v>675000</v>
      </c>
      <c r="L5534" s="74">
        <v>650000.0</v>
      </c>
      <c r="M5534" s="74">
        <f t="shared" si="2"/>
        <v>650000</v>
      </c>
      <c r="N5534" s="74">
        <f t="shared" si="3"/>
        <v>85000</v>
      </c>
      <c r="O5534" s="65" t="str">
        <f>VLOOKUP(E5534,DATABASE!C:Q,8,false)</f>
        <v>IBU</v>
      </c>
      <c r="P5534" s="65">
        <f>VLOOKUP(E5534,DATABASE!C:Q,9,False)</f>
        <v>1</v>
      </c>
      <c r="Q5534" s="93" t="str">
        <f>VLOOKUP(E5534,DATABASE!C:Q,4,false)</f>
        <v>Bridgestone</v>
      </c>
      <c r="R5534" s="93" t="str">
        <f>VLOOKUP(E5534,DATABASE!C:Q,11,false)</f>
        <v>Tire</v>
      </c>
      <c r="U5534" s="9"/>
    </row>
    <row r="5535" ht="22.5" customHeight="1">
      <c r="A5535" s="49"/>
      <c r="C5535" s="666">
        <v>45978.0</v>
      </c>
      <c r="D5535" s="673">
        <v>7874.0</v>
      </c>
      <c r="E5535" s="676" t="s">
        <v>284</v>
      </c>
      <c r="F5535" s="664">
        <v>1.0</v>
      </c>
      <c r="G5535" s="677">
        <v>60000.0</v>
      </c>
      <c r="H5535" s="74">
        <v>0.0</v>
      </c>
      <c r="I5535" s="74">
        <f t="shared" si="1"/>
        <v>60000</v>
      </c>
      <c r="J5535" s="74">
        <f>IF(E5535="SERVICE",I5535-(I5535*50%),Vlookup(E5535,DATABASE!C:Q,10,false)*F5535)</f>
        <v>0</v>
      </c>
      <c r="K5535" s="74">
        <f>VLOOKUP(E5535,DATABASE!C:Q,7,false)</f>
        <v>36630</v>
      </c>
      <c r="L5535" s="74">
        <v>36630.0</v>
      </c>
      <c r="M5535" s="74">
        <f t="shared" si="2"/>
        <v>40000</v>
      </c>
      <c r="N5535" s="74">
        <f t="shared" si="3"/>
        <v>20000</v>
      </c>
      <c r="O5535" s="65" t="str">
        <f>VLOOKUP(E5535,DATABASE!C:Q,8,false)</f>
        <v>BIAN</v>
      </c>
      <c r="P5535" s="65">
        <f>VLOOKUP(E5535,DATABASE!C:Q,9,False)</f>
        <v>1</v>
      </c>
      <c r="Q5535" s="93" t="str">
        <f>VLOOKUP(E5535,DATABASE!C:Q,4,false)</f>
        <v>Flap</v>
      </c>
      <c r="R5535" s="93" t="str">
        <f>VLOOKUP(E5535,DATABASE!C:Q,11,false)</f>
        <v>Tire</v>
      </c>
    </row>
    <row r="5536" ht="22.5" customHeight="1">
      <c r="A5536" s="49"/>
      <c r="C5536" s="666">
        <v>45978.0</v>
      </c>
      <c r="D5536" s="673">
        <v>7875.0</v>
      </c>
      <c r="E5536" s="676" t="s">
        <v>256</v>
      </c>
      <c r="F5536" s="664">
        <v>1.0</v>
      </c>
      <c r="G5536" s="677">
        <v>130000.0</v>
      </c>
      <c r="H5536" s="74">
        <v>0.0</v>
      </c>
      <c r="I5536" s="74">
        <f t="shared" si="1"/>
        <v>130000</v>
      </c>
      <c r="J5536" s="74">
        <f>IF(E5536="SERVICE",I5536-(I5536*50%),Vlookup(E5536,DATABASE!C:Q,10,false)*F5536)</f>
        <v>10000</v>
      </c>
      <c r="K5536" s="74">
        <f>VLOOKUP(E5536,DATABASE!C:Q,7,false)</f>
        <v>0</v>
      </c>
      <c r="L5536" s="74">
        <v>0.0</v>
      </c>
      <c r="M5536" s="74">
        <f t="shared" si="2"/>
        <v>0</v>
      </c>
      <c r="N5536" s="74">
        <f t="shared" si="3"/>
        <v>120000</v>
      </c>
      <c r="O5536" s="65" t="str">
        <f>VLOOKUP(E5536,DATABASE!C:Q,8,false)</f>
        <v>IBU</v>
      </c>
      <c r="P5536" s="65">
        <f>VLOOKUP(E5536,DATABASE!C:Q,9,False)</f>
        <v>0</v>
      </c>
      <c r="Q5536" s="93" t="str">
        <f>VLOOKUP(E5536,DATABASE!C:Q,4,false)</f>
        <v>SPOORING</v>
      </c>
      <c r="R5536" s="93" t="str">
        <f>VLOOKUP(E5536,DATABASE!C:Q,11,false)</f>
        <v>SERVICE</v>
      </c>
      <c r="U5536" s="9">
        <v>60000.0</v>
      </c>
    </row>
    <row r="5537" ht="22.5" customHeight="1">
      <c r="A5537" s="49"/>
      <c r="C5537" s="661">
        <v>45978.0</v>
      </c>
      <c r="D5537" s="673">
        <v>7875.0</v>
      </c>
      <c r="E5537" s="676" t="s">
        <v>301</v>
      </c>
      <c r="F5537" s="664">
        <v>1.0</v>
      </c>
      <c r="G5537" s="677">
        <v>250000.0</v>
      </c>
      <c r="H5537" s="74">
        <v>0.0</v>
      </c>
      <c r="I5537" s="74">
        <f t="shared" si="1"/>
        <v>250000</v>
      </c>
      <c r="J5537" s="74">
        <f>IF(E5537="SERVICE",I5537-(I5537*50%),Vlookup(E5537,DATABASE!C:Q,10,false)*F5537)</f>
        <v>75000</v>
      </c>
      <c r="K5537" s="74">
        <f>VLOOKUP(E5537,DATABASE!C:Q,7,false)</f>
        <v>75000</v>
      </c>
      <c r="L5537" s="74">
        <v>75000.0</v>
      </c>
      <c r="M5537" s="74">
        <f t="shared" si="2"/>
        <v>75000</v>
      </c>
      <c r="N5537" s="74">
        <f t="shared" si="3"/>
        <v>100000</v>
      </c>
      <c r="O5537" s="65" t="str">
        <f>VLOOKUP(E5537,DATABASE!C:Q,8,false)</f>
        <v>BIAN</v>
      </c>
      <c r="P5537" s="65">
        <f>VLOOKUP(E5537,DATABASE!C:Q,9,False)</f>
        <v>0</v>
      </c>
      <c r="Q5537" s="93" t="str">
        <f>VLOOKUP(E5537,DATABASE!C:Q,4,false)</f>
        <v>Baut Camber</v>
      </c>
      <c r="R5537" s="93" t="str">
        <f>VLOOKUP(E5537,DATABASE!C:Q,11,false)</f>
        <v>COMPLEMENTARY</v>
      </c>
      <c r="U5537" s="9"/>
    </row>
    <row r="5538" ht="22.5" customHeight="1">
      <c r="A5538" s="49"/>
      <c r="C5538" s="666">
        <v>45978.0</v>
      </c>
      <c r="D5538" s="673">
        <v>7876.0</v>
      </c>
      <c r="E5538" s="676" t="s">
        <v>268</v>
      </c>
      <c r="F5538" s="664">
        <v>2.0</v>
      </c>
      <c r="G5538" s="677">
        <v>710000.0</v>
      </c>
      <c r="H5538" s="74">
        <v>0.0</v>
      </c>
      <c r="I5538" s="74">
        <f t="shared" si="1"/>
        <v>1420000</v>
      </c>
      <c r="J5538" s="74">
        <f>IF(E5538="SERVICE",I5538-(I5538*50%),Vlookup(E5538,DATABASE!C:Q,10,false)*F5538)</f>
        <v>0</v>
      </c>
      <c r="K5538" s="74">
        <f>VLOOKUP(E5538,DATABASE!C:Q,7,false)</f>
        <v>653000</v>
      </c>
      <c r="L5538" s="74">
        <v>622000.0</v>
      </c>
      <c r="M5538" s="74">
        <f t="shared" si="2"/>
        <v>625000</v>
      </c>
      <c r="N5538" s="74">
        <f t="shared" si="3"/>
        <v>170000</v>
      </c>
      <c r="O5538" s="65" t="str">
        <f>VLOOKUP(E5538,DATABASE!C:Q,8,false)</f>
        <v>IBU</v>
      </c>
      <c r="P5538" s="65">
        <f>VLOOKUP(E5538,DATABASE!C:Q,9,False)</f>
        <v>1</v>
      </c>
      <c r="Q5538" s="93" t="str">
        <f>VLOOKUP(E5538,DATABASE!C:Q,4,false)</f>
        <v>Dunlop</v>
      </c>
      <c r="R5538" s="93" t="str">
        <f>VLOOKUP(E5538,DATABASE!C:Q,11,false)</f>
        <v>Tire</v>
      </c>
    </row>
    <row r="5539" ht="22.5" customHeight="1">
      <c r="A5539" s="49"/>
      <c r="C5539" s="661">
        <v>45978.0</v>
      </c>
      <c r="D5539" s="673">
        <v>7878.0</v>
      </c>
      <c r="E5539" s="676" t="s">
        <v>695</v>
      </c>
      <c r="F5539" s="664">
        <v>2.0</v>
      </c>
      <c r="G5539" s="677">
        <v>650000.0</v>
      </c>
      <c r="H5539" s="74">
        <v>0.0</v>
      </c>
      <c r="I5539" s="74">
        <f t="shared" si="1"/>
        <v>1300000</v>
      </c>
      <c r="J5539" s="74">
        <f>IF(E5539="SERVICE",I5539-(I5539*50%),Vlookup(E5539,DATABASE!C:Q,10,false)*F5539)</f>
        <v>0</v>
      </c>
      <c r="K5539" s="74">
        <f>VLOOKUP(E5539,DATABASE!C:Q,7,false)</f>
        <v>582000</v>
      </c>
      <c r="L5539" s="74">
        <v>570000.0</v>
      </c>
      <c r="M5539" s="74">
        <f t="shared" si="2"/>
        <v>570000</v>
      </c>
      <c r="N5539" s="74">
        <f t="shared" si="3"/>
        <v>160000</v>
      </c>
      <c r="O5539" s="65" t="str">
        <f>VLOOKUP(E5539,DATABASE!C:Q,8,false)</f>
        <v>IBU</v>
      </c>
      <c r="P5539" s="65">
        <f>VLOOKUP(E5539,DATABASE!C:Q,9,False)</f>
        <v>1</v>
      </c>
      <c r="Q5539" s="93" t="str">
        <f>VLOOKUP(E5539,DATABASE!C:Q,4,false)</f>
        <v>Dunlop</v>
      </c>
      <c r="R5539" s="93" t="str">
        <f>VLOOKUP(E5539,DATABASE!C:Q,11,false)</f>
        <v>Tire</v>
      </c>
    </row>
    <row r="5540" ht="22.5" customHeight="1">
      <c r="A5540" s="49"/>
      <c r="C5540" s="666">
        <v>45978.0</v>
      </c>
      <c r="D5540" s="673">
        <v>7878.0</v>
      </c>
      <c r="E5540" s="676" t="s">
        <v>600</v>
      </c>
      <c r="F5540" s="664">
        <v>1.0</v>
      </c>
      <c r="G5540" s="677">
        <v>665000.0</v>
      </c>
      <c r="H5540" s="74">
        <v>0.0</v>
      </c>
      <c r="I5540" s="74">
        <f t="shared" si="1"/>
        <v>665000</v>
      </c>
      <c r="J5540" s="74">
        <f>IF(E5540="SERVICE",I5540-(I5540*50%),Vlookup(E5540,DATABASE!C:Q,10,false)*F5540)</f>
        <v>0</v>
      </c>
      <c r="K5540" s="74">
        <f>VLOOKUP(E5540,DATABASE!C:Q,7,false)</f>
        <v>611109.16</v>
      </c>
      <c r="L5540" s="74">
        <v>572762.4</v>
      </c>
      <c r="M5540" s="74">
        <f t="shared" si="2"/>
        <v>575000</v>
      </c>
      <c r="N5540" s="74">
        <f t="shared" si="3"/>
        <v>90000</v>
      </c>
      <c r="O5540" s="65" t="str">
        <f>VLOOKUP(E5540,DATABASE!C:Q,8,false)</f>
        <v>IBU</v>
      </c>
      <c r="P5540" s="65">
        <f>VLOOKUP(E5540,DATABASE!C:Q,9,False)</f>
        <v>1</v>
      </c>
      <c r="Q5540" s="93" t="str">
        <f>VLOOKUP(E5540,DATABASE!C:Q,4,false)</f>
        <v>Bridgestone</v>
      </c>
      <c r="R5540" s="93" t="str">
        <f>VLOOKUP(E5540,DATABASE!C:Q,11,false)</f>
        <v>Tire</v>
      </c>
      <c r="U5540" s="9"/>
    </row>
    <row r="5541" ht="22.5" customHeight="1">
      <c r="A5541" s="49"/>
      <c r="C5541" s="661">
        <v>45978.0</v>
      </c>
      <c r="D5541" s="673">
        <v>7879.0</v>
      </c>
      <c r="E5541" s="676" t="s">
        <v>261</v>
      </c>
      <c r="F5541" s="664">
        <v>1.0</v>
      </c>
      <c r="G5541" s="677">
        <v>500000.0</v>
      </c>
      <c r="H5541" s="74">
        <v>0.0</v>
      </c>
      <c r="I5541" s="74">
        <f t="shared" si="1"/>
        <v>500000</v>
      </c>
      <c r="J5541" s="74">
        <f>IF(E5541="SERVICE",I5541-(I5541*50%),Vlookup(E5541,DATABASE!C:Q,10,false)*F5541)</f>
        <v>0</v>
      </c>
      <c r="K5541" s="74">
        <f>VLOOKUP(E5541,DATABASE!C:Q,7,false)</f>
        <v>415000</v>
      </c>
      <c r="L5541" s="74">
        <v>415000.0</v>
      </c>
      <c r="M5541" s="74">
        <f t="shared" si="2"/>
        <v>415000</v>
      </c>
      <c r="N5541" s="74">
        <f t="shared" si="3"/>
        <v>85000</v>
      </c>
      <c r="O5541" s="65" t="str">
        <f>VLOOKUP(E5541,DATABASE!C:Q,8,false)</f>
        <v>IBU</v>
      </c>
      <c r="P5541" s="65">
        <f>VLOOKUP(E5541,DATABASE!C:Q,9,False)</f>
        <v>1</v>
      </c>
      <c r="Q5541" s="93" t="str">
        <f>VLOOKUP(E5541,DATABASE!C:Q,4,false)</f>
        <v>Dunlop</v>
      </c>
      <c r="R5541" s="93" t="str">
        <f>VLOOKUP(E5541,DATABASE!C:Q,11,false)</f>
        <v>Tire</v>
      </c>
      <c r="U5541" s="9"/>
    </row>
    <row r="5542" ht="22.5" customHeight="1">
      <c r="A5542" s="49"/>
      <c r="C5542" s="666">
        <v>45978.0</v>
      </c>
      <c r="D5542" s="673">
        <v>7880.0</v>
      </c>
      <c r="E5542" s="676" t="s">
        <v>681</v>
      </c>
      <c r="F5542" s="664">
        <v>1.0</v>
      </c>
      <c r="G5542" s="677">
        <v>125000.0</v>
      </c>
      <c r="H5542" s="74">
        <v>0.0</v>
      </c>
      <c r="I5542" s="74">
        <f t="shared" si="1"/>
        <v>125000</v>
      </c>
      <c r="J5542" s="74">
        <f>IF(E5542="SERVICE",I5542-(I5542*50%),Vlookup(E5542,DATABASE!C:Q,10,false)*F5542)</f>
        <v>0</v>
      </c>
      <c r="K5542" s="74">
        <f>VLOOKUP(E5542,DATABASE!C:Q,7,false)</f>
        <v>91000</v>
      </c>
      <c r="L5542" s="74">
        <v>91000.0</v>
      </c>
      <c r="M5542" s="74">
        <f t="shared" si="2"/>
        <v>95000</v>
      </c>
      <c r="N5542" s="74">
        <f t="shared" si="3"/>
        <v>30000</v>
      </c>
      <c r="O5542" s="65" t="str">
        <f>VLOOKUP(E5542,DATABASE!C:Q,8,false)</f>
        <v>BIAN</v>
      </c>
      <c r="P5542" s="65">
        <f>VLOOKUP(E5542,DATABASE!C:Q,9,False)</f>
        <v>1</v>
      </c>
      <c r="Q5542" s="93" t="str">
        <f>VLOOKUP(E5542,DATABASE!C:Q,4,false)</f>
        <v>BD</v>
      </c>
      <c r="R5542" s="93" t="str">
        <f>VLOOKUP(E5542,DATABASE!C:Q,11,false)</f>
        <v>Tire</v>
      </c>
      <c r="U5542" s="9"/>
    </row>
    <row r="5543" ht="22.5" customHeight="1">
      <c r="A5543" s="49"/>
      <c r="C5543" s="661">
        <v>45978.0</v>
      </c>
      <c r="D5543" s="673">
        <v>7881.0</v>
      </c>
      <c r="E5543" s="676" t="s">
        <v>478</v>
      </c>
      <c r="F5543" s="664">
        <v>1.0</v>
      </c>
      <c r="G5543" s="677">
        <v>200000.0</v>
      </c>
      <c r="H5543" s="74">
        <v>0.0</v>
      </c>
      <c r="I5543" s="74">
        <f t="shared" si="1"/>
        <v>200000</v>
      </c>
      <c r="J5543" s="74">
        <f>IF(E5543="SERVICE",I5543-(I5543*50%),Vlookup(E5543,DATABASE!C:Q,10,false)*F5543)</f>
        <v>25000</v>
      </c>
      <c r="K5543" s="74">
        <f>VLOOKUP(E5543,DATABASE!C:Q,7,false)</f>
        <v>75000</v>
      </c>
      <c r="L5543" s="74">
        <v>75000.0</v>
      </c>
      <c r="M5543" s="74">
        <f t="shared" si="2"/>
        <v>75000</v>
      </c>
      <c r="N5543" s="74">
        <f t="shared" si="3"/>
        <v>100000</v>
      </c>
      <c r="O5543" s="65" t="str">
        <f>VLOOKUP(E5543,DATABASE!C:Q,8,false)</f>
        <v>BIAN</v>
      </c>
      <c r="P5543" s="65">
        <f>VLOOKUP(E5543,DATABASE!C:Q,9,False)</f>
        <v>0</v>
      </c>
      <c r="Q5543" s="93" t="str">
        <f>VLOOKUP(E5543,DATABASE!C:Q,4,false)</f>
        <v>Baut Camber ss-carry</v>
      </c>
      <c r="R5543" s="93" t="str">
        <f>VLOOKUP(E5543,DATABASE!C:Q,11,false)</f>
        <v>COMPLEMENTARY</v>
      </c>
      <c r="U5543" s="9"/>
    </row>
    <row r="5544" ht="22.5" customHeight="1">
      <c r="A5544" s="49"/>
      <c r="C5544" s="666">
        <v>45978.0</v>
      </c>
      <c r="D5544" s="673">
        <v>7881.0</v>
      </c>
      <c r="E5544" s="676" t="s">
        <v>262</v>
      </c>
      <c r="F5544" s="664">
        <v>1.0</v>
      </c>
      <c r="G5544" s="677">
        <v>110000.0</v>
      </c>
      <c r="H5544" s="74">
        <v>0.0</v>
      </c>
      <c r="I5544" s="74">
        <f t="shared" si="1"/>
        <v>110000</v>
      </c>
      <c r="J5544" s="74">
        <f>IF(E5544="SERVICE",I5544-(I5544*50%),Vlookup(E5544,DATABASE!C:Q,10,false)*F5544)</f>
        <v>5000</v>
      </c>
      <c r="K5544" s="74">
        <f>VLOOKUP(E5544,DATABASE!C:Q,7,false)</f>
        <v>0</v>
      </c>
      <c r="L5544" s="74">
        <v>0.0</v>
      </c>
      <c r="M5544" s="74">
        <f t="shared" si="2"/>
        <v>0</v>
      </c>
      <c r="N5544" s="74">
        <f t="shared" si="3"/>
        <v>105000</v>
      </c>
      <c r="O5544" s="65" t="str">
        <f>VLOOKUP(E5544,DATABASE!C:Q,8,false)</f>
        <v>IBU</v>
      </c>
      <c r="P5544" s="65">
        <f>VLOOKUP(E5544,DATABASE!C:Q,9,False)</f>
        <v>0</v>
      </c>
      <c r="Q5544" s="93" t="str">
        <f>VLOOKUP(E5544,DATABASE!C:Q,4,false)</f>
        <v>SPOORING SS/CARRY LOS BAK</v>
      </c>
      <c r="R5544" s="93" t="str">
        <f>VLOOKUP(E5544,DATABASE!C:Q,11,false)</f>
        <v>SERVICE</v>
      </c>
      <c r="U5544" s="9">
        <v>125000.0</v>
      </c>
    </row>
    <row r="5545" ht="22.5" customHeight="1">
      <c r="A5545" s="49"/>
      <c r="C5545" s="661">
        <v>45978.0</v>
      </c>
      <c r="D5545" s="673">
        <v>7881.0</v>
      </c>
      <c r="E5545" s="671" t="s">
        <v>299</v>
      </c>
      <c r="F5545" s="664">
        <v>2.0</v>
      </c>
      <c r="G5545" s="677">
        <v>30000.0</v>
      </c>
      <c r="H5545" s="74">
        <v>0.0</v>
      </c>
      <c r="I5545" s="74">
        <f t="shared" si="1"/>
        <v>60000</v>
      </c>
      <c r="J5545" s="74">
        <f>IF(E5545="SERVICE",I5545-(I5545*50%),Vlookup(E5545,DATABASE!C:Q,10,false)*F5545)</f>
        <v>0</v>
      </c>
      <c r="K5545" s="74">
        <f>VLOOKUP(E5545,DATABASE!C:Q,7,false)</f>
        <v>10000</v>
      </c>
      <c r="L5545" s="74">
        <v>5000.0</v>
      </c>
      <c r="M5545" s="74">
        <f t="shared" si="2"/>
        <v>5000</v>
      </c>
      <c r="N5545" s="74">
        <f t="shared" si="3"/>
        <v>50000</v>
      </c>
      <c r="O5545" s="65" t="str">
        <f>VLOOKUP(E5545,DATABASE!C:Q,8,false)</f>
        <v>BIAN</v>
      </c>
      <c r="P5545" s="65">
        <f>VLOOKUP(E5545,DATABASE!C:Q,9,False)</f>
        <v>0</v>
      </c>
      <c r="Q5545" s="93" t="str">
        <f>VLOOKUP(E5545,DATABASE!C:Q,4,false)</f>
        <v>Balancing</v>
      </c>
      <c r="R5545" s="93" t="str">
        <f>VLOOKUP(E5545,DATABASE!C:Q,11,false)</f>
        <v>COMPLEMENTARY</v>
      </c>
    </row>
    <row r="5546" ht="22.5" customHeight="1">
      <c r="A5546" s="49"/>
      <c r="C5546" s="661">
        <v>45978.0</v>
      </c>
      <c r="D5546" s="673">
        <v>7882.0</v>
      </c>
      <c r="E5546" s="676" t="s">
        <v>478</v>
      </c>
      <c r="F5546" s="664">
        <v>1.0</v>
      </c>
      <c r="G5546" s="677">
        <v>200000.0</v>
      </c>
      <c r="H5546" s="74">
        <v>0.0</v>
      </c>
      <c r="I5546" s="74">
        <f t="shared" si="1"/>
        <v>200000</v>
      </c>
      <c r="J5546" s="74">
        <f>IF(E5546="SERVICE",I5546-(I5546*50%),Vlookup(E5546,DATABASE!C:Q,10,false)*F5546)</f>
        <v>25000</v>
      </c>
      <c r="K5546" s="74">
        <f>VLOOKUP(E5546,DATABASE!C:Q,7,false)</f>
        <v>75000</v>
      </c>
      <c r="L5546" s="74">
        <v>75000.0</v>
      </c>
      <c r="M5546" s="74">
        <f t="shared" si="2"/>
        <v>75000</v>
      </c>
      <c r="N5546" s="74">
        <f t="shared" si="3"/>
        <v>100000</v>
      </c>
      <c r="O5546" s="65" t="str">
        <f>VLOOKUP(E5546,DATABASE!C:Q,8,false)</f>
        <v>BIAN</v>
      </c>
      <c r="P5546" s="65">
        <f>VLOOKUP(E5546,DATABASE!C:Q,9,False)</f>
        <v>0</v>
      </c>
      <c r="Q5546" s="93" t="str">
        <f>VLOOKUP(E5546,DATABASE!C:Q,4,false)</f>
        <v>Baut Camber ss-carry</v>
      </c>
      <c r="R5546" s="93" t="str">
        <f>VLOOKUP(E5546,DATABASE!C:Q,11,false)</f>
        <v>COMPLEMENTARY</v>
      </c>
    </row>
    <row r="5547" ht="22.5" customHeight="1">
      <c r="A5547" s="49"/>
      <c r="C5547" s="666">
        <v>45978.0</v>
      </c>
      <c r="D5547" s="673">
        <v>7882.0</v>
      </c>
      <c r="E5547" s="676" t="s">
        <v>262</v>
      </c>
      <c r="F5547" s="664">
        <v>1.0</v>
      </c>
      <c r="G5547" s="677">
        <v>110000.0</v>
      </c>
      <c r="H5547" s="74">
        <v>0.0</v>
      </c>
      <c r="I5547" s="74">
        <f t="shared" si="1"/>
        <v>110000</v>
      </c>
      <c r="J5547" s="74">
        <f>IF(E5547="SERVICE",I5547-(I5547*50%),Vlookup(E5547,DATABASE!C:Q,10,false)*F5547)</f>
        <v>5000</v>
      </c>
      <c r="K5547" s="74">
        <f>VLOOKUP(E5547,DATABASE!C:Q,7,false)</f>
        <v>0</v>
      </c>
      <c r="L5547" s="74">
        <v>0.0</v>
      </c>
      <c r="M5547" s="74">
        <f t="shared" si="2"/>
        <v>0</v>
      </c>
      <c r="N5547" s="74">
        <f t="shared" si="3"/>
        <v>105000</v>
      </c>
      <c r="O5547" s="65" t="str">
        <f>VLOOKUP(E5547,DATABASE!C:Q,8,false)</f>
        <v>IBU</v>
      </c>
      <c r="P5547" s="65">
        <f>VLOOKUP(E5547,DATABASE!C:Q,9,False)</f>
        <v>0</v>
      </c>
      <c r="Q5547" s="93" t="str">
        <f>VLOOKUP(E5547,DATABASE!C:Q,4,false)</f>
        <v>SPOORING SS/CARRY LOS BAK</v>
      </c>
      <c r="R5547" s="93" t="str">
        <f>VLOOKUP(E5547,DATABASE!C:Q,11,false)</f>
        <v>SERVICE</v>
      </c>
    </row>
    <row r="5548" ht="22.5" customHeight="1">
      <c r="A5548" s="49"/>
      <c r="C5548" s="666">
        <v>45978.0</v>
      </c>
      <c r="D5548" s="673" t="s">
        <v>0</v>
      </c>
      <c r="E5548" s="676" t="s">
        <v>258</v>
      </c>
      <c r="F5548" s="664">
        <v>3.0</v>
      </c>
      <c r="G5548" s="677">
        <v>85000.0</v>
      </c>
      <c r="H5548" s="74">
        <v>0.0</v>
      </c>
      <c r="I5548" s="74">
        <f t="shared" si="1"/>
        <v>255000</v>
      </c>
      <c r="J5548" s="74">
        <f>IF(E5548="SERVICE",I5548-(I5548*50%),Vlookup(E5548,DATABASE!C:Q,10,false)*F5548)</f>
        <v>0</v>
      </c>
      <c r="K5548" s="74">
        <f>VLOOKUP(E5548,DATABASE!C:Q,7,false)</f>
        <v>74700</v>
      </c>
      <c r="L5548" s="74">
        <v>73424.0</v>
      </c>
      <c r="M5548" s="74">
        <f t="shared" si="2"/>
        <v>75000</v>
      </c>
      <c r="N5548" s="74">
        <f t="shared" si="3"/>
        <v>30000</v>
      </c>
      <c r="O5548" s="65" t="str">
        <f>VLOOKUP(E5548,DATABASE!C:Q,8,false)</f>
        <v>NON</v>
      </c>
      <c r="P5548" s="65">
        <f>VLOOKUP(E5548,DATABASE!C:Q,9,False)</f>
        <v>0</v>
      </c>
      <c r="Q5548" s="93" t="str">
        <f>VLOOKUP(E5548,DATABASE!C:Q,4,false)</f>
        <v>Shell</v>
      </c>
      <c r="R5548" s="93" t="str">
        <f>VLOOKUP(E5548,DATABASE!C:Q,11,false)</f>
        <v>OIL</v>
      </c>
    </row>
    <row r="5549" ht="22.5" customHeight="1">
      <c r="A5549" s="49"/>
      <c r="C5549" s="661">
        <v>45978.0</v>
      </c>
      <c r="D5549" s="673" t="s">
        <v>0</v>
      </c>
      <c r="E5549" s="676" t="s">
        <v>248</v>
      </c>
      <c r="F5549" s="664">
        <v>2.0</v>
      </c>
      <c r="G5549" s="677">
        <v>190000.0</v>
      </c>
      <c r="H5549" s="74">
        <v>0.0</v>
      </c>
      <c r="I5549" s="74">
        <f t="shared" si="1"/>
        <v>380000</v>
      </c>
      <c r="J5549" s="74">
        <f>IF(E5549="SERVICE",I5549-(I5549*50%),Vlookup(E5549,DATABASE!C:Q,10,false)*F5549)</f>
        <v>0</v>
      </c>
      <c r="K5549" s="74">
        <f>VLOOKUP(E5549,DATABASE!C:Q,7,false)</f>
        <v>209816.66</v>
      </c>
      <c r="L5549" s="74">
        <v>160833.0</v>
      </c>
      <c r="M5549" s="74">
        <f t="shared" si="2"/>
        <v>165000</v>
      </c>
      <c r="N5549" s="74">
        <f t="shared" si="3"/>
        <v>50000</v>
      </c>
      <c r="O5549" s="65" t="str">
        <f>VLOOKUP(E5549,DATABASE!C:Q,8,false)</f>
        <v>NON</v>
      </c>
      <c r="P5549" s="65">
        <f>VLOOKUP(E5549,DATABASE!C:Q,9,False)</f>
        <v>0</v>
      </c>
      <c r="Q5549" s="93" t="str">
        <f>VLOOKUP(E5549,DATABASE!C:Q,4,false)</f>
        <v>Pertamina</v>
      </c>
      <c r="R5549" s="93" t="str">
        <f>VLOOKUP(E5549,DATABASE!C:Q,11,false)</f>
        <v>OIL</v>
      </c>
    </row>
    <row r="5550" ht="22.5" customHeight="1">
      <c r="A5550" s="49"/>
      <c r="C5550" s="666">
        <v>45979.0</v>
      </c>
      <c r="D5550" s="673">
        <v>7883.0</v>
      </c>
      <c r="E5550" s="676" t="s">
        <v>695</v>
      </c>
      <c r="F5550" s="664">
        <v>2.0</v>
      </c>
      <c r="G5550" s="677">
        <v>660000.0</v>
      </c>
      <c r="H5550" s="74">
        <v>0.0</v>
      </c>
      <c r="I5550" s="74">
        <f t="shared" si="1"/>
        <v>1320000</v>
      </c>
      <c r="J5550" s="74">
        <f>IF(E5550="SERVICE",I5550-(I5550*50%),Vlookup(E5550,DATABASE!C:Q,10,false)*F5550)</f>
        <v>0</v>
      </c>
      <c r="K5550" s="74">
        <f>VLOOKUP(E5550,DATABASE!C:Q,7,false)</f>
        <v>582000</v>
      </c>
      <c r="L5550" s="74">
        <v>570000.0</v>
      </c>
      <c r="M5550" s="74">
        <f t="shared" si="2"/>
        <v>570000</v>
      </c>
      <c r="N5550" s="74">
        <f t="shared" si="3"/>
        <v>180000</v>
      </c>
      <c r="O5550" s="65" t="str">
        <f>VLOOKUP(E5550,DATABASE!C:Q,8,false)</f>
        <v>IBU</v>
      </c>
      <c r="P5550" s="65">
        <f>VLOOKUP(E5550,DATABASE!C:Q,9,False)</f>
        <v>1</v>
      </c>
      <c r="Q5550" s="93" t="str">
        <f>VLOOKUP(E5550,DATABASE!C:Q,4,false)</f>
        <v>Dunlop</v>
      </c>
      <c r="R5550" s="93" t="str">
        <f>VLOOKUP(E5550,DATABASE!C:Q,11,false)</f>
        <v>Tire</v>
      </c>
      <c r="U5550" s="9"/>
    </row>
    <row r="5551" ht="22.5" customHeight="1">
      <c r="A5551" s="49"/>
      <c r="C5551" s="661">
        <v>45979.0</v>
      </c>
      <c r="D5551" s="673">
        <v>7884.0</v>
      </c>
      <c r="E5551" s="676" t="s">
        <v>256</v>
      </c>
      <c r="F5551" s="664">
        <v>1.0</v>
      </c>
      <c r="G5551" s="677">
        <v>130000.0</v>
      </c>
      <c r="H5551" s="74">
        <v>0.0</v>
      </c>
      <c r="I5551" s="74">
        <f t="shared" si="1"/>
        <v>130000</v>
      </c>
      <c r="J5551" s="74">
        <f>IF(E5551="SERVICE",I5551-(I5551*50%),Vlookup(E5551,DATABASE!C:Q,10,false)*F5551)</f>
        <v>10000</v>
      </c>
      <c r="K5551" s="74">
        <f>VLOOKUP(E5551,DATABASE!C:Q,7,false)</f>
        <v>0</v>
      </c>
      <c r="L5551" s="74">
        <v>0.0</v>
      </c>
      <c r="M5551" s="74">
        <f t="shared" si="2"/>
        <v>0</v>
      </c>
      <c r="N5551" s="74">
        <f t="shared" si="3"/>
        <v>120000</v>
      </c>
      <c r="O5551" s="65" t="str">
        <f>VLOOKUP(E5551,DATABASE!C:Q,8,false)</f>
        <v>IBU</v>
      </c>
      <c r="P5551" s="65">
        <f>VLOOKUP(E5551,DATABASE!C:Q,9,False)</f>
        <v>0</v>
      </c>
      <c r="Q5551" s="93" t="str">
        <f>VLOOKUP(E5551,DATABASE!C:Q,4,false)</f>
        <v>SPOORING</v>
      </c>
      <c r="R5551" s="93" t="str">
        <f>VLOOKUP(E5551,DATABASE!C:Q,11,false)</f>
        <v>SERVICE</v>
      </c>
    </row>
    <row r="5552" ht="22.5" customHeight="1">
      <c r="A5552" s="49"/>
      <c r="C5552" s="666">
        <v>45979.0</v>
      </c>
      <c r="D5552" s="673">
        <v>7884.0</v>
      </c>
      <c r="E5552" s="671" t="s">
        <v>299</v>
      </c>
      <c r="F5552" s="664">
        <v>1.0</v>
      </c>
      <c r="G5552" s="677">
        <v>30000.0</v>
      </c>
      <c r="H5552" s="74">
        <v>0.0</v>
      </c>
      <c r="I5552" s="74">
        <f t="shared" si="1"/>
        <v>30000</v>
      </c>
      <c r="J5552" s="74">
        <f>IF(E5552="SERVICE",I5552-(I5552*50%),Vlookup(E5552,DATABASE!C:Q,10,false)*F5552)</f>
        <v>0</v>
      </c>
      <c r="K5552" s="74">
        <f>VLOOKUP(E5552,DATABASE!C:Q,7,false)</f>
        <v>10000</v>
      </c>
      <c r="L5552" s="74">
        <v>5000.0</v>
      </c>
      <c r="M5552" s="74">
        <f t="shared" si="2"/>
        <v>5000</v>
      </c>
      <c r="N5552" s="74">
        <f t="shared" si="3"/>
        <v>25000</v>
      </c>
      <c r="O5552" s="65" t="str">
        <f>VLOOKUP(E5552,DATABASE!C:Q,8,false)</f>
        <v>BIAN</v>
      </c>
      <c r="P5552" s="65">
        <f>VLOOKUP(E5552,DATABASE!C:Q,9,False)</f>
        <v>0</v>
      </c>
      <c r="Q5552" s="93" t="str">
        <f>VLOOKUP(E5552,DATABASE!C:Q,4,false)</f>
        <v>Balancing</v>
      </c>
      <c r="R5552" s="93" t="str">
        <f>VLOOKUP(E5552,DATABASE!C:Q,11,false)</f>
        <v>COMPLEMENTARY</v>
      </c>
    </row>
    <row r="5553" ht="22.5" customHeight="1">
      <c r="A5553" s="49"/>
      <c r="C5553" s="661">
        <v>45979.0</v>
      </c>
      <c r="D5553" s="673">
        <v>7884.0</v>
      </c>
      <c r="E5553" s="676" t="s">
        <v>301</v>
      </c>
      <c r="F5553" s="664">
        <v>1.0</v>
      </c>
      <c r="G5553" s="677">
        <v>250000.0</v>
      </c>
      <c r="H5553" s="74">
        <v>0.0</v>
      </c>
      <c r="I5553" s="74">
        <f t="shared" si="1"/>
        <v>250000</v>
      </c>
      <c r="J5553" s="74">
        <f>IF(E5553="SERVICE",I5553-(I5553*50%),Vlookup(E5553,DATABASE!C:Q,10,false)*F5553)</f>
        <v>75000</v>
      </c>
      <c r="K5553" s="74">
        <f>VLOOKUP(E5553,DATABASE!C:Q,7,false)</f>
        <v>75000</v>
      </c>
      <c r="L5553" s="74">
        <v>75000.0</v>
      </c>
      <c r="M5553" s="74">
        <f t="shared" si="2"/>
        <v>75000</v>
      </c>
      <c r="N5553" s="74">
        <f t="shared" si="3"/>
        <v>100000</v>
      </c>
      <c r="O5553" s="65" t="str">
        <f>VLOOKUP(E5553,DATABASE!C:Q,8,false)</f>
        <v>BIAN</v>
      </c>
      <c r="P5553" s="65">
        <f>VLOOKUP(E5553,DATABASE!C:Q,9,False)</f>
        <v>0</v>
      </c>
      <c r="Q5553" s="93" t="str">
        <f>VLOOKUP(E5553,DATABASE!C:Q,4,false)</f>
        <v>Baut Camber</v>
      </c>
      <c r="R5553" s="93" t="str">
        <f>VLOOKUP(E5553,DATABASE!C:Q,11,false)</f>
        <v>COMPLEMENTARY</v>
      </c>
    </row>
    <row r="5554" ht="22.5" customHeight="1">
      <c r="A5554" s="49"/>
      <c r="C5554" s="666">
        <v>45979.0</v>
      </c>
      <c r="D5554" s="673">
        <v>7884.0</v>
      </c>
      <c r="E5554" s="676" t="s">
        <v>2199</v>
      </c>
      <c r="F5554" s="664">
        <v>1.0</v>
      </c>
      <c r="G5554" s="677">
        <v>15000.0</v>
      </c>
      <c r="H5554" s="74">
        <v>0.0</v>
      </c>
      <c r="I5554" s="74">
        <f t="shared" si="1"/>
        <v>15000</v>
      </c>
      <c r="J5554" s="74">
        <f>IF(E5554="SERVICE",I5554-(I5554*50%),Vlookup(E5554,DATABASE!C:Q,10,false)*F5554)</f>
        <v>0</v>
      </c>
      <c r="K5554" s="74">
        <f>VLOOKUP(E5554,DATABASE!C:Q,7,false)</f>
        <v>5000</v>
      </c>
      <c r="L5554" s="74">
        <v>0.0</v>
      </c>
      <c r="M5554" s="74">
        <f t="shared" si="2"/>
        <v>0</v>
      </c>
      <c r="N5554" s="74">
        <f t="shared" si="3"/>
        <v>15000</v>
      </c>
      <c r="O5554" s="65" t="str">
        <f>VLOOKUP(E5554,DATABASE!C:Q,8,false)</f>
        <v>BIAN</v>
      </c>
      <c r="P5554" s="65">
        <f>VLOOKUP(E5554,DATABASE!C:Q,9,False)</f>
        <v>0</v>
      </c>
      <c r="Q5554" s="93" t="str">
        <f>VLOOKUP(E5554,DATABASE!C:Q,4,false)</f>
        <v>TAMBAL TUBLES</v>
      </c>
      <c r="R5554" s="93" t="str">
        <f>VLOOKUP(E5554,DATABASE!C:Q,11,false)</f>
        <v>COMPLEMENTARY</v>
      </c>
    </row>
    <row r="5555" ht="22.5" customHeight="1">
      <c r="A5555" s="49"/>
      <c r="C5555" s="661">
        <v>45979.0</v>
      </c>
      <c r="D5555" s="673">
        <v>7885.0</v>
      </c>
      <c r="E5555" s="676" t="s">
        <v>288</v>
      </c>
      <c r="F5555" s="664">
        <v>1.0</v>
      </c>
      <c r="G5555" s="677">
        <v>620000.0</v>
      </c>
      <c r="H5555" s="74">
        <v>0.0</v>
      </c>
      <c r="I5555" s="74">
        <f t="shared" si="1"/>
        <v>620000</v>
      </c>
      <c r="J5555" s="74">
        <f>IF(E5555="SERVICE",I5555-(I5555*50%),Vlookup(E5555,DATABASE!C:Q,10,false)*F5555)</f>
        <v>0</v>
      </c>
      <c r="K5555" s="74">
        <f>VLOOKUP(E5555,DATABASE!C:Q,7,false)</f>
        <v>565760</v>
      </c>
      <c r="L5555" s="74">
        <v>524800.0</v>
      </c>
      <c r="M5555" s="74">
        <f t="shared" si="2"/>
        <v>525000</v>
      </c>
      <c r="N5555" s="74">
        <f t="shared" si="3"/>
        <v>95000</v>
      </c>
      <c r="O5555" s="65" t="str">
        <f>VLOOKUP(E5555,DATABASE!C:Q,8,false)</f>
        <v>BIAN</v>
      </c>
      <c r="P5555" s="65">
        <f>VLOOKUP(E5555,DATABASE!C:Q,9,False)</f>
        <v>1</v>
      </c>
      <c r="Q5555" s="93" t="str">
        <f>VLOOKUP(E5555,DATABASE!C:Q,4,false)</f>
        <v>GT</v>
      </c>
      <c r="R5555" s="93" t="str">
        <f>VLOOKUP(E5555,DATABASE!C:Q,11,false)</f>
        <v>Tire</v>
      </c>
      <c r="U5555" s="9">
        <v>620000.0</v>
      </c>
    </row>
    <row r="5556" ht="22.5" customHeight="1">
      <c r="A5556" s="49"/>
      <c r="C5556" s="666">
        <v>45979.0</v>
      </c>
      <c r="D5556" s="673">
        <v>7887.0</v>
      </c>
      <c r="E5556" s="676" t="s">
        <v>246</v>
      </c>
      <c r="F5556" s="664">
        <v>4.0</v>
      </c>
      <c r="G5556" s="677">
        <v>30000.0</v>
      </c>
      <c r="H5556" s="74">
        <v>0.0</v>
      </c>
      <c r="I5556" s="74">
        <f t="shared" si="1"/>
        <v>120000</v>
      </c>
      <c r="J5556" s="74">
        <f>IF(E5556="SERVICE",I5556-(I5556*50%),Vlookup(E5556,DATABASE!C:Q,10,false)*F5556)</f>
        <v>0</v>
      </c>
      <c r="K5556" s="74">
        <f>VLOOKUP(E5556,DATABASE!C:Q,7,false)</f>
        <v>0</v>
      </c>
      <c r="L5556" s="74">
        <v>0.0</v>
      </c>
      <c r="M5556" s="74">
        <f t="shared" si="2"/>
        <v>0</v>
      </c>
      <c r="N5556" s="74">
        <f t="shared" si="3"/>
        <v>120000</v>
      </c>
      <c r="O5556" s="65" t="str">
        <f>VLOOKUP(E5556,DATABASE!C:Q,8,false)</f>
        <v>IBU</v>
      </c>
      <c r="P5556" s="65">
        <f>VLOOKUP(E5556,DATABASE!C:Q,9,False)</f>
        <v>0</v>
      </c>
      <c r="Q5556" s="93" t="str">
        <f>VLOOKUP(E5556,DATABASE!C:Q,4,false)</f>
        <v>Bongkar Pasang</v>
      </c>
      <c r="R5556" s="93" t="str">
        <f>VLOOKUP(E5556,DATABASE!C:Q,11,false)</f>
        <v>SERVICE</v>
      </c>
    </row>
    <row r="5557" ht="22.5" customHeight="1">
      <c r="A5557" s="49"/>
      <c r="C5557" s="661">
        <v>45979.0</v>
      </c>
      <c r="D5557" s="673">
        <v>7888.0</v>
      </c>
      <c r="E5557" s="676" t="s">
        <v>1940</v>
      </c>
      <c r="F5557" s="664">
        <v>2.0</v>
      </c>
      <c r="G5557" s="677">
        <v>800000.0</v>
      </c>
      <c r="H5557" s="74">
        <v>0.0</v>
      </c>
      <c r="I5557" s="74">
        <f t="shared" si="1"/>
        <v>1600000</v>
      </c>
      <c r="J5557" s="74">
        <f>IF(E5557="SERVICE",I5557-(I5557*50%),Vlookup(E5557,DATABASE!C:Q,10,false)*F5557)</f>
        <v>0</v>
      </c>
      <c r="K5557" s="74">
        <f>VLOOKUP(E5557,DATABASE!C:Q,7,false)</f>
        <v>775500</v>
      </c>
      <c r="L5557" s="74">
        <v>716940.0</v>
      </c>
      <c r="M5557" s="74">
        <f t="shared" si="2"/>
        <v>720000</v>
      </c>
      <c r="N5557" s="74">
        <f t="shared" si="3"/>
        <v>160000</v>
      </c>
      <c r="O5557" s="65" t="str">
        <f>VLOOKUP(E5557,DATABASE!C:Q,8,false)</f>
        <v>BIAN</v>
      </c>
      <c r="P5557" s="65">
        <f>VLOOKUP(E5557,DATABASE!C:Q,9,False)</f>
        <v>1</v>
      </c>
      <c r="Q5557" s="93" t="str">
        <f>VLOOKUP(E5557,DATABASE!C:Q,4,false)</f>
        <v>GT</v>
      </c>
      <c r="R5557" s="93" t="str">
        <f>VLOOKUP(E5557,DATABASE!C:Q,11,false)</f>
        <v>Tire</v>
      </c>
      <c r="U5557" s="9">
        <v>1600000.0</v>
      </c>
    </row>
    <row r="5558" ht="22.5" customHeight="1">
      <c r="A5558" s="49"/>
      <c r="C5558" s="666">
        <v>45979.0</v>
      </c>
      <c r="D5558" s="673">
        <v>7888.0</v>
      </c>
      <c r="E5558" s="676" t="s">
        <v>1175</v>
      </c>
      <c r="F5558" s="664">
        <v>2.0</v>
      </c>
      <c r="G5558" s="677">
        <v>950000.0</v>
      </c>
      <c r="H5558" s="74">
        <v>0.0</v>
      </c>
      <c r="I5558" s="74">
        <f t="shared" si="1"/>
        <v>1900000</v>
      </c>
      <c r="J5558" s="74">
        <f>IF(E5558="SERVICE",I5558-(I5558*50%),Vlookup(E5558,DATABASE!C:Q,10,false)*F5558)</f>
        <v>0</v>
      </c>
      <c r="K5558" s="74">
        <f>VLOOKUP(E5558,DATABASE!C:Q,7,false)</f>
        <v>889369.5</v>
      </c>
      <c r="L5558" s="74">
        <v>846720.0</v>
      </c>
      <c r="M5558" s="74">
        <f t="shared" si="2"/>
        <v>850000</v>
      </c>
      <c r="N5558" s="74">
        <f t="shared" si="3"/>
        <v>200000</v>
      </c>
      <c r="O5558" s="65" t="str">
        <f>VLOOKUP(E5558,DATABASE!C:Q,8,false)</f>
        <v>IBU</v>
      </c>
      <c r="P5558" s="65">
        <f>VLOOKUP(E5558,DATABASE!C:Q,9,False)</f>
        <v>1</v>
      </c>
      <c r="Q5558" s="93" t="str">
        <f>VLOOKUP(E5558,DATABASE!C:Q,4,false)</f>
        <v>Bridgestone</v>
      </c>
      <c r="R5558" s="93" t="str">
        <f>VLOOKUP(E5558,DATABASE!C:Q,11,false)</f>
        <v>Tire</v>
      </c>
      <c r="U5558" s="9"/>
    </row>
    <row r="5559" ht="22.5" customHeight="1">
      <c r="A5559" s="49"/>
      <c r="C5559" s="666">
        <v>45979.0</v>
      </c>
      <c r="D5559" s="673">
        <v>7889.0</v>
      </c>
      <c r="E5559" s="676" t="s">
        <v>2199</v>
      </c>
      <c r="F5559" s="664">
        <v>1.0</v>
      </c>
      <c r="G5559" s="677">
        <v>15000.0</v>
      </c>
      <c r="H5559" s="74">
        <v>0.0</v>
      </c>
      <c r="I5559" s="74">
        <f t="shared" si="1"/>
        <v>15000</v>
      </c>
      <c r="J5559" s="74">
        <f>IF(E5559="SERVICE",I5559-(I5559*50%),Vlookup(E5559,DATABASE!C:Q,10,false)*F5559)</f>
        <v>0</v>
      </c>
      <c r="K5559" s="74">
        <f>VLOOKUP(E5559,DATABASE!C:Q,7,false)</f>
        <v>5000</v>
      </c>
      <c r="L5559" s="74">
        <v>0.0</v>
      </c>
      <c r="M5559" s="74">
        <f t="shared" si="2"/>
        <v>0</v>
      </c>
      <c r="N5559" s="74">
        <f t="shared" si="3"/>
        <v>15000</v>
      </c>
      <c r="O5559" s="65" t="str">
        <f>VLOOKUP(E5559,DATABASE!C:Q,8,false)</f>
        <v>BIAN</v>
      </c>
      <c r="P5559" s="65">
        <f>VLOOKUP(E5559,DATABASE!C:Q,9,False)</f>
        <v>0</v>
      </c>
      <c r="Q5559" s="93" t="str">
        <f>VLOOKUP(E5559,DATABASE!C:Q,4,false)</f>
        <v>TAMBAL TUBLES</v>
      </c>
      <c r="R5559" s="93" t="str">
        <f>VLOOKUP(E5559,DATABASE!C:Q,11,false)</f>
        <v>COMPLEMENTARY</v>
      </c>
      <c r="U5559" s="9">
        <v>4950000.0</v>
      </c>
    </row>
    <row r="5560" ht="22.5" customHeight="1">
      <c r="A5560" s="49"/>
      <c r="C5560" s="661">
        <v>45979.0</v>
      </c>
      <c r="D5560" s="673">
        <v>7889.0</v>
      </c>
      <c r="E5560" s="676" t="s">
        <v>2139</v>
      </c>
      <c r="F5560" s="664">
        <v>1.0</v>
      </c>
      <c r="G5560" s="677">
        <v>10000.0</v>
      </c>
      <c r="H5560" s="74">
        <v>0.0</v>
      </c>
      <c r="I5560" s="74">
        <f t="shared" si="1"/>
        <v>10000</v>
      </c>
      <c r="J5560" s="74">
        <f>IF(E5560="SERVICE",I5560-(I5560*50%),Vlookup(E5560,DATABASE!C:Q,10,false)*F5560)</f>
        <v>0</v>
      </c>
      <c r="K5560" s="74">
        <f>VLOOKUP(E5560,DATABASE!C:Q,7,false)</f>
        <v>0</v>
      </c>
      <c r="L5560" s="74">
        <v>0.0</v>
      </c>
      <c r="M5560" s="74">
        <f t="shared" si="2"/>
        <v>0</v>
      </c>
      <c r="N5560" s="74">
        <f t="shared" si="3"/>
        <v>10000</v>
      </c>
      <c r="O5560" s="65" t="str">
        <f>VLOOKUP(E5560,DATABASE!C:Q,8,false)</f>
        <v>IBU</v>
      </c>
      <c r="P5560" s="65">
        <f>VLOOKUP(E5560,DATABASE!C:Q,9,False)</f>
        <v>0</v>
      </c>
      <c r="Q5560" s="93" t="str">
        <f>VLOOKUP(E5560,DATABASE!C:Q,4,false)</f>
        <v>PENTIL</v>
      </c>
      <c r="R5560" s="93" t="str">
        <f>VLOOKUP(E5560,DATABASE!C:Q,11,false)</f>
        <v>COMPLEMENTARY</v>
      </c>
    </row>
    <row r="5561" ht="22.5" customHeight="1">
      <c r="A5561" s="49"/>
      <c r="C5561" s="661">
        <v>45979.0</v>
      </c>
      <c r="D5561" s="673">
        <v>7890.0</v>
      </c>
      <c r="E5561" s="676" t="s">
        <v>286</v>
      </c>
      <c r="F5561" s="664">
        <v>9.0</v>
      </c>
      <c r="G5561" s="677">
        <v>550000.0</v>
      </c>
      <c r="H5561" s="74">
        <v>0.0</v>
      </c>
      <c r="I5561" s="74">
        <f t="shared" si="1"/>
        <v>4950000</v>
      </c>
      <c r="J5561" s="74">
        <f>IF(E5561="SERVICE",I5561-(I5561*50%),Vlookup(E5561,DATABASE!C:Q,10,false)*F5561)</f>
        <v>0</v>
      </c>
      <c r="K5561" s="74">
        <f>VLOOKUP(E5561,DATABASE!C:Q,7,false)</f>
        <v>488320</v>
      </c>
      <c r="L5561" s="74">
        <v>452970.0</v>
      </c>
      <c r="M5561" s="74">
        <f t="shared" si="2"/>
        <v>455000</v>
      </c>
      <c r="N5561" s="74">
        <f t="shared" si="3"/>
        <v>855000</v>
      </c>
      <c r="O5561" s="65" t="str">
        <f>VLOOKUP(E5561,DATABASE!C:Q,8,false)</f>
        <v>BIAN</v>
      </c>
      <c r="P5561" s="65">
        <f>VLOOKUP(E5561,DATABASE!C:Q,9,False)</f>
        <v>1</v>
      </c>
      <c r="Q5561" s="93" t="str">
        <f>VLOOKUP(E5561,DATABASE!C:Q,4,false)</f>
        <v>GT</v>
      </c>
      <c r="R5561" s="93" t="str">
        <f>VLOOKUP(E5561,DATABASE!C:Q,11,false)</f>
        <v>Tire</v>
      </c>
    </row>
    <row r="5562" ht="22.5" customHeight="1">
      <c r="A5562" s="49"/>
      <c r="C5562" s="666">
        <v>45980.0</v>
      </c>
      <c r="D5562" s="673">
        <v>7891.0</v>
      </c>
      <c r="E5562" s="676" t="s">
        <v>839</v>
      </c>
      <c r="F5562" s="664">
        <v>1.0</v>
      </c>
      <c r="G5562" s="677">
        <v>565000.0</v>
      </c>
      <c r="H5562" s="74">
        <v>0.0</v>
      </c>
      <c r="I5562" s="74">
        <f t="shared" si="1"/>
        <v>565000</v>
      </c>
      <c r="J5562" s="74">
        <f>IF(E5562="SERVICE",I5562-(I5562*50%),Vlookup(E5562,DATABASE!C:Q,10,false)*F5562)</f>
        <v>0</v>
      </c>
      <c r="K5562" s="74">
        <f>VLOOKUP(E5562,DATABASE!C:Q,7,false)</f>
        <v>512640</v>
      </c>
      <c r="L5562" s="74">
        <v>475700.0</v>
      </c>
      <c r="M5562" s="74">
        <f t="shared" si="2"/>
        <v>480000</v>
      </c>
      <c r="N5562" s="74">
        <f t="shared" si="3"/>
        <v>85000</v>
      </c>
      <c r="O5562" s="65" t="str">
        <f>VLOOKUP(E5562,DATABASE!C:Q,8,false)</f>
        <v>BIAN</v>
      </c>
      <c r="P5562" s="65">
        <f>VLOOKUP(E5562,DATABASE!C:Q,9,False)</f>
        <v>1</v>
      </c>
      <c r="Q5562" s="93" t="str">
        <f>VLOOKUP(E5562,DATABASE!C:Q,4,false)</f>
        <v>GT</v>
      </c>
      <c r="R5562" s="93" t="str">
        <f>VLOOKUP(E5562,DATABASE!C:Q,11,false)</f>
        <v>Tire</v>
      </c>
      <c r="U5562" s="9">
        <v>565000.0</v>
      </c>
    </row>
    <row r="5563" ht="22.5" customHeight="1">
      <c r="A5563" s="49"/>
      <c r="C5563" s="661">
        <v>45980.0</v>
      </c>
      <c r="D5563" s="673">
        <v>7892.0</v>
      </c>
      <c r="E5563" s="676" t="s">
        <v>251</v>
      </c>
      <c r="F5563" s="664">
        <v>1.0</v>
      </c>
      <c r="G5563" s="677">
        <v>150000.0</v>
      </c>
      <c r="H5563" s="74">
        <v>0.0</v>
      </c>
      <c r="I5563" s="74">
        <f t="shared" si="1"/>
        <v>150000</v>
      </c>
      <c r="J5563" s="74">
        <f>IF(E5563="SERVICE",I5563-(I5563*50%),Vlookup(E5563,DATABASE!C:Q,10,false)*F5563)</f>
        <v>75000</v>
      </c>
      <c r="K5563" s="74">
        <f>VLOOKUP(E5563,DATABASE!C:Q,7,false)</f>
        <v>0</v>
      </c>
      <c r="L5563" s="74">
        <v>0.0</v>
      </c>
      <c r="M5563" s="74">
        <f t="shared" si="2"/>
        <v>0</v>
      </c>
      <c r="N5563" s="74">
        <f t="shared" si="3"/>
        <v>75000</v>
      </c>
      <c r="O5563" s="65" t="str">
        <f>VLOOKUP(E5563,DATABASE!C:Q,8,false)</f>
        <v>IBU</v>
      </c>
      <c r="P5563" s="65">
        <f>VLOOKUP(E5563,DATABASE!C:Q,9,False)</f>
        <v>0</v>
      </c>
      <c r="Q5563" s="93" t="str">
        <f>VLOOKUP(E5563,DATABASE!C:Q,4,false)</f>
        <v>SERVICE</v>
      </c>
      <c r="R5563" s="93" t="str">
        <f>VLOOKUP(E5563,DATABASE!C:Q,11,false)</f>
        <v>SERVICE</v>
      </c>
    </row>
    <row r="5564" ht="22.5" customHeight="1">
      <c r="A5564" s="49"/>
      <c r="C5564" s="666">
        <v>45980.0</v>
      </c>
      <c r="D5564" s="673">
        <v>7892.0</v>
      </c>
      <c r="E5564" s="676" t="s">
        <v>251</v>
      </c>
      <c r="F5564" s="664">
        <v>1.0</v>
      </c>
      <c r="G5564" s="677">
        <v>100000.0</v>
      </c>
      <c r="H5564" s="74">
        <v>0.0</v>
      </c>
      <c r="I5564" s="74">
        <f t="shared" si="1"/>
        <v>100000</v>
      </c>
      <c r="J5564" s="74">
        <f>IF(E5564="SERVICE",I5564-(I5564*50%),Vlookup(E5564,DATABASE!C:Q,10,false)*F5564)</f>
        <v>50000</v>
      </c>
      <c r="K5564" s="74">
        <f>VLOOKUP(E5564,DATABASE!C:Q,7,false)</f>
        <v>0</v>
      </c>
      <c r="L5564" s="74">
        <v>0.0</v>
      </c>
      <c r="M5564" s="74">
        <f t="shared" si="2"/>
        <v>0</v>
      </c>
      <c r="N5564" s="74">
        <f t="shared" si="3"/>
        <v>50000</v>
      </c>
      <c r="O5564" s="65" t="str">
        <f>VLOOKUP(E5564,DATABASE!C:Q,8,false)</f>
        <v>IBU</v>
      </c>
      <c r="P5564" s="65">
        <f>VLOOKUP(E5564,DATABASE!C:Q,9,False)</f>
        <v>0</v>
      </c>
      <c r="Q5564" s="93" t="str">
        <f>VLOOKUP(E5564,DATABASE!C:Q,4,false)</f>
        <v>SERVICE</v>
      </c>
      <c r="R5564" s="93" t="str">
        <f>VLOOKUP(E5564,DATABASE!C:Q,11,false)</f>
        <v>SERVICE</v>
      </c>
    </row>
    <row r="5565" ht="22.5" customHeight="1">
      <c r="A5565" s="49"/>
      <c r="C5565" s="661">
        <v>45980.0</v>
      </c>
      <c r="D5565" s="673">
        <v>7892.0</v>
      </c>
      <c r="E5565" s="676" t="s">
        <v>478</v>
      </c>
      <c r="F5565" s="664">
        <v>1.0</v>
      </c>
      <c r="G5565" s="677">
        <v>200000.0</v>
      </c>
      <c r="H5565" s="74">
        <v>0.0</v>
      </c>
      <c r="I5565" s="74">
        <f t="shared" si="1"/>
        <v>200000</v>
      </c>
      <c r="J5565" s="74">
        <f>IF(E5565="SERVICE",I5565-(I5565*50%),Vlookup(E5565,DATABASE!C:Q,10,false)*F5565)</f>
        <v>25000</v>
      </c>
      <c r="K5565" s="74">
        <f>VLOOKUP(E5565,DATABASE!C:Q,7,false)</f>
        <v>75000</v>
      </c>
      <c r="L5565" s="74">
        <v>75000.0</v>
      </c>
      <c r="M5565" s="74">
        <f t="shared" si="2"/>
        <v>75000</v>
      </c>
      <c r="N5565" s="74">
        <f t="shared" si="3"/>
        <v>100000</v>
      </c>
      <c r="O5565" s="65" t="str">
        <f>VLOOKUP(E5565,DATABASE!C:Q,8,false)</f>
        <v>BIAN</v>
      </c>
      <c r="P5565" s="65">
        <f>VLOOKUP(E5565,DATABASE!C:Q,9,False)</f>
        <v>0</v>
      </c>
      <c r="Q5565" s="93" t="str">
        <f>VLOOKUP(E5565,DATABASE!C:Q,4,false)</f>
        <v>Baut Camber ss-carry</v>
      </c>
      <c r="R5565" s="93" t="str">
        <f>VLOOKUP(E5565,DATABASE!C:Q,11,false)</f>
        <v>COMPLEMENTARY</v>
      </c>
    </row>
    <row r="5566" ht="22.5" customHeight="1">
      <c r="A5566" s="49"/>
      <c r="C5566" s="666">
        <v>45980.0</v>
      </c>
      <c r="D5566" s="673">
        <v>7892.0</v>
      </c>
      <c r="E5566" s="676" t="s">
        <v>262</v>
      </c>
      <c r="F5566" s="664">
        <v>1.0</v>
      </c>
      <c r="G5566" s="677">
        <v>110000.0</v>
      </c>
      <c r="H5566" s="74">
        <v>0.0</v>
      </c>
      <c r="I5566" s="74">
        <f t="shared" si="1"/>
        <v>110000</v>
      </c>
      <c r="J5566" s="74">
        <f>IF(E5566="SERVICE",I5566-(I5566*50%),Vlookup(E5566,DATABASE!C:Q,10,false)*F5566)</f>
        <v>5000</v>
      </c>
      <c r="K5566" s="74">
        <f>VLOOKUP(E5566,DATABASE!C:Q,7,false)</f>
        <v>0</v>
      </c>
      <c r="L5566" s="74">
        <v>0.0</v>
      </c>
      <c r="M5566" s="74">
        <f t="shared" si="2"/>
        <v>0</v>
      </c>
      <c r="N5566" s="74">
        <f t="shared" si="3"/>
        <v>105000</v>
      </c>
      <c r="O5566" s="65" t="str">
        <f>VLOOKUP(E5566,DATABASE!C:Q,8,false)</f>
        <v>IBU</v>
      </c>
      <c r="P5566" s="65">
        <f>VLOOKUP(E5566,DATABASE!C:Q,9,False)</f>
        <v>0</v>
      </c>
      <c r="Q5566" s="93" t="str">
        <f>VLOOKUP(E5566,DATABASE!C:Q,4,false)</f>
        <v>SPOORING SS/CARRY LOS BAK</v>
      </c>
      <c r="R5566" s="93" t="str">
        <f>VLOOKUP(E5566,DATABASE!C:Q,11,false)</f>
        <v>SERVICE</v>
      </c>
    </row>
    <row r="5567" ht="22.5" customHeight="1">
      <c r="A5567" s="49"/>
      <c r="C5567" s="661">
        <v>45980.0</v>
      </c>
      <c r="D5567" s="673">
        <v>7893.0</v>
      </c>
      <c r="E5567" s="676" t="s">
        <v>1940</v>
      </c>
      <c r="F5567" s="664">
        <v>1.0</v>
      </c>
      <c r="G5567" s="677">
        <v>785000.0</v>
      </c>
      <c r="H5567" s="74">
        <v>0.0</v>
      </c>
      <c r="I5567" s="74">
        <f t="shared" si="1"/>
        <v>785000</v>
      </c>
      <c r="J5567" s="74">
        <f>IF(E5567="SERVICE",I5567-(I5567*50%),Vlookup(E5567,DATABASE!C:Q,10,false)*F5567)</f>
        <v>0</v>
      </c>
      <c r="K5567" s="74">
        <f>VLOOKUP(E5567,DATABASE!C:Q,7,false)</f>
        <v>775500</v>
      </c>
      <c r="L5567" s="74">
        <v>716940.0</v>
      </c>
      <c r="M5567" s="74">
        <f t="shared" si="2"/>
        <v>720000</v>
      </c>
      <c r="N5567" s="74">
        <f t="shared" si="3"/>
        <v>65000</v>
      </c>
      <c r="O5567" s="65" t="str">
        <f>VLOOKUP(E5567,DATABASE!C:Q,8,false)</f>
        <v>BIAN</v>
      </c>
      <c r="P5567" s="65">
        <f>VLOOKUP(E5567,DATABASE!C:Q,9,False)</f>
        <v>1</v>
      </c>
      <c r="Q5567" s="93" t="str">
        <f>VLOOKUP(E5567,DATABASE!C:Q,4,false)</f>
        <v>GT</v>
      </c>
      <c r="R5567" s="93" t="str">
        <f>VLOOKUP(E5567,DATABASE!C:Q,11,false)</f>
        <v>Tire</v>
      </c>
      <c r="U5567" s="9">
        <v>785000.0</v>
      </c>
    </row>
    <row r="5568" ht="22.5" customHeight="1">
      <c r="A5568" s="49"/>
      <c r="C5568" s="666">
        <v>45980.0</v>
      </c>
      <c r="D5568" s="673">
        <v>7894.0</v>
      </c>
      <c r="E5568" s="676" t="s">
        <v>262</v>
      </c>
      <c r="F5568" s="664">
        <v>1.0</v>
      </c>
      <c r="G5568" s="677">
        <v>110000.0</v>
      </c>
      <c r="H5568" s="74">
        <v>0.0</v>
      </c>
      <c r="I5568" s="74">
        <f t="shared" si="1"/>
        <v>110000</v>
      </c>
      <c r="J5568" s="74">
        <f>IF(E5568="SERVICE",I5568-(I5568*50%),Vlookup(E5568,DATABASE!C:Q,10,false)*F5568)</f>
        <v>5000</v>
      </c>
      <c r="K5568" s="74">
        <f>VLOOKUP(E5568,DATABASE!C:Q,7,false)</f>
        <v>0</v>
      </c>
      <c r="L5568" s="74">
        <v>0.0</v>
      </c>
      <c r="M5568" s="74">
        <f t="shared" si="2"/>
        <v>0</v>
      </c>
      <c r="N5568" s="74">
        <f t="shared" si="3"/>
        <v>105000</v>
      </c>
      <c r="O5568" s="65" t="str">
        <f>VLOOKUP(E5568,DATABASE!C:Q,8,false)</f>
        <v>IBU</v>
      </c>
      <c r="P5568" s="65">
        <f>VLOOKUP(E5568,DATABASE!C:Q,9,False)</f>
        <v>0</v>
      </c>
      <c r="Q5568" s="93" t="str">
        <f>VLOOKUP(E5568,DATABASE!C:Q,4,false)</f>
        <v>SPOORING SS/CARRY LOS BAK</v>
      </c>
      <c r="R5568" s="93" t="str">
        <f>VLOOKUP(E5568,DATABASE!C:Q,11,false)</f>
        <v>SERVICE</v>
      </c>
    </row>
    <row r="5569" ht="22.5" customHeight="1">
      <c r="A5569" s="49"/>
      <c r="C5569" s="661">
        <v>45980.0</v>
      </c>
      <c r="D5569" s="673">
        <v>7894.0</v>
      </c>
      <c r="E5569" s="676" t="s">
        <v>251</v>
      </c>
      <c r="F5569" s="664">
        <v>1.0</v>
      </c>
      <c r="G5569" s="677">
        <v>150000.0</v>
      </c>
      <c r="H5569" s="74">
        <v>0.0</v>
      </c>
      <c r="I5569" s="74">
        <f t="shared" si="1"/>
        <v>150000</v>
      </c>
      <c r="J5569" s="74">
        <f>IF(E5569="SERVICE",I5569-(I5569*50%),Vlookup(E5569,DATABASE!C:Q,10,false)*F5569)</f>
        <v>75000</v>
      </c>
      <c r="K5569" s="74">
        <f>VLOOKUP(E5569,DATABASE!C:Q,7,false)</f>
        <v>0</v>
      </c>
      <c r="L5569" s="74">
        <v>0.0</v>
      </c>
      <c r="M5569" s="74">
        <f t="shared" si="2"/>
        <v>0</v>
      </c>
      <c r="N5569" s="74">
        <f t="shared" si="3"/>
        <v>75000</v>
      </c>
      <c r="O5569" s="65" t="str">
        <f>VLOOKUP(E5569,DATABASE!C:Q,8,false)</f>
        <v>IBU</v>
      </c>
      <c r="P5569" s="65">
        <f>VLOOKUP(E5569,DATABASE!C:Q,9,False)</f>
        <v>0</v>
      </c>
      <c r="Q5569" s="93" t="str">
        <f>VLOOKUP(E5569,DATABASE!C:Q,4,false)</f>
        <v>SERVICE</v>
      </c>
      <c r="R5569" s="93" t="str">
        <f>VLOOKUP(E5569,DATABASE!C:Q,11,false)</f>
        <v>SERVICE</v>
      </c>
    </row>
    <row r="5570" ht="22.5" customHeight="1">
      <c r="A5570" s="49"/>
      <c r="C5570" s="661">
        <v>45980.0</v>
      </c>
      <c r="D5570" s="673">
        <v>7896.0</v>
      </c>
      <c r="E5570" s="676" t="s">
        <v>955</v>
      </c>
      <c r="F5570" s="664">
        <v>1.0</v>
      </c>
      <c r="G5570" s="677">
        <v>770000.0</v>
      </c>
      <c r="H5570" s="74">
        <v>0.0</v>
      </c>
      <c r="I5570" s="74">
        <f t="shared" si="1"/>
        <v>770000</v>
      </c>
      <c r="J5570" s="74">
        <f>IF(E5570="SERVICE",I5570-(I5570*50%),Vlookup(E5570,DATABASE!C:Q,10,false)*F5570)</f>
        <v>0</v>
      </c>
      <c r="K5570" s="74">
        <f>VLOOKUP(E5570,DATABASE!C:Q,7,false)</f>
        <v>712000</v>
      </c>
      <c r="L5570" s="74">
        <v>674000.0</v>
      </c>
      <c r="M5570" s="74">
        <f t="shared" si="2"/>
        <v>675000</v>
      </c>
      <c r="N5570" s="74">
        <f t="shared" si="3"/>
        <v>95000</v>
      </c>
      <c r="O5570" s="65" t="str">
        <f>VLOOKUP(E5570,DATABASE!C:Q,8,false)</f>
        <v>IBU</v>
      </c>
      <c r="P5570" s="65">
        <f>VLOOKUP(E5570,DATABASE!C:Q,9,False)</f>
        <v>1</v>
      </c>
      <c r="Q5570" s="93" t="str">
        <f>VLOOKUP(E5570,DATABASE!C:Q,4,false)</f>
        <v>Dunlop</v>
      </c>
      <c r="R5570" s="93" t="str">
        <f>VLOOKUP(E5570,DATABASE!C:Q,11,false)</f>
        <v>Tire</v>
      </c>
    </row>
    <row r="5571" ht="22.5" customHeight="1">
      <c r="A5571" s="49"/>
      <c r="C5571" s="661">
        <v>45980.0</v>
      </c>
      <c r="D5571" s="673">
        <v>7897.0</v>
      </c>
      <c r="E5571" s="676" t="s">
        <v>1439</v>
      </c>
      <c r="F5571" s="664">
        <v>2.0</v>
      </c>
      <c r="G5571" s="677">
        <v>630000.0</v>
      </c>
      <c r="H5571" s="74">
        <v>0.0</v>
      </c>
      <c r="I5571" s="74">
        <f t="shared" si="1"/>
        <v>1260000</v>
      </c>
      <c r="J5571" s="74">
        <f>IF(E5571="SERVICE",I5571-(I5571*50%),Vlookup(E5571,DATABASE!C:Q,10,false)*F5571)</f>
        <v>0</v>
      </c>
      <c r="K5571" s="74">
        <f>VLOOKUP(E5571,DATABASE!C:Q,7,false)</f>
        <v>556800</v>
      </c>
      <c r="L5571" s="74">
        <v>540800.0</v>
      </c>
      <c r="M5571" s="74">
        <f t="shared" si="2"/>
        <v>545000</v>
      </c>
      <c r="N5571" s="74">
        <f t="shared" si="3"/>
        <v>170000</v>
      </c>
      <c r="O5571" s="65" t="str">
        <f>VLOOKUP(E5571,DATABASE!C:Q,8,false)</f>
        <v>BIAN</v>
      </c>
      <c r="P5571" s="65">
        <f>VLOOKUP(E5571,DATABASE!C:Q,9,False)</f>
        <v>1</v>
      </c>
      <c r="Q5571" s="93" t="str">
        <f>VLOOKUP(E5571,DATABASE!C:Q,4,false)</f>
        <v>GT</v>
      </c>
      <c r="R5571" s="93" t="str">
        <f>VLOOKUP(E5571,DATABASE!C:Q,11,false)</f>
        <v>Tire</v>
      </c>
      <c r="U5571" s="9"/>
    </row>
    <row r="5572" ht="22.5" customHeight="1">
      <c r="A5572" s="49"/>
      <c r="C5572" s="666">
        <v>45980.0</v>
      </c>
      <c r="D5572" s="673">
        <v>7898.0</v>
      </c>
      <c r="E5572" s="676" t="s">
        <v>1858</v>
      </c>
      <c r="F5572" s="664">
        <v>2.0</v>
      </c>
      <c r="G5572" s="677">
        <v>2130000.0</v>
      </c>
      <c r="H5572" s="74">
        <v>0.0</v>
      </c>
      <c r="I5572" s="74">
        <f t="shared" si="1"/>
        <v>4260000</v>
      </c>
      <c r="J5572" s="74">
        <f>IF(E5572="SERVICE",I5572-(I5572*50%),Vlookup(E5572,DATABASE!C:Q,10,false)*F5572)</f>
        <v>0</v>
      </c>
      <c r="K5572" s="74">
        <f>VLOOKUP(E5572,DATABASE!C:Q,7,false)</f>
        <v>2030000</v>
      </c>
      <c r="L5572" s="74">
        <v>2025000.0</v>
      </c>
      <c r="M5572" s="74">
        <f t="shared" si="2"/>
        <v>2025000</v>
      </c>
      <c r="N5572" s="74">
        <f t="shared" si="3"/>
        <v>210000</v>
      </c>
      <c r="O5572" s="65" t="str">
        <f>VLOOKUP(E5572,DATABASE!C:Q,8,false)</f>
        <v>BIAN</v>
      </c>
      <c r="P5572" s="65">
        <f>VLOOKUP(E5572,DATABASE!C:Q,9,False)</f>
        <v>1</v>
      </c>
      <c r="Q5572" s="93" t="str">
        <f>VLOOKUP(E5572,DATABASE!C:Q,4,false)</f>
        <v>GiTi</v>
      </c>
      <c r="R5572" s="93" t="str">
        <f>VLOOKUP(E5572,DATABASE!C:Q,11,false)</f>
        <v>Tire</v>
      </c>
    </row>
    <row r="5573" ht="22.5" customHeight="1">
      <c r="A5573" s="49"/>
      <c r="C5573" s="661">
        <v>45980.0</v>
      </c>
      <c r="D5573" s="673">
        <v>7899.0</v>
      </c>
      <c r="E5573" s="676" t="s">
        <v>777</v>
      </c>
      <c r="F5573" s="664">
        <v>2.0</v>
      </c>
      <c r="G5573" s="677">
        <v>580000.0</v>
      </c>
      <c r="H5573" s="74">
        <v>0.0</v>
      </c>
      <c r="I5573" s="74">
        <f t="shared" si="1"/>
        <v>1160000</v>
      </c>
      <c r="J5573" s="74">
        <f>IF(E5573="SERVICE",I5573-(I5573*50%),Vlookup(E5573,DATABASE!C:Q,10,false)*F5573)</f>
        <v>0</v>
      </c>
      <c r="K5573" s="74">
        <f>VLOOKUP(E5573,DATABASE!C:Q,7,false)</f>
        <v>540000</v>
      </c>
      <c r="L5573" s="74">
        <v>507000.0</v>
      </c>
      <c r="M5573" s="74">
        <f t="shared" si="2"/>
        <v>510000</v>
      </c>
      <c r="N5573" s="74">
        <f t="shared" si="3"/>
        <v>140000</v>
      </c>
      <c r="O5573" s="65" t="str">
        <f>VLOOKUP(E5573,DATABASE!C:Q,8,false)</f>
        <v>BIAN</v>
      </c>
      <c r="P5573" s="65">
        <f>VLOOKUP(E5573,DATABASE!C:Q,9,False)</f>
        <v>1</v>
      </c>
      <c r="Q5573" s="93" t="str">
        <f>VLOOKUP(E5573,DATABASE!C:Q,4,false)</f>
        <v>GT</v>
      </c>
      <c r="R5573" s="93" t="str">
        <f>VLOOKUP(E5573,DATABASE!C:Q,11,false)</f>
        <v>Tire</v>
      </c>
      <c r="U5573" s="9">
        <v>1260000.0</v>
      </c>
    </row>
    <row r="5574" ht="22.5" customHeight="1">
      <c r="A5574" s="49"/>
      <c r="C5574" s="666">
        <v>45980.0</v>
      </c>
      <c r="D5574" s="673">
        <v>7899.0</v>
      </c>
      <c r="E5574" s="676" t="s">
        <v>250</v>
      </c>
      <c r="F5574" s="664">
        <v>2.0</v>
      </c>
      <c r="G5574" s="677">
        <v>135000.0</v>
      </c>
      <c r="H5574" s="74">
        <v>0.0</v>
      </c>
      <c r="I5574" s="74">
        <f t="shared" si="1"/>
        <v>270000</v>
      </c>
      <c r="J5574" s="74">
        <f>IF(E5574="SERVICE",I5574-(I5574*50%),Vlookup(E5574,DATABASE!C:Q,10,false)*F5574)</f>
        <v>0</v>
      </c>
      <c r="K5574" s="74">
        <f>VLOOKUP(E5574,DATABASE!C:Q,7,false)</f>
        <v>102000</v>
      </c>
      <c r="L5574" s="74">
        <v>102000.0</v>
      </c>
      <c r="M5574" s="74">
        <f t="shared" si="2"/>
        <v>105000</v>
      </c>
      <c r="N5574" s="74">
        <f t="shared" si="3"/>
        <v>60000</v>
      </c>
      <c r="O5574" s="65" t="str">
        <f>VLOOKUP(E5574,DATABASE!C:Q,8,false)</f>
        <v>BIAN</v>
      </c>
      <c r="P5574" s="65">
        <f>VLOOKUP(E5574,DATABASE!C:Q,9,False)</f>
        <v>1</v>
      </c>
      <c r="Q5574" s="93" t="str">
        <f>VLOOKUP(E5574,DATABASE!C:Q,4,false)</f>
        <v>BD</v>
      </c>
      <c r="R5574" s="93" t="str">
        <f>VLOOKUP(E5574,DATABASE!C:Q,11,false)</f>
        <v>Tire</v>
      </c>
      <c r="U5574" s="9">
        <v>4260000.0</v>
      </c>
    </row>
    <row r="5575" ht="22.5" customHeight="1">
      <c r="A5575" s="49"/>
      <c r="C5575" s="666">
        <v>45980.0</v>
      </c>
      <c r="D5575" s="673" t="s">
        <v>0</v>
      </c>
      <c r="E5575" s="676" t="s">
        <v>2191</v>
      </c>
      <c r="F5575" s="664">
        <v>1.0</v>
      </c>
      <c r="G5575" s="677">
        <v>400000.0</v>
      </c>
      <c r="H5575" s="74">
        <v>0.0</v>
      </c>
      <c r="I5575" s="74">
        <f t="shared" si="1"/>
        <v>400000</v>
      </c>
      <c r="J5575" s="74">
        <f>IF(E5575="SERVICE",I5575-(I5575*50%),Vlookup(E5575,DATABASE!C:Q,10,false)*F5575)</f>
        <v>0</v>
      </c>
      <c r="K5575" s="74">
        <f>VLOOKUP(E5575,DATABASE!C:Q,7,false)</f>
        <v>422900</v>
      </c>
      <c r="L5575" s="74">
        <v>377951.0</v>
      </c>
      <c r="M5575" s="74">
        <f t="shared" si="2"/>
        <v>380000</v>
      </c>
      <c r="N5575" s="74">
        <f t="shared" si="3"/>
        <v>20000</v>
      </c>
      <c r="O5575" s="65" t="str">
        <f>VLOOKUP(E5575,DATABASE!C:Q,8,false)</f>
        <v>NON</v>
      </c>
      <c r="P5575" s="65">
        <f>VLOOKUP(E5575,DATABASE!C:Q,9,False)</f>
        <v>0</v>
      </c>
      <c r="Q5575" s="93" t="str">
        <f>VLOOKUP(E5575,DATABASE!C:Q,4,false)</f>
        <v>Shell</v>
      </c>
      <c r="R5575" s="93" t="str">
        <f>VLOOKUP(E5575,DATABASE!C:Q,11,false)</f>
        <v>OIL</v>
      </c>
      <c r="U5575" s="9">
        <v>1160000.0</v>
      </c>
    </row>
    <row r="5576" ht="22.5" customHeight="1">
      <c r="A5576" s="49"/>
      <c r="C5576" s="666">
        <v>45980.0</v>
      </c>
      <c r="D5576" s="645"/>
      <c r="E5576" s="676" t="s">
        <v>2195</v>
      </c>
      <c r="F5576" s="664">
        <v>7.0</v>
      </c>
      <c r="G5576" s="677">
        <v>300000.0</v>
      </c>
      <c r="H5576" s="74">
        <v>0.0</v>
      </c>
      <c r="I5576" s="74">
        <f t="shared" si="1"/>
        <v>2100000</v>
      </c>
      <c r="J5576" s="74">
        <f>IF(E5576="SERVICE",I5576-(I5576*50%),Vlookup(E5576,DATABASE!C:Q,10,false)*F5576)</f>
        <v>0</v>
      </c>
      <c r="K5576" s="74">
        <f>VLOOKUP(E5576,DATABASE!C:Q,7,false)</f>
        <v>329877</v>
      </c>
      <c r="L5576" s="74">
        <v>282805.0</v>
      </c>
      <c r="M5576" s="74">
        <f t="shared" si="2"/>
        <v>285000</v>
      </c>
      <c r="N5576" s="74">
        <f t="shared" si="3"/>
        <v>105000</v>
      </c>
      <c r="O5576" s="65" t="str">
        <f>VLOOKUP(E5576,DATABASE!C:Q,8,false)</f>
        <v>NON</v>
      </c>
      <c r="P5576" s="65">
        <f>VLOOKUP(E5576,DATABASE!C:Q,9,False)</f>
        <v>0</v>
      </c>
      <c r="Q5576" s="93" t="str">
        <f>VLOOKUP(E5576,DATABASE!C:Q,4,false)</f>
        <v>Shell</v>
      </c>
      <c r="R5576" s="93" t="str">
        <f>VLOOKUP(E5576,DATABASE!C:Q,11,false)</f>
        <v>OIL</v>
      </c>
      <c r="U5576" s="9">
        <v>270000.0</v>
      </c>
    </row>
    <row r="5577" ht="22.5" customHeight="1">
      <c r="A5577" s="49"/>
      <c r="C5577" s="661">
        <v>45981.0</v>
      </c>
      <c r="D5577" s="673">
        <v>7901.0</v>
      </c>
      <c r="E5577" s="676" t="s">
        <v>1526</v>
      </c>
      <c r="F5577" s="664">
        <v>2.0</v>
      </c>
      <c r="G5577" s="677">
        <v>535000.0</v>
      </c>
      <c r="H5577" s="74">
        <v>0.0</v>
      </c>
      <c r="I5577" s="74">
        <f t="shared" si="1"/>
        <v>1070000</v>
      </c>
      <c r="J5577" s="74">
        <f>IF(E5577="SERVICE",I5577-(I5577*50%),Vlookup(E5577,DATABASE!C:Q,10,false)*F5577)</f>
        <v>0</v>
      </c>
      <c r="K5577" s="74">
        <f>VLOOKUP(E5577,DATABASE!C:Q,7,false)</f>
        <v>450000</v>
      </c>
      <c r="L5577" s="74">
        <v>437000.0</v>
      </c>
      <c r="M5577" s="74">
        <f t="shared" si="2"/>
        <v>440000</v>
      </c>
      <c r="N5577" s="74">
        <f t="shared" si="3"/>
        <v>190000</v>
      </c>
      <c r="O5577" s="65" t="str">
        <f>VLOOKUP(E5577,DATABASE!C:Q,8,false)</f>
        <v>BIAN</v>
      </c>
      <c r="P5577" s="65">
        <f>VLOOKUP(E5577,DATABASE!C:Q,9,False)</f>
        <v>1</v>
      </c>
      <c r="Q5577" s="93" t="str">
        <f>VLOOKUP(E5577,DATABASE!C:Q,4,false)</f>
        <v>Laufen</v>
      </c>
      <c r="R5577" s="93" t="str">
        <f>VLOOKUP(E5577,DATABASE!C:Q,11,false)</f>
        <v>Tire</v>
      </c>
      <c r="U5577" s="9">
        <v>1070000.0</v>
      </c>
    </row>
    <row r="5578" ht="22.5" customHeight="1">
      <c r="A5578" s="49"/>
      <c r="C5578" s="666">
        <v>45981.0</v>
      </c>
      <c r="D5578" s="673">
        <v>7903.0</v>
      </c>
      <c r="E5578" s="676" t="s">
        <v>246</v>
      </c>
      <c r="F5578" s="664">
        <v>2.0</v>
      </c>
      <c r="G5578" s="677">
        <v>30000.0</v>
      </c>
      <c r="H5578" s="74">
        <v>0.0</v>
      </c>
      <c r="I5578" s="74">
        <f t="shared" si="1"/>
        <v>60000</v>
      </c>
      <c r="J5578" s="74">
        <f>IF(E5578="SERVICE",I5578-(I5578*50%),Vlookup(E5578,DATABASE!C:Q,10,false)*F5578)</f>
        <v>0</v>
      </c>
      <c r="K5578" s="74">
        <f>VLOOKUP(E5578,DATABASE!C:Q,7,false)</f>
        <v>0</v>
      </c>
      <c r="L5578" s="74">
        <v>0.0</v>
      </c>
      <c r="M5578" s="74">
        <f t="shared" si="2"/>
        <v>0</v>
      </c>
      <c r="N5578" s="74">
        <f t="shared" si="3"/>
        <v>60000</v>
      </c>
      <c r="O5578" s="65" t="str">
        <f>VLOOKUP(E5578,DATABASE!C:Q,8,false)</f>
        <v>IBU</v>
      </c>
      <c r="P5578" s="65">
        <f>VLOOKUP(E5578,DATABASE!C:Q,9,False)</f>
        <v>0</v>
      </c>
      <c r="Q5578" s="93" t="str">
        <f>VLOOKUP(E5578,DATABASE!C:Q,4,false)</f>
        <v>Bongkar Pasang</v>
      </c>
      <c r="R5578" s="93" t="str">
        <f>VLOOKUP(E5578,DATABASE!C:Q,11,false)</f>
        <v>SERVICE</v>
      </c>
    </row>
    <row r="5579" ht="22.5" customHeight="1">
      <c r="A5579" s="49"/>
      <c r="C5579" s="661">
        <v>45981.0</v>
      </c>
      <c r="D5579" s="673">
        <v>7903.0</v>
      </c>
      <c r="E5579" s="671" t="s">
        <v>299</v>
      </c>
      <c r="F5579" s="664">
        <v>2.0</v>
      </c>
      <c r="G5579" s="677">
        <v>30000.0</v>
      </c>
      <c r="H5579" s="74">
        <v>0.0</v>
      </c>
      <c r="I5579" s="74">
        <f t="shared" si="1"/>
        <v>60000</v>
      </c>
      <c r="J5579" s="74">
        <f>IF(E5579="SERVICE",I5579-(I5579*50%),Vlookup(E5579,DATABASE!C:Q,10,false)*F5579)</f>
        <v>0</v>
      </c>
      <c r="K5579" s="74">
        <f>VLOOKUP(E5579,DATABASE!C:Q,7,false)</f>
        <v>10000</v>
      </c>
      <c r="L5579" s="74">
        <v>5000.0</v>
      </c>
      <c r="M5579" s="74">
        <f t="shared" si="2"/>
        <v>5000</v>
      </c>
      <c r="N5579" s="74">
        <f t="shared" si="3"/>
        <v>50000</v>
      </c>
      <c r="O5579" s="65" t="str">
        <f>VLOOKUP(E5579,DATABASE!C:Q,8,false)</f>
        <v>BIAN</v>
      </c>
      <c r="P5579" s="65">
        <f>VLOOKUP(E5579,DATABASE!C:Q,9,False)</f>
        <v>0</v>
      </c>
      <c r="Q5579" s="93" t="str">
        <f>VLOOKUP(E5579,DATABASE!C:Q,4,false)</f>
        <v>Balancing</v>
      </c>
      <c r="R5579" s="93" t="str">
        <f>VLOOKUP(E5579,DATABASE!C:Q,11,false)</f>
        <v>COMPLEMENTARY</v>
      </c>
    </row>
    <row r="5580" ht="22.5" customHeight="1">
      <c r="A5580" s="49"/>
      <c r="C5580" s="666">
        <v>45981.0</v>
      </c>
      <c r="D5580" s="673">
        <v>7904.0</v>
      </c>
      <c r="E5580" s="676" t="s">
        <v>932</v>
      </c>
      <c r="F5580" s="664">
        <v>1.0</v>
      </c>
      <c r="G5580" s="677">
        <v>680000.0</v>
      </c>
      <c r="H5580" s="74">
        <v>0.0</v>
      </c>
      <c r="I5580" s="74">
        <f t="shared" si="1"/>
        <v>680000</v>
      </c>
      <c r="J5580" s="74">
        <f>IF(E5580="SERVICE",I5580-(I5580*50%),Vlookup(E5580,DATABASE!C:Q,10,false)*F5580)</f>
        <v>0</v>
      </c>
      <c r="K5580" s="74">
        <f>VLOOKUP(E5580,DATABASE!C:Q,7,false)</f>
        <v>601000</v>
      </c>
      <c r="L5580" s="74">
        <v>595000.0</v>
      </c>
      <c r="M5580" s="74">
        <f t="shared" si="2"/>
        <v>595000</v>
      </c>
      <c r="N5580" s="74">
        <f t="shared" si="3"/>
        <v>85000</v>
      </c>
      <c r="O5580" s="65" t="str">
        <f>VLOOKUP(E5580,DATABASE!C:Q,8,false)</f>
        <v>IBU</v>
      </c>
      <c r="P5580" s="65">
        <f>VLOOKUP(E5580,DATABASE!C:Q,9,False)</f>
        <v>1</v>
      </c>
      <c r="Q5580" s="93" t="str">
        <f>VLOOKUP(E5580,DATABASE!C:Q,4,false)</f>
        <v>Dunlop</v>
      </c>
      <c r="R5580" s="93" t="str">
        <f>VLOOKUP(E5580,DATABASE!C:Q,11,false)</f>
        <v>Tire</v>
      </c>
      <c r="U5580" s="9"/>
    </row>
    <row r="5581" ht="22.5" customHeight="1">
      <c r="A5581" s="49"/>
      <c r="C5581" s="661">
        <v>45981.0</v>
      </c>
      <c r="D5581" s="673">
        <v>7905.0</v>
      </c>
      <c r="E5581" s="676" t="s">
        <v>268</v>
      </c>
      <c r="F5581" s="664">
        <v>1.0</v>
      </c>
      <c r="G5581" s="677">
        <v>710000.0</v>
      </c>
      <c r="H5581" s="74">
        <v>0.0</v>
      </c>
      <c r="I5581" s="74">
        <f t="shared" si="1"/>
        <v>710000</v>
      </c>
      <c r="J5581" s="74">
        <f>IF(E5581="SERVICE",I5581-(I5581*50%),Vlookup(E5581,DATABASE!C:Q,10,false)*F5581)</f>
        <v>0</v>
      </c>
      <c r="K5581" s="74">
        <f>VLOOKUP(E5581,DATABASE!C:Q,7,false)</f>
        <v>653000</v>
      </c>
      <c r="L5581" s="74">
        <v>622000.0</v>
      </c>
      <c r="M5581" s="74">
        <f t="shared" si="2"/>
        <v>625000</v>
      </c>
      <c r="N5581" s="74">
        <f t="shared" si="3"/>
        <v>85000</v>
      </c>
      <c r="O5581" s="65" t="str">
        <f>VLOOKUP(E5581,DATABASE!C:Q,8,false)</f>
        <v>IBU</v>
      </c>
      <c r="P5581" s="65">
        <f>VLOOKUP(E5581,DATABASE!C:Q,9,False)</f>
        <v>1</v>
      </c>
      <c r="Q5581" s="93" t="str">
        <f>VLOOKUP(E5581,DATABASE!C:Q,4,false)</f>
        <v>Dunlop</v>
      </c>
      <c r="R5581" s="93" t="str">
        <f>VLOOKUP(E5581,DATABASE!C:Q,11,false)</f>
        <v>Tire</v>
      </c>
      <c r="U5581" s="9"/>
    </row>
    <row r="5582" ht="22.5" customHeight="1">
      <c r="A5582" s="49"/>
      <c r="C5582" s="666">
        <v>45981.0</v>
      </c>
      <c r="D5582" s="673">
        <v>7905.0</v>
      </c>
      <c r="E5582" s="676" t="s">
        <v>569</v>
      </c>
      <c r="F5582" s="664">
        <v>1.0</v>
      </c>
      <c r="G5582" s="677">
        <v>80000.0</v>
      </c>
      <c r="H5582" s="74">
        <v>0.0</v>
      </c>
      <c r="I5582" s="74">
        <f t="shared" si="1"/>
        <v>80000</v>
      </c>
      <c r="J5582" s="74">
        <f>IF(E5582="SERVICE",I5582-(I5582*50%),Vlookup(E5582,DATABASE!C:Q,10,false)*F5582)</f>
        <v>0</v>
      </c>
      <c r="K5582" s="74">
        <f>VLOOKUP(E5582,DATABASE!C:Q,7,false)</f>
        <v>45439.582</v>
      </c>
      <c r="L5582" s="74">
        <v>45309.6</v>
      </c>
      <c r="M5582" s="74">
        <f t="shared" si="2"/>
        <v>50000</v>
      </c>
      <c r="N5582" s="74">
        <f t="shared" si="3"/>
        <v>30000</v>
      </c>
      <c r="O5582" s="65" t="str">
        <f>VLOOKUP(E5582,DATABASE!C:Q,8,false)</f>
        <v>BIAN</v>
      </c>
      <c r="P5582" s="65">
        <f>VLOOKUP(E5582,DATABASE!C:Q,9,False)</f>
        <v>1</v>
      </c>
      <c r="Q5582" s="93" t="str">
        <f>VLOOKUP(E5582,DATABASE!C:Q,4,false)</f>
        <v>BD</v>
      </c>
      <c r="R5582" s="93" t="str">
        <f>VLOOKUP(E5582,DATABASE!C:Q,11,false)</f>
        <v>Tire</v>
      </c>
      <c r="U5582" s="9">
        <v>80000.0</v>
      </c>
    </row>
    <row r="5583" ht="22.5" customHeight="1">
      <c r="A5583" s="49"/>
      <c r="C5583" s="661">
        <v>45981.0</v>
      </c>
      <c r="D5583" s="673">
        <v>7908.0</v>
      </c>
      <c r="E5583" s="676" t="s">
        <v>275</v>
      </c>
      <c r="F5583" s="664">
        <v>1.0</v>
      </c>
      <c r="G5583" s="677">
        <v>830000.0</v>
      </c>
      <c r="H5583" s="74">
        <v>0.0</v>
      </c>
      <c r="I5583" s="74">
        <f t="shared" si="1"/>
        <v>830000</v>
      </c>
      <c r="J5583" s="74">
        <f>IF(E5583="SERVICE",I5583-(I5583*50%),Vlookup(E5583,DATABASE!C:Q,10,false)*F5583)</f>
        <v>0</v>
      </c>
      <c r="K5583" s="74">
        <f>VLOOKUP(E5583,DATABASE!C:Q,7,false)</f>
        <v>782000</v>
      </c>
      <c r="L5583" s="74">
        <v>745000.0</v>
      </c>
      <c r="M5583" s="74">
        <f t="shared" si="2"/>
        <v>745000</v>
      </c>
      <c r="N5583" s="74">
        <f t="shared" si="3"/>
        <v>85000</v>
      </c>
      <c r="O5583" s="65" t="str">
        <f>VLOOKUP(E5583,DATABASE!C:Q,8,false)</f>
        <v>IBU</v>
      </c>
      <c r="P5583" s="65">
        <f>VLOOKUP(E5583,DATABASE!C:Q,9,False)</f>
        <v>1</v>
      </c>
      <c r="Q5583" s="93" t="str">
        <f>VLOOKUP(E5583,DATABASE!C:Q,4,false)</f>
        <v>Dunlop</v>
      </c>
      <c r="R5583" s="93" t="str">
        <f>VLOOKUP(E5583,DATABASE!C:Q,11,false)</f>
        <v>Tire</v>
      </c>
      <c r="U5583" s="9"/>
    </row>
    <row r="5584" ht="22.5" customHeight="1">
      <c r="A5584" s="49"/>
      <c r="C5584" s="661">
        <v>45981.0</v>
      </c>
      <c r="D5584" s="673">
        <v>7909.0</v>
      </c>
      <c r="E5584" s="676" t="s">
        <v>781</v>
      </c>
      <c r="F5584" s="664">
        <v>2.0</v>
      </c>
      <c r="G5584" s="677">
        <v>530000.0</v>
      </c>
      <c r="H5584" s="74">
        <v>0.0</v>
      </c>
      <c r="I5584" s="74">
        <f t="shared" si="1"/>
        <v>1060000</v>
      </c>
      <c r="J5584" s="74">
        <f>IF(E5584="SERVICE",I5584-(I5584*50%),Vlookup(E5584,DATABASE!C:Q,10,false)*F5584)</f>
        <v>0</v>
      </c>
      <c r="K5584" s="74">
        <f>VLOOKUP(E5584,DATABASE!C:Q,7,false)</f>
        <v>470000</v>
      </c>
      <c r="L5584" s="74">
        <v>442500.0</v>
      </c>
      <c r="M5584" s="74">
        <f t="shared" si="2"/>
        <v>445000</v>
      </c>
      <c r="N5584" s="74">
        <f t="shared" si="3"/>
        <v>170000</v>
      </c>
      <c r="O5584" s="65" t="str">
        <f>VLOOKUP(E5584,DATABASE!C:Q,8,false)</f>
        <v>BIAN</v>
      </c>
      <c r="P5584" s="65">
        <f>VLOOKUP(E5584,DATABASE!C:Q,9,False)</f>
        <v>1</v>
      </c>
      <c r="Q5584" s="93" t="str">
        <f>VLOOKUP(E5584,DATABASE!C:Q,4,false)</f>
        <v>GT</v>
      </c>
      <c r="R5584" s="93" t="str">
        <f>VLOOKUP(E5584,DATABASE!C:Q,11,false)</f>
        <v>Tire</v>
      </c>
    </row>
    <row r="5585" ht="22.5" customHeight="1">
      <c r="A5585" s="49"/>
      <c r="C5585" s="666">
        <v>45981.0</v>
      </c>
      <c r="D5585" s="673">
        <v>7910.0</v>
      </c>
      <c r="E5585" s="676" t="s">
        <v>1439</v>
      </c>
      <c r="F5585" s="664">
        <v>2.0</v>
      </c>
      <c r="G5585" s="677">
        <v>630000.0</v>
      </c>
      <c r="H5585" s="74">
        <v>0.0</v>
      </c>
      <c r="I5585" s="74">
        <f t="shared" si="1"/>
        <v>1260000</v>
      </c>
      <c r="J5585" s="74">
        <f>IF(E5585="SERVICE",I5585-(I5585*50%),Vlookup(E5585,DATABASE!C:Q,10,false)*F5585)</f>
        <v>0</v>
      </c>
      <c r="K5585" s="74">
        <f>VLOOKUP(E5585,DATABASE!C:Q,7,false)</f>
        <v>556800</v>
      </c>
      <c r="L5585" s="74">
        <v>540800.0</v>
      </c>
      <c r="M5585" s="74">
        <f t="shared" si="2"/>
        <v>545000</v>
      </c>
      <c r="N5585" s="74">
        <f t="shared" si="3"/>
        <v>170000</v>
      </c>
      <c r="O5585" s="65" t="str">
        <f>VLOOKUP(E5585,DATABASE!C:Q,8,false)</f>
        <v>BIAN</v>
      </c>
      <c r="P5585" s="65">
        <f>VLOOKUP(E5585,DATABASE!C:Q,9,False)</f>
        <v>1</v>
      </c>
      <c r="Q5585" s="93" t="str">
        <f>VLOOKUP(E5585,DATABASE!C:Q,4,false)</f>
        <v>GT</v>
      </c>
      <c r="R5585" s="93" t="str">
        <f>VLOOKUP(E5585,DATABASE!C:Q,11,false)</f>
        <v>Tire</v>
      </c>
      <c r="U5585" s="9">
        <v>1060000.0</v>
      </c>
    </row>
    <row r="5586" ht="22.5" customHeight="1">
      <c r="A5586" s="49"/>
      <c r="C5586" s="661">
        <v>45981.0</v>
      </c>
      <c r="D5586" s="682">
        <v>7953.0</v>
      </c>
      <c r="E5586" s="680" t="s">
        <v>1947</v>
      </c>
      <c r="F5586" s="670">
        <v>2.0</v>
      </c>
      <c r="G5586" s="681">
        <v>770000.0</v>
      </c>
      <c r="H5586" s="74">
        <v>0.0</v>
      </c>
      <c r="I5586" s="74">
        <f t="shared" si="1"/>
        <v>1540000</v>
      </c>
      <c r="J5586" s="74">
        <f>IF(E5586="SERVICE",I5586-(I5586*50%),Vlookup(E5586,DATABASE!C:Q,10,false)*F5586)</f>
        <v>0</v>
      </c>
      <c r="K5586" s="74">
        <f>VLOOKUP(E5586,DATABASE!C:Q,7,false)</f>
        <v>694300</v>
      </c>
      <c r="L5586" s="74">
        <v>670000.0</v>
      </c>
      <c r="M5586" s="74">
        <f t="shared" si="2"/>
        <v>670000</v>
      </c>
      <c r="N5586" s="74">
        <f t="shared" si="3"/>
        <v>200000</v>
      </c>
      <c r="O5586" s="65" t="str">
        <f>VLOOKUP(E5586,DATABASE!C:Q,8,false)</f>
        <v>BIAN</v>
      </c>
      <c r="P5586" s="65">
        <f>VLOOKUP(E5586,DATABASE!C:Q,9,False)</f>
        <v>1</v>
      </c>
      <c r="Q5586" s="93" t="str">
        <f>VLOOKUP(E5586,DATABASE!C:Q,4,false)</f>
        <v>GT</v>
      </c>
      <c r="R5586" s="93" t="str">
        <f>VLOOKUP(E5586,DATABASE!C:Q,11,false)</f>
        <v>Tire</v>
      </c>
      <c r="U5586" s="9">
        <v>1260000.0</v>
      </c>
    </row>
    <row r="5587" ht="22.5" customHeight="1">
      <c r="A5587" s="49"/>
      <c r="C5587" s="666">
        <v>45981.0</v>
      </c>
      <c r="D5587" s="645"/>
      <c r="E5587" s="676" t="s">
        <v>2191</v>
      </c>
      <c r="F5587" s="664">
        <v>1.0</v>
      </c>
      <c r="G5587" s="677">
        <v>400000.0</v>
      </c>
      <c r="H5587" s="74">
        <v>0.0</v>
      </c>
      <c r="I5587" s="74">
        <f t="shared" si="1"/>
        <v>400000</v>
      </c>
      <c r="J5587" s="74">
        <f>IF(E5587="SERVICE",I5587-(I5587*50%),Vlookup(E5587,DATABASE!C:Q,10,false)*F5587)</f>
        <v>0</v>
      </c>
      <c r="K5587" s="74">
        <f>VLOOKUP(E5587,DATABASE!C:Q,7,false)</f>
        <v>422900</v>
      </c>
      <c r="L5587" s="74">
        <v>377951.0</v>
      </c>
      <c r="M5587" s="74">
        <f t="shared" si="2"/>
        <v>380000</v>
      </c>
      <c r="N5587" s="74">
        <f t="shared" si="3"/>
        <v>20000</v>
      </c>
      <c r="O5587" s="65" t="str">
        <f>VLOOKUP(E5587,DATABASE!C:Q,8,false)</f>
        <v>NON</v>
      </c>
      <c r="P5587" s="65">
        <f>VLOOKUP(E5587,DATABASE!C:Q,9,False)</f>
        <v>0</v>
      </c>
      <c r="Q5587" s="93" t="str">
        <f>VLOOKUP(E5587,DATABASE!C:Q,4,false)</f>
        <v>Shell</v>
      </c>
      <c r="R5587" s="93" t="str">
        <f>VLOOKUP(E5587,DATABASE!C:Q,11,false)</f>
        <v>OIL</v>
      </c>
      <c r="U5587" s="9">
        <v>1540000.0</v>
      </c>
    </row>
    <row r="5588" ht="22.5" customHeight="1">
      <c r="A5588" s="49"/>
      <c r="C5588" s="666">
        <v>45982.0</v>
      </c>
      <c r="D5588" s="673">
        <v>0.0</v>
      </c>
      <c r="E5588" s="676" t="s">
        <v>252</v>
      </c>
      <c r="F5588" s="664">
        <v>1.0</v>
      </c>
      <c r="G5588" s="677">
        <v>300000.0</v>
      </c>
      <c r="H5588" s="74">
        <v>0.0</v>
      </c>
      <c r="I5588" s="74">
        <f t="shared" si="1"/>
        <v>300000</v>
      </c>
      <c r="J5588" s="74">
        <f>IF(E5588="SERVICE",I5588-(I5588*50%),Vlookup(E5588,DATABASE!C:Q,10,false)*F5588)</f>
        <v>0</v>
      </c>
      <c r="K5588" s="74">
        <f>VLOOKUP(E5588,DATABASE!C:Q,7,false)</f>
        <v>317518</v>
      </c>
      <c r="L5588" s="74">
        <v>271778.0</v>
      </c>
      <c r="M5588" s="74">
        <f t="shared" si="2"/>
        <v>275000</v>
      </c>
      <c r="N5588" s="74">
        <f t="shared" si="3"/>
        <v>25000</v>
      </c>
      <c r="O5588" s="65" t="str">
        <f>VLOOKUP(E5588,DATABASE!C:Q,8,false)</f>
        <v>NON</v>
      </c>
      <c r="P5588" s="65">
        <f>VLOOKUP(E5588,DATABASE!C:Q,9,False)</f>
        <v>0</v>
      </c>
      <c r="Q5588" s="93" t="str">
        <f>VLOOKUP(E5588,DATABASE!C:Q,4,false)</f>
        <v>Shell</v>
      </c>
      <c r="R5588" s="93" t="str">
        <f>VLOOKUP(E5588,DATABASE!C:Q,11,false)</f>
        <v>OIL</v>
      </c>
    </row>
    <row r="5589" ht="22.5" customHeight="1">
      <c r="A5589" s="49"/>
      <c r="C5589" s="666">
        <v>45982.0</v>
      </c>
      <c r="D5589" s="673">
        <v>7912.0</v>
      </c>
      <c r="E5589" s="676" t="s">
        <v>256</v>
      </c>
      <c r="F5589" s="664">
        <v>1.0</v>
      </c>
      <c r="G5589" s="677">
        <v>130000.0</v>
      </c>
      <c r="H5589" s="74">
        <v>0.0</v>
      </c>
      <c r="I5589" s="74">
        <f t="shared" si="1"/>
        <v>130000</v>
      </c>
      <c r="J5589" s="74">
        <f>IF(E5589="SERVICE",I5589-(I5589*50%),Vlookup(E5589,DATABASE!C:Q,10,false)*F5589)</f>
        <v>10000</v>
      </c>
      <c r="K5589" s="74">
        <f>VLOOKUP(E5589,DATABASE!C:Q,7,false)</f>
        <v>0</v>
      </c>
      <c r="L5589" s="74">
        <v>0.0</v>
      </c>
      <c r="M5589" s="74">
        <f t="shared" si="2"/>
        <v>0</v>
      </c>
      <c r="N5589" s="74">
        <f t="shared" si="3"/>
        <v>120000</v>
      </c>
      <c r="O5589" s="65" t="str">
        <f>VLOOKUP(E5589,DATABASE!C:Q,8,false)</f>
        <v>IBU</v>
      </c>
      <c r="P5589" s="65">
        <f>VLOOKUP(E5589,DATABASE!C:Q,9,False)</f>
        <v>0</v>
      </c>
      <c r="Q5589" s="93" t="str">
        <f>VLOOKUP(E5589,DATABASE!C:Q,4,false)</f>
        <v>SPOORING</v>
      </c>
      <c r="R5589" s="93" t="str">
        <f>VLOOKUP(E5589,DATABASE!C:Q,11,false)</f>
        <v>SERVICE</v>
      </c>
    </row>
    <row r="5590" ht="22.5" customHeight="1">
      <c r="A5590" s="49"/>
      <c r="C5590" s="661">
        <v>45982.0</v>
      </c>
      <c r="D5590" s="673">
        <v>7912.0</v>
      </c>
      <c r="E5590" s="671" t="s">
        <v>299</v>
      </c>
      <c r="F5590" s="664">
        <v>2.0</v>
      </c>
      <c r="G5590" s="677">
        <v>30000.0</v>
      </c>
      <c r="H5590" s="74">
        <v>0.0</v>
      </c>
      <c r="I5590" s="74">
        <f t="shared" si="1"/>
        <v>60000</v>
      </c>
      <c r="J5590" s="74">
        <f>IF(E5590="SERVICE",I5590-(I5590*50%),Vlookup(E5590,DATABASE!C:Q,10,false)*F5590)</f>
        <v>0</v>
      </c>
      <c r="K5590" s="74">
        <f>VLOOKUP(E5590,DATABASE!C:Q,7,false)</f>
        <v>10000</v>
      </c>
      <c r="L5590" s="74">
        <v>5000.0</v>
      </c>
      <c r="M5590" s="74">
        <f t="shared" si="2"/>
        <v>5000</v>
      </c>
      <c r="N5590" s="74">
        <f t="shared" si="3"/>
        <v>50000</v>
      </c>
      <c r="O5590" s="65" t="str">
        <f>VLOOKUP(E5590,DATABASE!C:Q,8,false)</f>
        <v>BIAN</v>
      </c>
      <c r="P5590" s="65">
        <f>VLOOKUP(E5590,DATABASE!C:Q,9,False)</f>
        <v>0</v>
      </c>
      <c r="Q5590" s="93" t="str">
        <f>VLOOKUP(E5590,DATABASE!C:Q,4,false)</f>
        <v>Balancing</v>
      </c>
      <c r="R5590" s="93" t="str">
        <f>VLOOKUP(E5590,DATABASE!C:Q,11,false)</f>
        <v>COMPLEMENTARY</v>
      </c>
    </row>
    <row r="5591" ht="22.5" customHeight="1">
      <c r="A5591" s="49"/>
      <c r="C5591" s="666">
        <v>45982.0</v>
      </c>
      <c r="D5591" s="673">
        <v>7912.0</v>
      </c>
      <c r="E5591" s="676" t="s">
        <v>301</v>
      </c>
      <c r="F5591" s="664">
        <v>1.0</v>
      </c>
      <c r="G5591" s="677">
        <v>250000.0</v>
      </c>
      <c r="H5591" s="74">
        <v>0.0</v>
      </c>
      <c r="I5591" s="74">
        <f t="shared" si="1"/>
        <v>250000</v>
      </c>
      <c r="J5591" s="74">
        <f>IF(E5591="SERVICE",I5591-(I5591*50%),Vlookup(E5591,DATABASE!C:Q,10,false)*F5591)</f>
        <v>75000</v>
      </c>
      <c r="K5591" s="74">
        <f>VLOOKUP(E5591,DATABASE!C:Q,7,false)</f>
        <v>75000</v>
      </c>
      <c r="L5591" s="74">
        <v>75000.0</v>
      </c>
      <c r="M5591" s="74">
        <f t="shared" si="2"/>
        <v>75000</v>
      </c>
      <c r="N5591" s="74">
        <f t="shared" si="3"/>
        <v>100000</v>
      </c>
      <c r="O5591" s="65" t="str">
        <f>VLOOKUP(E5591,DATABASE!C:Q,8,false)</f>
        <v>BIAN</v>
      </c>
      <c r="P5591" s="65">
        <f>VLOOKUP(E5591,DATABASE!C:Q,9,False)</f>
        <v>0</v>
      </c>
      <c r="Q5591" s="93" t="str">
        <f>VLOOKUP(E5591,DATABASE!C:Q,4,false)</f>
        <v>Baut Camber</v>
      </c>
      <c r="R5591" s="93" t="str">
        <f>VLOOKUP(E5591,DATABASE!C:Q,11,false)</f>
        <v>COMPLEMENTARY</v>
      </c>
      <c r="U5591" s="9">
        <v>2260000.0</v>
      </c>
    </row>
    <row r="5592" ht="22.5" customHeight="1">
      <c r="A5592" s="49"/>
      <c r="C5592" s="661">
        <v>45982.0</v>
      </c>
      <c r="D5592" s="673">
        <v>7915.0</v>
      </c>
      <c r="E5592" s="676" t="s">
        <v>839</v>
      </c>
      <c r="F5592" s="664">
        <v>4.0</v>
      </c>
      <c r="G5592" s="677">
        <v>565000.0</v>
      </c>
      <c r="H5592" s="74">
        <v>0.0</v>
      </c>
      <c r="I5592" s="74">
        <f t="shared" si="1"/>
        <v>2260000</v>
      </c>
      <c r="J5592" s="74">
        <f>IF(E5592="SERVICE",I5592-(I5592*50%),Vlookup(E5592,DATABASE!C:Q,10,false)*F5592)</f>
        <v>0</v>
      </c>
      <c r="K5592" s="74">
        <f>VLOOKUP(E5592,DATABASE!C:Q,7,false)</f>
        <v>512640</v>
      </c>
      <c r="L5592" s="74">
        <v>475700.0</v>
      </c>
      <c r="M5592" s="74">
        <f t="shared" si="2"/>
        <v>480000</v>
      </c>
      <c r="N5592" s="74">
        <f t="shared" si="3"/>
        <v>340000</v>
      </c>
      <c r="O5592" s="65" t="str">
        <f>VLOOKUP(E5592,DATABASE!C:Q,8,false)</f>
        <v>BIAN</v>
      </c>
      <c r="P5592" s="65">
        <f>VLOOKUP(E5592,DATABASE!C:Q,9,False)</f>
        <v>1</v>
      </c>
      <c r="Q5592" s="93" t="str">
        <f>VLOOKUP(E5592,DATABASE!C:Q,4,false)</f>
        <v>GT</v>
      </c>
      <c r="R5592" s="93" t="str">
        <f>VLOOKUP(E5592,DATABASE!C:Q,11,false)</f>
        <v>Tire</v>
      </c>
    </row>
    <row r="5593" ht="22.5" customHeight="1">
      <c r="A5593" s="49"/>
      <c r="C5593" s="666">
        <v>45982.0</v>
      </c>
      <c r="D5593" s="673">
        <v>7916.0</v>
      </c>
      <c r="E5593" s="676" t="s">
        <v>554</v>
      </c>
      <c r="F5593" s="664">
        <v>2.0</v>
      </c>
      <c r="G5593" s="677">
        <v>770000.0</v>
      </c>
      <c r="H5593" s="74">
        <v>0.0</v>
      </c>
      <c r="I5593" s="74">
        <f t="shared" si="1"/>
        <v>1540000</v>
      </c>
      <c r="J5593" s="74">
        <f>IF(E5593="SERVICE",I5593-(I5593*50%),Vlookup(E5593,DATABASE!C:Q,10,false)*F5593)</f>
        <v>0</v>
      </c>
      <c r="K5593" s="74">
        <f>VLOOKUP(E5593,DATABASE!C:Q,7,false)</f>
        <v>710000</v>
      </c>
      <c r="L5593" s="74">
        <v>680000.0</v>
      </c>
      <c r="M5593" s="74">
        <f t="shared" si="2"/>
        <v>680000</v>
      </c>
      <c r="N5593" s="74">
        <f t="shared" si="3"/>
        <v>180000</v>
      </c>
      <c r="O5593" s="65" t="str">
        <f>VLOOKUP(E5593,DATABASE!C:Q,8,false)</f>
        <v>IBU</v>
      </c>
      <c r="P5593" s="65">
        <f>VLOOKUP(E5593,DATABASE!C:Q,9,False)</f>
        <v>1</v>
      </c>
      <c r="Q5593" s="93" t="str">
        <f>VLOOKUP(E5593,DATABASE!C:Q,4,false)</f>
        <v>Bridgestone</v>
      </c>
      <c r="R5593" s="93" t="str">
        <f>VLOOKUP(E5593,DATABASE!C:Q,11,false)</f>
        <v>Tire</v>
      </c>
    </row>
    <row r="5594" ht="22.5" customHeight="1">
      <c r="A5594" s="49"/>
      <c r="C5594" s="661">
        <v>45982.0</v>
      </c>
      <c r="D5594" s="673">
        <v>7917.0</v>
      </c>
      <c r="E5594" s="680" t="s">
        <v>955</v>
      </c>
      <c r="F5594" s="664">
        <v>1.0</v>
      </c>
      <c r="G5594" s="677">
        <v>770000.0</v>
      </c>
      <c r="H5594" s="74">
        <v>0.0</v>
      </c>
      <c r="I5594" s="74">
        <f t="shared" si="1"/>
        <v>770000</v>
      </c>
      <c r="J5594" s="74">
        <f>IF(E5594="SERVICE",I5594-(I5594*50%),Vlookup(E5594,DATABASE!C:Q,10,false)*F5594)</f>
        <v>0</v>
      </c>
      <c r="K5594" s="74">
        <f>VLOOKUP(E5594,DATABASE!C:Q,7,false)</f>
        <v>712000</v>
      </c>
      <c r="L5594" s="74">
        <v>674000.0</v>
      </c>
      <c r="M5594" s="74">
        <f t="shared" si="2"/>
        <v>675000</v>
      </c>
      <c r="N5594" s="74">
        <f t="shared" si="3"/>
        <v>95000</v>
      </c>
      <c r="O5594" s="65" t="str">
        <f>VLOOKUP(E5594,DATABASE!C:Q,8,false)</f>
        <v>IBU</v>
      </c>
      <c r="P5594" s="65">
        <f>VLOOKUP(E5594,DATABASE!C:Q,9,False)</f>
        <v>1</v>
      </c>
      <c r="Q5594" s="93" t="str">
        <f>VLOOKUP(E5594,DATABASE!C:Q,4,false)</f>
        <v>Dunlop</v>
      </c>
      <c r="R5594" s="93" t="str">
        <f>VLOOKUP(E5594,DATABASE!C:Q,11,false)</f>
        <v>Tire</v>
      </c>
      <c r="U5594" s="9"/>
    </row>
    <row r="5595" ht="22.5" customHeight="1">
      <c r="A5595" s="49"/>
      <c r="C5595" s="661">
        <v>45982.0</v>
      </c>
      <c r="D5595" s="673">
        <v>7918.0</v>
      </c>
      <c r="E5595" s="676" t="s">
        <v>839</v>
      </c>
      <c r="F5595" s="664">
        <v>2.0</v>
      </c>
      <c r="G5595" s="677">
        <v>565000.0</v>
      </c>
      <c r="H5595" s="74">
        <v>0.0</v>
      </c>
      <c r="I5595" s="74">
        <f t="shared" si="1"/>
        <v>1130000</v>
      </c>
      <c r="J5595" s="74">
        <f>IF(E5595="SERVICE",I5595-(I5595*50%),Vlookup(E5595,DATABASE!C:Q,10,false)*F5595)</f>
        <v>0</v>
      </c>
      <c r="K5595" s="74">
        <f>VLOOKUP(E5595,DATABASE!C:Q,7,false)</f>
        <v>512640</v>
      </c>
      <c r="L5595" s="74">
        <v>475700.0</v>
      </c>
      <c r="M5595" s="74">
        <f t="shared" si="2"/>
        <v>480000</v>
      </c>
      <c r="N5595" s="74">
        <f t="shared" si="3"/>
        <v>170000</v>
      </c>
      <c r="O5595" s="65" t="str">
        <f>VLOOKUP(E5595,DATABASE!C:Q,8,false)</f>
        <v>BIAN</v>
      </c>
      <c r="P5595" s="65">
        <f>VLOOKUP(E5595,DATABASE!C:Q,9,False)</f>
        <v>1</v>
      </c>
      <c r="Q5595" s="93" t="str">
        <f>VLOOKUP(E5595,DATABASE!C:Q,4,false)</f>
        <v>GT</v>
      </c>
      <c r="R5595" s="93" t="str">
        <f>VLOOKUP(E5595,DATABASE!C:Q,11,false)</f>
        <v>Tire</v>
      </c>
      <c r="U5595" s="9"/>
    </row>
    <row r="5596" ht="22.5" customHeight="1">
      <c r="A5596" s="49"/>
      <c r="C5596" s="666">
        <v>45982.0</v>
      </c>
      <c r="D5596" s="673">
        <v>7920.0</v>
      </c>
      <c r="E5596" s="676" t="s">
        <v>946</v>
      </c>
      <c r="F5596" s="664">
        <v>4.0</v>
      </c>
      <c r="G5596" s="677">
        <v>920000.0</v>
      </c>
      <c r="H5596" s="74">
        <v>0.0</v>
      </c>
      <c r="I5596" s="74">
        <f t="shared" si="1"/>
        <v>3680000</v>
      </c>
      <c r="J5596" s="74">
        <f>IF(E5596="SERVICE",I5596-(I5596*50%),Vlookup(E5596,DATABASE!C:Q,10,false)*F5596)</f>
        <v>0</v>
      </c>
      <c r="K5596" s="74">
        <f>VLOOKUP(E5596,DATABASE!C:Q,7,false)</f>
        <v>809000</v>
      </c>
      <c r="L5596" s="74">
        <v>809000.0</v>
      </c>
      <c r="M5596" s="74">
        <f t="shared" si="2"/>
        <v>810000</v>
      </c>
      <c r="N5596" s="74">
        <f t="shared" si="3"/>
        <v>440000</v>
      </c>
      <c r="O5596" s="65" t="str">
        <f>VLOOKUP(E5596,DATABASE!C:Q,8,false)</f>
        <v>IBU</v>
      </c>
      <c r="P5596" s="65">
        <f>VLOOKUP(E5596,DATABASE!C:Q,9,False)</f>
        <v>1</v>
      </c>
      <c r="Q5596" s="93" t="str">
        <f>VLOOKUP(E5596,DATABASE!C:Q,4,false)</f>
        <v>Dunlop</v>
      </c>
      <c r="R5596" s="93" t="str">
        <f>VLOOKUP(E5596,DATABASE!C:Q,11,false)</f>
        <v>Tire</v>
      </c>
    </row>
    <row r="5597" ht="22.5" customHeight="1">
      <c r="A5597" s="49"/>
      <c r="C5597" s="666">
        <v>45982.0</v>
      </c>
      <c r="D5597" s="673">
        <v>7921.0</v>
      </c>
      <c r="E5597" s="676" t="s">
        <v>1907</v>
      </c>
      <c r="F5597" s="664">
        <v>2.0</v>
      </c>
      <c r="G5597" s="677">
        <v>600000.0</v>
      </c>
      <c r="H5597" s="74">
        <v>0.0</v>
      </c>
      <c r="I5597" s="74">
        <f t="shared" si="1"/>
        <v>1200000</v>
      </c>
      <c r="J5597" s="74">
        <f>IF(E5597="SERVICE",I5597-(I5597*50%),Vlookup(E5597,DATABASE!C:Q,10,false)*F5597)</f>
        <v>0</v>
      </c>
      <c r="K5597" s="74">
        <f>VLOOKUP(E5597,DATABASE!C:Q,7,false)</f>
        <v>515000</v>
      </c>
      <c r="L5597" s="74">
        <v>515000.0</v>
      </c>
      <c r="M5597" s="74">
        <f t="shared" si="2"/>
        <v>515000</v>
      </c>
      <c r="N5597" s="74">
        <f t="shared" si="3"/>
        <v>170000</v>
      </c>
      <c r="O5597" s="65" t="str">
        <f>VLOOKUP(E5597,DATABASE!C:Q,8,false)</f>
        <v>BIAN</v>
      </c>
      <c r="P5597" s="65">
        <f>VLOOKUP(E5597,DATABASE!C:Q,9,False)</f>
        <v>1</v>
      </c>
      <c r="Q5597" s="93" t="str">
        <f>VLOOKUP(E5597,DATABASE!C:Q,4,false)</f>
        <v>GT</v>
      </c>
      <c r="R5597" s="93" t="str">
        <f>VLOOKUP(E5597,DATABASE!C:Q,11,false)</f>
        <v>Tire</v>
      </c>
      <c r="U5597" s="9">
        <v>1130000.0</v>
      </c>
    </row>
    <row r="5598" ht="22.5" customHeight="1">
      <c r="A5598" s="49"/>
      <c r="C5598" s="661">
        <v>45982.0</v>
      </c>
      <c r="D5598" s="673">
        <v>7922.0</v>
      </c>
      <c r="E5598" s="676" t="s">
        <v>265</v>
      </c>
      <c r="F5598" s="664">
        <v>2.0</v>
      </c>
      <c r="G5598" s="677">
        <v>685000.0</v>
      </c>
      <c r="H5598" s="74">
        <v>0.0</v>
      </c>
      <c r="I5598" s="74">
        <f t="shared" si="1"/>
        <v>1370000</v>
      </c>
      <c r="J5598" s="74">
        <f>IF(E5598="SERVICE",I5598-(I5598*50%),Vlookup(E5598,DATABASE!C:Q,10,false)*F5598)</f>
        <v>0</v>
      </c>
      <c r="K5598" s="74">
        <f>VLOOKUP(E5598,DATABASE!C:Q,7,false)</f>
        <v>628000</v>
      </c>
      <c r="L5598" s="74">
        <v>610000.0</v>
      </c>
      <c r="M5598" s="74">
        <f t="shared" si="2"/>
        <v>610000</v>
      </c>
      <c r="N5598" s="74">
        <f t="shared" si="3"/>
        <v>150000</v>
      </c>
      <c r="O5598" s="65" t="str">
        <f>VLOOKUP(E5598,DATABASE!C:Q,8,false)</f>
        <v>IBU</v>
      </c>
      <c r="P5598" s="65">
        <f>VLOOKUP(E5598,DATABASE!C:Q,9,False)</f>
        <v>1</v>
      </c>
      <c r="Q5598" s="93" t="str">
        <f>VLOOKUP(E5598,DATABASE!C:Q,4,false)</f>
        <v>Dunlop</v>
      </c>
      <c r="R5598" s="93" t="str">
        <f>VLOOKUP(E5598,DATABASE!C:Q,11,false)</f>
        <v>Tire</v>
      </c>
      <c r="U5598" s="9">
        <v>1200000.0</v>
      </c>
    </row>
    <row r="5599" ht="22.5" customHeight="1">
      <c r="A5599" s="49"/>
      <c r="C5599" s="666">
        <v>45982.0</v>
      </c>
      <c r="D5599" s="673">
        <v>7923.0</v>
      </c>
      <c r="E5599" s="676" t="s">
        <v>265</v>
      </c>
      <c r="F5599" s="664">
        <v>1.0</v>
      </c>
      <c r="G5599" s="677">
        <v>685000.0</v>
      </c>
      <c r="H5599" s="74">
        <v>0.0</v>
      </c>
      <c r="I5599" s="74">
        <f t="shared" si="1"/>
        <v>685000</v>
      </c>
      <c r="J5599" s="74">
        <f>IF(E5599="SERVICE",I5599-(I5599*50%),Vlookup(E5599,DATABASE!C:Q,10,false)*F5599)</f>
        <v>0</v>
      </c>
      <c r="K5599" s="74">
        <f>VLOOKUP(E5599,DATABASE!C:Q,7,false)</f>
        <v>628000</v>
      </c>
      <c r="L5599" s="74">
        <v>610000.0</v>
      </c>
      <c r="M5599" s="74">
        <f t="shared" si="2"/>
        <v>610000</v>
      </c>
      <c r="N5599" s="74">
        <f t="shared" si="3"/>
        <v>75000</v>
      </c>
      <c r="O5599" s="65" t="str">
        <f>VLOOKUP(E5599,DATABASE!C:Q,8,false)</f>
        <v>IBU</v>
      </c>
      <c r="P5599" s="65">
        <f>VLOOKUP(E5599,DATABASE!C:Q,9,False)</f>
        <v>1</v>
      </c>
      <c r="Q5599" s="93" t="str">
        <f>VLOOKUP(E5599,DATABASE!C:Q,4,false)</f>
        <v>Dunlop</v>
      </c>
      <c r="R5599" s="93" t="str">
        <f>VLOOKUP(E5599,DATABASE!C:Q,11,false)</f>
        <v>Tire</v>
      </c>
      <c r="U5599" s="9"/>
    </row>
    <row r="5600" ht="22.5" customHeight="1">
      <c r="A5600" s="49"/>
      <c r="C5600" s="661">
        <v>45982.0</v>
      </c>
      <c r="D5600" s="673">
        <v>7924.0</v>
      </c>
      <c r="E5600" s="676" t="s">
        <v>554</v>
      </c>
      <c r="F5600" s="664">
        <v>4.0</v>
      </c>
      <c r="G5600" s="677">
        <v>770000.0</v>
      </c>
      <c r="H5600" s="74">
        <v>0.0</v>
      </c>
      <c r="I5600" s="74">
        <f t="shared" si="1"/>
        <v>3080000</v>
      </c>
      <c r="J5600" s="74">
        <f>IF(E5600="SERVICE",I5600-(I5600*50%),Vlookup(E5600,DATABASE!C:Q,10,false)*F5600)</f>
        <v>0</v>
      </c>
      <c r="K5600" s="74">
        <f>VLOOKUP(E5600,DATABASE!C:Q,7,false)</f>
        <v>710000</v>
      </c>
      <c r="L5600" s="74">
        <v>680000.0</v>
      </c>
      <c r="M5600" s="74">
        <f t="shared" si="2"/>
        <v>680000</v>
      </c>
      <c r="N5600" s="74">
        <f t="shared" si="3"/>
        <v>360000</v>
      </c>
      <c r="O5600" s="65" t="str">
        <f>VLOOKUP(E5600,DATABASE!C:Q,8,false)</f>
        <v>IBU</v>
      </c>
      <c r="P5600" s="65">
        <f>VLOOKUP(E5600,DATABASE!C:Q,9,False)</f>
        <v>1</v>
      </c>
      <c r="Q5600" s="93" t="str">
        <f>VLOOKUP(E5600,DATABASE!C:Q,4,false)</f>
        <v>Bridgestone</v>
      </c>
      <c r="R5600" s="93" t="str">
        <f>VLOOKUP(E5600,DATABASE!C:Q,11,false)</f>
        <v>Tire</v>
      </c>
      <c r="U5600" s="9"/>
    </row>
    <row r="5601" ht="22.5" customHeight="1">
      <c r="A5601" s="49"/>
      <c r="C5601" s="661">
        <v>45982.0</v>
      </c>
      <c r="D5601" s="673">
        <v>7925.0</v>
      </c>
      <c r="E5601" s="676" t="s">
        <v>256</v>
      </c>
      <c r="F5601" s="664">
        <v>1.0</v>
      </c>
      <c r="G5601" s="677">
        <v>130000.0</v>
      </c>
      <c r="H5601" s="74">
        <v>0.0</v>
      </c>
      <c r="I5601" s="74">
        <f t="shared" si="1"/>
        <v>130000</v>
      </c>
      <c r="J5601" s="74">
        <f>IF(E5601="SERVICE",I5601-(I5601*50%),Vlookup(E5601,DATABASE!C:Q,10,false)*F5601)</f>
        <v>10000</v>
      </c>
      <c r="K5601" s="74">
        <f>VLOOKUP(E5601,DATABASE!C:Q,7,false)</f>
        <v>0</v>
      </c>
      <c r="L5601" s="74">
        <v>0.0</v>
      </c>
      <c r="M5601" s="74">
        <f t="shared" si="2"/>
        <v>0</v>
      </c>
      <c r="N5601" s="74">
        <f t="shared" si="3"/>
        <v>120000</v>
      </c>
      <c r="O5601" s="65" t="str">
        <f>VLOOKUP(E5601,DATABASE!C:Q,8,false)</f>
        <v>IBU</v>
      </c>
      <c r="P5601" s="65">
        <f>VLOOKUP(E5601,DATABASE!C:Q,9,False)</f>
        <v>0</v>
      </c>
      <c r="Q5601" s="93" t="str">
        <f>VLOOKUP(E5601,DATABASE!C:Q,4,false)</f>
        <v>SPOORING</v>
      </c>
      <c r="R5601" s="93" t="str">
        <f>VLOOKUP(E5601,DATABASE!C:Q,11,false)</f>
        <v>SERVICE</v>
      </c>
      <c r="U5601" s="9"/>
    </row>
    <row r="5602" ht="22.5" customHeight="1">
      <c r="A5602" s="49"/>
      <c r="C5602" s="666">
        <v>45982.0</v>
      </c>
      <c r="D5602" s="673">
        <v>7925.0</v>
      </c>
      <c r="E5602" s="671" t="s">
        <v>299</v>
      </c>
      <c r="F5602" s="664">
        <v>2.0</v>
      </c>
      <c r="G5602" s="677">
        <v>30000.0</v>
      </c>
      <c r="H5602" s="74">
        <v>0.0</v>
      </c>
      <c r="I5602" s="74">
        <f t="shared" si="1"/>
        <v>60000</v>
      </c>
      <c r="J5602" s="74">
        <f>IF(E5602="SERVICE",I5602-(I5602*50%),Vlookup(E5602,DATABASE!C:Q,10,false)*F5602)</f>
        <v>0</v>
      </c>
      <c r="K5602" s="74">
        <f>VLOOKUP(E5602,DATABASE!C:Q,7,false)</f>
        <v>10000</v>
      </c>
      <c r="L5602" s="74">
        <v>5000.0</v>
      </c>
      <c r="M5602" s="74">
        <f t="shared" si="2"/>
        <v>5000</v>
      </c>
      <c r="N5602" s="74">
        <f t="shared" si="3"/>
        <v>50000</v>
      </c>
      <c r="O5602" s="65" t="str">
        <f>VLOOKUP(E5602,DATABASE!C:Q,8,false)</f>
        <v>BIAN</v>
      </c>
      <c r="P5602" s="65">
        <f>VLOOKUP(E5602,DATABASE!C:Q,9,False)</f>
        <v>0</v>
      </c>
      <c r="Q5602" s="93" t="str">
        <f>VLOOKUP(E5602,DATABASE!C:Q,4,false)</f>
        <v>Balancing</v>
      </c>
      <c r="R5602" s="93" t="str">
        <f>VLOOKUP(E5602,DATABASE!C:Q,11,false)</f>
        <v>COMPLEMENTARY</v>
      </c>
      <c r="U5602" s="9"/>
    </row>
    <row r="5603" ht="22.5" customHeight="1">
      <c r="A5603" s="49"/>
      <c r="C5603" s="661">
        <v>45982.0</v>
      </c>
      <c r="D5603" s="673">
        <v>7925.0</v>
      </c>
      <c r="E5603" s="676" t="s">
        <v>301</v>
      </c>
      <c r="F5603" s="664">
        <v>1.0</v>
      </c>
      <c r="G5603" s="677">
        <v>250000.0</v>
      </c>
      <c r="H5603" s="74">
        <v>0.0</v>
      </c>
      <c r="I5603" s="74">
        <f t="shared" si="1"/>
        <v>250000</v>
      </c>
      <c r="J5603" s="74">
        <f>IF(E5603="SERVICE",I5603-(I5603*50%),Vlookup(E5603,DATABASE!C:Q,10,false)*F5603)</f>
        <v>75000</v>
      </c>
      <c r="K5603" s="74">
        <f>VLOOKUP(E5603,DATABASE!C:Q,7,false)</f>
        <v>75000</v>
      </c>
      <c r="L5603" s="74">
        <v>75000.0</v>
      </c>
      <c r="M5603" s="74">
        <f t="shared" si="2"/>
        <v>75000</v>
      </c>
      <c r="N5603" s="74">
        <f t="shared" si="3"/>
        <v>100000</v>
      </c>
      <c r="O5603" s="65" t="str">
        <f>VLOOKUP(E5603,DATABASE!C:Q,8,false)</f>
        <v>BIAN</v>
      </c>
      <c r="P5603" s="65">
        <f>VLOOKUP(E5603,DATABASE!C:Q,9,False)</f>
        <v>0</v>
      </c>
      <c r="Q5603" s="93" t="str">
        <f>VLOOKUP(E5603,DATABASE!C:Q,4,false)</f>
        <v>Baut Camber</v>
      </c>
      <c r="R5603" s="93" t="str">
        <f>VLOOKUP(E5603,DATABASE!C:Q,11,false)</f>
        <v>COMPLEMENTARY</v>
      </c>
    </row>
    <row r="5604" ht="22.5" customHeight="1">
      <c r="A5604" s="49"/>
      <c r="C5604" s="666">
        <v>45982.0</v>
      </c>
      <c r="D5604" s="673">
        <v>7926.0</v>
      </c>
      <c r="E5604" s="676" t="s">
        <v>268</v>
      </c>
      <c r="F5604" s="664">
        <v>2.0</v>
      </c>
      <c r="G5604" s="677">
        <v>710000.0</v>
      </c>
      <c r="H5604" s="74">
        <v>0.0</v>
      </c>
      <c r="I5604" s="74">
        <f t="shared" si="1"/>
        <v>1420000</v>
      </c>
      <c r="J5604" s="74">
        <f>IF(E5604="SERVICE",I5604-(I5604*50%),Vlookup(E5604,DATABASE!C:Q,10,false)*F5604)</f>
        <v>0</v>
      </c>
      <c r="K5604" s="74">
        <f>VLOOKUP(E5604,DATABASE!C:Q,7,false)</f>
        <v>653000</v>
      </c>
      <c r="L5604" s="74">
        <v>622000.0</v>
      </c>
      <c r="M5604" s="74">
        <f t="shared" si="2"/>
        <v>625000</v>
      </c>
      <c r="N5604" s="74">
        <f t="shared" si="3"/>
        <v>170000</v>
      </c>
      <c r="O5604" s="65" t="str">
        <f>VLOOKUP(E5604,DATABASE!C:Q,8,false)</f>
        <v>IBU</v>
      </c>
      <c r="P5604" s="65">
        <f>VLOOKUP(E5604,DATABASE!C:Q,9,False)</f>
        <v>1</v>
      </c>
      <c r="Q5604" s="93" t="str">
        <f>VLOOKUP(E5604,DATABASE!C:Q,4,false)</f>
        <v>Dunlop</v>
      </c>
      <c r="R5604" s="93" t="str">
        <f>VLOOKUP(E5604,DATABASE!C:Q,11,false)</f>
        <v>Tire</v>
      </c>
    </row>
    <row r="5605" ht="22.5" customHeight="1">
      <c r="A5605" s="49"/>
      <c r="C5605" s="661">
        <v>45982.0</v>
      </c>
      <c r="D5605" s="673">
        <v>7926.0</v>
      </c>
      <c r="E5605" s="676" t="s">
        <v>554</v>
      </c>
      <c r="F5605" s="664">
        <v>2.0</v>
      </c>
      <c r="G5605" s="677">
        <v>770000.0</v>
      </c>
      <c r="H5605" s="74">
        <v>0.0</v>
      </c>
      <c r="I5605" s="74">
        <f t="shared" si="1"/>
        <v>1540000</v>
      </c>
      <c r="J5605" s="74">
        <f>IF(E5605="SERVICE",I5605-(I5605*50%),Vlookup(E5605,DATABASE!C:Q,10,false)*F5605)</f>
        <v>0</v>
      </c>
      <c r="K5605" s="74">
        <f>VLOOKUP(E5605,DATABASE!C:Q,7,false)</f>
        <v>710000</v>
      </c>
      <c r="L5605" s="74">
        <v>680000.0</v>
      </c>
      <c r="M5605" s="74">
        <f t="shared" si="2"/>
        <v>680000</v>
      </c>
      <c r="N5605" s="74">
        <f t="shared" si="3"/>
        <v>180000</v>
      </c>
      <c r="O5605" s="65" t="str">
        <f>VLOOKUP(E5605,DATABASE!C:Q,8,false)</f>
        <v>IBU</v>
      </c>
      <c r="P5605" s="65">
        <f>VLOOKUP(E5605,DATABASE!C:Q,9,False)</f>
        <v>1</v>
      </c>
      <c r="Q5605" s="93" t="str">
        <f>VLOOKUP(E5605,DATABASE!C:Q,4,false)</f>
        <v>Bridgestone</v>
      </c>
      <c r="R5605" s="93" t="str">
        <f>VLOOKUP(E5605,DATABASE!C:Q,11,false)</f>
        <v>Tire</v>
      </c>
    </row>
    <row r="5606" ht="22.5" customHeight="1">
      <c r="A5606" s="49"/>
      <c r="C5606" s="666">
        <v>45982.0</v>
      </c>
      <c r="D5606" s="673">
        <v>7927.0</v>
      </c>
      <c r="E5606" s="671" t="s">
        <v>299</v>
      </c>
      <c r="F5606" s="664">
        <v>2.0</v>
      </c>
      <c r="G5606" s="677">
        <v>30000.0</v>
      </c>
      <c r="H5606" s="74">
        <v>0.0</v>
      </c>
      <c r="I5606" s="74">
        <f t="shared" si="1"/>
        <v>60000</v>
      </c>
      <c r="J5606" s="74">
        <f>IF(E5606="SERVICE",I5606-(I5606*50%),Vlookup(E5606,DATABASE!C:Q,10,false)*F5606)</f>
        <v>0</v>
      </c>
      <c r="K5606" s="74">
        <f>VLOOKUP(E5606,DATABASE!C:Q,7,false)</f>
        <v>10000</v>
      </c>
      <c r="L5606" s="74">
        <v>5000.0</v>
      </c>
      <c r="M5606" s="74">
        <f t="shared" si="2"/>
        <v>5000</v>
      </c>
      <c r="N5606" s="74">
        <f t="shared" si="3"/>
        <v>50000</v>
      </c>
      <c r="O5606" s="65" t="str">
        <f>VLOOKUP(E5606,DATABASE!C:Q,8,false)</f>
        <v>BIAN</v>
      </c>
      <c r="P5606" s="65">
        <f>VLOOKUP(E5606,DATABASE!C:Q,9,False)</f>
        <v>0</v>
      </c>
      <c r="Q5606" s="93" t="str">
        <f>VLOOKUP(E5606,DATABASE!C:Q,4,false)</f>
        <v>Balancing</v>
      </c>
      <c r="R5606" s="93" t="str">
        <f>VLOOKUP(E5606,DATABASE!C:Q,11,false)</f>
        <v>COMPLEMENTARY</v>
      </c>
      <c r="U5606" s="9"/>
    </row>
    <row r="5607" ht="22.5" customHeight="1">
      <c r="A5607" s="49"/>
      <c r="C5607" s="661">
        <v>45982.0</v>
      </c>
      <c r="D5607" s="645"/>
      <c r="E5607" s="676" t="s">
        <v>243</v>
      </c>
      <c r="F5607" s="664">
        <v>1.0</v>
      </c>
      <c r="G5607" s="677">
        <v>500000.0</v>
      </c>
      <c r="H5607" s="74">
        <v>0.0</v>
      </c>
      <c r="I5607" s="74">
        <f t="shared" si="1"/>
        <v>500000</v>
      </c>
      <c r="J5607" s="74">
        <f>IF(E5607="SERVICE",I5607-(I5607*50%),Vlookup(E5607,DATABASE!C:Q,10,false)*F5607)</f>
        <v>0</v>
      </c>
      <c r="K5607" s="74">
        <f>VLOOKUP(E5607,DATABASE!C:Q,7,false)</f>
        <v>432500</v>
      </c>
      <c r="L5607" s="74">
        <v>432500.0</v>
      </c>
      <c r="M5607" s="74">
        <f t="shared" si="2"/>
        <v>435000</v>
      </c>
      <c r="N5607" s="74">
        <f t="shared" si="3"/>
        <v>65000</v>
      </c>
      <c r="O5607" s="65" t="str">
        <f>VLOOKUP(E5607,DATABASE!C:Q,8,false)</f>
        <v>NON</v>
      </c>
      <c r="P5607" s="65">
        <f>VLOOKUP(E5607,DATABASE!C:Q,9,False)</f>
        <v>0</v>
      </c>
      <c r="Q5607" s="93" t="str">
        <f>VLOOKUP(E5607,DATABASE!C:Q,4,false)</f>
        <v>Pertamina</v>
      </c>
      <c r="R5607" s="93" t="str">
        <f>VLOOKUP(E5607,DATABASE!C:Q,11,false)</f>
        <v>OIL</v>
      </c>
      <c r="U5607" s="9"/>
    </row>
    <row r="5608" ht="22.5" customHeight="1">
      <c r="A5608" s="49"/>
      <c r="C5608" s="666">
        <v>45982.0</v>
      </c>
      <c r="D5608" s="645"/>
      <c r="E5608" s="676" t="s">
        <v>252</v>
      </c>
      <c r="F5608" s="664">
        <v>1.0</v>
      </c>
      <c r="G5608" s="677">
        <v>300000.0</v>
      </c>
      <c r="H5608" s="74">
        <v>0.0</v>
      </c>
      <c r="I5608" s="74">
        <f t="shared" si="1"/>
        <v>300000</v>
      </c>
      <c r="J5608" s="74">
        <f>IF(E5608="SERVICE",I5608-(I5608*50%),Vlookup(E5608,DATABASE!C:Q,10,false)*F5608)</f>
        <v>0</v>
      </c>
      <c r="K5608" s="74">
        <f>VLOOKUP(E5608,DATABASE!C:Q,7,false)</f>
        <v>317518</v>
      </c>
      <c r="L5608" s="74">
        <v>271778.0</v>
      </c>
      <c r="M5608" s="74">
        <f t="shared" si="2"/>
        <v>275000</v>
      </c>
      <c r="N5608" s="74">
        <f t="shared" si="3"/>
        <v>25000</v>
      </c>
      <c r="O5608" s="65" t="str">
        <f>VLOOKUP(E5608,DATABASE!C:Q,8,false)</f>
        <v>NON</v>
      </c>
      <c r="P5608" s="65">
        <f>VLOOKUP(E5608,DATABASE!C:Q,9,False)</f>
        <v>0</v>
      </c>
      <c r="Q5608" s="93" t="str">
        <f>VLOOKUP(E5608,DATABASE!C:Q,4,false)</f>
        <v>Shell</v>
      </c>
      <c r="R5608" s="93" t="str">
        <f>VLOOKUP(E5608,DATABASE!C:Q,11,false)</f>
        <v>OIL</v>
      </c>
    </row>
    <row r="5609" ht="22.5" customHeight="1">
      <c r="A5609" s="49"/>
      <c r="C5609" s="661">
        <v>45983.0</v>
      </c>
      <c r="D5609" s="673">
        <v>7928.0</v>
      </c>
      <c r="E5609" s="676" t="s">
        <v>246</v>
      </c>
      <c r="F5609" s="664">
        <v>4.0</v>
      </c>
      <c r="G5609" s="677">
        <v>40000.0</v>
      </c>
      <c r="H5609" s="74">
        <v>0.0</v>
      </c>
      <c r="I5609" s="74">
        <f t="shared" si="1"/>
        <v>160000</v>
      </c>
      <c r="J5609" s="74">
        <f>IF(E5609="SERVICE",I5609-(I5609*50%),Vlookup(E5609,DATABASE!C:Q,10,false)*F5609)</f>
        <v>0</v>
      </c>
      <c r="K5609" s="74">
        <f>VLOOKUP(E5609,DATABASE!C:Q,7,false)</f>
        <v>0</v>
      </c>
      <c r="L5609" s="74">
        <v>0.0</v>
      </c>
      <c r="M5609" s="74">
        <f t="shared" si="2"/>
        <v>0</v>
      </c>
      <c r="N5609" s="74">
        <f t="shared" si="3"/>
        <v>160000</v>
      </c>
      <c r="O5609" s="65" t="str">
        <f>VLOOKUP(E5609,DATABASE!C:Q,8,false)</f>
        <v>IBU</v>
      </c>
      <c r="P5609" s="65">
        <f>VLOOKUP(E5609,DATABASE!C:Q,9,False)</f>
        <v>0</v>
      </c>
      <c r="Q5609" s="93" t="str">
        <f>VLOOKUP(E5609,DATABASE!C:Q,4,false)</f>
        <v>Bongkar Pasang</v>
      </c>
      <c r="R5609" s="93" t="str">
        <f>VLOOKUP(E5609,DATABASE!C:Q,11,false)</f>
        <v>SERVICE</v>
      </c>
    </row>
    <row r="5610" ht="22.5" customHeight="1">
      <c r="A5610" s="49"/>
      <c r="C5610" s="661">
        <v>45983.0</v>
      </c>
      <c r="D5610" s="673">
        <v>7929.0</v>
      </c>
      <c r="E5610" s="676" t="s">
        <v>1009</v>
      </c>
      <c r="F5610" s="664">
        <v>2.0</v>
      </c>
      <c r="G5610" s="677">
        <v>700000.0</v>
      </c>
      <c r="H5610" s="74">
        <v>0.0</v>
      </c>
      <c r="I5610" s="74">
        <f t="shared" si="1"/>
        <v>1400000</v>
      </c>
      <c r="J5610" s="74">
        <f>IF(E5610="SERVICE",I5610-(I5610*50%),Vlookup(E5610,DATABASE!C:Q,10,false)*F5610)</f>
        <v>0</v>
      </c>
      <c r="K5610" s="74">
        <f>VLOOKUP(E5610,DATABASE!C:Q,7,false)</f>
        <v>609800</v>
      </c>
      <c r="L5610" s="74">
        <v>592200.0</v>
      </c>
      <c r="M5610" s="74">
        <f t="shared" si="2"/>
        <v>595000</v>
      </c>
      <c r="N5610" s="74">
        <f t="shared" si="3"/>
        <v>210000</v>
      </c>
      <c r="O5610" s="65" t="str">
        <f>VLOOKUP(E5610,DATABASE!C:Q,8,false)</f>
        <v>BIAN</v>
      </c>
      <c r="P5610" s="65">
        <f>VLOOKUP(E5610,DATABASE!C:Q,9,False)</f>
        <v>1</v>
      </c>
      <c r="Q5610" s="93" t="str">
        <f>VLOOKUP(E5610,DATABASE!C:Q,4,false)</f>
        <v>GT</v>
      </c>
      <c r="R5610" s="93" t="str">
        <f>VLOOKUP(E5610,DATABASE!C:Q,11,false)</f>
        <v>Tire</v>
      </c>
      <c r="U5610" s="9">
        <v>80000.0</v>
      </c>
    </row>
    <row r="5611" ht="22.5" customHeight="1">
      <c r="A5611" s="49"/>
      <c r="C5611" s="666">
        <v>45983.0</v>
      </c>
      <c r="D5611" s="673">
        <v>7929.0</v>
      </c>
      <c r="E5611" s="676" t="s">
        <v>301</v>
      </c>
      <c r="F5611" s="664">
        <v>1.0</v>
      </c>
      <c r="G5611" s="677">
        <v>250000.0</v>
      </c>
      <c r="H5611" s="74">
        <v>0.0</v>
      </c>
      <c r="I5611" s="74">
        <f t="shared" si="1"/>
        <v>250000</v>
      </c>
      <c r="J5611" s="74">
        <f>IF(E5611="SERVICE",I5611-(I5611*50%),Vlookup(E5611,DATABASE!C:Q,10,false)*F5611)</f>
        <v>75000</v>
      </c>
      <c r="K5611" s="74">
        <f>VLOOKUP(E5611,DATABASE!C:Q,7,false)</f>
        <v>75000</v>
      </c>
      <c r="L5611" s="74">
        <v>75000.0</v>
      </c>
      <c r="M5611" s="74">
        <f t="shared" si="2"/>
        <v>75000</v>
      </c>
      <c r="N5611" s="74">
        <f t="shared" si="3"/>
        <v>100000</v>
      </c>
      <c r="O5611" s="65" t="str">
        <f>VLOOKUP(E5611,DATABASE!C:Q,8,false)</f>
        <v>BIAN</v>
      </c>
      <c r="P5611" s="65">
        <f>VLOOKUP(E5611,DATABASE!C:Q,9,False)</f>
        <v>0</v>
      </c>
      <c r="Q5611" s="93" t="str">
        <f>VLOOKUP(E5611,DATABASE!C:Q,4,false)</f>
        <v>Baut Camber</v>
      </c>
      <c r="R5611" s="93" t="str">
        <f>VLOOKUP(E5611,DATABASE!C:Q,11,false)</f>
        <v>COMPLEMENTARY</v>
      </c>
      <c r="U5611" s="9">
        <v>1400000.0</v>
      </c>
    </row>
    <row r="5612" ht="22.5" customHeight="1">
      <c r="A5612" s="49"/>
      <c r="C5612" s="661">
        <v>45983.0</v>
      </c>
      <c r="D5612" s="673">
        <v>7929.0</v>
      </c>
      <c r="E5612" s="676" t="s">
        <v>256</v>
      </c>
      <c r="F5612" s="664">
        <v>1.0</v>
      </c>
      <c r="G5612" s="677">
        <v>130000.0</v>
      </c>
      <c r="H5612" s="74">
        <v>0.0</v>
      </c>
      <c r="I5612" s="74">
        <f t="shared" si="1"/>
        <v>130000</v>
      </c>
      <c r="J5612" s="74">
        <f>IF(E5612="SERVICE",I5612-(I5612*50%),Vlookup(E5612,DATABASE!C:Q,10,false)*F5612)</f>
        <v>10000</v>
      </c>
      <c r="K5612" s="74">
        <f>VLOOKUP(E5612,DATABASE!C:Q,7,false)</f>
        <v>0</v>
      </c>
      <c r="L5612" s="74">
        <v>0.0</v>
      </c>
      <c r="M5612" s="74">
        <f t="shared" si="2"/>
        <v>0</v>
      </c>
      <c r="N5612" s="74">
        <f t="shared" si="3"/>
        <v>120000</v>
      </c>
      <c r="O5612" s="65" t="str">
        <f>VLOOKUP(E5612,DATABASE!C:Q,8,false)</f>
        <v>IBU</v>
      </c>
      <c r="P5612" s="65">
        <f>VLOOKUP(E5612,DATABASE!C:Q,9,False)</f>
        <v>0</v>
      </c>
      <c r="Q5612" s="93" t="str">
        <f>VLOOKUP(E5612,DATABASE!C:Q,4,false)</f>
        <v>SPOORING</v>
      </c>
      <c r="R5612" s="93" t="str">
        <f>VLOOKUP(E5612,DATABASE!C:Q,11,false)</f>
        <v>SERVICE</v>
      </c>
    </row>
    <row r="5613" ht="22.5" customHeight="1">
      <c r="A5613" s="49"/>
      <c r="C5613" s="666">
        <v>45983.0</v>
      </c>
      <c r="D5613" s="673">
        <v>7929.0</v>
      </c>
      <c r="E5613" s="671" t="s">
        <v>299</v>
      </c>
      <c r="F5613" s="664">
        <v>2.0</v>
      </c>
      <c r="G5613" s="677">
        <v>30000.0</v>
      </c>
      <c r="H5613" s="74">
        <v>0.0</v>
      </c>
      <c r="I5613" s="74">
        <f t="shared" si="1"/>
        <v>60000</v>
      </c>
      <c r="J5613" s="74">
        <f>IF(E5613="SERVICE",I5613-(I5613*50%),Vlookup(E5613,DATABASE!C:Q,10,false)*F5613)</f>
        <v>0</v>
      </c>
      <c r="K5613" s="74">
        <f>VLOOKUP(E5613,DATABASE!C:Q,7,false)</f>
        <v>10000</v>
      </c>
      <c r="L5613" s="74">
        <v>5000.0</v>
      </c>
      <c r="M5613" s="74">
        <f t="shared" si="2"/>
        <v>5000</v>
      </c>
      <c r="N5613" s="74">
        <f t="shared" si="3"/>
        <v>50000</v>
      </c>
      <c r="O5613" s="65" t="str">
        <f>VLOOKUP(E5613,DATABASE!C:Q,8,false)</f>
        <v>BIAN</v>
      </c>
      <c r="P5613" s="65">
        <f>VLOOKUP(E5613,DATABASE!C:Q,9,False)</f>
        <v>0</v>
      </c>
      <c r="Q5613" s="93" t="str">
        <f>VLOOKUP(E5613,DATABASE!C:Q,4,false)</f>
        <v>Balancing</v>
      </c>
      <c r="R5613" s="93" t="str">
        <f>VLOOKUP(E5613,DATABASE!C:Q,11,false)</f>
        <v>COMPLEMENTARY</v>
      </c>
    </row>
    <row r="5614" ht="22.5" customHeight="1">
      <c r="A5614" s="49"/>
      <c r="C5614" s="661">
        <v>45983.0</v>
      </c>
      <c r="D5614" s="673">
        <v>7930.0</v>
      </c>
      <c r="E5614" s="676" t="s">
        <v>246</v>
      </c>
      <c r="F5614" s="664">
        <v>4.0</v>
      </c>
      <c r="G5614" s="677">
        <v>25000.0</v>
      </c>
      <c r="H5614" s="74">
        <v>0.0</v>
      </c>
      <c r="I5614" s="74">
        <f t="shared" si="1"/>
        <v>100000</v>
      </c>
      <c r="J5614" s="74">
        <f>IF(E5614="SERVICE",I5614-(I5614*50%),Vlookup(E5614,DATABASE!C:Q,10,false)*F5614)</f>
        <v>0</v>
      </c>
      <c r="K5614" s="74">
        <f>VLOOKUP(E5614,DATABASE!C:Q,7,false)</f>
        <v>0</v>
      </c>
      <c r="L5614" s="74">
        <v>0.0</v>
      </c>
      <c r="M5614" s="74">
        <f t="shared" si="2"/>
        <v>0</v>
      </c>
      <c r="N5614" s="74">
        <f t="shared" si="3"/>
        <v>100000</v>
      </c>
      <c r="O5614" s="65" t="str">
        <f>VLOOKUP(E5614,DATABASE!C:Q,8,false)</f>
        <v>IBU</v>
      </c>
      <c r="P5614" s="65">
        <f>VLOOKUP(E5614,DATABASE!C:Q,9,False)</f>
        <v>0</v>
      </c>
      <c r="Q5614" s="93" t="str">
        <f>VLOOKUP(E5614,DATABASE!C:Q,4,false)</f>
        <v>Bongkar Pasang</v>
      </c>
      <c r="R5614" s="93" t="str">
        <f>VLOOKUP(E5614,DATABASE!C:Q,11,false)</f>
        <v>SERVICE</v>
      </c>
    </row>
    <row r="5615" ht="22.5" customHeight="1">
      <c r="A5615" s="49"/>
      <c r="C5615" s="666">
        <v>45983.0</v>
      </c>
      <c r="D5615" s="673">
        <v>7931.0</v>
      </c>
      <c r="E5615" s="676" t="s">
        <v>569</v>
      </c>
      <c r="F5615" s="664">
        <v>1.0</v>
      </c>
      <c r="G5615" s="677">
        <v>80000.0</v>
      </c>
      <c r="H5615" s="74">
        <v>0.0</v>
      </c>
      <c r="I5615" s="74">
        <f t="shared" si="1"/>
        <v>80000</v>
      </c>
      <c r="J5615" s="74">
        <f>IF(E5615="SERVICE",I5615-(I5615*50%),Vlookup(E5615,DATABASE!C:Q,10,false)*F5615)</f>
        <v>0</v>
      </c>
      <c r="K5615" s="74">
        <f>VLOOKUP(E5615,DATABASE!C:Q,7,false)</f>
        <v>45439.582</v>
      </c>
      <c r="L5615" s="74">
        <v>45309.6</v>
      </c>
      <c r="M5615" s="74">
        <f t="shared" si="2"/>
        <v>50000</v>
      </c>
      <c r="N5615" s="74">
        <f t="shared" si="3"/>
        <v>30000</v>
      </c>
      <c r="O5615" s="65" t="str">
        <f>VLOOKUP(E5615,DATABASE!C:Q,8,false)</f>
        <v>BIAN</v>
      </c>
      <c r="P5615" s="65">
        <f>VLOOKUP(E5615,DATABASE!C:Q,9,False)</f>
        <v>1</v>
      </c>
      <c r="Q5615" s="93" t="str">
        <f>VLOOKUP(E5615,DATABASE!C:Q,4,false)</f>
        <v>BD</v>
      </c>
      <c r="R5615" s="93" t="str">
        <f>VLOOKUP(E5615,DATABASE!C:Q,11,false)</f>
        <v>Tire</v>
      </c>
      <c r="U5615" s="9">
        <v>1260000.0</v>
      </c>
    </row>
    <row r="5616" ht="22.5" customHeight="1">
      <c r="A5616" s="49"/>
      <c r="C5616" s="661">
        <v>45983.0</v>
      </c>
      <c r="D5616" s="673">
        <v>7933.0</v>
      </c>
      <c r="E5616" s="676" t="s">
        <v>1439</v>
      </c>
      <c r="F5616" s="664">
        <v>2.0</v>
      </c>
      <c r="G5616" s="677">
        <v>630000.0</v>
      </c>
      <c r="H5616" s="74">
        <v>0.0</v>
      </c>
      <c r="I5616" s="74">
        <f t="shared" si="1"/>
        <v>1260000</v>
      </c>
      <c r="J5616" s="74">
        <f>IF(E5616="SERVICE",I5616-(I5616*50%),Vlookup(E5616,DATABASE!C:Q,10,false)*F5616)</f>
        <v>0</v>
      </c>
      <c r="K5616" s="74">
        <f>VLOOKUP(E5616,DATABASE!C:Q,7,false)</f>
        <v>556800</v>
      </c>
      <c r="L5616" s="74">
        <v>540800.0</v>
      </c>
      <c r="M5616" s="74">
        <f t="shared" si="2"/>
        <v>545000</v>
      </c>
      <c r="N5616" s="74">
        <f t="shared" si="3"/>
        <v>170000</v>
      </c>
      <c r="O5616" s="65" t="str">
        <f>VLOOKUP(E5616,DATABASE!C:Q,8,false)</f>
        <v>BIAN</v>
      </c>
      <c r="P5616" s="65">
        <f>VLOOKUP(E5616,DATABASE!C:Q,9,False)</f>
        <v>1</v>
      </c>
      <c r="Q5616" s="93" t="str">
        <f>VLOOKUP(E5616,DATABASE!C:Q,4,false)</f>
        <v>GT</v>
      </c>
      <c r="R5616" s="93" t="str">
        <f>VLOOKUP(E5616,DATABASE!C:Q,11,false)</f>
        <v>Tire</v>
      </c>
      <c r="U5616" s="9">
        <v>125000.0</v>
      </c>
    </row>
    <row r="5617" ht="22.5" customHeight="1">
      <c r="A5617" s="49"/>
      <c r="C5617" s="666">
        <v>45983.0</v>
      </c>
      <c r="D5617" s="673">
        <v>7934.0</v>
      </c>
      <c r="E5617" s="676" t="s">
        <v>681</v>
      </c>
      <c r="F5617" s="664">
        <v>1.0</v>
      </c>
      <c r="G5617" s="677">
        <v>125000.0</v>
      </c>
      <c r="H5617" s="74">
        <v>0.0</v>
      </c>
      <c r="I5617" s="74">
        <f t="shared" si="1"/>
        <v>125000</v>
      </c>
      <c r="J5617" s="74">
        <f>IF(E5617="SERVICE",I5617-(I5617*50%),Vlookup(E5617,DATABASE!C:Q,10,false)*F5617)</f>
        <v>0</v>
      </c>
      <c r="K5617" s="74">
        <f>VLOOKUP(E5617,DATABASE!C:Q,7,false)</f>
        <v>91000</v>
      </c>
      <c r="L5617" s="74">
        <v>91000.0</v>
      </c>
      <c r="M5617" s="74">
        <f t="shared" si="2"/>
        <v>95000</v>
      </c>
      <c r="N5617" s="74">
        <f t="shared" si="3"/>
        <v>30000</v>
      </c>
      <c r="O5617" s="65" t="str">
        <f>VLOOKUP(E5617,DATABASE!C:Q,8,false)</f>
        <v>BIAN</v>
      </c>
      <c r="P5617" s="65">
        <f>VLOOKUP(E5617,DATABASE!C:Q,9,False)</f>
        <v>1</v>
      </c>
      <c r="Q5617" s="93" t="str">
        <f>VLOOKUP(E5617,DATABASE!C:Q,4,false)</f>
        <v>BD</v>
      </c>
      <c r="R5617" s="93" t="str">
        <f>VLOOKUP(E5617,DATABASE!C:Q,11,false)</f>
        <v>Tire</v>
      </c>
      <c r="U5617" s="9">
        <v>1260000.0</v>
      </c>
    </row>
    <row r="5618" ht="22.5" customHeight="1">
      <c r="A5618" s="49"/>
      <c r="C5618" s="661">
        <v>45983.0</v>
      </c>
      <c r="D5618" s="673">
        <v>7935.0</v>
      </c>
      <c r="E5618" s="676" t="s">
        <v>1439</v>
      </c>
      <c r="F5618" s="664">
        <v>2.0</v>
      </c>
      <c r="G5618" s="677">
        <v>630000.0</v>
      </c>
      <c r="H5618" s="74">
        <v>0.0</v>
      </c>
      <c r="I5618" s="74">
        <f t="shared" si="1"/>
        <v>1260000</v>
      </c>
      <c r="J5618" s="74">
        <f>IF(E5618="SERVICE",I5618-(I5618*50%),Vlookup(E5618,DATABASE!C:Q,10,false)*F5618)</f>
        <v>0</v>
      </c>
      <c r="K5618" s="74">
        <f>VLOOKUP(E5618,DATABASE!C:Q,7,false)</f>
        <v>556800</v>
      </c>
      <c r="L5618" s="74">
        <v>540800.0</v>
      </c>
      <c r="M5618" s="74">
        <f t="shared" si="2"/>
        <v>545000</v>
      </c>
      <c r="N5618" s="74">
        <f t="shared" si="3"/>
        <v>170000</v>
      </c>
      <c r="O5618" s="65" t="str">
        <f>VLOOKUP(E5618,DATABASE!C:Q,8,false)</f>
        <v>BIAN</v>
      </c>
      <c r="P5618" s="65">
        <f>VLOOKUP(E5618,DATABASE!C:Q,9,False)</f>
        <v>1</v>
      </c>
      <c r="Q5618" s="93" t="str">
        <f>VLOOKUP(E5618,DATABASE!C:Q,4,false)</f>
        <v>GT</v>
      </c>
      <c r="R5618" s="93" t="str">
        <f>VLOOKUP(E5618,DATABASE!C:Q,11,false)</f>
        <v>Tire</v>
      </c>
      <c r="U5618" s="9">
        <v>1120000.0</v>
      </c>
    </row>
    <row r="5619" ht="22.5" customHeight="1">
      <c r="A5619" s="49"/>
      <c r="C5619" s="666">
        <v>45983.0</v>
      </c>
      <c r="D5619" s="673">
        <v>7936.0</v>
      </c>
      <c r="E5619" s="676" t="s">
        <v>286</v>
      </c>
      <c r="F5619" s="664">
        <v>2.0</v>
      </c>
      <c r="G5619" s="677">
        <v>560000.0</v>
      </c>
      <c r="H5619" s="74">
        <v>0.0</v>
      </c>
      <c r="I5619" s="74">
        <f t="shared" si="1"/>
        <v>1120000</v>
      </c>
      <c r="J5619" s="74">
        <f>IF(E5619="SERVICE",I5619-(I5619*50%),Vlookup(E5619,DATABASE!C:Q,10,false)*F5619)</f>
        <v>0</v>
      </c>
      <c r="K5619" s="74">
        <f>VLOOKUP(E5619,DATABASE!C:Q,7,false)</f>
        <v>488320</v>
      </c>
      <c r="L5619" s="74">
        <v>452970.0</v>
      </c>
      <c r="M5619" s="74">
        <f t="shared" si="2"/>
        <v>455000</v>
      </c>
      <c r="N5619" s="74">
        <f t="shared" si="3"/>
        <v>210000</v>
      </c>
      <c r="O5619" s="65" t="str">
        <f>VLOOKUP(E5619,DATABASE!C:Q,8,false)</f>
        <v>BIAN</v>
      </c>
      <c r="P5619" s="65">
        <f>VLOOKUP(E5619,DATABASE!C:Q,9,False)</f>
        <v>1</v>
      </c>
      <c r="Q5619" s="93" t="str">
        <f>VLOOKUP(E5619,DATABASE!C:Q,4,false)</f>
        <v>GT</v>
      </c>
      <c r="R5619" s="93" t="str">
        <f>VLOOKUP(E5619,DATABASE!C:Q,11,false)</f>
        <v>Tire</v>
      </c>
    </row>
    <row r="5620" ht="22.5" customHeight="1">
      <c r="A5620" s="49"/>
      <c r="C5620" s="661">
        <v>45983.0</v>
      </c>
      <c r="D5620" s="673">
        <v>7937.0</v>
      </c>
      <c r="E5620" s="676" t="s">
        <v>251</v>
      </c>
      <c r="F5620" s="664">
        <v>1.0</v>
      </c>
      <c r="G5620" s="677">
        <v>150000.0</v>
      </c>
      <c r="H5620" s="74">
        <v>0.0</v>
      </c>
      <c r="I5620" s="74">
        <f t="shared" si="1"/>
        <v>150000</v>
      </c>
      <c r="J5620" s="74">
        <f>IF(E5620="SERVICE",I5620-(I5620*50%),Vlookup(E5620,DATABASE!C:Q,10,false)*F5620)</f>
        <v>75000</v>
      </c>
      <c r="K5620" s="74">
        <f>VLOOKUP(E5620,DATABASE!C:Q,7,false)</f>
        <v>0</v>
      </c>
      <c r="L5620" s="74">
        <v>0.0</v>
      </c>
      <c r="M5620" s="74">
        <f t="shared" si="2"/>
        <v>0</v>
      </c>
      <c r="N5620" s="74">
        <f t="shared" si="3"/>
        <v>75000</v>
      </c>
      <c r="O5620" s="65" t="str">
        <f>VLOOKUP(E5620,DATABASE!C:Q,8,false)</f>
        <v>IBU</v>
      </c>
      <c r="P5620" s="65">
        <f>VLOOKUP(E5620,DATABASE!C:Q,9,False)</f>
        <v>0</v>
      </c>
      <c r="Q5620" s="93" t="str">
        <f>VLOOKUP(E5620,DATABASE!C:Q,4,false)</f>
        <v>SERVICE</v>
      </c>
      <c r="R5620" s="93" t="str">
        <f>VLOOKUP(E5620,DATABASE!C:Q,11,false)</f>
        <v>SERVICE</v>
      </c>
      <c r="U5620" s="9"/>
    </row>
    <row r="5621" ht="22.5" customHeight="1">
      <c r="A5621" s="49"/>
      <c r="C5621" s="666">
        <v>45983.0</v>
      </c>
      <c r="D5621" s="673">
        <v>7938.0</v>
      </c>
      <c r="E5621" s="676" t="s">
        <v>613</v>
      </c>
      <c r="F5621" s="664">
        <v>1.0</v>
      </c>
      <c r="G5621" s="677">
        <v>95000.0</v>
      </c>
      <c r="H5621" s="74">
        <v>0.0</v>
      </c>
      <c r="I5621" s="74">
        <f t="shared" si="1"/>
        <v>95000</v>
      </c>
      <c r="J5621" s="74">
        <f>IF(E5621="SERVICE",I5621-(I5621*50%),Vlookup(E5621,DATABASE!C:Q,10,false)*F5621)</f>
        <v>0</v>
      </c>
      <c r="K5621" s="74">
        <f>VLOOKUP(E5621,DATABASE!C:Q,7,false)</f>
        <v>58371.2695</v>
      </c>
      <c r="L5621" s="74">
        <v>55000.0</v>
      </c>
      <c r="M5621" s="74">
        <f t="shared" si="2"/>
        <v>55000</v>
      </c>
      <c r="N5621" s="74">
        <f t="shared" si="3"/>
        <v>40000</v>
      </c>
      <c r="O5621" s="65" t="str">
        <f>VLOOKUP(E5621,DATABASE!C:Q,8,false)</f>
        <v>BIAN</v>
      </c>
      <c r="P5621" s="65">
        <f>VLOOKUP(E5621,DATABASE!C:Q,9,False)</f>
        <v>1</v>
      </c>
      <c r="Q5621" s="93" t="str">
        <f>VLOOKUP(E5621,DATABASE!C:Q,4,false)</f>
        <v>BD</v>
      </c>
      <c r="R5621" s="93" t="str">
        <f>VLOOKUP(E5621,DATABASE!C:Q,11,false)</f>
        <v>Tire</v>
      </c>
    </row>
    <row r="5622" ht="22.5" customHeight="1">
      <c r="A5622" s="49"/>
      <c r="C5622" s="666">
        <v>45983.0</v>
      </c>
      <c r="D5622" s="673">
        <v>7939.0</v>
      </c>
      <c r="E5622" s="676" t="s">
        <v>591</v>
      </c>
      <c r="F5622" s="664">
        <v>1.0</v>
      </c>
      <c r="G5622" s="677">
        <v>700000.0</v>
      </c>
      <c r="H5622" s="74">
        <v>0.0</v>
      </c>
      <c r="I5622" s="74">
        <f t="shared" si="1"/>
        <v>700000</v>
      </c>
      <c r="J5622" s="74">
        <f>IF(E5622="SERVICE",I5622-(I5622*50%),Vlookup(E5622,DATABASE!C:Q,10,false)*F5622)</f>
        <v>0</v>
      </c>
      <c r="K5622" s="74">
        <f>VLOOKUP(E5622,DATABASE!C:Q,7,false)</f>
        <v>633035.16</v>
      </c>
      <c r="L5622" s="74">
        <v>593488.4</v>
      </c>
      <c r="M5622" s="74">
        <f t="shared" si="2"/>
        <v>595000</v>
      </c>
      <c r="N5622" s="74">
        <f t="shared" si="3"/>
        <v>105000</v>
      </c>
      <c r="O5622" s="65" t="str">
        <f>VLOOKUP(E5622,DATABASE!C:Q,8,false)</f>
        <v>IBU</v>
      </c>
      <c r="P5622" s="65">
        <f>VLOOKUP(E5622,DATABASE!C:Q,9,False)</f>
        <v>1</v>
      </c>
      <c r="Q5622" s="93" t="str">
        <f>VLOOKUP(E5622,DATABASE!C:Q,4,false)</f>
        <v>Bridgestone</v>
      </c>
      <c r="R5622" s="93" t="str">
        <f>VLOOKUP(E5622,DATABASE!C:Q,11,false)</f>
        <v>Tire</v>
      </c>
    </row>
    <row r="5623" ht="22.5" customHeight="1">
      <c r="A5623" s="49"/>
      <c r="C5623" s="661">
        <v>45983.0</v>
      </c>
      <c r="D5623" s="673">
        <v>7940.0</v>
      </c>
      <c r="E5623" s="676" t="s">
        <v>1704</v>
      </c>
      <c r="F5623" s="664">
        <v>1.0</v>
      </c>
      <c r="G5623" s="677">
        <v>820000.0</v>
      </c>
      <c r="H5623" s="74">
        <v>0.0</v>
      </c>
      <c r="I5623" s="74">
        <f t="shared" si="1"/>
        <v>820000</v>
      </c>
      <c r="J5623" s="74">
        <f>IF(E5623="SERVICE",I5623-(I5623*50%),Vlookup(E5623,DATABASE!C:Q,10,false)*F5623)</f>
        <v>0</v>
      </c>
      <c r="K5623" s="74">
        <f>VLOOKUP(E5623,DATABASE!C:Q,7,false)</f>
        <v>787500</v>
      </c>
      <c r="L5623" s="74">
        <v>695000.0</v>
      </c>
      <c r="M5623" s="74">
        <f t="shared" si="2"/>
        <v>695000</v>
      </c>
      <c r="N5623" s="74">
        <f t="shared" si="3"/>
        <v>125000</v>
      </c>
      <c r="O5623" s="65" t="str">
        <f>VLOOKUP(E5623,DATABASE!C:Q,8,false)</f>
        <v>BIAN</v>
      </c>
      <c r="P5623" s="65">
        <f>VLOOKUP(E5623,DATABASE!C:Q,9,False)</f>
        <v>1</v>
      </c>
      <c r="Q5623" s="93" t="str">
        <f>VLOOKUP(E5623,DATABASE!C:Q,4,false)</f>
        <v>GT</v>
      </c>
      <c r="R5623" s="93" t="str">
        <f>VLOOKUP(E5623,DATABASE!C:Q,11,false)</f>
        <v>Tire</v>
      </c>
    </row>
    <row r="5624" ht="22.5" customHeight="1">
      <c r="A5624" s="49"/>
      <c r="C5624" s="666">
        <v>45983.0</v>
      </c>
      <c r="D5624" s="673">
        <v>7941.0</v>
      </c>
      <c r="E5624" s="676" t="s">
        <v>256</v>
      </c>
      <c r="F5624" s="664">
        <v>1.0</v>
      </c>
      <c r="G5624" s="677">
        <v>110000.0</v>
      </c>
      <c r="H5624" s="74">
        <v>0.0</v>
      </c>
      <c r="I5624" s="74">
        <f t="shared" si="1"/>
        <v>110000</v>
      </c>
      <c r="J5624" s="74">
        <f>IF(E5624="SERVICE",I5624-(I5624*50%),Vlookup(E5624,DATABASE!C:Q,10,false)*F5624)</f>
        <v>10000</v>
      </c>
      <c r="K5624" s="74">
        <f>VLOOKUP(E5624,DATABASE!C:Q,7,false)</f>
        <v>0</v>
      </c>
      <c r="L5624" s="74">
        <v>0.0</v>
      </c>
      <c r="M5624" s="74">
        <f t="shared" si="2"/>
        <v>0</v>
      </c>
      <c r="N5624" s="74">
        <f t="shared" si="3"/>
        <v>100000</v>
      </c>
      <c r="O5624" s="65" t="str">
        <f>VLOOKUP(E5624,DATABASE!C:Q,8,false)</f>
        <v>IBU</v>
      </c>
      <c r="P5624" s="65">
        <f>VLOOKUP(E5624,DATABASE!C:Q,9,False)</f>
        <v>0</v>
      </c>
      <c r="Q5624" s="93" t="str">
        <f>VLOOKUP(E5624,DATABASE!C:Q,4,false)</f>
        <v>SPOORING</v>
      </c>
      <c r="R5624" s="93" t="str">
        <f>VLOOKUP(E5624,DATABASE!C:Q,11,false)</f>
        <v>SERVICE</v>
      </c>
      <c r="U5624" s="9">
        <v>95000.0</v>
      </c>
    </row>
    <row r="5625" ht="22.5" customHeight="1">
      <c r="A5625" s="49"/>
      <c r="C5625" s="661">
        <v>45983.0</v>
      </c>
      <c r="D5625" s="673">
        <v>7941.0</v>
      </c>
      <c r="E5625" s="676" t="s">
        <v>251</v>
      </c>
      <c r="F5625" s="664">
        <v>1.0</v>
      </c>
      <c r="G5625" s="677">
        <v>150000.0</v>
      </c>
      <c r="H5625" s="74">
        <v>0.0</v>
      </c>
      <c r="I5625" s="74">
        <f t="shared" si="1"/>
        <v>150000</v>
      </c>
      <c r="J5625" s="74">
        <f>IF(E5625="SERVICE",I5625-(I5625*50%),Vlookup(E5625,DATABASE!C:Q,10,false)*F5625)</f>
        <v>75000</v>
      </c>
      <c r="K5625" s="74">
        <f>VLOOKUP(E5625,DATABASE!C:Q,7,false)</f>
        <v>0</v>
      </c>
      <c r="L5625" s="74">
        <v>0.0</v>
      </c>
      <c r="M5625" s="74">
        <f t="shared" si="2"/>
        <v>0</v>
      </c>
      <c r="N5625" s="74">
        <f t="shared" si="3"/>
        <v>75000</v>
      </c>
      <c r="O5625" s="65" t="str">
        <f>VLOOKUP(E5625,DATABASE!C:Q,8,false)</f>
        <v>IBU</v>
      </c>
      <c r="P5625" s="65">
        <f>VLOOKUP(E5625,DATABASE!C:Q,9,False)</f>
        <v>0</v>
      </c>
      <c r="Q5625" s="93" t="str">
        <f>VLOOKUP(E5625,DATABASE!C:Q,4,false)</f>
        <v>SERVICE</v>
      </c>
      <c r="R5625" s="93" t="str">
        <f>VLOOKUP(E5625,DATABASE!C:Q,11,false)</f>
        <v>SERVICE</v>
      </c>
      <c r="U5625" s="9">
        <v>820000.0</v>
      </c>
    </row>
    <row r="5626" ht="22.5" customHeight="1">
      <c r="A5626" s="49"/>
      <c r="C5626" s="666">
        <v>45983.0</v>
      </c>
      <c r="D5626" s="673">
        <v>7942.0</v>
      </c>
      <c r="E5626" s="676" t="s">
        <v>1429</v>
      </c>
      <c r="F5626" s="664">
        <v>1.0</v>
      </c>
      <c r="G5626" s="677">
        <v>950000.0</v>
      </c>
      <c r="H5626" s="74">
        <v>0.0</v>
      </c>
      <c r="I5626" s="74">
        <f t="shared" si="1"/>
        <v>950000</v>
      </c>
      <c r="J5626" s="74">
        <f>IF(E5626="SERVICE",I5626-(I5626*50%),Vlookup(E5626,DATABASE!C:Q,10,false)*F5626)</f>
        <v>0</v>
      </c>
      <c r="K5626" s="74">
        <f>VLOOKUP(E5626,DATABASE!C:Q,7,false)</f>
        <v>849000</v>
      </c>
      <c r="L5626" s="74">
        <v>849000.0</v>
      </c>
      <c r="M5626" s="74">
        <f t="shared" si="2"/>
        <v>850000</v>
      </c>
      <c r="N5626" s="74">
        <f t="shared" si="3"/>
        <v>100000</v>
      </c>
      <c r="O5626" s="65" t="str">
        <f>VLOOKUP(E5626,DATABASE!C:Q,8,false)</f>
        <v>IBU</v>
      </c>
      <c r="P5626" s="65">
        <f>VLOOKUP(E5626,DATABASE!C:Q,9,False)</f>
        <v>1</v>
      </c>
      <c r="Q5626" s="93" t="str">
        <f>VLOOKUP(E5626,DATABASE!C:Q,4,false)</f>
        <v>Dunlop</v>
      </c>
      <c r="R5626" s="93" t="str">
        <f>VLOOKUP(E5626,DATABASE!C:Q,11,false)</f>
        <v>Tire</v>
      </c>
      <c r="U5626" s="9"/>
    </row>
    <row r="5627" ht="22.5" customHeight="1">
      <c r="A5627" s="49"/>
      <c r="C5627" s="661">
        <v>45983.0</v>
      </c>
      <c r="D5627" s="673">
        <v>7943.0</v>
      </c>
      <c r="E5627" s="676" t="s">
        <v>301</v>
      </c>
      <c r="F5627" s="664">
        <v>1.0</v>
      </c>
      <c r="G5627" s="677">
        <v>250000.0</v>
      </c>
      <c r="H5627" s="74">
        <v>0.0</v>
      </c>
      <c r="I5627" s="74">
        <f t="shared" si="1"/>
        <v>250000</v>
      </c>
      <c r="J5627" s="74">
        <f>IF(E5627="SERVICE",I5627-(I5627*50%),Vlookup(E5627,DATABASE!C:Q,10,false)*F5627)</f>
        <v>75000</v>
      </c>
      <c r="K5627" s="74">
        <f>VLOOKUP(E5627,DATABASE!C:Q,7,false)</f>
        <v>75000</v>
      </c>
      <c r="L5627" s="74">
        <v>75000.0</v>
      </c>
      <c r="M5627" s="74">
        <f t="shared" si="2"/>
        <v>75000</v>
      </c>
      <c r="N5627" s="74">
        <f t="shared" si="3"/>
        <v>100000</v>
      </c>
      <c r="O5627" s="65" t="str">
        <f>VLOOKUP(E5627,DATABASE!C:Q,8,false)</f>
        <v>BIAN</v>
      </c>
      <c r="P5627" s="65">
        <f>VLOOKUP(E5627,DATABASE!C:Q,9,False)</f>
        <v>0</v>
      </c>
      <c r="Q5627" s="93" t="str">
        <f>VLOOKUP(E5627,DATABASE!C:Q,4,false)</f>
        <v>Baut Camber</v>
      </c>
      <c r="R5627" s="93" t="str">
        <f>VLOOKUP(E5627,DATABASE!C:Q,11,false)</f>
        <v>COMPLEMENTARY</v>
      </c>
    </row>
    <row r="5628" ht="22.5" customHeight="1">
      <c r="A5628" s="49"/>
      <c r="C5628" s="666">
        <v>45983.0</v>
      </c>
      <c r="D5628" s="673">
        <v>7943.0</v>
      </c>
      <c r="E5628" s="676" t="s">
        <v>256</v>
      </c>
      <c r="F5628" s="664">
        <v>1.0</v>
      </c>
      <c r="G5628" s="677">
        <v>130000.0</v>
      </c>
      <c r="H5628" s="74">
        <v>0.0</v>
      </c>
      <c r="I5628" s="74">
        <f t="shared" si="1"/>
        <v>130000</v>
      </c>
      <c r="J5628" s="74">
        <f>IF(E5628="SERVICE",I5628-(I5628*50%),Vlookup(E5628,DATABASE!C:Q,10,false)*F5628)</f>
        <v>10000</v>
      </c>
      <c r="K5628" s="74">
        <f>VLOOKUP(E5628,DATABASE!C:Q,7,false)</f>
        <v>0</v>
      </c>
      <c r="L5628" s="74">
        <v>0.0</v>
      </c>
      <c r="M5628" s="74">
        <f t="shared" si="2"/>
        <v>0</v>
      </c>
      <c r="N5628" s="74">
        <f t="shared" si="3"/>
        <v>120000</v>
      </c>
      <c r="O5628" s="65" t="str">
        <f>VLOOKUP(E5628,DATABASE!C:Q,8,false)</f>
        <v>IBU</v>
      </c>
      <c r="P5628" s="65">
        <f>VLOOKUP(E5628,DATABASE!C:Q,9,False)</f>
        <v>0</v>
      </c>
      <c r="Q5628" s="93" t="str">
        <f>VLOOKUP(E5628,DATABASE!C:Q,4,false)</f>
        <v>SPOORING</v>
      </c>
      <c r="R5628" s="93" t="str">
        <f>VLOOKUP(E5628,DATABASE!C:Q,11,false)</f>
        <v>SERVICE</v>
      </c>
    </row>
    <row r="5629" ht="22.5" customHeight="1">
      <c r="A5629" s="49"/>
      <c r="C5629" s="661">
        <v>45983.0</v>
      </c>
      <c r="D5629" s="673">
        <v>7943.0</v>
      </c>
      <c r="E5629" s="671" t="s">
        <v>299</v>
      </c>
      <c r="F5629" s="664">
        <v>2.0</v>
      </c>
      <c r="G5629" s="677">
        <v>30000.0</v>
      </c>
      <c r="H5629" s="74">
        <v>0.0</v>
      </c>
      <c r="I5629" s="74">
        <f t="shared" si="1"/>
        <v>60000</v>
      </c>
      <c r="J5629" s="74">
        <f>IF(E5629="SERVICE",I5629-(I5629*50%),Vlookup(E5629,DATABASE!C:Q,10,false)*F5629)</f>
        <v>0</v>
      </c>
      <c r="K5629" s="74">
        <f>VLOOKUP(E5629,DATABASE!C:Q,7,false)</f>
        <v>10000</v>
      </c>
      <c r="L5629" s="74">
        <v>5000.0</v>
      </c>
      <c r="M5629" s="74">
        <f t="shared" si="2"/>
        <v>5000</v>
      </c>
      <c r="N5629" s="74">
        <f t="shared" si="3"/>
        <v>50000</v>
      </c>
      <c r="O5629" s="65" t="str">
        <f>VLOOKUP(E5629,DATABASE!C:Q,8,false)</f>
        <v>BIAN</v>
      </c>
      <c r="P5629" s="65">
        <f>VLOOKUP(E5629,DATABASE!C:Q,9,False)</f>
        <v>0</v>
      </c>
      <c r="Q5629" s="93" t="str">
        <f>VLOOKUP(E5629,DATABASE!C:Q,4,false)</f>
        <v>Balancing</v>
      </c>
      <c r="R5629" s="93" t="str">
        <f>VLOOKUP(E5629,DATABASE!C:Q,11,false)</f>
        <v>COMPLEMENTARY</v>
      </c>
    </row>
    <row r="5630" ht="22.5" customHeight="1">
      <c r="A5630" s="49"/>
      <c r="C5630" s="666">
        <v>45983.0</v>
      </c>
      <c r="D5630" s="682">
        <v>7944.0</v>
      </c>
      <c r="E5630" s="680" t="s">
        <v>932</v>
      </c>
      <c r="F5630" s="670">
        <v>4.0</v>
      </c>
      <c r="G5630" s="681">
        <v>680000.0</v>
      </c>
      <c r="H5630" s="74">
        <v>0.0</v>
      </c>
      <c r="I5630" s="74">
        <f t="shared" si="1"/>
        <v>2720000</v>
      </c>
      <c r="J5630" s="74">
        <f>IF(E5630="SERVICE",I5630-(I5630*50%),Vlookup(E5630,DATABASE!C:Q,10,false)*F5630)</f>
        <v>0</v>
      </c>
      <c r="K5630" s="74">
        <f>VLOOKUP(E5630,DATABASE!C:Q,7,false)</f>
        <v>601000</v>
      </c>
      <c r="L5630" s="74">
        <v>595000.0</v>
      </c>
      <c r="M5630" s="74">
        <f t="shared" si="2"/>
        <v>595000</v>
      </c>
      <c r="N5630" s="74">
        <f t="shared" si="3"/>
        <v>340000</v>
      </c>
      <c r="O5630" s="65" t="str">
        <f>VLOOKUP(E5630,DATABASE!C:Q,8,false)</f>
        <v>IBU</v>
      </c>
      <c r="P5630" s="65">
        <f>VLOOKUP(E5630,DATABASE!C:Q,9,False)</f>
        <v>1</v>
      </c>
      <c r="Q5630" s="93" t="str">
        <f>VLOOKUP(E5630,DATABASE!C:Q,4,false)</f>
        <v>Dunlop</v>
      </c>
      <c r="R5630" s="93" t="str">
        <f>VLOOKUP(E5630,DATABASE!C:Q,11,false)</f>
        <v>Tire</v>
      </c>
      <c r="U5630" s="9"/>
    </row>
    <row r="5631" ht="22.5" customHeight="1">
      <c r="A5631" s="49"/>
      <c r="C5631" s="661">
        <v>45983.0</v>
      </c>
      <c r="D5631" s="682">
        <v>7944.0</v>
      </c>
      <c r="E5631" s="671" t="s">
        <v>299</v>
      </c>
      <c r="F5631" s="670">
        <v>2.0</v>
      </c>
      <c r="G5631" s="681">
        <v>30000.0</v>
      </c>
      <c r="H5631" s="74">
        <v>0.0</v>
      </c>
      <c r="I5631" s="74">
        <f t="shared" si="1"/>
        <v>60000</v>
      </c>
      <c r="J5631" s="74">
        <f>IF(E5631="SERVICE",I5631-(I5631*50%),Vlookup(E5631,DATABASE!C:Q,10,false)*F5631)</f>
        <v>0</v>
      </c>
      <c r="K5631" s="74">
        <f>VLOOKUP(E5631,DATABASE!C:Q,7,false)</f>
        <v>10000</v>
      </c>
      <c r="L5631" s="74">
        <v>5000.0</v>
      </c>
      <c r="M5631" s="74">
        <f t="shared" si="2"/>
        <v>5000</v>
      </c>
      <c r="N5631" s="74">
        <f t="shared" si="3"/>
        <v>50000</v>
      </c>
      <c r="O5631" s="65" t="str">
        <f>VLOOKUP(E5631,DATABASE!C:Q,8,false)</f>
        <v>BIAN</v>
      </c>
      <c r="P5631" s="65">
        <f>VLOOKUP(E5631,DATABASE!C:Q,9,False)</f>
        <v>0</v>
      </c>
      <c r="Q5631" s="93" t="str">
        <f>VLOOKUP(E5631,DATABASE!C:Q,4,false)</f>
        <v>Balancing</v>
      </c>
      <c r="R5631" s="93" t="str">
        <f>VLOOKUP(E5631,DATABASE!C:Q,11,false)</f>
        <v>COMPLEMENTARY</v>
      </c>
    </row>
    <row r="5632" ht="22.5" customHeight="1">
      <c r="A5632" s="49"/>
      <c r="C5632" s="666">
        <v>45983.0</v>
      </c>
      <c r="D5632" s="682">
        <v>7944.0</v>
      </c>
      <c r="E5632" s="680" t="s">
        <v>262</v>
      </c>
      <c r="F5632" s="670">
        <v>1.0</v>
      </c>
      <c r="G5632" s="681">
        <v>110000.0</v>
      </c>
      <c r="H5632" s="74">
        <v>0.0</v>
      </c>
      <c r="I5632" s="74">
        <f t="shared" si="1"/>
        <v>110000</v>
      </c>
      <c r="J5632" s="74">
        <f>IF(E5632="SERVICE",I5632-(I5632*50%),Vlookup(E5632,DATABASE!C:Q,10,false)*F5632)</f>
        <v>5000</v>
      </c>
      <c r="K5632" s="74">
        <f>VLOOKUP(E5632,DATABASE!C:Q,7,false)</f>
        <v>0</v>
      </c>
      <c r="L5632" s="74">
        <v>0.0</v>
      </c>
      <c r="M5632" s="74">
        <f t="shared" si="2"/>
        <v>0</v>
      </c>
      <c r="N5632" s="74">
        <f t="shared" si="3"/>
        <v>105000</v>
      </c>
      <c r="O5632" s="65" t="str">
        <f>VLOOKUP(E5632,DATABASE!C:Q,8,false)</f>
        <v>IBU</v>
      </c>
      <c r="P5632" s="65">
        <f>VLOOKUP(E5632,DATABASE!C:Q,9,False)</f>
        <v>0</v>
      </c>
      <c r="Q5632" s="93" t="str">
        <f>VLOOKUP(E5632,DATABASE!C:Q,4,false)</f>
        <v>SPOORING SS/CARRY LOS BAK</v>
      </c>
      <c r="R5632" s="93" t="str">
        <f>VLOOKUP(E5632,DATABASE!C:Q,11,false)</f>
        <v>SERVICE</v>
      </c>
    </row>
    <row r="5633" ht="22.5" customHeight="1">
      <c r="A5633" s="49"/>
      <c r="C5633" s="661">
        <v>45983.0</v>
      </c>
      <c r="D5633" s="682">
        <v>7944.0</v>
      </c>
      <c r="E5633" s="680" t="s">
        <v>478</v>
      </c>
      <c r="F5633" s="670">
        <v>1.0</v>
      </c>
      <c r="G5633" s="681">
        <v>200000.0</v>
      </c>
      <c r="H5633" s="74">
        <v>0.0</v>
      </c>
      <c r="I5633" s="74">
        <f t="shared" si="1"/>
        <v>200000</v>
      </c>
      <c r="J5633" s="74">
        <f>IF(E5633="SERVICE",I5633-(I5633*50%),Vlookup(E5633,DATABASE!C:Q,10,false)*F5633)</f>
        <v>25000</v>
      </c>
      <c r="K5633" s="74">
        <f>VLOOKUP(E5633,DATABASE!C:Q,7,false)</f>
        <v>75000</v>
      </c>
      <c r="L5633" s="74">
        <v>75000.0</v>
      </c>
      <c r="M5633" s="74">
        <f t="shared" si="2"/>
        <v>75000</v>
      </c>
      <c r="N5633" s="74">
        <f t="shared" si="3"/>
        <v>100000</v>
      </c>
      <c r="O5633" s="65" t="str">
        <f>VLOOKUP(E5633,DATABASE!C:Q,8,false)</f>
        <v>BIAN</v>
      </c>
      <c r="P5633" s="65">
        <f>VLOOKUP(E5633,DATABASE!C:Q,9,False)</f>
        <v>0</v>
      </c>
      <c r="Q5633" s="93" t="str">
        <f>VLOOKUP(E5633,DATABASE!C:Q,4,false)</f>
        <v>Baut Camber ss-carry</v>
      </c>
      <c r="R5633" s="93" t="str">
        <f>VLOOKUP(E5633,DATABASE!C:Q,11,false)</f>
        <v>COMPLEMENTARY</v>
      </c>
    </row>
    <row r="5634" ht="22.5" customHeight="1">
      <c r="A5634" s="49"/>
      <c r="C5634" s="666">
        <v>45983.0</v>
      </c>
      <c r="D5634" s="682">
        <v>7945.0</v>
      </c>
      <c r="E5634" s="680" t="s">
        <v>282</v>
      </c>
      <c r="F5634" s="670">
        <v>1.0</v>
      </c>
      <c r="G5634" s="681">
        <v>870000.0</v>
      </c>
      <c r="H5634" s="74">
        <v>0.0</v>
      </c>
      <c r="I5634" s="74">
        <f t="shared" si="1"/>
        <v>870000</v>
      </c>
      <c r="J5634" s="74">
        <f>IF(E5634="SERVICE",I5634-(I5634*50%),Vlookup(E5634,DATABASE!C:Q,10,false)*F5634)</f>
        <v>0</v>
      </c>
      <c r="K5634" s="74">
        <f>VLOOKUP(E5634,DATABASE!C:Q,7,false)</f>
        <v>779500</v>
      </c>
      <c r="L5634" s="74">
        <v>771000.0</v>
      </c>
      <c r="M5634" s="74">
        <f t="shared" si="2"/>
        <v>775000</v>
      </c>
      <c r="N5634" s="74">
        <f t="shared" si="3"/>
        <v>95000</v>
      </c>
      <c r="O5634" s="65" t="str">
        <f>VLOOKUP(E5634,DATABASE!C:Q,8,false)</f>
        <v>IBU</v>
      </c>
      <c r="P5634" s="65">
        <f>VLOOKUP(E5634,DATABASE!C:Q,9,False)</f>
        <v>1</v>
      </c>
      <c r="Q5634" s="93" t="str">
        <f>VLOOKUP(E5634,DATABASE!C:Q,4,false)</f>
        <v>Dunlop</v>
      </c>
      <c r="R5634" s="93" t="str">
        <f>VLOOKUP(E5634,DATABASE!C:Q,11,false)</f>
        <v>Tire</v>
      </c>
      <c r="U5634" s="9"/>
    </row>
    <row r="5635" ht="22.5" customHeight="1">
      <c r="A5635" s="49"/>
      <c r="C5635" s="666">
        <v>45984.0</v>
      </c>
      <c r="D5635" s="682">
        <v>7942.0</v>
      </c>
      <c r="E5635" s="680" t="s">
        <v>275</v>
      </c>
      <c r="F5635" s="670">
        <v>3.0</v>
      </c>
      <c r="G5635" s="681">
        <v>830000.0</v>
      </c>
      <c r="H5635" s="74">
        <v>0.0</v>
      </c>
      <c r="I5635" s="74">
        <f t="shared" si="1"/>
        <v>2490000</v>
      </c>
      <c r="J5635" s="74">
        <f>IF(E5635="SERVICE",I5635-(I5635*50%),Vlookup(E5635,DATABASE!C:Q,10,false)*F5635)</f>
        <v>0</v>
      </c>
      <c r="K5635" s="74">
        <f>VLOOKUP(E5635,DATABASE!C:Q,7,false)</f>
        <v>782000</v>
      </c>
      <c r="L5635" s="74">
        <v>745000.0</v>
      </c>
      <c r="M5635" s="74">
        <f t="shared" si="2"/>
        <v>745000</v>
      </c>
      <c r="N5635" s="74">
        <f t="shared" si="3"/>
        <v>255000</v>
      </c>
      <c r="O5635" s="65" t="str">
        <f>VLOOKUP(E5635,DATABASE!C:Q,8,false)</f>
        <v>IBU</v>
      </c>
      <c r="P5635" s="65">
        <f>VLOOKUP(E5635,DATABASE!C:Q,9,False)</f>
        <v>1</v>
      </c>
      <c r="Q5635" s="93" t="str">
        <f>VLOOKUP(E5635,DATABASE!C:Q,4,false)</f>
        <v>Dunlop</v>
      </c>
      <c r="R5635" s="93" t="str">
        <f>VLOOKUP(E5635,DATABASE!C:Q,11,false)</f>
        <v>Tire</v>
      </c>
    </row>
    <row r="5636" ht="22.5" customHeight="1">
      <c r="A5636" s="49"/>
      <c r="C5636" s="661">
        <v>45984.0</v>
      </c>
      <c r="D5636" s="682">
        <v>7946.0</v>
      </c>
      <c r="E5636" s="680" t="s">
        <v>256</v>
      </c>
      <c r="F5636" s="670">
        <v>1.0</v>
      </c>
      <c r="G5636" s="681">
        <v>110000.0</v>
      </c>
      <c r="H5636" s="74">
        <v>0.0</v>
      </c>
      <c r="I5636" s="74">
        <f t="shared" si="1"/>
        <v>110000</v>
      </c>
      <c r="J5636" s="74">
        <f>IF(E5636="SERVICE",I5636-(I5636*50%),Vlookup(E5636,DATABASE!C:Q,10,false)*F5636)</f>
        <v>10000</v>
      </c>
      <c r="K5636" s="74">
        <f>VLOOKUP(E5636,DATABASE!C:Q,7,false)</f>
        <v>0</v>
      </c>
      <c r="L5636" s="74">
        <v>0.0</v>
      </c>
      <c r="M5636" s="74">
        <f t="shared" si="2"/>
        <v>0</v>
      </c>
      <c r="N5636" s="74">
        <f t="shared" si="3"/>
        <v>100000</v>
      </c>
      <c r="O5636" s="65" t="str">
        <f>VLOOKUP(E5636,DATABASE!C:Q,8,false)</f>
        <v>IBU</v>
      </c>
      <c r="P5636" s="65">
        <f>VLOOKUP(E5636,DATABASE!C:Q,9,False)</f>
        <v>0</v>
      </c>
      <c r="Q5636" s="93" t="str">
        <f>VLOOKUP(E5636,DATABASE!C:Q,4,false)</f>
        <v>SPOORING</v>
      </c>
      <c r="R5636" s="93" t="str">
        <f>VLOOKUP(E5636,DATABASE!C:Q,11,false)</f>
        <v>SERVICE</v>
      </c>
      <c r="U5636" s="9"/>
    </row>
    <row r="5637" ht="22.5" customHeight="1">
      <c r="A5637" s="49"/>
      <c r="C5637" s="661">
        <v>45984.0</v>
      </c>
      <c r="D5637" s="682">
        <v>7948.0</v>
      </c>
      <c r="E5637" s="680" t="s">
        <v>932</v>
      </c>
      <c r="F5637" s="670">
        <v>1.0</v>
      </c>
      <c r="G5637" s="681">
        <v>680000.0</v>
      </c>
      <c r="H5637" s="74">
        <v>0.0</v>
      </c>
      <c r="I5637" s="74">
        <f t="shared" si="1"/>
        <v>680000</v>
      </c>
      <c r="J5637" s="74">
        <f>IF(E5637="SERVICE",I5637-(I5637*50%),Vlookup(E5637,DATABASE!C:Q,10,false)*F5637)</f>
        <v>0</v>
      </c>
      <c r="K5637" s="74">
        <f>VLOOKUP(E5637,DATABASE!C:Q,7,false)</f>
        <v>601000</v>
      </c>
      <c r="L5637" s="74">
        <v>595000.0</v>
      </c>
      <c r="M5637" s="74">
        <f t="shared" si="2"/>
        <v>595000</v>
      </c>
      <c r="N5637" s="74">
        <f t="shared" si="3"/>
        <v>85000</v>
      </c>
      <c r="O5637" s="65" t="str">
        <f>VLOOKUP(E5637,DATABASE!C:Q,8,false)</f>
        <v>IBU</v>
      </c>
      <c r="P5637" s="65">
        <f>VLOOKUP(E5637,DATABASE!C:Q,9,False)</f>
        <v>1</v>
      </c>
      <c r="Q5637" s="93" t="str">
        <f>VLOOKUP(E5637,DATABASE!C:Q,4,false)</f>
        <v>Dunlop</v>
      </c>
      <c r="R5637" s="93" t="str">
        <f>VLOOKUP(E5637,DATABASE!C:Q,11,false)</f>
        <v>Tire</v>
      </c>
      <c r="U5637" s="9"/>
    </row>
    <row r="5638" ht="22.5" customHeight="1">
      <c r="A5638" s="49"/>
      <c r="C5638" s="666">
        <v>45985.0</v>
      </c>
      <c r="D5638" s="682">
        <v>7949.0</v>
      </c>
      <c r="E5638" s="680" t="s">
        <v>1928</v>
      </c>
      <c r="F5638" s="670">
        <v>1.0</v>
      </c>
      <c r="G5638" s="681">
        <v>675000.0</v>
      </c>
      <c r="H5638" s="74">
        <v>0.0</v>
      </c>
      <c r="I5638" s="74">
        <f t="shared" si="1"/>
        <v>675000</v>
      </c>
      <c r="J5638" s="74">
        <f>IF(E5638="SERVICE",I5638-(I5638*50%),Vlookup(E5638,DATABASE!C:Q,10,false)*F5638)</f>
        <v>0</v>
      </c>
      <c r="K5638" s="74">
        <f>VLOOKUP(E5638,DATABASE!C:Q,7,false)</f>
        <v>589700</v>
      </c>
      <c r="L5638" s="74">
        <v>572700.0</v>
      </c>
      <c r="M5638" s="74">
        <f t="shared" si="2"/>
        <v>575000</v>
      </c>
      <c r="N5638" s="74">
        <f t="shared" si="3"/>
        <v>100000</v>
      </c>
      <c r="O5638" s="65" t="str">
        <f>VLOOKUP(E5638,DATABASE!C:Q,8,false)</f>
        <v>BIAN</v>
      </c>
      <c r="P5638" s="65">
        <f>VLOOKUP(E5638,DATABASE!C:Q,9,False)</f>
        <v>1</v>
      </c>
      <c r="Q5638" s="93" t="str">
        <f>VLOOKUP(E5638,DATABASE!C:Q,4,false)</f>
        <v>GT</v>
      </c>
      <c r="R5638" s="93" t="str">
        <f>VLOOKUP(E5638,DATABASE!C:Q,11,false)</f>
        <v>Tire</v>
      </c>
      <c r="U5638" s="9">
        <v>675000.0</v>
      </c>
    </row>
    <row r="5639" ht="22.5" customHeight="1">
      <c r="A5639" s="49"/>
      <c r="C5639" s="661">
        <v>45985.0</v>
      </c>
      <c r="D5639" s="682">
        <v>7950.0</v>
      </c>
      <c r="E5639" s="680" t="s">
        <v>250</v>
      </c>
      <c r="F5639" s="670">
        <v>1.0</v>
      </c>
      <c r="G5639" s="681">
        <v>135000.0</v>
      </c>
      <c r="H5639" s="74">
        <v>0.0</v>
      </c>
      <c r="I5639" s="74">
        <f t="shared" si="1"/>
        <v>135000</v>
      </c>
      <c r="J5639" s="74">
        <f>IF(E5639="SERVICE",I5639-(I5639*50%),Vlookup(E5639,DATABASE!C:Q,10,false)*F5639)</f>
        <v>0</v>
      </c>
      <c r="K5639" s="74">
        <f>VLOOKUP(E5639,DATABASE!C:Q,7,false)</f>
        <v>102000</v>
      </c>
      <c r="L5639" s="74">
        <v>102000.0</v>
      </c>
      <c r="M5639" s="74">
        <f t="shared" si="2"/>
        <v>105000</v>
      </c>
      <c r="N5639" s="74">
        <f t="shared" si="3"/>
        <v>30000</v>
      </c>
      <c r="O5639" s="65" t="str">
        <f>VLOOKUP(E5639,DATABASE!C:Q,8,false)</f>
        <v>BIAN</v>
      </c>
      <c r="P5639" s="65">
        <f>VLOOKUP(E5639,DATABASE!C:Q,9,False)</f>
        <v>1</v>
      </c>
      <c r="Q5639" s="93" t="str">
        <f>VLOOKUP(E5639,DATABASE!C:Q,4,false)</f>
        <v>BD</v>
      </c>
      <c r="R5639" s="93" t="str">
        <f>VLOOKUP(E5639,DATABASE!C:Q,11,false)</f>
        <v>Tire</v>
      </c>
      <c r="U5639" s="9">
        <v>135000.0</v>
      </c>
    </row>
    <row r="5640" ht="22.5" customHeight="1">
      <c r="A5640" s="49"/>
      <c r="C5640" s="666">
        <v>45985.0</v>
      </c>
      <c r="D5640" s="682">
        <v>7952.0</v>
      </c>
      <c r="E5640" s="680" t="s">
        <v>265</v>
      </c>
      <c r="F5640" s="670">
        <v>1.0</v>
      </c>
      <c r="G5640" s="681">
        <v>685000.0</v>
      </c>
      <c r="H5640" s="74">
        <v>0.0</v>
      </c>
      <c r="I5640" s="74">
        <f t="shared" si="1"/>
        <v>685000</v>
      </c>
      <c r="J5640" s="74">
        <f>IF(E5640="SERVICE",I5640-(I5640*50%),Vlookup(E5640,DATABASE!C:Q,10,false)*F5640)</f>
        <v>0</v>
      </c>
      <c r="K5640" s="74">
        <f>VLOOKUP(E5640,DATABASE!C:Q,7,false)</f>
        <v>628000</v>
      </c>
      <c r="L5640" s="74">
        <v>610000.0</v>
      </c>
      <c r="M5640" s="74">
        <f t="shared" si="2"/>
        <v>610000</v>
      </c>
      <c r="N5640" s="74">
        <f t="shared" si="3"/>
        <v>75000</v>
      </c>
      <c r="O5640" s="65" t="str">
        <f>VLOOKUP(E5640,DATABASE!C:Q,8,false)</f>
        <v>IBU</v>
      </c>
      <c r="P5640" s="65">
        <f>VLOOKUP(E5640,DATABASE!C:Q,9,False)</f>
        <v>1</v>
      </c>
      <c r="Q5640" s="93" t="str">
        <f>VLOOKUP(E5640,DATABASE!C:Q,4,false)</f>
        <v>Dunlop</v>
      </c>
      <c r="R5640" s="93" t="str">
        <f>VLOOKUP(E5640,DATABASE!C:Q,11,false)</f>
        <v>Tire</v>
      </c>
      <c r="U5640" s="9"/>
    </row>
    <row r="5641" ht="22.5" customHeight="1">
      <c r="A5641" s="49"/>
      <c r="C5641" s="661">
        <v>45985.0</v>
      </c>
      <c r="D5641" s="682">
        <v>7954.0</v>
      </c>
      <c r="E5641" s="680" t="s">
        <v>288</v>
      </c>
      <c r="F5641" s="670">
        <v>2.0</v>
      </c>
      <c r="G5641" s="681">
        <v>620000.0</v>
      </c>
      <c r="H5641" s="74">
        <v>0.0</v>
      </c>
      <c r="I5641" s="74">
        <f t="shared" si="1"/>
        <v>1240000</v>
      </c>
      <c r="J5641" s="74">
        <f>IF(E5641="SERVICE",I5641-(I5641*50%),Vlookup(E5641,DATABASE!C:Q,10,false)*F5641)</f>
        <v>0</v>
      </c>
      <c r="K5641" s="74">
        <f>VLOOKUP(E5641,DATABASE!C:Q,7,false)</f>
        <v>565760</v>
      </c>
      <c r="L5641" s="74">
        <v>524800.0</v>
      </c>
      <c r="M5641" s="74">
        <f t="shared" si="2"/>
        <v>525000</v>
      </c>
      <c r="N5641" s="74">
        <f t="shared" si="3"/>
        <v>190000</v>
      </c>
      <c r="O5641" s="65" t="str">
        <f>VLOOKUP(E5641,DATABASE!C:Q,8,false)</f>
        <v>BIAN</v>
      </c>
      <c r="P5641" s="65">
        <f>VLOOKUP(E5641,DATABASE!C:Q,9,False)</f>
        <v>1</v>
      </c>
      <c r="Q5641" s="93" t="str">
        <f>VLOOKUP(E5641,DATABASE!C:Q,4,false)</f>
        <v>GT</v>
      </c>
      <c r="R5641" s="93" t="str">
        <f>VLOOKUP(E5641,DATABASE!C:Q,11,false)</f>
        <v>Tire</v>
      </c>
      <c r="U5641" s="9">
        <v>1240000.0</v>
      </c>
    </row>
    <row r="5642" ht="22.5" customHeight="1">
      <c r="A5642" s="49"/>
      <c r="C5642" s="666">
        <v>45985.0</v>
      </c>
      <c r="D5642" s="682">
        <v>7955.0</v>
      </c>
      <c r="E5642" s="680" t="s">
        <v>777</v>
      </c>
      <c r="F5642" s="670">
        <v>1.0</v>
      </c>
      <c r="G5642" s="681">
        <v>585000.0</v>
      </c>
      <c r="H5642" s="74">
        <v>0.0</v>
      </c>
      <c r="I5642" s="74">
        <f t="shared" si="1"/>
        <v>585000</v>
      </c>
      <c r="J5642" s="74">
        <f>IF(E5642="SERVICE",I5642-(I5642*50%),Vlookup(E5642,DATABASE!C:Q,10,false)*F5642)</f>
        <v>0</v>
      </c>
      <c r="K5642" s="74">
        <f>VLOOKUP(E5642,DATABASE!C:Q,7,false)</f>
        <v>540000</v>
      </c>
      <c r="L5642" s="74">
        <v>507000.0</v>
      </c>
      <c r="M5642" s="74">
        <f t="shared" si="2"/>
        <v>510000</v>
      </c>
      <c r="N5642" s="74">
        <f t="shared" si="3"/>
        <v>75000</v>
      </c>
      <c r="O5642" s="65" t="str">
        <f>VLOOKUP(E5642,DATABASE!C:Q,8,false)</f>
        <v>BIAN</v>
      </c>
      <c r="P5642" s="65">
        <f>VLOOKUP(E5642,DATABASE!C:Q,9,False)</f>
        <v>1</v>
      </c>
      <c r="Q5642" s="93" t="str">
        <f>VLOOKUP(E5642,DATABASE!C:Q,4,false)</f>
        <v>GT</v>
      </c>
      <c r="R5642" s="93" t="str">
        <f>VLOOKUP(E5642,DATABASE!C:Q,11,false)</f>
        <v>Tire</v>
      </c>
      <c r="U5642" s="9">
        <v>585000.0</v>
      </c>
    </row>
    <row r="5643" ht="22.5" customHeight="1">
      <c r="A5643" s="49"/>
      <c r="C5643" s="661">
        <v>45985.0</v>
      </c>
      <c r="D5643" s="682">
        <v>7956.0</v>
      </c>
      <c r="E5643" s="680" t="s">
        <v>265</v>
      </c>
      <c r="F5643" s="670">
        <v>2.0</v>
      </c>
      <c r="G5643" s="681">
        <v>685000.0</v>
      </c>
      <c r="H5643" s="74">
        <v>0.0</v>
      </c>
      <c r="I5643" s="74">
        <f t="shared" si="1"/>
        <v>1370000</v>
      </c>
      <c r="J5643" s="74">
        <f>IF(E5643="SERVICE",I5643-(I5643*50%),Vlookup(E5643,DATABASE!C:Q,10,false)*F5643)</f>
        <v>0</v>
      </c>
      <c r="K5643" s="74">
        <f>VLOOKUP(E5643,DATABASE!C:Q,7,false)</f>
        <v>628000</v>
      </c>
      <c r="L5643" s="74">
        <v>610000.0</v>
      </c>
      <c r="M5643" s="74">
        <f t="shared" si="2"/>
        <v>610000</v>
      </c>
      <c r="N5643" s="74">
        <f t="shared" si="3"/>
        <v>150000</v>
      </c>
      <c r="O5643" s="65" t="str">
        <f>VLOOKUP(E5643,DATABASE!C:Q,8,false)</f>
        <v>IBU</v>
      </c>
      <c r="P5643" s="65">
        <f>VLOOKUP(E5643,DATABASE!C:Q,9,False)</f>
        <v>1</v>
      </c>
      <c r="Q5643" s="93" t="str">
        <f>VLOOKUP(E5643,DATABASE!C:Q,4,false)</f>
        <v>Dunlop</v>
      </c>
      <c r="R5643" s="93" t="str">
        <f>VLOOKUP(E5643,DATABASE!C:Q,11,false)</f>
        <v>Tire</v>
      </c>
      <c r="U5643" s="9"/>
    </row>
    <row r="5644" ht="22.5" customHeight="1">
      <c r="A5644" s="49"/>
      <c r="C5644" s="666">
        <v>45985.0</v>
      </c>
      <c r="D5644" s="682">
        <v>7956.0</v>
      </c>
      <c r="E5644" s="671" t="s">
        <v>299</v>
      </c>
      <c r="F5644" s="670">
        <v>2.0</v>
      </c>
      <c r="G5644" s="681">
        <v>30000.0</v>
      </c>
      <c r="H5644" s="74">
        <v>0.0</v>
      </c>
      <c r="I5644" s="74">
        <f t="shared" si="1"/>
        <v>60000</v>
      </c>
      <c r="J5644" s="74">
        <f>IF(E5644="SERVICE",I5644-(I5644*50%),Vlookup(E5644,DATABASE!C:Q,10,false)*F5644)</f>
        <v>0</v>
      </c>
      <c r="K5644" s="74">
        <f>VLOOKUP(E5644,DATABASE!C:Q,7,false)</f>
        <v>10000</v>
      </c>
      <c r="L5644" s="74">
        <v>5000.0</v>
      </c>
      <c r="M5644" s="74">
        <f t="shared" si="2"/>
        <v>5000</v>
      </c>
      <c r="N5644" s="74">
        <f t="shared" si="3"/>
        <v>50000</v>
      </c>
      <c r="O5644" s="65" t="str">
        <f>VLOOKUP(E5644,DATABASE!C:Q,8,false)</f>
        <v>BIAN</v>
      </c>
      <c r="P5644" s="65">
        <f>VLOOKUP(E5644,DATABASE!C:Q,9,False)</f>
        <v>0</v>
      </c>
      <c r="Q5644" s="93" t="str">
        <f>VLOOKUP(E5644,DATABASE!C:Q,4,false)</f>
        <v>Balancing</v>
      </c>
      <c r="R5644" s="93" t="str">
        <f>VLOOKUP(E5644,DATABASE!C:Q,11,false)</f>
        <v>COMPLEMENTARY</v>
      </c>
    </row>
    <row r="5645" ht="22.5" customHeight="1">
      <c r="A5645" s="49"/>
      <c r="C5645" s="661">
        <v>45985.0</v>
      </c>
      <c r="D5645" s="682">
        <v>7956.0</v>
      </c>
      <c r="E5645" s="680" t="s">
        <v>256</v>
      </c>
      <c r="F5645" s="670">
        <v>1.0</v>
      </c>
      <c r="G5645" s="681">
        <v>130000.0</v>
      </c>
      <c r="H5645" s="74">
        <v>0.0</v>
      </c>
      <c r="I5645" s="74">
        <f t="shared" si="1"/>
        <v>130000</v>
      </c>
      <c r="J5645" s="74">
        <f>IF(E5645="SERVICE",I5645-(I5645*50%),Vlookup(E5645,DATABASE!C:Q,10,false)*F5645)</f>
        <v>10000</v>
      </c>
      <c r="K5645" s="74">
        <f>VLOOKUP(E5645,DATABASE!C:Q,7,false)</f>
        <v>0</v>
      </c>
      <c r="L5645" s="74">
        <v>0.0</v>
      </c>
      <c r="M5645" s="74">
        <f t="shared" si="2"/>
        <v>0</v>
      </c>
      <c r="N5645" s="74">
        <f t="shared" si="3"/>
        <v>120000</v>
      </c>
      <c r="O5645" s="65" t="str">
        <f>VLOOKUP(E5645,DATABASE!C:Q,8,false)</f>
        <v>IBU</v>
      </c>
      <c r="P5645" s="65">
        <f>VLOOKUP(E5645,DATABASE!C:Q,9,False)</f>
        <v>0</v>
      </c>
      <c r="Q5645" s="93" t="str">
        <f>VLOOKUP(E5645,DATABASE!C:Q,4,false)</f>
        <v>SPOORING</v>
      </c>
      <c r="R5645" s="93" t="str">
        <f>VLOOKUP(E5645,DATABASE!C:Q,11,false)</f>
        <v>SERVICE</v>
      </c>
    </row>
    <row r="5646" ht="22.5" customHeight="1">
      <c r="A5646" s="49"/>
      <c r="C5646" s="666">
        <v>45985.0</v>
      </c>
      <c r="D5646" s="682">
        <v>7956.0</v>
      </c>
      <c r="E5646" s="680" t="s">
        <v>301</v>
      </c>
      <c r="F5646" s="670">
        <v>1.0</v>
      </c>
      <c r="G5646" s="681">
        <v>250000.0</v>
      </c>
      <c r="H5646" s="74">
        <v>0.0</v>
      </c>
      <c r="I5646" s="74">
        <f t="shared" si="1"/>
        <v>250000</v>
      </c>
      <c r="J5646" s="74">
        <f>IF(E5646="SERVICE",I5646-(I5646*50%),Vlookup(E5646,DATABASE!C:Q,10,false)*F5646)</f>
        <v>75000</v>
      </c>
      <c r="K5646" s="74">
        <f>VLOOKUP(E5646,DATABASE!C:Q,7,false)</f>
        <v>75000</v>
      </c>
      <c r="L5646" s="74">
        <v>75000.0</v>
      </c>
      <c r="M5646" s="74">
        <f t="shared" si="2"/>
        <v>75000</v>
      </c>
      <c r="N5646" s="74">
        <f t="shared" si="3"/>
        <v>100000</v>
      </c>
      <c r="O5646" s="65" t="str">
        <f>VLOOKUP(E5646,DATABASE!C:Q,8,false)</f>
        <v>BIAN</v>
      </c>
      <c r="P5646" s="65">
        <f>VLOOKUP(E5646,DATABASE!C:Q,9,False)</f>
        <v>0</v>
      </c>
      <c r="Q5646" s="93" t="str">
        <f>VLOOKUP(E5646,DATABASE!C:Q,4,false)</f>
        <v>Baut Camber</v>
      </c>
      <c r="R5646" s="93" t="str">
        <f>VLOOKUP(E5646,DATABASE!C:Q,11,false)</f>
        <v>COMPLEMENTARY</v>
      </c>
    </row>
    <row r="5647" ht="22.5" customHeight="1">
      <c r="A5647" s="49"/>
      <c r="C5647" s="661">
        <v>45985.0</v>
      </c>
      <c r="D5647" s="682">
        <v>7956.0</v>
      </c>
      <c r="E5647" s="680" t="s">
        <v>2209</v>
      </c>
      <c r="F5647" s="670">
        <v>1.0</v>
      </c>
      <c r="G5647" s="681">
        <v>280000.0</v>
      </c>
      <c r="H5647" s="74">
        <v>0.0</v>
      </c>
      <c r="I5647" s="74">
        <f t="shared" si="1"/>
        <v>280000</v>
      </c>
      <c r="J5647" s="74">
        <f>IF(E5647="SERVICE",I5647-(I5647*50%),Vlookup(E5647,DATABASE!C:Q,10,false)*F5647)</f>
        <v>40000</v>
      </c>
      <c r="K5647" s="74">
        <f>VLOOKUP(E5647,DATABASE!C:Q,7,false)</f>
        <v>200000</v>
      </c>
      <c r="L5647" s="74">
        <v>200000.0</v>
      </c>
      <c r="M5647" s="74">
        <f t="shared" si="2"/>
        <v>200000</v>
      </c>
      <c r="N5647" s="74">
        <f t="shared" si="3"/>
        <v>40000</v>
      </c>
      <c r="O5647" s="65" t="str">
        <f>VLOOKUP(E5647,DATABASE!C:Q,8,false)</f>
        <v>BIAN</v>
      </c>
      <c r="P5647" s="65">
        <f>VLOOKUP(E5647,DATABASE!C:Q,9,False)</f>
        <v>0</v>
      </c>
      <c r="Q5647" s="93" t="str">
        <f>VLOOKUP(E5647,DATABASE!C:Q,4,false)</f>
        <v>Tierod</v>
      </c>
      <c r="R5647" s="93" t="str">
        <f>VLOOKUP(E5647,DATABASE!C:Q,11,false)</f>
        <v>COMPLEMENTARY</v>
      </c>
    </row>
    <row r="5648" ht="22.5" customHeight="1">
      <c r="A5648" s="49"/>
      <c r="C5648" s="666">
        <v>45985.0</v>
      </c>
      <c r="D5648" s="682">
        <v>7957.0</v>
      </c>
      <c r="E5648" s="680" t="s">
        <v>265</v>
      </c>
      <c r="F5648" s="670">
        <v>2.0</v>
      </c>
      <c r="G5648" s="681">
        <v>685000.0</v>
      </c>
      <c r="H5648" s="74">
        <v>0.0</v>
      </c>
      <c r="I5648" s="74">
        <f t="shared" si="1"/>
        <v>1370000</v>
      </c>
      <c r="J5648" s="74">
        <f>IF(E5648="SERVICE",I5648-(I5648*50%),Vlookup(E5648,DATABASE!C:Q,10,false)*F5648)</f>
        <v>0</v>
      </c>
      <c r="K5648" s="74">
        <f>VLOOKUP(E5648,DATABASE!C:Q,7,false)</f>
        <v>628000</v>
      </c>
      <c r="L5648" s="74">
        <v>610000.0</v>
      </c>
      <c r="M5648" s="74">
        <f t="shared" si="2"/>
        <v>610000</v>
      </c>
      <c r="N5648" s="74">
        <f t="shared" si="3"/>
        <v>150000</v>
      </c>
      <c r="O5648" s="65" t="str">
        <f>VLOOKUP(E5648,DATABASE!C:Q,8,false)</f>
        <v>IBU</v>
      </c>
      <c r="P5648" s="65">
        <f>VLOOKUP(E5648,DATABASE!C:Q,9,False)</f>
        <v>1</v>
      </c>
      <c r="Q5648" s="93" t="str">
        <f>VLOOKUP(E5648,DATABASE!C:Q,4,false)</f>
        <v>Dunlop</v>
      </c>
      <c r="R5648" s="93" t="str">
        <f>VLOOKUP(E5648,DATABASE!C:Q,11,false)</f>
        <v>Tire</v>
      </c>
      <c r="U5648" s="9"/>
    </row>
    <row r="5649" ht="22.5" customHeight="1">
      <c r="A5649" s="49"/>
      <c r="C5649" s="661">
        <v>45985.0</v>
      </c>
      <c r="D5649" s="682">
        <v>7958.0</v>
      </c>
      <c r="E5649" s="680" t="s">
        <v>256</v>
      </c>
      <c r="F5649" s="670">
        <v>1.0</v>
      </c>
      <c r="G5649" s="681">
        <v>130000.0</v>
      </c>
      <c r="H5649" s="74">
        <v>0.0</v>
      </c>
      <c r="I5649" s="74">
        <f t="shared" si="1"/>
        <v>130000</v>
      </c>
      <c r="J5649" s="74">
        <f>IF(E5649="SERVICE",I5649-(I5649*50%),Vlookup(E5649,DATABASE!C:Q,10,false)*F5649)</f>
        <v>10000</v>
      </c>
      <c r="K5649" s="74">
        <f>VLOOKUP(E5649,DATABASE!C:Q,7,false)</f>
        <v>0</v>
      </c>
      <c r="L5649" s="74">
        <v>0.0</v>
      </c>
      <c r="M5649" s="74">
        <f t="shared" si="2"/>
        <v>0</v>
      </c>
      <c r="N5649" s="74">
        <f t="shared" si="3"/>
        <v>120000</v>
      </c>
      <c r="O5649" s="65" t="str">
        <f>VLOOKUP(E5649,DATABASE!C:Q,8,false)</f>
        <v>IBU</v>
      </c>
      <c r="P5649" s="65">
        <f>VLOOKUP(E5649,DATABASE!C:Q,9,False)</f>
        <v>0</v>
      </c>
      <c r="Q5649" s="93" t="str">
        <f>VLOOKUP(E5649,DATABASE!C:Q,4,false)</f>
        <v>SPOORING</v>
      </c>
      <c r="R5649" s="93" t="str">
        <f>VLOOKUP(E5649,DATABASE!C:Q,11,false)</f>
        <v>SERVICE</v>
      </c>
    </row>
    <row r="5650" ht="22.5" customHeight="1">
      <c r="A5650" s="49"/>
      <c r="C5650" s="666">
        <v>45985.0</v>
      </c>
      <c r="D5650" s="682">
        <v>7959.0</v>
      </c>
      <c r="E5650" s="680" t="s">
        <v>605</v>
      </c>
      <c r="F5650" s="670">
        <v>2.0</v>
      </c>
      <c r="G5650" s="681">
        <v>735000.0</v>
      </c>
      <c r="H5650" s="74">
        <v>0.0</v>
      </c>
      <c r="I5650" s="74">
        <f t="shared" si="1"/>
        <v>1470000</v>
      </c>
      <c r="J5650" s="74">
        <f>IF(E5650="SERVICE",I5650-(I5650*50%),Vlookup(E5650,DATABASE!C:Q,10,false)*F5650)</f>
        <v>0</v>
      </c>
      <c r="K5650" s="74">
        <f>VLOOKUP(E5650,DATABASE!C:Q,7,false)</f>
        <v>675000</v>
      </c>
      <c r="L5650" s="74">
        <v>650000.0</v>
      </c>
      <c r="M5650" s="74">
        <f t="shared" si="2"/>
        <v>650000</v>
      </c>
      <c r="N5650" s="74">
        <f t="shared" si="3"/>
        <v>170000</v>
      </c>
      <c r="O5650" s="65" t="str">
        <f>VLOOKUP(E5650,DATABASE!C:Q,8,false)</f>
        <v>IBU</v>
      </c>
      <c r="P5650" s="65">
        <f>VLOOKUP(E5650,DATABASE!C:Q,9,False)</f>
        <v>1</v>
      </c>
      <c r="Q5650" s="93" t="str">
        <f>VLOOKUP(E5650,DATABASE!C:Q,4,false)</f>
        <v>Bridgestone</v>
      </c>
      <c r="R5650" s="93" t="str">
        <f>VLOOKUP(E5650,DATABASE!C:Q,11,false)</f>
        <v>Tire</v>
      </c>
      <c r="U5650" s="9"/>
    </row>
    <row r="5651" ht="22.5" customHeight="1">
      <c r="A5651" s="49"/>
      <c r="C5651" s="661">
        <v>45985.0</v>
      </c>
      <c r="D5651" s="682">
        <v>7960.0</v>
      </c>
      <c r="E5651" s="680" t="s">
        <v>256</v>
      </c>
      <c r="F5651" s="670">
        <v>1.0</v>
      </c>
      <c r="G5651" s="681">
        <v>130000.0</v>
      </c>
      <c r="H5651" s="74">
        <v>0.0</v>
      </c>
      <c r="I5651" s="74">
        <f t="shared" si="1"/>
        <v>130000</v>
      </c>
      <c r="J5651" s="74">
        <f>IF(E5651="SERVICE",I5651-(I5651*50%),Vlookup(E5651,DATABASE!C:Q,10,false)*F5651)</f>
        <v>10000</v>
      </c>
      <c r="K5651" s="74">
        <f>VLOOKUP(E5651,DATABASE!C:Q,7,false)</f>
        <v>0</v>
      </c>
      <c r="L5651" s="74">
        <v>0.0</v>
      </c>
      <c r="M5651" s="74">
        <f t="shared" si="2"/>
        <v>0</v>
      </c>
      <c r="N5651" s="74">
        <f t="shared" si="3"/>
        <v>120000</v>
      </c>
      <c r="O5651" s="65" t="str">
        <f>VLOOKUP(E5651,DATABASE!C:Q,8,false)</f>
        <v>IBU</v>
      </c>
      <c r="P5651" s="65">
        <f>VLOOKUP(E5651,DATABASE!C:Q,9,False)</f>
        <v>0</v>
      </c>
      <c r="Q5651" s="93" t="str">
        <f>VLOOKUP(E5651,DATABASE!C:Q,4,false)</f>
        <v>SPOORING</v>
      </c>
      <c r="R5651" s="93" t="str">
        <f>VLOOKUP(E5651,DATABASE!C:Q,11,false)</f>
        <v>SERVICE</v>
      </c>
    </row>
    <row r="5652" ht="22.5" customHeight="1">
      <c r="A5652" s="49"/>
      <c r="C5652" s="666">
        <v>45985.0</v>
      </c>
      <c r="D5652" s="682">
        <v>7961.0</v>
      </c>
      <c r="E5652" s="680" t="s">
        <v>275</v>
      </c>
      <c r="F5652" s="670">
        <v>2.0</v>
      </c>
      <c r="G5652" s="681">
        <v>830000.0</v>
      </c>
      <c r="H5652" s="74">
        <v>0.0</v>
      </c>
      <c r="I5652" s="74">
        <f t="shared" si="1"/>
        <v>1660000</v>
      </c>
      <c r="J5652" s="74">
        <f>IF(E5652="SERVICE",I5652-(I5652*50%),Vlookup(E5652,DATABASE!C:Q,10,false)*F5652)</f>
        <v>0</v>
      </c>
      <c r="K5652" s="74">
        <f>VLOOKUP(E5652,DATABASE!C:Q,7,false)</f>
        <v>782000</v>
      </c>
      <c r="L5652" s="74">
        <v>745000.0</v>
      </c>
      <c r="M5652" s="74">
        <f t="shared" si="2"/>
        <v>745000</v>
      </c>
      <c r="N5652" s="74">
        <f t="shared" si="3"/>
        <v>170000</v>
      </c>
      <c r="O5652" s="65" t="str">
        <f>VLOOKUP(E5652,DATABASE!C:Q,8,false)</f>
        <v>IBU</v>
      </c>
      <c r="P5652" s="65">
        <f>VLOOKUP(E5652,DATABASE!C:Q,9,False)</f>
        <v>1</v>
      </c>
      <c r="Q5652" s="93" t="str">
        <f>VLOOKUP(E5652,DATABASE!C:Q,4,false)</f>
        <v>Dunlop</v>
      </c>
      <c r="R5652" s="93" t="str">
        <f>VLOOKUP(E5652,DATABASE!C:Q,11,false)</f>
        <v>Tire</v>
      </c>
      <c r="U5652" s="9"/>
    </row>
    <row r="5653" ht="22.5" customHeight="1">
      <c r="A5653" s="49"/>
      <c r="C5653" s="661">
        <v>45985.0</v>
      </c>
      <c r="D5653" s="682">
        <v>7962.0</v>
      </c>
      <c r="E5653" s="680" t="s">
        <v>856</v>
      </c>
      <c r="F5653" s="670">
        <v>2.0</v>
      </c>
      <c r="G5653" s="681">
        <v>670000.0</v>
      </c>
      <c r="H5653" s="74">
        <v>0.0</v>
      </c>
      <c r="I5653" s="74">
        <f t="shared" si="1"/>
        <v>1340000</v>
      </c>
      <c r="J5653" s="74">
        <f>IF(E5653="SERVICE",I5653-(I5653*50%),Vlookup(E5653,DATABASE!C:Q,10,false)*F5653)</f>
        <v>0</v>
      </c>
      <c r="K5653" s="74">
        <f>VLOOKUP(E5653,DATABASE!C:Q,7,false)</f>
        <v>615300</v>
      </c>
      <c r="L5653" s="74">
        <v>581120.0</v>
      </c>
      <c r="M5653" s="74">
        <f t="shared" si="2"/>
        <v>585000</v>
      </c>
      <c r="N5653" s="74">
        <f t="shared" si="3"/>
        <v>170000</v>
      </c>
      <c r="O5653" s="65" t="str">
        <f>VLOOKUP(E5653,DATABASE!C:Q,8,false)</f>
        <v>BIAN</v>
      </c>
      <c r="P5653" s="65">
        <f>VLOOKUP(E5653,DATABASE!C:Q,9,False)</f>
        <v>1</v>
      </c>
      <c r="Q5653" s="93" t="str">
        <f>VLOOKUP(E5653,DATABASE!C:Q,4,false)</f>
        <v>GT</v>
      </c>
      <c r="R5653" s="93" t="str">
        <f>VLOOKUP(E5653,DATABASE!C:Q,11,false)</f>
        <v>Tire</v>
      </c>
      <c r="U5653" s="9">
        <v>1340000.0</v>
      </c>
    </row>
    <row r="5654" ht="22.5" customHeight="1">
      <c r="A5654" s="49"/>
      <c r="C5654" s="666">
        <v>45985.0</v>
      </c>
      <c r="D5654" s="682">
        <v>7963.0</v>
      </c>
      <c r="E5654" s="671" t="s">
        <v>299</v>
      </c>
      <c r="F5654" s="670">
        <v>2.0</v>
      </c>
      <c r="G5654" s="681">
        <v>30000.0</v>
      </c>
      <c r="H5654" s="74">
        <v>0.0</v>
      </c>
      <c r="I5654" s="74">
        <f t="shared" si="1"/>
        <v>60000</v>
      </c>
      <c r="J5654" s="74">
        <f>IF(E5654="SERVICE",I5654-(I5654*50%),Vlookup(E5654,DATABASE!C:Q,10,false)*F5654)</f>
        <v>0</v>
      </c>
      <c r="K5654" s="74">
        <f>VLOOKUP(E5654,DATABASE!C:Q,7,false)</f>
        <v>10000</v>
      </c>
      <c r="L5654" s="74">
        <v>5000.0</v>
      </c>
      <c r="M5654" s="74">
        <f t="shared" si="2"/>
        <v>5000</v>
      </c>
      <c r="N5654" s="74">
        <f t="shared" si="3"/>
        <v>50000</v>
      </c>
      <c r="O5654" s="65" t="str">
        <f>VLOOKUP(E5654,DATABASE!C:Q,8,false)</f>
        <v>BIAN</v>
      </c>
      <c r="P5654" s="65">
        <f>VLOOKUP(E5654,DATABASE!C:Q,9,False)</f>
        <v>0</v>
      </c>
      <c r="Q5654" s="93" t="str">
        <f>VLOOKUP(E5654,DATABASE!C:Q,4,false)</f>
        <v>Balancing</v>
      </c>
      <c r="R5654" s="93" t="str">
        <f>VLOOKUP(E5654,DATABASE!C:Q,11,false)</f>
        <v>COMPLEMENTARY</v>
      </c>
    </row>
    <row r="5655" ht="22.5" customHeight="1">
      <c r="A5655" s="49"/>
      <c r="C5655" s="661">
        <v>45985.0</v>
      </c>
      <c r="D5655" s="682">
        <v>7964.0</v>
      </c>
      <c r="E5655" s="680" t="s">
        <v>897</v>
      </c>
      <c r="F5655" s="670">
        <v>2.0</v>
      </c>
      <c r="G5655" s="681">
        <v>1580000.0</v>
      </c>
      <c r="H5655" s="74">
        <v>0.0</v>
      </c>
      <c r="I5655" s="74">
        <f t="shared" si="1"/>
        <v>3160000</v>
      </c>
      <c r="J5655" s="74">
        <f>IF(E5655="SERVICE",I5655-(I5655*50%),Vlookup(E5655,DATABASE!C:Q,10,false)*F5655)</f>
        <v>0</v>
      </c>
      <c r="K5655" s="74">
        <f>VLOOKUP(E5655,DATABASE!C:Q,7,false)</f>
        <v>1560000</v>
      </c>
      <c r="L5655" s="74">
        <v>1500000.0</v>
      </c>
      <c r="M5655" s="74">
        <f t="shared" si="2"/>
        <v>1500000</v>
      </c>
      <c r="N5655" s="74">
        <f t="shared" si="3"/>
        <v>160000</v>
      </c>
      <c r="O5655" s="65" t="str">
        <f>VLOOKUP(E5655,DATABASE!C:Q,8,false)</f>
        <v>BIAN</v>
      </c>
      <c r="P5655" s="65">
        <f>VLOOKUP(E5655,DATABASE!C:Q,9,False)</f>
        <v>1</v>
      </c>
      <c r="Q5655" s="93" t="str">
        <f>VLOOKUP(E5655,DATABASE!C:Q,4,false)</f>
        <v>GT</v>
      </c>
      <c r="R5655" s="93" t="str">
        <f>VLOOKUP(E5655,DATABASE!C:Q,11,false)</f>
        <v>Tire</v>
      </c>
      <c r="U5655" s="9">
        <v>3160000.0</v>
      </c>
    </row>
    <row r="5656" ht="22.5" customHeight="1">
      <c r="A5656" s="49"/>
      <c r="C5656" s="666">
        <v>45985.0</v>
      </c>
      <c r="D5656" s="682">
        <v>7964.0</v>
      </c>
      <c r="E5656" s="680" t="s">
        <v>744</v>
      </c>
      <c r="F5656" s="670">
        <v>1.0</v>
      </c>
      <c r="G5656" s="681">
        <v>230000.0</v>
      </c>
      <c r="H5656" s="74">
        <v>0.0</v>
      </c>
      <c r="I5656" s="74">
        <f t="shared" si="1"/>
        <v>230000</v>
      </c>
      <c r="J5656" s="74">
        <f>IF(E5656="SERVICE",I5656-(I5656*50%),Vlookup(E5656,DATABASE!C:Q,10,false)*F5656)</f>
        <v>0</v>
      </c>
      <c r="K5656" s="74">
        <f>VLOOKUP(E5656,DATABASE!C:Q,7,false)</f>
        <v>182200</v>
      </c>
      <c r="L5656" s="74">
        <v>199920.0</v>
      </c>
      <c r="M5656" s="74">
        <f t="shared" si="2"/>
        <v>200000</v>
      </c>
      <c r="N5656" s="74">
        <f t="shared" si="3"/>
        <v>30000</v>
      </c>
      <c r="O5656" s="65" t="str">
        <f>VLOOKUP(E5656,DATABASE!C:Q,8,false)</f>
        <v>BIAN</v>
      </c>
      <c r="P5656" s="65">
        <f>VLOOKUP(E5656,DATABASE!C:Q,9,False)</f>
        <v>1</v>
      </c>
      <c r="Q5656" s="93" t="str">
        <f>VLOOKUP(E5656,DATABASE!C:Q,4,false)</f>
        <v>BD</v>
      </c>
      <c r="R5656" s="93" t="str">
        <f>VLOOKUP(E5656,DATABASE!C:Q,11,false)</f>
        <v>Tire</v>
      </c>
      <c r="U5656" s="9">
        <v>230000.0</v>
      </c>
    </row>
    <row r="5657" ht="22.5" customHeight="1">
      <c r="A5657" s="49"/>
      <c r="C5657" s="661">
        <v>45985.0</v>
      </c>
      <c r="D5657" s="682">
        <v>7964.0</v>
      </c>
      <c r="E5657" s="680" t="s">
        <v>821</v>
      </c>
      <c r="F5657" s="670">
        <v>2.0</v>
      </c>
      <c r="G5657" s="681">
        <v>85000.0</v>
      </c>
      <c r="H5657" s="74">
        <v>0.0</v>
      </c>
      <c r="I5657" s="74">
        <f t="shared" si="1"/>
        <v>170000</v>
      </c>
      <c r="J5657" s="74">
        <f>IF(E5657="SERVICE",I5657-(I5657*50%),Vlookup(E5657,DATABASE!C:Q,10,false)*F5657)</f>
        <v>0</v>
      </c>
      <c r="K5657" s="74">
        <f>VLOOKUP(E5657,DATABASE!C:Q,7,false)</f>
        <v>43500</v>
      </c>
      <c r="L5657" s="74">
        <v>43520.0</v>
      </c>
      <c r="M5657" s="74">
        <f t="shared" si="2"/>
        <v>45000</v>
      </c>
      <c r="N5657" s="74">
        <f t="shared" si="3"/>
        <v>80000</v>
      </c>
      <c r="O5657" s="65" t="str">
        <f>VLOOKUP(E5657,DATABASE!C:Q,8,false)</f>
        <v>BIAN</v>
      </c>
      <c r="P5657" s="65">
        <f>VLOOKUP(E5657,DATABASE!C:Q,9,False)</f>
        <v>1</v>
      </c>
      <c r="Q5657" s="93" t="str">
        <f>VLOOKUP(E5657,DATABASE!C:Q,4,false)</f>
        <v>Flap</v>
      </c>
      <c r="R5657" s="93" t="str">
        <f>VLOOKUP(E5657,DATABASE!C:Q,11,false)</f>
        <v>Tire</v>
      </c>
      <c r="U5657" s="9">
        <v>170000.0</v>
      </c>
    </row>
    <row r="5658" ht="22.5" customHeight="1">
      <c r="A5658" s="49"/>
      <c r="C5658" s="666">
        <v>45985.0</v>
      </c>
      <c r="D5658" s="682">
        <v>7965.0</v>
      </c>
      <c r="E5658" s="680" t="s">
        <v>275</v>
      </c>
      <c r="F5658" s="670">
        <v>1.0</v>
      </c>
      <c r="G5658" s="681">
        <v>830000.0</v>
      </c>
      <c r="H5658" s="74">
        <v>0.0</v>
      </c>
      <c r="I5658" s="74">
        <f t="shared" si="1"/>
        <v>830000</v>
      </c>
      <c r="J5658" s="74">
        <f>IF(E5658="SERVICE",I5658-(I5658*50%),Vlookup(E5658,DATABASE!C:Q,10,false)*F5658)</f>
        <v>0</v>
      </c>
      <c r="K5658" s="74">
        <f>VLOOKUP(E5658,DATABASE!C:Q,7,false)</f>
        <v>782000</v>
      </c>
      <c r="L5658" s="74">
        <v>745000.0</v>
      </c>
      <c r="M5658" s="74">
        <f t="shared" si="2"/>
        <v>745000</v>
      </c>
      <c r="N5658" s="74">
        <f t="shared" si="3"/>
        <v>85000</v>
      </c>
      <c r="O5658" s="65" t="str">
        <f>VLOOKUP(E5658,DATABASE!C:Q,8,false)</f>
        <v>IBU</v>
      </c>
      <c r="P5658" s="65">
        <f>VLOOKUP(E5658,DATABASE!C:Q,9,False)</f>
        <v>1</v>
      </c>
      <c r="Q5658" s="93" t="str">
        <f>VLOOKUP(E5658,DATABASE!C:Q,4,false)</f>
        <v>Dunlop</v>
      </c>
      <c r="R5658" s="93" t="str">
        <f>VLOOKUP(E5658,DATABASE!C:Q,11,false)</f>
        <v>Tire</v>
      </c>
      <c r="U5658" s="9"/>
    </row>
    <row r="5659" ht="22.5" customHeight="1">
      <c r="A5659" s="49"/>
      <c r="C5659" s="661">
        <v>45985.0</v>
      </c>
      <c r="D5659" s="682">
        <v>7966.0</v>
      </c>
      <c r="E5659" s="680" t="s">
        <v>265</v>
      </c>
      <c r="F5659" s="670">
        <v>1.0</v>
      </c>
      <c r="G5659" s="681">
        <v>685000.0</v>
      </c>
      <c r="H5659" s="74">
        <v>0.0</v>
      </c>
      <c r="I5659" s="74">
        <f t="shared" si="1"/>
        <v>685000</v>
      </c>
      <c r="J5659" s="74">
        <f>IF(E5659="SERVICE",I5659-(I5659*50%),Vlookup(E5659,DATABASE!C:Q,10,false)*F5659)</f>
        <v>0</v>
      </c>
      <c r="K5659" s="74">
        <f>VLOOKUP(E5659,DATABASE!C:Q,7,false)</f>
        <v>628000</v>
      </c>
      <c r="L5659" s="74">
        <v>610000.0</v>
      </c>
      <c r="M5659" s="74">
        <f t="shared" si="2"/>
        <v>610000</v>
      </c>
      <c r="N5659" s="74">
        <f t="shared" si="3"/>
        <v>75000</v>
      </c>
      <c r="O5659" s="65" t="str">
        <f>VLOOKUP(E5659,DATABASE!C:Q,8,false)</f>
        <v>IBU</v>
      </c>
      <c r="P5659" s="65">
        <f>VLOOKUP(E5659,DATABASE!C:Q,9,False)</f>
        <v>1</v>
      </c>
      <c r="Q5659" s="93" t="str">
        <f>VLOOKUP(E5659,DATABASE!C:Q,4,false)</f>
        <v>Dunlop</v>
      </c>
      <c r="R5659" s="93" t="str">
        <f>VLOOKUP(E5659,DATABASE!C:Q,11,false)</f>
        <v>Tire</v>
      </c>
      <c r="U5659" s="9"/>
    </row>
    <row r="5660" ht="22.5" customHeight="1">
      <c r="A5660" s="49"/>
      <c r="C5660" s="666">
        <v>45986.0</v>
      </c>
      <c r="D5660" s="682">
        <v>7967.0</v>
      </c>
      <c r="E5660" s="680" t="s">
        <v>265</v>
      </c>
      <c r="F5660" s="670">
        <v>4.0</v>
      </c>
      <c r="G5660" s="681">
        <v>685000.0</v>
      </c>
      <c r="H5660" s="74">
        <v>0.0</v>
      </c>
      <c r="I5660" s="74">
        <f t="shared" si="1"/>
        <v>2740000</v>
      </c>
      <c r="J5660" s="74">
        <f>IF(E5660="SERVICE",I5660-(I5660*50%),Vlookup(E5660,DATABASE!C:Q,10,false)*F5660)</f>
        <v>0</v>
      </c>
      <c r="K5660" s="74">
        <f>VLOOKUP(E5660,DATABASE!C:Q,7,false)</f>
        <v>628000</v>
      </c>
      <c r="L5660" s="74">
        <v>610000.0</v>
      </c>
      <c r="M5660" s="74">
        <f t="shared" si="2"/>
        <v>610000</v>
      </c>
      <c r="N5660" s="74">
        <f t="shared" si="3"/>
        <v>300000</v>
      </c>
      <c r="O5660" s="65" t="str">
        <f>VLOOKUP(E5660,DATABASE!C:Q,8,false)</f>
        <v>IBU</v>
      </c>
      <c r="P5660" s="65">
        <f>VLOOKUP(E5660,DATABASE!C:Q,9,False)</f>
        <v>1</v>
      </c>
      <c r="Q5660" s="93" t="str">
        <f>VLOOKUP(E5660,DATABASE!C:Q,4,false)</f>
        <v>Dunlop</v>
      </c>
      <c r="R5660" s="93" t="str">
        <f>VLOOKUP(E5660,DATABASE!C:Q,11,false)</f>
        <v>Tire</v>
      </c>
      <c r="U5660" s="9"/>
    </row>
    <row r="5661" ht="22.5" customHeight="1">
      <c r="A5661" s="49"/>
      <c r="C5661" s="661">
        <v>45986.0</v>
      </c>
      <c r="D5661" s="682">
        <v>7968.0</v>
      </c>
      <c r="E5661" s="680" t="s">
        <v>600</v>
      </c>
      <c r="F5661" s="670">
        <v>4.0</v>
      </c>
      <c r="G5661" s="681">
        <v>675000.0</v>
      </c>
      <c r="H5661" s="74">
        <v>0.0</v>
      </c>
      <c r="I5661" s="74">
        <f t="shared" si="1"/>
        <v>2700000</v>
      </c>
      <c r="J5661" s="74">
        <f>IF(E5661="SERVICE",I5661-(I5661*50%),Vlookup(E5661,DATABASE!C:Q,10,false)*F5661)</f>
        <v>0</v>
      </c>
      <c r="K5661" s="74">
        <f>VLOOKUP(E5661,DATABASE!C:Q,7,false)</f>
        <v>611109.16</v>
      </c>
      <c r="L5661" s="74">
        <v>572762.4</v>
      </c>
      <c r="M5661" s="74">
        <f t="shared" si="2"/>
        <v>575000</v>
      </c>
      <c r="N5661" s="74">
        <f t="shared" si="3"/>
        <v>400000</v>
      </c>
      <c r="O5661" s="65" t="str">
        <f>VLOOKUP(E5661,DATABASE!C:Q,8,false)</f>
        <v>IBU</v>
      </c>
      <c r="P5661" s="65">
        <f>VLOOKUP(E5661,DATABASE!C:Q,9,False)</f>
        <v>1</v>
      </c>
      <c r="Q5661" s="93" t="str">
        <f>VLOOKUP(E5661,DATABASE!C:Q,4,false)</f>
        <v>Bridgestone</v>
      </c>
      <c r="R5661" s="93" t="str">
        <f>VLOOKUP(E5661,DATABASE!C:Q,11,false)</f>
        <v>Tire</v>
      </c>
      <c r="U5661" s="9"/>
    </row>
    <row r="5662" ht="22.5" customHeight="1">
      <c r="A5662" s="49"/>
      <c r="C5662" s="666">
        <v>45986.0</v>
      </c>
      <c r="D5662" s="682">
        <v>7968.0</v>
      </c>
      <c r="E5662" s="671" t="s">
        <v>299</v>
      </c>
      <c r="F5662" s="670">
        <v>2.0</v>
      </c>
      <c r="G5662" s="681">
        <v>30000.0</v>
      </c>
      <c r="H5662" s="74">
        <v>0.0</v>
      </c>
      <c r="I5662" s="74">
        <f t="shared" si="1"/>
        <v>60000</v>
      </c>
      <c r="J5662" s="74">
        <f>IF(E5662="SERVICE",I5662-(I5662*50%),Vlookup(E5662,DATABASE!C:Q,10,false)*F5662)</f>
        <v>0</v>
      </c>
      <c r="K5662" s="74">
        <f>VLOOKUP(E5662,DATABASE!C:Q,7,false)</f>
        <v>10000</v>
      </c>
      <c r="L5662" s="74">
        <v>5000.0</v>
      </c>
      <c r="M5662" s="74">
        <f t="shared" si="2"/>
        <v>5000</v>
      </c>
      <c r="N5662" s="74">
        <f t="shared" si="3"/>
        <v>50000</v>
      </c>
      <c r="O5662" s="65" t="str">
        <f>VLOOKUP(E5662,DATABASE!C:Q,8,false)</f>
        <v>BIAN</v>
      </c>
      <c r="P5662" s="65">
        <f>VLOOKUP(E5662,DATABASE!C:Q,9,False)</f>
        <v>0</v>
      </c>
      <c r="Q5662" s="93" t="str">
        <f>VLOOKUP(E5662,DATABASE!C:Q,4,false)</f>
        <v>Balancing</v>
      </c>
      <c r="R5662" s="93" t="str">
        <f>VLOOKUP(E5662,DATABASE!C:Q,11,false)</f>
        <v>COMPLEMENTARY</v>
      </c>
    </row>
    <row r="5663" ht="22.5" customHeight="1">
      <c r="A5663" s="49"/>
      <c r="C5663" s="661">
        <v>45986.0</v>
      </c>
      <c r="D5663" s="682">
        <v>7969.0</v>
      </c>
      <c r="E5663" s="680" t="s">
        <v>256</v>
      </c>
      <c r="F5663" s="670">
        <v>1.0</v>
      </c>
      <c r="G5663" s="681">
        <v>130000.0</v>
      </c>
      <c r="H5663" s="74">
        <v>0.0</v>
      </c>
      <c r="I5663" s="74">
        <f t="shared" si="1"/>
        <v>130000</v>
      </c>
      <c r="J5663" s="74">
        <f>IF(E5663="SERVICE",I5663-(I5663*50%),Vlookup(E5663,DATABASE!C:Q,10,false)*F5663)</f>
        <v>10000</v>
      </c>
      <c r="K5663" s="74">
        <f>VLOOKUP(E5663,DATABASE!C:Q,7,false)</f>
        <v>0</v>
      </c>
      <c r="L5663" s="74">
        <v>0.0</v>
      </c>
      <c r="M5663" s="74">
        <f t="shared" si="2"/>
        <v>0</v>
      </c>
      <c r="N5663" s="74">
        <f t="shared" si="3"/>
        <v>120000</v>
      </c>
      <c r="O5663" s="65" t="str">
        <f>VLOOKUP(E5663,DATABASE!C:Q,8,false)</f>
        <v>IBU</v>
      </c>
      <c r="P5663" s="65">
        <f>VLOOKUP(E5663,DATABASE!C:Q,9,False)</f>
        <v>0</v>
      </c>
      <c r="Q5663" s="93" t="str">
        <f>VLOOKUP(E5663,DATABASE!C:Q,4,false)</f>
        <v>SPOORING</v>
      </c>
      <c r="R5663" s="93" t="str">
        <f>VLOOKUP(E5663,DATABASE!C:Q,11,false)</f>
        <v>SERVICE</v>
      </c>
    </row>
    <row r="5664" ht="22.5" customHeight="1">
      <c r="A5664" s="49"/>
      <c r="C5664" s="666">
        <v>45986.0</v>
      </c>
      <c r="D5664" s="682">
        <v>7969.0</v>
      </c>
      <c r="E5664" s="671" t="s">
        <v>299</v>
      </c>
      <c r="F5664" s="670">
        <v>2.0</v>
      </c>
      <c r="G5664" s="681">
        <v>30000.0</v>
      </c>
      <c r="H5664" s="74">
        <v>0.0</v>
      </c>
      <c r="I5664" s="74">
        <f t="shared" si="1"/>
        <v>60000</v>
      </c>
      <c r="J5664" s="74">
        <f>IF(E5664="SERVICE",I5664-(I5664*50%),Vlookup(E5664,DATABASE!C:Q,10,false)*F5664)</f>
        <v>0</v>
      </c>
      <c r="K5664" s="74">
        <f>VLOOKUP(E5664,DATABASE!C:Q,7,false)</f>
        <v>10000</v>
      </c>
      <c r="L5664" s="74">
        <v>5000.0</v>
      </c>
      <c r="M5664" s="74">
        <f t="shared" si="2"/>
        <v>5000</v>
      </c>
      <c r="N5664" s="74">
        <f t="shared" si="3"/>
        <v>50000</v>
      </c>
      <c r="O5664" s="65" t="str">
        <f>VLOOKUP(E5664,DATABASE!C:Q,8,false)</f>
        <v>BIAN</v>
      </c>
      <c r="P5664" s="65">
        <f>VLOOKUP(E5664,DATABASE!C:Q,9,False)</f>
        <v>0</v>
      </c>
      <c r="Q5664" s="93" t="str">
        <f>VLOOKUP(E5664,DATABASE!C:Q,4,false)</f>
        <v>Balancing</v>
      </c>
      <c r="R5664" s="93" t="str">
        <f>VLOOKUP(E5664,DATABASE!C:Q,11,false)</f>
        <v>COMPLEMENTARY</v>
      </c>
    </row>
    <row r="5665" ht="22.5" customHeight="1">
      <c r="A5665" s="49"/>
      <c r="C5665" s="661">
        <v>45986.0</v>
      </c>
      <c r="D5665" s="682">
        <v>7970.0</v>
      </c>
      <c r="E5665" s="680" t="s">
        <v>897</v>
      </c>
      <c r="F5665" s="670">
        <v>2.0</v>
      </c>
      <c r="G5665" s="681">
        <v>1580000.0</v>
      </c>
      <c r="H5665" s="74">
        <v>0.0</v>
      </c>
      <c r="I5665" s="74">
        <f t="shared" si="1"/>
        <v>3160000</v>
      </c>
      <c r="J5665" s="74">
        <f>IF(E5665="SERVICE",I5665-(I5665*50%),Vlookup(E5665,DATABASE!C:Q,10,false)*F5665)</f>
        <v>0</v>
      </c>
      <c r="K5665" s="74">
        <f>VLOOKUP(E5665,DATABASE!C:Q,7,false)</f>
        <v>1560000</v>
      </c>
      <c r="L5665" s="74">
        <v>1500000.0</v>
      </c>
      <c r="M5665" s="74">
        <f t="shared" si="2"/>
        <v>1500000</v>
      </c>
      <c r="N5665" s="74">
        <f t="shared" si="3"/>
        <v>160000</v>
      </c>
      <c r="O5665" s="65" t="str">
        <f>VLOOKUP(E5665,DATABASE!C:Q,8,false)</f>
        <v>BIAN</v>
      </c>
      <c r="P5665" s="65">
        <f>VLOOKUP(E5665,DATABASE!C:Q,9,False)</f>
        <v>1</v>
      </c>
      <c r="Q5665" s="93" t="str">
        <f>VLOOKUP(E5665,DATABASE!C:Q,4,false)</f>
        <v>GT</v>
      </c>
      <c r="R5665" s="93" t="str">
        <f>VLOOKUP(E5665,DATABASE!C:Q,11,false)</f>
        <v>Tire</v>
      </c>
      <c r="U5665" s="9">
        <v>3160000.0</v>
      </c>
    </row>
    <row r="5666" ht="22.5" customHeight="1">
      <c r="A5666" s="49"/>
      <c r="C5666" s="666">
        <v>45986.0</v>
      </c>
      <c r="D5666" s="682">
        <v>7970.0</v>
      </c>
      <c r="E5666" s="680" t="s">
        <v>744</v>
      </c>
      <c r="F5666" s="670">
        <v>2.0</v>
      </c>
      <c r="G5666" s="681">
        <v>230000.0</v>
      </c>
      <c r="H5666" s="74">
        <v>0.0</v>
      </c>
      <c r="I5666" s="74">
        <f t="shared" si="1"/>
        <v>460000</v>
      </c>
      <c r="J5666" s="74">
        <f>IF(E5666="SERVICE",I5666-(I5666*50%),Vlookup(E5666,DATABASE!C:Q,10,false)*F5666)</f>
        <v>0</v>
      </c>
      <c r="K5666" s="74">
        <f>VLOOKUP(E5666,DATABASE!C:Q,7,false)</f>
        <v>182200</v>
      </c>
      <c r="L5666" s="74">
        <v>199920.0</v>
      </c>
      <c r="M5666" s="74">
        <f t="shared" si="2"/>
        <v>200000</v>
      </c>
      <c r="N5666" s="74">
        <f t="shared" si="3"/>
        <v>60000</v>
      </c>
      <c r="O5666" s="65" t="str">
        <f>VLOOKUP(E5666,DATABASE!C:Q,8,false)</f>
        <v>BIAN</v>
      </c>
      <c r="P5666" s="65">
        <f>VLOOKUP(E5666,DATABASE!C:Q,9,False)</f>
        <v>1</v>
      </c>
      <c r="Q5666" s="93" t="str">
        <f>VLOOKUP(E5666,DATABASE!C:Q,4,false)</f>
        <v>BD</v>
      </c>
      <c r="R5666" s="93" t="str">
        <f>VLOOKUP(E5666,DATABASE!C:Q,11,false)</f>
        <v>Tire</v>
      </c>
      <c r="U5666" s="9">
        <v>460000.0</v>
      </c>
    </row>
    <row r="5667" ht="22.5" customHeight="1">
      <c r="A5667" s="49"/>
      <c r="C5667" s="661">
        <v>45986.0</v>
      </c>
      <c r="D5667" s="682">
        <v>7970.0</v>
      </c>
      <c r="E5667" s="680" t="s">
        <v>821</v>
      </c>
      <c r="F5667" s="670">
        <v>2.0</v>
      </c>
      <c r="G5667" s="681">
        <v>85000.0</v>
      </c>
      <c r="H5667" s="74">
        <v>0.0</v>
      </c>
      <c r="I5667" s="74">
        <f t="shared" si="1"/>
        <v>170000</v>
      </c>
      <c r="J5667" s="74">
        <f>IF(E5667="SERVICE",I5667-(I5667*50%),Vlookup(E5667,DATABASE!C:Q,10,false)*F5667)</f>
        <v>0</v>
      </c>
      <c r="K5667" s="74">
        <f>VLOOKUP(E5667,DATABASE!C:Q,7,false)</f>
        <v>43500</v>
      </c>
      <c r="L5667" s="74">
        <v>43520.0</v>
      </c>
      <c r="M5667" s="74">
        <f t="shared" si="2"/>
        <v>45000</v>
      </c>
      <c r="N5667" s="74">
        <f t="shared" si="3"/>
        <v>80000</v>
      </c>
      <c r="O5667" s="65" t="str">
        <f>VLOOKUP(E5667,DATABASE!C:Q,8,false)</f>
        <v>BIAN</v>
      </c>
      <c r="P5667" s="65">
        <f>VLOOKUP(E5667,DATABASE!C:Q,9,False)</f>
        <v>1</v>
      </c>
      <c r="Q5667" s="93" t="str">
        <f>VLOOKUP(E5667,DATABASE!C:Q,4,false)</f>
        <v>Flap</v>
      </c>
      <c r="R5667" s="93" t="str">
        <f>VLOOKUP(E5667,DATABASE!C:Q,11,false)</f>
        <v>Tire</v>
      </c>
      <c r="U5667" s="9">
        <v>170000.0</v>
      </c>
    </row>
    <row r="5668" ht="22.5" customHeight="1">
      <c r="A5668" s="49"/>
      <c r="C5668" s="666">
        <v>45986.0</v>
      </c>
      <c r="D5668" s="682">
        <v>7971.0</v>
      </c>
      <c r="E5668" s="680" t="s">
        <v>937</v>
      </c>
      <c r="F5668" s="670">
        <v>2.0</v>
      </c>
      <c r="G5668" s="681">
        <v>880000.0</v>
      </c>
      <c r="H5668" s="74">
        <v>0.0</v>
      </c>
      <c r="I5668" s="74">
        <f t="shared" si="1"/>
        <v>1760000</v>
      </c>
      <c r="J5668" s="74">
        <f>IF(E5668="SERVICE",I5668-(I5668*50%),Vlookup(E5668,DATABASE!C:Q,10,false)*F5668)</f>
        <v>0</v>
      </c>
      <c r="K5668" s="74">
        <f>VLOOKUP(E5668,DATABASE!C:Q,7,false)</f>
        <v>825000</v>
      </c>
      <c r="L5668" s="74">
        <v>790000.0</v>
      </c>
      <c r="M5668" s="74">
        <f t="shared" si="2"/>
        <v>790000</v>
      </c>
      <c r="N5668" s="74">
        <f t="shared" si="3"/>
        <v>180000</v>
      </c>
      <c r="O5668" s="65" t="str">
        <f>VLOOKUP(E5668,DATABASE!C:Q,8,false)</f>
        <v>IBU</v>
      </c>
      <c r="P5668" s="65">
        <f>VLOOKUP(E5668,DATABASE!C:Q,9,False)</f>
        <v>1</v>
      </c>
      <c r="Q5668" s="93" t="str">
        <f>VLOOKUP(E5668,DATABASE!C:Q,4,false)</f>
        <v>Bridgestone</v>
      </c>
      <c r="R5668" s="93" t="str">
        <f>VLOOKUP(E5668,DATABASE!C:Q,11,false)</f>
        <v>Tire</v>
      </c>
      <c r="U5668" s="9"/>
    </row>
    <row r="5669" ht="22.5" customHeight="1">
      <c r="A5669" s="49"/>
      <c r="C5669" s="661">
        <v>45986.0</v>
      </c>
      <c r="D5669" s="682">
        <v>7972.0</v>
      </c>
      <c r="E5669" s="680" t="s">
        <v>614</v>
      </c>
      <c r="F5669" s="670">
        <v>2.0</v>
      </c>
      <c r="G5669" s="681">
        <v>815000.0</v>
      </c>
      <c r="H5669" s="74">
        <v>0.0</v>
      </c>
      <c r="I5669" s="74">
        <f t="shared" si="1"/>
        <v>1630000</v>
      </c>
      <c r="J5669" s="74">
        <f>IF(E5669="SERVICE",I5669-(I5669*50%),Vlookup(E5669,DATABASE!C:Q,10,false)*F5669)</f>
        <v>0</v>
      </c>
      <c r="K5669" s="74">
        <f>VLOOKUP(E5669,DATABASE!C:Q,7,false)</f>
        <v>754660.6</v>
      </c>
      <c r="L5669" s="74">
        <v>766438.4</v>
      </c>
      <c r="M5669" s="74">
        <f t="shared" si="2"/>
        <v>770000</v>
      </c>
      <c r="N5669" s="74">
        <f t="shared" si="3"/>
        <v>90000</v>
      </c>
      <c r="O5669" s="65" t="str">
        <f>VLOOKUP(E5669,DATABASE!C:Q,8,false)</f>
        <v>IBU</v>
      </c>
      <c r="P5669" s="65">
        <f>VLOOKUP(E5669,DATABASE!C:Q,9,False)</f>
        <v>1</v>
      </c>
      <c r="Q5669" s="93" t="str">
        <f>VLOOKUP(E5669,DATABASE!C:Q,4,false)</f>
        <v>Bridgestone</v>
      </c>
      <c r="R5669" s="93" t="str">
        <f>VLOOKUP(E5669,DATABASE!C:Q,11,false)</f>
        <v>Tire</v>
      </c>
      <c r="U5669" s="9"/>
    </row>
    <row r="5670" ht="22.5" customHeight="1">
      <c r="A5670" s="49"/>
      <c r="C5670" s="666">
        <v>45986.0</v>
      </c>
      <c r="D5670" s="682">
        <v>7973.0</v>
      </c>
      <c r="E5670" s="680" t="s">
        <v>572</v>
      </c>
      <c r="F5670" s="670">
        <v>4.0</v>
      </c>
      <c r="G5670" s="681">
        <v>1350000.0</v>
      </c>
      <c r="H5670" s="74">
        <v>0.0</v>
      </c>
      <c r="I5670" s="74">
        <f t="shared" si="1"/>
        <v>5400000</v>
      </c>
      <c r="J5670" s="74">
        <f>IF(E5670="SERVICE",I5670-(I5670*50%),Vlookup(E5670,DATABASE!C:Q,10,false)*F5670)</f>
        <v>0</v>
      </c>
      <c r="K5670" s="74">
        <f>VLOOKUP(E5670,DATABASE!C:Q,7,false)</f>
        <v>1265000</v>
      </c>
      <c r="L5670" s="74">
        <v>1245000.0</v>
      </c>
      <c r="M5670" s="74">
        <f t="shared" si="2"/>
        <v>1245000</v>
      </c>
      <c r="N5670" s="74">
        <f t="shared" si="3"/>
        <v>420000</v>
      </c>
      <c r="O5670" s="65" t="str">
        <f>VLOOKUP(E5670,DATABASE!C:Q,8,false)</f>
        <v>IBU</v>
      </c>
      <c r="P5670" s="65">
        <f>VLOOKUP(E5670,DATABASE!C:Q,9,False)</f>
        <v>1</v>
      </c>
      <c r="Q5670" s="93" t="str">
        <f>VLOOKUP(E5670,DATABASE!C:Q,4,false)</f>
        <v>Bridgestone</v>
      </c>
      <c r="R5670" s="93" t="str">
        <f>VLOOKUP(E5670,DATABASE!C:Q,11,false)</f>
        <v>Tire</v>
      </c>
      <c r="U5670" s="9"/>
    </row>
    <row r="5671" ht="22.5" customHeight="1">
      <c r="A5671" s="49"/>
      <c r="C5671" s="661">
        <v>45986.0</v>
      </c>
      <c r="D5671" s="682">
        <v>7973.0</v>
      </c>
      <c r="E5671" s="680" t="s">
        <v>255</v>
      </c>
      <c r="F5671" s="670">
        <v>1.0</v>
      </c>
      <c r="G5671" s="681">
        <v>200000.0</v>
      </c>
      <c r="H5671" s="74">
        <v>0.0</v>
      </c>
      <c r="I5671" s="74">
        <f t="shared" si="1"/>
        <v>200000</v>
      </c>
      <c r="J5671" s="74">
        <f>IF(E5671="SERVICE",I5671-(I5671*50%),Vlookup(E5671,DATABASE!C:Q,10,false)*F5671)</f>
        <v>0</v>
      </c>
      <c r="K5671" s="74">
        <f>VLOOKUP(E5671,DATABASE!C:Q,7,false)</f>
        <v>161840</v>
      </c>
      <c r="L5671" s="74">
        <v>161840.0</v>
      </c>
      <c r="M5671" s="74">
        <f t="shared" si="2"/>
        <v>165000</v>
      </c>
      <c r="N5671" s="74">
        <f t="shared" si="3"/>
        <v>35000</v>
      </c>
      <c r="O5671" s="65" t="str">
        <f>VLOOKUP(E5671,DATABASE!C:Q,8,false)</f>
        <v>BIAN</v>
      </c>
      <c r="P5671" s="65">
        <f>VLOOKUP(E5671,DATABASE!C:Q,9,False)</f>
        <v>1</v>
      </c>
      <c r="Q5671" s="93" t="str">
        <f>VLOOKUP(E5671,DATABASE!C:Q,4,false)</f>
        <v>BD</v>
      </c>
      <c r="R5671" s="93" t="str">
        <f>VLOOKUP(E5671,DATABASE!C:Q,11,false)</f>
        <v>Tire</v>
      </c>
      <c r="U5671" s="9">
        <v>200000.0</v>
      </c>
    </row>
    <row r="5672" ht="22.5" customHeight="1">
      <c r="A5672" s="49"/>
      <c r="C5672" s="666">
        <v>45986.0</v>
      </c>
      <c r="D5672" s="682">
        <v>7974.0</v>
      </c>
      <c r="E5672" s="680" t="s">
        <v>256</v>
      </c>
      <c r="F5672" s="670">
        <v>1.0</v>
      </c>
      <c r="G5672" s="681">
        <v>130000.0</v>
      </c>
      <c r="H5672" s="74">
        <v>0.0</v>
      </c>
      <c r="I5672" s="74">
        <f t="shared" si="1"/>
        <v>130000</v>
      </c>
      <c r="J5672" s="74">
        <f>IF(E5672="SERVICE",I5672-(I5672*50%),Vlookup(E5672,DATABASE!C:Q,10,false)*F5672)</f>
        <v>10000</v>
      </c>
      <c r="K5672" s="74">
        <f>VLOOKUP(E5672,DATABASE!C:Q,7,false)</f>
        <v>0</v>
      </c>
      <c r="L5672" s="74">
        <v>0.0</v>
      </c>
      <c r="M5672" s="74">
        <f t="shared" si="2"/>
        <v>0</v>
      </c>
      <c r="N5672" s="74">
        <f t="shared" si="3"/>
        <v>120000</v>
      </c>
      <c r="O5672" s="65" t="str">
        <f>VLOOKUP(E5672,DATABASE!C:Q,8,false)</f>
        <v>IBU</v>
      </c>
      <c r="P5672" s="65">
        <f>VLOOKUP(E5672,DATABASE!C:Q,9,False)</f>
        <v>0</v>
      </c>
      <c r="Q5672" s="93" t="str">
        <f>VLOOKUP(E5672,DATABASE!C:Q,4,false)</f>
        <v>SPOORING</v>
      </c>
      <c r="R5672" s="93" t="str">
        <f>VLOOKUP(E5672,DATABASE!C:Q,11,false)</f>
        <v>SERVICE</v>
      </c>
    </row>
    <row r="5673" ht="22.5" customHeight="1">
      <c r="A5673" s="49"/>
      <c r="C5673" s="661">
        <v>45986.0</v>
      </c>
      <c r="D5673" s="682">
        <v>7974.0</v>
      </c>
      <c r="E5673" s="680" t="s">
        <v>301</v>
      </c>
      <c r="F5673" s="670">
        <v>1.0</v>
      </c>
      <c r="G5673" s="681">
        <v>250000.0</v>
      </c>
      <c r="H5673" s="74">
        <v>0.0</v>
      </c>
      <c r="I5673" s="74">
        <f t="shared" si="1"/>
        <v>250000</v>
      </c>
      <c r="J5673" s="74">
        <f>IF(E5673="SERVICE",I5673-(I5673*50%),Vlookup(E5673,DATABASE!C:Q,10,false)*F5673)</f>
        <v>75000</v>
      </c>
      <c r="K5673" s="74">
        <f>VLOOKUP(E5673,DATABASE!C:Q,7,false)</f>
        <v>75000</v>
      </c>
      <c r="L5673" s="74">
        <v>75000.0</v>
      </c>
      <c r="M5673" s="74">
        <f t="shared" si="2"/>
        <v>75000</v>
      </c>
      <c r="N5673" s="74">
        <f t="shared" si="3"/>
        <v>100000</v>
      </c>
      <c r="O5673" s="65" t="str">
        <f>VLOOKUP(E5673,DATABASE!C:Q,8,false)</f>
        <v>BIAN</v>
      </c>
      <c r="P5673" s="65">
        <f>VLOOKUP(E5673,DATABASE!C:Q,9,False)</f>
        <v>0</v>
      </c>
      <c r="Q5673" s="93" t="str">
        <f>VLOOKUP(E5673,DATABASE!C:Q,4,false)</f>
        <v>Baut Camber</v>
      </c>
      <c r="R5673" s="93" t="str">
        <f>VLOOKUP(E5673,DATABASE!C:Q,11,false)</f>
        <v>COMPLEMENTARY</v>
      </c>
    </row>
    <row r="5674" ht="22.5" customHeight="1">
      <c r="A5674" s="49"/>
      <c r="C5674" s="666">
        <v>45986.0</v>
      </c>
      <c r="D5674" s="682">
        <v>7974.0</v>
      </c>
      <c r="E5674" s="680" t="s">
        <v>251</v>
      </c>
      <c r="F5674" s="670">
        <v>1.0</v>
      </c>
      <c r="G5674" s="681">
        <v>150000.0</v>
      </c>
      <c r="H5674" s="74">
        <v>0.0</v>
      </c>
      <c r="I5674" s="74">
        <f t="shared" si="1"/>
        <v>150000</v>
      </c>
      <c r="J5674" s="74">
        <f>IF(E5674="SERVICE",I5674-(I5674*50%),Vlookup(E5674,DATABASE!C:Q,10,false)*F5674)</f>
        <v>75000</v>
      </c>
      <c r="K5674" s="74">
        <f>VLOOKUP(E5674,DATABASE!C:Q,7,false)</f>
        <v>0</v>
      </c>
      <c r="L5674" s="74">
        <v>0.0</v>
      </c>
      <c r="M5674" s="74">
        <f t="shared" si="2"/>
        <v>0</v>
      </c>
      <c r="N5674" s="74">
        <f t="shared" si="3"/>
        <v>75000</v>
      </c>
      <c r="O5674" s="65" t="str">
        <f>VLOOKUP(E5674,DATABASE!C:Q,8,false)</f>
        <v>IBU</v>
      </c>
      <c r="P5674" s="65">
        <f>VLOOKUP(E5674,DATABASE!C:Q,9,False)</f>
        <v>0</v>
      </c>
      <c r="Q5674" s="93" t="str">
        <f>VLOOKUP(E5674,DATABASE!C:Q,4,false)</f>
        <v>SERVICE</v>
      </c>
      <c r="R5674" s="93" t="str">
        <f>VLOOKUP(E5674,DATABASE!C:Q,11,false)</f>
        <v>SERVICE</v>
      </c>
    </row>
    <row r="5675" ht="22.5" customHeight="1">
      <c r="A5675" s="49"/>
      <c r="C5675" s="661">
        <v>45986.0</v>
      </c>
      <c r="D5675" s="682">
        <v>7975.0</v>
      </c>
      <c r="E5675" s="680" t="s">
        <v>262</v>
      </c>
      <c r="F5675" s="670">
        <v>1.0</v>
      </c>
      <c r="G5675" s="681">
        <v>110000.0</v>
      </c>
      <c r="H5675" s="74">
        <v>0.0</v>
      </c>
      <c r="I5675" s="74">
        <f t="shared" si="1"/>
        <v>110000</v>
      </c>
      <c r="J5675" s="74">
        <f>IF(E5675="SERVICE",I5675-(I5675*50%),Vlookup(E5675,DATABASE!C:Q,10,false)*F5675)</f>
        <v>5000</v>
      </c>
      <c r="K5675" s="74">
        <f>VLOOKUP(E5675,DATABASE!C:Q,7,false)</f>
        <v>0</v>
      </c>
      <c r="L5675" s="74">
        <v>0.0</v>
      </c>
      <c r="M5675" s="74">
        <f t="shared" si="2"/>
        <v>0</v>
      </c>
      <c r="N5675" s="74">
        <f t="shared" si="3"/>
        <v>105000</v>
      </c>
      <c r="O5675" s="65" t="str">
        <f>VLOOKUP(E5675,DATABASE!C:Q,8,false)</f>
        <v>IBU</v>
      </c>
      <c r="P5675" s="65">
        <f>VLOOKUP(E5675,DATABASE!C:Q,9,False)</f>
        <v>0</v>
      </c>
      <c r="Q5675" s="93" t="str">
        <f>VLOOKUP(E5675,DATABASE!C:Q,4,false)</f>
        <v>SPOORING SS/CARRY LOS BAK</v>
      </c>
      <c r="R5675" s="93" t="str">
        <f>VLOOKUP(E5675,DATABASE!C:Q,11,false)</f>
        <v>SERVICE</v>
      </c>
    </row>
    <row r="5676" ht="22.5" customHeight="1">
      <c r="A5676" s="49"/>
      <c r="C5676" s="666">
        <v>45986.0</v>
      </c>
      <c r="D5676" s="682">
        <v>7975.0</v>
      </c>
      <c r="E5676" s="680" t="s">
        <v>305</v>
      </c>
      <c r="F5676" s="670">
        <v>1.0</v>
      </c>
      <c r="G5676" s="681">
        <v>235000.0</v>
      </c>
      <c r="H5676" s="74">
        <v>0.0</v>
      </c>
      <c r="I5676" s="74">
        <f t="shared" si="1"/>
        <v>235000</v>
      </c>
      <c r="J5676" s="74">
        <f>IF(E5676="SERVICE",I5676-(I5676*50%),Vlookup(E5676,DATABASE!C:Q,10,false)*F5676)</f>
        <v>40000</v>
      </c>
      <c r="K5676" s="74">
        <f>VLOOKUP(E5676,DATABASE!C:Q,7,false)</f>
        <v>158530.2</v>
      </c>
      <c r="L5676" s="74">
        <v>151890.0</v>
      </c>
      <c r="M5676" s="74">
        <f t="shared" si="2"/>
        <v>155000</v>
      </c>
      <c r="N5676" s="74">
        <f t="shared" si="3"/>
        <v>40000</v>
      </c>
      <c r="O5676" s="65" t="str">
        <f>VLOOKUP(E5676,DATABASE!C:Q,8,false)</f>
        <v>BIAN</v>
      </c>
      <c r="P5676" s="65">
        <f>VLOOKUP(E5676,DATABASE!C:Q,9,False)</f>
        <v>1</v>
      </c>
      <c r="Q5676" s="93" t="str">
        <f>VLOOKUP(E5676,DATABASE!C:Q,4,false)</f>
        <v>Lower Arm</v>
      </c>
      <c r="R5676" s="93" t="str">
        <f>VLOOKUP(E5676,DATABASE!C:Q,11,false)</f>
        <v>COMPLEMENTARY</v>
      </c>
    </row>
    <row r="5677" ht="22.5" customHeight="1">
      <c r="A5677" s="49"/>
      <c r="C5677" s="661">
        <v>45986.0</v>
      </c>
      <c r="D5677" s="682">
        <v>7976.0</v>
      </c>
      <c r="E5677" s="680" t="s">
        <v>600</v>
      </c>
      <c r="F5677" s="670">
        <v>2.0</v>
      </c>
      <c r="G5677" s="681">
        <v>675000.0</v>
      </c>
      <c r="H5677" s="74">
        <v>0.0</v>
      </c>
      <c r="I5677" s="74">
        <f t="shared" si="1"/>
        <v>1350000</v>
      </c>
      <c r="J5677" s="74">
        <f>IF(E5677="SERVICE",I5677-(I5677*50%),Vlookup(E5677,DATABASE!C:Q,10,false)*F5677)</f>
        <v>0</v>
      </c>
      <c r="K5677" s="74">
        <f>VLOOKUP(E5677,DATABASE!C:Q,7,false)</f>
        <v>611109.16</v>
      </c>
      <c r="L5677" s="74">
        <v>572762.4</v>
      </c>
      <c r="M5677" s="74">
        <f t="shared" si="2"/>
        <v>575000</v>
      </c>
      <c r="N5677" s="74">
        <f t="shared" si="3"/>
        <v>200000</v>
      </c>
      <c r="O5677" s="65" t="str">
        <f>VLOOKUP(E5677,DATABASE!C:Q,8,false)</f>
        <v>IBU</v>
      </c>
      <c r="P5677" s="65">
        <f>VLOOKUP(E5677,DATABASE!C:Q,9,False)</f>
        <v>1</v>
      </c>
      <c r="Q5677" s="93" t="str">
        <f>VLOOKUP(E5677,DATABASE!C:Q,4,false)</f>
        <v>Bridgestone</v>
      </c>
      <c r="R5677" s="93" t="str">
        <f>VLOOKUP(E5677,DATABASE!C:Q,11,false)</f>
        <v>Tire</v>
      </c>
      <c r="U5677" s="9"/>
    </row>
    <row r="5678" ht="22.5" customHeight="1">
      <c r="A5678" s="49"/>
      <c r="C5678" s="666">
        <v>45986.0</v>
      </c>
      <c r="D5678" s="682">
        <v>7977.0</v>
      </c>
      <c r="E5678" s="680" t="s">
        <v>1507</v>
      </c>
      <c r="F5678" s="670">
        <v>1.0</v>
      </c>
      <c r="G5678" s="681">
        <v>730000.0</v>
      </c>
      <c r="H5678" s="74">
        <v>0.0</v>
      </c>
      <c r="I5678" s="74">
        <f t="shared" si="1"/>
        <v>730000</v>
      </c>
      <c r="J5678" s="74">
        <f>IF(E5678="SERVICE",I5678-(I5678*50%),Vlookup(E5678,DATABASE!C:Q,10,false)*F5678)</f>
        <v>0</v>
      </c>
      <c r="K5678" s="74">
        <f>VLOOKUP(E5678,DATABASE!C:Q,7,false)</f>
        <v>638500</v>
      </c>
      <c r="L5678" s="74">
        <v>638500.0</v>
      </c>
      <c r="M5678" s="74">
        <f t="shared" si="2"/>
        <v>640000</v>
      </c>
      <c r="N5678" s="74">
        <f t="shared" si="3"/>
        <v>90000</v>
      </c>
      <c r="O5678" s="65" t="str">
        <f>VLOOKUP(E5678,DATABASE!C:Q,8,false)</f>
        <v>IBU</v>
      </c>
      <c r="P5678" s="65">
        <f>VLOOKUP(E5678,DATABASE!C:Q,9,False)</f>
        <v>1</v>
      </c>
      <c r="Q5678" s="93" t="str">
        <f>VLOOKUP(E5678,DATABASE!C:Q,4,false)</f>
        <v>Dunlop</v>
      </c>
      <c r="R5678" s="93" t="str">
        <f>VLOOKUP(E5678,DATABASE!C:Q,11,false)</f>
        <v>Tire</v>
      </c>
      <c r="U5678" s="9"/>
    </row>
    <row r="5679" ht="22.5" customHeight="1">
      <c r="A5679" s="49"/>
      <c r="C5679" s="661">
        <v>45986.0</v>
      </c>
      <c r="D5679" s="682">
        <v>7978.0</v>
      </c>
      <c r="E5679" s="680" t="s">
        <v>256</v>
      </c>
      <c r="F5679" s="670">
        <v>1.0</v>
      </c>
      <c r="G5679" s="681">
        <v>130000.0</v>
      </c>
      <c r="H5679" s="74">
        <v>0.0</v>
      </c>
      <c r="I5679" s="74">
        <f t="shared" si="1"/>
        <v>130000</v>
      </c>
      <c r="J5679" s="74">
        <f>IF(E5679="SERVICE",I5679-(I5679*50%),Vlookup(E5679,DATABASE!C:Q,10,false)*F5679)</f>
        <v>10000</v>
      </c>
      <c r="K5679" s="74">
        <f>VLOOKUP(E5679,DATABASE!C:Q,7,false)</f>
        <v>0</v>
      </c>
      <c r="L5679" s="74">
        <v>0.0</v>
      </c>
      <c r="M5679" s="74">
        <f t="shared" si="2"/>
        <v>0</v>
      </c>
      <c r="N5679" s="74">
        <f t="shared" si="3"/>
        <v>120000</v>
      </c>
      <c r="O5679" s="65" t="str">
        <f>VLOOKUP(E5679,DATABASE!C:Q,8,false)</f>
        <v>IBU</v>
      </c>
      <c r="P5679" s="65">
        <f>VLOOKUP(E5679,DATABASE!C:Q,9,False)</f>
        <v>0</v>
      </c>
      <c r="Q5679" s="93" t="str">
        <f>VLOOKUP(E5679,DATABASE!C:Q,4,false)</f>
        <v>SPOORING</v>
      </c>
      <c r="R5679" s="93" t="str">
        <f>VLOOKUP(E5679,DATABASE!C:Q,11,false)</f>
        <v>SERVICE</v>
      </c>
    </row>
    <row r="5680" ht="22.5" customHeight="1">
      <c r="A5680" s="49"/>
      <c r="C5680" s="666">
        <v>45986.0</v>
      </c>
      <c r="D5680" s="682">
        <v>7978.0</v>
      </c>
      <c r="E5680" s="671" t="s">
        <v>299</v>
      </c>
      <c r="F5680" s="670">
        <v>1.0</v>
      </c>
      <c r="G5680" s="681">
        <v>30000.0</v>
      </c>
      <c r="H5680" s="74">
        <v>0.0</v>
      </c>
      <c r="I5680" s="74">
        <f t="shared" si="1"/>
        <v>30000</v>
      </c>
      <c r="J5680" s="74">
        <f>IF(E5680="SERVICE",I5680-(I5680*50%),Vlookup(E5680,DATABASE!C:Q,10,false)*F5680)</f>
        <v>0</v>
      </c>
      <c r="K5680" s="74">
        <f>VLOOKUP(E5680,DATABASE!C:Q,7,false)</f>
        <v>10000</v>
      </c>
      <c r="L5680" s="74">
        <v>5000.0</v>
      </c>
      <c r="M5680" s="74">
        <f t="shared" si="2"/>
        <v>5000</v>
      </c>
      <c r="N5680" s="74">
        <f t="shared" si="3"/>
        <v>25000</v>
      </c>
      <c r="O5680" s="65" t="str">
        <f>VLOOKUP(E5680,DATABASE!C:Q,8,false)</f>
        <v>BIAN</v>
      </c>
      <c r="P5680" s="65">
        <f>VLOOKUP(E5680,DATABASE!C:Q,9,False)</f>
        <v>0</v>
      </c>
      <c r="Q5680" s="93" t="str">
        <f>VLOOKUP(E5680,DATABASE!C:Q,4,false)</f>
        <v>Balancing</v>
      </c>
      <c r="R5680" s="93" t="str">
        <f>VLOOKUP(E5680,DATABASE!C:Q,11,false)</f>
        <v>COMPLEMENTARY</v>
      </c>
    </row>
    <row r="5681" ht="22.5" customHeight="1">
      <c r="A5681" s="49"/>
      <c r="C5681" s="661">
        <v>45986.0</v>
      </c>
      <c r="D5681" s="682">
        <v>7978.0</v>
      </c>
      <c r="E5681" s="680" t="s">
        <v>301</v>
      </c>
      <c r="F5681" s="670">
        <v>1.0</v>
      </c>
      <c r="G5681" s="681">
        <v>250000.0</v>
      </c>
      <c r="H5681" s="74">
        <v>0.0</v>
      </c>
      <c r="I5681" s="74">
        <f t="shared" si="1"/>
        <v>250000</v>
      </c>
      <c r="J5681" s="74">
        <f>IF(E5681="SERVICE",I5681-(I5681*50%),Vlookup(E5681,DATABASE!C:Q,10,false)*F5681)</f>
        <v>75000</v>
      </c>
      <c r="K5681" s="74">
        <f>VLOOKUP(E5681,DATABASE!C:Q,7,false)</f>
        <v>75000</v>
      </c>
      <c r="L5681" s="74">
        <v>75000.0</v>
      </c>
      <c r="M5681" s="74">
        <f t="shared" si="2"/>
        <v>75000</v>
      </c>
      <c r="N5681" s="74">
        <f t="shared" si="3"/>
        <v>100000</v>
      </c>
      <c r="O5681" s="65" t="str">
        <f>VLOOKUP(E5681,DATABASE!C:Q,8,false)</f>
        <v>BIAN</v>
      </c>
      <c r="P5681" s="65">
        <f>VLOOKUP(E5681,DATABASE!C:Q,9,False)</f>
        <v>0</v>
      </c>
      <c r="Q5681" s="93" t="str">
        <f>VLOOKUP(E5681,DATABASE!C:Q,4,false)</f>
        <v>Baut Camber</v>
      </c>
      <c r="R5681" s="93" t="str">
        <f>VLOOKUP(E5681,DATABASE!C:Q,11,false)</f>
        <v>COMPLEMENTARY</v>
      </c>
    </row>
    <row r="5682" ht="22.5" customHeight="1">
      <c r="A5682" s="49"/>
      <c r="C5682" s="666">
        <v>45986.0</v>
      </c>
      <c r="D5682" s="682">
        <v>7978.0</v>
      </c>
      <c r="E5682" s="680" t="s">
        <v>251</v>
      </c>
      <c r="F5682" s="670">
        <v>1.0</v>
      </c>
      <c r="G5682" s="681">
        <v>150000.0</v>
      </c>
      <c r="H5682" s="74">
        <v>0.0</v>
      </c>
      <c r="I5682" s="74">
        <f t="shared" si="1"/>
        <v>150000</v>
      </c>
      <c r="J5682" s="74">
        <f>IF(E5682="SERVICE",I5682-(I5682*50%),Vlookup(E5682,DATABASE!C:Q,10,false)*F5682)</f>
        <v>75000</v>
      </c>
      <c r="K5682" s="74">
        <f>VLOOKUP(E5682,DATABASE!C:Q,7,false)</f>
        <v>0</v>
      </c>
      <c r="L5682" s="74">
        <v>0.0</v>
      </c>
      <c r="M5682" s="74">
        <f t="shared" si="2"/>
        <v>0</v>
      </c>
      <c r="N5682" s="74">
        <f t="shared" si="3"/>
        <v>75000</v>
      </c>
      <c r="O5682" s="65" t="str">
        <f>VLOOKUP(E5682,DATABASE!C:Q,8,false)</f>
        <v>IBU</v>
      </c>
      <c r="P5682" s="65">
        <f>VLOOKUP(E5682,DATABASE!C:Q,9,False)</f>
        <v>0</v>
      </c>
      <c r="Q5682" s="93" t="str">
        <f>VLOOKUP(E5682,DATABASE!C:Q,4,false)</f>
        <v>SERVICE</v>
      </c>
      <c r="R5682" s="93" t="str">
        <f>VLOOKUP(E5682,DATABASE!C:Q,11,false)</f>
        <v>SERVICE</v>
      </c>
    </row>
    <row r="5683" ht="22.5" customHeight="1">
      <c r="A5683" s="49"/>
      <c r="C5683" s="661">
        <v>45986.0</v>
      </c>
      <c r="D5683" s="682">
        <v>7979.0</v>
      </c>
      <c r="E5683" s="680" t="s">
        <v>256</v>
      </c>
      <c r="F5683" s="670">
        <v>1.0</v>
      </c>
      <c r="G5683" s="681">
        <v>130000.0</v>
      </c>
      <c r="H5683" s="74">
        <v>0.0</v>
      </c>
      <c r="I5683" s="74">
        <f t="shared" si="1"/>
        <v>130000</v>
      </c>
      <c r="J5683" s="74">
        <f>IF(E5683="SERVICE",I5683-(I5683*50%),Vlookup(E5683,DATABASE!C:Q,10,false)*F5683)</f>
        <v>10000</v>
      </c>
      <c r="K5683" s="74">
        <f>VLOOKUP(E5683,DATABASE!C:Q,7,false)</f>
        <v>0</v>
      </c>
      <c r="L5683" s="74">
        <v>0.0</v>
      </c>
      <c r="M5683" s="74">
        <f t="shared" si="2"/>
        <v>0</v>
      </c>
      <c r="N5683" s="74">
        <f t="shared" si="3"/>
        <v>120000</v>
      </c>
      <c r="O5683" s="65" t="str">
        <f>VLOOKUP(E5683,DATABASE!C:Q,8,false)</f>
        <v>IBU</v>
      </c>
      <c r="P5683" s="65">
        <f>VLOOKUP(E5683,DATABASE!C:Q,9,False)</f>
        <v>0</v>
      </c>
      <c r="Q5683" s="93" t="str">
        <f>VLOOKUP(E5683,DATABASE!C:Q,4,false)</f>
        <v>SPOORING</v>
      </c>
      <c r="R5683" s="93" t="str">
        <f>VLOOKUP(E5683,DATABASE!C:Q,11,false)</f>
        <v>SERVICE</v>
      </c>
    </row>
    <row r="5684" ht="22.5" customHeight="1">
      <c r="A5684" s="49"/>
      <c r="C5684" s="666">
        <v>45986.0</v>
      </c>
      <c r="D5684" s="682">
        <v>7979.0</v>
      </c>
      <c r="E5684" s="680" t="s">
        <v>251</v>
      </c>
      <c r="F5684" s="670">
        <v>1.0</v>
      </c>
      <c r="G5684" s="681">
        <v>150000.0</v>
      </c>
      <c r="H5684" s="74">
        <v>0.0</v>
      </c>
      <c r="I5684" s="74">
        <f t="shared" si="1"/>
        <v>150000</v>
      </c>
      <c r="J5684" s="74">
        <f>IF(E5684="SERVICE",I5684-(I5684*50%),Vlookup(E5684,DATABASE!C:Q,10,false)*F5684)</f>
        <v>75000</v>
      </c>
      <c r="K5684" s="74">
        <f>VLOOKUP(E5684,DATABASE!C:Q,7,false)</f>
        <v>0</v>
      </c>
      <c r="L5684" s="74">
        <v>0.0</v>
      </c>
      <c r="M5684" s="74">
        <f t="shared" si="2"/>
        <v>0</v>
      </c>
      <c r="N5684" s="74">
        <f t="shared" si="3"/>
        <v>75000</v>
      </c>
      <c r="O5684" s="65" t="str">
        <f>VLOOKUP(E5684,DATABASE!C:Q,8,false)</f>
        <v>IBU</v>
      </c>
      <c r="P5684" s="65">
        <f>VLOOKUP(E5684,DATABASE!C:Q,9,False)</f>
        <v>0</v>
      </c>
      <c r="Q5684" s="93" t="str">
        <f>VLOOKUP(E5684,DATABASE!C:Q,4,false)</f>
        <v>SERVICE</v>
      </c>
      <c r="R5684" s="93" t="str">
        <f>VLOOKUP(E5684,DATABASE!C:Q,11,false)</f>
        <v>SERVICE</v>
      </c>
    </row>
    <row r="5685" ht="22.5" customHeight="1">
      <c r="A5685" s="49"/>
      <c r="C5685" s="661">
        <v>45987.0</v>
      </c>
      <c r="D5685" s="682">
        <v>7981.0</v>
      </c>
      <c r="E5685" s="680" t="s">
        <v>856</v>
      </c>
      <c r="F5685" s="670">
        <v>1.0</v>
      </c>
      <c r="G5685" s="681">
        <v>670000.0</v>
      </c>
      <c r="H5685" s="74">
        <v>0.0</v>
      </c>
      <c r="I5685" s="74">
        <f t="shared" si="1"/>
        <v>670000</v>
      </c>
      <c r="J5685" s="74">
        <f>IF(E5685="SERVICE",I5685-(I5685*50%),Vlookup(E5685,DATABASE!C:Q,10,false)*F5685)</f>
        <v>0</v>
      </c>
      <c r="K5685" s="74">
        <f>VLOOKUP(E5685,DATABASE!C:Q,7,false)</f>
        <v>615300</v>
      </c>
      <c r="L5685" s="74">
        <v>581120.0</v>
      </c>
      <c r="M5685" s="74">
        <f t="shared" si="2"/>
        <v>585000</v>
      </c>
      <c r="N5685" s="74">
        <f t="shared" si="3"/>
        <v>85000</v>
      </c>
      <c r="O5685" s="65" t="str">
        <f>VLOOKUP(E5685,DATABASE!C:Q,8,false)</f>
        <v>BIAN</v>
      </c>
      <c r="P5685" s="65">
        <f>VLOOKUP(E5685,DATABASE!C:Q,9,False)</f>
        <v>1</v>
      </c>
      <c r="Q5685" s="93" t="str">
        <f>VLOOKUP(E5685,DATABASE!C:Q,4,false)</f>
        <v>GT</v>
      </c>
      <c r="R5685" s="93" t="str">
        <f>VLOOKUP(E5685,DATABASE!C:Q,11,false)</f>
        <v>Tire</v>
      </c>
      <c r="U5685" s="9">
        <v>670000.0</v>
      </c>
    </row>
    <row r="5686" ht="22.5" customHeight="1">
      <c r="A5686" s="49"/>
      <c r="C5686" s="666">
        <v>45987.0</v>
      </c>
      <c r="D5686" s="682">
        <v>7982.0</v>
      </c>
      <c r="E5686" s="680" t="s">
        <v>256</v>
      </c>
      <c r="F5686" s="670">
        <v>1.0</v>
      </c>
      <c r="G5686" s="681">
        <v>130000.0</v>
      </c>
      <c r="H5686" s="74">
        <v>0.0</v>
      </c>
      <c r="I5686" s="74">
        <f t="shared" si="1"/>
        <v>130000</v>
      </c>
      <c r="J5686" s="74">
        <f>IF(E5686="SERVICE",I5686-(I5686*50%),Vlookup(E5686,DATABASE!C:Q,10,false)*F5686)</f>
        <v>10000</v>
      </c>
      <c r="K5686" s="74">
        <f>VLOOKUP(E5686,DATABASE!C:Q,7,false)</f>
        <v>0</v>
      </c>
      <c r="L5686" s="74">
        <v>0.0</v>
      </c>
      <c r="M5686" s="74">
        <f t="shared" si="2"/>
        <v>0</v>
      </c>
      <c r="N5686" s="74">
        <f t="shared" si="3"/>
        <v>120000</v>
      </c>
      <c r="O5686" s="65" t="str">
        <f>VLOOKUP(E5686,DATABASE!C:Q,8,false)</f>
        <v>IBU</v>
      </c>
      <c r="P5686" s="65">
        <f>VLOOKUP(E5686,DATABASE!C:Q,9,False)</f>
        <v>0</v>
      </c>
      <c r="Q5686" s="93" t="str">
        <f>VLOOKUP(E5686,DATABASE!C:Q,4,false)</f>
        <v>SPOORING</v>
      </c>
      <c r="R5686" s="93" t="str">
        <f>VLOOKUP(E5686,DATABASE!C:Q,11,false)</f>
        <v>SERVICE</v>
      </c>
    </row>
    <row r="5687" ht="22.5" customHeight="1">
      <c r="A5687" s="49"/>
      <c r="C5687" s="661">
        <v>45987.0</v>
      </c>
      <c r="D5687" s="682">
        <v>7983.0</v>
      </c>
      <c r="E5687" s="680" t="s">
        <v>268</v>
      </c>
      <c r="F5687" s="670">
        <v>4.0</v>
      </c>
      <c r="G5687" s="681">
        <v>710000.0</v>
      </c>
      <c r="H5687" s="74">
        <v>0.0</v>
      </c>
      <c r="I5687" s="74">
        <f t="shared" si="1"/>
        <v>2840000</v>
      </c>
      <c r="J5687" s="74">
        <f>IF(E5687="SERVICE",I5687-(I5687*50%),Vlookup(E5687,DATABASE!C:Q,10,false)*F5687)</f>
        <v>0</v>
      </c>
      <c r="K5687" s="74">
        <f>VLOOKUP(E5687,DATABASE!C:Q,7,false)</f>
        <v>653000</v>
      </c>
      <c r="L5687" s="74">
        <v>622000.0</v>
      </c>
      <c r="M5687" s="74">
        <f t="shared" si="2"/>
        <v>625000</v>
      </c>
      <c r="N5687" s="74">
        <f t="shared" si="3"/>
        <v>340000</v>
      </c>
      <c r="O5687" s="65" t="str">
        <f>VLOOKUP(E5687,DATABASE!C:Q,8,false)</f>
        <v>IBU</v>
      </c>
      <c r="P5687" s="65">
        <f>VLOOKUP(E5687,DATABASE!C:Q,9,False)</f>
        <v>1</v>
      </c>
      <c r="Q5687" s="93" t="str">
        <f>VLOOKUP(E5687,DATABASE!C:Q,4,false)</f>
        <v>Dunlop</v>
      </c>
      <c r="R5687" s="93" t="str">
        <f>VLOOKUP(E5687,DATABASE!C:Q,11,false)</f>
        <v>Tire</v>
      </c>
      <c r="U5687" s="9"/>
    </row>
    <row r="5688" ht="22.5" customHeight="1">
      <c r="A5688" s="49"/>
      <c r="C5688" s="666">
        <v>45987.0</v>
      </c>
      <c r="D5688" s="682">
        <v>7983.0</v>
      </c>
      <c r="E5688" s="680" t="s">
        <v>250</v>
      </c>
      <c r="F5688" s="670">
        <v>2.0</v>
      </c>
      <c r="G5688" s="681">
        <v>135000.0</v>
      </c>
      <c r="H5688" s="74">
        <v>0.0</v>
      </c>
      <c r="I5688" s="74">
        <f t="shared" si="1"/>
        <v>270000</v>
      </c>
      <c r="J5688" s="74">
        <f>IF(E5688="SERVICE",I5688-(I5688*50%),Vlookup(E5688,DATABASE!C:Q,10,false)*F5688)</f>
        <v>0</v>
      </c>
      <c r="K5688" s="74">
        <f>VLOOKUP(E5688,DATABASE!C:Q,7,false)</f>
        <v>102000</v>
      </c>
      <c r="L5688" s="74">
        <v>102000.0</v>
      </c>
      <c r="M5688" s="74">
        <f t="shared" si="2"/>
        <v>105000</v>
      </c>
      <c r="N5688" s="74">
        <f t="shared" si="3"/>
        <v>60000</v>
      </c>
      <c r="O5688" s="65" t="str">
        <f>VLOOKUP(E5688,DATABASE!C:Q,8,false)</f>
        <v>BIAN</v>
      </c>
      <c r="P5688" s="65">
        <f>VLOOKUP(E5688,DATABASE!C:Q,9,False)</f>
        <v>1</v>
      </c>
      <c r="Q5688" s="93" t="str">
        <f>VLOOKUP(E5688,DATABASE!C:Q,4,false)</f>
        <v>BD</v>
      </c>
      <c r="R5688" s="93" t="str">
        <f>VLOOKUP(E5688,DATABASE!C:Q,11,false)</f>
        <v>Tire</v>
      </c>
      <c r="U5688" s="9">
        <v>270000.0</v>
      </c>
    </row>
    <row r="5689" ht="22.5" customHeight="1">
      <c r="A5689" s="49"/>
      <c r="C5689" s="661">
        <v>45987.0</v>
      </c>
      <c r="D5689" s="682">
        <v>7984.0</v>
      </c>
      <c r="E5689" s="680" t="s">
        <v>271</v>
      </c>
      <c r="F5689" s="670">
        <v>2.0</v>
      </c>
      <c r="G5689" s="681">
        <v>630000.0</v>
      </c>
      <c r="H5689" s="74">
        <v>0.0</v>
      </c>
      <c r="I5689" s="74">
        <f t="shared" si="1"/>
        <v>1260000</v>
      </c>
      <c r="J5689" s="74">
        <f>IF(E5689="SERVICE",I5689-(I5689*50%),Vlookup(E5689,DATABASE!C:Q,10,false)*F5689)</f>
        <v>0</v>
      </c>
      <c r="K5689" s="74">
        <f>VLOOKUP(E5689,DATABASE!C:Q,7,false)</f>
        <v>570000</v>
      </c>
      <c r="L5689" s="74">
        <v>539000.0</v>
      </c>
      <c r="M5689" s="74">
        <f t="shared" si="2"/>
        <v>540000</v>
      </c>
      <c r="N5689" s="74">
        <f t="shared" si="3"/>
        <v>180000</v>
      </c>
      <c r="O5689" s="65" t="str">
        <f>VLOOKUP(E5689,DATABASE!C:Q,8,false)</f>
        <v>IBU</v>
      </c>
      <c r="P5689" s="65">
        <f>VLOOKUP(E5689,DATABASE!C:Q,9,False)</f>
        <v>1</v>
      </c>
      <c r="Q5689" s="93" t="str">
        <f>VLOOKUP(E5689,DATABASE!C:Q,4,false)</f>
        <v>Dunlop</v>
      </c>
      <c r="R5689" s="93" t="str">
        <f>VLOOKUP(E5689,DATABASE!C:Q,11,false)</f>
        <v>Tire</v>
      </c>
      <c r="U5689" s="9"/>
    </row>
    <row r="5690" ht="22.5" customHeight="1">
      <c r="A5690" s="49"/>
      <c r="C5690" s="666">
        <v>45987.0</v>
      </c>
      <c r="D5690" s="682">
        <v>7985.0</v>
      </c>
      <c r="E5690" s="657" t="s">
        <v>924</v>
      </c>
      <c r="F5690" s="670">
        <v>1.0</v>
      </c>
      <c r="G5690" s="681">
        <v>1650000.0</v>
      </c>
      <c r="H5690" s="74">
        <v>0.0</v>
      </c>
      <c r="I5690" s="74">
        <f t="shared" si="1"/>
        <v>1650000</v>
      </c>
      <c r="J5690" s="74">
        <f>IF(E5690="SERVICE",I5690-(I5690*50%),Vlookup(E5690,DATABASE!C:Q,10,false)*F5690)</f>
        <v>0</v>
      </c>
      <c r="K5690" s="74">
        <f>VLOOKUP(E5690,DATABASE!C:Q,7,false)</f>
        <v>1560000</v>
      </c>
      <c r="L5690" s="74">
        <v>1545000.0</v>
      </c>
      <c r="M5690" s="74">
        <f t="shared" si="2"/>
        <v>1545000</v>
      </c>
      <c r="N5690" s="74">
        <f t="shared" si="3"/>
        <v>105000</v>
      </c>
      <c r="O5690" s="65" t="str">
        <f>VLOOKUP(E5690,DATABASE!C:Q,8,false)</f>
        <v>BIAN</v>
      </c>
      <c r="P5690" s="65">
        <f>VLOOKUP(E5690,DATABASE!C:Q,9,False)</f>
        <v>1</v>
      </c>
      <c r="Q5690" s="93" t="str">
        <f>VLOOKUP(E5690,DATABASE!C:Q,4,false)</f>
        <v>TIRON</v>
      </c>
      <c r="R5690" s="93" t="str">
        <f>VLOOKUP(E5690,DATABASE!C:Q,11,false)</f>
        <v>Tire</v>
      </c>
      <c r="U5690" s="9">
        <v>1650000.0</v>
      </c>
    </row>
    <row r="5691" ht="22.5" customHeight="1">
      <c r="A5691" s="49"/>
      <c r="C5691" s="661">
        <v>45987.0</v>
      </c>
      <c r="D5691" s="682">
        <v>7987.0</v>
      </c>
      <c r="E5691" s="680" t="s">
        <v>262</v>
      </c>
      <c r="F5691" s="670">
        <v>1.0</v>
      </c>
      <c r="G5691" s="681">
        <v>110000.0</v>
      </c>
      <c r="H5691" s="74">
        <v>0.0</v>
      </c>
      <c r="I5691" s="74">
        <f t="shared" si="1"/>
        <v>110000</v>
      </c>
      <c r="J5691" s="74">
        <f>IF(E5691="SERVICE",I5691-(I5691*50%),Vlookup(E5691,DATABASE!C:Q,10,false)*F5691)</f>
        <v>5000</v>
      </c>
      <c r="K5691" s="74">
        <f>VLOOKUP(E5691,DATABASE!C:Q,7,false)</f>
        <v>0</v>
      </c>
      <c r="L5691" s="74">
        <v>0.0</v>
      </c>
      <c r="M5691" s="74">
        <f t="shared" si="2"/>
        <v>0</v>
      </c>
      <c r="N5691" s="74">
        <f t="shared" si="3"/>
        <v>105000</v>
      </c>
      <c r="O5691" s="65" t="str">
        <f>VLOOKUP(E5691,DATABASE!C:Q,8,false)</f>
        <v>IBU</v>
      </c>
      <c r="P5691" s="65">
        <f>VLOOKUP(E5691,DATABASE!C:Q,9,False)</f>
        <v>0</v>
      </c>
      <c r="Q5691" s="93" t="str">
        <f>VLOOKUP(E5691,DATABASE!C:Q,4,false)</f>
        <v>SPOORING SS/CARRY LOS BAK</v>
      </c>
      <c r="R5691" s="93" t="str">
        <f>VLOOKUP(E5691,DATABASE!C:Q,11,false)</f>
        <v>SERVICE</v>
      </c>
    </row>
    <row r="5692" ht="22.5" customHeight="1">
      <c r="A5692" s="49"/>
      <c r="C5692" s="666">
        <v>45987.0</v>
      </c>
      <c r="D5692" s="682">
        <v>7988.0</v>
      </c>
      <c r="E5692" s="680" t="s">
        <v>478</v>
      </c>
      <c r="F5692" s="670">
        <v>1.0</v>
      </c>
      <c r="G5692" s="681">
        <v>200000.0</v>
      </c>
      <c r="H5692" s="74">
        <v>0.0</v>
      </c>
      <c r="I5692" s="74">
        <f t="shared" si="1"/>
        <v>200000</v>
      </c>
      <c r="J5692" s="74">
        <f>IF(E5692="SERVICE",I5692-(I5692*50%),Vlookup(E5692,DATABASE!C:Q,10,false)*F5692)</f>
        <v>25000</v>
      </c>
      <c r="K5692" s="74">
        <f>VLOOKUP(E5692,DATABASE!C:Q,7,false)</f>
        <v>75000</v>
      </c>
      <c r="L5692" s="74">
        <v>75000.0</v>
      </c>
      <c r="M5692" s="74">
        <f t="shared" si="2"/>
        <v>75000</v>
      </c>
      <c r="N5692" s="74">
        <f t="shared" si="3"/>
        <v>100000</v>
      </c>
      <c r="O5692" s="65" t="str">
        <f>VLOOKUP(E5692,DATABASE!C:Q,8,false)</f>
        <v>BIAN</v>
      </c>
      <c r="P5692" s="65">
        <f>VLOOKUP(E5692,DATABASE!C:Q,9,False)</f>
        <v>0</v>
      </c>
      <c r="Q5692" s="93" t="str">
        <f>VLOOKUP(E5692,DATABASE!C:Q,4,false)</f>
        <v>Baut Camber ss-carry</v>
      </c>
      <c r="R5692" s="93" t="str">
        <f>VLOOKUP(E5692,DATABASE!C:Q,11,false)</f>
        <v>COMPLEMENTARY</v>
      </c>
    </row>
    <row r="5693" ht="22.5" customHeight="1">
      <c r="A5693" s="49"/>
      <c r="C5693" s="661">
        <v>45987.0</v>
      </c>
      <c r="D5693" s="682">
        <v>7989.0</v>
      </c>
      <c r="E5693" s="680" t="s">
        <v>288</v>
      </c>
      <c r="F5693" s="670">
        <v>1.0</v>
      </c>
      <c r="G5693" s="681">
        <v>620000.0</v>
      </c>
      <c r="H5693" s="74">
        <v>0.0</v>
      </c>
      <c r="I5693" s="74">
        <f t="shared" si="1"/>
        <v>620000</v>
      </c>
      <c r="J5693" s="74">
        <f>IF(E5693="SERVICE",I5693-(I5693*50%),Vlookup(E5693,DATABASE!C:Q,10,false)*F5693)</f>
        <v>0</v>
      </c>
      <c r="K5693" s="74">
        <f>VLOOKUP(E5693,DATABASE!C:Q,7,false)</f>
        <v>565760</v>
      </c>
      <c r="L5693" s="74">
        <v>524800.0</v>
      </c>
      <c r="M5693" s="74">
        <f t="shared" si="2"/>
        <v>525000</v>
      </c>
      <c r="N5693" s="74">
        <f t="shared" si="3"/>
        <v>95000</v>
      </c>
      <c r="O5693" s="65" t="str">
        <f>VLOOKUP(E5693,DATABASE!C:Q,8,false)</f>
        <v>BIAN</v>
      </c>
      <c r="P5693" s="65">
        <f>VLOOKUP(E5693,DATABASE!C:Q,9,False)</f>
        <v>1</v>
      </c>
      <c r="Q5693" s="93" t="str">
        <f>VLOOKUP(E5693,DATABASE!C:Q,4,false)</f>
        <v>GT</v>
      </c>
      <c r="R5693" s="93" t="str">
        <f>VLOOKUP(E5693,DATABASE!C:Q,11,false)</f>
        <v>Tire</v>
      </c>
      <c r="U5693" s="9">
        <v>620000.0</v>
      </c>
    </row>
    <row r="5694" ht="22.5" customHeight="1">
      <c r="A5694" s="49"/>
      <c r="C5694" s="666">
        <v>45987.0</v>
      </c>
      <c r="D5694" s="682">
        <v>7990.0</v>
      </c>
      <c r="E5694" s="680" t="s">
        <v>868</v>
      </c>
      <c r="F5694" s="670">
        <v>1.0</v>
      </c>
      <c r="G5694" s="681">
        <v>940000.0</v>
      </c>
      <c r="H5694" s="74">
        <v>0.0</v>
      </c>
      <c r="I5694" s="74">
        <f t="shared" si="1"/>
        <v>940000</v>
      </c>
      <c r="J5694" s="74">
        <f>IF(E5694="SERVICE",I5694-(I5694*50%),Vlookup(E5694,DATABASE!C:Q,10,false)*F5694)</f>
        <v>0</v>
      </c>
      <c r="K5694" s="74">
        <f>VLOOKUP(E5694,DATABASE!C:Q,7,false)</f>
        <v>861200</v>
      </c>
      <c r="L5694" s="74">
        <v>836000.0</v>
      </c>
      <c r="M5694" s="74">
        <f t="shared" si="2"/>
        <v>840000</v>
      </c>
      <c r="N5694" s="74">
        <f t="shared" si="3"/>
        <v>100000</v>
      </c>
      <c r="O5694" s="65" t="str">
        <f>VLOOKUP(E5694,DATABASE!C:Q,8,false)</f>
        <v>BIAN</v>
      </c>
      <c r="P5694" s="65">
        <f>VLOOKUP(E5694,DATABASE!C:Q,9,False)</f>
        <v>1</v>
      </c>
      <c r="Q5694" s="93" t="str">
        <f>VLOOKUP(E5694,DATABASE!C:Q,4,false)</f>
        <v>GT</v>
      </c>
      <c r="R5694" s="93" t="str">
        <f>VLOOKUP(E5694,DATABASE!C:Q,11,false)</f>
        <v>Tire</v>
      </c>
      <c r="U5694" s="9">
        <v>940000.0</v>
      </c>
    </row>
    <row r="5695" ht="22.5" customHeight="1">
      <c r="A5695" s="49"/>
      <c r="C5695" s="674">
        <v>45987.0</v>
      </c>
      <c r="D5695" s="682">
        <v>7990.0</v>
      </c>
      <c r="E5695" s="680" t="s">
        <v>256</v>
      </c>
      <c r="F5695" s="670">
        <v>1.0</v>
      </c>
      <c r="G5695" s="681">
        <v>130000.0</v>
      </c>
      <c r="H5695" s="74">
        <v>0.0</v>
      </c>
      <c r="I5695" s="74">
        <f t="shared" si="1"/>
        <v>130000</v>
      </c>
      <c r="J5695" s="74">
        <f>IF(E5695="SERVICE",I5695-(I5695*50%),Vlookup(E5695,DATABASE!C:Q,10,false)*F5695)</f>
        <v>10000</v>
      </c>
      <c r="K5695" s="74">
        <f>VLOOKUP(E5695,DATABASE!C:Q,7,false)</f>
        <v>0</v>
      </c>
      <c r="L5695" s="74">
        <v>0.0</v>
      </c>
      <c r="M5695" s="74">
        <f t="shared" si="2"/>
        <v>0</v>
      </c>
      <c r="N5695" s="74">
        <f t="shared" si="3"/>
        <v>120000</v>
      </c>
      <c r="O5695" s="65" t="str">
        <f>VLOOKUP(E5695,DATABASE!C:Q,8,false)</f>
        <v>IBU</v>
      </c>
      <c r="P5695" s="65">
        <f>VLOOKUP(E5695,DATABASE!C:Q,9,False)</f>
        <v>0</v>
      </c>
      <c r="Q5695" s="93" t="str">
        <f>VLOOKUP(E5695,DATABASE!C:Q,4,false)</f>
        <v>SPOORING</v>
      </c>
      <c r="R5695" s="93" t="str">
        <f>VLOOKUP(E5695,DATABASE!C:Q,11,false)</f>
        <v>SERVICE</v>
      </c>
    </row>
    <row r="5696" ht="22.5" customHeight="1">
      <c r="A5696" s="49"/>
      <c r="C5696" s="674">
        <v>45987.0</v>
      </c>
      <c r="D5696" s="682">
        <v>7990.0</v>
      </c>
      <c r="E5696" s="671" t="s">
        <v>299</v>
      </c>
      <c r="F5696" s="670">
        <v>1.0</v>
      </c>
      <c r="G5696" s="681">
        <v>30000.0</v>
      </c>
      <c r="H5696" s="74">
        <v>0.0</v>
      </c>
      <c r="I5696" s="74">
        <f t="shared" si="1"/>
        <v>30000</v>
      </c>
      <c r="J5696" s="74">
        <f>IF(E5696="SERVICE",I5696-(I5696*50%),Vlookup(E5696,DATABASE!C:Q,10,false)*F5696)</f>
        <v>0</v>
      </c>
      <c r="K5696" s="74">
        <f>VLOOKUP(E5696,DATABASE!C:Q,7,false)</f>
        <v>10000</v>
      </c>
      <c r="L5696" s="74">
        <v>5000.0</v>
      </c>
      <c r="M5696" s="74">
        <f t="shared" si="2"/>
        <v>5000</v>
      </c>
      <c r="N5696" s="74">
        <f t="shared" si="3"/>
        <v>25000</v>
      </c>
      <c r="O5696" s="65" t="str">
        <f>VLOOKUP(E5696,DATABASE!C:Q,8,false)</f>
        <v>BIAN</v>
      </c>
      <c r="P5696" s="65">
        <f>VLOOKUP(E5696,DATABASE!C:Q,9,False)</f>
        <v>0</v>
      </c>
      <c r="Q5696" s="93" t="str">
        <f>VLOOKUP(E5696,DATABASE!C:Q,4,false)</f>
        <v>Balancing</v>
      </c>
      <c r="R5696" s="93" t="str">
        <f>VLOOKUP(E5696,DATABASE!C:Q,11,false)</f>
        <v>COMPLEMENTARY</v>
      </c>
    </row>
    <row r="5697" ht="22.5" customHeight="1">
      <c r="A5697" s="49"/>
      <c r="C5697" s="674">
        <v>45987.0</v>
      </c>
      <c r="D5697" s="682">
        <v>7990.0</v>
      </c>
      <c r="E5697" s="680" t="s">
        <v>301</v>
      </c>
      <c r="F5697" s="670">
        <v>1.0</v>
      </c>
      <c r="G5697" s="681">
        <v>250000.0</v>
      </c>
      <c r="H5697" s="74">
        <v>0.0</v>
      </c>
      <c r="I5697" s="74">
        <f t="shared" si="1"/>
        <v>250000</v>
      </c>
      <c r="J5697" s="74">
        <f>IF(E5697="SERVICE",I5697-(I5697*50%),Vlookup(E5697,DATABASE!C:Q,10,false)*F5697)</f>
        <v>75000</v>
      </c>
      <c r="K5697" s="74">
        <f>VLOOKUP(E5697,DATABASE!C:Q,7,false)</f>
        <v>75000</v>
      </c>
      <c r="L5697" s="74">
        <v>75000.0</v>
      </c>
      <c r="M5697" s="74">
        <f t="shared" si="2"/>
        <v>75000</v>
      </c>
      <c r="N5697" s="74">
        <f t="shared" si="3"/>
        <v>100000</v>
      </c>
      <c r="O5697" s="65" t="str">
        <f>VLOOKUP(E5697,DATABASE!C:Q,8,false)</f>
        <v>BIAN</v>
      </c>
      <c r="P5697" s="65">
        <f>VLOOKUP(E5697,DATABASE!C:Q,9,False)</f>
        <v>0</v>
      </c>
      <c r="Q5697" s="93" t="str">
        <f>VLOOKUP(E5697,DATABASE!C:Q,4,false)</f>
        <v>Baut Camber</v>
      </c>
      <c r="R5697" s="93" t="str">
        <f>VLOOKUP(E5697,DATABASE!C:Q,11,false)</f>
        <v>COMPLEMENTARY</v>
      </c>
    </row>
    <row r="5698" ht="22.5" customHeight="1">
      <c r="A5698" s="49"/>
      <c r="C5698" s="683">
        <v>45987.0</v>
      </c>
      <c r="D5698" s="682">
        <v>7991.0</v>
      </c>
      <c r="E5698" s="657" t="s">
        <v>924</v>
      </c>
      <c r="F5698" s="670">
        <v>4.0</v>
      </c>
      <c r="G5698" s="681">
        <v>1630000.0</v>
      </c>
      <c r="H5698" s="74">
        <v>0.0</v>
      </c>
      <c r="I5698" s="74">
        <f t="shared" si="1"/>
        <v>6520000</v>
      </c>
      <c r="J5698" s="74">
        <f>IF(E5698="SERVICE",I5698-(I5698*50%),Vlookup(E5698,DATABASE!C:Q,10,false)*F5698)</f>
        <v>0</v>
      </c>
      <c r="K5698" s="74">
        <f>VLOOKUP(E5698,DATABASE!C:Q,7,false)</f>
        <v>1560000</v>
      </c>
      <c r="L5698" s="74">
        <v>1545000.0</v>
      </c>
      <c r="M5698" s="74">
        <f t="shared" si="2"/>
        <v>1545000</v>
      </c>
      <c r="N5698" s="74">
        <f t="shared" si="3"/>
        <v>340000</v>
      </c>
      <c r="O5698" s="65" t="str">
        <f>VLOOKUP(E5698,DATABASE!C:Q,8,false)</f>
        <v>BIAN</v>
      </c>
      <c r="P5698" s="65">
        <f>VLOOKUP(E5698,DATABASE!C:Q,9,False)</f>
        <v>1</v>
      </c>
      <c r="Q5698" s="93" t="str">
        <f>VLOOKUP(E5698,DATABASE!C:Q,4,false)</f>
        <v>TIRON</v>
      </c>
      <c r="R5698" s="93" t="str">
        <f>VLOOKUP(E5698,DATABASE!C:Q,11,false)</f>
        <v>Tire</v>
      </c>
      <c r="U5698" s="9">
        <v>6520000.0</v>
      </c>
    </row>
    <row r="5699" ht="22.5" customHeight="1">
      <c r="A5699" s="49"/>
      <c r="C5699" s="683">
        <v>45987.0</v>
      </c>
      <c r="D5699" s="682">
        <v>7992.0</v>
      </c>
      <c r="E5699" s="680" t="s">
        <v>262</v>
      </c>
      <c r="F5699" s="670">
        <v>1.0</v>
      </c>
      <c r="G5699" s="681">
        <v>110000.0</v>
      </c>
      <c r="H5699" s="74">
        <v>0.0</v>
      </c>
      <c r="I5699" s="74">
        <f t="shared" si="1"/>
        <v>110000</v>
      </c>
      <c r="J5699" s="74">
        <f>IF(E5699="SERVICE",I5699-(I5699*50%),Vlookup(E5699,DATABASE!C:Q,10,false)*F5699)</f>
        <v>5000</v>
      </c>
      <c r="K5699" s="74">
        <f>VLOOKUP(E5699,DATABASE!C:Q,7,false)</f>
        <v>0</v>
      </c>
      <c r="L5699" s="74">
        <v>0.0</v>
      </c>
      <c r="M5699" s="74">
        <f t="shared" si="2"/>
        <v>0</v>
      </c>
      <c r="N5699" s="74">
        <f t="shared" si="3"/>
        <v>105000</v>
      </c>
      <c r="O5699" s="65" t="str">
        <f>VLOOKUP(E5699,DATABASE!C:Q,8,false)</f>
        <v>IBU</v>
      </c>
      <c r="P5699" s="65">
        <f>VLOOKUP(E5699,DATABASE!C:Q,9,False)</f>
        <v>0</v>
      </c>
      <c r="Q5699" s="93" t="str">
        <f>VLOOKUP(E5699,DATABASE!C:Q,4,false)</f>
        <v>SPOORING SS/CARRY LOS BAK</v>
      </c>
      <c r="R5699" s="93" t="str">
        <f>VLOOKUP(E5699,DATABASE!C:Q,11,false)</f>
        <v>SERVICE</v>
      </c>
    </row>
    <row r="5700" ht="22.5" customHeight="1">
      <c r="A5700" s="49"/>
      <c r="C5700" s="683">
        <v>45987.0</v>
      </c>
      <c r="D5700" s="682">
        <v>7992.0</v>
      </c>
      <c r="E5700" s="680" t="s">
        <v>251</v>
      </c>
      <c r="F5700" s="670">
        <v>1.0</v>
      </c>
      <c r="G5700" s="681">
        <v>150000.0</v>
      </c>
      <c r="H5700" s="74">
        <v>0.0</v>
      </c>
      <c r="I5700" s="74">
        <f t="shared" si="1"/>
        <v>150000</v>
      </c>
      <c r="J5700" s="74">
        <f>IF(E5700="SERVICE",I5700-(I5700*50%),Vlookup(E5700,DATABASE!C:Q,10,false)*F5700)</f>
        <v>75000</v>
      </c>
      <c r="K5700" s="74">
        <f>VLOOKUP(E5700,DATABASE!C:Q,7,false)</f>
        <v>0</v>
      </c>
      <c r="L5700" s="74">
        <v>0.0</v>
      </c>
      <c r="M5700" s="74">
        <f t="shared" si="2"/>
        <v>0</v>
      </c>
      <c r="N5700" s="74">
        <f t="shared" si="3"/>
        <v>75000</v>
      </c>
      <c r="O5700" s="65" t="str">
        <f>VLOOKUP(E5700,DATABASE!C:Q,8,false)</f>
        <v>IBU</v>
      </c>
      <c r="P5700" s="65">
        <f>VLOOKUP(E5700,DATABASE!C:Q,9,False)</f>
        <v>0</v>
      </c>
      <c r="Q5700" s="93" t="str">
        <f>VLOOKUP(E5700,DATABASE!C:Q,4,false)</f>
        <v>SERVICE</v>
      </c>
      <c r="R5700" s="93" t="str">
        <f>VLOOKUP(E5700,DATABASE!C:Q,11,false)</f>
        <v>SERVICE</v>
      </c>
    </row>
    <row r="5701" ht="22.5" customHeight="1">
      <c r="A5701" s="49"/>
      <c r="C5701" s="683">
        <v>45988.0</v>
      </c>
      <c r="D5701" s="682">
        <v>0.0</v>
      </c>
      <c r="E5701" s="680" t="s">
        <v>252</v>
      </c>
      <c r="F5701" s="670">
        <v>1.0</v>
      </c>
      <c r="G5701" s="681">
        <v>300000.0</v>
      </c>
      <c r="H5701" s="74">
        <v>0.0</v>
      </c>
      <c r="I5701" s="74">
        <f t="shared" si="1"/>
        <v>300000</v>
      </c>
      <c r="J5701" s="74">
        <f>IF(E5701="SERVICE",I5701-(I5701*50%),Vlookup(E5701,DATABASE!C:Q,10,false)*F5701)</f>
        <v>0</v>
      </c>
      <c r="K5701" s="74">
        <f>VLOOKUP(E5701,DATABASE!C:Q,7,false)</f>
        <v>317518</v>
      </c>
      <c r="L5701" s="74">
        <v>271778.0</v>
      </c>
      <c r="M5701" s="74">
        <f t="shared" si="2"/>
        <v>275000</v>
      </c>
      <c r="N5701" s="74">
        <f t="shared" si="3"/>
        <v>25000</v>
      </c>
      <c r="O5701" s="65" t="str">
        <f>VLOOKUP(E5701,DATABASE!C:Q,8,false)</f>
        <v>NON</v>
      </c>
      <c r="P5701" s="65">
        <f>VLOOKUP(E5701,DATABASE!C:Q,9,False)</f>
        <v>0</v>
      </c>
      <c r="Q5701" s="93" t="str">
        <f>VLOOKUP(E5701,DATABASE!C:Q,4,false)</f>
        <v>Shell</v>
      </c>
      <c r="R5701" s="93" t="str">
        <f>VLOOKUP(E5701,DATABASE!C:Q,11,false)</f>
        <v>OIL</v>
      </c>
      <c r="U5701" s="9"/>
    </row>
    <row r="5702" ht="22.5" customHeight="1">
      <c r="A5702" s="49"/>
      <c r="C5702" s="683">
        <v>45988.0</v>
      </c>
      <c r="D5702" s="682">
        <v>0.0</v>
      </c>
      <c r="E5702" s="680" t="s">
        <v>2191</v>
      </c>
      <c r="F5702" s="670">
        <v>1.0</v>
      </c>
      <c r="G5702" s="681">
        <v>400000.0</v>
      </c>
      <c r="H5702" s="74">
        <v>0.0</v>
      </c>
      <c r="I5702" s="74">
        <f t="shared" si="1"/>
        <v>400000</v>
      </c>
      <c r="J5702" s="74">
        <f>IF(E5702="SERVICE",I5702-(I5702*50%),Vlookup(E5702,DATABASE!C:Q,10,false)*F5702)</f>
        <v>0</v>
      </c>
      <c r="K5702" s="74">
        <f>VLOOKUP(E5702,DATABASE!C:Q,7,false)</f>
        <v>422900</v>
      </c>
      <c r="L5702" s="74">
        <v>377951.0</v>
      </c>
      <c r="M5702" s="74">
        <f t="shared" si="2"/>
        <v>380000</v>
      </c>
      <c r="N5702" s="74">
        <f t="shared" si="3"/>
        <v>20000</v>
      </c>
      <c r="O5702" s="65" t="str">
        <f>VLOOKUP(E5702,DATABASE!C:Q,8,false)</f>
        <v>NON</v>
      </c>
      <c r="P5702" s="65">
        <f>VLOOKUP(E5702,DATABASE!C:Q,9,False)</f>
        <v>0</v>
      </c>
      <c r="Q5702" s="93" t="str">
        <f>VLOOKUP(E5702,DATABASE!C:Q,4,false)</f>
        <v>Shell</v>
      </c>
      <c r="R5702" s="93" t="str">
        <f>VLOOKUP(E5702,DATABASE!C:Q,11,false)</f>
        <v>OIL</v>
      </c>
      <c r="U5702" s="9">
        <v>2560000.0</v>
      </c>
    </row>
    <row r="5703" ht="22.5" customHeight="1">
      <c r="A5703" s="49"/>
      <c r="C5703" s="683">
        <v>45988.0</v>
      </c>
      <c r="D5703" s="682">
        <v>7990.0</v>
      </c>
      <c r="E5703" s="680" t="s">
        <v>268</v>
      </c>
      <c r="F5703" s="670">
        <v>2.0</v>
      </c>
      <c r="G5703" s="681">
        <v>710000.0</v>
      </c>
      <c r="H5703" s="74">
        <v>0.0</v>
      </c>
      <c r="I5703" s="74">
        <f t="shared" si="1"/>
        <v>1420000</v>
      </c>
      <c r="J5703" s="74">
        <f>IF(E5703="SERVICE",I5703-(I5703*50%),Vlookup(E5703,DATABASE!C:Q,10,false)*F5703)</f>
        <v>0</v>
      </c>
      <c r="K5703" s="74">
        <f>VLOOKUP(E5703,DATABASE!C:Q,7,false)</f>
        <v>653000</v>
      </c>
      <c r="L5703" s="74">
        <v>622000.0</v>
      </c>
      <c r="M5703" s="74">
        <f t="shared" si="2"/>
        <v>625000</v>
      </c>
      <c r="N5703" s="74">
        <f t="shared" si="3"/>
        <v>170000</v>
      </c>
      <c r="O5703" s="65" t="str">
        <f>VLOOKUP(E5703,DATABASE!C:Q,8,false)</f>
        <v>IBU</v>
      </c>
      <c r="P5703" s="65">
        <f>VLOOKUP(E5703,DATABASE!C:Q,9,False)</f>
        <v>1</v>
      </c>
      <c r="Q5703" s="93" t="str">
        <f>VLOOKUP(E5703,DATABASE!C:Q,4,false)</f>
        <v>Dunlop</v>
      </c>
      <c r="R5703" s="93" t="str">
        <f>VLOOKUP(E5703,DATABASE!C:Q,11,false)</f>
        <v>Tire</v>
      </c>
      <c r="U5703" s="9">
        <v>200000.0</v>
      </c>
    </row>
    <row r="5704" ht="22.5" customHeight="1">
      <c r="A5704" s="49"/>
      <c r="C5704" s="683">
        <v>45988.0</v>
      </c>
      <c r="D5704" s="682">
        <v>7995.0</v>
      </c>
      <c r="E5704" s="680" t="s">
        <v>791</v>
      </c>
      <c r="F5704" s="670">
        <v>2.0</v>
      </c>
      <c r="G5704" s="681">
        <v>1280000.0</v>
      </c>
      <c r="H5704" s="74">
        <v>0.0</v>
      </c>
      <c r="I5704" s="74">
        <f t="shared" si="1"/>
        <v>2560000</v>
      </c>
      <c r="J5704" s="74">
        <f>IF(E5704="SERVICE",I5704-(I5704*50%),Vlookup(E5704,DATABASE!C:Q,10,false)*F5704)</f>
        <v>0</v>
      </c>
      <c r="K5704" s="74">
        <f>VLOOKUP(E5704,DATABASE!C:Q,7,false)</f>
        <v>1210000</v>
      </c>
      <c r="L5704" s="74">
        <v>1180000.0</v>
      </c>
      <c r="M5704" s="74">
        <f t="shared" si="2"/>
        <v>1180000</v>
      </c>
      <c r="N5704" s="74">
        <f t="shared" si="3"/>
        <v>200000</v>
      </c>
      <c r="O5704" s="65" t="str">
        <f>VLOOKUP(E5704,DATABASE!C:Q,8,false)</f>
        <v>BIAN</v>
      </c>
      <c r="P5704" s="65">
        <f>VLOOKUP(E5704,DATABASE!C:Q,9,False)</f>
        <v>1</v>
      </c>
      <c r="Q5704" s="93" t="str">
        <f>VLOOKUP(E5704,DATABASE!C:Q,4,false)</f>
        <v>GT</v>
      </c>
      <c r="R5704" s="93" t="str">
        <f>VLOOKUP(E5704,DATABASE!C:Q,11,false)</f>
        <v>Tire</v>
      </c>
    </row>
    <row r="5705" ht="22.5" customHeight="1">
      <c r="A5705" s="49"/>
      <c r="C5705" s="683">
        <v>45988.0</v>
      </c>
      <c r="D5705" s="682">
        <v>7995.0</v>
      </c>
      <c r="E5705" s="680" t="s">
        <v>255</v>
      </c>
      <c r="F5705" s="670">
        <v>1.0</v>
      </c>
      <c r="G5705" s="681">
        <v>200000.0</v>
      </c>
      <c r="H5705" s="74">
        <v>0.0</v>
      </c>
      <c r="I5705" s="74">
        <f t="shared" si="1"/>
        <v>200000</v>
      </c>
      <c r="J5705" s="74">
        <f>IF(E5705="SERVICE",I5705-(I5705*50%),Vlookup(E5705,DATABASE!C:Q,10,false)*F5705)</f>
        <v>0</v>
      </c>
      <c r="K5705" s="74">
        <f>VLOOKUP(E5705,DATABASE!C:Q,7,false)</f>
        <v>161840</v>
      </c>
      <c r="L5705" s="74">
        <v>161840.0</v>
      </c>
      <c r="M5705" s="74">
        <f t="shared" si="2"/>
        <v>165000</v>
      </c>
      <c r="N5705" s="74">
        <f t="shared" si="3"/>
        <v>35000</v>
      </c>
      <c r="O5705" s="65" t="str">
        <f>VLOOKUP(E5705,DATABASE!C:Q,8,false)</f>
        <v>BIAN</v>
      </c>
      <c r="P5705" s="65">
        <f>VLOOKUP(E5705,DATABASE!C:Q,9,False)</f>
        <v>1</v>
      </c>
      <c r="Q5705" s="93" t="str">
        <f>VLOOKUP(E5705,DATABASE!C:Q,4,false)</f>
        <v>BD</v>
      </c>
      <c r="R5705" s="93" t="str">
        <f>VLOOKUP(E5705,DATABASE!C:Q,11,false)</f>
        <v>Tire</v>
      </c>
    </row>
    <row r="5706" ht="22.5" customHeight="1">
      <c r="A5706" s="49"/>
      <c r="C5706" s="683">
        <v>45988.0</v>
      </c>
      <c r="D5706" s="682">
        <v>7996.0</v>
      </c>
      <c r="E5706" s="671" t="s">
        <v>299</v>
      </c>
      <c r="F5706" s="670">
        <v>2.0</v>
      </c>
      <c r="G5706" s="681">
        <v>30000.0</v>
      </c>
      <c r="H5706" s="74">
        <v>0.0</v>
      </c>
      <c r="I5706" s="74">
        <f t="shared" si="1"/>
        <v>60000</v>
      </c>
      <c r="J5706" s="74">
        <f>IF(E5706="SERVICE",I5706-(I5706*50%),Vlookup(E5706,DATABASE!C:Q,10,false)*F5706)</f>
        <v>0</v>
      </c>
      <c r="K5706" s="74">
        <f>VLOOKUP(E5706,DATABASE!C:Q,7,false)</f>
        <v>10000</v>
      </c>
      <c r="L5706" s="74">
        <v>5000.0</v>
      </c>
      <c r="M5706" s="74">
        <f t="shared" si="2"/>
        <v>5000</v>
      </c>
      <c r="N5706" s="74">
        <f t="shared" si="3"/>
        <v>50000</v>
      </c>
      <c r="O5706" s="65" t="str">
        <f>VLOOKUP(E5706,DATABASE!C:Q,8,false)</f>
        <v>BIAN</v>
      </c>
      <c r="P5706" s="65">
        <f>VLOOKUP(E5706,DATABASE!C:Q,9,False)</f>
        <v>0</v>
      </c>
      <c r="Q5706" s="93" t="str">
        <f>VLOOKUP(E5706,DATABASE!C:Q,4,false)</f>
        <v>Balancing</v>
      </c>
      <c r="R5706" s="93" t="str">
        <f>VLOOKUP(E5706,DATABASE!C:Q,11,false)</f>
        <v>COMPLEMENTARY</v>
      </c>
    </row>
    <row r="5707" ht="22.5" customHeight="1">
      <c r="A5707" s="49"/>
      <c r="C5707" s="683">
        <v>45988.0</v>
      </c>
      <c r="D5707" s="682">
        <v>7997.0</v>
      </c>
      <c r="E5707" s="680" t="s">
        <v>781</v>
      </c>
      <c r="F5707" s="670">
        <v>2.0</v>
      </c>
      <c r="G5707" s="681">
        <v>530000.0</v>
      </c>
      <c r="H5707" s="74">
        <v>0.0</v>
      </c>
      <c r="I5707" s="74">
        <f t="shared" si="1"/>
        <v>1060000</v>
      </c>
      <c r="J5707" s="74">
        <f>IF(E5707="SERVICE",I5707-(I5707*50%),Vlookup(E5707,DATABASE!C:Q,10,false)*F5707)</f>
        <v>0</v>
      </c>
      <c r="K5707" s="74">
        <f>VLOOKUP(E5707,DATABASE!C:Q,7,false)</f>
        <v>470000</v>
      </c>
      <c r="L5707" s="74">
        <v>442500.0</v>
      </c>
      <c r="M5707" s="74">
        <f t="shared" si="2"/>
        <v>445000</v>
      </c>
      <c r="N5707" s="74">
        <f t="shared" si="3"/>
        <v>170000</v>
      </c>
      <c r="O5707" s="65" t="str">
        <f>VLOOKUP(E5707,DATABASE!C:Q,8,false)</f>
        <v>BIAN</v>
      </c>
      <c r="P5707" s="65">
        <f>VLOOKUP(E5707,DATABASE!C:Q,9,False)</f>
        <v>1</v>
      </c>
      <c r="Q5707" s="93" t="str">
        <f>VLOOKUP(E5707,DATABASE!C:Q,4,false)</f>
        <v>GT</v>
      </c>
      <c r="R5707" s="93" t="str">
        <f>VLOOKUP(E5707,DATABASE!C:Q,11,false)</f>
        <v>Tire</v>
      </c>
      <c r="U5707" s="9">
        <v>1060000.0</v>
      </c>
    </row>
    <row r="5708" ht="22.5" customHeight="1">
      <c r="A5708" s="49"/>
      <c r="C5708" s="683">
        <v>45988.0</v>
      </c>
      <c r="D5708" s="682">
        <v>7997.0</v>
      </c>
      <c r="E5708" s="680" t="s">
        <v>262</v>
      </c>
      <c r="F5708" s="670">
        <v>1.0</v>
      </c>
      <c r="G5708" s="681">
        <v>110000.0</v>
      </c>
      <c r="H5708" s="74">
        <v>0.0</v>
      </c>
      <c r="I5708" s="74">
        <f t="shared" si="1"/>
        <v>110000</v>
      </c>
      <c r="J5708" s="74">
        <f>IF(E5708="SERVICE",I5708-(I5708*50%),Vlookup(E5708,DATABASE!C:Q,10,false)*F5708)</f>
        <v>5000</v>
      </c>
      <c r="K5708" s="74">
        <f>VLOOKUP(E5708,DATABASE!C:Q,7,false)</f>
        <v>0</v>
      </c>
      <c r="L5708" s="74">
        <v>0.0</v>
      </c>
      <c r="M5708" s="74">
        <f t="shared" si="2"/>
        <v>0</v>
      </c>
      <c r="N5708" s="74">
        <f t="shared" si="3"/>
        <v>105000</v>
      </c>
      <c r="O5708" s="65" t="str">
        <f>VLOOKUP(E5708,DATABASE!C:Q,8,false)</f>
        <v>IBU</v>
      </c>
      <c r="P5708" s="65">
        <f>VLOOKUP(E5708,DATABASE!C:Q,9,False)</f>
        <v>0</v>
      </c>
      <c r="Q5708" s="93" t="str">
        <f>VLOOKUP(E5708,DATABASE!C:Q,4,false)</f>
        <v>SPOORING SS/CARRY LOS BAK</v>
      </c>
      <c r="R5708" s="93" t="str">
        <f>VLOOKUP(E5708,DATABASE!C:Q,11,false)</f>
        <v>SERVICE</v>
      </c>
    </row>
    <row r="5709" ht="22.5" customHeight="1">
      <c r="A5709" s="49"/>
      <c r="C5709" s="683">
        <v>45988.0</v>
      </c>
      <c r="D5709" s="682">
        <v>7997.0</v>
      </c>
      <c r="E5709" s="680" t="s">
        <v>478</v>
      </c>
      <c r="F5709" s="670">
        <v>1.0</v>
      </c>
      <c r="G5709" s="681">
        <v>200000.0</v>
      </c>
      <c r="H5709" s="74">
        <v>0.0</v>
      </c>
      <c r="I5709" s="74">
        <f t="shared" si="1"/>
        <v>200000</v>
      </c>
      <c r="J5709" s="74">
        <f>IF(E5709="SERVICE",I5709-(I5709*50%),Vlookup(E5709,DATABASE!C:Q,10,false)*F5709)</f>
        <v>25000</v>
      </c>
      <c r="K5709" s="74">
        <f>VLOOKUP(E5709,DATABASE!C:Q,7,false)</f>
        <v>75000</v>
      </c>
      <c r="L5709" s="74">
        <v>75000.0</v>
      </c>
      <c r="M5709" s="74">
        <f t="shared" si="2"/>
        <v>75000</v>
      </c>
      <c r="N5709" s="74">
        <f t="shared" si="3"/>
        <v>100000</v>
      </c>
      <c r="O5709" s="65" t="str">
        <f>VLOOKUP(E5709,DATABASE!C:Q,8,false)</f>
        <v>BIAN</v>
      </c>
      <c r="P5709" s="65">
        <f>VLOOKUP(E5709,DATABASE!C:Q,9,False)</f>
        <v>0</v>
      </c>
      <c r="Q5709" s="93" t="str">
        <f>VLOOKUP(E5709,DATABASE!C:Q,4,false)</f>
        <v>Baut Camber ss-carry</v>
      </c>
      <c r="R5709" s="93" t="str">
        <f>VLOOKUP(E5709,DATABASE!C:Q,11,false)</f>
        <v>COMPLEMENTARY</v>
      </c>
    </row>
    <row r="5710" ht="22.5" customHeight="1">
      <c r="A5710" s="49"/>
      <c r="C5710" s="683">
        <v>45988.0</v>
      </c>
      <c r="D5710" s="682">
        <v>7997.0</v>
      </c>
      <c r="E5710" s="680" t="s">
        <v>251</v>
      </c>
      <c r="F5710" s="670">
        <v>1.0</v>
      </c>
      <c r="G5710" s="681">
        <v>150000.0</v>
      </c>
      <c r="H5710" s="74">
        <v>0.0</v>
      </c>
      <c r="I5710" s="74">
        <f t="shared" si="1"/>
        <v>150000</v>
      </c>
      <c r="J5710" s="74">
        <f>IF(E5710="SERVICE",I5710-(I5710*50%),Vlookup(E5710,DATABASE!C:Q,10,false)*F5710)</f>
        <v>75000</v>
      </c>
      <c r="K5710" s="74">
        <f>VLOOKUP(E5710,DATABASE!C:Q,7,false)</f>
        <v>0</v>
      </c>
      <c r="L5710" s="74">
        <v>0.0</v>
      </c>
      <c r="M5710" s="74">
        <f t="shared" si="2"/>
        <v>0</v>
      </c>
      <c r="N5710" s="74">
        <f t="shared" si="3"/>
        <v>75000</v>
      </c>
      <c r="O5710" s="65" t="str">
        <f>VLOOKUP(E5710,DATABASE!C:Q,8,false)</f>
        <v>IBU</v>
      </c>
      <c r="P5710" s="65">
        <f>VLOOKUP(E5710,DATABASE!C:Q,9,False)</f>
        <v>0</v>
      </c>
      <c r="Q5710" s="93" t="str">
        <f>VLOOKUP(E5710,DATABASE!C:Q,4,false)</f>
        <v>SERVICE</v>
      </c>
      <c r="R5710" s="93" t="str">
        <f>VLOOKUP(E5710,DATABASE!C:Q,11,false)</f>
        <v>SERVICE</v>
      </c>
    </row>
    <row r="5711" ht="22.5" customHeight="1">
      <c r="A5711" s="49"/>
      <c r="C5711" s="683">
        <v>45988.0</v>
      </c>
      <c r="D5711" s="682">
        <v>7998.0</v>
      </c>
      <c r="E5711" s="680" t="s">
        <v>1196</v>
      </c>
      <c r="F5711" s="670">
        <v>1.0</v>
      </c>
      <c r="G5711" s="681">
        <v>1050000.0</v>
      </c>
      <c r="H5711" s="74">
        <v>0.0</v>
      </c>
      <c r="I5711" s="74">
        <f t="shared" si="1"/>
        <v>1050000</v>
      </c>
      <c r="J5711" s="74">
        <f>IF(E5711="SERVICE",I5711-(I5711*50%),Vlookup(E5711,DATABASE!C:Q,10,false)*F5711)</f>
        <v>0</v>
      </c>
      <c r="K5711" s="74">
        <f>VLOOKUP(E5711,DATABASE!C:Q,7,false)</f>
        <v>943430.5</v>
      </c>
      <c r="L5711" s="74">
        <v>945190.375</v>
      </c>
      <c r="M5711" s="74">
        <f t="shared" si="2"/>
        <v>950000</v>
      </c>
      <c r="N5711" s="74">
        <f t="shared" si="3"/>
        <v>100000</v>
      </c>
      <c r="O5711" s="65" t="str">
        <f>VLOOKUP(E5711,DATABASE!C:Q,8,false)</f>
        <v>IBU</v>
      </c>
      <c r="P5711" s="65">
        <f>VLOOKUP(E5711,DATABASE!C:Q,9,False)</f>
        <v>1</v>
      </c>
      <c r="Q5711" s="93" t="str">
        <f>VLOOKUP(E5711,DATABASE!C:Q,4,false)</f>
        <v>Bridgestone</v>
      </c>
      <c r="R5711" s="93" t="str">
        <f>VLOOKUP(E5711,DATABASE!C:Q,11,false)</f>
        <v>Tire</v>
      </c>
      <c r="U5711" s="9"/>
    </row>
    <row r="5712" ht="22.5" customHeight="1">
      <c r="A5712" s="49"/>
      <c r="C5712" s="683">
        <v>45988.0</v>
      </c>
      <c r="D5712" s="682">
        <v>7999.0</v>
      </c>
      <c r="E5712" s="680" t="s">
        <v>955</v>
      </c>
      <c r="F5712" s="670">
        <v>4.0</v>
      </c>
      <c r="G5712" s="681">
        <v>770000.0</v>
      </c>
      <c r="H5712" s="74">
        <v>0.0</v>
      </c>
      <c r="I5712" s="74">
        <f t="shared" si="1"/>
        <v>3080000</v>
      </c>
      <c r="J5712" s="74">
        <f>IF(E5712="SERVICE",I5712-(I5712*50%),Vlookup(E5712,DATABASE!C:Q,10,false)*F5712)</f>
        <v>0</v>
      </c>
      <c r="K5712" s="74">
        <f>VLOOKUP(E5712,DATABASE!C:Q,7,false)</f>
        <v>712000</v>
      </c>
      <c r="L5712" s="74">
        <v>674000.0</v>
      </c>
      <c r="M5712" s="74">
        <f t="shared" si="2"/>
        <v>675000</v>
      </c>
      <c r="N5712" s="74">
        <f t="shared" si="3"/>
        <v>380000</v>
      </c>
      <c r="O5712" s="65" t="str">
        <f>VLOOKUP(E5712,DATABASE!C:Q,8,false)</f>
        <v>IBU</v>
      </c>
      <c r="P5712" s="65">
        <f>VLOOKUP(E5712,DATABASE!C:Q,9,False)</f>
        <v>1</v>
      </c>
      <c r="Q5712" s="93" t="str">
        <f>VLOOKUP(E5712,DATABASE!C:Q,4,false)</f>
        <v>Dunlop</v>
      </c>
      <c r="R5712" s="93" t="str">
        <f>VLOOKUP(E5712,DATABASE!C:Q,11,false)</f>
        <v>Tire</v>
      </c>
      <c r="U5712" s="9"/>
    </row>
    <row r="5713" ht="22.5" customHeight="1">
      <c r="A5713" s="49"/>
      <c r="C5713" s="683">
        <v>45988.0</v>
      </c>
      <c r="D5713" s="682">
        <v>8001.0</v>
      </c>
      <c r="E5713" s="680" t="s">
        <v>781</v>
      </c>
      <c r="F5713" s="670">
        <v>2.0</v>
      </c>
      <c r="G5713" s="681">
        <v>530000.0</v>
      </c>
      <c r="H5713" s="74">
        <v>0.0</v>
      </c>
      <c r="I5713" s="74">
        <f t="shared" si="1"/>
        <v>1060000</v>
      </c>
      <c r="J5713" s="74">
        <f>IF(E5713="SERVICE",I5713-(I5713*50%),Vlookup(E5713,DATABASE!C:Q,10,false)*F5713)</f>
        <v>0</v>
      </c>
      <c r="K5713" s="74">
        <f>VLOOKUP(E5713,DATABASE!C:Q,7,false)</f>
        <v>470000</v>
      </c>
      <c r="L5713" s="74">
        <v>442500.0</v>
      </c>
      <c r="M5713" s="74">
        <f t="shared" si="2"/>
        <v>445000</v>
      </c>
      <c r="N5713" s="74">
        <f t="shared" si="3"/>
        <v>170000</v>
      </c>
      <c r="O5713" s="65" t="str">
        <f>VLOOKUP(E5713,DATABASE!C:Q,8,false)</f>
        <v>BIAN</v>
      </c>
      <c r="P5713" s="65">
        <f>VLOOKUP(E5713,DATABASE!C:Q,9,False)</f>
        <v>1</v>
      </c>
      <c r="Q5713" s="93" t="str">
        <f>VLOOKUP(E5713,DATABASE!C:Q,4,false)</f>
        <v>GT</v>
      </c>
      <c r="R5713" s="93" t="str">
        <f>VLOOKUP(E5713,DATABASE!C:Q,11,false)</f>
        <v>Tire</v>
      </c>
      <c r="U5713" s="9">
        <v>1060000.0</v>
      </c>
    </row>
    <row r="5714" ht="22.5" customHeight="1">
      <c r="A5714" s="49"/>
      <c r="C5714" s="683">
        <v>45988.0</v>
      </c>
      <c r="D5714" s="682">
        <v>8002.0</v>
      </c>
      <c r="E5714" s="680" t="s">
        <v>569</v>
      </c>
      <c r="F5714" s="670">
        <v>1.0</v>
      </c>
      <c r="G5714" s="681">
        <v>80000.0</v>
      </c>
      <c r="H5714" s="74">
        <v>0.0</v>
      </c>
      <c r="I5714" s="74">
        <f t="shared" si="1"/>
        <v>80000</v>
      </c>
      <c r="J5714" s="74">
        <f>IF(E5714="SERVICE",I5714-(I5714*50%),Vlookup(E5714,DATABASE!C:Q,10,false)*F5714)</f>
        <v>0</v>
      </c>
      <c r="K5714" s="74">
        <f>VLOOKUP(E5714,DATABASE!C:Q,7,false)</f>
        <v>45439.582</v>
      </c>
      <c r="L5714" s="74">
        <v>45309.6</v>
      </c>
      <c r="M5714" s="74">
        <f t="shared" si="2"/>
        <v>50000</v>
      </c>
      <c r="N5714" s="74">
        <f t="shared" si="3"/>
        <v>30000</v>
      </c>
      <c r="O5714" s="65" t="str">
        <f>VLOOKUP(E5714,DATABASE!C:Q,8,false)</f>
        <v>BIAN</v>
      </c>
      <c r="P5714" s="65">
        <f>VLOOKUP(E5714,DATABASE!C:Q,9,False)</f>
        <v>1</v>
      </c>
      <c r="Q5714" s="93" t="str">
        <f>VLOOKUP(E5714,DATABASE!C:Q,4,false)</f>
        <v>BD</v>
      </c>
      <c r="R5714" s="93" t="str">
        <f>VLOOKUP(E5714,DATABASE!C:Q,11,false)</f>
        <v>Tire</v>
      </c>
      <c r="U5714" s="9">
        <v>80000.0</v>
      </c>
    </row>
    <row r="5715" ht="22.5" customHeight="1">
      <c r="A5715" s="49"/>
      <c r="C5715" s="683">
        <v>45988.0</v>
      </c>
      <c r="D5715" s="682">
        <v>8003.0</v>
      </c>
      <c r="E5715" s="680" t="s">
        <v>262</v>
      </c>
      <c r="F5715" s="670">
        <v>1.0</v>
      </c>
      <c r="G5715" s="681">
        <v>110000.0</v>
      </c>
      <c r="H5715" s="74">
        <v>0.0</v>
      </c>
      <c r="I5715" s="74">
        <f t="shared" si="1"/>
        <v>110000</v>
      </c>
      <c r="J5715" s="74">
        <f>IF(E5715="SERVICE",I5715-(I5715*50%),Vlookup(E5715,DATABASE!C:Q,10,false)*F5715)</f>
        <v>5000</v>
      </c>
      <c r="K5715" s="74">
        <f>VLOOKUP(E5715,DATABASE!C:Q,7,false)</f>
        <v>0</v>
      </c>
      <c r="L5715" s="74">
        <v>0.0</v>
      </c>
      <c r="M5715" s="74">
        <f t="shared" si="2"/>
        <v>0</v>
      </c>
      <c r="N5715" s="74">
        <f t="shared" si="3"/>
        <v>105000</v>
      </c>
      <c r="O5715" s="65" t="str">
        <f>VLOOKUP(E5715,DATABASE!C:Q,8,false)</f>
        <v>IBU</v>
      </c>
      <c r="P5715" s="65">
        <f>VLOOKUP(E5715,DATABASE!C:Q,9,False)</f>
        <v>0</v>
      </c>
      <c r="Q5715" s="93" t="str">
        <f>VLOOKUP(E5715,DATABASE!C:Q,4,false)</f>
        <v>SPOORING SS/CARRY LOS BAK</v>
      </c>
      <c r="R5715" s="93" t="str">
        <f>VLOOKUP(E5715,DATABASE!C:Q,11,false)</f>
        <v>SERVICE</v>
      </c>
    </row>
    <row r="5716" ht="22.5" customHeight="1">
      <c r="A5716" s="49"/>
      <c r="C5716" s="683">
        <v>45988.0</v>
      </c>
      <c r="D5716" s="682">
        <v>8003.0</v>
      </c>
      <c r="E5716" s="680" t="s">
        <v>251</v>
      </c>
      <c r="F5716" s="670">
        <v>1.0</v>
      </c>
      <c r="G5716" s="681">
        <v>150000.0</v>
      </c>
      <c r="H5716" s="74">
        <v>0.0</v>
      </c>
      <c r="I5716" s="74">
        <f t="shared" si="1"/>
        <v>150000</v>
      </c>
      <c r="J5716" s="74">
        <f>IF(E5716="SERVICE",I5716-(I5716*50%),Vlookup(E5716,DATABASE!C:Q,10,false)*F5716)</f>
        <v>75000</v>
      </c>
      <c r="K5716" s="74">
        <f>VLOOKUP(E5716,DATABASE!C:Q,7,false)</f>
        <v>0</v>
      </c>
      <c r="L5716" s="74">
        <v>0.0</v>
      </c>
      <c r="M5716" s="74">
        <f t="shared" si="2"/>
        <v>0</v>
      </c>
      <c r="N5716" s="74">
        <f t="shared" si="3"/>
        <v>75000</v>
      </c>
      <c r="O5716" s="65" t="str">
        <f>VLOOKUP(E5716,DATABASE!C:Q,8,false)</f>
        <v>IBU</v>
      </c>
      <c r="P5716" s="65">
        <f>VLOOKUP(E5716,DATABASE!C:Q,9,False)</f>
        <v>0</v>
      </c>
      <c r="Q5716" s="93" t="str">
        <f>VLOOKUP(E5716,DATABASE!C:Q,4,false)</f>
        <v>SERVICE</v>
      </c>
      <c r="R5716" s="93" t="str">
        <f>VLOOKUP(E5716,DATABASE!C:Q,11,false)</f>
        <v>SERVICE</v>
      </c>
    </row>
    <row r="5717" ht="22.5" customHeight="1">
      <c r="A5717" s="49"/>
      <c r="C5717" s="683">
        <v>45988.0</v>
      </c>
      <c r="D5717" s="682">
        <v>8004.0</v>
      </c>
      <c r="E5717" s="680" t="s">
        <v>2019</v>
      </c>
      <c r="F5717" s="670">
        <v>1.0</v>
      </c>
      <c r="G5717" s="681">
        <v>680000.0</v>
      </c>
      <c r="H5717" s="74">
        <v>0.0</v>
      </c>
      <c r="I5717" s="74">
        <f t="shared" si="1"/>
        <v>680000</v>
      </c>
      <c r="J5717" s="74">
        <f>IF(E5717="SERVICE",I5717-(I5717*50%),Vlookup(E5717,DATABASE!C:Q,10,false)*F5717)</f>
        <v>0</v>
      </c>
      <c r="K5717" s="74">
        <f>VLOOKUP(E5717,DATABASE!C:Q,7,false)</f>
        <v>620000</v>
      </c>
      <c r="L5717" s="74">
        <v>585000.0</v>
      </c>
      <c r="M5717" s="74">
        <f t="shared" si="2"/>
        <v>585000</v>
      </c>
      <c r="N5717" s="74">
        <f t="shared" si="3"/>
        <v>95000</v>
      </c>
      <c r="O5717" s="65" t="str">
        <f>VLOOKUP(E5717,DATABASE!C:Q,8,false)</f>
        <v>BIAN</v>
      </c>
      <c r="P5717" s="65">
        <f>VLOOKUP(E5717,DATABASE!C:Q,9,False)</f>
        <v>1</v>
      </c>
      <c r="Q5717" s="93" t="str">
        <f>VLOOKUP(E5717,DATABASE!C:Q,4,false)</f>
        <v>GT</v>
      </c>
      <c r="R5717" s="93" t="str">
        <f>VLOOKUP(E5717,DATABASE!C:Q,11,false)</f>
        <v>Tire</v>
      </c>
      <c r="U5717" s="9">
        <v>680000.0</v>
      </c>
    </row>
    <row r="5718" ht="22.5" customHeight="1">
      <c r="A5718" s="49"/>
      <c r="C5718" s="683">
        <v>45988.0</v>
      </c>
      <c r="D5718" s="682">
        <v>8004.0</v>
      </c>
      <c r="E5718" s="680" t="s">
        <v>250</v>
      </c>
      <c r="F5718" s="670">
        <v>1.0</v>
      </c>
      <c r="G5718" s="681">
        <v>135000.0</v>
      </c>
      <c r="H5718" s="74">
        <v>0.0</v>
      </c>
      <c r="I5718" s="74">
        <f t="shared" si="1"/>
        <v>135000</v>
      </c>
      <c r="J5718" s="74">
        <f>IF(E5718="SERVICE",I5718-(I5718*50%),Vlookup(E5718,DATABASE!C:Q,10,false)*F5718)</f>
        <v>0</v>
      </c>
      <c r="K5718" s="74">
        <f>VLOOKUP(E5718,DATABASE!C:Q,7,false)</f>
        <v>102000</v>
      </c>
      <c r="L5718" s="74">
        <v>102000.0</v>
      </c>
      <c r="M5718" s="74">
        <f t="shared" si="2"/>
        <v>105000</v>
      </c>
      <c r="N5718" s="74">
        <f t="shared" si="3"/>
        <v>30000</v>
      </c>
      <c r="O5718" s="65" t="str">
        <f>VLOOKUP(E5718,DATABASE!C:Q,8,false)</f>
        <v>BIAN</v>
      </c>
      <c r="P5718" s="65">
        <f>VLOOKUP(E5718,DATABASE!C:Q,9,False)</f>
        <v>1</v>
      </c>
      <c r="Q5718" s="93" t="str">
        <f>VLOOKUP(E5718,DATABASE!C:Q,4,false)</f>
        <v>BD</v>
      </c>
      <c r="R5718" s="93" t="str">
        <f>VLOOKUP(E5718,DATABASE!C:Q,11,false)</f>
        <v>Tire</v>
      </c>
      <c r="U5718" s="9">
        <v>135000.0</v>
      </c>
    </row>
    <row r="5719" ht="22.5" customHeight="1">
      <c r="A5719" s="49"/>
      <c r="C5719" s="683">
        <v>45988.0</v>
      </c>
      <c r="D5719" s="682">
        <v>8005.0</v>
      </c>
      <c r="E5719" s="680" t="s">
        <v>256</v>
      </c>
      <c r="F5719" s="670">
        <v>1.0</v>
      </c>
      <c r="G5719" s="681">
        <v>130000.0</v>
      </c>
      <c r="H5719" s="74">
        <v>0.0</v>
      </c>
      <c r="I5719" s="74">
        <f t="shared" si="1"/>
        <v>130000</v>
      </c>
      <c r="J5719" s="74">
        <f>IF(E5719="SERVICE",I5719-(I5719*50%),Vlookup(E5719,DATABASE!C:Q,10,false)*F5719)</f>
        <v>10000</v>
      </c>
      <c r="K5719" s="74">
        <f>VLOOKUP(E5719,DATABASE!C:Q,7,false)</f>
        <v>0</v>
      </c>
      <c r="L5719" s="74">
        <v>0.0</v>
      </c>
      <c r="M5719" s="74">
        <f t="shared" si="2"/>
        <v>0</v>
      </c>
      <c r="N5719" s="74">
        <f t="shared" si="3"/>
        <v>120000</v>
      </c>
      <c r="O5719" s="65" t="str">
        <f>VLOOKUP(E5719,DATABASE!C:Q,8,false)</f>
        <v>IBU</v>
      </c>
      <c r="P5719" s="65">
        <f>VLOOKUP(E5719,DATABASE!C:Q,9,False)</f>
        <v>0</v>
      </c>
      <c r="Q5719" s="93" t="str">
        <f>VLOOKUP(E5719,DATABASE!C:Q,4,false)</f>
        <v>SPOORING</v>
      </c>
      <c r="R5719" s="93" t="str">
        <f>VLOOKUP(E5719,DATABASE!C:Q,11,false)</f>
        <v>SERVICE</v>
      </c>
    </row>
    <row r="5720" ht="22.5" customHeight="1">
      <c r="A5720" s="49"/>
      <c r="C5720" s="683">
        <v>45988.0</v>
      </c>
      <c r="D5720" s="682">
        <v>8005.0</v>
      </c>
      <c r="E5720" s="680" t="s">
        <v>301</v>
      </c>
      <c r="F5720" s="670">
        <v>1.0</v>
      </c>
      <c r="G5720" s="681">
        <v>250000.0</v>
      </c>
      <c r="H5720" s="74">
        <v>0.0</v>
      </c>
      <c r="I5720" s="74">
        <f t="shared" si="1"/>
        <v>250000</v>
      </c>
      <c r="J5720" s="74">
        <f>IF(E5720="SERVICE",I5720-(I5720*50%),Vlookup(E5720,DATABASE!C:Q,10,false)*F5720)</f>
        <v>75000</v>
      </c>
      <c r="K5720" s="74">
        <f>VLOOKUP(E5720,DATABASE!C:Q,7,false)</f>
        <v>75000</v>
      </c>
      <c r="L5720" s="74">
        <v>75000.0</v>
      </c>
      <c r="M5720" s="74">
        <f t="shared" si="2"/>
        <v>75000</v>
      </c>
      <c r="N5720" s="74">
        <f t="shared" si="3"/>
        <v>100000</v>
      </c>
      <c r="O5720" s="65" t="str">
        <f>VLOOKUP(E5720,DATABASE!C:Q,8,false)</f>
        <v>BIAN</v>
      </c>
      <c r="P5720" s="65">
        <f>VLOOKUP(E5720,DATABASE!C:Q,9,False)</f>
        <v>0</v>
      </c>
      <c r="Q5720" s="93" t="str">
        <f>VLOOKUP(E5720,DATABASE!C:Q,4,false)</f>
        <v>Baut Camber</v>
      </c>
      <c r="R5720" s="93" t="str">
        <f>VLOOKUP(E5720,DATABASE!C:Q,11,false)</f>
        <v>COMPLEMENTARY</v>
      </c>
    </row>
    <row r="5721" ht="22.5" customHeight="1">
      <c r="A5721" s="49"/>
      <c r="C5721" s="683">
        <v>45988.0</v>
      </c>
      <c r="D5721" s="682">
        <v>8006.0</v>
      </c>
      <c r="E5721" s="680" t="s">
        <v>554</v>
      </c>
      <c r="F5721" s="670">
        <v>2.0</v>
      </c>
      <c r="G5721" s="681">
        <v>770000.0</v>
      </c>
      <c r="H5721" s="74">
        <v>0.0</v>
      </c>
      <c r="I5721" s="74">
        <f t="shared" si="1"/>
        <v>1540000</v>
      </c>
      <c r="J5721" s="74">
        <f>IF(E5721="SERVICE",I5721-(I5721*50%),Vlookup(E5721,DATABASE!C:Q,10,false)*F5721)</f>
        <v>0</v>
      </c>
      <c r="K5721" s="74">
        <f>VLOOKUP(E5721,DATABASE!C:Q,7,false)</f>
        <v>710000</v>
      </c>
      <c r="L5721" s="74">
        <v>680000.0</v>
      </c>
      <c r="M5721" s="74">
        <f t="shared" si="2"/>
        <v>680000</v>
      </c>
      <c r="N5721" s="74">
        <f t="shared" si="3"/>
        <v>180000</v>
      </c>
      <c r="O5721" s="65" t="str">
        <f>VLOOKUP(E5721,DATABASE!C:Q,8,false)</f>
        <v>IBU</v>
      </c>
      <c r="P5721" s="65">
        <f>VLOOKUP(E5721,DATABASE!C:Q,9,False)</f>
        <v>1</v>
      </c>
      <c r="Q5721" s="93" t="str">
        <f>VLOOKUP(E5721,DATABASE!C:Q,4,false)</f>
        <v>Bridgestone</v>
      </c>
      <c r="R5721" s="93" t="str">
        <f>VLOOKUP(E5721,DATABASE!C:Q,11,false)</f>
        <v>Tire</v>
      </c>
      <c r="U5721" s="9"/>
    </row>
    <row r="5722" ht="22.5" customHeight="1">
      <c r="A5722" s="49"/>
      <c r="C5722" s="683">
        <v>45988.0</v>
      </c>
      <c r="D5722" s="682">
        <v>8006.0</v>
      </c>
      <c r="E5722" s="680" t="s">
        <v>256</v>
      </c>
      <c r="F5722" s="670">
        <v>1.0</v>
      </c>
      <c r="G5722" s="681">
        <v>130000.0</v>
      </c>
      <c r="H5722" s="74">
        <v>0.0</v>
      </c>
      <c r="I5722" s="74">
        <f t="shared" si="1"/>
        <v>130000</v>
      </c>
      <c r="J5722" s="74">
        <f>IF(E5722="SERVICE",I5722-(I5722*50%),Vlookup(E5722,DATABASE!C:Q,10,false)*F5722)</f>
        <v>10000</v>
      </c>
      <c r="K5722" s="74">
        <f>VLOOKUP(E5722,DATABASE!C:Q,7,false)</f>
        <v>0</v>
      </c>
      <c r="L5722" s="74">
        <v>0.0</v>
      </c>
      <c r="M5722" s="74">
        <f t="shared" si="2"/>
        <v>0</v>
      </c>
      <c r="N5722" s="74">
        <f t="shared" si="3"/>
        <v>120000</v>
      </c>
      <c r="O5722" s="65" t="str">
        <f>VLOOKUP(E5722,DATABASE!C:Q,8,false)</f>
        <v>IBU</v>
      </c>
      <c r="P5722" s="65">
        <f>VLOOKUP(E5722,DATABASE!C:Q,9,False)</f>
        <v>0</v>
      </c>
      <c r="Q5722" s="93" t="str">
        <f>VLOOKUP(E5722,DATABASE!C:Q,4,false)</f>
        <v>SPOORING</v>
      </c>
      <c r="R5722" s="93" t="str">
        <f>VLOOKUP(E5722,DATABASE!C:Q,11,false)</f>
        <v>SERVICE</v>
      </c>
    </row>
    <row r="5723" ht="22.5" customHeight="1">
      <c r="A5723" s="49"/>
      <c r="C5723" s="683">
        <v>45988.0</v>
      </c>
      <c r="D5723" s="682">
        <v>8006.0</v>
      </c>
      <c r="E5723" s="680" t="s">
        <v>301</v>
      </c>
      <c r="F5723" s="670">
        <v>1.0</v>
      </c>
      <c r="G5723" s="681">
        <v>250000.0</v>
      </c>
      <c r="H5723" s="74">
        <v>0.0</v>
      </c>
      <c r="I5723" s="74">
        <f t="shared" si="1"/>
        <v>250000</v>
      </c>
      <c r="J5723" s="74">
        <f>IF(E5723="SERVICE",I5723-(I5723*50%),Vlookup(E5723,DATABASE!C:Q,10,false)*F5723)</f>
        <v>75000</v>
      </c>
      <c r="K5723" s="74">
        <f>VLOOKUP(E5723,DATABASE!C:Q,7,false)</f>
        <v>75000</v>
      </c>
      <c r="L5723" s="74">
        <v>75000.0</v>
      </c>
      <c r="M5723" s="74">
        <f t="shared" si="2"/>
        <v>75000</v>
      </c>
      <c r="N5723" s="74">
        <f t="shared" si="3"/>
        <v>100000</v>
      </c>
      <c r="O5723" s="65" t="str">
        <f>VLOOKUP(E5723,DATABASE!C:Q,8,false)</f>
        <v>BIAN</v>
      </c>
      <c r="P5723" s="65">
        <f>VLOOKUP(E5723,DATABASE!C:Q,9,False)</f>
        <v>0</v>
      </c>
      <c r="Q5723" s="93" t="str">
        <f>VLOOKUP(E5723,DATABASE!C:Q,4,false)</f>
        <v>Baut Camber</v>
      </c>
      <c r="R5723" s="93" t="str">
        <f>VLOOKUP(E5723,DATABASE!C:Q,11,false)</f>
        <v>COMPLEMENTARY</v>
      </c>
    </row>
    <row r="5724" ht="22.5" customHeight="1">
      <c r="A5724" s="49"/>
      <c r="C5724" s="683">
        <v>45988.0</v>
      </c>
      <c r="D5724" s="682">
        <v>8006.0</v>
      </c>
      <c r="E5724" s="671" t="s">
        <v>299</v>
      </c>
      <c r="F5724" s="670">
        <v>2.0</v>
      </c>
      <c r="G5724" s="681">
        <v>30000.0</v>
      </c>
      <c r="H5724" s="74">
        <v>0.0</v>
      </c>
      <c r="I5724" s="74">
        <f t="shared" si="1"/>
        <v>60000</v>
      </c>
      <c r="J5724" s="74">
        <f>IF(E5724="SERVICE",I5724-(I5724*50%),Vlookup(E5724,DATABASE!C:Q,10,false)*F5724)</f>
        <v>0</v>
      </c>
      <c r="K5724" s="74">
        <f>VLOOKUP(E5724,DATABASE!C:Q,7,false)</f>
        <v>10000</v>
      </c>
      <c r="L5724" s="74">
        <v>5000.0</v>
      </c>
      <c r="M5724" s="74">
        <f t="shared" si="2"/>
        <v>5000</v>
      </c>
      <c r="N5724" s="74">
        <f t="shared" si="3"/>
        <v>50000</v>
      </c>
      <c r="O5724" s="65" t="str">
        <f>VLOOKUP(E5724,DATABASE!C:Q,8,false)</f>
        <v>BIAN</v>
      </c>
      <c r="P5724" s="65">
        <f>VLOOKUP(E5724,DATABASE!C:Q,9,False)</f>
        <v>0</v>
      </c>
      <c r="Q5724" s="93" t="str">
        <f>VLOOKUP(E5724,DATABASE!C:Q,4,false)</f>
        <v>Balancing</v>
      </c>
      <c r="R5724" s="93" t="str">
        <f>VLOOKUP(E5724,DATABASE!C:Q,11,false)</f>
        <v>COMPLEMENTARY</v>
      </c>
    </row>
    <row r="5725" ht="22.5" customHeight="1">
      <c r="A5725" s="49"/>
      <c r="C5725" s="683">
        <v>45988.0</v>
      </c>
      <c r="E5725" s="680" t="s">
        <v>2191</v>
      </c>
      <c r="F5725" s="670">
        <v>1.0</v>
      </c>
      <c r="G5725" s="681">
        <v>400000.0</v>
      </c>
      <c r="H5725" s="74">
        <v>0.0</v>
      </c>
      <c r="I5725" s="74">
        <f t="shared" si="1"/>
        <v>400000</v>
      </c>
      <c r="J5725" s="74">
        <f>IF(E5725="SERVICE",I5725-(I5725*50%),Vlookup(E5725,DATABASE!C:Q,10,false)*F5725)</f>
        <v>0</v>
      </c>
      <c r="K5725" s="74">
        <f>VLOOKUP(E5725,DATABASE!C:Q,7,false)</f>
        <v>422900</v>
      </c>
      <c r="L5725" s="74">
        <v>377951.0</v>
      </c>
      <c r="M5725" s="74">
        <f t="shared" si="2"/>
        <v>380000</v>
      </c>
      <c r="N5725" s="74">
        <f t="shared" si="3"/>
        <v>20000</v>
      </c>
      <c r="O5725" s="65" t="str">
        <f>VLOOKUP(E5725,DATABASE!C:Q,8,false)</f>
        <v>NON</v>
      </c>
      <c r="P5725" s="65">
        <f>VLOOKUP(E5725,DATABASE!C:Q,9,False)</f>
        <v>0</v>
      </c>
      <c r="Q5725" s="93" t="str">
        <f>VLOOKUP(E5725,DATABASE!C:Q,4,false)</f>
        <v>Shell</v>
      </c>
      <c r="R5725" s="93" t="str">
        <f>VLOOKUP(E5725,DATABASE!C:Q,11,false)</f>
        <v>OIL</v>
      </c>
    </row>
    <row r="5726" ht="22.5" customHeight="1">
      <c r="A5726" s="49"/>
      <c r="C5726" s="400">
        <v>45989.0</v>
      </c>
      <c r="D5726" s="524">
        <v>8007.0</v>
      </c>
      <c r="E5726" s="657" t="s">
        <v>275</v>
      </c>
      <c r="F5726" s="387">
        <v>2.0</v>
      </c>
      <c r="G5726" s="140">
        <v>830000.0</v>
      </c>
      <c r="H5726" s="74"/>
      <c r="I5726" s="74">
        <f t="shared" si="1"/>
        <v>1660000</v>
      </c>
      <c r="J5726" s="74">
        <f>IF(E5726="SERVICE",I5726-(I5726*50%),Vlookup(E5726,DATABASE!C:Q,10,false)*F5726)</f>
        <v>0</v>
      </c>
      <c r="K5726" s="74">
        <f>VLOOKUP(E5726,DATABASE!C:Q,7,false)</f>
        <v>782000</v>
      </c>
      <c r="L5726" s="74">
        <v>745000.0</v>
      </c>
      <c r="M5726" s="74">
        <f t="shared" si="2"/>
        <v>745000</v>
      </c>
      <c r="N5726" s="74">
        <f t="shared" si="3"/>
        <v>170000</v>
      </c>
      <c r="O5726" s="65" t="str">
        <f>VLOOKUP(E5726,DATABASE!C:Q,8,false)</f>
        <v>IBU</v>
      </c>
      <c r="P5726" s="65">
        <f>VLOOKUP(E5726,DATABASE!C:Q,9,False)</f>
        <v>1</v>
      </c>
      <c r="Q5726" s="93" t="str">
        <f>VLOOKUP(E5726,DATABASE!C:Q,4,false)</f>
        <v>Dunlop</v>
      </c>
      <c r="R5726" s="93" t="str">
        <f>VLOOKUP(E5726,DATABASE!C:Q,11,false)</f>
        <v>Tire</v>
      </c>
      <c r="U5726" s="9"/>
    </row>
    <row r="5727" ht="22.5" customHeight="1">
      <c r="A5727" s="49"/>
      <c r="C5727" s="400">
        <v>45989.0</v>
      </c>
      <c r="D5727" s="524">
        <v>8007.0</v>
      </c>
      <c r="E5727" s="544" t="s">
        <v>299</v>
      </c>
      <c r="F5727" s="387">
        <v>2.0</v>
      </c>
      <c r="G5727" s="140">
        <v>30000.0</v>
      </c>
      <c r="H5727" s="74"/>
      <c r="I5727" s="74">
        <f t="shared" si="1"/>
        <v>60000</v>
      </c>
      <c r="J5727" s="74">
        <f>IF(E5727="SERVICE",I5727-(I5727*50%),Vlookup(E5727,DATABASE!C:Q,10,false)*F5727)</f>
        <v>0</v>
      </c>
      <c r="K5727" s="74">
        <f>VLOOKUP(E5727,DATABASE!C:Q,7,false)</f>
        <v>10000</v>
      </c>
      <c r="L5727" s="74">
        <v>5000.0</v>
      </c>
      <c r="M5727" s="74">
        <f t="shared" si="2"/>
        <v>5000</v>
      </c>
      <c r="N5727" s="74">
        <f t="shared" si="3"/>
        <v>50000</v>
      </c>
      <c r="O5727" s="65" t="str">
        <f>VLOOKUP(E5727,DATABASE!C:Q,8,false)</f>
        <v>BIAN</v>
      </c>
      <c r="P5727" s="65">
        <f>VLOOKUP(E5727,DATABASE!C:Q,9,False)</f>
        <v>0</v>
      </c>
      <c r="Q5727" s="93" t="str">
        <f>VLOOKUP(E5727,DATABASE!C:Q,4,false)</f>
        <v>Balancing</v>
      </c>
      <c r="R5727" s="93" t="str">
        <f>VLOOKUP(E5727,DATABASE!C:Q,11,false)</f>
        <v>COMPLEMENTARY</v>
      </c>
    </row>
    <row r="5728" ht="22.5" customHeight="1">
      <c r="A5728" s="49"/>
      <c r="C5728" s="400">
        <v>45989.0</v>
      </c>
      <c r="D5728" s="69">
        <v>8008.0</v>
      </c>
      <c r="E5728" s="544" t="s">
        <v>261</v>
      </c>
      <c r="F5728" s="387">
        <v>2.0</v>
      </c>
      <c r="G5728" s="140">
        <v>515000.0</v>
      </c>
      <c r="H5728" s="140">
        <v>15000.0</v>
      </c>
      <c r="I5728" s="74">
        <f t="shared" si="1"/>
        <v>1000000</v>
      </c>
      <c r="J5728" s="74">
        <f>IF(E5728="SERVICE",I5728-(I5728*50%),Vlookup(E5728,DATABASE!C:Q,10,false)*F5728)</f>
        <v>0</v>
      </c>
      <c r="K5728" s="74">
        <f>VLOOKUP(E5728,DATABASE!C:Q,7,false)</f>
        <v>415000</v>
      </c>
      <c r="L5728" s="74">
        <v>415000.0</v>
      </c>
      <c r="M5728" s="74">
        <f t="shared" si="2"/>
        <v>415000</v>
      </c>
      <c r="N5728" s="74">
        <f t="shared" si="3"/>
        <v>170000</v>
      </c>
      <c r="O5728" s="65" t="str">
        <f>VLOOKUP(E5728,DATABASE!C:Q,8,false)</f>
        <v>IBU</v>
      </c>
      <c r="P5728" s="65">
        <f>VLOOKUP(E5728,DATABASE!C:Q,9,False)</f>
        <v>1</v>
      </c>
      <c r="Q5728" s="93" t="str">
        <f>VLOOKUP(E5728,DATABASE!C:Q,4,false)</f>
        <v>Dunlop</v>
      </c>
      <c r="R5728" s="93" t="str">
        <f>VLOOKUP(E5728,DATABASE!C:Q,11,false)</f>
        <v>Tire</v>
      </c>
      <c r="U5728" s="9"/>
    </row>
    <row r="5729" ht="22.5" customHeight="1">
      <c r="A5729" s="49"/>
      <c r="C5729" s="400">
        <v>45989.0</v>
      </c>
      <c r="D5729" s="524">
        <v>8009.0</v>
      </c>
      <c r="E5729" s="544" t="s">
        <v>937</v>
      </c>
      <c r="F5729" s="387">
        <v>2.0</v>
      </c>
      <c r="G5729" s="140">
        <v>900000.0</v>
      </c>
      <c r="H5729" s="140">
        <v>20000.0</v>
      </c>
      <c r="I5729" s="74">
        <f t="shared" si="1"/>
        <v>1760000</v>
      </c>
      <c r="J5729" s="74">
        <f>IF(E5729="SERVICE",I5729-(I5729*50%),Vlookup(E5729,DATABASE!C:Q,10,false)*F5729)</f>
        <v>0</v>
      </c>
      <c r="K5729" s="74">
        <f>VLOOKUP(E5729,DATABASE!C:Q,7,false)</f>
        <v>825000</v>
      </c>
      <c r="L5729" s="74">
        <v>790000.0</v>
      </c>
      <c r="M5729" s="74">
        <f t="shared" si="2"/>
        <v>790000</v>
      </c>
      <c r="N5729" s="74">
        <f t="shared" si="3"/>
        <v>180000</v>
      </c>
      <c r="O5729" s="65" t="str">
        <f>VLOOKUP(E5729,DATABASE!C:Q,8,false)</f>
        <v>IBU</v>
      </c>
      <c r="P5729" s="65">
        <f>VLOOKUP(E5729,DATABASE!C:Q,9,False)</f>
        <v>1</v>
      </c>
      <c r="Q5729" s="93" t="str">
        <f>VLOOKUP(E5729,DATABASE!C:Q,4,false)</f>
        <v>Bridgestone</v>
      </c>
      <c r="R5729" s="93" t="str">
        <f>VLOOKUP(E5729,DATABASE!C:Q,11,false)</f>
        <v>Tire</v>
      </c>
      <c r="U5729" s="9"/>
    </row>
    <row r="5730" ht="22.5" customHeight="1">
      <c r="A5730" s="49"/>
      <c r="C5730" s="400">
        <v>45989.0</v>
      </c>
      <c r="D5730" s="524">
        <v>8010.0</v>
      </c>
      <c r="E5730" s="544" t="s">
        <v>604</v>
      </c>
      <c r="F5730" s="387">
        <v>1.0</v>
      </c>
      <c r="G5730" s="140">
        <v>170000.0</v>
      </c>
      <c r="H5730" s="140">
        <v>20000.0</v>
      </c>
      <c r="I5730" s="74">
        <f t="shared" si="1"/>
        <v>150000</v>
      </c>
      <c r="J5730" s="74">
        <f>IF(E5730="SERVICE",I5730-(I5730*50%),Vlookup(E5730,DATABASE!C:Q,10,false)*F5730)</f>
        <v>0</v>
      </c>
      <c r="K5730" s="74">
        <f>VLOOKUP(E5730,DATABASE!C:Q,7,false)</f>
        <v>124000</v>
      </c>
      <c r="L5730" s="74">
        <v>124000.0</v>
      </c>
      <c r="M5730" s="74">
        <f t="shared" si="2"/>
        <v>125000</v>
      </c>
      <c r="N5730" s="74">
        <f t="shared" si="3"/>
        <v>25000</v>
      </c>
      <c r="O5730" s="65" t="str">
        <f>VLOOKUP(E5730,DATABASE!C:Q,8,false)</f>
        <v>BIAN</v>
      </c>
      <c r="P5730" s="65">
        <f>VLOOKUP(E5730,DATABASE!C:Q,9,False)</f>
        <v>1</v>
      </c>
      <c r="Q5730" s="93" t="str">
        <f>VLOOKUP(E5730,DATABASE!C:Q,4,false)</f>
        <v>BD</v>
      </c>
      <c r="R5730" s="93" t="str">
        <f>VLOOKUP(E5730,DATABASE!C:Q,11,false)</f>
        <v>Tire</v>
      </c>
      <c r="U5730" s="9">
        <v>150000.0</v>
      </c>
    </row>
    <row r="5731" ht="22.5" customHeight="1">
      <c r="A5731" s="49"/>
      <c r="C5731" s="400">
        <v>45989.0</v>
      </c>
      <c r="D5731" s="524">
        <v>8011.0</v>
      </c>
      <c r="E5731" s="544" t="s">
        <v>288</v>
      </c>
      <c r="F5731" s="387">
        <v>2.0</v>
      </c>
      <c r="G5731" s="140">
        <v>620000.0</v>
      </c>
      <c r="H5731" s="74"/>
      <c r="I5731" s="74">
        <f t="shared" si="1"/>
        <v>1240000</v>
      </c>
      <c r="J5731" s="74">
        <f>IF(E5731="SERVICE",I5731-(I5731*50%),Vlookup(E5731,DATABASE!C:Q,10,false)*F5731)</f>
        <v>0</v>
      </c>
      <c r="K5731" s="74">
        <f>VLOOKUP(E5731,DATABASE!C:Q,7,false)</f>
        <v>565760</v>
      </c>
      <c r="L5731" s="74">
        <v>524800.0</v>
      </c>
      <c r="M5731" s="74">
        <f t="shared" si="2"/>
        <v>525000</v>
      </c>
      <c r="N5731" s="74">
        <f t="shared" si="3"/>
        <v>190000</v>
      </c>
      <c r="O5731" s="65" t="str">
        <f>VLOOKUP(E5731,DATABASE!C:Q,8,false)</f>
        <v>BIAN</v>
      </c>
      <c r="P5731" s="65">
        <f>VLOOKUP(E5731,DATABASE!C:Q,9,False)</f>
        <v>1</v>
      </c>
      <c r="Q5731" s="93" t="str">
        <f>VLOOKUP(E5731,DATABASE!C:Q,4,false)</f>
        <v>GT</v>
      </c>
      <c r="R5731" s="93" t="str">
        <f>VLOOKUP(E5731,DATABASE!C:Q,11,false)</f>
        <v>Tire</v>
      </c>
      <c r="U5731" s="9">
        <v>1240000.0</v>
      </c>
    </row>
    <row r="5732" ht="22.5" customHeight="1">
      <c r="A5732" s="49"/>
      <c r="C5732" s="400">
        <v>45989.0</v>
      </c>
      <c r="D5732" s="524">
        <v>8012.0</v>
      </c>
      <c r="E5732" s="544" t="s">
        <v>268</v>
      </c>
      <c r="F5732" s="387">
        <v>2.0</v>
      </c>
      <c r="G5732" s="140">
        <v>710000.0</v>
      </c>
      <c r="H5732" s="74"/>
      <c r="I5732" s="74">
        <f t="shared" si="1"/>
        <v>1420000</v>
      </c>
      <c r="J5732" s="74">
        <f>IF(E5732="SERVICE",I5732-(I5732*50%),Vlookup(E5732,DATABASE!C:Q,10,false)*F5732)</f>
        <v>0</v>
      </c>
      <c r="K5732" s="74">
        <f>VLOOKUP(E5732,DATABASE!C:Q,7,false)</f>
        <v>653000</v>
      </c>
      <c r="L5732" s="74">
        <v>622000.0</v>
      </c>
      <c r="M5732" s="74">
        <f t="shared" si="2"/>
        <v>625000</v>
      </c>
      <c r="N5732" s="74">
        <f t="shared" si="3"/>
        <v>170000</v>
      </c>
      <c r="O5732" s="65" t="str">
        <f>VLOOKUP(E5732,DATABASE!C:Q,8,false)</f>
        <v>IBU</v>
      </c>
      <c r="P5732" s="65">
        <f>VLOOKUP(E5732,DATABASE!C:Q,9,False)</f>
        <v>1</v>
      </c>
      <c r="Q5732" s="93" t="str">
        <f>VLOOKUP(E5732,DATABASE!C:Q,4,false)</f>
        <v>Dunlop</v>
      </c>
      <c r="R5732" s="93" t="str">
        <f>VLOOKUP(E5732,DATABASE!C:Q,11,false)</f>
        <v>Tire</v>
      </c>
      <c r="U5732" s="9"/>
    </row>
    <row r="5733" ht="22.5" customHeight="1">
      <c r="A5733" s="49"/>
      <c r="C5733" s="400">
        <v>45989.0</v>
      </c>
      <c r="D5733" s="524">
        <v>8013.0</v>
      </c>
      <c r="E5733" s="544" t="s">
        <v>256</v>
      </c>
      <c r="F5733" s="387">
        <v>1.0</v>
      </c>
      <c r="G5733" s="140">
        <v>150000.0</v>
      </c>
      <c r="H5733" s="140">
        <v>20000.0</v>
      </c>
      <c r="I5733" s="74">
        <f t="shared" si="1"/>
        <v>130000</v>
      </c>
      <c r="J5733" s="74">
        <f>IF(E5733="SERVICE",I5733-(I5733*50%),Vlookup(E5733,DATABASE!C:Q,10,false)*F5733)</f>
        <v>10000</v>
      </c>
      <c r="K5733" s="74">
        <f>VLOOKUP(E5733,DATABASE!C:Q,7,false)</f>
        <v>0</v>
      </c>
      <c r="L5733" s="74">
        <v>0.0</v>
      </c>
      <c r="M5733" s="74">
        <f t="shared" si="2"/>
        <v>0</v>
      </c>
      <c r="N5733" s="74">
        <f t="shared" si="3"/>
        <v>120000</v>
      </c>
      <c r="O5733" s="65" t="str">
        <f>VLOOKUP(E5733,DATABASE!C:Q,8,false)</f>
        <v>IBU</v>
      </c>
      <c r="P5733" s="65">
        <f>VLOOKUP(E5733,DATABASE!C:Q,9,False)</f>
        <v>0</v>
      </c>
      <c r="Q5733" s="93" t="str">
        <f>VLOOKUP(E5733,DATABASE!C:Q,4,false)</f>
        <v>SPOORING</v>
      </c>
      <c r="R5733" s="93" t="str">
        <f>VLOOKUP(E5733,DATABASE!C:Q,11,false)</f>
        <v>SERVICE</v>
      </c>
    </row>
    <row r="5734" ht="22.5" customHeight="1">
      <c r="A5734" s="49"/>
      <c r="C5734" s="400">
        <v>45989.0</v>
      </c>
      <c r="D5734" s="524">
        <v>8013.0</v>
      </c>
      <c r="E5734" s="544" t="s">
        <v>299</v>
      </c>
      <c r="F5734" s="387">
        <v>2.0</v>
      </c>
      <c r="G5734" s="140">
        <v>30000.0</v>
      </c>
      <c r="H5734" s="74"/>
      <c r="I5734" s="74">
        <f t="shared" si="1"/>
        <v>60000</v>
      </c>
      <c r="J5734" s="74">
        <f>IF(E5734="SERVICE",I5734-(I5734*50%),Vlookup(E5734,DATABASE!C:Q,10,false)*F5734)</f>
        <v>0</v>
      </c>
      <c r="K5734" s="74">
        <f>VLOOKUP(E5734,DATABASE!C:Q,7,false)</f>
        <v>10000</v>
      </c>
      <c r="L5734" s="74">
        <v>5000.0</v>
      </c>
      <c r="M5734" s="74">
        <f t="shared" si="2"/>
        <v>5000</v>
      </c>
      <c r="N5734" s="74">
        <f t="shared" si="3"/>
        <v>50000</v>
      </c>
      <c r="O5734" s="65" t="str">
        <f>VLOOKUP(E5734,DATABASE!C:Q,8,false)</f>
        <v>BIAN</v>
      </c>
      <c r="P5734" s="65">
        <f>VLOOKUP(E5734,DATABASE!C:Q,9,False)</f>
        <v>0</v>
      </c>
      <c r="Q5734" s="93" t="str">
        <f>VLOOKUP(E5734,DATABASE!C:Q,4,false)</f>
        <v>Balancing</v>
      </c>
      <c r="R5734" s="93" t="str">
        <f>VLOOKUP(E5734,DATABASE!C:Q,11,false)</f>
        <v>COMPLEMENTARY</v>
      </c>
    </row>
    <row r="5735" ht="22.5" customHeight="1">
      <c r="A5735" s="49"/>
      <c r="C5735" s="400">
        <v>45989.0</v>
      </c>
      <c r="D5735" s="524">
        <v>8013.0</v>
      </c>
      <c r="E5735" s="544" t="s">
        <v>301</v>
      </c>
      <c r="F5735" s="387">
        <v>1.0</v>
      </c>
      <c r="G5735" s="140">
        <v>250000.0</v>
      </c>
      <c r="H5735" s="74"/>
      <c r="I5735" s="74">
        <f t="shared" si="1"/>
        <v>250000</v>
      </c>
      <c r="J5735" s="74">
        <f>IF(E5735="SERVICE",I5735-(I5735*50%),Vlookup(E5735,DATABASE!C:Q,10,false)*F5735)</f>
        <v>75000</v>
      </c>
      <c r="K5735" s="74">
        <f>VLOOKUP(E5735,DATABASE!C:Q,7,false)</f>
        <v>75000</v>
      </c>
      <c r="L5735" s="74">
        <v>75000.0</v>
      </c>
      <c r="M5735" s="74">
        <f t="shared" si="2"/>
        <v>75000</v>
      </c>
      <c r="N5735" s="74">
        <f t="shared" si="3"/>
        <v>100000</v>
      </c>
      <c r="O5735" s="65" t="str">
        <f>VLOOKUP(E5735,DATABASE!C:Q,8,false)</f>
        <v>BIAN</v>
      </c>
      <c r="P5735" s="65">
        <f>VLOOKUP(E5735,DATABASE!C:Q,9,False)</f>
        <v>0</v>
      </c>
      <c r="Q5735" s="93" t="str">
        <f>VLOOKUP(E5735,DATABASE!C:Q,4,false)</f>
        <v>Baut Camber</v>
      </c>
      <c r="R5735" s="93" t="str">
        <f>VLOOKUP(E5735,DATABASE!C:Q,11,false)</f>
        <v>COMPLEMENTARY</v>
      </c>
    </row>
    <row r="5736" ht="22.5" customHeight="1">
      <c r="A5736" s="49"/>
      <c r="C5736" s="400">
        <v>45989.0</v>
      </c>
      <c r="D5736" s="524">
        <v>8014.0</v>
      </c>
      <c r="E5736" s="544" t="s">
        <v>288</v>
      </c>
      <c r="F5736" s="387">
        <v>2.0</v>
      </c>
      <c r="G5736" s="140">
        <v>620000.0</v>
      </c>
      <c r="H5736" s="74"/>
      <c r="I5736" s="74">
        <f t="shared" si="1"/>
        <v>1240000</v>
      </c>
      <c r="J5736" s="74">
        <f>IF(E5736="SERVICE",I5736-(I5736*50%),Vlookup(E5736,DATABASE!C:Q,10,false)*F5736)</f>
        <v>0</v>
      </c>
      <c r="K5736" s="74">
        <f>VLOOKUP(E5736,DATABASE!C:Q,7,false)</f>
        <v>565760</v>
      </c>
      <c r="L5736" s="74">
        <v>524800.0</v>
      </c>
      <c r="M5736" s="74">
        <f t="shared" si="2"/>
        <v>525000</v>
      </c>
      <c r="N5736" s="74">
        <f t="shared" si="3"/>
        <v>190000</v>
      </c>
      <c r="O5736" s="65" t="str">
        <f>VLOOKUP(E5736,DATABASE!C:Q,8,false)</f>
        <v>BIAN</v>
      </c>
      <c r="P5736" s="65">
        <f>VLOOKUP(E5736,DATABASE!C:Q,9,False)</f>
        <v>1</v>
      </c>
      <c r="Q5736" s="93" t="str">
        <f>VLOOKUP(E5736,DATABASE!C:Q,4,false)</f>
        <v>GT</v>
      </c>
      <c r="R5736" s="93" t="str">
        <f>VLOOKUP(E5736,DATABASE!C:Q,11,false)</f>
        <v>Tire</v>
      </c>
      <c r="U5736" s="9">
        <v>1240000.0</v>
      </c>
    </row>
    <row r="5737" ht="22.5" customHeight="1">
      <c r="A5737" s="49"/>
      <c r="C5737" s="400">
        <v>45989.0</v>
      </c>
      <c r="D5737" s="524">
        <v>8015.0</v>
      </c>
      <c r="E5737" s="544" t="s">
        <v>1871</v>
      </c>
      <c r="F5737" s="387">
        <v>1.0</v>
      </c>
      <c r="G5737" s="140">
        <v>3350000.0</v>
      </c>
      <c r="H5737" s="140">
        <v>50000.0</v>
      </c>
      <c r="I5737" s="74">
        <f t="shared" si="1"/>
        <v>3300000</v>
      </c>
      <c r="J5737" s="74">
        <f>IF(E5737="SERVICE",I5737-(I5737*50%),Vlookup(E5737,DATABASE!C:Q,10,false)*F5737)</f>
        <v>0</v>
      </c>
      <c r="K5737" s="74">
        <f>VLOOKUP(E5737,DATABASE!C:Q,7,false)</f>
        <v>3190000</v>
      </c>
      <c r="L5737" s="74">
        <v>3160000.0</v>
      </c>
      <c r="M5737" s="74">
        <f t="shared" si="2"/>
        <v>3160000</v>
      </c>
      <c r="N5737" s="74">
        <f t="shared" si="3"/>
        <v>140000</v>
      </c>
      <c r="O5737" s="65" t="str">
        <f>VLOOKUP(E5737,DATABASE!C:Q,8,false)</f>
        <v>BIAN</v>
      </c>
      <c r="P5737" s="65">
        <f>VLOOKUP(E5737,DATABASE!C:Q,9,False)</f>
        <v>1</v>
      </c>
      <c r="Q5737" s="93" t="str">
        <f>VLOOKUP(E5737,DATABASE!C:Q,4,false)</f>
        <v>GT</v>
      </c>
      <c r="R5737" s="93" t="str">
        <f>VLOOKUP(E5737,DATABASE!C:Q,11,false)</f>
        <v>Tire</v>
      </c>
      <c r="U5737" s="9">
        <v>3300000.0</v>
      </c>
    </row>
    <row r="5738" ht="22.5" customHeight="1">
      <c r="A5738" s="49"/>
      <c r="C5738" s="400">
        <v>45989.0</v>
      </c>
      <c r="D5738" s="524">
        <v>8016.0</v>
      </c>
      <c r="E5738" s="544" t="s">
        <v>681</v>
      </c>
      <c r="F5738" s="387">
        <v>1.0</v>
      </c>
      <c r="G5738" s="140">
        <v>160000.0</v>
      </c>
      <c r="H5738" s="140">
        <v>35000.0</v>
      </c>
      <c r="I5738" s="74">
        <f t="shared" si="1"/>
        <v>125000</v>
      </c>
      <c r="J5738" s="74">
        <f>IF(E5738="SERVICE",I5738-(I5738*50%),Vlookup(E5738,DATABASE!C:Q,10,false)*F5738)</f>
        <v>0</v>
      </c>
      <c r="K5738" s="74">
        <f>VLOOKUP(E5738,DATABASE!C:Q,7,false)</f>
        <v>91000</v>
      </c>
      <c r="L5738" s="74">
        <v>91000.0</v>
      </c>
      <c r="M5738" s="74">
        <f t="shared" si="2"/>
        <v>95000</v>
      </c>
      <c r="N5738" s="74">
        <f t="shared" si="3"/>
        <v>30000</v>
      </c>
      <c r="O5738" s="65" t="str">
        <f>VLOOKUP(E5738,DATABASE!C:Q,8,false)</f>
        <v>BIAN</v>
      </c>
      <c r="P5738" s="65">
        <f>VLOOKUP(E5738,DATABASE!C:Q,9,False)</f>
        <v>1</v>
      </c>
      <c r="Q5738" s="93" t="str">
        <f>VLOOKUP(E5738,DATABASE!C:Q,4,false)</f>
        <v>BD</v>
      </c>
      <c r="R5738" s="93" t="str">
        <f>VLOOKUP(E5738,DATABASE!C:Q,11,false)</f>
        <v>Tire</v>
      </c>
      <c r="U5738" s="9">
        <v>125000.0</v>
      </c>
    </row>
    <row r="5739" ht="22.5" customHeight="1">
      <c r="A5739" s="49"/>
      <c r="C5739" s="400">
        <v>45989.0</v>
      </c>
      <c r="D5739" s="524">
        <v>8016.0</v>
      </c>
      <c r="E5739" s="544" t="s">
        <v>814</v>
      </c>
      <c r="F5739" s="387">
        <v>2.0</v>
      </c>
      <c r="G5739" s="140">
        <v>90000.0</v>
      </c>
      <c r="H5739" s="140">
        <v>25000.0</v>
      </c>
      <c r="I5739" s="74">
        <f t="shared" si="1"/>
        <v>130000</v>
      </c>
      <c r="J5739" s="74">
        <f>IF(E5739="SERVICE",I5739-(I5739*50%),Vlookup(E5739,DATABASE!C:Q,10,false)*F5739)</f>
        <v>0</v>
      </c>
      <c r="K5739" s="74">
        <f>VLOOKUP(E5739,DATABASE!C:Q,7,false)</f>
        <v>39440</v>
      </c>
      <c r="L5739" s="74">
        <v>39440.0</v>
      </c>
      <c r="M5739" s="74">
        <f t="shared" si="2"/>
        <v>40000</v>
      </c>
      <c r="N5739" s="74">
        <f t="shared" si="3"/>
        <v>50000</v>
      </c>
      <c r="O5739" s="65" t="str">
        <f>VLOOKUP(E5739,DATABASE!C:Q,8,false)</f>
        <v>BIAN</v>
      </c>
      <c r="P5739" s="65">
        <f>VLOOKUP(E5739,DATABASE!C:Q,9,False)</f>
        <v>1</v>
      </c>
      <c r="Q5739" s="93" t="str">
        <f>VLOOKUP(E5739,DATABASE!C:Q,4,false)</f>
        <v>Flap</v>
      </c>
      <c r="R5739" s="93" t="str">
        <f>VLOOKUP(E5739,DATABASE!C:Q,11,false)</f>
        <v>Tire</v>
      </c>
      <c r="U5739" s="9">
        <v>130000.0</v>
      </c>
    </row>
    <row r="5740" ht="22.5" customHeight="1">
      <c r="A5740" s="49"/>
      <c r="C5740" s="400">
        <v>45989.0</v>
      </c>
      <c r="D5740" s="524">
        <v>8018.0</v>
      </c>
      <c r="E5740" s="544" t="s">
        <v>265</v>
      </c>
      <c r="F5740" s="387">
        <v>2.0</v>
      </c>
      <c r="G5740" s="140">
        <v>710000.0</v>
      </c>
      <c r="H5740" s="140">
        <v>25000.0</v>
      </c>
      <c r="I5740" s="74">
        <f t="shared" si="1"/>
        <v>1370000</v>
      </c>
      <c r="J5740" s="74">
        <f>IF(E5740="SERVICE",I5740-(I5740*50%),Vlookup(E5740,DATABASE!C:Q,10,false)*F5740)</f>
        <v>0</v>
      </c>
      <c r="K5740" s="74">
        <f>VLOOKUP(E5740,DATABASE!C:Q,7,false)</f>
        <v>628000</v>
      </c>
      <c r="L5740" s="140">
        <v>600000.0</v>
      </c>
      <c r="M5740" s="74">
        <f t="shared" si="2"/>
        <v>600000</v>
      </c>
      <c r="N5740" s="74">
        <f t="shared" si="3"/>
        <v>170000</v>
      </c>
      <c r="O5740" s="65" t="str">
        <f>VLOOKUP(E5740,DATABASE!C:Q,8,false)</f>
        <v>IBU</v>
      </c>
      <c r="P5740" s="65">
        <f>VLOOKUP(E5740,DATABASE!C:Q,9,False)</f>
        <v>1</v>
      </c>
      <c r="Q5740" s="93" t="str">
        <f>VLOOKUP(E5740,DATABASE!C:Q,4,false)</f>
        <v>Dunlop</v>
      </c>
      <c r="R5740" s="93" t="str">
        <f>VLOOKUP(E5740,DATABASE!C:Q,11,false)</f>
        <v>Tire</v>
      </c>
      <c r="U5740" s="9"/>
    </row>
    <row r="5741" ht="22.5" customHeight="1">
      <c r="A5741" s="49"/>
      <c r="C5741" s="400">
        <v>45989.0</v>
      </c>
      <c r="D5741" s="69">
        <v>8019.0</v>
      </c>
      <c r="E5741" s="544" t="s">
        <v>256</v>
      </c>
      <c r="F5741" s="387">
        <v>1.0</v>
      </c>
      <c r="G5741" s="140">
        <v>150000.0</v>
      </c>
      <c r="H5741" s="140">
        <v>20000.0</v>
      </c>
      <c r="I5741" s="74">
        <f t="shared" si="1"/>
        <v>130000</v>
      </c>
      <c r="J5741" s="74">
        <f>IF(E5741="SERVICE",I5741-(I5741*50%),Vlookup(E5741,DATABASE!C:Q,10,false)*F5741)</f>
        <v>10000</v>
      </c>
      <c r="K5741" s="74">
        <f>VLOOKUP(E5741,DATABASE!C:Q,7,false)</f>
        <v>0</v>
      </c>
      <c r="L5741" s="74">
        <v>0.0</v>
      </c>
      <c r="M5741" s="74">
        <f t="shared" si="2"/>
        <v>0</v>
      </c>
      <c r="N5741" s="74">
        <f t="shared" si="3"/>
        <v>120000</v>
      </c>
      <c r="O5741" s="65" t="str">
        <f>VLOOKUP(E5741,DATABASE!C:Q,8,false)</f>
        <v>IBU</v>
      </c>
      <c r="P5741" s="65">
        <f>VLOOKUP(E5741,DATABASE!C:Q,9,False)</f>
        <v>0</v>
      </c>
      <c r="Q5741" s="93" t="str">
        <f>VLOOKUP(E5741,DATABASE!C:Q,4,false)</f>
        <v>SPOORING</v>
      </c>
      <c r="R5741" s="93" t="str">
        <f>VLOOKUP(E5741,DATABASE!C:Q,11,false)</f>
        <v>SERVICE</v>
      </c>
    </row>
    <row r="5742" ht="22.5" customHeight="1">
      <c r="A5742" s="49"/>
      <c r="C5742" s="400">
        <v>45989.0</v>
      </c>
      <c r="D5742" s="69">
        <v>8019.0</v>
      </c>
      <c r="E5742" s="544" t="s">
        <v>299</v>
      </c>
      <c r="F5742" s="387">
        <v>2.0</v>
      </c>
      <c r="G5742" s="140">
        <v>30000.0</v>
      </c>
      <c r="H5742" s="74"/>
      <c r="I5742" s="74">
        <f t="shared" si="1"/>
        <v>60000</v>
      </c>
      <c r="J5742" s="74">
        <f>IF(E5742="SERVICE",I5742-(I5742*50%),Vlookup(E5742,DATABASE!C:Q,10,false)*F5742)</f>
        <v>0</v>
      </c>
      <c r="K5742" s="74">
        <f>VLOOKUP(E5742,DATABASE!C:Q,7,false)</f>
        <v>10000</v>
      </c>
      <c r="L5742" s="74">
        <v>5000.0</v>
      </c>
      <c r="M5742" s="74">
        <f t="shared" si="2"/>
        <v>5000</v>
      </c>
      <c r="N5742" s="74">
        <f t="shared" si="3"/>
        <v>50000</v>
      </c>
      <c r="O5742" s="65" t="str">
        <f>VLOOKUP(E5742,DATABASE!C:Q,8,false)</f>
        <v>BIAN</v>
      </c>
      <c r="P5742" s="65">
        <f>VLOOKUP(E5742,DATABASE!C:Q,9,False)</f>
        <v>0</v>
      </c>
      <c r="Q5742" s="93" t="str">
        <f>VLOOKUP(E5742,DATABASE!C:Q,4,false)</f>
        <v>Balancing</v>
      </c>
      <c r="R5742" s="93" t="str">
        <f>VLOOKUP(E5742,DATABASE!C:Q,11,false)</f>
        <v>COMPLEMENTARY</v>
      </c>
    </row>
    <row r="5743" ht="22.5" customHeight="1">
      <c r="A5743" s="49"/>
      <c r="C5743" s="400">
        <v>45989.0</v>
      </c>
      <c r="D5743" s="69">
        <v>8019.0</v>
      </c>
      <c r="E5743" s="544" t="s">
        <v>301</v>
      </c>
      <c r="F5743" s="387">
        <v>1.0</v>
      </c>
      <c r="G5743" s="140">
        <v>250000.0</v>
      </c>
      <c r="H5743" s="74"/>
      <c r="I5743" s="74">
        <f t="shared" si="1"/>
        <v>250000</v>
      </c>
      <c r="J5743" s="74">
        <f>IF(E5743="SERVICE",I5743-(I5743*50%),Vlookup(E5743,DATABASE!C:Q,10,false)*F5743)</f>
        <v>75000</v>
      </c>
      <c r="K5743" s="74">
        <f>VLOOKUP(E5743,DATABASE!C:Q,7,false)</f>
        <v>75000</v>
      </c>
      <c r="L5743" s="74">
        <v>75000.0</v>
      </c>
      <c r="M5743" s="74">
        <f t="shared" si="2"/>
        <v>75000</v>
      </c>
      <c r="N5743" s="74">
        <f t="shared" si="3"/>
        <v>100000</v>
      </c>
      <c r="O5743" s="65" t="str">
        <f>VLOOKUP(E5743,DATABASE!C:Q,8,false)</f>
        <v>BIAN</v>
      </c>
      <c r="P5743" s="65">
        <f>VLOOKUP(E5743,DATABASE!C:Q,9,False)</f>
        <v>0</v>
      </c>
      <c r="Q5743" s="93" t="str">
        <f>VLOOKUP(E5743,DATABASE!C:Q,4,false)</f>
        <v>Baut Camber</v>
      </c>
      <c r="R5743" s="93" t="str">
        <f>VLOOKUP(E5743,DATABASE!C:Q,11,false)</f>
        <v>COMPLEMENTARY</v>
      </c>
    </row>
    <row r="5744" ht="22.5" customHeight="1">
      <c r="A5744" s="49"/>
      <c r="C5744" s="400">
        <v>45990.0</v>
      </c>
      <c r="D5744" s="524">
        <v>0.0</v>
      </c>
      <c r="E5744" s="544" t="s">
        <v>252</v>
      </c>
      <c r="F5744" s="387">
        <v>1.0</v>
      </c>
      <c r="G5744" s="140">
        <v>300000.0</v>
      </c>
      <c r="H5744" s="74"/>
      <c r="I5744" s="74">
        <f t="shared" si="1"/>
        <v>300000</v>
      </c>
      <c r="J5744" s="74">
        <f>IF(E5744="SERVICE",I5744-(I5744*50%),Vlookup(E5744,DATABASE!C:Q,10,false)*F5744)</f>
        <v>0</v>
      </c>
      <c r="K5744" s="74">
        <f>VLOOKUP(E5744,DATABASE!C:Q,7,false)</f>
        <v>317518</v>
      </c>
      <c r="L5744" s="74">
        <v>271778.0</v>
      </c>
      <c r="M5744" s="74">
        <f t="shared" si="2"/>
        <v>275000</v>
      </c>
      <c r="N5744" s="74">
        <f t="shared" si="3"/>
        <v>25000</v>
      </c>
      <c r="O5744" s="65" t="str">
        <f>VLOOKUP(E5744,DATABASE!C:Q,8,false)</f>
        <v>NON</v>
      </c>
      <c r="P5744" s="65">
        <f>VLOOKUP(E5744,DATABASE!C:Q,9,False)</f>
        <v>0</v>
      </c>
      <c r="Q5744" s="93" t="str">
        <f>VLOOKUP(E5744,DATABASE!C:Q,4,false)</f>
        <v>Shell</v>
      </c>
      <c r="R5744" s="93" t="str">
        <f>VLOOKUP(E5744,DATABASE!C:Q,11,false)</f>
        <v>OIL</v>
      </c>
    </row>
    <row r="5745" ht="22.5" customHeight="1">
      <c r="A5745" s="49"/>
      <c r="C5745" s="400">
        <v>45990.0</v>
      </c>
      <c r="D5745" s="524">
        <v>0.0</v>
      </c>
      <c r="E5745" s="544" t="s">
        <v>2609</v>
      </c>
      <c r="F5745" s="387">
        <v>1.0</v>
      </c>
      <c r="G5745" s="140">
        <v>30000.0</v>
      </c>
      <c r="H5745" s="74"/>
      <c r="I5745" s="74">
        <f t="shared" si="1"/>
        <v>30000</v>
      </c>
      <c r="J5745" s="74">
        <f>IF(E5745="SERVICE",I5745-(I5745*50%),Vlookup(E5745,DATABASE!C:Q,10,false)*F5745)</f>
        <v>0</v>
      </c>
      <c r="K5745" s="74">
        <f>VLOOKUP(E5745,DATABASE!C:Q,7,false)</f>
        <v>21500</v>
      </c>
      <c r="L5745" s="74">
        <v>21500.0</v>
      </c>
      <c r="M5745" s="74">
        <f t="shared" si="2"/>
        <v>25000</v>
      </c>
      <c r="N5745" s="74">
        <f t="shared" si="3"/>
        <v>5000</v>
      </c>
      <c r="O5745" s="65" t="str">
        <f>VLOOKUP(E5745,DATABASE!C:Q,8,false)</f>
        <v>BIAN</v>
      </c>
      <c r="P5745" s="65">
        <f>VLOOKUP(E5745,DATABASE!C:Q,9,False)</f>
        <v>0</v>
      </c>
      <c r="Q5745" s="93" t="str">
        <f>VLOOKUP(E5745,DATABASE!C:Q,4,false)</f>
        <v>Sakura</v>
      </c>
      <c r="R5745" s="93" t="str">
        <f>VLOOKUP(E5745,DATABASE!C:Q,11,false)</f>
        <v>COMPLEMENTARY</v>
      </c>
      <c r="U5745" s="9"/>
    </row>
    <row r="5746" ht="22.5" customHeight="1">
      <c r="A5746" s="49"/>
      <c r="C5746" s="400">
        <v>45990.0</v>
      </c>
      <c r="D5746" s="524">
        <v>1.0</v>
      </c>
      <c r="E5746" s="544" t="s">
        <v>252</v>
      </c>
      <c r="F5746" s="387">
        <v>1.0</v>
      </c>
      <c r="G5746" s="140">
        <v>300000.0</v>
      </c>
      <c r="H5746" s="74"/>
      <c r="I5746" s="74">
        <f t="shared" si="1"/>
        <v>300000</v>
      </c>
      <c r="J5746" s="74">
        <f>IF(E5746="SERVICE",I5746-(I5746*50%),Vlookup(E5746,DATABASE!C:Q,10,false)*F5746)</f>
        <v>0</v>
      </c>
      <c r="K5746" s="74">
        <f>VLOOKUP(E5746,DATABASE!C:Q,7,false)</f>
        <v>317518</v>
      </c>
      <c r="L5746" s="74">
        <v>271778.0</v>
      </c>
      <c r="M5746" s="74">
        <f t="shared" si="2"/>
        <v>275000</v>
      </c>
      <c r="N5746" s="74">
        <f t="shared" si="3"/>
        <v>25000</v>
      </c>
      <c r="O5746" s="65" t="str">
        <f>VLOOKUP(E5746,DATABASE!C:Q,8,false)</f>
        <v>NON</v>
      </c>
      <c r="P5746" s="65">
        <f>VLOOKUP(E5746,DATABASE!C:Q,9,False)</f>
        <v>0</v>
      </c>
      <c r="Q5746" s="93" t="str">
        <f>VLOOKUP(E5746,DATABASE!C:Q,4,false)</f>
        <v>Shell</v>
      </c>
      <c r="R5746" s="93" t="str">
        <f>VLOOKUP(E5746,DATABASE!C:Q,11,false)</f>
        <v>OIL</v>
      </c>
      <c r="U5746" s="9"/>
    </row>
    <row r="5747" ht="22.5" customHeight="1">
      <c r="A5747" s="49"/>
      <c r="C5747" s="400">
        <v>45990.0</v>
      </c>
      <c r="D5747" s="524">
        <v>1.0</v>
      </c>
      <c r="E5747" s="544" t="s">
        <v>298</v>
      </c>
      <c r="F5747" s="387">
        <v>1.0</v>
      </c>
      <c r="G5747" s="140">
        <v>25000.0</v>
      </c>
      <c r="H5747" s="74"/>
      <c r="I5747" s="74">
        <f t="shared" si="1"/>
        <v>25000</v>
      </c>
      <c r="J5747" s="74">
        <f>IF(E5747="SERVICE",I5747-(I5747*50%),Vlookup(E5747,DATABASE!C:Q,10,false)*F5747)</f>
        <v>0</v>
      </c>
      <c r="K5747" s="74">
        <f>VLOOKUP(E5747,DATABASE!C:Q,7,false)</f>
        <v>19200</v>
      </c>
      <c r="L5747" s="74">
        <v>19200.0</v>
      </c>
      <c r="M5747" s="74">
        <f t="shared" si="2"/>
        <v>20000</v>
      </c>
      <c r="N5747" s="74">
        <f t="shared" si="3"/>
        <v>5000</v>
      </c>
      <c r="O5747" s="65" t="str">
        <f>VLOOKUP(E5747,DATABASE!C:Q,8,false)</f>
        <v>BIAN</v>
      </c>
      <c r="P5747" s="65">
        <f>VLOOKUP(E5747,DATABASE!C:Q,9,False)</f>
        <v>0</v>
      </c>
      <c r="Q5747" s="93" t="str">
        <f>VLOOKUP(E5747,DATABASE!C:Q,4,false)</f>
        <v>Aspira</v>
      </c>
      <c r="R5747" s="93" t="str">
        <f>VLOOKUP(E5747,DATABASE!C:Q,11,false)</f>
        <v>COMPLEMENTARY</v>
      </c>
      <c r="U5747" s="9"/>
    </row>
    <row r="5748" ht="22.5" customHeight="1">
      <c r="A5748" s="49"/>
      <c r="C5748" s="400">
        <v>45990.0</v>
      </c>
      <c r="D5748" s="524">
        <v>8020.0</v>
      </c>
      <c r="E5748" s="544" t="s">
        <v>256</v>
      </c>
      <c r="F5748" s="387">
        <v>1.0</v>
      </c>
      <c r="G5748" s="140">
        <v>150000.0</v>
      </c>
      <c r="H5748" s="140">
        <v>20000.0</v>
      </c>
      <c r="I5748" s="74">
        <f t="shared" si="1"/>
        <v>130000</v>
      </c>
      <c r="J5748" s="74">
        <f>IF(E5748="SERVICE",I5748-(I5748*50%),Vlookup(E5748,DATABASE!C:Q,10,false)*F5748)</f>
        <v>10000</v>
      </c>
      <c r="K5748" s="74">
        <f>VLOOKUP(E5748,DATABASE!C:Q,7,false)</f>
        <v>0</v>
      </c>
      <c r="L5748" s="74">
        <v>0.0</v>
      </c>
      <c r="M5748" s="74">
        <f t="shared" si="2"/>
        <v>0</v>
      </c>
      <c r="N5748" s="74">
        <f t="shared" si="3"/>
        <v>120000</v>
      </c>
      <c r="O5748" s="65" t="str">
        <f>VLOOKUP(E5748,DATABASE!C:Q,8,false)</f>
        <v>IBU</v>
      </c>
      <c r="P5748" s="65">
        <f>VLOOKUP(E5748,DATABASE!C:Q,9,False)</f>
        <v>0</v>
      </c>
      <c r="Q5748" s="93" t="str">
        <f>VLOOKUP(E5748,DATABASE!C:Q,4,false)</f>
        <v>SPOORING</v>
      </c>
      <c r="R5748" s="93" t="str">
        <f>VLOOKUP(E5748,DATABASE!C:Q,11,false)</f>
        <v>SERVICE</v>
      </c>
      <c r="U5748" s="9"/>
    </row>
    <row r="5749" ht="22.5" customHeight="1">
      <c r="A5749" s="49"/>
      <c r="C5749" s="400">
        <v>45990.0</v>
      </c>
      <c r="D5749" s="524">
        <v>8021.0</v>
      </c>
      <c r="E5749" s="544" t="s">
        <v>275</v>
      </c>
      <c r="F5749" s="387">
        <v>1.0</v>
      </c>
      <c r="G5749" s="140">
        <v>830000.0</v>
      </c>
      <c r="H5749" s="74"/>
      <c r="I5749" s="74">
        <f t="shared" si="1"/>
        <v>830000</v>
      </c>
      <c r="J5749" s="74">
        <f>IF(E5749="SERVICE",I5749-(I5749*50%),Vlookup(E5749,DATABASE!C:Q,10,false)*F5749)</f>
        <v>0</v>
      </c>
      <c r="K5749" s="74">
        <f>VLOOKUP(E5749,DATABASE!C:Q,7,false)</f>
        <v>782000</v>
      </c>
      <c r="L5749" s="74">
        <v>745000.0</v>
      </c>
      <c r="M5749" s="74">
        <f t="shared" si="2"/>
        <v>745000</v>
      </c>
      <c r="N5749" s="74">
        <f t="shared" si="3"/>
        <v>85000</v>
      </c>
      <c r="O5749" s="65" t="str">
        <f>VLOOKUP(E5749,DATABASE!C:Q,8,false)</f>
        <v>IBU</v>
      </c>
      <c r="P5749" s="65">
        <f>VLOOKUP(E5749,DATABASE!C:Q,9,False)</f>
        <v>1</v>
      </c>
      <c r="Q5749" s="93" t="str">
        <f>VLOOKUP(E5749,DATABASE!C:Q,4,false)</f>
        <v>Dunlop</v>
      </c>
      <c r="R5749" s="93" t="str">
        <f>VLOOKUP(E5749,DATABASE!C:Q,11,false)</f>
        <v>Tire</v>
      </c>
    </row>
    <row r="5750" ht="22.5" customHeight="1">
      <c r="A5750" s="49"/>
      <c r="C5750" s="400">
        <v>45990.0</v>
      </c>
      <c r="D5750" s="524">
        <v>8021.0</v>
      </c>
      <c r="E5750" s="544" t="s">
        <v>968</v>
      </c>
      <c r="F5750" s="387">
        <v>3.0</v>
      </c>
      <c r="G5750" s="140">
        <v>682500.0</v>
      </c>
      <c r="H5750" s="140">
        <v>7500.0</v>
      </c>
      <c r="I5750" s="74">
        <f t="shared" si="1"/>
        <v>2025000</v>
      </c>
      <c r="J5750" s="74">
        <f>IF(E5750="SERVICE",I5750-(I5750*50%),Vlookup(E5750,DATABASE!C:Q,10,false)*F5750)</f>
        <v>0</v>
      </c>
      <c r="K5750" s="74">
        <f>VLOOKUP(E5750,DATABASE!C:Q,7,false)</f>
        <v>582500</v>
      </c>
      <c r="L5750" s="74">
        <v>582500.0</v>
      </c>
      <c r="M5750" s="74">
        <f t="shared" si="2"/>
        <v>585000</v>
      </c>
      <c r="N5750" s="74">
        <f t="shared" si="3"/>
        <v>270000</v>
      </c>
      <c r="O5750" s="65" t="str">
        <f>VLOOKUP(E5750,DATABASE!C:Q,8,false)</f>
        <v>IBU</v>
      </c>
      <c r="P5750" s="65">
        <f>VLOOKUP(E5750,DATABASE!C:Q,9,False)</f>
        <v>1</v>
      </c>
      <c r="Q5750" s="93" t="str">
        <f>VLOOKUP(E5750,DATABASE!C:Q,4,false)</f>
        <v>Dunlop</v>
      </c>
      <c r="R5750" s="93" t="str">
        <f>VLOOKUP(E5750,DATABASE!C:Q,11,false)</f>
        <v>Tire</v>
      </c>
    </row>
    <row r="5751" ht="22.5" customHeight="1">
      <c r="A5751" s="49"/>
      <c r="C5751" s="400">
        <v>45990.0</v>
      </c>
      <c r="D5751" s="524">
        <v>8023.0</v>
      </c>
      <c r="E5751" s="544" t="s">
        <v>271</v>
      </c>
      <c r="F5751" s="387">
        <v>2.0</v>
      </c>
      <c r="G5751" s="140">
        <v>630000.0</v>
      </c>
      <c r="H5751" s="140">
        <v>5000.0</v>
      </c>
      <c r="I5751" s="74">
        <f t="shared" si="1"/>
        <v>1250000</v>
      </c>
      <c r="J5751" s="74">
        <f>IF(E5751="SERVICE",I5751-(I5751*50%),Vlookup(E5751,DATABASE!C:Q,10,false)*F5751)</f>
        <v>0</v>
      </c>
      <c r="K5751" s="74">
        <f>VLOOKUP(E5751,DATABASE!C:Q,7,false)</f>
        <v>570000</v>
      </c>
      <c r="L5751" s="74">
        <v>539000.0</v>
      </c>
      <c r="M5751" s="74">
        <f t="shared" si="2"/>
        <v>540000</v>
      </c>
      <c r="N5751" s="74">
        <f t="shared" si="3"/>
        <v>170000</v>
      </c>
      <c r="O5751" s="65" t="str">
        <f>VLOOKUP(E5751,DATABASE!C:Q,8,false)</f>
        <v>IBU</v>
      </c>
      <c r="P5751" s="65">
        <f>VLOOKUP(E5751,DATABASE!C:Q,9,False)</f>
        <v>1</v>
      </c>
      <c r="Q5751" s="93" t="str">
        <f>VLOOKUP(E5751,DATABASE!C:Q,4,false)</f>
        <v>Dunlop</v>
      </c>
      <c r="R5751" s="93" t="str">
        <f>VLOOKUP(E5751,DATABASE!C:Q,11,false)</f>
        <v>Tire</v>
      </c>
    </row>
    <row r="5752" ht="22.5" customHeight="1">
      <c r="A5752" s="49"/>
      <c r="C5752" s="400">
        <v>45990.0</v>
      </c>
      <c r="D5752" s="524">
        <v>8024.0</v>
      </c>
      <c r="E5752" s="544" t="s">
        <v>265</v>
      </c>
      <c r="F5752" s="387">
        <v>1.0</v>
      </c>
      <c r="G5752" s="140">
        <v>710000.0</v>
      </c>
      <c r="H5752" s="140">
        <v>25000.0</v>
      </c>
      <c r="I5752" s="74">
        <f t="shared" si="1"/>
        <v>685000</v>
      </c>
      <c r="J5752" s="74">
        <f>IF(E5752="SERVICE",I5752-(I5752*50%),Vlookup(E5752,DATABASE!C:Q,10,false)*F5752)</f>
        <v>0</v>
      </c>
      <c r="K5752" s="74">
        <f>VLOOKUP(E5752,DATABASE!C:Q,7,false)</f>
        <v>628000</v>
      </c>
      <c r="L5752" s="140">
        <v>600000.0</v>
      </c>
      <c r="M5752" s="74">
        <f t="shared" si="2"/>
        <v>600000</v>
      </c>
      <c r="N5752" s="74">
        <f t="shared" si="3"/>
        <v>85000</v>
      </c>
      <c r="O5752" s="65" t="str">
        <f>VLOOKUP(E5752,DATABASE!C:Q,8,false)</f>
        <v>IBU</v>
      </c>
      <c r="P5752" s="65">
        <f>VLOOKUP(E5752,DATABASE!C:Q,9,False)</f>
        <v>1</v>
      </c>
      <c r="Q5752" s="93" t="str">
        <f>VLOOKUP(E5752,DATABASE!C:Q,4,false)</f>
        <v>Dunlop</v>
      </c>
      <c r="R5752" s="93" t="str">
        <f>VLOOKUP(E5752,DATABASE!C:Q,11,false)</f>
        <v>Tire</v>
      </c>
    </row>
    <row r="5753" ht="22.5" customHeight="1">
      <c r="A5753" s="49"/>
      <c r="C5753" s="400">
        <v>45990.0</v>
      </c>
      <c r="D5753" s="524">
        <v>8025.0</v>
      </c>
      <c r="E5753" s="544" t="s">
        <v>251</v>
      </c>
      <c r="F5753" s="387">
        <v>1.0</v>
      </c>
      <c r="G5753" s="140">
        <v>350000.0</v>
      </c>
      <c r="H5753" s="140">
        <v>250000.0</v>
      </c>
      <c r="I5753" s="74">
        <f t="shared" si="1"/>
        <v>100000</v>
      </c>
      <c r="J5753" s="140">
        <v>80000.0</v>
      </c>
      <c r="K5753" s="74">
        <f>VLOOKUP(E5753,DATABASE!C:Q,7,false)</f>
        <v>0</v>
      </c>
      <c r="L5753" s="74">
        <v>0.0</v>
      </c>
      <c r="M5753" s="74">
        <f t="shared" si="2"/>
        <v>0</v>
      </c>
      <c r="N5753" s="74">
        <f t="shared" si="3"/>
        <v>20000</v>
      </c>
      <c r="O5753" s="65" t="str">
        <f>VLOOKUP(E5753,DATABASE!C:Q,8,false)</f>
        <v>IBU</v>
      </c>
      <c r="P5753" s="65">
        <f>VLOOKUP(E5753,DATABASE!C:Q,9,False)</f>
        <v>0</v>
      </c>
      <c r="Q5753" s="93" t="str">
        <f>VLOOKUP(E5753,DATABASE!C:Q,4,false)</f>
        <v>SERVICE</v>
      </c>
      <c r="R5753" s="93" t="str">
        <f>VLOOKUP(E5753,DATABASE!C:Q,11,false)</f>
        <v>SERVICE</v>
      </c>
      <c r="U5753" s="9"/>
    </row>
    <row r="5754" ht="22.5" customHeight="1">
      <c r="A5754" s="49"/>
      <c r="C5754" s="400">
        <v>45990.0</v>
      </c>
      <c r="D5754" s="524">
        <v>8026.0</v>
      </c>
      <c r="E5754" s="544" t="s">
        <v>256</v>
      </c>
      <c r="F5754" s="387">
        <v>1.0</v>
      </c>
      <c r="G5754" s="140">
        <v>150000.0</v>
      </c>
      <c r="H5754" s="140">
        <v>20000.0</v>
      </c>
      <c r="I5754" s="74">
        <f t="shared" si="1"/>
        <v>130000</v>
      </c>
      <c r="J5754" s="74">
        <f>IF(E5754="SERVICE",I5754-(I5754*50%),Vlookup(E5754,DATABASE!C:Q,10,false)*F5754)</f>
        <v>10000</v>
      </c>
      <c r="K5754" s="74">
        <f>VLOOKUP(E5754,DATABASE!C:Q,7,false)</f>
        <v>0</v>
      </c>
      <c r="L5754" s="74">
        <v>0.0</v>
      </c>
      <c r="M5754" s="74">
        <f t="shared" si="2"/>
        <v>0</v>
      </c>
      <c r="N5754" s="74">
        <f t="shared" si="3"/>
        <v>120000</v>
      </c>
      <c r="O5754" s="65" t="str">
        <f>VLOOKUP(E5754,DATABASE!C:Q,8,false)</f>
        <v>IBU</v>
      </c>
      <c r="P5754" s="65">
        <f>VLOOKUP(E5754,DATABASE!C:Q,9,False)</f>
        <v>0</v>
      </c>
      <c r="Q5754" s="93" t="str">
        <f>VLOOKUP(E5754,DATABASE!C:Q,4,false)</f>
        <v>SPOORING</v>
      </c>
      <c r="R5754" s="93" t="str">
        <f>VLOOKUP(E5754,DATABASE!C:Q,11,false)</f>
        <v>SERVICE</v>
      </c>
      <c r="U5754" s="9"/>
    </row>
    <row r="5755" ht="22.5" customHeight="1">
      <c r="A5755" s="49"/>
      <c r="C5755" s="400">
        <v>45990.0</v>
      </c>
      <c r="D5755" s="524">
        <v>8027.0</v>
      </c>
      <c r="E5755" s="544" t="s">
        <v>275</v>
      </c>
      <c r="F5755" s="387">
        <v>2.0</v>
      </c>
      <c r="G5755" s="140">
        <v>830000.0</v>
      </c>
      <c r="H5755" s="74"/>
      <c r="I5755" s="74">
        <f t="shared" si="1"/>
        <v>1660000</v>
      </c>
      <c r="J5755" s="74">
        <f>IF(E5755="SERVICE",I5755-(I5755*50%),Vlookup(E5755,DATABASE!C:Q,10,false)*F5755)</f>
        <v>0</v>
      </c>
      <c r="K5755" s="74">
        <f>VLOOKUP(E5755,DATABASE!C:Q,7,false)</f>
        <v>782000</v>
      </c>
      <c r="L5755" s="74">
        <v>745000.0</v>
      </c>
      <c r="M5755" s="74">
        <f t="shared" si="2"/>
        <v>745000</v>
      </c>
      <c r="N5755" s="74">
        <f t="shared" si="3"/>
        <v>170000</v>
      </c>
      <c r="O5755" s="65" t="str">
        <f>VLOOKUP(E5755,DATABASE!C:Q,8,false)</f>
        <v>IBU</v>
      </c>
      <c r="P5755" s="65">
        <f>VLOOKUP(E5755,DATABASE!C:Q,9,False)</f>
        <v>1</v>
      </c>
      <c r="Q5755" s="93" t="str">
        <f>VLOOKUP(E5755,DATABASE!C:Q,4,false)</f>
        <v>Dunlop</v>
      </c>
      <c r="R5755" s="93" t="str">
        <f>VLOOKUP(E5755,DATABASE!C:Q,11,false)</f>
        <v>Tire</v>
      </c>
    </row>
    <row r="5756" ht="22.5" customHeight="1">
      <c r="A5756" s="49"/>
      <c r="C5756" s="400">
        <v>45990.0</v>
      </c>
      <c r="D5756" s="524">
        <v>8028.0</v>
      </c>
      <c r="E5756" s="544" t="s">
        <v>268</v>
      </c>
      <c r="F5756" s="387">
        <v>1.0</v>
      </c>
      <c r="G5756" s="140">
        <v>710000.0</v>
      </c>
      <c r="H5756" s="74"/>
      <c r="I5756" s="74">
        <f t="shared" si="1"/>
        <v>710000</v>
      </c>
      <c r="J5756" s="74">
        <f>IF(E5756="SERVICE",I5756-(I5756*50%),Vlookup(E5756,DATABASE!C:Q,10,false)*F5756)</f>
        <v>0</v>
      </c>
      <c r="K5756" s="74">
        <f>VLOOKUP(E5756,DATABASE!C:Q,7,false)</f>
        <v>653000</v>
      </c>
      <c r="L5756" s="74">
        <v>622000.0</v>
      </c>
      <c r="M5756" s="74">
        <f t="shared" si="2"/>
        <v>625000</v>
      </c>
      <c r="N5756" s="74">
        <f t="shared" si="3"/>
        <v>85000</v>
      </c>
      <c r="O5756" s="65" t="str">
        <f>VLOOKUP(E5756,DATABASE!C:Q,8,false)</f>
        <v>IBU</v>
      </c>
      <c r="P5756" s="65">
        <f>VLOOKUP(E5756,DATABASE!C:Q,9,False)</f>
        <v>1</v>
      </c>
      <c r="Q5756" s="93" t="str">
        <f>VLOOKUP(E5756,DATABASE!C:Q,4,false)</f>
        <v>Dunlop</v>
      </c>
      <c r="R5756" s="93" t="str">
        <f>VLOOKUP(E5756,DATABASE!C:Q,11,false)</f>
        <v>Tire</v>
      </c>
    </row>
    <row r="5757" ht="22.5" customHeight="1">
      <c r="A5757" s="49"/>
      <c r="C5757" s="400">
        <v>45990.0</v>
      </c>
      <c r="D5757" s="524">
        <v>8028.0</v>
      </c>
      <c r="E5757" s="544" t="s">
        <v>262</v>
      </c>
      <c r="F5757" s="387">
        <v>1.0</v>
      </c>
      <c r="G5757" s="140">
        <v>105000.0</v>
      </c>
      <c r="H5757" s="74"/>
      <c r="I5757" s="74">
        <f t="shared" si="1"/>
        <v>105000</v>
      </c>
      <c r="J5757" s="74">
        <f>IF(E5757="SERVICE",I5757-(I5757*50%),Vlookup(E5757,DATABASE!C:Q,10,false)*F5757)</f>
        <v>5000</v>
      </c>
      <c r="K5757" s="74">
        <f>VLOOKUP(E5757,DATABASE!C:Q,7,false)</f>
        <v>0</v>
      </c>
      <c r="L5757" s="74">
        <v>0.0</v>
      </c>
      <c r="M5757" s="74">
        <f t="shared" si="2"/>
        <v>0</v>
      </c>
      <c r="N5757" s="74">
        <f t="shared" si="3"/>
        <v>100000</v>
      </c>
      <c r="O5757" s="65" t="str">
        <f>VLOOKUP(E5757,DATABASE!C:Q,8,false)</f>
        <v>IBU</v>
      </c>
      <c r="P5757" s="65">
        <f>VLOOKUP(E5757,DATABASE!C:Q,9,False)</f>
        <v>0</v>
      </c>
      <c r="Q5757" s="93" t="str">
        <f>VLOOKUP(E5757,DATABASE!C:Q,4,false)</f>
        <v>SPOORING SS/CARRY LOS BAK</v>
      </c>
      <c r="R5757" s="93" t="str">
        <f>VLOOKUP(E5757,DATABASE!C:Q,11,false)</f>
        <v>SERVICE</v>
      </c>
    </row>
    <row r="5758" ht="22.5" customHeight="1">
      <c r="A5758" s="49"/>
      <c r="C5758" s="400">
        <v>45990.0</v>
      </c>
      <c r="D5758" s="524">
        <v>8028.0</v>
      </c>
      <c r="E5758" s="544" t="s">
        <v>478</v>
      </c>
      <c r="F5758" s="387">
        <v>1.0</v>
      </c>
      <c r="G5758" s="140">
        <v>200000.0</v>
      </c>
      <c r="H5758" s="74"/>
      <c r="I5758" s="74">
        <f t="shared" si="1"/>
        <v>200000</v>
      </c>
      <c r="J5758" s="74">
        <f>IF(E5758="SERVICE",I5758-(I5758*50%),Vlookup(E5758,DATABASE!C:Q,10,false)*F5758)</f>
        <v>25000</v>
      </c>
      <c r="K5758" s="74">
        <f>VLOOKUP(E5758,DATABASE!C:Q,7,false)</f>
        <v>75000</v>
      </c>
      <c r="L5758" s="74">
        <v>75000.0</v>
      </c>
      <c r="M5758" s="74">
        <f t="shared" si="2"/>
        <v>75000</v>
      </c>
      <c r="N5758" s="74">
        <f t="shared" si="3"/>
        <v>100000</v>
      </c>
      <c r="O5758" s="65" t="str">
        <f>VLOOKUP(E5758,DATABASE!C:Q,8,false)</f>
        <v>BIAN</v>
      </c>
      <c r="P5758" s="65">
        <f>VLOOKUP(E5758,DATABASE!C:Q,9,False)</f>
        <v>0</v>
      </c>
      <c r="Q5758" s="93" t="str">
        <f>VLOOKUP(E5758,DATABASE!C:Q,4,false)</f>
        <v>Baut Camber ss-carry</v>
      </c>
      <c r="R5758" s="93" t="str">
        <f>VLOOKUP(E5758,DATABASE!C:Q,11,false)</f>
        <v>COMPLEMENTARY</v>
      </c>
      <c r="U5758" s="9"/>
    </row>
    <row r="5759" ht="22.5" customHeight="1">
      <c r="A5759" s="49"/>
      <c r="C5759" s="400">
        <v>45990.0</v>
      </c>
      <c r="D5759" s="524">
        <v>8028.0</v>
      </c>
      <c r="E5759" s="544" t="s">
        <v>305</v>
      </c>
      <c r="F5759" s="387">
        <v>1.0</v>
      </c>
      <c r="G5759" s="140">
        <v>235000.0</v>
      </c>
      <c r="H5759" s="74"/>
      <c r="I5759" s="74">
        <f t="shared" si="1"/>
        <v>235000</v>
      </c>
      <c r="J5759" s="74">
        <f>IF(E5759="SERVICE",I5759-(I5759*50%),Vlookup(E5759,DATABASE!C:Q,10,false)*F5759)</f>
        <v>40000</v>
      </c>
      <c r="K5759" s="74">
        <f>VLOOKUP(E5759,DATABASE!C:Q,7,false)</f>
        <v>158530.2</v>
      </c>
      <c r="L5759" s="74">
        <v>151890.0</v>
      </c>
      <c r="M5759" s="74">
        <f t="shared" si="2"/>
        <v>155000</v>
      </c>
      <c r="N5759" s="74">
        <f t="shared" si="3"/>
        <v>40000</v>
      </c>
      <c r="O5759" s="65" t="str">
        <f>VLOOKUP(E5759,DATABASE!C:Q,8,false)</f>
        <v>BIAN</v>
      </c>
      <c r="P5759" s="65">
        <f>VLOOKUP(E5759,DATABASE!C:Q,9,False)</f>
        <v>1</v>
      </c>
      <c r="Q5759" s="93" t="str">
        <f>VLOOKUP(E5759,DATABASE!C:Q,4,false)</f>
        <v>Lower Arm</v>
      </c>
      <c r="R5759" s="93" t="str">
        <f>VLOOKUP(E5759,DATABASE!C:Q,11,false)</f>
        <v>COMPLEMENTARY</v>
      </c>
      <c r="U5759" s="9"/>
    </row>
    <row r="5760" ht="22.5" customHeight="1">
      <c r="A5760" s="49"/>
      <c r="C5760" s="400">
        <v>45990.0</v>
      </c>
      <c r="D5760" s="524">
        <v>8029.0</v>
      </c>
      <c r="E5760" s="544" t="s">
        <v>268</v>
      </c>
      <c r="F5760" s="387">
        <v>2.0</v>
      </c>
      <c r="G5760" s="140">
        <v>710000.0</v>
      </c>
      <c r="H5760" s="74"/>
      <c r="I5760" s="74">
        <f t="shared" si="1"/>
        <v>1420000</v>
      </c>
      <c r="J5760" s="74">
        <f>IF(E5760="SERVICE",I5760-(I5760*50%),Vlookup(E5760,DATABASE!C:Q,10,false)*F5760)</f>
        <v>0</v>
      </c>
      <c r="K5760" s="74">
        <f>VLOOKUP(E5760,DATABASE!C:Q,7,false)</f>
        <v>653000</v>
      </c>
      <c r="L5760" s="74">
        <v>622000.0</v>
      </c>
      <c r="M5760" s="74">
        <f t="shared" si="2"/>
        <v>625000</v>
      </c>
      <c r="N5760" s="74">
        <f t="shared" si="3"/>
        <v>170000</v>
      </c>
      <c r="O5760" s="65" t="str">
        <f>VLOOKUP(E5760,DATABASE!C:Q,8,false)</f>
        <v>IBU</v>
      </c>
      <c r="P5760" s="65">
        <f>VLOOKUP(E5760,DATABASE!C:Q,9,False)</f>
        <v>1</v>
      </c>
      <c r="Q5760" s="93" t="str">
        <f>VLOOKUP(E5760,DATABASE!C:Q,4,false)</f>
        <v>Dunlop</v>
      </c>
      <c r="R5760" s="93" t="str">
        <f>VLOOKUP(E5760,DATABASE!C:Q,11,false)</f>
        <v>Tire</v>
      </c>
      <c r="U5760" s="9"/>
    </row>
    <row r="5761" ht="22.5" customHeight="1">
      <c r="A5761" s="49"/>
      <c r="C5761" s="400">
        <v>45990.0</v>
      </c>
      <c r="D5761" s="524">
        <v>8029.0</v>
      </c>
      <c r="E5761" s="544" t="s">
        <v>937</v>
      </c>
      <c r="F5761" s="387">
        <v>1.0</v>
      </c>
      <c r="G5761" s="140">
        <v>900000.0</v>
      </c>
      <c r="H5761" s="140">
        <v>20000.0</v>
      </c>
      <c r="I5761" s="74">
        <f t="shared" si="1"/>
        <v>880000</v>
      </c>
      <c r="J5761" s="74">
        <f>IF(E5761="SERVICE",I5761-(I5761*50%),Vlookup(E5761,DATABASE!C:Q,10,false)*F5761)</f>
        <v>0</v>
      </c>
      <c r="K5761" s="74">
        <f>VLOOKUP(E5761,DATABASE!C:Q,7,false)</f>
        <v>825000</v>
      </c>
      <c r="L5761" s="74">
        <v>790000.0</v>
      </c>
      <c r="M5761" s="74">
        <f t="shared" si="2"/>
        <v>790000</v>
      </c>
      <c r="N5761" s="74">
        <f t="shared" si="3"/>
        <v>90000</v>
      </c>
      <c r="O5761" s="65" t="str">
        <f>VLOOKUP(E5761,DATABASE!C:Q,8,false)</f>
        <v>IBU</v>
      </c>
      <c r="P5761" s="65">
        <f>VLOOKUP(E5761,DATABASE!C:Q,9,False)</f>
        <v>1</v>
      </c>
      <c r="Q5761" s="93" t="str">
        <f>VLOOKUP(E5761,DATABASE!C:Q,4,false)</f>
        <v>Bridgestone</v>
      </c>
      <c r="R5761" s="93" t="str">
        <f>VLOOKUP(E5761,DATABASE!C:Q,11,false)</f>
        <v>Tire</v>
      </c>
    </row>
    <row r="5762" ht="22.5" customHeight="1">
      <c r="A5762" s="49"/>
      <c r="C5762" s="400">
        <v>45990.0</v>
      </c>
      <c r="D5762" s="524">
        <v>8030.0</v>
      </c>
      <c r="E5762" s="544" t="s">
        <v>265</v>
      </c>
      <c r="F5762" s="387">
        <v>2.0</v>
      </c>
      <c r="G5762" s="140">
        <v>710000.0</v>
      </c>
      <c r="H5762" s="140">
        <v>25000.0</v>
      </c>
      <c r="I5762" s="74">
        <f t="shared" si="1"/>
        <v>1370000</v>
      </c>
      <c r="J5762" s="74">
        <f>IF(E5762="SERVICE",I5762-(I5762*50%),Vlookup(E5762,DATABASE!C:Q,10,false)*F5762)</f>
        <v>0</v>
      </c>
      <c r="K5762" s="74">
        <f>VLOOKUP(E5762,DATABASE!C:Q,7,false)</f>
        <v>628000</v>
      </c>
      <c r="L5762" s="74">
        <v>610000.0</v>
      </c>
      <c r="M5762" s="74">
        <f t="shared" si="2"/>
        <v>610000</v>
      </c>
      <c r="N5762" s="74">
        <f t="shared" si="3"/>
        <v>150000</v>
      </c>
      <c r="O5762" s="65" t="str">
        <f>VLOOKUP(E5762,DATABASE!C:Q,8,false)</f>
        <v>IBU</v>
      </c>
      <c r="P5762" s="65">
        <f>VLOOKUP(E5762,DATABASE!C:Q,9,False)</f>
        <v>1</v>
      </c>
      <c r="Q5762" s="93" t="str">
        <f>VLOOKUP(E5762,DATABASE!C:Q,4,false)</f>
        <v>Dunlop</v>
      </c>
      <c r="R5762" s="93" t="str">
        <f>VLOOKUP(E5762,DATABASE!C:Q,11,false)</f>
        <v>Tire</v>
      </c>
    </row>
    <row r="5763" ht="22.5" customHeight="1">
      <c r="A5763" s="49"/>
      <c r="C5763" s="400">
        <v>45990.0</v>
      </c>
      <c r="D5763" s="524">
        <v>8030.0</v>
      </c>
      <c r="E5763" s="544" t="s">
        <v>299</v>
      </c>
      <c r="F5763" s="387">
        <v>2.0</v>
      </c>
      <c r="G5763" s="140">
        <v>30000.0</v>
      </c>
      <c r="H5763" s="74"/>
      <c r="I5763" s="74">
        <f t="shared" si="1"/>
        <v>60000</v>
      </c>
      <c r="J5763" s="74">
        <f>IF(E5763="SERVICE",I5763-(I5763*50%),Vlookup(E5763,DATABASE!C:Q,10,false)*F5763)</f>
        <v>0</v>
      </c>
      <c r="K5763" s="74">
        <f>VLOOKUP(E5763,DATABASE!C:Q,7,false)</f>
        <v>10000</v>
      </c>
      <c r="L5763" s="74">
        <v>5000.0</v>
      </c>
      <c r="M5763" s="74">
        <f t="shared" si="2"/>
        <v>5000</v>
      </c>
      <c r="N5763" s="74">
        <f t="shared" si="3"/>
        <v>50000</v>
      </c>
      <c r="O5763" s="65" t="str">
        <f>VLOOKUP(E5763,DATABASE!C:Q,8,false)</f>
        <v>BIAN</v>
      </c>
      <c r="P5763" s="65">
        <f>VLOOKUP(E5763,DATABASE!C:Q,9,False)</f>
        <v>0</v>
      </c>
      <c r="Q5763" s="93" t="str">
        <f>VLOOKUP(E5763,DATABASE!C:Q,4,false)</f>
        <v>Balancing</v>
      </c>
      <c r="R5763" s="93" t="str">
        <f>VLOOKUP(E5763,DATABASE!C:Q,11,false)</f>
        <v>COMPLEMENTARY</v>
      </c>
      <c r="U5763" s="9"/>
    </row>
    <row r="5764" ht="22.5" customHeight="1">
      <c r="A5764" s="49"/>
      <c r="C5764" s="400">
        <v>45990.0</v>
      </c>
      <c r="D5764" s="524">
        <v>8030.0</v>
      </c>
      <c r="E5764" s="544" t="s">
        <v>256</v>
      </c>
      <c r="F5764" s="387">
        <v>1.0</v>
      </c>
      <c r="G5764" s="140">
        <v>150000.0</v>
      </c>
      <c r="H5764" s="140">
        <v>20000.0</v>
      </c>
      <c r="I5764" s="74">
        <f t="shared" si="1"/>
        <v>130000</v>
      </c>
      <c r="J5764" s="74">
        <f>IF(E5764="SERVICE",I5764-(I5764*50%),Vlookup(E5764,DATABASE!C:Q,10,false)*F5764)</f>
        <v>10000</v>
      </c>
      <c r="K5764" s="74">
        <f>VLOOKUP(E5764,DATABASE!C:Q,7,false)</f>
        <v>0</v>
      </c>
      <c r="L5764" s="74">
        <v>0.0</v>
      </c>
      <c r="M5764" s="74">
        <f t="shared" si="2"/>
        <v>0</v>
      </c>
      <c r="N5764" s="74">
        <f t="shared" si="3"/>
        <v>120000</v>
      </c>
      <c r="O5764" s="65" t="str">
        <f>VLOOKUP(E5764,DATABASE!C:Q,8,false)</f>
        <v>IBU</v>
      </c>
      <c r="P5764" s="65">
        <f>VLOOKUP(E5764,DATABASE!C:Q,9,False)</f>
        <v>0</v>
      </c>
      <c r="Q5764" s="93" t="str">
        <f>VLOOKUP(E5764,DATABASE!C:Q,4,false)</f>
        <v>SPOORING</v>
      </c>
      <c r="R5764" s="93" t="str">
        <f>VLOOKUP(E5764,DATABASE!C:Q,11,false)</f>
        <v>SERVICE</v>
      </c>
      <c r="U5764" s="9">
        <v>2750000.0</v>
      </c>
    </row>
    <row r="5765" ht="22.5" customHeight="1">
      <c r="A5765" s="49"/>
      <c r="C5765" s="400">
        <v>45990.0</v>
      </c>
      <c r="D5765" s="524">
        <v>8031.0</v>
      </c>
      <c r="E5765" s="544" t="s">
        <v>695</v>
      </c>
      <c r="F5765" s="387">
        <v>3.0</v>
      </c>
      <c r="G5765" s="140">
        <v>670000.0</v>
      </c>
      <c r="H5765" s="140">
        <v>20000.0</v>
      </c>
      <c r="I5765" s="74">
        <f t="shared" si="1"/>
        <v>1950000</v>
      </c>
      <c r="J5765" s="74">
        <f>IF(E5765="SERVICE",I5765-(I5765*50%),Vlookup(E5765,DATABASE!C:Q,10,false)*F5765)</f>
        <v>0</v>
      </c>
      <c r="K5765" s="74">
        <f>VLOOKUP(E5765,DATABASE!C:Q,7,false)</f>
        <v>582000</v>
      </c>
      <c r="L5765" s="74">
        <v>570000.0</v>
      </c>
      <c r="M5765" s="74">
        <f t="shared" si="2"/>
        <v>570000</v>
      </c>
      <c r="N5765" s="74">
        <f t="shared" si="3"/>
        <v>240000</v>
      </c>
      <c r="O5765" s="65" t="str">
        <f>VLOOKUP(E5765,DATABASE!C:Q,8,false)</f>
        <v>IBU</v>
      </c>
      <c r="P5765" s="65">
        <f>VLOOKUP(E5765,DATABASE!C:Q,9,False)</f>
        <v>1</v>
      </c>
      <c r="Q5765" s="93" t="str">
        <f>VLOOKUP(E5765,DATABASE!C:Q,4,false)</f>
        <v>Dunlop</v>
      </c>
      <c r="R5765" s="93" t="str">
        <f>VLOOKUP(E5765,DATABASE!C:Q,11,false)</f>
        <v>Tire</v>
      </c>
      <c r="U5765" s="9">
        <v>1560000.0</v>
      </c>
    </row>
    <row r="5766" ht="22.5" customHeight="1">
      <c r="A5766" s="49"/>
      <c r="C5766" s="400">
        <v>45990.0</v>
      </c>
      <c r="D5766" s="524">
        <v>8031.0</v>
      </c>
      <c r="E5766" s="544" t="s">
        <v>286</v>
      </c>
      <c r="F5766" s="387">
        <v>5.0</v>
      </c>
      <c r="G5766" s="140">
        <v>560000.0</v>
      </c>
      <c r="H5766" s="140">
        <v>10000.0</v>
      </c>
      <c r="I5766" s="74">
        <f t="shared" si="1"/>
        <v>2750000</v>
      </c>
      <c r="J5766" s="74">
        <f>IF(E5766="SERVICE",I5766-(I5766*50%),Vlookup(E5766,DATABASE!C:Q,10,false)*F5766)</f>
        <v>0</v>
      </c>
      <c r="K5766" s="74">
        <f>VLOOKUP(E5766,DATABASE!C:Q,7,false)</f>
        <v>488320</v>
      </c>
      <c r="L5766" s="74">
        <v>452970.0</v>
      </c>
      <c r="M5766" s="74">
        <f t="shared" si="2"/>
        <v>455000</v>
      </c>
      <c r="N5766" s="74">
        <f t="shared" si="3"/>
        <v>475000</v>
      </c>
      <c r="O5766" s="65" t="str">
        <f>VLOOKUP(E5766,DATABASE!C:Q,8,false)</f>
        <v>BIAN</v>
      </c>
      <c r="P5766" s="65">
        <f>VLOOKUP(E5766,DATABASE!C:Q,9,False)</f>
        <v>1</v>
      </c>
      <c r="Q5766" s="93" t="str">
        <f>VLOOKUP(E5766,DATABASE!C:Q,4,false)</f>
        <v>GT</v>
      </c>
      <c r="R5766" s="93" t="str">
        <f>VLOOKUP(E5766,DATABASE!C:Q,11,false)</f>
        <v>Tire</v>
      </c>
    </row>
    <row r="5767" ht="22.5" customHeight="1">
      <c r="A5767" s="49"/>
      <c r="C5767" s="400">
        <v>45990.0</v>
      </c>
      <c r="D5767" s="524">
        <v>8032.0</v>
      </c>
      <c r="E5767" s="544" t="s">
        <v>287</v>
      </c>
      <c r="F5767" s="387">
        <v>2.0</v>
      </c>
      <c r="G5767" s="140">
        <v>780000.0</v>
      </c>
      <c r="H5767" s="74"/>
      <c r="I5767" s="74">
        <f t="shared" si="1"/>
        <v>1560000</v>
      </c>
      <c r="J5767" s="74">
        <f>IF(E5767="SERVICE",I5767-(I5767*50%),Vlookup(E5767,DATABASE!C:Q,10,false)*F5767)</f>
        <v>0</v>
      </c>
      <c r="K5767" s="74">
        <f>VLOOKUP(E5767,DATABASE!C:Q,7,false)</f>
        <v>711000</v>
      </c>
      <c r="L5767" s="74">
        <v>690600.0</v>
      </c>
      <c r="M5767" s="74">
        <f t="shared" si="2"/>
        <v>695000</v>
      </c>
      <c r="N5767" s="74">
        <f t="shared" si="3"/>
        <v>170000</v>
      </c>
      <c r="O5767" s="65" t="str">
        <f>VLOOKUP(E5767,DATABASE!C:Q,8,false)</f>
        <v>BIAN</v>
      </c>
      <c r="P5767" s="65">
        <f>VLOOKUP(E5767,DATABASE!C:Q,9,False)</f>
        <v>1</v>
      </c>
      <c r="Q5767" s="93" t="str">
        <f>VLOOKUP(E5767,DATABASE!C:Q,4,false)</f>
        <v>GT</v>
      </c>
      <c r="R5767" s="93" t="str">
        <f>VLOOKUP(E5767,DATABASE!C:Q,11,false)</f>
        <v>Tire</v>
      </c>
    </row>
    <row r="5768" ht="22.5" customHeight="1">
      <c r="A5768" s="49"/>
      <c r="C5768" s="400">
        <v>45991.0</v>
      </c>
      <c r="D5768" s="524">
        <v>8034.0</v>
      </c>
      <c r="E5768" s="544" t="s">
        <v>1560</v>
      </c>
      <c r="F5768" s="387">
        <v>1.0</v>
      </c>
      <c r="G5768" s="140">
        <v>1235000.0</v>
      </c>
      <c r="H5768" s="74"/>
      <c r="I5768" s="74">
        <f t="shared" si="1"/>
        <v>1235000</v>
      </c>
      <c r="J5768" s="74">
        <f>IF(E5768="SERVICE",I5768-(I5768*50%),Vlookup(E5768,DATABASE!C:Q,10,false)*F5768)</f>
        <v>0</v>
      </c>
      <c r="K5768" s="74">
        <f>VLOOKUP(E5768,DATABASE!C:Q,7,false)</f>
        <v>1135000</v>
      </c>
      <c r="L5768" s="74">
        <v>1135000.0</v>
      </c>
      <c r="M5768" s="74">
        <f t="shared" si="2"/>
        <v>1135000</v>
      </c>
      <c r="N5768" s="74">
        <f t="shared" si="3"/>
        <v>100000</v>
      </c>
      <c r="O5768" s="65" t="str">
        <f>VLOOKUP(E5768,DATABASE!C:Q,8,false)</f>
        <v>IBU</v>
      </c>
      <c r="P5768" s="65">
        <f>VLOOKUP(E5768,DATABASE!C:Q,9,False)</f>
        <v>0</v>
      </c>
      <c r="Q5768" s="93" t="str">
        <f>VLOOKUP(E5768,DATABASE!C:Q,4,false)</f>
        <v>Dunlop</v>
      </c>
      <c r="R5768" s="93" t="str">
        <f>VLOOKUP(E5768,DATABASE!C:Q,11,false)</f>
        <v>Tire</v>
      </c>
    </row>
    <row r="5769" ht="22.5" customHeight="1">
      <c r="A5769" s="49"/>
      <c r="C5769" s="400">
        <v>45991.0</v>
      </c>
      <c r="D5769" s="524">
        <v>8035.0</v>
      </c>
      <c r="E5769" s="544" t="s">
        <v>268</v>
      </c>
      <c r="F5769" s="387">
        <v>2.0</v>
      </c>
      <c r="G5769" s="140">
        <v>710000.0</v>
      </c>
      <c r="H5769" s="74"/>
      <c r="I5769" s="74">
        <f t="shared" si="1"/>
        <v>1420000</v>
      </c>
      <c r="J5769" s="74">
        <f>IF(E5769="SERVICE",I5769-(I5769*50%),Vlookup(E5769,DATABASE!C:Q,10,false)*F5769)</f>
        <v>0</v>
      </c>
      <c r="K5769" s="74">
        <f>VLOOKUP(E5769,DATABASE!C:Q,7,false)</f>
        <v>653000</v>
      </c>
      <c r="L5769" s="74">
        <v>622000.0</v>
      </c>
      <c r="M5769" s="74">
        <f t="shared" si="2"/>
        <v>625000</v>
      </c>
      <c r="N5769" s="74">
        <f t="shared" si="3"/>
        <v>170000</v>
      </c>
      <c r="O5769" s="65" t="str">
        <f>VLOOKUP(E5769,DATABASE!C:Q,8,false)</f>
        <v>IBU</v>
      </c>
      <c r="P5769" s="65">
        <f>VLOOKUP(E5769,DATABASE!C:Q,9,False)</f>
        <v>1</v>
      </c>
      <c r="Q5769" s="93" t="str">
        <f>VLOOKUP(E5769,DATABASE!C:Q,4,false)</f>
        <v>Dunlop</v>
      </c>
      <c r="R5769" s="93" t="str">
        <f>VLOOKUP(E5769,DATABASE!C:Q,11,false)</f>
        <v>Tire</v>
      </c>
      <c r="U5769" s="9"/>
    </row>
    <row r="5770" ht="22.5" customHeight="1">
      <c r="A5770" s="49"/>
      <c r="C5770" s="400">
        <v>45991.0</v>
      </c>
      <c r="D5770" s="524">
        <v>8036.0</v>
      </c>
      <c r="E5770" s="544" t="s">
        <v>271</v>
      </c>
      <c r="F5770" s="387">
        <v>2.0</v>
      </c>
      <c r="G5770" s="140">
        <v>630000.0</v>
      </c>
      <c r="H5770" s="74"/>
      <c r="I5770" s="74">
        <f t="shared" si="1"/>
        <v>1260000</v>
      </c>
      <c r="J5770" s="74">
        <f>IF(E5770="SERVICE",I5770-(I5770*50%),Vlookup(E5770,DATABASE!C:Q,10,false)*F5770)</f>
        <v>0</v>
      </c>
      <c r="K5770" s="74">
        <f>VLOOKUP(E5770,DATABASE!C:Q,7,false)</f>
        <v>570000</v>
      </c>
      <c r="L5770" s="74">
        <v>539000.0</v>
      </c>
      <c r="M5770" s="74">
        <f t="shared" si="2"/>
        <v>540000</v>
      </c>
      <c r="N5770" s="74">
        <f t="shared" si="3"/>
        <v>180000</v>
      </c>
      <c r="O5770" s="65" t="str">
        <f>VLOOKUP(E5770,DATABASE!C:Q,8,false)</f>
        <v>IBU</v>
      </c>
      <c r="P5770" s="65">
        <f>VLOOKUP(E5770,DATABASE!C:Q,9,False)</f>
        <v>1</v>
      </c>
      <c r="Q5770" s="93" t="str">
        <f>VLOOKUP(E5770,DATABASE!C:Q,4,false)</f>
        <v>Dunlop</v>
      </c>
      <c r="R5770" s="93" t="str">
        <f>VLOOKUP(E5770,DATABASE!C:Q,11,false)</f>
        <v>Tire</v>
      </c>
      <c r="U5770" s="9"/>
    </row>
    <row r="5771" ht="22.5" customHeight="1">
      <c r="A5771" s="49"/>
      <c r="C5771" s="400">
        <v>45991.0</v>
      </c>
      <c r="D5771" s="524">
        <v>8036.0</v>
      </c>
      <c r="E5771" s="544" t="s">
        <v>299</v>
      </c>
      <c r="F5771" s="387">
        <v>2.0</v>
      </c>
      <c r="G5771" s="140">
        <v>30000.0</v>
      </c>
      <c r="H5771" s="74"/>
      <c r="I5771" s="74">
        <f t="shared" si="1"/>
        <v>60000</v>
      </c>
      <c r="J5771" s="74">
        <f>IF(E5771="SERVICE",I5771-(I5771*50%),Vlookup(E5771,DATABASE!C:Q,10,false)*F5771)</f>
        <v>0</v>
      </c>
      <c r="K5771" s="74">
        <f>VLOOKUP(E5771,DATABASE!C:Q,7,false)</f>
        <v>10000</v>
      </c>
      <c r="L5771" s="74">
        <v>5000.0</v>
      </c>
      <c r="M5771" s="74">
        <f t="shared" si="2"/>
        <v>5000</v>
      </c>
      <c r="N5771" s="74">
        <f t="shared" si="3"/>
        <v>50000</v>
      </c>
      <c r="O5771" s="65" t="str">
        <f>VLOOKUP(E5771,DATABASE!C:Q,8,false)</f>
        <v>BIAN</v>
      </c>
      <c r="P5771" s="65">
        <f>VLOOKUP(E5771,DATABASE!C:Q,9,False)</f>
        <v>0</v>
      </c>
      <c r="Q5771" s="93" t="str">
        <f>VLOOKUP(E5771,DATABASE!C:Q,4,false)</f>
        <v>Balancing</v>
      </c>
      <c r="R5771" s="93" t="str">
        <f>VLOOKUP(E5771,DATABASE!C:Q,11,false)</f>
        <v>COMPLEMENTARY</v>
      </c>
    </row>
    <row r="5772" ht="22.5" customHeight="1">
      <c r="A5772" s="49"/>
      <c r="C5772" s="400">
        <v>45991.0</v>
      </c>
      <c r="D5772" s="524">
        <v>8036.0</v>
      </c>
      <c r="E5772" s="544" t="s">
        <v>256</v>
      </c>
      <c r="F5772" s="387">
        <v>1.0</v>
      </c>
      <c r="G5772" s="140">
        <v>150000.0</v>
      </c>
      <c r="H5772" s="140">
        <v>20000.0</v>
      </c>
      <c r="I5772" s="74">
        <f t="shared" si="1"/>
        <v>130000</v>
      </c>
      <c r="J5772" s="74">
        <f>IF(E5772="SERVICE",I5772-(I5772*50%),Vlookup(E5772,DATABASE!C:Q,10,false)*F5772)</f>
        <v>10000</v>
      </c>
      <c r="K5772" s="74">
        <f>VLOOKUP(E5772,DATABASE!C:Q,7,false)</f>
        <v>0</v>
      </c>
      <c r="L5772" s="74">
        <v>0.0</v>
      </c>
      <c r="M5772" s="74">
        <f t="shared" si="2"/>
        <v>0</v>
      </c>
      <c r="N5772" s="74">
        <f t="shared" si="3"/>
        <v>120000</v>
      </c>
      <c r="O5772" s="65" t="str">
        <f>VLOOKUP(E5772,DATABASE!C:Q,8,false)</f>
        <v>IBU</v>
      </c>
      <c r="P5772" s="65">
        <f>VLOOKUP(E5772,DATABASE!C:Q,9,False)</f>
        <v>0</v>
      </c>
      <c r="Q5772" s="93" t="str">
        <f>VLOOKUP(E5772,DATABASE!C:Q,4,false)</f>
        <v>SPOORING</v>
      </c>
      <c r="R5772" s="93" t="str">
        <f>VLOOKUP(E5772,DATABASE!C:Q,11,false)</f>
        <v>SERVICE</v>
      </c>
    </row>
    <row r="5773" ht="22.5" customHeight="1">
      <c r="A5773" s="49"/>
      <c r="C5773" s="400">
        <v>45991.0</v>
      </c>
      <c r="D5773" s="524">
        <v>8036.0</v>
      </c>
      <c r="E5773" s="544" t="s">
        <v>301</v>
      </c>
      <c r="F5773" s="387">
        <v>1.0</v>
      </c>
      <c r="G5773" s="140">
        <v>250000.0</v>
      </c>
      <c r="H5773" s="74"/>
      <c r="I5773" s="74">
        <f t="shared" si="1"/>
        <v>250000</v>
      </c>
      <c r="J5773" s="74">
        <f>IF(E5773="SERVICE",I5773-(I5773*50%),Vlookup(E5773,DATABASE!C:Q,10,false)*F5773)</f>
        <v>75000</v>
      </c>
      <c r="K5773" s="74">
        <f>VLOOKUP(E5773,DATABASE!C:Q,7,false)</f>
        <v>75000</v>
      </c>
      <c r="L5773" s="74">
        <v>75000.0</v>
      </c>
      <c r="M5773" s="74">
        <f t="shared" si="2"/>
        <v>75000</v>
      </c>
      <c r="N5773" s="74">
        <f t="shared" si="3"/>
        <v>100000</v>
      </c>
      <c r="O5773" s="65" t="str">
        <f>VLOOKUP(E5773,DATABASE!C:Q,8,false)</f>
        <v>BIAN</v>
      </c>
      <c r="P5773" s="65">
        <f>VLOOKUP(E5773,DATABASE!C:Q,9,False)</f>
        <v>0</v>
      </c>
      <c r="Q5773" s="93" t="str">
        <f>VLOOKUP(E5773,DATABASE!C:Q,4,false)</f>
        <v>Baut Camber</v>
      </c>
      <c r="R5773" s="93" t="str">
        <f>VLOOKUP(E5773,DATABASE!C:Q,11,false)</f>
        <v>COMPLEMENTARY</v>
      </c>
    </row>
    <row r="5774" ht="22.5" customHeight="1">
      <c r="A5774" s="49"/>
      <c r="C5774" s="400">
        <v>45991.0</v>
      </c>
      <c r="D5774" s="524">
        <v>8037.0</v>
      </c>
      <c r="E5774" s="544" t="s">
        <v>271</v>
      </c>
      <c r="F5774" s="387">
        <v>1.0</v>
      </c>
      <c r="G5774" s="140">
        <v>630000.0</v>
      </c>
      <c r="H5774" s="74"/>
      <c r="I5774" s="74">
        <f t="shared" si="1"/>
        <v>630000</v>
      </c>
      <c r="J5774" s="74">
        <f>IF(E5774="SERVICE",I5774-(I5774*50%),Vlookup(E5774,DATABASE!C:Q,10,false)*F5774)</f>
        <v>0</v>
      </c>
      <c r="K5774" s="74">
        <f>VLOOKUP(E5774,DATABASE!C:Q,7,false)</f>
        <v>570000</v>
      </c>
      <c r="L5774" s="74">
        <v>539000.0</v>
      </c>
      <c r="M5774" s="74">
        <f t="shared" si="2"/>
        <v>540000</v>
      </c>
      <c r="N5774" s="74">
        <f t="shared" si="3"/>
        <v>90000</v>
      </c>
      <c r="O5774" s="65" t="str">
        <f>VLOOKUP(E5774,DATABASE!C:Q,8,false)</f>
        <v>IBU</v>
      </c>
      <c r="P5774" s="65">
        <f>VLOOKUP(E5774,DATABASE!C:Q,9,False)</f>
        <v>1</v>
      </c>
      <c r="Q5774" s="93" t="str">
        <f>VLOOKUP(E5774,DATABASE!C:Q,4,false)</f>
        <v>Dunlop</v>
      </c>
      <c r="R5774" s="93" t="str">
        <f>VLOOKUP(E5774,DATABASE!C:Q,11,false)</f>
        <v>Tire</v>
      </c>
      <c r="U5774" s="9"/>
    </row>
    <row r="5775" ht="22.5" customHeight="1">
      <c r="A5775" s="49"/>
      <c r="C5775" s="400">
        <v>45992.0</v>
      </c>
      <c r="D5775" s="524">
        <v>8038.0</v>
      </c>
      <c r="E5775" s="544" t="s">
        <v>839</v>
      </c>
      <c r="F5775" s="387">
        <v>1.0</v>
      </c>
      <c r="G5775" s="140">
        <v>565000.0</v>
      </c>
      <c r="H5775" s="74"/>
      <c r="I5775" s="74">
        <f t="shared" si="1"/>
        <v>565000</v>
      </c>
      <c r="J5775" s="74">
        <f>IF(E5775="SERVICE",I5775-(I5775*50%),Vlookup(E5775,DATABASE!C:Q,10,false)*F5775)</f>
        <v>0</v>
      </c>
      <c r="K5775" s="74">
        <f>VLOOKUP(E5775,DATABASE!C:Q,7,false)</f>
        <v>512640</v>
      </c>
      <c r="L5775" s="74">
        <v>475700.0</v>
      </c>
      <c r="M5775" s="74">
        <f t="shared" si="2"/>
        <v>480000</v>
      </c>
      <c r="N5775" s="74">
        <f t="shared" si="3"/>
        <v>85000</v>
      </c>
      <c r="O5775" s="65" t="str">
        <f>VLOOKUP(E5775,DATABASE!C:Q,8,false)</f>
        <v>BIAN</v>
      </c>
      <c r="P5775" s="65">
        <f>VLOOKUP(E5775,DATABASE!C:Q,9,False)</f>
        <v>1</v>
      </c>
      <c r="Q5775" s="93" t="str">
        <f>VLOOKUP(E5775,DATABASE!C:Q,4,false)</f>
        <v>GT</v>
      </c>
      <c r="R5775" s="93" t="str">
        <f>VLOOKUP(E5775,DATABASE!C:Q,11,false)</f>
        <v>Tire</v>
      </c>
    </row>
    <row r="5776" ht="22.5" customHeight="1">
      <c r="A5776" s="49"/>
      <c r="C5776" s="400">
        <v>45992.0</v>
      </c>
      <c r="D5776" s="524">
        <v>8039.0</v>
      </c>
      <c r="E5776" s="544" t="s">
        <v>261</v>
      </c>
      <c r="F5776" s="387">
        <v>2.0</v>
      </c>
      <c r="G5776" s="140">
        <v>515000.0</v>
      </c>
      <c r="H5776" s="140">
        <v>15000.0</v>
      </c>
      <c r="I5776" s="74">
        <f t="shared" si="1"/>
        <v>1000000</v>
      </c>
      <c r="J5776" s="74">
        <f>IF(E5776="SERVICE",I5776-(I5776*50%),Vlookup(E5776,DATABASE!C:Q,10,false)*F5776)</f>
        <v>0</v>
      </c>
      <c r="K5776" s="74">
        <f>VLOOKUP(E5776,DATABASE!C:Q,7,false)</f>
        <v>415000</v>
      </c>
      <c r="L5776" s="74">
        <v>415000.0</v>
      </c>
      <c r="M5776" s="74">
        <f t="shared" si="2"/>
        <v>415000</v>
      </c>
      <c r="N5776" s="74">
        <f t="shared" si="3"/>
        <v>170000</v>
      </c>
      <c r="O5776" s="65" t="str">
        <f>VLOOKUP(E5776,DATABASE!C:Q,8,false)</f>
        <v>IBU</v>
      </c>
      <c r="P5776" s="65">
        <f>VLOOKUP(E5776,DATABASE!C:Q,9,False)</f>
        <v>1</v>
      </c>
      <c r="Q5776" s="93" t="str">
        <f>VLOOKUP(E5776,DATABASE!C:Q,4,false)</f>
        <v>Dunlop</v>
      </c>
      <c r="R5776" s="93" t="str">
        <f>VLOOKUP(E5776,DATABASE!C:Q,11,false)</f>
        <v>Tire</v>
      </c>
    </row>
    <row r="5777" ht="22.5" customHeight="1">
      <c r="A5777" s="49"/>
      <c r="C5777" s="400">
        <v>45992.0</v>
      </c>
      <c r="D5777" s="524">
        <v>8040.0</v>
      </c>
      <c r="E5777" s="544" t="s">
        <v>268</v>
      </c>
      <c r="F5777" s="387">
        <v>4.0</v>
      </c>
      <c r="G5777" s="140">
        <v>710000.0</v>
      </c>
      <c r="H5777" s="74"/>
      <c r="I5777" s="74">
        <f t="shared" si="1"/>
        <v>2840000</v>
      </c>
      <c r="J5777" s="74">
        <f>IF(E5777="SERVICE",I5777-(I5777*50%),Vlookup(E5777,DATABASE!C:Q,10,false)*F5777)</f>
        <v>0</v>
      </c>
      <c r="K5777" s="74">
        <f>VLOOKUP(E5777,DATABASE!C:Q,7,false)</f>
        <v>653000</v>
      </c>
      <c r="L5777" s="74">
        <v>622000.0</v>
      </c>
      <c r="M5777" s="74">
        <f t="shared" si="2"/>
        <v>625000</v>
      </c>
      <c r="N5777" s="74">
        <f t="shared" si="3"/>
        <v>340000</v>
      </c>
      <c r="O5777" s="65" t="str">
        <f>VLOOKUP(E5777,DATABASE!C:Q,8,false)</f>
        <v>IBU</v>
      </c>
      <c r="P5777" s="65">
        <f>VLOOKUP(E5777,DATABASE!C:Q,9,False)</f>
        <v>1</v>
      </c>
      <c r="Q5777" s="93" t="str">
        <f>VLOOKUP(E5777,DATABASE!C:Q,4,false)</f>
        <v>Dunlop</v>
      </c>
      <c r="R5777" s="93" t="str">
        <f>VLOOKUP(E5777,DATABASE!C:Q,11,false)</f>
        <v>Tire</v>
      </c>
    </row>
    <row r="5778" ht="22.5" customHeight="1">
      <c r="A5778" s="49"/>
      <c r="C5778" s="400">
        <v>45992.0</v>
      </c>
      <c r="D5778" s="524">
        <v>8041.0</v>
      </c>
      <c r="E5778" s="544" t="s">
        <v>286</v>
      </c>
      <c r="F5778" s="387">
        <v>1.0</v>
      </c>
      <c r="G5778" s="140">
        <v>560000.0</v>
      </c>
      <c r="H5778" s="140">
        <v>10000.0</v>
      </c>
      <c r="I5778" s="74">
        <f t="shared" si="1"/>
        <v>550000</v>
      </c>
      <c r="J5778" s="74">
        <f>IF(E5778="SERVICE",I5778-(I5778*50%),Vlookup(E5778,DATABASE!C:Q,10,false)*F5778)</f>
        <v>0</v>
      </c>
      <c r="K5778" s="74">
        <f>VLOOKUP(E5778,DATABASE!C:Q,7,false)</f>
        <v>488320</v>
      </c>
      <c r="L5778" s="74">
        <v>452970.0</v>
      </c>
      <c r="M5778" s="74">
        <f t="shared" si="2"/>
        <v>455000</v>
      </c>
      <c r="N5778" s="74">
        <f t="shared" si="3"/>
        <v>95000</v>
      </c>
      <c r="O5778" s="65" t="str">
        <f>VLOOKUP(E5778,DATABASE!C:Q,8,false)</f>
        <v>BIAN</v>
      </c>
      <c r="P5778" s="65">
        <f>VLOOKUP(E5778,DATABASE!C:Q,9,False)</f>
        <v>1</v>
      </c>
      <c r="Q5778" s="93" t="str">
        <f>VLOOKUP(E5778,DATABASE!C:Q,4,false)</f>
        <v>GT</v>
      </c>
      <c r="R5778" s="93" t="str">
        <f>VLOOKUP(E5778,DATABASE!C:Q,11,false)</f>
        <v>Tire</v>
      </c>
    </row>
    <row r="5779" ht="22.5" customHeight="1">
      <c r="A5779" s="49"/>
      <c r="C5779" s="400">
        <v>45992.0</v>
      </c>
      <c r="D5779" s="524">
        <v>8043.0</v>
      </c>
      <c r="E5779" s="544" t="s">
        <v>572</v>
      </c>
      <c r="F5779" s="387">
        <v>2.0</v>
      </c>
      <c r="G5779" s="140">
        <v>1370000.0</v>
      </c>
      <c r="H5779" s="74"/>
      <c r="I5779" s="74">
        <f t="shared" si="1"/>
        <v>2740000</v>
      </c>
      <c r="J5779" s="74">
        <f>IF(E5779="SERVICE",I5779-(I5779*50%),Vlookup(E5779,DATABASE!C:Q,10,false)*F5779)</f>
        <v>0</v>
      </c>
      <c r="K5779" s="74">
        <f>VLOOKUP(E5779,DATABASE!C:Q,7,false)</f>
        <v>1265000</v>
      </c>
      <c r="L5779" s="74">
        <v>1245000.0</v>
      </c>
      <c r="M5779" s="74">
        <f t="shared" si="2"/>
        <v>1245000</v>
      </c>
      <c r="N5779" s="74">
        <f t="shared" si="3"/>
        <v>250000</v>
      </c>
      <c r="O5779" s="65" t="str">
        <f>VLOOKUP(E5779,DATABASE!C:Q,8,false)</f>
        <v>IBU</v>
      </c>
      <c r="P5779" s="65">
        <f>VLOOKUP(E5779,DATABASE!C:Q,9,False)</f>
        <v>1</v>
      </c>
      <c r="Q5779" s="93" t="str">
        <f>VLOOKUP(E5779,DATABASE!C:Q,4,false)</f>
        <v>Bridgestone</v>
      </c>
      <c r="R5779" s="93" t="str">
        <f>VLOOKUP(E5779,DATABASE!C:Q,11,false)</f>
        <v>Tire</v>
      </c>
    </row>
    <row r="5780" ht="22.5" customHeight="1">
      <c r="A5780" s="49"/>
      <c r="C5780" s="400">
        <v>45992.0</v>
      </c>
      <c r="D5780" s="524">
        <v>8045.0</v>
      </c>
      <c r="E5780" s="544" t="s">
        <v>290</v>
      </c>
      <c r="F5780" s="387">
        <v>2.0</v>
      </c>
      <c r="G5780" s="140">
        <v>720000.0</v>
      </c>
      <c r="H5780" s="140">
        <v>10000.0</v>
      </c>
      <c r="I5780" s="74">
        <f t="shared" si="1"/>
        <v>1420000</v>
      </c>
      <c r="J5780" s="74">
        <f>IF(E5780="SERVICE",I5780-(I5780*50%),Vlookup(E5780,DATABASE!C:Q,10,false)*F5780)</f>
        <v>0</v>
      </c>
      <c r="K5780" s="74">
        <f>VLOOKUP(E5780,DATABASE!C:Q,7,false)</f>
        <v>628100</v>
      </c>
      <c r="L5780" s="74">
        <v>609804.0</v>
      </c>
      <c r="M5780" s="74">
        <f t="shared" si="2"/>
        <v>610000</v>
      </c>
      <c r="N5780" s="74">
        <f t="shared" si="3"/>
        <v>200000</v>
      </c>
      <c r="O5780" s="65" t="str">
        <f>VLOOKUP(E5780,DATABASE!C:Q,8,false)</f>
        <v>BIAN</v>
      </c>
      <c r="P5780" s="65">
        <f>VLOOKUP(E5780,DATABASE!C:Q,9,False)</f>
        <v>1</v>
      </c>
      <c r="Q5780" s="93" t="str">
        <f>VLOOKUP(E5780,DATABASE!C:Q,4,false)</f>
        <v>GT</v>
      </c>
      <c r="R5780" s="93" t="str">
        <f>VLOOKUP(E5780,DATABASE!C:Q,11,false)</f>
        <v>Tire</v>
      </c>
    </row>
    <row r="5781" ht="22.5" customHeight="1">
      <c r="A5781" s="49"/>
      <c r="C5781" s="400">
        <v>45992.0</v>
      </c>
      <c r="D5781" s="524">
        <v>8046.0</v>
      </c>
      <c r="E5781" s="544" t="s">
        <v>275</v>
      </c>
      <c r="F5781" s="387">
        <v>1.0</v>
      </c>
      <c r="G5781" s="140">
        <v>830000.0</v>
      </c>
      <c r="H5781" s="74"/>
      <c r="I5781" s="74">
        <f t="shared" si="1"/>
        <v>830000</v>
      </c>
      <c r="J5781" s="74">
        <f>IF(E5781="SERVICE",I5781-(I5781*50%),Vlookup(E5781,DATABASE!C:Q,10,false)*F5781)</f>
        <v>0</v>
      </c>
      <c r="K5781" s="74">
        <f>VLOOKUP(E5781,DATABASE!C:Q,7,false)</f>
        <v>782000</v>
      </c>
      <c r="L5781" s="74">
        <v>745000.0</v>
      </c>
      <c r="M5781" s="74">
        <f t="shared" si="2"/>
        <v>745000</v>
      </c>
      <c r="N5781" s="74">
        <f t="shared" si="3"/>
        <v>85000</v>
      </c>
      <c r="O5781" s="65" t="str">
        <f>VLOOKUP(E5781,DATABASE!C:Q,8,false)</f>
        <v>IBU</v>
      </c>
      <c r="P5781" s="65">
        <f>VLOOKUP(E5781,DATABASE!C:Q,9,False)</f>
        <v>1</v>
      </c>
      <c r="Q5781" s="93" t="str">
        <f>VLOOKUP(E5781,DATABASE!C:Q,4,false)</f>
        <v>Dunlop</v>
      </c>
      <c r="R5781" s="93" t="str">
        <f>VLOOKUP(E5781,DATABASE!C:Q,11,false)</f>
        <v>Tire</v>
      </c>
    </row>
    <row r="5782" ht="22.5" customHeight="1">
      <c r="A5782" s="49"/>
      <c r="C5782" s="400">
        <v>45992.0</v>
      </c>
      <c r="D5782" s="524">
        <v>8046.0</v>
      </c>
      <c r="E5782" s="544" t="s">
        <v>478</v>
      </c>
      <c r="F5782" s="387">
        <v>1.0</v>
      </c>
      <c r="G5782" s="140">
        <v>200000.0</v>
      </c>
      <c r="H5782" s="74"/>
      <c r="I5782" s="74">
        <f t="shared" si="1"/>
        <v>200000</v>
      </c>
      <c r="J5782" s="74">
        <f>IF(E5782="SERVICE",I5782-(I5782*50%),Vlookup(E5782,DATABASE!C:Q,10,false)*F5782)</f>
        <v>25000</v>
      </c>
      <c r="K5782" s="74">
        <f>VLOOKUP(E5782,DATABASE!C:Q,7,false)</f>
        <v>75000</v>
      </c>
      <c r="L5782" s="74">
        <v>75000.0</v>
      </c>
      <c r="M5782" s="74">
        <f t="shared" si="2"/>
        <v>75000</v>
      </c>
      <c r="N5782" s="74">
        <f t="shared" si="3"/>
        <v>100000</v>
      </c>
      <c r="O5782" s="65" t="str">
        <f>VLOOKUP(E5782,DATABASE!C:Q,8,false)</f>
        <v>BIAN</v>
      </c>
      <c r="P5782" s="65">
        <f>VLOOKUP(E5782,DATABASE!C:Q,9,False)</f>
        <v>0</v>
      </c>
      <c r="Q5782" s="93" t="str">
        <f>VLOOKUP(E5782,DATABASE!C:Q,4,false)</f>
        <v>Baut Camber ss-carry</v>
      </c>
      <c r="R5782" s="93" t="str">
        <f>VLOOKUP(E5782,DATABASE!C:Q,11,false)</f>
        <v>COMPLEMENTARY</v>
      </c>
    </row>
    <row r="5783" ht="22.5" customHeight="1">
      <c r="A5783" s="49"/>
      <c r="C5783" s="400">
        <v>45992.0</v>
      </c>
      <c r="D5783" s="524">
        <v>8046.0</v>
      </c>
      <c r="E5783" s="544" t="s">
        <v>2206</v>
      </c>
      <c r="F5783" s="387">
        <v>2.0</v>
      </c>
      <c r="G5783" s="140">
        <v>225000.0</v>
      </c>
      <c r="H5783" s="74"/>
      <c r="I5783" s="74">
        <f t="shared" si="1"/>
        <v>450000</v>
      </c>
      <c r="J5783" s="74">
        <f>IF(E5783="SERVICE",I5783-(I5783*50%),Vlookup(E5783,DATABASE!C:Q,10,false)*F5783)</f>
        <v>80000</v>
      </c>
      <c r="K5783" s="74">
        <f>VLOOKUP(E5783,DATABASE!C:Q,7,false)</f>
        <v>95450</v>
      </c>
      <c r="L5783" s="74">
        <v>61000.0</v>
      </c>
      <c r="M5783" s="74">
        <f t="shared" si="2"/>
        <v>65000</v>
      </c>
      <c r="N5783" s="74">
        <f t="shared" si="3"/>
        <v>240000</v>
      </c>
      <c r="O5783" s="65" t="str">
        <f>VLOOKUP(E5783,DATABASE!C:Q,8,false)</f>
        <v>IBU</v>
      </c>
      <c r="P5783" s="65">
        <f>VLOOKUP(E5783,DATABASE!C:Q,9,False)</f>
        <v>1</v>
      </c>
      <c r="Q5783" s="93" t="str">
        <f>VLOOKUP(E5783,DATABASE!C:Q,4,false)</f>
        <v>TIEROD</v>
      </c>
      <c r="R5783" s="93" t="str">
        <f>VLOOKUP(E5783,DATABASE!C:Q,11,false)</f>
        <v>COMPLEMENTARY</v>
      </c>
    </row>
    <row r="5784" ht="22.5" customHeight="1">
      <c r="A5784" s="49"/>
      <c r="C5784" s="400">
        <v>45992.0</v>
      </c>
      <c r="D5784" s="524">
        <v>8046.0</v>
      </c>
      <c r="E5784" s="544" t="s">
        <v>2652</v>
      </c>
      <c r="F5784" s="387">
        <v>1.0</v>
      </c>
      <c r="G5784" s="140">
        <v>300000.0</v>
      </c>
      <c r="H5784" s="74"/>
      <c r="I5784" s="74">
        <f t="shared" si="1"/>
        <v>300000</v>
      </c>
      <c r="J5784" s="74">
        <f>IF(E5784="SERVICE",I5784-(I5784*50%),Vlookup(E5784,DATABASE!C:Q,10,false)*F5784)</f>
        <v>75000</v>
      </c>
      <c r="K5784" s="74">
        <f>VLOOKUP(E5784,DATABASE!C:Q,7,false)</f>
        <v>150000</v>
      </c>
      <c r="L5784" s="74">
        <v>150000.0</v>
      </c>
      <c r="M5784" s="74">
        <f t="shared" si="2"/>
        <v>150000</v>
      </c>
      <c r="N5784" s="74">
        <f t="shared" si="3"/>
        <v>75000</v>
      </c>
      <c r="O5784" s="65" t="str">
        <f>VLOOKUP(E5784,DATABASE!C:Q,8,false)</f>
        <v>BIAN</v>
      </c>
      <c r="P5784" s="65">
        <f>VLOOKUP(E5784,DATABASE!C:Q,9,False)</f>
        <v>0</v>
      </c>
      <c r="Q5784" s="93" t="str">
        <f>VLOOKUP(E5784,DATABASE!C:Q,4,false)</f>
        <v>Karet Support + Pasang</v>
      </c>
      <c r="R5784" s="93" t="str">
        <f>VLOOKUP(E5784,DATABASE!C:Q,11,false)</f>
        <v>COMPLEMENTARY</v>
      </c>
    </row>
    <row r="5785" ht="22.5" customHeight="1">
      <c r="A5785" s="49"/>
      <c r="C5785" s="400">
        <v>45992.0</v>
      </c>
      <c r="D5785" s="524">
        <v>8046.0</v>
      </c>
      <c r="E5785" s="544" t="s">
        <v>2154</v>
      </c>
      <c r="F5785" s="387">
        <v>1.0</v>
      </c>
      <c r="G5785" s="140">
        <v>225000.0</v>
      </c>
      <c r="H5785" s="74"/>
      <c r="I5785" s="74">
        <f t="shared" si="1"/>
        <v>225000</v>
      </c>
      <c r="J5785" s="74">
        <f>IF(E5785="SERVICE",I5785-(I5785*50%),Vlookup(E5785,DATABASE!C:Q,10,false)*F5785)</f>
        <v>80000</v>
      </c>
      <c r="K5785" s="74">
        <f>VLOOKUP(E5785,DATABASE!C:Q,7,false)</f>
        <v>90000</v>
      </c>
      <c r="L5785" s="74">
        <v>65000.0</v>
      </c>
      <c r="M5785" s="74">
        <f t="shared" si="2"/>
        <v>65000</v>
      </c>
      <c r="N5785" s="74">
        <f t="shared" si="3"/>
        <v>80000</v>
      </c>
      <c r="O5785" s="65" t="str">
        <f>VLOOKUP(E5785,DATABASE!C:Q,8,false)</f>
        <v>IBU</v>
      </c>
      <c r="P5785" s="65">
        <f>VLOOKUP(E5785,DATABASE!C:Q,9,False)</f>
        <v>0</v>
      </c>
      <c r="Q5785" s="93" t="str">
        <f>VLOOKUP(E5785,DATABASE!C:Q,4,false)</f>
        <v>SERVICE</v>
      </c>
      <c r="R5785" s="93" t="str">
        <f>VLOOKUP(E5785,DATABASE!C:Q,11,false)</f>
        <v>COMPLEMENTARY</v>
      </c>
    </row>
    <row r="5786" ht="22.5" customHeight="1">
      <c r="A5786" s="49"/>
      <c r="C5786" s="400">
        <v>45992.0</v>
      </c>
      <c r="D5786" s="69">
        <v>8046.0</v>
      </c>
      <c r="E5786" s="544" t="s">
        <v>37</v>
      </c>
      <c r="F5786" s="387">
        <v>1.0</v>
      </c>
      <c r="G5786" s="140">
        <v>110000.0</v>
      </c>
      <c r="H5786" s="74">
        <v>0.0</v>
      </c>
      <c r="I5786" s="74">
        <f t="shared" si="1"/>
        <v>110000</v>
      </c>
      <c r="J5786" s="74">
        <f>IF(E5786="SERVICE",I5786-(I5786*50%),Vlookup(E5786,DATABASE!C:Q,10,false)*F5786)</f>
        <v>10000</v>
      </c>
      <c r="K5786" s="74">
        <f>VLOOKUP(E5786,DATABASE!C:Q,7,false)</f>
        <v>0</v>
      </c>
      <c r="L5786" s="74">
        <v>0.0</v>
      </c>
      <c r="M5786" s="74">
        <f t="shared" si="2"/>
        <v>0</v>
      </c>
      <c r="N5786" s="74">
        <f t="shared" si="3"/>
        <v>100000</v>
      </c>
      <c r="O5786" s="65" t="str">
        <f>VLOOKUP(E5786,DATABASE!C:Q,8,false)</f>
        <v>IBU</v>
      </c>
      <c r="P5786" s="65">
        <f>VLOOKUP(E5786,DATABASE!C:Q,9,False)</f>
        <v>0</v>
      </c>
      <c r="Q5786" s="93" t="str">
        <f>VLOOKUP(E5786,DATABASE!C:Q,4,false)</f>
        <v>SPOORING</v>
      </c>
      <c r="R5786" s="93" t="str">
        <f>VLOOKUP(E5786,DATABASE!C:Q,11,false)</f>
        <v>SERVICE</v>
      </c>
    </row>
    <row r="5787" ht="22.5" customHeight="1">
      <c r="A5787" s="49"/>
      <c r="C5787" s="400">
        <v>45992.0</v>
      </c>
      <c r="D5787" s="524">
        <v>8047.0</v>
      </c>
      <c r="E5787" s="544" t="s">
        <v>256</v>
      </c>
      <c r="F5787" s="387">
        <v>1.0</v>
      </c>
      <c r="G5787" s="140">
        <v>150000.0</v>
      </c>
      <c r="H5787" s="140">
        <v>20000.0</v>
      </c>
      <c r="I5787" s="74">
        <f t="shared" si="1"/>
        <v>130000</v>
      </c>
      <c r="J5787" s="74">
        <f>IF(E5787="SERVICE",I5787-(I5787*50%),Vlookup(E5787,DATABASE!C:Q,10,false)*F5787)</f>
        <v>10000</v>
      </c>
      <c r="K5787" s="74">
        <f>VLOOKUP(E5787,DATABASE!C:Q,7,false)</f>
        <v>0</v>
      </c>
      <c r="L5787" s="74">
        <v>0.0</v>
      </c>
      <c r="M5787" s="74">
        <f t="shared" si="2"/>
        <v>0</v>
      </c>
      <c r="N5787" s="74">
        <f t="shared" si="3"/>
        <v>120000</v>
      </c>
      <c r="O5787" s="65" t="str">
        <f>VLOOKUP(E5787,DATABASE!C:Q,8,false)</f>
        <v>IBU</v>
      </c>
      <c r="P5787" s="65">
        <f>VLOOKUP(E5787,DATABASE!C:Q,9,False)</f>
        <v>0</v>
      </c>
      <c r="Q5787" s="93" t="str">
        <f>VLOOKUP(E5787,DATABASE!C:Q,4,false)</f>
        <v>SPOORING</v>
      </c>
      <c r="R5787" s="93" t="str">
        <f>VLOOKUP(E5787,DATABASE!C:Q,11,false)</f>
        <v>SERVICE</v>
      </c>
    </row>
    <row r="5788" ht="22.5" customHeight="1">
      <c r="A5788" s="49"/>
      <c r="C5788" s="400">
        <v>45992.0</v>
      </c>
      <c r="D5788" s="524">
        <v>8047.0</v>
      </c>
      <c r="E5788" s="544" t="s">
        <v>299</v>
      </c>
      <c r="F5788" s="387">
        <v>2.0</v>
      </c>
      <c r="G5788" s="140">
        <v>30000.0</v>
      </c>
      <c r="H5788" s="74"/>
      <c r="I5788" s="74">
        <f t="shared" si="1"/>
        <v>60000</v>
      </c>
      <c r="J5788" s="74">
        <f>IF(E5788="SERVICE",I5788-(I5788*50%),Vlookup(E5788,DATABASE!C:Q,10,false)*F5788)</f>
        <v>0</v>
      </c>
      <c r="K5788" s="74">
        <f>VLOOKUP(E5788,DATABASE!C:Q,7,false)</f>
        <v>10000</v>
      </c>
      <c r="L5788" s="74">
        <v>5000.0</v>
      </c>
      <c r="M5788" s="74">
        <f t="shared" si="2"/>
        <v>5000</v>
      </c>
      <c r="N5788" s="74">
        <f t="shared" si="3"/>
        <v>50000</v>
      </c>
      <c r="O5788" s="65" t="str">
        <f>VLOOKUP(E5788,DATABASE!C:Q,8,false)</f>
        <v>BIAN</v>
      </c>
      <c r="P5788" s="65">
        <f>VLOOKUP(E5788,DATABASE!C:Q,9,False)</f>
        <v>0</v>
      </c>
      <c r="Q5788" s="93" t="str">
        <f>VLOOKUP(E5788,DATABASE!C:Q,4,false)</f>
        <v>Balancing</v>
      </c>
      <c r="R5788" s="93" t="str">
        <f>VLOOKUP(E5788,DATABASE!C:Q,11,false)</f>
        <v>COMPLEMENTARY</v>
      </c>
    </row>
    <row r="5789" ht="22.5" customHeight="1">
      <c r="A5789" s="49"/>
      <c r="C5789" s="400">
        <v>45992.0</v>
      </c>
      <c r="D5789" s="524">
        <v>8047.0</v>
      </c>
      <c r="E5789" s="544" t="s">
        <v>301</v>
      </c>
      <c r="F5789" s="387">
        <v>1.0</v>
      </c>
      <c r="G5789" s="140">
        <v>250000.0</v>
      </c>
      <c r="H5789" s="74"/>
      <c r="I5789" s="74">
        <f t="shared" si="1"/>
        <v>250000</v>
      </c>
      <c r="J5789" s="74">
        <f>IF(E5789="SERVICE",I5789-(I5789*50%),Vlookup(E5789,DATABASE!C:Q,10,false)*F5789)</f>
        <v>75000</v>
      </c>
      <c r="K5789" s="74">
        <f>VLOOKUP(E5789,DATABASE!C:Q,7,false)</f>
        <v>75000</v>
      </c>
      <c r="L5789" s="74">
        <v>75000.0</v>
      </c>
      <c r="M5789" s="74">
        <f t="shared" si="2"/>
        <v>75000</v>
      </c>
      <c r="N5789" s="74">
        <f t="shared" si="3"/>
        <v>100000</v>
      </c>
      <c r="O5789" s="65" t="str">
        <f>VLOOKUP(E5789,DATABASE!C:Q,8,false)</f>
        <v>BIAN</v>
      </c>
      <c r="P5789" s="65">
        <f>VLOOKUP(E5789,DATABASE!C:Q,9,False)</f>
        <v>0</v>
      </c>
      <c r="Q5789" s="93" t="str">
        <f>VLOOKUP(E5789,DATABASE!C:Q,4,false)</f>
        <v>Baut Camber</v>
      </c>
      <c r="R5789" s="93" t="str">
        <f>VLOOKUP(E5789,DATABASE!C:Q,11,false)</f>
        <v>COMPLEMENTARY</v>
      </c>
    </row>
    <row r="5790" ht="22.5" customHeight="1">
      <c r="A5790" s="49"/>
      <c r="C5790" s="400">
        <v>45992.0</v>
      </c>
      <c r="D5790" s="69">
        <v>8049.0</v>
      </c>
      <c r="E5790" s="544" t="s">
        <v>256</v>
      </c>
      <c r="F5790" s="387">
        <v>1.0</v>
      </c>
      <c r="G5790" s="140">
        <v>150000.0</v>
      </c>
      <c r="H5790" s="140">
        <v>20000.0</v>
      </c>
      <c r="I5790" s="74">
        <f t="shared" si="1"/>
        <v>130000</v>
      </c>
      <c r="J5790" s="74">
        <f>IF(E5790="SERVICE",I5790-(I5790*50%),Vlookup(E5790,DATABASE!C:Q,10,false)*F5790)</f>
        <v>10000</v>
      </c>
      <c r="K5790" s="74">
        <f>VLOOKUP(E5790,DATABASE!C:Q,7,false)</f>
        <v>0</v>
      </c>
      <c r="L5790" s="74">
        <v>0.0</v>
      </c>
      <c r="M5790" s="74">
        <f t="shared" si="2"/>
        <v>0</v>
      </c>
      <c r="N5790" s="74">
        <f t="shared" si="3"/>
        <v>120000</v>
      </c>
      <c r="O5790" s="65" t="str">
        <f>VLOOKUP(E5790,DATABASE!C:Q,8,false)</f>
        <v>IBU</v>
      </c>
      <c r="P5790" s="65">
        <f>VLOOKUP(E5790,DATABASE!C:Q,9,False)</f>
        <v>0</v>
      </c>
      <c r="Q5790" s="93" t="str">
        <f>VLOOKUP(E5790,DATABASE!C:Q,4,false)</f>
        <v>SPOORING</v>
      </c>
      <c r="R5790" s="93" t="str">
        <f>VLOOKUP(E5790,DATABASE!C:Q,11,false)</f>
        <v>SERVICE</v>
      </c>
    </row>
    <row r="5791" ht="22.5" customHeight="1">
      <c r="A5791" s="49"/>
      <c r="C5791" s="400">
        <v>45992.0</v>
      </c>
      <c r="D5791" s="69">
        <v>8049.0</v>
      </c>
      <c r="E5791" s="544" t="s">
        <v>299</v>
      </c>
      <c r="F5791" s="387">
        <v>2.0</v>
      </c>
      <c r="G5791" s="140">
        <v>30000.0</v>
      </c>
      <c r="H5791" s="74"/>
      <c r="I5791" s="74">
        <f t="shared" si="1"/>
        <v>60000</v>
      </c>
      <c r="J5791" s="74">
        <f>IF(E5791="SERVICE",I5791-(I5791*50%),Vlookup(E5791,DATABASE!C:Q,10,false)*F5791)</f>
        <v>0</v>
      </c>
      <c r="K5791" s="74">
        <f>VLOOKUP(E5791,DATABASE!C:Q,7,false)</f>
        <v>10000</v>
      </c>
      <c r="L5791" s="74">
        <v>5000.0</v>
      </c>
      <c r="M5791" s="74">
        <f t="shared" si="2"/>
        <v>5000</v>
      </c>
      <c r="N5791" s="74">
        <f t="shared" si="3"/>
        <v>50000</v>
      </c>
      <c r="O5791" s="65" t="str">
        <f>VLOOKUP(E5791,DATABASE!C:Q,8,false)</f>
        <v>BIAN</v>
      </c>
      <c r="P5791" s="65">
        <f>VLOOKUP(E5791,DATABASE!C:Q,9,False)</f>
        <v>0</v>
      </c>
      <c r="Q5791" s="93" t="str">
        <f>VLOOKUP(E5791,DATABASE!C:Q,4,false)</f>
        <v>Balancing</v>
      </c>
      <c r="R5791" s="93" t="str">
        <f>VLOOKUP(E5791,DATABASE!C:Q,11,false)</f>
        <v>COMPLEMENTARY</v>
      </c>
    </row>
    <row r="5792" ht="22.5" customHeight="1">
      <c r="A5792" s="49"/>
      <c r="C5792" s="400">
        <v>45992.0</v>
      </c>
      <c r="D5792" s="69">
        <v>8049.0</v>
      </c>
      <c r="E5792" s="544" t="s">
        <v>301</v>
      </c>
      <c r="F5792" s="387">
        <v>1.0</v>
      </c>
      <c r="G5792" s="140">
        <v>250000.0</v>
      </c>
      <c r="H5792" s="74"/>
      <c r="I5792" s="74">
        <f t="shared" si="1"/>
        <v>250000</v>
      </c>
      <c r="J5792" s="74">
        <f>IF(E5792="SERVICE",I5792-(I5792*50%),Vlookup(E5792,DATABASE!C:Q,10,false)*F5792)</f>
        <v>75000</v>
      </c>
      <c r="K5792" s="74">
        <f>VLOOKUP(E5792,DATABASE!C:Q,7,false)</f>
        <v>75000</v>
      </c>
      <c r="L5792" s="74">
        <v>75000.0</v>
      </c>
      <c r="M5792" s="74">
        <f t="shared" si="2"/>
        <v>75000</v>
      </c>
      <c r="N5792" s="74">
        <f t="shared" si="3"/>
        <v>100000</v>
      </c>
      <c r="O5792" s="65" t="str">
        <f>VLOOKUP(E5792,DATABASE!C:Q,8,false)</f>
        <v>BIAN</v>
      </c>
      <c r="P5792" s="65">
        <f>VLOOKUP(E5792,DATABASE!C:Q,9,False)</f>
        <v>0</v>
      </c>
      <c r="Q5792" s="93" t="str">
        <f>VLOOKUP(E5792,DATABASE!C:Q,4,false)</f>
        <v>Baut Camber</v>
      </c>
      <c r="R5792" s="93" t="str">
        <f>VLOOKUP(E5792,DATABASE!C:Q,11,false)</f>
        <v>COMPLEMENTARY</v>
      </c>
    </row>
    <row r="5793" ht="22.5" customHeight="1">
      <c r="A5793" s="49"/>
      <c r="C5793" s="400">
        <v>45993.0</v>
      </c>
      <c r="D5793" s="524">
        <v>8050.0</v>
      </c>
      <c r="E5793" s="544" t="s">
        <v>791</v>
      </c>
      <c r="F5793" s="387">
        <v>1.0</v>
      </c>
      <c r="G5793" s="140">
        <v>1280000.0</v>
      </c>
      <c r="H5793" s="74"/>
      <c r="I5793" s="74">
        <f t="shared" si="1"/>
        <v>1280000</v>
      </c>
      <c r="J5793" s="74">
        <f>IF(E5793="SERVICE",I5793-(I5793*50%),Vlookup(E5793,DATABASE!C:Q,10,false)*F5793)</f>
        <v>0</v>
      </c>
      <c r="K5793" s="74">
        <f>VLOOKUP(E5793,DATABASE!C:Q,7,false)</f>
        <v>1210000</v>
      </c>
      <c r="L5793" s="74">
        <v>1180000.0</v>
      </c>
      <c r="M5793" s="74">
        <f t="shared" si="2"/>
        <v>1180000</v>
      </c>
      <c r="N5793" s="74">
        <f t="shared" si="3"/>
        <v>100000</v>
      </c>
      <c r="O5793" s="65" t="str">
        <f>VLOOKUP(E5793,DATABASE!C:Q,8,false)</f>
        <v>BIAN</v>
      </c>
      <c r="P5793" s="65">
        <f>VLOOKUP(E5793,DATABASE!C:Q,9,False)</f>
        <v>1</v>
      </c>
      <c r="Q5793" s="93" t="str">
        <f>VLOOKUP(E5793,DATABASE!C:Q,4,false)</f>
        <v>GT</v>
      </c>
      <c r="R5793" s="93" t="str">
        <f>VLOOKUP(E5793,DATABASE!C:Q,11,false)</f>
        <v>Tire</v>
      </c>
    </row>
    <row r="5794" ht="22.5" customHeight="1">
      <c r="A5794" s="49"/>
      <c r="C5794" s="400">
        <v>45993.0</v>
      </c>
      <c r="D5794" s="524">
        <v>8051.0</v>
      </c>
      <c r="E5794" s="544" t="s">
        <v>605</v>
      </c>
      <c r="F5794" s="387">
        <v>1.0</v>
      </c>
      <c r="G5794" s="140">
        <v>760000.0</v>
      </c>
      <c r="H5794" s="140">
        <v>25000.0</v>
      </c>
      <c r="I5794" s="74">
        <f t="shared" si="1"/>
        <v>735000</v>
      </c>
      <c r="J5794" s="74">
        <f>IF(E5794="SERVICE",I5794-(I5794*50%),Vlookup(E5794,DATABASE!C:Q,10,false)*F5794)</f>
        <v>0</v>
      </c>
      <c r="K5794" s="74">
        <f>VLOOKUP(E5794,DATABASE!C:Q,7,false)</f>
        <v>675000</v>
      </c>
      <c r="L5794" s="74">
        <v>650000.0</v>
      </c>
      <c r="M5794" s="74">
        <f t="shared" si="2"/>
        <v>650000</v>
      </c>
      <c r="N5794" s="74">
        <f t="shared" si="3"/>
        <v>85000</v>
      </c>
      <c r="O5794" s="65" t="str">
        <f>VLOOKUP(E5794,DATABASE!C:Q,8,false)</f>
        <v>IBU</v>
      </c>
      <c r="P5794" s="65">
        <f>VLOOKUP(E5794,DATABASE!C:Q,9,False)</f>
        <v>1</v>
      </c>
      <c r="Q5794" s="93" t="str">
        <f>VLOOKUP(E5794,DATABASE!C:Q,4,false)</f>
        <v>Bridgestone</v>
      </c>
      <c r="R5794" s="93" t="str">
        <f>VLOOKUP(E5794,DATABASE!C:Q,11,false)</f>
        <v>Tire</v>
      </c>
    </row>
    <row r="5795" ht="22.5" customHeight="1">
      <c r="A5795" s="49"/>
      <c r="C5795" s="400">
        <v>45993.0</v>
      </c>
      <c r="D5795" s="524">
        <v>8052.0</v>
      </c>
      <c r="E5795" s="544" t="s">
        <v>791</v>
      </c>
      <c r="F5795" s="387">
        <v>1.0</v>
      </c>
      <c r="G5795" s="140">
        <v>1280000.0</v>
      </c>
      <c r="H5795" s="74"/>
      <c r="I5795" s="74">
        <f t="shared" si="1"/>
        <v>1280000</v>
      </c>
      <c r="J5795" s="74">
        <f>IF(E5795="SERVICE",I5795-(I5795*50%),Vlookup(E5795,DATABASE!C:Q,10,false)*F5795)</f>
        <v>0</v>
      </c>
      <c r="K5795" s="74">
        <f>VLOOKUP(E5795,DATABASE!C:Q,7,false)</f>
        <v>1210000</v>
      </c>
      <c r="L5795" s="74">
        <v>1180000.0</v>
      </c>
      <c r="M5795" s="74">
        <f t="shared" si="2"/>
        <v>1180000</v>
      </c>
      <c r="N5795" s="74">
        <f t="shared" si="3"/>
        <v>100000</v>
      </c>
      <c r="O5795" s="65" t="str">
        <f>VLOOKUP(E5795,DATABASE!C:Q,8,false)</f>
        <v>BIAN</v>
      </c>
      <c r="P5795" s="65">
        <f>VLOOKUP(E5795,DATABASE!C:Q,9,False)</f>
        <v>1</v>
      </c>
      <c r="Q5795" s="93" t="str">
        <f>VLOOKUP(E5795,DATABASE!C:Q,4,false)</f>
        <v>GT</v>
      </c>
      <c r="R5795" s="93" t="str">
        <f>VLOOKUP(E5795,DATABASE!C:Q,11,false)</f>
        <v>Tire</v>
      </c>
    </row>
    <row r="5796" ht="22.5" customHeight="1">
      <c r="A5796" s="49"/>
      <c r="C5796" s="400">
        <v>45993.0</v>
      </c>
      <c r="D5796" s="524">
        <v>8053.0</v>
      </c>
      <c r="E5796" s="544" t="s">
        <v>262</v>
      </c>
      <c r="F5796" s="387">
        <v>1.0</v>
      </c>
      <c r="G5796" s="140">
        <v>110000.0</v>
      </c>
      <c r="H5796" s="74"/>
      <c r="I5796" s="74">
        <f t="shared" si="1"/>
        <v>110000</v>
      </c>
      <c r="J5796" s="74">
        <f>IF(E5796="SERVICE",I5796-(I5796*50%),Vlookup(E5796,DATABASE!C:Q,10,false)*F5796)</f>
        <v>5000</v>
      </c>
      <c r="K5796" s="74">
        <f>VLOOKUP(E5796,DATABASE!C:Q,7,false)</f>
        <v>0</v>
      </c>
      <c r="L5796" s="74">
        <v>0.0</v>
      </c>
      <c r="M5796" s="74">
        <f t="shared" si="2"/>
        <v>0</v>
      </c>
      <c r="N5796" s="74">
        <f t="shared" si="3"/>
        <v>105000</v>
      </c>
      <c r="O5796" s="65" t="str">
        <f>VLOOKUP(E5796,DATABASE!C:Q,8,false)</f>
        <v>IBU</v>
      </c>
      <c r="P5796" s="65">
        <f>VLOOKUP(E5796,DATABASE!C:Q,9,False)</f>
        <v>0</v>
      </c>
      <c r="Q5796" s="93" t="str">
        <f>VLOOKUP(E5796,DATABASE!C:Q,4,false)</f>
        <v>SPOORING SS/CARRY LOS BAK</v>
      </c>
      <c r="R5796" s="93" t="str">
        <f>VLOOKUP(E5796,DATABASE!C:Q,11,false)</f>
        <v>SERVICE</v>
      </c>
    </row>
    <row r="5797" ht="22.5" customHeight="1">
      <c r="A5797" s="49"/>
      <c r="C5797" s="400">
        <v>45993.0</v>
      </c>
      <c r="D5797" s="524">
        <v>8053.0</v>
      </c>
      <c r="E5797" s="544" t="s">
        <v>299</v>
      </c>
      <c r="F5797" s="387">
        <v>2.0</v>
      </c>
      <c r="G5797" s="140">
        <v>30000.0</v>
      </c>
      <c r="H5797" s="74"/>
      <c r="I5797" s="74">
        <f t="shared" si="1"/>
        <v>60000</v>
      </c>
      <c r="J5797" s="74">
        <f>IF(E5797="SERVICE",I5797-(I5797*50%),Vlookup(E5797,DATABASE!C:Q,10,false)*F5797)</f>
        <v>0</v>
      </c>
      <c r="K5797" s="74">
        <f>VLOOKUP(E5797,DATABASE!C:Q,7,false)</f>
        <v>10000</v>
      </c>
      <c r="L5797" s="74">
        <v>5000.0</v>
      </c>
      <c r="M5797" s="74">
        <f t="shared" si="2"/>
        <v>5000</v>
      </c>
      <c r="N5797" s="74">
        <f t="shared" si="3"/>
        <v>50000</v>
      </c>
      <c r="O5797" s="65" t="str">
        <f>VLOOKUP(E5797,DATABASE!C:Q,8,false)</f>
        <v>BIAN</v>
      </c>
      <c r="P5797" s="65">
        <f>VLOOKUP(E5797,DATABASE!C:Q,9,False)</f>
        <v>0</v>
      </c>
      <c r="Q5797" s="93" t="str">
        <f>VLOOKUP(E5797,DATABASE!C:Q,4,false)</f>
        <v>Balancing</v>
      </c>
      <c r="R5797" s="93" t="str">
        <f>VLOOKUP(E5797,DATABASE!C:Q,11,false)</f>
        <v>COMPLEMENTARY</v>
      </c>
    </row>
    <row r="5798" ht="22.5" customHeight="1">
      <c r="A5798" s="49"/>
      <c r="C5798" s="400">
        <v>45993.0</v>
      </c>
      <c r="D5798" s="524">
        <v>8053.0</v>
      </c>
      <c r="E5798" s="544" t="s">
        <v>251</v>
      </c>
      <c r="F5798" s="387">
        <v>1.0</v>
      </c>
      <c r="G5798" s="140">
        <v>350000.0</v>
      </c>
      <c r="H5798" s="140">
        <v>200000.0</v>
      </c>
      <c r="I5798" s="74">
        <f t="shared" si="1"/>
        <v>150000</v>
      </c>
      <c r="J5798" s="74">
        <f>IF(E5798="SERVICE",I5798-(I5798*50%),Vlookup(E5798,DATABASE!C:Q,10,false)*F5798)</f>
        <v>75000</v>
      </c>
      <c r="K5798" s="74">
        <f>VLOOKUP(E5798,DATABASE!C:Q,7,false)</f>
        <v>0</v>
      </c>
      <c r="L5798" s="74">
        <v>0.0</v>
      </c>
      <c r="M5798" s="74">
        <f t="shared" si="2"/>
        <v>0</v>
      </c>
      <c r="N5798" s="74">
        <f t="shared" si="3"/>
        <v>75000</v>
      </c>
      <c r="O5798" s="65" t="str">
        <f>VLOOKUP(E5798,DATABASE!C:Q,8,false)</f>
        <v>IBU</v>
      </c>
      <c r="P5798" s="65">
        <f>VLOOKUP(E5798,DATABASE!C:Q,9,False)</f>
        <v>0</v>
      </c>
      <c r="Q5798" s="93" t="str">
        <f>VLOOKUP(E5798,DATABASE!C:Q,4,false)</f>
        <v>SERVICE</v>
      </c>
      <c r="R5798" s="93" t="str">
        <f>VLOOKUP(E5798,DATABASE!C:Q,11,false)</f>
        <v>SERVICE</v>
      </c>
    </row>
    <row r="5799" ht="22.5" customHeight="1">
      <c r="A5799" s="49"/>
      <c r="C5799" s="400">
        <v>45993.0</v>
      </c>
      <c r="D5799" s="524">
        <v>8054.0</v>
      </c>
      <c r="E5799" s="544" t="s">
        <v>287</v>
      </c>
      <c r="F5799" s="387">
        <v>1.0</v>
      </c>
      <c r="G5799" s="140">
        <v>780000.0</v>
      </c>
      <c r="H5799" s="74"/>
      <c r="I5799" s="74">
        <f t="shared" si="1"/>
        <v>780000</v>
      </c>
      <c r="J5799" s="74">
        <f>IF(E5799="SERVICE",I5799-(I5799*50%),Vlookup(E5799,DATABASE!C:Q,10,false)*F5799)</f>
        <v>0</v>
      </c>
      <c r="K5799" s="74">
        <f>VLOOKUP(E5799,DATABASE!C:Q,7,false)</f>
        <v>711000</v>
      </c>
      <c r="L5799" s="74">
        <v>690600.0</v>
      </c>
      <c r="M5799" s="74">
        <f t="shared" si="2"/>
        <v>695000</v>
      </c>
      <c r="N5799" s="74">
        <f t="shared" si="3"/>
        <v>85000</v>
      </c>
      <c r="O5799" s="65" t="str">
        <f>VLOOKUP(E5799,DATABASE!C:Q,8,false)</f>
        <v>BIAN</v>
      </c>
      <c r="P5799" s="65">
        <f>VLOOKUP(E5799,DATABASE!C:Q,9,False)</f>
        <v>1</v>
      </c>
      <c r="Q5799" s="93" t="str">
        <f>VLOOKUP(E5799,DATABASE!C:Q,4,false)</f>
        <v>GT</v>
      </c>
      <c r="R5799" s="93" t="str">
        <f>VLOOKUP(E5799,DATABASE!C:Q,11,false)</f>
        <v>Tire</v>
      </c>
    </row>
    <row r="5800" ht="22.5" customHeight="1">
      <c r="A5800" s="49"/>
      <c r="C5800" s="400">
        <v>45993.0</v>
      </c>
      <c r="D5800" s="524">
        <v>8055.0</v>
      </c>
      <c r="E5800" s="544" t="s">
        <v>688</v>
      </c>
      <c r="F5800" s="387">
        <v>1.0</v>
      </c>
      <c r="G5800" s="140">
        <v>150000.0</v>
      </c>
      <c r="H5800" s="74"/>
      <c r="I5800" s="74">
        <f t="shared" si="1"/>
        <v>150000</v>
      </c>
      <c r="J5800" s="74">
        <f>IF(E5800="SERVICE",I5800-(I5800*50%),Vlookup(E5800,DATABASE!C:Q,10,false)*F5800)</f>
        <v>0</v>
      </c>
      <c r="K5800" s="74">
        <f>VLOOKUP(E5800,DATABASE!C:Q,7,false)</f>
        <v>100000</v>
      </c>
      <c r="L5800" s="74">
        <v>100000.0</v>
      </c>
      <c r="M5800" s="74">
        <f t="shared" si="2"/>
        <v>100000</v>
      </c>
      <c r="N5800" s="74">
        <f t="shared" si="3"/>
        <v>50000</v>
      </c>
      <c r="O5800" s="65" t="str">
        <f>VLOOKUP(E5800,DATABASE!C:Q,8,false)</f>
        <v>BIAN</v>
      </c>
      <c r="P5800" s="65">
        <f>VLOOKUP(E5800,DATABASE!C:Q,9,False)</f>
        <v>1</v>
      </c>
      <c r="Q5800" s="93" t="str">
        <f>VLOOKUP(E5800,DATABASE!C:Q,4,false)</f>
        <v>BD</v>
      </c>
      <c r="R5800" s="93" t="str">
        <f>VLOOKUP(E5800,DATABASE!C:Q,11,false)</f>
        <v>Tire</v>
      </c>
    </row>
    <row r="5801" ht="22.5" customHeight="1">
      <c r="A5801" s="49"/>
      <c r="C5801" s="400">
        <v>45993.0</v>
      </c>
      <c r="D5801" s="524">
        <v>8055.0</v>
      </c>
      <c r="E5801" s="544" t="s">
        <v>814</v>
      </c>
      <c r="F5801" s="387">
        <v>1.0</v>
      </c>
      <c r="G5801" s="140">
        <v>65000.0</v>
      </c>
      <c r="H5801" s="74"/>
      <c r="I5801" s="74">
        <f t="shared" si="1"/>
        <v>65000</v>
      </c>
      <c r="J5801" s="74">
        <f>IF(E5801="SERVICE",I5801-(I5801*50%),Vlookup(E5801,DATABASE!C:Q,10,false)*F5801)</f>
        <v>0</v>
      </c>
      <c r="K5801" s="74">
        <f>VLOOKUP(E5801,DATABASE!C:Q,7,false)</f>
        <v>39440</v>
      </c>
      <c r="L5801" s="74">
        <v>39440.0</v>
      </c>
      <c r="M5801" s="74">
        <f t="shared" si="2"/>
        <v>40000</v>
      </c>
      <c r="N5801" s="74">
        <f t="shared" si="3"/>
        <v>25000</v>
      </c>
      <c r="O5801" s="65" t="str">
        <f>VLOOKUP(E5801,DATABASE!C:Q,8,false)</f>
        <v>BIAN</v>
      </c>
      <c r="P5801" s="65">
        <f>VLOOKUP(E5801,DATABASE!C:Q,9,False)</f>
        <v>1</v>
      </c>
      <c r="Q5801" s="93" t="str">
        <f>VLOOKUP(E5801,DATABASE!C:Q,4,false)</f>
        <v>Flap</v>
      </c>
      <c r="R5801" s="93" t="str">
        <f>VLOOKUP(E5801,DATABASE!C:Q,11,false)</f>
        <v>Tire</v>
      </c>
    </row>
    <row r="5802" ht="22.5" customHeight="1">
      <c r="A5802" s="49"/>
      <c r="C5802" s="400">
        <v>45993.0</v>
      </c>
      <c r="D5802" s="524">
        <v>8056.0</v>
      </c>
      <c r="E5802" s="544" t="s">
        <v>262</v>
      </c>
      <c r="F5802" s="387">
        <v>1.0</v>
      </c>
      <c r="G5802" s="140">
        <v>110000.0</v>
      </c>
      <c r="H5802" s="74"/>
      <c r="I5802" s="74">
        <f t="shared" si="1"/>
        <v>110000</v>
      </c>
      <c r="J5802" s="74">
        <f>IF(E5802="SERVICE",I5802-(I5802*50%),Vlookup(E5802,DATABASE!C:Q,10,false)*F5802)</f>
        <v>5000</v>
      </c>
      <c r="K5802" s="74">
        <f>VLOOKUP(E5802,DATABASE!C:Q,7,false)</f>
        <v>0</v>
      </c>
      <c r="L5802" s="74">
        <v>0.0</v>
      </c>
      <c r="M5802" s="74">
        <f t="shared" si="2"/>
        <v>0</v>
      </c>
      <c r="N5802" s="74">
        <f t="shared" si="3"/>
        <v>105000</v>
      </c>
      <c r="O5802" s="65" t="str">
        <f>VLOOKUP(E5802,DATABASE!C:Q,8,false)</f>
        <v>IBU</v>
      </c>
      <c r="P5802" s="65">
        <f>VLOOKUP(E5802,DATABASE!C:Q,9,False)</f>
        <v>0</v>
      </c>
      <c r="Q5802" s="93" t="str">
        <f>VLOOKUP(E5802,DATABASE!C:Q,4,false)</f>
        <v>SPOORING SS/CARRY LOS BAK</v>
      </c>
      <c r="R5802" s="93" t="str">
        <f>VLOOKUP(E5802,DATABASE!C:Q,11,false)</f>
        <v>SERVICE</v>
      </c>
    </row>
    <row r="5803" ht="22.5" customHeight="1">
      <c r="A5803" s="49"/>
      <c r="C5803" s="400">
        <v>45993.0</v>
      </c>
      <c r="D5803" s="524">
        <v>8056.0</v>
      </c>
      <c r="E5803" s="544" t="s">
        <v>299</v>
      </c>
      <c r="F5803" s="387">
        <v>2.0</v>
      </c>
      <c r="G5803" s="140">
        <v>30000.0</v>
      </c>
      <c r="H5803" s="74"/>
      <c r="I5803" s="74">
        <f t="shared" si="1"/>
        <v>60000</v>
      </c>
      <c r="J5803" s="74">
        <f>IF(E5803="SERVICE",I5803-(I5803*50%),Vlookup(E5803,DATABASE!C:Q,10,false)*F5803)</f>
        <v>0</v>
      </c>
      <c r="K5803" s="74">
        <f>VLOOKUP(E5803,DATABASE!C:Q,7,false)</f>
        <v>10000</v>
      </c>
      <c r="L5803" s="74">
        <v>5000.0</v>
      </c>
      <c r="M5803" s="74">
        <f t="shared" si="2"/>
        <v>5000</v>
      </c>
      <c r="N5803" s="74">
        <f t="shared" si="3"/>
        <v>50000</v>
      </c>
      <c r="O5803" s="65" t="str">
        <f>VLOOKUP(E5803,DATABASE!C:Q,8,false)</f>
        <v>BIAN</v>
      </c>
      <c r="P5803" s="65">
        <f>VLOOKUP(E5803,DATABASE!C:Q,9,False)</f>
        <v>0</v>
      </c>
      <c r="Q5803" s="93" t="str">
        <f>VLOOKUP(E5803,DATABASE!C:Q,4,false)</f>
        <v>Balancing</v>
      </c>
      <c r="R5803" s="93" t="str">
        <f>VLOOKUP(E5803,DATABASE!C:Q,11,false)</f>
        <v>COMPLEMENTARY</v>
      </c>
    </row>
    <row r="5804" ht="22.5" customHeight="1">
      <c r="A5804" s="49"/>
      <c r="C5804" s="400">
        <v>45993.0</v>
      </c>
      <c r="D5804" s="524">
        <v>8056.0</v>
      </c>
      <c r="E5804" s="544" t="s">
        <v>251</v>
      </c>
      <c r="F5804" s="387">
        <v>1.0</v>
      </c>
      <c r="G5804" s="140">
        <v>350000.0</v>
      </c>
      <c r="H5804" s="140">
        <v>200000.0</v>
      </c>
      <c r="I5804" s="74">
        <f t="shared" si="1"/>
        <v>150000</v>
      </c>
      <c r="J5804" s="74">
        <f>IF(E5804="SERVICE",I5804-(I5804*50%),Vlookup(E5804,DATABASE!C:Q,10,false)*F5804)</f>
        <v>75000</v>
      </c>
      <c r="K5804" s="74">
        <f>VLOOKUP(E5804,DATABASE!C:Q,7,false)</f>
        <v>0</v>
      </c>
      <c r="L5804" s="74">
        <v>0.0</v>
      </c>
      <c r="M5804" s="74">
        <f t="shared" si="2"/>
        <v>0</v>
      </c>
      <c r="N5804" s="74">
        <f t="shared" si="3"/>
        <v>75000</v>
      </c>
      <c r="O5804" s="65" t="str">
        <f>VLOOKUP(E5804,DATABASE!C:Q,8,false)</f>
        <v>IBU</v>
      </c>
      <c r="P5804" s="65">
        <f>VLOOKUP(E5804,DATABASE!C:Q,9,False)</f>
        <v>0</v>
      </c>
      <c r="Q5804" s="93" t="str">
        <f>VLOOKUP(E5804,DATABASE!C:Q,4,false)</f>
        <v>SERVICE</v>
      </c>
      <c r="R5804" s="93" t="str">
        <f>VLOOKUP(E5804,DATABASE!C:Q,11,false)</f>
        <v>SERVICE</v>
      </c>
    </row>
    <row r="5805" ht="22.5" customHeight="1">
      <c r="A5805" s="49"/>
      <c r="C5805" s="400">
        <v>45993.0</v>
      </c>
      <c r="D5805" s="524">
        <v>8056.0</v>
      </c>
      <c r="E5805" s="544" t="s">
        <v>275</v>
      </c>
      <c r="F5805" s="387">
        <v>2.0</v>
      </c>
      <c r="G5805" s="140">
        <v>830000.0</v>
      </c>
      <c r="H5805" s="74"/>
      <c r="I5805" s="74">
        <f t="shared" si="1"/>
        <v>1660000</v>
      </c>
      <c r="J5805" s="74">
        <f>IF(E5805="SERVICE",I5805-(I5805*50%),Vlookup(E5805,DATABASE!C:Q,10,false)*F5805)</f>
        <v>0</v>
      </c>
      <c r="K5805" s="74">
        <f>VLOOKUP(E5805,DATABASE!C:Q,7,false)</f>
        <v>782000</v>
      </c>
      <c r="L5805" s="74">
        <v>745000.0</v>
      </c>
      <c r="M5805" s="74">
        <f t="shared" si="2"/>
        <v>745000</v>
      </c>
      <c r="N5805" s="74">
        <f t="shared" si="3"/>
        <v>170000</v>
      </c>
      <c r="O5805" s="65" t="str">
        <f>VLOOKUP(E5805,DATABASE!C:Q,8,false)</f>
        <v>IBU</v>
      </c>
      <c r="P5805" s="65">
        <f>VLOOKUP(E5805,DATABASE!C:Q,9,False)</f>
        <v>1</v>
      </c>
      <c r="Q5805" s="93" t="str">
        <f>VLOOKUP(E5805,DATABASE!C:Q,4,false)</f>
        <v>Dunlop</v>
      </c>
      <c r="R5805" s="93" t="str">
        <f>VLOOKUP(E5805,DATABASE!C:Q,11,false)</f>
        <v>Tire</v>
      </c>
    </row>
    <row r="5806" ht="22.5" customHeight="1">
      <c r="A5806" s="49"/>
      <c r="C5806" s="400">
        <v>45993.0</v>
      </c>
      <c r="D5806" s="524">
        <v>8057.0</v>
      </c>
      <c r="E5806" s="544" t="s">
        <v>591</v>
      </c>
      <c r="F5806" s="387">
        <v>2.0</v>
      </c>
      <c r="G5806" s="140">
        <v>700000.0</v>
      </c>
      <c r="H5806" s="74"/>
      <c r="I5806" s="74">
        <f t="shared" si="1"/>
        <v>1400000</v>
      </c>
      <c r="J5806" s="74">
        <f>IF(E5806="SERVICE",I5806-(I5806*50%),Vlookup(E5806,DATABASE!C:Q,10,false)*F5806)</f>
        <v>0</v>
      </c>
      <c r="K5806" s="74">
        <f>VLOOKUP(E5806,DATABASE!C:Q,7,false)</f>
        <v>633035.16</v>
      </c>
      <c r="L5806" s="74">
        <v>593488.4</v>
      </c>
      <c r="M5806" s="74">
        <f t="shared" si="2"/>
        <v>595000</v>
      </c>
      <c r="N5806" s="74">
        <f t="shared" si="3"/>
        <v>210000</v>
      </c>
      <c r="O5806" s="65" t="str">
        <f>VLOOKUP(E5806,DATABASE!C:Q,8,false)</f>
        <v>IBU</v>
      </c>
      <c r="P5806" s="65">
        <f>VLOOKUP(E5806,DATABASE!C:Q,9,False)</f>
        <v>1</v>
      </c>
      <c r="Q5806" s="93" t="str">
        <f>VLOOKUP(E5806,DATABASE!C:Q,4,false)</f>
        <v>Bridgestone</v>
      </c>
      <c r="R5806" s="93" t="str">
        <f>VLOOKUP(E5806,DATABASE!C:Q,11,false)</f>
        <v>Tire</v>
      </c>
    </row>
    <row r="5807" ht="22.5" customHeight="1">
      <c r="A5807" s="49"/>
      <c r="C5807" s="400">
        <v>45993.0</v>
      </c>
      <c r="D5807" s="524">
        <v>8058.0</v>
      </c>
      <c r="E5807" s="544" t="s">
        <v>937</v>
      </c>
      <c r="F5807" s="387">
        <v>2.0</v>
      </c>
      <c r="G5807" s="140">
        <v>900000.0</v>
      </c>
      <c r="H5807" s="140">
        <v>20000.0</v>
      </c>
      <c r="I5807" s="74">
        <f t="shared" si="1"/>
        <v>1760000</v>
      </c>
      <c r="J5807" s="74">
        <f>IF(E5807="SERVICE",I5807-(I5807*50%),Vlookup(E5807,DATABASE!C:Q,10,false)*F5807)</f>
        <v>0</v>
      </c>
      <c r="K5807" s="74">
        <f>VLOOKUP(E5807,DATABASE!C:Q,7,false)</f>
        <v>825000</v>
      </c>
      <c r="L5807" s="74">
        <v>790000.0</v>
      </c>
      <c r="M5807" s="74">
        <f t="shared" si="2"/>
        <v>790000</v>
      </c>
      <c r="N5807" s="74">
        <f t="shared" si="3"/>
        <v>180000</v>
      </c>
      <c r="O5807" s="65" t="str">
        <f>VLOOKUP(E5807,DATABASE!C:Q,8,false)</f>
        <v>IBU</v>
      </c>
      <c r="P5807" s="65">
        <f>VLOOKUP(E5807,DATABASE!C:Q,9,False)</f>
        <v>1</v>
      </c>
      <c r="Q5807" s="93" t="str">
        <f>VLOOKUP(E5807,DATABASE!C:Q,4,false)</f>
        <v>Bridgestone</v>
      </c>
      <c r="R5807" s="93" t="str">
        <f>VLOOKUP(E5807,DATABASE!C:Q,11,false)</f>
        <v>Tire</v>
      </c>
    </row>
    <row r="5808" ht="22.5" customHeight="1">
      <c r="A5808" s="49"/>
      <c r="C5808" s="400">
        <v>45993.0</v>
      </c>
      <c r="D5808" s="524">
        <v>8058.0</v>
      </c>
      <c r="E5808" s="544" t="s">
        <v>299</v>
      </c>
      <c r="F5808" s="387">
        <v>2.0</v>
      </c>
      <c r="G5808" s="140">
        <v>30000.0</v>
      </c>
      <c r="H5808" s="74"/>
      <c r="I5808" s="74">
        <f t="shared" si="1"/>
        <v>60000</v>
      </c>
      <c r="J5808" s="74">
        <f>IF(E5808="SERVICE",I5808-(I5808*50%),Vlookup(E5808,DATABASE!C:Q,10,false)*F5808)</f>
        <v>0</v>
      </c>
      <c r="K5808" s="74">
        <f>VLOOKUP(E5808,DATABASE!C:Q,7,false)</f>
        <v>10000</v>
      </c>
      <c r="L5808" s="74">
        <v>5000.0</v>
      </c>
      <c r="M5808" s="74">
        <f t="shared" si="2"/>
        <v>5000</v>
      </c>
      <c r="N5808" s="74">
        <f t="shared" si="3"/>
        <v>50000</v>
      </c>
      <c r="O5808" s="65" t="str">
        <f>VLOOKUP(E5808,DATABASE!C:Q,8,false)</f>
        <v>BIAN</v>
      </c>
      <c r="P5808" s="65">
        <f>VLOOKUP(E5808,DATABASE!C:Q,9,False)</f>
        <v>0</v>
      </c>
      <c r="Q5808" s="93" t="str">
        <f>VLOOKUP(E5808,DATABASE!C:Q,4,false)</f>
        <v>Balancing</v>
      </c>
      <c r="R5808" s="93" t="str">
        <f>VLOOKUP(E5808,DATABASE!C:Q,11,false)</f>
        <v>COMPLEMENTARY</v>
      </c>
    </row>
    <row r="5809" ht="22.5" customHeight="1">
      <c r="A5809" s="49"/>
      <c r="C5809" s="400">
        <v>45993.0</v>
      </c>
      <c r="D5809" s="524">
        <v>8058.0</v>
      </c>
      <c r="E5809" s="544" t="s">
        <v>256</v>
      </c>
      <c r="F5809" s="387">
        <v>1.0</v>
      </c>
      <c r="G5809" s="140">
        <v>150000.0</v>
      </c>
      <c r="H5809" s="140">
        <v>20000.0</v>
      </c>
      <c r="I5809" s="74">
        <f t="shared" si="1"/>
        <v>130000</v>
      </c>
      <c r="J5809" s="74">
        <f>IF(E5809="SERVICE",I5809-(I5809*50%),Vlookup(E5809,DATABASE!C:Q,10,false)*F5809)</f>
        <v>10000</v>
      </c>
      <c r="K5809" s="74">
        <f>VLOOKUP(E5809,DATABASE!C:Q,7,false)</f>
        <v>0</v>
      </c>
      <c r="L5809" s="74">
        <v>0.0</v>
      </c>
      <c r="M5809" s="74">
        <f t="shared" si="2"/>
        <v>0</v>
      </c>
      <c r="N5809" s="74">
        <f t="shared" si="3"/>
        <v>120000</v>
      </c>
      <c r="O5809" s="65" t="str">
        <f>VLOOKUP(E5809,DATABASE!C:Q,8,false)</f>
        <v>IBU</v>
      </c>
      <c r="P5809" s="65">
        <f>VLOOKUP(E5809,DATABASE!C:Q,9,False)</f>
        <v>0</v>
      </c>
      <c r="Q5809" s="93" t="str">
        <f>VLOOKUP(E5809,DATABASE!C:Q,4,false)</f>
        <v>SPOORING</v>
      </c>
      <c r="R5809" s="93" t="str">
        <f>VLOOKUP(E5809,DATABASE!C:Q,11,false)</f>
        <v>SERVICE</v>
      </c>
    </row>
    <row r="5810" ht="22.5" customHeight="1">
      <c r="A5810" s="49"/>
      <c r="C5810" s="400">
        <v>45993.0</v>
      </c>
      <c r="D5810" s="524">
        <v>8058.0</v>
      </c>
      <c r="E5810" s="544" t="s">
        <v>251</v>
      </c>
      <c r="F5810" s="387">
        <v>1.0</v>
      </c>
      <c r="G5810" s="140">
        <v>350000.0</v>
      </c>
      <c r="H5810" s="140">
        <v>230000.0</v>
      </c>
      <c r="I5810" s="74">
        <f t="shared" si="1"/>
        <v>120000</v>
      </c>
      <c r="J5810" s="74">
        <f>IF(E5810="SERVICE",I5810-(I5810*50%),Vlookup(E5810,DATABASE!C:Q,10,false)*F5810)</f>
        <v>60000</v>
      </c>
      <c r="K5810" s="74">
        <f>VLOOKUP(E5810,DATABASE!C:Q,7,false)</f>
        <v>0</v>
      </c>
      <c r="L5810" s="74">
        <v>0.0</v>
      </c>
      <c r="M5810" s="74">
        <f t="shared" si="2"/>
        <v>0</v>
      </c>
      <c r="N5810" s="74">
        <f t="shared" si="3"/>
        <v>60000</v>
      </c>
      <c r="O5810" s="65" t="str">
        <f>VLOOKUP(E5810,DATABASE!C:Q,8,false)</f>
        <v>IBU</v>
      </c>
      <c r="P5810" s="65">
        <f>VLOOKUP(E5810,DATABASE!C:Q,9,False)</f>
        <v>0</v>
      </c>
      <c r="Q5810" s="93" t="str">
        <f>VLOOKUP(E5810,DATABASE!C:Q,4,false)</f>
        <v>SERVICE</v>
      </c>
      <c r="R5810" s="93" t="str">
        <f>VLOOKUP(E5810,DATABASE!C:Q,11,false)</f>
        <v>SERVICE</v>
      </c>
    </row>
    <row r="5811" ht="22.5" customHeight="1">
      <c r="A5811" s="49"/>
      <c r="C5811" s="400">
        <v>45993.0</v>
      </c>
      <c r="D5811" s="524">
        <v>8059.0</v>
      </c>
      <c r="E5811" s="544" t="s">
        <v>688</v>
      </c>
      <c r="F5811" s="387">
        <v>6.0</v>
      </c>
      <c r="G5811" s="140">
        <v>150000.0</v>
      </c>
      <c r="H5811" s="140">
        <v>10000.0</v>
      </c>
      <c r="I5811" s="74">
        <f t="shared" si="1"/>
        <v>840000</v>
      </c>
      <c r="J5811" s="74">
        <f>IF(E5811="SERVICE",I5811-(I5811*50%),Vlookup(E5811,DATABASE!C:Q,10,false)*F5811)</f>
        <v>0</v>
      </c>
      <c r="K5811" s="74">
        <f>VLOOKUP(E5811,DATABASE!C:Q,7,false)</f>
        <v>100000</v>
      </c>
      <c r="L5811" s="74">
        <v>100000.0</v>
      </c>
      <c r="M5811" s="74">
        <f t="shared" si="2"/>
        <v>100000</v>
      </c>
      <c r="N5811" s="74">
        <f t="shared" si="3"/>
        <v>240000</v>
      </c>
      <c r="O5811" s="65" t="str">
        <f>VLOOKUP(E5811,DATABASE!C:Q,8,false)</f>
        <v>BIAN</v>
      </c>
      <c r="P5811" s="65">
        <f>VLOOKUP(E5811,DATABASE!C:Q,9,False)</f>
        <v>1</v>
      </c>
      <c r="Q5811" s="93" t="str">
        <f>VLOOKUP(E5811,DATABASE!C:Q,4,false)</f>
        <v>BD</v>
      </c>
      <c r="R5811" s="93" t="str">
        <f>VLOOKUP(E5811,DATABASE!C:Q,11,false)</f>
        <v>Tire</v>
      </c>
    </row>
    <row r="5812" ht="22.5" customHeight="1">
      <c r="A5812" s="49"/>
      <c r="C5812" s="400">
        <v>45993.0</v>
      </c>
      <c r="D5812" s="524">
        <v>8059.0</v>
      </c>
      <c r="E5812" s="544" t="s">
        <v>284</v>
      </c>
      <c r="F5812" s="387">
        <v>6.0</v>
      </c>
      <c r="G5812" s="140">
        <v>60000.0</v>
      </c>
      <c r="H5812" s="74"/>
      <c r="I5812" s="74">
        <f t="shared" si="1"/>
        <v>360000</v>
      </c>
      <c r="J5812" s="74">
        <f>IF(E5812="SERVICE",I5812-(I5812*50%),Vlookup(E5812,DATABASE!C:Q,10,false)*F5812)</f>
        <v>0</v>
      </c>
      <c r="K5812" s="74">
        <f>VLOOKUP(E5812,DATABASE!C:Q,7,false)</f>
        <v>36630</v>
      </c>
      <c r="L5812" s="74">
        <v>36630.0</v>
      </c>
      <c r="M5812" s="74">
        <f t="shared" si="2"/>
        <v>40000</v>
      </c>
      <c r="N5812" s="74">
        <f t="shared" si="3"/>
        <v>120000</v>
      </c>
      <c r="O5812" s="65" t="str">
        <f>VLOOKUP(E5812,DATABASE!C:Q,8,false)</f>
        <v>BIAN</v>
      </c>
      <c r="P5812" s="65">
        <f>VLOOKUP(E5812,DATABASE!C:Q,9,False)</f>
        <v>1</v>
      </c>
      <c r="Q5812" s="93" t="str">
        <f>VLOOKUP(E5812,DATABASE!C:Q,4,false)</f>
        <v>Flap</v>
      </c>
      <c r="R5812" s="93" t="str">
        <f>VLOOKUP(E5812,DATABASE!C:Q,11,false)</f>
        <v>Tire</v>
      </c>
    </row>
    <row r="5813" ht="22.5" customHeight="1">
      <c r="A5813" s="49"/>
      <c r="C5813" s="400">
        <v>45993.0</v>
      </c>
      <c r="D5813" s="524">
        <v>8059.0</v>
      </c>
      <c r="E5813" s="544" t="s">
        <v>764</v>
      </c>
      <c r="F5813" s="387">
        <v>6.0</v>
      </c>
      <c r="G5813" s="140">
        <v>180000.0</v>
      </c>
      <c r="H5813" s="74"/>
      <c r="I5813" s="74">
        <f t="shared" si="1"/>
        <v>1080000</v>
      </c>
      <c r="J5813" s="74">
        <f>IF(E5813="SERVICE",I5813-(I5813*50%),Vlookup(E5813,DATABASE!C:Q,10,false)*F5813)</f>
        <v>0</v>
      </c>
      <c r="K5813" s="74">
        <f>VLOOKUP(E5813,DATABASE!C:Q,7,false)</f>
        <v>145000</v>
      </c>
      <c r="L5813" s="74">
        <v>145000.0</v>
      </c>
      <c r="M5813" s="74">
        <f t="shared" si="2"/>
        <v>145000</v>
      </c>
      <c r="N5813" s="74">
        <f t="shared" si="3"/>
        <v>210000</v>
      </c>
      <c r="O5813" s="65" t="str">
        <f>VLOOKUP(E5813,DATABASE!C:Q,8,false)</f>
        <v>BIAN</v>
      </c>
      <c r="P5813" s="65">
        <f>VLOOKUP(E5813,DATABASE!C:Q,9,False)</f>
        <v>1</v>
      </c>
      <c r="Q5813" s="93" t="str">
        <f>VLOOKUP(E5813,DATABASE!C:Q,4,false)</f>
        <v>BD</v>
      </c>
      <c r="R5813" s="93" t="str">
        <f>VLOOKUP(E5813,DATABASE!C:Q,11,false)</f>
        <v>Tire</v>
      </c>
    </row>
    <row r="5814" ht="22.5" customHeight="1">
      <c r="A5814" s="49"/>
      <c r="C5814" s="400">
        <v>45993.0</v>
      </c>
      <c r="D5814" s="524">
        <v>8059.0</v>
      </c>
      <c r="E5814" s="544" t="s">
        <v>821</v>
      </c>
      <c r="F5814" s="387">
        <v>6.0</v>
      </c>
      <c r="G5814" s="140">
        <v>80000.0</v>
      </c>
      <c r="H5814" s="140">
        <v>0.0</v>
      </c>
      <c r="I5814" s="74">
        <f t="shared" si="1"/>
        <v>480000</v>
      </c>
      <c r="J5814" s="74">
        <f>IF(E5814="SERVICE",I5814-(I5814*50%),Vlookup(E5814,DATABASE!C:Q,10,false)*F5814)</f>
        <v>0</v>
      </c>
      <c r="K5814" s="74">
        <f>VLOOKUP(E5814,DATABASE!C:Q,7,false)</f>
        <v>43500</v>
      </c>
      <c r="L5814" s="74">
        <v>43520.0</v>
      </c>
      <c r="M5814" s="74">
        <f t="shared" si="2"/>
        <v>45000</v>
      </c>
      <c r="N5814" s="74">
        <f t="shared" si="3"/>
        <v>210000</v>
      </c>
      <c r="O5814" s="65" t="str">
        <f>VLOOKUP(E5814,DATABASE!C:Q,8,false)</f>
        <v>BIAN</v>
      </c>
      <c r="P5814" s="65">
        <f>VLOOKUP(E5814,DATABASE!C:Q,9,False)</f>
        <v>1</v>
      </c>
      <c r="Q5814" s="93" t="str">
        <f>VLOOKUP(E5814,DATABASE!C:Q,4,false)</f>
        <v>Flap</v>
      </c>
      <c r="R5814" s="93" t="str">
        <f>VLOOKUP(E5814,DATABASE!C:Q,11,false)</f>
        <v>Tire</v>
      </c>
    </row>
    <row r="5815" ht="22.5" customHeight="1">
      <c r="A5815" s="49"/>
      <c r="C5815" s="400">
        <v>45993.0</v>
      </c>
      <c r="D5815" s="524">
        <v>8060.0</v>
      </c>
      <c r="E5815" s="544" t="s">
        <v>268</v>
      </c>
      <c r="F5815" s="387">
        <v>1.0</v>
      </c>
      <c r="G5815" s="140">
        <v>710000.0</v>
      </c>
      <c r="H5815" s="74"/>
      <c r="I5815" s="74">
        <f t="shared" si="1"/>
        <v>710000</v>
      </c>
      <c r="J5815" s="74">
        <f>IF(E5815="SERVICE",I5815-(I5815*50%),Vlookup(E5815,DATABASE!C:Q,10,false)*F5815)</f>
        <v>0</v>
      </c>
      <c r="K5815" s="74">
        <f>VLOOKUP(E5815,DATABASE!C:Q,7,false)</f>
        <v>653000</v>
      </c>
      <c r="L5815" s="74">
        <v>622000.0</v>
      </c>
      <c r="M5815" s="74">
        <f t="shared" si="2"/>
        <v>625000</v>
      </c>
      <c r="N5815" s="74">
        <f t="shared" si="3"/>
        <v>85000</v>
      </c>
      <c r="O5815" s="65" t="str">
        <f>VLOOKUP(E5815,DATABASE!C:Q,8,false)</f>
        <v>IBU</v>
      </c>
      <c r="P5815" s="65">
        <f>VLOOKUP(E5815,DATABASE!C:Q,9,False)</f>
        <v>1</v>
      </c>
      <c r="Q5815" s="93" t="str">
        <f>VLOOKUP(E5815,DATABASE!C:Q,4,false)</f>
        <v>Dunlop</v>
      </c>
      <c r="R5815" s="93" t="str">
        <f>VLOOKUP(E5815,DATABASE!C:Q,11,false)</f>
        <v>Tire</v>
      </c>
    </row>
    <row r="5816" ht="22.5" customHeight="1">
      <c r="A5816" s="49"/>
      <c r="C5816" s="400">
        <v>45993.0</v>
      </c>
      <c r="D5816" s="524">
        <v>8061.0</v>
      </c>
      <c r="E5816" s="544" t="s">
        <v>1009</v>
      </c>
      <c r="F5816" s="387">
        <v>2.0</v>
      </c>
      <c r="G5816" s="140">
        <v>700000.0</v>
      </c>
      <c r="H5816" s="74"/>
      <c r="I5816" s="74">
        <f t="shared" si="1"/>
        <v>1400000</v>
      </c>
      <c r="J5816" s="74">
        <f>IF(E5816="SERVICE",I5816-(I5816*50%),Vlookup(E5816,DATABASE!C:Q,10,false)*F5816)</f>
        <v>0</v>
      </c>
      <c r="K5816" s="74">
        <f>VLOOKUP(E5816,DATABASE!C:Q,7,false)</f>
        <v>609800</v>
      </c>
      <c r="L5816" s="74">
        <v>592200.0</v>
      </c>
      <c r="M5816" s="74">
        <f t="shared" si="2"/>
        <v>595000</v>
      </c>
      <c r="N5816" s="74">
        <f t="shared" si="3"/>
        <v>210000</v>
      </c>
      <c r="O5816" s="65" t="str">
        <f>VLOOKUP(E5816,DATABASE!C:Q,8,false)</f>
        <v>BIAN</v>
      </c>
      <c r="P5816" s="65">
        <f>VLOOKUP(E5816,DATABASE!C:Q,9,False)</f>
        <v>1</v>
      </c>
      <c r="Q5816" s="93" t="str">
        <f>VLOOKUP(E5816,DATABASE!C:Q,4,false)</f>
        <v>GT</v>
      </c>
      <c r="R5816" s="93" t="str">
        <f>VLOOKUP(E5816,DATABASE!C:Q,11,false)</f>
        <v>Tire</v>
      </c>
    </row>
    <row r="5817" ht="22.5" customHeight="1">
      <c r="A5817" s="49"/>
      <c r="C5817" s="400">
        <v>45994.0</v>
      </c>
      <c r="D5817" s="524">
        <v>8062.0</v>
      </c>
      <c r="E5817" s="544" t="s">
        <v>275</v>
      </c>
      <c r="F5817" s="387">
        <v>1.0</v>
      </c>
      <c r="G5817" s="140">
        <v>830000.0</v>
      </c>
      <c r="H5817" s="74"/>
      <c r="I5817" s="74">
        <f t="shared" si="1"/>
        <v>830000</v>
      </c>
      <c r="J5817" s="74">
        <f>IF(E5817="SERVICE",I5817-(I5817*50%),Vlookup(E5817,DATABASE!C:Q,10,false)*F5817)</f>
        <v>0</v>
      </c>
      <c r="K5817" s="74">
        <f>VLOOKUP(E5817,DATABASE!C:Q,7,false)</f>
        <v>782000</v>
      </c>
      <c r="L5817" s="74">
        <v>745000.0</v>
      </c>
      <c r="M5817" s="74">
        <f t="shared" si="2"/>
        <v>745000</v>
      </c>
      <c r="N5817" s="74">
        <f t="shared" si="3"/>
        <v>85000</v>
      </c>
      <c r="O5817" s="65" t="str">
        <f>VLOOKUP(E5817,DATABASE!C:Q,8,false)</f>
        <v>IBU</v>
      </c>
      <c r="P5817" s="65">
        <f>VLOOKUP(E5817,DATABASE!C:Q,9,False)</f>
        <v>1</v>
      </c>
      <c r="Q5817" s="93" t="str">
        <f>VLOOKUP(E5817,DATABASE!C:Q,4,false)</f>
        <v>Dunlop</v>
      </c>
      <c r="R5817" s="93" t="str">
        <f>VLOOKUP(E5817,DATABASE!C:Q,11,false)</f>
        <v>Tire</v>
      </c>
    </row>
    <row r="5818" ht="22.5" customHeight="1">
      <c r="A5818" s="49"/>
      <c r="C5818" s="400">
        <v>45994.0</v>
      </c>
      <c r="D5818" s="524">
        <v>8063.0</v>
      </c>
      <c r="E5818" s="544" t="s">
        <v>1097</v>
      </c>
      <c r="F5818" s="387">
        <v>1.0</v>
      </c>
      <c r="G5818" s="140">
        <v>920000.0</v>
      </c>
      <c r="H5818" s="140">
        <v>20000.0</v>
      </c>
      <c r="I5818" s="74">
        <f t="shared" si="1"/>
        <v>900000</v>
      </c>
      <c r="J5818" s="74">
        <f>IF(E5818="SERVICE",I5818-(I5818*50%),Vlookup(E5818,DATABASE!C:Q,10,false)*F5818)</f>
        <v>0</v>
      </c>
      <c r="K5818" s="74">
        <f>VLOOKUP(E5818,DATABASE!C:Q,7,false)</f>
        <v>844838.5</v>
      </c>
      <c r="L5818" s="74">
        <v>808945.0</v>
      </c>
      <c r="M5818" s="74">
        <f t="shared" si="2"/>
        <v>810000</v>
      </c>
      <c r="N5818" s="74">
        <f t="shared" si="3"/>
        <v>90000</v>
      </c>
      <c r="O5818" s="65" t="str">
        <f>VLOOKUP(E5818,DATABASE!C:Q,8,false)</f>
        <v>IBU</v>
      </c>
      <c r="P5818" s="65">
        <f>VLOOKUP(E5818,DATABASE!C:Q,9,False)</f>
        <v>1</v>
      </c>
      <c r="Q5818" s="93" t="str">
        <f>VLOOKUP(E5818,DATABASE!C:Q,4,false)</f>
        <v>Bridgestone</v>
      </c>
      <c r="R5818" s="93" t="str">
        <f>VLOOKUP(E5818,DATABASE!C:Q,11,false)</f>
        <v>Tire</v>
      </c>
    </row>
    <row r="5819" ht="22.5" customHeight="1">
      <c r="A5819" s="49"/>
      <c r="C5819" s="400">
        <v>45994.0</v>
      </c>
      <c r="D5819" s="524">
        <v>8064.0</v>
      </c>
      <c r="E5819" s="544" t="s">
        <v>937</v>
      </c>
      <c r="F5819" s="387">
        <v>3.0</v>
      </c>
      <c r="G5819" s="140">
        <v>900000.0</v>
      </c>
      <c r="H5819" s="140">
        <v>20000.0</v>
      </c>
      <c r="I5819" s="74">
        <f t="shared" si="1"/>
        <v>2640000</v>
      </c>
      <c r="J5819" s="74">
        <f>IF(E5819="SERVICE",I5819-(I5819*50%),Vlookup(E5819,DATABASE!C:Q,10,false)*F5819)</f>
        <v>0</v>
      </c>
      <c r="K5819" s="74">
        <f>VLOOKUP(E5819,DATABASE!C:Q,7,false)</f>
        <v>825000</v>
      </c>
      <c r="L5819" s="74">
        <v>790000.0</v>
      </c>
      <c r="M5819" s="74">
        <f t="shared" si="2"/>
        <v>790000</v>
      </c>
      <c r="N5819" s="74">
        <f t="shared" si="3"/>
        <v>270000</v>
      </c>
      <c r="O5819" s="65" t="str">
        <f>VLOOKUP(E5819,DATABASE!C:Q,8,false)</f>
        <v>IBU</v>
      </c>
      <c r="P5819" s="65">
        <f>VLOOKUP(E5819,DATABASE!C:Q,9,False)</f>
        <v>1</v>
      </c>
      <c r="Q5819" s="93" t="str">
        <f>VLOOKUP(E5819,DATABASE!C:Q,4,false)</f>
        <v>Bridgestone</v>
      </c>
      <c r="R5819" s="93" t="str">
        <f>VLOOKUP(E5819,DATABASE!C:Q,11,false)</f>
        <v>Tire</v>
      </c>
    </row>
    <row r="5820" ht="22.5" customHeight="1">
      <c r="A5820" s="49"/>
      <c r="C5820" s="400">
        <v>45994.0</v>
      </c>
      <c r="D5820" s="524">
        <v>8064.0</v>
      </c>
      <c r="E5820" s="544" t="s">
        <v>256</v>
      </c>
      <c r="F5820" s="387">
        <v>1.0</v>
      </c>
      <c r="G5820" s="140">
        <v>150000.0</v>
      </c>
      <c r="H5820" s="140">
        <v>20000.0</v>
      </c>
      <c r="I5820" s="74">
        <f t="shared" si="1"/>
        <v>130000</v>
      </c>
      <c r="J5820" s="74">
        <f>IF(E5820="SERVICE",I5820-(I5820*50%),Vlookup(E5820,DATABASE!C:Q,10,false)*F5820)</f>
        <v>10000</v>
      </c>
      <c r="K5820" s="74">
        <f>VLOOKUP(E5820,DATABASE!C:Q,7,false)</f>
        <v>0</v>
      </c>
      <c r="L5820" s="74">
        <v>0.0</v>
      </c>
      <c r="M5820" s="74">
        <f t="shared" si="2"/>
        <v>0</v>
      </c>
      <c r="N5820" s="74">
        <f t="shared" si="3"/>
        <v>120000</v>
      </c>
      <c r="O5820" s="65" t="str">
        <f>VLOOKUP(E5820,DATABASE!C:Q,8,false)</f>
        <v>IBU</v>
      </c>
      <c r="P5820" s="65">
        <f>VLOOKUP(E5820,DATABASE!C:Q,9,False)</f>
        <v>0</v>
      </c>
      <c r="Q5820" s="93" t="str">
        <f>VLOOKUP(E5820,DATABASE!C:Q,4,false)</f>
        <v>SPOORING</v>
      </c>
      <c r="R5820" s="93" t="str">
        <f>VLOOKUP(E5820,DATABASE!C:Q,11,false)</f>
        <v>SERVICE</v>
      </c>
    </row>
    <row r="5821" ht="22.5" customHeight="1">
      <c r="A5821" s="49"/>
      <c r="C5821" s="400">
        <v>45994.0</v>
      </c>
      <c r="D5821" s="524">
        <v>8065.0</v>
      </c>
      <c r="E5821" s="544" t="s">
        <v>781</v>
      </c>
      <c r="F5821" s="387">
        <v>2.0</v>
      </c>
      <c r="G5821" s="140">
        <v>530000.0</v>
      </c>
      <c r="H5821" s="74"/>
      <c r="I5821" s="74">
        <f t="shared" si="1"/>
        <v>1060000</v>
      </c>
      <c r="J5821" s="74">
        <f>IF(E5821="SERVICE",I5821-(I5821*50%),Vlookup(E5821,DATABASE!C:Q,10,false)*F5821)</f>
        <v>0</v>
      </c>
      <c r="K5821" s="74">
        <f>VLOOKUP(E5821,DATABASE!C:Q,7,false)</f>
        <v>470000</v>
      </c>
      <c r="L5821" s="74">
        <v>442500.0</v>
      </c>
      <c r="M5821" s="74">
        <f t="shared" si="2"/>
        <v>445000</v>
      </c>
      <c r="N5821" s="74">
        <f t="shared" si="3"/>
        <v>170000</v>
      </c>
      <c r="O5821" s="65" t="str">
        <f>VLOOKUP(E5821,DATABASE!C:Q,8,false)</f>
        <v>BIAN</v>
      </c>
      <c r="P5821" s="65">
        <f>VLOOKUP(E5821,DATABASE!C:Q,9,False)</f>
        <v>1</v>
      </c>
      <c r="Q5821" s="93" t="str">
        <f>VLOOKUP(E5821,DATABASE!C:Q,4,false)</f>
        <v>GT</v>
      </c>
      <c r="R5821" s="93" t="str">
        <f>VLOOKUP(E5821,DATABASE!C:Q,11,false)</f>
        <v>Tire</v>
      </c>
    </row>
    <row r="5822" ht="22.5" customHeight="1">
      <c r="A5822" s="49"/>
      <c r="C5822" s="400">
        <v>45994.0</v>
      </c>
      <c r="D5822" s="524">
        <v>8066.0</v>
      </c>
      <c r="E5822" s="544" t="s">
        <v>268</v>
      </c>
      <c r="F5822" s="387">
        <v>1.0</v>
      </c>
      <c r="G5822" s="140">
        <v>710000.0</v>
      </c>
      <c r="H5822" s="74"/>
      <c r="I5822" s="74">
        <f t="shared" si="1"/>
        <v>710000</v>
      </c>
      <c r="J5822" s="74">
        <f>IF(E5822="SERVICE",I5822-(I5822*50%),Vlookup(E5822,DATABASE!C:Q,10,false)*F5822)</f>
        <v>0</v>
      </c>
      <c r="K5822" s="74">
        <f>VLOOKUP(E5822,DATABASE!C:Q,7,false)</f>
        <v>653000</v>
      </c>
      <c r="L5822" s="74">
        <v>622000.0</v>
      </c>
      <c r="M5822" s="74">
        <f t="shared" si="2"/>
        <v>625000</v>
      </c>
      <c r="N5822" s="74">
        <f t="shared" si="3"/>
        <v>85000</v>
      </c>
      <c r="O5822" s="65" t="str">
        <f>VLOOKUP(E5822,DATABASE!C:Q,8,false)</f>
        <v>IBU</v>
      </c>
      <c r="P5822" s="65">
        <f>VLOOKUP(E5822,DATABASE!C:Q,9,False)</f>
        <v>1</v>
      </c>
      <c r="Q5822" s="93" t="str">
        <f>VLOOKUP(E5822,DATABASE!C:Q,4,false)</f>
        <v>Dunlop</v>
      </c>
      <c r="R5822" s="93" t="str">
        <f>VLOOKUP(E5822,DATABASE!C:Q,11,false)</f>
        <v>Tire</v>
      </c>
    </row>
    <row r="5823" ht="22.5" customHeight="1">
      <c r="A5823" s="49"/>
      <c r="C5823" s="400">
        <v>45994.0</v>
      </c>
      <c r="D5823" s="524">
        <v>8067.0</v>
      </c>
      <c r="E5823" s="544" t="s">
        <v>821</v>
      </c>
      <c r="F5823" s="387">
        <v>1.0</v>
      </c>
      <c r="G5823" s="140">
        <v>85000.0</v>
      </c>
      <c r="H5823" s="74"/>
      <c r="I5823" s="74">
        <f t="shared" si="1"/>
        <v>85000</v>
      </c>
      <c r="J5823" s="74">
        <f>IF(E5823="SERVICE",I5823-(I5823*50%),Vlookup(E5823,DATABASE!C:Q,10,false)*F5823)</f>
        <v>0</v>
      </c>
      <c r="K5823" s="74">
        <f>VLOOKUP(E5823,DATABASE!C:Q,7,false)</f>
        <v>43500</v>
      </c>
      <c r="L5823" s="74">
        <v>43520.0</v>
      </c>
      <c r="M5823" s="74">
        <f t="shared" si="2"/>
        <v>45000</v>
      </c>
      <c r="N5823" s="74">
        <f t="shared" si="3"/>
        <v>40000</v>
      </c>
      <c r="O5823" s="65" t="str">
        <f>VLOOKUP(E5823,DATABASE!C:Q,8,false)</f>
        <v>BIAN</v>
      </c>
      <c r="P5823" s="65">
        <f>VLOOKUP(E5823,DATABASE!C:Q,9,False)</f>
        <v>1</v>
      </c>
      <c r="Q5823" s="93" t="str">
        <f>VLOOKUP(E5823,DATABASE!C:Q,4,false)</f>
        <v>Flap</v>
      </c>
      <c r="R5823" s="93" t="str">
        <f>VLOOKUP(E5823,DATABASE!C:Q,11,false)</f>
        <v>Tire</v>
      </c>
    </row>
    <row r="5824" ht="22.5" customHeight="1">
      <c r="A5824" s="49"/>
      <c r="C5824" s="400">
        <v>45994.0</v>
      </c>
      <c r="D5824" s="524">
        <v>8068.0</v>
      </c>
      <c r="E5824" s="544" t="s">
        <v>262</v>
      </c>
      <c r="F5824" s="387">
        <v>1.0</v>
      </c>
      <c r="G5824" s="140">
        <v>110000.0</v>
      </c>
      <c r="H5824" s="74"/>
      <c r="I5824" s="74">
        <f t="shared" si="1"/>
        <v>110000</v>
      </c>
      <c r="J5824" s="74">
        <f>IF(E5824="SERVICE",I5824-(I5824*50%),Vlookup(E5824,DATABASE!C:Q,10,false)*F5824)</f>
        <v>5000</v>
      </c>
      <c r="K5824" s="74">
        <f>VLOOKUP(E5824,DATABASE!C:Q,7,false)</f>
        <v>0</v>
      </c>
      <c r="L5824" s="74">
        <v>0.0</v>
      </c>
      <c r="M5824" s="74">
        <f t="shared" si="2"/>
        <v>0</v>
      </c>
      <c r="N5824" s="74">
        <f t="shared" si="3"/>
        <v>105000</v>
      </c>
      <c r="O5824" s="65" t="str">
        <f>VLOOKUP(E5824,DATABASE!C:Q,8,false)</f>
        <v>IBU</v>
      </c>
      <c r="P5824" s="65">
        <f>VLOOKUP(E5824,DATABASE!C:Q,9,False)</f>
        <v>0</v>
      </c>
      <c r="Q5824" s="93" t="str">
        <f>VLOOKUP(E5824,DATABASE!C:Q,4,false)</f>
        <v>SPOORING SS/CARRY LOS BAK</v>
      </c>
      <c r="R5824" s="93" t="str">
        <f>VLOOKUP(E5824,DATABASE!C:Q,11,false)</f>
        <v>SERVICE</v>
      </c>
    </row>
    <row r="5825" ht="22.5" customHeight="1">
      <c r="A5825" s="49"/>
      <c r="C5825" s="400">
        <v>45994.0</v>
      </c>
      <c r="D5825" s="524">
        <v>8068.0</v>
      </c>
      <c r="E5825" s="544" t="s">
        <v>251</v>
      </c>
      <c r="F5825" s="387">
        <v>1.0</v>
      </c>
      <c r="G5825" s="140">
        <v>350000.0</v>
      </c>
      <c r="H5825" s="140">
        <v>200000.0</v>
      </c>
      <c r="I5825" s="74">
        <f t="shared" si="1"/>
        <v>150000</v>
      </c>
      <c r="J5825" s="74">
        <f>IF(E5825="SERVICE",I5825-(I5825*50%),Vlookup(E5825,DATABASE!C:Q,10,false)*F5825)</f>
        <v>75000</v>
      </c>
      <c r="K5825" s="74">
        <f>VLOOKUP(E5825,DATABASE!C:Q,7,false)</f>
        <v>0</v>
      </c>
      <c r="L5825" s="74">
        <v>0.0</v>
      </c>
      <c r="M5825" s="74">
        <f t="shared" si="2"/>
        <v>0</v>
      </c>
      <c r="N5825" s="74">
        <f t="shared" si="3"/>
        <v>75000</v>
      </c>
      <c r="O5825" s="65" t="str">
        <f>VLOOKUP(E5825,DATABASE!C:Q,8,false)</f>
        <v>IBU</v>
      </c>
      <c r="P5825" s="65">
        <f>VLOOKUP(E5825,DATABASE!C:Q,9,False)</f>
        <v>0</v>
      </c>
      <c r="Q5825" s="93" t="str">
        <f>VLOOKUP(E5825,DATABASE!C:Q,4,false)</f>
        <v>SERVICE</v>
      </c>
      <c r="R5825" s="93" t="str">
        <f>VLOOKUP(E5825,DATABASE!C:Q,11,false)</f>
        <v>SERVICE</v>
      </c>
    </row>
    <row r="5826" ht="22.5" customHeight="1">
      <c r="A5826" s="49"/>
      <c r="C5826" s="400">
        <v>45994.0</v>
      </c>
      <c r="D5826" s="524">
        <v>8069.0</v>
      </c>
      <c r="E5826" s="544" t="s">
        <v>250</v>
      </c>
      <c r="F5826" s="387">
        <v>2.0</v>
      </c>
      <c r="G5826" s="140">
        <v>135000.0</v>
      </c>
      <c r="H5826" s="74"/>
      <c r="I5826" s="74">
        <f t="shared" si="1"/>
        <v>270000</v>
      </c>
      <c r="J5826" s="74">
        <f>IF(E5826="SERVICE",I5826-(I5826*50%),Vlookup(E5826,DATABASE!C:Q,10,false)*F5826)</f>
        <v>0</v>
      </c>
      <c r="K5826" s="74">
        <f>VLOOKUP(E5826,DATABASE!C:Q,7,false)</f>
        <v>102000</v>
      </c>
      <c r="L5826" s="74">
        <v>102000.0</v>
      </c>
      <c r="M5826" s="74">
        <f t="shared" si="2"/>
        <v>105000</v>
      </c>
      <c r="N5826" s="74">
        <f t="shared" si="3"/>
        <v>60000</v>
      </c>
      <c r="O5826" s="65" t="str">
        <f>VLOOKUP(E5826,DATABASE!C:Q,8,false)</f>
        <v>BIAN</v>
      </c>
      <c r="P5826" s="65">
        <f>VLOOKUP(E5826,DATABASE!C:Q,9,False)</f>
        <v>1</v>
      </c>
      <c r="Q5826" s="93" t="str">
        <f>VLOOKUP(E5826,DATABASE!C:Q,4,false)</f>
        <v>BD</v>
      </c>
      <c r="R5826" s="93" t="str">
        <f>VLOOKUP(E5826,DATABASE!C:Q,11,false)</f>
        <v>Tire</v>
      </c>
    </row>
    <row r="5827" ht="22.5" customHeight="1">
      <c r="A5827" s="49"/>
      <c r="C5827" s="400">
        <v>45994.0</v>
      </c>
      <c r="D5827" s="524">
        <v>8070.0</v>
      </c>
      <c r="E5827" s="544" t="s">
        <v>295</v>
      </c>
      <c r="F5827" s="387">
        <v>6.0</v>
      </c>
      <c r="G5827" s="140">
        <v>1525000.0</v>
      </c>
      <c r="H5827" s="140">
        <v>20000.0</v>
      </c>
      <c r="I5827" s="74">
        <f t="shared" si="1"/>
        <v>9030000</v>
      </c>
      <c r="J5827" s="74">
        <f>IF(E5827="SERVICE",I5827-(I5827*50%),Vlookup(E5827,DATABASE!C:Q,10,false)*F5827)</f>
        <v>0</v>
      </c>
      <c r="K5827" s="74">
        <f>VLOOKUP(E5827,DATABASE!C:Q,7,false)</f>
        <v>1475000</v>
      </c>
      <c r="L5827" s="74">
        <v>1425000.0</v>
      </c>
      <c r="M5827" s="74">
        <f t="shared" si="2"/>
        <v>1425000</v>
      </c>
      <c r="N5827" s="74">
        <f t="shared" si="3"/>
        <v>480000</v>
      </c>
      <c r="O5827" s="65" t="str">
        <f>VLOOKUP(E5827,DATABASE!C:Q,8,false)</f>
        <v>BIAN</v>
      </c>
      <c r="P5827" s="65">
        <f>VLOOKUP(E5827,DATABASE!C:Q,9,False)</f>
        <v>1</v>
      </c>
      <c r="Q5827" s="93" t="str">
        <f>VLOOKUP(E5827,DATABASE!C:Q,4,false)</f>
        <v>TIRON</v>
      </c>
      <c r="R5827" s="93" t="str">
        <f>VLOOKUP(E5827,DATABASE!C:Q,11,false)</f>
        <v>Tire</v>
      </c>
    </row>
    <row r="5828" ht="22.5" customHeight="1">
      <c r="A5828" s="49"/>
      <c r="C5828" s="400">
        <v>45994.0</v>
      </c>
      <c r="D5828" s="524">
        <v>8071.0</v>
      </c>
      <c r="E5828" s="544" t="s">
        <v>262</v>
      </c>
      <c r="F5828" s="387">
        <v>1.0</v>
      </c>
      <c r="G5828" s="140">
        <v>110000.0</v>
      </c>
      <c r="H5828" s="74"/>
      <c r="I5828" s="74">
        <f t="shared" si="1"/>
        <v>110000</v>
      </c>
      <c r="J5828" s="74">
        <f>IF(E5828="SERVICE",I5828-(I5828*50%),Vlookup(E5828,DATABASE!C:Q,10,false)*F5828)</f>
        <v>5000</v>
      </c>
      <c r="K5828" s="74">
        <f>VLOOKUP(E5828,DATABASE!C:Q,7,false)</f>
        <v>0</v>
      </c>
      <c r="L5828" s="74">
        <v>0.0</v>
      </c>
      <c r="M5828" s="74">
        <f t="shared" si="2"/>
        <v>0</v>
      </c>
      <c r="N5828" s="74">
        <f t="shared" si="3"/>
        <v>105000</v>
      </c>
      <c r="O5828" s="65" t="str">
        <f>VLOOKUP(E5828,DATABASE!C:Q,8,false)</f>
        <v>IBU</v>
      </c>
      <c r="P5828" s="65">
        <f>VLOOKUP(E5828,DATABASE!C:Q,9,False)</f>
        <v>0</v>
      </c>
      <c r="Q5828" s="93" t="str">
        <f>VLOOKUP(E5828,DATABASE!C:Q,4,false)</f>
        <v>SPOORING SS/CARRY LOS BAK</v>
      </c>
      <c r="R5828" s="93" t="str">
        <f>VLOOKUP(E5828,DATABASE!C:Q,11,false)</f>
        <v>SERVICE</v>
      </c>
    </row>
    <row r="5829" ht="22.5" customHeight="1">
      <c r="A5829" s="49"/>
      <c r="C5829" s="400">
        <v>45994.0</v>
      </c>
      <c r="D5829" s="524">
        <v>8072.0</v>
      </c>
      <c r="E5829" s="544" t="s">
        <v>955</v>
      </c>
      <c r="F5829" s="387">
        <v>2.0</v>
      </c>
      <c r="G5829" s="140">
        <v>770000.0</v>
      </c>
      <c r="H5829" s="74"/>
      <c r="I5829" s="74">
        <f t="shared" si="1"/>
        <v>1540000</v>
      </c>
      <c r="J5829" s="74">
        <f>IF(E5829="SERVICE",I5829-(I5829*50%),Vlookup(E5829,DATABASE!C:Q,10,false)*F5829)</f>
        <v>0</v>
      </c>
      <c r="K5829" s="74">
        <f>VLOOKUP(E5829,DATABASE!C:Q,7,false)</f>
        <v>712000</v>
      </c>
      <c r="L5829" s="74">
        <v>674000.0</v>
      </c>
      <c r="M5829" s="74">
        <f t="shared" si="2"/>
        <v>675000</v>
      </c>
      <c r="N5829" s="74">
        <f t="shared" si="3"/>
        <v>190000</v>
      </c>
      <c r="O5829" s="65" t="str">
        <f>VLOOKUP(E5829,DATABASE!C:Q,8,false)</f>
        <v>IBU</v>
      </c>
      <c r="P5829" s="65">
        <f>VLOOKUP(E5829,DATABASE!C:Q,9,False)</f>
        <v>1</v>
      </c>
      <c r="Q5829" s="93" t="str">
        <f>VLOOKUP(E5829,DATABASE!C:Q,4,false)</f>
        <v>Dunlop</v>
      </c>
      <c r="R5829" s="93" t="str">
        <f>VLOOKUP(E5829,DATABASE!C:Q,11,false)</f>
        <v>Tire</v>
      </c>
    </row>
    <row r="5830" ht="22.5" customHeight="1">
      <c r="A5830" s="49"/>
      <c r="C5830" s="400">
        <v>45994.0</v>
      </c>
      <c r="D5830" s="524">
        <v>8072.0</v>
      </c>
      <c r="E5830" s="544" t="s">
        <v>299</v>
      </c>
      <c r="F5830" s="387">
        <v>2.0</v>
      </c>
      <c r="G5830" s="140">
        <v>30000.0</v>
      </c>
      <c r="H5830" s="74"/>
      <c r="I5830" s="74">
        <f t="shared" si="1"/>
        <v>60000</v>
      </c>
      <c r="J5830" s="74">
        <f>IF(E5830="SERVICE",I5830-(I5830*50%),Vlookup(E5830,DATABASE!C:Q,10,false)*F5830)</f>
        <v>0</v>
      </c>
      <c r="K5830" s="74">
        <f>VLOOKUP(E5830,DATABASE!C:Q,7,false)</f>
        <v>10000</v>
      </c>
      <c r="L5830" s="74">
        <v>5000.0</v>
      </c>
      <c r="M5830" s="74">
        <f t="shared" si="2"/>
        <v>5000</v>
      </c>
      <c r="N5830" s="74">
        <f t="shared" si="3"/>
        <v>50000</v>
      </c>
      <c r="O5830" s="65" t="str">
        <f>VLOOKUP(E5830,DATABASE!C:Q,8,false)</f>
        <v>BIAN</v>
      </c>
      <c r="P5830" s="65">
        <f>VLOOKUP(E5830,DATABASE!C:Q,9,False)</f>
        <v>0</v>
      </c>
      <c r="Q5830" s="93" t="str">
        <f>VLOOKUP(E5830,DATABASE!C:Q,4,false)</f>
        <v>Balancing</v>
      </c>
      <c r="R5830" s="93" t="str">
        <f>VLOOKUP(E5830,DATABASE!C:Q,11,false)</f>
        <v>COMPLEMENTARY</v>
      </c>
    </row>
    <row r="5831" ht="22.5" customHeight="1">
      <c r="A5831" s="49"/>
      <c r="C5831" s="400">
        <v>45994.0</v>
      </c>
      <c r="D5831" s="524">
        <v>8072.0</v>
      </c>
      <c r="E5831" s="544" t="s">
        <v>256</v>
      </c>
      <c r="F5831" s="387">
        <v>1.0</v>
      </c>
      <c r="G5831" s="140">
        <v>150000.0</v>
      </c>
      <c r="H5831" s="140">
        <v>20000.0</v>
      </c>
      <c r="I5831" s="74">
        <f t="shared" si="1"/>
        <v>130000</v>
      </c>
      <c r="J5831" s="74">
        <f>IF(E5831="SERVICE",I5831-(I5831*50%),Vlookup(E5831,DATABASE!C:Q,10,false)*F5831)</f>
        <v>10000</v>
      </c>
      <c r="K5831" s="74">
        <f>VLOOKUP(E5831,DATABASE!C:Q,7,false)</f>
        <v>0</v>
      </c>
      <c r="L5831" s="74">
        <v>0.0</v>
      </c>
      <c r="M5831" s="74">
        <f t="shared" si="2"/>
        <v>0</v>
      </c>
      <c r="N5831" s="74">
        <f t="shared" si="3"/>
        <v>120000</v>
      </c>
      <c r="O5831" s="65" t="str">
        <f>VLOOKUP(E5831,DATABASE!C:Q,8,false)</f>
        <v>IBU</v>
      </c>
      <c r="P5831" s="65">
        <f>VLOOKUP(E5831,DATABASE!C:Q,9,False)</f>
        <v>0</v>
      </c>
      <c r="Q5831" s="93" t="str">
        <f>VLOOKUP(E5831,DATABASE!C:Q,4,false)</f>
        <v>SPOORING</v>
      </c>
      <c r="R5831" s="93" t="str">
        <f>VLOOKUP(E5831,DATABASE!C:Q,11,false)</f>
        <v>SERVICE</v>
      </c>
    </row>
    <row r="5832" ht="22.5" customHeight="1">
      <c r="A5832" s="49"/>
      <c r="C5832" s="400">
        <v>45994.0</v>
      </c>
      <c r="D5832" s="524">
        <v>8072.0</v>
      </c>
      <c r="E5832" s="544" t="s">
        <v>301</v>
      </c>
      <c r="F5832" s="387">
        <v>1.0</v>
      </c>
      <c r="G5832" s="140">
        <v>250000.0</v>
      </c>
      <c r="H5832" s="74"/>
      <c r="I5832" s="74">
        <f t="shared" si="1"/>
        <v>250000</v>
      </c>
      <c r="J5832" s="74">
        <f>IF(E5832="SERVICE",I5832-(I5832*50%),Vlookup(E5832,DATABASE!C:Q,10,false)*F5832)</f>
        <v>75000</v>
      </c>
      <c r="K5832" s="74">
        <f>VLOOKUP(E5832,DATABASE!C:Q,7,false)</f>
        <v>75000</v>
      </c>
      <c r="L5832" s="74">
        <v>75000.0</v>
      </c>
      <c r="M5832" s="74">
        <f t="shared" si="2"/>
        <v>75000</v>
      </c>
      <c r="N5832" s="74">
        <f t="shared" si="3"/>
        <v>100000</v>
      </c>
      <c r="O5832" s="65" t="str">
        <f>VLOOKUP(E5832,DATABASE!C:Q,8,false)</f>
        <v>BIAN</v>
      </c>
      <c r="P5832" s="65">
        <f>VLOOKUP(E5832,DATABASE!C:Q,9,False)</f>
        <v>0</v>
      </c>
      <c r="Q5832" s="93" t="str">
        <f>VLOOKUP(E5832,DATABASE!C:Q,4,false)</f>
        <v>Baut Camber</v>
      </c>
      <c r="R5832" s="93" t="str">
        <f>VLOOKUP(E5832,DATABASE!C:Q,11,false)</f>
        <v>COMPLEMENTARY</v>
      </c>
    </row>
    <row r="5833" ht="22.5" customHeight="1">
      <c r="A5833" s="49"/>
      <c r="C5833" s="400">
        <v>45994.0</v>
      </c>
      <c r="D5833" s="524">
        <v>8073.0</v>
      </c>
      <c r="E5833" s="544" t="s">
        <v>391</v>
      </c>
      <c r="F5833" s="387">
        <v>2.0</v>
      </c>
      <c r="G5833" s="140">
        <v>1950000.0</v>
      </c>
      <c r="H5833" s="74"/>
      <c r="I5833" s="74">
        <f t="shared" si="1"/>
        <v>3900000</v>
      </c>
      <c r="J5833" s="74">
        <f>IF(E5833="SERVICE",I5833-(I5833*50%),Vlookup(E5833,DATABASE!C:Q,10,false)*F5833)</f>
        <v>0</v>
      </c>
      <c r="K5833" s="74">
        <f>VLOOKUP(E5833,DATABASE!C:Q,7,false)</f>
        <v>1885000</v>
      </c>
      <c r="L5833" s="74">
        <v>1840000.0</v>
      </c>
      <c r="M5833" s="74">
        <f t="shared" si="2"/>
        <v>1840000</v>
      </c>
      <c r="N5833" s="74">
        <f t="shared" si="3"/>
        <v>220000</v>
      </c>
      <c r="O5833" s="65" t="str">
        <f>VLOOKUP(E5833,DATABASE!C:Q,8,false)</f>
        <v>BIAN</v>
      </c>
      <c r="P5833" s="65">
        <f>VLOOKUP(E5833,DATABASE!C:Q,9,False)</f>
        <v>1</v>
      </c>
      <c r="Q5833" s="93" t="str">
        <f>VLOOKUP(E5833,DATABASE!C:Q,4,false)</f>
        <v>Advance</v>
      </c>
      <c r="R5833" s="93" t="str">
        <f>VLOOKUP(E5833,DATABASE!C:Q,11,false)</f>
        <v>Tire</v>
      </c>
    </row>
    <row r="5834" ht="22.5" customHeight="1">
      <c r="A5834" s="49"/>
      <c r="C5834" s="400">
        <v>45994.0</v>
      </c>
      <c r="D5834" s="524">
        <v>8074.0</v>
      </c>
      <c r="E5834" s="544" t="s">
        <v>781</v>
      </c>
      <c r="F5834" s="387">
        <v>2.0</v>
      </c>
      <c r="G5834" s="140">
        <v>530000.0</v>
      </c>
      <c r="H5834" s="140">
        <v>5000.0</v>
      </c>
      <c r="I5834" s="74">
        <f t="shared" si="1"/>
        <v>1050000</v>
      </c>
      <c r="J5834" s="74">
        <f>IF(E5834="SERVICE",I5834-(I5834*50%),Vlookup(E5834,DATABASE!C:Q,10,false)*F5834)</f>
        <v>0</v>
      </c>
      <c r="K5834" s="74">
        <f>VLOOKUP(E5834,DATABASE!C:Q,7,false)</f>
        <v>470000</v>
      </c>
      <c r="L5834" s="74">
        <v>442500.0</v>
      </c>
      <c r="M5834" s="74">
        <f t="shared" si="2"/>
        <v>445000</v>
      </c>
      <c r="N5834" s="74">
        <f t="shared" si="3"/>
        <v>160000</v>
      </c>
      <c r="O5834" s="65" t="str">
        <f>VLOOKUP(E5834,DATABASE!C:Q,8,false)</f>
        <v>BIAN</v>
      </c>
      <c r="P5834" s="65">
        <f>VLOOKUP(E5834,DATABASE!C:Q,9,False)</f>
        <v>1</v>
      </c>
      <c r="Q5834" s="93" t="str">
        <f>VLOOKUP(E5834,DATABASE!C:Q,4,false)</f>
        <v>GT</v>
      </c>
      <c r="R5834" s="93" t="str">
        <f>VLOOKUP(E5834,DATABASE!C:Q,11,false)</f>
        <v>Tire</v>
      </c>
    </row>
    <row r="5835" ht="22.5" customHeight="1">
      <c r="A5835" s="49"/>
      <c r="C5835" s="400">
        <v>45994.0</v>
      </c>
      <c r="D5835" s="524">
        <v>8075.0</v>
      </c>
      <c r="E5835" s="544" t="s">
        <v>591</v>
      </c>
      <c r="F5835" s="387">
        <v>4.0</v>
      </c>
      <c r="G5835" s="140">
        <v>700000.0</v>
      </c>
      <c r="H5835" s="74"/>
      <c r="I5835" s="74">
        <f t="shared" si="1"/>
        <v>2800000</v>
      </c>
      <c r="J5835" s="74">
        <f>IF(E5835="SERVICE",I5835-(I5835*50%),Vlookup(E5835,DATABASE!C:Q,10,false)*F5835)</f>
        <v>0</v>
      </c>
      <c r="K5835" s="74">
        <f>VLOOKUP(E5835,DATABASE!C:Q,7,false)</f>
        <v>633035.16</v>
      </c>
      <c r="L5835" s="74">
        <v>593488.4</v>
      </c>
      <c r="M5835" s="74">
        <f t="shared" si="2"/>
        <v>595000</v>
      </c>
      <c r="N5835" s="74">
        <f t="shared" si="3"/>
        <v>420000</v>
      </c>
      <c r="O5835" s="65" t="str">
        <f>VLOOKUP(E5835,DATABASE!C:Q,8,false)</f>
        <v>IBU</v>
      </c>
      <c r="P5835" s="65">
        <f>VLOOKUP(E5835,DATABASE!C:Q,9,False)</f>
        <v>1</v>
      </c>
      <c r="Q5835" s="93" t="str">
        <f>VLOOKUP(E5835,DATABASE!C:Q,4,false)</f>
        <v>Bridgestone</v>
      </c>
      <c r="R5835" s="93" t="str">
        <f>VLOOKUP(E5835,DATABASE!C:Q,11,false)</f>
        <v>Tire</v>
      </c>
    </row>
    <row r="5836" ht="22.5" customHeight="1">
      <c r="A5836" s="49"/>
      <c r="C5836" s="400">
        <v>45994.0</v>
      </c>
      <c r="D5836" s="524">
        <v>8075.0</v>
      </c>
      <c r="E5836" s="544" t="s">
        <v>299</v>
      </c>
      <c r="F5836" s="387">
        <v>2.0</v>
      </c>
      <c r="G5836" s="140">
        <v>30000.0</v>
      </c>
      <c r="H5836" s="74"/>
      <c r="I5836" s="74">
        <f t="shared" si="1"/>
        <v>60000</v>
      </c>
      <c r="J5836" s="74">
        <f>IF(E5836="SERVICE",I5836-(I5836*50%),Vlookup(E5836,DATABASE!C:Q,10,false)*F5836)</f>
        <v>0</v>
      </c>
      <c r="K5836" s="74">
        <f>VLOOKUP(E5836,DATABASE!C:Q,7,false)</f>
        <v>10000</v>
      </c>
      <c r="L5836" s="74">
        <v>5000.0</v>
      </c>
      <c r="M5836" s="74">
        <f t="shared" si="2"/>
        <v>5000</v>
      </c>
      <c r="N5836" s="74">
        <f t="shared" si="3"/>
        <v>50000</v>
      </c>
      <c r="O5836" s="65" t="str">
        <f>VLOOKUP(E5836,DATABASE!C:Q,8,false)</f>
        <v>BIAN</v>
      </c>
      <c r="P5836" s="65">
        <f>VLOOKUP(E5836,DATABASE!C:Q,9,False)</f>
        <v>0</v>
      </c>
      <c r="Q5836" s="93" t="str">
        <f>VLOOKUP(E5836,DATABASE!C:Q,4,false)</f>
        <v>Balancing</v>
      </c>
      <c r="R5836" s="93" t="str">
        <f>VLOOKUP(E5836,DATABASE!C:Q,11,false)</f>
        <v>COMPLEMENTARY</v>
      </c>
    </row>
    <row r="5837" ht="22.5" customHeight="1">
      <c r="A5837" s="49"/>
      <c r="C5837" s="400">
        <v>45994.0</v>
      </c>
      <c r="D5837" s="524">
        <v>8075.0</v>
      </c>
      <c r="E5837" s="544" t="s">
        <v>256</v>
      </c>
      <c r="F5837" s="387">
        <v>1.0</v>
      </c>
      <c r="G5837" s="140">
        <v>150000.0</v>
      </c>
      <c r="H5837" s="140">
        <v>20000.0</v>
      </c>
      <c r="I5837" s="74">
        <f t="shared" si="1"/>
        <v>130000</v>
      </c>
      <c r="J5837" s="74">
        <f>IF(E5837="SERVICE",I5837-(I5837*50%),Vlookup(E5837,DATABASE!C:Q,10,false)*F5837)</f>
        <v>10000</v>
      </c>
      <c r="K5837" s="74">
        <f>VLOOKUP(E5837,DATABASE!C:Q,7,false)</f>
        <v>0</v>
      </c>
      <c r="L5837" s="74">
        <v>0.0</v>
      </c>
      <c r="M5837" s="74">
        <f t="shared" si="2"/>
        <v>0</v>
      </c>
      <c r="N5837" s="74">
        <f t="shared" si="3"/>
        <v>120000</v>
      </c>
      <c r="O5837" s="65" t="str">
        <f>VLOOKUP(E5837,DATABASE!C:Q,8,false)</f>
        <v>IBU</v>
      </c>
      <c r="P5837" s="65">
        <f>VLOOKUP(E5837,DATABASE!C:Q,9,False)</f>
        <v>0</v>
      </c>
      <c r="Q5837" s="93" t="str">
        <f>VLOOKUP(E5837,DATABASE!C:Q,4,false)</f>
        <v>SPOORING</v>
      </c>
      <c r="R5837" s="93" t="str">
        <f>VLOOKUP(E5837,DATABASE!C:Q,11,false)</f>
        <v>SERVICE</v>
      </c>
    </row>
    <row r="5838" ht="22.5" customHeight="1">
      <c r="A5838" s="49"/>
      <c r="C5838" s="400">
        <v>45994.0</v>
      </c>
      <c r="D5838" s="524">
        <v>8075.0</v>
      </c>
      <c r="E5838" s="544" t="s">
        <v>301</v>
      </c>
      <c r="F5838" s="387">
        <v>1.0</v>
      </c>
      <c r="G5838" s="140">
        <v>250000.0</v>
      </c>
      <c r="H5838" s="74"/>
      <c r="I5838" s="74">
        <f t="shared" si="1"/>
        <v>250000</v>
      </c>
      <c r="J5838" s="74">
        <f>IF(E5838="SERVICE",I5838-(I5838*50%),Vlookup(E5838,DATABASE!C:Q,10,false)*F5838)</f>
        <v>75000</v>
      </c>
      <c r="K5838" s="74">
        <f>VLOOKUP(E5838,DATABASE!C:Q,7,false)</f>
        <v>75000</v>
      </c>
      <c r="L5838" s="74">
        <v>75000.0</v>
      </c>
      <c r="M5838" s="74">
        <f t="shared" si="2"/>
        <v>75000</v>
      </c>
      <c r="N5838" s="74">
        <f t="shared" si="3"/>
        <v>100000</v>
      </c>
      <c r="O5838" s="65" t="str">
        <f>VLOOKUP(E5838,DATABASE!C:Q,8,false)</f>
        <v>BIAN</v>
      </c>
      <c r="P5838" s="65">
        <f>VLOOKUP(E5838,DATABASE!C:Q,9,False)</f>
        <v>0</v>
      </c>
      <c r="Q5838" s="93" t="str">
        <f>VLOOKUP(E5838,DATABASE!C:Q,4,false)</f>
        <v>Baut Camber</v>
      </c>
      <c r="R5838" s="93" t="str">
        <f>VLOOKUP(E5838,DATABASE!C:Q,11,false)</f>
        <v>COMPLEMENTARY</v>
      </c>
    </row>
    <row r="5839" ht="22.5" customHeight="1">
      <c r="A5839" s="49"/>
      <c r="C5839" s="400">
        <v>45994.0</v>
      </c>
      <c r="D5839" s="524">
        <v>8076.0</v>
      </c>
      <c r="E5839" s="544" t="s">
        <v>2610</v>
      </c>
      <c r="F5839" s="387">
        <v>3.0</v>
      </c>
      <c r="G5839" s="140">
        <v>900000.0</v>
      </c>
      <c r="H5839" s="74"/>
      <c r="I5839" s="74">
        <f t="shared" si="1"/>
        <v>2700000</v>
      </c>
      <c r="J5839" s="74">
        <f>IF(E5839="SERVICE",I5839-(I5839*50%),Vlookup(E5839,DATABASE!C:Q,10,false)*F5839)</f>
        <v>0</v>
      </c>
      <c r="K5839" s="74">
        <f>VLOOKUP(E5839,DATABASE!C:Q,7,false)</f>
        <v>802000</v>
      </c>
      <c r="L5839" s="74">
        <v>802000.0</v>
      </c>
      <c r="M5839" s="74">
        <f t="shared" si="2"/>
        <v>805000</v>
      </c>
      <c r="N5839" s="74">
        <f t="shared" si="3"/>
        <v>285000</v>
      </c>
      <c r="O5839" s="65" t="str">
        <f>VLOOKUP(E5839,DATABASE!C:Q,8,false)</f>
        <v>BIAN</v>
      </c>
      <c r="P5839" s="65">
        <f>VLOOKUP(E5839,DATABASE!C:Q,9,False)</f>
        <v>1</v>
      </c>
      <c r="Q5839" s="93" t="str">
        <f>VLOOKUP(E5839,DATABASE!C:Q,4,false)</f>
        <v>Laufen</v>
      </c>
      <c r="R5839" s="93" t="str">
        <f>VLOOKUP(E5839,DATABASE!C:Q,11,false)</f>
        <v>Tire</v>
      </c>
    </row>
    <row r="5840" ht="22.5" customHeight="1">
      <c r="A5840" s="49"/>
      <c r="C5840" s="400">
        <v>45994.0</v>
      </c>
      <c r="E5840" s="544" t="s">
        <v>263</v>
      </c>
      <c r="F5840" s="387">
        <v>1.0</v>
      </c>
      <c r="G5840" s="140">
        <v>320000.0</v>
      </c>
      <c r="H5840" s="74"/>
      <c r="I5840" s="74">
        <f t="shared" si="1"/>
        <v>320000</v>
      </c>
      <c r="J5840" s="74">
        <f>IF(E5840="SERVICE",I5840-(I5840*50%),Vlookup(E5840,DATABASE!C:Q,10,false)*F5840)</f>
        <v>0</v>
      </c>
      <c r="K5840" s="74">
        <f>VLOOKUP(E5840,DATABASE!C:Q,7,false)</f>
        <v>334916</v>
      </c>
      <c r="L5840" s="74">
        <v>287688.0</v>
      </c>
      <c r="M5840" s="74">
        <f t="shared" si="2"/>
        <v>290000</v>
      </c>
      <c r="N5840" s="74">
        <f t="shared" si="3"/>
        <v>30000</v>
      </c>
      <c r="O5840" s="65" t="str">
        <f>VLOOKUP(E5840,DATABASE!C:Q,8,false)</f>
        <v>NON</v>
      </c>
      <c r="P5840" s="65">
        <f>VLOOKUP(E5840,DATABASE!C:Q,9,False)</f>
        <v>0</v>
      </c>
      <c r="Q5840" s="93" t="str">
        <f>VLOOKUP(E5840,DATABASE!C:Q,4,false)</f>
        <v>Shell</v>
      </c>
      <c r="R5840" s="93" t="str">
        <f>VLOOKUP(E5840,DATABASE!C:Q,11,false)</f>
        <v>OIL</v>
      </c>
    </row>
    <row r="5841" ht="22.5" customHeight="1">
      <c r="A5841" s="49"/>
      <c r="C5841" s="400">
        <v>45995.0</v>
      </c>
      <c r="D5841" s="524">
        <v>8077.0</v>
      </c>
      <c r="E5841" s="544" t="s">
        <v>271</v>
      </c>
      <c r="F5841" s="387">
        <v>2.0</v>
      </c>
      <c r="G5841" s="140">
        <v>630000.0</v>
      </c>
      <c r="H5841" s="74"/>
      <c r="I5841" s="74">
        <f t="shared" si="1"/>
        <v>1260000</v>
      </c>
      <c r="J5841" s="74">
        <f>IF(E5841="SERVICE",I5841-(I5841*50%),Vlookup(E5841,DATABASE!C:Q,10,false)*F5841)</f>
        <v>0</v>
      </c>
      <c r="K5841" s="74">
        <f>VLOOKUP(E5841,DATABASE!C:Q,7,false)</f>
        <v>570000</v>
      </c>
      <c r="L5841" s="74">
        <v>539000.0</v>
      </c>
      <c r="M5841" s="74">
        <f t="shared" si="2"/>
        <v>540000</v>
      </c>
      <c r="N5841" s="74">
        <f t="shared" si="3"/>
        <v>180000</v>
      </c>
      <c r="O5841" s="65" t="str">
        <f>VLOOKUP(E5841,DATABASE!C:Q,8,false)</f>
        <v>IBU</v>
      </c>
      <c r="P5841" s="65">
        <f>VLOOKUP(E5841,DATABASE!C:Q,9,False)</f>
        <v>1</v>
      </c>
      <c r="Q5841" s="93" t="str">
        <f>VLOOKUP(E5841,DATABASE!C:Q,4,false)</f>
        <v>Dunlop</v>
      </c>
      <c r="R5841" s="93" t="str">
        <f>VLOOKUP(E5841,DATABASE!C:Q,11,false)</f>
        <v>Tire</v>
      </c>
    </row>
    <row r="5842" ht="22.5" customHeight="1">
      <c r="A5842" s="49"/>
      <c r="C5842" s="400">
        <v>45995.0</v>
      </c>
      <c r="D5842" s="524">
        <v>8078.0</v>
      </c>
      <c r="E5842" s="544" t="s">
        <v>1928</v>
      </c>
      <c r="F5842" s="387">
        <v>1.0</v>
      </c>
      <c r="G5842" s="140">
        <v>685000.0</v>
      </c>
      <c r="H5842" s="140">
        <v>10000.0</v>
      </c>
      <c r="I5842" s="74">
        <f t="shared" si="1"/>
        <v>675000</v>
      </c>
      <c r="J5842" s="74">
        <f>IF(E5842="SERVICE",I5842-(I5842*50%),Vlookup(E5842,DATABASE!C:Q,10,false)*F5842)</f>
        <v>0</v>
      </c>
      <c r="K5842" s="74">
        <f>VLOOKUP(E5842,DATABASE!C:Q,7,false)</f>
        <v>589700</v>
      </c>
      <c r="L5842" s="74">
        <v>572700.0</v>
      </c>
      <c r="M5842" s="74">
        <f t="shared" si="2"/>
        <v>575000</v>
      </c>
      <c r="N5842" s="74">
        <f t="shared" si="3"/>
        <v>100000</v>
      </c>
      <c r="O5842" s="65" t="str">
        <f>VLOOKUP(E5842,DATABASE!C:Q,8,false)</f>
        <v>BIAN</v>
      </c>
      <c r="P5842" s="65">
        <f>VLOOKUP(E5842,DATABASE!C:Q,9,False)</f>
        <v>1</v>
      </c>
      <c r="Q5842" s="93" t="str">
        <f>VLOOKUP(E5842,DATABASE!C:Q,4,false)</f>
        <v>GT</v>
      </c>
      <c r="R5842" s="93" t="str">
        <f>VLOOKUP(E5842,DATABASE!C:Q,11,false)</f>
        <v>Tire</v>
      </c>
    </row>
    <row r="5843" ht="22.5" customHeight="1">
      <c r="A5843" s="49"/>
      <c r="C5843" s="400">
        <v>45995.0</v>
      </c>
      <c r="D5843" s="524">
        <v>8079.0</v>
      </c>
      <c r="E5843" s="544" t="s">
        <v>1597</v>
      </c>
      <c r="F5843" s="387">
        <v>1.0</v>
      </c>
      <c r="G5843" s="140">
        <v>645000.0</v>
      </c>
      <c r="H5843" s="74"/>
      <c r="I5843" s="74">
        <f t="shared" si="1"/>
        <v>645000</v>
      </c>
      <c r="J5843" s="74">
        <f>IF(E5843="SERVICE",I5843-(I5843*50%),Vlookup(E5843,DATABASE!C:Q,10,false)*F5843)</f>
        <v>0</v>
      </c>
      <c r="K5843" s="74">
        <f>VLOOKUP(E5843,DATABASE!C:Q,7,false)</f>
        <v>560700</v>
      </c>
      <c r="L5843" s="74">
        <v>544300.0</v>
      </c>
      <c r="M5843" s="74">
        <f t="shared" si="2"/>
        <v>545000</v>
      </c>
      <c r="N5843" s="74">
        <f t="shared" si="3"/>
        <v>100000</v>
      </c>
      <c r="O5843" s="65" t="str">
        <f>VLOOKUP(E5843,DATABASE!C:Q,8,false)</f>
        <v>BIAN</v>
      </c>
      <c r="P5843" s="65">
        <f>VLOOKUP(E5843,DATABASE!C:Q,9,False)</f>
        <v>1</v>
      </c>
      <c r="Q5843" s="93" t="str">
        <f>VLOOKUP(E5843,DATABASE!C:Q,4,false)</f>
        <v>GT</v>
      </c>
      <c r="R5843" s="93" t="str">
        <f>VLOOKUP(E5843,DATABASE!C:Q,11,false)</f>
        <v>Tire</v>
      </c>
    </row>
    <row r="5844" ht="22.5" customHeight="1">
      <c r="A5844" s="49"/>
      <c r="C5844" s="400">
        <v>45995.0</v>
      </c>
      <c r="D5844" s="524">
        <v>8080.0</v>
      </c>
      <c r="E5844" s="544" t="s">
        <v>566</v>
      </c>
      <c r="F5844" s="387">
        <v>1.0</v>
      </c>
      <c r="G5844" s="140">
        <v>1710000.0</v>
      </c>
      <c r="H5844" s="140">
        <v>40000.0</v>
      </c>
      <c r="I5844" s="74">
        <f t="shared" si="1"/>
        <v>1670000</v>
      </c>
      <c r="J5844" s="74">
        <f>IF(E5844="SERVICE",I5844-(I5844*50%),Vlookup(E5844,DATABASE!C:Q,10,false)*F5844)</f>
        <v>0</v>
      </c>
      <c r="K5844" s="74">
        <f>VLOOKUP(E5844,DATABASE!C:Q,7,false)</f>
        <v>1565000</v>
      </c>
      <c r="L5844" s="74">
        <v>1545000.0</v>
      </c>
      <c r="M5844" s="74">
        <f t="shared" si="2"/>
        <v>1545000</v>
      </c>
      <c r="N5844" s="74">
        <f t="shared" si="3"/>
        <v>125000</v>
      </c>
      <c r="O5844" s="65" t="str">
        <f>VLOOKUP(E5844,DATABASE!C:Q,8,false)</f>
        <v>IBU</v>
      </c>
      <c r="P5844" s="65">
        <f>VLOOKUP(E5844,DATABASE!C:Q,9,False)</f>
        <v>1</v>
      </c>
      <c r="Q5844" s="93" t="str">
        <f>VLOOKUP(E5844,DATABASE!C:Q,4,false)</f>
        <v>Bridgestone</v>
      </c>
      <c r="R5844" s="93" t="str">
        <f>VLOOKUP(E5844,DATABASE!C:Q,11,false)</f>
        <v>Tire</v>
      </c>
    </row>
    <row r="5845" ht="22.5" customHeight="1">
      <c r="A5845" s="49"/>
      <c r="C5845" s="400">
        <v>45995.0</v>
      </c>
      <c r="D5845" s="524">
        <v>8081.0</v>
      </c>
      <c r="E5845" s="544" t="s">
        <v>932</v>
      </c>
      <c r="F5845" s="387">
        <v>2.0</v>
      </c>
      <c r="G5845" s="140">
        <v>695000.0</v>
      </c>
      <c r="H5845" s="140">
        <v>15000.0</v>
      </c>
      <c r="I5845" s="74">
        <f t="shared" si="1"/>
        <v>1360000</v>
      </c>
      <c r="J5845" s="74">
        <f>IF(E5845="SERVICE",I5845-(I5845*50%),Vlookup(E5845,DATABASE!C:Q,10,false)*F5845)</f>
        <v>0</v>
      </c>
      <c r="K5845" s="74">
        <f>VLOOKUP(E5845,DATABASE!C:Q,7,false)</f>
        <v>601000</v>
      </c>
      <c r="L5845" s="74">
        <v>595000.0</v>
      </c>
      <c r="M5845" s="74">
        <f t="shared" si="2"/>
        <v>595000</v>
      </c>
      <c r="N5845" s="74">
        <f t="shared" si="3"/>
        <v>170000</v>
      </c>
      <c r="O5845" s="65" t="str">
        <f>VLOOKUP(E5845,DATABASE!C:Q,8,false)</f>
        <v>IBU</v>
      </c>
      <c r="P5845" s="65">
        <f>VLOOKUP(E5845,DATABASE!C:Q,9,False)</f>
        <v>1</v>
      </c>
      <c r="Q5845" s="93" t="str">
        <f>VLOOKUP(E5845,DATABASE!C:Q,4,false)</f>
        <v>Dunlop</v>
      </c>
      <c r="R5845" s="93" t="str">
        <f>VLOOKUP(E5845,DATABASE!C:Q,11,false)</f>
        <v>Tire</v>
      </c>
    </row>
    <row r="5846" ht="22.5" customHeight="1">
      <c r="A5846" s="49"/>
      <c r="C5846" s="400">
        <v>45995.0</v>
      </c>
      <c r="D5846" s="524">
        <v>8081.0</v>
      </c>
      <c r="E5846" s="544" t="s">
        <v>262</v>
      </c>
      <c r="F5846" s="387">
        <v>1.0</v>
      </c>
      <c r="G5846" s="140">
        <v>110000.0</v>
      </c>
      <c r="H5846" s="140">
        <v>10000.0</v>
      </c>
      <c r="I5846" s="74">
        <f t="shared" si="1"/>
        <v>100000</v>
      </c>
      <c r="J5846" s="74">
        <f>IF(E5846="SERVICE",I5846-(I5846*50%),Vlookup(E5846,DATABASE!C:Q,10,false)*F5846)</f>
        <v>5000</v>
      </c>
      <c r="K5846" s="74">
        <f>VLOOKUP(E5846,DATABASE!C:Q,7,false)</f>
        <v>0</v>
      </c>
      <c r="L5846" s="74">
        <v>0.0</v>
      </c>
      <c r="M5846" s="74">
        <f t="shared" si="2"/>
        <v>0</v>
      </c>
      <c r="N5846" s="74">
        <f t="shared" si="3"/>
        <v>95000</v>
      </c>
      <c r="O5846" s="65" t="str">
        <f>VLOOKUP(E5846,DATABASE!C:Q,8,false)</f>
        <v>IBU</v>
      </c>
      <c r="P5846" s="65">
        <f>VLOOKUP(E5846,DATABASE!C:Q,9,False)</f>
        <v>0</v>
      </c>
      <c r="Q5846" s="93" t="str">
        <f>VLOOKUP(E5846,DATABASE!C:Q,4,false)</f>
        <v>SPOORING SS/CARRY LOS BAK</v>
      </c>
      <c r="R5846" s="93" t="str">
        <f>VLOOKUP(E5846,DATABASE!C:Q,11,false)</f>
        <v>SERVICE</v>
      </c>
    </row>
    <row r="5847" ht="22.5" customHeight="1">
      <c r="A5847" s="49"/>
      <c r="C5847" s="400">
        <v>45995.0</v>
      </c>
      <c r="D5847" s="524">
        <v>8081.0</v>
      </c>
      <c r="E5847" s="544" t="s">
        <v>2206</v>
      </c>
      <c r="F5847" s="387">
        <v>1.0</v>
      </c>
      <c r="G5847" s="140">
        <v>225000.0</v>
      </c>
      <c r="H5847" s="74"/>
      <c r="I5847" s="74">
        <f t="shared" si="1"/>
        <v>225000</v>
      </c>
      <c r="J5847" s="74">
        <f>IF(E5847="SERVICE",I5847-(I5847*50%),Vlookup(E5847,DATABASE!C:Q,10,false)*F5847)</f>
        <v>40000</v>
      </c>
      <c r="K5847" s="74">
        <f>VLOOKUP(E5847,DATABASE!C:Q,7,false)</f>
        <v>95450</v>
      </c>
      <c r="L5847" s="74">
        <v>61000.0</v>
      </c>
      <c r="M5847" s="74">
        <f t="shared" si="2"/>
        <v>65000</v>
      </c>
      <c r="N5847" s="74">
        <f t="shared" si="3"/>
        <v>120000</v>
      </c>
      <c r="O5847" s="65" t="str">
        <f>VLOOKUP(E5847,DATABASE!C:Q,8,false)</f>
        <v>IBU</v>
      </c>
      <c r="P5847" s="65">
        <f>VLOOKUP(E5847,DATABASE!C:Q,9,False)</f>
        <v>1</v>
      </c>
      <c r="Q5847" s="93" t="str">
        <f>VLOOKUP(E5847,DATABASE!C:Q,4,false)</f>
        <v>TIEROD</v>
      </c>
      <c r="R5847" s="93" t="str">
        <f>VLOOKUP(E5847,DATABASE!C:Q,11,false)</f>
        <v>COMPLEMENTARY</v>
      </c>
    </row>
    <row r="5848" ht="22.5" customHeight="1">
      <c r="A5848" s="49"/>
      <c r="C5848" s="400">
        <v>45995.0</v>
      </c>
      <c r="D5848" s="524">
        <v>8081.0</v>
      </c>
      <c r="E5848" s="544" t="s">
        <v>2154</v>
      </c>
      <c r="F5848" s="387">
        <v>1.0</v>
      </c>
      <c r="G5848" s="140">
        <v>225000.0</v>
      </c>
      <c r="H5848" s="74"/>
      <c r="I5848" s="74">
        <f t="shared" si="1"/>
        <v>225000</v>
      </c>
      <c r="J5848" s="74">
        <f>IF(E5848="SERVICE",I5848-(I5848*50%),Vlookup(E5848,DATABASE!C:Q,10,false)*F5848)</f>
        <v>80000</v>
      </c>
      <c r="K5848" s="74">
        <f>VLOOKUP(E5848,DATABASE!C:Q,7,false)</f>
        <v>90000</v>
      </c>
      <c r="L5848" s="140">
        <v>80000.0</v>
      </c>
      <c r="M5848" s="74">
        <f t="shared" si="2"/>
        <v>80000</v>
      </c>
      <c r="N5848" s="74">
        <f t="shared" si="3"/>
        <v>65000</v>
      </c>
      <c r="O5848" s="65" t="str">
        <f>VLOOKUP(E5848,DATABASE!C:Q,8,false)</f>
        <v>IBU</v>
      </c>
      <c r="P5848" s="65">
        <f>VLOOKUP(E5848,DATABASE!C:Q,9,False)</f>
        <v>0</v>
      </c>
      <c r="Q5848" s="93" t="str">
        <f>VLOOKUP(E5848,DATABASE!C:Q,4,false)</f>
        <v>SERVICE</v>
      </c>
      <c r="R5848" s="93" t="str">
        <f>VLOOKUP(E5848,DATABASE!C:Q,11,false)</f>
        <v>COMPLEMENTARY</v>
      </c>
    </row>
    <row r="5849" ht="22.5" customHeight="1">
      <c r="A5849" s="49"/>
      <c r="C5849" s="400">
        <v>45995.0</v>
      </c>
      <c r="D5849" s="524">
        <v>8082.0</v>
      </c>
      <c r="E5849" s="544" t="s">
        <v>821</v>
      </c>
      <c r="F5849" s="387">
        <v>1.0</v>
      </c>
      <c r="G5849" s="140">
        <v>85000.0</v>
      </c>
      <c r="H5849" s="74"/>
      <c r="I5849" s="74">
        <f t="shared" si="1"/>
        <v>85000</v>
      </c>
      <c r="J5849" s="74">
        <f>IF(E5849="SERVICE",I5849-(I5849*50%),Vlookup(E5849,DATABASE!C:Q,10,false)*F5849)</f>
        <v>0</v>
      </c>
      <c r="K5849" s="74">
        <f>VLOOKUP(E5849,DATABASE!C:Q,7,false)</f>
        <v>43500</v>
      </c>
      <c r="L5849" s="74">
        <v>43520.0</v>
      </c>
      <c r="M5849" s="74">
        <f t="shared" si="2"/>
        <v>45000</v>
      </c>
      <c r="N5849" s="74">
        <f t="shared" si="3"/>
        <v>40000</v>
      </c>
      <c r="O5849" s="65" t="str">
        <f>VLOOKUP(E5849,DATABASE!C:Q,8,false)</f>
        <v>BIAN</v>
      </c>
      <c r="P5849" s="65">
        <f>VLOOKUP(E5849,DATABASE!C:Q,9,False)</f>
        <v>1</v>
      </c>
      <c r="Q5849" s="93" t="str">
        <f>VLOOKUP(E5849,DATABASE!C:Q,4,false)</f>
        <v>Flap</v>
      </c>
      <c r="R5849" s="93" t="str">
        <f>VLOOKUP(E5849,DATABASE!C:Q,11,false)</f>
        <v>Tire</v>
      </c>
    </row>
    <row r="5850" ht="22.5" customHeight="1">
      <c r="A5850" s="49"/>
      <c r="C5850" s="400">
        <v>45995.0</v>
      </c>
      <c r="D5850" s="524">
        <v>8083.0</v>
      </c>
      <c r="E5850" s="544" t="s">
        <v>262</v>
      </c>
      <c r="F5850" s="387">
        <v>1.0</v>
      </c>
      <c r="G5850" s="140">
        <v>110000.0</v>
      </c>
      <c r="H5850" s="74"/>
      <c r="I5850" s="74">
        <f t="shared" si="1"/>
        <v>110000</v>
      </c>
      <c r="J5850" s="74">
        <f>IF(E5850="SERVICE",I5850-(I5850*50%),Vlookup(E5850,DATABASE!C:Q,10,false)*F5850)</f>
        <v>5000</v>
      </c>
      <c r="K5850" s="74">
        <f>VLOOKUP(E5850,DATABASE!C:Q,7,false)</f>
        <v>0</v>
      </c>
      <c r="L5850" s="74">
        <v>0.0</v>
      </c>
      <c r="M5850" s="74">
        <f t="shared" si="2"/>
        <v>0</v>
      </c>
      <c r="N5850" s="74">
        <f t="shared" si="3"/>
        <v>105000</v>
      </c>
      <c r="O5850" s="65" t="str">
        <f>VLOOKUP(E5850,DATABASE!C:Q,8,false)</f>
        <v>IBU</v>
      </c>
      <c r="P5850" s="65">
        <f>VLOOKUP(E5850,DATABASE!C:Q,9,False)</f>
        <v>0</v>
      </c>
      <c r="Q5850" s="93" t="str">
        <f>VLOOKUP(E5850,DATABASE!C:Q,4,false)</f>
        <v>SPOORING SS/CARRY LOS BAK</v>
      </c>
      <c r="R5850" s="93" t="str">
        <f>VLOOKUP(E5850,DATABASE!C:Q,11,false)</f>
        <v>SERVICE</v>
      </c>
    </row>
    <row r="5851" ht="22.5" customHeight="1">
      <c r="A5851" s="49"/>
      <c r="C5851" s="400">
        <v>45995.0</v>
      </c>
      <c r="D5851" s="524">
        <v>8083.0</v>
      </c>
      <c r="E5851" s="544" t="s">
        <v>305</v>
      </c>
      <c r="F5851" s="387">
        <v>2.0</v>
      </c>
      <c r="G5851" s="140">
        <v>235000.0</v>
      </c>
      <c r="H5851" s="74"/>
      <c r="I5851" s="74">
        <f t="shared" si="1"/>
        <v>470000</v>
      </c>
      <c r="J5851" s="74">
        <f>IF(E5851="SERVICE",I5851-(I5851*50%),Vlookup(E5851,DATABASE!C:Q,10,false)*F5851)</f>
        <v>80000</v>
      </c>
      <c r="K5851" s="74">
        <f>VLOOKUP(E5851,DATABASE!C:Q,7,false)</f>
        <v>158530.2</v>
      </c>
      <c r="L5851" s="74">
        <v>151890.0</v>
      </c>
      <c r="M5851" s="74">
        <f t="shared" si="2"/>
        <v>155000</v>
      </c>
      <c r="N5851" s="74">
        <f t="shared" si="3"/>
        <v>80000</v>
      </c>
      <c r="O5851" s="65" t="str">
        <f>VLOOKUP(E5851,DATABASE!C:Q,8,false)</f>
        <v>BIAN</v>
      </c>
      <c r="P5851" s="65">
        <f>VLOOKUP(E5851,DATABASE!C:Q,9,False)</f>
        <v>1</v>
      </c>
      <c r="Q5851" s="93" t="str">
        <f>VLOOKUP(E5851,DATABASE!C:Q,4,false)</f>
        <v>Lower Arm</v>
      </c>
      <c r="R5851" s="93" t="str">
        <f>VLOOKUP(E5851,DATABASE!C:Q,11,false)</f>
        <v>COMPLEMENTARY</v>
      </c>
    </row>
    <row r="5852" ht="22.5" customHeight="1">
      <c r="A5852" s="49"/>
      <c r="C5852" s="400">
        <v>45995.0</v>
      </c>
      <c r="D5852" s="524">
        <v>8083.0</v>
      </c>
      <c r="E5852" s="544" t="s">
        <v>2206</v>
      </c>
      <c r="F5852" s="387">
        <v>2.0</v>
      </c>
      <c r="G5852" s="140">
        <v>225000.0</v>
      </c>
      <c r="H5852" s="140">
        <v>25000.0</v>
      </c>
      <c r="I5852" s="74">
        <f t="shared" si="1"/>
        <v>400000</v>
      </c>
      <c r="J5852" s="74">
        <f>IF(E5852="SERVICE",I5852-(I5852*50%),Vlookup(E5852,DATABASE!C:Q,10,false)*F5852)</f>
        <v>80000</v>
      </c>
      <c r="K5852" s="74">
        <f>VLOOKUP(E5852,DATABASE!C:Q,7,false)</f>
        <v>95450</v>
      </c>
      <c r="L5852" s="74">
        <v>61000.0</v>
      </c>
      <c r="M5852" s="74">
        <f t="shared" si="2"/>
        <v>65000</v>
      </c>
      <c r="N5852" s="74">
        <f t="shared" si="3"/>
        <v>190000</v>
      </c>
      <c r="O5852" s="65" t="str">
        <f>VLOOKUP(E5852,DATABASE!C:Q,8,false)</f>
        <v>IBU</v>
      </c>
      <c r="P5852" s="65">
        <f>VLOOKUP(E5852,DATABASE!C:Q,9,False)</f>
        <v>1</v>
      </c>
      <c r="Q5852" s="93" t="str">
        <f>VLOOKUP(E5852,DATABASE!C:Q,4,false)</f>
        <v>TIEROD</v>
      </c>
      <c r="R5852" s="93" t="str">
        <f>VLOOKUP(E5852,DATABASE!C:Q,11,false)</f>
        <v>COMPLEMENTARY</v>
      </c>
    </row>
    <row r="5853" ht="22.5" customHeight="1">
      <c r="A5853" s="49"/>
      <c r="C5853" s="400">
        <v>45995.0</v>
      </c>
      <c r="D5853" s="524">
        <v>8084.0</v>
      </c>
      <c r="E5853" s="544" t="s">
        <v>271</v>
      </c>
      <c r="F5853" s="387">
        <v>1.0</v>
      </c>
      <c r="G5853" s="140">
        <v>630000.0</v>
      </c>
      <c r="H5853" s="74"/>
      <c r="I5853" s="74">
        <f t="shared" si="1"/>
        <v>630000</v>
      </c>
      <c r="J5853" s="74">
        <f>IF(E5853="SERVICE",I5853-(I5853*50%),Vlookup(E5853,DATABASE!C:Q,10,false)*F5853)</f>
        <v>0</v>
      </c>
      <c r="K5853" s="74">
        <f>VLOOKUP(E5853,DATABASE!C:Q,7,false)</f>
        <v>570000</v>
      </c>
      <c r="L5853" s="74">
        <v>539000.0</v>
      </c>
      <c r="M5853" s="74">
        <f t="shared" si="2"/>
        <v>540000</v>
      </c>
      <c r="N5853" s="74">
        <f t="shared" si="3"/>
        <v>90000</v>
      </c>
      <c r="O5853" s="65" t="str">
        <f>VLOOKUP(E5853,DATABASE!C:Q,8,false)</f>
        <v>IBU</v>
      </c>
      <c r="P5853" s="65">
        <f>VLOOKUP(E5853,DATABASE!C:Q,9,False)</f>
        <v>1</v>
      </c>
      <c r="Q5853" s="93" t="str">
        <f>VLOOKUP(E5853,DATABASE!C:Q,4,false)</f>
        <v>Dunlop</v>
      </c>
      <c r="R5853" s="93" t="str">
        <f>VLOOKUP(E5853,DATABASE!C:Q,11,false)</f>
        <v>Tire</v>
      </c>
    </row>
    <row r="5854" ht="22.5" customHeight="1">
      <c r="A5854" s="49"/>
      <c r="C5854" s="400">
        <v>45995.0</v>
      </c>
      <c r="D5854" s="524">
        <v>8085.0</v>
      </c>
      <c r="E5854" s="544" t="s">
        <v>256</v>
      </c>
      <c r="F5854" s="387">
        <v>1.0</v>
      </c>
      <c r="G5854" s="140">
        <v>150000.0</v>
      </c>
      <c r="H5854" s="140">
        <v>20000.0</v>
      </c>
      <c r="I5854" s="74">
        <f t="shared" si="1"/>
        <v>130000</v>
      </c>
      <c r="J5854" s="74">
        <f>IF(E5854="SERVICE",I5854-(I5854*50%),Vlookup(E5854,DATABASE!C:Q,10,false)*F5854)</f>
        <v>10000</v>
      </c>
      <c r="K5854" s="74">
        <f>VLOOKUP(E5854,DATABASE!C:Q,7,false)</f>
        <v>0</v>
      </c>
      <c r="L5854" s="74">
        <v>0.0</v>
      </c>
      <c r="M5854" s="74">
        <f t="shared" si="2"/>
        <v>0</v>
      </c>
      <c r="N5854" s="74">
        <f t="shared" si="3"/>
        <v>120000</v>
      </c>
      <c r="O5854" s="65" t="str">
        <f>VLOOKUP(E5854,DATABASE!C:Q,8,false)</f>
        <v>IBU</v>
      </c>
      <c r="P5854" s="65">
        <f>VLOOKUP(E5854,DATABASE!C:Q,9,False)</f>
        <v>0</v>
      </c>
      <c r="Q5854" s="93" t="str">
        <f>VLOOKUP(E5854,DATABASE!C:Q,4,false)</f>
        <v>SPOORING</v>
      </c>
      <c r="R5854" s="93" t="str">
        <f>VLOOKUP(E5854,DATABASE!C:Q,11,false)</f>
        <v>SERVICE</v>
      </c>
    </row>
    <row r="5855" ht="22.5" customHeight="1">
      <c r="A5855" s="49"/>
      <c r="C5855" s="400">
        <v>45995.0</v>
      </c>
      <c r="D5855" s="524">
        <v>8085.0</v>
      </c>
      <c r="E5855" s="544" t="s">
        <v>251</v>
      </c>
      <c r="F5855" s="387">
        <v>1.0</v>
      </c>
      <c r="G5855" s="140">
        <v>350000.0</v>
      </c>
      <c r="H5855" s="140">
        <v>270000.0</v>
      </c>
      <c r="I5855" s="74">
        <f t="shared" si="1"/>
        <v>80000</v>
      </c>
      <c r="J5855" s="74">
        <f>IF(E5855="SERVICE",I5855-(I5855*50%),Vlookup(E5855,DATABASE!C:Q,10,false)*F5855)</f>
        <v>40000</v>
      </c>
      <c r="K5855" s="74">
        <f>VLOOKUP(E5855,DATABASE!C:Q,7,false)</f>
        <v>0</v>
      </c>
      <c r="L5855" s="74">
        <v>0.0</v>
      </c>
      <c r="M5855" s="74">
        <f t="shared" si="2"/>
        <v>0</v>
      </c>
      <c r="N5855" s="74">
        <f t="shared" si="3"/>
        <v>40000</v>
      </c>
      <c r="O5855" s="65" t="str">
        <f>VLOOKUP(E5855,DATABASE!C:Q,8,false)</f>
        <v>IBU</v>
      </c>
      <c r="P5855" s="65">
        <f>VLOOKUP(E5855,DATABASE!C:Q,9,False)</f>
        <v>0</v>
      </c>
      <c r="Q5855" s="93" t="str">
        <f>VLOOKUP(E5855,DATABASE!C:Q,4,false)</f>
        <v>SERVICE</v>
      </c>
      <c r="R5855" s="93" t="str">
        <f>VLOOKUP(E5855,DATABASE!C:Q,11,false)</f>
        <v>SERVICE</v>
      </c>
    </row>
    <row r="5856" ht="22.5" customHeight="1">
      <c r="A5856" s="49"/>
      <c r="C5856" s="400">
        <v>45995.0</v>
      </c>
      <c r="D5856" s="524">
        <v>8085.0</v>
      </c>
      <c r="E5856" s="544" t="s">
        <v>251</v>
      </c>
      <c r="F5856" s="387">
        <v>1.0</v>
      </c>
      <c r="G5856" s="140">
        <v>350000.0</v>
      </c>
      <c r="H5856" s="140">
        <v>200000.0</v>
      </c>
      <c r="I5856" s="74">
        <f t="shared" si="1"/>
        <v>150000</v>
      </c>
      <c r="J5856" s="74">
        <f>IF(E5856="SERVICE",I5856-(I5856*50%),Vlookup(E5856,DATABASE!C:Q,10,false)*F5856)</f>
        <v>75000</v>
      </c>
      <c r="K5856" s="74">
        <f>VLOOKUP(E5856,DATABASE!C:Q,7,false)</f>
        <v>0</v>
      </c>
      <c r="L5856" s="74">
        <v>0.0</v>
      </c>
      <c r="M5856" s="74">
        <f t="shared" si="2"/>
        <v>0</v>
      </c>
      <c r="N5856" s="74">
        <f t="shared" si="3"/>
        <v>75000</v>
      </c>
      <c r="O5856" s="65" t="str">
        <f>VLOOKUP(E5856,DATABASE!C:Q,8,false)</f>
        <v>IBU</v>
      </c>
      <c r="P5856" s="65">
        <f>VLOOKUP(E5856,DATABASE!C:Q,9,False)</f>
        <v>0</v>
      </c>
      <c r="Q5856" s="93" t="str">
        <f>VLOOKUP(E5856,DATABASE!C:Q,4,false)</f>
        <v>SERVICE</v>
      </c>
      <c r="R5856" s="93" t="str">
        <f>VLOOKUP(E5856,DATABASE!C:Q,11,false)</f>
        <v>SERVICE</v>
      </c>
    </row>
    <row r="5857" ht="22.5" customHeight="1">
      <c r="A5857" s="49"/>
      <c r="C5857" s="400">
        <v>45995.0</v>
      </c>
      <c r="D5857" s="524">
        <v>8086.0</v>
      </c>
      <c r="E5857" s="544" t="s">
        <v>265</v>
      </c>
      <c r="F5857" s="387">
        <v>4.0</v>
      </c>
      <c r="G5857" s="140">
        <v>710000.0</v>
      </c>
      <c r="H5857" s="140">
        <v>25000.0</v>
      </c>
      <c r="I5857" s="74">
        <f t="shared" si="1"/>
        <v>2740000</v>
      </c>
      <c r="J5857" s="74">
        <f>IF(E5857="SERVICE",I5857-(I5857*50%),Vlookup(E5857,DATABASE!C:Q,10,false)*F5857)</f>
        <v>0</v>
      </c>
      <c r="K5857" s="74">
        <f>VLOOKUP(E5857,DATABASE!C:Q,7,false)</f>
        <v>628000</v>
      </c>
      <c r="L5857" s="74">
        <v>600000.0</v>
      </c>
      <c r="M5857" s="74">
        <f t="shared" si="2"/>
        <v>600000</v>
      </c>
      <c r="N5857" s="74">
        <f t="shared" si="3"/>
        <v>340000</v>
      </c>
      <c r="O5857" s="65" t="str">
        <f>VLOOKUP(E5857,DATABASE!C:Q,8,false)</f>
        <v>IBU</v>
      </c>
      <c r="P5857" s="65">
        <f>VLOOKUP(E5857,DATABASE!C:Q,9,False)</f>
        <v>1</v>
      </c>
      <c r="Q5857" s="93" t="str">
        <f>VLOOKUP(E5857,DATABASE!C:Q,4,false)</f>
        <v>Dunlop</v>
      </c>
      <c r="R5857" s="93" t="str">
        <f>VLOOKUP(E5857,DATABASE!C:Q,11,false)</f>
        <v>Tire</v>
      </c>
    </row>
    <row r="5858" ht="22.5" customHeight="1">
      <c r="A5858" s="49"/>
      <c r="C5858" s="400">
        <v>45995.0</v>
      </c>
      <c r="D5858" s="524">
        <v>8086.0</v>
      </c>
      <c r="E5858" s="544" t="s">
        <v>262</v>
      </c>
      <c r="F5858" s="387">
        <v>1.0</v>
      </c>
      <c r="G5858" s="140">
        <v>110000.0</v>
      </c>
      <c r="H5858" s="74"/>
      <c r="I5858" s="74">
        <f t="shared" si="1"/>
        <v>110000</v>
      </c>
      <c r="J5858" s="74">
        <f>IF(E5858="SERVICE",I5858-(I5858*50%),Vlookup(E5858,DATABASE!C:Q,10,false)*F5858)</f>
        <v>5000</v>
      </c>
      <c r="K5858" s="74">
        <f>VLOOKUP(E5858,DATABASE!C:Q,7,false)</f>
        <v>0</v>
      </c>
      <c r="L5858" s="74">
        <v>0.0</v>
      </c>
      <c r="M5858" s="74">
        <f t="shared" si="2"/>
        <v>0</v>
      </c>
      <c r="N5858" s="74">
        <f t="shared" si="3"/>
        <v>105000</v>
      </c>
      <c r="O5858" s="65" t="str">
        <f>VLOOKUP(E5858,DATABASE!C:Q,8,false)</f>
        <v>IBU</v>
      </c>
      <c r="P5858" s="65">
        <f>VLOOKUP(E5858,DATABASE!C:Q,9,False)</f>
        <v>0</v>
      </c>
      <c r="Q5858" s="93" t="str">
        <f>VLOOKUP(E5858,DATABASE!C:Q,4,false)</f>
        <v>SPOORING SS/CARRY LOS BAK</v>
      </c>
      <c r="R5858" s="93" t="str">
        <f>VLOOKUP(E5858,DATABASE!C:Q,11,false)</f>
        <v>SERVICE</v>
      </c>
    </row>
    <row r="5859" ht="22.5" customHeight="1">
      <c r="A5859" s="49"/>
      <c r="C5859" s="400">
        <v>45995.0</v>
      </c>
      <c r="D5859" s="524">
        <v>8086.0</v>
      </c>
      <c r="E5859" s="544" t="s">
        <v>299</v>
      </c>
      <c r="F5859" s="387">
        <v>2.0</v>
      </c>
      <c r="G5859" s="140">
        <v>30000.0</v>
      </c>
      <c r="H5859" s="74"/>
      <c r="I5859" s="74">
        <f t="shared" si="1"/>
        <v>60000</v>
      </c>
      <c r="J5859" s="74">
        <f>IF(E5859="SERVICE",I5859-(I5859*50%),Vlookup(E5859,DATABASE!C:Q,10,false)*F5859)</f>
        <v>0</v>
      </c>
      <c r="K5859" s="74">
        <f>VLOOKUP(E5859,DATABASE!C:Q,7,false)</f>
        <v>10000</v>
      </c>
      <c r="L5859" s="74">
        <v>5000.0</v>
      </c>
      <c r="M5859" s="74">
        <f t="shared" si="2"/>
        <v>5000</v>
      </c>
      <c r="N5859" s="74">
        <f t="shared" si="3"/>
        <v>50000</v>
      </c>
      <c r="O5859" s="65" t="str">
        <f>VLOOKUP(E5859,DATABASE!C:Q,8,false)</f>
        <v>BIAN</v>
      </c>
      <c r="P5859" s="65">
        <f>VLOOKUP(E5859,DATABASE!C:Q,9,False)</f>
        <v>0</v>
      </c>
      <c r="Q5859" s="93" t="str">
        <f>VLOOKUP(E5859,DATABASE!C:Q,4,false)</f>
        <v>Balancing</v>
      </c>
      <c r="R5859" s="93" t="str">
        <f>VLOOKUP(E5859,DATABASE!C:Q,11,false)</f>
        <v>COMPLEMENTARY</v>
      </c>
    </row>
    <row r="5860" ht="22.5" customHeight="1">
      <c r="A5860" s="49"/>
      <c r="C5860" s="400">
        <v>45995.0</v>
      </c>
      <c r="D5860" s="524">
        <v>8086.0</v>
      </c>
      <c r="E5860" s="544" t="s">
        <v>478</v>
      </c>
      <c r="F5860" s="387">
        <v>1.0</v>
      </c>
      <c r="G5860" s="140">
        <v>200000.0</v>
      </c>
      <c r="H5860" s="74"/>
      <c r="I5860" s="74">
        <f t="shared" si="1"/>
        <v>200000</v>
      </c>
      <c r="J5860" s="74">
        <f>IF(E5860="SERVICE",I5860-(I5860*50%),Vlookup(E5860,DATABASE!C:Q,10,false)*F5860)</f>
        <v>25000</v>
      </c>
      <c r="K5860" s="74">
        <f>VLOOKUP(E5860,DATABASE!C:Q,7,false)</f>
        <v>75000</v>
      </c>
      <c r="L5860" s="74">
        <v>75000.0</v>
      </c>
      <c r="M5860" s="74">
        <f t="shared" si="2"/>
        <v>75000</v>
      </c>
      <c r="N5860" s="74">
        <f t="shared" si="3"/>
        <v>100000</v>
      </c>
      <c r="O5860" s="65" t="str">
        <f>VLOOKUP(E5860,DATABASE!C:Q,8,false)</f>
        <v>BIAN</v>
      </c>
      <c r="P5860" s="65">
        <f>VLOOKUP(E5860,DATABASE!C:Q,9,False)</f>
        <v>0</v>
      </c>
      <c r="Q5860" s="93" t="str">
        <f>VLOOKUP(E5860,DATABASE!C:Q,4,false)</f>
        <v>Baut Camber ss-carry</v>
      </c>
      <c r="R5860" s="93" t="str">
        <f>VLOOKUP(E5860,DATABASE!C:Q,11,false)</f>
        <v>COMPLEMENTARY</v>
      </c>
    </row>
    <row r="5861" ht="22.5" customHeight="1">
      <c r="A5861" s="49"/>
      <c r="C5861" s="400">
        <v>45995.0</v>
      </c>
      <c r="D5861" s="524">
        <v>8087.0</v>
      </c>
      <c r="E5861" s="544" t="s">
        <v>275</v>
      </c>
      <c r="F5861" s="387">
        <v>1.0</v>
      </c>
      <c r="G5861" s="140">
        <v>830000.0</v>
      </c>
      <c r="H5861" s="74"/>
      <c r="I5861" s="74">
        <f t="shared" si="1"/>
        <v>830000</v>
      </c>
      <c r="J5861" s="74">
        <f>IF(E5861="SERVICE",I5861-(I5861*50%),Vlookup(E5861,DATABASE!C:Q,10,false)*F5861)</f>
        <v>0</v>
      </c>
      <c r="K5861" s="74">
        <f>VLOOKUP(E5861,DATABASE!C:Q,7,false)</f>
        <v>782000</v>
      </c>
      <c r="L5861" s="74">
        <v>745000.0</v>
      </c>
      <c r="M5861" s="74">
        <f t="shared" si="2"/>
        <v>745000</v>
      </c>
      <c r="N5861" s="74">
        <f t="shared" si="3"/>
        <v>85000</v>
      </c>
      <c r="O5861" s="65" t="str">
        <f>VLOOKUP(E5861,DATABASE!C:Q,8,false)</f>
        <v>IBU</v>
      </c>
      <c r="P5861" s="65">
        <f>VLOOKUP(E5861,DATABASE!C:Q,9,False)</f>
        <v>1</v>
      </c>
      <c r="Q5861" s="93" t="str">
        <f>VLOOKUP(E5861,DATABASE!C:Q,4,false)</f>
        <v>Dunlop</v>
      </c>
      <c r="R5861" s="93" t="str">
        <f>VLOOKUP(E5861,DATABASE!C:Q,11,false)</f>
        <v>Tire</v>
      </c>
    </row>
    <row r="5862" ht="22.5" customHeight="1">
      <c r="A5862" s="49"/>
      <c r="C5862" s="400">
        <v>45995.0</v>
      </c>
      <c r="D5862" s="524">
        <v>8088.0</v>
      </c>
      <c r="E5862" s="544" t="s">
        <v>955</v>
      </c>
      <c r="F5862" s="387">
        <v>1.0</v>
      </c>
      <c r="G5862" s="140">
        <v>770000.0</v>
      </c>
      <c r="H5862" s="140">
        <v>10000.0</v>
      </c>
      <c r="I5862" s="74">
        <f t="shared" si="1"/>
        <v>760000</v>
      </c>
      <c r="J5862" s="74">
        <f>IF(E5862="SERVICE",I5862-(I5862*50%),Vlookup(E5862,DATABASE!C:Q,10,false)*F5862)</f>
        <v>0</v>
      </c>
      <c r="K5862" s="74">
        <f>VLOOKUP(E5862,DATABASE!C:Q,7,false)</f>
        <v>712000</v>
      </c>
      <c r="L5862" s="74">
        <v>674000.0</v>
      </c>
      <c r="M5862" s="74">
        <f t="shared" si="2"/>
        <v>675000</v>
      </c>
      <c r="N5862" s="74">
        <f t="shared" si="3"/>
        <v>85000</v>
      </c>
      <c r="O5862" s="65" t="str">
        <f>VLOOKUP(E5862,DATABASE!C:Q,8,false)</f>
        <v>IBU</v>
      </c>
      <c r="P5862" s="65">
        <f>VLOOKUP(E5862,DATABASE!C:Q,9,False)</f>
        <v>1</v>
      </c>
      <c r="Q5862" s="93" t="str">
        <f>VLOOKUP(E5862,DATABASE!C:Q,4,false)</f>
        <v>Dunlop</v>
      </c>
      <c r="R5862" s="93" t="str">
        <f>VLOOKUP(E5862,DATABASE!C:Q,11,false)</f>
        <v>Tire</v>
      </c>
    </row>
    <row r="5863" ht="22.5" customHeight="1">
      <c r="A5863" s="49"/>
      <c r="C5863" s="400">
        <v>45995.0</v>
      </c>
      <c r="D5863" s="524">
        <v>8089.0</v>
      </c>
      <c r="E5863" s="544" t="s">
        <v>256</v>
      </c>
      <c r="F5863" s="387">
        <v>1.0</v>
      </c>
      <c r="G5863" s="140">
        <v>150000.0</v>
      </c>
      <c r="H5863" s="140">
        <v>20000.0</v>
      </c>
      <c r="I5863" s="74">
        <f t="shared" si="1"/>
        <v>130000</v>
      </c>
      <c r="J5863" s="74">
        <f>IF(E5863="SERVICE",I5863-(I5863*50%),Vlookup(E5863,DATABASE!C:Q,10,false)*F5863)</f>
        <v>10000</v>
      </c>
      <c r="K5863" s="74">
        <f>VLOOKUP(E5863,DATABASE!C:Q,7,false)</f>
        <v>0</v>
      </c>
      <c r="L5863" s="74">
        <v>0.0</v>
      </c>
      <c r="M5863" s="74">
        <f t="shared" si="2"/>
        <v>0</v>
      </c>
      <c r="N5863" s="74">
        <f t="shared" si="3"/>
        <v>120000</v>
      </c>
      <c r="O5863" s="65" t="str">
        <f>VLOOKUP(E5863,DATABASE!C:Q,8,false)</f>
        <v>IBU</v>
      </c>
      <c r="P5863" s="65">
        <f>VLOOKUP(E5863,DATABASE!C:Q,9,False)</f>
        <v>0</v>
      </c>
      <c r="Q5863" s="93" t="str">
        <f>VLOOKUP(E5863,DATABASE!C:Q,4,false)</f>
        <v>SPOORING</v>
      </c>
      <c r="R5863" s="93" t="str">
        <f>VLOOKUP(E5863,DATABASE!C:Q,11,false)</f>
        <v>SERVICE</v>
      </c>
    </row>
    <row r="5864" ht="22.5" customHeight="1">
      <c r="A5864" s="49"/>
      <c r="C5864" s="400">
        <v>45996.0</v>
      </c>
      <c r="D5864" s="524">
        <v>8092.0</v>
      </c>
      <c r="E5864" s="544" t="s">
        <v>391</v>
      </c>
      <c r="F5864" s="387">
        <v>1.0</v>
      </c>
      <c r="G5864" s="140">
        <v>1950000.0</v>
      </c>
      <c r="H5864" s="74"/>
      <c r="I5864" s="74">
        <f t="shared" si="1"/>
        <v>1950000</v>
      </c>
      <c r="J5864" s="74">
        <f>IF(E5864="SERVICE",I5864-(I5864*50%),Vlookup(E5864,DATABASE!C:Q,10,false)*F5864)</f>
        <v>0</v>
      </c>
      <c r="K5864" s="74">
        <f>VLOOKUP(E5864,DATABASE!C:Q,7,false)</f>
        <v>1885000</v>
      </c>
      <c r="L5864" s="74">
        <v>1840000.0</v>
      </c>
      <c r="M5864" s="74">
        <f t="shared" si="2"/>
        <v>1840000</v>
      </c>
      <c r="N5864" s="74">
        <f t="shared" si="3"/>
        <v>110000</v>
      </c>
      <c r="O5864" s="65" t="str">
        <f>VLOOKUP(E5864,DATABASE!C:Q,8,false)</f>
        <v>BIAN</v>
      </c>
      <c r="P5864" s="65">
        <f>VLOOKUP(E5864,DATABASE!C:Q,9,False)</f>
        <v>1</v>
      </c>
      <c r="Q5864" s="93" t="str">
        <f>VLOOKUP(E5864,DATABASE!C:Q,4,false)</f>
        <v>Advance</v>
      </c>
      <c r="R5864" s="93" t="str">
        <f>VLOOKUP(E5864,DATABASE!C:Q,11,false)</f>
        <v>Tire</v>
      </c>
    </row>
    <row r="5865" ht="22.5" customHeight="1">
      <c r="A5865" s="49"/>
      <c r="C5865" s="400">
        <v>45996.0</v>
      </c>
      <c r="D5865" s="524">
        <v>8093.0</v>
      </c>
      <c r="E5865" s="544" t="s">
        <v>265</v>
      </c>
      <c r="F5865" s="387">
        <v>1.0</v>
      </c>
      <c r="G5865" s="140">
        <v>685000.0</v>
      </c>
      <c r="H5865" s="140">
        <v>5000.0</v>
      </c>
      <c r="I5865" s="74">
        <f t="shared" si="1"/>
        <v>680000</v>
      </c>
      <c r="J5865" s="74">
        <f>IF(E5865="SERVICE",I5865-(I5865*50%),Vlookup(E5865,DATABASE!C:Q,10,false)*F5865)</f>
        <v>0</v>
      </c>
      <c r="K5865" s="74">
        <f>VLOOKUP(E5865,DATABASE!C:Q,7,false)</f>
        <v>628000</v>
      </c>
      <c r="L5865" s="74">
        <v>600000.0</v>
      </c>
      <c r="M5865" s="74">
        <f t="shared" si="2"/>
        <v>600000</v>
      </c>
      <c r="N5865" s="74">
        <f t="shared" si="3"/>
        <v>80000</v>
      </c>
      <c r="O5865" s="65" t="str">
        <f>VLOOKUP(E5865,DATABASE!C:Q,8,false)</f>
        <v>IBU</v>
      </c>
      <c r="P5865" s="65">
        <f>VLOOKUP(E5865,DATABASE!C:Q,9,False)</f>
        <v>1</v>
      </c>
      <c r="Q5865" s="93" t="str">
        <f>VLOOKUP(E5865,DATABASE!C:Q,4,false)</f>
        <v>Dunlop</v>
      </c>
      <c r="R5865" s="93" t="str">
        <f>VLOOKUP(E5865,DATABASE!C:Q,11,false)</f>
        <v>Tire</v>
      </c>
    </row>
    <row r="5866" ht="22.5" customHeight="1">
      <c r="A5866" s="49"/>
      <c r="C5866" s="400">
        <v>45996.0</v>
      </c>
      <c r="D5866" s="524">
        <v>8094.0</v>
      </c>
      <c r="E5866" s="544" t="s">
        <v>268</v>
      </c>
      <c r="F5866" s="387">
        <v>1.0</v>
      </c>
      <c r="G5866" s="140">
        <v>710000.0</v>
      </c>
      <c r="H5866" s="74"/>
      <c r="I5866" s="74">
        <f t="shared" si="1"/>
        <v>710000</v>
      </c>
      <c r="J5866" s="74">
        <f>IF(E5866="SERVICE",I5866-(I5866*50%),Vlookup(E5866,DATABASE!C:Q,10,false)*F5866)</f>
        <v>0</v>
      </c>
      <c r="K5866" s="74">
        <f>VLOOKUP(E5866,DATABASE!C:Q,7,false)</f>
        <v>653000</v>
      </c>
      <c r="L5866" s="74">
        <v>622000.0</v>
      </c>
      <c r="M5866" s="74">
        <f t="shared" si="2"/>
        <v>625000</v>
      </c>
      <c r="N5866" s="74">
        <f t="shared" si="3"/>
        <v>85000</v>
      </c>
      <c r="O5866" s="65" t="str">
        <f>VLOOKUP(E5866,DATABASE!C:Q,8,false)</f>
        <v>IBU</v>
      </c>
      <c r="P5866" s="65">
        <f>VLOOKUP(E5866,DATABASE!C:Q,9,False)</f>
        <v>1</v>
      </c>
      <c r="Q5866" s="93" t="str">
        <f>VLOOKUP(E5866,DATABASE!C:Q,4,false)</f>
        <v>Dunlop</v>
      </c>
      <c r="R5866" s="93" t="str">
        <f>VLOOKUP(E5866,DATABASE!C:Q,11,false)</f>
        <v>Tire</v>
      </c>
    </row>
    <row r="5867" ht="22.5" customHeight="1">
      <c r="A5867" s="49"/>
      <c r="C5867" s="400">
        <v>45996.0</v>
      </c>
      <c r="D5867" s="524">
        <v>8094.0</v>
      </c>
      <c r="E5867" s="544" t="s">
        <v>256</v>
      </c>
      <c r="F5867" s="387">
        <v>1.0</v>
      </c>
      <c r="G5867" s="140">
        <v>150000.0</v>
      </c>
      <c r="H5867" s="140">
        <v>40000.0</v>
      </c>
      <c r="I5867" s="74">
        <f t="shared" si="1"/>
        <v>110000</v>
      </c>
      <c r="J5867" s="74">
        <f>IF(E5867="SERVICE",I5867-(I5867*50%),Vlookup(E5867,DATABASE!C:Q,10,false)*F5867)</f>
        <v>10000</v>
      </c>
      <c r="K5867" s="74">
        <f>VLOOKUP(E5867,DATABASE!C:Q,7,false)</f>
        <v>0</v>
      </c>
      <c r="L5867" s="74">
        <v>0.0</v>
      </c>
      <c r="M5867" s="74">
        <f t="shared" si="2"/>
        <v>0</v>
      </c>
      <c r="N5867" s="74">
        <f t="shared" si="3"/>
        <v>100000</v>
      </c>
      <c r="O5867" s="65" t="str">
        <f>VLOOKUP(E5867,DATABASE!C:Q,8,false)</f>
        <v>IBU</v>
      </c>
      <c r="P5867" s="65">
        <f>VLOOKUP(E5867,DATABASE!C:Q,9,False)</f>
        <v>0</v>
      </c>
      <c r="Q5867" s="93" t="str">
        <f>VLOOKUP(E5867,DATABASE!C:Q,4,false)</f>
        <v>SPOORING</v>
      </c>
      <c r="R5867" s="93" t="str">
        <f>VLOOKUP(E5867,DATABASE!C:Q,11,false)</f>
        <v>SERVICE</v>
      </c>
    </row>
    <row r="5868" ht="22.5" customHeight="1">
      <c r="A5868" s="49"/>
      <c r="C5868" s="400">
        <v>45996.0</v>
      </c>
      <c r="D5868" s="524">
        <v>8094.0</v>
      </c>
      <c r="E5868" s="544" t="s">
        <v>299</v>
      </c>
      <c r="F5868" s="387">
        <v>2.0</v>
      </c>
      <c r="G5868" s="140">
        <v>30000.0</v>
      </c>
      <c r="H5868" s="74"/>
      <c r="I5868" s="74">
        <f t="shared" si="1"/>
        <v>60000</v>
      </c>
      <c r="J5868" s="74">
        <f>IF(E5868="SERVICE",I5868-(I5868*50%),Vlookup(E5868,DATABASE!C:Q,10,false)*F5868)</f>
        <v>0</v>
      </c>
      <c r="K5868" s="74">
        <f>VLOOKUP(E5868,DATABASE!C:Q,7,false)</f>
        <v>10000</v>
      </c>
      <c r="L5868" s="74">
        <v>5000.0</v>
      </c>
      <c r="M5868" s="74">
        <f t="shared" si="2"/>
        <v>5000</v>
      </c>
      <c r="N5868" s="74">
        <f t="shared" si="3"/>
        <v>50000</v>
      </c>
      <c r="O5868" s="65" t="str">
        <f>VLOOKUP(E5868,DATABASE!C:Q,8,false)</f>
        <v>BIAN</v>
      </c>
      <c r="P5868" s="65">
        <f>VLOOKUP(E5868,DATABASE!C:Q,9,False)</f>
        <v>0</v>
      </c>
      <c r="Q5868" s="93" t="str">
        <f>VLOOKUP(E5868,DATABASE!C:Q,4,false)</f>
        <v>Balancing</v>
      </c>
      <c r="R5868" s="93" t="str">
        <f>VLOOKUP(E5868,DATABASE!C:Q,11,false)</f>
        <v>COMPLEMENTARY</v>
      </c>
    </row>
    <row r="5869" ht="22.5" customHeight="1">
      <c r="A5869" s="49"/>
      <c r="C5869" s="400">
        <v>45996.0</v>
      </c>
      <c r="D5869" s="524">
        <v>8094.0</v>
      </c>
      <c r="E5869" s="544" t="s">
        <v>251</v>
      </c>
      <c r="F5869" s="387">
        <v>1.0</v>
      </c>
      <c r="G5869" s="140">
        <v>350000.0</v>
      </c>
      <c r="H5869" s="140">
        <v>200000.0</v>
      </c>
      <c r="I5869" s="74">
        <f t="shared" si="1"/>
        <v>150000</v>
      </c>
      <c r="J5869" s="74">
        <f>IF(E5869="SERVICE",I5869-(I5869*50%),Vlookup(E5869,DATABASE!C:Q,10,false)*F5869)</f>
        <v>75000</v>
      </c>
      <c r="K5869" s="74">
        <f>VLOOKUP(E5869,DATABASE!C:Q,7,false)</f>
        <v>0</v>
      </c>
      <c r="L5869" s="74">
        <v>0.0</v>
      </c>
      <c r="M5869" s="74">
        <f t="shared" si="2"/>
        <v>0</v>
      </c>
      <c r="N5869" s="74">
        <f t="shared" si="3"/>
        <v>75000</v>
      </c>
      <c r="O5869" s="65" t="str">
        <f>VLOOKUP(E5869,DATABASE!C:Q,8,false)</f>
        <v>IBU</v>
      </c>
      <c r="P5869" s="65">
        <f>VLOOKUP(E5869,DATABASE!C:Q,9,False)</f>
        <v>0</v>
      </c>
      <c r="Q5869" s="93" t="str">
        <f>VLOOKUP(E5869,DATABASE!C:Q,4,false)</f>
        <v>SERVICE</v>
      </c>
      <c r="R5869" s="93" t="str">
        <f>VLOOKUP(E5869,DATABASE!C:Q,11,false)</f>
        <v>SERVICE</v>
      </c>
    </row>
    <row r="5870" ht="22.5" customHeight="1">
      <c r="A5870" s="49"/>
      <c r="C5870" s="400">
        <v>45996.0</v>
      </c>
      <c r="D5870" s="524">
        <v>8095.0</v>
      </c>
      <c r="E5870" s="544" t="s">
        <v>695</v>
      </c>
      <c r="F5870" s="387">
        <v>2.0</v>
      </c>
      <c r="G5870" s="140">
        <v>670000.0</v>
      </c>
      <c r="H5870" s="140">
        <v>10000.0</v>
      </c>
      <c r="I5870" s="74">
        <f t="shared" si="1"/>
        <v>1320000</v>
      </c>
      <c r="J5870" s="74">
        <f>IF(E5870="SERVICE",I5870-(I5870*50%),Vlookup(E5870,DATABASE!C:Q,10,false)*F5870)</f>
        <v>0</v>
      </c>
      <c r="K5870" s="74">
        <f>VLOOKUP(E5870,DATABASE!C:Q,7,false)</f>
        <v>582000</v>
      </c>
      <c r="L5870" s="74">
        <v>570000.0</v>
      </c>
      <c r="M5870" s="74">
        <f t="shared" si="2"/>
        <v>570000</v>
      </c>
      <c r="N5870" s="74">
        <f t="shared" si="3"/>
        <v>180000</v>
      </c>
      <c r="O5870" s="65" t="str">
        <f>VLOOKUP(E5870,DATABASE!C:Q,8,false)</f>
        <v>IBU</v>
      </c>
      <c r="P5870" s="65">
        <f>VLOOKUP(E5870,DATABASE!C:Q,9,False)</f>
        <v>1</v>
      </c>
      <c r="Q5870" s="93" t="str">
        <f>VLOOKUP(E5870,DATABASE!C:Q,4,false)</f>
        <v>Dunlop</v>
      </c>
      <c r="R5870" s="93" t="str">
        <f>VLOOKUP(E5870,DATABASE!C:Q,11,false)</f>
        <v>Tire</v>
      </c>
    </row>
    <row r="5871" ht="22.5" customHeight="1">
      <c r="A5871" s="49"/>
      <c r="C5871" s="400">
        <v>45996.0</v>
      </c>
      <c r="D5871" s="524">
        <v>8095.0</v>
      </c>
      <c r="E5871" s="544" t="s">
        <v>299</v>
      </c>
      <c r="F5871" s="387">
        <v>2.0</v>
      </c>
      <c r="G5871" s="140">
        <v>30000.0</v>
      </c>
      <c r="H5871" s="74"/>
      <c r="I5871" s="74">
        <f t="shared" si="1"/>
        <v>60000</v>
      </c>
      <c r="J5871" s="74">
        <f>IF(E5871="SERVICE",I5871-(I5871*50%),Vlookup(E5871,DATABASE!C:Q,10,false)*F5871)</f>
        <v>0</v>
      </c>
      <c r="K5871" s="74">
        <f>VLOOKUP(E5871,DATABASE!C:Q,7,false)</f>
        <v>10000</v>
      </c>
      <c r="L5871" s="74">
        <v>5000.0</v>
      </c>
      <c r="M5871" s="74">
        <f t="shared" si="2"/>
        <v>5000</v>
      </c>
      <c r="N5871" s="74">
        <f t="shared" si="3"/>
        <v>50000</v>
      </c>
      <c r="O5871" s="65" t="str">
        <f>VLOOKUP(E5871,DATABASE!C:Q,8,false)</f>
        <v>BIAN</v>
      </c>
      <c r="P5871" s="65">
        <f>VLOOKUP(E5871,DATABASE!C:Q,9,False)</f>
        <v>0</v>
      </c>
      <c r="Q5871" s="93" t="str">
        <f>VLOOKUP(E5871,DATABASE!C:Q,4,false)</f>
        <v>Balancing</v>
      </c>
      <c r="R5871" s="93" t="str">
        <f>VLOOKUP(E5871,DATABASE!C:Q,11,false)</f>
        <v>COMPLEMENTARY</v>
      </c>
    </row>
    <row r="5872" ht="22.5" customHeight="1">
      <c r="A5872" s="49"/>
      <c r="C5872" s="400">
        <v>45996.0</v>
      </c>
      <c r="D5872" s="524">
        <v>8095.0</v>
      </c>
      <c r="E5872" s="544" t="s">
        <v>256</v>
      </c>
      <c r="F5872" s="387">
        <v>1.0</v>
      </c>
      <c r="G5872" s="140">
        <v>150000.0</v>
      </c>
      <c r="H5872" s="140">
        <v>20000.0</v>
      </c>
      <c r="I5872" s="74">
        <f t="shared" si="1"/>
        <v>130000</v>
      </c>
      <c r="J5872" s="74">
        <f>IF(E5872="SERVICE",I5872-(I5872*50%),Vlookup(E5872,DATABASE!C:Q,10,false)*F5872)</f>
        <v>10000</v>
      </c>
      <c r="K5872" s="74">
        <f>VLOOKUP(E5872,DATABASE!C:Q,7,false)</f>
        <v>0</v>
      </c>
      <c r="L5872" s="74">
        <v>0.0</v>
      </c>
      <c r="M5872" s="74">
        <f t="shared" si="2"/>
        <v>0</v>
      </c>
      <c r="N5872" s="74">
        <f t="shared" si="3"/>
        <v>120000</v>
      </c>
      <c r="O5872" s="65" t="str">
        <f>VLOOKUP(E5872,DATABASE!C:Q,8,false)</f>
        <v>IBU</v>
      </c>
      <c r="P5872" s="65">
        <f>VLOOKUP(E5872,DATABASE!C:Q,9,False)</f>
        <v>0</v>
      </c>
      <c r="Q5872" s="93" t="str">
        <f>VLOOKUP(E5872,DATABASE!C:Q,4,false)</f>
        <v>SPOORING</v>
      </c>
      <c r="R5872" s="93" t="str">
        <f>VLOOKUP(E5872,DATABASE!C:Q,11,false)</f>
        <v>SERVICE</v>
      </c>
    </row>
    <row r="5873" ht="22.5" customHeight="1">
      <c r="A5873" s="49"/>
      <c r="C5873" s="400">
        <v>45996.0</v>
      </c>
      <c r="D5873" s="524">
        <v>8095.0</v>
      </c>
      <c r="E5873" s="544" t="s">
        <v>301</v>
      </c>
      <c r="F5873" s="387">
        <v>1.0</v>
      </c>
      <c r="G5873" s="140">
        <v>250000.0</v>
      </c>
      <c r="H5873" s="74"/>
      <c r="I5873" s="74">
        <f t="shared" si="1"/>
        <v>250000</v>
      </c>
      <c r="J5873" s="74">
        <f>IF(E5873="SERVICE",I5873-(I5873*50%),Vlookup(E5873,DATABASE!C:Q,10,false)*F5873)</f>
        <v>75000</v>
      </c>
      <c r="K5873" s="74">
        <f>VLOOKUP(E5873,DATABASE!C:Q,7,false)</f>
        <v>75000</v>
      </c>
      <c r="L5873" s="74">
        <v>75000.0</v>
      </c>
      <c r="M5873" s="74">
        <f t="shared" si="2"/>
        <v>75000</v>
      </c>
      <c r="N5873" s="74">
        <f t="shared" si="3"/>
        <v>100000</v>
      </c>
      <c r="O5873" s="65" t="str">
        <f>VLOOKUP(E5873,DATABASE!C:Q,8,false)</f>
        <v>BIAN</v>
      </c>
      <c r="P5873" s="65">
        <f>VLOOKUP(E5873,DATABASE!C:Q,9,False)</f>
        <v>0</v>
      </c>
      <c r="Q5873" s="93" t="str">
        <f>VLOOKUP(E5873,DATABASE!C:Q,4,false)</f>
        <v>Baut Camber</v>
      </c>
      <c r="R5873" s="93" t="str">
        <f>VLOOKUP(E5873,DATABASE!C:Q,11,false)</f>
        <v>COMPLEMENTARY</v>
      </c>
    </row>
    <row r="5874" ht="22.5" customHeight="1">
      <c r="A5874" s="49"/>
      <c r="C5874" s="400">
        <v>45996.0</v>
      </c>
      <c r="D5874" s="524">
        <v>8096.0</v>
      </c>
      <c r="E5874" s="544" t="s">
        <v>288</v>
      </c>
      <c r="F5874" s="387">
        <v>2.0</v>
      </c>
      <c r="G5874" s="140">
        <v>620000.0</v>
      </c>
      <c r="H5874" s="74"/>
      <c r="I5874" s="74">
        <f t="shared" si="1"/>
        <v>1240000</v>
      </c>
      <c r="J5874" s="74">
        <f>IF(E5874="SERVICE",I5874-(I5874*50%),Vlookup(E5874,DATABASE!C:Q,10,false)*F5874)</f>
        <v>0</v>
      </c>
      <c r="K5874" s="74">
        <f>VLOOKUP(E5874,DATABASE!C:Q,7,false)</f>
        <v>565760</v>
      </c>
      <c r="L5874" s="74">
        <v>524800.0</v>
      </c>
      <c r="M5874" s="74">
        <f t="shared" si="2"/>
        <v>525000</v>
      </c>
      <c r="N5874" s="74">
        <f t="shared" si="3"/>
        <v>190000</v>
      </c>
      <c r="O5874" s="65" t="str">
        <f>VLOOKUP(E5874,DATABASE!C:Q,8,false)</f>
        <v>BIAN</v>
      </c>
      <c r="P5874" s="65">
        <f>VLOOKUP(E5874,DATABASE!C:Q,9,False)</f>
        <v>1</v>
      </c>
      <c r="Q5874" s="93" t="str">
        <f>VLOOKUP(E5874,DATABASE!C:Q,4,false)</f>
        <v>GT</v>
      </c>
      <c r="R5874" s="93" t="str">
        <f>VLOOKUP(E5874,DATABASE!C:Q,11,false)</f>
        <v>Tire</v>
      </c>
    </row>
    <row r="5875" ht="22.5" customHeight="1">
      <c r="A5875" s="49"/>
      <c r="C5875" s="400">
        <v>45996.0</v>
      </c>
      <c r="D5875" s="524">
        <v>8097.0</v>
      </c>
      <c r="E5875" s="544" t="s">
        <v>286</v>
      </c>
      <c r="F5875" s="387">
        <v>2.0</v>
      </c>
      <c r="G5875" s="140">
        <v>560000.0</v>
      </c>
      <c r="H5875" s="140">
        <v>10000.0</v>
      </c>
      <c r="I5875" s="74">
        <f t="shared" si="1"/>
        <v>1100000</v>
      </c>
      <c r="J5875" s="74">
        <f>IF(E5875="SERVICE",I5875-(I5875*50%),Vlookup(E5875,DATABASE!C:Q,10,false)*F5875)</f>
        <v>0</v>
      </c>
      <c r="K5875" s="74">
        <f>VLOOKUP(E5875,DATABASE!C:Q,7,false)</f>
        <v>488320</v>
      </c>
      <c r="L5875" s="74">
        <v>452970.0</v>
      </c>
      <c r="M5875" s="74">
        <f t="shared" si="2"/>
        <v>455000</v>
      </c>
      <c r="N5875" s="74">
        <f t="shared" si="3"/>
        <v>190000</v>
      </c>
      <c r="O5875" s="65" t="str">
        <f>VLOOKUP(E5875,DATABASE!C:Q,8,false)</f>
        <v>BIAN</v>
      </c>
      <c r="P5875" s="65">
        <f>VLOOKUP(E5875,DATABASE!C:Q,9,False)</f>
        <v>1</v>
      </c>
      <c r="Q5875" s="93" t="str">
        <f>VLOOKUP(E5875,DATABASE!C:Q,4,false)</f>
        <v>GT</v>
      </c>
      <c r="R5875" s="93" t="str">
        <f>VLOOKUP(E5875,DATABASE!C:Q,11,false)</f>
        <v>Tire</v>
      </c>
    </row>
    <row r="5876" ht="22.5" customHeight="1">
      <c r="A5876" s="49"/>
      <c r="C5876" s="400">
        <v>45997.0</v>
      </c>
      <c r="D5876" s="524">
        <v>0.0</v>
      </c>
      <c r="E5876" s="544" t="s">
        <v>2191</v>
      </c>
      <c r="F5876" s="387">
        <v>1.0</v>
      </c>
      <c r="G5876" s="140">
        <v>400000.0</v>
      </c>
      <c r="H5876" s="74"/>
      <c r="I5876" s="74">
        <f t="shared" si="1"/>
        <v>400000</v>
      </c>
      <c r="J5876" s="74">
        <f>IF(E5876="SERVICE",I5876-(I5876*50%),Vlookup(E5876,DATABASE!C:Q,10,false)*F5876)</f>
        <v>0</v>
      </c>
      <c r="K5876" s="74">
        <f>VLOOKUP(E5876,DATABASE!C:Q,7,false)</f>
        <v>422900</v>
      </c>
      <c r="L5876" s="74">
        <v>377951.0</v>
      </c>
      <c r="M5876" s="74">
        <f t="shared" si="2"/>
        <v>380000</v>
      </c>
      <c r="N5876" s="74">
        <f t="shared" si="3"/>
        <v>20000</v>
      </c>
      <c r="O5876" s="65" t="str">
        <f>VLOOKUP(E5876,DATABASE!C:Q,8,false)</f>
        <v>NON</v>
      </c>
      <c r="P5876" s="65">
        <f>VLOOKUP(E5876,DATABASE!C:Q,9,False)</f>
        <v>0</v>
      </c>
      <c r="Q5876" s="93" t="str">
        <f>VLOOKUP(E5876,DATABASE!C:Q,4,false)</f>
        <v>Shell</v>
      </c>
      <c r="R5876" s="93" t="str">
        <f>VLOOKUP(E5876,DATABASE!C:Q,11,false)</f>
        <v>OIL</v>
      </c>
    </row>
    <row r="5877" ht="22.5" customHeight="1">
      <c r="A5877" s="49"/>
      <c r="C5877" s="400">
        <v>45997.0</v>
      </c>
      <c r="D5877" s="524">
        <v>8098.0</v>
      </c>
      <c r="E5877" s="544" t="s">
        <v>288</v>
      </c>
      <c r="F5877" s="387">
        <v>2.0</v>
      </c>
      <c r="G5877" s="140">
        <v>620000.0</v>
      </c>
      <c r="H5877" s="74"/>
      <c r="I5877" s="74">
        <f t="shared" si="1"/>
        <v>1240000</v>
      </c>
      <c r="J5877" s="74">
        <f>IF(E5877="SERVICE",I5877-(I5877*50%),Vlookup(E5877,DATABASE!C:Q,10,false)*F5877)</f>
        <v>0</v>
      </c>
      <c r="K5877" s="74">
        <f>VLOOKUP(E5877,DATABASE!C:Q,7,false)</f>
        <v>565760</v>
      </c>
      <c r="L5877" s="74">
        <v>524800.0</v>
      </c>
      <c r="M5877" s="74">
        <f t="shared" si="2"/>
        <v>525000</v>
      </c>
      <c r="N5877" s="74">
        <f t="shared" si="3"/>
        <v>190000</v>
      </c>
      <c r="O5877" s="65" t="str">
        <f>VLOOKUP(E5877,DATABASE!C:Q,8,false)</f>
        <v>BIAN</v>
      </c>
      <c r="P5877" s="65">
        <f>VLOOKUP(E5877,DATABASE!C:Q,9,False)</f>
        <v>1</v>
      </c>
      <c r="Q5877" s="93" t="str">
        <f>VLOOKUP(E5877,DATABASE!C:Q,4,false)</f>
        <v>GT</v>
      </c>
      <c r="R5877" s="93" t="str">
        <f>VLOOKUP(E5877,DATABASE!C:Q,11,false)</f>
        <v>Tire</v>
      </c>
    </row>
    <row r="5878" ht="22.5" customHeight="1">
      <c r="A5878" s="49"/>
      <c r="C5878" s="400">
        <v>45997.0</v>
      </c>
      <c r="D5878" s="524">
        <v>8099.0</v>
      </c>
      <c r="E5878" s="544" t="s">
        <v>856</v>
      </c>
      <c r="F5878" s="387">
        <v>1.0</v>
      </c>
      <c r="G5878" s="140">
        <v>675000.0</v>
      </c>
      <c r="H5878" s="140">
        <v>10000.0</v>
      </c>
      <c r="I5878" s="74">
        <f t="shared" si="1"/>
        <v>665000</v>
      </c>
      <c r="J5878" s="74">
        <f>IF(E5878="SERVICE",I5878-(I5878*50%),Vlookup(E5878,DATABASE!C:Q,10,false)*F5878)</f>
        <v>0</v>
      </c>
      <c r="K5878" s="74">
        <f>VLOOKUP(E5878,DATABASE!C:Q,7,false)</f>
        <v>615300</v>
      </c>
      <c r="L5878" s="74">
        <v>581120.0</v>
      </c>
      <c r="M5878" s="74">
        <f t="shared" si="2"/>
        <v>585000</v>
      </c>
      <c r="N5878" s="74">
        <f t="shared" si="3"/>
        <v>80000</v>
      </c>
      <c r="O5878" s="65" t="str">
        <f>VLOOKUP(E5878,DATABASE!C:Q,8,false)</f>
        <v>BIAN</v>
      </c>
      <c r="P5878" s="65">
        <f>VLOOKUP(E5878,DATABASE!C:Q,9,False)</f>
        <v>1</v>
      </c>
      <c r="Q5878" s="93" t="str">
        <f>VLOOKUP(E5878,DATABASE!C:Q,4,false)</f>
        <v>GT</v>
      </c>
      <c r="R5878" s="93" t="str">
        <f>VLOOKUP(E5878,DATABASE!C:Q,11,false)</f>
        <v>Tire</v>
      </c>
    </row>
    <row r="5879" ht="22.5" customHeight="1">
      <c r="A5879" s="49"/>
      <c r="C5879" s="400">
        <v>45997.0</v>
      </c>
      <c r="D5879" s="524">
        <v>8100.0</v>
      </c>
      <c r="E5879" s="544" t="s">
        <v>627</v>
      </c>
      <c r="F5879" s="387">
        <v>2.0</v>
      </c>
      <c r="G5879" s="140">
        <v>950000.0</v>
      </c>
      <c r="H5879" s="140">
        <v>25000.0</v>
      </c>
      <c r="I5879" s="74">
        <f t="shared" si="1"/>
        <v>1850000</v>
      </c>
      <c r="J5879" s="74">
        <f>IF(E5879="SERVICE",I5879-(I5879*50%),Vlookup(E5879,DATABASE!C:Q,10,false)*F5879)</f>
        <v>0</v>
      </c>
      <c r="K5879" s="74">
        <f>VLOOKUP(E5879,DATABASE!C:Q,7,false)</f>
        <v>879567</v>
      </c>
      <c r="L5879" s="74">
        <v>884979.0</v>
      </c>
      <c r="M5879" s="74">
        <f t="shared" si="2"/>
        <v>885000</v>
      </c>
      <c r="N5879" s="74">
        <f t="shared" si="3"/>
        <v>80000</v>
      </c>
      <c r="O5879" s="65" t="str">
        <f>VLOOKUP(E5879,DATABASE!C:Q,8,false)</f>
        <v>IBU</v>
      </c>
      <c r="P5879" s="65">
        <f>VLOOKUP(E5879,DATABASE!C:Q,9,False)</f>
        <v>1</v>
      </c>
      <c r="Q5879" s="93" t="str">
        <f>VLOOKUP(E5879,DATABASE!C:Q,4,false)</f>
        <v>Bridgestone</v>
      </c>
      <c r="R5879" s="93" t="str">
        <f>VLOOKUP(E5879,DATABASE!C:Q,11,false)</f>
        <v>Tire</v>
      </c>
    </row>
    <row r="5880" ht="22.5" customHeight="1">
      <c r="A5880" s="49"/>
      <c r="C5880" s="400">
        <v>45997.0</v>
      </c>
      <c r="D5880" s="524">
        <v>8101.0</v>
      </c>
      <c r="E5880" s="544" t="s">
        <v>856</v>
      </c>
      <c r="F5880" s="387">
        <v>1.0</v>
      </c>
      <c r="G5880" s="140">
        <v>670000.0</v>
      </c>
      <c r="H5880" s="74"/>
      <c r="I5880" s="74">
        <f t="shared" si="1"/>
        <v>670000</v>
      </c>
      <c r="J5880" s="74">
        <f>IF(E5880="SERVICE",I5880-(I5880*50%),Vlookup(E5880,DATABASE!C:Q,10,false)*F5880)</f>
        <v>0</v>
      </c>
      <c r="K5880" s="74">
        <f>VLOOKUP(E5880,DATABASE!C:Q,7,false)</f>
        <v>615300</v>
      </c>
      <c r="L5880" s="74">
        <v>581120.0</v>
      </c>
      <c r="M5880" s="74">
        <f t="shared" si="2"/>
        <v>585000</v>
      </c>
      <c r="N5880" s="74">
        <f t="shared" si="3"/>
        <v>85000</v>
      </c>
      <c r="O5880" s="65" t="str">
        <f>VLOOKUP(E5880,DATABASE!C:Q,8,false)</f>
        <v>BIAN</v>
      </c>
      <c r="P5880" s="65">
        <f>VLOOKUP(E5880,DATABASE!C:Q,9,False)</f>
        <v>1</v>
      </c>
      <c r="Q5880" s="93" t="str">
        <f>VLOOKUP(E5880,DATABASE!C:Q,4,false)</f>
        <v>GT</v>
      </c>
      <c r="R5880" s="93" t="str">
        <f>VLOOKUP(E5880,DATABASE!C:Q,11,false)</f>
        <v>Tire</v>
      </c>
    </row>
    <row r="5881" ht="22.5" customHeight="1">
      <c r="A5881" s="49"/>
      <c r="C5881" s="400">
        <v>45997.0</v>
      </c>
      <c r="D5881" s="524">
        <v>8102.0</v>
      </c>
      <c r="E5881" s="544" t="s">
        <v>932</v>
      </c>
      <c r="F5881" s="387">
        <v>2.0</v>
      </c>
      <c r="G5881" s="140">
        <v>680000.0</v>
      </c>
      <c r="H5881" s="74"/>
      <c r="I5881" s="74">
        <f t="shared" si="1"/>
        <v>1360000</v>
      </c>
      <c r="J5881" s="74">
        <f>IF(E5881="SERVICE",I5881-(I5881*50%),Vlookup(E5881,DATABASE!C:Q,10,false)*F5881)</f>
        <v>0</v>
      </c>
      <c r="K5881" s="74">
        <f>VLOOKUP(E5881,DATABASE!C:Q,7,false)</f>
        <v>601000</v>
      </c>
      <c r="L5881" s="74">
        <v>595000.0</v>
      </c>
      <c r="M5881" s="74">
        <f t="shared" si="2"/>
        <v>595000</v>
      </c>
      <c r="N5881" s="74">
        <f t="shared" si="3"/>
        <v>170000</v>
      </c>
      <c r="O5881" s="65" t="str">
        <f>VLOOKUP(E5881,DATABASE!C:Q,8,false)</f>
        <v>IBU</v>
      </c>
      <c r="P5881" s="65">
        <f>VLOOKUP(E5881,DATABASE!C:Q,9,False)</f>
        <v>1</v>
      </c>
      <c r="Q5881" s="93" t="str">
        <f>VLOOKUP(E5881,DATABASE!C:Q,4,false)</f>
        <v>Dunlop</v>
      </c>
      <c r="R5881" s="93" t="str">
        <f>VLOOKUP(E5881,DATABASE!C:Q,11,false)</f>
        <v>Tire</v>
      </c>
    </row>
    <row r="5882" ht="22.5" customHeight="1">
      <c r="A5882" s="49"/>
      <c r="C5882" s="400">
        <v>45997.0</v>
      </c>
      <c r="D5882" s="524">
        <v>8103.0</v>
      </c>
      <c r="E5882" s="544" t="s">
        <v>614</v>
      </c>
      <c r="F5882" s="387">
        <v>1.0</v>
      </c>
      <c r="G5882" s="140">
        <v>860000.0</v>
      </c>
      <c r="H5882" s="140">
        <v>40000.0</v>
      </c>
      <c r="I5882" s="74">
        <f t="shared" si="1"/>
        <v>820000</v>
      </c>
      <c r="J5882" s="74">
        <f>IF(E5882="SERVICE",I5882-(I5882*50%),Vlookup(E5882,DATABASE!C:Q,10,false)*F5882)</f>
        <v>0</v>
      </c>
      <c r="K5882" s="74">
        <f>VLOOKUP(E5882,DATABASE!C:Q,7,false)</f>
        <v>754660.6</v>
      </c>
      <c r="L5882" s="74">
        <v>720000.0</v>
      </c>
      <c r="M5882" s="74">
        <f t="shared" si="2"/>
        <v>720000</v>
      </c>
      <c r="N5882" s="74">
        <f t="shared" si="3"/>
        <v>100000</v>
      </c>
      <c r="O5882" s="65" t="str">
        <f>VLOOKUP(E5882,DATABASE!C:Q,8,false)</f>
        <v>IBU</v>
      </c>
      <c r="P5882" s="65">
        <f>VLOOKUP(E5882,DATABASE!C:Q,9,False)</f>
        <v>1</v>
      </c>
      <c r="Q5882" s="93" t="str">
        <f>VLOOKUP(E5882,DATABASE!C:Q,4,false)</f>
        <v>Bridgestone</v>
      </c>
      <c r="R5882" s="93" t="str">
        <f>VLOOKUP(E5882,DATABASE!C:Q,11,false)</f>
        <v>Tire</v>
      </c>
    </row>
    <row r="5883" ht="22.5" customHeight="1">
      <c r="A5883" s="49"/>
      <c r="C5883" s="400">
        <v>45997.0</v>
      </c>
      <c r="D5883" s="524">
        <v>8104.0</v>
      </c>
      <c r="E5883" s="544" t="s">
        <v>1133</v>
      </c>
      <c r="F5883" s="387">
        <v>1.0</v>
      </c>
      <c r="G5883" s="140">
        <v>855000.0</v>
      </c>
      <c r="H5883" s="140">
        <v>25000.0</v>
      </c>
      <c r="I5883" s="74">
        <f t="shared" si="1"/>
        <v>830000</v>
      </c>
      <c r="J5883" s="74">
        <f>IF(E5883="SERVICE",I5883-(I5883*50%),Vlookup(E5883,DATABASE!C:Q,10,false)*F5883)</f>
        <v>0</v>
      </c>
      <c r="K5883" s="74">
        <f>VLOOKUP(E5883,DATABASE!C:Q,7,false)</f>
        <v>759539.2</v>
      </c>
      <c r="L5883" s="74">
        <v>715635.0</v>
      </c>
      <c r="M5883" s="74">
        <f t="shared" si="2"/>
        <v>720000</v>
      </c>
      <c r="N5883" s="74">
        <f t="shared" si="3"/>
        <v>110000</v>
      </c>
      <c r="O5883" s="65" t="str">
        <f>VLOOKUP(E5883,DATABASE!C:Q,8,false)</f>
        <v>IBU</v>
      </c>
      <c r="P5883" s="65">
        <f>VLOOKUP(E5883,DATABASE!C:Q,9,False)</f>
        <v>1</v>
      </c>
      <c r="Q5883" s="93" t="str">
        <f>VLOOKUP(E5883,DATABASE!C:Q,4,false)</f>
        <v>Bridgestone</v>
      </c>
      <c r="R5883" s="93" t="str">
        <f>VLOOKUP(E5883,DATABASE!C:Q,11,false)</f>
        <v>Tire</v>
      </c>
    </row>
    <row r="5884" ht="22.5" customHeight="1">
      <c r="A5884" s="49"/>
      <c r="C5884" s="400">
        <v>45997.0</v>
      </c>
      <c r="D5884" s="524">
        <v>8107.0</v>
      </c>
      <c r="E5884" s="544" t="s">
        <v>288</v>
      </c>
      <c r="F5884" s="387">
        <v>2.0</v>
      </c>
      <c r="G5884" s="140">
        <v>620000.0</v>
      </c>
      <c r="H5884" s="74"/>
      <c r="I5884" s="74">
        <f t="shared" si="1"/>
        <v>1240000</v>
      </c>
      <c r="J5884" s="74">
        <f>IF(E5884="SERVICE",I5884-(I5884*50%),Vlookup(E5884,DATABASE!C:Q,10,false)*F5884)</f>
        <v>0</v>
      </c>
      <c r="K5884" s="74">
        <f>VLOOKUP(E5884,DATABASE!C:Q,7,false)</f>
        <v>565760</v>
      </c>
      <c r="L5884" s="74">
        <v>524800.0</v>
      </c>
      <c r="M5884" s="74">
        <f t="shared" si="2"/>
        <v>525000</v>
      </c>
      <c r="N5884" s="74">
        <f t="shared" si="3"/>
        <v>190000</v>
      </c>
      <c r="O5884" s="65" t="str">
        <f>VLOOKUP(E5884,DATABASE!C:Q,8,false)</f>
        <v>BIAN</v>
      </c>
      <c r="P5884" s="65">
        <f>VLOOKUP(E5884,DATABASE!C:Q,9,False)</f>
        <v>1</v>
      </c>
      <c r="Q5884" s="93" t="str">
        <f>VLOOKUP(E5884,DATABASE!C:Q,4,false)</f>
        <v>GT</v>
      </c>
      <c r="R5884" s="93" t="str">
        <f>VLOOKUP(E5884,DATABASE!C:Q,11,false)</f>
        <v>Tire</v>
      </c>
    </row>
    <row r="5885" ht="22.5" customHeight="1">
      <c r="A5885" s="49"/>
      <c r="C5885" s="400">
        <v>45997.0</v>
      </c>
      <c r="D5885" s="524">
        <v>8107.0</v>
      </c>
      <c r="E5885" s="544" t="s">
        <v>262</v>
      </c>
      <c r="F5885" s="387">
        <v>1.0</v>
      </c>
      <c r="G5885" s="140">
        <v>110000.0</v>
      </c>
      <c r="H5885" s="74"/>
      <c r="I5885" s="74">
        <f t="shared" si="1"/>
        <v>110000</v>
      </c>
      <c r="J5885" s="74">
        <f>IF(E5885="SERVICE",I5885-(I5885*50%),Vlookup(E5885,DATABASE!C:Q,10,false)*F5885)</f>
        <v>5000</v>
      </c>
      <c r="K5885" s="74">
        <f>VLOOKUP(E5885,DATABASE!C:Q,7,false)</f>
        <v>0</v>
      </c>
      <c r="L5885" s="74">
        <v>0.0</v>
      </c>
      <c r="M5885" s="74">
        <f t="shared" si="2"/>
        <v>0</v>
      </c>
      <c r="N5885" s="74">
        <f t="shared" si="3"/>
        <v>105000</v>
      </c>
      <c r="O5885" s="65" t="str">
        <f>VLOOKUP(E5885,DATABASE!C:Q,8,false)</f>
        <v>IBU</v>
      </c>
      <c r="P5885" s="65">
        <f>VLOOKUP(E5885,DATABASE!C:Q,9,False)</f>
        <v>0</v>
      </c>
      <c r="Q5885" s="93" t="str">
        <f>VLOOKUP(E5885,DATABASE!C:Q,4,false)</f>
        <v>SPOORING SS/CARRY LOS BAK</v>
      </c>
      <c r="R5885" s="93" t="str">
        <f>VLOOKUP(E5885,DATABASE!C:Q,11,false)</f>
        <v>SERVICE</v>
      </c>
    </row>
    <row r="5886" ht="22.5" customHeight="1">
      <c r="A5886" s="49"/>
      <c r="C5886" s="400">
        <v>45997.0</v>
      </c>
      <c r="D5886" s="524">
        <v>8107.0</v>
      </c>
      <c r="E5886" s="544" t="s">
        <v>2652</v>
      </c>
      <c r="F5886" s="387">
        <v>1.0</v>
      </c>
      <c r="G5886" s="140">
        <v>300000.0</v>
      </c>
      <c r="H5886" s="74"/>
      <c r="I5886" s="74">
        <f t="shared" si="1"/>
        <v>300000</v>
      </c>
      <c r="J5886" s="74">
        <f>IF(E5886="SERVICE",I5886-(I5886*50%),Vlookup(E5886,DATABASE!C:Q,10,false)*F5886)</f>
        <v>75000</v>
      </c>
      <c r="K5886" s="74">
        <f>VLOOKUP(E5886,DATABASE!C:Q,7,false)</f>
        <v>150000</v>
      </c>
      <c r="L5886" s="74">
        <v>150000.0</v>
      </c>
      <c r="M5886" s="74">
        <f t="shared" si="2"/>
        <v>150000</v>
      </c>
      <c r="N5886" s="74">
        <f t="shared" si="3"/>
        <v>75000</v>
      </c>
      <c r="O5886" s="65" t="str">
        <f>VLOOKUP(E5886,DATABASE!C:Q,8,false)</f>
        <v>BIAN</v>
      </c>
      <c r="P5886" s="65">
        <f>VLOOKUP(E5886,DATABASE!C:Q,9,False)</f>
        <v>0</v>
      </c>
      <c r="Q5886" s="93" t="str">
        <f>VLOOKUP(E5886,DATABASE!C:Q,4,false)</f>
        <v>Karet Support + Pasang</v>
      </c>
      <c r="R5886" s="93" t="str">
        <f>VLOOKUP(E5886,DATABASE!C:Q,11,false)</f>
        <v>COMPLEMENTARY</v>
      </c>
    </row>
    <row r="5887" ht="22.5" customHeight="1">
      <c r="A5887" s="49"/>
      <c r="C5887" s="400">
        <v>45997.0</v>
      </c>
      <c r="D5887" s="524">
        <v>8107.0</v>
      </c>
      <c r="E5887" s="544" t="s">
        <v>478</v>
      </c>
      <c r="F5887" s="387">
        <v>1.0</v>
      </c>
      <c r="G5887" s="140">
        <v>200000.0</v>
      </c>
      <c r="H5887" s="74"/>
      <c r="I5887" s="74">
        <f t="shared" si="1"/>
        <v>200000</v>
      </c>
      <c r="J5887" s="74">
        <f>IF(E5887="SERVICE",I5887-(I5887*50%),Vlookup(E5887,DATABASE!C:Q,10,false)*F5887)</f>
        <v>25000</v>
      </c>
      <c r="K5887" s="74">
        <f>VLOOKUP(E5887,DATABASE!C:Q,7,false)</f>
        <v>75000</v>
      </c>
      <c r="L5887" s="74">
        <v>75000.0</v>
      </c>
      <c r="M5887" s="74">
        <f t="shared" si="2"/>
        <v>75000</v>
      </c>
      <c r="N5887" s="74">
        <f t="shared" si="3"/>
        <v>100000</v>
      </c>
      <c r="O5887" s="65" t="str">
        <f>VLOOKUP(E5887,DATABASE!C:Q,8,false)</f>
        <v>BIAN</v>
      </c>
      <c r="P5887" s="65">
        <f>VLOOKUP(E5887,DATABASE!C:Q,9,False)</f>
        <v>0</v>
      </c>
      <c r="Q5887" s="93" t="str">
        <f>VLOOKUP(E5887,DATABASE!C:Q,4,false)</f>
        <v>Baut Camber ss-carry</v>
      </c>
      <c r="R5887" s="93" t="str">
        <f>VLOOKUP(E5887,DATABASE!C:Q,11,false)</f>
        <v>COMPLEMENTARY</v>
      </c>
    </row>
    <row r="5888" ht="22.5" customHeight="1">
      <c r="A5888" s="49"/>
      <c r="C5888" s="400">
        <v>45997.0</v>
      </c>
      <c r="D5888" s="524">
        <v>8108.0</v>
      </c>
      <c r="E5888" s="544" t="s">
        <v>839</v>
      </c>
      <c r="F5888" s="387">
        <v>1.0</v>
      </c>
      <c r="G5888" s="140">
        <v>565000.0</v>
      </c>
      <c r="H5888" s="74"/>
      <c r="I5888" s="74">
        <f t="shared" si="1"/>
        <v>565000</v>
      </c>
      <c r="J5888" s="74">
        <f>IF(E5888="SERVICE",I5888-(I5888*50%),Vlookup(E5888,DATABASE!C:Q,10,false)*F5888)</f>
        <v>0</v>
      </c>
      <c r="K5888" s="74">
        <f>VLOOKUP(E5888,DATABASE!C:Q,7,false)</f>
        <v>512640</v>
      </c>
      <c r="L5888" s="74">
        <v>475700.0</v>
      </c>
      <c r="M5888" s="74">
        <f t="shared" si="2"/>
        <v>480000</v>
      </c>
      <c r="N5888" s="74">
        <f t="shared" si="3"/>
        <v>85000</v>
      </c>
      <c r="O5888" s="65" t="str">
        <f>VLOOKUP(E5888,DATABASE!C:Q,8,false)</f>
        <v>BIAN</v>
      </c>
      <c r="P5888" s="65">
        <f>VLOOKUP(E5888,DATABASE!C:Q,9,False)</f>
        <v>1</v>
      </c>
      <c r="Q5888" s="93" t="str">
        <f>VLOOKUP(E5888,DATABASE!C:Q,4,false)</f>
        <v>GT</v>
      </c>
      <c r="R5888" s="93" t="str">
        <f>VLOOKUP(E5888,DATABASE!C:Q,11,false)</f>
        <v>Tire</v>
      </c>
    </row>
    <row r="5889" ht="22.5" customHeight="1">
      <c r="A5889" s="49"/>
      <c r="C5889" s="400">
        <v>45997.0</v>
      </c>
      <c r="D5889" s="524">
        <v>8110.0</v>
      </c>
      <c r="E5889" s="544" t="s">
        <v>781</v>
      </c>
      <c r="F5889" s="387">
        <v>1.0</v>
      </c>
      <c r="G5889" s="140">
        <v>530000.0</v>
      </c>
      <c r="H5889" s="140">
        <v>10000.0</v>
      </c>
      <c r="I5889" s="74">
        <f t="shared" si="1"/>
        <v>520000</v>
      </c>
      <c r="J5889" s="74">
        <f>IF(E5889="SERVICE",I5889-(I5889*50%),Vlookup(E5889,DATABASE!C:Q,10,false)*F5889)</f>
        <v>0</v>
      </c>
      <c r="K5889" s="74">
        <f>VLOOKUP(E5889,DATABASE!C:Q,7,false)</f>
        <v>470000</v>
      </c>
      <c r="L5889" s="74">
        <v>442500.0</v>
      </c>
      <c r="M5889" s="74">
        <f t="shared" si="2"/>
        <v>445000</v>
      </c>
      <c r="N5889" s="74">
        <f t="shared" si="3"/>
        <v>75000</v>
      </c>
      <c r="O5889" s="65" t="str">
        <f>VLOOKUP(E5889,DATABASE!C:Q,8,false)</f>
        <v>BIAN</v>
      </c>
      <c r="P5889" s="65">
        <f>VLOOKUP(E5889,DATABASE!C:Q,9,False)</f>
        <v>1</v>
      </c>
      <c r="Q5889" s="93" t="str">
        <f>VLOOKUP(E5889,DATABASE!C:Q,4,false)</f>
        <v>GT</v>
      </c>
      <c r="R5889" s="93" t="str">
        <f>VLOOKUP(E5889,DATABASE!C:Q,11,false)</f>
        <v>Tire</v>
      </c>
    </row>
    <row r="5890" ht="22.5" customHeight="1">
      <c r="A5890" s="49"/>
      <c r="C5890" s="400">
        <v>45997.0</v>
      </c>
      <c r="D5890" s="524">
        <v>8111.0</v>
      </c>
      <c r="E5890" s="544" t="s">
        <v>566</v>
      </c>
      <c r="F5890" s="387">
        <v>1.0</v>
      </c>
      <c r="G5890" s="140">
        <v>1710000.0</v>
      </c>
      <c r="H5890" s="140">
        <v>40000.0</v>
      </c>
      <c r="I5890" s="74">
        <f t="shared" si="1"/>
        <v>1670000</v>
      </c>
      <c r="J5890" s="74">
        <f>IF(E5890="SERVICE",I5890-(I5890*50%),Vlookup(E5890,DATABASE!C:Q,10,false)*F5890)</f>
        <v>0</v>
      </c>
      <c r="K5890" s="74">
        <f>VLOOKUP(E5890,DATABASE!C:Q,7,false)</f>
        <v>1565000</v>
      </c>
      <c r="L5890" s="74">
        <v>1545000.0</v>
      </c>
      <c r="M5890" s="74">
        <f t="shared" si="2"/>
        <v>1545000</v>
      </c>
      <c r="N5890" s="74">
        <f t="shared" si="3"/>
        <v>125000</v>
      </c>
      <c r="O5890" s="65" t="str">
        <f>VLOOKUP(E5890,DATABASE!C:Q,8,false)</f>
        <v>IBU</v>
      </c>
      <c r="P5890" s="65">
        <f>VLOOKUP(E5890,DATABASE!C:Q,9,False)</f>
        <v>1</v>
      </c>
      <c r="Q5890" s="93" t="str">
        <f>VLOOKUP(E5890,DATABASE!C:Q,4,false)</f>
        <v>Bridgestone</v>
      </c>
      <c r="R5890" s="93" t="str">
        <f>VLOOKUP(E5890,DATABASE!C:Q,11,false)</f>
        <v>Tire</v>
      </c>
    </row>
    <row r="5891" ht="22.5" customHeight="1">
      <c r="A5891" s="49"/>
      <c r="C5891" s="400">
        <v>45997.0</v>
      </c>
      <c r="D5891" s="524">
        <v>8112.0</v>
      </c>
      <c r="E5891" s="544" t="s">
        <v>256</v>
      </c>
      <c r="F5891" s="387">
        <v>1.0</v>
      </c>
      <c r="G5891" s="140">
        <v>150000.0</v>
      </c>
      <c r="H5891" s="140">
        <v>20000.0</v>
      </c>
      <c r="I5891" s="74">
        <f t="shared" si="1"/>
        <v>130000</v>
      </c>
      <c r="J5891" s="74">
        <f>IF(E5891="SERVICE",I5891-(I5891*50%),Vlookup(E5891,DATABASE!C:Q,10,false)*F5891)</f>
        <v>10000</v>
      </c>
      <c r="K5891" s="74">
        <f>VLOOKUP(E5891,DATABASE!C:Q,7,false)</f>
        <v>0</v>
      </c>
      <c r="L5891" s="74">
        <v>0.0</v>
      </c>
      <c r="M5891" s="74">
        <f t="shared" si="2"/>
        <v>0</v>
      </c>
      <c r="N5891" s="74">
        <f t="shared" si="3"/>
        <v>120000</v>
      </c>
      <c r="O5891" s="65" t="str">
        <f>VLOOKUP(E5891,DATABASE!C:Q,8,false)</f>
        <v>IBU</v>
      </c>
      <c r="P5891" s="65">
        <f>VLOOKUP(E5891,DATABASE!C:Q,9,False)</f>
        <v>0</v>
      </c>
      <c r="Q5891" s="93" t="str">
        <f>VLOOKUP(E5891,DATABASE!C:Q,4,false)</f>
        <v>SPOORING</v>
      </c>
      <c r="R5891" s="93" t="str">
        <f>VLOOKUP(E5891,DATABASE!C:Q,11,false)</f>
        <v>SERVICE</v>
      </c>
    </row>
    <row r="5892" ht="22.5" customHeight="1">
      <c r="A5892" s="49"/>
      <c r="C5892" s="400">
        <v>45997.0</v>
      </c>
      <c r="D5892" s="524">
        <v>8112.0</v>
      </c>
      <c r="E5892" s="544" t="s">
        <v>251</v>
      </c>
      <c r="F5892" s="387">
        <v>1.0</v>
      </c>
      <c r="G5892" s="140">
        <v>350000.0</v>
      </c>
      <c r="H5892" s="140">
        <v>200000.0</v>
      </c>
      <c r="I5892" s="74">
        <f t="shared" si="1"/>
        <v>150000</v>
      </c>
      <c r="J5892" s="74">
        <f>IF(E5892="SERVICE",I5892-(I5892*50%),Vlookup(E5892,DATABASE!C:Q,10,false)*F5892)</f>
        <v>75000</v>
      </c>
      <c r="K5892" s="74">
        <f>VLOOKUP(E5892,DATABASE!C:Q,7,false)</f>
        <v>0</v>
      </c>
      <c r="L5892" s="74">
        <v>0.0</v>
      </c>
      <c r="M5892" s="74">
        <f t="shared" si="2"/>
        <v>0</v>
      </c>
      <c r="N5892" s="74">
        <f t="shared" si="3"/>
        <v>75000</v>
      </c>
      <c r="O5892" s="65" t="str">
        <f>VLOOKUP(E5892,DATABASE!C:Q,8,false)</f>
        <v>IBU</v>
      </c>
      <c r="P5892" s="65">
        <f>VLOOKUP(E5892,DATABASE!C:Q,9,False)</f>
        <v>0</v>
      </c>
      <c r="Q5892" s="93" t="str">
        <f>VLOOKUP(E5892,DATABASE!C:Q,4,false)</f>
        <v>SERVICE</v>
      </c>
      <c r="R5892" s="93" t="str">
        <f>VLOOKUP(E5892,DATABASE!C:Q,11,false)</f>
        <v>SERVICE</v>
      </c>
    </row>
    <row r="5893" ht="22.5" customHeight="1">
      <c r="A5893" s="49"/>
      <c r="C5893" s="400">
        <v>45997.0</v>
      </c>
      <c r="D5893" s="524">
        <v>8114.0</v>
      </c>
      <c r="E5893" s="544" t="s">
        <v>268</v>
      </c>
      <c r="F5893" s="387">
        <v>2.0</v>
      </c>
      <c r="G5893" s="140">
        <v>710000.0</v>
      </c>
      <c r="H5893" s="74"/>
      <c r="I5893" s="74">
        <f t="shared" si="1"/>
        <v>1420000</v>
      </c>
      <c r="J5893" s="74">
        <f>IF(E5893="SERVICE",I5893-(I5893*50%),Vlookup(E5893,DATABASE!C:Q,10,false)*F5893)</f>
        <v>0</v>
      </c>
      <c r="K5893" s="74">
        <f>VLOOKUP(E5893,DATABASE!C:Q,7,false)</f>
        <v>653000</v>
      </c>
      <c r="L5893" s="74">
        <v>622000.0</v>
      </c>
      <c r="M5893" s="74">
        <f t="shared" si="2"/>
        <v>625000</v>
      </c>
      <c r="N5893" s="74">
        <f t="shared" si="3"/>
        <v>170000</v>
      </c>
      <c r="O5893" s="65" t="str">
        <f>VLOOKUP(E5893,DATABASE!C:Q,8,false)</f>
        <v>IBU</v>
      </c>
      <c r="P5893" s="65">
        <f>VLOOKUP(E5893,DATABASE!C:Q,9,False)</f>
        <v>1</v>
      </c>
      <c r="Q5893" s="93" t="str">
        <f>VLOOKUP(E5893,DATABASE!C:Q,4,false)</f>
        <v>Dunlop</v>
      </c>
      <c r="R5893" s="93" t="str">
        <f>VLOOKUP(E5893,DATABASE!C:Q,11,false)</f>
        <v>Tire</v>
      </c>
    </row>
    <row r="5894" ht="22.5" customHeight="1">
      <c r="A5894" s="49"/>
      <c r="C5894" s="400">
        <v>45997.0</v>
      </c>
      <c r="D5894" s="524">
        <v>8115.0</v>
      </c>
      <c r="E5894" s="544" t="s">
        <v>268</v>
      </c>
      <c r="F5894" s="387">
        <v>2.0</v>
      </c>
      <c r="G5894" s="140">
        <v>710000.0</v>
      </c>
      <c r="H5894" s="74"/>
      <c r="I5894" s="74">
        <f t="shared" si="1"/>
        <v>1420000</v>
      </c>
      <c r="J5894" s="74">
        <f>IF(E5894="SERVICE",I5894-(I5894*50%),Vlookup(E5894,DATABASE!C:Q,10,false)*F5894)</f>
        <v>0</v>
      </c>
      <c r="K5894" s="74">
        <f>VLOOKUP(E5894,DATABASE!C:Q,7,false)</f>
        <v>653000</v>
      </c>
      <c r="L5894" s="74">
        <v>622000.0</v>
      </c>
      <c r="M5894" s="74">
        <f t="shared" si="2"/>
        <v>625000</v>
      </c>
      <c r="N5894" s="74">
        <f t="shared" si="3"/>
        <v>170000</v>
      </c>
      <c r="O5894" s="65" t="str">
        <f>VLOOKUP(E5894,DATABASE!C:Q,8,false)</f>
        <v>IBU</v>
      </c>
      <c r="P5894" s="65">
        <f>VLOOKUP(E5894,DATABASE!C:Q,9,False)</f>
        <v>1</v>
      </c>
      <c r="Q5894" s="93" t="str">
        <f>VLOOKUP(E5894,DATABASE!C:Q,4,false)</f>
        <v>Dunlop</v>
      </c>
      <c r="R5894" s="93" t="str">
        <f>VLOOKUP(E5894,DATABASE!C:Q,11,false)</f>
        <v>Tire</v>
      </c>
    </row>
    <row r="5895" ht="22.5" customHeight="1">
      <c r="A5895" s="49"/>
      <c r="C5895" s="400">
        <v>45997.0</v>
      </c>
      <c r="D5895" s="69">
        <v>8117.0</v>
      </c>
      <c r="E5895" s="544" t="s">
        <v>265</v>
      </c>
      <c r="F5895" s="387">
        <v>1.0</v>
      </c>
      <c r="G5895" s="140">
        <v>685000.0</v>
      </c>
      <c r="H5895" s="74"/>
      <c r="I5895" s="74">
        <f t="shared" si="1"/>
        <v>685000</v>
      </c>
      <c r="J5895" s="74">
        <f>IF(E5895="SERVICE",I5895-(I5895*50%),Vlookup(E5895,DATABASE!C:Q,10,false)*F5895)</f>
        <v>0</v>
      </c>
      <c r="K5895" s="74">
        <f>VLOOKUP(E5895,DATABASE!C:Q,7,false)</f>
        <v>628000</v>
      </c>
      <c r="L5895" s="74">
        <v>600000.0</v>
      </c>
      <c r="M5895" s="74">
        <f t="shared" si="2"/>
        <v>600000</v>
      </c>
      <c r="N5895" s="74">
        <f t="shared" si="3"/>
        <v>85000</v>
      </c>
      <c r="O5895" s="65" t="str">
        <f>VLOOKUP(E5895,DATABASE!C:Q,8,false)</f>
        <v>IBU</v>
      </c>
      <c r="P5895" s="65">
        <f>VLOOKUP(E5895,DATABASE!C:Q,9,False)</f>
        <v>1</v>
      </c>
      <c r="Q5895" s="93" t="str">
        <f>VLOOKUP(E5895,DATABASE!C:Q,4,false)</f>
        <v>Dunlop</v>
      </c>
      <c r="R5895" s="93" t="str">
        <f>VLOOKUP(E5895,DATABASE!C:Q,11,false)</f>
        <v>Tire</v>
      </c>
    </row>
    <row r="5896" ht="22.5" customHeight="1">
      <c r="A5896" s="49"/>
      <c r="C5896" s="400">
        <v>45997.0</v>
      </c>
      <c r="D5896" s="524">
        <v>8118.0</v>
      </c>
      <c r="E5896" s="544" t="s">
        <v>262</v>
      </c>
      <c r="F5896" s="387">
        <v>1.0</v>
      </c>
      <c r="G5896" s="140">
        <v>110000.0</v>
      </c>
      <c r="H5896" s="74"/>
      <c r="I5896" s="74">
        <f t="shared" si="1"/>
        <v>110000</v>
      </c>
      <c r="J5896" s="74">
        <f>IF(E5896="SERVICE",I5896-(I5896*50%),Vlookup(E5896,DATABASE!C:Q,10,false)*F5896)</f>
        <v>5000</v>
      </c>
      <c r="K5896" s="74">
        <f>VLOOKUP(E5896,DATABASE!C:Q,7,false)</f>
        <v>0</v>
      </c>
      <c r="L5896" s="74">
        <v>0.0</v>
      </c>
      <c r="M5896" s="74">
        <f t="shared" si="2"/>
        <v>0</v>
      </c>
      <c r="N5896" s="74">
        <f t="shared" si="3"/>
        <v>105000</v>
      </c>
      <c r="O5896" s="65" t="str">
        <f>VLOOKUP(E5896,DATABASE!C:Q,8,false)</f>
        <v>IBU</v>
      </c>
      <c r="P5896" s="65">
        <f>VLOOKUP(E5896,DATABASE!C:Q,9,False)</f>
        <v>0</v>
      </c>
      <c r="Q5896" s="93" t="str">
        <f>VLOOKUP(E5896,DATABASE!C:Q,4,false)</f>
        <v>SPOORING SS/CARRY LOS BAK</v>
      </c>
      <c r="R5896" s="93" t="str">
        <f>VLOOKUP(E5896,DATABASE!C:Q,11,false)</f>
        <v>SERVICE</v>
      </c>
    </row>
    <row r="5897" ht="22.5" customHeight="1">
      <c r="A5897" s="49"/>
      <c r="C5897" s="400">
        <v>45997.0</v>
      </c>
      <c r="D5897" s="524">
        <v>8118.0</v>
      </c>
      <c r="E5897" s="544" t="s">
        <v>251</v>
      </c>
      <c r="F5897" s="387">
        <v>1.0</v>
      </c>
      <c r="G5897" s="140">
        <v>350000.0</v>
      </c>
      <c r="H5897" s="140">
        <v>230000.0</v>
      </c>
      <c r="I5897" s="74">
        <f t="shared" si="1"/>
        <v>120000</v>
      </c>
      <c r="J5897" s="74">
        <f>IF(E5897="SERVICE",I5897-(I5897*50%),Vlookup(E5897,DATABASE!C:Q,10,false)*F5897)</f>
        <v>60000</v>
      </c>
      <c r="K5897" s="74">
        <f>VLOOKUP(E5897,DATABASE!C:Q,7,false)</f>
        <v>0</v>
      </c>
      <c r="L5897" s="74">
        <v>0.0</v>
      </c>
      <c r="M5897" s="74">
        <f t="shared" si="2"/>
        <v>0</v>
      </c>
      <c r="N5897" s="74">
        <f t="shared" si="3"/>
        <v>60000</v>
      </c>
      <c r="O5897" s="65" t="str">
        <f>VLOOKUP(E5897,DATABASE!C:Q,8,false)</f>
        <v>IBU</v>
      </c>
      <c r="P5897" s="65">
        <f>VLOOKUP(E5897,DATABASE!C:Q,9,False)</f>
        <v>0</v>
      </c>
      <c r="Q5897" s="93" t="str">
        <f>VLOOKUP(E5897,DATABASE!C:Q,4,false)</f>
        <v>SERVICE</v>
      </c>
      <c r="R5897" s="93" t="str">
        <f>VLOOKUP(E5897,DATABASE!C:Q,11,false)</f>
        <v>SERVICE</v>
      </c>
    </row>
    <row r="5898" ht="22.5" customHeight="1">
      <c r="A5898" s="49"/>
      <c r="C5898" s="400">
        <v>45997.0</v>
      </c>
      <c r="D5898" s="524">
        <v>8813.0</v>
      </c>
      <c r="E5898" s="544" t="s">
        <v>1862</v>
      </c>
      <c r="F5898" s="387">
        <v>4.0</v>
      </c>
      <c r="G5898" s="140">
        <v>2200000.0</v>
      </c>
      <c r="H5898" s="140">
        <v>50000.0</v>
      </c>
      <c r="I5898" s="74">
        <f t="shared" si="1"/>
        <v>8600000</v>
      </c>
      <c r="J5898" s="74">
        <f>IF(E5898="SERVICE",I5898-(I5898*50%),Vlookup(E5898,DATABASE!C:Q,10,false)*F5898)</f>
        <v>0</v>
      </c>
      <c r="K5898" s="74">
        <f>VLOOKUP(E5898,DATABASE!C:Q,7,false)</f>
        <v>2080000</v>
      </c>
      <c r="L5898" s="74">
        <v>2050000.0</v>
      </c>
      <c r="M5898" s="74">
        <f t="shared" si="2"/>
        <v>2050000</v>
      </c>
      <c r="N5898" s="74">
        <f t="shared" si="3"/>
        <v>400000</v>
      </c>
      <c r="O5898" s="65" t="str">
        <f>VLOOKUP(E5898,DATABASE!C:Q,8,false)</f>
        <v>BIAN</v>
      </c>
      <c r="P5898" s="65">
        <f>VLOOKUP(E5898,DATABASE!C:Q,9,False)</f>
        <v>1</v>
      </c>
      <c r="Q5898" s="93" t="str">
        <f>VLOOKUP(E5898,DATABASE!C:Q,4,false)</f>
        <v>GiTi</v>
      </c>
      <c r="R5898" s="93" t="str">
        <f>VLOOKUP(E5898,DATABASE!C:Q,11,false)</f>
        <v>Tire</v>
      </c>
    </row>
    <row r="5899" ht="22.5" customHeight="1">
      <c r="A5899" s="49"/>
      <c r="C5899" s="400">
        <v>45998.0</v>
      </c>
      <c r="D5899" s="524">
        <v>8119.0</v>
      </c>
      <c r="E5899" s="544" t="s">
        <v>572</v>
      </c>
      <c r="F5899" s="387">
        <v>2.0</v>
      </c>
      <c r="G5899" s="140">
        <v>1400000.0</v>
      </c>
      <c r="H5899" s="74"/>
      <c r="I5899" s="74">
        <f t="shared" si="1"/>
        <v>2800000</v>
      </c>
      <c r="J5899" s="74">
        <f>IF(E5899="SERVICE",I5899-(I5899*50%),Vlookup(E5899,DATABASE!C:Q,10,false)*F5899)</f>
        <v>0</v>
      </c>
      <c r="K5899" s="74">
        <f>VLOOKUP(E5899,DATABASE!C:Q,7,false)</f>
        <v>1265000</v>
      </c>
      <c r="L5899" s="74">
        <v>1245000.0</v>
      </c>
      <c r="M5899" s="74">
        <f t="shared" si="2"/>
        <v>1245000</v>
      </c>
      <c r="N5899" s="74">
        <f t="shared" si="3"/>
        <v>310000</v>
      </c>
      <c r="O5899" s="65" t="str">
        <f>VLOOKUP(E5899,DATABASE!C:Q,8,false)</f>
        <v>IBU</v>
      </c>
      <c r="P5899" s="65">
        <f>VLOOKUP(E5899,DATABASE!C:Q,9,False)</f>
        <v>1</v>
      </c>
      <c r="Q5899" s="93" t="str">
        <f>VLOOKUP(E5899,DATABASE!C:Q,4,false)</f>
        <v>Bridgestone</v>
      </c>
      <c r="R5899" s="93" t="str">
        <f>VLOOKUP(E5899,DATABASE!C:Q,11,false)</f>
        <v>Tire</v>
      </c>
    </row>
    <row r="5900" ht="22.5" customHeight="1">
      <c r="A5900" s="49"/>
      <c r="C5900" s="400">
        <v>45998.0</v>
      </c>
      <c r="D5900" s="524">
        <v>8119.0</v>
      </c>
      <c r="E5900" s="544" t="s">
        <v>652</v>
      </c>
      <c r="F5900" s="387">
        <v>2.0</v>
      </c>
      <c r="G5900" s="140">
        <v>270000.0</v>
      </c>
      <c r="H5900" s="74"/>
      <c r="I5900" s="74">
        <f t="shared" si="1"/>
        <v>540000</v>
      </c>
      <c r="J5900" s="74">
        <f>IF(E5900="SERVICE",I5900-(I5900*50%),Vlookup(E5900,DATABASE!C:Q,10,false)*F5900)</f>
        <v>0</v>
      </c>
      <c r="K5900" s="74">
        <f>VLOOKUP(E5900,DATABASE!C:Q,7,false)</f>
        <v>231268</v>
      </c>
      <c r="L5900" s="74">
        <v>227850.0</v>
      </c>
      <c r="M5900" s="74">
        <f t="shared" si="2"/>
        <v>230000</v>
      </c>
      <c r="N5900" s="74">
        <f t="shared" si="3"/>
        <v>80000</v>
      </c>
      <c r="O5900" s="65" t="str">
        <f>VLOOKUP(E5900,DATABASE!C:Q,8,false)</f>
        <v>IBU</v>
      </c>
      <c r="P5900" s="65">
        <f>VLOOKUP(E5900,DATABASE!C:Q,9,False)</f>
        <v>1</v>
      </c>
      <c r="Q5900" s="93" t="str">
        <f>VLOOKUP(E5900,DATABASE!C:Q,4,false)</f>
        <v>BD</v>
      </c>
      <c r="R5900" s="93" t="str">
        <f>VLOOKUP(E5900,DATABASE!C:Q,11,false)</f>
        <v>Tire</v>
      </c>
    </row>
    <row r="5901" ht="22.5" customHeight="1">
      <c r="A5901" s="49"/>
      <c r="C5901" s="400">
        <v>45998.0</v>
      </c>
      <c r="D5901" s="524">
        <v>8119.0</v>
      </c>
      <c r="E5901" s="544" t="s">
        <v>814</v>
      </c>
      <c r="F5901" s="387">
        <v>2.0</v>
      </c>
      <c r="G5901" s="140">
        <v>65000.0</v>
      </c>
      <c r="H5901" s="74"/>
      <c r="I5901" s="74">
        <f t="shared" si="1"/>
        <v>130000</v>
      </c>
      <c r="J5901" s="74">
        <f>IF(E5901="SERVICE",I5901-(I5901*50%),Vlookup(E5901,DATABASE!C:Q,10,false)*F5901)</f>
        <v>0</v>
      </c>
      <c r="K5901" s="74">
        <f>VLOOKUP(E5901,DATABASE!C:Q,7,false)</f>
        <v>39440</v>
      </c>
      <c r="L5901" s="74">
        <v>39440.0</v>
      </c>
      <c r="M5901" s="74">
        <f t="shared" si="2"/>
        <v>40000</v>
      </c>
      <c r="N5901" s="74">
        <f t="shared" si="3"/>
        <v>50000</v>
      </c>
      <c r="O5901" s="65" t="str">
        <f>VLOOKUP(E5901,DATABASE!C:Q,8,false)</f>
        <v>BIAN</v>
      </c>
      <c r="P5901" s="65">
        <f>VLOOKUP(E5901,DATABASE!C:Q,9,False)</f>
        <v>1</v>
      </c>
      <c r="Q5901" s="93" t="str">
        <f>VLOOKUP(E5901,DATABASE!C:Q,4,false)</f>
        <v>Flap</v>
      </c>
      <c r="R5901" s="93" t="str">
        <f>VLOOKUP(E5901,DATABASE!C:Q,11,false)</f>
        <v>Tire</v>
      </c>
    </row>
    <row r="5902" ht="22.5" customHeight="1">
      <c r="A5902" s="49"/>
      <c r="C5902" s="400">
        <v>45998.0</v>
      </c>
      <c r="D5902" s="524">
        <v>8120.0</v>
      </c>
      <c r="E5902" s="544" t="s">
        <v>256</v>
      </c>
      <c r="F5902" s="387">
        <v>1.0</v>
      </c>
      <c r="G5902" s="140">
        <v>150000.0</v>
      </c>
      <c r="H5902" s="140">
        <v>20000.0</v>
      </c>
      <c r="I5902" s="74">
        <f t="shared" si="1"/>
        <v>130000</v>
      </c>
      <c r="J5902" s="74">
        <f>IF(E5902="SERVICE",I5902-(I5902*50%),Vlookup(E5902,DATABASE!C:Q,10,false)*F5902)</f>
        <v>10000</v>
      </c>
      <c r="K5902" s="74">
        <f>VLOOKUP(E5902,DATABASE!C:Q,7,false)</f>
        <v>0</v>
      </c>
      <c r="L5902" s="74">
        <v>0.0</v>
      </c>
      <c r="M5902" s="74">
        <f t="shared" si="2"/>
        <v>0</v>
      </c>
      <c r="N5902" s="74">
        <f t="shared" si="3"/>
        <v>120000</v>
      </c>
      <c r="O5902" s="65" t="str">
        <f>VLOOKUP(E5902,DATABASE!C:Q,8,false)</f>
        <v>IBU</v>
      </c>
      <c r="P5902" s="65">
        <f>VLOOKUP(E5902,DATABASE!C:Q,9,False)</f>
        <v>0</v>
      </c>
      <c r="Q5902" s="93" t="str">
        <f>VLOOKUP(E5902,DATABASE!C:Q,4,false)</f>
        <v>SPOORING</v>
      </c>
      <c r="R5902" s="93" t="str">
        <f>VLOOKUP(E5902,DATABASE!C:Q,11,false)</f>
        <v>SERVICE</v>
      </c>
    </row>
    <row r="5903" ht="22.5" customHeight="1">
      <c r="A5903" s="49"/>
      <c r="C5903" s="400">
        <v>45998.0</v>
      </c>
      <c r="D5903" s="524">
        <v>8120.0</v>
      </c>
      <c r="E5903" s="544" t="s">
        <v>299</v>
      </c>
      <c r="F5903" s="387">
        <v>2.0</v>
      </c>
      <c r="G5903" s="140">
        <v>30000.0</v>
      </c>
      <c r="H5903" s="74"/>
      <c r="I5903" s="74">
        <f t="shared" si="1"/>
        <v>60000</v>
      </c>
      <c r="J5903" s="74">
        <f>IF(E5903="SERVICE",I5903-(I5903*50%),Vlookup(E5903,DATABASE!C:Q,10,false)*F5903)</f>
        <v>0</v>
      </c>
      <c r="K5903" s="74">
        <f>VLOOKUP(E5903,DATABASE!C:Q,7,false)</f>
        <v>10000</v>
      </c>
      <c r="L5903" s="74">
        <v>5000.0</v>
      </c>
      <c r="M5903" s="74">
        <f t="shared" si="2"/>
        <v>5000</v>
      </c>
      <c r="N5903" s="74">
        <f t="shared" si="3"/>
        <v>50000</v>
      </c>
      <c r="O5903" s="65" t="str">
        <f>VLOOKUP(E5903,DATABASE!C:Q,8,false)</f>
        <v>BIAN</v>
      </c>
      <c r="P5903" s="65">
        <f>VLOOKUP(E5903,DATABASE!C:Q,9,False)</f>
        <v>0</v>
      </c>
      <c r="Q5903" s="93" t="str">
        <f>VLOOKUP(E5903,DATABASE!C:Q,4,false)</f>
        <v>Balancing</v>
      </c>
      <c r="R5903" s="93" t="str">
        <f>VLOOKUP(E5903,DATABASE!C:Q,11,false)</f>
        <v>COMPLEMENTARY</v>
      </c>
    </row>
    <row r="5904" ht="22.5" customHeight="1">
      <c r="A5904" s="49"/>
      <c r="C5904" s="400">
        <v>45998.0</v>
      </c>
      <c r="D5904" s="524">
        <v>8121.0</v>
      </c>
      <c r="E5904" s="544" t="s">
        <v>968</v>
      </c>
      <c r="F5904" s="387">
        <v>2.0</v>
      </c>
      <c r="G5904" s="140">
        <v>675000.0</v>
      </c>
      <c r="H5904" s="74"/>
      <c r="I5904" s="74">
        <f t="shared" si="1"/>
        <v>1350000</v>
      </c>
      <c r="J5904" s="74">
        <f>IF(E5904="SERVICE",I5904-(I5904*50%),Vlookup(E5904,DATABASE!C:Q,10,false)*F5904)</f>
        <v>0</v>
      </c>
      <c r="K5904" s="74">
        <f>VLOOKUP(E5904,DATABASE!C:Q,7,false)</f>
        <v>582500</v>
      </c>
      <c r="L5904" s="74">
        <v>582500.0</v>
      </c>
      <c r="M5904" s="74">
        <f t="shared" si="2"/>
        <v>585000</v>
      </c>
      <c r="N5904" s="74">
        <f t="shared" si="3"/>
        <v>180000</v>
      </c>
      <c r="O5904" s="65" t="str">
        <f>VLOOKUP(E5904,DATABASE!C:Q,8,false)</f>
        <v>IBU</v>
      </c>
      <c r="P5904" s="65">
        <f>VLOOKUP(E5904,DATABASE!C:Q,9,False)</f>
        <v>1</v>
      </c>
      <c r="Q5904" s="93" t="str">
        <f>VLOOKUP(E5904,DATABASE!C:Q,4,false)</f>
        <v>Dunlop</v>
      </c>
      <c r="R5904" s="93" t="str">
        <f>VLOOKUP(E5904,DATABASE!C:Q,11,false)</f>
        <v>Tire</v>
      </c>
    </row>
    <row r="5905" ht="22.5" customHeight="1">
      <c r="A5905" s="49"/>
      <c r="C5905" s="400">
        <v>45998.0</v>
      </c>
      <c r="D5905" s="524">
        <v>8121.0</v>
      </c>
      <c r="E5905" s="544" t="s">
        <v>569</v>
      </c>
      <c r="F5905" s="387">
        <v>1.0</v>
      </c>
      <c r="G5905" s="140">
        <v>80000.0</v>
      </c>
      <c r="H5905" s="74"/>
      <c r="I5905" s="74">
        <f t="shared" si="1"/>
        <v>80000</v>
      </c>
      <c r="J5905" s="74">
        <f>IF(E5905="SERVICE",I5905-(I5905*50%),Vlookup(E5905,DATABASE!C:Q,10,false)*F5905)</f>
        <v>0</v>
      </c>
      <c r="K5905" s="74">
        <f>VLOOKUP(E5905,DATABASE!C:Q,7,false)</f>
        <v>45439.582</v>
      </c>
      <c r="L5905" s="74">
        <v>45309.6</v>
      </c>
      <c r="M5905" s="74">
        <f t="shared" si="2"/>
        <v>50000</v>
      </c>
      <c r="N5905" s="74">
        <f t="shared" si="3"/>
        <v>30000</v>
      </c>
      <c r="O5905" s="65" t="str">
        <f>VLOOKUP(E5905,DATABASE!C:Q,8,false)</f>
        <v>BIAN</v>
      </c>
      <c r="P5905" s="65">
        <f>VLOOKUP(E5905,DATABASE!C:Q,9,False)</f>
        <v>1</v>
      </c>
      <c r="Q5905" s="93" t="str">
        <f>VLOOKUP(E5905,DATABASE!C:Q,4,false)</f>
        <v>BD</v>
      </c>
      <c r="R5905" s="93" t="str">
        <f>VLOOKUP(E5905,DATABASE!C:Q,11,false)</f>
        <v>Tire</v>
      </c>
    </row>
    <row r="5906" ht="22.5" customHeight="1">
      <c r="A5906" s="49"/>
      <c r="C5906" s="400">
        <v>45999.0</v>
      </c>
      <c r="D5906" s="524">
        <v>1.0</v>
      </c>
      <c r="E5906" s="544" t="s">
        <v>252</v>
      </c>
      <c r="F5906" s="387">
        <v>1.0</v>
      </c>
      <c r="G5906" s="140">
        <v>300000.0</v>
      </c>
      <c r="H5906" s="140">
        <v>0.0</v>
      </c>
      <c r="I5906" s="74">
        <f t="shared" si="1"/>
        <v>300000</v>
      </c>
      <c r="J5906" s="74">
        <f>IF(E5906="SERVICE",I5906-(I5906*50%),Vlookup(E5906,DATABASE!C:Q,10,false)*F5906)</f>
        <v>0</v>
      </c>
      <c r="K5906" s="74">
        <f>VLOOKUP(E5906,DATABASE!C:Q,7,false)</f>
        <v>317518</v>
      </c>
      <c r="L5906" s="74">
        <v>271778.0</v>
      </c>
      <c r="M5906" s="74">
        <f t="shared" si="2"/>
        <v>275000</v>
      </c>
      <c r="N5906" s="74">
        <f t="shared" si="3"/>
        <v>25000</v>
      </c>
      <c r="O5906" s="65" t="str">
        <f>VLOOKUP(E5906,DATABASE!C:Q,8,false)</f>
        <v>NON</v>
      </c>
      <c r="P5906" s="65">
        <f>VLOOKUP(E5906,DATABASE!C:Q,9,False)</f>
        <v>0</v>
      </c>
      <c r="Q5906" s="93" t="str">
        <f>VLOOKUP(E5906,DATABASE!C:Q,4,false)</f>
        <v>Shell</v>
      </c>
      <c r="R5906" s="93" t="str">
        <f>VLOOKUP(E5906,DATABASE!C:Q,11,false)</f>
        <v>OIL</v>
      </c>
    </row>
    <row r="5907" ht="22.5" customHeight="1">
      <c r="A5907" s="49"/>
      <c r="C5907" s="400">
        <v>45999.0</v>
      </c>
      <c r="D5907" s="524">
        <v>2.0</v>
      </c>
      <c r="E5907" s="544" t="s">
        <v>252</v>
      </c>
      <c r="F5907" s="387">
        <v>1.0</v>
      </c>
      <c r="G5907" s="140">
        <v>300000.0</v>
      </c>
      <c r="H5907" s="74"/>
      <c r="I5907" s="74">
        <f t="shared" si="1"/>
        <v>300000</v>
      </c>
      <c r="J5907" s="74">
        <f>IF(E5907="SERVICE",I5907-(I5907*50%),Vlookup(E5907,DATABASE!C:Q,10,false)*F5907)</f>
        <v>0</v>
      </c>
      <c r="K5907" s="74">
        <f>VLOOKUP(E5907,DATABASE!C:Q,7,false)</f>
        <v>317518</v>
      </c>
      <c r="L5907" s="74">
        <v>271778.0</v>
      </c>
      <c r="M5907" s="74">
        <f t="shared" si="2"/>
        <v>275000</v>
      </c>
      <c r="N5907" s="74">
        <f t="shared" si="3"/>
        <v>25000</v>
      </c>
      <c r="O5907" s="65" t="str">
        <f>VLOOKUP(E5907,DATABASE!C:Q,8,false)</f>
        <v>NON</v>
      </c>
      <c r="P5907" s="65">
        <f>VLOOKUP(E5907,DATABASE!C:Q,9,False)</f>
        <v>0</v>
      </c>
      <c r="Q5907" s="93" t="str">
        <f>VLOOKUP(E5907,DATABASE!C:Q,4,false)</f>
        <v>Shell</v>
      </c>
      <c r="R5907" s="93" t="str">
        <f>VLOOKUP(E5907,DATABASE!C:Q,11,false)</f>
        <v>OIL</v>
      </c>
    </row>
    <row r="5908" ht="22.5" customHeight="1">
      <c r="A5908" s="49"/>
      <c r="C5908" s="400">
        <v>45999.0</v>
      </c>
      <c r="D5908" s="524">
        <v>8122.0</v>
      </c>
      <c r="E5908" s="544" t="s">
        <v>256</v>
      </c>
      <c r="F5908" s="387">
        <v>1.0</v>
      </c>
      <c r="G5908" s="140">
        <v>150000.0</v>
      </c>
      <c r="H5908" s="140">
        <v>20000.0</v>
      </c>
      <c r="I5908" s="74">
        <f t="shared" si="1"/>
        <v>130000</v>
      </c>
      <c r="J5908" s="74">
        <f>IF(E5908="SERVICE",I5908-(I5908*50%),Vlookup(E5908,DATABASE!C:Q,10,false)*F5908)</f>
        <v>10000</v>
      </c>
      <c r="K5908" s="74">
        <f>VLOOKUP(E5908,DATABASE!C:Q,7,false)</f>
        <v>0</v>
      </c>
      <c r="L5908" s="74">
        <v>0.0</v>
      </c>
      <c r="M5908" s="74">
        <f t="shared" si="2"/>
        <v>0</v>
      </c>
      <c r="N5908" s="74">
        <f t="shared" si="3"/>
        <v>120000</v>
      </c>
      <c r="O5908" s="65" t="str">
        <f>VLOOKUP(E5908,DATABASE!C:Q,8,false)</f>
        <v>IBU</v>
      </c>
      <c r="P5908" s="65">
        <f>VLOOKUP(E5908,DATABASE!C:Q,9,False)</f>
        <v>0</v>
      </c>
      <c r="Q5908" s="93" t="str">
        <f>VLOOKUP(E5908,DATABASE!C:Q,4,false)</f>
        <v>SPOORING</v>
      </c>
      <c r="R5908" s="93" t="str">
        <f>VLOOKUP(E5908,DATABASE!C:Q,11,false)</f>
        <v>SERVICE</v>
      </c>
    </row>
    <row r="5909" ht="22.5" customHeight="1">
      <c r="A5909" s="49"/>
      <c r="C5909" s="400">
        <v>45999.0</v>
      </c>
      <c r="D5909" s="524">
        <v>8123.0</v>
      </c>
      <c r="E5909" s="544" t="s">
        <v>839</v>
      </c>
      <c r="F5909" s="387">
        <v>2.0</v>
      </c>
      <c r="G5909" s="140">
        <v>565000.0</v>
      </c>
      <c r="H5909" s="74"/>
      <c r="I5909" s="74">
        <f t="shared" si="1"/>
        <v>1130000</v>
      </c>
      <c r="J5909" s="74">
        <f>IF(E5909="SERVICE",I5909-(I5909*50%),Vlookup(E5909,DATABASE!C:Q,10,false)*F5909)</f>
        <v>0</v>
      </c>
      <c r="K5909" s="74">
        <f>VLOOKUP(E5909,DATABASE!C:Q,7,false)</f>
        <v>512640</v>
      </c>
      <c r="L5909" s="74">
        <v>475700.0</v>
      </c>
      <c r="M5909" s="74">
        <f t="shared" si="2"/>
        <v>480000</v>
      </c>
      <c r="N5909" s="74">
        <f t="shared" si="3"/>
        <v>170000</v>
      </c>
      <c r="O5909" s="65" t="str">
        <f>VLOOKUP(E5909,DATABASE!C:Q,8,false)</f>
        <v>BIAN</v>
      </c>
      <c r="P5909" s="65">
        <f>VLOOKUP(E5909,DATABASE!C:Q,9,False)</f>
        <v>1</v>
      </c>
      <c r="Q5909" s="93" t="str">
        <f>VLOOKUP(E5909,DATABASE!C:Q,4,false)</f>
        <v>GT</v>
      </c>
      <c r="R5909" s="93" t="str">
        <f>VLOOKUP(E5909,DATABASE!C:Q,11,false)</f>
        <v>Tire</v>
      </c>
    </row>
    <row r="5910" ht="22.5" customHeight="1">
      <c r="A5910" s="49"/>
      <c r="C5910" s="400">
        <v>45999.0</v>
      </c>
      <c r="D5910" s="524">
        <v>8125.0</v>
      </c>
      <c r="E5910" s="544" t="s">
        <v>287</v>
      </c>
      <c r="F5910" s="387">
        <v>2.0</v>
      </c>
      <c r="G5910" s="140">
        <v>780000.0</v>
      </c>
      <c r="H5910" s="74"/>
      <c r="I5910" s="74">
        <f t="shared" si="1"/>
        <v>1560000</v>
      </c>
      <c r="J5910" s="74">
        <f>IF(E5910="SERVICE",I5910-(I5910*50%),Vlookup(E5910,DATABASE!C:Q,10,false)*F5910)</f>
        <v>0</v>
      </c>
      <c r="K5910" s="74">
        <f>VLOOKUP(E5910,DATABASE!C:Q,7,false)</f>
        <v>711000</v>
      </c>
      <c r="L5910" s="74">
        <v>690600.0</v>
      </c>
      <c r="M5910" s="74">
        <f t="shared" si="2"/>
        <v>695000</v>
      </c>
      <c r="N5910" s="74">
        <f t="shared" si="3"/>
        <v>170000</v>
      </c>
      <c r="O5910" s="65" t="str">
        <f>VLOOKUP(E5910,DATABASE!C:Q,8,false)</f>
        <v>BIAN</v>
      </c>
      <c r="P5910" s="65">
        <f>VLOOKUP(E5910,DATABASE!C:Q,9,False)</f>
        <v>1</v>
      </c>
      <c r="Q5910" s="93" t="str">
        <f>VLOOKUP(E5910,DATABASE!C:Q,4,false)</f>
        <v>GT</v>
      </c>
      <c r="R5910" s="93" t="str">
        <f>VLOOKUP(E5910,DATABASE!C:Q,11,false)</f>
        <v>Tire</v>
      </c>
    </row>
    <row r="5911" ht="22.5" customHeight="1">
      <c r="A5911" s="49"/>
      <c r="C5911" s="400">
        <v>45999.0</v>
      </c>
      <c r="D5911" s="524">
        <v>8126.0</v>
      </c>
      <c r="E5911" s="544" t="s">
        <v>268</v>
      </c>
      <c r="F5911" s="387">
        <v>1.0</v>
      </c>
      <c r="G5911" s="140">
        <v>710000.0</v>
      </c>
      <c r="H5911" s="74"/>
      <c r="I5911" s="74">
        <f t="shared" si="1"/>
        <v>710000</v>
      </c>
      <c r="J5911" s="74">
        <f>IF(E5911="SERVICE",I5911-(I5911*50%),Vlookup(E5911,DATABASE!C:Q,10,false)*F5911)</f>
        <v>0</v>
      </c>
      <c r="K5911" s="74">
        <f>VLOOKUP(E5911,DATABASE!C:Q,7,false)</f>
        <v>653000</v>
      </c>
      <c r="L5911" s="74">
        <v>622000.0</v>
      </c>
      <c r="M5911" s="74">
        <f t="shared" si="2"/>
        <v>625000</v>
      </c>
      <c r="N5911" s="74">
        <f t="shared" si="3"/>
        <v>85000</v>
      </c>
      <c r="O5911" s="65" t="str">
        <f>VLOOKUP(E5911,DATABASE!C:Q,8,false)</f>
        <v>IBU</v>
      </c>
      <c r="P5911" s="65">
        <f>VLOOKUP(E5911,DATABASE!C:Q,9,False)</f>
        <v>1</v>
      </c>
      <c r="Q5911" s="93" t="str">
        <f>VLOOKUP(E5911,DATABASE!C:Q,4,false)</f>
        <v>Dunlop</v>
      </c>
      <c r="R5911" s="93" t="str">
        <f>VLOOKUP(E5911,DATABASE!C:Q,11,false)</f>
        <v>Tire</v>
      </c>
    </row>
    <row r="5912" ht="22.5" customHeight="1">
      <c r="A5912" s="49"/>
      <c r="C5912" s="400">
        <v>45999.0</v>
      </c>
      <c r="D5912" s="524">
        <v>8127.0</v>
      </c>
      <c r="E5912" s="544" t="s">
        <v>271</v>
      </c>
      <c r="F5912" s="387">
        <v>2.0</v>
      </c>
      <c r="G5912" s="140">
        <v>630000.0</v>
      </c>
      <c r="H5912" s="140">
        <v>5000.0</v>
      </c>
      <c r="I5912" s="74">
        <f t="shared" si="1"/>
        <v>1250000</v>
      </c>
      <c r="J5912" s="74">
        <f>IF(E5912="SERVICE",I5912-(I5912*50%),Vlookup(E5912,DATABASE!C:Q,10,false)*F5912)</f>
        <v>0</v>
      </c>
      <c r="K5912" s="74">
        <f>VLOOKUP(E5912,DATABASE!C:Q,7,false)</f>
        <v>570000</v>
      </c>
      <c r="L5912" s="74">
        <v>539000.0</v>
      </c>
      <c r="M5912" s="74">
        <f t="shared" si="2"/>
        <v>540000</v>
      </c>
      <c r="N5912" s="74">
        <f t="shared" si="3"/>
        <v>170000</v>
      </c>
      <c r="O5912" s="65" t="str">
        <f>VLOOKUP(E5912,DATABASE!C:Q,8,false)</f>
        <v>IBU</v>
      </c>
      <c r="P5912" s="65">
        <f>VLOOKUP(E5912,DATABASE!C:Q,9,False)</f>
        <v>1</v>
      </c>
      <c r="Q5912" s="93" t="str">
        <f>VLOOKUP(E5912,DATABASE!C:Q,4,false)</f>
        <v>Dunlop</v>
      </c>
      <c r="R5912" s="93" t="str">
        <f>VLOOKUP(E5912,DATABASE!C:Q,11,false)</f>
        <v>Tire</v>
      </c>
    </row>
    <row r="5913" ht="22.5" customHeight="1">
      <c r="A5913" s="49"/>
      <c r="C5913" s="400">
        <v>45999.0</v>
      </c>
      <c r="D5913" s="524">
        <v>8128.0</v>
      </c>
      <c r="E5913" s="544" t="s">
        <v>262</v>
      </c>
      <c r="F5913" s="387">
        <v>1.0</v>
      </c>
      <c r="G5913" s="140">
        <v>110000.0</v>
      </c>
      <c r="H5913" s="74"/>
      <c r="I5913" s="74">
        <f t="shared" si="1"/>
        <v>110000</v>
      </c>
      <c r="J5913" s="74">
        <f>IF(E5913="SERVICE",I5913-(I5913*50%),Vlookup(E5913,DATABASE!C:Q,10,false)*F5913)</f>
        <v>5000</v>
      </c>
      <c r="K5913" s="74">
        <f>VLOOKUP(E5913,DATABASE!C:Q,7,false)</f>
        <v>0</v>
      </c>
      <c r="L5913" s="74">
        <v>0.0</v>
      </c>
      <c r="M5913" s="74">
        <f t="shared" si="2"/>
        <v>0</v>
      </c>
      <c r="N5913" s="74">
        <f t="shared" si="3"/>
        <v>105000</v>
      </c>
      <c r="O5913" s="65" t="str">
        <f>VLOOKUP(E5913,DATABASE!C:Q,8,false)</f>
        <v>IBU</v>
      </c>
      <c r="P5913" s="65">
        <f>VLOOKUP(E5913,DATABASE!C:Q,9,False)</f>
        <v>0</v>
      </c>
      <c r="Q5913" s="93" t="str">
        <f>VLOOKUP(E5913,DATABASE!C:Q,4,false)</f>
        <v>SPOORING SS/CARRY LOS BAK</v>
      </c>
      <c r="R5913" s="93" t="str">
        <f>VLOOKUP(E5913,DATABASE!C:Q,11,false)</f>
        <v>SERVICE</v>
      </c>
    </row>
    <row r="5914" ht="22.5" customHeight="1">
      <c r="A5914" s="49"/>
      <c r="C5914" s="400">
        <v>45999.0</v>
      </c>
      <c r="D5914" s="524">
        <v>8128.0</v>
      </c>
      <c r="E5914" s="544" t="s">
        <v>251</v>
      </c>
      <c r="F5914" s="387">
        <v>1.0</v>
      </c>
      <c r="G5914" s="140">
        <v>350000.0</v>
      </c>
      <c r="H5914" s="140">
        <v>200000.0</v>
      </c>
      <c r="I5914" s="74">
        <f t="shared" si="1"/>
        <v>150000</v>
      </c>
      <c r="J5914" s="74">
        <f>IF(E5914="SERVICE",I5914-(I5914*50%),Vlookup(E5914,DATABASE!C:Q,10,false)*F5914)</f>
        <v>75000</v>
      </c>
      <c r="K5914" s="74">
        <f>VLOOKUP(E5914,DATABASE!C:Q,7,false)</f>
        <v>0</v>
      </c>
      <c r="L5914" s="74">
        <v>0.0</v>
      </c>
      <c r="M5914" s="74">
        <f t="shared" si="2"/>
        <v>0</v>
      </c>
      <c r="N5914" s="74">
        <f t="shared" si="3"/>
        <v>75000</v>
      </c>
      <c r="O5914" s="65" t="str">
        <f>VLOOKUP(E5914,DATABASE!C:Q,8,false)</f>
        <v>IBU</v>
      </c>
      <c r="P5914" s="65">
        <f>VLOOKUP(E5914,DATABASE!C:Q,9,False)</f>
        <v>0</v>
      </c>
      <c r="Q5914" s="93" t="str">
        <f>VLOOKUP(E5914,DATABASE!C:Q,4,false)</f>
        <v>SERVICE</v>
      </c>
      <c r="R5914" s="93" t="str">
        <f>VLOOKUP(E5914,DATABASE!C:Q,11,false)</f>
        <v>SERVICE</v>
      </c>
    </row>
    <row r="5915" ht="22.5" customHeight="1">
      <c r="A5915" s="49"/>
      <c r="C5915" s="400">
        <v>45999.0</v>
      </c>
      <c r="D5915" s="524">
        <v>8128.0</v>
      </c>
      <c r="E5915" s="544" t="s">
        <v>305</v>
      </c>
      <c r="F5915" s="387">
        <v>1.0</v>
      </c>
      <c r="G5915" s="140">
        <v>235000.0</v>
      </c>
      <c r="H5915" s="74"/>
      <c r="I5915" s="74">
        <f t="shared" si="1"/>
        <v>235000</v>
      </c>
      <c r="J5915" s="74">
        <f>IF(E5915="SERVICE",I5915-(I5915*50%),Vlookup(E5915,DATABASE!C:Q,10,false)*F5915)</f>
        <v>40000</v>
      </c>
      <c r="K5915" s="74">
        <f>VLOOKUP(E5915,DATABASE!C:Q,7,false)</f>
        <v>158530.2</v>
      </c>
      <c r="L5915" s="74">
        <v>151890.0</v>
      </c>
      <c r="M5915" s="74">
        <f t="shared" si="2"/>
        <v>155000</v>
      </c>
      <c r="N5915" s="74">
        <f t="shared" si="3"/>
        <v>40000</v>
      </c>
      <c r="O5915" s="65" t="str">
        <f>VLOOKUP(E5915,DATABASE!C:Q,8,false)</f>
        <v>BIAN</v>
      </c>
      <c r="P5915" s="65">
        <f>VLOOKUP(E5915,DATABASE!C:Q,9,False)</f>
        <v>1</v>
      </c>
      <c r="Q5915" s="93" t="str">
        <f>VLOOKUP(E5915,DATABASE!C:Q,4,false)</f>
        <v>Lower Arm</v>
      </c>
      <c r="R5915" s="93" t="str">
        <f>VLOOKUP(E5915,DATABASE!C:Q,11,false)</f>
        <v>COMPLEMENTARY</v>
      </c>
    </row>
    <row r="5916" ht="22.5" customHeight="1">
      <c r="A5916" s="49"/>
      <c r="C5916" s="400">
        <v>45999.0</v>
      </c>
      <c r="D5916" s="524">
        <v>8129.0</v>
      </c>
      <c r="E5916" s="544" t="s">
        <v>1439</v>
      </c>
      <c r="F5916" s="387">
        <v>2.0</v>
      </c>
      <c r="G5916" s="140">
        <v>640000.0</v>
      </c>
      <c r="H5916" s="140">
        <v>10000.0</v>
      </c>
      <c r="I5916" s="74">
        <f t="shared" si="1"/>
        <v>1260000</v>
      </c>
      <c r="J5916" s="74">
        <f>IF(E5916="SERVICE",I5916-(I5916*50%),Vlookup(E5916,DATABASE!C:Q,10,false)*F5916)</f>
        <v>0</v>
      </c>
      <c r="K5916" s="74">
        <f>VLOOKUP(E5916,DATABASE!C:Q,7,false)</f>
        <v>556800</v>
      </c>
      <c r="L5916" s="74">
        <v>540800.0</v>
      </c>
      <c r="M5916" s="74">
        <f t="shared" si="2"/>
        <v>545000</v>
      </c>
      <c r="N5916" s="74">
        <f t="shared" si="3"/>
        <v>170000</v>
      </c>
      <c r="O5916" s="65" t="str">
        <f>VLOOKUP(E5916,DATABASE!C:Q,8,false)</f>
        <v>BIAN</v>
      </c>
      <c r="P5916" s="65">
        <f>VLOOKUP(E5916,DATABASE!C:Q,9,False)</f>
        <v>1</v>
      </c>
      <c r="Q5916" s="93" t="str">
        <f>VLOOKUP(E5916,DATABASE!C:Q,4,false)</f>
        <v>GT</v>
      </c>
      <c r="R5916" s="93" t="str">
        <f>VLOOKUP(E5916,DATABASE!C:Q,11,false)</f>
        <v>Tire</v>
      </c>
    </row>
    <row r="5917" ht="22.5" customHeight="1">
      <c r="A5917" s="49"/>
      <c r="C5917" s="400">
        <v>45999.0</v>
      </c>
      <c r="D5917" s="524">
        <v>8129.0</v>
      </c>
      <c r="E5917" s="544" t="s">
        <v>256</v>
      </c>
      <c r="F5917" s="387">
        <v>1.0</v>
      </c>
      <c r="G5917" s="140">
        <v>150000.0</v>
      </c>
      <c r="H5917" s="140">
        <v>20000.0</v>
      </c>
      <c r="I5917" s="74">
        <f t="shared" si="1"/>
        <v>130000</v>
      </c>
      <c r="J5917" s="74">
        <f>IF(E5917="SERVICE",I5917-(I5917*50%),Vlookup(E5917,DATABASE!C:Q,10,false)*F5917)</f>
        <v>10000</v>
      </c>
      <c r="K5917" s="74">
        <f>VLOOKUP(E5917,DATABASE!C:Q,7,false)</f>
        <v>0</v>
      </c>
      <c r="L5917" s="74">
        <v>0.0</v>
      </c>
      <c r="M5917" s="74">
        <f t="shared" si="2"/>
        <v>0</v>
      </c>
      <c r="N5917" s="74">
        <f t="shared" si="3"/>
        <v>120000</v>
      </c>
      <c r="O5917" s="65" t="str">
        <f>VLOOKUP(E5917,DATABASE!C:Q,8,false)</f>
        <v>IBU</v>
      </c>
      <c r="P5917" s="65">
        <f>VLOOKUP(E5917,DATABASE!C:Q,9,False)</f>
        <v>0</v>
      </c>
      <c r="Q5917" s="93" t="str">
        <f>VLOOKUP(E5917,DATABASE!C:Q,4,false)</f>
        <v>SPOORING</v>
      </c>
      <c r="R5917" s="93" t="str">
        <f>VLOOKUP(E5917,DATABASE!C:Q,11,false)</f>
        <v>SERVICE</v>
      </c>
    </row>
    <row r="5918" ht="22.5" customHeight="1">
      <c r="A5918" s="49"/>
      <c r="C5918" s="400">
        <v>45999.0</v>
      </c>
      <c r="D5918" s="524">
        <v>8131.0</v>
      </c>
      <c r="E5918" s="544" t="s">
        <v>268</v>
      </c>
      <c r="F5918" s="387">
        <v>2.0</v>
      </c>
      <c r="G5918" s="140">
        <v>710000.0</v>
      </c>
      <c r="H5918" s="74"/>
      <c r="I5918" s="74">
        <f t="shared" si="1"/>
        <v>1420000</v>
      </c>
      <c r="J5918" s="74">
        <f>IF(E5918="SERVICE",I5918-(I5918*50%),Vlookup(E5918,DATABASE!C:Q,10,false)*F5918)</f>
        <v>0</v>
      </c>
      <c r="K5918" s="74">
        <f>VLOOKUP(E5918,DATABASE!C:Q,7,false)</f>
        <v>653000</v>
      </c>
      <c r="L5918" s="74">
        <v>622000.0</v>
      </c>
      <c r="M5918" s="74">
        <f t="shared" si="2"/>
        <v>625000</v>
      </c>
      <c r="N5918" s="74">
        <f t="shared" si="3"/>
        <v>170000</v>
      </c>
      <c r="O5918" s="65" t="str">
        <f>VLOOKUP(E5918,DATABASE!C:Q,8,false)</f>
        <v>IBU</v>
      </c>
      <c r="P5918" s="65">
        <f>VLOOKUP(E5918,DATABASE!C:Q,9,False)</f>
        <v>1</v>
      </c>
      <c r="Q5918" s="93" t="str">
        <f>VLOOKUP(E5918,DATABASE!C:Q,4,false)</f>
        <v>Dunlop</v>
      </c>
      <c r="R5918" s="93" t="str">
        <f>VLOOKUP(E5918,DATABASE!C:Q,11,false)</f>
        <v>Tire</v>
      </c>
    </row>
    <row r="5919" ht="22.5" customHeight="1">
      <c r="A5919" s="49"/>
      <c r="C5919" s="400">
        <v>45999.0</v>
      </c>
      <c r="D5919" s="524">
        <v>8132.0</v>
      </c>
      <c r="E5919" s="544" t="s">
        <v>2608</v>
      </c>
      <c r="F5919" s="387">
        <v>4.0</v>
      </c>
      <c r="G5919" s="140">
        <v>1350000.0</v>
      </c>
      <c r="H5919" s="140">
        <v>20000.0</v>
      </c>
      <c r="I5919" s="74">
        <f t="shared" si="1"/>
        <v>5320000</v>
      </c>
      <c r="J5919" s="74">
        <f>IF(E5919="SERVICE",I5919-(I5919*50%),Vlookup(E5919,DATABASE!C:Q,10,false)*F5919)</f>
        <v>0</v>
      </c>
      <c r="K5919" s="74">
        <f>VLOOKUP(E5919,DATABASE!C:Q,7,false)</f>
        <v>1250000</v>
      </c>
      <c r="L5919" s="74">
        <v>1250000.0</v>
      </c>
      <c r="M5919" s="74">
        <f t="shared" si="2"/>
        <v>1250000</v>
      </c>
      <c r="N5919" s="74">
        <f t="shared" si="3"/>
        <v>320000</v>
      </c>
      <c r="O5919" s="65" t="str">
        <f>VLOOKUP(E5919,DATABASE!C:Q,8,false)</f>
        <v>BIAN</v>
      </c>
      <c r="P5919" s="65">
        <f>VLOOKUP(E5919,DATABASE!C:Q,9,False)</f>
        <v>1</v>
      </c>
      <c r="Q5919" s="93" t="str">
        <f>VLOOKUP(E5919,DATABASE!C:Q,4,false)</f>
        <v>Goodride</v>
      </c>
      <c r="R5919" s="93" t="str">
        <f>VLOOKUP(E5919,DATABASE!C:Q,11,false)</f>
        <v>Tire</v>
      </c>
    </row>
    <row r="5920" ht="22.5" customHeight="1">
      <c r="A5920" s="49"/>
      <c r="C5920" s="400">
        <v>45999.0</v>
      </c>
      <c r="D5920" s="524">
        <v>8132.0</v>
      </c>
      <c r="E5920" s="544" t="s">
        <v>764</v>
      </c>
      <c r="F5920" s="387">
        <v>4.0</v>
      </c>
      <c r="G5920" s="140">
        <v>200000.0</v>
      </c>
      <c r="H5920" s="74"/>
      <c r="I5920" s="74">
        <f t="shared" si="1"/>
        <v>800000</v>
      </c>
      <c r="J5920" s="74">
        <f>IF(E5920="SERVICE",I5920-(I5920*50%),Vlookup(E5920,DATABASE!C:Q,10,false)*F5920)</f>
        <v>0</v>
      </c>
      <c r="K5920" s="74">
        <f>VLOOKUP(E5920,DATABASE!C:Q,7,false)</f>
        <v>145000</v>
      </c>
      <c r="L5920" s="74">
        <v>145000.0</v>
      </c>
      <c r="M5920" s="74">
        <f t="shared" si="2"/>
        <v>145000</v>
      </c>
      <c r="N5920" s="74">
        <f t="shared" si="3"/>
        <v>220000</v>
      </c>
      <c r="O5920" s="65" t="str">
        <f>VLOOKUP(E5920,DATABASE!C:Q,8,false)</f>
        <v>BIAN</v>
      </c>
      <c r="P5920" s="65">
        <f>VLOOKUP(E5920,DATABASE!C:Q,9,False)</f>
        <v>1</v>
      </c>
      <c r="Q5920" s="93" t="str">
        <f>VLOOKUP(E5920,DATABASE!C:Q,4,false)</f>
        <v>BD</v>
      </c>
      <c r="R5920" s="93" t="str">
        <f>VLOOKUP(E5920,DATABASE!C:Q,11,false)</f>
        <v>Tire</v>
      </c>
    </row>
    <row r="5921" ht="22.5" customHeight="1">
      <c r="A5921" s="49"/>
      <c r="C5921" s="400">
        <v>45999.0</v>
      </c>
      <c r="D5921" s="524">
        <v>8132.0</v>
      </c>
      <c r="E5921" s="544" t="s">
        <v>821</v>
      </c>
      <c r="F5921" s="387">
        <v>4.0</v>
      </c>
      <c r="G5921" s="140">
        <v>85000.0</v>
      </c>
      <c r="H5921" s="74"/>
      <c r="I5921" s="74">
        <f t="shared" si="1"/>
        <v>340000</v>
      </c>
      <c r="J5921" s="74">
        <f>IF(E5921="SERVICE",I5921-(I5921*50%),Vlookup(E5921,DATABASE!C:Q,10,false)*F5921)</f>
        <v>0</v>
      </c>
      <c r="K5921" s="74">
        <f>VLOOKUP(E5921,DATABASE!C:Q,7,false)</f>
        <v>43500</v>
      </c>
      <c r="L5921" s="74">
        <v>43520.0</v>
      </c>
      <c r="M5921" s="74">
        <f t="shared" si="2"/>
        <v>45000</v>
      </c>
      <c r="N5921" s="74">
        <f t="shared" si="3"/>
        <v>160000</v>
      </c>
      <c r="O5921" s="65" t="str">
        <f>VLOOKUP(E5921,DATABASE!C:Q,8,false)</f>
        <v>BIAN</v>
      </c>
      <c r="P5921" s="65">
        <f>VLOOKUP(E5921,DATABASE!C:Q,9,False)</f>
        <v>1</v>
      </c>
      <c r="Q5921" s="93" t="str">
        <f>VLOOKUP(E5921,DATABASE!C:Q,4,false)</f>
        <v>Flap</v>
      </c>
      <c r="R5921" s="93" t="str">
        <f>VLOOKUP(E5921,DATABASE!C:Q,11,false)</f>
        <v>Tire</v>
      </c>
    </row>
    <row r="5922" ht="22.5" customHeight="1">
      <c r="A5922" s="49"/>
      <c r="C5922" s="400">
        <v>45999.0</v>
      </c>
      <c r="D5922" s="524">
        <v>8133.0</v>
      </c>
      <c r="E5922" s="544" t="s">
        <v>932</v>
      </c>
      <c r="F5922" s="387">
        <v>2.0</v>
      </c>
      <c r="G5922" s="140">
        <v>680000.0</v>
      </c>
      <c r="H5922" s="74"/>
      <c r="I5922" s="74">
        <f t="shared" si="1"/>
        <v>1360000</v>
      </c>
      <c r="J5922" s="74">
        <f>IF(E5922="SERVICE",I5922-(I5922*50%),Vlookup(E5922,DATABASE!C:Q,10,false)*F5922)</f>
        <v>0</v>
      </c>
      <c r="K5922" s="74">
        <f>VLOOKUP(E5922,DATABASE!C:Q,7,false)</f>
        <v>601000</v>
      </c>
      <c r="L5922" s="74">
        <v>595000.0</v>
      </c>
      <c r="M5922" s="74">
        <f t="shared" si="2"/>
        <v>595000</v>
      </c>
      <c r="N5922" s="74">
        <f t="shared" si="3"/>
        <v>170000</v>
      </c>
      <c r="O5922" s="65" t="str">
        <f>VLOOKUP(E5922,DATABASE!C:Q,8,false)</f>
        <v>IBU</v>
      </c>
      <c r="P5922" s="65">
        <f>VLOOKUP(E5922,DATABASE!C:Q,9,False)</f>
        <v>1</v>
      </c>
      <c r="Q5922" s="93" t="str">
        <f>VLOOKUP(E5922,DATABASE!C:Q,4,false)</f>
        <v>Dunlop</v>
      </c>
      <c r="R5922" s="93" t="str">
        <f>VLOOKUP(E5922,DATABASE!C:Q,11,false)</f>
        <v>Tire</v>
      </c>
    </row>
    <row r="5923" ht="22.5" customHeight="1">
      <c r="A5923" s="49"/>
      <c r="C5923" s="400">
        <v>45999.0</v>
      </c>
      <c r="D5923" s="524">
        <v>8134.0</v>
      </c>
      <c r="E5923" s="544" t="s">
        <v>932</v>
      </c>
      <c r="F5923" s="387">
        <v>1.0</v>
      </c>
      <c r="G5923" s="140">
        <v>680000.0</v>
      </c>
      <c r="H5923" s="74"/>
      <c r="I5923" s="74">
        <f t="shared" si="1"/>
        <v>680000</v>
      </c>
      <c r="J5923" s="74">
        <f>IF(E5923="SERVICE",I5923-(I5923*50%),Vlookup(E5923,DATABASE!C:Q,10,false)*F5923)</f>
        <v>0</v>
      </c>
      <c r="K5923" s="74">
        <f>VLOOKUP(E5923,DATABASE!C:Q,7,false)</f>
        <v>601000</v>
      </c>
      <c r="L5923" s="74">
        <v>595000.0</v>
      </c>
      <c r="M5923" s="74">
        <f t="shared" si="2"/>
        <v>595000</v>
      </c>
      <c r="N5923" s="74">
        <f t="shared" si="3"/>
        <v>85000</v>
      </c>
      <c r="O5923" s="65" t="str">
        <f>VLOOKUP(E5923,DATABASE!C:Q,8,false)</f>
        <v>IBU</v>
      </c>
      <c r="P5923" s="65">
        <f>VLOOKUP(E5923,DATABASE!C:Q,9,False)</f>
        <v>1</v>
      </c>
      <c r="Q5923" s="93" t="str">
        <f>VLOOKUP(E5923,DATABASE!C:Q,4,false)</f>
        <v>Dunlop</v>
      </c>
      <c r="R5923" s="93" t="str">
        <f>VLOOKUP(E5923,DATABASE!C:Q,11,false)</f>
        <v>Tire</v>
      </c>
    </row>
    <row r="5924" ht="22.5" customHeight="1">
      <c r="A5924" s="49"/>
      <c r="C5924" s="400">
        <v>45999.0</v>
      </c>
      <c r="D5924" s="524">
        <v>8135.0</v>
      </c>
      <c r="E5924" s="544" t="s">
        <v>781</v>
      </c>
      <c r="F5924" s="387">
        <v>1.0</v>
      </c>
      <c r="G5924" s="140">
        <v>530000.0</v>
      </c>
      <c r="H5924" s="74"/>
      <c r="I5924" s="74">
        <f t="shared" si="1"/>
        <v>530000</v>
      </c>
      <c r="J5924" s="74">
        <f>IF(E5924="SERVICE",I5924-(I5924*50%),Vlookup(E5924,DATABASE!C:Q,10,false)*F5924)</f>
        <v>0</v>
      </c>
      <c r="K5924" s="74">
        <f>VLOOKUP(E5924,DATABASE!C:Q,7,false)</f>
        <v>470000</v>
      </c>
      <c r="L5924" s="74">
        <v>442500.0</v>
      </c>
      <c r="M5924" s="74">
        <f t="shared" si="2"/>
        <v>445000</v>
      </c>
      <c r="N5924" s="74">
        <f t="shared" si="3"/>
        <v>85000</v>
      </c>
      <c r="O5924" s="65" t="str">
        <f>VLOOKUP(E5924,DATABASE!C:Q,8,false)</f>
        <v>BIAN</v>
      </c>
      <c r="P5924" s="65">
        <f>VLOOKUP(E5924,DATABASE!C:Q,9,False)</f>
        <v>1</v>
      </c>
      <c r="Q5924" s="93" t="str">
        <f>VLOOKUP(E5924,DATABASE!C:Q,4,false)</f>
        <v>GT</v>
      </c>
      <c r="R5924" s="93" t="str">
        <f>VLOOKUP(E5924,DATABASE!C:Q,11,false)</f>
        <v>Tire</v>
      </c>
    </row>
    <row r="5925" ht="22.5" customHeight="1">
      <c r="A5925" s="49"/>
      <c r="C5925" s="400">
        <v>45999.0</v>
      </c>
      <c r="D5925" s="524">
        <v>8136.0</v>
      </c>
      <c r="E5925" s="544" t="s">
        <v>2062</v>
      </c>
      <c r="F5925" s="387">
        <v>1.0</v>
      </c>
      <c r="G5925" s="140">
        <v>725000.0</v>
      </c>
      <c r="H5925" s="140">
        <v>15000.0</v>
      </c>
      <c r="I5925" s="74">
        <f t="shared" si="1"/>
        <v>710000</v>
      </c>
      <c r="J5925" s="74">
        <f>IF(E5925="SERVICE",I5925-(I5925*50%),Vlookup(E5925,DATABASE!C:Q,10,false)*F5925)</f>
        <v>0</v>
      </c>
      <c r="K5925" s="74">
        <f>VLOOKUP(E5925,DATABASE!C:Q,7,false)</f>
        <v>623000</v>
      </c>
      <c r="L5925" s="74">
        <v>623000.0</v>
      </c>
      <c r="M5925" s="74">
        <f t="shared" si="2"/>
        <v>625000</v>
      </c>
      <c r="N5925" s="74">
        <f t="shared" si="3"/>
        <v>85000</v>
      </c>
      <c r="O5925" s="65" t="str">
        <f>VLOOKUP(E5925,DATABASE!C:Q,8,false)</f>
        <v>BIAN</v>
      </c>
      <c r="P5925" s="65">
        <f>VLOOKUP(E5925,DATABASE!C:Q,9,False)</f>
        <v>1</v>
      </c>
      <c r="Q5925" s="93" t="str">
        <f>VLOOKUP(E5925,DATABASE!C:Q,4,false)</f>
        <v>HANKOOK</v>
      </c>
      <c r="R5925" s="93" t="str">
        <f>VLOOKUP(E5925,DATABASE!C:Q,11,false)</f>
        <v>Tire</v>
      </c>
    </row>
    <row r="5926" ht="22.5" customHeight="1">
      <c r="A5926" s="49"/>
      <c r="C5926" s="400">
        <v>45999.0</v>
      </c>
      <c r="D5926" s="524">
        <v>8137.0</v>
      </c>
      <c r="E5926" s="544" t="s">
        <v>712</v>
      </c>
      <c r="F5926" s="387">
        <v>1.0</v>
      </c>
      <c r="G5926" s="140">
        <v>170000.0</v>
      </c>
      <c r="H5926" s="140">
        <v>20000.0</v>
      </c>
      <c r="I5926" s="74">
        <f t="shared" si="1"/>
        <v>150000</v>
      </c>
      <c r="J5926" s="74">
        <f>IF(E5926="SERVICE",I5926-(I5926*50%),Vlookup(E5926,DATABASE!C:Q,10,false)*F5926)</f>
        <v>0</v>
      </c>
      <c r="K5926" s="74">
        <f>VLOOKUP(E5926,DATABASE!C:Q,7,false)</f>
        <v>120960</v>
      </c>
      <c r="L5926" s="74">
        <v>120960.0</v>
      </c>
      <c r="M5926" s="74">
        <f t="shared" si="2"/>
        <v>125000</v>
      </c>
      <c r="N5926" s="74">
        <f t="shared" si="3"/>
        <v>25000</v>
      </c>
      <c r="O5926" s="65" t="str">
        <f>VLOOKUP(E5926,DATABASE!C:Q,8,false)</f>
        <v>BIAN</v>
      </c>
      <c r="P5926" s="65">
        <f>VLOOKUP(E5926,DATABASE!C:Q,9,False)</f>
        <v>1</v>
      </c>
      <c r="Q5926" s="93" t="str">
        <f>VLOOKUP(E5926,DATABASE!C:Q,4,false)</f>
        <v>BD</v>
      </c>
      <c r="R5926" s="93" t="str">
        <f>VLOOKUP(E5926,DATABASE!C:Q,11,false)</f>
        <v>Tire</v>
      </c>
    </row>
    <row r="5927" ht="22.5" customHeight="1">
      <c r="A5927" s="49"/>
      <c r="C5927" s="400">
        <v>45999.0</v>
      </c>
      <c r="D5927" s="524">
        <v>8137.0</v>
      </c>
      <c r="E5927" s="544" t="s">
        <v>284</v>
      </c>
      <c r="F5927" s="387">
        <v>1.0</v>
      </c>
      <c r="G5927" s="140">
        <v>65000.0</v>
      </c>
      <c r="H5927" s="140">
        <v>5000.0</v>
      </c>
      <c r="I5927" s="74">
        <f t="shared" si="1"/>
        <v>60000</v>
      </c>
      <c r="J5927" s="74">
        <f>IF(E5927="SERVICE",I5927-(I5927*50%),Vlookup(E5927,DATABASE!C:Q,10,false)*F5927)</f>
        <v>0</v>
      </c>
      <c r="K5927" s="74">
        <f>VLOOKUP(E5927,DATABASE!C:Q,7,false)</f>
        <v>36630</v>
      </c>
      <c r="L5927" s="74">
        <v>36630.0</v>
      </c>
      <c r="M5927" s="74">
        <f t="shared" si="2"/>
        <v>40000</v>
      </c>
      <c r="N5927" s="74">
        <f t="shared" si="3"/>
        <v>20000</v>
      </c>
      <c r="O5927" s="65" t="str">
        <f>VLOOKUP(E5927,DATABASE!C:Q,8,false)</f>
        <v>BIAN</v>
      </c>
      <c r="P5927" s="65">
        <f>VLOOKUP(E5927,DATABASE!C:Q,9,False)</f>
        <v>1</v>
      </c>
      <c r="Q5927" s="93" t="str">
        <f>VLOOKUP(E5927,DATABASE!C:Q,4,false)</f>
        <v>Flap</v>
      </c>
      <c r="R5927" s="93" t="str">
        <f>VLOOKUP(E5927,DATABASE!C:Q,11,false)</f>
        <v>Tire</v>
      </c>
    </row>
    <row r="5928" ht="22.5" customHeight="1">
      <c r="A5928" s="49"/>
      <c r="C5928" s="400">
        <v>46000.0</v>
      </c>
      <c r="D5928" s="524">
        <v>1.0</v>
      </c>
      <c r="E5928" s="544" t="s">
        <v>2174</v>
      </c>
      <c r="F5928" s="387">
        <v>1.0</v>
      </c>
      <c r="G5928" s="140">
        <v>215000.0</v>
      </c>
      <c r="H5928" s="74"/>
      <c r="I5928" s="74">
        <f t="shared" si="1"/>
        <v>215000</v>
      </c>
      <c r="J5928" s="74">
        <f>IF(E5928="SERVICE",I5928-(I5928*50%),Vlookup(E5928,DATABASE!C:Q,10,false)*F5928)</f>
        <v>0</v>
      </c>
      <c r="K5928" s="74">
        <f>VLOOKUP(E5928,DATABASE!C:Q,7,false)</f>
        <v>225314</v>
      </c>
      <c r="L5928" s="74">
        <v>179445.0</v>
      </c>
      <c r="M5928" s="74">
        <f t="shared" si="2"/>
        <v>180000</v>
      </c>
      <c r="N5928" s="74">
        <f t="shared" si="3"/>
        <v>35000</v>
      </c>
      <c r="O5928" s="65" t="str">
        <f>VLOOKUP(E5928,DATABASE!C:Q,8,false)</f>
        <v>NON</v>
      </c>
      <c r="P5928" s="65">
        <f>VLOOKUP(E5928,DATABASE!C:Q,9,False)</f>
        <v>0</v>
      </c>
      <c r="Q5928" s="93" t="str">
        <f>VLOOKUP(E5928,DATABASE!C:Q,4,false)</f>
        <v>Shell</v>
      </c>
      <c r="R5928" s="93" t="str">
        <f>VLOOKUP(E5928,DATABASE!C:Q,11,false)</f>
        <v>OIL</v>
      </c>
    </row>
    <row r="5929" ht="22.5" customHeight="1">
      <c r="A5929" s="49"/>
      <c r="C5929" s="400">
        <v>46000.0</v>
      </c>
      <c r="D5929" s="524">
        <v>1.0</v>
      </c>
      <c r="E5929" s="544" t="s">
        <v>2192</v>
      </c>
      <c r="F5929" s="387">
        <v>1.0</v>
      </c>
      <c r="G5929" s="140">
        <v>75000.0</v>
      </c>
      <c r="H5929" s="74"/>
      <c r="I5929" s="74">
        <f t="shared" si="1"/>
        <v>75000</v>
      </c>
      <c r="J5929" s="74">
        <f>IF(E5929="SERVICE",I5929-(I5929*50%),Vlookup(E5929,DATABASE!C:Q,10,false)*F5929)</f>
        <v>0</v>
      </c>
      <c r="K5929" s="74">
        <f>VLOOKUP(E5929,DATABASE!C:Q,7,false)</f>
        <v>59705</v>
      </c>
      <c r="L5929" s="74">
        <v>58114.0</v>
      </c>
      <c r="M5929" s="74">
        <f t="shared" si="2"/>
        <v>60000</v>
      </c>
      <c r="N5929" s="74">
        <f t="shared" si="3"/>
        <v>15000</v>
      </c>
      <c r="O5929" s="65" t="str">
        <f>VLOOKUP(E5929,DATABASE!C:Q,8,false)</f>
        <v>NON</v>
      </c>
      <c r="P5929" s="65">
        <f>VLOOKUP(E5929,DATABASE!C:Q,9,False)</f>
        <v>0</v>
      </c>
      <c r="Q5929" s="93" t="str">
        <f>VLOOKUP(E5929,DATABASE!C:Q,4,false)</f>
        <v>Shell</v>
      </c>
      <c r="R5929" s="93" t="str">
        <f>VLOOKUP(E5929,DATABASE!C:Q,11,false)</f>
        <v>OIL</v>
      </c>
    </row>
    <row r="5930" ht="22.5" customHeight="1">
      <c r="A5930" s="49"/>
      <c r="C5930" s="400">
        <v>46000.0</v>
      </c>
      <c r="D5930" s="524">
        <v>8138.0</v>
      </c>
      <c r="E5930" s="544" t="s">
        <v>974</v>
      </c>
      <c r="F5930" s="387">
        <v>1.0</v>
      </c>
      <c r="G5930" s="140">
        <v>585000.0</v>
      </c>
      <c r="H5930" s="140">
        <v>0.0</v>
      </c>
      <c r="I5930" s="74">
        <f t="shared" si="1"/>
        <v>585000</v>
      </c>
      <c r="J5930" s="74">
        <f>IF(E5930="SERVICE",I5930-(I5930*50%),Vlookup(E5930,DATABASE!C:Q,10,false)*F5930)</f>
        <v>0</v>
      </c>
      <c r="K5930" s="74">
        <f>VLOOKUP(E5930,DATABASE!C:Q,7,false)</f>
        <v>501500</v>
      </c>
      <c r="L5930" s="74">
        <v>491000.0</v>
      </c>
      <c r="M5930" s="74">
        <f t="shared" si="2"/>
        <v>495000</v>
      </c>
      <c r="N5930" s="74">
        <f t="shared" si="3"/>
        <v>90000</v>
      </c>
      <c r="O5930" s="65" t="str">
        <f>VLOOKUP(E5930,DATABASE!C:Q,8,false)</f>
        <v>IBU</v>
      </c>
      <c r="P5930" s="65">
        <f>VLOOKUP(E5930,DATABASE!C:Q,9,False)</f>
        <v>1</v>
      </c>
      <c r="Q5930" s="93" t="str">
        <f>VLOOKUP(E5930,DATABASE!C:Q,4,false)</f>
        <v>Dunlop</v>
      </c>
      <c r="R5930" s="93" t="str">
        <f>VLOOKUP(E5930,DATABASE!C:Q,11,false)</f>
        <v>Tire</v>
      </c>
    </row>
    <row r="5931" ht="22.5" customHeight="1">
      <c r="A5931" s="49"/>
      <c r="C5931" s="400">
        <v>46000.0</v>
      </c>
      <c r="D5931" s="524">
        <v>8139.0</v>
      </c>
      <c r="E5931" s="544" t="s">
        <v>268</v>
      </c>
      <c r="F5931" s="387">
        <v>2.0</v>
      </c>
      <c r="G5931" s="140">
        <v>710000.0</v>
      </c>
      <c r="H5931" s="74"/>
      <c r="I5931" s="74">
        <f t="shared" si="1"/>
        <v>1420000</v>
      </c>
      <c r="J5931" s="74">
        <f>IF(E5931="SERVICE",I5931-(I5931*50%),Vlookup(E5931,DATABASE!C:Q,10,false)*F5931)</f>
        <v>0</v>
      </c>
      <c r="K5931" s="74">
        <f>VLOOKUP(E5931,DATABASE!C:Q,7,false)</f>
        <v>653000</v>
      </c>
      <c r="L5931" s="74">
        <v>622000.0</v>
      </c>
      <c r="M5931" s="74">
        <f t="shared" si="2"/>
        <v>625000</v>
      </c>
      <c r="N5931" s="74">
        <f t="shared" si="3"/>
        <v>170000</v>
      </c>
      <c r="O5931" s="65" t="str">
        <f>VLOOKUP(E5931,DATABASE!C:Q,8,false)</f>
        <v>IBU</v>
      </c>
      <c r="P5931" s="65">
        <f>VLOOKUP(E5931,DATABASE!C:Q,9,False)</f>
        <v>1</v>
      </c>
      <c r="Q5931" s="93" t="str">
        <f>VLOOKUP(E5931,DATABASE!C:Q,4,false)</f>
        <v>Dunlop</v>
      </c>
      <c r="R5931" s="93" t="str">
        <f>VLOOKUP(E5931,DATABASE!C:Q,11,false)</f>
        <v>Tire</v>
      </c>
    </row>
    <row r="5932" ht="22.5" customHeight="1">
      <c r="A5932" s="49"/>
      <c r="C5932" s="400">
        <v>46000.0</v>
      </c>
      <c r="D5932" s="524">
        <v>8140.0</v>
      </c>
      <c r="E5932" s="544" t="s">
        <v>569</v>
      </c>
      <c r="F5932" s="387">
        <v>1.0</v>
      </c>
      <c r="G5932" s="140">
        <v>80000.0</v>
      </c>
      <c r="H5932" s="74"/>
      <c r="I5932" s="74">
        <f t="shared" si="1"/>
        <v>80000</v>
      </c>
      <c r="J5932" s="74">
        <f>IF(E5932="SERVICE",I5932-(I5932*50%),Vlookup(E5932,DATABASE!C:Q,10,false)*F5932)</f>
        <v>0</v>
      </c>
      <c r="K5932" s="74">
        <f>VLOOKUP(E5932,DATABASE!C:Q,7,false)</f>
        <v>45439.582</v>
      </c>
      <c r="L5932" s="74">
        <v>45309.6</v>
      </c>
      <c r="M5932" s="74">
        <f t="shared" si="2"/>
        <v>50000</v>
      </c>
      <c r="N5932" s="74">
        <f t="shared" si="3"/>
        <v>30000</v>
      </c>
      <c r="O5932" s="65" t="str">
        <f>VLOOKUP(E5932,DATABASE!C:Q,8,false)</f>
        <v>BIAN</v>
      </c>
      <c r="P5932" s="65">
        <f>VLOOKUP(E5932,DATABASE!C:Q,9,False)</f>
        <v>1</v>
      </c>
      <c r="Q5932" s="93" t="str">
        <f>VLOOKUP(E5932,DATABASE!C:Q,4,false)</f>
        <v>BD</v>
      </c>
      <c r="R5932" s="93" t="str">
        <f>VLOOKUP(E5932,DATABASE!C:Q,11,false)</f>
        <v>Tire</v>
      </c>
    </row>
    <row r="5933" ht="22.5" customHeight="1">
      <c r="A5933" s="49"/>
      <c r="C5933" s="400">
        <v>46000.0</v>
      </c>
      <c r="D5933" s="524">
        <v>8141.0</v>
      </c>
      <c r="E5933" s="544" t="s">
        <v>605</v>
      </c>
      <c r="F5933" s="387">
        <v>2.0</v>
      </c>
      <c r="G5933" s="140">
        <v>760000.0</v>
      </c>
      <c r="H5933" s="140">
        <v>25000.0</v>
      </c>
      <c r="I5933" s="74">
        <f t="shared" si="1"/>
        <v>1470000</v>
      </c>
      <c r="J5933" s="74">
        <f>IF(E5933="SERVICE",I5933-(I5933*50%),Vlookup(E5933,DATABASE!C:Q,10,false)*F5933)</f>
        <v>0</v>
      </c>
      <c r="K5933" s="74">
        <f>VLOOKUP(E5933,DATABASE!C:Q,7,false)</f>
        <v>675000</v>
      </c>
      <c r="L5933" s="74">
        <v>650000.0</v>
      </c>
      <c r="M5933" s="74">
        <f t="shared" si="2"/>
        <v>650000</v>
      </c>
      <c r="N5933" s="74">
        <f t="shared" si="3"/>
        <v>170000</v>
      </c>
      <c r="O5933" s="65" t="str">
        <f>VLOOKUP(E5933,DATABASE!C:Q,8,false)</f>
        <v>IBU</v>
      </c>
      <c r="P5933" s="65">
        <f>VLOOKUP(E5933,DATABASE!C:Q,9,False)</f>
        <v>1</v>
      </c>
      <c r="Q5933" s="93" t="str">
        <f>VLOOKUP(E5933,DATABASE!C:Q,4,false)</f>
        <v>Bridgestone</v>
      </c>
      <c r="R5933" s="93" t="str">
        <f>VLOOKUP(E5933,DATABASE!C:Q,11,false)</f>
        <v>Tire</v>
      </c>
    </row>
    <row r="5934" ht="22.5" customHeight="1">
      <c r="A5934" s="49"/>
      <c r="C5934" s="400">
        <v>46000.0</v>
      </c>
      <c r="D5934" s="524">
        <v>8141.0</v>
      </c>
      <c r="E5934" s="544" t="s">
        <v>2199</v>
      </c>
      <c r="F5934" s="387">
        <v>1.0</v>
      </c>
      <c r="G5934" s="140">
        <v>15000.0</v>
      </c>
      <c r="H5934" s="74"/>
      <c r="I5934" s="74">
        <f t="shared" si="1"/>
        <v>15000</v>
      </c>
      <c r="J5934" s="74">
        <f>IF(E5934="SERVICE",I5934-(I5934*50%),Vlookup(E5934,DATABASE!C:Q,10,false)*F5934)</f>
        <v>0</v>
      </c>
      <c r="K5934" s="74">
        <f>VLOOKUP(E5934,DATABASE!C:Q,7,false)</f>
        <v>5000</v>
      </c>
      <c r="L5934" s="74">
        <v>0.0</v>
      </c>
      <c r="M5934" s="74">
        <f t="shared" si="2"/>
        <v>0</v>
      </c>
      <c r="N5934" s="74">
        <f t="shared" si="3"/>
        <v>15000</v>
      </c>
      <c r="O5934" s="65" t="str">
        <f>VLOOKUP(E5934,DATABASE!C:Q,8,false)</f>
        <v>BIAN</v>
      </c>
      <c r="P5934" s="65">
        <f>VLOOKUP(E5934,DATABASE!C:Q,9,False)</f>
        <v>0</v>
      </c>
      <c r="Q5934" s="93" t="str">
        <f>VLOOKUP(E5934,DATABASE!C:Q,4,false)</f>
        <v>TAMBAL TUBLES</v>
      </c>
      <c r="R5934" s="93" t="str">
        <f>VLOOKUP(E5934,DATABASE!C:Q,11,false)</f>
        <v>COMPLEMENTARY</v>
      </c>
    </row>
    <row r="5935" ht="22.5" customHeight="1">
      <c r="A5935" s="49"/>
      <c r="C5935" s="400">
        <v>46000.0</v>
      </c>
      <c r="D5935" s="524">
        <v>8142.0</v>
      </c>
      <c r="E5935" s="544" t="s">
        <v>268</v>
      </c>
      <c r="F5935" s="387">
        <v>4.0</v>
      </c>
      <c r="G5935" s="140">
        <v>710000.0</v>
      </c>
      <c r="H5935" s="74"/>
      <c r="I5935" s="74">
        <f t="shared" si="1"/>
        <v>2840000</v>
      </c>
      <c r="J5935" s="74">
        <f>IF(E5935="SERVICE",I5935-(I5935*50%),Vlookup(E5935,DATABASE!C:Q,10,false)*F5935)</f>
        <v>0</v>
      </c>
      <c r="K5935" s="74">
        <f>VLOOKUP(E5935,DATABASE!C:Q,7,false)</f>
        <v>653000</v>
      </c>
      <c r="L5935" s="74">
        <v>622000.0</v>
      </c>
      <c r="M5935" s="74">
        <f t="shared" si="2"/>
        <v>625000</v>
      </c>
      <c r="N5935" s="74">
        <f t="shared" si="3"/>
        <v>340000</v>
      </c>
      <c r="O5935" s="65" t="str">
        <f>VLOOKUP(E5935,DATABASE!C:Q,8,false)</f>
        <v>IBU</v>
      </c>
      <c r="P5935" s="65">
        <f>VLOOKUP(E5935,DATABASE!C:Q,9,False)</f>
        <v>1</v>
      </c>
      <c r="Q5935" s="93" t="str">
        <f>VLOOKUP(E5935,DATABASE!C:Q,4,false)</f>
        <v>Dunlop</v>
      </c>
      <c r="R5935" s="93" t="str">
        <f>VLOOKUP(E5935,DATABASE!C:Q,11,false)</f>
        <v>Tire</v>
      </c>
    </row>
    <row r="5936" ht="22.5" customHeight="1">
      <c r="A5936" s="49"/>
      <c r="C5936" s="400">
        <v>46000.0</v>
      </c>
      <c r="D5936" s="524">
        <v>8143.0</v>
      </c>
      <c r="E5936" s="544" t="s">
        <v>839</v>
      </c>
      <c r="F5936" s="387">
        <v>4.0</v>
      </c>
      <c r="G5936" s="140">
        <v>565000.0</v>
      </c>
      <c r="H5936" s="74"/>
      <c r="I5936" s="74">
        <f t="shared" si="1"/>
        <v>2260000</v>
      </c>
      <c r="J5936" s="74">
        <f>IF(E5936="SERVICE",I5936-(I5936*50%),Vlookup(E5936,DATABASE!C:Q,10,false)*F5936)</f>
        <v>0</v>
      </c>
      <c r="K5936" s="74">
        <f>VLOOKUP(E5936,DATABASE!C:Q,7,false)</f>
        <v>512640</v>
      </c>
      <c r="L5936" s="74">
        <v>475700.0</v>
      </c>
      <c r="M5936" s="74">
        <f t="shared" si="2"/>
        <v>480000</v>
      </c>
      <c r="N5936" s="74">
        <f t="shared" si="3"/>
        <v>340000</v>
      </c>
      <c r="O5936" s="65" t="str">
        <f>VLOOKUP(E5936,DATABASE!C:Q,8,false)</f>
        <v>BIAN</v>
      </c>
      <c r="P5936" s="65">
        <f>VLOOKUP(E5936,DATABASE!C:Q,9,False)</f>
        <v>1</v>
      </c>
      <c r="Q5936" s="93" t="str">
        <f>VLOOKUP(E5936,DATABASE!C:Q,4,false)</f>
        <v>GT</v>
      </c>
      <c r="R5936" s="93" t="str">
        <f>VLOOKUP(E5936,DATABASE!C:Q,11,false)</f>
        <v>Tire</v>
      </c>
    </row>
    <row r="5937" ht="22.5" customHeight="1">
      <c r="A5937" s="49"/>
      <c r="C5937" s="400">
        <v>46000.0</v>
      </c>
      <c r="D5937" s="524">
        <v>8143.0</v>
      </c>
      <c r="E5937" s="544" t="s">
        <v>299</v>
      </c>
      <c r="F5937" s="387">
        <v>2.0</v>
      </c>
      <c r="G5937" s="140">
        <v>30000.0</v>
      </c>
      <c r="H5937" s="74"/>
      <c r="I5937" s="74">
        <f t="shared" si="1"/>
        <v>60000</v>
      </c>
      <c r="J5937" s="74">
        <f>IF(E5937="SERVICE",I5937-(I5937*50%),Vlookup(E5937,DATABASE!C:Q,10,false)*F5937)</f>
        <v>0</v>
      </c>
      <c r="K5937" s="74">
        <f>VLOOKUP(E5937,DATABASE!C:Q,7,false)</f>
        <v>10000</v>
      </c>
      <c r="L5937" s="74">
        <v>5000.0</v>
      </c>
      <c r="M5937" s="74">
        <f t="shared" si="2"/>
        <v>5000</v>
      </c>
      <c r="N5937" s="74">
        <f t="shared" si="3"/>
        <v>50000</v>
      </c>
      <c r="O5937" s="65" t="str">
        <f>VLOOKUP(E5937,DATABASE!C:Q,8,false)</f>
        <v>BIAN</v>
      </c>
      <c r="P5937" s="65">
        <f>VLOOKUP(E5937,DATABASE!C:Q,9,False)</f>
        <v>0</v>
      </c>
      <c r="Q5937" s="93" t="str">
        <f>VLOOKUP(E5937,DATABASE!C:Q,4,false)</f>
        <v>Balancing</v>
      </c>
      <c r="R5937" s="93" t="str">
        <f>VLOOKUP(E5937,DATABASE!C:Q,11,false)</f>
        <v>COMPLEMENTARY</v>
      </c>
    </row>
    <row r="5938" ht="22.5" customHeight="1">
      <c r="A5938" s="49"/>
      <c r="C5938" s="400">
        <v>46000.0</v>
      </c>
      <c r="D5938" s="524">
        <v>8143.0</v>
      </c>
      <c r="E5938" s="544" t="s">
        <v>256</v>
      </c>
      <c r="F5938" s="387">
        <v>1.0</v>
      </c>
      <c r="G5938" s="140">
        <v>150000.0</v>
      </c>
      <c r="H5938" s="140">
        <v>20000.0</v>
      </c>
      <c r="I5938" s="74">
        <f t="shared" si="1"/>
        <v>130000</v>
      </c>
      <c r="J5938" s="74">
        <f>IF(E5938="SERVICE",I5938-(I5938*50%),Vlookup(E5938,DATABASE!C:Q,10,false)*F5938)</f>
        <v>10000</v>
      </c>
      <c r="K5938" s="74">
        <f>VLOOKUP(E5938,DATABASE!C:Q,7,false)</f>
        <v>0</v>
      </c>
      <c r="L5938" s="74">
        <v>0.0</v>
      </c>
      <c r="M5938" s="74">
        <f t="shared" si="2"/>
        <v>0</v>
      </c>
      <c r="N5938" s="74">
        <f t="shared" si="3"/>
        <v>120000</v>
      </c>
      <c r="O5938" s="65" t="str">
        <f>VLOOKUP(E5938,DATABASE!C:Q,8,false)</f>
        <v>IBU</v>
      </c>
      <c r="P5938" s="65">
        <f>VLOOKUP(E5938,DATABASE!C:Q,9,False)</f>
        <v>0</v>
      </c>
      <c r="Q5938" s="93" t="str">
        <f>VLOOKUP(E5938,DATABASE!C:Q,4,false)</f>
        <v>SPOORING</v>
      </c>
      <c r="R5938" s="93" t="str">
        <f>VLOOKUP(E5938,DATABASE!C:Q,11,false)</f>
        <v>SERVICE</v>
      </c>
    </row>
    <row r="5939" ht="22.5" customHeight="1">
      <c r="A5939" s="49"/>
      <c r="C5939" s="400">
        <v>46000.0</v>
      </c>
      <c r="D5939" s="524">
        <v>8143.0</v>
      </c>
      <c r="E5939" s="544" t="s">
        <v>301</v>
      </c>
      <c r="F5939" s="387">
        <v>1.0</v>
      </c>
      <c r="G5939" s="140">
        <v>250000.0</v>
      </c>
      <c r="H5939" s="74"/>
      <c r="I5939" s="74">
        <f t="shared" si="1"/>
        <v>250000</v>
      </c>
      <c r="J5939" s="74">
        <f>IF(E5939="SERVICE",I5939-(I5939*50%),Vlookup(E5939,DATABASE!C:Q,10,false)*F5939)</f>
        <v>75000</v>
      </c>
      <c r="K5939" s="74">
        <f>VLOOKUP(E5939,DATABASE!C:Q,7,false)</f>
        <v>75000</v>
      </c>
      <c r="L5939" s="74">
        <v>75000.0</v>
      </c>
      <c r="M5939" s="74">
        <f t="shared" si="2"/>
        <v>75000</v>
      </c>
      <c r="N5939" s="74">
        <f t="shared" si="3"/>
        <v>100000</v>
      </c>
      <c r="O5939" s="65" t="str">
        <f>VLOOKUP(E5939,DATABASE!C:Q,8,false)</f>
        <v>BIAN</v>
      </c>
      <c r="P5939" s="65">
        <f>VLOOKUP(E5939,DATABASE!C:Q,9,False)</f>
        <v>0</v>
      </c>
      <c r="Q5939" s="93" t="str">
        <f>VLOOKUP(E5939,DATABASE!C:Q,4,false)</f>
        <v>Baut Camber</v>
      </c>
      <c r="R5939" s="93" t="str">
        <f>VLOOKUP(E5939,DATABASE!C:Q,11,false)</f>
        <v>COMPLEMENTARY</v>
      </c>
    </row>
    <row r="5940" ht="22.5" customHeight="1">
      <c r="A5940" s="49"/>
      <c r="C5940" s="400">
        <v>46000.0</v>
      </c>
      <c r="D5940" s="524">
        <v>8144.0</v>
      </c>
      <c r="E5940" s="544" t="s">
        <v>777</v>
      </c>
      <c r="F5940" s="387">
        <v>1.0</v>
      </c>
      <c r="G5940" s="140">
        <v>600000.0</v>
      </c>
      <c r="H5940" s="140">
        <v>15000.0</v>
      </c>
      <c r="I5940" s="74">
        <f t="shared" si="1"/>
        <v>585000</v>
      </c>
      <c r="J5940" s="74">
        <f>IF(E5940="SERVICE",I5940-(I5940*50%),Vlookup(E5940,DATABASE!C:Q,10,false)*F5940)</f>
        <v>0</v>
      </c>
      <c r="K5940" s="74">
        <f>VLOOKUP(E5940,DATABASE!C:Q,7,false)</f>
        <v>540000</v>
      </c>
      <c r="L5940" s="74">
        <v>507000.0</v>
      </c>
      <c r="M5940" s="74">
        <f t="shared" si="2"/>
        <v>510000</v>
      </c>
      <c r="N5940" s="74">
        <f t="shared" si="3"/>
        <v>75000</v>
      </c>
      <c r="O5940" s="65" t="str">
        <f>VLOOKUP(E5940,DATABASE!C:Q,8,false)</f>
        <v>BIAN</v>
      </c>
      <c r="P5940" s="65">
        <f>VLOOKUP(E5940,DATABASE!C:Q,9,False)</f>
        <v>1</v>
      </c>
      <c r="Q5940" s="93" t="str">
        <f>VLOOKUP(E5940,DATABASE!C:Q,4,false)</f>
        <v>GT</v>
      </c>
      <c r="R5940" s="93" t="str">
        <f>VLOOKUP(E5940,DATABASE!C:Q,11,false)</f>
        <v>Tire</v>
      </c>
    </row>
    <row r="5941" ht="22.5" customHeight="1">
      <c r="A5941" s="49"/>
      <c r="C5941" s="400">
        <v>46000.0</v>
      </c>
      <c r="D5941" s="524">
        <v>8145.0</v>
      </c>
      <c r="E5941" s="544" t="s">
        <v>256</v>
      </c>
      <c r="F5941" s="387">
        <v>1.0</v>
      </c>
      <c r="G5941" s="140">
        <v>150000.0</v>
      </c>
      <c r="H5941" s="140">
        <v>20000.0</v>
      </c>
      <c r="I5941" s="74">
        <f t="shared" si="1"/>
        <v>130000</v>
      </c>
      <c r="J5941" s="74">
        <f>IF(E5941="SERVICE",I5941-(I5941*50%),Vlookup(E5941,DATABASE!C:Q,10,false)*F5941)</f>
        <v>10000</v>
      </c>
      <c r="K5941" s="74">
        <f>VLOOKUP(E5941,DATABASE!C:Q,7,false)</f>
        <v>0</v>
      </c>
      <c r="L5941" s="74">
        <v>0.0</v>
      </c>
      <c r="M5941" s="74">
        <f t="shared" si="2"/>
        <v>0</v>
      </c>
      <c r="N5941" s="74">
        <f t="shared" si="3"/>
        <v>120000</v>
      </c>
      <c r="O5941" s="65" t="str">
        <f>VLOOKUP(E5941,DATABASE!C:Q,8,false)</f>
        <v>IBU</v>
      </c>
      <c r="P5941" s="65">
        <f>VLOOKUP(E5941,DATABASE!C:Q,9,False)</f>
        <v>0</v>
      </c>
      <c r="Q5941" s="93" t="str">
        <f>VLOOKUP(E5941,DATABASE!C:Q,4,false)</f>
        <v>SPOORING</v>
      </c>
      <c r="R5941" s="93" t="str">
        <f>VLOOKUP(E5941,DATABASE!C:Q,11,false)</f>
        <v>SERVICE</v>
      </c>
    </row>
    <row r="5942" ht="22.5" customHeight="1">
      <c r="A5942" s="49"/>
      <c r="C5942" s="400">
        <v>46000.0</v>
      </c>
      <c r="D5942" s="524">
        <v>8146.0</v>
      </c>
      <c r="E5942" s="544" t="s">
        <v>265</v>
      </c>
      <c r="F5942" s="387">
        <v>2.0</v>
      </c>
      <c r="G5942" s="140">
        <v>685000.0</v>
      </c>
      <c r="H5942" s="74"/>
      <c r="I5942" s="74">
        <f t="shared" si="1"/>
        <v>1370000</v>
      </c>
      <c r="J5942" s="74">
        <f>IF(E5942="SERVICE",I5942-(I5942*50%),Vlookup(E5942,DATABASE!C:Q,10,false)*F5942)</f>
        <v>0</v>
      </c>
      <c r="K5942" s="74">
        <f>VLOOKUP(E5942,DATABASE!C:Q,7,false)</f>
        <v>628000</v>
      </c>
      <c r="L5942" s="74">
        <v>600000.0</v>
      </c>
      <c r="M5942" s="74">
        <f t="shared" si="2"/>
        <v>600000</v>
      </c>
      <c r="N5942" s="74">
        <f t="shared" si="3"/>
        <v>170000</v>
      </c>
      <c r="O5942" s="65" t="str">
        <f>VLOOKUP(E5942,DATABASE!C:Q,8,false)</f>
        <v>IBU</v>
      </c>
      <c r="P5942" s="65">
        <f>VLOOKUP(E5942,DATABASE!C:Q,9,False)</f>
        <v>1</v>
      </c>
      <c r="Q5942" s="93" t="str">
        <f>VLOOKUP(E5942,DATABASE!C:Q,4,false)</f>
        <v>Dunlop</v>
      </c>
      <c r="R5942" s="93" t="str">
        <f>VLOOKUP(E5942,DATABASE!C:Q,11,false)</f>
        <v>Tire</v>
      </c>
    </row>
    <row r="5943" ht="22.5" customHeight="1">
      <c r="A5943" s="49"/>
      <c r="C5943" s="400">
        <v>46000.0</v>
      </c>
      <c r="D5943" s="524">
        <v>8146.0</v>
      </c>
      <c r="E5943" s="544" t="s">
        <v>262</v>
      </c>
      <c r="F5943" s="387">
        <v>1.0</v>
      </c>
      <c r="G5943" s="140">
        <v>110000.0</v>
      </c>
      <c r="H5943" s="74"/>
      <c r="I5943" s="74">
        <f t="shared" si="1"/>
        <v>110000</v>
      </c>
      <c r="J5943" s="74">
        <f>IF(E5943="SERVICE",I5943-(I5943*50%),Vlookup(E5943,DATABASE!C:Q,10,false)*F5943)</f>
        <v>5000</v>
      </c>
      <c r="K5943" s="74">
        <f>VLOOKUP(E5943,DATABASE!C:Q,7,false)</f>
        <v>0</v>
      </c>
      <c r="L5943" s="74">
        <v>0.0</v>
      </c>
      <c r="M5943" s="74">
        <f t="shared" si="2"/>
        <v>0</v>
      </c>
      <c r="N5943" s="74">
        <f t="shared" si="3"/>
        <v>105000</v>
      </c>
      <c r="O5943" s="65" t="str">
        <f>VLOOKUP(E5943,DATABASE!C:Q,8,false)</f>
        <v>IBU</v>
      </c>
      <c r="P5943" s="65">
        <f>VLOOKUP(E5943,DATABASE!C:Q,9,False)</f>
        <v>0</v>
      </c>
      <c r="Q5943" s="93" t="str">
        <f>VLOOKUP(E5943,DATABASE!C:Q,4,false)</f>
        <v>SPOORING SS/CARRY LOS BAK</v>
      </c>
      <c r="R5943" s="93" t="str">
        <f>VLOOKUP(E5943,DATABASE!C:Q,11,false)</f>
        <v>SERVICE</v>
      </c>
    </row>
    <row r="5944" ht="22.5" customHeight="1">
      <c r="A5944" s="49"/>
      <c r="C5944" s="400">
        <v>46000.0</v>
      </c>
      <c r="D5944" s="524">
        <v>8146.0</v>
      </c>
      <c r="E5944" s="544" t="s">
        <v>305</v>
      </c>
      <c r="F5944" s="387">
        <v>1.0</v>
      </c>
      <c r="G5944" s="140">
        <v>235000.0</v>
      </c>
      <c r="H5944" s="74"/>
      <c r="I5944" s="74">
        <f t="shared" si="1"/>
        <v>235000</v>
      </c>
      <c r="J5944" s="74">
        <f>IF(E5944="SERVICE",I5944-(I5944*50%),Vlookup(E5944,DATABASE!C:Q,10,false)*F5944)</f>
        <v>40000</v>
      </c>
      <c r="K5944" s="74">
        <f>VLOOKUP(E5944,DATABASE!C:Q,7,false)</f>
        <v>158530.2</v>
      </c>
      <c r="L5944" s="74">
        <v>151890.0</v>
      </c>
      <c r="M5944" s="74">
        <f t="shared" si="2"/>
        <v>155000</v>
      </c>
      <c r="N5944" s="74">
        <f t="shared" si="3"/>
        <v>40000</v>
      </c>
      <c r="O5944" s="65" t="str">
        <f>VLOOKUP(E5944,DATABASE!C:Q,8,false)</f>
        <v>BIAN</v>
      </c>
      <c r="P5944" s="65">
        <f>VLOOKUP(E5944,DATABASE!C:Q,9,False)</f>
        <v>1</v>
      </c>
      <c r="Q5944" s="93" t="str">
        <f>VLOOKUP(E5944,DATABASE!C:Q,4,false)</f>
        <v>Lower Arm</v>
      </c>
      <c r="R5944" s="93" t="str">
        <f>VLOOKUP(E5944,DATABASE!C:Q,11,false)</f>
        <v>COMPLEMENTARY</v>
      </c>
    </row>
    <row r="5945" ht="22.5" customHeight="1">
      <c r="A5945" s="49"/>
      <c r="C5945" s="400">
        <v>46000.0</v>
      </c>
      <c r="D5945" s="524">
        <v>8146.0</v>
      </c>
      <c r="E5945" s="544" t="s">
        <v>251</v>
      </c>
      <c r="F5945" s="387">
        <v>1.0</v>
      </c>
      <c r="G5945" s="140">
        <v>350000.0</v>
      </c>
      <c r="H5945" s="140">
        <v>230000.0</v>
      </c>
      <c r="I5945" s="74">
        <f t="shared" si="1"/>
        <v>120000</v>
      </c>
      <c r="J5945" s="74">
        <f>IF(E5945="SERVICE",I5945-(I5945*50%),Vlookup(E5945,DATABASE!C:Q,10,false)*F5945)</f>
        <v>60000</v>
      </c>
      <c r="K5945" s="74">
        <f>VLOOKUP(E5945,DATABASE!C:Q,7,false)</f>
        <v>0</v>
      </c>
      <c r="L5945" s="74">
        <v>0.0</v>
      </c>
      <c r="M5945" s="74">
        <f t="shared" si="2"/>
        <v>0</v>
      </c>
      <c r="N5945" s="74">
        <f t="shared" si="3"/>
        <v>60000</v>
      </c>
      <c r="O5945" s="65" t="str">
        <f>VLOOKUP(E5945,DATABASE!C:Q,8,false)</f>
        <v>IBU</v>
      </c>
      <c r="P5945" s="65">
        <f>VLOOKUP(E5945,DATABASE!C:Q,9,False)</f>
        <v>0</v>
      </c>
      <c r="Q5945" s="93" t="str">
        <f>VLOOKUP(E5945,DATABASE!C:Q,4,false)</f>
        <v>SERVICE</v>
      </c>
      <c r="R5945" s="93" t="str">
        <f>VLOOKUP(E5945,DATABASE!C:Q,11,false)</f>
        <v>SERVICE</v>
      </c>
    </row>
    <row r="5946" ht="22.5" customHeight="1">
      <c r="A5946" s="49"/>
      <c r="C5946" s="400">
        <v>46001.0</v>
      </c>
      <c r="D5946" s="69">
        <v>8148.0</v>
      </c>
      <c r="E5946" s="544" t="s">
        <v>268</v>
      </c>
      <c r="F5946" s="387">
        <v>1.0</v>
      </c>
      <c r="G5946" s="140">
        <v>710000.0</v>
      </c>
      <c r="H5946" s="74"/>
      <c r="I5946" s="74">
        <f t="shared" si="1"/>
        <v>710000</v>
      </c>
      <c r="J5946" s="74">
        <f>IF(E5946="SERVICE",I5946-(I5946*50%),Vlookup(E5946,DATABASE!C:Q,10,false)*F5946)</f>
        <v>0</v>
      </c>
      <c r="K5946" s="74">
        <f>VLOOKUP(E5946,DATABASE!C:Q,7,false)</f>
        <v>653000</v>
      </c>
      <c r="L5946" s="74">
        <v>622000.0</v>
      </c>
      <c r="M5946" s="74">
        <f t="shared" si="2"/>
        <v>625000</v>
      </c>
      <c r="N5946" s="74">
        <f t="shared" si="3"/>
        <v>85000</v>
      </c>
      <c r="O5946" s="65" t="str">
        <f>VLOOKUP(E5946,DATABASE!C:Q,8,false)</f>
        <v>IBU</v>
      </c>
      <c r="P5946" s="65">
        <f>VLOOKUP(E5946,DATABASE!C:Q,9,False)</f>
        <v>1</v>
      </c>
      <c r="Q5946" s="93" t="str">
        <f>VLOOKUP(E5946,DATABASE!C:Q,4,false)</f>
        <v>Dunlop</v>
      </c>
      <c r="R5946" s="93" t="str">
        <f>VLOOKUP(E5946,DATABASE!C:Q,11,false)</f>
        <v>Tire</v>
      </c>
    </row>
    <row r="5947" ht="22.5" customHeight="1">
      <c r="A5947" s="49"/>
      <c r="C5947" s="400">
        <v>46001.0</v>
      </c>
      <c r="D5947" s="69">
        <v>8149.0</v>
      </c>
      <c r="E5947" s="544" t="s">
        <v>1606</v>
      </c>
      <c r="F5947" s="387">
        <v>1.0</v>
      </c>
      <c r="G5947" s="140">
        <v>1750000.0</v>
      </c>
      <c r="H5947" s="74"/>
      <c r="I5947" s="74">
        <f t="shared" si="1"/>
        <v>1750000</v>
      </c>
      <c r="J5947" s="74">
        <f>IF(E5947="SERVICE",I5947-(I5947*50%),Vlookup(E5947,DATABASE!C:Q,10,false)*F5947)</f>
        <v>0</v>
      </c>
      <c r="K5947" s="74">
        <f>VLOOKUP(E5947,DATABASE!C:Q,7,false)</f>
        <v>1635000</v>
      </c>
      <c r="L5947" s="74">
        <v>1635000.0</v>
      </c>
      <c r="M5947" s="74">
        <f t="shared" si="2"/>
        <v>1635000</v>
      </c>
      <c r="N5947" s="74">
        <f t="shared" si="3"/>
        <v>115000</v>
      </c>
      <c r="O5947" s="65" t="str">
        <f>VLOOKUP(E5947,DATABASE!C:Q,8,false)</f>
        <v>IBU</v>
      </c>
      <c r="P5947" s="65">
        <f>VLOOKUP(E5947,DATABASE!C:Q,9,False)</f>
        <v>0</v>
      </c>
      <c r="Q5947" s="93" t="str">
        <f>VLOOKUP(E5947,DATABASE!C:Q,4,false)</f>
        <v>Dunlop</v>
      </c>
      <c r="R5947" s="93" t="str">
        <f>VLOOKUP(E5947,DATABASE!C:Q,11,false)</f>
        <v>Tire</v>
      </c>
    </row>
    <row r="5948" ht="22.5" customHeight="1">
      <c r="A5948" s="49"/>
      <c r="C5948" s="400">
        <v>46001.0</v>
      </c>
      <c r="D5948" s="69">
        <v>8150.0</v>
      </c>
      <c r="E5948" s="544" t="s">
        <v>566</v>
      </c>
      <c r="F5948" s="387">
        <v>2.0</v>
      </c>
      <c r="G5948" s="140">
        <v>1670000.0</v>
      </c>
      <c r="H5948" s="140">
        <v>20000.0</v>
      </c>
      <c r="I5948" s="74">
        <f t="shared" si="1"/>
        <v>3300000</v>
      </c>
      <c r="J5948" s="74">
        <f>IF(E5948="SERVICE",I5948-(I5948*50%),Vlookup(E5948,DATABASE!C:Q,10,false)*F5948)</f>
        <v>0</v>
      </c>
      <c r="K5948" s="74">
        <f>VLOOKUP(E5948,DATABASE!C:Q,7,false)</f>
        <v>1565000</v>
      </c>
      <c r="L5948" s="74">
        <v>1545000.0</v>
      </c>
      <c r="M5948" s="74">
        <f t="shared" si="2"/>
        <v>1545000</v>
      </c>
      <c r="N5948" s="74">
        <f t="shared" si="3"/>
        <v>210000</v>
      </c>
      <c r="O5948" s="65" t="str">
        <f>VLOOKUP(E5948,DATABASE!C:Q,8,false)</f>
        <v>IBU</v>
      </c>
      <c r="P5948" s="65">
        <f>VLOOKUP(E5948,DATABASE!C:Q,9,False)</f>
        <v>1</v>
      </c>
      <c r="Q5948" s="93" t="str">
        <f>VLOOKUP(E5948,DATABASE!C:Q,4,false)</f>
        <v>Bridgestone</v>
      </c>
      <c r="R5948" s="93" t="str">
        <f>VLOOKUP(E5948,DATABASE!C:Q,11,false)</f>
        <v>Tire</v>
      </c>
    </row>
    <row r="5949" ht="22.5" customHeight="1">
      <c r="A5949" s="49"/>
      <c r="C5949" s="400">
        <v>46001.0</v>
      </c>
      <c r="D5949" s="524">
        <v>8152.0</v>
      </c>
      <c r="E5949" s="544" t="s">
        <v>275</v>
      </c>
      <c r="F5949" s="387">
        <v>1.0</v>
      </c>
      <c r="G5949" s="140">
        <v>830000.0</v>
      </c>
      <c r="H5949" s="74"/>
      <c r="I5949" s="74">
        <f t="shared" si="1"/>
        <v>830000</v>
      </c>
      <c r="J5949" s="74">
        <f>IF(E5949="SERVICE",I5949-(I5949*50%),Vlookup(E5949,DATABASE!C:Q,10,false)*F5949)</f>
        <v>0</v>
      </c>
      <c r="K5949" s="74">
        <f>VLOOKUP(E5949,DATABASE!C:Q,7,false)</f>
        <v>782000</v>
      </c>
      <c r="L5949" s="74">
        <v>745000.0</v>
      </c>
      <c r="M5949" s="74">
        <f t="shared" si="2"/>
        <v>745000</v>
      </c>
      <c r="N5949" s="74">
        <f t="shared" si="3"/>
        <v>85000</v>
      </c>
      <c r="O5949" s="65" t="str">
        <f>VLOOKUP(E5949,DATABASE!C:Q,8,false)</f>
        <v>IBU</v>
      </c>
      <c r="P5949" s="65">
        <f>VLOOKUP(E5949,DATABASE!C:Q,9,False)</f>
        <v>1</v>
      </c>
      <c r="Q5949" s="93" t="str">
        <f>VLOOKUP(E5949,DATABASE!C:Q,4,false)</f>
        <v>Dunlop</v>
      </c>
      <c r="R5949" s="93" t="str">
        <f>VLOOKUP(E5949,DATABASE!C:Q,11,false)</f>
        <v>Tire</v>
      </c>
    </row>
    <row r="5950" ht="22.5" customHeight="1">
      <c r="A5950" s="49"/>
      <c r="C5950" s="400">
        <v>46001.0</v>
      </c>
      <c r="D5950" s="524">
        <v>8153.0</v>
      </c>
      <c r="E5950" s="544" t="s">
        <v>287</v>
      </c>
      <c r="F5950" s="387">
        <v>2.0</v>
      </c>
      <c r="G5950" s="140">
        <v>780000.0</v>
      </c>
      <c r="H5950" s="74"/>
      <c r="I5950" s="74">
        <f t="shared" si="1"/>
        <v>1560000</v>
      </c>
      <c r="J5950" s="74">
        <f>IF(E5950="SERVICE",I5950-(I5950*50%),Vlookup(E5950,DATABASE!C:Q,10,false)*F5950)</f>
        <v>0</v>
      </c>
      <c r="K5950" s="74">
        <f>VLOOKUP(E5950,DATABASE!C:Q,7,false)</f>
        <v>711000</v>
      </c>
      <c r="L5950" s="74">
        <v>690600.0</v>
      </c>
      <c r="M5950" s="74">
        <f t="shared" si="2"/>
        <v>695000</v>
      </c>
      <c r="N5950" s="74">
        <f t="shared" si="3"/>
        <v>170000</v>
      </c>
      <c r="O5950" s="65" t="str">
        <f>VLOOKUP(E5950,DATABASE!C:Q,8,false)</f>
        <v>BIAN</v>
      </c>
      <c r="P5950" s="65">
        <f>VLOOKUP(E5950,DATABASE!C:Q,9,False)</f>
        <v>1</v>
      </c>
      <c r="Q5950" s="93" t="str">
        <f>VLOOKUP(E5950,DATABASE!C:Q,4,false)</f>
        <v>GT</v>
      </c>
      <c r="R5950" s="93" t="str">
        <f>VLOOKUP(E5950,DATABASE!C:Q,11,false)</f>
        <v>Tire</v>
      </c>
    </row>
    <row r="5951" ht="22.5" customHeight="1">
      <c r="A5951" s="49"/>
      <c r="C5951" s="400">
        <v>46001.0</v>
      </c>
      <c r="D5951" s="524">
        <v>8154.0</v>
      </c>
      <c r="E5951" s="544" t="s">
        <v>282</v>
      </c>
      <c r="F5951" s="387">
        <v>2.0</v>
      </c>
      <c r="G5951" s="140">
        <v>870000.0</v>
      </c>
      <c r="H5951" s="74"/>
      <c r="I5951" s="74">
        <f t="shared" si="1"/>
        <v>1740000</v>
      </c>
      <c r="J5951" s="74">
        <f>IF(E5951="SERVICE",I5951-(I5951*50%),Vlookup(E5951,DATABASE!C:Q,10,false)*F5951)</f>
        <v>0</v>
      </c>
      <c r="K5951" s="74">
        <f>VLOOKUP(E5951,DATABASE!C:Q,7,false)</f>
        <v>779500</v>
      </c>
      <c r="L5951" s="74">
        <v>771000.0</v>
      </c>
      <c r="M5951" s="74">
        <f t="shared" si="2"/>
        <v>775000</v>
      </c>
      <c r="N5951" s="74">
        <f t="shared" si="3"/>
        <v>190000</v>
      </c>
      <c r="O5951" s="65" t="str">
        <f>VLOOKUP(E5951,DATABASE!C:Q,8,false)</f>
        <v>IBU</v>
      </c>
      <c r="P5951" s="65">
        <f>VLOOKUP(E5951,DATABASE!C:Q,9,False)</f>
        <v>1</v>
      </c>
      <c r="Q5951" s="93" t="str">
        <f>VLOOKUP(E5951,DATABASE!C:Q,4,false)</f>
        <v>Dunlop</v>
      </c>
      <c r="R5951" s="93" t="str">
        <f>VLOOKUP(E5951,DATABASE!C:Q,11,false)</f>
        <v>Tire</v>
      </c>
    </row>
    <row r="5952" ht="22.5" customHeight="1">
      <c r="A5952" s="49"/>
      <c r="C5952" s="400">
        <v>46001.0</v>
      </c>
      <c r="D5952" s="524">
        <v>8155.0</v>
      </c>
      <c r="E5952" s="544" t="s">
        <v>856</v>
      </c>
      <c r="F5952" s="387">
        <v>2.0</v>
      </c>
      <c r="G5952" s="140">
        <v>670000.0</v>
      </c>
      <c r="H5952" s="74"/>
      <c r="I5952" s="74">
        <f t="shared" si="1"/>
        <v>1340000</v>
      </c>
      <c r="J5952" s="74">
        <f>IF(E5952="SERVICE",I5952-(I5952*50%),Vlookup(E5952,DATABASE!C:Q,10,false)*F5952)</f>
        <v>0</v>
      </c>
      <c r="K5952" s="74">
        <f>VLOOKUP(E5952,DATABASE!C:Q,7,false)</f>
        <v>615300</v>
      </c>
      <c r="L5952" s="74">
        <v>581120.0</v>
      </c>
      <c r="M5952" s="74">
        <f t="shared" si="2"/>
        <v>585000</v>
      </c>
      <c r="N5952" s="74">
        <f t="shared" si="3"/>
        <v>170000</v>
      </c>
      <c r="O5952" s="65" t="str">
        <f>VLOOKUP(E5952,DATABASE!C:Q,8,false)</f>
        <v>BIAN</v>
      </c>
      <c r="P5952" s="65">
        <f>VLOOKUP(E5952,DATABASE!C:Q,9,False)</f>
        <v>1</v>
      </c>
      <c r="Q5952" s="93" t="str">
        <f>VLOOKUP(E5952,DATABASE!C:Q,4,false)</f>
        <v>GT</v>
      </c>
      <c r="R5952" s="93" t="str">
        <f>VLOOKUP(E5952,DATABASE!C:Q,11,false)</f>
        <v>Tire</v>
      </c>
    </row>
    <row r="5953" ht="22.5" customHeight="1">
      <c r="A5953" s="49"/>
      <c r="C5953" s="400">
        <v>46001.0</v>
      </c>
      <c r="D5953" s="524">
        <v>8155.0</v>
      </c>
      <c r="E5953" s="544" t="s">
        <v>271</v>
      </c>
      <c r="F5953" s="387">
        <v>1.0</v>
      </c>
      <c r="G5953" s="140">
        <v>630000.0</v>
      </c>
      <c r="H5953" s="74"/>
      <c r="I5953" s="74">
        <f t="shared" si="1"/>
        <v>630000</v>
      </c>
      <c r="J5953" s="74">
        <f>IF(E5953="SERVICE",I5953-(I5953*50%),Vlookup(E5953,DATABASE!C:Q,10,false)*F5953)</f>
        <v>0</v>
      </c>
      <c r="K5953" s="74">
        <f>VLOOKUP(E5953,DATABASE!C:Q,7,false)</f>
        <v>570000</v>
      </c>
      <c r="L5953" s="74">
        <v>539000.0</v>
      </c>
      <c r="M5953" s="74">
        <f t="shared" si="2"/>
        <v>540000</v>
      </c>
      <c r="N5953" s="74">
        <f t="shared" si="3"/>
        <v>90000</v>
      </c>
      <c r="O5953" s="65" t="str">
        <f>VLOOKUP(E5953,DATABASE!C:Q,8,false)</f>
        <v>IBU</v>
      </c>
      <c r="P5953" s="65">
        <f>VLOOKUP(E5953,DATABASE!C:Q,9,False)</f>
        <v>1</v>
      </c>
      <c r="Q5953" s="93" t="str">
        <f>VLOOKUP(E5953,DATABASE!C:Q,4,false)</f>
        <v>Dunlop</v>
      </c>
      <c r="R5953" s="93" t="str">
        <f>VLOOKUP(E5953,DATABASE!C:Q,11,false)</f>
        <v>Tire</v>
      </c>
    </row>
    <row r="5954" ht="22.5" customHeight="1">
      <c r="A5954" s="49"/>
      <c r="C5954" s="400">
        <v>46001.0</v>
      </c>
      <c r="D5954" s="524">
        <v>8156.0</v>
      </c>
      <c r="E5954" s="544" t="s">
        <v>256</v>
      </c>
      <c r="F5954" s="387">
        <v>1.0</v>
      </c>
      <c r="G5954" s="140">
        <v>150000.0</v>
      </c>
      <c r="H5954" s="140">
        <v>20000.0</v>
      </c>
      <c r="I5954" s="74">
        <f t="shared" si="1"/>
        <v>130000</v>
      </c>
      <c r="J5954" s="74">
        <f>IF(E5954="SERVICE",I5954-(I5954*50%),Vlookup(E5954,DATABASE!C:Q,10,false)*F5954)</f>
        <v>10000</v>
      </c>
      <c r="K5954" s="74">
        <f>VLOOKUP(E5954,DATABASE!C:Q,7,false)</f>
        <v>0</v>
      </c>
      <c r="L5954" s="74">
        <v>0.0</v>
      </c>
      <c r="M5954" s="74">
        <f t="shared" si="2"/>
        <v>0</v>
      </c>
      <c r="N5954" s="74">
        <f t="shared" si="3"/>
        <v>120000</v>
      </c>
      <c r="O5954" s="65" t="str">
        <f>VLOOKUP(E5954,DATABASE!C:Q,8,false)</f>
        <v>IBU</v>
      </c>
      <c r="P5954" s="65">
        <f>VLOOKUP(E5954,DATABASE!C:Q,9,False)</f>
        <v>0</v>
      </c>
      <c r="Q5954" s="93" t="str">
        <f>VLOOKUP(E5954,DATABASE!C:Q,4,false)</f>
        <v>SPOORING</v>
      </c>
      <c r="R5954" s="93" t="str">
        <f>VLOOKUP(E5954,DATABASE!C:Q,11,false)</f>
        <v>SERVICE</v>
      </c>
    </row>
    <row r="5955" ht="22.5" customHeight="1">
      <c r="A5955" s="49"/>
      <c r="C5955" s="400">
        <v>46001.0</v>
      </c>
      <c r="D5955" s="524">
        <v>8156.0</v>
      </c>
      <c r="E5955" s="544" t="s">
        <v>251</v>
      </c>
      <c r="F5955" s="387">
        <v>1.0</v>
      </c>
      <c r="G5955" s="140">
        <v>350000.0</v>
      </c>
      <c r="H5955" s="140">
        <v>200000.0</v>
      </c>
      <c r="I5955" s="74">
        <f t="shared" si="1"/>
        <v>150000</v>
      </c>
      <c r="J5955" s="74">
        <f>IF(E5955="SERVICE",I5955-(I5955*50%),Vlookup(E5955,DATABASE!C:Q,10,false)*F5955)</f>
        <v>75000</v>
      </c>
      <c r="K5955" s="74">
        <f>VLOOKUP(E5955,DATABASE!C:Q,7,false)</f>
        <v>0</v>
      </c>
      <c r="L5955" s="74">
        <v>0.0</v>
      </c>
      <c r="M5955" s="74">
        <f t="shared" si="2"/>
        <v>0</v>
      </c>
      <c r="N5955" s="74">
        <f t="shared" si="3"/>
        <v>75000</v>
      </c>
      <c r="O5955" s="65" t="str">
        <f>VLOOKUP(E5955,DATABASE!C:Q,8,false)</f>
        <v>IBU</v>
      </c>
      <c r="P5955" s="65">
        <f>VLOOKUP(E5955,DATABASE!C:Q,9,False)</f>
        <v>0</v>
      </c>
      <c r="Q5955" s="93" t="str">
        <f>VLOOKUP(E5955,DATABASE!C:Q,4,false)</f>
        <v>SERVICE</v>
      </c>
      <c r="R5955" s="93" t="str">
        <f>VLOOKUP(E5955,DATABASE!C:Q,11,false)</f>
        <v>SERVICE</v>
      </c>
    </row>
    <row r="5956" ht="22.5" customHeight="1">
      <c r="A5956" s="49"/>
      <c r="C5956" s="400">
        <v>46001.0</v>
      </c>
      <c r="D5956" s="524">
        <v>8157.0</v>
      </c>
      <c r="E5956" s="544" t="s">
        <v>271</v>
      </c>
      <c r="F5956" s="387">
        <v>2.0</v>
      </c>
      <c r="G5956" s="140">
        <v>630000.0</v>
      </c>
      <c r="H5956" s="140">
        <v>0.0</v>
      </c>
      <c r="I5956" s="74">
        <f t="shared" si="1"/>
        <v>1260000</v>
      </c>
      <c r="J5956" s="74">
        <f>IF(E5956="SERVICE",I5956-(I5956*50%),Vlookup(E5956,DATABASE!C:Q,10,false)*F5956)</f>
        <v>0</v>
      </c>
      <c r="K5956" s="74">
        <f>VLOOKUP(E5956,DATABASE!C:Q,7,false)</f>
        <v>570000</v>
      </c>
      <c r="L5956" s="74">
        <v>539000.0</v>
      </c>
      <c r="M5956" s="74">
        <f t="shared" si="2"/>
        <v>540000</v>
      </c>
      <c r="N5956" s="74">
        <f t="shared" si="3"/>
        <v>180000</v>
      </c>
      <c r="O5956" s="65" t="str">
        <f>VLOOKUP(E5956,DATABASE!C:Q,8,false)</f>
        <v>IBU</v>
      </c>
      <c r="P5956" s="65">
        <f>VLOOKUP(E5956,DATABASE!C:Q,9,False)</f>
        <v>1</v>
      </c>
      <c r="Q5956" s="93" t="str">
        <f>VLOOKUP(E5956,DATABASE!C:Q,4,false)</f>
        <v>Dunlop</v>
      </c>
      <c r="R5956" s="93" t="str">
        <f>VLOOKUP(E5956,DATABASE!C:Q,11,false)</f>
        <v>Tire</v>
      </c>
    </row>
    <row r="5957" ht="22.5" customHeight="1">
      <c r="A5957" s="49"/>
      <c r="C5957" s="400">
        <v>46001.0</v>
      </c>
      <c r="D5957" s="524">
        <v>8157.0</v>
      </c>
      <c r="E5957" s="544" t="s">
        <v>600</v>
      </c>
      <c r="F5957" s="387">
        <v>1.0</v>
      </c>
      <c r="G5957" s="140">
        <v>675000.0</v>
      </c>
      <c r="H5957" s="74"/>
      <c r="I5957" s="74">
        <f t="shared" si="1"/>
        <v>675000</v>
      </c>
      <c r="J5957" s="74">
        <f>IF(E5957="SERVICE",I5957-(I5957*50%),Vlookup(E5957,DATABASE!C:Q,10,false)*F5957)</f>
        <v>0</v>
      </c>
      <c r="K5957" s="74">
        <f>VLOOKUP(E5957,DATABASE!C:Q,7,false)</f>
        <v>611109.16</v>
      </c>
      <c r="L5957" s="74">
        <v>572762.4</v>
      </c>
      <c r="M5957" s="74">
        <f t="shared" si="2"/>
        <v>575000</v>
      </c>
      <c r="N5957" s="74">
        <f t="shared" si="3"/>
        <v>100000</v>
      </c>
      <c r="O5957" s="65" t="str">
        <f>VLOOKUP(E5957,DATABASE!C:Q,8,false)</f>
        <v>IBU</v>
      </c>
      <c r="P5957" s="65">
        <f>VLOOKUP(E5957,DATABASE!C:Q,9,False)</f>
        <v>1</v>
      </c>
      <c r="Q5957" s="93" t="str">
        <f>VLOOKUP(E5957,DATABASE!C:Q,4,false)</f>
        <v>Bridgestone</v>
      </c>
      <c r="R5957" s="93" t="str">
        <f>VLOOKUP(E5957,DATABASE!C:Q,11,false)</f>
        <v>Tire</v>
      </c>
    </row>
    <row r="5958" ht="22.5" customHeight="1">
      <c r="A5958" s="49"/>
      <c r="C5958" s="400">
        <v>46001.0</v>
      </c>
      <c r="D5958" s="524">
        <v>8159.0</v>
      </c>
      <c r="E5958" s="544" t="s">
        <v>1301</v>
      </c>
      <c r="F5958" s="387">
        <v>4.0</v>
      </c>
      <c r="G5958" s="140">
        <v>1285000.0</v>
      </c>
      <c r="H5958" s="74"/>
      <c r="I5958" s="74">
        <f t="shared" si="1"/>
        <v>5140000</v>
      </c>
      <c r="J5958" s="74">
        <f>IF(E5958="SERVICE",I5958-(I5958*50%),Vlookup(E5958,DATABASE!C:Q,10,false)*F5958)</f>
        <v>0</v>
      </c>
      <c r="K5958" s="74">
        <f>VLOOKUP(E5958,DATABASE!C:Q,7,false)</f>
        <v>1194000</v>
      </c>
      <c r="L5958" s="74">
        <v>1182000.0</v>
      </c>
      <c r="M5958" s="74">
        <f t="shared" si="2"/>
        <v>1185000</v>
      </c>
      <c r="N5958" s="74">
        <f t="shared" si="3"/>
        <v>400000</v>
      </c>
      <c r="O5958" s="65" t="str">
        <f>VLOOKUP(E5958,DATABASE!C:Q,8,false)</f>
        <v>IBU</v>
      </c>
      <c r="P5958" s="65">
        <f>VLOOKUP(E5958,DATABASE!C:Q,9,False)</f>
        <v>1</v>
      </c>
      <c r="Q5958" s="93" t="str">
        <f>VLOOKUP(E5958,DATABASE!C:Q,4,false)</f>
        <v>Dunlop</v>
      </c>
      <c r="R5958" s="93" t="str">
        <f>VLOOKUP(E5958,DATABASE!C:Q,11,false)</f>
        <v>Tire</v>
      </c>
    </row>
    <row r="5959" ht="22.5" customHeight="1">
      <c r="A5959" s="49"/>
      <c r="C5959" s="400">
        <v>46001.0</v>
      </c>
      <c r="D5959" s="524">
        <v>8159.0</v>
      </c>
      <c r="E5959" s="544" t="s">
        <v>299</v>
      </c>
      <c r="F5959" s="387">
        <v>2.0</v>
      </c>
      <c r="G5959" s="140">
        <v>30000.0</v>
      </c>
      <c r="H5959" s="74"/>
      <c r="I5959" s="74">
        <f t="shared" si="1"/>
        <v>60000</v>
      </c>
      <c r="J5959" s="74">
        <f>IF(E5959="SERVICE",I5959-(I5959*50%),Vlookup(E5959,DATABASE!C:Q,10,false)*F5959)</f>
        <v>0</v>
      </c>
      <c r="K5959" s="74">
        <f>VLOOKUP(E5959,DATABASE!C:Q,7,false)</f>
        <v>10000</v>
      </c>
      <c r="L5959" s="74">
        <v>5000.0</v>
      </c>
      <c r="M5959" s="74">
        <f t="shared" si="2"/>
        <v>5000</v>
      </c>
      <c r="N5959" s="74">
        <f t="shared" si="3"/>
        <v>50000</v>
      </c>
      <c r="O5959" s="65" t="str">
        <f>VLOOKUP(E5959,DATABASE!C:Q,8,false)</f>
        <v>BIAN</v>
      </c>
      <c r="P5959" s="65">
        <f>VLOOKUP(E5959,DATABASE!C:Q,9,False)</f>
        <v>0</v>
      </c>
      <c r="Q5959" s="93" t="str">
        <f>VLOOKUP(E5959,DATABASE!C:Q,4,false)</f>
        <v>Balancing</v>
      </c>
      <c r="R5959" s="93" t="str">
        <f>VLOOKUP(E5959,DATABASE!C:Q,11,false)</f>
        <v>COMPLEMENTARY</v>
      </c>
    </row>
    <row r="5960" ht="22.5" customHeight="1">
      <c r="A5960" s="49"/>
      <c r="C5960" s="400">
        <v>46001.0</v>
      </c>
      <c r="D5960" s="524">
        <v>8159.0</v>
      </c>
      <c r="E5960" s="544" t="s">
        <v>256</v>
      </c>
      <c r="F5960" s="387">
        <v>1.0</v>
      </c>
      <c r="G5960" s="140">
        <v>150000.0</v>
      </c>
      <c r="H5960" s="140">
        <v>20000.0</v>
      </c>
      <c r="I5960" s="74">
        <f t="shared" si="1"/>
        <v>130000</v>
      </c>
      <c r="J5960" s="74">
        <f>IF(E5960="SERVICE",I5960-(I5960*50%),Vlookup(E5960,DATABASE!C:Q,10,false)*F5960)</f>
        <v>10000</v>
      </c>
      <c r="K5960" s="74">
        <f>VLOOKUP(E5960,DATABASE!C:Q,7,false)</f>
        <v>0</v>
      </c>
      <c r="L5960" s="74">
        <v>0.0</v>
      </c>
      <c r="M5960" s="74">
        <f t="shared" si="2"/>
        <v>0</v>
      </c>
      <c r="N5960" s="74">
        <f t="shared" si="3"/>
        <v>120000</v>
      </c>
      <c r="O5960" s="65" t="str">
        <f>VLOOKUP(E5960,DATABASE!C:Q,8,false)</f>
        <v>IBU</v>
      </c>
      <c r="P5960" s="65">
        <f>VLOOKUP(E5960,DATABASE!C:Q,9,False)</f>
        <v>0</v>
      </c>
      <c r="Q5960" s="93" t="str">
        <f>VLOOKUP(E5960,DATABASE!C:Q,4,false)</f>
        <v>SPOORING</v>
      </c>
      <c r="R5960" s="93" t="str">
        <f>VLOOKUP(E5960,DATABASE!C:Q,11,false)</f>
        <v>SERVICE</v>
      </c>
    </row>
    <row r="5961" ht="22.5" customHeight="1">
      <c r="A5961" s="49"/>
      <c r="C5961" s="400">
        <v>46001.0</v>
      </c>
      <c r="D5961" s="524">
        <v>8159.0</v>
      </c>
      <c r="E5961" s="544" t="s">
        <v>301</v>
      </c>
      <c r="F5961" s="387">
        <v>1.0</v>
      </c>
      <c r="G5961" s="140">
        <v>250000.0</v>
      </c>
      <c r="H5961" s="74"/>
      <c r="I5961" s="74">
        <f t="shared" si="1"/>
        <v>250000</v>
      </c>
      <c r="J5961" s="74">
        <f>IF(E5961="SERVICE",I5961-(I5961*50%),Vlookup(E5961,DATABASE!C:Q,10,false)*F5961)</f>
        <v>75000</v>
      </c>
      <c r="K5961" s="74">
        <f>VLOOKUP(E5961,DATABASE!C:Q,7,false)</f>
        <v>75000</v>
      </c>
      <c r="L5961" s="74">
        <v>75000.0</v>
      </c>
      <c r="M5961" s="74">
        <f t="shared" si="2"/>
        <v>75000</v>
      </c>
      <c r="N5961" s="74">
        <f t="shared" si="3"/>
        <v>100000</v>
      </c>
      <c r="O5961" s="65" t="str">
        <f>VLOOKUP(E5961,DATABASE!C:Q,8,false)</f>
        <v>BIAN</v>
      </c>
      <c r="P5961" s="65">
        <f>VLOOKUP(E5961,DATABASE!C:Q,9,False)</f>
        <v>0</v>
      </c>
      <c r="Q5961" s="93" t="str">
        <f>VLOOKUP(E5961,DATABASE!C:Q,4,false)</f>
        <v>Baut Camber</v>
      </c>
      <c r="R5961" s="93" t="str">
        <f>VLOOKUP(E5961,DATABASE!C:Q,11,false)</f>
        <v>COMPLEMENTARY</v>
      </c>
    </row>
    <row r="5962" ht="22.5" customHeight="1">
      <c r="A5962" s="49"/>
      <c r="C5962" s="400">
        <v>46001.0</v>
      </c>
      <c r="D5962" s="524">
        <v>8160.0</v>
      </c>
      <c r="E5962" s="544" t="s">
        <v>268</v>
      </c>
      <c r="F5962" s="387">
        <v>1.0</v>
      </c>
      <c r="G5962" s="140">
        <v>710000.0</v>
      </c>
      <c r="H5962" s="74"/>
      <c r="I5962" s="74">
        <f t="shared" si="1"/>
        <v>710000</v>
      </c>
      <c r="J5962" s="74">
        <f>IF(E5962="SERVICE",I5962-(I5962*50%),Vlookup(E5962,DATABASE!C:Q,10,false)*F5962)</f>
        <v>0</v>
      </c>
      <c r="K5962" s="74">
        <f>VLOOKUP(E5962,DATABASE!C:Q,7,false)</f>
        <v>653000</v>
      </c>
      <c r="L5962" s="74">
        <v>622000.0</v>
      </c>
      <c r="M5962" s="74">
        <f t="shared" si="2"/>
        <v>625000</v>
      </c>
      <c r="N5962" s="74">
        <f t="shared" si="3"/>
        <v>85000</v>
      </c>
      <c r="O5962" s="65" t="str">
        <f>VLOOKUP(E5962,DATABASE!C:Q,8,false)</f>
        <v>IBU</v>
      </c>
      <c r="P5962" s="65">
        <f>VLOOKUP(E5962,DATABASE!C:Q,9,False)</f>
        <v>1</v>
      </c>
      <c r="Q5962" s="93" t="str">
        <f>VLOOKUP(E5962,DATABASE!C:Q,4,false)</f>
        <v>Dunlop</v>
      </c>
      <c r="R5962" s="93" t="str">
        <f>VLOOKUP(E5962,DATABASE!C:Q,11,false)</f>
        <v>Tire</v>
      </c>
    </row>
    <row r="5963" ht="22.5" customHeight="1">
      <c r="A5963" s="49"/>
      <c r="C5963" s="400">
        <v>46001.0</v>
      </c>
      <c r="D5963" s="524">
        <v>8351.0</v>
      </c>
      <c r="E5963" s="544" t="s">
        <v>256</v>
      </c>
      <c r="F5963" s="387">
        <v>1.0</v>
      </c>
      <c r="G5963" s="140">
        <v>150000.0</v>
      </c>
      <c r="H5963" s="140">
        <v>20000.0</v>
      </c>
      <c r="I5963" s="74">
        <f t="shared" si="1"/>
        <v>130000</v>
      </c>
      <c r="J5963" s="74">
        <f>IF(E5963="SERVICE",I5963-(I5963*50%),Vlookup(E5963,DATABASE!C:Q,10,false)*F5963)</f>
        <v>10000</v>
      </c>
      <c r="K5963" s="74">
        <f>VLOOKUP(E5963,DATABASE!C:Q,7,false)</f>
        <v>0</v>
      </c>
      <c r="L5963" s="74">
        <v>0.0</v>
      </c>
      <c r="M5963" s="74">
        <f t="shared" si="2"/>
        <v>0</v>
      </c>
      <c r="N5963" s="74">
        <f t="shared" si="3"/>
        <v>120000</v>
      </c>
      <c r="O5963" s="65" t="str">
        <f>VLOOKUP(E5963,DATABASE!C:Q,8,false)</f>
        <v>IBU</v>
      </c>
      <c r="P5963" s="65">
        <f>VLOOKUP(E5963,DATABASE!C:Q,9,False)</f>
        <v>0</v>
      </c>
      <c r="Q5963" s="93" t="str">
        <f>VLOOKUP(E5963,DATABASE!C:Q,4,false)</f>
        <v>SPOORING</v>
      </c>
      <c r="R5963" s="93" t="str">
        <f>VLOOKUP(E5963,DATABASE!C:Q,11,false)</f>
        <v>SERVICE</v>
      </c>
    </row>
    <row r="5964" ht="22.5" customHeight="1">
      <c r="A5964" s="49"/>
      <c r="C5964" s="400">
        <v>46001.0</v>
      </c>
      <c r="D5964" s="524">
        <v>8351.0</v>
      </c>
      <c r="E5964" s="544" t="s">
        <v>251</v>
      </c>
      <c r="F5964" s="387">
        <v>1.0</v>
      </c>
      <c r="G5964" s="140">
        <v>350000.0</v>
      </c>
      <c r="H5964" s="140">
        <v>200000.0</v>
      </c>
      <c r="I5964" s="74">
        <f t="shared" si="1"/>
        <v>150000</v>
      </c>
      <c r="J5964" s="74">
        <f>IF(E5964="SERVICE",I5964-(I5964*50%),Vlookup(E5964,DATABASE!C:Q,10,false)*F5964)</f>
        <v>75000</v>
      </c>
      <c r="K5964" s="74">
        <f>VLOOKUP(E5964,DATABASE!C:Q,7,false)</f>
        <v>0</v>
      </c>
      <c r="L5964" s="74">
        <v>0.0</v>
      </c>
      <c r="M5964" s="74">
        <f t="shared" si="2"/>
        <v>0</v>
      </c>
      <c r="N5964" s="74">
        <f t="shared" si="3"/>
        <v>75000</v>
      </c>
      <c r="O5964" s="65" t="str">
        <f>VLOOKUP(E5964,DATABASE!C:Q,8,false)</f>
        <v>IBU</v>
      </c>
      <c r="P5964" s="65">
        <f>VLOOKUP(E5964,DATABASE!C:Q,9,False)</f>
        <v>0</v>
      </c>
      <c r="Q5964" s="93" t="str">
        <f>VLOOKUP(E5964,DATABASE!C:Q,4,false)</f>
        <v>SERVICE</v>
      </c>
      <c r="R5964" s="93" t="str">
        <f>VLOOKUP(E5964,DATABASE!C:Q,11,false)</f>
        <v>SERVICE</v>
      </c>
    </row>
    <row r="5965" ht="22.5" customHeight="1">
      <c r="A5965" s="49"/>
      <c r="C5965" s="400">
        <v>46001.0</v>
      </c>
      <c r="D5965" s="69" t="s">
        <v>2653</v>
      </c>
      <c r="E5965" s="544" t="s">
        <v>263</v>
      </c>
      <c r="F5965" s="387">
        <v>1.0</v>
      </c>
      <c r="G5965" s="140">
        <v>320000.0</v>
      </c>
      <c r="H5965" s="74"/>
      <c r="I5965" s="74">
        <f t="shared" si="1"/>
        <v>320000</v>
      </c>
      <c r="J5965" s="74">
        <f>IF(E5965="SERVICE",I5965-(I5965*50%),Vlookup(E5965,DATABASE!C:Q,10,false)*F5965)</f>
        <v>0</v>
      </c>
      <c r="K5965" s="74">
        <f>VLOOKUP(E5965,DATABASE!C:Q,7,false)</f>
        <v>334916</v>
      </c>
      <c r="L5965" s="74">
        <v>287688.0</v>
      </c>
      <c r="M5965" s="74">
        <f t="shared" si="2"/>
        <v>290000</v>
      </c>
      <c r="N5965" s="74">
        <f t="shared" si="3"/>
        <v>30000</v>
      </c>
      <c r="O5965" s="65" t="str">
        <f>VLOOKUP(E5965,DATABASE!C:Q,8,false)</f>
        <v>NON</v>
      </c>
      <c r="P5965" s="65">
        <f>VLOOKUP(E5965,DATABASE!C:Q,9,False)</f>
        <v>0</v>
      </c>
      <c r="Q5965" s="93" t="str">
        <f>VLOOKUP(E5965,DATABASE!C:Q,4,false)</f>
        <v>Shell</v>
      </c>
      <c r="R5965" s="93" t="str">
        <f>VLOOKUP(E5965,DATABASE!C:Q,11,false)</f>
        <v>OIL</v>
      </c>
    </row>
    <row r="5966" ht="22.5" customHeight="1">
      <c r="A5966" s="49"/>
      <c r="C5966" s="400">
        <v>46002.0</v>
      </c>
      <c r="D5966" s="524">
        <v>8162.0</v>
      </c>
      <c r="E5966" s="544" t="s">
        <v>744</v>
      </c>
      <c r="F5966" s="387">
        <v>1.0</v>
      </c>
      <c r="G5966" s="140">
        <v>230000.0</v>
      </c>
      <c r="H5966" s="74"/>
      <c r="I5966" s="74">
        <f t="shared" si="1"/>
        <v>230000</v>
      </c>
      <c r="J5966" s="74">
        <f>IF(E5966="SERVICE",I5966-(I5966*50%),Vlookup(E5966,DATABASE!C:Q,10,false)*F5966)</f>
        <v>0</v>
      </c>
      <c r="K5966" s="74">
        <f>VLOOKUP(E5966,DATABASE!C:Q,7,false)</f>
        <v>182200</v>
      </c>
      <c r="L5966" s="74">
        <v>199920.0</v>
      </c>
      <c r="M5966" s="74">
        <f t="shared" si="2"/>
        <v>200000</v>
      </c>
      <c r="N5966" s="74">
        <f t="shared" si="3"/>
        <v>30000</v>
      </c>
      <c r="O5966" s="65" t="str">
        <f>VLOOKUP(E5966,DATABASE!C:Q,8,false)</f>
        <v>BIAN</v>
      </c>
      <c r="P5966" s="65">
        <f>VLOOKUP(E5966,DATABASE!C:Q,9,False)</f>
        <v>1</v>
      </c>
      <c r="Q5966" s="93" t="str">
        <f>VLOOKUP(E5966,DATABASE!C:Q,4,false)</f>
        <v>BD</v>
      </c>
      <c r="R5966" s="93" t="str">
        <f>VLOOKUP(E5966,DATABASE!C:Q,11,false)</f>
        <v>Tire</v>
      </c>
    </row>
    <row r="5967" ht="22.5" customHeight="1">
      <c r="A5967" s="49"/>
      <c r="C5967" s="400">
        <v>46002.0</v>
      </c>
      <c r="D5967" s="524">
        <v>8163.0</v>
      </c>
      <c r="E5967" s="544" t="s">
        <v>265</v>
      </c>
      <c r="F5967" s="387">
        <v>2.0</v>
      </c>
      <c r="G5967" s="140">
        <v>685000.0</v>
      </c>
      <c r="H5967" s="74"/>
      <c r="I5967" s="74">
        <f t="shared" si="1"/>
        <v>1370000</v>
      </c>
      <c r="J5967" s="74">
        <f>IF(E5967="SERVICE",I5967-(I5967*50%),Vlookup(E5967,DATABASE!C:Q,10,false)*F5967)</f>
        <v>0</v>
      </c>
      <c r="K5967" s="74">
        <f>VLOOKUP(E5967,DATABASE!C:Q,7,false)</f>
        <v>628000</v>
      </c>
      <c r="L5967" s="74">
        <v>600000.0</v>
      </c>
      <c r="M5967" s="74">
        <f t="shared" si="2"/>
        <v>600000</v>
      </c>
      <c r="N5967" s="74">
        <f t="shared" si="3"/>
        <v>170000</v>
      </c>
      <c r="O5967" s="65" t="str">
        <f>VLOOKUP(E5967,DATABASE!C:Q,8,false)</f>
        <v>IBU</v>
      </c>
      <c r="P5967" s="65">
        <f>VLOOKUP(E5967,DATABASE!C:Q,9,False)</f>
        <v>1</v>
      </c>
      <c r="Q5967" s="93" t="str">
        <f>VLOOKUP(E5967,DATABASE!C:Q,4,false)</f>
        <v>Dunlop</v>
      </c>
      <c r="R5967" s="93" t="str">
        <f>VLOOKUP(E5967,DATABASE!C:Q,11,false)</f>
        <v>Tire</v>
      </c>
    </row>
    <row r="5968" ht="22.5" customHeight="1">
      <c r="A5968" s="49"/>
      <c r="C5968" s="400">
        <v>46002.0</v>
      </c>
      <c r="D5968" s="524">
        <v>8163.0</v>
      </c>
      <c r="E5968" s="544" t="s">
        <v>605</v>
      </c>
      <c r="F5968" s="387">
        <v>2.0</v>
      </c>
      <c r="G5968" s="140">
        <v>760000.0</v>
      </c>
      <c r="H5968" s="140">
        <v>25000.0</v>
      </c>
      <c r="I5968" s="74">
        <f t="shared" si="1"/>
        <v>1470000</v>
      </c>
      <c r="J5968" s="74">
        <f>IF(E5968="SERVICE",I5968-(I5968*50%),Vlookup(E5968,DATABASE!C:Q,10,false)*F5968)</f>
        <v>0</v>
      </c>
      <c r="K5968" s="74">
        <f>VLOOKUP(E5968,DATABASE!C:Q,7,false)</f>
        <v>675000</v>
      </c>
      <c r="L5968" s="74">
        <v>650000.0</v>
      </c>
      <c r="M5968" s="74">
        <f t="shared" si="2"/>
        <v>650000</v>
      </c>
      <c r="N5968" s="74">
        <f t="shared" si="3"/>
        <v>170000</v>
      </c>
      <c r="O5968" s="65" t="str">
        <f>VLOOKUP(E5968,DATABASE!C:Q,8,false)</f>
        <v>IBU</v>
      </c>
      <c r="P5968" s="65">
        <f>VLOOKUP(E5968,DATABASE!C:Q,9,False)</f>
        <v>1</v>
      </c>
      <c r="Q5968" s="93" t="str">
        <f>VLOOKUP(E5968,DATABASE!C:Q,4,false)</f>
        <v>Bridgestone</v>
      </c>
      <c r="R5968" s="93" t="str">
        <f>VLOOKUP(E5968,DATABASE!C:Q,11,false)</f>
        <v>Tire</v>
      </c>
    </row>
    <row r="5969" ht="22.5" customHeight="1">
      <c r="A5969" s="49"/>
      <c r="C5969" s="400">
        <v>46002.0</v>
      </c>
      <c r="D5969" s="524">
        <v>8163.0</v>
      </c>
      <c r="E5969" s="544" t="s">
        <v>299</v>
      </c>
      <c r="F5969" s="387">
        <v>2.0</v>
      </c>
      <c r="G5969" s="140">
        <v>30000.0</v>
      </c>
      <c r="H5969" s="74"/>
      <c r="I5969" s="74">
        <f t="shared" si="1"/>
        <v>60000</v>
      </c>
      <c r="J5969" s="74">
        <f>IF(E5969="SERVICE",I5969-(I5969*50%),Vlookup(E5969,DATABASE!C:Q,10,false)*F5969)</f>
        <v>0</v>
      </c>
      <c r="K5969" s="74">
        <f>VLOOKUP(E5969,DATABASE!C:Q,7,false)</f>
        <v>10000</v>
      </c>
      <c r="L5969" s="74">
        <v>5000.0</v>
      </c>
      <c r="M5969" s="74">
        <f t="shared" si="2"/>
        <v>5000</v>
      </c>
      <c r="N5969" s="74">
        <f t="shared" si="3"/>
        <v>50000</v>
      </c>
      <c r="O5969" s="65" t="str">
        <f>VLOOKUP(E5969,DATABASE!C:Q,8,false)</f>
        <v>BIAN</v>
      </c>
      <c r="P5969" s="65">
        <f>VLOOKUP(E5969,DATABASE!C:Q,9,False)</f>
        <v>0</v>
      </c>
      <c r="Q5969" s="93" t="str">
        <f>VLOOKUP(E5969,DATABASE!C:Q,4,false)</f>
        <v>Balancing</v>
      </c>
      <c r="R5969" s="93" t="str">
        <f>VLOOKUP(E5969,DATABASE!C:Q,11,false)</f>
        <v>COMPLEMENTARY</v>
      </c>
    </row>
    <row r="5970" ht="22.5" customHeight="1">
      <c r="A5970" s="49"/>
      <c r="C5970" s="400">
        <v>46002.0</v>
      </c>
      <c r="D5970" s="524">
        <v>8163.0</v>
      </c>
      <c r="E5970" s="544" t="s">
        <v>256</v>
      </c>
      <c r="F5970" s="387">
        <v>1.0</v>
      </c>
      <c r="G5970" s="140">
        <v>150000.0</v>
      </c>
      <c r="H5970" s="140">
        <v>30000.0</v>
      </c>
      <c r="I5970" s="74">
        <f t="shared" si="1"/>
        <v>120000</v>
      </c>
      <c r="J5970" s="74">
        <f>IF(E5970="SERVICE",I5970-(I5970*50%),Vlookup(E5970,DATABASE!C:Q,10,false)*F5970)</f>
        <v>10000</v>
      </c>
      <c r="K5970" s="74">
        <f>VLOOKUP(E5970,DATABASE!C:Q,7,false)</f>
        <v>0</v>
      </c>
      <c r="L5970" s="74">
        <v>0.0</v>
      </c>
      <c r="M5970" s="74">
        <f t="shared" si="2"/>
        <v>0</v>
      </c>
      <c r="N5970" s="74">
        <f t="shared" si="3"/>
        <v>110000</v>
      </c>
      <c r="O5970" s="65" t="str">
        <f>VLOOKUP(E5970,DATABASE!C:Q,8,false)</f>
        <v>IBU</v>
      </c>
      <c r="P5970" s="65">
        <f>VLOOKUP(E5970,DATABASE!C:Q,9,False)</f>
        <v>0</v>
      </c>
      <c r="Q5970" s="93" t="str">
        <f>VLOOKUP(E5970,DATABASE!C:Q,4,false)</f>
        <v>SPOORING</v>
      </c>
      <c r="R5970" s="93" t="str">
        <f>VLOOKUP(E5970,DATABASE!C:Q,11,false)</f>
        <v>SERVICE</v>
      </c>
    </row>
    <row r="5971" ht="22.5" customHeight="1">
      <c r="A5971" s="49"/>
      <c r="C5971" s="400">
        <v>46002.0</v>
      </c>
      <c r="D5971" s="524">
        <v>8163.0</v>
      </c>
      <c r="E5971" s="544" t="s">
        <v>301</v>
      </c>
      <c r="F5971" s="387">
        <v>1.0</v>
      </c>
      <c r="G5971" s="140">
        <v>250000.0</v>
      </c>
      <c r="H5971" s="74"/>
      <c r="I5971" s="74">
        <f t="shared" si="1"/>
        <v>250000</v>
      </c>
      <c r="J5971" s="74">
        <f>IF(E5971="SERVICE",I5971-(I5971*50%),Vlookup(E5971,DATABASE!C:Q,10,false)*F5971)</f>
        <v>75000</v>
      </c>
      <c r="K5971" s="74">
        <f>VLOOKUP(E5971,DATABASE!C:Q,7,false)</f>
        <v>75000</v>
      </c>
      <c r="L5971" s="74">
        <v>75000.0</v>
      </c>
      <c r="M5971" s="74">
        <f t="shared" si="2"/>
        <v>75000</v>
      </c>
      <c r="N5971" s="74">
        <f t="shared" si="3"/>
        <v>100000</v>
      </c>
      <c r="O5971" s="65" t="str">
        <f>VLOOKUP(E5971,DATABASE!C:Q,8,false)</f>
        <v>BIAN</v>
      </c>
      <c r="P5971" s="65">
        <f>VLOOKUP(E5971,DATABASE!C:Q,9,False)</f>
        <v>0</v>
      </c>
      <c r="Q5971" s="93" t="str">
        <f>VLOOKUP(E5971,DATABASE!C:Q,4,false)</f>
        <v>Baut Camber</v>
      </c>
      <c r="R5971" s="93" t="str">
        <f>VLOOKUP(E5971,DATABASE!C:Q,11,false)</f>
        <v>COMPLEMENTARY</v>
      </c>
    </row>
    <row r="5972" ht="22.5" customHeight="1">
      <c r="A5972" s="49"/>
      <c r="C5972" s="400">
        <v>46002.0</v>
      </c>
      <c r="D5972" s="524">
        <v>8164.0</v>
      </c>
      <c r="E5972" s="544" t="s">
        <v>1033</v>
      </c>
      <c r="F5972" s="387">
        <v>4.0</v>
      </c>
      <c r="G5972" s="140">
        <v>760000.0</v>
      </c>
      <c r="H5972" s="140">
        <v>25000.0</v>
      </c>
      <c r="I5972" s="74">
        <f t="shared" si="1"/>
        <v>2940000</v>
      </c>
      <c r="J5972" s="74">
        <f>IF(E5972="SERVICE",I5972-(I5972*50%),Vlookup(E5972,DATABASE!C:Q,10,false)*F5972)</f>
        <v>0</v>
      </c>
      <c r="K5972" s="74">
        <f>VLOOKUP(E5972,DATABASE!C:Q,7,false)</f>
        <v>680512</v>
      </c>
      <c r="L5972" s="74">
        <v>644205.6</v>
      </c>
      <c r="M5972" s="74">
        <f t="shared" si="2"/>
        <v>645000</v>
      </c>
      <c r="N5972" s="74">
        <f t="shared" si="3"/>
        <v>360000</v>
      </c>
      <c r="O5972" s="65" t="str">
        <f>VLOOKUP(E5972,DATABASE!C:Q,8,false)</f>
        <v>IBU</v>
      </c>
      <c r="P5972" s="65">
        <f>VLOOKUP(E5972,DATABASE!C:Q,9,False)</f>
        <v>1</v>
      </c>
      <c r="Q5972" s="93" t="str">
        <f>VLOOKUP(E5972,DATABASE!C:Q,4,false)</f>
        <v>Bridgestone</v>
      </c>
      <c r="R5972" s="93" t="str">
        <f>VLOOKUP(E5972,DATABASE!C:Q,11,false)</f>
        <v>Tire</v>
      </c>
    </row>
    <row r="5973" ht="22.5" customHeight="1">
      <c r="A5973" s="49"/>
      <c r="C5973" s="400">
        <v>46002.0</v>
      </c>
      <c r="D5973" s="524">
        <v>8166.0</v>
      </c>
      <c r="E5973" s="544" t="s">
        <v>268</v>
      </c>
      <c r="F5973" s="387">
        <v>1.0</v>
      </c>
      <c r="G5973" s="140">
        <v>710000.0</v>
      </c>
      <c r="H5973" s="74"/>
      <c r="I5973" s="74">
        <f t="shared" si="1"/>
        <v>710000</v>
      </c>
      <c r="J5973" s="74">
        <f>IF(E5973="SERVICE",I5973-(I5973*50%),Vlookup(E5973,DATABASE!C:Q,10,false)*F5973)</f>
        <v>0</v>
      </c>
      <c r="K5973" s="74">
        <f>VLOOKUP(E5973,DATABASE!C:Q,7,false)</f>
        <v>653000</v>
      </c>
      <c r="L5973" s="74">
        <v>622000.0</v>
      </c>
      <c r="M5973" s="74">
        <f t="shared" si="2"/>
        <v>625000</v>
      </c>
      <c r="N5973" s="74">
        <f t="shared" si="3"/>
        <v>85000</v>
      </c>
      <c r="O5973" s="65" t="str">
        <f>VLOOKUP(E5973,DATABASE!C:Q,8,false)</f>
        <v>IBU</v>
      </c>
      <c r="P5973" s="65">
        <f>VLOOKUP(E5973,DATABASE!C:Q,9,False)</f>
        <v>1</v>
      </c>
      <c r="Q5973" s="93" t="str">
        <f>VLOOKUP(E5973,DATABASE!C:Q,4,false)</f>
        <v>Dunlop</v>
      </c>
      <c r="R5973" s="93" t="str">
        <f>VLOOKUP(E5973,DATABASE!C:Q,11,false)</f>
        <v>Tire</v>
      </c>
    </row>
    <row r="5974" ht="22.5" customHeight="1">
      <c r="A5974" s="49"/>
      <c r="C5974" s="400">
        <v>46002.0</v>
      </c>
      <c r="D5974" s="524">
        <v>8167.0</v>
      </c>
      <c r="E5974" s="544" t="s">
        <v>256</v>
      </c>
      <c r="F5974" s="387">
        <v>1.0</v>
      </c>
      <c r="G5974" s="140">
        <v>150000.0</v>
      </c>
      <c r="H5974" s="140">
        <v>20000.0</v>
      </c>
      <c r="I5974" s="74">
        <f t="shared" si="1"/>
        <v>130000</v>
      </c>
      <c r="J5974" s="74">
        <f>IF(E5974="SERVICE",I5974-(I5974*50%),Vlookup(E5974,DATABASE!C:Q,10,false)*F5974)</f>
        <v>10000</v>
      </c>
      <c r="K5974" s="74">
        <f>VLOOKUP(E5974,DATABASE!C:Q,7,false)</f>
        <v>0</v>
      </c>
      <c r="L5974" s="74">
        <v>0.0</v>
      </c>
      <c r="M5974" s="74">
        <f t="shared" si="2"/>
        <v>0</v>
      </c>
      <c r="N5974" s="74">
        <f t="shared" si="3"/>
        <v>120000</v>
      </c>
      <c r="O5974" s="65" t="str">
        <f>VLOOKUP(E5974,DATABASE!C:Q,8,false)</f>
        <v>IBU</v>
      </c>
      <c r="P5974" s="65">
        <f>VLOOKUP(E5974,DATABASE!C:Q,9,False)</f>
        <v>0</v>
      </c>
      <c r="Q5974" s="93" t="str">
        <f>VLOOKUP(E5974,DATABASE!C:Q,4,false)</f>
        <v>SPOORING</v>
      </c>
      <c r="R5974" s="93" t="str">
        <f>VLOOKUP(E5974,DATABASE!C:Q,11,false)</f>
        <v>SERVICE</v>
      </c>
    </row>
    <row r="5975" ht="22.5" customHeight="1">
      <c r="A5975" s="49"/>
      <c r="C5975" s="400">
        <v>46002.0</v>
      </c>
      <c r="D5975" s="524">
        <v>8167.0</v>
      </c>
      <c r="E5975" s="544" t="s">
        <v>299</v>
      </c>
      <c r="F5975" s="387">
        <v>2.0</v>
      </c>
      <c r="G5975" s="140">
        <v>30000.0</v>
      </c>
      <c r="H5975" s="74"/>
      <c r="I5975" s="74">
        <f t="shared" si="1"/>
        <v>60000</v>
      </c>
      <c r="J5975" s="74">
        <f>IF(E5975="SERVICE",I5975-(I5975*50%),Vlookup(E5975,DATABASE!C:Q,10,false)*F5975)</f>
        <v>0</v>
      </c>
      <c r="K5975" s="74">
        <f>VLOOKUP(E5975,DATABASE!C:Q,7,false)</f>
        <v>10000</v>
      </c>
      <c r="L5975" s="74">
        <v>5000.0</v>
      </c>
      <c r="M5975" s="74">
        <f t="shared" si="2"/>
        <v>5000</v>
      </c>
      <c r="N5975" s="74">
        <f t="shared" si="3"/>
        <v>50000</v>
      </c>
      <c r="O5975" s="65" t="str">
        <f>VLOOKUP(E5975,DATABASE!C:Q,8,false)</f>
        <v>BIAN</v>
      </c>
      <c r="P5975" s="65">
        <f>VLOOKUP(E5975,DATABASE!C:Q,9,False)</f>
        <v>0</v>
      </c>
      <c r="Q5975" s="93" t="str">
        <f>VLOOKUP(E5975,DATABASE!C:Q,4,false)</f>
        <v>Balancing</v>
      </c>
      <c r="R5975" s="93" t="str">
        <f>VLOOKUP(E5975,DATABASE!C:Q,11,false)</f>
        <v>COMPLEMENTARY</v>
      </c>
    </row>
    <row r="5976" ht="22.5" customHeight="1">
      <c r="A5976" s="49"/>
      <c r="C5976" s="400">
        <v>46002.0</v>
      </c>
      <c r="D5976" s="524">
        <v>8168.0</v>
      </c>
      <c r="E5976" s="544" t="s">
        <v>955</v>
      </c>
      <c r="F5976" s="387">
        <v>4.0</v>
      </c>
      <c r="G5976" s="140">
        <v>770000.0</v>
      </c>
      <c r="H5976" s="74"/>
      <c r="I5976" s="74">
        <f t="shared" si="1"/>
        <v>3080000</v>
      </c>
      <c r="J5976" s="74">
        <f>IF(E5976="SERVICE",I5976-(I5976*50%),Vlookup(E5976,DATABASE!C:Q,10,false)*F5976)</f>
        <v>0</v>
      </c>
      <c r="K5976" s="74">
        <f>VLOOKUP(E5976,DATABASE!C:Q,7,false)</f>
        <v>712000</v>
      </c>
      <c r="L5976" s="74">
        <v>674000.0</v>
      </c>
      <c r="M5976" s="74">
        <f t="shared" si="2"/>
        <v>675000</v>
      </c>
      <c r="N5976" s="74">
        <f t="shared" si="3"/>
        <v>380000</v>
      </c>
      <c r="O5976" s="65" t="str">
        <f>VLOOKUP(E5976,DATABASE!C:Q,8,false)</f>
        <v>IBU</v>
      </c>
      <c r="P5976" s="65">
        <f>VLOOKUP(E5976,DATABASE!C:Q,9,False)</f>
        <v>1</v>
      </c>
      <c r="Q5976" s="93" t="str">
        <f>VLOOKUP(E5976,DATABASE!C:Q,4,false)</f>
        <v>Dunlop</v>
      </c>
      <c r="R5976" s="93" t="str">
        <f>VLOOKUP(E5976,DATABASE!C:Q,11,false)</f>
        <v>Tire</v>
      </c>
    </row>
    <row r="5977" ht="22.5" customHeight="1">
      <c r="A5977" s="49"/>
      <c r="C5977" s="400">
        <v>46002.0</v>
      </c>
      <c r="D5977" s="524">
        <v>8168.0</v>
      </c>
      <c r="E5977" s="544" t="s">
        <v>299</v>
      </c>
      <c r="F5977" s="387">
        <v>2.0</v>
      </c>
      <c r="G5977" s="140">
        <v>30000.0</v>
      </c>
      <c r="H5977" s="74"/>
      <c r="I5977" s="74">
        <f t="shared" si="1"/>
        <v>60000</v>
      </c>
      <c r="J5977" s="74">
        <f>IF(E5977="SERVICE",I5977-(I5977*50%),Vlookup(E5977,DATABASE!C:Q,10,false)*F5977)</f>
        <v>0</v>
      </c>
      <c r="K5977" s="74">
        <f>VLOOKUP(E5977,DATABASE!C:Q,7,false)</f>
        <v>10000</v>
      </c>
      <c r="L5977" s="74">
        <v>5000.0</v>
      </c>
      <c r="M5977" s="74">
        <f t="shared" si="2"/>
        <v>5000</v>
      </c>
      <c r="N5977" s="74">
        <f t="shared" si="3"/>
        <v>50000</v>
      </c>
      <c r="O5977" s="65" t="str">
        <f>VLOOKUP(E5977,DATABASE!C:Q,8,false)</f>
        <v>BIAN</v>
      </c>
      <c r="P5977" s="65">
        <f>VLOOKUP(E5977,DATABASE!C:Q,9,False)</f>
        <v>0</v>
      </c>
      <c r="Q5977" s="93" t="str">
        <f>VLOOKUP(E5977,DATABASE!C:Q,4,false)</f>
        <v>Balancing</v>
      </c>
      <c r="R5977" s="93" t="str">
        <f>VLOOKUP(E5977,DATABASE!C:Q,11,false)</f>
        <v>COMPLEMENTARY</v>
      </c>
    </row>
    <row r="5978" ht="22.5" customHeight="1">
      <c r="A5978" s="49"/>
      <c r="C5978" s="400">
        <v>46002.0</v>
      </c>
      <c r="D5978" s="524">
        <v>8169.0</v>
      </c>
      <c r="E5978" s="544" t="s">
        <v>566</v>
      </c>
      <c r="F5978" s="387">
        <v>2.0</v>
      </c>
      <c r="G5978" s="140">
        <v>1670000.0</v>
      </c>
      <c r="H5978" s="140">
        <v>20000.0</v>
      </c>
      <c r="I5978" s="74">
        <f t="shared" si="1"/>
        <v>3300000</v>
      </c>
      <c r="J5978" s="74">
        <f>IF(E5978="SERVICE",I5978-(I5978*50%),Vlookup(E5978,DATABASE!C:Q,10,false)*F5978)</f>
        <v>0</v>
      </c>
      <c r="K5978" s="74">
        <f>VLOOKUP(E5978,DATABASE!C:Q,7,false)</f>
        <v>1565000</v>
      </c>
      <c r="L5978" s="74">
        <v>1545000.0</v>
      </c>
      <c r="M5978" s="74">
        <f t="shared" si="2"/>
        <v>1545000</v>
      </c>
      <c r="N5978" s="74">
        <f t="shared" si="3"/>
        <v>210000</v>
      </c>
      <c r="O5978" s="65" t="str">
        <f>VLOOKUP(E5978,DATABASE!C:Q,8,false)</f>
        <v>IBU</v>
      </c>
      <c r="P5978" s="65">
        <f>VLOOKUP(E5978,DATABASE!C:Q,9,False)</f>
        <v>1</v>
      </c>
      <c r="Q5978" s="93" t="str">
        <f>VLOOKUP(E5978,DATABASE!C:Q,4,false)</f>
        <v>Bridgestone</v>
      </c>
      <c r="R5978" s="93" t="str">
        <f>VLOOKUP(E5978,DATABASE!C:Q,11,false)</f>
        <v>Tire</v>
      </c>
    </row>
    <row r="5979" ht="22.5" customHeight="1">
      <c r="A5979" s="49"/>
      <c r="C5979" s="400">
        <v>46002.0</v>
      </c>
      <c r="D5979" s="524">
        <v>8170.0</v>
      </c>
      <c r="E5979" s="544" t="s">
        <v>301</v>
      </c>
      <c r="F5979" s="387">
        <v>1.0</v>
      </c>
      <c r="G5979" s="140">
        <v>250000.0</v>
      </c>
      <c r="H5979" s="74"/>
      <c r="I5979" s="74">
        <f t="shared" si="1"/>
        <v>250000</v>
      </c>
      <c r="J5979" s="74">
        <f>IF(E5979="SERVICE",I5979-(I5979*50%),Vlookup(E5979,DATABASE!C:Q,10,false)*F5979)</f>
        <v>75000</v>
      </c>
      <c r="K5979" s="74">
        <f>VLOOKUP(E5979,DATABASE!C:Q,7,false)</f>
        <v>75000</v>
      </c>
      <c r="L5979" s="74">
        <v>75000.0</v>
      </c>
      <c r="M5979" s="74">
        <f t="shared" si="2"/>
        <v>75000</v>
      </c>
      <c r="N5979" s="74">
        <f t="shared" si="3"/>
        <v>100000</v>
      </c>
      <c r="O5979" s="65" t="str">
        <f>VLOOKUP(E5979,DATABASE!C:Q,8,false)</f>
        <v>BIAN</v>
      </c>
      <c r="P5979" s="65">
        <f>VLOOKUP(E5979,DATABASE!C:Q,9,False)</f>
        <v>0</v>
      </c>
      <c r="Q5979" s="93" t="str">
        <f>VLOOKUP(E5979,DATABASE!C:Q,4,false)</f>
        <v>Baut Camber</v>
      </c>
      <c r="R5979" s="93" t="str">
        <f>VLOOKUP(E5979,DATABASE!C:Q,11,false)</f>
        <v>COMPLEMENTARY</v>
      </c>
    </row>
    <row r="5980" ht="22.5" customHeight="1">
      <c r="A5980" s="49"/>
      <c r="C5980" s="400">
        <v>46002.0</v>
      </c>
      <c r="D5980" s="524">
        <v>8171.0</v>
      </c>
      <c r="E5980" s="544" t="s">
        <v>262</v>
      </c>
      <c r="F5980" s="387">
        <v>1.0</v>
      </c>
      <c r="G5980" s="140">
        <v>110000.0</v>
      </c>
      <c r="H5980" s="74"/>
      <c r="I5980" s="74">
        <f t="shared" si="1"/>
        <v>110000</v>
      </c>
      <c r="J5980" s="74">
        <f>IF(E5980="SERVICE",I5980-(I5980*50%),Vlookup(E5980,DATABASE!C:Q,10,false)*F5980)</f>
        <v>5000</v>
      </c>
      <c r="K5980" s="74">
        <f>VLOOKUP(E5980,DATABASE!C:Q,7,false)</f>
        <v>0</v>
      </c>
      <c r="L5980" s="74">
        <v>0.0</v>
      </c>
      <c r="M5980" s="74">
        <f t="shared" si="2"/>
        <v>0</v>
      </c>
      <c r="N5980" s="74">
        <f t="shared" si="3"/>
        <v>105000</v>
      </c>
      <c r="O5980" s="65" t="str">
        <f>VLOOKUP(E5980,DATABASE!C:Q,8,false)</f>
        <v>IBU</v>
      </c>
      <c r="P5980" s="65">
        <f>VLOOKUP(E5980,DATABASE!C:Q,9,False)</f>
        <v>0</v>
      </c>
      <c r="Q5980" s="93" t="str">
        <f>VLOOKUP(E5980,DATABASE!C:Q,4,false)</f>
        <v>SPOORING SS/CARRY LOS BAK</v>
      </c>
      <c r="R5980" s="93" t="str">
        <f>VLOOKUP(E5980,DATABASE!C:Q,11,false)</f>
        <v>SERVICE</v>
      </c>
    </row>
    <row r="5981" ht="22.5" customHeight="1">
      <c r="A5981" s="49"/>
      <c r="C5981" s="400">
        <v>46002.0</v>
      </c>
      <c r="D5981" s="524">
        <v>8171.0</v>
      </c>
      <c r="E5981" s="544" t="s">
        <v>251</v>
      </c>
      <c r="F5981" s="387">
        <v>1.0</v>
      </c>
      <c r="G5981" s="140">
        <v>350000.0</v>
      </c>
      <c r="H5981" s="140">
        <v>230000.0</v>
      </c>
      <c r="I5981" s="74">
        <f t="shared" si="1"/>
        <v>120000</v>
      </c>
      <c r="J5981" s="74">
        <f>IF(E5981="SERVICE",I5981-(I5981*50%),Vlookup(E5981,DATABASE!C:Q,10,false)*F5981)</f>
        <v>60000</v>
      </c>
      <c r="K5981" s="74">
        <f>VLOOKUP(E5981,DATABASE!C:Q,7,false)</f>
        <v>0</v>
      </c>
      <c r="L5981" s="74">
        <v>0.0</v>
      </c>
      <c r="M5981" s="74">
        <f t="shared" si="2"/>
        <v>0</v>
      </c>
      <c r="N5981" s="74">
        <f t="shared" si="3"/>
        <v>60000</v>
      </c>
      <c r="O5981" s="65" t="str">
        <f>VLOOKUP(E5981,DATABASE!C:Q,8,false)</f>
        <v>IBU</v>
      </c>
      <c r="P5981" s="65">
        <f>VLOOKUP(E5981,DATABASE!C:Q,9,False)</f>
        <v>0</v>
      </c>
      <c r="Q5981" s="93" t="str">
        <f>VLOOKUP(E5981,DATABASE!C:Q,4,false)</f>
        <v>SERVICE</v>
      </c>
      <c r="R5981" s="93" t="str">
        <f>VLOOKUP(E5981,DATABASE!C:Q,11,false)</f>
        <v>SERVICE</v>
      </c>
    </row>
    <row r="5982" ht="22.5" customHeight="1">
      <c r="A5982" s="49"/>
      <c r="C5982" s="400">
        <v>46002.0</v>
      </c>
      <c r="D5982" s="524">
        <v>8172.0</v>
      </c>
      <c r="E5982" s="544" t="s">
        <v>566</v>
      </c>
      <c r="F5982" s="387">
        <v>4.0</v>
      </c>
      <c r="G5982" s="140">
        <v>1670000.0</v>
      </c>
      <c r="H5982" s="140">
        <v>20000.0</v>
      </c>
      <c r="I5982" s="74">
        <f t="shared" si="1"/>
        <v>6600000</v>
      </c>
      <c r="J5982" s="74">
        <f>IF(E5982="SERVICE",I5982-(I5982*50%),Vlookup(E5982,DATABASE!C:Q,10,false)*F5982)</f>
        <v>0</v>
      </c>
      <c r="K5982" s="74">
        <f>VLOOKUP(E5982,DATABASE!C:Q,7,false)</f>
        <v>1565000</v>
      </c>
      <c r="L5982" s="74">
        <v>1545000.0</v>
      </c>
      <c r="M5982" s="74">
        <f t="shared" si="2"/>
        <v>1545000</v>
      </c>
      <c r="N5982" s="74">
        <f t="shared" si="3"/>
        <v>420000</v>
      </c>
      <c r="O5982" s="65" t="str">
        <f>VLOOKUP(E5982,DATABASE!C:Q,8,false)</f>
        <v>IBU</v>
      </c>
      <c r="P5982" s="65">
        <f>VLOOKUP(E5982,DATABASE!C:Q,9,False)</f>
        <v>1</v>
      </c>
      <c r="Q5982" s="93" t="str">
        <f>VLOOKUP(E5982,DATABASE!C:Q,4,false)</f>
        <v>Bridgestone</v>
      </c>
      <c r="R5982" s="93" t="str">
        <f>VLOOKUP(E5982,DATABASE!C:Q,11,false)</f>
        <v>Tire</v>
      </c>
    </row>
    <row r="5983" ht="22.5" customHeight="1">
      <c r="A5983" s="49"/>
      <c r="C5983" s="400">
        <v>46002.0</v>
      </c>
      <c r="D5983" s="524">
        <v>8173.0</v>
      </c>
      <c r="E5983" s="544" t="s">
        <v>614</v>
      </c>
      <c r="F5983" s="387">
        <v>4.0</v>
      </c>
      <c r="G5983" s="140">
        <v>820000.0</v>
      </c>
      <c r="H5983" s="74"/>
      <c r="I5983" s="74">
        <f t="shared" si="1"/>
        <v>3280000</v>
      </c>
      <c r="J5983" s="74">
        <f>IF(E5983="SERVICE",I5983-(I5983*50%),Vlookup(E5983,DATABASE!C:Q,10,false)*F5983)</f>
        <v>0</v>
      </c>
      <c r="K5983" s="74">
        <f>VLOOKUP(E5983,DATABASE!C:Q,7,false)</f>
        <v>754660.6</v>
      </c>
      <c r="L5983" s="74">
        <v>720000.0</v>
      </c>
      <c r="M5983" s="74">
        <f t="shared" si="2"/>
        <v>720000</v>
      </c>
      <c r="N5983" s="74">
        <f t="shared" si="3"/>
        <v>400000</v>
      </c>
      <c r="O5983" s="65" t="str">
        <f>VLOOKUP(E5983,DATABASE!C:Q,8,false)</f>
        <v>IBU</v>
      </c>
      <c r="P5983" s="65">
        <f>VLOOKUP(E5983,DATABASE!C:Q,9,False)</f>
        <v>1</v>
      </c>
      <c r="Q5983" s="93" t="str">
        <f>VLOOKUP(E5983,DATABASE!C:Q,4,false)</f>
        <v>Bridgestone</v>
      </c>
      <c r="R5983" s="93" t="str">
        <f>VLOOKUP(E5983,DATABASE!C:Q,11,false)</f>
        <v>Tire</v>
      </c>
    </row>
    <row r="5984" ht="22.5" customHeight="1">
      <c r="A5984" s="49"/>
      <c r="C5984" s="400">
        <v>46002.0</v>
      </c>
      <c r="D5984" s="524">
        <v>8174.0</v>
      </c>
      <c r="E5984" s="544" t="s">
        <v>591</v>
      </c>
      <c r="F5984" s="387">
        <v>2.0</v>
      </c>
      <c r="G5984" s="140">
        <v>700000.0</v>
      </c>
      <c r="H5984" s="74"/>
      <c r="I5984" s="74">
        <f t="shared" si="1"/>
        <v>1400000</v>
      </c>
      <c r="J5984" s="74">
        <f>IF(E5984="SERVICE",I5984-(I5984*50%),Vlookup(E5984,DATABASE!C:Q,10,false)*F5984)</f>
        <v>0</v>
      </c>
      <c r="K5984" s="74">
        <f>VLOOKUP(E5984,DATABASE!C:Q,7,false)</f>
        <v>633035.16</v>
      </c>
      <c r="L5984" s="74">
        <v>596694.4</v>
      </c>
      <c r="M5984" s="74">
        <f t="shared" si="2"/>
        <v>600000</v>
      </c>
      <c r="N5984" s="74">
        <f t="shared" si="3"/>
        <v>200000</v>
      </c>
      <c r="O5984" s="65" t="str">
        <f>VLOOKUP(E5984,DATABASE!C:Q,8,false)</f>
        <v>IBU</v>
      </c>
      <c r="P5984" s="65">
        <f>VLOOKUP(E5984,DATABASE!C:Q,9,False)</f>
        <v>1</v>
      </c>
      <c r="Q5984" s="93" t="str">
        <f>VLOOKUP(E5984,DATABASE!C:Q,4,false)</f>
        <v>Bridgestone</v>
      </c>
      <c r="R5984" s="93" t="str">
        <f>VLOOKUP(E5984,DATABASE!C:Q,11,false)</f>
        <v>Tire</v>
      </c>
    </row>
    <row r="5985" ht="22.5" customHeight="1">
      <c r="A5985" s="49"/>
      <c r="C5985" s="400">
        <v>46002.0</v>
      </c>
      <c r="D5985" s="524">
        <v>8175.0</v>
      </c>
      <c r="E5985" s="544" t="s">
        <v>290</v>
      </c>
      <c r="F5985" s="387">
        <v>2.0</v>
      </c>
      <c r="G5985" s="140">
        <v>720000.0</v>
      </c>
      <c r="H5985" s="74"/>
      <c r="I5985" s="74">
        <f t="shared" si="1"/>
        <v>1440000</v>
      </c>
      <c r="J5985" s="74">
        <f>IF(E5985="SERVICE",I5985-(I5985*50%),Vlookup(E5985,DATABASE!C:Q,10,false)*F5985)</f>
        <v>0</v>
      </c>
      <c r="K5985" s="74">
        <f>VLOOKUP(E5985,DATABASE!C:Q,7,false)</f>
        <v>628100</v>
      </c>
      <c r="L5985" s="74">
        <v>609804.0</v>
      </c>
      <c r="M5985" s="74">
        <f t="shared" si="2"/>
        <v>610000</v>
      </c>
      <c r="N5985" s="74">
        <f t="shared" si="3"/>
        <v>220000</v>
      </c>
      <c r="O5985" s="65" t="str">
        <f>VLOOKUP(E5985,DATABASE!C:Q,8,false)</f>
        <v>BIAN</v>
      </c>
      <c r="P5985" s="65">
        <f>VLOOKUP(E5985,DATABASE!C:Q,9,False)</f>
        <v>1</v>
      </c>
      <c r="Q5985" s="93" t="str">
        <f>VLOOKUP(E5985,DATABASE!C:Q,4,false)</f>
        <v>GT</v>
      </c>
      <c r="R5985" s="93" t="str">
        <f>VLOOKUP(E5985,DATABASE!C:Q,11,false)</f>
        <v>Tire</v>
      </c>
    </row>
    <row r="5986" ht="22.5" customHeight="1">
      <c r="A5986" s="49"/>
      <c r="C5986" s="400">
        <v>46002.0</v>
      </c>
      <c r="D5986" s="524">
        <v>8175.0</v>
      </c>
      <c r="E5986" s="544" t="s">
        <v>299</v>
      </c>
      <c r="F5986" s="387">
        <v>2.0</v>
      </c>
      <c r="G5986" s="140">
        <v>30000.0</v>
      </c>
      <c r="H5986" s="74"/>
      <c r="I5986" s="74">
        <f t="shared" si="1"/>
        <v>60000</v>
      </c>
      <c r="J5986" s="74">
        <f>IF(E5986="SERVICE",I5986-(I5986*50%),Vlookup(E5986,DATABASE!C:Q,10,false)*F5986)</f>
        <v>0</v>
      </c>
      <c r="K5986" s="74">
        <f>VLOOKUP(E5986,DATABASE!C:Q,7,false)</f>
        <v>10000</v>
      </c>
      <c r="L5986" s="74">
        <v>5000.0</v>
      </c>
      <c r="M5986" s="74">
        <f t="shared" si="2"/>
        <v>5000</v>
      </c>
      <c r="N5986" s="74">
        <f t="shared" si="3"/>
        <v>50000</v>
      </c>
      <c r="O5986" s="65" t="str">
        <f>VLOOKUP(E5986,DATABASE!C:Q,8,false)</f>
        <v>BIAN</v>
      </c>
      <c r="P5986" s="65">
        <f>VLOOKUP(E5986,DATABASE!C:Q,9,False)</f>
        <v>0</v>
      </c>
      <c r="Q5986" s="93" t="str">
        <f>VLOOKUP(E5986,DATABASE!C:Q,4,false)</f>
        <v>Balancing</v>
      </c>
      <c r="R5986" s="93" t="str">
        <f>VLOOKUP(E5986,DATABASE!C:Q,11,false)</f>
        <v>COMPLEMENTARY</v>
      </c>
    </row>
    <row r="5987" ht="22.5" customHeight="1">
      <c r="A5987" s="49"/>
      <c r="C5987" s="400">
        <v>46002.0</v>
      </c>
      <c r="D5987" s="524">
        <v>8175.0</v>
      </c>
      <c r="E5987" s="544" t="s">
        <v>256</v>
      </c>
      <c r="F5987" s="387">
        <v>1.0</v>
      </c>
      <c r="G5987" s="140">
        <v>150000.0</v>
      </c>
      <c r="H5987" s="140">
        <v>20000.0</v>
      </c>
      <c r="I5987" s="74">
        <f t="shared" si="1"/>
        <v>130000</v>
      </c>
      <c r="J5987" s="74">
        <f>IF(E5987="SERVICE",I5987-(I5987*50%),Vlookup(E5987,DATABASE!C:Q,10,false)*F5987)</f>
        <v>10000</v>
      </c>
      <c r="K5987" s="74">
        <f>VLOOKUP(E5987,DATABASE!C:Q,7,false)</f>
        <v>0</v>
      </c>
      <c r="L5987" s="74">
        <v>0.0</v>
      </c>
      <c r="M5987" s="74">
        <f t="shared" si="2"/>
        <v>0</v>
      </c>
      <c r="N5987" s="74">
        <f t="shared" si="3"/>
        <v>120000</v>
      </c>
      <c r="O5987" s="65" t="str">
        <f>VLOOKUP(E5987,DATABASE!C:Q,8,false)</f>
        <v>IBU</v>
      </c>
      <c r="P5987" s="65">
        <f>VLOOKUP(E5987,DATABASE!C:Q,9,False)</f>
        <v>0</v>
      </c>
      <c r="Q5987" s="93" t="str">
        <f>VLOOKUP(E5987,DATABASE!C:Q,4,false)</f>
        <v>SPOORING</v>
      </c>
      <c r="R5987" s="93" t="str">
        <f>VLOOKUP(E5987,DATABASE!C:Q,11,false)</f>
        <v>SERVICE</v>
      </c>
    </row>
    <row r="5988" ht="22.5" customHeight="1">
      <c r="A5988" s="49"/>
      <c r="C5988" s="400">
        <v>46002.0</v>
      </c>
      <c r="D5988" s="524">
        <v>8175.0</v>
      </c>
      <c r="E5988" s="544" t="s">
        <v>301</v>
      </c>
      <c r="F5988" s="387">
        <v>1.0</v>
      </c>
      <c r="G5988" s="140">
        <v>250000.0</v>
      </c>
      <c r="H5988" s="74"/>
      <c r="I5988" s="74">
        <f t="shared" si="1"/>
        <v>250000</v>
      </c>
      <c r="J5988" s="74">
        <f>IF(E5988="SERVICE",I5988-(I5988*50%),Vlookup(E5988,DATABASE!C:Q,10,false)*F5988)</f>
        <v>75000</v>
      </c>
      <c r="K5988" s="74">
        <f>VLOOKUP(E5988,DATABASE!C:Q,7,false)</f>
        <v>75000</v>
      </c>
      <c r="L5988" s="74">
        <v>75000.0</v>
      </c>
      <c r="M5988" s="74">
        <f t="shared" si="2"/>
        <v>75000</v>
      </c>
      <c r="N5988" s="74">
        <f t="shared" si="3"/>
        <v>100000</v>
      </c>
      <c r="O5988" s="65" t="str">
        <f>VLOOKUP(E5988,DATABASE!C:Q,8,false)</f>
        <v>BIAN</v>
      </c>
      <c r="P5988" s="65">
        <f>VLOOKUP(E5988,DATABASE!C:Q,9,False)</f>
        <v>0</v>
      </c>
      <c r="Q5988" s="93" t="str">
        <f>VLOOKUP(E5988,DATABASE!C:Q,4,false)</f>
        <v>Baut Camber</v>
      </c>
      <c r="R5988" s="93" t="str">
        <f>VLOOKUP(E5988,DATABASE!C:Q,11,false)</f>
        <v>COMPLEMENTARY</v>
      </c>
    </row>
    <row r="5989" ht="22.5" customHeight="1">
      <c r="A5989" s="49"/>
      <c r="C5989" s="400">
        <v>46002.0</v>
      </c>
      <c r="D5989" s="524">
        <v>8176.0</v>
      </c>
      <c r="E5989" s="544" t="s">
        <v>591</v>
      </c>
      <c r="F5989" s="387">
        <v>2.0</v>
      </c>
      <c r="G5989" s="140">
        <v>700000.0</v>
      </c>
      <c r="H5989" s="74"/>
      <c r="I5989" s="74">
        <f t="shared" si="1"/>
        <v>1400000</v>
      </c>
      <c r="J5989" s="74">
        <f>IF(E5989="SERVICE",I5989-(I5989*50%),Vlookup(E5989,DATABASE!C:Q,10,false)*F5989)</f>
        <v>0</v>
      </c>
      <c r="K5989" s="74">
        <f>VLOOKUP(E5989,DATABASE!C:Q,7,false)</f>
        <v>633035.16</v>
      </c>
      <c r="L5989" s="74">
        <v>596694.4</v>
      </c>
      <c r="M5989" s="74">
        <f t="shared" si="2"/>
        <v>600000</v>
      </c>
      <c r="N5989" s="74">
        <f t="shared" si="3"/>
        <v>200000</v>
      </c>
      <c r="O5989" s="65" t="str">
        <f>VLOOKUP(E5989,DATABASE!C:Q,8,false)</f>
        <v>IBU</v>
      </c>
      <c r="P5989" s="65">
        <f>VLOOKUP(E5989,DATABASE!C:Q,9,False)</f>
        <v>1</v>
      </c>
      <c r="Q5989" s="93" t="str">
        <f>VLOOKUP(E5989,DATABASE!C:Q,4,false)</f>
        <v>Bridgestone</v>
      </c>
      <c r="R5989" s="93" t="str">
        <f>VLOOKUP(E5989,DATABASE!C:Q,11,false)</f>
        <v>Tire</v>
      </c>
    </row>
    <row r="5990" ht="22.5" customHeight="1">
      <c r="A5990" s="49"/>
      <c r="C5990" s="400">
        <v>46002.0</v>
      </c>
      <c r="D5990" s="69" t="s">
        <v>2654</v>
      </c>
      <c r="E5990" s="544" t="s">
        <v>2191</v>
      </c>
      <c r="F5990" s="387">
        <v>1.0</v>
      </c>
      <c r="G5990" s="140">
        <v>400000.0</v>
      </c>
      <c r="H5990" s="74"/>
      <c r="I5990" s="74">
        <f t="shared" si="1"/>
        <v>400000</v>
      </c>
      <c r="J5990" s="74">
        <f>IF(E5990="SERVICE",I5990-(I5990*50%),Vlookup(E5990,DATABASE!C:Q,10,false)*F5990)</f>
        <v>0</v>
      </c>
      <c r="K5990" s="74">
        <f>VLOOKUP(E5990,DATABASE!C:Q,7,false)</f>
        <v>422900</v>
      </c>
      <c r="L5990" s="74">
        <v>377951.0</v>
      </c>
      <c r="M5990" s="74">
        <f t="shared" si="2"/>
        <v>380000</v>
      </c>
      <c r="N5990" s="74">
        <f t="shared" si="3"/>
        <v>20000</v>
      </c>
      <c r="O5990" s="65" t="str">
        <f>VLOOKUP(E5990,DATABASE!C:Q,8,false)</f>
        <v>NON</v>
      </c>
      <c r="P5990" s="65">
        <f>VLOOKUP(E5990,DATABASE!C:Q,9,False)</f>
        <v>0</v>
      </c>
      <c r="Q5990" s="93" t="str">
        <f>VLOOKUP(E5990,DATABASE!C:Q,4,false)</f>
        <v>Shell</v>
      </c>
      <c r="R5990" s="93" t="str">
        <f>VLOOKUP(E5990,DATABASE!C:Q,11,false)</f>
        <v>OIL</v>
      </c>
    </row>
    <row r="5991" ht="22.5" customHeight="1">
      <c r="A5991" s="49"/>
      <c r="C5991" s="400">
        <v>46003.0</v>
      </c>
      <c r="D5991" s="524">
        <v>8177.0</v>
      </c>
      <c r="E5991" s="544" t="s">
        <v>591</v>
      </c>
      <c r="F5991" s="387">
        <v>1.0</v>
      </c>
      <c r="G5991" s="140">
        <v>700000.0</v>
      </c>
      <c r="H5991" s="74"/>
      <c r="I5991" s="74">
        <f t="shared" si="1"/>
        <v>700000</v>
      </c>
      <c r="J5991" s="74">
        <f>IF(E5991="SERVICE",I5991-(I5991*50%),Vlookup(E5991,DATABASE!C:Q,10,false)*F5991)</f>
        <v>0</v>
      </c>
      <c r="K5991" s="74">
        <f>VLOOKUP(E5991,DATABASE!C:Q,7,false)</f>
        <v>633035.16</v>
      </c>
      <c r="L5991" s="74">
        <v>596694.4</v>
      </c>
      <c r="M5991" s="74">
        <f t="shared" si="2"/>
        <v>600000</v>
      </c>
      <c r="N5991" s="74">
        <f t="shared" si="3"/>
        <v>100000</v>
      </c>
      <c r="O5991" s="65" t="str">
        <f>VLOOKUP(E5991,DATABASE!C:Q,8,false)</f>
        <v>IBU</v>
      </c>
      <c r="P5991" s="65">
        <f>VLOOKUP(E5991,DATABASE!C:Q,9,False)</f>
        <v>1</v>
      </c>
      <c r="Q5991" s="93" t="str">
        <f>VLOOKUP(E5991,DATABASE!C:Q,4,false)</f>
        <v>Bridgestone</v>
      </c>
      <c r="R5991" s="93" t="str">
        <f>VLOOKUP(E5991,DATABASE!C:Q,11,false)</f>
        <v>Tire</v>
      </c>
    </row>
    <row r="5992" ht="22.5" customHeight="1">
      <c r="A5992" s="49"/>
      <c r="C5992" s="400">
        <v>46003.0</v>
      </c>
      <c r="D5992" s="524">
        <v>8178.0</v>
      </c>
      <c r="E5992" s="544" t="s">
        <v>572</v>
      </c>
      <c r="F5992" s="387">
        <v>2.0</v>
      </c>
      <c r="G5992" s="140">
        <v>1370000.0</v>
      </c>
      <c r="H5992" s="140">
        <v>20000.0</v>
      </c>
      <c r="I5992" s="74">
        <f t="shared" si="1"/>
        <v>2700000</v>
      </c>
      <c r="J5992" s="74">
        <f>IF(E5992="SERVICE",I5992-(I5992*50%),Vlookup(E5992,DATABASE!C:Q,10,false)*F5992)</f>
        <v>0</v>
      </c>
      <c r="K5992" s="74">
        <f>VLOOKUP(E5992,DATABASE!C:Q,7,false)</f>
        <v>1265000</v>
      </c>
      <c r="L5992" s="74">
        <v>1245000.0</v>
      </c>
      <c r="M5992" s="74">
        <f t="shared" si="2"/>
        <v>1245000</v>
      </c>
      <c r="N5992" s="74">
        <f t="shared" si="3"/>
        <v>210000</v>
      </c>
      <c r="O5992" s="65" t="str">
        <f>VLOOKUP(E5992,DATABASE!C:Q,8,false)</f>
        <v>IBU</v>
      </c>
      <c r="P5992" s="65">
        <f>VLOOKUP(E5992,DATABASE!C:Q,9,False)</f>
        <v>1</v>
      </c>
      <c r="Q5992" s="93" t="str">
        <f>VLOOKUP(E5992,DATABASE!C:Q,4,false)</f>
        <v>Bridgestone</v>
      </c>
      <c r="R5992" s="93" t="str">
        <f>VLOOKUP(E5992,DATABASE!C:Q,11,false)</f>
        <v>Tire</v>
      </c>
    </row>
    <row r="5993" ht="22.5" customHeight="1">
      <c r="A5993" s="49"/>
      <c r="C5993" s="400">
        <v>46003.0</v>
      </c>
      <c r="D5993" s="524">
        <v>8178.0</v>
      </c>
      <c r="E5993" s="544" t="s">
        <v>284</v>
      </c>
      <c r="F5993" s="387">
        <v>1.0</v>
      </c>
      <c r="G5993" s="140">
        <v>65000.0</v>
      </c>
      <c r="H5993" s="140">
        <v>5000.0</v>
      </c>
      <c r="I5993" s="74">
        <f t="shared" si="1"/>
        <v>60000</v>
      </c>
      <c r="J5993" s="74">
        <f>IF(E5993="SERVICE",I5993-(I5993*50%),Vlookup(E5993,DATABASE!C:Q,10,false)*F5993)</f>
        <v>0</v>
      </c>
      <c r="K5993" s="74">
        <f>VLOOKUP(E5993,DATABASE!C:Q,7,false)</f>
        <v>36630</v>
      </c>
      <c r="L5993" s="74">
        <v>36630.0</v>
      </c>
      <c r="M5993" s="74">
        <f t="shared" si="2"/>
        <v>40000</v>
      </c>
      <c r="N5993" s="74">
        <f t="shared" si="3"/>
        <v>20000</v>
      </c>
      <c r="O5993" s="65" t="str">
        <f>VLOOKUP(E5993,DATABASE!C:Q,8,false)</f>
        <v>BIAN</v>
      </c>
      <c r="P5993" s="65">
        <f>VLOOKUP(E5993,DATABASE!C:Q,9,False)</f>
        <v>1</v>
      </c>
      <c r="Q5993" s="93" t="str">
        <f>VLOOKUP(E5993,DATABASE!C:Q,4,false)</f>
        <v>Flap</v>
      </c>
      <c r="R5993" s="93" t="str">
        <f>VLOOKUP(E5993,DATABASE!C:Q,11,false)</f>
        <v>Tire</v>
      </c>
    </row>
    <row r="5994" ht="22.5" customHeight="1">
      <c r="A5994" s="49"/>
      <c r="C5994" s="400">
        <v>46003.0</v>
      </c>
      <c r="D5994" s="524">
        <v>8179.0</v>
      </c>
      <c r="E5994" s="544" t="s">
        <v>1439</v>
      </c>
      <c r="F5994" s="387">
        <v>2.0</v>
      </c>
      <c r="G5994" s="140">
        <v>640000.0</v>
      </c>
      <c r="H5994" s="140">
        <v>10000.0</v>
      </c>
      <c r="I5994" s="74">
        <f t="shared" si="1"/>
        <v>1260000</v>
      </c>
      <c r="J5994" s="74">
        <f>IF(E5994="SERVICE",I5994-(I5994*50%),Vlookup(E5994,DATABASE!C:Q,10,false)*F5994)</f>
        <v>0</v>
      </c>
      <c r="K5994" s="74">
        <f>VLOOKUP(E5994,DATABASE!C:Q,7,false)</f>
        <v>556800</v>
      </c>
      <c r="L5994" s="74">
        <v>540800.0</v>
      </c>
      <c r="M5994" s="74">
        <f t="shared" si="2"/>
        <v>545000</v>
      </c>
      <c r="N5994" s="74">
        <f t="shared" si="3"/>
        <v>170000</v>
      </c>
      <c r="O5994" s="65" t="str">
        <f>VLOOKUP(E5994,DATABASE!C:Q,8,false)</f>
        <v>BIAN</v>
      </c>
      <c r="P5994" s="65">
        <f>VLOOKUP(E5994,DATABASE!C:Q,9,False)</f>
        <v>1</v>
      </c>
      <c r="Q5994" s="93" t="str">
        <f>VLOOKUP(E5994,DATABASE!C:Q,4,false)</f>
        <v>GT</v>
      </c>
      <c r="R5994" s="93" t="str">
        <f>VLOOKUP(E5994,DATABASE!C:Q,11,false)</f>
        <v>Tire</v>
      </c>
    </row>
    <row r="5995" ht="22.5" customHeight="1">
      <c r="A5995" s="49"/>
      <c r="C5995" s="400">
        <v>46003.0</v>
      </c>
      <c r="D5995" s="524">
        <v>8180.0</v>
      </c>
      <c r="E5995" s="544" t="s">
        <v>256</v>
      </c>
      <c r="F5995" s="387">
        <v>1.0</v>
      </c>
      <c r="G5995" s="140">
        <v>150000.0</v>
      </c>
      <c r="H5995" s="140">
        <v>20000.0</v>
      </c>
      <c r="I5995" s="74">
        <f t="shared" si="1"/>
        <v>130000</v>
      </c>
      <c r="J5995" s="74">
        <f>IF(E5995="SERVICE",I5995-(I5995*50%),Vlookup(E5995,DATABASE!C:Q,10,false)*F5995)</f>
        <v>10000</v>
      </c>
      <c r="K5995" s="74">
        <f>VLOOKUP(E5995,DATABASE!C:Q,7,false)</f>
        <v>0</v>
      </c>
      <c r="L5995" s="74">
        <v>0.0</v>
      </c>
      <c r="M5995" s="74">
        <f t="shared" si="2"/>
        <v>0</v>
      </c>
      <c r="N5995" s="74">
        <f t="shared" si="3"/>
        <v>120000</v>
      </c>
      <c r="O5995" s="65" t="str">
        <f>VLOOKUP(E5995,DATABASE!C:Q,8,false)</f>
        <v>IBU</v>
      </c>
      <c r="P5995" s="65">
        <f>VLOOKUP(E5995,DATABASE!C:Q,9,False)</f>
        <v>0</v>
      </c>
      <c r="Q5995" s="93" t="str">
        <f>VLOOKUP(E5995,DATABASE!C:Q,4,false)</f>
        <v>SPOORING</v>
      </c>
      <c r="R5995" s="93" t="str">
        <f>VLOOKUP(E5995,DATABASE!C:Q,11,false)</f>
        <v>SERVICE</v>
      </c>
    </row>
    <row r="5996" ht="22.5" customHeight="1">
      <c r="A5996" s="49"/>
      <c r="C5996" s="400">
        <v>46003.0</v>
      </c>
      <c r="D5996" s="524">
        <v>8181.0</v>
      </c>
      <c r="E5996" s="544" t="s">
        <v>268</v>
      </c>
      <c r="F5996" s="387">
        <v>1.0</v>
      </c>
      <c r="G5996" s="140">
        <v>710000.0</v>
      </c>
      <c r="H5996" s="74"/>
      <c r="I5996" s="74">
        <f t="shared" si="1"/>
        <v>710000</v>
      </c>
      <c r="J5996" s="74">
        <f>IF(E5996="SERVICE",I5996-(I5996*50%),Vlookup(E5996,DATABASE!C:Q,10,false)*F5996)</f>
        <v>0</v>
      </c>
      <c r="K5996" s="74">
        <f>VLOOKUP(E5996,DATABASE!C:Q,7,false)</f>
        <v>653000</v>
      </c>
      <c r="L5996" s="74">
        <v>622000.0</v>
      </c>
      <c r="M5996" s="74">
        <f t="shared" si="2"/>
        <v>625000</v>
      </c>
      <c r="N5996" s="74">
        <f t="shared" si="3"/>
        <v>85000</v>
      </c>
      <c r="O5996" s="65" t="str">
        <f>VLOOKUP(E5996,DATABASE!C:Q,8,false)</f>
        <v>IBU</v>
      </c>
      <c r="P5996" s="65">
        <f>VLOOKUP(E5996,DATABASE!C:Q,9,False)</f>
        <v>1</v>
      </c>
      <c r="Q5996" s="93" t="str">
        <f>VLOOKUP(E5996,DATABASE!C:Q,4,false)</f>
        <v>Dunlop</v>
      </c>
      <c r="R5996" s="93" t="str">
        <f>VLOOKUP(E5996,DATABASE!C:Q,11,false)</f>
        <v>Tire</v>
      </c>
    </row>
    <row r="5997" ht="22.5" customHeight="1">
      <c r="A5997" s="49"/>
      <c r="C5997" s="400">
        <v>46003.0</v>
      </c>
      <c r="D5997" s="524">
        <v>8183.0</v>
      </c>
      <c r="E5997" s="544" t="s">
        <v>262</v>
      </c>
      <c r="F5997" s="387">
        <v>1.0</v>
      </c>
      <c r="G5997" s="140">
        <v>100000.0</v>
      </c>
      <c r="H5997" s="74"/>
      <c r="I5997" s="74">
        <f t="shared" si="1"/>
        <v>100000</v>
      </c>
      <c r="J5997" s="74">
        <f>IF(E5997="SERVICE",I5997-(I5997*50%),Vlookup(E5997,DATABASE!C:Q,10,false)*F5997)</f>
        <v>5000</v>
      </c>
      <c r="K5997" s="74">
        <f>VLOOKUP(E5997,DATABASE!C:Q,7,false)</f>
        <v>0</v>
      </c>
      <c r="L5997" s="74">
        <v>0.0</v>
      </c>
      <c r="M5997" s="74">
        <f t="shared" si="2"/>
        <v>0</v>
      </c>
      <c r="N5997" s="74">
        <f t="shared" si="3"/>
        <v>95000</v>
      </c>
      <c r="O5997" s="65" t="str">
        <f>VLOOKUP(E5997,DATABASE!C:Q,8,false)</f>
        <v>IBU</v>
      </c>
      <c r="P5997" s="65">
        <f>VLOOKUP(E5997,DATABASE!C:Q,9,False)</f>
        <v>0</v>
      </c>
      <c r="Q5997" s="93" t="str">
        <f>VLOOKUP(E5997,DATABASE!C:Q,4,false)</f>
        <v>SPOORING SS/CARRY LOS BAK</v>
      </c>
      <c r="R5997" s="93" t="str">
        <f>VLOOKUP(E5997,DATABASE!C:Q,11,false)</f>
        <v>SERVICE</v>
      </c>
    </row>
    <row r="5998" ht="22.5" customHeight="1">
      <c r="A5998" s="49"/>
      <c r="C5998" s="400">
        <v>46003.0</v>
      </c>
      <c r="D5998" s="524">
        <v>8183.0</v>
      </c>
      <c r="E5998" s="544" t="s">
        <v>251</v>
      </c>
      <c r="F5998" s="387">
        <v>1.0</v>
      </c>
      <c r="G5998" s="140">
        <v>350000.0</v>
      </c>
      <c r="H5998" s="140">
        <v>200000.0</v>
      </c>
      <c r="I5998" s="74">
        <f t="shared" si="1"/>
        <v>150000</v>
      </c>
      <c r="J5998" s="74">
        <f>IF(E5998="SERVICE",I5998-(I5998*50%),Vlookup(E5998,DATABASE!C:Q,10,false)*F5998)</f>
        <v>75000</v>
      </c>
      <c r="K5998" s="74">
        <f>VLOOKUP(E5998,DATABASE!C:Q,7,false)</f>
        <v>0</v>
      </c>
      <c r="L5998" s="74">
        <v>0.0</v>
      </c>
      <c r="M5998" s="74">
        <f t="shared" si="2"/>
        <v>0</v>
      </c>
      <c r="N5998" s="74">
        <f t="shared" si="3"/>
        <v>75000</v>
      </c>
      <c r="O5998" s="65" t="str">
        <f>VLOOKUP(E5998,DATABASE!C:Q,8,false)</f>
        <v>IBU</v>
      </c>
      <c r="P5998" s="65">
        <f>VLOOKUP(E5998,DATABASE!C:Q,9,False)</f>
        <v>0</v>
      </c>
      <c r="Q5998" s="93" t="str">
        <f>VLOOKUP(E5998,DATABASE!C:Q,4,false)</f>
        <v>SERVICE</v>
      </c>
      <c r="R5998" s="93" t="str">
        <f>VLOOKUP(E5998,DATABASE!C:Q,11,false)</f>
        <v>SERVICE</v>
      </c>
    </row>
    <row r="5999" ht="22.5" customHeight="1">
      <c r="A5999" s="49"/>
      <c r="C5999" s="400">
        <v>46003.0</v>
      </c>
      <c r="D5999" s="524">
        <v>8184.0</v>
      </c>
      <c r="E5999" s="544" t="s">
        <v>275</v>
      </c>
      <c r="F5999" s="387">
        <v>2.0</v>
      </c>
      <c r="G5999" s="140">
        <v>830000.0</v>
      </c>
      <c r="H5999" s="74"/>
      <c r="I5999" s="74">
        <f t="shared" si="1"/>
        <v>1660000</v>
      </c>
      <c r="J5999" s="74">
        <f>IF(E5999="SERVICE",I5999-(I5999*50%),Vlookup(E5999,DATABASE!C:Q,10,false)*F5999)</f>
        <v>0</v>
      </c>
      <c r="K5999" s="74">
        <f>VLOOKUP(E5999,DATABASE!C:Q,7,false)</f>
        <v>782000</v>
      </c>
      <c r="L5999" s="74">
        <v>745000.0</v>
      </c>
      <c r="M5999" s="74">
        <f t="shared" si="2"/>
        <v>745000</v>
      </c>
      <c r="N5999" s="74">
        <f t="shared" si="3"/>
        <v>170000</v>
      </c>
      <c r="O5999" s="65" t="str">
        <f>VLOOKUP(E5999,DATABASE!C:Q,8,false)</f>
        <v>IBU</v>
      </c>
      <c r="P5999" s="65">
        <f>VLOOKUP(E5999,DATABASE!C:Q,9,False)</f>
        <v>1</v>
      </c>
      <c r="Q5999" s="93" t="str">
        <f>VLOOKUP(E5999,DATABASE!C:Q,4,false)</f>
        <v>Dunlop</v>
      </c>
      <c r="R5999" s="93" t="str">
        <f>VLOOKUP(E5999,DATABASE!C:Q,11,false)</f>
        <v>Tire</v>
      </c>
    </row>
    <row r="6000" ht="22.5" customHeight="1">
      <c r="A6000" s="49"/>
      <c r="C6000" s="400">
        <v>46003.0</v>
      </c>
      <c r="D6000" s="524">
        <v>8184.0</v>
      </c>
      <c r="E6000" s="544" t="s">
        <v>299</v>
      </c>
      <c r="F6000" s="387">
        <v>2.0</v>
      </c>
      <c r="G6000" s="140">
        <v>30000.0</v>
      </c>
      <c r="H6000" s="74"/>
      <c r="I6000" s="74">
        <f t="shared" si="1"/>
        <v>60000</v>
      </c>
      <c r="J6000" s="74">
        <f>IF(E6000="SERVICE",I6000-(I6000*50%),Vlookup(E6000,DATABASE!C:Q,10,false)*F6000)</f>
        <v>0</v>
      </c>
      <c r="K6000" s="74">
        <f>VLOOKUP(E6000,DATABASE!C:Q,7,false)</f>
        <v>10000</v>
      </c>
      <c r="L6000" s="74">
        <v>5000.0</v>
      </c>
      <c r="M6000" s="74">
        <f t="shared" si="2"/>
        <v>5000</v>
      </c>
      <c r="N6000" s="74">
        <f t="shared" si="3"/>
        <v>50000</v>
      </c>
      <c r="O6000" s="65" t="str">
        <f>VLOOKUP(E6000,DATABASE!C:Q,8,false)</f>
        <v>BIAN</v>
      </c>
      <c r="P6000" s="65">
        <f>VLOOKUP(E6000,DATABASE!C:Q,9,False)</f>
        <v>0</v>
      </c>
      <c r="Q6000" s="93" t="str">
        <f>VLOOKUP(E6000,DATABASE!C:Q,4,false)</f>
        <v>Balancing</v>
      </c>
      <c r="R6000" s="93" t="str">
        <f>VLOOKUP(E6000,DATABASE!C:Q,11,false)</f>
        <v>COMPLEMENTARY</v>
      </c>
    </row>
    <row r="6001" ht="22.5" customHeight="1">
      <c r="A6001" s="49"/>
      <c r="C6001" s="400">
        <v>46003.0</v>
      </c>
      <c r="D6001" s="524">
        <v>8184.0</v>
      </c>
      <c r="E6001" s="544" t="s">
        <v>256</v>
      </c>
      <c r="F6001" s="387">
        <v>1.0</v>
      </c>
      <c r="G6001" s="140">
        <v>150000.0</v>
      </c>
      <c r="H6001" s="140">
        <v>20000.0</v>
      </c>
      <c r="I6001" s="74">
        <f t="shared" si="1"/>
        <v>130000</v>
      </c>
      <c r="J6001" s="74">
        <f>IF(E6001="SERVICE",I6001-(I6001*50%),Vlookup(E6001,DATABASE!C:Q,10,false)*F6001)</f>
        <v>10000</v>
      </c>
      <c r="K6001" s="74">
        <f>VLOOKUP(E6001,DATABASE!C:Q,7,false)</f>
        <v>0</v>
      </c>
      <c r="L6001" s="74">
        <v>0.0</v>
      </c>
      <c r="M6001" s="74">
        <f t="shared" si="2"/>
        <v>0</v>
      </c>
      <c r="N6001" s="74">
        <f t="shared" si="3"/>
        <v>120000</v>
      </c>
      <c r="O6001" s="65" t="str">
        <f>VLOOKUP(E6001,DATABASE!C:Q,8,false)</f>
        <v>IBU</v>
      </c>
      <c r="P6001" s="65">
        <f>VLOOKUP(E6001,DATABASE!C:Q,9,False)</f>
        <v>0</v>
      </c>
      <c r="Q6001" s="93" t="str">
        <f>VLOOKUP(E6001,DATABASE!C:Q,4,false)</f>
        <v>SPOORING</v>
      </c>
      <c r="R6001" s="93" t="str">
        <f>VLOOKUP(E6001,DATABASE!C:Q,11,false)</f>
        <v>SERVICE</v>
      </c>
    </row>
    <row r="6002" ht="22.5" customHeight="1">
      <c r="A6002" s="49"/>
      <c r="C6002" s="400">
        <v>46003.0</v>
      </c>
      <c r="D6002" s="524">
        <v>8184.0</v>
      </c>
      <c r="E6002" s="544" t="s">
        <v>251</v>
      </c>
      <c r="F6002" s="387">
        <v>1.0</v>
      </c>
      <c r="G6002" s="140">
        <v>350000.0</v>
      </c>
      <c r="H6002" s="140">
        <v>200000.0</v>
      </c>
      <c r="I6002" s="74">
        <f t="shared" si="1"/>
        <v>150000</v>
      </c>
      <c r="J6002" s="74">
        <f>IF(E6002="SERVICE",I6002-(I6002*50%),Vlookup(E6002,DATABASE!C:Q,10,false)*F6002)</f>
        <v>75000</v>
      </c>
      <c r="K6002" s="74">
        <f>VLOOKUP(E6002,DATABASE!C:Q,7,false)</f>
        <v>0</v>
      </c>
      <c r="L6002" s="74">
        <v>0.0</v>
      </c>
      <c r="M6002" s="74">
        <f t="shared" si="2"/>
        <v>0</v>
      </c>
      <c r="N6002" s="74">
        <f t="shared" si="3"/>
        <v>75000</v>
      </c>
      <c r="O6002" s="65" t="str">
        <f>VLOOKUP(E6002,DATABASE!C:Q,8,false)</f>
        <v>IBU</v>
      </c>
      <c r="P6002" s="65">
        <f>VLOOKUP(E6002,DATABASE!C:Q,9,False)</f>
        <v>0</v>
      </c>
      <c r="Q6002" s="93" t="str">
        <f>VLOOKUP(E6002,DATABASE!C:Q,4,false)</f>
        <v>SERVICE</v>
      </c>
      <c r="R6002" s="93" t="str">
        <f>VLOOKUP(E6002,DATABASE!C:Q,11,false)</f>
        <v>SERVICE</v>
      </c>
    </row>
    <row r="6003" ht="22.5" customHeight="1">
      <c r="A6003" s="49"/>
      <c r="C6003" s="400">
        <v>46003.0</v>
      </c>
      <c r="D6003" s="524">
        <v>8185.0</v>
      </c>
      <c r="E6003" s="544" t="s">
        <v>937</v>
      </c>
      <c r="F6003" s="387">
        <v>2.0</v>
      </c>
      <c r="G6003" s="140">
        <v>900000.0</v>
      </c>
      <c r="H6003" s="140">
        <v>20000.0</v>
      </c>
      <c r="I6003" s="74">
        <f t="shared" si="1"/>
        <v>1760000</v>
      </c>
      <c r="J6003" s="74">
        <f>IF(E6003="SERVICE",I6003-(I6003*50%),Vlookup(E6003,DATABASE!C:Q,10,false)*F6003)</f>
        <v>0</v>
      </c>
      <c r="K6003" s="74">
        <f>VLOOKUP(E6003,DATABASE!C:Q,7,false)</f>
        <v>825000</v>
      </c>
      <c r="L6003" s="74">
        <v>790000.0</v>
      </c>
      <c r="M6003" s="74">
        <f t="shared" si="2"/>
        <v>790000</v>
      </c>
      <c r="N6003" s="74">
        <f t="shared" si="3"/>
        <v>180000</v>
      </c>
      <c r="O6003" s="65" t="str">
        <f>VLOOKUP(E6003,DATABASE!C:Q,8,false)</f>
        <v>IBU</v>
      </c>
      <c r="P6003" s="65">
        <f>VLOOKUP(E6003,DATABASE!C:Q,9,False)</f>
        <v>1</v>
      </c>
      <c r="Q6003" s="93" t="str">
        <f>VLOOKUP(E6003,DATABASE!C:Q,4,false)</f>
        <v>Bridgestone</v>
      </c>
      <c r="R6003" s="93" t="str">
        <f>VLOOKUP(E6003,DATABASE!C:Q,11,false)</f>
        <v>Tire</v>
      </c>
    </row>
    <row r="6004" ht="22.5" customHeight="1">
      <c r="A6004" s="49"/>
      <c r="C6004" s="400">
        <v>46003.0</v>
      </c>
      <c r="D6004" s="524">
        <v>8186.0</v>
      </c>
      <c r="E6004" s="544" t="s">
        <v>256</v>
      </c>
      <c r="F6004" s="387">
        <v>1.0</v>
      </c>
      <c r="G6004" s="140">
        <v>150000.0</v>
      </c>
      <c r="H6004" s="140">
        <v>20000.0</v>
      </c>
      <c r="I6004" s="74">
        <f t="shared" si="1"/>
        <v>130000</v>
      </c>
      <c r="J6004" s="74">
        <f>IF(E6004="SERVICE",I6004-(I6004*50%),Vlookup(E6004,DATABASE!C:Q,10,false)*F6004)</f>
        <v>10000</v>
      </c>
      <c r="K6004" s="74">
        <f>VLOOKUP(E6004,DATABASE!C:Q,7,false)</f>
        <v>0</v>
      </c>
      <c r="L6004" s="74">
        <v>0.0</v>
      </c>
      <c r="M6004" s="74">
        <f t="shared" si="2"/>
        <v>0</v>
      </c>
      <c r="N6004" s="74">
        <f t="shared" si="3"/>
        <v>120000</v>
      </c>
      <c r="O6004" s="65" t="str">
        <f>VLOOKUP(E6004,DATABASE!C:Q,8,false)</f>
        <v>IBU</v>
      </c>
      <c r="P6004" s="65">
        <f>VLOOKUP(E6004,DATABASE!C:Q,9,False)</f>
        <v>0</v>
      </c>
      <c r="Q6004" s="93" t="str">
        <f>VLOOKUP(E6004,DATABASE!C:Q,4,false)</f>
        <v>SPOORING</v>
      </c>
      <c r="R6004" s="93" t="str">
        <f>VLOOKUP(E6004,DATABASE!C:Q,11,false)</f>
        <v>SERVICE</v>
      </c>
    </row>
    <row r="6005" ht="22.5" customHeight="1">
      <c r="A6005" s="49"/>
      <c r="C6005" s="400">
        <v>46003.0</v>
      </c>
      <c r="D6005" s="524">
        <v>8186.0</v>
      </c>
      <c r="E6005" s="544" t="s">
        <v>299</v>
      </c>
      <c r="F6005" s="387">
        <v>2.0</v>
      </c>
      <c r="G6005" s="140">
        <v>30000.0</v>
      </c>
      <c r="H6005" s="74"/>
      <c r="I6005" s="74">
        <f t="shared" si="1"/>
        <v>60000</v>
      </c>
      <c r="J6005" s="74">
        <f>IF(E6005="SERVICE",I6005-(I6005*50%),Vlookup(E6005,DATABASE!C:Q,10,false)*F6005)</f>
        <v>0</v>
      </c>
      <c r="K6005" s="74">
        <f>VLOOKUP(E6005,DATABASE!C:Q,7,false)</f>
        <v>10000</v>
      </c>
      <c r="L6005" s="74">
        <v>5000.0</v>
      </c>
      <c r="M6005" s="74">
        <f t="shared" si="2"/>
        <v>5000</v>
      </c>
      <c r="N6005" s="74">
        <f t="shared" si="3"/>
        <v>50000</v>
      </c>
      <c r="O6005" s="65" t="str">
        <f>VLOOKUP(E6005,DATABASE!C:Q,8,false)</f>
        <v>BIAN</v>
      </c>
      <c r="P6005" s="65">
        <f>VLOOKUP(E6005,DATABASE!C:Q,9,False)</f>
        <v>0</v>
      </c>
      <c r="Q6005" s="93" t="str">
        <f>VLOOKUP(E6005,DATABASE!C:Q,4,false)</f>
        <v>Balancing</v>
      </c>
      <c r="R6005" s="93" t="str">
        <f>VLOOKUP(E6005,DATABASE!C:Q,11,false)</f>
        <v>COMPLEMENTARY</v>
      </c>
    </row>
    <row r="6006" ht="22.5" customHeight="1">
      <c r="A6006" s="49"/>
      <c r="C6006" s="400">
        <v>46003.0</v>
      </c>
      <c r="D6006" s="524">
        <v>8187.0</v>
      </c>
      <c r="E6006" s="544" t="s">
        <v>1588</v>
      </c>
      <c r="F6006" s="387">
        <v>4.0</v>
      </c>
      <c r="G6006" s="140">
        <v>1040000.0</v>
      </c>
      <c r="H6006" s="74"/>
      <c r="I6006" s="74">
        <f t="shared" si="1"/>
        <v>4160000</v>
      </c>
      <c r="J6006" s="74">
        <f>IF(E6006="SERVICE",I6006-(I6006*50%),Vlookup(E6006,DATABASE!C:Q,10,false)*F6006)</f>
        <v>0</v>
      </c>
      <c r="K6006" s="74">
        <f>VLOOKUP(E6006,DATABASE!C:Q,7,false)</f>
        <v>930000</v>
      </c>
      <c r="L6006" s="74">
        <v>940000.0</v>
      </c>
      <c r="M6006" s="74">
        <f t="shared" si="2"/>
        <v>940000</v>
      </c>
      <c r="N6006" s="74">
        <f t="shared" si="3"/>
        <v>400000</v>
      </c>
      <c r="O6006" s="65" t="str">
        <f>VLOOKUP(E6006,DATABASE!C:Q,8,false)</f>
        <v>IBU</v>
      </c>
      <c r="P6006" s="65">
        <f>VLOOKUP(E6006,DATABASE!C:Q,9,False)</f>
        <v>1</v>
      </c>
      <c r="Q6006" s="93" t="str">
        <f>VLOOKUP(E6006,DATABASE!C:Q,4,false)</f>
        <v>Dunlop</v>
      </c>
      <c r="R6006" s="93" t="str">
        <f>VLOOKUP(E6006,DATABASE!C:Q,11,false)</f>
        <v>Tire</v>
      </c>
    </row>
    <row r="6007" ht="22.5" customHeight="1">
      <c r="A6007" s="49"/>
      <c r="C6007" s="400">
        <v>46003.0</v>
      </c>
      <c r="D6007" s="524">
        <v>8188.0</v>
      </c>
      <c r="E6007" s="544" t="s">
        <v>271</v>
      </c>
      <c r="F6007" s="387">
        <v>2.0</v>
      </c>
      <c r="G6007" s="140">
        <v>630000.0</v>
      </c>
      <c r="H6007" s="74"/>
      <c r="I6007" s="74">
        <f t="shared" si="1"/>
        <v>1260000</v>
      </c>
      <c r="J6007" s="74">
        <f>IF(E6007="SERVICE",I6007-(I6007*50%),Vlookup(E6007,DATABASE!C:Q,10,false)*F6007)</f>
        <v>0</v>
      </c>
      <c r="K6007" s="74">
        <f>VLOOKUP(E6007,DATABASE!C:Q,7,false)</f>
        <v>570000</v>
      </c>
      <c r="L6007" s="74">
        <v>539000.0</v>
      </c>
      <c r="M6007" s="74">
        <f t="shared" si="2"/>
        <v>540000</v>
      </c>
      <c r="N6007" s="74">
        <f t="shared" si="3"/>
        <v>180000</v>
      </c>
      <c r="O6007" s="65" t="str">
        <f>VLOOKUP(E6007,DATABASE!C:Q,8,false)</f>
        <v>IBU</v>
      </c>
      <c r="P6007" s="65">
        <f>VLOOKUP(E6007,DATABASE!C:Q,9,False)</f>
        <v>1</v>
      </c>
      <c r="Q6007" s="93" t="str">
        <f>VLOOKUP(E6007,DATABASE!C:Q,4,false)</f>
        <v>Dunlop</v>
      </c>
      <c r="R6007" s="93" t="str">
        <f>VLOOKUP(E6007,DATABASE!C:Q,11,false)</f>
        <v>Tire</v>
      </c>
    </row>
    <row r="6008" ht="22.5" customHeight="1">
      <c r="A6008" s="49"/>
      <c r="C6008" s="400">
        <v>46004.0</v>
      </c>
      <c r="D6008" s="524">
        <v>8191.0</v>
      </c>
      <c r="E6008" s="544" t="s">
        <v>1548</v>
      </c>
      <c r="F6008" s="387">
        <v>4.0</v>
      </c>
      <c r="G6008" s="140">
        <v>895000.0</v>
      </c>
      <c r="H6008" s="74"/>
      <c r="I6008" s="74">
        <f t="shared" si="1"/>
        <v>3580000</v>
      </c>
      <c r="J6008" s="74">
        <f>IF(E6008="SERVICE",I6008-(I6008*50%),Vlookup(E6008,DATABASE!C:Q,10,false)*F6008)</f>
        <v>0</v>
      </c>
      <c r="K6008" s="74">
        <f>VLOOKUP(E6008,DATABASE!C:Q,7,false)</f>
        <v>778000</v>
      </c>
      <c r="L6008" s="74">
        <v>795000.0</v>
      </c>
      <c r="M6008" s="74">
        <f t="shared" si="2"/>
        <v>795000</v>
      </c>
      <c r="N6008" s="74">
        <f t="shared" si="3"/>
        <v>400000</v>
      </c>
      <c r="O6008" s="65" t="str">
        <f>VLOOKUP(E6008,DATABASE!C:Q,8,false)</f>
        <v>IBU</v>
      </c>
      <c r="P6008" s="65">
        <f>VLOOKUP(E6008,DATABASE!C:Q,9,False)</f>
        <v>1</v>
      </c>
      <c r="Q6008" s="93" t="str">
        <f>VLOOKUP(E6008,DATABASE!C:Q,4,false)</f>
        <v>Dunlop</v>
      </c>
      <c r="R6008" s="93" t="str">
        <f>VLOOKUP(E6008,DATABASE!C:Q,11,false)</f>
        <v>Tire</v>
      </c>
    </row>
    <row r="6009" ht="22.5" customHeight="1">
      <c r="A6009" s="49"/>
      <c r="C6009" s="400">
        <v>46004.0</v>
      </c>
      <c r="D6009" s="524">
        <v>8194.0</v>
      </c>
      <c r="E6009" s="544" t="s">
        <v>268</v>
      </c>
      <c r="F6009" s="387">
        <v>1.0</v>
      </c>
      <c r="G6009" s="140">
        <v>710000.0</v>
      </c>
      <c r="H6009" s="74"/>
      <c r="I6009" s="74">
        <f t="shared" si="1"/>
        <v>710000</v>
      </c>
      <c r="J6009" s="74">
        <f>IF(E6009="SERVICE",I6009-(I6009*50%),Vlookup(E6009,DATABASE!C:Q,10,false)*F6009)</f>
        <v>0</v>
      </c>
      <c r="K6009" s="74">
        <f>VLOOKUP(E6009,DATABASE!C:Q,7,false)</f>
        <v>653000</v>
      </c>
      <c r="L6009" s="74">
        <v>622000.0</v>
      </c>
      <c r="M6009" s="74">
        <f t="shared" si="2"/>
        <v>625000</v>
      </c>
      <c r="N6009" s="74">
        <f t="shared" si="3"/>
        <v>85000</v>
      </c>
      <c r="O6009" s="65" t="str">
        <f>VLOOKUP(E6009,DATABASE!C:Q,8,false)</f>
        <v>IBU</v>
      </c>
      <c r="P6009" s="65">
        <f>VLOOKUP(E6009,DATABASE!C:Q,9,False)</f>
        <v>1</v>
      </c>
      <c r="Q6009" s="93" t="str">
        <f>VLOOKUP(E6009,DATABASE!C:Q,4,false)</f>
        <v>Dunlop</v>
      </c>
      <c r="R6009" s="93" t="str">
        <f>VLOOKUP(E6009,DATABASE!C:Q,11,false)</f>
        <v>Tire</v>
      </c>
    </row>
    <row r="6010" ht="22.5" customHeight="1">
      <c r="A6010" s="49"/>
      <c r="C6010" s="400">
        <v>46004.0</v>
      </c>
      <c r="D6010" s="524">
        <v>8194.0</v>
      </c>
      <c r="E6010" s="544" t="s">
        <v>299</v>
      </c>
      <c r="F6010" s="387">
        <v>2.0</v>
      </c>
      <c r="G6010" s="140">
        <v>30000.0</v>
      </c>
      <c r="H6010" s="74"/>
      <c r="I6010" s="74">
        <f t="shared" si="1"/>
        <v>60000</v>
      </c>
      <c r="J6010" s="74">
        <f>IF(E6010="SERVICE",I6010-(I6010*50%),Vlookup(E6010,DATABASE!C:Q,10,false)*F6010)</f>
        <v>0</v>
      </c>
      <c r="K6010" s="74">
        <f>VLOOKUP(E6010,DATABASE!C:Q,7,false)</f>
        <v>10000</v>
      </c>
      <c r="L6010" s="74">
        <v>5000.0</v>
      </c>
      <c r="M6010" s="74">
        <f t="shared" si="2"/>
        <v>5000</v>
      </c>
      <c r="N6010" s="74">
        <f t="shared" si="3"/>
        <v>50000</v>
      </c>
      <c r="O6010" s="65" t="str">
        <f>VLOOKUP(E6010,DATABASE!C:Q,8,false)</f>
        <v>BIAN</v>
      </c>
      <c r="P6010" s="65">
        <f>VLOOKUP(E6010,DATABASE!C:Q,9,False)</f>
        <v>0</v>
      </c>
      <c r="Q6010" s="93" t="str">
        <f>VLOOKUP(E6010,DATABASE!C:Q,4,false)</f>
        <v>Balancing</v>
      </c>
      <c r="R6010" s="93" t="str">
        <f>VLOOKUP(E6010,DATABASE!C:Q,11,false)</f>
        <v>COMPLEMENTARY</v>
      </c>
    </row>
    <row r="6011" ht="22.5" customHeight="1">
      <c r="A6011" s="49"/>
      <c r="C6011" s="400">
        <v>46004.0</v>
      </c>
      <c r="D6011" s="524">
        <v>8195.0</v>
      </c>
      <c r="E6011" s="544" t="s">
        <v>1944</v>
      </c>
      <c r="F6011" s="387">
        <v>1.0</v>
      </c>
      <c r="G6011" s="140">
        <v>810000.0</v>
      </c>
      <c r="H6011" s="140">
        <v>10000.0</v>
      </c>
      <c r="I6011" s="74">
        <f t="shared" si="1"/>
        <v>800000</v>
      </c>
      <c r="J6011" s="74">
        <f>IF(E6011="SERVICE",I6011-(I6011*50%),Vlookup(E6011,DATABASE!C:Q,10,false)*F6011)</f>
        <v>0</v>
      </c>
      <c r="K6011" s="74">
        <f>VLOOKUP(E6011,DATABASE!C:Q,7,false)</f>
        <v>690000</v>
      </c>
      <c r="L6011" s="74">
        <v>690000.0</v>
      </c>
      <c r="M6011" s="74">
        <f t="shared" si="2"/>
        <v>690000</v>
      </c>
      <c r="N6011" s="74">
        <f t="shared" si="3"/>
        <v>110000</v>
      </c>
      <c r="O6011" s="65" t="str">
        <f>VLOOKUP(E6011,DATABASE!C:Q,8,false)</f>
        <v>BIAN</v>
      </c>
      <c r="P6011" s="65">
        <f>VLOOKUP(E6011,DATABASE!C:Q,9,False)</f>
        <v>1</v>
      </c>
      <c r="Q6011" s="93" t="str">
        <f>VLOOKUP(E6011,DATABASE!C:Q,4,false)</f>
        <v>GT</v>
      </c>
      <c r="R6011" s="93" t="str">
        <f>VLOOKUP(E6011,DATABASE!C:Q,11,false)</f>
        <v>Tire</v>
      </c>
    </row>
    <row r="6012" ht="22.5" customHeight="1">
      <c r="A6012" s="49"/>
      <c r="C6012" s="400">
        <v>46004.0</v>
      </c>
      <c r="D6012" s="524">
        <v>8196.0</v>
      </c>
      <c r="E6012" s="544" t="s">
        <v>256</v>
      </c>
      <c r="F6012" s="387">
        <v>1.0</v>
      </c>
      <c r="G6012" s="140">
        <v>150000.0</v>
      </c>
      <c r="H6012" s="140">
        <v>20000.0</v>
      </c>
      <c r="I6012" s="74">
        <f t="shared" si="1"/>
        <v>130000</v>
      </c>
      <c r="J6012" s="74">
        <f>IF(E6012="SERVICE",I6012-(I6012*50%),Vlookup(E6012,DATABASE!C:Q,10,false)*F6012)</f>
        <v>10000</v>
      </c>
      <c r="K6012" s="74">
        <f>VLOOKUP(E6012,DATABASE!C:Q,7,false)</f>
        <v>0</v>
      </c>
      <c r="L6012" s="74">
        <v>0.0</v>
      </c>
      <c r="M6012" s="74">
        <f t="shared" si="2"/>
        <v>0</v>
      </c>
      <c r="N6012" s="74">
        <f t="shared" si="3"/>
        <v>120000</v>
      </c>
      <c r="O6012" s="65" t="str">
        <f>VLOOKUP(E6012,DATABASE!C:Q,8,false)</f>
        <v>IBU</v>
      </c>
      <c r="P6012" s="65">
        <f>VLOOKUP(E6012,DATABASE!C:Q,9,False)</f>
        <v>0</v>
      </c>
      <c r="Q6012" s="93" t="str">
        <f>VLOOKUP(E6012,DATABASE!C:Q,4,false)</f>
        <v>SPOORING</v>
      </c>
      <c r="R6012" s="93" t="str">
        <f>VLOOKUP(E6012,DATABASE!C:Q,11,false)</f>
        <v>SERVICE</v>
      </c>
    </row>
    <row r="6013" ht="22.5" customHeight="1">
      <c r="A6013" s="49"/>
      <c r="C6013" s="400">
        <v>46004.0</v>
      </c>
      <c r="D6013" s="524">
        <v>8196.0</v>
      </c>
      <c r="E6013" s="544" t="s">
        <v>299</v>
      </c>
      <c r="F6013" s="387">
        <v>2.0</v>
      </c>
      <c r="G6013" s="140">
        <v>30000.0</v>
      </c>
      <c r="H6013" s="74"/>
      <c r="I6013" s="74">
        <f t="shared" si="1"/>
        <v>60000</v>
      </c>
      <c r="J6013" s="74">
        <f>IF(E6013="SERVICE",I6013-(I6013*50%),Vlookup(E6013,DATABASE!C:Q,10,false)*F6013)</f>
        <v>0</v>
      </c>
      <c r="K6013" s="74">
        <f>VLOOKUP(E6013,DATABASE!C:Q,7,false)</f>
        <v>10000</v>
      </c>
      <c r="L6013" s="74">
        <v>5000.0</v>
      </c>
      <c r="M6013" s="74">
        <f t="shared" si="2"/>
        <v>5000</v>
      </c>
      <c r="N6013" s="74">
        <f t="shared" si="3"/>
        <v>50000</v>
      </c>
      <c r="O6013" s="65" t="str">
        <f>VLOOKUP(E6013,DATABASE!C:Q,8,false)</f>
        <v>BIAN</v>
      </c>
      <c r="P6013" s="65">
        <f>VLOOKUP(E6013,DATABASE!C:Q,9,False)</f>
        <v>0</v>
      </c>
      <c r="Q6013" s="93" t="str">
        <f>VLOOKUP(E6013,DATABASE!C:Q,4,false)</f>
        <v>Balancing</v>
      </c>
      <c r="R6013" s="93" t="str">
        <f>VLOOKUP(E6013,DATABASE!C:Q,11,false)</f>
        <v>COMPLEMENTARY</v>
      </c>
    </row>
    <row r="6014" ht="22.5" customHeight="1">
      <c r="A6014" s="49"/>
      <c r="C6014" s="400">
        <v>46004.0</v>
      </c>
      <c r="D6014" s="524">
        <v>8196.0</v>
      </c>
      <c r="E6014" s="544" t="s">
        <v>301</v>
      </c>
      <c r="F6014" s="387">
        <v>1.0</v>
      </c>
      <c r="G6014" s="140">
        <v>250000.0</v>
      </c>
      <c r="H6014" s="74"/>
      <c r="I6014" s="74">
        <f t="shared" si="1"/>
        <v>250000</v>
      </c>
      <c r="J6014" s="74">
        <f>IF(E6014="SERVICE",I6014-(I6014*50%),Vlookup(E6014,DATABASE!C:Q,10,false)*F6014)</f>
        <v>75000</v>
      </c>
      <c r="K6014" s="74">
        <f>VLOOKUP(E6014,DATABASE!C:Q,7,false)</f>
        <v>75000</v>
      </c>
      <c r="L6014" s="74">
        <v>75000.0</v>
      </c>
      <c r="M6014" s="74">
        <f t="shared" si="2"/>
        <v>75000</v>
      </c>
      <c r="N6014" s="74">
        <f t="shared" si="3"/>
        <v>100000</v>
      </c>
      <c r="O6014" s="65" t="str">
        <f>VLOOKUP(E6014,DATABASE!C:Q,8,false)</f>
        <v>BIAN</v>
      </c>
      <c r="P6014" s="65">
        <f>VLOOKUP(E6014,DATABASE!C:Q,9,False)</f>
        <v>0</v>
      </c>
      <c r="Q6014" s="93" t="str">
        <f>VLOOKUP(E6014,DATABASE!C:Q,4,false)</f>
        <v>Baut Camber</v>
      </c>
      <c r="R6014" s="93" t="str">
        <f>VLOOKUP(E6014,DATABASE!C:Q,11,false)</f>
        <v>COMPLEMENTARY</v>
      </c>
    </row>
    <row r="6015" ht="22.5" customHeight="1">
      <c r="A6015" s="49"/>
      <c r="C6015" s="400">
        <v>46004.0</v>
      </c>
      <c r="D6015" s="524">
        <v>8197.0</v>
      </c>
      <c r="E6015" s="544" t="s">
        <v>265</v>
      </c>
      <c r="F6015" s="387">
        <v>2.0</v>
      </c>
      <c r="G6015" s="140">
        <v>685000.0</v>
      </c>
      <c r="H6015" s="74"/>
      <c r="I6015" s="74">
        <f t="shared" si="1"/>
        <v>1370000</v>
      </c>
      <c r="J6015" s="74">
        <f>IF(E6015="SERVICE",I6015-(I6015*50%),Vlookup(E6015,DATABASE!C:Q,10,false)*F6015)</f>
        <v>0</v>
      </c>
      <c r="K6015" s="74">
        <f>VLOOKUP(E6015,DATABASE!C:Q,7,false)</f>
        <v>628000</v>
      </c>
      <c r="L6015" s="74">
        <v>600000.0</v>
      </c>
      <c r="M6015" s="74">
        <f t="shared" si="2"/>
        <v>600000</v>
      </c>
      <c r="N6015" s="74">
        <f t="shared" si="3"/>
        <v>170000</v>
      </c>
      <c r="O6015" s="65" t="str">
        <f>VLOOKUP(E6015,DATABASE!C:Q,8,false)</f>
        <v>IBU</v>
      </c>
      <c r="P6015" s="65">
        <f>VLOOKUP(E6015,DATABASE!C:Q,9,False)</f>
        <v>1</v>
      </c>
      <c r="Q6015" s="93" t="str">
        <f>VLOOKUP(E6015,DATABASE!C:Q,4,false)</f>
        <v>Dunlop</v>
      </c>
      <c r="R6015" s="93" t="str">
        <f>VLOOKUP(E6015,DATABASE!C:Q,11,false)</f>
        <v>Tire</v>
      </c>
    </row>
    <row r="6016" ht="22.5" customHeight="1">
      <c r="A6016" s="49"/>
      <c r="C6016" s="400">
        <v>46004.0</v>
      </c>
      <c r="D6016" s="524">
        <v>8197.0</v>
      </c>
      <c r="E6016" s="544" t="s">
        <v>256</v>
      </c>
      <c r="F6016" s="387">
        <v>1.0</v>
      </c>
      <c r="G6016" s="140">
        <v>150000.0</v>
      </c>
      <c r="H6016" s="140">
        <v>20000.0</v>
      </c>
      <c r="I6016" s="74">
        <f t="shared" si="1"/>
        <v>130000</v>
      </c>
      <c r="J6016" s="74">
        <f>IF(E6016="SERVICE",I6016-(I6016*50%),Vlookup(E6016,DATABASE!C:Q,10,false)*F6016)</f>
        <v>10000</v>
      </c>
      <c r="K6016" s="74">
        <f>VLOOKUP(E6016,DATABASE!C:Q,7,false)</f>
        <v>0</v>
      </c>
      <c r="L6016" s="74">
        <v>0.0</v>
      </c>
      <c r="M6016" s="74">
        <f t="shared" si="2"/>
        <v>0</v>
      </c>
      <c r="N6016" s="74">
        <f t="shared" si="3"/>
        <v>120000</v>
      </c>
      <c r="O6016" s="65" t="str">
        <f>VLOOKUP(E6016,DATABASE!C:Q,8,false)</f>
        <v>IBU</v>
      </c>
      <c r="P6016" s="65">
        <f>VLOOKUP(E6016,DATABASE!C:Q,9,False)</f>
        <v>0</v>
      </c>
      <c r="Q6016" s="93" t="str">
        <f>VLOOKUP(E6016,DATABASE!C:Q,4,false)</f>
        <v>SPOORING</v>
      </c>
      <c r="R6016" s="93" t="str">
        <f>VLOOKUP(E6016,DATABASE!C:Q,11,false)</f>
        <v>SERVICE</v>
      </c>
    </row>
    <row r="6017" ht="22.5" customHeight="1">
      <c r="A6017" s="49"/>
      <c r="C6017" s="400">
        <v>46004.0</v>
      </c>
      <c r="D6017" s="524">
        <v>8197.0</v>
      </c>
      <c r="E6017" s="544" t="s">
        <v>251</v>
      </c>
      <c r="F6017" s="387">
        <v>1.0</v>
      </c>
      <c r="G6017" s="140">
        <v>350000.0</v>
      </c>
      <c r="H6017" s="140">
        <v>200000.0</v>
      </c>
      <c r="I6017" s="74">
        <f t="shared" si="1"/>
        <v>150000</v>
      </c>
      <c r="J6017" s="74">
        <f>IF(E6017="SERVICE",I6017-(I6017*50%),Vlookup(E6017,DATABASE!C:Q,10,false)*F6017)</f>
        <v>75000</v>
      </c>
      <c r="K6017" s="74">
        <f>VLOOKUP(E6017,DATABASE!C:Q,7,false)</f>
        <v>0</v>
      </c>
      <c r="L6017" s="74">
        <v>0.0</v>
      </c>
      <c r="M6017" s="74">
        <f t="shared" si="2"/>
        <v>0</v>
      </c>
      <c r="N6017" s="74">
        <f t="shared" si="3"/>
        <v>75000</v>
      </c>
      <c r="O6017" s="65" t="str">
        <f>VLOOKUP(E6017,DATABASE!C:Q,8,false)</f>
        <v>IBU</v>
      </c>
      <c r="P6017" s="65">
        <f>VLOOKUP(E6017,DATABASE!C:Q,9,False)</f>
        <v>0</v>
      </c>
      <c r="Q6017" s="93" t="str">
        <f>VLOOKUP(E6017,DATABASE!C:Q,4,false)</f>
        <v>SERVICE</v>
      </c>
      <c r="R6017" s="93" t="str">
        <f>VLOOKUP(E6017,DATABASE!C:Q,11,false)</f>
        <v>SERVICE</v>
      </c>
    </row>
    <row r="6018" ht="22.5" customHeight="1">
      <c r="A6018" s="49"/>
      <c r="C6018" s="400">
        <v>46004.0</v>
      </c>
      <c r="D6018" s="524">
        <v>8198.0</v>
      </c>
      <c r="E6018" s="544" t="s">
        <v>1858</v>
      </c>
      <c r="F6018" s="387">
        <v>1.0</v>
      </c>
      <c r="G6018" s="140">
        <v>2130000.0</v>
      </c>
      <c r="H6018" s="74"/>
      <c r="I6018" s="74">
        <f t="shared" si="1"/>
        <v>2130000</v>
      </c>
      <c r="J6018" s="74">
        <f>IF(E6018="SERVICE",I6018-(I6018*50%),Vlookup(E6018,DATABASE!C:Q,10,false)*F6018)</f>
        <v>0</v>
      </c>
      <c r="K6018" s="74">
        <f>VLOOKUP(E6018,DATABASE!C:Q,7,false)</f>
        <v>2030000</v>
      </c>
      <c r="L6018" s="74">
        <v>2030000.0</v>
      </c>
      <c r="M6018" s="74">
        <f t="shared" si="2"/>
        <v>2030000</v>
      </c>
      <c r="N6018" s="74">
        <f t="shared" si="3"/>
        <v>100000</v>
      </c>
      <c r="O6018" s="65" t="str">
        <f>VLOOKUP(E6018,DATABASE!C:Q,8,false)</f>
        <v>BIAN</v>
      </c>
      <c r="P6018" s="65">
        <f>VLOOKUP(E6018,DATABASE!C:Q,9,False)</f>
        <v>1</v>
      </c>
      <c r="Q6018" s="93" t="str">
        <f>VLOOKUP(E6018,DATABASE!C:Q,4,false)</f>
        <v>GiTi</v>
      </c>
      <c r="R6018" s="93" t="str">
        <f>VLOOKUP(E6018,DATABASE!C:Q,11,false)</f>
        <v>Tire</v>
      </c>
    </row>
    <row r="6019" ht="22.5" customHeight="1">
      <c r="A6019" s="49"/>
      <c r="C6019" s="400">
        <v>46004.0</v>
      </c>
      <c r="D6019" s="524">
        <v>8199.0</v>
      </c>
      <c r="E6019" s="544" t="s">
        <v>256</v>
      </c>
      <c r="F6019" s="387">
        <v>1.0</v>
      </c>
      <c r="G6019" s="140">
        <v>150000.0</v>
      </c>
      <c r="H6019" s="140">
        <v>20000.0</v>
      </c>
      <c r="I6019" s="74">
        <f t="shared" si="1"/>
        <v>130000</v>
      </c>
      <c r="J6019" s="74">
        <f>IF(E6019="SERVICE",I6019-(I6019*50%),Vlookup(E6019,DATABASE!C:Q,10,false)*F6019)</f>
        <v>10000</v>
      </c>
      <c r="K6019" s="74">
        <f>VLOOKUP(E6019,DATABASE!C:Q,7,false)</f>
        <v>0</v>
      </c>
      <c r="L6019" s="74">
        <v>0.0</v>
      </c>
      <c r="M6019" s="74">
        <f t="shared" si="2"/>
        <v>0</v>
      </c>
      <c r="N6019" s="74">
        <f t="shared" si="3"/>
        <v>120000</v>
      </c>
      <c r="O6019" s="65" t="str">
        <f>VLOOKUP(E6019,DATABASE!C:Q,8,false)</f>
        <v>IBU</v>
      </c>
      <c r="P6019" s="65">
        <f>VLOOKUP(E6019,DATABASE!C:Q,9,False)</f>
        <v>0</v>
      </c>
      <c r="Q6019" s="93" t="str">
        <f>VLOOKUP(E6019,DATABASE!C:Q,4,false)</f>
        <v>SPOORING</v>
      </c>
      <c r="R6019" s="93" t="str">
        <f>VLOOKUP(E6019,DATABASE!C:Q,11,false)</f>
        <v>SERVICE</v>
      </c>
    </row>
    <row r="6020" ht="22.5" customHeight="1">
      <c r="A6020" s="49"/>
      <c r="C6020" s="400">
        <v>46004.0</v>
      </c>
      <c r="D6020" s="524">
        <v>8199.0</v>
      </c>
      <c r="E6020" s="544" t="s">
        <v>299</v>
      </c>
      <c r="F6020" s="387">
        <v>2.0</v>
      </c>
      <c r="G6020" s="140">
        <v>30000.0</v>
      </c>
      <c r="H6020" s="74"/>
      <c r="I6020" s="74">
        <f t="shared" si="1"/>
        <v>60000</v>
      </c>
      <c r="J6020" s="74">
        <f>IF(E6020="SERVICE",I6020-(I6020*50%),Vlookup(E6020,DATABASE!C:Q,10,false)*F6020)</f>
        <v>0</v>
      </c>
      <c r="K6020" s="74">
        <f>VLOOKUP(E6020,DATABASE!C:Q,7,false)</f>
        <v>10000</v>
      </c>
      <c r="L6020" s="74">
        <v>5000.0</v>
      </c>
      <c r="M6020" s="74">
        <f t="shared" si="2"/>
        <v>5000</v>
      </c>
      <c r="N6020" s="74">
        <f t="shared" si="3"/>
        <v>50000</v>
      </c>
      <c r="O6020" s="65" t="str">
        <f>VLOOKUP(E6020,DATABASE!C:Q,8,false)</f>
        <v>BIAN</v>
      </c>
      <c r="P6020" s="65">
        <f>VLOOKUP(E6020,DATABASE!C:Q,9,False)</f>
        <v>0</v>
      </c>
      <c r="Q6020" s="93" t="str">
        <f>VLOOKUP(E6020,DATABASE!C:Q,4,false)</f>
        <v>Balancing</v>
      </c>
      <c r="R6020" s="93" t="str">
        <f>VLOOKUP(E6020,DATABASE!C:Q,11,false)</f>
        <v>COMPLEMENTARY</v>
      </c>
    </row>
    <row r="6021" ht="22.5" customHeight="1">
      <c r="A6021" s="49"/>
      <c r="C6021" s="400">
        <v>46004.0</v>
      </c>
      <c r="D6021" s="524">
        <v>8199.0</v>
      </c>
      <c r="E6021" s="544" t="s">
        <v>301</v>
      </c>
      <c r="F6021" s="387">
        <v>1.0</v>
      </c>
      <c r="G6021" s="140">
        <v>250000.0</v>
      </c>
      <c r="H6021" s="74"/>
      <c r="I6021" s="74">
        <f t="shared" si="1"/>
        <v>250000</v>
      </c>
      <c r="J6021" s="74">
        <f>IF(E6021="SERVICE",I6021-(I6021*50%),Vlookup(E6021,DATABASE!C:Q,10,false)*F6021)</f>
        <v>75000</v>
      </c>
      <c r="K6021" s="74">
        <f>VLOOKUP(E6021,DATABASE!C:Q,7,false)</f>
        <v>75000</v>
      </c>
      <c r="L6021" s="74">
        <v>75000.0</v>
      </c>
      <c r="M6021" s="74">
        <f t="shared" si="2"/>
        <v>75000</v>
      </c>
      <c r="N6021" s="74">
        <f t="shared" si="3"/>
        <v>100000</v>
      </c>
      <c r="O6021" s="65" t="str">
        <f>VLOOKUP(E6021,DATABASE!C:Q,8,false)</f>
        <v>BIAN</v>
      </c>
      <c r="P6021" s="65">
        <f>VLOOKUP(E6021,DATABASE!C:Q,9,False)</f>
        <v>0</v>
      </c>
      <c r="Q6021" s="93" t="str">
        <f>VLOOKUP(E6021,DATABASE!C:Q,4,false)</f>
        <v>Baut Camber</v>
      </c>
      <c r="R6021" s="93" t="str">
        <f>VLOOKUP(E6021,DATABASE!C:Q,11,false)</f>
        <v>COMPLEMENTARY</v>
      </c>
    </row>
    <row r="6022" ht="22.5" customHeight="1">
      <c r="A6022" s="49"/>
      <c r="C6022" s="400">
        <v>46004.0</v>
      </c>
      <c r="D6022" s="524">
        <v>8200.0</v>
      </c>
      <c r="E6022" s="544" t="s">
        <v>955</v>
      </c>
      <c r="F6022" s="387">
        <v>1.0</v>
      </c>
      <c r="G6022" s="140">
        <v>770000.0</v>
      </c>
      <c r="H6022" s="74"/>
      <c r="I6022" s="74">
        <f t="shared" si="1"/>
        <v>770000</v>
      </c>
      <c r="J6022" s="74">
        <f>IF(E6022="SERVICE",I6022-(I6022*50%),Vlookup(E6022,DATABASE!C:Q,10,false)*F6022)</f>
        <v>0</v>
      </c>
      <c r="K6022" s="74">
        <f>VLOOKUP(E6022,DATABASE!C:Q,7,false)</f>
        <v>712000</v>
      </c>
      <c r="L6022" s="74">
        <v>674000.0</v>
      </c>
      <c r="M6022" s="74">
        <f t="shared" si="2"/>
        <v>675000</v>
      </c>
      <c r="N6022" s="74">
        <f t="shared" si="3"/>
        <v>95000</v>
      </c>
      <c r="O6022" s="65" t="str">
        <f>VLOOKUP(E6022,DATABASE!C:Q,8,false)</f>
        <v>IBU</v>
      </c>
      <c r="P6022" s="65">
        <f>VLOOKUP(E6022,DATABASE!C:Q,9,False)</f>
        <v>1</v>
      </c>
      <c r="Q6022" s="93" t="str">
        <f>VLOOKUP(E6022,DATABASE!C:Q,4,false)</f>
        <v>Dunlop</v>
      </c>
      <c r="R6022" s="93" t="str">
        <f>VLOOKUP(E6022,DATABASE!C:Q,11,false)</f>
        <v>Tire</v>
      </c>
    </row>
    <row r="6023" ht="22.5" customHeight="1">
      <c r="A6023" s="49"/>
      <c r="C6023" s="400">
        <v>46004.0</v>
      </c>
      <c r="D6023" s="524">
        <v>8201.0</v>
      </c>
      <c r="E6023" s="544" t="s">
        <v>744</v>
      </c>
      <c r="F6023" s="387">
        <v>1.0</v>
      </c>
      <c r="G6023" s="140">
        <v>230000.0</v>
      </c>
      <c r="H6023" s="74"/>
      <c r="I6023" s="74">
        <f t="shared" si="1"/>
        <v>230000</v>
      </c>
      <c r="J6023" s="74">
        <f>IF(E6023="SERVICE",I6023-(I6023*50%),Vlookup(E6023,DATABASE!C:Q,10,false)*F6023)</f>
        <v>0</v>
      </c>
      <c r="K6023" s="74">
        <f>VLOOKUP(E6023,DATABASE!C:Q,7,false)</f>
        <v>182200</v>
      </c>
      <c r="L6023" s="74">
        <v>199920.0</v>
      </c>
      <c r="M6023" s="74">
        <f t="shared" si="2"/>
        <v>200000</v>
      </c>
      <c r="N6023" s="74">
        <f t="shared" si="3"/>
        <v>30000</v>
      </c>
      <c r="O6023" s="65" t="str">
        <f>VLOOKUP(E6023,DATABASE!C:Q,8,false)</f>
        <v>BIAN</v>
      </c>
      <c r="P6023" s="65">
        <f>VLOOKUP(E6023,DATABASE!C:Q,9,False)</f>
        <v>1</v>
      </c>
      <c r="Q6023" s="93" t="str">
        <f>VLOOKUP(E6023,DATABASE!C:Q,4,false)</f>
        <v>BD</v>
      </c>
      <c r="R6023" s="93" t="str">
        <f>VLOOKUP(E6023,DATABASE!C:Q,11,false)</f>
        <v>Tire</v>
      </c>
    </row>
    <row r="6024" ht="22.5" customHeight="1">
      <c r="A6024" s="49"/>
      <c r="C6024" s="400">
        <v>46004.0</v>
      </c>
      <c r="D6024" s="524">
        <v>8202.0</v>
      </c>
      <c r="E6024" s="544" t="s">
        <v>627</v>
      </c>
      <c r="F6024" s="387">
        <v>2.0</v>
      </c>
      <c r="G6024" s="140">
        <v>950000.0</v>
      </c>
      <c r="H6024" s="140">
        <v>20000.0</v>
      </c>
      <c r="I6024" s="74">
        <f t="shared" si="1"/>
        <v>1860000</v>
      </c>
      <c r="J6024" s="74">
        <f>IF(E6024="SERVICE",I6024-(I6024*50%),Vlookup(E6024,DATABASE!C:Q,10,false)*F6024)</f>
        <v>0</v>
      </c>
      <c r="K6024" s="74">
        <f>VLOOKUP(E6024,DATABASE!C:Q,7,false)</f>
        <v>879567</v>
      </c>
      <c r="L6024" s="74">
        <v>830273.6</v>
      </c>
      <c r="M6024" s="74">
        <f t="shared" si="2"/>
        <v>835000</v>
      </c>
      <c r="N6024" s="74">
        <f t="shared" si="3"/>
        <v>190000</v>
      </c>
      <c r="O6024" s="65" t="str">
        <f>VLOOKUP(E6024,DATABASE!C:Q,8,false)</f>
        <v>IBU</v>
      </c>
      <c r="P6024" s="65">
        <f>VLOOKUP(E6024,DATABASE!C:Q,9,False)</f>
        <v>1</v>
      </c>
      <c r="Q6024" s="93" t="str">
        <f>VLOOKUP(E6024,DATABASE!C:Q,4,false)</f>
        <v>Bridgestone</v>
      </c>
      <c r="R6024" s="93" t="str">
        <f>VLOOKUP(E6024,DATABASE!C:Q,11,false)</f>
        <v>Tire</v>
      </c>
    </row>
    <row r="6025" ht="22.5" customHeight="1">
      <c r="A6025" s="49"/>
      <c r="C6025" s="400">
        <v>46004.0</v>
      </c>
      <c r="D6025" s="524">
        <v>8202.0</v>
      </c>
      <c r="E6025" s="544" t="s">
        <v>299</v>
      </c>
      <c r="F6025" s="387">
        <v>2.0</v>
      </c>
      <c r="G6025" s="140">
        <v>30000.0</v>
      </c>
      <c r="H6025" s="74"/>
      <c r="I6025" s="74">
        <f t="shared" si="1"/>
        <v>60000</v>
      </c>
      <c r="J6025" s="74">
        <f>IF(E6025="SERVICE",I6025-(I6025*50%),Vlookup(E6025,DATABASE!C:Q,10,false)*F6025)</f>
        <v>0</v>
      </c>
      <c r="K6025" s="74">
        <f>VLOOKUP(E6025,DATABASE!C:Q,7,false)</f>
        <v>10000</v>
      </c>
      <c r="L6025" s="74">
        <v>5000.0</v>
      </c>
      <c r="M6025" s="74">
        <f t="shared" si="2"/>
        <v>5000</v>
      </c>
      <c r="N6025" s="74">
        <f t="shared" si="3"/>
        <v>50000</v>
      </c>
      <c r="O6025" s="65" t="str">
        <f>VLOOKUP(E6025,DATABASE!C:Q,8,false)</f>
        <v>BIAN</v>
      </c>
      <c r="P6025" s="65">
        <f>VLOOKUP(E6025,DATABASE!C:Q,9,False)</f>
        <v>0</v>
      </c>
      <c r="Q6025" s="93" t="str">
        <f>VLOOKUP(E6025,DATABASE!C:Q,4,false)</f>
        <v>Balancing</v>
      </c>
      <c r="R6025" s="93" t="str">
        <f>VLOOKUP(E6025,DATABASE!C:Q,11,false)</f>
        <v>COMPLEMENTARY</v>
      </c>
    </row>
    <row r="6026" ht="22.5" customHeight="1">
      <c r="A6026" s="49"/>
      <c r="C6026" s="400">
        <v>46004.0</v>
      </c>
      <c r="D6026" s="524">
        <v>8203.0</v>
      </c>
      <c r="E6026" s="544" t="s">
        <v>256</v>
      </c>
      <c r="F6026" s="387">
        <v>1.0</v>
      </c>
      <c r="G6026" s="140">
        <v>150000.0</v>
      </c>
      <c r="H6026" s="140">
        <v>20000.0</v>
      </c>
      <c r="I6026" s="74">
        <f t="shared" si="1"/>
        <v>130000</v>
      </c>
      <c r="J6026" s="74">
        <f>IF(E6026="SERVICE",I6026-(I6026*50%),Vlookup(E6026,DATABASE!C:Q,10,false)*F6026)</f>
        <v>10000</v>
      </c>
      <c r="K6026" s="74">
        <f>VLOOKUP(E6026,DATABASE!C:Q,7,false)</f>
        <v>0</v>
      </c>
      <c r="L6026" s="74">
        <v>0.0</v>
      </c>
      <c r="M6026" s="74">
        <f t="shared" si="2"/>
        <v>0</v>
      </c>
      <c r="N6026" s="74">
        <f t="shared" si="3"/>
        <v>120000</v>
      </c>
      <c r="O6026" s="65" t="str">
        <f>VLOOKUP(E6026,DATABASE!C:Q,8,false)</f>
        <v>IBU</v>
      </c>
      <c r="P6026" s="65">
        <f>VLOOKUP(E6026,DATABASE!C:Q,9,False)</f>
        <v>0</v>
      </c>
      <c r="Q6026" s="93" t="str">
        <f>VLOOKUP(E6026,DATABASE!C:Q,4,false)</f>
        <v>SPOORING</v>
      </c>
      <c r="R6026" s="93" t="str">
        <f>VLOOKUP(E6026,DATABASE!C:Q,11,false)</f>
        <v>SERVICE</v>
      </c>
    </row>
    <row r="6027" ht="22.5" customHeight="1">
      <c r="A6027" s="49"/>
      <c r="C6027" s="400">
        <v>46004.0</v>
      </c>
      <c r="D6027" s="524">
        <v>8203.0</v>
      </c>
      <c r="E6027" s="544" t="s">
        <v>2626</v>
      </c>
      <c r="F6027" s="387">
        <v>1.0</v>
      </c>
      <c r="G6027" s="140">
        <v>250000.0</v>
      </c>
      <c r="H6027" s="74"/>
      <c r="I6027" s="74">
        <f t="shared" si="1"/>
        <v>250000</v>
      </c>
      <c r="J6027" s="74">
        <f>IF(E6027="SERVICE",I6027-(I6027*50%),Vlookup(E6027,DATABASE!C:Q,10,false)*F6027)</f>
        <v>0</v>
      </c>
      <c r="K6027" s="74">
        <f>VLOOKUP(E6027,DATABASE!C:Q,7,false)</f>
        <v>548000</v>
      </c>
      <c r="L6027" s="74">
        <v>75000.0</v>
      </c>
      <c r="M6027" s="74">
        <f t="shared" si="2"/>
        <v>75000</v>
      </c>
      <c r="N6027" s="74">
        <f t="shared" si="3"/>
        <v>175000</v>
      </c>
      <c r="O6027" s="65" t="str">
        <f>VLOOKUP(E6027,DATABASE!C:Q,8,false)</f>
        <v>Bian</v>
      </c>
      <c r="P6027" s="65">
        <f>VLOOKUP(E6027,DATABASE!C:Q,9,False)</f>
        <v>1</v>
      </c>
      <c r="Q6027" s="93" t="str">
        <f>VLOOKUP(E6027,DATABASE!C:Q,4,false)</f>
        <v>Laufen</v>
      </c>
      <c r="R6027" s="93" t="str">
        <f>VLOOKUP(E6027,DATABASE!C:Q,11,false)</f>
        <v>Tire</v>
      </c>
    </row>
    <row r="6028" ht="22.5" customHeight="1">
      <c r="A6028" s="49"/>
      <c r="C6028" s="400">
        <v>46004.0</v>
      </c>
      <c r="D6028" s="524">
        <v>8204.0</v>
      </c>
      <c r="E6028" s="544" t="s">
        <v>256</v>
      </c>
      <c r="F6028" s="387">
        <v>1.0</v>
      </c>
      <c r="G6028" s="140">
        <v>150000.0</v>
      </c>
      <c r="H6028" s="140">
        <v>20000.0</v>
      </c>
      <c r="I6028" s="74">
        <f t="shared" si="1"/>
        <v>130000</v>
      </c>
      <c r="J6028" s="74">
        <f>IF(E6028="SERVICE",I6028-(I6028*50%),Vlookup(E6028,DATABASE!C:Q,10,false)*F6028)</f>
        <v>10000</v>
      </c>
      <c r="K6028" s="74">
        <f>VLOOKUP(E6028,DATABASE!C:Q,7,false)</f>
        <v>0</v>
      </c>
      <c r="L6028" s="74">
        <v>0.0</v>
      </c>
      <c r="M6028" s="74">
        <f t="shared" si="2"/>
        <v>0</v>
      </c>
      <c r="N6028" s="74">
        <f t="shared" si="3"/>
        <v>120000</v>
      </c>
      <c r="O6028" s="65" t="str">
        <f>VLOOKUP(E6028,DATABASE!C:Q,8,false)</f>
        <v>IBU</v>
      </c>
      <c r="P6028" s="65">
        <f>VLOOKUP(E6028,DATABASE!C:Q,9,False)</f>
        <v>0</v>
      </c>
      <c r="Q6028" s="93" t="str">
        <f>VLOOKUP(E6028,DATABASE!C:Q,4,false)</f>
        <v>SPOORING</v>
      </c>
      <c r="R6028" s="93" t="str">
        <f>VLOOKUP(E6028,DATABASE!C:Q,11,false)</f>
        <v>SERVICE</v>
      </c>
    </row>
    <row r="6029" ht="22.5" customHeight="1">
      <c r="A6029" s="49"/>
      <c r="C6029" s="400">
        <v>46004.0</v>
      </c>
      <c r="D6029" s="524">
        <v>8204.0</v>
      </c>
      <c r="E6029" s="544" t="s">
        <v>301</v>
      </c>
      <c r="F6029" s="387">
        <v>1.0</v>
      </c>
      <c r="G6029" s="140">
        <v>250000.0</v>
      </c>
      <c r="H6029" s="74"/>
      <c r="I6029" s="74">
        <f t="shared" si="1"/>
        <v>250000</v>
      </c>
      <c r="J6029" s="74">
        <f>IF(E6029="SERVICE",I6029-(I6029*50%),Vlookup(E6029,DATABASE!C:Q,10,false)*F6029)</f>
        <v>75000</v>
      </c>
      <c r="K6029" s="74">
        <f>VLOOKUP(E6029,DATABASE!C:Q,7,false)</f>
        <v>75000</v>
      </c>
      <c r="L6029" s="74">
        <v>75000.0</v>
      </c>
      <c r="M6029" s="74">
        <f t="shared" si="2"/>
        <v>75000</v>
      </c>
      <c r="N6029" s="74">
        <f t="shared" si="3"/>
        <v>100000</v>
      </c>
      <c r="O6029" s="65" t="str">
        <f>VLOOKUP(E6029,DATABASE!C:Q,8,false)</f>
        <v>BIAN</v>
      </c>
      <c r="P6029" s="65">
        <f>VLOOKUP(E6029,DATABASE!C:Q,9,False)</f>
        <v>0</v>
      </c>
      <c r="Q6029" s="93" t="str">
        <f>VLOOKUP(E6029,DATABASE!C:Q,4,false)</f>
        <v>Baut Camber</v>
      </c>
      <c r="R6029" s="93" t="str">
        <f>VLOOKUP(E6029,DATABASE!C:Q,11,false)</f>
        <v>COMPLEMENTARY</v>
      </c>
    </row>
    <row r="6030" ht="22.5" customHeight="1">
      <c r="A6030" s="49"/>
      <c r="C6030" s="400">
        <v>46004.0</v>
      </c>
      <c r="D6030" s="69" t="s">
        <v>2655</v>
      </c>
      <c r="E6030" s="544" t="s">
        <v>248</v>
      </c>
      <c r="F6030" s="387">
        <v>1.0</v>
      </c>
      <c r="G6030" s="140">
        <v>190000.0</v>
      </c>
      <c r="H6030" s="74"/>
      <c r="I6030" s="74">
        <f t="shared" si="1"/>
        <v>190000</v>
      </c>
      <c r="J6030" s="74">
        <f>IF(E6030="SERVICE",I6030-(I6030*50%),Vlookup(E6030,DATABASE!C:Q,10,false)*F6030)</f>
        <v>0</v>
      </c>
      <c r="K6030" s="74">
        <f>VLOOKUP(E6030,DATABASE!C:Q,7,false)</f>
        <v>209816.66</v>
      </c>
      <c r="L6030" s="74">
        <v>160833.0</v>
      </c>
      <c r="M6030" s="74">
        <f t="shared" si="2"/>
        <v>165000</v>
      </c>
      <c r="N6030" s="74">
        <f t="shared" si="3"/>
        <v>25000</v>
      </c>
      <c r="O6030" s="65" t="str">
        <f>VLOOKUP(E6030,DATABASE!C:Q,8,false)</f>
        <v>NON</v>
      </c>
      <c r="P6030" s="65">
        <f>VLOOKUP(E6030,DATABASE!C:Q,9,False)</f>
        <v>0</v>
      </c>
      <c r="Q6030" s="93" t="str">
        <f>VLOOKUP(E6030,DATABASE!C:Q,4,false)</f>
        <v>Pertamina</v>
      </c>
      <c r="R6030" s="93" t="str">
        <f>VLOOKUP(E6030,DATABASE!C:Q,11,false)</f>
        <v>OIL</v>
      </c>
    </row>
    <row r="6031" ht="22.5" customHeight="1">
      <c r="A6031" s="49"/>
      <c r="C6031" s="400">
        <v>46004.0</v>
      </c>
      <c r="D6031" s="69" t="s">
        <v>2656</v>
      </c>
      <c r="E6031" s="544" t="s">
        <v>263</v>
      </c>
      <c r="F6031" s="387">
        <v>1.0</v>
      </c>
      <c r="G6031" s="140">
        <v>320000.0</v>
      </c>
      <c r="H6031" s="74"/>
      <c r="I6031" s="74">
        <f t="shared" si="1"/>
        <v>320000</v>
      </c>
      <c r="J6031" s="74">
        <f>IF(E6031="SERVICE",I6031-(I6031*50%),Vlookup(E6031,DATABASE!C:Q,10,false)*F6031)</f>
        <v>0</v>
      </c>
      <c r="K6031" s="74">
        <f>VLOOKUP(E6031,DATABASE!C:Q,7,false)</f>
        <v>334916</v>
      </c>
      <c r="L6031" s="74">
        <v>287688.0</v>
      </c>
      <c r="M6031" s="74">
        <f t="shared" si="2"/>
        <v>290000</v>
      </c>
      <c r="N6031" s="74">
        <f t="shared" si="3"/>
        <v>30000</v>
      </c>
      <c r="O6031" s="65" t="str">
        <f>VLOOKUP(E6031,DATABASE!C:Q,8,false)</f>
        <v>NON</v>
      </c>
      <c r="P6031" s="65">
        <f>VLOOKUP(E6031,DATABASE!C:Q,9,False)</f>
        <v>0</v>
      </c>
      <c r="Q6031" s="93" t="str">
        <f>VLOOKUP(E6031,DATABASE!C:Q,4,false)</f>
        <v>Shell</v>
      </c>
      <c r="R6031" s="93" t="str">
        <f>VLOOKUP(E6031,DATABASE!C:Q,11,false)</f>
        <v>OIL</v>
      </c>
    </row>
    <row r="6032" ht="22.5" customHeight="1">
      <c r="A6032" s="49"/>
      <c r="C6032" s="400">
        <v>46005.0</v>
      </c>
      <c r="D6032" s="524">
        <v>8205.0</v>
      </c>
      <c r="E6032" s="544" t="s">
        <v>256</v>
      </c>
      <c r="F6032" s="387">
        <v>1.0</v>
      </c>
      <c r="G6032" s="140">
        <v>150000.0</v>
      </c>
      <c r="H6032" s="140">
        <v>20000.0</v>
      </c>
      <c r="I6032" s="74">
        <f t="shared" si="1"/>
        <v>130000</v>
      </c>
      <c r="J6032" s="74">
        <f>IF(E6032="SERVICE",I6032-(I6032*50%),Vlookup(E6032,DATABASE!C:Q,10,false)*F6032)</f>
        <v>10000</v>
      </c>
      <c r="K6032" s="74">
        <f>VLOOKUP(E6032,DATABASE!C:Q,7,false)</f>
        <v>0</v>
      </c>
      <c r="L6032" s="74">
        <v>0.0</v>
      </c>
      <c r="M6032" s="74">
        <f t="shared" si="2"/>
        <v>0</v>
      </c>
      <c r="N6032" s="74">
        <f t="shared" si="3"/>
        <v>120000</v>
      </c>
      <c r="O6032" s="65" t="str">
        <f>VLOOKUP(E6032,DATABASE!C:Q,8,false)</f>
        <v>IBU</v>
      </c>
      <c r="P6032" s="65">
        <f>VLOOKUP(E6032,DATABASE!C:Q,9,False)</f>
        <v>0</v>
      </c>
      <c r="Q6032" s="93" t="str">
        <f>VLOOKUP(E6032,DATABASE!C:Q,4,false)</f>
        <v>SPOORING</v>
      </c>
      <c r="R6032" s="93" t="str">
        <f>VLOOKUP(E6032,DATABASE!C:Q,11,false)</f>
        <v>SERVICE</v>
      </c>
    </row>
    <row r="6033" ht="22.5" customHeight="1">
      <c r="A6033" s="49"/>
      <c r="C6033" s="400">
        <v>46005.0</v>
      </c>
      <c r="D6033" s="524">
        <v>8206.0</v>
      </c>
      <c r="E6033" s="544" t="s">
        <v>974</v>
      </c>
      <c r="F6033" s="387">
        <v>2.0</v>
      </c>
      <c r="G6033" s="140">
        <v>585000.0</v>
      </c>
      <c r="H6033" s="74"/>
      <c r="I6033" s="74">
        <f t="shared" si="1"/>
        <v>1170000</v>
      </c>
      <c r="J6033" s="74">
        <f>IF(E6033="SERVICE",I6033-(I6033*50%),Vlookup(E6033,DATABASE!C:Q,10,false)*F6033)</f>
        <v>0</v>
      </c>
      <c r="K6033" s="74">
        <f>VLOOKUP(E6033,DATABASE!C:Q,7,false)</f>
        <v>501500</v>
      </c>
      <c r="L6033" s="74">
        <v>491000.0</v>
      </c>
      <c r="M6033" s="74">
        <f t="shared" si="2"/>
        <v>495000</v>
      </c>
      <c r="N6033" s="74">
        <f t="shared" si="3"/>
        <v>180000</v>
      </c>
      <c r="O6033" s="65" t="str">
        <f>VLOOKUP(E6033,DATABASE!C:Q,8,false)</f>
        <v>IBU</v>
      </c>
      <c r="P6033" s="65">
        <f>VLOOKUP(E6033,DATABASE!C:Q,9,False)</f>
        <v>1</v>
      </c>
      <c r="Q6033" s="93" t="str">
        <f>VLOOKUP(E6033,DATABASE!C:Q,4,false)</f>
        <v>Dunlop</v>
      </c>
      <c r="R6033" s="93" t="str">
        <f>VLOOKUP(E6033,DATABASE!C:Q,11,false)</f>
        <v>Tire</v>
      </c>
    </row>
    <row r="6034" ht="22.5" customHeight="1">
      <c r="A6034" s="49"/>
      <c r="C6034" s="400">
        <v>46005.0</v>
      </c>
      <c r="D6034" s="524">
        <v>8207.0</v>
      </c>
      <c r="E6034" s="544" t="s">
        <v>265</v>
      </c>
      <c r="F6034" s="387">
        <v>1.0</v>
      </c>
      <c r="G6034" s="140">
        <v>685000.0</v>
      </c>
      <c r="H6034" s="74"/>
      <c r="I6034" s="74">
        <f t="shared" si="1"/>
        <v>685000</v>
      </c>
      <c r="J6034" s="74">
        <f>IF(E6034="SERVICE",I6034-(I6034*50%),Vlookup(E6034,DATABASE!C:Q,10,false)*F6034)</f>
        <v>0</v>
      </c>
      <c r="K6034" s="74">
        <f>VLOOKUP(E6034,DATABASE!C:Q,7,false)</f>
        <v>628000</v>
      </c>
      <c r="L6034" s="74">
        <v>600000.0</v>
      </c>
      <c r="M6034" s="74">
        <f t="shared" si="2"/>
        <v>600000</v>
      </c>
      <c r="N6034" s="74">
        <f t="shared" si="3"/>
        <v>85000</v>
      </c>
      <c r="O6034" s="65" t="str">
        <f>VLOOKUP(E6034,DATABASE!C:Q,8,false)</f>
        <v>IBU</v>
      </c>
      <c r="P6034" s="65">
        <f>VLOOKUP(E6034,DATABASE!C:Q,9,False)</f>
        <v>1</v>
      </c>
      <c r="Q6034" s="93" t="str">
        <f>VLOOKUP(E6034,DATABASE!C:Q,4,false)</f>
        <v>Dunlop</v>
      </c>
      <c r="R6034" s="93" t="str">
        <f>VLOOKUP(E6034,DATABASE!C:Q,11,false)</f>
        <v>Tire</v>
      </c>
    </row>
    <row r="6035" ht="22.5" customHeight="1">
      <c r="A6035" s="49"/>
      <c r="C6035" s="400">
        <v>46005.0</v>
      </c>
      <c r="D6035" s="524">
        <v>8208.0</v>
      </c>
      <c r="E6035" s="544" t="s">
        <v>1009</v>
      </c>
      <c r="F6035" s="387">
        <v>1.0</v>
      </c>
      <c r="G6035" s="140">
        <v>700000.0</v>
      </c>
      <c r="H6035" s="74"/>
      <c r="I6035" s="74">
        <f t="shared" si="1"/>
        <v>700000</v>
      </c>
      <c r="J6035" s="74">
        <f>IF(E6035="SERVICE",I6035-(I6035*50%),Vlookup(E6035,DATABASE!C:Q,10,false)*F6035)</f>
        <v>0</v>
      </c>
      <c r="K6035" s="74">
        <f>VLOOKUP(E6035,DATABASE!C:Q,7,false)</f>
        <v>609800</v>
      </c>
      <c r="L6035" s="74">
        <v>592200.0</v>
      </c>
      <c r="M6035" s="74">
        <f t="shared" si="2"/>
        <v>595000</v>
      </c>
      <c r="N6035" s="74">
        <f t="shared" si="3"/>
        <v>105000</v>
      </c>
      <c r="O6035" s="65" t="str">
        <f>VLOOKUP(E6035,DATABASE!C:Q,8,false)</f>
        <v>BIAN</v>
      </c>
      <c r="P6035" s="65">
        <f>VLOOKUP(E6035,DATABASE!C:Q,9,False)</f>
        <v>1</v>
      </c>
      <c r="Q6035" s="93" t="str">
        <f>VLOOKUP(E6035,DATABASE!C:Q,4,false)</f>
        <v>GT</v>
      </c>
      <c r="R6035" s="93" t="str">
        <f>VLOOKUP(E6035,DATABASE!C:Q,11,false)</f>
        <v>Tire</v>
      </c>
    </row>
    <row r="6036" ht="22.5" customHeight="1">
      <c r="A6036" s="49"/>
      <c r="C6036" s="400">
        <v>46005.0</v>
      </c>
      <c r="D6036" s="524">
        <v>8209.0</v>
      </c>
      <c r="E6036" s="544" t="s">
        <v>1439</v>
      </c>
      <c r="F6036" s="387">
        <v>2.0</v>
      </c>
      <c r="G6036" s="140">
        <v>640000.0</v>
      </c>
      <c r="H6036" s="140">
        <v>10000.0</v>
      </c>
      <c r="I6036" s="74">
        <f t="shared" si="1"/>
        <v>1260000</v>
      </c>
      <c r="J6036" s="74">
        <f>IF(E6036="SERVICE",I6036-(I6036*50%),Vlookup(E6036,DATABASE!C:Q,10,false)*F6036)</f>
        <v>0</v>
      </c>
      <c r="K6036" s="74">
        <f>VLOOKUP(E6036,DATABASE!C:Q,7,false)</f>
        <v>556800</v>
      </c>
      <c r="L6036" s="74">
        <v>540800.0</v>
      </c>
      <c r="M6036" s="74">
        <f t="shared" si="2"/>
        <v>545000</v>
      </c>
      <c r="N6036" s="74">
        <f t="shared" si="3"/>
        <v>170000</v>
      </c>
      <c r="O6036" s="65" t="str">
        <f>VLOOKUP(E6036,DATABASE!C:Q,8,false)</f>
        <v>BIAN</v>
      </c>
      <c r="P6036" s="65">
        <f>VLOOKUP(E6036,DATABASE!C:Q,9,False)</f>
        <v>1</v>
      </c>
      <c r="Q6036" s="93" t="str">
        <f>VLOOKUP(E6036,DATABASE!C:Q,4,false)</f>
        <v>GT</v>
      </c>
      <c r="R6036" s="93" t="str">
        <f>VLOOKUP(E6036,DATABASE!C:Q,11,false)</f>
        <v>Tire</v>
      </c>
    </row>
    <row r="6037" ht="22.5" customHeight="1">
      <c r="A6037" s="49"/>
      <c r="C6037" s="400">
        <v>46005.0</v>
      </c>
      <c r="D6037" s="524">
        <v>8212.0</v>
      </c>
      <c r="E6037" s="544" t="s">
        <v>268</v>
      </c>
      <c r="F6037" s="387">
        <v>2.0</v>
      </c>
      <c r="G6037" s="140">
        <v>710000.0</v>
      </c>
      <c r="H6037" s="74"/>
      <c r="I6037" s="74">
        <f t="shared" si="1"/>
        <v>1420000</v>
      </c>
      <c r="J6037" s="74">
        <f>IF(E6037="SERVICE",I6037-(I6037*50%),Vlookup(E6037,DATABASE!C:Q,10,false)*F6037)</f>
        <v>0</v>
      </c>
      <c r="K6037" s="74">
        <f>VLOOKUP(E6037,DATABASE!C:Q,7,false)</f>
        <v>653000</v>
      </c>
      <c r="L6037" s="74">
        <v>622000.0</v>
      </c>
      <c r="M6037" s="74">
        <f t="shared" si="2"/>
        <v>625000</v>
      </c>
      <c r="N6037" s="74">
        <f t="shared" si="3"/>
        <v>170000</v>
      </c>
      <c r="O6037" s="65" t="str">
        <f>VLOOKUP(E6037,DATABASE!C:Q,8,false)</f>
        <v>IBU</v>
      </c>
      <c r="P6037" s="65">
        <f>VLOOKUP(E6037,DATABASE!C:Q,9,False)</f>
        <v>1</v>
      </c>
      <c r="Q6037" s="93" t="str">
        <f>VLOOKUP(E6037,DATABASE!C:Q,4,false)</f>
        <v>Dunlop</v>
      </c>
      <c r="R6037" s="93" t="str">
        <f>VLOOKUP(E6037,DATABASE!C:Q,11,false)</f>
        <v>Tire</v>
      </c>
    </row>
    <row r="6038" ht="22.5" customHeight="1">
      <c r="A6038" s="49"/>
      <c r="C6038" s="400">
        <v>46005.0</v>
      </c>
      <c r="D6038" s="524">
        <v>8213.0</v>
      </c>
      <c r="E6038" s="544" t="s">
        <v>968</v>
      </c>
      <c r="F6038" s="387">
        <v>1.0</v>
      </c>
      <c r="G6038" s="140">
        <v>675000.0</v>
      </c>
      <c r="H6038" s="140">
        <v>5000.0</v>
      </c>
      <c r="I6038" s="74">
        <f t="shared" si="1"/>
        <v>670000</v>
      </c>
      <c r="J6038" s="74">
        <f>IF(E6038="SERVICE",I6038-(I6038*50%),Vlookup(E6038,DATABASE!C:Q,10,false)*F6038)</f>
        <v>0</v>
      </c>
      <c r="K6038" s="74">
        <f>VLOOKUP(E6038,DATABASE!C:Q,7,false)</f>
        <v>582500</v>
      </c>
      <c r="L6038" s="74">
        <v>570500.0</v>
      </c>
      <c r="M6038" s="74">
        <f t="shared" si="2"/>
        <v>575000</v>
      </c>
      <c r="N6038" s="74">
        <f t="shared" si="3"/>
        <v>95000</v>
      </c>
      <c r="O6038" s="65" t="str">
        <f>VLOOKUP(E6038,DATABASE!C:Q,8,false)</f>
        <v>IBU</v>
      </c>
      <c r="P6038" s="65">
        <f>VLOOKUP(E6038,DATABASE!C:Q,9,False)</f>
        <v>1</v>
      </c>
      <c r="Q6038" s="93" t="str">
        <f>VLOOKUP(E6038,DATABASE!C:Q,4,false)</f>
        <v>Dunlop</v>
      </c>
      <c r="R6038" s="93" t="str">
        <f>VLOOKUP(E6038,DATABASE!C:Q,11,false)</f>
        <v>Tire</v>
      </c>
    </row>
    <row r="6039" ht="22.5" customHeight="1">
      <c r="A6039" s="49"/>
      <c r="C6039" s="400">
        <v>46005.0</v>
      </c>
      <c r="D6039" s="524">
        <v>8214.0</v>
      </c>
      <c r="E6039" s="544" t="s">
        <v>281</v>
      </c>
      <c r="F6039" s="387">
        <v>1.0</v>
      </c>
      <c r="G6039" s="140">
        <v>880000.0</v>
      </c>
      <c r="H6039" s="140">
        <v>10000.0</v>
      </c>
      <c r="I6039" s="74">
        <f t="shared" si="1"/>
        <v>870000</v>
      </c>
      <c r="J6039" s="74">
        <f>IF(E6039="SERVICE",I6039-(I6039*50%),Vlookup(E6039,DATABASE!C:Q,10,false)*F6039)</f>
        <v>0</v>
      </c>
      <c r="K6039" s="74">
        <f>VLOOKUP(E6039,DATABASE!C:Q,7,false)</f>
        <v>814000</v>
      </c>
      <c r="L6039" s="74">
        <v>780000.0</v>
      </c>
      <c r="M6039" s="74">
        <f t="shared" si="2"/>
        <v>780000</v>
      </c>
      <c r="N6039" s="74">
        <f t="shared" si="3"/>
        <v>90000</v>
      </c>
      <c r="O6039" s="65" t="str">
        <f>VLOOKUP(E6039,DATABASE!C:Q,8,false)</f>
        <v>IBU</v>
      </c>
      <c r="P6039" s="65">
        <f>VLOOKUP(E6039,DATABASE!C:Q,9,False)</f>
        <v>1</v>
      </c>
      <c r="Q6039" s="93" t="str">
        <f>VLOOKUP(E6039,DATABASE!C:Q,4,false)</f>
        <v>Dunlop</v>
      </c>
      <c r="R6039" s="93" t="str">
        <f>VLOOKUP(E6039,DATABASE!C:Q,11,false)</f>
        <v>Tire</v>
      </c>
    </row>
    <row r="6040" ht="22.5" customHeight="1">
      <c r="A6040" s="49"/>
      <c r="C6040" s="400">
        <v>46005.0</v>
      </c>
      <c r="D6040" s="69" t="s">
        <v>2657</v>
      </c>
      <c r="E6040" s="544" t="s">
        <v>248</v>
      </c>
      <c r="F6040" s="387">
        <v>1.0</v>
      </c>
      <c r="G6040" s="140">
        <v>190000.0</v>
      </c>
      <c r="H6040" s="74"/>
      <c r="I6040" s="74">
        <f t="shared" si="1"/>
        <v>190000</v>
      </c>
      <c r="J6040" s="74">
        <f>IF(E6040="SERVICE",I6040-(I6040*50%),Vlookup(E6040,DATABASE!C:Q,10,false)*F6040)</f>
        <v>0</v>
      </c>
      <c r="K6040" s="74">
        <v>160833.0</v>
      </c>
      <c r="L6040" s="74">
        <v>160833.0</v>
      </c>
      <c r="M6040" s="74">
        <f t="shared" si="2"/>
        <v>165000</v>
      </c>
      <c r="N6040" s="74">
        <f t="shared" si="3"/>
        <v>25000</v>
      </c>
      <c r="O6040" s="65" t="str">
        <f>VLOOKUP(E6040,DATABASE!C:Q,8,false)</f>
        <v>NON</v>
      </c>
      <c r="P6040" s="65">
        <f>VLOOKUP(E6040,DATABASE!C:Q,9,False)</f>
        <v>0</v>
      </c>
      <c r="Q6040" s="93" t="str">
        <f>VLOOKUP(E6040,DATABASE!C:Q,4,false)</f>
        <v>Pertamina</v>
      </c>
      <c r="R6040" s="93" t="str">
        <f>VLOOKUP(E6040,DATABASE!C:Q,11,false)</f>
        <v>OIL</v>
      </c>
    </row>
    <row r="6041" ht="22.5" customHeight="1">
      <c r="A6041" s="49"/>
      <c r="C6041" s="400">
        <v>46006.0</v>
      </c>
      <c r="D6041" s="524">
        <v>8217.0</v>
      </c>
      <c r="E6041" s="544" t="s">
        <v>246</v>
      </c>
      <c r="F6041" s="387">
        <v>1.0</v>
      </c>
      <c r="G6041" s="140">
        <v>35000.0</v>
      </c>
      <c r="H6041" s="140">
        <v>10000.0</v>
      </c>
      <c r="I6041" s="74">
        <f t="shared" si="1"/>
        <v>25000</v>
      </c>
      <c r="J6041" s="74">
        <f>IF(E6041="SERVICE",I6041-(I6041*50%),Vlookup(E6041,DATABASE!C:Q,10,false)*F6041)</f>
        <v>0</v>
      </c>
      <c r="K6041" s="74">
        <f>VLOOKUP(E6041,DATABASE!C:Q,7,false)</f>
        <v>0</v>
      </c>
      <c r="L6041" s="74">
        <v>0.0</v>
      </c>
      <c r="M6041" s="74">
        <f t="shared" si="2"/>
        <v>0</v>
      </c>
      <c r="N6041" s="74">
        <f t="shared" si="3"/>
        <v>25000</v>
      </c>
      <c r="O6041" s="65" t="str">
        <f>VLOOKUP(E6041,DATABASE!C:Q,8,false)</f>
        <v>IBU</v>
      </c>
      <c r="P6041" s="65">
        <f>VLOOKUP(E6041,DATABASE!C:Q,9,False)</f>
        <v>0</v>
      </c>
      <c r="Q6041" s="93" t="str">
        <f>VLOOKUP(E6041,DATABASE!C:Q,4,false)</f>
        <v>Bongkar Pasang</v>
      </c>
      <c r="R6041" s="93" t="str">
        <f>VLOOKUP(E6041,DATABASE!C:Q,11,false)</f>
        <v>SERVICE</v>
      </c>
    </row>
    <row r="6042" ht="22.5" customHeight="1">
      <c r="A6042" s="49"/>
      <c r="C6042" s="400">
        <v>46006.0</v>
      </c>
      <c r="D6042" s="524">
        <v>8218.0</v>
      </c>
      <c r="E6042" s="544" t="s">
        <v>932</v>
      </c>
      <c r="F6042" s="387">
        <v>1.0</v>
      </c>
      <c r="G6042" s="140">
        <v>680000.0</v>
      </c>
      <c r="H6042" s="74"/>
      <c r="I6042" s="74">
        <f t="shared" si="1"/>
        <v>680000</v>
      </c>
      <c r="J6042" s="74">
        <f>IF(E6042="SERVICE",I6042-(I6042*50%),Vlookup(E6042,DATABASE!C:Q,10,false)*F6042)</f>
        <v>0</v>
      </c>
      <c r="K6042" s="74">
        <f>VLOOKUP(E6042,DATABASE!C:Q,7,false)</f>
        <v>601000</v>
      </c>
      <c r="L6042" s="74">
        <v>595000.0</v>
      </c>
      <c r="M6042" s="74">
        <f t="shared" si="2"/>
        <v>595000</v>
      </c>
      <c r="N6042" s="74">
        <f t="shared" si="3"/>
        <v>85000</v>
      </c>
      <c r="O6042" s="65" t="str">
        <f>VLOOKUP(E6042,DATABASE!C:Q,8,false)</f>
        <v>IBU</v>
      </c>
      <c r="P6042" s="65">
        <f>VLOOKUP(E6042,DATABASE!C:Q,9,False)</f>
        <v>1</v>
      </c>
      <c r="Q6042" s="93" t="str">
        <f>VLOOKUP(E6042,DATABASE!C:Q,4,false)</f>
        <v>Dunlop</v>
      </c>
      <c r="R6042" s="93" t="str">
        <f>VLOOKUP(E6042,DATABASE!C:Q,11,false)</f>
        <v>Tire</v>
      </c>
    </row>
    <row r="6043" ht="22.5" customHeight="1">
      <c r="A6043" s="49"/>
      <c r="C6043" s="400">
        <v>46006.0</v>
      </c>
      <c r="D6043" s="524">
        <v>8219.0</v>
      </c>
      <c r="E6043" s="544" t="s">
        <v>262</v>
      </c>
      <c r="F6043" s="387">
        <v>1.0</v>
      </c>
      <c r="G6043" s="140">
        <v>110000.0</v>
      </c>
      <c r="H6043" s="74"/>
      <c r="I6043" s="74">
        <f t="shared" si="1"/>
        <v>110000</v>
      </c>
      <c r="J6043" s="74">
        <f>IF(E6043="SERVICE",I6043-(I6043*50%),Vlookup(E6043,DATABASE!C:Q,10,false)*F6043)</f>
        <v>5000</v>
      </c>
      <c r="K6043" s="74">
        <f>VLOOKUP(E6043,DATABASE!C:Q,7,false)</f>
        <v>0</v>
      </c>
      <c r="L6043" s="74">
        <v>0.0</v>
      </c>
      <c r="M6043" s="74">
        <f t="shared" si="2"/>
        <v>0</v>
      </c>
      <c r="N6043" s="74">
        <f t="shared" si="3"/>
        <v>105000</v>
      </c>
      <c r="O6043" s="65" t="str">
        <f>VLOOKUP(E6043,DATABASE!C:Q,8,false)</f>
        <v>IBU</v>
      </c>
      <c r="P6043" s="65">
        <f>VLOOKUP(E6043,DATABASE!C:Q,9,False)</f>
        <v>0</v>
      </c>
      <c r="Q6043" s="93" t="str">
        <f>VLOOKUP(E6043,DATABASE!C:Q,4,false)</f>
        <v>SPOORING SS/CARRY LOS BAK</v>
      </c>
      <c r="R6043" s="93" t="str">
        <f>VLOOKUP(E6043,DATABASE!C:Q,11,false)</f>
        <v>SERVICE</v>
      </c>
    </row>
    <row r="6044" ht="22.5" customHeight="1">
      <c r="A6044" s="49"/>
      <c r="C6044" s="400">
        <v>46006.0</v>
      </c>
      <c r="D6044" s="524">
        <v>8220.0</v>
      </c>
      <c r="E6044" s="544" t="s">
        <v>250</v>
      </c>
      <c r="F6044" s="387">
        <v>1.0</v>
      </c>
      <c r="G6044" s="140">
        <v>135000.0</v>
      </c>
      <c r="H6044" s="74"/>
      <c r="I6044" s="74">
        <f t="shared" si="1"/>
        <v>135000</v>
      </c>
      <c r="J6044" s="74">
        <f>IF(E6044="SERVICE",I6044-(I6044*50%),Vlookup(E6044,DATABASE!C:Q,10,false)*F6044)</f>
        <v>0</v>
      </c>
      <c r="K6044" s="74">
        <f>VLOOKUP(E6044,DATABASE!C:Q,7,false)</f>
        <v>102000</v>
      </c>
      <c r="L6044" s="74">
        <v>102000.0</v>
      </c>
      <c r="M6044" s="74">
        <f t="shared" si="2"/>
        <v>105000</v>
      </c>
      <c r="N6044" s="74">
        <f t="shared" si="3"/>
        <v>30000</v>
      </c>
      <c r="O6044" s="65" t="str">
        <f>VLOOKUP(E6044,DATABASE!C:Q,8,false)</f>
        <v>BIAN</v>
      </c>
      <c r="P6044" s="65">
        <f>VLOOKUP(E6044,DATABASE!C:Q,9,False)</f>
        <v>1</v>
      </c>
      <c r="Q6044" s="93" t="str">
        <f>VLOOKUP(E6044,DATABASE!C:Q,4,false)</f>
        <v>BD</v>
      </c>
      <c r="R6044" s="93" t="str">
        <f>VLOOKUP(E6044,DATABASE!C:Q,11,false)</f>
        <v>Tire</v>
      </c>
    </row>
    <row r="6045" ht="22.5" customHeight="1">
      <c r="A6045" s="49"/>
      <c r="C6045" s="400">
        <v>46006.0</v>
      </c>
      <c r="D6045" s="524">
        <v>8221.0</v>
      </c>
      <c r="E6045" s="544" t="s">
        <v>265</v>
      </c>
      <c r="F6045" s="387">
        <v>1.0</v>
      </c>
      <c r="G6045" s="140">
        <v>685000.0</v>
      </c>
      <c r="H6045" s="74"/>
      <c r="I6045" s="74">
        <f t="shared" si="1"/>
        <v>685000</v>
      </c>
      <c r="J6045" s="74">
        <f>IF(E6045="SERVICE",I6045-(I6045*50%),Vlookup(E6045,DATABASE!C:Q,10,false)*F6045)</f>
        <v>0</v>
      </c>
      <c r="K6045" s="74">
        <f>VLOOKUP(E6045,DATABASE!C:Q,7,false)</f>
        <v>628000</v>
      </c>
      <c r="L6045" s="74">
        <v>600000.0</v>
      </c>
      <c r="M6045" s="74">
        <f t="shared" si="2"/>
        <v>600000</v>
      </c>
      <c r="N6045" s="74">
        <f t="shared" si="3"/>
        <v>85000</v>
      </c>
      <c r="O6045" s="65" t="str">
        <f>VLOOKUP(E6045,DATABASE!C:Q,8,false)</f>
        <v>IBU</v>
      </c>
      <c r="P6045" s="65">
        <f>VLOOKUP(E6045,DATABASE!C:Q,9,False)</f>
        <v>1</v>
      </c>
      <c r="Q6045" s="93" t="str">
        <f>VLOOKUP(E6045,DATABASE!C:Q,4,false)</f>
        <v>Dunlop</v>
      </c>
      <c r="R6045" s="93" t="str">
        <f>VLOOKUP(E6045,DATABASE!C:Q,11,false)</f>
        <v>Tire</v>
      </c>
    </row>
    <row r="6046" ht="22.5" customHeight="1">
      <c r="A6046" s="49"/>
      <c r="C6046" s="400">
        <v>46006.0</v>
      </c>
      <c r="D6046" s="524">
        <v>8222.0</v>
      </c>
      <c r="E6046" s="544" t="s">
        <v>256</v>
      </c>
      <c r="F6046" s="387">
        <v>1.0</v>
      </c>
      <c r="G6046" s="140">
        <v>150000.0</v>
      </c>
      <c r="H6046" s="140">
        <v>20000.0</v>
      </c>
      <c r="I6046" s="74">
        <f t="shared" si="1"/>
        <v>130000</v>
      </c>
      <c r="J6046" s="74">
        <f>IF(E6046="SERVICE",I6046-(I6046*50%),Vlookup(E6046,DATABASE!C:Q,10,false)*F6046)</f>
        <v>10000</v>
      </c>
      <c r="K6046" s="74">
        <f>VLOOKUP(E6046,DATABASE!C:Q,7,false)</f>
        <v>0</v>
      </c>
      <c r="L6046" s="74">
        <v>0.0</v>
      </c>
      <c r="M6046" s="74">
        <f t="shared" si="2"/>
        <v>0</v>
      </c>
      <c r="N6046" s="74">
        <f t="shared" si="3"/>
        <v>120000</v>
      </c>
      <c r="O6046" s="65" t="str">
        <f>VLOOKUP(E6046,DATABASE!C:Q,8,false)</f>
        <v>IBU</v>
      </c>
      <c r="P6046" s="65">
        <f>VLOOKUP(E6046,DATABASE!C:Q,9,False)</f>
        <v>0</v>
      </c>
      <c r="Q6046" s="93" t="str">
        <f>VLOOKUP(E6046,DATABASE!C:Q,4,false)</f>
        <v>SPOORING</v>
      </c>
      <c r="R6046" s="93" t="str">
        <f>VLOOKUP(E6046,DATABASE!C:Q,11,false)</f>
        <v>SERVICE</v>
      </c>
    </row>
    <row r="6047" ht="22.5" customHeight="1">
      <c r="A6047" s="49"/>
      <c r="C6047" s="400">
        <v>46006.0</v>
      </c>
      <c r="D6047" s="524">
        <v>8222.0</v>
      </c>
      <c r="E6047" s="544" t="s">
        <v>299</v>
      </c>
      <c r="F6047" s="387">
        <v>2.0</v>
      </c>
      <c r="G6047" s="140">
        <v>30000.0</v>
      </c>
      <c r="H6047" s="74"/>
      <c r="I6047" s="74">
        <f t="shared" si="1"/>
        <v>60000</v>
      </c>
      <c r="J6047" s="74">
        <f>IF(E6047="SERVICE",I6047-(I6047*50%),Vlookup(E6047,DATABASE!C:Q,10,false)*F6047)</f>
        <v>0</v>
      </c>
      <c r="K6047" s="74">
        <f>VLOOKUP(E6047,DATABASE!C:Q,7,false)</f>
        <v>10000</v>
      </c>
      <c r="L6047" s="74">
        <v>5000.0</v>
      </c>
      <c r="M6047" s="74">
        <f t="shared" si="2"/>
        <v>5000</v>
      </c>
      <c r="N6047" s="74">
        <f t="shared" si="3"/>
        <v>50000</v>
      </c>
      <c r="O6047" s="65" t="str">
        <f>VLOOKUP(E6047,DATABASE!C:Q,8,false)</f>
        <v>BIAN</v>
      </c>
      <c r="P6047" s="65">
        <f>VLOOKUP(E6047,DATABASE!C:Q,9,False)</f>
        <v>0</v>
      </c>
      <c r="Q6047" s="93" t="str">
        <f>VLOOKUP(E6047,DATABASE!C:Q,4,false)</f>
        <v>Balancing</v>
      </c>
      <c r="R6047" s="93" t="str">
        <f>VLOOKUP(E6047,DATABASE!C:Q,11,false)</f>
        <v>COMPLEMENTARY</v>
      </c>
    </row>
    <row r="6048" ht="22.5" customHeight="1">
      <c r="A6048" s="49"/>
      <c r="C6048" s="400">
        <v>46006.0</v>
      </c>
      <c r="D6048" s="524">
        <v>8222.0</v>
      </c>
      <c r="E6048" s="544" t="s">
        <v>301</v>
      </c>
      <c r="F6048" s="387">
        <v>1.0</v>
      </c>
      <c r="G6048" s="140">
        <v>250000.0</v>
      </c>
      <c r="H6048" s="74"/>
      <c r="I6048" s="74">
        <f t="shared" si="1"/>
        <v>250000</v>
      </c>
      <c r="J6048" s="74">
        <f>IF(E6048="SERVICE",I6048-(I6048*50%),Vlookup(E6048,DATABASE!C:Q,10,false)*F6048)</f>
        <v>75000</v>
      </c>
      <c r="K6048" s="74">
        <f>VLOOKUP(E6048,DATABASE!C:Q,7,false)</f>
        <v>75000</v>
      </c>
      <c r="L6048" s="74">
        <v>75000.0</v>
      </c>
      <c r="M6048" s="74">
        <f t="shared" si="2"/>
        <v>75000</v>
      </c>
      <c r="N6048" s="74">
        <f t="shared" si="3"/>
        <v>100000</v>
      </c>
      <c r="O6048" s="65" t="str">
        <f>VLOOKUP(E6048,DATABASE!C:Q,8,false)</f>
        <v>BIAN</v>
      </c>
      <c r="P6048" s="65">
        <f>VLOOKUP(E6048,DATABASE!C:Q,9,False)</f>
        <v>0</v>
      </c>
      <c r="Q6048" s="93" t="str">
        <f>VLOOKUP(E6048,DATABASE!C:Q,4,false)</f>
        <v>Baut Camber</v>
      </c>
      <c r="R6048" s="93" t="str">
        <f>VLOOKUP(E6048,DATABASE!C:Q,11,false)</f>
        <v>COMPLEMENTARY</v>
      </c>
    </row>
    <row r="6049" ht="22.5" customHeight="1">
      <c r="A6049" s="49"/>
      <c r="C6049" s="400">
        <v>46006.0</v>
      </c>
      <c r="D6049" s="524">
        <v>8223.0</v>
      </c>
      <c r="E6049" s="544" t="s">
        <v>299</v>
      </c>
      <c r="F6049" s="387">
        <v>2.0</v>
      </c>
      <c r="G6049" s="140">
        <v>30000.0</v>
      </c>
      <c r="H6049" s="74"/>
      <c r="I6049" s="74">
        <f t="shared" si="1"/>
        <v>60000</v>
      </c>
      <c r="J6049" s="74">
        <f>IF(E6049="SERVICE",I6049-(I6049*50%),Vlookup(E6049,DATABASE!C:Q,10,false)*F6049)</f>
        <v>0</v>
      </c>
      <c r="K6049" s="74">
        <f>VLOOKUP(E6049,DATABASE!C:Q,7,false)</f>
        <v>10000</v>
      </c>
      <c r="L6049" s="74">
        <v>5000.0</v>
      </c>
      <c r="M6049" s="74">
        <f t="shared" si="2"/>
        <v>5000</v>
      </c>
      <c r="N6049" s="74">
        <f t="shared" si="3"/>
        <v>50000</v>
      </c>
      <c r="O6049" s="65" t="str">
        <f>VLOOKUP(E6049,DATABASE!C:Q,8,false)</f>
        <v>BIAN</v>
      </c>
      <c r="P6049" s="65">
        <f>VLOOKUP(E6049,DATABASE!C:Q,9,False)</f>
        <v>0</v>
      </c>
      <c r="Q6049" s="93" t="str">
        <f>VLOOKUP(E6049,DATABASE!C:Q,4,false)</f>
        <v>Balancing</v>
      </c>
      <c r="R6049" s="93" t="str">
        <f>VLOOKUP(E6049,DATABASE!C:Q,11,false)</f>
        <v>COMPLEMENTARY</v>
      </c>
    </row>
    <row r="6050" ht="22.5" customHeight="1">
      <c r="A6050" s="49"/>
      <c r="C6050" s="400">
        <v>46006.0</v>
      </c>
      <c r="D6050" s="524">
        <v>8224.0</v>
      </c>
      <c r="E6050" s="544" t="s">
        <v>856</v>
      </c>
      <c r="F6050" s="387">
        <v>1.0</v>
      </c>
      <c r="G6050" s="140">
        <v>670000.0</v>
      </c>
      <c r="H6050" s="74"/>
      <c r="I6050" s="74">
        <f t="shared" si="1"/>
        <v>670000</v>
      </c>
      <c r="J6050" s="74">
        <f>IF(E6050="SERVICE",I6050-(I6050*50%),Vlookup(E6050,DATABASE!C:Q,10,false)*F6050)</f>
        <v>0</v>
      </c>
      <c r="K6050" s="74">
        <f>VLOOKUP(E6050,DATABASE!C:Q,7,false)</f>
        <v>615300</v>
      </c>
      <c r="L6050" s="74">
        <v>581120.0</v>
      </c>
      <c r="M6050" s="74">
        <f t="shared" si="2"/>
        <v>585000</v>
      </c>
      <c r="N6050" s="74">
        <f t="shared" si="3"/>
        <v>85000</v>
      </c>
      <c r="O6050" s="65" t="str">
        <f>VLOOKUP(E6050,DATABASE!C:Q,8,false)</f>
        <v>BIAN</v>
      </c>
      <c r="P6050" s="65">
        <f>VLOOKUP(E6050,DATABASE!C:Q,9,False)</f>
        <v>1</v>
      </c>
      <c r="Q6050" s="93" t="str">
        <f>VLOOKUP(E6050,DATABASE!C:Q,4,false)</f>
        <v>GT</v>
      </c>
      <c r="R6050" s="93" t="str">
        <f>VLOOKUP(E6050,DATABASE!C:Q,11,false)</f>
        <v>Tire</v>
      </c>
    </row>
    <row r="6051" ht="22.5" customHeight="1">
      <c r="A6051" s="49"/>
      <c r="C6051" s="400">
        <v>46006.0</v>
      </c>
      <c r="D6051" s="524">
        <v>8225.0</v>
      </c>
      <c r="E6051" s="544" t="s">
        <v>569</v>
      </c>
      <c r="F6051" s="387">
        <v>2.0</v>
      </c>
      <c r="G6051" s="140">
        <v>80000.0</v>
      </c>
      <c r="H6051" s="74"/>
      <c r="I6051" s="74">
        <f t="shared" si="1"/>
        <v>160000</v>
      </c>
      <c r="J6051" s="74">
        <f>IF(E6051="SERVICE",I6051-(I6051*50%),Vlookup(E6051,DATABASE!C:Q,10,false)*F6051)</f>
        <v>0</v>
      </c>
      <c r="K6051" s="74">
        <f>VLOOKUP(E6051,DATABASE!C:Q,7,false)</f>
        <v>45439.582</v>
      </c>
      <c r="L6051" s="74">
        <v>45309.6</v>
      </c>
      <c r="M6051" s="74">
        <f t="shared" si="2"/>
        <v>50000</v>
      </c>
      <c r="N6051" s="74">
        <f t="shared" si="3"/>
        <v>60000</v>
      </c>
      <c r="O6051" s="65" t="str">
        <f>VLOOKUP(E6051,DATABASE!C:Q,8,false)</f>
        <v>BIAN</v>
      </c>
      <c r="P6051" s="65">
        <f>VLOOKUP(E6051,DATABASE!C:Q,9,False)</f>
        <v>1</v>
      </c>
      <c r="Q6051" s="93" t="str">
        <f>VLOOKUP(E6051,DATABASE!C:Q,4,false)</f>
        <v>BD</v>
      </c>
      <c r="R6051" s="93" t="str">
        <f>VLOOKUP(E6051,DATABASE!C:Q,11,false)</f>
        <v>Tire</v>
      </c>
    </row>
    <row r="6052" ht="22.5" customHeight="1">
      <c r="A6052" s="49"/>
      <c r="C6052" s="400">
        <v>46006.0</v>
      </c>
      <c r="D6052" s="524">
        <v>8225.0</v>
      </c>
      <c r="E6052" s="544" t="s">
        <v>613</v>
      </c>
      <c r="F6052" s="387">
        <v>2.0</v>
      </c>
      <c r="G6052" s="140">
        <v>95000.0</v>
      </c>
      <c r="H6052" s="74"/>
      <c r="I6052" s="74">
        <f t="shared" si="1"/>
        <v>190000</v>
      </c>
      <c r="J6052" s="74">
        <f>IF(E6052="SERVICE",I6052-(I6052*50%),Vlookup(E6052,DATABASE!C:Q,10,false)*F6052)</f>
        <v>0</v>
      </c>
      <c r="K6052" s="74">
        <f>VLOOKUP(E6052,DATABASE!C:Q,7,false)</f>
        <v>58371.2695</v>
      </c>
      <c r="L6052" s="74">
        <v>55000.0</v>
      </c>
      <c r="M6052" s="74">
        <f t="shared" si="2"/>
        <v>55000</v>
      </c>
      <c r="N6052" s="74">
        <f t="shared" si="3"/>
        <v>80000</v>
      </c>
      <c r="O6052" s="65" t="str">
        <f>VLOOKUP(E6052,DATABASE!C:Q,8,false)</f>
        <v>BIAN</v>
      </c>
      <c r="P6052" s="65">
        <f>VLOOKUP(E6052,DATABASE!C:Q,9,False)</f>
        <v>1</v>
      </c>
      <c r="Q6052" s="93" t="str">
        <f>VLOOKUP(E6052,DATABASE!C:Q,4,false)</f>
        <v>BD</v>
      </c>
      <c r="R6052" s="93" t="str">
        <f>VLOOKUP(E6052,DATABASE!C:Q,11,false)</f>
        <v>Tire</v>
      </c>
    </row>
    <row r="6053" ht="22.5" customHeight="1">
      <c r="A6053" s="49"/>
      <c r="C6053" s="400">
        <v>46006.0</v>
      </c>
      <c r="D6053" s="524">
        <v>8226.0</v>
      </c>
      <c r="E6053" s="544" t="s">
        <v>271</v>
      </c>
      <c r="F6053" s="387">
        <v>2.0</v>
      </c>
      <c r="G6053" s="140">
        <v>630000.0</v>
      </c>
      <c r="H6053" s="74"/>
      <c r="I6053" s="74">
        <f t="shared" si="1"/>
        <v>1260000</v>
      </c>
      <c r="J6053" s="74">
        <f>IF(E6053="SERVICE",I6053-(I6053*50%),Vlookup(E6053,DATABASE!C:Q,10,false)*F6053)</f>
        <v>0</v>
      </c>
      <c r="K6053" s="74">
        <f>VLOOKUP(E6053,DATABASE!C:Q,7,false)</f>
        <v>570000</v>
      </c>
      <c r="L6053" s="74">
        <v>539000.0</v>
      </c>
      <c r="M6053" s="74">
        <f t="shared" si="2"/>
        <v>540000</v>
      </c>
      <c r="N6053" s="74">
        <f t="shared" si="3"/>
        <v>180000</v>
      </c>
      <c r="O6053" s="65" t="str">
        <f>VLOOKUP(E6053,DATABASE!C:Q,8,false)</f>
        <v>IBU</v>
      </c>
      <c r="P6053" s="65">
        <f>VLOOKUP(E6053,DATABASE!C:Q,9,False)</f>
        <v>1</v>
      </c>
      <c r="Q6053" s="93" t="str">
        <f>VLOOKUP(E6053,DATABASE!C:Q,4,false)</f>
        <v>Dunlop</v>
      </c>
      <c r="R6053" s="93" t="str">
        <f>VLOOKUP(E6053,DATABASE!C:Q,11,false)</f>
        <v>Tire</v>
      </c>
    </row>
    <row r="6054" ht="22.5" customHeight="1">
      <c r="A6054" s="49"/>
      <c r="C6054" s="400">
        <v>46006.0</v>
      </c>
      <c r="D6054" s="524">
        <v>8227.0</v>
      </c>
      <c r="E6054" s="544" t="s">
        <v>262</v>
      </c>
      <c r="F6054" s="387">
        <v>1.0</v>
      </c>
      <c r="G6054" s="140">
        <v>110000.0</v>
      </c>
      <c r="H6054" s="74"/>
      <c r="I6054" s="74">
        <f t="shared" si="1"/>
        <v>110000</v>
      </c>
      <c r="J6054" s="74">
        <f>IF(E6054="SERVICE",I6054-(I6054*50%),Vlookup(E6054,DATABASE!C:Q,10,false)*F6054)</f>
        <v>5000</v>
      </c>
      <c r="K6054" s="74">
        <f>VLOOKUP(E6054,DATABASE!C:Q,7,false)</f>
        <v>0</v>
      </c>
      <c r="L6054" s="74">
        <v>0.0</v>
      </c>
      <c r="M6054" s="74">
        <f t="shared" si="2"/>
        <v>0</v>
      </c>
      <c r="N6054" s="74">
        <f t="shared" si="3"/>
        <v>105000</v>
      </c>
      <c r="O6054" s="65" t="str">
        <f>VLOOKUP(E6054,DATABASE!C:Q,8,false)</f>
        <v>IBU</v>
      </c>
      <c r="P6054" s="65">
        <f>VLOOKUP(E6054,DATABASE!C:Q,9,False)</f>
        <v>0</v>
      </c>
      <c r="Q6054" s="93" t="str">
        <f>VLOOKUP(E6054,DATABASE!C:Q,4,false)</f>
        <v>SPOORING SS/CARRY LOS BAK</v>
      </c>
      <c r="R6054" s="93" t="str">
        <f>VLOOKUP(E6054,DATABASE!C:Q,11,false)</f>
        <v>SERVICE</v>
      </c>
    </row>
    <row r="6055" ht="22.5" customHeight="1">
      <c r="A6055" s="49"/>
      <c r="C6055" s="400">
        <v>46006.0</v>
      </c>
      <c r="D6055" s="524">
        <v>8227.0</v>
      </c>
      <c r="E6055" s="544" t="s">
        <v>299</v>
      </c>
      <c r="F6055" s="387">
        <v>2.0</v>
      </c>
      <c r="G6055" s="140">
        <v>30000.0</v>
      </c>
      <c r="H6055" s="74"/>
      <c r="I6055" s="74">
        <f t="shared" si="1"/>
        <v>60000</v>
      </c>
      <c r="J6055" s="74">
        <f>IF(E6055="SERVICE",I6055-(I6055*50%),Vlookup(E6055,DATABASE!C:Q,10,false)*F6055)</f>
        <v>0</v>
      </c>
      <c r="K6055" s="74">
        <f>VLOOKUP(E6055,DATABASE!C:Q,7,false)</f>
        <v>10000</v>
      </c>
      <c r="L6055" s="74">
        <v>5000.0</v>
      </c>
      <c r="M6055" s="74">
        <f t="shared" si="2"/>
        <v>5000</v>
      </c>
      <c r="N6055" s="74">
        <f t="shared" si="3"/>
        <v>50000</v>
      </c>
      <c r="O6055" s="65" t="str">
        <f>VLOOKUP(E6055,DATABASE!C:Q,8,false)</f>
        <v>BIAN</v>
      </c>
      <c r="P6055" s="65">
        <f>VLOOKUP(E6055,DATABASE!C:Q,9,False)</f>
        <v>0</v>
      </c>
      <c r="Q6055" s="93" t="str">
        <f>VLOOKUP(E6055,DATABASE!C:Q,4,false)</f>
        <v>Balancing</v>
      </c>
      <c r="R6055" s="93" t="str">
        <f>VLOOKUP(E6055,DATABASE!C:Q,11,false)</f>
        <v>COMPLEMENTARY</v>
      </c>
    </row>
    <row r="6056" ht="22.5" customHeight="1">
      <c r="A6056" s="49"/>
      <c r="C6056" s="400">
        <v>46006.0</v>
      </c>
      <c r="D6056" s="524">
        <v>8227.0</v>
      </c>
      <c r="E6056" s="544" t="s">
        <v>251</v>
      </c>
      <c r="F6056" s="387">
        <v>1.0</v>
      </c>
      <c r="G6056" s="140">
        <v>350000.0</v>
      </c>
      <c r="H6056" s="140">
        <v>230000.0</v>
      </c>
      <c r="I6056" s="74">
        <f t="shared" si="1"/>
        <v>120000</v>
      </c>
      <c r="J6056" s="74">
        <f>IF(E6056="SERVICE",I6056-(I6056*50%),Vlookup(E6056,DATABASE!C:Q,10,false)*F6056)</f>
        <v>60000</v>
      </c>
      <c r="K6056" s="74">
        <f>VLOOKUP(E6056,DATABASE!C:Q,7,false)</f>
        <v>0</v>
      </c>
      <c r="L6056" s="74">
        <v>0.0</v>
      </c>
      <c r="M6056" s="74">
        <f t="shared" si="2"/>
        <v>0</v>
      </c>
      <c r="N6056" s="74">
        <f t="shared" si="3"/>
        <v>60000</v>
      </c>
      <c r="O6056" s="65" t="str">
        <f>VLOOKUP(E6056,DATABASE!C:Q,8,false)</f>
        <v>IBU</v>
      </c>
      <c r="P6056" s="65">
        <f>VLOOKUP(E6056,DATABASE!C:Q,9,False)</f>
        <v>0</v>
      </c>
      <c r="Q6056" s="93" t="str">
        <f>VLOOKUP(E6056,DATABASE!C:Q,4,false)</f>
        <v>SERVICE</v>
      </c>
      <c r="R6056" s="93" t="str">
        <f>VLOOKUP(E6056,DATABASE!C:Q,11,false)</f>
        <v>SERVICE</v>
      </c>
    </row>
    <row r="6057" ht="22.5" customHeight="1">
      <c r="A6057" s="49"/>
      <c r="C6057" s="400">
        <v>46006.0</v>
      </c>
      <c r="D6057" s="524">
        <v>8227.0</v>
      </c>
      <c r="E6057" s="544" t="s">
        <v>478</v>
      </c>
      <c r="F6057" s="387">
        <v>1.0</v>
      </c>
      <c r="G6057" s="140">
        <v>200000.0</v>
      </c>
      <c r="H6057" s="74"/>
      <c r="I6057" s="74">
        <f t="shared" si="1"/>
        <v>200000</v>
      </c>
      <c r="J6057" s="74">
        <f>IF(E6057="SERVICE",I6057-(I6057*50%),Vlookup(E6057,DATABASE!C:Q,10,false)*F6057)</f>
        <v>25000</v>
      </c>
      <c r="K6057" s="74">
        <f>VLOOKUP(E6057,DATABASE!C:Q,7,false)</f>
        <v>75000</v>
      </c>
      <c r="L6057" s="74">
        <v>75000.0</v>
      </c>
      <c r="M6057" s="74">
        <f t="shared" si="2"/>
        <v>75000</v>
      </c>
      <c r="N6057" s="74">
        <f t="shared" si="3"/>
        <v>100000</v>
      </c>
      <c r="O6057" s="65" t="str">
        <f>VLOOKUP(E6057,DATABASE!C:Q,8,false)</f>
        <v>BIAN</v>
      </c>
      <c r="P6057" s="65">
        <f>VLOOKUP(E6057,DATABASE!C:Q,9,False)</f>
        <v>0</v>
      </c>
      <c r="Q6057" s="93" t="str">
        <f>VLOOKUP(E6057,DATABASE!C:Q,4,false)</f>
        <v>Baut Camber ss-carry</v>
      </c>
      <c r="R6057" s="93" t="str">
        <f>VLOOKUP(E6057,DATABASE!C:Q,11,false)</f>
        <v>COMPLEMENTARY</v>
      </c>
    </row>
    <row r="6058" ht="22.5" customHeight="1">
      <c r="A6058" s="49"/>
      <c r="C6058" s="400">
        <v>46006.0</v>
      </c>
      <c r="D6058" s="524">
        <v>8228.0</v>
      </c>
      <c r="E6058" s="544" t="s">
        <v>391</v>
      </c>
      <c r="F6058" s="387">
        <v>2.0</v>
      </c>
      <c r="G6058" s="140">
        <v>1950000.0</v>
      </c>
      <c r="H6058" s="74"/>
      <c r="I6058" s="74">
        <f t="shared" si="1"/>
        <v>3900000</v>
      </c>
      <c r="J6058" s="74">
        <f>IF(E6058="SERVICE",I6058-(I6058*50%),Vlookup(E6058,DATABASE!C:Q,10,false)*F6058)</f>
        <v>0</v>
      </c>
      <c r="K6058" s="74">
        <f>VLOOKUP(E6058,DATABASE!C:Q,7,false)</f>
        <v>1885000</v>
      </c>
      <c r="L6058" s="74">
        <v>1840000.0</v>
      </c>
      <c r="M6058" s="74">
        <f t="shared" si="2"/>
        <v>1840000</v>
      </c>
      <c r="N6058" s="74">
        <f t="shared" si="3"/>
        <v>220000</v>
      </c>
      <c r="O6058" s="65" t="str">
        <f>VLOOKUP(E6058,DATABASE!C:Q,8,false)</f>
        <v>BIAN</v>
      </c>
      <c r="P6058" s="65">
        <f>VLOOKUP(E6058,DATABASE!C:Q,9,False)</f>
        <v>1</v>
      </c>
      <c r="Q6058" s="93" t="str">
        <f>VLOOKUP(E6058,DATABASE!C:Q,4,false)</f>
        <v>Advance</v>
      </c>
      <c r="R6058" s="93" t="str">
        <f>VLOOKUP(E6058,DATABASE!C:Q,11,false)</f>
        <v>Tire</v>
      </c>
    </row>
    <row r="6059" ht="22.5" customHeight="1">
      <c r="A6059" s="49"/>
      <c r="C6059" s="400">
        <v>46006.0</v>
      </c>
      <c r="D6059" s="524">
        <v>8230.0</v>
      </c>
      <c r="E6059" s="544" t="s">
        <v>256</v>
      </c>
      <c r="F6059" s="387">
        <v>1.0</v>
      </c>
      <c r="G6059" s="140">
        <v>150000.0</v>
      </c>
      <c r="H6059" s="140">
        <v>20000.0</v>
      </c>
      <c r="I6059" s="74">
        <f t="shared" si="1"/>
        <v>130000</v>
      </c>
      <c r="J6059" s="74">
        <f>IF(E6059="SERVICE",I6059-(I6059*50%),Vlookup(E6059,DATABASE!C:Q,10,false)*F6059)</f>
        <v>10000</v>
      </c>
      <c r="K6059" s="74">
        <f>VLOOKUP(E6059,DATABASE!C:Q,7,false)</f>
        <v>0</v>
      </c>
      <c r="L6059" s="74">
        <v>0.0</v>
      </c>
      <c r="M6059" s="74">
        <f t="shared" si="2"/>
        <v>0</v>
      </c>
      <c r="N6059" s="74">
        <f t="shared" si="3"/>
        <v>120000</v>
      </c>
      <c r="O6059" s="65" t="str">
        <f>VLOOKUP(E6059,DATABASE!C:Q,8,false)</f>
        <v>IBU</v>
      </c>
      <c r="P6059" s="65">
        <f>VLOOKUP(E6059,DATABASE!C:Q,9,False)</f>
        <v>0</v>
      </c>
      <c r="Q6059" s="93" t="str">
        <f>VLOOKUP(E6059,DATABASE!C:Q,4,false)</f>
        <v>SPOORING</v>
      </c>
      <c r="R6059" s="93" t="str">
        <f>VLOOKUP(E6059,DATABASE!C:Q,11,false)</f>
        <v>SERVICE</v>
      </c>
    </row>
    <row r="6060" ht="22.5" customHeight="1">
      <c r="A6060" s="49"/>
      <c r="C6060" s="400">
        <v>46006.0</v>
      </c>
      <c r="D6060" s="524">
        <v>8230.0</v>
      </c>
      <c r="E6060" s="544" t="s">
        <v>299</v>
      </c>
      <c r="F6060" s="387">
        <v>2.0</v>
      </c>
      <c r="G6060" s="140">
        <v>30000.0</v>
      </c>
      <c r="H6060" s="74"/>
      <c r="I6060" s="74">
        <f t="shared" si="1"/>
        <v>60000</v>
      </c>
      <c r="J6060" s="74">
        <f>IF(E6060="SERVICE",I6060-(I6060*50%),Vlookup(E6060,DATABASE!C:Q,10,false)*F6060)</f>
        <v>0</v>
      </c>
      <c r="K6060" s="74">
        <f>VLOOKUP(E6060,DATABASE!C:Q,7,false)</f>
        <v>10000</v>
      </c>
      <c r="L6060" s="74">
        <v>5000.0</v>
      </c>
      <c r="M6060" s="74">
        <f t="shared" si="2"/>
        <v>5000</v>
      </c>
      <c r="N6060" s="74">
        <f t="shared" si="3"/>
        <v>50000</v>
      </c>
      <c r="O6060" s="65" t="str">
        <f>VLOOKUP(E6060,DATABASE!C:Q,8,false)</f>
        <v>BIAN</v>
      </c>
      <c r="P6060" s="65">
        <f>VLOOKUP(E6060,DATABASE!C:Q,9,False)</f>
        <v>0</v>
      </c>
      <c r="Q6060" s="93" t="str">
        <f>VLOOKUP(E6060,DATABASE!C:Q,4,false)</f>
        <v>Balancing</v>
      </c>
      <c r="R6060" s="93" t="str">
        <f>VLOOKUP(E6060,DATABASE!C:Q,11,false)</f>
        <v>COMPLEMENTARY</v>
      </c>
    </row>
    <row r="6061" ht="22.5" customHeight="1">
      <c r="A6061" s="49"/>
      <c r="C6061" s="400">
        <v>46006.0</v>
      </c>
      <c r="D6061" s="524">
        <v>8715.0</v>
      </c>
      <c r="E6061" s="544" t="s">
        <v>974</v>
      </c>
      <c r="F6061" s="387">
        <v>2.0</v>
      </c>
      <c r="G6061" s="140">
        <v>585000.0</v>
      </c>
      <c r="H6061" s="74"/>
      <c r="I6061" s="74">
        <f t="shared" si="1"/>
        <v>1170000</v>
      </c>
      <c r="J6061" s="74">
        <f>IF(E6061="SERVICE",I6061-(I6061*50%),Vlookup(E6061,DATABASE!C:Q,10,false)*F6061)</f>
        <v>0</v>
      </c>
      <c r="K6061" s="74">
        <f>VLOOKUP(E6061,DATABASE!C:Q,7,false)</f>
        <v>501500</v>
      </c>
      <c r="L6061" s="74">
        <v>491000.0</v>
      </c>
      <c r="M6061" s="74">
        <f t="shared" si="2"/>
        <v>495000</v>
      </c>
      <c r="N6061" s="74">
        <f t="shared" si="3"/>
        <v>180000</v>
      </c>
      <c r="O6061" s="65" t="str">
        <f>VLOOKUP(E6061,DATABASE!C:Q,8,false)</f>
        <v>IBU</v>
      </c>
      <c r="P6061" s="65">
        <f>VLOOKUP(E6061,DATABASE!C:Q,9,False)</f>
        <v>1</v>
      </c>
      <c r="Q6061" s="93" t="str">
        <f>VLOOKUP(E6061,DATABASE!C:Q,4,false)</f>
        <v>Dunlop</v>
      </c>
      <c r="R6061" s="93" t="str">
        <f>VLOOKUP(E6061,DATABASE!C:Q,11,false)</f>
        <v>Tire</v>
      </c>
    </row>
    <row r="6062" ht="22.5" customHeight="1">
      <c r="A6062" s="49"/>
      <c r="C6062" s="400">
        <v>46006.0</v>
      </c>
      <c r="D6062" s="524">
        <v>8716.0</v>
      </c>
      <c r="E6062" s="544" t="s">
        <v>614</v>
      </c>
      <c r="F6062" s="387">
        <v>2.0</v>
      </c>
      <c r="G6062" s="140">
        <v>820000.0</v>
      </c>
      <c r="H6062" s="74"/>
      <c r="I6062" s="74">
        <f t="shared" si="1"/>
        <v>1640000</v>
      </c>
      <c r="J6062" s="74">
        <f>IF(E6062="SERVICE",I6062-(I6062*50%),Vlookup(E6062,DATABASE!C:Q,10,false)*F6062)</f>
        <v>0</v>
      </c>
      <c r="K6062" s="74">
        <f>VLOOKUP(E6062,DATABASE!C:Q,7,false)</f>
        <v>754660.6</v>
      </c>
      <c r="L6062" s="74">
        <v>720000.0</v>
      </c>
      <c r="M6062" s="74">
        <f t="shared" si="2"/>
        <v>720000</v>
      </c>
      <c r="N6062" s="74">
        <f t="shared" si="3"/>
        <v>200000</v>
      </c>
      <c r="O6062" s="65" t="str">
        <f>VLOOKUP(E6062,DATABASE!C:Q,8,false)</f>
        <v>IBU</v>
      </c>
      <c r="P6062" s="65">
        <f>VLOOKUP(E6062,DATABASE!C:Q,9,False)</f>
        <v>1</v>
      </c>
      <c r="Q6062" s="93" t="str">
        <f>VLOOKUP(E6062,DATABASE!C:Q,4,false)</f>
        <v>Bridgestone</v>
      </c>
      <c r="R6062" s="93" t="str">
        <f>VLOOKUP(E6062,DATABASE!C:Q,11,false)</f>
        <v>Tire</v>
      </c>
    </row>
    <row r="6063" ht="22.5" customHeight="1">
      <c r="A6063" s="49"/>
      <c r="C6063" s="400">
        <v>46006.0</v>
      </c>
      <c r="D6063" s="69" t="s">
        <v>2658</v>
      </c>
      <c r="E6063" s="544" t="s">
        <v>252</v>
      </c>
      <c r="F6063" s="387">
        <v>1.0</v>
      </c>
      <c r="G6063" s="140">
        <v>300000.0</v>
      </c>
      <c r="H6063" s="74"/>
      <c r="I6063" s="74">
        <f t="shared" si="1"/>
        <v>300000</v>
      </c>
      <c r="J6063" s="74">
        <f>IF(E6063="SERVICE",I6063-(I6063*50%),Vlookup(E6063,DATABASE!C:Q,10,false)*F6063)</f>
        <v>0</v>
      </c>
      <c r="K6063" s="74">
        <f>VLOOKUP(E6063,DATABASE!C:Q,7,false)</f>
        <v>317518</v>
      </c>
      <c r="L6063" s="74">
        <v>271778.0</v>
      </c>
      <c r="M6063" s="74">
        <f t="shared" si="2"/>
        <v>275000</v>
      </c>
      <c r="N6063" s="74">
        <f t="shared" si="3"/>
        <v>25000</v>
      </c>
      <c r="O6063" s="65" t="str">
        <f>VLOOKUP(E6063,DATABASE!C:Q,8,false)</f>
        <v>NON</v>
      </c>
      <c r="P6063" s="65">
        <f>VLOOKUP(E6063,DATABASE!C:Q,9,False)</f>
        <v>0</v>
      </c>
      <c r="Q6063" s="93" t="str">
        <f>VLOOKUP(E6063,DATABASE!C:Q,4,false)</f>
        <v>Shell</v>
      </c>
      <c r="R6063" s="93" t="str">
        <f>VLOOKUP(E6063,DATABASE!C:Q,11,false)</f>
        <v>OIL</v>
      </c>
    </row>
    <row r="6064" ht="22.5" customHeight="1">
      <c r="A6064" s="49"/>
      <c r="C6064" s="400">
        <v>46006.0</v>
      </c>
      <c r="D6064" s="69" t="s">
        <v>2659</v>
      </c>
      <c r="E6064" s="544" t="s">
        <v>2174</v>
      </c>
      <c r="F6064" s="387">
        <v>1.0</v>
      </c>
      <c r="G6064" s="140">
        <v>215000.0</v>
      </c>
      <c r="H6064" s="74"/>
      <c r="I6064" s="74">
        <f t="shared" si="1"/>
        <v>215000</v>
      </c>
      <c r="J6064" s="74">
        <f>IF(E6064="SERVICE",I6064-(I6064*50%),Vlookup(E6064,DATABASE!C:Q,10,false)*F6064)</f>
        <v>0</v>
      </c>
      <c r="K6064" s="74">
        <f>VLOOKUP(E6064,DATABASE!C:Q,7,false)</f>
        <v>225314</v>
      </c>
      <c r="L6064" s="74">
        <v>179445.0</v>
      </c>
      <c r="M6064" s="74">
        <f t="shared" si="2"/>
        <v>180000</v>
      </c>
      <c r="N6064" s="74">
        <f t="shared" si="3"/>
        <v>35000</v>
      </c>
      <c r="O6064" s="65" t="str">
        <f>VLOOKUP(E6064,DATABASE!C:Q,8,false)</f>
        <v>NON</v>
      </c>
      <c r="P6064" s="65">
        <f>VLOOKUP(E6064,DATABASE!C:Q,9,False)</f>
        <v>0</v>
      </c>
      <c r="Q6064" s="93" t="str">
        <f>VLOOKUP(E6064,DATABASE!C:Q,4,false)</f>
        <v>Shell</v>
      </c>
      <c r="R6064" s="93" t="str">
        <f>VLOOKUP(E6064,DATABASE!C:Q,11,false)</f>
        <v>OIL</v>
      </c>
    </row>
    <row r="6065" ht="22.5" customHeight="1">
      <c r="A6065" s="49"/>
      <c r="C6065" s="400">
        <v>46006.0</v>
      </c>
      <c r="D6065" s="69" t="s">
        <v>2660</v>
      </c>
      <c r="E6065" s="544" t="s">
        <v>263</v>
      </c>
      <c r="F6065" s="387">
        <v>1.0</v>
      </c>
      <c r="G6065" s="140">
        <v>320000.0</v>
      </c>
      <c r="H6065" s="74"/>
      <c r="I6065" s="74">
        <f t="shared" si="1"/>
        <v>320000</v>
      </c>
      <c r="J6065" s="74">
        <f>IF(E6065="SERVICE",I6065-(I6065*50%),Vlookup(E6065,DATABASE!C:Q,10,false)*F6065)</f>
        <v>0</v>
      </c>
      <c r="K6065" s="74">
        <f>VLOOKUP(E6065,DATABASE!C:Q,7,false)</f>
        <v>334916</v>
      </c>
      <c r="L6065" s="74">
        <v>287688.0</v>
      </c>
      <c r="M6065" s="74">
        <f t="shared" si="2"/>
        <v>290000</v>
      </c>
      <c r="N6065" s="74">
        <f t="shared" si="3"/>
        <v>30000</v>
      </c>
      <c r="O6065" s="65" t="str">
        <f>VLOOKUP(E6065,DATABASE!C:Q,8,false)</f>
        <v>NON</v>
      </c>
      <c r="P6065" s="65">
        <f>VLOOKUP(E6065,DATABASE!C:Q,9,False)</f>
        <v>0</v>
      </c>
      <c r="Q6065" s="93" t="str">
        <f>VLOOKUP(E6065,DATABASE!C:Q,4,false)</f>
        <v>Shell</v>
      </c>
      <c r="R6065" s="93" t="str">
        <f>VLOOKUP(E6065,DATABASE!C:Q,11,false)</f>
        <v>OIL</v>
      </c>
    </row>
    <row r="6066" ht="22.5" customHeight="1">
      <c r="A6066" s="49"/>
      <c r="C6066" s="400">
        <v>46006.0</v>
      </c>
      <c r="D6066" s="69" t="s">
        <v>2661</v>
      </c>
      <c r="E6066" s="544" t="s">
        <v>248</v>
      </c>
      <c r="F6066" s="387">
        <v>1.0</v>
      </c>
      <c r="G6066" s="140">
        <v>190000.0</v>
      </c>
      <c r="H6066" s="74"/>
      <c r="I6066" s="74">
        <f t="shared" si="1"/>
        <v>190000</v>
      </c>
      <c r="J6066" s="74">
        <f>IF(E6066="SERVICE",I6066-(I6066*50%),Vlookup(E6066,DATABASE!C:Q,10,false)*F6066)</f>
        <v>0</v>
      </c>
      <c r="K6066" s="74">
        <f>VLOOKUP(E6066,DATABASE!C:Q,7,false)</f>
        <v>209816.66</v>
      </c>
      <c r="L6066" s="74">
        <v>160833.0</v>
      </c>
      <c r="M6066" s="74">
        <f t="shared" si="2"/>
        <v>165000</v>
      </c>
      <c r="N6066" s="74">
        <f t="shared" si="3"/>
        <v>25000</v>
      </c>
      <c r="O6066" s="65" t="str">
        <f>VLOOKUP(E6066,DATABASE!C:Q,8,false)</f>
        <v>NON</v>
      </c>
      <c r="P6066" s="65">
        <f>VLOOKUP(E6066,DATABASE!C:Q,9,False)</f>
        <v>0</v>
      </c>
      <c r="Q6066" s="93" t="str">
        <f>VLOOKUP(E6066,DATABASE!C:Q,4,false)</f>
        <v>Pertamina</v>
      </c>
      <c r="R6066" s="93" t="str">
        <f>VLOOKUP(E6066,DATABASE!C:Q,11,false)</f>
        <v>OIL</v>
      </c>
    </row>
    <row r="6067" ht="22.5" customHeight="1">
      <c r="A6067" s="49"/>
      <c r="C6067" s="400">
        <v>46006.0</v>
      </c>
      <c r="D6067" s="69" t="s">
        <v>2661</v>
      </c>
      <c r="E6067" s="544" t="s">
        <v>298</v>
      </c>
      <c r="F6067" s="387">
        <v>1.0</v>
      </c>
      <c r="G6067" s="140">
        <v>25000.0</v>
      </c>
      <c r="H6067" s="74"/>
      <c r="I6067" s="74">
        <f t="shared" si="1"/>
        <v>25000</v>
      </c>
      <c r="J6067" s="74">
        <f>IF(E6067="SERVICE",I6067-(I6067*50%),Vlookup(E6067,DATABASE!C:Q,10,false)*F6067)</f>
        <v>0</v>
      </c>
      <c r="K6067" s="74">
        <f>VLOOKUP(E6067,DATABASE!C:Q,7,false)</f>
        <v>19200</v>
      </c>
      <c r="L6067" s="74">
        <v>19200.0</v>
      </c>
      <c r="M6067" s="74">
        <f t="shared" si="2"/>
        <v>20000</v>
      </c>
      <c r="N6067" s="74">
        <f t="shared" si="3"/>
        <v>5000</v>
      </c>
      <c r="O6067" s="65" t="str">
        <f>VLOOKUP(E6067,DATABASE!C:Q,8,false)</f>
        <v>BIAN</v>
      </c>
      <c r="P6067" s="65">
        <f>VLOOKUP(E6067,DATABASE!C:Q,9,False)</f>
        <v>0</v>
      </c>
      <c r="Q6067" s="93" t="str">
        <f>VLOOKUP(E6067,DATABASE!C:Q,4,false)</f>
        <v>Aspira</v>
      </c>
      <c r="R6067" s="93" t="str">
        <f>VLOOKUP(E6067,DATABASE!C:Q,11,false)</f>
        <v>COMPLEMENTARY</v>
      </c>
    </row>
    <row r="6068" ht="22.5" customHeight="1">
      <c r="A6068" s="49"/>
      <c r="C6068" s="400">
        <v>46006.0</v>
      </c>
      <c r="D6068" s="69" t="s">
        <v>2662</v>
      </c>
      <c r="E6068" s="544" t="s">
        <v>2195</v>
      </c>
      <c r="F6068" s="387">
        <v>1.0</v>
      </c>
      <c r="G6068" s="140">
        <v>300000.0</v>
      </c>
      <c r="H6068" s="74"/>
      <c r="I6068" s="74">
        <f t="shared" si="1"/>
        <v>300000</v>
      </c>
      <c r="J6068" s="74">
        <f>IF(E6068="SERVICE",I6068-(I6068*50%),Vlookup(E6068,DATABASE!C:Q,10,false)*F6068)</f>
        <v>0</v>
      </c>
      <c r="K6068" s="74">
        <f>VLOOKUP(E6068,DATABASE!C:Q,7,false)</f>
        <v>329877</v>
      </c>
      <c r="L6068" s="74">
        <v>282805.0</v>
      </c>
      <c r="M6068" s="74">
        <f t="shared" si="2"/>
        <v>285000</v>
      </c>
      <c r="N6068" s="74">
        <f t="shared" si="3"/>
        <v>15000</v>
      </c>
      <c r="O6068" s="65" t="str">
        <f>VLOOKUP(E6068,DATABASE!C:Q,8,false)</f>
        <v>NON</v>
      </c>
      <c r="P6068" s="65">
        <f>VLOOKUP(E6068,DATABASE!C:Q,9,False)</f>
        <v>0</v>
      </c>
      <c r="Q6068" s="93" t="str">
        <f>VLOOKUP(E6068,DATABASE!C:Q,4,false)</f>
        <v>Shell</v>
      </c>
      <c r="R6068" s="93" t="str">
        <f>VLOOKUP(E6068,DATABASE!C:Q,11,false)</f>
        <v>OIL</v>
      </c>
    </row>
    <row r="6069" ht="22.5" customHeight="1">
      <c r="A6069" s="49"/>
      <c r="C6069" s="400">
        <v>46006.0</v>
      </c>
      <c r="D6069" s="69" t="s">
        <v>2662</v>
      </c>
      <c r="E6069" s="544" t="s">
        <v>2192</v>
      </c>
      <c r="F6069" s="387">
        <v>1.0</v>
      </c>
      <c r="G6069" s="140">
        <v>65000.0</v>
      </c>
      <c r="H6069" s="74"/>
      <c r="I6069" s="74">
        <f t="shared" si="1"/>
        <v>65000</v>
      </c>
      <c r="J6069" s="74">
        <f>IF(E6069="SERVICE",I6069-(I6069*50%),Vlookup(E6069,DATABASE!C:Q,10,false)*F6069)</f>
        <v>0</v>
      </c>
      <c r="K6069" s="74">
        <f>VLOOKUP(E6069,DATABASE!C:Q,7,false)</f>
        <v>59705</v>
      </c>
      <c r="L6069" s="74">
        <v>58114.0</v>
      </c>
      <c r="M6069" s="74">
        <f t="shared" si="2"/>
        <v>60000</v>
      </c>
      <c r="N6069" s="74">
        <f t="shared" si="3"/>
        <v>5000</v>
      </c>
      <c r="O6069" s="65" t="str">
        <f>VLOOKUP(E6069,DATABASE!C:Q,8,false)</f>
        <v>NON</v>
      </c>
      <c r="P6069" s="65">
        <f>VLOOKUP(E6069,DATABASE!C:Q,9,False)</f>
        <v>0</v>
      </c>
      <c r="Q6069" s="93" t="str">
        <f>VLOOKUP(E6069,DATABASE!C:Q,4,false)</f>
        <v>Shell</v>
      </c>
      <c r="R6069" s="93" t="str">
        <f>VLOOKUP(E6069,DATABASE!C:Q,11,false)</f>
        <v>OIL</v>
      </c>
    </row>
    <row r="6070" ht="22.5" customHeight="1">
      <c r="A6070" s="49"/>
      <c r="C6070" s="400">
        <v>46006.0</v>
      </c>
      <c r="D6070" s="69" t="s">
        <v>2662</v>
      </c>
      <c r="E6070" s="544" t="s">
        <v>2543</v>
      </c>
      <c r="F6070" s="387">
        <v>1.0</v>
      </c>
      <c r="G6070" s="140">
        <v>30000.0</v>
      </c>
      <c r="H6070" s="74"/>
      <c r="I6070" s="74">
        <f t="shared" si="1"/>
        <v>30000</v>
      </c>
      <c r="J6070" s="74">
        <f>IF(E6070="SERVICE",I6070-(I6070*50%),Vlookup(E6070,DATABASE!C:Q,10,false)*F6070)</f>
        <v>0</v>
      </c>
      <c r="K6070" s="74">
        <f>VLOOKUP(E6070,DATABASE!C:Q,7,false)</f>
        <v>26000</v>
      </c>
      <c r="L6070" s="74">
        <v>26000.0</v>
      </c>
      <c r="M6070" s="74">
        <f t="shared" si="2"/>
        <v>30000</v>
      </c>
      <c r="N6070" s="74">
        <f t="shared" si="3"/>
        <v>0</v>
      </c>
      <c r="O6070" s="65" t="str">
        <f>VLOOKUP(E6070,DATABASE!C:Q,8,false)</f>
        <v>BIAN</v>
      </c>
      <c r="P6070" s="65">
        <f>VLOOKUP(E6070,DATABASE!C:Q,9,False)</f>
        <v>0</v>
      </c>
      <c r="Q6070" s="93" t="str">
        <f>VLOOKUP(E6070,DATABASE!C:Q,4,false)</f>
        <v>Denso</v>
      </c>
      <c r="R6070" s="93" t="str">
        <f>VLOOKUP(E6070,DATABASE!C:Q,11,false)</f>
        <v>COMPLEMENTARY</v>
      </c>
    </row>
    <row r="6071" ht="22.5" customHeight="1">
      <c r="A6071" s="49"/>
      <c r="C6071" s="400">
        <v>46007.0</v>
      </c>
      <c r="D6071" s="524">
        <v>8231.0</v>
      </c>
      <c r="E6071" s="544" t="s">
        <v>1872</v>
      </c>
      <c r="F6071" s="387">
        <v>1.0</v>
      </c>
      <c r="G6071" s="140">
        <v>740000.0</v>
      </c>
      <c r="H6071" s="74"/>
      <c r="I6071" s="74">
        <f t="shared" si="1"/>
        <v>740000</v>
      </c>
      <c r="J6071" s="74">
        <f>IF(E6071="SERVICE",I6071-(I6071*50%),Vlookup(E6071,DATABASE!C:Q,10,false)*F6071)</f>
        <v>0</v>
      </c>
      <c r="K6071" s="74">
        <f>VLOOKUP(E6071,DATABASE!C:Q,7,false)</f>
        <v>648900</v>
      </c>
      <c r="L6071" s="74">
        <v>638600.0</v>
      </c>
      <c r="M6071" s="74">
        <f t="shared" si="2"/>
        <v>640000</v>
      </c>
      <c r="N6071" s="74">
        <f t="shared" si="3"/>
        <v>100000</v>
      </c>
      <c r="O6071" s="65" t="str">
        <f>VLOOKUP(E6071,DATABASE!C:Q,8,false)</f>
        <v>BIAN</v>
      </c>
      <c r="P6071" s="65">
        <f>VLOOKUP(E6071,DATABASE!C:Q,9,False)</f>
        <v>1</v>
      </c>
      <c r="Q6071" s="93" t="str">
        <f>VLOOKUP(E6071,DATABASE!C:Q,4,false)</f>
        <v>GT</v>
      </c>
      <c r="R6071" s="93" t="str">
        <f>VLOOKUP(E6071,DATABASE!C:Q,11,false)</f>
        <v>Tire</v>
      </c>
    </row>
    <row r="6072" ht="22.5" customHeight="1">
      <c r="A6072" s="49"/>
      <c r="C6072" s="400">
        <v>46007.0</v>
      </c>
      <c r="D6072" s="524">
        <v>8232.0</v>
      </c>
      <c r="E6072" s="544" t="s">
        <v>262</v>
      </c>
      <c r="F6072" s="387">
        <v>1.0</v>
      </c>
      <c r="G6072" s="140">
        <v>110000.0</v>
      </c>
      <c r="H6072" s="74"/>
      <c r="I6072" s="74">
        <f t="shared" si="1"/>
        <v>110000</v>
      </c>
      <c r="J6072" s="74">
        <f>IF(E6072="SERVICE",I6072-(I6072*50%),Vlookup(E6072,DATABASE!C:Q,10,false)*F6072)</f>
        <v>5000</v>
      </c>
      <c r="K6072" s="74">
        <f>VLOOKUP(E6072,DATABASE!C:Q,7,false)</f>
        <v>0</v>
      </c>
      <c r="L6072" s="74">
        <v>0.0</v>
      </c>
      <c r="M6072" s="74">
        <f t="shared" si="2"/>
        <v>0</v>
      </c>
      <c r="N6072" s="74">
        <f t="shared" si="3"/>
        <v>105000</v>
      </c>
      <c r="O6072" s="65" t="str">
        <f>VLOOKUP(E6072,DATABASE!C:Q,8,false)</f>
        <v>IBU</v>
      </c>
      <c r="P6072" s="65">
        <f>VLOOKUP(E6072,DATABASE!C:Q,9,False)</f>
        <v>0</v>
      </c>
      <c r="Q6072" s="93" t="str">
        <f>VLOOKUP(E6072,DATABASE!C:Q,4,false)</f>
        <v>SPOORING SS/CARRY LOS BAK</v>
      </c>
      <c r="R6072" s="93" t="str">
        <f>VLOOKUP(E6072,DATABASE!C:Q,11,false)</f>
        <v>SERVICE</v>
      </c>
    </row>
    <row r="6073" ht="22.5" customHeight="1">
      <c r="A6073" s="49"/>
      <c r="C6073" s="400">
        <v>46007.0</v>
      </c>
      <c r="D6073" s="524">
        <v>8232.0</v>
      </c>
      <c r="E6073" s="544" t="s">
        <v>299</v>
      </c>
      <c r="F6073" s="387">
        <v>2.0</v>
      </c>
      <c r="G6073" s="140">
        <v>30000.0</v>
      </c>
      <c r="H6073" s="74"/>
      <c r="I6073" s="74">
        <f t="shared" si="1"/>
        <v>60000</v>
      </c>
      <c r="J6073" s="74">
        <f>IF(E6073="SERVICE",I6073-(I6073*50%),Vlookup(E6073,DATABASE!C:Q,10,false)*F6073)</f>
        <v>0</v>
      </c>
      <c r="K6073" s="74">
        <f>VLOOKUP(E6073,DATABASE!C:Q,7,false)</f>
        <v>10000</v>
      </c>
      <c r="L6073" s="74">
        <v>5000.0</v>
      </c>
      <c r="M6073" s="74">
        <f t="shared" si="2"/>
        <v>5000</v>
      </c>
      <c r="N6073" s="74">
        <f t="shared" si="3"/>
        <v>50000</v>
      </c>
      <c r="O6073" s="65" t="str">
        <f>VLOOKUP(E6073,DATABASE!C:Q,8,false)</f>
        <v>BIAN</v>
      </c>
      <c r="P6073" s="65">
        <f>VLOOKUP(E6073,DATABASE!C:Q,9,False)</f>
        <v>0</v>
      </c>
      <c r="Q6073" s="93" t="str">
        <f>VLOOKUP(E6073,DATABASE!C:Q,4,false)</f>
        <v>Balancing</v>
      </c>
      <c r="R6073" s="93" t="str">
        <f>VLOOKUP(E6073,DATABASE!C:Q,11,false)</f>
        <v>COMPLEMENTARY</v>
      </c>
    </row>
    <row r="6074" ht="22.5" customHeight="1">
      <c r="A6074" s="49"/>
      <c r="C6074" s="400">
        <v>46007.0</v>
      </c>
      <c r="D6074" s="524">
        <v>8233.0</v>
      </c>
      <c r="E6074" s="544" t="s">
        <v>290</v>
      </c>
      <c r="F6074" s="387">
        <v>1.0</v>
      </c>
      <c r="G6074" s="140">
        <v>720000.0</v>
      </c>
      <c r="H6074" s="74"/>
      <c r="I6074" s="74">
        <f t="shared" si="1"/>
        <v>720000</v>
      </c>
      <c r="J6074" s="74">
        <f>IF(E6074="SERVICE",I6074-(I6074*50%),Vlookup(E6074,DATABASE!C:Q,10,false)*F6074)</f>
        <v>0</v>
      </c>
      <c r="K6074" s="74">
        <f>VLOOKUP(E6074,DATABASE!C:Q,7,false)</f>
        <v>628100</v>
      </c>
      <c r="L6074" s="74">
        <v>609804.0</v>
      </c>
      <c r="M6074" s="74">
        <f t="shared" si="2"/>
        <v>610000</v>
      </c>
      <c r="N6074" s="74">
        <f t="shared" si="3"/>
        <v>110000</v>
      </c>
      <c r="O6074" s="65" t="str">
        <f>VLOOKUP(E6074,DATABASE!C:Q,8,false)</f>
        <v>BIAN</v>
      </c>
      <c r="P6074" s="65">
        <f>VLOOKUP(E6074,DATABASE!C:Q,9,False)</f>
        <v>1</v>
      </c>
      <c r="Q6074" s="93" t="str">
        <f>VLOOKUP(E6074,DATABASE!C:Q,4,false)</f>
        <v>GT</v>
      </c>
      <c r="R6074" s="93" t="str">
        <f>VLOOKUP(E6074,DATABASE!C:Q,11,false)</f>
        <v>Tire</v>
      </c>
    </row>
    <row r="6075" ht="22.5" customHeight="1">
      <c r="A6075" s="49"/>
      <c r="C6075" s="400">
        <v>46007.0</v>
      </c>
      <c r="D6075" s="524">
        <v>8233.0</v>
      </c>
      <c r="E6075" s="544" t="s">
        <v>299</v>
      </c>
      <c r="F6075" s="387">
        <v>1.0</v>
      </c>
      <c r="G6075" s="140">
        <v>30000.0</v>
      </c>
      <c r="H6075" s="74"/>
      <c r="I6075" s="74">
        <f t="shared" si="1"/>
        <v>30000</v>
      </c>
      <c r="J6075" s="74">
        <f>IF(E6075="SERVICE",I6075-(I6075*50%),Vlookup(E6075,DATABASE!C:Q,10,false)*F6075)</f>
        <v>0</v>
      </c>
      <c r="K6075" s="74">
        <f>VLOOKUP(E6075,DATABASE!C:Q,7,false)</f>
        <v>10000</v>
      </c>
      <c r="L6075" s="74">
        <v>5000.0</v>
      </c>
      <c r="M6075" s="74">
        <f t="shared" si="2"/>
        <v>5000</v>
      </c>
      <c r="N6075" s="74">
        <f t="shared" si="3"/>
        <v>25000</v>
      </c>
      <c r="O6075" s="65" t="str">
        <f>VLOOKUP(E6075,DATABASE!C:Q,8,false)</f>
        <v>BIAN</v>
      </c>
      <c r="P6075" s="65">
        <f>VLOOKUP(E6075,DATABASE!C:Q,9,False)</f>
        <v>0</v>
      </c>
      <c r="Q6075" s="93" t="str">
        <f>VLOOKUP(E6075,DATABASE!C:Q,4,false)</f>
        <v>Balancing</v>
      </c>
      <c r="R6075" s="93" t="str">
        <f>VLOOKUP(E6075,DATABASE!C:Q,11,false)</f>
        <v>COMPLEMENTARY</v>
      </c>
    </row>
    <row r="6076" ht="22.5" customHeight="1">
      <c r="A6076" s="49"/>
      <c r="C6076" s="400">
        <v>46007.0</v>
      </c>
      <c r="D6076" s="524">
        <v>8236.0</v>
      </c>
      <c r="E6076" s="544" t="s">
        <v>256</v>
      </c>
      <c r="F6076" s="387">
        <v>1.0</v>
      </c>
      <c r="G6076" s="140">
        <v>150000.0</v>
      </c>
      <c r="H6076" s="140">
        <v>20000.0</v>
      </c>
      <c r="I6076" s="74">
        <f t="shared" si="1"/>
        <v>130000</v>
      </c>
      <c r="J6076" s="74">
        <f>IF(E6076="SERVICE",I6076-(I6076*50%),Vlookup(E6076,DATABASE!C:Q,10,false)*F6076)</f>
        <v>10000</v>
      </c>
      <c r="K6076" s="74">
        <f>VLOOKUP(E6076,DATABASE!C:Q,7,false)</f>
        <v>0</v>
      </c>
      <c r="L6076" s="74">
        <v>0.0</v>
      </c>
      <c r="M6076" s="74">
        <f t="shared" si="2"/>
        <v>0</v>
      </c>
      <c r="N6076" s="74">
        <f t="shared" si="3"/>
        <v>120000</v>
      </c>
      <c r="O6076" s="65" t="str">
        <f>VLOOKUP(E6076,DATABASE!C:Q,8,false)</f>
        <v>IBU</v>
      </c>
      <c r="P6076" s="65">
        <f>VLOOKUP(E6076,DATABASE!C:Q,9,False)</f>
        <v>0</v>
      </c>
      <c r="Q6076" s="93" t="str">
        <f>VLOOKUP(E6076,DATABASE!C:Q,4,false)</f>
        <v>SPOORING</v>
      </c>
      <c r="R6076" s="93" t="str">
        <f>VLOOKUP(E6076,DATABASE!C:Q,11,false)</f>
        <v>SERVICE</v>
      </c>
    </row>
    <row r="6077" ht="22.5" customHeight="1">
      <c r="A6077" s="49"/>
      <c r="C6077" s="400">
        <v>46007.0</v>
      </c>
      <c r="D6077" s="524">
        <v>8236.0</v>
      </c>
      <c r="E6077" s="544" t="s">
        <v>299</v>
      </c>
      <c r="F6077" s="387">
        <v>2.0</v>
      </c>
      <c r="G6077" s="140">
        <v>30000.0</v>
      </c>
      <c r="H6077" s="74"/>
      <c r="I6077" s="74">
        <f t="shared" si="1"/>
        <v>60000</v>
      </c>
      <c r="J6077" s="74">
        <f>IF(E6077="SERVICE",I6077-(I6077*50%),Vlookup(E6077,DATABASE!C:Q,10,false)*F6077)</f>
        <v>0</v>
      </c>
      <c r="K6077" s="74">
        <f>VLOOKUP(E6077,DATABASE!C:Q,7,false)</f>
        <v>10000</v>
      </c>
      <c r="L6077" s="74">
        <v>5000.0</v>
      </c>
      <c r="M6077" s="74">
        <f t="shared" si="2"/>
        <v>5000</v>
      </c>
      <c r="N6077" s="74">
        <f t="shared" si="3"/>
        <v>50000</v>
      </c>
      <c r="O6077" s="65" t="str">
        <f>VLOOKUP(E6077,DATABASE!C:Q,8,false)</f>
        <v>BIAN</v>
      </c>
      <c r="P6077" s="65">
        <f>VLOOKUP(E6077,DATABASE!C:Q,9,False)</f>
        <v>0</v>
      </c>
      <c r="Q6077" s="93" t="str">
        <f>VLOOKUP(E6077,DATABASE!C:Q,4,false)</f>
        <v>Balancing</v>
      </c>
      <c r="R6077" s="93" t="str">
        <f>VLOOKUP(E6077,DATABASE!C:Q,11,false)</f>
        <v>COMPLEMENTARY</v>
      </c>
    </row>
    <row r="6078" ht="22.5" customHeight="1">
      <c r="A6078" s="49"/>
      <c r="C6078" s="400">
        <v>46007.0</v>
      </c>
      <c r="D6078" s="524">
        <v>8236.0</v>
      </c>
      <c r="E6078" s="544" t="s">
        <v>301</v>
      </c>
      <c r="F6078" s="387">
        <v>1.0</v>
      </c>
      <c r="G6078" s="140">
        <v>250000.0</v>
      </c>
      <c r="H6078" s="74"/>
      <c r="I6078" s="74">
        <f t="shared" si="1"/>
        <v>250000</v>
      </c>
      <c r="J6078" s="74">
        <f>IF(E6078="SERVICE",I6078-(I6078*50%),Vlookup(E6078,DATABASE!C:Q,10,false)*F6078)</f>
        <v>75000</v>
      </c>
      <c r="K6078" s="74">
        <f>VLOOKUP(E6078,DATABASE!C:Q,7,false)</f>
        <v>75000</v>
      </c>
      <c r="L6078" s="74">
        <v>75000.0</v>
      </c>
      <c r="M6078" s="74">
        <f t="shared" si="2"/>
        <v>75000</v>
      </c>
      <c r="N6078" s="74">
        <f t="shared" si="3"/>
        <v>100000</v>
      </c>
      <c r="O6078" s="65" t="str">
        <f>VLOOKUP(E6078,DATABASE!C:Q,8,false)</f>
        <v>BIAN</v>
      </c>
      <c r="P6078" s="65">
        <f>VLOOKUP(E6078,DATABASE!C:Q,9,False)</f>
        <v>0</v>
      </c>
      <c r="Q6078" s="93" t="str">
        <f>VLOOKUP(E6078,DATABASE!C:Q,4,false)</f>
        <v>Baut Camber</v>
      </c>
      <c r="R6078" s="93" t="str">
        <f>VLOOKUP(E6078,DATABASE!C:Q,11,false)</f>
        <v>COMPLEMENTARY</v>
      </c>
    </row>
    <row r="6079" ht="22.5" customHeight="1">
      <c r="A6079" s="49"/>
      <c r="C6079" s="400">
        <v>46007.0</v>
      </c>
      <c r="D6079" s="524">
        <v>8237.0</v>
      </c>
      <c r="E6079" s="544" t="s">
        <v>2612</v>
      </c>
      <c r="F6079" s="387">
        <v>1.0</v>
      </c>
      <c r="G6079" s="140">
        <v>2500000.0</v>
      </c>
      <c r="H6079" s="74"/>
      <c r="I6079" s="74">
        <f t="shared" si="1"/>
        <v>2500000</v>
      </c>
      <c r="J6079" s="74">
        <f>IF(E6079="SERVICE",I6079-(I6079*50%),Vlookup(E6079,DATABASE!C:Q,10,false)*F6079)</f>
        <v>0</v>
      </c>
      <c r="K6079" s="74">
        <f>VLOOKUP(E6079,DATABASE!C:Q,7,false)</f>
        <v>2200000</v>
      </c>
      <c r="L6079" s="74">
        <v>2200000.0</v>
      </c>
      <c r="M6079" s="74">
        <f t="shared" si="2"/>
        <v>2200000</v>
      </c>
      <c r="N6079" s="74">
        <f t="shared" si="3"/>
        <v>300000</v>
      </c>
      <c r="O6079" s="65" t="str">
        <f>VLOOKUP(E6079,DATABASE!C:Q,8,false)</f>
        <v>BIAN</v>
      </c>
      <c r="P6079" s="65">
        <f>VLOOKUP(E6079,DATABASE!C:Q,9,False)</f>
        <v>1</v>
      </c>
      <c r="Q6079" s="93" t="str">
        <f>VLOOKUP(E6079,DATABASE!C:Q,4,false)</f>
        <v>GT</v>
      </c>
      <c r="R6079" s="93" t="str">
        <f>VLOOKUP(E6079,DATABASE!C:Q,11,false)</f>
        <v>Tire</v>
      </c>
    </row>
    <row r="6080" ht="22.5" customHeight="1">
      <c r="A6080" s="49"/>
      <c r="C6080" s="400">
        <v>46007.0</v>
      </c>
      <c r="D6080" s="524">
        <v>8237.0</v>
      </c>
      <c r="E6080" s="544" t="s">
        <v>2613</v>
      </c>
      <c r="F6080" s="387">
        <v>1.0</v>
      </c>
      <c r="G6080" s="140">
        <v>250000.0</v>
      </c>
      <c r="H6080" s="74"/>
      <c r="I6080" s="74">
        <f t="shared" si="1"/>
        <v>250000</v>
      </c>
      <c r="J6080" s="74">
        <f>IF(E6080="SERVICE",I6080-(I6080*50%),Vlookup(E6080,DATABASE!C:Q,10,false)*F6080)</f>
        <v>0</v>
      </c>
      <c r="K6080" s="74">
        <f>VLOOKUP(E6080,DATABASE!C:Q,7,false)</f>
        <v>204000</v>
      </c>
      <c r="L6080" s="74">
        <v>204000.0</v>
      </c>
      <c r="M6080" s="74">
        <f t="shared" si="2"/>
        <v>205000</v>
      </c>
      <c r="N6080" s="74">
        <f t="shared" si="3"/>
        <v>45000</v>
      </c>
      <c r="O6080" s="65" t="str">
        <f>VLOOKUP(E6080,DATABASE!C:Q,8,false)</f>
        <v>BIAN</v>
      </c>
      <c r="P6080" s="65">
        <f>VLOOKUP(E6080,DATABASE!C:Q,9,False)</f>
        <v>1</v>
      </c>
      <c r="Q6080" s="93" t="str">
        <f>VLOOKUP(E6080,DATABASE!C:Q,4,false)</f>
        <v>BD</v>
      </c>
      <c r="R6080" s="93" t="str">
        <f>VLOOKUP(E6080,DATABASE!C:Q,11,false)</f>
        <v>Tire</v>
      </c>
    </row>
    <row r="6081" ht="22.5" customHeight="1">
      <c r="A6081" s="49"/>
      <c r="C6081" s="400">
        <v>46007.0</v>
      </c>
      <c r="D6081" s="524">
        <v>8237.0</v>
      </c>
      <c r="E6081" s="544" t="s">
        <v>814</v>
      </c>
      <c r="F6081" s="387">
        <v>1.0</v>
      </c>
      <c r="G6081" s="140">
        <v>65000.0</v>
      </c>
      <c r="H6081" s="74"/>
      <c r="I6081" s="74">
        <f t="shared" si="1"/>
        <v>65000</v>
      </c>
      <c r="J6081" s="74">
        <f>IF(E6081="SERVICE",I6081-(I6081*50%),Vlookup(E6081,DATABASE!C:Q,10,false)*F6081)</f>
        <v>0</v>
      </c>
      <c r="K6081" s="74">
        <f>VLOOKUP(E6081,DATABASE!C:Q,7,false)</f>
        <v>39440</v>
      </c>
      <c r="L6081" s="74">
        <v>39440.0</v>
      </c>
      <c r="M6081" s="74">
        <f t="shared" si="2"/>
        <v>40000</v>
      </c>
      <c r="N6081" s="74">
        <f t="shared" si="3"/>
        <v>25000</v>
      </c>
      <c r="O6081" s="65" t="str">
        <f>VLOOKUP(E6081,DATABASE!C:Q,8,false)</f>
        <v>BIAN</v>
      </c>
      <c r="P6081" s="65">
        <f>VLOOKUP(E6081,DATABASE!C:Q,9,False)</f>
        <v>1</v>
      </c>
      <c r="Q6081" s="93" t="str">
        <f>VLOOKUP(E6081,DATABASE!C:Q,4,false)</f>
        <v>Flap</v>
      </c>
      <c r="R6081" s="93" t="str">
        <f>VLOOKUP(E6081,DATABASE!C:Q,11,false)</f>
        <v>Tire</v>
      </c>
    </row>
    <row r="6082" ht="22.5" customHeight="1">
      <c r="A6082" s="49"/>
      <c r="C6082" s="400">
        <v>46007.0</v>
      </c>
      <c r="D6082" s="524">
        <v>8238.0</v>
      </c>
      <c r="E6082" s="544" t="s">
        <v>262</v>
      </c>
      <c r="F6082" s="387">
        <v>1.0</v>
      </c>
      <c r="G6082" s="140">
        <v>110000.0</v>
      </c>
      <c r="H6082" s="74"/>
      <c r="I6082" s="74">
        <f t="shared" si="1"/>
        <v>110000</v>
      </c>
      <c r="J6082" s="74">
        <f>IF(E6082="SERVICE",I6082-(I6082*50%),Vlookup(E6082,DATABASE!C:Q,10,false)*F6082)</f>
        <v>5000</v>
      </c>
      <c r="K6082" s="74">
        <f>VLOOKUP(E6082,DATABASE!C:Q,7,false)</f>
        <v>0</v>
      </c>
      <c r="L6082" s="74">
        <v>0.0</v>
      </c>
      <c r="M6082" s="74">
        <f t="shared" si="2"/>
        <v>0</v>
      </c>
      <c r="N6082" s="74">
        <f t="shared" si="3"/>
        <v>105000</v>
      </c>
      <c r="O6082" s="65" t="str">
        <f>VLOOKUP(E6082,DATABASE!C:Q,8,false)</f>
        <v>IBU</v>
      </c>
      <c r="P6082" s="65">
        <f>VLOOKUP(E6082,DATABASE!C:Q,9,False)</f>
        <v>0</v>
      </c>
      <c r="Q6082" s="93" t="str">
        <f>VLOOKUP(E6082,DATABASE!C:Q,4,false)</f>
        <v>SPOORING SS/CARRY LOS BAK</v>
      </c>
      <c r="R6082" s="93" t="str">
        <f>VLOOKUP(E6082,DATABASE!C:Q,11,false)</f>
        <v>SERVICE</v>
      </c>
    </row>
    <row r="6083" ht="22.5" customHeight="1">
      <c r="A6083" s="49"/>
      <c r="C6083" s="400">
        <v>46007.0</v>
      </c>
      <c r="D6083" s="524">
        <v>8238.0</v>
      </c>
      <c r="E6083" s="544" t="s">
        <v>251</v>
      </c>
      <c r="F6083" s="387">
        <v>1.0</v>
      </c>
      <c r="G6083" s="140">
        <v>350000.0</v>
      </c>
      <c r="H6083" s="140">
        <v>230000.0</v>
      </c>
      <c r="I6083" s="74">
        <f t="shared" si="1"/>
        <v>120000</v>
      </c>
      <c r="J6083" s="74">
        <f>IF(E6083="SERVICE",I6083-(I6083*50%),Vlookup(E6083,DATABASE!C:Q,10,false)*F6083)</f>
        <v>60000</v>
      </c>
      <c r="K6083" s="74">
        <f>VLOOKUP(E6083,DATABASE!C:Q,7,false)</f>
        <v>0</v>
      </c>
      <c r="L6083" s="74">
        <v>0.0</v>
      </c>
      <c r="M6083" s="74">
        <f t="shared" si="2"/>
        <v>0</v>
      </c>
      <c r="N6083" s="74">
        <f t="shared" si="3"/>
        <v>60000</v>
      </c>
      <c r="O6083" s="65" t="str">
        <f>VLOOKUP(E6083,DATABASE!C:Q,8,false)</f>
        <v>IBU</v>
      </c>
      <c r="P6083" s="65">
        <f>VLOOKUP(E6083,DATABASE!C:Q,9,False)</f>
        <v>0</v>
      </c>
      <c r="Q6083" s="93" t="str">
        <f>VLOOKUP(E6083,DATABASE!C:Q,4,false)</f>
        <v>SERVICE</v>
      </c>
      <c r="R6083" s="93" t="str">
        <f>VLOOKUP(E6083,DATABASE!C:Q,11,false)</f>
        <v>SERVICE</v>
      </c>
    </row>
    <row r="6084" ht="22.5" customHeight="1">
      <c r="A6084" s="49"/>
      <c r="C6084" s="400">
        <v>46007.0</v>
      </c>
      <c r="D6084" s="524">
        <v>8240.0</v>
      </c>
      <c r="E6084" s="544" t="s">
        <v>1486</v>
      </c>
      <c r="F6084" s="387">
        <v>2.0</v>
      </c>
      <c r="G6084" s="140">
        <v>977000.0</v>
      </c>
      <c r="H6084" s="140">
        <v>7000.0</v>
      </c>
      <c r="I6084" s="74">
        <f t="shared" si="1"/>
        <v>1940000</v>
      </c>
      <c r="J6084" s="74">
        <f>IF(E6084="SERVICE",I6084-(I6084*50%),Vlookup(E6084,DATABASE!C:Q,10,false)*F6084)</f>
        <v>0</v>
      </c>
      <c r="K6084" s="74">
        <f>VLOOKUP(E6084,DATABASE!C:Q,7,false)</f>
        <v>888000</v>
      </c>
      <c r="L6084" s="74">
        <v>877000.0</v>
      </c>
      <c r="M6084" s="74">
        <f t="shared" si="2"/>
        <v>880000</v>
      </c>
      <c r="N6084" s="74">
        <f t="shared" si="3"/>
        <v>180000</v>
      </c>
      <c r="O6084" s="65" t="str">
        <f>VLOOKUP(E6084,DATABASE!C:Q,8,false)</f>
        <v>IBU</v>
      </c>
      <c r="P6084" s="65">
        <f>VLOOKUP(E6084,DATABASE!C:Q,9,False)</f>
        <v>1</v>
      </c>
      <c r="Q6084" s="93" t="str">
        <f>VLOOKUP(E6084,DATABASE!C:Q,4,false)</f>
        <v>Dunlop</v>
      </c>
      <c r="R6084" s="93" t="str">
        <f>VLOOKUP(E6084,DATABASE!C:Q,11,false)</f>
        <v>Tire</v>
      </c>
    </row>
    <row r="6085" ht="22.5" customHeight="1">
      <c r="A6085" s="49"/>
      <c r="C6085" s="400">
        <v>46007.0</v>
      </c>
      <c r="D6085" s="524">
        <v>8240.0</v>
      </c>
      <c r="E6085" s="544" t="s">
        <v>299</v>
      </c>
      <c r="F6085" s="387">
        <v>2.0</v>
      </c>
      <c r="G6085" s="140">
        <v>30000.0</v>
      </c>
      <c r="H6085" s="74"/>
      <c r="I6085" s="74">
        <f t="shared" si="1"/>
        <v>60000</v>
      </c>
      <c r="J6085" s="74">
        <f>IF(E6085="SERVICE",I6085-(I6085*50%),Vlookup(E6085,DATABASE!C:Q,10,false)*F6085)</f>
        <v>0</v>
      </c>
      <c r="K6085" s="74">
        <f>VLOOKUP(E6085,DATABASE!C:Q,7,false)</f>
        <v>10000</v>
      </c>
      <c r="L6085" s="74">
        <v>5000.0</v>
      </c>
      <c r="M6085" s="74">
        <f t="shared" si="2"/>
        <v>5000</v>
      </c>
      <c r="N6085" s="74">
        <f t="shared" si="3"/>
        <v>50000</v>
      </c>
      <c r="O6085" s="65" t="str">
        <f>VLOOKUP(E6085,DATABASE!C:Q,8,false)</f>
        <v>BIAN</v>
      </c>
      <c r="P6085" s="65">
        <f>VLOOKUP(E6085,DATABASE!C:Q,9,False)</f>
        <v>0</v>
      </c>
      <c r="Q6085" s="93" t="str">
        <f>VLOOKUP(E6085,DATABASE!C:Q,4,false)</f>
        <v>Balancing</v>
      </c>
      <c r="R6085" s="93" t="str">
        <f>VLOOKUP(E6085,DATABASE!C:Q,11,false)</f>
        <v>COMPLEMENTARY</v>
      </c>
    </row>
    <row r="6086" ht="22.5" customHeight="1">
      <c r="A6086" s="49"/>
      <c r="C6086" s="400">
        <v>46007.0</v>
      </c>
      <c r="D6086" s="524">
        <v>8240.0</v>
      </c>
      <c r="E6086" s="544" t="s">
        <v>256</v>
      </c>
      <c r="F6086" s="387">
        <v>1.0</v>
      </c>
      <c r="G6086" s="140">
        <v>150000.0</v>
      </c>
      <c r="H6086" s="140">
        <v>20000.0</v>
      </c>
      <c r="I6086" s="74">
        <f t="shared" si="1"/>
        <v>130000</v>
      </c>
      <c r="J6086" s="74">
        <f>IF(E6086="SERVICE",I6086-(I6086*50%),Vlookup(E6086,DATABASE!C:Q,10,false)*F6086)</f>
        <v>10000</v>
      </c>
      <c r="K6086" s="74">
        <f>VLOOKUP(E6086,DATABASE!C:Q,7,false)</f>
        <v>0</v>
      </c>
      <c r="L6086" s="74">
        <v>0.0</v>
      </c>
      <c r="M6086" s="74">
        <f t="shared" si="2"/>
        <v>0</v>
      </c>
      <c r="N6086" s="74">
        <f t="shared" si="3"/>
        <v>120000</v>
      </c>
      <c r="O6086" s="65" t="str">
        <f>VLOOKUP(E6086,DATABASE!C:Q,8,false)</f>
        <v>IBU</v>
      </c>
      <c r="P6086" s="65">
        <f>VLOOKUP(E6086,DATABASE!C:Q,9,False)</f>
        <v>0</v>
      </c>
      <c r="Q6086" s="93" t="str">
        <f>VLOOKUP(E6086,DATABASE!C:Q,4,false)</f>
        <v>SPOORING</v>
      </c>
      <c r="R6086" s="93" t="str">
        <f>VLOOKUP(E6086,DATABASE!C:Q,11,false)</f>
        <v>SERVICE</v>
      </c>
    </row>
    <row r="6087" ht="22.5" customHeight="1">
      <c r="A6087" s="49"/>
      <c r="C6087" s="400">
        <v>46007.0</v>
      </c>
      <c r="D6087" s="524">
        <v>8240.0</v>
      </c>
      <c r="E6087" s="544" t="s">
        <v>251</v>
      </c>
      <c r="F6087" s="387">
        <v>1.0</v>
      </c>
      <c r="G6087" s="140">
        <v>350000.0</v>
      </c>
      <c r="H6087" s="140">
        <v>200000.0</v>
      </c>
      <c r="I6087" s="74">
        <f t="shared" si="1"/>
        <v>150000</v>
      </c>
      <c r="J6087" s="74">
        <f>IF(E6087="SERVICE",I6087-(I6087*50%),Vlookup(E6087,DATABASE!C:Q,10,false)*F6087)</f>
        <v>75000</v>
      </c>
      <c r="K6087" s="74">
        <f>VLOOKUP(E6087,DATABASE!C:Q,7,false)</f>
        <v>0</v>
      </c>
      <c r="L6087" s="74">
        <v>0.0</v>
      </c>
      <c r="M6087" s="74">
        <f t="shared" si="2"/>
        <v>0</v>
      </c>
      <c r="N6087" s="74">
        <f t="shared" si="3"/>
        <v>75000</v>
      </c>
      <c r="O6087" s="65" t="str">
        <f>VLOOKUP(E6087,DATABASE!C:Q,8,false)</f>
        <v>IBU</v>
      </c>
      <c r="P6087" s="65">
        <f>VLOOKUP(E6087,DATABASE!C:Q,9,False)</f>
        <v>0</v>
      </c>
      <c r="Q6087" s="93" t="str">
        <f>VLOOKUP(E6087,DATABASE!C:Q,4,false)</f>
        <v>SERVICE</v>
      </c>
      <c r="R6087" s="93" t="str">
        <f>VLOOKUP(E6087,DATABASE!C:Q,11,false)</f>
        <v>SERVICE</v>
      </c>
    </row>
    <row r="6088" ht="22.5" customHeight="1">
      <c r="A6088" s="49"/>
      <c r="C6088" s="400">
        <v>46007.0</v>
      </c>
      <c r="D6088" s="524">
        <v>8241.0</v>
      </c>
      <c r="E6088" s="544" t="s">
        <v>2048</v>
      </c>
      <c r="F6088" s="387">
        <v>2.0</v>
      </c>
      <c r="G6088" s="140">
        <v>700000.0</v>
      </c>
      <c r="H6088" s="74"/>
      <c r="I6088" s="74">
        <f t="shared" si="1"/>
        <v>1400000</v>
      </c>
      <c r="J6088" s="74">
        <f>IF(E6088="SERVICE",I6088-(I6088*50%),Vlookup(E6088,DATABASE!C:Q,10,false)*F6088)</f>
        <v>0</v>
      </c>
      <c r="K6088" s="74">
        <f>VLOOKUP(E6088,DATABASE!C:Q,7,false)</f>
        <v>615000</v>
      </c>
      <c r="L6088" s="74">
        <v>615000.0</v>
      </c>
      <c r="M6088" s="74">
        <f t="shared" si="2"/>
        <v>615000</v>
      </c>
      <c r="N6088" s="74">
        <f t="shared" si="3"/>
        <v>170000</v>
      </c>
      <c r="O6088" s="65" t="str">
        <f>VLOOKUP(E6088,DATABASE!C:Q,8,false)</f>
        <v>BIAN</v>
      </c>
      <c r="P6088" s="65">
        <f>VLOOKUP(E6088,DATABASE!C:Q,9,False)</f>
        <v>1</v>
      </c>
      <c r="Q6088" s="93" t="str">
        <f>VLOOKUP(E6088,DATABASE!C:Q,4,false)</f>
        <v>HANKOOK</v>
      </c>
      <c r="R6088" s="93" t="str">
        <f>VLOOKUP(E6088,DATABASE!C:Q,11,false)</f>
        <v>Tire</v>
      </c>
    </row>
    <row r="6089" ht="22.5" customHeight="1">
      <c r="A6089" s="49"/>
      <c r="C6089" s="400">
        <v>46007.0</v>
      </c>
      <c r="D6089" s="524">
        <v>8242.0</v>
      </c>
      <c r="E6089" s="544" t="s">
        <v>265</v>
      </c>
      <c r="F6089" s="387">
        <v>1.0</v>
      </c>
      <c r="G6089" s="140">
        <v>685000.0</v>
      </c>
      <c r="H6089" s="74"/>
      <c r="I6089" s="74">
        <f t="shared" si="1"/>
        <v>685000</v>
      </c>
      <c r="J6089" s="74">
        <f>IF(E6089="SERVICE",I6089-(I6089*50%),Vlookup(E6089,DATABASE!C:Q,10,false)*F6089)</f>
        <v>0</v>
      </c>
      <c r="K6089" s="74">
        <f>VLOOKUP(E6089,DATABASE!C:Q,7,false)</f>
        <v>628000</v>
      </c>
      <c r="L6089" s="74">
        <v>600000.0</v>
      </c>
      <c r="M6089" s="74">
        <f t="shared" si="2"/>
        <v>600000</v>
      </c>
      <c r="N6089" s="74">
        <f t="shared" si="3"/>
        <v>85000</v>
      </c>
      <c r="O6089" s="65" t="str">
        <f>VLOOKUP(E6089,DATABASE!C:Q,8,false)</f>
        <v>IBU</v>
      </c>
      <c r="P6089" s="65">
        <f>VLOOKUP(E6089,DATABASE!C:Q,9,False)</f>
        <v>1</v>
      </c>
      <c r="Q6089" s="93" t="str">
        <f>VLOOKUP(E6089,DATABASE!C:Q,4,false)</f>
        <v>Dunlop</v>
      </c>
      <c r="R6089" s="93" t="str">
        <f>VLOOKUP(E6089,DATABASE!C:Q,11,false)</f>
        <v>Tire</v>
      </c>
    </row>
    <row r="6090" ht="22.5" customHeight="1">
      <c r="A6090" s="49"/>
      <c r="C6090" s="400">
        <v>46007.0</v>
      </c>
      <c r="D6090" s="524">
        <v>8243.0</v>
      </c>
      <c r="E6090" s="544" t="s">
        <v>256</v>
      </c>
      <c r="F6090" s="387">
        <v>1.0</v>
      </c>
      <c r="G6090" s="140">
        <v>150000.0</v>
      </c>
      <c r="H6090" s="140">
        <v>20000.0</v>
      </c>
      <c r="I6090" s="74">
        <f t="shared" si="1"/>
        <v>130000</v>
      </c>
      <c r="J6090" s="74">
        <f>IF(E6090="SERVICE",I6090-(I6090*50%),Vlookup(E6090,DATABASE!C:Q,10,false)*F6090)</f>
        <v>10000</v>
      </c>
      <c r="K6090" s="74">
        <f>VLOOKUP(E6090,DATABASE!C:Q,7,false)</f>
        <v>0</v>
      </c>
      <c r="L6090" s="74">
        <v>0.0</v>
      </c>
      <c r="M6090" s="74">
        <f t="shared" si="2"/>
        <v>0</v>
      </c>
      <c r="N6090" s="74">
        <f t="shared" si="3"/>
        <v>120000</v>
      </c>
      <c r="O6090" s="65" t="str">
        <f>VLOOKUP(E6090,DATABASE!C:Q,8,false)</f>
        <v>IBU</v>
      </c>
      <c r="P6090" s="65">
        <f>VLOOKUP(E6090,DATABASE!C:Q,9,False)</f>
        <v>0</v>
      </c>
      <c r="Q6090" s="93" t="str">
        <f>VLOOKUP(E6090,DATABASE!C:Q,4,false)</f>
        <v>SPOORING</v>
      </c>
      <c r="R6090" s="93" t="str">
        <f>VLOOKUP(E6090,DATABASE!C:Q,11,false)</f>
        <v>SERVICE</v>
      </c>
    </row>
    <row r="6091" ht="22.5" customHeight="1">
      <c r="A6091" s="49"/>
      <c r="C6091" s="400">
        <v>46007.0</v>
      </c>
      <c r="D6091" s="524">
        <v>8243.0</v>
      </c>
      <c r="E6091" s="544" t="s">
        <v>301</v>
      </c>
      <c r="F6091" s="387">
        <v>1.0</v>
      </c>
      <c r="G6091" s="140">
        <v>250000.0</v>
      </c>
      <c r="H6091" s="74"/>
      <c r="I6091" s="74">
        <f t="shared" si="1"/>
        <v>250000</v>
      </c>
      <c r="J6091" s="74">
        <f>IF(E6091="SERVICE",I6091-(I6091*50%),Vlookup(E6091,DATABASE!C:Q,10,false)*F6091)</f>
        <v>75000</v>
      </c>
      <c r="K6091" s="74">
        <f>VLOOKUP(E6091,DATABASE!C:Q,7,false)</f>
        <v>75000</v>
      </c>
      <c r="L6091" s="74">
        <v>75000.0</v>
      </c>
      <c r="M6091" s="74">
        <f t="shared" si="2"/>
        <v>75000</v>
      </c>
      <c r="N6091" s="74">
        <f t="shared" si="3"/>
        <v>100000</v>
      </c>
      <c r="O6091" s="65" t="str">
        <f>VLOOKUP(E6091,DATABASE!C:Q,8,false)</f>
        <v>BIAN</v>
      </c>
      <c r="P6091" s="65">
        <f>VLOOKUP(E6091,DATABASE!C:Q,9,False)</f>
        <v>0</v>
      </c>
      <c r="Q6091" s="93" t="str">
        <f>VLOOKUP(E6091,DATABASE!C:Q,4,false)</f>
        <v>Baut Camber</v>
      </c>
      <c r="R6091" s="93" t="str">
        <f>VLOOKUP(E6091,DATABASE!C:Q,11,false)</f>
        <v>COMPLEMENTARY</v>
      </c>
    </row>
    <row r="6092" ht="22.5" customHeight="1">
      <c r="A6092" s="49"/>
      <c r="C6092" s="400">
        <v>46007.0</v>
      </c>
      <c r="D6092" s="524">
        <v>8244.0</v>
      </c>
      <c r="E6092" s="544" t="s">
        <v>275</v>
      </c>
      <c r="F6092" s="387">
        <v>2.0</v>
      </c>
      <c r="G6092" s="140">
        <v>830000.0</v>
      </c>
      <c r="H6092" s="74"/>
      <c r="I6092" s="74">
        <f t="shared" si="1"/>
        <v>1660000</v>
      </c>
      <c r="J6092" s="74">
        <f>IF(E6092="SERVICE",I6092-(I6092*50%),Vlookup(E6092,DATABASE!C:Q,10,false)*F6092)</f>
        <v>0</v>
      </c>
      <c r="K6092" s="74">
        <f>VLOOKUP(E6092,DATABASE!C:Q,7,false)</f>
        <v>782000</v>
      </c>
      <c r="L6092" s="74">
        <v>745000.0</v>
      </c>
      <c r="M6092" s="74">
        <f t="shared" si="2"/>
        <v>745000</v>
      </c>
      <c r="N6092" s="74">
        <f t="shared" si="3"/>
        <v>170000</v>
      </c>
      <c r="O6092" s="65" t="str">
        <f>VLOOKUP(E6092,DATABASE!C:Q,8,false)</f>
        <v>IBU</v>
      </c>
      <c r="P6092" s="65">
        <f>VLOOKUP(E6092,DATABASE!C:Q,9,False)</f>
        <v>1</v>
      </c>
      <c r="Q6092" s="93" t="str">
        <f>VLOOKUP(E6092,DATABASE!C:Q,4,false)</f>
        <v>Dunlop</v>
      </c>
      <c r="R6092" s="93" t="str">
        <f>VLOOKUP(E6092,DATABASE!C:Q,11,false)</f>
        <v>Tire</v>
      </c>
    </row>
    <row r="6093" ht="22.5" customHeight="1">
      <c r="A6093" s="49"/>
      <c r="C6093" s="400">
        <v>46007.0</v>
      </c>
      <c r="D6093" s="524">
        <v>8245.0</v>
      </c>
      <c r="E6093" s="544" t="s">
        <v>275</v>
      </c>
      <c r="F6093" s="387">
        <v>2.0</v>
      </c>
      <c r="G6093" s="140">
        <v>830000.0</v>
      </c>
      <c r="H6093" s="74"/>
      <c r="I6093" s="74">
        <f t="shared" si="1"/>
        <v>1660000</v>
      </c>
      <c r="J6093" s="74">
        <f>IF(E6093="SERVICE",I6093-(I6093*50%),Vlookup(E6093,DATABASE!C:Q,10,false)*F6093)</f>
        <v>0</v>
      </c>
      <c r="K6093" s="74">
        <f>VLOOKUP(E6093,DATABASE!C:Q,7,false)</f>
        <v>782000</v>
      </c>
      <c r="L6093" s="74">
        <v>745000.0</v>
      </c>
      <c r="M6093" s="74">
        <f t="shared" si="2"/>
        <v>745000</v>
      </c>
      <c r="N6093" s="74">
        <f t="shared" si="3"/>
        <v>170000</v>
      </c>
      <c r="O6093" s="65" t="str">
        <f>VLOOKUP(E6093,DATABASE!C:Q,8,false)</f>
        <v>IBU</v>
      </c>
      <c r="P6093" s="65">
        <f>VLOOKUP(E6093,DATABASE!C:Q,9,False)</f>
        <v>1</v>
      </c>
      <c r="Q6093" s="93" t="str">
        <f>VLOOKUP(E6093,DATABASE!C:Q,4,false)</f>
        <v>Dunlop</v>
      </c>
      <c r="R6093" s="93" t="str">
        <f>VLOOKUP(E6093,DATABASE!C:Q,11,false)</f>
        <v>Tire</v>
      </c>
    </row>
    <row r="6094" ht="22.5" customHeight="1">
      <c r="A6094" s="49"/>
      <c r="C6094" s="400">
        <v>46007.0</v>
      </c>
      <c r="D6094" s="524">
        <v>8245.0</v>
      </c>
      <c r="E6094" s="544" t="s">
        <v>613</v>
      </c>
      <c r="F6094" s="387">
        <v>1.0</v>
      </c>
      <c r="G6094" s="140">
        <v>95000.0</v>
      </c>
      <c r="H6094" s="140">
        <v>5000.0</v>
      </c>
      <c r="I6094" s="74">
        <f t="shared" si="1"/>
        <v>90000</v>
      </c>
      <c r="J6094" s="74">
        <f>IF(E6094="SERVICE",I6094-(I6094*50%),Vlookup(E6094,DATABASE!C:Q,10,false)*F6094)</f>
        <v>0</v>
      </c>
      <c r="K6094" s="74">
        <f>VLOOKUP(E6094,DATABASE!C:Q,7,false)</f>
        <v>58371.2695</v>
      </c>
      <c r="L6094" s="74">
        <v>55000.0</v>
      </c>
      <c r="M6094" s="74">
        <f t="shared" si="2"/>
        <v>55000</v>
      </c>
      <c r="N6094" s="74">
        <f t="shared" si="3"/>
        <v>35000</v>
      </c>
      <c r="O6094" s="65" t="str">
        <f>VLOOKUP(E6094,DATABASE!C:Q,8,false)</f>
        <v>BIAN</v>
      </c>
      <c r="P6094" s="65">
        <f>VLOOKUP(E6094,DATABASE!C:Q,9,False)</f>
        <v>1</v>
      </c>
      <c r="Q6094" s="93" t="str">
        <f>VLOOKUP(E6094,DATABASE!C:Q,4,false)</f>
        <v>BD</v>
      </c>
      <c r="R6094" s="93" t="str">
        <f>VLOOKUP(E6094,DATABASE!C:Q,11,false)</f>
        <v>Tire</v>
      </c>
    </row>
    <row r="6095" ht="22.5" customHeight="1">
      <c r="A6095" s="49"/>
      <c r="C6095" s="400">
        <v>46007.0</v>
      </c>
      <c r="D6095" s="524">
        <v>8246.0</v>
      </c>
      <c r="E6095" s="544" t="s">
        <v>968</v>
      </c>
      <c r="F6095" s="387">
        <v>2.0</v>
      </c>
      <c r="G6095" s="140">
        <v>675000.0</v>
      </c>
      <c r="H6095" s="140">
        <v>5000.0</v>
      </c>
      <c r="I6095" s="74">
        <f t="shared" si="1"/>
        <v>1340000</v>
      </c>
      <c r="J6095" s="74">
        <f>IF(E6095="SERVICE",I6095-(I6095*50%),Vlookup(E6095,DATABASE!C:Q,10,false)*F6095)</f>
        <v>0</v>
      </c>
      <c r="K6095" s="74">
        <f>VLOOKUP(E6095,DATABASE!C:Q,7,false)</f>
        <v>582500</v>
      </c>
      <c r="L6095" s="74">
        <v>570500.0</v>
      </c>
      <c r="M6095" s="74">
        <f t="shared" si="2"/>
        <v>575000</v>
      </c>
      <c r="N6095" s="74">
        <f t="shared" si="3"/>
        <v>190000</v>
      </c>
      <c r="O6095" s="65" t="str">
        <f>VLOOKUP(E6095,DATABASE!C:Q,8,false)</f>
        <v>IBU</v>
      </c>
      <c r="P6095" s="65">
        <f>VLOOKUP(E6095,DATABASE!C:Q,9,False)</f>
        <v>1</v>
      </c>
      <c r="Q6095" s="93" t="str">
        <f>VLOOKUP(E6095,DATABASE!C:Q,4,false)</f>
        <v>Dunlop</v>
      </c>
      <c r="R6095" s="93" t="str">
        <f>VLOOKUP(E6095,DATABASE!C:Q,11,false)</f>
        <v>Tire</v>
      </c>
    </row>
    <row r="6096" ht="22.5" customHeight="1">
      <c r="A6096" s="49"/>
      <c r="C6096" s="400">
        <v>46007.0</v>
      </c>
      <c r="D6096" s="524">
        <v>8246.0</v>
      </c>
      <c r="E6096" s="544" t="s">
        <v>299</v>
      </c>
      <c r="F6096" s="387">
        <v>2.0</v>
      </c>
      <c r="G6096" s="140">
        <v>30000.0</v>
      </c>
      <c r="H6096" s="74"/>
      <c r="I6096" s="74">
        <f t="shared" si="1"/>
        <v>60000</v>
      </c>
      <c r="J6096" s="74">
        <f>IF(E6096="SERVICE",I6096-(I6096*50%),Vlookup(E6096,DATABASE!C:Q,10,false)*F6096)</f>
        <v>0</v>
      </c>
      <c r="K6096" s="74">
        <f>VLOOKUP(E6096,DATABASE!C:Q,7,false)</f>
        <v>10000</v>
      </c>
      <c r="L6096" s="74">
        <v>5000.0</v>
      </c>
      <c r="M6096" s="74">
        <f t="shared" si="2"/>
        <v>5000</v>
      </c>
      <c r="N6096" s="74">
        <f t="shared" si="3"/>
        <v>50000</v>
      </c>
      <c r="O6096" s="65" t="str">
        <f>VLOOKUP(E6096,DATABASE!C:Q,8,false)</f>
        <v>BIAN</v>
      </c>
      <c r="P6096" s="65">
        <f>VLOOKUP(E6096,DATABASE!C:Q,9,False)</f>
        <v>0</v>
      </c>
      <c r="Q6096" s="93" t="str">
        <f>VLOOKUP(E6096,DATABASE!C:Q,4,false)</f>
        <v>Balancing</v>
      </c>
      <c r="R6096" s="93" t="str">
        <f>VLOOKUP(E6096,DATABASE!C:Q,11,false)</f>
        <v>COMPLEMENTARY</v>
      </c>
    </row>
    <row r="6097" ht="22.5" customHeight="1">
      <c r="A6097" s="49"/>
      <c r="C6097" s="400">
        <v>46007.0</v>
      </c>
      <c r="D6097" s="524">
        <v>8246.0</v>
      </c>
      <c r="E6097" s="544" t="s">
        <v>256</v>
      </c>
      <c r="F6097" s="387">
        <v>1.0</v>
      </c>
      <c r="G6097" s="140">
        <v>150000.0</v>
      </c>
      <c r="H6097" s="140">
        <v>20000.0</v>
      </c>
      <c r="I6097" s="74">
        <f t="shared" si="1"/>
        <v>130000</v>
      </c>
      <c r="J6097" s="74">
        <f>IF(E6097="SERVICE",I6097-(I6097*50%),Vlookup(E6097,DATABASE!C:Q,10,false)*F6097)</f>
        <v>10000</v>
      </c>
      <c r="K6097" s="74">
        <f>VLOOKUP(E6097,DATABASE!C:Q,7,false)</f>
        <v>0</v>
      </c>
      <c r="L6097" s="74">
        <v>0.0</v>
      </c>
      <c r="M6097" s="74">
        <f t="shared" si="2"/>
        <v>0</v>
      </c>
      <c r="N6097" s="74">
        <f t="shared" si="3"/>
        <v>120000</v>
      </c>
      <c r="O6097" s="65" t="str">
        <f>VLOOKUP(E6097,DATABASE!C:Q,8,false)</f>
        <v>IBU</v>
      </c>
      <c r="P6097" s="65">
        <f>VLOOKUP(E6097,DATABASE!C:Q,9,False)</f>
        <v>0</v>
      </c>
      <c r="Q6097" s="93" t="str">
        <f>VLOOKUP(E6097,DATABASE!C:Q,4,false)</f>
        <v>SPOORING</v>
      </c>
      <c r="R6097" s="93" t="str">
        <f>VLOOKUP(E6097,DATABASE!C:Q,11,false)</f>
        <v>SERVICE</v>
      </c>
    </row>
    <row r="6098" ht="22.5" customHeight="1">
      <c r="A6098" s="49"/>
      <c r="C6098" s="400">
        <v>46007.0</v>
      </c>
      <c r="D6098" s="524">
        <v>8246.0</v>
      </c>
      <c r="E6098" s="544" t="s">
        <v>251</v>
      </c>
      <c r="F6098" s="387">
        <v>1.0</v>
      </c>
      <c r="G6098" s="140">
        <v>350000.0</v>
      </c>
      <c r="H6098" s="140">
        <v>200000.0</v>
      </c>
      <c r="I6098" s="74">
        <f t="shared" si="1"/>
        <v>150000</v>
      </c>
      <c r="J6098" s="74">
        <f>IF(E6098="SERVICE",I6098-(I6098*50%),Vlookup(E6098,DATABASE!C:Q,10,false)*F6098)</f>
        <v>75000</v>
      </c>
      <c r="K6098" s="74">
        <f>VLOOKUP(E6098,DATABASE!C:Q,7,false)</f>
        <v>0</v>
      </c>
      <c r="L6098" s="74">
        <v>0.0</v>
      </c>
      <c r="M6098" s="74">
        <f t="shared" si="2"/>
        <v>0</v>
      </c>
      <c r="N6098" s="74">
        <f t="shared" si="3"/>
        <v>75000</v>
      </c>
      <c r="O6098" s="65" t="str">
        <f>VLOOKUP(E6098,DATABASE!C:Q,8,false)</f>
        <v>IBU</v>
      </c>
      <c r="P6098" s="65">
        <f>VLOOKUP(E6098,DATABASE!C:Q,9,False)</f>
        <v>0</v>
      </c>
      <c r="Q6098" s="93" t="str">
        <f>VLOOKUP(E6098,DATABASE!C:Q,4,false)</f>
        <v>SERVICE</v>
      </c>
      <c r="R6098" s="93" t="str">
        <f>VLOOKUP(E6098,DATABASE!C:Q,11,false)</f>
        <v>SERVICE</v>
      </c>
    </row>
    <row r="6099" ht="22.5" customHeight="1">
      <c r="A6099" s="49"/>
      <c r="C6099" s="400">
        <v>46007.0</v>
      </c>
      <c r="D6099" s="69" t="s">
        <v>2663</v>
      </c>
      <c r="E6099" s="544" t="s">
        <v>263</v>
      </c>
      <c r="F6099" s="387">
        <v>1.0</v>
      </c>
      <c r="G6099" s="140">
        <v>320000.0</v>
      </c>
      <c r="H6099" s="74"/>
      <c r="I6099" s="74">
        <f t="shared" si="1"/>
        <v>320000</v>
      </c>
      <c r="J6099" s="74">
        <f>IF(E6099="SERVICE",I6099-(I6099*50%),Vlookup(E6099,DATABASE!C:Q,10,false)*F6099)</f>
        <v>0</v>
      </c>
      <c r="K6099" s="74">
        <f>VLOOKUP(E6099,DATABASE!C:Q,7,false)</f>
        <v>334916</v>
      </c>
      <c r="L6099" s="74">
        <v>287688.0</v>
      </c>
      <c r="M6099" s="74">
        <f t="shared" si="2"/>
        <v>290000</v>
      </c>
      <c r="N6099" s="74">
        <f t="shared" si="3"/>
        <v>30000</v>
      </c>
      <c r="O6099" s="65" t="str">
        <f>VLOOKUP(E6099,DATABASE!C:Q,8,false)</f>
        <v>NON</v>
      </c>
      <c r="P6099" s="65">
        <f>VLOOKUP(E6099,DATABASE!C:Q,9,False)</f>
        <v>0</v>
      </c>
      <c r="Q6099" s="93" t="str">
        <f>VLOOKUP(E6099,DATABASE!C:Q,4,false)</f>
        <v>Shell</v>
      </c>
      <c r="R6099" s="93" t="str">
        <f>VLOOKUP(E6099,DATABASE!C:Q,11,false)</f>
        <v>OIL</v>
      </c>
    </row>
    <row r="6100" ht="22.5" customHeight="1">
      <c r="A6100" s="49"/>
      <c r="C6100" s="400">
        <v>46008.0</v>
      </c>
      <c r="D6100" s="524">
        <v>8242.0</v>
      </c>
      <c r="E6100" s="544" t="s">
        <v>275</v>
      </c>
      <c r="F6100" s="387">
        <v>2.0</v>
      </c>
      <c r="G6100" s="140">
        <v>830000.0</v>
      </c>
      <c r="H6100" s="74"/>
      <c r="I6100" s="74">
        <f t="shared" si="1"/>
        <v>1660000</v>
      </c>
      <c r="J6100" s="74">
        <f>IF(E6100="SERVICE",I6100-(I6100*50%),Vlookup(E6100,DATABASE!C:Q,10,false)*F6100)</f>
        <v>0</v>
      </c>
      <c r="K6100" s="74">
        <f>VLOOKUP(E6100,DATABASE!C:Q,7,false)</f>
        <v>782000</v>
      </c>
      <c r="L6100" s="74">
        <v>745000.0</v>
      </c>
      <c r="M6100" s="74">
        <f t="shared" si="2"/>
        <v>745000</v>
      </c>
      <c r="N6100" s="74">
        <f t="shared" si="3"/>
        <v>170000</v>
      </c>
      <c r="O6100" s="65" t="str">
        <f>VLOOKUP(E6100,DATABASE!C:Q,8,false)</f>
        <v>IBU</v>
      </c>
      <c r="P6100" s="65">
        <f>VLOOKUP(E6100,DATABASE!C:Q,9,False)</f>
        <v>1</v>
      </c>
      <c r="Q6100" s="93" t="str">
        <f>VLOOKUP(E6100,DATABASE!C:Q,4,false)</f>
        <v>Dunlop</v>
      </c>
      <c r="R6100" s="93" t="str">
        <f>VLOOKUP(E6100,DATABASE!C:Q,11,false)</f>
        <v>Tire</v>
      </c>
    </row>
    <row r="6101" ht="22.5" customHeight="1">
      <c r="A6101" s="49"/>
      <c r="C6101" s="400">
        <v>46008.0</v>
      </c>
      <c r="D6101" s="524">
        <v>8248.0</v>
      </c>
      <c r="E6101" s="544" t="s">
        <v>276</v>
      </c>
      <c r="F6101" s="387">
        <v>2.0</v>
      </c>
      <c r="G6101" s="140">
        <v>707000.0</v>
      </c>
      <c r="H6101" s="140">
        <v>7000.0</v>
      </c>
      <c r="I6101" s="74">
        <f t="shared" si="1"/>
        <v>1400000</v>
      </c>
      <c r="J6101" s="74">
        <f>IF(E6101="SERVICE",I6101-(I6101*50%),Vlookup(E6101,DATABASE!C:Q,10,false)*F6101)</f>
        <v>0</v>
      </c>
      <c r="K6101" s="74">
        <f>VLOOKUP(E6101,DATABASE!C:Q,7,false)</f>
        <v>620000</v>
      </c>
      <c r="L6101" s="74">
        <v>607000.0</v>
      </c>
      <c r="M6101" s="74">
        <f t="shared" si="2"/>
        <v>610000</v>
      </c>
      <c r="N6101" s="74">
        <f t="shared" si="3"/>
        <v>180000</v>
      </c>
      <c r="O6101" s="65" t="str">
        <f>VLOOKUP(E6101,DATABASE!C:Q,8,false)</f>
        <v>IBU</v>
      </c>
      <c r="P6101" s="65">
        <f>VLOOKUP(E6101,DATABASE!C:Q,9,False)</f>
        <v>1</v>
      </c>
      <c r="Q6101" s="93" t="str">
        <f>VLOOKUP(E6101,DATABASE!C:Q,4,false)</f>
        <v>Dunlop</v>
      </c>
      <c r="R6101" s="93" t="str">
        <f>VLOOKUP(E6101,DATABASE!C:Q,11,false)</f>
        <v>Tire</v>
      </c>
    </row>
    <row r="6102" ht="22.5" customHeight="1">
      <c r="A6102" s="49"/>
      <c r="C6102" s="400">
        <v>46008.0</v>
      </c>
      <c r="D6102" s="524">
        <v>8249.0</v>
      </c>
      <c r="E6102" s="544" t="s">
        <v>256</v>
      </c>
      <c r="F6102" s="387">
        <v>1.0</v>
      </c>
      <c r="G6102" s="140">
        <v>150000.0</v>
      </c>
      <c r="H6102" s="140">
        <v>20000.0</v>
      </c>
      <c r="I6102" s="74">
        <f t="shared" si="1"/>
        <v>130000</v>
      </c>
      <c r="J6102" s="74">
        <f>IF(E6102="SERVICE",I6102-(I6102*50%),Vlookup(E6102,DATABASE!C:Q,10,false)*F6102)</f>
        <v>10000</v>
      </c>
      <c r="K6102" s="74">
        <f>VLOOKUP(E6102,DATABASE!C:Q,7,false)</f>
        <v>0</v>
      </c>
      <c r="L6102" s="74">
        <v>0.0</v>
      </c>
      <c r="M6102" s="74">
        <f t="shared" si="2"/>
        <v>0</v>
      </c>
      <c r="N6102" s="74">
        <f t="shared" si="3"/>
        <v>120000</v>
      </c>
      <c r="O6102" s="65" t="str">
        <f>VLOOKUP(E6102,DATABASE!C:Q,8,false)</f>
        <v>IBU</v>
      </c>
      <c r="P6102" s="65">
        <f>VLOOKUP(E6102,DATABASE!C:Q,9,False)</f>
        <v>0</v>
      </c>
      <c r="Q6102" s="93" t="str">
        <f>VLOOKUP(E6102,DATABASE!C:Q,4,false)</f>
        <v>SPOORING</v>
      </c>
      <c r="R6102" s="93" t="str">
        <f>VLOOKUP(E6102,DATABASE!C:Q,11,false)</f>
        <v>SERVICE</v>
      </c>
    </row>
    <row r="6103" ht="22.5" customHeight="1">
      <c r="A6103" s="49"/>
      <c r="C6103" s="400">
        <v>46008.0</v>
      </c>
      <c r="D6103" s="524">
        <v>8249.0</v>
      </c>
      <c r="E6103" s="544" t="s">
        <v>251</v>
      </c>
      <c r="F6103" s="387">
        <v>1.0</v>
      </c>
      <c r="G6103" s="140">
        <v>350000.0</v>
      </c>
      <c r="H6103" s="140">
        <v>200000.0</v>
      </c>
      <c r="I6103" s="74">
        <f t="shared" si="1"/>
        <v>150000</v>
      </c>
      <c r="J6103" s="74">
        <f>IF(E6103="SERVICE",I6103-(I6103*50%),Vlookup(E6103,DATABASE!C:Q,10,false)*F6103)</f>
        <v>75000</v>
      </c>
      <c r="K6103" s="74">
        <f>VLOOKUP(E6103,DATABASE!C:Q,7,false)</f>
        <v>0</v>
      </c>
      <c r="L6103" s="74">
        <v>0.0</v>
      </c>
      <c r="M6103" s="74">
        <f t="shared" si="2"/>
        <v>0</v>
      </c>
      <c r="N6103" s="74">
        <f t="shared" si="3"/>
        <v>75000</v>
      </c>
      <c r="O6103" s="65" t="str">
        <f>VLOOKUP(E6103,DATABASE!C:Q,8,false)</f>
        <v>IBU</v>
      </c>
      <c r="P6103" s="65">
        <f>VLOOKUP(E6103,DATABASE!C:Q,9,False)</f>
        <v>0</v>
      </c>
      <c r="Q6103" s="93" t="str">
        <f>VLOOKUP(E6103,DATABASE!C:Q,4,false)</f>
        <v>SERVICE</v>
      </c>
      <c r="R6103" s="93" t="str">
        <f>VLOOKUP(E6103,DATABASE!C:Q,11,false)</f>
        <v>SERVICE</v>
      </c>
    </row>
    <row r="6104" ht="22.5" customHeight="1">
      <c r="A6104" s="49"/>
      <c r="C6104" s="400">
        <v>46008.0</v>
      </c>
      <c r="D6104" s="524">
        <v>8250.0</v>
      </c>
      <c r="E6104" s="544" t="s">
        <v>262</v>
      </c>
      <c r="F6104" s="387">
        <v>1.0</v>
      </c>
      <c r="G6104" s="140">
        <v>110000.0</v>
      </c>
      <c r="H6104" s="74"/>
      <c r="I6104" s="74">
        <f t="shared" si="1"/>
        <v>110000</v>
      </c>
      <c r="J6104" s="74">
        <f>IF(E6104="SERVICE",I6104-(I6104*50%),Vlookup(E6104,DATABASE!C:Q,10,false)*F6104)</f>
        <v>5000</v>
      </c>
      <c r="K6104" s="74">
        <f>VLOOKUP(E6104,DATABASE!C:Q,7,false)</f>
        <v>0</v>
      </c>
      <c r="L6104" s="74">
        <v>0.0</v>
      </c>
      <c r="M6104" s="74">
        <f t="shared" si="2"/>
        <v>0</v>
      </c>
      <c r="N6104" s="74">
        <f t="shared" si="3"/>
        <v>105000</v>
      </c>
      <c r="O6104" s="65" t="str">
        <f>VLOOKUP(E6104,DATABASE!C:Q,8,false)</f>
        <v>IBU</v>
      </c>
      <c r="P6104" s="65">
        <f>VLOOKUP(E6104,DATABASE!C:Q,9,False)</f>
        <v>0</v>
      </c>
      <c r="Q6104" s="93" t="str">
        <f>VLOOKUP(E6104,DATABASE!C:Q,4,false)</f>
        <v>SPOORING SS/CARRY LOS BAK</v>
      </c>
      <c r="R6104" s="93" t="str">
        <f>VLOOKUP(E6104,DATABASE!C:Q,11,false)</f>
        <v>SERVICE</v>
      </c>
    </row>
    <row r="6105" ht="22.5" customHeight="1">
      <c r="A6105" s="49"/>
      <c r="C6105" s="400">
        <v>46008.0</v>
      </c>
      <c r="D6105" s="524">
        <v>8250.0</v>
      </c>
      <c r="E6105" s="544" t="s">
        <v>478</v>
      </c>
      <c r="F6105" s="387">
        <v>1.0</v>
      </c>
      <c r="G6105" s="140">
        <v>200000.0</v>
      </c>
      <c r="H6105" s="74"/>
      <c r="I6105" s="74">
        <f t="shared" si="1"/>
        <v>200000</v>
      </c>
      <c r="J6105" s="74">
        <f>IF(E6105="SERVICE",I6105-(I6105*50%),Vlookup(E6105,DATABASE!C:Q,10,false)*F6105)</f>
        <v>25000</v>
      </c>
      <c r="K6105" s="74">
        <f>VLOOKUP(E6105,DATABASE!C:Q,7,false)</f>
        <v>75000</v>
      </c>
      <c r="L6105" s="74">
        <v>75000.0</v>
      </c>
      <c r="M6105" s="74">
        <f t="shared" si="2"/>
        <v>75000</v>
      </c>
      <c r="N6105" s="74">
        <f t="shared" si="3"/>
        <v>100000</v>
      </c>
      <c r="O6105" s="65" t="str">
        <f>VLOOKUP(E6105,DATABASE!C:Q,8,false)</f>
        <v>BIAN</v>
      </c>
      <c r="P6105" s="65">
        <f>VLOOKUP(E6105,DATABASE!C:Q,9,False)</f>
        <v>0</v>
      </c>
      <c r="Q6105" s="93" t="str">
        <f>VLOOKUP(E6105,DATABASE!C:Q,4,false)</f>
        <v>Baut Camber ss-carry</v>
      </c>
      <c r="R6105" s="93" t="str">
        <f>VLOOKUP(E6105,DATABASE!C:Q,11,false)</f>
        <v>COMPLEMENTARY</v>
      </c>
    </row>
    <row r="6106" ht="22.5" customHeight="1">
      <c r="A6106" s="49"/>
      <c r="C6106" s="400">
        <v>46008.0</v>
      </c>
      <c r="D6106" s="524">
        <v>8251.0</v>
      </c>
      <c r="E6106" s="544" t="s">
        <v>856</v>
      </c>
      <c r="F6106" s="387">
        <v>2.0</v>
      </c>
      <c r="G6106" s="140">
        <v>670000.0</v>
      </c>
      <c r="H6106" s="74"/>
      <c r="I6106" s="74">
        <f t="shared" si="1"/>
        <v>1340000</v>
      </c>
      <c r="J6106" s="74">
        <f>IF(E6106="SERVICE",I6106-(I6106*50%),Vlookup(E6106,DATABASE!C:Q,10,false)*F6106)</f>
        <v>0</v>
      </c>
      <c r="K6106" s="74">
        <f>VLOOKUP(E6106,DATABASE!C:Q,7,false)</f>
        <v>615300</v>
      </c>
      <c r="L6106" s="74">
        <v>581120.0</v>
      </c>
      <c r="M6106" s="74">
        <f t="shared" si="2"/>
        <v>585000</v>
      </c>
      <c r="N6106" s="74">
        <f t="shared" si="3"/>
        <v>170000</v>
      </c>
      <c r="O6106" s="65" t="str">
        <f>VLOOKUP(E6106,DATABASE!C:Q,8,false)</f>
        <v>BIAN</v>
      </c>
      <c r="P6106" s="65">
        <f>VLOOKUP(E6106,DATABASE!C:Q,9,False)</f>
        <v>1</v>
      </c>
      <c r="Q6106" s="93" t="str">
        <f>VLOOKUP(E6106,DATABASE!C:Q,4,false)</f>
        <v>GT</v>
      </c>
      <c r="R6106" s="93" t="str">
        <f>VLOOKUP(E6106,DATABASE!C:Q,11,false)</f>
        <v>Tire</v>
      </c>
    </row>
    <row r="6107" ht="22.5" customHeight="1">
      <c r="A6107" s="49"/>
      <c r="C6107" s="400">
        <v>46008.0</v>
      </c>
      <c r="D6107" s="524">
        <v>8253.0</v>
      </c>
      <c r="E6107" s="544" t="s">
        <v>1429</v>
      </c>
      <c r="F6107" s="387">
        <v>1.0</v>
      </c>
      <c r="G6107" s="140">
        <v>940000.0</v>
      </c>
      <c r="H6107" s="74"/>
      <c r="I6107" s="74">
        <f t="shared" si="1"/>
        <v>940000</v>
      </c>
      <c r="J6107" s="74">
        <f>IF(E6107="SERVICE",I6107-(I6107*50%),Vlookup(E6107,DATABASE!C:Q,10,false)*F6107)</f>
        <v>0</v>
      </c>
      <c r="K6107" s="74">
        <f>VLOOKUP(E6107,DATABASE!C:Q,7,false)</f>
        <v>849000</v>
      </c>
      <c r="L6107" s="74">
        <v>840000.0</v>
      </c>
      <c r="M6107" s="74">
        <f t="shared" si="2"/>
        <v>840000</v>
      </c>
      <c r="N6107" s="74">
        <f t="shared" si="3"/>
        <v>100000</v>
      </c>
      <c r="O6107" s="65" t="str">
        <f>VLOOKUP(E6107,DATABASE!C:Q,8,false)</f>
        <v>IBU</v>
      </c>
      <c r="P6107" s="65">
        <f>VLOOKUP(E6107,DATABASE!C:Q,9,False)</f>
        <v>1</v>
      </c>
      <c r="Q6107" s="93" t="str">
        <f>VLOOKUP(E6107,DATABASE!C:Q,4,false)</f>
        <v>Dunlop</v>
      </c>
      <c r="R6107" s="93" t="str">
        <f>VLOOKUP(E6107,DATABASE!C:Q,11,false)</f>
        <v>Tire</v>
      </c>
    </row>
    <row r="6108" ht="22.5" customHeight="1">
      <c r="A6108" s="49"/>
      <c r="C6108" s="400">
        <v>46008.0</v>
      </c>
      <c r="D6108" s="524">
        <v>8254.0</v>
      </c>
      <c r="E6108" s="544" t="s">
        <v>781</v>
      </c>
      <c r="F6108" s="387">
        <v>2.0</v>
      </c>
      <c r="G6108" s="140">
        <v>530000.0</v>
      </c>
      <c r="H6108" s="140">
        <v>5000.0</v>
      </c>
      <c r="I6108" s="74">
        <f t="shared" si="1"/>
        <v>1050000</v>
      </c>
      <c r="J6108" s="74">
        <f>IF(E6108="SERVICE",I6108-(I6108*50%),Vlookup(E6108,DATABASE!C:Q,10,false)*F6108)</f>
        <v>0</v>
      </c>
      <c r="K6108" s="74">
        <f>VLOOKUP(E6108,DATABASE!C:Q,7,false)</f>
        <v>470000</v>
      </c>
      <c r="L6108" s="74">
        <v>442500.0</v>
      </c>
      <c r="M6108" s="74">
        <f t="shared" si="2"/>
        <v>445000</v>
      </c>
      <c r="N6108" s="74">
        <f t="shared" si="3"/>
        <v>160000</v>
      </c>
      <c r="O6108" s="65" t="str">
        <f>VLOOKUP(E6108,DATABASE!C:Q,8,false)</f>
        <v>BIAN</v>
      </c>
      <c r="P6108" s="65">
        <f>VLOOKUP(E6108,DATABASE!C:Q,9,False)</f>
        <v>1</v>
      </c>
      <c r="Q6108" s="93" t="str">
        <f>VLOOKUP(E6108,DATABASE!C:Q,4,false)</f>
        <v>GT</v>
      </c>
      <c r="R6108" s="93" t="str">
        <f>VLOOKUP(E6108,DATABASE!C:Q,11,false)</f>
        <v>Tire</v>
      </c>
    </row>
    <row r="6109" ht="22.5" customHeight="1">
      <c r="A6109" s="49"/>
      <c r="C6109" s="400">
        <v>46008.0</v>
      </c>
      <c r="D6109" s="524">
        <v>8255.0</v>
      </c>
      <c r="E6109" s="544" t="s">
        <v>268</v>
      </c>
      <c r="F6109" s="387">
        <v>2.0</v>
      </c>
      <c r="G6109" s="140">
        <v>710000.0</v>
      </c>
      <c r="H6109" s="74"/>
      <c r="I6109" s="74">
        <f t="shared" si="1"/>
        <v>1420000</v>
      </c>
      <c r="J6109" s="74">
        <f>IF(E6109="SERVICE",I6109-(I6109*50%),Vlookup(E6109,DATABASE!C:Q,10,false)*F6109)</f>
        <v>0</v>
      </c>
      <c r="K6109" s="74">
        <f>VLOOKUP(E6109,DATABASE!C:Q,7,false)</f>
        <v>653000</v>
      </c>
      <c r="L6109" s="74">
        <v>622000.0</v>
      </c>
      <c r="M6109" s="74">
        <f t="shared" si="2"/>
        <v>625000</v>
      </c>
      <c r="N6109" s="74">
        <f t="shared" si="3"/>
        <v>170000</v>
      </c>
      <c r="O6109" s="65" t="str">
        <f>VLOOKUP(E6109,DATABASE!C:Q,8,false)</f>
        <v>IBU</v>
      </c>
      <c r="P6109" s="65">
        <f>VLOOKUP(E6109,DATABASE!C:Q,9,False)</f>
        <v>1</v>
      </c>
      <c r="Q6109" s="93" t="str">
        <f>VLOOKUP(E6109,DATABASE!C:Q,4,false)</f>
        <v>Dunlop</v>
      </c>
      <c r="R6109" s="93" t="str">
        <f>VLOOKUP(E6109,DATABASE!C:Q,11,false)</f>
        <v>Tire</v>
      </c>
    </row>
    <row r="6110" ht="22.5" customHeight="1">
      <c r="A6110" s="49"/>
      <c r="C6110" s="400">
        <v>46008.0</v>
      </c>
      <c r="D6110" s="524">
        <v>8255.0</v>
      </c>
      <c r="E6110" s="544" t="s">
        <v>256</v>
      </c>
      <c r="F6110" s="387">
        <v>1.0</v>
      </c>
      <c r="G6110" s="140">
        <v>150000.0</v>
      </c>
      <c r="H6110" s="140">
        <v>20000.0</v>
      </c>
      <c r="I6110" s="74">
        <f t="shared" si="1"/>
        <v>130000</v>
      </c>
      <c r="J6110" s="74">
        <f>IF(E6110="SERVICE",I6110-(I6110*50%),Vlookup(E6110,DATABASE!C:Q,10,false)*F6110)</f>
        <v>10000</v>
      </c>
      <c r="K6110" s="74">
        <f>VLOOKUP(E6110,DATABASE!C:Q,7,false)</f>
        <v>0</v>
      </c>
      <c r="L6110" s="74">
        <v>0.0</v>
      </c>
      <c r="M6110" s="74">
        <f t="shared" si="2"/>
        <v>0</v>
      </c>
      <c r="N6110" s="74">
        <f t="shared" si="3"/>
        <v>120000</v>
      </c>
      <c r="O6110" s="65" t="str">
        <f>VLOOKUP(E6110,DATABASE!C:Q,8,false)</f>
        <v>IBU</v>
      </c>
      <c r="P6110" s="65">
        <f>VLOOKUP(E6110,DATABASE!C:Q,9,False)</f>
        <v>0</v>
      </c>
      <c r="Q6110" s="93" t="str">
        <f>VLOOKUP(E6110,DATABASE!C:Q,4,false)</f>
        <v>SPOORING</v>
      </c>
      <c r="R6110" s="93" t="str">
        <f>VLOOKUP(E6110,DATABASE!C:Q,11,false)</f>
        <v>SERVICE</v>
      </c>
    </row>
    <row r="6111" ht="22.5" customHeight="1">
      <c r="A6111" s="49"/>
      <c r="C6111" s="400">
        <v>46008.0</v>
      </c>
      <c r="D6111" s="524">
        <v>8255.0</v>
      </c>
      <c r="E6111" s="544" t="s">
        <v>301</v>
      </c>
      <c r="F6111" s="387">
        <v>1.0</v>
      </c>
      <c r="G6111" s="140">
        <v>250000.0</v>
      </c>
      <c r="H6111" s="74"/>
      <c r="I6111" s="74">
        <f t="shared" si="1"/>
        <v>250000</v>
      </c>
      <c r="J6111" s="74">
        <f>IF(E6111="SERVICE",I6111-(I6111*50%),Vlookup(E6111,DATABASE!C:Q,10,false)*F6111)</f>
        <v>75000</v>
      </c>
      <c r="K6111" s="74">
        <f>VLOOKUP(E6111,DATABASE!C:Q,7,false)</f>
        <v>75000</v>
      </c>
      <c r="L6111" s="74">
        <v>75000.0</v>
      </c>
      <c r="M6111" s="74">
        <f t="shared" si="2"/>
        <v>75000</v>
      </c>
      <c r="N6111" s="74">
        <f t="shared" si="3"/>
        <v>100000</v>
      </c>
      <c r="O6111" s="65" t="str">
        <f>VLOOKUP(E6111,DATABASE!C:Q,8,false)</f>
        <v>BIAN</v>
      </c>
      <c r="P6111" s="65">
        <f>VLOOKUP(E6111,DATABASE!C:Q,9,False)</f>
        <v>0</v>
      </c>
      <c r="Q6111" s="93" t="str">
        <f>VLOOKUP(E6111,DATABASE!C:Q,4,false)</f>
        <v>Baut Camber</v>
      </c>
      <c r="R6111" s="93" t="str">
        <f>VLOOKUP(E6111,DATABASE!C:Q,11,false)</f>
        <v>COMPLEMENTARY</v>
      </c>
    </row>
    <row r="6112" ht="22.5" customHeight="1">
      <c r="A6112" s="49"/>
      <c r="C6112" s="400">
        <v>46008.0</v>
      </c>
      <c r="D6112" s="524">
        <v>8256.0</v>
      </c>
      <c r="E6112" s="544" t="s">
        <v>256</v>
      </c>
      <c r="F6112" s="387">
        <v>1.0</v>
      </c>
      <c r="G6112" s="140">
        <v>150000.0</v>
      </c>
      <c r="H6112" s="140">
        <v>20000.0</v>
      </c>
      <c r="I6112" s="74">
        <f t="shared" si="1"/>
        <v>130000</v>
      </c>
      <c r="J6112" s="74">
        <f>IF(E6112="SERVICE",I6112-(I6112*50%),Vlookup(E6112,DATABASE!C:Q,10,false)*F6112)</f>
        <v>10000</v>
      </c>
      <c r="K6112" s="74">
        <f>VLOOKUP(E6112,DATABASE!C:Q,7,false)</f>
        <v>0</v>
      </c>
      <c r="L6112" s="74">
        <v>0.0</v>
      </c>
      <c r="M6112" s="74">
        <f t="shared" si="2"/>
        <v>0</v>
      </c>
      <c r="N6112" s="74">
        <f t="shared" si="3"/>
        <v>120000</v>
      </c>
      <c r="O6112" s="65" t="str">
        <f>VLOOKUP(E6112,DATABASE!C:Q,8,false)</f>
        <v>IBU</v>
      </c>
      <c r="P6112" s="65">
        <f>VLOOKUP(E6112,DATABASE!C:Q,9,False)</f>
        <v>0</v>
      </c>
      <c r="Q6112" s="93" t="str">
        <f>VLOOKUP(E6112,DATABASE!C:Q,4,false)</f>
        <v>SPOORING</v>
      </c>
      <c r="R6112" s="93" t="str">
        <f>VLOOKUP(E6112,DATABASE!C:Q,11,false)</f>
        <v>SERVICE</v>
      </c>
    </row>
    <row r="6113" ht="22.5" customHeight="1">
      <c r="A6113" s="49"/>
      <c r="C6113" s="400">
        <v>46009.0</v>
      </c>
      <c r="D6113" s="524">
        <v>8258.0</v>
      </c>
      <c r="E6113" s="544" t="s">
        <v>622</v>
      </c>
      <c r="F6113" s="387">
        <v>2.0</v>
      </c>
      <c r="G6113" s="140">
        <v>915000.0</v>
      </c>
      <c r="H6113" s="74"/>
      <c r="I6113" s="74">
        <f t="shared" si="1"/>
        <v>1830000</v>
      </c>
      <c r="J6113" s="74">
        <f>IF(E6113="SERVICE",I6113-(I6113*50%),Vlookup(E6113,DATABASE!C:Q,10,false)*F6113)</f>
        <v>0</v>
      </c>
      <c r="K6113" s="74">
        <f>VLOOKUP(E6113,DATABASE!C:Q,7,false)</f>
        <v>851110.375</v>
      </c>
      <c r="L6113" s="74">
        <v>810342.44</v>
      </c>
      <c r="M6113" s="74">
        <f t="shared" si="2"/>
        <v>815000</v>
      </c>
      <c r="N6113" s="74">
        <f t="shared" si="3"/>
        <v>200000</v>
      </c>
      <c r="O6113" s="65" t="str">
        <f>VLOOKUP(E6113,DATABASE!C:Q,8,false)</f>
        <v>IBU</v>
      </c>
      <c r="P6113" s="65">
        <f>VLOOKUP(E6113,DATABASE!C:Q,9,False)</f>
        <v>1</v>
      </c>
      <c r="Q6113" s="93" t="str">
        <f>VLOOKUP(E6113,DATABASE!C:Q,4,false)</f>
        <v>Bridgestone</v>
      </c>
      <c r="R6113" s="93" t="str">
        <f>VLOOKUP(E6113,DATABASE!C:Q,11,false)</f>
        <v>Tire</v>
      </c>
    </row>
    <row r="6114" ht="22.5" customHeight="1">
      <c r="A6114" s="49"/>
      <c r="C6114" s="400">
        <v>46009.0</v>
      </c>
      <c r="D6114" s="524">
        <v>8259.0</v>
      </c>
      <c r="E6114" s="544" t="s">
        <v>932</v>
      </c>
      <c r="F6114" s="387">
        <v>1.0</v>
      </c>
      <c r="G6114" s="140">
        <v>680000.0</v>
      </c>
      <c r="H6114" s="74"/>
      <c r="I6114" s="74">
        <f t="shared" si="1"/>
        <v>680000</v>
      </c>
      <c r="J6114" s="74">
        <f>IF(E6114="SERVICE",I6114-(I6114*50%),Vlookup(E6114,DATABASE!C:Q,10,false)*F6114)</f>
        <v>0</v>
      </c>
      <c r="K6114" s="74">
        <f>VLOOKUP(E6114,DATABASE!C:Q,7,false)</f>
        <v>601000</v>
      </c>
      <c r="L6114" s="74">
        <v>595000.0</v>
      </c>
      <c r="M6114" s="74">
        <f t="shared" si="2"/>
        <v>595000</v>
      </c>
      <c r="N6114" s="74">
        <f t="shared" si="3"/>
        <v>85000</v>
      </c>
      <c r="O6114" s="65" t="str">
        <f>VLOOKUP(E6114,DATABASE!C:Q,8,false)</f>
        <v>IBU</v>
      </c>
      <c r="P6114" s="65">
        <f>VLOOKUP(E6114,DATABASE!C:Q,9,False)</f>
        <v>1</v>
      </c>
      <c r="Q6114" s="93" t="str">
        <f>VLOOKUP(E6114,DATABASE!C:Q,4,false)</f>
        <v>Dunlop</v>
      </c>
      <c r="R6114" s="93" t="str">
        <f>VLOOKUP(E6114,DATABASE!C:Q,11,false)</f>
        <v>Tire</v>
      </c>
    </row>
    <row r="6115" ht="22.5" customHeight="1">
      <c r="A6115" s="49"/>
      <c r="C6115" s="400">
        <v>46009.0</v>
      </c>
      <c r="D6115" s="524">
        <v>8259.0</v>
      </c>
      <c r="E6115" s="544" t="s">
        <v>299</v>
      </c>
      <c r="F6115" s="387">
        <v>1.0</v>
      </c>
      <c r="G6115" s="140">
        <v>30000.0</v>
      </c>
      <c r="H6115" s="74"/>
      <c r="I6115" s="74">
        <f t="shared" si="1"/>
        <v>30000</v>
      </c>
      <c r="J6115" s="74">
        <f>IF(E6115="SERVICE",I6115-(I6115*50%),Vlookup(E6115,DATABASE!C:Q,10,false)*F6115)</f>
        <v>0</v>
      </c>
      <c r="K6115" s="74">
        <f>VLOOKUP(E6115,DATABASE!C:Q,7,false)</f>
        <v>10000</v>
      </c>
      <c r="L6115" s="74">
        <v>5000.0</v>
      </c>
      <c r="M6115" s="74">
        <f t="shared" si="2"/>
        <v>5000</v>
      </c>
      <c r="N6115" s="74">
        <f t="shared" si="3"/>
        <v>25000</v>
      </c>
      <c r="O6115" s="65" t="str">
        <f>VLOOKUP(E6115,DATABASE!C:Q,8,false)</f>
        <v>BIAN</v>
      </c>
      <c r="P6115" s="65">
        <f>VLOOKUP(E6115,DATABASE!C:Q,9,False)</f>
        <v>0</v>
      </c>
      <c r="Q6115" s="93" t="str">
        <f>VLOOKUP(E6115,DATABASE!C:Q,4,false)</f>
        <v>Balancing</v>
      </c>
      <c r="R6115" s="93" t="str">
        <f>VLOOKUP(E6115,DATABASE!C:Q,11,false)</f>
        <v>COMPLEMENTARY</v>
      </c>
    </row>
    <row r="6116" ht="22.5" customHeight="1">
      <c r="A6116" s="49"/>
      <c r="C6116" s="400">
        <v>46009.0</v>
      </c>
      <c r="D6116" s="524">
        <v>8260.0</v>
      </c>
      <c r="E6116" s="544" t="s">
        <v>554</v>
      </c>
      <c r="F6116" s="387">
        <v>1.0</v>
      </c>
      <c r="G6116" s="140">
        <v>800000.0</v>
      </c>
      <c r="H6116" s="140">
        <v>30000.0</v>
      </c>
      <c r="I6116" s="74">
        <f t="shared" si="1"/>
        <v>770000</v>
      </c>
      <c r="J6116" s="74">
        <f>IF(E6116="SERVICE",I6116-(I6116*50%),Vlookup(E6116,DATABASE!C:Q,10,false)*F6116)</f>
        <v>0</v>
      </c>
      <c r="K6116" s="74">
        <f>VLOOKUP(E6116,DATABASE!C:Q,7,false)</f>
        <v>710000</v>
      </c>
      <c r="L6116" s="74">
        <v>680000.0</v>
      </c>
      <c r="M6116" s="74">
        <f t="shared" si="2"/>
        <v>680000</v>
      </c>
      <c r="N6116" s="74">
        <f t="shared" si="3"/>
        <v>90000</v>
      </c>
      <c r="O6116" s="65" t="str">
        <f>VLOOKUP(E6116,DATABASE!C:Q,8,false)</f>
        <v>IBU</v>
      </c>
      <c r="P6116" s="65">
        <f>VLOOKUP(E6116,DATABASE!C:Q,9,False)</f>
        <v>1</v>
      </c>
      <c r="Q6116" s="93" t="str">
        <f>VLOOKUP(E6116,DATABASE!C:Q,4,false)</f>
        <v>Bridgestone</v>
      </c>
      <c r="R6116" s="93" t="str">
        <f>VLOOKUP(E6116,DATABASE!C:Q,11,false)</f>
        <v>Tire</v>
      </c>
    </row>
    <row r="6117" ht="22.5" customHeight="1">
      <c r="A6117" s="49"/>
      <c r="C6117" s="400">
        <v>46009.0</v>
      </c>
      <c r="D6117" s="524">
        <v>8261.0</v>
      </c>
      <c r="E6117" s="544" t="s">
        <v>256</v>
      </c>
      <c r="F6117" s="387">
        <v>1.0</v>
      </c>
      <c r="G6117" s="140">
        <v>150000.0</v>
      </c>
      <c r="H6117" s="140">
        <v>20000.0</v>
      </c>
      <c r="I6117" s="74">
        <f t="shared" si="1"/>
        <v>130000</v>
      </c>
      <c r="J6117" s="74">
        <f>IF(E6117="SERVICE",I6117-(I6117*50%),Vlookup(E6117,DATABASE!C:Q,10,false)*F6117)</f>
        <v>10000</v>
      </c>
      <c r="K6117" s="74">
        <f>VLOOKUP(E6117,DATABASE!C:Q,7,false)</f>
        <v>0</v>
      </c>
      <c r="L6117" s="74">
        <v>0.0</v>
      </c>
      <c r="M6117" s="74">
        <f t="shared" si="2"/>
        <v>0</v>
      </c>
      <c r="N6117" s="74">
        <f t="shared" si="3"/>
        <v>120000</v>
      </c>
      <c r="O6117" s="65" t="str">
        <f>VLOOKUP(E6117,DATABASE!C:Q,8,false)</f>
        <v>IBU</v>
      </c>
      <c r="P6117" s="65">
        <f>VLOOKUP(E6117,DATABASE!C:Q,9,False)</f>
        <v>0</v>
      </c>
      <c r="Q6117" s="93" t="str">
        <f>VLOOKUP(E6117,DATABASE!C:Q,4,false)</f>
        <v>SPOORING</v>
      </c>
      <c r="R6117" s="93" t="str">
        <f>VLOOKUP(E6117,DATABASE!C:Q,11,false)</f>
        <v>SERVICE</v>
      </c>
    </row>
    <row r="6118" ht="22.5" customHeight="1">
      <c r="A6118" s="49"/>
      <c r="C6118" s="400">
        <v>46009.0</v>
      </c>
      <c r="D6118" s="524">
        <v>8261.0</v>
      </c>
      <c r="E6118" s="544" t="s">
        <v>251</v>
      </c>
      <c r="F6118" s="387">
        <v>1.0</v>
      </c>
      <c r="G6118" s="140">
        <v>350000.0</v>
      </c>
      <c r="H6118" s="140">
        <v>200000.0</v>
      </c>
      <c r="I6118" s="74">
        <f t="shared" si="1"/>
        <v>150000</v>
      </c>
      <c r="J6118" s="74">
        <f>IF(E6118="SERVICE",I6118-(I6118*50%),Vlookup(E6118,DATABASE!C:Q,10,false)*F6118)</f>
        <v>75000</v>
      </c>
      <c r="K6118" s="74">
        <f>VLOOKUP(E6118,DATABASE!C:Q,7,false)</f>
        <v>0</v>
      </c>
      <c r="L6118" s="74">
        <v>0.0</v>
      </c>
      <c r="M6118" s="74">
        <f t="shared" si="2"/>
        <v>0</v>
      </c>
      <c r="N6118" s="74">
        <f t="shared" si="3"/>
        <v>75000</v>
      </c>
      <c r="O6118" s="65" t="str">
        <f>VLOOKUP(E6118,DATABASE!C:Q,8,false)</f>
        <v>IBU</v>
      </c>
      <c r="P6118" s="65">
        <f>VLOOKUP(E6118,DATABASE!C:Q,9,False)</f>
        <v>0</v>
      </c>
      <c r="Q6118" s="93" t="str">
        <f>VLOOKUP(E6118,DATABASE!C:Q,4,false)</f>
        <v>SERVICE</v>
      </c>
      <c r="R6118" s="93" t="str">
        <f>VLOOKUP(E6118,DATABASE!C:Q,11,false)</f>
        <v>SERVICE</v>
      </c>
    </row>
    <row r="6119" ht="22.5" customHeight="1">
      <c r="A6119" s="49"/>
      <c r="C6119" s="400">
        <v>46009.0</v>
      </c>
      <c r="D6119" s="524">
        <v>8262.0</v>
      </c>
      <c r="E6119" s="544" t="s">
        <v>275</v>
      </c>
      <c r="F6119" s="387">
        <v>1.0</v>
      </c>
      <c r="G6119" s="140">
        <v>830000.0</v>
      </c>
      <c r="H6119" s="74"/>
      <c r="I6119" s="74">
        <f t="shared" si="1"/>
        <v>830000</v>
      </c>
      <c r="J6119" s="74">
        <f>IF(E6119="SERVICE",I6119-(I6119*50%),Vlookup(E6119,DATABASE!C:Q,10,false)*F6119)</f>
        <v>0</v>
      </c>
      <c r="K6119" s="74">
        <f>VLOOKUP(E6119,DATABASE!C:Q,7,false)</f>
        <v>782000</v>
      </c>
      <c r="L6119" s="74">
        <v>745000.0</v>
      </c>
      <c r="M6119" s="74">
        <f t="shared" si="2"/>
        <v>745000</v>
      </c>
      <c r="N6119" s="74">
        <f t="shared" si="3"/>
        <v>85000</v>
      </c>
      <c r="O6119" s="65" t="str">
        <f>VLOOKUP(E6119,DATABASE!C:Q,8,false)</f>
        <v>IBU</v>
      </c>
      <c r="P6119" s="65">
        <f>VLOOKUP(E6119,DATABASE!C:Q,9,False)</f>
        <v>1</v>
      </c>
      <c r="Q6119" s="93" t="str">
        <f>VLOOKUP(E6119,DATABASE!C:Q,4,false)</f>
        <v>Dunlop</v>
      </c>
      <c r="R6119" s="93" t="str">
        <f>VLOOKUP(E6119,DATABASE!C:Q,11,false)</f>
        <v>Tire</v>
      </c>
    </row>
    <row r="6120" ht="22.5" customHeight="1">
      <c r="A6120" s="49"/>
      <c r="C6120" s="400">
        <v>46009.0</v>
      </c>
      <c r="D6120" s="524">
        <v>8263.0</v>
      </c>
      <c r="E6120" s="544" t="s">
        <v>265</v>
      </c>
      <c r="F6120" s="387">
        <v>1.0</v>
      </c>
      <c r="G6120" s="140">
        <v>685000.0</v>
      </c>
      <c r="H6120" s="74"/>
      <c r="I6120" s="74">
        <f t="shared" si="1"/>
        <v>685000</v>
      </c>
      <c r="J6120" s="74">
        <f>IF(E6120="SERVICE",I6120-(I6120*50%),Vlookup(E6120,DATABASE!C:Q,10,false)*F6120)</f>
        <v>0</v>
      </c>
      <c r="K6120" s="74">
        <f>VLOOKUP(E6120,DATABASE!C:Q,7,false)</f>
        <v>628000</v>
      </c>
      <c r="L6120" s="74">
        <v>600000.0</v>
      </c>
      <c r="M6120" s="74">
        <f t="shared" si="2"/>
        <v>600000</v>
      </c>
      <c r="N6120" s="74">
        <f t="shared" si="3"/>
        <v>85000</v>
      </c>
      <c r="O6120" s="65" t="str">
        <f>VLOOKUP(E6120,DATABASE!C:Q,8,false)</f>
        <v>IBU</v>
      </c>
      <c r="P6120" s="65">
        <f>VLOOKUP(E6120,DATABASE!C:Q,9,False)</f>
        <v>1</v>
      </c>
      <c r="Q6120" s="93" t="str">
        <f>VLOOKUP(E6120,DATABASE!C:Q,4,false)</f>
        <v>Dunlop</v>
      </c>
      <c r="R6120" s="93" t="str">
        <f>VLOOKUP(E6120,DATABASE!C:Q,11,false)</f>
        <v>Tire</v>
      </c>
    </row>
    <row r="6121" ht="22.5" customHeight="1">
      <c r="A6121" s="49"/>
      <c r="C6121" s="400">
        <v>46009.0</v>
      </c>
      <c r="D6121" s="524">
        <v>8264.0</v>
      </c>
      <c r="E6121" s="544" t="s">
        <v>1821</v>
      </c>
      <c r="F6121" s="387">
        <v>2.0</v>
      </c>
      <c r="G6121" s="140">
        <v>820000.0</v>
      </c>
      <c r="H6121" s="74"/>
      <c r="I6121" s="74">
        <f t="shared" si="1"/>
        <v>1640000</v>
      </c>
      <c r="J6121" s="74">
        <f>IF(E6121="SERVICE",I6121-(I6121*50%),Vlookup(E6121,DATABASE!C:Q,10,false)*F6121)</f>
        <v>0</v>
      </c>
      <c r="K6121" s="74">
        <f>VLOOKUP(E6121,DATABASE!C:Q,7,false)</f>
        <v>600000</v>
      </c>
      <c r="L6121" s="74">
        <v>760000.0</v>
      </c>
      <c r="M6121" s="74">
        <f t="shared" si="2"/>
        <v>760000</v>
      </c>
      <c r="N6121" s="74">
        <f t="shared" si="3"/>
        <v>120000</v>
      </c>
      <c r="O6121" s="65" t="str">
        <f>VLOOKUP(E6121,DATABASE!C:Q,8,false)</f>
        <v>BIAN</v>
      </c>
      <c r="P6121" s="65">
        <f>VLOOKUP(E6121,DATABASE!C:Q,9,False)</f>
        <v>1</v>
      </c>
      <c r="Q6121" s="93" t="str">
        <f>VLOOKUP(E6121,DATABASE!C:Q,4,false)</f>
        <v>G. YEAR</v>
      </c>
      <c r="R6121" s="93" t="str">
        <f>VLOOKUP(E6121,DATABASE!C:Q,11,false)</f>
        <v>Tire</v>
      </c>
    </row>
    <row r="6122" ht="22.5" customHeight="1">
      <c r="A6122" s="49"/>
      <c r="C6122" s="400">
        <v>46009.0</v>
      </c>
      <c r="D6122" s="524">
        <v>8265.0</v>
      </c>
      <c r="E6122" s="544" t="s">
        <v>1065</v>
      </c>
      <c r="F6122" s="387">
        <v>2.0</v>
      </c>
      <c r="G6122" s="140">
        <v>885000.0</v>
      </c>
      <c r="H6122" s="140">
        <v>5000.0</v>
      </c>
      <c r="I6122" s="74">
        <f t="shared" si="1"/>
        <v>1760000</v>
      </c>
      <c r="J6122" s="74">
        <f>IF(E6122="SERVICE",I6122-(I6122*50%),Vlookup(E6122,DATABASE!C:Q,10,false)*F6122)</f>
        <v>0</v>
      </c>
      <c r="K6122" s="74">
        <f>VLOOKUP(E6122,DATABASE!C:Q,7,false)</f>
        <v>784000</v>
      </c>
      <c r="L6122" s="74">
        <v>784000.0</v>
      </c>
      <c r="M6122" s="74">
        <f t="shared" si="2"/>
        <v>785000</v>
      </c>
      <c r="N6122" s="74">
        <f t="shared" si="3"/>
        <v>190000</v>
      </c>
      <c r="O6122" s="65" t="str">
        <f>VLOOKUP(E6122,DATABASE!C:Q,8,false)</f>
        <v>IBU</v>
      </c>
      <c r="P6122" s="65">
        <f>VLOOKUP(E6122,DATABASE!C:Q,9,False)</f>
        <v>1</v>
      </c>
      <c r="Q6122" s="93" t="str">
        <f>VLOOKUP(E6122,DATABASE!C:Q,4,false)</f>
        <v>Bridgestone</v>
      </c>
      <c r="R6122" s="93" t="str">
        <f>VLOOKUP(E6122,DATABASE!C:Q,11,false)</f>
        <v>Tire</v>
      </c>
    </row>
    <row r="6123" ht="22.5" customHeight="1">
      <c r="A6123" s="49"/>
      <c r="C6123" s="400">
        <v>46009.0</v>
      </c>
      <c r="D6123" s="524">
        <v>8266.0</v>
      </c>
      <c r="E6123" s="544" t="s">
        <v>268</v>
      </c>
      <c r="F6123" s="387">
        <v>4.0</v>
      </c>
      <c r="G6123" s="140">
        <v>710000.0</v>
      </c>
      <c r="H6123" s="74"/>
      <c r="I6123" s="74">
        <f t="shared" si="1"/>
        <v>2840000</v>
      </c>
      <c r="J6123" s="74">
        <f>IF(E6123="SERVICE",I6123-(I6123*50%),Vlookup(E6123,DATABASE!C:Q,10,false)*F6123)</f>
        <v>0</v>
      </c>
      <c r="K6123" s="74">
        <f>VLOOKUP(E6123,DATABASE!C:Q,7,false)</f>
        <v>653000</v>
      </c>
      <c r="L6123" s="74">
        <v>622000.0</v>
      </c>
      <c r="M6123" s="74">
        <f t="shared" si="2"/>
        <v>625000</v>
      </c>
      <c r="N6123" s="74">
        <f t="shared" si="3"/>
        <v>340000</v>
      </c>
      <c r="O6123" s="65" t="str">
        <f>VLOOKUP(E6123,DATABASE!C:Q,8,false)</f>
        <v>IBU</v>
      </c>
      <c r="P6123" s="65">
        <f>VLOOKUP(E6123,DATABASE!C:Q,9,False)</f>
        <v>1</v>
      </c>
      <c r="Q6123" s="93" t="str">
        <f>VLOOKUP(E6123,DATABASE!C:Q,4,false)</f>
        <v>Dunlop</v>
      </c>
      <c r="R6123" s="93" t="str">
        <f>VLOOKUP(E6123,DATABASE!C:Q,11,false)</f>
        <v>Tire</v>
      </c>
    </row>
    <row r="6124" ht="22.5" customHeight="1">
      <c r="A6124" s="49"/>
      <c r="C6124" s="400">
        <v>46009.0</v>
      </c>
      <c r="D6124" s="524">
        <v>8266.0</v>
      </c>
      <c r="E6124" s="544" t="s">
        <v>299</v>
      </c>
      <c r="F6124" s="387">
        <v>2.0</v>
      </c>
      <c r="G6124" s="140">
        <v>30000.0</v>
      </c>
      <c r="H6124" s="74"/>
      <c r="I6124" s="74">
        <f t="shared" si="1"/>
        <v>60000</v>
      </c>
      <c r="J6124" s="74">
        <f>IF(E6124="SERVICE",I6124-(I6124*50%),Vlookup(E6124,DATABASE!C:Q,10,false)*F6124)</f>
        <v>0</v>
      </c>
      <c r="K6124" s="74">
        <f>VLOOKUP(E6124,DATABASE!C:Q,7,false)</f>
        <v>10000</v>
      </c>
      <c r="L6124" s="74">
        <v>5000.0</v>
      </c>
      <c r="M6124" s="74">
        <f t="shared" si="2"/>
        <v>5000</v>
      </c>
      <c r="N6124" s="74">
        <f t="shared" si="3"/>
        <v>50000</v>
      </c>
      <c r="O6124" s="65" t="str">
        <f>VLOOKUP(E6124,DATABASE!C:Q,8,false)</f>
        <v>BIAN</v>
      </c>
      <c r="P6124" s="65">
        <f>VLOOKUP(E6124,DATABASE!C:Q,9,False)</f>
        <v>0</v>
      </c>
      <c r="Q6124" s="93" t="str">
        <f>VLOOKUP(E6124,DATABASE!C:Q,4,false)</f>
        <v>Balancing</v>
      </c>
      <c r="R6124" s="93" t="str">
        <f>VLOOKUP(E6124,DATABASE!C:Q,11,false)</f>
        <v>COMPLEMENTARY</v>
      </c>
    </row>
    <row r="6125" ht="22.5" customHeight="1">
      <c r="A6125" s="49"/>
      <c r="C6125" s="400">
        <v>46009.0</v>
      </c>
      <c r="D6125" s="524">
        <v>8267.0</v>
      </c>
      <c r="E6125" s="544" t="s">
        <v>2652</v>
      </c>
      <c r="F6125" s="387">
        <v>1.0</v>
      </c>
      <c r="G6125" s="140">
        <v>300000.0</v>
      </c>
      <c r="H6125" s="74"/>
      <c r="I6125" s="74">
        <f t="shared" si="1"/>
        <v>300000</v>
      </c>
      <c r="J6125" s="74">
        <f>IF(E6125="SERVICE",I6125-(I6125*50%),Vlookup(E6125,DATABASE!C:Q,10,false)*F6125)</f>
        <v>75000</v>
      </c>
      <c r="K6125" s="74">
        <f>VLOOKUP(E6125,DATABASE!C:Q,7,false)</f>
        <v>150000</v>
      </c>
      <c r="L6125" s="74">
        <v>150000.0</v>
      </c>
      <c r="M6125" s="74">
        <f t="shared" si="2"/>
        <v>150000</v>
      </c>
      <c r="N6125" s="74">
        <f t="shared" si="3"/>
        <v>75000</v>
      </c>
      <c r="O6125" s="65" t="str">
        <f>VLOOKUP(E6125,DATABASE!C:Q,8,false)</f>
        <v>BIAN</v>
      </c>
      <c r="P6125" s="65">
        <f>VLOOKUP(E6125,DATABASE!C:Q,9,False)</f>
        <v>0</v>
      </c>
      <c r="Q6125" s="93" t="str">
        <f>VLOOKUP(E6125,DATABASE!C:Q,4,false)</f>
        <v>Karet Support + Pasang</v>
      </c>
      <c r="R6125" s="93" t="str">
        <f>VLOOKUP(E6125,DATABASE!C:Q,11,false)</f>
        <v>COMPLEMENTARY</v>
      </c>
    </row>
    <row r="6126" ht="22.5" customHeight="1">
      <c r="A6126" s="49"/>
      <c r="C6126" s="400">
        <v>46009.0</v>
      </c>
      <c r="D6126" s="524">
        <v>8267.0</v>
      </c>
      <c r="E6126" s="544" t="s">
        <v>256</v>
      </c>
      <c r="F6126" s="387">
        <v>1.0</v>
      </c>
      <c r="G6126" s="140">
        <v>150000.0</v>
      </c>
      <c r="H6126" s="140">
        <v>20000.0</v>
      </c>
      <c r="I6126" s="74">
        <f t="shared" si="1"/>
        <v>130000</v>
      </c>
      <c r="J6126" s="74">
        <f>IF(E6126="SERVICE",I6126-(I6126*50%),Vlookup(E6126,DATABASE!C:Q,10,false)*F6126)</f>
        <v>10000</v>
      </c>
      <c r="K6126" s="74">
        <f>VLOOKUP(E6126,DATABASE!C:Q,7,false)</f>
        <v>0</v>
      </c>
      <c r="L6126" s="74">
        <v>0.0</v>
      </c>
      <c r="M6126" s="74">
        <f t="shared" si="2"/>
        <v>0</v>
      </c>
      <c r="N6126" s="74">
        <f t="shared" si="3"/>
        <v>120000</v>
      </c>
      <c r="O6126" s="65" t="str">
        <f>VLOOKUP(E6126,DATABASE!C:Q,8,false)</f>
        <v>IBU</v>
      </c>
      <c r="P6126" s="65">
        <f>VLOOKUP(E6126,DATABASE!C:Q,9,False)</f>
        <v>0</v>
      </c>
      <c r="Q6126" s="93" t="str">
        <f>VLOOKUP(E6126,DATABASE!C:Q,4,false)</f>
        <v>SPOORING</v>
      </c>
      <c r="R6126" s="93" t="str">
        <f>VLOOKUP(E6126,DATABASE!C:Q,11,false)</f>
        <v>SERVICE</v>
      </c>
    </row>
    <row r="6127" ht="22.5" customHeight="1">
      <c r="A6127" s="49"/>
      <c r="C6127" s="400">
        <v>46009.0</v>
      </c>
      <c r="D6127" s="524">
        <v>8268.0</v>
      </c>
      <c r="E6127" s="544" t="s">
        <v>301</v>
      </c>
      <c r="F6127" s="387">
        <v>1.0</v>
      </c>
      <c r="G6127" s="140">
        <v>250000.0</v>
      </c>
      <c r="H6127" s="74"/>
      <c r="I6127" s="74">
        <f t="shared" si="1"/>
        <v>250000</v>
      </c>
      <c r="J6127" s="74">
        <f>IF(E6127="SERVICE",I6127-(I6127*50%),Vlookup(E6127,DATABASE!C:Q,10,false)*F6127)</f>
        <v>75000</v>
      </c>
      <c r="K6127" s="74">
        <f>VLOOKUP(E6127,DATABASE!C:Q,7,false)</f>
        <v>75000</v>
      </c>
      <c r="L6127" s="74">
        <v>75000.0</v>
      </c>
      <c r="M6127" s="74">
        <f t="shared" si="2"/>
        <v>75000</v>
      </c>
      <c r="N6127" s="74">
        <f t="shared" si="3"/>
        <v>100000</v>
      </c>
      <c r="O6127" s="65" t="str">
        <f>VLOOKUP(E6127,DATABASE!C:Q,8,false)</f>
        <v>BIAN</v>
      </c>
      <c r="P6127" s="65">
        <f>VLOOKUP(E6127,DATABASE!C:Q,9,False)</f>
        <v>0</v>
      </c>
      <c r="Q6127" s="93" t="str">
        <f>VLOOKUP(E6127,DATABASE!C:Q,4,false)</f>
        <v>Baut Camber</v>
      </c>
      <c r="R6127" s="93" t="str">
        <f>VLOOKUP(E6127,DATABASE!C:Q,11,false)</f>
        <v>COMPLEMENTARY</v>
      </c>
    </row>
    <row r="6128" ht="22.5" customHeight="1">
      <c r="A6128" s="49"/>
      <c r="C6128" s="400">
        <v>46009.0</v>
      </c>
      <c r="D6128" s="524">
        <v>8269.0</v>
      </c>
      <c r="E6128" s="544" t="s">
        <v>256</v>
      </c>
      <c r="F6128" s="387">
        <v>1.0</v>
      </c>
      <c r="G6128" s="140">
        <v>150000.0</v>
      </c>
      <c r="H6128" s="140">
        <v>20000.0</v>
      </c>
      <c r="I6128" s="74">
        <f t="shared" si="1"/>
        <v>130000</v>
      </c>
      <c r="J6128" s="74">
        <f>IF(E6128="SERVICE",I6128-(I6128*50%),Vlookup(E6128,DATABASE!C:Q,10,false)*F6128)</f>
        <v>10000</v>
      </c>
      <c r="K6128" s="74">
        <f>VLOOKUP(E6128,DATABASE!C:Q,7,false)</f>
        <v>0</v>
      </c>
      <c r="L6128" s="74">
        <v>0.0</v>
      </c>
      <c r="M6128" s="74">
        <f t="shared" si="2"/>
        <v>0</v>
      </c>
      <c r="N6128" s="74">
        <f t="shared" si="3"/>
        <v>120000</v>
      </c>
      <c r="O6128" s="65" t="str">
        <f>VLOOKUP(E6128,DATABASE!C:Q,8,false)</f>
        <v>IBU</v>
      </c>
      <c r="P6128" s="65">
        <f>VLOOKUP(E6128,DATABASE!C:Q,9,False)</f>
        <v>0</v>
      </c>
      <c r="Q6128" s="93" t="str">
        <f>VLOOKUP(E6128,DATABASE!C:Q,4,false)</f>
        <v>SPOORING</v>
      </c>
      <c r="R6128" s="93" t="str">
        <f>VLOOKUP(E6128,DATABASE!C:Q,11,false)</f>
        <v>SERVICE</v>
      </c>
    </row>
    <row r="6129" ht="22.5" customHeight="1">
      <c r="A6129" s="49"/>
      <c r="C6129" s="400">
        <v>46009.0</v>
      </c>
      <c r="D6129" s="524">
        <v>8269.0</v>
      </c>
      <c r="E6129" s="544" t="s">
        <v>299</v>
      </c>
      <c r="F6129" s="387">
        <v>2.0</v>
      </c>
      <c r="G6129" s="140">
        <v>30000.0</v>
      </c>
      <c r="H6129" s="74"/>
      <c r="I6129" s="74">
        <f t="shared" si="1"/>
        <v>60000</v>
      </c>
      <c r="J6129" s="74">
        <f>IF(E6129="SERVICE",I6129-(I6129*50%),Vlookup(E6129,DATABASE!C:Q,10,false)*F6129)</f>
        <v>0</v>
      </c>
      <c r="K6129" s="74">
        <f>VLOOKUP(E6129,DATABASE!C:Q,7,false)</f>
        <v>10000</v>
      </c>
      <c r="L6129" s="74">
        <v>5000.0</v>
      </c>
      <c r="M6129" s="74">
        <f t="shared" si="2"/>
        <v>5000</v>
      </c>
      <c r="N6129" s="74">
        <f t="shared" si="3"/>
        <v>50000</v>
      </c>
      <c r="O6129" s="65" t="str">
        <f>VLOOKUP(E6129,DATABASE!C:Q,8,false)</f>
        <v>BIAN</v>
      </c>
      <c r="P6129" s="65">
        <f>VLOOKUP(E6129,DATABASE!C:Q,9,False)</f>
        <v>0</v>
      </c>
      <c r="Q6129" s="93" t="str">
        <f>VLOOKUP(E6129,DATABASE!C:Q,4,false)</f>
        <v>Balancing</v>
      </c>
      <c r="R6129" s="93" t="str">
        <f>VLOOKUP(E6129,DATABASE!C:Q,11,false)</f>
        <v>COMPLEMENTARY</v>
      </c>
    </row>
    <row r="6130" ht="22.5" customHeight="1">
      <c r="A6130" s="49"/>
      <c r="C6130" s="400">
        <v>46009.0</v>
      </c>
      <c r="D6130" s="524">
        <v>8269.0</v>
      </c>
      <c r="E6130" s="544" t="s">
        <v>251</v>
      </c>
      <c r="F6130" s="387">
        <v>1.0</v>
      </c>
      <c r="G6130" s="140">
        <v>350000.0</v>
      </c>
      <c r="H6130" s="140">
        <v>200000.0</v>
      </c>
      <c r="I6130" s="74">
        <f t="shared" si="1"/>
        <v>150000</v>
      </c>
      <c r="J6130" s="74">
        <f>IF(E6130="SERVICE",I6130-(I6130*50%),Vlookup(E6130,DATABASE!C:Q,10,false)*F6130)</f>
        <v>75000</v>
      </c>
      <c r="K6130" s="74">
        <f>VLOOKUP(E6130,DATABASE!C:Q,7,false)</f>
        <v>0</v>
      </c>
      <c r="L6130" s="74">
        <v>0.0</v>
      </c>
      <c r="M6130" s="74">
        <f t="shared" si="2"/>
        <v>0</v>
      </c>
      <c r="N6130" s="74">
        <f t="shared" si="3"/>
        <v>75000</v>
      </c>
      <c r="O6130" s="65" t="str">
        <f>VLOOKUP(E6130,DATABASE!C:Q,8,false)</f>
        <v>IBU</v>
      </c>
      <c r="P6130" s="65">
        <f>VLOOKUP(E6130,DATABASE!C:Q,9,False)</f>
        <v>0</v>
      </c>
      <c r="Q6130" s="93" t="str">
        <f>VLOOKUP(E6130,DATABASE!C:Q,4,false)</f>
        <v>SERVICE</v>
      </c>
      <c r="R6130" s="93" t="str">
        <f>VLOOKUP(E6130,DATABASE!C:Q,11,false)</f>
        <v>SERVICE</v>
      </c>
    </row>
    <row r="6131" ht="22.5" customHeight="1">
      <c r="A6131" s="49"/>
      <c r="C6131" s="400">
        <v>46009.0</v>
      </c>
      <c r="D6131" s="69" t="s">
        <v>2664</v>
      </c>
      <c r="E6131" s="544" t="s">
        <v>252</v>
      </c>
      <c r="F6131" s="387">
        <v>1.0</v>
      </c>
      <c r="G6131" s="140">
        <v>300000.0</v>
      </c>
      <c r="H6131" s="74"/>
      <c r="I6131" s="74">
        <f t="shared" si="1"/>
        <v>300000</v>
      </c>
      <c r="J6131" s="74">
        <f>IF(E6131="SERVICE",I6131-(I6131*50%),Vlookup(E6131,DATABASE!C:Q,10,false)*F6131)</f>
        <v>0</v>
      </c>
      <c r="K6131" s="74">
        <f>VLOOKUP(E6131,DATABASE!C:Q,7,false)</f>
        <v>317518</v>
      </c>
      <c r="L6131" s="74">
        <v>271778.0</v>
      </c>
      <c r="M6131" s="74">
        <f t="shared" si="2"/>
        <v>275000</v>
      </c>
      <c r="N6131" s="74">
        <f t="shared" si="3"/>
        <v>25000</v>
      </c>
      <c r="O6131" s="65" t="str">
        <f>VLOOKUP(E6131,DATABASE!C:Q,8,false)</f>
        <v>NON</v>
      </c>
      <c r="P6131" s="65">
        <f>VLOOKUP(E6131,DATABASE!C:Q,9,False)</f>
        <v>0</v>
      </c>
      <c r="Q6131" s="93" t="str">
        <f>VLOOKUP(E6131,DATABASE!C:Q,4,false)</f>
        <v>Shell</v>
      </c>
      <c r="R6131" s="93" t="str">
        <f>VLOOKUP(E6131,DATABASE!C:Q,11,false)</f>
        <v>OIL</v>
      </c>
    </row>
    <row r="6132" ht="22.5" customHeight="1">
      <c r="A6132" s="49"/>
      <c r="C6132" s="400">
        <v>46010.0</v>
      </c>
      <c r="D6132" s="524">
        <v>8270.0</v>
      </c>
      <c r="E6132" s="544" t="s">
        <v>1507</v>
      </c>
      <c r="F6132" s="387">
        <v>1.0</v>
      </c>
      <c r="G6132" s="140">
        <v>738500.0</v>
      </c>
      <c r="H6132" s="140">
        <v>8500.0</v>
      </c>
      <c r="I6132" s="74">
        <f t="shared" si="1"/>
        <v>730000</v>
      </c>
      <c r="J6132" s="74">
        <f>IF(E6132="SERVICE",I6132-(I6132*50%),Vlookup(E6132,DATABASE!C:Q,10,false)*F6132)</f>
        <v>0</v>
      </c>
      <c r="K6132" s="74">
        <f>VLOOKUP(E6132,DATABASE!C:Q,7,false)</f>
        <v>638500</v>
      </c>
      <c r="L6132" s="74">
        <v>638500.0</v>
      </c>
      <c r="M6132" s="74">
        <f t="shared" si="2"/>
        <v>640000</v>
      </c>
      <c r="N6132" s="74">
        <f t="shared" si="3"/>
        <v>90000</v>
      </c>
      <c r="O6132" s="65" t="str">
        <f>VLOOKUP(E6132,DATABASE!C:Q,8,false)</f>
        <v>IBU</v>
      </c>
      <c r="P6132" s="65">
        <f>VLOOKUP(E6132,DATABASE!C:Q,9,False)</f>
        <v>1</v>
      </c>
      <c r="Q6132" s="93" t="str">
        <f>VLOOKUP(E6132,DATABASE!C:Q,4,false)</f>
        <v>Dunlop</v>
      </c>
      <c r="R6132" s="93" t="str">
        <f>VLOOKUP(E6132,DATABASE!C:Q,11,false)</f>
        <v>Tire</v>
      </c>
    </row>
    <row r="6133" ht="22.5" customHeight="1">
      <c r="A6133" s="49"/>
      <c r="C6133" s="400">
        <v>46010.0</v>
      </c>
      <c r="D6133" s="524">
        <v>8271.0</v>
      </c>
      <c r="E6133" s="544" t="s">
        <v>256</v>
      </c>
      <c r="F6133" s="387">
        <v>1.0</v>
      </c>
      <c r="G6133" s="140">
        <v>150000.0</v>
      </c>
      <c r="H6133" s="140">
        <v>20000.0</v>
      </c>
      <c r="I6133" s="74">
        <f t="shared" si="1"/>
        <v>130000</v>
      </c>
      <c r="J6133" s="74">
        <f>IF(E6133="SERVICE",I6133-(I6133*50%),Vlookup(E6133,DATABASE!C:Q,10,false)*F6133)</f>
        <v>10000</v>
      </c>
      <c r="K6133" s="74">
        <f>VLOOKUP(E6133,DATABASE!C:Q,7,false)</f>
        <v>0</v>
      </c>
      <c r="L6133" s="74">
        <v>0.0</v>
      </c>
      <c r="M6133" s="74">
        <f t="shared" si="2"/>
        <v>0</v>
      </c>
      <c r="N6133" s="74">
        <f t="shared" si="3"/>
        <v>120000</v>
      </c>
      <c r="O6133" s="65" t="str">
        <f>VLOOKUP(E6133,DATABASE!C:Q,8,false)</f>
        <v>IBU</v>
      </c>
      <c r="P6133" s="65">
        <f>VLOOKUP(E6133,DATABASE!C:Q,9,False)</f>
        <v>0</v>
      </c>
      <c r="Q6133" s="93" t="str">
        <f>VLOOKUP(E6133,DATABASE!C:Q,4,false)</f>
        <v>SPOORING</v>
      </c>
      <c r="R6133" s="93" t="str">
        <f>VLOOKUP(E6133,DATABASE!C:Q,11,false)</f>
        <v>SERVICE</v>
      </c>
    </row>
    <row r="6134" ht="22.5" customHeight="1">
      <c r="A6134" s="49"/>
      <c r="C6134" s="400">
        <v>46010.0</v>
      </c>
      <c r="D6134" s="524">
        <v>8272.0</v>
      </c>
      <c r="E6134" s="544" t="s">
        <v>1511</v>
      </c>
      <c r="F6134" s="387">
        <v>1.0</v>
      </c>
      <c r="G6134" s="140">
        <v>868000.0</v>
      </c>
      <c r="H6134" s="140">
        <v>8000.0</v>
      </c>
      <c r="I6134" s="74">
        <f t="shared" si="1"/>
        <v>860000</v>
      </c>
      <c r="J6134" s="74">
        <f>IF(E6134="SERVICE",I6134-(I6134*50%),Vlookup(E6134,DATABASE!C:Q,10,false)*F6134)</f>
        <v>0</v>
      </c>
      <c r="K6134" s="74">
        <f>VLOOKUP(E6134,DATABASE!C:Q,7,false)</f>
        <v>768000</v>
      </c>
      <c r="L6134" s="74">
        <v>768000.0</v>
      </c>
      <c r="M6134" s="74">
        <f t="shared" si="2"/>
        <v>770000</v>
      </c>
      <c r="N6134" s="74">
        <f t="shared" si="3"/>
        <v>90000</v>
      </c>
      <c r="O6134" s="65" t="str">
        <f>VLOOKUP(E6134,DATABASE!C:Q,8,false)</f>
        <v>IBU</v>
      </c>
      <c r="P6134" s="65">
        <f>VLOOKUP(E6134,DATABASE!C:Q,9,False)</f>
        <v>1</v>
      </c>
      <c r="Q6134" s="93" t="str">
        <f>VLOOKUP(E6134,DATABASE!C:Q,4,false)</f>
        <v>DUNLOP</v>
      </c>
      <c r="R6134" s="93" t="str">
        <f>VLOOKUP(E6134,DATABASE!C:Q,11,false)</f>
        <v>Tire</v>
      </c>
    </row>
    <row r="6135" ht="22.5" customHeight="1">
      <c r="A6135" s="49"/>
      <c r="C6135" s="400">
        <v>46010.0</v>
      </c>
      <c r="D6135" s="524">
        <v>8273.0</v>
      </c>
      <c r="E6135" s="544" t="s">
        <v>940</v>
      </c>
      <c r="F6135" s="387">
        <v>2.0</v>
      </c>
      <c r="G6135" s="140">
        <v>809000.0</v>
      </c>
      <c r="H6135" s="140">
        <v>9000.0</v>
      </c>
      <c r="I6135" s="74">
        <f t="shared" si="1"/>
        <v>1600000</v>
      </c>
      <c r="J6135" s="74">
        <f>IF(E6135="SERVICE",I6135-(I6135*50%),Vlookup(E6135,DATABASE!C:Q,10,false)*F6135)</f>
        <v>0</v>
      </c>
      <c r="K6135" s="74">
        <f>VLOOKUP(E6135,DATABASE!C:Q,7,false)</f>
        <v>716500</v>
      </c>
      <c r="L6135" s="74">
        <v>709000.0</v>
      </c>
      <c r="M6135" s="74">
        <f t="shared" si="2"/>
        <v>710000</v>
      </c>
      <c r="N6135" s="74">
        <f t="shared" si="3"/>
        <v>180000</v>
      </c>
      <c r="O6135" s="65" t="str">
        <f>VLOOKUP(E6135,DATABASE!C:Q,8,false)</f>
        <v>IBU</v>
      </c>
      <c r="P6135" s="65">
        <f>VLOOKUP(E6135,DATABASE!C:Q,9,False)</f>
        <v>1</v>
      </c>
      <c r="Q6135" s="93" t="str">
        <f>VLOOKUP(E6135,DATABASE!C:Q,4,false)</f>
        <v>Dunlop</v>
      </c>
      <c r="R6135" s="93" t="str">
        <f>VLOOKUP(E6135,DATABASE!C:Q,11,false)</f>
        <v>Tire</v>
      </c>
    </row>
    <row r="6136" ht="22.5" customHeight="1">
      <c r="A6136" s="49"/>
      <c r="C6136" s="400">
        <v>46010.0</v>
      </c>
      <c r="D6136" s="524">
        <v>8274.0</v>
      </c>
      <c r="E6136" s="544" t="s">
        <v>955</v>
      </c>
      <c r="F6136" s="387">
        <v>2.0</v>
      </c>
      <c r="G6136" s="140">
        <v>770000.0</v>
      </c>
      <c r="H6136" s="74"/>
      <c r="I6136" s="74">
        <f t="shared" si="1"/>
        <v>1540000</v>
      </c>
      <c r="J6136" s="74">
        <f>IF(E6136="SERVICE",I6136-(I6136*50%),Vlookup(E6136,DATABASE!C:Q,10,false)*F6136)</f>
        <v>0</v>
      </c>
      <c r="K6136" s="74">
        <f>VLOOKUP(E6136,DATABASE!C:Q,7,false)</f>
        <v>712000</v>
      </c>
      <c r="L6136" s="74">
        <v>674000.0</v>
      </c>
      <c r="M6136" s="74">
        <f t="shared" si="2"/>
        <v>675000</v>
      </c>
      <c r="N6136" s="74">
        <f t="shared" si="3"/>
        <v>190000</v>
      </c>
      <c r="O6136" s="65" t="str">
        <f>VLOOKUP(E6136,DATABASE!C:Q,8,false)</f>
        <v>IBU</v>
      </c>
      <c r="P6136" s="65">
        <f>VLOOKUP(E6136,DATABASE!C:Q,9,False)</f>
        <v>1</v>
      </c>
      <c r="Q6136" s="93" t="str">
        <f>VLOOKUP(E6136,DATABASE!C:Q,4,false)</f>
        <v>Dunlop</v>
      </c>
      <c r="R6136" s="93" t="str">
        <f>VLOOKUP(E6136,DATABASE!C:Q,11,false)</f>
        <v>Tire</v>
      </c>
    </row>
    <row r="6137" ht="22.5" customHeight="1">
      <c r="A6137" s="49"/>
      <c r="C6137" s="400">
        <v>46010.0</v>
      </c>
      <c r="D6137" s="524">
        <v>8275.0</v>
      </c>
      <c r="E6137" s="544" t="s">
        <v>897</v>
      </c>
      <c r="F6137" s="387">
        <v>2.0</v>
      </c>
      <c r="G6137" s="140">
        <v>1600000.0</v>
      </c>
      <c r="H6137" s="140">
        <v>20000.0</v>
      </c>
      <c r="I6137" s="74">
        <f t="shared" si="1"/>
        <v>3160000</v>
      </c>
      <c r="J6137" s="74">
        <f>IF(E6137="SERVICE",I6137-(I6137*50%),Vlookup(E6137,DATABASE!C:Q,10,false)*F6137)</f>
        <v>0</v>
      </c>
      <c r="K6137" s="74">
        <f>VLOOKUP(E6137,DATABASE!C:Q,7,false)</f>
        <v>1560000</v>
      </c>
      <c r="L6137" s="140">
        <v>1480000.0</v>
      </c>
      <c r="M6137" s="74">
        <f t="shared" si="2"/>
        <v>1480000</v>
      </c>
      <c r="N6137" s="74">
        <f t="shared" si="3"/>
        <v>200000</v>
      </c>
      <c r="O6137" s="65" t="str">
        <f>VLOOKUP(E6137,DATABASE!C:Q,8,false)</f>
        <v>BIAN</v>
      </c>
      <c r="P6137" s="65">
        <f>VLOOKUP(E6137,DATABASE!C:Q,9,False)</f>
        <v>1</v>
      </c>
      <c r="Q6137" s="93" t="str">
        <f>VLOOKUP(E6137,DATABASE!C:Q,4,false)</f>
        <v>GT</v>
      </c>
      <c r="R6137" s="93" t="str">
        <f>VLOOKUP(E6137,DATABASE!C:Q,11,false)</f>
        <v>Tire</v>
      </c>
    </row>
    <row r="6138" ht="22.5" customHeight="1">
      <c r="A6138" s="49"/>
      <c r="C6138" s="400">
        <v>46010.0</v>
      </c>
      <c r="D6138" s="524">
        <v>8276.0</v>
      </c>
      <c r="E6138" s="544" t="s">
        <v>1372</v>
      </c>
      <c r="F6138" s="387">
        <v>4.0</v>
      </c>
      <c r="G6138" s="140">
        <v>1130000.0</v>
      </c>
      <c r="H6138" s="74"/>
      <c r="I6138" s="74">
        <f t="shared" si="1"/>
        <v>4520000</v>
      </c>
      <c r="J6138" s="74">
        <f>IF(E6138="SERVICE",I6138-(I6138*50%),Vlookup(E6138,DATABASE!C:Q,10,false)*F6138)</f>
        <v>0</v>
      </c>
      <c r="K6138" s="74">
        <f>VLOOKUP(E6138,DATABASE!C:Q,7,false)</f>
        <v>1040000</v>
      </c>
      <c r="L6138" s="74">
        <v>1029000.0</v>
      </c>
      <c r="M6138" s="74">
        <f t="shared" si="2"/>
        <v>1030000</v>
      </c>
      <c r="N6138" s="74">
        <f t="shared" si="3"/>
        <v>400000</v>
      </c>
      <c r="O6138" s="65" t="str">
        <f>VLOOKUP(E6138,DATABASE!C:Q,8,false)</f>
        <v>IBU</v>
      </c>
      <c r="P6138" s="65">
        <f>VLOOKUP(E6138,DATABASE!C:Q,9,False)</f>
        <v>1</v>
      </c>
      <c r="Q6138" s="93" t="str">
        <f>VLOOKUP(E6138,DATABASE!C:Q,4,false)</f>
        <v>Dunlop</v>
      </c>
      <c r="R6138" s="93" t="str">
        <f>VLOOKUP(E6138,DATABASE!C:Q,11,false)</f>
        <v>Tire</v>
      </c>
    </row>
    <row r="6139" ht="22.5" customHeight="1">
      <c r="A6139" s="49"/>
      <c r="C6139" s="400">
        <v>46010.0</v>
      </c>
      <c r="D6139" s="524">
        <v>8277.0</v>
      </c>
      <c r="E6139" s="544" t="s">
        <v>591</v>
      </c>
      <c r="F6139" s="387">
        <v>2.0</v>
      </c>
      <c r="G6139" s="140">
        <v>700000.0</v>
      </c>
      <c r="H6139" s="74"/>
      <c r="I6139" s="74">
        <f t="shared" si="1"/>
        <v>1400000</v>
      </c>
      <c r="J6139" s="74">
        <f>IF(E6139="SERVICE",I6139-(I6139*50%),Vlookup(E6139,DATABASE!C:Q,10,false)*F6139)</f>
        <v>0</v>
      </c>
      <c r="K6139" s="74">
        <f>VLOOKUP(E6139,DATABASE!C:Q,7,false)</f>
        <v>633035.16</v>
      </c>
      <c r="L6139" s="74">
        <v>596694.4</v>
      </c>
      <c r="M6139" s="74">
        <f t="shared" si="2"/>
        <v>600000</v>
      </c>
      <c r="N6139" s="74">
        <f t="shared" si="3"/>
        <v>200000</v>
      </c>
      <c r="O6139" s="65" t="str">
        <f>VLOOKUP(E6139,DATABASE!C:Q,8,false)</f>
        <v>IBU</v>
      </c>
      <c r="P6139" s="65">
        <f>VLOOKUP(E6139,DATABASE!C:Q,9,False)</f>
        <v>1</v>
      </c>
      <c r="Q6139" s="93" t="str">
        <f>VLOOKUP(E6139,DATABASE!C:Q,4,false)</f>
        <v>Bridgestone</v>
      </c>
      <c r="R6139" s="93" t="str">
        <f>VLOOKUP(E6139,DATABASE!C:Q,11,false)</f>
        <v>Tire</v>
      </c>
    </row>
    <row r="6140" ht="22.5" customHeight="1">
      <c r="A6140" s="49"/>
      <c r="C6140" s="400">
        <v>46010.0</v>
      </c>
      <c r="D6140" s="524">
        <v>8279.0</v>
      </c>
      <c r="E6140" s="544" t="s">
        <v>569</v>
      </c>
      <c r="F6140" s="387">
        <v>2.0</v>
      </c>
      <c r="G6140" s="140">
        <v>80000.0</v>
      </c>
      <c r="H6140" s="74"/>
      <c r="I6140" s="74">
        <f t="shared" si="1"/>
        <v>160000</v>
      </c>
      <c r="J6140" s="74">
        <f>IF(E6140="SERVICE",I6140-(I6140*50%),Vlookup(E6140,DATABASE!C:Q,10,false)*F6140)</f>
        <v>0</v>
      </c>
      <c r="K6140" s="74">
        <f>VLOOKUP(E6140,DATABASE!C:Q,7,false)</f>
        <v>45439.582</v>
      </c>
      <c r="L6140" s="74">
        <v>45309.6</v>
      </c>
      <c r="M6140" s="74">
        <f t="shared" si="2"/>
        <v>50000</v>
      </c>
      <c r="N6140" s="74">
        <f t="shared" si="3"/>
        <v>60000</v>
      </c>
      <c r="O6140" s="65" t="str">
        <f>VLOOKUP(E6140,DATABASE!C:Q,8,false)</f>
        <v>BIAN</v>
      </c>
      <c r="P6140" s="65">
        <f>VLOOKUP(E6140,DATABASE!C:Q,9,False)</f>
        <v>1</v>
      </c>
      <c r="Q6140" s="93" t="str">
        <f>VLOOKUP(E6140,DATABASE!C:Q,4,false)</f>
        <v>BD</v>
      </c>
      <c r="R6140" s="93" t="str">
        <f>VLOOKUP(E6140,DATABASE!C:Q,11,false)</f>
        <v>Tire</v>
      </c>
    </row>
    <row r="6141" ht="22.5" customHeight="1">
      <c r="A6141" s="49"/>
      <c r="C6141" s="400">
        <v>46010.0</v>
      </c>
      <c r="D6141" s="524">
        <v>8280.0</v>
      </c>
      <c r="E6141" s="544" t="s">
        <v>2090</v>
      </c>
      <c r="F6141" s="387">
        <v>2.0</v>
      </c>
      <c r="G6141" s="140">
        <v>690000.0</v>
      </c>
      <c r="H6141" s="140">
        <v>10000.0</v>
      </c>
      <c r="I6141" s="74">
        <f t="shared" si="1"/>
        <v>1360000</v>
      </c>
      <c r="J6141" s="74">
        <f>IF(E6141="SERVICE",I6141-(I6141*50%),Vlookup(E6141,DATABASE!C:Q,10,false)*F6141)</f>
        <v>0</v>
      </c>
      <c r="K6141" s="74">
        <f>VLOOKUP(E6141,DATABASE!C:Q,7,false)</f>
        <v>605000</v>
      </c>
      <c r="L6141" s="74">
        <v>605000.0</v>
      </c>
      <c r="M6141" s="74">
        <f t="shared" si="2"/>
        <v>605000</v>
      </c>
      <c r="N6141" s="74">
        <f t="shared" si="3"/>
        <v>150000</v>
      </c>
      <c r="O6141" s="65" t="str">
        <f>VLOOKUP(E6141,DATABASE!C:Q,8,false)</f>
        <v>BIAN</v>
      </c>
      <c r="P6141" s="65">
        <f>VLOOKUP(E6141,DATABASE!C:Q,9,False)</f>
        <v>1</v>
      </c>
      <c r="Q6141" s="93" t="str">
        <f>VLOOKUP(E6141,DATABASE!C:Q,4,false)</f>
        <v>Laufen</v>
      </c>
      <c r="R6141" s="93" t="str">
        <f>VLOOKUP(E6141,DATABASE!C:Q,11,false)</f>
        <v>Tire</v>
      </c>
    </row>
    <row r="6142" ht="22.5" customHeight="1">
      <c r="A6142" s="49"/>
      <c r="C6142" s="400">
        <v>46010.0</v>
      </c>
      <c r="D6142" s="524">
        <v>8281.0</v>
      </c>
      <c r="E6142" s="544" t="s">
        <v>591</v>
      </c>
      <c r="F6142" s="387">
        <v>2.0</v>
      </c>
      <c r="G6142" s="140">
        <v>700000.0</v>
      </c>
      <c r="H6142" s="74"/>
      <c r="I6142" s="74">
        <f t="shared" si="1"/>
        <v>1400000</v>
      </c>
      <c r="J6142" s="74">
        <f>IF(E6142="SERVICE",I6142-(I6142*50%),Vlookup(E6142,DATABASE!C:Q,10,false)*F6142)</f>
        <v>0</v>
      </c>
      <c r="K6142" s="74">
        <f>VLOOKUP(E6142,DATABASE!C:Q,7,false)</f>
        <v>633035.16</v>
      </c>
      <c r="L6142" s="74">
        <v>596694.4</v>
      </c>
      <c r="M6142" s="74">
        <f t="shared" si="2"/>
        <v>600000</v>
      </c>
      <c r="N6142" s="74">
        <f t="shared" si="3"/>
        <v>200000</v>
      </c>
      <c r="O6142" s="65" t="str">
        <f>VLOOKUP(E6142,DATABASE!C:Q,8,false)</f>
        <v>IBU</v>
      </c>
      <c r="P6142" s="65">
        <f>VLOOKUP(E6142,DATABASE!C:Q,9,False)</f>
        <v>1</v>
      </c>
      <c r="Q6142" s="93" t="str">
        <f>VLOOKUP(E6142,DATABASE!C:Q,4,false)</f>
        <v>Bridgestone</v>
      </c>
      <c r="R6142" s="93" t="str">
        <f>VLOOKUP(E6142,DATABASE!C:Q,11,false)</f>
        <v>Tire</v>
      </c>
    </row>
    <row r="6143" ht="22.5" customHeight="1">
      <c r="A6143" s="49"/>
      <c r="C6143" s="400">
        <v>46010.0</v>
      </c>
      <c r="D6143" s="69" t="s">
        <v>2665</v>
      </c>
      <c r="E6143" s="544" t="s">
        <v>2191</v>
      </c>
      <c r="F6143" s="387">
        <v>1.0</v>
      </c>
      <c r="G6143" s="140">
        <v>400000.0</v>
      </c>
      <c r="H6143" s="74"/>
      <c r="I6143" s="74">
        <f t="shared" si="1"/>
        <v>400000</v>
      </c>
      <c r="J6143" s="74">
        <f>IF(E6143="SERVICE",I6143-(I6143*50%),Vlookup(E6143,DATABASE!C:Q,10,false)*F6143)</f>
        <v>0</v>
      </c>
      <c r="K6143" s="74">
        <f>VLOOKUP(E6143,DATABASE!C:Q,7,false)</f>
        <v>422900</v>
      </c>
      <c r="L6143" s="74">
        <v>377951.0</v>
      </c>
      <c r="M6143" s="74">
        <f t="shared" si="2"/>
        <v>380000</v>
      </c>
      <c r="N6143" s="74">
        <f t="shared" si="3"/>
        <v>20000</v>
      </c>
      <c r="O6143" s="65" t="str">
        <f>VLOOKUP(E6143,DATABASE!C:Q,8,false)</f>
        <v>NON</v>
      </c>
      <c r="P6143" s="65">
        <f>VLOOKUP(E6143,DATABASE!C:Q,9,False)</f>
        <v>0</v>
      </c>
      <c r="Q6143" s="93" t="str">
        <f>VLOOKUP(E6143,DATABASE!C:Q,4,false)</f>
        <v>Shell</v>
      </c>
      <c r="R6143" s="93" t="str">
        <f>VLOOKUP(E6143,DATABASE!C:Q,11,false)</f>
        <v>OIL</v>
      </c>
    </row>
    <row r="6144" ht="22.5" customHeight="1">
      <c r="A6144" s="49"/>
      <c r="C6144" s="400">
        <v>46010.0</v>
      </c>
      <c r="D6144" s="69" t="s">
        <v>2666</v>
      </c>
      <c r="E6144" s="544" t="s">
        <v>243</v>
      </c>
      <c r="F6144" s="387">
        <v>1.0</v>
      </c>
      <c r="G6144" s="140">
        <v>480000.0</v>
      </c>
      <c r="H6144" s="74"/>
      <c r="I6144" s="74">
        <f t="shared" si="1"/>
        <v>480000</v>
      </c>
      <c r="J6144" s="74">
        <f>IF(E6144="SERVICE",I6144-(I6144*50%),Vlookup(E6144,DATABASE!C:Q,10,false)*F6144)</f>
        <v>0</v>
      </c>
      <c r="K6144" s="74">
        <f>VLOOKUP(E6144,DATABASE!C:Q,7,false)</f>
        <v>432500</v>
      </c>
      <c r="L6144" s="74">
        <v>432500.0</v>
      </c>
      <c r="M6144" s="74">
        <f t="shared" si="2"/>
        <v>435000</v>
      </c>
      <c r="N6144" s="74">
        <f t="shared" si="3"/>
        <v>45000</v>
      </c>
      <c r="O6144" s="65" t="str">
        <f>VLOOKUP(E6144,DATABASE!C:Q,8,false)</f>
        <v>NON</v>
      </c>
      <c r="P6144" s="65">
        <f>VLOOKUP(E6144,DATABASE!C:Q,9,False)</f>
        <v>0</v>
      </c>
      <c r="Q6144" s="93" t="str">
        <f>VLOOKUP(E6144,DATABASE!C:Q,4,false)</f>
        <v>Pertamina</v>
      </c>
      <c r="R6144" s="93" t="str">
        <f>VLOOKUP(E6144,DATABASE!C:Q,11,false)</f>
        <v>OIL</v>
      </c>
    </row>
    <row r="6145" ht="22.5" customHeight="1">
      <c r="A6145" s="49"/>
      <c r="C6145" s="400">
        <v>46011.0</v>
      </c>
      <c r="D6145" s="524">
        <v>8283.0</v>
      </c>
      <c r="E6145" s="544" t="s">
        <v>1548</v>
      </c>
      <c r="F6145" s="387">
        <v>1.0</v>
      </c>
      <c r="G6145" s="140">
        <v>895000.0</v>
      </c>
      <c r="H6145" s="74"/>
      <c r="I6145" s="74">
        <f t="shared" si="1"/>
        <v>895000</v>
      </c>
      <c r="J6145" s="74">
        <f>IF(E6145="SERVICE",I6145-(I6145*50%),Vlookup(E6145,DATABASE!C:Q,10,false)*F6145)</f>
        <v>0</v>
      </c>
      <c r="K6145" s="74">
        <f>VLOOKUP(E6145,DATABASE!C:Q,7,false)</f>
        <v>778000</v>
      </c>
      <c r="L6145" s="74">
        <v>795000.0</v>
      </c>
      <c r="M6145" s="74">
        <f t="shared" si="2"/>
        <v>795000</v>
      </c>
      <c r="N6145" s="74">
        <f t="shared" si="3"/>
        <v>100000</v>
      </c>
      <c r="O6145" s="65" t="str">
        <f>VLOOKUP(E6145,DATABASE!C:Q,8,false)</f>
        <v>IBU</v>
      </c>
      <c r="P6145" s="65">
        <f>VLOOKUP(E6145,DATABASE!C:Q,9,False)</f>
        <v>1</v>
      </c>
      <c r="Q6145" s="93" t="str">
        <f>VLOOKUP(E6145,DATABASE!C:Q,4,false)</f>
        <v>Dunlop</v>
      </c>
      <c r="R6145" s="93" t="str">
        <f>VLOOKUP(E6145,DATABASE!C:Q,11,false)</f>
        <v>Tire</v>
      </c>
    </row>
    <row r="6146" ht="22.5" customHeight="1">
      <c r="A6146" s="49"/>
      <c r="C6146" s="400">
        <v>46011.0</v>
      </c>
      <c r="D6146" s="524">
        <v>8284.0</v>
      </c>
      <c r="E6146" s="544" t="s">
        <v>1597</v>
      </c>
      <c r="F6146" s="387">
        <v>1.0</v>
      </c>
      <c r="G6146" s="140">
        <v>645000.0</v>
      </c>
      <c r="H6146" s="74"/>
      <c r="I6146" s="74">
        <f t="shared" si="1"/>
        <v>645000</v>
      </c>
      <c r="J6146" s="74">
        <f>IF(E6146="SERVICE",I6146-(I6146*50%),Vlookup(E6146,DATABASE!C:Q,10,false)*F6146)</f>
        <v>0</v>
      </c>
      <c r="K6146" s="74">
        <f>VLOOKUP(E6146,DATABASE!C:Q,7,false)</f>
        <v>560700</v>
      </c>
      <c r="L6146" s="74">
        <v>544300.0</v>
      </c>
      <c r="M6146" s="74">
        <f t="shared" si="2"/>
        <v>545000</v>
      </c>
      <c r="N6146" s="74">
        <f t="shared" si="3"/>
        <v>100000</v>
      </c>
      <c r="O6146" s="65" t="str">
        <f>VLOOKUP(E6146,DATABASE!C:Q,8,false)</f>
        <v>BIAN</v>
      </c>
      <c r="P6146" s="65">
        <f>VLOOKUP(E6146,DATABASE!C:Q,9,False)</f>
        <v>1</v>
      </c>
      <c r="Q6146" s="93" t="str">
        <f>VLOOKUP(E6146,DATABASE!C:Q,4,false)</f>
        <v>GT</v>
      </c>
      <c r="R6146" s="93" t="str">
        <f>VLOOKUP(E6146,DATABASE!C:Q,11,false)</f>
        <v>Tire</v>
      </c>
    </row>
    <row r="6147" ht="22.5" customHeight="1">
      <c r="A6147" s="49"/>
      <c r="C6147" s="400">
        <v>46011.0</v>
      </c>
      <c r="D6147" s="524">
        <v>8285.0</v>
      </c>
      <c r="E6147" s="544" t="s">
        <v>897</v>
      </c>
      <c r="F6147" s="387">
        <v>2.0</v>
      </c>
      <c r="G6147" s="140">
        <v>1600000.0</v>
      </c>
      <c r="H6147" s="140">
        <v>20000.0</v>
      </c>
      <c r="I6147" s="74">
        <f t="shared" si="1"/>
        <v>3160000</v>
      </c>
      <c r="J6147" s="74">
        <f>IF(E6147="SERVICE",I6147-(I6147*50%),Vlookup(E6147,DATABASE!C:Q,10,false)*F6147)</f>
        <v>0</v>
      </c>
      <c r="K6147" s="74">
        <f>VLOOKUP(E6147,DATABASE!C:Q,7,false)</f>
        <v>1560000</v>
      </c>
      <c r="L6147" s="140">
        <v>1480000.0</v>
      </c>
      <c r="M6147" s="74">
        <f t="shared" si="2"/>
        <v>1480000</v>
      </c>
      <c r="N6147" s="74">
        <f t="shared" si="3"/>
        <v>200000</v>
      </c>
      <c r="O6147" s="65" t="str">
        <f>VLOOKUP(E6147,DATABASE!C:Q,8,false)</f>
        <v>BIAN</v>
      </c>
      <c r="P6147" s="65">
        <f>VLOOKUP(E6147,DATABASE!C:Q,9,False)</f>
        <v>1</v>
      </c>
      <c r="Q6147" s="93" t="str">
        <f>VLOOKUP(E6147,DATABASE!C:Q,4,false)</f>
        <v>GT</v>
      </c>
      <c r="R6147" s="93" t="str">
        <f>VLOOKUP(E6147,DATABASE!C:Q,11,false)</f>
        <v>Tire</v>
      </c>
    </row>
    <row r="6148" ht="22.5" customHeight="1">
      <c r="A6148" s="49"/>
      <c r="C6148" s="400">
        <v>46011.0</v>
      </c>
      <c r="D6148" s="524">
        <v>8285.0</v>
      </c>
      <c r="E6148" s="544" t="s">
        <v>764</v>
      </c>
      <c r="F6148" s="387">
        <v>1.0</v>
      </c>
      <c r="G6148" s="140">
        <v>200000.0</v>
      </c>
      <c r="H6148" s="74"/>
      <c r="I6148" s="74">
        <f t="shared" si="1"/>
        <v>200000</v>
      </c>
      <c r="J6148" s="74">
        <f>IF(E6148="SERVICE",I6148-(I6148*50%),Vlookup(E6148,DATABASE!C:Q,10,false)*F6148)</f>
        <v>0</v>
      </c>
      <c r="K6148" s="74">
        <f>VLOOKUP(E6148,DATABASE!C:Q,7,false)</f>
        <v>145000</v>
      </c>
      <c r="L6148" s="74">
        <v>145000.0</v>
      </c>
      <c r="M6148" s="74">
        <f t="shared" si="2"/>
        <v>145000</v>
      </c>
      <c r="N6148" s="74">
        <f t="shared" si="3"/>
        <v>55000</v>
      </c>
      <c r="O6148" s="65" t="str">
        <f>VLOOKUP(E6148,DATABASE!C:Q,8,false)</f>
        <v>BIAN</v>
      </c>
      <c r="P6148" s="65">
        <f>VLOOKUP(E6148,DATABASE!C:Q,9,False)</f>
        <v>1</v>
      </c>
      <c r="Q6148" s="93" t="str">
        <f>VLOOKUP(E6148,DATABASE!C:Q,4,false)</f>
        <v>BD</v>
      </c>
      <c r="R6148" s="93" t="str">
        <f>VLOOKUP(E6148,DATABASE!C:Q,11,false)</f>
        <v>Tire</v>
      </c>
    </row>
    <row r="6149" ht="22.5" customHeight="1">
      <c r="A6149" s="49"/>
      <c r="C6149" s="400">
        <v>46011.0</v>
      </c>
      <c r="D6149" s="524">
        <v>8285.0</v>
      </c>
      <c r="E6149" s="544" t="s">
        <v>821</v>
      </c>
      <c r="F6149" s="387">
        <v>1.0</v>
      </c>
      <c r="G6149" s="140">
        <v>85000.0</v>
      </c>
      <c r="H6149" s="74"/>
      <c r="I6149" s="74">
        <f t="shared" si="1"/>
        <v>85000</v>
      </c>
      <c r="J6149" s="74">
        <f>IF(E6149="SERVICE",I6149-(I6149*50%),Vlookup(E6149,DATABASE!C:Q,10,false)*F6149)</f>
        <v>0</v>
      </c>
      <c r="K6149" s="74">
        <f>VLOOKUP(E6149,DATABASE!C:Q,7,false)</f>
        <v>43500</v>
      </c>
      <c r="L6149" s="74">
        <v>43520.0</v>
      </c>
      <c r="M6149" s="74">
        <f t="shared" si="2"/>
        <v>45000</v>
      </c>
      <c r="N6149" s="74">
        <f t="shared" si="3"/>
        <v>40000</v>
      </c>
      <c r="O6149" s="65" t="str">
        <f>VLOOKUP(E6149,DATABASE!C:Q,8,false)</f>
        <v>BIAN</v>
      </c>
      <c r="P6149" s="65">
        <f>VLOOKUP(E6149,DATABASE!C:Q,9,False)</f>
        <v>1</v>
      </c>
      <c r="Q6149" s="93" t="str">
        <f>VLOOKUP(E6149,DATABASE!C:Q,4,false)</f>
        <v>Flap</v>
      </c>
      <c r="R6149" s="93" t="str">
        <f>VLOOKUP(E6149,DATABASE!C:Q,11,false)</f>
        <v>Tire</v>
      </c>
    </row>
    <row r="6150" ht="22.5" customHeight="1">
      <c r="A6150" s="49"/>
      <c r="C6150" s="400">
        <v>46011.0</v>
      </c>
      <c r="D6150" s="524">
        <v>8286.0</v>
      </c>
      <c r="E6150" s="544" t="s">
        <v>256</v>
      </c>
      <c r="F6150" s="387">
        <v>1.0</v>
      </c>
      <c r="G6150" s="140">
        <v>150000.0</v>
      </c>
      <c r="H6150" s="140">
        <v>20000.0</v>
      </c>
      <c r="I6150" s="74">
        <f t="shared" si="1"/>
        <v>130000</v>
      </c>
      <c r="J6150" s="74">
        <f>IF(E6150="SERVICE",I6150-(I6150*50%),Vlookup(E6150,DATABASE!C:Q,10,false)*F6150)</f>
        <v>10000</v>
      </c>
      <c r="K6150" s="74">
        <f>VLOOKUP(E6150,DATABASE!C:Q,7,false)</f>
        <v>0</v>
      </c>
      <c r="L6150" s="74">
        <v>0.0</v>
      </c>
      <c r="M6150" s="74">
        <f t="shared" si="2"/>
        <v>0</v>
      </c>
      <c r="N6150" s="74">
        <f t="shared" si="3"/>
        <v>120000</v>
      </c>
      <c r="O6150" s="65" t="str">
        <f>VLOOKUP(E6150,DATABASE!C:Q,8,false)</f>
        <v>IBU</v>
      </c>
      <c r="P6150" s="65">
        <f>VLOOKUP(E6150,DATABASE!C:Q,9,False)</f>
        <v>0</v>
      </c>
      <c r="Q6150" s="93" t="str">
        <f>VLOOKUP(E6150,DATABASE!C:Q,4,false)</f>
        <v>SPOORING</v>
      </c>
      <c r="R6150" s="93" t="str">
        <f>VLOOKUP(E6150,DATABASE!C:Q,11,false)</f>
        <v>SERVICE</v>
      </c>
    </row>
    <row r="6151" ht="22.5" customHeight="1">
      <c r="A6151" s="49"/>
      <c r="C6151" s="400">
        <v>46011.0</v>
      </c>
      <c r="D6151" s="524">
        <v>8286.0</v>
      </c>
      <c r="E6151" s="544" t="s">
        <v>299</v>
      </c>
      <c r="F6151" s="387">
        <v>2.0</v>
      </c>
      <c r="G6151" s="140">
        <v>30000.0</v>
      </c>
      <c r="H6151" s="74"/>
      <c r="I6151" s="74">
        <f t="shared" si="1"/>
        <v>60000</v>
      </c>
      <c r="J6151" s="74">
        <f>IF(E6151="SERVICE",I6151-(I6151*50%),Vlookup(E6151,DATABASE!C:Q,10,false)*F6151)</f>
        <v>0</v>
      </c>
      <c r="K6151" s="74">
        <f>VLOOKUP(E6151,DATABASE!C:Q,7,false)</f>
        <v>10000</v>
      </c>
      <c r="L6151" s="74">
        <v>5000.0</v>
      </c>
      <c r="M6151" s="74">
        <f t="shared" si="2"/>
        <v>5000</v>
      </c>
      <c r="N6151" s="74">
        <f t="shared" si="3"/>
        <v>50000</v>
      </c>
      <c r="O6151" s="65" t="str">
        <f>VLOOKUP(E6151,DATABASE!C:Q,8,false)</f>
        <v>BIAN</v>
      </c>
      <c r="P6151" s="65">
        <f>VLOOKUP(E6151,DATABASE!C:Q,9,False)</f>
        <v>0</v>
      </c>
      <c r="Q6151" s="93" t="str">
        <f>VLOOKUP(E6151,DATABASE!C:Q,4,false)</f>
        <v>Balancing</v>
      </c>
      <c r="R6151" s="93" t="str">
        <f>VLOOKUP(E6151,DATABASE!C:Q,11,false)</f>
        <v>COMPLEMENTARY</v>
      </c>
    </row>
    <row r="6152" ht="22.5" customHeight="1">
      <c r="A6152" s="49"/>
      <c r="C6152" s="400">
        <v>46011.0</v>
      </c>
      <c r="D6152" s="524">
        <v>8286.0</v>
      </c>
      <c r="E6152" s="544" t="s">
        <v>251</v>
      </c>
      <c r="F6152" s="387">
        <v>1.0</v>
      </c>
      <c r="G6152" s="140">
        <v>350000.0</v>
      </c>
      <c r="H6152" s="140">
        <v>200000.0</v>
      </c>
      <c r="I6152" s="74">
        <f t="shared" si="1"/>
        <v>150000</v>
      </c>
      <c r="J6152" s="74">
        <f>IF(E6152="SERVICE",I6152-(I6152*50%),Vlookup(E6152,DATABASE!C:Q,10,false)*F6152)</f>
        <v>75000</v>
      </c>
      <c r="K6152" s="74">
        <f>VLOOKUP(E6152,DATABASE!C:Q,7,false)</f>
        <v>0</v>
      </c>
      <c r="L6152" s="74">
        <v>0.0</v>
      </c>
      <c r="M6152" s="74">
        <f t="shared" si="2"/>
        <v>0</v>
      </c>
      <c r="N6152" s="74">
        <f t="shared" si="3"/>
        <v>75000</v>
      </c>
      <c r="O6152" s="65" t="str">
        <f>VLOOKUP(E6152,DATABASE!C:Q,8,false)</f>
        <v>IBU</v>
      </c>
      <c r="P6152" s="65">
        <f>VLOOKUP(E6152,DATABASE!C:Q,9,False)</f>
        <v>0</v>
      </c>
      <c r="Q6152" s="93" t="str">
        <f>VLOOKUP(E6152,DATABASE!C:Q,4,false)</f>
        <v>SERVICE</v>
      </c>
      <c r="R6152" s="93" t="str">
        <f>VLOOKUP(E6152,DATABASE!C:Q,11,false)</f>
        <v>SERVICE</v>
      </c>
    </row>
    <row r="6153" ht="22.5" customHeight="1">
      <c r="A6153" s="49"/>
      <c r="C6153" s="400">
        <v>46011.0</v>
      </c>
      <c r="D6153" s="524">
        <v>8287.0</v>
      </c>
      <c r="E6153" s="544" t="s">
        <v>932</v>
      </c>
      <c r="F6153" s="387">
        <v>4.0</v>
      </c>
      <c r="G6153" s="140">
        <v>680000.0</v>
      </c>
      <c r="H6153" s="74"/>
      <c r="I6153" s="74">
        <f t="shared" si="1"/>
        <v>2720000</v>
      </c>
      <c r="J6153" s="74">
        <f>IF(E6153="SERVICE",I6153-(I6153*50%),Vlookup(E6153,DATABASE!C:Q,10,false)*F6153)</f>
        <v>0</v>
      </c>
      <c r="K6153" s="74">
        <f>VLOOKUP(E6153,DATABASE!C:Q,7,false)</f>
        <v>601000</v>
      </c>
      <c r="L6153" s="74">
        <v>595000.0</v>
      </c>
      <c r="M6153" s="74">
        <f t="shared" si="2"/>
        <v>595000</v>
      </c>
      <c r="N6153" s="74">
        <f t="shared" si="3"/>
        <v>340000</v>
      </c>
      <c r="O6153" s="65" t="str">
        <f>VLOOKUP(E6153,DATABASE!C:Q,8,false)</f>
        <v>IBU</v>
      </c>
      <c r="P6153" s="65">
        <f>VLOOKUP(E6153,DATABASE!C:Q,9,False)</f>
        <v>1</v>
      </c>
      <c r="Q6153" s="93" t="str">
        <f>VLOOKUP(E6153,DATABASE!C:Q,4,false)</f>
        <v>Dunlop</v>
      </c>
      <c r="R6153" s="93" t="str">
        <f>VLOOKUP(E6153,DATABASE!C:Q,11,false)</f>
        <v>Tire</v>
      </c>
    </row>
    <row r="6154" ht="22.5" customHeight="1">
      <c r="A6154" s="49"/>
      <c r="C6154" s="400">
        <v>46011.0</v>
      </c>
      <c r="D6154" s="524">
        <v>8287.0</v>
      </c>
      <c r="E6154" s="544" t="s">
        <v>932</v>
      </c>
      <c r="F6154" s="387">
        <v>1.0</v>
      </c>
      <c r="G6154" s="140">
        <v>680000.0</v>
      </c>
      <c r="H6154" s="74"/>
      <c r="I6154" s="74">
        <f t="shared" si="1"/>
        <v>680000</v>
      </c>
      <c r="J6154" s="74">
        <f>IF(E6154="SERVICE",I6154-(I6154*50%),Vlookup(E6154,DATABASE!C:Q,10,false)*F6154)</f>
        <v>0</v>
      </c>
      <c r="K6154" s="74">
        <f>VLOOKUP(E6154,DATABASE!C:Q,7,false)</f>
        <v>601000</v>
      </c>
      <c r="L6154" s="74">
        <v>595000.0</v>
      </c>
      <c r="M6154" s="74">
        <f t="shared" si="2"/>
        <v>595000</v>
      </c>
      <c r="N6154" s="74">
        <f t="shared" si="3"/>
        <v>85000</v>
      </c>
      <c r="O6154" s="65" t="str">
        <f>VLOOKUP(E6154,DATABASE!C:Q,8,false)</f>
        <v>IBU</v>
      </c>
      <c r="P6154" s="65">
        <f>VLOOKUP(E6154,DATABASE!C:Q,9,False)</f>
        <v>1</v>
      </c>
      <c r="Q6154" s="93" t="str">
        <f>VLOOKUP(E6154,DATABASE!C:Q,4,false)</f>
        <v>Dunlop</v>
      </c>
      <c r="R6154" s="93" t="str">
        <f>VLOOKUP(E6154,DATABASE!C:Q,11,false)</f>
        <v>Tire</v>
      </c>
    </row>
    <row r="6155" ht="22.5" customHeight="1">
      <c r="A6155" s="49"/>
      <c r="C6155" s="400">
        <v>46011.0</v>
      </c>
      <c r="D6155" s="524">
        <v>8288.0</v>
      </c>
      <c r="E6155" s="544" t="s">
        <v>246</v>
      </c>
      <c r="F6155" s="387">
        <v>2.0</v>
      </c>
      <c r="G6155" s="140">
        <v>35000.0</v>
      </c>
      <c r="H6155" s="74"/>
      <c r="I6155" s="74">
        <f t="shared" si="1"/>
        <v>70000</v>
      </c>
      <c r="J6155" s="74">
        <f>IF(E6155="SERVICE",I6155-(I6155*50%),Vlookup(E6155,DATABASE!C:Q,10,false)*F6155)</f>
        <v>0</v>
      </c>
      <c r="K6155" s="74">
        <f>VLOOKUP(E6155,DATABASE!C:Q,7,false)</f>
        <v>0</v>
      </c>
      <c r="L6155" s="74">
        <v>0.0</v>
      </c>
      <c r="M6155" s="74">
        <f t="shared" si="2"/>
        <v>0</v>
      </c>
      <c r="N6155" s="74">
        <f t="shared" si="3"/>
        <v>70000</v>
      </c>
      <c r="O6155" s="65" t="str">
        <f>VLOOKUP(E6155,DATABASE!C:Q,8,false)</f>
        <v>IBU</v>
      </c>
      <c r="P6155" s="65">
        <f>VLOOKUP(E6155,DATABASE!C:Q,9,False)</f>
        <v>0</v>
      </c>
      <c r="Q6155" s="93" t="str">
        <f>VLOOKUP(E6155,DATABASE!C:Q,4,false)</f>
        <v>Bongkar Pasang</v>
      </c>
      <c r="R6155" s="93" t="str">
        <f>VLOOKUP(E6155,DATABASE!C:Q,11,false)</f>
        <v>SERVICE</v>
      </c>
    </row>
    <row r="6156" ht="22.5" customHeight="1">
      <c r="A6156" s="49"/>
      <c r="C6156" s="400">
        <v>46011.0</v>
      </c>
      <c r="D6156" s="524">
        <v>8288.0</v>
      </c>
      <c r="E6156" s="544" t="s">
        <v>256</v>
      </c>
      <c r="F6156" s="387">
        <v>1.0</v>
      </c>
      <c r="G6156" s="140">
        <v>150000.0</v>
      </c>
      <c r="H6156" s="140">
        <v>20000.0</v>
      </c>
      <c r="I6156" s="74">
        <f t="shared" si="1"/>
        <v>130000</v>
      </c>
      <c r="J6156" s="74">
        <f>IF(E6156="SERVICE",I6156-(I6156*50%),Vlookup(E6156,DATABASE!C:Q,10,false)*F6156)</f>
        <v>10000</v>
      </c>
      <c r="K6156" s="74">
        <f>VLOOKUP(E6156,DATABASE!C:Q,7,false)</f>
        <v>0</v>
      </c>
      <c r="L6156" s="74">
        <v>0.0</v>
      </c>
      <c r="M6156" s="74">
        <f t="shared" si="2"/>
        <v>0</v>
      </c>
      <c r="N6156" s="74">
        <f t="shared" si="3"/>
        <v>120000</v>
      </c>
      <c r="O6156" s="65" t="str">
        <f>VLOOKUP(E6156,DATABASE!C:Q,8,false)</f>
        <v>IBU</v>
      </c>
      <c r="P6156" s="65">
        <f>VLOOKUP(E6156,DATABASE!C:Q,9,False)</f>
        <v>0</v>
      </c>
      <c r="Q6156" s="93" t="str">
        <f>VLOOKUP(E6156,DATABASE!C:Q,4,false)</f>
        <v>SPOORING</v>
      </c>
      <c r="R6156" s="93" t="str">
        <f>VLOOKUP(E6156,DATABASE!C:Q,11,false)</f>
        <v>SERVICE</v>
      </c>
    </row>
    <row r="6157" ht="22.5" customHeight="1">
      <c r="A6157" s="49"/>
      <c r="C6157" s="400">
        <v>46011.0</v>
      </c>
      <c r="D6157" s="524">
        <v>8290.0</v>
      </c>
      <c r="E6157" s="544" t="s">
        <v>591</v>
      </c>
      <c r="F6157" s="387">
        <v>1.0</v>
      </c>
      <c r="G6157" s="140">
        <v>700000.0</v>
      </c>
      <c r="H6157" s="74"/>
      <c r="I6157" s="74">
        <f t="shared" si="1"/>
        <v>700000</v>
      </c>
      <c r="J6157" s="74">
        <f>IF(E6157="SERVICE",I6157-(I6157*50%),Vlookup(E6157,DATABASE!C:Q,10,false)*F6157)</f>
        <v>0</v>
      </c>
      <c r="K6157" s="74">
        <f>VLOOKUP(E6157,DATABASE!C:Q,7,false)</f>
        <v>633035.16</v>
      </c>
      <c r="L6157" s="74">
        <v>596694.4</v>
      </c>
      <c r="M6157" s="74">
        <f t="shared" si="2"/>
        <v>600000</v>
      </c>
      <c r="N6157" s="74">
        <f t="shared" si="3"/>
        <v>100000</v>
      </c>
      <c r="O6157" s="65" t="str">
        <f>VLOOKUP(E6157,DATABASE!C:Q,8,false)</f>
        <v>IBU</v>
      </c>
      <c r="P6157" s="65">
        <f>VLOOKUP(E6157,DATABASE!C:Q,9,False)</f>
        <v>1</v>
      </c>
      <c r="Q6157" s="93" t="str">
        <f>VLOOKUP(E6157,DATABASE!C:Q,4,false)</f>
        <v>Bridgestone</v>
      </c>
      <c r="R6157" s="93" t="str">
        <f>VLOOKUP(E6157,DATABASE!C:Q,11,false)</f>
        <v>Tire</v>
      </c>
    </row>
    <row r="6158" ht="22.5" customHeight="1">
      <c r="A6158" s="49"/>
      <c r="C6158" s="400">
        <v>46011.0</v>
      </c>
      <c r="D6158" s="524">
        <v>8291.0</v>
      </c>
      <c r="E6158" s="544" t="s">
        <v>256</v>
      </c>
      <c r="F6158" s="387">
        <v>1.0</v>
      </c>
      <c r="G6158" s="140">
        <v>150000.0</v>
      </c>
      <c r="H6158" s="140">
        <v>85000.0</v>
      </c>
      <c r="I6158" s="74">
        <f t="shared" si="1"/>
        <v>65000</v>
      </c>
      <c r="J6158" s="74">
        <f>IF(E6158="SERVICE",I6158-(I6158*50%),Vlookup(E6158,DATABASE!C:Q,10,false)*F6158)</f>
        <v>10000</v>
      </c>
      <c r="K6158" s="74">
        <f>VLOOKUP(E6158,DATABASE!C:Q,7,false)</f>
        <v>0</v>
      </c>
      <c r="L6158" s="74">
        <v>0.0</v>
      </c>
      <c r="M6158" s="74">
        <f t="shared" si="2"/>
        <v>0</v>
      </c>
      <c r="N6158" s="74">
        <f t="shared" si="3"/>
        <v>55000</v>
      </c>
      <c r="O6158" s="65" t="str">
        <f>VLOOKUP(E6158,DATABASE!C:Q,8,false)</f>
        <v>IBU</v>
      </c>
      <c r="P6158" s="65">
        <f>VLOOKUP(E6158,DATABASE!C:Q,9,False)</f>
        <v>0</v>
      </c>
      <c r="Q6158" s="93" t="str">
        <f>VLOOKUP(E6158,DATABASE!C:Q,4,false)</f>
        <v>SPOORING</v>
      </c>
      <c r="R6158" s="93" t="str">
        <f>VLOOKUP(E6158,DATABASE!C:Q,11,false)</f>
        <v>SERVICE</v>
      </c>
    </row>
    <row r="6159" ht="22.5" customHeight="1">
      <c r="A6159" s="49"/>
      <c r="C6159" s="400">
        <v>46011.0</v>
      </c>
      <c r="D6159" s="524">
        <v>8292.0</v>
      </c>
      <c r="E6159" s="544" t="s">
        <v>403</v>
      </c>
      <c r="F6159" s="387">
        <v>2.0</v>
      </c>
      <c r="G6159" s="140">
        <v>2260000.0</v>
      </c>
      <c r="H6159" s="74"/>
      <c r="I6159" s="74">
        <f t="shared" si="1"/>
        <v>4520000</v>
      </c>
      <c r="J6159" s="74">
        <f>IF(E6159="SERVICE",I6159-(I6159*50%),Vlookup(E6159,DATABASE!C:Q,10,false)*F6159)</f>
        <v>0</v>
      </c>
      <c r="K6159" s="74">
        <f>VLOOKUP(E6159,DATABASE!C:Q,7,false)</f>
        <v>2160000</v>
      </c>
      <c r="L6159" s="74">
        <v>2160000.0</v>
      </c>
      <c r="M6159" s="74">
        <f t="shared" si="2"/>
        <v>2160000</v>
      </c>
      <c r="N6159" s="74">
        <f t="shared" si="3"/>
        <v>200000</v>
      </c>
      <c r="O6159" s="65" t="str">
        <f>VLOOKUP(E6159,DATABASE!C:Q,8,false)</f>
        <v>BIAN</v>
      </c>
      <c r="P6159" s="65">
        <f>VLOOKUP(E6159,DATABASE!C:Q,9,False)</f>
        <v>1</v>
      </c>
      <c r="Q6159" s="93" t="str">
        <f>VLOOKUP(E6159,DATABASE!C:Q,4,false)</f>
        <v>Advance</v>
      </c>
      <c r="R6159" s="93" t="str">
        <f>VLOOKUP(E6159,DATABASE!C:Q,11,false)</f>
        <v>Tire</v>
      </c>
    </row>
    <row r="6160" ht="22.5" customHeight="1">
      <c r="A6160" s="49"/>
      <c r="C6160" s="400">
        <v>46011.0</v>
      </c>
      <c r="D6160" s="524">
        <v>8293.0</v>
      </c>
      <c r="E6160" s="544" t="s">
        <v>605</v>
      </c>
      <c r="F6160" s="387">
        <v>4.0</v>
      </c>
      <c r="G6160" s="140">
        <v>760000.0</v>
      </c>
      <c r="H6160" s="140">
        <v>25000.0</v>
      </c>
      <c r="I6160" s="74">
        <f t="shared" si="1"/>
        <v>2940000</v>
      </c>
      <c r="J6160" s="74">
        <f>IF(E6160="SERVICE",I6160-(I6160*50%),Vlookup(E6160,DATABASE!C:Q,10,false)*F6160)</f>
        <v>0</v>
      </c>
      <c r="K6160" s="74">
        <f>VLOOKUP(E6160,DATABASE!C:Q,7,false)</f>
        <v>675000</v>
      </c>
      <c r="L6160" s="74">
        <v>650000.0</v>
      </c>
      <c r="M6160" s="74">
        <f t="shared" si="2"/>
        <v>650000</v>
      </c>
      <c r="N6160" s="74">
        <f t="shared" si="3"/>
        <v>340000</v>
      </c>
      <c r="O6160" s="65" t="str">
        <f>VLOOKUP(E6160,DATABASE!C:Q,8,false)</f>
        <v>IBU</v>
      </c>
      <c r="P6160" s="65">
        <f>VLOOKUP(E6160,DATABASE!C:Q,9,False)</f>
        <v>1</v>
      </c>
      <c r="Q6160" s="93" t="str">
        <f>VLOOKUP(E6160,DATABASE!C:Q,4,false)</f>
        <v>Bridgestone</v>
      </c>
      <c r="R6160" s="93" t="str">
        <f>VLOOKUP(E6160,DATABASE!C:Q,11,false)</f>
        <v>Tire</v>
      </c>
    </row>
    <row r="6161" ht="22.5" customHeight="1">
      <c r="A6161" s="49"/>
      <c r="C6161" s="400">
        <v>46011.0</v>
      </c>
      <c r="D6161" s="524">
        <v>8294.0</v>
      </c>
      <c r="E6161" s="544" t="s">
        <v>1389</v>
      </c>
      <c r="F6161" s="387">
        <v>1.0</v>
      </c>
      <c r="G6161" s="140">
        <v>1000000.0</v>
      </c>
      <c r="H6161" s="74"/>
      <c r="I6161" s="74">
        <f t="shared" si="1"/>
        <v>1000000</v>
      </c>
      <c r="J6161" s="74">
        <f>IF(E6161="SERVICE",I6161-(I6161*50%),Vlookup(E6161,DATABASE!C:Q,10,false)*F6161)</f>
        <v>0</v>
      </c>
      <c r="K6161" s="74">
        <f>VLOOKUP(E6161,DATABASE!C:Q,7,false)</f>
        <v>908000</v>
      </c>
      <c r="L6161" s="74">
        <v>897000.0</v>
      </c>
      <c r="M6161" s="74">
        <f t="shared" si="2"/>
        <v>900000</v>
      </c>
      <c r="N6161" s="74">
        <f t="shared" si="3"/>
        <v>100000</v>
      </c>
      <c r="O6161" s="65" t="str">
        <f>VLOOKUP(E6161,DATABASE!C:Q,8,false)</f>
        <v>IBU</v>
      </c>
      <c r="P6161" s="65">
        <f>VLOOKUP(E6161,DATABASE!C:Q,9,False)</f>
        <v>1</v>
      </c>
      <c r="Q6161" s="93" t="str">
        <f>VLOOKUP(E6161,DATABASE!C:Q,4,false)</f>
        <v>Dunlop</v>
      </c>
      <c r="R6161" s="93" t="str">
        <f>VLOOKUP(E6161,DATABASE!C:Q,11,false)</f>
        <v>Tire</v>
      </c>
    </row>
    <row r="6162" ht="22.5" customHeight="1">
      <c r="A6162" s="49"/>
      <c r="C6162" s="400">
        <v>46011.0</v>
      </c>
      <c r="D6162" s="524">
        <v>8294.0</v>
      </c>
      <c r="E6162" s="544" t="s">
        <v>299</v>
      </c>
      <c r="F6162" s="387">
        <v>2.0</v>
      </c>
      <c r="G6162" s="140">
        <v>30000.0</v>
      </c>
      <c r="H6162" s="74"/>
      <c r="I6162" s="74">
        <f t="shared" si="1"/>
        <v>60000</v>
      </c>
      <c r="J6162" s="74">
        <f>IF(E6162="SERVICE",I6162-(I6162*50%),Vlookup(E6162,DATABASE!C:Q,10,false)*F6162)</f>
        <v>0</v>
      </c>
      <c r="K6162" s="74">
        <f>VLOOKUP(E6162,DATABASE!C:Q,7,false)</f>
        <v>10000</v>
      </c>
      <c r="L6162" s="74">
        <v>5000.0</v>
      </c>
      <c r="M6162" s="74">
        <f t="shared" si="2"/>
        <v>5000</v>
      </c>
      <c r="N6162" s="74">
        <f t="shared" si="3"/>
        <v>50000</v>
      </c>
      <c r="O6162" s="65" t="str">
        <f>VLOOKUP(E6162,DATABASE!C:Q,8,false)</f>
        <v>BIAN</v>
      </c>
      <c r="P6162" s="65">
        <f>VLOOKUP(E6162,DATABASE!C:Q,9,False)</f>
        <v>0</v>
      </c>
      <c r="Q6162" s="93" t="str">
        <f>VLOOKUP(E6162,DATABASE!C:Q,4,false)</f>
        <v>Balancing</v>
      </c>
      <c r="R6162" s="93" t="str">
        <f>VLOOKUP(E6162,DATABASE!C:Q,11,false)</f>
        <v>COMPLEMENTARY</v>
      </c>
    </row>
    <row r="6163" ht="22.5" customHeight="1">
      <c r="A6163" s="49"/>
      <c r="C6163" s="400">
        <v>46011.0</v>
      </c>
      <c r="D6163" s="524">
        <v>8294.0</v>
      </c>
      <c r="E6163" s="544" t="s">
        <v>256</v>
      </c>
      <c r="F6163" s="387">
        <v>1.0</v>
      </c>
      <c r="G6163" s="140">
        <v>150000.0</v>
      </c>
      <c r="H6163" s="140">
        <v>20000.0</v>
      </c>
      <c r="I6163" s="74">
        <f t="shared" si="1"/>
        <v>130000</v>
      </c>
      <c r="J6163" s="74">
        <f>IF(E6163="SERVICE",I6163-(I6163*50%),Vlookup(E6163,DATABASE!C:Q,10,false)*F6163)</f>
        <v>10000</v>
      </c>
      <c r="K6163" s="74">
        <f>VLOOKUP(E6163,DATABASE!C:Q,7,false)</f>
        <v>0</v>
      </c>
      <c r="L6163" s="74">
        <v>0.0</v>
      </c>
      <c r="M6163" s="74">
        <f t="shared" si="2"/>
        <v>0</v>
      </c>
      <c r="N6163" s="74">
        <f t="shared" si="3"/>
        <v>120000</v>
      </c>
      <c r="O6163" s="65" t="str">
        <f>VLOOKUP(E6163,DATABASE!C:Q,8,false)</f>
        <v>IBU</v>
      </c>
      <c r="P6163" s="65">
        <f>VLOOKUP(E6163,DATABASE!C:Q,9,False)</f>
        <v>0</v>
      </c>
      <c r="Q6163" s="93" t="str">
        <f>VLOOKUP(E6163,DATABASE!C:Q,4,false)</f>
        <v>SPOORING</v>
      </c>
      <c r="R6163" s="93" t="str">
        <f>VLOOKUP(E6163,DATABASE!C:Q,11,false)</f>
        <v>SERVICE</v>
      </c>
    </row>
    <row r="6164" ht="22.5" customHeight="1">
      <c r="A6164" s="49"/>
      <c r="C6164" s="400">
        <v>46011.0</v>
      </c>
      <c r="D6164" s="524">
        <v>8294.0</v>
      </c>
      <c r="E6164" s="544" t="s">
        <v>251</v>
      </c>
      <c r="F6164" s="387">
        <v>1.0</v>
      </c>
      <c r="G6164" s="140">
        <v>350000.0</v>
      </c>
      <c r="H6164" s="140">
        <v>200000.0</v>
      </c>
      <c r="I6164" s="74">
        <f t="shared" si="1"/>
        <v>150000</v>
      </c>
      <c r="J6164" s="74">
        <f>IF(E6164="SERVICE",I6164-(I6164*50%),Vlookup(E6164,DATABASE!C:Q,10,false)*F6164)</f>
        <v>75000</v>
      </c>
      <c r="K6164" s="74">
        <f>VLOOKUP(E6164,DATABASE!C:Q,7,false)</f>
        <v>0</v>
      </c>
      <c r="L6164" s="74">
        <v>0.0</v>
      </c>
      <c r="M6164" s="74">
        <f t="shared" si="2"/>
        <v>0</v>
      </c>
      <c r="N6164" s="74">
        <f t="shared" si="3"/>
        <v>75000</v>
      </c>
      <c r="O6164" s="65" t="str">
        <f>VLOOKUP(E6164,DATABASE!C:Q,8,false)</f>
        <v>IBU</v>
      </c>
      <c r="P6164" s="65">
        <f>VLOOKUP(E6164,DATABASE!C:Q,9,False)</f>
        <v>0</v>
      </c>
      <c r="Q6164" s="93" t="str">
        <f>VLOOKUP(E6164,DATABASE!C:Q,4,false)</f>
        <v>SERVICE</v>
      </c>
      <c r="R6164" s="93" t="str">
        <f>VLOOKUP(E6164,DATABASE!C:Q,11,false)</f>
        <v>SERVICE</v>
      </c>
    </row>
    <row r="6165" ht="22.5" customHeight="1">
      <c r="A6165" s="49"/>
      <c r="C6165" s="400">
        <v>46011.0</v>
      </c>
      <c r="D6165" s="524">
        <v>8295.0</v>
      </c>
      <c r="E6165" s="544" t="s">
        <v>1389</v>
      </c>
      <c r="F6165" s="387">
        <v>1.0</v>
      </c>
      <c r="G6165" s="140">
        <v>1000000.0</v>
      </c>
      <c r="H6165" s="74"/>
      <c r="I6165" s="74">
        <f t="shared" si="1"/>
        <v>1000000</v>
      </c>
      <c r="J6165" s="74">
        <f>IF(E6165="SERVICE",I6165-(I6165*50%),Vlookup(E6165,DATABASE!C:Q,10,false)*F6165)</f>
        <v>0</v>
      </c>
      <c r="K6165" s="74">
        <f>VLOOKUP(E6165,DATABASE!C:Q,7,false)</f>
        <v>908000</v>
      </c>
      <c r="L6165" s="74">
        <v>897000.0</v>
      </c>
      <c r="M6165" s="74">
        <f t="shared" si="2"/>
        <v>900000</v>
      </c>
      <c r="N6165" s="74">
        <f t="shared" si="3"/>
        <v>100000</v>
      </c>
      <c r="O6165" s="65" t="str">
        <f>VLOOKUP(E6165,DATABASE!C:Q,8,false)</f>
        <v>IBU</v>
      </c>
      <c r="P6165" s="65">
        <f>VLOOKUP(E6165,DATABASE!C:Q,9,False)</f>
        <v>1</v>
      </c>
      <c r="Q6165" s="93" t="str">
        <f>VLOOKUP(E6165,DATABASE!C:Q,4,false)</f>
        <v>Dunlop</v>
      </c>
      <c r="R6165" s="93" t="str">
        <f>VLOOKUP(E6165,DATABASE!C:Q,11,false)</f>
        <v>Tire</v>
      </c>
    </row>
    <row r="6166" ht="22.5" customHeight="1">
      <c r="A6166" s="49"/>
      <c r="C6166" s="400">
        <v>46013.0</v>
      </c>
      <c r="D6166" s="524">
        <v>8297.0</v>
      </c>
      <c r="E6166" s="544" t="s">
        <v>777</v>
      </c>
      <c r="F6166" s="387">
        <v>1.0</v>
      </c>
      <c r="G6166" s="140">
        <v>600000.0</v>
      </c>
      <c r="H6166" s="140">
        <v>15000.0</v>
      </c>
      <c r="I6166" s="74">
        <f t="shared" si="1"/>
        <v>585000</v>
      </c>
      <c r="J6166" s="74">
        <f>IF(E6166="SERVICE",I6166-(I6166*50%),Vlookup(E6166,DATABASE!C:Q,10,false)*F6166)</f>
        <v>0</v>
      </c>
      <c r="K6166" s="74">
        <f>VLOOKUP(E6166,DATABASE!C:Q,7,false)</f>
        <v>540000</v>
      </c>
      <c r="L6166" s="74">
        <v>507000.0</v>
      </c>
      <c r="M6166" s="74">
        <f t="shared" si="2"/>
        <v>510000</v>
      </c>
      <c r="N6166" s="74">
        <f t="shared" si="3"/>
        <v>75000</v>
      </c>
      <c r="O6166" s="65" t="str">
        <f>VLOOKUP(E6166,DATABASE!C:Q,8,false)</f>
        <v>BIAN</v>
      </c>
      <c r="P6166" s="65">
        <f>VLOOKUP(E6166,DATABASE!C:Q,9,False)</f>
        <v>1</v>
      </c>
      <c r="Q6166" s="93" t="str">
        <f>VLOOKUP(E6166,DATABASE!C:Q,4,false)</f>
        <v>GT</v>
      </c>
      <c r="R6166" s="93" t="str">
        <f>VLOOKUP(E6166,DATABASE!C:Q,11,false)</f>
        <v>Tire</v>
      </c>
    </row>
    <row r="6167" ht="22.5" customHeight="1">
      <c r="A6167" s="49"/>
      <c r="C6167" s="400">
        <v>46013.0</v>
      </c>
      <c r="D6167" s="524">
        <v>8298.0</v>
      </c>
      <c r="E6167" s="544" t="s">
        <v>268</v>
      </c>
      <c r="F6167" s="387">
        <v>2.0</v>
      </c>
      <c r="G6167" s="140">
        <v>710000.0</v>
      </c>
      <c r="H6167" s="74"/>
      <c r="I6167" s="74">
        <f t="shared" si="1"/>
        <v>1420000</v>
      </c>
      <c r="J6167" s="74">
        <f>IF(E6167="SERVICE",I6167-(I6167*50%),Vlookup(E6167,DATABASE!C:Q,10,false)*F6167)</f>
        <v>0</v>
      </c>
      <c r="K6167" s="74">
        <f>VLOOKUP(E6167,DATABASE!C:Q,7,false)</f>
        <v>653000</v>
      </c>
      <c r="L6167" s="74">
        <v>622000.0</v>
      </c>
      <c r="M6167" s="74">
        <f t="shared" si="2"/>
        <v>625000</v>
      </c>
      <c r="N6167" s="74">
        <f t="shared" si="3"/>
        <v>170000</v>
      </c>
      <c r="O6167" s="65" t="str">
        <f>VLOOKUP(E6167,DATABASE!C:Q,8,false)</f>
        <v>IBU</v>
      </c>
      <c r="P6167" s="65">
        <f>VLOOKUP(E6167,DATABASE!C:Q,9,False)</f>
        <v>1</v>
      </c>
      <c r="Q6167" s="93" t="str">
        <f>VLOOKUP(E6167,DATABASE!C:Q,4,false)</f>
        <v>Dunlop</v>
      </c>
      <c r="R6167" s="93" t="str">
        <f>VLOOKUP(E6167,DATABASE!C:Q,11,false)</f>
        <v>Tire</v>
      </c>
    </row>
    <row r="6168" ht="22.5" customHeight="1">
      <c r="A6168" s="49"/>
      <c r="C6168" s="400">
        <v>46013.0</v>
      </c>
      <c r="D6168" s="524">
        <v>8300.0</v>
      </c>
      <c r="E6168" s="544" t="s">
        <v>268</v>
      </c>
      <c r="F6168" s="387">
        <v>2.0</v>
      </c>
      <c r="G6168" s="140">
        <v>710000.0</v>
      </c>
      <c r="H6168" s="74"/>
      <c r="I6168" s="74">
        <f t="shared" si="1"/>
        <v>1420000</v>
      </c>
      <c r="J6168" s="74">
        <f>IF(E6168="SERVICE",I6168-(I6168*50%),Vlookup(E6168,DATABASE!C:Q,10,false)*F6168)</f>
        <v>0</v>
      </c>
      <c r="K6168" s="74">
        <f>VLOOKUP(E6168,DATABASE!C:Q,7,false)</f>
        <v>653000</v>
      </c>
      <c r="L6168" s="74">
        <v>622000.0</v>
      </c>
      <c r="M6168" s="74">
        <f t="shared" si="2"/>
        <v>625000</v>
      </c>
      <c r="N6168" s="74">
        <f t="shared" si="3"/>
        <v>170000</v>
      </c>
      <c r="O6168" s="65" t="str">
        <f>VLOOKUP(E6168,DATABASE!C:Q,8,false)</f>
        <v>IBU</v>
      </c>
      <c r="P6168" s="65">
        <f>VLOOKUP(E6168,DATABASE!C:Q,9,False)</f>
        <v>1</v>
      </c>
      <c r="Q6168" s="93" t="str">
        <f>VLOOKUP(E6168,DATABASE!C:Q,4,false)</f>
        <v>Dunlop</v>
      </c>
      <c r="R6168" s="93" t="str">
        <f>VLOOKUP(E6168,DATABASE!C:Q,11,false)</f>
        <v>Tire</v>
      </c>
    </row>
    <row r="6169" ht="22.5" customHeight="1">
      <c r="A6169" s="49"/>
      <c r="C6169" s="400">
        <v>46013.0</v>
      </c>
      <c r="D6169" s="524">
        <v>8301.0</v>
      </c>
      <c r="E6169" s="544" t="s">
        <v>301</v>
      </c>
      <c r="F6169" s="387">
        <v>1.0</v>
      </c>
      <c r="G6169" s="140">
        <v>250000.0</v>
      </c>
      <c r="H6169" s="74"/>
      <c r="I6169" s="74">
        <f t="shared" si="1"/>
        <v>250000</v>
      </c>
      <c r="J6169" s="74">
        <f>IF(E6169="SERVICE",I6169-(I6169*50%),Vlookup(E6169,DATABASE!C:Q,10,false)*F6169)</f>
        <v>75000</v>
      </c>
      <c r="K6169" s="74">
        <f>VLOOKUP(E6169,DATABASE!C:Q,7,false)</f>
        <v>75000</v>
      </c>
      <c r="L6169" s="74">
        <v>75000.0</v>
      </c>
      <c r="M6169" s="74">
        <f t="shared" si="2"/>
        <v>75000</v>
      </c>
      <c r="N6169" s="74">
        <f t="shared" si="3"/>
        <v>100000</v>
      </c>
      <c r="O6169" s="65" t="str">
        <f>VLOOKUP(E6169,DATABASE!C:Q,8,false)</f>
        <v>BIAN</v>
      </c>
      <c r="P6169" s="65">
        <f>VLOOKUP(E6169,DATABASE!C:Q,9,False)</f>
        <v>0</v>
      </c>
      <c r="Q6169" s="93" t="str">
        <f>VLOOKUP(E6169,DATABASE!C:Q,4,false)</f>
        <v>Baut Camber</v>
      </c>
      <c r="R6169" s="93" t="str">
        <f>VLOOKUP(E6169,DATABASE!C:Q,11,false)</f>
        <v>COMPLEMENTARY</v>
      </c>
    </row>
    <row r="6170" ht="22.5" customHeight="1">
      <c r="A6170" s="49"/>
      <c r="C6170" s="400">
        <v>46013.0</v>
      </c>
      <c r="D6170" s="524">
        <v>8301.0</v>
      </c>
      <c r="E6170" s="544" t="s">
        <v>256</v>
      </c>
      <c r="F6170" s="387">
        <v>1.0</v>
      </c>
      <c r="G6170" s="140">
        <v>150000.0</v>
      </c>
      <c r="H6170" s="140">
        <v>20000.0</v>
      </c>
      <c r="I6170" s="74">
        <f t="shared" si="1"/>
        <v>130000</v>
      </c>
      <c r="J6170" s="74">
        <f>IF(E6170="SERVICE",I6170-(I6170*50%),Vlookup(E6170,DATABASE!C:Q,10,false)*F6170)</f>
        <v>10000</v>
      </c>
      <c r="K6170" s="74">
        <f>VLOOKUP(E6170,DATABASE!C:Q,7,false)</f>
        <v>0</v>
      </c>
      <c r="L6170" s="74">
        <v>0.0</v>
      </c>
      <c r="M6170" s="74">
        <f t="shared" si="2"/>
        <v>0</v>
      </c>
      <c r="N6170" s="74">
        <f t="shared" si="3"/>
        <v>120000</v>
      </c>
      <c r="O6170" s="65" t="str">
        <f>VLOOKUP(E6170,DATABASE!C:Q,8,false)</f>
        <v>IBU</v>
      </c>
      <c r="P6170" s="65">
        <f>VLOOKUP(E6170,DATABASE!C:Q,9,False)</f>
        <v>0</v>
      </c>
      <c r="Q6170" s="93" t="str">
        <f>VLOOKUP(E6170,DATABASE!C:Q,4,false)</f>
        <v>SPOORING</v>
      </c>
      <c r="R6170" s="93" t="str">
        <f>VLOOKUP(E6170,DATABASE!C:Q,11,false)</f>
        <v>SERVICE</v>
      </c>
    </row>
    <row r="6171" ht="22.5" customHeight="1">
      <c r="A6171" s="49"/>
      <c r="C6171" s="400">
        <v>46013.0</v>
      </c>
      <c r="D6171" s="524">
        <v>8302.0</v>
      </c>
      <c r="E6171" s="544" t="s">
        <v>374</v>
      </c>
      <c r="F6171" s="387">
        <v>1.0</v>
      </c>
      <c r="G6171" s="140">
        <v>1950000.0</v>
      </c>
      <c r="H6171" s="74"/>
      <c r="I6171" s="74">
        <f t="shared" si="1"/>
        <v>1950000</v>
      </c>
      <c r="J6171" s="74">
        <f>IF(E6171="SERVICE",I6171-(I6171*50%),Vlookup(E6171,DATABASE!C:Q,10,false)*F6171)</f>
        <v>0</v>
      </c>
      <c r="K6171" s="74">
        <f>VLOOKUP(E6171,DATABASE!C:Q,7,false)</f>
        <v>1980000</v>
      </c>
      <c r="L6171" s="74">
        <v>1850000.0</v>
      </c>
      <c r="M6171" s="74">
        <f t="shared" si="2"/>
        <v>1850000</v>
      </c>
      <c r="N6171" s="74">
        <f t="shared" si="3"/>
        <v>100000</v>
      </c>
      <c r="O6171" s="65" t="str">
        <f>VLOOKUP(E6171,DATABASE!C:Q,8,false)</f>
        <v>BIAN</v>
      </c>
      <c r="P6171" s="65">
        <f>VLOOKUP(E6171,DATABASE!C:Q,9,False)</f>
        <v>1</v>
      </c>
      <c r="Q6171" s="93" t="str">
        <f>VLOOKUP(E6171,DATABASE!C:Q,4,false)</f>
        <v>Advance</v>
      </c>
      <c r="R6171" s="93" t="str">
        <f>VLOOKUP(E6171,DATABASE!C:Q,11,false)</f>
        <v>Tire</v>
      </c>
    </row>
    <row r="6172" ht="22.5" customHeight="1">
      <c r="A6172" s="49"/>
      <c r="C6172" s="400">
        <v>46013.0</v>
      </c>
      <c r="D6172" s="524">
        <v>8304.0</v>
      </c>
      <c r="E6172" s="544" t="s">
        <v>932</v>
      </c>
      <c r="F6172" s="387">
        <v>2.0</v>
      </c>
      <c r="G6172" s="140">
        <v>680000.0</v>
      </c>
      <c r="H6172" s="74"/>
      <c r="I6172" s="74">
        <f t="shared" si="1"/>
        <v>1360000</v>
      </c>
      <c r="J6172" s="74">
        <f>IF(E6172="SERVICE",I6172-(I6172*50%),Vlookup(E6172,DATABASE!C:Q,10,false)*F6172)</f>
        <v>0</v>
      </c>
      <c r="K6172" s="74">
        <f>VLOOKUP(E6172,DATABASE!C:Q,7,false)</f>
        <v>601000</v>
      </c>
      <c r="L6172" s="74">
        <v>595000.0</v>
      </c>
      <c r="M6172" s="74">
        <f t="shared" si="2"/>
        <v>595000</v>
      </c>
      <c r="N6172" s="74">
        <f t="shared" si="3"/>
        <v>170000</v>
      </c>
      <c r="O6172" s="65" t="str">
        <f>VLOOKUP(E6172,DATABASE!C:Q,8,false)</f>
        <v>IBU</v>
      </c>
      <c r="P6172" s="65">
        <f>VLOOKUP(E6172,DATABASE!C:Q,9,False)</f>
        <v>1</v>
      </c>
      <c r="Q6172" s="93" t="str">
        <f>VLOOKUP(E6172,DATABASE!C:Q,4,false)</f>
        <v>Dunlop</v>
      </c>
      <c r="R6172" s="93" t="str">
        <f>VLOOKUP(E6172,DATABASE!C:Q,11,false)</f>
        <v>Tire</v>
      </c>
    </row>
    <row r="6173" ht="22.5" customHeight="1">
      <c r="A6173" s="49"/>
      <c r="C6173" s="400">
        <v>46013.0</v>
      </c>
      <c r="D6173" s="524">
        <v>8304.0</v>
      </c>
      <c r="E6173" s="544" t="s">
        <v>275</v>
      </c>
      <c r="F6173" s="387">
        <v>2.0</v>
      </c>
      <c r="G6173" s="140">
        <v>830000.0</v>
      </c>
      <c r="H6173" s="74"/>
      <c r="I6173" s="74">
        <f t="shared" si="1"/>
        <v>1660000</v>
      </c>
      <c r="J6173" s="74">
        <f>IF(E6173="SERVICE",I6173-(I6173*50%),Vlookup(E6173,DATABASE!C:Q,10,false)*F6173)</f>
        <v>0</v>
      </c>
      <c r="K6173" s="74">
        <f>VLOOKUP(E6173,DATABASE!C:Q,7,false)</f>
        <v>782000</v>
      </c>
      <c r="L6173" s="74">
        <v>745000.0</v>
      </c>
      <c r="M6173" s="74">
        <f t="shared" si="2"/>
        <v>745000</v>
      </c>
      <c r="N6173" s="74">
        <f t="shared" si="3"/>
        <v>170000</v>
      </c>
      <c r="O6173" s="65" t="str">
        <f>VLOOKUP(E6173,DATABASE!C:Q,8,false)</f>
        <v>IBU</v>
      </c>
      <c r="P6173" s="65">
        <f>VLOOKUP(E6173,DATABASE!C:Q,9,False)</f>
        <v>1</v>
      </c>
      <c r="Q6173" s="93" t="str">
        <f>VLOOKUP(E6173,DATABASE!C:Q,4,false)</f>
        <v>Dunlop</v>
      </c>
      <c r="R6173" s="93" t="str">
        <f>VLOOKUP(E6173,DATABASE!C:Q,11,false)</f>
        <v>Tire</v>
      </c>
    </row>
    <row r="6174" ht="22.5" customHeight="1">
      <c r="A6174" s="49"/>
      <c r="C6174" s="400">
        <v>46013.0</v>
      </c>
      <c r="D6174" s="524">
        <v>8304.0</v>
      </c>
      <c r="E6174" s="544" t="s">
        <v>2206</v>
      </c>
      <c r="F6174" s="387">
        <v>2.0</v>
      </c>
      <c r="G6174" s="140">
        <v>225000.0</v>
      </c>
      <c r="H6174" s="140">
        <v>25000.0</v>
      </c>
      <c r="I6174" s="74">
        <f t="shared" si="1"/>
        <v>400000</v>
      </c>
      <c r="J6174" s="74">
        <f>IF(E6174="SERVICE",I6174-(I6174*50%),Vlookup(E6174,DATABASE!C:Q,10,false)*F6174)</f>
        <v>80000</v>
      </c>
      <c r="K6174" s="74">
        <f>VLOOKUP(E6174,DATABASE!C:Q,7,false)</f>
        <v>95450</v>
      </c>
      <c r="L6174" s="74">
        <v>61000.0</v>
      </c>
      <c r="M6174" s="74">
        <f t="shared" si="2"/>
        <v>65000</v>
      </c>
      <c r="N6174" s="74">
        <f t="shared" si="3"/>
        <v>190000</v>
      </c>
      <c r="O6174" s="65" t="str">
        <f>VLOOKUP(E6174,DATABASE!C:Q,8,false)</f>
        <v>IBU</v>
      </c>
      <c r="P6174" s="65">
        <f>VLOOKUP(E6174,DATABASE!C:Q,9,False)</f>
        <v>1</v>
      </c>
      <c r="Q6174" s="93" t="str">
        <f>VLOOKUP(E6174,DATABASE!C:Q,4,false)</f>
        <v>TIEROD</v>
      </c>
      <c r="R6174" s="93" t="str">
        <f>VLOOKUP(E6174,DATABASE!C:Q,11,false)</f>
        <v>COMPLEMENTARY</v>
      </c>
    </row>
    <row r="6175" ht="22.5" customHeight="1">
      <c r="A6175" s="49"/>
      <c r="C6175" s="400">
        <v>46013.0</v>
      </c>
      <c r="D6175" s="524">
        <v>8304.0</v>
      </c>
      <c r="E6175" s="544" t="s">
        <v>262</v>
      </c>
      <c r="F6175" s="387">
        <v>1.0</v>
      </c>
      <c r="G6175" s="140">
        <v>110000.0</v>
      </c>
      <c r="H6175" s="74"/>
      <c r="I6175" s="74">
        <f t="shared" si="1"/>
        <v>110000</v>
      </c>
      <c r="J6175" s="74">
        <f>IF(E6175="SERVICE",I6175-(I6175*50%),Vlookup(E6175,DATABASE!C:Q,10,false)*F6175)</f>
        <v>5000</v>
      </c>
      <c r="K6175" s="74">
        <f>VLOOKUP(E6175,DATABASE!C:Q,7,false)</f>
        <v>0</v>
      </c>
      <c r="L6175" s="74">
        <v>0.0</v>
      </c>
      <c r="M6175" s="74">
        <f t="shared" si="2"/>
        <v>0</v>
      </c>
      <c r="N6175" s="74">
        <f t="shared" si="3"/>
        <v>105000</v>
      </c>
      <c r="O6175" s="65" t="str">
        <f>VLOOKUP(E6175,DATABASE!C:Q,8,false)</f>
        <v>IBU</v>
      </c>
      <c r="P6175" s="65">
        <f>VLOOKUP(E6175,DATABASE!C:Q,9,False)</f>
        <v>0</v>
      </c>
      <c r="Q6175" s="93" t="str">
        <f>VLOOKUP(E6175,DATABASE!C:Q,4,false)</f>
        <v>SPOORING SS/CARRY LOS BAK</v>
      </c>
      <c r="R6175" s="93" t="str">
        <f>VLOOKUP(E6175,DATABASE!C:Q,11,false)</f>
        <v>SERVICE</v>
      </c>
    </row>
    <row r="6176" ht="22.5" customHeight="1">
      <c r="A6176" s="49"/>
      <c r="C6176" s="400">
        <v>46013.0</v>
      </c>
      <c r="D6176" s="524">
        <v>8304.0</v>
      </c>
      <c r="E6176" s="544" t="s">
        <v>251</v>
      </c>
      <c r="F6176" s="387">
        <v>1.0</v>
      </c>
      <c r="G6176" s="140">
        <v>350000.0</v>
      </c>
      <c r="H6176" s="140">
        <v>230000.0</v>
      </c>
      <c r="I6176" s="74">
        <f t="shared" si="1"/>
        <v>120000</v>
      </c>
      <c r="J6176" s="74">
        <f>IF(E6176="SERVICE",I6176-(I6176*50%),Vlookup(E6176,DATABASE!C:Q,10,false)*F6176)</f>
        <v>60000</v>
      </c>
      <c r="K6176" s="74">
        <f>VLOOKUP(E6176,DATABASE!C:Q,7,false)</f>
        <v>0</v>
      </c>
      <c r="L6176" s="74">
        <v>0.0</v>
      </c>
      <c r="M6176" s="74">
        <f t="shared" si="2"/>
        <v>0</v>
      </c>
      <c r="N6176" s="74">
        <f t="shared" si="3"/>
        <v>60000</v>
      </c>
      <c r="O6176" s="65" t="str">
        <f>VLOOKUP(E6176,DATABASE!C:Q,8,false)</f>
        <v>IBU</v>
      </c>
      <c r="P6176" s="65">
        <f>VLOOKUP(E6176,DATABASE!C:Q,9,False)</f>
        <v>0</v>
      </c>
      <c r="Q6176" s="93" t="str">
        <f>VLOOKUP(E6176,DATABASE!C:Q,4,false)</f>
        <v>SERVICE</v>
      </c>
      <c r="R6176" s="93" t="str">
        <f>VLOOKUP(E6176,DATABASE!C:Q,11,false)</f>
        <v>SERVICE</v>
      </c>
    </row>
    <row r="6177" ht="22.5" customHeight="1">
      <c r="A6177" s="49"/>
      <c r="C6177" s="400">
        <v>46013.0</v>
      </c>
      <c r="D6177" s="524">
        <v>8305.0</v>
      </c>
      <c r="E6177" s="544" t="s">
        <v>605</v>
      </c>
      <c r="F6177" s="387">
        <v>1.0</v>
      </c>
      <c r="G6177" s="140">
        <v>760000.0</v>
      </c>
      <c r="H6177" s="140">
        <v>25000.0</v>
      </c>
      <c r="I6177" s="74">
        <f t="shared" si="1"/>
        <v>735000</v>
      </c>
      <c r="J6177" s="74">
        <f>IF(E6177="SERVICE",I6177-(I6177*50%),Vlookup(E6177,DATABASE!C:Q,10,false)*F6177)</f>
        <v>0</v>
      </c>
      <c r="K6177" s="74">
        <f>VLOOKUP(E6177,DATABASE!C:Q,7,false)</f>
        <v>675000</v>
      </c>
      <c r="L6177" s="74">
        <v>650000.0</v>
      </c>
      <c r="M6177" s="74">
        <f t="shared" si="2"/>
        <v>650000</v>
      </c>
      <c r="N6177" s="74">
        <f t="shared" si="3"/>
        <v>85000</v>
      </c>
      <c r="O6177" s="65" t="str">
        <f>VLOOKUP(E6177,DATABASE!C:Q,8,false)</f>
        <v>IBU</v>
      </c>
      <c r="P6177" s="65">
        <f>VLOOKUP(E6177,DATABASE!C:Q,9,False)</f>
        <v>1</v>
      </c>
      <c r="Q6177" s="93" t="str">
        <f>VLOOKUP(E6177,DATABASE!C:Q,4,false)</f>
        <v>Bridgestone</v>
      </c>
      <c r="R6177" s="93" t="str">
        <f>VLOOKUP(E6177,DATABASE!C:Q,11,false)</f>
        <v>Tire</v>
      </c>
    </row>
    <row r="6178" ht="22.5" customHeight="1">
      <c r="A6178" s="49"/>
      <c r="C6178" s="400">
        <v>46013.0</v>
      </c>
      <c r="D6178" s="524">
        <v>8306.0</v>
      </c>
      <c r="E6178" s="544" t="s">
        <v>268</v>
      </c>
      <c r="F6178" s="387">
        <v>4.0</v>
      </c>
      <c r="G6178" s="140">
        <v>710000.0</v>
      </c>
      <c r="H6178" s="74"/>
      <c r="I6178" s="74">
        <f t="shared" si="1"/>
        <v>2840000</v>
      </c>
      <c r="J6178" s="74">
        <f>IF(E6178="SERVICE",I6178-(I6178*50%),Vlookup(E6178,DATABASE!C:Q,10,false)*F6178)</f>
        <v>0</v>
      </c>
      <c r="K6178" s="74">
        <f>VLOOKUP(E6178,DATABASE!C:Q,7,false)</f>
        <v>653000</v>
      </c>
      <c r="L6178" s="74">
        <v>622000.0</v>
      </c>
      <c r="M6178" s="74">
        <f t="shared" si="2"/>
        <v>625000</v>
      </c>
      <c r="N6178" s="74">
        <f t="shared" si="3"/>
        <v>340000</v>
      </c>
      <c r="O6178" s="65" t="str">
        <f>VLOOKUP(E6178,DATABASE!C:Q,8,false)</f>
        <v>IBU</v>
      </c>
      <c r="P6178" s="65">
        <f>VLOOKUP(E6178,DATABASE!C:Q,9,False)</f>
        <v>1</v>
      </c>
      <c r="Q6178" s="93" t="str">
        <f>VLOOKUP(E6178,DATABASE!C:Q,4,false)</f>
        <v>Dunlop</v>
      </c>
      <c r="R6178" s="93" t="str">
        <f>VLOOKUP(E6178,DATABASE!C:Q,11,false)</f>
        <v>Tire</v>
      </c>
    </row>
    <row r="6179" ht="22.5" customHeight="1">
      <c r="A6179" s="49"/>
      <c r="C6179" s="400">
        <v>46014.0</v>
      </c>
      <c r="D6179" s="524">
        <v>8308.0</v>
      </c>
      <c r="E6179" s="544" t="s">
        <v>2610</v>
      </c>
      <c r="F6179" s="387">
        <v>2.0</v>
      </c>
      <c r="G6179" s="140">
        <v>920000.0</v>
      </c>
      <c r="H6179" s="140">
        <v>20000.0</v>
      </c>
      <c r="I6179" s="74">
        <f t="shared" si="1"/>
        <v>1800000</v>
      </c>
      <c r="J6179" s="74">
        <f>IF(E6179="SERVICE",I6179-(I6179*50%),Vlookup(E6179,DATABASE!C:Q,10,false)*F6179)</f>
        <v>0</v>
      </c>
      <c r="K6179" s="74">
        <f>VLOOKUP(E6179,DATABASE!C:Q,7,false)</f>
        <v>802000</v>
      </c>
      <c r="L6179" s="74">
        <v>802000.0</v>
      </c>
      <c r="M6179" s="74">
        <f t="shared" si="2"/>
        <v>805000</v>
      </c>
      <c r="N6179" s="74">
        <f t="shared" si="3"/>
        <v>190000</v>
      </c>
      <c r="O6179" s="65" t="str">
        <f>VLOOKUP(E6179,DATABASE!C:Q,8,false)</f>
        <v>BIAN</v>
      </c>
      <c r="P6179" s="65">
        <f>VLOOKUP(E6179,DATABASE!C:Q,9,False)</f>
        <v>1</v>
      </c>
      <c r="Q6179" s="93" t="str">
        <f>VLOOKUP(E6179,DATABASE!C:Q,4,false)</f>
        <v>Laufen</v>
      </c>
      <c r="R6179" s="93" t="str">
        <f>VLOOKUP(E6179,DATABASE!C:Q,11,false)</f>
        <v>Tire</v>
      </c>
    </row>
    <row r="6180" ht="22.5" customHeight="1">
      <c r="A6180" s="49"/>
      <c r="C6180" s="400">
        <v>46014.0</v>
      </c>
      <c r="D6180" s="524">
        <v>8308.0</v>
      </c>
      <c r="E6180" s="544" t="s">
        <v>299</v>
      </c>
      <c r="F6180" s="387">
        <v>2.0</v>
      </c>
      <c r="G6180" s="140">
        <v>30000.0</v>
      </c>
      <c r="H6180" s="74"/>
      <c r="I6180" s="74">
        <f t="shared" si="1"/>
        <v>60000</v>
      </c>
      <c r="J6180" s="74">
        <f>IF(E6180="SERVICE",I6180-(I6180*50%),Vlookup(E6180,DATABASE!C:Q,10,false)*F6180)</f>
        <v>0</v>
      </c>
      <c r="K6180" s="74">
        <f>VLOOKUP(E6180,DATABASE!C:Q,7,false)</f>
        <v>10000</v>
      </c>
      <c r="L6180" s="74">
        <v>5000.0</v>
      </c>
      <c r="M6180" s="74">
        <f t="shared" si="2"/>
        <v>5000</v>
      </c>
      <c r="N6180" s="74">
        <f t="shared" si="3"/>
        <v>50000</v>
      </c>
      <c r="O6180" s="65" t="str">
        <f>VLOOKUP(E6180,DATABASE!C:Q,8,false)</f>
        <v>BIAN</v>
      </c>
      <c r="P6180" s="65">
        <f>VLOOKUP(E6180,DATABASE!C:Q,9,False)</f>
        <v>0</v>
      </c>
      <c r="Q6180" s="93" t="str">
        <f>VLOOKUP(E6180,DATABASE!C:Q,4,false)</f>
        <v>Balancing</v>
      </c>
      <c r="R6180" s="93" t="str">
        <f>VLOOKUP(E6180,DATABASE!C:Q,11,false)</f>
        <v>COMPLEMENTARY</v>
      </c>
    </row>
    <row r="6181" ht="22.5" customHeight="1">
      <c r="A6181" s="49"/>
      <c r="C6181" s="400">
        <v>46014.0</v>
      </c>
      <c r="D6181" s="524">
        <v>8308.0</v>
      </c>
      <c r="E6181" s="544" t="s">
        <v>256</v>
      </c>
      <c r="F6181" s="387">
        <v>1.0</v>
      </c>
      <c r="G6181" s="140">
        <v>150000.0</v>
      </c>
      <c r="H6181" s="140">
        <v>20000.0</v>
      </c>
      <c r="I6181" s="74">
        <f t="shared" si="1"/>
        <v>130000</v>
      </c>
      <c r="J6181" s="74">
        <f>IF(E6181="SERVICE",I6181-(I6181*50%),Vlookup(E6181,DATABASE!C:Q,10,false)*F6181)</f>
        <v>10000</v>
      </c>
      <c r="K6181" s="74">
        <f>VLOOKUP(E6181,DATABASE!C:Q,7,false)</f>
        <v>0</v>
      </c>
      <c r="L6181" s="74">
        <v>0.0</v>
      </c>
      <c r="M6181" s="74">
        <f t="shared" si="2"/>
        <v>0</v>
      </c>
      <c r="N6181" s="74">
        <f t="shared" si="3"/>
        <v>120000</v>
      </c>
      <c r="O6181" s="65" t="str">
        <f>VLOOKUP(E6181,DATABASE!C:Q,8,false)</f>
        <v>IBU</v>
      </c>
      <c r="P6181" s="65">
        <f>VLOOKUP(E6181,DATABASE!C:Q,9,False)</f>
        <v>0</v>
      </c>
      <c r="Q6181" s="93" t="str">
        <f>VLOOKUP(E6181,DATABASE!C:Q,4,false)</f>
        <v>SPOORING</v>
      </c>
      <c r="R6181" s="93" t="str">
        <f>VLOOKUP(E6181,DATABASE!C:Q,11,false)</f>
        <v>SERVICE</v>
      </c>
    </row>
    <row r="6182" ht="22.5" customHeight="1">
      <c r="A6182" s="49"/>
      <c r="C6182" s="400">
        <v>46014.0</v>
      </c>
      <c r="D6182" s="524">
        <v>8308.0</v>
      </c>
      <c r="E6182" s="544" t="s">
        <v>251</v>
      </c>
      <c r="F6182" s="387">
        <v>1.0</v>
      </c>
      <c r="G6182" s="140">
        <v>350000.0</v>
      </c>
      <c r="H6182" s="140">
        <v>200000.0</v>
      </c>
      <c r="I6182" s="74">
        <f t="shared" si="1"/>
        <v>150000</v>
      </c>
      <c r="J6182" s="74">
        <f>IF(E6182="SERVICE",I6182-(I6182*50%),Vlookup(E6182,DATABASE!C:Q,10,false)*F6182)</f>
        <v>75000</v>
      </c>
      <c r="K6182" s="74">
        <f>VLOOKUP(E6182,DATABASE!C:Q,7,false)</f>
        <v>0</v>
      </c>
      <c r="L6182" s="74">
        <v>0.0</v>
      </c>
      <c r="M6182" s="74">
        <f t="shared" si="2"/>
        <v>0</v>
      </c>
      <c r="N6182" s="74">
        <f t="shared" si="3"/>
        <v>75000</v>
      </c>
      <c r="O6182" s="65" t="str">
        <f>VLOOKUP(E6182,DATABASE!C:Q,8,false)</f>
        <v>IBU</v>
      </c>
      <c r="P6182" s="65">
        <f>VLOOKUP(E6182,DATABASE!C:Q,9,False)</f>
        <v>0</v>
      </c>
      <c r="Q6182" s="93" t="str">
        <f>VLOOKUP(E6182,DATABASE!C:Q,4,false)</f>
        <v>SERVICE</v>
      </c>
      <c r="R6182" s="93" t="str">
        <f>VLOOKUP(E6182,DATABASE!C:Q,11,false)</f>
        <v>SERVICE</v>
      </c>
    </row>
    <row r="6183" ht="22.5" customHeight="1">
      <c r="A6183" s="49"/>
      <c r="C6183" s="400">
        <v>46014.0</v>
      </c>
      <c r="D6183" s="524">
        <v>8309.0</v>
      </c>
      <c r="E6183" s="544" t="s">
        <v>265</v>
      </c>
      <c r="F6183" s="387">
        <v>1.0</v>
      </c>
      <c r="G6183" s="140">
        <v>685000.0</v>
      </c>
      <c r="H6183" s="74"/>
      <c r="I6183" s="74">
        <f t="shared" si="1"/>
        <v>685000</v>
      </c>
      <c r="J6183" s="74">
        <f>IF(E6183="SERVICE",I6183-(I6183*50%),Vlookup(E6183,DATABASE!C:Q,10,false)*F6183)</f>
        <v>0</v>
      </c>
      <c r="K6183" s="74">
        <f>VLOOKUP(E6183,DATABASE!C:Q,7,false)</f>
        <v>628000</v>
      </c>
      <c r="L6183" s="74">
        <v>600000.0</v>
      </c>
      <c r="M6183" s="74">
        <f t="shared" si="2"/>
        <v>600000</v>
      </c>
      <c r="N6183" s="74">
        <f t="shared" si="3"/>
        <v>85000</v>
      </c>
      <c r="O6183" s="65" t="str">
        <f>VLOOKUP(E6183,DATABASE!C:Q,8,false)</f>
        <v>IBU</v>
      </c>
      <c r="P6183" s="65">
        <f>VLOOKUP(E6183,DATABASE!C:Q,9,False)</f>
        <v>1</v>
      </c>
      <c r="Q6183" s="93" t="str">
        <f>VLOOKUP(E6183,DATABASE!C:Q,4,false)</f>
        <v>Dunlop</v>
      </c>
      <c r="R6183" s="93" t="str">
        <f>VLOOKUP(E6183,DATABASE!C:Q,11,false)</f>
        <v>Tire</v>
      </c>
    </row>
    <row r="6184" ht="22.5" customHeight="1">
      <c r="A6184" s="49"/>
      <c r="C6184" s="400">
        <v>46014.0</v>
      </c>
      <c r="D6184" s="524">
        <v>8310.0</v>
      </c>
      <c r="E6184" s="544" t="s">
        <v>268</v>
      </c>
      <c r="F6184" s="387">
        <v>2.0</v>
      </c>
      <c r="G6184" s="140">
        <v>710000.0</v>
      </c>
      <c r="H6184" s="74"/>
      <c r="I6184" s="74">
        <f t="shared" si="1"/>
        <v>1420000</v>
      </c>
      <c r="J6184" s="74">
        <f>IF(E6184="SERVICE",I6184-(I6184*50%),Vlookup(E6184,DATABASE!C:Q,10,false)*F6184)</f>
        <v>0</v>
      </c>
      <c r="K6184" s="74">
        <f>VLOOKUP(E6184,DATABASE!C:Q,7,false)</f>
        <v>653000</v>
      </c>
      <c r="L6184" s="74">
        <v>622000.0</v>
      </c>
      <c r="M6184" s="74">
        <f t="shared" si="2"/>
        <v>625000</v>
      </c>
      <c r="N6184" s="74">
        <f t="shared" si="3"/>
        <v>170000</v>
      </c>
      <c r="O6184" s="65" t="str">
        <f>VLOOKUP(E6184,DATABASE!C:Q,8,false)</f>
        <v>IBU</v>
      </c>
      <c r="P6184" s="65">
        <f>VLOOKUP(E6184,DATABASE!C:Q,9,False)</f>
        <v>1</v>
      </c>
      <c r="Q6184" s="93" t="str">
        <f>VLOOKUP(E6184,DATABASE!C:Q,4,false)</f>
        <v>Dunlop</v>
      </c>
      <c r="R6184" s="93" t="str">
        <f>VLOOKUP(E6184,DATABASE!C:Q,11,false)</f>
        <v>Tire</v>
      </c>
    </row>
    <row r="6185" ht="22.5" customHeight="1">
      <c r="A6185" s="49"/>
      <c r="C6185" s="400">
        <v>46014.0</v>
      </c>
      <c r="D6185" s="524">
        <v>8311.0</v>
      </c>
      <c r="E6185" s="544" t="s">
        <v>1278</v>
      </c>
      <c r="F6185" s="387">
        <v>4.0</v>
      </c>
      <c r="G6185" s="140">
        <v>1580000.0</v>
      </c>
      <c r="H6185" s="140">
        <v>10000.0</v>
      </c>
      <c r="I6185" s="74">
        <f t="shared" si="1"/>
        <v>6280000</v>
      </c>
      <c r="J6185" s="74">
        <f>IF(E6185="SERVICE",I6185-(I6185*50%),Vlookup(E6185,DATABASE!C:Q,10,false)*F6185)</f>
        <v>0</v>
      </c>
      <c r="K6185" s="74">
        <f>VLOOKUP(E6185,DATABASE!C:Q,7,false)</f>
        <v>1466393.5</v>
      </c>
      <c r="L6185" s="74">
        <v>1466393.5</v>
      </c>
      <c r="M6185" s="74">
        <f t="shared" si="2"/>
        <v>1470000</v>
      </c>
      <c r="N6185" s="74">
        <f t="shared" si="3"/>
        <v>400000</v>
      </c>
      <c r="O6185" s="65" t="str">
        <f>VLOOKUP(E6185,DATABASE!C:Q,8,false)</f>
        <v>IBU</v>
      </c>
      <c r="P6185" s="65">
        <f>VLOOKUP(E6185,DATABASE!C:Q,9,False)</f>
        <v>1</v>
      </c>
      <c r="Q6185" s="93" t="str">
        <f>VLOOKUP(E6185,DATABASE!C:Q,4,false)</f>
        <v>Bridgestone</v>
      </c>
      <c r="R6185" s="93" t="str">
        <f>VLOOKUP(E6185,DATABASE!C:Q,11,false)</f>
        <v>Tire</v>
      </c>
    </row>
    <row r="6186" ht="22.5" customHeight="1">
      <c r="A6186" s="49"/>
      <c r="C6186" s="400">
        <v>46014.0</v>
      </c>
      <c r="D6186" s="524">
        <v>8311.0</v>
      </c>
      <c r="E6186" s="544" t="s">
        <v>256</v>
      </c>
      <c r="F6186" s="387">
        <v>1.0</v>
      </c>
      <c r="G6186" s="140">
        <v>150000.0</v>
      </c>
      <c r="H6186" s="140">
        <v>20000.0</v>
      </c>
      <c r="I6186" s="74">
        <f t="shared" si="1"/>
        <v>130000</v>
      </c>
      <c r="J6186" s="74">
        <f>IF(E6186="SERVICE",I6186-(I6186*50%),Vlookup(E6186,DATABASE!C:Q,10,false)*F6186)</f>
        <v>10000</v>
      </c>
      <c r="K6186" s="74">
        <f>VLOOKUP(E6186,DATABASE!C:Q,7,false)</f>
        <v>0</v>
      </c>
      <c r="L6186" s="74">
        <v>0.0</v>
      </c>
      <c r="M6186" s="74">
        <f t="shared" si="2"/>
        <v>0</v>
      </c>
      <c r="N6186" s="74">
        <f t="shared" si="3"/>
        <v>120000</v>
      </c>
      <c r="O6186" s="65" t="str">
        <f>VLOOKUP(E6186,DATABASE!C:Q,8,false)</f>
        <v>IBU</v>
      </c>
      <c r="P6186" s="65">
        <f>VLOOKUP(E6186,DATABASE!C:Q,9,False)</f>
        <v>0</v>
      </c>
      <c r="Q6186" s="93" t="str">
        <f>VLOOKUP(E6186,DATABASE!C:Q,4,false)</f>
        <v>SPOORING</v>
      </c>
      <c r="R6186" s="93" t="str">
        <f>VLOOKUP(E6186,DATABASE!C:Q,11,false)</f>
        <v>SERVICE</v>
      </c>
    </row>
    <row r="6187" ht="22.5" customHeight="1">
      <c r="A6187" s="49"/>
      <c r="C6187" s="400">
        <v>46014.0</v>
      </c>
      <c r="D6187" s="524">
        <v>8311.0</v>
      </c>
      <c r="E6187" s="544" t="s">
        <v>299</v>
      </c>
      <c r="F6187" s="387">
        <v>2.0</v>
      </c>
      <c r="G6187" s="140">
        <v>30000.0</v>
      </c>
      <c r="H6187" s="74"/>
      <c r="I6187" s="74">
        <f t="shared" si="1"/>
        <v>60000</v>
      </c>
      <c r="J6187" s="74">
        <f>IF(E6187="SERVICE",I6187-(I6187*50%),Vlookup(E6187,DATABASE!C:Q,10,false)*F6187)</f>
        <v>0</v>
      </c>
      <c r="K6187" s="74">
        <f>VLOOKUP(E6187,DATABASE!C:Q,7,false)</f>
        <v>10000</v>
      </c>
      <c r="L6187" s="74">
        <v>5000.0</v>
      </c>
      <c r="M6187" s="74">
        <f t="shared" si="2"/>
        <v>5000</v>
      </c>
      <c r="N6187" s="74">
        <f t="shared" si="3"/>
        <v>50000</v>
      </c>
      <c r="O6187" s="65" t="str">
        <f>VLOOKUP(E6187,DATABASE!C:Q,8,false)</f>
        <v>BIAN</v>
      </c>
      <c r="P6187" s="65">
        <f>VLOOKUP(E6187,DATABASE!C:Q,9,False)</f>
        <v>0</v>
      </c>
      <c r="Q6187" s="93" t="str">
        <f>VLOOKUP(E6187,DATABASE!C:Q,4,false)</f>
        <v>Balancing</v>
      </c>
      <c r="R6187" s="93" t="str">
        <f>VLOOKUP(E6187,DATABASE!C:Q,11,false)</f>
        <v>COMPLEMENTARY</v>
      </c>
    </row>
    <row r="6188" ht="22.5" customHeight="1">
      <c r="A6188" s="49"/>
      <c r="C6188" s="400">
        <v>46014.0</v>
      </c>
      <c r="D6188" s="524">
        <v>8312.0</v>
      </c>
      <c r="E6188" s="544" t="s">
        <v>301</v>
      </c>
      <c r="F6188" s="387">
        <v>1.0</v>
      </c>
      <c r="G6188" s="140">
        <v>250000.0</v>
      </c>
      <c r="H6188" s="74"/>
      <c r="I6188" s="74">
        <f t="shared" si="1"/>
        <v>250000</v>
      </c>
      <c r="J6188" s="74">
        <f>IF(E6188="SERVICE",I6188-(I6188*50%),Vlookup(E6188,DATABASE!C:Q,10,false)*F6188)</f>
        <v>75000</v>
      </c>
      <c r="K6188" s="74">
        <f>VLOOKUP(E6188,DATABASE!C:Q,7,false)</f>
        <v>75000</v>
      </c>
      <c r="L6188" s="74">
        <v>75000.0</v>
      </c>
      <c r="M6188" s="74">
        <f t="shared" si="2"/>
        <v>75000</v>
      </c>
      <c r="N6188" s="74">
        <f t="shared" si="3"/>
        <v>100000</v>
      </c>
      <c r="O6188" s="65" t="str">
        <f>VLOOKUP(E6188,DATABASE!C:Q,8,false)</f>
        <v>BIAN</v>
      </c>
      <c r="P6188" s="65">
        <f>VLOOKUP(E6188,DATABASE!C:Q,9,False)</f>
        <v>0</v>
      </c>
      <c r="Q6188" s="93" t="str">
        <f>VLOOKUP(E6188,DATABASE!C:Q,4,false)</f>
        <v>Baut Camber</v>
      </c>
      <c r="R6188" s="93" t="str">
        <f>VLOOKUP(E6188,DATABASE!C:Q,11,false)</f>
        <v>COMPLEMENTARY</v>
      </c>
    </row>
    <row r="6189" ht="22.5" customHeight="1">
      <c r="A6189" s="49"/>
      <c r="C6189" s="400">
        <v>46014.0</v>
      </c>
      <c r="D6189" s="524">
        <v>8314.0</v>
      </c>
      <c r="E6189" s="544" t="s">
        <v>932</v>
      </c>
      <c r="F6189" s="387">
        <v>1.0</v>
      </c>
      <c r="G6189" s="140">
        <v>680000.0</v>
      </c>
      <c r="H6189" s="74"/>
      <c r="I6189" s="74">
        <f t="shared" si="1"/>
        <v>680000</v>
      </c>
      <c r="J6189" s="74">
        <f>IF(E6189="SERVICE",I6189-(I6189*50%),Vlookup(E6189,DATABASE!C:Q,10,false)*F6189)</f>
        <v>0</v>
      </c>
      <c r="K6189" s="74">
        <f>VLOOKUP(E6189,DATABASE!C:Q,7,false)</f>
        <v>601000</v>
      </c>
      <c r="L6189" s="74">
        <v>595000.0</v>
      </c>
      <c r="M6189" s="74">
        <f t="shared" si="2"/>
        <v>595000</v>
      </c>
      <c r="N6189" s="74">
        <f t="shared" si="3"/>
        <v>85000</v>
      </c>
      <c r="O6189" s="65" t="str">
        <f>VLOOKUP(E6189,DATABASE!C:Q,8,false)</f>
        <v>IBU</v>
      </c>
      <c r="P6189" s="65">
        <f>VLOOKUP(E6189,DATABASE!C:Q,9,False)</f>
        <v>1</v>
      </c>
      <c r="Q6189" s="93" t="str">
        <f>VLOOKUP(E6189,DATABASE!C:Q,4,false)</f>
        <v>Dunlop</v>
      </c>
      <c r="R6189" s="93" t="str">
        <f>VLOOKUP(E6189,DATABASE!C:Q,11,false)</f>
        <v>Tire</v>
      </c>
    </row>
    <row r="6190" ht="22.5" customHeight="1">
      <c r="A6190" s="49"/>
      <c r="C6190" s="400">
        <v>46014.0</v>
      </c>
      <c r="D6190" s="524">
        <v>8314.0</v>
      </c>
      <c r="E6190" s="544" t="s">
        <v>569</v>
      </c>
      <c r="F6190" s="387">
        <v>1.0</v>
      </c>
      <c r="G6190" s="140">
        <v>80000.0</v>
      </c>
      <c r="H6190" s="74"/>
      <c r="I6190" s="74">
        <f t="shared" si="1"/>
        <v>80000</v>
      </c>
      <c r="J6190" s="74">
        <f>IF(E6190="SERVICE",I6190-(I6190*50%),Vlookup(E6190,DATABASE!C:Q,10,false)*F6190)</f>
        <v>0</v>
      </c>
      <c r="K6190" s="74">
        <f>VLOOKUP(E6190,DATABASE!C:Q,7,false)</f>
        <v>45439.582</v>
      </c>
      <c r="L6190" s="74">
        <v>45309.6</v>
      </c>
      <c r="M6190" s="74">
        <f t="shared" si="2"/>
        <v>50000</v>
      </c>
      <c r="N6190" s="74">
        <f t="shared" si="3"/>
        <v>30000</v>
      </c>
      <c r="O6190" s="65" t="str">
        <f>VLOOKUP(E6190,DATABASE!C:Q,8,false)</f>
        <v>BIAN</v>
      </c>
      <c r="P6190" s="65">
        <f>VLOOKUP(E6190,DATABASE!C:Q,9,False)</f>
        <v>1</v>
      </c>
      <c r="Q6190" s="93" t="str">
        <f>VLOOKUP(E6190,DATABASE!C:Q,4,false)</f>
        <v>BD</v>
      </c>
      <c r="R6190" s="93" t="str">
        <f>VLOOKUP(E6190,DATABASE!C:Q,11,false)</f>
        <v>Tire</v>
      </c>
    </row>
    <row r="6191" ht="22.5" customHeight="1">
      <c r="A6191" s="49"/>
      <c r="C6191" s="400">
        <v>46014.0</v>
      </c>
      <c r="D6191" s="69" t="s">
        <v>2667</v>
      </c>
      <c r="E6191" s="544" t="s">
        <v>263</v>
      </c>
      <c r="F6191" s="387">
        <v>1.0</v>
      </c>
      <c r="G6191" s="140">
        <v>320000.0</v>
      </c>
      <c r="H6191" s="74"/>
      <c r="I6191" s="74">
        <f t="shared" si="1"/>
        <v>320000</v>
      </c>
      <c r="J6191" s="74">
        <f>IF(E6191="SERVICE",I6191-(I6191*50%),Vlookup(E6191,DATABASE!C:Q,10,false)*F6191)</f>
        <v>0</v>
      </c>
      <c r="K6191" s="74">
        <f>VLOOKUP(E6191,DATABASE!C:Q,7,false)</f>
        <v>334916</v>
      </c>
      <c r="L6191" s="74">
        <v>287688.0</v>
      </c>
      <c r="M6191" s="74">
        <f t="shared" si="2"/>
        <v>290000</v>
      </c>
      <c r="N6191" s="74">
        <f t="shared" si="3"/>
        <v>30000</v>
      </c>
      <c r="O6191" s="65" t="str">
        <f>VLOOKUP(E6191,DATABASE!C:Q,8,false)</f>
        <v>NON</v>
      </c>
      <c r="P6191" s="65">
        <f>VLOOKUP(E6191,DATABASE!C:Q,9,False)</f>
        <v>0</v>
      </c>
      <c r="Q6191" s="93" t="str">
        <f>VLOOKUP(E6191,DATABASE!C:Q,4,false)</f>
        <v>Shell</v>
      </c>
      <c r="R6191" s="93" t="str">
        <f>VLOOKUP(E6191,DATABASE!C:Q,11,false)</f>
        <v>OIL</v>
      </c>
    </row>
    <row r="6192" ht="22.5" customHeight="1">
      <c r="A6192" s="49"/>
      <c r="C6192" s="400">
        <v>46015.0</v>
      </c>
      <c r="D6192" s="524">
        <v>8315.0</v>
      </c>
      <c r="E6192" s="544" t="s">
        <v>268</v>
      </c>
      <c r="F6192" s="387">
        <v>1.0</v>
      </c>
      <c r="G6192" s="140">
        <v>710000.0</v>
      </c>
      <c r="H6192" s="74"/>
      <c r="I6192" s="74">
        <f t="shared" si="1"/>
        <v>710000</v>
      </c>
      <c r="J6192" s="74">
        <f>IF(E6192="SERVICE",I6192-(I6192*50%),Vlookup(E6192,DATABASE!C:Q,10,false)*F6192)</f>
        <v>0</v>
      </c>
      <c r="K6192" s="74">
        <f>VLOOKUP(E6192,DATABASE!C:Q,7,false)</f>
        <v>653000</v>
      </c>
      <c r="L6192" s="74">
        <v>622000.0</v>
      </c>
      <c r="M6192" s="74">
        <f t="shared" si="2"/>
        <v>625000</v>
      </c>
      <c r="N6192" s="74">
        <f t="shared" si="3"/>
        <v>85000</v>
      </c>
      <c r="O6192" s="65" t="str">
        <f>VLOOKUP(E6192,DATABASE!C:Q,8,false)</f>
        <v>IBU</v>
      </c>
      <c r="P6192" s="65">
        <f>VLOOKUP(E6192,DATABASE!C:Q,9,False)</f>
        <v>1</v>
      </c>
      <c r="Q6192" s="93" t="str">
        <f>VLOOKUP(E6192,DATABASE!C:Q,4,false)</f>
        <v>Dunlop</v>
      </c>
      <c r="R6192" s="93" t="str">
        <f>VLOOKUP(E6192,DATABASE!C:Q,11,false)</f>
        <v>Tire</v>
      </c>
    </row>
    <row r="6193" ht="22.5" customHeight="1">
      <c r="A6193" s="49"/>
      <c r="C6193" s="400">
        <v>46015.0</v>
      </c>
      <c r="D6193" s="524">
        <v>8316.0</v>
      </c>
      <c r="E6193" s="544" t="s">
        <v>246</v>
      </c>
      <c r="F6193" s="387">
        <v>8.0</v>
      </c>
      <c r="G6193" s="140">
        <v>35000.0</v>
      </c>
      <c r="H6193" s="74"/>
      <c r="I6193" s="74">
        <f t="shared" si="1"/>
        <v>280000</v>
      </c>
      <c r="J6193" s="74">
        <f>IF(E6193="SERVICE",I6193-(I6193*50%),Vlookup(E6193,DATABASE!C:Q,10,false)*F6193)</f>
        <v>0</v>
      </c>
      <c r="K6193" s="74">
        <f>VLOOKUP(E6193,DATABASE!C:Q,7,false)</f>
        <v>0</v>
      </c>
      <c r="L6193" s="74">
        <v>0.0</v>
      </c>
      <c r="M6193" s="74">
        <f t="shared" si="2"/>
        <v>0</v>
      </c>
      <c r="N6193" s="74">
        <f t="shared" si="3"/>
        <v>280000</v>
      </c>
      <c r="O6193" s="65" t="str">
        <f>VLOOKUP(E6193,DATABASE!C:Q,8,false)</f>
        <v>IBU</v>
      </c>
      <c r="P6193" s="65">
        <f>VLOOKUP(E6193,DATABASE!C:Q,9,False)</f>
        <v>0</v>
      </c>
      <c r="Q6193" s="93" t="str">
        <f>VLOOKUP(E6193,DATABASE!C:Q,4,false)</f>
        <v>Bongkar Pasang</v>
      </c>
      <c r="R6193" s="93" t="str">
        <f>VLOOKUP(E6193,DATABASE!C:Q,11,false)</f>
        <v>SERVICE</v>
      </c>
    </row>
    <row r="6194" ht="22.5" customHeight="1">
      <c r="A6194" s="49"/>
      <c r="C6194" s="400">
        <v>46015.0</v>
      </c>
      <c r="D6194" s="69">
        <v>8317.0</v>
      </c>
      <c r="E6194" s="544" t="s">
        <v>268</v>
      </c>
      <c r="F6194" s="387">
        <v>2.0</v>
      </c>
      <c r="G6194" s="140">
        <v>710000.0</v>
      </c>
      <c r="H6194" s="74"/>
      <c r="I6194" s="74">
        <f t="shared" si="1"/>
        <v>1420000</v>
      </c>
      <c r="J6194" s="74">
        <f>IF(E6194="SERVICE",I6194-(I6194*50%),Vlookup(E6194,DATABASE!C:Q,10,false)*F6194)</f>
        <v>0</v>
      </c>
      <c r="K6194" s="74">
        <f>VLOOKUP(E6194,DATABASE!C:Q,7,false)</f>
        <v>653000</v>
      </c>
      <c r="L6194" s="74">
        <v>622000.0</v>
      </c>
      <c r="M6194" s="74">
        <f t="shared" si="2"/>
        <v>625000</v>
      </c>
      <c r="N6194" s="74">
        <f t="shared" si="3"/>
        <v>170000</v>
      </c>
      <c r="O6194" s="65" t="str">
        <f>VLOOKUP(E6194,DATABASE!C:Q,8,false)</f>
        <v>IBU</v>
      </c>
      <c r="P6194" s="65">
        <f>VLOOKUP(E6194,DATABASE!C:Q,9,False)</f>
        <v>1</v>
      </c>
      <c r="Q6194" s="93" t="str">
        <f>VLOOKUP(E6194,DATABASE!C:Q,4,false)</f>
        <v>Dunlop</v>
      </c>
      <c r="R6194" s="93" t="str">
        <f>VLOOKUP(E6194,DATABASE!C:Q,11,false)</f>
        <v>Tire</v>
      </c>
    </row>
    <row r="6195" ht="22.5" customHeight="1">
      <c r="A6195" s="49"/>
      <c r="C6195" s="400">
        <v>46015.0</v>
      </c>
      <c r="D6195" s="524">
        <v>8318.0</v>
      </c>
      <c r="E6195" s="544" t="s">
        <v>569</v>
      </c>
      <c r="F6195" s="387">
        <v>1.0</v>
      </c>
      <c r="G6195" s="140">
        <v>80000.0</v>
      </c>
      <c r="H6195" s="74"/>
      <c r="I6195" s="74">
        <f t="shared" si="1"/>
        <v>80000</v>
      </c>
      <c r="J6195" s="74">
        <f>IF(E6195="SERVICE",I6195-(I6195*50%),Vlookup(E6195,DATABASE!C:Q,10,false)*F6195)</f>
        <v>0</v>
      </c>
      <c r="K6195" s="74">
        <f>VLOOKUP(E6195,DATABASE!C:Q,7,false)</f>
        <v>45439.582</v>
      </c>
      <c r="L6195" s="74">
        <v>45309.6</v>
      </c>
      <c r="M6195" s="74">
        <f t="shared" si="2"/>
        <v>50000</v>
      </c>
      <c r="N6195" s="74">
        <f t="shared" si="3"/>
        <v>30000</v>
      </c>
      <c r="O6195" s="65" t="str">
        <f>VLOOKUP(E6195,DATABASE!C:Q,8,false)</f>
        <v>BIAN</v>
      </c>
      <c r="P6195" s="65">
        <f>VLOOKUP(E6195,DATABASE!C:Q,9,False)</f>
        <v>1</v>
      </c>
      <c r="Q6195" s="93" t="str">
        <f>VLOOKUP(E6195,DATABASE!C:Q,4,false)</f>
        <v>BD</v>
      </c>
      <c r="R6195" s="93" t="str">
        <f>VLOOKUP(E6195,DATABASE!C:Q,11,false)</f>
        <v>Tire</v>
      </c>
    </row>
    <row r="6196" ht="22.5" customHeight="1">
      <c r="A6196" s="49"/>
      <c r="C6196" s="400">
        <v>46015.0</v>
      </c>
      <c r="D6196" s="524">
        <v>8319.0</v>
      </c>
      <c r="E6196" s="544" t="s">
        <v>764</v>
      </c>
      <c r="F6196" s="387">
        <v>1.0</v>
      </c>
      <c r="G6196" s="140">
        <v>200000.0</v>
      </c>
      <c r="H6196" s="74"/>
      <c r="I6196" s="74">
        <f t="shared" si="1"/>
        <v>200000</v>
      </c>
      <c r="J6196" s="74">
        <f>IF(E6196="SERVICE",I6196-(I6196*50%),Vlookup(E6196,DATABASE!C:Q,10,false)*F6196)</f>
        <v>0</v>
      </c>
      <c r="K6196" s="74">
        <f>VLOOKUP(E6196,DATABASE!C:Q,7,false)</f>
        <v>145000</v>
      </c>
      <c r="L6196" s="74">
        <v>145000.0</v>
      </c>
      <c r="M6196" s="74">
        <f t="shared" si="2"/>
        <v>145000</v>
      </c>
      <c r="N6196" s="74">
        <f t="shared" si="3"/>
        <v>55000</v>
      </c>
      <c r="O6196" s="65" t="str">
        <f>VLOOKUP(E6196,DATABASE!C:Q,8,false)</f>
        <v>BIAN</v>
      </c>
      <c r="P6196" s="65">
        <f>VLOOKUP(E6196,DATABASE!C:Q,9,False)</f>
        <v>1</v>
      </c>
      <c r="Q6196" s="93" t="str">
        <f>VLOOKUP(E6196,DATABASE!C:Q,4,false)</f>
        <v>BD</v>
      </c>
      <c r="R6196" s="93" t="str">
        <f>VLOOKUP(E6196,DATABASE!C:Q,11,false)</f>
        <v>Tire</v>
      </c>
    </row>
    <row r="6197" ht="22.5" customHeight="1">
      <c r="A6197" s="49"/>
      <c r="C6197" s="400">
        <v>46015.0</v>
      </c>
      <c r="D6197" s="524">
        <v>8320.0</v>
      </c>
      <c r="E6197" s="544" t="s">
        <v>1951</v>
      </c>
      <c r="F6197" s="387">
        <v>2.0</v>
      </c>
      <c r="G6197" s="140">
        <v>860000.0</v>
      </c>
      <c r="H6197" s="140">
        <v>0.0</v>
      </c>
      <c r="I6197" s="74">
        <f t="shared" si="1"/>
        <v>1720000</v>
      </c>
      <c r="J6197" s="74">
        <f>IF(E6197="SERVICE",I6197-(I6197*50%),Vlookup(E6197,DATABASE!C:Q,10,false)*F6197)</f>
        <v>0</v>
      </c>
      <c r="K6197" s="74">
        <f>VLOOKUP(E6197,DATABASE!C:Q,7,false)</f>
        <v>757300</v>
      </c>
      <c r="L6197" s="74">
        <v>757300.0</v>
      </c>
      <c r="M6197" s="74">
        <f t="shared" si="2"/>
        <v>760000</v>
      </c>
      <c r="N6197" s="74">
        <f t="shared" si="3"/>
        <v>200000</v>
      </c>
      <c r="O6197" s="65" t="str">
        <f>VLOOKUP(E6197,DATABASE!C:Q,8,false)</f>
        <v>BIAN</v>
      </c>
      <c r="P6197" s="65">
        <f>VLOOKUP(E6197,DATABASE!C:Q,9,False)</f>
        <v>1</v>
      </c>
      <c r="Q6197" s="93" t="str">
        <f>VLOOKUP(E6197,DATABASE!C:Q,4,false)</f>
        <v>GT</v>
      </c>
      <c r="R6197" s="93" t="str">
        <f>VLOOKUP(E6197,DATABASE!C:Q,11,false)</f>
        <v>Tire</v>
      </c>
    </row>
    <row r="6198" ht="22.5" customHeight="1">
      <c r="A6198" s="49"/>
      <c r="C6198" s="400">
        <v>46015.0</v>
      </c>
      <c r="D6198" s="524">
        <v>8321.0</v>
      </c>
      <c r="E6198" s="544" t="s">
        <v>256</v>
      </c>
      <c r="F6198" s="387">
        <v>1.0</v>
      </c>
      <c r="G6198" s="140">
        <v>150000.0</v>
      </c>
      <c r="H6198" s="140">
        <v>20000.0</v>
      </c>
      <c r="I6198" s="74">
        <f t="shared" si="1"/>
        <v>130000</v>
      </c>
      <c r="J6198" s="74">
        <f>IF(E6198="SERVICE",I6198-(I6198*50%),Vlookup(E6198,DATABASE!C:Q,10,false)*F6198)</f>
        <v>10000</v>
      </c>
      <c r="K6198" s="74">
        <f>VLOOKUP(E6198,DATABASE!C:Q,7,false)</f>
        <v>0</v>
      </c>
      <c r="L6198" s="74">
        <v>0.0</v>
      </c>
      <c r="M6198" s="74">
        <f t="shared" si="2"/>
        <v>0</v>
      </c>
      <c r="N6198" s="74">
        <f t="shared" si="3"/>
        <v>120000</v>
      </c>
      <c r="O6198" s="65" t="str">
        <f>VLOOKUP(E6198,DATABASE!C:Q,8,false)</f>
        <v>IBU</v>
      </c>
      <c r="P6198" s="65">
        <f>VLOOKUP(E6198,DATABASE!C:Q,9,False)</f>
        <v>0</v>
      </c>
      <c r="Q6198" s="93" t="str">
        <f>VLOOKUP(E6198,DATABASE!C:Q,4,false)</f>
        <v>SPOORING</v>
      </c>
      <c r="R6198" s="93" t="str">
        <f>VLOOKUP(E6198,DATABASE!C:Q,11,false)</f>
        <v>SERVICE</v>
      </c>
    </row>
    <row r="6199" ht="22.5" customHeight="1">
      <c r="A6199" s="49"/>
      <c r="C6199" s="400">
        <v>46015.0</v>
      </c>
      <c r="D6199" s="524">
        <v>8321.0</v>
      </c>
      <c r="E6199" s="544" t="s">
        <v>251</v>
      </c>
      <c r="F6199" s="387">
        <v>1.0</v>
      </c>
      <c r="G6199" s="140">
        <v>350000.0</v>
      </c>
      <c r="H6199" s="140">
        <v>200000.0</v>
      </c>
      <c r="I6199" s="74">
        <f t="shared" si="1"/>
        <v>150000</v>
      </c>
      <c r="J6199" s="74">
        <f>IF(E6199="SERVICE",I6199-(I6199*50%),Vlookup(E6199,DATABASE!C:Q,10,false)*F6199)</f>
        <v>75000</v>
      </c>
      <c r="K6199" s="74">
        <f>VLOOKUP(E6199,DATABASE!C:Q,7,false)</f>
        <v>0</v>
      </c>
      <c r="L6199" s="74">
        <v>0.0</v>
      </c>
      <c r="M6199" s="74">
        <f t="shared" si="2"/>
        <v>0</v>
      </c>
      <c r="N6199" s="74">
        <f t="shared" si="3"/>
        <v>75000</v>
      </c>
      <c r="O6199" s="65" t="str">
        <f>VLOOKUP(E6199,DATABASE!C:Q,8,false)</f>
        <v>IBU</v>
      </c>
      <c r="P6199" s="65">
        <f>VLOOKUP(E6199,DATABASE!C:Q,9,False)</f>
        <v>0</v>
      </c>
      <c r="Q6199" s="93" t="str">
        <f>VLOOKUP(E6199,DATABASE!C:Q,4,false)</f>
        <v>SERVICE</v>
      </c>
      <c r="R6199" s="93" t="str">
        <f>VLOOKUP(E6199,DATABASE!C:Q,11,false)</f>
        <v>SERVICE</v>
      </c>
    </row>
    <row r="6200" ht="22.5" customHeight="1">
      <c r="A6200" s="49"/>
      <c r="C6200" s="400">
        <v>46015.0</v>
      </c>
      <c r="D6200" s="524">
        <v>8322.0</v>
      </c>
      <c r="E6200" s="544" t="s">
        <v>268</v>
      </c>
      <c r="F6200" s="387">
        <v>2.0</v>
      </c>
      <c r="G6200" s="140">
        <v>710000.0</v>
      </c>
      <c r="H6200" s="74"/>
      <c r="I6200" s="74">
        <f t="shared" si="1"/>
        <v>1420000</v>
      </c>
      <c r="J6200" s="74">
        <f>IF(E6200="SERVICE",I6200-(I6200*50%),Vlookup(E6200,DATABASE!C:Q,10,false)*F6200)</f>
        <v>0</v>
      </c>
      <c r="K6200" s="74">
        <f>VLOOKUP(E6200,DATABASE!C:Q,7,false)</f>
        <v>653000</v>
      </c>
      <c r="L6200" s="74">
        <v>622000.0</v>
      </c>
      <c r="M6200" s="74">
        <f t="shared" si="2"/>
        <v>625000</v>
      </c>
      <c r="N6200" s="74">
        <f t="shared" si="3"/>
        <v>170000</v>
      </c>
      <c r="O6200" s="65" t="str">
        <f>VLOOKUP(E6200,DATABASE!C:Q,8,false)</f>
        <v>IBU</v>
      </c>
      <c r="P6200" s="65">
        <f>VLOOKUP(E6200,DATABASE!C:Q,9,False)</f>
        <v>1</v>
      </c>
      <c r="Q6200" s="93" t="str">
        <f>VLOOKUP(E6200,DATABASE!C:Q,4,false)</f>
        <v>Dunlop</v>
      </c>
      <c r="R6200" s="93" t="str">
        <f>VLOOKUP(E6200,DATABASE!C:Q,11,false)</f>
        <v>Tire</v>
      </c>
    </row>
    <row r="6201" ht="22.5" customHeight="1">
      <c r="A6201" s="49"/>
      <c r="C6201" s="400">
        <v>46015.0</v>
      </c>
      <c r="D6201" s="524">
        <v>8323.0</v>
      </c>
      <c r="E6201" s="544" t="s">
        <v>246</v>
      </c>
      <c r="F6201" s="387">
        <v>4.0</v>
      </c>
      <c r="G6201" s="140">
        <v>35000.0</v>
      </c>
      <c r="H6201" s="140">
        <v>5000.0</v>
      </c>
      <c r="I6201" s="74">
        <f t="shared" si="1"/>
        <v>120000</v>
      </c>
      <c r="J6201" s="74">
        <f>IF(E6201="SERVICE",I6201-(I6201*50%),Vlookup(E6201,DATABASE!C:Q,10,false)*F6201)</f>
        <v>0</v>
      </c>
      <c r="K6201" s="74">
        <f>VLOOKUP(E6201,DATABASE!C:Q,7,false)</f>
        <v>0</v>
      </c>
      <c r="L6201" s="74">
        <v>0.0</v>
      </c>
      <c r="M6201" s="74">
        <f t="shared" si="2"/>
        <v>0</v>
      </c>
      <c r="N6201" s="74">
        <f t="shared" si="3"/>
        <v>120000</v>
      </c>
      <c r="O6201" s="65" t="str">
        <f>VLOOKUP(E6201,DATABASE!C:Q,8,false)</f>
        <v>IBU</v>
      </c>
      <c r="P6201" s="65">
        <f>VLOOKUP(E6201,DATABASE!C:Q,9,False)</f>
        <v>0</v>
      </c>
      <c r="Q6201" s="93" t="str">
        <f>VLOOKUP(E6201,DATABASE!C:Q,4,false)</f>
        <v>Bongkar Pasang</v>
      </c>
      <c r="R6201" s="93" t="str">
        <f>VLOOKUP(E6201,DATABASE!C:Q,11,false)</f>
        <v>SERVICE</v>
      </c>
    </row>
    <row r="6202" ht="22.5" customHeight="1">
      <c r="A6202" s="49"/>
      <c r="C6202" s="400">
        <v>46015.0</v>
      </c>
      <c r="D6202" s="524">
        <v>8324.0</v>
      </c>
      <c r="E6202" s="544" t="s">
        <v>777</v>
      </c>
      <c r="F6202" s="387">
        <v>1.0</v>
      </c>
      <c r="G6202" s="140">
        <v>600000.0</v>
      </c>
      <c r="H6202" s="140">
        <v>15000.0</v>
      </c>
      <c r="I6202" s="74">
        <f t="shared" si="1"/>
        <v>585000</v>
      </c>
      <c r="J6202" s="74">
        <f>IF(E6202="SERVICE",I6202-(I6202*50%),Vlookup(E6202,DATABASE!C:Q,10,false)*F6202)</f>
        <v>0</v>
      </c>
      <c r="K6202" s="74">
        <f>VLOOKUP(E6202,DATABASE!C:Q,7,false)</f>
        <v>540000</v>
      </c>
      <c r="L6202" s="74">
        <v>507000.0</v>
      </c>
      <c r="M6202" s="74">
        <f t="shared" si="2"/>
        <v>510000</v>
      </c>
      <c r="N6202" s="74">
        <f t="shared" si="3"/>
        <v>75000</v>
      </c>
      <c r="O6202" s="65" t="str">
        <f>VLOOKUP(E6202,DATABASE!C:Q,8,false)</f>
        <v>BIAN</v>
      </c>
      <c r="P6202" s="65">
        <f>VLOOKUP(E6202,DATABASE!C:Q,9,False)</f>
        <v>1</v>
      </c>
      <c r="Q6202" s="93" t="str">
        <f>VLOOKUP(E6202,DATABASE!C:Q,4,false)</f>
        <v>GT</v>
      </c>
      <c r="R6202" s="93" t="str">
        <f>VLOOKUP(E6202,DATABASE!C:Q,11,false)</f>
        <v>Tire</v>
      </c>
    </row>
    <row r="6203" ht="22.5" customHeight="1">
      <c r="A6203" s="49"/>
      <c r="C6203" s="400">
        <v>46015.0</v>
      </c>
      <c r="D6203" s="524">
        <v>8325.0</v>
      </c>
      <c r="E6203" s="544" t="s">
        <v>256</v>
      </c>
      <c r="F6203" s="387">
        <v>1.0</v>
      </c>
      <c r="G6203" s="140">
        <v>150000.0</v>
      </c>
      <c r="H6203" s="140">
        <v>20000.0</v>
      </c>
      <c r="I6203" s="74">
        <f t="shared" si="1"/>
        <v>130000</v>
      </c>
      <c r="J6203" s="74">
        <f>IF(E6203="SERVICE",I6203-(I6203*50%),Vlookup(E6203,DATABASE!C:Q,10,false)*F6203)</f>
        <v>10000</v>
      </c>
      <c r="K6203" s="74">
        <f>VLOOKUP(E6203,DATABASE!C:Q,7,false)</f>
        <v>0</v>
      </c>
      <c r="L6203" s="74">
        <v>0.0</v>
      </c>
      <c r="M6203" s="74">
        <f t="shared" si="2"/>
        <v>0</v>
      </c>
      <c r="N6203" s="74">
        <f t="shared" si="3"/>
        <v>120000</v>
      </c>
      <c r="O6203" s="65" t="str">
        <f>VLOOKUP(E6203,DATABASE!C:Q,8,false)</f>
        <v>IBU</v>
      </c>
      <c r="P6203" s="65">
        <f>VLOOKUP(E6203,DATABASE!C:Q,9,False)</f>
        <v>0</v>
      </c>
      <c r="Q6203" s="93" t="str">
        <f>VLOOKUP(E6203,DATABASE!C:Q,4,false)</f>
        <v>SPOORING</v>
      </c>
      <c r="R6203" s="93" t="str">
        <f>VLOOKUP(E6203,DATABASE!C:Q,11,false)</f>
        <v>SERVICE</v>
      </c>
    </row>
    <row r="6204" ht="22.5" customHeight="1">
      <c r="A6204" s="49"/>
      <c r="C6204" s="400">
        <v>46015.0</v>
      </c>
      <c r="D6204" s="524">
        <v>8325.0</v>
      </c>
      <c r="E6204" s="544" t="s">
        <v>251</v>
      </c>
      <c r="F6204" s="387">
        <v>1.0</v>
      </c>
      <c r="G6204" s="140">
        <v>350000.0</v>
      </c>
      <c r="H6204" s="140">
        <v>200000.0</v>
      </c>
      <c r="I6204" s="74">
        <f t="shared" si="1"/>
        <v>150000</v>
      </c>
      <c r="J6204" s="74">
        <f>IF(E6204="SERVICE",I6204-(I6204*50%),Vlookup(E6204,DATABASE!C:Q,10,false)*F6204)</f>
        <v>75000</v>
      </c>
      <c r="K6204" s="74">
        <f>VLOOKUP(E6204,DATABASE!C:Q,7,false)</f>
        <v>0</v>
      </c>
      <c r="L6204" s="74">
        <v>0.0</v>
      </c>
      <c r="M6204" s="74">
        <f t="shared" si="2"/>
        <v>0</v>
      </c>
      <c r="N6204" s="74">
        <f t="shared" si="3"/>
        <v>75000</v>
      </c>
      <c r="O6204" s="65" t="str">
        <f>VLOOKUP(E6204,DATABASE!C:Q,8,false)</f>
        <v>IBU</v>
      </c>
      <c r="P6204" s="65">
        <f>VLOOKUP(E6204,DATABASE!C:Q,9,False)</f>
        <v>0</v>
      </c>
      <c r="Q6204" s="93" t="str">
        <f>VLOOKUP(E6204,DATABASE!C:Q,4,false)</f>
        <v>SERVICE</v>
      </c>
      <c r="R6204" s="93" t="str">
        <f>VLOOKUP(E6204,DATABASE!C:Q,11,false)</f>
        <v>SERVICE</v>
      </c>
    </row>
    <row r="6205" ht="22.5" customHeight="1">
      <c r="A6205" s="49"/>
      <c r="C6205" s="400">
        <v>46015.0</v>
      </c>
      <c r="D6205" s="524">
        <v>8326.0</v>
      </c>
      <c r="E6205" s="544" t="s">
        <v>937</v>
      </c>
      <c r="F6205" s="387">
        <v>2.0</v>
      </c>
      <c r="G6205" s="140">
        <v>900000.0</v>
      </c>
      <c r="H6205" s="140">
        <v>20000.0</v>
      </c>
      <c r="I6205" s="74">
        <f t="shared" si="1"/>
        <v>1760000</v>
      </c>
      <c r="J6205" s="74">
        <f>IF(E6205="SERVICE",I6205-(I6205*50%),Vlookup(E6205,DATABASE!C:Q,10,false)*F6205)</f>
        <v>0</v>
      </c>
      <c r="K6205" s="74">
        <f>VLOOKUP(E6205,DATABASE!C:Q,7,false)</f>
        <v>825000</v>
      </c>
      <c r="L6205" s="74">
        <v>790000.0</v>
      </c>
      <c r="M6205" s="74">
        <f t="shared" si="2"/>
        <v>790000</v>
      </c>
      <c r="N6205" s="74">
        <f t="shared" si="3"/>
        <v>180000</v>
      </c>
      <c r="O6205" s="65" t="str">
        <f>VLOOKUP(E6205,DATABASE!C:Q,8,false)</f>
        <v>IBU</v>
      </c>
      <c r="P6205" s="65">
        <f>VLOOKUP(E6205,DATABASE!C:Q,9,False)</f>
        <v>1</v>
      </c>
      <c r="Q6205" s="93" t="str">
        <f>VLOOKUP(E6205,DATABASE!C:Q,4,false)</f>
        <v>Bridgestone</v>
      </c>
      <c r="R6205" s="93" t="str">
        <f>VLOOKUP(E6205,DATABASE!C:Q,11,false)</f>
        <v>Tire</v>
      </c>
    </row>
    <row r="6206" ht="22.5" customHeight="1">
      <c r="A6206" s="49"/>
      <c r="C6206" s="400">
        <v>46015.0</v>
      </c>
      <c r="D6206" s="524">
        <v>8327.0</v>
      </c>
      <c r="E6206" s="544" t="s">
        <v>1951</v>
      </c>
      <c r="F6206" s="387">
        <v>1.0</v>
      </c>
      <c r="G6206" s="140">
        <v>860000.0</v>
      </c>
      <c r="H6206" s="74"/>
      <c r="I6206" s="74">
        <f t="shared" si="1"/>
        <v>860000</v>
      </c>
      <c r="J6206" s="74">
        <f>IF(E6206="SERVICE",I6206-(I6206*50%),Vlookup(E6206,DATABASE!C:Q,10,false)*F6206)</f>
        <v>0</v>
      </c>
      <c r="K6206" s="74">
        <f>VLOOKUP(E6206,DATABASE!C:Q,7,false)</f>
        <v>757300</v>
      </c>
      <c r="L6206" s="74">
        <v>757300.0</v>
      </c>
      <c r="M6206" s="74">
        <f t="shared" si="2"/>
        <v>760000</v>
      </c>
      <c r="N6206" s="74">
        <f t="shared" si="3"/>
        <v>100000</v>
      </c>
      <c r="O6206" s="65" t="str">
        <f>VLOOKUP(E6206,DATABASE!C:Q,8,false)</f>
        <v>BIAN</v>
      </c>
      <c r="P6206" s="65">
        <f>VLOOKUP(E6206,DATABASE!C:Q,9,False)</f>
        <v>1</v>
      </c>
      <c r="Q6206" s="93" t="str">
        <f>VLOOKUP(E6206,DATABASE!C:Q,4,false)</f>
        <v>GT</v>
      </c>
      <c r="R6206" s="93" t="str">
        <f>VLOOKUP(E6206,DATABASE!C:Q,11,false)</f>
        <v>Tire</v>
      </c>
    </row>
    <row r="6207" ht="22.5" customHeight="1">
      <c r="A6207" s="49"/>
      <c r="C6207" s="400">
        <v>46015.0</v>
      </c>
      <c r="D6207" s="524">
        <v>8329.0</v>
      </c>
      <c r="E6207" s="544" t="s">
        <v>924</v>
      </c>
      <c r="F6207" s="387">
        <v>4.0</v>
      </c>
      <c r="G6207" s="140">
        <v>1650000.0</v>
      </c>
      <c r="H6207" s="140">
        <v>20000.0</v>
      </c>
      <c r="I6207" s="74">
        <f t="shared" si="1"/>
        <v>6520000</v>
      </c>
      <c r="J6207" s="74">
        <f>IF(E6207="SERVICE",I6207-(I6207*50%),Vlookup(E6207,DATABASE!C:Q,10,false)*F6207)</f>
        <v>0</v>
      </c>
      <c r="K6207" s="74">
        <f>VLOOKUP(E6207,DATABASE!C:Q,7,false)</f>
        <v>1560000</v>
      </c>
      <c r="L6207" s="74">
        <v>1545000.0</v>
      </c>
      <c r="M6207" s="74">
        <f t="shared" si="2"/>
        <v>1545000</v>
      </c>
      <c r="N6207" s="74">
        <f t="shared" si="3"/>
        <v>340000</v>
      </c>
      <c r="O6207" s="65" t="str">
        <f>VLOOKUP(E6207,DATABASE!C:Q,8,false)</f>
        <v>BIAN</v>
      </c>
      <c r="P6207" s="65">
        <f>VLOOKUP(E6207,DATABASE!C:Q,9,False)</f>
        <v>1</v>
      </c>
      <c r="Q6207" s="93" t="str">
        <f>VLOOKUP(E6207,DATABASE!C:Q,4,false)</f>
        <v>TIRON</v>
      </c>
      <c r="R6207" s="93" t="str">
        <f>VLOOKUP(E6207,DATABASE!C:Q,11,false)</f>
        <v>Tire</v>
      </c>
    </row>
    <row r="6208" ht="22.5" customHeight="1">
      <c r="A6208" s="49"/>
      <c r="C6208" s="400">
        <v>46015.0</v>
      </c>
      <c r="D6208" s="524">
        <v>8329.0</v>
      </c>
      <c r="E6208" s="544" t="s">
        <v>295</v>
      </c>
      <c r="F6208" s="387">
        <v>1.0</v>
      </c>
      <c r="G6208" s="140">
        <v>1525000.0</v>
      </c>
      <c r="H6208" s="140">
        <v>20000.0</v>
      </c>
      <c r="I6208" s="74">
        <f t="shared" si="1"/>
        <v>1505000</v>
      </c>
      <c r="J6208" s="74">
        <f>IF(E6208="SERVICE",I6208-(I6208*50%),Vlookup(E6208,DATABASE!C:Q,10,false)*F6208)</f>
        <v>0</v>
      </c>
      <c r="K6208" s="74">
        <f>VLOOKUP(E6208,DATABASE!C:Q,7,false)</f>
        <v>1475000</v>
      </c>
      <c r="L6208" s="74">
        <v>1425000.0</v>
      </c>
      <c r="M6208" s="74">
        <f t="shared" si="2"/>
        <v>1425000</v>
      </c>
      <c r="N6208" s="74">
        <f t="shared" si="3"/>
        <v>80000</v>
      </c>
      <c r="O6208" s="65" t="str">
        <f>VLOOKUP(E6208,DATABASE!C:Q,8,false)</f>
        <v>BIAN</v>
      </c>
      <c r="P6208" s="65">
        <f>VLOOKUP(E6208,DATABASE!C:Q,9,False)</f>
        <v>1</v>
      </c>
      <c r="Q6208" s="93" t="str">
        <f>VLOOKUP(E6208,DATABASE!C:Q,4,false)</f>
        <v>TIRON</v>
      </c>
      <c r="R6208" s="93" t="str">
        <f>VLOOKUP(E6208,DATABASE!C:Q,11,false)</f>
        <v>Tire</v>
      </c>
    </row>
    <row r="6209" ht="22.5" customHeight="1">
      <c r="A6209" s="49"/>
      <c r="C6209" s="400">
        <v>46015.0</v>
      </c>
      <c r="D6209" s="524">
        <v>8330.0</v>
      </c>
      <c r="E6209" s="544" t="s">
        <v>932</v>
      </c>
      <c r="F6209" s="387">
        <v>1.0</v>
      </c>
      <c r="G6209" s="140">
        <v>680000.0</v>
      </c>
      <c r="H6209" s="74"/>
      <c r="I6209" s="74">
        <f t="shared" si="1"/>
        <v>680000</v>
      </c>
      <c r="J6209" s="74">
        <f>IF(E6209="SERVICE",I6209-(I6209*50%),Vlookup(E6209,DATABASE!C:Q,10,false)*F6209)</f>
        <v>0</v>
      </c>
      <c r="K6209" s="74">
        <f>VLOOKUP(E6209,DATABASE!C:Q,7,false)</f>
        <v>601000</v>
      </c>
      <c r="L6209" s="74">
        <v>595000.0</v>
      </c>
      <c r="M6209" s="74">
        <f t="shared" si="2"/>
        <v>595000</v>
      </c>
      <c r="N6209" s="74">
        <f t="shared" si="3"/>
        <v>85000</v>
      </c>
      <c r="O6209" s="65" t="str">
        <f>VLOOKUP(E6209,DATABASE!C:Q,8,false)</f>
        <v>IBU</v>
      </c>
      <c r="P6209" s="65">
        <f>VLOOKUP(E6209,DATABASE!C:Q,9,False)</f>
        <v>1</v>
      </c>
      <c r="Q6209" s="93" t="str">
        <f>VLOOKUP(E6209,DATABASE!C:Q,4,false)</f>
        <v>Dunlop</v>
      </c>
      <c r="R6209" s="93" t="str">
        <f>VLOOKUP(E6209,DATABASE!C:Q,11,false)</f>
        <v>Tire</v>
      </c>
    </row>
    <row r="6210" ht="22.5" customHeight="1">
      <c r="A6210" s="49"/>
      <c r="C6210" s="400">
        <v>46015.0</v>
      </c>
      <c r="D6210" s="524">
        <v>8331.0</v>
      </c>
      <c r="E6210" s="544" t="s">
        <v>265</v>
      </c>
      <c r="F6210" s="387">
        <v>1.0</v>
      </c>
      <c r="G6210" s="140">
        <v>685000.0</v>
      </c>
      <c r="H6210" s="74"/>
      <c r="I6210" s="74">
        <f t="shared" si="1"/>
        <v>685000</v>
      </c>
      <c r="J6210" s="74">
        <f>IF(E6210="SERVICE",I6210-(I6210*50%),Vlookup(E6210,DATABASE!C:Q,10,false)*F6210)</f>
        <v>0</v>
      </c>
      <c r="K6210" s="74">
        <f>VLOOKUP(E6210,DATABASE!C:Q,7,false)</f>
        <v>628000</v>
      </c>
      <c r="L6210" s="74">
        <v>600000.0</v>
      </c>
      <c r="M6210" s="74">
        <f t="shared" si="2"/>
        <v>600000</v>
      </c>
      <c r="N6210" s="74">
        <f t="shared" si="3"/>
        <v>85000</v>
      </c>
      <c r="O6210" s="65" t="str">
        <f>VLOOKUP(E6210,DATABASE!C:Q,8,false)</f>
        <v>IBU</v>
      </c>
      <c r="P6210" s="65">
        <f>VLOOKUP(E6210,DATABASE!C:Q,9,False)</f>
        <v>1</v>
      </c>
      <c r="Q6210" s="93" t="str">
        <f>VLOOKUP(E6210,DATABASE!C:Q,4,false)</f>
        <v>Dunlop</v>
      </c>
      <c r="R6210" s="93" t="str">
        <f>VLOOKUP(E6210,DATABASE!C:Q,11,false)</f>
        <v>Tire</v>
      </c>
    </row>
    <row r="6211" ht="22.5" customHeight="1">
      <c r="A6211" s="49"/>
      <c r="C6211" s="400">
        <v>46015.0</v>
      </c>
      <c r="D6211" s="524">
        <v>8332.0</v>
      </c>
      <c r="E6211" s="544" t="s">
        <v>256</v>
      </c>
      <c r="F6211" s="387">
        <v>1.0</v>
      </c>
      <c r="G6211" s="140">
        <v>150000.0</v>
      </c>
      <c r="H6211" s="140">
        <v>20000.0</v>
      </c>
      <c r="I6211" s="74">
        <f t="shared" si="1"/>
        <v>130000</v>
      </c>
      <c r="J6211" s="74">
        <f>IF(E6211="SERVICE",I6211-(I6211*50%),Vlookup(E6211,DATABASE!C:Q,10,false)*F6211)</f>
        <v>10000</v>
      </c>
      <c r="K6211" s="74">
        <f>VLOOKUP(E6211,DATABASE!C:Q,7,false)</f>
        <v>0</v>
      </c>
      <c r="L6211" s="74">
        <v>0.0</v>
      </c>
      <c r="M6211" s="74">
        <f t="shared" si="2"/>
        <v>0</v>
      </c>
      <c r="N6211" s="74">
        <f t="shared" si="3"/>
        <v>120000</v>
      </c>
      <c r="O6211" s="65" t="str">
        <f>VLOOKUP(E6211,DATABASE!C:Q,8,false)</f>
        <v>IBU</v>
      </c>
      <c r="P6211" s="65">
        <f>VLOOKUP(E6211,DATABASE!C:Q,9,False)</f>
        <v>0</v>
      </c>
      <c r="Q6211" s="93" t="str">
        <f>VLOOKUP(E6211,DATABASE!C:Q,4,false)</f>
        <v>SPOORING</v>
      </c>
      <c r="R6211" s="93" t="str">
        <f>VLOOKUP(E6211,DATABASE!C:Q,11,false)</f>
        <v>SERVICE</v>
      </c>
    </row>
    <row r="6212" ht="22.5" customHeight="1">
      <c r="A6212" s="49"/>
      <c r="C6212" s="400">
        <v>46015.0</v>
      </c>
      <c r="D6212" s="524">
        <v>8332.0</v>
      </c>
      <c r="E6212" s="544" t="s">
        <v>299</v>
      </c>
      <c r="F6212" s="387">
        <v>2.0</v>
      </c>
      <c r="G6212" s="140">
        <v>30000.0</v>
      </c>
      <c r="H6212" s="74"/>
      <c r="I6212" s="74">
        <f t="shared" si="1"/>
        <v>60000</v>
      </c>
      <c r="J6212" s="74">
        <f>IF(E6212="SERVICE",I6212-(I6212*50%),Vlookup(E6212,DATABASE!C:Q,10,false)*F6212)</f>
        <v>0</v>
      </c>
      <c r="K6212" s="74">
        <f>VLOOKUP(E6212,DATABASE!C:Q,7,false)</f>
        <v>10000</v>
      </c>
      <c r="L6212" s="74">
        <v>5000.0</v>
      </c>
      <c r="M6212" s="74">
        <f t="shared" si="2"/>
        <v>5000</v>
      </c>
      <c r="N6212" s="74">
        <f t="shared" si="3"/>
        <v>50000</v>
      </c>
      <c r="O6212" s="65" t="str">
        <f>VLOOKUP(E6212,DATABASE!C:Q,8,false)</f>
        <v>BIAN</v>
      </c>
      <c r="P6212" s="65">
        <f>VLOOKUP(E6212,DATABASE!C:Q,9,False)</f>
        <v>0</v>
      </c>
      <c r="Q6212" s="93" t="str">
        <f>VLOOKUP(E6212,DATABASE!C:Q,4,false)</f>
        <v>Balancing</v>
      </c>
      <c r="R6212" s="93" t="str">
        <f>VLOOKUP(E6212,DATABASE!C:Q,11,false)</f>
        <v>COMPLEMENTARY</v>
      </c>
    </row>
    <row r="6213" ht="22.5" customHeight="1">
      <c r="A6213" s="49"/>
      <c r="C6213" s="400">
        <v>46015.0</v>
      </c>
      <c r="D6213" s="524">
        <v>8332.0</v>
      </c>
      <c r="E6213" s="544" t="s">
        <v>301</v>
      </c>
      <c r="F6213" s="387">
        <v>1.0</v>
      </c>
      <c r="G6213" s="140">
        <v>250000.0</v>
      </c>
      <c r="H6213" s="74"/>
      <c r="I6213" s="74">
        <f t="shared" si="1"/>
        <v>250000</v>
      </c>
      <c r="J6213" s="74">
        <f>IF(E6213="SERVICE",I6213-(I6213*50%),Vlookup(E6213,DATABASE!C:Q,10,false)*F6213)</f>
        <v>75000</v>
      </c>
      <c r="K6213" s="74">
        <f>VLOOKUP(E6213,DATABASE!C:Q,7,false)</f>
        <v>75000</v>
      </c>
      <c r="L6213" s="74">
        <v>75000.0</v>
      </c>
      <c r="M6213" s="74">
        <f t="shared" si="2"/>
        <v>75000</v>
      </c>
      <c r="N6213" s="74">
        <f t="shared" si="3"/>
        <v>100000</v>
      </c>
      <c r="O6213" s="65" t="str">
        <f>VLOOKUP(E6213,DATABASE!C:Q,8,false)</f>
        <v>BIAN</v>
      </c>
      <c r="P6213" s="65">
        <f>VLOOKUP(E6213,DATABASE!C:Q,9,False)</f>
        <v>0</v>
      </c>
      <c r="Q6213" s="93" t="str">
        <f>VLOOKUP(E6213,DATABASE!C:Q,4,false)</f>
        <v>Baut Camber</v>
      </c>
      <c r="R6213" s="93" t="str">
        <f>VLOOKUP(E6213,DATABASE!C:Q,11,false)</f>
        <v>COMPLEMENTARY</v>
      </c>
    </row>
    <row r="6214" ht="22.5" customHeight="1">
      <c r="A6214" s="49"/>
      <c r="C6214" s="400">
        <v>46015.0</v>
      </c>
      <c r="D6214" s="69" t="s">
        <v>2668</v>
      </c>
      <c r="E6214" s="544" t="s">
        <v>252</v>
      </c>
      <c r="F6214" s="387">
        <v>1.0</v>
      </c>
      <c r="G6214" s="140">
        <v>300000.0</v>
      </c>
      <c r="H6214" s="74"/>
      <c r="I6214" s="74">
        <f t="shared" si="1"/>
        <v>300000</v>
      </c>
      <c r="J6214" s="74">
        <f>IF(E6214="SERVICE",I6214-(I6214*50%),Vlookup(E6214,DATABASE!C:Q,10,false)*F6214)</f>
        <v>0</v>
      </c>
      <c r="K6214" s="74">
        <f>VLOOKUP(E6214,DATABASE!C:Q,7,false)</f>
        <v>317518</v>
      </c>
      <c r="L6214" s="74">
        <v>271778.0</v>
      </c>
      <c r="M6214" s="74">
        <f t="shared" si="2"/>
        <v>275000</v>
      </c>
      <c r="N6214" s="74">
        <f t="shared" si="3"/>
        <v>25000</v>
      </c>
      <c r="O6214" s="65" t="str">
        <f>VLOOKUP(E6214,DATABASE!C:Q,8,false)</f>
        <v>NON</v>
      </c>
      <c r="P6214" s="65">
        <f>VLOOKUP(E6214,DATABASE!C:Q,9,False)</f>
        <v>0</v>
      </c>
      <c r="Q6214" s="93" t="str">
        <f>VLOOKUP(E6214,DATABASE!C:Q,4,false)</f>
        <v>Shell</v>
      </c>
      <c r="R6214" s="93" t="str">
        <f>VLOOKUP(E6214,DATABASE!C:Q,11,false)</f>
        <v>OIL</v>
      </c>
    </row>
    <row r="6215" ht="22.5" customHeight="1">
      <c r="A6215" s="49"/>
      <c r="C6215" s="400">
        <v>46016.0</v>
      </c>
      <c r="D6215" s="524">
        <v>8334.0</v>
      </c>
      <c r="E6215" s="544" t="s">
        <v>265</v>
      </c>
      <c r="F6215" s="387">
        <v>1.0</v>
      </c>
      <c r="G6215" s="140">
        <v>685000.0</v>
      </c>
      <c r="H6215" s="140">
        <v>5000.0</v>
      </c>
      <c r="I6215" s="74">
        <f t="shared" si="1"/>
        <v>680000</v>
      </c>
      <c r="J6215" s="74">
        <f>IF(E6215="SERVICE",I6215-(I6215*50%),Vlookup(E6215,DATABASE!C:Q,10,false)*F6215)</f>
        <v>0</v>
      </c>
      <c r="K6215" s="74">
        <f>VLOOKUP(E6215,DATABASE!C:Q,7,false)</f>
        <v>628000</v>
      </c>
      <c r="L6215" s="74">
        <v>600000.0</v>
      </c>
      <c r="M6215" s="74">
        <f t="shared" si="2"/>
        <v>600000</v>
      </c>
      <c r="N6215" s="74">
        <f t="shared" si="3"/>
        <v>80000</v>
      </c>
      <c r="O6215" s="65" t="str">
        <f>VLOOKUP(E6215,DATABASE!C:Q,8,false)</f>
        <v>IBU</v>
      </c>
      <c r="P6215" s="65">
        <f>VLOOKUP(E6215,DATABASE!C:Q,9,False)</f>
        <v>1</v>
      </c>
      <c r="Q6215" s="93" t="str">
        <f>VLOOKUP(E6215,DATABASE!C:Q,4,false)</f>
        <v>Dunlop</v>
      </c>
      <c r="R6215" s="93" t="str">
        <f>VLOOKUP(E6215,DATABASE!C:Q,11,false)</f>
        <v>Tire</v>
      </c>
    </row>
    <row r="6216" ht="22.5" customHeight="1">
      <c r="A6216" s="49"/>
      <c r="C6216" s="400">
        <v>46016.0</v>
      </c>
      <c r="D6216" s="524">
        <v>8335.0</v>
      </c>
      <c r="E6216" s="544" t="s">
        <v>695</v>
      </c>
      <c r="F6216" s="387">
        <v>2.0</v>
      </c>
      <c r="G6216" s="140">
        <v>670000.0</v>
      </c>
      <c r="H6216" s="140">
        <v>10000.0</v>
      </c>
      <c r="I6216" s="74">
        <f t="shared" si="1"/>
        <v>1320000</v>
      </c>
      <c r="J6216" s="74">
        <f>IF(E6216="SERVICE",I6216-(I6216*50%),Vlookup(E6216,DATABASE!C:Q,10,false)*F6216)</f>
        <v>0</v>
      </c>
      <c r="K6216" s="74">
        <f>VLOOKUP(E6216,DATABASE!C:Q,7,false)</f>
        <v>582000</v>
      </c>
      <c r="L6216" s="74">
        <v>570000.0</v>
      </c>
      <c r="M6216" s="74">
        <f t="shared" si="2"/>
        <v>570000</v>
      </c>
      <c r="N6216" s="74">
        <f t="shared" si="3"/>
        <v>180000</v>
      </c>
      <c r="O6216" s="65" t="str">
        <f>VLOOKUP(E6216,DATABASE!C:Q,8,false)</f>
        <v>IBU</v>
      </c>
      <c r="P6216" s="65">
        <f>VLOOKUP(E6216,DATABASE!C:Q,9,False)</f>
        <v>1</v>
      </c>
      <c r="Q6216" s="93" t="str">
        <f>VLOOKUP(E6216,DATABASE!C:Q,4,false)</f>
        <v>Dunlop</v>
      </c>
      <c r="R6216" s="93" t="str">
        <f>VLOOKUP(E6216,DATABASE!C:Q,11,false)</f>
        <v>Tire</v>
      </c>
    </row>
    <row r="6217" ht="22.5" customHeight="1">
      <c r="A6217" s="49"/>
      <c r="C6217" s="400">
        <v>46016.0</v>
      </c>
      <c r="D6217" s="524">
        <v>8336.0</v>
      </c>
      <c r="E6217" s="544" t="s">
        <v>847</v>
      </c>
      <c r="F6217" s="387">
        <v>1.0</v>
      </c>
      <c r="G6217" s="140">
        <v>775000.0</v>
      </c>
      <c r="H6217" s="74"/>
      <c r="I6217" s="74">
        <f t="shared" si="1"/>
        <v>775000</v>
      </c>
      <c r="J6217" s="74">
        <f>IF(E6217="SERVICE",I6217-(I6217*50%),Vlookup(E6217,DATABASE!C:Q,10,false)*F6217)</f>
        <v>0</v>
      </c>
      <c r="K6217" s="74">
        <f>VLOOKUP(E6217,DATABASE!C:Q,7,false)</f>
        <v>718080</v>
      </c>
      <c r="L6217" s="74">
        <v>672210.0</v>
      </c>
      <c r="M6217" s="74">
        <f t="shared" si="2"/>
        <v>675000</v>
      </c>
      <c r="N6217" s="74">
        <f t="shared" si="3"/>
        <v>100000</v>
      </c>
      <c r="O6217" s="65" t="str">
        <f>VLOOKUP(E6217,DATABASE!C:Q,8,false)</f>
        <v>BIAN</v>
      </c>
      <c r="P6217" s="65">
        <f>VLOOKUP(E6217,DATABASE!C:Q,9,False)</f>
        <v>1</v>
      </c>
      <c r="Q6217" s="93" t="str">
        <f>VLOOKUP(E6217,DATABASE!C:Q,4,false)</f>
        <v>GT</v>
      </c>
      <c r="R6217" s="93" t="str">
        <f>VLOOKUP(E6217,DATABASE!C:Q,11,false)</f>
        <v>Tire</v>
      </c>
    </row>
    <row r="6218" ht="22.5" customHeight="1">
      <c r="A6218" s="49"/>
      <c r="C6218" s="400">
        <v>46016.0</v>
      </c>
      <c r="D6218" s="524">
        <v>8337.0</v>
      </c>
      <c r="E6218" s="544" t="s">
        <v>256</v>
      </c>
      <c r="F6218" s="387">
        <v>1.0</v>
      </c>
      <c r="G6218" s="140">
        <v>150000.0</v>
      </c>
      <c r="H6218" s="74"/>
      <c r="I6218" s="74">
        <f t="shared" si="1"/>
        <v>150000</v>
      </c>
      <c r="J6218" s="140">
        <v>10000.0</v>
      </c>
      <c r="K6218" s="74">
        <f>VLOOKUP(E6218,DATABASE!C:Q,7,false)</f>
        <v>0</v>
      </c>
      <c r="L6218" s="74">
        <v>0.0</v>
      </c>
      <c r="M6218" s="74">
        <f t="shared" si="2"/>
        <v>0</v>
      </c>
      <c r="N6218" s="74">
        <f t="shared" si="3"/>
        <v>140000</v>
      </c>
      <c r="O6218" s="65" t="str">
        <f>VLOOKUP(E6218,DATABASE!C:Q,8,false)</f>
        <v>IBU</v>
      </c>
      <c r="P6218" s="65">
        <f>VLOOKUP(E6218,DATABASE!C:Q,9,False)</f>
        <v>0</v>
      </c>
      <c r="Q6218" s="93" t="str">
        <f>VLOOKUP(E6218,DATABASE!C:Q,4,false)</f>
        <v>SPOORING</v>
      </c>
      <c r="R6218" s="93" t="str">
        <f>VLOOKUP(E6218,DATABASE!C:Q,11,false)</f>
        <v>SERVICE</v>
      </c>
    </row>
    <row r="6219" ht="22.5" customHeight="1">
      <c r="A6219" s="49"/>
      <c r="C6219" s="400">
        <v>46016.0</v>
      </c>
      <c r="D6219" s="524">
        <v>8337.0</v>
      </c>
      <c r="E6219" s="544" t="s">
        <v>251</v>
      </c>
      <c r="F6219" s="387">
        <v>1.0</v>
      </c>
      <c r="G6219" s="140">
        <v>350000.0</v>
      </c>
      <c r="H6219" s="140">
        <v>200000.0</v>
      </c>
      <c r="I6219" s="74">
        <f t="shared" si="1"/>
        <v>150000</v>
      </c>
      <c r="J6219" s="74">
        <f>IF(E6219="SERVICE",I6219-(I6219*50%),Vlookup(E6219,DATABASE!C:Q,10,false)*F6219)</f>
        <v>75000</v>
      </c>
      <c r="K6219" s="74">
        <f>VLOOKUP(E6219,DATABASE!C:Q,7,false)</f>
        <v>0</v>
      </c>
      <c r="L6219" s="74">
        <v>0.0</v>
      </c>
      <c r="M6219" s="74">
        <f t="shared" si="2"/>
        <v>0</v>
      </c>
      <c r="N6219" s="74">
        <f t="shared" si="3"/>
        <v>75000</v>
      </c>
      <c r="O6219" s="65" t="str">
        <f>VLOOKUP(E6219,DATABASE!C:Q,8,false)</f>
        <v>IBU</v>
      </c>
      <c r="P6219" s="65">
        <f>VLOOKUP(E6219,DATABASE!C:Q,9,False)</f>
        <v>0</v>
      </c>
      <c r="Q6219" s="93" t="str">
        <f>VLOOKUP(E6219,DATABASE!C:Q,4,false)</f>
        <v>SERVICE</v>
      </c>
      <c r="R6219" s="93" t="str">
        <f>VLOOKUP(E6219,DATABASE!C:Q,11,false)</f>
        <v>SERVICE</v>
      </c>
    </row>
    <row r="6220" ht="22.5" customHeight="1">
      <c r="A6220" s="49"/>
      <c r="C6220" s="400">
        <v>46016.0</v>
      </c>
      <c r="D6220" s="524">
        <v>8338.0</v>
      </c>
      <c r="E6220" s="544" t="s">
        <v>251</v>
      </c>
      <c r="F6220" s="387">
        <v>1.0</v>
      </c>
      <c r="G6220" s="140">
        <v>350000.0</v>
      </c>
      <c r="H6220" s="140">
        <v>200000.0</v>
      </c>
      <c r="I6220" s="74">
        <f t="shared" si="1"/>
        <v>150000</v>
      </c>
      <c r="J6220" s="74">
        <f>IF(E6220="SERVICE",I6220-(I6220*50%),Vlookup(E6220,DATABASE!C:Q,10,false)*F6220)</f>
        <v>75000</v>
      </c>
      <c r="K6220" s="74">
        <f>VLOOKUP(E6220,DATABASE!C:Q,7,false)</f>
        <v>0</v>
      </c>
      <c r="L6220" s="74">
        <v>0.0</v>
      </c>
      <c r="M6220" s="74">
        <f t="shared" si="2"/>
        <v>0</v>
      </c>
      <c r="N6220" s="74">
        <f t="shared" si="3"/>
        <v>75000</v>
      </c>
      <c r="O6220" s="65" t="str">
        <f>VLOOKUP(E6220,DATABASE!C:Q,8,false)</f>
        <v>IBU</v>
      </c>
      <c r="P6220" s="65">
        <f>VLOOKUP(E6220,DATABASE!C:Q,9,False)</f>
        <v>0</v>
      </c>
      <c r="Q6220" s="93" t="str">
        <f>VLOOKUP(E6220,DATABASE!C:Q,4,false)</f>
        <v>SERVICE</v>
      </c>
      <c r="R6220" s="93" t="str">
        <f>VLOOKUP(E6220,DATABASE!C:Q,11,false)</f>
        <v>SERVICE</v>
      </c>
    </row>
    <row r="6221" ht="22.5" customHeight="1">
      <c r="A6221" s="49"/>
      <c r="C6221" s="400">
        <v>46016.0</v>
      </c>
      <c r="D6221" s="524">
        <v>8340.0</v>
      </c>
      <c r="E6221" s="544" t="s">
        <v>624</v>
      </c>
      <c r="F6221" s="387">
        <v>4.0</v>
      </c>
      <c r="G6221" s="140">
        <v>120000.0</v>
      </c>
      <c r="H6221" s="140">
        <v>10000.0</v>
      </c>
      <c r="I6221" s="74">
        <f t="shared" si="1"/>
        <v>440000</v>
      </c>
      <c r="J6221" s="74">
        <f>IF(E6221="SERVICE",I6221-(I6221*50%),Vlookup(E6221,DATABASE!C:Q,10,false)*F6221)</f>
        <v>0</v>
      </c>
      <c r="K6221" s="74">
        <f>VLOOKUP(E6221,DATABASE!C:Q,7,false)</f>
        <v>60500</v>
      </c>
      <c r="L6221" s="74">
        <v>60500.0</v>
      </c>
      <c r="M6221" s="74">
        <f t="shared" si="2"/>
        <v>65000</v>
      </c>
      <c r="N6221" s="74">
        <f t="shared" si="3"/>
        <v>180000</v>
      </c>
      <c r="O6221" s="65" t="str">
        <f>VLOOKUP(E6221,DATABASE!C:Q,8,false)</f>
        <v>BIAN</v>
      </c>
      <c r="P6221" s="65">
        <f>VLOOKUP(E6221,DATABASE!C:Q,9,False)</f>
        <v>1</v>
      </c>
      <c r="Q6221" s="93" t="str">
        <f>VLOOKUP(E6221,DATABASE!C:Q,4,false)</f>
        <v>BD</v>
      </c>
      <c r="R6221" s="93" t="str">
        <f>VLOOKUP(E6221,DATABASE!C:Q,11,false)</f>
        <v>Tire</v>
      </c>
    </row>
    <row r="6222" ht="22.5" customHeight="1">
      <c r="A6222" s="49"/>
      <c r="C6222" s="400">
        <v>46016.0</v>
      </c>
      <c r="D6222" s="524">
        <v>8341.0</v>
      </c>
      <c r="E6222" s="544" t="s">
        <v>821</v>
      </c>
      <c r="F6222" s="387">
        <v>1.0</v>
      </c>
      <c r="G6222" s="140">
        <v>85000.0</v>
      </c>
      <c r="H6222" s="74"/>
      <c r="I6222" s="74">
        <f t="shared" si="1"/>
        <v>85000</v>
      </c>
      <c r="J6222" s="74">
        <f>IF(E6222="SERVICE",I6222-(I6222*50%),Vlookup(E6222,DATABASE!C:Q,10,false)*F6222)</f>
        <v>0</v>
      </c>
      <c r="K6222" s="74">
        <f>VLOOKUP(E6222,DATABASE!C:Q,7,false)</f>
        <v>43500</v>
      </c>
      <c r="L6222" s="74">
        <v>43520.0</v>
      </c>
      <c r="M6222" s="74">
        <f t="shared" si="2"/>
        <v>45000</v>
      </c>
      <c r="N6222" s="74">
        <f t="shared" si="3"/>
        <v>40000</v>
      </c>
      <c r="O6222" s="65" t="str">
        <f>VLOOKUP(E6222,DATABASE!C:Q,8,false)</f>
        <v>BIAN</v>
      </c>
      <c r="P6222" s="65">
        <f>VLOOKUP(E6222,DATABASE!C:Q,9,False)</f>
        <v>1</v>
      </c>
      <c r="Q6222" s="93" t="str">
        <f>VLOOKUP(E6222,DATABASE!C:Q,4,false)</f>
        <v>Flap</v>
      </c>
      <c r="R6222" s="93" t="str">
        <f>VLOOKUP(E6222,DATABASE!C:Q,11,false)</f>
        <v>Tire</v>
      </c>
    </row>
    <row r="6223" ht="22.5" customHeight="1">
      <c r="A6223" s="49"/>
      <c r="C6223" s="400">
        <v>46016.0</v>
      </c>
      <c r="D6223" s="524">
        <v>8342.0</v>
      </c>
      <c r="E6223" s="544" t="s">
        <v>286</v>
      </c>
      <c r="F6223" s="387">
        <v>8.0</v>
      </c>
      <c r="G6223" s="140">
        <v>560000.0</v>
      </c>
      <c r="H6223" s="140">
        <v>10000.0</v>
      </c>
      <c r="I6223" s="74">
        <f t="shared" si="1"/>
        <v>4400000</v>
      </c>
      <c r="J6223" s="74">
        <f>IF(E6223="SERVICE",I6223-(I6223*50%),Vlookup(E6223,DATABASE!C:Q,10,false)*F6223)</f>
        <v>0</v>
      </c>
      <c r="K6223" s="74">
        <f>VLOOKUP(E6223,DATABASE!C:Q,7,false)</f>
        <v>488320</v>
      </c>
      <c r="L6223" s="74">
        <v>452970.0</v>
      </c>
      <c r="M6223" s="74">
        <f t="shared" si="2"/>
        <v>455000</v>
      </c>
      <c r="N6223" s="74">
        <f t="shared" si="3"/>
        <v>760000</v>
      </c>
      <c r="O6223" s="65" t="str">
        <f>VLOOKUP(E6223,DATABASE!C:Q,8,false)</f>
        <v>BIAN</v>
      </c>
      <c r="P6223" s="65">
        <f>VLOOKUP(E6223,DATABASE!C:Q,9,False)</f>
        <v>1</v>
      </c>
      <c r="Q6223" s="93" t="str">
        <f>VLOOKUP(E6223,DATABASE!C:Q,4,false)</f>
        <v>GT</v>
      </c>
      <c r="R6223" s="93" t="str">
        <f>VLOOKUP(E6223,DATABASE!C:Q,11,false)</f>
        <v>Tire</v>
      </c>
    </row>
    <row r="6224" ht="22.5" customHeight="1">
      <c r="A6224" s="49"/>
      <c r="C6224" s="400">
        <v>46016.0</v>
      </c>
      <c r="D6224" s="524">
        <v>8343.0</v>
      </c>
      <c r="E6224" s="544" t="s">
        <v>262</v>
      </c>
      <c r="F6224" s="387">
        <v>1.0</v>
      </c>
      <c r="G6224" s="140">
        <v>110000.0</v>
      </c>
      <c r="H6224" s="74"/>
      <c r="I6224" s="74">
        <f t="shared" si="1"/>
        <v>110000</v>
      </c>
      <c r="J6224" s="74">
        <f>IF(E6224="SERVICE",I6224-(I6224*50%),Vlookup(E6224,DATABASE!C:Q,10,false)*F6224)</f>
        <v>5000</v>
      </c>
      <c r="K6224" s="74">
        <f>VLOOKUP(E6224,DATABASE!C:Q,7,false)</f>
        <v>0</v>
      </c>
      <c r="L6224" s="74">
        <v>0.0</v>
      </c>
      <c r="M6224" s="74">
        <f t="shared" si="2"/>
        <v>0</v>
      </c>
      <c r="N6224" s="74">
        <f t="shared" si="3"/>
        <v>105000</v>
      </c>
      <c r="O6224" s="65" t="str">
        <f>VLOOKUP(E6224,DATABASE!C:Q,8,false)</f>
        <v>IBU</v>
      </c>
      <c r="P6224" s="65">
        <f>VLOOKUP(E6224,DATABASE!C:Q,9,False)</f>
        <v>0</v>
      </c>
      <c r="Q6224" s="93" t="str">
        <f>VLOOKUP(E6224,DATABASE!C:Q,4,false)</f>
        <v>SPOORING SS/CARRY LOS BAK</v>
      </c>
      <c r="R6224" s="93" t="str">
        <f>VLOOKUP(E6224,DATABASE!C:Q,11,false)</f>
        <v>SERVICE</v>
      </c>
    </row>
    <row r="6225" ht="22.5" customHeight="1">
      <c r="A6225" s="49"/>
      <c r="C6225" s="400">
        <v>46016.0</v>
      </c>
      <c r="D6225" s="524">
        <v>8343.0</v>
      </c>
      <c r="E6225" s="544" t="s">
        <v>251</v>
      </c>
      <c r="F6225" s="387">
        <v>1.0</v>
      </c>
      <c r="G6225" s="140">
        <v>350000.0</v>
      </c>
      <c r="H6225" s="140">
        <v>270000.0</v>
      </c>
      <c r="I6225" s="74">
        <f t="shared" si="1"/>
        <v>80000</v>
      </c>
      <c r="J6225" s="74">
        <f>IF(E6225="SERVICE",I6225-(I6225*50%),Vlookup(E6225,DATABASE!C:Q,10,false)*F6225)</f>
        <v>40000</v>
      </c>
      <c r="K6225" s="74">
        <f>VLOOKUP(E6225,DATABASE!C:Q,7,false)</f>
        <v>0</v>
      </c>
      <c r="L6225" s="74">
        <v>0.0</v>
      </c>
      <c r="M6225" s="74">
        <f t="shared" si="2"/>
        <v>0</v>
      </c>
      <c r="N6225" s="74">
        <f t="shared" si="3"/>
        <v>40000</v>
      </c>
      <c r="O6225" s="65" t="str">
        <f>VLOOKUP(E6225,DATABASE!C:Q,8,false)</f>
        <v>IBU</v>
      </c>
      <c r="P6225" s="65">
        <f>VLOOKUP(E6225,DATABASE!C:Q,9,False)</f>
        <v>0</v>
      </c>
      <c r="Q6225" s="93" t="str">
        <f>VLOOKUP(E6225,DATABASE!C:Q,4,false)</f>
        <v>SERVICE</v>
      </c>
      <c r="R6225" s="93" t="str">
        <f>VLOOKUP(E6225,DATABASE!C:Q,11,false)</f>
        <v>SERVICE</v>
      </c>
    </row>
    <row r="6226" ht="22.5" customHeight="1">
      <c r="A6226" s="49"/>
      <c r="C6226" s="400">
        <v>46016.0</v>
      </c>
      <c r="D6226" s="524">
        <v>8344.0</v>
      </c>
      <c r="E6226" s="544" t="s">
        <v>554</v>
      </c>
      <c r="F6226" s="387">
        <v>2.0</v>
      </c>
      <c r="G6226" s="140">
        <v>800000.0</v>
      </c>
      <c r="H6226" s="140">
        <v>30000.0</v>
      </c>
      <c r="I6226" s="74">
        <f t="shared" si="1"/>
        <v>1540000</v>
      </c>
      <c r="J6226" s="74">
        <f>IF(E6226="SERVICE",I6226-(I6226*50%),Vlookup(E6226,DATABASE!C:Q,10,false)*F6226)</f>
        <v>0</v>
      </c>
      <c r="K6226" s="74">
        <f>VLOOKUP(E6226,DATABASE!C:Q,7,false)</f>
        <v>710000</v>
      </c>
      <c r="L6226" s="74">
        <v>680000.0</v>
      </c>
      <c r="M6226" s="74">
        <f t="shared" si="2"/>
        <v>680000</v>
      </c>
      <c r="N6226" s="74">
        <f t="shared" si="3"/>
        <v>180000</v>
      </c>
      <c r="O6226" s="65" t="str">
        <f>VLOOKUP(E6226,DATABASE!C:Q,8,false)</f>
        <v>IBU</v>
      </c>
      <c r="P6226" s="65">
        <f>VLOOKUP(E6226,DATABASE!C:Q,9,False)</f>
        <v>1</v>
      </c>
      <c r="Q6226" s="93" t="str">
        <f>VLOOKUP(E6226,DATABASE!C:Q,4,false)</f>
        <v>Bridgestone</v>
      </c>
      <c r="R6226" s="93" t="str">
        <f>VLOOKUP(E6226,DATABASE!C:Q,11,false)</f>
        <v>Tire</v>
      </c>
    </row>
    <row r="6227" ht="22.5" customHeight="1">
      <c r="A6227" s="49"/>
      <c r="C6227" s="400">
        <v>46016.0</v>
      </c>
      <c r="D6227" s="524">
        <v>8345.0</v>
      </c>
      <c r="E6227" s="544" t="s">
        <v>1133</v>
      </c>
      <c r="F6227" s="387">
        <v>2.0</v>
      </c>
      <c r="G6227" s="140">
        <v>855000.0</v>
      </c>
      <c r="H6227" s="140">
        <v>35000.0</v>
      </c>
      <c r="I6227" s="74">
        <f t="shared" si="1"/>
        <v>1640000</v>
      </c>
      <c r="J6227" s="74">
        <f>IF(E6227="SERVICE",I6227-(I6227*50%),Vlookup(E6227,DATABASE!C:Q,10,false)*F6227)</f>
        <v>0</v>
      </c>
      <c r="K6227" s="74">
        <f>VLOOKUP(E6227,DATABASE!C:Q,7,false)</f>
        <v>759539.2</v>
      </c>
      <c r="L6227" s="74">
        <v>715635.0</v>
      </c>
      <c r="M6227" s="74">
        <f t="shared" si="2"/>
        <v>720000</v>
      </c>
      <c r="N6227" s="74">
        <f t="shared" si="3"/>
        <v>200000</v>
      </c>
      <c r="O6227" s="65" t="str">
        <f>VLOOKUP(E6227,DATABASE!C:Q,8,false)</f>
        <v>IBU</v>
      </c>
      <c r="P6227" s="65">
        <f>VLOOKUP(E6227,DATABASE!C:Q,9,False)</f>
        <v>1</v>
      </c>
      <c r="Q6227" s="93" t="str">
        <f>VLOOKUP(E6227,DATABASE!C:Q,4,false)</f>
        <v>Bridgestone</v>
      </c>
      <c r="R6227" s="93" t="str">
        <f>VLOOKUP(E6227,DATABASE!C:Q,11,false)</f>
        <v>Tire</v>
      </c>
    </row>
    <row r="6228" ht="22.5" customHeight="1">
      <c r="A6228" s="49"/>
      <c r="C6228" s="400">
        <v>46016.0</v>
      </c>
      <c r="D6228" s="524">
        <v>8345.0</v>
      </c>
      <c r="E6228" s="544" t="s">
        <v>968</v>
      </c>
      <c r="F6228" s="387">
        <v>2.0</v>
      </c>
      <c r="G6228" s="140">
        <v>675000.0</v>
      </c>
      <c r="H6228" s="140">
        <v>5000.0</v>
      </c>
      <c r="I6228" s="74">
        <f t="shared" si="1"/>
        <v>1340000</v>
      </c>
      <c r="J6228" s="74">
        <f>IF(E6228="SERVICE",I6228-(I6228*50%),Vlookup(E6228,DATABASE!C:Q,10,false)*F6228)</f>
        <v>0</v>
      </c>
      <c r="K6228" s="74">
        <f>VLOOKUP(E6228,DATABASE!C:Q,7,false)</f>
        <v>582500</v>
      </c>
      <c r="L6228" s="74">
        <v>570500.0</v>
      </c>
      <c r="M6228" s="74">
        <f t="shared" si="2"/>
        <v>575000</v>
      </c>
      <c r="N6228" s="74">
        <f t="shared" si="3"/>
        <v>190000</v>
      </c>
      <c r="O6228" s="65" t="str">
        <f>VLOOKUP(E6228,DATABASE!C:Q,8,false)</f>
        <v>IBU</v>
      </c>
      <c r="P6228" s="65">
        <f>VLOOKUP(E6228,DATABASE!C:Q,9,False)</f>
        <v>1</v>
      </c>
      <c r="Q6228" s="93" t="str">
        <f>VLOOKUP(E6228,DATABASE!C:Q,4,false)</f>
        <v>Dunlop</v>
      </c>
      <c r="R6228" s="93" t="str">
        <f>VLOOKUP(E6228,DATABASE!C:Q,11,false)</f>
        <v>Tire</v>
      </c>
    </row>
    <row r="6229" ht="22.5" customHeight="1">
      <c r="A6229" s="49"/>
      <c r="C6229" s="400">
        <v>46016.0</v>
      </c>
      <c r="D6229" s="524">
        <v>8346.0</v>
      </c>
      <c r="E6229" s="544" t="s">
        <v>256</v>
      </c>
      <c r="F6229" s="387">
        <v>1.0</v>
      </c>
      <c r="G6229" s="140">
        <v>150000.0</v>
      </c>
      <c r="H6229" s="140">
        <v>20000.0</v>
      </c>
      <c r="I6229" s="74">
        <f t="shared" si="1"/>
        <v>130000</v>
      </c>
      <c r="J6229" s="74">
        <f>IF(E6229="SERVICE",I6229-(I6229*50%),Vlookup(E6229,DATABASE!C:Q,10,false)*F6229)</f>
        <v>10000</v>
      </c>
      <c r="K6229" s="74">
        <f>VLOOKUP(E6229,DATABASE!C:Q,7,false)</f>
        <v>0</v>
      </c>
      <c r="L6229" s="74">
        <v>0.0</v>
      </c>
      <c r="M6229" s="74">
        <f t="shared" si="2"/>
        <v>0</v>
      </c>
      <c r="N6229" s="74">
        <f t="shared" si="3"/>
        <v>120000</v>
      </c>
      <c r="O6229" s="65" t="str">
        <f>VLOOKUP(E6229,DATABASE!C:Q,8,false)</f>
        <v>IBU</v>
      </c>
      <c r="P6229" s="65">
        <f>VLOOKUP(E6229,DATABASE!C:Q,9,False)</f>
        <v>0</v>
      </c>
      <c r="Q6229" s="93" t="str">
        <f>VLOOKUP(E6229,DATABASE!C:Q,4,false)</f>
        <v>SPOORING</v>
      </c>
      <c r="R6229" s="93" t="str">
        <f>VLOOKUP(E6229,DATABASE!C:Q,11,false)</f>
        <v>SERVICE</v>
      </c>
    </row>
    <row r="6230" ht="22.5" customHeight="1">
      <c r="A6230" s="49"/>
      <c r="C6230" s="400">
        <v>46016.0</v>
      </c>
      <c r="D6230" s="524">
        <v>8346.0</v>
      </c>
      <c r="E6230" s="544" t="s">
        <v>251</v>
      </c>
      <c r="F6230" s="387">
        <v>1.0</v>
      </c>
      <c r="G6230" s="140">
        <v>350000.0</v>
      </c>
      <c r="H6230" s="140">
        <v>200000.0</v>
      </c>
      <c r="I6230" s="74">
        <f t="shared" si="1"/>
        <v>150000</v>
      </c>
      <c r="J6230" s="74">
        <f>IF(E6230="SERVICE",I6230-(I6230*50%),Vlookup(E6230,DATABASE!C:Q,10,false)*F6230)</f>
        <v>75000</v>
      </c>
      <c r="K6230" s="74">
        <f>VLOOKUP(E6230,DATABASE!C:Q,7,false)</f>
        <v>0</v>
      </c>
      <c r="L6230" s="74">
        <v>0.0</v>
      </c>
      <c r="M6230" s="74">
        <f t="shared" si="2"/>
        <v>0</v>
      </c>
      <c r="N6230" s="74">
        <f t="shared" si="3"/>
        <v>75000</v>
      </c>
      <c r="O6230" s="65" t="str">
        <f>VLOOKUP(E6230,DATABASE!C:Q,8,false)</f>
        <v>IBU</v>
      </c>
      <c r="P6230" s="65">
        <f>VLOOKUP(E6230,DATABASE!C:Q,9,False)</f>
        <v>0</v>
      </c>
      <c r="Q6230" s="93" t="str">
        <f>VLOOKUP(E6230,DATABASE!C:Q,4,false)</f>
        <v>SERVICE</v>
      </c>
      <c r="R6230" s="93" t="str">
        <f>VLOOKUP(E6230,DATABASE!C:Q,11,false)</f>
        <v>SERVICE</v>
      </c>
    </row>
    <row r="6231" ht="22.5" customHeight="1">
      <c r="A6231" s="49"/>
      <c r="C6231" s="400">
        <v>46016.0</v>
      </c>
      <c r="D6231" s="524">
        <v>8347.0</v>
      </c>
      <c r="E6231" s="544" t="s">
        <v>932</v>
      </c>
      <c r="F6231" s="387">
        <v>4.0</v>
      </c>
      <c r="G6231" s="140">
        <v>680000.0</v>
      </c>
      <c r="H6231" s="74"/>
      <c r="I6231" s="74">
        <f t="shared" si="1"/>
        <v>2720000</v>
      </c>
      <c r="J6231" s="74">
        <f>IF(E6231="SERVICE",I6231-(I6231*50%),Vlookup(E6231,DATABASE!C:Q,10,false)*F6231)</f>
        <v>0</v>
      </c>
      <c r="K6231" s="74">
        <f>VLOOKUP(E6231,DATABASE!C:Q,7,false)</f>
        <v>601000</v>
      </c>
      <c r="L6231" s="74">
        <v>595000.0</v>
      </c>
      <c r="M6231" s="74">
        <f t="shared" si="2"/>
        <v>595000</v>
      </c>
      <c r="N6231" s="74">
        <f t="shared" si="3"/>
        <v>340000</v>
      </c>
      <c r="O6231" s="65" t="str">
        <f>VLOOKUP(E6231,DATABASE!C:Q,8,false)</f>
        <v>IBU</v>
      </c>
      <c r="P6231" s="65">
        <f>VLOOKUP(E6231,DATABASE!C:Q,9,False)</f>
        <v>1</v>
      </c>
      <c r="Q6231" s="93" t="str">
        <f>VLOOKUP(E6231,DATABASE!C:Q,4,false)</f>
        <v>Dunlop</v>
      </c>
      <c r="R6231" s="93" t="str">
        <f>VLOOKUP(E6231,DATABASE!C:Q,11,false)</f>
        <v>Tire</v>
      </c>
    </row>
    <row r="6232" ht="22.5" customHeight="1">
      <c r="A6232" s="49"/>
      <c r="C6232" s="400">
        <v>46016.0</v>
      </c>
      <c r="D6232" s="524">
        <v>8347.0</v>
      </c>
      <c r="E6232" s="544" t="s">
        <v>299</v>
      </c>
      <c r="F6232" s="387">
        <v>2.0</v>
      </c>
      <c r="G6232" s="140">
        <v>30000.0</v>
      </c>
      <c r="H6232" s="74"/>
      <c r="I6232" s="74">
        <f t="shared" si="1"/>
        <v>60000</v>
      </c>
      <c r="J6232" s="74">
        <f>IF(E6232="SERVICE",I6232-(I6232*50%),Vlookup(E6232,DATABASE!C:Q,10,false)*F6232)</f>
        <v>0</v>
      </c>
      <c r="K6232" s="74">
        <f>VLOOKUP(E6232,DATABASE!C:Q,7,false)</f>
        <v>10000</v>
      </c>
      <c r="L6232" s="74">
        <v>5000.0</v>
      </c>
      <c r="M6232" s="74">
        <f t="shared" si="2"/>
        <v>5000</v>
      </c>
      <c r="N6232" s="74">
        <f t="shared" si="3"/>
        <v>50000</v>
      </c>
      <c r="O6232" s="65" t="str">
        <f>VLOOKUP(E6232,DATABASE!C:Q,8,false)</f>
        <v>BIAN</v>
      </c>
      <c r="P6232" s="65">
        <f>VLOOKUP(E6232,DATABASE!C:Q,9,False)</f>
        <v>0</v>
      </c>
      <c r="Q6232" s="93" t="str">
        <f>VLOOKUP(E6232,DATABASE!C:Q,4,false)</f>
        <v>Balancing</v>
      </c>
      <c r="R6232" s="93" t="str">
        <f>VLOOKUP(E6232,DATABASE!C:Q,11,false)</f>
        <v>COMPLEMENTARY</v>
      </c>
    </row>
    <row r="6233" ht="22.5" customHeight="1">
      <c r="A6233" s="49"/>
      <c r="C6233" s="400">
        <v>46016.0</v>
      </c>
      <c r="D6233" s="524">
        <v>8347.0</v>
      </c>
      <c r="E6233" s="544" t="s">
        <v>256</v>
      </c>
      <c r="F6233" s="387">
        <v>1.0</v>
      </c>
      <c r="G6233" s="140">
        <v>150000.0</v>
      </c>
      <c r="H6233" s="140">
        <v>30000.0</v>
      </c>
      <c r="I6233" s="74">
        <f t="shared" si="1"/>
        <v>120000</v>
      </c>
      <c r="J6233" s="74">
        <f>IF(E6233="SERVICE",I6233-(I6233*50%),Vlookup(E6233,DATABASE!C:Q,10,false)*F6233)</f>
        <v>10000</v>
      </c>
      <c r="K6233" s="74">
        <f>VLOOKUP(E6233,DATABASE!C:Q,7,false)</f>
        <v>0</v>
      </c>
      <c r="L6233" s="74">
        <v>0.0</v>
      </c>
      <c r="M6233" s="74">
        <f t="shared" si="2"/>
        <v>0</v>
      </c>
      <c r="N6233" s="74">
        <f t="shared" si="3"/>
        <v>110000</v>
      </c>
      <c r="O6233" s="65" t="str">
        <f>VLOOKUP(E6233,DATABASE!C:Q,8,false)</f>
        <v>IBU</v>
      </c>
      <c r="P6233" s="65">
        <f>VLOOKUP(E6233,DATABASE!C:Q,9,False)</f>
        <v>0</v>
      </c>
      <c r="Q6233" s="93" t="str">
        <f>VLOOKUP(E6233,DATABASE!C:Q,4,false)</f>
        <v>SPOORING</v>
      </c>
      <c r="R6233" s="93" t="str">
        <f>VLOOKUP(E6233,DATABASE!C:Q,11,false)</f>
        <v>SERVICE</v>
      </c>
    </row>
    <row r="6234" ht="22.5" customHeight="1">
      <c r="A6234" s="49"/>
      <c r="C6234" s="400">
        <v>46017.0</v>
      </c>
      <c r="D6234" s="524">
        <v>8348.0</v>
      </c>
      <c r="E6234" s="544" t="s">
        <v>288</v>
      </c>
      <c r="F6234" s="387">
        <v>1.0</v>
      </c>
      <c r="G6234" s="140">
        <v>620000.0</v>
      </c>
      <c r="H6234" s="74"/>
      <c r="I6234" s="74">
        <f t="shared" si="1"/>
        <v>620000</v>
      </c>
      <c r="J6234" s="74">
        <f>IF(E6234="SERVICE",I6234-(I6234*50%),Vlookup(E6234,DATABASE!C:Q,10,false)*F6234)</f>
        <v>0</v>
      </c>
      <c r="K6234" s="74">
        <f>VLOOKUP(E6234,DATABASE!C:Q,7,false)</f>
        <v>565760</v>
      </c>
      <c r="L6234" s="74">
        <v>524800.0</v>
      </c>
      <c r="M6234" s="74">
        <f t="shared" si="2"/>
        <v>525000</v>
      </c>
      <c r="N6234" s="74">
        <f t="shared" si="3"/>
        <v>95000</v>
      </c>
      <c r="O6234" s="65" t="str">
        <f>VLOOKUP(E6234,DATABASE!C:Q,8,false)</f>
        <v>BIAN</v>
      </c>
      <c r="P6234" s="65">
        <f>VLOOKUP(E6234,DATABASE!C:Q,9,False)</f>
        <v>1</v>
      </c>
      <c r="Q6234" s="93" t="str">
        <f>VLOOKUP(E6234,DATABASE!C:Q,4,false)</f>
        <v>GT</v>
      </c>
      <c r="R6234" s="93" t="str">
        <f>VLOOKUP(E6234,DATABASE!C:Q,11,false)</f>
        <v>Tire</v>
      </c>
    </row>
    <row r="6235" ht="22.5" customHeight="1">
      <c r="A6235" s="49"/>
      <c r="C6235" s="400">
        <v>46017.0</v>
      </c>
      <c r="D6235" s="524">
        <v>8349.0</v>
      </c>
      <c r="E6235" s="544" t="s">
        <v>256</v>
      </c>
      <c r="F6235" s="387">
        <v>1.0</v>
      </c>
      <c r="G6235" s="140">
        <v>150000.0</v>
      </c>
      <c r="H6235" s="140">
        <v>20000.0</v>
      </c>
      <c r="I6235" s="74">
        <f t="shared" si="1"/>
        <v>130000</v>
      </c>
      <c r="J6235" s="74">
        <f>IF(E6235="SERVICE",I6235-(I6235*50%),Vlookup(E6235,DATABASE!C:Q,10,false)*F6235)</f>
        <v>10000</v>
      </c>
      <c r="K6235" s="74">
        <f>VLOOKUP(E6235,DATABASE!C:Q,7,false)</f>
        <v>0</v>
      </c>
      <c r="L6235" s="74">
        <v>0.0</v>
      </c>
      <c r="M6235" s="74">
        <f t="shared" si="2"/>
        <v>0</v>
      </c>
      <c r="N6235" s="74">
        <f t="shared" si="3"/>
        <v>120000</v>
      </c>
      <c r="O6235" s="65" t="str">
        <f>VLOOKUP(E6235,DATABASE!C:Q,8,false)</f>
        <v>IBU</v>
      </c>
      <c r="P6235" s="65">
        <f>VLOOKUP(E6235,DATABASE!C:Q,9,False)</f>
        <v>0</v>
      </c>
      <c r="Q6235" s="93" t="str">
        <f>VLOOKUP(E6235,DATABASE!C:Q,4,false)</f>
        <v>SPOORING</v>
      </c>
      <c r="R6235" s="93" t="str">
        <f>VLOOKUP(E6235,DATABASE!C:Q,11,false)</f>
        <v>SERVICE</v>
      </c>
    </row>
    <row r="6236" ht="22.5" customHeight="1">
      <c r="A6236" s="49"/>
      <c r="C6236" s="400">
        <v>46017.0</v>
      </c>
      <c r="D6236" s="524">
        <v>8350.0</v>
      </c>
      <c r="E6236" s="544" t="s">
        <v>288</v>
      </c>
      <c r="F6236" s="387">
        <v>4.0</v>
      </c>
      <c r="G6236" s="140">
        <v>620000.0</v>
      </c>
      <c r="H6236" s="74"/>
      <c r="I6236" s="74">
        <f t="shared" si="1"/>
        <v>2480000</v>
      </c>
      <c r="J6236" s="74">
        <f>IF(E6236="SERVICE",I6236-(I6236*50%),Vlookup(E6236,DATABASE!C:Q,10,false)*F6236)</f>
        <v>0</v>
      </c>
      <c r="K6236" s="74">
        <f>VLOOKUP(E6236,DATABASE!C:Q,7,false)</f>
        <v>565760</v>
      </c>
      <c r="L6236" s="74">
        <v>524800.0</v>
      </c>
      <c r="M6236" s="74">
        <f t="shared" si="2"/>
        <v>525000</v>
      </c>
      <c r="N6236" s="74">
        <f t="shared" si="3"/>
        <v>380000</v>
      </c>
      <c r="O6236" s="65" t="str">
        <f>VLOOKUP(E6236,DATABASE!C:Q,8,false)</f>
        <v>BIAN</v>
      </c>
      <c r="P6236" s="65">
        <f>VLOOKUP(E6236,DATABASE!C:Q,9,False)</f>
        <v>1</v>
      </c>
      <c r="Q6236" s="93" t="str">
        <f>VLOOKUP(E6236,DATABASE!C:Q,4,false)</f>
        <v>GT</v>
      </c>
      <c r="R6236" s="93" t="str">
        <f>VLOOKUP(E6236,DATABASE!C:Q,11,false)</f>
        <v>Tire</v>
      </c>
    </row>
    <row r="6237" ht="22.5" customHeight="1">
      <c r="A6237" s="49"/>
      <c r="C6237" s="400">
        <v>46017.0</v>
      </c>
      <c r="D6237" s="524">
        <v>8350.0</v>
      </c>
      <c r="E6237" s="544" t="s">
        <v>256</v>
      </c>
      <c r="F6237" s="387">
        <v>1.0</v>
      </c>
      <c r="G6237" s="140">
        <v>150000.0</v>
      </c>
      <c r="H6237" s="140">
        <v>20000.0</v>
      </c>
      <c r="I6237" s="74">
        <f t="shared" si="1"/>
        <v>130000</v>
      </c>
      <c r="J6237" s="74">
        <f>IF(E6237="SERVICE",I6237-(I6237*50%),Vlookup(E6237,DATABASE!C:Q,10,false)*F6237)</f>
        <v>10000</v>
      </c>
      <c r="K6237" s="74">
        <f>VLOOKUP(E6237,DATABASE!C:Q,7,false)</f>
        <v>0</v>
      </c>
      <c r="L6237" s="74">
        <v>0.0</v>
      </c>
      <c r="M6237" s="74">
        <f t="shared" si="2"/>
        <v>0</v>
      </c>
      <c r="N6237" s="74">
        <f t="shared" si="3"/>
        <v>120000</v>
      </c>
      <c r="O6237" s="65" t="str">
        <f>VLOOKUP(E6237,DATABASE!C:Q,8,false)</f>
        <v>IBU</v>
      </c>
      <c r="P6237" s="65">
        <f>VLOOKUP(E6237,DATABASE!C:Q,9,False)</f>
        <v>0</v>
      </c>
      <c r="Q6237" s="93" t="str">
        <f>VLOOKUP(E6237,DATABASE!C:Q,4,false)</f>
        <v>SPOORING</v>
      </c>
      <c r="R6237" s="93" t="str">
        <f>VLOOKUP(E6237,DATABASE!C:Q,11,false)</f>
        <v>SERVICE</v>
      </c>
    </row>
    <row r="6238" ht="22.5" customHeight="1">
      <c r="A6238" s="49"/>
      <c r="C6238" s="400">
        <v>46017.0</v>
      </c>
      <c r="D6238" s="524">
        <v>8351.0</v>
      </c>
      <c r="E6238" s="544" t="s">
        <v>265</v>
      </c>
      <c r="F6238" s="387">
        <v>1.0</v>
      </c>
      <c r="G6238" s="140">
        <v>685000.0</v>
      </c>
      <c r="H6238" s="74"/>
      <c r="I6238" s="74">
        <f t="shared" si="1"/>
        <v>685000</v>
      </c>
      <c r="J6238" s="74">
        <f>IF(E6238="SERVICE",I6238-(I6238*50%),Vlookup(E6238,DATABASE!C:Q,10,false)*F6238)</f>
        <v>0</v>
      </c>
      <c r="K6238" s="74">
        <f>VLOOKUP(E6238,DATABASE!C:Q,7,false)</f>
        <v>628000</v>
      </c>
      <c r="L6238" s="74">
        <v>600000.0</v>
      </c>
      <c r="M6238" s="74">
        <f t="shared" si="2"/>
        <v>600000</v>
      </c>
      <c r="N6238" s="74">
        <f t="shared" si="3"/>
        <v>85000</v>
      </c>
      <c r="O6238" s="65" t="str">
        <f>VLOOKUP(E6238,DATABASE!C:Q,8,false)</f>
        <v>IBU</v>
      </c>
      <c r="P6238" s="65">
        <f>VLOOKUP(E6238,DATABASE!C:Q,9,False)</f>
        <v>1</v>
      </c>
      <c r="Q6238" s="93" t="str">
        <f>VLOOKUP(E6238,DATABASE!C:Q,4,false)</f>
        <v>Dunlop</v>
      </c>
      <c r="R6238" s="93" t="str">
        <f>VLOOKUP(E6238,DATABASE!C:Q,11,false)</f>
        <v>Tire</v>
      </c>
    </row>
    <row r="6239" ht="22.5" customHeight="1">
      <c r="A6239" s="49"/>
      <c r="C6239" s="400">
        <v>46017.0</v>
      </c>
      <c r="D6239" s="69">
        <v>8352.0</v>
      </c>
      <c r="E6239" s="544" t="s">
        <v>268</v>
      </c>
      <c r="F6239" s="387">
        <v>1.0</v>
      </c>
      <c r="G6239" s="140">
        <v>710000.0</v>
      </c>
      <c r="H6239" s="74"/>
      <c r="I6239" s="74">
        <f t="shared" si="1"/>
        <v>710000</v>
      </c>
      <c r="J6239" s="74">
        <f>IF(E6239="SERVICE",I6239-(I6239*50%),Vlookup(E6239,DATABASE!C:Q,10,false)*F6239)</f>
        <v>0</v>
      </c>
      <c r="K6239" s="74">
        <f>VLOOKUP(E6239,DATABASE!C:Q,7,false)</f>
        <v>653000</v>
      </c>
      <c r="L6239" s="74">
        <v>622000.0</v>
      </c>
      <c r="M6239" s="74">
        <f t="shared" si="2"/>
        <v>625000</v>
      </c>
      <c r="N6239" s="74">
        <f t="shared" si="3"/>
        <v>85000</v>
      </c>
      <c r="O6239" s="65" t="str">
        <f>VLOOKUP(E6239,DATABASE!C:Q,8,false)</f>
        <v>IBU</v>
      </c>
      <c r="P6239" s="65">
        <f>VLOOKUP(E6239,DATABASE!C:Q,9,False)</f>
        <v>1</v>
      </c>
      <c r="Q6239" s="93" t="str">
        <f>VLOOKUP(E6239,DATABASE!C:Q,4,false)</f>
        <v>Dunlop</v>
      </c>
      <c r="R6239" s="93" t="str">
        <f>VLOOKUP(E6239,DATABASE!C:Q,11,false)</f>
        <v>Tire</v>
      </c>
    </row>
    <row r="6240" ht="22.5" customHeight="1">
      <c r="A6240" s="49"/>
      <c r="C6240" s="400">
        <v>46017.0</v>
      </c>
      <c r="D6240" s="524">
        <v>8353.0</v>
      </c>
      <c r="E6240" s="544" t="s">
        <v>256</v>
      </c>
      <c r="F6240" s="387">
        <v>1.0</v>
      </c>
      <c r="G6240" s="140">
        <v>150000.0</v>
      </c>
      <c r="H6240" s="140">
        <v>20000.0</v>
      </c>
      <c r="I6240" s="74">
        <f t="shared" si="1"/>
        <v>130000</v>
      </c>
      <c r="J6240" s="74">
        <f>IF(E6240="SERVICE",I6240-(I6240*50%),Vlookup(E6240,DATABASE!C:Q,10,false)*F6240)</f>
        <v>10000</v>
      </c>
      <c r="K6240" s="74">
        <f>VLOOKUP(E6240,DATABASE!C:Q,7,false)</f>
        <v>0</v>
      </c>
      <c r="L6240" s="74">
        <v>0.0</v>
      </c>
      <c r="M6240" s="74">
        <f t="shared" si="2"/>
        <v>0</v>
      </c>
      <c r="N6240" s="74">
        <f t="shared" si="3"/>
        <v>120000</v>
      </c>
      <c r="O6240" s="65" t="str">
        <f>VLOOKUP(E6240,DATABASE!C:Q,8,false)</f>
        <v>IBU</v>
      </c>
      <c r="P6240" s="65">
        <f>VLOOKUP(E6240,DATABASE!C:Q,9,False)</f>
        <v>0</v>
      </c>
      <c r="Q6240" s="93" t="str">
        <f>VLOOKUP(E6240,DATABASE!C:Q,4,false)</f>
        <v>SPOORING</v>
      </c>
      <c r="R6240" s="93" t="str">
        <f>VLOOKUP(E6240,DATABASE!C:Q,11,false)</f>
        <v>SERVICE</v>
      </c>
    </row>
    <row r="6241" ht="22.5" customHeight="1">
      <c r="A6241" s="49"/>
      <c r="C6241" s="400">
        <v>46017.0</v>
      </c>
      <c r="D6241" s="524">
        <v>8353.0</v>
      </c>
      <c r="E6241" s="544" t="s">
        <v>301</v>
      </c>
      <c r="F6241" s="387">
        <v>1.0</v>
      </c>
      <c r="G6241" s="140">
        <v>250000.0</v>
      </c>
      <c r="H6241" s="74"/>
      <c r="I6241" s="74">
        <f t="shared" si="1"/>
        <v>250000</v>
      </c>
      <c r="J6241" s="74">
        <f>IF(E6241="SERVICE",I6241-(I6241*50%),Vlookup(E6241,DATABASE!C:Q,10,false)*F6241)</f>
        <v>75000</v>
      </c>
      <c r="K6241" s="74">
        <f>VLOOKUP(E6241,DATABASE!C:Q,7,false)</f>
        <v>75000</v>
      </c>
      <c r="L6241" s="74">
        <v>75000.0</v>
      </c>
      <c r="M6241" s="74">
        <f t="shared" si="2"/>
        <v>75000</v>
      </c>
      <c r="N6241" s="74">
        <f t="shared" si="3"/>
        <v>100000</v>
      </c>
      <c r="O6241" s="65" t="str">
        <f>VLOOKUP(E6241,DATABASE!C:Q,8,false)</f>
        <v>BIAN</v>
      </c>
      <c r="P6241" s="65">
        <f>VLOOKUP(E6241,DATABASE!C:Q,9,False)</f>
        <v>0</v>
      </c>
      <c r="Q6241" s="93" t="str">
        <f>VLOOKUP(E6241,DATABASE!C:Q,4,false)</f>
        <v>Baut Camber</v>
      </c>
      <c r="R6241" s="93" t="str">
        <f>VLOOKUP(E6241,DATABASE!C:Q,11,false)</f>
        <v>COMPLEMENTARY</v>
      </c>
    </row>
    <row r="6242" ht="22.5" customHeight="1">
      <c r="A6242" s="49"/>
      <c r="C6242" s="400">
        <v>46017.0</v>
      </c>
      <c r="D6242" s="524">
        <v>8354.0</v>
      </c>
      <c r="E6242" s="544" t="s">
        <v>2064</v>
      </c>
      <c r="F6242" s="387">
        <v>1.0</v>
      </c>
      <c r="G6242" s="140">
        <v>700000.0</v>
      </c>
      <c r="H6242" s="74"/>
      <c r="I6242" s="74">
        <f t="shared" si="1"/>
        <v>700000</v>
      </c>
      <c r="J6242" s="74">
        <f>IF(E6242="SERVICE",I6242-(I6242*50%),Vlookup(E6242,DATABASE!C:Q,10,false)*F6242)</f>
        <v>0</v>
      </c>
      <c r="K6242" s="74">
        <f>VLOOKUP(E6242,DATABASE!C:Q,7,false)</f>
        <v>608000</v>
      </c>
      <c r="L6242" s="74">
        <v>608000.0</v>
      </c>
      <c r="M6242" s="74">
        <f t="shared" si="2"/>
        <v>610000</v>
      </c>
      <c r="N6242" s="74">
        <f t="shared" si="3"/>
        <v>90000</v>
      </c>
      <c r="O6242" s="65" t="str">
        <f>VLOOKUP(E6242,DATABASE!C:Q,8,false)</f>
        <v>BIAN</v>
      </c>
      <c r="P6242" s="65">
        <f>VLOOKUP(E6242,DATABASE!C:Q,9,False)</f>
        <v>1</v>
      </c>
      <c r="Q6242" s="93" t="str">
        <f>VLOOKUP(E6242,DATABASE!C:Q,4,false)</f>
        <v>Hankook</v>
      </c>
      <c r="R6242" s="93" t="str">
        <f>VLOOKUP(E6242,DATABASE!C:Q,11,false)</f>
        <v>Tire</v>
      </c>
    </row>
    <row r="6243" ht="22.5" customHeight="1">
      <c r="A6243" s="49"/>
      <c r="C6243" s="400">
        <v>46017.0</v>
      </c>
      <c r="D6243" s="524">
        <v>8355.0</v>
      </c>
      <c r="E6243" s="544" t="s">
        <v>1526</v>
      </c>
      <c r="F6243" s="387">
        <v>1.0</v>
      </c>
      <c r="G6243" s="140">
        <v>540000.0</v>
      </c>
      <c r="H6243" s="74"/>
      <c r="I6243" s="74">
        <f t="shared" si="1"/>
        <v>540000</v>
      </c>
      <c r="J6243" s="74">
        <f>IF(E6243="SERVICE",I6243-(I6243*50%),Vlookup(E6243,DATABASE!C:Q,10,false)*F6243)</f>
        <v>0</v>
      </c>
      <c r="K6243" s="74">
        <f>VLOOKUP(E6243,DATABASE!C:Q,7,false)</f>
        <v>450000</v>
      </c>
      <c r="L6243" s="74">
        <v>437000.0</v>
      </c>
      <c r="M6243" s="74">
        <f t="shared" si="2"/>
        <v>440000</v>
      </c>
      <c r="N6243" s="74">
        <f t="shared" si="3"/>
        <v>100000</v>
      </c>
      <c r="O6243" s="65" t="str">
        <f>VLOOKUP(E6243,DATABASE!C:Q,8,false)</f>
        <v>BIAN</v>
      </c>
      <c r="P6243" s="65">
        <f>VLOOKUP(E6243,DATABASE!C:Q,9,False)</f>
        <v>1</v>
      </c>
      <c r="Q6243" s="93" t="str">
        <f>VLOOKUP(E6243,DATABASE!C:Q,4,false)</f>
        <v>Laufen</v>
      </c>
      <c r="R6243" s="93" t="str">
        <f>VLOOKUP(E6243,DATABASE!C:Q,11,false)</f>
        <v>Tire</v>
      </c>
    </row>
    <row r="6244" ht="22.5" customHeight="1">
      <c r="A6244" s="49"/>
      <c r="C6244" s="400">
        <v>46017.0</v>
      </c>
      <c r="D6244" s="524">
        <v>8356.0</v>
      </c>
      <c r="E6244" s="544" t="s">
        <v>2019</v>
      </c>
      <c r="F6244" s="387">
        <v>2.0</v>
      </c>
      <c r="G6244" s="140">
        <v>685000.0</v>
      </c>
      <c r="H6244" s="74"/>
      <c r="I6244" s="74">
        <f t="shared" si="1"/>
        <v>1370000</v>
      </c>
      <c r="J6244" s="74">
        <f>IF(E6244="SERVICE",I6244-(I6244*50%),Vlookup(E6244,DATABASE!C:Q,10,false)*F6244)</f>
        <v>0</v>
      </c>
      <c r="K6244" s="74">
        <f>VLOOKUP(E6244,DATABASE!C:Q,7,false)</f>
        <v>620000</v>
      </c>
      <c r="L6244" s="74">
        <v>585000.0</v>
      </c>
      <c r="M6244" s="74">
        <f t="shared" si="2"/>
        <v>585000</v>
      </c>
      <c r="N6244" s="74">
        <f t="shared" si="3"/>
        <v>200000</v>
      </c>
      <c r="O6244" s="65" t="str">
        <f>VLOOKUP(E6244,DATABASE!C:Q,8,false)</f>
        <v>BIAN</v>
      </c>
      <c r="P6244" s="65">
        <f>VLOOKUP(E6244,DATABASE!C:Q,9,False)</f>
        <v>1</v>
      </c>
      <c r="Q6244" s="93" t="str">
        <f>VLOOKUP(E6244,DATABASE!C:Q,4,false)</f>
        <v>GT</v>
      </c>
      <c r="R6244" s="93" t="str">
        <f>VLOOKUP(E6244,DATABASE!C:Q,11,false)</f>
        <v>Tire</v>
      </c>
    </row>
    <row r="6245" ht="22.5" customHeight="1">
      <c r="A6245" s="49"/>
      <c r="C6245" s="400">
        <v>46017.0</v>
      </c>
      <c r="D6245" s="524">
        <v>8356.0</v>
      </c>
      <c r="E6245" s="544" t="s">
        <v>613</v>
      </c>
      <c r="F6245" s="387">
        <v>2.0</v>
      </c>
      <c r="G6245" s="140">
        <v>95000.0</v>
      </c>
      <c r="H6245" s="74"/>
      <c r="I6245" s="74">
        <f t="shared" si="1"/>
        <v>190000</v>
      </c>
      <c r="J6245" s="74">
        <f>IF(E6245="SERVICE",I6245-(I6245*50%),Vlookup(E6245,DATABASE!C:Q,10,false)*F6245)</f>
        <v>0</v>
      </c>
      <c r="K6245" s="74">
        <f>VLOOKUP(E6245,DATABASE!C:Q,7,false)</f>
        <v>58371.2695</v>
      </c>
      <c r="L6245" s="74">
        <v>55000.0</v>
      </c>
      <c r="M6245" s="74">
        <f t="shared" si="2"/>
        <v>55000</v>
      </c>
      <c r="N6245" s="74">
        <f t="shared" si="3"/>
        <v>80000</v>
      </c>
      <c r="O6245" s="65" t="str">
        <f>VLOOKUP(E6245,DATABASE!C:Q,8,false)</f>
        <v>BIAN</v>
      </c>
      <c r="P6245" s="65">
        <f>VLOOKUP(E6245,DATABASE!C:Q,9,False)</f>
        <v>1</v>
      </c>
      <c r="Q6245" s="93" t="str">
        <f>VLOOKUP(E6245,DATABASE!C:Q,4,false)</f>
        <v>BD</v>
      </c>
      <c r="R6245" s="93" t="str">
        <f>VLOOKUP(E6245,DATABASE!C:Q,11,false)</f>
        <v>Tire</v>
      </c>
    </row>
    <row r="6246" ht="22.5" customHeight="1">
      <c r="A6246" s="49"/>
      <c r="C6246" s="400">
        <v>46017.0</v>
      </c>
      <c r="D6246" s="524">
        <v>8358.0</v>
      </c>
      <c r="E6246" s="544" t="s">
        <v>1009</v>
      </c>
      <c r="F6246" s="387">
        <v>2.0</v>
      </c>
      <c r="G6246" s="140">
        <v>700000.0</v>
      </c>
      <c r="H6246" s="74"/>
      <c r="I6246" s="74">
        <f t="shared" si="1"/>
        <v>1400000</v>
      </c>
      <c r="J6246" s="74">
        <f>IF(E6246="SERVICE",I6246-(I6246*50%),Vlookup(E6246,DATABASE!C:Q,10,false)*F6246)</f>
        <v>0</v>
      </c>
      <c r="K6246" s="74">
        <f>VLOOKUP(E6246,DATABASE!C:Q,7,false)</f>
        <v>609800</v>
      </c>
      <c r="L6246" s="74">
        <v>592200.0</v>
      </c>
      <c r="M6246" s="74">
        <f t="shared" si="2"/>
        <v>595000</v>
      </c>
      <c r="N6246" s="74">
        <f t="shared" si="3"/>
        <v>210000</v>
      </c>
      <c r="O6246" s="65" t="str">
        <f>VLOOKUP(E6246,DATABASE!C:Q,8,false)</f>
        <v>BIAN</v>
      </c>
      <c r="P6246" s="65">
        <f>VLOOKUP(E6246,DATABASE!C:Q,9,False)</f>
        <v>1</v>
      </c>
      <c r="Q6246" s="93" t="str">
        <f>VLOOKUP(E6246,DATABASE!C:Q,4,false)</f>
        <v>GT</v>
      </c>
      <c r="R6246" s="93" t="str">
        <f>VLOOKUP(E6246,DATABASE!C:Q,11,false)</f>
        <v>Tire</v>
      </c>
    </row>
    <row r="6247" ht="22.5" customHeight="1">
      <c r="A6247" s="49"/>
      <c r="C6247" s="400">
        <v>46017.0</v>
      </c>
      <c r="D6247" s="524">
        <v>8358.0</v>
      </c>
      <c r="E6247" s="544" t="s">
        <v>2555</v>
      </c>
      <c r="F6247" s="387">
        <v>2.0</v>
      </c>
      <c r="G6247" s="140">
        <v>600000.0</v>
      </c>
      <c r="H6247" s="74"/>
      <c r="I6247" s="74">
        <f t="shared" si="1"/>
        <v>1200000</v>
      </c>
      <c r="J6247" s="74">
        <f>IF(E6247="SERVICE",I6247-(I6247*50%),Vlookup(E6247,DATABASE!C:Q,10,false)*F6247)</f>
        <v>0</v>
      </c>
      <c r="K6247" s="74">
        <f>VLOOKUP(E6247,DATABASE!C:Q,7,false)</f>
        <v>520000</v>
      </c>
      <c r="L6247" s="74">
        <v>520000.0</v>
      </c>
      <c r="M6247" s="74">
        <f t="shared" si="2"/>
        <v>520000</v>
      </c>
      <c r="N6247" s="74">
        <f t="shared" si="3"/>
        <v>160000</v>
      </c>
      <c r="O6247" s="65" t="str">
        <f>VLOOKUP(E6247,DATABASE!C:Q,8,false)</f>
        <v>BIAN</v>
      </c>
      <c r="P6247" s="65">
        <f>VLOOKUP(E6247,DATABASE!C:Q,9,False)</f>
        <v>1</v>
      </c>
      <c r="Q6247" s="93" t="str">
        <f>VLOOKUP(E6247,DATABASE!C:Q,4,false)</f>
        <v>Laufen</v>
      </c>
      <c r="R6247" s="93" t="str">
        <f>VLOOKUP(E6247,DATABASE!C:Q,11,false)</f>
        <v>Tire</v>
      </c>
    </row>
    <row r="6248" ht="22.5" customHeight="1">
      <c r="A6248" s="49"/>
      <c r="C6248" s="400">
        <v>46017.0</v>
      </c>
      <c r="D6248" s="524">
        <v>8358.0</v>
      </c>
      <c r="E6248" s="544" t="s">
        <v>483</v>
      </c>
      <c r="F6248" s="387">
        <v>4.0</v>
      </c>
      <c r="G6248" s="140">
        <v>15000.0</v>
      </c>
      <c r="H6248" s="140">
        <v>5000.0</v>
      </c>
      <c r="I6248" s="74">
        <f t="shared" si="1"/>
        <v>40000</v>
      </c>
      <c r="J6248" s="74">
        <f>IF(E6248="SERVICE",I6248-(I6248*50%),Vlookup(E6248,DATABASE!C:Q,10,false)*F6248)</f>
        <v>0</v>
      </c>
      <c r="K6248" s="74">
        <f>VLOOKUP(E6248,DATABASE!C:Q,7,false)</f>
        <v>10000</v>
      </c>
      <c r="L6248" s="74">
        <v>10000.0</v>
      </c>
      <c r="M6248" s="74">
        <f t="shared" si="2"/>
        <v>10000</v>
      </c>
      <c r="N6248" s="74">
        <f t="shared" si="3"/>
        <v>0</v>
      </c>
      <c r="O6248" s="65" t="str">
        <f>VLOOKUP(E6248,DATABASE!C:Q,8,false)</f>
        <v>IBU</v>
      </c>
      <c r="P6248" s="65">
        <f>VLOOKUP(E6248,DATABASE!C:Q,9,False)</f>
        <v>0</v>
      </c>
      <c r="Q6248" s="93" t="str">
        <f>VLOOKUP(E6248,DATABASE!C:Q,4,false)</f>
        <v>Baut</v>
      </c>
      <c r="R6248" s="93" t="str">
        <f>VLOOKUP(E6248,DATABASE!C:Q,11,false)</f>
        <v>COMPLEMENTARY</v>
      </c>
    </row>
    <row r="6249" ht="22.5" customHeight="1">
      <c r="A6249" s="49"/>
      <c r="C6249" s="400">
        <v>46017.0</v>
      </c>
      <c r="D6249" s="524">
        <v>8359.0</v>
      </c>
      <c r="E6249" s="544" t="s">
        <v>531</v>
      </c>
      <c r="F6249" s="387">
        <v>1.0</v>
      </c>
      <c r="G6249" s="140">
        <v>100000.0</v>
      </c>
      <c r="H6249" s="140">
        <v>30000.0</v>
      </c>
      <c r="I6249" s="74">
        <f t="shared" si="1"/>
        <v>70000</v>
      </c>
      <c r="J6249" s="74">
        <f>IF(E6249="SERVICE",I6249-(I6249*50%),Vlookup(E6249,DATABASE!C:Q,10,false)*F6249)</f>
        <v>0</v>
      </c>
      <c r="K6249" s="74">
        <f>VLOOKUP(E6249,DATABASE!C:Q,7,false)</f>
        <v>47000</v>
      </c>
      <c r="L6249" s="74">
        <v>47000.0</v>
      </c>
      <c r="M6249" s="74">
        <f t="shared" si="2"/>
        <v>50000</v>
      </c>
      <c r="N6249" s="74">
        <f t="shared" si="3"/>
        <v>20000</v>
      </c>
      <c r="O6249" s="65" t="str">
        <f>VLOOKUP(E6249,DATABASE!C:Q,8,false)</f>
        <v>BIAN</v>
      </c>
      <c r="P6249" s="65">
        <f>VLOOKUP(E6249,DATABASE!C:Q,9,False)</f>
        <v>1</v>
      </c>
      <c r="Q6249" s="93" t="str">
        <f>VLOOKUP(E6249,DATABASE!C:Q,4,false)</f>
        <v>BD</v>
      </c>
      <c r="R6249" s="93" t="str">
        <f>VLOOKUP(E6249,DATABASE!C:Q,11,false)</f>
        <v>Tire</v>
      </c>
    </row>
    <row r="6250" ht="22.5" customHeight="1">
      <c r="A6250" s="49"/>
      <c r="C6250" s="400">
        <v>46017.0</v>
      </c>
      <c r="D6250" s="524">
        <v>8360.0</v>
      </c>
      <c r="E6250" s="544" t="s">
        <v>268</v>
      </c>
      <c r="F6250" s="387">
        <v>2.0</v>
      </c>
      <c r="G6250" s="140">
        <v>710000.0</v>
      </c>
      <c r="H6250" s="74"/>
      <c r="I6250" s="74">
        <f t="shared" si="1"/>
        <v>1420000</v>
      </c>
      <c r="J6250" s="74">
        <f>IF(E6250="SERVICE",I6250-(I6250*50%),Vlookup(E6250,DATABASE!C:Q,10,false)*F6250)</f>
        <v>0</v>
      </c>
      <c r="K6250" s="74">
        <f>VLOOKUP(E6250,DATABASE!C:Q,7,false)</f>
        <v>653000</v>
      </c>
      <c r="L6250" s="74">
        <v>622000.0</v>
      </c>
      <c r="M6250" s="74">
        <f t="shared" si="2"/>
        <v>625000</v>
      </c>
      <c r="N6250" s="74">
        <f t="shared" si="3"/>
        <v>170000</v>
      </c>
      <c r="O6250" s="65" t="str">
        <f>VLOOKUP(E6250,DATABASE!C:Q,8,false)</f>
        <v>IBU</v>
      </c>
      <c r="P6250" s="65">
        <f>VLOOKUP(E6250,DATABASE!C:Q,9,False)</f>
        <v>1</v>
      </c>
      <c r="Q6250" s="93" t="str">
        <f>VLOOKUP(E6250,DATABASE!C:Q,4,false)</f>
        <v>Dunlop</v>
      </c>
      <c r="R6250" s="93" t="str">
        <f>VLOOKUP(E6250,DATABASE!C:Q,11,false)</f>
        <v>Tire</v>
      </c>
    </row>
    <row r="6251" ht="22.5" customHeight="1">
      <c r="A6251" s="49"/>
      <c r="C6251" s="400">
        <v>46017.0</v>
      </c>
      <c r="D6251" s="524">
        <v>8361.0</v>
      </c>
      <c r="E6251" s="544" t="s">
        <v>287</v>
      </c>
      <c r="F6251" s="387">
        <v>4.0</v>
      </c>
      <c r="G6251" s="140">
        <v>780000.0</v>
      </c>
      <c r="H6251" s="140">
        <v>90000.0</v>
      </c>
      <c r="I6251" s="74">
        <f t="shared" si="1"/>
        <v>2760000</v>
      </c>
      <c r="J6251" s="74">
        <f>IF(E6251="SERVICE",I6251-(I6251*50%),Vlookup(E6251,DATABASE!C:Q,10,false)*F6251)</f>
        <v>0</v>
      </c>
      <c r="K6251" s="74">
        <f>VLOOKUP(E6251,DATABASE!C:Q,7,false)</f>
        <v>711000</v>
      </c>
      <c r="L6251" s="140">
        <v>690000.0</v>
      </c>
      <c r="M6251" s="74">
        <f t="shared" si="2"/>
        <v>690000</v>
      </c>
      <c r="N6251" s="74">
        <f t="shared" si="3"/>
        <v>0</v>
      </c>
      <c r="O6251" s="65" t="str">
        <f>VLOOKUP(E6251,DATABASE!C:Q,8,false)</f>
        <v>BIAN</v>
      </c>
      <c r="P6251" s="65">
        <f>VLOOKUP(E6251,DATABASE!C:Q,9,False)</f>
        <v>1</v>
      </c>
      <c r="Q6251" s="93" t="str">
        <f>VLOOKUP(E6251,DATABASE!C:Q,4,false)</f>
        <v>GT</v>
      </c>
      <c r="R6251" s="93" t="str">
        <f>VLOOKUP(E6251,DATABASE!C:Q,11,false)</f>
        <v>Tire</v>
      </c>
    </row>
    <row r="6252" ht="22.5" customHeight="1">
      <c r="A6252" s="49"/>
      <c r="C6252" s="400">
        <v>46017.0</v>
      </c>
      <c r="D6252" s="69" t="s">
        <v>2669</v>
      </c>
      <c r="E6252" s="544" t="s">
        <v>2191</v>
      </c>
      <c r="F6252" s="387">
        <v>1.0</v>
      </c>
      <c r="G6252" s="140">
        <v>400000.0</v>
      </c>
      <c r="H6252" s="74"/>
      <c r="I6252" s="74">
        <f t="shared" si="1"/>
        <v>400000</v>
      </c>
      <c r="J6252" s="74">
        <f>IF(E6252="SERVICE",I6252-(I6252*50%),Vlookup(E6252,DATABASE!C:Q,10,false)*F6252)</f>
        <v>0</v>
      </c>
      <c r="K6252" s="74">
        <f>VLOOKUP(E6252,DATABASE!C:Q,7,false)</f>
        <v>422900</v>
      </c>
      <c r="L6252" s="74">
        <v>377951.0</v>
      </c>
      <c r="M6252" s="74">
        <f t="shared" si="2"/>
        <v>380000</v>
      </c>
      <c r="N6252" s="74">
        <f t="shared" si="3"/>
        <v>20000</v>
      </c>
      <c r="O6252" s="65" t="str">
        <f>VLOOKUP(E6252,DATABASE!C:Q,8,false)</f>
        <v>NON</v>
      </c>
      <c r="P6252" s="65">
        <f>VLOOKUP(E6252,DATABASE!C:Q,9,False)</f>
        <v>0</v>
      </c>
      <c r="Q6252" s="93" t="str">
        <f>VLOOKUP(E6252,DATABASE!C:Q,4,false)</f>
        <v>Shell</v>
      </c>
      <c r="R6252" s="93" t="str">
        <f>VLOOKUP(E6252,DATABASE!C:Q,11,false)</f>
        <v>OIL</v>
      </c>
    </row>
    <row r="6253" ht="22.5" customHeight="1">
      <c r="A6253" s="49"/>
      <c r="C6253" s="400">
        <v>46017.0</v>
      </c>
      <c r="D6253" s="69" t="s">
        <v>2670</v>
      </c>
      <c r="E6253" s="544" t="s">
        <v>252</v>
      </c>
      <c r="F6253" s="387">
        <v>1.0</v>
      </c>
      <c r="G6253" s="140">
        <v>300000.0</v>
      </c>
      <c r="H6253" s="74"/>
      <c r="I6253" s="74">
        <f t="shared" si="1"/>
        <v>300000</v>
      </c>
      <c r="J6253" s="74">
        <f>IF(E6253="SERVICE",I6253-(I6253*50%),Vlookup(E6253,DATABASE!C:Q,10,false)*F6253)</f>
        <v>0</v>
      </c>
      <c r="K6253" s="74">
        <f>VLOOKUP(E6253,DATABASE!C:Q,7,false)</f>
        <v>317518</v>
      </c>
      <c r="L6253" s="74">
        <v>271778.0</v>
      </c>
      <c r="M6253" s="74">
        <f t="shared" si="2"/>
        <v>275000</v>
      </c>
      <c r="N6253" s="74">
        <f t="shared" si="3"/>
        <v>25000</v>
      </c>
      <c r="O6253" s="65" t="str">
        <f>VLOOKUP(E6253,DATABASE!C:Q,8,false)</f>
        <v>NON</v>
      </c>
      <c r="P6253" s="65">
        <f>VLOOKUP(E6253,DATABASE!C:Q,9,False)</f>
        <v>0</v>
      </c>
      <c r="Q6253" s="93" t="str">
        <f>VLOOKUP(E6253,DATABASE!C:Q,4,false)</f>
        <v>Shell</v>
      </c>
      <c r="R6253" s="93" t="str">
        <f>VLOOKUP(E6253,DATABASE!C:Q,11,false)</f>
        <v>OIL</v>
      </c>
    </row>
    <row r="6254" ht="22.5" customHeight="1">
      <c r="A6254" s="49"/>
      <c r="C6254" s="400">
        <v>46018.0</v>
      </c>
      <c r="D6254" s="524">
        <v>8363.0</v>
      </c>
      <c r="E6254" s="544" t="s">
        <v>256</v>
      </c>
      <c r="F6254" s="387">
        <v>1.0</v>
      </c>
      <c r="G6254" s="140">
        <v>150000.0</v>
      </c>
      <c r="H6254" s="140">
        <v>20000.0</v>
      </c>
      <c r="I6254" s="74">
        <f t="shared" si="1"/>
        <v>130000</v>
      </c>
      <c r="J6254" s="74">
        <f>IF(E6254="SERVICE",I6254-(I6254*50%),Vlookup(E6254,DATABASE!C:Q,10,false)*F6254)</f>
        <v>10000</v>
      </c>
      <c r="K6254" s="74">
        <f>VLOOKUP(E6254,DATABASE!C:Q,7,false)</f>
        <v>0</v>
      </c>
      <c r="L6254" s="74">
        <v>0.0</v>
      </c>
      <c r="M6254" s="74">
        <f t="shared" si="2"/>
        <v>0</v>
      </c>
      <c r="N6254" s="74">
        <f t="shared" si="3"/>
        <v>120000</v>
      </c>
      <c r="O6254" s="65" t="str">
        <f>VLOOKUP(E6254,DATABASE!C:Q,8,false)</f>
        <v>IBU</v>
      </c>
      <c r="P6254" s="65">
        <f>VLOOKUP(E6254,DATABASE!C:Q,9,False)</f>
        <v>0</v>
      </c>
      <c r="Q6254" s="93" t="str">
        <f>VLOOKUP(E6254,DATABASE!C:Q,4,false)</f>
        <v>SPOORING</v>
      </c>
      <c r="R6254" s="93" t="str">
        <f>VLOOKUP(E6254,DATABASE!C:Q,11,false)</f>
        <v>SERVICE</v>
      </c>
    </row>
    <row r="6255" ht="22.5" customHeight="1">
      <c r="A6255" s="49"/>
      <c r="C6255" s="400">
        <v>46018.0</v>
      </c>
      <c r="D6255" s="524">
        <v>8363.0</v>
      </c>
      <c r="E6255" s="544" t="s">
        <v>301</v>
      </c>
      <c r="F6255" s="387">
        <v>1.0</v>
      </c>
      <c r="G6255" s="140">
        <v>250000.0</v>
      </c>
      <c r="H6255" s="74"/>
      <c r="I6255" s="74">
        <f t="shared" si="1"/>
        <v>250000</v>
      </c>
      <c r="J6255" s="74">
        <f>IF(E6255="SERVICE",I6255-(I6255*50%),Vlookup(E6255,DATABASE!C:Q,10,false)*F6255)</f>
        <v>75000</v>
      </c>
      <c r="K6255" s="74">
        <f>VLOOKUP(E6255,DATABASE!C:Q,7,false)</f>
        <v>75000</v>
      </c>
      <c r="L6255" s="74">
        <v>75000.0</v>
      </c>
      <c r="M6255" s="74">
        <f t="shared" si="2"/>
        <v>75000</v>
      </c>
      <c r="N6255" s="74">
        <f t="shared" si="3"/>
        <v>100000</v>
      </c>
      <c r="O6255" s="65" t="str">
        <f>VLOOKUP(E6255,DATABASE!C:Q,8,false)</f>
        <v>BIAN</v>
      </c>
      <c r="P6255" s="65">
        <f>VLOOKUP(E6255,DATABASE!C:Q,9,False)</f>
        <v>0</v>
      </c>
      <c r="Q6255" s="93" t="str">
        <f>VLOOKUP(E6255,DATABASE!C:Q,4,false)</f>
        <v>Baut Camber</v>
      </c>
      <c r="R6255" s="93" t="str">
        <f>VLOOKUP(E6255,DATABASE!C:Q,11,false)</f>
        <v>COMPLEMENTARY</v>
      </c>
    </row>
    <row r="6256" ht="22.5" customHeight="1">
      <c r="A6256" s="49"/>
      <c r="C6256" s="400">
        <v>46018.0</v>
      </c>
      <c r="D6256" s="524">
        <v>8364.0</v>
      </c>
      <c r="E6256" s="544" t="s">
        <v>581</v>
      </c>
      <c r="F6256" s="387">
        <v>1.0</v>
      </c>
      <c r="G6256" s="140">
        <v>670000.0</v>
      </c>
      <c r="H6256" s="140">
        <v>45000.0</v>
      </c>
      <c r="I6256" s="74">
        <f t="shared" si="1"/>
        <v>625000</v>
      </c>
      <c r="J6256" s="74">
        <f>IF(E6256="SERVICE",I6256-(I6256*50%),Vlookup(E6256,DATABASE!C:Q,10,false)*F6256)</f>
        <v>0</v>
      </c>
      <c r="K6256" s="74">
        <f>VLOOKUP(E6256,DATABASE!C:Q,7,false)</f>
        <v>542528</v>
      </c>
      <c r="L6256" s="74">
        <v>531715.5</v>
      </c>
      <c r="M6256" s="74">
        <f t="shared" si="2"/>
        <v>535000</v>
      </c>
      <c r="N6256" s="74">
        <f t="shared" si="3"/>
        <v>90000</v>
      </c>
      <c r="O6256" s="65" t="str">
        <f>VLOOKUP(E6256,DATABASE!C:Q,8,false)</f>
        <v>IBU</v>
      </c>
      <c r="P6256" s="65">
        <f>VLOOKUP(E6256,DATABASE!C:Q,9,False)</f>
        <v>1</v>
      </c>
      <c r="Q6256" s="93" t="str">
        <f>VLOOKUP(E6256,DATABASE!C:Q,4,false)</f>
        <v>Bridgestone</v>
      </c>
      <c r="R6256" s="93" t="str">
        <f>VLOOKUP(E6256,DATABASE!C:Q,11,false)</f>
        <v>Tire</v>
      </c>
    </row>
    <row r="6257" ht="22.5" customHeight="1">
      <c r="A6257" s="49"/>
      <c r="C6257" s="400">
        <v>46018.0</v>
      </c>
      <c r="D6257" s="524">
        <v>8366.0</v>
      </c>
      <c r="E6257" s="544" t="s">
        <v>271</v>
      </c>
      <c r="F6257" s="387">
        <v>2.0</v>
      </c>
      <c r="G6257" s="140">
        <v>630000.0</v>
      </c>
      <c r="H6257" s="74"/>
      <c r="I6257" s="74">
        <f t="shared" si="1"/>
        <v>1260000</v>
      </c>
      <c r="J6257" s="74">
        <f>IF(E6257="SERVICE",I6257-(I6257*50%),Vlookup(E6257,DATABASE!C:Q,10,false)*F6257)</f>
        <v>0</v>
      </c>
      <c r="K6257" s="74">
        <f>VLOOKUP(E6257,DATABASE!C:Q,7,false)</f>
        <v>570000</v>
      </c>
      <c r="L6257" s="74">
        <v>539000.0</v>
      </c>
      <c r="M6257" s="74">
        <f t="shared" si="2"/>
        <v>540000</v>
      </c>
      <c r="N6257" s="74">
        <f t="shared" si="3"/>
        <v>180000</v>
      </c>
      <c r="O6257" s="65" t="str">
        <f>VLOOKUP(E6257,DATABASE!C:Q,8,false)</f>
        <v>IBU</v>
      </c>
      <c r="P6257" s="65">
        <f>VLOOKUP(E6257,DATABASE!C:Q,9,False)</f>
        <v>1</v>
      </c>
      <c r="Q6257" s="93" t="str">
        <f>VLOOKUP(E6257,DATABASE!C:Q,4,false)</f>
        <v>Dunlop</v>
      </c>
      <c r="R6257" s="93" t="str">
        <f>VLOOKUP(E6257,DATABASE!C:Q,11,false)</f>
        <v>Tire</v>
      </c>
    </row>
    <row r="6258" ht="22.5" customHeight="1">
      <c r="A6258" s="49"/>
      <c r="C6258" s="400">
        <v>46018.0</v>
      </c>
      <c r="D6258" s="524">
        <v>8366.0</v>
      </c>
      <c r="E6258" s="544" t="s">
        <v>299</v>
      </c>
      <c r="F6258" s="387">
        <v>2.0</v>
      </c>
      <c r="G6258" s="140">
        <v>30000.0</v>
      </c>
      <c r="H6258" s="74"/>
      <c r="I6258" s="74">
        <f t="shared" si="1"/>
        <v>60000</v>
      </c>
      <c r="J6258" s="74">
        <f>IF(E6258="SERVICE",I6258-(I6258*50%),Vlookup(E6258,DATABASE!C:Q,10,false)*F6258)</f>
        <v>0</v>
      </c>
      <c r="K6258" s="74">
        <f>VLOOKUP(E6258,DATABASE!C:Q,7,false)</f>
        <v>10000</v>
      </c>
      <c r="L6258" s="74">
        <v>5000.0</v>
      </c>
      <c r="M6258" s="74">
        <f t="shared" si="2"/>
        <v>5000</v>
      </c>
      <c r="N6258" s="74">
        <f t="shared" si="3"/>
        <v>50000</v>
      </c>
      <c r="O6258" s="65" t="str">
        <f>VLOOKUP(E6258,DATABASE!C:Q,8,false)</f>
        <v>BIAN</v>
      </c>
      <c r="P6258" s="65">
        <f>VLOOKUP(E6258,DATABASE!C:Q,9,False)</f>
        <v>0</v>
      </c>
      <c r="Q6258" s="93" t="str">
        <f>VLOOKUP(E6258,DATABASE!C:Q,4,false)</f>
        <v>Balancing</v>
      </c>
      <c r="R6258" s="93" t="str">
        <f>VLOOKUP(E6258,DATABASE!C:Q,11,false)</f>
        <v>COMPLEMENTARY</v>
      </c>
    </row>
    <row r="6259" ht="22.5" customHeight="1">
      <c r="A6259" s="49"/>
      <c r="C6259" s="400">
        <v>46018.0</v>
      </c>
      <c r="D6259" s="524">
        <v>8366.0</v>
      </c>
      <c r="E6259" s="544" t="s">
        <v>256</v>
      </c>
      <c r="F6259" s="387">
        <v>1.0</v>
      </c>
      <c r="G6259" s="140">
        <v>150000.0</v>
      </c>
      <c r="H6259" s="140">
        <v>20000.0</v>
      </c>
      <c r="I6259" s="74">
        <f t="shared" si="1"/>
        <v>130000</v>
      </c>
      <c r="J6259" s="74">
        <f>IF(E6259="SERVICE",I6259-(I6259*50%),Vlookup(E6259,DATABASE!C:Q,10,false)*F6259)</f>
        <v>10000</v>
      </c>
      <c r="K6259" s="74">
        <f>VLOOKUP(E6259,DATABASE!C:Q,7,false)</f>
        <v>0</v>
      </c>
      <c r="L6259" s="74">
        <v>0.0</v>
      </c>
      <c r="M6259" s="74">
        <f t="shared" si="2"/>
        <v>0</v>
      </c>
      <c r="N6259" s="74">
        <f t="shared" si="3"/>
        <v>120000</v>
      </c>
      <c r="O6259" s="65" t="str">
        <f>VLOOKUP(E6259,DATABASE!C:Q,8,false)</f>
        <v>IBU</v>
      </c>
      <c r="P6259" s="65">
        <f>VLOOKUP(E6259,DATABASE!C:Q,9,False)</f>
        <v>0</v>
      </c>
      <c r="Q6259" s="93" t="str">
        <f>VLOOKUP(E6259,DATABASE!C:Q,4,false)</f>
        <v>SPOORING</v>
      </c>
      <c r="R6259" s="93" t="str">
        <f>VLOOKUP(E6259,DATABASE!C:Q,11,false)</f>
        <v>SERVICE</v>
      </c>
    </row>
    <row r="6260" ht="22.5" customHeight="1">
      <c r="A6260" s="49"/>
      <c r="C6260" s="400">
        <v>46018.0</v>
      </c>
      <c r="D6260" s="524">
        <v>8367.0</v>
      </c>
      <c r="E6260" s="544" t="s">
        <v>1439</v>
      </c>
      <c r="F6260" s="387">
        <v>2.0</v>
      </c>
      <c r="G6260" s="140">
        <v>640000.0</v>
      </c>
      <c r="H6260" s="140">
        <v>10000.0</v>
      </c>
      <c r="I6260" s="74">
        <f t="shared" si="1"/>
        <v>1260000</v>
      </c>
      <c r="J6260" s="74">
        <f>IF(E6260="SERVICE",I6260-(I6260*50%),Vlookup(E6260,DATABASE!C:Q,10,false)*F6260)</f>
        <v>0</v>
      </c>
      <c r="K6260" s="74">
        <f>VLOOKUP(E6260,DATABASE!C:Q,7,false)</f>
        <v>556800</v>
      </c>
      <c r="L6260" s="74">
        <v>540800.0</v>
      </c>
      <c r="M6260" s="74">
        <f t="shared" si="2"/>
        <v>545000</v>
      </c>
      <c r="N6260" s="74">
        <f t="shared" si="3"/>
        <v>170000</v>
      </c>
      <c r="O6260" s="65" t="str">
        <f>VLOOKUP(E6260,DATABASE!C:Q,8,false)</f>
        <v>BIAN</v>
      </c>
      <c r="P6260" s="65">
        <f>VLOOKUP(E6260,DATABASE!C:Q,9,False)</f>
        <v>1</v>
      </c>
      <c r="Q6260" s="93" t="str">
        <f>VLOOKUP(E6260,DATABASE!C:Q,4,false)</f>
        <v>GT</v>
      </c>
      <c r="R6260" s="93" t="str">
        <f>VLOOKUP(E6260,DATABASE!C:Q,11,false)</f>
        <v>Tire</v>
      </c>
    </row>
    <row r="6261" ht="22.5" customHeight="1">
      <c r="A6261" s="49"/>
      <c r="C6261" s="400">
        <v>46018.0</v>
      </c>
      <c r="D6261" s="524">
        <v>8368.0</v>
      </c>
      <c r="E6261" s="544" t="s">
        <v>791</v>
      </c>
      <c r="F6261" s="387">
        <v>2.0</v>
      </c>
      <c r="G6261" s="140">
        <v>1280000.0</v>
      </c>
      <c r="H6261" s="74"/>
      <c r="I6261" s="74">
        <f t="shared" si="1"/>
        <v>2560000</v>
      </c>
      <c r="J6261" s="74">
        <f>IF(E6261="SERVICE",I6261-(I6261*50%),Vlookup(E6261,DATABASE!C:Q,10,false)*F6261)</f>
        <v>0</v>
      </c>
      <c r="K6261" s="74">
        <f>VLOOKUP(E6261,DATABASE!C:Q,7,false)</f>
        <v>1210000</v>
      </c>
      <c r="L6261" s="74">
        <v>1180000.0</v>
      </c>
      <c r="M6261" s="74">
        <f t="shared" si="2"/>
        <v>1180000</v>
      </c>
      <c r="N6261" s="74">
        <f t="shared" si="3"/>
        <v>200000</v>
      </c>
      <c r="O6261" s="65" t="str">
        <f>VLOOKUP(E6261,DATABASE!C:Q,8,false)</f>
        <v>BIAN</v>
      </c>
      <c r="P6261" s="65">
        <f>VLOOKUP(E6261,DATABASE!C:Q,9,False)</f>
        <v>1</v>
      </c>
      <c r="Q6261" s="93" t="str">
        <f>VLOOKUP(E6261,DATABASE!C:Q,4,false)</f>
        <v>GT</v>
      </c>
      <c r="R6261" s="93" t="str">
        <f>VLOOKUP(E6261,DATABASE!C:Q,11,false)</f>
        <v>Tire</v>
      </c>
    </row>
    <row r="6262" ht="22.5" customHeight="1">
      <c r="A6262" s="49"/>
      <c r="C6262" s="400">
        <v>46018.0</v>
      </c>
      <c r="D6262" s="524">
        <v>8369.0</v>
      </c>
      <c r="E6262" s="544" t="s">
        <v>932</v>
      </c>
      <c r="F6262" s="387">
        <v>1.0</v>
      </c>
      <c r="G6262" s="140">
        <v>680000.0</v>
      </c>
      <c r="H6262" s="74"/>
      <c r="I6262" s="74">
        <f t="shared" si="1"/>
        <v>680000</v>
      </c>
      <c r="J6262" s="74">
        <f>IF(E6262="SERVICE",I6262-(I6262*50%),Vlookup(E6262,DATABASE!C:Q,10,false)*F6262)</f>
        <v>0</v>
      </c>
      <c r="K6262" s="74">
        <f>VLOOKUP(E6262,DATABASE!C:Q,7,false)</f>
        <v>601000</v>
      </c>
      <c r="L6262" s="74">
        <v>595000.0</v>
      </c>
      <c r="M6262" s="74">
        <f t="shared" si="2"/>
        <v>595000</v>
      </c>
      <c r="N6262" s="74">
        <f t="shared" si="3"/>
        <v>85000</v>
      </c>
      <c r="O6262" s="65" t="str">
        <f>VLOOKUP(E6262,DATABASE!C:Q,8,false)</f>
        <v>IBU</v>
      </c>
      <c r="P6262" s="65">
        <f>VLOOKUP(E6262,DATABASE!C:Q,9,False)</f>
        <v>1</v>
      </c>
      <c r="Q6262" s="93" t="str">
        <f>VLOOKUP(E6262,DATABASE!C:Q,4,false)</f>
        <v>Dunlop</v>
      </c>
      <c r="R6262" s="93" t="str">
        <f>VLOOKUP(E6262,DATABASE!C:Q,11,false)</f>
        <v>Tire</v>
      </c>
    </row>
    <row r="6263" ht="22.5" customHeight="1">
      <c r="A6263" s="49"/>
      <c r="C6263" s="400">
        <v>46018.0</v>
      </c>
      <c r="D6263" s="524">
        <v>8370.0</v>
      </c>
      <c r="E6263" s="544" t="s">
        <v>1439</v>
      </c>
      <c r="F6263" s="387">
        <v>1.0</v>
      </c>
      <c r="G6263" s="140">
        <v>640000.0</v>
      </c>
      <c r="H6263" s="140">
        <v>10000.0</v>
      </c>
      <c r="I6263" s="74">
        <f t="shared" si="1"/>
        <v>630000</v>
      </c>
      <c r="J6263" s="74">
        <f>IF(E6263="SERVICE",I6263-(I6263*50%),Vlookup(E6263,DATABASE!C:Q,10,false)*F6263)</f>
        <v>0</v>
      </c>
      <c r="K6263" s="74">
        <f>VLOOKUP(E6263,DATABASE!C:Q,7,false)</f>
        <v>556800</v>
      </c>
      <c r="L6263" s="74">
        <v>540800.0</v>
      </c>
      <c r="M6263" s="74">
        <f t="shared" si="2"/>
        <v>545000</v>
      </c>
      <c r="N6263" s="74">
        <f t="shared" si="3"/>
        <v>85000</v>
      </c>
      <c r="O6263" s="65" t="str">
        <f>VLOOKUP(E6263,DATABASE!C:Q,8,false)</f>
        <v>BIAN</v>
      </c>
      <c r="P6263" s="65">
        <f>VLOOKUP(E6263,DATABASE!C:Q,9,False)</f>
        <v>1</v>
      </c>
      <c r="Q6263" s="93" t="str">
        <f>VLOOKUP(E6263,DATABASE!C:Q,4,false)</f>
        <v>GT</v>
      </c>
      <c r="R6263" s="93" t="str">
        <f>VLOOKUP(E6263,DATABASE!C:Q,11,false)</f>
        <v>Tire</v>
      </c>
    </row>
    <row r="6264" ht="22.5" customHeight="1">
      <c r="A6264" s="49"/>
      <c r="C6264" s="400">
        <v>46018.0</v>
      </c>
      <c r="D6264" s="524">
        <v>8371.0</v>
      </c>
      <c r="E6264" s="544" t="s">
        <v>262</v>
      </c>
      <c r="F6264" s="387">
        <v>1.0</v>
      </c>
      <c r="G6264" s="140">
        <v>110000.0</v>
      </c>
      <c r="H6264" s="74"/>
      <c r="I6264" s="74">
        <f t="shared" si="1"/>
        <v>110000</v>
      </c>
      <c r="J6264" s="74">
        <f>IF(E6264="SERVICE",I6264-(I6264*50%),Vlookup(E6264,DATABASE!C:Q,10,false)*F6264)</f>
        <v>5000</v>
      </c>
      <c r="K6264" s="74">
        <f>VLOOKUP(E6264,DATABASE!C:Q,7,false)</f>
        <v>0</v>
      </c>
      <c r="L6264" s="74">
        <v>0.0</v>
      </c>
      <c r="M6264" s="74">
        <f t="shared" si="2"/>
        <v>0</v>
      </c>
      <c r="N6264" s="74">
        <f t="shared" si="3"/>
        <v>105000</v>
      </c>
      <c r="O6264" s="65" t="str">
        <f>VLOOKUP(E6264,DATABASE!C:Q,8,false)</f>
        <v>IBU</v>
      </c>
      <c r="P6264" s="65">
        <f>VLOOKUP(E6264,DATABASE!C:Q,9,False)</f>
        <v>0</v>
      </c>
      <c r="Q6264" s="93" t="str">
        <f>VLOOKUP(E6264,DATABASE!C:Q,4,false)</f>
        <v>SPOORING SS/CARRY LOS BAK</v>
      </c>
      <c r="R6264" s="93" t="str">
        <f>VLOOKUP(E6264,DATABASE!C:Q,11,false)</f>
        <v>SERVICE</v>
      </c>
    </row>
    <row r="6265" ht="22.5" customHeight="1">
      <c r="A6265" s="49"/>
      <c r="C6265" s="400">
        <v>46018.0</v>
      </c>
      <c r="D6265" s="524">
        <v>8371.0</v>
      </c>
      <c r="E6265" s="544" t="s">
        <v>478</v>
      </c>
      <c r="F6265" s="387">
        <v>1.0</v>
      </c>
      <c r="G6265" s="140">
        <v>200000.0</v>
      </c>
      <c r="H6265" s="74"/>
      <c r="I6265" s="74">
        <f t="shared" si="1"/>
        <v>200000</v>
      </c>
      <c r="J6265" s="74">
        <f>IF(E6265="SERVICE",I6265-(I6265*50%),Vlookup(E6265,DATABASE!C:Q,10,false)*F6265)</f>
        <v>25000</v>
      </c>
      <c r="K6265" s="74">
        <f>VLOOKUP(E6265,DATABASE!C:Q,7,false)</f>
        <v>75000</v>
      </c>
      <c r="L6265" s="74">
        <v>75000.0</v>
      </c>
      <c r="M6265" s="74">
        <f t="shared" si="2"/>
        <v>75000</v>
      </c>
      <c r="N6265" s="74">
        <f t="shared" si="3"/>
        <v>100000</v>
      </c>
      <c r="O6265" s="65" t="str">
        <f>VLOOKUP(E6265,DATABASE!C:Q,8,false)</f>
        <v>BIAN</v>
      </c>
      <c r="P6265" s="65">
        <f>VLOOKUP(E6265,DATABASE!C:Q,9,False)</f>
        <v>0</v>
      </c>
      <c r="Q6265" s="93" t="str">
        <f>VLOOKUP(E6265,DATABASE!C:Q,4,false)</f>
        <v>Baut Camber ss-carry</v>
      </c>
      <c r="R6265" s="93" t="str">
        <f>VLOOKUP(E6265,DATABASE!C:Q,11,false)</f>
        <v>COMPLEMENTARY</v>
      </c>
    </row>
    <row r="6266" ht="22.5" customHeight="1">
      <c r="A6266" s="49"/>
      <c r="C6266" s="400">
        <v>46018.0</v>
      </c>
      <c r="D6266" s="524">
        <v>8373.0</v>
      </c>
      <c r="E6266" s="544" t="s">
        <v>687</v>
      </c>
      <c r="F6266" s="387">
        <v>2.0</v>
      </c>
      <c r="G6266" s="140">
        <v>1050000.0</v>
      </c>
      <c r="H6266" s="74"/>
      <c r="I6266" s="74">
        <f t="shared" si="1"/>
        <v>2100000</v>
      </c>
      <c r="J6266" s="74">
        <f>IF(E6266="SERVICE",I6266-(I6266*50%),Vlookup(E6266,DATABASE!C:Q,10,false)*F6266)</f>
        <v>0</v>
      </c>
      <c r="K6266" s="74">
        <f>VLOOKUP(E6266,DATABASE!C:Q,7,false)</f>
        <v>959000</v>
      </c>
      <c r="L6266" s="74">
        <v>949000.0</v>
      </c>
      <c r="M6266" s="74">
        <f t="shared" si="2"/>
        <v>950000</v>
      </c>
      <c r="N6266" s="74">
        <f t="shared" si="3"/>
        <v>200000</v>
      </c>
      <c r="O6266" s="65" t="str">
        <f>VLOOKUP(E6266,DATABASE!C:Q,8,false)</f>
        <v>IBU</v>
      </c>
      <c r="P6266" s="65">
        <f>VLOOKUP(E6266,DATABASE!C:Q,9,False)</f>
        <v>1</v>
      </c>
      <c r="Q6266" s="93" t="str">
        <f>VLOOKUP(E6266,DATABASE!C:Q,4,false)</f>
        <v>Dunlop</v>
      </c>
      <c r="R6266" s="93" t="str">
        <f>VLOOKUP(E6266,DATABASE!C:Q,11,false)</f>
        <v>Tire</v>
      </c>
    </row>
    <row r="6267" ht="22.5" customHeight="1">
      <c r="A6267" s="49"/>
      <c r="C6267" s="400">
        <v>46018.0</v>
      </c>
      <c r="D6267" s="524">
        <v>8374.0</v>
      </c>
      <c r="E6267" s="544" t="s">
        <v>286</v>
      </c>
      <c r="F6267" s="387">
        <v>1.0</v>
      </c>
      <c r="G6267" s="140">
        <v>560000.0</v>
      </c>
      <c r="H6267" s="74"/>
      <c r="I6267" s="74">
        <f t="shared" si="1"/>
        <v>560000</v>
      </c>
      <c r="J6267" s="74">
        <f>IF(E6267="SERVICE",I6267-(I6267*50%),Vlookup(E6267,DATABASE!C:Q,10,false)*F6267)</f>
        <v>0</v>
      </c>
      <c r="K6267" s="74">
        <f>VLOOKUP(E6267,DATABASE!C:Q,7,false)</f>
        <v>488320</v>
      </c>
      <c r="L6267" s="74">
        <v>452970.0</v>
      </c>
      <c r="M6267" s="74">
        <f t="shared" si="2"/>
        <v>455000</v>
      </c>
      <c r="N6267" s="74">
        <f t="shared" si="3"/>
        <v>105000</v>
      </c>
      <c r="O6267" s="65" t="str">
        <f>VLOOKUP(E6267,DATABASE!C:Q,8,false)</f>
        <v>BIAN</v>
      </c>
      <c r="P6267" s="65">
        <f>VLOOKUP(E6267,DATABASE!C:Q,9,False)</f>
        <v>1</v>
      </c>
      <c r="Q6267" s="93" t="str">
        <f>VLOOKUP(E6267,DATABASE!C:Q,4,false)</f>
        <v>GT</v>
      </c>
      <c r="R6267" s="93" t="str">
        <f>VLOOKUP(E6267,DATABASE!C:Q,11,false)</f>
        <v>Tire</v>
      </c>
    </row>
    <row r="6268" ht="22.5" customHeight="1">
      <c r="A6268" s="49"/>
      <c r="C6268" s="400">
        <v>46018.0</v>
      </c>
      <c r="D6268" s="524">
        <v>8375.0</v>
      </c>
      <c r="E6268" s="544" t="s">
        <v>531</v>
      </c>
      <c r="F6268" s="387">
        <v>1.0</v>
      </c>
      <c r="G6268" s="140">
        <v>100000.0</v>
      </c>
      <c r="H6268" s="140">
        <v>30000.0</v>
      </c>
      <c r="I6268" s="74">
        <f t="shared" si="1"/>
        <v>70000</v>
      </c>
      <c r="J6268" s="74">
        <f>IF(E6268="SERVICE",I6268-(I6268*50%),Vlookup(E6268,DATABASE!C:Q,10,false)*F6268)</f>
        <v>0</v>
      </c>
      <c r="K6268" s="74">
        <f>VLOOKUP(E6268,DATABASE!C:Q,7,false)</f>
        <v>47000</v>
      </c>
      <c r="L6268" s="74">
        <v>47000.0</v>
      </c>
      <c r="M6268" s="74">
        <f t="shared" si="2"/>
        <v>50000</v>
      </c>
      <c r="N6268" s="74">
        <f t="shared" si="3"/>
        <v>20000</v>
      </c>
      <c r="O6268" s="65" t="str">
        <f>VLOOKUP(E6268,DATABASE!C:Q,8,false)</f>
        <v>BIAN</v>
      </c>
      <c r="P6268" s="65">
        <f>VLOOKUP(E6268,DATABASE!C:Q,9,False)</f>
        <v>1</v>
      </c>
      <c r="Q6268" s="93" t="str">
        <f>VLOOKUP(E6268,DATABASE!C:Q,4,false)</f>
        <v>BD</v>
      </c>
      <c r="R6268" s="93" t="str">
        <f>VLOOKUP(E6268,DATABASE!C:Q,11,false)</f>
        <v>Tire</v>
      </c>
    </row>
    <row r="6269" ht="22.5" customHeight="1">
      <c r="A6269" s="49"/>
      <c r="C6269" s="400">
        <v>46018.0</v>
      </c>
      <c r="D6269" s="524">
        <v>8376.0</v>
      </c>
      <c r="E6269" s="544" t="s">
        <v>614</v>
      </c>
      <c r="F6269" s="387">
        <v>2.0</v>
      </c>
      <c r="G6269" s="140">
        <v>820000.0</v>
      </c>
      <c r="H6269" s="74"/>
      <c r="I6269" s="74">
        <f t="shared" si="1"/>
        <v>1640000</v>
      </c>
      <c r="J6269" s="74">
        <f>IF(E6269="SERVICE",I6269-(I6269*50%),Vlookup(E6269,DATABASE!C:Q,10,false)*F6269)</f>
        <v>0</v>
      </c>
      <c r="K6269" s="74">
        <f>VLOOKUP(E6269,DATABASE!C:Q,7,false)</f>
        <v>754660.6</v>
      </c>
      <c r="L6269" s="74">
        <v>712256.0</v>
      </c>
      <c r="M6269" s="74">
        <f t="shared" si="2"/>
        <v>715000</v>
      </c>
      <c r="N6269" s="74">
        <f t="shared" si="3"/>
        <v>210000</v>
      </c>
      <c r="O6269" s="65" t="str">
        <f>VLOOKUP(E6269,DATABASE!C:Q,8,false)</f>
        <v>IBU</v>
      </c>
      <c r="P6269" s="65">
        <f>VLOOKUP(E6269,DATABASE!C:Q,9,False)</f>
        <v>1</v>
      </c>
      <c r="Q6269" s="93" t="str">
        <f>VLOOKUP(E6269,DATABASE!C:Q,4,false)</f>
        <v>Bridgestone</v>
      </c>
      <c r="R6269" s="93" t="str">
        <f>VLOOKUP(E6269,DATABASE!C:Q,11,false)</f>
        <v>Tire</v>
      </c>
    </row>
    <row r="6270" ht="22.5" customHeight="1">
      <c r="A6270" s="49"/>
      <c r="C6270" s="400">
        <v>46018.0</v>
      </c>
      <c r="D6270" s="524">
        <v>8377.0</v>
      </c>
      <c r="E6270" s="544" t="s">
        <v>299</v>
      </c>
      <c r="F6270" s="387">
        <v>2.0</v>
      </c>
      <c r="G6270" s="140">
        <v>30000.0</v>
      </c>
      <c r="H6270" s="74"/>
      <c r="I6270" s="74">
        <f t="shared" si="1"/>
        <v>60000</v>
      </c>
      <c r="J6270" s="74">
        <f>IF(E6270="SERVICE",I6270-(I6270*50%),Vlookup(E6270,DATABASE!C:Q,10,false)*F6270)</f>
        <v>0</v>
      </c>
      <c r="K6270" s="74">
        <f>VLOOKUP(E6270,DATABASE!C:Q,7,false)</f>
        <v>10000</v>
      </c>
      <c r="L6270" s="74">
        <v>5000.0</v>
      </c>
      <c r="M6270" s="74">
        <f t="shared" si="2"/>
        <v>5000</v>
      </c>
      <c r="N6270" s="74">
        <f t="shared" si="3"/>
        <v>50000</v>
      </c>
      <c r="O6270" s="65" t="str">
        <f>VLOOKUP(E6270,DATABASE!C:Q,8,false)</f>
        <v>BIAN</v>
      </c>
      <c r="P6270" s="65">
        <f>VLOOKUP(E6270,DATABASE!C:Q,9,False)</f>
        <v>0</v>
      </c>
      <c r="Q6270" s="93" t="str">
        <f>VLOOKUP(E6270,DATABASE!C:Q,4,false)</f>
        <v>Balancing</v>
      </c>
      <c r="R6270" s="93" t="str">
        <f>VLOOKUP(E6270,DATABASE!C:Q,11,false)</f>
        <v>COMPLEMENTARY</v>
      </c>
    </row>
    <row r="6271" ht="22.5" customHeight="1">
      <c r="A6271" s="49"/>
      <c r="C6271" s="400">
        <v>46018.0</v>
      </c>
      <c r="D6271" s="69" t="s">
        <v>2671</v>
      </c>
      <c r="E6271" s="544" t="s">
        <v>248</v>
      </c>
      <c r="F6271" s="387">
        <v>1.0</v>
      </c>
      <c r="G6271" s="140">
        <v>190000.0</v>
      </c>
      <c r="H6271" s="74"/>
      <c r="I6271" s="74">
        <f t="shared" si="1"/>
        <v>190000</v>
      </c>
      <c r="J6271" s="74">
        <f>IF(E6271="SERVICE",I6271-(I6271*50%),Vlookup(E6271,DATABASE!C:Q,10,false)*F6271)</f>
        <v>0</v>
      </c>
      <c r="K6271" s="74">
        <f>VLOOKUP(E6271,DATABASE!C:Q,7,false)</f>
        <v>209816.66</v>
      </c>
      <c r="L6271" s="74">
        <v>160833.0</v>
      </c>
      <c r="M6271" s="74">
        <f t="shared" si="2"/>
        <v>165000</v>
      </c>
      <c r="N6271" s="74">
        <f t="shared" si="3"/>
        <v>25000</v>
      </c>
      <c r="O6271" s="65" t="str">
        <f>VLOOKUP(E6271,DATABASE!C:Q,8,false)</f>
        <v>NON</v>
      </c>
      <c r="P6271" s="65">
        <f>VLOOKUP(E6271,DATABASE!C:Q,9,False)</f>
        <v>0</v>
      </c>
      <c r="Q6271" s="93" t="str">
        <f>VLOOKUP(E6271,DATABASE!C:Q,4,false)</f>
        <v>Pertamina</v>
      </c>
      <c r="R6271" s="93" t="str">
        <f>VLOOKUP(E6271,DATABASE!C:Q,11,false)</f>
        <v>OIL</v>
      </c>
    </row>
    <row r="6272" ht="22.5" customHeight="1">
      <c r="A6272" s="49"/>
      <c r="C6272" s="400">
        <v>46019.0</v>
      </c>
      <c r="D6272" s="69">
        <v>8378.0</v>
      </c>
      <c r="E6272" s="544" t="s">
        <v>1009</v>
      </c>
      <c r="F6272" s="387">
        <v>4.0</v>
      </c>
      <c r="G6272" s="140">
        <v>700000.0</v>
      </c>
      <c r="H6272" s="140">
        <v>12500.0</v>
      </c>
      <c r="I6272" s="74">
        <f t="shared" si="1"/>
        <v>2750000</v>
      </c>
      <c r="J6272" s="74">
        <f>IF(E6272="SERVICE",I6272-(I6272*50%),Vlookup(E6272,DATABASE!C:Q,10,false)*F6272)</f>
        <v>0</v>
      </c>
      <c r="K6272" s="74">
        <f>VLOOKUP(E6272,DATABASE!C:Q,7,false)</f>
        <v>609800</v>
      </c>
      <c r="L6272" s="74">
        <v>592200.0</v>
      </c>
      <c r="M6272" s="74">
        <f t="shared" si="2"/>
        <v>595000</v>
      </c>
      <c r="N6272" s="74">
        <f t="shared" si="3"/>
        <v>370000</v>
      </c>
      <c r="O6272" s="65" t="str">
        <f>VLOOKUP(E6272,DATABASE!C:Q,8,false)</f>
        <v>BIAN</v>
      </c>
      <c r="P6272" s="65">
        <f>VLOOKUP(E6272,DATABASE!C:Q,9,False)</f>
        <v>1</v>
      </c>
      <c r="Q6272" s="93" t="str">
        <f>VLOOKUP(E6272,DATABASE!C:Q,4,false)</f>
        <v>GT</v>
      </c>
      <c r="R6272" s="93" t="str">
        <f>VLOOKUP(E6272,DATABASE!C:Q,11,false)</f>
        <v>Tire</v>
      </c>
    </row>
    <row r="6273" ht="22.5" customHeight="1">
      <c r="A6273" s="49"/>
      <c r="C6273" s="400">
        <v>46019.0</v>
      </c>
      <c r="D6273" s="69">
        <v>8379.0</v>
      </c>
      <c r="E6273" s="544" t="s">
        <v>614</v>
      </c>
      <c r="F6273" s="387">
        <v>4.0</v>
      </c>
      <c r="G6273" s="140">
        <v>820000.0</v>
      </c>
      <c r="H6273" s="74"/>
      <c r="I6273" s="74">
        <f t="shared" si="1"/>
        <v>3280000</v>
      </c>
      <c r="J6273" s="74">
        <f>IF(E6273="SERVICE",I6273-(I6273*50%),Vlookup(E6273,DATABASE!C:Q,10,false)*F6273)</f>
        <v>0</v>
      </c>
      <c r="K6273" s="74">
        <f>VLOOKUP(E6273,DATABASE!C:Q,7,false)</f>
        <v>754660.6</v>
      </c>
      <c r="L6273" s="74">
        <v>712256.0</v>
      </c>
      <c r="M6273" s="74">
        <f t="shared" si="2"/>
        <v>715000</v>
      </c>
      <c r="N6273" s="74">
        <f t="shared" si="3"/>
        <v>420000</v>
      </c>
      <c r="O6273" s="65" t="str">
        <f>VLOOKUP(E6273,DATABASE!C:Q,8,false)</f>
        <v>IBU</v>
      </c>
      <c r="P6273" s="65">
        <f>VLOOKUP(E6273,DATABASE!C:Q,9,False)</f>
        <v>1</v>
      </c>
      <c r="Q6273" s="93" t="str">
        <f>VLOOKUP(E6273,DATABASE!C:Q,4,false)</f>
        <v>Bridgestone</v>
      </c>
      <c r="R6273" s="93" t="str">
        <f>VLOOKUP(E6273,DATABASE!C:Q,11,false)</f>
        <v>Tire</v>
      </c>
    </row>
    <row r="6274" ht="22.5" customHeight="1">
      <c r="A6274" s="49"/>
      <c r="C6274" s="400">
        <v>46019.0</v>
      </c>
      <c r="D6274" s="69">
        <v>8380.0</v>
      </c>
      <c r="E6274" s="544" t="s">
        <v>256</v>
      </c>
      <c r="F6274" s="387">
        <v>1.0</v>
      </c>
      <c r="G6274" s="140">
        <v>130000.0</v>
      </c>
      <c r="H6274" s="74"/>
      <c r="I6274" s="74">
        <f t="shared" si="1"/>
        <v>130000</v>
      </c>
      <c r="J6274" s="74">
        <f>IF(E6274="SERVICE",I6274-(I6274*50%),Vlookup(E6274,DATABASE!C:Q,10,false)*F6274)</f>
        <v>10000</v>
      </c>
      <c r="K6274" s="74">
        <f>VLOOKUP(E6274,DATABASE!C:Q,7,false)</f>
        <v>0</v>
      </c>
      <c r="L6274" s="74">
        <v>0.0</v>
      </c>
      <c r="M6274" s="74">
        <f t="shared" si="2"/>
        <v>0</v>
      </c>
      <c r="N6274" s="74">
        <f t="shared" si="3"/>
        <v>120000</v>
      </c>
      <c r="O6274" s="65" t="str">
        <f>VLOOKUP(E6274,DATABASE!C:Q,8,false)</f>
        <v>IBU</v>
      </c>
      <c r="P6274" s="65">
        <f>VLOOKUP(E6274,DATABASE!C:Q,9,False)</f>
        <v>0</v>
      </c>
      <c r="Q6274" s="93" t="str">
        <f>VLOOKUP(E6274,DATABASE!C:Q,4,false)</f>
        <v>SPOORING</v>
      </c>
      <c r="R6274" s="93" t="str">
        <f>VLOOKUP(E6274,DATABASE!C:Q,11,false)</f>
        <v>SERVICE</v>
      </c>
    </row>
    <row r="6275" ht="22.5" customHeight="1">
      <c r="A6275" s="49"/>
      <c r="C6275" s="400">
        <v>46019.0</v>
      </c>
      <c r="D6275" s="69">
        <v>8380.0</v>
      </c>
      <c r="E6275" s="544" t="s">
        <v>299</v>
      </c>
      <c r="F6275" s="387">
        <v>2.0</v>
      </c>
      <c r="G6275" s="140">
        <v>30000.0</v>
      </c>
      <c r="H6275" s="74"/>
      <c r="I6275" s="74">
        <f t="shared" si="1"/>
        <v>60000</v>
      </c>
      <c r="J6275" s="74">
        <f>IF(E6275="SERVICE",I6275-(I6275*50%),Vlookup(E6275,DATABASE!C:Q,10,false)*F6275)</f>
        <v>0</v>
      </c>
      <c r="K6275" s="74">
        <f>VLOOKUP(E6275,DATABASE!C:Q,7,false)</f>
        <v>10000</v>
      </c>
      <c r="L6275" s="74">
        <v>5000.0</v>
      </c>
      <c r="M6275" s="74">
        <f t="shared" si="2"/>
        <v>5000</v>
      </c>
      <c r="N6275" s="74">
        <f t="shared" si="3"/>
        <v>50000</v>
      </c>
      <c r="O6275" s="65" t="str">
        <f>VLOOKUP(E6275,DATABASE!C:Q,8,false)</f>
        <v>BIAN</v>
      </c>
      <c r="P6275" s="65">
        <f>VLOOKUP(E6275,DATABASE!C:Q,9,False)</f>
        <v>0</v>
      </c>
      <c r="Q6275" s="93" t="str">
        <f>VLOOKUP(E6275,DATABASE!C:Q,4,false)</f>
        <v>Balancing</v>
      </c>
      <c r="R6275" s="93" t="str">
        <f>VLOOKUP(E6275,DATABASE!C:Q,11,false)</f>
        <v>COMPLEMENTARY</v>
      </c>
    </row>
    <row r="6276" ht="22.5" customHeight="1">
      <c r="A6276" s="49"/>
      <c r="C6276" s="400">
        <v>46019.0</v>
      </c>
      <c r="D6276" s="69">
        <v>8381.0</v>
      </c>
      <c r="E6276" s="544" t="s">
        <v>614</v>
      </c>
      <c r="F6276" s="387">
        <v>2.0</v>
      </c>
      <c r="G6276" s="140">
        <v>820000.0</v>
      </c>
      <c r="H6276" s="74"/>
      <c r="I6276" s="74">
        <f t="shared" si="1"/>
        <v>1640000</v>
      </c>
      <c r="J6276" s="74">
        <f>IF(E6276="SERVICE",I6276-(I6276*50%),Vlookup(E6276,DATABASE!C:Q,10,false)*F6276)</f>
        <v>0</v>
      </c>
      <c r="K6276" s="74">
        <f>VLOOKUP(E6276,DATABASE!C:Q,7,false)</f>
        <v>754660.6</v>
      </c>
      <c r="L6276" s="74">
        <v>712256.0</v>
      </c>
      <c r="M6276" s="74">
        <f t="shared" si="2"/>
        <v>715000</v>
      </c>
      <c r="N6276" s="74">
        <f t="shared" si="3"/>
        <v>210000</v>
      </c>
      <c r="O6276" s="65" t="str">
        <f>VLOOKUP(E6276,DATABASE!C:Q,8,false)</f>
        <v>IBU</v>
      </c>
      <c r="P6276" s="65">
        <f>VLOOKUP(E6276,DATABASE!C:Q,9,False)</f>
        <v>1</v>
      </c>
      <c r="Q6276" s="93" t="str">
        <f>VLOOKUP(E6276,DATABASE!C:Q,4,false)</f>
        <v>Bridgestone</v>
      </c>
      <c r="R6276" s="93" t="str">
        <f>VLOOKUP(E6276,DATABASE!C:Q,11,false)</f>
        <v>Tire</v>
      </c>
    </row>
    <row r="6277" ht="22.5" customHeight="1">
      <c r="A6277" s="49"/>
      <c r="C6277" s="400">
        <v>46019.0</v>
      </c>
      <c r="D6277" s="69">
        <v>8382.0</v>
      </c>
      <c r="E6277" s="544" t="s">
        <v>1009</v>
      </c>
      <c r="F6277" s="387">
        <v>1.0</v>
      </c>
      <c r="G6277" s="140">
        <v>700000.0</v>
      </c>
      <c r="H6277" s="74"/>
      <c r="I6277" s="74">
        <f t="shared" si="1"/>
        <v>700000</v>
      </c>
      <c r="J6277" s="74">
        <f>IF(E6277="SERVICE",I6277-(I6277*50%),Vlookup(E6277,DATABASE!C:Q,10,false)*F6277)</f>
        <v>0</v>
      </c>
      <c r="K6277" s="74">
        <f>VLOOKUP(E6277,DATABASE!C:Q,7,false)</f>
        <v>609800</v>
      </c>
      <c r="L6277" s="74">
        <v>592200.0</v>
      </c>
      <c r="M6277" s="74">
        <f t="shared" si="2"/>
        <v>595000</v>
      </c>
      <c r="N6277" s="74">
        <f t="shared" si="3"/>
        <v>105000</v>
      </c>
      <c r="O6277" s="65" t="str">
        <f>VLOOKUP(E6277,DATABASE!C:Q,8,false)</f>
        <v>BIAN</v>
      </c>
      <c r="P6277" s="65">
        <f>VLOOKUP(E6277,DATABASE!C:Q,9,False)</f>
        <v>1</v>
      </c>
      <c r="Q6277" s="93" t="str">
        <f>VLOOKUP(E6277,DATABASE!C:Q,4,false)</f>
        <v>GT</v>
      </c>
      <c r="R6277" s="93" t="str">
        <f>VLOOKUP(E6277,DATABASE!C:Q,11,false)</f>
        <v>Tire</v>
      </c>
    </row>
    <row r="6278" ht="22.5" customHeight="1">
      <c r="A6278" s="49"/>
      <c r="C6278" s="400">
        <v>46019.0</v>
      </c>
      <c r="D6278" s="69">
        <v>8383.0</v>
      </c>
      <c r="E6278" s="544" t="s">
        <v>256</v>
      </c>
      <c r="F6278" s="387">
        <v>1.0</v>
      </c>
      <c r="G6278" s="140">
        <v>130000.0</v>
      </c>
      <c r="H6278" s="74"/>
      <c r="I6278" s="74">
        <f t="shared" si="1"/>
        <v>130000</v>
      </c>
      <c r="J6278" s="74">
        <f>IF(E6278="SERVICE",I6278-(I6278*50%),Vlookup(E6278,DATABASE!C:Q,10,false)*F6278)</f>
        <v>10000</v>
      </c>
      <c r="K6278" s="74">
        <f>VLOOKUP(E6278,DATABASE!C:Q,7,false)</f>
        <v>0</v>
      </c>
      <c r="L6278" s="74">
        <v>0.0</v>
      </c>
      <c r="M6278" s="74">
        <f t="shared" si="2"/>
        <v>0</v>
      </c>
      <c r="N6278" s="74">
        <f t="shared" si="3"/>
        <v>120000</v>
      </c>
      <c r="O6278" s="65" t="str">
        <f>VLOOKUP(E6278,DATABASE!C:Q,8,false)</f>
        <v>IBU</v>
      </c>
      <c r="P6278" s="65">
        <f>VLOOKUP(E6278,DATABASE!C:Q,9,False)</f>
        <v>0</v>
      </c>
      <c r="Q6278" s="93" t="str">
        <f>VLOOKUP(E6278,DATABASE!C:Q,4,false)</f>
        <v>SPOORING</v>
      </c>
      <c r="R6278" s="93" t="str">
        <f>VLOOKUP(E6278,DATABASE!C:Q,11,false)</f>
        <v>SERVICE</v>
      </c>
    </row>
    <row r="6279" ht="22.5" customHeight="1">
      <c r="A6279" s="49"/>
      <c r="C6279" s="400">
        <v>46019.0</v>
      </c>
      <c r="D6279" s="69">
        <v>8383.0</v>
      </c>
      <c r="E6279" s="544" t="s">
        <v>301</v>
      </c>
      <c r="F6279" s="387">
        <v>1.0</v>
      </c>
      <c r="G6279" s="140">
        <v>250000.0</v>
      </c>
      <c r="H6279" s="74"/>
      <c r="I6279" s="74">
        <f t="shared" si="1"/>
        <v>250000</v>
      </c>
      <c r="J6279" s="74">
        <f>IF(E6279="SERVICE",I6279-(I6279*50%),Vlookup(E6279,DATABASE!C:Q,10,false)*F6279)</f>
        <v>75000</v>
      </c>
      <c r="K6279" s="74">
        <f>VLOOKUP(E6279,DATABASE!C:Q,7,false)</f>
        <v>75000</v>
      </c>
      <c r="L6279" s="74">
        <v>75000.0</v>
      </c>
      <c r="M6279" s="74">
        <f t="shared" si="2"/>
        <v>75000</v>
      </c>
      <c r="N6279" s="74">
        <f t="shared" si="3"/>
        <v>100000</v>
      </c>
      <c r="O6279" s="65" t="str">
        <f>VLOOKUP(E6279,DATABASE!C:Q,8,false)</f>
        <v>BIAN</v>
      </c>
      <c r="P6279" s="65">
        <f>VLOOKUP(E6279,DATABASE!C:Q,9,False)</f>
        <v>0</v>
      </c>
      <c r="Q6279" s="93" t="str">
        <f>VLOOKUP(E6279,DATABASE!C:Q,4,false)</f>
        <v>Baut Camber</v>
      </c>
      <c r="R6279" s="93" t="str">
        <f>VLOOKUP(E6279,DATABASE!C:Q,11,false)</f>
        <v>COMPLEMENTARY</v>
      </c>
    </row>
    <row r="6280" ht="22.5" customHeight="1">
      <c r="A6280" s="49"/>
      <c r="C6280" s="400">
        <v>46019.0</v>
      </c>
      <c r="D6280" s="69">
        <v>8383.0</v>
      </c>
      <c r="E6280" s="544" t="s">
        <v>299</v>
      </c>
      <c r="F6280" s="387">
        <v>2.0</v>
      </c>
      <c r="G6280" s="140">
        <v>30000.0</v>
      </c>
      <c r="H6280" s="74"/>
      <c r="I6280" s="74">
        <f t="shared" si="1"/>
        <v>60000</v>
      </c>
      <c r="J6280" s="74">
        <f>IF(E6280="SERVICE",I6280-(I6280*50%),Vlookup(E6280,DATABASE!C:Q,10,false)*F6280)</f>
        <v>0</v>
      </c>
      <c r="K6280" s="74">
        <f>VLOOKUP(E6280,DATABASE!C:Q,7,false)</f>
        <v>10000</v>
      </c>
      <c r="L6280" s="74">
        <v>5000.0</v>
      </c>
      <c r="M6280" s="74">
        <f t="shared" si="2"/>
        <v>5000</v>
      </c>
      <c r="N6280" s="74">
        <f t="shared" si="3"/>
        <v>50000</v>
      </c>
      <c r="O6280" s="65" t="str">
        <f>VLOOKUP(E6280,DATABASE!C:Q,8,false)</f>
        <v>BIAN</v>
      </c>
      <c r="P6280" s="65">
        <f>VLOOKUP(E6280,DATABASE!C:Q,9,False)</f>
        <v>0</v>
      </c>
      <c r="Q6280" s="93" t="str">
        <f>VLOOKUP(E6280,DATABASE!C:Q,4,false)</f>
        <v>Balancing</v>
      </c>
      <c r="R6280" s="93" t="str">
        <f>VLOOKUP(E6280,DATABASE!C:Q,11,false)</f>
        <v>COMPLEMENTARY</v>
      </c>
    </row>
    <row r="6281" ht="22.5" customHeight="1">
      <c r="A6281" s="49"/>
      <c r="C6281" s="400">
        <v>46019.0</v>
      </c>
      <c r="D6281" s="69">
        <v>8385.0</v>
      </c>
      <c r="E6281" s="544" t="s">
        <v>271</v>
      </c>
      <c r="F6281" s="387">
        <v>4.0</v>
      </c>
      <c r="G6281" s="140">
        <v>630000.0</v>
      </c>
      <c r="H6281" s="74"/>
      <c r="I6281" s="74">
        <f t="shared" si="1"/>
        <v>2520000</v>
      </c>
      <c r="J6281" s="74">
        <f>IF(E6281="SERVICE",I6281-(I6281*50%),Vlookup(E6281,DATABASE!C:Q,10,false)*F6281)</f>
        <v>0</v>
      </c>
      <c r="K6281" s="74">
        <f>VLOOKUP(E6281,DATABASE!C:Q,7,false)</f>
        <v>570000</v>
      </c>
      <c r="L6281" s="74">
        <v>539000.0</v>
      </c>
      <c r="M6281" s="74">
        <f t="shared" si="2"/>
        <v>540000</v>
      </c>
      <c r="N6281" s="74">
        <f t="shared" si="3"/>
        <v>360000</v>
      </c>
      <c r="O6281" s="65" t="str">
        <f>VLOOKUP(E6281,DATABASE!C:Q,8,false)</f>
        <v>IBU</v>
      </c>
      <c r="P6281" s="65">
        <f>VLOOKUP(E6281,DATABASE!C:Q,9,False)</f>
        <v>1</v>
      </c>
      <c r="Q6281" s="93" t="str">
        <f>VLOOKUP(E6281,DATABASE!C:Q,4,false)</f>
        <v>Dunlop</v>
      </c>
      <c r="R6281" s="93" t="str">
        <f>VLOOKUP(E6281,DATABASE!C:Q,11,false)</f>
        <v>Tire</v>
      </c>
    </row>
    <row r="6282" ht="22.5" customHeight="1">
      <c r="A6282" s="49"/>
      <c r="C6282" s="400">
        <v>46019.0</v>
      </c>
      <c r="D6282" s="69">
        <v>8388.0</v>
      </c>
      <c r="E6282" s="544" t="s">
        <v>271</v>
      </c>
      <c r="F6282" s="387">
        <v>2.0</v>
      </c>
      <c r="G6282" s="140">
        <v>630000.0</v>
      </c>
      <c r="H6282" s="74"/>
      <c r="I6282" s="74">
        <f t="shared" si="1"/>
        <v>1260000</v>
      </c>
      <c r="J6282" s="74">
        <f>IF(E6282="SERVICE",I6282-(I6282*50%),Vlookup(E6282,DATABASE!C:Q,10,false)*F6282)</f>
        <v>0</v>
      </c>
      <c r="K6282" s="74">
        <f>VLOOKUP(E6282,DATABASE!C:Q,7,false)</f>
        <v>570000</v>
      </c>
      <c r="L6282" s="74">
        <v>539000.0</v>
      </c>
      <c r="M6282" s="74">
        <f t="shared" si="2"/>
        <v>540000</v>
      </c>
      <c r="N6282" s="74">
        <f t="shared" si="3"/>
        <v>180000</v>
      </c>
      <c r="O6282" s="65" t="str">
        <f>VLOOKUP(E6282,DATABASE!C:Q,8,false)</f>
        <v>IBU</v>
      </c>
      <c r="P6282" s="65">
        <f>VLOOKUP(E6282,DATABASE!C:Q,9,False)</f>
        <v>1</v>
      </c>
      <c r="Q6282" s="93" t="str">
        <f>VLOOKUP(E6282,DATABASE!C:Q,4,false)</f>
        <v>Dunlop</v>
      </c>
      <c r="R6282" s="93" t="str">
        <f>VLOOKUP(E6282,DATABASE!C:Q,11,false)</f>
        <v>Tire</v>
      </c>
    </row>
    <row r="6283" ht="22.5" customHeight="1">
      <c r="A6283" s="49"/>
      <c r="C6283" s="400">
        <v>46019.0</v>
      </c>
      <c r="D6283" s="69">
        <v>8388.0</v>
      </c>
      <c r="E6283" s="544" t="s">
        <v>256</v>
      </c>
      <c r="F6283" s="387">
        <v>1.0</v>
      </c>
      <c r="G6283" s="140">
        <v>130000.0</v>
      </c>
      <c r="H6283" s="74"/>
      <c r="I6283" s="74">
        <f t="shared" si="1"/>
        <v>130000</v>
      </c>
      <c r="J6283" s="74">
        <f>IF(E6283="SERVICE",I6283-(I6283*50%),Vlookup(E6283,DATABASE!C:Q,10,false)*F6283)</f>
        <v>10000</v>
      </c>
      <c r="K6283" s="74">
        <f>VLOOKUP(E6283,DATABASE!C:Q,7,false)</f>
        <v>0</v>
      </c>
      <c r="L6283" s="74">
        <v>0.0</v>
      </c>
      <c r="M6283" s="74">
        <f t="shared" si="2"/>
        <v>0</v>
      </c>
      <c r="N6283" s="74">
        <f t="shared" si="3"/>
        <v>120000</v>
      </c>
      <c r="O6283" s="65" t="str">
        <f>VLOOKUP(E6283,DATABASE!C:Q,8,false)</f>
        <v>IBU</v>
      </c>
      <c r="P6283" s="65">
        <f>VLOOKUP(E6283,DATABASE!C:Q,9,False)</f>
        <v>0</v>
      </c>
      <c r="Q6283" s="93" t="str">
        <f>VLOOKUP(E6283,DATABASE!C:Q,4,false)</f>
        <v>SPOORING</v>
      </c>
      <c r="R6283" s="93" t="str">
        <f>VLOOKUP(E6283,DATABASE!C:Q,11,false)</f>
        <v>SERVICE</v>
      </c>
    </row>
    <row r="6284" ht="22.5" customHeight="1">
      <c r="A6284" s="49"/>
      <c r="C6284" s="400">
        <v>46019.0</v>
      </c>
      <c r="D6284" s="69">
        <v>8388.0</v>
      </c>
      <c r="E6284" s="544" t="s">
        <v>299</v>
      </c>
      <c r="F6284" s="387">
        <v>2.0</v>
      </c>
      <c r="G6284" s="140">
        <v>30000.0</v>
      </c>
      <c r="H6284" s="74"/>
      <c r="I6284" s="74">
        <f t="shared" si="1"/>
        <v>60000</v>
      </c>
      <c r="J6284" s="74">
        <f>IF(E6284="SERVICE",I6284-(I6284*50%),Vlookup(E6284,DATABASE!C:Q,10,false)*F6284)</f>
        <v>0</v>
      </c>
      <c r="K6284" s="74">
        <f>VLOOKUP(E6284,DATABASE!C:Q,7,false)</f>
        <v>10000</v>
      </c>
      <c r="L6284" s="74">
        <v>5000.0</v>
      </c>
      <c r="M6284" s="74">
        <f t="shared" si="2"/>
        <v>5000</v>
      </c>
      <c r="N6284" s="74">
        <f t="shared" si="3"/>
        <v>50000</v>
      </c>
      <c r="O6284" s="65" t="str">
        <f>VLOOKUP(E6284,DATABASE!C:Q,8,false)</f>
        <v>BIAN</v>
      </c>
      <c r="P6284" s="65">
        <f>VLOOKUP(E6284,DATABASE!C:Q,9,False)</f>
        <v>0</v>
      </c>
      <c r="Q6284" s="93" t="str">
        <f>VLOOKUP(E6284,DATABASE!C:Q,4,false)</f>
        <v>Balancing</v>
      </c>
      <c r="R6284" s="93" t="str">
        <f>VLOOKUP(E6284,DATABASE!C:Q,11,false)</f>
        <v>COMPLEMENTARY</v>
      </c>
    </row>
    <row r="6285" ht="22.5" customHeight="1">
      <c r="A6285" s="49"/>
      <c r="C6285" s="400">
        <v>46019.0</v>
      </c>
      <c r="D6285" s="69">
        <v>8388.0</v>
      </c>
      <c r="E6285" s="544" t="s">
        <v>2199</v>
      </c>
      <c r="F6285" s="387">
        <v>1.0</v>
      </c>
      <c r="G6285" s="140">
        <v>20000.0</v>
      </c>
      <c r="H6285" s="74"/>
      <c r="I6285" s="74">
        <f t="shared" si="1"/>
        <v>20000</v>
      </c>
      <c r="J6285" s="74">
        <f>IF(E6285="SERVICE",I6285-(I6285*50%),Vlookup(E6285,DATABASE!C:Q,10,false)*F6285)</f>
        <v>0</v>
      </c>
      <c r="K6285" s="74">
        <f>VLOOKUP(E6285,DATABASE!C:Q,7,false)</f>
        <v>5000</v>
      </c>
      <c r="L6285" s="74">
        <v>0.0</v>
      </c>
      <c r="M6285" s="74">
        <f t="shared" si="2"/>
        <v>0</v>
      </c>
      <c r="N6285" s="74">
        <f t="shared" si="3"/>
        <v>20000</v>
      </c>
      <c r="O6285" s="65" t="str">
        <f>VLOOKUP(E6285,DATABASE!C:Q,8,false)</f>
        <v>BIAN</v>
      </c>
      <c r="P6285" s="65">
        <f>VLOOKUP(E6285,DATABASE!C:Q,9,False)</f>
        <v>0</v>
      </c>
      <c r="Q6285" s="93" t="str">
        <f>VLOOKUP(E6285,DATABASE!C:Q,4,false)</f>
        <v>TAMBAL TUBLES</v>
      </c>
      <c r="R6285" s="93" t="str">
        <f>VLOOKUP(E6285,DATABASE!C:Q,11,false)</f>
        <v>COMPLEMENTARY</v>
      </c>
    </row>
    <row r="6286" ht="22.5" customHeight="1">
      <c r="A6286" s="49"/>
      <c r="C6286" s="400">
        <v>46019.0</v>
      </c>
      <c r="D6286" s="69">
        <v>8389.0</v>
      </c>
      <c r="E6286" s="544" t="s">
        <v>301</v>
      </c>
      <c r="F6286" s="387">
        <v>1.0</v>
      </c>
      <c r="G6286" s="140">
        <v>250000.0</v>
      </c>
      <c r="H6286" s="74"/>
      <c r="I6286" s="74">
        <f t="shared" si="1"/>
        <v>250000</v>
      </c>
      <c r="J6286" s="74">
        <f>IF(E6286="SERVICE",I6286-(I6286*50%),Vlookup(E6286,DATABASE!C:Q,10,false)*F6286)</f>
        <v>75000</v>
      </c>
      <c r="K6286" s="74">
        <f>VLOOKUP(E6286,DATABASE!C:Q,7,false)</f>
        <v>75000</v>
      </c>
      <c r="L6286" s="74">
        <v>75000.0</v>
      </c>
      <c r="M6286" s="74">
        <f t="shared" si="2"/>
        <v>75000</v>
      </c>
      <c r="N6286" s="74">
        <f t="shared" si="3"/>
        <v>100000</v>
      </c>
      <c r="O6286" s="65" t="str">
        <f>VLOOKUP(E6286,DATABASE!C:Q,8,false)</f>
        <v>BIAN</v>
      </c>
      <c r="P6286" s="65">
        <f>VLOOKUP(E6286,DATABASE!C:Q,9,False)</f>
        <v>0</v>
      </c>
      <c r="Q6286" s="93" t="str">
        <f>VLOOKUP(E6286,DATABASE!C:Q,4,false)</f>
        <v>Baut Camber</v>
      </c>
      <c r="R6286" s="93" t="str">
        <f>VLOOKUP(E6286,DATABASE!C:Q,11,false)</f>
        <v>COMPLEMENTARY</v>
      </c>
    </row>
    <row r="6287" ht="22.5" customHeight="1">
      <c r="A6287" s="49"/>
      <c r="C6287" s="400">
        <v>46020.0</v>
      </c>
      <c r="D6287" s="524">
        <v>8290.0</v>
      </c>
      <c r="E6287" s="544" t="s">
        <v>268</v>
      </c>
      <c r="F6287" s="387">
        <v>2.0</v>
      </c>
      <c r="G6287" s="140">
        <v>710000.0</v>
      </c>
      <c r="H6287" s="74"/>
      <c r="I6287" s="74">
        <f t="shared" si="1"/>
        <v>1420000</v>
      </c>
      <c r="J6287" s="74">
        <f>IF(E6287="SERVICE",I6287-(I6287*50%),Vlookup(E6287,DATABASE!C:Q,10,false)*F6287)</f>
        <v>0</v>
      </c>
      <c r="K6287" s="74">
        <f>VLOOKUP(E6287,DATABASE!C:Q,7,false)</f>
        <v>653000</v>
      </c>
      <c r="L6287" s="74">
        <v>622000.0</v>
      </c>
      <c r="M6287" s="74">
        <f t="shared" si="2"/>
        <v>625000</v>
      </c>
      <c r="N6287" s="74">
        <f t="shared" si="3"/>
        <v>170000</v>
      </c>
      <c r="O6287" s="65" t="str">
        <f>VLOOKUP(E6287,DATABASE!C:Q,8,false)</f>
        <v>IBU</v>
      </c>
      <c r="P6287" s="65">
        <f>VLOOKUP(E6287,DATABASE!C:Q,9,False)</f>
        <v>1</v>
      </c>
      <c r="Q6287" s="93" t="str">
        <f>VLOOKUP(E6287,DATABASE!C:Q,4,false)</f>
        <v>Dunlop</v>
      </c>
      <c r="R6287" s="93" t="str">
        <f>VLOOKUP(E6287,DATABASE!C:Q,11,false)</f>
        <v>Tire</v>
      </c>
      <c r="Y6287" s="13" t="s">
        <v>2</v>
      </c>
    </row>
    <row r="6288" ht="22.5" customHeight="1">
      <c r="A6288" s="49"/>
      <c r="C6288" s="400">
        <v>46020.0</v>
      </c>
      <c r="D6288" s="524">
        <v>8391.0</v>
      </c>
      <c r="E6288" s="544" t="s">
        <v>268</v>
      </c>
      <c r="F6288" s="387">
        <v>2.0</v>
      </c>
      <c r="G6288" s="140">
        <v>710000.0</v>
      </c>
      <c r="H6288" s="74"/>
      <c r="I6288" s="74">
        <f t="shared" si="1"/>
        <v>1420000</v>
      </c>
      <c r="J6288" s="74">
        <f>IF(E6288="SERVICE",I6288-(I6288*50%),Vlookup(E6288,DATABASE!C:Q,10,false)*F6288)</f>
        <v>0</v>
      </c>
      <c r="K6288" s="74">
        <f>VLOOKUP(E6288,DATABASE!C:Q,7,false)</f>
        <v>653000</v>
      </c>
      <c r="L6288" s="74">
        <v>622000.0</v>
      </c>
      <c r="M6288" s="74">
        <f t="shared" si="2"/>
        <v>625000</v>
      </c>
      <c r="N6288" s="74">
        <f t="shared" si="3"/>
        <v>170000</v>
      </c>
      <c r="O6288" s="65" t="str">
        <f>VLOOKUP(E6288,DATABASE!C:Q,8,false)</f>
        <v>IBU</v>
      </c>
      <c r="P6288" s="65">
        <f>VLOOKUP(E6288,DATABASE!C:Q,9,False)</f>
        <v>1</v>
      </c>
      <c r="Q6288" s="93" t="str">
        <f>VLOOKUP(E6288,DATABASE!C:Q,4,false)</f>
        <v>Dunlop</v>
      </c>
      <c r="R6288" s="93" t="str">
        <f>VLOOKUP(E6288,DATABASE!C:Q,11,false)</f>
        <v>Tire</v>
      </c>
    </row>
    <row r="6289" ht="22.5" customHeight="1">
      <c r="A6289" s="49"/>
      <c r="C6289" s="400">
        <v>46020.0</v>
      </c>
      <c r="D6289" s="524">
        <v>8392.0</v>
      </c>
      <c r="E6289" s="544" t="s">
        <v>1486</v>
      </c>
      <c r="F6289" s="387">
        <v>2.0</v>
      </c>
      <c r="G6289" s="140">
        <v>977000.0</v>
      </c>
      <c r="H6289" s="140">
        <v>7000.0</v>
      </c>
      <c r="I6289" s="74">
        <f t="shared" si="1"/>
        <v>1940000</v>
      </c>
      <c r="J6289" s="74">
        <f>IF(E6289="SERVICE",I6289-(I6289*50%),Vlookup(E6289,DATABASE!C:Q,10,false)*F6289)</f>
        <v>0</v>
      </c>
      <c r="K6289" s="74">
        <f>VLOOKUP(E6289,DATABASE!C:Q,7,false)</f>
        <v>888000</v>
      </c>
      <c r="L6289" s="74">
        <v>877000.0</v>
      </c>
      <c r="M6289" s="74">
        <f t="shared" si="2"/>
        <v>880000</v>
      </c>
      <c r="N6289" s="74">
        <f t="shared" si="3"/>
        <v>180000</v>
      </c>
      <c r="O6289" s="65" t="str">
        <f>VLOOKUP(E6289,DATABASE!C:Q,8,false)</f>
        <v>IBU</v>
      </c>
      <c r="P6289" s="65">
        <f>VLOOKUP(E6289,DATABASE!C:Q,9,False)</f>
        <v>1</v>
      </c>
      <c r="Q6289" s="93" t="str">
        <f>VLOOKUP(E6289,DATABASE!C:Q,4,false)</f>
        <v>Dunlop</v>
      </c>
      <c r="R6289" s="93" t="str">
        <f>VLOOKUP(E6289,DATABASE!C:Q,11,false)</f>
        <v>Tire</v>
      </c>
    </row>
    <row r="6290" ht="22.5" customHeight="1">
      <c r="A6290" s="49"/>
      <c r="C6290" s="400">
        <v>46020.0</v>
      </c>
      <c r="D6290" s="524">
        <v>8393.0</v>
      </c>
      <c r="E6290" s="544" t="s">
        <v>2019</v>
      </c>
      <c r="F6290" s="387">
        <v>2.0</v>
      </c>
      <c r="G6290" s="140">
        <v>685000.0</v>
      </c>
      <c r="H6290" s="140">
        <v>10000.0</v>
      </c>
      <c r="I6290" s="74">
        <f t="shared" si="1"/>
        <v>1350000</v>
      </c>
      <c r="J6290" s="74">
        <f>IF(E6290="SERVICE",I6290-(I6290*50%),Vlookup(E6290,DATABASE!C:Q,10,false)*F6290)</f>
        <v>0</v>
      </c>
      <c r="K6290" s="74">
        <f>VLOOKUP(E6290,DATABASE!C:Q,7,false)</f>
        <v>620000</v>
      </c>
      <c r="L6290" s="74">
        <v>585000.0</v>
      </c>
      <c r="M6290" s="74">
        <f t="shared" si="2"/>
        <v>585000</v>
      </c>
      <c r="N6290" s="74">
        <f t="shared" si="3"/>
        <v>180000</v>
      </c>
      <c r="O6290" s="65" t="str">
        <f>VLOOKUP(E6290,DATABASE!C:Q,8,false)</f>
        <v>BIAN</v>
      </c>
      <c r="P6290" s="65">
        <f>VLOOKUP(E6290,DATABASE!C:Q,9,False)</f>
        <v>1</v>
      </c>
      <c r="Q6290" s="93" t="str">
        <f>VLOOKUP(E6290,DATABASE!C:Q,4,false)</f>
        <v>GT</v>
      </c>
      <c r="R6290" s="93" t="str">
        <f>VLOOKUP(E6290,DATABASE!C:Q,11,false)</f>
        <v>Tire</v>
      </c>
    </row>
    <row r="6291" ht="22.5" customHeight="1">
      <c r="A6291" s="49"/>
      <c r="C6291" s="400">
        <v>46020.0</v>
      </c>
      <c r="D6291" s="524">
        <v>8396.0</v>
      </c>
      <c r="E6291" s="544" t="s">
        <v>262</v>
      </c>
      <c r="F6291" s="387">
        <v>1.0</v>
      </c>
      <c r="G6291" s="140">
        <v>110000.0</v>
      </c>
      <c r="H6291" s="74"/>
      <c r="I6291" s="74">
        <f t="shared" si="1"/>
        <v>110000</v>
      </c>
      <c r="J6291" s="74">
        <f>IF(E6291="SERVICE",I6291-(I6291*50%),Vlookup(E6291,DATABASE!C:Q,10,false)*F6291)</f>
        <v>5000</v>
      </c>
      <c r="K6291" s="74">
        <f>VLOOKUP(E6291,DATABASE!C:Q,7,false)</f>
        <v>0</v>
      </c>
      <c r="L6291" s="74">
        <v>0.0</v>
      </c>
      <c r="M6291" s="74">
        <f t="shared" si="2"/>
        <v>0</v>
      </c>
      <c r="N6291" s="74">
        <f t="shared" si="3"/>
        <v>105000</v>
      </c>
      <c r="O6291" s="65" t="str">
        <f>VLOOKUP(E6291,DATABASE!C:Q,8,false)</f>
        <v>IBU</v>
      </c>
      <c r="P6291" s="65">
        <f>VLOOKUP(E6291,DATABASE!C:Q,9,False)</f>
        <v>0</v>
      </c>
      <c r="Q6291" s="93" t="str">
        <f>VLOOKUP(E6291,DATABASE!C:Q,4,false)</f>
        <v>SPOORING SS/CARRY LOS BAK</v>
      </c>
      <c r="R6291" s="93" t="str">
        <f>VLOOKUP(E6291,DATABASE!C:Q,11,false)</f>
        <v>SERVICE</v>
      </c>
    </row>
    <row r="6292" ht="22.5" customHeight="1">
      <c r="A6292" s="49"/>
      <c r="C6292" s="400">
        <v>46020.0</v>
      </c>
      <c r="D6292" s="524">
        <v>8396.0</v>
      </c>
      <c r="E6292" s="544" t="s">
        <v>478</v>
      </c>
      <c r="F6292" s="387">
        <v>1.0</v>
      </c>
      <c r="G6292" s="140">
        <v>200000.0</v>
      </c>
      <c r="H6292" s="74"/>
      <c r="I6292" s="74">
        <f t="shared" si="1"/>
        <v>200000</v>
      </c>
      <c r="J6292" s="74">
        <f>IF(E6292="SERVICE",I6292-(I6292*50%),Vlookup(E6292,DATABASE!C:Q,10,false)*F6292)</f>
        <v>25000</v>
      </c>
      <c r="K6292" s="74">
        <f>VLOOKUP(E6292,DATABASE!C:Q,7,false)</f>
        <v>75000</v>
      </c>
      <c r="L6292" s="74">
        <v>75000.0</v>
      </c>
      <c r="M6292" s="74">
        <f t="shared" si="2"/>
        <v>75000</v>
      </c>
      <c r="N6292" s="74">
        <f t="shared" si="3"/>
        <v>100000</v>
      </c>
      <c r="O6292" s="65" t="str">
        <f>VLOOKUP(E6292,DATABASE!C:Q,8,false)</f>
        <v>BIAN</v>
      </c>
      <c r="P6292" s="65">
        <f>VLOOKUP(E6292,DATABASE!C:Q,9,False)</f>
        <v>0</v>
      </c>
      <c r="Q6292" s="93" t="str">
        <f>VLOOKUP(E6292,DATABASE!C:Q,4,false)</f>
        <v>Baut Camber ss-carry</v>
      </c>
      <c r="R6292" s="93" t="str">
        <f>VLOOKUP(E6292,DATABASE!C:Q,11,false)</f>
        <v>COMPLEMENTARY</v>
      </c>
    </row>
    <row r="6293" ht="22.5" customHeight="1">
      <c r="A6293" s="49"/>
      <c r="C6293" s="400">
        <v>46020.0</v>
      </c>
      <c r="D6293" s="524">
        <v>8396.0</v>
      </c>
      <c r="E6293" s="544" t="s">
        <v>251</v>
      </c>
      <c r="F6293" s="387">
        <v>1.0</v>
      </c>
      <c r="G6293" s="140">
        <v>350000.0</v>
      </c>
      <c r="H6293" s="140">
        <v>50000.0</v>
      </c>
      <c r="I6293" s="74">
        <f t="shared" si="1"/>
        <v>300000</v>
      </c>
      <c r="J6293" s="74">
        <f>IF(E6293="SERVICE",I6293-(I6293*50%),Vlookup(E6293,DATABASE!C:Q,10,false)*F6293)</f>
        <v>150000</v>
      </c>
      <c r="K6293" s="74">
        <f>VLOOKUP(E6293,DATABASE!C:Q,7,false)</f>
        <v>0</v>
      </c>
      <c r="L6293" s="74">
        <v>0.0</v>
      </c>
      <c r="M6293" s="74">
        <f t="shared" si="2"/>
        <v>0</v>
      </c>
      <c r="N6293" s="74">
        <f t="shared" si="3"/>
        <v>150000</v>
      </c>
      <c r="O6293" s="65" t="str">
        <f>VLOOKUP(E6293,DATABASE!C:Q,8,false)</f>
        <v>IBU</v>
      </c>
      <c r="P6293" s="65">
        <f>VLOOKUP(E6293,DATABASE!C:Q,9,False)</f>
        <v>0</v>
      </c>
      <c r="Q6293" s="93" t="str">
        <f>VLOOKUP(E6293,DATABASE!C:Q,4,false)</f>
        <v>SERVICE</v>
      </c>
      <c r="R6293" s="93" t="str">
        <f>VLOOKUP(E6293,DATABASE!C:Q,11,false)</f>
        <v>SERVICE</v>
      </c>
    </row>
    <row r="6294" ht="22.5" customHeight="1">
      <c r="A6294" s="49"/>
      <c r="C6294" s="400">
        <v>46020.0</v>
      </c>
      <c r="D6294" s="524">
        <v>8397.0</v>
      </c>
      <c r="E6294" s="544" t="s">
        <v>262</v>
      </c>
      <c r="F6294" s="387">
        <v>1.0</v>
      </c>
      <c r="G6294" s="140">
        <v>110000.0</v>
      </c>
      <c r="H6294" s="74"/>
      <c r="I6294" s="74">
        <f t="shared" si="1"/>
        <v>110000</v>
      </c>
      <c r="J6294" s="74">
        <f>IF(E6294="SERVICE",I6294-(I6294*50%),Vlookup(E6294,DATABASE!C:Q,10,false)*F6294)</f>
        <v>5000</v>
      </c>
      <c r="K6294" s="74">
        <f>VLOOKUP(E6294,DATABASE!C:Q,7,false)</f>
        <v>0</v>
      </c>
      <c r="L6294" s="74">
        <v>0.0</v>
      </c>
      <c r="M6294" s="74">
        <f t="shared" si="2"/>
        <v>0</v>
      </c>
      <c r="N6294" s="74">
        <f t="shared" si="3"/>
        <v>105000</v>
      </c>
      <c r="O6294" s="65" t="str">
        <f>VLOOKUP(E6294,DATABASE!C:Q,8,false)</f>
        <v>IBU</v>
      </c>
      <c r="P6294" s="65">
        <f>VLOOKUP(E6294,DATABASE!C:Q,9,False)</f>
        <v>0</v>
      </c>
      <c r="Q6294" s="93" t="str">
        <f>VLOOKUP(E6294,DATABASE!C:Q,4,false)</f>
        <v>SPOORING SS/CARRY LOS BAK</v>
      </c>
      <c r="R6294" s="93" t="str">
        <f>VLOOKUP(E6294,DATABASE!C:Q,11,false)</f>
        <v>SERVICE</v>
      </c>
    </row>
    <row r="6295" ht="22.5" customHeight="1">
      <c r="A6295" s="49"/>
      <c r="C6295" s="400">
        <v>46020.0</v>
      </c>
      <c r="D6295" s="524">
        <v>8397.0</v>
      </c>
      <c r="E6295" s="544" t="s">
        <v>251</v>
      </c>
      <c r="F6295" s="387">
        <v>1.0</v>
      </c>
      <c r="G6295" s="140">
        <v>350000.0</v>
      </c>
      <c r="H6295" s="140">
        <v>200000.0</v>
      </c>
      <c r="I6295" s="74">
        <f t="shared" si="1"/>
        <v>150000</v>
      </c>
      <c r="J6295" s="74">
        <f>IF(E6295="SERVICE",I6295-(I6295*50%),Vlookup(E6295,DATABASE!C:Q,10,false)*F6295)</f>
        <v>75000</v>
      </c>
      <c r="K6295" s="74">
        <f>VLOOKUP(E6295,DATABASE!C:Q,7,false)</f>
        <v>0</v>
      </c>
      <c r="L6295" s="74">
        <v>0.0</v>
      </c>
      <c r="M6295" s="74">
        <f t="shared" si="2"/>
        <v>0</v>
      </c>
      <c r="N6295" s="74">
        <f t="shared" si="3"/>
        <v>75000</v>
      </c>
      <c r="O6295" s="65" t="str">
        <f>VLOOKUP(E6295,DATABASE!C:Q,8,false)</f>
        <v>IBU</v>
      </c>
      <c r="P6295" s="65">
        <f>VLOOKUP(E6295,DATABASE!C:Q,9,False)</f>
        <v>0</v>
      </c>
      <c r="Q6295" s="93" t="str">
        <f>VLOOKUP(E6295,DATABASE!C:Q,4,false)</f>
        <v>SERVICE</v>
      </c>
      <c r="R6295" s="93" t="str">
        <f>VLOOKUP(E6295,DATABASE!C:Q,11,false)</f>
        <v>SERVICE</v>
      </c>
    </row>
    <row r="6296" ht="22.5" customHeight="1">
      <c r="A6296" s="49"/>
      <c r="C6296" s="400">
        <v>46020.0</v>
      </c>
      <c r="D6296" s="524">
        <v>8398.0</v>
      </c>
      <c r="E6296" s="544" t="s">
        <v>932</v>
      </c>
      <c r="F6296" s="387">
        <v>2.0</v>
      </c>
      <c r="G6296" s="140">
        <v>680000.0</v>
      </c>
      <c r="H6296" s="74"/>
      <c r="I6296" s="74">
        <f t="shared" si="1"/>
        <v>1360000</v>
      </c>
      <c r="J6296" s="74">
        <f>IF(E6296="SERVICE",I6296-(I6296*50%),Vlookup(E6296,DATABASE!C:Q,10,false)*F6296)</f>
        <v>0</v>
      </c>
      <c r="K6296" s="74">
        <f>VLOOKUP(E6296,DATABASE!C:Q,7,false)</f>
        <v>601000</v>
      </c>
      <c r="L6296" s="74">
        <v>595000.0</v>
      </c>
      <c r="M6296" s="74">
        <f t="shared" si="2"/>
        <v>595000</v>
      </c>
      <c r="N6296" s="74">
        <f t="shared" si="3"/>
        <v>170000</v>
      </c>
      <c r="O6296" s="65" t="str">
        <f>VLOOKUP(E6296,DATABASE!C:Q,8,false)</f>
        <v>IBU</v>
      </c>
      <c r="P6296" s="65">
        <f>VLOOKUP(E6296,DATABASE!C:Q,9,False)</f>
        <v>1</v>
      </c>
      <c r="Q6296" s="93" t="str">
        <f>VLOOKUP(E6296,DATABASE!C:Q,4,false)</f>
        <v>Dunlop</v>
      </c>
      <c r="R6296" s="93" t="str">
        <f>VLOOKUP(E6296,DATABASE!C:Q,11,false)</f>
        <v>Tire</v>
      </c>
    </row>
    <row r="6297" ht="22.5" customHeight="1">
      <c r="A6297" s="49"/>
      <c r="C6297" s="400">
        <v>46020.0</v>
      </c>
      <c r="D6297" s="524">
        <v>8399.0</v>
      </c>
      <c r="E6297" s="544" t="s">
        <v>275</v>
      </c>
      <c r="F6297" s="387">
        <v>2.0</v>
      </c>
      <c r="G6297" s="140">
        <v>830000.0</v>
      </c>
      <c r="H6297" s="74"/>
      <c r="I6297" s="74">
        <f t="shared" si="1"/>
        <v>1660000</v>
      </c>
      <c r="J6297" s="74">
        <f>IF(E6297="SERVICE",I6297-(I6297*50%),Vlookup(E6297,DATABASE!C:Q,10,false)*F6297)</f>
        <v>0</v>
      </c>
      <c r="K6297" s="74">
        <f>VLOOKUP(E6297,DATABASE!C:Q,7,false)</f>
        <v>782000</v>
      </c>
      <c r="L6297" s="74">
        <v>745000.0</v>
      </c>
      <c r="M6297" s="74">
        <f t="shared" si="2"/>
        <v>745000</v>
      </c>
      <c r="N6297" s="74">
        <f t="shared" si="3"/>
        <v>170000</v>
      </c>
      <c r="O6297" s="65" t="str">
        <f>VLOOKUP(E6297,DATABASE!C:Q,8,false)</f>
        <v>IBU</v>
      </c>
      <c r="P6297" s="65">
        <f>VLOOKUP(E6297,DATABASE!C:Q,9,False)</f>
        <v>1</v>
      </c>
      <c r="Q6297" s="93" t="str">
        <f>VLOOKUP(E6297,DATABASE!C:Q,4,false)</f>
        <v>Dunlop</v>
      </c>
      <c r="R6297" s="93" t="str">
        <f>VLOOKUP(E6297,DATABASE!C:Q,11,false)</f>
        <v>Tire</v>
      </c>
    </row>
    <row r="6298" ht="22.5" customHeight="1">
      <c r="A6298" s="49"/>
      <c r="C6298" s="400">
        <v>46020.0</v>
      </c>
      <c r="D6298" s="524">
        <v>8400.0</v>
      </c>
      <c r="E6298" s="544" t="s">
        <v>932</v>
      </c>
      <c r="F6298" s="387">
        <v>1.0</v>
      </c>
      <c r="G6298" s="140">
        <v>680000.0</v>
      </c>
      <c r="H6298" s="74"/>
      <c r="I6298" s="74">
        <f t="shared" si="1"/>
        <v>680000</v>
      </c>
      <c r="J6298" s="74">
        <f>IF(E6298="SERVICE",I6298-(I6298*50%),Vlookup(E6298,DATABASE!C:Q,10,false)*F6298)</f>
        <v>0</v>
      </c>
      <c r="K6298" s="74">
        <f>VLOOKUP(E6298,DATABASE!C:Q,7,false)</f>
        <v>601000</v>
      </c>
      <c r="L6298" s="74">
        <v>595000.0</v>
      </c>
      <c r="M6298" s="74">
        <f t="shared" si="2"/>
        <v>595000</v>
      </c>
      <c r="N6298" s="74">
        <f t="shared" si="3"/>
        <v>85000</v>
      </c>
      <c r="O6298" s="65" t="str">
        <f>VLOOKUP(E6298,DATABASE!C:Q,8,false)</f>
        <v>IBU</v>
      </c>
      <c r="P6298" s="65">
        <f>VLOOKUP(E6298,DATABASE!C:Q,9,False)</f>
        <v>1</v>
      </c>
      <c r="Q6298" s="93" t="str">
        <f>VLOOKUP(E6298,DATABASE!C:Q,4,false)</f>
        <v>Dunlop</v>
      </c>
      <c r="R6298" s="93" t="str">
        <f>VLOOKUP(E6298,DATABASE!C:Q,11,false)</f>
        <v>Tire</v>
      </c>
    </row>
    <row r="6299" ht="22.5" customHeight="1">
      <c r="A6299" s="49"/>
      <c r="C6299" s="400">
        <v>46020.0</v>
      </c>
      <c r="D6299" s="69" t="s">
        <v>2672</v>
      </c>
      <c r="E6299" s="544" t="s">
        <v>252</v>
      </c>
      <c r="F6299" s="387">
        <v>1.0</v>
      </c>
      <c r="G6299" s="140">
        <v>300000.0</v>
      </c>
      <c r="H6299" s="74"/>
      <c r="I6299" s="74">
        <f t="shared" si="1"/>
        <v>300000</v>
      </c>
      <c r="J6299" s="74">
        <f>IF(E6299="SERVICE",I6299-(I6299*50%),Vlookup(E6299,DATABASE!C:Q,10,false)*F6299)</f>
        <v>0</v>
      </c>
      <c r="K6299" s="74">
        <f>VLOOKUP(E6299,DATABASE!C:Q,7,false)</f>
        <v>317518</v>
      </c>
      <c r="L6299" s="74">
        <v>271778.0</v>
      </c>
      <c r="M6299" s="74">
        <f t="shared" si="2"/>
        <v>275000</v>
      </c>
      <c r="N6299" s="74">
        <f t="shared" si="3"/>
        <v>25000</v>
      </c>
      <c r="O6299" s="65" t="str">
        <f>VLOOKUP(E6299,DATABASE!C:Q,8,false)</f>
        <v>NON</v>
      </c>
      <c r="P6299" s="65">
        <f>VLOOKUP(E6299,DATABASE!C:Q,9,False)</f>
        <v>0</v>
      </c>
      <c r="Q6299" s="93" t="str">
        <f>VLOOKUP(E6299,DATABASE!C:Q,4,false)</f>
        <v>Shell</v>
      </c>
      <c r="R6299" s="93" t="str">
        <f>VLOOKUP(E6299,DATABASE!C:Q,11,false)</f>
        <v>OIL</v>
      </c>
    </row>
    <row r="6300" ht="22.5" customHeight="1">
      <c r="A6300" s="49"/>
      <c r="C6300" s="400">
        <v>46020.0</v>
      </c>
      <c r="D6300" s="69" t="s">
        <v>2672</v>
      </c>
      <c r="E6300" s="544" t="s">
        <v>298</v>
      </c>
      <c r="F6300" s="387">
        <v>1.0</v>
      </c>
      <c r="G6300" s="140">
        <v>25000.0</v>
      </c>
      <c r="H6300" s="74"/>
      <c r="I6300" s="74">
        <f t="shared" si="1"/>
        <v>25000</v>
      </c>
      <c r="J6300" s="74">
        <f>IF(E6300="SERVICE",I6300-(I6300*50%),Vlookup(E6300,DATABASE!C:Q,10,false)*F6300)</f>
        <v>0</v>
      </c>
      <c r="K6300" s="74">
        <f>VLOOKUP(E6300,DATABASE!C:Q,7,false)</f>
        <v>19200</v>
      </c>
      <c r="L6300" s="74">
        <v>19200.0</v>
      </c>
      <c r="M6300" s="74">
        <f t="shared" si="2"/>
        <v>20000</v>
      </c>
      <c r="N6300" s="74">
        <f t="shared" si="3"/>
        <v>5000</v>
      </c>
      <c r="O6300" s="65" t="str">
        <f>VLOOKUP(E6300,DATABASE!C:Q,8,false)</f>
        <v>BIAN</v>
      </c>
      <c r="P6300" s="65">
        <f>VLOOKUP(E6300,DATABASE!C:Q,9,False)</f>
        <v>0</v>
      </c>
      <c r="Q6300" s="93" t="str">
        <f>VLOOKUP(E6300,DATABASE!C:Q,4,false)</f>
        <v>Aspira</v>
      </c>
      <c r="R6300" s="93" t="str">
        <f>VLOOKUP(E6300,DATABASE!C:Q,11,false)</f>
        <v>COMPLEMENTARY</v>
      </c>
    </row>
    <row r="6301" ht="22.5" customHeight="1">
      <c r="A6301" s="49"/>
      <c r="C6301" s="400">
        <v>46021.0</v>
      </c>
      <c r="D6301" s="524">
        <v>8401.0</v>
      </c>
      <c r="E6301" s="544" t="s">
        <v>1536</v>
      </c>
      <c r="F6301" s="387">
        <v>1.0</v>
      </c>
      <c r="G6301" s="140">
        <v>685000.0</v>
      </c>
      <c r="H6301" s="74"/>
      <c r="I6301" s="74">
        <f t="shared" si="1"/>
        <v>685000</v>
      </c>
      <c r="J6301" s="74">
        <f>IF(E6301="SERVICE",I6301-(I6301*50%),Vlookup(E6301,DATABASE!C:Q,10,false)*F6301)</f>
        <v>0</v>
      </c>
      <c r="K6301" s="74">
        <f>VLOOKUP(E6301,DATABASE!C:Q,7,false)</f>
        <v>599000</v>
      </c>
      <c r="L6301" s="74">
        <v>599000.0</v>
      </c>
      <c r="M6301" s="74">
        <f t="shared" si="2"/>
        <v>600000</v>
      </c>
      <c r="N6301" s="74">
        <f t="shared" si="3"/>
        <v>85000</v>
      </c>
      <c r="O6301" s="65" t="str">
        <f>VLOOKUP(E6301,DATABASE!C:Q,8,false)</f>
        <v>BIAN</v>
      </c>
      <c r="P6301" s="65">
        <f>VLOOKUP(E6301,DATABASE!C:Q,9,False)</f>
        <v>1</v>
      </c>
      <c r="Q6301" s="93" t="str">
        <f>VLOOKUP(E6301,DATABASE!C:Q,4,false)</f>
        <v>Laufen</v>
      </c>
      <c r="R6301" s="93" t="str">
        <f>VLOOKUP(E6301,DATABASE!C:Q,11,false)</f>
        <v>Tire</v>
      </c>
    </row>
    <row r="6302" ht="22.5" customHeight="1">
      <c r="A6302" s="49"/>
      <c r="C6302" s="400">
        <v>46021.0</v>
      </c>
      <c r="D6302" s="524">
        <v>8402.0</v>
      </c>
      <c r="E6302" s="544" t="s">
        <v>581</v>
      </c>
      <c r="F6302" s="387">
        <v>4.0</v>
      </c>
      <c r="G6302" s="140">
        <v>670000.0</v>
      </c>
      <c r="H6302" s="140">
        <v>45000.0</v>
      </c>
      <c r="I6302" s="74">
        <f t="shared" si="1"/>
        <v>2500000</v>
      </c>
      <c r="J6302" s="74">
        <f>IF(E6302="SERVICE",I6302-(I6302*50%),Vlookup(E6302,DATABASE!C:Q,10,false)*F6302)</f>
        <v>0</v>
      </c>
      <c r="K6302" s="74">
        <f>VLOOKUP(E6302,DATABASE!C:Q,7,false)</f>
        <v>542528</v>
      </c>
      <c r="L6302" s="74">
        <v>531715.5</v>
      </c>
      <c r="M6302" s="74">
        <f t="shared" si="2"/>
        <v>535000</v>
      </c>
      <c r="N6302" s="74">
        <f t="shared" si="3"/>
        <v>360000</v>
      </c>
      <c r="O6302" s="65" t="str">
        <f>VLOOKUP(E6302,DATABASE!C:Q,8,false)</f>
        <v>IBU</v>
      </c>
      <c r="P6302" s="65">
        <f>VLOOKUP(E6302,DATABASE!C:Q,9,False)</f>
        <v>1</v>
      </c>
      <c r="Q6302" s="93" t="str">
        <f>VLOOKUP(E6302,DATABASE!C:Q,4,false)</f>
        <v>Bridgestone</v>
      </c>
      <c r="R6302" s="93" t="str">
        <f>VLOOKUP(E6302,DATABASE!C:Q,11,false)</f>
        <v>Tire</v>
      </c>
    </row>
    <row r="6303" ht="22.5" customHeight="1">
      <c r="A6303" s="49"/>
      <c r="C6303" s="400">
        <v>46021.0</v>
      </c>
      <c r="D6303" s="524">
        <v>8402.0</v>
      </c>
      <c r="E6303" s="544" t="s">
        <v>299</v>
      </c>
      <c r="F6303" s="387">
        <v>2.0</v>
      </c>
      <c r="G6303" s="140">
        <v>30000.0</v>
      </c>
      <c r="H6303" s="74"/>
      <c r="I6303" s="74">
        <f t="shared" si="1"/>
        <v>60000</v>
      </c>
      <c r="J6303" s="74">
        <f>IF(E6303="SERVICE",I6303-(I6303*50%),Vlookup(E6303,DATABASE!C:Q,10,false)*F6303)</f>
        <v>0</v>
      </c>
      <c r="K6303" s="74">
        <f>VLOOKUP(E6303,DATABASE!C:Q,7,false)</f>
        <v>10000</v>
      </c>
      <c r="L6303" s="74">
        <v>5000.0</v>
      </c>
      <c r="M6303" s="74">
        <f t="shared" si="2"/>
        <v>5000</v>
      </c>
      <c r="N6303" s="74">
        <f t="shared" si="3"/>
        <v>50000</v>
      </c>
      <c r="O6303" s="65" t="str">
        <f>VLOOKUP(E6303,DATABASE!C:Q,8,false)</f>
        <v>BIAN</v>
      </c>
      <c r="P6303" s="65">
        <f>VLOOKUP(E6303,DATABASE!C:Q,9,False)</f>
        <v>0</v>
      </c>
      <c r="Q6303" s="93" t="str">
        <f>VLOOKUP(E6303,DATABASE!C:Q,4,false)</f>
        <v>Balancing</v>
      </c>
      <c r="R6303" s="93" t="str">
        <f>VLOOKUP(E6303,DATABASE!C:Q,11,false)</f>
        <v>COMPLEMENTARY</v>
      </c>
    </row>
    <row r="6304" ht="22.5" customHeight="1">
      <c r="A6304" s="49"/>
      <c r="C6304" s="400">
        <v>46021.0</v>
      </c>
      <c r="D6304" s="524">
        <v>8404.0</v>
      </c>
      <c r="E6304" s="544" t="s">
        <v>569</v>
      </c>
      <c r="F6304" s="387">
        <v>1.0</v>
      </c>
      <c r="G6304" s="140">
        <v>80000.0</v>
      </c>
      <c r="H6304" s="74"/>
      <c r="I6304" s="74">
        <f t="shared" si="1"/>
        <v>80000</v>
      </c>
      <c r="J6304" s="74">
        <f>IF(E6304="SERVICE",I6304-(I6304*50%),Vlookup(E6304,DATABASE!C:Q,10,false)*F6304)</f>
        <v>0</v>
      </c>
      <c r="K6304" s="74">
        <f>VLOOKUP(E6304,DATABASE!C:Q,7,false)</f>
        <v>45439.582</v>
      </c>
      <c r="L6304" s="74">
        <v>45309.6</v>
      </c>
      <c r="M6304" s="74">
        <f t="shared" si="2"/>
        <v>50000</v>
      </c>
      <c r="N6304" s="74">
        <f t="shared" si="3"/>
        <v>30000</v>
      </c>
      <c r="O6304" s="65" t="str">
        <f>VLOOKUP(E6304,DATABASE!C:Q,8,false)</f>
        <v>BIAN</v>
      </c>
      <c r="P6304" s="65">
        <f>VLOOKUP(E6304,DATABASE!C:Q,9,False)</f>
        <v>1</v>
      </c>
      <c r="Q6304" s="93" t="str">
        <f>VLOOKUP(E6304,DATABASE!C:Q,4,false)</f>
        <v>BD</v>
      </c>
      <c r="R6304" s="93" t="str">
        <f>VLOOKUP(E6304,DATABASE!C:Q,11,false)</f>
        <v>Tire</v>
      </c>
    </row>
    <row r="6305" ht="22.5" customHeight="1">
      <c r="A6305" s="49"/>
      <c r="C6305" s="400">
        <v>46021.0</v>
      </c>
      <c r="D6305" s="69">
        <v>8405.0</v>
      </c>
      <c r="E6305" s="544" t="s">
        <v>581</v>
      </c>
      <c r="F6305" s="387">
        <v>2.0</v>
      </c>
      <c r="G6305" s="140">
        <v>670000.0</v>
      </c>
      <c r="H6305" s="140">
        <v>45000.0</v>
      </c>
      <c r="I6305" s="74">
        <f t="shared" si="1"/>
        <v>1250000</v>
      </c>
      <c r="J6305" s="74">
        <f>IF(E6305="SERVICE",I6305-(I6305*50%),Vlookup(E6305,DATABASE!C:Q,10,false)*F6305)</f>
        <v>0</v>
      </c>
      <c r="K6305" s="74">
        <f>VLOOKUP(E6305,DATABASE!C:Q,7,false)</f>
        <v>542528</v>
      </c>
      <c r="L6305" s="74">
        <v>531715.5</v>
      </c>
      <c r="M6305" s="74">
        <f t="shared" si="2"/>
        <v>535000</v>
      </c>
      <c r="N6305" s="74">
        <f t="shared" si="3"/>
        <v>180000</v>
      </c>
      <c r="O6305" s="65" t="str">
        <f>VLOOKUP(E6305,DATABASE!C:Q,8,false)</f>
        <v>IBU</v>
      </c>
      <c r="P6305" s="65">
        <f>VLOOKUP(E6305,DATABASE!C:Q,9,False)</f>
        <v>1</v>
      </c>
      <c r="Q6305" s="93" t="str">
        <f>VLOOKUP(E6305,DATABASE!C:Q,4,false)</f>
        <v>Bridgestone</v>
      </c>
      <c r="R6305" s="93" t="str">
        <f>VLOOKUP(E6305,DATABASE!C:Q,11,false)</f>
        <v>Tire</v>
      </c>
    </row>
    <row r="6306" ht="22.5" customHeight="1">
      <c r="A6306" s="49"/>
      <c r="C6306" s="400">
        <v>46021.0</v>
      </c>
      <c r="D6306" s="524">
        <v>8406.0</v>
      </c>
      <c r="E6306" s="544" t="s">
        <v>271</v>
      </c>
      <c r="F6306" s="387">
        <v>2.0</v>
      </c>
      <c r="G6306" s="140">
        <v>630000.0</v>
      </c>
      <c r="H6306" s="74"/>
      <c r="I6306" s="74">
        <f t="shared" si="1"/>
        <v>1260000</v>
      </c>
      <c r="J6306" s="74">
        <f>IF(E6306="SERVICE",I6306-(I6306*50%),Vlookup(E6306,DATABASE!C:Q,10,false)*F6306)</f>
        <v>0</v>
      </c>
      <c r="K6306" s="74">
        <f>VLOOKUP(E6306,DATABASE!C:Q,7,false)</f>
        <v>570000</v>
      </c>
      <c r="L6306" s="74">
        <v>539000.0</v>
      </c>
      <c r="M6306" s="74">
        <f t="shared" si="2"/>
        <v>540000</v>
      </c>
      <c r="N6306" s="74">
        <f t="shared" si="3"/>
        <v>180000</v>
      </c>
      <c r="O6306" s="65" t="str">
        <f>VLOOKUP(E6306,DATABASE!C:Q,8,false)</f>
        <v>IBU</v>
      </c>
      <c r="P6306" s="65">
        <f>VLOOKUP(E6306,DATABASE!C:Q,9,False)</f>
        <v>1</v>
      </c>
      <c r="Q6306" s="93" t="str">
        <f>VLOOKUP(E6306,DATABASE!C:Q,4,false)</f>
        <v>Dunlop</v>
      </c>
      <c r="R6306" s="93" t="str">
        <f>VLOOKUP(E6306,DATABASE!C:Q,11,false)</f>
        <v>Tire</v>
      </c>
    </row>
    <row r="6307" ht="22.5" customHeight="1">
      <c r="A6307" s="49"/>
      <c r="C6307" s="400">
        <v>46021.0</v>
      </c>
      <c r="D6307" s="524">
        <v>8407.0</v>
      </c>
      <c r="E6307" s="544" t="s">
        <v>955</v>
      </c>
      <c r="F6307" s="387">
        <v>2.0</v>
      </c>
      <c r="G6307" s="140">
        <v>770000.0</v>
      </c>
      <c r="H6307" s="74"/>
      <c r="I6307" s="74">
        <f t="shared" si="1"/>
        <v>1540000</v>
      </c>
      <c r="J6307" s="74">
        <f>IF(E6307="SERVICE",I6307-(I6307*50%),Vlookup(E6307,DATABASE!C:Q,10,false)*F6307)</f>
        <v>0</v>
      </c>
      <c r="K6307" s="74">
        <f>VLOOKUP(E6307,DATABASE!C:Q,7,false)</f>
        <v>712000</v>
      </c>
      <c r="L6307" s="74">
        <v>674000.0</v>
      </c>
      <c r="M6307" s="74">
        <f t="shared" si="2"/>
        <v>675000</v>
      </c>
      <c r="N6307" s="74">
        <f t="shared" si="3"/>
        <v>190000</v>
      </c>
      <c r="O6307" s="65" t="str">
        <f>VLOOKUP(E6307,DATABASE!C:Q,8,false)</f>
        <v>IBU</v>
      </c>
      <c r="P6307" s="65">
        <f>VLOOKUP(E6307,DATABASE!C:Q,9,False)</f>
        <v>1</v>
      </c>
      <c r="Q6307" s="93" t="str">
        <f>VLOOKUP(E6307,DATABASE!C:Q,4,false)</f>
        <v>Dunlop</v>
      </c>
      <c r="R6307" s="93" t="str">
        <f>VLOOKUP(E6307,DATABASE!C:Q,11,false)</f>
        <v>Tire</v>
      </c>
    </row>
    <row r="6308" ht="22.5" customHeight="1">
      <c r="A6308" s="49"/>
      <c r="C6308" s="400">
        <v>46021.0</v>
      </c>
      <c r="D6308" s="524">
        <v>8408.0</v>
      </c>
      <c r="E6308" s="544" t="s">
        <v>2610</v>
      </c>
      <c r="F6308" s="387">
        <v>2.0</v>
      </c>
      <c r="G6308" s="140">
        <v>920000.0</v>
      </c>
      <c r="H6308" s="74"/>
      <c r="I6308" s="74">
        <f t="shared" si="1"/>
        <v>1840000</v>
      </c>
      <c r="J6308" s="74">
        <f>IF(E6308="SERVICE",I6308-(I6308*50%),Vlookup(E6308,DATABASE!C:Q,10,false)*F6308)</f>
        <v>0</v>
      </c>
      <c r="K6308" s="74">
        <f>VLOOKUP(E6308,DATABASE!C:Q,7,false)</f>
        <v>802000</v>
      </c>
      <c r="L6308" s="74">
        <v>802000.0</v>
      </c>
      <c r="M6308" s="74">
        <f t="shared" si="2"/>
        <v>805000</v>
      </c>
      <c r="N6308" s="74">
        <f t="shared" si="3"/>
        <v>230000</v>
      </c>
      <c r="O6308" s="65" t="str">
        <f>VLOOKUP(E6308,DATABASE!C:Q,8,false)</f>
        <v>BIAN</v>
      </c>
      <c r="P6308" s="65">
        <f>VLOOKUP(E6308,DATABASE!C:Q,9,False)</f>
        <v>1</v>
      </c>
      <c r="Q6308" s="93" t="str">
        <f>VLOOKUP(E6308,DATABASE!C:Q,4,false)</f>
        <v>Laufen</v>
      </c>
      <c r="R6308" s="93" t="str">
        <f>VLOOKUP(E6308,DATABASE!C:Q,11,false)</f>
        <v>Tire</v>
      </c>
    </row>
    <row r="6309" ht="22.5" customHeight="1">
      <c r="A6309" s="49"/>
      <c r="C6309" s="400">
        <v>46021.0</v>
      </c>
      <c r="D6309" s="524">
        <v>8408.0</v>
      </c>
      <c r="E6309" s="544" t="s">
        <v>299</v>
      </c>
      <c r="F6309" s="387">
        <v>2.0</v>
      </c>
      <c r="G6309" s="140">
        <v>30000.0</v>
      </c>
      <c r="H6309" s="74"/>
      <c r="I6309" s="74">
        <f t="shared" si="1"/>
        <v>60000</v>
      </c>
      <c r="J6309" s="74">
        <f>IF(E6309="SERVICE",I6309-(I6309*50%),Vlookup(E6309,DATABASE!C:Q,10,false)*F6309)</f>
        <v>0</v>
      </c>
      <c r="K6309" s="74">
        <f>VLOOKUP(E6309,DATABASE!C:Q,7,false)</f>
        <v>10000</v>
      </c>
      <c r="L6309" s="74">
        <v>5000.0</v>
      </c>
      <c r="M6309" s="74">
        <f t="shared" si="2"/>
        <v>5000</v>
      </c>
      <c r="N6309" s="74">
        <f t="shared" si="3"/>
        <v>50000</v>
      </c>
      <c r="O6309" s="65" t="str">
        <f>VLOOKUP(E6309,DATABASE!C:Q,8,false)</f>
        <v>BIAN</v>
      </c>
      <c r="P6309" s="65">
        <f>VLOOKUP(E6309,DATABASE!C:Q,9,False)</f>
        <v>0</v>
      </c>
      <c r="Q6309" s="93" t="str">
        <f>VLOOKUP(E6309,DATABASE!C:Q,4,false)</f>
        <v>Balancing</v>
      </c>
      <c r="R6309" s="93" t="str">
        <f>VLOOKUP(E6309,DATABASE!C:Q,11,false)</f>
        <v>COMPLEMENTARY</v>
      </c>
    </row>
    <row r="6310" ht="22.5" customHeight="1">
      <c r="A6310" s="49"/>
      <c r="C6310" s="400">
        <v>46021.0</v>
      </c>
      <c r="D6310" s="524">
        <v>8409.0</v>
      </c>
      <c r="E6310" s="544" t="s">
        <v>940</v>
      </c>
      <c r="F6310" s="387">
        <v>1.0</v>
      </c>
      <c r="G6310" s="140">
        <v>809000.0</v>
      </c>
      <c r="H6310" s="140">
        <v>9000.0</v>
      </c>
      <c r="I6310" s="74">
        <f t="shared" si="1"/>
        <v>800000</v>
      </c>
      <c r="J6310" s="74">
        <f>IF(E6310="SERVICE",I6310-(I6310*50%),Vlookup(E6310,DATABASE!C:Q,10,false)*F6310)</f>
        <v>0</v>
      </c>
      <c r="K6310" s="74">
        <f>VLOOKUP(E6310,DATABASE!C:Q,7,false)</f>
        <v>716500</v>
      </c>
      <c r="L6310" s="74">
        <v>709000.0</v>
      </c>
      <c r="M6310" s="74">
        <f t="shared" si="2"/>
        <v>710000</v>
      </c>
      <c r="N6310" s="74">
        <f t="shared" si="3"/>
        <v>90000</v>
      </c>
      <c r="O6310" s="65" t="str">
        <f>VLOOKUP(E6310,DATABASE!C:Q,8,false)</f>
        <v>IBU</v>
      </c>
      <c r="P6310" s="65">
        <f>VLOOKUP(E6310,DATABASE!C:Q,9,False)</f>
        <v>1</v>
      </c>
      <c r="Q6310" s="93" t="str">
        <f>VLOOKUP(E6310,DATABASE!C:Q,4,false)</f>
        <v>Dunlop</v>
      </c>
      <c r="R6310" s="93" t="str">
        <f>VLOOKUP(E6310,DATABASE!C:Q,11,false)</f>
        <v>Tire</v>
      </c>
    </row>
    <row r="6311" ht="22.5" customHeight="1">
      <c r="A6311" s="49"/>
      <c r="C6311" s="400">
        <v>46021.0</v>
      </c>
      <c r="D6311" s="524">
        <v>8410.0</v>
      </c>
      <c r="E6311" s="544" t="s">
        <v>246</v>
      </c>
      <c r="F6311" s="387">
        <v>1.0</v>
      </c>
      <c r="G6311" s="140">
        <v>35000.0</v>
      </c>
      <c r="H6311" s="140">
        <v>10000.0</v>
      </c>
      <c r="I6311" s="74">
        <f t="shared" si="1"/>
        <v>25000</v>
      </c>
      <c r="J6311" s="74">
        <f>IF(E6311="SERVICE",I6311-(I6311*50%),Vlookup(E6311,DATABASE!C:Q,10,false)*F6311)</f>
        <v>0</v>
      </c>
      <c r="K6311" s="74">
        <f>VLOOKUP(E6311,DATABASE!C:Q,7,false)</f>
        <v>0</v>
      </c>
      <c r="L6311" s="74">
        <v>0.0</v>
      </c>
      <c r="M6311" s="74">
        <f t="shared" si="2"/>
        <v>0</v>
      </c>
      <c r="N6311" s="74">
        <f t="shared" si="3"/>
        <v>25000</v>
      </c>
      <c r="O6311" s="65" t="str">
        <f>VLOOKUP(E6311,DATABASE!C:Q,8,false)</f>
        <v>IBU</v>
      </c>
      <c r="P6311" s="65">
        <f>VLOOKUP(E6311,DATABASE!C:Q,9,False)</f>
        <v>0</v>
      </c>
      <c r="Q6311" s="93" t="str">
        <f>VLOOKUP(E6311,DATABASE!C:Q,4,false)</f>
        <v>Bongkar Pasang</v>
      </c>
      <c r="R6311" s="93" t="str">
        <f>VLOOKUP(E6311,DATABASE!C:Q,11,false)</f>
        <v>SERVICE</v>
      </c>
    </row>
    <row r="6312" ht="22.5" customHeight="1">
      <c r="A6312" s="49"/>
      <c r="C6312" s="400">
        <v>46021.0</v>
      </c>
      <c r="D6312" s="524">
        <v>8410.0</v>
      </c>
      <c r="E6312" s="544" t="s">
        <v>299</v>
      </c>
      <c r="F6312" s="387">
        <v>2.0</v>
      </c>
      <c r="G6312" s="140">
        <v>30000.0</v>
      </c>
      <c r="H6312" s="74"/>
      <c r="I6312" s="74">
        <f t="shared" si="1"/>
        <v>60000</v>
      </c>
      <c r="J6312" s="74">
        <f>IF(E6312="SERVICE",I6312-(I6312*50%),Vlookup(E6312,DATABASE!C:Q,10,false)*F6312)</f>
        <v>0</v>
      </c>
      <c r="K6312" s="74">
        <f>VLOOKUP(E6312,DATABASE!C:Q,7,false)</f>
        <v>10000</v>
      </c>
      <c r="L6312" s="74">
        <v>5000.0</v>
      </c>
      <c r="M6312" s="74">
        <f t="shared" si="2"/>
        <v>5000</v>
      </c>
      <c r="N6312" s="74">
        <f t="shared" si="3"/>
        <v>50000</v>
      </c>
      <c r="O6312" s="65" t="str">
        <f>VLOOKUP(E6312,DATABASE!C:Q,8,false)</f>
        <v>BIAN</v>
      </c>
      <c r="P6312" s="65">
        <f>VLOOKUP(E6312,DATABASE!C:Q,9,False)</f>
        <v>0</v>
      </c>
      <c r="Q6312" s="93" t="str">
        <f>VLOOKUP(E6312,DATABASE!C:Q,4,false)</f>
        <v>Balancing</v>
      </c>
      <c r="R6312" s="93" t="str">
        <f>VLOOKUP(E6312,DATABASE!C:Q,11,false)</f>
        <v>COMPLEMENTARY</v>
      </c>
    </row>
    <row r="6313" ht="22.5" customHeight="1">
      <c r="A6313" s="49"/>
      <c r="C6313" s="400">
        <v>46021.0</v>
      </c>
      <c r="D6313" s="524">
        <v>8410.0</v>
      </c>
      <c r="E6313" s="544" t="s">
        <v>2199</v>
      </c>
      <c r="F6313" s="387">
        <v>1.0</v>
      </c>
      <c r="G6313" s="140">
        <v>15000.0</v>
      </c>
      <c r="H6313" s="74"/>
      <c r="I6313" s="74">
        <f t="shared" si="1"/>
        <v>15000</v>
      </c>
      <c r="J6313" s="74">
        <f>IF(E6313="SERVICE",I6313-(I6313*50%),Vlookup(E6313,DATABASE!C:Q,10,false)*F6313)</f>
        <v>0</v>
      </c>
      <c r="K6313" s="74">
        <f>VLOOKUP(E6313,DATABASE!C:Q,7,false)</f>
        <v>5000</v>
      </c>
      <c r="L6313" s="74">
        <v>0.0</v>
      </c>
      <c r="M6313" s="74">
        <f t="shared" si="2"/>
        <v>0</v>
      </c>
      <c r="N6313" s="74">
        <f t="shared" si="3"/>
        <v>15000</v>
      </c>
      <c r="O6313" s="65" t="str">
        <f>VLOOKUP(E6313,DATABASE!C:Q,8,false)</f>
        <v>BIAN</v>
      </c>
      <c r="P6313" s="65">
        <f>VLOOKUP(E6313,DATABASE!C:Q,9,False)</f>
        <v>0</v>
      </c>
      <c r="Q6313" s="93" t="str">
        <f>VLOOKUP(E6313,DATABASE!C:Q,4,false)</f>
        <v>TAMBAL TUBLES</v>
      </c>
      <c r="R6313" s="93" t="str">
        <f>VLOOKUP(E6313,DATABASE!C:Q,11,false)</f>
        <v>COMPLEMENTARY</v>
      </c>
    </row>
    <row r="6314" ht="22.5" customHeight="1">
      <c r="A6314" s="49"/>
      <c r="C6314" s="400">
        <v>46021.0</v>
      </c>
      <c r="D6314" s="524">
        <v>8410.0</v>
      </c>
      <c r="E6314" s="544" t="s">
        <v>251</v>
      </c>
      <c r="F6314" s="387">
        <v>1.0</v>
      </c>
      <c r="G6314" s="140">
        <v>350000.0</v>
      </c>
      <c r="H6314" s="140">
        <v>200000.0</v>
      </c>
      <c r="I6314" s="74">
        <f t="shared" si="1"/>
        <v>150000</v>
      </c>
      <c r="J6314" s="74">
        <f>IF(E6314="SERVICE",I6314-(I6314*50%),Vlookup(E6314,DATABASE!C:Q,10,false)*F6314)</f>
        <v>75000</v>
      </c>
      <c r="K6314" s="74">
        <f>VLOOKUP(E6314,DATABASE!C:Q,7,false)</f>
        <v>0</v>
      </c>
      <c r="L6314" s="74">
        <v>0.0</v>
      </c>
      <c r="M6314" s="74">
        <f t="shared" si="2"/>
        <v>0</v>
      </c>
      <c r="N6314" s="74">
        <f t="shared" si="3"/>
        <v>75000</v>
      </c>
      <c r="O6314" s="65" t="str">
        <f>VLOOKUP(E6314,DATABASE!C:Q,8,false)</f>
        <v>IBU</v>
      </c>
      <c r="P6314" s="65">
        <f>VLOOKUP(E6314,DATABASE!C:Q,9,False)</f>
        <v>0</v>
      </c>
      <c r="Q6314" s="93" t="str">
        <f>VLOOKUP(E6314,DATABASE!C:Q,4,false)</f>
        <v>SERVICE</v>
      </c>
      <c r="R6314" s="93" t="str">
        <f>VLOOKUP(E6314,DATABASE!C:Q,11,false)</f>
        <v>SERVICE</v>
      </c>
    </row>
    <row r="6315" ht="22.5" customHeight="1">
      <c r="A6315" s="49"/>
      <c r="C6315" s="400">
        <v>46021.0</v>
      </c>
      <c r="D6315" s="524">
        <v>8410.0</v>
      </c>
      <c r="E6315" s="544" t="s">
        <v>256</v>
      </c>
      <c r="F6315" s="387">
        <v>1.0</v>
      </c>
      <c r="G6315" s="140">
        <v>150000.0</v>
      </c>
      <c r="H6315" s="140">
        <v>20000.0</v>
      </c>
      <c r="I6315" s="74">
        <f t="shared" si="1"/>
        <v>130000</v>
      </c>
      <c r="J6315" s="74">
        <f>IF(E6315="SERVICE",I6315-(I6315*50%),Vlookup(E6315,DATABASE!C:Q,10,false)*F6315)</f>
        <v>10000</v>
      </c>
      <c r="K6315" s="74">
        <f>VLOOKUP(E6315,DATABASE!C:Q,7,false)</f>
        <v>0</v>
      </c>
      <c r="L6315" s="74">
        <v>0.0</v>
      </c>
      <c r="M6315" s="74">
        <f t="shared" si="2"/>
        <v>0</v>
      </c>
      <c r="N6315" s="74">
        <f t="shared" si="3"/>
        <v>120000</v>
      </c>
      <c r="O6315" s="65" t="str">
        <f>VLOOKUP(E6315,DATABASE!C:Q,8,false)</f>
        <v>IBU</v>
      </c>
      <c r="P6315" s="65">
        <f>VLOOKUP(E6315,DATABASE!C:Q,9,False)</f>
        <v>0</v>
      </c>
      <c r="Q6315" s="93" t="str">
        <f>VLOOKUP(E6315,DATABASE!C:Q,4,false)</f>
        <v>SPOORING</v>
      </c>
      <c r="R6315" s="93" t="str">
        <f>VLOOKUP(E6315,DATABASE!C:Q,11,false)</f>
        <v>SERVICE</v>
      </c>
    </row>
    <row r="6316" ht="22.5" customHeight="1">
      <c r="A6316" s="49"/>
      <c r="C6316" s="400">
        <v>46021.0</v>
      </c>
      <c r="D6316" s="524">
        <v>8411.0</v>
      </c>
      <c r="E6316" s="544" t="s">
        <v>299</v>
      </c>
      <c r="F6316" s="387">
        <v>2.0</v>
      </c>
      <c r="G6316" s="140">
        <v>30000.0</v>
      </c>
      <c r="H6316" s="74"/>
      <c r="I6316" s="74">
        <f t="shared" si="1"/>
        <v>60000</v>
      </c>
      <c r="J6316" s="74">
        <f>IF(E6316="SERVICE",I6316-(I6316*50%),Vlookup(E6316,DATABASE!C:Q,10,false)*F6316)</f>
        <v>0</v>
      </c>
      <c r="K6316" s="74">
        <f>VLOOKUP(E6316,DATABASE!C:Q,7,false)</f>
        <v>10000</v>
      </c>
      <c r="L6316" s="74">
        <v>5000.0</v>
      </c>
      <c r="M6316" s="74">
        <f t="shared" si="2"/>
        <v>5000</v>
      </c>
      <c r="N6316" s="74">
        <f t="shared" si="3"/>
        <v>50000</v>
      </c>
      <c r="O6316" s="65" t="str">
        <f>VLOOKUP(E6316,DATABASE!C:Q,8,false)</f>
        <v>BIAN</v>
      </c>
      <c r="P6316" s="65">
        <f>VLOOKUP(E6316,DATABASE!C:Q,9,False)</f>
        <v>0</v>
      </c>
      <c r="Q6316" s="93" t="str">
        <f>VLOOKUP(E6316,DATABASE!C:Q,4,false)</f>
        <v>Balancing</v>
      </c>
      <c r="R6316" s="93" t="str">
        <f>VLOOKUP(E6316,DATABASE!C:Q,11,false)</f>
        <v>COMPLEMENTARY</v>
      </c>
    </row>
    <row r="6317" ht="22.5" customHeight="1">
      <c r="A6317" s="49"/>
      <c r="C6317" s="400">
        <v>46021.0</v>
      </c>
      <c r="D6317" s="524">
        <v>8411.0</v>
      </c>
      <c r="E6317" s="544" t="s">
        <v>301</v>
      </c>
      <c r="F6317" s="387">
        <v>1.0</v>
      </c>
      <c r="G6317" s="140">
        <v>250000.0</v>
      </c>
      <c r="H6317" s="74"/>
      <c r="I6317" s="74">
        <f t="shared" si="1"/>
        <v>250000</v>
      </c>
      <c r="J6317" s="74">
        <f>IF(E6317="SERVICE",I6317-(I6317*50%),Vlookup(E6317,DATABASE!C:Q,10,false)*F6317)</f>
        <v>75000</v>
      </c>
      <c r="K6317" s="74">
        <f>VLOOKUP(E6317,DATABASE!C:Q,7,false)</f>
        <v>75000</v>
      </c>
      <c r="L6317" s="74">
        <v>75000.0</v>
      </c>
      <c r="M6317" s="74">
        <f t="shared" si="2"/>
        <v>75000</v>
      </c>
      <c r="N6317" s="74">
        <f t="shared" si="3"/>
        <v>100000</v>
      </c>
      <c r="O6317" s="65" t="str">
        <f>VLOOKUP(E6317,DATABASE!C:Q,8,false)</f>
        <v>BIAN</v>
      </c>
      <c r="P6317" s="65">
        <f>VLOOKUP(E6317,DATABASE!C:Q,9,False)</f>
        <v>0</v>
      </c>
      <c r="Q6317" s="93" t="str">
        <f>VLOOKUP(E6317,DATABASE!C:Q,4,false)</f>
        <v>Baut Camber</v>
      </c>
      <c r="R6317" s="93" t="str">
        <f>VLOOKUP(E6317,DATABASE!C:Q,11,false)</f>
        <v>COMPLEMENTARY</v>
      </c>
    </row>
    <row r="6318" ht="22.5" customHeight="1">
      <c r="A6318" s="49"/>
      <c r="C6318" s="400">
        <v>46021.0</v>
      </c>
      <c r="D6318" s="524">
        <v>8411.0</v>
      </c>
      <c r="E6318" s="544" t="s">
        <v>256</v>
      </c>
      <c r="F6318" s="387">
        <v>1.0</v>
      </c>
      <c r="G6318" s="140">
        <v>150000.0</v>
      </c>
      <c r="H6318" s="140">
        <v>20000.0</v>
      </c>
      <c r="I6318" s="74">
        <f t="shared" si="1"/>
        <v>130000</v>
      </c>
      <c r="J6318" s="74">
        <f>IF(E6318="SERVICE",I6318-(I6318*50%),Vlookup(E6318,DATABASE!C:Q,10,false)*F6318)</f>
        <v>10000</v>
      </c>
      <c r="K6318" s="74">
        <f>VLOOKUP(E6318,DATABASE!C:Q,7,false)</f>
        <v>0</v>
      </c>
      <c r="L6318" s="74">
        <v>0.0</v>
      </c>
      <c r="M6318" s="74">
        <f t="shared" si="2"/>
        <v>0</v>
      </c>
      <c r="N6318" s="74">
        <f t="shared" si="3"/>
        <v>120000</v>
      </c>
      <c r="O6318" s="65" t="str">
        <f>VLOOKUP(E6318,DATABASE!C:Q,8,false)</f>
        <v>IBU</v>
      </c>
      <c r="P6318" s="65">
        <f>VLOOKUP(E6318,DATABASE!C:Q,9,False)</f>
        <v>0</v>
      </c>
      <c r="Q6318" s="93" t="str">
        <f>VLOOKUP(E6318,DATABASE!C:Q,4,false)</f>
        <v>SPOORING</v>
      </c>
      <c r="R6318" s="93" t="str">
        <f>VLOOKUP(E6318,DATABASE!C:Q,11,false)</f>
        <v>SERVICE</v>
      </c>
    </row>
    <row r="6319" ht="22.5" customHeight="1">
      <c r="A6319" s="49"/>
      <c r="C6319" s="400">
        <v>46021.0</v>
      </c>
      <c r="D6319" s="524">
        <v>8412.0</v>
      </c>
      <c r="E6319" s="544" t="s">
        <v>265</v>
      </c>
      <c r="F6319" s="387">
        <v>1.0</v>
      </c>
      <c r="G6319" s="140">
        <v>685000.0</v>
      </c>
      <c r="H6319" s="74"/>
      <c r="I6319" s="74">
        <f t="shared" si="1"/>
        <v>685000</v>
      </c>
      <c r="J6319" s="74">
        <f>IF(E6319="SERVICE",I6319-(I6319*50%),Vlookup(E6319,DATABASE!C:Q,10,false)*F6319)</f>
        <v>0</v>
      </c>
      <c r="K6319" s="74">
        <f>VLOOKUP(E6319,DATABASE!C:Q,7,false)</f>
        <v>628000</v>
      </c>
      <c r="L6319" s="74">
        <v>600000.0</v>
      </c>
      <c r="M6319" s="74">
        <f t="shared" si="2"/>
        <v>600000</v>
      </c>
      <c r="N6319" s="74">
        <f t="shared" si="3"/>
        <v>85000</v>
      </c>
      <c r="O6319" s="65" t="str">
        <f>VLOOKUP(E6319,DATABASE!C:Q,8,false)</f>
        <v>IBU</v>
      </c>
      <c r="P6319" s="65">
        <f>VLOOKUP(E6319,DATABASE!C:Q,9,False)</f>
        <v>1</v>
      </c>
      <c r="Q6319" s="93" t="str">
        <f>VLOOKUP(E6319,DATABASE!C:Q,4,false)</f>
        <v>Dunlop</v>
      </c>
      <c r="R6319" s="93" t="str">
        <f>VLOOKUP(E6319,DATABASE!C:Q,11,false)</f>
        <v>Tire</v>
      </c>
    </row>
    <row r="6320" ht="22.5" customHeight="1">
      <c r="A6320" s="49"/>
      <c r="C6320" s="400">
        <v>46021.0</v>
      </c>
      <c r="D6320" s="524">
        <v>8412.0</v>
      </c>
      <c r="E6320" s="544" t="s">
        <v>299</v>
      </c>
      <c r="F6320" s="387">
        <v>2.0</v>
      </c>
      <c r="G6320" s="140">
        <v>30000.0</v>
      </c>
      <c r="H6320" s="74"/>
      <c r="I6320" s="74">
        <f t="shared" si="1"/>
        <v>60000</v>
      </c>
      <c r="J6320" s="74">
        <f>IF(E6320="SERVICE",I6320-(I6320*50%),Vlookup(E6320,DATABASE!C:Q,10,false)*F6320)</f>
        <v>0</v>
      </c>
      <c r="K6320" s="74">
        <f>VLOOKUP(E6320,DATABASE!C:Q,7,false)</f>
        <v>10000</v>
      </c>
      <c r="L6320" s="74">
        <v>5000.0</v>
      </c>
      <c r="M6320" s="74">
        <f t="shared" si="2"/>
        <v>5000</v>
      </c>
      <c r="N6320" s="74">
        <f t="shared" si="3"/>
        <v>50000</v>
      </c>
      <c r="O6320" s="65" t="str">
        <f>VLOOKUP(E6320,DATABASE!C:Q,8,false)</f>
        <v>BIAN</v>
      </c>
      <c r="P6320" s="65">
        <f>VLOOKUP(E6320,DATABASE!C:Q,9,False)</f>
        <v>0</v>
      </c>
      <c r="Q6320" s="93" t="str">
        <f>VLOOKUP(E6320,DATABASE!C:Q,4,false)</f>
        <v>Balancing</v>
      </c>
      <c r="R6320" s="93" t="str">
        <f>VLOOKUP(E6320,DATABASE!C:Q,11,false)</f>
        <v>COMPLEMENTARY</v>
      </c>
    </row>
    <row r="6321" ht="22.5" customHeight="1">
      <c r="A6321" s="49"/>
      <c r="C6321" s="400">
        <v>46021.0</v>
      </c>
      <c r="D6321" s="524">
        <v>8412.0</v>
      </c>
      <c r="E6321" s="544" t="s">
        <v>256</v>
      </c>
      <c r="F6321" s="387">
        <v>1.0</v>
      </c>
      <c r="G6321" s="140">
        <v>150000.0</v>
      </c>
      <c r="H6321" s="140">
        <v>20000.0</v>
      </c>
      <c r="I6321" s="74">
        <f t="shared" si="1"/>
        <v>130000</v>
      </c>
      <c r="J6321" s="74">
        <f>IF(E6321="SERVICE",I6321-(I6321*50%),Vlookup(E6321,DATABASE!C:Q,10,false)*F6321)</f>
        <v>10000</v>
      </c>
      <c r="K6321" s="74">
        <f>VLOOKUP(E6321,DATABASE!C:Q,7,false)</f>
        <v>0</v>
      </c>
      <c r="L6321" s="74">
        <v>0.0</v>
      </c>
      <c r="M6321" s="74">
        <f t="shared" si="2"/>
        <v>0</v>
      </c>
      <c r="N6321" s="74">
        <f t="shared" si="3"/>
        <v>120000</v>
      </c>
      <c r="O6321" s="65" t="str">
        <f>VLOOKUP(E6321,DATABASE!C:Q,8,false)</f>
        <v>IBU</v>
      </c>
      <c r="P6321" s="65">
        <f>VLOOKUP(E6321,DATABASE!C:Q,9,False)</f>
        <v>0</v>
      </c>
      <c r="Q6321" s="93" t="str">
        <f>VLOOKUP(E6321,DATABASE!C:Q,4,false)</f>
        <v>SPOORING</v>
      </c>
      <c r="R6321" s="93" t="str">
        <f>VLOOKUP(E6321,DATABASE!C:Q,11,false)</f>
        <v>SERVICE</v>
      </c>
    </row>
    <row r="6322" ht="22.5" customHeight="1">
      <c r="A6322" s="49"/>
      <c r="C6322" s="400">
        <v>46021.0</v>
      </c>
      <c r="D6322" s="524">
        <v>8413.0</v>
      </c>
      <c r="E6322" s="544" t="s">
        <v>256</v>
      </c>
      <c r="F6322" s="387">
        <v>1.0</v>
      </c>
      <c r="G6322" s="140">
        <v>150000.0</v>
      </c>
      <c r="H6322" s="140">
        <v>20000.0</v>
      </c>
      <c r="I6322" s="74">
        <f t="shared" si="1"/>
        <v>130000</v>
      </c>
      <c r="J6322" s="74">
        <f>IF(E6322="SERVICE",I6322-(I6322*50%),Vlookup(E6322,DATABASE!C:Q,10,false)*F6322)</f>
        <v>10000</v>
      </c>
      <c r="K6322" s="74">
        <f>VLOOKUP(E6322,DATABASE!C:Q,7,false)</f>
        <v>0</v>
      </c>
      <c r="L6322" s="74">
        <v>0.0</v>
      </c>
      <c r="M6322" s="74">
        <f t="shared" si="2"/>
        <v>0</v>
      </c>
      <c r="N6322" s="74">
        <f t="shared" si="3"/>
        <v>120000</v>
      </c>
      <c r="O6322" s="65" t="str">
        <f>VLOOKUP(E6322,DATABASE!C:Q,8,false)</f>
        <v>IBU</v>
      </c>
      <c r="P6322" s="65">
        <f>VLOOKUP(E6322,DATABASE!C:Q,9,False)</f>
        <v>0</v>
      </c>
      <c r="Q6322" s="93" t="str">
        <f>VLOOKUP(E6322,DATABASE!C:Q,4,false)</f>
        <v>SPOORING</v>
      </c>
      <c r="R6322" s="93" t="str">
        <f>VLOOKUP(E6322,DATABASE!C:Q,11,false)</f>
        <v>SERVICE</v>
      </c>
    </row>
    <row r="6323" ht="22.5" customHeight="1">
      <c r="A6323" s="49"/>
      <c r="C6323" s="400">
        <v>46021.0</v>
      </c>
      <c r="D6323" s="524">
        <v>8413.0</v>
      </c>
      <c r="E6323" s="544" t="s">
        <v>301</v>
      </c>
      <c r="F6323" s="387">
        <v>1.0</v>
      </c>
      <c r="G6323" s="140">
        <v>250000.0</v>
      </c>
      <c r="H6323" s="74"/>
      <c r="I6323" s="74">
        <f t="shared" si="1"/>
        <v>250000</v>
      </c>
      <c r="J6323" s="74">
        <f>IF(E6323="SERVICE",I6323-(I6323*50%),Vlookup(E6323,DATABASE!C:Q,10,false)*F6323)</f>
        <v>75000</v>
      </c>
      <c r="K6323" s="74">
        <f>VLOOKUP(E6323,DATABASE!C:Q,7,false)</f>
        <v>75000</v>
      </c>
      <c r="L6323" s="74">
        <v>75000.0</v>
      </c>
      <c r="M6323" s="74">
        <f t="shared" si="2"/>
        <v>75000</v>
      </c>
      <c r="N6323" s="74">
        <f t="shared" si="3"/>
        <v>100000</v>
      </c>
      <c r="O6323" s="65" t="str">
        <f>VLOOKUP(E6323,DATABASE!C:Q,8,false)</f>
        <v>BIAN</v>
      </c>
      <c r="P6323" s="65">
        <f>VLOOKUP(E6323,DATABASE!C:Q,9,False)</f>
        <v>0</v>
      </c>
      <c r="Q6323" s="93" t="str">
        <f>VLOOKUP(E6323,DATABASE!C:Q,4,false)</f>
        <v>Baut Camber</v>
      </c>
      <c r="R6323" s="93" t="str">
        <f>VLOOKUP(E6323,DATABASE!C:Q,11,false)</f>
        <v>COMPLEMENTARY</v>
      </c>
    </row>
    <row r="6324" ht="22.5" customHeight="1">
      <c r="A6324" s="49"/>
      <c r="C6324" s="400">
        <v>46021.0</v>
      </c>
      <c r="D6324" s="524">
        <v>8414.0</v>
      </c>
      <c r="E6324" s="544" t="s">
        <v>937</v>
      </c>
      <c r="F6324" s="387">
        <v>2.0</v>
      </c>
      <c r="G6324" s="140">
        <v>900000.0</v>
      </c>
      <c r="H6324" s="140">
        <v>20000.0</v>
      </c>
      <c r="I6324" s="74">
        <f t="shared" si="1"/>
        <v>1760000</v>
      </c>
      <c r="J6324" s="74">
        <f>IF(E6324="SERVICE",I6324-(I6324*50%),Vlookup(E6324,DATABASE!C:Q,10,false)*F6324)</f>
        <v>0</v>
      </c>
      <c r="K6324" s="74">
        <f>VLOOKUP(E6324,DATABASE!C:Q,7,false)</f>
        <v>825000</v>
      </c>
      <c r="L6324" s="74">
        <v>790000.0</v>
      </c>
      <c r="M6324" s="74">
        <f t="shared" si="2"/>
        <v>790000</v>
      </c>
      <c r="N6324" s="74">
        <f t="shared" si="3"/>
        <v>180000</v>
      </c>
      <c r="O6324" s="65" t="str">
        <f>VLOOKUP(E6324,DATABASE!C:Q,8,false)</f>
        <v>IBU</v>
      </c>
      <c r="P6324" s="65">
        <f>VLOOKUP(E6324,DATABASE!C:Q,9,False)</f>
        <v>1</v>
      </c>
      <c r="Q6324" s="93" t="str">
        <f>VLOOKUP(E6324,DATABASE!C:Q,4,false)</f>
        <v>Bridgestone</v>
      </c>
      <c r="R6324" s="93" t="str">
        <f>VLOOKUP(E6324,DATABASE!C:Q,11,false)</f>
        <v>Tire</v>
      </c>
    </row>
    <row r="6325" ht="22.5" customHeight="1">
      <c r="A6325" s="49"/>
      <c r="C6325" s="400">
        <v>46021.0</v>
      </c>
      <c r="D6325" s="524">
        <v>8415.0</v>
      </c>
      <c r="E6325" s="544" t="s">
        <v>256</v>
      </c>
      <c r="F6325" s="387">
        <v>1.0</v>
      </c>
      <c r="G6325" s="140">
        <v>150000.0</v>
      </c>
      <c r="H6325" s="140">
        <v>20000.0</v>
      </c>
      <c r="I6325" s="74">
        <f t="shared" si="1"/>
        <v>130000</v>
      </c>
      <c r="J6325" s="74">
        <f>IF(E6325="SERVICE",I6325-(I6325*50%),Vlookup(E6325,DATABASE!C:Q,10,false)*F6325)</f>
        <v>10000</v>
      </c>
      <c r="K6325" s="74">
        <f>VLOOKUP(E6325,DATABASE!C:Q,7,false)</f>
        <v>0</v>
      </c>
      <c r="L6325" s="74">
        <v>0.0</v>
      </c>
      <c r="M6325" s="74">
        <f t="shared" si="2"/>
        <v>0</v>
      </c>
      <c r="N6325" s="74">
        <f t="shared" si="3"/>
        <v>120000</v>
      </c>
      <c r="O6325" s="65" t="str">
        <f>VLOOKUP(E6325,DATABASE!C:Q,8,false)</f>
        <v>IBU</v>
      </c>
      <c r="P6325" s="65">
        <f>VLOOKUP(E6325,DATABASE!C:Q,9,False)</f>
        <v>0</v>
      </c>
      <c r="Q6325" s="93" t="str">
        <f>VLOOKUP(E6325,DATABASE!C:Q,4,false)</f>
        <v>SPOORING</v>
      </c>
      <c r="R6325" s="93" t="str">
        <f>VLOOKUP(E6325,DATABASE!C:Q,11,false)</f>
        <v>SERVICE</v>
      </c>
    </row>
    <row r="6326" ht="22.5" customHeight="1">
      <c r="A6326" s="49"/>
      <c r="C6326" s="400">
        <v>46021.0</v>
      </c>
      <c r="D6326" s="524">
        <v>8416.0</v>
      </c>
      <c r="E6326" s="544" t="s">
        <v>1597</v>
      </c>
      <c r="F6326" s="387">
        <v>2.0</v>
      </c>
      <c r="G6326" s="140">
        <v>645000.0</v>
      </c>
      <c r="H6326" s="74"/>
      <c r="I6326" s="74">
        <f t="shared" si="1"/>
        <v>1290000</v>
      </c>
      <c r="J6326" s="74">
        <f>IF(E6326="SERVICE",I6326-(I6326*50%),Vlookup(E6326,DATABASE!C:Q,10,false)*F6326)</f>
        <v>0</v>
      </c>
      <c r="K6326" s="74">
        <f>VLOOKUP(E6326,DATABASE!C:Q,7,false)</f>
        <v>560700</v>
      </c>
      <c r="L6326" s="74">
        <v>544300.0</v>
      </c>
      <c r="M6326" s="74">
        <f t="shared" si="2"/>
        <v>545000</v>
      </c>
      <c r="N6326" s="74">
        <f t="shared" si="3"/>
        <v>200000</v>
      </c>
      <c r="O6326" s="65" t="str">
        <f>VLOOKUP(E6326,DATABASE!C:Q,8,false)</f>
        <v>BIAN</v>
      </c>
      <c r="P6326" s="65">
        <f>VLOOKUP(E6326,DATABASE!C:Q,9,False)</f>
        <v>1</v>
      </c>
      <c r="Q6326" s="93" t="str">
        <f>VLOOKUP(E6326,DATABASE!C:Q,4,false)</f>
        <v>GT</v>
      </c>
      <c r="R6326" s="93" t="str">
        <f>VLOOKUP(E6326,DATABASE!C:Q,11,false)</f>
        <v>Tire</v>
      </c>
    </row>
    <row r="6327" ht="22.5" customHeight="1">
      <c r="A6327" s="49"/>
      <c r="C6327" s="400">
        <v>46021.0</v>
      </c>
      <c r="D6327" s="524">
        <v>8417.0</v>
      </c>
      <c r="E6327" s="544" t="s">
        <v>268</v>
      </c>
      <c r="F6327" s="387">
        <v>2.0</v>
      </c>
      <c r="G6327" s="140">
        <v>710000.0</v>
      </c>
      <c r="H6327" s="74"/>
      <c r="I6327" s="74">
        <f t="shared" si="1"/>
        <v>1420000</v>
      </c>
      <c r="J6327" s="74">
        <f>IF(E6327="SERVICE",I6327-(I6327*50%),Vlookup(E6327,DATABASE!C:Q,10,false)*F6327)</f>
        <v>0</v>
      </c>
      <c r="K6327" s="74">
        <f>VLOOKUP(E6327,DATABASE!C:Q,7,false)</f>
        <v>653000</v>
      </c>
      <c r="L6327" s="74">
        <v>622000.0</v>
      </c>
      <c r="M6327" s="74">
        <f t="shared" si="2"/>
        <v>625000</v>
      </c>
      <c r="N6327" s="74">
        <f t="shared" si="3"/>
        <v>170000</v>
      </c>
      <c r="O6327" s="65" t="str">
        <f>VLOOKUP(E6327,DATABASE!C:Q,8,false)</f>
        <v>IBU</v>
      </c>
      <c r="P6327" s="65">
        <f>VLOOKUP(E6327,DATABASE!C:Q,9,False)</f>
        <v>1</v>
      </c>
      <c r="Q6327" s="93" t="str">
        <f>VLOOKUP(E6327,DATABASE!C:Q,4,false)</f>
        <v>Dunlop</v>
      </c>
      <c r="R6327" s="93" t="str">
        <f>VLOOKUP(E6327,DATABASE!C:Q,11,false)</f>
        <v>Tire</v>
      </c>
    </row>
    <row r="6328" ht="22.5" customHeight="1">
      <c r="A6328" s="49"/>
      <c r="C6328" s="400">
        <v>46022.0</v>
      </c>
      <c r="D6328" s="524">
        <v>8418.0</v>
      </c>
      <c r="E6328" s="544" t="s">
        <v>287</v>
      </c>
      <c r="F6328" s="387">
        <v>2.0</v>
      </c>
      <c r="G6328" s="140">
        <v>780000.0</v>
      </c>
      <c r="H6328" s="74"/>
      <c r="I6328" s="74">
        <f t="shared" si="1"/>
        <v>1560000</v>
      </c>
      <c r="J6328" s="74">
        <f>IF(E6328="SERVICE",I6328-(I6328*50%),Vlookup(E6328,DATABASE!C:Q,10,false)*F6328)</f>
        <v>0</v>
      </c>
      <c r="K6328" s="74">
        <f>VLOOKUP(E6328,DATABASE!C:Q,7,false)</f>
        <v>711000</v>
      </c>
      <c r="L6328" s="74">
        <v>690600.0</v>
      </c>
      <c r="M6328" s="74">
        <f t="shared" si="2"/>
        <v>695000</v>
      </c>
      <c r="N6328" s="74">
        <f t="shared" si="3"/>
        <v>170000</v>
      </c>
      <c r="O6328" s="65" t="str">
        <f>VLOOKUP(E6328,DATABASE!C:Q,8,false)</f>
        <v>BIAN</v>
      </c>
      <c r="P6328" s="65">
        <f>VLOOKUP(E6328,DATABASE!C:Q,9,False)</f>
        <v>1</v>
      </c>
      <c r="Q6328" s="93" t="str">
        <f>VLOOKUP(E6328,DATABASE!C:Q,4,false)</f>
        <v>GT</v>
      </c>
      <c r="R6328" s="93" t="str">
        <f>VLOOKUP(E6328,DATABASE!C:Q,11,false)</f>
        <v>Tire</v>
      </c>
    </row>
    <row r="6329" ht="22.5" customHeight="1">
      <c r="A6329" s="49"/>
      <c r="C6329" s="400">
        <v>46022.0</v>
      </c>
      <c r="D6329" s="524">
        <v>8419.0</v>
      </c>
      <c r="E6329" s="544" t="s">
        <v>1009</v>
      </c>
      <c r="F6329" s="387">
        <v>2.0</v>
      </c>
      <c r="G6329" s="140">
        <v>700000.0</v>
      </c>
      <c r="H6329" s="74"/>
      <c r="I6329" s="74">
        <f t="shared" si="1"/>
        <v>1400000</v>
      </c>
      <c r="J6329" s="74">
        <f>IF(E6329="SERVICE",I6329-(I6329*50%),Vlookup(E6329,DATABASE!C:Q,10,false)*F6329)</f>
        <v>0</v>
      </c>
      <c r="K6329" s="74">
        <f>VLOOKUP(E6329,DATABASE!C:Q,7,false)</f>
        <v>609800</v>
      </c>
      <c r="L6329" s="74">
        <v>592200.0</v>
      </c>
      <c r="M6329" s="74">
        <f t="shared" si="2"/>
        <v>595000</v>
      </c>
      <c r="N6329" s="74">
        <f t="shared" si="3"/>
        <v>210000</v>
      </c>
      <c r="O6329" s="65" t="str">
        <f>VLOOKUP(E6329,DATABASE!C:Q,8,false)</f>
        <v>BIAN</v>
      </c>
      <c r="P6329" s="65">
        <f>VLOOKUP(E6329,DATABASE!C:Q,9,False)</f>
        <v>1</v>
      </c>
      <c r="Q6329" s="93" t="str">
        <f>VLOOKUP(E6329,DATABASE!C:Q,4,false)</f>
        <v>GT</v>
      </c>
      <c r="R6329" s="93" t="str">
        <f>VLOOKUP(E6329,DATABASE!C:Q,11,false)</f>
        <v>Tire</v>
      </c>
    </row>
    <row r="6330" ht="22.5" customHeight="1">
      <c r="A6330" s="49"/>
      <c r="C6330" s="400">
        <v>46022.0</v>
      </c>
      <c r="D6330" s="524">
        <v>8420.0</v>
      </c>
      <c r="E6330" s="544" t="s">
        <v>937</v>
      </c>
      <c r="F6330" s="387">
        <v>1.0</v>
      </c>
      <c r="G6330" s="140">
        <v>900000.0</v>
      </c>
      <c r="H6330" s="140">
        <v>20000.0</v>
      </c>
      <c r="I6330" s="74">
        <f t="shared" si="1"/>
        <v>880000</v>
      </c>
      <c r="J6330" s="74">
        <f>IF(E6330="SERVICE",I6330-(I6330*50%),Vlookup(E6330,DATABASE!C:Q,10,false)*F6330)</f>
        <v>0</v>
      </c>
      <c r="K6330" s="74">
        <f>VLOOKUP(E6330,DATABASE!C:Q,7,false)</f>
        <v>825000</v>
      </c>
      <c r="L6330" s="74">
        <v>790000.0</v>
      </c>
      <c r="M6330" s="74">
        <f t="shared" si="2"/>
        <v>790000</v>
      </c>
      <c r="N6330" s="74">
        <f t="shared" si="3"/>
        <v>90000</v>
      </c>
      <c r="O6330" s="65" t="str">
        <f>VLOOKUP(E6330,DATABASE!C:Q,8,false)</f>
        <v>IBU</v>
      </c>
      <c r="P6330" s="65">
        <f>VLOOKUP(E6330,DATABASE!C:Q,9,False)</f>
        <v>1</v>
      </c>
      <c r="Q6330" s="93" t="str">
        <f>VLOOKUP(E6330,DATABASE!C:Q,4,false)</f>
        <v>Bridgestone</v>
      </c>
      <c r="R6330" s="93" t="str">
        <f>VLOOKUP(E6330,DATABASE!C:Q,11,false)</f>
        <v>Tire</v>
      </c>
    </row>
    <row r="6331" ht="22.5" customHeight="1">
      <c r="A6331" s="49"/>
      <c r="C6331" s="400">
        <v>46022.0</v>
      </c>
      <c r="D6331" s="524">
        <v>8421.0</v>
      </c>
      <c r="E6331" s="544" t="s">
        <v>856</v>
      </c>
      <c r="F6331" s="387">
        <v>2.0</v>
      </c>
      <c r="G6331" s="140">
        <v>670000.0</v>
      </c>
      <c r="H6331" s="74"/>
      <c r="I6331" s="74">
        <f t="shared" si="1"/>
        <v>1340000</v>
      </c>
      <c r="J6331" s="74">
        <f>IF(E6331="SERVICE",I6331-(I6331*50%),Vlookup(E6331,DATABASE!C:Q,10,false)*F6331)</f>
        <v>0</v>
      </c>
      <c r="K6331" s="74">
        <f>VLOOKUP(E6331,DATABASE!C:Q,7,false)</f>
        <v>615300</v>
      </c>
      <c r="L6331" s="74">
        <v>581120.0</v>
      </c>
      <c r="M6331" s="74">
        <f t="shared" si="2"/>
        <v>585000</v>
      </c>
      <c r="N6331" s="74">
        <f t="shared" si="3"/>
        <v>170000</v>
      </c>
      <c r="O6331" s="65" t="str">
        <f>VLOOKUP(E6331,DATABASE!C:Q,8,false)</f>
        <v>BIAN</v>
      </c>
      <c r="P6331" s="65">
        <f>VLOOKUP(E6331,DATABASE!C:Q,9,False)</f>
        <v>1</v>
      </c>
      <c r="Q6331" s="93" t="str">
        <f>VLOOKUP(E6331,DATABASE!C:Q,4,false)</f>
        <v>GT</v>
      </c>
      <c r="R6331" s="93" t="str">
        <f>VLOOKUP(E6331,DATABASE!C:Q,11,false)</f>
        <v>Tire</v>
      </c>
    </row>
    <row r="6332" ht="22.5" customHeight="1">
      <c r="A6332" s="49"/>
      <c r="C6332" s="400">
        <v>46022.0</v>
      </c>
      <c r="D6332" s="524">
        <v>8422.0</v>
      </c>
      <c r="E6332" s="544" t="s">
        <v>295</v>
      </c>
      <c r="F6332" s="387">
        <v>2.0</v>
      </c>
      <c r="G6332" s="140">
        <v>1525000.0</v>
      </c>
      <c r="H6332" s="140">
        <v>20000.0</v>
      </c>
      <c r="I6332" s="74">
        <f t="shared" si="1"/>
        <v>3010000</v>
      </c>
      <c r="J6332" s="74">
        <f>IF(E6332="SERVICE",I6332-(I6332*50%),Vlookup(E6332,DATABASE!C:Q,10,false)*F6332)</f>
        <v>0</v>
      </c>
      <c r="K6332" s="74">
        <f>VLOOKUP(E6332,DATABASE!C:Q,7,false)</f>
        <v>1475000</v>
      </c>
      <c r="L6332" s="74">
        <v>1425000.0</v>
      </c>
      <c r="M6332" s="74">
        <f t="shared" si="2"/>
        <v>1425000</v>
      </c>
      <c r="N6332" s="74">
        <f t="shared" si="3"/>
        <v>160000</v>
      </c>
      <c r="O6332" s="65" t="str">
        <f>VLOOKUP(E6332,DATABASE!C:Q,8,false)</f>
        <v>BIAN</v>
      </c>
      <c r="P6332" s="65">
        <f>VLOOKUP(E6332,DATABASE!C:Q,9,False)</f>
        <v>1</v>
      </c>
      <c r="Q6332" s="93" t="str">
        <f>VLOOKUP(E6332,DATABASE!C:Q,4,false)</f>
        <v>TIRON</v>
      </c>
      <c r="R6332" s="93" t="str">
        <f>VLOOKUP(E6332,DATABASE!C:Q,11,false)</f>
        <v>Tire</v>
      </c>
    </row>
    <row r="6333" ht="22.5" customHeight="1">
      <c r="A6333" s="49"/>
      <c r="C6333" s="400">
        <v>46022.0</v>
      </c>
      <c r="D6333" s="524">
        <v>8422.0</v>
      </c>
      <c r="E6333" s="544" t="s">
        <v>924</v>
      </c>
      <c r="F6333" s="387">
        <v>2.0</v>
      </c>
      <c r="G6333" s="140">
        <v>1650000.0</v>
      </c>
      <c r="H6333" s="140">
        <v>20000.0</v>
      </c>
      <c r="I6333" s="74">
        <f t="shared" si="1"/>
        <v>3260000</v>
      </c>
      <c r="J6333" s="74">
        <f>IF(E6333="SERVICE",I6333-(I6333*50%),Vlookup(E6333,DATABASE!C:Q,10,false)*F6333)</f>
        <v>0</v>
      </c>
      <c r="K6333" s="74">
        <f>VLOOKUP(E6333,DATABASE!C:Q,7,false)</f>
        <v>1560000</v>
      </c>
      <c r="L6333" s="74">
        <v>1545000.0</v>
      </c>
      <c r="M6333" s="74">
        <f t="shared" si="2"/>
        <v>1545000</v>
      </c>
      <c r="N6333" s="74">
        <f t="shared" si="3"/>
        <v>170000</v>
      </c>
      <c r="O6333" s="65" t="str">
        <f>VLOOKUP(E6333,DATABASE!C:Q,8,false)</f>
        <v>BIAN</v>
      </c>
      <c r="P6333" s="65">
        <f>VLOOKUP(E6333,DATABASE!C:Q,9,False)</f>
        <v>1</v>
      </c>
      <c r="Q6333" s="93" t="str">
        <f>VLOOKUP(E6333,DATABASE!C:Q,4,false)</f>
        <v>TIRON</v>
      </c>
      <c r="R6333" s="93" t="str">
        <f>VLOOKUP(E6333,DATABASE!C:Q,11,false)</f>
        <v>Tire</v>
      </c>
    </row>
    <row r="6334" ht="22.5" customHeight="1">
      <c r="A6334" s="49"/>
      <c r="C6334" s="400">
        <v>46022.0</v>
      </c>
      <c r="D6334" s="524">
        <v>8423.0</v>
      </c>
      <c r="E6334" s="544" t="s">
        <v>271</v>
      </c>
      <c r="F6334" s="387">
        <v>1.0</v>
      </c>
      <c r="G6334" s="140">
        <v>630000.0</v>
      </c>
      <c r="H6334" s="74"/>
      <c r="I6334" s="74">
        <f t="shared" si="1"/>
        <v>630000</v>
      </c>
      <c r="J6334" s="74">
        <f>IF(E6334="SERVICE",I6334-(I6334*50%),Vlookup(E6334,DATABASE!C:Q,10,false)*F6334)</f>
        <v>0</v>
      </c>
      <c r="K6334" s="74">
        <f>VLOOKUP(E6334,DATABASE!C:Q,7,false)</f>
        <v>570000</v>
      </c>
      <c r="L6334" s="74">
        <v>539000.0</v>
      </c>
      <c r="M6334" s="74">
        <f t="shared" si="2"/>
        <v>540000</v>
      </c>
      <c r="N6334" s="74">
        <f t="shared" si="3"/>
        <v>90000</v>
      </c>
      <c r="O6334" s="65" t="str">
        <f>VLOOKUP(E6334,DATABASE!C:Q,8,false)</f>
        <v>IBU</v>
      </c>
      <c r="P6334" s="65">
        <f>VLOOKUP(E6334,DATABASE!C:Q,9,False)</f>
        <v>1</v>
      </c>
      <c r="Q6334" s="93" t="str">
        <f>VLOOKUP(E6334,DATABASE!C:Q,4,false)</f>
        <v>Dunlop</v>
      </c>
      <c r="R6334" s="93" t="str">
        <f>VLOOKUP(E6334,DATABASE!C:Q,11,false)</f>
        <v>Tire</v>
      </c>
    </row>
    <row r="6335" ht="22.5" customHeight="1">
      <c r="A6335" s="49"/>
      <c r="C6335" s="400">
        <v>46022.0</v>
      </c>
      <c r="D6335" s="524">
        <v>8424.0</v>
      </c>
      <c r="E6335" s="544" t="s">
        <v>271</v>
      </c>
      <c r="F6335" s="387">
        <v>1.0</v>
      </c>
      <c r="G6335" s="140">
        <v>630000.0</v>
      </c>
      <c r="H6335" s="74"/>
      <c r="I6335" s="74">
        <f t="shared" si="1"/>
        <v>630000</v>
      </c>
      <c r="J6335" s="74">
        <f>IF(E6335="SERVICE",I6335-(I6335*50%),Vlookup(E6335,DATABASE!C:Q,10,false)*F6335)</f>
        <v>0</v>
      </c>
      <c r="K6335" s="74">
        <f>VLOOKUP(E6335,DATABASE!C:Q,7,false)</f>
        <v>570000</v>
      </c>
      <c r="L6335" s="74">
        <v>539000.0</v>
      </c>
      <c r="M6335" s="74">
        <f t="shared" si="2"/>
        <v>540000</v>
      </c>
      <c r="N6335" s="74">
        <f t="shared" si="3"/>
        <v>90000</v>
      </c>
      <c r="O6335" s="65" t="str">
        <f>VLOOKUP(E6335,DATABASE!C:Q,8,false)</f>
        <v>IBU</v>
      </c>
      <c r="P6335" s="65">
        <f>VLOOKUP(E6335,DATABASE!C:Q,9,False)</f>
        <v>1</v>
      </c>
      <c r="Q6335" s="93" t="str">
        <f>VLOOKUP(E6335,DATABASE!C:Q,4,false)</f>
        <v>Dunlop</v>
      </c>
      <c r="R6335" s="93" t="str">
        <f>VLOOKUP(E6335,DATABASE!C:Q,11,false)</f>
        <v>Tire</v>
      </c>
    </row>
    <row r="6336" ht="22.5" customHeight="1">
      <c r="A6336" s="49"/>
      <c r="C6336" s="400">
        <v>46022.0</v>
      </c>
      <c r="D6336" s="524">
        <v>8425.0</v>
      </c>
      <c r="E6336" s="544" t="s">
        <v>256</v>
      </c>
      <c r="F6336" s="387">
        <v>1.0</v>
      </c>
      <c r="G6336" s="140">
        <v>150000.0</v>
      </c>
      <c r="H6336" s="140">
        <v>20000.0</v>
      </c>
      <c r="I6336" s="74">
        <f t="shared" si="1"/>
        <v>130000</v>
      </c>
      <c r="J6336" s="74">
        <f>IF(E6336="SERVICE",I6336-(I6336*50%),Vlookup(E6336,DATABASE!C:Q,10,false)*F6336)</f>
        <v>10000</v>
      </c>
      <c r="K6336" s="74">
        <f>VLOOKUP(E6336,DATABASE!C:Q,7,false)</f>
        <v>0</v>
      </c>
      <c r="L6336" s="74">
        <v>0.0</v>
      </c>
      <c r="M6336" s="74">
        <f t="shared" si="2"/>
        <v>0</v>
      </c>
      <c r="N6336" s="74">
        <f t="shared" si="3"/>
        <v>120000</v>
      </c>
      <c r="O6336" s="65" t="str">
        <f>VLOOKUP(E6336,DATABASE!C:Q,8,false)</f>
        <v>IBU</v>
      </c>
      <c r="P6336" s="65">
        <f>VLOOKUP(E6336,DATABASE!C:Q,9,False)</f>
        <v>0</v>
      </c>
      <c r="Q6336" s="93" t="str">
        <f>VLOOKUP(E6336,DATABASE!C:Q,4,false)</f>
        <v>SPOORING</v>
      </c>
      <c r="R6336" s="93" t="str">
        <f>VLOOKUP(E6336,DATABASE!C:Q,11,false)</f>
        <v>SERVICE</v>
      </c>
    </row>
    <row r="6337" ht="22.5" customHeight="1">
      <c r="A6337" s="49"/>
      <c r="C6337" s="400">
        <v>46022.0</v>
      </c>
      <c r="D6337" s="524">
        <v>8425.0</v>
      </c>
      <c r="E6337" s="544" t="s">
        <v>613</v>
      </c>
      <c r="F6337" s="387">
        <v>1.0</v>
      </c>
      <c r="G6337" s="140">
        <v>95000.0</v>
      </c>
      <c r="H6337" s="74"/>
      <c r="I6337" s="74">
        <f t="shared" si="1"/>
        <v>95000</v>
      </c>
      <c r="J6337" s="74">
        <f>IF(E6337="SERVICE",I6337-(I6337*50%),Vlookup(E6337,DATABASE!C:Q,10,false)*F6337)</f>
        <v>0</v>
      </c>
      <c r="K6337" s="74">
        <f>VLOOKUP(E6337,DATABASE!C:Q,7,false)</f>
        <v>58371.2695</v>
      </c>
      <c r="L6337" s="74">
        <v>55000.0</v>
      </c>
      <c r="M6337" s="74">
        <f t="shared" si="2"/>
        <v>55000</v>
      </c>
      <c r="N6337" s="74">
        <f t="shared" si="3"/>
        <v>40000</v>
      </c>
      <c r="O6337" s="65" t="str">
        <f>VLOOKUP(E6337,DATABASE!C:Q,8,false)</f>
        <v>BIAN</v>
      </c>
      <c r="P6337" s="65">
        <f>VLOOKUP(E6337,DATABASE!C:Q,9,False)</f>
        <v>1</v>
      </c>
      <c r="Q6337" s="93" t="str">
        <f>VLOOKUP(E6337,DATABASE!C:Q,4,false)</f>
        <v>BD</v>
      </c>
      <c r="R6337" s="93" t="str">
        <f>VLOOKUP(E6337,DATABASE!C:Q,11,false)</f>
        <v>Tire</v>
      </c>
    </row>
    <row r="6338" ht="22.5" customHeight="1">
      <c r="A6338" s="49"/>
      <c r="C6338" s="400">
        <v>46022.0</v>
      </c>
      <c r="D6338" s="524">
        <v>8426.0</v>
      </c>
      <c r="E6338" s="544" t="s">
        <v>1389</v>
      </c>
      <c r="F6338" s="387">
        <v>1.0</v>
      </c>
      <c r="G6338" s="140">
        <v>1000000.0</v>
      </c>
      <c r="H6338" s="74"/>
      <c r="I6338" s="74">
        <f t="shared" si="1"/>
        <v>1000000</v>
      </c>
      <c r="J6338" s="74">
        <f>IF(E6338="SERVICE",I6338-(I6338*50%),Vlookup(E6338,DATABASE!C:Q,10,false)*F6338)</f>
        <v>0</v>
      </c>
      <c r="K6338" s="74">
        <f>VLOOKUP(E6338,DATABASE!C:Q,7,false)</f>
        <v>908000</v>
      </c>
      <c r="L6338" s="74">
        <v>897000.0</v>
      </c>
      <c r="M6338" s="74">
        <f t="shared" si="2"/>
        <v>900000</v>
      </c>
      <c r="N6338" s="74">
        <f t="shared" si="3"/>
        <v>100000</v>
      </c>
      <c r="O6338" s="65" t="str">
        <f>VLOOKUP(E6338,DATABASE!C:Q,8,false)</f>
        <v>IBU</v>
      </c>
      <c r="P6338" s="65">
        <f>VLOOKUP(E6338,DATABASE!C:Q,9,False)</f>
        <v>1</v>
      </c>
      <c r="Q6338" s="93" t="str">
        <f>VLOOKUP(E6338,DATABASE!C:Q,4,false)</f>
        <v>Dunlop</v>
      </c>
      <c r="R6338" s="93" t="str">
        <f>VLOOKUP(E6338,DATABASE!C:Q,11,false)</f>
        <v>Tire</v>
      </c>
    </row>
    <row r="6339" ht="22.5" customHeight="1">
      <c r="A6339" s="49"/>
      <c r="C6339" s="400">
        <v>46023.0</v>
      </c>
      <c r="D6339" s="69">
        <v>8427.0</v>
      </c>
      <c r="E6339" s="544" t="s">
        <v>569</v>
      </c>
      <c r="F6339" s="387">
        <v>2.0</v>
      </c>
      <c r="G6339" s="140">
        <v>80000.0</v>
      </c>
      <c r="H6339" s="74"/>
      <c r="I6339" s="74">
        <f t="shared" si="1"/>
        <v>160000</v>
      </c>
      <c r="J6339" s="74">
        <f>IF(E6339="SERVICE",I6339-(I6339*50%),Vlookup(E6339,DATABASE!C:Q,10,false)*F6339)</f>
        <v>0</v>
      </c>
      <c r="K6339" s="74">
        <f>VLOOKUP(E6339,DATABASE!C:Q,7,false)</f>
        <v>45439.582</v>
      </c>
      <c r="L6339" s="74">
        <v>45309.6</v>
      </c>
      <c r="M6339" s="74">
        <f t="shared" si="2"/>
        <v>50000</v>
      </c>
      <c r="N6339" s="74">
        <f t="shared" si="3"/>
        <v>60000</v>
      </c>
      <c r="O6339" s="65" t="str">
        <f>VLOOKUP(E6339,DATABASE!C:Q,8,false)</f>
        <v>BIAN</v>
      </c>
      <c r="P6339" s="65">
        <f>VLOOKUP(E6339,DATABASE!C:Q,9,False)</f>
        <v>1</v>
      </c>
      <c r="Q6339" s="93" t="str">
        <f>VLOOKUP(E6339,DATABASE!C:Q,4,false)</f>
        <v>BD</v>
      </c>
      <c r="R6339" s="93" t="str">
        <f>VLOOKUP(E6339,DATABASE!C:Q,11,false)</f>
        <v>Tire</v>
      </c>
    </row>
    <row r="6340" ht="22.5" customHeight="1">
      <c r="A6340" s="49"/>
      <c r="C6340" s="400">
        <v>46023.0</v>
      </c>
      <c r="D6340" s="69">
        <v>8428.0</v>
      </c>
      <c r="E6340" s="544" t="s">
        <v>2555</v>
      </c>
      <c r="F6340" s="387">
        <v>1.0</v>
      </c>
      <c r="G6340" s="140">
        <v>600000.0</v>
      </c>
      <c r="H6340" s="74"/>
      <c r="I6340" s="74">
        <f t="shared" si="1"/>
        <v>600000</v>
      </c>
      <c r="J6340" s="74">
        <f>IF(E6340="SERVICE",I6340-(I6340*50%),Vlookup(E6340,DATABASE!C:Q,10,false)*F6340)</f>
        <v>0</v>
      </c>
      <c r="K6340" s="74">
        <f>VLOOKUP(E6340,DATABASE!C:Q,7,false)</f>
        <v>520000</v>
      </c>
      <c r="L6340" s="74">
        <v>520000.0</v>
      </c>
      <c r="M6340" s="74">
        <f t="shared" si="2"/>
        <v>520000</v>
      </c>
      <c r="N6340" s="74">
        <f t="shared" si="3"/>
        <v>80000</v>
      </c>
      <c r="O6340" s="65" t="str">
        <f>VLOOKUP(E6340,DATABASE!C:Q,8,false)</f>
        <v>BIAN</v>
      </c>
      <c r="P6340" s="65">
        <f>VLOOKUP(E6340,DATABASE!C:Q,9,False)</f>
        <v>1</v>
      </c>
      <c r="Q6340" s="93" t="str">
        <f>VLOOKUP(E6340,DATABASE!C:Q,4,false)</f>
        <v>Laufen</v>
      </c>
      <c r="R6340" s="93" t="str">
        <f>VLOOKUP(E6340,DATABASE!C:Q,11,false)</f>
        <v>Tire</v>
      </c>
    </row>
    <row r="6341" ht="22.5" customHeight="1">
      <c r="A6341" s="49"/>
      <c r="C6341" s="400">
        <v>46023.0</v>
      </c>
      <c r="D6341" s="524">
        <v>8429.0</v>
      </c>
      <c r="E6341" s="544" t="s">
        <v>878</v>
      </c>
      <c r="F6341" s="387">
        <v>2.0</v>
      </c>
      <c r="G6341" s="140">
        <v>50000.0</v>
      </c>
      <c r="H6341" s="74"/>
      <c r="I6341" s="74">
        <f t="shared" si="1"/>
        <v>100000</v>
      </c>
      <c r="J6341" s="74">
        <f>IF(E6341="SERVICE",I6341-(I6341*50%),Vlookup(E6341,DATABASE!C:Q,10,false)*F6341)</f>
        <v>0</v>
      </c>
      <c r="K6341" s="74">
        <f>VLOOKUP(E6341,DATABASE!C:Q,7,false)</f>
        <v>0</v>
      </c>
      <c r="L6341" s="74">
        <v>0.0</v>
      </c>
      <c r="M6341" s="74">
        <f t="shared" si="2"/>
        <v>0</v>
      </c>
      <c r="N6341" s="74">
        <f t="shared" si="3"/>
        <v>100000</v>
      </c>
      <c r="O6341" s="65" t="str">
        <f>VLOOKUP(E6341,DATABASE!C:Q,8,false)</f>
        <v>IBU</v>
      </c>
      <c r="P6341" s="65">
        <f>VLOOKUP(E6341,DATABASE!C:Q,9,False)</f>
        <v>0</v>
      </c>
      <c r="Q6341" s="93" t="str">
        <f>VLOOKUP(E6341,DATABASE!C:Q,4,false)</f>
        <v>Bongkar Pasang 17</v>
      </c>
      <c r="R6341" s="93" t="str">
        <f>VLOOKUP(E6341,DATABASE!C:Q,11,false)</f>
        <v>SERVICE</v>
      </c>
    </row>
    <row r="6342" ht="22.5" customHeight="1">
      <c r="A6342" s="49"/>
      <c r="C6342" s="400">
        <v>46023.0</v>
      </c>
      <c r="D6342" s="524">
        <v>8430.0</v>
      </c>
      <c r="E6342" s="544" t="s">
        <v>569</v>
      </c>
      <c r="F6342" s="387">
        <v>1.0</v>
      </c>
      <c r="G6342" s="140">
        <v>80000.0</v>
      </c>
      <c r="H6342" s="74"/>
      <c r="I6342" s="74">
        <f t="shared" si="1"/>
        <v>80000</v>
      </c>
      <c r="J6342" s="74">
        <f>IF(E6342="SERVICE",I6342-(I6342*50%),Vlookup(E6342,DATABASE!C:Q,10,false)*F6342)</f>
        <v>0</v>
      </c>
      <c r="K6342" s="74">
        <f>VLOOKUP(E6342,DATABASE!C:Q,7,false)</f>
        <v>45439.582</v>
      </c>
      <c r="L6342" s="74">
        <v>45309.6</v>
      </c>
      <c r="M6342" s="74">
        <f t="shared" si="2"/>
        <v>50000</v>
      </c>
      <c r="N6342" s="74">
        <f t="shared" si="3"/>
        <v>30000</v>
      </c>
      <c r="O6342" s="65" t="str">
        <f>VLOOKUP(E6342,DATABASE!C:Q,8,false)</f>
        <v>BIAN</v>
      </c>
      <c r="P6342" s="65">
        <f>VLOOKUP(E6342,DATABASE!C:Q,9,False)</f>
        <v>1</v>
      </c>
      <c r="Q6342" s="93" t="str">
        <f>VLOOKUP(E6342,DATABASE!C:Q,4,false)</f>
        <v>BD</v>
      </c>
      <c r="R6342" s="93" t="str">
        <f>VLOOKUP(E6342,DATABASE!C:Q,11,false)</f>
        <v>Tire</v>
      </c>
    </row>
    <row r="6343" ht="22.5" customHeight="1">
      <c r="A6343" s="49"/>
      <c r="C6343" s="400">
        <v>46023.0</v>
      </c>
      <c r="D6343" s="69">
        <v>8431.0</v>
      </c>
      <c r="E6343" s="544" t="s">
        <v>569</v>
      </c>
      <c r="F6343" s="387">
        <v>1.0</v>
      </c>
      <c r="G6343" s="140">
        <v>80000.0</v>
      </c>
      <c r="H6343" s="74"/>
      <c r="I6343" s="74">
        <f t="shared" si="1"/>
        <v>80000</v>
      </c>
      <c r="J6343" s="74">
        <f>IF(E6343="SERVICE",I6343-(I6343*50%),Vlookup(E6343,DATABASE!C:Q,10,false)*F6343)</f>
        <v>0</v>
      </c>
      <c r="K6343" s="74">
        <f>VLOOKUP(E6343,DATABASE!C:Q,7,false)</f>
        <v>45439.582</v>
      </c>
      <c r="L6343" s="74">
        <v>45309.6</v>
      </c>
      <c r="M6343" s="74">
        <f t="shared" si="2"/>
        <v>50000</v>
      </c>
      <c r="N6343" s="74">
        <f t="shared" si="3"/>
        <v>30000</v>
      </c>
      <c r="O6343" s="65" t="str">
        <f>VLOOKUP(E6343,DATABASE!C:Q,8,false)</f>
        <v>BIAN</v>
      </c>
      <c r="P6343" s="65">
        <f>VLOOKUP(E6343,DATABASE!C:Q,9,False)</f>
        <v>1</v>
      </c>
      <c r="Q6343" s="93" t="str">
        <f>VLOOKUP(E6343,DATABASE!C:Q,4,false)</f>
        <v>BD</v>
      </c>
      <c r="R6343" s="93" t="str">
        <f>VLOOKUP(E6343,DATABASE!C:Q,11,false)</f>
        <v>Tire</v>
      </c>
    </row>
    <row r="6344" ht="22.5" customHeight="1">
      <c r="A6344" s="49"/>
      <c r="C6344" s="400">
        <v>46023.0</v>
      </c>
      <c r="D6344" s="69">
        <v>88432.0</v>
      </c>
      <c r="E6344" s="544" t="s">
        <v>268</v>
      </c>
      <c r="F6344" s="387">
        <v>2.0</v>
      </c>
      <c r="G6344" s="140">
        <v>710000.0</v>
      </c>
      <c r="H6344" s="74"/>
      <c r="I6344" s="74">
        <f t="shared" si="1"/>
        <v>1420000</v>
      </c>
      <c r="J6344" s="74">
        <f>IF(E6344="SERVICE",I6344-(I6344*50%),Vlookup(E6344,DATABASE!C:Q,10,false)*F6344)</f>
        <v>0</v>
      </c>
      <c r="K6344" s="74">
        <f>VLOOKUP(E6344,DATABASE!C:Q,7,false)</f>
        <v>653000</v>
      </c>
      <c r="L6344" s="74">
        <v>622000.0</v>
      </c>
      <c r="M6344" s="74">
        <f t="shared" si="2"/>
        <v>625000</v>
      </c>
      <c r="N6344" s="74">
        <f t="shared" si="3"/>
        <v>170000</v>
      </c>
      <c r="O6344" s="65" t="str">
        <f>VLOOKUP(E6344,DATABASE!C:Q,8,false)</f>
        <v>IBU</v>
      </c>
      <c r="P6344" s="65">
        <f>VLOOKUP(E6344,DATABASE!C:Q,9,False)</f>
        <v>1</v>
      </c>
      <c r="Q6344" s="93" t="str">
        <f>VLOOKUP(E6344,DATABASE!C:Q,4,false)</f>
        <v>Dunlop</v>
      </c>
      <c r="R6344" s="93" t="str">
        <f>VLOOKUP(E6344,DATABASE!C:Q,11,false)</f>
        <v>Tire</v>
      </c>
    </row>
    <row r="6345" ht="22.5" customHeight="1">
      <c r="A6345" s="49"/>
      <c r="C6345" s="400">
        <v>46024.0</v>
      </c>
      <c r="D6345" s="524">
        <v>8433.0</v>
      </c>
      <c r="E6345" s="544" t="s">
        <v>569</v>
      </c>
      <c r="F6345" s="387">
        <v>3.0</v>
      </c>
      <c r="G6345" s="140">
        <v>80000.0</v>
      </c>
      <c r="H6345" s="74"/>
      <c r="I6345" s="74">
        <f t="shared" si="1"/>
        <v>240000</v>
      </c>
      <c r="J6345" s="74">
        <f>IF(E6345="SERVICE",I6345-(I6345*50%),Vlookup(E6345,DATABASE!C:Q,10,false)*F6345)</f>
        <v>0</v>
      </c>
      <c r="K6345" s="74">
        <f>VLOOKUP(E6345,DATABASE!C:Q,7,false)</f>
        <v>45439.582</v>
      </c>
      <c r="L6345" s="74">
        <v>45309.6</v>
      </c>
      <c r="M6345" s="74">
        <f t="shared" si="2"/>
        <v>50000</v>
      </c>
      <c r="N6345" s="74">
        <f t="shared" si="3"/>
        <v>90000</v>
      </c>
      <c r="O6345" s="65" t="str">
        <f>VLOOKUP(E6345,DATABASE!C:Q,8,false)</f>
        <v>BIAN</v>
      </c>
      <c r="P6345" s="65">
        <f>VLOOKUP(E6345,DATABASE!C:Q,9,False)</f>
        <v>1</v>
      </c>
      <c r="Q6345" s="93" t="str">
        <f>VLOOKUP(E6345,DATABASE!C:Q,4,false)</f>
        <v>BD</v>
      </c>
      <c r="R6345" s="93" t="str">
        <f>VLOOKUP(E6345,DATABASE!C:Q,11,false)</f>
        <v>Tire</v>
      </c>
    </row>
    <row r="6346" ht="22.5" customHeight="1">
      <c r="A6346" s="49"/>
      <c r="C6346" s="400">
        <v>46024.0</v>
      </c>
      <c r="D6346" s="524">
        <v>8434.0</v>
      </c>
      <c r="E6346" s="544" t="s">
        <v>1389</v>
      </c>
      <c r="F6346" s="387">
        <v>2.0</v>
      </c>
      <c r="G6346" s="140">
        <v>1000000.0</v>
      </c>
      <c r="H6346" s="74"/>
      <c r="I6346" s="74">
        <f t="shared" si="1"/>
        <v>2000000</v>
      </c>
      <c r="J6346" s="74">
        <f>IF(E6346="SERVICE",I6346-(I6346*50%),Vlookup(E6346,DATABASE!C:Q,10,false)*F6346)</f>
        <v>0</v>
      </c>
      <c r="K6346" s="74">
        <f>VLOOKUP(E6346,DATABASE!C:Q,7,false)</f>
        <v>908000</v>
      </c>
      <c r="L6346" s="74">
        <v>897000.0</v>
      </c>
      <c r="M6346" s="74">
        <f t="shared" si="2"/>
        <v>900000</v>
      </c>
      <c r="N6346" s="74">
        <f t="shared" si="3"/>
        <v>200000</v>
      </c>
      <c r="O6346" s="65" t="str">
        <f>VLOOKUP(E6346,DATABASE!C:Q,8,false)</f>
        <v>IBU</v>
      </c>
      <c r="P6346" s="65">
        <f>VLOOKUP(E6346,DATABASE!C:Q,9,False)</f>
        <v>1</v>
      </c>
      <c r="Q6346" s="93" t="str">
        <f>VLOOKUP(E6346,DATABASE!C:Q,4,false)</f>
        <v>Dunlop</v>
      </c>
      <c r="R6346" s="93" t="str">
        <f>VLOOKUP(E6346,DATABASE!C:Q,11,false)</f>
        <v>Tire</v>
      </c>
    </row>
    <row r="6347" ht="22.5" customHeight="1">
      <c r="A6347" s="49"/>
      <c r="C6347" s="400">
        <v>46024.0</v>
      </c>
      <c r="D6347" s="524">
        <v>8435.0</v>
      </c>
      <c r="E6347" s="544" t="s">
        <v>847</v>
      </c>
      <c r="F6347" s="387">
        <v>2.0</v>
      </c>
      <c r="G6347" s="140">
        <v>775000.0</v>
      </c>
      <c r="H6347" s="74"/>
      <c r="I6347" s="74">
        <f t="shared" si="1"/>
        <v>1550000</v>
      </c>
      <c r="J6347" s="74">
        <f>IF(E6347="SERVICE",I6347-(I6347*50%),Vlookup(E6347,DATABASE!C:Q,10,false)*F6347)</f>
        <v>0</v>
      </c>
      <c r="K6347" s="74">
        <f>VLOOKUP(E6347,DATABASE!C:Q,7,false)</f>
        <v>718080</v>
      </c>
      <c r="L6347" s="74">
        <v>672210.0</v>
      </c>
      <c r="M6347" s="74">
        <f t="shared" si="2"/>
        <v>675000</v>
      </c>
      <c r="N6347" s="74">
        <f t="shared" si="3"/>
        <v>200000</v>
      </c>
      <c r="O6347" s="65" t="str">
        <f>VLOOKUP(E6347,DATABASE!C:Q,8,false)</f>
        <v>BIAN</v>
      </c>
      <c r="P6347" s="65">
        <f>VLOOKUP(E6347,DATABASE!C:Q,9,False)</f>
        <v>1</v>
      </c>
      <c r="Q6347" s="93" t="str">
        <f>VLOOKUP(E6347,DATABASE!C:Q,4,false)</f>
        <v>GT</v>
      </c>
      <c r="R6347" s="93" t="str">
        <f>VLOOKUP(E6347,DATABASE!C:Q,11,false)</f>
        <v>Tire</v>
      </c>
    </row>
    <row r="6348" ht="22.5" customHeight="1">
      <c r="A6348" s="49"/>
      <c r="C6348" s="400">
        <v>46024.0</v>
      </c>
      <c r="D6348" s="524">
        <v>8435.0</v>
      </c>
      <c r="E6348" s="544" t="s">
        <v>299</v>
      </c>
      <c r="F6348" s="387">
        <v>2.0</v>
      </c>
      <c r="G6348" s="140">
        <v>30000.0</v>
      </c>
      <c r="H6348" s="74"/>
      <c r="I6348" s="74">
        <f t="shared" si="1"/>
        <v>60000</v>
      </c>
      <c r="J6348" s="74">
        <f>IF(E6348="SERVICE",I6348-(I6348*50%),Vlookup(E6348,DATABASE!C:Q,10,false)*F6348)</f>
        <v>0</v>
      </c>
      <c r="K6348" s="74">
        <f>VLOOKUP(E6348,DATABASE!C:Q,7,false)</f>
        <v>10000</v>
      </c>
      <c r="L6348" s="74">
        <v>5000.0</v>
      </c>
      <c r="M6348" s="74">
        <f t="shared" si="2"/>
        <v>5000</v>
      </c>
      <c r="N6348" s="74">
        <f t="shared" si="3"/>
        <v>50000</v>
      </c>
      <c r="O6348" s="65" t="str">
        <f>VLOOKUP(E6348,DATABASE!C:Q,8,false)</f>
        <v>BIAN</v>
      </c>
      <c r="P6348" s="65">
        <f>VLOOKUP(E6348,DATABASE!C:Q,9,False)</f>
        <v>0</v>
      </c>
      <c r="Q6348" s="93" t="str">
        <f>VLOOKUP(E6348,DATABASE!C:Q,4,false)</f>
        <v>Balancing</v>
      </c>
      <c r="R6348" s="93" t="str">
        <f>VLOOKUP(E6348,DATABASE!C:Q,11,false)</f>
        <v>COMPLEMENTARY</v>
      </c>
    </row>
    <row r="6349" ht="22.5" customHeight="1">
      <c r="A6349" s="49"/>
      <c r="C6349" s="400">
        <v>46024.0</v>
      </c>
      <c r="D6349" s="524">
        <v>8435.0</v>
      </c>
      <c r="E6349" s="544" t="s">
        <v>256</v>
      </c>
      <c r="F6349" s="387">
        <v>1.0</v>
      </c>
      <c r="G6349" s="140">
        <v>150000.0</v>
      </c>
      <c r="H6349" s="140">
        <v>20000.0</v>
      </c>
      <c r="I6349" s="74">
        <f t="shared" si="1"/>
        <v>130000</v>
      </c>
      <c r="J6349" s="74">
        <f>IF(E6349="SERVICE",I6349-(I6349*50%),Vlookup(E6349,DATABASE!C:Q,10,false)*F6349)</f>
        <v>10000</v>
      </c>
      <c r="K6349" s="74">
        <f>VLOOKUP(E6349,DATABASE!C:Q,7,false)</f>
        <v>0</v>
      </c>
      <c r="L6349" s="74">
        <v>0.0</v>
      </c>
      <c r="M6349" s="74">
        <f t="shared" si="2"/>
        <v>0</v>
      </c>
      <c r="N6349" s="74">
        <f t="shared" si="3"/>
        <v>120000</v>
      </c>
      <c r="O6349" s="65" t="str">
        <f>VLOOKUP(E6349,DATABASE!C:Q,8,false)</f>
        <v>IBU</v>
      </c>
      <c r="P6349" s="65">
        <f>VLOOKUP(E6349,DATABASE!C:Q,9,False)</f>
        <v>0</v>
      </c>
      <c r="Q6349" s="93" t="str">
        <f>VLOOKUP(E6349,DATABASE!C:Q,4,false)</f>
        <v>SPOORING</v>
      </c>
      <c r="R6349" s="93" t="str">
        <f>VLOOKUP(E6349,DATABASE!C:Q,11,false)</f>
        <v>SERVICE</v>
      </c>
    </row>
    <row r="6350" ht="22.5" customHeight="1">
      <c r="A6350" s="49"/>
      <c r="C6350" s="400">
        <v>46024.0</v>
      </c>
      <c r="D6350" s="524">
        <v>8435.0</v>
      </c>
      <c r="E6350" s="544" t="s">
        <v>301</v>
      </c>
      <c r="F6350" s="387">
        <v>1.0</v>
      </c>
      <c r="G6350" s="140">
        <v>250000.0</v>
      </c>
      <c r="H6350" s="74"/>
      <c r="I6350" s="74">
        <f t="shared" si="1"/>
        <v>250000</v>
      </c>
      <c r="J6350" s="74">
        <f>IF(E6350="SERVICE",I6350-(I6350*50%),Vlookup(E6350,DATABASE!C:Q,10,false)*F6350)</f>
        <v>75000</v>
      </c>
      <c r="K6350" s="74">
        <f>VLOOKUP(E6350,DATABASE!C:Q,7,false)</f>
        <v>75000</v>
      </c>
      <c r="L6350" s="74">
        <v>75000.0</v>
      </c>
      <c r="M6350" s="74">
        <f t="shared" si="2"/>
        <v>75000</v>
      </c>
      <c r="N6350" s="74">
        <f t="shared" si="3"/>
        <v>100000</v>
      </c>
      <c r="O6350" s="65" t="str">
        <f>VLOOKUP(E6350,DATABASE!C:Q,8,false)</f>
        <v>BIAN</v>
      </c>
      <c r="P6350" s="65">
        <f>VLOOKUP(E6350,DATABASE!C:Q,9,False)</f>
        <v>0</v>
      </c>
      <c r="Q6350" s="93" t="str">
        <f>VLOOKUP(E6350,DATABASE!C:Q,4,false)</f>
        <v>Baut Camber</v>
      </c>
      <c r="R6350" s="93" t="str">
        <f>VLOOKUP(E6350,DATABASE!C:Q,11,false)</f>
        <v>COMPLEMENTARY</v>
      </c>
    </row>
    <row r="6351" ht="22.5" customHeight="1">
      <c r="A6351" s="49"/>
      <c r="C6351" s="400">
        <v>46024.0</v>
      </c>
      <c r="D6351" s="524">
        <v>8436.0</v>
      </c>
      <c r="E6351" s="544" t="s">
        <v>288</v>
      </c>
      <c r="F6351" s="387">
        <v>4.0</v>
      </c>
      <c r="G6351" s="140">
        <v>620000.0</v>
      </c>
      <c r="H6351" s="74"/>
      <c r="I6351" s="74">
        <f t="shared" si="1"/>
        <v>2480000</v>
      </c>
      <c r="J6351" s="74">
        <f>IF(E6351="SERVICE",I6351-(I6351*50%),Vlookup(E6351,DATABASE!C:Q,10,false)*F6351)</f>
        <v>0</v>
      </c>
      <c r="K6351" s="74">
        <f>VLOOKUP(E6351,DATABASE!C:Q,7,false)</f>
        <v>565760</v>
      </c>
      <c r="L6351" s="74">
        <v>524800.0</v>
      </c>
      <c r="M6351" s="74">
        <f t="shared" si="2"/>
        <v>525000</v>
      </c>
      <c r="N6351" s="74">
        <f t="shared" si="3"/>
        <v>380000</v>
      </c>
      <c r="O6351" s="65" t="str">
        <f>VLOOKUP(E6351,DATABASE!C:Q,8,false)</f>
        <v>BIAN</v>
      </c>
      <c r="P6351" s="65">
        <f>VLOOKUP(E6351,DATABASE!C:Q,9,False)</f>
        <v>1</v>
      </c>
      <c r="Q6351" s="93" t="str">
        <f>VLOOKUP(E6351,DATABASE!C:Q,4,false)</f>
        <v>GT</v>
      </c>
      <c r="R6351" s="93" t="str">
        <f>VLOOKUP(E6351,DATABASE!C:Q,11,false)</f>
        <v>Tire</v>
      </c>
    </row>
    <row r="6352" ht="22.5" customHeight="1">
      <c r="A6352" s="49"/>
      <c r="C6352" s="400">
        <v>46024.0</v>
      </c>
      <c r="D6352" s="524">
        <v>8436.0</v>
      </c>
      <c r="E6352" s="544" t="s">
        <v>299</v>
      </c>
      <c r="F6352" s="387">
        <v>2.0</v>
      </c>
      <c r="G6352" s="140">
        <v>30000.0</v>
      </c>
      <c r="H6352" s="74"/>
      <c r="I6352" s="74">
        <f t="shared" si="1"/>
        <v>60000</v>
      </c>
      <c r="J6352" s="74">
        <f>IF(E6352="SERVICE",I6352-(I6352*50%),Vlookup(E6352,DATABASE!C:Q,10,false)*F6352)</f>
        <v>0</v>
      </c>
      <c r="K6352" s="74">
        <f>VLOOKUP(E6352,DATABASE!C:Q,7,false)</f>
        <v>10000</v>
      </c>
      <c r="L6352" s="74">
        <v>5000.0</v>
      </c>
      <c r="M6352" s="74">
        <f t="shared" si="2"/>
        <v>5000</v>
      </c>
      <c r="N6352" s="74">
        <f t="shared" si="3"/>
        <v>50000</v>
      </c>
      <c r="O6352" s="65" t="str">
        <f>VLOOKUP(E6352,DATABASE!C:Q,8,false)</f>
        <v>BIAN</v>
      </c>
      <c r="P6352" s="65">
        <f>VLOOKUP(E6352,DATABASE!C:Q,9,False)</f>
        <v>0</v>
      </c>
      <c r="Q6352" s="93" t="str">
        <f>VLOOKUP(E6352,DATABASE!C:Q,4,false)</f>
        <v>Balancing</v>
      </c>
      <c r="R6352" s="93" t="str">
        <f>VLOOKUP(E6352,DATABASE!C:Q,11,false)</f>
        <v>COMPLEMENTARY</v>
      </c>
    </row>
    <row r="6353" ht="22.5" customHeight="1">
      <c r="A6353" s="49"/>
      <c r="C6353" s="400">
        <v>46024.0</v>
      </c>
      <c r="D6353" s="524">
        <v>8436.0</v>
      </c>
      <c r="E6353" s="544" t="s">
        <v>256</v>
      </c>
      <c r="F6353" s="387">
        <v>1.0</v>
      </c>
      <c r="G6353" s="140">
        <v>150000.0</v>
      </c>
      <c r="H6353" s="140">
        <v>20000.0</v>
      </c>
      <c r="I6353" s="74">
        <f t="shared" si="1"/>
        <v>130000</v>
      </c>
      <c r="J6353" s="74">
        <f>IF(E6353="SERVICE",I6353-(I6353*50%),Vlookup(E6353,DATABASE!C:Q,10,false)*F6353)</f>
        <v>10000</v>
      </c>
      <c r="K6353" s="74">
        <f>VLOOKUP(E6353,DATABASE!C:Q,7,false)</f>
        <v>0</v>
      </c>
      <c r="L6353" s="74">
        <v>0.0</v>
      </c>
      <c r="M6353" s="74">
        <f t="shared" si="2"/>
        <v>0</v>
      </c>
      <c r="N6353" s="74">
        <f t="shared" si="3"/>
        <v>120000</v>
      </c>
      <c r="O6353" s="65" t="str">
        <f>VLOOKUP(E6353,DATABASE!C:Q,8,false)</f>
        <v>IBU</v>
      </c>
      <c r="P6353" s="65">
        <f>VLOOKUP(E6353,DATABASE!C:Q,9,False)</f>
        <v>0</v>
      </c>
      <c r="Q6353" s="93" t="str">
        <f>VLOOKUP(E6353,DATABASE!C:Q,4,false)</f>
        <v>SPOORING</v>
      </c>
      <c r="R6353" s="93" t="str">
        <f>VLOOKUP(E6353,DATABASE!C:Q,11,false)</f>
        <v>SERVICE</v>
      </c>
    </row>
    <row r="6354" ht="22.5" customHeight="1">
      <c r="A6354" s="49"/>
      <c r="C6354" s="400">
        <v>46024.0</v>
      </c>
      <c r="D6354" s="524">
        <v>8436.0</v>
      </c>
      <c r="E6354" s="544" t="s">
        <v>301</v>
      </c>
      <c r="F6354" s="387">
        <v>1.0</v>
      </c>
      <c r="G6354" s="140">
        <v>250000.0</v>
      </c>
      <c r="H6354" s="74"/>
      <c r="I6354" s="74">
        <f t="shared" si="1"/>
        <v>250000</v>
      </c>
      <c r="J6354" s="74">
        <f>IF(E6354="SERVICE",I6354-(I6354*50%),Vlookup(E6354,DATABASE!C:Q,10,false)*F6354)</f>
        <v>75000</v>
      </c>
      <c r="K6354" s="74">
        <f>VLOOKUP(E6354,DATABASE!C:Q,7,false)</f>
        <v>75000</v>
      </c>
      <c r="L6354" s="74">
        <v>75000.0</v>
      </c>
      <c r="M6354" s="74">
        <f t="shared" si="2"/>
        <v>75000</v>
      </c>
      <c r="N6354" s="74">
        <f t="shared" si="3"/>
        <v>100000</v>
      </c>
      <c r="O6354" s="65" t="str">
        <f>VLOOKUP(E6354,DATABASE!C:Q,8,false)</f>
        <v>BIAN</v>
      </c>
      <c r="P6354" s="65">
        <f>VLOOKUP(E6354,DATABASE!C:Q,9,False)</f>
        <v>0</v>
      </c>
      <c r="Q6354" s="93" t="str">
        <f>VLOOKUP(E6354,DATABASE!C:Q,4,false)</f>
        <v>Baut Camber</v>
      </c>
      <c r="R6354" s="93" t="str">
        <f>VLOOKUP(E6354,DATABASE!C:Q,11,false)</f>
        <v>COMPLEMENTARY</v>
      </c>
    </row>
    <row r="6355" ht="22.5" customHeight="1">
      <c r="A6355" s="49"/>
      <c r="C6355" s="400">
        <v>46024.0</v>
      </c>
      <c r="D6355" s="524">
        <v>8437.0</v>
      </c>
      <c r="E6355" s="544" t="s">
        <v>403</v>
      </c>
      <c r="F6355" s="387">
        <v>2.0</v>
      </c>
      <c r="G6355" s="140">
        <v>2260000.0</v>
      </c>
      <c r="H6355" s="74"/>
      <c r="I6355" s="74">
        <f t="shared" si="1"/>
        <v>4520000</v>
      </c>
      <c r="J6355" s="74">
        <f>IF(E6355="SERVICE",I6355-(I6355*50%),Vlookup(E6355,DATABASE!C:Q,10,false)*F6355)</f>
        <v>0</v>
      </c>
      <c r="K6355" s="74">
        <f>VLOOKUP(E6355,DATABASE!C:Q,7,false)</f>
        <v>2160000</v>
      </c>
      <c r="L6355" s="74">
        <v>2160000.0</v>
      </c>
      <c r="M6355" s="74">
        <f t="shared" si="2"/>
        <v>2160000</v>
      </c>
      <c r="N6355" s="74">
        <f t="shared" si="3"/>
        <v>200000</v>
      </c>
      <c r="O6355" s="65" t="str">
        <f>VLOOKUP(E6355,DATABASE!C:Q,8,false)</f>
        <v>BIAN</v>
      </c>
      <c r="P6355" s="65">
        <f>VLOOKUP(E6355,DATABASE!C:Q,9,False)</f>
        <v>1</v>
      </c>
      <c r="Q6355" s="93" t="str">
        <f>VLOOKUP(E6355,DATABASE!C:Q,4,false)</f>
        <v>Advance</v>
      </c>
      <c r="R6355" s="93" t="str">
        <f>VLOOKUP(E6355,DATABASE!C:Q,11,false)</f>
        <v>Tire</v>
      </c>
    </row>
    <row r="6356" ht="22.5" customHeight="1">
      <c r="A6356" s="49"/>
      <c r="C6356" s="400">
        <v>46024.0</v>
      </c>
      <c r="D6356" s="524">
        <v>8438.0</v>
      </c>
      <c r="E6356" s="544" t="s">
        <v>581</v>
      </c>
      <c r="F6356" s="387">
        <v>2.0</v>
      </c>
      <c r="G6356" s="140">
        <v>670000.0</v>
      </c>
      <c r="H6356" s="140">
        <v>45000.0</v>
      </c>
      <c r="I6356" s="74">
        <f t="shared" si="1"/>
        <v>1250000</v>
      </c>
      <c r="J6356" s="74">
        <f>IF(E6356="SERVICE",I6356-(I6356*50%),Vlookup(E6356,DATABASE!C:Q,10,false)*F6356)</f>
        <v>0</v>
      </c>
      <c r="K6356" s="74">
        <f>VLOOKUP(E6356,DATABASE!C:Q,7,false)</f>
        <v>542528</v>
      </c>
      <c r="L6356" s="74">
        <v>531715.5</v>
      </c>
      <c r="M6356" s="74">
        <f t="shared" si="2"/>
        <v>535000</v>
      </c>
      <c r="N6356" s="74">
        <f t="shared" si="3"/>
        <v>180000</v>
      </c>
      <c r="O6356" s="65" t="str">
        <f>VLOOKUP(E6356,DATABASE!C:Q,8,false)</f>
        <v>IBU</v>
      </c>
      <c r="P6356" s="65">
        <f>VLOOKUP(E6356,DATABASE!C:Q,9,False)</f>
        <v>1</v>
      </c>
      <c r="Q6356" s="93" t="str">
        <f>VLOOKUP(E6356,DATABASE!C:Q,4,false)</f>
        <v>Bridgestone</v>
      </c>
      <c r="R6356" s="93" t="str">
        <f>VLOOKUP(E6356,DATABASE!C:Q,11,false)</f>
        <v>Tire</v>
      </c>
    </row>
    <row r="6357" ht="22.5" customHeight="1">
      <c r="A6357" s="49"/>
      <c r="C6357" s="400">
        <v>46024.0</v>
      </c>
      <c r="D6357" s="524">
        <v>8439.0</v>
      </c>
      <c r="E6357" s="544" t="s">
        <v>262</v>
      </c>
      <c r="F6357" s="387">
        <v>1.0</v>
      </c>
      <c r="G6357" s="140">
        <v>110000.0</v>
      </c>
      <c r="H6357" s="74"/>
      <c r="I6357" s="74">
        <f t="shared" si="1"/>
        <v>110000</v>
      </c>
      <c r="J6357" s="74">
        <f>IF(E6357="SERVICE",I6357-(I6357*50%),Vlookup(E6357,DATABASE!C:Q,10,false)*F6357)</f>
        <v>5000</v>
      </c>
      <c r="K6357" s="74">
        <f>VLOOKUP(E6357,DATABASE!C:Q,7,false)</f>
        <v>0</v>
      </c>
      <c r="L6357" s="74">
        <v>0.0</v>
      </c>
      <c r="M6357" s="74">
        <f t="shared" si="2"/>
        <v>0</v>
      </c>
      <c r="N6357" s="74">
        <f t="shared" si="3"/>
        <v>105000</v>
      </c>
      <c r="O6357" s="65" t="str">
        <f>VLOOKUP(E6357,DATABASE!C:Q,8,false)</f>
        <v>IBU</v>
      </c>
      <c r="P6357" s="65">
        <f>VLOOKUP(E6357,DATABASE!C:Q,9,False)</f>
        <v>0</v>
      </c>
      <c r="Q6357" s="93" t="str">
        <f>VLOOKUP(E6357,DATABASE!C:Q,4,false)</f>
        <v>SPOORING SS/CARRY LOS BAK</v>
      </c>
      <c r="R6357" s="93" t="str">
        <f>VLOOKUP(E6357,DATABASE!C:Q,11,false)</f>
        <v>SERVICE</v>
      </c>
    </row>
    <row r="6358" ht="22.5" customHeight="1">
      <c r="A6358" s="49"/>
      <c r="C6358" s="400">
        <v>46024.0</v>
      </c>
      <c r="D6358" s="524">
        <v>8439.0</v>
      </c>
      <c r="E6358" s="544" t="s">
        <v>251</v>
      </c>
      <c r="F6358" s="387">
        <v>1.0</v>
      </c>
      <c r="G6358" s="140">
        <v>350000.0</v>
      </c>
      <c r="H6358" s="140">
        <v>230000.0</v>
      </c>
      <c r="I6358" s="74">
        <f t="shared" si="1"/>
        <v>120000</v>
      </c>
      <c r="J6358" s="74">
        <f>IF(E6358="SERVICE",I6358-(I6358*50%),Vlookup(E6358,DATABASE!C:Q,10,false)*F6358)</f>
        <v>60000</v>
      </c>
      <c r="K6358" s="74">
        <f>VLOOKUP(E6358,DATABASE!C:Q,7,false)</f>
        <v>0</v>
      </c>
      <c r="L6358" s="74">
        <v>0.0</v>
      </c>
      <c r="M6358" s="74">
        <f t="shared" si="2"/>
        <v>0</v>
      </c>
      <c r="N6358" s="74">
        <f t="shared" si="3"/>
        <v>60000</v>
      </c>
      <c r="O6358" s="65" t="str">
        <f>VLOOKUP(E6358,DATABASE!C:Q,8,false)</f>
        <v>IBU</v>
      </c>
      <c r="P6358" s="65">
        <f>VLOOKUP(E6358,DATABASE!C:Q,9,False)</f>
        <v>0</v>
      </c>
      <c r="Q6358" s="93" t="str">
        <f>VLOOKUP(E6358,DATABASE!C:Q,4,false)</f>
        <v>SERVICE</v>
      </c>
      <c r="R6358" s="93" t="str">
        <f>VLOOKUP(E6358,DATABASE!C:Q,11,false)</f>
        <v>SERVICE</v>
      </c>
    </row>
    <row r="6359" ht="22.5" customHeight="1">
      <c r="A6359" s="49"/>
      <c r="C6359" s="400">
        <v>46024.0</v>
      </c>
      <c r="D6359" s="524">
        <v>8440.0</v>
      </c>
      <c r="E6359" s="544" t="s">
        <v>265</v>
      </c>
      <c r="F6359" s="387">
        <v>2.0</v>
      </c>
      <c r="G6359" s="140">
        <v>685000.0</v>
      </c>
      <c r="H6359" s="140">
        <v>5000.0</v>
      </c>
      <c r="I6359" s="74">
        <f t="shared" si="1"/>
        <v>1360000</v>
      </c>
      <c r="J6359" s="74">
        <f>IF(E6359="SERVICE",I6359-(I6359*50%),Vlookup(E6359,DATABASE!C:Q,10,false)*F6359)</f>
        <v>0</v>
      </c>
      <c r="K6359" s="74">
        <f>VLOOKUP(E6359,DATABASE!C:Q,7,false)</f>
        <v>628000</v>
      </c>
      <c r="L6359" s="74">
        <v>600000.0</v>
      </c>
      <c r="M6359" s="74">
        <f t="shared" si="2"/>
        <v>600000</v>
      </c>
      <c r="N6359" s="74">
        <f t="shared" si="3"/>
        <v>160000</v>
      </c>
      <c r="O6359" s="65" t="str">
        <f>VLOOKUP(E6359,DATABASE!C:Q,8,false)</f>
        <v>IBU</v>
      </c>
      <c r="P6359" s="65">
        <f>VLOOKUP(E6359,DATABASE!C:Q,9,False)</f>
        <v>1</v>
      </c>
      <c r="Q6359" s="93" t="str">
        <f>VLOOKUP(E6359,DATABASE!C:Q,4,false)</f>
        <v>Dunlop</v>
      </c>
      <c r="R6359" s="93" t="str">
        <f>VLOOKUP(E6359,DATABASE!C:Q,11,false)</f>
        <v>Tire</v>
      </c>
    </row>
    <row r="6360" ht="22.5" customHeight="1">
      <c r="A6360" s="49"/>
      <c r="C6360" s="400">
        <v>46024.0</v>
      </c>
      <c r="D6360" s="524">
        <v>8441.0</v>
      </c>
      <c r="E6360" s="544" t="s">
        <v>295</v>
      </c>
      <c r="F6360" s="387">
        <v>2.0</v>
      </c>
      <c r="G6360" s="140">
        <v>1525000.0</v>
      </c>
      <c r="H6360" s="140">
        <v>20000.0</v>
      </c>
      <c r="I6360" s="74">
        <f t="shared" si="1"/>
        <v>3010000</v>
      </c>
      <c r="J6360" s="74">
        <f>IF(E6360="SERVICE",I6360-(I6360*50%),Vlookup(E6360,DATABASE!C:Q,10,false)*F6360)</f>
        <v>0</v>
      </c>
      <c r="K6360" s="74">
        <f>VLOOKUP(E6360,DATABASE!C:Q,7,false)</f>
        <v>1475000</v>
      </c>
      <c r="L6360" s="74">
        <v>1425000.0</v>
      </c>
      <c r="M6360" s="74">
        <f t="shared" si="2"/>
        <v>1425000</v>
      </c>
      <c r="N6360" s="74">
        <f t="shared" si="3"/>
        <v>160000</v>
      </c>
      <c r="O6360" s="65" t="str">
        <f>VLOOKUP(E6360,DATABASE!C:Q,8,false)</f>
        <v>BIAN</v>
      </c>
      <c r="P6360" s="65">
        <f>VLOOKUP(E6360,DATABASE!C:Q,9,False)</f>
        <v>1</v>
      </c>
      <c r="Q6360" s="93" t="str">
        <f>VLOOKUP(E6360,DATABASE!C:Q,4,false)</f>
        <v>TIRON</v>
      </c>
      <c r="R6360" s="93" t="str">
        <f>VLOOKUP(E6360,DATABASE!C:Q,11,false)</f>
        <v>Tire</v>
      </c>
    </row>
    <row r="6361" ht="22.5" customHeight="1">
      <c r="A6361" s="49"/>
      <c r="C6361" s="400">
        <v>46024.0</v>
      </c>
      <c r="D6361" s="524">
        <v>8441.0</v>
      </c>
      <c r="E6361" s="544" t="s">
        <v>924</v>
      </c>
      <c r="F6361" s="387">
        <v>2.0</v>
      </c>
      <c r="G6361" s="140">
        <v>1650000.0</v>
      </c>
      <c r="H6361" s="140">
        <v>20000.0</v>
      </c>
      <c r="I6361" s="74">
        <f t="shared" si="1"/>
        <v>3260000</v>
      </c>
      <c r="J6361" s="74">
        <f>IF(E6361="SERVICE",I6361-(I6361*50%),Vlookup(E6361,DATABASE!C:Q,10,false)*F6361)</f>
        <v>0</v>
      </c>
      <c r="K6361" s="74">
        <f>VLOOKUP(E6361,DATABASE!C:Q,7,false)</f>
        <v>1560000</v>
      </c>
      <c r="L6361" s="74">
        <v>1545000.0</v>
      </c>
      <c r="M6361" s="74">
        <f t="shared" si="2"/>
        <v>1545000</v>
      </c>
      <c r="N6361" s="74">
        <f t="shared" si="3"/>
        <v>170000</v>
      </c>
      <c r="O6361" s="65" t="str">
        <f>VLOOKUP(E6361,DATABASE!C:Q,8,false)</f>
        <v>BIAN</v>
      </c>
      <c r="P6361" s="65">
        <f>VLOOKUP(E6361,DATABASE!C:Q,9,False)</f>
        <v>1</v>
      </c>
      <c r="Q6361" s="93" t="str">
        <f>VLOOKUP(E6361,DATABASE!C:Q,4,false)</f>
        <v>TIRON</v>
      </c>
      <c r="R6361" s="93" t="str">
        <f>VLOOKUP(E6361,DATABASE!C:Q,11,false)</f>
        <v>Tire</v>
      </c>
    </row>
    <row r="6362" ht="22.5" customHeight="1">
      <c r="A6362" s="49"/>
      <c r="C6362" s="400">
        <v>46024.0</v>
      </c>
      <c r="D6362" s="524">
        <v>8441.0</v>
      </c>
      <c r="E6362" s="544" t="s">
        <v>286</v>
      </c>
      <c r="F6362" s="387">
        <v>2.0</v>
      </c>
      <c r="G6362" s="140">
        <v>560000.0</v>
      </c>
      <c r="H6362" s="140">
        <v>10000.0</v>
      </c>
      <c r="I6362" s="74">
        <f t="shared" si="1"/>
        <v>1100000</v>
      </c>
      <c r="J6362" s="74">
        <f>IF(E6362="SERVICE",I6362-(I6362*50%),Vlookup(E6362,DATABASE!C:Q,10,false)*F6362)</f>
        <v>0</v>
      </c>
      <c r="K6362" s="74">
        <f>VLOOKUP(E6362,DATABASE!C:Q,7,false)</f>
        <v>488320</v>
      </c>
      <c r="L6362" s="74">
        <v>452970.0</v>
      </c>
      <c r="M6362" s="74">
        <f t="shared" si="2"/>
        <v>455000</v>
      </c>
      <c r="N6362" s="74">
        <f t="shared" si="3"/>
        <v>190000</v>
      </c>
      <c r="O6362" s="65" t="str">
        <f>VLOOKUP(E6362,DATABASE!C:Q,8,false)</f>
        <v>BIAN</v>
      </c>
      <c r="P6362" s="65">
        <f>VLOOKUP(E6362,DATABASE!C:Q,9,False)</f>
        <v>1</v>
      </c>
      <c r="Q6362" s="93" t="str">
        <f>VLOOKUP(E6362,DATABASE!C:Q,4,false)</f>
        <v>GT</v>
      </c>
      <c r="R6362" s="93" t="str">
        <f>VLOOKUP(E6362,DATABASE!C:Q,11,false)</f>
        <v>Tire</v>
      </c>
    </row>
    <row r="6363" ht="22.5" customHeight="1">
      <c r="A6363" s="49"/>
      <c r="C6363" s="400">
        <v>46024.0</v>
      </c>
      <c r="D6363" s="524">
        <v>8442.0</v>
      </c>
      <c r="E6363" s="544" t="s">
        <v>1858</v>
      </c>
      <c r="F6363" s="387">
        <v>2.0</v>
      </c>
      <c r="G6363" s="140">
        <v>2130000.0</v>
      </c>
      <c r="H6363" s="140">
        <v>10000.0</v>
      </c>
      <c r="I6363" s="74">
        <f t="shared" si="1"/>
        <v>4240000</v>
      </c>
      <c r="J6363" s="74">
        <f>IF(E6363="SERVICE",I6363-(I6363*50%),Vlookup(E6363,DATABASE!C:Q,10,false)*F6363)</f>
        <v>0</v>
      </c>
      <c r="K6363" s="74">
        <f>VLOOKUP(E6363,DATABASE!C:Q,7,false)</f>
        <v>2030000</v>
      </c>
      <c r="L6363" s="74">
        <v>2030000.0</v>
      </c>
      <c r="M6363" s="74">
        <f t="shared" si="2"/>
        <v>2030000</v>
      </c>
      <c r="N6363" s="74">
        <f t="shared" si="3"/>
        <v>180000</v>
      </c>
      <c r="O6363" s="65" t="str">
        <f>VLOOKUP(E6363,DATABASE!C:Q,8,false)</f>
        <v>BIAN</v>
      </c>
      <c r="P6363" s="65">
        <f>VLOOKUP(E6363,DATABASE!C:Q,9,False)</f>
        <v>1</v>
      </c>
      <c r="Q6363" s="93" t="str">
        <f>VLOOKUP(E6363,DATABASE!C:Q,4,false)</f>
        <v>GiTi</v>
      </c>
      <c r="R6363" s="93" t="str">
        <f>VLOOKUP(E6363,DATABASE!C:Q,11,false)</f>
        <v>Tire</v>
      </c>
    </row>
    <row r="6364" ht="22.5" customHeight="1">
      <c r="A6364" s="49"/>
      <c r="C6364" s="400">
        <v>46024.0</v>
      </c>
      <c r="D6364" s="524">
        <v>8443.0</v>
      </c>
      <c r="E6364" s="544" t="s">
        <v>256</v>
      </c>
      <c r="F6364" s="387">
        <v>1.0</v>
      </c>
      <c r="G6364" s="140">
        <v>150000.0</v>
      </c>
      <c r="H6364" s="140">
        <v>20000.0</v>
      </c>
      <c r="I6364" s="74">
        <f t="shared" si="1"/>
        <v>130000</v>
      </c>
      <c r="J6364" s="74">
        <f>IF(E6364="SERVICE",I6364-(I6364*50%),Vlookup(E6364,DATABASE!C:Q,10,false)*F6364)</f>
        <v>10000</v>
      </c>
      <c r="K6364" s="74">
        <f>VLOOKUP(E6364,DATABASE!C:Q,7,false)</f>
        <v>0</v>
      </c>
      <c r="L6364" s="74">
        <v>0.0</v>
      </c>
      <c r="M6364" s="74">
        <f t="shared" si="2"/>
        <v>0</v>
      </c>
      <c r="N6364" s="74">
        <f t="shared" si="3"/>
        <v>120000</v>
      </c>
      <c r="O6364" s="65" t="str">
        <f>VLOOKUP(E6364,DATABASE!C:Q,8,false)</f>
        <v>IBU</v>
      </c>
      <c r="P6364" s="65">
        <f>VLOOKUP(E6364,DATABASE!C:Q,9,False)</f>
        <v>0</v>
      </c>
      <c r="Q6364" s="93" t="str">
        <f>VLOOKUP(E6364,DATABASE!C:Q,4,false)</f>
        <v>SPOORING</v>
      </c>
      <c r="R6364" s="93" t="str">
        <f>VLOOKUP(E6364,DATABASE!C:Q,11,false)</f>
        <v>SERVICE</v>
      </c>
    </row>
    <row r="6365" ht="22.5" customHeight="1">
      <c r="A6365" s="49"/>
      <c r="C6365" s="400">
        <v>46024.0</v>
      </c>
      <c r="D6365" s="524">
        <v>8443.0</v>
      </c>
      <c r="E6365" s="544" t="s">
        <v>299</v>
      </c>
      <c r="F6365" s="387">
        <v>2.0</v>
      </c>
      <c r="G6365" s="140">
        <v>30000.0</v>
      </c>
      <c r="H6365" s="74"/>
      <c r="I6365" s="74">
        <f t="shared" si="1"/>
        <v>60000</v>
      </c>
      <c r="J6365" s="74">
        <f>IF(E6365="SERVICE",I6365-(I6365*50%),Vlookup(E6365,DATABASE!C:Q,10,false)*F6365)</f>
        <v>0</v>
      </c>
      <c r="K6365" s="74">
        <f>VLOOKUP(E6365,DATABASE!C:Q,7,false)</f>
        <v>10000</v>
      </c>
      <c r="L6365" s="74">
        <v>5000.0</v>
      </c>
      <c r="M6365" s="74">
        <f t="shared" si="2"/>
        <v>5000</v>
      </c>
      <c r="N6365" s="74">
        <f t="shared" si="3"/>
        <v>50000</v>
      </c>
      <c r="O6365" s="65" t="str">
        <f>VLOOKUP(E6365,DATABASE!C:Q,8,false)</f>
        <v>BIAN</v>
      </c>
      <c r="P6365" s="65">
        <f>VLOOKUP(E6365,DATABASE!C:Q,9,False)</f>
        <v>0</v>
      </c>
      <c r="Q6365" s="93" t="str">
        <f>VLOOKUP(E6365,DATABASE!C:Q,4,false)</f>
        <v>Balancing</v>
      </c>
      <c r="R6365" s="93" t="str">
        <f>VLOOKUP(E6365,DATABASE!C:Q,11,false)</f>
        <v>COMPLEMENTARY</v>
      </c>
    </row>
    <row r="6366" ht="22.5" customHeight="1">
      <c r="A6366" s="49"/>
      <c r="C6366" s="400">
        <v>46024.0</v>
      </c>
      <c r="D6366" s="524">
        <v>8443.0</v>
      </c>
      <c r="E6366" s="544" t="s">
        <v>251</v>
      </c>
      <c r="F6366" s="387">
        <v>1.0</v>
      </c>
      <c r="G6366" s="140">
        <v>350000.0</v>
      </c>
      <c r="H6366" s="140">
        <v>200000.0</v>
      </c>
      <c r="I6366" s="74">
        <f t="shared" si="1"/>
        <v>150000</v>
      </c>
      <c r="J6366" s="74">
        <f>IF(E6366="SERVICE",I6366-(I6366*50%),Vlookup(E6366,DATABASE!C:Q,10,false)*F6366)</f>
        <v>75000</v>
      </c>
      <c r="K6366" s="74">
        <f>VLOOKUP(E6366,DATABASE!C:Q,7,false)</f>
        <v>0</v>
      </c>
      <c r="L6366" s="74">
        <v>0.0</v>
      </c>
      <c r="M6366" s="74">
        <f t="shared" si="2"/>
        <v>0</v>
      </c>
      <c r="N6366" s="74">
        <f t="shared" si="3"/>
        <v>75000</v>
      </c>
      <c r="O6366" s="65" t="str">
        <f>VLOOKUP(E6366,DATABASE!C:Q,8,false)</f>
        <v>IBU</v>
      </c>
      <c r="P6366" s="65">
        <f>VLOOKUP(E6366,DATABASE!C:Q,9,False)</f>
        <v>0</v>
      </c>
      <c r="Q6366" s="93" t="str">
        <f>VLOOKUP(E6366,DATABASE!C:Q,4,false)</f>
        <v>SERVICE</v>
      </c>
      <c r="R6366" s="93" t="str">
        <f>VLOOKUP(E6366,DATABASE!C:Q,11,false)</f>
        <v>SERVICE</v>
      </c>
    </row>
    <row r="6367" ht="22.5" customHeight="1">
      <c r="A6367" s="49"/>
      <c r="C6367" s="400">
        <v>46024.0</v>
      </c>
      <c r="D6367" s="524">
        <v>8443.0</v>
      </c>
      <c r="E6367" s="544" t="s">
        <v>2555</v>
      </c>
      <c r="F6367" s="387">
        <v>2.0</v>
      </c>
      <c r="G6367" s="140">
        <v>610000.0</v>
      </c>
      <c r="H6367" s="74"/>
      <c r="I6367" s="74">
        <f t="shared" si="1"/>
        <v>1220000</v>
      </c>
      <c r="J6367" s="74">
        <f>IF(E6367="SERVICE",I6367-(I6367*50%),Vlookup(E6367,DATABASE!C:Q,10,false)*F6367)</f>
        <v>0</v>
      </c>
      <c r="K6367" s="74">
        <f>VLOOKUP(E6367,DATABASE!C:Q,7,false)</f>
        <v>520000</v>
      </c>
      <c r="L6367" s="74">
        <v>520000.0</v>
      </c>
      <c r="M6367" s="74">
        <f t="shared" si="2"/>
        <v>520000</v>
      </c>
      <c r="N6367" s="74">
        <f t="shared" si="3"/>
        <v>180000</v>
      </c>
      <c r="O6367" s="65" t="str">
        <f>VLOOKUP(E6367,DATABASE!C:Q,8,false)</f>
        <v>BIAN</v>
      </c>
      <c r="P6367" s="65">
        <f>VLOOKUP(E6367,DATABASE!C:Q,9,False)</f>
        <v>1</v>
      </c>
      <c r="Q6367" s="93" t="str">
        <f>VLOOKUP(E6367,DATABASE!C:Q,4,false)</f>
        <v>Laufen</v>
      </c>
      <c r="R6367" s="93" t="str">
        <f>VLOOKUP(E6367,DATABASE!C:Q,11,false)</f>
        <v>Tire</v>
      </c>
    </row>
    <row r="6368" ht="22.5" customHeight="1">
      <c r="A6368" s="49"/>
      <c r="C6368" s="400">
        <v>46024.0</v>
      </c>
      <c r="D6368" s="524">
        <v>8444.0</v>
      </c>
      <c r="E6368" s="544" t="s">
        <v>624</v>
      </c>
      <c r="F6368" s="387">
        <v>2.0</v>
      </c>
      <c r="G6368" s="140">
        <v>120000.0</v>
      </c>
      <c r="H6368" s="140">
        <v>10000.0</v>
      </c>
      <c r="I6368" s="74">
        <f t="shared" si="1"/>
        <v>220000</v>
      </c>
      <c r="J6368" s="74">
        <f>IF(E6368="SERVICE",I6368-(I6368*50%),Vlookup(E6368,DATABASE!C:Q,10,false)*F6368)</f>
        <v>0</v>
      </c>
      <c r="K6368" s="74">
        <f>VLOOKUP(E6368,DATABASE!C:Q,7,false)</f>
        <v>60500</v>
      </c>
      <c r="L6368" s="74">
        <v>60500.0</v>
      </c>
      <c r="M6368" s="74">
        <f t="shared" si="2"/>
        <v>65000</v>
      </c>
      <c r="N6368" s="74">
        <f t="shared" si="3"/>
        <v>90000</v>
      </c>
      <c r="O6368" s="65" t="str">
        <f>VLOOKUP(E6368,DATABASE!C:Q,8,false)</f>
        <v>BIAN</v>
      </c>
      <c r="P6368" s="65">
        <f>VLOOKUP(E6368,DATABASE!C:Q,9,False)</f>
        <v>1</v>
      </c>
      <c r="Q6368" s="93" t="str">
        <f>VLOOKUP(E6368,DATABASE!C:Q,4,false)</f>
        <v>BD</v>
      </c>
      <c r="R6368" s="93" t="str">
        <f>VLOOKUP(E6368,DATABASE!C:Q,11,false)</f>
        <v>Tire</v>
      </c>
    </row>
    <row r="6369" ht="22.5" customHeight="1">
      <c r="A6369" s="49"/>
      <c r="C6369" s="400">
        <v>46024.0</v>
      </c>
      <c r="D6369" s="524">
        <v>8445.0</v>
      </c>
      <c r="E6369" s="544" t="s">
        <v>256</v>
      </c>
      <c r="F6369" s="387">
        <v>1.0</v>
      </c>
      <c r="G6369" s="140">
        <v>150000.0</v>
      </c>
      <c r="H6369" s="140">
        <v>20000.0</v>
      </c>
      <c r="I6369" s="74">
        <f t="shared" si="1"/>
        <v>130000</v>
      </c>
      <c r="J6369" s="74">
        <f>IF(E6369="SERVICE",I6369-(I6369*50%),Vlookup(E6369,DATABASE!C:Q,10,false)*F6369)</f>
        <v>10000</v>
      </c>
      <c r="K6369" s="74">
        <f>VLOOKUP(E6369,DATABASE!C:Q,7,false)</f>
        <v>0</v>
      </c>
      <c r="L6369" s="74">
        <v>0.0</v>
      </c>
      <c r="M6369" s="74">
        <f t="shared" si="2"/>
        <v>0</v>
      </c>
      <c r="N6369" s="74">
        <f t="shared" si="3"/>
        <v>120000</v>
      </c>
      <c r="O6369" s="65" t="str">
        <f>VLOOKUP(E6369,DATABASE!C:Q,8,false)</f>
        <v>IBU</v>
      </c>
      <c r="P6369" s="65">
        <f>VLOOKUP(E6369,DATABASE!C:Q,9,False)</f>
        <v>0</v>
      </c>
      <c r="Q6369" s="93" t="str">
        <f>VLOOKUP(E6369,DATABASE!C:Q,4,false)</f>
        <v>SPOORING</v>
      </c>
      <c r="R6369" s="93" t="str">
        <f>VLOOKUP(E6369,DATABASE!C:Q,11,false)</f>
        <v>SERVICE</v>
      </c>
    </row>
    <row r="6370" ht="22.5" customHeight="1">
      <c r="A6370" s="49"/>
      <c r="C6370" s="400">
        <v>46024.0</v>
      </c>
      <c r="D6370" s="524">
        <v>8446.0</v>
      </c>
      <c r="E6370" s="544" t="s">
        <v>265</v>
      </c>
      <c r="F6370" s="387">
        <v>2.0</v>
      </c>
      <c r="G6370" s="140">
        <v>685000.0</v>
      </c>
      <c r="H6370" s="74"/>
      <c r="I6370" s="74">
        <f t="shared" si="1"/>
        <v>1370000</v>
      </c>
      <c r="J6370" s="74">
        <f>IF(E6370="SERVICE",I6370-(I6370*50%),Vlookup(E6370,DATABASE!C:Q,10,false)*F6370)</f>
        <v>0</v>
      </c>
      <c r="K6370" s="74">
        <f>VLOOKUP(E6370,DATABASE!C:Q,7,false)</f>
        <v>628000</v>
      </c>
      <c r="L6370" s="74">
        <v>600000.0</v>
      </c>
      <c r="M6370" s="74">
        <f t="shared" si="2"/>
        <v>600000</v>
      </c>
      <c r="N6370" s="74">
        <f t="shared" si="3"/>
        <v>170000</v>
      </c>
      <c r="O6370" s="65" t="str">
        <f>VLOOKUP(E6370,DATABASE!C:Q,8,false)</f>
        <v>IBU</v>
      </c>
      <c r="P6370" s="65">
        <f>VLOOKUP(E6370,DATABASE!C:Q,9,False)</f>
        <v>1</v>
      </c>
      <c r="Q6370" s="93" t="str">
        <f>VLOOKUP(E6370,DATABASE!C:Q,4,false)</f>
        <v>Dunlop</v>
      </c>
      <c r="R6370" s="93" t="str">
        <f>VLOOKUP(E6370,DATABASE!C:Q,11,false)</f>
        <v>Tire</v>
      </c>
    </row>
    <row r="6371" ht="22.5" customHeight="1">
      <c r="A6371" s="49"/>
      <c r="C6371" s="400">
        <v>46024.0</v>
      </c>
      <c r="D6371" s="524">
        <v>8446.0</v>
      </c>
      <c r="E6371" s="544" t="s">
        <v>569</v>
      </c>
      <c r="F6371" s="387">
        <v>1.0</v>
      </c>
      <c r="G6371" s="140">
        <v>80000.0</v>
      </c>
      <c r="H6371" s="74"/>
      <c r="I6371" s="74">
        <f t="shared" si="1"/>
        <v>80000</v>
      </c>
      <c r="J6371" s="74">
        <f>IF(E6371="SERVICE",I6371-(I6371*50%),Vlookup(E6371,DATABASE!C:Q,10,false)*F6371)</f>
        <v>0</v>
      </c>
      <c r="K6371" s="74">
        <f>VLOOKUP(E6371,DATABASE!C:Q,7,false)</f>
        <v>45439.582</v>
      </c>
      <c r="L6371" s="74">
        <v>45309.6</v>
      </c>
      <c r="M6371" s="74">
        <f t="shared" si="2"/>
        <v>50000</v>
      </c>
      <c r="N6371" s="74">
        <f t="shared" si="3"/>
        <v>30000</v>
      </c>
      <c r="O6371" s="65" t="str">
        <f>VLOOKUP(E6371,DATABASE!C:Q,8,false)</f>
        <v>BIAN</v>
      </c>
      <c r="P6371" s="65">
        <f>VLOOKUP(E6371,DATABASE!C:Q,9,False)</f>
        <v>1</v>
      </c>
      <c r="Q6371" s="93" t="str">
        <f>VLOOKUP(E6371,DATABASE!C:Q,4,false)</f>
        <v>BD</v>
      </c>
      <c r="R6371" s="93" t="str">
        <f>VLOOKUP(E6371,DATABASE!C:Q,11,false)</f>
        <v>Tire</v>
      </c>
    </row>
    <row r="6372" ht="22.5" customHeight="1">
      <c r="A6372" s="49"/>
      <c r="C6372" s="400">
        <v>46024.0</v>
      </c>
      <c r="D6372" s="524">
        <v>8447.0</v>
      </c>
      <c r="E6372" s="544" t="s">
        <v>256</v>
      </c>
      <c r="F6372" s="387">
        <v>1.0</v>
      </c>
      <c r="G6372" s="140">
        <v>150000.0</v>
      </c>
      <c r="H6372" s="140">
        <v>20000.0</v>
      </c>
      <c r="I6372" s="74">
        <f t="shared" si="1"/>
        <v>130000</v>
      </c>
      <c r="J6372" s="74">
        <f>IF(E6372="SERVICE",I6372-(I6372*50%),Vlookup(E6372,DATABASE!C:Q,10,false)*F6372)</f>
        <v>10000</v>
      </c>
      <c r="K6372" s="74">
        <f>VLOOKUP(E6372,DATABASE!C:Q,7,false)</f>
        <v>0</v>
      </c>
      <c r="L6372" s="74">
        <v>0.0</v>
      </c>
      <c r="M6372" s="74">
        <f t="shared" si="2"/>
        <v>0</v>
      </c>
      <c r="N6372" s="74">
        <f t="shared" si="3"/>
        <v>120000</v>
      </c>
      <c r="O6372" s="65" t="str">
        <f>VLOOKUP(E6372,DATABASE!C:Q,8,false)</f>
        <v>IBU</v>
      </c>
      <c r="P6372" s="65">
        <f>VLOOKUP(E6372,DATABASE!C:Q,9,False)</f>
        <v>0</v>
      </c>
      <c r="Q6372" s="93" t="str">
        <f>VLOOKUP(E6372,DATABASE!C:Q,4,false)</f>
        <v>SPOORING</v>
      </c>
      <c r="R6372" s="93" t="str">
        <f>VLOOKUP(E6372,DATABASE!C:Q,11,false)</f>
        <v>SERVICE</v>
      </c>
    </row>
    <row r="6373" ht="22.5" customHeight="1">
      <c r="A6373" s="49"/>
      <c r="C6373" s="400">
        <v>46024.0</v>
      </c>
      <c r="D6373" s="524">
        <v>8447.0</v>
      </c>
      <c r="E6373" s="544" t="s">
        <v>301</v>
      </c>
      <c r="F6373" s="387">
        <v>1.0</v>
      </c>
      <c r="G6373" s="140">
        <v>250000.0</v>
      </c>
      <c r="H6373" s="74"/>
      <c r="I6373" s="74">
        <f t="shared" si="1"/>
        <v>250000</v>
      </c>
      <c r="J6373" s="74">
        <f>IF(E6373="SERVICE",I6373-(I6373*50%),Vlookup(E6373,DATABASE!C:Q,10,false)*F6373)</f>
        <v>75000</v>
      </c>
      <c r="K6373" s="74">
        <f>VLOOKUP(E6373,DATABASE!C:Q,7,false)</f>
        <v>75000</v>
      </c>
      <c r="L6373" s="74">
        <v>75000.0</v>
      </c>
      <c r="M6373" s="74">
        <f t="shared" si="2"/>
        <v>75000</v>
      </c>
      <c r="N6373" s="74">
        <f t="shared" si="3"/>
        <v>100000</v>
      </c>
      <c r="O6373" s="65" t="str">
        <f>VLOOKUP(E6373,DATABASE!C:Q,8,false)</f>
        <v>BIAN</v>
      </c>
      <c r="P6373" s="65">
        <f>VLOOKUP(E6373,DATABASE!C:Q,9,False)</f>
        <v>0</v>
      </c>
      <c r="Q6373" s="93" t="str">
        <f>VLOOKUP(E6373,DATABASE!C:Q,4,false)</f>
        <v>Baut Camber</v>
      </c>
      <c r="R6373" s="93" t="str">
        <f>VLOOKUP(E6373,DATABASE!C:Q,11,false)</f>
        <v>COMPLEMENTARY</v>
      </c>
    </row>
    <row r="6374" ht="22.5" customHeight="1">
      <c r="A6374" s="49"/>
      <c r="C6374" s="400">
        <v>46024.0</v>
      </c>
      <c r="D6374" s="69" t="s">
        <v>2673</v>
      </c>
      <c r="E6374" s="544" t="s">
        <v>2195</v>
      </c>
      <c r="F6374" s="387">
        <v>4.0</v>
      </c>
      <c r="G6374" s="140">
        <v>300000.0</v>
      </c>
      <c r="H6374" s="74"/>
      <c r="I6374" s="74">
        <f t="shared" si="1"/>
        <v>1200000</v>
      </c>
      <c r="J6374" s="74">
        <f>IF(E6374="SERVICE",I6374-(I6374*50%),Vlookup(E6374,DATABASE!C:Q,10,false)*F6374)</f>
        <v>0</v>
      </c>
      <c r="K6374" s="74">
        <f>VLOOKUP(E6374,DATABASE!C:Q,7,false)</f>
        <v>329877</v>
      </c>
      <c r="L6374" s="74">
        <v>282805.0</v>
      </c>
      <c r="M6374" s="74">
        <f t="shared" si="2"/>
        <v>285000</v>
      </c>
      <c r="N6374" s="74">
        <f t="shared" si="3"/>
        <v>60000</v>
      </c>
      <c r="O6374" s="65" t="str">
        <f>VLOOKUP(E6374,DATABASE!C:Q,8,false)</f>
        <v>NON</v>
      </c>
      <c r="P6374" s="65">
        <f>VLOOKUP(E6374,DATABASE!C:Q,9,False)</f>
        <v>0</v>
      </c>
      <c r="Q6374" s="93" t="str">
        <f>VLOOKUP(E6374,DATABASE!C:Q,4,false)</f>
        <v>Shell</v>
      </c>
      <c r="R6374" s="93" t="str">
        <f>VLOOKUP(E6374,DATABASE!C:Q,11,false)</f>
        <v>OIL</v>
      </c>
    </row>
    <row r="6375" ht="22.5" customHeight="1">
      <c r="A6375" s="49"/>
      <c r="C6375" s="400">
        <v>46025.0</v>
      </c>
      <c r="D6375" s="524">
        <v>8448.0</v>
      </c>
      <c r="E6375" s="544" t="s">
        <v>781</v>
      </c>
      <c r="F6375" s="387">
        <v>3.0</v>
      </c>
      <c r="G6375" s="140">
        <v>530000.0</v>
      </c>
      <c r="H6375" s="74"/>
      <c r="I6375" s="74">
        <f t="shared" si="1"/>
        <v>1590000</v>
      </c>
      <c r="J6375" s="74">
        <f>IF(E6375="SERVICE",I6375-(I6375*50%),Vlookup(E6375,DATABASE!C:Q,10,false)*F6375)</f>
        <v>0</v>
      </c>
      <c r="K6375" s="74">
        <f>VLOOKUP(E6375,DATABASE!C:Q,7,false)</f>
        <v>470000</v>
      </c>
      <c r="L6375" s="74">
        <v>442500.0</v>
      </c>
      <c r="M6375" s="74">
        <f t="shared" si="2"/>
        <v>445000</v>
      </c>
      <c r="N6375" s="74">
        <f t="shared" si="3"/>
        <v>255000</v>
      </c>
      <c r="O6375" s="65" t="str">
        <f>VLOOKUP(E6375,DATABASE!C:Q,8,false)</f>
        <v>BIAN</v>
      </c>
      <c r="P6375" s="65">
        <f>VLOOKUP(E6375,DATABASE!C:Q,9,False)</f>
        <v>1</v>
      </c>
      <c r="Q6375" s="93" t="str">
        <f>VLOOKUP(E6375,DATABASE!C:Q,4,false)</f>
        <v>GT</v>
      </c>
      <c r="R6375" s="93" t="str">
        <f>VLOOKUP(E6375,DATABASE!C:Q,11,false)</f>
        <v>Tire</v>
      </c>
    </row>
    <row r="6376" ht="22.5" customHeight="1">
      <c r="A6376" s="49"/>
      <c r="C6376" s="400">
        <v>46025.0</v>
      </c>
      <c r="D6376" s="524">
        <v>8448.0</v>
      </c>
      <c r="E6376" s="544" t="s">
        <v>569</v>
      </c>
      <c r="F6376" s="387">
        <v>3.0</v>
      </c>
      <c r="G6376" s="140">
        <v>80000.0</v>
      </c>
      <c r="H6376" s="74"/>
      <c r="I6376" s="74">
        <f t="shared" si="1"/>
        <v>240000</v>
      </c>
      <c r="J6376" s="74">
        <f>IF(E6376="SERVICE",I6376-(I6376*50%),Vlookup(E6376,DATABASE!C:Q,10,false)*F6376)</f>
        <v>0</v>
      </c>
      <c r="K6376" s="74">
        <f>VLOOKUP(E6376,DATABASE!C:Q,7,false)</f>
        <v>45439.582</v>
      </c>
      <c r="L6376" s="74">
        <v>45309.6</v>
      </c>
      <c r="M6376" s="74">
        <f t="shared" si="2"/>
        <v>50000</v>
      </c>
      <c r="N6376" s="74">
        <f t="shared" si="3"/>
        <v>90000</v>
      </c>
      <c r="O6376" s="65" t="str">
        <f>VLOOKUP(E6376,DATABASE!C:Q,8,false)</f>
        <v>BIAN</v>
      </c>
      <c r="P6376" s="65">
        <f>VLOOKUP(E6376,DATABASE!C:Q,9,False)</f>
        <v>1</v>
      </c>
      <c r="Q6376" s="93" t="str">
        <f>VLOOKUP(E6376,DATABASE!C:Q,4,false)</f>
        <v>BD</v>
      </c>
      <c r="R6376" s="93" t="str">
        <f>VLOOKUP(E6376,DATABASE!C:Q,11,false)</f>
        <v>Tire</v>
      </c>
    </row>
    <row r="6377" ht="22.5" customHeight="1">
      <c r="A6377" s="49"/>
      <c r="C6377" s="400">
        <v>46025.0</v>
      </c>
      <c r="D6377" s="524">
        <v>8449.0</v>
      </c>
      <c r="E6377" s="544" t="s">
        <v>1526</v>
      </c>
      <c r="F6377" s="387">
        <v>1.0</v>
      </c>
      <c r="G6377" s="140">
        <v>540000.0</v>
      </c>
      <c r="H6377" s="74"/>
      <c r="I6377" s="74">
        <f t="shared" si="1"/>
        <v>540000</v>
      </c>
      <c r="J6377" s="74">
        <f>IF(E6377="SERVICE",I6377-(I6377*50%),Vlookup(E6377,DATABASE!C:Q,10,false)*F6377)</f>
        <v>0</v>
      </c>
      <c r="K6377" s="74">
        <f>VLOOKUP(E6377,DATABASE!C:Q,7,false)</f>
        <v>450000</v>
      </c>
      <c r="L6377" s="74">
        <v>450000.0</v>
      </c>
      <c r="M6377" s="74">
        <f t="shared" si="2"/>
        <v>450000</v>
      </c>
      <c r="N6377" s="74">
        <f t="shared" si="3"/>
        <v>90000</v>
      </c>
      <c r="O6377" s="65" t="str">
        <f>VLOOKUP(E6377,DATABASE!C:Q,8,false)</f>
        <v>BIAN</v>
      </c>
      <c r="P6377" s="65">
        <f>VLOOKUP(E6377,DATABASE!C:Q,9,False)</f>
        <v>1</v>
      </c>
      <c r="Q6377" s="93" t="str">
        <f>VLOOKUP(E6377,DATABASE!C:Q,4,false)</f>
        <v>Laufen</v>
      </c>
      <c r="R6377" s="93" t="str">
        <f>VLOOKUP(E6377,DATABASE!C:Q,11,false)</f>
        <v>Tire</v>
      </c>
    </row>
    <row r="6378" ht="22.5" customHeight="1">
      <c r="A6378" s="49"/>
      <c r="C6378" s="400">
        <v>46025.0</v>
      </c>
      <c r="D6378" s="524">
        <v>8450.0</v>
      </c>
      <c r="E6378" s="544" t="s">
        <v>687</v>
      </c>
      <c r="F6378" s="387">
        <v>2.0</v>
      </c>
      <c r="G6378" s="140">
        <v>1050000.0</v>
      </c>
      <c r="H6378" s="74"/>
      <c r="I6378" s="74">
        <f t="shared" si="1"/>
        <v>2100000</v>
      </c>
      <c r="J6378" s="74">
        <f>IF(E6378="SERVICE",I6378-(I6378*50%),Vlookup(E6378,DATABASE!C:Q,10,false)*F6378)</f>
        <v>0</v>
      </c>
      <c r="K6378" s="74">
        <f>VLOOKUP(E6378,DATABASE!C:Q,7,false)</f>
        <v>959000</v>
      </c>
      <c r="L6378" s="74">
        <v>949000.0</v>
      </c>
      <c r="M6378" s="74">
        <f t="shared" si="2"/>
        <v>950000</v>
      </c>
      <c r="N6378" s="74">
        <f t="shared" si="3"/>
        <v>200000</v>
      </c>
      <c r="O6378" s="65" t="str">
        <f>VLOOKUP(E6378,DATABASE!C:Q,8,false)</f>
        <v>IBU</v>
      </c>
      <c r="P6378" s="65">
        <f>VLOOKUP(E6378,DATABASE!C:Q,9,False)</f>
        <v>1</v>
      </c>
      <c r="Q6378" s="93" t="str">
        <f>VLOOKUP(E6378,DATABASE!C:Q,4,false)</f>
        <v>Dunlop</v>
      </c>
      <c r="R6378" s="93" t="str">
        <f>VLOOKUP(E6378,DATABASE!C:Q,11,false)</f>
        <v>Tire</v>
      </c>
    </row>
    <row r="6379" ht="22.5" customHeight="1">
      <c r="A6379" s="49"/>
      <c r="C6379" s="400">
        <v>46025.0</v>
      </c>
      <c r="D6379" s="524">
        <v>8451.0</v>
      </c>
      <c r="E6379" s="544" t="s">
        <v>256</v>
      </c>
      <c r="F6379" s="387">
        <v>1.0</v>
      </c>
      <c r="G6379" s="140">
        <v>150000.0</v>
      </c>
      <c r="H6379" s="140">
        <v>20000.0</v>
      </c>
      <c r="I6379" s="74">
        <f t="shared" si="1"/>
        <v>130000</v>
      </c>
      <c r="J6379" s="74">
        <f>IF(E6379="SERVICE",I6379-(I6379*50%),Vlookup(E6379,DATABASE!C:Q,10,false)*F6379)</f>
        <v>10000</v>
      </c>
      <c r="K6379" s="74">
        <f>VLOOKUP(E6379,DATABASE!C:Q,7,false)</f>
        <v>0</v>
      </c>
      <c r="L6379" s="74">
        <v>0.0</v>
      </c>
      <c r="M6379" s="74">
        <f t="shared" si="2"/>
        <v>0</v>
      </c>
      <c r="N6379" s="74">
        <f t="shared" si="3"/>
        <v>120000</v>
      </c>
      <c r="O6379" s="65" t="str">
        <f>VLOOKUP(E6379,DATABASE!C:Q,8,false)</f>
        <v>IBU</v>
      </c>
      <c r="P6379" s="65">
        <f>VLOOKUP(E6379,DATABASE!C:Q,9,False)</f>
        <v>0</v>
      </c>
      <c r="Q6379" s="93" t="str">
        <f>VLOOKUP(E6379,DATABASE!C:Q,4,false)</f>
        <v>SPOORING</v>
      </c>
      <c r="R6379" s="93" t="str">
        <f>VLOOKUP(E6379,DATABASE!C:Q,11,false)</f>
        <v>SERVICE</v>
      </c>
    </row>
    <row r="6380" ht="22.5" customHeight="1">
      <c r="A6380" s="49"/>
      <c r="C6380" s="400">
        <v>46025.0</v>
      </c>
      <c r="D6380" s="524">
        <v>8451.0</v>
      </c>
      <c r="E6380" s="544" t="s">
        <v>299</v>
      </c>
      <c r="F6380" s="387">
        <v>2.0</v>
      </c>
      <c r="G6380" s="140">
        <v>30000.0</v>
      </c>
      <c r="H6380" s="74"/>
      <c r="I6380" s="74">
        <f t="shared" si="1"/>
        <v>60000</v>
      </c>
      <c r="J6380" s="74">
        <f>IF(E6380="SERVICE",I6380-(I6380*50%),Vlookup(E6380,DATABASE!C:Q,10,false)*F6380)</f>
        <v>0</v>
      </c>
      <c r="K6380" s="74">
        <f>VLOOKUP(E6380,DATABASE!C:Q,7,false)</f>
        <v>10000</v>
      </c>
      <c r="L6380" s="74">
        <v>5000.0</v>
      </c>
      <c r="M6380" s="74">
        <f t="shared" si="2"/>
        <v>5000</v>
      </c>
      <c r="N6380" s="74">
        <f t="shared" si="3"/>
        <v>50000</v>
      </c>
      <c r="O6380" s="65" t="str">
        <f>VLOOKUP(E6380,DATABASE!C:Q,8,false)</f>
        <v>BIAN</v>
      </c>
      <c r="P6380" s="65">
        <f>VLOOKUP(E6380,DATABASE!C:Q,9,False)</f>
        <v>0</v>
      </c>
      <c r="Q6380" s="93" t="str">
        <f>VLOOKUP(E6380,DATABASE!C:Q,4,false)</f>
        <v>Balancing</v>
      </c>
      <c r="R6380" s="93" t="str">
        <f>VLOOKUP(E6380,DATABASE!C:Q,11,false)</f>
        <v>COMPLEMENTARY</v>
      </c>
    </row>
    <row r="6381" ht="22.5" customHeight="1">
      <c r="A6381" s="49"/>
      <c r="C6381" s="400">
        <v>46025.0</v>
      </c>
      <c r="D6381" s="524">
        <v>8451.0</v>
      </c>
      <c r="E6381" s="544" t="s">
        <v>301</v>
      </c>
      <c r="F6381" s="387">
        <v>1.0</v>
      </c>
      <c r="G6381" s="140">
        <v>250000.0</v>
      </c>
      <c r="H6381" s="74"/>
      <c r="I6381" s="74">
        <f t="shared" si="1"/>
        <v>250000</v>
      </c>
      <c r="J6381" s="74">
        <f>IF(E6381="SERVICE",I6381-(I6381*50%),Vlookup(E6381,DATABASE!C:Q,10,false)*F6381)</f>
        <v>75000</v>
      </c>
      <c r="K6381" s="74">
        <f>VLOOKUP(E6381,DATABASE!C:Q,7,false)</f>
        <v>75000</v>
      </c>
      <c r="L6381" s="74">
        <v>75000.0</v>
      </c>
      <c r="M6381" s="74">
        <f t="shared" si="2"/>
        <v>75000</v>
      </c>
      <c r="N6381" s="74">
        <f t="shared" si="3"/>
        <v>100000</v>
      </c>
      <c r="O6381" s="65" t="str">
        <f>VLOOKUP(E6381,DATABASE!C:Q,8,false)</f>
        <v>BIAN</v>
      </c>
      <c r="P6381" s="65">
        <f>VLOOKUP(E6381,DATABASE!C:Q,9,False)</f>
        <v>0</v>
      </c>
      <c r="Q6381" s="93" t="str">
        <f>VLOOKUP(E6381,DATABASE!C:Q,4,false)</f>
        <v>Baut Camber</v>
      </c>
      <c r="R6381" s="93" t="str">
        <f>VLOOKUP(E6381,DATABASE!C:Q,11,false)</f>
        <v>COMPLEMENTARY</v>
      </c>
    </row>
    <row r="6382" ht="22.5" customHeight="1">
      <c r="A6382" s="49"/>
      <c r="C6382" s="400">
        <v>46025.0</v>
      </c>
      <c r="D6382" s="524">
        <v>8452.0</v>
      </c>
      <c r="E6382" s="544" t="s">
        <v>288</v>
      </c>
      <c r="F6382" s="387">
        <v>1.0</v>
      </c>
      <c r="G6382" s="140">
        <v>620000.0</v>
      </c>
      <c r="H6382" s="74"/>
      <c r="I6382" s="74">
        <f t="shared" si="1"/>
        <v>620000</v>
      </c>
      <c r="J6382" s="74">
        <f>IF(E6382="SERVICE",I6382-(I6382*50%),Vlookup(E6382,DATABASE!C:Q,10,false)*F6382)</f>
        <v>0</v>
      </c>
      <c r="K6382" s="74">
        <f>VLOOKUP(E6382,DATABASE!C:Q,7,false)</f>
        <v>565760</v>
      </c>
      <c r="L6382" s="74">
        <v>524800.0</v>
      </c>
      <c r="M6382" s="74">
        <f t="shared" si="2"/>
        <v>525000</v>
      </c>
      <c r="N6382" s="74">
        <f t="shared" si="3"/>
        <v>95000</v>
      </c>
      <c r="O6382" s="65" t="str">
        <f>VLOOKUP(E6382,DATABASE!C:Q,8,false)</f>
        <v>BIAN</v>
      </c>
      <c r="P6382" s="65">
        <f>VLOOKUP(E6382,DATABASE!C:Q,9,False)</f>
        <v>1</v>
      </c>
      <c r="Q6382" s="93" t="str">
        <f>VLOOKUP(E6382,DATABASE!C:Q,4,false)</f>
        <v>GT</v>
      </c>
      <c r="R6382" s="93" t="str">
        <f>VLOOKUP(E6382,DATABASE!C:Q,11,false)</f>
        <v>Tire</v>
      </c>
    </row>
    <row r="6383" ht="22.5" customHeight="1">
      <c r="A6383" s="49"/>
      <c r="C6383" s="400">
        <v>46025.0</v>
      </c>
      <c r="D6383" s="524">
        <v>8454.0</v>
      </c>
      <c r="E6383" s="544" t="s">
        <v>572</v>
      </c>
      <c r="F6383" s="387">
        <v>2.0</v>
      </c>
      <c r="G6383" s="140">
        <v>1370000.0</v>
      </c>
      <c r="H6383" s="140">
        <v>20000.0</v>
      </c>
      <c r="I6383" s="74">
        <f t="shared" si="1"/>
        <v>2700000</v>
      </c>
      <c r="J6383" s="74">
        <f>IF(E6383="SERVICE",I6383-(I6383*50%),Vlookup(E6383,DATABASE!C:Q,10,false)*F6383)</f>
        <v>0</v>
      </c>
      <c r="K6383" s="74">
        <f>VLOOKUP(E6383,DATABASE!C:Q,7,false)</f>
        <v>1265000</v>
      </c>
      <c r="L6383" s="74">
        <v>1245000.0</v>
      </c>
      <c r="M6383" s="74">
        <f t="shared" si="2"/>
        <v>1245000</v>
      </c>
      <c r="N6383" s="74">
        <f t="shared" si="3"/>
        <v>210000</v>
      </c>
      <c r="O6383" s="65" t="str">
        <f>VLOOKUP(E6383,DATABASE!C:Q,8,false)</f>
        <v>IBU</v>
      </c>
      <c r="P6383" s="65">
        <f>VLOOKUP(E6383,DATABASE!C:Q,9,False)</f>
        <v>1</v>
      </c>
      <c r="Q6383" s="93" t="str">
        <f>VLOOKUP(E6383,DATABASE!C:Q,4,false)</f>
        <v>Bridgestone</v>
      </c>
      <c r="R6383" s="93" t="str">
        <f>VLOOKUP(E6383,DATABASE!C:Q,11,false)</f>
        <v>Tire</v>
      </c>
    </row>
    <row r="6384" ht="22.5" customHeight="1">
      <c r="A6384" s="49"/>
      <c r="C6384" s="400">
        <v>46025.0</v>
      </c>
      <c r="D6384" s="524">
        <v>8455.0</v>
      </c>
      <c r="E6384" s="544" t="s">
        <v>1526</v>
      </c>
      <c r="F6384" s="387">
        <v>2.0</v>
      </c>
      <c r="G6384" s="140">
        <v>540000.0</v>
      </c>
      <c r="H6384" s="74"/>
      <c r="I6384" s="74">
        <f t="shared" si="1"/>
        <v>1080000</v>
      </c>
      <c r="J6384" s="74">
        <f>IF(E6384="SERVICE",I6384-(I6384*50%),Vlookup(E6384,DATABASE!C:Q,10,false)*F6384)</f>
        <v>0</v>
      </c>
      <c r="K6384" s="74">
        <f>VLOOKUP(E6384,DATABASE!C:Q,7,false)</f>
        <v>450000</v>
      </c>
      <c r="L6384" s="74">
        <v>450000.0</v>
      </c>
      <c r="M6384" s="74">
        <f t="shared" si="2"/>
        <v>450000</v>
      </c>
      <c r="N6384" s="74">
        <f t="shared" si="3"/>
        <v>180000</v>
      </c>
      <c r="O6384" s="65" t="str">
        <f>VLOOKUP(E6384,DATABASE!C:Q,8,false)</f>
        <v>BIAN</v>
      </c>
      <c r="P6384" s="65">
        <f>VLOOKUP(E6384,DATABASE!C:Q,9,False)</f>
        <v>1</v>
      </c>
      <c r="Q6384" s="93" t="str">
        <f>VLOOKUP(E6384,DATABASE!C:Q,4,false)</f>
        <v>Laufen</v>
      </c>
      <c r="R6384" s="93" t="str">
        <f>VLOOKUP(E6384,DATABASE!C:Q,11,false)</f>
        <v>Tire</v>
      </c>
    </row>
    <row r="6385" ht="22.5" customHeight="1">
      <c r="A6385" s="49"/>
      <c r="C6385" s="400">
        <v>46025.0</v>
      </c>
      <c r="D6385" s="524">
        <v>8456.0</v>
      </c>
      <c r="E6385" s="544" t="s">
        <v>265</v>
      </c>
      <c r="F6385" s="387">
        <v>1.0</v>
      </c>
      <c r="G6385" s="140">
        <v>685000.0</v>
      </c>
      <c r="H6385" s="74"/>
      <c r="I6385" s="74">
        <f t="shared" si="1"/>
        <v>685000</v>
      </c>
      <c r="J6385" s="74">
        <f>IF(E6385="SERVICE",I6385-(I6385*50%),Vlookup(E6385,DATABASE!C:Q,10,false)*F6385)</f>
        <v>0</v>
      </c>
      <c r="K6385" s="74">
        <f>VLOOKUP(E6385,DATABASE!C:Q,7,false)</f>
        <v>628000</v>
      </c>
      <c r="L6385" s="74">
        <v>600000.0</v>
      </c>
      <c r="M6385" s="74">
        <f t="shared" si="2"/>
        <v>600000</v>
      </c>
      <c r="N6385" s="74">
        <f t="shared" si="3"/>
        <v>85000</v>
      </c>
      <c r="O6385" s="65" t="str">
        <f>VLOOKUP(E6385,DATABASE!C:Q,8,false)</f>
        <v>IBU</v>
      </c>
      <c r="P6385" s="65">
        <f>VLOOKUP(E6385,DATABASE!C:Q,9,False)</f>
        <v>1</v>
      </c>
      <c r="Q6385" s="93" t="str">
        <f>VLOOKUP(E6385,DATABASE!C:Q,4,false)</f>
        <v>Dunlop</v>
      </c>
      <c r="R6385" s="93" t="str">
        <f>VLOOKUP(E6385,DATABASE!C:Q,11,false)</f>
        <v>Tire</v>
      </c>
    </row>
    <row r="6386" ht="22.5" customHeight="1">
      <c r="A6386" s="49"/>
      <c r="C6386" s="400">
        <v>46025.0</v>
      </c>
      <c r="D6386" s="524">
        <v>8457.0</v>
      </c>
      <c r="E6386" s="544" t="s">
        <v>932</v>
      </c>
      <c r="F6386" s="387">
        <v>1.0</v>
      </c>
      <c r="G6386" s="140">
        <v>680000.0</v>
      </c>
      <c r="H6386" s="74"/>
      <c r="I6386" s="74">
        <f t="shared" si="1"/>
        <v>680000</v>
      </c>
      <c r="J6386" s="74">
        <f>IF(E6386="SERVICE",I6386-(I6386*50%),Vlookup(E6386,DATABASE!C:Q,10,false)*F6386)</f>
        <v>0</v>
      </c>
      <c r="K6386" s="74">
        <f>VLOOKUP(E6386,DATABASE!C:Q,7,false)</f>
        <v>601000</v>
      </c>
      <c r="L6386" s="74">
        <v>595000.0</v>
      </c>
      <c r="M6386" s="74">
        <f t="shared" si="2"/>
        <v>595000</v>
      </c>
      <c r="N6386" s="74">
        <f t="shared" si="3"/>
        <v>85000</v>
      </c>
      <c r="O6386" s="65" t="str">
        <f>VLOOKUP(E6386,DATABASE!C:Q,8,false)</f>
        <v>IBU</v>
      </c>
      <c r="P6386" s="65">
        <f>VLOOKUP(E6386,DATABASE!C:Q,9,False)</f>
        <v>1</v>
      </c>
      <c r="Q6386" s="93" t="str">
        <f>VLOOKUP(E6386,DATABASE!C:Q,4,false)</f>
        <v>Dunlop</v>
      </c>
      <c r="R6386" s="93" t="str">
        <f>VLOOKUP(E6386,DATABASE!C:Q,11,false)</f>
        <v>Tire</v>
      </c>
    </row>
    <row r="6387" ht="22.5" customHeight="1">
      <c r="A6387" s="49"/>
      <c r="C6387" s="400">
        <v>46025.0</v>
      </c>
      <c r="D6387" s="524">
        <v>8457.0</v>
      </c>
      <c r="E6387" s="544" t="s">
        <v>268</v>
      </c>
      <c r="F6387" s="387">
        <v>1.0</v>
      </c>
      <c r="G6387" s="140">
        <v>710000.0</v>
      </c>
      <c r="H6387" s="74"/>
      <c r="I6387" s="74">
        <f t="shared" si="1"/>
        <v>710000</v>
      </c>
      <c r="J6387" s="74">
        <f>IF(E6387="SERVICE",I6387-(I6387*50%),Vlookup(E6387,DATABASE!C:Q,10,false)*F6387)</f>
        <v>0</v>
      </c>
      <c r="K6387" s="74">
        <f>VLOOKUP(E6387,DATABASE!C:Q,7,false)</f>
        <v>653000</v>
      </c>
      <c r="L6387" s="74">
        <v>622000.0</v>
      </c>
      <c r="M6387" s="74">
        <f t="shared" si="2"/>
        <v>625000</v>
      </c>
      <c r="N6387" s="74">
        <f t="shared" si="3"/>
        <v>85000</v>
      </c>
      <c r="O6387" s="65" t="str">
        <f>VLOOKUP(E6387,DATABASE!C:Q,8,false)</f>
        <v>IBU</v>
      </c>
      <c r="P6387" s="65">
        <f>VLOOKUP(E6387,DATABASE!C:Q,9,False)</f>
        <v>1</v>
      </c>
      <c r="Q6387" s="93" t="str">
        <f>VLOOKUP(E6387,DATABASE!C:Q,4,false)</f>
        <v>Dunlop</v>
      </c>
      <c r="R6387" s="93" t="str">
        <f>VLOOKUP(E6387,DATABASE!C:Q,11,false)</f>
        <v>Tire</v>
      </c>
    </row>
    <row r="6388" ht="22.5" customHeight="1">
      <c r="A6388" s="49"/>
      <c r="C6388" s="400">
        <v>46025.0</v>
      </c>
      <c r="D6388" s="524">
        <v>8458.0</v>
      </c>
      <c r="E6388" s="544" t="s">
        <v>1439</v>
      </c>
      <c r="F6388" s="387">
        <v>2.0</v>
      </c>
      <c r="G6388" s="140">
        <v>640000.0</v>
      </c>
      <c r="H6388" s="140">
        <v>10000.0</v>
      </c>
      <c r="I6388" s="74">
        <f t="shared" si="1"/>
        <v>1260000</v>
      </c>
      <c r="J6388" s="74">
        <f>IF(E6388="SERVICE",I6388-(I6388*50%),Vlookup(E6388,DATABASE!C:Q,10,false)*F6388)</f>
        <v>0</v>
      </c>
      <c r="K6388" s="74">
        <f>VLOOKUP(E6388,DATABASE!C:Q,7,false)</f>
        <v>556800</v>
      </c>
      <c r="L6388" s="74">
        <v>540800.0</v>
      </c>
      <c r="M6388" s="74">
        <f t="shared" si="2"/>
        <v>545000</v>
      </c>
      <c r="N6388" s="74">
        <f t="shared" si="3"/>
        <v>170000</v>
      </c>
      <c r="O6388" s="65" t="str">
        <f>VLOOKUP(E6388,DATABASE!C:Q,8,false)</f>
        <v>BIAN</v>
      </c>
      <c r="P6388" s="65">
        <f>VLOOKUP(E6388,DATABASE!C:Q,9,False)</f>
        <v>1</v>
      </c>
      <c r="Q6388" s="93" t="str">
        <f>VLOOKUP(E6388,DATABASE!C:Q,4,false)</f>
        <v>GT</v>
      </c>
      <c r="R6388" s="93" t="str">
        <f>VLOOKUP(E6388,DATABASE!C:Q,11,false)</f>
        <v>Tire</v>
      </c>
    </row>
    <row r="6389" ht="22.5" customHeight="1">
      <c r="A6389" s="49"/>
      <c r="C6389" s="400">
        <v>46025.0</v>
      </c>
      <c r="D6389" s="524">
        <v>8459.0</v>
      </c>
      <c r="E6389" s="544" t="s">
        <v>251</v>
      </c>
      <c r="F6389" s="387">
        <v>1.0</v>
      </c>
      <c r="G6389" s="140">
        <v>350000.0</v>
      </c>
      <c r="H6389" s="140">
        <v>150000.0</v>
      </c>
      <c r="I6389" s="74">
        <f t="shared" si="1"/>
        <v>200000</v>
      </c>
      <c r="J6389" s="74">
        <f>IF(E6389="SERVICE",I6389-(I6389*50%),Vlookup(E6389,DATABASE!C:Q,10,false)*F6389)</f>
        <v>100000</v>
      </c>
      <c r="K6389" s="74">
        <f>VLOOKUP(E6389,DATABASE!C:Q,7,false)</f>
        <v>0</v>
      </c>
      <c r="L6389" s="74">
        <v>0.0</v>
      </c>
      <c r="M6389" s="74">
        <f t="shared" si="2"/>
        <v>0</v>
      </c>
      <c r="N6389" s="74">
        <f t="shared" si="3"/>
        <v>100000</v>
      </c>
      <c r="O6389" s="65" t="str">
        <f>VLOOKUP(E6389,DATABASE!C:Q,8,false)</f>
        <v>IBU</v>
      </c>
      <c r="P6389" s="65">
        <f>VLOOKUP(E6389,DATABASE!C:Q,9,False)</f>
        <v>0</v>
      </c>
      <c r="Q6389" s="93" t="str">
        <f>VLOOKUP(E6389,DATABASE!C:Q,4,false)</f>
        <v>SERVICE</v>
      </c>
      <c r="R6389" s="93" t="str">
        <f>VLOOKUP(E6389,DATABASE!C:Q,11,false)</f>
        <v>SERVICE</v>
      </c>
    </row>
    <row r="6390" ht="22.5" customHeight="1">
      <c r="A6390" s="49"/>
      <c r="C6390" s="400">
        <v>46025.0</v>
      </c>
      <c r="D6390" s="524">
        <v>8459.0</v>
      </c>
      <c r="E6390" s="544" t="s">
        <v>262</v>
      </c>
      <c r="F6390" s="387">
        <v>1.0</v>
      </c>
      <c r="G6390" s="140">
        <v>110000.0</v>
      </c>
      <c r="H6390" s="74"/>
      <c r="I6390" s="74">
        <f t="shared" si="1"/>
        <v>110000</v>
      </c>
      <c r="J6390" s="74">
        <f>IF(E6390="SERVICE",I6390-(I6390*50%),Vlookup(E6390,DATABASE!C:Q,10,false)*F6390)</f>
        <v>5000</v>
      </c>
      <c r="K6390" s="74">
        <f>VLOOKUP(E6390,DATABASE!C:Q,7,false)</f>
        <v>0</v>
      </c>
      <c r="L6390" s="74">
        <v>0.0</v>
      </c>
      <c r="M6390" s="74">
        <f t="shared" si="2"/>
        <v>0</v>
      </c>
      <c r="N6390" s="74">
        <f t="shared" si="3"/>
        <v>105000</v>
      </c>
      <c r="O6390" s="65" t="str">
        <f>VLOOKUP(E6390,DATABASE!C:Q,8,false)</f>
        <v>IBU</v>
      </c>
      <c r="P6390" s="65">
        <f>VLOOKUP(E6390,DATABASE!C:Q,9,False)</f>
        <v>0</v>
      </c>
      <c r="Q6390" s="93" t="str">
        <f>VLOOKUP(E6390,DATABASE!C:Q,4,false)</f>
        <v>SPOORING SS/CARRY LOS BAK</v>
      </c>
      <c r="R6390" s="93" t="str">
        <f>VLOOKUP(E6390,DATABASE!C:Q,11,false)</f>
        <v>SERVICE</v>
      </c>
    </row>
    <row r="6391" ht="22.5" customHeight="1">
      <c r="A6391" s="49"/>
      <c r="C6391" s="400">
        <v>46025.0</v>
      </c>
      <c r="D6391" s="524">
        <v>8460.0</v>
      </c>
      <c r="E6391" s="544" t="s">
        <v>256</v>
      </c>
      <c r="F6391" s="387">
        <v>1.0</v>
      </c>
      <c r="G6391" s="140">
        <v>150000.0</v>
      </c>
      <c r="H6391" s="140">
        <v>20000.0</v>
      </c>
      <c r="I6391" s="74">
        <f t="shared" si="1"/>
        <v>130000</v>
      </c>
      <c r="J6391" s="74">
        <f>IF(E6391="SERVICE",I6391-(I6391*50%),Vlookup(E6391,DATABASE!C:Q,10,false)*F6391)</f>
        <v>10000</v>
      </c>
      <c r="K6391" s="74">
        <f>VLOOKUP(E6391,DATABASE!C:Q,7,false)</f>
        <v>0</v>
      </c>
      <c r="L6391" s="74">
        <v>0.0</v>
      </c>
      <c r="M6391" s="74">
        <f t="shared" si="2"/>
        <v>0</v>
      </c>
      <c r="N6391" s="74">
        <f t="shared" si="3"/>
        <v>120000</v>
      </c>
      <c r="O6391" s="65" t="str">
        <f>VLOOKUP(E6391,DATABASE!C:Q,8,false)</f>
        <v>IBU</v>
      </c>
      <c r="P6391" s="65">
        <f>VLOOKUP(E6391,DATABASE!C:Q,9,False)</f>
        <v>0</v>
      </c>
      <c r="Q6391" s="93" t="str">
        <f>VLOOKUP(E6391,DATABASE!C:Q,4,false)</f>
        <v>SPOORING</v>
      </c>
      <c r="R6391" s="93" t="str">
        <f>VLOOKUP(E6391,DATABASE!C:Q,11,false)</f>
        <v>SERVICE</v>
      </c>
    </row>
    <row r="6392" ht="22.5" customHeight="1">
      <c r="A6392" s="49"/>
      <c r="C6392" s="400">
        <v>46025.0</v>
      </c>
      <c r="D6392" s="524">
        <v>8460.0</v>
      </c>
      <c r="E6392" s="544" t="s">
        <v>301</v>
      </c>
      <c r="F6392" s="387">
        <v>1.0</v>
      </c>
      <c r="G6392" s="140">
        <v>250000.0</v>
      </c>
      <c r="H6392" s="74"/>
      <c r="I6392" s="74">
        <f t="shared" si="1"/>
        <v>250000</v>
      </c>
      <c r="J6392" s="74">
        <f>IF(E6392="SERVICE",I6392-(I6392*50%),Vlookup(E6392,DATABASE!C:Q,10,false)*F6392)</f>
        <v>75000</v>
      </c>
      <c r="K6392" s="74">
        <f>VLOOKUP(E6392,DATABASE!C:Q,7,false)</f>
        <v>75000</v>
      </c>
      <c r="L6392" s="74">
        <v>75000.0</v>
      </c>
      <c r="M6392" s="74">
        <f t="shared" si="2"/>
        <v>75000</v>
      </c>
      <c r="N6392" s="74">
        <f t="shared" si="3"/>
        <v>100000</v>
      </c>
      <c r="O6392" s="65" t="str">
        <f>VLOOKUP(E6392,DATABASE!C:Q,8,false)</f>
        <v>BIAN</v>
      </c>
      <c r="P6392" s="65">
        <f>VLOOKUP(E6392,DATABASE!C:Q,9,False)</f>
        <v>0</v>
      </c>
      <c r="Q6392" s="93" t="str">
        <f>VLOOKUP(E6392,DATABASE!C:Q,4,false)</f>
        <v>Baut Camber</v>
      </c>
      <c r="R6392" s="93" t="str">
        <f>VLOOKUP(E6392,DATABASE!C:Q,11,false)</f>
        <v>COMPLEMENTARY</v>
      </c>
    </row>
    <row r="6393" ht="22.5" customHeight="1">
      <c r="A6393" s="49"/>
      <c r="C6393" s="400">
        <v>46025.0</v>
      </c>
      <c r="D6393" s="524">
        <v>8461.0</v>
      </c>
      <c r="E6393" s="544" t="s">
        <v>946</v>
      </c>
      <c r="F6393" s="387">
        <v>2.0</v>
      </c>
      <c r="G6393" s="140">
        <v>909000.0</v>
      </c>
      <c r="H6393" s="140">
        <v>9000.0</v>
      </c>
      <c r="I6393" s="74">
        <f t="shared" si="1"/>
        <v>1800000</v>
      </c>
      <c r="J6393" s="74">
        <f>IF(E6393="SERVICE",I6393-(I6393*50%),Vlookup(E6393,DATABASE!C:Q,10,false)*F6393)</f>
        <v>0</v>
      </c>
      <c r="K6393" s="74">
        <f>VLOOKUP(E6393,DATABASE!C:Q,7,false)</f>
        <v>809000</v>
      </c>
      <c r="L6393" s="74">
        <v>809000.0</v>
      </c>
      <c r="M6393" s="74">
        <f t="shared" si="2"/>
        <v>810000</v>
      </c>
      <c r="N6393" s="74">
        <f t="shared" si="3"/>
        <v>180000</v>
      </c>
      <c r="O6393" s="65" t="str">
        <f>VLOOKUP(E6393,DATABASE!C:Q,8,false)</f>
        <v>IBU</v>
      </c>
      <c r="P6393" s="65">
        <f>VLOOKUP(E6393,DATABASE!C:Q,9,False)</f>
        <v>1</v>
      </c>
      <c r="Q6393" s="93" t="str">
        <f>VLOOKUP(E6393,DATABASE!C:Q,4,false)</f>
        <v>Dunlop</v>
      </c>
      <c r="R6393" s="93" t="str">
        <f>VLOOKUP(E6393,DATABASE!C:Q,11,false)</f>
        <v>Tire</v>
      </c>
    </row>
    <row r="6394" ht="22.5" customHeight="1">
      <c r="A6394" s="49"/>
      <c r="C6394" s="400">
        <v>46025.0</v>
      </c>
      <c r="D6394" s="524">
        <v>8462.0</v>
      </c>
      <c r="E6394" s="544" t="s">
        <v>613</v>
      </c>
      <c r="F6394" s="387">
        <v>1.0</v>
      </c>
      <c r="G6394" s="140">
        <v>95000.0</v>
      </c>
      <c r="H6394" s="74"/>
      <c r="I6394" s="74">
        <f t="shared" si="1"/>
        <v>95000</v>
      </c>
      <c r="J6394" s="74">
        <f>IF(E6394="SERVICE",I6394-(I6394*50%),Vlookup(E6394,DATABASE!C:Q,10,false)*F6394)</f>
        <v>0</v>
      </c>
      <c r="K6394" s="74">
        <f>VLOOKUP(E6394,DATABASE!C:Q,7,false)</f>
        <v>58371.2695</v>
      </c>
      <c r="L6394" s="74">
        <v>55000.0</v>
      </c>
      <c r="M6394" s="74">
        <f t="shared" si="2"/>
        <v>55000</v>
      </c>
      <c r="N6394" s="74">
        <f t="shared" si="3"/>
        <v>40000</v>
      </c>
      <c r="O6394" s="65" t="str">
        <f>VLOOKUP(E6394,DATABASE!C:Q,8,false)</f>
        <v>BIAN</v>
      </c>
      <c r="P6394" s="65">
        <f>VLOOKUP(E6394,DATABASE!C:Q,9,False)</f>
        <v>1</v>
      </c>
      <c r="Q6394" s="93" t="str">
        <f>VLOOKUP(E6394,DATABASE!C:Q,4,false)</f>
        <v>BD</v>
      </c>
      <c r="R6394" s="93" t="str">
        <f>VLOOKUP(E6394,DATABASE!C:Q,11,false)</f>
        <v>Tire</v>
      </c>
    </row>
    <row r="6395" ht="22.5" customHeight="1">
      <c r="A6395" s="49"/>
      <c r="C6395" s="400">
        <v>46025.0</v>
      </c>
      <c r="D6395" s="524">
        <v>8463.0</v>
      </c>
      <c r="E6395" s="544" t="s">
        <v>256</v>
      </c>
      <c r="F6395" s="387">
        <v>1.0</v>
      </c>
      <c r="G6395" s="140">
        <v>150000.0</v>
      </c>
      <c r="H6395" s="140">
        <v>20000.0</v>
      </c>
      <c r="I6395" s="74">
        <f t="shared" si="1"/>
        <v>130000</v>
      </c>
      <c r="J6395" s="74">
        <f>IF(E6395="SERVICE",I6395-(I6395*50%),Vlookup(E6395,DATABASE!C:Q,10,false)*F6395)</f>
        <v>10000</v>
      </c>
      <c r="K6395" s="74">
        <f>VLOOKUP(E6395,DATABASE!C:Q,7,false)</f>
        <v>0</v>
      </c>
      <c r="L6395" s="74">
        <v>0.0</v>
      </c>
      <c r="M6395" s="74">
        <f t="shared" si="2"/>
        <v>0</v>
      </c>
      <c r="N6395" s="74">
        <f t="shared" si="3"/>
        <v>120000</v>
      </c>
      <c r="O6395" s="65" t="str">
        <f>VLOOKUP(E6395,DATABASE!C:Q,8,false)</f>
        <v>IBU</v>
      </c>
      <c r="P6395" s="65">
        <f>VLOOKUP(E6395,DATABASE!C:Q,9,False)</f>
        <v>0</v>
      </c>
      <c r="Q6395" s="93" t="str">
        <f>VLOOKUP(E6395,DATABASE!C:Q,4,false)</f>
        <v>SPOORING</v>
      </c>
      <c r="R6395" s="93" t="str">
        <f>VLOOKUP(E6395,DATABASE!C:Q,11,false)</f>
        <v>SERVICE</v>
      </c>
    </row>
    <row r="6396" ht="22.5" customHeight="1">
      <c r="A6396" s="49"/>
      <c r="C6396" s="400">
        <v>46025.0</v>
      </c>
      <c r="D6396" s="524">
        <v>8464.0</v>
      </c>
      <c r="E6396" s="544" t="s">
        <v>591</v>
      </c>
      <c r="F6396" s="387">
        <v>4.0</v>
      </c>
      <c r="G6396" s="140">
        <v>700000.0</v>
      </c>
      <c r="H6396" s="74"/>
      <c r="I6396" s="74">
        <f t="shared" si="1"/>
        <v>2800000</v>
      </c>
      <c r="J6396" s="74">
        <f>IF(E6396="SERVICE",I6396-(I6396*50%),Vlookup(E6396,DATABASE!C:Q,10,false)*F6396)</f>
        <v>0</v>
      </c>
      <c r="K6396" s="74">
        <f>VLOOKUP(E6396,DATABASE!C:Q,7,false)</f>
        <v>633035.16</v>
      </c>
      <c r="L6396" s="74">
        <v>596694.4</v>
      </c>
      <c r="M6396" s="74">
        <f t="shared" si="2"/>
        <v>600000</v>
      </c>
      <c r="N6396" s="74">
        <f t="shared" si="3"/>
        <v>400000</v>
      </c>
      <c r="O6396" s="65" t="str">
        <f>VLOOKUP(E6396,DATABASE!C:Q,8,false)</f>
        <v>IBU</v>
      </c>
      <c r="P6396" s="65">
        <f>VLOOKUP(E6396,DATABASE!C:Q,9,False)</f>
        <v>1</v>
      </c>
      <c r="Q6396" s="93" t="str">
        <f>VLOOKUP(E6396,DATABASE!C:Q,4,false)</f>
        <v>Bridgestone</v>
      </c>
      <c r="R6396" s="93" t="str">
        <f>VLOOKUP(E6396,DATABASE!C:Q,11,false)</f>
        <v>Tire</v>
      </c>
    </row>
    <row r="6397" ht="22.5" customHeight="1">
      <c r="A6397" s="49"/>
      <c r="C6397" s="400">
        <v>46025.0</v>
      </c>
      <c r="D6397" s="524">
        <v>8465.0</v>
      </c>
      <c r="E6397" s="544" t="s">
        <v>627</v>
      </c>
      <c r="F6397" s="387">
        <v>2.0</v>
      </c>
      <c r="G6397" s="140">
        <v>950000.0</v>
      </c>
      <c r="H6397" s="140">
        <v>20000.0</v>
      </c>
      <c r="I6397" s="74">
        <f t="shared" si="1"/>
        <v>1860000</v>
      </c>
      <c r="J6397" s="74">
        <f>IF(E6397="SERVICE",I6397-(I6397*50%),Vlookup(E6397,DATABASE!C:Q,10,false)*F6397)</f>
        <v>0</v>
      </c>
      <c r="K6397" s="74">
        <f>VLOOKUP(E6397,DATABASE!C:Q,7,false)</f>
        <v>879567</v>
      </c>
      <c r="L6397" s="74">
        <v>830273.6</v>
      </c>
      <c r="M6397" s="74">
        <f t="shared" si="2"/>
        <v>835000</v>
      </c>
      <c r="N6397" s="74">
        <f t="shared" si="3"/>
        <v>190000</v>
      </c>
      <c r="O6397" s="65" t="str">
        <f>VLOOKUP(E6397,DATABASE!C:Q,8,false)</f>
        <v>IBU</v>
      </c>
      <c r="P6397" s="65">
        <f>VLOOKUP(E6397,DATABASE!C:Q,9,False)</f>
        <v>1</v>
      </c>
      <c r="Q6397" s="93" t="str">
        <f>VLOOKUP(E6397,DATABASE!C:Q,4,false)</f>
        <v>Bridgestone</v>
      </c>
      <c r="R6397" s="93" t="str">
        <f>VLOOKUP(E6397,DATABASE!C:Q,11,false)</f>
        <v>Tire</v>
      </c>
    </row>
    <row r="6398" ht="22.5" customHeight="1">
      <c r="A6398" s="49"/>
      <c r="C6398" s="400">
        <v>46025.0</v>
      </c>
      <c r="D6398" s="524">
        <v>8465.0</v>
      </c>
      <c r="E6398" s="544" t="s">
        <v>299</v>
      </c>
      <c r="F6398" s="387">
        <v>2.0</v>
      </c>
      <c r="G6398" s="140">
        <v>30000.0</v>
      </c>
      <c r="H6398" s="74"/>
      <c r="I6398" s="74">
        <f t="shared" si="1"/>
        <v>60000</v>
      </c>
      <c r="J6398" s="74">
        <f>IF(E6398="SERVICE",I6398-(I6398*50%),Vlookup(E6398,DATABASE!C:Q,10,false)*F6398)</f>
        <v>0</v>
      </c>
      <c r="K6398" s="74">
        <f>VLOOKUP(E6398,DATABASE!C:Q,7,false)</f>
        <v>10000</v>
      </c>
      <c r="L6398" s="74">
        <v>5000.0</v>
      </c>
      <c r="M6398" s="74">
        <f t="shared" si="2"/>
        <v>5000</v>
      </c>
      <c r="N6398" s="74">
        <f t="shared" si="3"/>
        <v>50000</v>
      </c>
      <c r="O6398" s="65" t="str">
        <f>VLOOKUP(E6398,DATABASE!C:Q,8,false)</f>
        <v>BIAN</v>
      </c>
      <c r="P6398" s="65">
        <f>VLOOKUP(E6398,DATABASE!C:Q,9,False)</f>
        <v>0</v>
      </c>
      <c r="Q6398" s="93" t="str">
        <f>VLOOKUP(E6398,DATABASE!C:Q,4,false)</f>
        <v>Balancing</v>
      </c>
      <c r="R6398" s="93" t="str">
        <f>VLOOKUP(E6398,DATABASE!C:Q,11,false)</f>
        <v>COMPLEMENTARY</v>
      </c>
    </row>
    <row r="6399" ht="22.5" customHeight="1">
      <c r="A6399" s="49"/>
      <c r="C6399" s="400">
        <v>46025.0</v>
      </c>
      <c r="D6399" s="524">
        <v>8466.0</v>
      </c>
      <c r="E6399" s="544" t="s">
        <v>256</v>
      </c>
      <c r="F6399" s="387">
        <v>1.0</v>
      </c>
      <c r="G6399" s="140">
        <v>150000.0</v>
      </c>
      <c r="H6399" s="140">
        <v>20000.0</v>
      </c>
      <c r="I6399" s="74">
        <f t="shared" si="1"/>
        <v>130000</v>
      </c>
      <c r="J6399" s="74">
        <f>IF(E6399="SERVICE",I6399-(I6399*50%),Vlookup(E6399,DATABASE!C:Q,10,false)*F6399)</f>
        <v>10000</v>
      </c>
      <c r="K6399" s="74">
        <f>VLOOKUP(E6399,DATABASE!C:Q,7,false)</f>
        <v>0</v>
      </c>
      <c r="L6399" s="74">
        <v>0.0</v>
      </c>
      <c r="M6399" s="74">
        <f t="shared" si="2"/>
        <v>0</v>
      </c>
      <c r="N6399" s="74">
        <f t="shared" si="3"/>
        <v>120000</v>
      </c>
      <c r="O6399" s="65" t="str">
        <f>VLOOKUP(E6399,DATABASE!C:Q,8,false)</f>
        <v>IBU</v>
      </c>
      <c r="P6399" s="65">
        <f>VLOOKUP(E6399,DATABASE!C:Q,9,False)</f>
        <v>0</v>
      </c>
      <c r="Q6399" s="93" t="str">
        <f>VLOOKUP(E6399,DATABASE!C:Q,4,false)</f>
        <v>SPOORING</v>
      </c>
      <c r="R6399" s="93" t="str">
        <f>VLOOKUP(E6399,DATABASE!C:Q,11,false)</f>
        <v>SERVICE</v>
      </c>
    </row>
    <row r="6400" ht="22.5" customHeight="1">
      <c r="A6400" s="49"/>
      <c r="C6400" s="400">
        <v>46025.0</v>
      </c>
      <c r="D6400" s="524">
        <v>8466.0</v>
      </c>
      <c r="E6400" s="544" t="s">
        <v>299</v>
      </c>
      <c r="F6400" s="387">
        <v>2.0</v>
      </c>
      <c r="G6400" s="140">
        <v>30000.0</v>
      </c>
      <c r="H6400" s="74"/>
      <c r="I6400" s="74">
        <f t="shared" si="1"/>
        <v>60000</v>
      </c>
      <c r="J6400" s="74">
        <f>IF(E6400="SERVICE",I6400-(I6400*50%),Vlookup(E6400,DATABASE!C:Q,10,false)*F6400)</f>
        <v>0</v>
      </c>
      <c r="K6400" s="74">
        <f>VLOOKUP(E6400,DATABASE!C:Q,7,false)</f>
        <v>10000</v>
      </c>
      <c r="L6400" s="74">
        <v>5000.0</v>
      </c>
      <c r="M6400" s="74">
        <f t="shared" si="2"/>
        <v>5000</v>
      </c>
      <c r="N6400" s="74">
        <f t="shared" si="3"/>
        <v>50000</v>
      </c>
      <c r="O6400" s="65" t="str">
        <f>VLOOKUP(E6400,DATABASE!C:Q,8,false)</f>
        <v>BIAN</v>
      </c>
      <c r="P6400" s="65">
        <f>VLOOKUP(E6400,DATABASE!C:Q,9,False)</f>
        <v>0</v>
      </c>
      <c r="Q6400" s="93" t="str">
        <f>VLOOKUP(E6400,DATABASE!C:Q,4,false)</f>
        <v>Balancing</v>
      </c>
      <c r="R6400" s="93" t="str">
        <f>VLOOKUP(E6400,DATABASE!C:Q,11,false)</f>
        <v>COMPLEMENTARY</v>
      </c>
    </row>
    <row r="6401" ht="22.5" customHeight="1">
      <c r="A6401" s="49"/>
      <c r="C6401" s="400">
        <v>46025.0</v>
      </c>
      <c r="D6401" s="524">
        <v>8466.0</v>
      </c>
      <c r="E6401" s="544" t="s">
        <v>301</v>
      </c>
      <c r="F6401" s="387">
        <v>1.0</v>
      </c>
      <c r="G6401" s="140">
        <v>250000.0</v>
      </c>
      <c r="H6401" s="74"/>
      <c r="I6401" s="74">
        <f t="shared" si="1"/>
        <v>250000</v>
      </c>
      <c r="J6401" s="74">
        <f>IF(E6401="SERVICE",I6401-(I6401*50%),Vlookup(E6401,DATABASE!C:Q,10,false)*F6401)</f>
        <v>75000</v>
      </c>
      <c r="K6401" s="74">
        <f>VLOOKUP(E6401,DATABASE!C:Q,7,false)</f>
        <v>75000</v>
      </c>
      <c r="L6401" s="74">
        <v>75000.0</v>
      </c>
      <c r="M6401" s="74">
        <f t="shared" si="2"/>
        <v>75000</v>
      </c>
      <c r="N6401" s="74">
        <f t="shared" si="3"/>
        <v>100000</v>
      </c>
      <c r="O6401" s="65" t="str">
        <f>VLOOKUP(E6401,DATABASE!C:Q,8,false)</f>
        <v>BIAN</v>
      </c>
      <c r="P6401" s="65">
        <f>VLOOKUP(E6401,DATABASE!C:Q,9,False)</f>
        <v>0</v>
      </c>
      <c r="Q6401" s="93" t="str">
        <f>VLOOKUP(E6401,DATABASE!C:Q,4,false)</f>
        <v>Baut Camber</v>
      </c>
      <c r="R6401" s="93" t="str">
        <f>VLOOKUP(E6401,DATABASE!C:Q,11,false)</f>
        <v>COMPLEMENTARY</v>
      </c>
    </row>
    <row r="6402" ht="22.5" customHeight="1">
      <c r="A6402" s="49"/>
      <c r="C6402" s="400">
        <v>46025.0</v>
      </c>
      <c r="D6402" s="69" t="s">
        <v>2674</v>
      </c>
      <c r="E6402" s="544" t="s">
        <v>263</v>
      </c>
      <c r="F6402" s="387">
        <v>1.0</v>
      </c>
      <c r="G6402" s="140">
        <v>320000.0</v>
      </c>
      <c r="H6402" s="74"/>
      <c r="I6402" s="74">
        <f t="shared" si="1"/>
        <v>320000</v>
      </c>
      <c r="J6402" s="74">
        <f>IF(E6402="SERVICE",I6402-(I6402*50%),Vlookup(E6402,DATABASE!C:Q,10,false)*F6402)</f>
        <v>0</v>
      </c>
      <c r="K6402" s="74">
        <f>VLOOKUP(E6402,DATABASE!C:Q,7,false)</f>
        <v>334916</v>
      </c>
      <c r="L6402" s="74">
        <v>287688.0</v>
      </c>
      <c r="M6402" s="74">
        <f t="shared" si="2"/>
        <v>290000</v>
      </c>
      <c r="N6402" s="74">
        <f t="shared" si="3"/>
        <v>30000</v>
      </c>
      <c r="O6402" s="65" t="str">
        <f>VLOOKUP(E6402,DATABASE!C:Q,8,false)</f>
        <v>NON</v>
      </c>
      <c r="P6402" s="65">
        <f>VLOOKUP(E6402,DATABASE!C:Q,9,False)</f>
        <v>0</v>
      </c>
      <c r="Q6402" s="93" t="str">
        <f>VLOOKUP(E6402,DATABASE!C:Q,4,false)</f>
        <v>Shell</v>
      </c>
      <c r="R6402" s="93" t="str">
        <f>VLOOKUP(E6402,DATABASE!C:Q,11,false)</f>
        <v>OIL</v>
      </c>
    </row>
    <row r="6403" ht="22.5" customHeight="1">
      <c r="A6403" s="49"/>
      <c r="C6403" s="400">
        <v>46026.0</v>
      </c>
      <c r="D6403" s="524">
        <v>8467.0</v>
      </c>
      <c r="E6403" s="544" t="s">
        <v>268</v>
      </c>
      <c r="F6403" s="387">
        <v>2.0</v>
      </c>
      <c r="G6403" s="140">
        <v>710000.0</v>
      </c>
      <c r="H6403" s="74"/>
      <c r="I6403" s="74">
        <f t="shared" si="1"/>
        <v>1420000</v>
      </c>
      <c r="J6403" s="74">
        <f>IF(E6403="SERVICE",I6403-(I6403*50%),Vlookup(E6403,DATABASE!C:Q,10,false)*F6403)</f>
        <v>0</v>
      </c>
      <c r="K6403" s="74">
        <f>VLOOKUP(E6403,DATABASE!C:Q,7,false)</f>
        <v>653000</v>
      </c>
      <c r="L6403" s="74">
        <v>622000.0</v>
      </c>
      <c r="M6403" s="74">
        <f t="shared" si="2"/>
        <v>625000</v>
      </c>
      <c r="N6403" s="74">
        <f t="shared" si="3"/>
        <v>170000</v>
      </c>
      <c r="O6403" s="65" t="str">
        <f>VLOOKUP(E6403,DATABASE!C:Q,8,false)</f>
        <v>IBU</v>
      </c>
      <c r="P6403" s="65">
        <f>VLOOKUP(E6403,DATABASE!C:Q,9,False)</f>
        <v>1</v>
      </c>
      <c r="Q6403" s="93" t="str">
        <f>VLOOKUP(E6403,DATABASE!C:Q,4,false)</f>
        <v>Dunlop</v>
      </c>
      <c r="R6403" s="93" t="str">
        <f>VLOOKUP(E6403,DATABASE!C:Q,11,false)</f>
        <v>Tire</v>
      </c>
    </row>
    <row r="6404" ht="22.5" customHeight="1">
      <c r="A6404" s="49"/>
      <c r="C6404" s="400">
        <v>46026.0</v>
      </c>
      <c r="D6404" s="524">
        <v>8468.0</v>
      </c>
      <c r="E6404" s="544" t="s">
        <v>262</v>
      </c>
      <c r="F6404" s="387">
        <v>1.0</v>
      </c>
      <c r="G6404" s="140">
        <v>110000.0</v>
      </c>
      <c r="H6404" s="74"/>
      <c r="I6404" s="74">
        <f t="shared" si="1"/>
        <v>110000</v>
      </c>
      <c r="J6404" s="74">
        <f>IF(E6404="SERVICE",I6404-(I6404*50%),Vlookup(E6404,DATABASE!C:Q,10,false)*F6404)</f>
        <v>5000</v>
      </c>
      <c r="K6404" s="74">
        <f>VLOOKUP(E6404,DATABASE!C:Q,7,false)</f>
        <v>0</v>
      </c>
      <c r="L6404" s="74">
        <v>0.0</v>
      </c>
      <c r="M6404" s="74">
        <f t="shared" si="2"/>
        <v>0</v>
      </c>
      <c r="N6404" s="74">
        <f t="shared" si="3"/>
        <v>105000</v>
      </c>
      <c r="O6404" s="65" t="str">
        <f>VLOOKUP(E6404,DATABASE!C:Q,8,false)</f>
        <v>IBU</v>
      </c>
      <c r="P6404" s="65">
        <f>VLOOKUP(E6404,DATABASE!C:Q,9,False)</f>
        <v>0</v>
      </c>
      <c r="Q6404" s="93" t="str">
        <f>VLOOKUP(E6404,DATABASE!C:Q,4,false)</f>
        <v>SPOORING SS/CARRY LOS BAK</v>
      </c>
      <c r="R6404" s="93" t="str">
        <f>VLOOKUP(E6404,DATABASE!C:Q,11,false)</f>
        <v>SERVICE</v>
      </c>
    </row>
    <row r="6405" ht="22.5" customHeight="1">
      <c r="A6405" s="49"/>
      <c r="C6405" s="400">
        <v>46026.0</v>
      </c>
      <c r="D6405" s="524">
        <v>8468.0</v>
      </c>
      <c r="E6405" s="544" t="s">
        <v>251</v>
      </c>
      <c r="F6405" s="387">
        <v>1.0</v>
      </c>
      <c r="G6405" s="140">
        <v>350000.0</v>
      </c>
      <c r="H6405" s="140">
        <v>210000.0</v>
      </c>
      <c r="I6405" s="74">
        <f t="shared" si="1"/>
        <v>140000</v>
      </c>
      <c r="J6405" s="74">
        <f>IF(E6405="SERVICE",I6405-(I6405*50%),Vlookup(E6405,DATABASE!C:Q,10,false)*F6405)</f>
        <v>70000</v>
      </c>
      <c r="K6405" s="74">
        <f>VLOOKUP(E6405,DATABASE!C:Q,7,false)</f>
        <v>0</v>
      </c>
      <c r="L6405" s="74">
        <v>0.0</v>
      </c>
      <c r="M6405" s="74">
        <f t="shared" si="2"/>
        <v>0</v>
      </c>
      <c r="N6405" s="74">
        <f t="shared" si="3"/>
        <v>70000</v>
      </c>
      <c r="O6405" s="65" t="str">
        <f>VLOOKUP(E6405,DATABASE!C:Q,8,false)</f>
        <v>IBU</v>
      </c>
      <c r="P6405" s="65">
        <f>VLOOKUP(E6405,DATABASE!C:Q,9,False)</f>
        <v>0</v>
      </c>
      <c r="Q6405" s="93" t="str">
        <f>VLOOKUP(E6405,DATABASE!C:Q,4,false)</f>
        <v>SERVICE</v>
      </c>
      <c r="R6405" s="93" t="str">
        <f>VLOOKUP(E6405,DATABASE!C:Q,11,false)</f>
        <v>SERVICE</v>
      </c>
    </row>
    <row r="6406" ht="22.5" customHeight="1">
      <c r="A6406" s="49"/>
      <c r="C6406" s="400">
        <v>46026.0</v>
      </c>
      <c r="D6406" s="524">
        <v>8468.0</v>
      </c>
      <c r="E6406" s="544" t="s">
        <v>478</v>
      </c>
      <c r="F6406" s="387">
        <v>1.0</v>
      </c>
      <c r="G6406" s="140">
        <v>200000.0</v>
      </c>
      <c r="H6406" s="74"/>
      <c r="I6406" s="74">
        <f t="shared" si="1"/>
        <v>200000</v>
      </c>
      <c r="J6406" s="74">
        <f>IF(E6406="SERVICE",I6406-(I6406*50%),Vlookup(E6406,DATABASE!C:Q,10,false)*F6406)</f>
        <v>25000</v>
      </c>
      <c r="K6406" s="74">
        <f>VLOOKUP(E6406,DATABASE!C:Q,7,false)</f>
        <v>75000</v>
      </c>
      <c r="L6406" s="74">
        <v>75000.0</v>
      </c>
      <c r="M6406" s="74">
        <f t="shared" si="2"/>
        <v>75000</v>
      </c>
      <c r="N6406" s="74">
        <f t="shared" si="3"/>
        <v>100000</v>
      </c>
      <c r="O6406" s="65" t="str">
        <f>VLOOKUP(E6406,DATABASE!C:Q,8,false)</f>
        <v>BIAN</v>
      </c>
      <c r="P6406" s="65">
        <f>VLOOKUP(E6406,DATABASE!C:Q,9,False)</f>
        <v>0</v>
      </c>
      <c r="Q6406" s="93" t="str">
        <f>VLOOKUP(E6406,DATABASE!C:Q,4,false)</f>
        <v>Baut Camber ss-carry</v>
      </c>
      <c r="R6406" s="93" t="str">
        <f>VLOOKUP(E6406,DATABASE!C:Q,11,false)</f>
        <v>COMPLEMENTARY</v>
      </c>
    </row>
    <row r="6407" ht="22.5" customHeight="1">
      <c r="A6407" s="49"/>
      <c r="C6407" s="400">
        <v>46026.0</v>
      </c>
      <c r="D6407" s="524">
        <v>8469.0</v>
      </c>
      <c r="E6407" s="544" t="s">
        <v>1361</v>
      </c>
      <c r="F6407" s="387">
        <v>1.0</v>
      </c>
      <c r="G6407" s="140">
        <v>960000.0</v>
      </c>
      <c r="H6407" s="74"/>
      <c r="I6407" s="74">
        <f t="shared" si="1"/>
        <v>960000</v>
      </c>
      <c r="J6407" s="74">
        <f>IF(E6407="SERVICE",I6407-(I6407*50%),Vlookup(E6407,DATABASE!C:Q,10,false)*F6407)</f>
        <v>0</v>
      </c>
      <c r="K6407" s="74">
        <f>VLOOKUP(E6407,DATABASE!C:Q,7,false)</f>
        <v>881000</v>
      </c>
      <c r="L6407" s="74">
        <v>863000.0</v>
      </c>
      <c r="M6407" s="74">
        <f t="shared" si="2"/>
        <v>865000</v>
      </c>
      <c r="N6407" s="74">
        <f t="shared" si="3"/>
        <v>95000</v>
      </c>
      <c r="O6407" s="65" t="str">
        <f>VLOOKUP(E6407,DATABASE!C:Q,8,false)</f>
        <v>IBU</v>
      </c>
      <c r="P6407" s="65">
        <f>VLOOKUP(E6407,DATABASE!C:Q,9,False)</f>
        <v>1</v>
      </c>
      <c r="Q6407" s="93" t="str">
        <f>VLOOKUP(E6407,DATABASE!C:Q,4,false)</f>
        <v>Dunlop</v>
      </c>
      <c r="R6407" s="93" t="str">
        <f>VLOOKUP(E6407,DATABASE!C:Q,11,false)</f>
        <v>Tire</v>
      </c>
    </row>
    <row r="6408" ht="22.5" customHeight="1">
      <c r="A6408" s="49"/>
      <c r="C6408" s="400">
        <v>46026.0</v>
      </c>
      <c r="D6408" s="524">
        <v>8469.0</v>
      </c>
      <c r="E6408" s="544" t="s">
        <v>299</v>
      </c>
      <c r="F6408" s="387">
        <v>2.0</v>
      </c>
      <c r="G6408" s="140">
        <v>30000.0</v>
      </c>
      <c r="H6408" s="74"/>
      <c r="I6408" s="74">
        <f t="shared" si="1"/>
        <v>60000</v>
      </c>
      <c r="J6408" s="74">
        <f>IF(E6408="SERVICE",I6408-(I6408*50%),Vlookup(E6408,DATABASE!C:Q,10,false)*F6408)</f>
        <v>0</v>
      </c>
      <c r="K6408" s="74">
        <f>VLOOKUP(E6408,DATABASE!C:Q,7,false)</f>
        <v>10000</v>
      </c>
      <c r="L6408" s="74">
        <v>5000.0</v>
      </c>
      <c r="M6408" s="74">
        <f t="shared" si="2"/>
        <v>5000</v>
      </c>
      <c r="N6408" s="74">
        <f t="shared" si="3"/>
        <v>50000</v>
      </c>
      <c r="O6408" s="65" t="str">
        <f>VLOOKUP(E6408,DATABASE!C:Q,8,false)</f>
        <v>BIAN</v>
      </c>
      <c r="P6408" s="65">
        <f>VLOOKUP(E6408,DATABASE!C:Q,9,False)</f>
        <v>0</v>
      </c>
      <c r="Q6408" s="93" t="str">
        <f>VLOOKUP(E6408,DATABASE!C:Q,4,false)</f>
        <v>Balancing</v>
      </c>
      <c r="R6408" s="93" t="str">
        <f>VLOOKUP(E6408,DATABASE!C:Q,11,false)</f>
        <v>COMPLEMENTARY</v>
      </c>
    </row>
    <row r="6409" ht="22.5" customHeight="1">
      <c r="A6409" s="49"/>
      <c r="C6409" s="400">
        <v>46026.0</v>
      </c>
      <c r="D6409" s="524">
        <v>8470.0</v>
      </c>
      <c r="E6409" s="544" t="s">
        <v>613</v>
      </c>
      <c r="F6409" s="387">
        <v>1.0</v>
      </c>
      <c r="G6409" s="140">
        <v>95000.0</v>
      </c>
      <c r="H6409" s="140">
        <v>20000.0</v>
      </c>
      <c r="I6409" s="74">
        <f t="shared" si="1"/>
        <v>75000</v>
      </c>
      <c r="J6409" s="74">
        <f>IF(E6409="SERVICE",I6409-(I6409*50%),Vlookup(E6409,DATABASE!C:Q,10,false)*F6409)</f>
        <v>0</v>
      </c>
      <c r="K6409" s="74">
        <f>VLOOKUP(E6409,DATABASE!C:Q,7,false)</f>
        <v>58371.2695</v>
      </c>
      <c r="L6409" s="74">
        <v>55000.0</v>
      </c>
      <c r="M6409" s="74">
        <f t="shared" si="2"/>
        <v>55000</v>
      </c>
      <c r="N6409" s="74">
        <f t="shared" si="3"/>
        <v>20000</v>
      </c>
      <c r="O6409" s="65" t="str">
        <f>VLOOKUP(E6409,DATABASE!C:Q,8,false)</f>
        <v>BIAN</v>
      </c>
      <c r="P6409" s="65">
        <f>VLOOKUP(E6409,DATABASE!C:Q,9,False)</f>
        <v>1</v>
      </c>
      <c r="Q6409" s="93" t="str">
        <f>VLOOKUP(E6409,DATABASE!C:Q,4,false)</f>
        <v>BD</v>
      </c>
      <c r="R6409" s="93" t="str">
        <f>VLOOKUP(E6409,DATABASE!C:Q,11,false)</f>
        <v>Tire</v>
      </c>
    </row>
    <row r="6410" ht="22.5" customHeight="1">
      <c r="A6410" s="49"/>
      <c r="C6410" s="400">
        <v>46026.0</v>
      </c>
      <c r="D6410" s="524">
        <v>8471.0</v>
      </c>
      <c r="E6410" s="544" t="s">
        <v>600</v>
      </c>
      <c r="F6410" s="387">
        <v>1.0</v>
      </c>
      <c r="G6410" s="140">
        <v>675000.0</v>
      </c>
      <c r="H6410" s="74"/>
      <c r="I6410" s="74">
        <f t="shared" si="1"/>
        <v>675000</v>
      </c>
      <c r="J6410" s="74">
        <f>IF(E6410="SERVICE",I6410-(I6410*50%),Vlookup(E6410,DATABASE!C:Q,10,false)*F6410)</f>
        <v>0</v>
      </c>
      <c r="K6410" s="74">
        <f>VLOOKUP(E6410,DATABASE!C:Q,7,false)</f>
        <v>611109.16</v>
      </c>
      <c r="L6410" s="74">
        <v>575780.8</v>
      </c>
      <c r="M6410" s="74">
        <f t="shared" si="2"/>
        <v>580000</v>
      </c>
      <c r="N6410" s="74">
        <f t="shared" si="3"/>
        <v>95000</v>
      </c>
      <c r="O6410" s="65" t="str">
        <f>VLOOKUP(E6410,DATABASE!C:Q,8,false)</f>
        <v>IBU</v>
      </c>
      <c r="P6410" s="65">
        <f>VLOOKUP(E6410,DATABASE!C:Q,9,False)</f>
        <v>1</v>
      </c>
      <c r="Q6410" s="93" t="str">
        <f>VLOOKUP(E6410,DATABASE!C:Q,4,false)</f>
        <v>Bridgestone</v>
      </c>
      <c r="R6410" s="93" t="str">
        <f>VLOOKUP(E6410,DATABASE!C:Q,11,false)</f>
        <v>Tire</v>
      </c>
    </row>
    <row r="6411" ht="22.5" customHeight="1">
      <c r="A6411" s="49"/>
      <c r="C6411" s="400">
        <v>46026.0</v>
      </c>
      <c r="D6411" s="524">
        <v>8471.0</v>
      </c>
      <c r="E6411" s="544" t="s">
        <v>256</v>
      </c>
      <c r="F6411" s="387">
        <v>1.0</v>
      </c>
      <c r="G6411" s="140">
        <v>150000.0</v>
      </c>
      <c r="H6411" s="140">
        <v>20000.0</v>
      </c>
      <c r="I6411" s="74">
        <f t="shared" si="1"/>
        <v>130000</v>
      </c>
      <c r="J6411" s="74">
        <f>IF(E6411="SERVICE",I6411-(I6411*50%),Vlookup(E6411,DATABASE!C:Q,10,false)*F6411)</f>
        <v>10000</v>
      </c>
      <c r="K6411" s="74">
        <f>VLOOKUP(E6411,DATABASE!C:Q,7,false)</f>
        <v>0</v>
      </c>
      <c r="L6411" s="74">
        <v>0.0</v>
      </c>
      <c r="M6411" s="74">
        <f t="shared" si="2"/>
        <v>0</v>
      </c>
      <c r="N6411" s="74">
        <f t="shared" si="3"/>
        <v>120000</v>
      </c>
      <c r="O6411" s="65" t="str">
        <f>VLOOKUP(E6411,DATABASE!C:Q,8,false)</f>
        <v>IBU</v>
      </c>
      <c r="P6411" s="65">
        <f>VLOOKUP(E6411,DATABASE!C:Q,9,False)</f>
        <v>0</v>
      </c>
      <c r="Q6411" s="93" t="str">
        <f>VLOOKUP(E6411,DATABASE!C:Q,4,false)</f>
        <v>SPOORING</v>
      </c>
      <c r="R6411" s="93" t="str">
        <f>VLOOKUP(E6411,DATABASE!C:Q,11,false)</f>
        <v>SERVICE</v>
      </c>
    </row>
    <row r="6412" ht="22.5" customHeight="1">
      <c r="A6412" s="49"/>
      <c r="C6412" s="400">
        <v>46026.0</v>
      </c>
      <c r="D6412" s="524">
        <v>8471.0</v>
      </c>
      <c r="E6412" s="544" t="s">
        <v>301</v>
      </c>
      <c r="F6412" s="387">
        <v>1.0</v>
      </c>
      <c r="G6412" s="140">
        <v>250000.0</v>
      </c>
      <c r="H6412" s="74"/>
      <c r="I6412" s="74">
        <f t="shared" si="1"/>
        <v>250000</v>
      </c>
      <c r="J6412" s="74">
        <f>IF(E6412="SERVICE",I6412-(I6412*50%),Vlookup(E6412,DATABASE!C:Q,10,false)*F6412)</f>
        <v>75000</v>
      </c>
      <c r="K6412" s="74">
        <f>VLOOKUP(E6412,DATABASE!C:Q,7,false)</f>
        <v>75000</v>
      </c>
      <c r="L6412" s="74">
        <v>75000.0</v>
      </c>
      <c r="M6412" s="74">
        <f t="shared" si="2"/>
        <v>75000</v>
      </c>
      <c r="N6412" s="74">
        <f t="shared" si="3"/>
        <v>100000</v>
      </c>
      <c r="O6412" s="65" t="str">
        <f>VLOOKUP(E6412,DATABASE!C:Q,8,false)</f>
        <v>BIAN</v>
      </c>
      <c r="P6412" s="65">
        <f>VLOOKUP(E6412,DATABASE!C:Q,9,False)</f>
        <v>0</v>
      </c>
      <c r="Q6412" s="93" t="str">
        <f>VLOOKUP(E6412,DATABASE!C:Q,4,false)</f>
        <v>Baut Camber</v>
      </c>
      <c r="R6412" s="93" t="str">
        <f>VLOOKUP(E6412,DATABASE!C:Q,11,false)</f>
        <v>COMPLEMENTARY</v>
      </c>
    </row>
    <row r="6413" ht="22.5" customHeight="1">
      <c r="A6413" s="49"/>
      <c r="C6413" s="400">
        <v>46026.0</v>
      </c>
      <c r="D6413" s="524">
        <v>8472.0</v>
      </c>
      <c r="E6413" s="544" t="s">
        <v>256</v>
      </c>
      <c r="F6413" s="387">
        <v>1.0</v>
      </c>
      <c r="G6413" s="140">
        <v>150000.0</v>
      </c>
      <c r="H6413" s="140">
        <v>20000.0</v>
      </c>
      <c r="I6413" s="74">
        <f t="shared" si="1"/>
        <v>130000</v>
      </c>
      <c r="J6413" s="74">
        <f>IF(E6413="SERVICE",I6413-(I6413*50%),Vlookup(E6413,DATABASE!C:Q,10,false)*F6413)</f>
        <v>10000</v>
      </c>
      <c r="K6413" s="74">
        <f>VLOOKUP(E6413,DATABASE!C:Q,7,false)</f>
        <v>0</v>
      </c>
      <c r="L6413" s="74">
        <v>0.0</v>
      </c>
      <c r="M6413" s="74">
        <f t="shared" si="2"/>
        <v>0</v>
      </c>
      <c r="N6413" s="74">
        <f t="shared" si="3"/>
        <v>120000</v>
      </c>
      <c r="O6413" s="65" t="str">
        <f>VLOOKUP(E6413,DATABASE!C:Q,8,false)</f>
        <v>IBU</v>
      </c>
      <c r="P6413" s="65">
        <f>VLOOKUP(E6413,DATABASE!C:Q,9,False)</f>
        <v>0</v>
      </c>
      <c r="Q6413" s="93" t="str">
        <f>VLOOKUP(E6413,DATABASE!C:Q,4,false)</f>
        <v>SPOORING</v>
      </c>
      <c r="R6413" s="93" t="str">
        <f>VLOOKUP(E6413,DATABASE!C:Q,11,false)</f>
        <v>SERVICE</v>
      </c>
    </row>
    <row r="6414" ht="22.5" customHeight="1">
      <c r="A6414" s="49"/>
      <c r="C6414" s="400">
        <v>46026.0</v>
      </c>
      <c r="D6414" s="524">
        <v>8472.0</v>
      </c>
      <c r="E6414" s="544" t="s">
        <v>299</v>
      </c>
      <c r="F6414" s="387">
        <v>2.0</v>
      </c>
      <c r="G6414" s="140">
        <v>30000.0</v>
      </c>
      <c r="H6414" s="74"/>
      <c r="I6414" s="74">
        <f t="shared" si="1"/>
        <v>60000</v>
      </c>
      <c r="J6414" s="74">
        <f>IF(E6414="SERVICE",I6414-(I6414*50%),Vlookup(E6414,DATABASE!C:Q,10,false)*F6414)</f>
        <v>0</v>
      </c>
      <c r="K6414" s="74">
        <f>VLOOKUP(E6414,DATABASE!C:Q,7,false)</f>
        <v>10000</v>
      </c>
      <c r="L6414" s="74">
        <v>5000.0</v>
      </c>
      <c r="M6414" s="74">
        <f t="shared" si="2"/>
        <v>5000</v>
      </c>
      <c r="N6414" s="74">
        <f t="shared" si="3"/>
        <v>50000</v>
      </c>
      <c r="O6414" s="65" t="str">
        <f>VLOOKUP(E6414,DATABASE!C:Q,8,false)</f>
        <v>BIAN</v>
      </c>
      <c r="P6414" s="65">
        <f>VLOOKUP(E6414,DATABASE!C:Q,9,False)</f>
        <v>0</v>
      </c>
      <c r="Q6414" s="93" t="str">
        <f>VLOOKUP(E6414,DATABASE!C:Q,4,false)</f>
        <v>Balancing</v>
      </c>
      <c r="R6414" s="93" t="str">
        <f>VLOOKUP(E6414,DATABASE!C:Q,11,false)</f>
        <v>COMPLEMENTARY</v>
      </c>
    </row>
    <row r="6415" ht="22.5" customHeight="1">
      <c r="A6415" s="49"/>
      <c r="C6415" s="400">
        <v>46026.0</v>
      </c>
      <c r="D6415" s="524">
        <v>8472.0</v>
      </c>
      <c r="E6415" s="544" t="s">
        <v>251</v>
      </c>
      <c r="F6415" s="387">
        <v>1.0</v>
      </c>
      <c r="G6415" s="140">
        <v>350000.0</v>
      </c>
      <c r="H6415" s="140">
        <v>200000.0</v>
      </c>
      <c r="I6415" s="74">
        <f t="shared" si="1"/>
        <v>150000</v>
      </c>
      <c r="J6415" s="74">
        <f>IF(E6415="SERVICE",I6415-(I6415*50%),Vlookup(E6415,DATABASE!C:Q,10,false)*F6415)</f>
        <v>75000</v>
      </c>
      <c r="K6415" s="74">
        <f>VLOOKUP(E6415,DATABASE!C:Q,7,false)</f>
        <v>0</v>
      </c>
      <c r="L6415" s="74">
        <v>0.0</v>
      </c>
      <c r="M6415" s="74">
        <f t="shared" si="2"/>
        <v>0</v>
      </c>
      <c r="N6415" s="74">
        <f t="shared" si="3"/>
        <v>75000</v>
      </c>
      <c r="O6415" s="65" t="str">
        <f>VLOOKUP(E6415,DATABASE!C:Q,8,false)</f>
        <v>IBU</v>
      </c>
      <c r="P6415" s="65">
        <f>VLOOKUP(E6415,DATABASE!C:Q,9,False)</f>
        <v>0</v>
      </c>
      <c r="Q6415" s="93" t="str">
        <f>VLOOKUP(E6415,DATABASE!C:Q,4,false)</f>
        <v>SERVICE</v>
      </c>
      <c r="R6415" s="93" t="str">
        <f>VLOOKUP(E6415,DATABASE!C:Q,11,false)</f>
        <v>SERVICE</v>
      </c>
    </row>
    <row r="6416" ht="22.5" customHeight="1">
      <c r="A6416" s="49"/>
      <c r="C6416" s="400">
        <v>46026.0</v>
      </c>
      <c r="D6416" s="69" t="s">
        <v>2675</v>
      </c>
      <c r="E6416" s="544" t="s">
        <v>263</v>
      </c>
      <c r="F6416" s="387">
        <v>1.0</v>
      </c>
      <c r="G6416" s="140">
        <v>320000.0</v>
      </c>
      <c r="H6416" s="74"/>
      <c r="I6416" s="74">
        <f t="shared" si="1"/>
        <v>320000</v>
      </c>
      <c r="J6416" s="74">
        <f>IF(E6416="SERVICE",I6416-(I6416*50%),Vlookup(E6416,DATABASE!C:Q,10,false)*F6416)</f>
        <v>0</v>
      </c>
      <c r="K6416" s="74">
        <f>VLOOKUP(E6416,DATABASE!C:Q,7,false)</f>
        <v>334916</v>
      </c>
      <c r="L6416" s="74">
        <v>287688.0</v>
      </c>
      <c r="M6416" s="74">
        <f t="shared" si="2"/>
        <v>290000</v>
      </c>
      <c r="N6416" s="74">
        <f t="shared" si="3"/>
        <v>30000</v>
      </c>
      <c r="O6416" s="65" t="str">
        <f>VLOOKUP(E6416,DATABASE!C:Q,8,false)</f>
        <v>NON</v>
      </c>
      <c r="P6416" s="65">
        <f>VLOOKUP(E6416,DATABASE!C:Q,9,False)</f>
        <v>0</v>
      </c>
      <c r="Q6416" s="93" t="str">
        <f>VLOOKUP(E6416,DATABASE!C:Q,4,false)</f>
        <v>Shell</v>
      </c>
      <c r="R6416" s="93" t="str">
        <f>VLOOKUP(E6416,DATABASE!C:Q,11,false)</f>
        <v>OIL</v>
      </c>
    </row>
    <row r="6417" ht="22.5" customHeight="1">
      <c r="A6417" s="49"/>
      <c r="C6417" s="400">
        <v>46026.0</v>
      </c>
      <c r="D6417" s="69" t="s">
        <v>2676</v>
      </c>
      <c r="E6417" s="544" t="s">
        <v>2191</v>
      </c>
      <c r="F6417" s="387">
        <v>1.0</v>
      </c>
      <c r="G6417" s="140">
        <v>400000.0</v>
      </c>
      <c r="H6417" s="74"/>
      <c r="I6417" s="74">
        <f t="shared" si="1"/>
        <v>400000</v>
      </c>
      <c r="J6417" s="74">
        <f>IF(E6417="SERVICE",I6417-(I6417*50%),Vlookup(E6417,DATABASE!C:Q,10,false)*F6417)</f>
        <v>0</v>
      </c>
      <c r="K6417" s="74">
        <f>VLOOKUP(E6417,DATABASE!C:Q,7,false)</f>
        <v>422900</v>
      </c>
      <c r="L6417" s="74">
        <v>377951.0</v>
      </c>
      <c r="M6417" s="74">
        <f t="shared" si="2"/>
        <v>380000</v>
      </c>
      <c r="N6417" s="74">
        <f t="shared" si="3"/>
        <v>20000</v>
      </c>
      <c r="O6417" s="65" t="str">
        <f>VLOOKUP(E6417,DATABASE!C:Q,8,false)</f>
        <v>NON</v>
      </c>
      <c r="P6417" s="65">
        <f>VLOOKUP(E6417,DATABASE!C:Q,9,False)</f>
        <v>0</v>
      </c>
      <c r="Q6417" s="93" t="str">
        <f>VLOOKUP(E6417,DATABASE!C:Q,4,false)</f>
        <v>Shell</v>
      </c>
      <c r="R6417" s="93" t="str">
        <f>VLOOKUP(E6417,DATABASE!C:Q,11,false)</f>
        <v>OIL</v>
      </c>
    </row>
    <row r="6418" ht="22.5" customHeight="1">
      <c r="A6418" s="49"/>
      <c r="C6418" s="400">
        <v>46026.0</v>
      </c>
      <c r="D6418" s="69" t="s">
        <v>2677</v>
      </c>
      <c r="E6418" s="544" t="s">
        <v>248</v>
      </c>
      <c r="F6418" s="387">
        <v>1.0</v>
      </c>
      <c r="G6418" s="140">
        <v>190000.0</v>
      </c>
      <c r="H6418" s="74"/>
      <c r="I6418" s="74">
        <f t="shared" si="1"/>
        <v>190000</v>
      </c>
      <c r="J6418" s="74">
        <f>IF(E6418="SERVICE",I6418-(I6418*50%),Vlookup(E6418,DATABASE!C:Q,10,false)*F6418)</f>
        <v>0</v>
      </c>
      <c r="K6418" s="74">
        <f>VLOOKUP(E6418,DATABASE!C:Q,7,false)</f>
        <v>209816.66</v>
      </c>
      <c r="L6418" s="74">
        <v>160833.0</v>
      </c>
      <c r="M6418" s="74">
        <f t="shared" si="2"/>
        <v>165000</v>
      </c>
      <c r="N6418" s="74">
        <f t="shared" si="3"/>
        <v>25000</v>
      </c>
      <c r="O6418" s="65" t="str">
        <f>VLOOKUP(E6418,DATABASE!C:Q,8,false)</f>
        <v>NON</v>
      </c>
      <c r="P6418" s="65">
        <f>VLOOKUP(E6418,DATABASE!C:Q,9,False)</f>
        <v>0</v>
      </c>
      <c r="Q6418" s="93" t="str">
        <f>VLOOKUP(E6418,DATABASE!C:Q,4,false)</f>
        <v>Pertamina</v>
      </c>
      <c r="R6418" s="93" t="str">
        <f>VLOOKUP(E6418,DATABASE!C:Q,11,false)</f>
        <v>OIL</v>
      </c>
    </row>
    <row r="6419" ht="22.5" customHeight="1">
      <c r="A6419" s="49"/>
      <c r="C6419" s="400">
        <v>46027.0</v>
      </c>
      <c r="D6419" s="524">
        <v>8428.0</v>
      </c>
      <c r="E6419" s="544" t="s">
        <v>282</v>
      </c>
      <c r="F6419" s="387">
        <v>2.0</v>
      </c>
      <c r="G6419" s="140">
        <v>870000.0</v>
      </c>
      <c r="H6419" s="74"/>
      <c r="I6419" s="74">
        <f t="shared" si="1"/>
        <v>1740000</v>
      </c>
      <c r="J6419" s="74">
        <f>IF(E6419="SERVICE",I6419-(I6419*50%),Vlookup(E6419,DATABASE!C:Q,10,false)*F6419)</f>
        <v>0</v>
      </c>
      <c r="K6419" s="74">
        <f>VLOOKUP(E6419,DATABASE!C:Q,7,false)</f>
        <v>779500</v>
      </c>
      <c r="L6419" s="74">
        <v>771000.0</v>
      </c>
      <c r="M6419" s="74">
        <f t="shared" si="2"/>
        <v>775000</v>
      </c>
      <c r="N6419" s="74">
        <f t="shared" si="3"/>
        <v>190000</v>
      </c>
      <c r="O6419" s="65" t="str">
        <f>VLOOKUP(E6419,DATABASE!C:Q,8,false)</f>
        <v>IBU</v>
      </c>
      <c r="P6419" s="65">
        <f>VLOOKUP(E6419,DATABASE!C:Q,9,False)</f>
        <v>1</v>
      </c>
      <c r="Q6419" s="93" t="str">
        <f>VLOOKUP(E6419,DATABASE!C:Q,4,false)</f>
        <v>Dunlop</v>
      </c>
      <c r="R6419" s="93" t="str">
        <f>VLOOKUP(E6419,DATABASE!C:Q,11,false)</f>
        <v>Tire</v>
      </c>
    </row>
    <row r="6420" ht="22.5" customHeight="1">
      <c r="A6420" s="49"/>
      <c r="C6420" s="400">
        <v>46027.0</v>
      </c>
      <c r="D6420" s="69">
        <v>8453.0</v>
      </c>
      <c r="E6420" s="544" t="s">
        <v>569</v>
      </c>
      <c r="F6420" s="387">
        <v>1.0</v>
      </c>
      <c r="G6420" s="140">
        <v>80000.0</v>
      </c>
      <c r="H6420" s="74"/>
      <c r="I6420" s="74">
        <f t="shared" si="1"/>
        <v>80000</v>
      </c>
      <c r="J6420" s="74">
        <f>IF(E6420="SERVICE",I6420-(I6420*50%),Vlookup(E6420,DATABASE!C:Q,10,false)*F6420)</f>
        <v>0</v>
      </c>
      <c r="K6420" s="74">
        <f>VLOOKUP(E6420,DATABASE!C:Q,7,false)</f>
        <v>45439.582</v>
      </c>
      <c r="L6420" s="74">
        <v>45309.6</v>
      </c>
      <c r="M6420" s="74">
        <f t="shared" si="2"/>
        <v>50000</v>
      </c>
      <c r="N6420" s="74">
        <f t="shared" si="3"/>
        <v>30000</v>
      </c>
      <c r="O6420" s="65" t="str">
        <f>VLOOKUP(E6420,DATABASE!C:Q,8,false)</f>
        <v>BIAN</v>
      </c>
      <c r="P6420" s="65">
        <f>VLOOKUP(E6420,DATABASE!C:Q,9,False)</f>
        <v>1</v>
      </c>
      <c r="Q6420" s="93" t="str">
        <f>VLOOKUP(E6420,DATABASE!C:Q,4,false)</f>
        <v>BD</v>
      </c>
      <c r="R6420" s="93" t="str">
        <f>VLOOKUP(E6420,DATABASE!C:Q,11,false)</f>
        <v>Tire</v>
      </c>
    </row>
    <row r="6421" ht="22.5" customHeight="1">
      <c r="A6421" s="49"/>
      <c r="C6421" s="400">
        <v>46027.0</v>
      </c>
      <c r="D6421" s="524">
        <v>8473.0</v>
      </c>
      <c r="E6421" s="544" t="s">
        <v>554</v>
      </c>
      <c r="F6421" s="387">
        <v>2.0</v>
      </c>
      <c r="G6421" s="140">
        <v>800000.0</v>
      </c>
      <c r="H6421" s="140">
        <v>30000.0</v>
      </c>
      <c r="I6421" s="74">
        <f t="shared" si="1"/>
        <v>1540000</v>
      </c>
      <c r="J6421" s="74">
        <f>IF(E6421="SERVICE",I6421-(I6421*50%),Vlookup(E6421,DATABASE!C:Q,10,false)*F6421)</f>
        <v>0</v>
      </c>
      <c r="K6421" s="74">
        <f>VLOOKUP(E6421,DATABASE!C:Q,7,false)</f>
        <v>710000</v>
      </c>
      <c r="L6421" s="74">
        <v>680000.0</v>
      </c>
      <c r="M6421" s="74">
        <f t="shared" si="2"/>
        <v>680000</v>
      </c>
      <c r="N6421" s="74">
        <f t="shared" si="3"/>
        <v>180000</v>
      </c>
      <c r="O6421" s="65" t="str">
        <f>VLOOKUP(E6421,DATABASE!C:Q,8,false)</f>
        <v>IBU</v>
      </c>
      <c r="P6421" s="65">
        <f>VLOOKUP(E6421,DATABASE!C:Q,9,False)</f>
        <v>1</v>
      </c>
      <c r="Q6421" s="93" t="str">
        <f>VLOOKUP(E6421,DATABASE!C:Q,4,false)</f>
        <v>Bridgestone</v>
      </c>
      <c r="R6421" s="93" t="str">
        <f>VLOOKUP(E6421,DATABASE!C:Q,11,false)</f>
        <v>Tire</v>
      </c>
    </row>
    <row r="6422" ht="22.5" customHeight="1">
      <c r="A6422" s="49"/>
      <c r="C6422" s="400">
        <v>46027.0</v>
      </c>
      <c r="D6422" s="524">
        <v>8474.0</v>
      </c>
      <c r="E6422" s="544" t="s">
        <v>791</v>
      </c>
      <c r="F6422" s="387">
        <v>2.0</v>
      </c>
      <c r="G6422" s="140">
        <v>1280000.0</v>
      </c>
      <c r="H6422" s="74"/>
      <c r="I6422" s="74">
        <f t="shared" si="1"/>
        <v>2560000</v>
      </c>
      <c r="J6422" s="74">
        <f>IF(E6422="SERVICE",I6422-(I6422*50%),Vlookup(E6422,DATABASE!C:Q,10,false)*F6422)</f>
        <v>0</v>
      </c>
      <c r="K6422" s="74">
        <f>VLOOKUP(E6422,DATABASE!C:Q,7,false)</f>
        <v>1210000</v>
      </c>
      <c r="L6422" s="74">
        <v>1180000.0</v>
      </c>
      <c r="M6422" s="74">
        <f t="shared" si="2"/>
        <v>1180000</v>
      </c>
      <c r="N6422" s="74">
        <f t="shared" si="3"/>
        <v>200000</v>
      </c>
      <c r="O6422" s="65" t="str">
        <f>VLOOKUP(E6422,DATABASE!C:Q,8,false)</f>
        <v>BIAN</v>
      </c>
      <c r="P6422" s="65">
        <f>VLOOKUP(E6422,DATABASE!C:Q,9,False)</f>
        <v>1</v>
      </c>
      <c r="Q6422" s="93" t="str">
        <f>VLOOKUP(E6422,DATABASE!C:Q,4,false)</f>
        <v>GT</v>
      </c>
      <c r="R6422" s="93" t="str">
        <f>VLOOKUP(E6422,DATABASE!C:Q,11,false)</f>
        <v>Tire</v>
      </c>
    </row>
    <row r="6423" ht="22.5" customHeight="1">
      <c r="A6423" s="49"/>
      <c r="C6423" s="400">
        <v>46027.0</v>
      </c>
      <c r="D6423" s="524">
        <v>8475.0</v>
      </c>
      <c r="E6423" s="544" t="s">
        <v>614</v>
      </c>
      <c r="F6423" s="387">
        <v>1.0</v>
      </c>
      <c r="G6423" s="140">
        <v>820000.0</v>
      </c>
      <c r="H6423" s="74"/>
      <c r="I6423" s="74">
        <f t="shared" si="1"/>
        <v>820000</v>
      </c>
      <c r="J6423" s="74">
        <f>IF(E6423="SERVICE",I6423-(I6423*50%),Vlookup(E6423,DATABASE!C:Q,10,false)*F6423)</f>
        <v>0</v>
      </c>
      <c r="K6423" s="74">
        <f>VLOOKUP(E6423,DATABASE!C:Q,7,false)</f>
        <v>754660.6</v>
      </c>
      <c r="L6423" s="74">
        <v>712256.0</v>
      </c>
      <c r="M6423" s="74">
        <f t="shared" si="2"/>
        <v>715000</v>
      </c>
      <c r="N6423" s="74">
        <f t="shared" si="3"/>
        <v>105000</v>
      </c>
      <c r="O6423" s="65" t="str">
        <f>VLOOKUP(E6423,DATABASE!C:Q,8,false)</f>
        <v>IBU</v>
      </c>
      <c r="P6423" s="65">
        <f>VLOOKUP(E6423,DATABASE!C:Q,9,False)</f>
        <v>1</v>
      </c>
      <c r="Q6423" s="93" t="str">
        <f>VLOOKUP(E6423,DATABASE!C:Q,4,false)</f>
        <v>Bridgestone</v>
      </c>
      <c r="R6423" s="93" t="str">
        <f>VLOOKUP(E6423,DATABASE!C:Q,11,false)</f>
        <v>Tire</v>
      </c>
    </row>
    <row r="6424" ht="22.5" customHeight="1">
      <c r="A6424" s="49"/>
      <c r="C6424" s="400">
        <v>46027.0</v>
      </c>
      <c r="D6424" s="69">
        <v>8476.0</v>
      </c>
      <c r="E6424" s="544" t="s">
        <v>262</v>
      </c>
      <c r="F6424" s="387">
        <v>1.0</v>
      </c>
      <c r="G6424" s="140">
        <v>110000.0</v>
      </c>
      <c r="H6424" s="74"/>
      <c r="I6424" s="74">
        <f t="shared" si="1"/>
        <v>110000</v>
      </c>
      <c r="J6424" s="74">
        <f>IF(E6424="SERVICE",I6424-(I6424*50%),Vlookup(E6424,DATABASE!C:Q,10,false)*F6424)</f>
        <v>5000</v>
      </c>
      <c r="K6424" s="74">
        <f>VLOOKUP(E6424,DATABASE!C:Q,7,false)</f>
        <v>0</v>
      </c>
      <c r="L6424" s="74">
        <v>0.0</v>
      </c>
      <c r="M6424" s="74">
        <f t="shared" si="2"/>
        <v>0</v>
      </c>
      <c r="N6424" s="74">
        <f t="shared" si="3"/>
        <v>105000</v>
      </c>
      <c r="O6424" s="65" t="str">
        <f>VLOOKUP(E6424,DATABASE!C:Q,8,false)</f>
        <v>IBU</v>
      </c>
      <c r="P6424" s="65">
        <f>VLOOKUP(E6424,DATABASE!C:Q,9,False)</f>
        <v>0</v>
      </c>
      <c r="Q6424" s="93" t="str">
        <f>VLOOKUP(E6424,DATABASE!C:Q,4,false)</f>
        <v>SPOORING SS/CARRY LOS BAK</v>
      </c>
      <c r="R6424" s="93" t="str">
        <f>VLOOKUP(E6424,DATABASE!C:Q,11,false)</f>
        <v>SERVICE</v>
      </c>
    </row>
    <row r="6425" ht="22.5" customHeight="1">
      <c r="A6425" s="49"/>
      <c r="C6425" s="400">
        <v>46027.0</v>
      </c>
      <c r="D6425" s="69">
        <v>8476.0</v>
      </c>
      <c r="E6425" s="544" t="s">
        <v>478</v>
      </c>
      <c r="F6425" s="387">
        <v>1.0</v>
      </c>
      <c r="G6425" s="140">
        <v>200000.0</v>
      </c>
      <c r="H6425" s="74"/>
      <c r="I6425" s="74">
        <f t="shared" si="1"/>
        <v>200000</v>
      </c>
      <c r="J6425" s="74">
        <f>IF(E6425="SERVICE",I6425-(I6425*50%),Vlookup(E6425,DATABASE!C:Q,10,false)*F6425)</f>
        <v>25000</v>
      </c>
      <c r="K6425" s="74">
        <f>VLOOKUP(E6425,DATABASE!C:Q,7,false)</f>
        <v>75000</v>
      </c>
      <c r="L6425" s="74">
        <v>75000.0</v>
      </c>
      <c r="M6425" s="74">
        <f t="shared" si="2"/>
        <v>75000</v>
      </c>
      <c r="N6425" s="74">
        <f t="shared" si="3"/>
        <v>100000</v>
      </c>
      <c r="O6425" s="65" t="str">
        <f>VLOOKUP(E6425,DATABASE!C:Q,8,false)</f>
        <v>BIAN</v>
      </c>
      <c r="P6425" s="65">
        <f>VLOOKUP(E6425,DATABASE!C:Q,9,False)</f>
        <v>0</v>
      </c>
      <c r="Q6425" s="93" t="str">
        <f>VLOOKUP(E6425,DATABASE!C:Q,4,false)</f>
        <v>Baut Camber ss-carry</v>
      </c>
      <c r="R6425" s="93" t="str">
        <f>VLOOKUP(E6425,DATABASE!C:Q,11,false)</f>
        <v>COMPLEMENTARY</v>
      </c>
    </row>
    <row r="6426" ht="22.5" customHeight="1">
      <c r="A6426" s="49"/>
      <c r="C6426" s="400">
        <v>46027.0</v>
      </c>
      <c r="D6426" s="69">
        <v>8476.0</v>
      </c>
      <c r="E6426" s="544" t="s">
        <v>299</v>
      </c>
      <c r="F6426" s="387">
        <v>2.0</v>
      </c>
      <c r="G6426" s="140">
        <v>30000.0</v>
      </c>
      <c r="H6426" s="74"/>
      <c r="I6426" s="74">
        <f t="shared" si="1"/>
        <v>60000</v>
      </c>
      <c r="J6426" s="74">
        <f>IF(E6426="SERVICE",I6426-(I6426*50%),Vlookup(E6426,DATABASE!C:Q,10,false)*F6426)</f>
        <v>0</v>
      </c>
      <c r="K6426" s="74">
        <f>VLOOKUP(E6426,DATABASE!C:Q,7,false)</f>
        <v>10000</v>
      </c>
      <c r="L6426" s="74">
        <v>5000.0</v>
      </c>
      <c r="M6426" s="74">
        <f t="shared" si="2"/>
        <v>5000</v>
      </c>
      <c r="N6426" s="74">
        <f t="shared" si="3"/>
        <v>50000</v>
      </c>
      <c r="O6426" s="65" t="str">
        <f>VLOOKUP(E6426,DATABASE!C:Q,8,false)</f>
        <v>BIAN</v>
      </c>
      <c r="P6426" s="65">
        <f>VLOOKUP(E6426,DATABASE!C:Q,9,False)</f>
        <v>0</v>
      </c>
      <c r="Q6426" s="93" t="str">
        <f>VLOOKUP(E6426,DATABASE!C:Q,4,false)</f>
        <v>Balancing</v>
      </c>
      <c r="R6426" s="93" t="str">
        <f>VLOOKUP(E6426,DATABASE!C:Q,11,false)</f>
        <v>COMPLEMENTARY</v>
      </c>
    </row>
    <row r="6427" ht="22.5" customHeight="1">
      <c r="A6427" s="49"/>
      <c r="C6427" s="400">
        <v>46027.0</v>
      </c>
      <c r="D6427" s="69">
        <v>8477.0</v>
      </c>
      <c r="E6427" s="544" t="s">
        <v>265</v>
      </c>
      <c r="F6427" s="387">
        <v>2.0</v>
      </c>
      <c r="G6427" s="140">
        <v>685000.0</v>
      </c>
      <c r="H6427" s="140">
        <v>5000.0</v>
      </c>
      <c r="I6427" s="74">
        <f t="shared" si="1"/>
        <v>1360000</v>
      </c>
      <c r="J6427" s="74">
        <f>IF(E6427="SERVICE",I6427-(I6427*50%),Vlookup(E6427,DATABASE!C:Q,10,false)*F6427)</f>
        <v>0</v>
      </c>
      <c r="K6427" s="74">
        <f>VLOOKUP(E6427,DATABASE!C:Q,7,false)</f>
        <v>628000</v>
      </c>
      <c r="L6427" s="74">
        <v>600000.0</v>
      </c>
      <c r="M6427" s="74">
        <f t="shared" si="2"/>
        <v>600000</v>
      </c>
      <c r="N6427" s="74">
        <f t="shared" si="3"/>
        <v>160000</v>
      </c>
      <c r="O6427" s="65" t="str">
        <f>VLOOKUP(E6427,DATABASE!C:Q,8,false)</f>
        <v>IBU</v>
      </c>
      <c r="P6427" s="65">
        <f>VLOOKUP(E6427,DATABASE!C:Q,9,False)</f>
        <v>1</v>
      </c>
      <c r="Q6427" s="93" t="str">
        <f>VLOOKUP(E6427,DATABASE!C:Q,4,false)</f>
        <v>Dunlop</v>
      </c>
      <c r="R6427" s="93" t="str">
        <f>VLOOKUP(E6427,DATABASE!C:Q,11,false)</f>
        <v>Tire</v>
      </c>
    </row>
    <row r="6428" ht="22.5" customHeight="1">
      <c r="A6428" s="49"/>
      <c r="C6428" s="400">
        <v>46027.0</v>
      </c>
      <c r="D6428" s="524">
        <v>8479.0</v>
      </c>
      <c r="E6428" s="544" t="s">
        <v>622</v>
      </c>
      <c r="F6428" s="387">
        <v>2.0</v>
      </c>
      <c r="G6428" s="140">
        <v>915000.0</v>
      </c>
      <c r="H6428" s="140">
        <v>5000.0</v>
      </c>
      <c r="I6428" s="74">
        <f t="shared" si="1"/>
        <v>1820000</v>
      </c>
      <c r="J6428" s="74">
        <f>IF(E6428="SERVICE",I6428-(I6428*50%),Vlookup(E6428,DATABASE!C:Q,10,false)*F6428)</f>
        <v>0</v>
      </c>
      <c r="K6428" s="74">
        <f>VLOOKUP(E6428,DATABASE!C:Q,7,false)</f>
        <v>851110.375</v>
      </c>
      <c r="L6428" s="74">
        <v>805872.0</v>
      </c>
      <c r="M6428" s="74">
        <f t="shared" si="2"/>
        <v>810000</v>
      </c>
      <c r="N6428" s="74">
        <f t="shared" si="3"/>
        <v>200000</v>
      </c>
      <c r="O6428" s="65" t="str">
        <f>VLOOKUP(E6428,DATABASE!C:Q,8,false)</f>
        <v>IBU</v>
      </c>
      <c r="P6428" s="65">
        <f>VLOOKUP(E6428,DATABASE!C:Q,9,False)</f>
        <v>1</v>
      </c>
      <c r="Q6428" s="93" t="str">
        <f>VLOOKUP(E6428,DATABASE!C:Q,4,false)</f>
        <v>Bridgestone</v>
      </c>
      <c r="R6428" s="93" t="str">
        <f>VLOOKUP(E6428,DATABASE!C:Q,11,false)</f>
        <v>Tire</v>
      </c>
    </row>
    <row r="6429" ht="22.5" customHeight="1">
      <c r="A6429" s="49"/>
      <c r="C6429" s="400">
        <v>46027.0</v>
      </c>
      <c r="D6429" s="524">
        <v>8479.0</v>
      </c>
      <c r="E6429" s="544" t="s">
        <v>299</v>
      </c>
      <c r="F6429" s="387">
        <v>2.0</v>
      </c>
      <c r="G6429" s="140">
        <v>30000.0</v>
      </c>
      <c r="H6429" s="74"/>
      <c r="I6429" s="74">
        <f t="shared" si="1"/>
        <v>60000</v>
      </c>
      <c r="J6429" s="74">
        <f>IF(E6429="SERVICE",I6429-(I6429*50%),Vlookup(E6429,DATABASE!C:Q,10,false)*F6429)</f>
        <v>0</v>
      </c>
      <c r="K6429" s="74">
        <f>VLOOKUP(E6429,DATABASE!C:Q,7,false)</f>
        <v>10000</v>
      </c>
      <c r="L6429" s="74">
        <v>5000.0</v>
      </c>
      <c r="M6429" s="74">
        <f t="shared" si="2"/>
        <v>5000</v>
      </c>
      <c r="N6429" s="74">
        <f t="shared" si="3"/>
        <v>50000</v>
      </c>
      <c r="O6429" s="65" t="str">
        <f>VLOOKUP(E6429,DATABASE!C:Q,8,false)</f>
        <v>BIAN</v>
      </c>
      <c r="P6429" s="65">
        <f>VLOOKUP(E6429,DATABASE!C:Q,9,False)</f>
        <v>0</v>
      </c>
      <c r="Q6429" s="93" t="str">
        <f>VLOOKUP(E6429,DATABASE!C:Q,4,false)</f>
        <v>Balancing</v>
      </c>
      <c r="R6429" s="93" t="str">
        <f>VLOOKUP(E6429,DATABASE!C:Q,11,false)</f>
        <v>COMPLEMENTARY</v>
      </c>
    </row>
    <row r="6430" ht="22.5" customHeight="1">
      <c r="A6430" s="49"/>
      <c r="C6430" s="400">
        <v>46027.0</v>
      </c>
      <c r="D6430" s="524">
        <v>8479.0</v>
      </c>
      <c r="E6430" s="544" t="s">
        <v>256</v>
      </c>
      <c r="F6430" s="387">
        <v>1.0</v>
      </c>
      <c r="G6430" s="140">
        <v>150000.0</v>
      </c>
      <c r="H6430" s="140">
        <v>20000.0</v>
      </c>
      <c r="I6430" s="74">
        <f t="shared" si="1"/>
        <v>130000</v>
      </c>
      <c r="J6430" s="74">
        <f>IF(E6430="SERVICE",I6430-(I6430*50%),Vlookup(E6430,DATABASE!C:Q,10,false)*F6430)</f>
        <v>10000</v>
      </c>
      <c r="K6430" s="74">
        <f>VLOOKUP(E6430,DATABASE!C:Q,7,false)</f>
        <v>0</v>
      </c>
      <c r="L6430" s="74">
        <v>0.0</v>
      </c>
      <c r="M6430" s="74">
        <f t="shared" si="2"/>
        <v>0</v>
      </c>
      <c r="N6430" s="74">
        <f t="shared" si="3"/>
        <v>120000</v>
      </c>
      <c r="O6430" s="65" t="str">
        <f>VLOOKUP(E6430,DATABASE!C:Q,8,false)</f>
        <v>IBU</v>
      </c>
      <c r="P6430" s="65">
        <f>VLOOKUP(E6430,DATABASE!C:Q,9,False)</f>
        <v>0</v>
      </c>
      <c r="Q6430" s="93" t="str">
        <f>VLOOKUP(E6430,DATABASE!C:Q,4,false)</f>
        <v>SPOORING</v>
      </c>
      <c r="R6430" s="93" t="str">
        <f>VLOOKUP(E6430,DATABASE!C:Q,11,false)</f>
        <v>SERVICE</v>
      </c>
    </row>
    <row r="6431" ht="22.5" customHeight="1">
      <c r="A6431" s="49"/>
      <c r="C6431" s="400">
        <v>46027.0</v>
      </c>
      <c r="D6431" s="524">
        <v>8480.0</v>
      </c>
      <c r="E6431" s="544" t="s">
        <v>1704</v>
      </c>
      <c r="F6431" s="387">
        <v>2.0</v>
      </c>
      <c r="G6431" s="140">
        <v>820000.0</v>
      </c>
      <c r="H6431" s="74"/>
      <c r="I6431" s="74">
        <f t="shared" si="1"/>
        <v>1640000</v>
      </c>
      <c r="J6431" s="74">
        <f>IF(E6431="SERVICE",I6431-(I6431*50%),Vlookup(E6431,DATABASE!C:Q,10,false)*F6431)</f>
        <v>0</v>
      </c>
      <c r="K6431" s="74">
        <f>VLOOKUP(E6431,DATABASE!C:Q,7,false)</f>
        <v>787500</v>
      </c>
      <c r="L6431" s="74">
        <v>711000.0</v>
      </c>
      <c r="M6431" s="74">
        <f t="shared" si="2"/>
        <v>715000</v>
      </c>
      <c r="N6431" s="74">
        <f t="shared" si="3"/>
        <v>210000</v>
      </c>
      <c r="O6431" s="65" t="str">
        <f>VLOOKUP(E6431,DATABASE!C:Q,8,false)</f>
        <v>BIAN</v>
      </c>
      <c r="P6431" s="65">
        <f>VLOOKUP(E6431,DATABASE!C:Q,9,False)</f>
        <v>1</v>
      </c>
      <c r="Q6431" s="93" t="str">
        <f>VLOOKUP(E6431,DATABASE!C:Q,4,false)</f>
        <v>GT</v>
      </c>
      <c r="R6431" s="93" t="str">
        <f>VLOOKUP(E6431,DATABASE!C:Q,11,false)</f>
        <v>Tire</v>
      </c>
    </row>
    <row r="6432" ht="22.5" customHeight="1">
      <c r="A6432" s="49"/>
      <c r="C6432" s="400">
        <v>46027.0</v>
      </c>
      <c r="D6432" s="524">
        <v>8480.0</v>
      </c>
      <c r="E6432" s="544" t="s">
        <v>299</v>
      </c>
      <c r="F6432" s="387">
        <v>2.0</v>
      </c>
      <c r="G6432" s="140">
        <v>30000.0</v>
      </c>
      <c r="H6432" s="74"/>
      <c r="I6432" s="74">
        <f t="shared" si="1"/>
        <v>60000</v>
      </c>
      <c r="J6432" s="74">
        <f>IF(E6432="SERVICE",I6432-(I6432*50%),Vlookup(E6432,DATABASE!C:Q,10,false)*F6432)</f>
        <v>0</v>
      </c>
      <c r="K6432" s="74">
        <f>VLOOKUP(E6432,DATABASE!C:Q,7,false)</f>
        <v>10000</v>
      </c>
      <c r="L6432" s="74">
        <v>5000.0</v>
      </c>
      <c r="M6432" s="74">
        <f t="shared" si="2"/>
        <v>5000</v>
      </c>
      <c r="N6432" s="74">
        <f t="shared" si="3"/>
        <v>50000</v>
      </c>
      <c r="O6432" s="65" t="str">
        <f>VLOOKUP(E6432,DATABASE!C:Q,8,false)</f>
        <v>BIAN</v>
      </c>
      <c r="P6432" s="65">
        <f>VLOOKUP(E6432,DATABASE!C:Q,9,False)</f>
        <v>0</v>
      </c>
      <c r="Q6432" s="93" t="str">
        <f>VLOOKUP(E6432,DATABASE!C:Q,4,false)</f>
        <v>Balancing</v>
      </c>
      <c r="R6432" s="93" t="str">
        <f>VLOOKUP(E6432,DATABASE!C:Q,11,false)</f>
        <v>COMPLEMENTARY</v>
      </c>
    </row>
    <row r="6433" ht="22.5" customHeight="1">
      <c r="A6433" s="49"/>
      <c r="C6433" s="400">
        <v>46027.0</v>
      </c>
      <c r="D6433" s="524">
        <v>8481.0</v>
      </c>
      <c r="E6433" s="544" t="s">
        <v>777</v>
      </c>
      <c r="F6433" s="387">
        <v>2.0</v>
      </c>
      <c r="G6433" s="140">
        <v>600000.0</v>
      </c>
      <c r="H6433" s="140">
        <v>15000.0</v>
      </c>
      <c r="I6433" s="74">
        <f t="shared" si="1"/>
        <v>1170000</v>
      </c>
      <c r="J6433" s="74">
        <f>IF(E6433="SERVICE",I6433-(I6433*50%),Vlookup(E6433,DATABASE!C:Q,10,false)*F6433)</f>
        <v>0</v>
      </c>
      <c r="K6433" s="74">
        <f>VLOOKUP(E6433,DATABASE!C:Q,7,false)</f>
        <v>540000</v>
      </c>
      <c r="L6433" s="74">
        <v>507000.0</v>
      </c>
      <c r="M6433" s="74">
        <f t="shared" si="2"/>
        <v>510000</v>
      </c>
      <c r="N6433" s="74">
        <f t="shared" si="3"/>
        <v>150000</v>
      </c>
      <c r="O6433" s="65" t="str">
        <f>VLOOKUP(E6433,DATABASE!C:Q,8,false)</f>
        <v>BIAN</v>
      </c>
      <c r="P6433" s="65">
        <f>VLOOKUP(E6433,DATABASE!C:Q,9,False)</f>
        <v>1</v>
      </c>
      <c r="Q6433" s="93" t="str">
        <f>VLOOKUP(E6433,DATABASE!C:Q,4,false)</f>
        <v>GT</v>
      </c>
      <c r="R6433" s="93" t="str">
        <f>VLOOKUP(E6433,DATABASE!C:Q,11,false)</f>
        <v>Tire</v>
      </c>
    </row>
    <row r="6434" ht="22.5" customHeight="1">
      <c r="A6434" s="49"/>
      <c r="C6434" s="400">
        <v>46027.0</v>
      </c>
      <c r="D6434" s="524">
        <v>8482.0</v>
      </c>
      <c r="E6434" s="544" t="s">
        <v>2140</v>
      </c>
      <c r="F6434" s="387">
        <v>1.0</v>
      </c>
      <c r="G6434" s="140">
        <v>35000.0</v>
      </c>
      <c r="H6434" s="140">
        <v>5000.0</v>
      </c>
      <c r="I6434" s="74">
        <f t="shared" si="1"/>
        <v>30000</v>
      </c>
      <c r="J6434" s="74">
        <f>IF(E6434="SERVICE",I6434-(I6434*50%),Vlookup(E6434,DATABASE!C:Q,10,false)*F6434)</f>
        <v>0</v>
      </c>
      <c r="K6434" s="74">
        <f>VLOOKUP(E6434,DATABASE!C:Q,7,false)</f>
        <v>5000</v>
      </c>
      <c r="L6434" s="74">
        <v>0.0</v>
      </c>
      <c r="M6434" s="74">
        <f t="shared" si="2"/>
        <v>0</v>
      </c>
      <c r="N6434" s="74">
        <f t="shared" si="3"/>
        <v>30000</v>
      </c>
      <c r="O6434" s="65" t="str">
        <f>VLOOKUP(E6434,DATABASE!C:Q,8,false)</f>
        <v>IBU</v>
      </c>
      <c r="P6434" s="65">
        <f>VLOOKUP(E6434,DATABASE!C:Q,9,False)</f>
        <v>0</v>
      </c>
      <c r="Q6434" s="93" t="str">
        <f>VLOOKUP(E6434,DATABASE!C:Q,4,false)</f>
        <v>PENTIL + PASANG</v>
      </c>
      <c r="R6434" s="93" t="str">
        <f>VLOOKUP(E6434,DATABASE!C:Q,11,false)</f>
        <v>COMPLEMENTARY</v>
      </c>
    </row>
    <row r="6435" ht="22.5" customHeight="1">
      <c r="A6435" s="49"/>
      <c r="C6435" s="400">
        <v>46027.0</v>
      </c>
      <c r="D6435" s="524">
        <v>8483.0</v>
      </c>
      <c r="E6435" s="544" t="s">
        <v>268</v>
      </c>
      <c r="F6435" s="387">
        <v>2.0</v>
      </c>
      <c r="G6435" s="140">
        <v>710000.0</v>
      </c>
      <c r="H6435" s="74"/>
      <c r="I6435" s="74">
        <f t="shared" si="1"/>
        <v>1420000</v>
      </c>
      <c r="J6435" s="74">
        <f>IF(E6435="SERVICE",I6435-(I6435*50%),Vlookup(E6435,DATABASE!C:Q,10,false)*F6435)</f>
        <v>0</v>
      </c>
      <c r="K6435" s="74">
        <f>VLOOKUP(E6435,DATABASE!C:Q,7,false)</f>
        <v>653000</v>
      </c>
      <c r="L6435" s="74">
        <v>622000.0</v>
      </c>
      <c r="M6435" s="74">
        <f t="shared" si="2"/>
        <v>625000</v>
      </c>
      <c r="N6435" s="74">
        <f t="shared" si="3"/>
        <v>170000</v>
      </c>
      <c r="O6435" s="65" t="str">
        <f>VLOOKUP(E6435,DATABASE!C:Q,8,false)</f>
        <v>IBU</v>
      </c>
      <c r="P6435" s="65">
        <f>VLOOKUP(E6435,DATABASE!C:Q,9,False)</f>
        <v>1</v>
      </c>
      <c r="Q6435" s="93" t="str">
        <f>VLOOKUP(E6435,DATABASE!C:Q,4,false)</f>
        <v>Dunlop</v>
      </c>
      <c r="R6435" s="93" t="str">
        <f>VLOOKUP(E6435,DATABASE!C:Q,11,false)</f>
        <v>Tire</v>
      </c>
    </row>
    <row r="6436" ht="22.5" customHeight="1">
      <c r="A6436" s="49"/>
      <c r="C6436" s="400">
        <v>46027.0</v>
      </c>
      <c r="D6436" s="524">
        <v>8484.0</v>
      </c>
      <c r="E6436" s="544" t="s">
        <v>262</v>
      </c>
      <c r="F6436" s="387">
        <v>1.0</v>
      </c>
      <c r="G6436" s="140">
        <v>110000.0</v>
      </c>
      <c r="H6436" s="74"/>
      <c r="I6436" s="74">
        <f t="shared" si="1"/>
        <v>110000</v>
      </c>
      <c r="J6436" s="74">
        <f>IF(E6436="SERVICE",I6436-(I6436*50%),Vlookup(E6436,DATABASE!C:Q,10,false)*F6436)</f>
        <v>5000</v>
      </c>
      <c r="K6436" s="74">
        <f>VLOOKUP(E6436,DATABASE!C:Q,7,false)</f>
        <v>0</v>
      </c>
      <c r="L6436" s="74">
        <v>0.0</v>
      </c>
      <c r="M6436" s="74">
        <f t="shared" si="2"/>
        <v>0</v>
      </c>
      <c r="N6436" s="74">
        <f t="shared" si="3"/>
        <v>105000</v>
      </c>
      <c r="O6436" s="65" t="str">
        <f>VLOOKUP(E6436,DATABASE!C:Q,8,false)</f>
        <v>IBU</v>
      </c>
      <c r="P6436" s="65">
        <f>VLOOKUP(E6436,DATABASE!C:Q,9,False)</f>
        <v>0</v>
      </c>
      <c r="Q6436" s="93" t="str">
        <f>VLOOKUP(E6436,DATABASE!C:Q,4,false)</f>
        <v>SPOORING SS/CARRY LOS BAK</v>
      </c>
      <c r="R6436" s="93" t="str">
        <f>VLOOKUP(E6436,DATABASE!C:Q,11,false)</f>
        <v>SERVICE</v>
      </c>
    </row>
    <row r="6437" ht="22.5" customHeight="1">
      <c r="A6437" s="49"/>
      <c r="C6437" s="400">
        <v>46027.0</v>
      </c>
      <c r="D6437" s="524">
        <v>8484.0</v>
      </c>
      <c r="E6437" s="544" t="s">
        <v>251</v>
      </c>
      <c r="F6437" s="387">
        <v>1.0</v>
      </c>
      <c r="G6437" s="140">
        <v>350000.0</v>
      </c>
      <c r="H6437" s="140">
        <v>200000.0</v>
      </c>
      <c r="I6437" s="74">
        <f t="shared" si="1"/>
        <v>150000</v>
      </c>
      <c r="J6437" s="74">
        <f>IF(E6437="SERVICE",I6437-(I6437*50%),Vlookup(E6437,DATABASE!C:Q,10,false)*F6437)</f>
        <v>75000</v>
      </c>
      <c r="K6437" s="74">
        <f>VLOOKUP(E6437,DATABASE!C:Q,7,false)</f>
        <v>0</v>
      </c>
      <c r="L6437" s="74">
        <v>0.0</v>
      </c>
      <c r="M6437" s="74">
        <f t="shared" si="2"/>
        <v>0</v>
      </c>
      <c r="N6437" s="74">
        <f t="shared" si="3"/>
        <v>75000</v>
      </c>
      <c r="O6437" s="65" t="str">
        <f>VLOOKUP(E6437,DATABASE!C:Q,8,false)</f>
        <v>IBU</v>
      </c>
      <c r="P6437" s="65">
        <f>VLOOKUP(E6437,DATABASE!C:Q,9,False)</f>
        <v>0</v>
      </c>
      <c r="Q6437" s="93" t="str">
        <f>VLOOKUP(E6437,DATABASE!C:Q,4,false)</f>
        <v>SERVICE</v>
      </c>
      <c r="R6437" s="93" t="str">
        <f>VLOOKUP(E6437,DATABASE!C:Q,11,false)</f>
        <v>SERVICE</v>
      </c>
    </row>
    <row r="6438" ht="22.5" customHeight="1">
      <c r="A6438" s="49"/>
      <c r="C6438" s="400">
        <v>46027.0</v>
      </c>
      <c r="D6438" s="524">
        <v>8485.0</v>
      </c>
      <c r="E6438" s="544" t="s">
        <v>1530</v>
      </c>
      <c r="F6438" s="387">
        <v>1.0</v>
      </c>
      <c r="G6438" s="140">
        <v>560000.0</v>
      </c>
      <c r="H6438" s="74"/>
      <c r="I6438" s="74">
        <f t="shared" si="1"/>
        <v>560000</v>
      </c>
      <c r="J6438" s="74">
        <f>IF(E6438="SERVICE",I6438-(I6438*50%),Vlookup(E6438,DATABASE!C:Q,10,false)*F6438)</f>
        <v>0</v>
      </c>
      <c r="K6438" s="74">
        <f>VLOOKUP(E6438,DATABASE!C:Q,7,false)</f>
        <v>467000</v>
      </c>
      <c r="L6438" s="74">
        <v>467000.0</v>
      </c>
      <c r="M6438" s="74">
        <f t="shared" si="2"/>
        <v>470000</v>
      </c>
      <c r="N6438" s="74">
        <f t="shared" si="3"/>
        <v>90000</v>
      </c>
      <c r="O6438" s="65" t="str">
        <f>VLOOKUP(E6438,DATABASE!C:Q,8,false)</f>
        <v>BIAN</v>
      </c>
      <c r="P6438" s="65">
        <f>VLOOKUP(E6438,DATABASE!C:Q,9,False)</f>
        <v>1</v>
      </c>
      <c r="Q6438" s="93" t="str">
        <f>VLOOKUP(E6438,DATABASE!C:Q,4,false)</f>
        <v>Laufen</v>
      </c>
      <c r="R6438" s="93" t="str">
        <f>VLOOKUP(E6438,DATABASE!C:Q,11,false)</f>
        <v>Tire</v>
      </c>
    </row>
    <row r="6439" ht="22.5" customHeight="1">
      <c r="A6439" s="49"/>
      <c r="C6439" s="400">
        <v>46027.0</v>
      </c>
      <c r="D6439" s="524">
        <v>8486.0</v>
      </c>
      <c r="E6439" s="544" t="s">
        <v>301</v>
      </c>
      <c r="F6439" s="387">
        <v>1.0</v>
      </c>
      <c r="G6439" s="140">
        <v>250000.0</v>
      </c>
      <c r="H6439" s="74"/>
      <c r="I6439" s="74">
        <f t="shared" si="1"/>
        <v>250000</v>
      </c>
      <c r="J6439" s="74">
        <f>IF(E6439="SERVICE",I6439-(I6439*50%),Vlookup(E6439,DATABASE!C:Q,10,false)*F6439)</f>
        <v>75000</v>
      </c>
      <c r="K6439" s="74">
        <f>VLOOKUP(E6439,DATABASE!C:Q,7,false)</f>
        <v>75000</v>
      </c>
      <c r="L6439" s="74">
        <v>75000.0</v>
      </c>
      <c r="M6439" s="74">
        <f t="shared" si="2"/>
        <v>75000</v>
      </c>
      <c r="N6439" s="74">
        <f t="shared" si="3"/>
        <v>100000</v>
      </c>
      <c r="O6439" s="65" t="str">
        <f>VLOOKUP(E6439,DATABASE!C:Q,8,false)</f>
        <v>BIAN</v>
      </c>
      <c r="P6439" s="65">
        <f>VLOOKUP(E6439,DATABASE!C:Q,9,False)</f>
        <v>0</v>
      </c>
      <c r="Q6439" s="93" t="str">
        <f>VLOOKUP(E6439,DATABASE!C:Q,4,false)</f>
        <v>Baut Camber</v>
      </c>
      <c r="R6439" s="93" t="str">
        <f>VLOOKUP(E6439,DATABASE!C:Q,11,false)</f>
        <v>COMPLEMENTARY</v>
      </c>
    </row>
    <row r="6440" ht="22.5" customHeight="1">
      <c r="A6440" s="49"/>
      <c r="C6440" s="400">
        <v>46028.0</v>
      </c>
      <c r="D6440" s="524">
        <v>8487.0</v>
      </c>
      <c r="E6440" s="544" t="s">
        <v>614</v>
      </c>
      <c r="F6440" s="387">
        <v>1.0</v>
      </c>
      <c r="G6440" s="140">
        <v>820000.0</v>
      </c>
      <c r="H6440" s="74"/>
      <c r="I6440" s="74">
        <f t="shared" si="1"/>
        <v>820000</v>
      </c>
      <c r="J6440" s="74">
        <f>IF(E6440="SERVICE",I6440-(I6440*50%),Vlookup(E6440,DATABASE!C:Q,10,false)*F6440)</f>
        <v>0</v>
      </c>
      <c r="K6440" s="74">
        <f>VLOOKUP(E6440,DATABASE!C:Q,7,false)</f>
        <v>754660.6</v>
      </c>
      <c r="L6440" s="74">
        <v>712256.0</v>
      </c>
      <c r="M6440" s="74">
        <f t="shared" si="2"/>
        <v>715000</v>
      </c>
      <c r="N6440" s="74">
        <f t="shared" si="3"/>
        <v>105000</v>
      </c>
      <c r="O6440" s="65" t="str">
        <f>VLOOKUP(E6440,DATABASE!C:Q,8,false)</f>
        <v>IBU</v>
      </c>
      <c r="P6440" s="65">
        <f>VLOOKUP(E6440,DATABASE!C:Q,9,False)</f>
        <v>1</v>
      </c>
      <c r="Q6440" s="93" t="str">
        <f>VLOOKUP(E6440,DATABASE!C:Q,4,false)</f>
        <v>Bridgestone</v>
      </c>
      <c r="R6440" s="93" t="str">
        <f>VLOOKUP(E6440,DATABASE!C:Q,11,false)</f>
        <v>Tire</v>
      </c>
    </row>
    <row r="6441" ht="22.5" customHeight="1">
      <c r="A6441" s="49"/>
      <c r="C6441" s="400">
        <v>46028.0</v>
      </c>
      <c r="D6441" s="524">
        <v>8487.0</v>
      </c>
      <c r="E6441" s="544" t="s">
        <v>1530</v>
      </c>
      <c r="F6441" s="387">
        <v>2.0</v>
      </c>
      <c r="G6441" s="140">
        <v>560000.0</v>
      </c>
      <c r="H6441" s="74"/>
      <c r="I6441" s="74">
        <f t="shared" si="1"/>
        <v>1120000</v>
      </c>
      <c r="J6441" s="74">
        <f>IF(E6441="SERVICE",I6441-(I6441*50%),Vlookup(E6441,DATABASE!C:Q,10,false)*F6441)</f>
        <v>0</v>
      </c>
      <c r="K6441" s="74">
        <f>VLOOKUP(E6441,DATABASE!C:Q,7,false)</f>
        <v>467000</v>
      </c>
      <c r="L6441" s="74">
        <v>467000.0</v>
      </c>
      <c r="M6441" s="74">
        <f t="shared" si="2"/>
        <v>470000</v>
      </c>
      <c r="N6441" s="74">
        <f t="shared" si="3"/>
        <v>180000</v>
      </c>
      <c r="O6441" s="65" t="str">
        <f>VLOOKUP(E6441,DATABASE!C:Q,8,false)</f>
        <v>BIAN</v>
      </c>
      <c r="P6441" s="65">
        <f>VLOOKUP(E6441,DATABASE!C:Q,9,False)</f>
        <v>1</v>
      </c>
      <c r="Q6441" s="93" t="str">
        <f>VLOOKUP(E6441,DATABASE!C:Q,4,false)</f>
        <v>Laufen</v>
      </c>
      <c r="R6441" s="93" t="str">
        <f>VLOOKUP(E6441,DATABASE!C:Q,11,false)</f>
        <v>Tire</v>
      </c>
    </row>
    <row r="6442" ht="22.5" customHeight="1">
      <c r="A6442" s="49"/>
      <c r="C6442" s="400">
        <v>46028.0</v>
      </c>
      <c r="D6442" s="524">
        <v>8487.0</v>
      </c>
      <c r="E6442" s="544" t="s">
        <v>286</v>
      </c>
      <c r="F6442" s="387">
        <v>1.0</v>
      </c>
      <c r="G6442" s="140">
        <v>560000.0</v>
      </c>
      <c r="H6442" s="140">
        <v>10000.0</v>
      </c>
      <c r="I6442" s="74">
        <f t="shared" si="1"/>
        <v>550000</v>
      </c>
      <c r="J6442" s="74">
        <f>IF(E6442="SERVICE",I6442-(I6442*50%),Vlookup(E6442,DATABASE!C:Q,10,false)*F6442)</f>
        <v>0</v>
      </c>
      <c r="K6442" s="74">
        <f>VLOOKUP(E6442,DATABASE!C:Q,7,false)</f>
        <v>488320</v>
      </c>
      <c r="L6442" s="74">
        <v>452970.0</v>
      </c>
      <c r="M6442" s="74">
        <f t="shared" si="2"/>
        <v>455000</v>
      </c>
      <c r="N6442" s="74">
        <f t="shared" si="3"/>
        <v>95000</v>
      </c>
      <c r="O6442" s="65" t="str">
        <f>VLOOKUP(E6442,DATABASE!C:Q,8,false)</f>
        <v>BIAN</v>
      </c>
      <c r="P6442" s="65">
        <f>VLOOKUP(E6442,DATABASE!C:Q,9,False)</f>
        <v>1</v>
      </c>
      <c r="Q6442" s="93" t="str">
        <f>VLOOKUP(E6442,DATABASE!C:Q,4,false)</f>
        <v>GT</v>
      </c>
      <c r="R6442" s="93" t="str">
        <f>VLOOKUP(E6442,DATABASE!C:Q,11,false)</f>
        <v>Tire</v>
      </c>
    </row>
    <row r="6443" ht="22.5" customHeight="1">
      <c r="A6443" s="49"/>
      <c r="C6443" s="400">
        <v>46028.0</v>
      </c>
      <c r="D6443" s="524">
        <v>8488.0</v>
      </c>
      <c r="E6443" s="544" t="s">
        <v>932</v>
      </c>
      <c r="F6443" s="387">
        <v>1.0</v>
      </c>
      <c r="G6443" s="140">
        <v>680000.0</v>
      </c>
      <c r="H6443" s="74"/>
      <c r="I6443" s="74">
        <f t="shared" si="1"/>
        <v>680000</v>
      </c>
      <c r="J6443" s="74">
        <f>IF(E6443="SERVICE",I6443-(I6443*50%),Vlookup(E6443,DATABASE!C:Q,10,false)*F6443)</f>
        <v>0</v>
      </c>
      <c r="K6443" s="74">
        <f>VLOOKUP(E6443,DATABASE!C:Q,7,false)</f>
        <v>601000</v>
      </c>
      <c r="L6443" s="74">
        <v>595000.0</v>
      </c>
      <c r="M6443" s="74">
        <f t="shared" si="2"/>
        <v>595000</v>
      </c>
      <c r="N6443" s="74">
        <f t="shared" si="3"/>
        <v>85000</v>
      </c>
      <c r="O6443" s="65" t="str">
        <f>VLOOKUP(E6443,DATABASE!C:Q,8,false)</f>
        <v>IBU</v>
      </c>
      <c r="P6443" s="65">
        <f>VLOOKUP(E6443,DATABASE!C:Q,9,False)</f>
        <v>1</v>
      </c>
      <c r="Q6443" s="93" t="str">
        <f>VLOOKUP(E6443,DATABASE!C:Q,4,false)</f>
        <v>Dunlop</v>
      </c>
      <c r="R6443" s="93" t="str">
        <f>VLOOKUP(E6443,DATABASE!C:Q,11,false)</f>
        <v>Tire</v>
      </c>
    </row>
    <row r="6444" ht="22.5" customHeight="1">
      <c r="A6444" s="49"/>
      <c r="C6444" s="400">
        <v>46028.0</v>
      </c>
      <c r="D6444" s="524">
        <v>8491.0</v>
      </c>
      <c r="E6444" s="544" t="s">
        <v>268</v>
      </c>
      <c r="F6444" s="387">
        <v>1.0</v>
      </c>
      <c r="G6444" s="140">
        <v>710000.0</v>
      </c>
      <c r="H6444" s="74"/>
      <c r="I6444" s="74">
        <f t="shared" si="1"/>
        <v>710000</v>
      </c>
      <c r="J6444" s="74">
        <f>IF(E6444="SERVICE",I6444-(I6444*50%),Vlookup(E6444,DATABASE!C:Q,10,false)*F6444)</f>
        <v>0</v>
      </c>
      <c r="K6444" s="74">
        <f>VLOOKUP(E6444,DATABASE!C:Q,7,false)</f>
        <v>653000</v>
      </c>
      <c r="L6444" s="74">
        <v>622000.0</v>
      </c>
      <c r="M6444" s="74">
        <f t="shared" si="2"/>
        <v>625000</v>
      </c>
      <c r="N6444" s="74">
        <f t="shared" si="3"/>
        <v>85000</v>
      </c>
      <c r="O6444" s="65" t="str">
        <f>VLOOKUP(E6444,DATABASE!C:Q,8,false)</f>
        <v>IBU</v>
      </c>
      <c r="P6444" s="65">
        <f>VLOOKUP(E6444,DATABASE!C:Q,9,False)</f>
        <v>1</v>
      </c>
      <c r="Q6444" s="93" t="str">
        <f>VLOOKUP(E6444,DATABASE!C:Q,4,false)</f>
        <v>Dunlop</v>
      </c>
      <c r="R6444" s="93" t="str">
        <f>VLOOKUP(E6444,DATABASE!C:Q,11,false)</f>
        <v>Tire</v>
      </c>
    </row>
    <row r="6445" ht="22.5" customHeight="1">
      <c r="A6445" s="49"/>
      <c r="C6445" s="400">
        <v>46028.0</v>
      </c>
      <c r="D6445" s="524">
        <v>8492.0</v>
      </c>
      <c r="E6445" s="544" t="s">
        <v>591</v>
      </c>
      <c r="F6445" s="387">
        <v>4.0</v>
      </c>
      <c r="G6445" s="140">
        <v>700000.0</v>
      </c>
      <c r="H6445" s="74"/>
      <c r="I6445" s="74">
        <f t="shared" si="1"/>
        <v>2800000</v>
      </c>
      <c r="J6445" s="74">
        <f>IF(E6445="SERVICE",I6445-(I6445*50%),Vlookup(E6445,DATABASE!C:Q,10,false)*F6445)</f>
        <v>0</v>
      </c>
      <c r="K6445" s="74">
        <f>VLOOKUP(E6445,DATABASE!C:Q,7,false)</f>
        <v>633035.16</v>
      </c>
      <c r="L6445" s="74">
        <v>596694.4</v>
      </c>
      <c r="M6445" s="74">
        <f t="shared" si="2"/>
        <v>600000</v>
      </c>
      <c r="N6445" s="74">
        <f t="shared" si="3"/>
        <v>400000</v>
      </c>
      <c r="O6445" s="65" t="str">
        <f>VLOOKUP(E6445,DATABASE!C:Q,8,false)</f>
        <v>IBU</v>
      </c>
      <c r="P6445" s="65">
        <f>VLOOKUP(E6445,DATABASE!C:Q,9,False)</f>
        <v>1</v>
      </c>
      <c r="Q6445" s="93" t="str">
        <f>VLOOKUP(E6445,DATABASE!C:Q,4,false)</f>
        <v>Bridgestone</v>
      </c>
      <c r="R6445" s="93" t="str">
        <f>VLOOKUP(E6445,DATABASE!C:Q,11,false)</f>
        <v>Tire</v>
      </c>
    </row>
    <row r="6446" ht="22.5" customHeight="1">
      <c r="A6446" s="49"/>
      <c r="C6446" s="400">
        <v>46028.0</v>
      </c>
      <c r="D6446" s="524">
        <v>8493.0</v>
      </c>
      <c r="E6446" s="544" t="s">
        <v>591</v>
      </c>
      <c r="F6446" s="387">
        <v>2.0</v>
      </c>
      <c r="G6446" s="140">
        <v>700000.0</v>
      </c>
      <c r="H6446" s="74"/>
      <c r="I6446" s="74">
        <f t="shared" si="1"/>
        <v>1400000</v>
      </c>
      <c r="J6446" s="74">
        <f>IF(E6446="SERVICE",I6446-(I6446*50%),Vlookup(E6446,DATABASE!C:Q,10,false)*F6446)</f>
        <v>0</v>
      </c>
      <c r="K6446" s="74">
        <f>VLOOKUP(E6446,DATABASE!C:Q,7,false)</f>
        <v>633035.16</v>
      </c>
      <c r="L6446" s="74">
        <v>596694.4</v>
      </c>
      <c r="M6446" s="74">
        <f t="shared" si="2"/>
        <v>600000</v>
      </c>
      <c r="N6446" s="74">
        <f t="shared" si="3"/>
        <v>200000</v>
      </c>
      <c r="O6446" s="65" t="str">
        <f>VLOOKUP(E6446,DATABASE!C:Q,8,false)</f>
        <v>IBU</v>
      </c>
      <c r="P6446" s="65">
        <f>VLOOKUP(E6446,DATABASE!C:Q,9,False)</f>
        <v>1</v>
      </c>
      <c r="Q6446" s="93" t="str">
        <f>VLOOKUP(E6446,DATABASE!C:Q,4,false)</f>
        <v>Bridgestone</v>
      </c>
      <c r="R6446" s="93" t="str">
        <f>VLOOKUP(E6446,DATABASE!C:Q,11,false)</f>
        <v>Tire</v>
      </c>
    </row>
    <row r="6447" ht="22.5" customHeight="1">
      <c r="A6447" s="49"/>
      <c r="C6447" s="400">
        <v>46028.0</v>
      </c>
      <c r="D6447" s="524">
        <v>8494.0</v>
      </c>
      <c r="E6447" s="544" t="s">
        <v>275</v>
      </c>
      <c r="F6447" s="387">
        <v>2.0</v>
      </c>
      <c r="G6447" s="140">
        <v>830000.0</v>
      </c>
      <c r="H6447" s="74"/>
      <c r="I6447" s="74">
        <f t="shared" si="1"/>
        <v>1660000</v>
      </c>
      <c r="J6447" s="74">
        <f>IF(E6447="SERVICE",I6447-(I6447*50%),Vlookup(E6447,DATABASE!C:Q,10,false)*F6447)</f>
        <v>0</v>
      </c>
      <c r="K6447" s="74">
        <f>VLOOKUP(E6447,DATABASE!C:Q,7,false)</f>
        <v>782000</v>
      </c>
      <c r="L6447" s="74">
        <v>745000.0</v>
      </c>
      <c r="M6447" s="74">
        <f t="shared" si="2"/>
        <v>745000</v>
      </c>
      <c r="N6447" s="74">
        <f t="shared" si="3"/>
        <v>170000</v>
      </c>
      <c r="O6447" s="65" t="str">
        <f>VLOOKUP(E6447,DATABASE!C:Q,8,false)</f>
        <v>IBU</v>
      </c>
      <c r="P6447" s="65">
        <f>VLOOKUP(E6447,DATABASE!C:Q,9,False)</f>
        <v>1</v>
      </c>
      <c r="Q6447" s="93" t="str">
        <f>VLOOKUP(E6447,DATABASE!C:Q,4,false)</f>
        <v>Dunlop</v>
      </c>
      <c r="R6447" s="93" t="str">
        <f>VLOOKUP(E6447,DATABASE!C:Q,11,false)</f>
        <v>Tire</v>
      </c>
    </row>
    <row r="6448" ht="22.5" customHeight="1">
      <c r="A6448" s="49"/>
      <c r="C6448" s="400">
        <v>46028.0</v>
      </c>
      <c r="D6448" s="524">
        <v>8494.0</v>
      </c>
      <c r="E6448" s="544" t="s">
        <v>299</v>
      </c>
      <c r="F6448" s="387">
        <v>2.0</v>
      </c>
      <c r="G6448" s="140">
        <v>30000.0</v>
      </c>
      <c r="H6448" s="74"/>
      <c r="I6448" s="74">
        <f t="shared" si="1"/>
        <v>60000</v>
      </c>
      <c r="J6448" s="74">
        <f>IF(E6448="SERVICE",I6448-(I6448*50%),Vlookup(E6448,DATABASE!C:Q,10,false)*F6448)</f>
        <v>0</v>
      </c>
      <c r="K6448" s="74">
        <f>VLOOKUP(E6448,DATABASE!C:Q,7,false)</f>
        <v>10000</v>
      </c>
      <c r="L6448" s="74">
        <v>5000.0</v>
      </c>
      <c r="M6448" s="74">
        <f t="shared" si="2"/>
        <v>5000</v>
      </c>
      <c r="N6448" s="74">
        <f t="shared" si="3"/>
        <v>50000</v>
      </c>
      <c r="O6448" s="65" t="str">
        <f>VLOOKUP(E6448,DATABASE!C:Q,8,false)</f>
        <v>BIAN</v>
      </c>
      <c r="P6448" s="65">
        <f>VLOOKUP(E6448,DATABASE!C:Q,9,False)</f>
        <v>0</v>
      </c>
      <c r="Q6448" s="93" t="str">
        <f>VLOOKUP(E6448,DATABASE!C:Q,4,false)</f>
        <v>Balancing</v>
      </c>
      <c r="R6448" s="93" t="str">
        <f>VLOOKUP(E6448,DATABASE!C:Q,11,false)</f>
        <v>COMPLEMENTARY</v>
      </c>
    </row>
    <row r="6449" ht="22.5" customHeight="1">
      <c r="A6449" s="49"/>
      <c r="C6449" s="400">
        <v>46028.0</v>
      </c>
      <c r="D6449" s="524">
        <v>8495.0</v>
      </c>
      <c r="E6449" s="544" t="s">
        <v>261</v>
      </c>
      <c r="F6449" s="387">
        <v>2.0</v>
      </c>
      <c r="G6449" s="140">
        <v>515000.0</v>
      </c>
      <c r="H6449" s="140">
        <v>15000.0</v>
      </c>
      <c r="I6449" s="74">
        <f t="shared" si="1"/>
        <v>1000000</v>
      </c>
      <c r="J6449" s="74">
        <f>IF(E6449="SERVICE",I6449-(I6449*50%),Vlookup(E6449,DATABASE!C:Q,10,false)*F6449)</f>
        <v>0</v>
      </c>
      <c r="K6449" s="74">
        <f>VLOOKUP(E6449,DATABASE!C:Q,7,false)</f>
        <v>415000</v>
      </c>
      <c r="L6449" s="74">
        <v>415000.0</v>
      </c>
      <c r="M6449" s="74">
        <f t="shared" si="2"/>
        <v>415000</v>
      </c>
      <c r="N6449" s="74">
        <f t="shared" si="3"/>
        <v>170000</v>
      </c>
      <c r="O6449" s="65" t="str">
        <f>VLOOKUP(E6449,DATABASE!C:Q,8,false)</f>
        <v>IBU</v>
      </c>
      <c r="P6449" s="65">
        <f>VLOOKUP(E6449,DATABASE!C:Q,9,False)</f>
        <v>1</v>
      </c>
      <c r="Q6449" s="93" t="str">
        <f>VLOOKUP(E6449,DATABASE!C:Q,4,false)</f>
        <v>Dunlop</v>
      </c>
      <c r="R6449" s="93" t="str">
        <f>VLOOKUP(E6449,DATABASE!C:Q,11,false)</f>
        <v>Tire</v>
      </c>
    </row>
    <row r="6450" ht="22.5" customHeight="1">
      <c r="A6450" s="49"/>
      <c r="C6450" s="400">
        <v>46028.0</v>
      </c>
      <c r="D6450" s="524">
        <v>8496.0</v>
      </c>
      <c r="E6450" s="544" t="s">
        <v>262</v>
      </c>
      <c r="F6450" s="387">
        <v>1.0</v>
      </c>
      <c r="G6450" s="140">
        <v>110000.0</v>
      </c>
      <c r="H6450" s="74"/>
      <c r="I6450" s="74">
        <f t="shared" si="1"/>
        <v>110000</v>
      </c>
      <c r="J6450" s="74">
        <f>IF(E6450="SERVICE",I6450-(I6450*50%),Vlookup(E6450,DATABASE!C:Q,10,false)*F6450)</f>
        <v>5000</v>
      </c>
      <c r="K6450" s="74">
        <f>VLOOKUP(E6450,DATABASE!C:Q,7,false)</f>
        <v>0</v>
      </c>
      <c r="L6450" s="74">
        <v>0.0</v>
      </c>
      <c r="M6450" s="74">
        <f t="shared" si="2"/>
        <v>0</v>
      </c>
      <c r="N6450" s="74">
        <f t="shared" si="3"/>
        <v>105000</v>
      </c>
      <c r="O6450" s="65" t="str">
        <f>VLOOKUP(E6450,DATABASE!C:Q,8,false)</f>
        <v>IBU</v>
      </c>
      <c r="P6450" s="65">
        <f>VLOOKUP(E6450,DATABASE!C:Q,9,False)</f>
        <v>0</v>
      </c>
      <c r="Q6450" s="93" t="str">
        <f>VLOOKUP(E6450,DATABASE!C:Q,4,false)</f>
        <v>SPOORING SS/CARRY LOS BAK</v>
      </c>
      <c r="R6450" s="93" t="str">
        <f>VLOOKUP(E6450,DATABASE!C:Q,11,false)</f>
        <v>SERVICE</v>
      </c>
    </row>
    <row r="6451" ht="22.5" customHeight="1">
      <c r="A6451" s="49"/>
      <c r="C6451" s="400">
        <v>46028.0</v>
      </c>
      <c r="D6451" s="524">
        <v>8496.0</v>
      </c>
      <c r="E6451" s="544" t="s">
        <v>299</v>
      </c>
      <c r="F6451" s="387">
        <v>2.0</v>
      </c>
      <c r="G6451" s="140">
        <v>30000.0</v>
      </c>
      <c r="H6451" s="74"/>
      <c r="I6451" s="74">
        <f t="shared" si="1"/>
        <v>60000</v>
      </c>
      <c r="J6451" s="74">
        <f>IF(E6451="SERVICE",I6451-(I6451*50%),Vlookup(E6451,DATABASE!C:Q,10,false)*F6451)</f>
        <v>0</v>
      </c>
      <c r="K6451" s="74">
        <f>VLOOKUP(E6451,DATABASE!C:Q,7,false)</f>
        <v>10000</v>
      </c>
      <c r="L6451" s="74">
        <v>5000.0</v>
      </c>
      <c r="M6451" s="74">
        <f t="shared" si="2"/>
        <v>5000</v>
      </c>
      <c r="N6451" s="74">
        <f t="shared" si="3"/>
        <v>50000</v>
      </c>
      <c r="O6451" s="65" t="str">
        <f>VLOOKUP(E6451,DATABASE!C:Q,8,false)</f>
        <v>BIAN</v>
      </c>
      <c r="P6451" s="65">
        <f>VLOOKUP(E6451,DATABASE!C:Q,9,False)</f>
        <v>0</v>
      </c>
      <c r="Q6451" s="93" t="str">
        <f>VLOOKUP(E6451,DATABASE!C:Q,4,false)</f>
        <v>Balancing</v>
      </c>
      <c r="R6451" s="93" t="str">
        <f>VLOOKUP(E6451,DATABASE!C:Q,11,false)</f>
        <v>COMPLEMENTARY</v>
      </c>
    </row>
    <row r="6452" ht="22.5" customHeight="1">
      <c r="A6452" s="49"/>
      <c r="C6452" s="400">
        <v>46028.0</v>
      </c>
      <c r="D6452" s="524">
        <v>8496.0</v>
      </c>
      <c r="E6452" s="544" t="s">
        <v>478</v>
      </c>
      <c r="F6452" s="387">
        <v>1.0</v>
      </c>
      <c r="G6452" s="140">
        <v>200000.0</v>
      </c>
      <c r="H6452" s="74"/>
      <c r="I6452" s="74">
        <f t="shared" si="1"/>
        <v>200000</v>
      </c>
      <c r="J6452" s="74">
        <f>IF(E6452="SERVICE",I6452-(I6452*50%),Vlookup(E6452,DATABASE!C:Q,10,false)*F6452)</f>
        <v>25000</v>
      </c>
      <c r="K6452" s="74">
        <f>VLOOKUP(E6452,DATABASE!C:Q,7,false)</f>
        <v>75000</v>
      </c>
      <c r="L6452" s="74">
        <v>75000.0</v>
      </c>
      <c r="M6452" s="74">
        <f t="shared" si="2"/>
        <v>75000</v>
      </c>
      <c r="N6452" s="74">
        <f t="shared" si="3"/>
        <v>100000</v>
      </c>
      <c r="O6452" s="65" t="str">
        <f>VLOOKUP(E6452,DATABASE!C:Q,8,false)</f>
        <v>BIAN</v>
      </c>
      <c r="P6452" s="65">
        <f>VLOOKUP(E6452,DATABASE!C:Q,9,False)</f>
        <v>0</v>
      </c>
      <c r="Q6452" s="93" t="str">
        <f>VLOOKUP(E6452,DATABASE!C:Q,4,false)</f>
        <v>Baut Camber ss-carry</v>
      </c>
      <c r="R6452" s="93" t="str">
        <f>VLOOKUP(E6452,DATABASE!C:Q,11,false)</f>
        <v>COMPLEMENTARY</v>
      </c>
    </row>
    <row r="6453" ht="22.5" customHeight="1">
      <c r="A6453" s="49"/>
      <c r="C6453" s="400">
        <v>46028.0</v>
      </c>
      <c r="D6453" s="524">
        <v>8497.0</v>
      </c>
      <c r="E6453" s="544" t="s">
        <v>2037</v>
      </c>
      <c r="F6453" s="387">
        <v>2.0</v>
      </c>
      <c r="G6453" s="140">
        <v>2625000.0</v>
      </c>
      <c r="H6453" s="140">
        <v>20000.0</v>
      </c>
      <c r="I6453" s="74">
        <f t="shared" si="1"/>
        <v>5210000</v>
      </c>
      <c r="J6453" s="74">
        <f>IF(E6453="SERVICE",I6453-(I6453*50%),Vlookup(E6453,DATABASE!C:Q,10,false)*F6453)</f>
        <v>0</v>
      </c>
      <c r="K6453" s="74">
        <f>VLOOKUP(E6453,DATABASE!C:Q,7,false)</f>
        <v>2575000</v>
      </c>
      <c r="L6453" s="74">
        <v>2475000.0</v>
      </c>
      <c r="M6453" s="74">
        <f t="shared" si="2"/>
        <v>2475000</v>
      </c>
      <c r="N6453" s="74">
        <f t="shared" si="3"/>
        <v>260000</v>
      </c>
      <c r="O6453" s="65" t="str">
        <f>VLOOKUP(E6453,DATABASE!C:Q,8,false)</f>
        <v>BIAN</v>
      </c>
      <c r="P6453" s="65">
        <f>VLOOKUP(E6453,DATABASE!C:Q,9,False)</f>
        <v>1</v>
      </c>
      <c r="Q6453" s="93" t="str">
        <f>VLOOKUP(E6453,DATABASE!C:Q,4,false)</f>
        <v>GT</v>
      </c>
      <c r="R6453" s="93" t="str">
        <f>VLOOKUP(E6453,DATABASE!C:Q,11,false)</f>
        <v>Tire</v>
      </c>
    </row>
    <row r="6454" ht="22.5" customHeight="1">
      <c r="A6454" s="49"/>
      <c r="C6454" s="400">
        <v>46028.0</v>
      </c>
      <c r="D6454" s="524">
        <v>8497.0</v>
      </c>
      <c r="E6454" s="544" t="s">
        <v>924</v>
      </c>
      <c r="F6454" s="387">
        <v>2.0</v>
      </c>
      <c r="G6454" s="140">
        <v>1650000.0</v>
      </c>
      <c r="H6454" s="140">
        <v>20000.0</v>
      </c>
      <c r="I6454" s="74">
        <f t="shared" si="1"/>
        <v>3260000</v>
      </c>
      <c r="J6454" s="74">
        <f>IF(E6454="SERVICE",I6454-(I6454*50%),Vlookup(E6454,DATABASE!C:Q,10,false)*F6454)</f>
        <v>0</v>
      </c>
      <c r="K6454" s="74">
        <f>VLOOKUP(E6454,DATABASE!C:Q,7,false)</f>
        <v>1560000</v>
      </c>
      <c r="L6454" s="74">
        <v>1545000.0</v>
      </c>
      <c r="M6454" s="74">
        <f t="shared" si="2"/>
        <v>1545000</v>
      </c>
      <c r="N6454" s="74">
        <f t="shared" si="3"/>
        <v>170000</v>
      </c>
      <c r="O6454" s="65" t="str">
        <f>VLOOKUP(E6454,DATABASE!C:Q,8,false)</f>
        <v>BIAN</v>
      </c>
      <c r="P6454" s="65">
        <f>VLOOKUP(E6454,DATABASE!C:Q,9,False)</f>
        <v>1</v>
      </c>
      <c r="Q6454" s="93" t="str">
        <f>VLOOKUP(E6454,DATABASE!C:Q,4,false)</f>
        <v>TIRON</v>
      </c>
      <c r="R6454" s="93" t="str">
        <f>VLOOKUP(E6454,DATABASE!C:Q,11,false)</f>
        <v>Tire</v>
      </c>
    </row>
    <row r="6455" ht="22.5" customHeight="1">
      <c r="A6455" s="49"/>
      <c r="C6455" s="400">
        <v>46028.0</v>
      </c>
      <c r="D6455" s="524">
        <v>8499.0</v>
      </c>
      <c r="E6455" s="544" t="s">
        <v>265</v>
      </c>
      <c r="F6455" s="387">
        <v>2.0</v>
      </c>
      <c r="G6455" s="140">
        <v>685000.0</v>
      </c>
      <c r="H6455" s="140">
        <v>5000.0</v>
      </c>
      <c r="I6455" s="74">
        <f t="shared" si="1"/>
        <v>1360000</v>
      </c>
      <c r="J6455" s="74">
        <f>IF(E6455="SERVICE",I6455-(I6455*50%),Vlookup(E6455,DATABASE!C:Q,10,false)*F6455)</f>
        <v>0</v>
      </c>
      <c r="K6455" s="74">
        <f>VLOOKUP(E6455,DATABASE!C:Q,7,false)</f>
        <v>628000</v>
      </c>
      <c r="L6455" s="74">
        <v>600000.0</v>
      </c>
      <c r="M6455" s="74">
        <f t="shared" si="2"/>
        <v>600000</v>
      </c>
      <c r="N6455" s="74">
        <f t="shared" si="3"/>
        <v>160000</v>
      </c>
      <c r="O6455" s="65" t="str">
        <f>VLOOKUP(E6455,DATABASE!C:Q,8,false)</f>
        <v>IBU</v>
      </c>
      <c r="P6455" s="65">
        <f>VLOOKUP(E6455,DATABASE!C:Q,9,False)</f>
        <v>1</v>
      </c>
      <c r="Q6455" s="93" t="str">
        <f>VLOOKUP(E6455,DATABASE!C:Q,4,false)</f>
        <v>Dunlop</v>
      </c>
      <c r="R6455" s="93" t="str">
        <f>VLOOKUP(E6455,DATABASE!C:Q,11,false)</f>
        <v>Tire</v>
      </c>
    </row>
    <row r="6456" ht="22.5" customHeight="1">
      <c r="A6456" s="49"/>
      <c r="C6456" s="400">
        <v>46028.0</v>
      </c>
      <c r="D6456" s="524">
        <v>8499.0</v>
      </c>
      <c r="E6456" s="544" t="s">
        <v>299</v>
      </c>
      <c r="F6456" s="387">
        <v>2.0</v>
      </c>
      <c r="G6456" s="140">
        <v>30000.0</v>
      </c>
      <c r="H6456" s="74"/>
      <c r="I6456" s="74">
        <f t="shared" si="1"/>
        <v>60000</v>
      </c>
      <c r="J6456" s="74">
        <f>IF(E6456="SERVICE",I6456-(I6456*50%),Vlookup(E6456,DATABASE!C:Q,10,false)*F6456)</f>
        <v>0</v>
      </c>
      <c r="K6456" s="74">
        <f>VLOOKUP(E6456,DATABASE!C:Q,7,false)</f>
        <v>10000</v>
      </c>
      <c r="L6456" s="74">
        <v>5000.0</v>
      </c>
      <c r="M6456" s="74">
        <f t="shared" si="2"/>
        <v>5000</v>
      </c>
      <c r="N6456" s="74">
        <f t="shared" si="3"/>
        <v>50000</v>
      </c>
      <c r="O6456" s="65" t="str">
        <f>VLOOKUP(E6456,DATABASE!C:Q,8,false)</f>
        <v>BIAN</v>
      </c>
      <c r="P6456" s="65">
        <f>VLOOKUP(E6456,DATABASE!C:Q,9,False)</f>
        <v>0</v>
      </c>
      <c r="Q6456" s="93" t="str">
        <f>VLOOKUP(E6456,DATABASE!C:Q,4,false)</f>
        <v>Balancing</v>
      </c>
      <c r="R6456" s="93" t="str">
        <f>VLOOKUP(E6456,DATABASE!C:Q,11,false)</f>
        <v>COMPLEMENTARY</v>
      </c>
    </row>
    <row r="6457" ht="22.5" customHeight="1">
      <c r="A6457" s="49"/>
      <c r="C6457" s="400">
        <v>46028.0</v>
      </c>
      <c r="D6457" s="524">
        <v>8499.0</v>
      </c>
      <c r="E6457" s="544" t="s">
        <v>256</v>
      </c>
      <c r="F6457" s="387">
        <v>1.0</v>
      </c>
      <c r="G6457" s="140">
        <v>150000.0</v>
      </c>
      <c r="H6457" s="140">
        <v>20000.0</v>
      </c>
      <c r="I6457" s="74">
        <f t="shared" si="1"/>
        <v>130000</v>
      </c>
      <c r="J6457" s="74">
        <f>IF(E6457="SERVICE",I6457-(I6457*50%),Vlookup(E6457,DATABASE!C:Q,10,false)*F6457)</f>
        <v>10000</v>
      </c>
      <c r="K6457" s="74">
        <f>VLOOKUP(E6457,DATABASE!C:Q,7,false)</f>
        <v>0</v>
      </c>
      <c r="L6457" s="74">
        <v>0.0</v>
      </c>
      <c r="M6457" s="74">
        <f t="shared" si="2"/>
        <v>0</v>
      </c>
      <c r="N6457" s="74">
        <f t="shared" si="3"/>
        <v>120000</v>
      </c>
      <c r="O6457" s="65" t="str">
        <f>VLOOKUP(E6457,DATABASE!C:Q,8,false)</f>
        <v>IBU</v>
      </c>
      <c r="P6457" s="65">
        <f>VLOOKUP(E6457,DATABASE!C:Q,9,False)</f>
        <v>0</v>
      </c>
      <c r="Q6457" s="93" t="str">
        <f>VLOOKUP(E6457,DATABASE!C:Q,4,false)</f>
        <v>SPOORING</v>
      </c>
      <c r="R6457" s="93" t="str">
        <f>VLOOKUP(E6457,DATABASE!C:Q,11,false)</f>
        <v>SERVICE</v>
      </c>
    </row>
    <row r="6458" ht="22.5" customHeight="1">
      <c r="A6458" s="49"/>
      <c r="C6458" s="400">
        <v>46028.0</v>
      </c>
      <c r="D6458" s="524">
        <v>8499.0</v>
      </c>
      <c r="E6458" s="544" t="s">
        <v>301</v>
      </c>
      <c r="F6458" s="387">
        <v>1.0</v>
      </c>
      <c r="G6458" s="140">
        <v>250000.0</v>
      </c>
      <c r="H6458" s="74"/>
      <c r="I6458" s="74">
        <f t="shared" si="1"/>
        <v>250000</v>
      </c>
      <c r="J6458" s="74">
        <f>IF(E6458="SERVICE",I6458-(I6458*50%),Vlookup(E6458,DATABASE!C:Q,10,false)*F6458)</f>
        <v>75000</v>
      </c>
      <c r="K6458" s="74">
        <f>VLOOKUP(E6458,DATABASE!C:Q,7,false)</f>
        <v>75000</v>
      </c>
      <c r="L6458" s="74">
        <v>75000.0</v>
      </c>
      <c r="M6458" s="74">
        <f t="shared" si="2"/>
        <v>75000</v>
      </c>
      <c r="N6458" s="74">
        <f t="shared" si="3"/>
        <v>100000</v>
      </c>
      <c r="O6458" s="65" t="str">
        <f>VLOOKUP(E6458,DATABASE!C:Q,8,false)</f>
        <v>BIAN</v>
      </c>
      <c r="P6458" s="65">
        <f>VLOOKUP(E6458,DATABASE!C:Q,9,False)</f>
        <v>0</v>
      </c>
      <c r="Q6458" s="93" t="str">
        <f>VLOOKUP(E6458,DATABASE!C:Q,4,false)</f>
        <v>Baut Camber</v>
      </c>
      <c r="R6458" s="93" t="str">
        <f>VLOOKUP(E6458,DATABASE!C:Q,11,false)</f>
        <v>COMPLEMENTARY</v>
      </c>
    </row>
    <row r="6459" ht="22.5" customHeight="1">
      <c r="A6459" s="49"/>
      <c r="C6459" s="400">
        <v>46028.0</v>
      </c>
      <c r="D6459" s="524">
        <v>8500.0</v>
      </c>
      <c r="E6459" s="544" t="s">
        <v>268</v>
      </c>
      <c r="F6459" s="387">
        <v>2.0</v>
      </c>
      <c r="G6459" s="140">
        <v>710000.0</v>
      </c>
      <c r="H6459" s="74"/>
      <c r="I6459" s="74">
        <f t="shared" si="1"/>
        <v>1420000</v>
      </c>
      <c r="J6459" s="74">
        <f>IF(E6459="SERVICE",I6459-(I6459*50%),Vlookup(E6459,DATABASE!C:Q,10,false)*F6459)</f>
        <v>0</v>
      </c>
      <c r="K6459" s="74">
        <f>VLOOKUP(E6459,DATABASE!C:Q,7,false)</f>
        <v>653000</v>
      </c>
      <c r="L6459" s="74">
        <v>622000.0</v>
      </c>
      <c r="M6459" s="74">
        <f t="shared" si="2"/>
        <v>625000</v>
      </c>
      <c r="N6459" s="74">
        <f t="shared" si="3"/>
        <v>170000</v>
      </c>
      <c r="O6459" s="65" t="str">
        <f>VLOOKUP(E6459,DATABASE!C:Q,8,false)</f>
        <v>IBU</v>
      </c>
      <c r="P6459" s="65">
        <f>VLOOKUP(E6459,DATABASE!C:Q,9,False)</f>
        <v>1</v>
      </c>
      <c r="Q6459" s="93" t="str">
        <f>VLOOKUP(E6459,DATABASE!C:Q,4,false)</f>
        <v>Dunlop</v>
      </c>
      <c r="R6459" s="93" t="str">
        <f>VLOOKUP(E6459,DATABASE!C:Q,11,false)</f>
        <v>Tire</v>
      </c>
    </row>
    <row r="6460" ht="22.5" customHeight="1">
      <c r="A6460" s="49"/>
      <c r="C6460" s="400">
        <v>46028.0</v>
      </c>
      <c r="D6460" s="524">
        <v>8501.0</v>
      </c>
      <c r="E6460" s="544" t="s">
        <v>262</v>
      </c>
      <c r="F6460" s="387">
        <v>1.0</v>
      </c>
      <c r="G6460" s="140">
        <v>110000.0</v>
      </c>
      <c r="H6460" s="74"/>
      <c r="I6460" s="74">
        <f t="shared" si="1"/>
        <v>110000</v>
      </c>
      <c r="J6460" s="74">
        <f>IF(E6460="SERVICE",I6460-(I6460*50%),Vlookup(E6460,DATABASE!C:Q,10,false)*F6460)</f>
        <v>5000</v>
      </c>
      <c r="K6460" s="74">
        <f>VLOOKUP(E6460,DATABASE!C:Q,7,false)</f>
        <v>0</v>
      </c>
      <c r="L6460" s="74">
        <v>0.0</v>
      </c>
      <c r="M6460" s="74">
        <f t="shared" si="2"/>
        <v>0</v>
      </c>
      <c r="N6460" s="74">
        <f t="shared" si="3"/>
        <v>105000</v>
      </c>
      <c r="O6460" s="65" t="str">
        <f>VLOOKUP(E6460,DATABASE!C:Q,8,false)</f>
        <v>IBU</v>
      </c>
      <c r="P6460" s="65">
        <f>VLOOKUP(E6460,DATABASE!C:Q,9,False)</f>
        <v>0</v>
      </c>
      <c r="Q6460" s="93" t="str">
        <f>VLOOKUP(E6460,DATABASE!C:Q,4,false)</f>
        <v>SPOORING SS/CARRY LOS BAK</v>
      </c>
      <c r="R6460" s="93" t="str">
        <f>VLOOKUP(E6460,DATABASE!C:Q,11,false)</f>
        <v>SERVICE</v>
      </c>
    </row>
    <row r="6461" ht="22.5" customHeight="1">
      <c r="A6461" s="49"/>
      <c r="C6461" s="400">
        <v>46028.0</v>
      </c>
      <c r="D6461" s="524">
        <v>8503.0</v>
      </c>
      <c r="E6461" s="544" t="s">
        <v>256</v>
      </c>
      <c r="F6461" s="387">
        <v>1.0</v>
      </c>
      <c r="G6461" s="140">
        <v>150000.0</v>
      </c>
      <c r="H6461" s="140">
        <v>20000.0</v>
      </c>
      <c r="I6461" s="74">
        <f t="shared" si="1"/>
        <v>130000</v>
      </c>
      <c r="J6461" s="74">
        <f>IF(E6461="SERVICE",I6461-(I6461*50%),Vlookup(E6461,DATABASE!C:Q,10,false)*F6461)</f>
        <v>10000</v>
      </c>
      <c r="K6461" s="74">
        <f>VLOOKUP(E6461,DATABASE!C:Q,7,false)</f>
        <v>0</v>
      </c>
      <c r="L6461" s="206">
        <v>0.0</v>
      </c>
      <c r="M6461" s="74">
        <f t="shared" si="2"/>
        <v>0</v>
      </c>
      <c r="N6461" s="74">
        <f t="shared" si="3"/>
        <v>120000</v>
      </c>
      <c r="O6461" s="65" t="str">
        <f>VLOOKUP(E6461,DATABASE!C:Q,8,false)</f>
        <v>IBU</v>
      </c>
      <c r="P6461" s="65">
        <f>VLOOKUP(E6461,DATABASE!C:Q,9,False)</f>
        <v>0</v>
      </c>
      <c r="Q6461" s="93" t="str">
        <f>VLOOKUP(E6461,DATABASE!C:Q,4,false)</f>
        <v>SPOORING</v>
      </c>
      <c r="R6461" s="93" t="str">
        <f>VLOOKUP(E6461,DATABASE!C:Q,11,false)</f>
        <v>SERVICE</v>
      </c>
    </row>
    <row r="6462" ht="22.5" customHeight="1">
      <c r="A6462" s="49"/>
      <c r="C6462" s="400">
        <v>46028.0</v>
      </c>
      <c r="D6462" s="69" t="s">
        <v>2678</v>
      </c>
      <c r="E6462" s="544" t="s">
        <v>252</v>
      </c>
      <c r="F6462" s="387">
        <v>1.0</v>
      </c>
      <c r="G6462" s="140">
        <v>300000.0</v>
      </c>
      <c r="H6462" s="74"/>
      <c r="I6462" s="74">
        <f t="shared" si="1"/>
        <v>300000</v>
      </c>
      <c r="J6462" s="74">
        <f>IF(E6462="SERVICE",I6462-(I6462*50%),Vlookup(E6462,DATABASE!C:Q,10,false)*F6462)</f>
        <v>0</v>
      </c>
      <c r="K6462" s="74">
        <f>VLOOKUP(E6462,DATABASE!C:Q,7,false)</f>
        <v>317518</v>
      </c>
      <c r="L6462" s="74">
        <v>271778.0</v>
      </c>
      <c r="M6462" s="74">
        <f t="shared" si="2"/>
        <v>275000</v>
      </c>
      <c r="N6462" s="74">
        <f t="shared" si="3"/>
        <v>25000</v>
      </c>
      <c r="O6462" s="65" t="str">
        <f>VLOOKUP(E6462,DATABASE!C:Q,8,false)</f>
        <v>NON</v>
      </c>
      <c r="P6462" s="65">
        <f>VLOOKUP(E6462,DATABASE!C:Q,9,False)</f>
        <v>0</v>
      </c>
      <c r="Q6462" s="93" t="str">
        <f>VLOOKUP(E6462,DATABASE!C:Q,4,false)</f>
        <v>Shell</v>
      </c>
      <c r="R6462" s="93" t="str">
        <f>VLOOKUP(E6462,DATABASE!C:Q,11,false)</f>
        <v>OIL</v>
      </c>
    </row>
    <row r="6463" ht="22.5" customHeight="1">
      <c r="A6463" s="49"/>
      <c r="C6463" s="400">
        <v>46029.0</v>
      </c>
      <c r="D6463" s="524">
        <v>8498.0</v>
      </c>
      <c r="E6463" s="544" t="s">
        <v>2037</v>
      </c>
      <c r="F6463" s="387">
        <v>4.0</v>
      </c>
      <c r="G6463" s="140">
        <v>2625000.0</v>
      </c>
      <c r="H6463" s="140">
        <v>20000.0</v>
      </c>
      <c r="I6463" s="74">
        <f t="shared" si="1"/>
        <v>10420000</v>
      </c>
      <c r="J6463" s="74">
        <f>IF(E6463="SERVICE",I6463-(I6463*50%),Vlookup(E6463,DATABASE!C:Q,10,false)*F6463)</f>
        <v>0</v>
      </c>
      <c r="K6463" s="74">
        <f>VLOOKUP(E6463,DATABASE!C:Q,7,false)</f>
        <v>2575000</v>
      </c>
      <c r="L6463" s="140">
        <v>2450000.0</v>
      </c>
      <c r="M6463" s="74">
        <f t="shared" si="2"/>
        <v>2450000</v>
      </c>
      <c r="N6463" s="74">
        <f t="shared" si="3"/>
        <v>620000</v>
      </c>
      <c r="O6463" s="65" t="str">
        <f>VLOOKUP(E6463,DATABASE!C:Q,8,false)</f>
        <v>BIAN</v>
      </c>
      <c r="P6463" s="65">
        <f>VLOOKUP(E6463,DATABASE!C:Q,9,False)</f>
        <v>1</v>
      </c>
      <c r="Q6463" s="93" t="str">
        <f>VLOOKUP(E6463,DATABASE!C:Q,4,false)</f>
        <v>GT</v>
      </c>
      <c r="R6463" s="93" t="str">
        <f>VLOOKUP(E6463,DATABASE!C:Q,11,false)</f>
        <v>Tire</v>
      </c>
    </row>
    <row r="6464" ht="22.5" customHeight="1">
      <c r="A6464" s="49"/>
      <c r="C6464" s="400">
        <v>46029.0</v>
      </c>
      <c r="D6464" s="524">
        <v>8502.0</v>
      </c>
      <c r="E6464" s="544" t="s">
        <v>268</v>
      </c>
      <c r="F6464" s="387">
        <v>1.0</v>
      </c>
      <c r="G6464" s="140">
        <v>710000.0</v>
      </c>
      <c r="H6464" s="74"/>
      <c r="I6464" s="74">
        <f t="shared" si="1"/>
        <v>710000</v>
      </c>
      <c r="J6464" s="74">
        <f>IF(E6464="SERVICE",I6464-(I6464*50%),Vlookup(E6464,DATABASE!C:Q,10,false)*F6464)</f>
        <v>0</v>
      </c>
      <c r="K6464" s="74">
        <f>VLOOKUP(E6464,DATABASE!C:Q,7,false)</f>
        <v>653000</v>
      </c>
      <c r="L6464" s="206">
        <v>622000.0</v>
      </c>
      <c r="M6464" s="74">
        <f t="shared" si="2"/>
        <v>625000</v>
      </c>
      <c r="N6464" s="74">
        <f t="shared" si="3"/>
        <v>85000</v>
      </c>
      <c r="O6464" s="65" t="str">
        <f>VLOOKUP(E6464,DATABASE!C:Q,8,false)</f>
        <v>IBU</v>
      </c>
      <c r="P6464" s="65">
        <f>VLOOKUP(E6464,DATABASE!C:Q,9,False)</f>
        <v>1</v>
      </c>
      <c r="Q6464" s="93" t="str">
        <f>VLOOKUP(E6464,DATABASE!C:Q,4,false)</f>
        <v>Dunlop</v>
      </c>
      <c r="R6464" s="93" t="str">
        <f>VLOOKUP(E6464,DATABASE!C:Q,11,false)</f>
        <v>Tire</v>
      </c>
    </row>
    <row r="6465" ht="22.5" customHeight="1">
      <c r="A6465" s="49"/>
      <c r="C6465" s="400">
        <v>46029.0</v>
      </c>
      <c r="D6465" s="524">
        <v>8504.0</v>
      </c>
      <c r="E6465" s="544" t="s">
        <v>955</v>
      </c>
      <c r="F6465" s="387">
        <v>2.0</v>
      </c>
      <c r="G6465" s="140">
        <v>770000.0</v>
      </c>
      <c r="H6465" s="74"/>
      <c r="I6465" s="74">
        <f t="shared" si="1"/>
        <v>1540000</v>
      </c>
      <c r="J6465" s="74">
        <f>IF(E6465="SERVICE",I6465-(I6465*50%),Vlookup(E6465,DATABASE!C:Q,10,false)*F6465)</f>
        <v>0</v>
      </c>
      <c r="K6465" s="74">
        <f>VLOOKUP(E6465,DATABASE!C:Q,7,false)</f>
        <v>712000</v>
      </c>
      <c r="L6465" s="74">
        <v>674000.0</v>
      </c>
      <c r="M6465" s="74">
        <f t="shared" si="2"/>
        <v>675000</v>
      </c>
      <c r="N6465" s="74">
        <f t="shared" si="3"/>
        <v>190000</v>
      </c>
      <c r="O6465" s="65" t="str">
        <f>VLOOKUP(E6465,DATABASE!C:Q,8,false)</f>
        <v>IBU</v>
      </c>
      <c r="P6465" s="65">
        <f>VLOOKUP(E6465,DATABASE!C:Q,9,False)</f>
        <v>1</v>
      </c>
      <c r="Q6465" s="93" t="str">
        <f>VLOOKUP(E6465,DATABASE!C:Q,4,false)</f>
        <v>Dunlop</v>
      </c>
      <c r="R6465" s="93" t="str">
        <f>VLOOKUP(E6465,DATABASE!C:Q,11,false)</f>
        <v>Tire</v>
      </c>
    </row>
    <row r="6466" ht="22.5" customHeight="1">
      <c r="A6466" s="49"/>
      <c r="C6466" s="400">
        <v>46029.0</v>
      </c>
      <c r="D6466" s="524">
        <v>8505.0</v>
      </c>
      <c r="E6466" s="544" t="s">
        <v>256</v>
      </c>
      <c r="F6466" s="387">
        <v>1.0</v>
      </c>
      <c r="G6466" s="140">
        <v>150000.0</v>
      </c>
      <c r="H6466" s="140">
        <v>20000.0</v>
      </c>
      <c r="I6466" s="74">
        <f t="shared" si="1"/>
        <v>130000</v>
      </c>
      <c r="J6466" s="74">
        <f>IF(E6466="SERVICE",I6466-(I6466*50%),Vlookup(E6466,DATABASE!C:Q,10,false)*F6466)</f>
        <v>10000</v>
      </c>
      <c r="K6466" s="74">
        <f>VLOOKUP(E6466,DATABASE!C:Q,7,false)</f>
        <v>0</v>
      </c>
      <c r="L6466" s="74">
        <v>0.0</v>
      </c>
      <c r="M6466" s="74">
        <f t="shared" si="2"/>
        <v>0</v>
      </c>
      <c r="N6466" s="74">
        <f t="shared" si="3"/>
        <v>120000</v>
      </c>
      <c r="O6466" s="65" t="str">
        <f>VLOOKUP(E6466,DATABASE!C:Q,8,false)</f>
        <v>IBU</v>
      </c>
      <c r="P6466" s="65">
        <f>VLOOKUP(E6466,DATABASE!C:Q,9,False)</f>
        <v>0</v>
      </c>
      <c r="Q6466" s="93" t="str">
        <f>VLOOKUP(E6466,DATABASE!C:Q,4,false)</f>
        <v>SPOORING</v>
      </c>
      <c r="R6466" s="93" t="str">
        <f>VLOOKUP(E6466,DATABASE!C:Q,11,false)</f>
        <v>SERVICE</v>
      </c>
    </row>
    <row r="6467" ht="22.5" customHeight="1">
      <c r="A6467" s="49"/>
      <c r="C6467" s="400">
        <v>46029.0</v>
      </c>
      <c r="D6467" s="524">
        <v>8505.0</v>
      </c>
      <c r="E6467" s="544" t="s">
        <v>299</v>
      </c>
      <c r="F6467" s="387">
        <v>2.0</v>
      </c>
      <c r="G6467" s="140">
        <v>30000.0</v>
      </c>
      <c r="H6467" s="74"/>
      <c r="I6467" s="74">
        <f t="shared" si="1"/>
        <v>60000</v>
      </c>
      <c r="J6467" s="74">
        <f>IF(E6467="SERVICE",I6467-(I6467*50%),Vlookup(E6467,DATABASE!C:Q,10,false)*F6467)</f>
        <v>0</v>
      </c>
      <c r="K6467" s="74">
        <f>VLOOKUP(E6467,DATABASE!C:Q,7,false)</f>
        <v>10000</v>
      </c>
      <c r="L6467" s="74">
        <v>5000.0</v>
      </c>
      <c r="M6467" s="74">
        <f t="shared" si="2"/>
        <v>5000</v>
      </c>
      <c r="N6467" s="74">
        <f t="shared" si="3"/>
        <v>50000</v>
      </c>
      <c r="O6467" s="65" t="str">
        <f>VLOOKUP(E6467,DATABASE!C:Q,8,false)</f>
        <v>BIAN</v>
      </c>
      <c r="P6467" s="65">
        <f>VLOOKUP(E6467,DATABASE!C:Q,9,False)</f>
        <v>0</v>
      </c>
      <c r="Q6467" s="93" t="str">
        <f>VLOOKUP(E6467,DATABASE!C:Q,4,false)</f>
        <v>Balancing</v>
      </c>
      <c r="R6467" s="93" t="str">
        <f>VLOOKUP(E6467,DATABASE!C:Q,11,false)</f>
        <v>COMPLEMENTARY</v>
      </c>
    </row>
    <row r="6468" ht="22.5" customHeight="1">
      <c r="A6468" s="49"/>
      <c r="C6468" s="400">
        <v>46029.0</v>
      </c>
      <c r="D6468" s="524">
        <v>8505.0</v>
      </c>
      <c r="E6468" s="544" t="s">
        <v>251</v>
      </c>
      <c r="F6468" s="387">
        <v>1.0</v>
      </c>
      <c r="G6468" s="140">
        <v>350000.0</v>
      </c>
      <c r="H6468" s="140">
        <v>200000.0</v>
      </c>
      <c r="I6468" s="74">
        <f t="shared" si="1"/>
        <v>150000</v>
      </c>
      <c r="J6468" s="74">
        <f>IF(E6468="SERVICE",I6468-(I6468*50%),Vlookup(E6468,DATABASE!C:Q,10,false)*F6468)</f>
        <v>75000</v>
      </c>
      <c r="K6468" s="74">
        <f>VLOOKUP(E6468,DATABASE!C:Q,7,false)</f>
        <v>0</v>
      </c>
      <c r="L6468" s="74">
        <v>0.0</v>
      </c>
      <c r="M6468" s="74">
        <f t="shared" si="2"/>
        <v>0</v>
      </c>
      <c r="N6468" s="74">
        <f t="shared" si="3"/>
        <v>75000</v>
      </c>
      <c r="O6468" s="65" t="str">
        <f>VLOOKUP(E6468,DATABASE!C:Q,8,false)</f>
        <v>IBU</v>
      </c>
      <c r="P6468" s="65">
        <f>VLOOKUP(E6468,DATABASE!C:Q,9,False)</f>
        <v>0</v>
      </c>
      <c r="Q6468" s="93" t="str">
        <f>VLOOKUP(E6468,DATABASE!C:Q,4,false)</f>
        <v>SERVICE</v>
      </c>
      <c r="R6468" s="93" t="str">
        <f>VLOOKUP(E6468,DATABASE!C:Q,11,false)</f>
        <v>SERVICE</v>
      </c>
    </row>
    <row r="6469" ht="22.5" customHeight="1">
      <c r="A6469" s="49"/>
      <c r="C6469" s="400">
        <v>46029.0</v>
      </c>
      <c r="D6469" s="524">
        <v>8506.0</v>
      </c>
      <c r="E6469" s="544" t="s">
        <v>294</v>
      </c>
      <c r="F6469" s="387">
        <v>2.0</v>
      </c>
      <c r="G6469" s="140">
        <v>580000.0</v>
      </c>
      <c r="H6469" s="140">
        <v>5000.0</v>
      </c>
      <c r="I6469" s="74">
        <f t="shared" si="1"/>
        <v>1150000</v>
      </c>
      <c r="J6469" s="74">
        <f>IF(E6469="SERVICE",I6469-(I6469*50%),Vlookup(E6469,DATABASE!C:Q,10,false)*F6469)</f>
        <v>0</v>
      </c>
      <c r="K6469" s="74">
        <f>VLOOKUP(E6469,DATABASE!C:Q,7,false)</f>
        <v>505000</v>
      </c>
      <c r="L6469" s="74">
        <v>490000.0</v>
      </c>
      <c r="M6469" s="74">
        <f t="shared" si="2"/>
        <v>490000</v>
      </c>
      <c r="N6469" s="74">
        <f t="shared" si="3"/>
        <v>170000</v>
      </c>
      <c r="O6469" s="65" t="str">
        <f>VLOOKUP(E6469,DATABASE!C:Q,8,false)</f>
        <v>BIAN</v>
      </c>
      <c r="P6469" s="65">
        <f>VLOOKUP(E6469,DATABASE!C:Q,9,False)</f>
        <v>1</v>
      </c>
      <c r="Q6469" s="93" t="str">
        <f>VLOOKUP(E6469,DATABASE!C:Q,4,false)</f>
        <v>GT</v>
      </c>
      <c r="R6469" s="93" t="str">
        <f>VLOOKUP(E6469,DATABASE!C:Q,11,false)</f>
        <v>Tire</v>
      </c>
    </row>
    <row r="6470" ht="22.5" customHeight="1">
      <c r="A6470" s="49"/>
      <c r="C6470" s="400">
        <v>46029.0</v>
      </c>
      <c r="D6470" s="524">
        <v>8506.0</v>
      </c>
      <c r="E6470" s="544" t="s">
        <v>569</v>
      </c>
      <c r="F6470" s="387">
        <v>2.0</v>
      </c>
      <c r="G6470" s="140">
        <v>80000.0</v>
      </c>
      <c r="H6470" s="74"/>
      <c r="I6470" s="74">
        <f t="shared" si="1"/>
        <v>160000</v>
      </c>
      <c r="J6470" s="74">
        <f>IF(E6470="SERVICE",I6470-(I6470*50%),Vlookup(E6470,DATABASE!C:Q,10,false)*F6470)</f>
        <v>0</v>
      </c>
      <c r="K6470" s="74">
        <f>VLOOKUP(E6470,DATABASE!C:Q,7,false)</f>
        <v>45439.582</v>
      </c>
      <c r="L6470" s="74">
        <v>45309.6</v>
      </c>
      <c r="M6470" s="74">
        <f t="shared" si="2"/>
        <v>50000</v>
      </c>
      <c r="N6470" s="74">
        <f t="shared" si="3"/>
        <v>60000</v>
      </c>
      <c r="O6470" s="65" t="str">
        <f>VLOOKUP(E6470,DATABASE!C:Q,8,false)</f>
        <v>BIAN</v>
      </c>
      <c r="P6470" s="65">
        <f>VLOOKUP(E6470,DATABASE!C:Q,9,False)</f>
        <v>1</v>
      </c>
      <c r="Q6470" s="93" t="str">
        <f>VLOOKUP(E6470,DATABASE!C:Q,4,false)</f>
        <v>BD</v>
      </c>
      <c r="R6470" s="93" t="str">
        <f>VLOOKUP(E6470,DATABASE!C:Q,11,false)</f>
        <v>Tire</v>
      </c>
    </row>
    <row r="6471" ht="22.5" customHeight="1">
      <c r="A6471" s="49"/>
      <c r="C6471" s="400">
        <v>46029.0</v>
      </c>
      <c r="D6471" s="524">
        <v>8509.0</v>
      </c>
      <c r="E6471" s="544" t="s">
        <v>572</v>
      </c>
      <c r="F6471" s="387">
        <v>2.0</v>
      </c>
      <c r="G6471" s="140">
        <v>1370000.0</v>
      </c>
      <c r="H6471" s="140">
        <v>20000.0</v>
      </c>
      <c r="I6471" s="74">
        <f t="shared" si="1"/>
        <v>2700000</v>
      </c>
      <c r="J6471" s="74">
        <f>IF(E6471="SERVICE",I6471-(I6471*50%),Vlookup(E6471,DATABASE!C:Q,10,false)*F6471)</f>
        <v>0</v>
      </c>
      <c r="K6471" s="74">
        <f>VLOOKUP(E6471,DATABASE!C:Q,7,false)</f>
        <v>1265000</v>
      </c>
      <c r="L6471" s="74">
        <v>1245000.0</v>
      </c>
      <c r="M6471" s="74">
        <f t="shared" si="2"/>
        <v>1245000</v>
      </c>
      <c r="N6471" s="74">
        <f t="shared" si="3"/>
        <v>210000</v>
      </c>
      <c r="O6471" s="65" t="str">
        <f>VLOOKUP(E6471,DATABASE!C:Q,8,false)</f>
        <v>IBU</v>
      </c>
      <c r="P6471" s="65">
        <f>VLOOKUP(E6471,DATABASE!C:Q,9,False)</f>
        <v>1</v>
      </c>
      <c r="Q6471" s="93" t="str">
        <f>VLOOKUP(E6471,DATABASE!C:Q,4,false)</f>
        <v>Bridgestone</v>
      </c>
      <c r="R6471" s="93" t="str">
        <f>VLOOKUP(E6471,DATABASE!C:Q,11,false)</f>
        <v>Tire</v>
      </c>
    </row>
    <row r="6472" ht="22.5" customHeight="1">
      <c r="A6472" s="49"/>
      <c r="C6472" s="400">
        <v>46029.0</v>
      </c>
      <c r="D6472" s="524">
        <v>8510.0</v>
      </c>
      <c r="E6472" s="544" t="s">
        <v>256</v>
      </c>
      <c r="F6472" s="387">
        <v>1.0</v>
      </c>
      <c r="G6472" s="140">
        <v>150000.0</v>
      </c>
      <c r="H6472" s="140">
        <v>20000.0</v>
      </c>
      <c r="I6472" s="74">
        <f t="shared" si="1"/>
        <v>130000</v>
      </c>
      <c r="J6472" s="74">
        <f>IF(E6472="SERVICE",I6472-(I6472*50%),Vlookup(E6472,DATABASE!C:Q,10,false)*F6472)</f>
        <v>10000</v>
      </c>
      <c r="K6472" s="74">
        <f>VLOOKUP(E6472,DATABASE!C:Q,7,false)</f>
        <v>0</v>
      </c>
      <c r="L6472" s="74">
        <v>0.0</v>
      </c>
      <c r="M6472" s="74">
        <f t="shared" si="2"/>
        <v>0</v>
      </c>
      <c r="N6472" s="74">
        <f t="shared" si="3"/>
        <v>120000</v>
      </c>
      <c r="O6472" s="65" t="str">
        <f>VLOOKUP(E6472,DATABASE!C:Q,8,false)</f>
        <v>IBU</v>
      </c>
      <c r="P6472" s="65">
        <f>VLOOKUP(E6472,DATABASE!C:Q,9,False)</f>
        <v>0</v>
      </c>
      <c r="Q6472" s="93" t="str">
        <f>VLOOKUP(E6472,DATABASE!C:Q,4,false)</f>
        <v>SPOORING</v>
      </c>
      <c r="R6472" s="93" t="str">
        <f>VLOOKUP(E6472,DATABASE!C:Q,11,false)</f>
        <v>SERVICE</v>
      </c>
    </row>
    <row r="6473" ht="22.5" customHeight="1">
      <c r="A6473" s="49"/>
      <c r="C6473" s="400">
        <v>46029.0</v>
      </c>
      <c r="D6473" s="524">
        <v>8510.0</v>
      </c>
      <c r="E6473" s="544" t="s">
        <v>251</v>
      </c>
      <c r="F6473" s="387">
        <v>1.0</v>
      </c>
      <c r="G6473" s="140">
        <v>350000.0</v>
      </c>
      <c r="H6473" s="140">
        <v>100000.0</v>
      </c>
      <c r="I6473" s="74">
        <f t="shared" si="1"/>
        <v>250000</v>
      </c>
      <c r="J6473" s="74">
        <f>IF(E6473="SERVICE",I6473-(I6473*50%),Vlookup(E6473,DATABASE!C:Q,10,false)*F6473)</f>
        <v>125000</v>
      </c>
      <c r="K6473" s="74">
        <f>VLOOKUP(E6473,DATABASE!C:Q,7,false)</f>
        <v>0</v>
      </c>
      <c r="L6473" s="74">
        <v>0.0</v>
      </c>
      <c r="M6473" s="74">
        <f t="shared" si="2"/>
        <v>0</v>
      </c>
      <c r="N6473" s="74">
        <f t="shared" si="3"/>
        <v>125000</v>
      </c>
      <c r="O6473" s="65" t="str">
        <f>VLOOKUP(E6473,DATABASE!C:Q,8,false)</f>
        <v>IBU</v>
      </c>
      <c r="P6473" s="65">
        <f>VLOOKUP(E6473,DATABASE!C:Q,9,False)</f>
        <v>0</v>
      </c>
      <c r="Q6473" s="93" t="str">
        <f>VLOOKUP(E6473,DATABASE!C:Q,4,false)</f>
        <v>SERVICE</v>
      </c>
      <c r="R6473" s="93" t="str">
        <f>VLOOKUP(E6473,DATABASE!C:Q,11,false)</f>
        <v>SERVICE</v>
      </c>
    </row>
    <row r="6474" ht="22.5" customHeight="1">
      <c r="A6474" s="49"/>
      <c r="C6474" s="400">
        <v>46029.0</v>
      </c>
      <c r="D6474" s="524">
        <v>8511.0</v>
      </c>
      <c r="E6474" s="544" t="s">
        <v>275</v>
      </c>
      <c r="F6474" s="387">
        <v>1.0</v>
      </c>
      <c r="G6474" s="140">
        <v>830000.0</v>
      </c>
      <c r="H6474" s="74"/>
      <c r="I6474" s="74">
        <f t="shared" si="1"/>
        <v>830000</v>
      </c>
      <c r="J6474" s="74">
        <f>IF(E6474="SERVICE",I6474-(I6474*50%),Vlookup(E6474,DATABASE!C:Q,10,false)*F6474)</f>
        <v>0</v>
      </c>
      <c r="K6474" s="74">
        <f>VLOOKUP(E6474,DATABASE!C:Q,7,false)</f>
        <v>782000</v>
      </c>
      <c r="L6474" s="74">
        <v>745000.0</v>
      </c>
      <c r="M6474" s="74">
        <f t="shared" si="2"/>
        <v>745000</v>
      </c>
      <c r="N6474" s="74">
        <f t="shared" si="3"/>
        <v>85000</v>
      </c>
      <c r="O6474" s="65" t="str">
        <f>VLOOKUP(E6474,DATABASE!C:Q,8,false)</f>
        <v>IBU</v>
      </c>
      <c r="P6474" s="65">
        <f>VLOOKUP(E6474,DATABASE!C:Q,9,False)</f>
        <v>1</v>
      </c>
      <c r="Q6474" s="93" t="str">
        <f>VLOOKUP(E6474,DATABASE!C:Q,4,false)</f>
        <v>Dunlop</v>
      </c>
      <c r="R6474" s="93" t="str">
        <f>VLOOKUP(E6474,DATABASE!C:Q,11,false)</f>
        <v>Tire</v>
      </c>
    </row>
    <row r="6475" ht="22.5" customHeight="1">
      <c r="A6475" s="49"/>
      <c r="C6475" s="400">
        <v>46029.0</v>
      </c>
      <c r="D6475" s="524">
        <v>8513.0</v>
      </c>
      <c r="E6475" s="544" t="s">
        <v>1196</v>
      </c>
      <c r="F6475" s="387">
        <v>4.0</v>
      </c>
      <c r="G6475" s="140">
        <v>1050000.0</v>
      </c>
      <c r="H6475" s="74"/>
      <c r="I6475" s="74">
        <f t="shared" si="1"/>
        <v>4200000</v>
      </c>
      <c r="J6475" s="74">
        <f>IF(E6475="SERVICE",I6475-(I6475*50%),Vlookup(E6475,DATABASE!C:Q,10,false)*F6475)</f>
        <v>0</v>
      </c>
      <c r="K6475" s="74">
        <f>VLOOKUP(E6475,DATABASE!C:Q,7,false)</f>
        <v>943430.5</v>
      </c>
      <c r="L6475" s="74">
        <v>945000.0</v>
      </c>
      <c r="M6475" s="74">
        <f t="shared" si="2"/>
        <v>945000</v>
      </c>
      <c r="N6475" s="74">
        <f t="shared" si="3"/>
        <v>420000</v>
      </c>
      <c r="O6475" s="65" t="str">
        <f>VLOOKUP(E6475,DATABASE!C:Q,8,false)</f>
        <v>IBU</v>
      </c>
      <c r="P6475" s="65">
        <f>VLOOKUP(E6475,DATABASE!C:Q,9,False)</f>
        <v>1</v>
      </c>
      <c r="Q6475" s="93" t="str">
        <f>VLOOKUP(E6475,DATABASE!C:Q,4,false)</f>
        <v>Bridgestone</v>
      </c>
      <c r="R6475" s="93" t="str">
        <f>VLOOKUP(E6475,DATABASE!C:Q,11,false)</f>
        <v>Tire</v>
      </c>
    </row>
    <row r="6476" ht="22.5" customHeight="1">
      <c r="A6476" s="49"/>
      <c r="C6476" s="400">
        <v>46029.0</v>
      </c>
      <c r="D6476" s="524">
        <v>8514.0</v>
      </c>
      <c r="E6476" s="544" t="s">
        <v>299</v>
      </c>
      <c r="F6476" s="387">
        <v>2.0</v>
      </c>
      <c r="G6476" s="140">
        <v>30000.0</v>
      </c>
      <c r="H6476" s="140">
        <v>5000.0</v>
      </c>
      <c r="I6476" s="74">
        <f t="shared" si="1"/>
        <v>50000</v>
      </c>
      <c r="J6476" s="74">
        <f>IF(E6476="SERVICE",I6476-(I6476*50%),Vlookup(E6476,DATABASE!C:Q,10,false)*F6476)</f>
        <v>0</v>
      </c>
      <c r="K6476" s="74">
        <f>VLOOKUP(E6476,DATABASE!C:Q,7,false)</f>
        <v>10000</v>
      </c>
      <c r="L6476" s="74">
        <v>5000.0</v>
      </c>
      <c r="M6476" s="74">
        <f t="shared" si="2"/>
        <v>5000</v>
      </c>
      <c r="N6476" s="74">
        <f t="shared" si="3"/>
        <v>40000</v>
      </c>
      <c r="O6476" s="65" t="str">
        <f>VLOOKUP(E6476,DATABASE!C:Q,8,false)</f>
        <v>BIAN</v>
      </c>
      <c r="P6476" s="65">
        <f>VLOOKUP(E6476,DATABASE!C:Q,9,False)</f>
        <v>0</v>
      </c>
      <c r="Q6476" s="93" t="str">
        <f>VLOOKUP(E6476,DATABASE!C:Q,4,false)</f>
        <v>Balancing</v>
      </c>
      <c r="R6476" s="93" t="str">
        <f>VLOOKUP(E6476,DATABASE!C:Q,11,false)</f>
        <v>COMPLEMENTARY</v>
      </c>
    </row>
    <row r="6477" ht="22.5" customHeight="1">
      <c r="A6477" s="49"/>
      <c r="C6477" s="400">
        <v>46029.0</v>
      </c>
      <c r="D6477" s="524">
        <v>8515.0</v>
      </c>
      <c r="E6477" s="544" t="s">
        <v>275</v>
      </c>
      <c r="F6477" s="387">
        <v>3.0</v>
      </c>
      <c r="G6477" s="140">
        <v>830000.0</v>
      </c>
      <c r="H6477" s="74"/>
      <c r="I6477" s="74">
        <f t="shared" si="1"/>
        <v>2490000</v>
      </c>
      <c r="J6477" s="74">
        <f>IF(E6477="SERVICE",I6477-(I6477*50%),Vlookup(E6477,DATABASE!C:Q,10,false)*F6477)</f>
        <v>0</v>
      </c>
      <c r="K6477" s="74">
        <f>VLOOKUP(E6477,DATABASE!C:Q,7,false)</f>
        <v>782000</v>
      </c>
      <c r="L6477" s="74">
        <v>745000.0</v>
      </c>
      <c r="M6477" s="74">
        <f t="shared" si="2"/>
        <v>745000</v>
      </c>
      <c r="N6477" s="74">
        <f t="shared" si="3"/>
        <v>255000</v>
      </c>
      <c r="O6477" s="65" t="str">
        <f>VLOOKUP(E6477,DATABASE!C:Q,8,false)</f>
        <v>IBU</v>
      </c>
      <c r="P6477" s="65">
        <f>VLOOKUP(E6477,DATABASE!C:Q,9,False)</f>
        <v>1</v>
      </c>
      <c r="Q6477" s="93" t="str">
        <f>VLOOKUP(E6477,DATABASE!C:Q,4,false)</f>
        <v>Dunlop</v>
      </c>
      <c r="R6477" s="93" t="str">
        <f>VLOOKUP(E6477,DATABASE!C:Q,11,false)</f>
        <v>Tire</v>
      </c>
    </row>
    <row r="6478" ht="22.5" customHeight="1">
      <c r="A6478" s="49"/>
      <c r="C6478" s="400">
        <v>46029.0</v>
      </c>
      <c r="D6478" s="524">
        <v>8515.0</v>
      </c>
      <c r="E6478" s="544" t="s">
        <v>299</v>
      </c>
      <c r="F6478" s="387">
        <v>2.0</v>
      </c>
      <c r="G6478" s="140">
        <v>30000.0</v>
      </c>
      <c r="H6478" s="74"/>
      <c r="I6478" s="74">
        <f t="shared" si="1"/>
        <v>60000</v>
      </c>
      <c r="J6478" s="74">
        <f>IF(E6478="SERVICE",I6478-(I6478*50%),Vlookup(E6478,DATABASE!C:Q,10,false)*F6478)</f>
        <v>0</v>
      </c>
      <c r="K6478" s="74">
        <f>VLOOKUP(E6478,DATABASE!C:Q,7,false)</f>
        <v>10000</v>
      </c>
      <c r="L6478" s="74">
        <v>5000.0</v>
      </c>
      <c r="M6478" s="74">
        <f t="shared" si="2"/>
        <v>5000</v>
      </c>
      <c r="N6478" s="74">
        <f t="shared" si="3"/>
        <v>50000</v>
      </c>
      <c r="O6478" s="65" t="str">
        <f>VLOOKUP(E6478,DATABASE!C:Q,8,false)</f>
        <v>BIAN</v>
      </c>
      <c r="P6478" s="65">
        <f>VLOOKUP(E6478,DATABASE!C:Q,9,False)</f>
        <v>0</v>
      </c>
      <c r="Q6478" s="93" t="str">
        <f>VLOOKUP(E6478,DATABASE!C:Q,4,false)</f>
        <v>Balancing</v>
      </c>
      <c r="R6478" s="93" t="str">
        <f>VLOOKUP(E6478,DATABASE!C:Q,11,false)</f>
        <v>COMPLEMENTARY</v>
      </c>
    </row>
    <row r="6479" ht="22.5" customHeight="1">
      <c r="A6479" s="49"/>
      <c r="C6479" s="400">
        <v>46029.0</v>
      </c>
      <c r="D6479" s="524">
        <v>8515.0</v>
      </c>
      <c r="E6479" s="544" t="s">
        <v>251</v>
      </c>
      <c r="F6479" s="387">
        <v>1.0</v>
      </c>
      <c r="G6479" s="140">
        <v>350000.0</v>
      </c>
      <c r="H6479" s="140">
        <v>100000.0</v>
      </c>
      <c r="I6479" s="74">
        <f t="shared" si="1"/>
        <v>250000</v>
      </c>
      <c r="J6479" s="74">
        <f>IF(E6479="SERVICE",I6479-(I6479*50%),Vlookup(E6479,DATABASE!C:Q,10,false)*F6479)</f>
        <v>125000</v>
      </c>
      <c r="K6479" s="74">
        <f>VLOOKUP(E6479,DATABASE!C:Q,7,false)</f>
        <v>0</v>
      </c>
      <c r="L6479" s="74">
        <v>0.0</v>
      </c>
      <c r="M6479" s="74">
        <f t="shared" si="2"/>
        <v>0</v>
      </c>
      <c r="N6479" s="74">
        <f t="shared" si="3"/>
        <v>125000</v>
      </c>
      <c r="O6479" s="65" t="str">
        <f>VLOOKUP(E6479,DATABASE!C:Q,8,false)</f>
        <v>IBU</v>
      </c>
      <c r="P6479" s="65">
        <f>VLOOKUP(E6479,DATABASE!C:Q,9,False)</f>
        <v>0</v>
      </c>
      <c r="Q6479" s="93" t="str">
        <f>VLOOKUP(E6479,DATABASE!C:Q,4,false)</f>
        <v>SERVICE</v>
      </c>
      <c r="R6479" s="93" t="str">
        <f>VLOOKUP(E6479,DATABASE!C:Q,11,false)</f>
        <v>SERVICE</v>
      </c>
    </row>
    <row r="6480" ht="22.5" customHeight="1">
      <c r="A6480" s="49"/>
      <c r="C6480" s="400">
        <v>46029.0</v>
      </c>
      <c r="D6480" s="524">
        <v>8515.0</v>
      </c>
      <c r="E6480" s="544" t="s">
        <v>262</v>
      </c>
      <c r="F6480" s="387">
        <v>1.0</v>
      </c>
      <c r="G6480" s="140">
        <v>110000.0</v>
      </c>
      <c r="H6480" s="74"/>
      <c r="I6480" s="74">
        <f t="shared" si="1"/>
        <v>110000</v>
      </c>
      <c r="J6480" s="74">
        <f>IF(E6480="SERVICE",I6480-(I6480*50%),Vlookup(E6480,DATABASE!C:Q,10,false)*F6480)</f>
        <v>5000</v>
      </c>
      <c r="K6480" s="74">
        <f>VLOOKUP(E6480,DATABASE!C:Q,7,false)</f>
        <v>0</v>
      </c>
      <c r="L6480" s="74">
        <v>0.0</v>
      </c>
      <c r="M6480" s="74">
        <f t="shared" si="2"/>
        <v>0</v>
      </c>
      <c r="N6480" s="74">
        <f t="shared" si="3"/>
        <v>105000</v>
      </c>
      <c r="O6480" s="65" t="str">
        <f>VLOOKUP(E6480,DATABASE!C:Q,8,false)</f>
        <v>IBU</v>
      </c>
      <c r="P6480" s="65">
        <f>VLOOKUP(E6480,DATABASE!C:Q,9,False)</f>
        <v>0</v>
      </c>
      <c r="Q6480" s="93" t="str">
        <f>VLOOKUP(E6480,DATABASE!C:Q,4,false)</f>
        <v>SPOORING SS/CARRY LOS BAK</v>
      </c>
      <c r="R6480" s="93" t="str">
        <f>VLOOKUP(E6480,DATABASE!C:Q,11,false)</f>
        <v>SERVICE</v>
      </c>
    </row>
    <row r="6481" ht="22.5" customHeight="1">
      <c r="A6481" s="49"/>
      <c r="C6481" s="400">
        <v>46029.0</v>
      </c>
      <c r="D6481" s="524">
        <v>8516.0</v>
      </c>
      <c r="E6481" s="544" t="s">
        <v>268</v>
      </c>
      <c r="F6481" s="387">
        <v>2.0</v>
      </c>
      <c r="G6481" s="140">
        <v>710000.0</v>
      </c>
      <c r="H6481" s="74"/>
      <c r="I6481" s="74">
        <f t="shared" si="1"/>
        <v>1420000</v>
      </c>
      <c r="J6481" s="74">
        <f>IF(E6481="SERVICE",I6481-(I6481*50%),Vlookup(E6481,DATABASE!C:Q,10,false)*F6481)</f>
        <v>0</v>
      </c>
      <c r="K6481" s="74">
        <f>VLOOKUP(E6481,DATABASE!C:Q,7,false)</f>
        <v>653000</v>
      </c>
      <c r="L6481" s="74">
        <v>622000.0</v>
      </c>
      <c r="M6481" s="74">
        <f t="shared" si="2"/>
        <v>625000</v>
      </c>
      <c r="N6481" s="74">
        <f t="shared" si="3"/>
        <v>170000</v>
      </c>
      <c r="O6481" s="65" t="str">
        <f>VLOOKUP(E6481,DATABASE!C:Q,8,false)</f>
        <v>IBU</v>
      </c>
      <c r="P6481" s="65">
        <f>VLOOKUP(E6481,DATABASE!C:Q,9,False)</f>
        <v>1</v>
      </c>
      <c r="Q6481" s="93" t="str">
        <f>VLOOKUP(E6481,DATABASE!C:Q,4,false)</f>
        <v>Dunlop</v>
      </c>
      <c r="R6481" s="93" t="str">
        <f>VLOOKUP(E6481,DATABASE!C:Q,11,false)</f>
        <v>Tire</v>
      </c>
    </row>
    <row r="6482" ht="22.5" customHeight="1">
      <c r="A6482" s="49"/>
      <c r="C6482" s="400">
        <v>46029.0</v>
      </c>
      <c r="D6482" s="524">
        <v>8516.0</v>
      </c>
      <c r="E6482" s="544" t="s">
        <v>2154</v>
      </c>
      <c r="F6482" s="387">
        <v>1.0</v>
      </c>
      <c r="G6482" s="140">
        <v>225000.0</v>
      </c>
      <c r="H6482" s="74"/>
      <c r="I6482" s="74">
        <f t="shared" si="1"/>
        <v>225000</v>
      </c>
      <c r="J6482" s="74">
        <f>IF(E6482="SERVICE",I6482-(I6482*50%),Vlookup(E6482,DATABASE!C:Q,10,false)*F6482)</f>
        <v>80000</v>
      </c>
      <c r="K6482" s="74">
        <f>VLOOKUP(E6482,DATABASE!C:Q,7,false)</f>
        <v>90000</v>
      </c>
      <c r="L6482" s="74">
        <v>80000.0</v>
      </c>
      <c r="M6482" s="74">
        <f t="shared" si="2"/>
        <v>80000</v>
      </c>
      <c r="N6482" s="74">
        <f t="shared" si="3"/>
        <v>65000</v>
      </c>
      <c r="O6482" s="65" t="str">
        <f>VLOOKUP(E6482,DATABASE!C:Q,8,false)</f>
        <v>IBU</v>
      </c>
      <c r="P6482" s="65">
        <f>VLOOKUP(E6482,DATABASE!C:Q,9,False)</f>
        <v>0</v>
      </c>
      <c r="Q6482" s="93" t="str">
        <f>VLOOKUP(E6482,DATABASE!C:Q,4,false)</f>
        <v>SERVICE</v>
      </c>
      <c r="R6482" s="93" t="str">
        <f>VLOOKUP(E6482,DATABASE!C:Q,11,false)</f>
        <v>COMPLEMENTARY</v>
      </c>
    </row>
    <row r="6483" ht="22.5" customHeight="1">
      <c r="A6483" s="49"/>
      <c r="C6483" s="400">
        <v>46029.0</v>
      </c>
      <c r="D6483" s="524">
        <v>8516.0</v>
      </c>
      <c r="E6483" s="544" t="s">
        <v>251</v>
      </c>
      <c r="F6483" s="387">
        <v>1.0</v>
      </c>
      <c r="G6483" s="140">
        <v>350000.0</v>
      </c>
      <c r="H6483" s="140">
        <v>200000.0</v>
      </c>
      <c r="I6483" s="74">
        <f t="shared" si="1"/>
        <v>150000</v>
      </c>
      <c r="J6483" s="74">
        <f>IF(E6483="SERVICE",I6483-(I6483*50%),Vlookup(E6483,DATABASE!C:Q,10,false)*F6483)</f>
        <v>75000</v>
      </c>
      <c r="K6483" s="74">
        <f>VLOOKUP(E6483,DATABASE!C:Q,7,false)</f>
        <v>0</v>
      </c>
      <c r="L6483" s="74">
        <v>0.0</v>
      </c>
      <c r="M6483" s="74">
        <f t="shared" si="2"/>
        <v>0</v>
      </c>
      <c r="N6483" s="74">
        <f t="shared" si="3"/>
        <v>75000</v>
      </c>
      <c r="O6483" s="65" t="str">
        <f>VLOOKUP(E6483,DATABASE!C:Q,8,false)</f>
        <v>IBU</v>
      </c>
      <c r="P6483" s="65">
        <f>VLOOKUP(E6483,DATABASE!C:Q,9,False)</f>
        <v>0</v>
      </c>
      <c r="Q6483" s="93" t="str">
        <f>VLOOKUP(E6483,DATABASE!C:Q,4,false)</f>
        <v>SERVICE</v>
      </c>
      <c r="R6483" s="93" t="str">
        <f>VLOOKUP(E6483,DATABASE!C:Q,11,false)</f>
        <v>SERVICE</v>
      </c>
    </row>
    <row r="6484" ht="22.5" customHeight="1">
      <c r="A6484" s="49"/>
      <c r="C6484" s="400">
        <v>46029.0</v>
      </c>
      <c r="D6484" s="524">
        <v>8516.0</v>
      </c>
      <c r="E6484" s="544" t="s">
        <v>262</v>
      </c>
      <c r="F6484" s="387">
        <v>1.0</v>
      </c>
      <c r="G6484" s="140">
        <v>110000.0</v>
      </c>
      <c r="H6484" s="74"/>
      <c r="I6484" s="74">
        <f t="shared" si="1"/>
        <v>110000</v>
      </c>
      <c r="J6484" s="74">
        <f>IF(E6484="SERVICE",I6484-(I6484*50%),Vlookup(E6484,DATABASE!C:Q,10,false)*F6484)</f>
        <v>5000</v>
      </c>
      <c r="K6484" s="74">
        <f>VLOOKUP(E6484,DATABASE!C:Q,7,false)</f>
        <v>0</v>
      </c>
      <c r="L6484" s="74">
        <v>0.0</v>
      </c>
      <c r="M6484" s="74">
        <f t="shared" si="2"/>
        <v>0</v>
      </c>
      <c r="N6484" s="74">
        <f t="shared" si="3"/>
        <v>105000</v>
      </c>
      <c r="O6484" s="65" t="str">
        <f>VLOOKUP(E6484,DATABASE!C:Q,8,false)</f>
        <v>IBU</v>
      </c>
      <c r="P6484" s="65">
        <f>VLOOKUP(E6484,DATABASE!C:Q,9,False)</f>
        <v>0</v>
      </c>
      <c r="Q6484" s="93" t="str">
        <f>VLOOKUP(E6484,DATABASE!C:Q,4,false)</f>
        <v>SPOORING SS/CARRY LOS BAK</v>
      </c>
      <c r="R6484" s="93" t="str">
        <f>VLOOKUP(E6484,DATABASE!C:Q,11,false)</f>
        <v>SERVICE</v>
      </c>
    </row>
    <row r="6485" ht="22.5" customHeight="1">
      <c r="A6485" s="49"/>
      <c r="C6485" s="400">
        <v>46030.0</v>
      </c>
      <c r="D6485" s="524">
        <v>8517.0</v>
      </c>
      <c r="E6485" s="544" t="s">
        <v>604</v>
      </c>
      <c r="F6485" s="387">
        <v>1.0</v>
      </c>
      <c r="G6485" s="140">
        <v>170000.0</v>
      </c>
      <c r="H6485" s="140">
        <v>10000.0</v>
      </c>
      <c r="I6485" s="74">
        <f t="shared" si="1"/>
        <v>160000</v>
      </c>
      <c r="J6485" s="74">
        <f>IF(E6485="SERVICE",I6485-(I6485*50%),Vlookup(E6485,DATABASE!C:Q,10,false)*F6485)</f>
        <v>0</v>
      </c>
      <c r="K6485" s="74">
        <f>VLOOKUP(E6485,DATABASE!C:Q,7,false)</f>
        <v>124000</v>
      </c>
      <c r="L6485" s="74">
        <v>124000.0</v>
      </c>
      <c r="M6485" s="74">
        <f t="shared" si="2"/>
        <v>125000</v>
      </c>
      <c r="N6485" s="74">
        <f t="shared" si="3"/>
        <v>35000</v>
      </c>
      <c r="O6485" s="65" t="str">
        <f>VLOOKUP(E6485,DATABASE!C:Q,8,false)</f>
        <v>BIAN</v>
      </c>
      <c r="P6485" s="65">
        <f>VLOOKUP(E6485,DATABASE!C:Q,9,False)</f>
        <v>1</v>
      </c>
      <c r="Q6485" s="93" t="str">
        <f>VLOOKUP(E6485,DATABASE!C:Q,4,false)</f>
        <v>BD</v>
      </c>
      <c r="R6485" s="93" t="str">
        <f>VLOOKUP(E6485,DATABASE!C:Q,11,false)</f>
        <v>Tire</v>
      </c>
    </row>
    <row r="6486" ht="22.5" customHeight="1">
      <c r="A6486" s="49"/>
      <c r="C6486" s="400">
        <v>46030.0</v>
      </c>
      <c r="D6486" s="524">
        <v>8518.0</v>
      </c>
      <c r="E6486" s="544" t="s">
        <v>265</v>
      </c>
      <c r="F6486" s="387">
        <v>2.0</v>
      </c>
      <c r="G6486" s="140">
        <v>685000.0</v>
      </c>
      <c r="H6486" s="74"/>
      <c r="I6486" s="74">
        <f t="shared" si="1"/>
        <v>1370000</v>
      </c>
      <c r="J6486" s="74">
        <f>IF(E6486="SERVICE",I6486-(I6486*50%),Vlookup(E6486,DATABASE!C:Q,10,false)*F6486)</f>
        <v>0</v>
      </c>
      <c r="K6486" s="74">
        <f>VLOOKUP(E6486,DATABASE!C:Q,7,false)</f>
        <v>628000</v>
      </c>
      <c r="L6486" s="74">
        <v>600000.0</v>
      </c>
      <c r="M6486" s="74">
        <f t="shared" si="2"/>
        <v>600000</v>
      </c>
      <c r="N6486" s="74">
        <f t="shared" si="3"/>
        <v>170000</v>
      </c>
      <c r="O6486" s="65" t="str">
        <f>VLOOKUP(E6486,DATABASE!C:Q,8,false)</f>
        <v>IBU</v>
      </c>
      <c r="P6486" s="65">
        <f>VLOOKUP(E6486,DATABASE!C:Q,9,False)</f>
        <v>1</v>
      </c>
      <c r="Q6486" s="93" t="str">
        <f>VLOOKUP(E6486,DATABASE!C:Q,4,false)</f>
        <v>Dunlop</v>
      </c>
      <c r="R6486" s="93" t="str">
        <f>VLOOKUP(E6486,DATABASE!C:Q,11,false)</f>
        <v>Tire</v>
      </c>
    </row>
    <row r="6487" ht="22.5" customHeight="1">
      <c r="A6487" s="49"/>
      <c r="C6487" s="400">
        <v>46030.0</v>
      </c>
      <c r="D6487" s="524">
        <v>8520.0</v>
      </c>
      <c r="E6487" s="544" t="s">
        <v>271</v>
      </c>
      <c r="F6487" s="387">
        <v>1.0</v>
      </c>
      <c r="G6487" s="140">
        <v>630000.0</v>
      </c>
      <c r="H6487" s="74"/>
      <c r="I6487" s="74">
        <f t="shared" si="1"/>
        <v>630000</v>
      </c>
      <c r="J6487" s="74">
        <f>IF(E6487="SERVICE",I6487-(I6487*50%),Vlookup(E6487,DATABASE!C:Q,10,false)*F6487)</f>
        <v>0</v>
      </c>
      <c r="K6487" s="74">
        <f>VLOOKUP(E6487,DATABASE!C:Q,7,false)</f>
        <v>570000</v>
      </c>
      <c r="L6487" s="74">
        <v>539000.0</v>
      </c>
      <c r="M6487" s="74">
        <f t="shared" si="2"/>
        <v>540000</v>
      </c>
      <c r="N6487" s="74">
        <f t="shared" si="3"/>
        <v>90000</v>
      </c>
      <c r="O6487" s="65" t="str">
        <f>VLOOKUP(E6487,DATABASE!C:Q,8,false)</f>
        <v>IBU</v>
      </c>
      <c r="P6487" s="65">
        <f>VLOOKUP(E6487,DATABASE!C:Q,9,False)</f>
        <v>1</v>
      </c>
      <c r="Q6487" s="93" t="str">
        <f>VLOOKUP(E6487,DATABASE!C:Q,4,false)</f>
        <v>Dunlop</v>
      </c>
      <c r="R6487" s="93" t="str">
        <f>VLOOKUP(E6487,DATABASE!C:Q,11,false)</f>
        <v>Tire</v>
      </c>
    </row>
    <row r="6488" ht="22.5" customHeight="1">
      <c r="A6488" s="49"/>
      <c r="C6488" s="400">
        <v>46030.0</v>
      </c>
      <c r="D6488" s="524">
        <v>8523.0</v>
      </c>
      <c r="E6488" s="544" t="s">
        <v>777</v>
      </c>
      <c r="F6488" s="387">
        <v>1.0</v>
      </c>
      <c r="G6488" s="140">
        <v>600000.0</v>
      </c>
      <c r="H6488" s="140">
        <v>10000.0</v>
      </c>
      <c r="I6488" s="74">
        <f t="shared" si="1"/>
        <v>590000</v>
      </c>
      <c r="J6488" s="74">
        <f>IF(E6488="SERVICE",I6488-(I6488*50%),Vlookup(E6488,DATABASE!C:Q,10,false)*F6488)</f>
        <v>0</v>
      </c>
      <c r="K6488" s="74">
        <f>VLOOKUP(E6488,DATABASE!C:Q,7,false)</f>
        <v>540000</v>
      </c>
      <c r="L6488" s="74">
        <v>507000.0</v>
      </c>
      <c r="M6488" s="74">
        <f t="shared" si="2"/>
        <v>510000</v>
      </c>
      <c r="N6488" s="74">
        <f t="shared" si="3"/>
        <v>80000</v>
      </c>
      <c r="O6488" s="65" t="str">
        <f>VLOOKUP(E6488,DATABASE!C:Q,8,false)</f>
        <v>BIAN</v>
      </c>
      <c r="P6488" s="65">
        <f>VLOOKUP(E6488,DATABASE!C:Q,9,False)</f>
        <v>1</v>
      </c>
      <c r="Q6488" s="93" t="str">
        <f>VLOOKUP(E6488,DATABASE!C:Q,4,false)</f>
        <v>GT</v>
      </c>
      <c r="R6488" s="93" t="str">
        <f>VLOOKUP(E6488,DATABASE!C:Q,11,false)</f>
        <v>Tire</v>
      </c>
    </row>
    <row r="6489" ht="22.5" customHeight="1">
      <c r="A6489" s="49"/>
      <c r="C6489" s="400">
        <v>46030.0</v>
      </c>
      <c r="D6489" s="524">
        <v>8524.0</v>
      </c>
      <c r="E6489" s="544" t="s">
        <v>286</v>
      </c>
      <c r="F6489" s="387">
        <v>6.0</v>
      </c>
      <c r="G6489" s="140">
        <v>560000.0</v>
      </c>
      <c r="H6489" s="140">
        <v>10000.0</v>
      </c>
      <c r="I6489" s="74">
        <f t="shared" si="1"/>
        <v>3300000</v>
      </c>
      <c r="J6489" s="74">
        <f>IF(E6489="SERVICE",I6489-(I6489*50%),Vlookup(E6489,DATABASE!C:Q,10,false)*F6489)</f>
        <v>0</v>
      </c>
      <c r="K6489" s="74">
        <f>VLOOKUP(E6489,DATABASE!C:Q,7,false)</f>
        <v>488320</v>
      </c>
      <c r="L6489" s="74">
        <v>452970.0</v>
      </c>
      <c r="M6489" s="74">
        <f t="shared" si="2"/>
        <v>455000</v>
      </c>
      <c r="N6489" s="74">
        <f t="shared" si="3"/>
        <v>570000</v>
      </c>
      <c r="O6489" s="65" t="str">
        <f>VLOOKUP(E6489,DATABASE!C:Q,8,false)</f>
        <v>BIAN</v>
      </c>
      <c r="P6489" s="65">
        <f>VLOOKUP(E6489,DATABASE!C:Q,9,False)</f>
        <v>1</v>
      </c>
      <c r="Q6489" s="93" t="str">
        <f>VLOOKUP(E6489,DATABASE!C:Q,4,false)</f>
        <v>GT</v>
      </c>
      <c r="R6489" s="93" t="str">
        <f>VLOOKUP(E6489,DATABASE!C:Q,11,false)</f>
        <v>Tire</v>
      </c>
    </row>
    <row r="6490" ht="22.5" customHeight="1">
      <c r="A6490" s="49"/>
      <c r="C6490" s="400">
        <v>46030.0</v>
      </c>
      <c r="D6490" s="524">
        <v>8524.0</v>
      </c>
      <c r="E6490" s="544" t="s">
        <v>955</v>
      </c>
      <c r="F6490" s="387">
        <v>2.0</v>
      </c>
      <c r="G6490" s="140">
        <v>770000.0</v>
      </c>
      <c r="H6490" s="140">
        <v>10000.0</v>
      </c>
      <c r="I6490" s="74">
        <f t="shared" si="1"/>
        <v>1520000</v>
      </c>
      <c r="J6490" s="74">
        <f>IF(E6490="SERVICE",I6490-(I6490*50%),Vlookup(E6490,DATABASE!C:Q,10,false)*F6490)</f>
        <v>0</v>
      </c>
      <c r="K6490" s="74">
        <f>VLOOKUP(E6490,DATABASE!C:Q,7,false)</f>
        <v>712000</v>
      </c>
      <c r="L6490" s="74">
        <v>674000.0</v>
      </c>
      <c r="M6490" s="74">
        <f t="shared" si="2"/>
        <v>675000</v>
      </c>
      <c r="N6490" s="74">
        <f t="shared" si="3"/>
        <v>170000</v>
      </c>
      <c r="O6490" s="65" t="str">
        <f>VLOOKUP(E6490,DATABASE!C:Q,8,false)</f>
        <v>IBU</v>
      </c>
      <c r="P6490" s="65">
        <f>VLOOKUP(E6490,DATABASE!C:Q,9,False)</f>
        <v>1</v>
      </c>
      <c r="Q6490" s="93" t="str">
        <f>VLOOKUP(E6490,DATABASE!C:Q,4,false)</f>
        <v>Dunlop</v>
      </c>
      <c r="R6490" s="93" t="str">
        <f>VLOOKUP(E6490,DATABASE!C:Q,11,false)</f>
        <v>Tire</v>
      </c>
    </row>
    <row r="6491" ht="22.5" customHeight="1">
      <c r="A6491" s="49"/>
      <c r="C6491" s="400">
        <v>46030.0</v>
      </c>
      <c r="D6491" s="524">
        <v>8525.0</v>
      </c>
      <c r="E6491" s="544" t="s">
        <v>251</v>
      </c>
      <c r="F6491" s="387">
        <v>1.0</v>
      </c>
      <c r="G6491" s="140">
        <v>350000.0</v>
      </c>
      <c r="H6491" s="140">
        <v>250000.0</v>
      </c>
      <c r="I6491" s="74">
        <f t="shared" si="1"/>
        <v>100000</v>
      </c>
      <c r="J6491" s="74">
        <f>IF(E6491="SERVICE",I6491-(I6491*50%),Vlookup(E6491,DATABASE!C:Q,10,false)*F6491)</f>
        <v>50000</v>
      </c>
      <c r="K6491" s="74">
        <f>VLOOKUP(E6491,DATABASE!C:Q,7,false)</f>
        <v>0</v>
      </c>
      <c r="L6491" s="74">
        <v>0.0</v>
      </c>
      <c r="M6491" s="74">
        <f t="shared" si="2"/>
        <v>0</v>
      </c>
      <c r="N6491" s="74">
        <f t="shared" si="3"/>
        <v>50000</v>
      </c>
      <c r="O6491" s="65" t="str">
        <f>VLOOKUP(E6491,DATABASE!C:Q,8,false)</f>
        <v>IBU</v>
      </c>
      <c r="P6491" s="65">
        <f>VLOOKUP(E6491,DATABASE!C:Q,9,False)</f>
        <v>0</v>
      </c>
      <c r="Q6491" s="93" t="str">
        <f>VLOOKUP(E6491,DATABASE!C:Q,4,false)</f>
        <v>SERVICE</v>
      </c>
      <c r="R6491" s="93" t="str">
        <f>VLOOKUP(E6491,DATABASE!C:Q,11,false)</f>
        <v>SERVICE</v>
      </c>
    </row>
    <row r="6492" ht="22.5" customHeight="1">
      <c r="A6492" s="49"/>
      <c r="C6492" s="400">
        <v>46030.0</v>
      </c>
      <c r="D6492" s="524">
        <v>8526.0</v>
      </c>
      <c r="E6492" s="544" t="s">
        <v>591</v>
      </c>
      <c r="F6492" s="387">
        <v>1.0</v>
      </c>
      <c r="G6492" s="140">
        <v>700000.0</v>
      </c>
      <c r="H6492" s="74"/>
      <c r="I6492" s="74">
        <f t="shared" si="1"/>
        <v>700000</v>
      </c>
      <c r="J6492" s="74">
        <f>IF(E6492="SERVICE",I6492-(I6492*50%),Vlookup(E6492,DATABASE!C:Q,10,false)*F6492)</f>
        <v>0</v>
      </c>
      <c r="K6492" s="74">
        <f>VLOOKUP(E6492,DATABASE!C:Q,7,false)</f>
        <v>633035.16</v>
      </c>
      <c r="L6492" s="74">
        <v>596694.4</v>
      </c>
      <c r="M6492" s="74">
        <f t="shared" si="2"/>
        <v>600000</v>
      </c>
      <c r="N6492" s="74">
        <f t="shared" si="3"/>
        <v>100000</v>
      </c>
      <c r="O6492" s="65" t="str">
        <f>VLOOKUP(E6492,DATABASE!C:Q,8,false)</f>
        <v>IBU</v>
      </c>
      <c r="P6492" s="65">
        <f>VLOOKUP(E6492,DATABASE!C:Q,9,False)</f>
        <v>1</v>
      </c>
      <c r="Q6492" s="93" t="str">
        <f>VLOOKUP(E6492,DATABASE!C:Q,4,false)</f>
        <v>Bridgestone</v>
      </c>
      <c r="R6492" s="93" t="str">
        <f>VLOOKUP(E6492,DATABASE!C:Q,11,false)</f>
        <v>Tire</v>
      </c>
    </row>
    <row r="6493" ht="22.5" customHeight="1">
      <c r="A6493" s="49"/>
      <c r="C6493" s="400">
        <v>46031.0</v>
      </c>
      <c r="D6493" s="524">
        <v>8530.0</v>
      </c>
      <c r="E6493" s="544" t="s">
        <v>262</v>
      </c>
      <c r="F6493" s="387">
        <v>1.0</v>
      </c>
      <c r="G6493" s="140">
        <v>110000.0</v>
      </c>
      <c r="H6493" s="74"/>
      <c r="I6493" s="74">
        <f t="shared" si="1"/>
        <v>110000</v>
      </c>
      <c r="J6493" s="74">
        <f>IF(E6493="SERVICE",I6493-(I6493*50%),Vlookup(E6493,DATABASE!C:Q,10,false)*F6493)</f>
        <v>5000</v>
      </c>
      <c r="K6493" s="74">
        <f>VLOOKUP(E6493,DATABASE!C:Q,7,false)</f>
        <v>0</v>
      </c>
      <c r="L6493" s="74">
        <v>0.0</v>
      </c>
      <c r="M6493" s="74">
        <f t="shared" si="2"/>
        <v>0</v>
      </c>
      <c r="N6493" s="74">
        <f t="shared" si="3"/>
        <v>105000</v>
      </c>
      <c r="O6493" s="65" t="str">
        <f>VLOOKUP(E6493,DATABASE!C:Q,8,false)</f>
        <v>IBU</v>
      </c>
      <c r="P6493" s="65">
        <f>VLOOKUP(E6493,DATABASE!C:Q,9,False)</f>
        <v>0</v>
      </c>
      <c r="Q6493" s="93" t="str">
        <f>VLOOKUP(E6493,DATABASE!C:Q,4,false)</f>
        <v>SPOORING SS/CARRY LOS BAK</v>
      </c>
      <c r="R6493" s="93" t="str">
        <f>VLOOKUP(E6493,DATABASE!C:Q,11,false)</f>
        <v>SERVICE</v>
      </c>
    </row>
    <row r="6494" ht="22.5" customHeight="1">
      <c r="A6494" s="49"/>
      <c r="C6494" s="400">
        <v>46031.0</v>
      </c>
      <c r="D6494" s="524">
        <v>8530.0</v>
      </c>
      <c r="E6494" s="544" t="s">
        <v>478</v>
      </c>
      <c r="F6494" s="387">
        <v>1.0</v>
      </c>
      <c r="G6494" s="140">
        <v>200000.0</v>
      </c>
      <c r="H6494" s="74"/>
      <c r="I6494" s="74">
        <f t="shared" si="1"/>
        <v>200000</v>
      </c>
      <c r="J6494" s="74">
        <f>IF(E6494="SERVICE",I6494-(I6494*50%),Vlookup(E6494,DATABASE!C:Q,10,false)*F6494)</f>
        <v>25000</v>
      </c>
      <c r="K6494" s="74">
        <f>VLOOKUP(E6494,DATABASE!C:Q,7,false)</f>
        <v>75000</v>
      </c>
      <c r="L6494" s="74">
        <v>75000.0</v>
      </c>
      <c r="M6494" s="74">
        <f t="shared" si="2"/>
        <v>75000</v>
      </c>
      <c r="N6494" s="74">
        <f t="shared" si="3"/>
        <v>100000</v>
      </c>
      <c r="O6494" s="65" t="str">
        <f>VLOOKUP(E6494,DATABASE!C:Q,8,false)</f>
        <v>BIAN</v>
      </c>
      <c r="P6494" s="65">
        <f>VLOOKUP(E6494,DATABASE!C:Q,9,False)</f>
        <v>0</v>
      </c>
      <c r="Q6494" s="93" t="str">
        <f>VLOOKUP(E6494,DATABASE!C:Q,4,false)</f>
        <v>Baut Camber ss-carry</v>
      </c>
      <c r="R6494" s="93" t="str">
        <f>VLOOKUP(E6494,DATABASE!C:Q,11,false)</f>
        <v>COMPLEMENTARY</v>
      </c>
    </row>
    <row r="6495" ht="22.5" customHeight="1">
      <c r="A6495" s="49"/>
      <c r="C6495" s="400">
        <v>46031.0</v>
      </c>
      <c r="D6495" s="524">
        <v>8530.0</v>
      </c>
      <c r="E6495" s="544" t="s">
        <v>251</v>
      </c>
      <c r="F6495" s="387">
        <v>1.0</v>
      </c>
      <c r="G6495" s="140">
        <v>350000.0</v>
      </c>
      <c r="H6495" s="140">
        <v>300000.0</v>
      </c>
      <c r="I6495" s="74">
        <f t="shared" si="1"/>
        <v>50000</v>
      </c>
      <c r="J6495" s="74">
        <f>IF(E6495="SERVICE",I6495-(I6495*50%),Vlookup(E6495,DATABASE!C:Q,10,false)*F6495)</f>
        <v>25000</v>
      </c>
      <c r="K6495" s="74">
        <f>VLOOKUP(E6495,DATABASE!C:Q,7,false)</f>
        <v>0</v>
      </c>
      <c r="L6495" s="74">
        <v>0.0</v>
      </c>
      <c r="M6495" s="74">
        <f t="shared" si="2"/>
        <v>0</v>
      </c>
      <c r="N6495" s="74">
        <f t="shared" si="3"/>
        <v>25000</v>
      </c>
      <c r="O6495" s="65" t="str">
        <f>VLOOKUP(E6495,DATABASE!C:Q,8,false)</f>
        <v>IBU</v>
      </c>
      <c r="P6495" s="65">
        <f>VLOOKUP(E6495,DATABASE!C:Q,9,False)</f>
        <v>0</v>
      </c>
      <c r="Q6495" s="93" t="str">
        <f>VLOOKUP(E6495,DATABASE!C:Q,4,false)</f>
        <v>SERVICE</v>
      </c>
      <c r="R6495" s="93" t="str">
        <f>VLOOKUP(E6495,DATABASE!C:Q,11,false)</f>
        <v>SERVICE</v>
      </c>
    </row>
    <row r="6496" ht="22.5" customHeight="1">
      <c r="A6496" s="49"/>
      <c r="C6496" s="400">
        <v>46031.0</v>
      </c>
      <c r="D6496" s="524">
        <v>8532.0</v>
      </c>
      <c r="E6496" s="544" t="s">
        <v>955</v>
      </c>
      <c r="F6496" s="387">
        <v>2.0</v>
      </c>
      <c r="G6496" s="140">
        <v>770000.0</v>
      </c>
      <c r="H6496" s="74"/>
      <c r="I6496" s="74">
        <f t="shared" si="1"/>
        <v>1540000</v>
      </c>
      <c r="J6496" s="74">
        <f>IF(E6496="SERVICE",I6496-(I6496*50%),Vlookup(E6496,DATABASE!C:Q,10,false)*F6496)</f>
        <v>0</v>
      </c>
      <c r="K6496" s="74">
        <f>VLOOKUP(E6496,DATABASE!C:Q,7,false)</f>
        <v>712000</v>
      </c>
      <c r="L6496" s="74">
        <v>674000.0</v>
      </c>
      <c r="M6496" s="74">
        <f t="shared" si="2"/>
        <v>675000</v>
      </c>
      <c r="N6496" s="74">
        <f t="shared" si="3"/>
        <v>190000</v>
      </c>
      <c r="O6496" s="65" t="str">
        <f>VLOOKUP(E6496,DATABASE!C:Q,8,false)</f>
        <v>IBU</v>
      </c>
      <c r="P6496" s="65">
        <f>VLOOKUP(E6496,DATABASE!C:Q,9,False)</f>
        <v>1</v>
      </c>
      <c r="Q6496" s="93" t="str">
        <f>VLOOKUP(E6496,DATABASE!C:Q,4,false)</f>
        <v>Dunlop</v>
      </c>
      <c r="R6496" s="93" t="str">
        <f>VLOOKUP(E6496,DATABASE!C:Q,11,false)</f>
        <v>Tire</v>
      </c>
    </row>
    <row r="6497" ht="22.5" customHeight="1">
      <c r="A6497" s="49"/>
      <c r="C6497" s="400">
        <v>46031.0</v>
      </c>
      <c r="D6497" s="524">
        <v>8532.0</v>
      </c>
      <c r="E6497" s="544" t="s">
        <v>299</v>
      </c>
      <c r="F6497" s="387">
        <v>2.0</v>
      </c>
      <c r="G6497" s="140">
        <v>30000.0</v>
      </c>
      <c r="H6497" s="74"/>
      <c r="I6497" s="74">
        <f t="shared" si="1"/>
        <v>60000</v>
      </c>
      <c r="J6497" s="74">
        <f>IF(E6497="SERVICE",I6497-(I6497*50%),Vlookup(E6497,DATABASE!C:Q,10,false)*F6497)</f>
        <v>0</v>
      </c>
      <c r="K6497" s="74">
        <f>VLOOKUP(E6497,DATABASE!C:Q,7,false)</f>
        <v>10000</v>
      </c>
      <c r="L6497" s="74">
        <v>5000.0</v>
      </c>
      <c r="M6497" s="74">
        <f t="shared" si="2"/>
        <v>5000</v>
      </c>
      <c r="N6497" s="74">
        <f t="shared" si="3"/>
        <v>50000</v>
      </c>
      <c r="O6497" s="65" t="str">
        <f>VLOOKUP(E6497,DATABASE!C:Q,8,false)</f>
        <v>BIAN</v>
      </c>
      <c r="P6497" s="65">
        <f>VLOOKUP(E6497,DATABASE!C:Q,9,False)</f>
        <v>0</v>
      </c>
      <c r="Q6497" s="93" t="str">
        <f>VLOOKUP(E6497,DATABASE!C:Q,4,false)</f>
        <v>Balancing</v>
      </c>
      <c r="R6497" s="93" t="str">
        <f>VLOOKUP(E6497,DATABASE!C:Q,11,false)</f>
        <v>COMPLEMENTARY</v>
      </c>
    </row>
    <row r="6498" ht="22.5" customHeight="1">
      <c r="A6498" s="49"/>
      <c r="C6498" s="400">
        <v>46031.0</v>
      </c>
      <c r="D6498" s="524">
        <v>8532.0</v>
      </c>
      <c r="E6498" s="544" t="s">
        <v>256</v>
      </c>
      <c r="F6498" s="387">
        <v>1.0</v>
      </c>
      <c r="G6498" s="140">
        <v>150000.0</v>
      </c>
      <c r="H6498" s="140">
        <v>20000.0</v>
      </c>
      <c r="I6498" s="74">
        <f t="shared" si="1"/>
        <v>130000</v>
      </c>
      <c r="J6498" s="74">
        <f>IF(E6498="SERVICE",I6498-(I6498*50%),Vlookup(E6498,DATABASE!C:Q,10,false)*F6498)</f>
        <v>10000</v>
      </c>
      <c r="K6498" s="74">
        <f>VLOOKUP(E6498,DATABASE!C:Q,7,false)</f>
        <v>0</v>
      </c>
      <c r="L6498" s="74">
        <v>0.0</v>
      </c>
      <c r="M6498" s="74">
        <f t="shared" si="2"/>
        <v>0</v>
      </c>
      <c r="N6498" s="74">
        <f t="shared" si="3"/>
        <v>120000</v>
      </c>
      <c r="O6498" s="65" t="str">
        <f>VLOOKUP(E6498,DATABASE!C:Q,8,false)</f>
        <v>IBU</v>
      </c>
      <c r="P6498" s="65">
        <f>VLOOKUP(E6498,DATABASE!C:Q,9,False)</f>
        <v>0</v>
      </c>
      <c r="Q6498" s="93" t="str">
        <f>VLOOKUP(E6498,DATABASE!C:Q,4,false)</f>
        <v>SPOORING</v>
      </c>
      <c r="R6498" s="93" t="str">
        <f>VLOOKUP(E6498,DATABASE!C:Q,11,false)</f>
        <v>SERVICE</v>
      </c>
    </row>
    <row r="6499" ht="22.5" customHeight="1">
      <c r="A6499" s="49"/>
      <c r="C6499" s="400">
        <v>46031.0</v>
      </c>
      <c r="D6499" s="524">
        <v>8532.0</v>
      </c>
      <c r="E6499" s="544" t="s">
        <v>251</v>
      </c>
      <c r="F6499" s="387">
        <v>1.0</v>
      </c>
      <c r="G6499" s="140">
        <v>350000.0</v>
      </c>
      <c r="H6499" s="140">
        <v>200000.0</v>
      </c>
      <c r="I6499" s="74">
        <f t="shared" si="1"/>
        <v>150000</v>
      </c>
      <c r="J6499" s="74">
        <f>IF(E6499="SERVICE",I6499-(I6499*50%),Vlookup(E6499,DATABASE!C:Q,10,false)*F6499)</f>
        <v>75000</v>
      </c>
      <c r="K6499" s="74">
        <f>VLOOKUP(E6499,DATABASE!C:Q,7,false)</f>
        <v>0</v>
      </c>
      <c r="L6499" s="74">
        <v>0.0</v>
      </c>
      <c r="M6499" s="74">
        <f t="shared" si="2"/>
        <v>0</v>
      </c>
      <c r="N6499" s="74">
        <f t="shared" si="3"/>
        <v>75000</v>
      </c>
      <c r="O6499" s="65" t="str">
        <f>VLOOKUP(E6499,DATABASE!C:Q,8,false)</f>
        <v>IBU</v>
      </c>
      <c r="P6499" s="65">
        <f>VLOOKUP(E6499,DATABASE!C:Q,9,False)</f>
        <v>0</v>
      </c>
      <c r="Q6499" s="93" t="str">
        <f>VLOOKUP(E6499,DATABASE!C:Q,4,false)</f>
        <v>SERVICE</v>
      </c>
      <c r="R6499" s="93" t="str">
        <f>VLOOKUP(E6499,DATABASE!C:Q,11,false)</f>
        <v>SERVICE</v>
      </c>
    </row>
    <row r="6500" ht="22.5" customHeight="1">
      <c r="A6500" s="49"/>
      <c r="C6500" s="400">
        <v>46031.0</v>
      </c>
      <c r="D6500" s="524">
        <v>8533.0</v>
      </c>
      <c r="E6500" s="544" t="s">
        <v>256</v>
      </c>
      <c r="F6500" s="387">
        <v>1.0</v>
      </c>
      <c r="G6500" s="140">
        <v>150000.0</v>
      </c>
      <c r="H6500" s="140">
        <v>20000.0</v>
      </c>
      <c r="I6500" s="74">
        <f t="shared" si="1"/>
        <v>130000</v>
      </c>
      <c r="J6500" s="74">
        <f>IF(E6500="SERVICE",I6500-(I6500*50%),Vlookup(E6500,DATABASE!C:Q,10,false)*F6500)</f>
        <v>10000</v>
      </c>
      <c r="K6500" s="74">
        <f>VLOOKUP(E6500,DATABASE!C:Q,7,false)</f>
        <v>0</v>
      </c>
      <c r="L6500" s="74">
        <v>0.0</v>
      </c>
      <c r="M6500" s="74">
        <f t="shared" si="2"/>
        <v>0</v>
      </c>
      <c r="N6500" s="74">
        <f t="shared" si="3"/>
        <v>120000</v>
      </c>
      <c r="O6500" s="65" t="str">
        <f>VLOOKUP(E6500,DATABASE!C:Q,8,false)</f>
        <v>IBU</v>
      </c>
      <c r="P6500" s="65">
        <f>VLOOKUP(E6500,DATABASE!C:Q,9,False)</f>
        <v>0</v>
      </c>
      <c r="Q6500" s="93" t="str">
        <f>VLOOKUP(E6500,DATABASE!C:Q,4,false)</f>
        <v>SPOORING</v>
      </c>
      <c r="R6500" s="93" t="str">
        <f>VLOOKUP(E6500,DATABASE!C:Q,11,false)</f>
        <v>SERVICE</v>
      </c>
    </row>
    <row r="6501" ht="22.5" customHeight="1">
      <c r="A6501" s="49"/>
      <c r="C6501" s="400">
        <v>46031.0</v>
      </c>
      <c r="D6501" s="524">
        <v>8533.0</v>
      </c>
      <c r="E6501" s="544" t="s">
        <v>299</v>
      </c>
      <c r="F6501" s="387">
        <v>4.0</v>
      </c>
      <c r="G6501" s="140">
        <v>30000.0</v>
      </c>
      <c r="H6501" s="74"/>
      <c r="I6501" s="74">
        <f t="shared" si="1"/>
        <v>120000</v>
      </c>
      <c r="J6501" s="74">
        <f>IF(E6501="SERVICE",I6501-(I6501*50%),Vlookup(E6501,DATABASE!C:Q,10,false)*F6501)</f>
        <v>0</v>
      </c>
      <c r="K6501" s="74">
        <f>VLOOKUP(E6501,DATABASE!C:Q,7,false)</f>
        <v>10000</v>
      </c>
      <c r="L6501" s="74">
        <v>5000.0</v>
      </c>
      <c r="M6501" s="74">
        <f t="shared" si="2"/>
        <v>5000</v>
      </c>
      <c r="N6501" s="74">
        <f t="shared" si="3"/>
        <v>100000</v>
      </c>
      <c r="O6501" s="65" t="str">
        <f>VLOOKUP(E6501,DATABASE!C:Q,8,false)</f>
        <v>BIAN</v>
      </c>
      <c r="P6501" s="65">
        <f>VLOOKUP(E6501,DATABASE!C:Q,9,False)</f>
        <v>0</v>
      </c>
      <c r="Q6501" s="93" t="str">
        <f>VLOOKUP(E6501,DATABASE!C:Q,4,false)</f>
        <v>Balancing</v>
      </c>
      <c r="R6501" s="93" t="str">
        <f>VLOOKUP(E6501,DATABASE!C:Q,11,false)</f>
        <v>COMPLEMENTARY</v>
      </c>
    </row>
    <row r="6502" ht="22.5" customHeight="1">
      <c r="A6502" s="49"/>
      <c r="C6502" s="400">
        <v>46031.0</v>
      </c>
      <c r="D6502" s="524">
        <v>8534.0</v>
      </c>
      <c r="E6502" s="544" t="s">
        <v>305</v>
      </c>
      <c r="F6502" s="387">
        <v>1.0</v>
      </c>
      <c r="G6502" s="140">
        <v>235000.0</v>
      </c>
      <c r="H6502" s="74"/>
      <c r="I6502" s="74">
        <f t="shared" si="1"/>
        <v>235000</v>
      </c>
      <c r="J6502" s="74">
        <f>IF(E6502="SERVICE",I6502-(I6502*50%),Vlookup(E6502,DATABASE!C:Q,10,false)*F6502)</f>
        <v>40000</v>
      </c>
      <c r="K6502" s="74">
        <f>VLOOKUP(E6502,DATABASE!C:Q,7,false)</f>
        <v>158530.2</v>
      </c>
      <c r="L6502" s="74">
        <v>151890.0</v>
      </c>
      <c r="M6502" s="74">
        <f t="shared" si="2"/>
        <v>155000</v>
      </c>
      <c r="N6502" s="74">
        <f t="shared" si="3"/>
        <v>40000</v>
      </c>
      <c r="O6502" s="65" t="str">
        <f>VLOOKUP(E6502,DATABASE!C:Q,8,false)</f>
        <v>BIAN</v>
      </c>
      <c r="P6502" s="65">
        <f>VLOOKUP(E6502,DATABASE!C:Q,9,False)</f>
        <v>1</v>
      </c>
      <c r="Q6502" s="93" t="str">
        <f>VLOOKUP(E6502,DATABASE!C:Q,4,false)</f>
        <v>Lower Arm</v>
      </c>
      <c r="R6502" s="93" t="str">
        <f>VLOOKUP(E6502,DATABASE!C:Q,11,false)</f>
        <v>COMPLEMENTARY</v>
      </c>
    </row>
    <row r="6503" ht="22.5" customHeight="1">
      <c r="A6503" s="49"/>
      <c r="C6503" s="400">
        <v>46031.0</v>
      </c>
      <c r="D6503" s="524">
        <v>8577.0</v>
      </c>
      <c r="E6503" s="544" t="s">
        <v>777</v>
      </c>
      <c r="F6503" s="387">
        <v>1.0</v>
      </c>
      <c r="G6503" s="140">
        <v>600000.0</v>
      </c>
      <c r="H6503" s="140">
        <v>10000.0</v>
      </c>
      <c r="I6503" s="74">
        <f t="shared" si="1"/>
        <v>590000</v>
      </c>
      <c r="J6503" s="74">
        <f>IF(E6503="SERVICE",I6503-(I6503*50%),Vlookup(E6503,DATABASE!C:Q,10,false)*F6503)</f>
        <v>0</v>
      </c>
      <c r="K6503" s="74">
        <f>VLOOKUP(E6503,DATABASE!C:Q,7,false)</f>
        <v>540000</v>
      </c>
      <c r="L6503" s="74">
        <v>507000.0</v>
      </c>
      <c r="M6503" s="74">
        <f t="shared" si="2"/>
        <v>510000</v>
      </c>
      <c r="N6503" s="74">
        <f t="shared" si="3"/>
        <v>80000</v>
      </c>
      <c r="O6503" s="65" t="str">
        <f>VLOOKUP(E6503,DATABASE!C:Q,8,false)</f>
        <v>BIAN</v>
      </c>
      <c r="P6503" s="65">
        <f>VLOOKUP(E6503,DATABASE!C:Q,9,False)</f>
        <v>1</v>
      </c>
      <c r="Q6503" s="93" t="str">
        <f>VLOOKUP(E6503,DATABASE!C:Q,4,false)</f>
        <v>GT</v>
      </c>
      <c r="R6503" s="93" t="str">
        <f>VLOOKUP(E6503,DATABASE!C:Q,11,false)</f>
        <v>Tire</v>
      </c>
    </row>
    <row r="6504" ht="22.5" customHeight="1">
      <c r="A6504" s="49"/>
      <c r="C6504" s="400">
        <v>46031.0</v>
      </c>
      <c r="D6504" s="524">
        <v>8577.0</v>
      </c>
      <c r="E6504" s="544" t="s">
        <v>569</v>
      </c>
      <c r="F6504" s="387">
        <v>1.0</v>
      </c>
      <c r="G6504" s="140">
        <v>80000.0</v>
      </c>
      <c r="H6504" s="74"/>
      <c r="I6504" s="74">
        <f t="shared" si="1"/>
        <v>80000</v>
      </c>
      <c r="J6504" s="74">
        <f>IF(E6504="SERVICE",I6504-(I6504*50%),Vlookup(E6504,DATABASE!C:Q,10,false)*F6504)</f>
        <v>0</v>
      </c>
      <c r="K6504" s="74">
        <f>VLOOKUP(E6504,DATABASE!C:Q,7,false)</f>
        <v>45439.582</v>
      </c>
      <c r="L6504" s="74">
        <v>45309.6</v>
      </c>
      <c r="M6504" s="74">
        <f t="shared" si="2"/>
        <v>50000</v>
      </c>
      <c r="N6504" s="74">
        <f t="shared" si="3"/>
        <v>30000</v>
      </c>
      <c r="O6504" s="65" t="str">
        <f>VLOOKUP(E6504,DATABASE!C:Q,8,false)</f>
        <v>BIAN</v>
      </c>
      <c r="P6504" s="65">
        <f>VLOOKUP(E6504,DATABASE!C:Q,9,False)</f>
        <v>1</v>
      </c>
      <c r="Q6504" s="93" t="str">
        <f>VLOOKUP(E6504,DATABASE!C:Q,4,false)</f>
        <v>BD</v>
      </c>
      <c r="R6504" s="93" t="str">
        <f>VLOOKUP(E6504,DATABASE!C:Q,11,false)</f>
        <v>Tire</v>
      </c>
    </row>
    <row r="6505" ht="22.5" customHeight="1">
      <c r="A6505" s="49"/>
      <c r="C6505" s="400">
        <v>46031.0</v>
      </c>
      <c r="D6505" s="524">
        <v>8578.0</v>
      </c>
      <c r="E6505" s="544" t="s">
        <v>275</v>
      </c>
      <c r="F6505" s="387">
        <v>1.0</v>
      </c>
      <c r="G6505" s="140">
        <v>830000.0</v>
      </c>
      <c r="H6505" s="74"/>
      <c r="I6505" s="74">
        <f t="shared" si="1"/>
        <v>830000</v>
      </c>
      <c r="J6505" s="74">
        <f>IF(E6505="SERVICE",I6505-(I6505*50%),Vlookup(E6505,DATABASE!C:Q,10,false)*F6505)</f>
        <v>0</v>
      </c>
      <c r="K6505" s="74">
        <f>VLOOKUP(E6505,DATABASE!C:Q,7,false)</f>
        <v>782000</v>
      </c>
      <c r="L6505" s="74">
        <v>745000.0</v>
      </c>
      <c r="M6505" s="74">
        <f t="shared" si="2"/>
        <v>745000</v>
      </c>
      <c r="N6505" s="74">
        <f t="shared" si="3"/>
        <v>85000</v>
      </c>
      <c r="O6505" s="65" t="str">
        <f>VLOOKUP(E6505,DATABASE!C:Q,8,false)</f>
        <v>IBU</v>
      </c>
      <c r="P6505" s="65">
        <f>VLOOKUP(E6505,DATABASE!C:Q,9,False)</f>
        <v>1</v>
      </c>
      <c r="Q6505" s="93" t="str">
        <f>VLOOKUP(E6505,DATABASE!C:Q,4,false)</f>
        <v>Dunlop</v>
      </c>
      <c r="R6505" s="93" t="str">
        <f>VLOOKUP(E6505,DATABASE!C:Q,11,false)</f>
        <v>Tire</v>
      </c>
    </row>
    <row r="6506" ht="22.5" customHeight="1">
      <c r="A6506" s="49"/>
      <c r="C6506" s="400">
        <v>46031.0</v>
      </c>
      <c r="D6506" s="524">
        <v>8579.0</v>
      </c>
      <c r="E6506" s="544" t="s">
        <v>256</v>
      </c>
      <c r="F6506" s="387">
        <v>1.0</v>
      </c>
      <c r="G6506" s="140">
        <v>150000.0</v>
      </c>
      <c r="H6506" s="140">
        <v>20000.0</v>
      </c>
      <c r="I6506" s="74">
        <f t="shared" si="1"/>
        <v>130000</v>
      </c>
      <c r="J6506" s="74">
        <f>IF(E6506="SERVICE",I6506-(I6506*50%),Vlookup(E6506,DATABASE!C:Q,10,false)*F6506)</f>
        <v>10000</v>
      </c>
      <c r="K6506" s="74">
        <f>VLOOKUP(E6506,DATABASE!C:Q,7,false)</f>
        <v>0</v>
      </c>
      <c r="L6506" s="74">
        <v>0.0</v>
      </c>
      <c r="M6506" s="74">
        <f t="shared" si="2"/>
        <v>0</v>
      </c>
      <c r="N6506" s="74">
        <f t="shared" si="3"/>
        <v>120000</v>
      </c>
      <c r="O6506" s="65" t="str">
        <f>VLOOKUP(E6506,DATABASE!C:Q,8,false)</f>
        <v>IBU</v>
      </c>
      <c r="P6506" s="65">
        <f>VLOOKUP(E6506,DATABASE!C:Q,9,False)</f>
        <v>0</v>
      </c>
      <c r="Q6506" s="93" t="str">
        <f>VLOOKUP(E6506,DATABASE!C:Q,4,false)</f>
        <v>SPOORING</v>
      </c>
      <c r="R6506" s="93" t="str">
        <f>VLOOKUP(E6506,DATABASE!C:Q,11,false)</f>
        <v>SERVICE</v>
      </c>
    </row>
    <row r="6507" ht="22.5" customHeight="1">
      <c r="A6507" s="49"/>
      <c r="C6507" s="400">
        <v>46031.0</v>
      </c>
      <c r="D6507" s="524">
        <v>8579.0</v>
      </c>
      <c r="E6507" s="544" t="s">
        <v>301</v>
      </c>
      <c r="F6507" s="387">
        <v>1.0</v>
      </c>
      <c r="G6507" s="140">
        <v>250000.0</v>
      </c>
      <c r="H6507" s="74"/>
      <c r="I6507" s="74">
        <f t="shared" si="1"/>
        <v>250000</v>
      </c>
      <c r="J6507" s="74">
        <f>IF(E6507="SERVICE",I6507-(I6507*50%),Vlookup(E6507,DATABASE!C:Q,10,false)*F6507)</f>
        <v>75000</v>
      </c>
      <c r="K6507" s="74">
        <f>VLOOKUP(E6507,DATABASE!C:Q,7,false)</f>
        <v>75000</v>
      </c>
      <c r="L6507" s="74">
        <v>75000.0</v>
      </c>
      <c r="M6507" s="74">
        <f t="shared" si="2"/>
        <v>75000</v>
      </c>
      <c r="N6507" s="74">
        <f t="shared" si="3"/>
        <v>100000</v>
      </c>
      <c r="O6507" s="65" t="str">
        <f>VLOOKUP(E6507,DATABASE!C:Q,8,false)</f>
        <v>BIAN</v>
      </c>
      <c r="P6507" s="65">
        <f>VLOOKUP(E6507,DATABASE!C:Q,9,False)</f>
        <v>0</v>
      </c>
      <c r="Q6507" s="93" t="str">
        <f>VLOOKUP(E6507,DATABASE!C:Q,4,false)</f>
        <v>Baut Camber</v>
      </c>
      <c r="R6507" s="93" t="str">
        <f>VLOOKUP(E6507,DATABASE!C:Q,11,false)</f>
        <v>COMPLEMENTARY</v>
      </c>
    </row>
    <row r="6508" ht="22.5" customHeight="1">
      <c r="A6508" s="49"/>
      <c r="C6508" s="400">
        <v>46031.0</v>
      </c>
      <c r="D6508" s="69" t="s">
        <v>2679</v>
      </c>
      <c r="E6508" s="544" t="s">
        <v>248</v>
      </c>
      <c r="F6508" s="387">
        <v>1.0</v>
      </c>
      <c r="G6508" s="140">
        <v>190000.0</v>
      </c>
      <c r="H6508" s="74"/>
      <c r="I6508" s="74">
        <f t="shared" si="1"/>
        <v>190000</v>
      </c>
      <c r="J6508" s="74">
        <f>IF(E6508="SERVICE",I6508-(I6508*50%),Vlookup(E6508,DATABASE!C:Q,10,false)*F6508)</f>
        <v>0</v>
      </c>
      <c r="K6508" s="74">
        <f>VLOOKUP(E6508,DATABASE!C:Q,7,false)</f>
        <v>209816.66</v>
      </c>
      <c r="L6508" s="74">
        <v>160833.0</v>
      </c>
      <c r="M6508" s="74">
        <f t="shared" si="2"/>
        <v>165000</v>
      </c>
      <c r="N6508" s="74">
        <f t="shared" si="3"/>
        <v>25000</v>
      </c>
      <c r="O6508" s="65" t="str">
        <f>VLOOKUP(E6508,DATABASE!C:Q,8,false)</f>
        <v>NON</v>
      </c>
      <c r="P6508" s="65">
        <f>VLOOKUP(E6508,DATABASE!C:Q,9,False)</f>
        <v>0</v>
      </c>
      <c r="Q6508" s="93" t="str">
        <f>VLOOKUP(E6508,DATABASE!C:Q,4,false)</f>
        <v>Pertamina</v>
      </c>
      <c r="R6508" s="93" t="str">
        <f>VLOOKUP(E6508,DATABASE!C:Q,11,false)</f>
        <v>OIL</v>
      </c>
    </row>
    <row r="6509" ht="22.5" customHeight="1">
      <c r="A6509" s="49"/>
      <c r="C6509" s="400">
        <v>46032.0</v>
      </c>
      <c r="D6509" s="524">
        <v>8316.0</v>
      </c>
      <c r="E6509" s="544" t="s">
        <v>878</v>
      </c>
      <c r="F6509" s="387">
        <v>2.0</v>
      </c>
      <c r="G6509" s="140">
        <v>50000.0</v>
      </c>
      <c r="H6509" s="140">
        <v>10000.0</v>
      </c>
      <c r="I6509" s="74">
        <f t="shared" si="1"/>
        <v>80000</v>
      </c>
      <c r="J6509" s="74">
        <f>IF(E6509="SERVICE",I6509-(I6509*50%),Vlookup(E6509,DATABASE!C:Q,10,false)*F6509)</f>
        <v>0</v>
      </c>
      <c r="K6509" s="74">
        <f>VLOOKUP(E6509,DATABASE!C:Q,7,false)</f>
        <v>0</v>
      </c>
      <c r="L6509" s="74">
        <v>0.0</v>
      </c>
      <c r="M6509" s="74">
        <f t="shared" si="2"/>
        <v>0</v>
      </c>
      <c r="N6509" s="74">
        <f t="shared" si="3"/>
        <v>80000</v>
      </c>
      <c r="O6509" s="65" t="str">
        <f>VLOOKUP(E6509,DATABASE!C:Q,8,false)</f>
        <v>IBU</v>
      </c>
      <c r="P6509" s="65">
        <f>VLOOKUP(E6509,DATABASE!C:Q,9,False)</f>
        <v>0</v>
      </c>
      <c r="Q6509" s="93" t="str">
        <f>VLOOKUP(E6509,DATABASE!C:Q,4,false)</f>
        <v>Bongkar Pasang 17</v>
      </c>
      <c r="R6509" s="93" t="str">
        <f>VLOOKUP(E6509,DATABASE!C:Q,11,false)</f>
        <v>SERVICE</v>
      </c>
    </row>
    <row r="6510" ht="22.5" customHeight="1">
      <c r="A6510" s="49"/>
      <c r="C6510" s="400">
        <v>46032.0</v>
      </c>
      <c r="D6510" s="524">
        <v>8316.0</v>
      </c>
      <c r="E6510" s="544" t="s">
        <v>461</v>
      </c>
      <c r="F6510" s="387">
        <v>2.0</v>
      </c>
      <c r="G6510" s="140">
        <v>60000.0</v>
      </c>
      <c r="H6510" s="140">
        <v>20000.0</v>
      </c>
      <c r="I6510" s="74">
        <f t="shared" si="1"/>
        <v>80000</v>
      </c>
      <c r="J6510" s="74">
        <f>IF(E6510="SERVICE",I6510-(I6510*50%),Vlookup(E6510,DATABASE!C:Q,10,false)*F6510)</f>
        <v>0</v>
      </c>
      <c r="K6510" s="74">
        <f>VLOOKUP(E6510,DATABASE!C:Q,7,false)</f>
        <v>15000</v>
      </c>
      <c r="L6510" s="74">
        <v>10000.0</v>
      </c>
      <c r="M6510" s="74">
        <f t="shared" si="2"/>
        <v>10000</v>
      </c>
      <c r="N6510" s="74">
        <f t="shared" si="3"/>
        <v>60000</v>
      </c>
      <c r="O6510" s="65" t="str">
        <f>VLOOKUP(E6510,DATABASE!C:Q,8,false)</f>
        <v>BIAN</v>
      </c>
      <c r="P6510" s="65">
        <f>VLOOKUP(E6510,DATABASE!C:Q,9,False)</f>
        <v>0</v>
      </c>
      <c r="Q6510" s="93" t="str">
        <f>VLOOKUP(E6510,DATABASE!C:Q,4,false)</f>
        <v>Balancing</v>
      </c>
      <c r="R6510" s="93" t="str">
        <f>VLOOKUP(E6510,DATABASE!C:Q,11,false)</f>
        <v>COMPLEMENTARY</v>
      </c>
    </row>
    <row r="6511" ht="22.5" customHeight="1">
      <c r="A6511" s="49"/>
      <c r="C6511" s="400">
        <v>46032.0</v>
      </c>
      <c r="D6511" s="524">
        <v>8317.0</v>
      </c>
      <c r="E6511" s="544" t="s">
        <v>1009</v>
      </c>
      <c r="F6511" s="387">
        <v>1.0</v>
      </c>
      <c r="G6511" s="140">
        <v>700000.0</v>
      </c>
      <c r="H6511" s="74"/>
      <c r="I6511" s="74">
        <f t="shared" si="1"/>
        <v>700000</v>
      </c>
      <c r="J6511" s="74">
        <f>IF(E6511="SERVICE",I6511-(I6511*50%),Vlookup(E6511,DATABASE!C:Q,10,false)*F6511)</f>
        <v>0</v>
      </c>
      <c r="K6511" s="74">
        <f>VLOOKUP(E6511,DATABASE!C:Q,7,false)</f>
        <v>609800</v>
      </c>
      <c r="L6511" s="74">
        <v>592200.0</v>
      </c>
      <c r="M6511" s="74">
        <f t="shared" si="2"/>
        <v>595000</v>
      </c>
      <c r="N6511" s="74">
        <f t="shared" si="3"/>
        <v>105000</v>
      </c>
      <c r="O6511" s="65" t="str">
        <f>VLOOKUP(E6511,DATABASE!C:Q,8,false)</f>
        <v>BIAN</v>
      </c>
      <c r="P6511" s="65">
        <f>VLOOKUP(E6511,DATABASE!C:Q,9,False)</f>
        <v>1</v>
      </c>
      <c r="Q6511" s="93" t="str">
        <f>VLOOKUP(E6511,DATABASE!C:Q,4,false)</f>
        <v>GT</v>
      </c>
      <c r="R6511" s="93" t="str">
        <f>VLOOKUP(E6511,DATABASE!C:Q,11,false)</f>
        <v>Tire</v>
      </c>
    </row>
    <row r="6512" ht="22.5" customHeight="1">
      <c r="A6512" s="49"/>
      <c r="C6512" s="400">
        <v>46032.0</v>
      </c>
      <c r="D6512" s="524">
        <v>8318.0</v>
      </c>
      <c r="E6512" s="544" t="s">
        <v>932</v>
      </c>
      <c r="F6512" s="387">
        <v>2.0</v>
      </c>
      <c r="G6512" s="140">
        <v>680000.0</v>
      </c>
      <c r="H6512" s="74"/>
      <c r="I6512" s="74">
        <f t="shared" si="1"/>
        <v>1360000</v>
      </c>
      <c r="J6512" s="74">
        <f>IF(E6512="SERVICE",I6512-(I6512*50%),Vlookup(E6512,DATABASE!C:Q,10,false)*F6512)</f>
        <v>0</v>
      </c>
      <c r="K6512" s="74">
        <f>VLOOKUP(E6512,DATABASE!C:Q,7,false)</f>
        <v>601000</v>
      </c>
      <c r="L6512" s="74">
        <v>595000.0</v>
      </c>
      <c r="M6512" s="74">
        <f t="shared" si="2"/>
        <v>595000</v>
      </c>
      <c r="N6512" s="74">
        <f t="shared" si="3"/>
        <v>170000</v>
      </c>
      <c r="O6512" s="65" t="str">
        <f>VLOOKUP(E6512,DATABASE!C:Q,8,false)</f>
        <v>IBU</v>
      </c>
      <c r="P6512" s="65">
        <f>VLOOKUP(E6512,DATABASE!C:Q,9,False)</f>
        <v>1</v>
      </c>
      <c r="Q6512" s="93" t="str">
        <f>VLOOKUP(E6512,DATABASE!C:Q,4,false)</f>
        <v>Dunlop</v>
      </c>
      <c r="R6512" s="93" t="str">
        <f>VLOOKUP(E6512,DATABASE!C:Q,11,false)</f>
        <v>Tire</v>
      </c>
    </row>
    <row r="6513" ht="22.5" customHeight="1">
      <c r="A6513" s="49"/>
      <c r="C6513" s="400">
        <v>46032.0</v>
      </c>
      <c r="D6513" s="524">
        <v>8539.0</v>
      </c>
      <c r="E6513" s="544" t="s">
        <v>856</v>
      </c>
      <c r="F6513" s="387">
        <v>1.0</v>
      </c>
      <c r="G6513" s="140">
        <v>670000.0</v>
      </c>
      <c r="H6513" s="74"/>
      <c r="I6513" s="74">
        <f t="shared" si="1"/>
        <v>670000</v>
      </c>
      <c r="J6513" s="74">
        <f>IF(E6513="SERVICE",I6513-(I6513*50%),Vlookup(E6513,DATABASE!C:Q,10,false)*F6513)</f>
        <v>0</v>
      </c>
      <c r="K6513" s="74">
        <f>VLOOKUP(E6513,DATABASE!C:Q,7,false)</f>
        <v>615300</v>
      </c>
      <c r="L6513" s="74">
        <v>581120.0</v>
      </c>
      <c r="M6513" s="74">
        <f t="shared" si="2"/>
        <v>585000</v>
      </c>
      <c r="N6513" s="74">
        <f t="shared" si="3"/>
        <v>85000</v>
      </c>
      <c r="O6513" s="65" t="str">
        <f>VLOOKUP(E6513,DATABASE!C:Q,8,false)</f>
        <v>BIAN</v>
      </c>
      <c r="P6513" s="65">
        <f>VLOOKUP(E6513,DATABASE!C:Q,9,False)</f>
        <v>1</v>
      </c>
      <c r="Q6513" s="93" t="str">
        <f>VLOOKUP(E6513,DATABASE!C:Q,4,false)</f>
        <v>GT</v>
      </c>
      <c r="R6513" s="93" t="str">
        <f>VLOOKUP(E6513,DATABASE!C:Q,11,false)</f>
        <v>Tire</v>
      </c>
    </row>
    <row r="6514" ht="22.5" customHeight="1">
      <c r="A6514" s="49"/>
      <c r="C6514" s="400">
        <v>46032.0</v>
      </c>
      <c r="D6514" s="69">
        <v>8541.0</v>
      </c>
      <c r="E6514" s="544" t="s">
        <v>1196</v>
      </c>
      <c r="F6514" s="387">
        <v>1.0</v>
      </c>
      <c r="G6514" s="140">
        <v>1050000.0</v>
      </c>
      <c r="H6514" s="74"/>
      <c r="I6514" s="74">
        <f t="shared" si="1"/>
        <v>1050000</v>
      </c>
      <c r="J6514" s="74">
        <f>IF(E6514="SERVICE",I6514-(I6514*50%),Vlookup(E6514,DATABASE!C:Q,10,false)*F6514)</f>
        <v>0</v>
      </c>
      <c r="K6514" s="74">
        <f>VLOOKUP(E6514,DATABASE!C:Q,7,false)</f>
        <v>943430.5</v>
      </c>
      <c r="L6514" s="74">
        <v>945000.0</v>
      </c>
      <c r="M6514" s="74">
        <f t="shared" si="2"/>
        <v>945000</v>
      </c>
      <c r="N6514" s="74">
        <f t="shared" si="3"/>
        <v>105000</v>
      </c>
      <c r="O6514" s="65" t="str">
        <f>VLOOKUP(E6514,DATABASE!C:Q,8,false)</f>
        <v>IBU</v>
      </c>
      <c r="P6514" s="65">
        <f>VLOOKUP(E6514,DATABASE!C:Q,9,False)</f>
        <v>1</v>
      </c>
      <c r="Q6514" s="93" t="str">
        <f>VLOOKUP(E6514,DATABASE!C:Q,4,false)</f>
        <v>Bridgestone</v>
      </c>
      <c r="R6514" s="93" t="str">
        <f>VLOOKUP(E6514,DATABASE!C:Q,11,false)</f>
        <v>Tire</v>
      </c>
    </row>
    <row r="6515" ht="22.5" customHeight="1">
      <c r="A6515" s="49"/>
      <c r="C6515" s="400">
        <v>46032.0</v>
      </c>
      <c r="D6515" s="524">
        <v>8542.0</v>
      </c>
      <c r="E6515" s="544" t="s">
        <v>268</v>
      </c>
      <c r="F6515" s="387">
        <v>1.0</v>
      </c>
      <c r="G6515" s="140">
        <v>710000.0</v>
      </c>
      <c r="H6515" s="74"/>
      <c r="I6515" s="74">
        <f t="shared" si="1"/>
        <v>710000</v>
      </c>
      <c r="J6515" s="74">
        <f>IF(E6515="SERVICE",I6515-(I6515*50%),Vlookup(E6515,DATABASE!C:Q,10,false)*F6515)</f>
        <v>0</v>
      </c>
      <c r="K6515" s="74">
        <f>VLOOKUP(E6515,DATABASE!C:Q,7,false)</f>
        <v>653000</v>
      </c>
      <c r="L6515" s="74">
        <v>622000.0</v>
      </c>
      <c r="M6515" s="74">
        <f t="shared" si="2"/>
        <v>625000</v>
      </c>
      <c r="N6515" s="74">
        <f t="shared" si="3"/>
        <v>85000</v>
      </c>
      <c r="O6515" s="65" t="str">
        <f>VLOOKUP(E6515,DATABASE!C:Q,8,false)</f>
        <v>IBU</v>
      </c>
      <c r="P6515" s="65">
        <f>VLOOKUP(E6515,DATABASE!C:Q,9,False)</f>
        <v>1</v>
      </c>
      <c r="Q6515" s="93" t="str">
        <f>VLOOKUP(E6515,DATABASE!C:Q,4,false)</f>
        <v>Dunlop</v>
      </c>
      <c r="R6515" s="93" t="str">
        <f>VLOOKUP(E6515,DATABASE!C:Q,11,false)</f>
        <v>Tire</v>
      </c>
    </row>
    <row r="6516" ht="22.5" customHeight="1">
      <c r="A6516" s="49"/>
      <c r="C6516" s="400">
        <v>46032.0</v>
      </c>
      <c r="D6516" s="524">
        <v>8543.0</v>
      </c>
      <c r="E6516" s="544" t="s">
        <v>2155</v>
      </c>
      <c r="F6516" s="387">
        <v>1.0</v>
      </c>
      <c r="G6516" s="140">
        <v>650000.0</v>
      </c>
      <c r="H6516" s="140">
        <v>10000.0</v>
      </c>
      <c r="I6516" s="74">
        <f t="shared" si="1"/>
        <v>640000</v>
      </c>
      <c r="J6516" s="74">
        <f>IF(E6516="SERVICE",I6516-(I6516*50%),Vlookup(E6516,DATABASE!C:Q,10,false)*F6516)</f>
        <v>0</v>
      </c>
      <c r="K6516" s="74">
        <f>VLOOKUP(E6516,DATABASE!C:Q,7,false)</f>
        <v>555000</v>
      </c>
      <c r="L6516" s="74">
        <v>555000.0</v>
      </c>
      <c r="M6516" s="74">
        <f t="shared" si="2"/>
        <v>555000</v>
      </c>
      <c r="N6516" s="74">
        <f t="shared" si="3"/>
        <v>85000</v>
      </c>
      <c r="O6516" s="65" t="str">
        <f>VLOOKUP(E6516,DATABASE!C:Q,8,false)</f>
        <v>BIAN</v>
      </c>
      <c r="P6516" s="65">
        <f>VLOOKUP(E6516,DATABASE!C:Q,9,False)</f>
        <v>1</v>
      </c>
      <c r="Q6516" s="93" t="str">
        <f>VLOOKUP(E6516,DATABASE!C:Q,4,false)</f>
        <v>SAILUN</v>
      </c>
      <c r="R6516" s="93" t="str">
        <f>VLOOKUP(E6516,DATABASE!C:Q,11,false)</f>
        <v>Tire</v>
      </c>
    </row>
    <row r="6517" ht="22.5" customHeight="1">
      <c r="A6517" s="49"/>
      <c r="C6517" s="400">
        <v>46032.0</v>
      </c>
      <c r="D6517" s="524">
        <v>8544.0</v>
      </c>
      <c r="E6517" s="544" t="s">
        <v>275</v>
      </c>
      <c r="F6517" s="387">
        <v>2.0</v>
      </c>
      <c r="G6517" s="140">
        <v>830000.0</v>
      </c>
      <c r="H6517" s="74"/>
      <c r="I6517" s="74">
        <f t="shared" si="1"/>
        <v>1660000</v>
      </c>
      <c r="J6517" s="74">
        <f>IF(E6517="SERVICE",I6517-(I6517*50%),Vlookup(E6517,DATABASE!C:Q,10,false)*F6517)</f>
        <v>0</v>
      </c>
      <c r="K6517" s="74">
        <f>VLOOKUP(E6517,DATABASE!C:Q,7,false)</f>
        <v>782000</v>
      </c>
      <c r="L6517" s="74">
        <v>745000.0</v>
      </c>
      <c r="M6517" s="74">
        <f t="shared" si="2"/>
        <v>745000</v>
      </c>
      <c r="N6517" s="74">
        <f t="shared" si="3"/>
        <v>170000</v>
      </c>
      <c r="O6517" s="65" t="str">
        <f>VLOOKUP(E6517,DATABASE!C:Q,8,false)</f>
        <v>IBU</v>
      </c>
      <c r="P6517" s="65">
        <f>VLOOKUP(E6517,DATABASE!C:Q,9,False)</f>
        <v>1</v>
      </c>
      <c r="Q6517" s="93" t="str">
        <f>VLOOKUP(E6517,DATABASE!C:Q,4,false)</f>
        <v>Dunlop</v>
      </c>
      <c r="R6517" s="93" t="str">
        <f>VLOOKUP(E6517,DATABASE!C:Q,11,false)</f>
        <v>Tire</v>
      </c>
    </row>
    <row r="6518" ht="22.5" customHeight="1">
      <c r="A6518" s="49"/>
      <c r="C6518" s="400">
        <v>46032.0</v>
      </c>
      <c r="D6518" s="524">
        <v>8544.0</v>
      </c>
      <c r="E6518" s="544" t="s">
        <v>256</v>
      </c>
      <c r="F6518" s="387">
        <v>1.0</v>
      </c>
      <c r="G6518" s="140">
        <v>150000.0</v>
      </c>
      <c r="H6518" s="140">
        <v>20000.0</v>
      </c>
      <c r="I6518" s="74">
        <f t="shared" si="1"/>
        <v>130000</v>
      </c>
      <c r="J6518" s="74">
        <f>IF(E6518="SERVICE",I6518-(I6518*50%),Vlookup(E6518,DATABASE!C:Q,10,false)*F6518)</f>
        <v>10000</v>
      </c>
      <c r="K6518" s="74">
        <f>VLOOKUP(E6518,DATABASE!C:Q,7,false)</f>
        <v>0</v>
      </c>
      <c r="L6518" s="74">
        <v>0.0</v>
      </c>
      <c r="M6518" s="74">
        <f t="shared" si="2"/>
        <v>0</v>
      </c>
      <c r="N6518" s="74">
        <f t="shared" si="3"/>
        <v>120000</v>
      </c>
      <c r="O6518" s="65" t="str">
        <f>VLOOKUP(E6518,DATABASE!C:Q,8,false)</f>
        <v>IBU</v>
      </c>
      <c r="P6518" s="65">
        <f>VLOOKUP(E6518,DATABASE!C:Q,9,False)</f>
        <v>0</v>
      </c>
      <c r="Q6518" s="93" t="str">
        <f>VLOOKUP(E6518,DATABASE!C:Q,4,false)</f>
        <v>SPOORING</v>
      </c>
      <c r="R6518" s="93" t="str">
        <f>VLOOKUP(E6518,DATABASE!C:Q,11,false)</f>
        <v>SERVICE</v>
      </c>
    </row>
    <row r="6519" ht="22.5" customHeight="1">
      <c r="A6519" s="49"/>
      <c r="C6519" s="400">
        <v>46032.0</v>
      </c>
      <c r="D6519" s="524">
        <v>8545.0</v>
      </c>
      <c r="E6519" s="544" t="s">
        <v>1133</v>
      </c>
      <c r="F6519" s="387">
        <v>1.0</v>
      </c>
      <c r="G6519" s="140">
        <v>855000.0</v>
      </c>
      <c r="H6519" s="140">
        <v>35000.0</v>
      </c>
      <c r="I6519" s="74">
        <f t="shared" si="1"/>
        <v>820000</v>
      </c>
      <c r="J6519" s="74">
        <f>IF(E6519="SERVICE",I6519-(I6519*50%),Vlookup(E6519,DATABASE!C:Q,10,false)*F6519)</f>
        <v>0</v>
      </c>
      <c r="K6519" s="74">
        <f>VLOOKUP(E6519,DATABASE!C:Q,7,false)</f>
        <v>759539.2</v>
      </c>
      <c r="L6519" s="74">
        <v>719199.0</v>
      </c>
      <c r="M6519" s="74">
        <f t="shared" si="2"/>
        <v>720000</v>
      </c>
      <c r="N6519" s="74">
        <f t="shared" si="3"/>
        <v>100000</v>
      </c>
      <c r="O6519" s="65" t="str">
        <f>VLOOKUP(E6519,DATABASE!C:Q,8,false)</f>
        <v>IBU</v>
      </c>
      <c r="P6519" s="65">
        <f>VLOOKUP(E6519,DATABASE!C:Q,9,False)</f>
        <v>1</v>
      </c>
      <c r="Q6519" s="93" t="str">
        <f>VLOOKUP(E6519,DATABASE!C:Q,4,false)</f>
        <v>Bridgestone</v>
      </c>
      <c r="R6519" s="93" t="str">
        <f>VLOOKUP(E6519,DATABASE!C:Q,11,false)</f>
        <v>Tire</v>
      </c>
    </row>
    <row r="6520" ht="22.5" customHeight="1">
      <c r="A6520" s="49"/>
      <c r="C6520" s="400">
        <v>46032.0</v>
      </c>
      <c r="D6520" s="524">
        <v>8546.0</v>
      </c>
      <c r="E6520" s="544" t="s">
        <v>299</v>
      </c>
      <c r="F6520" s="387">
        <v>1.0</v>
      </c>
      <c r="G6520" s="140">
        <v>30000.0</v>
      </c>
      <c r="H6520" s="74"/>
      <c r="I6520" s="74">
        <f t="shared" si="1"/>
        <v>30000</v>
      </c>
      <c r="J6520" s="74">
        <f>IF(E6520="SERVICE",I6520-(I6520*50%),Vlookup(E6520,DATABASE!C:Q,10,false)*F6520)</f>
        <v>0</v>
      </c>
      <c r="K6520" s="74">
        <f>VLOOKUP(E6520,DATABASE!C:Q,7,false)</f>
        <v>10000</v>
      </c>
      <c r="L6520" s="74">
        <v>5000.0</v>
      </c>
      <c r="M6520" s="74">
        <f t="shared" si="2"/>
        <v>5000</v>
      </c>
      <c r="N6520" s="74">
        <f t="shared" si="3"/>
        <v>25000</v>
      </c>
      <c r="O6520" s="65" t="str">
        <f>VLOOKUP(E6520,DATABASE!C:Q,8,false)</f>
        <v>BIAN</v>
      </c>
      <c r="P6520" s="65">
        <f>VLOOKUP(E6520,DATABASE!C:Q,9,False)</f>
        <v>0</v>
      </c>
      <c r="Q6520" s="93" t="str">
        <f>VLOOKUP(E6520,DATABASE!C:Q,4,false)</f>
        <v>Balancing</v>
      </c>
      <c r="R6520" s="93" t="str">
        <f>VLOOKUP(E6520,DATABASE!C:Q,11,false)</f>
        <v>COMPLEMENTARY</v>
      </c>
    </row>
    <row r="6521" ht="22.5" customHeight="1">
      <c r="A6521" s="49"/>
      <c r="C6521" s="400">
        <v>46032.0</v>
      </c>
      <c r="D6521" s="524">
        <v>8547.0</v>
      </c>
      <c r="E6521" s="544" t="s">
        <v>246</v>
      </c>
      <c r="F6521" s="387">
        <v>2.0</v>
      </c>
      <c r="G6521" s="140">
        <v>35000.0</v>
      </c>
      <c r="H6521" s="140">
        <v>5000.0</v>
      </c>
      <c r="I6521" s="74">
        <f t="shared" si="1"/>
        <v>60000</v>
      </c>
      <c r="J6521" s="74">
        <f>IF(E6521="SERVICE",I6521-(I6521*50%),Vlookup(E6521,DATABASE!C:Q,10,false)*F6521)</f>
        <v>0</v>
      </c>
      <c r="K6521" s="74">
        <f>VLOOKUP(E6521,DATABASE!C:Q,7,false)</f>
        <v>0</v>
      </c>
      <c r="L6521" s="74">
        <v>0.0</v>
      </c>
      <c r="M6521" s="74">
        <f t="shared" si="2"/>
        <v>0</v>
      </c>
      <c r="N6521" s="74">
        <f t="shared" si="3"/>
        <v>60000</v>
      </c>
      <c r="O6521" s="65" t="str">
        <f>VLOOKUP(E6521,DATABASE!C:Q,8,false)</f>
        <v>IBU</v>
      </c>
      <c r="P6521" s="65">
        <f>VLOOKUP(E6521,DATABASE!C:Q,9,False)</f>
        <v>0</v>
      </c>
      <c r="Q6521" s="93" t="str">
        <f>VLOOKUP(E6521,DATABASE!C:Q,4,false)</f>
        <v>Bongkar Pasang</v>
      </c>
      <c r="R6521" s="93" t="str">
        <f>VLOOKUP(E6521,DATABASE!C:Q,11,false)</f>
        <v>SERVICE</v>
      </c>
    </row>
    <row r="6522" ht="22.5" customHeight="1">
      <c r="A6522" s="49"/>
      <c r="C6522" s="400">
        <v>46032.0</v>
      </c>
      <c r="D6522" s="524">
        <v>8547.0</v>
      </c>
      <c r="E6522" s="544" t="s">
        <v>2139</v>
      </c>
      <c r="F6522" s="387">
        <v>1.0</v>
      </c>
      <c r="G6522" s="140">
        <v>10000.0</v>
      </c>
      <c r="H6522" s="74"/>
      <c r="I6522" s="74">
        <f t="shared" si="1"/>
        <v>10000</v>
      </c>
      <c r="J6522" s="74">
        <f>IF(E6522="SERVICE",I6522-(I6522*50%),Vlookup(E6522,DATABASE!C:Q,10,false)*F6522)</f>
        <v>0</v>
      </c>
      <c r="K6522" s="74">
        <f>VLOOKUP(E6522,DATABASE!C:Q,7,false)</f>
        <v>0</v>
      </c>
      <c r="L6522" s="74">
        <v>0.0</v>
      </c>
      <c r="M6522" s="74">
        <f t="shared" si="2"/>
        <v>0</v>
      </c>
      <c r="N6522" s="74">
        <f t="shared" si="3"/>
        <v>10000</v>
      </c>
      <c r="O6522" s="65" t="str">
        <f>VLOOKUP(E6522,DATABASE!C:Q,8,false)</f>
        <v>IBU</v>
      </c>
      <c r="P6522" s="65">
        <f>VLOOKUP(E6522,DATABASE!C:Q,9,False)</f>
        <v>0</v>
      </c>
      <c r="Q6522" s="93" t="str">
        <f>VLOOKUP(E6522,DATABASE!C:Q,4,false)</f>
        <v>PENTIL</v>
      </c>
      <c r="R6522" s="93" t="str">
        <f>VLOOKUP(E6522,DATABASE!C:Q,11,false)</f>
        <v>COMPLEMENTARY</v>
      </c>
    </row>
    <row r="6523" ht="22.5" customHeight="1">
      <c r="A6523" s="49"/>
      <c r="C6523" s="400">
        <v>46032.0</v>
      </c>
      <c r="D6523" s="524">
        <v>8548.0</v>
      </c>
      <c r="E6523" s="544" t="s">
        <v>265</v>
      </c>
      <c r="F6523" s="387">
        <v>1.0</v>
      </c>
      <c r="G6523" s="140">
        <v>685000.0</v>
      </c>
      <c r="H6523" s="74"/>
      <c r="I6523" s="74">
        <f t="shared" si="1"/>
        <v>685000</v>
      </c>
      <c r="J6523" s="74">
        <f>IF(E6523="SERVICE",I6523-(I6523*50%),Vlookup(E6523,DATABASE!C:Q,10,false)*F6523)</f>
        <v>0</v>
      </c>
      <c r="K6523" s="74">
        <f>VLOOKUP(E6523,DATABASE!C:Q,7,false)</f>
        <v>628000</v>
      </c>
      <c r="L6523" s="74">
        <v>600000.0</v>
      </c>
      <c r="M6523" s="74">
        <f t="shared" si="2"/>
        <v>600000</v>
      </c>
      <c r="N6523" s="74">
        <f t="shared" si="3"/>
        <v>85000</v>
      </c>
      <c r="O6523" s="65" t="str">
        <f>VLOOKUP(E6523,DATABASE!C:Q,8,false)</f>
        <v>IBU</v>
      </c>
      <c r="P6523" s="65">
        <f>VLOOKUP(E6523,DATABASE!C:Q,9,False)</f>
        <v>1</v>
      </c>
      <c r="Q6523" s="93" t="str">
        <f>VLOOKUP(E6523,DATABASE!C:Q,4,false)</f>
        <v>Dunlop</v>
      </c>
      <c r="R6523" s="93" t="str">
        <f>VLOOKUP(E6523,DATABASE!C:Q,11,false)</f>
        <v>Tire</v>
      </c>
    </row>
    <row r="6524" ht="22.5" customHeight="1">
      <c r="A6524" s="49"/>
      <c r="C6524" s="400">
        <v>46032.0</v>
      </c>
      <c r="D6524" s="524">
        <v>8549.0</v>
      </c>
      <c r="E6524" s="544" t="s">
        <v>1439</v>
      </c>
      <c r="F6524" s="387">
        <v>2.0</v>
      </c>
      <c r="G6524" s="140">
        <v>640000.0</v>
      </c>
      <c r="H6524" s="140">
        <v>10000.0</v>
      </c>
      <c r="I6524" s="74">
        <f t="shared" si="1"/>
        <v>1260000</v>
      </c>
      <c r="J6524" s="74">
        <f>IF(E6524="SERVICE",I6524-(I6524*50%),Vlookup(E6524,DATABASE!C:Q,10,false)*F6524)</f>
        <v>0</v>
      </c>
      <c r="K6524" s="74">
        <f>VLOOKUP(E6524,DATABASE!C:Q,7,false)</f>
        <v>556800</v>
      </c>
      <c r="L6524" s="74">
        <v>540800.0</v>
      </c>
      <c r="M6524" s="74">
        <f t="shared" si="2"/>
        <v>545000</v>
      </c>
      <c r="N6524" s="74">
        <f t="shared" si="3"/>
        <v>170000</v>
      </c>
      <c r="O6524" s="65" t="str">
        <f>VLOOKUP(E6524,DATABASE!C:Q,8,false)</f>
        <v>BIAN</v>
      </c>
      <c r="P6524" s="65">
        <f>VLOOKUP(E6524,DATABASE!C:Q,9,False)</f>
        <v>1</v>
      </c>
      <c r="Q6524" s="93" t="str">
        <f>VLOOKUP(E6524,DATABASE!C:Q,4,false)</f>
        <v>GT</v>
      </c>
      <c r="R6524" s="93" t="str">
        <f>VLOOKUP(E6524,DATABASE!C:Q,11,false)</f>
        <v>Tire</v>
      </c>
    </row>
    <row r="6525" ht="22.5" customHeight="1">
      <c r="A6525" s="49"/>
      <c r="C6525" s="400">
        <v>46032.0</v>
      </c>
      <c r="D6525" s="524">
        <v>8550.0</v>
      </c>
      <c r="E6525" s="544" t="s">
        <v>268</v>
      </c>
      <c r="F6525" s="387">
        <v>1.0</v>
      </c>
      <c r="G6525" s="140">
        <v>710000.0</v>
      </c>
      <c r="H6525" s="74"/>
      <c r="I6525" s="74">
        <f t="shared" si="1"/>
        <v>710000</v>
      </c>
      <c r="J6525" s="74">
        <f>IF(E6525="SERVICE",I6525-(I6525*50%),Vlookup(E6525,DATABASE!C:Q,10,false)*F6525)</f>
        <v>0</v>
      </c>
      <c r="K6525" s="74">
        <f>VLOOKUP(E6525,DATABASE!C:Q,7,false)</f>
        <v>653000</v>
      </c>
      <c r="L6525" s="74">
        <v>622000.0</v>
      </c>
      <c r="M6525" s="74">
        <f t="shared" si="2"/>
        <v>625000</v>
      </c>
      <c r="N6525" s="74">
        <f t="shared" si="3"/>
        <v>85000</v>
      </c>
      <c r="O6525" s="65" t="str">
        <f>VLOOKUP(E6525,DATABASE!C:Q,8,false)</f>
        <v>IBU</v>
      </c>
      <c r="P6525" s="65">
        <f>VLOOKUP(E6525,DATABASE!C:Q,9,False)</f>
        <v>1</v>
      </c>
      <c r="Q6525" s="93" t="str">
        <f>VLOOKUP(E6525,DATABASE!C:Q,4,false)</f>
        <v>Dunlop</v>
      </c>
      <c r="R6525" s="93" t="str">
        <f>VLOOKUP(E6525,DATABASE!C:Q,11,false)</f>
        <v>Tire</v>
      </c>
    </row>
    <row r="6526" ht="22.5" customHeight="1">
      <c r="A6526" s="49"/>
      <c r="C6526" s="400">
        <v>46032.0</v>
      </c>
      <c r="D6526" s="524">
        <v>8551.0</v>
      </c>
      <c r="E6526" s="544" t="s">
        <v>256</v>
      </c>
      <c r="F6526" s="387">
        <v>1.0</v>
      </c>
      <c r="G6526" s="140">
        <v>150000.0</v>
      </c>
      <c r="H6526" s="140">
        <v>20000.0</v>
      </c>
      <c r="I6526" s="74">
        <f t="shared" si="1"/>
        <v>130000</v>
      </c>
      <c r="J6526" s="74">
        <f>IF(E6526="SERVICE",I6526-(I6526*50%),Vlookup(E6526,DATABASE!C:Q,10,false)*F6526)</f>
        <v>10000</v>
      </c>
      <c r="K6526" s="74">
        <f>VLOOKUP(E6526,DATABASE!C:Q,7,false)</f>
        <v>0</v>
      </c>
      <c r="L6526" s="74">
        <v>0.0</v>
      </c>
      <c r="M6526" s="74">
        <f t="shared" si="2"/>
        <v>0</v>
      </c>
      <c r="N6526" s="74">
        <f t="shared" si="3"/>
        <v>120000</v>
      </c>
      <c r="O6526" s="65" t="str">
        <f>VLOOKUP(E6526,DATABASE!C:Q,8,false)</f>
        <v>IBU</v>
      </c>
      <c r="P6526" s="65">
        <f>VLOOKUP(E6526,DATABASE!C:Q,9,False)</f>
        <v>0</v>
      </c>
      <c r="Q6526" s="93" t="str">
        <f>VLOOKUP(E6526,DATABASE!C:Q,4,false)</f>
        <v>SPOORING</v>
      </c>
      <c r="R6526" s="93" t="str">
        <f>VLOOKUP(E6526,DATABASE!C:Q,11,false)</f>
        <v>SERVICE</v>
      </c>
    </row>
    <row r="6527" ht="22.5" customHeight="1">
      <c r="A6527" s="49"/>
      <c r="C6527" s="400">
        <v>46032.0</v>
      </c>
      <c r="D6527" s="524">
        <v>8551.0</v>
      </c>
      <c r="E6527" s="544" t="s">
        <v>301</v>
      </c>
      <c r="F6527" s="387">
        <v>1.0</v>
      </c>
      <c r="G6527" s="140">
        <v>250000.0</v>
      </c>
      <c r="H6527" s="74"/>
      <c r="I6527" s="74">
        <f t="shared" si="1"/>
        <v>250000</v>
      </c>
      <c r="J6527" s="74">
        <f>IF(E6527="SERVICE",I6527-(I6527*50%),Vlookup(E6527,DATABASE!C:Q,10,false)*F6527)</f>
        <v>75000</v>
      </c>
      <c r="K6527" s="74">
        <f>VLOOKUP(E6527,DATABASE!C:Q,7,false)</f>
        <v>75000</v>
      </c>
      <c r="L6527" s="74">
        <v>75000.0</v>
      </c>
      <c r="M6527" s="74">
        <f t="shared" si="2"/>
        <v>75000</v>
      </c>
      <c r="N6527" s="74">
        <f t="shared" si="3"/>
        <v>100000</v>
      </c>
      <c r="O6527" s="65" t="str">
        <f>VLOOKUP(E6527,DATABASE!C:Q,8,false)</f>
        <v>BIAN</v>
      </c>
      <c r="P6527" s="65">
        <f>VLOOKUP(E6527,DATABASE!C:Q,9,False)</f>
        <v>0</v>
      </c>
      <c r="Q6527" s="93" t="str">
        <f>VLOOKUP(E6527,DATABASE!C:Q,4,false)</f>
        <v>Baut Camber</v>
      </c>
      <c r="R6527" s="93" t="str">
        <f>VLOOKUP(E6527,DATABASE!C:Q,11,false)</f>
        <v>COMPLEMENTARY</v>
      </c>
    </row>
    <row r="6528" ht="22.5" customHeight="1">
      <c r="A6528" s="49"/>
      <c r="C6528" s="400">
        <v>46032.0</v>
      </c>
      <c r="D6528" s="524">
        <v>8551.0</v>
      </c>
      <c r="E6528" s="544" t="s">
        <v>299</v>
      </c>
      <c r="F6528" s="387">
        <v>2.0</v>
      </c>
      <c r="G6528" s="140">
        <v>30000.0</v>
      </c>
      <c r="H6528" s="74"/>
      <c r="I6528" s="74">
        <f t="shared" si="1"/>
        <v>60000</v>
      </c>
      <c r="J6528" s="74">
        <f>IF(E6528="SERVICE",I6528-(I6528*50%),Vlookup(E6528,DATABASE!C:Q,10,false)*F6528)</f>
        <v>0</v>
      </c>
      <c r="K6528" s="74">
        <f>VLOOKUP(E6528,DATABASE!C:Q,7,false)</f>
        <v>10000</v>
      </c>
      <c r="L6528" s="74">
        <v>5000.0</v>
      </c>
      <c r="M6528" s="74">
        <f t="shared" si="2"/>
        <v>5000</v>
      </c>
      <c r="N6528" s="74">
        <f t="shared" si="3"/>
        <v>50000</v>
      </c>
      <c r="O6528" s="65" t="str">
        <f>VLOOKUP(E6528,DATABASE!C:Q,8,false)</f>
        <v>BIAN</v>
      </c>
      <c r="P6528" s="65">
        <f>VLOOKUP(E6528,DATABASE!C:Q,9,False)</f>
        <v>0</v>
      </c>
      <c r="Q6528" s="93" t="str">
        <f>VLOOKUP(E6528,DATABASE!C:Q,4,false)</f>
        <v>Balancing</v>
      </c>
      <c r="R6528" s="93" t="str">
        <f>VLOOKUP(E6528,DATABASE!C:Q,11,false)</f>
        <v>COMPLEMENTARY</v>
      </c>
    </row>
    <row r="6529" ht="22.5" customHeight="1">
      <c r="A6529" s="49"/>
      <c r="C6529" s="400">
        <v>46032.0</v>
      </c>
      <c r="D6529" s="524">
        <v>8552.0</v>
      </c>
      <c r="E6529" s="544" t="s">
        <v>744</v>
      </c>
      <c r="F6529" s="387">
        <v>1.0</v>
      </c>
      <c r="G6529" s="140">
        <v>230000.0</v>
      </c>
      <c r="H6529" s="74"/>
      <c r="I6529" s="74">
        <f t="shared" si="1"/>
        <v>230000</v>
      </c>
      <c r="J6529" s="74">
        <f>IF(E6529="SERVICE",I6529-(I6529*50%),Vlookup(E6529,DATABASE!C:Q,10,false)*F6529)</f>
        <v>0</v>
      </c>
      <c r="K6529" s="74">
        <f>VLOOKUP(E6529,DATABASE!C:Q,7,false)</f>
        <v>182200</v>
      </c>
      <c r="L6529" s="74">
        <v>199920.0</v>
      </c>
      <c r="M6529" s="74">
        <f t="shared" si="2"/>
        <v>200000</v>
      </c>
      <c r="N6529" s="74">
        <f t="shared" si="3"/>
        <v>30000</v>
      </c>
      <c r="O6529" s="65" t="str">
        <f>VLOOKUP(E6529,DATABASE!C:Q,8,false)</f>
        <v>BIAN</v>
      </c>
      <c r="P6529" s="65">
        <f>VLOOKUP(E6529,DATABASE!C:Q,9,False)</f>
        <v>1</v>
      </c>
      <c r="Q6529" s="93" t="str">
        <f>VLOOKUP(E6529,DATABASE!C:Q,4,false)</f>
        <v>BD</v>
      </c>
      <c r="R6529" s="93" t="str">
        <f>VLOOKUP(E6529,DATABASE!C:Q,11,false)</f>
        <v>Tire</v>
      </c>
    </row>
    <row r="6530" ht="22.5" customHeight="1">
      <c r="A6530" s="49"/>
      <c r="C6530" s="400">
        <v>46032.0</v>
      </c>
      <c r="D6530" s="524">
        <v>8552.0</v>
      </c>
      <c r="E6530" s="544" t="s">
        <v>821</v>
      </c>
      <c r="F6530" s="387">
        <v>1.0</v>
      </c>
      <c r="G6530" s="140">
        <v>85000.0</v>
      </c>
      <c r="H6530" s="74"/>
      <c r="I6530" s="74">
        <f t="shared" si="1"/>
        <v>85000</v>
      </c>
      <c r="J6530" s="74">
        <f>IF(E6530="SERVICE",I6530-(I6530*50%),Vlookup(E6530,DATABASE!C:Q,10,false)*F6530)</f>
        <v>0</v>
      </c>
      <c r="K6530" s="74">
        <f>VLOOKUP(E6530,DATABASE!C:Q,7,false)</f>
        <v>43500</v>
      </c>
      <c r="L6530" s="74">
        <v>43520.0</v>
      </c>
      <c r="M6530" s="74">
        <f t="shared" si="2"/>
        <v>45000</v>
      </c>
      <c r="N6530" s="74">
        <f t="shared" si="3"/>
        <v>40000</v>
      </c>
      <c r="O6530" s="65" t="str">
        <f>VLOOKUP(E6530,DATABASE!C:Q,8,false)</f>
        <v>BIAN</v>
      </c>
      <c r="P6530" s="65">
        <f>VLOOKUP(E6530,DATABASE!C:Q,9,False)</f>
        <v>1</v>
      </c>
      <c r="Q6530" s="93" t="str">
        <f>VLOOKUP(E6530,DATABASE!C:Q,4,false)</f>
        <v>Flap</v>
      </c>
      <c r="R6530" s="93" t="str">
        <f>VLOOKUP(E6530,DATABASE!C:Q,11,false)</f>
        <v>Tire</v>
      </c>
    </row>
    <row r="6531" ht="22.5" customHeight="1">
      <c r="A6531" s="49"/>
      <c r="C6531" s="400">
        <v>46032.0</v>
      </c>
      <c r="D6531" s="524">
        <v>8553.0</v>
      </c>
      <c r="E6531" s="544" t="s">
        <v>256</v>
      </c>
      <c r="F6531" s="387">
        <v>1.0</v>
      </c>
      <c r="G6531" s="140">
        <v>150000.0</v>
      </c>
      <c r="H6531" s="140">
        <v>20000.0</v>
      </c>
      <c r="I6531" s="74">
        <f t="shared" si="1"/>
        <v>130000</v>
      </c>
      <c r="J6531" s="74">
        <f>IF(E6531="SERVICE",I6531-(I6531*50%),Vlookup(E6531,DATABASE!C:Q,10,false)*F6531)</f>
        <v>10000</v>
      </c>
      <c r="K6531" s="74">
        <f>VLOOKUP(E6531,DATABASE!C:Q,7,false)</f>
        <v>0</v>
      </c>
      <c r="L6531" s="74">
        <v>0.0</v>
      </c>
      <c r="M6531" s="74">
        <f t="shared" si="2"/>
        <v>0</v>
      </c>
      <c r="N6531" s="74">
        <f t="shared" si="3"/>
        <v>120000</v>
      </c>
      <c r="O6531" s="65" t="str">
        <f>VLOOKUP(E6531,DATABASE!C:Q,8,false)</f>
        <v>IBU</v>
      </c>
      <c r="P6531" s="65">
        <f>VLOOKUP(E6531,DATABASE!C:Q,9,False)</f>
        <v>0</v>
      </c>
      <c r="Q6531" s="93" t="str">
        <f>VLOOKUP(E6531,DATABASE!C:Q,4,false)</f>
        <v>SPOORING</v>
      </c>
      <c r="R6531" s="93" t="str">
        <f>VLOOKUP(E6531,DATABASE!C:Q,11,false)</f>
        <v>SERVICE</v>
      </c>
      <c r="Y6531" s="13" t="s">
        <v>2680</v>
      </c>
    </row>
    <row r="6532" ht="22.5" customHeight="1">
      <c r="A6532" s="49"/>
      <c r="C6532" s="400">
        <v>46032.0</v>
      </c>
      <c r="D6532" s="524">
        <v>8554.0</v>
      </c>
      <c r="E6532" s="544" t="s">
        <v>955</v>
      </c>
      <c r="F6532" s="387">
        <v>1.0</v>
      </c>
      <c r="G6532" s="140">
        <v>770000.0</v>
      </c>
      <c r="H6532" s="74"/>
      <c r="I6532" s="74">
        <f t="shared" si="1"/>
        <v>770000</v>
      </c>
      <c r="J6532" s="74">
        <f>IF(E6532="SERVICE",I6532-(I6532*50%),Vlookup(E6532,DATABASE!C:Q,10,false)*F6532)</f>
        <v>0</v>
      </c>
      <c r="K6532" s="74">
        <f>VLOOKUP(E6532,DATABASE!C:Q,7,false)</f>
        <v>712000</v>
      </c>
      <c r="L6532" s="74">
        <v>674000.0</v>
      </c>
      <c r="M6532" s="74">
        <f t="shared" si="2"/>
        <v>675000</v>
      </c>
      <c r="N6532" s="74">
        <f t="shared" si="3"/>
        <v>95000</v>
      </c>
      <c r="O6532" s="65" t="str">
        <f>VLOOKUP(E6532,DATABASE!C:Q,8,false)</f>
        <v>IBU</v>
      </c>
      <c r="P6532" s="65">
        <f>VLOOKUP(E6532,DATABASE!C:Q,9,False)</f>
        <v>1</v>
      </c>
      <c r="Q6532" s="93" t="str">
        <f>VLOOKUP(E6532,DATABASE!C:Q,4,false)</f>
        <v>Dunlop</v>
      </c>
      <c r="R6532" s="93" t="str">
        <f>VLOOKUP(E6532,DATABASE!C:Q,11,false)</f>
        <v>Tire</v>
      </c>
    </row>
    <row r="6533" ht="22.5" customHeight="1">
      <c r="A6533" s="49"/>
      <c r="C6533" s="400">
        <v>46033.0</v>
      </c>
      <c r="D6533" s="524">
        <v>8555.0</v>
      </c>
      <c r="E6533" s="544" t="s">
        <v>1372</v>
      </c>
      <c r="F6533" s="387">
        <v>1.0</v>
      </c>
      <c r="G6533" s="140">
        <v>1130000.0</v>
      </c>
      <c r="H6533" s="74"/>
      <c r="I6533" s="74">
        <f t="shared" si="1"/>
        <v>1130000</v>
      </c>
      <c r="J6533" s="74">
        <f>IF(E6533="SERVICE",I6533-(I6533*50%),Vlookup(E6533,DATABASE!C:Q,10,false)*F6533)</f>
        <v>0</v>
      </c>
      <c r="K6533" s="74">
        <f>VLOOKUP(E6533,DATABASE!C:Q,7,false)</f>
        <v>1040000</v>
      </c>
      <c r="L6533" s="74">
        <v>1029000.0</v>
      </c>
      <c r="M6533" s="74">
        <f t="shared" si="2"/>
        <v>1030000</v>
      </c>
      <c r="N6533" s="74">
        <f t="shared" si="3"/>
        <v>100000</v>
      </c>
      <c r="O6533" s="65" t="str">
        <f>VLOOKUP(E6533,DATABASE!C:Q,8,false)</f>
        <v>IBU</v>
      </c>
      <c r="P6533" s="65">
        <f>VLOOKUP(E6533,DATABASE!C:Q,9,False)</f>
        <v>1</v>
      </c>
      <c r="Q6533" s="93" t="str">
        <f>VLOOKUP(E6533,DATABASE!C:Q,4,false)</f>
        <v>Dunlop</v>
      </c>
      <c r="R6533" s="93" t="str">
        <f>VLOOKUP(E6533,DATABASE!C:Q,11,false)</f>
        <v>Tire</v>
      </c>
    </row>
    <row r="6534" ht="22.5" customHeight="1">
      <c r="A6534" s="49"/>
      <c r="C6534" s="400">
        <v>46033.0</v>
      </c>
      <c r="D6534" s="524">
        <v>8556.0</v>
      </c>
      <c r="E6534" s="544" t="s">
        <v>622</v>
      </c>
      <c r="F6534" s="387">
        <v>2.0</v>
      </c>
      <c r="G6534" s="140">
        <v>915000.0</v>
      </c>
      <c r="H6534" s="140">
        <v>5000.0</v>
      </c>
      <c r="I6534" s="74">
        <f t="shared" si="1"/>
        <v>1820000</v>
      </c>
      <c r="J6534" s="74">
        <f>IF(E6534="SERVICE",I6534-(I6534*50%),Vlookup(E6534,DATABASE!C:Q,10,false)*F6534)</f>
        <v>0</v>
      </c>
      <c r="K6534" s="74">
        <f>VLOOKUP(E6534,DATABASE!C:Q,7,false)</f>
        <v>851110.375</v>
      </c>
      <c r="L6534" s="74">
        <v>805872.0</v>
      </c>
      <c r="M6534" s="74">
        <f t="shared" si="2"/>
        <v>810000</v>
      </c>
      <c r="N6534" s="74">
        <f t="shared" si="3"/>
        <v>200000</v>
      </c>
      <c r="O6534" s="65" t="str">
        <f>VLOOKUP(E6534,DATABASE!C:Q,8,false)</f>
        <v>IBU</v>
      </c>
      <c r="P6534" s="65">
        <f>VLOOKUP(E6534,DATABASE!C:Q,9,False)</f>
        <v>1</v>
      </c>
      <c r="Q6534" s="93" t="str">
        <f>VLOOKUP(E6534,DATABASE!C:Q,4,false)</f>
        <v>Bridgestone</v>
      </c>
      <c r="R6534" s="93" t="str">
        <f>VLOOKUP(E6534,DATABASE!C:Q,11,false)</f>
        <v>Tire</v>
      </c>
    </row>
    <row r="6535" ht="22.5" customHeight="1">
      <c r="A6535" s="49"/>
      <c r="C6535" s="400">
        <v>46033.0</v>
      </c>
      <c r="D6535" s="524">
        <v>8557.0</v>
      </c>
      <c r="E6535" s="544" t="s">
        <v>1913</v>
      </c>
      <c r="F6535" s="387">
        <v>2.0</v>
      </c>
      <c r="G6535" s="140">
        <v>670000.0</v>
      </c>
      <c r="H6535" s="74"/>
      <c r="I6535" s="74">
        <f t="shared" si="1"/>
        <v>1340000</v>
      </c>
      <c r="J6535" s="74">
        <f>IF(E6535="SERVICE",I6535-(I6535*50%),Vlookup(E6535,DATABASE!C:Q,10,false)*F6535)</f>
        <v>0</v>
      </c>
      <c r="K6535" s="74">
        <f>VLOOKUP(E6535,DATABASE!C:Q,7,false)</f>
        <v>587200</v>
      </c>
      <c r="L6535" s="74">
        <v>570200.0</v>
      </c>
      <c r="M6535" s="74">
        <f t="shared" si="2"/>
        <v>575000</v>
      </c>
      <c r="N6535" s="74">
        <f t="shared" si="3"/>
        <v>190000</v>
      </c>
      <c r="O6535" s="65" t="str">
        <f>VLOOKUP(E6535,DATABASE!C:Q,8,false)</f>
        <v>BIAN</v>
      </c>
      <c r="P6535" s="65">
        <f>VLOOKUP(E6535,DATABASE!C:Q,9,False)</f>
        <v>1</v>
      </c>
      <c r="Q6535" s="93" t="str">
        <f>VLOOKUP(E6535,DATABASE!C:Q,4,false)</f>
        <v>GT</v>
      </c>
      <c r="R6535" s="93" t="str">
        <f>VLOOKUP(E6535,DATABASE!C:Q,11,false)</f>
        <v>Tire</v>
      </c>
    </row>
    <row r="6536" ht="22.5" customHeight="1">
      <c r="A6536" s="49"/>
      <c r="C6536" s="400">
        <v>46033.0</v>
      </c>
      <c r="D6536" s="524">
        <v>8558.0</v>
      </c>
      <c r="E6536" s="544" t="s">
        <v>286</v>
      </c>
      <c r="F6536" s="387">
        <v>2.0</v>
      </c>
      <c r="G6536" s="140">
        <v>560000.0</v>
      </c>
      <c r="H6536" s="74"/>
      <c r="I6536" s="74">
        <f t="shared" si="1"/>
        <v>1120000</v>
      </c>
      <c r="J6536" s="74">
        <f>IF(E6536="SERVICE",I6536-(I6536*50%),Vlookup(E6536,DATABASE!C:Q,10,false)*F6536)</f>
        <v>0</v>
      </c>
      <c r="K6536" s="74">
        <f>VLOOKUP(E6536,DATABASE!C:Q,7,false)</f>
        <v>488320</v>
      </c>
      <c r="L6536" s="74">
        <v>452970.0</v>
      </c>
      <c r="M6536" s="74">
        <f t="shared" si="2"/>
        <v>455000</v>
      </c>
      <c r="N6536" s="74">
        <f t="shared" si="3"/>
        <v>210000</v>
      </c>
      <c r="O6536" s="65" t="str">
        <f>VLOOKUP(E6536,DATABASE!C:Q,8,false)</f>
        <v>BIAN</v>
      </c>
      <c r="P6536" s="65">
        <f>VLOOKUP(E6536,DATABASE!C:Q,9,False)</f>
        <v>1</v>
      </c>
      <c r="Q6536" s="93" t="str">
        <f>VLOOKUP(E6536,DATABASE!C:Q,4,false)</f>
        <v>GT</v>
      </c>
      <c r="R6536" s="93" t="str">
        <f>VLOOKUP(E6536,DATABASE!C:Q,11,false)</f>
        <v>Tire</v>
      </c>
    </row>
    <row r="6537" ht="22.5" customHeight="1">
      <c r="A6537" s="49"/>
      <c r="C6537" s="400">
        <v>46033.0</v>
      </c>
      <c r="D6537" s="524">
        <v>8561.0</v>
      </c>
      <c r="E6537" s="544" t="s">
        <v>695</v>
      </c>
      <c r="F6537" s="387">
        <v>1.0</v>
      </c>
      <c r="G6537" s="140">
        <v>670000.0</v>
      </c>
      <c r="H6537" s="140">
        <v>10000.0</v>
      </c>
      <c r="I6537" s="74">
        <f t="shared" si="1"/>
        <v>660000</v>
      </c>
      <c r="J6537" s="74">
        <f>IF(E6537="SERVICE",I6537-(I6537*50%),Vlookup(E6537,DATABASE!C:Q,10,false)*F6537)</f>
        <v>0</v>
      </c>
      <c r="K6537" s="74">
        <f>VLOOKUP(E6537,DATABASE!C:Q,7,false)</f>
        <v>582000</v>
      </c>
      <c r="L6537" s="74">
        <v>570000.0</v>
      </c>
      <c r="M6537" s="74">
        <f t="shared" si="2"/>
        <v>570000</v>
      </c>
      <c r="N6537" s="74">
        <f t="shared" si="3"/>
        <v>90000</v>
      </c>
      <c r="O6537" s="65" t="str">
        <f>VLOOKUP(E6537,DATABASE!C:Q,8,false)</f>
        <v>IBU</v>
      </c>
      <c r="P6537" s="65">
        <f>VLOOKUP(E6537,DATABASE!C:Q,9,False)</f>
        <v>1</v>
      </c>
      <c r="Q6537" s="93" t="str">
        <f>VLOOKUP(E6537,DATABASE!C:Q,4,false)</f>
        <v>Dunlop</v>
      </c>
      <c r="R6537" s="93" t="str">
        <f>VLOOKUP(E6537,DATABASE!C:Q,11,false)</f>
        <v>Tire</v>
      </c>
    </row>
    <row r="6538" ht="22.5" customHeight="1">
      <c r="A6538" s="49"/>
      <c r="C6538" s="400">
        <v>46033.0</v>
      </c>
      <c r="D6538" s="524">
        <v>8562.0</v>
      </c>
      <c r="E6538" s="544" t="s">
        <v>265</v>
      </c>
      <c r="F6538" s="387">
        <v>1.0</v>
      </c>
      <c r="G6538" s="140">
        <v>685000.0</v>
      </c>
      <c r="H6538" s="74"/>
      <c r="I6538" s="74">
        <f t="shared" si="1"/>
        <v>685000</v>
      </c>
      <c r="J6538" s="74">
        <f>IF(E6538="SERVICE",I6538-(I6538*50%),Vlookup(E6538,DATABASE!C:Q,10,false)*F6538)</f>
        <v>0</v>
      </c>
      <c r="K6538" s="74">
        <f>VLOOKUP(E6538,DATABASE!C:Q,7,false)</f>
        <v>628000</v>
      </c>
      <c r="L6538" s="74">
        <v>600000.0</v>
      </c>
      <c r="M6538" s="74">
        <f t="shared" si="2"/>
        <v>600000</v>
      </c>
      <c r="N6538" s="74">
        <f t="shared" si="3"/>
        <v>85000</v>
      </c>
      <c r="O6538" s="65" t="str">
        <f>VLOOKUP(E6538,DATABASE!C:Q,8,false)</f>
        <v>IBU</v>
      </c>
      <c r="P6538" s="65">
        <f>VLOOKUP(E6538,DATABASE!C:Q,9,False)</f>
        <v>1</v>
      </c>
      <c r="Q6538" s="93" t="str">
        <f>VLOOKUP(E6538,DATABASE!C:Q,4,false)</f>
        <v>Dunlop</v>
      </c>
      <c r="R6538" s="93" t="str">
        <f>VLOOKUP(E6538,DATABASE!C:Q,11,false)</f>
        <v>Tire</v>
      </c>
    </row>
    <row r="6539" ht="22.5" customHeight="1">
      <c r="A6539" s="49"/>
      <c r="C6539" s="400">
        <v>46033.0</v>
      </c>
      <c r="D6539" s="524">
        <v>8563.0</v>
      </c>
      <c r="E6539" s="544" t="s">
        <v>613</v>
      </c>
      <c r="F6539" s="387">
        <v>1.0</v>
      </c>
      <c r="G6539" s="140">
        <v>95000.0</v>
      </c>
      <c r="H6539" s="74"/>
      <c r="I6539" s="74">
        <f t="shared" si="1"/>
        <v>95000</v>
      </c>
      <c r="J6539" s="74">
        <f>IF(E6539="SERVICE",I6539-(I6539*50%),Vlookup(E6539,DATABASE!C:Q,10,false)*F6539)</f>
        <v>0</v>
      </c>
      <c r="K6539" s="74">
        <f>VLOOKUP(E6539,DATABASE!C:Q,7,false)</f>
        <v>58371.2695</v>
      </c>
      <c r="L6539" s="74">
        <v>55000.0</v>
      </c>
      <c r="M6539" s="74">
        <f t="shared" si="2"/>
        <v>55000</v>
      </c>
      <c r="N6539" s="74">
        <f t="shared" si="3"/>
        <v>40000</v>
      </c>
      <c r="O6539" s="65" t="str">
        <f>VLOOKUP(E6539,DATABASE!C:Q,8,false)</f>
        <v>BIAN</v>
      </c>
      <c r="P6539" s="65">
        <f>VLOOKUP(E6539,DATABASE!C:Q,9,False)</f>
        <v>1</v>
      </c>
      <c r="Q6539" s="93" t="str">
        <f>VLOOKUP(E6539,DATABASE!C:Q,4,false)</f>
        <v>BD</v>
      </c>
      <c r="R6539" s="93" t="str">
        <f>VLOOKUP(E6539,DATABASE!C:Q,11,false)</f>
        <v>Tire</v>
      </c>
    </row>
    <row r="6540" ht="22.5" customHeight="1">
      <c r="A6540" s="49"/>
      <c r="C6540" s="400">
        <v>46033.0</v>
      </c>
      <c r="D6540" s="524">
        <v>8564.0</v>
      </c>
      <c r="E6540" s="544" t="s">
        <v>256</v>
      </c>
      <c r="F6540" s="387">
        <v>1.0</v>
      </c>
      <c r="G6540" s="140">
        <v>150000.0</v>
      </c>
      <c r="H6540" s="140">
        <v>20000.0</v>
      </c>
      <c r="I6540" s="74">
        <f t="shared" si="1"/>
        <v>130000</v>
      </c>
      <c r="J6540" s="74">
        <f>IF(E6540="SERVICE",I6540-(I6540*50%),Vlookup(E6540,DATABASE!C:Q,10,false)*F6540)</f>
        <v>10000</v>
      </c>
      <c r="K6540" s="74">
        <f>VLOOKUP(E6540,DATABASE!C:Q,7,false)</f>
        <v>0</v>
      </c>
      <c r="L6540" s="74">
        <v>0.0</v>
      </c>
      <c r="M6540" s="74">
        <f t="shared" si="2"/>
        <v>0</v>
      </c>
      <c r="N6540" s="74">
        <f t="shared" si="3"/>
        <v>120000</v>
      </c>
      <c r="O6540" s="65" t="str">
        <f>VLOOKUP(E6540,DATABASE!C:Q,8,false)</f>
        <v>IBU</v>
      </c>
      <c r="P6540" s="65">
        <f>VLOOKUP(E6540,DATABASE!C:Q,9,False)</f>
        <v>0</v>
      </c>
      <c r="Q6540" s="93" t="str">
        <f>VLOOKUP(E6540,DATABASE!C:Q,4,false)</f>
        <v>SPOORING</v>
      </c>
      <c r="R6540" s="93" t="str">
        <f>VLOOKUP(E6540,DATABASE!C:Q,11,false)</f>
        <v>SERVICE</v>
      </c>
    </row>
    <row r="6541" ht="22.5" customHeight="1">
      <c r="A6541" s="49"/>
      <c r="C6541" s="400">
        <v>46033.0</v>
      </c>
      <c r="D6541" s="524">
        <v>8564.0</v>
      </c>
      <c r="E6541" s="544" t="s">
        <v>251</v>
      </c>
      <c r="F6541" s="387">
        <v>1.0</v>
      </c>
      <c r="G6541" s="140">
        <v>350000.0</v>
      </c>
      <c r="H6541" s="140">
        <v>200000.0</v>
      </c>
      <c r="I6541" s="74">
        <f t="shared" si="1"/>
        <v>150000</v>
      </c>
      <c r="J6541" s="74">
        <f>IF(E6541="SERVICE",I6541-(I6541*50%),Vlookup(E6541,DATABASE!C:Q,10,false)*F6541)</f>
        <v>75000</v>
      </c>
      <c r="K6541" s="74">
        <f>VLOOKUP(E6541,DATABASE!C:Q,7,false)</f>
        <v>0</v>
      </c>
      <c r="L6541" s="74">
        <v>0.0</v>
      </c>
      <c r="M6541" s="74">
        <f t="shared" si="2"/>
        <v>0</v>
      </c>
      <c r="N6541" s="74">
        <f t="shared" si="3"/>
        <v>75000</v>
      </c>
      <c r="O6541" s="65" t="str">
        <f>VLOOKUP(E6541,DATABASE!C:Q,8,false)</f>
        <v>IBU</v>
      </c>
      <c r="P6541" s="65">
        <f>VLOOKUP(E6541,DATABASE!C:Q,9,False)</f>
        <v>0</v>
      </c>
      <c r="Q6541" s="93" t="str">
        <f>VLOOKUP(E6541,DATABASE!C:Q,4,false)</f>
        <v>SERVICE</v>
      </c>
      <c r="R6541" s="93" t="str">
        <f>VLOOKUP(E6541,DATABASE!C:Q,11,false)</f>
        <v>SERVICE</v>
      </c>
    </row>
    <row r="6542" ht="22.5" customHeight="1">
      <c r="A6542" s="49"/>
      <c r="C6542" s="400">
        <v>46033.0</v>
      </c>
      <c r="D6542" s="524">
        <v>8565.0</v>
      </c>
      <c r="E6542" s="544" t="s">
        <v>286</v>
      </c>
      <c r="F6542" s="387">
        <v>1.0</v>
      </c>
      <c r="G6542" s="140">
        <v>560000.0</v>
      </c>
      <c r="H6542" s="74"/>
      <c r="I6542" s="74">
        <f t="shared" si="1"/>
        <v>560000</v>
      </c>
      <c r="J6542" s="74">
        <f>IF(E6542="SERVICE",I6542-(I6542*50%),Vlookup(E6542,DATABASE!C:Q,10,false)*F6542)</f>
        <v>0</v>
      </c>
      <c r="K6542" s="74">
        <f>VLOOKUP(E6542,DATABASE!C:Q,7,false)</f>
        <v>488320</v>
      </c>
      <c r="L6542" s="74">
        <v>452970.0</v>
      </c>
      <c r="M6542" s="74">
        <f t="shared" si="2"/>
        <v>455000</v>
      </c>
      <c r="N6542" s="74">
        <f t="shared" si="3"/>
        <v>105000</v>
      </c>
      <c r="O6542" s="65" t="str">
        <f>VLOOKUP(E6542,DATABASE!C:Q,8,false)</f>
        <v>BIAN</v>
      </c>
      <c r="P6542" s="65">
        <f>VLOOKUP(E6542,DATABASE!C:Q,9,False)</f>
        <v>1</v>
      </c>
      <c r="Q6542" s="93" t="str">
        <f>VLOOKUP(E6542,DATABASE!C:Q,4,false)</f>
        <v>GT</v>
      </c>
      <c r="R6542" s="93" t="str">
        <f>VLOOKUP(E6542,DATABASE!C:Q,11,false)</f>
        <v>Tire</v>
      </c>
    </row>
    <row r="6543" ht="22.5" customHeight="1">
      <c r="A6543" s="49"/>
      <c r="C6543" s="400">
        <v>46033.0</v>
      </c>
      <c r="D6543" s="524">
        <v>8566.0</v>
      </c>
      <c r="E6543" s="544" t="s">
        <v>878</v>
      </c>
      <c r="F6543" s="387">
        <v>4.0</v>
      </c>
      <c r="G6543" s="140">
        <v>50000.0</v>
      </c>
      <c r="H6543" s="74"/>
      <c r="I6543" s="74">
        <f t="shared" si="1"/>
        <v>200000</v>
      </c>
      <c r="J6543" s="74">
        <f>IF(E6543="SERVICE",I6543-(I6543*50%),Vlookup(E6543,DATABASE!C:Q,10,false)*F6543)</f>
        <v>0</v>
      </c>
      <c r="K6543" s="74">
        <f>VLOOKUP(E6543,DATABASE!C:Q,7,false)</f>
        <v>0</v>
      </c>
      <c r="L6543" s="74">
        <v>0.0</v>
      </c>
      <c r="M6543" s="74">
        <f t="shared" si="2"/>
        <v>0</v>
      </c>
      <c r="N6543" s="74">
        <f t="shared" si="3"/>
        <v>200000</v>
      </c>
      <c r="O6543" s="65" t="str">
        <f>VLOOKUP(E6543,DATABASE!C:Q,8,false)</f>
        <v>IBU</v>
      </c>
      <c r="P6543" s="65">
        <f>VLOOKUP(E6543,DATABASE!C:Q,9,False)</f>
        <v>0</v>
      </c>
      <c r="Q6543" s="93" t="str">
        <f>VLOOKUP(E6543,DATABASE!C:Q,4,false)</f>
        <v>Bongkar Pasang 17</v>
      </c>
      <c r="R6543" s="93" t="str">
        <f>VLOOKUP(E6543,DATABASE!C:Q,11,false)</f>
        <v>SERVICE</v>
      </c>
    </row>
    <row r="6544" ht="22.5" customHeight="1">
      <c r="A6544" s="49"/>
      <c r="C6544" s="400">
        <v>46034.0</v>
      </c>
      <c r="D6544" s="524">
        <v>8568.0</v>
      </c>
      <c r="E6544" s="544" t="s">
        <v>265</v>
      </c>
      <c r="F6544" s="387">
        <v>2.0</v>
      </c>
      <c r="G6544" s="140">
        <v>685000.0</v>
      </c>
      <c r="H6544" s="74"/>
      <c r="I6544" s="74">
        <f t="shared" si="1"/>
        <v>1370000</v>
      </c>
      <c r="J6544" s="74">
        <f>IF(E6544="SERVICE",I6544-(I6544*50%),Vlookup(E6544,DATABASE!C:Q,10,false)*F6544)</f>
        <v>0</v>
      </c>
      <c r="K6544" s="74">
        <f>VLOOKUP(E6544,DATABASE!C:Q,7,false)</f>
        <v>628000</v>
      </c>
      <c r="L6544" s="74">
        <v>600000.0</v>
      </c>
      <c r="M6544" s="74">
        <f t="shared" si="2"/>
        <v>600000</v>
      </c>
      <c r="N6544" s="74">
        <f t="shared" si="3"/>
        <v>170000</v>
      </c>
      <c r="O6544" s="65" t="str">
        <f>VLOOKUP(E6544,DATABASE!C:Q,8,false)</f>
        <v>IBU</v>
      </c>
      <c r="P6544" s="65">
        <f>VLOOKUP(E6544,DATABASE!C:Q,9,False)</f>
        <v>1</v>
      </c>
      <c r="Q6544" s="93" t="str">
        <f>VLOOKUP(E6544,DATABASE!C:Q,4,false)</f>
        <v>Dunlop</v>
      </c>
      <c r="R6544" s="93" t="str">
        <f>VLOOKUP(E6544,DATABASE!C:Q,11,false)</f>
        <v>Tire</v>
      </c>
    </row>
    <row r="6545" ht="22.5" customHeight="1">
      <c r="A6545" s="49"/>
      <c r="C6545" s="400">
        <v>46034.0</v>
      </c>
      <c r="D6545" s="524">
        <v>8569.0</v>
      </c>
      <c r="E6545" s="544" t="s">
        <v>1429</v>
      </c>
      <c r="F6545" s="387">
        <v>1.0</v>
      </c>
      <c r="G6545" s="140">
        <v>940000.0</v>
      </c>
      <c r="H6545" s="74"/>
      <c r="I6545" s="74">
        <f t="shared" si="1"/>
        <v>940000</v>
      </c>
      <c r="J6545" s="74">
        <f>IF(E6545="SERVICE",I6545-(I6545*50%),Vlookup(E6545,DATABASE!C:Q,10,false)*F6545)</f>
        <v>0</v>
      </c>
      <c r="K6545" s="74">
        <f>VLOOKUP(E6545,DATABASE!C:Q,7,false)</f>
        <v>849000</v>
      </c>
      <c r="L6545" s="74">
        <v>840000.0</v>
      </c>
      <c r="M6545" s="74">
        <f t="shared" si="2"/>
        <v>840000</v>
      </c>
      <c r="N6545" s="74">
        <f t="shared" si="3"/>
        <v>100000</v>
      </c>
      <c r="O6545" s="65" t="str">
        <f>VLOOKUP(E6545,DATABASE!C:Q,8,false)</f>
        <v>IBU</v>
      </c>
      <c r="P6545" s="65">
        <f>VLOOKUP(E6545,DATABASE!C:Q,9,False)</f>
        <v>1</v>
      </c>
      <c r="Q6545" s="93" t="str">
        <f>VLOOKUP(E6545,DATABASE!C:Q,4,false)</f>
        <v>Dunlop</v>
      </c>
      <c r="R6545" s="93" t="str">
        <f>VLOOKUP(E6545,DATABASE!C:Q,11,false)</f>
        <v>Tire</v>
      </c>
    </row>
    <row r="6546" ht="22.5" customHeight="1">
      <c r="A6546" s="49"/>
      <c r="C6546" s="400">
        <v>46034.0</v>
      </c>
      <c r="D6546" s="524">
        <v>8570.0</v>
      </c>
      <c r="E6546" s="544" t="s">
        <v>2605</v>
      </c>
      <c r="F6546" s="387">
        <v>1.0</v>
      </c>
      <c r="G6546" s="140">
        <v>720000.0</v>
      </c>
      <c r="H6546" s="74"/>
      <c r="I6546" s="74">
        <f t="shared" si="1"/>
        <v>720000</v>
      </c>
      <c r="J6546" s="74">
        <f>IF(E6546="SERVICE",I6546-(I6546*50%),Vlookup(E6546,DATABASE!C:Q,10,false)*F6546)</f>
        <v>0</v>
      </c>
      <c r="K6546" s="74">
        <f>VLOOKUP(E6546,DATABASE!C:Q,7,false)</f>
        <v>650000</v>
      </c>
      <c r="L6546" s="74">
        <v>620000.0</v>
      </c>
      <c r="M6546" s="74">
        <f t="shared" si="2"/>
        <v>620000</v>
      </c>
      <c r="N6546" s="74">
        <f t="shared" si="3"/>
        <v>100000</v>
      </c>
      <c r="O6546" s="65" t="str">
        <f>VLOOKUP(E6546,DATABASE!C:Q,8,false)</f>
        <v>BIAN</v>
      </c>
      <c r="P6546" s="65">
        <f>VLOOKUP(E6546,DATABASE!C:Q,9,False)</f>
        <v>1</v>
      </c>
      <c r="Q6546" s="93" t="str">
        <f>VLOOKUP(E6546,DATABASE!C:Q,4,false)</f>
        <v>Velg</v>
      </c>
      <c r="R6546" s="93" t="str">
        <f>VLOOKUP(E6546,DATABASE!C:Q,11,false)</f>
        <v>Tire</v>
      </c>
    </row>
    <row r="6547" ht="22.5" customHeight="1">
      <c r="A6547" s="49"/>
      <c r="C6547" s="400">
        <v>46034.0</v>
      </c>
      <c r="D6547" s="524">
        <v>8572.0</v>
      </c>
      <c r="E6547" s="544" t="s">
        <v>932</v>
      </c>
      <c r="F6547" s="387">
        <v>1.0</v>
      </c>
      <c r="G6547" s="140">
        <v>680000.0</v>
      </c>
      <c r="H6547" s="140">
        <v>5000.0</v>
      </c>
      <c r="I6547" s="74">
        <f t="shared" si="1"/>
        <v>675000</v>
      </c>
      <c r="J6547" s="74">
        <f>IF(E6547="SERVICE",I6547-(I6547*50%),Vlookup(E6547,DATABASE!C:Q,10,false)*F6547)</f>
        <v>0</v>
      </c>
      <c r="K6547" s="74">
        <f>VLOOKUP(E6547,DATABASE!C:Q,7,false)</f>
        <v>601000</v>
      </c>
      <c r="L6547" s="74">
        <v>595000.0</v>
      </c>
      <c r="M6547" s="74">
        <f t="shared" si="2"/>
        <v>595000</v>
      </c>
      <c r="N6547" s="74">
        <f t="shared" si="3"/>
        <v>80000</v>
      </c>
      <c r="O6547" s="65" t="str">
        <f>VLOOKUP(E6547,DATABASE!C:Q,8,false)</f>
        <v>IBU</v>
      </c>
      <c r="P6547" s="65">
        <f>VLOOKUP(E6547,DATABASE!C:Q,9,False)</f>
        <v>1</v>
      </c>
      <c r="Q6547" s="93" t="str">
        <f>VLOOKUP(E6547,DATABASE!C:Q,4,false)</f>
        <v>Dunlop</v>
      </c>
      <c r="R6547" s="93" t="str">
        <f>VLOOKUP(E6547,DATABASE!C:Q,11,false)</f>
        <v>Tire</v>
      </c>
    </row>
    <row r="6548" ht="22.5" customHeight="1">
      <c r="A6548" s="49"/>
      <c r="C6548" s="400">
        <v>46034.0</v>
      </c>
      <c r="D6548" s="524">
        <v>8573.0</v>
      </c>
      <c r="E6548" s="544" t="s">
        <v>268</v>
      </c>
      <c r="F6548" s="387">
        <v>4.0</v>
      </c>
      <c r="G6548" s="140">
        <v>710000.0</v>
      </c>
      <c r="H6548" s="74"/>
      <c r="I6548" s="74">
        <f t="shared" si="1"/>
        <v>2840000</v>
      </c>
      <c r="J6548" s="74">
        <f>IF(E6548="SERVICE",I6548-(I6548*50%),Vlookup(E6548,DATABASE!C:Q,10,false)*F6548)</f>
        <v>0</v>
      </c>
      <c r="K6548" s="74">
        <f>VLOOKUP(E6548,DATABASE!C:Q,7,false)</f>
        <v>653000</v>
      </c>
      <c r="L6548" s="74">
        <v>622000.0</v>
      </c>
      <c r="M6548" s="74">
        <f t="shared" si="2"/>
        <v>625000</v>
      </c>
      <c r="N6548" s="74">
        <f t="shared" si="3"/>
        <v>340000</v>
      </c>
      <c r="O6548" s="65" t="str">
        <f>VLOOKUP(E6548,DATABASE!C:Q,8,false)</f>
        <v>IBU</v>
      </c>
      <c r="P6548" s="65">
        <f>VLOOKUP(E6548,DATABASE!C:Q,9,False)</f>
        <v>1</v>
      </c>
      <c r="Q6548" s="93" t="str">
        <f>VLOOKUP(E6548,DATABASE!C:Q,4,false)</f>
        <v>Dunlop</v>
      </c>
      <c r="R6548" s="93" t="str">
        <f>VLOOKUP(E6548,DATABASE!C:Q,11,false)</f>
        <v>Tire</v>
      </c>
    </row>
    <row r="6549" ht="22.5" customHeight="1">
      <c r="A6549" s="49"/>
      <c r="C6549" s="400">
        <v>46034.0</v>
      </c>
      <c r="D6549" s="524">
        <v>8574.0</v>
      </c>
      <c r="E6549" s="544" t="s">
        <v>256</v>
      </c>
      <c r="F6549" s="387">
        <v>1.0</v>
      </c>
      <c r="G6549" s="140">
        <v>150000.0</v>
      </c>
      <c r="H6549" s="140">
        <v>85000.0</v>
      </c>
      <c r="I6549" s="74">
        <f t="shared" si="1"/>
        <v>65000</v>
      </c>
      <c r="J6549" s="74">
        <f>IF(E6549="SERVICE",I6549-(I6549*50%),Vlookup(E6549,DATABASE!C:Q,10,false)*F6549)</f>
        <v>10000</v>
      </c>
      <c r="K6549" s="74">
        <f>VLOOKUP(E6549,DATABASE!C:Q,7,false)</f>
        <v>0</v>
      </c>
      <c r="L6549" s="74">
        <v>0.0</v>
      </c>
      <c r="M6549" s="74">
        <f t="shared" si="2"/>
        <v>0</v>
      </c>
      <c r="N6549" s="74">
        <f t="shared" si="3"/>
        <v>55000</v>
      </c>
      <c r="O6549" s="65" t="str">
        <f>VLOOKUP(E6549,DATABASE!C:Q,8,false)</f>
        <v>IBU</v>
      </c>
      <c r="P6549" s="65">
        <f>VLOOKUP(E6549,DATABASE!C:Q,9,False)</f>
        <v>0</v>
      </c>
      <c r="Q6549" s="93" t="str">
        <f>VLOOKUP(E6549,DATABASE!C:Q,4,false)</f>
        <v>SPOORING</v>
      </c>
      <c r="R6549" s="93" t="str">
        <f>VLOOKUP(E6549,DATABASE!C:Q,11,false)</f>
        <v>SERVICE</v>
      </c>
    </row>
    <row r="6550" ht="22.5" customHeight="1">
      <c r="A6550" s="49"/>
      <c r="C6550" s="400">
        <v>46034.0</v>
      </c>
      <c r="D6550" s="524">
        <v>8574.0</v>
      </c>
      <c r="E6550" s="544" t="s">
        <v>251</v>
      </c>
      <c r="F6550" s="387">
        <v>1.0</v>
      </c>
      <c r="G6550" s="140">
        <v>350000.0</v>
      </c>
      <c r="H6550" s="140">
        <v>270000.0</v>
      </c>
      <c r="I6550" s="74">
        <f t="shared" si="1"/>
        <v>80000</v>
      </c>
      <c r="J6550" s="74">
        <f>IF(E6550="SERVICE",I6550-(I6550*50%),Vlookup(E6550,DATABASE!C:Q,10,false)*F6550)</f>
        <v>40000</v>
      </c>
      <c r="K6550" s="74">
        <f>VLOOKUP(E6550,DATABASE!C:Q,7,false)</f>
        <v>0</v>
      </c>
      <c r="L6550" s="74">
        <v>0.0</v>
      </c>
      <c r="M6550" s="74">
        <f t="shared" si="2"/>
        <v>0</v>
      </c>
      <c r="N6550" s="74">
        <f t="shared" si="3"/>
        <v>40000</v>
      </c>
      <c r="O6550" s="65" t="str">
        <f>VLOOKUP(E6550,DATABASE!C:Q,8,false)</f>
        <v>IBU</v>
      </c>
      <c r="P6550" s="65">
        <f>VLOOKUP(E6550,DATABASE!C:Q,9,False)</f>
        <v>0</v>
      </c>
      <c r="Q6550" s="93" t="str">
        <f>VLOOKUP(E6550,DATABASE!C:Q,4,false)</f>
        <v>SERVICE</v>
      </c>
      <c r="R6550" s="93" t="str">
        <f>VLOOKUP(E6550,DATABASE!C:Q,11,false)</f>
        <v>SERVICE</v>
      </c>
    </row>
    <row r="6551" ht="22.5" customHeight="1">
      <c r="A6551" s="49"/>
      <c r="C6551" s="400">
        <v>46034.0</v>
      </c>
      <c r="D6551" s="524">
        <v>8575.0</v>
      </c>
      <c r="E6551" s="544" t="s">
        <v>261</v>
      </c>
      <c r="F6551" s="387">
        <v>1.0</v>
      </c>
      <c r="G6551" s="140">
        <v>515000.0</v>
      </c>
      <c r="H6551" s="140">
        <v>15000.0</v>
      </c>
      <c r="I6551" s="74">
        <f t="shared" si="1"/>
        <v>500000</v>
      </c>
      <c r="J6551" s="74">
        <f>IF(E6551="SERVICE",I6551-(I6551*50%),Vlookup(E6551,DATABASE!C:Q,10,false)*F6551)</f>
        <v>0</v>
      </c>
      <c r="K6551" s="74">
        <f>VLOOKUP(E6551,DATABASE!C:Q,7,false)</f>
        <v>415000</v>
      </c>
      <c r="L6551" s="74">
        <v>415000.0</v>
      </c>
      <c r="M6551" s="74">
        <f t="shared" si="2"/>
        <v>415000</v>
      </c>
      <c r="N6551" s="74">
        <f t="shared" si="3"/>
        <v>85000</v>
      </c>
      <c r="O6551" s="65" t="str">
        <f>VLOOKUP(E6551,DATABASE!C:Q,8,false)</f>
        <v>IBU</v>
      </c>
      <c r="P6551" s="65">
        <f>VLOOKUP(E6551,DATABASE!C:Q,9,False)</f>
        <v>1</v>
      </c>
      <c r="Q6551" s="93" t="str">
        <f>VLOOKUP(E6551,DATABASE!C:Q,4,false)</f>
        <v>Dunlop</v>
      </c>
      <c r="R6551" s="93" t="str">
        <f>VLOOKUP(E6551,DATABASE!C:Q,11,false)</f>
        <v>Tire</v>
      </c>
    </row>
    <row r="6552" ht="22.5" customHeight="1">
      <c r="A6552" s="49"/>
      <c r="C6552" s="400">
        <v>46034.0</v>
      </c>
      <c r="D6552" s="524">
        <v>8576.0</v>
      </c>
      <c r="E6552" s="544" t="s">
        <v>1427</v>
      </c>
      <c r="F6552" s="387">
        <v>1.0</v>
      </c>
      <c r="G6552" s="140">
        <v>789000.0</v>
      </c>
      <c r="H6552" s="140">
        <v>9000.0</v>
      </c>
      <c r="I6552" s="74">
        <f t="shared" si="1"/>
        <v>780000</v>
      </c>
      <c r="J6552" s="74">
        <f>IF(E6552="SERVICE",I6552-(I6552*50%),Vlookup(E6552,DATABASE!C:Q,10,false)*F6552)</f>
        <v>0</v>
      </c>
      <c r="K6552" s="74">
        <f>VLOOKUP(E6552,DATABASE!C:Q,7,false)</f>
        <v>696500</v>
      </c>
      <c r="L6552" s="74">
        <v>689000.0</v>
      </c>
      <c r="M6552" s="74">
        <f t="shared" si="2"/>
        <v>690000</v>
      </c>
      <c r="N6552" s="74">
        <f t="shared" si="3"/>
        <v>90000</v>
      </c>
      <c r="O6552" s="65" t="str">
        <f>VLOOKUP(E6552,DATABASE!C:Q,8,false)</f>
        <v>IBU</v>
      </c>
      <c r="P6552" s="65">
        <f>VLOOKUP(E6552,DATABASE!C:Q,9,False)</f>
        <v>1</v>
      </c>
      <c r="Q6552" s="93" t="str">
        <f>VLOOKUP(E6552,DATABASE!C:Q,4,false)</f>
        <v>Dunlop</v>
      </c>
      <c r="R6552" s="93" t="str">
        <f>VLOOKUP(E6552,DATABASE!C:Q,11,false)</f>
        <v>Tire</v>
      </c>
    </row>
    <row r="6553" ht="22.5" customHeight="1">
      <c r="A6553" s="49"/>
      <c r="C6553" s="400">
        <v>46034.0</v>
      </c>
      <c r="D6553" s="524">
        <v>8577.0</v>
      </c>
      <c r="E6553" s="544" t="s">
        <v>268</v>
      </c>
      <c r="F6553" s="387">
        <v>2.0</v>
      </c>
      <c r="G6553" s="140">
        <v>710000.0</v>
      </c>
      <c r="H6553" s="74"/>
      <c r="I6553" s="74">
        <f t="shared" si="1"/>
        <v>1420000</v>
      </c>
      <c r="J6553" s="74">
        <f>IF(E6553="SERVICE",I6553-(I6553*50%),Vlookup(E6553,DATABASE!C:Q,10,false)*F6553)</f>
        <v>0</v>
      </c>
      <c r="K6553" s="74">
        <f>VLOOKUP(E6553,DATABASE!C:Q,7,false)</f>
        <v>653000</v>
      </c>
      <c r="L6553" s="74">
        <v>622000.0</v>
      </c>
      <c r="M6553" s="74">
        <f t="shared" si="2"/>
        <v>625000</v>
      </c>
      <c r="N6553" s="74">
        <f t="shared" si="3"/>
        <v>170000</v>
      </c>
      <c r="O6553" s="65" t="str">
        <f>VLOOKUP(E6553,DATABASE!C:Q,8,false)</f>
        <v>IBU</v>
      </c>
      <c r="P6553" s="65">
        <f>VLOOKUP(E6553,DATABASE!C:Q,9,False)</f>
        <v>1</v>
      </c>
      <c r="Q6553" s="93" t="str">
        <f>VLOOKUP(E6553,DATABASE!C:Q,4,false)</f>
        <v>Dunlop</v>
      </c>
      <c r="R6553" s="93" t="str">
        <f>VLOOKUP(E6553,DATABASE!C:Q,11,false)</f>
        <v>Tire</v>
      </c>
    </row>
    <row r="6554" ht="22.5" customHeight="1">
      <c r="A6554" s="49"/>
      <c r="C6554" s="400">
        <v>46034.0</v>
      </c>
      <c r="D6554" s="524">
        <v>8577.0</v>
      </c>
      <c r="E6554" s="544" t="s">
        <v>275</v>
      </c>
      <c r="F6554" s="387">
        <v>1.0</v>
      </c>
      <c r="G6554" s="140">
        <v>830000.0</v>
      </c>
      <c r="H6554" s="74"/>
      <c r="I6554" s="74">
        <f t="shared" si="1"/>
        <v>830000</v>
      </c>
      <c r="J6554" s="74">
        <f>IF(E6554="SERVICE",I6554-(I6554*50%),Vlookup(E6554,DATABASE!C:Q,10,false)*F6554)</f>
        <v>0</v>
      </c>
      <c r="K6554" s="74">
        <f>VLOOKUP(E6554,DATABASE!C:Q,7,false)</f>
        <v>782000</v>
      </c>
      <c r="L6554" s="74">
        <v>745000.0</v>
      </c>
      <c r="M6554" s="74">
        <f t="shared" si="2"/>
        <v>745000</v>
      </c>
      <c r="N6554" s="74">
        <f t="shared" si="3"/>
        <v>85000</v>
      </c>
      <c r="O6554" s="65" t="str">
        <f>VLOOKUP(E6554,DATABASE!C:Q,8,false)</f>
        <v>IBU</v>
      </c>
      <c r="P6554" s="65">
        <f>VLOOKUP(E6554,DATABASE!C:Q,9,False)</f>
        <v>1</v>
      </c>
      <c r="Q6554" s="93" t="str">
        <f>VLOOKUP(E6554,DATABASE!C:Q,4,false)</f>
        <v>Dunlop</v>
      </c>
      <c r="R6554" s="93" t="str">
        <f>VLOOKUP(E6554,DATABASE!C:Q,11,false)</f>
        <v>Tire</v>
      </c>
    </row>
    <row r="6555" ht="22.5" customHeight="1">
      <c r="A6555" s="49"/>
      <c r="C6555" s="400">
        <v>46034.0</v>
      </c>
      <c r="D6555" s="69" t="s">
        <v>2681</v>
      </c>
      <c r="E6555" s="544" t="s">
        <v>2174</v>
      </c>
      <c r="F6555" s="387">
        <v>1.0</v>
      </c>
      <c r="G6555" s="140">
        <v>215000.0</v>
      </c>
      <c r="H6555" s="74"/>
      <c r="I6555" s="74">
        <f t="shared" si="1"/>
        <v>215000</v>
      </c>
      <c r="J6555" s="74">
        <f>IF(E6555="SERVICE",I6555-(I6555*50%),Vlookup(E6555,DATABASE!C:Q,10,false)*F6555)</f>
        <v>0</v>
      </c>
      <c r="K6555" s="74">
        <f>VLOOKUP(E6555,DATABASE!C:Q,7,false)</f>
        <v>225314</v>
      </c>
      <c r="L6555" s="74">
        <v>179445.0</v>
      </c>
      <c r="M6555" s="74">
        <f t="shared" si="2"/>
        <v>180000</v>
      </c>
      <c r="N6555" s="74">
        <f t="shared" si="3"/>
        <v>35000</v>
      </c>
      <c r="O6555" s="65" t="str">
        <f>VLOOKUP(E6555,DATABASE!C:Q,8,false)</f>
        <v>NON</v>
      </c>
      <c r="P6555" s="65">
        <f>VLOOKUP(E6555,DATABASE!C:Q,9,False)</f>
        <v>0</v>
      </c>
      <c r="Q6555" s="93" t="str">
        <f>VLOOKUP(E6555,DATABASE!C:Q,4,false)</f>
        <v>Shell</v>
      </c>
      <c r="R6555" s="93" t="str">
        <f>VLOOKUP(E6555,DATABASE!C:Q,11,false)</f>
        <v>OIL</v>
      </c>
    </row>
    <row r="6556" ht="22.5" customHeight="1">
      <c r="A6556" s="49"/>
      <c r="C6556" s="400">
        <v>46034.0</v>
      </c>
      <c r="D6556" s="69" t="s">
        <v>2682</v>
      </c>
      <c r="E6556" s="544" t="s">
        <v>252</v>
      </c>
      <c r="F6556" s="387">
        <v>1.0</v>
      </c>
      <c r="G6556" s="140">
        <v>300000.0</v>
      </c>
      <c r="H6556" s="74"/>
      <c r="I6556" s="74">
        <f t="shared" si="1"/>
        <v>300000</v>
      </c>
      <c r="J6556" s="74">
        <f>IF(E6556="SERVICE",I6556-(I6556*50%),Vlookup(E6556,DATABASE!C:Q,10,false)*F6556)</f>
        <v>0</v>
      </c>
      <c r="K6556" s="74">
        <f>VLOOKUP(E6556,DATABASE!C:Q,7,false)</f>
        <v>317518</v>
      </c>
      <c r="L6556" s="74">
        <v>271778.0</v>
      </c>
      <c r="M6556" s="74">
        <f t="shared" si="2"/>
        <v>275000</v>
      </c>
      <c r="N6556" s="74">
        <f t="shared" si="3"/>
        <v>25000</v>
      </c>
      <c r="O6556" s="65" t="str">
        <f>VLOOKUP(E6556,DATABASE!C:Q,8,false)</f>
        <v>NON</v>
      </c>
      <c r="P6556" s="65">
        <f>VLOOKUP(E6556,DATABASE!C:Q,9,False)</f>
        <v>0</v>
      </c>
      <c r="Q6556" s="93" t="str">
        <f>VLOOKUP(E6556,DATABASE!C:Q,4,false)</f>
        <v>Shell</v>
      </c>
      <c r="R6556" s="93" t="str">
        <f>VLOOKUP(E6556,DATABASE!C:Q,11,false)</f>
        <v>OIL</v>
      </c>
    </row>
    <row r="6557" ht="22.5" customHeight="1">
      <c r="A6557" s="49"/>
      <c r="C6557" s="400">
        <v>46034.0</v>
      </c>
      <c r="D6557" s="69" t="s">
        <v>2682</v>
      </c>
      <c r="E6557" s="544" t="s">
        <v>298</v>
      </c>
      <c r="F6557" s="387">
        <v>1.0</v>
      </c>
      <c r="G6557" s="140">
        <v>25000.0</v>
      </c>
      <c r="H6557" s="74"/>
      <c r="I6557" s="74">
        <f t="shared" si="1"/>
        <v>25000</v>
      </c>
      <c r="J6557" s="74">
        <f>IF(E6557="SERVICE",I6557-(I6557*50%),Vlookup(E6557,DATABASE!C:Q,10,false)*F6557)</f>
        <v>0</v>
      </c>
      <c r="K6557" s="74">
        <f>VLOOKUP(E6557,DATABASE!C:Q,7,false)</f>
        <v>19200</v>
      </c>
      <c r="L6557" s="74">
        <v>19200.0</v>
      </c>
      <c r="M6557" s="74">
        <f t="shared" si="2"/>
        <v>20000</v>
      </c>
      <c r="N6557" s="74">
        <f t="shared" si="3"/>
        <v>5000</v>
      </c>
      <c r="O6557" s="65" t="str">
        <f>VLOOKUP(E6557,DATABASE!C:Q,8,false)</f>
        <v>BIAN</v>
      </c>
      <c r="P6557" s="65">
        <f>VLOOKUP(E6557,DATABASE!C:Q,9,False)</f>
        <v>0</v>
      </c>
      <c r="Q6557" s="93" t="str">
        <f>VLOOKUP(E6557,DATABASE!C:Q,4,false)</f>
        <v>Aspira</v>
      </c>
      <c r="R6557" s="93" t="str">
        <f>VLOOKUP(E6557,DATABASE!C:Q,11,false)</f>
        <v>COMPLEMENTARY</v>
      </c>
    </row>
    <row r="6558" ht="22.5" customHeight="1">
      <c r="A6558" s="49"/>
      <c r="C6558" s="400">
        <v>46034.0</v>
      </c>
      <c r="D6558" s="69" t="s">
        <v>2683</v>
      </c>
      <c r="E6558" s="544" t="s">
        <v>248</v>
      </c>
      <c r="F6558" s="387">
        <v>1.0</v>
      </c>
      <c r="G6558" s="140">
        <v>190000.0</v>
      </c>
      <c r="H6558" s="74"/>
      <c r="I6558" s="74">
        <f t="shared" si="1"/>
        <v>190000</v>
      </c>
      <c r="J6558" s="74">
        <f>IF(E6558="SERVICE",I6558-(I6558*50%),Vlookup(E6558,DATABASE!C:Q,10,false)*F6558)</f>
        <v>0</v>
      </c>
      <c r="K6558" s="74">
        <f>VLOOKUP(E6558,DATABASE!C:Q,7,false)</f>
        <v>209816.66</v>
      </c>
      <c r="L6558" s="74">
        <v>160833.0</v>
      </c>
      <c r="M6558" s="74">
        <f t="shared" si="2"/>
        <v>165000</v>
      </c>
      <c r="N6558" s="74">
        <f t="shared" si="3"/>
        <v>25000</v>
      </c>
      <c r="O6558" s="65" t="str">
        <f>VLOOKUP(E6558,DATABASE!C:Q,8,false)</f>
        <v>NON</v>
      </c>
      <c r="P6558" s="65">
        <f>VLOOKUP(E6558,DATABASE!C:Q,9,False)</f>
        <v>0</v>
      </c>
      <c r="Q6558" s="93" t="str">
        <f>VLOOKUP(E6558,DATABASE!C:Q,4,false)</f>
        <v>Pertamina</v>
      </c>
      <c r="R6558" s="93" t="str">
        <f>VLOOKUP(E6558,DATABASE!C:Q,11,false)</f>
        <v>OIL</v>
      </c>
    </row>
    <row r="6559" ht="22.5" customHeight="1">
      <c r="A6559" s="49"/>
      <c r="C6559" s="400">
        <v>46034.0</v>
      </c>
      <c r="D6559" s="69" t="s">
        <v>2683</v>
      </c>
      <c r="E6559" s="544" t="s">
        <v>2541</v>
      </c>
      <c r="F6559" s="387">
        <v>1.0</v>
      </c>
      <c r="G6559" s="140">
        <v>25000.0</v>
      </c>
      <c r="H6559" s="74"/>
      <c r="I6559" s="74">
        <f t="shared" si="1"/>
        <v>25000</v>
      </c>
      <c r="J6559" s="74">
        <f>IF(E6559="SERVICE",I6559-(I6559*50%),Vlookup(E6559,DATABASE!C:Q,10,false)*F6559)</f>
        <v>0</v>
      </c>
      <c r="K6559" s="74">
        <f>VLOOKUP(E6559,DATABASE!C:Q,7,false)</f>
        <v>21500</v>
      </c>
      <c r="L6559" s="74">
        <v>21500.0</v>
      </c>
      <c r="M6559" s="74">
        <f t="shared" si="2"/>
        <v>25000</v>
      </c>
      <c r="N6559" s="74">
        <f t="shared" si="3"/>
        <v>0</v>
      </c>
      <c r="O6559" s="65" t="str">
        <f>VLOOKUP(E6559,DATABASE!C:Q,8,false)</f>
        <v>BIAN</v>
      </c>
      <c r="P6559" s="65">
        <f>VLOOKUP(E6559,DATABASE!C:Q,9,False)</f>
        <v>0</v>
      </c>
      <c r="Q6559" s="93" t="str">
        <f>VLOOKUP(E6559,DATABASE!C:Q,4,false)</f>
        <v>Sakura</v>
      </c>
      <c r="R6559" s="93" t="str">
        <f>VLOOKUP(E6559,DATABASE!C:Q,11,false)</f>
        <v>COMPLEMENTARY</v>
      </c>
    </row>
    <row r="6560" ht="22.5" customHeight="1">
      <c r="A6560" s="49"/>
      <c r="C6560" s="400">
        <v>46034.0</v>
      </c>
      <c r="D6560" s="69" t="s">
        <v>2684</v>
      </c>
      <c r="E6560" s="544" t="s">
        <v>263</v>
      </c>
      <c r="F6560" s="387">
        <v>1.0</v>
      </c>
      <c r="G6560" s="140">
        <v>320000.0</v>
      </c>
      <c r="H6560" s="74"/>
      <c r="I6560" s="74">
        <f t="shared" si="1"/>
        <v>320000</v>
      </c>
      <c r="J6560" s="74">
        <f>IF(E6560="SERVICE",I6560-(I6560*50%),Vlookup(E6560,DATABASE!C:Q,10,false)*F6560)</f>
        <v>0</v>
      </c>
      <c r="K6560" s="74">
        <f>VLOOKUP(E6560,DATABASE!C:Q,7,false)</f>
        <v>334916</v>
      </c>
      <c r="L6560" s="74">
        <v>287688.0</v>
      </c>
      <c r="M6560" s="74">
        <f t="shared" si="2"/>
        <v>290000</v>
      </c>
      <c r="N6560" s="74">
        <f t="shared" si="3"/>
        <v>30000</v>
      </c>
      <c r="O6560" s="65" t="str">
        <f>VLOOKUP(E6560,DATABASE!C:Q,8,false)</f>
        <v>NON</v>
      </c>
      <c r="P6560" s="65">
        <f>VLOOKUP(E6560,DATABASE!C:Q,9,False)</f>
        <v>0</v>
      </c>
      <c r="Q6560" s="93" t="str">
        <f>VLOOKUP(E6560,DATABASE!C:Q,4,false)</f>
        <v>Shell</v>
      </c>
      <c r="R6560" s="93" t="str">
        <f>VLOOKUP(E6560,DATABASE!C:Q,11,false)</f>
        <v>OIL</v>
      </c>
    </row>
    <row r="6561" ht="22.5" customHeight="1">
      <c r="A6561" s="49"/>
      <c r="C6561" s="400">
        <v>46034.0</v>
      </c>
      <c r="D6561" s="69" t="s">
        <v>2685</v>
      </c>
      <c r="E6561" s="544" t="s">
        <v>252</v>
      </c>
      <c r="F6561" s="387">
        <v>1.0</v>
      </c>
      <c r="G6561" s="140">
        <v>300000.0</v>
      </c>
      <c r="H6561" s="74"/>
      <c r="I6561" s="74">
        <f t="shared" si="1"/>
        <v>300000</v>
      </c>
      <c r="J6561" s="74">
        <f>IF(E6561="SERVICE",I6561-(I6561*50%),Vlookup(E6561,DATABASE!C:Q,10,false)*F6561)</f>
        <v>0</v>
      </c>
      <c r="K6561" s="74">
        <f>VLOOKUP(E6561,DATABASE!C:Q,7,false)</f>
        <v>317518</v>
      </c>
      <c r="L6561" s="74">
        <v>271778.0</v>
      </c>
      <c r="M6561" s="74">
        <f t="shared" si="2"/>
        <v>275000</v>
      </c>
      <c r="N6561" s="74">
        <f t="shared" si="3"/>
        <v>25000</v>
      </c>
      <c r="O6561" s="65" t="str">
        <f>VLOOKUP(E6561,DATABASE!C:Q,8,false)</f>
        <v>NON</v>
      </c>
      <c r="P6561" s="65">
        <f>VLOOKUP(E6561,DATABASE!C:Q,9,False)</f>
        <v>0</v>
      </c>
      <c r="Q6561" s="93" t="str">
        <f>VLOOKUP(E6561,DATABASE!C:Q,4,false)</f>
        <v>Shell</v>
      </c>
      <c r="R6561" s="93" t="str">
        <f>VLOOKUP(E6561,DATABASE!C:Q,11,false)</f>
        <v>OIL</v>
      </c>
    </row>
    <row r="6562" ht="22.5" customHeight="1">
      <c r="A6562" s="49"/>
      <c r="C6562" s="400">
        <v>46035.0</v>
      </c>
      <c r="D6562" s="524">
        <v>8578.0</v>
      </c>
      <c r="E6562" s="544" t="s">
        <v>265</v>
      </c>
      <c r="F6562" s="387">
        <v>2.0</v>
      </c>
      <c r="G6562" s="140">
        <v>685000.0</v>
      </c>
      <c r="H6562" s="140">
        <v>0.0</v>
      </c>
      <c r="I6562" s="74">
        <f t="shared" si="1"/>
        <v>1370000</v>
      </c>
      <c r="J6562" s="74">
        <f>IF(E6562="SERVICE",I6562-(I6562*50%),Vlookup(E6562,DATABASE!C:Q,10,false)*F6562)</f>
        <v>0</v>
      </c>
      <c r="K6562" s="74">
        <f>VLOOKUP(E6562,DATABASE!C:Q,7,false)</f>
        <v>628000</v>
      </c>
      <c r="L6562" s="74">
        <v>600000.0</v>
      </c>
      <c r="M6562" s="74">
        <f t="shared" si="2"/>
        <v>600000</v>
      </c>
      <c r="N6562" s="74">
        <f t="shared" si="3"/>
        <v>170000</v>
      </c>
      <c r="O6562" s="65" t="str">
        <f>VLOOKUP(E6562,DATABASE!C:Q,8,false)</f>
        <v>IBU</v>
      </c>
      <c r="P6562" s="65">
        <f>VLOOKUP(E6562,DATABASE!C:Q,9,False)</f>
        <v>1</v>
      </c>
      <c r="Q6562" s="93" t="str">
        <f>VLOOKUP(E6562,DATABASE!C:Q,4,false)</f>
        <v>Dunlop</v>
      </c>
      <c r="R6562" s="93" t="str">
        <f>VLOOKUP(E6562,DATABASE!C:Q,11,false)</f>
        <v>Tire</v>
      </c>
    </row>
    <row r="6563" ht="22.5" customHeight="1">
      <c r="A6563" s="49"/>
      <c r="C6563" s="400">
        <v>46035.0</v>
      </c>
      <c r="D6563" s="524">
        <v>8579.0</v>
      </c>
      <c r="E6563" s="544" t="s">
        <v>622</v>
      </c>
      <c r="F6563" s="387">
        <v>2.0</v>
      </c>
      <c r="G6563" s="140">
        <v>915000.0</v>
      </c>
      <c r="H6563" s="140">
        <v>5000.0</v>
      </c>
      <c r="I6563" s="74">
        <f t="shared" si="1"/>
        <v>1820000</v>
      </c>
      <c r="J6563" s="74">
        <f>IF(E6563="SERVICE",I6563-(I6563*50%),Vlookup(E6563,DATABASE!C:Q,10,false)*F6563)</f>
        <v>0</v>
      </c>
      <c r="K6563" s="74">
        <f>VLOOKUP(E6563,DATABASE!C:Q,7,false)</f>
        <v>851110.375</v>
      </c>
      <c r="L6563" s="74">
        <v>805872.0</v>
      </c>
      <c r="M6563" s="74">
        <f t="shared" si="2"/>
        <v>810000</v>
      </c>
      <c r="N6563" s="74">
        <f t="shared" si="3"/>
        <v>200000</v>
      </c>
      <c r="O6563" s="65" t="str">
        <f>VLOOKUP(E6563,DATABASE!C:Q,8,false)</f>
        <v>IBU</v>
      </c>
      <c r="P6563" s="65">
        <f>VLOOKUP(E6563,DATABASE!C:Q,9,False)</f>
        <v>1</v>
      </c>
      <c r="Q6563" s="93" t="str">
        <f>VLOOKUP(E6563,DATABASE!C:Q,4,false)</f>
        <v>Bridgestone</v>
      </c>
      <c r="R6563" s="93" t="str">
        <f>VLOOKUP(E6563,DATABASE!C:Q,11,false)</f>
        <v>Tire</v>
      </c>
    </row>
    <row r="6564" ht="22.5" customHeight="1">
      <c r="A6564" s="49"/>
      <c r="C6564" s="400">
        <v>46035.0</v>
      </c>
      <c r="D6564" s="524">
        <v>8580.0</v>
      </c>
      <c r="E6564" s="544" t="s">
        <v>286</v>
      </c>
      <c r="F6564" s="387">
        <v>1.0</v>
      </c>
      <c r="G6564" s="140">
        <v>560000.0</v>
      </c>
      <c r="H6564" s="140">
        <v>10000.0</v>
      </c>
      <c r="I6564" s="74">
        <f t="shared" si="1"/>
        <v>550000</v>
      </c>
      <c r="J6564" s="74">
        <f>IF(E6564="SERVICE",I6564-(I6564*50%),Vlookup(E6564,DATABASE!C:Q,10,false)*F6564)</f>
        <v>0</v>
      </c>
      <c r="K6564" s="74">
        <f>VLOOKUP(E6564,DATABASE!C:Q,7,false)</f>
        <v>488320</v>
      </c>
      <c r="L6564" s="74">
        <v>452970.0</v>
      </c>
      <c r="M6564" s="74">
        <f t="shared" si="2"/>
        <v>455000</v>
      </c>
      <c r="N6564" s="74">
        <f t="shared" si="3"/>
        <v>95000</v>
      </c>
      <c r="O6564" s="65" t="str">
        <f>VLOOKUP(E6564,DATABASE!C:Q,8,false)</f>
        <v>BIAN</v>
      </c>
      <c r="P6564" s="65">
        <f>VLOOKUP(E6564,DATABASE!C:Q,9,False)</f>
        <v>1</v>
      </c>
      <c r="Q6564" s="93" t="str">
        <f>VLOOKUP(E6564,DATABASE!C:Q,4,false)</f>
        <v>GT</v>
      </c>
      <c r="R6564" s="93" t="str">
        <f>VLOOKUP(E6564,DATABASE!C:Q,11,false)</f>
        <v>Tire</v>
      </c>
    </row>
    <row r="6565" ht="22.5" customHeight="1">
      <c r="A6565" s="49"/>
      <c r="C6565" s="400">
        <v>46035.0</v>
      </c>
      <c r="D6565" s="524">
        <v>8581.0</v>
      </c>
      <c r="E6565" s="544" t="s">
        <v>937</v>
      </c>
      <c r="F6565" s="387">
        <v>2.0</v>
      </c>
      <c r="G6565" s="140">
        <v>900000.0</v>
      </c>
      <c r="H6565" s="140">
        <v>20000.0</v>
      </c>
      <c r="I6565" s="74">
        <f t="shared" si="1"/>
        <v>1760000</v>
      </c>
      <c r="J6565" s="74">
        <f>IF(E6565="SERVICE",I6565-(I6565*50%),Vlookup(E6565,DATABASE!C:Q,10,false)*F6565)</f>
        <v>0</v>
      </c>
      <c r="K6565" s="74">
        <f>VLOOKUP(E6565,DATABASE!C:Q,7,false)</f>
        <v>825000</v>
      </c>
      <c r="L6565" s="74">
        <v>790000.0</v>
      </c>
      <c r="M6565" s="74">
        <f t="shared" si="2"/>
        <v>790000</v>
      </c>
      <c r="N6565" s="74">
        <f t="shared" si="3"/>
        <v>180000</v>
      </c>
      <c r="O6565" s="65" t="str">
        <f>VLOOKUP(E6565,DATABASE!C:Q,8,false)</f>
        <v>IBU</v>
      </c>
      <c r="P6565" s="65">
        <f>VLOOKUP(E6565,DATABASE!C:Q,9,False)</f>
        <v>1</v>
      </c>
      <c r="Q6565" s="93" t="str">
        <f>VLOOKUP(E6565,DATABASE!C:Q,4,false)</f>
        <v>Bridgestone</v>
      </c>
      <c r="R6565" s="93" t="str">
        <f>VLOOKUP(E6565,DATABASE!C:Q,11,false)</f>
        <v>Tire</v>
      </c>
    </row>
    <row r="6566" ht="22.5" customHeight="1">
      <c r="A6566" s="49"/>
      <c r="C6566" s="400">
        <v>46035.0</v>
      </c>
      <c r="D6566" s="524">
        <v>8581.0</v>
      </c>
      <c r="E6566" s="544" t="s">
        <v>256</v>
      </c>
      <c r="F6566" s="387">
        <v>1.0</v>
      </c>
      <c r="G6566" s="140">
        <v>150000.0</v>
      </c>
      <c r="H6566" s="140">
        <v>20000.0</v>
      </c>
      <c r="I6566" s="74">
        <f t="shared" si="1"/>
        <v>130000</v>
      </c>
      <c r="J6566" s="74">
        <f>IF(E6566="SERVICE",I6566-(I6566*50%),Vlookup(E6566,DATABASE!C:Q,10,false)*F6566)</f>
        <v>10000</v>
      </c>
      <c r="K6566" s="74">
        <f>VLOOKUP(E6566,DATABASE!C:Q,7,false)</f>
        <v>0</v>
      </c>
      <c r="L6566" s="74">
        <v>0.0</v>
      </c>
      <c r="M6566" s="74">
        <f t="shared" si="2"/>
        <v>0</v>
      </c>
      <c r="N6566" s="74">
        <f t="shared" si="3"/>
        <v>120000</v>
      </c>
      <c r="O6566" s="65" t="str">
        <f>VLOOKUP(E6566,DATABASE!C:Q,8,false)</f>
        <v>IBU</v>
      </c>
      <c r="P6566" s="65">
        <f>VLOOKUP(E6566,DATABASE!C:Q,9,False)</f>
        <v>0</v>
      </c>
      <c r="Q6566" s="93" t="str">
        <f>VLOOKUP(E6566,DATABASE!C:Q,4,false)</f>
        <v>SPOORING</v>
      </c>
      <c r="R6566" s="93" t="str">
        <f>VLOOKUP(E6566,DATABASE!C:Q,11,false)</f>
        <v>SERVICE</v>
      </c>
    </row>
    <row r="6567" ht="22.5" customHeight="1">
      <c r="A6567" s="49"/>
      <c r="C6567" s="400">
        <v>46035.0</v>
      </c>
      <c r="D6567" s="524">
        <v>8581.0</v>
      </c>
      <c r="E6567" s="544" t="s">
        <v>251</v>
      </c>
      <c r="F6567" s="387">
        <v>1.0</v>
      </c>
      <c r="G6567" s="140">
        <v>350000.0</v>
      </c>
      <c r="H6567" s="140">
        <v>230000.0</v>
      </c>
      <c r="I6567" s="74">
        <f t="shared" si="1"/>
        <v>120000</v>
      </c>
      <c r="J6567" s="74">
        <f>IF(E6567="SERVICE",I6567-(I6567*50%),Vlookup(E6567,DATABASE!C:Q,10,false)*F6567)</f>
        <v>60000</v>
      </c>
      <c r="K6567" s="74">
        <f>VLOOKUP(E6567,DATABASE!C:Q,7,false)</f>
        <v>0</v>
      </c>
      <c r="L6567" s="74">
        <v>0.0</v>
      </c>
      <c r="M6567" s="74">
        <f t="shared" si="2"/>
        <v>0</v>
      </c>
      <c r="N6567" s="74">
        <f t="shared" si="3"/>
        <v>60000</v>
      </c>
      <c r="O6567" s="65" t="str">
        <f>VLOOKUP(E6567,DATABASE!C:Q,8,false)</f>
        <v>IBU</v>
      </c>
      <c r="P6567" s="65">
        <f>VLOOKUP(E6567,DATABASE!C:Q,9,False)</f>
        <v>0</v>
      </c>
      <c r="Q6567" s="93" t="str">
        <f>VLOOKUP(E6567,DATABASE!C:Q,4,false)</f>
        <v>SERVICE</v>
      </c>
      <c r="R6567" s="93" t="str">
        <f>VLOOKUP(E6567,DATABASE!C:Q,11,false)</f>
        <v>SERVICE</v>
      </c>
    </row>
    <row r="6568" ht="22.5" customHeight="1">
      <c r="A6568" s="49"/>
      <c r="C6568" s="400">
        <v>46035.0</v>
      </c>
      <c r="D6568" s="524">
        <v>8583.0</v>
      </c>
      <c r="E6568" s="544" t="s">
        <v>937</v>
      </c>
      <c r="F6568" s="387">
        <v>4.0</v>
      </c>
      <c r="G6568" s="140">
        <v>900000.0</v>
      </c>
      <c r="H6568" s="140">
        <v>20000.0</v>
      </c>
      <c r="I6568" s="74">
        <f t="shared" si="1"/>
        <v>3520000</v>
      </c>
      <c r="J6568" s="74">
        <f>IF(E6568="SERVICE",I6568-(I6568*50%),Vlookup(E6568,DATABASE!C:Q,10,false)*F6568)</f>
        <v>0</v>
      </c>
      <c r="K6568" s="74">
        <f>VLOOKUP(E6568,DATABASE!C:Q,7,false)</f>
        <v>825000</v>
      </c>
      <c r="L6568" s="74">
        <v>790000.0</v>
      </c>
      <c r="M6568" s="74">
        <f t="shared" si="2"/>
        <v>790000</v>
      </c>
      <c r="N6568" s="74">
        <f t="shared" si="3"/>
        <v>360000</v>
      </c>
      <c r="O6568" s="65" t="str">
        <f>VLOOKUP(E6568,DATABASE!C:Q,8,false)</f>
        <v>IBU</v>
      </c>
      <c r="P6568" s="65">
        <f>VLOOKUP(E6568,DATABASE!C:Q,9,False)</f>
        <v>1</v>
      </c>
      <c r="Q6568" s="93" t="str">
        <f>VLOOKUP(E6568,DATABASE!C:Q,4,false)</f>
        <v>Bridgestone</v>
      </c>
      <c r="R6568" s="93" t="str">
        <f>VLOOKUP(E6568,DATABASE!C:Q,11,false)</f>
        <v>Tire</v>
      </c>
    </row>
    <row r="6569" ht="22.5" customHeight="1">
      <c r="A6569" s="49"/>
      <c r="C6569" s="400">
        <v>46035.0</v>
      </c>
      <c r="D6569" s="69" t="s">
        <v>2686</v>
      </c>
      <c r="E6569" s="544" t="s">
        <v>1439</v>
      </c>
      <c r="F6569" s="387">
        <v>2.0</v>
      </c>
      <c r="G6569" s="140">
        <v>640000.0</v>
      </c>
      <c r="H6569" s="140">
        <v>10000.0</v>
      </c>
      <c r="I6569" s="74">
        <f t="shared" si="1"/>
        <v>1260000</v>
      </c>
      <c r="J6569" s="74">
        <f>IF(E6569="SERVICE",I6569-(I6569*50%),Vlookup(E6569,DATABASE!C:Q,10,false)*F6569)</f>
        <v>0</v>
      </c>
      <c r="K6569" s="74">
        <f>VLOOKUP(E6569,DATABASE!C:Q,7,false)</f>
        <v>556800</v>
      </c>
      <c r="L6569" s="74">
        <v>540800.0</v>
      </c>
      <c r="M6569" s="74">
        <f t="shared" si="2"/>
        <v>545000</v>
      </c>
      <c r="N6569" s="74">
        <f t="shared" si="3"/>
        <v>170000</v>
      </c>
      <c r="O6569" s="65" t="str">
        <f>VLOOKUP(E6569,DATABASE!C:Q,8,false)</f>
        <v>BIAN</v>
      </c>
      <c r="P6569" s="65">
        <f>VLOOKUP(E6569,DATABASE!C:Q,9,False)</f>
        <v>1</v>
      </c>
      <c r="Q6569" s="93" t="str">
        <f>VLOOKUP(E6569,DATABASE!C:Q,4,false)</f>
        <v>GT</v>
      </c>
      <c r="R6569" s="93" t="str">
        <f>VLOOKUP(E6569,DATABASE!C:Q,11,false)</f>
        <v>Tire</v>
      </c>
    </row>
    <row r="6570" ht="22.5" customHeight="1">
      <c r="A6570" s="49"/>
      <c r="C6570" s="400">
        <v>46035.0</v>
      </c>
      <c r="D6570" s="69" t="s">
        <v>2686</v>
      </c>
      <c r="E6570" s="544" t="s">
        <v>856</v>
      </c>
      <c r="F6570" s="387">
        <v>2.0</v>
      </c>
      <c r="G6570" s="140">
        <v>670000.0</v>
      </c>
      <c r="H6570" s="74"/>
      <c r="I6570" s="74">
        <f t="shared" si="1"/>
        <v>1340000</v>
      </c>
      <c r="J6570" s="74">
        <f>IF(E6570="SERVICE",I6570-(I6570*50%),Vlookup(E6570,DATABASE!C:Q,10,false)*F6570)</f>
        <v>0</v>
      </c>
      <c r="K6570" s="74">
        <f>VLOOKUP(E6570,DATABASE!C:Q,7,false)</f>
        <v>615300</v>
      </c>
      <c r="L6570" s="74">
        <v>581120.0</v>
      </c>
      <c r="M6570" s="74">
        <f t="shared" si="2"/>
        <v>585000</v>
      </c>
      <c r="N6570" s="74">
        <f t="shared" si="3"/>
        <v>170000</v>
      </c>
      <c r="O6570" s="65" t="str">
        <f>VLOOKUP(E6570,DATABASE!C:Q,8,false)</f>
        <v>BIAN</v>
      </c>
      <c r="P6570" s="65">
        <f>VLOOKUP(E6570,DATABASE!C:Q,9,False)</f>
        <v>1</v>
      </c>
      <c r="Q6570" s="93" t="str">
        <f>VLOOKUP(E6570,DATABASE!C:Q,4,false)</f>
        <v>GT</v>
      </c>
      <c r="R6570" s="93" t="str">
        <f>VLOOKUP(E6570,DATABASE!C:Q,11,false)</f>
        <v>Tire</v>
      </c>
    </row>
    <row r="6571" ht="22.5" customHeight="1">
      <c r="A6571" s="49"/>
      <c r="C6571" s="400">
        <v>46035.0</v>
      </c>
      <c r="D6571" s="69" t="s">
        <v>2686</v>
      </c>
      <c r="E6571" s="544" t="s">
        <v>262</v>
      </c>
      <c r="F6571" s="387">
        <v>1.0</v>
      </c>
      <c r="G6571" s="140">
        <v>110000.0</v>
      </c>
      <c r="H6571" s="140">
        <v>10000.0</v>
      </c>
      <c r="I6571" s="74">
        <f t="shared" si="1"/>
        <v>100000</v>
      </c>
      <c r="J6571" s="74">
        <f>IF(E6571="SERVICE",I6571-(I6571*50%),Vlookup(E6571,DATABASE!C:Q,10,false)*F6571)</f>
        <v>5000</v>
      </c>
      <c r="K6571" s="74">
        <f>VLOOKUP(E6571,DATABASE!C:Q,7,false)</f>
        <v>0</v>
      </c>
      <c r="L6571" s="74">
        <v>0.0</v>
      </c>
      <c r="M6571" s="74">
        <f t="shared" si="2"/>
        <v>0</v>
      </c>
      <c r="N6571" s="74">
        <f t="shared" si="3"/>
        <v>95000</v>
      </c>
      <c r="O6571" s="65" t="str">
        <f>VLOOKUP(E6571,DATABASE!C:Q,8,false)</f>
        <v>IBU</v>
      </c>
      <c r="P6571" s="65">
        <f>VLOOKUP(E6571,DATABASE!C:Q,9,False)</f>
        <v>0</v>
      </c>
      <c r="Q6571" s="93" t="str">
        <f>VLOOKUP(E6571,DATABASE!C:Q,4,false)</f>
        <v>SPOORING SS/CARRY LOS BAK</v>
      </c>
      <c r="R6571" s="93" t="str">
        <f>VLOOKUP(E6571,DATABASE!C:Q,11,false)</f>
        <v>SERVICE</v>
      </c>
    </row>
    <row r="6572" ht="22.5" customHeight="1">
      <c r="A6572" s="49"/>
      <c r="C6572" s="400">
        <v>46036.0</v>
      </c>
      <c r="D6572" s="524">
        <v>0.0</v>
      </c>
      <c r="E6572" s="544" t="s">
        <v>932</v>
      </c>
      <c r="F6572" s="387">
        <v>4.0</v>
      </c>
      <c r="G6572" s="140">
        <v>680000.0</v>
      </c>
      <c r="H6572" s="74"/>
      <c r="I6572" s="74">
        <f t="shared" si="1"/>
        <v>2720000</v>
      </c>
      <c r="J6572" s="74">
        <f>IF(E6572="SERVICE",I6572-(I6572*50%),Vlookup(E6572,DATABASE!C:Q,10,false)*F6572)</f>
        <v>0</v>
      </c>
      <c r="K6572" s="74">
        <f>VLOOKUP(E6572,DATABASE!C:Q,7,false)</f>
        <v>601000</v>
      </c>
      <c r="L6572" s="74">
        <v>595000.0</v>
      </c>
      <c r="M6572" s="74">
        <f t="shared" si="2"/>
        <v>595000</v>
      </c>
      <c r="N6572" s="74">
        <f t="shared" si="3"/>
        <v>340000</v>
      </c>
      <c r="O6572" s="65" t="str">
        <f>VLOOKUP(E6572,DATABASE!C:Q,8,false)</f>
        <v>IBU</v>
      </c>
      <c r="P6572" s="65">
        <f>VLOOKUP(E6572,DATABASE!C:Q,9,False)</f>
        <v>1</v>
      </c>
      <c r="Q6572" s="93" t="str">
        <f>VLOOKUP(E6572,DATABASE!C:Q,4,false)</f>
        <v>Dunlop</v>
      </c>
      <c r="R6572" s="93" t="str">
        <f>VLOOKUP(E6572,DATABASE!C:Q,11,false)</f>
        <v>Tire</v>
      </c>
    </row>
    <row r="6573" ht="22.5" customHeight="1">
      <c r="A6573" s="49"/>
      <c r="C6573" s="400">
        <v>46036.0</v>
      </c>
      <c r="D6573" s="524">
        <v>0.0</v>
      </c>
      <c r="E6573" s="544" t="s">
        <v>299</v>
      </c>
      <c r="F6573" s="387">
        <v>2.0</v>
      </c>
      <c r="G6573" s="140">
        <v>30000.0</v>
      </c>
      <c r="H6573" s="74"/>
      <c r="I6573" s="74">
        <f t="shared" si="1"/>
        <v>60000</v>
      </c>
      <c r="J6573" s="74">
        <f>IF(E6573="SERVICE",I6573-(I6573*50%),Vlookup(E6573,DATABASE!C:Q,10,false)*F6573)</f>
        <v>0</v>
      </c>
      <c r="K6573" s="74">
        <f>VLOOKUP(E6573,DATABASE!C:Q,7,false)</f>
        <v>10000</v>
      </c>
      <c r="L6573" s="74">
        <v>5000.0</v>
      </c>
      <c r="M6573" s="74">
        <f t="shared" si="2"/>
        <v>5000</v>
      </c>
      <c r="N6573" s="74">
        <f t="shared" si="3"/>
        <v>50000</v>
      </c>
      <c r="O6573" s="65" t="str">
        <f>VLOOKUP(E6573,DATABASE!C:Q,8,false)</f>
        <v>BIAN</v>
      </c>
      <c r="P6573" s="65">
        <f>VLOOKUP(E6573,DATABASE!C:Q,9,False)</f>
        <v>0</v>
      </c>
      <c r="Q6573" s="93" t="str">
        <f>VLOOKUP(E6573,DATABASE!C:Q,4,false)</f>
        <v>Balancing</v>
      </c>
      <c r="R6573" s="93" t="str">
        <f>VLOOKUP(E6573,DATABASE!C:Q,11,false)</f>
        <v>COMPLEMENTARY</v>
      </c>
    </row>
    <row r="6574" ht="22.5" customHeight="1">
      <c r="A6574" s="49"/>
      <c r="C6574" s="400">
        <v>46036.0</v>
      </c>
      <c r="D6574" s="524">
        <v>1.0</v>
      </c>
      <c r="E6574" s="544" t="s">
        <v>256</v>
      </c>
      <c r="F6574" s="387">
        <v>1.0</v>
      </c>
      <c r="G6574" s="140">
        <v>150000.0</v>
      </c>
      <c r="H6574" s="140">
        <v>20000.0</v>
      </c>
      <c r="I6574" s="74">
        <f t="shared" si="1"/>
        <v>130000</v>
      </c>
      <c r="J6574" s="74">
        <f>IF(E6574="SERVICE",I6574-(I6574*50%),Vlookup(E6574,DATABASE!C:Q,10,false)*F6574)</f>
        <v>10000</v>
      </c>
      <c r="K6574" s="74">
        <f>VLOOKUP(E6574,DATABASE!C:Q,7,false)</f>
        <v>0</v>
      </c>
      <c r="L6574" s="74">
        <v>0.0</v>
      </c>
      <c r="M6574" s="74">
        <f t="shared" si="2"/>
        <v>0</v>
      </c>
      <c r="N6574" s="74">
        <f t="shared" si="3"/>
        <v>120000</v>
      </c>
      <c r="O6574" s="65" t="str">
        <f>VLOOKUP(E6574,DATABASE!C:Q,8,false)</f>
        <v>IBU</v>
      </c>
      <c r="P6574" s="65">
        <f>VLOOKUP(E6574,DATABASE!C:Q,9,False)</f>
        <v>0</v>
      </c>
      <c r="Q6574" s="93" t="str">
        <f>VLOOKUP(E6574,DATABASE!C:Q,4,false)</f>
        <v>SPOORING</v>
      </c>
      <c r="R6574" s="93" t="str">
        <f>VLOOKUP(E6574,DATABASE!C:Q,11,false)</f>
        <v>SERVICE</v>
      </c>
    </row>
    <row r="6575" ht="22.5" customHeight="1">
      <c r="A6575" s="49"/>
      <c r="C6575" s="400">
        <v>46036.0</v>
      </c>
      <c r="D6575" s="524">
        <v>1.0</v>
      </c>
      <c r="E6575" s="544" t="s">
        <v>301</v>
      </c>
      <c r="F6575" s="387">
        <v>1.0</v>
      </c>
      <c r="G6575" s="140">
        <v>250000.0</v>
      </c>
      <c r="H6575" s="74"/>
      <c r="I6575" s="74">
        <f t="shared" si="1"/>
        <v>250000</v>
      </c>
      <c r="J6575" s="74">
        <f>IF(E6575="SERVICE",I6575-(I6575*50%),Vlookup(E6575,DATABASE!C:Q,10,false)*F6575)</f>
        <v>75000</v>
      </c>
      <c r="K6575" s="74">
        <f>VLOOKUP(E6575,DATABASE!C:Q,7,false)</f>
        <v>75000</v>
      </c>
      <c r="L6575" s="74">
        <v>75000.0</v>
      </c>
      <c r="M6575" s="74">
        <f t="shared" si="2"/>
        <v>75000</v>
      </c>
      <c r="N6575" s="74">
        <f t="shared" si="3"/>
        <v>100000</v>
      </c>
      <c r="O6575" s="65" t="str">
        <f>VLOOKUP(E6575,DATABASE!C:Q,8,false)</f>
        <v>BIAN</v>
      </c>
      <c r="P6575" s="65">
        <f>VLOOKUP(E6575,DATABASE!C:Q,9,False)</f>
        <v>0</v>
      </c>
      <c r="Q6575" s="93" t="str">
        <f>VLOOKUP(E6575,DATABASE!C:Q,4,false)</f>
        <v>Baut Camber</v>
      </c>
      <c r="R6575" s="93" t="str">
        <f>VLOOKUP(E6575,DATABASE!C:Q,11,false)</f>
        <v>COMPLEMENTARY</v>
      </c>
    </row>
    <row r="6576" ht="22.5" customHeight="1">
      <c r="A6576" s="49"/>
      <c r="C6576" s="400">
        <v>46036.0</v>
      </c>
      <c r="D6576" s="524">
        <v>2.0</v>
      </c>
      <c r="E6576" s="544" t="s">
        <v>286</v>
      </c>
      <c r="F6576" s="387">
        <v>2.0</v>
      </c>
      <c r="G6576" s="140">
        <v>560000.0</v>
      </c>
      <c r="H6576" s="74"/>
      <c r="I6576" s="74">
        <f t="shared" si="1"/>
        <v>1120000</v>
      </c>
      <c r="J6576" s="74">
        <f>IF(E6576="SERVICE",I6576-(I6576*50%),Vlookup(E6576,DATABASE!C:Q,10,false)*F6576)</f>
        <v>0</v>
      </c>
      <c r="K6576" s="74">
        <f>VLOOKUP(E6576,DATABASE!C:Q,7,false)</f>
        <v>488320</v>
      </c>
      <c r="L6576" s="74">
        <v>452970.0</v>
      </c>
      <c r="M6576" s="74">
        <f t="shared" si="2"/>
        <v>455000</v>
      </c>
      <c r="N6576" s="74">
        <f t="shared" si="3"/>
        <v>210000</v>
      </c>
      <c r="O6576" s="65" t="str">
        <f>VLOOKUP(E6576,DATABASE!C:Q,8,false)</f>
        <v>BIAN</v>
      </c>
      <c r="P6576" s="65">
        <f>VLOOKUP(E6576,DATABASE!C:Q,9,False)</f>
        <v>1</v>
      </c>
      <c r="Q6576" s="93" t="str">
        <f>VLOOKUP(E6576,DATABASE!C:Q,4,false)</f>
        <v>GT</v>
      </c>
      <c r="R6576" s="93" t="str">
        <f>VLOOKUP(E6576,DATABASE!C:Q,11,false)</f>
        <v>Tire</v>
      </c>
    </row>
    <row r="6577" ht="22.5" customHeight="1">
      <c r="A6577" s="49"/>
      <c r="C6577" s="400">
        <v>46036.0</v>
      </c>
      <c r="D6577" s="524">
        <v>3.0</v>
      </c>
      <c r="E6577" s="544" t="s">
        <v>256</v>
      </c>
      <c r="F6577" s="387">
        <v>1.0</v>
      </c>
      <c r="G6577" s="140">
        <v>150000.0</v>
      </c>
      <c r="H6577" s="140">
        <v>20000.0</v>
      </c>
      <c r="I6577" s="74">
        <f t="shared" si="1"/>
        <v>130000</v>
      </c>
      <c r="J6577" s="74">
        <f>IF(E6577="SERVICE",I6577-(I6577*50%),Vlookup(E6577,DATABASE!C:Q,10,false)*F6577)</f>
        <v>10000</v>
      </c>
      <c r="K6577" s="74">
        <f>VLOOKUP(E6577,DATABASE!C:Q,7,false)</f>
        <v>0</v>
      </c>
      <c r="L6577" s="74">
        <v>0.0</v>
      </c>
      <c r="M6577" s="74">
        <f t="shared" si="2"/>
        <v>0</v>
      </c>
      <c r="N6577" s="74">
        <f t="shared" si="3"/>
        <v>120000</v>
      </c>
      <c r="O6577" s="65" t="str">
        <f>VLOOKUP(E6577,DATABASE!C:Q,8,false)</f>
        <v>IBU</v>
      </c>
      <c r="P6577" s="65">
        <f>VLOOKUP(E6577,DATABASE!C:Q,9,False)</f>
        <v>0</v>
      </c>
      <c r="Q6577" s="93" t="str">
        <f>VLOOKUP(E6577,DATABASE!C:Q,4,false)</f>
        <v>SPOORING</v>
      </c>
      <c r="R6577" s="93" t="str">
        <f>VLOOKUP(E6577,DATABASE!C:Q,11,false)</f>
        <v>SERVICE</v>
      </c>
    </row>
    <row r="6578" ht="22.5" customHeight="1">
      <c r="A6578" s="49"/>
      <c r="C6578" s="400">
        <v>46036.0</v>
      </c>
      <c r="D6578" s="524">
        <v>4.0</v>
      </c>
      <c r="E6578" s="544" t="s">
        <v>937</v>
      </c>
      <c r="F6578" s="387">
        <v>1.0</v>
      </c>
      <c r="G6578" s="140">
        <v>900000.0</v>
      </c>
      <c r="H6578" s="140">
        <v>20000.0</v>
      </c>
      <c r="I6578" s="74">
        <f t="shared" si="1"/>
        <v>880000</v>
      </c>
      <c r="J6578" s="74">
        <f>IF(E6578="SERVICE",I6578-(I6578*50%),Vlookup(E6578,DATABASE!C:Q,10,false)*F6578)</f>
        <v>0</v>
      </c>
      <c r="K6578" s="74">
        <f>VLOOKUP(E6578,DATABASE!C:Q,7,false)</f>
        <v>825000</v>
      </c>
      <c r="L6578" s="74">
        <v>790000.0</v>
      </c>
      <c r="M6578" s="74">
        <f t="shared" si="2"/>
        <v>790000</v>
      </c>
      <c r="N6578" s="74">
        <f t="shared" si="3"/>
        <v>90000</v>
      </c>
      <c r="O6578" s="65" t="str">
        <f>VLOOKUP(E6578,DATABASE!C:Q,8,false)</f>
        <v>IBU</v>
      </c>
      <c r="P6578" s="65">
        <f>VLOOKUP(E6578,DATABASE!C:Q,9,False)</f>
        <v>1</v>
      </c>
      <c r="Q6578" s="93" t="str">
        <f>VLOOKUP(E6578,DATABASE!C:Q,4,false)</f>
        <v>Bridgestone</v>
      </c>
      <c r="R6578" s="93" t="str">
        <f>VLOOKUP(E6578,DATABASE!C:Q,11,false)</f>
        <v>Tire</v>
      </c>
    </row>
    <row r="6579" ht="22.5" customHeight="1">
      <c r="A6579" s="49"/>
      <c r="C6579" s="400">
        <v>46036.0</v>
      </c>
      <c r="D6579" s="524">
        <v>5.0</v>
      </c>
      <c r="E6579" s="544" t="s">
        <v>256</v>
      </c>
      <c r="F6579" s="387">
        <v>1.0</v>
      </c>
      <c r="G6579" s="140">
        <v>150000.0</v>
      </c>
      <c r="H6579" s="140">
        <v>20000.0</v>
      </c>
      <c r="I6579" s="74">
        <f t="shared" si="1"/>
        <v>130000</v>
      </c>
      <c r="J6579" s="74">
        <f>IF(E6579="SERVICE",I6579-(I6579*50%),Vlookup(E6579,DATABASE!C:Q,10,false)*F6579)</f>
        <v>10000</v>
      </c>
      <c r="K6579" s="74">
        <f>VLOOKUP(E6579,DATABASE!C:Q,7,false)</f>
        <v>0</v>
      </c>
      <c r="L6579" s="74">
        <v>0.0</v>
      </c>
      <c r="M6579" s="74">
        <f t="shared" si="2"/>
        <v>0</v>
      </c>
      <c r="N6579" s="74">
        <f t="shared" si="3"/>
        <v>120000</v>
      </c>
      <c r="O6579" s="65" t="str">
        <f>VLOOKUP(E6579,DATABASE!C:Q,8,false)</f>
        <v>IBU</v>
      </c>
      <c r="P6579" s="65">
        <f>VLOOKUP(E6579,DATABASE!C:Q,9,False)</f>
        <v>0</v>
      </c>
      <c r="Q6579" s="93" t="str">
        <f>VLOOKUP(E6579,DATABASE!C:Q,4,false)</f>
        <v>SPOORING</v>
      </c>
      <c r="R6579" s="93" t="str">
        <f>VLOOKUP(E6579,DATABASE!C:Q,11,false)</f>
        <v>SERVICE</v>
      </c>
    </row>
    <row r="6580" ht="22.5" customHeight="1">
      <c r="A6580" s="49"/>
      <c r="C6580" s="400">
        <v>46036.0</v>
      </c>
      <c r="D6580" s="524">
        <v>6.0</v>
      </c>
      <c r="E6580" s="544" t="s">
        <v>256</v>
      </c>
      <c r="F6580" s="387">
        <v>1.0</v>
      </c>
      <c r="G6580" s="140">
        <v>150000.0</v>
      </c>
      <c r="H6580" s="140">
        <v>20000.0</v>
      </c>
      <c r="I6580" s="74">
        <f t="shared" si="1"/>
        <v>130000</v>
      </c>
      <c r="J6580" s="74">
        <f>IF(E6580="SERVICE",I6580-(I6580*50%),Vlookup(E6580,DATABASE!C:Q,10,false)*F6580)</f>
        <v>10000</v>
      </c>
      <c r="K6580" s="74">
        <f>VLOOKUP(E6580,DATABASE!C:Q,7,false)</f>
        <v>0</v>
      </c>
      <c r="L6580" s="74">
        <v>0.0</v>
      </c>
      <c r="M6580" s="74">
        <f t="shared" si="2"/>
        <v>0</v>
      </c>
      <c r="N6580" s="74">
        <f t="shared" si="3"/>
        <v>120000</v>
      </c>
      <c r="O6580" s="65" t="str">
        <f>VLOOKUP(E6580,DATABASE!C:Q,8,false)</f>
        <v>IBU</v>
      </c>
      <c r="P6580" s="65">
        <f>VLOOKUP(E6580,DATABASE!C:Q,9,False)</f>
        <v>0</v>
      </c>
      <c r="Q6580" s="93" t="str">
        <f>VLOOKUP(E6580,DATABASE!C:Q,4,false)</f>
        <v>SPOORING</v>
      </c>
      <c r="R6580" s="93" t="str">
        <f>VLOOKUP(E6580,DATABASE!C:Q,11,false)</f>
        <v>SERVICE</v>
      </c>
    </row>
    <row r="6581" ht="22.5" customHeight="1">
      <c r="A6581" s="49"/>
      <c r="C6581" s="400">
        <v>46036.0</v>
      </c>
      <c r="D6581" s="524">
        <v>6.0</v>
      </c>
      <c r="E6581" s="544" t="s">
        <v>251</v>
      </c>
      <c r="F6581" s="387">
        <v>1.0</v>
      </c>
      <c r="G6581" s="140">
        <v>350000.0</v>
      </c>
      <c r="H6581" s="140">
        <v>100000.0</v>
      </c>
      <c r="I6581" s="74">
        <f t="shared" si="1"/>
        <v>250000</v>
      </c>
      <c r="J6581" s="74">
        <f>IF(E6581="SERVICE",I6581-(I6581*50%),Vlookup(E6581,DATABASE!C:Q,10,false)*F6581)</f>
        <v>125000</v>
      </c>
      <c r="K6581" s="74">
        <f>VLOOKUP(E6581,DATABASE!C:Q,7,false)</f>
        <v>0</v>
      </c>
      <c r="L6581" s="74">
        <v>0.0</v>
      </c>
      <c r="M6581" s="74">
        <f t="shared" si="2"/>
        <v>0</v>
      </c>
      <c r="N6581" s="74">
        <f t="shared" si="3"/>
        <v>125000</v>
      </c>
      <c r="O6581" s="65" t="str">
        <f>VLOOKUP(E6581,DATABASE!C:Q,8,false)</f>
        <v>IBU</v>
      </c>
      <c r="P6581" s="65">
        <f>VLOOKUP(E6581,DATABASE!C:Q,9,False)</f>
        <v>0</v>
      </c>
      <c r="Q6581" s="93" t="str">
        <f>VLOOKUP(E6581,DATABASE!C:Q,4,false)</f>
        <v>SERVICE</v>
      </c>
      <c r="R6581" s="93" t="str">
        <f>VLOOKUP(E6581,DATABASE!C:Q,11,false)</f>
        <v>SERVICE</v>
      </c>
    </row>
    <row r="6582" ht="22.5" customHeight="1">
      <c r="A6582" s="49"/>
      <c r="C6582" s="400">
        <v>46036.0</v>
      </c>
      <c r="D6582" s="524">
        <v>8386.0</v>
      </c>
      <c r="E6582" s="544" t="s">
        <v>1301</v>
      </c>
      <c r="F6582" s="387">
        <v>1.0</v>
      </c>
      <c r="G6582" s="140">
        <v>1285000.0</v>
      </c>
      <c r="H6582" s="74"/>
      <c r="I6582" s="74">
        <f t="shared" si="1"/>
        <v>1285000</v>
      </c>
      <c r="J6582" s="74">
        <f>IF(E6582="SERVICE",I6582-(I6582*50%),Vlookup(E6582,DATABASE!C:Q,10,false)*F6582)</f>
        <v>0</v>
      </c>
      <c r="K6582" s="74">
        <f>VLOOKUP(E6582,DATABASE!C:Q,7,false)</f>
        <v>1194000</v>
      </c>
      <c r="L6582" s="74">
        <v>1182000.0</v>
      </c>
      <c r="M6582" s="74">
        <f t="shared" si="2"/>
        <v>1185000</v>
      </c>
      <c r="N6582" s="74">
        <f t="shared" si="3"/>
        <v>100000</v>
      </c>
      <c r="O6582" s="65" t="str">
        <f>VLOOKUP(E6582,DATABASE!C:Q,8,false)</f>
        <v>IBU</v>
      </c>
      <c r="P6582" s="65">
        <f>VLOOKUP(E6582,DATABASE!C:Q,9,False)</f>
        <v>1</v>
      </c>
      <c r="Q6582" s="93" t="str">
        <f>VLOOKUP(E6582,DATABASE!C:Q,4,false)</f>
        <v>Dunlop</v>
      </c>
      <c r="R6582" s="93" t="str">
        <f>VLOOKUP(E6582,DATABASE!C:Q,11,false)</f>
        <v>Tire</v>
      </c>
    </row>
    <row r="6583" ht="22.5" customHeight="1">
      <c r="A6583" s="49"/>
      <c r="C6583" s="400">
        <v>46036.0</v>
      </c>
      <c r="D6583" s="524">
        <v>8387.0</v>
      </c>
      <c r="E6583" s="544" t="s">
        <v>2037</v>
      </c>
      <c r="F6583" s="387">
        <v>2.0</v>
      </c>
      <c r="G6583" s="140">
        <v>2625000.0</v>
      </c>
      <c r="H6583" s="140">
        <v>20000.0</v>
      </c>
      <c r="I6583" s="74">
        <f t="shared" si="1"/>
        <v>5210000</v>
      </c>
      <c r="J6583" s="74">
        <f>IF(E6583="SERVICE",I6583-(I6583*50%),Vlookup(E6583,DATABASE!C:Q,10,false)*F6583)</f>
        <v>0</v>
      </c>
      <c r="K6583" s="140">
        <v>2450000.0</v>
      </c>
      <c r="L6583" s="140">
        <v>2450000.0</v>
      </c>
      <c r="M6583" s="74">
        <f t="shared" si="2"/>
        <v>2450000</v>
      </c>
      <c r="N6583" s="74">
        <f t="shared" si="3"/>
        <v>310000</v>
      </c>
      <c r="O6583" s="65" t="str">
        <f>VLOOKUP(E6583,DATABASE!C:Q,8,false)</f>
        <v>BIAN</v>
      </c>
      <c r="P6583" s="65">
        <f>VLOOKUP(E6583,DATABASE!C:Q,9,False)</f>
        <v>1</v>
      </c>
      <c r="Q6583" s="93" t="str">
        <f>VLOOKUP(E6583,DATABASE!C:Q,4,false)</f>
        <v>GT</v>
      </c>
      <c r="R6583" s="93" t="str">
        <f>VLOOKUP(E6583,DATABASE!C:Q,11,false)</f>
        <v>Tire</v>
      </c>
    </row>
    <row r="6584" ht="22.5" customHeight="1">
      <c r="A6584" s="49"/>
      <c r="C6584" s="400">
        <v>46036.0</v>
      </c>
      <c r="D6584" s="524">
        <v>8588.0</v>
      </c>
      <c r="E6584" s="544" t="s">
        <v>256</v>
      </c>
      <c r="F6584" s="387">
        <v>1.0</v>
      </c>
      <c r="G6584" s="140">
        <v>150000.0</v>
      </c>
      <c r="H6584" s="140">
        <v>20000.0</v>
      </c>
      <c r="I6584" s="74">
        <f t="shared" si="1"/>
        <v>130000</v>
      </c>
      <c r="J6584" s="74">
        <f>IF(E6584="SERVICE",I6584-(I6584*50%),Vlookup(E6584,DATABASE!C:Q,10,false)*F6584)</f>
        <v>10000</v>
      </c>
      <c r="K6584" s="74">
        <f>VLOOKUP(E6584,DATABASE!C:Q,7,false)</f>
        <v>0</v>
      </c>
      <c r="L6584" s="74">
        <v>0.0</v>
      </c>
      <c r="M6584" s="74">
        <f t="shared" si="2"/>
        <v>0</v>
      </c>
      <c r="N6584" s="74">
        <f t="shared" si="3"/>
        <v>120000</v>
      </c>
      <c r="O6584" s="65" t="str">
        <f>VLOOKUP(E6584,DATABASE!C:Q,8,false)</f>
        <v>IBU</v>
      </c>
      <c r="P6584" s="65">
        <f>VLOOKUP(E6584,DATABASE!C:Q,9,False)</f>
        <v>0</v>
      </c>
      <c r="Q6584" s="93" t="str">
        <f>VLOOKUP(E6584,DATABASE!C:Q,4,false)</f>
        <v>SPOORING</v>
      </c>
      <c r="R6584" s="93" t="str">
        <f>VLOOKUP(E6584,DATABASE!C:Q,11,false)</f>
        <v>SERVICE</v>
      </c>
    </row>
    <row r="6585" ht="22.5" customHeight="1">
      <c r="A6585" s="49"/>
      <c r="C6585" s="400">
        <v>46036.0</v>
      </c>
      <c r="D6585" s="524">
        <v>8588.0</v>
      </c>
      <c r="E6585" s="544" t="s">
        <v>251</v>
      </c>
      <c r="F6585" s="387">
        <v>1.0</v>
      </c>
      <c r="G6585" s="140">
        <v>350000.0</v>
      </c>
      <c r="H6585" s="140">
        <v>200000.0</v>
      </c>
      <c r="I6585" s="74">
        <f t="shared" si="1"/>
        <v>150000</v>
      </c>
      <c r="J6585" s="74">
        <f>IF(E6585="SERVICE",I6585-(I6585*50%),Vlookup(E6585,DATABASE!C:Q,10,false)*F6585)</f>
        <v>75000</v>
      </c>
      <c r="K6585" s="74">
        <f>VLOOKUP(E6585,DATABASE!C:Q,7,false)</f>
        <v>0</v>
      </c>
      <c r="L6585" s="74">
        <v>0.0</v>
      </c>
      <c r="M6585" s="74">
        <f t="shared" si="2"/>
        <v>0</v>
      </c>
      <c r="N6585" s="74">
        <f t="shared" si="3"/>
        <v>75000</v>
      </c>
      <c r="O6585" s="65" t="str">
        <f>VLOOKUP(E6585,DATABASE!C:Q,8,false)</f>
        <v>IBU</v>
      </c>
      <c r="P6585" s="65">
        <f>VLOOKUP(E6585,DATABASE!C:Q,9,False)</f>
        <v>0</v>
      </c>
      <c r="Q6585" s="93" t="str">
        <f>VLOOKUP(E6585,DATABASE!C:Q,4,false)</f>
        <v>SERVICE</v>
      </c>
      <c r="R6585" s="93" t="str">
        <f>VLOOKUP(E6585,DATABASE!C:Q,11,false)</f>
        <v>SERVICE</v>
      </c>
    </row>
    <row r="6586" ht="22.5" customHeight="1">
      <c r="A6586" s="49"/>
      <c r="C6586" s="400">
        <v>46036.0</v>
      </c>
      <c r="D6586" s="524">
        <v>8589.0</v>
      </c>
      <c r="E6586" s="544" t="s">
        <v>1867</v>
      </c>
      <c r="F6586" s="387">
        <v>2.0</v>
      </c>
      <c r="G6586" s="140">
        <v>650000.0</v>
      </c>
      <c r="H6586" s="74"/>
      <c r="I6586" s="74">
        <f t="shared" si="1"/>
        <v>1300000</v>
      </c>
      <c r="J6586" s="74">
        <f>IF(E6586="SERVICE",I6586-(I6586*50%),Vlookup(E6586,DATABASE!C:Q,10,false)*F6586)</f>
        <v>0</v>
      </c>
      <c r="K6586" s="74">
        <f>VLOOKUP(E6586,DATABASE!C:Q,7,false)</f>
        <v>575200</v>
      </c>
      <c r="L6586" s="74">
        <v>558200.0</v>
      </c>
      <c r="M6586" s="74">
        <f t="shared" si="2"/>
        <v>560000</v>
      </c>
      <c r="N6586" s="74">
        <f t="shared" si="3"/>
        <v>180000</v>
      </c>
      <c r="O6586" s="65" t="str">
        <f>VLOOKUP(E6586,DATABASE!C:Q,8,false)</f>
        <v>BIAN</v>
      </c>
      <c r="P6586" s="65">
        <f>VLOOKUP(E6586,DATABASE!C:Q,9,False)</f>
        <v>1</v>
      </c>
      <c r="Q6586" s="93" t="str">
        <f>VLOOKUP(E6586,DATABASE!C:Q,4,false)</f>
        <v>GT</v>
      </c>
      <c r="R6586" s="93" t="str">
        <f>VLOOKUP(E6586,DATABASE!C:Q,11,false)</f>
        <v>Tire</v>
      </c>
    </row>
    <row r="6587" ht="22.5" customHeight="1">
      <c r="A6587" s="49"/>
      <c r="C6587" s="400">
        <v>46036.0</v>
      </c>
      <c r="D6587" s="524">
        <v>8589.0</v>
      </c>
      <c r="E6587" s="544" t="s">
        <v>299</v>
      </c>
      <c r="F6587" s="387">
        <v>2.0</v>
      </c>
      <c r="G6587" s="140">
        <v>30000.0</v>
      </c>
      <c r="H6587" s="74"/>
      <c r="I6587" s="74">
        <f t="shared" si="1"/>
        <v>60000</v>
      </c>
      <c r="J6587" s="74">
        <f>IF(E6587="SERVICE",I6587-(I6587*50%),Vlookup(E6587,DATABASE!C:Q,10,false)*F6587)</f>
        <v>0</v>
      </c>
      <c r="K6587" s="74">
        <f>VLOOKUP(E6587,DATABASE!C:Q,7,false)</f>
        <v>10000</v>
      </c>
      <c r="L6587" s="74">
        <v>5000.0</v>
      </c>
      <c r="M6587" s="74">
        <f t="shared" si="2"/>
        <v>5000</v>
      </c>
      <c r="N6587" s="74">
        <f t="shared" si="3"/>
        <v>50000</v>
      </c>
      <c r="O6587" s="65" t="str">
        <f>VLOOKUP(E6587,DATABASE!C:Q,8,false)</f>
        <v>BIAN</v>
      </c>
      <c r="P6587" s="65">
        <f>VLOOKUP(E6587,DATABASE!C:Q,9,False)</f>
        <v>0</v>
      </c>
      <c r="Q6587" s="93" t="str">
        <f>VLOOKUP(E6587,DATABASE!C:Q,4,false)</f>
        <v>Balancing</v>
      </c>
      <c r="R6587" s="93" t="str">
        <f>VLOOKUP(E6587,DATABASE!C:Q,11,false)</f>
        <v>COMPLEMENTARY</v>
      </c>
    </row>
    <row r="6588" ht="22.5" customHeight="1">
      <c r="A6588" s="49"/>
      <c r="C6588" s="400">
        <v>46036.0</v>
      </c>
      <c r="D6588" s="524">
        <v>8590.0</v>
      </c>
      <c r="E6588" s="544" t="s">
        <v>622</v>
      </c>
      <c r="F6588" s="387">
        <v>2.0</v>
      </c>
      <c r="G6588" s="140">
        <v>915000.0</v>
      </c>
      <c r="H6588" s="140">
        <v>5000.0</v>
      </c>
      <c r="I6588" s="74">
        <f t="shared" si="1"/>
        <v>1820000</v>
      </c>
      <c r="J6588" s="74">
        <f>IF(E6588="SERVICE",I6588-(I6588*50%),Vlookup(E6588,DATABASE!C:Q,10,false)*F6588)</f>
        <v>0</v>
      </c>
      <c r="K6588" s="74">
        <f>VLOOKUP(E6588,DATABASE!C:Q,7,false)</f>
        <v>851110.375</v>
      </c>
      <c r="L6588" s="74">
        <v>805872.0</v>
      </c>
      <c r="M6588" s="74">
        <f t="shared" si="2"/>
        <v>810000</v>
      </c>
      <c r="N6588" s="74">
        <f t="shared" si="3"/>
        <v>200000</v>
      </c>
      <c r="O6588" s="65" t="str">
        <f>VLOOKUP(E6588,DATABASE!C:Q,8,false)</f>
        <v>IBU</v>
      </c>
      <c r="P6588" s="65">
        <f>VLOOKUP(E6588,DATABASE!C:Q,9,False)</f>
        <v>1</v>
      </c>
      <c r="Q6588" s="93" t="str">
        <f>VLOOKUP(E6588,DATABASE!C:Q,4,false)</f>
        <v>Bridgestone</v>
      </c>
      <c r="R6588" s="93" t="str">
        <f>VLOOKUP(E6588,DATABASE!C:Q,11,false)</f>
        <v>Tire</v>
      </c>
    </row>
    <row r="6589" ht="22.5" customHeight="1">
      <c r="A6589" s="49"/>
      <c r="C6589" s="400">
        <v>46036.0</v>
      </c>
      <c r="D6589" s="524">
        <v>8590.0</v>
      </c>
      <c r="E6589" s="544" t="s">
        <v>299</v>
      </c>
      <c r="F6589" s="387">
        <v>2.0</v>
      </c>
      <c r="G6589" s="140">
        <v>30000.0</v>
      </c>
      <c r="H6589" s="74"/>
      <c r="I6589" s="74">
        <f t="shared" si="1"/>
        <v>60000</v>
      </c>
      <c r="J6589" s="74">
        <f>IF(E6589="SERVICE",I6589-(I6589*50%),Vlookup(E6589,DATABASE!C:Q,10,false)*F6589)</f>
        <v>0</v>
      </c>
      <c r="K6589" s="74">
        <f>VLOOKUP(E6589,DATABASE!C:Q,7,false)</f>
        <v>10000</v>
      </c>
      <c r="L6589" s="74">
        <v>5000.0</v>
      </c>
      <c r="M6589" s="74">
        <f t="shared" si="2"/>
        <v>5000</v>
      </c>
      <c r="N6589" s="74">
        <f t="shared" si="3"/>
        <v>50000</v>
      </c>
      <c r="O6589" s="65" t="str">
        <f>VLOOKUP(E6589,DATABASE!C:Q,8,false)</f>
        <v>BIAN</v>
      </c>
      <c r="P6589" s="65">
        <f>VLOOKUP(E6589,DATABASE!C:Q,9,False)</f>
        <v>0</v>
      </c>
      <c r="Q6589" s="93" t="str">
        <f>VLOOKUP(E6589,DATABASE!C:Q,4,false)</f>
        <v>Balancing</v>
      </c>
      <c r="R6589" s="93" t="str">
        <f>VLOOKUP(E6589,DATABASE!C:Q,11,false)</f>
        <v>COMPLEMENTARY</v>
      </c>
    </row>
    <row r="6590" ht="22.5" customHeight="1">
      <c r="A6590" s="49"/>
      <c r="C6590" s="400">
        <v>46036.0</v>
      </c>
      <c r="D6590" s="69" t="s">
        <v>2687</v>
      </c>
      <c r="E6590" s="544" t="s">
        <v>263</v>
      </c>
      <c r="F6590" s="387">
        <v>1.0</v>
      </c>
      <c r="G6590" s="140">
        <v>320000.0</v>
      </c>
      <c r="H6590" s="74"/>
      <c r="I6590" s="74">
        <f t="shared" si="1"/>
        <v>320000</v>
      </c>
      <c r="J6590" s="74">
        <f>IF(E6590="SERVICE",I6590-(I6590*50%),Vlookup(E6590,DATABASE!C:Q,10,false)*F6590)</f>
        <v>0</v>
      </c>
      <c r="K6590" s="74">
        <f>VLOOKUP(E6590,DATABASE!C:Q,7,false)</f>
        <v>334916</v>
      </c>
      <c r="L6590" s="74">
        <v>287688.0</v>
      </c>
      <c r="M6590" s="74">
        <f t="shared" si="2"/>
        <v>290000</v>
      </c>
      <c r="N6590" s="74">
        <f t="shared" si="3"/>
        <v>30000</v>
      </c>
      <c r="O6590" s="65" t="str">
        <f>VLOOKUP(E6590,DATABASE!C:Q,8,false)</f>
        <v>NON</v>
      </c>
      <c r="P6590" s="65">
        <f>VLOOKUP(E6590,DATABASE!C:Q,9,False)</f>
        <v>0</v>
      </c>
      <c r="Q6590" s="93" t="str">
        <f>VLOOKUP(E6590,DATABASE!C:Q,4,false)</f>
        <v>Shell</v>
      </c>
      <c r="R6590" s="93" t="str">
        <f>VLOOKUP(E6590,DATABASE!C:Q,11,false)</f>
        <v>OIL</v>
      </c>
    </row>
    <row r="6591" ht="22.5" customHeight="1">
      <c r="A6591" s="49"/>
      <c r="C6591" s="400">
        <v>46037.0</v>
      </c>
      <c r="D6591" s="524">
        <v>7.0</v>
      </c>
      <c r="E6591" s="544" t="s">
        <v>1076</v>
      </c>
      <c r="F6591" s="387">
        <v>2.0</v>
      </c>
      <c r="G6591" s="140">
        <v>770000.0</v>
      </c>
      <c r="H6591" s="74"/>
      <c r="I6591" s="74">
        <f t="shared" si="1"/>
        <v>1540000</v>
      </c>
      <c r="J6591" s="74">
        <f>IF(E6591="SERVICE",I6591-(I6591*50%),Vlookup(E6591,DATABASE!C:Q,10,false)*F6591)</f>
        <v>0</v>
      </c>
      <c r="K6591" s="74">
        <f>VLOOKUP(E6591,DATABASE!C:Q,7,false)</f>
        <v>666540</v>
      </c>
      <c r="L6591" s="74">
        <v>666540.0</v>
      </c>
      <c r="M6591" s="74">
        <f t="shared" si="2"/>
        <v>670000</v>
      </c>
      <c r="N6591" s="74">
        <f t="shared" si="3"/>
        <v>200000</v>
      </c>
      <c r="O6591" s="65" t="str">
        <f>VLOOKUP(E6591,DATABASE!C:Q,8,false)</f>
        <v>BIAN</v>
      </c>
      <c r="P6591" s="65">
        <f>VLOOKUP(E6591,DATABASE!C:Q,9,False)</f>
        <v>1</v>
      </c>
      <c r="Q6591" s="93" t="str">
        <f>VLOOKUP(E6591,DATABASE!C:Q,4,false)</f>
        <v>GT</v>
      </c>
      <c r="R6591" s="93" t="str">
        <f>VLOOKUP(E6591,DATABASE!C:Q,11,false)</f>
        <v>Tire</v>
      </c>
    </row>
    <row r="6592" ht="22.5" customHeight="1">
      <c r="A6592" s="49"/>
      <c r="C6592" s="400">
        <v>46037.0</v>
      </c>
      <c r="D6592" s="524">
        <v>8.0</v>
      </c>
      <c r="E6592" s="544" t="s">
        <v>256</v>
      </c>
      <c r="F6592" s="387">
        <v>1.0</v>
      </c>
      <c r="G6592" s="140">
        <v>150000.0</v>
      </c>
      <c r="H6592" s="140">
        <v>20000.0</v>
      </c>
      <c r="I6592" s="74">
        <f t="shared" si="1"/>
        <v>130000</v>
      </c>
      <c r="J6592" s="74">
        <f>IF(E6592="SERVICE",I6592-(I6592*50%),Vlookup(E6592,DATABASE!C:Q,10,false)*F6592)</f>
        <v>10000</v>
      </c>
      <c r="K6592" s="74">
        <f>VLOOKUP(E6592,DATABASE!C:Q,7,false)</f>
        <v>0</v>
      </c>
      <c r="L6592" s="74">
        <v>0.0</v>
      </c>
      <c r="M6592" s="74">
        <f t="shared" si="2"/>
        <v>0</v>
      </c>
      <c r="N6592" s="74">
        <f t="shared" si="3"/>
        <v>120000</v>
      </c>
      <c r="O6592" s="65" t="str">
        <f>VLOOKUP(E6592,DATABASE!C:Q,8,false)</f>
        <v>IBU</v>
      </c>
      <c r="P6592" s="65">
        <f>VLOOKUP(E6592,DATABASE!C:Q,9,False)</f>
        <v>0</v>
      </c>
      <c r="Q6592" s="93" t="str">
        <f>VLOOKUP(E6592,DATABASE!C:Q,4,false)</f>
        <v>SPOORING</v>
      </c>
      <c r="R6592" s="93" t="str">
        <f>VLOOKUP(E6592,DATABASE!C:Q,11,false)</f>
        <v>SERVICE</v>
      </c>
    </row>
    <row r="6593" ht="22.5" customHeight="1">
      <c r="A6593" s="49"/>
      <c r="C6593" s="400">
        <v>46037.0</v>
      </c>
      <c r="D6593" s="524">
        <v>8.0</v>
      </c>
      <c r="E6593" s="544" t="s">
        <v>251</v>
      </c>
      <c r="F6593" s="387">
        <v>1.0</v>
      </c>
      <c r="G6593" s="140">
        <v>350000.0</v>
      </c>
      <c r="H6593" s="140">
        <v>270000.0</v>
      </c>
      <c r="I6593" s="74">
        <f t="shared" si="1"/>
        <v>80000</v>
      </c>
      <c r="J6593" s="74">
        <f>IF(E6593="SERVICE",I6593-(I6593*50%),Vlookup(E6593,DATABASE!C:Q,10,false)*F6593)</f>
        <v>40000</v>
      </c>
      <c r="K6593" s="74">
        <f>VLOOKUP(E6593,DATABASE!C:Q,7,false)</f>
        <v>0</v>
      </c>
      <c r="L6593" s="74">
        <v>0.0</v>
      </c>
      <c r="M6593" s="74">
        <f t="shared" si="2"/>
        <v>0</v>
      </c>
      <c r="N6593" s="74">
        <f t="shared" si="3"/>
        <v>40000</v>
      </c>
      <c r="O6593" s="65" t="str">
        <f>VLOOKUP(E6593,DATABASE!C:Q,8,false)</f>
        <v>IBU</v>
      </c>
      <c r="P6593" s="65">
        <f>VLOOKUP(E6593,DATABASE!C:Q,9,False)</f>
        <v>0</v>
      </c>
      <c r="Q6593" s="93" t="str">
        <f>VLOOKUP(E6593,DATABASE!C:Q,4,false)</f>
        <v>SERVICE</v>
      </c>
      <c r="R6593" s="93" t="str">
        <f>VLOOKUP(E6593,DATABASE!C:Q,11,false)</f>
        <v>SERVICE</v>
      </c>
    </row>
    <row r="6594" ht="22.5" customHeight="1">
      <c r="A6594" s="49"/>
      <c r="C6594" s="400">
        <v>46037.0</v>
      </c>
      <c r="D6594" s="524">
        <v>8.0</v>
      </c>
      <c r="E6594" s="544" t="s">
        <v>301</v>
      </c>
      <c r="F6594" s="387">
        <v>1.0</v>
      </c>
      <c r="G6594" s="140">
        <v>250000.0</v>
      </c>
      <c r="H6594" s="74"/>
      <c r="I6594" s="74">
        <f t="shared" si="1"/>
        <v>250000</v>
      </c>
      <c r="J6594" s="74">
        <f>IF(E6594="SERVICE",I6594-(I6594*50%),Vlookup(E6594,DATABASE!C:Q,10,false)*F6594)</f>
        <v>75000</v>
      </c>
      <c r="K6594" s="74">
        <f>VLOOKUP(E6594,DATABASE!C:Q,7,false)</f>
        <v>75000</v>
      </c>
      <c r="L6594" s="74">
        <v>75000.0</v>
      </c>
      <c r="M6594" s="74">
        <f t="shared" si="2"/>
        <v>75000</v>
      </c>
      <c r="N6594" s="74">
        <f t="shared" si="3"/>
        <v>100000</v>
      </c>
      <c r="O6594" s="65" t="str">
        <f>VLOOKUP(E6594,DATABASE!C:Q,8,false)</f>
        <v>BIAN</v>
      </c>
      <c r="P6594" s="65">
        <f>VLOOKUP(E6594,DATABASE!C:Q,9,False)</f>
        <v>0</v>
      </c>
      <c r="Q6594" s="93" t="str">
        <f>VLOOKUP(E6594,DATABASE!C:Q,4,false)</f>
        <v>Baut Camber</v>
      </c>
      <c r="R6594" s="93" t="str">
        <f>VLOOKUP(E6594,DATABASE!C:Q,11,false)</f>
        <v>COMPLEMENTARY</v>
      </c>
    </row>
    <row r="6595" ht="22.5" customHeight="1">
      <c r="A6595" s="49"/>
      <c r="C6595" s="400">
        <v>46037.0</v>
      </c>
      <c r="D6595" s="524">
        <v>9.0</v>
      </c>
      <c r="E6595" s="544" t="s">
        <v>275</v>
      </c>
      <c r="F6595" s="387">
        <v>1.0</v>
      </c>
      <c r="G6595" s="140">
        <v>830000.0</v>
      </c>
      <c r="H6595" s="74"/>
      <c r="I6595" s="74">
        <f t="shared" si="1"/>
        <v>830000</v>
      </c>
      <c r="J6595" s="74">
        <f>IF(E6595="SERVICE",I6595-(I6595*50%),Vlookup(E6595,DATABASE!C:Q,10,false)*F6595)</f>
        <v>0</v>
      </c>
      <c r="K6595" s="74">
        <f>VLOOKUP(E6595,DATABASE!C:Q,7,false)</f>
        <v>782000</v>
      </c>
      <c r="L6595" s="74">
        <v>745000.0</v>
      </c>
      <c r="M6595" s="74">
        <f t="shared" si="2"/>
        <v>745000</v>
      </c>
      <c r="N6595" s="74">
        <f t="shared" si="3"/>
        <v>85000</v>
      </c>
      <c r="O6595" s="65" t="str">
        <f>VLOOKUP(E6595,DATABASE!C:Q,8,false)</f>
        <v>IBU</v>
      </c>
      <c r="P6595" s="65">
        <f>VLOOKUP(E6595,DATABASE!C:Q,9,False)</f>
        <v>1</v>
      </c>
      <c r="Q6595" s="93" t="str">
        <f>VLOOKUP(E6595,DATABASE!C:Q,4,false)</f>
        <v>Dunlop</v>
      </c>
      <c r="R6595" s="93" t="str">
        <f>VLOOKUP(E6595,DATABASE!C:Q,11,false)</f>
        <v>Tire</v>
      </c>
    </row>
    <row r="6596" ht="22.5" customHeight="1">
      <c r="A6596" s="49"/>
      <c r="C6596" s="400">
        <v>46037.0</v>
      </c>
      <c r="D6596" s="524">
        <v>10.0</v>
      </c>
      <c r="E6596" s="544" t="s">
        <v>554</v>
      </c>
      <c r="F6596" s="387">
        <v>2.0</v>
      </c>
      <c r="G6596" s="140">
        <v>800000.0</v>
      </c>
      <c r="H6596" s="140">
        <v>30000.0</v>
      </c>
      <c r="I6596" s="74">
        <f t="shared" si="1"/>
        <v>1540000</v>
      </c>
      <c r="J6596" s="74">
        <f>IF(E6596="SERVICE",I6596-(I6596*50%),Vlookup(E6596,DATABASE!C:Q,10,false)*F6596)</f>
        <v>0</v>
      </c>
      <c r="K6596" s="74">
        <f>VLOOKUP(E6596,DATABASE!C:Q,7,false)</f>
        <v>710000</v>
      </c>
      <c r="L6596" s="74">
        <v>680000.0</v>
      </c>
      <c r="M6596" s="74">
        <f t="shared" si="2"/>
        <v>680000</v>
      </c>
      <c r="N6596" s="74">
        <f t="shared" si="3"/>
        <v>180000</v>
      </c>
      <c r="O6596" s="65" t="str">
        <f>VLOOKUP(E6596,DATABASE!C:Q,8,false)</f>
        <v>IBU</v>
      </c>
      <c r="P6596" s="65">
        <f>VLOOKUP(E6596,DATABASE!C:Q,9,False)</f>
        <v>1</v>
      </c>
      <c r="Q6596" s="93" t="str">
        <f>VLOOKUP(E6596,DATABASE!C:Q,4,false)</f>
        <v>Bridgestone</v>
      </c>
      <c r="R6596" s="93" t="str">
        <f>VLOOKUP(E6596,DATABASE!C:Q,11,false)</f>
        <v>Tire</v>
      </c>
    </row>
    <row r="6597" ht="22.5" customHeight="1">
      <c r="A6597" s="49"/>
      <c r="C6597" s="400">
        <v>46037.0</v>
      </c>
      <c r="D6597" s="524">
        <v>10.0</v>
      </c>
      <c r="E6597" s="544" t="s">
        <v>256</v>
      </c>
      <c r="F6597" s="387">
        <v>1.0</v>
      </c>
      <c r="G6597" s="140">
        <v>150000.0</v>
      </c>
      <c r="H6597" s="140">
        <v>20000.0</v>
      </c>
      <c r="I6597" s="74">
        <f t="shared" si="1"/>
        <v>130000</v>
      </c>
      <c r="J6597" s="74">
        <f>IF(E6597="SERVICE",I6597-(I6597*50%),Vlookup(E6597,DATABASE!C:Q,10,false)*F6597)</f>
        <v>10000</v>
      </c>
      <c r="K6597" s="74">
        <f>VLOOKUP(E6597,DATABASE!C:Q,7,false)</f>
        <v>0</v>
      </c>
      <c r="L6597" s="74">
        <v>0.0</v>
      </c>
      <c r="M6597" s="74">
        <f t="shared" si="2"/>
        <v>0</v>
      </c>
      <c r="N6597" s="74">
        <f t="shared" si="3"/>
        <v>120000</v>
      </c>
      <c r="O6597" s="65" t="str">
        <f>VLOOKUP(E6597,DATABASE!C:Q,8,false)</f>
        <v>IBU</v>
      </c>
      <c r="P6597" s="65">
        <f>VLOOKUP(E6597,DATABASE!C:Q,9,False)</f>
        <v>0</v>
      </c>
      <c r="Q6597" s="93" t="str">
        <f>VLOOKUP(E6597,DATABASE!C:Q,4,false)</f>
        <v>SPOORING</v>
      </c>
      <c r="R6597" s="93" t="str">
        <f>VLOOKUP(E6597,DATABASE!C:Q,11,false)</f>
        <v>SERVICE</v>
      </c>
    </row>
    <row r="6598" ht="22.5" customHeight="1">
      <c r="A6598" s="49"/>
      <c r="C6598" s="400">
        <v>46037.0</v>
      </c>
      <c r="D6598" s="524">
        <v>10.0</v>
      </c>
      <c r="E6598" s="544" t="s">
        <v>301</v>
      </c>
      <c r="F6598" s="387">
        <v>1.0</v>
      </c>
      <c r="G6598" s="140">
        <v>250000.0</v>
      </c>
      <c r="H6598" s="74"/>
      <c r="I6598" s="74">
        <f t="shared" si="1"/>
        <v>250000</v>
      </c>
      <c r="J6598" s="74">
        <f>IF(E6598="SERVICE",I6598-(I6598*50%),Vlookup(E6598,DATABASE!C:Q,10,false)*F6598)</f>
        <v>75000</v>
      </c>
      <c r="K6598" s="74">
        <f>VLOOKUP(E6598,DATABASE!C:Q,7,false)</f>
        <v>75000</v>
      </c>
      <c r="L6598" s="74">
        <v>75000.0</v>
      </c>
      <c r="M6598" s="74">
        <f t="shared" si="2"/>
        <v>75000</v>
      </c>
      <c r="N6598" s="74">
        <f t="shared" si="3"/>
        <v>100000</v>
      </c>
      <c r="O6598" s="65" t="str">
        <f>VLOOKUP(E6598,DATABASE!C:Q,8,false)</f>
        <v>BIAN</v>
      </c>
      <c r="P6598" s="65">
        <f>VLOOKUP(E6598,DATABASE!C:Q,9,False)</f>
        <v>0</v>
      </c>
      <c r="Q6598" s="93" t="str">
        <f>VLOOKUP(E6598,DATABASE!C:Q,4,false)</f>
        <v>Baut Camber</v>
      </c>
      <c r="R6598" s="93" t="str">
        <f>VLOOKUP(E6598,DATABASE!C:Q,11,false)</f>
        <v>COMPLEMENTARY</v>
      </c>
    </row>
    <row r="6599" ht="22.5" customHeight="1">
      <c r="A6599" s="49"/>
      <c r="C6599" s="400">
        <v>46037.0</v>
      </c>
      <c r="D6599" s="524">
        <v>11.0</v>
      </c>
      <c r="E6599" s="544" t="s">
        <v>268</v>
      </c>
      <c r="F6599" s="387">
        <v>2.0</v>
      </c>
      <c r="G6599" s="140">
        <v>710000.0</v>
      </c>
      <c r="H6599" s="140">
        <v>10000.0</v>
      </c>
      <c r="I6599" s="74">
        <f t="shared" si="1"/>
        <v>1400000</v>
      </c>
      <c r="J6599" s="74">
        <f>IF(E6599="SERVICE",I6599-(I6599*50%),Vlookup(E6599,DATABASE!C:Q,10,false)*F6599)</f>
        <v>0</v>
      </c>
      <c r="K6599" s="74">
        <f>VLOOKUP(E6599,DATABASE!C:Q,7,false)</f>
        <v>653000</v>
      </c>
      <c r="L6599" s="74">
        <v>622000.0</v>
      </c>
      <c r="M6599" s="74">
        <f t="shared" si="2"/>
        <v>625000</v>
      </c>
      <c r="N6599" s="74">
        <f t="shared" si="3"/>
        <v>150000</v>
      </c>
      <c r="O6599" s="65" t="str">
        <f>VLOOKUP(E6599,DATABASE!C:Q,8,false)</f>
        <v>IBU</v>
      </c>
      <c r="P6599" s="65">
        <f>VLOOKUP(E6599,DATABASE!C:Q,9,False)</f>
        <v>1</v>
      </c>
      <c r="Q6599" s="93" t="str">
        <f>VLOOKUP(E6599,DATABASE!C:Q,4,false)</f>
        <v>Dunlop</v>
      </c>
      <c r="R6599" s="93" t="str">
        <f>VLOOKUP(E6599,DATABASE!C:Q,11,false)</f>
        <v>Tire</v>
      </c>
    </row>
    <row r="6600" ht="22.5" customHeight="1">
      <c r="A6600" s="49"/>
      <c r="C6600" s="400">
        <v>46037.0</v>
      </c>
      <c r="D6600" s="524">
        <v>12.0</v>
      </c>
      <c r="E6600" s="544" t="s">
        <v>1383</v>
      </c>
      <c r="F6600" s="387">
        <v>2.0</v>
      </c>
      <c r="G6600" s="140">
        <v>912000.0</v>
      </c>
      <c r="H6600" s="140">
        <v>2000.0</v>
      </c>
      <c r="I6600" s="74">
        <f t="shared" si="1"/>
        <v>1820000</v>
      </c>
      <c r="J6600" s="74">
        <f>IF(E6600="SERVICE",I6600-(I6600*50%),Vlookup(E6600,DATABASE!C:Q,10,false)*F6600)</f>
        <v>0</v>
      </c>
      <c r="K6600" s="74">
        <f>VLOOKUP(E6600,DATABASE!C:Q,7,false)</f>
        <v>812000</v>
      </c>
      <c r="L6600" s="74">
        <v>812000.0</v>
      </c>
      <c r="M6600" s="74">
        <f t="shared" si="2"/>
        <v>815000</v>
      </c>
      <c r="N6600" s="74">
        <f t="shared" si="3"/>
        <v>190000</v>
      </c>
      <c r="O6600" s="65" t="str">
        <f>VLOOKUP(E6600,DATABASE!C:Q,8,false)</f>
        <v>IBU</v>
      </c>
      <c r="P6600" s="65">
        <f>VLOOKUP(E6600,DATABASE!C:Q,9,False)</f>
        <v>1</v>
      </c>
      <c r="Q6600" s="93" t="str">
        <f>VLOOKUP(E6600,DATABASE!C:Q,4,false)</f>
        <v>Dunlop</v>
      </c>
      <c r="R6600" s="93" t="str">
        <f>VLOOKUP(E6600,DATABASE!C:Q,11,false)</f>
        <v>Tire</v>
      </c>
    </row>
    <row r="6601" ht="22.5" customHeight="1">
      <c r="A6601" s="49"/>
      <c r="C6601" s="400">
        <v>46037.0</v>
      </c>
      <c r="D6601" s="524">
        <v>12.0</v>
      </c>
      <c r="E6601" s="544" t="s">
        <v>251</v>
      </c>
      <c r="F6601" s="387">
        <v>1.0</v>
      </c>
      <c r="G6601" s="140">
        <v>350000.0</v>
      </c>
      <c r="H6601" s="140">
        <v>200000.0</v>
      </c>
      <c r="I6601" s="74">
        <f t="shared" si="1"/>
        <v>150000</v>
      </c>
      <c r="J6601" s="74">
        <f>IF(E6601="SERVICE",I6601-(I6601*50%),Vlookup(E6601,DATABASE!C:Q,10,false)*F6601)</f>
        <v>75000</v>
      </c>
      <c r="K6601" s="74">
        <f>VLOOKUP(E6601,DATABASE!C:Q,7,false)</f>
        <v>0</v>
      </c>
      <c r="L6601" s="74">
        <v>0.0</v>
      </c>
      <c r="M6601" s="74">
        <f t="shared" si="2"/>
        <v>0</v>
      </c>
      <c r="N6601" s="74">
        <f t="shared" si="3"/>
        <v>75000</v>
      </c>
      <c r="O6601" s="65" t="str">
        <f>VLOOKUP(E6601,DATABASE!C:Q,8,false)</f>
        <v>IBU</v>
      </c>
      <c r="P6601" s="65">
        <f>VLOOKUP(E6601,DATABASE!C:Q,9,False)</f>
        <v>0</v>
      </c>
      <c r="Q6601" s="93" t="str">
        <f>VLOOKUP(E6601,DATABASE!C:Q,4,false)</f>
        <v>SERVICE</v>
      </c>
      <c r="R6601" s="93" t="str">
        <f>VLOOKUP(E6601,DATABASE!C:Q,11,false)</f>
        <v>SERVICE</v>
      </c>
    </row>
    <row r="6602" ht="22.5" customHeight="1">
      <c r="A6602" s="49"/>
      <c r="C6602" s="400">
        <v>46037.0</v>
      </c>
      <c r="D6602" s="524">
        <v>12.0</v>
      </c>
      <c r="E6602" s="544" t="s">
        <v>256</v>
      </c>
      <c r="F6602" s="387">
        <v>1.0</v>
      </c>
      <c r="G6602" s="140">
        <v>150000.0</v>
      </c>
      <c r="H6602" s="140">
        <v>20000.0</v>
      </c>
      <c r="I6602" s="74">
        <f t="shared" si="1"/>
        <v>130000</v>
      </c>
      <c r="J6602" s="74">
        <f>IF(E6602="SERVICE",I6602-(I6602*50%),Vlookup(E6602,DATABASE!C:Q,10,false)*F6602)</f>
        <v>10000</v>
      </c>
      <c r="K6602" s="74">
        <f>VLOOKUP(E6602,DATABASE!C:Q,7,false)</f>
        <v>0</v>
      </c>
      <c r="L6602" s="74">
        <v>0.0</v>
      </c>
      <c r="M6602" s="74">
        <f t="shared" si="2"/>
        <v>0</v>
      </c>
      <c r="N6602" s="74">
        <f t="shared" si="3"/>
        <v>120000</v>
      </c>
      <c r="O6602" s="65" t="str">
        <f>VLOOKUP(E6602,DATABASE!C:Q,8,false)</f>
        <v>IBU</v>
      </c>
      <c r="P6602" s="65">
        <f>VLOOKUP(E6602,DATABASE!C:Q,9,False)</f>
        <v>0</v>
      </c>
      <c r="Q6602" s="93" t="str">
        <f>VLOOKUP(E6602,DATABASE!C:Q,4,false)</f>
        <v>SPOORING</v>
      </c>
      <c r="R6602" s="93" t="str">
        <f>VLOOKUP(E6602,DATABASE!C:Q,11,false)</f>
        <v>SERVICE</v>
      </c>
    </row>
    <row r="6603" ht="22.5" customHeight="1">
      <c r="A6603" s="49"/>
      <c r="C6603" s="400">
        <v>46037.0</v>
      </c>
      <c r="D6603" s="524">
        <v>13.0</v>
      </c>
      <c r="E6603" s="544" t="s">
        <v>299</v>
      </c>
      <c r="F6603" s="387">
        <v>2.0</v>
      </c>
      <c r="G6603" s="140">
        <v>30000.0</v>
      </c>
      <c r="H6603" s="74"/>
      <c r="I6603" s="74">
        <f t="shared" si="1"/>
        <v>60000</v>
      </c>
      <c r="J6603" s="74">
        <f>IF(E6603="SERVICE",I6603-(I6603*50%),Vlookup(E6603,DATABASE!C:Q,10,false)*F6603)</f>
        <v>0</v>
      </c>
      <c r="K6603" s="74">
        <f>VLOOKUP(E6603,DATABASE!C:Q,7,false)</f>
        <v>10000</v>
      </c>
      <c r="L6603" s="74">
        <v>5000.0</v>
      </c>
      <c r="M6603" s="74">
        <f t="shared" si="2"/>
        <v>5000</v>
      </c>
      <c r="N6603" s="74">
        <f t="shared" si="3"/>
        <v>50000</v>
      </c>
      <c r="O6603" s="65" t="str">
        <f>VLOOKUP(E6603,DATABASE!C:Q,8,false)</f>
        <v>BIAN</v>
      </c>
      <c r="P6603" s="65">
        <f>VLOOKUP(E6603,DATABASE!C:Q,9,False)</f>
        <v>0</v>
      </c>
      <c r="Q6603" s="93" t="str">
        <f>VLOOKUP(E6603,DATABASE!C:Q,4,false)</f>
        <v>Balancing</v>
      </c>
      <c r="R6603" s="93" t="str">
        <f>VLOOKUP(E6603,DATABASE!C:Q,11,false)</f>
        <v>COMPLEMENTARY</v>
      </c>
    </row>
    <row r="6604" ht="22.5" customHeight="1">
      <c r="A6604" s="49"/>
      <c r="C6604" s="400">
        <v>46037.0</v>
      </c>
      <c r="D6604" s="524">
        <v>14.0</v>
      </c>
      <c r="E6604" s="544" t="s">
        <v>268</v>
      </c>
      <c r="F6604" s="387">
        <v>2.0</v>
      </c>
      <c r="G6604" s="140">
        <v>710000.0</v>
      </c>
      <c r="H6604" s="74"/>
      <c r="I6604" s="74">
        <f t="shared" si="1"/>
        <v>1420000</v>
      </c>
      <c r="J6604" s="74">
        <f>IF(E6604="SERVICE",I6604-(I6604*50%),Vlookup(E6604,DATABASE!C:Q,10,false)*F6604)</f>
        <v>0</v>
      </c>
      <c r="K6604" s="74">
        <f>VLOOKUP(E6604,DATABASE!C:Q,7,false)</f>
        <v>653000</v>
      </c>
      <c r="L6604" s="74">
        <v>622000.0</v>
      </c>
      <c r="M6604" s="74">
        <f t="shared" si="2"/>
        <v>625000</v>
      </c>
      <c r="N6604" s="74">
        <f t="shared" si="3"/>
        <v>170000</v>
      </c>
      <c r="O6604" s="65" t="str">
        <f>VLOOKUP(E6604,DATABASE!C:Q,8,false)</f>
        <v>IBU</v>
      </c>
      <c r="P6604" s="65">
        <f>VLOOKUP(E6604,DATABASE!C:Q,9,False)</f>
        <v>1</v>
      </c>
      <c r="Q6604" s="93" t="str">
        <f>VLOOKUP(E6604,DATABASE!C:Q,4,false)</f>
        <v>Dunlop</v>
      </c>
      <c r="R6604" s="93" t="str">
        <f>VLOOKUP(E6604,DATABASE!C:Q,11,false)</f>
        <v>Tire</v>
      </c>
    </row>
    <row r="6605" ht="22.5" customHeight="1">
      <c r="A6605" s="49"/>
      <c r="C6605" s="400">
        <v>46037.0</v>
      </c>
      <c r="D6605" s="524">
        <v>15.0</v>
      </c>
      <c r="E6605" s="544" t="s">
        <v>605</v>
      </c>
      <c r="F6605" s="387">
        <v>1.0</v>
      </c>
      <c r="G6605" s="140">
        <v>760000.0</v>
      </c>
      <c r="H6605" s="140">
        <v>25000.0</v>
      </c>
      <c r="I6605" s="74">
        <f t="shared" si="1"/>
        <v>735000</v>
      </c>
      <c r="J6605" s="74">
        <f>IF(E6605="SERVICE",I6605-(I6605*50%),Vlookup(E6605,DATABASE!C:Q,10,false)*F6605)</f>
        <v>0</v>
      </c>
      <c r="K6605" s="74">
        <f>VLOOKUP(E6605,DATABASE!C:Q,7,false)</f>
        <v>675000</v>
      </c>
      <c r="L6605" s="74">
        <v>650000.0</v>
      </c>
      <c r="M6605" s="74">
        <f t="shared" si="2"/>
        <v>650000</v>
      </c>
      <c r="N6605" s="74">
        <f t="shared" si="3"/>
        <v>85000</v>
      </c>
      <c r="O6605" s="65" t="str">
        <f>VLOOKUP(E6605,DATABASE!C:Q,8,false)</f>
        <v>IBU</v>
      </c>
      <c r="P6605" s="65">
        <f>VLOOKUP(E6605,DATABASE!C:Q,9,False)</f>
        <v>1</v>
      </c>
      <c r="Q6605" s="93" t="str">
        <f>VLOOKUP(E6605,DATABASE!C:Q,4,false)</f>
        <v>Bridgestone</v>
      </c>
      <c r="R6605" s="93" t="str">
        <f>VLOOKUP(E6605,DATABASE!C:Q,11,false)</f>
        <v>Tire</v>
      </c>
    </row>
    <row r="6606" ht="22.5" customHeight="1">
      <c r="A6606" s="49"/>
      <c r="C6606" s="400">
        <v>46037.0</v>
      </c>
      <c r="D6606" s="69" t="s">
        <v>2688</v>
      </c>
      <c r="E6606" s="544" t="s">
        <v>252</v>
      </c>
      <c r="F6606" s="387">
        <v>1.0</v>
      </c>
      <c r="G6606" s="140">
        <v>300000.0</v>
      </c>
      <c r="H6606" s="74"/>
      <c r="I6606" s="74">
        <f t="shared" si="1"/>
        <v>300000</v>
      </c>
      <c r="J6606" s="74">
        <f>IF(E6606="SERVICE",I6606-(I6606*50%),Vlookup(E6606,DATABASE!C:Q,10,false)*F6606)</f>
        <v>0</v>
      </c>
      <c r="K6606" s="74">
        <f>VLOOKUP(E6606,DATABASE!C:Q,7,false)</f>
        <v>317518</v>
      </c>
      <c r="L6606" s="74">
        <v>271778.0</v>
      </c>
      <c r="M6606" s="74">
        <f t="shared" si="2"/>
        <v>275000</v>
      </c>
      <c r="N6606" s="74">
        <f t="shared" si="3"/>
        <v>25000</v>
      </c>
      <c r="O6606" s="65" t="str">
        <f>VLOOKUP(E6606,DATABASE!C:Q,8,false)</f>
        <v>NON</v>
      </c>
      <c r="P6606" s="65">
        <f>VLOOKUP(E6606,DATABASE!C:Q,9,False)</f>
        <v>0</v>
      </c>
      <c r="Q6606" s="93" t="str">
        <f>VLOOKUP(E6606,DATABASE!C:Q,4,false)</f>
        <v>Shell</v>
      </c>
      <c r="R6606" s="93" t="str">
        <f>VLOOKUP(E6606,DATABASE!C:Q,11,false)</f>
        <v>OIL</v>
      </c>
    </row>
    <row r="6607" ht="22.5" customHeight="1">
      <c r="A6607" s="49"/>
      <c r="C6607" s="400">
        <v>46037.0</v>
      </c>
      <c r="D6607" s="69" t="s">
        <v>2689</v>
      </c>
      <c r="E6607" s="544" t="s">
        <v>263</v>
      </c>
      <c r="F6607" s="387">
        <v>1.0</v>
      </c>
      <c r="G6607" s="140">
        <v>320000.0</v>
      </c>
      <c r="H6607" s="74"/>
      <c r="I6607" s="74">
        <f t="shared" si="1"/>
        <v>320000</v>
      </c>
      <c r="J6607" s="74">
        <f>IF(E6607="SERVICE",I6607-(I6607*50%),Vlookup(E6607,DATABASE!C:Q,10,false)*F6607)</f>
        <v>0</v>
      </c>
      <c r="K6607" s="74">
        <f>VLOOKUP(E6607,DATABASE!C:Q,7,false)</f>
        <v>334916</v>
      </c>
      <c r="L6607" s="74">
        <v>287688.0</v>
      </c>
      <c r="M6607" s="74">
        <f t="shared" si="2"/>
        <v>290000</v>
      </c>
      <c r="N6607" s="74">
        <f t="shared" si="3"/>
        <v>30000</v>
      </c>
      <c r="O6607" s="65" t="str">
        <f>VLOOKUP(E6607,DATABASE!C:Q,8,false)</f>
        <v>NON</v>
      </c>
      <c r="P6607" s="65">
        <f>VLOOKUP(E6607,DATABASE!C:Q,9,False)</f>
        <v>0</v>
      </c>
      <c r="Q6607" s="93" t="str">
        <f>VLOOKUP(E6607,DATABASE!C:Q,4,false)</f>
        <v>Shell</v>
      </c>
      <c r="R6607" s="93" t="str">
        <f>VLOOKUP(E6607,DATABASE!C:Q,11,false)</f>
        <v>OIL</v>
      </c>
    </row>
    <row r="6608" ht="22.5" customHeight="1">
      <c r="A6608" s="49"/>
      <c r="C6608" s="400">
        <v>46038.0</v>
      </c>
      <c r="D6608" s="524">
        <v>16.0</v>
      </c>
      <c r="E6608" s="544" t="s">
        <v>605</v>
      </c>
      <c r="F6608" s="387">
        <v>1.0</v>
      </c>
      <c r="G6608" s="140">
        <v>760000.0</v>
      </c>
      <c r="H6608" s="140">
        <v>25000.0</v>
      </c>
      <c r="I6608" s="74">
        <f t="shared" si="1"/>
        <v>735000</v>
      </c>
      <c r="J6608" s="74">
        <f>IF(E6608="SERVICE",I6608-(I6608*50%),Vlookup(E6608,DATABASE!C:Q,10,false)*F6608)</f>
        <v>0</v>
      </c>
      <c r="K6608" s="74">
        <f>VLOOKUP(E6608,DATABASE!C:Q,7,false)</f>
        <v>675000</v>
      </c>
      <c r="L6608" s="74">
        <v>650000.0</v>
      </c>
      <c r="M6608" s="74">
        <f t="shared" si="2"/>
        <v>650000</v>
      </c>
      <c r="N6608" s="74">
        <f t="shared" si="3"/>
        <v>85000</v>
      </c>
      <c r="O6608" s="65" t="str">
        <f>VLOOKUP(E6608,DATABASE!C:Q,8,false)</f>
        <v>IBU</v>
      </c>
      <c r="P6608" s="65">
        <f>VLOOKUP(E6608,DATABASE!C:Q,9,False)</f>
        <v>1</v>
      </c>
      <c r="Q6608" s="93" t="str">
        <f>VLOOKUP(E6608,DATABASE!C:Q,4,false)</f>
        <v>Bridgestone</v>
      </c>
      <c r="R6608" s="93" t="str">
        <f>VLOOKUP(E6608,DATABASE!C:Q,11,false)</f>
        <v>Tire</v>
      </c>
    </row>
    <row r="6609" ht="22.5" customHeight="1">
      <c r="A6609" s="49"/>
      <c r="C6609" s="400">
        <v>46038.0</v>
      </c>
      <c r="D6609" s="524">
        <v>17.0</v>
      </c>
      <c r="E6609" s="544" t="s">
        <v>299</v>
      </c>
      <c r="F6609" s="387">
        <v>2.0</v>
      </c>
      <c r="G6609" s="140">
        <v>30000.0</v>
      </c>
      <c r="H6609" s="74"/>
      <c r="I6609" s="74">
        <f t="shared" si="1"/>
        <v>60000</v>
      </c>
      <c r="J6609" s="74">
        <f>IF(E6609="SERVICE",I6609-(I6609*50%),Vlookup(E6609,DATABASE!C:Q,10,false)*F6609)</f>
        <v>0</v>
      </c>
      <c r="K6609" s="74">
        <f>VLOOKUP(E6609,DATABASE!C:Q,7,false)</f>
        <v>10000</v>
      </c>
      <c r="L6609" s="74">
        <v>5000.0</v>
      </c>
      <c r="M6609" s="74">
        <f t="shared" si="2"/>
        <v>5000</v>
      </c>
      <c r="N6609" s="74">
        <f t="shared" si="3"/>
        <v>50000</v>
      </c>
      <c r="O6609" s="65" t="str">
        <f>VLOOKUP(E6609,DATABASE!C:Q,8,false)</f>
        <v>BIAN</v>
      </c>
      <c r="P6609" s="65">
        <f>VLOOKUP(E6609,DATABASE!C:Q,9,False)</f>
        <v>0</v>
      </c>
      <c r="Q6609" s="93" t="str">
        <f>VLOOKUP(E6609,DATABASE!C:Q,4,false)</f>
        <v>Balancing</v>
      </c>
      <c r="R6609" s="93" t="str">
        <f>VLOOKUP(E6609,DATABASE!C:Q,11,false)</f>
        <v>COMPLEMENTARY</v>
      </c>
    </row>
    <row r="6610" ht="22.5" customHeight="1">
      <c r="A6610" s="49"/>
      <c r="C6610" s="400">
        <v>46038.0</v>
      </c>
      <c r="D6610" s="524">
        <v>17.0</v>
      </c>
      <c r="E6610" s="544" t="s">
        <v>878</v>
      </c>
      <c r="F6610" s="387">
        <v>4.0</v>
      </c>
      <c r="G6610" s="140">
        <v>50000.0</v>
      </c>
      <c r="H6610" s="140">
        <v>10000.0</v>
      </c>
      <c r="I6610" s="74">
        <f t="shared" si="1"/>
        <v>160000</v>
      </c>
      <c r="J6610" s="74">
        <f>IF(E6610="SERVICE",I6610-(I6610*50%),Vlookup(E6610,DATABASE!C:Q,10,false)*F6610)</f>
        <v>0</v>
      </c>
      <c r="K6610" s="74">
        <f>VLOOKUP(E6610,DATABASE!C:Q,7,false)</f>
        <v>0</v>
      </c>
      <c r="L6610" s="74">
        <v>0.0</v>
      </c>
      <c r="M6610" s="74">
        <f t="shared" si="2"/>
        <v>0</v>
      </c>
      <c r="N6610" s="74">
        <f t="shared" si="3"/>
        <v>160000</v>
      </c>
      <c r="O6610" s="65" t="str">
        <f>VLOOKUP(E6610,DATABASE!C:Q,8,false)</f>
        <v>IBU</v>
      </c>
      <c r="P6610" s="65">
        <f>VLOOKUP(E6610,DATABASE!C:Q,9,False)</f>
        <v>0</v>
      </c>
      <c r="Q6610" s="93" t="str">
        <f>VLOOKUP(E6610,DATABASE!C:Q,4,false)</f>
        <v>Bongkar Pasang 17</v>
      </c>
      <c r="R6610" s="93" t="str">
        <f>VLOOKUP(E6610,DATABASE!C:Q,11,false)</f>
        <v>SERVICE</v>
      </c>
    </row>
    <row r="6611" ht="22.5" customHeight="1">
      <c r="A6611" s="49"/>
      <c r="C6611" s="400">
        <v>46038.0</v>
      </c>
      <c r="D6611" s="524">
        <v>18.0</v>
      </c>
      <c r="E6611" s="544" t="s">
        <v>256</v>
      </c>
      <c r="F6611" s="387">
        <v>1.0</v>
      </c>
      <c r="G6611" s="140">
        <v>150000.0</v>
      </c>
      <c r="H6611" s="140">
        <v>20000.0</v>
      </c>
      <c r="I6611" s="74">
        <f t="shared" si="1"/>
        <v>130000</v>
      </c>
      <c r="J6611" s="74">
        <f>IF(E6611="SERVICE",I6611-(I6611*50%),Vlookup(E6611,DATABASE!C:Q,10,false)*F6611)</f>
        <v>10000</v>
      </c>
      <c r="K6611" s="74">
        <f>VLOOKUP(E6611,DATABASE!C:Q,7,false)</f>
        <v>0</v>
      </c>
      <c r="L6611" s="74">
        <v>0.0</v>
      </c>
      <c r="M6611" s="74">
        <f t="shared" si="2"/>
        <v>0</v>
      </c>
      <c r="N6611" s="74">
        <f t="shared" si="3"/>
        <v>120000</v>
      </c>
      <c r="O6611" s="65" t="str">
        <f>VLOOKUP(E6611,DATABASE!C:Q,8,false)</f>
        <v>IBU</v>
      </c>
      <c r="P6611" s="65">
        <f>VLOOKUP(E6611,DATABASE!C:Q,9,False)</f>
        <v>0</v>
      </c>
      <c r="Q6611" s="93" t="str">
        <f>VLOOKUP(E6611,DATABASE!C:Q,4,false)</f>
        <v>SPOORING</v>
      </c>
      <c r="R6611" s="93" t="str">
        <f>VLOOKUP(E6611,DATABASE!C:Q,11,false)</f>
        <v>SERVICE</v>
      </c>
    </row>
    <row r="6612" ht="22.5" customHeight="1">
      <c r="A6612" s="49"/>
      <c r="C6612" s="400">
        <v>46038.0</v>
      </c>
      <c r="D6612" s="524">
        <v>18.0</v>
      </c>
      <c r="E6612" s="544" t="s">
        <v>299</v>
      </c>
      <c r="F6612" s="387">
        <v>2.0</v>
      </c>
      <c r="G6612" s="140">
        <v>30000.0</v>
      </c>
      <c r="H6612" s="74"/>
      <c r="I6612" s="74">
        <f t="shared" si="1"/>
        <v>60000</v>
      </c>
      <c r="J6612" s="74">
        <f>IF(E6612="SERVICE",I6612-(I6612*50%),Vlookup(E6612,DATABASE!C:Q,10,false)*F6612)</f>
        <v>0</v>
      </c>
      <c r="K6612" s="74">
        <f>VLOOKUP(E6612,DATABASE!C:Q,7,false)</f>
        <v>10000</v>
      </c>
      <c r="L6612" s="74">
        <v>5000.0</v>
      </c>
      <c r="M6612" s="74">
        <f t="shared" si="2"/>
        <v>5000</v>
      </c>
      <c r="N6612" s="74">
        <f t="shared" si="3"/>
        <v>50000</v>
      </c>
      <c r="O6612" s="65" t="str">
        <f>VLOOKUP(E6612,DATABASE!C:Q,8,false)</f>
        <v>BIAN</v>
      </c>
      <c r="P6612" s="65">
        <f>VLOOKUP(E6612,DATABASE!C:Q,9,False)</f>
        <v>0</v>
      </c>
      <c r="Q6612" s="93" t="str">
        <f>VLOOKUP(E6612,DATABASE!C:Q,4,false)</f>
        <v>Balancing</v>
      </c>
      <c r="R6612" s="93" t="str">
        <f>VLOOKUP(E6612,DATABASE!C:Q,11,false)</f>
        <v>COMPLEMENTARY</v>
      </c>
    </row>
    <row r="6613" ht="22.5" customHeight="1">
      <c r="A6613" s="49"/>
      <c r="C6613" s="400">
        <v>46038.0</v>
      </c>
      <c r="D6613" s="524">
        <v>18.0</v>
      </c>
      <c r="E6613" s="544" t="s">
        <v>251</v>
      </c>
      <c r="F6613" s="387">
        <v>1.0</v>
      </c>
      <c r="G6613" s="140">
        <v>350000.0</v>
      </c>
      <c r="H6613" s="140">
        <v>200000.0</v>
      </c>
      <c r="I6613" s="74">
        <f t="shared" si="1"/>
        <v>150000</v>
      </c>
      <c r="J6613" s="74">
        <f>IF(E6613="SERVICE",I6613-(I6613*50%),Vlookup(E6613,DATABASE!C:Q,10,false)*F6613)</f>
        <v>75000</v>
      </c>
      <c r="K6613" s="74">
        <f>VLOOKUP(E6613,DATABASE!C:Q,7,false)</f>
        <v>0</v>
      </c>
      <c r="L6613" s="74">
        <v>0.0</v>
      </c>
      <c r="M6613" s="74">
        <f t="shared" si="2"/>
        <v>0</v>
      </c>
      <c r="N6613" s="74">
        <f t="shared" si="3"/>
        <v>75000</v>
      </c>
      <c r="O6613" s="65" t="str">
        <f>VLOOKUP(E6613,DATABASE!C:Q,8,false)</f>
        <v>IBU</v>
      </c>
      <c r="P6613" s="65">
        <f>VLOOKUP(E6613,DATABASE!C:Q,9,False)</f>
        <v>0</v>
      </c>
      <c r="Q6613" s="93" t="str">
        <f>VLOOKUP(E6613,DATABASE!C:Q,4,false)</f>
        <v>SERVICE</v>
      </c>
      <c r="R6613" s="93" t="str">
        <f>VLOOKUP(E6613,DATABASE!C:Q,11,false)</f>
        <v>SERVICE</v>
      </c>
    </row>
    <row r="6614" ht="22.5" customHeight="1">
      <c r="A6614" s="49"/>
      <c r="C6614" s="400">
        <v>46038.0</v>
      </c>
      <c r="D6614" s="524">
        <v>19.0</v>
      </c>
      <c r="E6614" s="544" t="s">
        <v>275</v>
      </c>
      <c r="F6614" s="387">
        <v>2.0</v>
      </c>
      <c r="G6614" s="140">
        <v>830000.0</v>
      </c>
      <c r="H6614" s="74"/>
      <c r="I6614" s="74">
        <f t="shared" si="1"/>
        <v>1660000</v>
      </c>
      <c r="J6614" s="74">
        <f>IF(E6614="SERVICE",I6614-(I6614*50%),Vlookup(E6614,DATABASE!C:Q,10,false)*F6614)</f>
        <v>0</v>
      </c>
      <c r="K6614" s="74">
        <f>VLOOKUP(E6614,DATABASE!C:Q,7,false)</f>
        <v>782000</v>
      </c>
      <c r="L6614" s="74">
        <v>745000.0</v>
      </c>
      <c r="M6614" s="74">
        <f t="shared" si="2"/>
        <v>745000</v>
      </c>
      <c r="N6614" s="74">
        <f t="shared" si="3"/>
        <v>170000</v>
      </c>
      <c r="O6614" s="65" t="str">
        <f>VLOOKUP(E6614,DATABASE!C:Q,8,false)</f>
        <v>IBU</v>
      </c>
      <c r="P6614" s="65">
        <f>VLOOKUP(E6614,DATABASE!C:Q,9,False)</f>
        <v>1</v>
      </c>
      <c r="Q6614" s="93" t="str">
        <f>VLOOKUP(E6614,DATABASE!C:Q,4,false)</f>
        <v>Dunlop</v>
      </c>
      <c r="R6614" s="93" t="str">
        <f>VLOOKUP(E6614,DATABASE!C:Q,11,false)</f>
        <v>Tire</v>
      </c>
    </row>
    <row r="6615" ht="22.5" customHeight="1">
      <c r="A6615" s="49"/>
      <c r="C6615" s="400">
        <v>46038.0</v>
      </c>
      <c r="D6615" s="524">
        <v>20.0</v>
      </c>
      <c r="E6615" s="544" t="s">
        <v>268</v>
      </c>
      <c r="F6615" s="387">
        <v>2.0</v>
      </c>
      <c r="G6615" s="140">
        <v>710000.0</v>
      </c>
      <c r="H6615" s="74"/>
      <c r="I6615" s="74">
        <f t="shared" si="1"/>
        <v>1420000</v>
      </c>
      <c r="J6615" s="74">
        <f>IF(E6615="SERVICE",I6615-(I6615*50%),Vlookup(E6615,DATABASE!C:Q,10,false)*F6615)</f>
        <v>0</v>
      </c>
      <c r="K6615" s="74">
        <f>VLOOKUP(E6615,DATABASE!C:Q,7,false)</f>
        <v>653000</v>
      </c>
      <c r="L6615" s="74">
        <v>622000.0</v>
      </c>
      <c r="M6615" s="74">
        <f t="shared" si="2"/>
        <v>625000</v>
      </c>
      <c r="N6615" s="74">
        <f t="shared" si="3"/>
        <v>170000</v>
      </c>
      <c r="O6615" s="65" t="str">
        <f>VLOOKUP(E6615,DATABASE!C:Q,8,false)</f>
        <v>IBU</v>
      </c>
      <c r="P6615" s="65">
        <f>VLOOKUP(E6615,DATABASE!C:Q,9,False)</f>
        <v>1</v>
      </c>
      <c r="Q6615" s="93" t="str">
        <f>VLOOKUP(E6615,DATABASE!C:Q,4,false)</f>
        <v>Dunlop</v>
      </c>
      <c r="R6615" s="93" t="str">
        <f>VLOOKUP(E6615,DATABASE!C:Q,11,false)</f>
        <v>Tire</v>
      </c>
    </row>
    <row r="6616" ht="22.5" customHeight="1">
      <c r="A6616" s="49"/>
      <c r="C6616" s="400">
        <v>46038.0</v>
      </c>
      <c r="D6616" s="524">
        <v>21.0</v>
      </c>
      <c r="E6616" s="544" t="s">
        <v>781</v>
      </c>
      <c r="F6616" s="387">
        <v>2.0</v>
      </c>
      <c r="G6616" s="140">
        <v>530000.0</v>
      </c>
      <c r="H6616" s="74"/>
      <c r="I6616" s="74">
        <f t="shared" si="1"/>
        <v>1060000</v>
      </c>
      <c r="J6616" s="74">
        <f>IF(E6616="SERVICE",I6616-(I6616*50%),Vlookup(E6616,DATABASE!C:Q,10,false)*F6616)</f>
        <v>0</v>
      </c>
      <c r="K6616" s="74">
        <f>VLOOKUP(E6616,DATABASE!C:Q,7,false)</f>
        <v>470000</v>
      </c>
      <c r="L6616" s="74">
        <v>442500.0</v>
      </c>
      <c r="M6616" s="74">
        <f t="shared" si="2"/>
        <v>445000</v>
      </c>
      <c r="N6616" s="74">
        <f t="shared" si="3"/>
        <v>170000</v>
      </c>
      <c r="O6616" s="65" t="str">
        <f>VLOOKUP(E6616,DATABASE!C:Q,8,false)</f>
        <v>BIAN</v>
      </c>
      <c r="P6616" s="65">
        <f>VLOOKUP(E6616,DATABASE!C:Q,9,False)</f>
        <v>1</v>
      </c>
      <c r="Q6616" s="93" t="str">
        <f>VLOOKUP(E6616,DATABASE!C:Q,4,false)</f>
        <v>GT</v>
      </c>
      <c r="R6616" s="93" t="str">
        <f>VLOOKUP(E6616,DATABASE!C:Q,11,false)</f>
        <v>Tire</v>
      </c>
    </row>
    <row r="6617" ht="22.5" customHeight="1">
      <c r="A6617" s="49"/>
      <c r="C6617" s="400">
        <v>46038.0</v>
      </c>
      <c r="D6617" s="524">
        <v>22.0</v>
      </c>
      <c r="E6617" s="544" t="s">
        <v>791</v>
      </c>
      <c r="F6617" s="387">
        <v>2.0</v>
      </c>
      <c r="G6617" s="140">
        <v>1280000.0</v>
      </c>
      <c r="H6617" s="74"/>
      <c r="I6617" s="74">
        <f t="shared" si="1"/>
        <v>2560000</v>
      </c>
      <c r="J6617" s="74">
        <f>IF(E6617="SERVICE",I6617-(I6617*50%),Vlookup(E6617,DATABASE!C:Q,10,false)*F6617)</f>
        <v>0</v>
      </c>
      <c r="K6617" s="74">
        <f>VLOOKUP(E6617,DATABASE!C:Q,7,false)</f>
        <v>1210000</v>
      </c>
      <c r="L6617" s="74">
        <v>1180000.0</v>
      </c>
      <c r="M6617" s="74">
        <f t="shared" si="2"/>
        <v>1180000</v>
      </c>
      <c r="N6617" s="74">
        <f t="shared" si="3"/>
        <v>200000</v>
      </c>
      <c r="O6617" s="65" t="str">
        <f>VLOOKUP(E6617,DATABASE!C:Q,8,false)</f>
        <v>BIAN</v>
      </c>
      <c r="P6617" s="65">
        <f>VLOOKUP(E6617,DATABASE!C:Q,9,False)</f>
        <v>1</v>
      </c>
      <c r="Q6617" s="93" t="str">
        <f>VLOOKUP(E6617,DATABASE!C:Q,4,false)</f>
        <v>GT</v>
      </c>
      <c r="R6617" s="93" t="str">
        <f>VLOOKUP(E6617,DATABASE!C:Q,11,false)</f>
        <v>Tire</v>
      </c>
    </row>
    <row r="6618" ht="22.5" customHeight="1">
      <c r="A6618" s="49"/>
      <c r="C6618" s="400">
        <v>46038.0</v>
      </c>
      <c r="D6618" s="69">
        <v>24.0</v>
      </c>
      <c r="E6618" s="544" t="s">
        <v>955</v>
      </c>
      <c r="F6618" s="387">
        <v>1.0</v>
      </c>
      <c r="G6618" s="140">
        <v>770000.0</v>
      </c>
      <c r="H6618" s="74"/>
      <c r="I6618" s="74">
        <f t="shared" si="1"/>
        <v>770000</v>
      </c>
      <c r="J6618" s="74">
        <f>IF(E6618="SERVICE",I6618-(I6618*50%),Vlookup(E6618,DATABASE!C:Q,10,false)*F6618)</f>
        <v>0</v>
      </c>
      <c r="K6618" s="74">
        <f>VLOOKUP(E6618,DATABASE!C:Q,7,false)</f>
        <v>712000</v>
      </c>
      <c r="L6618" s="74">
        <v>674000.0</v>
      </c>
      <c r="M6618" s="74">
        <f t="shared" si="2"/>
        <v>675000</v>
      </c>
      <c r="N6618" s="74">
        <f t="shared" si="3"/>
        <v>95000</v>
      </c>
      <c r="O6618" s="65" t="str">
        <f>VLOOKUP(E6618,DATABASE!C:Q,8,false)</f>
        <v>IBU</v>
      </c>
      <c r="P6618" s="65">
        <f>VLOOKUP(E6618,DATABASE!C:Q,9,False)</f>
        <v>1</v>
      </c>
      <c r="Q6618" s="93" t="str">
        <f>VLOOKUP(E6618,DATABASE!C:Q,4,false)</f>
        <v>Dunlop</v>
      </c>
      <c r="R6618" s="93" t="str">
        <f>VLOOKUP(E6618,DATABASE!C:Q,11,false)</f>
        <v>Tire</v>
      </c>
    </row>
    <row r="6619" ht="22.5" customHeight="1">
      <c r="A6619" s="49"/>
      <c r="C6619" s="400">
        <v>46038.0</v>
      </c>
      <c r="D6619" s="524">
        <v>24.0</v>
      </c>
      <c r="E6619" s="544" t="s">
        <v>2140</v>
      </c>
      <c r="F6619" s="387">
        <v>2.0</v>
      </c>
      <c r="G6619" s="140">
        <v>35000.0</v>
      </c>
      <c r="H6619" s="140">
        <v>10000.0</v>
      </c>
      <c r="I6619" s="74">
        <f t="shared" si="1"/>
        <v>50000</v>
      </c>
      <c r="J6619" s="74">
        <f>IF(E6619="SERVICE",I6619-(I6619*50%),Vlookup(E6619,DATABASE!C:Q,10,false)*F6619)</f>
        <v>0</v>
      </c>
      <c r="K6619" s="74">
        <f>VLOOKUP(E6619,DATABASE!C:Q,7,false)</f>
        <v>5000</v>
      </c>
      <c r="L6619" s="74">
        <v>0.0</v>
      </c>
      <c r="M6619" s="74">
        <f t="shared" si="2"/>
        <v>0</v>
      </c>
      <c r="N6619" s="74">
        <f t="shared" si="3"/>
        <v>50000</v>
      </c>
      <c r="O6619" s="65" t="str">
        <f>VLOOKUP(E6619,DATABASE!C:Q,8,false)</f>
        <v>IBU</v>
      </c>
      <c r="P6619" s="65">
        <f>VLOOKUP(E6619,DATABASE!C:Q,9,False)</f>
        <v>0</v>
      </c>
      <c r="Q6619" s="93" t="str">
        <f>VLOOKUP(E6619,DATABASE!C:Q,4,false)</f>
        <v>PENTIL + PASANG</v>
      </c>
      <c r="R6619" s="93" t="str">
        <f>VLOOKUP(E6619,DATABASE!C:Q,11,false)</f>
        <v>COMPLEMENTARY</v>
      </c>
    </row>
    <row r="6620" ht="22.5" customHeight="1">
      <c r="A6620" s="49"/>
      <c r="C6620" s="400">
        <v>46038.0</v>
      </c>
      <c r="D6620" s="524">
        <v>25.0</v>
      </c>
      <c r="E6620" s="544" t="s">
        <v>937</v>
      </c>
      <c r="F6620" s="387">
        <v>1.0</v>
      </c>
      <c r="G6620" s="140">
        <v>900000.0</v>
      </c>
      <c r="H6620" s="140">
        <v>20000.0</v>
      </c>
      <c r="I6620" s="74">
        <f t="shared" si="1"/>
        <v>880000</v>
      </c>
      <c r="J6620" s="74">
        <f>IF(E6620="SERVICE",I6620-(I6620*50%),Vlookup(E6620,DATABASE!C:Q,10,false)*F6620)</f>
        <v>0</v>
      </c>
      <c r="K6620" s="74">
        <f>VLOOKUP(E6620,DATABASE!C:Q,7,false)</f>
        <v>825000</v>
      </c>
      <c r="L6620" s="74">
        <v>790000.0</v>
      </c>
      <c r="M6620" s="74">
        <f t="shared" si="2"/>
        <v>790000</v>
      </c>
      <c r="N6620" s="74">
        <f t="shared" si="3"/>
        <v>90000</v>
      </c>
      <c r="O6620" s="65" t="str">
        <f>VLOOKUP(E6620,DATABASE!C:Q,8,false)</f>
        <v>IBU</v>
      </c>
      <c r="P6620" s="65">
        <f>VLOOKUP(E6620,DATABASE!C:Q,9,False)</f>
        <v>1</v>
      </c>
      <c r="Q6620" s="93" t="str">
        <f>VLOOKUP(E6620,DATABASE!C:Q,4,false)</f>
        <v>Bridgestone</v>
      </c>
      <c r="R6620" s="93" t="str">
        <f>VLOOKUP(E6620,DATABASE!C:Q,11,false)</f>
        <v>Tire</v>
      </c>
    </row>
    <row r="6621" ht="22.5" customHeight="1">
      <c r="A6621" s="49"/>
      <c r="C6621" s="400">
        <v>46038.0</v>
      </c>
      <c r="D6621" s="524">
        <v>26.0</v>
      </c>
      <c r="E6621" s="544" t="s">
        <v>781</v>
      </c>
      <c r="F6621" s="387">
        <v>2.0</v>
      </c>
      <c r="G6621" s="140">
        <v>530000.0</v>
      </c>
      <c r="H6621" s="74"/>
      <c r="I6621" s="74">
        <f t="shared" si="1"/>
        <v>1060000</v>
      </c>
      <c r="J6621" s="74">
        <f>IF(E6621="SERVICE",I6621-(I6621*50%),Vlookup(E6621,DATABASE!C:Q,10,false)*F6621)</f>
        <v>0</v>
      </c>
      <c r="K6621" s="74">
        <f>VLOOKUP(E6621,DATABASE!C:Q,7,false)</f>
        <v>470000</v>
      </c>
      <c r="L6621" s="74">
        <v>442500.0</v>
      </c>
      <c r="M6621" s="74">
        <f t="shared" si="2"/>
        <v>445000</v>
      </c>
      <c r="N6621" s="74">
        <f t="shared" si="3"/>
        <v>170000</v>
      </c>
      <c r="O6621" s="65" t="str">
        <f>VLOOKUP(E6621,DATABASE!C:Q,8,false)</f>
        <v>BIAN</v>
      </c>
      <c r="P6621" s="65">
        <f>VLOOKUP(E6621,DATABASE!C:Q,9,False)</f>
        <v>1</v>
      </c>
      <c r="Q6621" s="93" t="str">
        <f>VLOOKUP(E6621,DATABASE!C:Q,4,false)</f>
        <v>GT</v>
      </c>
      <c r="R6621" s="93" t="str">
        <f>VLOOKUP(E6621,DATABASE!C:Q,11,false)</f>
        <v>Tire</v>
      </c>
    </row>
    <row r="6622" ht="22.5" customHeight="1">
      <c r="A6622" s="49"/>
      <c r="C6622" s="400">
        <v>46038.0</v>
      </c>
      <c r="D6622" s="524">
        <v>26.0</v>
      </c>
      <c r="E6622" s="544" t="s">
        <v>294</v>
      </c>
      <c r="F6622" s="387">
        <v>2.0</v>
      </c>
      <c r="G6622" s="140">
        <v>580000.0</v>
      </c>
      <c r="H6622" s="140">
        <v>5000.0</v>
      </c>
      <c r="I6622" s="74">
        <f t="shared" si="1"/>
        <v>1150000</v>
      </c>
      <c r="J6622" s="74">
        <f>IF(E6622="SERVICE",I6622-(I6622*50%),Vlookup(E6622,DATABASE!C:Q,10,false)*F6622)</f>
        <v>0</v>
      </c>
      <c r="K6622" s="74">
        <f>VLOOKUP(E6622,DATABASE!C:Q,7,false)</f>
        <v>505000</v>
      </c>
      <c r="L6622" s="74">
        <v>490000.0</v>
      </c>
      <c r="M6622" s="74">
        <f t="shared" si="2"/>
        <v>490000</v>
      </c>
      <c r="N6622" s="74">
        <f t="shared" si="3"/>
        <v>170000</v>
      </c>
      <c r="O6622" s="65" t="str">
        <f>VLOOKUP(E6622,DATABASE!C:Q,8,false)</f>
        <v>BIAN</v>
      </c>
      <c r="P6622" s="65">
        <f>VLOOKUP(E6622,DATABASE!C:Q,9,False)</f>
        <v>1</v>
      </c>
      <c r="Q6622" s="93" t="str">
        <f>VLOOKUP(E6622,DATABASE!C:Q,4,false)</f>
        <v>GT</v>
      </c>
      <c r="R6622" s="93" t="str">
        <f>VLOOKUP(E6622,DATABASE!C:Q,11,false)</f>
        <v>Tire</v>
      </c>
    </row>
    <row r="6623" ht="22.5" customHeight="1">
      <c r="A6623" s="49"/>
      <c r="C6623" s="400">
        <v>46038.0</v>
      </c>
      <c r="D6623" s="524">
        <v>28.0</v>
      </c>
      <c r="E6623" s="544" t="s">
        <v>286</v>
      </c>
      <c r="F6623" s="387">
        <v>2.0</v>
      </c>
      <c r="G6623" s="140">
        <v>560000.0</v>
      </c>
      <c r="H6623" s="140">
        <v>10000.0</v>
      </c>
      <c r="I6623" s="74">
        <f t="shared" si="1"/>
        <v>1100000</v>
      </c>
      <c r="J6623" s="74">
        <f>IF(E6623="SERVICE",I6623-(I6623*50%),Vlookup(E6623,DATABASE!C:Q,10,false)*F6623)</f>
        <v>0</v>
      </c>
      <c r="K6623" s="74">
        <f>VLOOKUP(E6623,DATABASE!C:Q,7,false)</f>
        <v>488320</v>
      </c>
      <c r="L6623" s="74">
        <v>452970.0</v>
      </c>
      <c r="M6623" s="74">
        <f t="shared" si="2"/>
        <v>455000</v>
      </c>
      <c r="N6623" s="74">
        <f t="shared" si="3"/>
        <v>190000</v>
      </c>
      <c r="O6623" s="65" t="str">
        <f>VLOOKUP(E6623,DATABASE!C:Q,8,false)</f>
        <v>BIAN</v>
      </c>
      <c r="P6623" s="65">
        <f>VLOOKUP(E6623,DATABASE!C:Q,9,False)</f>
        <v>1</v>
      </c>
      <c r="Q6623" s="93" t="str">
        <f>VLOOKUP(E6623,DATABASE!C:Q,4,false)</f>
        <v>GT</v>
      </c>
      <c r="R6623" s="93" t="str">
        <f>VLOOKUP(E6623,DATABASE!C:Q,11,false)</f>
        <v>Tire</v>
      </c>
    </row>
    <row r="6624" ht="22.5" customHeight="1">
      <c r="A6624" s="49"/>
      <c r="C6624" s="400">
        <v>46038.0</v>
      </c>
      <c r="D6624" s="524">
        <v>29.0</v>
      </c>
      <c r="E6624" s="544" t="s">
        <v>932</v>
      </c>
      <c r="F6624" s="387">
        <v>1.0</v>
      </c>
      <c r="G6624" s="140">
        <v>680000.0</v>
      </c>
      <c r="H6624" s="74"/>
      <c r="I6624" s="74">
        <f t="shared" si="1"/>
        <v>680000</v>
      </c>
      <c r="J6624" s="74">
        <f>IF(E6624="SERVICE",I6624-(I6624*50%),Vlookup(E6624,DATABASE!C:Q,10,false)*F6624)</f>
        <v>0</v>
      </c>
      <c r="K6624" s="74">
        <f>VLOOKUP(E6624,DATABASE!C:Q,7,false)</f>
        <v>601000</v>
      </c>
      <c r="L6624" s="74">
        <v>595000.0</v>
      </c>
      <c r="M6624" s="74">
        <f t="shared" si="2"/>
        <v>595000</v>
      </c>
      <c r="N6624" s="74">
        <f t="shared" si="3"/>
        <v>85000</v>
      </c>
      <c r="O6624" s="65" t="str">
        <f>VLOOKUP(E6624,DATABASE!C:Q,8,false)</f>
        <v>IBU</v>
      </c>
      <c r="P6624" s="65">
        <f>VLOOKUP(E6624,DATABASE!C:Q,9,False)</f>
        <v>1</v>
      </c>
      <c r="Q6624" s="93" t="str">
        <f>VLOOKUP(E6624,DATABASE!C:Q,4,false)</f>
        <v>Dunlop</v>
      </c>
      <c r="R6624" s="93" t="str">
        <f>VLOOKUP(E6624,DATABASE!C:Q,11,false)</f>
        <v>Tire</v>
      </c>
    </row>
    <row r="6625" ht="22.5" customHeight="1">
      <c r="A6625" s="49"/>
      <c r="C6625" s="400">
        <v>46038.0</v>
      </c>
      <c r="D6625" s="524">
        <v>30.0</v>
      </c>
      <c r="E6625" s="544" t="s">
        <v>256</v>
      </c>
      <c r="F6625" s="387">
        <v>1.0</v>
      </c>
      <c r="G6625" s="140">
        <v>150000.0</v>
      </c>
      <c r="H6625" s="140">
        <v>20000.0</v>
      </c>
      <c r="I6625" s="74">
        <f t="shared" si="1"/>
        <v>130000</v>
      </c>
      <c r="J6625" s="74">
        <f>IF(E6625="SERVICE",I6625-(I6625*50%),Vlookup(E6625,DATABASE!C:Q,10,false)*F6625)</f>
        <v>10000</v>
      </c>
      <c r="K6625" s="74">
        <f>VLOOKUP(E6625,DATABASE!C:Q,7,false)</f>
        <v>0</v>
      </c>
      <c r="L6625" s="74">
        <v>0.0</v>
      </c>
      <c r="M6625" s="74">
        <f t="shared" si="2"/>
        <v>0</v>
      </c>
      <c r="N6625" s="74">
        <f t="shared" si="3"/>
        <v>120000</v>
      </c>
      <c r="O6625" s="65" t="str">
        <f>VLOOKUP(E6625,DATABASE!C:Q,8,false)</f>
        <v>IBU</v>
      </c>
      <c r="P6625" s="65">
        <f>VLOOKUP(E6625,DATABASE!C:Q,9,False)</f>
        <v>0</v>
      </c>
      <c r="Q6625" s="93" t="str">
        <f>VLOOKUP(E6625,DATABASE!C:Q,4,false)</f>
        <v>SPOORING</v>
      </c>
      <c r="R6625" s="93" t="str">
        <f>VLOOKUP(E6625,DATABASE!C:Q,11,false)</f>
        <v>SERVICE</v>
      </c>
    </row>
    <row r="6626" ht="22.5" customHeight="1">
      <c r="A6626" s="49"/>
      <c r="C6626" s="400">
        <v>46038.0</v>
      </c>
      <c r="D6626" s="524">
        <v>30.0</v>
      </c>
      <c r="E6626" s="544" t="s">
        <v>251</v>
      </c>
      <c r="F6626" s="387">
        <v>1.0</v>
      </c>
      <c r="G6626" s="140">
        <v>350000.0</v>
      </c>
      <c r="H6626" s="140">
        <v>100000.0</v>
      </c>
      <c r="I6626" s="74">
        <f t="shared" si="1"/>
        <v>250000</v>
      </c>
      <c r="J6626" s="74">
        <f>IF(E6626="SERVICE",I6626-(I6626*50%),Vlookup(E6626,DATABASE!C:Q,10,false)*F6626)</f>
        <v>125000</v>
      </c>
      <c r="K6626" s="74">
        <f>VLOOKUP(E6626,DATABASE!C:Q,7,false)</f>
        <v>0</v>
      </c>
      <c r="L6626" s="74">
        <v>0.0</v>
      </c>
      <c r="M6626" s="74">
        <f t="shared" si="2"/>
        <v>0</v>
      </c>
      <c r="N6626" s="74">
        <f t="shared" si="3"/>
        <v>125000</v>
      </c>
      <c r="O6626" s="65" t="str">
        <f>VLOOKUP(E6626,DATABASE!C:Q,8,false)</f>
        <v>IBU</v>
      </c>
      <c r="P6626" s="65">
        <f>VLOOKUP(E6626,DATABASE!C:Q,9,False)</f>
        <v>0</v>
      </c>
      <c r="Q6626" s="93" t="str">
        <f>VLOOKUP(E6626,DATABASE!C:Q,4,false)</f>
        <v>SERVICE</v>
      </c>
      <c r="R6626" s="93" t="str">
        <f>VLOOKUP(E6626,DATABASE!C:Q,11,false)</f>
        <v>SERVICE</v>
      </c>
    </row>
    <row r="6627" ht="22.5" customHeight="1">
      <c r="A6627" s="49"/>
      <c r="C6627" s="400">
        <v>46038.0</v>
      </c>
      <c r="D6627" s="524">
        <v>31.0</v>
      </c>
      <c r="E6627" s="544" t="s">
        <v>295</v>
      </c>
      <c r="F6627" s="387">
        <v>4.0</v>
      </c>
      <c r="G6627" s="140">
        <v>1525000.0</v>
      </c>
      <c r="H6627" s="140">
        <v>20000.0</v>
      </c>
      <c r="I6627" s="74">
        <f t="shared" si="1"/>
        <v>6020000</v>
      </c>
      <c r="J6627" s="74">
        <f>IF(E6627="SERVICE",I6627-(I6627*50%),Vlookup(E6627,DATABASE!C:Q,10,false)*F6627)</f>
        <v>0</v>
      </c>
      <c r="K6627" s="74">
        <f>VLOOKUP(E6627,DATABASE!C:Q,7,false)</f>
        <v>1475000</v>
      </c>
      <c r="L6627" s="74">
        <v>1425000.0</v>
      </c>
      <c r="M6627" s="74">
        <f t="shared" si="2"/>
        <v>1425000</v>
      </c>
      <c r="N6627" s="74">
        <f t="shared" si="3"/>
        <v>320000</v>
      </c>
      <c r="O6627" s="65" t="str">
        <f>VLOOKUP(E6627,DATABASE!C:Q,8,false)</f>
        <v>BIAN</v>
      </c>
      <c r="P6627" s="65">
        <f>VLOOKUP(E6627,DATABASE!C:Q,9,False)</f>
        <v>1</v>
      </c>
      <c r="Q6627" s="93" t="str">
        <f>VLOOKUP(E6627,DATABASE!C:Q,4,false)</f>
        <v>TIRON</v>
      </c>
      <c r="R6627" s="93" t="str">
        <f>VLOOKUP(E6627,DATABASE!C:Q,11,false)</f>
        <v>Tire</v>
      </c>
    </row>
    <row r="6628" ht="22.5" customHeight="1">
      <c r="A6628" s="49"/>
      <c r="C6628" s="400">
        <v>46038.0</v>
      </c>
      <c r="D6628" s="524">
        <v>32.0</v>
      </c>
      <c r="E6628" s="544" t="s">
        <v>781</v>
      </c>
      <c r="F6628" s="387">
        <v>1.0</v>
      </c>
      <c r="G6628" s="140">
        <v>530000.0</v>
      </c>
      <c r="H6628" s="74"/>
      <c r="I6628" s="74">
        <f t="shared" si="1"/>
        <v>530000</v>
      </c>
      <c r="J6628" s="74">
        <f>IF(E6628="SERVICE",I6628-(I6628*50%),Vlookup(E6628,DATABASE!C:Q,10,false)*F6628)</f>
        <v>0</v>
      </c>
      <c r="K6628" s="74">
        <f>VLOOKUP(E6628,DATABASE!C:Q,7,false)</f>
        <v>470000</v>
      </c>
      <c r="L6628" s="74">
        <v>442500.0</v>
      </c>
      <c r="M6628" s="74">
        <f t="shared" si="2"/>
        <v>445000</v>
      </c>
      <c r="N6628" s="74">
        <f t="shared" si="3"/>
        <v>85000</v>
      </c>
      <c r="O6628" s="65" t="str">
        <f>VLOOKUP(E6628,DATABASE!C:Q,8,false)</f>
        <v>BIAN</v>
      </c>
      <c r="P6628" s="65">
        <f>VLOOKUP(E6628,DATABASE!C:Q,9,False)</f>
        <v>1</v>
      </c>
      <c r="Q6628" s="93" t="str">
        <f>VLOOKUP(E6628,DATABASE!C:Q,4,false)</f>
        <v>GT</v>
      </c>
      <c r="R6628" s="93" t="str">
        <f>VLOOKUP(E6628,DATABASE!C:Q,11,false)</f>
        <v>Tire</v>
      </c>
    </row>
    <row r="6629" ht="22.5" customHeight="1">
      <c r="A6629" s="49"/>
      <c r="C6629" s="400">
        <v>46038.0</v>
      </c>
      <c r="D6629" s="524">
        <v>33.0</v>
      </c>
      <c r="E6629" s="544" t="s">
        <v>256</v>
      </c>
      <c r="F6629" s="387">
        <v>1.0</v>
      </c>
      <c r="G6629" s="140">
        <v>150000.0</v>
      </c>
      <c r="H6629" s="140">
        <v>20000.0</v>
      </c>
      <c r="I6629" s="74">
        <f t="shared" si="1"/>
        <v>130000</v>
      </c>
      <c r="J6629" s="74">
        <f>IF(E6629="SERVICE",I6629-(I6629*50%),Vlookup(E6629,DATABASE!C:Q,10,false)*F6629)</f>
        <v>10000</v>
      </c>
      <c r="K6629" s="74">
        <f>VLOOKUP(E6629,DATABASE!C:Q,7,false)</f>
        <v>0</v>
      </c>
      <c r="L6629" s="74">
        <v>0.0</v>
      </c>
      <c r="M6629" s="74">
        <f t="shared" si="2"/>
        <v>0</v>
      </c>
      <c r="N6629" s="74">
        <f t="shared" si="3"/>
        <v>120000</v>
      </c>
      <c r="O6629" s="65" t="str">
        <f>VLOOKUP(E6629,DATABASE!C:Q,8,false)</f>
        <v>IBU</v>
      </c>
      <c r="P6629" s="65">
        <f>VLOOKUP(E6629,DATABASE!C:Q,9,False)</f>
        <v>0</v>
      </c>
      <c r="Q6629" s="93" t="str">
        <f>VLOOKUP(E6629,DATABASE!C:Q,4,false)</f>
        <v>SPOORING</v>
      </c>
      <c r="R6629" s="93" t="str">
        <f>VLOOKUP(E6629,DATABASE!C:Q,11,false)</f>
        <v>SERVICE</v>
      </c>
    </row>
    <row r="6630" ht="22.5" customHeight="1">
      <c r="A6630" s="49"/>
      <c r="C6630" s="400">
        <v>46038.0</v>
      </c>
      <c r="D6630" s="524">
        <v>33.0</v>
      </c>
      <c r="E6630" s="544" t="s">
        <v>251</v>
      </c>
      <c r="F6630" s="387">
        <v>1.0</v>
      </c>
      <c r="G6630" s="140">
        <v>350000.0</v>
      </c>
      <c r="H6630" s="140">
        <v>200000.0</v>
      </c>
      <c r="I6630" s="74">
        <f t="shared" si="1"/>
        <v>150000</v>
      </c>
      <c r="J6630" s="74">
        <f>IF(E6630="SERVICE",I6630-(I6630*50%),Vlookup(E6630,DATABASE!C:Q,10,false)*F6630)</f>
        <v>75000</v>
      </c>
      <c r="K6630" s="74">
        <f>VLOOKUP(E6630,DATABASE!C:Q,7,false)</f>
        <v>0</v>
      </c>
      <c r="L6630" s="74">
        <v>0.0</v>
      </c>
      <c r="M6630" s="74">
        <f t="shared" si="2"/>
        <v>0</v>
      </c>
      <c r="N6630" s="74">
        <f t="shared" si="3"/>
        <v>75000</v>
      </c>
      <c r="O6630" s="65" t="str">
        <f>VLOOKUP(E6630,DATABASE!C:Q,8,false)</f>
        <v>IBU</v>
      </c>
      <c r="P6630" s="65">
        <f>VLOOKUP(E6630,DATABASE!C:Q,9,False)</f>
        <v>0</v>
      </c>
      <c r="Q6630" s="93" t="str">
        <f>VLOOKUP(E6630,DATABASE!C:Q,4,false)</f>
        <v>SERVICE</v>
      </c>
      <c r="R6630" s="93" t="str">
        <f>VLOOKUP(E6630,DATABASE!C:Q,11,false)</f>
        <v>SERVICE</v>
      </c>
    </row>
    <row r="6631" ht="22.5" customHeight="1">
      <c r="A6631" s="49"/>
      <c r="C6631" s="400">
        <v>46038.0</v>
      </c>
      <c r="D6631" s="524">
        <v>35.0</v>
      </c>
      <c r="E6631" s="544" t="s">
        <v>256</v>
      </c>
      <c r="F6631" s="387">
        <v>1.0</v>
      </c>
      <c r="G6631" s="140">
        <v>150000.0</v>
      </c>
      <c r="H6631" s="140">
        <v>20000.0</v>
      </c>
      <c r="I6631" s="74">
        <f t="shared" si="1"/>
        <v>130000</v>
      </c>
      <c r="J6631" s="74">
        <f>IF(E6631="SERVICE",I6631-(I6631*50%),Vlookup(E6631,DATABASE!C:Q,10,false)*F6631)</f>
        <v>10000</v>
      </c>
      <c r="K6631" s="74">
        <f>VLOOKUP(E6631,DATABASE!C:Q,7,false)</f>
        <v>0</v>
      </c>
      <c r="L6631" s="74">
        <v>0.0</v>
      </c>
      <c r="M6631" s="74">
        <f t="shared" si="2"/>
        <v>0</v>
      </c>
      <c r="N6631" s="74">
        <f t="shared" si="3"/>
        <v>120000</v>
      </c>
      <c r="O6631" s="65" t="str">
        <f>VLOOKUP(E6631,DATABASE!C:Q,8,false)</f>
        <v>IBU</v>
      </c>
      <c r="P6631" s="65">
        <f>VLOOKUP(E6631,DATABASE!C:Q,9,False)</f>
        <v>0</v>
      </c>
      <c r="Q6631" s="93" t="str">
        <f>VLOOKUP(E6631,DATABASE!C:Q,4,false)</f>
        <v>SPOORING</v>
      </c>
      <c r="R6631" s="93" t="str">
        <f>VLOOKUP(E6631,DATABASE!C:Q,11,false)</f>
        <v>SERVICE</v>
      </c>
    </row>
    <row r="6632" ht="22.5" customHeight="1">
      <c r="A6632" s="49"/>
      <c r="C6632" s="400">
        <v>46038.0</v>
      </c>
      <c r="D6632" s="524">
        <v>35.0</v>
      </c>
      <c r="E6632" s="544" t="s">
        <v>301</v>
      </c>
      <c r="F6632" s="387">
        <v>1.0</v>
      </c>
      <c r="G6632" s="140">
        <v>250000.0</v>
      </c>
      <c r="H6632" s="74"/>
      <c r="I6632" s="74">
        <f t="shared" si="1"/>
        <v>250000</v>
      </c>
      <c r="J6632" s="74">
        <f>IF(E6632="SERVICE",I6632-(I6632*50%),Vlookup(E6632,DATABASE!C:Q,10,false)*F6632)</f>
        <v>75000</v>
      </c>
      <c r="K6632" s="74">
        <f>VLOOKUP(E6632,DATABASE!C:Q,7,false)</f>
        <v>75000</v>
      </c>
      <c r="L6632" s="74">
        <v>75000.0</v>
      </c>
      <c r="M6632" s="74">
        <f t="shared" si="2"/>
        <v>75000</v>
      </c>
      <c r="N6632" s="74">
        <f t="shared" si="3"/>
        <v>100000</v>
      </c>
      <c r="O6632" s="65" t="str">
        <f>VLOOKUP(E6632,DATABASE!C:Q,8,false)</f>
        <v>BIAN</v>
      </c>
      <c r="P6632" s="65">
        <f>VLOOKUP(E6632,DATABASE!C:Q,9,False)</f>
        <v>0</v>
      </c>
      <c r="Q6632" s="93" t="str">
        <f>VLOOKUP(E6632,DATABASE!C:Q,4,false)</f>
        <v>Baut Camber</v>
      </c>
      <c r="R6632" s="93" t="str">
        <f>VLOOKUP(E6632,DATABASE!C:Q,11,false)</f>
        <v>COMPLEMENTARY</v>
      </c>
    </row>
    <row r="6633" ht="22.5" customHeight="1">
      <c r="A6633" s="49"/>
      <c r="C6633" s="400">
        <v>46039.0</v>
      </c>
      <c r="D6633" s="524">
        <v>36.0</v>
      </c>
      <c r="E6633" s="544" t="s">
        <v>268</v>
      </c>
      <c r="F6633" s="387">
        <v>2.0</v>
      </c>
      <c r="G6633" s="140">
        <v>710000.0</v>
      </c>
      <c r="H6633" s="74"/>
      <c r="I6633" s="74">
        <f t="shared" si="1"/>
        <v>1420000</v>
      </c>
      <c r="J6633" s="74">
        <f>IF(E6633="SERVICE",I6633-(I6633*50%),Vlookup(E6633,DATABASE!C:Q,10,false)*F6633)</f>
        <v>0</v>
      </c>
      <c r="K6633" s="74">
        <f>VLOOKUP(E6633,DATABASE!C:Q,7,false)</f>
        <v>653000</v>
      </c>
      <c r="L6633" s="74">
        <v>622000.0</v>
      </c>
      <c r="M6633" s="74">
        <f t="shared" si="2"/>
        <v>625000</v>
      </c>
      <c r="N6633" s="74">
        <f t="shared" si="3"/>
        <v>170000</v>
      </c>
      <c r="O6633" s="65" t="str">
        <f>VLOOKUP(E6633,DATABASE!C:Q,8,false)</f>
        <v>IBU</v>
      </c>
      <c r="P6633" s="65">
        <f>VLOOKUP(E6633,DATABASE!C:Q,9,False)</f>
        <v>1</v>
      </c>
      <c r="Q6633" s="93" t="str">
        <f>VLOOKUP(E6633,DATABASE!C:Q,4,false)</f>
        <v>Dunlop</v>
      </c>
      <c r="R6633" s="93" t="str">
        <f>VLOOKUP(E6633,DATABASE!C:Q,11,false)</f>
        <v>Tire</v>
      </c>
    </row>
    <row r="6634" ht="22.5" customHeight="1">
      <c r="A6634" s="49"/>
      <c r="C6634" s="400">
        <v>46039.0</v>
      </c>
      <c r="D6634" s="524">
        <v>37.0</v>
      </c>
      <c r="E6634" s="544" t="s">
        <v>1524</v>
      </c>
      <c r="F6634" s="387">
        <v>1.0</v>
      </c>
      <c r="G6634" s="140">
        <v>1120000.0</v>
      </c>
      <c r="H6634" s="74"/>
      <c r="I6634" s="74">
        <f t="shared" si="1"/>
        <v>1120000</v>
      </c>
      <c r="J6634" s="74">
        <f>IF(E6634="SERVICE",I6634-(I6634*50%),Vlookup(E6634,DATABASE!C:Q,10,false)*F6634)</f>
        <v>0</v>
      </c>
      <c r="K6634" s="74">
        <f>VLOOKUP(E6634,DATABASE!C:Q,7,false)</f>
        <v>1028000</v>
      </c>
      <c r="L6634" s="74">
        <v>1017000.0</v>
      </c>
      <c r="M6634" s="74">
        <f t="shared" si="2"/>
        <v>1020000</v>
      </c>
      <c r="N6634" s="74">
        <f t="shared" si="3"/>
        <v>100000</v>
      </c>
      <c r="O6634" s="65" t="str">
        <f>VLOOKUP(E6634,DATABASE!C:Q,8,false)</f>
        <v>IBU</v>
      </c>
      <c r="P6634" s="65">
        <f>VLOOKUP(E6634,DATABASE!C:Q,9,False)</f>
        <v>1</v>
      </c>
      <c r="Q6634" s="93" t="str">
        <f>VLOOKUP(E6634,DATABASE!C:Q,4,false)</f>
        <v>Dunlop</v>
      </c>
      <c r="R6634" s="93" t="str">
        <f>VLOOKUP(E6634,DATABASE!C:Q,11,false)</f>
        <v>Tire</v>
      </c>
    </row>
    <row r="6635" ht="22.5" customHeight="1">
      <c r="A6635" s="49"/>
      <c r="C6635" s="400">
        <v>46039.0</v>
      </c>
      <c r="D6635" s="524">
        <v>38.0</v>
      </c>
      <c r="E6635" s="544" t="s">
        <v>256</v>
      </c>
      <c r="F6635" s="387">
        <v>1.0</v>
      </c>
      <c r="G6635" s="140">
        <v>150000.0</v>
      </c>
      <c r="H6635" s="140">
        <v>20000.0</v>
      </c>
      <c r="I6635" s="74">
        <f t="shared" si="1"/>
        <v>130000</v>
      </c>
      <c r="J6635" s="74">
        <f>IF(E6635="SERVICE",I6635-(I6635*50%),Vlookup(E6635,DATABASE!C:Q,10,false)*F6635)</f>
        <v>10000</v>
      </c>
      <c r="K6635" s="74">
        <f>VLOOKUP(E6635,DATABASE!C:Q,7,false)</f>
        <v>0</v>
      </c>
      <c r="L6635" s="74">
        <v>0.0</v>
      </c>
      <c r="M6635" s="74">
        <f t="shared" si="2"/>
        <v>0</v>
      </c>
      <c r="N6635" s="74">
        <f t="shared" si="3"/>
        <v>120000</v>
      </c>
      <c r="O6635" s="65" t="str">
        <f>VLOOKUP(E6635,DATABASE!C:Q,8,false)</f>
        <v>IBU</v>
      </c>
      <c r="P6635" s="65">
        <f>VLOOKUP(E6635,DATABASE!C:Q,9,False)</f>
        <v>0</v>
      </c>
      <c r="Q6635" s="93" t="str">
        <f>VLOOKUP(E6635,DATABASE!C:Q,4,false)</f>
        <v>SPOORING</v>
      </c>
      <c r="R6635" s="93" t="str">
        <f>VLOOKUP(E6635,DATABASE!C:Q,11,false)</f>
        <v>SERVICE</v>
      </c>
    </row>
    <row r="6636" ht="22.5" customHeight="1">
      <c r="A6636" s="49"/>
      <c r="C6636" s="400">
        <v>46039.0</v>
      </c>
      <c r="D6636" s="524">
        <v>39.0</v>
      </c>
      <c r="E6636" s="544" t="s">
        <v>256</v>
      </c>
      <c r="F6636" s="387">
        <v>1.0</v>
      </c>
      <c r="G6636" s="140">
        <v>150000.0</v>
      </c>
      <c r="H6636" s="140">
        <v>20000.0</v>
      </c>
      <c r="I6636" s="74">
        <f t="shared" si="1"/>
        <v>130000</v>
      </c>
      <c r="J6636" s="74">
        <f>IF(E6636="SERVICE",I6636-(I6636*50%),Vlookup(E6636,DATABASE!C:Q,10,false)*F6636)</f>
        <v>10000</v>
      </c>
      <c r="K6636" s="74">
        <f>VLOOKUP(E6636,DATABASE!C:Q,7,false)</f>
        <v>0</v>
      </c>
      <c r="L6636" s="74">
        <v>0.0</v>
      </c>
      <c r="M6636" s="74">
        <f t="shared" si="2"/>
        <v>0</v>
      </c>
      <c r="N6636" s="74">
        <f t="shared" si="3"/>
        <v>120000</v>
      </c>
      <c r="O6636" s="65" t="str">
        <f>VLOOKUP(E6636,DATABASE!C:Q,8,false)</f>
        <v>IBU</v>
      </c>
      <c r="P6636" s="65">
        <f>VLOOKUP(E6636,DATABASE!C:Q,9,False)</f>
        <v>0</v>
      </c>
      <c r="Q6636" s="93" t="str">
        <f>VLOOKUP(E6636,DATABASE!C:Q,4,false)</f>
        <v>SPOORING</v>
      </c>
      <c r="R6636" s="93" t="str">
        <f>VLOOKUP(E6636,DATABASE!C:Q,11,false)</f>
        <v>SERVICE</v>
      </c>
    </row>
    <row r="6637" ht="22.5" customHeight="1">
      <c r="A6637" s="49"/>
      <c r="C6637" s="400">
        <v>46039.0</v>
      </c>
      <c r="D6637" s="524">
        <v>39.0</v>
      </c>
      <c r="E6637" s="544" t="s">
        <v>301</v>
      </c>
      <c r="F6637" s="387">
        <v>1.0</v>
      </c>
      <c r="G6637" s="140">
        <v>250000.0</v>
      </c>
      <c r="H6637" s="74"/>
      <c r="I6637" s="74">
        <f t="shared" si="1"/>
        <v>250000</v>
      </c>
      <c r="J6637" s="74">
        <f>IF(E6637="SERVICE",I6637-(I6637*50%),Vlookup(E6637,DATABASE!C:Q,10,false)*F6637)</f>
        <v>75000</v>
      </c>
      <c r="K6637" s="74">
        <f>VLOOKUP(E6637,DATABASE!C:Q,7,false)</f>
        <v>75000</v>
      </c>
      <c r="L6637" s="74">
        <v>75000.0</v>
      </c>
      <c r="M6637" s="74">
        <f t="shared" si="2"/>
        <v>75000</v>
      </c>
      <c r="N6637" s="74">
        <f t="shared" si="3"/>
        <v>100000</v>
      </c>
      <c r="O6637" s="65" t="str">
        <f>VLOOKUP(E6637,DATABASE!C:Q,8,false)</f>
        <v>BIAN</v>
      </c>
      <c r="P6637" s="65">
        <f>VLOOKUP(E6637,DATABASE!C:Q,9,False)</f>
        <v>0</v>
      </c>
      <c r="Q6637" s="93" t="str">
        <f>VLOOKUP(E6637,DATABASE!C:Q,4,false)</f>
        <v>Baut Camber</v>
      </c>
      <c r="R6637" s="93" t="str">
        <f>VLOOKUP(E6637,DATABASE!C:Q,11,false)</f>
        <v>COMPLEMENTARY</v>
      </c>
    </row>
    <row r="6638" ht="22.5" customHeight="1">
      <c r="A6638" s="49"/>
      <c r="C6638" s="400">
        <v>46039.0</v>
      </c>
      <c r="D6638" s="524">
        <v>41.0</v>
      </c>
      <c r="E6638" s="544" t="s">
        <v>268</v>
      </c>
      <c r="F6638" s="387">
        <v>1.0</v>
      </c>
      <c r="G6638" s="140">
        <v>710000.0</v>
      </c>
      <c r="H6638" s="74"/>
      <c r="I6638" s="74">
        <f t="shared" si="1"/>
        <v>710000</v>
      </c>
      <c r="J6638" s="74">
        <f>IF(E6638="SERVICE",I6638-(I6638*50%),Vlookup(E6638,DATABASE!C:Q,10,false)*F6638)</f>
        <v>0</v>
      </c>
      <c r="K6638" s="74">
        <f>VLOOKUP(E6638,DATABASE!C:Q,7,false)</f>
        <v>653000</v>
      </c>
      <c r="L6638" s="74">
        <v>622000.0</v>
      </c>
      <c r="M6638" s="74">
        <f t="shared" si="2"/>
        <v>625000</v>
      </c>
      <c r="N6638" s="74">
        <f t="shared" si="3"/>
        <v>85000</v>
      </c>
      <c r="O6638" s="65" t="str">
        <f>VLOOKUP(E6638,DATABASE!C:Q,8,false)</f>
        <v>IBU</v>
      </c>
      <c r="P6638" s="65">
        <f>VLOOKUP(E6638,DATABASE!C:Q,9,False)</f>
        <v>1</v>
      </c>
      <c r="Q6638" s="93" t="str">
        <f>VLOOKUP(E6638,DATABASE!C:Q,4,false)</f>
        <v>Dunlop</v>
      </c>
      <c r="R6638" s="93" t="str">
        <f>VLOOKUP(E6638,DATABASE!C:Q,11,false)</f>
        <v>Tire</v>
      </c>
    </row>
    <row r="6639" ht="22.5" customHeight="1">
      <c r="A6639" s="49"/>
      <c r="C6639" s="400">
        <v>46039.0</v>
      </c>
      <c r="D6639" s="524">
        <v>42.0</v>
      </c>
      <c r="E6639" s="544" t="s">
        <v>262</v>
      </c>
      <c r="F6639" s="387">
        <v>1.0</v>
      </c>
      <c r="G6639" s="140">
        <v>110000.0</v>
      </c>
      <c r="H6639" s="74"/>
      <c r="I6639" s="74">
        <f t="shared" si="1"/>
        <v>110000</v>
      </c>
      <c r="J6639" s="74">
        <f>IF(E6639="SERVICE",I6639-(I6639*50%),Vlookup(E6639,DATABASE!C:Q,10,false)*F6639)</f>
        <v>5000</v>
      </c>
      <c r="K6639" s="74">
        <f>VLOOKUP(E6639,DATABASE!C:Q,7,false)</f>
        <v>0</v>
      </c>
      <c r="L6639" s="74">
        <v>0.0</v>
      </c>
      <c r="M6639" s="74">
        <f t="shared" si="2"/>
        <v>0</v>
      </c>
      <c r="N6639" s="74">
        <f t="shared" si="3"/>
        <v>105000</v>
      </c>
      <c r="O6639" s="65" t="str">
        <f>VLOOKUP(E6639,DATABASE!C:Q,8,false)</f>
        <v>IBU</v>
      </c>
      <c r="P6639" s="65">
        <f>VLOOKUP(E6639,DATABASE!C:Q,9,False)</f>
        <v>0</v>
      </c>
      <c r="Q6639" s="93" t="str">
        <f>VLOOKUP(E6639,DATABASE!C:Q,4,false)</f>
        <v>SPOORING SS/CARRY LOS BAK</v>
      </c>
      <c r="R6639" s="93" t="str">
        <f>VLOOKUP(E6639,DATABASE!C:Q,11,false)</f>
        <v>SERVICE</v>
      </c>
    </row>
    <row r="6640" ht="22.5" customHeight="1">
      <c r="A6640" s="49"/>
      <c r="C6640" s="400">
        <v>46039.0</v>
      </c>
      <c r="D6640" s="524">
        <v>42.0</v>
      </c>
      <c r="E6640" s="544" t="s">
        <v>478</v>
      </c>
      <c r="F6640" s="387">
        <v>1.0</v>
      </c>
      <c r="G6640" s="140">
        <v>200000.0</v>
      </c>
      <c r="H6640" s="74"/>
      <c r="I6640" s="74">
        <f t="shared" si="1"/>
        <v>200000</v>
      </c>
      <c r="J6640" s="74">
        <f>IF(E6640="SERVICE",I6640-(I6640*50%),Vlookup(E6640,DATABASE!C:Q,10,false)*F6640)</f>
        <v>25000</v>
      </c>
      <c r="K6640" s="74">
        <f>VLOOKUP(E6640,DATABASE!C:Q,7,false)</f>
        <v>75000</v>
      </c>
      <c r="L6640" s="74">
        <v>75000.0</v>
      </c>
      <c r="M6640" s="74">
        <f t="shared" si="2"/>
        <v>75000</v>
      </c>
      <c r="N6640" s="74">
        <f t="shared" si="3"/>
        <v>100000</v>
      </c>
      <c r="O6640" s="65" t="str">
        <f>VLOOKUP(E6640,DATABASE!C:Q,8,false)</f>
        <v>BIAN</v>
      </c>
      <c r="P6640" s="65">
        <f>VLOOKUP(E6640,DATABASE!C:Q,9,False)</f>
        <v>0</v>
      </c>
      <c r="Q6640" s="93" t="str">
        <f>VLOOKUP(E6640,DATABASE!C:Q,4,false)</f>
        <v>Baut Camber ss-carry</v>
      </c>
      <c r="R6640" s="93" t="str">
        <f>VLOOKUP(E6640,DATABASE!C:Q,11,false)</f>
        <v>COMPLEMENTARY</v>
      </c>
    </row>
    <row r="6641" ht="22.5" customHeight="1">
      <c r="A6641" s="49"/>
      <c r="C6641" s="400">
        <v>46039.0</v>
      </c>
      <c r="D6641" s="524">
        <v>43.0</v>
      </c>
      <c r="E6641" s="544" t="s">
        <v>1237</v>
      </c>
      <c r="F6641" s="387">
        <v>2.0</v>
      </c>
      <c r="G6641" s="140">
        <v>1300000.0</v>
      </c>
      <c r="H6641" s="140">
        <v>65000.0</v>
      </c>
      <c r="I6641" s="74">
        <f t="shared" si="1"/>
        <v>2470000</v>
      </c>
      <c r="J6641" s="74">
        <f>IF(E6641="SERVICE",I6641-(I6641*50%),Vlookup(E6641,DATABASE!C:Q,10,false)*F6641)</f>
        <v>0</v>
      </c>
      <c r="K6641" s="74">
        <f>VLOOKUP(E6641,DATABASE!C:Q,7,false)</f>
        <v>1170353.16</v>
      </c>
      <c r="L6641" s="74">
        <v>1113907.2</v>
      </c>
      <c r="M6641" s="74">
        <f t="shared" si="2"/>
        <v>1115000</v>
      </c>
      <c r="N6641" s="74">
        <f t="shared" si="3"/>
        <v>240000</v>
      </c>
      <c r="O6641" s="65" t="str">
        <f>VLOOKUP(E6641,DATABASE!C:Q,8,false)</f>
        <v>IBU</v>
      </c>
      <c r="P6641" s="65">
        <f>VLOOKUP(E6641,DATABASE!C:Q,9,False)</f>
        <v>1</v>
      </c>
      <c r="Q6641" s="93" t="str">
        <f>VLOOKUP(E6641,DATABASE!C:Q,4,false)</f>
        <v>Bridgestone</v>
      </c>
      <c r="R6641" s="93" t="str">
        <f>VLOOKUP(E6641,DATABASE!C:Q,11,false)</f>
        <v>Tire</v>
      </c>
    </row>
    <row r="6642" ht="22.5" customHeight="1">
      <c r="A6642" s="49"/>
      <c r="C6642" s="400">
        <v>46039.0</v>
      </c>
      <c r="D6642" s="524">
        <v>45.0</v>
      </c>
      <c r="E6642" s="544" t="s">
        <v>299</v>
      </c>
      <c r="F6642" s="387">
        <v>2.0</v>
      </c>
      <c r="G6642" s="140">
        <v>30000.0</v>
      </c>
      <c r="H6642" s="74"/>
      <c r="I6642" s="74">
        <f t="shared" si="1"/>
        <v>60000</v>
      </c>
      <c r="J6642" s="74">
        <f>IF(E6642="SERVICE",I6642-(I6642*50%),Vlookup(E6642,DATABASE!C:Q,10,false)*F6642)</f>
        <v>0</v>
      </c>
      <c r="K6642" s="74">
        <f>VLOOKUP(E6642,DATABASE!C:Q,7,false)</f>
        <v>10000</v>
      </c>
      <c r="L6642" s="74">
        <v>5000.0</v>
      </c>
      <c r="M6642" s="74">
        <f t="shared" si="2"/>
        <v>5000</v>
      </c>
      <c r="N6642" s="74">
        <f t="shared" si="3"/>
        <v>50000</v>
      </c>
      <c r="O6642" s="65" t="str">
        <f>VLOOKUP(E6642,DATABASE!C:Q,8,false)</f>
        <v>BIAN</v>
      </c>
      <c r="P6642" s="65">
        <f>VLOOKUP(E6642,DATABASE!C:Q,9,False)</f>
        <v>0</v>
      </c>
      <c r="Q6642" s="93" t="str">
        <f>VLOOKUP(E6642,DATABASE!C:Q,4,false)</f>
        <v>Balancing</v>
      </c>
      <c r="R6642" s="93" t="str">
        <f>VLOOKUP(E6642,DATABASE!C:Q,11,false)</f>
        <v>COMPLEMENTARY</v>
      </c>
    </row>
    <row r="6643" ht="22.5" customHeight="1">
      <c r="A6643" s="49"/>
      <c r="C6643" s="400">
        <v>46039.0</v>
      </c>
      <c r="D6643" s="69" t="s">
        <v>2690</v>
      </c>
      <c r="E6643" s="544" t="s">
        <v>248</v>
      </c>
      <c r="F6643" s="387">
        <v>1.0</v>
      </c>
      <c r="G6643" s="140">
        <v>190000.0</v>
      </c>
      <c r="H6643" s="74"/>
      <c r="I6643" s="74">
        <f t="shared" si="1"/>
        <v>190000</v>
      </c>
      <c r="J6643" s="74">
        <f>IF(E6643="SERVICE",I6643-(I6643*50%),Vlookup(E6643,DATABASE!C:Q,10,false)*F6643)</f>
        <v>0</v>
      </c>
      <c r="K6643" s="74">
        <f>VLOOKUP(E6643,DATABASE!C:Q,7,false)</f>
        <v>209816.66</v>
      </c>
      <c r="L6643" s="74">
        <v>160833.0</v>
      </c>
      <c r="M6643" s="74">
        <f t="shared" si="2"/>
        <v>165000</v>
      </c>
      <c r="N6643" s="74">
        <f t="shared" si="3"/>
        <v>25000</v>
      </c>
      <c r="O6643" s="65" t="str">
        <f>VLOOKUP(E6643,DATABASE!C:Q,8,false)</f>
        <v>NON</v>
      </c>
      <c r="P6643" s="65">
        <f>VLOOKUP(E6643,DATABASE!C:Q,9,False)</f>
        <v>0</v>
      </c>
      <c r="Q6643" s="93" t="str">
        <f>VLOOKUP(E6643,DATABASE!C:Q,4,false)</f>
        <v>Pertamina</v>
      </c>
      <c r="R6643" s="93" t="str">
        <f>VLOOKUP(E6643,DATABASE!C:Q,11,false)</f>
        <v>OIL</v>
      </c>
    </row>
    <row r="6644" ht="22.5" customHeight="1">
      <c r="A6644" s="49"/>
      <c r="C6644" s="400">
        <v>46039.0</v>
      </c>
      <c r="D6644" s="69" t="s">
        <v>2691</v>
      </c>
      <c r="E6644" s="544" t="s">
        <v>1369</v>
      </c>
      <c r="F6644" s="387">
        <v>1.0</v>
      </c>
      <c r="G6644" s="140">
        <v>500000.0</v>
      </c>
      <c r="H6644" s="74"/>
      <c r="I6644" s="74">
        <f t="shared" si="1"/>
        <v>500000</v>
      </c>
      <c r="J6644" s="74">
        <f>IF(E6644="SERVICE",I6644-(I6644*50%),Vlookup(E6644,DATABASE!C:Q,10,false)*F6644)</f>
        <v>0</v>
      </c>
      <c r="K6644" s="74">
        <f>VLOOKUP(E6644,DATABASE!C:Q,7,false)</f>
        <v>480000</v>
      </c>
      <c r="L6644" s="74">
        <v>480000.0</v>
      </c>
      <c r="M6644" s="74">
        <f t="shared" si="2"/>
        <v>480000</v>
      </c>
      <c r="N6644" s="74">
        <f t="shared" si="3"/>
        <v>20000</v>
      </c>
      <c r="O6644" s="65" t="str">
        <f>VLOOKUP(E6644,DATABASE!C:Q,8,false)</f>
        <v>NON</v>
      </c>
      <c r="P6644" s="65">
        <f>VLOOKUP(E6644,DATABASE!C:Q,9,False)</f>
        <v>0</v>
      </c>
      <c r="Q6644" s="93" t="str">
        <f>VLOOKUP(E6644,DATABASE!C:Q,4,false)</f>
        <v>Castrol</v>
      </c>
      <c r="R6644" s="93" t="str">
        <f>VLOOKUP(E6644,DATABASE!C:Q,11,false)</f>
        <v>OIL</v>
      </c>
    </row>
    <row r="6645" ht="22.5" customHeight="1">
      <c r="A6645" s="49"/>
      <c r="C6645" s="400">
        <v>46040.0</v>
      </c>
      <c r="D6645" s="524">
        <v>47.0</v>
      </c>
      <c r="E6645" s="544" t="s">
        <v>600</v>
      </c>
      <c r="F6645" s="387">
        <v>4.0</v>
      </c>
      <c r="G6645" s="140">
        <v>675000.0</v>
      </c>
      <c r="H6645" s="74"/>
      <c r="I6645" s="74">
        <f t="shared" si="1"/>
        <v>2700000</v>
      </c>
      <c r="J6645" s="74">
        <f>IF(E6645="SERVICE",I6645-(I6645*50%),Vlookup(E6645,DATABASE!C:Q,10,false)*F6645)</f>
        <v>0</v>
      </c>
      <c r="K6645" s="74">
        <f>VLOOKUP(E6645,DATABASE!C:Q,7,false)</f>
        <v>611109.16</v>
      </c>
      <c r="L6645" s="74">
        <v>575780.8</v>
      </c>
      <c r="M6645" s="74">
        <f t="shared" si="2"/>
        <v>580000</v>
      </c>
      <c r="N6645" s="74">
        <f t="shared" si="3"/>
        <v>380000</v>
      </c>
      <c r="O6645" s="65" t="str">
        <f>VLOOKUP(E6645,DATABASE!C:Q,8,false)</f>
        <v>IBU</v>
      </c>
      <c r="P6645" s="65">
        <f>VLOOKUP(E6645,DATABASE!C:Q,9,False)</f>
        <v>1</v>
      </c>
      <c r="Q6645" s="93" t="str">
        <f>VLOOKUP(E6645,DATABASE!C:Q,4,false)</f>
        <v>Bridgestone</v>
      </c>
      <c r="R6645" s="93" t="str">
        <f>VLOOKUP(E6645,DATABASE!C:Q,11,false)</f>
        <v>Tire</v>
      </c>
    </row>
    <row r="6646" ht="22.5" customHeight="1">
      <c r="A6646" s="49"/>
      <c r="C6646" s="400">
        <v>46040.0</v>
      </c>
      <c r="D6646" s="524">
        <v>48.0</v>
      </c>
      <c r="E6646" s="544" t="s">
        <v>1867</v>
      </c>
      <c r="F6646" s="387">
        <v>1.0</v>
      </c>
      <c r="G6646" s="140">
        <v>650000.0</v>
      </c>
      <c r="H6646" s="74"/>
      <c r="I6646" s="74">
        <f t="shared" si="1"/>
        <v>650000</v>
      </c>
      <c r="J6646" s="74">
        <f>IF(E6646="SERVICE",I6646-(I6646*50%),Vlookup(E6646,DATABASE!C:Q,10,false)*F6646)</f>
        <v>0</v>
      </c>
      <c r="K6646" s="74">
        <f>VLOOKUP(E6646,DATABASE!C:Q,7,false)</f>
        <v>575200</v>
      </c>
      <c r="L6646" s="74">
        <v>558200.0</v>
      </c>
      <c r="M6646" s="74">
        <f t="shared" si="2"/>
        <v>560000</v>
      </c>
      <c r="N6646" s="74">
        <f t="shared" si="3"/>
        <v>90000</v>
      </c>
      <c r="O6646" s="65" t="str">
        <f>VLOOKUP(E6646,DATABASE!C:Q,8,false)</f>
        <v>BIAN</v>
      </c>
      <c r="P6646" s="65">
        <f>VLOOKUP(E6646,DATABASE!C:Q,9,False)</f>
        <v>1</v>
      </c>
      <c r="Q6646" s="93" t="str">
        <f>VLOOKUP(E6646,DATABASE!C:Q,4,false)</f>
        <v>GT</v>
      </c>
      <c r="R6646" s="93" t="str">
        <f>VLOOKUP(E6646,DATABASE!C:Q,11,false)</f>
        <v>Tire</v>
      </c>
    </row>
    <row r="6647" ht="22.5" customHeight="1">
      <c r="A6647" s="49"/>
      <c r="C6647" s="400">
        <v>46040.0</v>
      </c>
      <c r="D6647" s="524">
        <v>49.0</v>
      </c>
      <c r="E6647" s="544" t="s">
        <v>265</v>
      </c>
      <c r="F6647" s="387">
        <v>2.0</v>
      </c>
      <c r="G6647" s="140">
        <v>685000.0</v>
      </c>
      <c r="H6647" s="74"/>
      <c r="I6647" s="74">
        <f t="shared" si="1"/>
        <v>1370000</v>
      </c>
      <c r="J6647" s="74">
        <f>IF(E6647="SERVICE",I6647-(I6647*50%),Vlookup(E6647,DATABASE!C:Q,10,false)*F6647)</f>
        <v>0</v>
      </c>
      <c r="K6647" s="74">
        <f>VLOOKUP(E6647,DATABASE!C:Q,7,false)</f>
        <v>628000</v>
      </c>
      <c r="L6647" s="74">
        <v>600000.0</v>
      </c>
      <c r="M6647" s="74">
        <f t="shared" si="2"/>
        <v>600000</v>
      </c>
      <c r="N6647" s="74">
        <f t="shared" si="3"/>
        <v>170000</v>
      </c>
      <c r="O6647" s="65" t="str">
        <f>VLOOKUP(E6647,DATABASE!C:Q,8,false)</f>
        <v>IBU</v>
      </c>
      <c r="P6647" s="65">
        <f>VLOOKUP(E6647,DATABASE!C:Q,9,False)</f>
        <v>1</v>
      </c>
      <c r="Q6647" s="93" t="str">
        <f>VLOOKUP(E6647,DATABASE!C:Q,4,false)</f>
        <v>Dunlop</v>
      </c>
      <c r="R6647" s="93" t="str">
        <f>VLOOKUP(E6647,DATABASE!C:Q,11,false)</f>
        <v>Tire</v>
      </c>
    </row>
    <row r="6648" ht="22.5" customHeight="1">
      <c r="A6648" s="49"/>
      <c r="C6648" s="400">
        <v>46040.0</v>
      </c>
      <c r="D6648" s="524">
        <v>50.0</v>
      </c>
      <c r="E6648" s="544" t="s">
        <v>2140</v>
      </c>
      <c r="F6648" s="387">
        <v>2.0</v>
      </c>
      <c r="G6648" s="140">
        <v>35000.0</v>
      </c>
      <c r="H6648" s="74"/>
      <c r="I6648" s="74">
        <f t="shared" si="1"/>
        <v>70000</v>
      </c>
      <c r="J6648" s="74">
        <f>IF(E6648="SERVICE",I6648-(I6648*50%),Vlookup(E6648,DATABASE!C:Q,10,false)*F6648)</f>
        <v>0</v>
      </c>
      <c r="K6648" s="74">
        <f>VLOOKUP(E6648,DATABASE!C:Q,7,false)</f>
        <v>5000</v>
      </c>
      <c r="L6648" s="74">
        <v>0.0</v>
      </c>
      <c r="M6648" s="74">
        <f t="shared" si="2"/>
        <v>0</v>
      </c>
      <c r="N6648" s="74">
        <f t="shared" si="3"/>
        <v>70000</v>
      </c>
      <c r="O6648" s="65" t="str">
        <f>VLOOKUP(E6648,DATABASE!C:Q,8,false)</f>
        <v>IBU</v>
      </c>
      <c r="P6648" s="65">
        <f>VLOOKUP(E6648,DATABASE!C:Q,9,False)</f>
        <v>0</v>
      </c>
      <c r="Q6648" s="93" t="str">
        <f>VLOOKUP(E6648,DATABASE!C:Q,4,false)</f>
        <v>PENTIL + PASANG</v>
      </c>
      <c r="R6648" s="93" t="str">
        <f>VLOOKUP(E6648,DATABASE!C:Q,11,false)</f>
        <v>COMPLEMENTARY</v>
      </c>
    </row>
    <row r="6649" ht="22.5" customHeight="1">
      <c r="A6649" s="49"/>
      <c r="C6649" s="400">
        <v>46041.0</v>
      </c>
      <c r="D6649" s="524">
        <v>52.0</v>
      </c>
      <c r="E6649" s="544" t="s">
        <v>847</v>
      </c>
      <c r="F6649" s="387">
        <v>2.0</v>
      </c>
      <c r="G6649" s="140">
        <v>775000.0</v>
      </c>
      <c r="H6649" s="140">
        <v>15000.0</v>
      </c>
      <c r="I6649" s="74">
        <f t="shared" si="1"/>
        <v>1520000</v>
      </c>
      <c r="J6649" s="74">
        <f>IF(E6649="SERVICE",I6649-(I6649*50%),Vlookup(E6649,DATABASE!C:Q,10,false)*F6649)</f>
        <v>0</v>
      </c>
      <c r="K6649" s="74">
        <f>VLOOKUP(E6649,DATABASE!C:Q,7,false)</f>
        <v>718080</v>
      </c>
      <c r="L6649" s="74">
        <v>672210.0</v>
      </c>
      <c r="M6649" s="74">
        <f t="shared" si="2"/>
        <v>675000</v>
      </c>
      <c r="N6649" s="74">
        <f t="shared" si="3"/>
        <v>170000</v>
      </c>
      <c r="O6649" s="65" t="str">
        <f>VLOOKUP(E6649,DATABASE!C:Q,8,false)</f>
        <v>BIAN</v>
      </c>
      <c r="P6649" s="65">
        <f>VLOOKUP(E6649,DATABASE!C:Q,9,False)</f>
        <v>1</v>
      </c>
      <c r="Q6649" s="93" t="str">
        <f>VLOOKUP(E6649,DATABASE!C:Q,4,false)</f>
        <v>GT</v>
      </c>
      <c r="R6649" s="93" t="str">
        <f>VLOOKUP(E6649,DATABASE!C:Q,11,false)</f>
        <v>Tire</v>
      </c>
    </row>
    <row r="6650" ht="22.5" customHeight="1">
      <c r="A6650" s="49"/>
      <c r="C6650" s="400">
        <v>46041.0</v>
      </c>
      <c r="D6650" s="524">
        <v>53.0</v>
      </c>
      <c r="E6650" s="544" t="s">
        <v>299</v>
      </c>
      <c r="F6650" s="387">
        <v>2.0</v>
      </c>
      <c r="G6650" s="140">
        <v>30000.0</v>
      </c>
      <c r="H6650" s="74"/>
      <c r="I6650" s="74">
        <f t="shared" si="1"/>
        <v>60000</v>
      </c>
      <c r="J6650" s="74">
        <f>IF(E6650="SERVICE",I6650-(I6650*50%),Vlookup(E6650,DATABASE!C:Q,10,false)*F6650)</f>
        <v>0</v>
      </c>
      <c r="K6650" s="74">
        <f>VLOOKUP(E6650,DATABASE!C:Q,7,false)</f>
        <v>10000</v>
      </c>
      <c r="L6650" s="74">
        <v>5000.0</v>
      </c>
      <c r="M6650" s="74">
        <f t="shared" si="2"/>
        <v>5000</v>
      </c>
      <c r="N6650" s="74">
        <f t="shared" si="3"/>
        <v>50000</v>
      </c>
      <c r="O6650" s="65" t="str">
        <f>VLOOKUP(E6650,DATABASE!C:Q,8,false)</f>
        <v>BIAN</v>
      </c>
      <c r="P6650" s="65">
        <f>VLOOKUP(E6650,DATABASE!C:Q,9,False)</f>
        <v>0</v>
      </c>
      <c r="Q6650" s="93" t="str">
        <f>VLOOKUP(E6650,DATABASE!C:Q,4,false)</f>
        <v>Balancing</v>
      </c>
      <c r="R6650" s="93" t="str">
        <f>VLOOKUP(E6650,DATABASE!C:Q,11,false)</f>
        <v>COMPLEMENTARY</v>
      </c>
    </row>
    <row r="6651" ht="22.5" customHeight="1">
      <c r="A6651" s="49"/>
      <c r="C6651" s="400">
        <v>46041.0</v>
      </c>
      <c r="D6651" s="524">
        <v>54.0</v>
      </c>
      <c r="E6651" s="544" t="s">
        <v>924</v>
      </c>
      <c r="F6651" s="387">
        <v>4.0</v>
      </c>
      <c r="G6651" s="140">
        <v>1650000.0</v>
      </c>
      <c r="H6651" s="140">
        <v>20000.0</v>
      </c>
      <c r="I6651" s="74">
        <f t="shared" si="1"/>
        <v>6520000</v>
      </c>
      <c r="J6651" s="74">
        <f>IF(E6651="SERVICE",I6651-(I6651*50%),Vlookup(E6651,DATABASE!C:Q,10,false)*F6651)</f>
        <v>0</v>
      </c>
      <c r="K6651" s="74">
        <f>VLOOKUP(E6651,DATABASE!C:Q,7,false)</f>
        <v>1560000</v>
      </c>
      <c r="L6651" s="74">
        <v>1545000.0</v>
      </c>
      <c r="M6651" s="74">
        <f t="shared" si="2"/>
        <v>1545000</v>
      </c>
      <c r="N6651" s="74">
        <f t="shared" si="3"/>
        <v>340000</v>
      </c>
      <c r="O6651" s="65" t="str">
        <f>VLOOKUP(E6651,DATABASE!C:Q,8,false)</f>
        <v>BIAN</v>
      </c>
      <c r="P6651" s="65">
        <f>VLOOKUP(E6651,DATABASE!C:Q,9,False)</f>
        <v>1</v>
      </c>
      <c r="Q6651" s="93" t="str">
        <f>VLOOKUP(E6651,DATABASE!C:Q,4,false)</f>
        <v>TIRON</v>
      </c>
      <c r="R6651" s="93" t="str">
        <f>VLOOKUP(E6651,DATABASE!C:Q,11,false)</f>
        <v>Tire</v>
      </c>
    </row>
    <row r="6652" ht="22.5" customHeight="1">
      <c r="A6652" s="49"/>
      <c r="C6652" s="400">
        <v>46041.0</v>
      </c>
      <c r="D6652" s="524">
        <v>55.0</v>
      </c>
      <c r="E6652" s="544" t="s">
        <v>268</v>
      </c>
      <c r="F6652" s="387">
        <v>2.0</v>
      </c>
      <c r="G6652" s="140">
        <v>710000.0</v>
      </c>
      <c r="H6652" s="74"/>
      <c r="I6652" s="74">
        <f t="shared" si="1"/>
        <v>1420000</v>
      </c>
      <c r="J6652" s="74">
        <f>IF(E6652="SERVICE",I6652-(I6652*50%),Vlookup(E6652,DATABASE!C:Q,10,false)*F6652)</f>
        <v>0</v>
      </c>
      <c r="K6652" s="74">
        <f>VLOOKUP(E6652,DATABASE!C:Q,7,false)</f>
        <v>653000</v>
      </c>
      <c r="L6652" s="74">
        <v>622000.0</v>
      </c>
      <c r="M6652" s="74">
        <f t="shared" si="2"/>
        <v>625000</v>
      </c>
      <c r="N6652" s="74">
        <f t="shared" si="3"/>
        <v>170000</v>
      </c>
      <c r="O6652" s="65" t="str">
        <f>VLOOKUP(E6652,DATABASE!C:Q,8,false)</f>
        <v>IBU</v>
      </c>
      <c r="P6652" s="65">
        <f>VLOOKUP(E6652,DATABASE!C:Q,9,False)</f>
        <v>1</v>
      </c>
      <c r="Q6652" s="93" t="str">
        <f>VLOOKUP(E6652,DATABASE!C:Q,4,false)</f>
        <v>Dunlop</v>
      </c>
      <c r="R6652" s="93" t="str">
        <f>VLOOKUP(E6652,DATABASE!C:Q,11,false)</f>
        <v>Tire</v>
      </c>
    </row>
    <row r="6653" ht="22.5" customHeight="1">
      <c r="A6653" s="49"/>
      <c r="C6653" s="400">
        <v>46041.0</v>
      </c>
      <c r="D6653" s="524">
        <v>57.0</v>
      </c>
      <c r="E6653" s="544" t="s">
        <v>262</v>
      </c>
      <c r="F6653" s="387">
        <v>1.0</v>
      </c>
      <c r="G6653" s="140">
        <v>110000.0</v>
      </c>
      <c r="H6653" s="74"/>
      <c r="I6653" s="74">
        <f t="shared" si="1"/>
        <v>110000</v>
      </c>
      <c r="J6653" s="74">
        <f>IF(E6653="SERVICE",I6653-(I6653*50%),Vlookup(E6653,DATABASE!C:Q,10,false)*F6653)</f>
        <v>5000</v>
      </c>
      <c r="K6653" s="74">
        <f>VLOOKUP(E6653,DATABASE!C:Q,7,false)</f>
        <v>0</v>
      </c>
      <c r="L6653" s="74">
        <v>0.0</v>
      </c>
      <c r="M6653" s="74">
        <f t="shared" si="2"/>
        <v>0</v>
      </c>
      <c r="N6653" s="74">
        <f t="shared" si="3"/>
        <v>105000</v>
      </c>
      <c r="O6653" s="65" t="str">
        <f>VLOOKUP(E6653,DATABASE!C:Q,8,false)</f>
        <v>IBU</v>
      </c>
      <c r="P6653" s="65">
        <f>VLOOKUP(E6653,DATABASE!C:Q,9,False)</f>
        <v>0</v>
      </c>
      <c r="Q6653" s="93" t="str">
        <f>VLOOKUP(E6653,DATABASE!C:Q,4,false)</f>
        <v>SPOORING SS/CARRY LOS BAK</v>
      </c>
      <c r="R6653" s="93" t="str">
        <f>VLOOKUP(E6653,DATABASE!C:Q,11,false)</f>
        <v>SERVICE</v>
      </c>
    </row>
    <row r="6654" ht="22.5" customHeight="1">
      <c r="A6654" s="49"/>
      <c r="C6654" s="400">
        <v>46041.0</v>
      </c>
      <c r="D6654" s="524">
        <v>57.0</v>
      </c>
      <c r="E6654" s="544" t="s">
        <v>2206</v>
      </c>
      <c r="F6654" s="387">
        <v>1.0</v>
      </c>
      <c r="G6654" s="140">
        <v>225000.0</v>
      </c>
      <c r="H6654" s="140">
        <v>25000.0</v>
      </c>
      <c r="I6654" s="74">
        <f t="shared" si="1"/>
        <v>200000</v>
      </c>
      <c r="J6654" s="74">
        <f>IF(E6654="SERVICE",I6654-(I6654*50%),Vlookup(E6654,DATABASE!C:Q,10,false)*F6654)</f>
        <v>40000</v>
      </c>
      <c r="K6654" s="74">
        <f>VLOOKUP(E6654,DATABASE!C:Q,7,false)</f>
        <v>95450</v>
      </c>
      <c r="L6654" s="74">
        <v>61000.0</v>
      </c>
      <c r="M6654" s="74">
        <f t="shared" si="2"/>
        <v>65000</v>
      </c>
      <c r="N6654" s="74">
        <f t="shared" si="3"/>
        <v>95000</v>
      </c>
      <c r="O6654" s="65" t="str">
        <f>VLOOKUP(E6654,DATABASE!C:Q,8,false)</f>
        <v>IBU</v>
      </c>
      <c r="P6654" s="65">
        <f>VLOOKUP(E6654,DATABASE!C:Q,9,False)</f>
        <v>1</v>
      </c>
      <c r="Q6654" s="93" t="str">
        <f>VLOOKUP(E6654,DATABASE!C:Q,4,false)</f>
        <v>TIEROD</v>
      </c>
      <c r="R6654" s="93" t="str">
        <f>VLOOKUP(E6654,DATABASE!C:Q,11,false)</f>
        <v>COMPLEMENTARY</v>
      </c>
    </row>
    <row r="6655" ht="22.5" customHeight="1">
      <c r="A6655" s="49"/>
      <c r="C6655" s="400">
        <v>46042.0</v>
      </c>
      <c r="D6655" s="524">
        <v>58.0</v>
      </c>
      <c r="E6655" s="544" t="s">
        <v>600</v>
      </c>
      <c r="F6655" s="387">
        <v>2.0</v>
      </c>
      <c r="G6655" s="140">
        <v>675000.0</v>
      </c>
      <c r="H6655" s="74"/>
      <c r="I6655" s="74">
        <f t="shared" si="1"/>
        <v>1350000</v>
      </c>
      <c r="J6655" s="74">
        <f>IF(E6655="SERVICE",I6655-(I6655*50%),Vlookup(E6655,DATABASE!C:Q,10,false)*F6655)</f>
        <v>0</v>
      </c>
      <c r="K6655" s="74">
        <f>VLOOKUP(E6655,DATABASE!C:Q,7,false)</f>
        <v>611109.16</v>
      </c>
      <c r="L6655" s="74">
        <v>575780.8</v>
      </c>
      <c r="M6655" s="74">
        <f t="shared" si="2"/>
        <v>580000</v>
      </c>
      <c r="N6655" s="74">
        <f t="shared" si="3"/>
        <v>190000</v>
      </c>
      <c r="O6655" s="65" t="str">
        <f>VLOOKUP(E6655,DATABASE!C:Q,8,false)</f>
        <v>IBU</v>
      </c>
      <c r="P6655" s="65">
        <f>VLOOKUP(E6655,DATABASE!C:Q,9,False)</f>
        <v>1</v>
      </c>
      <c r="Q6655" s="93" t="str">
        <f>VLOOKUP(E6655,DATABASE!C:Q,4,false)</f>
        <v>Bridgestone</v>
      </c>
      <c r="R6655" s="93" t="str">
        <f>VLOOKUP(E6655,DATABASE!C:Q,11,false)</f>
        <v>Tire</v>
      </c>
    </row>
    <row r="6656" ht="22.5" customHeight="1">
      <c r="A6656" s="49"/>
      <c r="C6656" s="400">
        <v>46042.0</v>
      </c>
      <c r="D6656" s="524">
        <v>58.0</v>
      </c>
      <c r="E6656" s="544" t="s">
        <v>256</v>
      </c>
      <c r="F6656" s="387">
        <v>1.0</v>
      </c>
      <c r="G6656" s="140">
        <v>150000.0</v>
      </c>
      <c r="H6656" s="140">
        <v>20000.0</v>
      </c>
      <c r="I6656" s="74">
        <f t="shared" si="1"/>
        <v>130000</v>
      </c>
      <c r="J6656" s="74">
        <f>IF(E6656="SERVICE",I6656-(I6656*50%),Vlookup(E6656,DATABASE!C:Q,10,false)*F6656)</f>
        <v>10000</v>
      </c>
      <c r="K6656" s="74">
        <f>VLOOKUP(E6656,DATABASE!C:Q,7,false)</f>
        <v>0</v>
      </c>
      <c r="L6656" s="74">
        <v>0.0</v>
      </c>
      <c r="M6656" s="74">
        <f t="shared" si="2"/>
        <v>0</v>
      </c>
      <c r="N6656" s="74">
        <f t="shared" si="3"/>
        <v>120000</v>
      </c>
      <c r="O6656" s="65" t="str">
        <f>VLOOKUP(E6656,DATABASE!C:Q,8,false)</f>
        <v>IBU</v>
      </c>
      <c r="P6656" s="65">
        <f>VLOOKUP(E6656,DATABASE!C:Q,9,False)</f>
        <v>0</v>
      </c>
      <c r="Q6656" s="93" t="str">
        <f>VLOOKUP(E6656,DATABASE!C:Q,4,false)</f>
        <v>SPOORING</v>
      </c>
      <c r="R6656" s="93" t="str">
        <f>VLOOKUP(E6656,DATABASE!C:Q,11,false)</f>
        <v>SERVICE</v>
      </c>
    </row>
    <row r="6657" ht="22.5" customHeight="1">
      <c r="A6657" s="49"/>
      <c r="C6657" s="400">
        <v>46042.0</v>
      </c>
      <c r="D6657" s="524">
        <v>59.0</v>
      </c>
      <c r="E6657" s="544" t="s">
        <v>955</v>
      </c>
      <c r="F6657" s="387">
        <v>2.0</v>
      </c>
      <c r="G6657" s="140">
        <v>770000.0</v>
      </c>
      <c r="H6657" s="74"/>
      <c r="I6657" s="74">
        <f t="shared" si="1"/>
        <v>1540000</v>
      </c>
      <c r="J6657" s="74">
        <f>IF(E6657="SERVICE",I6657-(I6657*50%),Vlookup(E6657,DATABASE!C:Q,10,false)*F6657)</f>
        <v>0</v>
      </c>
      <c r="K6657" s="74">
        <f>VLOOKUP(E6657,DATABASE!C:Q,7,false)</f>
        <v>712000</v>
      </c>
      <c r="L6657" s="74">
        <v>674000.0</v>
      </c>
      <c r="M6657" s="74">
        <f t="shared" si="2"/>
        <v>675000</v>
      </c>
      <c r="N6657" s="74">
        <f t="shared" si="3"/>
        <v>190000</v>
      </c>
      <c r="O6657" s="65" t="str">
        <f>VLOOKUP(E6657,DATABASE!C:Q,8,false)</f>
        <v>IBU</v>
      </c>
      <c r="P6657" s="65">
        <f>VLOOKUP(E6657,DATABASE!C:Q,9,False)</f>
        <v>1</v>
      </c>
      <c r="Q6657" s="93" t="str">
        <f>VLOOKUP(E6657,DATABASE!C:Q,4,false)</f>
        <v>Dunlop</v>
      </c>
      <c r="R6657" s="93" t="str">
        <f>VLOOKUP(E6657,DATABASE!C:Q,11,false)</f>
        <v>Tire</v>
      </c>
    </row>
    <row r="6658" ht="22.5" customHeight="1">
      <c r="A6658" s="49"/>
      <c r="C6658" s="400">
        <v>46042.0</v>
      </c>
      <c r="D6658" s="524">
        <v>60.0</v>
      </c>
      <c r="E6658" s="544" t="s">
        <v>937</v>
      </c>
      <c r="F6658" s="387">
        <v>2.0</v>
      </c>
      <c r="G6658" s="140">
        <v>900000.0</v>
      </c>
      <c r="H6658" s="140">
        <v>20000.0</v>
      </c>
      <c r="I6658" s="74">
        <f t="shared" si="1"/>
        <v>1760000</v>
      </c>
      <c r="J6658" s="74">
        <f>IF(E6658="SERVICE",I6658-(I6658*50%),Vlookup(E6658,DATABASE!C:Q,10,false)*F6658)</f>
        <v>0</v>
      </c>
      <c r="K6658" s="74">
        <f>VLOOKUP(E6658,DATABASE!C:Q,7,false)</f>
        <v>825000</v>
      </c>
      <c r="L6658" s="74">
        <v>790000.0</v>
      </c>
      <c r="M6658" s="74">
        <f t="shared" si="2"/>
        <v>790000</v>
      </c>
      <c r="N6658" s="74">
        <f t="shared" si="3"/>
        <v>180000</v>
      </c>
      <c r="O6658" s="65" t="str">
        <f>VLOOKUP(E6658,DATABASE!C:Q,8,false)</f>
        <v>IBU</v>
      </c>
      <c r="P6658" s="65">
        <f>VLOOKUP(E6658,DATABASE!C:Q,9,False)</f>
        <v>1</v>
      </c>
      <c r="Q6658" s="93" t="str">
        <f>VLOOKUP(E6658,DATABASE!C:Q,4,false)</f>
        <v>Bridgestone</v>
      </c>
      <c r="R6658" s="93" t="str">
        <f>VLOOKUP(E6658,DATABASE!C:Q,11,false)</f>
        <v>Tire</v>
      </c>
    </row>
    <row r="6659" ht="22.5" customHeight="1">
      <c r="A6659" s="49"/>
      <c r="C6659" s="400">
        <v>46042.0</v>
      </c>
      <c r="D6659" s="524">
        <v>61.0</v>
      </c>
      <c r="E6659" s="544" t="s">
        <v>256</v>
      </c>
      <c r="F6659" s="387">
        <v>1.0</v>
      </c>
      <c r="G6659" s="140">
        <v>150000.0</v>
      </c>
      <c r="H6659" s="140">
        <v>20000.0</v>
      </c>
      <c r="I6659" s="74">
        <f t="shared" si="1"/>
        <v>130000</v>
      </c>
      <c r="J6659" s="74">
        <f>IF(E6659="SERVICE",I6659-(I6659*50%),Vlookup(E6659,DATABASE!C:Q,10,false)*F6659)</f>
        <v>10000</v>
      </c>
      <c r="K6659" s="74">
        <f>VLOOKUP(E6659,DATABASE!C:Q,7,false)</f>
        <v>0</v>
      </c>
      <c r="L6659" s="74">
        <v>0.0</v>
      </c>
      <c r="M6659" s="74">
        <f t="shared" si="2"/>
        <v>0</v>
      </c>
      <c r="N6659" s="74">
        <f t="shared" si="3"/>
        <v>120000</v>
      </c>
      <c r="O6659" s="65" t="str">
        <f>VLOOKUP(E6659,DATABASE!C:Q,8,false)</f>
        <v>IBU</v>
      </c>
      <c r="P6659" s="65">
        <f>VLOOKUP(E6659,DATABASE!C:Q,9,False)</f>
        <v>0</v>
      </c>
      <c r="Q6659" s="93" t="str">
        <f>VLOOKUP(E6659,DATABASE!C:Q,4,false)</f>
        <v>SPOORING</v>
      </c>
      <c r="R6659" s="93" t="str">
        <f>VLOOKUP(E6659,DATABASE!C:Q,11,false)</f>
        <v>SERVICE</v>
      </c>
    </row>
    <row r="6660" ht="22.5" customHeight="1">
      <c r="A6660" s="49"/>
      <c r="C6660" s="400">
        <v>46042.0</v>
      </c>
      <c r="D6660" s="524">
        <v>61.0</v>
      </c>
      <c r="E6660" s="544" t="s">
        <v>251</v>
      </c>
      <c r="F6660" s="387">
        <v>1.0</v>
      </c>
      <c r="G6660" s="140">
        <v>350000.0</v>
      </c>
      <c r="H6660" s="140">
        <v>200000.0</v>
      </c>
      <c r="I6660" s="74">
        <f t="shared" si="1"/>
        <v>150000</v>
      </c>
      <c r="J6660" s="74">
        <f>IF(E6660="SERVICE",I6660-(I6660*50%),Vlookup(E6660,DATABASE!C:Q,10,false)*F6660)</f>
        <v>75000</v>
      </c>
      <c r="K6660" s="74">
        <f>VLOOKUP(E6660,DATABASE!C:Q,7,false)</f>
        <v>0</v>
      </c>
      <c r="L6660" s="74">
        <v>0.0</v>
      </c>
      <c r="M6660" s="74">
        <f t="shared" si="2"/>
        <v>0</v>
      </c>
      <c r="N6660" s="74">
        <f t="shared" si="3"/>
        <v>75000</v>
      </c>
      <c r="O6660" s="65" t="str">
        <f>VLOOKUP(E6660,DATABASE!C:Q,8,false)</f>
        <v>IBU</v>
      </c>
      <c r="P6660" s="65">
        <f>VLOOKUP(E6660,DATABASE!C:Q,9,False)</f>
        <v>0</v>
      </c>
      <c r="Q6660" s="93" t="str">
        <f>VLOOKUP(E6660,DATABASE!C:Q,4,false)</f>
        <v>SERVICE</v>
      </c>
      <c r="R6660" s="93" t="str">
        <f>VLOOKUP(E6660,DATABASE!C:Q,11,false)</f>
        <v>SERVICE</v>
      </c>
    </row>
    <row r="6661" ht="22.5" customHeight="1">
      <c r="A6661" s="49"/>
      <c r="C6661" s="400">
        <v>46042.0</v>
      </c>
      <c r="D6661" s="524">
        <v>62.0</v>
      </c>
      <c r="E6661" s="544" t="s">
        <v>1009</v>
      </c>
      <c r="F6661" s="387">
        <v>1.0</v>
      </c>
      <c r="G6661" s="140">
        <v>700000.0</v>
      </c>
      <c r="H6661" s="74"/>
      <c r="I6661" s="74">
        <f t="shared" si="1"/>
        <v>700000</v>
      </c>
      <c r="J6661" s="74">
        <f>IF(E6661="SERVICE",I6661-(I6661*50%),Vlookup(E6661,DATABASE!C:Q,10,false)*F6661)</f>
        <v>0</v>
      </c>
      <c r="K6661" s="74">
        <f>VLOOKUP(E6661,DATABASE!C:Q,7,false)</f>
        <v>609800</v>
      </c>
      <c r="L6661" s="74">
        <v>592200.0</v>
      </c>
      <c r="M6661" s="74">
        <f t="shared" si="2"/>
        <v>595000</v>
      </c>
      <c r="N6661" s="74">
        <f t="shared" si="3"/>
        <v>105000</v>
      </c>
      <c r="O6661" s="65" t="str">
        <f>VLOOKUP(E6661,DATABASE!C:Q,8,false)</f>
        <v>BIAN</v>
      </c>
      <c r="P6661" s="65">
        <f>VLOOKUP(E6661,DATABASE!C:Q,9,False)</f>
        <v>1</v>
      </c>
      <c r="Q6661" s="93" t="str">
        <f>VLOOKUP(E6661,DATABASE!C:Q,4,false)</f>
        <v>GT</v>
      </c>
      <c r="R6661" s="93" t="str">
        <f>VLOOKUP(E6661,DATABASE!C:Q,11,false)</f>
        <v>Tire</v>
      </c>
    </row>
    <row r="6662" ht="22.5" customHeight="1">
      <c r="A6662" s="49"/>
      <c r="C6662" s="400">
        <v>46042.0</v>
      </c>
      <c r="D6662" s="524">
        <v>63.0</v>
      </c>
      <c r="E6662" s="544" t="s">
        <v>256</v>
      </c>
      <c r="F6662" s="387">
        <v>1.0</v>
      </c>
      <c r="G6662" s="140">
        <v>150000.0</v>
      </c>
      <c r="H6662" s="140">
        <v>20000.0</v>
      </c>
      <c r="I6662" s="74">
        <f t="shared" si="1"/>
        <v>130000</v>
      </c>
      <c r="J6662" s="74">
        <f>IF(E6662="SERVICE",I6662-(I6662*50%),Vlookup(E6662,DATABASE!C:Q,10,false)*F6662)</f>
        <v>10000</v>
      </c>
      <c r="K6662" s="74">
        <f>VLOOKUP(E6662,DATABASE!C:Q,7,false)</f>
        <v>0</v>
      </c>
      <c r="L6662" s="74">
        <v>0.0</v>
      </c>
      <c r="M6662" s="74">
        <f t="shared" si="2"/>
        <v>0</v>
      </c>
      <c r="N6662" s="74">
        <f t="shared" si="3"/>
        <v>120000</v>
      </c>
      <c r="O6662" s="65" t="str">
        <f>VLOOKUP(E6662,DATABASE!C:Q,8,false)</f>
        <v>IBU</v>
      </c>
      <c r="P6662" s="65">
        <f>VLOOKUP(E6662,DATABASE!C:Q,9,False)</f>
        <v>0</v>
      </c>
      <c r="Q6662" s="93" t="str">
        <f>VLOOKUP(E6662,DATABASE!C:Q,4,false)</f>
        <v>SPOORING</v>
      </c>
      <c r="R6662" s="93" t="str">
        <f>VLOOKUP(E6662,DATABASE!C:Q,11,false)</f>
        <v>SERVICE</v>
      </c>
    </row>
    <row r="6663" ht="22.5" customHeight="1">
      <c r="A6663" s="49"/>
      <c r="C6663" s="400">
        <v>46042.0</v>
      </c>
      <c r="D6663" s="524">
        <v>63.0</v>
      </c>
      <c r="E6663" s="544" t="s">
        <v>251</v>
      </c>
      <c r="F6663" s="387">
        <v>1.0</v>
      </c>
      <c r="G6663" s="140">
        <v>350000.0</v>
      </c>
      <c r="H6663" s="140">
        <v>200000.0</v>
      </c>
      <c r="I6663" s="74">
        <f t="shared" si="1"/>
        <v>150000</v>
      </c>
      <c r="J6663" s="74">
        <f>IF(E6663="SERVICE",I6663-(I6663*50%),Vlookup(E6663,DATABASE!C:Q,10,false)*F6663)</f>
        <v>75000</v>
      </c>
      <c r="K6663" s="74">
        <f>VLOOKUP(E6663,DATABASE!C:Q,7,false)</f>
        <v>0</v>
      </c>
      <c r="L6663" s="74">
        <v>0.0</v>
      </c>
      <c r="M6663" s="74">
        <f t="shared" si="2"/>
        <v>0</v>
      </c>
      <c r="N6663" s="74">
        <f t="shared" si="3"/>
        <v>75000</v>
      </c>
      <c r="O6663" s="65" t="str">
        <f>VLOOKUP(E6663,DATABASE!C:Q,8,false)</f>
        <v>IBU</v>
      </c>
      <c r="P6663" s="65">
        <f>VLOOKUP(E6663,DATABASE!C:Q,9,False)</f>
        <v>0</v>
      </c>
      <c r="Q6663" s="93" t="str">
        <f>VLOOKUP(E6663,DATABASE!C:Q,4,false)</f>
        <v>SERVICE</v>
      </c>
      <c r="R6663" s="93" t="str">
        <f>VLOOKUP(E6663,DATABASE!C:Q,11,false)</f>
        <v>SERVICE</v>
      </c>
    </row>
    <row r="6664" ht="22.5" customHeight="1">
      <c r="A6664" s="49"/>
      <c r="C6664" s="400">
        <v>46042.0</v>
      </c>
      <c r="D6664" s="524">
        <v>66.0</v>
      </c>
      <c r="E6664" s="544" t="s">
        <v>268</v>
      </c>
      <c r="F6664" s="387">
        <v>2.0</v>
      </c>
      <c r="G6664" s="140">
        <v>710000.0</v>
      </c>
      <c r="H6664" s="74"/>
      <c r="I6664" s="74">
        <f t="shared" si="1"/>
        <v>1420000</v>
      </c>
      <c r="J6664" s="74">
        <f>IF(E6664="SERVICE",I6664-(I6664*50%),Vlookup(E6664,DATABASE!C:Q,10,false)*F6664)</f>
        <v>0</v>
      </c>
      <c r="K6664" s="74">
        <f>VLOOKUP(E6664,DATABASE!C:Q,7,false)</f>
        <v>653000</v>
      </c>
      <c r="L6664" s="74">
        <v>622000.0</v>
      </c>
      <c r="M6664" s="74">
        <f t="shared" si="2"/>
        <v>625000</v>
      </c>
      <c r="N6664" s="74">
        <f t="shared" si="3"/>
        <v>170000</v>
      </c>
      <c r="O6664" s="65" t="str">
        <f>VLOOKUP(E6664,DATABASE!C:Q,8,false)</f>
        <v>IBU</v>
      </c>
      <c r="P6664" s="65">
        <f>VLOOKUP(E6664,DATABASE!C:Q,9,False)</f>
        <v>1</v>
      </c>
      <c r="Q6664" s="93" t="str">
        <f>VLOOKUP(E6664,DATABASE!C:Q,4,false)</f>
        <v>Dunlop</v>
      </c>
      <c r="R6664" s="93" t="str">
        <f>VLOOKUP(E6664,DATABASE!C:Q,11,false)</f>
        <v>Tire</v>
      </c>
    </row>
    <row r="6665" ht="22.5" customHeight="1">
      <c r="A6665" s="49"/>
      <c r="C6665" s="400">
        <v>46042.0</v>
      </c>
      <c r="D6665" s="69">
        <v>67.0</v>
      </c>
      <c r="E6665" s="544" t="s">
        <v>256</v>
      </c>
      <c r="F6665" s="387">
        <v>1.0</v>
      </c>
      <c r="G6665" s="140">
        <v>150000.0</v>
      </c>
      <c r="H6665" s="140">
        <v>20000.0</v>
      </c>
      <c r="I6665" s="74">
        <f t="shared" si="1"/>
        <v>130000</v>
      </c>
      <c r="J6665" s="74">
        <f>IF(E6665="SERVICE",I6665-(I6665*50%),Vlookup(E6665,DATABASE!C:Q,10,false)*F6665)</f>
        <v>10000</v>
      </c>
      <c r="K6665" s="74">
        <f>VLOOKUP(E6665,DATABASE!C:Q,7,false)</f>
        <v>0</v>
      </c>
      <c r="L6665" s="74">
        <v>0.0</v>
      </c>
      <c r="M6665" s="74">
        <f t="shared" si="2"/>
        <v>0</v>
      </c>
      <c r="N6665" s="74">
        <f t="shared" si="3"/>
        <v>120000</v>
      </c>
      <c r="O6665" s="65" t="str">
        <f>VLOOKUP(E6665,DATABASE!C:Q,8,false)</f>
        <v>IBU</v>
      </c>
      <c r="P6665" s="65">
        <f>VLOOKUP(E6665,DATABASE!C:Q,9,False)</f>
        <v>0</v>
      </c>
      <c r="Q6665" s="93" t="str">
        <f>VLOOKUP(E6665,DATABASE!C:Q,4,false)</f>
        <v>SPOORING</v>
      </c>
      <c r="R6665" s="93" t="str">
        <f>VLOOKUP(E6665,DATABASE!C:Q,11,false)</f>
        <v>SERVICE</v>
      </c>
    </row>
    <row r="6666" ht="22.5" customHeight="1">
      <c r="A6666" s="49"/>
      <c r="C6666" s="400">
        <v>46042.0</v>
      </c>
      <c r="D6666" s="69">
        <v>67.0</v>
      </c>
      <c r="E6666" s="544" t="s">
        <v>251</v>
      </c>
      <c r="F6666" s="387">
        <v>1.0</v>
      </c>
      <c r="G6666" s="140">
        <v>350000.0</v>
      </c>
      <c r="H6666" s="140">
        <v>200000.0</v>
      </c>
      <c r="I6666" s="74">
        <f t="shared" si="1"/>
        <v>150000</v>
      </c>
      <c r="J6666" s="74">
        <f>IF(E6666="SERVICE",I6666-(I6666*50%),Vlookup(E6666,DATABASE!C:Q,10,false)*F6666)</f>
        <v>75000</v>
      </c>
      <c r="K6666" s="74">
        <f>VLOOKUP(E6666,DATABASE!C:Q,7,false)</f>
        <v>0</v>
      </c>
      <c r="L6666" s="74">
        <v>0.0</v>
      </c>
      <c r="M6666" s="74">
        <f t="shared" si="2"/>
        <v>0</v>
      </c>
      <c r="N6666" s="74">
        <f t="shared" si="3"/>
        <v>75000</v>
      </c>
      <c r="O6666" s="65" t="str">
        <f>VLOOKUP(E6666,DATABASE!C:Q,8,false)</f>
        <v>IBU</v>
      </c>
      <c r="P6666" s="65">
        <f>VLOOKUP(E6666,DATABASE!C:Q,9,False)</f>
        <v>0</v>
      </c>
      <c r="Q6666" s="93" t="str">
        <f>VLOOKUP(E6666,DATABASE!C:Q,4,false)</f>
        <v>SERVICE</v>
      </c>
      <c r="R6666" s="93" t="str">
        <f>VLOOKUP(E6666,DATABASE!C:Q,11,false)</f>
        <v>SERVICE</v>
      </c>
    </row>
    <row r="6667" ht="22.5" customHeight="1">
      <c r="A6667" s="49"/>
      <c r="C6667" s="400">
        <v>46042.0</v>
      </c>
      <c r="D6667" s="524">
        <v>68.0</v>
      </c>
      <c r="E6667" s="544" t="s">
        <v>256</v>
      </c>
      <c r="F6667" s="387">
        <v>1.0</v>
      </c>
      <c r="G6667" s="140">
        <v>150000.0</v>
      </c>
      <c r="H6667" s="140">
        <v>20000.0</v>
      </c>
      <c r="I6667" s="74">
        <f t="shared" si="1"/>
        <v>130000</v>
      </c>
      <c r="J6667" s="74">
        <f>IF(E6667="SERVICE",I6667-(I6667*50%),Vlookup(E6667,DATABASE!C:Q,10,false)*F6667)</f>
        <v>10000</v>
      </c>
      <c r="K6667" s="74">
        <f>VLOOKUP(E6667,DATABASE!C:Q,7,false)</f>
        <v>0</v>
      </c>
      <c r="L6667" s="74">
        <v>0.0</v>
      </c>
      <c r="M6667" s="74">
        <f t="shared" si="2"/>
        <v>0</v>
      </c>
      <c r="N6667" s="74">
        <f t="shared" si="3"/>
        <v>120000</v>
      </c>
      <c r="O6667" s="65" t="str">
        <f>VLOOKUP(E6667,DATABASE!C:Q,8,false)</f>
        <v>IBU</v>
      </c>
      <c r="P6667" s="65">
        <f>VLOOKUP(E6667,DATABASE!C:Q,9,False)</f>
        <v>0</v>
      </c>
      <c r="Q6667" s="93" t="str">
        <f>VLOOKUP(E6667,DATABASE!C:Q,4,false)</f>
        <v>SPOORING</v>
      </c>
      <c r="R6667" s="93" t="str">
        <f>VLOOKUP(E6667,DATABASE!C:Q,11,false)</f>
        <v>SERVICE</v>
      </c>
    </row>
    <row r="6668" ht="22.5" customHeight="1">
      <c r="A6668" s="49"/>
      <c r="C6668" s="400">
        <v>46042.0</v>
      </c>
      <c r="D6668" s="524">
        <v>68.0</v>
      </c>
      <c r="E6668" s="544" t="s">
        <v>251</v>
      </c>
      <c r="F6668" s="387">
        <v>1.0</v>
      </c>
      <c r="G6668" s="140">
        <v>350000.0</v>
      </c>
      <c r="H6668" s="140">
        <v>200000.0</v>
      </c>
      <c r="I6668" s="74">
        <f t="shared" si="1"/>
        <v>150000</v>
      </c>
      <c r="J6668" s="74">
        <f>IF(E6668="SERVICE",I6668-(I6668*50%),Vlookup(E6668,DATABASE!C:Q,10,false)*F6668)</f>
        <v>75000</v>
      </c>
      <c r="K6668" s="74">
        <f>VLOOKUP(E6668,DATABASE!C:Q,7,false)</f>
        <v>0</v>
      </c>
      <c r="L6668" s="74">
        <v>0.0</v>
      </c>
      <c r="M6668" s="74">
        <f t="shared" si="2"/>
        <v>0</v>
      </c>
      <c r="N6668" s="74">
        <f t="shared" si="3"/>
        <v>75000</v>
      </c>
      <c r="O6668" s="65" t="str">
        <f>VLOOKUP(E6668,DATABASE!C:Q,8,false)</f>
        <v>IBU</v>
      </c>
      <c r="P6668" s="65">
        <f>VLOOKUP(E6668,DATABASE!C:Q,9,False)</f>
        <v>0</v>
      </c>
      <c r="Q6668" s="93" t="str">
        <f>VLOOKUP(E6668,DATABASE!C:Q,4,false)</f>
        <v>SERVICE</v>
      </c>
      <c r="R6668" s="93" t="str">
        <f>VLOOKUP(E6668,DATABASE!C:Q,11,false)</f>
        <v>SERVICE</v>
      </c>
    </row>
    <row r="6669" ht="22.5" customHeight="1">
      <c r="A6669" s="49"/>
      <c r="C6669" s="400">
        <v>46042.0</v>
      </c>
      <c r="D6669" s="69" t="s">
        <v>2692</v>
      </c>
      <c r="E6669" s="544" t="s">
        <v>263</v>
      </c>
      <c r="F6669" s="387">
        <v>1.0</v>
      </c>
      <c r="G6669" s="140">
        <v>320000.0</v>
      </c>
      <c r="H6669" s="74"/>
      <c r="I6669" s="74">
        <f t="shared" si="1"/>
        <v>320000</v>
      </c>
      <c r="J6669" s="74">
        <f>IF(E6669="SERVICE",I6669-(I6669*50%),Vlookup(E6669,DATABASE!C:Q,10,false)*F6669)</f>
        <v>0</v>
      </c>
      <c r="K6669" s="74">
        <f>VLOOKUP(E6669,DATABASE!C:Q,7,false)</f>
        <v>334916</v>
      </c>
      <c r="L6669" s="74">
        <v>287688.0</v>
      </c>
      <c r="M6669" s="74">
        <f t="shared" si="2"/>
        <v>290000</v>
      </c>
      <c r="N6669" s="74">
        <f t="shared" si="3"/>
        <v>30000</v>
      </c>
      <c r="O6669" s="65" t="str">
        <f>VLOOKUP(E6669,DATABASE!C:Q,8,false)</f>
        <v>NON</v>
      </c>
      <c r="P6669" s="65">
        <f>VLOOKUP(E6669,DATABASE!C:Q,9,False)</f>
        <v>0</v>
      </c>
      <c r="Q6669" s="93" t="str">
        <f>VLOOKUP(E6669,DATABASE!C:Q,4,false)</f>
        <v>Shell</v>
      </c>
      <c r="R6669" s="93" t="str">
        <f>VLOOKUP(E6669,DATABASE!C:Q,11,false)</f>
        <v>OIL</v>
      </c>
    </row>
    <row r="6670" ht="22.5" customHeight="1">
      <c r="A6670" s="49"/>
      <c r="C6670" s="400">
        <v>46043.0</v>
      </c>
      <c r="D6670" s="524">
        <v>70.0</v>
      </c>
      <c r="E6670" s="544" t="s">
        <v>268</v>
      </c>
      <c r="F6670" s="387">
        <v>1.0</v>
      </c>
      <c r="G6670" s="140">
        <v>710000.0</v>
      </c>
      <c r="H6670" s="74"/>
      <c r="I6670" s="74">
        <f t="shared" si="1"/>
        <v>710000</v>
      </c>
      <c r="J6670" s="74">
        <f>IF(E6670="SERVICE",I6670-(I6670*50%),Vlookup(E6670,DATABASE!C:Q,10,false)*F6670)</f>
        <v>0</v>
      </c>
      <c r="K6670" s="74">
        <f>VLOOKUP(E6670,DATABASE!C:Q,7,false)</f>
        <v>653000</v>
      </c>
      <c r="L6670" s="74">
        <v>622000.0</v>
      </c>
      <c r="M6670" s="74">
        <f t="shared" si="2"/>
        <v>625000</v>
      </c>
      <c r="N6670" s="74">
        <f t="shared" si="3"/>
        <v>85000</v>
      </c>
      <c r="O6670" s="65" t="str">
        <f>VLOOKUP(E6670,DATABASE!C:Q,8,false)</f>
        <v>IBU</v>
      </c>
      <c r="P6670" s="65">
        <f>VLOOKUP(E6670,DATABASE!C:Q,9,False)</f>
        <v>1</v>
      </c>
      <c r="Q6670" s="93" t="str">
        <f>VLOOKUP(E6670,DATABASE!C:Q,4,false)</f>
        <v>Dunlop</v>
      </c>
      <c r="R6670" s="93" t="str">
        <f>VLOOKUP(E6670,DATABASE!C:Q,11,false)</f>
        <v>Tire</v>
      </c>
    </row>
    <row r="6671" ht="22.5" customHeight="1">
      <c r="A6671" s="49"/>
      <c r="C6671" s="400">
        <v>46043.0</v>
      </c>
      <c r="D6671" s="524">
        <v>71.0</v>
      </c>
      <c r="E6671" s="544" t="s">
        <v>554</v>
      </c>
      <c r="F6671" s="387">
        <v>2.0</v>
      </c>
      <c r="G6671" s="140">
        <v>800000.0</v>
      </c>
      <c r="H6671" s="140">
        <v>30000.0</v>
      </c>
      <c r="I6671" s="74">
        <f t="shared" si="1"/>
        <v>1540000</v>
      </c>
      <c r="J6671" s="74">
        <f>IF(E6671="SERVICE",I6671-(I6671*50%),Vlookup(E6671,DATABASE!C:Q,10,false)*F6671)</f>
        <v>0</v>
      </c>
      <c r="K6671" s="74">
        <f>VLOOKUP(E6671,DATABASE!C:Q,7,false)</f>
        <v>710000</v>
      </c>
      <c r="L6671" s="74">
        <v>680000.0</v>
      </c>
      <c r="M6671" s="74">
        <f t="shared" si="2"/>
        <v>680000</v>
      </c>
      <c r="N6671" s="74">
        <f t="shared" si="3"/>
        <v>180000</v>
      </c>
      <c r="O6671" s="65" t="str">
        <f>VLOOKUP(E6671,DATABASE!C:Q,8,false)</f>
        <v>IBU</v>
      </c>
      <c r="P6671" s="65">
        <f>VLOOKUP(E6671,DATABASE!C:Q,9,False)</f>
        <v>1</v>
      </c>
      <c r="Q6671" s="93" t="str">
        <f>VLOOKUP(E6671,DATABASE!C:Q,4,false)</f>
        <v>Bridgestone</v>
      </c>
      <c r="R6671" s="93" t="str">
        <f>VLOOKUP(E6671,DATABASE!C:Q,11,false)</f>
        <v>Tire</v>
      </c>
    </row>
    <row r="6672" ht="22.5" customHeight="1">
      <c r="A6672" s="49"/>
      <c r="C6672" s="400">
        <v>46043.0</v>
      </c>
      <c r="D6672" s="524">
        <v>72.0</v>
      </c>
      <c r="E6672" s="544" t="s">
        <v>566</v>
      </c>
      <c r="F6672" s="387">
        <v>4.0</v>
      </c>
      <c r="G6672" s="140">
        <v>1670000.0</v>
      </c>
      <c r="H6672" s="140">
        <v>20000.0</v>
      </c>
      <c r="I6672" s="74">
        <f t="shared" si="1"/>
        <v>6600000</v>
      </c>
      <c r="J6672" s="74">
        <f>IF(E6672="SERVICE",I6672-(I6672*50%),Vlookup(E6672,DATABASE!C:Q,10,false)*F6672)</f>
        <v>0</v>
      </c>
      <c r="K6672" s="74">
        <f>VLOOKUP(E6672,DATABASE!C:Q,7,false)</f>
        <v>1565000</v>
      </c>
      <c r="L6672" s="74">
        <v>1545000.0</v>
      </c>
      <c r="M6672" s="74">
        <f t="shared" si="2"/>
        <v>1545000</v>
      </c>
      <c r="N6672" s="74">
        <f t="shared" si="3"/>
        <v>420000</v>
      </c>
      <c r="O6672" s="65" t="str">
        <f>VLOOKUP(E6672,DATABASE!C:Q,8,false)</f>
        <v>IBU</v>
      </c>
      <c r="P6672" s="65">
        <f>VLOOKUP(E6672,DATABASE!C:Q,9,False)</f>
        <v>1</v>
      </c>
      <c r="Q6672" s="93" t="str">
        <f>VLOOKUP(E6672,DATABASE!C:Q,4,false)</f>
        <v>Bridgestone</v>
      </c>
      <c r="R6672" s="93" t="str">
        <f>VLOOKUP(E6672,DATABASE!C:Q,11,false)</f>
        <v>Tire</v>
      </c>
    </row>
    <row r="6673" ht="22.5" customHeight="1">
      <c r="A6673" s="49"/>
      <c r="C6673" s="400">
        <v>46043.0</v>
      </c>
      <c r="D6673" s="69">
        <v>73.0</v>
      </c>
      <c r="E6673" s="544" t="s">
        <v>737</v>
      </c>
      <c r="F6673" s="387">
        <v>3.0</v>
      </c>
      <c r="G6673" s="140">
        <v>270000.0</v>
      </c>
      <c r="H6673" s="74"/>
      <c r="I6673" s="74">
        <f t="shared" si="1"/>
        <v>810000</v>
      </c>
      <c r="J6673" s="74">
        <f>IF(E6673="SERVICE",I6673-(I6673*50%),Vlookup(E6673,DATABASE!C:Q,10,false)*F6673)</f>
        <v>0</v>
      </c>
      <c r="K6673" s="74">
        <f>VLOOKUP(E6673,DATABASE!C:Q,7,false)</f>
        <v>241001.6</v>
      </c>
      <c r="L6673" s="74">
        <v>237440.0</v>
      </c>
      <c r="M6673" s="74">
        <f t="shared" si="2"/>
        <v>240000</v>
      </c>
      <c r="N6673" s="74">
        <f t="shared" si="3"/>
        <v>90000</v>
      </c>
      <c r="O6673" s="65" t="str">
        <f>VLOOKUP(E6673,DATABASE!C:Q,8,false)</f>
        <v>IBU</v>
      </c>
      <c r="P6673" s="65">
        <f>VLOOKUP(E6673,DATABASE!C:Q,9,False)</f>
        <v>1</v>
      </c>
      <c r="Q6673" s="93" t="str">
        <f>VLOOKUP(E6673,DATABASE!C:Q,4,false)</f>
        <v>BD</v>
      </c>
      <c r="R6673" s="93" t="str">
        <f>VLOOKUP(E6673,DATABASE!C:Q,11,false)</f>
        <v>Tire</v>
      </c>
    </row>
    <row r="6674" ht="22.5" customHeight="1">
      <c r="A6674" s="49"/>
      <c r="C6674" s="400">
        <v>46043.0</v>
      </c>
      <c r="D6674" s="69">
        <v>73.0</v>
      </c>
      <c r="E6674" s="544" t="s">
        <v>821</v>
      </c>
      <c r="F6674" s="387">
        <v>3.0</v>
      </c>
      <c r="G6674" s="140">
        <v>85000.0</v>
      </c>
      <c r="H6674" s="74"/>
      <c r="I6674" s="74">
        <f t="shared" si="1"/>
        <v>255000</v>
      </c>
      <c r="J6674" s="74">
        <f>IF(E6674="SERVICE",I6674-(I6674*50%),Vlookup(E6674,DATABASE!C:Q,10,false)*F6674)</f>
        <v>0</v>
      </c>
      <c r="K6674" s="74">
        <f>VLOOKUP(E6674,DATABASE!C:Q,7,false)</f>
        <v>43500</v>
      </c>
      <c r="L6674" s="74">
        <v>43520.0</v>
      </c>
      <c r="M6674" s="74">
        <f t="shared" si="2"/>
        <v>45000</v>
      </c>
      <c r="N6674" s="74">
        <f t="shared" si="3"/>
        <v>120000</v>
      </c>
      <c r="O6674" s="65" t="str">
        <f>VLOOKUP(E6674,DATABASE!C:Q,8,false)</f>
        <v>BIAN</v>
      </c>
      <c r="P6674" s="65">
        <f>VLOOKUP(E6674,DATABASE!C:Q,9,False)</f>
        <v>1</v>
      </c>
      <c r="Q6674" s="93" t="str">
        <f>VLOOKUP(E6674,DATABASE!C:Q,4,false)</f>
        <v>Flap</v>
      </c>
      <c r="R6674" s="93" t="str">
        <f>VLOOKUP(E6674,DATABASE!C:Q,11,false)</f>
        <v>Tire</v>
      </c>
    </row>
    <row r="6675" ht="22.5" customHeight="1">
      <c r="A6675" s="49"/>
      <c r="C6675" s="400">
        <v>46043.0</v>
      </c>
      <c r="D6675" s="524">
        <v>74.0</v>
      </c>
      <c r="E6675" s="544" t="s">
        <v>897</v>
      </c>
      <c r="F6675" s="387">
        <v>2.0</v>
      </c>
      <c r="G6675" s="140">
        <v>1600000.0</v>
      </c>
      <c r="H6675" s="140">
        <v>20000.0</v>
      </c>
      <c r="I6675" s="74">
        <f t="shared" si="1"/>
        <v>3160000</v>
      </c>
      <c r="J6675" s="74">
        <f>IF(E6675="SERVICE",I6675-(I6675*50%),Vlookup(E6675,DATABASE!C:Q,10,false)*F6675)</f>
        <v>0</v>
      </c>
      <c r="K6675" s="74">
        <f>VLOOKUP(E6675,DATABASE!C:Q,7,false)</f>
        <v>1560000</v>
      </c>
      <c r="L6675" s="74">
        <v>1500000.0</v>
      </c>
      <c r="M6675" s="74">
        <f t="shared" si="2"/>
        <v>1500000</v>
      </c>
      <c r="N6675" s="74">
        <f t="shared" si="3"/>
        <v>160000</v>
      </c>
      <c r="O6675" s="65" t="str">
        <f>VLOOKUP(E6675,DATABASE!C:Q,8,false)</f>
        <v>BIAN</v>
      </c>
      <c r="P6675" s="65">
        <f>VLOOKUP(E6675,DATABASE!C:Q,9,False)</f>
        <v>1</v>
      </c>
      <c r="Q6675" s="93" t="str">
        <f>VLOOKUP(E6675,DATABASE!C:Q,4,false)</f>
        <v>GT</v>
      </c>
      <c r="R6675" s="93" t="str">
        <f>VLOOKUP(E6675,DATABASE!C:Q,11,false)</f>
        <v>Tire</v>
      </c>
    </row>
    <row r="6676" ht="22.5" customHeight="1">
      <c r="A6676" s="49"/>
      <c r="C6676" s="400">
        <v>46043.0</v>
      </c>
      <c r="D6676" s="524">
        <v>75.0</v>
      </c>
      <c r="E6676" s="544" t="s">
        <v>937</v>
      </c>
      <c r="F6676" s="387">
        <v>2.0</v>
      </c>
      <c r="G6676" s="140">
        <v>900000.0</v>
      </c>
      <c r="H6676" s="140">
        <v>20000.0</v>
      </c>
      <c r="I6676" s="74">
        <f t="shared" si="1"/>
        <v>1760000</v>
      </c>
      <c r="J6676" s="74">
        <f>IF(E6676="SERVICE",I6676-(I6676*50%),Vlookup(E6676,DATABASE!C:Q,10,false)*F6676)</f>
        <v>0</v>
      </c>
      <c r="K6676" s="74">
        <f>VLOOKUP(E6676,DATABASE!C:Q,7,false)</f>
        <v>825000</v>
      </c>
      <c r="L6676" s="74">
        <v>790000.0</v>
      </c>
      <c r="M6676" s="74">
        <f t="shared" si="2"/>
        <v>790000</v>
      </c>
      <c r="N6676" s="74">
        <f t="shared" si="3"/>
        <v>180000</v>
      </c>
      <c r="O6676" s="65" t="str">
        <f>VLOOKUP(E6676,DATABASE!C:Q,8,false)</f>
        <v>IBU</v>
      </c>
      <c r="P6676" s="65">
        <f>VLOOKUP(E6676,DATABASE!C:Q,9,False)</f>
        <v>1</v>
      </c>
      <c r="Q6676" s="93" t="str">
        <f>VLOOKUP(E6676,DATABASE!C:Q,4,false)</f>
        <v>Bridgestone</v>
      </c>
      <c r="R6676" s="93" t="str">
        <f>VLOOKUP(E6676,DATABASE!C:Q,11,false)</f>
        <v>Tire</v>
      </c>
    </row>
    <row r="6677" ht="22.5" customHeight="1">
      <c r="A6677" s="49"/>
      <c r="C6677" s="400">
        <v>46043.0</v>
      </c>
      <c r="D6677" s="524">
        <v>76.0</v>
      </c>
      <c r="E6677" s="544" t="s">
        <v>2610</v>
      </c>
      <c r="F6677" s="387">
        <v>1.0</v>
      </c>
      <c r="G6677" s="140">
        <v>920000.0</v>
      </c>
      <c r="H6677" s="140">
        <v>20000.0</v>
      </c>
      <c r="I6677" s="74">
        <f t="shared" si="1"/>
        <v>900000</v>
      </c>
      <c r="J6677" s="74">
        <f>IF(E6677="SERVICE",I6677-(I6677*50%),Vlookup(E6677,DATABASE!C:Q,10,false)*F6677)</f>
        <v>0</v>
      </c>
      <c r="K6677" s="74">
        <f>VLOOKUP(E6677,DATABASE!C:Q,7,false)</f>
        <v>802000</v>
      </c>
      <c r="L6677" s="74">
        <v>802000.0</v>
      </c>
      <c r="M6677" s="74">
        <f t="shared" si="2"/>
        <v>805000</v>
      </c>
      <c r="N6677" s="74">
        <f t="shared" si="3"/>
        <v>95000</v>
      </c>
      <c r="O6677" s="65" t="str">
        <f>VLOOKUP(E6677,DATABASE!C:Q,8,false)</f>
        <v>BIAN</v>
      </c>
      <c r="P6677" s="65">
        <f>VLOOKUP(E6677,DATABASE!C:Q,9,False)</f>
        <v>1</v>
      </c>
      <c r="Q6677" s="93" t="str">
        <f>VLOOKUP(E6677,DATABASE!C:Q,4,false)</f>
        <v>Laufen</v>
      </c>
      <c r="R6677" s="93" t="str">
        <f>VLOOKUP(E6677,DATABASE!C:Q,11,false)</f>
        <v>Tire</v>
      </c>
    </row>
    <row r="6678" ht="22.5" customHeight="1">
      <c r="A6678" s="49"/>
      <c r="C6678" s="400">
        <v>46043.0</v>
      </c>
      <c r="D6678" s="524">
        <v>78.0</v>
      </c>
      <c r="E6678" s="544" t="s">
        <v>614</v>
      </c>
      <c r="F6678" s="387">
        <v>2.0</v>
      </c>
      <c r="G6678" s="140">
        <v>820000.0</v>
      </c>
      <c r="H6678" s="74"/>
      <c r="I6678" s="74">
        <f t="shared" si="1"/>
        <v>1640000</v>
      </c>
      <c r="J6678" s="74">
        <f>IF(E6678="SERVICE",I6678-(I6678*50%),Vlookup(E6678,DATABASE!C:Q,10,false)*F6678)</f>
        <v>0</v>
      </c>
      <c r="K6678" s="74">
        <f>VLOOKUP(E6678,DATABASE!C:Q,7,false)</f>
        <v>754660.6</v>
      </c>
      <c r="L6678" s="74">
        <v>712256.0</v>
      </c>
      <c r="M6678" s="74">
        <f t="shared" si="2"/>
        <v>715000</v>
      </c>
      <c r="N6678" s="74">
        <f t="shared" si="3"/>
        <v>210000</v>
      </c>
      <c r="O6678" s="65" t="str">
        <f>VLOOKUP(E6678,DATABASE!C:Q,8,false)</f>
        <v>IBU</v>
      </c>
      <c r="P6678" s="65">
        <f>VLOOKUP(E6678,DATABASE!C:Q,9,False)</f>
        <v>1</v>
      </c>
      <c r="Q6678" s="93" t="str">
        <f>VLOOKUP(E6678,DATABASE!C:Q,4,false)</f>
        <v>Bridgestone</v>
      </c>
      <c r="R6678" s="93" t="str">
        <f>VLOOKUP(E6678,DATABASE!C:Q,11,false)</f>
        <v>Tire</v>
      </c>
    </row>
    <row r="6679" ht="22.5" customHeight="1">
      <c r="A6679" s="49"/>
      <c r="C6679" s="400">
        <v>46043.0</v>
      </c>
      <c r="D6679" s="524">
        <v>79.0</v>
      </c>
      <c r="E6679" s="544" t="s">
        <v>275</v>
      </c>
      <c r="F6679" s="387">
        <v>2.0</v>
      </c>
      <c r="G6679" s="140">
        <v>830000.0</v>
      </c>
      <c r="H6679" s="74"/>
      <c r="I6679" s="74">
        <f t="shared" si="1"/>
        <v>1660000</v>
      </c>
      <c r="J6679" s="74">
        <f>IF(E6679="SERVICE",I6679-(I6679*50%),Vlookup(E6679,DATABASE!C:Q,10,false)*F6679)</f>
        <v>0</v>
      </c>
      <c r="K6679" s="74">
        <f>VLOOKUP(E6679,DATABASE!C:Q,7,false)</f>
        <v>782000</v>
      </c>
      <c r="L6679" s="74">
        <v>745000.0</v>
      </c>
      <c r="M6679" s="74">
        <f t="shared" si="2"/>
        <v>745000</v>
      </c>
      <c r="N6679" s="74">
        <f t="shared" si="3"/>
        <v>170000</v>
      </c>
      <c r="O6679" s="65" t="str">
        <f>VLOOKUP(E6679,DATABASE!C:Q,8,false)</f>
        <v>IBU</v>
      </c>
      <c r="P6679" s="65">
        <f>VLOOKUP(E6679,DATABASE!C:Q,9,False)</f>
        <v>1</v>
      </c>
      <c r="Q6679" s="93" t="str">
        <f>VLOOKUP(E6679,DATABASE!C:Q,4,false)</f>
        <v>Dunlop</v>
      </c>
      <c r="R6679" s="93" t="str">
        <f>VLOOKUP(E6679,DATABASE!C:Q,11,false)</f>
        <v>Tire</v>
      </c>
    </row>
    <row r="6680" ht="22.5" customHeight="1">
      <c r="A6680" s="49"/>
      <c r="C6680" s="400">
        <v>46043.0</v>
      </c>
      <c r="D6680" s="524">
        <v>80.0</v>
      </c>
      <c r="E6680" s="544" t="s">
        <v>251</v>
      </c>
      <c r="F6680" s="387">
        <v>1.0</v>
      </c>
      <c r="G6680" s="140">
        <v>350000.0</v>
      </c>
      <c r="H6680" s="140">
        <v>200000.0</v>
      </c>
      <c r="I6680" s="74">
        <f t="shared" si="1"/>
        <v>150000</v>
      </c>
      <c r="J6680" s="74">
        <f>IF(E6680="SERVICE",I6680-(I6680*50%),Vlookup(E6680,DATABASE!C:Q,10,false)*F6680)</f>
        <v>75000</v>
      </c>
      <c r="K6680" s="74">
        <f>VLOOKUP(E6680,DATABASE!C:Q,7,false)</f>
        <v>0</v>
      </c>
      <c r="L6680" s="74">
        <v>0.0</v>
      </c>
      <c r="M6680" s="74">
        <f t="shared" si="2"/>
        <v>0</v>
      </c>
      <c r="N6680" s="74">
        <f t="shared" si="3"/>
        <v>75000</v>
      </c>
      <c r="O6680" s="65" t="str">
        <f>VLOOKUP(E6680,DATABASE!C:Q,8,false)</f>
        <v>IBU</v>
      </c>
      <c r="P6680" s="65">
        <f>VLOOKUP(E6680,DATABASE!C:Q,9,False)</f>
        <v>0</v>
      </c>
      <c r="Q6680" s="93" t="str">
        <f>VLOOKUP(E6680,DATABASE!C:Q,4,false)</f>
        <v>SERVICE</v>
      </c>
      <c r="R6680" s="93" t="str">
        <f>VLOOKUP(E6680,DATABASE!C:Q,11,false)</f>
        <v>SERVICE</v>
      </c>
    </row>
    <row r="6681" ht="22.5" customHeight="1">
      <c r="A6681" s="49"/>
      <c r="C6681" s="400">
        <v>46043.0</v>
      </c>
      <c r="D6681" s="524">
        <v>81.0</v>
      </c>
      <c r="E6681" s="544" t="s">
        <v>2610</v>
      </c>
      <c r="F6681" s="387">
        <v>1.0</v>
      </c>
      <c r="G6681" s="140">
        <v>920000.0</v>
      </c>
      <c r="H6681" s="140">
        <v>20000.0</v>
      </c>
      <c r="I6681" s="74">
        <f t="shared" si="1"/>
        <v>900000</v>
      </c>
      <c r="J6681" s="74">
        <f>IF(E6681="SERVICE",I6681-(I6681*50%),Vlookup(E6681,DATABASE!C:Q,10,false)*F6681)</f>
        <v>0</v>
      </c>
      <c r="K6681" s="74">
        <f>VLOOKUP(E6681,DATABASE!C:Q,7,false)</f>
        <v>802000</v>
      </c>
      <c r="L6681" s="74">
        <v>802000.0</v>
      </c>
      <c r="M6681" s="74">
        <f t="shared" si="2"/>
        <v>805000</v>
      </c>
      <c r="N6681" s="74">
        <f t="shared" si="3"/>
        <v>95000</v>
      </c>
      <c r="O6681" s="65" t="str">
        <f>VLOOKUP(E6681,DATABASE!C:Q,8,false)</f>
        <v>BIAN</v>
      </c>
      <c r="P6681" s="65">
        <f>VLOOKUP(E6681,DATABASE!C:Q,9,False)</f>
        <v>1</v>
      </c>
      <c r="Q6681" s="93" t="str">
        <f>VLOOKUP(E6681,DATABASE!C:Q,4,false)</f>
        <v>Laufen</v>
      </c>
      <c r="R6681" s="93" t="str">
        <f>VLOOKUP(E6681,DATABASE!C:Q,11,false)</f>
        <v>Tire</v>
      </c>
    </row>
    <row r="6682" ht="22.5" customHeight="1">
      <c r="A6682" s="49"/>
      <c r="C6682" s="400">
        <v>46043.0</v>
      </c>
      <c r="D6682" s="524">
        <v>82.0</v>
      </c>
      <c r="E6682" s="544" t="s">
        <v>262</v>
      </c>
      <c r="F6682" s="387">
        <v>1.0</v>
      </c>
      <c r="G6682" s="140">
        <v>110000.0</v>
      </c>
      <c r="H6682" s="74"/>
      <c r="I6682" s="74">
        <f t="shared" si="1"/>
        <v>110000</v>
      </c>
      <c r="J6682" s="74">
        <f>IF(E6682="SERVICE",I6682-(I6682*50%),Vlookup(E6682,DATABASE!C:Q,10,false)*F6682)</f>
        <v>5000</v>
      </c>
      <c r="K6682" s="74">
        <f>VLOOKUP(E6682,DATABASE!C:Q,7,false)</f>
        <v>0</v>
      </c>
      <c r="L6682" s="74">
        <v>0.0</v>
      </c>
      <c r="M6682" s="74">
        <f t="shared" si="2"/>
        <v>0</v>
      </c>
      <c r="N6682" s="74">
        <f t="shared" si="3"/>
        <v>105000</v>
      </c>
      <c r="O6682" s="65" t="str">
        <f>VLOOKUP(E6682,DATABASE!C:Q,8,false)</f>
        <v>IBU</v>
      </c>
      <c r="P6682" s="65">
        <f>VLOOKUP(E6682,DATABASE!C:Q,9,False)</f>
        <v>0</v>
      </c>
      <c r="Q6682" s="93" t="str">
        <f>VLOOKUP(E6682,DATABASE!C:Q,4,false)</f>
        <v>SPOORING SS/CARRY LOS BAK</v>
      </c>
      <c r="R6682" s="93" t="str">
        <f>VLOOKUP(E6682,DATABASE!C:Q,11,false)</f>
        <v>SERVICE</v>
      </c>
    </row>
    <row r="6683" ht="22.5" customHeight="1">
      <c r="A6683" s="49"/>
      <c r="C6683" s="400">
        <v>46043.0</v>
      </c>
      <c r="D6683" s="524">
        <v>82.0</v>
      </c>
      <c r="E6683" s="544" t="s">
        <v>478</v>
      </c>
      <c r="F6683" s="387">
        <v>1.0</v>
      </c>
      <c r="G6683" s="140">
        <v>200000.0</v>
      </c>
      <c r="H6683" s="74"/>
      <c r="I6683" s="74">
        <f t="shared" si="1"/>
        <v>200000</v>
      </c>
      <c r="J6683" s="74">
        <f>IF(E6683="SERVICE",I6683-(I6683*50%),Vlookup(E6683,DATABASE!C:Q,10,false)*F6683)</f>
        <v>25000</v>
      </c>
      <c r="K6683" s="74">
        <f>VLOOKUP(E6683,DATABASE!C:Q,7,false)</f>
        <v>75000</v>
      </c>
      <c r="L6683" s="74">
        <v>75000.0</v>
      </c>
      <c r="M6683" s="74">
        <f t="shared" si="2"/>
        <v>75000</v>
      </c>
      <c r="N6683" s="74">
        <f t="shared" si="3"/>
        <v>100000</v>
      </c>
      <c r="O6683" s="65" t="str">
        <f>VLOOKUP(E6683,DATABASE!C:Q,8,false)</f>
        <v>BIAN</v>
      </c>
      <c r="P6683" s="65">
        <f>VLOOKUP(E6683,DATABASE!C:Q,9,False)</f>
        <v>0</v>
      </c>
      <c r="Q6683" s="93" t="str">
        <f>VLOOKUP(E6683,DATABASE!C:Q,4,false)</f>
        <v>Baut Camber ss-carry</v>
      </c>
      <c r="R6683" s="93" t="str">
        <f>VLOOKUP(E6683,DATABASE!C:Q,11,false)</f>
        <v>COMPLEMENTARY</v>
      </c>
    </row>
    <row r="6684" ht="22.5" customHeight="1">
      <c r="A6684" s="49"/>
      <c r="C6684" s="400">
        <v>46043.0</v>
      </c>
      <c r="D6684" s="69" t="s">
        <v>2693</v>
      </c>
      <c r="E6684" s="544" t="s">
        <v>248</v>
      </c>
      <c r="F6684" s="387">
        <v>1.0</v>
      </c>
      <c r="G6684" s="140">
        <v>190000.0</v>
      </c>
      <c r="H6684" s="74"/>
      <c r="I6684" s="74">
        <f t="shared" si="1"/>
        <v>190000</v>
      </c>
      <c r="J6684" s="74">
        <f>IF(E6684="SERVICE",I6684-(I6684*50%),Vlookup(E6684,DATABASE!C:Q,10,false)*F6684)</f>
        <v>0</v>
      </c>
      <c r="K6684" s="74">
        <f>VLOOKUP(E6684,DATABASE!C:Q,7,false)</f>
        <v>209816.66</v>
      </c>
      <c r="L6684" s="74">
        <v>160833.0</v>
      </c>
      <c r="M6684" s="74">
        <f t="shared" si="2"/>
        <v>165000</v>
      </c>
      <c r="N6684" s="74">
        <f t="shared" si="3"/>
        <v>25000</v>
      </c>
      <c r="O6684" s="65" t="str">
        <f>VLOOKUP(E6684,DATABASE!C:Q,8,false)</f>
        <v>NON</v>
      </c>
      <c r="P6684" s="65">
        <f>VLOOKUP(E6684,DATABASE!C:Q,9,False)</f>
        <v>0</v>
      </c>
      <c r="Q6684" s="93" t="str">
        <f>VLOOKUP(E6684,DATABASE!C:Q,4,false)</f>
        <v>Pertamina</v>
      </c>
      <c r="R6684" s="93" t="str">
        <f>VLOOKUP(E6684,DATABASE!C:Q,11,false)</f>
        <v>OIL</v>
      </c>
    </row>
    <row r="6685" ht="22.5" customHeight="1">
      <c r="A6685" s="49"/>
      <c r="C6685" s="400">
        <v>46043.0</v>
      </c>
      <c r="D6685" s="69" t="s">
        <v>2693</v>
      </c>
      <c r="E6685" s="544" t="s">
        <v>2609</v>
      </c>
      <c r="F6685" s="387">
        <v>1.0</v>
      </c>
      <c r="G6685" s="140">
        <v>30000.0</v>
      </c>
      <c r="H6685" s="74"/>
      <c r="I6685" s="74">
        <f t="shared" si="1"/>
        <v>30000</v>
      </c>
      <c r="J6685" s="74">
        <f>IF(E6685="SERVICE",I6685-(I6685*50%),Vlookup(E6685,DATABASE!C:Q,10,false)*F6685)</f>
        <v>0</v>
      </c>
      <c r="K6685" s="74">
        <f>VLOOKUP(E6685,DATABASE!C:Q,7,false)</f>
        <v>21500</v>
      </c>
      <c r="L6685" s="74">
        <v>21500.0</v>
      </c>
      <c r="M6685" s="74">
        <f t="shared" si="2"/>
        <v>25000</v>
      </c>
      <c r="N6685" s="74">
        <f t="shared" si="3"/>
        <v>5000</v>
      </c>
      <c r="O6685" s="65" t="str">
        <f>VLOOKUP(E6685,DATABASE!C:Q,8,false)</f>
        <v>BIAN</v>
      </c>
      <c r="P6685" s="65">
        <f>VLOOKUP(E6685,DATABASE!C:Q,9,False)</f>
        <v>0</v>
      </c>
      <c r="Q6685" s="93" t="str">
        <f>VLOOKUP(E6685,DATABASE!C:Q,4,false)</f>
        <v>Sakura</v>
      </c>
      <c r="R6685" s="93" t="str">
        <f>VLOOKUP(E6685,DATABASE!C:Q,11,false)</f>
        <v>COMPLEMENTARY</v>
      </c>
    </row>
    <row r="6686" ht="22.5" customHeight="1">
      <c r="A6686" s="49"/>
      <c r="C6686" s="400">
        <v>46044.0</v>
      </c>
      <c r="D6686" s="524">
        <v>83.0</v>
      </c>
      <c r="E6686" s="544" t="s">
        <v>932</v>
      </c>
      <c r="F6686" s="387">
        <v>2.0</v>
      </c>
      <c r="G6686" s="140">
        <v>680000.0</v>
      </c>
      <c r="H6686" s="74"/>
      <c r="I6686" s="74">
        <f t="shared" si="1"/>
        <v>1360000</v>
      </c>
      <c r="J6686" s="74">
        <f>IF(E6686="SERVICE",I6686-(I6686*50%),Vlookup(E6686,DATABASE!C:Q,10,false)*F6686)</f>
        <v>0</v>
      </c>
      <c r="K6686" s="74">
        <f>VLOOKUP(E6686,DATABASE!C:Q,7,false)</f>
        <v>601000</v>
      </c>
      <c r="L6686" s="74">
        <v>595000.0</v>
      </c>
      <c r="M6686" s="74">
        <f t="shared" si="2"/>
        <v>595000</v>
      </c>
      <c r="N6686" s="74">
        <f t="shared" si="3"/>
        <v>170000</v>
      </c>
      <c r="O6686" s="65" t="str">
        <f>VLOOKUP(E6686,DATABASE!C:Q,8,false)</f>
        <v>IBU</v>
      </c>
      <c r="P6686" s="65">
        <f>VLOOKUP(E6686,DATABASE!C:Q,9,False)</f>
        <v>1</v>
      </c>
      <c r="Q6686" s="93" t="str">
        <f>VLOOKUP(E6686,DATABASE!C:Q,4,false)</f>
        <v>Dunlop</v>
      </c>
      <c r="R6686" s="93" t="str">
        <f>VLOOKUP(E6686,DATABASE!C:Q,11,false)</f>
        <v>Tire</v>
      </c>
    </row>
    <row r="6687" ht="22.5" customHeight="1">
      <c r="A6687" s="49"/>
      <c r="C6687" s="400">
        <v>46044.0</v>
      </c>
      <c r="D6687" s="524">
        <v>84.0</v>
      </c>
      <c r="E6687" s="544" t="s">
        <v>554</v>
      </c>
      <c r="F6687" s="387">
        <v>2.0</v>
      </c>
      <c r="G6687" s="140">
        <v>800000.0</v>
      </c>
      <c r="H6687" s="140">
        <v>30000.0</v>
      </c>
      <c r="I6687" s="74">
        <f t="shared" si="1"/>
        <v>1540000</v>
      </c>
      <c r="J6687" s="74">
        <f>IF(E6687="SERVICE",I6687-(I6687*50%),Vlookup(E6687,DATABASE!C:Q,10,false)*F6687)</f>
        <v>0</v>
      </c>
      <c r="K6687" s="74">
        <f>VLOOKUP(E6687,DATABASE!C:Q,7,false)</f>
        <v>710000</v>
      </c>
      <c r="L6687" s="74">
        <v>680000.0</v>
      </c>
      <c r="M6687" s="74">
        <f t="shared" si="2"/>
        <v>680000</v>
      </c>
      <c r="N6687" s="74">
        <f t="shared" si="3"/>
        <v>180000</v>
      </c>
      <c r="O6687" s="65" t="str">
        <f>VLOOKUP(E6687,DATABASE!C:Q,8,false)</f>
        <v>IBU</v>
      </c>
      <c r="P6687" s="65">
        <f>VLOOKUP(E6687,DATABASE!C:Q,9,False)</f>
        <v>1</v>
      </c>
      <c r="Q6687" s="93" t="str">
        <f>VLOOKUP(E6687,DATABASE!C:Q,4,false)</f>
        <v>Bridgestone</v>
      </c>
      <c r="R6687" s="93" t="str">
        <f>VLOOKUP(E6687,DATABASE!C:Q,11,false)</f>
        <v>Tire</v>
      </c>
    </row>
    <row r="6688" ht="22.5" customHeight="1">
      <c r="A6688" s="49"/>
      <c r="C6688" s="400">
        <v>46044.0</v>
      </c>
      <c r="D6688" s="524">
        <v>85.0</v>
      </c>
      <c r="E6688" s="544" t="s">
        <v>614</v>
      </c>
      <c r="F6688" s="387">
        <v>2.0</v>
      </c>
      <c r="G6688" s="140">
        <v>820000.0</v>
      </c>
      <c r="H6688" s="74"/>
      <c r="I6688" s="74">
        <f t="shared" si="1"/>
        <v>1640000</v>
      </c>
      <c r="J6688" s="74">
        <f>IF(E6688="SERVICE",I6688-(I6688*50%),Vlookup(E6688,DATABASE!C:Q,10,false)*F6688)</f>
        <v>0</v>
      </c>
      <c r="K6688" s="74">
        <f>VLOOKUP(E6688,DATABASE!C:Q,7,false)</f>
        <v>754660.6</v>
      </c>
      <c r="L6688" s="74">
        <v>712256.0</v>
      </c>
      <c r="M6688" s="74">
        <f t="shared" si="2"/>
        <v>715000</v>
      </c>
      <c r="N6688" s="74">
        <f t="shared" si="3"/>
        <v>210000</v>
      </c>
      <c r="O6688" s="65" t="str">
        <f>VLOOKUP(E6688,DATABASE!C:Q,8,false)</f>
        <v>IBU</v>
      </c>
      <c r="P6688" s="65">
        <f>VLOOKUP(E6688,DATABASE!C:Q,9,False)</f>
        <v>1</v>
      </c>
      <c r="Q6688" s="93" t="str">
        <f>VLOOKUP(E6688,DATABASE!C:Q,4,false)</f>
        <v>Bridgestone</v>
      </c>
      <c r="R6688" s="93" t="str">
        <f>VLOOKUP(E6688,DATABASE!C:Q,11,false)</f>
        <v>Tire</v>
      </c>
    </row>
    <row r="6689" ht="22.5" customHeight="1">
      <c r="A6689" s="49"/>
      <c r="C6689" s="400">
        <v>46044.0</v>
      </c>
      <c r="D6689" s="524">
        <v>86.0</v>
      </c>
      <c r="E6689" s="544" t="s">
        <v>256</v>
      </c>
      <c r="F6689" s="387">
        <v>1.0</v>
      </c>
      <c r="G6689" s="140">
        <v>150000.0</v>
      </c>
      <c r="H6689" s="140">
        <v>20000.0</v>
      </c>
      <c r="I6689" s="74">
        <f t="shared" si="1"/>
        <v>130000</v>
      </c>
      <c r="J6689" s="74">
        <f>IF(E6689="SERVICE",I6689-(I6689*50%),Vlookup(E6689,DATABASE!C:Q,10,false)*F6689)</f>
        <v>10000</v>
      </c>
      <c r="K6689" s="74">
        <f>VLOOKUP(E6689,DATABASE!C:Q,7,false)</f>
        <v>0</v>
      </c>
      <c r="L6689" s="74">
        <v>0.0</v>
      </c>
      <c r="M6689" s="74">
        <f t="shared" si="2"/>
        <v>0</v>
      </c>
      <c r="N6689" s="74">
        <f t="shared" si="3"/>
        <v>120000</v>
      </c>
      <c r="O6689" s="65" t="str">
        <f>VLOOKUP(E6689,DATABASE!C:Q,8,false)</f>
        <v>IBU</v>
      </c>
      <c r="P6689" s="65">
        <f>VLOOKUP(E6689,DATABASE!C:Q,9,False)</f>
        <v>0</v>
      </c>
      <c r="Q6689" s="93" t="str">
        <f>VLOOKUP(E6689,DATABASE!C:Q,4,false)</f>
        <v>SPOORING</v>
      </c>
      <c r="R6689" s="93" t="str">
        <f>VLOOKUP(E6689,DATABASE!C:Q,11,false)</f>
        <v>SERVICE</v>
      </c>
    </row>
    <row r="6690" ht="22.5" customHeight="1">
      <c r="A6690" s="49"/>
      <c r="C6690" s="400">
        <v>46044.0</v>
      </c>
      <c r="D6690" s="524">
        <v>86.0</v>
      </c>
      <c r="E6690" s="544" t="s">
        <v>299</v>
      </c>
      <c r="F6690" s="387">
        <v>2.0</v>
      </c>
      <c r="G6690" s="140">
        <v>30000.0</v>
      </c>
      <c r="H6690" s="74"/>
      <c r="I6690" s="74">
        <f t="shared" si="1"/>
        <v>60000</v>
      </c>
      <c r="J6690" s="74">
        <f>IF(E6690="SERVICE",I6690-(I6690*50%),Vlookup(E6690,DATABASE!C:Q,10,false)*F6690)</f>
        <v>0</v>
      </c>
      <c r="K6690" s="74">
        <f>VLOOKUP(E6690,DATABASE!C:Q,7,false)</f>
        <v>10000</v>
      </c>
      <c r="L6690" s="74">
        <v>5000.0</v>
      </c>
      <c r="M6690" s="74">
        <f t="shared" si="2"/>
        <v>5000</v>
      </c>
      <c r="N6690" s="74">
        <f t="shared" si="3"/>
        <v>50000</v>
      </c>
      <c r="O6690" s="65" t="str">
        <f>VLOOKUP(E6690,DATABASE!C:Q,8,false)</f>
        <v>BIAN</v>
      </c>
      <c r="P6690" s="65">
        <f>VLOOKUP(E6690,DATABASE!C:Q,9,False)</f>
        <v>0</v>
      </c>
      <c r="Q6690" s="93" t="str">
        <f>VLOOKUP(E6690,DATABASE!C:Q,4,false)</f>
        <v>Balancing</v>
      </c>
      <c r="R6690" s="93" t="str">
        <f>VLOOKUP(E6690,DATABASE!C:Q,11,false)</f>
        <v>COMPLEMENTARY</v>
      </c>
    </row>
    <row r="6691" ht="22.5" customHeight="1">
      <c r="A6691" s="49"/>
      <c r="C6691" s="400">
        <v>46044.0</v>
      </c>
      <c r="D6691" s="524">
        <v>86.0</v>
      </c>
      <c r="E6691" s="544" t="s">
        <v>301</v>
      </c>
      <c r="F6691" s="387">
        <v>1.0</v>
      </c>
      <c r="G6691" s="140">
        <v>250000.0</v>
      </c>
      <c r="H6691" s="74"/>
      <c r="I6691" s="74">
        <f t="shared" si="1"/>
        <v>250000</v>
      </c>
      <c r="J6691" s="74">
        <f>IF(E6691="SERVICE",I6691-(I6691*50%),Vlookup(E6691,DATABASE!C:Q,10,false)*F6691)</f>
        <v>75000</v>
      </c>
      <c r="K6691" s="74">
        <f>VLOOKUP(E6691,DATABASE!C:Q,7,false)</f>
        <v>75000</v>
      </c>
      <c r="L6691" s="74">
        <v>75000.0</v>
      </c>
      <c r="M6691" s="74">
        <f t="shared" si="2"/>
        <v>75000</v>
      </c>
      <c r="N6691" s="74">
        <f t="shared" si="3"/>
        <v>100000</v>
      </c>
      <c r="O6691" s="65" t="str">
        <f>VLOOKUP(E6691,DATABASE!C:Q,8,false)</f>
        <v>BIAN</v>
      </c>
      <c r="P6691" s="65">
        <f>VLOOKUP(E6691,DATABASE!C:Q,9,False)</f>
        <v>0</v>
      </c>
      <c r="Q6691" s="93" t="str">
        <f>VLOOKUP(E6691,DATABASE!C:Q,4,false)</f>
        <v>Baut Camber</v>
      </c>
      <c r="R6691" s="93" t="str">
        <f>VLOOKUP(E6691,DATABASE!C:Q,11,false)</f>
        <v>COMPLEMENTARY</v>
      </c>
    </row>
    <row r="6692" ht="22.5" customHeight="1">
      <c r="A6692" s="49"/>
      <c r="C6692" s="400">
        <v>46044.0</v>
      </c>
      <c r="D6692" s="524">
        <v>87.0</v>
      </c>
      <c r="E6692" s="544" t="s">
        <v>299</v>
      </c>
      <c r="F6692" s="387">
        <v>2.0</v>
      </c>
      <c r="G6692" s="140">
        <v>30000.0</v>
      </c>
      <c r="H6692" s="74"/>
      <c r="I6692" s="74">
        <f t="shared" si="1"/>
        <v>60000</v>
      </c>
      <c r="J6692" s="74">
        <f>IF(E6692="SERVICE",I6692-(I6692*50%),Vlookup(E6692,DATABASE!C:Q,10,false)*F6692)</f>
        <v>0</v>
      </c>
      <c r="K6692" s="74">
        <f>VLOOKUP(E6692,DATABASE!C:Q,7,false)</f>
        <v>10000</v>
      </c>
      <c r="L6692" s="74">
        <v>5000.0</v>
      </c>
      <c r="M6692" s="74">
        <f t="shared" si="2"/>
        <v>5000</v>
      </c>
      <c r="N6692" s="74">
        <f t="shared" si="3"/>
        <v>50000</v>
      </c>
      <c r="O6692" s="65" t="str">
        <f>VLOOKUP(E6692,DATABASE!C:Q,8,false)</f>
        <v>BIAN</v>
      </c>
      <c r="P6692" s="65">
        <f>VLOOKUP(E6692,DATABASE!C:Q,9,False)</f>
        <v>0</v>
      </c>
      <c r="Q6692" s="93" t="str">
        <f>VLOOKUP(E6692,DATABASE!C:Q,4,false)</f>
        <v>Balancing</v>
      </c>
      <c r="R6692" s="93" t="str">
        <f>VLOOKUP(E6692,DATABASE!C:Q,11,false)</f>
        <v>COMPLEMENTARY</v>
      </c>
    </row>
    <row r="6693" ht="22.5" customHeight="1">
      <c r="A6693" s="49"/>
      <c r="C6693" s="400">
        <v>46044.0</v>
      </c>
      <c r="D6693" s="524">
        <v>88.0</v>
      </c>
      <c r="E6693" s="544" t="s">
        <v>1439</v>
      </c>
      <c r="F6693" s="387">
        <v>2.0</v>
      </c>
      <c r="G6693" s="140">
        <v>640000.0</v>
      </c>
      <c r="H6693" s="140">
        <v>10000.0</v>
      </c>
      <c r="I6693" s="74">
        <f t="shared" si="1"/>
        <v>1260000</v>
      </c>
      <c r="J6693" s="74">
        <f>IF(E6693="SERVICE",I6693-(I6693*50%),Vlookup(E6693,DATABASE!C:Q,10,false)*F6693)</f>
        <v>0</v>
      </c>
      <c r="K6693" s="74">
        <f>VLOOKUP(E6693,DATABASE!C:Q,7,false)</f>
        <v>556800</v>
      </c>
      <c r="L6693" s="74">
        <v>540800.0</v>
      </c>
      <c r="M6693" s="74">
        <f t="shared" si="2"/>
        <v>545000</v>
      </c>
      <c r="N6693" s="74">
        <f t="shared" si="3"/>
        <v>170000</v>
      </c>
      <c r="O6693" s="65" t="str">
        <f>VLOOKUP(E6693,DATABASE!C:Q,8,false)</f>
        <v>BIAN</v>
      </c>
      <c r="P6693" s="65">
        <f>VLOOKUP(E6693,DATABASE!C:Q,9,False)</f>
        <v>1</v>
      </c>
      <c r="Q6693" s="93" t="str">
        <f>VLOOKUP(E6693,DATABASE!C:Q,4,false)</f>
        <v>GT</v>
      </c>
      <c r="R6693" s="93" t="str">
        <f>VLOOKUP(E6693,DATABASE!C:Q,11,false)</f>
        <v>Tire</v>
      </c>
    </row>
    <row r="6694" ht="22.5" customHeight="1">
      <c r="A6694" s="49"/>
      <c r="C6694" s="400">
        <v>46044.0</v>
      </c>
      <c r="D6694" s="524">
        <v>89.0</v>
      </c>
      <c r="E6694" s="544" t="s">
        <v>256</v>
      </c>
      <c r="F6694" s="387">
        <v>1.0</v>
      </c>
      <c r="G6694" s="140">
        <v>150000.0</v>
      </c>
      <c r="H6694" s="140">
        <v>20000.0</v>
      </c>
      <c r="I6694" s="74">
        <f t="shared" si="1"/>
        <v>130000</v>
      </c>
      <c r="J6694" s="74">
        <f>IF(E6694="SERVICE",I6694-(I6694*50%),Vlookup(E6694,DATABASE!C:Q,10,false)*F6694)</f>
        <v>10000</v>
      </c>
      <c r="K6694" s="74">
        <f>VLOOKUP(E6694,DATABASE!C:Q,7,false)</f>
        <v>0</v>
      </c>
      <c r="L6694" s="74">
        <v>0.0</v>
      </c>
      <c r="M6694" s="74">
        <f t="shared" si="2"/>
        <v>0</v>
      </c>
      <c r="N6694" s="74">
        <f t="shared" si="3"/>
        <v>120000</v>
      </c>
      <c r="O6694" s="65" t="str">
        <f>VLOOKUP(E6694,DATABASE!C:Q,8,false)</f>
        <v>IBU</v>
      </c>
      <c r="P6694" s="65">
        <f>VLOOKUP(E6694,DATABASE!C:Q,9,False)</f>
        <v>0</v>
      </c>
      <c r="Q6694" s="93" t="str">
        <f>VLOOKUP(E6694,DATABASE!C:Q,4,false)</f>
        <v>SPOORING</v>
      </c>
      <c r="R6694" s="93" t="str">
        <f>VLOOKUP(E6694,DATABASE!C:Q,11,false)</f>
        <v>SERVICE</v>
      </c>
    </row>
    <row r="6695" ht="22.5" customHeight="1">
      <c r="A6695" s="49"/>
      <c r="C6695" s="400">
        <v>46044.0</v>
      </c>
      <c r="D6695" s="524">
        <v>90.0</v>
      </c>
      <c r="E6695" s="544" t="s">
        <v>256</v>
      </c>
      <c r="F6695" s="387">
        <v>1.0</v>
      </c>
      <c r="G6695" s="140">
        <v>150000.0</v>
      </c>
      <c r="H6695" s="140">
        <v>20000.0</v>
      </c>
      <c r="I6695" s="74">
        <f t="shared" si="1"/>
        <v>130000</v>
      </c>
      <c r="J6695" s="74">
        <f>IF(E6695="SERVICE",I6695-(I6695*50%),Vlookup(E6695,DATABASE!C:Q,10,false)*F6695)</f>
        <v>10000</v>
      </c>
      <c r="K6695" s="74">
        <f>VLOOKUP(E6695,DATABASE!C:Q,7,false)</f>
        <v>0</v>
      </c>
      <c r="L6695" s="74">
        <v>0.0</v>
      </c>
      <c r="M6695" s="74">
        <f t="shared" si="2"/>
        <v>0</v>
      </c>
      <c r="N6695" s="74">
        <f t="shared" si="3"/>
        <v>120000</v>
      </c>
      <c r="O6695" s="65" t="str">
        <f>VLOOKUP(E6695,DATABASE!C:Q,8,false)</f>
        <v>IBU</v>
      </c>
      <c r="P6695" s="65">
        <f>VLOOKUP(E6695,DATABASE!C:Q,9,False)</f>
        <v>0</v>
      </c>
      <c r="Q6695" s="93" t="str">
        <f>VLOOKUP(E6695,DATABASE!C:Q,4,false)</f>
        <v>SPOORING</v>
      </c>
      <c r="R6695" s="93" t="str">
        <f>VLOOKUP(E6695,DATABASE!C:Q,11,false)</f>
        <v>SERVICE</v>
      </c>
    </row>
    <row r="6696" ht="22.5" customHeight="1">
      <c r="A6696" s="49"/>
      <c r="C6696" s="400">
        <v>46044.0</v>
      </c>
      <c r="D6696" s="524">
        <v>90.0</v>
      </c>
      <c r="E6696" s="544" t="s">
        <v>251</v>
      </c>
      <c r="F6696" s="387">
        <v>1.0</v>
      </c>
      <c r="G6696" s="140">
        <v>350000.0</v>
      </c>
      <c r="H6696" s="140">
        <v>200000.0</v>
      </c>
      <c r="I6696" s="74">
        <f t="shared" si="1"/>
        <v>150000</v>
      </c>
      <c r="J6696" s="74">
        <f>IF(E6696="SERVICE",I6696-(I6696*50%),Vlookup(E6696,DATABASE!C:Q,10,false)*F6696)</f>
        <v>75000</v>
      </c>
      <c r="K6696" s="74">
        <f>VLOOKUP(E6696,DATABASE!C:Q,7,false)</f>
        <v>0</v>
      </c>
      <c r="L6696" s="74">
        <v>0.0</v>
      </c>
      <c r="M6696" s="74">
        <f t="shared" si="2"/>
        <v>0</v>
      </c>
      <c r="N6696" s="74">
        <f t="shared" si="3"/>
        <v>75000</v>
      </c>
      <c r="O6696" s="65" t="str">
        <f>VLOOKUP(E6696,DATABASE!C:Q,8,false)</f>
        <v>IBU</v>
      </c>
      <c r="P6696" s="65">
        <f>VLOOKUP(E6696,DATABASE!C:Q,9,False)</f>
        <v>0</v>
      </c>
      <c r="Q6696" s="93" t="str">
        <f>VLOOKUP(E6696,DATABASE!C:Q,4,false)</f>
        <v>SERVICE</v>
      </c>
      <c r="R6696" s="93" t="str">
        <f>VLOOKUP(E6696,DATABASE!C:Q,11,false)</f>
        <v>SERVICE</v>
      </c>
    </row>
    <row r="6697" ht="22.5" customHeight="1">
      <c r="A6697" s="49"/>
      <c r="C6697" s="400">
        <v>46044.0</v>
      </c>
      <c r="D6697" s="524">
        <v>91.0</v>
      </c>
      <c r="E6697" s="544" t="s">
        <v>605</v>
      </c>
      <c r="F6697" s="387">
        <v>1.0</v>
      </c>
      <c r="G6697" s="140">
        <v>760000.0</v>
      </c>
      <c r="H6697" s="140">
        <v>25000.0</v>
      </c>
      <c r="I6697" s="74">
        <f t="shared" si="1"/>
        <v>735000</v>
      </c>
      <c r="J6697" s="74">
        <f>IF(E6697="SERVICE",I6697-(I6697*50%),Vlookup(E6697,DATABASE!C:Q,10,false)*F6697)</f>
        <v>0</v>
      </c>
      <c r="K6697" s="74">
        <f>VLOOKUP(E6697,DATABASE!C:Q,7,false)</f>
        <v>675000</v>
      </c>
      <c r="L6697" s="74">
        <v>650000.0</v>
      </c>
      <c r="M6697" s="74">
        <f t="shared" si="2"/>
        <v>650000</v>
      </c>
      <c r="N6697" s="74">
        <f t="shared" si="3"/>
        <v>85000</v>
      </c>
      <c r="O6697" s="65" t="str">
        <f>VLOOKUP(E6697,DATABASE!C:Q,8,false)</f>
        <v>IBU</v>
      </c>
      <c r="P6697" s="65">
        <f>VLOOKUP(E6697,DATABASE!C:Q,9,False)</f>
        <v>1</v>
      </c>
      <c r="Q6697" s="93" t="str">
        <f>VLOOKUP(E6697,DATABASE!C:Q,4,false)</f>
        <v>Bridgestone</v>
      </c>
      <c r="R6697" s="93" t="str">
        <f>VLOOKUP(E6697,DATABASE!C:Q,11,false)</f>
        <v>Tire</v>
      </c>
    </row>
    <row r="6698" ht="22.5" customHeight="1">
      <c r="A6698" s="49"/>
      <c r="C6698" s="400">
        <v>46045.0</v>
      </c>
      <c r="D6698" s="524">
        <v>92.0</v>
      </c>
      <c r="E6698" s="544" t="s">
        <v>1237</v>
      </c>
      <c r="F6698" s="387">
        <v>1.0</v>
      </c>
      <c r="G6698" s="140">
        <v>1300000.0</v>
      </c>
      <c r="H6698" s="140">
        <v>65000.0</v>
      </c>
      <c r="I6698" s="74">
        <f t="shared" si="1"/>
        <v>1235000</v>
      </c>
      <c r="J6698" s="74">
        <f>IF(E6698="SERVICE",I6698-(I6698*50%),Vlookup(E6698,DATABASE!C:Q,10,false)*F6698)</f>
        <v>0</v>
      </c>
      <c r="K6698" s="74">
        <f>VLOOKUP(E6698,DATABASE!C:Q,7,false)</f>
        <v>1170353.16</v>
      </c>
      <c r="L6698" s="74">
        <v>1113907.2</v>
      </c>
      <c r="M6698" s="74">
        <f t="shared" si="2"/>
        <v>1115000</v>
      </c>
      <c r="N6698" s="74">
        <f t="shared" si="3"/>
        <v>120000</v>
      </c>
      <c r="O6698" s="65" t="str">
        <f>VLOOKUP(E6698,DATABASE!C:Q,8,false)</f>
        <v>IBU</v>
      </c>
      <c r="P6698" s="65">
        <f>VLOOKUP(E6698,DATABASE!C:Q,9,False)</f>
        <v>1</v>
      </c>
      <c r="Q6698" s="93" t="str">
        <f>VLOOKUP(E6698,DATABASE!C:Q,4,false)</f>
        <v>Bridgestone</v>
      </c>
      <c r="R6698" s="93" t="str">
        <f>VLOOKUP(E6698,DATABASE!C:Q,11,false)</f>
        <v>Tire</v>
      </c>
    </row>
    <row r="6699" ht="22.5" customHeight="1">
      <c r="A6699" s="49"/>
      <c r="C6699" s="400">
        <v>46045.0</v>
      </c>
      <c r="D6699" s="524">
        <v>93.0</v>
      </c>
      <c r="E6699" s="544" t="s">
        <v>275</v>
      </c>
      <c r="F6699" s="387">
        <v>1.0</v>
      </c>
      <c r="G6699" s="140">
        <v>830000.0</v>
      </c>
      <c r="H6699" s="74"/>
      <c r="I6699" s="74">
        <f t="shared" si="1"/>
        <v>830000</v>
      </c>
      <c r="J6699" s="74">
        <f>IF(E6699="SERVICE",I6699-(I6699*50%),Vlookup(E6699,DATABASE!C:Q,10,false)*F6699)</f>
        <v>0</v>
      </c>
      <c r="K6699" s="74">
        <f>VLOOKUP(E6699,DATABASE!C:Q,7,false)</f>
        <v>782000</v>
      </c>
      <c r="L6699" s="74">
        <v>745000.0</v>
      </c>
      <c r="M6699" s="74">
        <f t="shared" si="2"/>
        <v>745000</v>
      </c>
      <c r="N6699" s="74">
        <f t="shared" si="3"/>
        <v>85000</v>
      </c>
      <c r="O6699" s="65" t="str">
        <f>VLOOKUP(E6699,DATABASE!C:Q,8,false)</f>
        <v>IBU</v>
      </c>
      <c r="P6699" s="65">
        <f>VLOOKUP(E6699,DATABASE!C:Q,9,False)</f>
        <v>1</v>
      </c>
      <c r="Q6699" s="93" t="str">
        <f>VLOOKUP(E6699,DATABASE!C:Q,4,false)</f>
        <v>Dunlop</v>
      </c>
      <c r="R6699" s="93" t="str">
        <f>VLOOKUP(E6699,DATABASE!C:Q,11,false)</f>
        <v>Tire</v>
      </c>
    </row>
    <row r="6700" ht="22.5" customHeight="1">
      <c r="A6700" s="49"/>
      <c r="C6700" s="400">
        <v>46045.0</v>
      </c>
      <c r="D6700" s="524">
        <v>94.0</v>
      </c>
      <c r="E6700" s="544" t="s">
        <v>770</v>
      </c>
      <c r="F6700" s="387">
        <v>2.0</v>
      </c>
      <c r="G6700" s="140">
        <v>200000.0</v>
      </c>
      <c r="H6700" s="140">
        <v>20000.0</v>
      </c>
      <c r="I6700" s="74">
        <f t="shared" si="1"/>
        <v>360000</v>
      </c>
      <c r="J6700" s="74">
        <f>IF(E6700="SERVICE",I6700-(I6700*50%),Vlookup(E6700,DATABASE!C:Q,10,false)*F6700)</f>
        <v>0</v>
      </c>
      <c r="K6700" s="74">
        <f>VLOOKUP(E6700,DATABASE!C:Q,7,false)</f>
        <v>145180</v>
      </c>
      <c r="L6700" s="74">
        <v>145180.0</v>
      </c>
      <c r="M6700" s="74">
        <f t="shared" si="2"/>
        <v>150000</v>
      </c>
      <c r="N6700" s="74">
        <f t="shared" si="3"/>
        <v>60000</v>
      </c>
      <c r="O6700" s="65" t="str">
        <f>VLOOKUP(E6700,DATABASE!C:Q,8,false)</f>
        <v>BIAN</v>
      </c>
      <c r="P6700" s="65">
        <f>VLOOKUP(E6700,DATABASE!C:Q,9,False)</f>
        <v>1</v>
      </c>
      <c r="Q6700" s="93" t="str">
        <f>VLOOKUP(E6700,DATABASE!C:Q,4,false)</f>
        <v>BD</v>
      </c>
      <c r="R6700" s="93" t="str">
        <f>VLOOKUP(E6700,DATABASE!C:Q,11,false)</f>
        <v>Tire</v>
      </c>
    </row>
    <row r="6701" ht="22.5" customHeight="1">
      <c r="A6701" s="49"/>
      <c r="C6701" s="400">
        <v>46045.0</v>
      </c>
      <c r="D6701" s="524">
        <v>94.0</v>
      </c>
      <c r="E6701" s="544" t="s">
        <v>821</v>
      </c>
      <c r="F6701" s="387">
        <v>2.0</v>
      </c>
      <c r="G6701" s="140">
        <v>85000.0</v>
      </c>
      <c r="H6701" s="74"/>
      <c r="I6701" s="74">
        <f t="shared" si="1"/>
        <v>170000</v>
      </c>
      <c r="J6701" s="74">
        <f>IF(E6701="SERVICE",I6701-(I6701*50%),Vlookup(E6701,DATABASE!C:Q,10,false)*F6701)</f>
        <v>0</v>
      </c>
      <c r="K6701" s="74">
        <f>VLOOKUP(E6701,DATABASE!C:Q,7,false)</f>
        <v>43500</v>
      </c>
      <c r="L6701" s="74">
        <v>43520.0</v>
      </c>
      <c r="M6701" s="74">
        <f t="shared" si="2"/>
        <v>45000</v>
      </c>
      <c r="N6701" s="74">
        <f t="shared" si="3"/>
        <v>80000</v>
      </c>
      <c r="O6701" s="65" t="str">
        <f>VLOOKUP(E6701,DATABASE!C:Q,8,false)</f>
        <v>BIAN</v>
      </c>
      <c r="P6701" s="65">
        <f>VLOOKUP(E6701,DATABASE!C:Q,9,False)</f>
        <v>1</v>
      </c>
      <c r="Q6701" s="93" t="str">
        <f>VLOOKUP(E6701,DATABASE!C:Q,4,false)</f>
        <v>Flap</v>
      </c>
      <c r="R6701" s="93" t="str">
        <f>VLOOKUP(E6701,DATABASE!C:Q,11,false)</f>
        <v>Tire</v>
      </c>
    </row>
    <row r="6702" ht="22.5" customHeight="1">
      <c r="A6702" s="49"/>
      <c r="C6702" s="400">
        <v>46045.0</v>
      </c>
      <c r="D6702" s="524">
        <v>95.0</v>
      </c>
      <c r="E6702" s="544" t="s">
        <v>295</v>
      </c>
      <c r="F6702" s="387">
        <v>5.0</v>
      </c>
      <c r="G6702" s="140">
        <v>1525000.0</v>
      </c>
      <c r="H6702" s="140">
        <v>20000.0</v>
      </c>
      <c r="I6702" s="74">
        <f t="shared" si="1"/>
        <v>7525000</v>
      </c>
      <c r="J6702" s="74">
        <f>IF(E6702="SERVICE",I6702-(I6702*50%),Vlookup(E6702,DATABASE!C:Q,10,false)*F6702)</f>
        <v>0</v>
      </c>
      <c r="K6702" s="74">
        <f>VLOOKUP(E6702,DATABASE!C:Q,7,false)</f>
        <v>1475000</v>
      </c>
      <c r="L6702" s="74">
        <v>1425000.0</v>
      </c>
      <c r="M6702" s="74">
        <f t="shared" si="2"/>
        <v>1425000</v>
      </c>
      <c r="N6702" s="74">
        <f t="shared" si="3"/>
        <v>400000</v>
      </c>
      <c r="O6702" s="65" t="str">
        <f>VLOOKUP(E6702,DATABASE!C:Q,8,false)</f>
        <v>BIAN</v>
      </c>
      <c r="P6702" s="65">
        <f>VLOOKUP(E6702,DATABASE!C:Q,9,False)</f>
        <v>1</v>
      </c>
      <c r="Q6702" s="93" t="str">
        <f>VLOOKUP(E6702,DATABASE!C:Q,4,false)</f>
        <v>TIRON</v>
      </c>
      <c r="R6702" s="93" t="str">
        <f>VLOOKUP(E6702,DATABASE!C:Q,11,false)</f>
        <v>Tire</v>
      </c>
    </row>
    <row r="6703" ht="22.5" customHeight="1">
      <c r="A6703" s="49"/>
      <c r="C6703" s="400">
        <v>46045.0</v>
      </c>
      <c r="D6703" s="524">
        <v>96.0</v>
      </c>
      <c r="E6703" s="544" t="s">
        <v>256</v>
      </c>
      <c r="F6703" s="387">
        <v>1.0</v>
      </c>
      <c r="G6703" s="140">
        <v>150000.0</v>
      </c>
      <c r="H6703" s="140">
        <v>20000.0</v>
      </c>
      <c r="I6703" s="74">
        <f t="shared" si="1"/>
        <v>130000</v>
      </c>
      <c r="J6703" s="74">
        <f>IF(E6703="SERVICE",I6703-(I6703*50%),Vlookup(E6703,DATABASE!C:Q,10,false)*F6703)</f>
        <v>10000</v>
      </c>
      <c r="K6703" s="74">
        <f>VLOOKUP(E6703,DATABASE!C:Q,7,false)</f>
        <v>0</v>
      </c>
      <c r="L6703" s="74">
        <v>0.0</v>
      </c>
      <c r="M6703" s="74">
        <f t="shared" si="2"/>
        <v>0</v>
      </c>
      <c r="N6703" s="74">
        <f t="shared" si="3"/>
        <v>120000</v>
      </c>
      <c r="O6703" s="65" t="str">
        <f>VLOOKUP(E6703,DATABASE!C:Q,8,false)</f>
        <v>IBU</v>
      </c>
      <c r="P6703" s="65">
        <f>VLOOKUP(E6703,DATABASE!C:Q,9,False)</f>
        <v>0</v>
      </c>
      <c r="Q6703" s="93" t="str">
        <f>VLOOKUP(E6703,DATABASE!C:Q,4,false)</f>
        <v>SPOORING</v>
      </c>
      <c r="R6703" s="93" t="str">
        <f>VLOOKUP(E6703,DATABASE!C:Q,11,false)</f>
        <v>SERVICE</v>
      </c>
    </row>
    <row r="6704" ht="22.5" customHeight="1">
      <c r="A6704" s="49"/>
      <c r="C6704" s="400">
        <v>46045.0</v>
      </c>
      <c r="D6704" s="524">
        <v>97.0</v>
      </c>
      <c r="E6704" s="544" t="s">
        <v>955</v>
      </c>
      <c r="F6704" s="387">
        <v>3.0</v>
      </c>
      <c r="G6704" s="140">
        <v>770000.0</v>
      </c>
      <c r="H6704" s="74"/>
      <c r="I6704" s="74">
        <f t="shared" si="1"/>
        <v>2310000</v>
      </c>
      <c r="J6704" s="74">
        <f>IF(E6704="SERVICE",I6704-(I6704*50%),Vlookup(E6704,DATABASE!C:Q,10,false)*F6704)</f>
        <v>0</v>
      </c>
      <c r="K6704" s="74">
        <f>VLOOKUP(E6704,DATABASE!C:Q,7,false)</f>
        <v>712000</v>
      </c>
      <c r="L6704" s="74">
        <v>674000.0</v>
      </c>
      <c r="M6704" s="74">
        <f t="shared" si="2"/>
        <v>675000</v>
      </c>
      <c r="N6704" s="74">
        <f t="shared" si="3"/>
        <v>285000</v>
      </c>
      <c r="O6704" s="65" t="str">
        <f>VLOOKUP(E6704,DATABASE!C:Q,8,false)</f>
        <v>IBU</v>
      </c>
      <c r="P6704" s="65">
        <f>VLOOKUP(E6704,DATABASE!C:Q,9,False)</f>
        <v>1</v>
      </c>
      <c r="Q6704" s="93" t="str">
        <f>VLOOKUP(E6704,DATABASE!C:Q,4,false)</f>
        <v>Dunlop</v>
      </c>
      <c r="R6704" s="93" t="str">
        <f>VLOOKUP(E6704,DATABASE!C:Q,11,false)</f>
        <v>Tire</v>
      </c>
    </row>
    <row r="6705" ht="22.5" customHeight="1">
      <c r="A6705" s="49"/>
      <c r="C6705" s="400">
        <v>46045.0</v>
      </c>
      <c r="D6705" s="524">
        <v>98.0</v>
      </c>
      <c r="E6705" s="544" t="s">
        <v>265</v>
      </c>
      <c r="F6705" s="387">
        <v>2.0</v>
      </c>
      <c r="G6705" s="140">
        <v>685000.0</v>
      </c>
      <c r="H6705" s="74"/>
      <c r="I6705" s="74">
        <f t="shared" si="1"/>
        <v>1370000</v>
      </c>
      <c r="J6705" s="74">
        <f>IF(E6705="SERVICE",I6705-(I6705*50%),Vlookup(E6705,DATABASE!C:Q,10,false)*F6705)</f>
        <v>0</v>
      </c>
      <c r="K6705" s="74">
        <f>VLOOKUP(E6705,DATABASE!C:Q,7,false)</f>
        <v>628000</v>
      </c>
      <c r="L6705" s="74">
        <v>600000.0</v>
      </c>
      <c r="M6705" s="74">
        <f t="shared" si="2"/>
        <v>600000</v>
      </c>
      <c r="N6705" s="74">
        <f t="shared" si="3"/>
        <v>170000</v>
      </c>
      <c r="O6705" s="65" t="str">
        <f>VLOOKUP(E6705,DATABASE!C:Q,8,false)</f>
        <v>IBU</v>
      </c>
      <c r="P6705" s="65">
        <f>VLOOKUP(E6705,DATABASE!C:Q,9,False)</f>
        <v>1</v>
      </c>
      <c r="Q6705" s="93" t="str">
        <f>VLOOKUP(E6705,DATABASE!C:Q,4,false)</f>
        <v>Dunlop</v>
      </c>
      <c r="R6705" s="93" t="str">
        <f>VLOOKUP(E6705,DATABASE!C:Q,11,false)</f>
        <v>Tire</v>
      </c>
    </row>
    <row r="6706" ht="22.5" customHeight="1">
      <c r="A6706" s="49"/>
      <c r="C6706" s="400">
        <v>46045.0</v>
      </c>
      <c r="D6706" s="69" t="s">
        <v>2694</v>
      </c>
      <c r="E6706" s="544" t="s">
        <v>252</v>
      </c>
      <c r="F6706" s="387">
        <v>1.0</v>
      </c>
      <c r="G6706" s="140">
        <v>300000.0</v>
      </c>
      <c r="H6706" s="74"/>
      <c r="I6706" s="74">
        <f t="shared" si="1"/>
        <v>300000</v>
      </c>
      <c r="J6706" s="74">
        <f>IF(E6706="SERVICE",I6706-(I6706*50%),Vlookup(E6706,DATABASE!C:Q,10,false)*F6706)</f>
        <v>0</v>
      </c>
      <c r="K6706" s="74">
        <f>VLOOKUP(E6706,DATABASE!C:Q,7,false)</f>
        <v>317518</v>
      </c>
      <c r="L6706" s="74">
        <v>271778.0</v>
      </c>
      <c r="M6706" s="74">
        <f t="shared" si="2"/>
        <v>275000</v>
      </c>
      <c r="N6706" s="74">
        <f t="shared" si="3"/>
        <v>25000</v>
      </c>
      <c r="O6706" s="65" t="str">
        <f>VLOOKUP(E6706,DATABASE!C:Q,8,false)</f>
        <v>NON</v>
      </c>
      <c r="P6706" s="65">
        <f>VLOOKUP(E6706,DATABASE!C:Q,9,False)</f>
        <v>0</v>
      </c>
      <c r="Q6706" s="93" t="str">
        <f>VLOOKUP(E6706,DATABASE!C:Q,4,false)</f>
        <v>Shell</v>
      </c>
      <c r="R6706" s="93" t="str">
        <f>VLOOKUP(E6706,DATABASE!C:Q,11,false)</f>
        <v>OIL</v>
      </c>
    </row>
    <row r="6707" ht="22.5" customHeight="1">
      <c r="A6707" s="49"/>
      <c r="C6707" s="400">
        <v>46046.0</v>
      </c>
      <c r="D6707" s="524">
        <v>100.0</v>
      </c>
      <c r="E6707" s="544" t="s">
        <v>613</v>
      </c>
      <c r="F6707" s="387">
        <v>1.0</v>
      </c>
      <c r="G6707" s="140">
        <v>95000.0</v>
      </c>
      <c r="H6707" s="74"/>
      <c r="I6707" s="74">
        <f t="shared" si="1"/>
        <v>95000</v>
      </c>
      <c r="J6707" s="74">
        <f>IF(E6707="SERVICE",I6707-(I6707*50%),Vlookup(E6707,DATABASE!C:Q,10,false)*F6707)</f>
        <v>0</v>
      </c>
      <c r="K6707" s="74">
        <f>VLOOKUP(E6707,DATABASE!C:Q,7,false)</f>
        <v>58371.2695</v>
      </c>
      <c r="L6707" s="74">
        <v>55000.0</v>
      </c>
      <c r="M6707" s="74">
        <f t="shared" si="2"/>
        <v>55000</v>
      </c>
      <c r="N6707" s="74">
        <f t="shared" si="3"/>
        <v>40000</v>
      </c>
      <c r="O6707" s="65" t="str">
        <f>VLOOKUP(E6707,DATABASE!C:Q,8,false)</f>
        <v>BIAN</v>
      </c>
      <c r="P6707" s="65">
        <f>VLOOKUP(E6707,DATABASE!C:Q,9,False)</f>
        <v>1</v>
      </c>
      <c r="Q6707" s="93" t="str">
        <f>VLOOKUP(E6707,DATABASE!C:Q,4,false)</f>
        <v>BD</v>
      </c>
      <c r="R6707" s="93" t="str">
        <f>VLOOKUP(E6707,DATABASE!C:Q,11,false)</f>
        <v>Tire</v>
      </c>
    </row>
    <row r="6708" ht="22.5" customHeight="1">
      <c r="A6708" s="49"/>
      <c r="C6708" s="400">
        <v>46046.0</v>
      </c>
      <c r="D6708" s="524">
        <v>101.0</v>
      </c>
      <c r="E6708" s="544" t="s">
        <v>1133</v>
      </c>
      <c r="F6708" s="387">
        <v>2.0</v>
      </c>
      <c r="G6708" s="140">
        <v>855000.0</v>
      </c>
      <c r="H6708" s="140">
        <v>35000.0</v>
      </c>
      <c r="I6708" s="74">
        <f t="shared" si="1"/>
        <v>1640000</v>
      </c>
      <c r="J6708" s="74">
        <f>IF(E6708="SERVICE",I6708-(I6708*50%),Vlookup(E6708,DATABASE!C:Q,10,false)*F6708)</f>
        <v>0</v>
      </c>
      <c r="K6708" s="74">
        <f>VLOOKUP(E6708,DATABASE!C:Q,7,false)</f>
        <v>759539.2</v>
      </c>
      <c r="L6708" s="74">
        <v>719199.0</v>
      </c>
      <c r="M6708" s="74">
        <f t="shared" si="2"/>
        <v>720000</v>
      </c>
      <c r="N6708" s="74">
        <f t="shared" si="3"/>
        <v>200000</v>
      </c>
      <c r="O6708" s="65" t="str">
        <f>VLOOKUP(E6708,DATABASE!C:Q,8,false)</f>
        <v>IBU</v>
      </c>
      <c r="P6708" s="65">
        <f>VLOOKUP(E6708,DATABASE!C:Q,9,False)</f>
        <v>1</v>
      </c>
      <c r="Q6708" s="93" t="str">
        <f>VLOOKUP(E6708,DATABASE!C:Q,4,false)</f>
        <v>Bridgestone</v>
      </c>
      <c r="R6708" s="93" t="str">
        <f>VLOOKUP(E6708,DATABASE!C:Q,11,false)</f>
        <v>Tire</v>
      </c>
    </row>
    <row r="6709" ht="22.5" customHeight="1">
      <c r="A6709" s="49"/>
      <c r="C6709" s="400">
        <v>46046.0</v>
      </c>
      <c r="D6709" s="524">
        <v>102.0</v>
      </c>
      <c r="E6709" s="544" t="s">
        <v>554</v>
      </c>
      <c r="F6709" s="387">
        <v>2.0</v>
      </c>
      <c r="G6709" s="140">
        <v>800000.0</v>
      </c>
      <c r="H6709" s="140">
        <v>30000.0</v>
      </c>
      <c r="I6709" s="74">
        <f t="shared" si="1"/>
        <v>1540000</v>
      </c>
      <c r="J6709" s="74">
        <f>IF(E6709="SERVICE",I6709-(I6709*50%),Vlookup(E6709,DATABASE!C:Q,10,false)*F6709)</f>
        <v>0</v>
      </c>
      <c r="K6709" s="74">
        <f>VLOOKUP(E6709,DATABASE!C:Q,7,false)</f>
        <v>710000</v>
      </c>
      <c r="L6709" s="74">
        <v>680000.0</v>
      </c>
      <c r="M6709" s="74">
        <f t="shared" si="2"/>
        <v>680000</v>
      </c>
      <c r="N6709" s="74">
        <f t="shared" si="3"/>
        <v>180000</v>
      </c>
      <c r="O6709" s="65" t="str">
        <f>VLOOKUP(E6709,DATABASE!C:Q,8,false)</f>
        <v>IBU</v>
      </c>
      <c r="P6709" s="65">
        <f>VLOOKUP(E6709,DATABASE!C:Q,9,False)</f>
        <v>1</v>
      </c>
      <c r="Q6709" s="93" t="str">
        <f>VLOOKUP(E6709,DATABASE!C:Q,4,false)</f>
        <v>Bridgestone</v>
      </c>
      <c r="R6709" s="93" t="str">
        <f>VLOOKUP(E6709,DATABASE!C:Q,11,false)</f>
        <v>Tire</v>
      </c>
    </row>
    <row r="6710" ht="22.5" customHeight="1">
      <c r="A6710" s="49"/>
      <c r="C6710" s="400">
        <v>46046.0</v>
      </c>
      <c r="D6710" s="524">
        <v>103.0</v>
      </c>
      <c r="E6710" s="544" t="s">
        <v>256</v>
      </c>
      <c r="F6710" s="387">
        <v>1.0</v>
      </c>
      <c r="G6710" s="140">
        <v>150000.0</v>
      </c>
      <c r="H6710" s="140">
        <v>20000.0</v>
      </c>
      <c r="I6710" s="74">
        <f t="shared" si="1"/>
        <v>130000</v>
      </c>
      <c r="J6710" s="74">
        <f>IF(E6710="SERVICE",I6710-(I6710*50%),Vlookup(E6710,DATABASE!C:Q,10,false)*F6710)</f>
        <v>10000</v>
      </c>
      <c r="K6710" s="74">
        <f>VLOOKUP(E6710,DATABASE!C:Q,7,false)</f>
        <v>0</v>
      </c>
      <c r="L6710" s="74">
        <v>0.0</v>
      </c>
      <c r="M6710" s="74">
        <f t="shared" si="2"/>
        <v>0</v>
      </c>
      <c r="N6710" s="74">
        <f t="shared" si="3"/>
        <v>120000</v>
      </c>
      <c r="O6710" s="65" t="str">
        <f>VLOOKUP(E6710,DATABASE!C:Q,8,false)</f>
        <v>IBU</v>
      </c>
      <c r="P6710" s="65">
        <f>VLOOKUP(E6710,DATABASE!C:Q,9,False)</f>
        <v>0</v>
      </c>
      <c r="Q6710" s="93" t="str">
        <f>VLOOKUP(E6710,DATABASE!C:Q,4,false)</f>
        <v>SPOORING</v>
      </c>
      <c r="R6710" s="93" t="str">
        <f>VLOOKUP(E6710,DATABASE!C:Q,11,false)</f>
        <v>SERVICE</v>
      </c>
    </row>
    <row r="6711" ht="22.5" customHeight="1">
      <c r="A6711" s="49"/>
      <c r="C6711" s="400">
        <v>46046.0</v>
      </c>
      <c r="D6711" s="524">
        <v>104.0</v>
      </c>
      <c r="E6711" s="544" t="s">
        <v>268</v>
      </c>
      <c r="F6711" s="387">
        <v>1.0</v>
      </c>
      <c r="G6711" s="140">
        <v>710000.0</v>
      </c>
      <c r="H6711" s="74"/>
      <c r="I6711" s="74">
        <f t="shared" si="1"/>
        <v>710000</v>
      </c>
      <c r="J6711" s="74">
        <f>IF(E6711="SERVICE",I6711-(I6711*50%),Vlookup(E6711,DATABASE!C:Q,10,false)*F6711)</f>
        <v>0</v>
      </c>
      <c r="K6711" s="74">
        <f>VLOOKUP(E6711,DATABASE!C:Q,7,false)</f>
        <v>653000</v>
      </c>
      <c r="L6711" s="74">
        <v>622000.0</v>
      </c>
      <c r="M6711" s="74">
        <f t="shared" si="2"/>
        <v>625000</v>
      </c>
      <c r="N6711" s="74">
        <f t="shared" si="3"/>
        <v>85000</v>
      </c>
      <c r="O6711" s="65" t="str">
        <f>VLOOKUP(E6711,DATABASE!C:Q,8,false)</f>
        <v>IBU</v>
      </c>
      <c r="P6711" s="65">
        <f>VLOOKUP(E6711,DATABASE!C:Q,9,False)</f>
        <v>1</v>
      </c>
      <c r="Q6711" s="93" t="str">
        <f>VLOOKUP(E6711,DATABASE!C:Q,4,false)</f>
        <v>Dunlop</v>
      </c>
      <c r="R6711" s="93" t="str">
        <f>VLOOKUP(E6711,DATABASE!C:Q,11,false)</f>
        <v>Tire</v>
      </c>
    </row>
    <row r="6712" ht="22.5" customHeight="1">
      <c r="A6712" s="49"/>
      <c r="C6712" s="400">
        <v>46046.0</v>
      </c>
      <c r="D6712" s="524">
        <v>105.0</v>
      </c>
      <c r="E6712" s="544" t="s">
        <v>299</v>
      </c>
      <c r="F6712" s="387">
        <v>2.0</v>
      </c>
      <c r="G6712" s="140">
        <v>30000.0</v>
      </c>
      <c r="H6712" s="74"/>
      <c r="I6712" s="74">
        <f t="shared" si="1"/>
        <v>60000</v>
      </c>
      <c r="J6712" s="74">
        <f>IF(E6712="SERVICE",I6712-(I6712*50%),Vlookup(E6712,DATABASE!C:Q,10,false)*F6712)</f>
        <v>0</v>
      </c>
      <c r="K6712" s="74">
        <f>VLOOKUP(E6712,DATABASE!C:Q,7,false)</f>
        <v>10000</v>
      </c>
      <c r="L6712" s="74">
        <v>5000.0</v>
      </c>
      <c r="M6712" s="74">
        <f t="shared" si="2"/>
        <v>5000</v>
      </c>
      <c r="N6712" s="74">
        <f t="shared" si="3"/>
        <v>50000</v>
      </c>
      <c r="O6712" s="65" t="str">
        <f>VLOOKUP(E6712,DATABASE!C:Q,8,false)</f>
        <v>BIAN</v>
      </c>
      <c r="P6712" s="65">
        <f>VLOOKUP(E6712,DATABASE!C:Q,9,False)</f>
        <v>0</v>
      </c>
      <c r="Q6712" s="93" t="str">
        <f>VLOOKUP(E6712,DATABASE!C:Q,4,false)</f>
        <v>Balancing</v>
      </c>
      <c r="R6712" s="93" t="str">
        <f>VLOOKUP(E6712,DATABASE!C:Q,11,false)</f>
        <v>COMPLEMENTARY</v>
      </c>
    </row>
    <row r="6713" ht="22.5" customHeight="1">
      <c r="A6713" s="49"/>
      <c r="C6713" s="400">
        <v>46046.0</v>
      </c>
      <c r="D6713" s="524">
        <v>106.0</v>
      </c>
      <c r="E6713" s="544" t="s">
        <v>256</v>
      </c>
      <c r="F6713" s="387">
        <v>1.0</v>
      </c>
      <c r="G6713" s="140">
        <v>150000.0</v>
      </c>
      <c r="H6713" s="140">
        <v>20000.0</v>
      </c>
      <c r="I6713" s="74">
        <f t="shared" si="1"/>
        <v>130000</v>
      </c>
      <c r="J6713" s="74">
        <f>IF(E6713="SERVICE",I6713-(I6713*50%),Vlookup(E6713,DATABASE!C:Q,10,false)*F6713)</f>
        <v>10000</v>
      </c>
      <c r="K6713" s="74">
        <f>VLOOKUP(E6713,DATABASE!C:Q,7,false)</f>
        <v>0</v>
      </c>
      <c r="L6713" s="74">
        <v>0.0</v>
      </c>
      <c r="M6713" s="74">
        <f t="shared" si="2"/>
        <v>0</v>
      </c>
      <c r="N6713" s="74">
        <f t="shared" si="3"/>
        <v>120000</v>
      </c>
      <c r="O6713" s="65" t="str">
        <f>VLOOKUP(E6713,DATABASE!C:Q,8,false)</f>
        <v>IBU</v>
      </c>
      <c r="P6713" s="65">
        <f>VLOOKUP(E6713,DATABASE!C:Q,9,False)</f>
        <v>0</v>
      </c>
      <c r="Q6713" s="93" t="str">
        <f>VLOOKUP(E6713,DATABASE!C:Q,4,false)</f>
        <v>SPOORING</v>
      </c>
      <c r="R6713" s="93" t="str">
        <f>VLOOKUP(E6713,DATABASE!C:Q,11,false)</f>
        <v>SERVICE</v>
      </c>
    </row>
    <row r="6714" ht="22.5" customHeight="1">
      <c r="A6714" s="49"/>
      <c r="C6714" s="400">
        <v>46046.0</v>
      </c>
      <c r="D6714" s="524">
        <v>107.0</v>
      </c>
      <c r="E6714" s="544" t="s">
        <v>275</v>
      </c>
      <c r="F6714" s="387">
        <v>2.0</v>
      </c>
      <c r="G6714" s="140">
        <v>830000.0</v>
      </c>
      <c r="H6714" s="74"/>
      <c r="I6714" s="74">
        <f t="shared" si="1"/>
        <v>1660000</v>
      </c>
      <c r="J6714" s="74">
        <f>IF(E6714="SERVICE",I6714-(I6714*50%),Vlookup(E6714,DATABASE!C:Q,10,false)*F6714)</f>
        <v>0</v>
      </c>
      <c r="K6714" s="74">
        <f>VLOOKUP(E6714,DATABASE!C:Q,7,false)</f>
        <v>782000</v>
      </c>
      <c r="L6714" s="74">
        <v>745000.0</v>
      </c>
      <c r="M6714" s="74">
        <f t="shared" si="2"/>
        <v>745000</v>
      </c>
      <c r="N6714" s="74">
        <f t="shared" si="3"/>
        <v>170000</v>
      </c>
      <c r="O6714" s="65" t="str">
        <f>VLOOKUP(E6714,DATABASE!C:Q,8,false)</f>
        <v>IBU</v>
      </c>
      <c r="P6714" s="65">
        <f>VLOOKUP(E6714,DATABASE!C:Q,9,False)</f>
        <v>1</v>
      </c>
      <c r="Q6714" s="93" t="str">
        <f>VLOOKUP(E6714,DATABASE!C:Q,4,false)</f>
        <v>Dunlop</v>
      </c>
      <c r="R6714" s="93" t="str">
        <f>VLOOKUP(E6714,DATABASE!C:Q,11,false)</f>
        <v>Tire</v>
      </c>
    </row>
    <row r="6715" ht="22.5" customHeight="1">
      <c r="A6715" s="49"/>
      <c r="C6715" s="400">
        <v>46046.0</v>
      </c>
      <c r="D6715" s="524">
        <v>109.0</v>
      </c>
      <c r="E6715" s="544" t="s">
        <v>262</v>
      </c>
      <c r="F6715" s="387">
        <v>1.0</v>
      </c>
      <c r="G6715" s="140">
        <v>110000.0</v>
      </c>
      <c r="H6715" s="74"/>
      <c r="I6715" s="74">
        <f t="shared" si="1"/>
        <v>110000</v>
      </c>
      <c r="J6715" s="74">
        <f>IF(E6715="SERVICE",I6715-(I6715*50%),Vlookup(E6715,DATABASE!C:Q,10,false)*F6715)</f>
        <v>5000</v>
      </c>
      <c r="K6715" s="74">
        <f>VLOOKUP(E6715,DATABASE!C:Q,7,false)</f>
        <v>0</v>
      </c>
      <c r="L6715" s="74">
        <v>0.0</v>
      </c>
      <c r="M6715" s="74">
        <f t="shared" si="2"/>
        <v>0</v>
      </c>
      <c r="N6715" s="74">
        <f t="shared" si="3"/>
        <v>105000</v>
      </c>
      <c r="O6715" s="65" t="str">
        <f>VLOOKUP(E6715,DATABASE!C:Q,8,false)</f>
        <v>IBU</v>
      </c>
      <c r="P6715" s="65">
        <f>VLOOKUP(E6715,DATABASE!C:Q,9,False)</f>
        <v>0</v>
      </c>
      <c r="Q6715" s="93" t="str">
        <f>VLOOKUP(E6715,DATABASE!C:Q,4,false)</f>
        <v>SPOORING SS/CARRY LOS BAK</v>
      </c>
      <c r="R6715" s="93" t="str">
        <f>VLOOKUP(E6715,DATABASE!C:Q,11,false)</f>
        <v>SERVICE</v>
      </c>
    </row>
    <row r="6716" ht="22.5" customHeight="1">
      <c r="A6716" s="49"/>
      <c r="C6716" s="400">
        <v>46046.0</v>
      </c>
      <c r="D6716" s="524">
        <v>109.0</v>
      </c>
      <c r="E6716" s="544" t="s">
        <v>251</v>
      </c>
      <c r="F6716" s="387">
        <v>1.0</v>
      </c>
      <c r="G6716" s="140">
        <v>350000.0</v>
      </c>
      <c r="H6716" s="140">
        <v>200000.0</v>
      </c>
      <c r="I6716" s="74">
        <f t="shared" si="1"/>
        <v>150000</v>
      </c>
      <c r="J6716" s="74">
        <f>IF(E6716="SERVICE",I6716-(I6716*50%),Vlookup(E6716,DATABASE!C:Q,10,false)*F6716)</f>
        <v>75000</v>
      </c>
      <c r="K6716" s="74">
        <f>VLOOKUP(E6716,DATABASE!C:Q,7,false)</f>
        <v>0</v>
      </c>
      <c r="L6716" s="74">
        <v>0.0</v>
      </c>
      <c r="M6716" s="74">
        <f t="shared" si="2"/>
        <v>0</v>
      </c>
      <c r="N6716" s="74">
        <f t="shared" si="3"/>
        <v>75000</v>
      </c>
      <c r="O6716" s="65" t="str">
        <f>VLOOKUP(E6716,DATABASE!C:Q,8,false)</f>
        <v>IBU</v>
      </c>
      <c r="P6716" s="65">
        <f>VLOOKUP(E6716,DATABASE!C:Q,9,False)</f>
        <v>0</v>
      </c>
      <c r="Q6716" s="93" t="str">
        <f>VLOOKUP(E6716,DATABASE!C:Q,4,false)</f>
        <v>SERVICE</v>
      </c>
      <c r="R6716" s="93" t="str">
        <f>VLOOKUP(E6716,DATABASE!C:Q,11,false)</f>
        <v>SERVICE</v>
      </c>
    </row>
    <row r="6717" ht="22.5" customHeight="1">
      <c r="A6717" s="49"/>
      <c r="C6717" s="400">
        <v>46046.0</v>
      </c>
      <c r="D6717" s="524">
        <v>110.0</v>
      </c>
      <c r="E6717" s="544" t="s">
        <v>940</v>
      </c>
      <c r="F6717" s="387">
        <v>2.0</v>
      </c>
      <c r="G6717" s="140">
        <v>809000.0</v>
      </c>
      <c r="H6717" s="140">
        <v>9000.0</v>
      </c>
      <c r="I6717" s="74">
        <f t="shared" si="1"/>
        <v>1600000</v>
      </c>
      <c r="J6717" s="74">
        <f>IF(E6717="SERVICE",I6717-(I6717*50%),Vlookup(E6717,DATABASE!C:Q,10,false)*F6717)</f>
        <v>0</v>
      </c>
      <c r="K6717" s="74">
        <f>VLOOKUP(E6717,DATABASE!C:Q,7,false)</f>
        <v>716500</v>
      </c>
      <c r="L6717" s="74">
        <v>709000.0</v>
      </c>
      <c r="M6717" s="74">
        <f t="shared" si="2"/>
        <v>710000</v>
      </c>
      <c r="N6717" s="74">
        <f t="shared" si="3"/>
        <v>180000</v>
      </c>
      <c r="O6717" s="65" t="str">
        <f>VLOOKUP(E6717,DATABASE!C:Q,8,false)</f>
        <v>IBU</v>
      </c>
      <c r="P6717" s="65">
        <f>VLOOKUP(E6717,DATABASE!C:Q,9,False)</f>
        <v>1</v>
      </c>
      <c r="Q6717" s="93" t="str">
        <f>VLOOKUP(E6717,DATABASE!C:Q,4,false)</f>
        <v>Dunlop</v>
      </c>
      <c r="R6717" s="93" t="str">
        <f>VLOOKUP(E6717,DATABASE!C:Q,11,false)</f>
        <v>Tire</v>
      </c>
    </row>
    <row r="6718" ht="22.5" customHeight="1">
      <c r="A6718" s="49"/>
      <c r="C6718" s="400">
        <v>46046.0</v>
      </c>
      <c r="D6718" s="524">
        <v>110.0</v>
      </c>
      <c r="E6718" s="544" t="s">
        <v>299</v>
      </c>
      <c r="F6718" s="387">
        <v>2.0</v>
      </c>
      <c r="G6718" s="140">
        <v>30000.0</v>
      </c>
      <c r="H6718" s="74"/>
      <c r="I6718" s="74">
        <f t="shared" si="1"/>
        <v>60000</v>
      </c>
      <c r="J6718" s="74">
        <f>IF(E6718="SERVICE",I6718-(I6718*50%),Vlookup(E6718,DATABASE!C:Q,10,false)*F6718)</f>
        <v>0</v>
      </c>
      <c r="K6718" s="74">
        <f>VLOOKUP(E6718,DATABASE!C:Q,7,false)</f>
        <v>10000</v>
      </c>
      <c r="L6718" s="74">
        <v>5000.0</v>
      </c>
      <c r="M6718" s="74">
        <f t="shared" si="2"/>
        <v>5000</v>
      </c>
      <c r="N6718" s="74">
        <f t="shared" si="3"/>
        <v>50000</v>
      </c>
      <c r="O6718" s="65" t="str">
        <f>VLOOKUP(E6718,DATABASE!C:Q,8,false)</f>
        <v>BIAN</v>
      </c>
      <c r="P6718" s="65">
        <f>VLOOKUP(E6718,DATABASE!C:Q,9,False)</f>
        <v>0</v>
      </c>
      <c r="Q6718" s="93" t="str">
        <f>VLOOKUP(E6718,DATABASE!C:Q,4,false)</f>
        <v>Balancing</v>
      </c>
      <c r="R6718" s="93" t="str">
        <f>VLOOKUP(E6718,DATABASE!C:Q,11,false)</f>
        <v>COMPLEMENTARY</v>
      </c>
    </row>
    <row r="6719" ht="22.5" customHeight="1">
      <c r="A6719" s="49"/>
      <c r="C6719" s="400">
        <v>46046.0</v>
      </c>
      <c r="D6719" s="524">
        <v>111.0</v>
      </c>
      <c r="E6719" s="544" t="s">
        <v>256</v>
      </c>
      <c r="F6719" s="387">
        <v>1.0</v>
      </c>
      <c r="G6719" s="140">
        <v>150000.0</v>
      </c>
      <c r="H6719" s="140">
        <v>20000.0</v>
      </c>
      <c r="I6719" s="74">
        <f t="shared" si="1"/>
        <v>130000</v>
      </c>
      <c r="J6719" s="74">
        <f>IF(E6719="SERVICE",I6719-(I6719*50%),Vlookup(E6719,DATABASE!C:Q,10,false)*F6719)</f>
        <v>10000</v>
      </c>
      <c r="K6719" s="74">
        <f>VLOOKUP(E6719,DATABASE!C:Q,7,false)</f>
        <v>0</v>
      </c>
      <c r="L6719" s="74">
        <v>0.0</v>
      </c>
      <c r="M6719" s="74">
        <f t="shared" si="2"/>
        <v>0</v>
      </c>
      <c r="N6719" s="74">
        <f t="shared" si="3"/>
        <v>120000</v>
      </c>
      <c r="O6719" s="65" t="str">
        <f>VLOOKUP(E6719,DATABASE!C:Q,8,false)</f>
        <v>IBU</v>
      </c>
      <c r="P6719" s="65">
        <f>VLOOKUP(E6719,DATABASE!C:Q,9,False)</f>
        <v>0</v>
      </c>
      <c r="Q6719" s="93" t="str">
        <f>VLOOKUP(E6719,DATABASE!C:Q,4,false)</f>
        <v>SPOORING</v>
      </c>
      <c r="R6719" s="93" t="str">
        <f>VLOOKUP(E6719,DATABASE!C:Q,11,false)</f>
        <v>SERVICE</v>
      </c>
    </row>
    <row r="6720" ht="22.5" customHeight="1">
      <c r="A6720" s="49"/>
      <c r="C6720" s="400">
        <v>46046.0</v>
      </c>
      <c r="D6720" s="524">
        <v>111.0</v>
      </c>
      <c r="E6720" s="544" t="s">
        <v>251</v>
      </c>
      <c r="F6720" s="387">
        <v>1.0</v>
      </c>
      <c r="G6720" s="140">
        <v>350000.0</v>
      </c>
      <c r="H6720" s="140">
        <v>200000.0</v>
      </c>
      <c r="I6720" s="74">
        <f t="shared" si="1"/>
        <v>150000</v>
      </c>
      <c r="J6720" s="74">
        <f>IF(E6720="SERVICE",I6720-(I6720*50%),Vlookup(E6720,DATABASE!C:Q,10,false)*F6720)</f>
        <v>75000</v>
      </c>
      <c r="K6720" s="74">
        <f>VLOOKUP(E6720,DATABASE!C:Q,7,false)</f>
        <v>0</v>
      </c>
      <c r="L6720" s="74">
        <v>0.0</v>
      </c>
      <c r="M6720" s="74">
        <f t="shared" si="2"/>
        <v>0</v>
      </c>
      <c r="N6720" s="74">
        <f t="shared" si="3"/>
        <v>75000</v>
      </c>
      <c r="O6720" s="65" t="str">
        <f>VLOOKUP(E6720,DATABASE!C:Q,8,false)</f>
        <v>IBU</v>
      </c>
      <c r="P6720" s="65">
        <f>VLOOKUP(E6720,DATABASE!C:Q,9,False)</f>
        <v>0</v>
      </c>
      <c r="Q6720" s="93" t="str">
        <f>VLOOKUP(E6720,DATABASE!C:Q,4,false)</f>
        <v>SERVICE</v>
      </c>
      <c r="R6720" s="93" t="str">
        <f>VLOOKUP(E6720,DATABASE!C:Q,11,false)</f>
        <v>SERVICE</v>
      </c>
    </row>
    <row r="6721" ht="22.5" customHeight="1">
      <c r="A6721" s="49"/>
      <c r="C6721" s="400">
        <v>46046.0</v>
      </c>
      <c r="D6721" s="524">
        <v>112.0</v>
      </c>
      <c r="E6721" s="544" t="s">
        <v>930</v>
      </c>
      <c r="F6721" s="387">
        <v>1.0</v>
      </c>
      <c r="G6721" s="140">
        <v>750000.0</v>
      </c>
      <c r="H6721" s="74"/>
      <c r="I6721" s="74">
        <f t="shared" si="1"/>
        <v>750000</v>
      </c>
      <c r="J6721" s="74">
        <f>IF(E6721="SERVICE",I6721-(I6721*50%),Vlookup(E6721,DATABASE!C:Q,10,false)*F6721)</f>
        <v>0</v>
      </c>
      <c r="K6721" s="74">
        <f>VLOOKUP(E6721,DATABASE!C:Q,7,false)</f>
        <v>634099.2</v>
      </c>
      <c r="L6721" s="74">
        <v>634099.2</v>
      </c>
      <c r="M6721" s="74">
        <f t="shared" si="2"/>
        <v>635000</v>
      </c>
      <c r="N6721" s="74">
        <f t="shared" si="3"/>
        <v>115000</v>
      </c>
      <c r="O6721" s="65" t="str">
        <f>VLOOKUP(E6721,DATABASE!C:Q,8,false)</f>
        <v>IBU</v>
      </c>
      <c r="P6721" s="65">
        <f>VLOOKUP(E6721,DATABASE!C:Q,9,False)</f>
        <v>1</v>
      </c>
      <c r="Q6721" s="93" t="str">
        <f>VLOOKUP(E6721,DATABASE!C:Q,4,false)</f>
        <v>Bridgestone</v>
      </c>
      <c r="R6721" s="93" t="str">
        <f>VLOOKUP(E6721,DATABASE!C:Q,11,false)</f>
        <v>Tire</v>
      </c>
    </row>
    <row r="6722" ht="22.5" customHeight="1">
      <c r="A6722" s="49"/>
      <c r="C6722" s="400">
        <v>46046.0</v>
      </c>
      <c r="D6722" s="524">
        <v>113.0</v>
      </c>
      <c r="E6722" s="544" t="s">
        <v>856</v>
      </c>
      <c r="F6722" s="387">
        <v>1.0</v>
      </c>
      <c r="G6722" s="140">
        <v>670000.0</v>
      </c>
      <c r="H6722" s="74"/>
      <c r="I6722" s="74">
        <f t="shared" si="1"/>
        <v>670000</v>
      </c>
      <c r="J6722" s="74">
        <f>IF(E6722="SERVICE",I6722-(I6722*50%),Vlookup(E6722,DATABASE!C:Q,10,false)*F6722)</f>
        <v>0</v>
      </c>
      <c r="K6722" s="74">
        <f>VLOOKUP(E6722,DATABASE!C:Q,7,false)</f>
        <v>615300</v>
      </c>
      <c r="L6722" s="74">
        <v>581120.0</v>
      </c>
      <c r="M6722" s="74">
        <f t="shared" si="2"/>
        <v>585000</v>
      </c>
      <c r="N6722" s="74">
        <f t="shared" si="3"/>
        <v>85000</v>
      </c>
      <c r="O6722" s="65" t="str">
        <f>VLOOKUP(E6722,DATABASE!C:Q,8,false)</f>
        <v>BIAN</v>
      </c>
      <c r="P6722" s="65">
        <f>VLOOKUP(E6722,DATABASE!C:Q,9,False)</f>
        <v>1</v>
      </c>
      <c r="Q6722" s="93" t="str">
        <f>VLOOKUP(E6722,DATABASE!C:Q,4,false)</f>
        <v>GT</v>
      </c>
      <c r="R6722" s="93" t="str">
        <f>VLOOKUP(E6722,DATABASE!C:Q,11,false)</f>
        <v>Tire</v>
      </c>
    </row>
    <row r="6723" ht="22.5" customHeight="1">
      <c r="A6723" s="49"/>
      <c r="C6723" s="400">
        <v>46046.0</v>
      </c>
      <c r="D6723" s="524">
        <v>114.0</v>
      </c>
      <c r="E6723" s="544" t="s">
        <v>1524</v>
      </c>
      <c r="F6723" s="387">
        <v>1.0</v>
      </c>
      <c r="G6723" s="140">
        <v>1120000.0</v>
      </c>
      <c r="H6723" s="140">
        <v>20000.0</v>
      </c>
      <c r="I6723" s="74">
        <f t="shared" si="1"/>
        <v>1100000</v>
      </c>
      <c r="J6723" s="74">
        <f>IF(E6723="SERVICE",I6723-(I6723*50%),Vlookup(E6723,DATABASE!C:Q,10,false)*F6723)</f>
        <v>0</v>
      </c>
      <c r="K6723" s="74">
        <f>VLOOKUP(E6723,DATABASE!C:Q,7,false)</f>
        <v>1028000</v>
      </c>
      <c r="L6723" s="74">
        <v>1007000.0</v>
      </c>
      <c r="M6723" s="74">
        <f t="shared" si="2"/>
        <v>1010000</v>
      </c>
      <c r="N6723" s="74">
        <f t="shared" si="3"/>
        <v>90000</v>
      </c>
      <c r="O6723" s="65" t="str">
        <f>VLOOKUP(E6723,DATABASE!C:Q,8,false)</f>
        <v>IBU</v>
      </c>
      <c r="P6723" s="65">
        <f>VLOOKUP(E6723,DATABASE!C:Q,9,False)</f>
        <v>1</v>
      </c>
      <c r="Q6723" s="93" t="str">
        <f>VLOOKUP(E6723,DATABASE!C:Q,4,false)</f>
        <v>Dunlop</v>
      </c>
      <c r="R6723" s="93" t="str">
        <f>VLOOKUP(E6723,DATABASE!C:Q,11,false)</f>
        <v>Tire</v>
      </c>
    </row>
    <row r="6724" ht="22.5" customHeight="1">
      <c r="A6724" s="49"/>
      <c r="C6724" s="400">
        <v>46046.0</v>
      </c>
      <c r="D6724" s="524">
        <v>114.0</v>
      </c>
      <c r="E6724" s="544" t="s">
        <v>256</v>
      </c>
      <c r="F6724" s="387">
        <v>1.0</v>
      </c>
      <c r="G6724" s="140">
        <v>150000.0</v>
      </c>
      <c r="H6724" s="140">
        <v>50000.0</v>
      </c>
      <c r="I6724" s="74">
        <f t="shared" si="1"/>
        <v>100000</v>
      </c>
      <c r="J6724" s="74">
        <f>IF(E6724="SERVICE",I6724-(I6724*50%),Vlookup(E6724,DATABASE!C:Q,10,false)*F6724)</f>
        <v>10000</v>
      </c>
      <c r="K6724" s="74">
        <f>VLOOKUP(E6724,DATABASE!C:Q,7,false)</f>
        <v>0</v>
      </c>
      <c r="L6724" s="74">
        <v>0.0</v>
      </c>
      <c r="M6724" s="74">
        <f t="shared" si="2"/>
        <v>0</v>
      </c>
      <c r="N6724" s="74">
        <f t="shared" si="3"/>
        <v>90000</v>
      </c>
      <c r="O6724" s="65" t="str">
        <f>VLOOKUP(E6724,DATABASE!C:Q,8,false)</f>
        <v>IBU</v>
      </c>
      <c r="P6724" s="65">
        <f>VLOOKUP(E6724,DATABASE!C:Q,9,False)</f>
        <v>0</v>
      </c>
      <c r="Q6724" s="93" t="str">
        <f>VLOOKUP(E6724,DATABASE!C:Q,4,false)</f>
        <v>SPOORING</v>
      </c>
      <c r="R6724" s="93" t="str">
        <f>VLOOKUP(E6724,DATABASE!C:Q,11,false)</f>
        <v>SERVICE</v>
      </c>
    </row>
    <row r="6725" ht="22.5" customHeight="1">
      <c r="A6725" s="49"/>
      <c r="C6725" s="400">
        <v>46046.0</v>
      </c>
      <c r="D6725" s="524">
        <v>114.0</v>
      </c>
      <c r="E6725" s="544" t="s">
        <v>301</v>
      </c>
      <c r="F6725" s="387">
        <v>1.0</v>
      </c>
      <c r="G6725" s="140">
        <v>250000.0</v>
      </c>
      <c r="H6725" s="74"/>
      <c r="I6725" s="74">
        <f t="shared" si="1"/>
        <v>250000</v>
      </c>
      <c r="J6725" s="74">
        <f>IF(E6725="SERVICE",I6725-(I6725*50%),Vlookup(E6725,DATABASE!C:Q,10,false)*F6725)</f>
        <v>75000</v>
      </c>
      <c r="K6725" s="74">
        <f>VLOOKUP(E6725,DATABASE!C:Q,7,false)</f>
        <v>75000</v>
      </c>
      <c r="L6725" s="74">
        <v>75000.0</v>
      </c>
      <c r="M6725" s="74">
        <f t="shared" si="2"/>
        <v>75000</v>
      </c>
      <c r="N6725" s="74">
        <f t="shared" si="3"/>
        <v>100000</v>
      </c>
      <c r="O6725" s="65" t="str">
        <f>VLOOKUP(E6725,DATABASE!C:Q,8,false)</f>
        <v>BIAN</v>
      </c>
      <c r="P6725" s="65">
        <f>VLOOKUP(E6725,DATABASE!C:Q,9,False)</f>
        <v>0</v>
      </c>
      <c r="Q6725" s="93" t="str">
        <f>VLOOKUP(E6725,DATABASE!C:Q,4,false)</f>
        <v>Baut Camber</v>
      </c>
      <c r="R6725" s="93" t="str">
        <f>VLOOKUP(E6725,DATABASE!C:Q,11,false)</f>
        <v>COMPLEMENTARY</v>
      </c>
    </row>
    <row r="6726" ht="22.5" customHeight="1">
      <c r="A6726" s="49"/>
      <c r="C6726" s="400">
        <v>46047.0</v>
      </c>
      <c r="D6726" s="524">
        <v>115.0</v>
      </c>
      <c r="E6726" s="544" t="s">
        <v>2019</v>
      </c>
      <c r="F6726" s="387">
        <v>1.0</v>
      </c>
      <c r="G6726" s="140">
        <v>685000.0</v>
      </c>
      <c r="H6726" s="140">
        <v>5000.0</v>
      </c>
      <c r="I6726" s="74">
        <f t="shared" si="1"/>
        <v>680000</v>
      </c>
      <c r="J6726" s="74">
        <f>IF(E6726="SERVICE",I6726-(I6726*50%),Vlookup(E6726,DATABASE!C:Q,10,false)*F6726)</f>
        <v>0</v>
      </c>
      <c r="K6726" s="74">
        <f>VLOOKUP(E6726,DATABASE!C:Q,7,false)</f>
        <v>620000</v>
      </c>
      <c r="L6726" s="74">
        <v>595000.0</v>
      </c>
      <c r="M6726" s="74">
        <f t="shared" si="2"/>
        <v>595000</v>
      </c>
      <c r="N6726" s="74">
        <f t="shared" si="3"/>
        <v>85000</v>
      </c>
      <c r="O6726" s="65" t="str">
        <f>VLOOKUP(E6726,DATABASE!C:Q,8,false)</f>
        <v>BIAN</v>
      </c>
      <c r="P6726" s="65">
        <f>VLOOKUP(E6726,DATABASE!C:Q,9,False)</f>
        <v>1</v>
      </c>
      <c r="Q6726" s="93" t="str">
        <f>VLOOKUP(E6726,DATABASE!C:Q,4,false)</f>
        <v>GT</v>
      </c>
      <c r="R6726" s="93" t="str">
        <f>VLOOKUP(E6726,DATABASE!C:Q,11,false)</f>
        <v>Tire</v>
      </c>
    </row>
    <row r="6727" ht="22.5" customHeight="1">
      <c r="A6727" s="49"/>
      <c r="C6727" s="400">
        <v>46047.0</v>
      </c>
      <c r="D6727" s="524">
        <v>116.0</v>
      </c>
      <c r="E6727" s="544" t="s">
        <v>947</v>
      </c>
      <c r="F6727" s="387">
        <v>1.0</v>
      </c>
      <c r="G6727" s="140">
        <v>785000.0</v>
      </c>
      <c r="H6727" s="74"/>
      <c r="I6727" s="74">
        <f t="shared" si="1"/>
        <v>785000</v>
      </c>
      <c r="J6727" s="74">
        <f>IF(E6727="SERVICE",I6727-(I6727*50%),Vlookup(E6727,DATABASE!C:Q,10,false)*F6727)</f>
        <v>0</v>
      </c>
      <c r="K6727" s="74">
        <f>VLOOKUP(E6727,DATABASE!C:Q,7,false)</f>
        <v>704346</v>
      </c>
      <c r="L6727" s="74">
        <v>680512.0</v>
      </c>
      <c r="M6727" s="74">
        <f t="shared" si="2"/>
        <v>685000</v>
      </c>
      <c r="N6727" s="74">
        <f t="shared" si="3"/>
        <v>100000</v>
      </c>
      <c r="O6727" s="65" t="str">
        <f>VLOOKUP(E6727,DATABASE!C:Q,8,false)</f>
        <v>IBU</v>
      </c>
      <c r="P6727" s="65">
        <f>VLOOKUP(E6727,DATABASE!C:Q,9,False)</f>
        <v>1</v>
      </c>
      <c r="Q6727" s="93" t="str">
        <f>VLOOKUP(E6727,DATABASE!C:Q,4,false)</f>
        <v>Bridgestone</v>
      </c>
      <c r="R6727" s="93" t="str">
        <f>VLOOKUP(E6727,DATABASE!C:Q,11,false)</f>
        <v>Tire</v>
      </c>
    </row>
    <row r="6728" ht="22.5" customHeight="1">
      <c r="A6728" s="49"/>
      <c r="C6728" s="400">
        <v>46047.0</v>
      </c>
      <c r="D6728" s="524">
        <v>116.0</v>
      </c>
      <c r="E6728" s="544" t="s">
        <v>1526</v>
      </c>
      <c r="F6728" s="387">
        <v>1.0</v>
      </c>
      <c r="G6728" s="140">
        <v>540000.0</v>
      </c>
      <c r="H6728" s="74"/>
      <c r="I6728" s="74">
        <f t="shared" si="1"/>
        <v>540000</v>
      </c>
      <c r="J6728" s="74">
        <f>IF(E6728="SERVICE",I6728-(I6728*50%),Vlookup(E6728,DATABASE!C:Q,10,false)*F6728)</f>
        <v>0</v>
      </c>
      <c r="K6728" s="74">
        <f>VLOOKUP(E6728,DATABASE!C:Q,7,false)</f>
        <v>450000</v>
      </c>
      <c r="L6728" s="74">
        <v>450000.0</v>
      </c>
      <c r="M6728" s="74">
        <f t="shared" si="2"/>
        <v>450000</v>
      </c>
      <c r="N6728" s="74">
        <f t="shared" si="3"/>
        <v>90000</v>
      </c>
      <c r="O6728" s="65" t="str">
        <f>VLOOKUP(E6728,DATABASE!C:Q,8,false)</f>
        <v>BIAN</v>
      </c>
      <c r="P6728" s="65">
        <f>VLOOKUP(E6728,DATABASE!C:Q,9,False)</f>
        <v>1</v>
      </c>
      <c r="Q6728" s="93" t="str">
        <f>VLOOKUP(E6728,DATABASE!C:Q,4,false)</f>
        <v>Laufen</v>
      </c>
      <c r="R6728" s="93" t="str">
        <f>VLOOKUP(E6728,DATABASE!C:Q,11,false)</f>
        <v>Tire</v>
      </c>
    </row>
    <row r="6729" ht="22.5" customHeight="1">
      <c r="A6729" s="49"/>
      <c r="C6729" s="400">
        <v>46047.0</v>
      </c>
      <c r="D6729" s="524">
        <v>117.0</v>
      </c>
      <c r="E6729" s="544" t="s">
        <v>288</v>
      </c>
      <c r="F6729" s="387">
        <v>2.0</v>
      </c>
      <c r="G6729" s="140">
        <v>620000.0</v>
      </c>
      <c r="H6729" s="74"/>
      <c r="I6729" s="74">
        <f t="shared" si="1"/>
        <v>1240000</v>
      </c>
      <c r="J6729" s="74">
        <f>IF(E6729="SERVICE",I6729-(I6729*50%),Vlookup(E6729,DATABASE!C:Q,10,false)*F6729)</f>
        <v>0</v>
      </c>
      <c r="K6729" s="74">
        <f>VLOOKUP(E6729,DATABASE!C:Q,7,false)</f>
        <v>565760</v>
      </c>
      <c r="L6729" s="74">
        <v>524800.0</v>
      </c>
      <c r="M6729" s="74">
        <f t="shared" si="2"/>
        <v>525000</v>
      </c>
      <c r="N6729" s="74">
        <f t="shared" si="3"/>
        <v>190000</v>
      </c>
      <c r="O6729" s="65" t="str">
        <f>VLOOKUP(E6729,DATABASE!C:Q,8,false)</f>
        <v>BIAN</v>
      </c>
      <c r="P6729" s="65">
        <f>VLOOKUP(E6729,DATABASE!C:Q,9,False)</f>
        <v>1</v>
      </c>
      <c r="Q6729" s="93" t="str">
        <f>VLOOKUP(E6729,DATABASE!C:Q,4,false)</f>
        <v>GT</v>
      </c>
      <c r="R6729" s="93" t="str">
        <f>VLOOKUP(E6729,DATABASE!C:Q,11,false)</f>
        <v>Tire</v>
      </c>
    </row>
    <row r="6730" ht="22.5" customHeight="1">
      <c r="A6730" s="49"/>
      <c r="C6730" s="400">
        <v>46047.0</v>
      </c>
      <c r="D6730" s="524">
        <v>118.0</v>
      </c>
      <c r="E6730" s="544" t="s">
        <v>301</v>
      </c>
      <c r="F6730" s="387">
        <v>1.0</v>
      </c>
      <c r="G6730" s="140">
        <v>250000.0</v>
      </c>
      <c r="H6730" s="74"/>
      <c r="I6730" s="74">
        <f t="shared" si="1"/>
        <v>250000</v>
      </c>
      <c r="J6730" s="74">
        <f>IF(E6730="SERVICE",I6730-(I6730*50%),Vlookup(E6730,DATABASE!C:Q,10,false)*F6730)</f>
        <v>75000</v>
      </c>
      <c r="K6730" s="74">
        <f>VLOOKUP(E6730,DATABASE!C:Q,7,false)</f>
        <v>75000</v>
      </c>
      <c r="L6730" s="74">
        <v>75000.0</v>
      </c>
      <c r="M6730" s="74">
        <f t="shared" si="2"/>
        <v>75000</v>
      </c>
      <c r="N6730" s="74">
        <f t="shared" si="3"/>
        <v>100000</v>
      </c>
      <c r="O6730" s="65" t="str">
        <f>VLOOKUP(E6730,DATABASE!C:Q,8,false)</f>
        <v>BIAN</v>
      </c>
      <c r="P6730" s="65">
        <f>VLOOKUP(E6730,DATABASE!C:Q,9,False)</f>
        <v>0</v>
      </c>
      <c r="Q6730" s="93" t="str">
        <f>VLOOKUP(E6730,DATABASE!C:Q,4,false)</f>
        <v>Baut Camber</v>
      </c>
      <c r="R6730" s="93" t="str">
        <f>VLOOKUP(E6730,DATABASE!C:Q,11,false)</f>
        <v>COMPLEMENTARY</v>
      </c>
    </row>
    <row r="6731" ht="22.5" customHeight="1">
      <c r="A6731" s="49"/>
      <c r="C6731" s="400">
        <v>46047.0</v>
      </c>
      <c r="D6731" s="524">
        <v>119.0</v>
      </c>
      <c r="E6731" s="544" t="s">
        <v>937</v>
      </c>
      <c r="F6731" s="387">
        <v>2.0</v>
      </c>
      <c r="G6731" s="140">
        <v>900000.0</v>
      </c>
      <c r="H6731" s="140">
        <v>20000.0</v>
      </c>
      <c r="I6731" s="74">
        <f t="shared" si="1"/>
        <v>1760000</v>
      </c>
      <c r="J6731" s="74">
        <f>IF(E6731="SERVICE",I6731-(I6731*50%),Vlookup(E6731,DATABASE!C:Q,10,false)*F6731)</f>
        <v>0</v>
      </c>
      <c r="K6731" s="74">
        <f>VLOOKUP(E6731,DATABASE!C:Q,7,false)</f>
        <v>825000</v>
      </c>
      <c r="L6731" s="74">
        <v>790000.0</v>
      </c>
      <c r="M6731" s="74">
        <f t="shared" si="2"/>
        <v>790000</v>
      </c>
      <c r="N6731" s="74">
        <f t="shared" si="3"/>
        <v>180000</v>
      </c>
      <c r="O6731" s="65" t="str">
        <f>VLOOKUP(E6731,DATABASE!C:Q,8,false)</f>
        <v>IBU</v>
      </c>
      <c r="P6731" s="65">
        <f>VLOOKUP(E6731,DATABASE!C:Q,9,False)</f>
        <v>1</v>
      </c>
      <c r="Q6731" s="93" t="str">
        <f>VLOOKUP(E6731,DATABASE!C:Q,4,false)</f>
        <v>Bridgestone</v>
      </c>
      <c r="R6731" s="93" t="str">
        <f>VLOOKUP(E6731,DATABASE!C:Q,11,false)</f>
        <v>Tire</v>
      </c>
    </row>
    <row r="6732" ht="22.5" customHeight="1">
      <c r="A6732" s="49"/>
      <c r="C6732" s="400">
        <v>46047.0</v>
      </c>
      <c r="D6732" s="69" t="s">
        <v>2695</v>
      </c>
      <c r="E6732" s="544" t="s">
        <v>263</v>
      </c>
      <c r="F6732" s="387">
        <v>1.0</v>
      </c>
      <c r="G6732" s="140">
        <v>320000.0</v>
      </c>
      <c r="H6732" s="74"/>
      <c r="I6732" s="74">
        <f t="shared" si="1"/>
        <v>320000</v>
      </c>
      <c r="J6732" s="74">
        <f>IF(E6732="SERVICE",I6732-(I6732*50%),Vlookup(E6732,DATABASE!C:Q,10,false)*F6732)</f>
        <v>0</v>
      </c>
      <c r="K6732" s="74">
        <f>VLOOKUP(E6732,DATABASE!C:Q,7,false)</f>
        <v>334916</v>
      </c>
      <c r="L6732" s="74">
        <v>745000.0</v>
      </c>
      <c r="M6732" s="74">
        <f t="shared" si="2"/>
        <v>745000</v>
      </c>
      <c r="N6732" s="74">
        <f t="shared" si="3"/>
        <v>-425000</v>
      </c>
      <c r="O6732" s="65" t="str">
        <f>VLOOKUP(E6732,DATABASE!C:Q,8,false)</f>
        <v>NON</v>
      </c>
      <c r="P6732" s="65">
        <f>VLOOKUP(E6732,DATABASE!C:Q,9,False)</f>
        <v>0</v>
      </c>
      <c r="Q6732" s="93" t="str">
        <f>VLOOKUP(E6732,DATABASE!C:Q,4,false)</f>
        <v>Shell</v>
      </c>
      <c r="R6732" s="93" t="str">
        <f>VLOOKUP(E6732,DATABASE!C:Q,11,false)</f>
        <v>OIL</v>
      </c>
    </row>
    <row r="6733" ht="22.5" customHeight="1">
      <c r="A6733" s="49"/>
      <c r="C6733" s="400">
        <v>46048.0</v>
      </c>
      <c r="D6733" s="524">
        <v>120.0</v>
      </c>
      <c r="E6733" s="544" t="s">
        <v>605</v>
      </c>
      <c r="F6733" s="387">
        <v>2.0</v>
      </c>
      <c r="G6733" s="140">
        <v>760000.0</v>
      </c>
      <c r="H6733" s="140">
        <v>25000.0</v>
      </c>
      <c r="I6733" s="74">
        <f t="shared" si="1"/>
        <v>1470000</v>
      </c>
      <c r="J6733" s="74">
        <f>IF(E6733="SERVICE",I6733-(I6733*50%),Vlookup(E6733,DATABASE!C:Q,10,false)*F6733)</f>
        <v>0</v>
      </c>
      <c r="K6733" s="74">
        <f>VLOOKUP(E6733,DATABASE!C:Q,7,false)</f>
        <v>675000</v>
      </c>
      <c r="L6733" s="74">
        <v>650000.0</v>
      </c>
      <c r="M6733" s="74">
        <f t="shared" si="2"/>
        <v>650000</v>
      </c>
      <c r="N6733" s="74">
        <f t="shared" si="3"/>
        <v>170000</v>
      </c>
      <c r="O6733" s="65" t="str">
        <f>VLOOKUP(E6733,DATABASE!C:Q,8,false)</f>
        <v>IBU</v>
      </c>
      <c r="P6733" s="65">
        <f>VLOOKUP(E6733,DATABASE!C:Q,9,False)</f>
        <v>1</v>
      </c>
      <c r="Q6733" s="93" t="str">
        <f>VLOOKUP(E6733,DATABASE!C:Q,4,false)</f>
        <v>Bridgestone</v>
      </c>
      <c r="R6733" s="93" t="str">
        <f>VLOOKUP(E6733,DATABASE!C:Q,11,false)</f>
        <v>Tire</v>
      </c>
    </row>
    <row r="6734" ht="22.5" customHeight="1">
      <c r="A6734" s="49"/>
      <c r="C6734" s="400">
        <v>46048.0</v>
      </c>
      <c r="D6734" s="524">
        <v>121.0</v>
      </c>
      <c r="E6734" s="544" t="s">
        <v>256</v>
      </c>
      <c r="F6734" s="387">
        <v>1.0</v>
      </c>
      <c r="G6734" s="140">
        <v>150000.0</v>
      </c>
      <c r="H6734" s="140">
        <v>20000.0</v>
      </c>
      <c r="I6734" s="74">
        <f t="shared" si="1"/>
        <v>130000</v>
      </c>
      <c r="J6734" s="74">
        <f>IF(E6734="SERVICE",I6734-(I6734*50%),Vlookup(E6734,DATABASE!C:Q,10,false)*F6734)</f>
        <v>10000</v>
      </c>
      <c r="K6734" s="74">
        <f>VLOOKUP(E6734,DATABASE!C:Q,7,false)</f>
        <v>0</v>
      </c>
      <c r="L6734" s="74">
        <v>0.0</v>
      </c>
      <c r="M6734" s="74">
        <f t="shared" si="2"/>
        <v>0</v>
      </c>
      <c r="N6734" s="74">
        <f t="shared" si="3"/>
        <v>120000</v>
      </c>
      <c r="O6734" s="65" t="str">
        <f>VLOOKUP(E6734,DATABASE!C:Q,8,false)</f>
        <v>IBU</v>
      </c>
      <c r="P6734" s="65">
        <f>VLOOKUP(E6734,DATABASE!C:Q,9,False)</f>
        <v>0</v>
      </c>
      <c r="Q6734" s="93" t="str">
        <f>VLOOKUP(E6734,DATABASE!C:Q,4,false)</f>
        <v>SPOORING</v>
      </c>
      <c r="R6734" s="93" t="str">
        <f>VLOOKUP(E6734,DATABASE!C:Q,11,false)</f>
        <v>SERVICE</v>
      </c>
    </row>
    <row r="6735" ht="22.5" customHeight="1">
      <c r="A6735" s="49"/>
      <c r="C6735" s="400">
        <v>46048.0</v>
      </c>
      <c r="D6735" s="524">
        <v>122.0</v>
      </c>
      <c r="E6735" s="544" t="s">
        <v>301</v>
      </c>
      <c r="F6735" s="387">
        <v>1.0</v>
      </c>
      <c r="G6735" s="140">
        <v>250000.0</v>
      </c>
      <c r="H6735" s="74"/>
      <c r="I6735" s="74">
        <f t="shared" si="1"/>
        <v>250000</v>
      </c>
      <c r="J6735" s="74">
        <f>IF(E6735="SERVICE",I6735-(I6735*50%),Vlookup(E6735,DATABASE!C:Q,10,false)*F6735)</f>
        <v>75000</v>
      </c>
      <c r="K6735" s="74">
        <f>VLOOKUP(E6735,DATABASE!C:Q,7,false)</f>
        <v>75000</v>
      </c>
      <c r="L6735" s="74">
        <v>75000.0</v>
      </c>
      <c r="M6735" s="74">
        <f t="shared" si="2"/>
        <v>75000</v>
      </c>
      <c r="N6735" s="74">
        <f t="shared" si="3"/>
        <v>100000</v>
      </c>
      <c r="O6735" s="65" t="str">
        <f>VLOOKUP(E6735,DATABASE!C:Q,8,false)</f>
        <v>BIAN</v>
      </c>
      <c r="P6735" s="65">
        <f>VLOOKUP(E6735,DATABASE!C:Q,9,False)</f>
        <v>0</v>
      </c>
      <c r="Q6735" s="93" t="str">
        <f>VLOOKUP(E6735,DATABASE!C:Q,4,false)</f>
        <v>Baut Camber</v>
      </c>
      <c r="R6735" s="93" t="str">
        <f>VLOOKUP(E6735,DATABASE!C:Q,11,false)</f>
        <v>COMPLEMENTARY</v>
      </c>
    </row>
    <row r="6736" ht="22.5" customHeight="1">
      <c r="A6736" s="49"/>
      <c r="C6736" s="400">
        <v>46048.0</v>
      </c>
      <c r="D6736" s="524">
        <v>123.0</v>
      </c>
      <c r="E6736" s="544" t="s">
        <v>299</v>
      </c>
      <c r="F6736" s="387">
        <v>2.0</v>
      </c>
      <c r="G6736" s="140">
        <v>30000.0</v>
      </c>
      <c r="H6736" s="74"/>
      <c r="I6736" s="74">
        <f t="shared" si="1"/>
        <v>60000</v>
      </c>
      <c r="J6736" s="74">
        <f>IF(E6736="SERVICE",I6736-(I6736*50%),Vlookup(E6736,DATABASE!C:Q,10,false)*F6736)</f>
        <v>0</v>
      </c>
      <c r="K6736" s="74">
        <f>VLOOKUP(E6736,DATABASE!C:Q,7,false)</f>
        <v>10000</v>
      </c>
      <c r="L6736" s="74">
        <v>5000.0</v>
      </c>
      <c r="M6736" s="74">
        <f t="shared" si="2"/>
        <v>5000</v>
      </c>
      <c r="N6736" s="74">
        <f t="shared" si="3"/>
        <v>50000</v>
      </c>
      <c r="O6736" s="65" t="str">
        <f>VLOOKUP(E6736,DATABASE!C:Q,8,false)</f>
        <v>BIAN</v>
      </c>
      <c r="P6736" s="65">
        <f>VLOOKUP(E6736,DATABASE!C:Q,9,False)</f>
        <v>0</v>
      </c>
      <c r="Q6736" s="93" t="str">
        <f>VLOOKUP(E6736,DATABASE!C:Q,4,false)</f>
        <v>Balancing</v>
      </c>
      <c r="R6736" s="93" t="str">
        <f>VLOOKUP(E6736,DATABASE!C:Q,11,false)</f>
        <v>COMPLEMENTARY</v>
      </c>
    </row>
    <row r="6737" ht="22.5" customHeight="1">
      <c r="A6737" s="49"/>
      <c r="C6737" s="400">
        <v>46048.0</v>
      </c>
      <c r="D6737" s="524">
        <v>124.0</v>
      </c>
      <c r="E6737" s="544" t="s">
        <v>744</v>
      </c>
      <c r="F6737" s="387">
        <v>1.0</v>
      </c>
      <c r="G6737" s="140">
        <v>230000.0</v>
      </c>
      <c r="H6737" s="74"/>
      <c r="I6737" s="74">
        <f t="shared" si="1"/>
        <v>230000</v>
      </c>
      <c r="J6737" s="74">
        <f>IF(E6737="SERVICE",I6737-(I6737*50%),Vlookup(E6737,DATABASE!C:Q,10,false)*F6737)</f>
        <v>0</v>
      </c>
      <c r="K6737" s="74">
        <f>VLOOKUP(E6737,DATABASE!C:Q,7,false)</f>
        <v>182200</v>
      </c>
      <c r="L6737" s="74">
        <v>199920.0</v>
      </c>
      <c r="M6737" s="74">
        <f t="shared" si="2"/>
        <v>200000</v>
      </c>
      <c r="N6737" s="74">
        <f t="shared" si="3"/>
        <v>30000</v>
      </c>
      <c r="O6737" s="65" t="str">
        <f>VLOOKUP(E6737,DATABASE!C:Q,8,false)</f>
        <v>BIAN</v>
      </c>
      <c r="P6737" s="65">
        <f>VLOOKUP(E6737,DATABASE!C:Q,9,False)</f>
        <v>1</v>
      </c>
      <c r="Q6737" s="93" t="str">
        <f>VLOOKUP(E6737,DATABASE!C:Q,4,false)</f>
        <v>BD</v>
      </c>
      <c r="R6737" s="93" t="str">
        <f>VLOOKUP(E6737,DATABASE!C:Q,11,false)</f>
        <v>Tire</v>
      </c>
    </row>
    <row r="6738" ht="22.5" customHeight="1">
      <c r="A6738" s="49"/>
      <c r="C6738" s="400">
        <v>46048.0</v>
      </c>
      <c r="D6738" s="524">
        <v>124.0</v>
      </c>
      <c r="E6738" s="544" t="s">
        <v>821</v>
      </c>
      <c r="F6738" s="387">
        <v>1.0</v>
      </c>
      <c r="G6738" s="140">
        <v>85000.0</v>
      </c>
      <c r="H6738" s="74"/>
      <c r="I6738" s="74">
        <f t="shared" si="1"/>
        <v>85000</v>
      </c>
      <c r="J6738" s="74">
        <f>IF(E6738="SERVICE",I6738-(I6738*50%),Vlookup(E6738,DATABASE!C:Q,10,false)*F6738)</f>
        <v>0</v>
      </c>
      <c r="K6738" s="74">
        <f>VLOOKUP(E6738,DATABASE!C:Q,7,false)</f>
        <v>43500</v>
      </c>
      <c r="L6738" s="74">
        <v>43520.0</v>
      </c>
      <c r="M6738" s="74">
        <f t="shared" si="2"/>
        <v>45000</v>
      </c>
      <c r="N6738" s="74">
        <f t="shared" si="3"/>
        <v>40000</v>
      </c>
      <c r="O6738" s="65" t="str">
        <f>VLOOKUP(E6738,DATABASE!C:Q,8,false)</f>
        <v>BIAN</v>
      </c>
      <c r="P6738" s="65">
        <f>VLOOKUP(E6738,DATABASE!C:Q,9,False)</f>
        <v>1</v>
      </c>
      <c r="Q6738" s="93" t="str">
        <f>VLOOKUP(E6738,DATABASE!C:Q,4,false)</f>
        <v>Flap</v>
      </c>
      <c r="R6738" s="93" t="str">
        <f>VLOOKUP(E6738,DATABASE!C:Q,11,false)</f>
        <v>Tire</v>
      </c>
    </row>
    <row r="6739" ht="22.5" customHeight="1">
      <c r="A6739" s="49"/>
      <c r="C6739" s="400">
        <v>46048.0</v>
      </c>
      <c r="D6739" s="524">
        <v>125.0</v>
      </c>
      <c r="E6739" s="544" t="s">
        <v>295</v>
      </c>
      <c r="F6739" s="387">
        <v>2.0</v>
      </c>
      <c r="G6739" s="140">
        <v>1525000.0</v>
      </c>
      <c r="H6739" s="74"/>
      <c r="I6739" s="74">
        <f t="shared" si="1"/>
        <v>3050000</v>
      </c>
      <c r="J6739" s="74">
        <f>IF(E6739="SERVICE",I6739-(I6739*50%),Vlookup(E6739,DATABASE!C:Q,10,false)*F6739)</f>
        <v>0</v>
      </c>
      <c r="K6739" s="74">
        <f>VLOOKUP(E6739,DATABASE!C:Q,7,false)</f>
        <v>1475000</v>
      </c>
      <c r="L6739" s="74">
        <v>1425000.0</v>
      </c>
      <c r="M6739" s="74">
        <f t="shared" si="2"/>
        <v>1425000</v>
      </c>
      <c r="N6739" s="74">
        <f t="shared" si="3"/>
        <v>200000</v>
      </c>
      <c r="O6739" s="65" t="str">
        <f>VLOOKUP(E6739,DATABASE!C:Q,8,false)</f>
        <v>BIAN</v>
      </c>
      <c r="P6739" s="65">
        <f>VLOOKUP(E6739,DATABASE!C:Q,9,False)</f>
        <v>1</v>
      </c>
      <c r="Q6739" s="93" t="str">
        <f>VLOOKUP(E6739,DATABASE!C:Q,4,false)</f>
        <v>TIRON</v>
      </c>
      <c r="R6739" s="93" t="str">
        <f>VLOOKUP(E6739,DATABASE!C:Q,11,false)</f>
        <v>Tire</v>
      </c>
    </row>
    <row r="6740" ht="22.5" customHeight="1">
      <c r="A6740" s="49"/>
      <c r="C6740" s="400">
        <v>46048.0</v>
      </c>
      <c r="D6740" s="524">
        <v>125.0</v>
      </c>
      <c r="E6740" s="544" t="s">
        <v>391</v>
      </c>
      <c r="F6740" s="387">
        <v>1.0</v>
      </c>
      <c r="G6740" s="140">
        <v>1950000.0</v>
      </c>
      <c r="H6740" s="74"/>
      <c r="I6740" s="74">
        <f t="shared" si="1"/>
        <v>1950000</v>
      </c>
      <c r="J6740" s="74">
        <f>IF(E6740="SERVICE",I6740-(I6740*50%),Vlookup(E6740,DATABASE!C:Q,10,false)*F6740)</f>
        <v>0</v>
      </c>
      <c r="K6740" s="74">
        <f>VLOOKUP(E6740,DATABASE!C:Q,7,false)</f>
        <v>1885000</v>
      </c>
      <c r="L6740" s="74">
        <v>1840000.0</v>
      </c>
      <c r="M6740" s="74">
        <f t="shared" si="2"/>
        <v>1840000</v>
      </c>
      <c r="N6740" s="74">
        <f t="shared" si="3"/>
        <v>110000</v>
      </c>
      <c r="O6740" s="65" t="str">
        <f>VLOOKUP(E6740,DATABASE!C:Q,8,false)</f>
        <v>BIAN</v>
      </c>
      <c r="P6740" s="65">
        <f>VLOOKUP(E6740,DATABASE!C:Q,9,False)</f>
        <v>1</v>
      </c>
      <c r="Q6740" s="93" t="str">
        <f>VLOOKUP(E6740,DATABASE!C:Q,4,false)</f>
        <v>Advance</v>
      </c>
      <c r="R6740" s="93" t="str">
        <f>VLOOKUP(E6740,DATABASE!C:Q,11,false)</f>
        <v>Tire</v>
      </c>
    </row>
    <row r="6741" ht="22.5" customHeight="1">
      <c r="A6741" s="49"/>
      <c r="C6741" s="400">
        <v>46048.0</v>
      </c>
      <c r="D6741" s="524">
        <v>126.0</v>
      </c>
      <c r="E6741" s="544" t="s">
        <v>268</v>
      </c>
      <c r="F6741" s="387">
        <v>2.0</v>
      </c>
      <c r="G6741" s="140">
        <v>710000.0</v>
      </c>
      <c r="H6741" s="74"/>
      <c r="I6741" s="74">
        <f t="shared" si="1"/>
        <v>1420000</v>
      </c>
      <c r="J6741" s="74">
        <f>IF(E6741="SERVICE",I6741-(I6741*50%),Vlookup(E6741,DATABASE!C:Q,10,false)*F6741)</f>
        <v>0</v>
      </c>
      <c r="K6741" s="74">
        <f>VLOOKUP(E6741,DATABASE!C:Q,7,false)</f>
        <v>653000</v>
      </c>
      <c r="L6741" s="74">
        <v>622000.0</v>
      </c>
      <c r="M6741" s="74">
        <f t="shared" si="2"/>
        <v>625000</v>
      </c>
      <c r="N6741" s="74">
        <f t="shared" si="3"/>
        <v>170000</v>
      </c>
      <c r="O6741" s="65" t="str">
        <f>VLOOKUP(E6741,DATABASE!C:Q,8,false)</f>
        <v>IBU</v>
      </c>
      <c r="P6741" s="65">
        <f>VLOOKUP(E6741,DATABASE!C:Q,9,False)</f>
        <v>1</v>
      </c>
      <c r="Q6741" s="93" t="str">
        <f>VLOOKUP(E6741,DATABASE!C:Q,4,false)</f>
        <v>Dunlop</v>
      </c>
      <c r="R6741" s="93" t="str">
        <f>VLOOKUP(E6741,DATABASE!C:Q,11,false)</f>
        <v>Tire</v>
      </c>
    </row>
    <row r="6742" ht="22.5" customHeight="1">
      <c r="A6742" s="49"/>
      <c r="C6742" s="400">
        <v>46048.0</v>
      </c>
      <c r="D6742" s="524">
        <v>127.0</v>
      </c>
      <c r="E6742" s="544" t="s">
        <v>622</v>
      </c>
      <c r="F6742" s="387">
        <v>1.0</v>
      </c>
      <c r="G6742" s="140">
        <v>915000.0</v>
      </c>
      <c r="H6742" s="140">
        <v>15000.0</v>
      </c>
      <c r="I6742" s="74">
        <f t="shared" si="1"/>
        <v>900000</v>
      </c>
      <c r="J6742" s="74">
        <f>IF(E6742="SERVICE",I6742-(I6742*50%),Vlookup(E6742,DATABASE!C:Q,10,false)*F6742)</f>
        <v>0</v>
      </c>
      <c r="K6742" s="74">
        <f>VLOOKUP(E6742,DATABASE!C:Q,7,false)</f>
        <v>851110.375</v>
      </c>
      <c r="L6742" s="74">
        <v>805872.0</v>
      </c>
      <c r="M6742" s="74">
        <f t="shared" si="2"/>
        <v>810000</v>
      </c>
      <c r="N6742" s="74">
        <f t="shared" si="3"/>
        <v>90000</v>
      </c>
      <c r="O6742" s="65" t="str">
        <f>VLOOKUP(E6742,DATABASE!C:Q,8,false)</f>
        <v>IBU</v>
      </c>
      <c r="P6742" s="65">
        <f>VLOOKUP(E6742,DATABASE!C:Q,9,False)</f>
        <v>1</v>
      </c>
      <c r="Q6742" s="93" t="str">
        <f>VLOOKUP(E6742,DATABASE!C:Q,4,false)</f>
        <v>Bridgestone</v>
      </c>
      <c r="R6742" s="93" t="str">
        <f>VLOOKUP(E6742,DATABASE!C:Q,11,false)</f>
        <v>Tire</v>
      </c>
    </row>
    <row r="6743" ht="22.5" customHeight="1">
      <c r="A6743" s="49"/>
      <c r="C6743" s="400">
        <v>46048.0</v>
      </c>
      <c r="D6743" s="524">
        <v>128.0</v>
      </c>
      <c r="E6743" s="544" t="s">
        <v>286</v>
      </c>
      <c r="F6743" s="387">
        <v>12.0</v>
      </c>
      <c r="G6743" s="140">
        <v>560000.0</v>
      </c>
      <c r="H6743" s="140">
        <v>10000.0</v>
      </c>
      <c r="I6743" s="74">
        <f t="shared" si="1"/>
        <v>6600000</v>
      </c>
      <c r="J6743" s="74">
        <f>IF(E6743="SERVICE",I6743-(I6743*50%),Vlookup(E6743,DATABASE!C:Q,10,false)*F6743)</f>
        <v>0</v>
      </c>
      <c r="K6743" s="74">
        <f>VLOOKUP(E6743,DATABASE!C:Q,7,false)</f>
        <v>488320</v>
      </c>
      <c r="L6743" s="74">
        <v>452970.0</v>
      </c>
      <c r="M6743" s="74">
        <f t="shared" si="2"/>
        <v>455000</v>
      </c>
      <c r="N6743" s="74">
        <f t="shared" si="3"/>
        <v>1140000</v>
      </c>
      <c r="O6743" s="65" t="str">
        <f>VLOOKUP(E6743,DATABASE!C:Q,8,false)</f>
        <v>BIAN</v>
      </c>
      <c r="P6743" s="65">
        <f>VLOOKUP(E6743,DATABASE!C:Q,9,False)</f>
        <v>1</v>
      </c>
      <c r="Q6743" s="93" t="str">
        <f>VLOOKUP(E6743,DATABASE!C:Q,4,false)</f>
        <v>GT</v>
      </c>
      <c r="R6743" s="93" t="str">
        <f>VLOOKUP(E6743,DATABASE!C:Q,11,false)</f>
        <v>Tire</v>
      </c>
    </row>
    <row r="6744" ht="22.5" customHeight="1">
      <c r="A6744" s="49"/>
      <c r="C6744" s="400">
        <v>46048.0</v>
      </c>
      <c r="D6744" s="524">
        <v>130.0</v>
      </c>
      <c r="E6744" s="544" t="s">
        <v>647</v>
      </c>
      <c r="F6744" s="387">
        <v>2.0</v>
      </c>
      <c r="G6744" s="140">
        <v>1520000.0</v>
      </c>
      <c r="H6744" s="74"/>
      <c r="I6744" s="74">
        <f t="shared" si="1"/>
        <v>3040000</v>
      </c>
      <c r="J6744" s="74">
        <f>IF(E6744="SERVICE",I6744-(I6744*50%),Vlookup(E6744,DATABASE!C:Q,10,false)*F6744)</f>
        <v>0</v>
      </c>
      <c r="K6744" s="74">
        <f>VLOOKUP(E6744,DATABASE!C:Q,7,false)</f>
        <v>1420000</v>
      </c>
      <c r="L6744" s="74">
        <v>1420000.0</v>
      </c>
      <c r="M6744" s="74">
        <f t="shared" si="2"/>
        <v>1420000</v>
      </c>
      <c r="N6744" s="74">
        <f t="shared" si="3"/>
        <v>200000</v>
      </c>
      <c r="O6744" s="65" t="str">
        <f>VLOOKUP(E6744,DATABASE!C:Q,8,false)</f>
        <v>BIAN</v>
      </c>
      <c r="P6744" s="65">
        <f>VLOOKUP(E6744,DATABASE!C:Q,9,False)</f>
        <v>1</v>
      </c>
      <c r="Q6744" s="93" t="str">
        <f>VLOOKUP(E6744,DATABASE!C:Q,4,false)</f>
        <v>G. YEAR</v>
      </c>
      <c r="R6744" s="93" t="str">
        <f>VLOOKUP(E6744,DATABASE!C:Q,11,false)</f>
        <v>Tire</v>
      </c>
    </row>
    <row r="6745" ht="22.5" customHeight="1">
      <c r="A6745" s="49"/>
      <c r="C6745" s="400">
        <v>46048.0</v>
      </c>
      <c r="D6745" s="524">
        <v>130.0</v>
      </c>
      <c r="E6745" s="544" t="s">
        <v>770</v>
      </c>
      <c r="F6745" s="387">
        <v>1.0</v>
      </c>
      <c r="G6745" s="140">
        <v>200000.0</v>
      </c>
      <c r="H6745" s="140">
        <v>20000.0</v>
      </c>
      <c r="I6745" s="74">
        <f t="shared" si="1"/>
        <v>180000</v>
      </c>
      <c r="J6745" s="74">
        <f>IF(E6745="SERVICE",I6745-(I6745*50%),Vlookup(E6745,DATABASE!C:Q,10,false)*F6745)</f>
        <v>0</v>
      </c>
      <c r="K6745" s="74">
        <f>VLOOKUP(E6745,DATABASE!C:Q,7,false)</f>
        <v>145180</v>
      </c>
      <c r="L6745" s="74">
        <v>145180.0</v>
      </c>
      <c r="M6745" s="74">
        <f t="shared" si="2"/>
        <v>150000</v>
      </c>
      <c r="N6745" s="74">
        <f t="shared" si="3"/>
        <v>30000</v>
      </c>
      <c r="O6745" s="65" t="str">
        <f>VLOOKUP(E6745,DATABASE!C:Q,8,false)</f>
        <v>BIAN</v>
      </c>
      <c r="P6745" s="65">
        <f>VLOOKUP(E6745,DATABASE!C:Q,9,False)</f>
        <v>1</v>
      </c>
      <c r="Q6745" s="93" t="str">
        <f>VLOOKUP(E6745,DATABASE!C:Q,4,false)</f>
        <v>BD</v>
      </c>
      <c r="R6745" s="93" t="str">
        <f>VLOOKUP(E6745,DATABASE!C:Q,11,false)</f>
        <v>Tire</v>
      </c>
    </row>
    <row r="6746" ht="22.5" customHeight="1">
      <c r="A6746" s="49"/>
      <c r="C6746" s="400">
        <v>46048.0</v>
      </c>
      <c r="D6746" s="524">
        <v>130.0</v>
      </c>
      <c r="E6746" s="544" t="s">
        <v>821</v>
      </c>
      <c r="F6746" s="387">
        <v>1.0</v>
      </c>
      <c r="G6746" s="140">
        <v>85000.0</v>
      </c>
      <c r="H6746" s="74"/>
      <c r="I6746" s="74">
        <f t="shared" si="1"/>
        <v>85000</v>
      </c>
      <c r="J6746" s="74">
        <f>IF(E6746="SERVICE",I6746-(I6746*50%),Vlookup(E6746,DATABASE!C:Q,10,false)*F6746)</f>
        <v>0</v>
      </c>
      <c r="K6746" s="74">
        <f>VLOOKUP(E6746,DATABASE!C:Q,7,false)</f>
        <v>43500</v>
      </c>
      <c r="L6746" s="74">
        <v>43520.0</v>
      </c>
      <c r="M6746" s="74">
        <f t="shared" si="2"/>
        <v>45000</v>
      </c>
      <c r="N6746" s="74">
        <f t="shared" si="3"/>
        <v>40000</v>
      </c>
      <c r="O6746" s="65" t="str">
        <f>VLOOKUP(E6746,DATABASE!C:Q,8,false)</f>
        <v>BIAN</v>
      </c>
      <c r="P6746" s="65">
        <f>VLOOKUP(E6746,DATABASE!C:Q,9,False)</f>
        <v>1</v>
      </c>
      <c r="Q6746" s="93" t="str">
        <f>VLOOKUP(E6746,DATABASE!C:Q,4,false)</f>
        <v>Flap</v>
      </c>
      <c r="R6746" s="93" t="str">
        <f>VLOOKUP(E6746,DATABASE!C:Q,11,false)</f>
        <v>Tire</v>
      </c>
    </row>
    <row r="6747" ht="22.5" customHeight="1">
      <c r="A6747" s="49"/>
      <c r="C6747" s="400">
        <v>46048.0</v>
      </c>
      <c r="D6747" s="524">
        <v>131.0</v>
      </c>
      <c r="E6747" s="544" t="s">
        <v>268</v>
      </c>
      <c r="F6747" s="387">
        <v>2.0</v>
      </c>
      <c r="G6747" s="140">
        <v>710000.0</v>
      </c>
      <c r="H6747" s="74"/>
      <c r="I6747" s="74">
        <f t="shared" si="1"/>
        <v>1420000</v>
      </c>
      <c r="J6747" s="74">
        <f>IF(E6747="SERVICE",I6747-(I6747*50%),Vlookup(E6747,DATABASE!C:Q,10,false)*F6747)</f>
        <v>0</v>
      </c>
      <c r="K6747" s="74">
        <f>VLOOKUP(E6747,DATABASE!C:Q,7,false)</f>
        <v>653000</v>
      </c>
      <c r="L6747" s="74">
        <v>622000.0</v>
      </c>
      <c r="M6747" s="74">
        <f t="shared" si="2"/>
        <v>625000</v>
      </c>
      <c r="N6747" s="74">
        <f t="shared" si="3"/>
        <v>170000</v>
      </c>
      <c r="O6747" s="65" t="str">
        <f>VLOOKUP(E6747,DATABASE!C:Q,8,false)</f>
        <v>IBU</v>
      </c>
      <c r="P6747" s="65">
        <f>VLOOKUP(E6747,DATABASE!C:Q,9,False)</f>
        <v>1</v>
      </c>
      <c r="Q6747" s="93" t="str">
        <f>VLOOKUP(E6747,DATABASE!C:Q,4,false)</f>
        <v>Dunlop</v>
      </c>
      <c r="R6747" s="93" t="str">
        <f>VLOOKUP(E6747,DATABASE!C:Q,11,false)</f>
        <v>Tire</v>
      </c>
    </row>
    <row r="6748" ht="22.5" customHeight="1">
      <c r="A6748" s="49"/>
      <c r="C6748" s="400">
        <v>46048.0</v>
      </c>
      <c r="D6748" s="524">
        <v>132.0</v>
      </c>
      <c r="E6748" s="544" t="s">
        <v>937</v>
      </c>
      <c r="F6748" s="387">
        <v>2.0</v>
      </c>
      <c r="G6748" s="140">
        <v>900000.0</v>
      </c>
      <c r="H6748" s="140">
        <v>20000.0</v>
      </c>
      <c r="I6748" s="74">
        <f t="shared" si="1"/>
        <v>1760000</v>
      </c>
      <c r="J6748" s="74">
        <f>IF(E6748="SERVICE",I6748-(I6748*50%),Vlookup(E6748,DATABASE!C:Q,10,false)*F6748)</f>
        <v>0</v>
      </c>
      <c r="K6748" s="74">
        <f>VLOOKUP(E6748,DATABASE!C:Q,7,false)</f>
        <v>825000</v>
      </c>
      <c r="L6748" s="74">
        <v>790000.0</v>
      </c>
      <c r="M6748" s="74">
        <f t="shared" si="2"/>
        <v>790000</v>
      </c>
      <c r="N6748" s="74">
        <f t="shared" si="3"/>
        <v>180000</v>
      </c>
      <c r="O6748" s="65" t="str">
        <f>VLOOKUP(E6748,DATABASE!C:Q,8,false)</f>
        <v>IBU</v>
      </c>
      <c r="P6748" s="65">
        <f>VLOOKUP(E6748,DATABASE!C:Q,9,False)</f>
        <v>1</v>
      </c>
      <c r="Q6748" s="93" t="str">
        <f>VLOOKUP(E6748,DATABASE!C:Q,4,false)</f>
        <v>Bridgestone</v>
      </c>
      <c r="R6748" s="93" t="str">
        <f>VLOOKUP(E6748,DATABASE!C:Q,11,false)</f>
        <v>Tire</v>
      </c>
    </row>
    <row r="6749" ht="22.5" customHeight="1">
      <c r="A6749" s="49"/>
      <c r="C6749" s="400">
        <v>46048.0</v>
      </c>
      <c r="D6749" s="524">
        <v>132.0</v>
      </c>
      <c r="E6749" s="544" t="s">
        <v>1133</v>
      </c>
      <c r="F6749" s="387">
        <v>1.0</v>
      </c>
      <c r="G6749" s="140">
        <v>855000.0</v>
      </c>
      <c r="H6749" s="140">
        <v>35000.0</v>
      </c>
      <c r="I6749" s="74">
        <f t="shared" si="1"/>
        <v>820000</v>
      </c>
      <c r="J6749" s="74">
        <f>IF(E6749="SERVICE",I6749-(I6749*50%),Vlookup(E6749,DATABASE!C:Q,10,false)*F6749)</f>
        <v>0</v>
      </c>
      <c r="K6749" s="74">
        <f>VLOOKUP(E6749,DATABASE!C:Q,7,false)</f>
        <v>759539.2</v>
      </c>
      <c r="L6749" s="74">
        <v>719199.0</v>
      </c>
      <c r="M6749" s="74">
        <f t="shared" si="2"/>
        <v>720000</v>
      </c>
      <c r="N6749" s="74">
        <f t="shared" si="3"/>
        <v>100000</v>
      </c>
      <c r="O6749" s="65" t="str">
        <f>VLOOKUP(E6749,DATABASE!C:Q,8,false)</f>
        <v>IBU</v>
      </c>
      <c r="P6749" s="65">
        <f>VLOOKUP(E6749,DATABASE!C:Q,9,False)</f>
        <v>1</v>
      </c>
      <c r="Q6749" s="93" t="str">
        <f>VLOOKUP(E6749,DATABASE!C:Q,4,false)</f>
        <v>Bridgestone</v>
      </c>
      <c r="R6749" s="93" t="str">
        <f>VLOOKUP(E6749,DATABASE!C:Q,11,false)</f>
        <v>Tire</v>
      </c>
    </row>
    <row r="6750" ht="22.5" customHeight="1">
      <c r="A6750" s="49"/>
      <c r="C6750" s="400">
        <v>46049.0</v>
      </c>
      <c r="D6750" s="524">
        <v>133.0</v>
      </c>
      <c r="E6750" s="544" t="s">
        <v>600</v>
      </c>
      <c r="F6750" s="387">
        <v>2.0</v>
      </c>
      <c r="G6750" s="140">
        <v>675000.0</v>
      </c>
      <c r="H6750" s="74"/>
      <c r="I6750" s="74">
        <f t="shared" si="1"/>
        <v>1350000</v>
      </c>
      <c r="J6750" s="74">
        <f>IF(E6750="SERVICE",I6750-(I6750*50%),Vlookup(E6750,DATABASE!C:Q,10,false)*F6750)</f>
        <v>0</v>
      </c>
      <c r="K6750" s="74">
        <f>VLOOKUP(E6750,DATABASE!C:Q,7,false)</f>
        <v>611109.16</v>
      </c>
      <c r="L6750" s="74">
        <v>575780.8</v>
      </c>
      <c r="M6750" s="74">
        <f t="shared" si="2"/>
        <v>580000</v>
      </c>
      <c r="N6750" s="74">
        <f t="shared" si="3"/>
        <v>190000</v>
      </c>
      <c r="O6750" s="65" t="str">
        <f>VLOOKUP(E6750,DATABASE!C:Q,8,false)</f>
        <v>IBU</v>
      </c>
      <c r="P6750" s="65">
        <f>VLOOKUP(E6750,DATABASE!C:Q,9,False)</f>
        <v>1</v>
      </c>
      <c r="Q6750" s="93" t="str">
        <f>VLOOKUP(E6750,DATABASE!C:Q,4,false)</f>
        <v>Bridgestone</v>
      </c>
      <c r="R6750" s="93" t="str">
        <f>VLOOKUP(E6750,DATABASE!C:Q,11,false)</f>
        <v>Tire</v>
      </c>
    </row>
    <row r="6751" ht="22.5" customHeight="1">
      <c r="A6751" s="49"/>
      <c r="C6751" s="400">
        <v>46049.0</v>
      </c>
      <c r="D6751" s="524">
        <v>134.0</v>
      </c>
      <c r="E6751" s="544" t="s">
        <v>856</v>
      </c>
      <c r="F6751" s="387">
        <v>1.0</v>
      </c>
      <c r="G6751" s="140">
        <v>670000.0</v>
      </c>
      <c r="H6751" s="74"/>
      <c r="I6751" s="74">
        <f t="shared" si="1"/>
        <v>670000</v>
      </c>
      <c r="J6751" s="74">
        <f>IF(E6751="SERVICE",I6751-(I6751*50%),Vlookup(E6751,DATABASE!C:Q,10,false)*F6751)</f>
        <v>0</v>
      </c>
      <c r="K6751" s="74">
        <f>VLOOKUP(E6751,DATABASE!C:Q,7,false)</f>
        <v>615300</v>
      </c>
      <c r="L6751" s="74">
        <v>581120.0</v>
      </c>
      <c r="M6751" s="74">
        <f t="shared" si="2"/>
        <v>585000</v>
      </c>
      <c r="N6751" s="74">
        <f t="shared" si="3"/>
        <v>85000</v>
      </c>
      <c r="O6751" s="65" t="str">
        <f>VLOOKUP(E6751,DATABASE!C:Q,8,false)</f>
        <v>BIAN</v>
      </c>
      <c r="P6751" s="65">
        <f>VLOOKUP(E6751,DATABASE!C:Q,9,False)</f>
        <v>1</v>
      </c>
      <c r="Q6751" s="93" t="str">
        <f>VLOOKUP(E6751,DATABASE!C:Q,4,false)</f>
        <v>GT</v>
      </c>
      <c r="R6751" s="93" t="str">
        <f>VLOOKUP(E6751,DATABASE!C:Q,11,false)</f>
        <v>Tire</v>
      </c>
    </row>
    <row r="6752" ht="22.5" customHeight="1">
      <c r="A6752" s="49"/>
      <c r="C6752" s="400">
        <v>46049.0</v>
      </c>
      <c r="D6752" s="524">
        <v>136.0</v>
      </c>
      <c r="E6752" s="544" t="s">
        <v>268</v>
      </c>
      <c r="F6752" s="387">
        <v>1.0</v>
      </c>
      <c r="G6752" s="140">
        <v>710000.0</v>
      </c>
      <c r="H6752" s="74"/>
      <c r="I6752" s="74">
        <f t="shared" si="1"/>
        <v>710000</v>
      </c>
      <c r="J6752" s="74">
        <f>IF(E6752="SERVICE",I6752-(I6752*50%),Vlookup(E6752,DATABASE!C:Q,10,false)*F6752)</f>
        <v>0</v>
      </c>
      <c r="K6752" s="74">
        <f>VLOOKUP(E6752,DATABASE!C:Q,7,false)</f>
        <v>653000</v>
      </c>
      <c r="L6752" s="74">
        <v>622000.0</v>
      </c>
      <c r="M6752" s="74">
        <f t="shared" si="2"/>
        <v>625000</v>
      </c>
      <c r="N6752" s="74">
        <f t="shared" si="3"/>
        <v>85000</v>
      </c>
      <c r="O6752" s="65" t="str">
        <f>VLOOKUP(E6752,DATABASE!C:Q,8,false)</f>
        <v>IBU</v>
      </c>
      <c r="P6752" s="65">
        <f>VLOOKUP(E6752,DATABASE!C:Q,9,False)</f>
        <v>1</v>
      </c>
      <c r="Q6752" s="93" t="str">
        <f>VLOOKUP(E6752,DATABASE!C:Q,4,false)</f>
        <v>Dunlop</v>
      </c>
      <c r="R6752" s="93" t="str">
        <f>VLOOKUP(E6752,DATABASE!C:Q,11,false)</f>
        <v>Tire</v>
      </c>
    </row>
    <row r="6753" ht="22.5" customHeight="1">
      <c r="A6753" s="49"/>
      <c r="C6753" s="400">
        <v>46049.0</v>
      </c>
      <c r="D6753" s="524">
        <v>137.0</v>
      </c>
      <c r="E6753" s="544" t="s">
        <v>403</v>
      </c>
      <c r="F6753" s="387">
        <v>2.0</v>
      </c>
      <c r="G6753" s="140">
        <v>2260000.0</v>
      </c>
      <c r="H6753" s="74"/>
      <c r="I6753" s="74">
        <f t="shared" si="1"/>
        <v>4520000</v>
      </c>
      <c r="J6753" s="74">
        <f>IF(E6753="SERVICE",I6753-(I6753*50%),Vlookup(E6753,DATABASE!C:Q,10,false)*F6753)</f>
        <v>0</v>
      </c>
      <c r="K6753" s="74">
        <f>VLOOKUP(E6753,DATABASE!C:Q,7,false)</f>
        <v>2160000</v>
      </c>
      <c r="L6753" s="74">
        <v>2160000.0</v>
      </c>
      <c r="M6753" s="74">
        <f t="shared" si="2"/>
        <v>2160000</v>
      </c>
      <c r="N6753" s="74">
        <f t="shared" si="3"/>
        <v>200000</v>
      </c>
      <c r="O6753" s="65" t="str">
        <f>VLOOKUP(E6753,DATABASE!C:Q,8,false)</f>
        <v>BIAN</v>
      </c>
      <c r="P6753" s="65">
        <f>VLOOKUP(E6753,DATABASE!C:Q,9,False)</f>
        <v>1</v>
      </c>
      <c r="Q6753" s="93" t="str">
        <f>VLOOKUP(E6753,DATABASE!C:Q,4,false)</f>
        <v>Advance</v>
      </c>
      <c r="R6753" s="93" t="str">
        <f>VLOOKUP(E6753,DATABASE!C:Q,11,false)</f>
        <v>Tire</v>
      </c>
    </row>
    <row r="6754" ht="22.5" customHeight="1">
      <c r="A6754" s="49"/>
      <c r="C6754" s="400">
        <v>46049.0</v>
      </c>
      <c r="D6754" s="524">
        <v>138.0</v>
      </c>
      <c r="E6754" s="544" t="s">
        <v>275</v>
      </c>
      <c r="F6754" s="387">
        <v>1.0</v>
      </c>
      <c r="G6754" s="140">
        <v>830000.0</v>
      </c>
      <c r="H6754" s="74"/>
      <c r="I6754" s="74">
        <f t="shared" si="1"/>
        <v>830000</v>
      </c>
      <c r="J6754" s="74">
        <f>IF(E6754="SERVICE",I6754-(I6754*50%),Vlookup(E6754,DATABASE!C:Q,10,false)*F6754)</f>
        <v>0</v>
      </c>
      <c r="K6754" s="74">
        <f>VLOOKUP(E6754,DATABASE!C:Q,7,false)</f>
        <v>782000</v>
      </c>
      <c r="L6754" s="74">
        <v>745000.0</v>
      </c>
      <c r="M6754" s="74">
        <f t="shared" si="2"/>
        <v>745000</v>
      </c>
      <c r="N6754" s="74">
        <f t="shared" si="3"/>
        <v>85000</v>
      </c>
      <c r="O6754" s="65" t="str">
        <f>VLOOKUP(E6754,DATABASE!C:Q,8,false)</f>
        <v>IBU</v>
      </c>
      <c r="P6754" s="65">
        <f>VLOOKUP(E6754,DATABASE!C:Q,9,False)</f>
        <v>1</v>
      </c>
      <c r="Q6754" s="93" t="str">
        <f>VLOOKUP(E6754,DATABASE!C:Q,4,false)</f>
        <v>Dunlop</v>
      </c>
      <c r="R6754" s="93" t="str">
        <f>VLOOKUP(E6754,DATABASE!C:Q,11,false)</f>
        <v>Tire</v>
      </c>
    </row>
    <row r="6755" ht="22.5" customHeight="1">
      <c r="A6755" s="49"/>
      <c r="C6755" s="400">
        <v>46049.0</v>
      </c>
      <c r="D6755" s="524">
        <v>139.0</v>
      </c>
      <c r="E6755" s="544" t="s">
        <v>622</v>
      </c>
      <c r="F6755" s="387">
        <v>4.0</v>
      </c>
      <c r="G6755" s="140">
        <v>915000.0</v>
      </c>
      <c r="H6755" s="140">
        <v>15000.0</v>
      </c>
      <c r="I6755" s="74">
        <f t="shared" si="1"/>
        <v>3600000</v>
      </c>
      <c r="J6755" s="74">
        <f>IF(E6755="SERVICE",I6755-(I6755*50%),Vlookup(E6755,DATABASE!C:Q,10,false)*F6755)</f>
        <v>0</v>
      </c>
      <c r="K6755" s="74">
        <f>VLOOKUP(E6755,DATABASE!C:Q,7,false)</f>
        <v>851110.375</v>
      </c>
      <c r="L6755" s="74">
        <v>805872.0</v>
      </c>
      <c r="M6755" s="74">
        <f t="shared" si="2"/>
        <v>810000</v>
      </c>
      <c r="N6755" s="74">
        <f t="shared" si="3"/>
        <v>360000</v>
      </c>
      <c r="O6755" s="65" t="str">
        <f>VLOOKUP(E6755,DATABASE!C:Q,8,false)</f>
        <v>IBU</v>
      </c>
      <c r="P6755" s="65">
        <f>VLOOKUP(E6755,DATABASE!C:Q,9,False)</f>
        <v>1</v>
      </c>
      <c r="Q6755" s="93" t="str">
        <f>VLOOKUP(E6755,DATABASE!C:Q,4,false)</f>
        <v>Bridgestone</v>
      </c>
      <c r="R6755" s="93" t="str">
        <f>VLOOKUP(E6755,DATABASE!C:Q,11,false)</f>
        <v>Tire</v>
      </c>
    </row>
    <row r="6756" ht="22.5" customHeight="1">
      <c r="A6756" s="49"/>
      <c r="C6756" s="400">
        <v>46049.0</v>
      </c>
      <c r="D6756" s="524">
        <v>140.0</v>
      </c>
      <c r="E6756" s="544" t="s">
        <v>268</v>
      </c>
      <c r="F6756" s="387">
        <v>2.0</v>
      </c>
      <c r="G6756" s="140">
        <v>710000.0</v>
      </c>
      <c r="H6756" s="74"/>
      <c r="I6756" s="74">
        <f t="shared" si="1"/>
        <v>1420000</v>
      </c>
      <c r="J6756" s="74">
        <f>IF(E6756="SERVICE",I6756-(I6756*50%),Vlookup(E6756,DATABASE!C:Q,10,false)*F6756)</f>
        <v>0</v>
      </c>
      <c r="K6756" s="74">
        <f>VLOOKUP(E6756,DATABASE!C:Q,7,false)</f>
        <v>653000</v>
      </c>
      <c r="L6756" s="74">
        <v>622000.0</v>
      </c>
      <c r="M6756" s="74">
        <f t="shared" si="2"/>
        <v>625000</v>
      </c>
      <c r="N6756" s="74">
        <f t="shared" si="3"/>
        <v>170000</v>
      </c>
      <c r="O6756" s="65" t="str">
        <f>VLOOKUP(E6756,DATABASE!C:Q,8,false)</f>
        <v>IBU</v>
      </c>
      <c r="P6756" s="65">
        <f>VLOOKUP(E6756,DATABASE!C:Q,9,False)</f>
        <v>1</v>
      </c>
      <c r="Q6756" s="93" t="str">
        <f>VLOOKUP(E6756,DATABASE!C:Q,4,false)</f>
        <v>Dunlop</v>
      </c>
      <c r="R6756" s="93" t="str">
        <f>VLOOKUP(E6756,DATABASE!C:Q,11,false)</f>
        <v>Tire</v>
      </c>
    </row>
    <row r="6757" ht="22.5" customHeight="1">
      <c r="A6757" s="49"/>
      <c r="C6757" s="400">
        <v>46049.0</v>
      </c>
      <c r="D6757" s="524">
        <v>140.0</v>
      </c>
      <c r="E6757" s="544" t="s">
        <v>262</v>
      </c>
      <c r="F6757" s="387">
        <v>1.0</v>
      </c>
      <c r="G6757" s="140">
        <v>110000.0</v>
      </c>
      <c r="H6757" s="74"/>
      <c r="I6757" s="74">
        <f t="shared" si="1"/>
        <v>110000</v>
      </c>
      <c r="J6757" s="74">
        <f>IF(E6757="SERVICE",I6757-(I6757*50%),Vlookup(E6757,DATABASE!C:Q,10,false)*F6757)</f>
        <v>5000</v>
      </c>
      <c r="K6757" s="74">
        <f>VLOOKUP(E6757,DATABASE!C:Q,7,false)</f>
        <v>0</v>
      </c>
      <c r="L6757" s="74">
        <v>0.0</v>
      </c>
      <c r="M6757" s="74">
        <f t="shared" si="2"/>
        <v>0</v>
      </c>
      <c r="N6757" s="74">
        <f t="shared" si="3"/>
        <v>105000</v>
      </c>
      <c r="O6757" s="65" t="str">
        <f>VLOOKUP(E6757,DATABASE!C:Q,8,false)</f>
        <v>IBU</v>
      </c>
      <c r="P6757" s="65">
        <f>VLOOKUP(E6757,DATABASE!C:Q,9,False)</f>
        <v>0</v>
      </c>
      <c r="Q6757" s="93" t="str">
        <f>VLOOKUP(E6757,DATABASE!C:Q,4,false)</f>
        <v>SPOORING SS/CARRY LOS BAK</v>
      </c>
      <c r="R6757" s="93" t="str">
        <f>VLOOKUP(E6757,DATABASE!C:Q,11,false)</f>
        <v>SERVICE</v>
      </c>
    </row>
    <row r="6758" ht="22.5" customHeight="1">
      <c r="A6758" s="49"/>
      <c r="C6758" s="400">
        <v>46049.0</v>
      </c>
      <c r="D6758" s="524">
        <v>140.0</v>
      </c>
      <c r="E6758" s="544" t="s">
        <v>301</v>
      </c>
      <c r="F6758" s="387">
        <v>1.0</v>
      </c>
      <c r="G6758" s="140">
        <v>250000.0</v>
      </c>
      <c r="H6758" s="74"/>
      <c r="I6758" s="74">
        <f t="shared" si="1"/>
        <v>250000</v>
      </c>
      <c r="J6758" s="74">
        <f>IF(E6758="SERVICE",I6758-(I6758*50%),Vlookup(E6758,DATABASE!C:Q,10,false)*F6758)</f>
        <v>75000</v>
      </c>
      <c r="K6758" s="74">
        <f>VLOOKUP(E6758,DATABASE!C:Q,7,false)</f>
        <v>75000</v>
      </c>
      <c r="L6758" s="74">
        <v>75000.0</v>
      </c>
      <c r="M6758" s="74">
        <f t="shared" si="2"/>
        <v>75000</v>
      </c>
      <c r="N6758" s="74">
        <f t="shared" si="3"/>
        <v>100000</v>
      </c>
      <c r="O6758" s="65" t="str">
        <f>VLOOKUP(E6758,DATABASE!C:Q,8,false)</f>
        <v>BIAN</v>
      </c>
      <c r="P6758" s="65">
        <f>VLOOKUP(E6758,DATABASE!C:Q,9,False)</f>
        <v>0</v>
      </c>
      <c r="Q6758" s="93" t="str">
        <f>VLOOKUP(E6758,DATABASE!C:Q,4,false)</f>
        <v>Baut Camber</v>
      </c>
      <c r="R6758" s="93" t="str">
        <f>VLOOKUP(E6758,DATABASE!C:Q,11,false)</f>
        <v>COMPLEMENTARY</v>
      </c>
    </row>
    <row r="6759" ht="22.5" customHeight="1">
      <c r="A6759" s="49"/>
      <c r="C6759" s="400">
        <v>46049.0</v>
      </c>
      <c r="D6759" s="524">
        <v>141.0</v>
      </c>
      <c r="E6759" s="544" t="s">
        <v>1301</v>
      </c>
      <c r="F6759" s="387">
        <v>1.0</v>
      </c>
      <c r="G6759" s="140">
        <v>1285000.0</v>
      </c>
      <c r="H6759" s="74"/>
      <c r="I6759" s="74">
        <f t="shared" si="1"/>
        <v>1285000</v>
      </c>
      <c r="J6759" s="74">
        <f>IF(E6759="SERVICE",I6759-(I6759*50%),Vlookup(E6759,DATABASE!C:Q,10,false)*F6759)</f>
        <v>0</v>
      </c>
      <c r="K6759" s="74">
        <f>VLOOKUP(E6759,DATABASE!C:Q,7,false)</f>
        <v>1194000</v>
      </c>
      <c r="L6759" s="74">
        <v>1182000.0</v>
      </c>
      <c r="M6759" s="74">
        <f t="shared" si="2"/>
        <v>1185000</v>
      </c>
      <c r="N6759" s="74">
        <f t="shared" si="3"/>
        <v>100000</v>
      </c>
      <c r="O6759" s="65" t="str">
        <f>VLOOKUP(E6759,DATABASE!C:Q,8,false)</f>
        <v>IBU</v>
      </c>
      <c r="P6759" s="65">
        <f>VLOOKUP(E6759,DATABASE!C:Q,9,False)</f>
        <v>1</v>
      </c>
      <c r="Q6759" s="93" t="str">
        <f>VLOOKUP(E6759,DATABASE!C:Q,4,false)</f>
        <v>Dunlop</v>
      </c>
      <c r="R6759" s="93" t="str">
        <f>VLOOKUP(E6759,DATABASE!C:Q,11,false)</f>
        <v>Tire</v>
      </c>
    </row>
    <row r="6760" ht="22.5" customHeight="1">
      <c r="A6760" s="49"/>
      <c r="C6760" s="400">
        <v>46049.0</v>
      </c>
      <c r="D6760" s="524">
        <v>142.0</v>
      </c>
      <c r="E6760" s="544" t="s">
        <v>569</v>
      </c>
      <c r="F6760" s="387">
        <v>2.0</v>
      </c>
      <c r="G6760" s="140">
        <v>80000.0</v>
      </c>
      <c r="H6760" s="74"/>
      <c r="I6760" s="74">
        <f t="shared" si="1"/>
        <v>160000</v>
      </c>
      <c r="J6760" s="74">
        <f>IF(E6760="SERVICE",I6760-(I6760*50%),Vlookup(E6760,DATABASE!C:Q,10,false)*F6760)</f>
        <v>0</v>
      </c>
      <c r="K6760" s="74">
        <f>VLOOKUP(E6760,DATABASE!C:Q,7,false)</f>
        <v>45439.582</v>
      </c>
      <c r="L6760" s="74">
        <v>45309.6</v>
      </c>
      <c r="M6760" s="74">
        <f t="shared" si="2"/>
        <v>50000</v>
      </c>
      <c r="N6760" s="74">
        <f t="shared" si="3"/>
        <v>60000</v>
      </c>
      <c r="O6760" s="65" t="str">
        <f>VLOOKUP(E6760,DATABASE!C:Q,8,false)</f>
        <v>BIAN</v>
      </c>
      <c r="P6760" s="65">
        <f>VLOOKUP(E6760,DATABASE!C:Q,9,False)</f>
        <v>1</v>
      </c>
      <c r="Q6760" s="93" t="str">
        <f>VLOOKUP(E6760,DATABASE!C:Q,4,false)</f>
        <v>BD</v>
      </c>
      <c r="R6760" s="93" t="str">
        <f>VLOOKUP(E6760,DATABASE!C:Q,11,false)</f>
        <v>Tire</v>
      </c>
    </row>
    <row r="6761" ht="22.5" customHeight="1">
      <c r="A6761" s="49"/>
      <c r="C6761" s="400">
        <v>46049.0</v>
      </c>
      <c r="D6761" s="524">
        <v>142.0</v>
      </c>
      <c r="E6761" s="544" t="s">
        <v>613</v>
      </c>
      <c r="F6761" s="387">
        <v>1.0</v>
      </c>
      <c r="G6761" s="140">
        <v>95000.0</v>
      </c>
      <c r="H6761" s="140">
        <v>5000.0</v>
      </c>
      <c r="I6761" s="74">
        <f t="shared" si="1"/>
        <v>90000</v>
      </c>
      <c r="J6761" s="74">
        <f>IF(E6761="SERVICE",I6761-(I6761*50%),Vlookup(E6761,DATABASE!C:Q,10,false)*F6761)</f>
        <v>0</v>
      </c>
      <c r="K6761" s="74">
        <f>VLOOKUP(E6761,DATABASE!C:Q,7,false)</f>
        <v>58371.2695</v>
      </c>
      <c r="L6761" s="74">
        <v>55000.0</v>
      </c>
      <c r="M6761" s="74">
        <f t="shared" si="2"/>
        <v>55000</v>
      </c>
      <c r="N6761" s="74">
        <f t="shared" si="3"/>
        <v>35000</v>
      </c>
      <c r="O6761" s="65" t="str">
        <f>VLOOKUP(E6761,DATABASE!C:Q,8,false)</f>
        <v>BIAN</v>
      </c>
      <c r="P6761" s="65">
        <f>VLOOKUP(E6761,DATABASE!C:Q,9,False)</f>
        <v>1</v>
      </c>
      <c r="Q6761" s="93" t="str">
        <f>VLOOKUP(E6761,DATABASE!C:Q,4,false)</f>
        <v>BD</v>
      </c>
      <c r="R6761" s="93" t="str">
        <f>VLOOKUP(E6761,DATABASE!C:Q,11,false)</f>
        <v>Tire</v>
      </c>
    </row>
    <row r="6762" ht="22.5" customHeight="1">
      <c r="A6762" s="49"/>
      <c r="C6762" s="400">
        <v>46049.0</v>
      </c>
      <c r="D6762" s="524">
        <v>143.0</v>
      </c>
      <c r="E6762" s="544" t="s">
        <v>937</v>
      </c>
      <c r="F6762" s="387">
        <v>1.0</v>
      </c>
      <c r="G6762" s="140">
        <v>900000.0</v>
      </c>
      <c r="H6762" s="140">
        <v>20000.0</v>
      </c>
      <c r="I6762" s="74">
        <f t="shared" si="1"/>
        <v>880000</v>
      </c>
      <c r="J6762" s="74">
        <f>IF(E6762="SERVICE",I6762-(I6762*50%),Vlookup(E6762,DATABASE!C:Q,10,false)*F6762)</f>
        <v>0</v>
      </c>
      <c r="K6762" s="74">
        <f>VLOOKUP(E6762,DATABASE!C:Q,7,false)</f>
        <v>825000</v>
      </c>
      <c r="L6762" s="74">
        <v>790000.0</v>
      </c>
      <c r="M6762" s="74">
        <f t="shared" si="2"/>
        <v>790000</v>
      </c>
      <c r="N6762" s="74">
        <f t="shared" si="3"/>
        <v>90000</v>
      </c>
      <c r="O6762" s="65" t="str">
        <f>VLOOKUP(E6762,DATABASE!C:Q,8,false)</f>
        <v>IBU</v>
      </c>
      <c r="P6762" s="65">
        <f>VLOOKUP(E6762,DATABASE!C:Q,9,False)</f>
        <v>1</v>
      </c>
      <c r="Q6762" s="93" t="str">
        <f>VLOOKUP(E6762,DATABASE!C:Q,4,false)</f>
        <v>Bridgestone</v>
      </c>
      <c r="R6762" s="93" t="str">
        <f>VLOOKUP(E6762,DATABASE!C:Q,11,false)</f>
        <v>Tire</v>
      </c>
    </row>
    <row r="6763" ht="22.5" customHeight="1">
      <c r="A6763" s="49"/>
      <c r="C6763" s="400">
        <v>46049.0</v>
      </c>
      <c r="D6763" s="524">
        <v>144.0</v>
      </c>
      <c r="E6763" s="544" t="s">
        <v>1439</v>
      </c>
      <c r="F6763" s="387">
        <v>2.0</v>
      </c>
      <c r="G6763" s="140">
        <v>640000.0</v>
      </c>
      <c r="H6763" s="140">
        <v>10000.0</v>
      </c>
      <c r="I6763" s="74">
        <f t="shared" si="1"/>
        <v>1260000</v>
      </c>
      <c r="J6763" s="74">
        <f>IF(E6763="SERVICE",I6763-(I6763*50%),Vlookup(E6763,DATABASE!C:Q,10,false)*F6763)</f>
        <v>0</v>
      </c>
      <c r="K6763" s="74">
        <f>VLOOKUP(E6763,DATABASE!C:Q,7,false)</f>
        <v>556800</v>
      </c>
      <c r="L6763" s="74">
        <v>540800.0</v>
      </c>
      <c r="M6763" s="74">
        <f t="shared" si="2"/>
        <v>545000</v>
      </c>
      <c r="N6763" s="74">
        <f t="shared" si="3"/>
        <v>170000</v>
      </c>
      <c r="O6763" s="65" t="str">
        <f>VLOOKUP(E6763,DATABASE!C:Q,8,false)</f>
        <v>BIAN</v>
      </c>
      <c r="P6763" s="65">
        <f>VLOOKUP(E6763,DATABASE!C:Q,9,False)</f>
        <v>1</v>
      </c>
      <c r="Q6763" s="93" t="str">
        <f>VLOOKUP(E6763,DATABASE!C:Q,4,false)</f>
        <v>GT</v>
      </c>
      <c r="R6763" s="93" t="str">
        <f>VLOOKUP(E6763,DATABASE!C:Q,11,false)</f>
        <v>Tire</v>
      </c>
    </row>
    <row r="6764" ht="22.5" customHeight="1">
      <c r="A6764" s="49"/>
      <c r="C6764" s="400">
        <v>46049.0</v>
      </c>
      <c r="D6764" s="524">
        <v>145.0</v>
      </c>
      <c r="E6764" s="544" t="s">
        <v>288</v>
      </c>
      <c r="F6764" s="387">
        <v>1.0</v>
      </c>
      <c r="G6764" s="140">
        <v>620000.0</v>
      </c>
      <c r="H6764" s="74"/>
      <c r="I6764" s="74">
        <f t="shared" si="1"/>
        <v>620000</v>
      </c>
      <c r="J6764" s="74">
        <f>IF(E6764="SERVICE",I6764-(I6764*50%),Vlookup(E6764,DATABASE!C:Q,10,false)*F6764)</f>
        <v>0</v>
      </c>
      <c r="K6764" s="74">
        <f>VLOOKUP(E6764,DATABASE!C:Q,7,false)</f>
        <v>565760</v>
      </c>
      <c r="L6764" s="74">
        <v>524800.0</v>
      </c>
      <c r="M6764" s="74">
        <f t="shared" si="2"/>
        <v>525000</v>
      </c>
      <c r="N6764" s="74">
        <f t="shared" si="3"/>
        <v>95000</v>
      </c>
      <c r="O6764" s="65" t="str">
        <f>VLOOKUP(E6764,DATABASE!C:Q,8,false)</f>
        <v>BIAN</v>
      </c>
      <c r="P6764" s="65">
        <f>VLOOKUP(E6764,DATABASE!C:Q,9,False)</f>
        <v>1</v>
      </c>
      <c r="Q6764" s="93" t="str">
        <f>VLOOKUP(E6764,DATABASE!C:Q,4,false)</f>
        <v>GT</v>
      </c>
      <c r="R6764" s="93" t="str">
        <f>VLOOKUP(E6764,DATABASE!C:Q,11,false)</f>
        <v>Tire</v>
      </c>
    </row>
    <row r="6765" ht="22.5" customHeight="1">
      <c r="A6765" s="49"/>
      <c r="C6765" s="400">
        <v>46049.0</v>
      </c>
      <c r="D6765" s="524">
        <v>146.0</v>
      </c>
      <c r="E6765" s="544" t="s">
        <v>262</v>
      </c>
      <c r="F6765" s="387">
        <v>1.0</v>
      </c>
      <c r="G6765" s="140">
        <v>110000.0</v>
      </c>
      <c r="H6765" s="74"/>
      <c r="I6765" s="74">
        <f t="shared" si="1"/>
        <v>110000</v>
      </c>
      <c r="J6765" s="74">
        <f>IF(E6765="SERVICE",I6765-(I6765*50%),Vlookup(E6765,DATABASE!C:Q,10,false)*F6765)</f>
        <v>5000</v>
      </c>
      <c r="K6765" s="74">
        <f>VLOOKUP(E6765,DATABASE!C:Q,7,false)</f>
        <v>0</v>
      </c>
      <c r="L6765" s="74">
        <v>0.0</v>
      </c>
      <c r="M6765" s="74">
        <f t="shared" si="2"/>
        <v>0</v>
      </c>
      <c r="N6765" s="74">
        <f t="shared" si="3"/>
        <v>105000</v>
      </c>
      <c r="O6765" s="65" t="str">
        <f>VLOOKUP(E6765,DATABASE!C:Q,8,false)</f>
        <v>IBU</v>
      </c>
      <c r="P6765" s="65">
        <f>VLOOKUP(E6765,DATABASE!C:Q,9,False)</f>
        <v>0</v>
      </c>
      <c r="Q6765" s="93" t="str">
        <f>VLOOKUP(E6765,DATABASE!C:Q,4,false)</f>
        <v>SPOORING SS/CARRY LOS BAK</v>
      </c>
      <c r="R6765" s="93" t="str">
        <f>VLOOKUP(E6765,DATABASE!C:Q,11,false)</f>
        <v>SERVICE</v>
      </c>
    </row>
    <row r="6766" ht="22.5" customHeight="1">
      <c r="A6766" s="49"/>
      <c r="C6766" s="400">
        <v>46049.0</v>
      </c>
      <c r="D6766" s="524">
        <v>146.0</v>
      </c>
      <c r="E6766" s="544" t="s">
        <v>299</v>
      </c>
      <c r="F6766" s="387">
        <v>2.0</v>
      </c>
      <c r="G6766" s="140">
        <v>30000.0</v>
      </c>
      <c r="H6766" s="74"/>
      <c r="I6766" s="74">
        <f t="shared" si="1"/>
        <v>60000</v>
      </c>
      <c r="J6766" s="74">
        <f>IF(E6766="SERVICE",I6766-(I6766*50%),Vlookup(E6766,DATABASE!C:Q,10,false)*F6766)</f>
        <v>0</v>
      </c>
      <c r="K6766" s="74">
        <f>VLOOKUP(E6766,DATABASE!C:Q,7,false)</f>
        <v>10000</v>
      </c>
      <c r="L6766" s="74">
        <v>5000.0</v>
      </c>
      <c r="M6766" s="74">
        <f t="shared" si="2"/>
        <v>5000</v>
      </c>
      <c r="N6766" s="74">
        <f t="shared" si="3"/>
        <v>50000</v>
      </c>
      <c r="O6766" s="65" t="str">
        <f>VLOOKUP(E6766,DATABASE!C:Q,8,false)</f>
        <v>BIAN</v>
      </c>
      <c r="P6766" s="65">
        <f>VLOOKUP(E6766,DATABASE!C:Q,9,False)</f>
        <v>0</v>
      </c>
      <c r="Q6766" s="93" t="str">
        <f>VLOOKUP(E6766,DATABASE!C:Q,4,false)</f>
        <v>Balancing</v>
      </c>
      <c r="R6766" s="93" t="str">
        <f>VLOOKUP(E6766,DATABASE!C:Q,11,false)</f>
        <v>COMPLEMENTARY</v>
      </c>
    </row>
    <row r="6767" ht="22.5" customHeight="1">
      <c r="A6767" s="49"/>
      <c r="C6767" s="400">
        <v>46049.0</v>
      </c>
      <c r="D6767" s="524">
        <v>146.0</v>
      </c>
      <c r="E6767" s="544" t="s">
        <v>2206</v>
      </c>
      <c r="F6767" s="387">
        <v>1.0</v>
      </c>
      <c r="G6767" s="140">
        <v>225000.0</v>
      </c>
      <c r="H6767" s="140">
        <v>25000.0</v>
      </c>
      <c r="I6767" s="74">
        <f t="shared" si="1"/>
        <v>200000</v>
      </c>
      <c r="J6767" s="74">
        <f>IF(E6767="SERVICE",I6767-(I6767*50%),Vlookup(E6767,DATABASE!C:Q,10,false)*F6767)</f>
        <v>40000</v>
      </c>
      <c r="K6767" s="74">
        <f>VLOOKUP(E6767,DATABASE!C:Q,7,false)</f>
        <v>95450</v>
      </c>
      <c r="L6767" s="74">
        <v>61000.0</v>
      </c>
      <c r="M6767" s="74">
        <f t="shared" si="2"/>
        <v>65000</v>
      </c>
      <c r="N6767" s="74">
        <f t="shared" si="3"/>
        <v>95000</v>
      </c>
      <c r="O6767" s="65" t="str">
        <f>VLOOKUP(E6767,DATABASE!C:Q,8,false)</f>
        <v>IBU</v>
      </c>
      <c r="P6767" s="65">
        <f>VLOOKUP(E6767,DATABASE!C:Q,9,False)</f>
        <v>1</v>
      </c>
      <c r="Q6767" s="93" t="str">
        <f>VLOOKUP(E6767,DATABASE!C:Q,4,false)</f>
        <v>TIEROD</v>
      </c>
      <c r="R6767" s="93" t="str">
        <f>VLOOKUP(E6767,DATABASE!C:Q,11,false)</f>
        <v>COMPLEMENTARY</v>
      </c>
    </row>
    <row r="6768" ht="22.5" customHeight="1">
      <c r="A6768" s="49"/>
      <c r="C6768" s="400">
        <v>46050.0</v>
      </c>
      <c r="D6768" s="524">
        <v>147.0</v>
      </c>
      <c r="E6768" s="544" t="s">
        <v>256</v>
      </c>
      <c r="F6768" s="387">
        <v>1.0</v>
      </c>
      <c r="G6768" s="140">
        <v>150000.0</v>
      </c>
      <c r="H6768" s="140">
        <v>20000.0</v>
      </c>
      <c r="I6768" s="74">
        <f t="shared" si="1"/>
        <v>130000</v>
      </c>
      <c r="J6768" s="74">
        <f>IF(E6768="SERVICE",I6768-(I6768*50%),Vlookup(E6768,DATABASE!C:Q,10,false)*F6768)</f>
        <v>10000</v>
      </c>
      <c r="K6768" s="74">
        <f>VLOOKUP(E6768,DATABASE!C:Q,7,false)</f>
        <v>0</v>
      </c>
      <c r="L6768" s="74">
        <v>0.0</v>
      </c>
      <c r="M6768" s="74">
        <f t="shared" si="2"/>
        <v>0</v>
      </c>
      <c r="N6768" s="74">
        <f t="shared" si="3"/>
        <v>120000</v>
      </c>
      <c r="O6768" s="65" t="str">
        <f>VLOOKUP(E6768,DATABASE!C:Q,8,false)</f>
        <v>IBU</v>
      </c>
      <c r="P6768" s="65">
        <f>VLOOKUP(E6768,DATABASE!C:Q,9,False)</f>
        <v>0</v>
      </c>
      <c r="Q6768" s="93" t="str">
        <f>VLOOKUP(E6768,DATABASE!C:Q,4,false)</f>
        <v>SPOORING</v>
      </c>
      <c r="R6768" s="93" t="str">
        <f>VLOOKUP(E6768,DATABASE!C:Q,11,false)</f>
        <v>SERVICE</v>
      </c>
    </row>
    <row r="6769" ht="22.5" customHeight="1">
      <c r="A6769" s="49"/>
      <c r="C6769" s="400">
        <v>46050.0</v>
      </c>
      <c r="D6769" s="524">
        <v>149.0</v>
      </c>
      <c r="E6769" s="544" t="s">
        <v>256</v>
      </c>
      <c r="F6769" s="387">
        <v>1.0</v>
      </c>
      <c r="G6769" s="140">
        <v>150000.0</v>
      </c>
      <c r="H6769" s="140">
        <v>20000.0</v>
      </c>
      <c r="I6769" s="74">
        <f t="shared" si="1"/>
        <v>130000</v>
      </c>
      <c r="J6769" s="74">
        <f>IF(E6769="SERVICE",I6769-(I6769*50%),Vlookup(E6769,DATABASE!C:Q,10,false)*F6769)</f>
        <v>10000</v>
      </c>
      <c r="K6769" s="74">
        <f>VLOOKUP(E6769,DATABASE!C:Q,7,false)</f>
        <v>0</v>
      </c>
      <c r="L6769" s="74">
        <v>0.0</v>
      </c>
      <c r="M6769" s="74">
        <f t="shared" si="2"/>
        <v>0</v>
      </c>
      <c r="N6769" s="74">
        <f t="shared" si="3"/>
        <v>120000</v>
      </c>
      <c r="O6769" s="65" t="str">
        <f>VLOOKUP(E6769,DATABASE!C:Q,8,false)</f>
        <v>IBU</v>
      </c>
      <c r="P6769" s="65">
        <f>VLOOKUP(E6769,DATABASE!C:Q,9,False)</f>
        <v>0</v>
      </c>
      <c r="Q6769" s="93" t="str">
        <f>VLOOKUP(E6769,DATABASE!C:Q,4,false)</f>
        <v>SPOORING</v>
      </c>
      <c r="R6769" s="93" t="str">
        <f>VLOOKUP(E6769,DATABASE!C:Q,11,false)</f>
        <v>SERVICE</v>
      </c>
    </row>
    <row r="6770" ht="22.5" customHeight="1">
      <c r="A6770" s="49"/>
      <c r="C6770" s="400">
        <v>46050.0</v>
      </c>
      <c r="D6770" s="524">
        <v>149.0</v>
      </c>
      <c r="E6770" s="544" t="s">
        <v>251</v>
      </c>
      <c r="F6770" s="387">
        <v>1.0</v>
      </c>
      <c r="G6770" s="140">
        <v>350000.0</v>
      </c>
      <c r="H6770" s="140">
        <v>200000.0</v>
      </c>
      <c r="I6770" s="74">
        <f t="shared" si="1"/>
        <v>150000</v>
      </c>
      <c r="J6770" s="74">
        <f>IF(E6770="SERVICE",I6770-(I6770*50%),Vlookup(E6770,DATABASE!C:Q,10,false)*F6770)</f>
        <v>75000</v>
      </c>
      <c r="K6770" s="74">
        <f>VLOOKUP(E6770,DATABASE!C:Q,7,false)</f>
        <v>0</v>
      </c>
      <c r="L6770" s="74">
        <v>0.0</v>
      </c>
      <c r="M6770" s="74">
        <f t="shared" si="2"/>
        <v>0</v>
      </c>
      <c r="N6770" s="74">
        <f t="shared" si="3"/>
        <v>75000</v>
      </c>
      <c r="O6770" s="65" t="str">
        <f>VLOOKUP(E6770,DATABASE!C:Q,8,false)</f>
        <v>IBU</v>
      </c>
      <c r="P6770" s="65">
        <f>VLOOKUP(E6770,DATABASE!C:Q,9,False)</f>
        <v>0</v>
      </c>
      <c r="Q6770" s="93" t="str">
        <f>VLOOKUP(E6770,DATABASE!C:Q,4,false)</f>
        <v>SERVICE</v>
      </c>
      <c r="R6770" s="93" t="str">
        <f>VLOOKUP(E6770,DATABASE!C:Q,11,false)</f>
        <v>SERVICE</v>
      </c>
    </row>
    <row r="6771" ht="22.5" customHeight="1">
      <c r="A6771" s="49"/>
      <c r="C6771" s="400">
        <v>46050.0</v>
      </c>
      <c r="D6771" s="524">
        <v>150.0</v>
      </c>
      <c r="E6771" s="544" t="s">
        <v>1009</v>
      </c>
      <c r="F6771" s="387">
        <v>2.0</v>
      </c>
      <c r="G6771" s="140">
        <v>700000.0</v>
      </c>
      <c r="H6771" s="140">
        <v>15000.0</v>
      </c>
      <c r="I6771" s="74">
        <f t="shared" si="1"/>
        <v>1370000</v>
      </c>
      <c r="J6771" s="74">
        <f>IF(E6771="SERVICE",I6771-(I6771*50%),Vlookup(E6771,DATABASE!C:Q,10,false)*F6771)</f>
        <v>0</v>
      </c>
      <c r="K6771" s="74">
        <f>VLOOKUP(E6771,DATABASE!C:Q,7,false)</f>
        <v>609800</v>
      </c>
      <c r="L6771" s="74">
        <v>592200.0</v>
      </c>
      <c r="M6771" s="74">
        <f t="shared" si="2"/>
        <v>595000</v>
      </c>
      <c r="N6771" s="74">
        <f t="shared" si="3"/>
        <v>180000</v>
      </c>
      <c r="O6771" s="65" t="str">
        <f>VLOOKUP(E6771,DATABASE!C:Q,8,false)</f>
        <v>BIAN</v>
      </c>
      <c r="P6771" s="65">
        <f>VLOOKUP(E6771,DATABASE!C:Q,9,False)</f>
        <v>1</v>
      </c>
      <c r="Q6771" s="93" t="str">
        <f>VLOOKUP(E6771,DATABASE!C:Q,4,false)</f>
        <v>GT</v>
      </c>
      <c r="R6771" s="93" t="str">
        <f>VLOOKUP(E6771,DATABASE!C:Q,11,false)</f>
        <v>Tire</v>
      </c>
    </row>
    <row r="6772" ht="22.5" customHeight="1">
      <c r="A6772" s="49"/>
      <c r="C6772" s="400">
        <v>46050.0</v>
      </c>
      <c r="D6772" s="524">
        <v>151.0</v>
      </c>
      <c r="E6772" s="544" t="s">
        <v>256</v>
      </c>
      <c r="F6772" s="387">
        <v>1.0</v>
      </c>
      <c r="G6772" s="140">
        <v>150000.0</v>
      </c>
      <c r="H6772" s="140">
        <v>20000.0</v>
      </c>
      <c r="I6772" s="74">
        <f t="shared" si="1"/>
        <v>130000</v>
      </c>
      <c r="J6772" s="74">
        <f>IF(E6772="SERVICE",I6772-(I6772*50%),Vlookup(E6772,DATABASE!C:Q,10,false)*F6772)</f>
        <v>10000</v>
      </c>
      <c r="K6772" s="74">
        <f>VLOOKUP(E6772,DATABASE!C:Q,7,false)</f>
        <v>0</v>
      </c>
      <c r="L6772" s="74">
        <v>0.0</v>
      </c>
      <c r="M6772" s="74">
        <f t="shared" si="2"/>
        <v>0</v>
      </c>
      <c r="N6772" s="74">
        <f t="shared" si="3"/>
        <v>120000</v>
      </c>
      <c r="O6772" s="65" t="str">
        <f>VLOOKUP(E6772,DATABASE!C:Q,8,false)</f>
        <v>IBU</v>
      </c>
      <c r="P6772" s="65">
        <f>VLOOKUP(E6772,DATABASE!C:Q,9,False)</f>
        <v>0</v>
      </c>
      <c r="Q6772" s="93" t="str">
        <f>VLOOKUP(E6772,DATABASE!C:Q,4,false)</f>
        <v>SPOORING</v>
      </c>
      <c r="R6772" s="93" t="str">
        <f>VLOOKUP(E6772,DATABASE!C:Q,11,false)</f>
        <v>SERVICE</v>
      </c>
    </row>
    <row r="6773" ht="22.5" customHeight="1">
      <c r="A6773" s="49"/>
      <c r="C6773" s="400">
        <v>46050.0</v>
      </c>
      <c r="D6773" s="524">
        <v>151.0</v>
      </c>
      <c r="E6773" s="544" t="s">
        <v>301</v>
      </c>
      <c r="F6773" s="387">
        <v>1.0</v>
      </c>
      <c r="G6773" s="140">
        <v>250000.0</v>
      </c>
      <c r="H6773" s="74"/>
      <c r="I6773" s="74">
        <f t="shared" si="1"/>
        <v>250000</v>
      </c>
      <c r="J6773" s="74">
        <f>IF(E6773="SERVICE",I6773-(I6773*50%),Vlookup(E6773,DATABASE!C:Q,10,false)*F6773)</f>
        <v>75000</v>
      </c>
      <c r="K6773" s="74">
        <f>VLOOKUP(E6773,DATABASE!C:Q,7,false)</f>
        <v>75000</v>
      </c>
      <c r="L6773" s="74">
        <v>75000.0</v>
      </c>
      <c r="M6773" s="74">
        <f t="shared" si="2"/>
        <v>75000</v>
      </c>
      <c r="N6773" s="74">
        <f t="shared" si="3"/>
        <v>100000</v>
      </c>
      <c r="O6773" s="65" t="str">
        <f>VLOOKUP(E6773,DATABASE!C:Q,8,false)</f>
        <v>BIAN</v>
      </c>
      <c r="P6773" s="65">
        <f>VLOOKUP(E6773,DATABASE!C:Q,9,False)</f>
        <v>0</v>
      </c>
      <c r="Q6773" s="93" t="str">
        <f>VLOOKUP(E6773,DATABASE!C:Q,4,false)</f>
        <v>Baut Camber</v>
      </c>
      <c r="R6773" s="93" t="str">
        <f>VLOOKUP(E6773,DATABASE!C:Q,11,false)</f>
        <v>COMPLEMENTARY</v>
      </c>
    </row>
    <row r="6774" ht="22.5" customHeight="1">
      <c r="A6774" s="49"/>
      <c r="C6774" s="400">
        <v>46050.0</v>
      </c>
      <c r="D6774" s="524">
        <v>152.0</v>
      </c>
      <c r="E6774" s="544" t="s">
        <v>256</v>
      </c>
      <c r="F6774" s="387">
        <v>1.0</v>
      </c>
      <c r="G6774" s="140">
        <v>150000.0</v>
      </c>
      <c r="H6774" s="140">
        <v>20000.0</v>
      </c>
      <c r="I6774" s="74">
        <f t="shared" si="1"/>
        <v>130000</v>
      </c>
      <c r="J6774" s="74">
        <f>IF(E6774="SERVICE",I6774-(I6774*50%),Vlookup(E6774,DATABASE!C:Q,10,false)*F6774)</f>
        <v>10000</v>
      </c>
      <c r="K6774" s="74">
        <f>VLOOKUP(E6774,DATABASE!C:Q,7,false)</f>
        <v>0</v>
      </c>
      <c r="L6774" s="74">
        <v>0.0</v>
      </c>
      <c r="M6774" s="74">
        <f t="shared" si="2"/>
        <v>0</v>
      </c>
      <c r="N6774" s="74">
        <f t="shared" si="3"/>
        <v>120000</v>
      </c>
      <c r="O6774" s="65" t="str">
        <f>VLOOKUP(E6774,DATABASE!C:Q,8,false)</f>
        <v>IBU</v>
      </c>
      <c r="P6774" s="65">
        <f>VLOOKUP(E6774,DATABASE!C:Q,9,False)</f>
        <v>0</v>
      </c>
      <c r="Q6774" s="93" t="str">
        <f>VLOOKUP(E6774,DATABASE!C:Q,4,false)</f>
        <v>SPOORING</v>
      </c>
      <c r="R6774" s="93" t="str">
        <f>VLOOKUP(E6774,DATABASE!C:Q,11,false)</f>
        <v>SERVICE</v>
      </c>
    </row>
    <row r="6775" ht="22.5" customHeight="1">
      <c r="A6775" s="49"/>
      <c r="C6775" s="400">
        <v>46050.0</v>
      </c>
      <c r="D6775" s="524">
        <v>153.0</v>
      </c>
      <c r="E6775" s="544" t="s">
        <v>262</v>
      </c>
      <c r="F6775" s="387">
        <v>1.0</v>
      </c>
      <c r="G6775" s="140">
        <v>110000.0</v>
      </c>
      <c r="H6775" s="74"/>
      <c r="I6775" s="74">
        <f t="shared" si="1"/>
        <v>110000</v>
      </c>
      <c r="J6775" s="74">
        <f>IF(E6775="SERVICE",I6775-(I6775*50%),Vlookup(E6775,DATABASE!C:Q,10,false)*F6775)</f>
        <v>5000</v>
      </c>
      <c r="K6775" s="74">
        <f>VLOOKUP(E6775,DATABASE!C:Q,7,false)</f>
        <v>0</v>
      </c>
      <c r="L6775" s="74">
        <v>0.0</v>
      </c>
      <c r="M6775" s="74">
        <f t="shared" si="2"/>
        <v>0</v>
      </c>
      <c r="N6775" s="74">
        <f t="shared" si="3"/>
        <v>105000</v>
      </c>
      <c r="O6775" s="65" t="str">
        <f>VLOOKUP(E6775,DATABASE!C:Q,8,false)</f>
        <v>IBU</v>
      </c>
      <c r="P6775" s="65">
        <f>VLOOKUP(E6775,DATABASE!C:Q,9,False)</f>
        <v>0</v>
      </c>
      <c r="Q6775" s="93" t="str">
        <f>VLOOKUP(E6775,DATABASE!C:Q,4,false)</f>
        <v>SPOORING SS/CARRY LOS BAK</v>
      </c>
      <c r="R6775" s="93" t="str">
        <f>VLOOKUP(E6775,DATABASE!C:Q,11,false)</f>
        <v>SERVICE</v>
      </c>
    </row>
    <row r="6776" ht="22.5" customHeight="1">
      <c r="A6776" s="49"/>
      <c r="C6776" s="400">
        <v>46050.0</v>
      </c>
      <c r="D6776" s="524">
        <v>153.0</v>
      </c>
      <c r="E6776" s="544" t="s">
        <v>305</v>
      </c>
      <c r="F6776" s="387">
        <v>1.0</v>
      </c>
      <c r="G6776" s="140">
        <v>235000.0</v>
      </c>
      <c r="H6776" s="74"/>
      <c r="I6776" s="74">
        <f t="shared" si="1"/>
        <v>235000</v>
      </c>
      <c r="J6776" s="74">
        <f>IF(E6776="SERVICE",I6776-(I6776*50%),Vlookup(E6776,DATABASE!C:Q,10,false)*F6776)</f>
        <v>40000</v>
      </c>
      <c r="K6776" s="74">
        <f>VLOOKUP(E6776,DATABASE!C:Q,7,false)</f>
        <v>158530.2</v>
      </c>
      <c r="L6776" s="74">
        <v>151890.0</v>
      </c>
      <c r="M6776" s="74">
        <f t="shared" si="2"/>
        <v>155000</v>
      </c>
      <c r="N6776" s="74">
        <f t="shared" si="3"/>
        <v>40000</v>
      </c>
      <c r="O6776" s="65" t="str">
        <f>VLOOKUP(E6776,DATABASE!C:Q,8,false)</f>
        <v>BIAN</v>
      </c>
      <c r="P6776" s="65">
        <f>VLOOKUP(E6776,DATABASE!C:Q,9,False)</f>
        <v>1</v>
      </c>
      <c r="Q6776" s="93" t="str">
        <f>VLOOKUP(E6776,DATABASE!C:Q,4,false)</f>
        <v>Lower Arm</v>
      </c>
      <c r="R6776" s="93" t="str">
        <f>VLOOKUP(E6776,DATABASE!C:Q,11,false)</f>
        <v>COMPLEMENTARY</v>
      </c>
    </row>
    <row r="6777" ht="22.5" customHeight="1">
      <c r="A6777" s="49"/>
      <c r="C6777" s="400">
        <v>46050.0</v>
      </c>
      <c r="D6777" s="524">
        <v>154.0</v>
      </c>
      <c r="E6777" s="544" t="s">
        <v>946</v>
      </c>
      <c r="F6777" s="387">
        <v>2.0</v>
      </c>
      <c r="G6777" s="140">
        <v>900000.0</v>
      </c>
      <c r="H6777" s="74"/>
      <c r="I6777" s="74">
        <f t="shared" si="1"/>
        <v>1800000</v>
      </c>
      <c r="J6777" s="74">
        <f>IF(E6777="SERVICE",I6777-(I6777*50%),Vlookup(E6777,DATABASE!C:Q,10,false)*F6777)</f>
        <v>0</v>
      </c>
      <c r="K6777" s="74">
        <f>VLOOKUP(E6777,DATABASE!C:Q,7,false)</f>
        <v>809000</v>
      </c>
      <c r="L6777" s="74">
        <v>792000.0</v>
      </c>
      <c r="M6777" s="74">
        <f t="shared" si="2"/>
        <v>795000</v>
      </c>
      <c r="N6777" s="74">
        <f t="shared" si="3"/>
        <v>210000</v>
      </c>
      <c r="O6777" s="65" t="str">
        <f>VLOOKUP(E6777,DATABASE!C:Q,8,false)</f>
        <v>IBU</v>
      </c>
      <c r="P6777" s="65">
        <f>VLOOKUP(E6777,DATABASE!C:Q,9,False)</f>
        <v>1</v>
      </c>
      <c r="Q6777" s="93" t="str">
        <f>VLOOKUP(E6777,DATABASE!C:Q,4,false)</f>
        <v>Dunlop</v>
      </c>
      <c r="R6777" s="93" t="str">
        <f>VLOOKUP(E6777,DATABASE!C:Q,11,false)</f>
        <v>Tire</v>
      </c>
    </row>
    <row r="6778" ht="22.5" customHeight="1">
      <c r="A6778" s="49"/>
      <c r="C6778" s="400">
        <v>46050.0</v>
      </c>
      <c r="D6778" s="69" t="s">
        <v>2696</v>
      </c>
      <c r="E6778" s="544" t="s">
        <v>263</v>
      </c>
      <c r="F6778" s="387">
        <v>1.0</v>
      </c>
      <c r="G6778" s="140">
        <v>320000.0</v>
      </c>
      <c r="H6778" s="74"/>
      <c r="I6778" s="74">
        <f t="shared" si="1"/>
        <v>320000</v>
      </c>
      <c r="J6778" s="74">
        <f>IF(E6778="SERVICE",I6778-(I6778*50%),Vlookup(E6778,DATABASE!C:Q,10,false)*F6778)</f>
        <v>0</v>
      </c>
      <c r="K6778" s="74">
        <f>VLOOKUP(E6778,DATABASE!C:Q,7,false)</f>
        <v>334916</v>
      </c>
      <c r="L6778" s="74">
        <v>287688.0</v>
      </c>
      <c r="M6778" s="74">
        <f t="shared" si="2"/>
        <v>290000</v>
      </c>
      <c r="N6778" s="74">
        <f t="shared" si="3"/>
        <v>30000</v>
      </c>
      <c r="O6778" s="65" t="str">
        <f>VLOOKUP(E6778,DATABASE!C:Q,8,false)</f>
        <v>NON</v>
      </c>
      <c r="P6778" s="65">
        <f>VLOOKUP(E6778,DATABASE!C:Q,9,False)</f>
        <v>0</v>
      </c>
      <c r="Q6778" s="93" t="str">
        <f>VLOOKUP(E6778,DATABASE!C:Q,4,false)</f>
        <v>Shell</v>
      </c>
      <c r="R6778" s="93" t="str">
        <f>VLOOKUP(E6778,DATABASE!C:Q,11,false)</f>
        <v>OIL</v>
      </c>
    </row>
    <row r="6779" ht="22.5" customHeight="1">
      <c r="A6779" s="49"/>
      <c r="C6779" s="400">
        <v>46051.0</v>
      </c>
      <c r="D6779" s="524">
        <v>155.0</v>
      </c>
      <c r="E6779" s="544" t="s">
        <v>1389</v>
      </c>
      <c r="F6779" s="387">
        <v>1.0</v>
      </c>
      <c r="G6779" s="140">
        <v>1020000.0</v>
      </c>
      <c r="H6779" s="74"/>
      <c r="I6779" s="74">
        <f t="shared" si="1"/>
        <v>1020000</v>
      </c>
      <c r="J6779" s="74">
        <f>IF(E6779="SERVICE",I6779-(I6779*50%),Vlookup(E6779,DATABASE!C:Q,10,false)*F6779)</f>
        <v>0</v>
      </c>
      <c r="K6779" s="74">
        <f>VLOOKUP(E6779,DATABASE!C:Q,7,false)</f>
        <v>908000</v>
      </c>
      <c r="L6779" s="74">
        <v>908000.0</v>
      </c>
      <c r="M6779" s="74">
        <f t="shared" si="2"/>
        <v>910000</v>
      </c>
      <c r="N6779" s="74">
        <f t="shared" si="3"/>
        <v>110000</v>
      </c>
      <c r="O6779" s="65" t="str">
        <f>VLOOKUP(E6779,DATABASE!C:Q,8,false)</f>
        <v>IBU</v>
      </c>
      <c r="P6779" s="65">
        <f>VLOOKUP(E6779,DATABASE!C:Q,9,False)</f>
        <v>1</v>
      </c>
      <c r="Q6779" s="93" t="str">
        <f>VLOOKUP(E6779,DATABASE!C:Q,4,false)</f>
        <v>Dunlop</v>
      </c>
      <c r="R6779" s="93" t="str">
        <f>VLOOKUP(E6779,DATABASE!C:Q,11,false)</f>
        <v>Tire</v>
      </c>
    </row>
    <row r="6780" ht="22.5" customHeight="1">
      <c r="A6780" s="49"/>
      <c r="C6780" s="400">
        <v>46051.0</v>
      </c>
      <c r="D6780" s="524">
        <v>156.0</v>
      </c>
      <c r="E6780" s="544" t="s">
        <v>265</v>
      </c>
      <c r="F6780" s="387">
        <v>2.0</v>
      </c>
      <c r="G6780" s="140">
        <v>685000.0</v>
      </c>
      <c r="H6780" s="74"/>
      <c r="I6780" s="74">
        <f t="shared" si="1"/>
        <v>1370000</v>
      </c>
      <c r="J6780" s="74">
        <f>IF(E6780="SERVICE",I6780-(I6780*50%),Vlookup(E6780,DATABASE!C:Q,10,false)*F6780)</f>
        <v>0</v>
      </c>
      <c r="K6780" s="74">
        <f>VLOOKUP(E6780,DATABASE!C:Q,7,false)</f>
        <v>628000</v>
      </c>
      <c r="L6780" s="74">
        <v>600000.0</v>
      </c>
      <c r="M6780" s="74">
        <f t="shared" si="2"/>
        <v>600000</v>
      </c>
      <c r="N6780" s="74">
        <f t="shared" si="3"/>
        <v>170000</v>
      </c>
      <c r="O6780" s="65" t="str">
        <f>VLOOKUP(E6780,DATABASE!C:Q,8,false)</f>
        <v>IBU</v>
      </c>
      <c r="P6780" s="65">
        <f>VLOOKUP(E6780,DATABASE!C:Q,9,False)</f>
        <v>1</v>
      </c>
      <c r="Q6780" s="93" t="str">
        <f>VLOOKUP(E6780,DATABASE!C:Q,4,false)</f>
        <v>Dunlop</v>
      </c>
      <c r="R6780" s="93" t="str">
        <f>VLOOKUP(E6780,DATABASE!C:Q,11,false)</f>
        <v>Tire</v>
      </c>
    </row>
    <row r="6781" ht="22.5" customHeight="1">
      <c r="A6781" s="49"/>
      <c r="C6781" s="400">
        <v>46051.0</v>
      </c>
      <c r="D6781" s="524">
        <v>156.0</v>
      </c>
      <c r="E6781" s="544" t="s">
        <v>262</v>
      </c>
      <c r="F6781" s="387">
        <v>1.0</v>
      </c>
      <c r="G6781" s="140">
        <v>110000.0</v>
      </c>
      <c r="H6781" s="74"/>
      <c r="I6781" s="74">
        <f t="shared" si="1"/>
        <v>110000</v>
      </c>
      <c r="J6781" s="74">
        <f>IF(E6781="SERVICE",I6781-(I6781*50%),Vlookup(E6781,DATABASE!C:Q,10,false)*F6781)</f>
        <v>5000</v>
      </c>
      <c r="K6781" s="74">
        <f>VLOOKUP(E6781,DATABASE!C:Q,7,false)</f>
        <v>0</v>
      </c>
      <c r="L6781" s="74">
        <v>0.0</v>
      </c>
      <c r="M6781" s="74">
        <f t="shared" si="2"/>
        <v>0</v>
      </c>
      <c r="N6781" s="74">
        <f t="shared" si="3"/>
        <v>105000</v>
      </c>
      <c r="O6781" s="65" t="str">
        <f>VLOOKUP(E6781,DATABASE!C:Q,8,false)</f>
        <v>IBU</v>
      </c>
      <c r="P6781" s="65">
        <f>VLOOKUP(E6781,DATABASE!C:Q,9,False)</f>
        <v>0</v>
      </c>
      <c r="Q6781" s="93" t="str">
        <f>VLOOKUP(E6781,DATABASE!C:Q,4,false)</f>
        <v>SPOORING SS/CARRY LOS BAK</v>
      </c>
      <c r="R6781" s="93" t="str">
        <f>VLOOKUP(E6781,DATABASE!C:Q,11,false)</f>
        <v>SERVICE</v>
      </c>
    </row>
    <row r="6782" ht="22.5" customHeight="1">
      <c r="A6782" s="49"/>
      <c r="C6782" s="400">
        <v>46051.0</v>
      </c>
      <c r="D6782" s="524">
        <v>156.0</v>
      </c>
      <c r="E6782" s="544" t="s">
        <v>305</v>
      </c>
      <c r="F6782" s="387">
        <v>1.0</v>
      </c>
      <c r="G6782" s="140">
        <v>235000.0</v>
      </c>
      <c r="H6782" s="74"/>
      <c r="I6782" s="74">
        <f t="shared" si="1"/>
        <v>235000</v>
      </c>
      <c r="J6782" s="74">
        <f>IF(E6782="SERVICE",I6782-(I6782*50%),Vlookup(E6782,DATABASE!C:Q,10,false)*F6782)</f>
        <v>40000</v>
      </c>
      <c r="K6782" s="74">
        <f>VLOOKUP(E6782,DATABASE!C:Q,7,false)</f>
        <v>158530.2</v>
      </c>
      <c r="L6782" s="74">
        <v>151890.0</v>
      </c>
      <c r="M6782" s="74">
        <f t="shared" si="2"/>
        <v>155000</v>
      </c>
      <c r="N6782" s="74">
        <f t="shared" si="3"/>
        <v>40000</v>
      </c>
      <c r="O6782" s="65" t="str">
        <f>VLOOKUP(E6782,DATABASE!C:Q,8,false)</f>
        <v>BIAN</v>
      </c>
      <c r="P6782" s="65">
        <f>VLOOKUP(E6782,DATABASE!C:Q,9,False)</f>
        <v>1</v>
      </c>
      <c r="Q6782" s="93" t="str">
        <f>VLOOKUP(E6782,DATABASE!C:Q,4,false)</f>
        <v>Lower Arm</v>
      </c>
      <c r="R6782" s="93" t="str">
        <f>VLOOKUP(E6782,DATABASE!C:Q,11,false)</f>
        <v>COMPLEMENTARY</v>
      </c>
    </row>
    <row r="6783" ht="22.5" customHeight="1">
      <c r="A6783" s="49"/>
      <c r="C6783" s="400">
        <v>46051.0</v>
      </c>
      <c r="D6783" s="524">
        <v>156.0</v>
      </c>
      <c r="E6783" s="544" t="s">
        <v>2154</v>
      </c>
      <c r="F6783" s="387">
        <v>1.0</v>
      </c>
      <c r="G6783" s="140">
        <v>225000.0</v>
      </c>
      <c r="H6783" s="74"/>
      <c r="I6783" s="74">
        <f t="shared" si="1"/>
        <v>225000</v>
      </c>
      <c r="J6783" s="74">
        <f>IF(E6783="SERVICE",I6783-(I6783*50%),Vlookup(E6783,DATABASE!C:Q,10,false)*F6783)</f>
        <v>80000</v>
      </c>
      <c r="K6783" s="74">
        <f>VLOOKUP(E6783,DATABASE!C:Q,7,false)</f>
        <v>90000</v>
      </c>
      <c r="L6783" s="74">
        <v>90000.0</v>
      </c>
      <c r="M6783" s="74">
        <f t="shared" si="2"/>
        <v>90000</v>
      </c>
      <c r="N6783" s="74">
        <f t="shared" si="3"/>
        <v>55000</v>
      </c>
      <c r="O6783" s="65" t="str">
        <f>VLOOKUP(E6783,DATABASE!C:Q,8,false)</f>
        <v>IBU</v>
      </c>
      <c r="P6783" s="65">
        <f>VLOOKUP(E6783,DATABASE!C:Q,9,False)</f>
        <v>0</v>
      </c>
      <c r="Q6783" s="93" t="str">
        <f>VLOOKUP(E6783,DATABASE!C:Q,4,false)</f>
        <v>SERVICE</v>
      </c>
      <c r="R6783" s="93" t="str">
        <f>VLOOKUP(E6783,DATABASE!C:Q,11,false)</f>
        <v>COMPLEMENTARY</v>
      </c>
    </row>
    <row r="6784" ht="22.5" customHeight="1">
      <c r="A6784" s="49"/>
      <c r="C6784" s="400">
        <v>46051.0</v>
      </c>
      <c r="D6784" s="524">
        <v>156.0</v>
      </c>
      <c r="E6784" s="544" t="s">
        <v>478</v>
      </c>
      <c r="F6784" s="387">
        <v>1.0</v>
      </c>
      <c r="G6784" s="140">
        <v>200000.0</v>
      </c>
      <c r="H6784" s="74"/>
      <c r="I6784" s="74">
        <f t="shared" si="1"/>
        <v>200000</v>
      </c>
      <c r="J6784" s="74">
        <f>IF(E6784="SERVICE",I6784-(I6784*50%),Vlookup(E6784,DATABASE!C:Q,10,false)*F6784)</f>
        <v>25000</v>
      </c>
      <c r="K6784" s="74">
        <f>VLOOKUP(E6784,DATABASE!C:Q,7,false)</f>
        <v>75000</v>
      </c>
      <c r="L6784" s="74">
        <v>75000.0</v>
      </c>
      <c r="M6784" s="74">
        <f t="shared" si="2"/>
        <v>75000</v>
      </c>
      <c r="N6784" s="74">
        <f t="shared" si="3"/>
        <v>100000</v>
      </c>
      <c r="O6784" s="65" t="str">
        <f>VLOOKUP(E6784,DATABASE!C:Q,8,false)</f>
        <v>BIAN</v>
      </c>
      <c r="P6784" s="65">
        <f>VLOOKUP(E6784,DATABASE!C:Q,9,False)</f>
        <v>0</v>
      </c>
      <c r="Q6784" s="93" t="str">
        <f>VLOOKUP(E6784,DATABASE!C:Q,4,false)</f>
        <v>Baut Camber ss-carry</v>
      </c>
      <c r="R6784" s="93" t="str">
        <f>VLOOKUP(E6784,DATABASE!C:Q,11,false)</f>
        <v>COMPLEMENTARY</v>
      </c>
    </row>
    <row r="6785" ht="22.5" customHeight="1">
      <c r="A6785" s="49"/>
      <c r="C6785" s="400">
        <v>46051.0</v>
      </c>
      <c r="D6785" s="524">
        <v>157.0</v>
      </c>
      <c r="E6785" s="544" t="s">
        <v>268</v>
      </c>
      <c r="F6785" s="387">
        <v>2.0</v>
      </c>
      <c r="G6785" s="140">
        <v>710000.0</v>
      </c>
      <c r="H6785" s="74"/>
      <c r="I6785" s="74">
        <f t="shared" si="1"/>
        <v>1420000</v>
      </c>
      <c r="J6785" s="74">
        <f>IF(E6785="SERVICE",I6785-(I6785*50%),Vlookup(E6785,DATABASE!C:Q,10,false)*F6785)</f>
        <v>0</v>
      </c>
      <c r="K6785" s="74">
        <f>VLOOKUP(E6785,DATABASE!C:Q,7,false)</f>
        <v>653000</v>
      </c>
      <c r="L6785" s="74">
        <v>622000.0</v>
      </c>
      <c r="M6785" s="74">
        <f t="shared" si="2"/>
        <v>625000</v>
      </c>
      <c r="N6785" s="74">
        <f t="shared" si="3"/>
        <v>170000</v>
      </c>
      <c r="O6785" s="65" t="str">
        <f>VLOOKUP(E6785,DATABASE!C:Q,8,false)</f>
        <v>IBU</v>
      </c>
      <c r="P6785" s="65">
        <f>VLOOKUP(E6785,DATABASE!C:Q,9,False)</f>
        <v>1</v>
      </c>
      <c r="Q6785" s="93" t="str">
        <f>VLOOKUP(E6785,DATABASE!C:Q,4,false)</f>
        <v>Dunlop</v>
      </c>
      <c r="R6785" s="93" t="str">
        <f>VLOOKUP(E6785,DATABASE!C:Q,11,false)</f>
        <v>Tire</v>
      </c>
    </row>
    <row r="6786" ht="22.5" customHeight="1">
      <c r="A6786" s="49"/>
      <c r="C6786" s="400">
        <v>46051.0</v>
      </c>
      <c r="D6786" s="524">
        <v>157.0</v>
      </c>
      <c r="E6786" s="544" t="s">
        <v>256</v>
      </c>
      <c r="F6786" s="387">
        <v>1.0</v>
      </c>
      <c r="G6786" s="140">
        <v>150000.0</v>
      </c>
      <c r="H6786" s="140">
        <v>20000.0</v>
      </c>
      <c r="I6786" s="74">
        <f t="shared" si="1"/>
        <v>130000</v>
      </c>
      <c r="J6786" s="74">
        <f>IF(E6786="SERVICE",I6786-(I6786*50%),Vlookup(E6786,DATABASE!C:Q,10,false)*F6786)</f>
        <v>10000</v>
      </c>
      <c r="K6786" s="74">
        <f>VLOOKUP(E6786,DATABASE!C:Q,7,false)</f>
        <v>0</v>
      </c>
      <c r="L6786" s="74">
        <v>0.0</v>
      </c>
      <c r="M6786" s="74">
        <f t="shared" si="2"/>
        <v>0</v>
      </c>
      <c r="N6786" s="74">
        <f t="shared" si="3"/>
        <v>120000</v>
      </c>
      <c r="O6786" s="65" t="str">
        <f>VLOOKUP(E6786,DATABASE!C:Q,8,false)</f>
        <v>IBU</v>
      </c>
      <c r="P6786" s="65">
        <f>VLOOKUP(E6786,DATABASE!C:Q,9,False)</f>
        <v>0</v>
      </c>
      <c r="Q6786" s="93" t="str">
        <f>VLOOKUP(E6786,DATABASE!C:Q,4,false)</f>
        <v>SPOORING</v>
      </c>
      <c r="R6786" s="93" t="str">
        <f>VLOOKUP(E6786,DATABASE!C:Q,11,false)</f>
        <v>SERVICE</v>
      </c>
    </row>
    <row r="6787" ht="22.5" customHeight="1">
      <c r="A6787" s="49"/>
      <c r="C6787" s="400">
        <v>46051.0</v>
      </c>
      <c r="D6787" s="524">
        <v>160.0</v>
      </c>
      <c r="E6787" s="544" t="s">
        <v>275</v>
      </c>
      <c r="F6787" s="387">
        <v>1.0</v>
      </c>
      <c r="G6787" s="140">
        <v>830000.0</v>
      </c>
      <c r="H6787" s="74"/>
      <c r="I6787" s="74">
        <f t="shared" si="1"/>
        <v>830000</v>
      </c>
      <c r="J6787" s="74">
        <f>IF(E6787="SERVICE",I6787-(I6787*50%),Vlookup(E6787,DATABASE!C:Q,10,false)*F6787)</f>
        <v>0</v>
      </c>
      <c r="K6787" s="74">
        <f>VLOOKUP(E6787,DATABASE!C:Q,7,false)</f>
        <v>782000</v>
      </c>
      <c r="L6787" s="74">
        <v>745000.0</v>
      </c>
      <c r="M6787" s="74">
        <f t="shared" si="2"/>
        <v>745000</v>
      </c>
      <c r="N6787" s="74">
        <f t="shared" si="3"/>
        <v>85000</v>
      </c>
      <c r="O6787" s="65" t="str">
        <f>VLOOKUP(E6787,DATABASE!C:Q,8,false)</f>
        <v>IBU</v>
      </c>
      <c r="P6787" s="65">
        <f>VLOOKUP(E6787,DATABASE!C:Q,9,False)</f>
        <v>1</v>
      </c>
      <c r="Q6787" s="93" t="str">
        <f>VLOOKUP(E6787,DATABASE!C:Q,4,false)</f>
        <v>Dunlop</v>
      </c>
      <c r="R6787" s="93" t="str">
        <f>VLOOKUP(E6787,DATABASE!C:Q,11,false)</f>
        <v>Tire</v>
      </c>
    </row>
    <row r="6788" ht="22.5" customHeight="1">
      <c r="A6788" s="49"/>
      <c r="C6788" s="400">
        <v>46051.0</v>
      </c>
      <c r="D6788" s="524">
        <v>161.0</v>
      </c>
      <c r="E6788" s="544" t="s">
        <v>614</v>
      </c>
      <c r="F6788" s="387">
        <v>2.0</v>
      </c>
      <c r="G6788" s="140">
        <v>820000.0</v>
      </c>
      <c r="H6788" s="140">
        <v>10000.0</v>
      </c>
      <c r="I6788" s="74">
        <f t="shared" si="1"/>
        <v>1620000</v>
      </c>
      <c r="J6788" s="74">
        <f>IF(E6788="SERVICE",I6788-(I6788*50%),Vlookup(E6788,DATABASE!C:Q,10,false)*F6788)</f>
        <v>0</v>
      </c>
      <c r="K6788" s="74">
        <f>VLOOKUP(E6788,DATABASE!C:Q,7,false)</f>
        <v>754660.6</v>
      </c>
      <c r="L6788" s="74">
        <v>712256.0</v>
      </c>
      <c r="M6788" s="74">
        <f t="shared" si="2"/>
        <v>715000</v>
      </c>
      <c r="N6788" s="74">
        <f t="shared" si="3"/>
        <v>190000</v>
      </c>
      <c r="O6788" s="65" t="str">
        <f>VLOOKUP(E6788,DATABASE!C:Q,8,false)</f>
        <v>IBU</v>
      </c>
      <c r="P6788" s="65">
        <f>VLOOKUP(E6788,DATABASE!C:Q,9,False)</f>
        <v>1</v>
      </c>
      <c r="Q6788" s="93" t="str">
        <f>VLOOKUP(E6788,DATABASE!C:Q,4,false)</f>
        <v>Bridgestone</v>
      </c>
      <c r="R6788" s="93" t="str">
        <f>VLOOKUP(E6788,DATABASE!C:Q,11,false)</f>
        <v>Tire</v>
      </c>
    </row>
    <row r="6789" ht="22.5" customHeight="1">
      <c r="A6789" s="49"/>
      <c r="C6789" s="400">
        <v>46051.0</v>
      </c>
      <c r="D6789" s="524">
        <v>161.0</v>
      </c>
      <c r="E6789" s="544" t="s">
        <v>256</v>
      </c>
      <c r="F6789" s="387">
        <v>1.0</v>
      </c>
      <c r="G6789" s="140">
        <v>150000.0</v>
      </c>
      <c r="H6789" s="140">
        <v>20000.0</v>
      </c>
      <c r="I6789" s="74">
        <f t="shared" si="1"/>
        <v>130000</v>
      </c>
      <c r="J6789" s="74">
        <f>IF(E6789="SERVICE",I6789-(I6789*50%),Vlookup(E6789,DATABASE!C:Q,10,false)*F6789)</f>
        <v>10000</v>
      </c>
      <c r="K6789" s="74">
        <f>VLOOKUP(E6789,DATABASE!C:Q,7,false)</f>
        <v>0</v>
      </c>
      <c r="L6789" s="74">
        <v>0.0</v>
      </c>
      <c r="M6789" s="74">
        <f t="shared" si="2"/>
        <v>0</v>
      </c>
      <c r="N6789" s="74">
        <f t="shared" si="3"/>
        <v>120000</v>
      </c>
      <c r="O6789" s="65" t="str">
        <f>VLOOKUP(E6789,DATABASE!C:Q,8,false)</f>
        <v>IBU</v>
      </c>
      <c r="P6789" s="65">
        <f>VLOOKUP(E6789,DATABASE!C:Q,9,False)</f>
        <v>0</v>
      </c>
      <c r="Q6789" s="93" t="str">
        <f>VLOOKUP(E6789,DATABASE!C:Q,4,false)</f>
        <v>SPOORING</v>
      </c>
      <c r="R6789" s="93" t="str">
        <f>VLOOKUP(E6789,DATABASE!C:Q,11,false)</f>
        <v>SERVICE</v>
      </c>
    </row>
    <row r="6790" ht="22.5" customHeight="1">
      <c r="A6790" s="49"/>
      <c r="C6790" s="400">
        <v>46051.0</v>
      </c>
      <c r="D6790" s="524">
        <v>161.0</v>
      </c>
      <c r="E6790" s="544" t="s">
        <v>301</v>
      </c>
      <c r="F6790" s="387">
        <v>1.0</v>
      </c>
      <c r="G6790" s="140">
        <v>250000.0</v>
      </c>
      <c r="H6790" s="74"/>
      <c r="I6790" s="74">
        <f t="shared" si="1"/>
        <v>250000</v>
      </c>
      <c r="J6790" s="74">
        <f>IF(E6790="SERVICE",I6790-(I6790*50%),Vlookup(E6790,DATABASE!C:Q,10,false)*F6790)</f>
        <v>75000</v>
      </c>
      <c r="K6790" s="74">
        <f>VLOOKUP(E6790,DATABASE!C:Q,7,false)</f>
        <v>75000</v>
      </c>
      <c r="L6790" s="74">
        <v>75000.0</v>
      </c>
      <c r="M6790" s="74">
        <f t="shared" si="2"/>
        <v>75000</v>
      </c>
      <c r="N6790" s="74">
        <f t="shared" si="3"/>
        <v>100000</v>
      </c>
      <c r="O6790" s="65" t="str">
        <f>VLOOKUP(E6790,DATABASE!C:Q,8,false)</f>
        <v>BIAN</v>
      </c>
      <c r="P6790" s="65">
        <f>VLOOKUP(E6790,DATABASE!C:Q,9,False)</f>
        <v>0</v>
      </c>
      <c r="Q6790" s="93" t="str">
        <f>VLOOKUP(E6790,DATABASE!C:Q,4,false)</f>
        <v>Baut Camber</v>
      </c>
      <c r="R6790" s="93" t="str">
        <f>VLOOKUP(E6790,DATABASE!C:Q,11,false)</f>
        <v>COMPLEMENTARY</v>
      </c>
    </row>
    <row r="6791" ht="22.5" customHeight="1">
      <c r="A6791" s="49"/>
      <c r="C6791" s="400">
        <v>46051.0</v>
      </c>
      <c r="D6791" s="524">
        <v>162.0</v>
      </c>
      <c r="E6791" s="544" t="s">
        <v>268</v>
      </c>
      <c r="F6791" s="387">
        <v>2.0</v>
      </c>
      <c r="G6791" s="140">
        <v>710000.0</v>
      </c>
      <c r="H6791" s="74"/>
      <c r="I6791" s="74">
        <f t="shared" si="1"/>
        <v>1420000</v>
      </c>
      <c r="J6791" s="74">
        <f>IF(E6791="SERVICE",I6791-(I6791*50%),Vlookup(E6791,DATABASE!C:Q,10,false)*F6791)</f>
        <v>0</v>
      </c>
      <c r="K6791" s="74">
        <f>VLOOKUP(E6791,DATABASE!C:Q,7,false)</f>
        <v>653000</v>
      </c>
      <c r="L6791" s="74">
        <v>622000.0</v>
      </c>
      <c r="M6791" s="74">
        <f t="shared" si="2"/>
        <v>625000</v>
      </c>
      <c r="N6791" s="74">
        <f t="shared" si="3"/>
        <v>170000</v>
      </c>
      <c r="O6791" s="65" t="str">
        <f>VLOOKUP(E6791,DATABASE!C:Q,8,false)</f>
        <v>IBU</v>
      </c>
      <c r="P6791" s="65">
        <f>VLOOKUP(E6791,DATABASE!C:Q,9,False)</f>
        <v>1</v>
      </c>
      <c r="Q6791" s="93" t="str">
        <f>VLOOKUP(E6791,DATABASE!C:Q,4,false)</f>
        <v>Dunlop</v>
      </c>
      <c r="R6791" s="93" t="str">
        <f>VLOOKUP(E6791,DATABASE!C:Q,11,false)</f>
        <v>Tire</v>
      </c>
    </row>
    <row r="6792" ht="22.5" customHeight="1">
      <c r="A6792" s="49"/>
      <c r="C6792" s="400">
        <v>46051.0</v>
      </c>
      <c r="D6792" s="524">
        <v>162.0</v>
      </c>
      <c r="E6792" s="544" t="s">
        <v>256</v>
      </c>
      <c r="F6792" s="387">
        <v>1.0</v>
      </c>
      <c r="G6792" s="140">
        <v>150000.0</v>
      </c>
      <c r="H6792" s="140">
        <v>20000.0</v>
      </c>
      <c r="I6792" s="74">
        <f t="shared" si="1"/>
        <v>130000</v>
      </c>
      <c r="J6792" s="74">
        <f>IF(E6792="SERVICE",I6792-(I6792*50%),Vlookup(E6792,DATABASE!C:Q,10,false)*F6792)</f>
        <v>10000</v>
      </c>
      <c r="K6792" s="74">
        <f>VLOOKUP(E6792,DATABASE!C:Q,7,false)</f>
        <v>0</v>
      </c>
      <c r="L6792" s="74">
        <v>0.0</v>
      </c>
      <c r="M6792" s="74">
        <f t="shared" si="2"/>
        <v>0</v>
      </c>
      <c r="N6792" s="74">
        <f t="shared" si="3"/>
        <v>120000</v>
      </c>
      <c r="O6792" s="65" t="str">
        <f>VLOOKUP(E6792,DATABASE!C:Q,8,false)</f>
        <v>IBU</v>
      </c>
      <c r="P6792" s="65">
        <f>VLOOKUP(E6792,DATABASE!C:Q,9,False)</f>
        <v>0</v>
      </c>
      <c r="Q6792" s="93" t="str">
        <f>VLOOKUP(E6792,DATABASE!C:Q,4,false)</f>
        <v>SPOORING</v>
      </c>
      <c r="R6792" s="93" t="str">
        <f>VLOOKUP(E6792,DATABASE!C:Q,11,false)</f>
        <v>SERVICE</v>
      </c>
    </row>
    <row r="6793" ht="22.5" customHeight="1">
      <c r="A6793" s="49"/>
      <c r="C6793" s="400">
        <v>46051.0</v>
      </c>
      <c r="D6793" s="524">
        <v>163.0</v>
      </c>
      <c r="E6793" s="544" t="s">
        <v>256</v>
      </c>
      <c r="F6793" s="387">
        <v>1.0</v>
      </c>
      <c r="G6793" s="140">
        <v>150000.0</v>
      </c>
      <c r="H6793" s="140">
        <v>30000.0</v>
      </c>
      <c r="I6793" s="74">
        <f t="shared" si="1"/>
        <v>120000</v>
      </c>
      <c r="J6793" s="74">
        <f>IF(E6793="SERVICE",I6793-(I6793*50%),Vlookup(E6793,DATABASE!C:Q,10,false)*F6793)</f>
        <v>10000</v>
      </c>
      <c r="K6793" s="74">
        <f>VLOOKUP(E6793,DATABASE!C:Q,7,false)</f>
        <v>0</v>
      </c>
      <c r="L6793" s="74">
        <v>0.0</v>
      </c>
      <c r="M6793" s="74">
        <f t="shared" si="2"/>
        <v>0</v>
      </c>
      <c r="N6793" s="74">
        <f t="shared" si="3"/>
        <v>110000</v>
      </c>
      <c r="O6793" s="65" t="str">
        <f>VLOOKUP(E6793,DATABASE!C:Q,8,false)</f>
        <v>IBU</v>
      </c>
      <c r="P6793" s="65">
        <f>VLOOKUP(E6793,DATABASE!C:Q,9,False)</f>
        <v>0</v>
      </c>
      <c r="Q6793" s="93" t="str">
        <f>VLOOKUP(E6793,DATABASE!C:Q,4,false)</f>
        <v>SPOORING</v>
      </c>
      <c r="R6793" s="93" t="str">
        <f>VLOOKUP(E6793,DATABASE!C:Q,11,false)</f>
        <v>SERVICE</v>
      </c>
    </row>
    <row r="6794" ht="22.5" customHeight="1">
      <c r="A6794" s="49"/>
      <c r="C6794" s="400">
        <v>46051.0</v>
      </c>
      <c r="D6794" s="524">
        <v>163.0</v>
      </c>
      <c r="E6794" s="544" t="s">
        <v>301</v>
      </c>
      <c r="F6794" s="387">
        <v>1.0</v>
      </c>
      <c r="G6794" s="140">
        <v>250000.0</v>
      </c>
      <c r="H6794" s="74"/>
      <c r="I6794" s="74">
        <f t="shared" si="1"/>
        <v>250000</v>
      </c>
      <c r="J6794" s="74">
        <f>IF(E6794="SERVICE",I6794-(I6794*50%),Vlookup(E6794,DATABASE!C:Q,10,false)*F6794)</f>
        <v>75000</v>
      </c>
      <c r="K6794" s="74">
        <f>VLOOKUP(E6794,DATABASE!C:Q,7,false)</f>
        <v>75000</v>
      </c>
      <c r="L6794" s="74">
        <v>75000.0</v>
      </c>
      <c r="M6794" s="74">
        <f t="shared" si="2"/>
        <v>75000</v>
      </c>
      <c r="N6794" s="74">
        <f t="shared" si="3"/>
        <v>100000</v>
      </c>
      <c r="O6794" s="65" t="str">
        <f>VLOOKUP(E6794,DATABASE!C:Q,8,false)</f>
        <v>BIAN</v>
      </c>
      <c r="P6794" s="65">
        <f>VLOOKUP(E6794,DATABASE!C:Q,9,False)</f>
        <v>0</v>
      </c>
      <c r="Q6794" s="93" t="str">
        <f>VLOOKUP(E6794,DATABASE!C:Q,4,false)</f>
        <v>Baut Camber</v>
      </c>
      <c r="R6794" s="93" t="str">
        <f>VLOOKUP(E6794,DATABASE!C:Q,11,false)</f>
        <v>COMPLEMENTARY</v>
      </c>
    </row>
    <row r="6795" ht="22.5" customHeight="1">
      <c r="A6795" s="49"/>
      <c r="C6795" s="400">
        <v>46051.0</v>
      </c>
      <c r="D6795" s="524">
        <v>163.0</v>
      </c>
      <c r="E6795" s="544" t="s">
        <v>271</v>
      </c>
      <c r="F6795" s="387">
        <v>1.0</v>
      </c>
      <c r="G6795" s="140">
        <v>630000.0</v>
      </c>
      <c r="H6795" s="74"/>
      <c r="I6795" s="74">
        <f t="shared" si="1"/>
        <v>630000</v>
      </c>
      <c r="J6795" s="74">
        <f>IF(E6795="SERVICE",I6795-(I6795*50%),Vlookup(E6795,DATABASE!C:Q,10,false)*F6795)</f>
        <v>0</v>
      </c>
      <c r="K6795" s="74">
        <f>VLOOKUP(E6795,DATABASE!C:Q,7,false)</f>
        <v>570000</v>
      </c>
      <c r="L6795" s="74">
        <v>539000.0</v>
      </c>
      <c r="M6795" s="74">
        <f t="shared" si="2"/>
        <v>540000</v>
      </c>
      <c r="N6795" s="74">
        <f t="shared" si="3"/>
        <v>90000</v>
      </c>
      <c r="O6795" s="65" t="str">
        <f>VLOOKUP(E6795,DATABASE!C:Q,8,false)</f>
        <v>IBU</v>
      </c>
      <c r="P6795" s="65">
        <f>VLOOKUP(E6795,DATABASE!C:Q,9,False)</f>
        <v>1</v>
      </c>
      <c r="Q6795" s="93" t="str">
        <f>VLOOKUP(E6795,DATABASE!C:Q,4,false)</f>
        <v>Dunlop</v>
      </c>
      <c r="R6795" s="93" t="str">
        <f>VLOOKUP(E6795,DATABASE!C:Q,11,false)</f>
        <v>Tire</v>
      </c>
    </row>
    <row r="6796" ht="22.5" customHeight="1">
      <c r="A6796" s="49"/>
      <c r="C6796" s="400">
        <v>46051.0</v>
      </c>
      <c r="D6796" s="524">
        <v>164.0</v>
      </c>
      <c r="E6796" s="544" t="s">
        <v>268</v>
      </c>
      <c r="F6796" s="387">
        <v>2.0</v>
      </c>
      <c r="G6796" s="140">
        <v>710000.0</v>
      </c>
      <c r="H6796" s="74"/>
      <c r="I6796" s="74">
        <f t="shared" si="1"/>
        <v>1420000</v>
      </c>
      <c r="J6796" s="74">
        <f>IF(E6796="SERVICE",I6796-(I6796*50%),Vlookup(E6796,DATABASE!C:Q,10,false)*F6796)</f>
        <v>0</v>
      </c>
      <c r="K6796" s="74">
        <f>VLOOKUP(E6796,DATABASE!C:Q,7,false)</f>
        <v>653000</v>
      </c>
      <c r="L6796" s="74">
        <v>622000.0</v>
      </c>
      <c r="M6796" s="74">
        <f t="shared" si="2"/>
        <v>625000</v>
      </c>
      <c r="N6796" s="74">
        <f t="shared" si="3"/>
        <v>170000</v>
      </c>
      <c r="O6796" s="65" t="str">
        <f>VLOOKUP(E6796,DATABASE!C:Q,8,false)</f>
        <v>IBU</v>
      </c>
      <c r="P6796" s="65">
        <f>VLOOKUP(E6796,DATABASE!C:Q,9,False)</f>
        <v>1</v>
      </c>
      <c r="Q6796" s="93" t="str">
        <f>VLOOKUP(E6796,DATABASE!C:Q,4,false)</f>
        <v>Dunlop</v>
      </c>
      <c r="R6796" s="93" t="str">
        <f>VLOOKUP(E6796,DATABASE!C:Q,11,false)</f>
        <v>Tire</v>
      </c>
    </row>
    <row r="6797" ht="22.5" customHeight="1">
      <c r="A6797" s="49"/>
      <c r="C6797" s="400">
        <v>46051.0</v>
      </c>
      <c r="D6797" s="524">
        <v>165.0</v>
      </c>
      <c r="E6797" s="544" t="s">
        <v>256</v>
      </c>
      <c r="F6797" s="387">
        <v>1.0</v>
      </c>
      <c r="G6797" s="140">
        <v>150000.0</v>
      </c>
      <c r="H6797" s="140">
        <v>20000.0</v>
      </c>
      <c r="I6797" s="74">
        <f t="shared" si="1"/>
        <v>130000</v>
      </c>
      <c r="J6797" s="74">
        <f>IF(E6797="SERVICE",I6797-(I6797*50%),Vlookup(E6797,DATABASE!C:Q,10,false)*F6797)</f>
        <v>10000</v>
      </c>
      <c r="K6797" s="74">
        <f>VLOOKUP(E6797,DATABASE!C:Q,7,false)</f>
        <v>0</v>
      </c>
      <c r="L6797" s="74">
        <v>0.0</v>
      </c>
      <c r="M6797" s="74">
        <f t="shared" si="2"/>
        <v>0</v>
      </c>
      <c r="N6797" s="74">
        <f t="shared" si="3"/>
        <v>120000</v>
      </c>
      <c r="O6797" s="65" t="str">
        <f>VLOOKUP(E6797,DATABASE!C:Q,8,false)</f>
        <v>IBU</v>
      </c>
      <c r="P6797" s="65">
        <f>VLOOKUP(E6797,DATABASE!C:Q,9,False)</f>
        <v>0</v>
      </c>
      <c r="Q6797" s="93" t="str">
        <f>VLOOKUP(E6797,DATABASE!C:Q,4,false)</f>
        <v>SPOORING</v>
      </c>
      <c r="R6797" s="93" t="str">
        <f>VLOOKUP(E6797,DATABASE!C:Q,11,false)</f>
        <v>SERVICE</v>
      </c>
    </row>
    <row r="6798" ht="22.5" customHeight="1">
      <c r="A6798" s="49"/>
      <c r="C6798" s="400">
        <v>46051.0</v>
      </c>
      <c r="D6798" s="524">
        <v>165.0</v>
      </c>
      <c r="E6798" s="544" t="s">
        <v>251</v>
      </c>
      <c r="F6798" s="387">
        <v>1.0</v>
      </c>
      <c r="G6798" s="140">
        <v>350000.0</v>
      </c>
      <c r="H6798" s="140">
        <v>200000.0</v>
      </c>
      <c r="I6798" s="74">
        <f t="shared" si="1"/>
        <v>150000</v>
      </c>
      <c r="J6798" s="74">
        <f>IF(E6798="SERVICE",I6798-(I6798*50%),Vlookup(E6798,DATABASE!C:Q,10,false)*F6798)</f>
        <v>75000</v>
      </c>
      <c r="K6798" s="74">
        <f>VLOOKUP(E6798,DATABASE!C:Q,7,false)</f>
        <v>0</v>
      </c>
      <c r="L6798" s="74">
        <v>0.0</v>
      </c>
      <c r="M6798" s="74">
        <f t="shared" si="2"/>
        <v>0</v>
      </c>
      <c r="N6798" s="74">
        <f t="shared" si="3"/>
        <v>75000</v>
      </c>
      <c r="O6798" s="65" t="str">
        <f>VLOOKUP(E6798,DATABASE!C:Q,8,false)</f>
        <v>IBU</v>
      </c>
      <c r="P6798" s="65">
        <f>VLOOKUP(E6798,DATABASE!C:Q,9,False)</f>
        <v>0</v>
      </c>
      <c r="Q6798" s="93" t="str">
        <f>VLOOKUP(E6798,DATABASE!C:Q,4,false)</f>
        <v>SERVICE</v>
      </c>
      <c r="R6798" s="93" t="str">
        <f>VLOOKUP(E6798,DATABASE!C:Q,11,false)</f>
        <v>SERVICE</v>
      </c>
    </row>
    <row r="6799" ht="22.5" customHeight="1">
      <c r="A6799" s="49"/>
      <c r="C6799" s="400">
        <v>46051.0</v>
      </c>
      <c r="D6799" s="524">
        <v>166.0</v>
      </c>
      <c r="E6799" s="544" t="s">
        <v>294</v>
      </c>
      <c r="F6799" s="387">
        <v>2.0</v>
      </c>
      <c r="G6799" s="140">
        <v>580000.0</v>
      </c>
      <c r="H6799" s="140">
        <v>5000.0</v>
      </c>
      <c r="I6799" s="74">
        <f t="shared" si="1"/>
        <v>1150000</v>
      </c>
      <c r="J6799" s="74">
        <f>IF(E6799="SERVICE",I6799-(I6799*50%),Vlookup(E6799,DATABASE!C:Q,10,false)*F6799)</f>
        <v>0</v>
      </c>
      <c r="K6799" s="74">
        <f>VLOOKUP(E6799,DATABASE!C:Q,7,false)</f>
        <v>505000</v>
      </c>
      <c r="L6799" s="74">
        <v>490000.0</v>
      </c>
      <c r="M6799" s="74">
        <f t="shared" si="2"/>
        <v>490000</v>
      </c>
      <c r="N6799" s="74">
        <f t="shared" si="3"/>
        <v>170000</v>
      </c>
      <c r="O6799" s="65" t="str">
        <f>VLOOKUP(E6799,DATABASE!C:Q,8,false)</f>
        <v>BIAN</v>
      </c>
      <c r="P6799" s="65">
        <f>VLOOKUP(E6799,DATABASE!C:Q,9,False)</f>
        <v>1</v>
      </c>
      <c r="Q6799" s="93" t="str">
        <f>VLOOKUP(E6799,DATABASE!C:Q,4,false)</f>
        <v>GT</v>
      </c>
      <c r="R6799" s="93" t="str">
        <f>VLOOKUP(E6799,DATABASE!C:Q,11,false)</f>
        <v>Tire</v>
      </c>
    </row>
    <row r="6800" ht="22.5" customHeight="1">
      <c r="A6800" s="49"/>
      <c r="C6800" s="400">
        <v>46051.0</v>
      </c>
      <c r="D6800" s="524">
        <v>166.0</v>
      </c>
      <c r="E6800" s="544" t="s">
        <v>569</v>
      </c>
      <c r="F6800" s="387">
        <v>1.0</v>
      </c>
      <c r="G6800" s="140">
        <v>80000.0</v>
      </c>
      <c r="H6800" s="74"/>
      <c r="I6800" s="74">
        <f t="shared" si="1"/>
        <v>80000</v>
      </c>
      <c r="J6800" s="74">
        <f>IF(E6800="SERVICE",I6800-(I6800*50%),Vlookup(E6800,DATABASE!C:Q,10,false)*F6800)</f>
        <v>0</v>
      </c>
      <c r="K6800" s="74">
        <f>VLOOKUP(E6800,DATABASE!C:Q,7,false)</f>
        <v>45439.582</v>
      </c>
      <c r="L6800" s="74">
        <v>45309.6</v>
      </c>
      <c r="M6800" s="74">
        <f t="shared" si="2"/>
        <v>50000</v>
      </c>
      <c r="N6800" s="74">
        <f t="shared" si="3"/>
        <v>30000</v>
      </c>
      <c r="O6800" s="65" t="str">
        <f>VLOOKUP(E6800,DATABASE!C:Q,8,false)</f>
        <v>BIAN</v>
      </c>
      <c r="P6800" s="65">
        <f>VLOOKUP(E6800,DATABASE!C:Q,9,False)</f>
        <v>1</v>
      </c>
      <c r="Q6800" s="93" t="str">
        <f>VLOOKUP(E6800,DATABASE!C:Q,4,false)</f>
        <v>BD</v>
      </c>
      <c r="R6800" s="93" t="str">
        <f>VLOOKUP(E6800,DATABASE!C:Q,11,false)</f>
        <v>Tire</v>
      </c>
    </row>
    <row r="6801" ht="22.5" customHeight="1">
      <c r="A6801" s="49"/>
      <c r="C6801" s="400">
        <v>46051.0</v>
      </c>
      <c r="D6801" s="524">
        <v>167.0</v>
      </c>
      <c r="E6801" s="544" t="s">
        <v>287</v>
      </c>
      <c r="F6801" s="387">
        <v>4.0</v>
      </c>
      <c r="G6801" s="140">
        <v>780000.0</v>
      </c>
      <c r="H6801" s="74"/>
      <c r="I6801" s="74">
        <f t="shared" si="1"/>
        <v>3120000</v>
      </c>
      <c r="J6801" s="74">
        <f>IF(E6801="SERVICE",I6801-(I6801*50%),Vlookup(E6801,DATABASE!C:Q,10,false)*F6801)</f>
        <v>0</v>
      </c>
      <c r="K6801" s="74">
        <f>VLOOKUP(E6801,DATABASE!C:Q,7,false)</f>
        <v>711000</v>
      </c>
      <c r="L6801" s="74">
        <v>690600.0</v>
      </c>
      <c r="M6801" s="74">
        <f t="shared" si="2"/>
        <v>695000</v>
      </c>
      <c r="N6801" s="74">
        <f t="shared" si="3"/>
        <v>340000</v>
      </c>
      <c r="O6801" s="65" t="str">
        <f>VLOOKUP(E6801,DATABASE!C:Q,8,false)</f>
        <v>BIAN</v>
      </c>
      <c r="P6801" s="65">
        <f>VLOOKUP(E6801,DATABASE!C:Q,9,False)</f>
        <v>1</v>
      </c>
      <c r="Q6801" s="93" t="str">
        <f>VLOOKUP(E6801,DATABASE!C:Q,4,false)</f>
        <v>GT</v>
      </c>
      <c r="R6801" s="93" t="str">
        <f>VLOOKUP(E6801,DATABASE!C:Q,11,false)</f>
        <v>Tire</v>
      </c>
    </row>
    <row r="6802" ht="22.5" customHeight="1">
      <c r="A6802" s="49"/>
      <c r="C6802" s="400">
        <v>46051.0</v>
      </c>
      <c r="D6802" s="524">
        <v>167.0</v>
      </c>
      <c r="E6802" s="544" t="s">
        <v>256</v>
      </c>
      <c r="F6802" s="387">
        <v>1.0</v>
      </c>
      <c r="G6802" s="140">
        <v>150000.0</v>
      </c>
      <c r="H6802" s="140">
        <v>30000.0</v>
      </c>
      <c r="I6802" s="74">
        <f t="shared" si="1"/>
        <v>120000</v>
      </c>
      <c r="J6802" s="74">
        <f>IF(E6802="SERVICE",I6802-(I6802*50%),Vlookup(E6802,DATABASE!C:Q,10,false)*F6802)</f>
        <v>10000</v>
      </c>
      <c r="K6802" s="74">
        <f>VLOOKUP(E6802,DATABASE!C:Q,7,false)</f>
        <v>0</v>
      </c>
      <c r="L6802" s="74">
        <v>0.0</v>
      </c>
      <c r="M6802" s="74">
        <f t="shared" si="2"/>
        <v>0</v>
      </c>
      <c r="N6802" s="74">
        <f t="shared" si="3"/>
        <v>110000</v>
      </c>
      <c r="O6802" s="65" t="str">
        <f>VLOOKUP(E6802,DATABASE!C:Q,8,false)</f>
        <v>IBU</v>
      </c>
      <c r="P6802" s="65">
        <f>VLOOKUP(E6802,DATABASE!C:Q,9,False)</f>
        <v>0</v>
      </c>
      <c r="Q6802" s="93" t="str">
        <f>VLOOKUP(E6802,DATABASE!C:Q,4,false)</f>
        <v>SPOORING</v>
      </c>
      <c r="R6802" s="93" t="str">
        <f>VLOOKUP(E6802,DATABASE!C:Q,11,false)</f>
        <v>SERVICE</v>
      </c>
    </row>
    <row r="6803" ht="22.5" customHeight="1">
      <c r="A6803" s="49"/>
      <c r="C6803" s="400">
        <v>46051.0</v>
      </c>
      <c r="D6803" s="524">
        <v>167.0</v>
      </c>
      <c r="E6803" s="544" t="s">
        <v>299</v>
      </c>
      <c r="F6803" s="387">
        <v>2.0</v>
      </c>
      <c r="G6803" s="140">
        <v>30000.0</v>
      </c>
      <c r="H6803" s="74"/>
      <c r="I6803" s="74">
        <f t="shared" si="1"/>
        <v>60000</v>
      </c>
      <c r="J6803" s="74">
        <f>IF(E6803="SERVICE",I6803-(I6803*50%),Vlookup(E6803,DATABASE!C:Q,10,false)*F6803)</f>
        <v>0</v>
      </c>
      <c r="K6803" s="74">
        <f>VLOOKUP(E6803,DATABASE!C:Q,7,false)</f>
        <v>10000</v>
      </c>
      <c r="L6803" s="74">
        <v>5000.0</v>
      </c>
      <c r="M6803" s="74">
        <f t="shared" si="2"/>
        <v>5000</v>
      </c>
      <c r="N6803" s="74">
        <f t="shared" si="3"/>
        <v>50000</v>
      </c>
      <c r="O6803" s="65" t="str">
        <f>VLOOKUP(E6803,DATABASE!C:Q,8,false)</f>
        <v>BIAN</v>
      </c>
      <c r="P6803" s="65">
        <f>VLOOKUP(E6803,DATABASE!C:Q,9,False)</f>
        <v>0</v>
      </c>
      <c r="Q6803" s="93" t="str">
        <f>VLOOKUP(E6803,DATABASE!C:Q,4,false)</f>
        <v>Balancing</v>
      </c>
      <c r="R6803" s="93" t="str">
        <f>VLOOKUP(E6803,DATABASE!C:Q,11,false)</f>
        <v>COMPLEMENTARY</v>
      </c>
    </row>
    <row r="6804" ht="22.5" customHeight="1">
      <c r="A6804" s="49"/>
      <c r="C6804" s="400">
        <v>46051.0</v>
      </c>
      <c r="D6804" s="524">
        <v>167.0</v>
      </c>
      <c r="E6804" s="544" t="s">
        <v>251</v>
      </c>
      <c r="F6804" s="387">
        <v>1.0</v>
      </c>
      <c r="G6804" s="140">
        <v>350000.0</v>
      </c>
      <c r="H6804" s="140">
        <v>200000.0</v>
      </c>
      <c r="I6804" s="74">
        <f t="shared" si="1"/>
        <v>150000</v>
      </c>
      <c r="J6804" s="74">
        <f>IF(E6804="SERVICE",I6804-(I6804*50%),Vlookup(E6804,DATABASE!C:Q,10,false)*F6804)</f>
        <v>75000</v>
      </c>
      <c r="K6804" s="74">
        <f>VLOOKUP(E6804,DATABASE!C:Q,7,false)</f>
        <v>0</v>
      </c>
      <c r="L6804" s="74">
        <v>0.0</v>
      </c>
      <c r="M6804" s="74">
        <f t="shared" si="2"/>
        <v>0</v>
      </c>
      <c r="N6804" s="74">
        <f t="shared" si="3"/>
        <v>75000</v>
      </c>
      <c r="O6804" s="65" t="str">
        <f>VLOOKUP(E6804,DATABASE!C:Q,8,false)</f>
        <v>IBU</v>
      </c>
      <c r="P6804" s="65">
        <f>VLOOKUP(E6804,DATABASE!C:Q,9,False)</f>
        <v>0</v>
      </c>
      <c r="Q6804" s="93" t="str">
        <f>VLOOKUP(E6804,DATABASE!C:Q,4,false)</f>
        <v>SERVICE</v>
      </c>
      <c r="R6804" s="93" t="str">
        <f>VLOOKUP(E6804,DATABASE!C:Q,11,false)</f>
        <v>SERVICE</v>
      </c>
    </row>
    <row r="6805" ht="22.5" customHeight="1">
      <c r="A6805" s="49"/>
      <c r="C6805" s="400">
        <v>46051.0</v>
      </c>
      <c r="D6805" s="69" t="s">
        <v>2697</v>
      </c>
      <c r="E6805" s="544" t="s">
        <v>252</v>
      </c>
      <c r="F6805" s="387">
        <v>1.0</v>
      </c>
      <c r="G6805" s="140">
        <v>300000.0</v>
      </c>
      <c r="H6805" s="74"/>
      <c r="I6805" s="74">
        <f t="shared" si="1"/>
        <v>300000</v>
      </c>
      <c r="J6805" s="74">
        <f>IF(E6805="SERVICE",I6805-(I6805*50%),Vlookup(E6805,DATABASE!C:Q,10,false)*F6805)</f>
        <v>0</v>
      </c>
      <c r="K6805" s="74">
        <f>VLOOKUP(E6805,DATABASE!C:Q,7,false)</f>
        <v>317518</v>
      </c>
      <c r="L6805" s="74">
        <v>271778.0</v>
      </c>
      <c r="M6805" s="74">
        <f t="shared" si="2"/>
        <v>275000</v>
      </c>
      <c r="N6805" s="74">
        <f t="shared" si="3"/>
        <v>25000</v>
      </c>
      <c r="O6805" s="65" t="str">
        <f>VLOOKUP(E6805,DATABASE!C:Q,8,false)</f>
        <v>NON</v>
      </c>
      <c r="P6805" s="65">
        <f>VLOOKUP(E6805,DATABASE!C:Q,9,False)</f>
        <v>0</v>
      </c>
      <c r="Q6805" s="93" t="str">
        <f>VLOOKUP(E6805,DATABASE!C:Q,4,false)</f>
        <v>Shell</v>
      </c>
      <c r="R6805" s="93" t="str">
        <f>VLOOKUP(E6805,DATABASE!C:Q,11,false)</f>
        <v>OIL</v>
      </c>
    </row>
    <row r="6806" ht="22.5" customHeight="1">
      <c r="A6806" s="49"/>
      <c r="C6806" s="400">
        <v>46052.0</v>
      </c>
      <c r="D6806" s="524">
        <v>168.0</v>
      </c>
      <c r="E6806" s="544" t="s">
        <v>1237</v>
      </c>
      <c r="F6806" s="387">
        <v>1.0</v>
      </c>
      <c r="G6806" s="140">
        <v>1300000.0</v>
      </c>
      <c r="H6806" s="140">
        <v>65000.0</v>
      </c>
      <c r="I6806" s="74">
        <f t="shared" si="1"/>
        <v>1235000</v>
      </c>
      <c r="J6806" s="74">
        <f>IF(E6806="SERVICE",I6806-(I6806*50%),Vlookup(E6806,DATABASE!C:Q,10,false)*F6806)</f>
        <v>0</v>
      </c>
      <c r="K6806" s="74">
        <f>VLOOKUP(E6806,DATABASE!C:Q,7,false)</f>
        <v>1170353.16</v>
      </c>
      <c r="L6806" s="74">
        <v>1113907.2</v>
      </c>
      <c r="M6806" s="74">
        <f t="shared" si="2"/>
        <v>1115000</v>
      </c>
      <c r="N6806" s="74">
        <f t="shared" si="3"/>
        <v>120000</v>
      </c>
      <c r="O6806" s="65" t="str">
        <f>VLOOKUP(E6806,DATABASE!C:Q,8,false)</f>
        <v>IBU</v>
      </c>
      <c r="P6806" s="65">
        <f>VLOOKUP(E6806,DATABASE!C:Q,9,False)</f>
        <v>1</v>
      </c>
      <c r="Q6806" s="93" t="str">
        <f>VLOOKUP(E6806,DATABASE!C:Q,4,false)</f>
        <v>Bridgestone</v>
      </c>
      <c r="R6806" s="93" t="str">
        <f>VLOOKUP(E6806,DATABASE!C:Q,11,false)</f>
        <v>Tire</v>
      </c>
    </row>
    <row r="6807" ht="22.5" customHeight="1">
      <c r="A6807" s="49"/>
      <c r="C6807" s="400">
        <v>46052.0</v>
      </c>
      <c r="D6807" s="524">
        <v>169.0</v>
      </c>
      <c r="E6807" s="544" t="s">
        <v>2140</v>
      </c>
      <c r="F6807" s="387">
        <v>1.0</v>
      </c>
      <c r="G6807" s="140">
        <v>35000.0</v>
      </c>
      <c r="H6807" s="140">
        <v>10000.0</v>
      </c>
      <c r="I6807" s="74">
        <f t="shared" si="1"/>
        <v>25000</v>
      </c>
      <c r="J6807" s="74">
        <f>IF(E6807="SERVICE",I6807-(I6807*50%),Vlookup(E6807,DATABASE!C:Q,10,false)*F6807)</f>
        <v>0</v>
      </c>
      <c r="K6807" s="74">
        <f>VLOOKUP(E6807,DATABASE!C:Q,7,false)</f>
        <v>5000</v>
      </c>
      <c r="L6807" s="74">
        <v>0.0</v>
      </c>
      <c r="M6807" s="74">
        <f t="shared" si="2"/>
        <v>0</v>
      </c>
      <c r="N6807" s="74">
        <f t="shared" si="3"/>
        <v>25000</v>
      </c>
      <c r="O6807" s="65" t="str">
        <f>VLOOKUP(E6807,DATABASE!C:Q,8,false)</f>
        <v>IBU</v>
      </c>
      <c r="P6807" s="65">
        <f>VLOOKUP(E6807,DATABASE!C:Q,9,False)</f>
        <v>0</v>
      </c>
      <c r="Q6807" s="93" t="str">
        <f>VLOOKUP(E6807,DATABASE!C:Q,4,false)</f>
        <v>PENTIL + PASANG</v>
      </c>
      <c r="R6807" s="93" t="str">
        <f>VLOOKUP(E6807,DATABASE!C:Q,11,false)</f>
        <v>COMPLEMENTARY</v>
      </c>
    </row>
    <row r="6808" ht="22.5" customHeight="1">
      <c r="A6808" s="49"/>
      <c r="C6808" s="400">
        <v>46052.0</v>
      </c>
      <c r="D6808" s="524">
        <v>169.0</v>
      </c>
      <c r="E6808" s="544" t="s">
        <v>2199</v>
      </c>
      <c r="F6808" s="387">
        <v>1.0</v>
      </c>
      <c r="G6808" s="140">
        <v>15000.0</v>
      </c>
      <c r="H6808" s="74"/>
      <c r="I6808" s="74">
        <f t="shared" si="1"/>
        <v>15000</v>
      </c>
      <c r="J6808" s="74">
        <f>IF(E6808="SERVICE",I6808-(I6808*50%),Vlookup(E6808,DATABASE!C:Q,10,false)*F6808)</f>
        <v>0</v>
      </c>
      <c r="K6808" s="74">
        <f>VLOOKUP(E6808,DATABASE!C:Q,7,false)</f>
        <v>5000</v>
      </c>
      <c r="L6808" s="74">
        <v>0.0</v>
      </c>
      <c r="M6808" s="74">
        <f t="shared" si="2"/>
        <v>0</v>
      </c>
      <c r="N6808" s="74">
        <f t="shared" si="3"/>
        <v>15000</v>
      </c>
      <c r="O6808" s="65" t="str">
        <f>VLOOKUP(E6808,DATABASE!C:Q,8,false)</f>
        <v>BIAN</v>
      </c>
      <c r="P6808" s="65">
        <f>VLOOKUP(E6808,DATABASE!C:Q,9,False)</f>
        <v>0</v>
      </c>
      <c r="Q6808" s="93" t="str">
        <f>VLOOKUP(E6808,DATABASE!C:Q,4,false)</f>
        <v>TAMBAL TUBLES</v>
      </c>
      <c r="R6808" s="93" t="str">
        <f>VLOOKUP(E6808,DATABASE!C:Q,11,false)</f>
        <v>COMPLEMENTARY</v>
      </c>
    </row>
    <row r="6809" ht="22.5" customHeight="1">
      <c r="A6809" s="49"/>
      <c r="C6809" s="400">
        <v>46052.0</v>
      </c>
      <c r="D6809" s="524">
        <v>170.0</v>
      </c>
      <c r="E6809" s="544" t="s">
        <v>554</v>
      </c>
      <c r="F6809" s="387">
        <v>2.0</v>
      </c>
      <c r="G6809" s="140">
        <v>800000.0</v>
      </c>
      <c r="H6809" s="140">
        <v>30000.0</v>
      </c>
      <c r="I6809" s="74">
        <f t="shared" si="1"/>
        <v>1540000</v>
      </c>
      <c r="J6809" s="74">
        <f>IF(E6809="SERVICE",I6809-(I6809*50%),Vlookup(E6809,DATABASE!C:Q,10,false)*F6809)</f>
        <v>0</v>
      </c>
      <c r="K6809" s="74">
        <f>VLOOKUP(E6809,DATABASE!C:Q,7,false)</f>
        <v>710000</v>
      </c>
      <c r="L6809" s="74">
        <v>680000.0</v>
      </c>
      <c r="M6809" s="74">
        <f t="shared" si="2"/>
        <v>680000</v>
      </c>
      <c r="N6809" s="74">
        <f t="shared" si="3"/>
        <v>180000</v>
      </c>
      <c r="O6809" s="65" t="str">
        <f>VLOOKUP(E6809,DATABASE!C:Q,8,false)</f>
        <v>IBU</v>
      </c>
      <c r="P6809" s="65">
        <f>VLOOKUP(E6809,DATABASE!C:Q,9,False)</f>
        <v>1</v>
      </c>
      <c r="Q6809" s="93" t="str">
        <f>VLOOKUP(E6809,DATABASE!C:Q,4,false)</f>
        <v>Bridgestone</v>
      </c>
      <c r="R6809" s="93" t="str">
        <f>VLOOKUP(E6809,DATABASE!C:Q,11,false)</f>
        <v>Tire</v>
      </c>
    </row>
    <row r="6810" ht="22.5" customHeight="1">
      <c r="A6810" s="49"/>
      <c r="C6810" s="400">
        <v>46052.0</v>
      </c>
      <c r="D6810" s="524">
        <v>171.0</v>
      </c>
      <c r="E6810" s="544" t="s">
        <v>1783</v>
      </c>
      <c r="F6810" s="387">
        <v>1.0</v>
      </c>
      <c r="G6810" s="140">
        <v>730000.0</v>
      </c>
      <c r="H6810" s="140">
        <v>10000.0</v>
      </c>
      <c r="I6810" s="74">
        <f t="shared" si="1"/>
        <v>720000</v>
      </c>
      <c r="J6810" s="74">
        <f>IF(E6810="SERVICE",I6810-(I6810*50%),Vlookup(E6810,DATABASE!C:Q,10,false)*F6810)</f>
        <v>0</v>
      </c>
      <c r="K6810" s="74">
        <f>VLOOKUP(E6810,DATABASE!C:Q,7,false)</f>
        <v>628100</v>
      </c>
      <c r="L6810" s="74">
        <v>628100.0</v>
      </c>
      <c r="M6810" s="74">
        <f t="shared" si="2"/>
        <v>630000</v>
      </c>
      <c r="N6810" s="74">
        <f t="shared" si="3"/>
        <v>90000</v>
      </c>
      <c r="O6810" s="65" t="str">
        <f>VLOOKUP(E6810,DATABASE!C:Q,8,false)</f>
        <v>BIAN</v>
      </c>
      <c r="P6810" s="65">
        <f>VLOOKUP(E6810,DATABASE!C:Q,9,False)</f>
        <v>1</v>
      </c>
      <c r="Q6810" s="93" t="str">
        <f>VLOOKUP(E6810,DATABASE!C:Q,4,false)</f>
        <v>GT</v>
      </c>
      <c r="R6810" s="93" t="str">
        <f>VLOOKUP(E6810,DATABASE!C:Q,11,false)</f>
        <v>Tire</v>
      </c>
    </row>
    <row r="6811" ht="22.5" customHeight="1">
      <c r="A6811" s="49"/>
      <c r="C6811" s="400">
        <v>46052.0</v>
      </c>
      <c r="D6811" s="524">
        <v>172.0</v>
      </c>
      <c r="E6811" s="544" t="s">
        <v>1424</v>
      </c>
      <c r="F6811" s="387">
        <v>1.0</v>
      </c>
      <c r="G6811" s="140">
        <v>780000.0</v>
      </c>
      <c r="H6811" s="74"/>
      <c r="I6811" s="74">
        <f t="shared" si="1"/>
        <v>780000</v>
      </c>
      <c r="J6811" s="74">
        <f>IF(E6811="SERVICE",I6811-(I6811*50%),Vlookup(E6811,DATABASE!C:Q,10,false)*F6811)</f>
        <v>0</v>
      </c>
      <c r="K6811" s="74">
        <f>VLOOKUP(E6811,DATABASE!C:Q,7,false)</f>
        <v>671600</v>
      </c>
      <c r="L6811" s="74">
        <v>671600.0</v>
      </c>
      <c r="M6811" s="74">
        <f t="shared" si="2"/>
        <v>675000</v>
      </c>
      <c r="N6811" s="74">
        <f t="shared" si="3"/>
        <v>105000</v>
      </c>
      <c r="O6811" s="65" t="str">
        <f>VLOOKUP(E6811,DATABASE!C:Q,8,false)</f>
        <v>BIAN</v>
      </c>
      <c r="P6811" s="65">
        <f>VLOOKUP(E6811,DATABASE!C:Q,9,False)</f>
        <v>1</v>
      </c>
      <c r="Q6811" s="93" t="str">
        <f>VLOOKUP(E6811,DATABASE!C:Q,4,false)</f>
        <v>GT</v>
      </c>
      <c r="R6811" s="93" t="str">
        <f>VLOOKUP(E6811,DATABASE!C:Q,11,false)</f>
        <v>Tire</v>
      </c>
    </row>
    <row r="6812" ht="22.5" customHeight="1">
      <c r="A6812" s="49"/>
      <c r="C6812" s="400">
        <v>46052.0</v>
      </c>
      <c r="D6812" s="524">
        <v>174.0</v>
      </c>
      <c r="E6812" s="544" t="s">
        <v>288</v>
      </c>
      <c r="F6812" s="387">
        <v>2.0</v>
      </c>
      <c r="G6812" s="140">
        <v>620000.0</v>
      </c>
      <c r="H6812" s="74"/>
      <c r="I6812" s="74">
        <f t="shared" si="1"/>
        <v>1240000</v>
      </c>
      <c r="J6812" s="74">
        <f>IF(E6812="SERVICE",I6812-(I6812*50%),Vlookup(E6812,DATABASE!C:Q,10,false)*F6812)</f>
        <v>0</v>
      </c>
      <c r="K6812" s="74">
        <f>VLOOKUP(E6812,DATABASE!C:Q,7,false)</f>
        <v>565760</v>
      </c>
      <c r="L6812" s="74">
        <v>524800.0</v>
      </c>
      <c r="M6812" s="74">
        <f t="shared" si="2"/>
        <v>525000</v>
      </c>
      <c r="N6812" s="74">
        <f t="shared" si="3"/>
        <v>190000</v>
      </c>
      <c r="O6812" s="65" t="str">
        <f>VLOOKUP(E6812,DATABASE!C:Q,8,false)</f>
        <v>BIAN</v>
      </c>
      <c r="P6812" s="65">
        <f>VLOOKUP(E6812,DATABASE!C:Q,9,False)</f>
        <v>1</v>
      </c>
      <c r="Q6812" s="93" t="str">
        <f>VLOOKUP(E6812,DATABASE!C:Q,4,false)</f>
        <v>GT</v>
      </c>
      <c r="R6812" s="93" t="str">
        <f>VLOOKUP(E6812,DATABASE!C:Q,11,false)</f>
        <v>Tire</v>
      </c>
    </row>
    <row r="6813" ht="22.5" customHeight="1">
      <c r="A6813" s="49"/>
      <c r="C6813" s="400">
        <v>46052.0</v>
      </c>
      <c r="D6813" s="524">
        <v>175.0</v>
      </c>
      <c r="E6813" s="544" t="s">
        <v>600</v>
      </c>
      <c r="F6813" s="387">
        <v>1.0</v>
      </c>
      <c r="G6813" s="140">
        <v>675000.0</v>
      </c>
      <c r="H6813" s="74"/>
      <c r="I6813" s="74">
        <f t="shared" si="1"/>
        <v>675000</v>
      </c>
      <c r="J6813" s="74">
        <f>IF(E6813="SERVICE",I6813-(I6813*50%),Vlookup(E6813,DATABASE!C:Q,10,false)*F6813)</f>
        <v>0</v>
      </c>
      <c r="K6813" s="74">
        <f>VLOOKUP(E6813,DATABASE!C:Q,7,false)</f>
        <v>611109.16</v>
      </c>
      <c r="L6813" s="74">
        <v>575780.8</v>
      </c>
      <c r="M6813" s="74">
        <f t="shared" si="2"/>
        <v>580000</v>
      </c>
      <c r="N6813" s="74">
        <f t="shared" si="3"/>
        <v>95000</v>
      </c>
      <c r="O6813" s="65" t="str">
        <f>VLOOKUP(E6813,DATABASE!C:Q,8,false)</f>
        <v>IBU</v>
      </c>
      <c r="P6813" s="65">
        <f>VLOOKUP(E6813,DATABASE!C:Q,9,False)</f>
        <v>1</v>
      </c>
      <c r="Q6813" s="93" t="str">
        <f>VLOOKUP(E6813,DATABASE!C:Q,4,false)</f>
        <v>Bridgestone</v>
      </c>
      <c r="R6813" s="93" t="str">
        <f>VLOOKUP(E6813,DATABASE!C:Q,11,false)</f>
        <v>Tire</v>
      </c>
    </row>
    <row r="6814" ht="22.5" customHeight="1">
      <c r="A6814" s="49"/>
      <c r="C6814" s="400">
        <v>46052.0</v>
      </c>
      <c r="D6814" s="524">
        <v>175.0</v>
      </c>
      <c r="E6814" s="544" t="s">
        <v>256</v>
      </c>
      <c r="F6814" s="387">
        <v>1.0</v>
      </c>
      <c r="G6814" s="140">
        <v>150000.0</v>
      </c>
      <c r="H6814" s="140">
        <v>20000.0</v>
      </c>
      <c r="I6814" s="74">
        <f t="shared" si="1"/>
        <v>130000</v>
      </c>
      <c r="J6814" s="74">
        <f>IF(E6814="SERVICE",I6814-(I6814*50%),Vlookup(E6814,DATABASE!C:Q,10,false)*F6814)</f>
        <v>10000</v>
      </c>
      <c r="K6814" s="74">
        <f>VLOOKUP(E6814,DATABASE!C:Q,7,false)</f>
        <v>0</v>
      </c>
      <c r="L6814" s="74">
        <v>0.0</v>
      </c>
      <c r="M6814" s="74">
        <f t="shared" si="2"/>
        <v>0</v>
      </c>
      <c r="N6814" s="74">
        <f t="shared" si="3"/>
        <v>120000</v>
      </c>
      <c r="O6814" s="65" t="str">
        <f>VLOOKUP(E6814,DATABASE!C:Q,8,false)</f>
        <v>IBU</v>
      </c>
      <c r="P6814" s="65">
        <f>VLOOKUP(E6814,DATABASE!C:Q,9,False)</f>
        <v>0</v>
      </c>
      <c r="Q6814" s="93" t="str">
        <f>VLOOKUP(E6814,DATABASE!C:Q,4,false)</f>
        <v>SPOORING</v>
      </c>
      <c r="R6814" s="93" t="str">
        <f>VLOOKUP(E6814,DATABASE!C:Q,11,false)</f>
        <v>SERVICE</v>
      </c>
    </row>
    <row r="6815" ht="22.5" customHeight="1">
      <c r="A6815" s="49"/>
      <c r="C6815" s="400">
        <v>46052.0</v>
      </c>
      <c r="D6815" s="524">
        <v>175.0</v>
      </c>
      <c r="E6815" s="544" t="s">
        <v>301</v>
      </c>
      <c r="F6815" s="387">
        <v>1.0</v>
      </c>
      <c r="G6815" s="140">
        <v>250000.0</v>
      </c>
      <c r="H6815" s="74"/>
      <c r="I6815" s="74">
        <f t="shared" si="1"/>
        <v>250000</v>
      </c>
      <c r="J6815" s="74">
        <f>IF(E6815="SERVICE",I6815-(I6815*50%),Vlookup(E6815,DATABASE!C:Q,10,false)*F6815)</f>
        <v>75000</v>
      </c>
      <c r="K6815" s="74">
        <f>VLOOKUP(E6815,DATABASE!C:Q,7,false)</f>
        <v>75000</v>
      </c>
      <c r="L6815" s="74">
        <v>75000.0</v>
      </c>
      <c r="M6815" s="74">
        <f t="shared" si="2"/>
        <v>75000</v>
      </c>
      <c r="N6815" s="74">
        <f t="shared" si="3"/>
        <v>100000</v>
      </c>
      <c r="O6815" s="65" t="str">
        <f>VLOOKUP(E6815,DATABASE!C:Q,8,false)</f>
        <v>BIAN</v>
      </c>
      <c r="P6815" s="65">
        <f>VLOOKUP(E6815,DATABASE!C:Q,9,False)</f>
        <v>0</v>
      </c>
      <c r="Q6815" s="93" t="str">
        <f>VLOOKUP(E6815,DATABASE!C:Q,4,false)</f>
        <v>Baut Camber</v>
      </c>
      <c r="R6815" s="93" t="str">
        <f>VLOOKUP(E6815,DATABASE!C:Q,11,false)</f>
        <v>COMPLEMENTARY</v>
      </c>
    </row>
    <row r="6816" ht="22.5" customHeight="1">
      <c r="A6816" s="49"/>
      <c r="C6816" s="400">
        <v>46053.0</v>
      </c>
      <c r="D6816" s="524">
        <v>176.0</v>
      </c>
      <c r="E6816" s="544" t="s">
        <v>781</v>
      </c>
      <c r="F6816" s="387">
        <v>1.0</v>
      </c>
      <c r="G6816" s="140">
        <v>530000.0</v>
      </c>
      <c r="H6816" s="74"/>
      <c r="I6816" s="74">
        <f t="shared" si="1"/>
        <v>530000</v>
      </c>
      <c r="J6816" s="74">
        <f>IF(E6816="SERVICE",I6816-(I6816*50%),Vlookup(E6816,DATABASE!C:Q,10,false)*F6816)</f>
        <v>0</v>
      </c>
      <c r="K6816" s="74">
        <f>VLOOKUP(E6816,DATABASE!C:Q,7,false)</f>
        <v>470000</v>
      </c>
      <c r="L6816" s="74">
        <v>442500.0</v>
      </c>
      <c r="M6816" s="74">
        <f t="shared" si="2"/>
        <v>445000</v>
      </c>
      <c r="N6816" s="74">
        <f t="shared" si="3"/>
        <v>85000</v>
      </c>
      <c r="O6816" s="65" t="str">
        <f>VLOOKUP(E6816,DATABASE!C:Q,8,false)</f>
        <v>BIAN</v>
      </c>
      <c r="P6816" s="65">
        <f>VLOOKUP(E6816,DATABASE!C:Q,9,False)</f>
        <v>1</v>
      </c>
      <c r="Q6816" s="93" t="str">
        <f>VLOOKUP(E6816,DATABASE!C:Q,4,false)</f>
        <v>GT</v>
      </c>
      <c r="R6816" s="93" t="str">
        <f>VLOOKUP(E6816,DATABASE!C:Q,11,false)</f>
        <v>Tire</v>
      </c>
    </row>
    <row r="6817" ht="22.5" customHeight="1">
      <c r="A6817" s="49"/>
      <c r="C6817" s="400">
        <v>46053.0</v>
      </c>
      <c r="D6817" s="524">
        <v>177.0</v>
      </c>
      <c r="E6817" s="544" t="s">
        <v>262</v>
      </c>
      <c r="F6817" s="387">
        <v>1.0</v>
      </c>
      <c r="G6817" s="140">
        <v>110000.0</v>
      </c>
      <c r="H6817" s="74"/>
      <c r="I6817" s="74">
        <f t="shared" si="1"/>
        <v>110000</v>
      </c>
      <c r="J6817" s="74">
        <f>IF(E6817="SERVICE",I6817-(I6817*50%),Vlookup(E6817,DATABASE!C:Q,10,false)*F6817)</f>
        <v>5000</v>
      </c>
      <c r="K6817" s="74">
        <f>VLOOKUP(E6817,DATABASE!C:Q,7,false)</f>
        <v>0</v>
      </c>
      <c r="L6817" s="74">
        <v>0.0</v>
      </c>
      <c r="M6817" s="74">
        <f t="shared" si="2"/>
        <v>0</v>
      </c>
      <c r="N6817" s="74">
        <f t="shared" si="3"/>
        <v>105000</v>
      </c>
      <c r="O6817" s="65" t="str">
        <f>VLOOKUP(E6817,DATABASE!C:Q,8,false)</f>
        <v>IBU</v>
      </c>
      <c r="P6817" s="65">
        <f>VLOOKUP(E6817,DATABASE!C:Q,9,False)</f>
        <v>0</v>
      </c>
      <c r="Q6817" s="93" t="str">
        <f>VLOOKUP(E6817,DATABASE!C:Q,4,false)</f>
        <v>SPOORING SS/CARRY LOS BAK</v>
      </c>
      <c r="R6817" s="93" t="str">
        <f>VLOOKUP(E6817,DATABASE!C:Q,11,false)</f>
        <v>SERVICE</v>
      </c>
    </row>
    <row r="6818" ht="22.5" customHeight="1">
      <c r="A6818" s="49"/>
      <c r="C6818" s="400">
        <v>46053.0</v>
      </c>
      <c r="D6818" s="524">
        <v>178.0</v>
      </c>
      <c r="E6818" s="544" t="s">
        <v>2015</v>
      </c>
      <c r="F6818" s="387">
        <v>2.0</v>
      </c>
      <c r="G6818" s="140">
        <v>830000.0</v>
      </c>
      <c r="H6818" s="74"/>
      <c r="I6818" s="74">
        <f t="shared" si="1"/>
        <v>1660000</v>
      </c>
      <c r="J6818" s="74">
        <f>IF(E6818="SERVICE",I6818-(I6818*50%),Vlookup(E6818,DATABASE!C:Q,10,false)*F6818)</f>
        <v>0</v>
      </c>
      <c r="K6818" s="74">
        <f>VLOOKUP(E6818,DATABASE!C:Q,7,false)</f>
        <v>774000</v>
      </c>
      <c r="L6818" s="74">
        <v>700000.0</v>
      </c>
      <c r="M6818" s="74">
        <f t="shared" si="2"/>
        <v>700000</v>
      </c>
      <c r="N6818" s="74">
        <f t="shared" si="3"/>
        <v>260000</v>
      </c>
      <c r="O6818" s="65" t="str">
        <f>VLOOKUP(E6818,DATABASE!C:Q,8,false)</f>
        <v>BIAN</v>
      </c>
      <c r="P6818" s="65">
        <f>VLOOKUP(E6818,DATABASE!C:Q,9,False)</f>
        <v>1</v>
      </c>
      <c r="Q6818" s="93" t="str">
        <f>VLOOKUP(E6818,DATABASE!C:Q,4,false)</f>
        <v>GT</v>
      </c>
      <c r="R6818" s="93" t="str">
        <f>VLOOKUP(E6818,DATABASE!C:Q,11,false)</f>
        <v>Tire</v>
      </c>
    </row>
    <row r="6819" ht="22.5" customHeight="1">
      <c r="A6819" s="49"/>
      <c r="C6819" s="400">
        <v>46053.0</v>
      </c>
      <c r="D6819" s="524">
        <v>179.0</v>
      </c>
      <c r="E6819" s="544" t="s">
        <v>591</v>
      </c>
      <c r="F6819" s="387">
        <v>2.0</v>
      </c>
      <c r="G6819" s="140">
        <v>700000.0</v>
      </c>
      <c r="H6819" s="74"/>
      <c r="I6819" s="74">
        <f t="shared" si="1"/>
        <v>1400000</v>
      </c>
      <c r="J6819" s="74">
        <f>IF(E6819="SERVICE",I6819-(I6819*50%),Vlookup(E6819,DATABASE!C:Q,10,false)*F6819)</f>
        <v>0</v>
      </c>
      <c r="K6819" s="74">
        <f>VLOOKUP(E6819,DATABASE!C:Q,7,false)</f>
        <v>633035.16</v>
      </c>
      <c r="L6819" s="74">
        <v>596694.4</v>
      </c>
      <c r="M6819" s="74">
        <f t="shared" si="2"/>
        <v>600000</v>
      </c>
      <c r="N6819" s="74">
        <f t="shared" si="3"/>
        <v>200000</v>
      </c>
      <c r="O6819" s="65" t="str">
        <f>VLOOKUP(E6819,DATABASE!C:Q,8,false)</f>
        <v>IBU</v>
      </c>
      <c r="P6819" s="65">
        <f>VLOOKUP(E6819,DATABASE!C:Q,9,False)</f>
        <v>1</v>
      </c>
      <c r="Q6819" s="93" t="str">
        <f>VLOOKUP(E6819,DATABASE!C:Q,4,false)</f>
        <v>Bridgestone</v>
      </c>
      <c r="R6819" s="93" t="str">
        <f>VLOOKUP(E6819,DATABASE!C:Q,11,false)</f>
        <v>Tire</v>
      </c>
    </row>
    <row r="6820" ht="22.5" customHeight="1">
      <c r="A6820" s="49"/>
      <c r="C6820" s="400">
        <v>46053.0</v>
      </c>
      <c r="D6820" s="524">
        <v>180.0</v>
      </c>
      <c r="E6820" s="544" t="s">
        <v>932</v>
      </c>
      <c r="F6820" s="387">
        <v>2.0</v>
      </c>
      <c r="G6820" s="140">
        <v>680000.0</v>
      </c>
      <c r="H6820" s="74"/>
      <c r="I6820" s="74">
        <f t="shared" si="1"/>
        <v>1360000</v>
      </c>
      <c r="J6820" s="74">
        <f>IF(E6820="SERVICE",I6820-(I6820*50%),Vlookup(E6820,DATABASE!C:Q,10,false)*F6820)</f>
        <v>0</v>
      </c>
      <c r="K6820" s="74">
        <f>VLOOKUP(E6820,DATABASE!C:Q,7,false)</f>
        <v>601000</v>
      </c>
      <c r="L6820" s="74">
        <v>595000.0</v>
      </c>
      <c r="M6820" s="74">
        <f t="shared" si="2"/>
        <v>595000</v>
      </c>
      <c r="N6820" s="74">
        <f t="shared" si="3"/>
        <v>170000</v>
      </c>
      <c r="O6820" s="65" t="str">
        <f>VLOOKUP(E6820,DATABASE!C:Q,8,false)</f>
        <v>IBU</v>
      </c>
      <c r="P6820" s="65">
        <f>VLOOKUP(E6820,DATABASE!C:Q,9,False)</f>
        <v>1</v>
      </c>
      <c r="Q6820" s="93" t="str">
        <f>VLOOKUP(E6820,DATABASE!C:Q,4,false)</f>
        <v>Dunlop</v>
      </c>
      <c r="R6820" s="93" t="str">
        <f>VLOOKUP(E6820,DATABASE!C:Q,11,false)</f>
        <v>Tire</v>
      </c>
    </row>
    <row r="6821" ht="22.5" customHeight="1">
      <c r="A6821" s="49"/>
      <c r="C6821" s="400">
        <v>46053.0</v>
      </c>
      <c r="D6821" s="524">
        <v>181.0</v>
      </c>
      <c r="E6821" s="544" t="s">
        <v>271</v>
      </c>
      <c r="F6821" s="387">
        <v>1.0</v>
      </c>
      <c r="G6821" s="140">
        <v>630000.0</v>
      </c>
      <c r="H6821" s="74"/>
      <c r="I6821" s="74">
        <f t="shared" si="1"/>
        <v>630000</v>
      </c>
      <c r="J6821" s="74">
        <f>IF(E6821="SERVICE",I6821-(I6821*50%),Vlookup(E6821,DATABASE!C:Q,10,false)*F6821)</f>
        <v>0</v>
      </c>
      <c r="K6821" s="74">
        <f>VLOOKUP(E6821,DATABASE!C:Q,7,false)</f>
        <v>570000</v>
      </c>
      <c r="L6821" s="74">
        <v>539000.0</v>
      </c>
      <c r="M6821" s="74">
        <f t="shared" si="2"/>
        <v>540000</v>
      </c>
      <c r="N6821" s="74">
        <f t="shared" si="3"/>
        <v>90000</v>
      </c>
      <c r="O6821" s="65" t="str">
        <f>VLOOKUP(E6821,DATABASE!C:Q,8,false)</f>
        <v>IBU</v>
      </c>
      <c r="P6821" s="65">
        <f>VLOOKUP(E6821,DATABASE!C:Q,9,False)</f>
        <v>1</v>
      </c>
      <c r="Q6821" s="93" t="str">
        <f>VLOOKUP(E6821,DATABASE!C:Q,4,false)</f>
        <v>Dunlop</v>
      </c>
      <c r="R6821" s="93" t="str">
        <f>VLOOKUP(E6821,DATABASE!C:Q,11,false)</f>
        <v>Tire</v>
      </c>
    </row>
    <row r="6822" ht="22.5" customHeight="1">
      <c r="A6822" s="49"/>
      <c r="C6822" s="400">
        <v>46053.0</v>
      </c>
      <c r="D6822" s="524">
        <v>182.0</v>
      </c>
      <c r="E6822" s="544" t="s">
        <v>897</v>
      </c>
      <c r="F6822" s="387">
        <v>1.0</v>
      </c>
      <c r="G6822" s="140">
        <v>1600000.0</v>
      </c>
      <c r="H6822" s="74"/>
      <c r="I6822" s="74">
        <f t="shared" si="1"/>
        <v>1600000</v>
      </c>
      <c r="J6822" s="74">
        <f>IF(E6822="SERVICE",I6822-(I6822*50%),Vlookup(E6822,DATABASE!C:Q,10,false)*F6822)</f>
        <v>0</v>
      </c>
      <c r="K6822" s="74">
        <f>VLOOKUP(E6822,DATABASE!C:Q,7,false)</f>
        <v>1560000</v>
      </c>
      <c r="L6822" s="74">
        <v>1500000.0</v>
      </c>
      <c r="M6822" s="74">
        <f t="shared" si="2"/>
        <v>1500000</v>
      </c>
      <c r="N6822" s="74">
        <f t="shared" si="3"/>
        <v>100000</v>
      </c>
      <c r="O6822" s="65" t="str">
        <f>VLOOKUP(E6822,DATABASE!C:Q,8,false)</f>
        <v>BIAN</v>
      </c>
      <c r="P6822" s="65">
        <f>VLOOKUP(E6822,DATABASE!C:Q,9,False)</f>
        <v>1</v>
      </c>
      <c r="Q6822" s="93" t="str">
        <f>VLOOKUP(E6822,DATABASE!C:Q,4,false)</f>
        <v>GT</v>
      </c>
      <c r="R6822" s="93" t="str">
        <f>VLOOKUP(E6822,DATABASE!C:Q,11,false)</f>
        <v>Tire</v>
      </c>
    </row>
    <row r="6823" ht="22.5" customHeight="1">
      <c r="A6823" s="49"/>
      <c r="C6823" s="400">
        <v>46053.0</v>
      </c>
      <c r="D6823" s="524">
        <v>182.0</v>
      </c>
      <c r="E6823" s="544" t="s">
        <v>821</v>
      </c>
      <c r="F6823" s="387">
        <v>1.0</v>
      </c>
      <c r="G6823" s="140">
        <v>85000.0</v>
      </c>
      <c r="H6823" s="74"/>
      <c r="I6823" s="74">
        <f t="shared" si="1"/>
        <v>85000</v>
      </c>
      <c r="J6823" s="74">
        <f>IF(E6823="SERVICE",I6823-(I6823*50%),Vlookup(E6823,DATABASE!C:Q,10,false)*F6823)</f>
        <v>0</v>
      </c>
      <c r="K6823" s="74">
        <f>VLOOKUP(E6823,DATABASE!C:Q,7,false)</f>
        <v>43500</v>
      </c>
      <c r="L6823" s="74">
        <v>43520.0</v>
      </c>
      <c r="M6823" s="74">
        <f t="shared" si="2"/>
        <v>45000</v>
      </c>
      <c r="N6823" s="74">
        <f t="shared" si="3"/>
        <v>40000</v>
      </c>
      <c r="O6823" s="65" t="str">
        <f>VLOOKUP(E6823,DATABASE!C:Q,8,false)</f>
        <v>BIAN</v>
      </c>
      <c r="P6823" s="65">
        <f>VLOOKUP(E6823,DATABASE!C:Q,9,False)</f>
        <v>1</v>
      </c>
      <c r="Q6823" s="93" t="str">
        <f>VLOOKUP(E6823,DATABASE!C:Q,4,false)</f>
        <v>Flap</v>
      </c>
      <c r="R6823" s="93" t="str">
        <f>VLOOKUP(E6823,DATABASE!C:Q,11,false)</f>
        <v>Tire</v>
      </c>
    </row>
    <row r="6824" ht="22.5" customHeight="1">
      <c r="A6824" s="49"/>
      <c r="C6824" s="400">
        <v>46053.0</v>
      </c>
      <c r="D6824" s="524">
        <v>183.0</v>
      </c>
      <c r="E6824" s="544" t="s">
        <v>1192</v>
      </c>
      <c r="F6824" s="387">
        <v>3.0</v>
      </c>
      <c r="G6824" s="140">
        <v>1150000.0</v>
      </c>
      <c r="H6824" s="74"/>
      <c r="I6824" s="74">
        <f t="shared" si="1"/>
        <v>3450000</v>
      </c>
      <c r="J6824" s="74">
        <f>IF(E6824="SERVICE",I6824-(I6824*50%),Vlookup(E6824,DATABASE!C:Q,10,false)*F6824)</f>
        <v>0</v>
      </c>
      <c r="K6824" s="74">
        <f>VLOOKUP(E6824,DATABASE!C:Q,7,false)</f>
        <v>1027000</v>
      </c>
      <c r="L6824" s="74">
        <v>1035858.0</v>
      </c>
      <c r="M6824" s="74">
        <f t="shared" si="2"/>
        <v>1040000</v>
      </c>
      <c r="N6824" s="74">
        <f t="shared" si="3"/>
        <v>330000</v>
      </c>
      <c r="O6824" s="65" t="str">
        <f>VLOOKUP(E6824,DATABASE!C:Q,8,false)</f>
        <v>IBU</v>
      </c>
      <c r="P6824" s="65">
        <f>VLOOKUP(E6824,DATABASE!C:Q,9,False)</f>
        <v>1</v>
      </c>
      <c r="Q6824" s="93" t="str">
        <f>VLOOKUP(E6824,DATABASE!C:Q,4,false)</f>
        <v>Bridgestone</v>
      </c>
      <c r="R6824" s="93" t="str">
        <f>VLOOKUP(E6824,DATABASE!C:Q,11,false)</f>
        <v>Tire</v>
      </c>
    </row>
    <row r="6825" ht="22.5" customHeight="1">
      <c r="A6825" s="49"/>
      <c r="C6825" s="400">
        <v>46053.0</v>
      </c>
      <c r="D6825" s="524">
        <v>184.0</v>
      </c>
      <c r="E6825" s="544" t="s">
        <v>531</v>
      </c>
      <c r="F6825" s="387">
        <v>1.0</v>
      </c>
      <c r="G6825" s="140">
        <v>100000.0</v>
      </c>
      <c r="H6825" s="140">
        <v>30000.0</v>
      </c>
      <c r="I6825" s="74">
        <f t="shared" si="1"/>
        <v>70000</v>
      </c>
      <c r="J6825" s="74">
        <f>IF(E6825="SERVICE",I6825-(I6825*50%),Vlookup(E6825,DATABASE!C:Q,10,false)*F6825)</f>
        <v>0</v>
      </c>
      <c r="K6825" s="74">
        <f>VLOOKUP(E6825,DATABASE!C:Q,7,false)</f>
        <v>47000</v>
      </c>
      <c r="L6825" s="74">
        <v>47000.0</v>
      </c>
      <c r="M6825" s="74">
        <f t="shared" si="2"/>
        <v>50000</v>
      </c>
      <c r="N6825" s="74">
        <f t="shared" si="3"/>
        <v>20000</v>
      </c>
      <c r="O6825" s="65" t="str">
        <f>VLOOKUP(E6825,DATABASE!C:Q,8,false)</f>
        <v>BIAN</v>
      </c>
      <c r="P6825" s="65">
        <f>VLOOKUP(E6825,DATABASE!C:Q,9,False)</f>
        <v>1</v>
      </c>
      <c r="Q6825" s="93" t="str">
        <f>VLOOKUP(E6825,DATABASE!C:Q,4,false)</f>
        <v>BD</v>
      </c>
      <c r="R6825" s="93" t="str">
        <f>VLOOKUP(E6825,DATABASE!C:Q,11,false)</f>
        <v>Tire</v>
      </c>
    </row>
    <row r="6826" ht="22.5" customHeight="1">
      <c r="A6826" s="49"/>
      <c r="C6826" s="400">
        <v>46053.0</v>
      </c>
      <c r="D6826" s="524">
        <v>185.0</v>
      </c>
      <c r="E6826" s="544" t="s">
        <v>256</v>
      </c>
      <c r="F6826" s="387">
        <v>1.0</v>
      </c>
      <c r="G6826" s="140">
        <v>150000.0</v>
      </c>
      <c r="H6826" s="140">
        <v>20000.0</v>
      </c>
      <c r="I6826" s="74">
        <f t="shared" si="1"/>
        <v>130000</v>
      </c>
      <c r="J6826" s="74">
        <f>IF(E6826="SERVICE",I6826-(I6826*50%),Vlookup(E6826,DATABASE!C:Q,10,false)*F6826)</f>
        <v>10000</v>
      </c>
      <c r="K6826" s="74">
        <f>VLOOKUP(E6826,DATABASE!C:Q,7,false)</f>
        <v>0</v>
      </c>
      <c r="L6826" s="74">
        <v>0.0</v>
      </c>
      <c r="M6826" s="74">
        <f t="shared" si="2"/>
        <v>0</v>
      </c>
      <c r="N6826" s="74">
        <f t="shared" si="3"/>
        <v>120000</v>
      </c>
      <c r="O6826" s="65" t="str">
        <f>VLOOKUP(E6826,DATABASE!C:Q,8,false)</f>
        <v>IBU</v>
      </c>
      <c r="P6826" s="65">
        <f>VLOOKUP(E6826,DATABASE!C:Q,9,False)</f>
        <v>0</v>
      </c>
      <c r="Q6826" s="93" t="str">
        <f>VLOOKUP(E6826,DATABASE!C:Q,4,false)</f>
        <v>SPOORING</v>
      </c>
      <c r="R6826" s="93" t="str">
        <f>VLOOKUP(E6826,DATABASE!C:Q,11,false)</f>
        <v>SERVICE</v>
      </c>
    </row>
    <row r="6827" ht="22.5" customHeight="1">
      <c r="A6827" s="49"/>
      <c r="C6827" s="400">
        <v>46053.0</v>
      </c>
      <c r="D6827" s="524">
        <v>185.0</v>
      </c>
      <c r="E6827" s="544" t="s">
        <v>251</v>
      </c>
      <c r="F6827" s="387">
        <v>1.0</v>
      </c>
      <c r="G6827" s="140">
        <v>350000.0</v>
      </c>
      <c r="H6827" s="140">
        <v>200000.0</v>
      </c>
      <c r="I6827" s="74">
        <f t="shared" si="1"/>
        <v>150000</v>
      </c>
      <c r="J6827" s="74">
        <f>IF(E6827="SERVICE",I6827-(I6827*50%),Vlookup(E6827,DATABASE!C:Q,10,false)*F6827)</f>
        <v>75000</v>
      </c>
      <c r="K6827" s="74">
        <f>VLOOKUP(E6827,DATABASE!C:Q,7,false)</f>
        <v>0</v>
      </c>
      <c r="L6827" s="74">
        <v>0.0</v>
      </c>
      <c r="M6827" s="74">
        <f t="shared" si="2"/>
        <v>0</v>
      </c>
      <c r="N6827" s="74">
        <f t="shared" si="3"/>
        <v>75000</v>
      </c>
      <c r="O6827" s="65" t="str">
        <f>VLOOKUP(E6827,DATABASE!C:Q,8,false)</f>
        <v>IBU</v>
      </c>
      <c r="P6827" s="65">
        <f>VLOOKUP(E6827,DATABASE!C:Q,9,False)</f>
        <v>0</v>
      </c>
      <c r="Q6827" s="93" t="str">
        <f>VLOOKUP(E6827,DATABASE!C:Q,4,false)</f>
        <v>SERVICE</v>
      </c>
      <c r="R6827" s="93" t="str">
        <f>VLOOKUP(E6827,DATABASE!C:Q,11,false)</f>
        <v>SERVICE</v>
      </c>
    </row>
    <row r="6828" ht="22.5" customHeight="1">
      <c r="A6828" s="49"/>
      <c r="C6828" s="400">
        <v>46053.0</v>
      </c>
      <c r="D6828" s="524">
        <v>186.0</v>
      </c>
      <c r="E6828" s="544" t="s">
        <v>286</v>
      </c>
      <c r="F6828" s="387">
        <v>3.0</v>
      </c>
      <c r="G6828" s="140">
        <v>560000.0</v>
      </c>
      <c r="H6828" s="140">
        <v>10000.0</v>
      </c>
      <c r="I6828" s="74">
        <f t="shared" si="1"/>
        <v>1650000</v>
      </c>
      <c r="J6828" s="74">
        <f>IF(E6828="SERVICE",I6828-(I6828*50%),Vlookup(E6828,DATABASE!C:Q,10,false)*F6828)</f>
        <v>0</v>
      </c>
      <c r="K6828" s="74">
        <f>VLOOKUP(E6828,DATABASE!C:Q,7,false)</f>
        <v>488320</v>
      </c>
      <c r="L6828" s="74">
        <v>452970.0</v>
      </c>
      <c r="M6828" s="74">
        <f t="shared" si="2"/>
        <v>455000</v>
      </c>
      <c r="N6828" s="74">
        <f t="shared" si="3"/>
        <v>285000</v>
      </c>
      <c r="O6828" s="65" t="str">
        <f>VLOOKUP(E6828,DATABASE!C:Q,8,false)</f>
        <v>BIAN</v>
      </c>
      <c r="P6828" s="65">
        <f>VLOOKUP(E6828,DATABASE!C:Q,9,False)</f>
        <v>1</v>
      </c>
      <c r="Q6828" s="93" t="str">
        <f>VLOOKUP(E6828,DATABASE!C:Q,4,false)</f>
        <v>GT</v>
      </c>
      <c r="R6828" s="93" t="str">
        <f>VLOOKUP(E6828,DATABASE!C:Q,11,false)</f>
        <v>Tire</v>
      </c>
    </row>
    <row r="6829" ht="22.5" customHeight="1">
      <c r="A6829" s="49"/>
      <c r="C6829" s="400">
        <v>46053.0</v>
      </c>
      <c r="D6829" s="524">
        <v>186.0</v>
      </c>
      <c r="E6829" s="544" t="s">
        <v>295</v>
      </c>
      <c r="F6829" s="387">
        <v>2.0</v>
      </c>
      <c r="G6829" s="140">
        <v>1525000.0</v>
      </c>
      <c r="H6829" s="140">
        <v>20000.0</v>
      </c>
      <c r="I6829" s="74">
        <f t="shared" si="1"/>
        <v>3010000</v>
      </c>
      <c r="J6829" s="74">
        <f>IF(E6829="SERVICE",I6829-(I6829*50%),Vlookup(E6829,DATABASE!C:Q,10,false)*F6829)</f>
        <v>0</v>
      </c>
      <c r="K6829" s="74">
        <f>VLOOKUP(E6829,DATABASE!C:Q,7,false)</f>
        <v>1475000</v>
      </c>
      <c r="L6829" s="74">
        <v>1425000.0</v>
      </c>
      <c r="M6829" s="74">
        <f t="shared" si="2"/>
        <v>1425000</v>
      </c>
      <c r="N6829" s="74">
        <f t="shared" si="3"/>
        <v>160000</v>
      </c>
      <c r="O6829" s="65" t="str">
        <f>VLOOKUP(E6829,DATABASE!C:Q,8,false)</f>
        <v>BIAN</v>
      </c>
      <c r="P6829" s="65">
        <f>VLOOKUP(E6829,DATABASE!C:Q,9,False)</f>
        <v>1</v>
      </c>
      <c r="Q6829" s="93" t="str">
        <f>VLOOKUP(E6829,DATABASE!C:Q,4,false)</f>
        <v>TIRON</v>
      </c>
      <c r="R6829" s="93" t="str">
        <f>VLOOKUP(E6829,DATABASE!C:Q,11,false)</f>
        <v>Tire</v>
      </c>
    </row>
    <row r="6830" ht="22.5" customHeight="1">
      <c r="A6830" s="49"/>
      <c r="C6830" s="400">
        <v>46053.0</v>
      </c>
      <c r="D6830" s="524">
        <v>187.0</v>
      </c>
      <c r="E6830" s="544" t="s">
        <v>1361</v>
      </c>
      <c r="F6830" s="387">
        <v>2.0</v>
      </c>
      <c r="G6830" s="140">
        <v>960000.0</v>
      </c>
      <c r="H6830" s="74"/>
      <c r="I6830" s="74">
        <f t="shared" si="1"/>
        <v>1920000</v>
      </c>
      <c r="J6830" s="74">
        <f>IF(E6830="SERVICE",I6830-(I6830*50%),Vlookup(E6830,DATABASE!C:Q,10,false)*F6830)</f>
        <v>0</v>
      </c>
      <c r="K6830" s="74">
        <f>VLOOKUP(E6830,DATABASE!C:Q,7,false)</f>
        <v>881000</v>
      </c>
      <c r="L6830" s="74">
        <v>863000.0</v>
      </c>
      <c r="M6830" s="74">
        <f t="shared" si="2"/>
        <v>865000</v>
      </c>
      <c r="N6830" s="74">
        <f t="shared" si="3"/>
        <v>190000</v>
      </c>
      <c r="O6830" s="65" t="str">
        <f>VLOOKUP(E6830,DATABASE!C:Q,8,false)</f>
        <v>IBU</v>
      </c>
      <c r="P6830" s="65">
        <f>VLOOKUP(E6830,DATABASE!C:Q,9,False)</f>
        <v>1</v>
      </c>
      <c r="Q6830" s="93" t="str">
        <f>VLOOKUP(E6830,DATABASE!C:Q,4,false)</f>
        <v>Dunlop</v>
      </c>
      <c r="R6830" s="93" t="str">
        <f>VLOOKUP(E6830,DATABASE!C:Q,11,false)</f>
        <v>Tire</v>
      </c>
    </row>
    <row r="6831" ht="22.5" customHeight="1">
      <c r="A6831" s="49"/>
      <c r="C6831" s="400">
        <v>46053.0</v>
      </c>
      <c r="D6831" s="524">
        <v>188.0</v>
      </c>
      <c r="E6831" s="544" t="s">
        <v>256</v>
      </c>
      <c r="F6831" s="387">
        <v>1.0</v>
      </c>
      <c r="G6831" s="140">
        <v>150000.0</v>
      </c>
      <c r="H6831" s="140">
        <v>20000.0</v>
      </c>
      <c r="I6831" s="74">
        <f t="shared" si="1"/>
        <v>130000</v>
      </c>
      <c r="J6831" s="74">
        <f>IF(E6831="SERVICE",I6831-(I6831*50%),Vlookup(E6831,DATABASE!C:Q,10,false)*F6831)</f>
        <v>10000</v>
      </c>
      <c r="K6831" s="74">
        <f>VLOOKUP(E6831,DATABASE!C:Q,7,false)</f>
        <v>0</v>
      </c>
      <c r="L6831" s="74">
        <v>0.0</v>
      </c>
      <c r="M6831" s="74">
        <f t="shared" si="2"/>
        <v>0</v>
      </c>
      <c r="N6831" s="74">
        <f t="shared" si="3"/>
        <v>120000</v>
      </c>
      <c r="O6831" s="65" t="str">
        <f>VLOOKUP(E6831,DATABASE!C:Q,8,false)</f>
        <v>IBU</v>
      </c>
      <c r="P6831" s="65">
        <f>VLOOKUP(E6831,DATABASE!C:Q,9,False)</f>
        <v>0</v>
      </c>
      <c r="Q6831" s="93" t="str">
        <f>VLOOKUP(E6831,DATABASE!C:Q,4,false)</f>
        <v>SPOORING</v>
      </c>
      <c r="R6831" s="93" t="str">
        <f>VLOOKUP(E6831,DATABASE!C:Q,11,false)</f>
        <v>SERVICE</v>
      </c>
    </row>
    <row r="6832" ht="22.5" customHeight="1">
      <c r="A6832" s="49"/>
      <c r="C6832" s="400">
        <v>46053.0</v>
      </c>
      <c r="D6832" s="524">
        <v>188.0</v>
      </c>
      <c r="E6832" s="544" t="s">
        <v>301</v>
      </c>
      <c r="F6832" s="387">
        <v>1.0</v>
      </c>
      <c r="G6832" s="140">
        <v>250000.0</v>
      </c>
      <c r="H6832" s="74"/>
      <c r="I6832" s="74">
        <f t="shared" si="1"/>
        <v>250000</v>
      </c>
      <c r="J6832" s="74">
        <f>IF(E6832="SERVICE",I6832-(I6832*50%),Vlookup(E6832,DATABASE!C:Q,10,false)*F6832)</f>
        <v>75000</v>
      </c>
      <c r="K6832" s="74">
        <f>VLOOKUP(E6832,DATABASE!C:Q,7,false)</f>
        <v>75000</v>
      </c>
      <c r="L6832" s="74">
        <v>75000.0</v>
      </c>
      <c r="M6832" s="74">
        <f t="shared" si="2"/>
        <v>75000</v>
      </c>
      <c r="N6832" s="74">
        <f t="shared" si="3"/>
        <v>100000</v>
      </c>
      <c r="O6832" s="65" t="str">
        <f>VLOOKUP(E6832,DATABASE!C:Q,8,false)</f>
        <v>BIAN</v>
      </c>
      <c r="P6832" s="65">
        <f>VLOOKUP(E6832,DATABASE!C:Q,9,False)</f>
        <v>0</v>
      </c>
      <c r="Q6832" s="93" t="str">
        <f>VLOOKUP(E6832,DATABASE!C:Q,4,false)</f>
        <v>Baut Camber</v>
      </c>
      <c r="R6832" s="93" t="str">
        <f>VLOOKUP(E6832,DATABASE!C:Q,11,false)</f>
        <v>COMPLEMENTARY</v>
      </c>
    </row>
    <row r="6833" ht="22.5" customHeight="1">
      <c r="A6833" s="49"/>
      <c r="C6833" s="400">
        <v>46053.0</v>
      </c>
      <c r="D6833" s="524">
        <v>189.0</v>
      </c>
      <c r="E6833" s="544" t="s">
        <v>1597</v>
      </c>
      <c r="F6833" s="387">
        <v>1.0</v>
      </c>
      <c r="G6833" s="140">
        <v>645000.0</v>
      </c>
      <c r="H6833" s="74"/>
      <c r="I6833" s="74">
        <f t="shared" si="1"/>
        <v>645000</v>
      </c>
      <c r="J6833" s="74">
        <f>IF(E6833="SERVICE",I6833-(I6833*50%),Vlookup(E6833,DATABASE!C:Q,10,false)*F6833)</f>
        <v>0</v>
      </c>
      <c r="K6833" s="74">
        <f>VLOOKUP(E6833,DATABASE!C:Q,7,false)</f>
        <v>560700</v>
      </c>
      <c r="L6833" s="74">
        <v>544300.0</v>
      </c>
      <c r="M6833" s="74">
        <f t="shared" si="2"/>
        <v>545000</v>
      </c>
      <c r="N6833" s="74">
        <f t="shared" si="3"/>
        <v>100000</v>
      </c>
      <c r="O6833" s="65" t="str">
        <f>VLOOKUP(E6833,DATABASE!C:Q,8,false)</f>
        <v>BIAN</v>
      </c>
      <c r="P6833" s="65">
        <f>VLOOKUP(E6833,DATABASE!C:Q,9,False)</f>
        <v>1</v>
      </c>
      <c r="Q6833" s="93" t="str">
        <f>VLOOKUP(E6833,DATABASE!C:Q,4,false)</f>
        <v>GT</v>
      </c>
      <c r="R6833" s="93" t="str">
        <f>VLOOKUP(E6833,DATABASE!C:Q,11,false)</f>
        <v>Tire</v>
      </c>
    </row>
    <row r="6834" ht="22.5" customHeight="1">
      <c r="A6834" s="49"/>
      <c r="C6834" s="400">
        <v>46054.0</v>
      </c>
      <c r="D6834" s="524">
        <v>190.0</v>
      </c>
      <c r="E6834" s="544" t="s">
        <v>955</v>
      </c>
      <c r="F6834" s="387">
        <v>1.0</v>
      </c>
      <c r="G6834" s="140">
        <v>770000.0</v>
      </c>
      <c r="H6834" s="74"/>
      <c r="I6834" s="74">
        <f t="shared" si="1"/>
        <v>770000</v>
      </c>
      <c r="J6834" s="74">
        <f>IF(E6834="SERVICE",I6834-(I6834*50%),Vlookup(E6834,DATABASE!C:Q,10,false)*F6834)</f>
        <v>0</v>
      </c>
      <c r="K6834" s="74">
        <f>VLOOKUP(E6834,DATABASE!C:Q,7,false)</f>
        <v>712000</v>
      </c>
      <c r="L6834" s="74">
        <v>674000.0</v>
      </c>
      <c r="M6834" s="74">
        <f t="shared" si="2"/>
        <v>675000</v>
      </c>
      <c r="N6834" s="74">
        <f t="shared" si="3"/>
        <v>95000</v>
      </c>
      <c r="O6834" s="65" t="str">
        <f>VLOOKUP(E6834,DATABASE!C:Q,8,false)</f>
        <v>IBU</v>
      </c>
      <c r="P6834" s="65">
        <f>VLOOKUP(E6834,DATABASE!C:Q,9,False)</f>
        <v>1</v>
      </c>
      <c r="Q6834" s="93" t="str">
        <f>VLOOKUP(E6834,DATABASE!C:Q,4,false)</f>
        <v>Dunlop</v>
      </c>
      <c r="R6834" s="93" t="str">
        <f>VLOOKUP(E6834,DATABASE!C:Q,11,false)</f>
        <v>Tire</v>
      </c>
    </row>
    <row r="6835" ht="22.5" customHeight="1">
      <c r="A6835" s="49"/>
      <c r="C6835" s="400">
        <v>46054.0</v>
      </c>
      <c r="D6835" s="524">
        <v>190.0</v>
      </c>
      <c r="E6835" s="544" t="s">
        <v>256</v>
      </c>
      <c r="F6835" s="387">
        <v>1.0</v>
      </c>
      <c r="G6835" s="140">
        <v>150000.0</v>
      </c>
      <c r="H6835" s="140">
        <v>20000.0</v>
      </c>
      <c r="I6835" s="74">
        <f t="shared" si="1"/>
        <v>130000</v>
      </c>
      <c r="J6835" s="74">
        <f>IF(E6835="SERVICE",I6835-(I6835*50%),Vlookup(E6835,DATABASE!C:Q,10,false)*F6835)</f>
        <v>10000</v>
      </c>
      <c r="K6835" s="74">
        <f>VLOOKUP(E6835,DATABASE!C:Q,7,false)</f>
        <v>0</v>
      </c>
      <c r="L6835" s="74">
        <v>0.0</v>
      </c>
      <c r="M6835" s="74">
        <f t="shared" si="2"/>
        <v>0</v>
      </c>
      <c r="N6835" s="74">
        <f t="shared" si="3"/>
        <v>120000</v>
      </c>
      <c r="O6835" s="65" t="str">
        <f>VLOOKUP(E6835,DATABASE!C:Q,8,false)</f>
        <v>IBU</v>
      </c>
      <c r="P6835" s="65">
        <f>VLOOKUP(E6835,DATABASE!C:Q,9,False)</f>
        <v>0</v>
      </c>
      <c r="Q6835" s="93" t="str">
        <f>VLOOKUP(E6835,DATABASE!C:Q,4,false)</f>
        <v>SPOORING</v>
      </c>
      <c r="R6835" s="93" t="str">
        <f>VLOOKUP(E6835,DATABASE!C:Q,11,false)</f>
        <v>SERVICE</v>
      </c>
    </row>
    <row r="6836" ht="22.5" customHeight="1">
      <c r="A6836" s="49"/>
      <c r="C6836" s="400">
        <v>46054.0</v>
      </c>
      <c r="D6836" s="524">
        <v>190.0</v>
      </c>
      <c r="E6836" s="544" t="s">
        <v>301</v>
      </c>
      <c r="F6836" s="387">
        <v>1.0</v>
      </c>
      <c r="G6836" s="140">
        <v>250000.0</v>
      </c>
      <c r="H6836" s="74"/>
      <c r="I6836" s="74">
        <f t="shared" si="1"/>
        <v>250000</v>
      </c>
      <c r="J6836" s="74">
        <f>IF(E6836="SERVICE",I6836-(I6836*50%),Vlookup(E6836,DATABASE!C:Q,10,false)*F6836)</f>
        <v>75000</v>
      </c>
      <c r="K6836" s="74">
        <f>VLOOKUP(E6836,DATABASE!C:Q,7,false)</f>
        <v>75000</v>
      </c>
      <c r="L6836" s="74">
        <v>75000.0</v>
      </c>
      <c r="M6836" s="74">
        <f t="shared" si="2"/>
        <v>75000</v>
      </c>
      <c r="N6836" s="74">
        <f t="shared" si="3"/>
        <v>100000</v>
      </c>
      <c r="O6836" s="65" t="str">
        <f>VLOOKUP(E6836,DATABASE!C:Q,8,false)</f>
        <v>BIAN</v>
      </c>
      <c r="P6836" s="65">
        <f>VLOOKUP(E6836,DATABASE!C:Q,9,False)</f>
        <v>0</v>
      </c>
      <c r="Q6836" s="93" t="str">
        <f>VLOOKUP(E6836,DATABASE!C:Q,4,false)</f>
        <v>Baut Camber</v>
      </c>
      <c r="R6836" s="93" t="str">
        <f>VLOOKUP(E6836,DATABASE!C:Q,11,false)</f>
        <v>COMPLEMENTARY</v>
      </c>
    </row>
    <row r="6837" ht="22.5" customHeight="1">
      <c r="A6837" s="49"/>
      <c r="C6837" s="400">
        <v>46054.0</v>
      </c>
      <c r="D6837" s="524">
        <v>191.0</v>
      </c>
      <c r="E6837" s="544" t="s">
        <v>957</v>
      </c>
      <c r="F6837" s="387">
        <v>2.0</v>
      </c>
      <c r="G6837" s="140">
        <v>870000.0</v>
      </c>
      <c r="H6837" s="140">
        <v>20000.0</v>
      </c>
      <c r="I6837" s="74">
        <f t="shared" si="1"/>
        <v>1700000</v>
      </c>
      <c r="J6837" s="74">
        <f>IF(E6837="SERVICE",I6837-(I6837*50%),Vlookup(E6837,DATABASE!C:Q,10,false)*F6837)</f>
        <v>0</v>
      </c>
      <c r="K6837" s="74">
        <f>VLOOKUP(E6837,DATABASE!C:Q,7,false)</f>
        <v>773337.5</v>
      </c>
      <c r="L6837" s="74">
        <v>762048.0</v>
      </c>
      <c r="M6837" s="74">
        <f t="shared" si="2"/>
        <v>765000</v>
      </c>
      <c r="N6837" s="74">
        <f t="shared" si="3"/>
        <v>170000</v>
      </c>
      <c r="O6837" s="65" t="str">
        <f>VLOOKUP(E6837,DATABASE!C:Q,8,false)</f>
        <v>IBU</v>
      </c>
      <c r="P6837" s="65">
        <f>VLOOKUP(E6837,DATABASE!C:Q,9,False)</f>
        <v>1</v>
      </c>
      <c r="Q6837" s="93" t="str">
        <f>VLOOKUP(E6837,DATABASE!C:Q,4,false)</f>
        <v>Bridgestone</v>
      </c>
      <c r="R6837" s="93" t="str">
        <f>VLOOKUP(E6837,DATABASE!C:Q,11,false)</f>
        <v>Tire</v>
      </c>
    </row>
    <row r="6838" ht="22.5" customHeight="1">
      <c r="A6838" s="49"/>
      <c r="C6838" s="400">
        <v>46054.0</v>
      </c>
      <c r="D6838" s="524">
        <v>192.0</v>
      </c>
      <c r="E6838" s="544" t="s">
        <v>622</v>
      </c>
      <c r="F6838" s="387">
        <v>1.0</v>
      </c>
      <c r="G6838" s="140">
        <v>915000.0</v>
      </c>
      <c r="H6838" s="140">
        <v>15000.0</v>
      </c>
      <c r="I6838" s="74">
        <f t="shared" si="1"/>
        <v>900000</v>
      </c>
      <c r="J6838" s="74">
        <f>IF(E6838="SERVICE",I6838-(I6838*50%),Vlookup(E6838,DATABASE!C:Q,10,false)*F6838)</f>
        <v>0</v>
      </c>
      <c r="K6838" s="74">
        <f>VLOOKUP(E6838,DATABASE!C:Q,7,false)</f>
        <v>851110.375</v>
      </c>
      <c r="L6838" s="74">
        <v>805872.0</v>
      </c>
      <c r="M6838" s="74">
        <f t="shared" si="2"/>
        <v>810000</v>
      </c>
      <c r="N6838" s="74">
        <f t="shared" si="3"/>
        <v>90000</v>
      </c>
      <c r="O6838" s="65" t="str">
        <f>VLOOKUP(E6838,DATABASE!C:Q,8,false)</f>
        <v>IBU</v>
      </c>
      <c r="P6838" s="65">
        <f>VLOOKUP(E6838,DATABASE!C:Q,9,False)</f>
        <v>1</v>
      </c>
      <c r="Q6838" s="93" t="str">
        <f>VLOOKUP(E6838,DATABASE!C:Q,4,false)</f>
        <v>Bridgestone</v>
      </c>
      <c r="R6838" s="93" t="str">
        <f>VLOOKUP(E6838,DATABASE!C:Q,11,false)</f>
        <v>Tire</v>
      </c>
    </row>
    <row r="6839" ht="22.5" customHeight="1">
      <c r="A6839" s="49"/>
      <c r="C6839" s="400">
        <v>46054.0</v>
      </c>
      <c r="D6839" s="524">
        <v>193.0</v>
      </c>
      <c r="E6839" s="544" t="s">
        <v>1361</v>
      </c>
      <c r="F6839" s="387">
        <v>1.0</v>
      </c>
      <c r="G6839" s="140">
        <v>960000.0</v>
      </c>
      <c r="H6839" s="74"/>
      <c r="I6839" s="74">
        <f t="shared" si="1"/>
        <v>960000</v>
      </c>
      <c r="J6839" s="74">
        <f>IF(E6839="SERVICE",I6839-(I6839*50%),Vlookup(E6839,DATABASE!C:Q,10,false)*F6839)</f>
        <v>0</v>
      </c>
      <c r="K6839" s="74">
        <f>VLOOKUP(E6839,DATABASE!C:Q,7,false)</f>
        <v>881000</v>
      </c>
      <c r="L6839" s="74">
        <v>863000.0</v>
      </c>
      <c r="M6839" s="74">
        <f t="shared" si="2"/>
        <v>865000</v>
      </c>
      <c r="N6839" s="74">
        <f t="shared" si="3"/>
        <v>95000</v>
      </c>
      <c r="O6839" s="65" t="str">
        <f>VLOOKUP(E6839,DATABASE!C:Q,8,false)</f>
        <v>IBU</v>
      </c>
      <c r="P6839" s="65">
        <f>VLOOKUP(E6839,DATABASE!C:Q,9,False)</f>
        <v>1</v>
      </c>
      <c r="Q6839" s="93" t="str">
        <f>VLOOKUP(E6839,DATABASE!C:Q,4,false)</f>
        <v>Dunlop</v>
      </c>
      <c r="R6839" s="93" t="str">
        <f>VLOOKUP(E6839,DATABASE!C:Q,11,false)</f>
        <v>Tire</v>
      </c>
    </row>
    <row r="6840" ht="22.5" customHeight="1">
      <c r="A6840" s="49"/>
      <c r="C6840" s="400">
        <v>46054.0</v>
      </c>
      <c r="D6840" s="524">
        <v>194.0</v>
      </c>
      <c r="E6840" s="544" t="s">
        <v>299</v>
      </c>
      <c r="F6840" s="387">
        <v>2.0</v>
      </c>
      <c r="G6840" s="140">
        <v>30000.0</v>
      </c>
      <c r="H6840" s="74"/>
      <c r="I6840" s="74">
        <f t="shared" si="1"/>
        <v>60000</v>
      </c>
      <c r="J6840" s="74">
        <f>IF(E6840="SERVICE",I6840-(I6840*50%),Vlookup(E6840,DATABASE!C:Q,10,false)*F6840)</f>
        <v>0</v>
      </c>
      <c r="K6840" s="74">
        <f>VLOOKUP(E6840,DATABASE!C:Q,7,false)</f>
        <v>10000</v>
      </c>
      <c r="L6840" s="74">
        <v>5000.0</v>
      </c>
      <c r="M6840" s="74">
        <f t="shared" si="2"/>
        <v>5000</v>
      </c>
      <c r="N6840" s="74">
        <f t="shared" si="3"/>
        <v>50000</v>
      </c>
      <c r="O6840" s="65" t="str">
        <f>VLOOKUP(E6840,DATABASE!C:Q,8,false)</f>
        <v>BIAN</v>
      </c>
      <c r="P6840" s="65">
        <f>VLOOKUP(E6840,DATABASE!C:Q,9,False)</f>
        <v>0</v>
      </c>
      <c r="Q6840" s="93" t="str">
        <f>VLOOKUP(E6840,DATABASE!C:Q,4,false)</f>
        <v>Balancing</v>
      </c>
      <c r="R6840" s="93" t="str">
        <f>VLOOKUP(E6840,DATABASE!C:Q,11,false)</f>
        <v>COMPLEMENTARY</v>
      </c>
    </row>
    <row r="6841" ht="22.5" customHeight="1">
      <c r="A6841" s="49"/>
      <c r="C6841" s="400">
        <v>46054.0</v>
      </c>
      <c r="D6841" s="524">
        <v>195.0</v>
      </c>
      <c r="E6841" s="544" t="s">
        <v>299</v>
      </c>
      <c r="F6841" s="387">
        <v>2.0</v>
      </c>
      <c r="G6841" s="140">
        <v>30000.0</v>
      </c>
      <c r="H6841" s="74"/>
      <c r="I6841" s="74">
        <f t="shared" si="1"/>
        <v>60000</v>
      </c>
      <c r="J6841" s="74">
        <f>IF(E6841="SERVICE",I6841-(I6841*50%),Vlookup(E6841,DATABASE!C:Q,10,false)*F6841)</f>
        <v>0</v>
      </c>
      <c r="K6841" s="74">
        <f>VLOOKUP(E6841,DATABASE!C:Q,7,false)</f>
        <v>10000</v>
      </c>
      <c r="L6841" s="74">
        <v>5000.0</v>
      </c>
      <c r="M6841" s="74">
        <f t="shared" si="2"/>
        <v>5000</v>
      </c>
      <c r="N6841" s="74">
        <f t="shared" si="3"/>
        <v>50000</v>
      </c>
      <c r="O6841" s="65" t="str">
        <f>VLOOKUP(E6841,DATABASE!C:Q,8,false)</f>
        <v>BIAN</v>
      </c>
      <c r="P6841" s="65">
        <f>VLOOKUP(E6841,DATABASE!C:Q,9,False)</f>
        <v>0</v>
      </c>
      <c r="Q6841" s="93" t="str">
        <f>VLOOKUP(E6841,DATABASE!C:Q,4,false)</f>
        <v>Balancing</v>
      </c>
      <c r="R6841" s="93" t="str">
        <f>VLOOKUP(E6841,DATABASE!C:Q,11,false)</f>
        <v>COMPLEMENTARY</v>
      </c>
    </row>
    <row r="6842" ht="22.5" customHeight="1">
      <c r="A6842" s="49"/>
      <c r="C6842" s="400">
        <v>46055.0</v>
      </c>
      <c r="D6842" s="524">
        <v>196.0</v>
      </c>
      <c r="E6842" s="544" t="s">
        <v>265</v>
      </c>
      <c r="F6842" s="387">
        <v>2.0</v>
      </c>
      <c r="G6842" s="140">
        <v>685000.0</v>
      </c>
      <c r="H6842" s="74"/>
      <c r="I6842" s="74">
        <f t="shared" si="1"/>
        <v>1370000</v>
      </c>
      <c r="J6842" s="74">
        <f>IF(E6842="SERVICE",I6842-(I6842*50%),Vlookup(E6842,DATABASE!C:Q,10,false)*F6842)</f>
        <v>0</v>
      </c>
      <c r="K6842" s="74">
        <f>VLOOKUP(E6842,DATABASE!C:Q,7,false)</f>
        <v>628000</v>
      </c>
      <c r="L6842" s="74">
        <v>600000.0</v>
      </c>
      <c r="M6842" s="74">
        <f t="shared" si="2"/>
        <v>600000</v>
      </c>
      <c r="N6842" s="74">
        <f t="shared" si="3"/>
        <v>170000</v>
      </c>
      <c r="O6842" s="65" t="str">
        <f>VLOOKUP(E6842,DATABASE!C:Q,8,false)</f>
        <v>IBU</v>
      </c>
      <c r="P6842" s="65">
        <f>VLOOKUP(E6842,DATABASE!C:Q,9,False)</f>
        <v>1</v>
      </c>
      <c r="Q6842" s="93" t="str">
        <f>VLOOKUP(E6842,DATABASE!C:Q,4,false)</f>
        <v>Dunlop</v>
      </c>
      <c r="R6842" s="93" t="str">
        <f>VLOOKUP(E6842,DATABASE!C:Q,11,false)</f>
        <v>Tire</v>
      </c>
    </row>
    <row r="6843" ht="22.5" customHeight="1">
      <c r="A6843" s="49"/>
      <c r="C6843" s="400">
        <v>46055.0</v>
      </c>
      <c r="D6843" s="524">
        <v>199.0</v>
      </c>
      <c r="E6843" s="544" t="s">
        <v>2199</v>
      </c>
      <c r="F6843" s="387">
        <v>1.0</v>
      </c>
      <c r="G6843" s="140">
        <v>15000.0</v>
      </c>
      <c r="H6843" s="74"/>
      <c r="I6843" s="74">
        <f t="shared" si="1"/>
        <v>15000</v>
      </c>
      <c r="J6843" s="74">
        <f>IF(E6843="SERVICE",I6843-(I6843*50%),Vlookup(E6843,DATABASE!C:Q,10,false)*F6843)</f>
        <v>0</v>
      </c>
      <c r="K6843" s="74">
        <f>VLOOKUP(E6843,DATABASE!C:Q,7,false)</f>
        <v>5000</v>
      </c>
      <c r="L6843" s="74">
        <v>0.0</v>
      </c>
      <c r="M6843" s="74">
        <f t="shared" si="2"/>
        <v>0</v>
      </c>
      <c r="N6843" s="74">
        <f t="shared" si="3"/>
        <v>15000</v>
      </c>
      <c r="O6843" s="65" t="str">
        <f>VLOOKUP(E6843,DATABASE!C:Q,8,false)</f>
        <v>BIAN</v>
      </c>
      <c r="P6843" s="65">
        <f>VLOOKUP(E6843,DATABASE!C:Q,9,False)</f>
        <v>0</v>
      </c>
      <c r="Q6843" s="93" t="str">
        <f>VLOOKUP(E6843,DATABASE!C:Q,4,false)</f>
        <v>TAMBAL TUBLES</v>
      </c>
      <c r="R6843" s="93" t="str">
        <f>VLOOKUP(E6843,DATABASE!C:Q,11,false)</f>
        <v>COMPLEMENTARY</v>
      </c>
    </row>
    <row r="6844" ht="22.5" customHeight="1">
      <c r="A6844" s="49"/>
      <c r="C6844" s="400">
        <v>46055.0</v>
      </c>
      <c r="D6844" s="524">
        <v>199.0</v>
      </c>
      <c r="E6844" s="544" t="s">
        <v>301</v>
      </c>
      <c r="F6844" s="387">
        <v>1.0</v>
      </c>
      <c r="G6844" s="140">
        <v>250000.0</v>
      </c>
      <c r="H6844" s="74"/>
      <c r="I6844" s="74">
        <f t="shared" si="1"/>
        <v>250000</v>
      </c>
      <c r="J6844" s="74">
        <f>IF(E6844="SERVICE",I6844-(I6844*50%),Vlookup(E6844,DATABASE!C:Q,10,false)*F6844)</f>
        <v>75000</v>
      </c>
      <c r="K6844" s="74">
        <f>VLOOKUP(E6844,DATABASE!C:Q,7,false)</f>
        <v>75000</v>
      </c>
      <c r="L6844" s="74">
        <v>75000.0</v>
      </c>
      <c r="M6844" s="74">
        <f t="shared" si="2"/>
        <v>75000</v>
      </c>
      <c r="N6844" s="74">
        <f t="shared" si="3"/>
        <v>100000</v>
      </c>
      <c r="O6844" s="65" t="str">
        <f>VLOOKUP(E6844,DATABASE!C:Q,8,false)</f>
        <v>BIAN</v>
      </c>
      <c r="P6844" s="65">
        <f>VLOOKUP(E6844,DATABASE!C:Q,9,False)</f>
        <v>0</v>
      </c>
      <c r="Q6844" s="93" t="str">
        <f>VLOOKUP(E6844,DATABASE!C:Q,4,false)</f>
        <v>Baut Camber</v>
      </c>
      <c r="R6844" s="93" t="str">
        <f>VLOOKUP(E6844,DATABASE!C:Q,11,false)</f>
        <v>COMPLEMENTARY</v>
      </c>
    </row>
    <row r="6845" ht="22.5" customHeight="1">
      <c r="A6845" s="49"/>
      <c r="C6845" s="400">
        <v>46055.0</v>
      </c>
      <c r="D6845" s="524">
        <v>200.0</v>
      </c>
      <c r="E6845" s="544" t="s">
        <v>271</v>
      </c>
      <c r="F6845" s="387">
        <v>2.0</v>
      </c>
      <c r="G6845" s="140">
        <v>630000.0</v>
      </c>
      <c r="H6845" s="74"/>
      <c r="I6845" s="74">
        <f t="shared" si="1"/>
        <v>1260000</v>
      </c>
      <c r="J6845" s="74">
        <f>IF(E6845="SERVICE",I6845-(I6845*50%),Vlookup(E6845,DATABASE!C:Q,10,false)*F6845)</f>
        <v>0</v>
      </c>
      <c r="K6845" s="74">
        <f>VLOOKUP(E6845,DATABASE!C:Q,7,false)</f>
        <v>570000</v>
      </c>
      <c r="L6845" s="74">
        <v>539000.0</v>
      </c>
      <c r="M6845" s="74">
        <f t="shared" si="2"/>
        <v>540000</v>
      </c>
      <c r="N6845" s="74">
        <f t="shared" si="3"/>
        <v>180000</v>
      </c>
      <c r="O6845" s="65" t="str">
        <f>VLOOKUP(E6845,DATABASE!C:Q,8,false)</f>
        <v>IBU</v>
      </c>
      <c r="P6845" s="65">
        <f>VLOOKUP(E6845,DATABASE!C:Q,9,False)</f>
        <v>1</v>
      </c>
      <c r="Q6845" s="93" t="str">
        <f>VLOOKUP(E6845,DATABASE!C:Q,4,false)</f>
        <v>Dunlop</v>
      </c>
      <c r="R6845" s="93" t="str">
        <f>VLOOKUP(E6845,DATABASE!C:Q,11,false)</f>
        <v>Tire</v>
      </c>
    </row>
    <row r="6846" ht="22.5" customHeight="1">
      <c r="A6846" s="49"/>
      <c r="C6846" s="400">
        <v>46055.0</v>
      </c>
      <c r="D6846" s="524">
        <v>201.0</v>
      </c>
      <c r="E6846" s="544" t="s">
        <v>265</v>
      </c>
      <c r="F6846" s="387">
        <v>1.0</v>
      </c>
      <c r="G6846" s="140">
        <v>685000.0</v>
      </c>
      <c r="H6846" s="74"/>
      <c r="I6846" s="74">
        <f t="shared" si="1"/>
        <v>685000</v>
      </c>
      <c r="J6846" s="74">
        <f>IF(E6846="SERVICE",I6846-(I6846*50%),Vlookup(E6846,DATABASE!C:Q,10,false)*F6846)</f>
        <v>0</v>
      </c>
      <c r="K6846" s="74">
        <f>VLOOKUP(E6846,DATABASE!C:Q,7,false)</f>
        <v>628000</v>
      </c>
      <c r="L6846" s="74">
        <v>600000.0</v>
      </c>
      <c r="M6846" s="74">
        <f t="shared" si="2"/>
        <v>600000</v>
      </c>
      <c r="N6846" s="74">
        <f t="shared" si="3"/>
        <v>85000</v>
      </c>
      <c r="O6846" s="65" t="str">
        <f>VLOOKUP(E6846,DATABASE!C:Q,8,false)</f>
        <v>IBU</v>
      </c>
      <c r="P6846" s="65">
        <f>VLOOKUP(E6846,DATABASE!C:Q,9,False)</f>
        <v>1</v>
      </c>
      <c r="Q6846" s="93" t="str">
        <f>VLOOKUP(E6846,DATABASE!C:Q,4,false)</f>
        <v>Dunlop</v>
      </c>
      <c r="R6846" s="93" t="str">
        <f>VLOOKUP(E6846,DATABASE!C:Q,11,false)</f>
        <v>Tire</v>
      </c>
    </row>
    <row r="6847" ht="22.5" customHeight="1">
      <c r="A6847" s="49"/>
      <c r="C6847" s="400">
        <v>46055.0</v>
      </c>
      <c r="D6847" s="524">
        <v>202.0</v>
      </c>
      <c r="E6847" s="544" t="s">
        <v>268</v>
      </c>
      <c r="F6847" s="387">
        <v>1.0</v>
      </c>
      <c r="G6847" s="140">
        <v>710000.0</v>
      </c>
      <c r="H6847" s="74"/>
      <c r="I6847" s="74">
        <f t="shared" si="1"/>
        <v>710000</v>
      </c>
      <c r="J6847" s="74">
        <f>IF(E6847="SERVICE",I6847-(I6847*50%),Vlookup(E6847,DATABASE!C:Q,10,false)*F6847)</f>
        <v>0</v>
      </c>
      <c r="K6847" s="74">
        <f>VLOOKUP(E6847,DATABASE!C:Q,7,false)</f>
        <v>653000</v>
      </c>
      <c r="L6847" s="74">
        <v>622000.0</v>
      </c>
      <c r="M6847" s="74">
        <f t="shared" si="2"/>
        <v>625000</v>
      </c>
      <c r="N6847" s="74">
        <f t="shared" si="3"/>
        <v>85000</v>
      </c>
      <c r="O6847" s="65" t="str">
        <f>VLOOKUP(E6847,DATABASE!C:Q,8,false)</f>
        <v>IBU</v>
      </c>
      <c r="P6847" s="65">
        <f>VLOOKUP(E6847,DATABASE!C:Q,9,False)</f>
        <v>1</v>
      </c>
      <c r="Q6847" s="93" t="str">
        <f>VLOOKUP(E6847,DATABASE!C:Q,4,false)</f>
        <v>Dunlop</v>
      </c>
      <c r="R6847" s="93" t="str">
        <f>VLOOKUP(E6847,DATABASE!C:Q,11,false)</f>
        <v>Tire</v>
      </c>
    </row>
    <row r="6848" ht="22.5" customHeight="1">
      <c r="A6848" s="49"/>
      <c r="C6848" s="400">
        <v>46055.0</v>
      </c>
      <c r="D6848" s="524">
        <v>203.0</v>
      </c>
      <c r="E6848" s="544" t="s">
        <v>256</v>
      </c>
      <c r="F6848" s="387">
        <v>1.0</v>
      </c>
      <c r="G6848" s="140">
        <v>150000.0</v>
      </c>
      <c r="H6848" s="140">
        <v>20000.0</v>
      </c>
      <c r="I6848" s="74">
        <f t="shared" si="1"/>
        <v>130000</v>
      </c>
      <c r="J6848" s="74">
        <f>IF(E6848="SERVICE",I6848-(I6848*50%),Vlookup(E6848,DATABASE!C:Q,10,false)*F6848)</f>
        <v>10000</v>
      </c>
      <c r="K6848" s="74">
        <f>VLOOKUP(E6848,DATABASE!C:Q,7,false)</f>
        <v>0</v>
      </c>
      <c r="L6848" s="74">
        <v>0.0</v>
      </c>
      <c r="M6848" s="74">
        <f t="shared" si="2"/>
        <v>0</v>
      </c>
      <c r="N6848" s="74">
        <f t="shared" si="3"/>
        <v>120000</v>
      </c>
      <c r="O6848" s="65" t="str">
        <f>VLOOKUP(E6848,DATABASE!C:Q,8,false)</f>
        <v>IBU</v>
      </c>
      <c r="P6848" s="65">
        <f>VLOOKUP(E6848,DATABASE!C:Q,9,False)</f>
        <v>0</v>
      </c>
      <c r="Q6848" s="93" t="str">
        <f>VLOOKUP(E6848,DATABASE!C:Q,4,false)</f>
        <v>SPOORING</v>
      </c>
      <c r="R6848" s="93" t="str">
        <f>VLOOKUP(E6848,DATABASE!C:Q,11,false)</f>
        <v>SERVICE</v>
      </c>
    </row>
    <row r="6849" ht="22.5" customHeight="1">
      <c r="A6849" s="49"/>
      <c r="C6849" s="400">
        <v>46055.0</v>
      </c>
      <c r="D6849" s="524">
        <v>204.0</v>
      </c>
      <c r="E6849" s="544" t="s">
        <v>791</v>
      </c>
      <c r="F6849" s="387">
        <v>2.0</v>
      </c>
      <c r="G6849" s="140">
        <v>1280000.0</v>
      </c>
      <c r="H6849" s="74"/>
      <c r="I6849" s="74">
        <f t="shared" si="1"/>
        <v>2560000</v>
      </c>
      <c r="J6849" s="74">
        <f>IF(E6849="SERVICE",I6849-(I6849*50%),Vlookup(E6849,DATABASE!C:Q,10,false)*F6849)</f>
        <v>0</v>
      </c>
      <c r="K6849" s="74">
        <f>VLOOKUP(E6849,DATABASE!C:Q,7,false)</f>
        <v>1210000</v>
      </c>
      <c r="L6849" s="74">
        <v>1180000.0</v>
      </c>
      <c r="M6849" s="74">
        <f t="shared" si="2"/>
        <v>1180000</v>
      </c>
      <c r="N6849" s="74">
        <f t="shared" si="3"/>
        <v>200000</v>
      </c>
      <c r="O6849" s="65" t="str">
        <f>VLOOKUP(E6849,DATABASE!C:Q,8,false)</f>
        <v>BIAN</v>
      </c>
      <c r="P6849" s="65">
        <f>VLOOKUP(E6849,DATABASE!C:Q,9,False)</f>
        <v>1</v>
      </c>
      <c r="Q6849" s="93" t="str">
        <f>VLOOKUP(E6849,DATABASE!C:Q,4,false)</f>
        <v>GT</v>
      </c>
      <c r="R6849" s="93" t="str">
        <f>VLOOKUP(E6849,DATABASE!C:Q,11,false)</f>
        <v>Tire</v>
      </c>
    </row>
    <row r="6850" ht="22.5" customHeight="1">
      <c r="A6850" s="49"/>
      <c r="C6850" s="400">
        <v>46055.0</v>
      </c>
      <c r="D6850" s="524">
        <v>205.0</v>
      </c>
      <c r="E6850" s="544" t="s">
        <v>271</v>
      </c>
      <c r="F6850" s="387">
        <v>2.0</v>
      </c>
      <c r="G6850" s="140">
        <v>630000.0</v>
      </c>
      <c r="H6850" s="74"/>
      <c r="I6850" s="74">
        <f t="shared" si="1"/>
        <v>1260000</v>
      </c>
      <c r="J6850" s="74">
        <f>IF(E6850="SERVICE",I6850-(I6850*50%),Vlookup(E6850,DATABASE!C:Q,10,false)*F6850)</f>
        <v>0</v>
      </c>
      <c r="K6850" s="74">
        <f>VLOOKUP(E6850,DATABASE!C:Q,7,false)</f>
        <v>570000</v>
      </c>
      <c r="L6850" s="74">
        <v>539000.0</v>
      </c>
      <c r="M6850" s="74">
        <f t="shared" si="2"/>
        <v>540000</v>
      </c>
      <c r="N6850" s="74">
        <f t="shared" si="3"/>
        <v>180000</v>
      </c>
      <c r="O6850" s="65" t="str">
        <f>VLOOKUP(E6850,DATABASE!C:Q,8,false)</f>
        <v>IBU</v>
      </c>
      <c r="P6850" s="65">
        <f>VLOOKUP(E6850,DATABASE!C:Q,9,False)</f>
        <v>1</v>
      </c>
      <c r="Q6850" s="93" t="str">
        <f>VLOOKUP(E6850,DATABASE!C:Q,4,false)</f>
        <v>Dunlop</v>
      </c>
      <c r="R6850" s="93" t="str">
        <f>VLOOKUP(E6850,DATABASE!C:Q,11,false)</f>
        <v>Tire</v>
      </c>
    </row>
    <row r="6851" ht="22.5" customHeight="1">
      <c r="A6851" s="49"/>
      <c r="C6851" s="400">
        <v>46055.0</v>
      </c>
      <c r="D6851" s="524">
        <v>206.0</v>
      </c>
      <c r="E6851" s="544" t="s">
        <v>777</v>
      </c>
      <c r="F6851" s="387">
        <v>2.0</v>
      </c>
      <c r="G6851" s="140">
        <v>600000.0</v>
      </c>
      <c r="H6851" s="140">
        <v>10000.0</v>
      </c>
      <c r="I6851" s="74">
        <f t="shared" si="1"/>
        <v>1180000</v>
      </c>
      <c r="J6851" s="74">
        <f>IF(E6851="SERVICE",I6851-(I6851*50%),Vlookup(E6851,DATABASE!C:Q,10,false)*F6851)</f>
        <v>0</v>
      </c>
      <c r="K6851" s="74">
        <f>VLOOKUP(E6851,DATABASE!C:Q,7,false)</f>
        <v>540000</v>
      </c>
      <c r="L6851" s="74">
        <v>507000.0</v>
      </c>
      <c r="M6851" s="74">
        <f t="shared" si="2"/>
        <v>510000</v>
      </c>
      <c r="N6851" s="74">
        <f t="shared" si="3"/>
        <v>160000</v>
      </c>
      <c r="O6851" s="65" t="str">
        <f>VLOOKUP(E6851,DATABASE!C:Q,8,false)</f>
        <v>BIAN</v>
      </c>
      <c r="P6851" s="65">
        <f>VLOOKUP(E6851,DATABASE!C:Q,9,False)</f>
        <v>1</v>
      </c>
      <c r="Q6851" s="93" t="str">
        <f>VLOOKUP(E6851,DATABASE!C:Q,4,false)</f>
        <v>GT</v>
      </c>
      <c r="R6851" s="93" t="str">
        <f>VLOOKUP(E6851,DATABASE!C:Q,11,false)</f>
        <v>Tire</v>
      </c>
    </row>
    <row r="6852" ht="22.5" customHeight="1">
      <c r="A6852" s="49"/>
      <c r="C6852" s="400">
        <v>46056.0</v>
      </c>
      <c r="D6852" s="524">
        <v>207.0</v>
      </c>
      <c r="E6852" s="544" t="s">
        <v>265</v>
      </c>
      <c r="F6852" s="387">
        <v>2.0</v>
      </c>
      <c r="G6852" s="140">
        <v>685000.0</v>
      </c>
      <c r="H6852" s="74"/>
      <c r="I6852" s="74">
        <f t="shared" si="1"/>
        <v>1370000</v>
      </c>
      <c r="J6852" s="74">
        <f>IF(E6852="SERVICE",I6852-(I6852*50%),Vlookup(E6852,DATABASE!C:Q,10,false)*F6852)</f>
        <v>0</v>
      </c>
      <c r="K6852" s="74">
        <f>VLOOKUP(E6852,DATABASE!C:Q,7,false)</f>
        <v>628000</v>
      </c>
      <c r="L6852" s="74">
        <v>600000.0</v>
      </c>
      <c r="M6852" s="74">
        <f t="shared" si="2"/>
        <v>600000</v>
      </c>
      <c r="N6852" s="74">
        <f t="shared" si="3"/>
        <v>170000</v>
      </c>
      <c r="O6852" s="65" t="str">
        <f>VLOOKUP(E6852,DATABASE!C:Q,8,false)</f>
        <v>IBU</v>
      </c>
      <c r="P6852" s="65">
        <f>VLOOKUP(E6852,DATABASE!C:Q,9,False)</f>
        <v>1</v>
      </c>
      <c r="Q6852" s="93" t="str">
        <f>VLOOKUP(E6852,DATABASE!C:Q,4,false)</f>
        <v>Dunlop</v>
      </c>
      <c r="R6852" s="93" t="str">
        <f>VLOOKUP(E6852,DATABASE!C:Q,11,false)</f>
        <v>Tire</v>
      </c>
    </row>
    <row r="6853" ht="22.5" customHeight="1">
      <c r="A6853" s="49"/>
      <c r="C6853" s="400">
        <v>46056.0</v>
      </c>
      <c r="D6853" s="524">
        <v>208.0</v>
      </c>
      <c r="E6853" s="544" t="s">
        <v>932</v>
      </c>
      <c r="F6853" s="387">
        <v>2.0</v>
      </c>
      <c r="G6853" s="140">
        <v>680000.0</v>
      </c>
      <c r="H6853" s="74"/>
      <c r="I6853" s="74">
        <f t="shared" si="1"/>
        <v>1360000</v>
      </c>
      <c r="J6853" s="74">
        <f>IF(E6853="SERVICE",I6853-(I6853*50%),Vlookup(E6853,DATABASE!C:Q,10,false)*F6853)</f>
        <v>0</v>
      </c>
      <c r="K6853" s="74">
        <f>VLOOKUP(E6853,DATABASE!C:Q,7,false)</f>
        <v>601000</v>
      </c>
      <c r="L6853" s="74">
        <v>595000.0</v>
      </c>
      <c r="M6853" s="74">
        <f t="shared" si="2"/>
        <v>595000</v>
      </c>
      <c r="N6853" s="74">
        <f t="shared" si="3"/>
        <v>170000</v>
      </c>
      <c r="O6853" s="65" t="str">
        <f>VLOOKUP(E6853,DATABASE!C:Q,8,false)</f>
        <v>IBU</v>
      </c>
      <c r="P6853" s="65">
        <f>VLOOKUP(E6853,DATABASE!C:Q,9,False)</f>
        <v>1</v>
      </c>
      <c r="Q6853" s="93" t="str">
        <f>VLOOKUP(E6853,DATABASE!C:Q,4,false)</f>
        <v>Dunlop</v>
      </c>
      <c r="R6853" s="93" t="str">
        <f>VLOOKUP(E6853,DATABASE!C:Q,11,false)</f>
        <v>Tire</v>
      </c>
    </row>
    <row r="6854" ht="22.5" customHeight="1">
      <c r="A6854" s="49"/>
      <c r="C6854" s="400">
        <v>46056.0</v>
      </c>
      <c r="D6854" s="524">
        <v>208.0</v>
      </c>
      <c r="E6854" s="544" t="s">
        <v>299</v>
      </c>
      <c r="F6854" s="387">
        <v>2.0</v>
      </c>
      <c r="G6854" s="140">
        <v>30000.0</v>
      </c>
      <c r="H6854" s="74"/>
      <c r="I6854" s="74">
        <f t="shared" si="1"/>
        <v>60000</v>
      </c>
      <c r="J6854" s="74">
        <f>IF(E6854="SERVICE",I6854-(I6854*50%),Vlookup(E6854,DATABASE!C:Q,10,false)*F6854)</f>
        <v>0</v>
      </c>
      <c r="K6854" s="74">
        <f>VLOOKUP(E6854,DATABASE!C:Q,7,false)</f>
        <v>10000</v>
      </c>
      <c r="L6854" s="74">
        <v>5000.0</v>
      </c>
      <c r="M6854" s="74">
        <f t="shared" si="2"/>
        <v>5000</v>
      </c>
      <c r="N6854" s="74">
        <f t="shared" si="3"/>
        <v>50000</v>
      </c>
      <c r="O6854" s="65" t="str">
        <f>VLOOKUP(E6854,DATABASE!C:Q,8,false)</f>
        <v>BIAN</v>
      </c>
      <c r="P6854" s="65">
        <f>VLOOKUP(E6854,DATABASE!C:Q,9,False)</f>
        <v>0</v>
      </c>
      <c r="Q6854" s="93" t="str">
        <f>VLOOKUP(E6854,DATABASE!C:Q,4,false)</f>
        <v>Balancing</v>
      </c>
      <c r="R6854" s="93" t="str">
        <f>VLOOKUP(E6854,DATABASE!C:Q,11,false)</f>
        <v>COMPLEMENTARY</v>
      </c>
    </row>
    <row r="6855" ht="22.5" customHeight="1">
      <c r="A6855" s="49"/>
      <c r="C6855" s="400">
        <v>46056.0</v>
      </c>
      <c r="D6855" s="524">
        <v>208.0</v>
      </c>
      <c r="E6855" s="544" t="s">
        <v>256</v>
      </c>
      <c r="F6855" s="387">
        <v>1.0</v>
      </c>
      <c r="G6855" s="140">
        <v>150000.0</v>
      </c>
      <c r="H6855" s="140">
        <v>20000.0</v>
      </c>
      <c r="I6855" s="74">
        <f t="shared" si="1"/>
        <v>130000</v>
      </c>
      <c r="J6855" s="74">
        <f>IF(E6855="SERVICE",I6855-(I6855*50%),Vlookup(E6855,DATABASE!C:Q,10,false)*F6855)</f>
        <v>10000</v>
      </c>
      <c r="K6855" s="74">
        <f>VLOOKUP(E6855,DATABASE!C:Q,7,false)</f>
        <v>0</v>
      </c>
      <c r="L6855" s="74">
        <v>0.0</v>
      </c>
      <c r="M6855" s="74">
        <f t="shared" si="2"/>
        <v>0</v>
      </c>
      <c r="N6855" s="74">
        <f t="shared" si="3"/>
        <v>120000</v>
      </c>
      <c r="O6855" s="65" t="str">
        <f>VLOOKUP(E6855,DATABASE!C:Q,8,false)</f>
        <v>IBU</v>
      </c>
      <c r="P6855" s="65">
        <f>VLOOKUP(E6855,DATABASE!C:Q,9,False)</f>
        <v>0</v>
      </c>
      <c r="Q6855" s="93" t="str">
        <f>VLOOKUP(E6855,DATABASE!C:Q,4,false)</f>
        <v>SPOORING</v>
      </c>
      <c r="R6855" s="93" t="str">
        <f>VLOOKUP(E6855,DATABASE!C:Q,11,false)</f>
        <v>SERVICE</v>
      </c>
    </row>
    <row r="6856" ht="22.5" customHeight="1">
      <c r="A6856" s="49"/>
      <c r="C6856" s="400">
        <v>46056.0</v>
      </c>
      <c r="D6856" s="524">
        <v>208.0</v>
      </c>
      <c r="E6856" s="544" t="s">
        <v>301</v>
      </c>
      <c r="F6856" s="387">
        <v>1.0</v>
      </c>
      <c r="G6856" s="140">
        <v>250000.0</v>
      </c>
      <c r="H6856" s="74"/>
      <c r="I6856" s="74">
        <f t="shared" si="1"/>
        <v>250000</v>
      </c>
      <c r="J6856" s="74">
        <f>IF(E6856="SERVICE",I6856-(I6856*50%),Vlookup(E6856,DATABASE!C:Q,10,false)*F6856)</f>
        <v>75000</v>
      </c>
      <c r="K6856" s="74">
        <f>VLOOKUP(E6856,DATABASE!C:Q,7,false)</f>
        <v>75000</v>
      </c>
      <c r="L6856" s="74">
        <v>75000.0</v>
      </c>
      <c r="M6856" s="74">
        <f t="shared" si="2"/>
        <v>75000</v>
      </c>
      <c r="N6856" s="74">
        <f t="shared" si="3"/>
        <v>100000</v>
      </c>
      <c r="O6856" s="65" t="str">
        <f>VLOOKUP(E6856,DATABASE!C:Q,8,false)</f>
        <v>BIAN</v>
      </c>
      <c r="P6856" s="65">
        <f>VLOOKUP(E6856,DATABASE!C:Q,9,False)</f>
        <v>0</v>
      </c>
      <c r="Q6856" s="93" t="str">
        <f>VLOOKUP(E6856,DATABASE!C:Q,4,false)</f>
        <v>Baut Camber</v>
      </c>
      <c r="R6856" s="93" t="str">
        <f>VLOOKUP(E6856,DATABASE!C:Q,11,false)</f>
        <v>COMPLEMENTARY</v>
      </c>
    </row>
    <row r="6857" ht="22.5" customHeight="1">
      <c r="A6857" s="49"/>
      <c r="C6857" s="400">
        <v>46056.0</v>
      </c>
      <c r="D6857" s="524">
        <v>209.0</v>
      </c>
      <c r="E6857" s="544" t="s">
        <v>268</v>
      </c>
      <c r="F6857" s="387">
        <v>2.0</v>
      </c>
      <c r="G6857" s="140">
        <v>710000.0</v>
      </c>
      <c r="H6857" s="74"/>
      <c r="I6857" s="74">
        <f t="shared" si="1"/>
        <v>1420000</v>
      </c>
      <c r="J6857" s="74">
        <f>IF(E6857="SERVICE",I6857-(I6857*50%),Vlookup(E6857,DATABASE!C:Q,10,false)*F6857)</f>
        <v>0</v>
      </c>
      <c r="K6857" s="74">
        <f>VLOOKUP(E6857,DATABASE!C:Q,7,false)</f>
        <v>653000</v>
      </c>
      <c r="L6857" s="74">
        <v>622000.0</v>
      </c>
      <c r="M6857" s="74">
        <f t="shared" si="2"/>
        <v>625000</v>
      </c>
      <c r="N6857" s="74">
        <f t="shared" si="3"/>
        <v>170000</v>
      </c>
      <c r="O6857" s="65" t="str">
        <f>VLOOKUP(E6857,DATABASE!C:Q,8,false)</f>
        <v>IBU</v>
      </c>
      <c r="P6857" s="65">
        <f>VLOOKUP(E6857,DATABASE!C:Q,9,False)</f>
        <v>1</v>
      </c>
      <c r="Q6857" s="93" t="str">
        <f>VLOOKUP(E6857,DATABASE!C:Q,4,false)</f>
        <v>Dunlop</v>
      </c>
      <c r="R6857" s="93" t="str">
        <f>VLOOKUP(E6857,DATABASE!C:Q,11,false)</f>
        <v>Tire</v>
      </c>
    </row>
    <row r="6858" ht="22.5" customHeight="1">
      <c r="A6858" s="49"/>
      <c r="C6858" s="400">
        <v>46056.0</v>
      </c>
      <c r="D6858" s="524">
        <v>210.0</v>
      </c>
      <c r="E6858" s="544" t="s">
        <v>262</v>
      </c>
      <c r="F6858" s="387">
        <v>1.0</v>
      </c>
      <c r="G6858" s="140">
        <v>110000.0</v>
      </c>
      <c r="H6858" s="74"/>
      <c r="I6858" s="74">
        <f t="shared" si="1"/>
        <v>110000</v>
      </c>
      <c r="J6858" s="74">
        <f>IF(E6858="SERVICE",I6858-(I6858*50%),Vlookup(E6858,DATABASE!C:Q,10,false)*F6858)</f>
        <v>5000</v>
      </c>
      <c r="K6858" s="74">
        <f>VLOOKUP(E6858,DATABASE!C:Q,7,false)</f>
        <v>0</v>
      </c>
      <c r="L6858" s="74">
        <v>0.0</v>
      </c>
      <c r="M6858" s="74">
        <f t="shared" si="2"/>
        <v>0</v>
      </c>
      <c r="N6858" s="74">
        <f t="shared" si="3"/>
        <v>105000</v>
      </c>
      <c r="O6858" s="65" t="str">
        <f>VLOOKUP(E6858,DATABASE!C:Q,8,false)</f>
        <v>IBU</v>
      </c>
      <c r="P6858" s="65">
        <f>VLOOKUP(E6858,DATABASE!C:Q,9,False)</f>
        <v>0</v>
      </c>
      <c r="Q6858" s="93" t="str">
        <f>VLOOKUP(E6858,DATABASE!C:Q,4,false)</f>
        <v>SPOORING SS/CARRY LOS BAK</v>
      </c>
      <c r="R6858" s="93" t="str">
        <f>VLOOKUP(E6858,DATABASE!C:Q,11,false)</f>
        <v>SERVICE</v>
      </c>
    </row>
    <row r="6859" ht="22.5" customHeight="1">
      <c r="A6859" s="49"/>
      <c r="C6859" s="400">
        <v>46056.0</v>
      </c>
      <c r="D6859" s="524">
        <v>210.0</v>
      </c>
      <c r="E6859" s="544" t="s">
        <v>251</v>
      </c>
      <c r="F6859" s="387">
        <v>1.0</v>
      </c>
      <c r="G6859" s="140">
        <v>350000.0</v>
      </c>
      <c r="H6859" s="140">
        <v>200000.0</v>
      </c>
      <c r="I6859" s="74">
        <f t="shared" si="1"/>
        <v>150000</v>
      </c>
      <c r="J6859" s="74">
        <f>IF(E6859="SERVICE",I6859-(I6859*50%),Vlookup(E6859,DATABASE!C:Q,10,false)*F6859)</f>
        <v>75000</v>
      </c>
      <c r="K6859" s="74">
        <f>VLOOKUP(E6859,DATABASE!C:Q,7,false)</f>
        <v>0</v>
      </c>
      <c r="L6859" s="74">
        <v>0.0</v>
      </c>
      <c r="M6859" s="74">
        <f t="shared" si="2"/>
        <v>0</v>
      </c>
      <c r="N6859" s="74">
        <f t="shared" si="3"/>
        <v>75000</v>
      </c>
      <c r="O6859" s="65" t="str">
        <f>VLOOKUP(E6859,DATABASE!C:Q,8,false)</f>
        <v>IBU</v>
      </c>
      <c r="P6859" s="65">
        <f>VLOOKUP(E6859,DATABASE!C:Q,9,False)</f>
        <v>0</v>
      </c>
      <c r="Q6859" s="93" t="str">
        <f>VLOOKUP(E6859,DATABASE!C:Q,4,false)</f>
        <v>SERVICE</v>
      </c>
      <c r="R6859" s="93" t="str">
        <f>VLOOKUP(E6859,DATABASE!C:Q,11,false)</f>
        <v>SERVICE</v>
      </c>
    </row>
    <row r="6860" ht="22.5" customHeight="1">
      <c r="A6860" s="49"/>
      <c r="C6860" s="400">
        <v>46056.0</v>
      </c>
      <c r="D6860" s="524">
        <v>211.0</v>
      </c>
      <c r="E6860" s="544" t="s">
        <v>286</v>
      </c>
      <c r="F6860" s="387">
        <v>1.0</v>
      </c>
      <c r="G6860" s="140">
        <v>560000.0</v>
      </c>
      <c r="H6860" s="140">
        <v>10000.0</v>
      </c>
      <c r="I6860" s="74">
        <f t="shared" si="1"/>
        <v>550000</v>
      </c>
      <c r="J6860" s="74">
        <f>IF(E6860="SERVICE",I6860-(I6860*50%),Vlookup(E6860,DATABASE!C:Q,10,false)*F6860)</f>
        <v>0</v>
      </c>
      <c r="K6860" s="74">
        <f>VLOOKUP(E6860,DATABASE!C:Q,7,false)</f>
        <v>488320</v>
      </c>
      <c r="L6860" s="74">
        <v>452970.0</v>
      </c>
      <c r="M6860" s="74">
        <f t="shared" si="2"/>
        <v>455000</v>
      </c>
      <c r="N6860" s="74">
        <f t="shared" si="3"/>
        <v>95000</v>
      </c>
      <c r="O6860" s="65" t="str">
        <f>VLOOKUP(E6860,DATABASE!C:Q,8,false)</f>
        <v>BIAN</v>
      </c>
      <c r="P6860" s="65">
        <f>VLOOKUP(E6860,DATABASE!C:Q,9,False)</f>
        <v>1</v>
      </c>
      <c r="Q6860" s="93" t="str">
        <f>VLOOKUP(E6860,DATABASE!C:Q,4,false)</f>
        <v>GT</v>
      </c>
      <c r="R6860" s="93" t="str">
        <f>VLOOKUP(E6860,DATABASE!C:Q,11,false)</f>
        <v>Tire</v>
      </c>
    </row>
    <row r="6861" ht="22.5" customHeight="1">
      <c r="A6861" s="49"/>
      <c r="C6861" s="400">
        <v>46056.0</v>
      </c>
      <c r="D6861" s="524">
        <v>212.0</v>
      </c>
      <c r="E6861" s="544" t="s">
        <v>591</v>
      </c>
      <c r="F6861" s="387">
        <v>2.0</v>
      </c>
      <c r="G6861" s="140">
        <v>700000.0</v>
      </c>
      <c r="H6861" s="74"/>
      <c r="I6861" s="74">
        <f t="shared" si="1"/>
        <v>1400000</v>
      </c>
      <c r="J6861" s="74">
        <f>IF(E6861="SERVICE",I6861-(I6861*50%),Vlookup(E6861,DATABASE!C:Q,10,false)*F6861)</f>
        <v>0</v>
      </c>
      <c r="K6861" s="74">
        <f>VLOOKUP(E6861,DATABASE!C:Q,7,false)</f>
        <v>633035.16</v>
      </c>
      <c r="L6861" s="74">
        <v>596694.4</v>
      </c>
      <c r="M6861" s="74">
        <f t="shared" si="2"/>
        <v>600000</v>
      </c>
      <c r="N6861" s="74">
        <f t="shared" si="3"/>
        <v>200000</v>
      </c>
      <c r="O6861" s="65" t="str">
        <f>VLOOKUP(E6861,DATABASE!C:Q,8,false)</f>
        <v>IBU</v>
      </c>
      <c r="P6861" s="65">
        <f>VLOOKUP(E6861,DATABASE!C:Q,9,False)</f>
        <v>1</v>
      </c>
      <c r="Q6861" s="93" t="str">
        <f>VLOOKUP(E6861,DATABASE!C:Q,4,false)</f>
        <v>Bridgestone</v>
      </c>
      <c r="R6861" s="93" t="str">
        <f>VLOOKUP(E6861,DATABASE!C:Q,11,false)</f>
        <v>Tire</v>
      </c>
    </row>
    <row r="6862" ht="22.5" customHeight="1">
      <c r="A6862" s="49"/>
      <c r="C6862" s="400">
        <v>46056.0</v>
      </c>
      <c r="D6862" s="524">
        <v>212.0</v>
      </c>
      <c r="E6862" s="544" t="s">
        <v>1033</v>
      </c>
      <c r="F6862" s="387">
        <v>2.0</v>
      </c>
      <c r="G6862" s="140">
        <v>760000.0</v>
      </c>
      <c r="H6862" s="140">
        <v>25000.0</v>
      </c>
      <c r="I6862" s="74">
        <f t="shared" si="1"/>
        <v>1470000</v>
      </c>
      <c r="J6862" s="74">
        <f>IF(E6862="SERVICE",I6862-(I6862*50%),Vlookup(E6862,DATABASE!C:Q,10,false)*F6862)</f>
        <v>0</v>
      </c>
      <c r="K6862" s="74">
        <f>VLOOKUP(E6862,DATABASE!C:Q,7,false)</f>
        <v>680512</v>
      </c>
      <c r="L6862" s="74">
        <v>644205.6</v>
      </c>
      <c r="M6862" s="74">
        <f t="shared" si="2"/>
        <v>645000</v>
      </c>
      <c r="N6862" s="74">
        <f t="shared" si="3"/>
        <v>180000</v>
      </c>
      <c r="O6862" s="65" t="str">
        <f>VLOOKUP(E6862,DATABASE!C:Q,8,false)</f>
        <v>IBU</v>
      </c>
      <c r="P6862" s="65">
        <f>VLOOKUP(E6862,DATABASE!C:Q,9,False)</f>
        <v>1</v>
      </c>
      <c r="Q6862" s="93" t="str">
        <f>VLOOKUP(E6862,DATABASE!C:Q,4,false)</f>
        <v>Bridgestone</v>
      </c>
      <c r="R6862" s="93" t="str">
        <f>VLOOKUP(E6862,DATABASE!C:Q,11,false)</f>
        <v>Tire</v>
      </c>
    </row>
    <row r="6863" ht="22.5" customHeight="1">
      <c r="A6863" s="49"/>
      <c r="C6863" s="400">
        <v>46056.0</v>
      </c>
      <c r="D6863" s="524">
        <v>214.0</v>
      </c>
      <c r="E6863" s="544" t="s">
        <v>256</v>
      </c>
      <c r="F6863" s="387">
        <v>1.0</v>
      </c>
      <c r="G6863" s="140">
        <v>150000.0</v>
      </c>
      <c r="H6863" s="140">
        <v>20000.0</v>
      </c>
      <c r="I6863" s="74">
        <f t="shared" si="1"/>
        <v>130000</v>
      </c>
      <c r="J6863" s="74">
        <f>IF(E6863="SERVICE",I6863-(I6863*50%),Vlookup(E6863,DATABASE!C:Q,10,false)*F6863)</f>
        <v>10000</v>
      </c>
      <c r="K6863" s="74">
        <f>VLOOKUP(E6863,DATABASE!C:Q,7,false)</f>
        <v>0</v>
      </c>
      <c r="L6863" s="74">
        <v>0.0</v>
      </c>
      <c r="M6863" s="74">
        <f t="shared" si="2"/>
        <v>0</v>
      </c>
      <c r="N6863" s="74">
        <f t="shared" si="3"/>
        <v>120000</v>
      </c>
      <c r="O6863" s="65" t="str">
        <f>VLOOKUP(E6863,DATABASE!C:Q,8,false)</f>
        <v>IBU</v>
      </c>
      <c r="P6863" s="65">
        <f>VLOOKUP(E6863,DATABASE!C:Q,9,False)</f>
        <v>0</v>
      </c>
      <c r="Q6863" s="93" t="str">
        <f>VLOOKUP(E6863,DATABASE!C:Q,4,false)</f>
        <v>SPOORING</v>
      </c>
      <c r="R6863" s="93" t="str">
        <f>VLOOKUP(E6863,DATABASE!C:Q,11,false)</f>
        <v>SERVICE</v>
      </c>
    </row>
    <row r="6864" ht="22.5" customHeight="1">
      <c r="A6864" s="49"/>
      <c r="C6864" s="400">
        <v>46056.0</v>
      </c>
      <c r="D6864" s="524">
        <v>214.0</v>
      </c>
      <c r="E6864" s="544" t="s">
        <v>301</v>
      </c>
      <c r="F6864" s="387">
        <v>1.0</v>
      </c>
      <c r="G6864" s="140">
        <v>250000.0</v>
      </c>
      <c r="H6864" s="74"/>
      <c r="I6864" s="74">
        <f t="shared" si="1"/>
        <v>250000</v>
      </c>
      <c r="J6864" s="74">
        <f>IF(E6864="SERVICE",I6864-(I6864*50%),Vlookup(E6864,DATABASE!C:Q,10,false)*F6864)</f>
        <v>75000</v>
      </c>
      <c r="K6864" s="74">
        <f>VLOOKUP(E6864,DATABASE!C:Q,7,false)</f>
        <v>75000</v>
      </c>
      <c r="L6864" s="74">
        <v>75000.0</v>
      </c>
      <c r="M6864" s="74">
        <f t="shared" si="2"/>
        <v>75000</v>
      </c>
      <c r="N6864" s="74">
        <f t="shared" si="3"/>
        <v>100000</v>
      </c>
      <c r="O6864" s="65" t="str">
        <f>VLOOKUP(E6864,DATABASE!C:Q,8,false)</f>
        <v>BIAN</v>
      </c>
      <c r="P6864" s="65">
        <f>VLOOKUP(E6864,DATABASE!C:Q,9,False)</f>
        <v>0</v>
      </c>
      <c r="Q6864" s="93" t="str">
        <f>VLOOKUP(E6864,DATABASE!C:Q,4,false)</f>
        <v>Baut Camber</v>
      </c>
      <c r="R6864" s="93" t="str">
        <f>VLOOKUP(E6864,DATABASE!C:Q,11,false)</f>
        <v>COMPLEMENTARY</v>
      </c>
    </row>
    <row r="6865" ht="22.5" customHeight="1">
      <c r="A6865" s="49"/>
      <c r="C6865" s="400">
        <v>46056.0</v>
      </c>
      <c r="D6865" s="524">
        <v>215.0</v>
      </c>
      <c r="E6865" s="544" t="s">
        <v>275</v>
      </c>
      <c r="F6865" s="387">
        <v>2.0</v>
      </c>
      <c r="G6865" s="140">
        <v>830000.0</v>
      </c>
      <c r="H6865" s="74"/>
      <c r="I6865" s="74">
        <f t="shared" si="1"/>
        <v>1660000</v>
      </c>
      <c r="J6865" s="74">
        <f>IF(E6865="SERVICE",I6865-(I6865*50%),Vlookup(E6865,DATABASE!C:Q,10,false)*F6865)</f>
        <v>0</v>
      </c>
      <c r="K6865" s="74">
        <f>VLOOKUP(E6865,DATABASE!C:Q,7,false)</f>
        <v>782000</v>
      </c>
      <c r="L6865" s="74">
        <v>745000.0</v>
      </c>
      <c r="M6865" s="74">
        <f t="shared" si="2"/>
        <v>745000</v>
      </c>
      <c r="N6865" s="74">
        <f t="shared" si="3"/>
        <v>170000</v>
      </c>
      <c r="O6865" s="65" t="str">
        <f>VLOOKUP(E6865,DATABASE!C:Q,8,false)</f>
        <v>IBU</v>
      </c>
      <c r="P6865" s="65">
        <f>VLOOKUP(E6865,DATABASE!C:Q,9,False)</f>
        <v>1</v>
      </c>
      <c r="Q6865" s="93" t="str">
        <f>VLOOKUP(E6865,DATABASE!C:Q,4,false)</f>
        <v>Dunlop</v>
      </c>
      <c r="R6865" s="93" t="str">
        <f>VLOOKUP(E6865,DATABASE!C:Q,11,false)</f>
        <v>Tire</v>
      </c>
    </row>
    <row r="6866" ht="22.5" customHeight="1">
      <c r="A6866" s="49"/>
      <c r="C6866" s="400">
        <v>46056.0</v>
      </c>
      <c r="D6866" s="524">
        <v>216.0</v>
      </c>
      <c r="E6866" s="544" t="s">
        <v>268</v>
      </c>
      <c r="F6866" s="387">
        <v>1.0</v>
      </c>
      <c r="G6866" s="140">
        <v>710000.0</v>
      </c>
      <c r="H6866" s="74"/>
      <c r="I6866" s="74">
        <f t="shared" si="1"/>
        <v>710000</v>
      </c>
      <c r="J6866" s="74">
        <f>IF(E6866="SERVICE",I6866-(I6866*50%),Vlookup(E6866,DATABASE!C:Q,10,false)*F6866)</f>
        <v>0</v>
      </c>
      <c r="K6866" s="74">
        <f>VLOOKUP(E6866,DATABASE!C:Q,7,false)</f>
        <v>653000</v>
      </c>
      <c r="L6866" s="74">
        <v>622000.0</v>
      </c>
      <c r="M6866" s="74">
        <f t="shared" si="2"/>
        <v>625000</v>
      </c>
      <c r="N6866" s="74">
        <f t="shared" si="3"/>
        <v>85000</v>
      </c>
      <c r="O6866" s="65" t="str">
        <f>VLOOKUP(E6866,DATABASE!C:Q,8,false)</f>
        <v>IBU</v>
      </c>
      <c r="P6866" s="65">
        <f>VLOOKUP(E6866,DATABASE!C:Q,9,False)</f>
        <v>1</v>
      </c>
      <c r="Q6866" s="93" t="str">
        <f>VLOOKUP(E6866,DATABASE!C:Q,4,false)</f>
        <v>Dunlop</v>
      </c>
      <c r="R6866" s="93" t="str">
        <f>VLOOKUP(E6866,DATABASE!C:Q,11,false)</f>
        <v>Tire</v>
      </c>
    </row>
    <row r="6867" ht="22.5" customHeight="1">
      <c r="A6867" s="49"/>
      <c r="C6867" s="400">
        <v>46056.0</v>
      </c>
      <c r="D6867" s="524">
        <v>217.0</v>
      </c>
      <c r="E6867" s="544" t="s">
        <v>554</v>
      </c>
      <c r="F6867" s="387">
        <v>1.0</v>
      </c>
      <c r="G6867" s="140">
        <v>800000.0</v>
      </c>
      <c r="H6867" s="140">
        <v>30000.0</v>
      </c>
      <c r="I6867" s="74">
        <f t="shared" si="1"/>
        <v>770000</v>
      </c>
      <c r="J6867" s="74">
        <f>IF(E6867="SERVICE",I6867-(I6867*50%),Vlookup(E6867,DATABASE!C:Q,10,false)*F6867)</f>
        <v>0</v>
      </c>
      <c r="K6867" s="74">
        <f>VLOOKUP(E6867,DATABASE!C:Q,7,false)</f>
        <v>710000</v>
      </c>
      <c r="L6867" s="74">
        <v>680000.0</v>
      </c>
      <c r="M6867" s="74">
        <f t="shared" si="2"/>
        <v>680000</v>
      </c>
      <c r="N6867" s="74">
        <f t="shared" si="3"/>
        <v>90000</v>
      </c>
      <c r="O6867" s="65" t="str">
        <f>VLOOKUP(E6867,DATABASE!C:Q,8,false)</f>
        <v>IBU</v>
      </c>
      <c r="P6867" s="65">
        <f>VLOOKUP(E6867,DATABASE!C:Q,9,False)</f>
        <v>1</v>
      </c>
      <c r="Q6867" s="93" t="str">
        <f>VLOOKUP(E6867,DATABASE!C:Q,4,false)</f>
        <v>Bridgestone</v>
      </c>
      <c r="R6867" s="93" t="str">
        <f>VLOOKUP(E6867,DATABASE!C:Q,11,false)</f>
        <v>Tire</v>
      </c>
    </row>
    <row r="6868" ht="22.5" customHeight="1">
      <c r="A6868" s="49"/>
      <c r="C6868" s="400">
        <v>46056.0</v>
      </c>
      <c r="D6868" s="524">
        <v>218.0</v>
      </c>
      <c r="E6868" s="544" t="s">
        <v>856</v>
      </c>
      <c r="F6868" s="387">
        <v>2.0</v>
      </c>
      <c r="G6868" s="140">
        <v>670000.0</v>
      </c>
      <c r="H6868" s="74"/>
      <c r="I6868" s="74">
        <f t="shared" si="1"/>
        <v>1340000</v>
      </c>
      <c r="J6868" s="74">
        <f>IF(E6868="SERVICE",I6868-(I6868*50%),Vlookup(E6868,DATABASE!C:Q,10,false)*F6868)</f>
        <v>0</v>
      </c>
      <c r="K6868" s="74">
        <f>VLOOKUP(E6868,DATABASE!C:Q,7,false)</f>
        <v>615300</v>
      </c>
      <c r="L6868" s="74">
        <v>581120.0</v>
      </c>
      <c r="M6868" s="74">
        <f t="shared" si="2"/>
        <v>585000</v>
      </c>
      <c r="N6868" s="74">
        <f t="shared" si="3"/>
        <v>170000</v>
      </c>
      <c r="O6868" s="65" t="str">
        <f>VLOOKUP(E6868,DATABASE!C:Q,8,false)</f>
        <v>BIAN</v>
      </c>
      <c r="P6868" s="65">
        <f>VLOOKUP(E6868,DATABASE!C:Q,9,False)</f>
        <v>1</v>
      </c>
      <c r="Q6868" s="93" t="str">
        <f>VLOOKUP(E6868,DATABASE!C:Q,4,false)</f>
        <v>GT</v>
      </c>
      <c r="R6868" s="93" t="str">
        <f>VLOOKUP(E6868,DATABASE!C:Q,11,false)</f>
        <v>Tire</v>
      </c>
    </row>
    <row r="6869" ht="22.5" customHeight="1">
      <c r="A6869" s="49"/>
      <c r="C6869" s="400">
        <v>46056.0</v>
      </c>
      <c r="D6869" s="69">
        <v>219.0</v>
      </c>
      <c r="E6869" s="544" t="s">
        <v>268</v>
      </c>
      <c r="F6869" s="387">
        <v>2.0</v>
      </c>
      <c r="G6869" s="140">
        <v>710000.0</v>
      </c>
      <c r="H6869" s="74"/>
      <c r="I6869" s="74">
        <f t="shared" si="1"/>
        <v>1420000</v>
      </c>
      <c r="J6869" s="74">
        <f>IF(E6869="SERVICE",I6869-(I6869*50%),Vlookup(E6869,DATABASE!C:Q,10,false)*F6869)</f>
        <v>0</v>
      </c>
      <c r="K6869" s="74">
        <f>VLOOKUP(E6869,DATABASE!C:Q,7,false)</f>
        <v>653000</v>
      </c>
      <c r="L6869" s="74">
        <v>622000.0</v>
      </c>
      <c r="M6869" s="74">
        <f t="shared" si="2"/>
        <v>625000</v>
      </c>
      <c r="N6869" s="74">
        <f t="shared" si="3"/>
        <v>170000</v>
      </c>
      <c r="O6869" s="65" t="str">
        <f>VLOOKUP(E6869,DATABASE!C:Q,8,false)</f>
        <v>IBU</v>
      </c>
      <c r="P6869" s="65">
        <f>VLOOKUP(E6869,DATABASE!C:Q,9,False)</f>
        <v>1</v>
      </c>
      <c r="Q6869" s="93" t="str">
        <f>VLOOKUP(E6869,DATABASE!C:Q,4,false)</f>
        <v>Dunlop</v>
      </c>
      <c r="R6869" s="93" t="str">
        <f>VLOOKUP(E6869,DATABASE!C:Q,11,false)</f>
        <v>Tire</v>
      </c>
    </row>
    <row r="6870" ht="22.5" customHeight="1">
      <c r="A6870" s="49"/>
      <c r="C6870" s="400">
        <v>46056.0</v>
      </c>
      <c r="D6870" s="524">
        <v>221.0</v>
      </c>
      <c r="E6870" s="544" t="s">
        <v>262</v>
      </c>
      <c r="F6870" s="387">
        <v>1.0</v>
      </c>
      <c r="G6870" s="140">
        <v>110000.0</v>
      </c>
      <c r="H6870" s="140">
        <v>10000.0</v>
      </c>
      <c r="I6870" s="74">
        <f t="shared" si="1"/>
        <v>100000</v>
      </c>
      <c r="J6870" s="74">
        <f>IF(E6870="SERVICE",I6870-(I6870*50%),Vlookup(E6870,DATABASE!C:Q,10,false)*F6870)</f>
        <v>5000</v>
      </c>
      <c r="K6870" s="74">
        <f>VLOOKUP(E6870,DATABASE!C:Q,7,false)</f>
        <v>0</v>
      </c>
      <c r="L6870" s="74">
        <v>0.0</v>
      </c>
      <c r="M6870" s="74">
        <f t="shared" si="2"/>
        <v>0</v>
      </c>
      <c r="N6870" s="74">
        <f t="shared" si="3"/>
        <v>95000</v>
      </c>
      <c r="O6870" s="65" t="str">
        <f>VLOOKUP(E6870,DATABASE!C:Q,8,false)</f>
        <v>IBU</v>
      </c>
      <c r="P6870" s="65">
        <f>VLOOKUP(E6870,DATABASE!C:Q,9,False)</f>
        <v>0</v>
      </c>
      <c r="Q6870" s="93" t="str">
        <f>VLOOKUP(E6870,DATABASE!C:Q,4,false)</f>
        <v>SPOORING SS/CARRY LOS BAK</v>
      </c>
      <c r="R6870" s="93" t="str">
        <f>VLOOKUP(E6870,DATABASE!C:Q,11,false)</f>
        <v>SERVICE</v>
      </c>
    </row>
    <row r="6871" ht="22.5" customHeight="1">
      <c r="A6871" s="49"/>
      <c r="C6871" s="400">
        <v>46056.0</v>
      </c>
      <c r="D6871" s="524">
        <v>221.0</v>
      </c>
      <c r="E6871" s="544" t="s">
        <v>2154</v>
      </c>
      <c r="F6871" s="387">
        <v>1.0</v>
      </c>
      <c r="G6871" s="140">
        <v>250000.0</v>
      </c>
      <c r="H6871" s="74"/>
      <c r="I6871" s="74">
        <f t="shared" si="1"/>
        <v>250000</v>
      </c>
      <c r="J6871" s="74">
        <f>IF(E6871="SERVICE",I6871-(I6871*50%),Vlookup(E6871,DATABASE!C:Q,10,false)*F6871)</f>
        <v>80000</v>
      </c>
      <c r="K6871" s="74">
        <f>VLOOKUP(E6871,DATABASE!C:Q,7,false)</f>
        <v>90000</v>
      </c>
      <c r="L6871" s="74">
        <v>90000.0</v>
      </c>
      <c r="M6871" s="74">
        <f t="shared" si="2"/>
        <v>90000</v>
      </c>
      <c r="N6871" s="74">
        <f t="shared" si="3"/>
        <v>80000</v>
      </c>
      <c r="O6871" s="65" t="str">
        <f>VLOOKUP(E6871,DATABASE!C:Q,8,false)</f>
        <v>IBU</v>
      </c>
      <c r="P6871" s="65">
        <f>VLOOKUP(E6871,DATABASE!C:Q,9,False)</f>
        <v>0</v>
      </c>
      <c r="Q6871" s="93" t="str">
        <f>VLOOKUP(E6871,DATABASE!C:Q,4,false)</f>
        <v>SERVICE</v>
      </c>
      <c r="R6871" s="93" t="str">
        <f>VLOOKUP(E6871,DATABASE!C:Q,11,false)</f>
        <v>COMPLEMENTARY</v>
      </c>
    </row>
    <row r="6872" ht="22.5" customHeight="1">
      <c r="A6872" s="49"/>
      <c r="C6872" s="400">
        <v>46056.0</v>
      </c>
      <c r="D6872" s="524">
        <v>221.0</v>
      </c>
      <c r="E6872" s="544" t="s">
        <v>294</v>
      </c>
      <c r="F6872" s="387">
        <v>4.0</v>
      </c>
      <c r="G6872" s="140">
        <v>580000.0</v>
      </c>
      <c r="H6872" s="140">
        <v>5000.0</v>
      </c>
      <c r="I6872" s="74">
        <f t="shared" si="1"/>
        <v>2300000</v>
      </c>
      <c r="J6872" s="74">
        <f>IF(E6872="SERVICE",I6872-(I6872*50%),Vlookup(E6872,DATABASE!C:Q,10,false)*F6872)</f>
        <v>0</v>
      </c>
      <c r="K6872" s="74">
        <f>VLOOKUP(E6872,DATABASE!C:Q,7,false)</f>
        <v>505000</v>
      </c>
      <c r="L6872" s="74">
        <v>490000.0</v>
      </c>
      <c r="M6872" s="74">
        <f t="shared" si="2"/>
        <v>490000</v>
      </c>
      <c r="N6872" s="74">
        <f t="shared" si="3"/>
        <v>340000</v>
      </c>
      <c r="O6872" s="65" t="str">
        <f>VLOOKUP(E6872,DATABASE!C:Q,8,false)</f>
        <v>BIAN</v>
      </c>
      <c r="P6872" s="65">
        <f>VLOOKUP(E6872,DATABASE!C:Q,9,False)</f>
        <v>1</v>
      </c>
      <c r="Q6872" s="93" t="str">
        <f>VLOOKUP(E6872,DATABASE!C:Q,4,false)</f>
        <v>GT</v>
      </c>
      <c r="R6872" s="93" t="str">
        <f>VLOOKUP(E6872,DATABASE!C:Q,11,false)</f>
        <v>Tire</v>
      </c>
    </row>
    <row r="6873" ht="22.5" customHeight="1">
      <c r="A6873" s="49"/>
      <c r="C6873" s="400">
        <v>46056.0</v>
      </c>
      <c r="D6873" s="69" t="s">
        <v>2698</v>
      </c>
      <c r="E6873" s="544" t="s">
        <v>2174</v>
      </c>
      <c r="F6873" s="387">
        <v>1.0</v>
      </c>
      <c r="G6873" s="140">
        <v>215000.0</v>
      </c>
      <c r="H6873" s="74"/>
      <c r="I6873" s="74">
        <f t="shared" si="1"/>
        <v>215000</v>
      </c>
      <c r="J6873" s="74">
        <f>IF(E6873="SERVICE",I6873-(I6873*50%),Vlookup(E6873,DATABASE!C:Q,10,false)*F6873)</f>
        <v>0</v>
      </c>
      <c r="K6873" s="74">
        <f>VLOOKUP(E6873,DATABASE!C:Q,7,false)</f>
        <v>225314</v>
      </c>
      <c r="L6873" s="74">
        <v>179445.0</v>
      </c>
      <c r="M6873" s="74">
        <f t="shared" si="2"/>
        <v>180000</v>
      </c>
      <c r="N6873" s="74">
        <f t="shared" si="3"/>
        <v>35000</v>
      </c>
      <c r="O6873" s="65" t="str">
        <f>VLOOKUP(E6873,DATABASE!C:Q,8,false)</f>
        <v>NON</v>
      </c>
      <c r="P6873" s="65">
        <f>VLOOKUP(E6873,DATABASE!C:Q,9,False)</f>
        <v>0</v>
      </c>
      <c r="Q6873" s="93" t="str">
        <f>VLOOKUP(E6873,DATABASE!C:Q,4,false)</f>
        <v>Shell</v>
      </c>
      <c r="R6873" s="93" t="str">
        <f>VLOOKUP(E6873,DATABASE!C:Q,11,false)</f>
        <v>OIL</v>
      </c>
    </row>
    <row r="6874" ht="22.5" customHeight="1">
      <c r="A6874" s="49"/>
      <c r="C6874" s="400">
        <v>46057.0</v>
      </c>
      <c r="D6874" s="524">
        <v>223.0</v>
      </c>
      <c r="E6874" s="544" t="s">
        <v>246</v>
      </c>
      <c r="F6874" s="387">
        <v>1.0</v>
      </c>
      <c r="G6874" s="140">
        <v>35000.0</v>
      </c>
      <c r="H6874" s="140">
        <v>10000.0</v>
      </c>
      <c r="I6874" s="74">
        <f t="shared" si="1"/>
        <v>25000</v>
      </c>
      <c r="J6874" s="74">
        <f>IF(E6874="SERVICE",I6874-(I6874*50%),Vlookup(E6874,DATABASE!C:Q,10,false)*F6874)</f>
        <v>0</v>
      </c>
      <c r="K6874" s="74">
        <f>VLOOKUP(E6874,DATABASE!C:Q,7,false)</f>
        <v>0</v>
      </c>
      <c r="L6874" s="74">
        <v>0.0</v>
      </c>
      <c r="M6874" s="74">
        <f t="shared" si="2"/>
        <v>0</v>
      </c>
      <c r="N6874" s="74">
        <f t="shared" si="3"/>
        <v>25000</v>
      </c>
      <c r="O6874" s="65" t="str">
        <f>VLOOKUP(E6874,DATABASE!C:Q,8,false)</f>
        <v>IBU</v>
      </c>
      <c r="P6874" s="65">
        <f>VLOOKUP(E6874,DATABASE!C:Q,9,False)</f>
        <v>0</v>
      </c>
      <c r="Q6874" s="93" t="str">
        <f>VLOOKUP(E6874,DATABASE!C:Q,4,false)</f>
        <v>Bongkar Pasang</v>
      </c>
      <c r="R6874" s="93" t="str">
        <f>VLOOKUP(E6874,DATABASE!C:Q,11,false)</f>
        <v>SERVICE</v>
      </c>
    </row>
    <row r="6875" ht="22.5" customHeight="1">
      <c r="A6875" s="49"/>
      <c r="C6875" s="400">
        <v>46057.0</v>
      </c>
      <c r="D6875" s="524">
        <v>223.0</v>
      </c>
      <c r="E6875" s="544" t="s">
        <v>2199</v>
      </c>
      <c r="F6875" s="387">
        <v>1.0</v>
      </c>
      <c r="G6875" s="140">
        <v>15000.0</v>
      </c>
      <c r="H6875" s="74"/>
      <c r="I6875" s="74">
        <f t="shared" si="1"/>
        <v>15000</v>
      </c>
      <c r="J6875" s="74">
        <f>IF(E6875="SERVICE",I6875-(I6875*50%),Vlookup(E6875,DATABASE!C:Q,10,false)*F6875)</f>
        <v>0</v>
      </c>
      <c r="K6875" s="74">
        <f>VLOOKUP(E6875,DATABASE!C:Q,7,false)</f>
        <v>5000</v>
      </c>
      <c r="L6875" s="74">
        <v>0.0</v>
      </c>
      <c r="M6875" s="74">
        <f t="shared" si="2"/>
        <v>0</v>
      </c>
      <c r="N6875" s="74">
        <f t="shared" si="3"/>
        <v>15000</v>
      </c>
      <c r="O6875" s="65" t="str">
        <f>VLOOKUP(E6875,DATABASE!C:Q,8,false)</f>
        <v>BIAN</v>
      </c>
      <c r="P6875" s="65">
        <f>VLOOKUP(E6875,DATABASE!C:Q,9,False)</f>
        <v>0</v>
      </c>
      <c r="Q6875" s="93" t="str">
        <f>VLOOKUP(E6875,DATABASE!C:Q,4,false)</f>
        <v>TAMBAL TUBLES</v>
      </c>
      <c r="R6875" s="93" t="str">
        <f>VLOOKUP(E6875,DATABASE!C:Q,11,false)</f>
        <v>COMPLEMENTARY</v>
      </c>
    </row>
    <row r="6876" ht="22.5" customHeight="1">
      <c r="A6876" s="49"/>
      <c r="C6876" s="400">
        <v>46057.0</v>
      </c>
      <c r="D6876" s="524">
        <v>224.0</v>
      </c>
      <c r="E6876" s="544" t="s">
        <v>265</v>
      </c>
      <c r="F6876" s="387">
        <v>1.0</v>
      </c>
      <c r="G6876" s="140">
        <v>685000.0</v>
      </c>
      <c r="H6876" s="74"/>
      <c r="I6876" s="74">
        <f t="shared" si="1"/>
        <v>685000</v>
      </c>
      <c r="J6876" s="74">
        <f>IF(E6876="SERVICE",I6876-(I6876*50%),Vlookup(E6876,DATABASE!C:Q,10,false)*F6876)</f>
        <v>0</v>
      </c>
      <c r="K6876" s="74">
        <f>VLOOKUP(E6876,DATABASE!C:Q,7,false)</f>
        <v>628000</v>
      </c>
      <c r="L6876" s="74">
        <v>600000.0</v>
      </c>
      <c r="M6876" s="74">
        <f t="shared" si="2"/>
        <v>600000</v>
      </c>
      <c r="N6876" s="74">
        <f t="shared" si="3"/>
        <v>85000</v>
      </c>
      <c r="O6876" s="65" t="str">
        <f>VLOOKUP(E6876,DATABASE!C:Q,8,false)</f>
        <v>IBU</v>
      </c>
      <c r="P6876" s="65">
        <f>VLOOKUP(E6876,DATABASE!C:Q,9,False)</f>
        <v>1</v>
      </c>
      <c r="Q6876" s="93" t="str">
        <f>VLOOKUP(E6876,DATABASE!C:Q,4,false)</f>
        <v>Dunlop</v>
      </c>
      <c r="R6876" s="93" t="str">
        <f>VLOOKUP(E6876,DATABASE!C:Q,11,false)</f>
        <v>Tire</v>
      </c>
    </row>
    <row r="6877" ht="22.5" customHeight="1">
      <c r="A6877" s="49"/>
      <c r="C6877" s="400">
        <v>46057.0</v>
      </c>
      <c r="D6877" s="524">
        <v>225.0</v>
      </c>
      <c r="E6877" s="544" t="s">
        <v>1928</v>
      </c>
      <c r="F6877" s="387">
        <v>1.0</v>
      </c>
      <c r="G6877" s="140">
        <v>685000.0</v>
      </c>
      <c r="H6877" s="140">
        <v>10000.0</v>
      </c>
      <c r="I6877" s="74">
        <f t="shared" si="1"/>
        <v>675000</v>
      </c>
      <c r="J6877" s="74">
        <f>IF(E6877="SERVICE",I6877-(I6877*50%),Vlookup(E6877,DATABASE!C:Q,10,false)*F6877)</f>
        <v>0</v>
      </c>
      <c r="K6877" s="74">
        <f>VLOOKUP(E6877,DATABASE!C:Q,7,false)</f>
        <v>589700</v>
      </c>
      <c r="L6877" s="140">
        <v>570000.0</v>
      </c>
      <c r="M6877" s="74">
        <f t="shared" si="2"/>
        <v>570000</v>
      </c>
      <c r="N6877" s="74">
        <f t="shared" si="3"/>
        <v>105000</v>
      </c>
      <c r="O6877" s="65" t="str">
        <f>VLOOKUP(E6877,DATABASE!C:Q,8,false)</f>
        <v>BIAN</v>
      </c>
      <c r="P6877" s="65">
        <f>VLOOKUP(E6877,DATABASE!C:Q,9,False)</f>
        <v>1</v>
      </c>
      <c r="Q6877" s="93" t="str">
        <f>VLOOKUP(E6877,DATABASE!C:Q,4,false)</f>
        <v>GT</v>
      </c>
      <c r="R6877" s="93" t="str">
        <f>VLOOKUP(E6877,DATABASE!C:Q,11,false)</f>
        <v>Tire</v>
      </c>
    </row>
    <row r="6878" ht="22.5" customHeight="1">
      <c r="A6878" s="49"/>
      <c r="C6878" s="400">
        <v>46057.0</v>
      </c>
      <c r="D6878" s="524">
        <v>226.0</v>
      </c>
      <c r="E6878" s="544" t="s">
        <v>268</v>
      </c>
      <c r="F6878" s="387">
        <v>1.0</v>
      </c>
      <c r="G6878" s="140">
        <v>710000.0</v>
      </c>
      <c r="H6878" s="74"/>
      <c r="I6878" s="74">
        <f t="shared" si="1"/>
        <v>710000</v>
      </c>
      <c r="J6878" s="74">
        <f>IF(E6878="SERVICE",I6878-(I6878*50%),Vlookup(E6878,DATABASE!C:Q,10,false)*F6878)</f>
        <v>0</v>
      </c>
      <c r="K6878" s="74">
        <f>VLOOKUP(E6878,DATABASE!C:Q,7,false)</f>
        <v>653000</v>
      </c>
      <c r="L6878" s="74">
        <v>622000.0</v>
      </c>
      <c r="M6878" s="74">
        <f t="shared" si="2"/>
        <v>625000</v>
      </c>
      <c r="N6878" s="74">
        <f t="shared" si="3"/>
        <v>85000</v>
      </c>
      <c r="O6878" s="65" t="str">
        <f>VLOOKUP(E6878,DATABASE!C:Q,8,false)</f>
        <v>IBU</v>
      </c>
      <c r="P6878" s="65">
        <f>VLOOKUP(E6878,DATABASE!C:Q,9,False)</f>
        <v>1</v>
      </c>
      <c r="Q6878" s="93" t="str">
        <f>VLOOKUP(E6878,DATABASE!C:Q,4,false)</f>
        <v>Dunlop</v>
      </c>
      <c r="R6878" s="93" t="str">
        <f>VLOOKUP(E6878,DATABASE!C:Q,11,false)</f>
        <v>Tire</v>
      </c>
    </row>
    <row r="6879" ht="22.5" customHeight="1">
      <c r="A6879" s="49"/>
      <c r="C6879" s="400">
        <v>46057.0</v>
      </c>
      <c r="D6879" s="524">
        <v>226.0</v>
      </c>
      <c r="E6879" s="544" t="s">
        <v>591</v>
      </c>
      <c r="F6879" s="387">
        <v>1.0</v>
      </c>
      <c r="G6879" s="140">
        <v>700000.0</v>
      </c>
      <c r="H6879" s="74"/>
      <c r="I6879" s="74">
        <f t="shared" si="1"/>
        <v>700000</v>
      </c>
      <c r="J6879" s="74">
        <f>IF(E6879="SERVICE",I6879-(I6879*50%),Vlookup(E6879,DATABASE!C:Q,10,false)*F6879)</f>
        <v>0</v>
      </c>
      <c r="K6879" s="74">
        <f>VLOOKUP(E6879,DATABASE!C:Q,7,false)</f>
        <v>633035.16</v>
      </c>
      <c r="L6879" s="140">
        <v>595000.0</v>
      </c>
      <c r="M6879" s="74">
        <f t="shared" si="2"/>
        <v>595000</v>
      </c>
      <c r="N6879" s="74">
        <f t="shared" si="3"/>
        <v>105000</v>
      </c>
      <c r="O6879" s="65" t="str">
        <f>VLOOKUP(E6879,DATABASE!C:Q,8,false)</f>
        <v>IBU</v>
      </c>
      <c r="P6879" s="65">
        <f>VLOOKUP(E6879,DATABASE!C:Q,9,False)</f>
        <v>1</v>
      </c>
      <c r="Q6879" s="93" t="str">
        <f>VLOOKUP(E6879,DATABASE!C:Q,4,false)</f>
        <v>Bridgestone</v>
      </c>
      <c r="R6879" s="93" t="str">
        <f>VLOOKUP(E6879,DATABASE!C:Q,11,false)</f>
        <v>Tire</v>
      </c>
    </row>
    <row r="6880" ht="22.5" customHeight="1">
      <c r="A6880" s="49"/>
      <c r="C6880" s="400">
        <v>46057.0</v>
      </c>
      <c r="D6880" s="524">
        <v>228.0</v>
      </c>
      <c r="E6880" s="544" t="s">
        <v>256</v>
      </c>
      <c r="F6880" s="387">
        <v>1.0</v>
      </c>
      <c r="G6880" s="140">
        <v>150000.0</v>
      </c>
      <c r="H6880" s="140">
        <v>60000.0</v>
      </c>
      <c r="I6880" s="74">
        <f t="shared" si="1"/>
        <v>90000</v>
      </c>
      <c r="J6880" s="74">
        <f>IF(E6880="SERVICE",I6880-(I6880*50%),Vlookup(E6880,DATABASE!C:Q,10,false)*F6880)</f>
        <v>10000</v>
      </c>
      <c r="K6880" s="74">
        <f>VLOOKUP(E6880,DATABASE!C:Q,7,false)</f>
        <v>0</v>
      </c>
      <c r="L6880" s="74">
        <v>0.0</v>
      </c>
      <c r="M6880" s="74">
        <f t="shared" si="2"/>
        <v>0</v>
      </c>
      <c r="N6880" s="74">
        <f t="shared" si="3"/>
        <v>80000</v>
      </c>
      <c r="O6880" s="65" t="str">
        <f>VLOOKUP(E6880,DATABASE!C:Q,8,false)</f>
        <v>IBU</v>
      </c>
      <c r="P6880" s="65">
        <f>VLOOKUP(E6880,DATABASE!C:Q,9,False)</f>
        <v>0</v>
      </c>
      <c r="Q6880" s="93" t="str">
        <f>VLOOKUP(E6880,DATABASE!C:Q,4,false)</f>
        <v>SPOORING</v>
      </c>
      <c r="R6880" s="93" t="str">
        <f>VLOOKUP(E6880,DATABASE!C:Q,11,false)</f>
        <v>SERVICE</v>
      </c>
    </row>
    <row r="6881" ht="22.5" customHeight="1">
      <c r="A6881" s="49"/>
      <c r="C6881" s="400">
        <v>46057.0</v>
      </c>
      <c r="D6881" s="524">
        <v>228.0</v>
      </c>
      <c r="E6881" s="544" t="s">
        <v>301</v>
      </c>
      <c r="F6881" s="387">
        <v>1.0</v>
      </c>
      <c r="G6881" s="140">
        <v>200000.0</v>
      </c>
      <c r="H6881" s="74"/>
      <c r="I6881" s="74">
        <f t="shared" si="1"/>
        <v>200000</v>
      </c>
      <c r="J6881" s="74">
        <f>IF(E6881="SERVICE",I6881-(I6881*50%),Vlookup(E6881,DATABASE!C:Q,10,false)*F6881)</f>
        <v>75000</v>
      </c>
      <c r="K6881" s="74">
        <f>VLOOKUP(E6881,DATABASE!C:Q,7,false)</f>
        <v>75000</v>
      </c>
      <c r="L6881" s="140">
        <v>40000.0</v>
      </c>
      <c r="M6881" s="74">
        <f t="shared" si="2"/>
        <v>40000</v>
      </c>
      <c r="N6881" s="74">
        <f t="shared" si="3"/>
        <v>85000</v>
      </c>
      <c r="O6881" s="65" t="str">
        <f>VLOOKUP(E6881,DATABASE!C:Q,8,false)</f>
        <v>BIAN</v>
      </c>
      <c r="P6881" s="65">
        <f>VLOOKUP(E6881,DATABASE!C:Q,9,False)</f>
        <v>0</v>
      </c>
      <c r="Q6881" s="93" t="str">
        <f>VLOOKUP(E6881,DATABASE!C:Q,4,false)</f>
        <v>Baut Camber</v>
      </c>
      <c r="R6881" s="93" t="str">
        <f>VLOOKUP(E6881,DATABASE!C:Q,11,false)</f>
        <v>COMPLEMENTARY</v>
      </c>
    </row>
    <row r="6882" ht="22.5" customHeight="1">
      <c r="A6882" s="49"/>
      <c r="C6882" s="400">
        <v>46057.0</v>
      </c>
      <c r="D6882" s="524">
        <v>229.0</v>
      </c>
      <c r="E6882" s="544" t="s">
        <v>262</v>
      </c>
      <c r="F6882" s="387">
        <v>1.0</v>
      </c>
      <c r="G6882" s="140">
        <v>110000.0</v>
      </c>
      <c r="H6882" s="74"/>
      <c r="I6882" s="74">
        <f t="shared" si="1"/>
        <v>110000</v>
      </c>
      <c r="J6882" s="74">
        <f>IF(E6882="SERVICE",I6882-(I6882*50%),Vlookup(E6882,DATABASE!C:Q,10,false)*F6882)</f>
        <v>5000</v>
      </c>
      <c r="K6882" s="74">
        <f>VLOOKUP(E6882,DATABASE!C:Q,7,false)</f>
        <v>0</v>
      </c>
      <c r="L6882" s="74">
        <v>0.0</v>
      </c>
      <c r="M6882" s="74">
        <f t="shared" si="2"/>
        <v>0</v>
      </c>
      <c r="N6882" s="74">
        <f t="shared" si="3"/>
        <v>105000</v>
      </c>
      <c r="O6882" s="65" t="str">
        <f>VLOOKUP(E6882,DATABASE!C:Q,8,false)</f>
        <v>IBU</v>
      </c>
      <c r="P6882" s="65">
        <f>VLOOKUP(E6882,DATABASE!C:Q,9,False)</f>
        <v>0</v>
      </c>
      <c r="Q6882" s="93" t="str">
        <f>VLOOKUP(E6882,DATABASE!C:Q,4,false)</f>
        <v>SPOORING SS/CARRY LOS BAK</v>
      </c>
      <c r="R6882" s="93" t="str">
        <f>VLOOKUP(E6882,DATABASE!C:Q,11,false)</f>
        <v>SERVICE</v>
      </c>
    </row>
    <row r="6883" ht="22.5" customHeight="1">
      <c r="A6883" s="49"/>
      <c r="C6883" s="400">
        <v>46057.0</v>
      </c>
      <c r="D6883" s="524">
        <v>229.0</v>
      </c>
      <c r="E6883" s="544" t="s">
        <v>251</v>
      </c>
      <c r="F6883" s="387">
        <v>1.0</v>
      </c>
      <c r="G6883" s="140">
        <v>350000.0</v>
      </c>
      <c r="H6883" s="140">
        <v>200000.0</v>
      </c>
      <c r="I6883" s="74">
        <f t="shared" si="1"/>
        <v>150000</v>
      </c>
      <c r="J6883" s="74">
        <f>IF(E6883="SERVICE",I6883-(I6883*50%),Vlookup(E6883,DATABASE!C:Q,10,false)*F6883)</f>
        <v>75000</v>
      </c>
      <c r="K6883" s="74">
        <f>VLOOKUP(E6883,DATABASE!C:Q,7,false)</f>
        <v>0</v>
      </c>
      <c r="L6883" s="74">
        <v>0.0</v>
      </c>
      <c r="M6883" s="74">
        <f t="shared" si="2"/>
        <v>0</v>
      </c>
      <c r="N6883" s="74">
        <f t="shared" si="3"/>
        <v>75000</v>
      </c>
      <c r="O6883" s="65" t="str">
        <f>VLOOKUP(E6883,DATABASE!C:Q,8,false)</f>
        <v>IBU</v>
      </c>
      <c r="P6883" s="65">
        <f>VLOOKUP(E6883,DATABASE!C:Q,9,False)</f>
        <v>0</v>
      </c>
      <c r="Q6883" s="93" t="str">
        <f>VLOOKUP(E6883,DATABASE!C:Q,4,false)</f>
        <v>SERVICE</v>
      </c>
      <c r="R6883" s="93" t="str">
        <f>VLOOKUP(E6883,DATABASE!C:Q,11,false)</f>
        <v>SERVICE</v>
      </c>
    </row>
    <row r="6884" ht="22.5" customHeight="1">
      <c r="A6884" s="49"/>
      <c r="C6884" s="400">
        <v>46057.0</v>
      </c>
      <c r="D6884" s="524">
        <v>231.0</v>
      </c>
      <c r="E6884" s="544" t="s">
        <v>295</v>
      </c>
      <c r="F6884" s="387">
        <v>5.0</v>
      </c>
      <c r="G6884" s="140">
        <v>1525000.0</v>
      </c>
      <c r="H6884" s="140">
        <v>20000.0</v>
      </c>
      <c r="I6884" s="74">
        <f t="shared" si="1"/>
        <v>7525000</v>
      </c>
      <c r="J6884" s="74">
        <f>IF(E6884="SERVICE",I6884-(I6884*50%),Vlookup(E6884,DATABASE!C:Q,10,false)*F6884)</f>
        <v>0</v>
      </c>
      <c r="K6884" s="74">
        <f>VLOOKUP(E6884,DATABASE!C:Q,7,false)</f>
        <v>1475000</v>
      </c>
      <c r="L6884" s="74">
        <v>1425000.0</v>
      </c>
      <c r="M6884" s="74">
        <f t="shared" si="2"/>
        <v>1425000</v>
      </c>
      <c r="N6884" s="74">
        <f t="shared" si="3"/>
        <v>400000</v>
      </c>
      <c r="O6884" s="65" t="str">
        <f>VLOOKUP(E6884,DATABASE!C:Q,8,false)</f>
        <v>BIAN</v>
      </c>
      <c r="P6884" s="65">
        <f>VLOOKUP(E6884,DATABASE!C:Q,9,False)</f>
        <v>1</v>
      </c>
      <c r="Q6884" s="93" t="str">
        <f>VLOOKUP(E6884,DATABASE!C:Q,4,false)</f>
        <v>TIRON</v>
      </c>
      <c r="R6884" s="93" t="str">
        <f>VLOOKUP(E6884,DATABASE!C:Q,11,false)</f>
        <v>Tire</v>
      </c>
    </row>
    <row r="6885" ht="22.5" customHeight="1">
      <c r="A6885" s="49"/>
      <c r="C6885" s="400">
        <v>46057.0</v>
      </c>
      <c r="D6885" s="524">
        <v>232.0</v>
      </c>
      <c r="E6885" s="544" t="s">
        <v>256</v>
      </c>
      <c r="F6885" s="387">
        <v>1.0</v>
      </c>
      <c r="G6885" s="140">
        <v>150000.0</v>
      </c>
      <c r="H6885" s="140">
        <v>20000.0</v>
      </c>
      <c r="I6885" s="74">
        <f t="shared" si="1"/>
        <v>130000</v>
      </c>
      <c r="J6885" s="74">
        <f>IF(E6885="SERVICE",I6885-(I6885*50%),Vlookup(E6885,DATABASE!C:Q,10,false)*F6885)</f>
        <v>10000</v>
      </c>
      <c r="K6885" s="74">
        <f>VLOOKUP(E6885,DATABASE!C:Q,7,false)</f>
        <v>0</v>
      </c>
      <c r="L6885" s="74">
        <v>0.0</v>
      </c>
      <c r="M6885" s="74">
        <f t="shared" si="2"/>
        <v>0</v>
      </c>
      <c r="N6885" s="74">
        <f t="shared" si="3"/>
        <v>120000</v>
      </c>
      <c r="O6885" s="65" t="str">
        <f>VLOOKUP(E6885,DATABASE!C:Q,8,false)</f>
        <v>IBU</v>
      </c>
      <c r="P6885" s="65">
        <f>VLOOKUP(E6885,DATABASE!C:Q,9,False)</f>
        <v>0</v>
      </c>
      <c r="Q6885" s="93" t="str">
        <f>VLOOKUP(E6885,DATABASE!C:Q,4,false)</f>
        <v>SPOORING</v>
      </c>
      <c r="R6885" s="93" t="str">
        <f>VLOOKUP(E6885,DATABASE!C:Q,11,false)</f>
        <v>SERVICE</v>
      </c>
    </row>
    <row r="6886" ht="22.5" customHeight="1">
      <c r="A6886" s="49"/>
      <c r="C6886" s="400">
        <v>46057.0</v>
      </c>
      <c r="D6886" s="524">
        <v>232.0</v>
      </c>
      <c r="E6886" s="544" t="s">
        <v>251</v>
      </c>
      <c r="F6886" s="387">
        <v>1.0</v>
      </c>
      <c r="G6886" s="140">
        <v>350000.0</v>
      </c>
      <c r="H6886" s="140">
        <v>200000.0</v>
      </c>
      <c r="I6886" s="74">
        <f t="shared" si="1"/>
        <v>150000</v>
      </c>
      <c r="J6886" s="74">
        <f>IF(E6886="SERVICE",I6886-(I6886*50%),Vlookup(E6886,DATABASE!C:Q,10,false)*F6886)</f>
        <v>75000</v>
      </c>
      <c r="K6886" s="74">
        <f>VLOOKUP(E6886,DATABASE!C:Q,7,false)</f>
        <v>0</v>
      </c>
      <c r="L6886" s="74">
        <v>0.0</v>
      </c>
      <c r="M6886" s="74">
        <f t="shared" si="2"/>
        <v>0</v>
      </c>
      <c r="N6886" s="74">
        <f t="shared" si="3"/>
        <v>75000</v>
      </c>
      <c r="O6886" s="65" t="str">
        <f>VLOOKUP(E6886,DATABASE!C:Q,8,false)</f>
        <v>IBU</v>
      </c>
      <c r="P6886" s="65">
        <f>VLOOKUP(E6886,DATABASE!C:Q,9,False)</f>
        <v>0</v>
      </c>
      <c r="Q6886" s="93" t="str">
        <f>VLOOKUP(E6886,DATABASE!C:Q,4,false)</f>
        <v>SERVICE</v>
      </c>
      <c r="R6886" s="93" t="str">
        <f>VLOOKUP(E6886,DATABASE!C:Q,11,false)</f>
        <v>SERVICE</v>
      </c>
    </row>
    <row r="6887" ht="22.5" customHeight="1">
      <c r="A6887" s="49"/>
      <c r="C6887" s="400">
        <v>46057.0</v>
      </c>
      <c r="D6887" s="524">
        <v>232.0</v>
      </c>
      <c r="E6887" s="544" t="s">
        <v>301</v>
      </c>
      <c r="F6887" s="387">
        <v>1.0</v>
      </c>
      <c r="G6887" s="140">
        <v>250000.0</v>
      </c>
      <c r="H6887" s="74"/>
      <c r="I6887" s="74">
        <f t="shared" si="1"/>
        <v>250000</v>
      </c>
      <c r="J6887" s="74">
        <f>IF(E6887="SERVICE",I6887-(I6887*50%),Vlookup(E6887,DATABASE!C:Q,10,false)*F6887)</f>
        <v>75000</v>
      </c>
      <c r="K6887" s="74">
        <f>VLOOKUP(E6887,DATABASE!C:Q,7,false)</f>
        <v>75000</v>
      </c>
      <c r="L6887" s="74">
        <v>75000.0</v>
      </c>
      <c r="M6887" s="74">
        <f t="shared" si="2"/>
        <v>75000</v>
      </c>
      <c r="N6887" s="74">
        <f t="shared" si="3"/>
        <v>100000</v>
      </c>
      <c r="O6887" s="65" t="str">
        <f>VLOOKUP(E6887,DATABASE!C:Q,8,false)</f>
        <v>BIAN</v>
      </c>
      <c r="P6887" s="65">
        <f>VLOOKUP(E6887,DATABASE!C:Q,9,False)</f>
        <v>0</v>
      </c>
      <c r="Q6887" s="93" t="str">
        <f>VLOOKUP(E6887,DATABASE!C:Q,4,false)</f>
        <v>Baut Camber</v>
      </c>
      <c r="R6887" s="93" t="str">
        <f>VLOOKUP(E6887,DATABASE!C:Q,11,false)</f>
        <v>COMPLEMENTARY</v>
      </c>
    </row>
    <row r="6888" ht="22.5" customHeight="1">
      <c r="A6888" s="49"/>
      <c r="C6888" s="400">
        <v>46058.0</v>
      </c>
      <c r="D6888" s="524">
        <v>233.0</v>
      </c>
      <c r="E6888" s="544" t="s">
        <v>1377</v>
      </c>
      <c r="F6888" s="387">
        <v>2.0</v>
      </c>
      <c r="G6888" s="140">
        <v>950000.0</v>
      </c>
      <c r="H6888" s="74"/>
      <c r="I6888" s="74">
        <f t="shared" si="1"/>
        <v>1900000</v>
      </c>
      <c r="J6888" s="74">
        <f>IF(E6888="SERVICE",I6888-(I6888*50%),Vlookup(E6888,DATABASE!C:Q,10,false)*F6888)</f>
        <v>0</v>
      </c>
      <c r="K6888" s="74">
        <f>VLOOKUP(E6888,DATABASE!C:Q,7,false)</f>
        <v>844000</v>
      </c>
      <c r="L6888" s="74">
        <v>844000.0</v>
      </c>
      <c r="M6888" s="74">
        <f t="shared" si="2"/>
        <v>845000</v>
      </c>
      <c r="N6888" s="74">
        <f t="shared" si="3"/>
        <v>210000</v>
      </c>
      <c r="O6888" s="65" t="str">
        <f>VLOOKUP(E6888,DATABASE!C:Q,8,false)</f>
        <v>IBU</v>
      </c>
      <c r="P6888" s="65">
        <f>VLOOKUP(E6888,DATABASE!C:Q,9,False)</f>
        <v>1</v>
      </c>
      <c r="Q6888" s="93" t="str">
        <f>VLOOKUP(E6888,DATABASE!C:Q,4,false)</f>
        <v>Dunlop</v>
      </c>
      <c r="R6888" s="93" t="str">
        <f>VLOOKUP(E6888,DATABASE!C:Q,11,false)</f>
        <v>Tire</v>
      </c>
    </row>
    <row r="6889" ht="22.5" customHeight="1">
      <c r="A6889" s="49"/>
      <c r="C6889" s="400">
        <v>46058.0</v>
      </c>
      <c r="D6889" s="524">
        <v>234.0</v>
      </c>
      <c r="E6889" s="544" t="s">
        <v>268</v>
      </c>
      <c r="F6889" s="387">
        <v>2.0</v>
      </c>
      <c r="G6889" s="140">
        <v>710000.0</v>
      </c>
      <c r="H6889" s="74"/>
      <c r="I6889" s="74">
        <f t="shared" si="1"/>
        <v>1420000</v>
      </c>
      <c r="J6889" s="74">
        <f>IF(E6889="SERVICE",I6889-(I6889*50%),Vlookup(E6889,DATABASE!C:Q,10,false)*F6889)</f>
        <v>0</v>
      </c>
      <c r="K6889" s="74">
        <f>VLOOKUP(E6889,DATABASE!C:Q,7,false)</f>
        <v>653000</v>
      </c>
      <c r="L6889" s="74">
        <v>622000.0</v>
      </c>
      <c r="M6889" s="74">
        <f t="shared" si="2"/>
        <v>625000</v>
      </c>
      <c r="N6889" s="74">
        <f t="shared" si="3"/>
        <v>170000</v>
      </c>
      <c r="O6889" s="65" t="str">
        <f>VLOOKUP(E6889,DATABASE!C:Q,8,false)</f>
        <v>IBU</v>
      </c>
      <c r="P6889" s="65">
        <f>VLOOKUP(E6889,DATABASE!C:Q,9,False)</f>
        <v>1</v>
      </c>
      <c r="Q6889" s="93" t="str">
        <f>VLOOKUP(E6889,DATABASE!C:Q,4,false)</f>
        <v>Dunlop</v>
      </c>
      <c r="R6889" s="93" t="str">
        <f>VLOOKUP(E6889,DATABASE!C:Q,11,false)</f>
        <v>Tire</v>
      </c>
    </row>
    <row r="6890" ht="22.5" customHeight="1">
      <c r="A6890" s="49"/>
      <c r="C6890" s="400">
        <v>46058.0</v>
      </c>
      <c r="D6890" s="524">
        <v>235.0</v>
      </c>
      <c r="E6890" s="544" t="s">
        <v>265</v>
      </c>
      <c r="F6890" s="387">
        <v>2.0</v>
      </c>
      <c r="G6890" s="140">
        <v>685000.0</v>
      </c>
      <c r="H6890" s="74"/>
      <c r="I6890" s="74">
        <f t="shared" si="1"/>
        <v>1370000</v>
      </c>
      <c r="J6890" s="74">
        <f>IF(E6890="SERVICE",I6890-(I6890*50%),Vlookup(E6890,DATABASE!C:Q,10,false)*F6890)</f>
        <v>0</v>
      </c>
      <c r="K6890" s="74">
        <f>VLOOKUP(E6890,DATABASE!C:Q,7,false)</f>
        <v>628000</v>
      </c>
      <c r="L6890" s="74">
        <v>600000.0</v>
      </c>
      <c r="M6890" s="74">
        <f t="shared" si="2"/>
        <v>600000</v>
      </c>
      <c r="N6890" s="74">
        <f t="shared" si="3"/>
        <v>170000</v>
      </c>
      <c r="O6890" s="65" t="str">
        <f>VLOOKUP(E6890,DATABASE!C:Q,8,false)</f>
        <v>IBU</v>
      </c>
      <c r="P6890" s="65">
        <f>VLOOKUP(E6890,DATABASE!C:Q,9,False)</f>
        <v>1</v>
      </c>
      <c r="Q6890" s="93" t="str">
        <f>VLOOKUP(E6890,DATABASE!C:Q,4,false)</f>
        <v>Dunlop</v>
      </c>
      <c r="R6890" s="93" t="str">
        <f>VLOOKUP(E6890,DATABASE!C:Q,11,false)</f>
        <v>Tire</v>
      </c>
    </row>
    <row r="6891" ht="22.5" customHeight="1">
      <c r="A6891" s="49"/>
      <c r="C6891" s="400">
        <v>46058.0</v>
      </c>
      <c r="D6891" s="524">
        <v>235.0</v>
      </c>
      <c r="E6891" s="544" t="s">
        <v>299</v>
      </c>
      <c r="F6891" s="387">
        <v>2.0</v>
      </c>
      <c r="G6891" s="140">
        <v>30000.0</v>
      </c>
      <c r="H6891" s="74"/>
      <c r="I6891" s="74">
        <f t="shared" si="1"/>
        <v>60000</v>
      </c>
      <c r="J6891" s="74">
        <f>IF(E6891="SERVICE",I6891-(I6891*50%),Vlookup(E6891,DATABASE!C:Q,10,false)*F6891)</f>
        <v>0</v>
      </c>
      <c r="K6891" s="74">
        <f>VLOOKUP(E6891,DATABASE!C:Q,7,false)</f>
        <v>10000</v>
      </c>
      <c r="L6891" s="74">
        <v>10000.0</v>
      </c>
      <c r="M6891" s="74">
        <f t="shared" si="2"/>
        <v>10000</v>
      </c>
      <c r="N6891" s="74">
        <f t="shared" si="3"/>
        <v>40000</v>
      </c>
      <c r="O6891" s="65" t="str">
        <f>VLOOKUP(E6891,DATABASE!C:Q,8,false)</f>
        <v>BIAN</v>
      </c>
      <c r="P6891" s="65">
        <f>VLOOKUP(E6891,DATABASE!C:Q,9,False)</f>
        <v>0</v>
      </c>
      <c r="Q6891" s="93" t="str">
        <f>VLOOKUP(E6891,DATABASE!C:Q,4,false)</f>
        <v>Balancing</v>
      </c>
      <c r="R6891" s="93" t="str">
        <f>VLOOKUP(E6891,DATABASE!C:Q,11,false)</f>
        <v>COMPLEMENTARY</v>
      </c>
    </row>
    <row r="6892" ht="22.5" customHeight="1">
      <c r="A6892" s="49"/>
      <c r="C6892" s="400">
        <v>46058.0</v>
      </c>
      <c r="D6892" s="524">
        <v>235.0</v>
      </c>
      <c r="E6892" s="544" t="s">
        <v>262</v>
      </c>
      <c r="F6892" s="387">
        <v>1.0</v>
      </c>
      <c r="G6892" s="140">
        <v>110000.0</v>
      </c>
      <c r="H6892" s="74"/>
      <c r="I6892" s="74">
        <f t="shared" si="1"/>
        <v>110000</v>
      </c>
      <c r="J6892" s="74">
        <f>IF(E6892="SERVICE",I6892-(I6892*50%),Vlookup(E6892,DATABASE!C:Q,10,false)*F6892)</f>
        <v>5000</v>
      </c>
      <c r="K6892" s="74">
        <f>VLOOKUP(E6892,DATABASE!C:Q,7,false)</f>
        <v>0</v>
      </c>
      <c r="L6892" s="74">
        <v>0.0</v>
      </c>
      <c r="M6892" s="74">
        <f t="shared" si="2"/>
        <v>0</v>
      </c>
      <c r="N6892" s="74">
        <f t="shared" si="3"/>
        <v>105000</v>
      </c>
      <c r="O6892" s="65" t="str">
        <f>VLOOKUP(E6892,DATABASE!C:Q,8,false)</f>
        <v>IBU</v>
      </c>
      <c r="P6892" s="65">
        <f>VLOOKUP(E6892,DATABASE!C:Q,9,False)</f>
        <v>0</v>
      </c>
      <c r="Q6892" s="93" t="str">
        <f>VLOOKUP(E6892,DATABASE!C:Q,4,false)</f>
        <v>SPOORING SS/CARRY LOS BAK</v>
      </c>
      <c r="R6892" s="93" t="str">
        <f>VLOOKUP(E6892,DATABASE!C:Q,11,false)</f>
        <v>SERVICE</v>
      </c>
    </row>
    <row r="6893" ht="22.5" customHeight="1">
      <c r="A6893" s="49"/>
      <c r="C6893" s="400">
        <v>46058.0</v>
      </c>
      <c r="D6893" s="524">
        <v>235.0</v>
      </c>
      <c r="E6893" s="544" t="s">
        <v>251</v>
      </c>
      <c r="F6893" s="387">
        <v>1.0</v>
      </c>
      <c r="G6893" s="140">
        <v>350000.0</v>
      </c>
      <c r="H6893" s="140">
        <v>200000.0</v>
      </c>
      <c r="I6893" s="74">
        <f t="shared" si="1"/>
        <v>150000</v>
      </c>
      <c r="J6893" s="74">
        <f>IF(E6893="SERVICE",I6893-(I6893*50%),Vlookup(E6893,DATABASE!C:Q,10,false)*F6893)</f>
        <v>75000</v>
      </c>
      <c r="K6893" s="74">
        <f>VLOOKUP(E6893,DATABASE!C:Q,7,false)</f>
        <v>0</v>
      </c>
      <c r="L6893" s="74">
        <v>0.0</v>
      </c>
      <c r="M6893" s="74">
        <f t="shared" si="2"/>
        <v>0</v>
      </c>
      <c r="N6893" s="74">
        <f t="shared" si="3"/>
        <v>75000</v>
      </c>
      <c r="O6893" s="65" t="str">
        <f>VLOOKUP(E6893,DATABASE!C:Q,8,false)</f>
        <v>IBU</v>
      </c>
      <c r="P6893" s="65">
        <f>VLOOKUP(E6893,DATABASE!C:Q,9,False)</f>
        <v>0</v>
      </c>
      <c r="Q6893" s="93" t="str">
        <f>VLOOKUP(E6893,DATABASE!C:Q,4,false)</f>
        <v>SERVICE</v>
      </c>
      <c r="R6893" s="93" t="str">
        <f>VLOOKUP(E6893,DATABASE!C:Q,11,false)</f>
        <v>SERVICE</v>
      </c>
    </row>
    <row r="6894" ht="22.5" customHeight="1">
      <c r="A6894" s="49"/>
      <c r="C6894" s="400">
        <v>46058.0</v>
      </c>
      <c r="D6894" s="524">
        <v>236.0</v>
      </c>
      <c r="E6894" s="544" t="s">
        <v>2140</v>
      </c>
      <c r="F6894" s="387">
        <v>4.0</v>
      </c>
      <c r="G6894" s="140">
        <v>35000.0</v>
      </c>
      <c r="H6894" s="74"/>
      <c r="I6894" s="74">
        <f t="shared" si="1"/>
        <v>140000</v>
      </c>
      <c r="J6894" s="74">
        <f>IF(E6894="SERVICE",I6894-(I6894*50%),Vlookup(E6894,DATABASE!C:Q,10,false)*F6894)</f>
        <v>0</v>
      </c>
      <c r="K6894" s="74">
        <f>VLOOKUP(E6894,DATABASE!C:Q,7,false)</f>
        <v>5000</v>
      </c>
      <c r="L6894" s="140">
        <v>5000.0</v>
      </c>
      <c r="M6894" s="74">
        <f t="shared" si="2"/>
        <v>5000</v>
      </c>
      <c r="N6894" s="74">
        <f t="shared" si="3"/>
        <v>120000</v>
      </c>
      <c r="O6894" s="65" t="str">
        <f>VLOOKUP(E6894,DATABASE!C:Q,8,false)</f>
        <v>IBU</v>
      </c>
      <c r="P6894" s="65">
        <f>VLOOKUP(E6894,DATABASE!C:Q,9,False)</f>
        <v>0</v>
      </c>
      <c r="Q6894" s="93" t="str">
        <f>VLOOKUP(E6894,DATABASE!C:Q,4,false)</f>
        <v>PENTIL + PASANG</v>
      </c>
      <c r="R6894" s="93" t="str">
        <f>VLOOKUP(E6894,DATABASE!C:Q,11,false)</f>
        <v>COMPLEMENTARY</v>
      </c>
    </row>
    <row r="6895" ht="22.5" customHeight="1">
      <c r="A6895" s="49"/>
      <c r="C6895" s="400">
        <v>46058.0</v>
      </c>
      <c r="D6895" s="524">
        <v>236.0</v>
      </c>
      <c r="E6895" s="544" t="s">
        <v>299</v>
      </c>
      <c r="F6895" s="387">
        <v>2.0</v>
      </c>
      <c r="G6895" s="140">
        <v>30000.0</v>
      </c>
      <c r="H6895" s="74"/>
      <c r="I6895" s="74">
        <f t="shared" si="1"/>
        <v>60000</v>
      </c>
      <c r="J6895" s="74">
        <f>IF(E6895="SERVICE",I6895-(I6895*50%),Vlookup(E6895,DATABASE!C:Q,10,false)*F6895)</f>
        <v>0</v>
      </c>
      <c r="K6895" s="74">
        <f>VLOOKUP(E6895,DATABASE!C:Q,7,false)</f>
        <v>10000</v>
      </c>
      <c r="L6895" s="74">
        <v>10000.0</v>
      </c>
      <c r="M6895" s="74">
        <f t="shared" si="2"/>
        <v>10000</v>
      </c>
      <c r="N6895" s="74">
        <f t="shared" si="3"/>
        <v>40000</v>
      </c>
      <c r="O6895" s="65" t="str">
        <f>VLOOKUP(E6895,DATABASE!C:Q,8,false)</f>
        <v>BIAN</v>
      </c>
      <c r="P6895" s="65">
        <f>VLOOKUP(E6895,DATABASE!C:Q,9,False)</f>
        <v>0</v>
      </c>
      <c r="Q6895" s="93" t="str">
        <f>VLOOKUP(E6895,DATABASE!C:Q,4,false)</f>
        <v>Balancing</v>
      </c>
      <c r="R6895" s="93" t="str">
        <f>VLOOKUP(E6895,DATABASE!C:Q,11,false)</f>
        <v>COMPLEMENTARY</v>
      </c>
    </row>
    <row r="6896" ht="22.5" customHeight="1">
      <c r="A6896" s="49"/>
      <c r="C6896" s="400">
        <v>46058.0</v>
      </c>
      <c r="D6896" s="524">
        <v>237.0</v>
      </c>
      <c r="E6896" s="544" t="s">
        <v>288</v>
      </c>
      <c r="F6896" s="387">
        <v>5.0</v>
      </c>
      <c r="G6896" s="140">
        <v>620000.0</v>
      </c>
      <c r="H6896" s="74"/>
      <c r="I6896" s="74">
        <f t="shared" si="1"/>
        <v>3100000</v>
      </c>
      <c r="J6896" s="74">
        <f>IF(E6896="SERVICE",I6896-(I6896*50%),Vlookup(E6896,DATABASE!C:Q,10,false)*F6896)</f>
        <v>0</v>
      </c>
      <c r="K6896" s="74">
        <f>VLOOKUP(E6896,DATABASE!C:Q,7,false)</f>
        <v>565760</v>
      </c>
      <c r="L6896" s="74">
        <v>524800.0</v>
      </c>
      <c r="M6896" s="74">
        <f t="shared" si="2"/>
        <v>525000</v>
      </c>
      <c r="N6896" s="74">
        <f t="shared" si="3"/>
        <v>475000</v>
      </c>
      <c r="O6896" s="65" t="str">
        <f>VLOOKUP(E6896,DATABASE!C:Q,8,false)</f>
        <v>BIAN</v>
      </c>
      <c r="P6896" s="65">
        <f>VLOOKUP(E6896,DATABASE!C:Q,9,False)</f>
        <v>1</v>
      </c>
      <c r="Q6896" s="93" t="str">
        <f>VLOOKUP(E6896,DATABASE!C:Q,4,false)</f>
        <v>GT</v>
      </c>
      <c r="R6896" s="93" t="str">
        <f>VLOOKUP(E6896,DATABASE!C:Q,11,false)</f>
        <v>Tire</v>
      </c>
    </row>
    <row r="6897" ht="22.5" customHeight="1">
      <c r="A6897" s="49"/>
      <c r="C6897" s="400">
        <v>46058.0</v>
      </c>
      <c r="D6897" s="524">
        <v>238.0</v>
      </c>
      <c r="E6897" s="544" t="s">
        <v>572</v>
      </c>
      <c r="F6897" s="387">
        <v>4.0</v>
      </c>
      <c r="G6897" s="140">
        <v>1370000.0</v>
      </c>
      <c r="H6897" s="140">
        <v>20000.0</v>
      </c>
      <c r="I6897" s="74">
        <f t="shared" si="1"/>
        <v>5400000</v>
      </c>
      <c r="J6897" s="74">
        <f>IF(E6897="SERVICE",I6897-(I6897*50%),Vlookup(E6897,DATABASE!C:Q,10,false)*F6897)</f>
        <v>0</v>
      </c>
      <c r="K6897" s="74">
        <f>VLOOKUP(E6897,DATABASE!C:Q,7,false)</f>
        <v>1265000</v>
      </c>
      <c r="L6897" s="74">
        <v>1245000.0</v>
      </c>
      <c r="M6897" s="74">
        <f t="shared" si="2"/>
        <v>1245000</v>
      </c>
      <c r="N6897" s="74">
        <f t="shared" si="3"/>
        <v>420000</v>
      </c>
      <c r="O6897" s="65" t="str">
        <f>VLOOKUP(E6897,DATABASE!C:Q,8,false)</f>
        <v>IBU</v>
      </c>
      <c r="P6897" s="65">
        <f>VLOOKUP(E6897,DATABASE!C:Q,9,False)</f>
        <v>1</v>
      </c>
      <c r="Q6897" s="93" t="str">
        <f>VLOOKUP(E6897,DATABASE!C:Q,4,false)</f>
        <v>Bridgestone</v>
      </c>
      <c r="R6897" s="93" t="str">
        <f>VLOOKUP(E6897,DATABASE!C:Q,11,false)</f>
        <v>Tire</v>
      </c>
    </row>
    <row r="6898" ht="22.5" customHeight="1">
      <c r="A6898" s="49"/>
      <c r="C6898" s="400">
        <v>46058.0</v>
      </c>
      <c r="D6898" s="524">
        <v>240.0</v>
      </c>
      <c r="E6898" s="544" t="s">
        <v>613</v>
      </c>
      <c r="F6898" s="387">
        <v>1.0</v>
      </c>
      <c r="G6898" s="140">
        <v>95000.0</v>
      </c>
      <c r="H6898" s="74"/>
      <c r="I6898" s="74">
        <f t="shared" si="1"/>
        <v>95000</v>
      </c>
      <c r="J6898" s="74">
        <f>IF(E6898="SERVICE",I6898-(I6898*50%),Vlookup(E6898,DATABASE!C:Q,10,false)*F6898)</f>
        <v>0</v>
      </c>
      <c r="K6898" s="74">
        <f>VLOOKUP(E6898,DATABASE!C:Q,7,false)</f>
        <v>58371.2695</v>
      </c>
      <c r="L6898" s="74">
        <v>55000.0</v>
      </c>
      <c r="M6898" s="74">
        <f t="shared" si="2"/>
        <v>55000</v>
      </c>
      <c r="N6898" s="74">
        <f t="shared" si="3"/>
        <v>40000</v>
      </c>
      <c r="O6898" s="65" t="str">
        <f>VLOOKUP(E6898,DATABASE!C:Q,8,false)</f>
        <v>BIAN</v>
      </c>
      <c r="P6898" s="65">
        <f>VLOOKUP(E6898,DATABASE!C:Q,9,False)</f>
        <v>1</v>
      </c>
      <c r="Q6898" s="93" t="str">
        <f>VLOOKUP(E6898,DATABASE!C:Q,4,false)</f>
        <v>BD</v>
      </c>
      <c r="R6898" s="93" t="str">
        <f>VLOOKUP(E6898,DATABASE!C:Q,11,false)</f>
        <v>Tire</v>
      </c>
    </row>
    <row r="6899" ht="22.5" customHeight="1">
      <c r="A6899" s="49"/>
      <c r="C6899" s="400">
        <v>46058.0</v>
      </c>
      <c r="D6899" s="524">
        <v>241.0</v>
      </c>
      <c r="E6899" s="544" t="s">
        <v>613</v>
      </c>
      <c r="F6899" s="387">
        <v>1.0</v>
      </c>
      <c r="G6899" s="140">
        <v>95000.0</v>
      </c>
      <c r="H6899" s="74"/>
      <c r="I6899" s="74">
        <f t="shared" si="1"/>
        <v>95000</v>
      </c>
      <c r="J6899" s="74">
        <f>IF(E6899="SERVICE",I6899-(I6899*50%),Vlookup(E6899,DATABASE!C:Q,10,false)*F6899)</f>
        <v>0</v>
      </c>
      <c r="K6899" s="74">
        <f>VLOOKUP(E6899,DATABASE!C:Q,7,false)</f>
        <v>58371.2695</v>
      </c>
      <c r="L6899" s="74">
        <v>55000.0</v>
      </c>
      <c r="M6899" s="74">
        <f t="shared" si="2"/>
        <v>55000</v>
      </c>
      <c r="N6899" s="74">
        <f t="shared" si="3"/>
        <v>40000</v>
      </c>
      <c r="O6899" s="65" t="str">
        <f>VLOOKUP(E6899,DATABASE!C:Q,8,false)</f>
        <v>BIAN</v>
      </c>
      <c r="P6899" s="65">
        <f>VLOOKUP(E6899,DATABASE!C:Q,9,False)</f>
        <v>1</v>
      </c>
      <c r="Q6899" s="93" t="str">
        <f>VLOOKUP(E6899,DATABASE!C:Q,4,false)</f>
        <v>BD</v>
      </c>
      <c r="R6899" s="93" t="str">
        <f>VLOOKUP(E6899,DATABASE!C:Q,11,false)</f>
        <v>Tire</v>
      </c>
    </row>
    <row r="6900" ht="22.5" customHeight="1">
      <c r="A6900" s="49"/>
      <c r="C6900" s="400">
        <v>46058.0</v>
      </c>
      <c r="D6900" s="524">
        <v>242.0</v>
      </c>
      <c r="E6900" s="544" t="s">
        <v>569</v>
      </c>
      <c r="F6900" s="387">
        <v>1.0</v>
      </c>
      <c r="G6900" s="140">
        <v>80000.0</v>
      </c>
      <c r="H6900" s="74"/>
      <c r="I6900" s="74">
        <f t="shared" si="1"/>
        <v>80000</v>
      </c>
      <c r="J6900" s="74">
        <f>IF(E6900="SERVICE",I6900-(I6900*50%),Vlookup(E6900,DATABASE!C:Q,10,false)*F6900)</f>
        <v>0</v>
      </c>
      <c r="K6900" s="74">
        <f>VLOOKUP(E6900,DATABASE!C:Q,7,false)</f>
        <v>45439.582</v>
      </c>
      <c r="L6900" s="74">
        <v>45309.6</v>
      </c>
      <c r="M6900" s="74">
        <f t="shared" si="2"/>
        <v>50000</v>
      </c>
      <c r="N6900" s="74">
        <f t="shared" si="3"/>
        <v>30000</v>
      </c>
      <c r="O6900" s="65" t="str">
        <f>VLOOKUP(E6900,DATABASE!C:Q,8,false)</f>
        <v>BIAN</v>
      </c>
      <c r="P6900" s="65">
        <f>VLOOKUP(E6900,DATABASE!C:Q,9,False)</f>
        <v>1</v>
      </c>
      <c r="Q6900" s="93" t="str">
        <f>VLOOKUP(E6900,DATABASE!C:Q,4,false)</f>
        <v>BD</v>
      </c>
      <c r="R6900" s="93" t="str">
        <f>VLOOKUP(E6900,DATABASE!C:Q,11,false)</f>
        <v>Tire</v>
      </c>
    </row>
    <row r="6901" ht="22.5" customHeight="1">
      <c r="A6901" s="49"/>
      <c r="C6901" s="400">
        <v>46058.0</v>
      </c>
      <c r="D6901" s="524">
        <v>243.0</v>
      </c>
      <c r="E6901" s="544" t="s">
        <v>932</v>
      </c>
      <c r="F6901" s="387">
        <v>2.0</v>
      </c>
      <c r="G6901" s="140">
        <v>680000.0</v>
      </c>
      <c r="H6901" s="74"/>
      <c r="I6901" s="74">
        <f t="shared" si="1"/>
        <v>1360000</v>
      </c>
      <c r="J6901" s="74">
        <f>IF(E6901="SERVICE",I6901-(I6901*50%),Vlookup(E6901,DATABASE!C:Q,10,false)*F6901)</f>
        <v>0</v>
      </c>
      <c r="K6901" s="74">
        <f>VLOOKUP(E6901,DATABASE!C:Q,7,false)</f>
        <v>601000</v>
      </c>
      <c r="L6901" s="74">
        <v>595000.0</v>
      </c>
      <c r="M6901" s="74">
        <f t="shared" si="2"/>
        <v>595000</v>
      </c>
      <c r="N6901" s="74">
        <f t="shared" si="3"/>
        <v>170000</v>
      </c>
      <c r="O6901" s="65" t="str">
        <f>VLOOKUP(E6901,DATABASE!C:Q,8,false)</f>
        <v>IBU</v>
      </c>
      <c r="P6901" s="65">
        <f>VLOOKUP(E6901,DATABASE!C:Q,9,False)</f>
        <v>1</v>
      </c>
      <c r="Q6901" s="93" t="str">
        <f>VLOOKUP(E6901,DATABASE!C:Q,4,false)</f>
        <v>Dunlop</v>
      </c>
      <c r="R6901" s="93" t="str">
        <f>VLOOKUP(E6901,DATABASE!C:Q,11,false)</f>
        <v>Tire</v>
      </c>
    </row>
    <row r="6902" ht="22.5" customHeight="1">
      <c r="A6902" s="49"/>
      <c r="C6902" s="400">
        <v>46058.0</v>
      </c>
      <c r="D6902" s="524">
        <v>244.0</v>
      </c>
      <c r="E6902" s="544" t="s">
        <v>2037</v>
      </c>
      <c r="F6902" s="387">
        <v>2.0</v>
      </c>
      <c r="G6902" s="140">
        <v>2625000.0</v>
      </c>
      <c r="H6902" s="140">
        <v>20000.0</v>
      </c>
      <c r="I6902" s="74">
        <f t="shared" si="1"/>
        <v>5210000</v>
      </c>
      <c r="J6902" s="74">
        <f>IF(E6902="SERVICE",I6902-(I6902*50%),Vlookup(E6902,DATABASE!C:Q,10,false)*F6902)</f>
        <v>0</v>
      </c>
      <c r="K6902" s="74">
        <f>VLOOKUP(E6902,DATABASE!C:Q,7,false)</f>
        <v>2575000</v>
      </c>
      <c r="L6902" s="74">
        <v>2475000.0</v>
      </c>
      <c r="M6902" s="74">
        <f t="shared" si="2"/>
        <v>2475000</v>
      </c>
      <c r="N6902" s="74">
        <f t="shared" si="3"/>
        <v>260000</v>
      </c>
      <c r="O6902" s="65" t="str">
        <f>VLOOKUP(E6902,DATABASE!C:Q,8,false)</f>
        <v>BIAN</v>
      </c>
      <c r="P6902" s="65">
        <f>VLOOKUP(E6902,DATABASE!C:Q,9,False)</f>
        <v>1</v>
      </c>
      <c r="Q6902" s="93" t="str">
        <f>VLOOKUP(E6902,DATABASE!C:Q,4,false)</f>
        <v>GT</v>
      </c>
      <c r="R6902" s="93" t="str">
        <f>VLOOKUP(E6902,DATABASE!C:Q,11,false)</f>
        <v>Tire</v>
      </c>
    </row>
    <row r="6903" ht="22.5" customHeight="1">
      <c r="A6903" s="49"/>
      <c r="C6903" s="400">
        <v>46058.0</v>
      </c>
      <c r="D6903" s="524">
        <v>245.0</v>
      </c>
      <c r="E6903" s="544" t="s">
        <v>275</v>
      </c>
      <c r="F6903" s="387">
        <v>2.0</v>
      </c>
      <c r="G6903" s="140">
        <v>830000.0</v>
      </c>
      <c r="H6903" s="140">
        <v>5000.0</v>
      </c>
      <c r="I6903" s="74">
        <f t="shared" si="1"/>
        <v>1650000</v>
      </c>
      <c r="J6903" s="74">
        <f>IF(E6903="SERVICE",I6903-(I6903*50%),Vlookup(E6903,DATABASE!C:Q,10,false)*F6903)</f>
        <v>0</v>
      </c>
      <c r="K6903" s="74">
        <f>VLOOKUP(E6903,DATABASE!C:Q,7,false)</f>
        <v>782000</v>
      </c>
      <c r="L6903" s="74">
        <v>745000.0</v>
      </c>
      <c r="M6903" s="74">
        <f t="shared" si="2"/>
        <v>745000</v>
      </c>
      <c r="N6903" s="74">
        <f t="shared" si="3"/>
        <v>160000</v>
      </c>
      <c r="O6903" s="65" t="str">
        <f>VLOOKUP(E6903,DATABASE!C:Q,8,false)</f>
        <v>IBU</v>
      </c>
      <c r="P6903" s="65">
        <f>VLOOKUP(E6903,DATABASE!C:Q,9,False)</f>
        <v>1</v>
      </c>
      <c r="Q6903" s="93" t="str">
        <f>VLOOKUP(E6903,DATABASE!C:Q,4,false)</f>
        <v>Dunlop</v>
      </c>
      <c r="R6903" s="93" t="str">
        <f>VLOOKUP(E6903,DATABASE!C:Q,11,false)</f>
        <v>Tire</v>
      </c>
    </row>
    <row r="6904" ht="22.5" customHeight="1">
      <c r="A6904" s="49"/>
      <c r="C6904" s="400">
        <v>46058.0</v>
      </c>
      <c r="D6904" s="524">
        <v>246.0</v>
      </c>
      <c r="E6904" s="544" t="s">
        <v>847</v>
      </c>
      <c r="F6904" s="387">
        <v>1.0</v>
      </c>
      <c r="G6904" s="140">
        <v>775000.0</v>
      </c>
      <c r="H6904" s="74"/>
      <c r="I6904" s="74">
        <f t="shared" si="1"/>
        <v>775000</v>
      </c>
      <c r="J6904" s="74">
        <f>IF(E6904="SERVICE",I6904-(I6904*50%),Vlookup(E6904,DATABASE!C:Q,10,false)*F6904)</f>
        <v>0</v>
      </c>
      <c r="K6904" s="74">
        <f>VLOOKUP(E6904,DATABASE!C:Q,7,false)</f>
        <v>718080</v>
      </c>
      <c r="L6904" s="74">
        <v>672210.0</v>
      </c>
      <c r="M6904" s="74">
        <f t="shared" si="2"/>
        <v>675000</v>
      </c>
      <c r="N6904" s="74">
        <f t="shared" si="3"/>
        <v>100000</v>
      </c>
      <c r="O6904" s="65" t="str">
        <f>VLOOKUP(E6904,DATABASE!C:Q,8,false)</f>
        <v>BIAN</v>
      </c>
      <c r="P6904" s="65">
        <f>VLOOKUP(E6904,DATABASE!C:Q,9,False)</f>
        <v>1</v>
      </c>
      <c r="Q6904" s="93" t="str">
        <f>VLOOKUP(E6904,DATABASE!C:Q,4,false)</f>
        <v>GT</v>
      </c>
      <c r="R6904" s="93" t="str">
        <f>VLOOKUP(E6904,DATABASE!C:Q,11,false)</f>
        <v>Tire</v>
      </c>
    </row>
    <row r="6905" ht="22.5" customHeight="1">
      <c r="A6905" s="49"/>
      <c r="C6905" s="400">
        <v>46058.0</v>
      </c>
      <c r="D6905" s="69" t="s">
        <v>2699</v>
      </c>
      <c r="E6905" s="544" t="s">
        <v>2191</v>
      </c>
      <c r="F6905" s="387">
        <v>1.0</v>
      </c>
      <c r="G6905" s="140">
        <v>400000.0</v>
      </c>
      <c r="H6905" s="74"/>
      <c r="I6905" s="74">
        <f t="shared" si="1"/>
        <v>400000</v>
      </c>
      <c r="J6905" s="74">
        <f>IF(E6905="SERVICE",I6905-(I6905*50%),Vlookup(E6905,DATABASE!C:Q,10,false)*F6905)</f>
        <v>0</v>
      </c>
      <c r="K6905" s="74">
        <f>VLOOKUP(E6905,DATABASE!C:Q,7,false)</f>
        <v>422900</v>
      </c>
      <c r="L6905" s="74">
        <v>377951.0</v>
      </c>
      <c r="M6905" s="74">
        <f t="shared" si="2"/>
        <v>380000</v>
      </c>
      <c r="N6905" s="74">
        <f t="shared" si="3"/>
        <v>20000</v>
      </c>
      <c r="O6905" s="65" t="str">
        <f>VLOOKUP(E6905,DATABASE!C:Q,8,false)</f>
        <v>NON</v>
      </c>
      <c r="P6905" s="65">
        <f>VLOOKUP(E6905,DATABASE!C:Q,9,False)</f>
        <v>0</v>
      </c>
      <c r="Q6905" s="93" t="str">
        <f>VLOOKUP(E6905,DATABASE!C:Q,4,false)</f>
        <v>Shell</v>
      </c>
      <c r="R6905" s="93" t="str">
        <f>VLOOKUP(E6905,DATABASE!C:Q,11,false)</f>
        <v>OIL</v>
      </c>
    </row>
    <row r="6906" ht="22.5" customHeight="1">
      <c r="A6906" s="49"/>
      <c r="C6906" s="400">
        <v>46059.0</v>
      </c>
      <c r="D6906" s="524">
        <v>247.0</v>
      </c>
      <c r="E6906" s="544" t="s">
        <v>839</v>
      </c>
      <c r="F6906" s="387">
        <v>2.0</v>
      </c>
      <c r="G6906" s="140">
        <v>565000.0</v>
      </c>
      <c r="H6906" s="74"/>
      <c r="I6906" s="74">
        <f t="shared" si="1"/>
        <v>1130000</v>
      </c>
      <c r="J6906" s="74">
        <f>IF(E6906="SERVICE",I6906-(I6906*50%),Vlookup(E6906,DATABASE!C:Q,10,false)*F6906)</f>
        <v>0</v>
      </c>
      <c r="K6906" s="74">
        <f>VLOOKUP(E6906,DATABASE!C:Q,7,false)</f>
        <v>512640</v>
      </c>
      <c r="L6906" s="74">
        <v>475700.0</v>
      </c>
      <c r="M6906" s="74">
        <f t="shared" si="2"/>
        <v>480000</v>
      </c>
      <c r="N6906" s="74">
        <f t="shared" si="3"/>
        <v>170000</v>
      </c>
      <c r="O6906" s="65" t="str">
        <f>VLOOKUP(E6906,DATABASE!C:Q,8,false)</f>
        <v>BIAN</v>
      </c>
      <c r="P6906" s="65">
        <f>VLOOKUP(E6906,DATABASE!C:Q,9,False)</f>
        <v>1</v>
      </c>
      <c r="Q6906" s="93" t="str">
        <f>VLOOKUP(E6906,DATABASE!C:Q,4,false)</f>
        <v>GT</v>
      </c>
      <c r="R6906" s="93" t="str">
        <f>VLOOKUP(E6906,DATABASE!C:Q,11,false)</f>
        <v>Tire</v>
      </c>
    </row>
    <row r="6907" ht="22.5" customHeight="1">
      <c r="A6907" s="49"/>
      <c r="C6907" s="400">
        <v>46059.0</v>
      </c>
      <c r="D6907" s="524">
        <v>248.0</v>
      </c>
      <c r="E6907" s="544" t="s">
        <v>2611</v>
      </c>
      <c r="F6907" s="387">
        <v>1.0</v>
      </c>
      <c r="G6907" s="140">
        <v>115000.0</v>
      </c>
      <c r="H6907" s="74"/>
      <c r="I6907" s="74">
        <f t="shared" si="1"/>
        <v>115000</v>
      </c>
      <c r="J6907" s="74">
        <f>IF(E6907="SERVICE",I6907-(I6907*50%),Vlookup(E6907,DATABASE!C:Q,10,false)*F6907)</f>
        <v>0</v>
      </c>
      <c r="K6907" s="74">
        <f>VLOOKUP(E6907,DATABASE!C:Q,7,false)</f>
        <v>81000</v>
      </c>
      <c r="L6907" s="74">
        <v>81000.0</v>
      </c>
      <c r="M6907" s="74">
        <f t="shared" si="2"/>
        <v>85000</v>
      </c>
      <c r="N6907" s="74">
        <f t="shared" si="3"/>
        <v>30000</v>
      </c>
      <c r="O6907" s="65" t="str">
        <f>VLOOKUP(E6907,DATABASE!C:Q,8,false)</f>
        <v>BIAN</v>
      </c>
      <c r="P6907" s="65">
        <f>VLOOKUP(E6907,DATABASE!C:Q,9,False)</f>
        <v>1</v>
      </c>
      <c r="Q6907" s="93" t="str">
        <f>VLOOKUP(E6907,DATABASE!C:Q,4,false)</f>
        <v>BD IBK</v>
      </c>
      <c r="R6907" s="93" t="str">
        <f>VLOOKUP(E6907,DATABASE!C:Q,11,false)</f>
        <v>Tire</v>
      </c>
    </row>
    <row r="6908" ht="22.5" customHeight="1">
      <c r="A6908" s="49"/>
      <c r="C6908" s="400">
        <v>46059.0</v>
      </c>
      <c r="D6908" s="524">
        <v>249.0</v>
      </c>
      <c r="E6908" s="544" t="s">
        <v>275</v>
      </c>
      <c r="F6908" s="387">
        <v>2.0</v>
      </c>
      <c r="G6908" s="140">
        <v>830000.0</v>
      </c>
      <c r="H6908" s="74"/>
      <c r="I6908" s="74">
        <f t="shared" si="1"/>
        <v>1660000</v>
      </c>
      <c r="J6908" s="74">
        <f>IF(E6908="SERVICE",I6908-(I6908*50%),Vlookup(E6908,DATABASE!C:Q,10,false)*F6908)</f>
        <v>0</v>
      </c>
      <c r="K6908" s="74">
        <f>VLOOKUP(E6908,DATABASE!C:Q,7,false)</f>
        <v>782000</v>
      </c>
      <c r="L6908" s="74">
        <v>745000.0</v>
      </c>
      <c r="M6908" s="74">
        <f t="shared" si="2"/>
        <v>745000</v>
      </c>
      <c r="N6908" s="74">
        <f t="shared" si="3"/>
        <v>170000</v>
      </c>
      <c r="O6908" s="65" t="str">
        <f>VLOOKUP(E6908,DATABASE!C:Q,8,false)</f>
        <v>IBU</v>
      </c>
      <c r="P6908" s="65">
        <f>VLOOKUP(E6908,DATABASE!C:Q,9,False)</f>
        <v>1</v>
      </c>
      <c r="Q6908" s="93" t="str">
        <f>VLOOKUP(E6908,DATABASE!C:Q,4,false)</f>
        <v>Dunlop</v>
      </c>
      <c r="R6908" s="93" t="str">
        <f>VLOOKUP(E6908,DATABASE!C:Q,11,false)</f>
        <v>Tire</v>
      </c>
    </row>
    <row r="6909" ht="22.5" customHeight="1">
      <c r="A6909" s="49"/>
      <c r="C6909" s="400">
        <v>46059.0</v>
      </c>
      <c r="D6909" s="524">
        <v>249.0</v>
      </c>
      <c r="E6909" s="544" t="s">
        <v>299</v>
      </c>
      <c r="F6909" s="387">
        <v>2.0</v>
      </c>
      <c r="G6909" s="140">
        <v>30000.0</v>
      </c>
      <c r="H6909" s="74"/>
      <c r="I6909" s="74">
        <f t="shared" si="1"/>
        <v>60000</v>
      </c>
      <c r="J6909" s="74">
        <f>IF(E6909="SERVICE",I6909-(I6909*50%),Vlookup(E6909,DATABASE!C:Q,10,false)*F6909)</f>
        <v>0</v>
      </c>
      <c r="K6909" s="74">
        <f>VLOOKUP(E6909,DATABASE!C:Q,7,false)</f>
        <v>10000</v>
      </c>
      <c r="L6909" s="74">
        <v>10000.0</v>
      </c>
      <c r="M6909" s="74">
        <f t="shared" si="2"/>
        <v>10000</v>
      </c>
      <c r="N6909" s="74">
        <f t="shared" si="3"/>
        <v>40000</v>
      </c>
      <c r="O6909" s="65" t="str">
        <f>VLOOKUP(E6909,DATABASE!C:Q,8,false)</f>
        <v>BIAN</v>
      </c>
      <c r="P6909" s="65">
        <f>VLOOKUP(E6909,DATABASE!C:Q,9,False)</f>
        <v>0</v>
      </c>
      <c r="Q6909" s="93" t="str">
        <f>VLOOKUP(E6909,DATABASE!C:Q,4,false)</f>
        <v>Balancing</v>
      </c>
      <c r="R6909" s="93" t="str">
        <f>VLOOKUP(E6909,DATABASE!C:Q,11,false)</f>
        <v>COMPLEMENTARY</v>
      </c>
    </row>
    <row r="6910" ht="22.5" customHeight="1">
      <c r="A6910" s="49"/>
      <c r="C6910" s="400">
        <v>46059.0</v>
      </c>
      <c r="D6910" s="524">
        <v>250.0</v>
      </c>
      <c r="E6910" s="544" t="s">
        <v>839</v>
      </c>
      <c r="F6910" s="387">
        <v>2.0</v>
      </c>
      <c r="G6910" s="140">
        <v>565000.0</v>
      </c>
      <c r="H6910" s="74"/>
      <c r="I6910" s="74">
        <f t="shared" si="1"/>
        <v>1130000</v>
      </c>
      <c r="J6910" s="74">
        <f>IF(E6910="SERVICE",I6910-(I6910*50%),Vlookup(E6910,DATABASE!C:Q,10,false)*F6910)</f>
        <v>0</v>
      </c>
      <c r="K6910" s="74">
        <f>VLOOKUP(E6910,DATABASE!C:Q,7,false)</f>
        <v>512640</v>
      </c>
      <c r="L6910" s="74">
        <v>475700.0</v>
      </c>
      <c r="M6910" s="74">
        <f t="shared" si="2"/>
        <v>480000</v>
      </c>
      <c r="N6910" s="74">
        <f t="shared" si="3"/>
        <v>170000</v>
      </c>
      <c r="O6910" s="65" t="str">
        <f>VLOOKUP(E6910,DATABASE!C:Q,8,false)</f>
        <v>BIAN</v>
      </c>
      <c r="P6910" s="65">
        <f>VLOOKUP(E6910,DATABASE!C:Q,9,False)</f>
        <v>1</v>
      </c>
      <c r="Q6910" s="93" t="str">
        <f>VLOOKUP(E6910,DATABASE!C:Q,4,false)</f>
        <v>GT</v>
      </c>
      <c r="R6910" s="93" t="str">
        <f>VLOOKUP(E6910,DATABASE!C:Q,11,false)</f>
        <v>Tire</v>
      </c>
    </row>
    <row r="6911" ht="22.5" customHeight="1">
      <c r="A6911" s="49"/>
      <c r="C6911" s="400">
        <v>46059.0</v>
      </c>
      <c r="D6911" s="524">
        <v>251.0</v>
      </c>
      <c r="E6911" s="544" t="s">
        <v>940</v>
      </c>
      <c r="F6911" s="387">
        <v>4.0</v>
      </c>
      <c r="G6911" s="140">
        <v>809000.0</v>
      </c>
      <c r="H6911" s="140">
        <v>9000.0</v>
      </c>
      <c r="I6911" s="74">
        <f t="shared" si="1"/>
        <v>3200000</v>
      </c>
      <c r="J6911" s="74">
        <f>IF(E6911="SERVICE",I6911-(I6911*50%),Vlookup(E6911,DATABASE!C:Q,10,false)*F6911)</f>
        <v>0</v>
      </c>
      <c r="K6911" s="74">
        <f>VLOOKUP(E6911,DATABASE!C:Q,7,false)</f>
        <v>716500</v>
      </c>
      <c r="L6911" s="74">
        <v>709000.0</v>
      </c>
      <c r="M6911" s="74">
        <f t="shared" si="2"/>
        <v>710000</v>
      </c>
      <c r="N6911" s="74">
        <f t="shared" si="3"/>
        <v>360000</v>
      </c>
      <c r="O6911" s="65" t="str">
        <f>VLOOKUP(E6911,DATABASE!C:Q,8,false)</f>
        <v>IBU</v>
      </c>
      <c r="P6911" s="65">
        <f>VLOOKUP(E6911,DATABASE!C:Q,9,False)</f>
        <v>1</v>
      </c>
      <c r="Q6911" s="93" t="str">
        <f>VLOOKUP(E6911,DATABASE!C:Q,4,false)</f>
        <v>Dunlop</v>
      </c>
      <c r="R6911" s="93" t="str">
        <f>VLOOKUP(E6911,DATABASE!C:Q,11,false)</f>
        <v>Tire</v>
      </c>
    </row>
    <row r="6912" ht="22.5" customHeight="1">
      <c r="A6912" s="49"/>
      <c r="C6912" s="400">
        <v>46059.0</v>
      </c>
      <c r="D6912" s="524">
        <v>251.0</v>
      </c>
      <c r="E6912" s="544" t="s">
        <v>299</v>
      </c>
      <c r="F6912" s="387">
        <v>2.0</v>
      </c>
      <c r="G6912" s="140">
        <v>30000.0</v>
      </c>
      <c r="H6912" s="74"/>
      <c r="I6912" s="74">
        <f t="shared" si="1"/>
        <v>60000</v>
      </c>
      <c r="J6912" s="74">
        <f>IF(E6912="SERVICE",I6912-(I6912*50%),Vlookup(E6912,DATABASE!C:Q,10,false)*F6912)</f>
        <v>0</v>
      </c>
      <c r="K6912" s="74">
        <f>VLOOKUP(E6912,DATABASE!C:Q,7,false)</f>
        <v>10000</v>
      </c>
      <c r="L6912" s="74">
        <v>10000.0</v>
      </c>
      <c r="M6912" s="74">
        <f t="shared" si="2"/>
        <v>10000</v>
      </c>
      <c r="N6912" s="74">
        <f t="shared" si="3"/>
        <v>40000</v>
      </c>
      <c r="O6912" s="65" t="str">
        <f>VLOOKUP(E6912,DATABASE!C:Q,8,false)</f>
        <v>BIAN</v>
      </c>
      <c r="P6912" s="65">
        <f>VLOOKUP(E6912,DATABASE!C:Q,9,False)</f>
        <v>0</v>
      </c>
      <c r="Q6912" s="93" t="str">
        <f>VLOOKUP(E6912,DATABASE!C:Q,4,false)</f>
        <v>Balancing</v>
      </c>
      <c r="R6912" s="93" t="str">
        <f>VLOOKUP(E6912,DATABASE!C:Q,11,false)</f>
        <v>COMPLEMENTARY</v>
      </c>
    </row>
    <row r="6913" ht="22.5" customHeight="1">
      <c r="A6913" s="49"/>
      <c r="C6913" s="400">
        <v>46059.0</v>
      </c>
      <c r="D6913" s="524">
        <v>252.0</v>
      </c>
      <c r="E6913" s="544" t="s">
        <v>262</v>
      </c>
      <c r="F6913" s="387">
        <v>1.0</v>
      </c>
      <c r="G6913" s="140">
        <v>110000.0</v>
      </c>
      <c r="H6913" s="74"/>
      <c r="I6913" s="74">
        <f t="shared" si="1"/>
        <v>110000</v>
      </c>
      <c r="J6913" s="74">
        <f>IF(E6913="SERVICE",I6913-(I6913*50%),Vlookup(E6913,DATABASE!C:Q,10,false)*F6913)</f>
        <v>5000</v>
      </c>
      <c r="K6913" s="74">
        <f>VLOOKUP(E6913,DATABASE!C:Q,7,false)</f>
        <v>0</v>
      </c>
      <c r="L6913" s="74">
        <v>0.0</v>
      </c>
      <c r="M6913" s="74">
        <f t="shared" si="2"/>
        <v>0</v>
      </c>
      <c r="N6913" s="74">
        <f t="shared" si="3"/>
        <v>105000</v>
      </c>
      <c r="O6913" s="65" t="str">
        <f>VLOOKUP(E6913,DATABASE!C:Q,8,false)</f>
        <v>IBU</v>
      </c>
      <c r="P6913" s="65">
        <f>VLOOKUP(E6913,DATABASE!C:Q,9,False)</f>
        <v>0</v>
      </c>
      <c r="Q6913" s="93" t="str">
        <f>VLOOKUP(E6913,DATABASE!C:Q,4,false)</f>
        <v>SPOORING SS/CARRY LOS BAK</v>
      </c>
      <c r="R6913" s="93" t="str">
        <f>VLOOKUP(E6913,DATABASE!C:Q,11,false)</f>
        <v>SERVICE</v>
      </c>
    </row>
    <row r="6914" ht="22.5" customHeight="1">
      <c r="A6914" s="49"/>
      <c r="C6914" s="400">
        <v>46059.0</v>
      </c>
      <c r="D6914" s="524">
        <v>252.0</v>
      </c>
      <c r="E6914" s="544" t="s">
        <v>251</v>
      </c>
      <c r="F6914" s="387">
        <v>1.0</v>
      </c>
      <c r="G6914" s="140">
        <v>350000.0</v>
      </c>
      <c r="H6914" s="140">
        <v>200000.0</v>
      </c>
      <c r="I6914" s="74">
        <f t="shared" si="1"/>
        <v>150000</v>
      </c>
      <c r="J6914" s="74">
        <f>IF(E6914="SERVICE",I6914-(I6914*50%),Vlookup(E6914,DATABASE!C:Q,10,false)*F6914)</f>
        <v>75000</v>
      </c>
      <c r="K6914" s="74">
        <f>VLOOKUP(E6914,DATABASE!C:Q,7,false)</f>
        <v>0</v>
      </c>
      <c r="L6914" s="74">
        <v>0.0</v>
      </c>
      <c r="M6914" s="74">
        <f t="shared" si="2"/>
        <v>0</v>
      </c>
      <c r="N6914" s="74">
        <f t="shared" si="3"/>
        <v>75000</v>
      </c>
      <c r="O6914" s="65" t="str">
        <f>VLOOKUP(E6914,DATABASE!C:Q,8,false)</f>
        <v>IBU</v>
      </c>
      <c r="P6914" s="65">
        <f>VLOOKUP(E6914,DATABASE!C:Q,9,False)</f>
        <v>0</v>
      </c>
      <c r="Q6914" s="93" t="str">
        <f>VLOOKUP(E6914,DATABASE!C:Q,4,false)</f>
        <v>SERVICE</v>
      </c>
      <c r="R6914" s="93" t="str">
        <f>VLOOKUP(E6914,DATABASE!C:Q,11,false)</f>
        <v>SERVICE</v>
      </c>
    </row>
    <row r="6915" ht="22.5" customHeight="1">
      <c r="A6915" s="49"/>
      <c r="C6915" s="400">
        <v>46059.0</v>
      </c>
      <c r="D6915" s="524">
        <v>252.0</v>
      </c>
      <c r="E6915" s="544" t="s">
        <v>299</v>
      </c>
      <c r="F6915" s="387">
        <v>2.0</v>
      </c>
      <c r="G6915" s="140">
        <v>30000.0</v>
      </c>
      <c r="H6915" s="74"/>
      <c r="I6915" s="74">
        <f t="shared" si="1"/>
        <v>60000</v>
      </c>
      <c r="J6915" s="74">
        <f>IF(E6915="SERVICE",I6915-(I6915*50%),Vlookup(E6915,DATABASE!C:Q,10,false)*F6915)</f>
        <v>0</v>
      </c>
      <c r="K6915" s="74">
        <f>VLOOKUP(E6915,DATABASE!C:Q,7,false)</f>
        <v>10000</v>
      </c>
      <c r="L6915" s="74">
        <v>10000.0</v>
      </c>
      <c r="M6915" s="74">
        <f t="shared" si="2"/>
        <v>10000</v>
      </c>
      <c r="N6915" s="74">
        <f t="shared" si="3"/>
        <v>40000</v>
      </c>
      <c r="O6915" s="65" t="str">
        <f>VLOOKUP(E6915,DATABASE!C:Q,8,false)</f>
        <v>BIAN</v>
      </c>
      <c r="P6915" s="65">
        <f>VLOOKUP(E6915,DATABASE!C:Q,9,False)</f>
        <v>0</v>
      </c>
      <c r="Q6915" s="93" t="str">
        <f>VLOOKUP(E6915,DATABASE!C:Q,4,false)</f>
        <v>Balancing</v>
      </c>
      <c r="R6915" s="93" t="str">
        <f>VLOOKUP(E6915,DATABASE!C:Q,11,false)</f>
        <v>COMPLEMENTARY</v>
      </c>
    </row>
    <row r="6916" ht="22.5" customHeight="1">
      <c r="A6916" s="49"/>
      <c r="C6916" s="400">
        <v>46059.0</v>
      </c>
      <c r="D6916" s="524">
        <v>253.0</v>
      </c>
      <c r="E6916" s="544" t="s">
        <v>614</v>
      </c>
      <c r="F6916" s="387">
        <v>1.0</v>
      </c>
      <c r="G6916" s="140">
        <v>820000.0</v>
      </c>
      <c r="H6916" s="74"/>
      <c r="I6916" s="74">
        <f t="shared" si="1"/>
        <v>820000</v>
      </c>
      <c r="J6916" s="74">
        <f>IF(E6916="SERVICE",I6916-(I6916*50%),Vlookup(E6916,DATABASE!C:Q,10,false)*F6916)</f>
        <v>0</v>
      </c>
      <c r="K6916" s="74">
        <f>VLOOKUP(E6916,DATABASE!C:Q,7,false)</f>
        <v>754660.6</v>
      </c>
      <c r="L6916" s="74">
        <v>712256.0</v>
      </c>
      <c r="M6916" s="74">
        <f t="shared" si="2"/>
        <v>715000</v>
      </c>
      <c r="N6916" s="74">
        <f t="shared" si="3"/>
        <v>105000</v>
      </c>
      <c r="O6916" s="65" t="str">
        <f>VLOOKUP(E6916,DATABASE!C:Q,8,false)</f>
        <v>IBU</v>
      </c>
      <c r="P6916" s="65">
        <f>VLOOKUP(E6916,DATABASE!C:Q,9,False)</f>
        <v>1</v>
      </c>
      <c r="Q6916" s="93" t="str">
        <f>VLOOKUP(E6916,DATABASE!C:Q,4,false)</f>
        <v>Bridgestone</v>
      </c>
      <c r="R6916" s="93" t="str">
        <f>VLOOKUP(E6916,DATABASE!C:Q,11,false)</f>
        <v>Tire</v>
      </c>
    </row>
    <row r="6917" ht="22.5" customHeight="1">
      <c r="A6917" s="49"/>
      <c r="C6917" s="400">
        <v>46059.0</v>
      </c>
      <c r="D6917" s="524">
        <v>254.0</v>
      </c>
      <c r="E6917" s="544" t="s">
        <v>256</v>
      </c>
      <c r="F6917" s="387">
        <v>1.0</v>
      </c>
      <c r="G6917" s="140">
        <v>150000.0</v>
      </c>
      <c r="H6917" s="140">
        <v>20000.0</v>
      </c>
      <c r="I6917" s="74">
        <f t="shared" si="1"/>
        <v>130000</v>
      </c>
      <c r="J6917" s="74">
        <f>IF(E6917="SERVICE",I6917-(I6917*50%),Vlookup(E6917,DATABASE!C:Q,10,false)*F6917)</f>
        <v>10000</v>
      </c>
      <c r="K6917" s="74">
        <f>VLOOKUP(E6917,DATABASE!C:Q,7,false)</f>
        <v>0</v>
      </c>
      <c r="L6917" s="74">
        <v>0.0</v>
      </c>
      <c r="M6917" s="74">
        <f t="shared" si="2"/>
        <v>0</v>
      </c>
      <c r="N6917" s="74">
        <f t="shared" si="3"/>
        <v>120000</v>
      </c>
      <c r="O6917" s="65" t="str">
        <f>VLOOKUP(E6917,DATABASE!C:Q,8,false)</f>
        <v>IBU</v>
      </c>
      <c r="P6917" s="65">
        <f>VLOOKUP(E6917,DATABASE!C:Q,9,False)</f>
        <v>0</v>
      </c>
      <c r="Q6917" s="93" t="str">
        <f>VLOOKUP(E6917,DATABASE!C:Q,4,false)</f>
        <v>SPOORING</v>
      </c>
      <c r="R6917" s="93" t="str">
        <f>VLOOKUP(E6917,DATABASE!C:Q,11,false)</f>
        <v>SERVICE</v>
      </c>
    </row>
    <row r="6918" ht="22.5" customHeight="1">
      <c r="A6918" s="49"/>
      <c r="C6918" s="400">
        <v>46059.0</v>
      </c>
      <c r="D6918" s="524">
        <v>254.0</v>
      </c>
      <c r="E6918" s="544" t="s">
        <v>299</v>
      </c>
      <c r="F6918" s="387">
        <v>2.0</v>
      </c>
      <c r="G6918" s="140">
        <v>30000.0</v>
      </c>
      <c r="H6918" s="74"/>
      <c r="I6918" s="74">
        <f t="shared" si="1"/>
        <v>60000</v>
      </c>
      <c r="J6918" s="74">
        <f>IF(E6918="SERVICE",I6918-(I6918*50%),Vlookup(E6918,DATABASE!C:Q,10,false)*F6918)</f>
        <v>0</v>
      </c>
      <c r="K6918" s="74">
        <f>VLOOKUP(E6918,DATABASE!C:Q,7,false)</f>
        <v>10000</v>
      </c>
      <c r="L6918" s="74">
        <v>10000.0</v>
      </c>
      <c r="M6918" s="74">
        <f t="shared" si="2"/>
        <v>10000</v>
      </c>
      <c r="N6918" s="74">
        <f t="shared" si="3"/>
        <v>40000</v>
      </c>
      <c r="O6918" s="65" t="str">
        <f>VLOOKUP(E6918,DATABASE!C:Q,8,false)</f>
        <v>BIAN</v>
      </c>
      <c r="P6918" s="65">
        <f>VLOOKUP(E6918,DATABASE!C:Q,9,False)</f>
        <v>0</v>
      </c>
      <c r="Q6918" s="93" t="str">
        <f>VLOOKUP(E6918,DATABASE!C:Q,4,false)</f>
        <v>Balancing</v>
      </c>
      <c r="R6918" s="93" t="str">
        <f>VLOOKUP(E6918,DATABASE!C:Q,11,false)</f>
        <v>COMPLEMENTARY</v>
      </c>
    </row>
    <row r="6919" ht="22.5" customHeight="1">
      <c r="A6919" s="49"/>
      <c r="C6919" s="400">
        <v>46059.0</v>
      </c>
      <c r="D6919" s="524">
        <v>254.0</v>
      </c>
      <c r="E6919" s="544" t="s">
        <v>251</v>
      </c>
      <c r="F6919" s="387">
        <v>1.0</v>
      </c>
      <c r="G6919" s="140">
        <v>350000.0</v>
      </c>
      <c r="H6919" s="140">
        <v>200000.0</v>
      </c>
      <c r="I6919" s="74">
        <f t="shared" si="1"/>
        <v>150000</v>
      </c>
      <c r="J6919" s="74">
        <f>IF(E6919="SERVICE",I6919-(I6919*50%),Vlookup(E6919,DATABASE!C:Q,10,false)*F6919)</f>
        <v>75000</v>
      </c>
      <c r="K6919" s="74">
        <f>VLOOKUP(E6919,DATABASE!C:Q,7,false)</f>
        <v>0</v>
      </c>
      <c r="L6919" s="74">
        <v>0.0</v>
      </c>
      <c r="M6919" s="74">
        <f t="shared" si="2"/>
        <v>0</v>
      </c>
      <c r="N6919" s="74">
        <f t="shared" si="3"/>
        <v>75000</v>
      </c>
      <c r="O6919" s="65" t="str">
        <f>VLOOKUP(E6919,DATABASE!C:Q,8,false)</f>
        <v>IBU</v>
      </c>
      <c r="P6919" s="65">
        <f>VLOOKUP(E6919,DATABASE!C:Q,9,False)</f>
        <v>0</v>
      </c>
      <c r="Q6919" s="93" t="str">
        <f>VLOOKUP(E6919,DATABASE!C:Q,4,false)</f>
        <v>SERVICE</v>
      </c>
      <c r="R6919" s="93" t="str">
        <f>VLOOKUP(E6919,DATABASE!C:Q,11,false)</f>
        <v>SERVICE</v>
      </c>
    </row>
    <row r="6920" ht="22.5" customHeight="1">
      <c r="A6920" s="49"/>
      <c r="C6920" s="400">
        <v>46059.0</v>
      </c>
      <c r="D6920" s="524">
        <v>255.0</v>
      </c>
      <c r="E6920" s="544" t="s">
        <v>795</v>
      </c>
      <c r="F6920" s="387">
        <v>1.0</v>
      </c>
      <c r="G6920" s="140">
        <v>150000.0</v>
      </c>
      <c r="H6920" s="74"/>
      <c r="I6920" s="74">
        <f t="shared" si="1"/>
        <v>150000</v>
      </c>
      <c r="J6920" s="74">
        <f>IF(E6920="SERVICE",I6920-(I6920*50%),Vlookup(E6920,DATABASE!C:Q,10,false)*F6920)</f>
        <v>0</v>
      </c>
      <c r="K6920" s="74">
        <f>VLOOKUP(E6920,DATABASE!C:Q,7,false)</f>
        <v>123000</v>
      </c>
      <c r="L6920" s="74">
        <v>109200.0</v>
      </c>
      <c r="M6920" s="74">
        <f t="shared" si="2"/>
        <v>110000</v>
      </c>
      <c r="N6920" s="74">
        <f t="shared" si="3"/>
        <v>40000</v>
      </c>
      <c r="O6920" s="65" t="str">
        <f>VLOOKUP(E6920,DATABASE!C:Q,8,false)</f>
        <v>BIAN</v>
      </c>
      <c r="P6920" s="65">
        <f>VLOOKUP(E6920,DATABASE!C:Q,9,False)</f>
        <v>1</v>
      </c>
      <c r="Q6920" s="93" t="str">
        <f>VLOOKUP(E6920,DATABASE!C:Q,4,false)</f>
        <v>BD</v>
      </c>
      <c r="R6920" s="93" t="str">
        <f>VLOOKUP(E6920,DATABASE!C:Q,11,false)</f>
        <v>Tire</v>
      </c>
    </row>
    <row r="6921" ht="22.5" customHeight="1">
      <c r="A6921" s="49"/>
      <c r="C6921" s="400">
        <v>46059.0</v>
      </c>
      <c r="D6921" s="524">
        <v>256.0</v>
      </c>
      <c r="E6921" s="544" t="s">
        <v>2652</v>
      </c>
      <c r="F6921" s="387">
        <v>1.0</v>
      </c>
      <c r="G6921" s="140">
        <v>300000.0</v>
      </c>
      <c r="H6921" s="74"/>
      <c r="I6921" s="74">
        <f t="shared" si="1"/>
        <v>300000</v>
      </c>
      <c r="J6921" s="74">
        <f>IF(E6921="SERVICE",I6921-(I6921*50%),Vlookup(E6921,DATABASE!C:Q,10,false)*F6921)</f>
        <v>75000</v>
      </c>
      <c r="K6921" s="74">
        <f>VLOOKUP(E6921,DATABASE!C:Q,7,false)</f>
        <v>150000</v>
      </c>
      <c r="L6921" s="74">
        <v>150000.0</v>
      </c>
      <c r="M6921" s="74">
        <f t="shared" si="2"/>
        <v>150000</v>
      </c>
      <c r="N6921" s="74">
        <f t="shared" si="3"/>
        <v>75000</v>
      </c>
      <c r="O6921" s="65" t="str">
        <f>VLOOKUP(E6921,DATABASE!C:Q,8,false)</f>
        <v>BIAN</v>
      </c>
      <c r="P6921" s="65">
        <f>VLOOKUP(E6921,DATABASE!C:Q,9,False)</f>
        <v>0</v>
      </c>
      <c r="Q6921" s="93" t="str">
        <f>VLOOKUP(E6921,DATABASE!C:Q,4,false)</f>
        <v>Karet Support + Pasang</v>
      </c>
      <c r="R6921" s="93" t="str">
        <f>VLOOKUP(E6921,DATABASE!C:Q,11,false)</f>
        <v>COMPLEMENTARY</v>
      </c>
    </row>
    <row r="6922" ht="22.5" customHeight="1">
      <c r="A6922" s="49"/>
      <c r="C6922" s="400">
        <v>46059.0</v>
      </c>
      <c r="D6922" s="524">
        <v>257.0</v>
      </c>
      <c r="E6922" s="544" t="s">
        <v>1076</v>
      </c>
      <c r="F6922" s="387">
        <v>1.0</v>
      </c>
      <c r="G6922" s="140">
        <v>770000.0</v>
      </c>
      <c r="H6922" s="74"/>
      <c r="I6922" s="74">
        <f t="shared" si="1"/>
        <v>770000</v>
      </c>
      <c r="J6922" s="74">
        <f>IF(E6922="SERVICE",I6922-(I6922*50%),Vlookup(E6922,DATABASE!C:Q,10,false)*F6922)</f>
        <v>0</v>
      </c>
      <c r="K6922" s="74">
        <f>VLOOKUP(E6922,DATABASE!C:Q,7,false)</f>
        <v>666540</v>
      </c>
      <c r="L6922" s="74">
        <v>666540.0</v>
      </c>
      <c r="M6922" s="74">
        <f t="shared" si="2"/>
        <v>670000</v>
      </c>
      <c r="N6922" s="74">
        <f t="shared" si="3"/>
        <v>100000</v>
      </c>
      <c r="O6922" s="65" t="str">
        <f>VLOOKUP(E6922,DATABASE!C:Q,8,false)</f>
        <v>BIAN</v>
      </c>
      <c r="P6922" s="65">
        <f>VLOOKUP(E6922,DATABASE!C:Q,9,False)</f>
        <v>1</v>
      </c>
      <c r="Q6922" s="93" t="str">
        <f>VLOOKUP(E6922,DATABASE!C:Q,4,false)</f>
        <v>GT</v>
      </c>
      <c r="R6922" s="93" t="str">
        <f>VLOOKUP(E6922,DATABASE!C:Q,11,false)</f>
        <v>Tire</v>
      </c>
    </row>
    <row r="6923" ht="22.5" customHeight="1">
      <c r="A6923" s="49"/>
      <c r="C6923" s="400">
        <v>46059.0</v>
      </c>
      <c r="D6923" s="69" t="s">
        <v>2700</v>
      </c>
      <c r="E6923" s="544" t="s">
        <v>2146</v>
      </c>
      <c r="F6923" s="387">
        <v>1.0</v>
      </c>
      <c r="G6923" s="140">
        <v>65000.0</v>
      </c>
      <c r="H6923" s="74"/>
      <c r="I6923" s="74">
        <f t="shared" si="1"/>
        <v>65000</v>
      </c>
      <c r="J6923" s="74">
        <f>IF(E6923="SERVICE",I6923-(I6923*50%),Vlookup(E6923,DATABASE!C:Q,10,false)*F6923)</f>
        <v>0</v>
      </c>
      <c r="K6923" s="74">
        <f>VLOOKUP(E6923,DATABASE!C:Q,7,false)</f>
        <v>40000</v>
      </c>
      <c r="L6923" s="74">
        <v>40000.0</v>
      </c>
      <c r="M6923" s="74">
        <f t="shared" si="2"/>
        <v>40000</v>
      </c>
      <c r="N6923" s="74">
        <f t="shared" si="3"/>
        <v>25000</v>
      </c>
      <c r="O6923" s="65" t="str">
        <f>VLOOKUP(E6923,DATABASE!C:Q,8,false)</f>
        <v>NON</v>
      </c>
      <c r="P6923" s="65">
        <f>VLOOKUP(E6923,DATABASE!C:Q,9,False)</f>
        <v>0</v>
      </c>
      <c r="Q6923" s="93" t="str">
        <f>VLOOKUP(E6923,DATABASE!C:Q,4,false)</f>
        <v>Pertamina</v>
      </c>
      <c r="R6923" s="93" t="str">
        <f>VLOOKUP(E6923,DATABASE!C:Q,11,false)</f>
        <v>OIL</v>
      </c>
    </row>
    <row r="6924" ht="22.5" customHeight="1">
      <c r="A6924" s="49"/>
      <c r="C6924" s="400">
        <v>46060.0</v>
      </c>
      <c r="D6924" s="524">
        <v>258.0</v>
      </c>
      <c r="E6924" s="544" t="s">
        <v>974</v>
      </c>
      <c r="F6924" s="387">
        <v>3.0</v>
      </c>
      <c r="G6924" s="140">
        <v>585000.0</v>
      </c>
      <c r="H6924" s="140">
        <v>5000.0</v>
      </c>
      <c r="I6924" s="74">
        <f t="shared" si="1"/>
        <v>1740000</v>
      </c>
      <c r="J6924" s="74">
        <f>IF(E6924="SERVICE",I6924-(I6924*50%),Vlookup(E6924,DATABASE!C:Q,10,false)*F6924)</f>
        <v>0</v>
      </c>
      <c r="K6924" s="74">
        <f>VLOOKUP(E6924,DATABASE!C:Q,7,false)</f>
        <v>501500</v>
      </c>
      <c r="L6924" s="74">
        <v>491000.0</v>
      </c>
      <c r="M6924" s="74">
        <f t="shared" si="2"/>
        <v>495000</v>
      </c>
      <c r="N6924" s="74">
        <f t="shared" si="3"/>
        <v>255000</v>
      </c>
      <c r="O6924" s="65" t="str">
        <f>VLOOKUP(E6924,DATABASE!C:Q,8,false)</f>
        <v>IBU</v>
      </c>
      <c r="P6924" s="65">
        <f>VLOOKUP(E6924,DATABASE!C:Q,9,False)</f>
        <v>1</v>
      </c>
      <c r="Q6924" s="93" t="str">
        <f>VLOOKUP(E6924,DATABASE!C:Q,4,false)</f>
        <v>Dunlop</v>
      </c>
      <c r="R6924" s="93" t="str">
        <f>VLOOKUP(E6924,DATABASE!C:Q,11,false)</f>
        <v>Tire</v>
      </c>
    </row>
    <row r="6925" ht="22.5" customHeight="1">
      <c r="A6925" s="49"/>
      <c r="C6925" s="400">
        <v>46060.0</v>
      </c>
      <c r="D6925" s="524">
        <v>259.0</v>
      </c>
      <c r="E6925" s="544" t="s">
        <v>940</v>
      </c>
      <c r="F6925" s="387">
        <v>2.0</v>
      </c>
      <c r="G6925" s="140">
        <v>809000.0</v>
      </c>
      <c r="H6925" s="140">
        <v>9000.0</v>
      </c>
      <c r="I6925" s="74">
        <f t="shared" si="1"/>
        <v>1600000</v>
      </c>
      <c r="J6925" s="74">
        <f>IF(E6925="SERVICE",I6925-(I6925*50%),Vlookup(E6925,DATABASE!C:Q,10,false)*F6925)</f>
        <v>0</v>
      </c>
      <c r="K6925" s="74">
        <f>VLOOKUP(E6925,DATABASE!C:Q,7,false)</f>
        <v>716500</v>
      </c>
      <c r="L6925" s="74">
        <v>709000.0</v>
      </c>
      <c r="M6925" s="74">
        <f t="shared" si="2"/>
        <v>710000</v>
      </c>
      <c r="N6925" s="74">
        <f t="shared" si="3"/>
        <v>180000</v>
      </c>
      <c r="O6925" s="65" t="str">
        <f>VLOOKUP(E6925,DATABASE!C:Q,8,false)</f>
        <v>IBU</v>
      </c>
      <c r="P6925" s="65">
        <f>VLOOKUP(E6925,DATABASE!C:Q,9,False)</f>
        <v>1</v>
      </c>
      <c r="Q6925" s="93" t="str">
        <f>VLOOKUP(E6925,DATABASE!C:Q,4,false)</f>
        <v>Dunlop</v>
      </c>
      <c r="R6925" s="93" t="str">
        <f>VLOOKUP(E6925,DATABASE!C:Q,11,false)</f>
        <v>Tire</v>
      </c>
    </row>
    <row r="6926" ht="22.5" customHeight="1">
      <c r="A6926" s="49"/>
      <c r="C6926" s="400">
        <v>46060.0</v>
      </c>
      <c r="D6926" s="524">
        <v>260.0</v>
      </c>
      <c r="E6926" s="544" t="s">
        <v>268</v>
      </c>
      <c r="F6926" s="387">
        <v>2.0</v>
      </c>
      <c r="G6926" s="140">
        <v>710000.0</v>
      </c>
      <c r="H6926" s="74"/>
      <c r="I6926" s="74">
        <f t="shared" si="1"/>
        <v>1420000</v>
      </c>
      <c r="J6926" s="74">
        <f>IF(E6926="SERVICE",I6926-(I6926*50%),Vlookup(E6926,DATABASE!C:Q,10,false)*F6926)</f>
        <v>0</v>
      </c>
      <c r="K6926" s="74">
        <f>VLOOKUP(E6926,DATABASE!C:Q,7,false)</f>
        <v>653000</v>
      </c>
      <c r="L6926" s="74">
        <v>622000.0</v>
      </c>
      <c r="M6926" s="74">
        <f t="shared" si="2"/>
        <v>625000</v>
      </c>
      <c r="N6926" s="74">
        <f t="shared" si="3"/>
        <v>170000</v>
      </c>
      <c r="O6926" s="65" t="str">
        <f>VLOOKUP(E6926,DATABASE!C:Q,8,false)</f>
        <v>IBU</v>
      </c>
      <c r="P6926" s="65">
        <f>VLOOKUP(E6926,DATABASE!C:Q,9,False)</f>
        <v>1</v>
      </c>
      <c r="Q6926" s="93" t="str">
        <f>VLOOKUP(E6926,DATABASE!C:Q,4,false)</f>
        <v>Dunlop</v>
      </c>
      <c r="R6926" s="93" t="str">
        <f>VLOOKUP(E6926,DATABASE!C:Q,11,false)</f>
        <v>Tire</v>
      </c>
    </row>
    <row r="6927" ht="22.5" customHeight="1">
      <c r="A6927" s="49"/>
      <c r="C6927" s="400">
        <v>46060.0</v>
      </c>
      <c r="D6927" s="524">
        <v>261.0</v>
      </c>
      <c r="E6927" s="544" t="s">
        <v>286</v>
      </c>
      <c r="F6927" s="387">
        <v>4.0</v>
      </c>
      <c r="G6927" s="140">
        <v>560000.0</v>
      </c>
      <c r="H6927" s="140">
        <v>10000.0</v>
      </c>
      <c r="I6927" s="74">
        <f t="shared" si="1"/>
        <v>2200000</v>
      </c>
      <c r="J6927" s="74">
        <f>IF(E6927="SERVICE",I6927-(I6927*50%),Vlookup(E6927,DATABASE!C:Q,10,false)*F6927)</f>
        <v>0</v>
      </c>
      <c r="K6927" s="74">
        <f>VLOOKUP(E6927,DATABASE!C:Q,7,false)</f>
        <v>488320</v>
      </c>
      <c r="L6927" s="74">
        <v>452970.0</v>
      </c>
      <c r="M6927" s="74">
        <f t="shared" si="2"/>
        <v>455000</v>
      </c>
      <c r="N6927" s="74">
        <f t="shared" si="3"/>
        <v>380000</v>
      </c>
      <c r="O6927" s="65" t="str">
        <f>VLOOKUP(E6927,DATABASE!C:Q,8,false)</f>
        <v>BIAN</v>
      </c>
      <c r="P6927" s="65">
        <f>VLOOKUP(E6927,DATABASE!C:Q,9,False)</f>
        <v>1</v>
      </c>
      <c r="Q6927" s="93" t="str">
        <f>VLOOKUP(E6927,DATABASE!C:Q,4,false)</f>
        <v>GT</v>
      </c>
      <c r="R6927" s="93" t="str">
        <f>VLOOKUP(E6927,DATABASE!C:Q,11,false)</f>
        <v>Tire</v>
      </c>
    </row>
    <row r="6928" ht="22.5" customHeight="1">
      <c r="A6928" s="49"/>
      <c r="C6928" s="400">
        <v>46060.0</v>
      </c>
      <c r="D6928" s="524">
        <v>261.0</v>
      </c>
      <c r="E6928" s="544" t="s">
        <v>695</v>
      </c>
      <c r="F6928" s="387">
        <v>2.0</v>
      </c>
      <c r="G6928" s="140">
        <v>670000.0</v>
      </c>
      <c r="H6928" s="140">
        <v>10000.0</v>
      </c>
      <c r="I6928" s="74">
        <f t="shared" si="1"/>
        <v>1320000</v>
      </c>
      <c r="J6928" s="74">
        <f>IF(E6928="SERVICE",I6928-(I6928*50%),Vlookup(E6928,DATABASE!C:Q,10,false)*F6928)</f>
        <v>0</v>
      </c>
      <c r="K6928" s="74">
        <f>VLOOKUP(E6928,DATABASE!C:Q,7,false)</f>
        <v>582000</v>
      </c>
      <c r="L6928" s="74">
        <v>570000.0</v>
      </c>
      <c r="M6928" s="74">
        <f t="shared" si="2"/>
        <v>570000</v>
      </c>
      <c r="N6928" s="74">
        <f t="shared" si="3"/>
        <v>180000</v>
      </c>
      <c r="O6928" s="65" t="str">
        <f>VLOOKUP(E6928,DATABASE!C:Q,8,false)</f>
        <v>IBU</v>
      </c>
      <c r="P6928" s="65">
        <f>VLOOKUP(E6928,DATABASE!C:Q,9,False)</f>
        <v>1</v>
      </c>
      <c r="Q6928" s="93" t="str">
        <f>VLOOKUP(E6928,DATABASE!C:Q,4,false)</f>
        <v>Dunlop</v>
      </c>
      <c r="R6928" s="93" t="str">
        <f>VLOOKUP(E6928,DATABASE!C:Q,11,false)</f>
        <v>Tire</v>
      </c>
    </row>
    <row r="6929" ht="22.5" customHeight="1">
      <c r="A6929" s="49"/>
      <c r="C6929" s="400">
        <v>46060.0</v>
      </c>
      <c r="D6929" s="524">
        <v>263.0</v>
      </c>
      <c r="E6929" s="544" t="s">
        <v>932</v>
      </c>
      <c r="F6929" s="387">
        <v>1.0</v>
      </c>
      <c r="G6929" s="140">
        <v>680000.0</v>
      </c>
      <c r="H6929" s="74"/>
      <c r="I6929" s="74">
        <f t="shared" si="1"/>
        <v>680000</v>
      </c>
      <c r="J6929" s="74">
        <f>IF(E6929="SERVICE",I6929-(I6929*50%),Vlookup(E6929,DATABASE!C:Q,10,false)*F6929)</f>
        <v>0</v>
      </c>
      <c r="K6929" s="74">
        <f>VLOOKUP(E6929,DATABASE!C:Q,7,false)</f>
        <v>601000</v>
      </c>
      <c r="L6929" s="74">
        <v>595000.0</v>
      </c>
      <c r="M6929" s="74">
        <f t="shared" si="2"/>
        <v>595000</v>
      </c>
      <c r="N6929" s="74">
        <f t="shared" si="3"/>
        <v>85000</v>
      </c>
      <c r="O6929" s="65" t="str">
        <f>VLOOKUP(E6929,DATABASE!C:Q,8,false)</f>
        <v>IBU</v>
      </c>
      <c r="P6929" s="65">
        <f>VLOOKUP(E6929,DATABASE!C:Q,9,False)</f>
        <v>1</v>
      </c>
      <c r="Q6929" s="93" t="str">
        <f>VLOOKUP(E6929,DATABASE!C:Q,4,false)</f>
        <v>Dunlop</v>
      </c>
      <c r="R6929" s="93" t="str">
        <f>VLOOKUP(E6929,DATABASE!C:Q,11,false)</f>
        <v>Tire</v>
      </c>
    </row>
    <row r="6930" ht="22.5" customHeight="1">
      <c r="A6930" s="49"/>
      <c r="C6930" s="400">
        <v>46060.0</v>
      </c>
      <c r="D6930" s="524">
        <v>264.0</v>
      </c>
      <c r="E6930" s="544" t="s">
        <v>791</v>
      </c>
      <c r="F6930" s="387">
        <v>3.0</v>
      </c>
      <c r="G6930" s="140">
        <v>1280000.0</v>
      </c>
      <c r="H6930" s="140">
        <v>20000.0</v>
      </c>
      <c r="I6930" s="74">
        <f t="shared" si="1"/>
        <v>3780000</v>
      </c>
      <c r="J6930" s="74">
        <f>IF(E6930="SERVICE",I6930-(I6930*50%),Vlookup(E6930,DATABASE!C:Q,10,false)*F6930)</f>
        <v>0</v>
      </c>
      <c r="K6930" s="74">
        <f>VLOOKUP(E6930,DATABASE!C:Q,7,false)</f>
        <v>1210000</v>
      </c>
      <c r="L6930" s="140">
        <v>1160000.0</v>
      </c>
      <c r="M6930" s="74">
        <f t="shared" si="2"/>
        <v>1160000</v>
      </c>
      <c r="N6930" s="74">
        <f t="shared" si="3"/>
        <v>300000</v>
      </c>
      <c r="O6930" s="65" t="str">
        <f>VLOOKUP(E6930,DATABASE!C:Q,8,false)</f>
        <v>BIAN</v>
      </c>
      <c r="P6930" s="65">
        <f>VLOOKUP(E6930,DATABASE!C:Q,9,False)</f>
        <v>1</v>
      </c>
      <c r="Q6930" s="93" t="str">
        <f>VLOOKUP(E6930,DATABASE!C:Q,4,false)</f>
        <v>GT</v>
      </c>
      <c r="R6930" s="93" t="str">
        <f>VLOOKUP(E6930,DATABASE!C:Q,11,false)</f>
        <v>Tire</v>
      </c>
    </row>
    <row r="6931" ht="22.5" customHeight="1">
      <c r="A6931" s="49"/>
      <c r="C6931" s="400">
        <v>46060.0</v>
      </c>
      <c r="D6931" s="524">
        <v>264.0</v>
      </c>
      <c r="E6931" s="544" t="s">
        <v>255</v>
      </c>
      <c r="F6931" s="387">
        <v>2.0</v>
      </c>
      <c r="G6931" s="140">
        <v>200000.0</v>
      </c>
      <c r="H6931" s="74"/>
      <c r="I6931" s="74">
        <f t="shared" si="1"/>
        <v>400000</v>
      </c>
      <c r="J6931" s="74">
        <f>IF(E6931="SERVICE",I6931-(I6931*50%),Vlookup(E6931,DATABASE!C:Q,10,false)*F6931)</f>
        <v>0</v>
      </c>
      <c r="K6931" s="74">
        <f>VLOOKUP(E6931,DATABASE!C:Q,7,false)</f>
        <v>161840</v>
      </c>
      <c r="L6931" s="74">
        <v>161840.0</v>
      </c>
      <c r="M6931" s="74">
        <f t="shared" si="2"/>
        <v>165000</v>
      </c>
      <c r="N6931" s="74">
        <f t="shared" si="3"/>
        <v>70000</v>
      </c>
      <c r="O6931" s="65" t="str">
        <f>VLOOKUP(E6931,DATABASE!C:Q,8,false)</f>
        <v>BIAN</v>
      </c>
      <c r="P6931" s="65">
        <f>VLOOKUP(E6931,DATABASE!C:Q,9,False)</f>
        <v>1</v>
      </c>
      <c r="Q6931" s="93" t="str">
        <f>VLOOKUP(E6931,DATABASE!C:Q,4,false)</f>
        <v>BD</v>
      </c>
      <c r="R6931" s="93" t="str">
        <f>VLOOKUP(E6931,DATABASE!C:Q,11,false)</f>
        <v>Tire</v>
      </c>
    </row>
    <row r="6932" ht="22.5" customHeight="1">
      <c r="A6932" s="49"/>
      <c r="C6932" s="400">
        <v>46060.0</v>
      </c>
      <c r="D6932" s="524">
        <v>264.0</v>
      </c>
      <c r="E6932" s="544" t="s">
        <v>814</v>
      </c>
      <c r="F6932" s="387">
        <v>1.0</v>
      </c>
      <c r="G6932" s="140">
        <v>65000.0</v>
      </c>
      <c r="H6932" s="74"/>
      <c r="I6932" s="74">
        <f t="shared" si="1"/>
        <v>65000</v>
      </c>
      <c r="J6932" s="74">
        <f>IF(E6932="SERVICE",I6932-(I6932*50%),Vlookup(E6932,DATABASE!C:Q,10,false)*F6932)</f>
        <v>0</v>
      </c>
      <c r="K6932" s="74">
        <f>VLOOKUP(E6932,DATABASE!C:Q,7,false)</f>
        <v>39440</v>
      </c>
      <c r="L6932" s="74">
        <v>39440.0</v>
      </c>
      <c r="M6932" s="74">
        <f t="shared" si="2"/>
        <v>40000</v>
      </c>
      <c r="N6932" s="74">
        <f t="shared" si="3"/>
        <v>25000</v>
      </c>
      <c r="O6932" s="65" t="str">
        <f>VLOOKUP(E6932,DATABASE!C:Q,8,false)</f>
        <v>BIAN</v>
      </c>
      <c r="P6932" s="65">
        <f>VLOOKUP(E6932,DATABASE!C:Q,9,False)</f>
        <v>1</v>
      </c>
      <c r="Q6932" s="93" t="str">
        <f>VLOOKUP(E6932,DATABASE!C:Q,4,false)</f>
        <v>Flap</v>
      </c>
      <c r="R6932" s="93" t="str">
        <f>VLOOKUP(E6932,DATABASE!C:Q,11,false)</f>
        <v>Tire</v>
      </c>
    </row>
    <row r="6933" ht="22.5" customHeight="1">
      <c r="A6933" s="49"/>
      <c r="C6933" s="400">
        <v>46060.0</v>
      </c>
      <c r="D6933" s="524">
        <v>265.0</v>
      </c>
      <c r="E6933" s="544" t="s">
        <v>1947</v>
      </c>
      <c r="F6933" s="387">
        <v>4.0</v>
      </c>
      <c r="G6933" s="140">
        <v>790000.0</v>
      </c>
      <c r="H6933" s="74"/>
      <c r="I6933" s="74">
        <f t="shared" si="1"/>
        <v>3160000</v>
      </c>
      <c r="J6933" s="74">
        <f>IF(E6933="SERVICE",I6933-(I6933*50%),Vlookup(E6933,DATABASE!C:Q,10,false)*F6933)</f>
        <v>0</v>
      </c>
      <c r="K6933" s="74">
        <f>VLOOKUP(E6933,DATABASE!C:Q,7,false)</f>
        <v>694300</v>
      </c>
      <c r="L6933" s="74">
        <v>694300.0</v>
      </c>
      <c r="M6933" s="74">
        <f t="shared" si="2"/>
        <v>695000</v>
      </c>
      <c r="N6933" s="74">
        <f t="shared" si="3"/>
        <v>380000</v>
      </c>
      <c r="O6933" s="65" t="str">
        <f>VLOOKUP(E6933,DATABASE!C:Q,8,false)</f>
        <v>BIAN</v>
      </c>
      <c r="P6933" s="65">
        <f>VLOOKUP(E6933,DATABASE!C:Q,9,False)</f>
        <v>1</v>
      </c>
      <c r="Q6933" s="93" t="str">
        <f>VLOOKUP(E6933,DATABASE!C:Q,4,false)</f>
        <v>GT</v>
      </c>
      <c r="R6933" s="93" t="str">
        <f>VLOOKUP(E6933,DATABASE!C:Q,11,false)</f>
        <v>Tire</v>
      </c>
    </row>
    <row r="6934" ht="22.5" customHeight="1">
      <c r="A6934" s="49"/>
      <c r="C6934" s="400">
        <v>46060.0</v>
      </c>
      <c r="D6934" s="524">
        <v>265.0</v>
      </c>
      <c r="E6934" s="544" t="s">
        <v>299</v>
      </c>
      <c r="F6934" s="387">
        <v>2.0</v>
      </c>
      <c r="G6934" s="140">
        <v>30000.0</v>
      </c>
      <c r="H6934" s="74"/>
      <c r="I6934" s="74">
        <f t="shared" si="1"/>
        <v>60000</v>
      </c>
      <c r="J6934" s="74">
        <f>IF(E6934="SERVICE",I6934-(I6934*50%),Vlookup(E6934,DATABASE!C:Q,10,false)*F6934)</f>
        <v>0</v>
      </c>
      <c r="K6934" s="74">
        <f>VLOOKUP(E6934,DATABASE!C:Q,7,false)</f>
        <v>10000</v>
      </c>
      <c r="L6934" s="74">
        <v>10000.0</v>
      </c>
      <c r="M6934" s="74">
        <f t="shared" si="2"/>
        <v>10000</v>
      </c>
      <c r="N6934" s="74">
        <f t="shared" si="3"/>
        <v>40000</v>
      </c>
      <c r="O6934" s="65" t="str">
        <f>VLOOKUP(E6934,DATABASE!C:Q,8,false)</f>
        <v>BIAN</v>
      </c>
      <c r="P6934" s="65">
        <f>VLOOKUP(E6934,DATABASE!C:Q,9,False)</f>
        <v>0</v>
      </c>
      <c r="Q6934" s="93" t="str">
        <f>VLOOKUP(E6934,DATABASE!C:Q,4,false)</f>
        <v>Balancing</v>
      </c>
      <c r="R6934" s="93" t="str">
        <f>VLOOKUP(E6934,DATABASE!C:Q,11,false)</f>
        <v>COMPLEMENTARY</v>
      </c>
    </row>
    <row r="6935" ht="22.5" customHeight="1">
      <c r="A6935" s="49"/>
      <c r="C6935" s="400">
        <v>46060.0</v>
      </c>
      <c r="D6935" s="524">
        <v>265.0</v>
      </c>
      <c r="E6935" s="544" t="s">
        <v>301</v>
      </c>
      <c r="F6935" s="387">
        <v>1.0</v>
      </c>
      <c r="G6935" s="140">
        <v>250000.0</v>
      </c>
      <c r="H6935" s="74"/>
      <c r="I6935" s="74">
        <f t="shared" si="1"/>
        <v>250000</v>
      </c>
      <c r="J6935" s="74">
        <f>IF(E6935="SERVICE",I6935-(I6935*50%),Vlookup(E6935,DATABASE!C:Q,10,false)*F6935)</f>
        <v>75000</v>
      </c>
      <c r="K6935" s="74">
        <f>VLOOKUP(E6935,DATABASE!C:Q,7,false)</f>
        <v>75000</v>
      </c>
      <c r="L6935" s="74">
        <v>75000.0</v>
      </c>
      <c r="M6935" s="74">
        <f t="shared" si="2"/>
        <v>75000</v>
      </c>
      <c r="N6935" s="74">
        <f t="shared" si="3"/>
        <v>100000</v>
      </c>
      <c r="O6935" s="65" t="str">
        <f>VLOOKUP(E6935,DATABASE!C:Q,8,false)</f>
        <v>BIAN</v>
      </c>
      <c r="P6935" s="65">
        <f>VLOOKUP(E6935,DATABASE!C:Q,9,False)</f>
        <v>0</v>
      </c>
      <c r="Q6935" s="93" t="str">
        <f>VLOOKUP(E6935,DATABASE!C:Q,4,false)</f>
        <v>Baut Camber</v>
      </c>
      <c r="R6935" s="93" t="str">
        <f>VLOOKUP(E6935,DATABASE!C:Q,11,false)</f>
        <v>COMPLEMENTARY</v>
      </c>
    </row>
    <row r="6936" ht="22.5" customHeight="1">
      <c r="A6936" s="49"/>
      <c r="C6936" s="400">
        <v>46060.0</v>
      </c>
      <c r="D6936" s="524">
        <v>266.0</v>
      </c>
      <c r="E6936" s="544" t="s">
        <v>256</v>
      </c>
      <c r="F6936" s="387">
        <v>1.0</v>
      </c>
      <c r="G6936" s="140">
        <v>150000.0</v>
      </c>
      <c r="H6936" s="140">
        <v>20000.0</v>
      </c>
      <c r="I6936" s="74">
        <f t="shared" si="1"/>
        <v>130000</v>
      </c>
      <c r="J6936" s="74">
        <f>IF(E6936="SERVICE",I6936-(I6936*50%),Vlookup(E6936,DATABASE!C:Q,10,false)*F6936)</f>
        <v>10000</v>
      </c>
      <c r="K6936" s="74">
        <f>VLOOKUP(E6936,DATABASE!C:Q,7,false)</f>
        <v>0</v>
      </c>
      <c r="L6936" s="140">
        <v>0.0</v>
      </c>
      <c r="M6936" s="74">
        <f t="shared" si="2"/>
        <v>0</v>
      </c>
      <c r="N6936" s="74">
        <f t="shared" si="3"/>
        <v>120000</v>
      </c>
      <c r="O6936" s="65" t="str">
        <f>VLOOKUP(E6936,DATABASE!C:Q,8,false)</f>
        <v>IBU</v>
      </c>
      <c r="P6936" s="65">
        <f>VLOOKUP(E6936,DATABASE!C:Q,9,False)</f>
        <v>0</v>
      </c>
      <c r="Q6936" s="93" t="str">
        <f>VLOOKUP(E6936,DATABASE!C:Q,4,false)</f>
        <v>SPOORING</v>
      </c>
      <c r="R6936" s="93" t="str">
        <f>VLOOKUP(E6936,DATABASE!C:Q,11,false)</f>
        <v>SERVICE</v>
      </c>
    </row>
    <row r="6937" ht="22.5" customHeight="1">
      <c r="A6937" s="49"/>
      <c r="C6937" s="400">
        <v>46060.0</v>
      </c>
      <c r="D6937" s="524">
        <v>267.0</v>
      </c>
      <c r="E6937" s="544" t="s">
        <v>2611</v>
      </c>
      <c r="F6937" s="387">
        <v>1.0</v>
      </c>
      <c r="G6937" s="140">
        <v>115000.0</v>
      </c>
      <c r="H6937" s="74"/>
      <c r="I6937" s="74">
        <f t="shared" si="1"/>
        <v>115000</v>
      </c>
      <c r="J6937" s="74">
        <f>IF(E6937="SERVICE",I6937-(I6937*50%),Vlookup(E6937,DATABASE!C:Q,10,false)*F6937)</f>
        <v>0</v>
      </c>
      <c r="K6937" s="74">
        <f>VLOOKUP(E6937,DATABASE!C:Q,7,false)</f>
        <v>81000</v>
      </c>
      <c r="L6937" s="74">
        <v>81000.0</v>
      </c>
      <c r="M6937" s="74">
        <f t="shared" si="2"/>
        <v>85000</v>
      </c>
      <c r="N6937" s="74">
        <f t="shared" si="3"/>
        <v>30000</v>
      </c>
      <c r="O6937" s="65" t="str">
        <f>VLOOKUP(E6937,DATABASE!C:Q,8,false)</f>
        <v>BIAN</v>
      </c>
      <c r="P6937" s="65">
        <f>VLOOKUP(E6937,DATABASE!C:Q,9,False)</f>
        <v>1</v>
      </c>
      <c r="Q6937" s="93" t="str">
        <f>VLOOKUP(E6937,DATABASE!C:Q,4,false)</f>
        <v>BD IBK</v>
      </c>
      <c r="R6937" s="93" t="str">
        <f>VLOOKUP(E6937,DATABASE!C:Q,11,false)</f>
        <v>Tire</v>
      </c>
    </row>
    <row r="6938" ht="22.5" customHeight="1">
      <c r="A6938" s="49"/>
      <c r="C6938" s="400">
        <v>46060.0</v>
      </c>
      <c r="D6938" s="524">
        <v>268.0</v>
      </c>
      <c r="E6938" s="544" t="s">
        <v>2199</v>
      </c>
      <c r="F6938" s="387">
        <v>1.0</v>
      </c>
      <c r="G6938" s="140">
        <v>15000.0</v>
      </c>
      <c r="H6938" s="74"/>
      <c r="I6938" s="74">
        <f t="shared" si="1"/>
        <v>15000</v>
      </c>
      <c r="J6938" s="74">
        <f>IF(E6938="SERVICE",I6938-(I6938*50%),Vlookup(E6938,DATABASE!C:Q,10,false)*F6938)</f>
        <v>0</v>
      </c>
      <c r="K6938" s="74">
        <f>VLOOKUP(E6938,DATABASE!C:Q,7,false)</f>
        <v>5000</v>
      </c>
      <c r="L6938" s="140">
        <v>5000.0</v>
      </c>
      <c r="M6938" s="74">
        <f t="shared" si="2"/>
        <v>5000</v>
      </c>
      <c r="N6938" s="74">
        <f t="shared" si="3"/>
        <v>10000</v>
      </c>
      <c r="O6938" s="65" t="str">
        <f>VLOOKUP(E6938,DATABASE!C:Q,8,false)</f>
        <v>BIAN</v>
      </c>
      <c r="P6938" s="65">
        <f>VLOOKUP(E6938,DATABASE!C:Q,9,False)</f>
        <v>0</v>
      </c>
      <c r="Q6938" s="93" t="str">
        <f>VLOOKUP(E6938,DATABASE!C:Q,4,false)</f>
        <v>TAMBAL TUBLES</v>
      </c>
      <c r="R6938" s="93" t="str">
        <f>VLOOKUP(E6938,DATABASE!C:Q,11,false)</f>
        <v>COMPLEMENTARY</v>
      </c>
    </row>
    <row r="6939" ht="22.5" customHeight="1">
      <c r="A6939" s="49"/>
      <c r="C6939" s="400">
        <v>46060.0</v>
      </c>
      <c r="D6939" s="69">
        <v>269.0</v>
      </c>
      <c r="E6939" s="544" t="s">
        <v>2611</v>
      </c>
      <c r="F6939" s="387">
        <v>1.0</v>
      </c>
      <c r="G6939" s="140">
        <v>115000.0</v>
      </c>
      <c r="H6939" s="74"/>
      <c r="I6939" s="74">
        <f t="shared" si="1"/>
        <v>115000</v>
      </c>
      <c r="J6939" s="74">
        <f>IF(E6939="SERVICE",I6939-(I6939*50%),Vlookup(E6939,DATABASE!C:Q,10,false)*F6939)</f>
        <v>0</v>
      </c>
      <c r="K6939" s="74">
        <f>VLOOKUP(E6939,DATABASE!C:Q,7,false)</f>
        <v>81000</v>
      </c>
      <c r="L6939" s="74">
        <v>81000.0</v>
      </c>
      <c r="M6939" s="74">
        <f t="shared" si="2"/>
        <v>85000</v>
      </c>
      <c r="N6939" s="74">
        <f t="shared" si="3"/>
        <v>30000</v>
      </c>
      <c r="O6939" s="65" t="str">
        <f>VLOOKUP(E6939,DATABASE!C:Q,8,false)</f>
        <v>BIAN</v>
      </c>
      <c r="P6939" s="65">
        <f>VLOOKUP(E6939,DATABASE!C:Q,9,False)</f>
        <v>1</v>
      </c>
      <c r="Q6939" s="93" t="str">
        <f>VLOOKUP(E6939,DATABASE!C:Q,4,false)</f>
        <v>BD IBK</v>
      </c>
      <c r="R6939" s="93" t="str">
        <f>VLOOKUP(E6939,DATABASE!C:Q,11,false)</f>
        <v>Tire</v>
      </c>
    </row>
    <row r="6940" ht="22.5" customHeight="1">
      <c r="A6940" s="49"/>
      <c r="C6940" s="400">
        <v>46060.0</v>
      </c>
      <c r="D6940" s="69" t="s">
        <v>2701</v>
      </c>
      <c r="E6940" s="544" t="s">
        <v>263</v>
      </c>
      <c r="F6940" s="387">
        <v>1.0</v>
      </c>
      <c r="G6940" s="140">
        <v>320000.0</v>
      </c>
      <c r="H6940" s="74"/>
      <c r="I6940" s="74">
        <f t="shared" si="1"/>
        <v>320000</v>
      </c>
      <c r="J6940" s="74">
        <f>IF(E6940="SERVICE",I6940-(I6940*50%),Vlookup(E6940,DATABASE!C:Q,10,false)*F6940)</f>
        <v>0</v>
      </c>
      <c r="K6940" s="74">
        <f>VLOOKUP(E6940,DATABASE!C:Q,7,false)</f>
        <v>334916</v>
      </c>
      <c r="L6940" s="74">
        <v>287688.0</v>
      </c>
      <c r="M6940" s="74">
        <f t="shared" si="2"/>
        <v>290000</v>
      </c>
      <c r="N6940" s="74">
        <f t="shared" si="3"/>
        <v>30000</v>
      </c>
      <c r="O6940" s="65" t="str">
        <f>VLOOKUP(E6940,DATABASE!C:Q,8,false)</f>
        <v>NON</v>
      </c>
      <c r="P6940" s="65">
        <f>VLOOKUP(E6940,DATABASE!C:Q,9,False)</f>
        <v>0</v>
      </c>
      <c r="Q6940" s="93" t="str">
        <f>VLOOKUP(E6940,DATABASE!C:Q,4,false)</f>
        <v>Shell</v>
      </c>
      <c r="R6940" s="93" t="str">
        <f>VLOOKUP(E6940,DATABASE!C:Q,11,false)</f>
        <v>OIL</v>
      </c>
    </row>
    <row r="6941" ht="22.5" customHeight="1">
      <c r="A6941" s="49"/>
      <c r="C6941" s="400">
        <v>46060.0</v>
      </c>
      <c r="D6941" s="69" t="s">
        <v>2701</v>
      </c>
      <c r="E6941" s="544" t="s">
        <v>2195</v>
      </c>
      <c r="F6941" s="387">
        <v>4.0</v>
      </c>
      <c r="G6941" s="140">
        <v>300000.0</v>
      </c>
      <c r="H6941" s="74"/>
      <c r="I6941" s="74">
        <f t="shared" si="1"/>
        <v>1200000</v>
      </c>
      <c r="J6941" s="74">
        <f>IF(E6941="SERVICE",I6941-(I6941*50%),Vlookup(E6941,DATABASE!C:Q,10,false)*F6941)</f>
        <v>0</v>
      </c>
      <c r="K6941" s="74">
        <f>VLOOKUP(E6941,DATABASE!C:Q,7,false)</f>
        <v>329877</v>
      </c>
      <c r="L6941" s="74">
        <v>282805.0</v>
      </c>
      <c r="M6941" s="74">
        <f t="shared" si="2"/>
        <v>285000</v>
      </c>
      <c r="N6941" s="74">
        <f t="shared" si="3"/>
        <v>60000</v>
      </c>
      <c r="O6941" s="65" t="str">
        <f>VLOOKUP(E6941,DATABASE!C:Q,8,false)</f>
        <v>NON</v>
      </c>
      <c r="P6941" s="65">
        <f>VLOOKUP(E6941,DATABASE!C:Q,9,False)</f>
        <v>0</v>
      </c>
      <c r="Q6941" s="93" t="str">
        <f>VLOOKUP(E6941,DATABASE!C:Q,4,false)</f>
        <v>Shell</v>
      </c>
      <c r="R6941" s="93" t="str">
        <f>VLOOKUP(E6941,DATABASE!C:Q,11,false)</f>
        <v>OIL</v>
      </c>
    </row>
    <row r="6942" ht="22.5" customHeight="1">
      <c r="A6942" s="49"/>
      <c r="C6942" s="400">
        <v>46061.0</v>
      </c>
      <c r="D6942" s="524">
        <v>270.0</v>
      </c>
      <c r="E6942" s="544" t="s">
        <v>268</v>
      </c>
      <c r="F6942" s="387">
        <v>2.0</v>
      </c>
      <c r="G6942" s="140">
        <v>710000.0</v>
      </c>
      <c r="H6942" s="74"/>
      <c r="I6942" s="74">
        <f t="shared" si="1"/>
        <v>1420000</v>
      </c>
      <c r="J6942" s="74">
        <f>IF(E6942="SERVICE",I6942-(I6942*50%),Vlookup(E6942,DATABASE!C:Q,10,false)*F6942)</f>
        <v>0</v>
      </c>
      <c r="K6942" s="74">
        <f>VLOOKUP(E6942,DATABASE!C:Q,7,false)</f>
        <v>653000</v>
      </c>
      <c r="L6942" s="74">
        <v>622000.0</v>
      </c>
      <c r="M6942" s="74">
        <f t="shared" si="2"/>
        <v>625000</v>
      </c>
      <c r="N6942" s="74">
        <f t="shared" si="3"/>
        <v>170000</v>
      </c>
      <c r="O6942" s="65" t="str">
        <f>VLOOKUP(E6942,DATABASE!C:Q,8,false)</f>
        <v>IBU</v>
      </c>
      <c r="P6942" s="65">
        <f>VLOOKUP(E6942,DATABASE!C:Q,9,False)</f>
        <v>1</v>
      </c>
      <c r="Q6942" s="93" t="str">
        <f>VLOOKUP(E6942,DATABASE!C:Q,4,false)</f>
        <v>Dunlop</v>
      </c>
      <c r="R6942" s="93" t="str">
        <f>VLOOKUP(E6942,DATABASE!C:Q,11,false)</f>
        <v>Tire</v>
      </c>
    </row>
    <row r="6943" ht="22.5" customHeight="1">
      <c r="A6943" s="49"/>
      <c r="C6943" s="400">
        <v>46061.0</v>
      </c>
      <c r="D6943" s="524">
        <v>271.0</v>
      </c>
      <c r="E6943" s="544" t="s">
        <v>265</v>
      </c>
      <c r="F6943" s="387">
        <v>1.0</v>
      </c>
      <c r="G6943" s="140">
        <v>685000.0</v>
      </c>
      <c r="H6943" s="74"/>
      <c r="I6943" s="74">
        <f t="shared" si="1"/>
        <v>685000</v>
      </c>
      <c r="J6943" s="74">
        <f>IF(E6943="SERVICE",I6943-(I6943*50%),Vlookup(E6943,DATABASE!C:Q,10,false)*F6943)</f>
        <v>0</v>
      </c>
      <c r="K6943" s="74">
        <f>VLOOKUP(E6943,DATABASE!C:Q,7,false)</f>
        <v>628000</v>
      </c>
      <c r="L6943" s="74">
        <v>600000.0</v>
      </c>
      <c r="M6943" s="74">
        <f t="shared" si="2"/>
        <v>600000</v>
      </c>
      <c r="N6943" s="74">
        <f t="shared" si="3"/>
        <v>85000</v>
      </c>
      <c r="O6943" s="65" t="str">
        <f>VLOOKUP(E6943,DATABASE!C:Q,8,false)</f>
        <v>IBU</v>
      </c>
      <c r="P6943" s="65">
        <f>VLOOKUP(E6943,DATABASE!C:Q,9,False)</f>
        <v>1</v>
      </c>
      <c r="Q6943" s="93" t="str">
        <f>VLOOKUP(E6943,DATABASE!C:Q,4,false)</f>
        <v>Dunlop</v>
      </c>
      <c r="R6943" s="93" t="str">
        <f>VLOOKUP(E6943,DATABASE!C:Q,11,false)</f>
        <v>Tire</v>
      </c>
    </row>
    <row r="6944" ht="22.5" customHeight="1">
      <c r="A6944" s="49"/>
      <c r="C6944" s="400">
        <v>46061.0</v>
      </c>
      <c r="D6944" s="524">
        <v>273.0</v>
      </c>
      <c r="E6944" s="544" t="s">
        <v>940</v>
      </c>
      <c r="F6944" s="387">
        <v>1.0</v>
      </c>
      <c r="G6944" s="140">
        <v>809000.0</v>
      </c>
      <c r="H6944" s="140">
        <v>9000.0</v>
      </c>
      <c r="I6944" s="74">
        <f t="shared" si="1"/>
        <v>800000</v>
      </c>
      <c r="J6944" s="74">
        <f>IF(E6944="SERVICE",I6944-(I6944*50%),Vlookup(E6944,DATABASE!C:Q,10,false)*F6944)</f>
        <v>0</v>
      </c>
      <c r="K6944" s="74">
        <f>VLOOKUP(E6944,DATABASE!C:Q,7,false)</f>
        <v>716500</v>
      </c>
      <c r="L6944" s="74">
        <v>709000.0</v>
      </c>
      <c r="M6944" s="74">
        <f t="shared" si="2"/>
        <v>710000</v>
      </c>
      <c r="N6944" s="74">
        <f t="shared" si="3"/>
        <v>90000</v>
      </c>
      <c r="O6944" s="65" t="str">
        <f>VLOOKUP(E6944,DATABASE!C:Q,8,false)</f>
        <v>IBU</v>
      </c>
      <c r="P6944" s="65">
        <f>VLOOKUP(E6944,DATABASE!C:Q,9,False)</f>
        <v>1</v>
      </c>
      <c r="Q6944" s="93" t="str">
        <f>VLOOKUP(E6944,DATABASE!C:Q,4,false)</f>
        <v>Dunlop</v>
      </c>
      <c r="R6944" s="93" t="str">
        <f>VLOOKUP(E6944,DATABASE!C:Q,11,false)</f>
        <v>Tire</v>
      </c>
    </row>
    <row r="6945" ht="22.5" customHeight="1">
      <c r="A6945" s="49"/>
      <c r="C6945" s="400">
        <v>46061.0</v>
      </c>
      <c r="D6945" s="524">
        <v>274.0</v>
      </c>
      <c r="E6945" s="544" t="s">
        <v>2019</v>
      </c>
      <c r="F6945" s="387">
        <v>1.0</v>
      </c>
      <c r="G6945" s="140">
        <v>685000.0</v>
      </c>
      <c r="H6945" s="140">
        <v>5000.0</v>
      </c>
      <c r="I6945" s="74">
        <f t="shared" si="1"/>
        <v>680000</v>
      </c>
      <c r="J6945" s="74">
        <f>IF(E6945="SERVICE",I6945-(I6945*50%),Vlookup(E6945,DATABASE!C:Q,10,false)*F6945)</f>
        <v>0</v>
      </c>
      <c r="K6945" s="74">
        <f>VLOOKUP(E6945,DATABASE!C:Q,7,false)</f>
        <v>620000</v>
      </c>
      <c r="L6945" s="74">
        <v>595000.0</v>
      </c>
      <c r="M6945" s="74">
        <f t="shared" si="2"/>
        <v>595000</v>
      </c>
      <c r="N6945" s="74">
        <f t="shared" si="3"/>
        <v>85000</v>
      </c>
      <c r="O6945" s="65" t="str">
        <f>VLOOKUP(E6945,DATABASE!C:Q,8,false)</f>
        <v>BIAN</v>
      </c>
      <c r="P6945" s="65">
        <f>VLOOKUP(E6945,DATABASE!C:Q,9,False)</f>
        <v>1</v>
      </c>
      <c r="Q6945" s="93" t="str">
        <f>VLOOKUP(E6945,DATABASE!C:Q,4,false)</f>
        <v>GT</v>
      </c>
      <c r="R6945" s="93" t="str">
        <f>VLOOKUP(E6945,DATABASE!C:Q,11,false)</f>
        <v>Tire</v>
      </c>
    </row>
    <row r="6946" ht="22.5" customHeight="1">
      <c r="A6946" s="49"/>
      <c r="C6946" s="400">
        <v>46061.0</v>
      </c>
      <c r="D6946" s="524">
        <v>274.0</v>
      </c>
      <c r="E6946" s="544" t="s">
        <v>781</v>
      </c>
      <c r="F6946" s="387">
        <v>1.0</v>
      </c>
      <c r="G6946" s="140">
        <v>530000.0</v>
      </c>
      <c r="H6946" s="74"/>
      <c r="I6946" s="74">
        <f t="shared" si="1"/>
        <v>530000</v>
      </c>
      <c r="J6946" s="74">
        <f>IF(E6946="SERVICE",I6946-(I6946*50%),Vlookup(E6946,DATABASE!C:Q,10,false)*F6946)</f>
        <v>0</v>
      </c>
      <c r="K6946" s="74">
        <f>VLOOKUP(E6946,DATABASE!C:Q,7,false)</f>
        <v>470000</v>
      </c>
      <c r="L6946" s="74">
        <v>442500.0</v>
      </c>
      <c r="M6946" s="74">
        <f t="shared" si="2"/>
        <v>445000</v>
      </c>
      <c r="N6946" s="74">
        <f t="shared" si="3"/>
        <v>85000</v>
      </c>
      <c r="O6946" s="65" t="str">
        <f>VLOOKUP(E6946,DATABASE!C:Q,8,false)</f>
        <v>BIAN</v>
      </c>
      <c r="P6946" s="65">
        <f>VLOOKUP(E6946,DATABASE!C:Q,9,False)</f>
        <v>1</v>
      </c>
      <c r="Q6946" s="93" t="str">
        <f>VLOOKUP(E6946,DATABASE!C:Q,4,false)</f>
        <v>GT</v>
      </c>
      <c r="R6946" s="93" t="str">
        <f>VLOOKUP(E6946,DATABASE!C:Q,11,false)</f>
        <v>Tire</v>
      </c>
    </row>
    <row r="6947" ht="22.5" customHeight="1">
      <c r="A6947" s="49"/>
      <c r="C6947" s="400">
        <v>46061.0</v>
      </c>
      <c r="D6947" s="524">
        <v>275.0</v>
      </c>
      <c r="E6947" s="544" t="s">
        <v>288</v>
      </c>
      <c r="F6947" s="387">
        <v>2.0</v>
      </c>
      <c r="G6947" s="140">
        <v>620000.0</v>
      </c>
      <c r="H6947" s="74"/>
      <c r="I6947" s="74">
        <f t="shared" si="1"/>
        <v>1240000</v>
      </c>
      <c r="J6947" s="74">
        <f>IF(E6947="SERVICE",I6947-(I6947*50%),Vlookup(E6947,DATABASE!C:Q,10,false)*F6947)</f>
        <v>0</v>
      </c>
      <c r="K6947" s="74">
        <f>VLOOKUP(E6947,DATABASE!C:Q,7,false)</f>
        <v>565760</v>
      </c>
      <c r="L6947" s="74">
        <v>524800.0</v>
      </c>
      <c r="M6947" s="74">
        <f t="shared" si="2"/>
        <v>525000</v>
      </c>
      <c r="N6947" s="74">
        <f t="shared" si="3"/>
        <v>190000</v>
      </c>
      <c r="O6947" s="65" t="str">
        <f>VLOOKUP(E6947,DATABASE!C:Q,8,false)</f>
        <v>BIAN</v>
      </c>
      <c r="P6947" s="65">
        <f>VLOOKUP(E6947,DATABASE!C:Q,9,False)</f>
        <v>1</v>
      </c>
      <c r="Q6947" s="93" t="str">
        <f>VLOOKUP(E6947,DATABASE!C:Q,4,false)</f>
        <v>GT</v>
      </c>
      <c r="R6947" s="93" t="str">
        <f>VLOOKUP(E6947,DATABASE!C:Q,11,false)</f>
        <v>Tire</v>
      </c>
    </row>
    <row r="6948" ht="22.5" customHeight="1">
      <c r="A6948" s="49"/>
      <c r="C6948" s="400">
        <v>46061.0</v>
      </c>
      <c r="D6948" s="524">
        <v>277.0</v>
      </c>
      <c r="E6948" s="544" t="s">
        <v>1530</v>
      </c>
      <c r="F6948" s="387">
        <v>1.0</v>
      </c>
      <c r="G6948" s="140">
        <v>560000.0</v>
      </c>
      <c r="H6948" s="74"/>
      <c r="I6948" s="74">
        <f t="shared" si="1"/>
        <v>560000</v>
      </c>
      <c r="J6948" s="74">
        <f>IF(E6948="SERVICE",I6948-(I6948*50%),Vlookup(E6948,DATABASE!C:Q,10,false)*F6948)</f>
        <v>0</v>
      </c>
      <c r="K6948" s="74">
        <f>VLOOKUP(E6948,DATABASE!C:Q,7,false)</f>
        <v>467000</v>
      </c>
      <c r="L6948" s="74">
        <v>467000.0</v>
      </c>
      <c r="M6948" s="74">
        <f t="shared" si="2"/>
        <v>470000</v>
      </c>
      <c r="N6948" s="74">
        <f t="shared" si="3"/>
        <v>90000</v>
      </c>
      <c r="O6948" s="65" t="str">
        <f>VLOOKUP(E6948,DATABASE!C:Q,8,false)</f>
        <v>BIAN</v>
      </c>
      <c r="P6948" s="65">
        <f>VLOOKUP(E6948,DATABASE!C:Q,9,False)</f>
        <v>1</v>
      </c>
      <c r="Q6948" s="93" t="str">
        <f>VLOOKUP(E6948,DATABASE!C:Q,4,false)</f>
        <v>Laufen</v>
      </c>
      <c r="R6948" s="93" t="str">
        <f>VLOOKUP(E6948,DATABASE!C:Q,11,false)</f>
        <v>Tire</v>
      </c>
    </row>
    <row r="6949" ht="22.5" customHeight="1">
      <c r="A6949" s="49"/>
      <c r="C6949" s="400">
        <v>46061.0</v>
      </c>
      <c r="D6949" s="524">
        <v>279.0</v>
      </c>
      <c r="E6949" s="544" t="s">
        <v>288</v>
      </c>
      <c r="F6949" s="387">
        <v>1.0</v>
      </c>
      <c r="G6949" s="140">
        <v>620000.0</v>
      </c>
      <c r="H6949" s="74"/>
      <c r="I6949" s="74">
        <f t="shared" si="1"/>
        <v>620000</v>
      </c>
      <c r="J6949" s="74">
        <f>IF(E6949="SERVICE",I6949-(I6949*50%),Vlookup(E6949,DATABASE!C:Q,10,false)*F6949)</f>
        <v>0</v>
      </c>
      <c r="K6949" s="74">
        <f>VLOOKUP(E6949,DATABASE!C:Q,7,false)</f>
        <v>565760</v>
      </c>
      <c r="L6949" s="74">
        <v>524800.0</v>
      </c>
      <c r="M6949" s="74">
        <f t="shared" si="2"/>
        <v>525000</v>
      </c>
      <c r="N6949" s="74">
        <f t="shared" si="3"/>
        <v>95000</v>
      </c>
      <c r="O6949" s="65" t="str">
        <f>VLOOKUP(E6949,DATABASE!C:Q,8,false)</f>
        <v>BIAN</v>
      </c>
      <c r="P6949" s="65">
        <f>VLOOKUP(E6949,DATABASE!C:Q,9,False)</f>
        <v>1</v>
      </c>
      <c r="Q6949" s="93" t="str">
        <f>VLOOKUP(E6949,DATABASE!C:Q,4,false)</f>
        <v>GT</v>
      </c>
      <c r="R6949" s="93" t="str">
        <f>VLOOKUP(E6949,DATABASE!C:Q,11,false)</f>
        <v>Tire</v>
      </c>
    </row>
    <row r="6950" ht="22.5" customHeight="1">
      <c r="A6950" s="49"/>
      <c r="C6950" s="400">
        <v>46061.0</v>
      </c>
      <c r="D6950" s="69" t="s">
        <v>2702</v>
      </c>
      <c r="E6950" s="544" t="s">
        <v>263</v>
      </c>
      <c r="F6950" s="387">
        <v>1.0</v>
      </c>
      <c r="G6950" s="140">
        <v>320000.0</v>
      </c>
      <c r="H6950" s="74"/>
      <c r="I6950" s="74">
        <f t="shared" si="1"/>
        <v>320000</v>
      </c>
      <c r="J6950" s="74">
        <f>IF(E6950="SERVICE",I6950-(I6950*50%),Vlookup(E6950,DATABASE!C:Q,10,false)*F6950)</f>
        <v>0</v>
      </c>
      <c r="K6950" s="74">
        <f>VLOOKUP(E6950,DATABASE!C:Q,7,false)</f>
        <v>334916</v>
      </c>
      <c r="L6950" s="74">
        <v>287688.0</v>
      </c>
      <c r="M6950" s="74">
        <f t="shared" si="2"/>
        <v>290000</v>
      </c>
      <c r="N6950" s="74">
        <f t="shared" si="3"/>
        <v>30000</v>
      </c>
      <c r="O6950" s="65" t="str">
        <f>VLOOKUP(E6950,DATABASE!C:Q,8,false)</f>
        <v>NON</v>
      </c>
      <c r="P6950" s="65">
        <f>VLOOKUP(E6950,DATABASE!C:Q,9,False)</f>
        <v>0</v>
      </c>
      <c r="Q6950" s="93" t="str">
        <f>VLOOKUP(E6950,DATABASE!C:Q,4,false)</f>
        <v>Shell</v>
      </c>
      <c r="R6950" s="93" t="str">
        <f>VLOOKUP(E6950,DATABASE!C:Q,11,false)</f>
        <v>OIL</v>
      </c>
    </row>
    <row r="6951" ht="22.5" customHeight="1">
      <c r="A6951" s="49"/>
      <c r="C6951" s="400">
        <v>46061.0</v>
      </c>
      <c r="D6951" s="69" t="s">
        <v>2702</v>
      </c>
      <c r="E6951" s="544" t="s">
        <v>299</v>
      </c>
      <c r="F6951" s="387">
        <v>2.0</v>
      </c>
      <c r="G6951" s="140">
        <v>30000.0</v>
      </c>
      <c r="H6951" s="74"/>
      <c r="I6951" s="74">
        <f t="shared" si="1"/>
        <v>60000</v>
      </c>
      <c r="J6951" s="74">
        <f>IF(E6951="SERVICE",I6951-(I6951*50%),Vlookup(E6951,DATABASE!C:Q,10,false)*F6951)</f>
        <v>0</v>
      </c>
      <c r="K6951" s="74">
        <f>VLOOKUP(E6951,DATABASE!C:Q,7,false)</f>
        <v>10000</v>
      </c>
      <c r="L6951" s="74">
        <v>10000.0</v>
      </c>
      <c r="M6951" s="74">
        <f t="shared" si="2"/>
        <v>10000</v>
      </c>
      <c r="N6951" s="74">
        <f t="shared" si="3"/>
        <v>40000</v>
      </c>
      <c r="O6951" s="65" t="str">
        <f>VLOOKUP(E6951,DATABASE!C:Q,8,false)</f>
        <v>BIAN</v>
      </c>
      <c r="P6951" s="65">
        <f>VLOOKUP(E6951,DATABASE!C:Q,9,False)</f>
        <v>0</v>
      </c>
      <c r="Q6951" s="93" t="str">
        <f>VLOOKUP(E6951,DATABASE!C:Q,4,false)</f>
        <v>Balancing</v>
      </c>
      <c r="R6951" s="93" t="str">
        <f>VLOOKUP(E6951,DATABASE!C:Q,11,false)</f>
        <v>COMPLEMENTARY</v>
      </c>
    </row>
    <row r="6952" ht="22.5" customHeight="1">
      <c r="A6952" s="49"/>
      <c r="C6952" s="400">
        <v>46061.0</v>
      </c>
      <c r="D6952" s="69" t="s">
        <v>2703</v>
      </c>
      <c r="E6952" s="544" t="s">
        <v>248</v>
      </c>
      <c r="F6952" s="387">
        <v>1.0</v>
      </c>
      <c r="G6952" s="140">
        <v>190000.0</v>
      </c>
      <c r="H6952" s="74"/>
      <c r="I6952" s="74">
        <f t="shared" si="1"/>
        <v>190000</v>
      </c>
      <c r="J6952" s="74">
        <f>IF(E6952="SERVICE",I6952-(I6952*50%),Vlookup(E6952,DATABASE!C:Q,10,false)*F6952)</f>
        <v>0</v>
      </c>
      <c r="K6952" s="74">
        <f>VLOOKUP(E6952,DATABASE!C:Q,7,false)</f>
        <v>209816.66</v>
      </c>
      <c r="L6952" s="74">
        <v>160833.0</v>
      </c>
      <c r="M6952" s="74">
        <f t="shared" si="2"/>
        <v>165000</v>
      </c>
      <c r="N6952" s="74">
        <f t="shared" si="3"/>
        <v>25000</v>
      </c>
      <c r="O6952" s="65" t="str">
        <f>VLOOKUP(E6952,DATABASE!C:Q,8,false)</f>
        <v>NON</v>
      </c>
      <c r="P6952" s="65">
        <f>VLOOKUP(E6952,DATABASE!C:Q,9,False)</f>
        <v>0</v>
      </c>
      <c r="Q6952" s="93" t="str">
        <f>VLOOKUP(E6952,DATABASE!C:Q,4,false)</f>
        <v>Pertamina</v>
      </c>
      <c r="R6952" s="93" t="str">
        <f>VLOOKUP(E6952,DATABASE!C:Q,11,false)</f>
        <v>OIL</v>
      </c>
    </row>
    <row r="6953" ht="22.5" customHeight="1">
      <c r="A6953" s="49"/>
      <c r="C6953" s="400">
        <v>46062.0</v>
      </c>
      <c r="D6953" s="524">
        <v>281.0</v>
      </c>
      <c r="E6953" s="544" t="s">
        <v>614</v>
      </c>
      <c r="F6953" s="387">
        <v>2.0</v>
      </c>
      <c r="G6953" s="140">
        <v>820000.0</v>
      </c>
      <c r="H6953" s="140">
        <v>10000.0</v>
      </c>
      <c r="I6953" s="74">
        <f t="shared" si="1"/>
        <v>1620000</v>
      </c>
      <c r="J6953" s="74">
        <f>IF(E6953="SERVICE",I6953-(I6953*50%),Vlookup(E6953,DATABASE!C:Q,10,false)*F6953)</f>
        <v>0</v>
      </c>
      <c r="K6953" s="74">
        <f>VLOOKUP(E6953,DATABASE!C:Q,7,false)</f>
        <v>754660.6</v>
      </c>
      <c r="L6953" s="74">
        <v>712256.0</v>
      </c>
      <c r="M6953" s="74">
        <f t="shared" si="2"/>
        <v>715000</v>
      </c>
      <c r="N6953" s="74">
        <f t="shared" si="3"/>
        <v>190000</v>
      </c>
      <c r="O6953" s="65" t="str">
        <f>VLOOKUP(E6953,DATABASE!C:Q,8,false)</f>
        <v>IBU</v>
      </c>
      <c r="P6953" s="65">
        <f>VLOOKUP(E6953,DATABASE!C:Q,9,False)</f>
        <v>1</v>
      </c>
      <c r="Q6953" s="93" t="str">
        <f>VLOOKUP(E6953,DATABASE!C:Q,4,false)</f>
        <v>Bridgestone</v>
      </c>
      <c r="R6953" s="93" t="str">
        <f>VLOOKUP(E6953,DATABASE!C:Q,11,false)</f>
        <v>Tire</v>
      </c>
    </row>
    <row r="6954" ht="22.5" customHeight="1">
      <c r="A6954" s="49"/>
      <c r="C6954" s="400">
        <v>46062.0</v>
      </c>
      <c r="D6954" s="524">
        <v>282.0</v>
      </c>
      <c r="E6954" s="544" t="s">
        <v>856</v>
      </c>
      <c r="F6954" s="387">
        <v>2.0</v>
      </c>
      <c r="G6954" s="140">
        <v>670000.0</v>
      </c>
      <c r="H6954" s="74"/>
      <c r="I6954" s="74">
        <f t="shared" si="1"/>
        <v>1340000</v>
      </c>
      <c r="J6954" s="74">
        <f>IF(E6954="SERVICE",I6954-(I6954*50%),Vlookup(E6954,DATABASE!C:Q,10,false)*F6954)</f>
        <v>0</v>
      </c>
      <c r="K6954" s="74">
        <f>VLOOKUP(E6954,DATABASE!C:Q,7,false)</f>
        <v>615300</v>
      </c>
      <c r="L6954" s="74">
        <v>581120.0</v>
      </c>
      <c r="M6954" s="74">
        <f t="shared" si="2"/>
        <v>585000</v>
      </c>
      <c r="N6954" s="74">
        <f t="shared" si="3"/>
        <v>170000</v>
      </c>
      <c r="O6954" s="65" t="str">
        <f>VLOOKUP(E6954,DATABASE!C:Q,8,false)</f>
        <v>BIAN</v>
      </c>
      <c r="P6954" s="65">
        <f>VLOOKUP(E6954,DATABASE!C:Q,9,False)</f>
        <v>1</v>
      </c>
      <c r="Q6954" s="93" t="str">
        <f>VLOOKUP(E6954,DATABASE!C:Q,4,false)</f>
        <v>GT</v>
      </c>
      <c r="R6954" s="93" t="str">
        <f>VLOOKUP(E6954,DATABASE!C:Q,11,false)</f>
        <v>Tire</v>
      </c>
    </row>
    <row r="6955" ht="22.5" customHeight="1">
      <c r="A6955" s="49"/>
      <c r="C6955" s="400">
        <v>46062.0</v>
      </c>
      <c r="D6955" s="524">
        <v>282.0</v>
      </c>
      <c r="E6955" s="544" t="s">
        <v>2139</v>
      </c>
      <c r="F6955" s="387">
        <v>1.0</v>
      </c>
      <c r="G6955" s="140">
        <v>10000.0</v>
      </c>
      <c r="H6955" s="74"/>
      <c r="I6955" s="74">
        <f t="shared" si="1"/>
        <v>10000</v>
      </c>
      <c r="J6955" s="74">
        <f>IF(E6955="SERVICE",I6955-(I6955*50%),Vlookup(E6955,DATABASE!C:Q,10,false)*F6955)</f>
        <v>0</v>
      </c>
      <c r="K6955" s="74">
        <f>VLOOKUP(E6955,DATABASE!C:Q,7,false)</f>
        <v>0</v>
      </c>
      <c r="L6955" s="74">
        <v>0.0</v>
      </c>
      <c r="M6955" s="74">
        <f t="shared" si="2"/>
        <v>0</v>
      </c>
      <c r="N6955" s="74">
        <f t="shared" si="3"/>
        <v>10000</v>
      </c>
      <c r="O6955" s="65" t="str">
        <f>VLOOKUP(E6955,DATABASE!C:Q,8,false)</f>
        <v>IBU</v>
      </c>
      <c r="P6955" s="65">
        <f>VLOOKUP(E6955,DATABASE!C:Q,9,False)</f>
        <v>0</v>
      </c>
      <c r="Q6955" s="93" t="str">
        <f>VLOOKUP(E6955,DATABASE!C:Q,4,false)</f>
        <v>PENTIL</v>
      </c>
      <c r="R6955" s="93" t="str">
        <f>VLOOKUP(E6955,DATABASE!C:Q,11,false)</f>
        <v>COMPLEMENTARY</v>
      </c>
    </row>
    <row r="6956" ht="22.5" customHeight="1">
      <c r="A6956" s="49"/>
      <c r="C6956" s="400">
        <v>46062.0</v>
      </c>
      <c r="D6956" s="524">
        <v>283.0</v>
      </c>
      <c r="E6956" s="544" t="s">
        <v>554</v>
      </c>
      <c r="F6956" s="387">
        <v>1.0</v>
      </c>
      <c r="G6956" s="140">
        <v>800000.0</v>
      </c>
      <c r="H6956" s="140">
        <v>30000.0</v>
      </c>
      <c r="I6956" s="74">
        <f t="shared" si="1"/>
        <v>770000</v>
      </c>
      <c r="J6956" s="74">
        <f>IF(E6956="SERVICE",I6956-(I6956*50%),Vlookup(E6956,DATABASE!C:Q,10,false)*F6956)</f>
        <v>0</v>
      </c>
      <c r="K6956" s="74">
        <f>VLOOKUP(E6956,DATABASE!C:Q,7,false)</f>
        <v>710000</v>
      </c>
      <c r="L6956" s="74">
        <v>680000.0</v>
      </c>
      <c r="M6956" s="74">
        <f t="shared" si="2"/>
        <v>680000</v>
      </c>
      <c r="N6956" s="74">
        <f t="shared" si="3"/>
        <v>90000</v>
      </c>
      <c r="O6956" s="65" t="str">
        <f>VLOOKUP(E6956,DATABASE!C:Q,8,false)</f>
        <v>IBU</v>
      </c>
      <c r="P6956" s="65">
        <f>VLOOKUP(E6956,DATABASE!C:Q,9,False)</f>
        <v>1</v>
      </c>
      <c r="Q6956" s="93" t="str">
        <f>VLOOKUP(E6956,DATABASE!C:Q,4,false)</f>
        <v>Bridgestone</v>
      </c>
      <c r="R6956" s="93" t="str">
        <f>VLOOKUP(E6956,DATABASE!C:Q,11,false)</f>
        <v>Tire</v>
      </c>
    </row>
    <row r="6957" ht="22.5" customHeight="1">
      <c r="A6957" s="49"/>
      <c r="C6957" s="400">
        <v>46062.0</v>
      </c>
      <c r="D6957" s="524">
        <v>284.0</v>
      </c>
      <c r="E6957" s="544" t="s">
        <v>946</v>
      </c>
      <c r="F6957" s="387">
        <v>4.0</v>
      </c>
      <c r="G6957" s="140">
        <v>900000.0</v>
      </c>
      <c r="H6957" s="74"/>
      <c r="I6957" s="74">
        <f t="shared" si="1"/>
        <v>3600000</v>
      </c>
      <c r="J6957" s="74">
        <f>IF(E6957="SERVICE",I6957-(I6957*50%),Vlookup(E6957,DATABASE!C:Q,10,false)*F6957)</f>
        <v>0</v>
      </c>
      <c r="K6957" s="74">
        <f>VLOOKUP(E6957,DATABASE!C:Q,7,false)</f>
        <v>809000</v>
      </c>
      <c r="L6957" s="74">
        <v>792000.0</v>
      </c>
      <c r="M6957" s="74">
        <f t="shared" si="2"/>
        <v>795000</v>
      </c>
      <c r="N6957" s="74">
        <f t="shared" si="3"/>
        <v>420000</v>
      </c>
      <c r="O6957" s="65" t="str">
        <f>VLOOKUP(E6957,DATABASE!C:Q,8,false)</f>
        <v>IBU</v>
      </c>
      <c r="P6957" s="65">
        <f>VLOOKUP(E6957,DATABASE!C:Q,9,False)</f>
        <v>1</v>
      </c>
      <c r="Q6957" s="93" t="str">
        <f>VLOOKUP(E6957,DATABASE!C:Q,4,false)</f>
        <v>Dunlop</v>
      </c>
      <c r="R6957" s="93" t="str">
        <f>VLOOKUP(E6957,DATABASE!C:Q,11,false)</f>
        <v>Tire</v>
      </c>
    </row>
    <row r="6958" ht="22.5" customHeight="1">
      <c r="A6958" s="49"/>
      <c r="C6958" s="400">
        <v>46062.0</v>
      </c>
      <c r="D6958" s="524">
        <v>285.0</v>
      </c>
      <c r="E6958" s="544" t="s">
        <v>265</v>
      </c>
      <c r="F6958" s="387">
        <v>2.0</v>
      </c>
      <c r="G6958" s="140">
        <v>685000.0</v>
      </c>
      <c r="H6958" s="74"/>
      <c r="I6958" s="74">
        <f t="shared" si="1"/>
        <v>1370000</v>
      </c>
      <c r="J6958" s="74">
        <f>IF(E6958="SERVICE",I6958-(I6958*50%),Vlookup(E6958,DATABASE!C:Q,10,false)*F6958)</f>
        <v>0</v>
      </c>
      <c r="K6958" s="74">
        <f>VLOOKUP(E6958,DATABASE!C:Q,7,false)</f>
        <v>628000</v>
      </c>
      <c r="L6958" s="74">
        <v>600000.0</v>
      </c>
      <c r="M6958" s="74">
        <f t="shared" si="2"/>
        <v>600000</v>
      </c>
      <c r="N6958" s="74">
        <f t="shared" si="3"/>
        <v>170000</v>
      </c>
      <c r="O6958" s="65" t="str">
        <f>VLOOKUP(E6958,DATABASE!C:Q,8,false)</f>
        <v>IBU</v>
      </c>
      <c r="P6958" s="65">
        <f>VLOOKUP(E6958,DATABASE!C:Q,9,False)</f>
        <v>1</v>
      </c>
      <c r="Q6958" s="93" t="str">
        <f>VLOOKUP(E6958,DATABASE!C:Q,4,false)</f>
        <v>Dunlop</v>
      </c>
      <c r="R6958" s="93" t="str">
        <f>VLOOKUP(E6958,DATABASE!C:Q,11,false)</f>
        <v>Tire</v>
      </c>
    </row>
    <row r="6959" ht="22.5" customHeight="1">
      <c r="A6959" s="49"/>
      <c r="C6959" s="400">
        <v>46062.0</v>
      </c>
      <c r="D6959" s="524">
        <v>286.0</v>
      </c>
      <c r="E6959" s="544" t="s">
        <v>781</v>
      </c>
      <c r="F6959" s="387">
        <v>2.0</v>
      </c>
      <c r="G6959" s="140">
        <v>530000.0</v>
      </c>
      <c r="H6959" s="74"/>
      <c r="I6959" s="74">
        <f t="shared" si="1"/>
        <v>1060000</v>
      </c>
      <c r="J6959" s="74">
        <f>IF(E6959="SERVICE",I6959-(I6959*50%),Vlookup(E6959,DATABASE!C:Q,10,false)*F6959)</f>
        <v>0</v>
      </c>
      <c r="K6959" s="74">
        <f>VLOOKUP(E6959,DATABASE!C:Q,7,false)</f>
        <v>470000</v>
      </c>
      <c r="L6959" s="74">
        <v>442500.0</v>
      </c>
      <c r="M6959" s="74">
        <f t="shared" si="2"/>
        <v>445000</v>
      </c>
      <c r="N6959" s="74">
        <f t="shared" si="3"/>
        <v>170000</v>
      </c>
      <c r="O6959" s="65" t="str">
        <f>VLOOKUP(E6959,DATABASE!C:Q,8,false)</f>
        <v>BIAN</v>
      </c>
      <c r="P6959" s="65">
        <f>VLOOKUP(E6959,DATABASE!C:Q,9,False)</f>
        <v>1</v>
      </c>
      <c r="Q6959" s="93" t="str">
        <f>VLOOKUP(E6959,DATABASE!C:Q,4,false)</f>
        <v>GT</v>
      </c>
      <c r="R6959" s="93" t="str">
        <f>VLOOKUP(E6959,DATABASE!C:Q,11,false)</f>
        <v>Tire</v>
      </c>
    </row>
    <row r="6960" ht="22.5" customHeight="1">
      <c r="A6960" s="49"/>
      <c r="C6960" s="400">
        <v>46062.0</v>
      </c>
      <c r="D6960" s="524">
        <v>286.0</v>
      </c>
      <c r="E6960" s="544" t="s">
        <v>250</v>
      </c>
      <c r="F6960" s="387">
        <v>2.0</v>
      </c>
      <c r="G6960" s="140">
        <v>135000.0</v>
      </c>
      <c r="H6960" s="74"/>
      <c r="I6960" s="74">
        <f t="shared" si="1"/>
        <v>270000</v>
      </c>
      <c r="J6960" s="74">
        <f>IF(E6960="SERVICE",I6960-(I6960*50%),Vlookup(E6960,DATABASE!C:Q,10,false)*F6960)</f>
        <v>0</v>
      </c>
      <c r="K6960" s="74">
        <f>VLOOKUP(E6960,DATABASE!C:Q,7,false)</f>
        <v>102000</v>
      </c>
      <c r="L6960" s="74">
        <v>102000.0</v>
      </c>
      <c r="M6960" s="74">
        <f t="shared" si="2"/>
        <v>105000</v>
      </c>
      <c r="N6960" s="74">
        <f t="shared" si="3"/>
        <v>60000</v>
      </c>
      <c r="O6960" s="65" t="str">
        <f>VLOOKUP(E6960,DATABASE!C:Q,8,false)</f>
        <v>BIAN</v>
      </c>
      <c r="P6960" s="65">
        <f>VLOOKUP(E6960,DATABASE!C:Q,9,False)</f>
        <v>1</v>
      </c>
      <c r="Q6960" s="93" t="str">
        <f>VLOOKUP(E6960,DATABASE!C:Q,4,false)</f>
        <v>BD</v>
      </c>
      <c r="R6960" s="93" t="str">
        <f>VLOOKUP(E6960,DATABASE!C:Q,11,false)</f>
        <v>Tire</v>
      </c>
    </row>
    <row r="6961" ht="22.5" customHeight="1">
      <c r="A6961" s="49"/>
      <c r="C6961" s="400">
        <v>46062.0</v>
      </c>
      <c r="D6961" s="524">
        <v>287.0</v>
      </c>
      <c r="E6961" s="544" t="s">
        <v>265</v>
      </c>
      <c r="F6961" s="387">
        <v>2.0</v>
      </c>
      <c r="G6961" s="140">
        <v>685000.0</v>
      </c>
      <c r="H6961" s="74"/>
      <c r="I6961" s="74">
        <f t="shared" si="1"/>
        <v>1370000</v>
      </c>
      <c r="J6961" s="74">
        <f>IF(E6961="SERVICE",I6961-(I6961*50%),Vlookup(E6961,DATABASE!C:Q,10,false)*F6961)</f>
        <v>0</v>
      </c>
      <c r="K6961" s="74">
        <f>VLOOKUP(E6961,DATABASE!C:Q,7,false)</f>
        <v>628000</v>
      </c>
      <c r="L6961" s="74">
        <v>600000.0</v>
      </c>
      <c r="M6961" s="74">
        <f t="shared" si="2"/>
        <v>600000</v>
      </c>
      <c r="N6961" s="74">
        <f t="shared" si="3"/>
        <v>170000</v>
      </c>
      <c r="O6961" s="65" t="str">
        <f>VLOOKUP(E6961,DATABASE!C:Q,8,false)</f>
        <v>IBU</v>
      </c>
      <c r="P6961" s="65">
        <f>VLOOKUP(E6961,DATABASE!C:Q,9,False)</f>
        <v>1</v>
      </c>
      <c r="Q6961" s="93" t="str">
        <f>VLOOKUP(E6961,DATABASE!C:Q,4,false)</f>
        <v>Dunlop</v>
      </c>
      <c r="R6961" s="93" t="str">
        <f>VLOOKUP(E6961,DATABASE!C:Q,11,false)</f>
        <v>Tire</v>
      </c>
    </row>
    <row r="6962" ht="22.5" customHeight="1">
      <c r="A6962" s="49"/>
      <c r="C6962" s="400">
        <v>46062.0</v>
      </c>
      <c r="D6962" s="524">
        <v>288.0</v>
      </c>
      <c r="E6962" s="544" t="s">
        <v>299</v>
      </c>
      <c r="F6962" s="387">
        <v>2.0</v>
      </c>
      <c r="G6962" s="140">
        <v>30000.0</v>
      </c>
      <c r="H6962" s="74"/>
      <c r="I6962" s="74">
        <f t="shared" si="1"/>
        <v>60000</v>
      </c>
      <c r="J6962" s="74">
        <f>IF(E6962="SERVICE",I6962-(I6962*50%),Vlookup(E6962,DATABASE!C:Q,10,false)*F6962)</f>
        <v>0</v>
      </c>
      <c r="K6962" s="74">
        <f>VLOOKUP(E6962,DATABASE!C:Q,7,false)</f>
        <v>10000</v>
      </c>
      <c r="L6962" s="74">
        <v>10000.0</v>
      </c>
      <c r="M6962" s="74">
        <f t="shared" si="2"/>
        <v>10000</v>
      </c>
      <c r="N6962" s="74">
        <f t="shared" si="3"/>
        <v>40000</v>
      </c>
      <c r="O6962" s="65" t="str">
        <f>VLOOKUP(E6962,DATABASE!C:Q,8,false)</f>
        <v>BIAN</v>
      </c>
      <c r="P6962" s="65">
        <f>VLOOKUP(E6962,DATABASE!C:Q,9,False)</f>
        <v>0</v>
      </c>
      <c r="Q6962" s="93" t="str">
        <f>VLOOKUP(E6962,DATABASE!C:Q,4,false)</f>
        <v>Balancing</v>
      </c>
      <c r="R6962" s="93" t="str">
        <f>VLOOKUP(E6962,DATABASE!C:Q,11,false)</f>
        <v>COMPLEMENTARY</v>
      </c>
    </row>
    <row r="6963" ht="22.5" customHeight="1">
      <c r="A6963" s="49"/>
      <c r="C6963" s="400">
        <v>46062.0</v>
      </c>
      <c r="D6963" s="524">
        <v>289.0</v>
      </c>
      <c r="E6963" s="544" t="s">
        <v>932</v>
      </c>
      <c r="F6963" s="387">
        <v>1.0</v>
      </c>
      <c r="G6963" s="140">
        <v>680000.0</v>
      </c>
      <c r="H6963" s="74"/>
      <c r="I6963" s="74">
        <f t="shared" si="1"/>
        <v>680000</v>
      </c>
      <c r="J6963" s="74">
        <f>IF(E6963="SERVICE",I6963-(I6963*50%),Vlookup(E6963,DATABASE!C:Q,10,false)*F6963)</f>
        <v>0</v>
      </c>
      <c r="K6963" s="74">
        <f>VLOOKUP(E6963,DATABASE!C:Q,7,false)</f>
        <v>601000</v>
      </c>
      <c r="L6963" s="74">
        <v>595000.0</v>
      </c>
      <c r="M6963" s="74">
        <f t="shared" si="2"/>
        <v>595000</v>
      </c>
      <c r="N6963" s="74">
        <f t="shared" si="3"/>
        <v>85000</v>
      </c>
      <c r="O6963" s="65" t="str">
        <f>VLOOKUP(E6963,DATABASE!C:Q,8,false)</f>
        <v>IBU</v>
      </c>
      <c r="P6963" s="65">
        <f>VLOOKUP(E6963,DATABASE!C:Q,9,False)</f>
        <v>1</v>
      </c>
      <c r="Q6963" s="93" t="str">
        <f>VLOOKUP(E6963,DATABASE!C:Q,4,false)</f>
        <v>Dunlop</v>
      </c>
      <c r="R6963" s="93" t="str">
        <f>VLOOKUP(E6963,DATABASE!C:Q,11,false)</f>
        <v>Tire</v>
      </c>
    </row>
    <row r="6964" ht="22.5" customHeight="1">
      <c r="A6964" s="49"/>
      <c r="C6964" s="400">
        <v>46062.0</v>
      </c>
      <c r="D6964" s="69" t="s">
        <v>2704</v>
      </c>
      <c r="E6964" s="544" t="s">
        <v>2191</v>
      </c>
      <c r="F6964" s="387">
        <v>1.0</v>
      </c>
      <c r="G6964" s="140">
        <v>400000.0</v>
      </c>
      <c r="H6964" s="74"/>
      <c r="I6964" s="74">
        <f t="shared" si="1"/>
        <v>400000</v>
      </c>
      <c r="J6964" s="74">
        <f>IF(E6964="SERVICE",I6964-(I6964*50%),Vlookup(E6964,DATABASE!C:Q,10,false)*F6964)</f>
        <v>0</v>
      </c>
      <c r="K6964" s="74">
        <f>VLOOKUP(E6964,DATABASE!C:Q,7,false)</f>
        <v>422900</v>
      </c>
      <c r="L6964" s="74">
        <v>377951.0</v>
      </c>
      <c r="M6964" s="74">
        <f t="shared" si="2"/>
        <v>380000</v>
      </c>
      <c r="N6964" s="74">
        <f t="shared" si="3"/>
        <v>20000</v>
      </c>
      <c r="O6964" s="65" t="str">
        <f>VLOOKUP(E6964,DATABASE!C:Q,8,false)</f>
        <v>NON</v>
      </c>
      <c r="P6964" s="65">
        <f>VLOOKUP(E6964,DATABASE!C:Q,9,False)</f>
        <v>0</v>
      </c>
      <c r="Q6964" s="93" t="str">
        <f>VLOOKUP(E6964,DATABASE!C:Q,4,false)</f>
        <v>Shell</v>
      </c>
      <c r="R6964" s="93" t="str">
        <f>VLOOKUP(E6964,DATABASE!C:Q,11,false)</f>
        <v>OIL</v>
      </c>
    </row>
    <row r="6965" ht="22.5" customHeight="1">
      <c r="A6965" s="49"/>
      <c r="C6965" s="400">
        <v>46062.0</v>
      </c>
      <c r="D6965" s="69" t="s">
        <v>2704</v>
      </c>
      <c r="E6965" s="544" t="s">
        <v>298</v>
      </c>
      <c r="F6965" s="387">
        <v>1.0</v>
      </c>
      <c r="G6965" s="140">
        <v>25000.0</v>
      </c>
      <c r="H6965" s="74"/>
      <c r="I6965" s="74">
        <f t="shared" si="1"/>
        <v>25000</v>
      </c>
      <c r="J6965" s="74">
        <f>IF(E6965="SERVICE",I6965-(I6965*50%),Vlookup(E6965,DATABASE!C:Q,10,false)*F6965)</f>
        <v>0</v>
      </c>
      <c r="K6965" s="74">
        <f>VLOOKUP(E6965,DATABASE!C:Q,7,false)</f>
        <v>19200</v>
      </c>
      <c r="L6965" s="74">
        <v>19200.0</v>
      </c>
      <c r="M6965" s="74">
        <f t="shared" si="2"/>
        <v>20000</v>
      </c>
      <c r="N6965" s="74">
        <f t="shared" si="3"/>
        <v>5000</v>
      </c>
      <c r="O6965" s="65" t="str">
        <f>VLOOKUP(E6965,DATABASE!C:Q,8,false)</f>
        <v>BIAN</v>
      </c>
      <c r="P6965" s="65">
        <f>VLOOKUP(E6965,DATABASE!C:Q,9,False)</f>
        <v>0</v>
      </c>
      <c r="Q6965" s="93" t="str">
        <f>VLOOKUP(E6965,DATABASE!C:Q,4,false)</f>
        <v>Aspira</v>
      </c>
      <c r="R6965" s="93" t="str">
        <f>VLOOKUP(E6965,DATABASE!C:Q,11,false)</f>
        <v>COMPLEMENTARY</v>
      </c>
    </row>
    <row r="6966" ht="22.5" customHeight="1">
      <c r="A6966" s="49"/>
      <c r="C6966" s="400">
        <v>46063.0</v>
      </c>
      <c r="D6966" s="524">
        <v>291.0</v>
      </c>
      <c r="E6966" s="544" t="s">
        <v>897</v>
      </c>
      <c r="F6966" s="387">
        <v>2.0</v>
      </c>
      <c r="G6966" s="140">
        <v>1600000.0</v>
      </c>
      <c r="H6966" s="140">
        <v>20000.0</v>
      </c>
      <c r="I6966" s="74">
        <f t="shared" si="1"/>
        <v>3160000</v>
      </c>
      <c r="J6966" s="74">
        <f>IF(E6966="SERVICE",I6966-(I6966*50%),Vlookup(E6966,DATABASE!C:Q,10,false)*F6966)</f>
        <v>0</v>
      </c>
      <c r="K6966" s="74">
        <f>VLOOKUP(E6966,DATABASE!C:Q,7,false)</f>
        <v>1560000</v>
      </c>
      <c r="L6966" s="140">
        <v>1480000.0</v>
      </c>
      <c r="M6966" s="74">
        <f t="shared" si="2"/>
        <v>1480000</v>
      </c>
      <c r="N6966" s="74">
        <f t="shared" si="3"/>
        <v>200000</v>
      </c>
      <c r="O6966" s="65" t="str">
        <f>VLOOKUP(E6966,DATABASE!C:Q,8,false)</f>
        <v>BIAN</v>
      </c>
      <c r="P6966" s="65">
        <f>VLOOKUP(E6966,DATABASE!C:Q,9,False)</f>
        <v>1</v>
      </c>
      <c r="Q6966" s="93" t="str">
        <f>VLOOKUP(E6966,DATABASE!C:Q,4,false)</f>
        <v>GT</v>
      </c>
      <c r="R6966" s="93" t="str">
        <f>VLOOKUP(E6966,DATABASE!C:Q,11,false)</f>
        <v>Tire</v>
      </c>
    </row>
    <row r="6967" ht="22.5" customHeight="1">
      <c r="A6967" s="49"/>
      <c r="C6967" s="400">
        <v>46063.0</v>
      </c>
      <c r="D6967" s="524">
        <v>292.0</v>
      </c>
      <c r="E6967" s="544" t="s">
        <v>299</v>
      </c>
      <c r="F6967" s="387">
        <v>2.0</v>
      </c>
      <c r="G6967" s="140">
        <v>30000.0</v>
      </c>
      <c r="H6967" s="74"/>
      <c r="I6967" s="74">
        <f t="shared" si="1"/>
        <v>60000</v>
      </c>
      <c r="J6967" s="74">
        <f>IF(E6967="SERVICE",I6967-(I6967*50%),Vlookup(E6967,DATABASE!C:Q,10,false)*F6967)</f>
        <v>0</v>
      </c>
      <c r="K6967" s="74">
        <f>VLOOKUP(E6967,DATABASE!C:Q,7,false)</f>
        <v>10000</v>
      </c>
      <c r="L6967" s="74">
        <v>10000.0</v>
      </c>
      <c r="M6967" s="74">
        <f t="shared" si="2"/>
        <v>10000</v>
      </c>
      <c r="N6967" s="74">
        <f t="shared" si="3"/>
        <v>40000</v>
      </c>
      <c r="O6967" s="65" t="str">
        <f>VLOOKUP(E6967,DATABASE!C:Q,8,false)</f>
        <v>BIAN</v>
      </c>
      <c r="P6967" s="65">
        <f>VLOOKUP(E6967,DATABASE!C:Q,9,False)</f>
        <v>0</v>
      </c>
      <c r="Q6967" s="93" t="str">
        <f>VLOOKUP(E6967,DATABASE!C:Q,4,false)</f>
        <v>Balancing</v>
      </c>
      <c r="R6967" s="93" t="str">
        <f>VLOOKUP(E6967,DATABASE!C:Q,11,false)</f>
        <v>COMPLEMENTARY</v>
      </c>
    </row>
    <row r="6968" ht="22.5" customHeight="1">
      <c r="A6968" s="49"/>
      <c r="C6968" s="400">
        <v>46063.0</v>
      </c>
      <c r="D6968" s="524">
        <v>293.0</v>
      </c>
      <c r="E6968" s="544" t="s">
        <v>268</v>
      </c>
      <c r="F6968" s="387">
        <v>2.0</v>
      </c>
      <c r="G6968" s="140">
        <v>710000.0</v>
      </c>
      <c r="H6968" s="74"/>
      <c r="I6968" s="74">
        <f t="shared" si="1"/>
        <v>1420000</v>
      </c>
      <c r="J6968" s="74">
        <f>IF(E6968="SERVICE",I6968-(I6968*50%),Vlookup(E6968,DATABASE!C:Q,10,false)*F6968)</f>
        <v>0</v>
      </c>
      <c r="K6968" s="74">
        <f>VLOOKUP(E6968,DATABASE!C:Q,7,false)</f>
        <v>653000</v>
      </c>
      <c r="L6968" s="74">
        <v>622000.0</v>
      </c>
      <c r="M6968" s="74">
        <f t="shared" si="2"/>
        <v>625000</v>
      </c>
      <c r="N6968" s="74">
        <f t="shared" si="3"/>
        <v>170000</v>
      </c>
      <c r="O6968" s="65" t="str">
        <f>VLOOKUP(E6968,DATABASE!C:Q,8,false)</f>
        <v>IBU</v>
      </c>
      <c r="P6968" s="65">
        <f>VLOOKUP(E6968,DATABASE!C:Q,9,False)</f>
        <v>1</v>
      </c>
      <c r="Q6968" s="93" t="str">
        <f>VLOOKUP(E6968,DATABASE!C:Q,4,false)</f>
        <v>Dunlop</v>
      </c>
      <c r="R6968" s="93" t="str">
        <f>VLOOKUP(E6968,DATABASE!C:Q,11,false)</f>
        <v>Tire</v>
      </c>
    </row>
    <row r="6969" ht="22.5" customHeight="1">
      <c r="A6969" s="49"/>
      <c r="C6969" s="400">
        <v>46063.0</v>
      </c>
      <c r="D6969" s="524">
        <v>295.0</v>
      </c>
      <c r="E6969" s="544" t="s">
        <v>955</v>
      </c>
      <c r="F6969" s="387">
        <v>1.0</v>
      </c>
      <c r="G6969" s="140">
        <v>770000.0</v>
      </c>
      <c r="H6969" s="74"/>
      <c r="I6969" s="74">
        <f t="shared" si="1"/>
        <v>770000</v>
      </c>
      <c r="J6969" s="74">
        <f>IF(E6969="SERVICE",I6969-(I6969*50%),Vlookup(E6969,DATABASE!C:Q,10,false)*F6969)</f>
        <v>0</v>
      </c>
      <c r="K6969" s="74">
        <f>VLOOKUP(E6969,DATABASE!C:Q,7,false)</f>
        <v>712000</v>
      </c>
      <c r="L6969" s="74">
        <v>674000.0</v>
      </c>
      <c r="M6969" s="74">
        <f t="shared" si="2"/>
        <v>675000</v>
      </c>
      <c r="N6969" s="74">
        <f t="shared" si="3"/>
        <v>95000</v>
      </c>
      <c r="O6969" s="65" t="str">
        <f>VLOOKUP(E6969,DATABASE!C:Q,8,false)</f>
        <v>IBU</v>
      </c>
      <c r="P6969" s="65">
        <f>VLOOKUP(E6969,DATABASE!C:Q,9,False)</f>
        <v>1</v>
      </c>
      <c r="Q6969" s="93" t="str">
        <f>VLOOKUP(E6969,DATABASE!C:Q,4,false)</f>
        <v>Dunlop</v>
      </c>
      <c r="R6969" s="93" t="str">
        <f>VLOOKUP(E6969,DATABASE!C:Q,11,false)</f>
        <v>Tire</v>
      </c>
    </row>
    <row r="6970" ht="22.5" customHeight="1">
      <c r="A6970" s="49"/>
      <c r="C6970" s="400">
        <v>46063.0</v>
      </c>
      <c r="D6970" s="524">
        <v>296.0</v>
      </c>
      <c r="E6970" s="544" t="s">
        <v>271</v>
      </c>
      <c r="F6970" s="387">
        <v>1.0</v>
      </c>
      <c r="G6970" s="140">
        <v>630000.0</v>
      </c>
      <c r="H6970" s="74"/>
      <c r="I6970" s="74">
        <f t="shared" si="1"/>
        <v>630000</v>
      </c>
      <c r="J6970" s="74">
        <f>IF(E6970="SERVICE",I6970-(I6970*50%),Vlookup(E6970,DATABASE!C:Q,10,false)*F6970)</f>
        <v>0</v>
      </c>
      <c r="K6970" s="74">
        <f>VLOOKUP(E6970,DATABASE!C:Q,7,false)</f>
        <v>570000</v>
      </c>
      <c r="L6970" s="74">
        <v>539000.0</v>
      </c>
      <c r="M6970" s="74">
        <f t="shared" si="2"/>
        <v>540000</v>
      </c>
      <c r="N6970" s="74">
        <f t="shared" si="3"/>
        <v>90000</v>
      </c>
      <c r="O6970" s="65" t="str">
        <f>VLOOKUP(E6970,DATABASE!C:Q,8,false)</f>
        <v>IBU</v>
      </c>
      <c r="P6970" s="65">
        <f>VLOOKUP(E6970,DATABASE!C:Q,9,False)</f>
        <v>1</v>
      </c>
      <c r="Q6970" s="93" t="str">
        <f>VLOOKUP(E6970,DATABASE!C:Q,4,false)</f>
        <v>Dunlop</v>
      </c>
      <c r="R6970" s="93" t="str">
        <f>VLOOKUP(E6970,DATABASE!C:Q,11,false)</f>
        <v>Tire</v>
      </c>
    </row>
    <row r="6971" ht="22.5" customHeight="1">
      <c r="A6971" s="49"/>
      <c r="C6971" s="400">
        <v>46063.0</v>
      </c>
      <c r="D6971" s="524">
        <v>297.0</v>
      </c>
      <c r="E6971" s="544" t="s">
        <v>856</v>
      </c>
      <c r="F6971" s="387">
        <v>2.0</v>
      </c>
      <c r="G6971" s="140">
        <v>670000.0</v>
      </c>
      <c r="H6971" s="74"/>
      <c r="I6971" s="74">
        <f t="shared" si="1"/>
        <v>1340000</v>
      </c>
      <c r="J6971" s="74">
        <f>IF(E6971="SERVICE",I6971-(I6971*50%),Vlookup(E6971,DATABASE!C:Q,10,false)*F6971)</f>
        <v>0</v>
      </c>
      <c r="K6971" s="74">
        <f>VLOOKUP(E6971,DATABASE!C:Q,7,false)</f>
        <v>615300</v>
      </c>
      <c r="L6971" s="74">
        <v>581120.0</v>
      </c>
      <c r="M6971" s="74">
        <f t="shared" si="2"/>
        <v>585000</v>
      </c>
      <c r="N6971" s="74">
        <f t="shared" si="3"/>
        <v>170000</v>
      </c>
      <c r="O6971" s="65" t="str">
        <f>VLOOKUP(E6971,DATABASE!C:Q,8,false)</f>
        <v>BIAN</v>
      </c>
      <c r="P6971" s="65">
        <f>VLOOKUP(E6971,DATABASE!C:Q,9,False)</f>
        <v>1</v>
      </c>
      <c r="Q6971" s="93" t="str">
        <f>VLOOKUP(E6971,DATABASE!C:Q,4,false)</f>
        <v>GT</v>
      </c>
      <c r="R6971" s="93" t="str">
        <f>VLOOKUP(E6971,DATABASE!C:Q,11,false)</f>
        <v>Tire</v>
      </c>
    </row>
    <row r="6972" ht="22.5" customHeight="1">
      <c r="A6972" s="49"/>
      <c r="C6972" s="400">
        <v>46063.0</v>
      </c>
      <c r="D6972" s="524">
        <v>298.0</v>
      </c>
      <c r="E6972" s="544" t="s">
        <v>791</v>
      </c>
      <c r="F6972" s="387">
        <v>2.0</v>
      </c>
      <c r="G6972" s="140">
        <v>1280000.0</v>
      </c>
      <c r="H6972" s="140">
        <v>20000.0</v>
      </c>
      <c r="I6972" s="74">
        <f t="shared" si="1"/>
        <v>2520000</v>
      </c>
      <c r="J6972" s="74">
        <f>IF(E6972="SERVICE",I6972-(I6972*50%),Vlookup(E6972,DATABASE!C:Q,10,false)*F6972)</f>
        <v>0</v>
      </c>
      <c r="K6972" s="74">
        <f>VLOOKUP(E6972,DATABASE!C:Q,7,false)</f>
        <v>1210000</v>
      </c>
      <c r="L6972" s="140">
        <v>1160000.0</v>
      </c>
      <c r="M6972" s="74">
        <f t="shared" si="2"/>
        <v>1160000</v>
      </c>
      <c r="N6972" s="74">
        <f t="shared" si="3"/>
        <v>200000</v>
      </c>
      <c r="O6972" s="65" t="str">
        <f>VLOOKUP(E6972,DATABASE!C:Q,8,false)</f>
        <v>BIAN</v>
      </c>
      <c r="P6972" s="65">
        <f>VLOOKUP(E6972,DATABASE!C:Q,9,False)</f>
        <v>1</v>
      </c>
      <c r="Q6972" s="93" t="str">
        <f>VLOOKUP(E6972,DATABASE!C:Q,4,false)</f>
        <v>GT</v>
      </c>
      <c r="R6972" s="93" t="str">
        <f>VLOOKUP(E6972,DATABASE!C:Q,11,false)</f>
        <v>Tire</v>
      </c>
    </row>
    <row r="6973" ht="22.5" customHeight="1">
      <c r="A6973" s="49"/>
      <c r="C6973" s="400">
        <v>46063.0</v>
      </c>
      <c r="D6973" s="69" t="s">
        <v>2705</v>
      </c>
      <c r="E6973" s="544" t="s">
        <v>263</v>
      </c>
      <c r="F6973" s="387">
        <v>1.0</v>
      </c>
      <c r="G6973" s="140">
        <v>320000.0</v>
      </c>
      <c r="H6973" s="74"/>
      <c r="I6973" s="74">
        <f t="shared" si="1"/>
        <v>320000</v>
      </c>
      <c r="J6973" s="74">
        <f>IF(E6973="SERVICE",I6973-(I6973*50%),Vlookup(E6973,DATABASE!C:Q,10,false)*F6973)</f>
        <v>0</v>
      </c>
      <c r="K6973" s="74">
        <f>VLOOKUP(E6973,DATABASE!C:Q,7,false)</f>
        <v>334916</v>
      </c>
      <c r="L6973" s="74">
        <v>287688.0</v>
      </c>
      <c r="M6973" s="74">
        <f t="shared" si="2"/>
        <v>290000</v>
      </c>
      <c r="N6973" s="74">
        <f t="shared" si="3"/>
        <v>30000</v>
      </c>
      <c r="O6973" s="65" t="str">
        <f>VLOOKUP(E6973,DATABASE!C:Q,8,false)</f>
        <v>NON</v>
      </c>
      <c r="P6973" s="65">
        <f>VLOOKUP(E6973,DATABASE!C:Q,9,False)</f>
        <v>0</v>
      </c>
      <c r="Q6973" s="93" t="str">
        <f>VLOOKUP(E6973,DATABASE!C:Q,4,false)</f>
        <v>Shell</v>
      </c>
      <c r="R6973" s="93" t="str">
        <f>VLOOKUP(E6973,DATABASE!C:Q,11,false)</f>
        <v>OIL</v>
      </c>
    </row>
    <row r="6974" ht="22.5" customHeight="1">
      <c r="A6974" s="49"/>
      <c r="C6974" s="400">
        <v>46063.0</v>
      </c>
      <c r="D6974" s="69" t="s">
        <v>2705</v>
      </c>
      <c r="E6974" s="544" t="s">
        <v>298</v>
      </c>
      <c r="F6974" s="387">
        <v>1.0</v>
      </c>
      <c r="G6974" s="140">
        <v>25000.0</v>
      </c>
      <c r="H6974" s="74"/>
      <c r="I6974" s="74">
        <f t="shared" si="1"/>
        <v>25000</v>
      </c>
      <c r="J6974" s="74">
        <f>IF(E6974="SERVICE",I6974-(I6974*50%),Vlookup(E6974,DATABASE!C:Q,10,false)*F6974)</f>
        <v>0</v>
      </c>
      <c r="K6974" s="74">
        <f>VLOOKUP(E6974,DATABASE!C:Q,7,false)</f>
        <v>19200</v>
      </c>
      <c r="L6974" s="74">
        <v>19200.0</v>
      </c>
      <c r="M6974" s="74">
        <f t="shared" si="2"/>
        <v>20000</v>
      </c>
      <c r="N6974" s="74">
        <f t="shared" si="3"/>
        <v>5000</v>
      </c>
      <c r="O6974" s="65" t="str">
        <f>VLOOKUP(E6974,DATABASE!C:Q,8,false)</f>
        <v>BIAN</v>
      </c>
      <c r="P6974" s="65">
        <f>VLOOKUP(E6974,DATABASE!C:Q,9,False)</f>
        <v>0</v>
      </c>
      <c r="Q6974" s="93" t="str">
        <f>VLOOKUP(E6974,DATABASE!C:Q,4,false)</f>
        <v>Aspira</v>
      </c>
      <c r="R6974" s="93" t="str">
        <f>VLOOKUP(E6974,DATABASE!C:Q,11,false)</f>
        <v>COMPLEMENTARY</v>
      </c>
    </row>
    <row r="6975" ht="22.5" customHeight="1">
      <c r="A6975" s="49"/>
      <c r="C6975" s="400">
        <v>46064.0</v>
      </c>
      <c r="D6975" s="524">
        <v>300.0</v>
      </c>
      <c r="E6975" s="544" t="s">
        <v>572</v>
      </c>
      <c r="F6975" s="387">
        <v>1.0</v>
      </c>
      <c r="G6975" s="140">
        <v>1370000.0</v>
      </c>
      <c r="H6975" s="140">
        <v>20000.0</v>
      </c>
      <c r="I6975" s="74">
        <f t="shared" si="1"/>
        <v>1350000</v>
      </c>
      <c r="J6975" s="74">
        <f>IF(E6975="SERVICE",I6975-(I6975*50%),Vlookup(E6975,DATABASE!C:Q,10,false)*F6975)</f>
        <v>0</v>
      </c>
      <c r="K6975" s="74">
        <f>VLOOKUP(E6975,DATABASE!C:Q,7,false)</f>
        <v>1265000</v>
      </c>
      <c r="L6975" s="74">
        <v>1245000.0</v>
      </c>
      <c r="M6975" s="74">
        <f t="shared" si="2"/>
        <v>1245000</v>
      </c>
      <c r="N6975" s="74">
        <f t="shared" si="3"/>
        <v>105000</v>
      </c>
      <c r="O6975" s="65" t="str">
        <f>VLOOKUP(E6975,DATABASE!C:Q,8,false)</f>
        <v>IBU</v>
      </c>
      <c r="P6975" s="65">
        <f>VLOOKUP(E6975,DATABASE!C:Q,9,False)</f>
        <v>1</v>
      </c>
      <c r="Q6975" s="93" t="str">
        <f>VLOOKUP(E6975,DATABASE!C:Q,4,false)</f>
        <v>Bridgestone</v>
      </c>
      <c r="R6975" s="93" t="str">
        <f>VLOOKUP(E6975,DATABASE!C:Q,11,false)</f>
        <v>Tire</v>
      </c>
    </row>
    <row r="6976" ht="22.5" customHeight="1">
      <c r="A6976" s="49"/>
      <c r="C6976" s="400">
        <v>46064.0</v>
      </c>
      <c r="D6976" s="524">
        <v>301.0</v>
      </c>
      <c r="E6976" s="544" t="s">
        <v>275</v>
      </c>
      <c r="F6976" s="387">
        <v>1.0</v>
      </c>
      <c r="G6976" s="140">
        <v>830000.0</v>
      </c>
      <c r="H6976" s="74"/>
      <c r="I6976" s="74">
        <f t="shared" si="1"/>
        <v>830000</v>
      </c>
      <c r="J6976" s="74">
        <f>IF(E6976="SERVICE",I6976-(I6976*50%),Vlookup(E6976,DATABASE!C:Q,10,false)*F6976)</f>
        <v>0</v>
      </c>
      <c r="K6976" s="74">
        <f>VLOOKUP(E6976,DATABASE!C:Q,7,false)</f>
        <v>782000</v>
      </c>
      <c r="L6976" s="74">
        <v>745000.0</v>
      </c>
      <c r="M6976" s="74">
        <f t="shared" si="2"/>
        <v>745000</v>
      </c>
      <c r="N6976" s="74">
        <f t="shared" si="3"/>
        <v>85000</v>
      </c>
      <c r="O6976" s="65" t="str">
        <f>VLOOKUP(E6976,DATABASE!C:Q,8,false)</f>
        <v>IBU</v>
      </c>
      <c r="P6976" s="65">
        <f>VLOOKUP(E6976,DATABASE!C:Q,9,False)</f>
        <v>1</v>
      </c>
      <c r="Q6976" s="93" t="str">
        <f>VLOOKUP(E6976,DATABASE!C:Q,4,false)</f>
        <v>Dunlop</v>
      </c>
      <c r="R6976" s="93" t="str">
        <f>VLOOKUP(E6976,DATABASE!C:Q,11,false)</f>
        <v>Tire</v>
      </c>
    </row>
    <row r="6977" ht="22.5" customHeight="1">
      <c r="A6977" s="49"/>
      <c r="C6977" s="400">
        <v>46064.0</v>
      </c>
      <c r="D6977" s="524">
        <v>303.0</v>
      </c>
      <c r="E6977" s="544" t="s">
        <v>932</v>
      </c>
      <c r="F6977" s="387">
        <v>2.0</v>
      </c>
      <c r="G6977" s="140">
        <v>680000.0</v>
      </c>
      <c r="H6977" s="74"/>
      <c r="I6977" s="74">
        <f t="shared" si="1"/>
        <v>1360000</v>
      </c>
      <c r="J6977" s="74">
        <f>IF(E6977="SERVICE",I6977-(I6977*50%),Vlookup(E6977,DATABASE!C:Q,10,false)*F6977)</f>
        <v>0</v>
      </c>
      <c r="K6977" s="74">
        <f>VLOOKUP(E6977,DATABASE!C:Q,7,false)</f>
        <v>601000</v>
      </c>
      <c r="L6977" s="74">
        <v>595000.0</v>
      </c>
      <c r="M6977" s="74">
        <f t="shared" si="2"/>
        <v>595000</v>
      </c>
      <c r="N6977" s="74">
        <f t="shared" si="3"/>
        <v>170000</v>
      </c>
      <c r="O6977" s="65" t="str">
        <f>VLOOKUP(E6977,DATABASE!C:Q,8,false)</f>
        <v>IBU</v>
      </c>
      <c r="P6977" s="65">
        <f>VLOOKUP(E6977,DATABASE!C:Q,9,False)</f>
        <v>1</v>
      </c>
      <c r="Q6977" s="93" t="str">
        <f>VLOOKUP(E6977,DATABASE!C:Q,4,false)</f>
        <v>Dunlop</v>
      </c>
      <c r="R6977" s="93" t="str">
        <f>VLOOKUP(E6977,DATABASE!C:Q,11,false)</f>
        <v>Tire</v>
      </c>
      <c r="Y6977" s="13" t="s">
        <v>2706</v>
      </c>
    </row>
    <row r="6978" ht="22.5" customHeight="1">
      <c r="A6978" s="49"/>
      <c r="C6978" s="400">
        <v>46064.0</v>
      </c>
      <c r="D6978" s="524">
        <v>304.0</v>
      </c>
      <c r="E6978" s="544" t="s">
        <v>268</v>
      </c>
      <c r="F6978" s="387">
        <v>2.0</v>
      </c>
      <c r="G6978" s="140">
        <v>710000.0</v>
      </c>
      <c r="H6978" s="74"/>
      <c r="I6978" s="74">
        <f t="shared" si="1"/>
        <v>1420000</v>
      </c>
      <c r="J6978" s="74">
        <f>IF(E6978="SERVICE",I6978-(I6978*50%),Vlookup(E6978,DATABASE!C:Q,10,false)*F6978)</f>
        <v>0</v>
      </c>
      <c r="K6978" s="74">
        <f>VLOOKUP(E6978,DATABASE!C:Q,7,false)</f>
        <v>653000</v>
      </c>
      <c r="L6978" s="74">
        <v>622000.0</v>
      </c>
      <c r="M6978" s="74">
        <f t="shared" si="2"/>
        <v>625000</v>
      </c>
      <c r="N6978" s="74">
        <f t="shared" si="3"/>
        <v>170000</v>
      </c>
      <c r="O6978" s="65" t="str">
        <f>VLOOKUP(E6978,DATABASE!C:Q,8,false)</f>
        <v>IBU</v>
      </c>
      <c r="P6978" s="65">
        <f>VLOOKUP(E6978,DATABASE!C:Q,9,False)</f>
        <v>1</v>
      </c>
      <c r="Q6978" s="93" t="str">
        <f>VLOOKUP(E6978,DATABASE!C:Q,4,false)</f>
        <v>Dunlop</v>
      </c>
      <c r="R6978" s="93" t="str">
        <f>VLOOKUP(E6978,DATABASE!C:Q,11,false)</f>
        <v>Tire</v>
      </c>
    </row>
    <row r="6979" ht="22.5" customHeight="1">
      <c r="A6979" s="49"/>
      <c r="C6979" s="400">
        <v>46064.0</v>
      </c>
      <c r="D6979" s="524">
        <v>304.0</v>
      </c>
      <c r="E6979" s="544" t="s">
        <v>299</v>
      </c>
      <c r="F6979" s="387">
        <v>2.0</v>
      </c>
      <c r="G6979" s="140">
        <v>30000.0</v>
      </c>
      <c r="H6979" s="74"/>
      <c r="I6979" s="74">
        <f t="shared" si="1"/>
        <v>60000</v>
      </c>
      <c r="J6979" s="74">
        <f>IF(E6979="SERVICE",I6979-(I6979*50%),Vlookup(E6979,DATABASE!C:Q,10,false)*F6979)</f>
        <v>0</v>
      </c>
      <c r="K6979" s="74">
        <f>VLOOKUP(E6979,DATABASE!C:Q,7,false)</f>
        <v>10000</v>
      </c>
      <c r="L6979" s="74">
        <v>10000.0</v>
      </c>
      <c r="M6979" s="74">
        <f t="shared" si="2"/>
        <v>10000</v>
      </c>
      <c r="N6979" s="74">
        <f t="shared" si="3"/>
        <v>40000</v>
      </c>
      <c r="O6979" s="65" t="str">
        <f>VLOOKUP(E6979,DATABASE!C:Q,8,false)</f>
        <v>BIAN</v>
      </c>
      <c r="P6979" s="65">
        <f>VLOOKUP(E6979,DATABASE!C:Q,9,False)</f>
        <v>0</v>
      </c>
      <c r="Q6979" s="93" t="str">
        <f>VLOOKUP(E6979,DATABASE!C:Q,4,false)</f>
        <v>Balancing</v>
      </c>
      <c r="R6979" s="93" t="str">
        <f>VLOOKUP(E6979,DATABASE!C:Q,11,false)</f>
        <v>COMPLEMENTARY</v>
      </c>
    </row>
    <row r="6980" ht="22.5" customHeight="1">
      <c r="A6980" s="49"/>
      <c r="C6980" s="400">
        <v>46064.0</v>
      </c>
      <c r="D6980" s="524">
        <v>304.0</v>
      </c>
      <c r="E6980" s="544" t="s">
        <v>256</v>
      </c>
      <c r="F6980" s="387">
        <v>1.0</v>
      </c>
      <c r="G6980" s="140">
        <v>150000.0</v>
      </c>
      <c r="H6980" s="140">
        <v>30000.0</v>
      </c>
      <c r="I6980" s="74">
        <f t="shared" si="1"/>
        <v>120000</v>
      </c>
      <c r="J6980" s="74">
        <f>IF(E6980="SERVICE",I6980-(I6980*50%),Vlookup(E6980,DATABASE!C:Q,10,false)*F6980)</f>
        <v>10000</v>
      </c>
      <c r="K6980" s="74">
        <f>VLOOKUP(E6980,DATABASE!C:Q,7,false)</f>
        <v>0</v>
      </c>
      <c r="L6980" s="74">
        <v>0.0</v>
      </c>
      <c r="M6980" s="74">
        <f t="shared" si="2"/>
        <v>0</v>
      </c>
      <c r="N6980" s="74">
        <f t="shared" si="3"/>
        <v>110000</v>
      </c>
      <c r="O6980" s="65" t="str">
        <f>VLOOKUP(E6980,DATABASE!C:Q,8,false)</f>
        <v>IBU</v>
      </c>
      <c r="P6980" s="65">
        <f>VLOOKUP(E6980,DATABASE!C:Q,9,False)</f>
        <v>0</v>
      </c>
      <c r="Q6980" s="93" t="str">
        <f>VLOOKUP(E6980,DATABASE!C:Q,4,false)</f>
        <v>SPOORING</v>
      </c>
      <c r="R6980" s="93" t="str">
        <f>VLOOKUP(E6980,DATABASE!C:Q,11,false)</f>
        <v>SERVICE</v>
      </c>
    </row>
    <row r="6981" ht="22.5" customHeight="1">
      <c r="A6981" s="49"/>
      <c r="C6981" s="400">
        <v>46064.0</v>
      </c>
      <c r="D6981" s="524">
        <v>304.0</v>
      </c>
      <c r="E6981" s="544" t="s">
        <v>301</v>
      </c>
      <c r="F6981" s="387">
        <v>1.0</v>
      </c>
      <c r="G6981" s="140">
        <v>250000.0</v>
      </c>
      <c r="H6981" s="74"/>
      <c r="I6981" s="74">
        <f t="shared" si="1"/>
        <v>250000</v>
      </c>
      <c r="J6981" s="74">
        <f>IF(E6981="SERVICE",I6981-(I6981*50%),Vlookup(E6981,DATABASE!C:Q,10,false)*F6981)</f>
        <v>75000</v>
      </c>
      <c r="K6981" s="74">
        <f>VLOOKUP(E6981,DATABASE!C:Q,7,false)</f>
        <v>75000</v>
      </c>
      <c r="L6981" s="74">
        <v>75000.0</v>
      </c>
      <c r="M6981" s="74">
        <f t="shared" si="2"/>
        <v>75000</v>
      </c>
      <c r="N6981" s="74">
        <f t="shared" si="3"/>
        <v>100000</v>
      </c>
      <c r="O6981" s="65" t="str">
        <f>VLOOKUP(E6981,DATABASE!C:Q,8,false)</f>
        <v>BIAN</v>
      </c>
      <c r="P6981" s="65">
        <f>VLOOKUP(E6981,DATABASE!C:Q,9,False)</f>
        <v>0</v>
      </c>
      <c r="Q6981" s="93" t="str">
        <f>VLOOKUP(E6981,DATABASE!C:Q,4,false)</f>
        <v>Baut Camber</v>
      </c>
      <c r="R6981" s="93" t="str">
        <f>VLOOKUP(E6981,DATABASE!C:Q,11,false)</f>
        <v>COMPLEMENTARY</v>
      </c>
    </row>
    <row r="6982" ht="22.5" customHeight="1">
      <c r="A6982" s="49"/>
      <c r="C6982" s="400">
        <v>46064.0</v>
      </c>
      <c r="D6982" s="524">
        <v>305.0</v>
      </c>
      <c r="E6982" s="544" t="s">
        <v>2199</v>
      </c>
      <c r="F6982" s="387">
        <v>1.0</v>
      </c>
      <c r="G6982" s="140">
        <v>15000.0</v>
      </c>
      <c r="H6982" s="74"/>
      <c r="I6982" s="74">
        <f t="shared" si="1"/>
        <v>15000</v>
      </c>
      <c r="J6982" s="74">
        <f>IF(E6982="SERVICE",I6982-(I6982*50%),Vlookup(E6982,DATABASE!C:Q,10,false)*F6982)</f>
        <v>0</v>
      </c>
      <c r="K6982" s="74">
        <f>VLOOKUP(E6982,DATABASE!C:Q,7,false)</f>
        <v>5000</v>
      </c>
      <c r="L6982" s="140">
        <v>5000.0</v>
      </c>
      <c r="M6982" s="74">
        <f t="shared" si="2"/>
        <v>5000</v>
      </c>
      <c r="N6982" s="74">
        <f t="shared" si="3"/>
        <v>10000</v>
      </c>
      <c r="O6982" s="65" t="str">
        <f>VLOOKUP(E6982,DATABASE!C:Q,8,false)</f>
        <v>BIAN</v>
      </c>
      <c r="P6982" s="65">
        <f>VLOOKUP(E6982,DATABASE!C:Q,9,False)</f>
        <v>0</v>
      </c>
      <c r="Q6982" s="93" t="str">
        <f>VLOOKUP(E6982,DATABASE!C:Q,4,false)</f>
        <v>TAMBAL TUBLES</v>
      </c>
      <c r="R6982" s="93" t="str">
        <f>VLOOKUP(E6982,DATABASE!C:Q,11,false)</f>
        <v>COMPLEMENTARY</v>
      </c>
    </row>
    <row r="6983" ht="22.5" customHeight="1">
      <c r="A6983" s="49"/>
      <c r="C6983" s="400">
        <v>46064.0</v>
      </c>
      <c r="D6983" s="524">
        <v>306.0</v>
      </c>
      <c r="E6983" s="544" t="s">
        <v>268</v>
      </c>
      <c r="F6983" s="387">
        <v>2.0</v>
      </c>
      <c r="G6983" s="140">
        <v>710000.0</v>
      </c>
      <c r="H6983" s="74"/>
      <c r="I6983" s="74">
        <f t="shared" si="1"/>
        <v>1420000</v>
      </c>
      <c r="J6983" s="74">
        <f>IF(E6983="SERVICE",I6983-(I6983*50%),Vlookup(E6983,DATABASE!C:Q,10,false)*F6983)</f>
        <v>0</v>
      </c>
      <c r="K6983" s="74">
        <f>VLOOKUP(E6983,DATABASE!C:Q,7,false)</f>
        <v>653000</v>
      </c>
      <c r="L6983" s="74">
        <v>622000.0</v>
      </c>
      <c r="M6983" s="74">
        <f t="shared" si="2"/>
        <v>625000</v>
      </c>
      <c r="N6983" s="74">
        <f t="shared" si="3"/>
        <v>170000</v>
      </c>
      <c r="O6983" s="65" t="str">
        <f>VLOOKUP(E6983,DATABASE!C:Q,8,false)</f>
        <v>IBU</v>
      </c>
      <c r="P6983" s="65">
        <f>VLOOKUP(E6983,DATABASE!C:Q,9,False)</f>
        <v>1</v>
      </c>
      <c r="Q6983" s="93" t="str">
        <f>VLOOKUP(E6983,DATABASE!C:Q,4,false)</f>
        <v>Dunlop</v>
      </c>
      <c r="R6983" s="93" t="str">
        <f>VLOOKUP(E6983,DATABASE!C:Q,11,false)</f>
        <v>Tire</v>
      </c>
    </row>
    <row r="6984" ht="22.5" customHeight="1">
      <c r="A6984" s="49"/>
      <c r="C6984" s="400">
        <v>46064.0</v>
      </c>
      <c r="D6984" s="524">
        <v>307.0</v>
      </c>
      <c r="E6984" s="544" t="s">
        <v>299</v>
      </c>
      <c r="F6984" s="387">
        <v>2.0</v>
      </c>
      <c r="G6984" s="140">
        <v>30000.0</v>
      </c>
      <c r="H6984" s="74"/>
      <c r="I6984" s="74">
        <f t="shared" si="1"/>
        <v>60000</v>
      </c>
      <c r="J6984" s="74">
        <f>IF(E6984="SERVICE",I6984-(I6984*50%),Vlookup(E6984,DATABASE!C:Q,10,false)*F6984)</f>
        <v>0</v>
      </c>
      <c r="K6984" s="74">
        <f>VLOOKUP(E6984,DATABASE!C:Q,7,false)</f>
        <v>10000</v>
      </c>
      <c r="L6984" s="74">
        <v>10000.0</v>
      </c>
      <c r="M6984" s="74">
        <f t="shared" si="2"/>
        <v>10000</v>
      </c>
      <c r="N6984" s="74">
        <f t="shared" si="3"/>
        <v>40000</v>
      </c>
      <c r="O6984" s="65" t="str">
        <f>VLOOKUP(E6984,DATABASE!C:Q,8,false)</f>
        <v>BIAN</v>
      </c>
      <c r="P6984" s="65">
        <f>VLOOKUP(E6984,DATABASE!C:Q,9,False)</f>
        <v>0</v>
      </c>
      <c r="Q6984" s="93" t="str">
        <f>VLOOKUP(E6984,DATABASE!C:Q,4,false)</f>
        <v>Balancing</v>
      </c>
      <c r="R6984" s="93" t="str">
        <f>VLOOKUP(E6984,DATABASE!C:Q,11,false)</f>
        <v>COMPLEMENTARY</v>
      </c>
    </row>
    <row r="6985" ht="22.5" customHeight="1">
      <c r="A6985" s="49"/>
      <c r="C6985" s="400">
        <v>46064.0</v>
      </c>
      <c r="D6985" s="69">
        <v>308.0</v>
      </c>
      <c r="E6985" s="544" t="s">
        <v>299</v>
      </c>
      <c r="F6985" s="387">
        <v>2.0</v>
      </c>
      <c r="G6985" s="140">
        <v>30000.0</v>
      </c>
      <c r="H6985" s="74"/>
      <c r="I6985" s="74">
        <f t="shared" si="1"/>
        <v>60000</v>
      </c>
      <c r="J6985" s="74">
        <f>IF(E6985="SERVICE",I6985-(I6985*50%),Vlookup(E6985,DATABASE!C:Q,10,false)*F6985)</f>
        <v>0</v>
      </c>
      <c r="K6985" s="74">
        <f>VLOOKUP(E6985,DATABASE!C:Q,7,false)</f>
        <v>10000</v>
      </c>
      <c r="L6985" s="74">
        <v>10000.0</v>
      </c>
      <c r="M6985" s="74">
        <f t="shared" si="2"/>
        <v>10000</v>
      </c>
      <c r="N6985" s="74">
        <f t="shared" si="3"/>
        <v>40000</v>
      </c>
      <c r="O6985" s="65" t="str">
        <f>VLOOKUP(E6985,DATABASE!C:Q,8,false)</f>
        <v>BIAN</v>
      </c>
      <c r="P6985" s="65">
        <f>VLOOKUP(E6985,DATABASE!C:Q,9,False)</f>
        <v>0</v>
      </c>
      <c r="Q6985" s="93" t="str">
        <f>VLOOKUP(E6985,DATABASE!C:Q,4,false)</f>
        <v>Balancing</v>
      </c>
      <c r="R6985" s="93" t="str">
        <f>VLOOKUP(E6985,DATABASE!C:Q,11,false)</f>
        <v>COMPLEMENTARY</v>
      </c>
    </row>
    <row r="6986" ht="22.5" customHeight="1">
      <c r="A6986" s="49"/>
      <c r="C6986" s="400">
        <v>46064.0</v>
      </c>
      <c r="D6986" s="524">
        <v>309.0</v>
      </c>
      <c r="E6986" s="544" t="s">
        <v>1894</v>
      </c>
      <c r="F6986" s="387">
        <v>4.0</v>
      </c>
      <c r="G6986" s="140">
        <v>545000.0</v>
      </c>
      <c r="H6986" s="140">
        <v>5000.0</v>
      </c>
      <c r="I6986" s="74">
        <f t="shared" si="1"/>
        <v>2160000</v>
      </c>
      <c r="J6986" s="74">
        <f>IF(E6986="SERVICE",I6986-(I6986*50%),Vlookup(E6986,DATABASE!C:Q,10,false)*F6986)</f>
        <v>0</v>
      </c>
      <c r="K6986" s="74">
        <f>VLOOKUP(E6986,DATABASE!C:Q,7,false)</f>
        <v>458600</v>
      </c>
      <c r="L6986" s="74">
        <v>445400.0</v>
      </c>
      <c r="M6986" s="74">
        <f t="shared" si="2"/>
        <v>450000</v>
      </c>
      <c r="N6986" s="74">
        <f t="shared" si="3"/>
        <v>360000</v>
      </c>
      <c r="O6986" s="65" t="str">
        <f>VLOOKUP(E6986,DATABASE!C:Q,8,false)</f>
        <v>BIAN</v>
      </c>
      <c r="P6986" s="65">
        <f>VLOOKUP(E6986,DATABASE!C:Q,9,False)</f>
        <v>1</v>
      </c>
      <c r="Q6986" s="93" t="str">
        <f>VLOOKUP(E6986,DATABASE!C:Q,4,false)</f>
        <v>GT</v>
      </c>
      <c r="R6986" s="93" t="str">
        <f>VLOOKUP(E6986,DATABASE!C:Q,11,false)</f>
        <v>Tire</v>
      </c>
    </row>
    <row r="6987" ht="22.5" customHeight="1">
      <c r="A6987" s="49"/>
      <c r="C6987" s="400">
        <v>46064.0</v>
      </c>
      <c r="D6987" s="524">
        <v>309.0</v>
      </c>
      <c r="E6987" s="544" t="s">
        <v>299</v>
      </c>
      <c r="F6987" s="387">
        <v>2.0</v>
      </c>
      <c r="G6987" s="140">
        <v>30000.0</v>
      </c>
      <c r="H6987" s="74"/>
      <c r="I6987" s="74">
        <f t="shared" si="1"/>
        <v>60000</v>
      </c>
      <c r="J6987" s="74">
        <f>IF(E6987="SERVICE",I6987-(I6987*50%),Vlookup(E6987,DATABASE!C:Q,10,false)*F6987)</f>
        <v>0</v>
      </c>
      <c r="K6987" s="74">
        <f>VLOOKUP(E6987,DATABASE!C:Q,7,false)</f>
        <v>10000</v>
      </c>
      <c r="L6987" s="74">
        <v>10000.0</v>
      </c>
      <c r="M6987" s="74">
        <f t="shared" si="2"/>
        <v>10000</v>
      </c>
      <c r="N6987" s="74">
        <f t="shared" si="3"/>
        <v>40000</v>
      </c>
      <c r="O6987" s="65" t="str">
        <f>VLOOKUP(E6987,DATABASE!C:Q,8,false)</f>
        <v>BIAN</v>
      </c>
      <c r="P6987" s="65">
        <f>VLOOKUP(E6987,DATABASE!C:Q,9,False)</f>
        <v>0</v>
      </c>
      <c r="Q6987" s="93" t="str">
        <f>VLOOKUP(E6987,DATABASE!C:Q,4,false)</f>
        <v>Balancing</v>
      </c>
      <c r="R6987" s="93" t="str">
        <f>VLOOKUP(E6987,DATABASE!C:Q,11,false)</f>
        <v>COMPLEMENTARY</v>
      </c>
    </row>
    <row r="6988" ht="22.5" customHeight="1">
      <c r="A6988" s="49"/>
      <c r="C6988" s="400">
        <v>46064.0</v>
      </c>
      <c r="D6988" s="524">
        <v>309.0</v>
      </c>
      <c r="E6988" s="544" t="s">
        <v>262</v>
      </c>
      <c r="F6988" s="387">
        <v>1.0</v>
      </c>
      <c r="G6988" s="140">
        <v>110000.0</v>
      </c>
      <c r="H6988" s="74"/>
      <c r="I6988" s="74">
        <f t="shared" si="1"/>
        <v>110000</v>
      </c>
      <c r="J6988" s="74">
        <f>IF(E6988="SERVICE",I6988-(I6988*50%),Vlookup(E6988,DATABASE!C:Q,10,false)*F6988)</f>
        <v>5000</v>
      </c>
      <c r="K6988" s="74">
        <f>VLOOKUP(E6988,DATABASE!C:Q,7,false)</f>
        <v>0</v>
      </c>
      <c r="L6988" s="74">
        <v>0.0</v>
      </c>
      <c r="M6988" s="74">
        <f t="shared" si="2"/>
        <v>0</v>
      </c>
      <c r="N6988" s="74">
        <f t="shared" si="3"/>
        <v>105000</v>
      </c>
      <c r="O6988" s="65" t="str">
        <f>VLOOKUP(E6988,DATABASE!C:Q,8,false)</f>
        <v>IBU</v>
      </c>
      <c r="P6988" s="65">
        <f>VLOOKUP(E6988,DATABASE!C:Q,9,False)</f>
        <v>0</v>
      </c>
      <c r="Q6988" s="93" t="str">
        <f>VLOOKUP(E6988,DATABASE!C:Q,4,false)</f>
        <v>SPOORING SS/CARRY LOS BAK</v>
      </c>
      <c r="R6988" s="93" t="str">
        <f>VLOOKUP(E6988,DATABASE!C:Q,11,false)</f>
        <v>SERVICE</v>
      </c>
    </row>
    <row r="6989" ht="22.5" customHeight="1">
      <c r="A6989" s="49"/>
      <c r="C6989" s="400">
        <v>46064.0</v>
      </c>
      <c r="D6989" s="524">
        <v>309.0</v>
      </c>
      <c r="E6989" s="544" t="s">
        <v>251</v>
      </c>
      <c r="F6989" s="387">
        <v>1.0</v>
      </c>
      <c r="G6989" s="140">
        <v>350000.0</v>
      </c>
      <c r="H6989" s="140">
        <v>200000.0</v>
      </c>
      <c r="I6989" s="74">
        <f t="shared" si="1"/>
        <v>150000</v>
      </c>
      <c r="J6989" s="74">
        <f>IF(E6989="SERVICE",I6989-(I6989*50%),Vlookup(E6989,DATABASE!C:Q,10,false)*F6989)</f>
        <v>75000</v>
      </c>
      <c r="K6989" s="74">
        <f>VLOOKUP(E6989,DATABASE!C:Q,7,false)</f>
        <v>0</v>
      </c>
      <c r="L6989" s="74">
        <v>0.0</v>
      </c>
      <c r="M6989" s="74">
        <f t="shared" si="2"/>
        <v>0</v>
      </c>
      <c r="N6989" s="74">
        <f t="shared" si="3"/>
        <v>75000</v>
      </c>
      <c r="O6989" s="65" t="str">
        <f>VLOOKUP(E6989,DATABASE!C:Q,8,false)</f>
        <v>IBU</v>
      </c>
      <c r="P6989" s="65">
        <f>VLOOKUP(E6989,DATABASE!C:Q,9,False)</f>
        <v>0</v>
      </c>
      <c r="Q6989" s="93" t="str">
        <f>VLOOKUP(E6989,DATABASE!C:Q,4,false)</f>
        <v>SERVICE</v>
      </c>
      <c r="R6989" s="93" t="str">
        <f>VLOOKUP(E6989,DATABASE!C:Q,11,false)</f>
        <v>SERVICE</v>
      </c>
    </row>
    <row r="6990" ht="22.5" customHeight="1">
      <c r="A6990" s="49"/>
      <c r="C6990" s="400">
        <v>46064.0</v>
      </c>
      <c r="D6990" s="524">
        <v>310.0</v>
      </c>
      <c r="E6990" s="544" t="s">
        <v>1439</v>
      </c>
      <c r="F6990" s="387">
        <v>2.0</v>
      </c>
      <c r="G6990" s="140">
        <v>640000.0</v>
      </c>
      <c r="H6990" s="140">
        <v>10000.0</v>
      </c>
      <c r="I6990" s="74">
        <f t="shared" si="1"/>
        <v>1260000</v>
      </c>
      <c r="J6990" s="74">
        <f>IF(E6990="SERVICE",I6990-(I6990*50%),Vlookup(E6990,DATABASE!C:Q,10,false)*F6990)</f>
        <v>0</v>
      </c>
      <c r="K6990" s="74">
        <f>VLOOKUP(E6990,DATABASE!C:Q,7,false)</f>
        <v>556800</v>
      </c>
      <c r="L6990" s="74">
        <v>540800.0</v>
      </c>
      <c r="M6990" s="74">
        <f t="shared" si="2"/>
        <v>545000</v>
      </c>
      <c r="N6990" s="74">
        <f t="shared" si="3"/>
        <v>170000</v>
      </c>
      <c r="O6990" s="65" t="str">
        <f>VLOOKUP(E6990,DATABASE!C:Q,8,false)</f>
        <v>BIAN</v>
      </c>
      <c r="P6990" s="65">
        <f>VLOOKUP(E6990,DATABASE!C:Q,9,False)</f>
        <v>1</v>
      </c>
      <c r="Q6990" s="93" t="str">
        <f>VLOOKUP(E6990,DATABASE!C:Q,4,false)</f>
        <v>GT</v>
      </c>
      <c r="R6990" s="93" t="str">
        <f>VLOOKUP(E6990,DATABASE!C:Q,11,false)</f>
        <v>Tire</v>
      </c>
    </row>
    <row r="6991" ht="22.5" customHeight="1">
      <c r="A6991" s="49"/>
      <c r="C6991" s="400">
        <v>46064.0</v>
      </c>
      <c r="D6991" s="524">
        <v>311.0</v>
      </c>
      <c r="E6991" s="544" t="s">
        <v>256</v>
      </c>
      <c r="F6991" s="387">
        <v>1.0</v>
      </c>
      <c r="G6991" s="140">
        <v>150000.0</v>
      </c>
      <c r="H6991" s="140">
        <v>20000.0</v>
      </c>
      <c r="I6991" s="74">
        <f t="shared" si="1"/>
        <v>130000</v>
      </c>
      <c r="J6991" s="74">
        <f>IF(E6991="SERVICE",I6991-(I6991*50%),Vlookup(E6991,DATABASE!C:Q,10,false)*F6991)</f>
        <v>10000</v>
      </c>
      <c r="K6991" s="74">
        <f>VLOOKUP(E6991,DATABASE!C:Q,7,false)</f>
        <v>0</v>
      </c>
      <c r="L6991" s="74">
        <v>0.0</v>
      </c>
      <c r="M6991" s="74">
        <f t="shared" si="2"/>
        <v>0</v>
      </c>
      <c r="N6991" s="74">
        <f t="shared" si="3"/>
        <v>120000</v>
      </c>
      <c r="O6991" s="65" t="str">
        <f>VLOOKUP(E6991,DATABASE!C:Q,8,false)</f>
        <v>IBU</v>
      </c>
      <c r="P6991" s="65">
        <f>VLOOKUP(E6991,DATABASE!C:Q,9,False)</f>
        <v>0</v>
      </c>
      <c r="Q6991" s="93" t="str">
        <f>VLOOKUP(E6991,DATABASE!C:Q,4,false)</f>
        <v>SPOORING</v>
      </c>
      <c r="R6991" s="93" t="str">
        <f>VLOOKUP(E6991,DATABASE!C:Q,11,false)</f>
        <v>SERVICE</v>
      </c>
    </row>
    <row r="6992" ht="22.5" customHeight="1">
      <c r="A6992" s="49"/>
      <c r="C6992" s="400">
        <v>46064.0</v>
      </c>
      <c r="D6992" s="524">
        <v>311.0</v>
      </c>
      <c r="E6992" s="544" t="s">
        <v>251</v>
      </c>
      <c r="F6992" s="387">
        <v>1.0</v>
      </c>
      <c r="G6992" s="140">
        <v>350000.0</v>
      </c>
      <c r="H6992" s="140">
        <v>200000.0</v>
      </c>
      <c r="I6992" s="74">
        <f t="shared" si="1"/>
        <v>150000</v>
      </c>
      <c r="J6992" s="74">
        <f>IF(E6992="SERVICE",I6992-(I6992*50%),Vlookup(E6992,DATABASE!C:Q,10,false)*F6992)</f>
        <v>75000</v>
      </c>
      <c r="K6992" s="74">
        <f>VLOOKUP(E6992,DATABASE!C:Q,7,false)</f>
        <v>0</v>
      </c>
      <c r="L6992" s="74">
        <v>0.0</v>
      </c>
      <c r="M6992" s="74">
        <f t="shared" si="2"/>
        <v>0</v>
      </c>
      <c r="N6992" s="74">
        <f t="shared" si="3"/>
        <v>75000</v>
      </c>
      <c r="O6992" s="65" t="str">
        <f>VLOOKUP(E6992,DATABASE!C:Q,8,false)</f>
        <v>IBU</v>
      </c>
      <c r="P6992" s="65">
        <f>VLOOKUP(E6992,DATABASE!C:Q,9,False)</f>
        <v>0</v>
      </c>
      <c r="Q6992" s="93" t="str">
        <f>VLOOKUP(E6992,DATABASE!C:Q,4,false)</f>
        <v>SERVICE</v>
      </c>
      <c r="R6992" s="93" t="str">
        <f>VLOOKUP(E6992,DATABASE!C:Q,11,false)</f>
        <v>SERVICE</v>
      </c>
    </row>
    <row r="6993" ht="22.5" customHeight="1">
      <c r="A6993" s="49"/>
      <c r="C6993" s="400">
        <v>46064.0</v>
      </c>
      <c r="D6993" s="524">
        <v>312.0</v>
      </c>
      <c r="E6993" s="544" t="s">
        <v>600</v>
      </c>
      <c r="F6993" s="387">
        <v>2.0</v>
      </c>
      <c r="G6993" s="140">
        <v>675000.0</v>
      </c>
      <c r="H6993" s="74"/>
      <c r="I6993" s="74">
        <f t="shared" si="1"/>
        <v>1350000</v>
      </c>
      <c r="J6993" s="74">
        <f>IF(E6993="SERVICE",I6993-(I6993*50%),Vlookup(E6993,DATABASE!C:Q,10,false)*F6993)</f>
        <v>0</v>
      </c>
      <c r="K6993" s="74">
        <f>VLOOKUP(E6993,DATABASE!C:Q,7,false)</f>
        <v>611109.16</v>
      </c>
      <c r="L6993" s="74">
        <v>575780.8</v>
      </c>
      <c r="M6993" s="74">
        <f t="shared" si="2"/>
        <v>580000</v>
      </c>
      <c r="N6993" s="74">
        <f t="shared" si="3"/>
        <v>190000</v>
      </c>
      <c r="O6993" s="65" t="str">
        <f>VLOOKUP(E6993,DATABASE!C:Q,8,false)</f>
        <v>IBU</v>
      </c>
      <c r="P6993" s="65">
        <f>VLOOKUP(E6993,DATABASE!C:Q,9,False)</f>
        <v>1</v>
      </c>
      <c r="Q6993" s="93" t="str">
        <f>VLOOKUP(E6993,DATABASE!C:Q,4,false)</f>
        <v>Bridgestone</v>
      </c>
      <c r="R6993" s="93" t="str">
        <f>VLOOKUP(E6993,DATABASE!C:Q,11,false)</f>
        <v>Tire</v>
      </c>
    </row>
    <row r="6994" ht="22.5" customHeight="1">
      <c r="A6994" s="49"/>
      <c r="C6994" s="400">
        <v>46064.0</v>
      </c>
      <c r="D6994" s="524">
        <v>313.0</v>
      </c>
      <c r="E6994" s="544" t="s">
        <v>256</v>
      </c>
      <c r="F6994" s="387">
        <v>1.0</v>
      </c>
      <c r="G6994" s="140">
        <v>150000.0</v>
      </c>
      <c r="H6994" s="140">
        <v>20000.0</v>
      </c>
      <c r="I6994" s="74">
        <f t="shared" si="1"/>
        <v>130000</v>
      </c>
      <c r="J6994" s="74">
        <f>IF(E6994="SERVICE",I6994-(I6994*50%),Vlookup(E6994,DATABASE!C:Q,10,false)*F6994)</f>
        <v>10000</v>
      </c>
      <c r="K6994" s="74">
        <f>VLOOKUP(E6994,DATABASE!C:Q,7,false)</f>
        <v>0</v>
      </c>
      <c r="L6994" s="74">
        <v>0.0</v>
      </c>
      <c r="M6994" s="74">
        <f t="shared" si="2"/>
        <v>0</v>
      </c>
      <c r="N6994" s="74">
        <f t="shared" si="3"/>
        <v>120000</v>
      </c>
      <c r="O6994" s="65" t="str">
        <f>VLOOKUP(E6994,DATABASE!C:Q,8,false)</f>
        <v>IBU</v>
      </c>
      <c r="P6994" s="65">
        <f>VLOOKUP(E6994,DATABASE!C:Q,9,False)</f>
        <v>0</v>
      </c>
      <c r="Q6994" s="93" t="str">
        <f>VLOOKUP(E6994,DATABASE!C:Q,4,false)</f>
        <v>SPOORING</v>
      </c>
      <c r="R6994" s="93" t="str">
        <f>VLOOKUP(E6994,DATABASE!C:Q,11,false)</f>
        <v>SERVICE</v>
      </c>
    </row>
    <row r="6995" ht="22.5" customHeight="1">
      <c r="A6995" s="49"/>
      <c r="C6995" s="400">
        <v>46064.0</v>
      </c>
      <c r="D6995" s="524">
        <v>313.0</v>
      </c>
      <c r="E6995" s="544" t="s">
        <v>301</v>
      </c>
      <c r="F6995" s="387">
        <v>1.0</v>
      </c>
      <c r="G6995" s="140">
        <v>250000.0</v>
      </c>
      <c r="H6995" s="74"/>
      <c r="I6995" s="74">
        <f t="shared" si="1"/>
        <v>250000</v>
      </c>
      <c r="J6995" s="74">
        <f>IF(E6995="SERVICE",I6995-(I6995*50%),Vlookup(E6995,DATABASE!C:Q,10,false)*F6995)</f>
        <v>75000</v>
      </c>
      <c r="K6995" s="74">
        <f>VLOOKUP(E6995,DATABASE!C:Q,7,false)</f>
        <v>75000</v>
      </c>
      <c r="L6995" s="74">
        <v>75000.0</v>
      </c>
      <c r="M6995" s="74">
        <f t="shared" si="2"/>
        <v>75000</v>
      </c>
      <c r="N6995" s="74">
        <f t="shared" si="3"/>
        <v>100000</v>
      </c>
      <c r="O6995" s="65" t="str">
        <f>VLOOKUP(E6995,DATABASE!C:Q,8,false)</f>
        <v>BIAN</v>
      </c>
      <c r="P6995" s="65">
        <f>VLOOKUP(E6995,DATABASE!C:Q,9,False)</f>
        <v>0</v>
      </c>
      <c r="Q6995" s="93" t="str">
        <f>VLOOKUP(E6995,DATABASE!C:Q,4,false)</f>
        <v>Baut Camber</v>
      </c>
      <c r="R6995" s="93" t="str">
        <f>VLOOKUP(E6995,DATABASE!C:Q,11,false)</f>
        <v>COMPLEMENTARY</v>
      </c>
    </row>
    <row r="6996" ht="22.5" customHeight="1">
      <c r="A6996" s="49"/>
      <c r="C6996" s="400">
        <v>46064.0</v>
      </c>
      <c r="D6996" s="69" t="s">
        <v>2707</v>
      </c>
      <c r="E6996" s="544" t="s">
        <v>248</v>
      </c>
      <c r="F6996" s="387">
        <v>1.0</v>
      </c>
      <c r="G6996" s="140">
        <v>190000.0</v>
      </c>
      <c r="H6996" s="74"/>
      <c r="I6996" s="74">
        <f t="shared" si="1"/>
        <v>190000</v>
      </c>
      <c r="J6996" s="74">
        <f>IF(E6996="SERVICE",I6996-(I6996*50%),Vlookup(E6996,DATABASE!C:Q,10,false)*F6996)</f>
        <v>0</v>
      </c>
      <c r="K6996" s="74">
        <f>VLOOKUP(E6996,DATABASE!C:Q,7,false)</f>
        <v>209816.66</v>
      </c>
      <c r="L6996" s="74">
        <v>160833.0</v>
      </c>
      <c r="M6996" s="74">
        <f t="shared" si="2"/>
        <v>165000</v>
      </c>
      <c r="N6996" s="74">
        <f t="shared" si="3"/>
        <v>25000</v>
      </c>
      <c r="O6996" s="65" t="str">
        <f>VLOOKUP(E6996,DATABASE!C:Q,8,false)</f>
        <v>NON</v>
      </c>
      <c r="P6996" s="65">
        <f>VLOOKUP(E6996,DATABASE!C:Q,9,False)</f>
        <v>0</v>
      </c>
      <c r="Q6996" s="93" t="str">
        <f>VLOOKUP(E6996,DATABASE!C:Q,4,false)</f>
        <v>Pertamina</v>
      </c>
      <c r="R6996" s="93" t="str">
        <f>VLOOKUP(E6996,DATABASE!C:Q,11,false)</f>
        <v>OIL</v>
      </c>
    </row>
    <row r="6997" ht="22.5" customHeight="1">
      <c r="A6997" s="49"/>
      <c r="C6997" s="400">
        <v>46065.0</v>
      </c>
      <c r="D6997" s="524">
        <v>314.0</v>
      </c>
      <c r="E6997" s="544" t="s">
        <v>1439</v>
      </c>
      <c r="F6997" s="387">
        <v>1.0</v>
      </c>
      <c r="G6997" s="140">
        <v>640000.0</v>
      </c>
      <c r="H6997" s="140">
        <v>10000.0</v>
      </c>
      <c r="I6997" s="74">
        <f t="shared" si="1"/>
        <v>630000</v>
      </c>
      <c r="J6997" s="74">
        <f>IF(E6997="SERVICE",I6997-(I6997*50%),Vlookup(E6997,DATABASE!C:Q,10,false)*F6997)</f>
        <v>0</v>
      </c>
      <c r="K6997" s="74">
        <f>VLOOKUP(E6997,DATABASE!C:Q,7,false)</f>
        <v>556800</v>
      </c>
      <c r="L6997" s="74">
        <v>540800.0</v>
      </c>
      <c r="M6997" s="74">
        <f t="shared" si="2"/>
        <v>545000</v>
      </c>
      <c r="N6997" s="74">
        <f t="shared" si="3"/>
        <v>85000</v>
      </c>
      <c r="O6997" s="65" t="str">
        <f>VLOOKUP(E6997,DATABASE!C:Q,8,false)</f>
        <v>BIAN</v>
      </c>
      <c r="P6997" s="65">
        <f>VLOOKUP(E6997,DATABASE!C:Q,9,False)</f>
        <v>1</v>
      </c>
      <c r="Q6997" s="93" t="str">
        <f>VLOOKUP(E6997,DATABASE!C:Q,4,false)</f>
        <v>GT</v>
      </c>
      <c r="R6997" s="93" t="str">
        <f>VLOOKUP(E6997,DATABASE!C:Q,11,false)</f>
        <v>Tire</v>
      </c>
    </row>
    <row r="6998" ht="22.5" customHeight="1">
      <c r="A6998" s="49"/>
      <c r="C6998" s="400">
        <v>46065.0</v>
      </c>
      <c r="D6998" s="524">
        <v>315.0</v>
      </c>
      <c r="E6998" s="544" t="s">
        <v>2019</v>
      </c>
      <c r="F6998" s="387">
        <v>1.0</v>
      </c>
      <c r="G6998" s="140">
        <v>685000.0</v>
      </c>
      <c r="H6998" s="140">
        <v>5000.0</v>
      </c>
      <c r="I6998" s="74">
        <f t="shared" si="1"/>
        <v>680000</v>
      </c>
      <c r="J6998" s="74">
        <f>IF(E6998="SERVICE",I6998-(I6998*50%),Vlookup(E6998,DATABASE!C:Q,10,false)*F6998)</f>
        <v>0</v>
      </c>
      <c r="K6998" s="74">
        <f>VLOOKUP(E6998,DATABASE!C:Q,7,false)</f>
        <v>620000</v>
      </c>
      <c r="L6998" s="74">
        <v>595000.0</v>
      </c>
      <c r="M6998" s="74">
        <f t="shared" si="2"/>
        <v>595000</v>
      </c>
      <c r="N6998" s="74">
        <f t="shared" si="3"/>
        <v>85000</v>
      </c>
      <c r="O6998" s="65" t="str">
        <f>VLOOKUP(E6998,DATABASE!C:Q,8,false)</f>
        <v>BIAN</v>
      </c>
      <c r="P6998" s="65">
        <f>VLOOKUP(E6998,DATABASE!C:Q,9,False)</f>
        <v>1</v>
      </c>
      <c r="Q6998" s="93" t="str">
        <f>VLOOKUP(E6998,DATABASE!C:Q,4,false)</f>
        <v>GT</v>
      </c>
      <c r="R6998" s="93" t="str">
        <f>VLOOKUP(E6998,DATABASE!C:Q,11,false)</f>
        <v>Tire</v>
      </c>
    </row>
    <row r="6999" ht="22.5" customHeight="1">
      <c r="A6999" s="49"/>
      <c r="C6999" s="400">
        <v>46065.0</v>
      </c>
      <c r="D6999" s="524">
        <v>316.0</v>
      </c>
      <c r="E6999" s="544" t="s">
        <v>604</v>
      </c>
      <c r="F6999" s="387">
        <v>1.0</v>
      </c>
      <c r="G6999" s="140">
        <v>170000.0</v>
      </c>
      <c r="H6999" s="140">
        <v>10000.0</v>
      </c>
      <c r="I6999" s="74">
        <f t="shared" si="1"/>
        <v>160000</v>
      </c>
      <c r="J6999" s="74">
        <f>IF(E6999="SERVICE",I6999-(I6999*50%),Vlookup(E6999,DATABASE!C:Q,10,false)*F6999)</f>
        <v>0</v>
      </c>
      <c r="K6999" s="74">
        <f>VLOOKUP(E6999,DATABASE!C:Q,7,false)</f>
        <v>124000</v>
      </c>
      <c r="L6999" s="74">
        <v>124000.0</v>
      </c>
      <c r="M6999" s="74">
        <f t="shared" si="2"/>
        <v>125000</v>
      </c>
      <c r="N6999" s="74">
        <f t="shared" si="3"/>
        <v>35000</v>
      </c>
      <c r="O6999" s="65" t="str">
        <f>VLOOKUP(E6999,DATABASE!C:Q,8,false)</f>
        <v>BIAN</v>
      </c>
      <c r="P6999" s="65">
        <f>VLOOKUP(E6999,DATABASE!C:Q,9,False)</f>
        <v>1</v>
      </c>
      <c r="Q6999" s="93" t="str">
        <f>VLOOKUP(E6999,DATABASE!C:Q,4,false)</f>
        <v>BD</v>
      </c>
      <c r="R6999" s="93" t="str">
        <f>VLOOKUP(E6999,DATABASE!C:Q,11,false)</f>
        <v>Tire</v>
      </c>
    </row>
    <row r="7000" ht="22.5" customHeight="1">
      <c r="A7000" s="49"/>
      <c r="C7000" s="400">
        <v>46065.0</v>
      </c>
      <c r="D7000" s="524">
        <v>317.0</v>
      </c>
      <c r="E7000" s="544" t="s">
        <v>265</v>
      </c>
      <c r="F7000" s="387">
        <v>2.0</v>
      </c>
      <c r="G7000" s="140">
        <v>685000.0</v>
      </c>
      <c r="H7000" s="74"/>
      <c r="I7000" s="74">
        <f t="shared" si="1"/>
        <v>1370000</v>
      </c>
      <c r="J7000" s="74">
        <f>IF(E7000="SERVICE",I7000-(I7000*50%),Vlookup(E7000,DATABASE!C:Q,10,false)*F7000)</f>
        <v>0</v>
      </c>
      <c r="K7000" s="74">
        <f>VLOOKUP(E7000,DATABASE!C:Q,7,false)</f>
        <v>628000</v>
      </c>
      <c r="L7000" s="74">
        <v>600000.0</v>
      </c>
      <c r="M7000" s="74">
        <f t="shared" si="2"/>
        <v>600000</v>
      </c>
      <c r="N7000" s="74">
        <f t="shared" si="3"/>
        <v>170000</v>
      </c>
      <c r="O7000" s="65" t="str">
        <f>VLOOKUP(E7000,DATABASE!C:Q,8,false)</f>
        <v>IBU</v>
      </c>
      <c r="P7000" s="65">
        <f>VLOOKUP(E7000,DATABASE!C:Q,9,False)</f>
        <v>1</v>
      </c>
      <c r="Q7000" s="93" t="str">
        <f>VLOOKUP(E7000,DATABASE!C:Q,4,false)</f>
        <v>Dunlop</v>
      </c>
      <c r="R7000" s="93" t="str">
        <f>VLOOKUP(E7000,DATABASE!C:Q,11,false)</f>
        <v>Tire</v>
      </c>
    </row>
    <row r="7001" ht="22.5" customHeight="1">
      <c r="A7001" s="49"/>
      <c r="C7001" s="400">
        <v>46065.0</v>
      </c>
      <c r="D7001" s="524">
        <v>318.0</v>
      </c>
      <c r="E7001" s="544" t="s">
        <v>251</v>
      </c>
      <c r="F7001" s="387">
        <v>1.0</v>
      </c>
      <c r="G7001" s="140">
        <v>350000.0</v>
      </c>
      <c r="H7001" s="140">
        <v>200000.0</v>
      </c>
      <c r="I7001" s="74">
        <f t="shared" si="1"/>
        <v>150000</v>
      </c>
      <c r="J7001" s="74">
        <f>IF(E7001="SERVICE",I7001-(I7001*50%),Vlookup(E7001,DATABASE!C:Q,10,false)*F7001)</f>
        <v>75000</v>
      </c>
      <c r="K7001" s="74">
        <f>VLOOKUP(E7001,DATABASE!C:Q,7,false)</f>
        <v>0</v>
      </c>
      <c r="L7001" s="74">
        <v>0.0</v>
      </c>
      <c r="M7001" s="74">
        <f t="shared" si="2"/>
        <v>0</v>
      </c>
      <c r="N7001" s="74">
        <f t="shared" si="3"/>
        <v>75000</v>
      </c>
      <c r="O7001" s="65" t="str">
        <f>VLOOKUP(E7001,DATABASE!C:Q,8,false)</f>
        <v>IBU</v>
      </c>
      <c r="P7001" s="65">
        <f>VLOOKUP(E7001,DATABASE!C:Q,9,False)</f>
        <v>0</v>
      </c>
      <c r="Q7001" s="93" t="str">
        <f>VLOOKUP(E7001,DATABASE!C:Q,4,false)</f>
        <v>SERVICE</v>
      </c>
      <c r="R7001" s="93" t="str">
        <f>VLOOKUP(E7001,DATABASE!C:Q,11,false)</f>
        <v>SERVICE</v>
      </c>
    </row>
    <row r="7002" ht="22.5" customHeight="1">
      <c r="A7002" s="49"/>
      <c r="C7002" s="400">
        <v>46065.0</v>
      </c>
      <c r="D7002" s="524">
        <v>319.0</v>
      </c>
      <c r="E7002" s="544" t="s">
        <v>1526</v>
      </c>
      <c r="F7002" s="387">
        <v>2.0</v>
      </c>
      <c r="G7002" s="140">
        <v>540000.0</v>
      </c>
      <c r="H7002" s="74"/>
      <c r="I7002" s="74">
        <f t="shared" si="1"/>
        <v>1080000</v>
      </c>
      <c r="J7002" s="74">
        <f>IF(E7002="SERVICE",I7002-(I7002*50%),Vlookup(E7002,DATABASE!C:Q,10,false)*F7002)</f>
        <v>0</v>
      </c>
      <c r="K7002" s="74">
        <f>VLOOKUP(E7002,DATABASE!C:Q,7,false)</f>
        <v>450000</v>
      </c>
      <c r="L7002" s="74">
        <v>450000.0</v>
      </c>
      <c r="M7002" s="74">
        <f t="shared" si="2"/>
        <v>450000</v>
      </c>
      <c r="N7002" s="74">
        <f t="shared" si="3"/>
        <v>180000</v>
      </c>
      <c r="O7002" s="65" t="str">
        <f>VLOOKUP(E7002,DATABASE!C:Q,8,false)</f>
        <v>BIAN</v>
      </c>
      <c r="P7002" s="65">
        <f>VLOOKUP(E7002,DATABASE!C:Q,9,False)</f>
        <v>1</v>
      </c>
      <c r="Q7002" s="93" t="str">
        <f>VLOOKUP(E7002,DATABASE!C:Q,4,false)</f>
        <v>Laufen</v>
      </c>
      <c r="R7002" s="93" t="str">
        <f>VLOOKUP(E7002,DATABASE!C:Q,11,false)</f>
        <v>Tire</v>
      </c>
    </row>
    <row r="7003" ht="22.5" customHeight="1">
      <c r="A7003" s="49"/>
      <c r="C7003" s="400">
        <v>46065.0</v>
      </c>
      <c r="D7003" s="524">
        <v>320.0</v>
      </c>
      <c r="E7003" s="544" t="s">
        <v>251</v>
      </c>
      <c r="F7003" s="387">
        <v>1.0</v>
      </c>
      <c r="G7003" s="140">
        <v>350000.0</v>
      </c>
      <c r="H7003" s="140">
        <v>200000.0</v>
      </c>
      <c r="I7003" s="74">
        <f t="shared" si="1"/>
        <v>150000</v>
      </c>
      <c r="J7003" s="74">
        <f>IF(E7003="SERVICE",I7003-(I7003*50%),Vlookup(E7003,DATABASE!C:Q,10,false)*F7003)</f>
        <v>75000</v>
      </c>
      <c r="K7003" s="74">
        <f>VLOOKUP(E7003,DATABASE!C:Q,7,false)</f>
        <v>0</v>
      </c>
      <c r="L7003" s="74">
        <v>0.0</v>
      </c>
      <c r="M7003" s="74">
        <f t="shared" si="2"/>
        <v>0</v>
      </c>
      <c r="N7003" s="74">
        <f t="shared" si="3"/>
        <v>75000</v>
      </c>
      <c r="O7003" s="65" t="str">
        <f>VLOOKUP(E7003,DATABASE!C:Q,8,false)</f>
        <v>IBU</v>
      </c>
      <c r="P7003" s="65">
        <f>VLOOKUP(E7003,DATABASE!C:Q,9,False)</f>
        <v>0</v>
      </c>
      <c r="Q7003" s="93" t="str">
        <f>VLOOKUP(E7003,DATABASE!C:Q,4,false)</f>
        <v>SERVICE</v>
      </c>
      <c r="R7003" s="93" t="str">
        <f>VLOOKUP(E7003,DATABASE!C:Q,11,false)</f>
        <v>SERVICE</v>
      </c>
    </row>
    <row r="7004" ht="22.5" customHeight="1">
      <c r="A7004" s="49"/>
      <c r="C7004" s="400">
        <v>46065.0</v>
      </c>
      <c r="D7004" s="524">
        <v>322.0</v>
      </c>
      <c r="E7004" s="544" t="s">
        <v>591</v>
      </c>
      <c r="F7004" s="387">
        <v>4.0</v>
      </c>
      <c r="G7004" s="140">
        <v>700000.0</v>
      </c>
      <c r="H7004" s="74"/>
      <c r="I7004" s="74">
        <f t="shared" si="1"/>
        <v>2800000</v>
      </c>
      <c r="J7004" s="74">
        <f>IF(E7004="SERVICE",I7004-(I7004*50%),Vlookup(E7004,DATABASE!C:Q,10,false)*F7004)</f>
        <v>0</v>
      </c>
      <c r="K7004" s="74">
        <f>VLOOKUP(E7004,DATABASE!C:Q,7,false)</f>
        <v>633035.16</v>
      </c>
      <c r="L7004" s="74">
        <v>596694.4</v>
      </c>
      <c r="M7004" s="74">
        <f t="shared" si="2"/>
        <v>600000</v>
      </c>
      <c r="N7004" s="74">
        <f t="shared" si="3"/>
        <v>400000</v>
      </c>
      <c r="O7004" s="65" t="str">
        <f>VLOOKUP(E7004,DATABASE!C:Q,8,false)</f>
        <v>IBU</v>
      </c>
      <c r="P7004" s="65">
        <f>VLOOKUP(E7004,DATABASE!C:Q,9,False)</f>
        <v>1</v>
      </c>
      <c r="Q7004" s="93" t="str">
        <f>VLOOKUP(E7004,DATABASE!C:Q,4,false)</f>
        <v>Bridgestone</v>
      </c>
      <c r="R7004" s="93" t="str">
        <f>VLOOKUP(E7004,DATABASE!C:Q,11,false)</f>
        <v>Tire</v>
      </c>
    </row>
    <row r="7005" ht="22.5" customHeight="1">
      <c r="A7005" s="49"/>
      <c r="C7005" s="400">
        <v>46065.0</v>
      </c>
      <c r="D7005" s="524">
        <v>322.0</v>
      </c>
      <c r="E7005" s="544" t="s">
        <v>299</v>
      </c>
      <c r="F7005" s="387">
        <v>2.0</v>
      </c>
      <c r="G7005" s="140">
        <v>30000.0</v>
      </c>
      <c r="H7005" s="74"/>
      <c r="I7005" s="74">
        <f t="shared" si="1"/>
        <v>60000</v>
      </c>
      <c r="J7005" s="74">
        <f>IF(E7005="SERVICE",I7005-(I7005*50%),Vlookup(E7005,DATABASE!C:Q,10,false)*F7005)</f>
        <v>0</v>
      </c>
      <c r="K7005" s="74">
        <f>VLOOKUP(E7005,DATABASE!C:Q,7,false)</f>
        <v>10000</v>
      </c>
      <c r="L7005" s="74">
        <v>10000.0</v>
      </c>
      <c r="M7005" s="74">
        <f t="shared" si="2"/>
        <v>10000</v>
      </c>
      <c r="N7005" s="74">
        <f t="shared" si="3"/>
        <v>40000</v>
      </c>
      <c r="O7005" s="65" t="str">
        <f>VLOOKUP(E7005,DATABASE!C:Q,8,false)</f>
        <v>BIAN</v>
      </c>
      <c r="P7005" s="65">
        <f>VLOOKUP(E7005,DATABASE!C:Q,9,False)</f>
        <v>0</v>
      </c>
      <c r="Q7005" s="93" t="str">
        <f>VLOOKUP(E7005,DATABASE!C:Q,4,false)</f>
        <v>Balancing</v>
      </c>
      <c r="R7005" s="93" t="str">
        <f>VLOOKUP(E7005,DATABASE!C:Q,11,false)</f>
        <v>COMPLEMENTARY</v>
      </c>
    </row>
    <row r="7006" ht="22.5" customHeight="1">
      <c r="A7006" s="49"/>
      <c r="C7006" s="400">
        <v>46065.0</v>
      </c>
      <c r="D7006" s="524">
        <v>322.0</v>
      </c>
      <c r="E7006" s="544" t="s">
        <v>256</v>
      </c>
      <c r="F7006" s="387">
        <v>1.0</v>
      </c>
      <c r="G7006" s="140">
        <v>150000.0</v>
      </c>
      <c r="H7006" s="140">
        <v>20000.0</v>
      </c>
      <c r="I7006" s="74">
        <f t="shared" si="1"/>
        <v>130000</v>
      </c>
      <c r="J7006" s="74">
        <f>IF(E7006="SERVICE",I7006-(I7006*50%),Vlookup(E7006,DATABASE!C:Q,10,false)*F7006)</f>
        <v>10000</v>
      </c>
      <c r="K7006" s="74">
        <f>VLOOKUP(E7006,DATABASE!C:Q,7,false)</f>
        <v>0</v>
      </c>
      <c r="L7006" s="74">
        <v>0.0</v>
      </c>
      <c r="M7006" s="74">
        <f t="shared" si="2"/>
        <v>0</v>
      </c>
      <c r="N7006" s="74">
        <f t="shared" si="3"/>
        <v>120000</v>
      </c>
      <c r="O7006" s="65" t="str">
        <f>VLOOKUP(E7006,DATABASE!C:Q,8,false)</f>
        <v>IBU</v>
      </c>
      <c r="P7006" s="65">
        <f>VLOOKUP(E7006,DATABASE!C:Q,9,False)</f>
        <v>0</v>
      </c>
      <c r="Q7006" s="93" t="str">
        <f>VLOOKUP(E7006,DATABASE!C:Q,4,false)</f>
        <v>SPOORING</v>
      </c>
      <c r="R7006" s="93" t="str">
        <f>VLOOKUP(E7006,DATABASE!C:Q,11,false)</f>
        <v>SERVICE</v>
      </c>
    </row>
    <row r="7007" ht="22.5" customHeight="1">
      <c r="A7007" s="49"/>
      <c r="C7007" s="400">
        <v>46065.0</v>
      </c>
      <c r="D7007" s="524">
        <v>322.0</v>
      </c>
      <c r="E7007" s="544" t="s">
        <v>301</v>
      </c>
      <c r="F7007" s="387">
        <v>1.0</v>
      </c>
      <c r="G7007" s="140">
        <v>250000.0</v>
      </c>
      <c r="H7007" s="74"/>
      <c r="I7007" s="74">
        <f t="shared" si="1"/>
        <v>250000</v>
      </c>
      <c r="J7007" s="74">
        <f>IF(E7007="SERVICE",I7007-(I7007*50%),Vlookup(E7007,DATABASE!C:Q,10,false)*F7007)</f>
        <v>75000</v>
      </c>
      <c r="K7007" s="74">
        <f>VLOOKUP(E7007,DATABASE!C:Q,7,false)</f>
        <v>75000</v>
      </c>
      <c r="L7007" s="74">
        <v>75000.0</v>
      </c>
      <c r="M7007" s="74">
        <f t="shared" si="2"/>
        <v>75000</v>
      </c>
      <c r="N7007" s="74">
        <f t="shared" si="3"/>
        <v>100000</v>
      </c>
      <c r="O7007" s="65" t="str">
        <f>VLOOKUP(E7007,DATABASE!C:Q,8,false)</f>
        <v>BIAN</v>
      </c>
      <c r="P7007" s="65">
        <f>VLOOKUP(E7007,DATABASE!C:Q,9,False)</f>
        <v>0</v>
      </c>
      <c r="Q7007" s="93" t="str">
        <f>VLOOKUP(E7007,DATABASE!C:Q,4,false)</f>
        <v>Baut Camber</v>
      </c>
      <c r="R7007" s="93" t="str">
        <f>VLOOKUP(E7007,DATABASE!C:Q,11,false)</f>
        <v>COMPLEMENTARY</v>
      </c>
    </row>
    <row r="7008" ht="22.5" customHeight="1">
      <c r="A7008" s="49"/>
      <c r="C7008" s="400">
        <v>46065.0</v>
      </c>
      <c r="D7008" s="524">
        <v>323.0</v>
      </c>
      <c r="E7008" s="544" t="s">
        <v>897</v>
      </c>
      <c r="F7008" s="387">
        <v>4.0</v>
      </c>
      <c r="G7008" s="140">
        <v>1600000.0</v>
      </c>
      <c r="H7008" s="140">
        <v>20000.0</v>
      </c>
      <c r="I7008" s="74">
        <f t="shared" si="1"/>
        <v>6320000</v>
      </c>
      <c r="J7008" s="74">
        <f>IF(E7008="SERVICE",I7008-(I7008*50%),Vlookup(E7008,DATABASE!C:Q,10,false)*F7008)</f>
        <v>0</v>
      </c>
      <c r="K7008" s="74">
        <f>VLOOKUP(E7008,DATABASE!C:Q,7,false)</f>
        <v>1560000</v>
      </c>
      <c r="L7008" s="140">
        <v>1480000.0</v>
      </c>
      <c r="M7008" s="74">
        <f t="shared" si="2"/>
        <v>1480000</v>
      </c>
      <c r="N7008" s="74">
        <f t="shared" si="3"/>
        <v>400000</v>
      </c>
      <c r="O7008" s="65" t="str">
        <f>VLOOKUP(E7008,DATABASE!C:Q,8,false)</f>
        <v>BIAN</v>
      </c>
      <c r="P7008" s="65">
        <f>VLOOKUP(E7008,DATABASE!C:Q,9,False)</f>
        <v>1</v>
      </c>
      <c r="Q7008" s="93" t="str">
        <f>VLOOKUP(E7008,DATABASE!C:Q,4,false)</f>
        <v>GT</v>
      </c>
      <c r="R7008" s="93" t="str">
        <f>VLOOKUP(E7008,DATABASE!C:Q,11,false)</f>
        <v>Tire</v>
      </c>
    </row>
    <row r="7009" ht="22.5" customHeight="1">
      <c r="A7009" s="49"/>
      <c r="C7009" s="400">
        <v>46065.0</v>
      </c>
      <c r="D7009" s="524">
        <v>323.0</v>
      </c>
      <c r="E7009" s="544" t="s">
        <v>821</v>
      </c>
      <c r="F7009" s="387">
        <v>1.0</v>
      </c>
      <c r="G7009" s="140">
        <v>85000.0</v>
      </c>
      <c r="H7009" s="140">
        <v>5000.0</v>
      </c>
      <c r="I7009" s="74">
        <f t="shared" si="1"/>
        <v>80000</v>
      </c>
      <c r="J7009" s="74">
        <f>IF(E7009="SERVICE",I7009-(I7009*50%),Vlookup(E7009,DATABASE!C:Q,10,false)*F7009)</f>
        <v>0</v>
      </c>
      <c r="K7009" s="74">
        <f>VLOOKUP(E7009,DATABASE!C:Q,7,false)</f>
        <v>43500</v>
      </c>
      <c r="L7009" s="74">
        <v>43520.0</v>
      </c>
      <c r="M7009" s="74">
        <f t="shared" si="2"/>
        <v>45000</v>
      </c>
      <c r="N7009" s="74">
        <f t="shared" si="3"/>
        <v>35000</v>
      </c>
      <c r="O7009" s="65" t="str">
        <f>VLOOKUP(E7009,DATABASE!C:Q,8,false)</f>
        <v>BIAN</v>
      </c>
      <c r="P7009" s="65">
        <f>VLOOKUP(E7009,DATABASE!C:Q,9,False)</f>
        <v>1</v>
      </c>
      <c r="Q7009" s="93" t="str">
        <f>VLOOKUP(E7009,DATABASE!C:Q,4,false)</f>
        <v>Flap</v>
      </c>
      <c r="R7009" s="93" t="str">
        <f>VLOOKUP(E7009,DATABASE!C:Q,11,false)</f>
        <v>Tire</v>
      </c>
    </row>
    <row r="7010" ht="22.5" customHeight="1">
      <c r="A7010" s="49"/>
      <c r="C7010" s="400">
        <v>46065.0</v>
      </c>
      <c r="D7010" s="524">
        <v>324.0</v>
      </c>
      <c r="E7010" s="544" t="s">
        <v>265</v>
      </c>
      <c r="F7010" s="387">
        <v>1.0</v>
      </c>
      <c r="G7010" s="140">
        <v>685000.0</v>
      </c>
      <c r="H7010" s="74"/>
      <c r="I7010" s="74">
        <f t="shared" si="1"/>
        <v>685000</v>
      </c>
      <c r="J7010" s="74">
        <f>IF(E7010="SERVICE",I7010-(I7010*50%),Vlookup(E7010,DATABASE!C:Q,10,false)*F7010)</f>
        <v>0</v>
      </c>
      <c r="K7010" s="74">
        <f>VLOOKUP(E7010,DATABASE!C:Q,7,false)</f>
        <v>628000</v>
      </c>
      <c r="L7010" s="74">
        <v>600000.0</v>
      </c>
      <c r="M7010" s="74">
        <f t="shared" si="2"/>
        <v>600000</v>
      </c>
      <c r="N7010" s="74">
        <f t="shared" si="3"/>
        <v>85000</v>
      </c>
      <c r="O7010" s="65" t="str">
        <f>VLOOKUP(E7010,DATABASE!C:Q,8,false)</f>
        <v>IBU</v>
      </c>
      <c r="P7010" s="65">
        <f>VLOOKUP(E7010,DATABASE!C:Q,9,False)</f>
        <v>1</v>
      </c>
      <c r="Q7010" s="93" t="str">
        <f>VLOOKUP(E7010,DATABASE!C:Q,4,false)</f>
        <v>Dunlop</v>
      </c>
      <c r="R7010" s="93" t="str">
        <f>VLOOKUP(E7010,DATABASE!C:Q,11,false)</f>
        <v>Tire</v>
      </c>
    </row>
    <row r="7011" ht="22.5" customHeight="1">
      <c r="A7011" s="49"/>
      <c r="C7011" s="400">
        <v>46065.0</v>
      </c>
      <c r="D7011" s="524">
        <v>325.0</v>
      </c>
      <c r="E7011" s="544" t="s">
        <v>268</v>
      </c>
      <c r="F7011" s="387">
        <v>2.0</v>
      </c>
      <c r="G7011" s="140">
        <v>710000.0</v>
      </c>
      <c r="H7011" s="74"/>
      <c r="I7011" s="74">
        <f t="shared" si="1"/>
        <v>1420000</v>
      </c>
      <c r="J7011" s="74">
        <f>IF(E7011="SERVICE",I7011-(I7011*50%),Vlookup(E7011,DATABASE!C:Q,10,false)*F7011)</f>
        <v>0</v>
      </c>
      <c r="K7011" s="74">
        <f>VLOOKUP(E7011,DATABASE!C:Q,7,false)</f>
        <v>653000</v>
      </c>
      <c r="L7011" s="74">
        <v>622000.0</v>
      </c>
      <c r="M7011" s="74">
        <f t="shared" si="2"/>
        <v>625000</v>
      </c>
      <c r="N7011" s="74">
        <f t="shared" si="3"/>
        <v>170000</v>
      </c>
      <c r="O7011" s="65" t="str">
        <f>VLOOKUP(E7011,DATABASE!C:Q,8,false)</f>
        <v>IBU</v>
      </c>
      <c r="P7011" s="65">
        <f>VLOOKUP(E7011,DATABASE!C:Q,9,False)</f>
        <v>1</v>
      </c>
      <c r="Q7011" s="93" t="str">
        <f>VLOOKUP(E7011,DATABASE!C:Q,4,false)</f>
        <v>Dunlop</v>
      </c>
      <c r="R7011" s="93" t="str">
        <f>VLOOKUP(E7011,DATABASE!C:Q,11,false)</f>
        <v>Tire</v>
      </c>
    </row>
    <row r="7012" ht="22.5" customHeight="1">
      <c r="A7012" s="49"/>
      <c r="C7012" s="400">
        <v>46065.0</v>
      </c>
      <c r="D7012" s="524">
        <v>326.0</v>
      </c>
      <c r="E7012" s="544" t="s">
        <v>591</v>
      </c>
      <c r="F7012" s="387">
        <v>1.0</v>
      </c>
      <c r="G7012" s="140">
        <v>700000.0</v>
      </c>
      <c r="H7012" s="74"/>
      <c r="I7012" s="74">
        <f t="shared" si="1"/>
        <v>700000</v>
      </c>
      <c r="J7012" s="74">
        <f>IF(E7012="SERVICE",I7012-(I7012*50%),Vlookup(E7012,DATABASE!C:Q,10,false)*F7012)</f>
        <v>0</v>
      </c>
      <c r="K7012" s="74">
        <f>VLOOKUP(E7012,DATABASE!C:Q,7,false)</f>
        <v>633035.16</v>
      </c>
      <c r="L7012" s="74">
        <v>596694.4</v>
      </c>
      <c r="M7012" s="74">
        <f t="shared" si="2"/>
        <v>600000</v>
      </c>
      <c r="N7012" s="74">
        <f t="shared" si="3"/>
        <v>100000</v>
      </c>
      <c r="O7012" s="65" t="str">
        <f>VLOOKUP(E7012,DATABASE!C:Q,8,false)</f>
        <v>IBU</v>
      </c>
      <c r="P7012" s="65">
        <f>VLOOKUP(E7012,DATABASE!C:Q,9,False)</f>
        <v>1</v>
      </c>
      <c r="Q7012" s="93" t="str">
        <f>VLOOKUP(E7012,DATABASE!C:Q,4,false)</f>
        <v>Bridgestone</v>
      </c>
      <c r="R7012" s="93" t="str">
        <f>VLOOKUP(E7012,DATABASE!C:Q,11,false)</f>
        <v>Tire</v>
      </c>
    </row>
    <row r="7013" ht="22.5" customHeight="1">
      <c r="A7013" s="49"/>
      <c r="C7013" s="400">
        <v>46065.0</v>
      </c>
      <c r="D7013" s="524">
        <v>327.0</v>
      </c>
      <c r="E7013" s="544" t="s">
        <v>932</v>
      </c>
      <c r="F7013" s="387">
        <v>1.0</v>
      </c>
      <c r="G7013" s="140">
        <v>680000.0</v>
      </c>
      <c r="H7013" s="74"/>
      <c r="I7013" s="74">
        <f t="shared" si="1"/>
        <v>680000</v>
      </c>
      <c r="J7013" s="74">
        <f>IF(E7013="SERVICE",I7013-(I7013*50%),Vlookup(E7013,DATABASE!C:Q,10,false)*F7013)</f>
        <v>0</v>
      </c>
      <c r="K7013" s="74">
        <f>VLOOKUP(E7013,DATABASE!C:Q,7,false)</f>
        <v>601000</v>
      </c>
      <c r="L7013" s="74">
        <v>595000.0</v>
      </c>
      <c r="M7013" s="74">
        <f t="shared" si="2"/>
        <v>595000</v>
      </c>
      <c r="N7013" s="74">
        <f t="shared" si="3"/>
        <v>85000</v>
      </c>
      <c r="O7013" s="65" t="str">
        <f>VLOOKUP(E7013,DATABASE!C:Q,8,false)</f>
        <v>IBU</v>
      </c>
      <c r="P7013" s="65">
        <f>VLOOKUP(E7013,DATABASE!C:Q,9,False)</f>
        <v>1</v>
      </c>
      <c r="Q7013" s="93" t="str">
        <f>VLOOKUP(E7013,DATABASE!C:Q,4,false)</f>
        <v>Dunlop</v>
      </c>
      <c r="R7013" s="93" t="str">
        <f>VLOOKUP(E7013,DATABASE!C:Q,11,false)</f>
        <v>Tire</v>
      </c>
    </row>
    <row r="7014" ht="22.5" customHeight="1">
      <c r="A7014" s="49"/>
      <c r="C7014" s="400">
        <v>46066.0</v>
      </c>
      <c r="D7014" s="524">
        <v>328.0</v>
      </c>
      <c r="E7014" s="544" t="s">
        <v>286</v>
      </c>
      <c r="F7014" s="387">
        <v>4.0</v>
      </c>
      <c r="G7014" s="140">
        <v>560000.0</v>
      </c>
      <c r="H7014" s="140">
        <v>10000.0</v>
      </c>
      <c r="I7014" s="74">
        <f t="shared" si="1"/>
        <v>2200000</v>
      </c>
      <c r="J7014" s="74">
        <f>IF(E7014="SERVICE",I7014-(I7014*50%),Vlookup(E7014,DATABASE!C:Q,10,false)*F7014)</f>
        <v>0</v>
      </c>
      <c r="K7014" s="74">
        <f>VLOOKUP(E7014,DATABASE!C:Q,7,false)</f>
        <v>488320</v>
      </c>
      <c r="L7014" s="74">
        <v>452970.0</v>
      </c>
      <c r="M7014" s="74">
        <f t="shared" si="2"/>
        <v>455000</v>
      </c>
      <c r="N7014" s="74">
        <f t="shared" si="3"/>
        <v>380000</v>
      </c>
      <c r="O7014" s="65" t="str">
        <f>VLOOKUP(E7014,DATABASE!C:Q,8,false)</f>
        <v>BIAN</v>
      </c>
      <c r="P7014" s="65">
        <f>VLOOKUP(E7014,DATABASE!C:Q,9,False)</f>
        <v>1</v>
      </c>
      <c r="Q7014" s="93" t="str">
        <f>VLOOKUP(E7014,DATABASE!C:Q,4,false)</f>
        <v>GT</v>
      </c>
      <c r="R7014" s="93" t="str">
        <f>VLOOKUP(E7014,DATABASE!C:Q,11,false)</f>
        <v>Tire</v>
      </c>
    </row>
    <row r="7015" ht="22.5" customHeight="1">
      <c r="A7015" s="49"/>
      <c r="C7015" s="400">
        <v>46066.0</v>
      </c>
      <c r="D7015" s="524">
        <v>329.0</v>
      </c>
      <c r="E7015" s="544" t="s">
        <v>605</v>
      </c>
      <c r="F7015" s="387">
        <v>2.0</v>
      </c>
      <c r="G7015" s="140">
        <v>760000.0</v>
      </c>
      <c r="H7015" s="140">
        <v>25000.0</v>
      </c>
      <c r="I7015" s="74">
        <f t="shared" si="1"/>
        <v>1470000</v>
      </c>
      <c r="J7015" s="74">
        <f>IF(E7015="SERVICE",I7015-(I7015*50%),Vlookup(E7015,DATABASE!C:Q,10,false)*F7015)</f>
        <v>0</v>
      </c>
      <c r="K7015" s="74">
        <f>VLOOKUP(E7015,DATABASE!C:Q,7,false)</f>
        <v>675000</v>
      </c>
      <c r="L7015" s="74">
        <v>650000.0</v>
      </c>
      <c r="M7015" s="74">
        <f t="shared" si="2"/>
        <v>650000</v>
      </c>
      <c r="N7015" s="74">
        <f t="shared" si="3"/>
        <v>170000</v>
      </c>
      <c r="O7015" s="65" t="str">
        <f>VLOOKUP(E7015,DATABASE!C:Q,8,false)</f>
        <v>IBU</v>
      </c>
      <c r="P7015" s="65">
        <f>VLOOKUP(E7015,DATABASE!C:Q,9,False)</f>
        <v>1</v>
      </c>
      <c r="Q7015" s="93" t="str">
        <f>VLOOKUP(E7015,DATABASE!C:Q,4,false)</f>
        <v>Bridgestone</v>
      </c>
      <c r="R7015" s="93" t="str">
        <f>VLOOKUP(E7015,DATABASE!C:Q,11,false)</f>
        <v>Tire</v>
      </c>
    </row>
    <row r="7016" ht="22.5" customHeight="1">
      <c r="A7016" s="49"/>
      <c r="C7016" s="400">
        <v>46066.0</v>
      </c>
      <c r="D7016" s="524">
        <v>330.0</v>
      </c>
      <c r="E7016" s="544" t="s">
        <v>1597</v>
      </c>
      <c r="F7016" s="387">
        <v>1.0</v>
      </c>
      <c r="G7016" s="140">
        <v>645000.0</v>
      </c>
      <c r="H7016" s="74"/>
      <c r="I7016" s="74">
        <f t="shared" si="1"/>
        <v>645000</v>
      </c>
      <c r="J7016" s="74">
        <f>IF(E7016="SERVICE",I7016-(I7016*50%),Vlookup(E7016,DATABASE!C:Q,10,false)*F7016)</f>
        <v>0</v>
      </c>
      <c r="K7016" s="74">
        <f>VLOOKUP(E7016,DATABASE!C:Q,7,false)</f>
        <v>560700</v>
      </c>
      <c r="L7016" s="74">
        <v>544300.0</v>
      </c>
      <c r="M7016" s="74">
        <f t="shared" si="2"/>
        <v>545000</v>
      </c>
      <c r="N7016" s="74">
        <f t="shared" si="3"/>
        <v>100000</v>
      </c>
      <c r="O7016" s="65" t="str">
        <f>VLOOKUP(E7016,DATABASE!C:Q,8,false)</f>
        <v>BIAN</v>
      </c>
      <c r="P7016" s="65">
        <f>VLOOKUP(E7016,DATABASE!C:Q,9,False)</f>
        <v>1</v>
      </c>
      <c r="Q7016" s="93" t="str">
        <f>VLOOKUP(E7016,DATABASE!C:Q,4,false)</f>
        <v>GT</v>
      </c>
      <c r="R7016" s="93" t="str">
        <f>VLOOKUP(E7016,DATABASE!C:Q,11,false)</f>
        <v>Tire</v>
      </c>
    </row>
    <row r="7017" ht="22.5" customHeight="1">
      <c r="A7017" s="49"/>
      <c r="C7017" s="400">
        <v>46066.0</v>
      </c>
      <c r="D7017" s="524">
        <v>331.0</v>
      </c>
      <c r="E7017" s="544" t="s">
        <v>275</v>
      </c>
      <c r="F7017" s="387">
        <v>2.0</v>
      </c>
      <c r="G7017" s="140">
        <v>830000.0</v>
      </c>
      <c r="H7017" s="74"/>
      <c r="I7017" s="74">
        <f t="shared" si="1"/>
        <v>1660000</v>
      </c>
      <c r="J7017" s="74">
        <f>IF(E7017="SERVICE",I7017-(I7017*50%),Vlookup(E7017,DATABASE!C:Q,10,false)*F7017)</f>
        <v>0</v>
      </c>
      <c r="K7017" s="74">
        <f>VLOOKUP(E7017,DATABASE!C:Q,7,false)</f>
        <v>782000</v>
      </c>
      <c r="L7017" s="74">
        <v>745000.0</v>
      </c>
      <c r="M7017" s="74">
        <f t="shared" si="2"/>
        <v>745000</v>
      </c>
      <c r="N7017" s="74">
        <f t="shared" si="3"/>
        <v>170000</v>
      </c>
      <c r="O7017" s="65" t="str">
        <f>VLOOKUP(E7017,DATABASE!C:Q,8,false)</f>
        <v>IBU</v>
      </c>
      <c r="P7017" s="65">
        <f>VLOOKUP(E7017,DATABASE!C:Q,9,False)</f>
        <v>1</v>
      </c>
      <c r="Q7017" s="93" t="str">
        <f>VLOOKUP(E7017,DATABASE!C:Q,4,false)</f>
        <v>Dunlop</v>
      </c>
      <c r="R7017" s="93" t="str">
        <f>VLOOKUP(E7017,DATABASE!C:Q,11,false)</f>
        <v>Tire</v>
      </c>
    </row>
    <row r="7018" ht="22.5" customHeight="1">
      <c r="A7018" s="49"/>
      <c r="C7018" s="400">
        <v>46066.0</v>
      </c>
      <c r="D7018" s="524">
        <v>332.0</v>
      </c>
      <c r="E7018" s="544" t="s">
        <v>932</v>
      </c>
      <c r="F7018" s="387">
        <v>2.0</v>
      </c>
      <c r="G7018" s="140">
        <v>680000.0</v>
      </c>
      <c r="H7018" s="74"/>
      <c r="I7018" s="74">
        <f t="shared" si="1"/>
        <v>1360000</v>
      </c>
      <c r="J7018" s="74">
        <f>IF(E7018="SERVICE",I7018-(I7018*50%),Vlookup(E7018,DATABASE!C:Q,10,false)*F7018)</f>
        <v>0</v>
      </c>
      <c r="K7018" s="74">
        <f>VLOOKUP(E7018,DATABASE!C:Q,7,false)</f>
        <v>601000</v>
      </c>
      <c r="L7018" s="74">
        <v>595000.0</v>
      </c>
      <c r="M7018" s="74">
        <f t="shared" si="2"/>
        <v>595000</v>
      </c>
      <c r="N7018" s="74">
        <f t="shared" si="3"/>
        <v>170000</v>
      </c>
      <c r="O7018" s="65" t="str">
        <f>VLOOKUP(E7018,DATABASE!C:Q,8,false)</f>
        <v>IBU</v>
      </c>
      <c r="P7018" s="65">
        <f>VLOOKUP(E7018,DATABASE!C:Q,9,False)</f>
        <v>1</v>
      </c>
      <c r="Q7018" s="93" t="str">
        <f>VLOOKUP(E7018,DATABASE!C:Q,4,false)</f>
        <v>Dunlop</v>
      </c>
      <c r="R7018" s="93" t="str">
        <f>VLOOKUP(E7018,DATABASE!C:Q,11,false)</f>
        <v>Tire</v>
      </c>
    </row>
    <row r="7019" ht="22.5" customHeight="1">
      <c r="A7019" s="49"/>
      <c r="C7019" s="400">
        <v>46066.0</v>
      </c>
      <c r="D7019" s="69">
        <v>333.0</v>
      </c>
      <c r="E7019" s="544" t="s">
        <v>932</v>
      </c>
      <c r="F7019" s="387">
        <v>2.0</v>
      </c>
      <c r="G7019" s="140">
        <v>680000.0</v>
      </c>
      <c r="H7019" s="74"/>
      <c r="I7019" s="74">
        <f t="shared" si="1"/>
        <v>1360000</v>
      </c>
      <c r="J7019" s="74">
        <f>IF(E7019="SERVICE",I7019-(I7019*50%),Vlookup(E7019,DATABASE!C:Q,10,false)*F7019)</f>
        <v>0</v>
      </c>
      <c r="K7019" s="74">
        <f>VLOOKUP(E7019,DATABASE!C:Q,7,false)</f>
        <v>601000</v>
      </c>
      <c r="L7019" s="74">
        <v>595000.0</v>
      </c>
      <c r="M7019" s="74">
        <f t="shared" si="2"/>
        <v>595000</v>
      </c>
      <c r="N7019" s="74">
        <f t="shared" si="3"/>
        <v>170000</v>
      </c>
      <c r="O7019" s="65" t="str">
        <f>VLOOKUP(E7019,DATABASE!C:Q,8,false)</f>
        <v>IBU</v>
      </c>
      <c r="P7019" s="65">
        <f>VLOOKUP(E7019,DATABASE!C:Q,9,False)</f>
        <v>1</v>
      </c>
      <c r="Q7019" s="93" t="str">
        <f>VLOOKUP(E7019,DATABASE!C:Q,4,false)</f>
        <v>Dunlop</v>
      </c>
      <c r="R7019" s="93" t="str">
        <f>VLOOKUP(E7019,DATABASE!C:Q,11,false)</f>
        <v>Tire</v>
      </c>
    </row>
    <row r="7020" ht="22.5" customHeight="1">
      <c r="A7020" s="49"/>
      <c r="C7020" s="400">
        <v>46066.0</v>
      </c>
      <c r="D7020" s="524">
        <v>334.0</v>
      </c>
      <c r="E7020" s="544" t="s">
        <v>566</v>
      </c>
      <c r="F7020" s="387">
        <v>2.0</v>
      </c>
      <c r="G7020" s="140">
        <v>1670000.0</v>
      </c>
      <c r="H7020" s="140">
        <v>20000.0</v>
      </c>
      <c r="I7020" s="74">
        <f t="shared" si="1"/>
        <v>3300000</v>
      </c>
      <c r="J7020" s="74">
        <f>IF(E7020="SERVICE",I7020-(I7020*50%),Vlookup(E7020,DATABASE!C:Q,10,false)*F7020)</f>
        <v>0</v>
      </c>
      <c r="K7020" s="74">
        <f>VLOOKUP(E7020,DATABASE!C:Q,7,false)</f>
        <v>1565000</v>
      </c>
      <c r="L7020" s="74">
        <v>1545000.0</v>
      </c>
      <c r="M7020" s="74">
        <f t="shared" si="2"/>
        <v>1545000</v>
      </c>
      <c r="N7020" s="74">
        <f t="shared" si="3"/>
        <v>210000</v>
      </c>
      <c r="O7020" s="65" t="str">
        <f>VLOOKUP(E7020,DATABASE!C:Q,8,false)</f>
        <v>IBU</v>
      </c>
      <c r="P7020" s="65">
        <f>VLOOKUP(E7020,DATABASE!C:Q,9,False)</f>
        <v>1</v>
      </c>
      <c r="Q7020" s="93" t="str">
        <f>VLOOKUP(E7020,DATABASE!C:Q,4,false)</f>
        <v>Bridgestone</v>
      </c>
      <c r="R7020" s="93" t="str">
        <f>VLOOKUP(E7020,DATABASE!C:Q,11,false)</f>
        <v>Tire</v>
      </c>
    </row>
    <row r="7021" ht="22.5" customHeight="1">
      <c r="A7021" s="49"/>
      <c r="C7021" s="400">
        <v>46066.0</v>
      </c>
      <c r="D7021" s="524">
        <v>334.0</v>
      </c>
      <c r="E7021" s="544" t="s">
        <v>744</v>
      </c>
      <c r="F7021" s="387">
        <v>2.0</v>
      </c>
      <c r="G7021" s="140">
        <v>230000.0</v>
      </c>
      <c r="H7021" s="74"/>
      <c r="I7021" s="74">
        <f t="shared" si="1"/>
        <v>460000</v>
      </c>
      <c r="J7021" s="74">
        <f>IF(E7021="SERVICE",I7021-(I7021*50%),Vlookup(E7021,DATABASE!C:Q,10,false)*F7021)</f>
        <v>0</v>
      </c>
      <c r="K7021" s="74">
        <f>VLOOKUP(E7021,DATABASE!C:Q,7,false)</f>
        <v>182200</v>
      </c>
      <c r="L7021" s="74">
        <v>199920.0</v>
      </c>
      <c r="M7021" s="74">
        <f t="shared" si="2"/>
        <v>200000</v>
      </c>
      <c r="N7021" s="74">
        <f t="shared" si="3"/>
        <v>60000</v>
      </c>
      <c r="O7021" s="65" t="str">
        <f>VLOOKUP(E7021,DATABASE!C:Q,8,false)</f>
        <v>BIAN</v>
      </c>
      <c r="P7021" s="65">
        <f>VLOOKUP(E7021,DATABASE!C:Q,9,False)</f>
        <v>1</v>
      </c>
      <c r="Q7021" s="93" t="str">
        <f>VLOOKUP(E7021,DATABASE!C:Q,4,false)</f>
        <v>BD</v>
      </c>
      <c r="R7021" s="93" t="str">
        <f>VLOOKUP(E7021,DATABASE!C:Q,11,false)</f>
        <v>Tire</v>
      </c>
    </row>
    <row r="7022" ht="22.5" customHeight="1">
      <c r="A7022" s="49"/>
      <c r="C7022" s="400">
        <v>46066.0</v>
      </c>
      <c r="D7022" s="524">
        <v>334.0</v>
      </c>
      <c r="E7022" s="544" t="s">
        <v>821</v>
      </c>
      <c r="F7022" s="387">
        <v>1.0</v>
      </c>
      <c r="G7022" s="140">
        <v>85000.0</v>
      </c>
      <c r="H7022" s="74"/>
      <c r="I7022" s="74">
        <f t="shared" si="1"/>
        <v>85000</v>
      </c>
      <c r="J7022" s="74">
        <f>IF(E7022="SERVICE",I7022-(I7022*50%),Vlookup(E7022,DATABASE!C:Q,10,false)*F7022)</f>
        <v>0</v>
      </c>
      <c r="K7022" s="74">
        <f>VLOOKUP(E7022,DATABASE!C:Q,7,false)</f>
        <v>43500</v>
      </c>
      <c r="L7022" s="74">
        <v>43520.0</v>
      </c>
      <c r="M7022" s="74">
        <f t="shared" si="2"/>
        <v>45000</v>
      </c>
      <c r="N7022" s="74">
        <f t="shared" si="3"/>
        <v>40000</v>
      </c>
      <c r="O7022" s="65" t="str">
        <f>VLOOKUP(E7022,DATABASE!C:Q,8,false)</f>
        <v>BIAN</v>
      </c>
      <c r="P7022" s="65">
        <f>VLOOKUP(E7022,DATABASE!C:Q,9,False)</f>
        <v>1</v>
      </c>
      <c r="Q7022" s="93" t="str">
        <f>VLOOKUP(E7022,DATABASE!C:Q,4,false)</f>
        <v>Flap</v>
      </c>
      <c r="R7022" s="93" t="str">
        <f>VLOOKUP(E7022,DATABASE!C:Q,11,false)</f>
        <v>Tire</v>
      </c>
    </row>
    <row r="7023" ht="22.5" customHeight="1">
      <c r="A7023" s="49"/>
      <c r="C7023" s="400">
        <v>46066.0</v>
      </c>
      <c r="D7023" s="524">
        <v>335.0</v>
      </c>
      <c r="E7023" s="544" t="s">
        <v>1439</v>
      </c>
      <c r="F7023" s="387">
        <v>2.0</v>
      </c>
      <c r="G7023" s="140">
        <v>640000.0</v>
      </c>
      <c r="H7023" s="140">
        <v>10000.0</v>
      </c>
      <c r="I7023" s="74">
        <f t="shared" si="1"/>
        <v>1260000</v>
      </c>
      <c r="J7023" s="74">
        <f>IF(E7023="SERVICE",I7023-(I7023*50%),Vlookup(E7023,DATABASE!C:Q,10,false)*F7023)</f>
        <v>0</v>
      </c>
      <c r="K7023" s="74">
        <f>VLOOKUP(E7023,DATABASE!C:Q,7,false)</f>
        <v>556800</v>
      </c>
      <c r="L7023" s="74">
        <v>540800.0</v>
      </c>
      <c r="M7023" s="74">
        <f t="shared" si="2"/>
        <v>545000</v>
      </c>
      <c r="N7023" s="74">
        <f t="shared" si="3"/>
        <v>170000</v>
      </c>
      <c r="O7023" s="65" t="str">
        <f>VLOOKUP(E7023,DATABASE!C:Q,8,false)</f>
        <v>BIAN</v>
      </c>
      <c r="P7023" s="65">
        <f>VLOOKUP(E7023,DATABASE!C:Q,9,False)</f>
        <v>1</v>
      </c>
      <c r="Q7023" s="93" t="str">
        <f>VLOOKUP(E7023,DATABASE!C:Q,4,false)</f>
        <v>GT</v>
      </c>
      <c r="R7023" s="93" t="str">
        <f>VLOOKUP(E7023,DATABASE!C:Q,11,false)</f>
        <v>Tire</v>
      </c>
    </row>
    <row r="7024" ht="22.5" customHeight="1">
      <c r="A7024" s="49"/>
      <c r="C7024" s="400">
        <v>46066.0</v>
      </c>
      <c r="D7024" s="524">
        <v>336.0</v>
      </c>
      <c r="E7024" s="544" t="s">
        <v>262</v>
      </c>
      <c r="F7024" s="387">
        <v>1.0</v>
      </c>
      <c r="G7024" s="140">
        <v>110000.0</v>
      </c>
      <c r="H7024" s="74"/>
      <c r="I7024" s="74">
        <f t="shared" si="1"/>
        <v>110000</v>
      </c>
      <c r="J7024" s="74">
        <f>IF(E7024="SERVICE",I7024-(I7024*50%),Vlookup(E7024,DATABASE!C:Q,10,false)*F7024)</f>
        <v>5000</v>
      </c>
      <c r="K7024" s="74">
        <f>VLOOKUP(E7024,DATABASE!C:Q,7,false)</f>
        <v>0</v>
      </c>
      <c r="L7024" s="74">
        <v>0.0</v>
      </c>
      <c r="M7024" s="74">
        <f t="shared" si="2"/>
        <v>0</v>
      </c>
      <c r="N7024" s="74">
        <f t="shared" si="3"/>
        <v>105000</v>
      </c>
      <c r="O7024" s="65" t="str">
        <f>VLOOKUP(E7024,DATABASE!C:Q,8,false)</f>
        <v>IBU</v>
      </c>
      <c r="P7024" s="65">
        <f>VLOOKUP(E7024,DATABASE!C:Q,9,False)</f>
        <v>0</v>
      </c>
      <c r="Q7024" s="93" t="str">
        <f>VLOOKUP(E7024,DATABASE!C:Q,4,false)</f>
        <v>SPOORING SS/CARRY LOS BAK</v>
      </c>
      <c r="R7024" s="93" t="str">
        <f>VLOOKUP(E7024,DATABASE!C:Q,11,false)</f>
        <v>SERVICE</v>
      </c>
    </row>
    <row r="7025" ht="22.5" customHeight="1">
      <c r="A7025" s="49"/>
      <c r="C7025" s="400">
        <v>46066.0</v>
      </c>
      <c r="D7025" s="524">
        <v>336.0</v>
      </c>
      <c r="E7025" s="544" t="s">
        <v>305</v>
      </c>
      <c r="F7025" s="387">
        <v>1.0</v>
      </c>
      <c r="G7025" s="140">
        <v>235000.0</v>
      </c>
      <c r="H7025" s="140">
        <v>20000.0</v>
      </c>
      <c r="I7025" s="74">
        <f t="shared" si="1"/>
        <v>215000</v>
      </c>
      <c r="J7025" s="74">
        <f>IF(E7025="SERVICE",I7025-(I7025*50%),Vlookup(E7025,DATABASE!C:Q,10,false)*F7025)</f>
        <v>40000</v>
      </c>
      <c r="K7025" s="74">
        <f>VLOOKUP(E7025,DATABASE!C:Q,7,false)</f>
        <v>158530.2</v>
      </c>
      <c r="L7025" s="74">
        <v>151890.0</v>
      </c>
      <c r="M7025" s="74">
        <f t="shared" si="2"/>
        <v>155000</v>
      </c>
      <c r="N7025" s="74">
        <f t="shared" si="3"/>
        <v>20000</v>
      </c>
      <c r="O7025" s="65" t="str">
        <f>VLOOKUP(E7025,DATABASE!C:Q,8,false)</f>
        <v>BIAN</v>
      </c>
      <c r="P7025" s="65">
        <f>VLOOKUP(E7025,DATABASE!C:Q,9,False)</f>
        <v>1</v>
      </c>
      <c r="Q7025" s="93" t="str">
        <f>VLOOKUP(E7025,DATABASE!C:Q,4,false)</f>
        <v>Lower Arm</v>
      </c>
      <c r="R7025" s="93" t="str">
        <f>VLOOKUP(E7025,DATABASE!C:Q,11,false)</f>
        <v>COMPLEMENTARY</v>
      </c>
    </row>
    <row r="7026" ht="22.5" customHeight="1">
      <c r="A7026" s="49"/>
      <c r="C7026" s="400">
        <v>46066.0</v>
      </c>
      <c r="D7026" s="524">
        <v>336.0</v>
      </c>
      <c r="E7026" s="544" t="s">
        <v>478</v>
      </c>
      <c r="F7026" s="387">
        <v>1.0</v>
      </c>
      <c r="G7026" s="140">
        <v>200000.0</v>
      </c>
      <c r="H7026" s="140">
        <v>0.0</v>
      </c>
      <c r="I7026" s="74">
        <f t="shared" si="1"/>
        <v>200000</v>
      </c>
      <c r="J7026" s="74">
        <f>IF(E7026="SERVICE",I7026-(I7026*50%),Vlookup(E7026,DATABASE!C:Q,10,false)*F7026)</f>
        <v>25000</v>
      </c>
      <c r="K7026" s="74">
        <f>VLOOKUP(E7026,DATABASE!C:Q,7,false)</f>
        <v>75000</v>
      </c>
      <c r="L7026" s="74">
        <v>75000.0</v>
      </c>
      <c r="M7026" s="74">
        <f t="shared" si="2"/>
        <v>75000</v>
      </c>
      <c r="N7026" s="74">
        <f t="shared" si="3"/>
        <v>100000</v>
      </c>
      <c r="O7026" s="65" t="str">
        <f>VLOOKUP(E7026,DATABASE!C:Q,8,false)</f>
        <v>BIAN</v>
      </c>
      <c r="P7026" s="65">
        <f>VLOOKUP(E7026,DATABASE!C:Q,9,False)</f>
        <v>0</v>
      </c>
      <c r="Q7026" s="93" t="str">
        <f>VLOOKUP(E7026,DATABASE!C:Q,4,false)</f>
        <v>Baut Camber ss-carry</v>
      </c>
      <c r="R7026" s="93" t="str">
        <f>VLOOKUP(E7026,DATABASE!C:Q,11,false)</f>
        <v>COMPLEMENTARY</v>
      </c>
    </row>
    <row r="7027" ht="22.5" customHeight="1">
      <c r="A7027" s="49"/>
      <c r="C7027" s="400">
        <v>46066.0</v>
      </c>
      <c r="D7027" s="524">
        <v>337.0</v>
      </c>
      <c r="E7027" s="544" t="s">
        <v>605</v>
      </c>
      <c r="F7027" s="387">
        <v>2.0</v>
      </c>
      <c r="G7027" s="140">
        <v>760000.0</v>
      </c>
      <c r="H7027" s="140">
        <v>25000.0</v>
      </c>
      <c r="I7027" s="74">
        <f t="shared" si="1"/>
        <v>1470000</v>
      </c>
      <c r="J7027" s="74">
        <f>IF(E7027="SERVICE",I7027-(I7027*50%),Vlookup(E7027,DATABASE!C:Q,10,false)*F7027)</f>
        <v>0</v>
      </c>
      <c r="K7027" s="74">
        <f>VLOOKUP(E7027,DATABASE!C:Q,7,false)</f>
        <v>675000</v>
      </c>
      <c r="L7027" s="74">
        <v>650000.0</v>
      </c>
      <c r="M7027" s="74">
        <f t="shared" si="2"/>
        <v>650000</v>
      </c>
      <c r="N7027" s="74">
        <f t="shared" si="3"/>
        <v>170000</v>
      </c>
      <c r="O7027" s="65" t="str">
        <f>VLOOKUP(E7027,DATABASE!C:Q,8,false)</f>
        <v>IBU</v>
      </c>
      <c r="P7027" s="65">
        <f>VLOOKUP(E7027,DATABASE!C:Q,9,False)</f>
        <v>1</v>
      </c>
      <c r="Q7027" s="93" t="str">
        <f>VLOOKUP(E7027,DATABASE!C:Q,4,false)</f>
        <v>Bridgestone</v>
      </c>
      <c r="R7027" s="93" t="str">
        <f>VLOOKUP(E7027,DATABASE!C:Q,11,false)</f>
        <v>Tire</v>
      </c>
    </row>
    <row r="7028" ht="22.5" customHeight="1">
      <c r="A7028" s="49"/>
      <c r="C7028" s="400">
        <v>46066.0</v>
      </c>
      <c r="D7028" s="524">
        <v>337.0</v>
      </c>
      <c r="E7028" s="544" t="s">
        <v>299</v>
      </c>
      <c r="F7028" s="387">
        <v>2.0</v>
      </c>
      <c r="G7028" s="140">
        <v>30000.0</v>
      </c>
      <c r="H7028" s="74"/>
      <c r="I7028" s="74">
        <f t="shared" si="1"/>
        <v>60000</v>
      </c>
      <c r="J7028" s="74">
        <f>IF(E7028="SERVICE",I7028-(I7028*50%),Vlookup(E7028,DATABASE!C:Q,10,false)*F7028)</f>
        <v>0</v>
      </c>
      <c r="K7028" s="74">
        <f>VLOOKUP(E7028,DATABASE!C:Q,7,false)</f>
        <v>10000</v>
      </c>
      <c r="L7028" s="74">
        <v>10000.0</v>
      </c>
      <c r="M7028" s="74">
        <f t="shared" si="2"/>
        <v>10000</v>
      </c>
      <c r="N7028" s="74">
        <f t="shared" si="3"/>
        <v>40000</v>
      </c>
      <c r="O7028" s="65" t="str">
        <f>VLOOKUP(E7028,DATABASE!C:Q,8,false)</f>
        <v>BIAN</v>
      </c>
      <c r="P7028" s="65">
        <f>VLOOKUP(E7028,DATABASE!C:Q,9,False)</f>
        <v>0</v>
      </c>
      <c r="Q7028" s="93" t="str">
        <f>VLOOKUP(E7028,DATABASE!C:Q,4,false)</f>
        <v>Balancing</v>
      </c>
      <c r="R7028" s="93" t="str">
        <f>VLOOKUP(E7028,DATABASE!C:Q,11,false)</f>
        <v>COMPLEMENTARY</v>
      </c>
    </row>
    <row r="7029" ht="22.5" customHeight="1">
      <c r="A7029" s="49"/>
      <c r="C7029" s="400">
        <v>46066.0</v>
      </c>
      <c r="D7029" s="524">
        <v>337.0</v>
      </c>
      <c r="E7029" s="544" t="s">
        <v>256</v>
      </c>
      <c r="F7029" s="387">
        <v>1.0</v>
      </c>
      <c r="G7029" s="140">
        <v>150000.0</v>
      </c>
      <c r="H7029" s="140">
        <v>20000.0</v>
      </c>
      <c r="I7029" s="74">
        <f t="shared" si="1"/>
        <v>130000</v>
      </c>
      <c r="J7029" s="74">
        <f>IF(E7029="SERVICE",I7029-(I7029*50%),Vlookup(E7029,DATABASE!C:Q,10,false)*F7029)</f>
        <v>10000</v>
      </c>
      <c r="K7029" s="74">
        <f>VLOOKUP(E7029,DATABASE!C:Q,7,false)</f>
        <v>0</v>
      </c>
      <c r="L7029" s="74">
        <v>0.0</v>
      </c>
      <c r="M7029" s="74">
        <f t="shared" si="2"/>
        <v>0</v>
      </c>
      <c r="N7029" s="74">
        <f t="shared" si="3"/>
        <v>120000</v>
      </c>
      <c r="O7029" s="65" t="str">
        <f>VLOOKUP(E7029,DATABASE!C:Q,8,false)</f>
        <v>IBU</v>
      </c>
      <c r="P7029" s="65">
        <f>VLOOKUP(E7029,DATABASE!C:Q,9,False)</f>
        <v>0</v>
      </c>
      <c r="Q7029" s="93" t="str">
        <f>VLOOKUP(E7029,DATABASE!C:Q,4,false)</f>
        <v>SPOORING</v>
      </c>
      <c r="R7029" s="93" t="str">
        <f>VLOOKUP(E7029,DATABASE!C:Q,11,false)</f>
        <v>SERVICE</v>
      </c>
    </row>
    <row r="7030" ht="22.5" customHeight="1">
      <c r="A7030" s="49"/>
      <c r="C7030" s="400">
        <v>46066.0</v>
      </c>
      <c r="D7030" s="524">
        <v>337.0</v>
      </c>
      <c r="E7030" s="544" t="s">
        <v>301</v>
      </c>
      <c r="F7030" s="387">
        <v>1.0</v>
      </c>
      <c r="G7030" s="140">
        <v>250000.0</v>
      </c>
      <c r="H7030" s="74"/>
      <c r="I7030" s="74">
        <f t="shared" si="1"/>
        <v>250000</v>
      </c>
      <c r="J7030" s="74">
        <f>IF(E7030="SERVICE",I7030-(I7030*50%),Vlookup(E7030,DATABASE!C:Q,10,false)*F7030)</f>
        <v>75000</v>
      </c>
      <c r="K7030" s="74">
        <f>VLOOKUP(E7030,DATABASE!C:Q,7,false)</f>
        <v>75000</v>
      </c>
      <c r="L7030" s="74">
        <v>75000.0</v>
      </c>
      <c r="M7030" s="74">
        <f t="shared" si="2"/>
        <v>75000</v>
      </c>
      <c r="N7030" s="74">
        <f t="shared" si="3"/>
        <v>100000</v>
      </c>
      <c r="O7030" s="65" t="str">
        <f>VLOOKUP(E7030,DATABASE!C:Q,8,false)</f>
        <v>BIAN</v>
      </c>
      <c r="P7030" s="65">
        <f>VLOOKUP(E7030,DATABASE!C:Q,9,False)</f>
        <v>0</v>
      </c>
      <c r="Q7030" s="93" t="str">
        <f>VLOOKUP(E7030,DATABASE!C:Q,4,false)</f>
        <v>Baut Camber</v>
      </c>
      <c r="R7030" s="93" t="str">
        <f>VLOOKUP(E7030,DATABASE!C:Q,11,false)</f>
        <v>COMPLEMENTARY</v>
      </c>
    </row>
    <row r="7031" ht="22.5" customHeight="1">
      <c r="A7031" s="49"/>
      <c r="C7031" s="400">
        <v>46066.0</v>
      </c>
      <c r="D7031" s="524">
        <v>338.0</v>
      </c>
      <c r="E7031" s="544" t="s">
        <v>265</v>
      </c>
      <c r="F7031" s="387">
        <v>1.0</v>
      </c>
      <c r="G7031" s="140">
        <v>685000.0</v>
      </c>
      <c r="H7031" s="74"/>
      <c r="I7031" s="74">
        <f t="shared" si="1"/>
        <v>685000</v>
      </c>
      <c r="J7031" s="74">
        <f>IF(E7031="SERVICE",I7031-(I7031*50%),Vlookup(E7031,DATABASE!C:Q,10,false)*F7031)</f>
        <v>0</v>
      </c>
      <c r="K7031" s="74">
        <f>VLOOKUP(E7031,DATABASE!C:Q,7,false)</f>
        <v>628000</v>
      </c>
      <c r="L7031" s="74">
        <v>600000.0</v>
      </c>
      <c r="M7031" s="74">
        <f t="shared" si="2"/>
        <v>600000</v>
      </c>
      <c r="N7031" s="74">
        <f t="shared" si="3"/>
        <v>85000</v>
      </c>
      <c r="O7031" s="65" t="str">
        <f>VLOOKUP(E7031,DATABASE!C:Q,8,false)</f>
        <v>IBU</v>
      </c>
      <c r="P7031" s="65">
        <f>VLOOKUP(E7031,DATABASE!C:Q,9,False)</f>
        <v>1</v>
      </c>
      <c r="Q7031" s="93" t="str">
        <f>VLOOKUP(E7031,DATABASE!C:Q,4,false)</f>
        <v>Dunlop</v>
      </c>
      <c r="R7031" s="93" t="str">
        <f>VLOOKUP(E7031,DATABASE!C:Q,11,false)</f>
        <v>Tire</v>
      </c>
    </row>
    <row r="7032" ht="22.5" customHeight="1">
      <c r="A7032" s="49"/>
      <c r="C7032" s="400">
        <v>46066.0</v>
      </c>
      <c r="D7032" s="524">
        <v>339.0</v>
      </c>
      <c r="E7032" s="544" t="s">
        <v>937</v>
      </c>
      <c r="F7032" s="387">
        <v>1.0</v>
      </c>
      <c r="G7032" s="140">
        <v>900000.0</v>
      </c>
      <c r="H7032" s="140">
        <v>20000.0</v>
      </c>
      <c r="I7032" s="74">
        <f t="shared" si="1"/>
        <v>880000</v>
      </c>
      <c r="J7032" s="74">
        <f>IF(E7032="SERVICE",I7032-(I7032*50%),Vlookup(E7032,DATABASE!C:Q,10,false)*F7032)</f>
        <v>0</v>
      </c>
      <c r="K7032" s="74">
        <f>VLOOKUP(E7032,DATABASE!C:Q,7,false)</f>
        <v>825000</v>
      </c>
      <c r="L7032" s="74">
        <v>790000.0</v>
      </c>
      <c r="M7032" s="74">
        <f t="shared" si="2"/>
        <v>790000</v>
      </c>
      <c r="N7032" s="74">
        <f t="shared" si="3"/>
        <v>90000</v>
      </c>
      <c r="O7032" s="65" t="str">
        <f>VLOOKUP(E7032,DATABASE!C:Q,8,false)</f>
        <v>IBU</v>
      </c>
      <c r="P7032" s="65">
        <f>VLOOKUP(E7032,DATABASE!C:Q,9,False)</f>
        <v>1</v>
      </c>
      <c r="Q7032" s="93" t="str">
        <f>VLOOKUP(E7032,DATABASE!C:Q,4,false)</f>
        <v>Bridgestone</v>
      </c>
      <c r="R7032" s="93" t="str">
        <f>VLOOKUP(E7032,DATABASE!C:Q,11,false)</f>
        <v>Tire</v>
      </c>
    </row>
    <row r="7033" ht="22.5" customHeight="1">
      <c r="A7033" s="49"/>
      <c r="C7033" s="400">
        <v>46066.0</v>
      </c>
      <c r="D7033" s="524">
        <v>340.0</v>
      </c>
      <c r="E7033" s="544" t="s">
        <v>572</v>
      </c>
      <c r="F7033" s="387">
        <v>2.0</v>
      </c>
      <c r="G7033" s="140">
        <v>1370000.0</v>
      </c>
      <c r="H7033" s="140">
        <v>20000.0</v>
      </c>
      <c r="I7033" s="74">
        <f t="shared" si="1"/>
        <v>2700000</v>
      </c>
      <c r="J7033" s="74">
        <f>IF(E7033="SERVICE",I7033-(I7033*50%),Vlookup(E7033,DATABASE!C:Q,10,false)*F7033)</f>
        <v>0</v>
      </c>
      <c r="K7033" s="74">
        <f>VLOOKUP(E7033,DATABASE!C:Q,7,false)</f>
        <v>1265000</v>
      </c>
      <c r="L7033" s="74">
        <v>1245000.0</v>
      </c>
      <c r="M7033" s="74">
        <f t="shared" si="2"/>
        <v>1245000</v>
      </c>
      <c r="N7033" s="74">
        <f t="shared" si="3"/>
        <v>210000</v>
      </c>
      <c r="O7033" s="65" t="str">
        <f>VLOOKUP(E7033,DATABASE!C:Q,8,false)</f>
        <v>IBU</v>
      </c>
      <c r="P7033" s="65">
        <f>VLOOKUP(E7033,DATABASE!C:Q,9,False)</f>
        <v>1</v>
      </c>
      <c r="Q7033" s="93" t="str">
        <f>VLOOKUP(E7033,DATABASE!C:Q,4,false)</f>
        <v>Bridgestone</v>
      </c>
      <c r="R7033" s="93" t="str">
        <f>VLOOKUP(E7033,DATABASE!C:Q,11,false)</f>
        <v>Tire</v>
      </c>
    </row>
    <row r="7034" ht="22.5" customHeight="1">
      <c r="A7034" s="49"/>
      <c r="C7034" s="400">
        <v>46066.0</v>
      </c>
      <c r="D7034" s="524">
        <v>340.0</v>
      </c>
      <c r="E7034" s="544" t="s">
        <v>255</v>
      </c>
      <c r="F7034" s="387">
        <v>1.0</v>
      </c>
      <c r="G7034" s="140">
        <v>200000.0</v>
      </c>
      <c r="H7034" s="74"/>
      <c r="I7034" s="74">
        <f t="shared" si="1"/>
        <v>200000</v>
      </c>
      <c r="J7034" s="74">
        <f>IF(E7034="SERVICE",I7034-(I7034*50%),Vlookup(E7034,DATABASE!C:Q,10,false)*F7034)</f>
        <v>0</v>
      </c>
      <c r="K7034" s="74">
        <f>VLOOKUP(E7034,DATABASE!C:Q,7,false)</f>
        <v>161840</v>
      </c>
      <c r="L7034" s="74">
        <v>161840.0</v>
      </c>
      <c r="M7034" s="74">
        <f t="shared" si="2"/>
        <v>165000</v>
      </c>
      <c r="N7034" s="74">
        <f t="shared" si="3"/>
        <v>35000</v>
      </c>
      <c r="O7034" s="65" t="str">
        <f>VLOOKUP(E7034,DATABASE!C:Q,8,false)</f>
        <v>BIAN</v>
      </c>
      <c r="P7034" s="65">
        <f>VLOOKUP(E7034,DATABASE!C:Q,9,False)</f>
        <v>1</v>
      </c>
      <c r="Q7034" s="93" t="str">
        <f>VLOOKUP(E7034,DATABASE!C:Q,4,false)</f>
        <v>BD</v>
      </c>
      <c r="R7034" s="93" t="str">
        <f>VLOOKUP(E7034,DATABASE!C:Q,11,false)</f>
        <v>Tire</v>
      </c>
    </row>
    <row r="7035" ht="22.5" customHeight="1">
      <c r="A7035" s="49"/>
      <c r="C7035" s="400">
        <v>46066.0</v>
      </c>
      <c r="D7035" s="524">
        <v>340.0</v>
      </c>
      <c r="E7035" s="544" t="s">
        <v>814</v>
      </c>
      <c r="F7035" s="387">
        <v>1.0</v>
      </c>
      <c r="G7035" s="140">
        <v>70000.0</v>
      </c>
      <c r="H7035" s="74"/>
      <c r="I7035" s="74">
        <f t="shared" si="1"/>
        <v>70000</v>
      </c>
      <c r="J7035" s="74">
        <f>IF(E7035="SERVICE",I7035-(I7035*50%),Vlookup(E7035,DATABASE!C:Q,10,false)*F7035)</f>
        <v>0</v>
      </c>
      <c r="K7035" s="74">
        <f>VLOOKUP(E7035,DATABASE!C:Q,7,false)</f>
        <v>39440</v>
      </c>
      <c r="L7035" s="74">
        <v>39440.0</v>
      </c>
      <c r="M7035" s="74">
        <f t="shared" si="2"/>
        <v>40000</v>
      </c>
      <c r="N7035" s="74">
        <f t="shared" si="3"/>
        <v>30000</v>
      </c>
      <c r="O7035" s="65" t="str">
        <f>VLOOKUP(E7035,DATABASE!C:Q,8,false)</f>
        <v>BIAN</v>
      </c>
      <c r="P7035" s="65">
        <f>VLOOKUP(E7035,DATABASE!C:Q,9,False)</f>
        <v>1</v>
      </c>
      <c r="Q7035" s="93" t="str">
        <f>VLOOKUP(E7035,DATABASE!C:Q,4,false)</f>
        <v>Flap</v>
      </c>
      <c r="R7035" s="93" t="str">
        <f>VLOOKUP(E7035,DATABASE!C:Q,11,false)</f>
        <v>Tire</v>
      </c>
    </row>
    <row r="7036" ht="22.5" customHeight="1">
      <c r="A7036" s="49"/>
      <c r="C7036" s="400">
        <v>46066.0</v>
      </c>
      <c r="D7036" s="524">
        <v>341.0</v>
      </c>
      <c r="E7036" s="544" t="s">
        <v>275</v>
      </c>
      <c r="F7036" s="387">
        <v>2.0</v>
      </c>
      <c r="G7036" s="140">
        <v>830000.0</v>
      </c>
      <c r="H7036" s="74"/>
      <c r="I7036" s="74">
        <f t="shared" si="1"/>
        <v>1660000</v>
      </c>
      <c r="J7036" s="74">
        <f>IF(E7036="SERVICE",I7036-(I7036*50%),Vlookup(E7036,DATABASE!C:Q,10,false)*F7036)</f>
        <v>0</v>
      </c>
      <c r="K7036" s="74">
        <f>VLOOKUP(E7036,DATABASE!C:Q,7,false)</f>
        <v>782000</v>
      </c>
      <c r="L7036" s="74">
        <v>745000.0</v>
      </c>
      <c r="M7036" s="74">
        <f t="shared" si="2"/>
        <v>745000</v>
      </c>
      <c r="N7036" s="74">
        <f t="shared" si="3"/>
        <v>170000</v>
      </c>
      <c r="O7036" s="65" t="str">
        <f>VLOOKUP(E7036,DATABASE!C:Q,8,false)</f>
        <v>IBU</v>
      </c>
      <c r="P7036" s="65">
        <f>VLOOKUP(E7036,DATABASE!C:Q,9,False)</f>
        <v>1</v>
      </c>
      <c r="Q7036" s="93" t="str">
        <f>VLOOKUP(E7036,DATABASE!C:Q,4,false)</f>
        <v>Dunlop</v>
      </c>
      <c r="R7036" s="93" t="str">
        <f>VLOOKUP(E7036,DATABASE!C:Q,11,false)</f>
        <v>Tire</v>
      </c>
    </row>
    <row r="7037" ht="22.5" customHeight="1">
      <c r="A7037" s="49"/>
      <c r="C7037" s="400">
        <v>46066.0</v>
      </c>
      <c r="D7037" s="524">
        <v>342.0</v>
      </c>
      <c r="E7037" s="544" t="s">
        <v>1536</v>
      </c>
      <c r="F7037" s="387">
        <v>2.0</v>
      </c>
      <c r="G7037" s="140">
        <v>685000.0</v>
      </c>
      <c r="H7037" s="74"/>
      <c r="I7037" s="74">
        <f t="shared" si="1"/>
        <v>1370000</v>
      </c>
      <c r="J7037" s="74">
        <f>IF(E7037="SERVICE",I7037-(I7037*50%),Vlookup(E7037,DATABASE!C:Q,10,false)*F7037)</f>
        <v>0</v>
      </c>
      <c r="K7037" s="74">
        <f>VLOOKUP(E7037,DATABASE!C:Q,7,false)</f>
        <v>599000</v>
      </c>
      <c r="L7037" s="74">
        <v>599000.0</v>
      </c>
      <c r="M7037" s="74">
        <f t="shared" si="2"/>
        <v>600000</v>
      </c>
      <c r="N7037" s="74">
        <f t="shared" si="3"/>
        <v>170000</v>
      </c>
      <c r="O7037" s="65" t="str">
        <f>VLOOKUP(E7037,DATABASE!C:Q,8,false)</f>
        <v>BIAN</v>
      </c>
      <c r="P7037" s="65">
        <f>VLOOKUP(E7037,DATABASE!C:Q,9,False)</f>
        <v>1</v>
      </c>
      <c r="Q7037" s="93" t="str">
        <f>VLOOKUP(E7037,DATABASE!C:Q,4,false)</f>
        <v>Laufen</v>
      </c>
      <c r="R7037" s="93" t="str">
        <f>VLOOKUP(E7037,DATABASE!C:Q,11,false)</f>
        <v>Tire</v>
      </c>
    </row>
    <row r="7038" ht="22.5" customHeight="1">
      <c r="A7038" s="49"/>
      <c r="C7038" s="400">
        <v>46066.0</v>
      </c>
      <c r="D7038" s="524">
        <v>343.0</v>
      </c>
      <c r="E7038" s="544" t="s">
        <v>256</v>
      </c>
      <c r="F7038" s="387">
        <v>1.0</v>
      </c>
      <c r="G7038" s="140">
        <v>150000.0</v>
      </c>
      <c r="H7038" s="140">
        <v>20000.0</v>
      </c>
      <c r="I7038" s="74">
        <f t="shared" si="1"/>
        <v>130000</v>
      </c>
      <c r="J7038" s="74">
        <f>IF(E7038="SERVICE",I7038-(I7038*50%),Vlookup(E7038,DATABASE!C:Q,10,false)*F7038)</f>
        <v>10000</v>
      </c>
      <c r="K7038" s="74">
        <f>VLOOKUP(E7038,DATABASE!C:Q,7,false)</f>
        <v>0</v>
      </c>
      <c r="L7038" s="74">
        <v>0.0</v>
      </c>
      <c r="M7038" s="74">
        <f t="shared" si="2"/>
        <v>0</v>
      </c>
      <c r="N7038" s="74">
        <f t="shared" si="3"/>
        <v>120000</v>
      </c>
      <c r="O7038" s="65" t="str">
        <f>VLOOKUP(E7038,DATABASE!C:Q,8,false)</f>
        <v>IBU</v>
      </c>
      <c r="P7038" s="65">
        <f>VLOOKUP(E7038,DATABASE!C:Q,9,False)</f>
        <v>0</v>
      </c>
      <c r="Q7038" s="93" t="str">
        <f>VLOOKUP(E7038,DATABASE!C:Q,4,false)</f>
        <v>SPOORING</v>
      </c>
      <c r="R7038" s="93" t="str">
        <f>VLOOKUP(E7038,DATABASE!C:Q,11,false)</f>
        <v>SERVICE</v>
      </c>
    </row>
    <row r="7039" ht="22.5" customHeight="1">
      <c r="A7039" s="49"/>
      <c r="C7039" s="400">
        <v>46066.0</v>
      </c>
      <c r="D7039" s="524">
        <v>343.0</v>
      </c>
      <c r="E7039" s="544" t="s">
        <v>251</v>
      </c>
      <c r="F7039" s="387">
        <v>1.0</v>
      </c>
      <c r="G7039" s="140">
        <v>350000.0</v>
      </c>
      <c r="H7039" s="140">
        <v>200000.0</v>
      </c>
      <c r="I7039" s="74">
        <f t="shared" si="1"/>
        <v>150000</v>
      </c>
      <c r="J7039" s="74">
        <f>IF(E7039="SERVICE",I7039-(I7039*50%),Vlookup(E7039,DATABASE!C:Q,10,false)*F7039)</f>
        <v>75000</v>
      </c>
      <c r="K7039" s="74">
        <f>VLOOKUP(E7039,DATABASE!C:Q,7,false)</f>
        <v>0</v>
      </c>
      <c r="L7039" s="74">
        <v>0.0</v>
      </c>
      <c r="M7039" s="74">
        <f t="shared" si="2"/>
        <v>0</v>
      </c>
      <c r="N7039" s="74">
        <f t="shared" si="3"/>
        <v>75000</v>
      </c>
      <c r="O7039" s="65" t="str">
        <f>VLOOKUP(E7039,DATABASE!C:Q,8,false)</f>
        <v>IBU</v>
      </c>
      <c r="P7039" s="65">
        <f>VLOOKUP(E7039,DATABASE!C:Q,9,False)</f>
        <v>0</v>
      </c>
      <c r="Q7039" s="93" t="str">
        <f>VLOOKUP(E7039,DATABASE!C:Q,4,false)</f>
        <v>SERVICE</v>
      </c>
      <c r="R7039" s="93" t="str">
        <f>VLOOKUP(E7039,DATABASE!C:Q,11,false)</f>
        <v>SERVICE</v>
      </c>
    </row>
    <row r="7040" ht="22.5" customHeight="1">
      <c r="A7040" s="49"/>
      <c r="C7040" s="400">
        <v>46066.0</v>
      </c>
      <c r="D7040" s="69" t="s">
        <v>2708</v>
      </c>
      <c r="E7040" s="544" t="s">
        <v>243</v>
      </c>
      <c r="F7040" s="387">
        <v>1.0</v>
      </c>
      <c r="G7040" s="140">
        <v>480000.0</v>
      </c>
      <c r="H7040" s="74"/>
      <c r="I7040" s="74">
        <f t="shared" si="1"/>
        <v>480000</v>
      </c>
      <c r="J7040" s="74">
        <f>IF(E7040="SERVICE",I7040-(I7040*50%),Vlookup(E7040,DATABASE!C:Q,10,false)*F7040)</f>
        <v>0</v>
      </c>
      <c r="K7040" s="74">
        <f>VLOOKUP(E7040,DATABASE!C:Q,7,false)</f>
        <v>432500</v>
      </c>
      <c r="L7040" s="74">
        <v>432500.0</v>
      </c>
      <c r="M7040" s="74">
        <f t="shared" si="2"/>
        <v>435000</v>
      </c>
      <c r="N7040" s="74">
        <f t="shared" si="3"/>
        <v>45000</v>
      </c>
      <c r="O7040" s="65" t="str">
        <f>VLOOKUP(E7040,DATABASE!C:Q,8,false)</f>
        <v>NON</v>
      </c>
      <c r="P7040" s="65">
        <f>VLOOKUP(E7040,DATABASE!C:Q,9,False)</f>
        <v>0</v>
      </c>
      <c r="Q7040" s="93" t="str">
        <f>VLOOKUP(E7040,DATABASE!C:Q,4,false)</f>
        <v>Pertamina</v>
      </c>
      <c r="R7040" s="93" t="str">
        <f>VLOOKUP(E7040,DATABASE!C:Q,11,false)</f>
        <v>OIL</v>
      </c>
    </row>
    <row r="7041" ht="22.5" customHeight="1">
      <c r="A7041" s="49"/>
      <c r="C7041" s="400">
        <v>46067.0</v>
      </c>
      <c r="D7041" s="524">
        <v>346.0</v>
      </c>
      <c r="E7041" s="544" t="s">
        <v>256</v>
      </c>
      <c r="F7041" s="387">
        <v>1.0</v>
      </c>
      <c r="G7041" s="140">
        <v>150000.0</v>
      </c>
      <c r="H7041" s="140">
        <v>20000.0</v>
      </c>
      <c r="I7041" s="74">
        <f t="shared" si="1"/>
        <v>130000</v>
      </c>
      <c r="J7041" s="74">
        <f>IF(E7041="SERVICE",I7041-(I7041*50%),Vlookup(E7041,DATABASE!C:Q,10,false)*F7041)</f>
        <v>10000</v>
      </c>
      <c r="K7041" s="74">
        <f>VLOOKUP(E7041,DATABASE!C:Q,7,false)</f>
        <v>0</v>
      </c>
      <c r="L7041" s="74">
        <v>0.0</v>
      </c>
      <c r="M7041" s="74">
        <f t="shared" si="2"/>
        <v>0</v>
      </c>
      <c r="N7041" s="74">
        <f t="shared" si="3"/>
        <v>120000</v>
      </c>
      <c r="O7041" s="65" t="str">
        <f>VLOOKUP(E7041,DATABASE!C:Q,8,false)</f>
        <v>IBU</v>
      </c>
      <c r="P7041" s="65">
        <f>VLOOKUP(E7041,DATABASE!C:Q,9,False)</f>
        <v>0</v>
      </c>
      <c r="Q7041" s="93" t="str">
        <f>VLOOKUP(E7041,DATABASE!C:Q,4,false)</f>
        <v>SPOORING</v>
      </c>
      <c r="R7041" s="93" t="str">
        <f>VLOOKUP(E7041,DATABASE!C:Q,11,false)</f>
        <v>SERVICE</v>
      </c>
    </row>
    <row r="7042" ht="22.5" customHeight="1">
      <c r="A7042" s="49"/>
      <c r="C7042" s="400">
        <v>46067.0</v>
      </c>
      <c r="D7042" s="524">
        <v>346.0</v>
      </c>
      <c r="E7042" s="544" t="s">
        <v>301</v>
      </c>
      <c r="F7042" s="387">
        <v>1.0</v>
      </c>
      <c r="G7042" s="140">
        <v>250000.0</v>
      </c>
      <c r="H7042" s="74"/>
      <c r="I7042" s="74">
        <f t="shared" si="1"/>
        <v>250000</v>
      </c>
      <c r="J7042" s="74">
        <f>IF(E7042="SERVICE",I7042-(I7042*50%),Vlookup(E7042,DATABASE!C:Q,10,false)*F7042)</f>
        <v>75000</v>
      </c>
      <c r="K7042" s="74">
        <f>VLOOKUP(E7042,DATABASE!C:Q,7,false)</f>
        <v>75000</v>
      </c>
      <c r="L7042" s="74">
        <v>75000.0</v>
      </c>
      <c r="M7042" s="74">
        <f t="shared" si="2"/>
        <v>75000</v>
      </c>
      <c r="N7042" s="74">
        <f t="shared" si="3"/>
        <v>100000</v>
      </c>
      <c r="O7042" s="65" t="str">
        <f>VLOOKUP(E7042,DATABASE!C:Q,8,false)</f>
        <v>BIAN</v>
      </c>
      <c r="P7042" s="65">
        <f>VLOOKUP(E7042,DATABASE!C:Q,9,False)</f>
        <v>0</v>
      </c>
      <c r="Q7042" s="93" t="str">
        <f>VLOOKUP(E7042,DATABASE!C:Q,4,false)</f>
        <v>Baut Camber</v>
      </c>
      <c r="R7042" s="93" t="str">
        <f>VLOOKUP(E7042,DATABASE!C:Q,11,false)</f>
        <v>COMPLEMENTARY</v>
      </c>
    </row>
    <row r="7043" ht="22.5" customHeight="1">
      <c r="A7043" s="49"/>
      <c r="C7043" s="400">
        <v>46067.0</v>
      </c>
      <c r="D7043" s="524">
        <v>347.0</v>
      </c>
      <c r="E7043" s="544" t="s">
        <v>531</v>
      </c>
      <c r="F7043" s="387">
        <v>1.0</v>
      </c>
      <c r="G7043" s="140">
        <v>100000.0</v>
      </c>
      <c r="H7043" s="140">
        <v>30000.0</v>
      </c>
      <c r="I7043" s="74">
        <f t="shared" si="1"/>
        <v>70000</v>
      </c>
      <c r="J7043" s="74">
        <f>IF(E7043="SERVICE",I7043-(I7043*50%),Vlookup(E7043,DATABASE!C:Q,10,false)*F7043)</f>
        <v>0</v>
      </c>
      <c r="K7043" s="74">
        <f>VLOOKUP(E7043,DATABASE!C:Q,7,false)</f>
        <v>47000</v>
      </c>
      <c r="L7043" s="74">
        <v>47000.0</v>
      </c>
      <c r="M7043" s="74">
        <f t="shared" si="2"/>
        <v>50000</v>
      </c>
      <c r="N7043" s="74">
        <f t="shared" si="3"/>
        <v>20000</v>
      </c>
      <c r="O7043" s="65" t="str">
        <f>VLOOKUP(E7043,DATABASE!C:Q,8,false)</f>
        <v>BIAN</v>
      </c>
      <c r="P7043" s="65">
        <f>VLOOKUP(E7043,DATABASE!C:Q,9,False)</f>
        <v>1</v>
      </c>
      <c r="Q7043" s="93" t="str">
        <f>VLOOKUP(E7043,DATABASE!C:Q,4,false)</f>
        <v>BD</v>
      </c>
      <c r="R7043" s="93" t="str">
        <f>VLOOKUP(E7043,DATABASE!C:Q,11,false)</f>
        <v>Tire</v>
      </c>
    </row>
    <row r="7044" ht="22.5" customHeight="1">
      <c r="A7044" s="49"/>
      <c r="C7044" s="400">
        <v>46067.0</v>
      </c>
      <c r="D7044" s="524">
        <v>348.0</v>
      </c>
      <c r="E7044" s="544" t="s">
        <v>256</v>
      </c>
      <c r="F7044" s="387">
        <v>1.0</v>
      </c>
      <c r="G7044" s="140">
        <v>150000.0</v>
      </c>
      <c r="H7044" s="140">
        <v>20000.0</v>
      </c>
      <c r="I7044" s="74">
        <f t="shared" si="1"/>
        <v>130000</v>
      </c>
      <c r="J7044" s="74">
        <f>IF(E7044="SERVICE",I7044-(I7044*50%),Vlookup(E7044,DATABASE!C:Q,10,false)*F7044)</f>
        <v>10000</v>
      </c>
      <c r="K7044" s="74">
        <f>VLOOKUP(E7044,DATABASE!C:Q,7,false)</f>
        <v>0</v>
      </c>
      <c r="L7044" s="74">
        <v>0.0</v>
      </c>
      <c r="M7044" s="74">
        <f t="shared" si="2"/>
        <v>0</v>
      </c>
      <c r="N7044" s="74">
        <f t="shared" si="3"/>
        <v>120000</v>
      </c>
      <c r="O7044" s="65" t="str">
        <f>VLOOKUP(E7044,DATABASE!C:Q,8,false)</f>
        <v>IBU</v>
      </c>
      <c r="P7044" s="65">
        <f>VLOOKUP(E7044,DATABASE!C:Q,9,False)</f>
        <v>0</v>
      </c>
      <c r="Q7044" s="93" t="str">
        <f>VLOOKUP(E7044,DATABASE!C:Q,4,false)</f>
        <v>SPOORING</v>
      </c>
      <c r="R7044" s="93" t="str">
        <f>VLOOKUP(E7044,DATABASE!C:Q,11,false)</f>
        <v>SERVICE</v>
      </c>
    </row>
    <row r="7045" ht="22.5" customHeight="1">
      <c r="A7045" s="49"/>
      <c r="C7045" s="400">
        <v>46067.0</v>
      </c>
      <c r="D7045" s="524">
        <v>348.0</v>
      </c>
      <c r="E7045" s="544" t="s">
        <v>301</v>
      </c>
      <c r="F7045" s="387">
        <v>1.0</v>
      </c>
      <c r="G7045" s="140">
        <v>250000.0</v>
      </c>
      <c r="H7045" s="74"/>
      <c r="I7045" s="74">
        <f t="shared" si="1"/>
        <v>250000</v>
      </c>
      <c r="J7045" s="74">
        <f>IF(E7045="SERVICE",I7045-(I7045*50%),Vlookup(E7045,DATABASE!C:Q,10,false)*F7045)</f>
        <v>75000</v>
      </c>
      <c r="K7045" s="74">
        <f>VLOOKUP(E7045,DATABASE!C:Q,7,false)</f>
        <v>75000</v>
      </c>
      <c r="L7045" s="74">
        <v>75000.0</v>
      </c>
      <c r="M7045" s="74">
        <f t="shared" si="2"/>
        <v>75000</v>
      </c>
      <c r="N7045" s="74">
        <f t="shared" si="3"/>
        <v>100000</v>
      </c>
      <c r="O7045" s="65" t="str">
        <f>VLOOKUP(E7045,DATABASE!C:Q,8,false)</f>
        <v>BIAN</v>
      </c>
      <c r="P7045" s="65">
        <f>VLOOKUP(E7045,DATABASE!C:Q,9,False)</f>
        <v>0</v>
      </c>
      <c r="Q7045" s="93" t="str">
        <f>VLOOKUP(E7045,DATABASE!C:Q,4,false)</f>
        <v>Baut Camber</v>
      </c>
      <c r="R7045" s="93" t="str">
        <f>VLOOKUP(E7045,DATABASE!C:Q,11,false)</f>
        <v>COMPLEMENTARY</v>
      </c>
    </row>
    <row r="7046" ht="22.5" customHeight="1">
      <c r="A7046" s="49"/>
      <c r="C7046" s="400">
        <v>46067.0</v>
      </c>
      <c r="D7046" s="524">
        <v>349.0</v>
      </c>
      <c r="E7046" s="544" t="s">
        <v>839</v>
      </c>
      <c r="F7046" s="387">
        <v>2.0</v>
      </c>
      <c r="G7046" s="140">
        <v>565000.0</v>
      </c>
      <c r="H7046" s="74"/>
      <c r="I7046" s="74">
        <f t="shared" si="1"/>
        <v>1130000</v>
      </c>
      <c r="J7046" s="74">
        <f>IF(E7046="SERVICE",I7046-(I7046*50%),Vlookup(E7046,DATABASE!C:Q,10,false)*F7046)</f>
        <v>0</v>
      </c>
      <c r="K7046" s="74">
        <f>VLOOKUP(E7046,DATABASE!C:Q,7,false)</f>
        <v>512640</v>
      </c>
      <c r="L7046" s="74">
        <v>475700.0</v>
      </c>
      <c r="M7046" s="74">
        <f t="shared" si="2"/>
        <v>480000</v>
      </c>
      <c r="N7046" s="74">
        <f t="shared" si="3"/>
        <v>170000</v>
      </c>
      <c r="O7046" s="65" t="str">
        <f>VLOOKUP(E7046,DATABASE!C:Q,8,false)</f>
        <v>BIAN</v>
      </c>
      <c r="P7046" s="65">
        <f>VLOOKUP(E7046,DATABASE!C:Q,9,False)</f>
        <v>1</v>
      </c>
      <c r="Q7046" s="93" t="str">
        <f>VLOOKUP(E7046,DATABASE!C:Q,4,false)</f>
        <v>GT</v>
      </c>
      <c r="R7046" s="93" t="str">
        <f>VLOOKUP(E7046,DATABASE!C:Q,11,false)</f>
        <v>Tire</v>
      </c>
    </row>
    <row r="7047" ht="22.5" customHeight="1">
      <c r="A7047" s="49"/>
      <c r="C7047" s="400">
        <v>46067.0</v>
      </c>
      <c r="D7047" s="524">
        <v>350.0</v>
      </c>
      <c r="E7047" s="544" t="s">
        <v>924</v>
      </c>
      <c r="F7047" s="387">
        <v>5.0</v>
      </c>
      <c r="G7047" s="140">
        <v>1650000.0</v>
      </c>
      <c r="H7047" s="140">
        <v>20000.0</v>
      </c>
      <c r="I7047" s="74">
        <f t="shared" si="1"/>
        <v>8150000</v>
      </c>
      <c r="J7047" s="74">
        <f>IF(E7047="SERVICE",I7047-(I7047*50%),Vlookup(E7047,DATABASE!C:Q,10,false)*F7047)</f>
        <v>0</v>
      </c>
      <c r="K7047" s="74">
        <f>VLOOKUP(E7047,DATABASE!C:Q,7,false)</f>
        <v>1560000</v>
      </c>
      <c r="L7047" s="74">
        <v>1545000.0</v>
      </c>
      <c r="M7047" s="74">
        <f t="shared" si="2"/>
        <v>1545000</v>
      </c>
      <c r="N7047" s="74">
        <f t="shared" si="3"/>
        <v>425000</v>
      </c>
      <c r="O7047" s="65" t="str">
        <f>VLOOKUP(E7047,DATABASE!C:Q,8,false)</f>
        <v>BIAN</v>
      </c>
      <c r="P7047" s="65">
        <f>VLOOKUP(E7047,DATABASE!C:Q,9,False)</f>
        <v>1</v>
      </c>
      <c r="Q7047" s="93" t="str">
        <f>VLOOKUP(E7047,DATABASE!C:Q,4,false)</f>
        <v>TIRON</v>
      </c>
      <c r="R7047" s="93" t="str">
        <f>VLOOKUP(E7047,DATABASE!C:Q,11,false)</f>
        <v>Tire</v>
      </c>
    </row>
    <row r="7048" ht="22.5" customHeight="1">
      <c r="A7048" s="49"/>
      <c r="C7048" s="400">
        <v>46067.0</v>
      </c>
      <c r="D7048" s="524">
        <v>350.0</v>
      </c>
      <c r="E7048" s="544" t="s">
        <v>600</v>
      </c>
      <c r="F7048" s="387">
        <v>1.0</v>
      </c>
      <c r="G7048" s="140">
        <v>675000.0</v>
      </c>
      <c r="H7048" s="140">
        <v>10000.0</v>
      </c>
      <c r="I7048" s="74">
        <f t="shared" si="1"/>
        <v>665000</v>
      </c>
      <c r="J7048" s="74">
        <f>IF(E7048="SERVICE",I7048-(I7048*50%),Vlookup(E7048,DATABASE!C:Q,10,false)*F7048)</f>
        <v>0</v>
      </c>
      <c r="K7048" s="74">
        <f>VLOOKUP(E7048,DATABASE!C:Q,7,false)</f>
        <v>611109.16</v>
      </c>
      <c r="L7048" s="74">
        <v>575780.8</v>
      </c>
      <c r="M7048" s="74">
        <f t="shared" si="2"/>
        <v>580000</v>
      </c>
      <c r="N7048" s="74">
        <f t="shared" si="3"/>
        <v>85000</v>
      </c>
      <c r="O7048" s="65" t="str">
        <f>VLOOKUP(E7048,DATABASE!C:Q,8,false)</f>
        <v>IBU</v>
      </c>
      <c r="P7048" s="65">
        <f>VLOOKUP(E7048,DATABASE!C:Q,9,False)</f>
        <v>1</v>
      </c>
      <c r="Q7048" s="93" t="str">
        <f>VLOOKUP(E7048,DATABASE!C:Q,4,false)</f>
        <v>Bridgestone</v>
      </c>
      <c r="R7048" s="93" t="str">
        <f>VLOOKUP(E7048,DATABASE!C:Q,11,false)</f>
        <v>Tire</v>
      </c>
    </row>
    <row r="7049" ht="22.5" customHeight="1">
      <c r="A7049" s="49"/>
      <c r="C7049" s="400">
        <v>46067.0</v>
      </c>
      <c r="D7049" s="524">
        <v>352.0</v>
      </c>
      <c r="E7049" s="544" t="s">
        <v>256</v>
      </c>
      <c r="F7049" s="387">
        <v>1.0</v>
      </c>
      <c r="G7049" s="140">
        <v>150000.0</v>
      </c>
      <c r="H7049" s="140">
        <v>20000.0</v>
      </c>
      <c r="I7049" s="74">
        <f t="shared" si="1"/>
        <v>130000</v>
      </c>
      <c r="J7049" s="74">
        <f>IF(E7049="SERVICE",I7049-(I7049*50%),Vlookup(E7049,DATABASE!C:Q,10,false)*F7049)</f>
        <v>10000</v>
      </c>
      <c r="K7049" s="74">
        <f>VLOOKUP(E7049,DATABASE!C:Q,7,false)</f>
        <v>0</v>
      </c>
      <c r="L7049" s="74">
        <v>0.0</v>
      </c>
      <c r="M7049" s="74">
        <f t="shared" si="2"/>
        <v>0</v>
      </c>
      <c r="N7049" s="74">
        <f t="shared" si="3"/>
        <v>120000</v>
      </c>
      <c r="O7049" s="65" t="str">
        <f>VLOOKUP(E7049,DATABASE!C:Q,8,false)</f>
        <v>IBU</v>
      </c>
      <c r="P7049" s="65">
        <f>VLOOKUP(E7049,DATABASE!C:Q,9,False)</f>
        <v>0</v>
      </c>
      <c r="Q7049" s="93" t="str">
        <f>VLOOKUP(E7049,DATABASE!C:Q,4,false)</f>
        <v>SPOORING</v>
      </c>
      <c r="R7049" s="93" t="str">
        <f>VLOOKUP(E7049,DATABASE!C:Q,11,false)</f>
        <v>SERVICE</v>
      </c>
    </row>
    <row r="7050" ht="22.5" customHeight="1">
      <c r="A7050" s="49"/>
      <c r="C7050" s="400">
        <v>46067.0</v>
      </c>
      <c r="D7050" s="524">
        <v>352.0</v>
      </c>
      <c r="E7050" s="544" t="s">
        <v>251</v>
      </c>
      <c r="F7050" s="387">
        <v>1.0</v>
      </c>
      <c r="G7050" s="140">
        <v>350000.0</v>
      </c>
      <c r="H7050" s="140">
        <v>200000.0</v>
      </c>
      <c r="I7050" s="74">
        <f t="shared" si="1"/>
        <v>150000</v>
      </c>
      <c r="J7050" s="74">
        <f>IF(E7050="SERVICE",I7050-(I7050*50%),Vlookup(E7050,DATABASE!C:Q,10,false)*F7050)</f>
        <v>75000</v>
      </c>
      <c r="K7050" s="74">
        <f>VLOOKUP(E7050,DATABASE!C:Q,7,false)</f>
        <v>0</v>
      </c>
      <c r="L7050" s="74">
        <v>0.0</v>
      </c>
      <c r="M7050" s="74">
        <f t="shared" si="2"/>
        <v>0</v>
      </c>
      <c r="N7050" s="74">
        <f t="shared" si="3"/>
        <v>75000</v>
      </c>
      <c r="O7050" s="65" t="str">
        <f>VLOOKUP(E7050,DATABASE!C:Q,8,false)</f>
        <v>IBU</v>
      </c>
      <c r="P7050" s="65">
        <f>VLOOKUP(E7050,DATABASE!C:Q,9,False)</f>
        <v>0</v>
      </c>
      <c r="Q7050" s="93" t="str">
        <f>VLOOKUP(E7050,DATABASE!C:Q,4,false)</f>
        <v>SERVICE</v>
      </c>
      <c r="R7050" s="93" t="str">
        <f>VLOOKUP(E7050,DATABASE!C:Q,11,false)</f>
        <v>SERVICE</v>
      </c>
    </row>
    <row r="7051" ht="22.5" customHeight="1">
      <c r="A7051" s="49"/>
      <c r="C7051" s="400">
        <v>46067.0</v>
      </c>
      <c r="D7051" s="69" t="s">
        <v>2709</v>
      </c>
      <c r="E7051" s="544" t="s">
        <v>248</v>
      </c>
      <c r="F7051" s="387">
        <v>1.0</v>
      </c>
      <c r="G7051" s="140">
        <v>190000.0</v>
      </c>
      <c r="H7051" s="74"/>
      <c r="I7051" s="74">
        <f t="shared" si="1"/>
        <v>190000</v>
      </c>
      <c r="J7051" s="74">
        <f>IF(E7051="SERVICE",I7051-(I7051*50%),Vlookup(E7051,DATABASE!C:Q,10,false)*F7051)</f>
        <v>0</v>
      </c>
      <c r="K7051" s="74">
        <f>VLOOKUP(E7051,DATABASE!C:Q,7,false)</f>
        <v>209816.66</v>
      </c>
      <c r="L7051" s="74">
        <v>160833.0</v>
      </c>
      <c r="M7051" s="74">
        <f t="shared" si="2"/>
        <v>165000</v>
      </c>
      <c r="N7051" s="74">
        <f t="shared" si="3"/>
        <v>25000</v>
      </c>
      <c r="O7051" s="65" t="str">
        <f>VLOOKUP(E7051,DATABASE!C:Q,8,false)</f>
        <v>NON</v>
      </c>
      <c r="P7051" s="65">
        <f>VLOOKUP(E7051,DATABASE!C:Q,9,False)</f>
        <v>0</v>
      </c>
      <c r="Q7051" s="93" t="str">
        <f>VLOOKUP(E7051,DATABASE!C:Q,4,false)</f>
        <v>Pertamina</v>
      </c>
      <c r="R7051" s="93" t="str">
        <f>VLOOKUP(E7051,DATABASE!C:Q,11,false)</f>
        <v>OIL</v>
      </c>
    </row>
    <row r="7052" ht="22.5" customHeight="1">
      <c r="A7052" s="49"/>
      <c r="C7052" s="400">
        <v>46068.0</v>
      </c>
      <c r="D7052" s="524">
        <v>353.0</v>
      </c>
      <c r="E7052" s="544" t="s">
        <v>246</v>
      </c>
      <c r="F7052" s="387">
        <v>2.0</v>
      </c>
      <c r="G7052" s="140">
        <v>35000.0</v>
      </c>
      <c r="H7052" s="140">
        <v>5000.0</v>
      </c>
      <c r="I7052" s="74">
        <f t="shared" si="1"/>
        <v>60000</v>
      </c>
      <c r="J7052" s="74">
        <f>IF(E7052="SERVICE",I7052-(I7052*50%),Vlookup(E7052,DATABASE!C:Q,10,false)*F7052)</f>
        <v>0</v>
      </c>
      <c r="K7052" s="74">
        <f>VLOOKUP(E7052,DATABASE!C:Q,7,false)</f>
        <v>0</v>
      </c>
      <c r="L7052" s="74">
        <v>0.0</v>
      </c>
      <c r="M7052" s="74">
        <f t="shared" si="2"/>
        <v>0</v>
      </c>
      <c r="N7052" s="74">
        <f t="shared" si="3"/>
        <v>60000</v>
      </c>
      <c r="O7052" s="65" t="str">
        <f>VLOOKUP(E7052,DATABASE!C:Q,8,false)</f>
        <v>IBU</v>
      </c>
      <c r="P7052" s="65">
        <f>VLOOKUP(E7052,DATABASE!C:Q,9,False)</f>
        <v>0</v>
      </c>
      <c r="Q7052" s="93" t="str">
        <f>VLOOKUP(E7052,DATABASE!C:Q,4,false)</f>
        <v>Bongkar Pasang</v>
      </c>
      <c r="R7052" s="93" t="str">
        <f>VLOOKUP(E7052,DATABASE!C:Q,11,false)</f>
        <v>SERVICE</v>
      </c>
    </row>
    <row r="7053" ht="22.5" customHeight="1">
      <c r="A7053" s="49"/>
      <c r="C7053" s="400">
        <v>46068.0</v>
      </c>
      <c r="D7053" s="524">
        <v>354.0</v>
      </c>
      <c r="E7053" s="544" t="s">
        <v>1076</v>
      </c>
      <c r="F7053" s="387">
        <v>4.0</v>
      </c>
      <c r="G7053" s="140">
        <v>770000.0</v>
      </c>
      <c r="H7053" s="140">
        <v>10000.0</v>
      </c>
      <c r="I7053" s="74">
        <f t="shared" si="1"/>
        <v>3040000</v>
      </c>
      <c r="J7053" s="74">
        <f>IF(E7053="SERVICE",I7053-(I7053*50%),Vlookup(E7053,DATABASE!C:Q,10,false)*F7053)</f>
        <v>0</v>
      </c>
      <c r="K7053" s="74">
        <f>VLOOKUP(E7053,DATABASE!C:Q,7,false)</f>
        <v>666540</v>
      </c>
      <c r="L7053" s="74">
        <v>666540.0</v>
      </c>
      <c r="M7053" s="74">
        <f t="shared" si="2"/>
        <v>670000</v>
      </c>
      <c r="N7053" s="74">
        <f t="shared" si="3"/>
        <v>360000</v>
      </c>
      <c r="O7053" s="65" t="str">
        <f>VLOOKUP(E7053,DATABASE!C:Q,8,false)</f>
        <v>BIAN</v>
      </c>
      <c r="P7053" s="65">
        <f>VLOOKUP(E7053,DATABASE!C:Q,9,False)</f>
        <v>1</v>
      </c>
      <c r="Q7053" s="93" t="str">
        <f>VLOOKUP(E7053,DATABASE!C:Q,4,false)</f>
        <v>GT</v>
      </c>
      <c r="R7053" s="93" t="str">
        <f>VLOOKUP(E7053,DATABASE!C:Q,11,false)</f>
        <v>Tire</v>
      </c>
    </row>
    <row r="7054" ht="22.5" customHeight="1">
      <c r="A7054" s="49"/>
      <c r="C7054" s="400">
        <v>46068.0</v>
      </c>
      <c r="D7054" s="524">
        <v>354.0</v>
      </c>
      <c r="E7054" s="544" t="s">
        <v>299</v>
      </c>
      <c r="F7054" s="387">
        <v>2.0</v>
      </c>
      <c r="G7054" s="140">
        <v>30000.0</v>
      </c>
      <c r="H7054" s="74"/>
      <c r="I7054" s="74">
        <f t="shared" si="1"/>
        <v>60000</v>
      </c>
      <c r="J7054" s="74">
        <f>IF(E7054="SERVICE",I7054-(I7054*50%),Vlookup(E7054,DATABASE!C:Q,10,false)*F7054)</f>
        <v>0</v>
      </c>
      <c r="K7054" s="74">
        <f>VLOOKUP(E7054,DATABASE!C:Q,7,false)</f>
        <v>10000</v>
      </c>
      <c r="L7054" s="74">
        <v>10000.0</v>
      </c>
      <c r="M7054" s="74">
        <f t="shared" si="2"/>
        <v>10000</v>
      </c>
      <c r="N7054" s="74">
        <f t="shared" si="3"/>
        <v>40000</v>
      </c>
      <c r="O7054" s="65" t="str">
        <f>VLOOKUP(E7054,DATABASE!C:Q,8,false)</f>
        <v>BIAN</v>
      </c>
      <c r="P7054" s="65">
        <f>VLOOKUP(E7054,DATABASE!C:Q,9,False)</f>
        <v>0</v>
      </c>
      <c r="Q7054" s="93" t="str">
        <f>VLOOKUP(E7054,DATABASE!C:Q,4,false)</f>
        <v>Balancing</v>
      </c>
      <c r="R7054" s="93" t="str">
        <f>VLOOKUP(E7054,DATABASE!C:Q,11,false)</f>
        <v>COMPLEMENTARY</v>
      </c>
    </row>
    <row r="7055" ht="22.5" customHeight="1">
      <c r="A7055" s="49"/>
      <c r="C7055" s="400">
        <v>46068.0</v>
      </c>
      <c r="D7055" s="524">
        <v>354.0</v>
      </c>
      <c r="E7055" s="544" t="s">
        <v>256</v>
      </c>
      <c r="F7055" s="387">
        <v>1.0</v>
      </c>
      <c r="G7055" s="140">
        <v>150000.0</v>
      </c>
      <c r="H7055" s="140">
        <v>20000.0</v>
      </c>
      <c r="I7055" s="74">
        <f t="shared" si="1"/>
        <v>130000</v>
      </c>
      <c r="J7055" s="74">
        <f>IF(E7055="SERVICE",I7055-(I7055*50%),Vlookup(E7055,DATABASE!C:Q,10,false)*F7055)</f>
        <v>10000</v>
      </c>
      <c r="K7055" s="74">
        <f>VLOOKUP(E7055,DATABASE!C:Q,7,false)</f>
        <v>0</v>
      </c>
      <c r="L7055" s="74">
        <v>0.0</v>
      </c>
      <c r="M7055" s="74">
        <f t="shared" si="2"/>
        <v>0</v>
      </c>
      <c r="N7055" s="74">
        <f t="shared" si="3"/>
        <v>120000</v>
      </c>
      <c r="O7055" s="65" t="str">
        <f>VLOOKUP(E7055,DATABASE!C:Q,8,false)</f>
        <v>IBU</v>
      </c>
      <c r="P7055" s="65">
        <f>VLOOKUP(E7055,DATABASE!C:Q,9,False)</f>
        <v>0</v>
      </c>
      <c r="Q7055" s="93" t="str">
        <f>VLOOKUP(E7055,DATABASE!C:Q,4,false)</f>
        <v>SPOORING</v>
      </c>
      <c r="R7055" s="93" t="str">
        <f>VLOOKUP(E7055,DATABASE!C:Q,11,false)</f>
        <v>SERVICE</v>
      </c>
    </row>
    <row r="7056" ht="22.5" customHeight="1">
      <c r="A7056" s="49"/>
      <c r="C7056" s="400">
        <v>46068.0</v>
      </c>
      <c r="D7056" s="524">
        <v>355.0</v>
      </c>
      <c r="E7056" s="544" t="s">
        <v>275</v>
      </c>
      <c r="F7056" s="387">
        <v>2.0</v>
      </c>
      <c r="G7056" s="140">
        <v>830000.0</v>
      </c>
      <c r="H7056" s="74"/>
      <c r="I7056" s="74">
        <f t="shared" si="1"/>
        <v>1660000</v>
      </c>
      <c r="J7056" s="74">
        <f>IF(E7056="SERVICE",I7056-(I7056*50%),Vlookup(E7056,DATABASE!C:Q,10,false)*F7056)</f>
        <v>0</v>
      </c>
      <c r="K7056" s="74">
        <f>VLOOKUP(E7056,DATABASE!C:Q,7,false)</f>
        <v>782000</v>
      </c>
      <c r="L7056" s="74">
        <v>745000.0</v>
      </c>
      <c r="M7056" s="74">
        <f t="shared" si="2"/>
        <v>745000</v>
      </c>
      <c r="N7056" s="74">
        <f t="shared" si="3"/>
        <v>170000</v>
      </c>
      <c r="O7056" s="65" t="str">
        <f>VLOOKUP(E7056,DATABASE!C:Q,8,false)</f>
        <v>IBU</v>
      </c>
      <c r="P7056" s="65">
        <f>VLOOKUP(E7056,DATABASE!C:Q,9,False)</f>
        <v>1</v>
      </c>
      <c r="Q7056" s="93" t="str">
        <f>VLOOKUP(E7056,DATABASE!C:Q,4,false)</f>
        <v>Dunlop</v>
      </c>
      <c r="R7056" s="93" t="str">
        <f>VLOOKUP(E7056,DATABASE!C:Q,11,false)</f>
        <v>Tire</v>
      </c>
    </row>
    <row r="7057" ht="22.5" customHeight="1">
      <c r="A7057" s="49"/>
      <c r="C7057" s="400">
        <v>46068.0</v>
      </c>
      <c r="D7057" s="524">
        <v>356.0</v>
      </c>
      <c r="E7057" s="544" t="s">
        <v>897</v>
      </c>
      <c r="F7057" s="387">
        <v>1.0</v>
      </c>
      <c r="G7057" s="140">
        <v>1600000.0</v>
      </c>
      <c r="H7057" s="74"/>
      <c r="I7057" s="74">
        <f t="shared" si="1"/>
        <v>1600000</v>
      </c>
      <c r="J7057" s="74">
        <f>IF(E7057="SERVICE",I7057-(I7057*50%),Vlookup(E7057,DATABASE!C:Q,10,false)*F7057)</f>
        <v>0</v>
      </c>
      <c r="K7057" s="74">
        <f>VLOOKUP(E7057,DATABASE!C:Q,7,false)</f>
        <v>1560000</v>
      </c>
      <c r="L7057" s="74">
        <v>1500000.0</v>
      </c>
      <c r="M7057" s="74">
        <f t="shared" si="2"/>
        <v>1500000</v>
      </c>
      <c r="N7057" s="74">
        <f t="shared" si="3"/>
        <v>100000</v>
      </c>
      <c r="O7057" s="65" t="str">
        <f>VLOOKUP(E7057,DATABASE!C:Q,8,false)</f>
        <v>BIAN</v>
      </c>
      <c r="P7057" s="65">
        <f>VLOOKUP(E7057,DATABASE!C:Q,9,False)</f>
        <v>1</v>
      </c>
      <c r="Q7057" s="93" t="str">
        <f>VLOOKUP(E7057,DATABASE!C:Q,4,false)</f>
        <v>GT</v>
      </c>
      <c r="R7057" s="93" t="str">
        <f>VLOOKUP(E7057,DATABASE!C:Q,11,false)</f>
        <v>Tire</v>
      </c>
    </row>
    <row r="7058" ht="22.5" customHeight="1">
      <c r="A7058" s="49"/>
      <c r="C7058" s="400">
        <v>46068.0</v>
      </c>
      <c r="D7058" s="524">
        <v>356.0</v>
      </c>
      <c r="E7058" s="544" t="s">
        <v>744</v>
      </c>
      <c r="F7058" s="387">
        <v>1.0</v>
      </c>
      <c r="G7058" s="140">
        <v>230000.0</v>
      </c>
      <c r="H7058" s="74"/>
      <c r="I7058" s="74">
        <f t="shared" si="1"/>
        <v>230000</v>
      </c>
      <c r="J7058" s="74">
        <f>IF(E7058="SERVICE",I7058-(I7058*50%),Vlookup(E7058,DATABASE!C:Q,10,false)*F7058)</f>
        <v>0</v>
      </c>
      <c r="K7058" s="74">
        <f>VLOOKUP(E7058,DATABASE!C:Q,7,false)</f>
        <v>182200</v>
      </c>
      <c r="L7058" s="74">
        <v>199920.0</v>
      </c>
      <c r="M7058" s="74">
        <f t="shared" si="2"/>
        <v>200000</v>
      </c>
      <c r="N7058" s="74">
        <f t="shared" si="3"/>
        <v>30000</v>
      </c>
      <c r="O7058" s="65" t="str">
        <f>VLOOKUP(E7058,DATABASE!C:Q,8,false)</f>
        <v>BIAN</v>
      </c>
      <c r="P7058" s="65">
        <f>VLOOKUP(E7058,DATABASE!C:Q,9,False)</f>
        <v>1</v>
      </c>
      <c r="Q7058" s="93" t="str">
        <f>VLOOKUP(E7058,DATABASE!C:Q,4,false)</f>
        <v>BD</v>
      </c>
      <c r="R7058" s="93" t="str">
        <f>VLOOKUP(E7058,DATABASE!C:Q,11,false)</f>
        <v>Tire</v>
      </c>
    </row>
    <row r="7059" ht="22.5" customHeight="1">
      <c r="A7059" s="49"/>
      <c r="C7059" s="400">
        <v>46068.0</v>
      </c>
      <c r="D7059" s="524">
        <v>356.0</v>
      </c>
      <c r="E7059" s="544" t="s">
        <v>821</v>
      </c>
      <c r="F7059" s="387">
        <v>1.0</v>
      </c>
      <c r="G7059" s="140">
        <v>85000.0</v>
      </c>
      <c r="H7059" s="74"/>
      <c r="I7059" s="74">
        <f t="shared" si="1"/>
        <v>85000</v>
      </c>
      <c r="J7059" s="74">
        <f>IF(E7059="SERVICE",I7059-(I7059*50%),Vlookup(E7059,DATABASE!C:Q,10,false)*F7059)</f>
        <v>0</v>
      </c>
      <c r="K7059" s="74">
        <f>VLOOKUP(E7059,DATABASE!C:Q,7,false)</f>
        <v>43500</v>
      </c>
      <c r="L7059" s="74">
        <v>43520.0</v>
      </c>
      <c r="M7059" s="74">
        <f t="shared" si="2"/>
        <v>45000</v>
      </c>
      <c r="N7059" s="74">
        <f t="shared" si="3"/>
        <v>40000</v>
      </c>
      <c r="O7059" s="65" t="str">
        <f>VLOOKUP(E7059,DATABASE!C:Q,8,false)</f>
        <v>BIAN</v>
      </c>
      <c r="P7059" s="65">
        <f>VLOOKUP(E7059,DATABASE!C:Q,9,False)</f>
        <v>1</v>
      </c>
      <c r="Q7059" s="93" t="str">
        <f>VLOOKUP(E7059,DATABASE!C:Q,4,false)</f>
        <v>Flap</v>
      </c>
      <c r="R7059" s="93" t="str">
        <f>VLOOKUP(E7059,DATABASE!C:Q,11,false)</f>
        <v>Tire</v>
      </c>
    </row>
    <row r="7060" ht="22.5" customHeight="1">
      <c r="A7060" s="49"/>
      <c r="C7060" s="400">
        <v>46068.0</v>
      </c>
      <c r="D7060" s="524">
        <v>357.0</v>
      </c>
      <c r="E7060" s="544" t="s">
        <v>262</v>
      </c>
      <c r="F7060" s="387">
        <v>1.0</v>
      </c>
      <c r="G7060" s="140">
        <v>110000.0</v>
      </c>
      <c r="H7060" s="140">
        <v>10000.0</v>
      </c>
      <c r="I7060" s="74">
        <f t="shared" si="1"/>
        <v>100000</v>
      </c>
      <c r="J7060" s="74">
        <f>IF(E7060="SERVICE",I7060-(I7060*50%),Vlookup(E7060,DATABASE!C:Q,10,false)*F7060)</f>
        <v>5000</v>
      </c>
      <c r="K7060" s="74">
        <f>VLOOKUP(E7060,DATABASE!C:Q,7,false)</f>
        <v>0</v>
      </c>
      <c r="L7060" s="74">
        <v>0.0</v>
      </c>
      <c r="M7060" s="74">
        <f t="shared" si="2"/>
        <v>0</v>
      </c>
      <c r="N7060" s="74">
        <f t="shared" si="3"/>
        <v>95000</v>
      </c>
      <c r="O7060" s="65" t="str">
        <f>VLOOKUP(E7060,DATABASE!C:Q,8,false)</f>
        <v>IBU</v>
      </c>
      <c r="P7060" s="65">
        <f>VLOOKUP(E7060,DATABASE!C:Q,9,False)</f>
        <v>0</v>
      </c>
      <c r="Q7060" s="93" t="str">
        <f>VLOOKUP(E7060,DATABASE!C:Q,4,false)</f>
        <v>SPOORING SS/CARRY LOS BAK</v>
      </c>
      <c r="R7060" s="93" t="str">
        <f>VLOOKUP(E7060,DATABASE!C:Q,11,false)</f>
        <v>SERVICE</v>
      </c>
    </row>
    <row r="7061" ht="22.5" customHeight="1">
      <c r="A7061" s="49"/>
      <c r="C7061" s="400">
        <v>46068.0</v>
      </c>
      <c r="D7061" s="524">
        <v>357.0</v>
      </c>
      <c r="E7061" s="544" t="s">
        <v>251</v>
      </c>
      <c r="F7061" s="387">
        <v>1.0</v>
      </c>
      <c r="G7061" s="140">
        <v>350000.0</v>
      </c>
      <c r="H7061" s="140">
        <v>220000.0</v>
      </c>
      <c r="I7061" s="74">
        <f t="shared" si="1"/>
        <v>130000</v>
      </c>
      <c r="J7061" s="74">
        <f>IF(E7061="SERVICE",I7061-(I7061*50%),Vlookup(E7061,DATABASE!C:Q,10,false)*F7061)</f>
        <v>65000</v>
      </c>
      <c r="K7061" s="74">
        <f>VLOOKUP(E7061,DATABASE!C:Q,7,false)</f>
        <v>0</v>
      </c>
      <c r="L7061" s="74">
        <v>0.0</v>
      </c>
      <c r="M7061" s="74">
        <f t="shared" si="2"/>
        <v>0</v>
      </c>
      <c r="N7061" s="74">
        <f t="shared" si="3"/>
        <v>65000</v>
      </c>
      <c r="O7061" s="65" t="str">
        <f>VLOOKUP(E7061,DATABASE!C:Q,8,false)</f>
        <v>IBU</v>
      </c>
      <c r="P7061" s="65">
        <f>VLOOKUP(E7061,DATABASE!C:Q,9,False)</f>
        <v>0</v>
      </c>
      <c r="Q7061" s="93" t="str">
        <f>VLOOKUP(E7061,DATABASE!C:Q,4,false)</f>
        <v>SERVICE</v>
      </c>
      <c r="R7061" s="93" t="str">
        <f>VLOOKUP(E7061,DATABASE!C:Q,11,false)</f>
        <v>SERVICE</v>
      </c>
    </row>
    <row r="7062" ht="22.5" customHeight="1">
      <c r="A7062" s="49"/>
      <c r="C7062" s="400">
        <v>46068.0</v>
      </c>
      <c r="D7062" s="524">
        <v>358.0</v>
      </c>
      <c r="E7062" s="544" t="s">
        <v>271</v>
      </c>
      <c r="F7062" s="387">
        <v>2.0</v>
      </c>
      <c r="G7062" s="140">
        <v>630000.0</v>
      </c>
      <c r="H7062" s="140">
        <v>5000.0</v>
      </c>
      <c r="I7062" s="74">
        <f t="shared" si="1"/>
        <v>1250000</v>
      </c>
      <c r="J7062" s="74">
        <f>IF(E7062="SERVICE",I7062-(I7062*50%),Vlookup(E7062,DATABASE!C:Q,10,false)*F7062)</f>
        <v>0</v>
      </c>
      <c r="K7062" s="74">
        <f>VLOOKUP(E7062,DATABASE!C:Q,7,false)</f>
        <v>570000</v>
      </c>
      <c r="L7062" s="74">
        <v>539000.0</v>
      </c>
      <c r="M7062" s="74">
        <f t="shared" si="2"/>
        <v>540000</v>
      </c>
      <c r="N7062" s="74">
        <f t="shared" si="3"/>
        <v>170000</v>
      </c>
      <c r="O7062" s="65" t="str">
        <f>VLOOKUP(E7062,DATABASE!C:Q,8,false)</f>
        <v>IBU</v>
      </c>
      <c r="P7062" s="65">
        <f>VLOOKUP(E7062,DATABASE!C:Q,9,False)</f>
        <v>1</v>
      </c>
      <c r="Q7062" s="93" t="str">
        <f>VLOOKUP(E7062,DATABASE!C:Q,4,false)</f>
        <v>Dunlop</v>
      </c>
      <c r="R7062" s="93" t="str">
        <f>VLOOKUP(E7062,DATABASE!C:Q,11,false)</f>
        <v>Tire</v>
      </c>
    </row>
    <row r="7063" ht="22.5" customHeight="1">
      <c r="A7063" s="49"/>
      <c r="C7063" s="400">
        <v>46068.0</v>
      </c>
      <c r="D7063" s="69" t="s">
        <v>2710</v>
      </c>
      <c r="E7063" s="544" t="s">
        <v>248</v>
      </c>
      <c r="F7063" s="387">
        <v>1.0</v>
      </c>
      <c r="G7063" s="140">
        <v>190000.0</v>
      </c>
      <c r="H7063" s="74"/>
      <c r="I7063" s="74">
        <f t="shared" si="1"/>
        <v>190000</v>
      </c>
      <c r="J7063" s="74">
        <f>IF(E7063="SERVICE",I7063-(I7063*50%),Vlookup(E7063,DATABASE!C:Q,10,false)*F7063)</f>
        <v>0</v>
      </c>
      <c r="K7063" s="74">
        <f>VLOOKUP(E7063,DATABASE!C:Q,7,false)</f>
        <v>209816.66</v>
      </c>
      <c r="L7063" s="74">
        <v>160833.0</v>
      </c>
      <c r="M7063" s="74">
        <f t="shared" si="2"/>
        <v>165000</v>
      </c>
      <c r="N7063" s="74">
        <f t="shared" si="3"/>
        <v>25000</v>
      </c>
      <c r="O7063" s="65" t="str">
        <f>VLOOKUP(E7063,DATABASE!C:Q,8,false)</f>
        <v>NON</v>
      </c>
      <c r="P7063" s="65">
        <f>VLOOKUP(E7063,DATABASE!C:Q,9,False)</f>
        <v>0</v>
      </c>
      <c r="Q7063" s="93" t="str">
        <f>VLOOKUP(E7063,DATABASE!C:Q,4,false)</f>
        <v>Pertamina</v>
      </c>
      <c r="R7063" s="93" t="str">
        <f>VLOOKUP(E7063,DATABASE!C:Q,11,false)</f>
        <v>OIL</v>
      </c>
    </row>
    <row r="7064" ht="22.5" customHeight="1">
      <c r="A7064" s="49"/>
      <c r="C7064" s="400">
        <v>46068.0</v>
      </c>
      <c r="D7064" s="69" t="s">
        <v>2710</v>
      </c>
      <c r="E7064" s="544" t="s">
        <v>298</v>
      </c>
      <c r="F7064" s="387">
        <v>1.0</v>
      </c>
      <c r="G7064" s="140">
        <v>25000.0</v>
      </c>
      <c r="H7064" s="74"/>
      <c r="I7064" s="74">
        <f t="shared" si="1"/>
        <v>25000</v>
      </c>
      <c r="J7064" s="74">
        <f>IF(E7064="SERVICE",I7064-(I7064*50%),Vlookup(E7064,DATABASE!C:Q,10,false)*F7064)</f>
        <v>0</v>
      </c>
      <c r="K7064" s="74">
        <f>VLOOKUP(E7064,DATABASE!C:Q,7,false)</f>
        <v>19200</v>
      </c>
      <c r="L7064" s="74">
        <v>19200.0</v>
      </c>
      <c r="M7064" s="74">
        <f t="shared" si="2"/>
        <v>20000</v>
      </c>
      <c r="N7064" s="74">
        <f t="shared" si="3"/>
        <v>5000</v>
      </c>
      <c r="O7064" s="65" t="str">
        <f>VLOOKUP(E7064,DATABASE!C:Q,8,false)</f>
        <v>BIAN</v>
      </c>
      <c r="P7064" s="65">
        <f>VLOOKUP(E7064,DATABASE!C:Q,9,False)</f>
        <v>0</v>
      </c>
      <c r="Q7064" s="93" t="str">
        <f>VLOOKUP(E7064,DATABASE!C:Q,4,false)</f>
        <v>Aspira</v>
      </c>
      <c r="R7064" s="93" t="str">
        <f>VLOOKUP(E7064,DATABASE!C:Q,11,false)</f>
        <v>COMPLEMENTARY</v>
      </c>
    </row>
    <row r="7065" ht="22.5" customHeight="1">
      <c r="A7065" s="49"/>
      <c r="C7065" s="400">
        <v>46068.0</v>
      </c>
      <c r="D7065" s="69" t="s">
        <v>2711</v>
      </c>
      <c r="E7065" s="544" t="s">
        <v>2192</v>
      </c>
      <c r="F7065" s="387">
        <v>1.0</v>
      </c>
      <c r="G7065" s="140">
        <v>65000.0</v>
      </c>
      <c r="H7065" s="74"/>
      <c r="I7065" s="74">
        <f t="shared" si="1"/>
        <v>65000</v>
      </c>
      <c r="J7065" s="74">
        <f>IF(E7065="SERVICE",I7065-(I7065*50%),Vlookup(E7065,DATABASE!C:Q,10,false)*F7065)</f>
        <v>0</v>
      </c>
      <c r="K7065" s="74">
        <f>VLOOKUP(E7065,DATABASE!C:Q,7,false)</f>
        <v>59705</v>
      </c>
      <c r="L7065" s="74">
        <v>58114.0</v>
      </c>
      <c r="M7065" s="74">
        <f t="shared" si="2"/>
        <v>60000</v>
      </c>
      <c r="N7065" s="74">
        <f t="shared" si="3"/>
        <v>5000</v>
      </c>
      <c r="O7065" s="65" t="str">
        <f>VLOOKUP(E7065,DATABASE!C:Q,8,false)</f>
        <v>NON</v>
      </c>
      <c r="P7065" s="65">
        <f>VLOOKUP(E7065,DATABASE!C:Q,9,False)</f>
        <v>0</v>
      </c>
      <c r="Q7065" s="93" t="str">
        <f>VLOOKUP(E7065,DATABASE!C:Q,4,false)</f>
        <v>Shell</v>
      </c>
      <c r="R7065" s="93" t="str">
        <f>VLOOKUP(E7065,DATABASE!C:Q,11,false)</f>
        <v>OIL</v>
      </c>
    </row>
    <row r="7066" ht="22.5" customHeight="1">
      <c r="A7066" s="49"/>
      <c r="C7066" s="400">
        <v>46068.0</v>
      </c>
      <c r="D7066" s="69" t="s">
        <v>2711</v>
      </c>
      <c r="E7066" s="544" t="s">
        <v>2178</v>
      </c>
      <c r="F7066" s="387">
        <v>1.0</v>
      </c>
      <c r="G7066" s="140">
        <v>80000.0</v>
      </c>
      <c r="H7066" s="74"/>
      <c r="I7066" s="74">
        <f t="shared" si="1"/>
        <v>80000</v>
      </c>
      <c r="J7066" s="74">
        <f>IF(E7066="SERVICE",I7066-(I7066*50%),Vlookup(E7066,DATABASE!C:Q,10,false)*F7066)</f>
        <v>0</v>
      </c>
      <c r="K7066" s="74">
        <f>VLOOKUP(E7066,DATABASE!C:Q,7,false)</f>
        <v>80931</v>
      </c>
      <c r="L7066" s="74">
        <v>69272.0</v>
      </c>
      <c r="M7066" s="74">
        <f t="shared" si="2"/>
        <v>70000</v>
      </c>
      <c r="N7066" s="74">
        <f t="shared" si="3"/>
        <v>10000</v>
      </c>
      <c r="O7066" s="65" t="str">
        <f>VLOOKUP(E7066,DATABASE!C:Q,8,false)</f>
        <v>NON</v>
      </c>
      <c r="P7066" s="65">
        <f>VLOOKUP(E7066,DATABASE!C:Q,9,False)</f>
        <v>0</v>
      </c>
      <c r="Q7066" s="93" t="str">
        <f>VLOOKUP(E7066,DATABASE!C:Q,4,false)</f>
        <v>Shell</v>
      </c>
      <c r="R7066" s="93" t="str">
        <f>VLOOKUP(E7066,DATABASE!C:Q,11,false)</f>
        <v>OIL</v>
      </c>
    </row>
    <row r="7067" ht="22.5" customHeight="1">
      <c r="A7067" s="49"/>
      <c r="C7067" s="400">
        <v>46069.0</v>
      </c>
      <c r="D7067" s="524">
        <v>359.0</v>
      </c>
      <c r="E7067" s="544" t="s">
        <v>245</v>
      </c>
      <c r="F7067" s="387">
        <v>4.0</v>
      </c>
      <c r="G7067" s="140">
        <v>4350000.0</v>
      </c>
      <c r="H7067" s="74"/>
      <c r="I7067" s="74">
        <f t="shared" si="1"/>
        <v>17400000</v>
      </c>
      <c r="J7067" s="74">
        <f>IF(E7067="SERVICE",I7067-(I7067*50%),Vlookup(E7067,DATABASE!C:Q,10,false)*F7067)</f>
        <v>0</v>
      </c>
      <c r="K7067" s="74">
        <f>VLOOKUP(E7067,DATABASE!C:Q,7,false)</f>
        <v>4200000</v>
      </c>
      <c r="L7067" s="74">
        <v>4100000.0</v>
      </c>
      <c r="M7067" s="74">
        <f t="shared" si="2"/>
        <v>4100000</v>
      </c>
      <c r="N7067" s="74">
        <f t="shared" si="3"/>
        <v>1000000</v>
      </c>
      <c r="O7067" s="65" t="str">
        <f>VLOOKUP(E7067,DATABASE!C:Q,8,false)</f>
        <v>BIAN</v>
      </c>
      <c r="P7067" s="65">
        <f>VLOOKUP(E7067,DATABASE!C:Q,9,False)</f>
        <v>1</v>
      </c>
      <c r="Q7067" s="93" t="str">
        <f>VLOOKUP(E7067,DATABASE!C:Q,4,false)</f>
        <v>Advance</v>
      </c>
      <c r="R7067" s="93" t="str">
        <f>VLOOKUP(E7067,DATABASE!C:Q,11,false)</f>
        <v>Tire</v>
      </c>
    </row>
    <row r="7068" ht="22.5" customHeight="1">
      <c r="A7068" s="49"/>
      <c r="C7068" s="400">
        <v>46069.0</v>
      </c>
      <c r="D7068" s="524">
        <v>360.0</v>
      </c>
      <c r="E7068" s="544" t="s">
        <v>605</v>
      </c>
      <c r="F7068" s="387">
        <v>1.0</v>
      </c>
      <c r="G7068" s="140">
        <v>760000.0</v>
      </c>
      <c r="H7068" s="140">
        <v>25000.0</v>
      </c>
      <c r="I7068" s="74">
        <f t="shared" si="1"/>
        <v>735000</v>
      </c>
      <c r="J7068" s="74">
        <f>IF(E7068="SERVICE",I7068-(I7068*50%),Vlookup(E7068,DATABASE!C:Q,10,false)*F7068)</f>
        <v>0</v>
      </c>
      <c r="K7068" s="74">
        <f>VLOOKUP(E7068,DATABASE!C:Q,7,false)</f>
        <v>675000</v>
      </c>
      <c r="L7068" s="74">
        <v>650000.0</v>
      </c>
      <c r="M7068" s="74">
        <f t="shared" si="2"/>
        <v>650000</v>
      </c>
      <c r="N7068" s="74">
        <f t="shared" si="3"/>
        <v>85000</v>
      </c>
      <c r="O7068" s="65" t="str">
        <f>VLOOKUP(E7068,DATABASE!C:Q,8,false)</f>
        <v>IBU</v>
      </c>
      <c r="P7068" s="65">
        <f>VLOOKUP(E7068,DATABASE!C:Q,9,False)</f>
        <v>1</v>
      </c>
      <c r="Q7068" s="93" t="str">
        <f>VLOOKUP(E7068,DATABASE!C:Q,4,false)</f>
        <v>Bridgestone</v>
      </c>
      <c r="R7068" s="93" t="str">
        <f>VLOOKUP(E7068,DATABASE!C:Q,11,false)</f>
        <v>Tire</v>
      </c>
    </row>
    <row r="7069" ht="22.5" customHeight="1">
      <c r="A7069" s="49"/>
      <c r="C7069" s="400">
        <v>46069.0</v>
      </c>
      <c r="D7069" s="524">
        <v>361.0</v>
      </c>
      <c r="E7069" s="544" t="s">
        <v>1588</v>
      </c>
      <c r="F7069" s="387">
        <v>2.0</v>
      </c>
      <c r="G7069" s="140">
        <v>1150000.0</v>
      </c>
      <c r="H7069" s="140"/>
      <c r="I7069" s="74">
        <f t="shared" si="1"/>
        <v>2300000</v>
      </c>
      <c r="J7069" s="74">
        <f>IF(E7069="SERVICE",I7069-(I7069*50%),Vlookup(E7069,DATABASE!C:Q,10,false)*F7069)</f>
        <v>0</v>
      </c>
      <c r="K7069" s="74">
        <f>VLOOKUP(E7069,DATABASE!C:Q,7,false)</f>
        <v>930000</v>
      </c>
      <c r="L7069" s="74">
        <v>930000.0</v>
      </c>
      <c r="M7069" s="74">
        <f t="shared" si="2"/>
        <v>930000</v>
      </c>
      <c r="N7069" s="74">
        <f t="shared" si="3"/>
        <v>440000</v>
      </c>
      <c r="O7069" s="65" t="str">
        <f>VLOOKUP(E7069,DATABASE!C:Q,8,false)</f>
        <v>IBU</v>
      </c>
      <c r="P7069" s="65">
        <f>VLOOKUP(E7069,DATABASE!C:Q,9,False)</f>
        <v>1</v>
      </c>
      <c r="Q7069" s="93" t="str">
        <f>VLOOKUP(E7069,DATABASE!C:Q,4,false)</f>
        <v>Dunlop</v>
      </c>
      <c r="R7069" s="93" t="str">
        <f>VLOOKUP(E7069,DATABASE!C:Q,11,false)</f>
        <v>Tire</v>
      </c>
    </row>
    <row r="7070" ht="22.5" customHeight="1">
      <c r="A7070" s="49"/>
      <c r="C7070" s="400">
        <v>46069.0</v>
      </c>
      <c r="D7070" s="524">
        <v>362.0</v>
      </c>
      <c r="E7070" s="544" t="s">
        <v>955</v>
      </c>
      <c r="F7070" s="387">
        <v>1.0</v>
      </c>
      <c r="G7070" s="140">
        <v>770000.0</v>
      </c>
      <c r="H7070" s="74"/>
      <c r="I7070" s="74">
        <f t="shared" si="1"/>
        <v>770000</v>
      </c>
      <c r="J7070" s="74">
        <f>IF(E7070="SERVICE",I7070-(I7070*50%),Vlookup(E7070,DATABASE!C:Q,10,false)*F7070)</f>
        <v>0</v>
      </c>
      <c r="K7070" s="74">
        <f>VLOOKUP(E7070,DATABASE!C:Q,7,false)</f>
        <v>712000</v>
      </c>
      <c r="L7070" s="74">
        <v>674000.0</v>
      </c>
      <c r="M7070" s="74">
        <f t="shared" si="2"/>
        <v>675000</v>
      </c>
      <c r="N7070" s="74">
        <f t="shared" si="3"/>
        <v>95000</v>
      </c>
      <c r="O7070" s="65" t="str">
        <f>VLOOKUP(E7070,DATABASE!C:Q,8,false)</f>
        <v>IBU</v>
      </c>
      <c r="P7070" s="65">
        <f>VLOOKUP(E7070,DATABASE!C:Q,9,False)</f>
        <v>1</v>
      </c>
      <c r="Q7070" s="93" t="str">
        <f>VLOOKUP(E7070,DATABASE!C:Q,4,false)</f>
        <v>Dunlop</v>
      </c>
      <c r="R7070" s="93" t="str">
        <f>VLOOKUP(E7070,DATABASE!C:Q,11,false)</f>
        <v>Tire</v>
      </c>
    </row>
    <row r="7071" ht="22.5" customHeight="1">
      <c r="A7071" s="49"/>
      <c r="C7071" s="400">
        <v>46069.0</v>
      </c>
      <c r="D7071" s="524">
        <v>363.0</v>
      </c>
      <c r="E7071" s="544" t="s">
        <v>2618</v>
      </c>
      <c r="F7071" s="387">
        <v>4.0</v>
      </c>
      <c r="G7071" s="140">
        <v>1630000.0</v>
      </c>
      <c r="H7071" s="74"/>
      <c r="I7071" s="74">
        <f t="shared" si="1"/>
        <v>6520000</v>
      </c>
      <c r="J7071" s="74">
        <f>IF(E7071="SERVICE",I7071-(I7071*50%),Vlookup(E7071,DATABASE!C:Q,10,false)*F7071)</f>
        <v>0</v>
      </c>
      <c r="K7071" s="74">
        <f>VLOOKUP(E7071,DATABASE!C:Q,7,false)</f>
        <v>1481800</v>
      </c>
      <c r="L7071" s="74">
        <v>1481800.0</v>
      </c>
      <c r="M7071" s="74">
        <f t="shared" si="2"/>
        <v>1485000</v>
      </c>
      <c r="N7071" s="74">
        <f t="shared" si="3"/>
        <v>580000</v>
      </c>
      <c r="O7071" s="65" t="str">
        <f>VLOOKUP(E7071,DATABASE!C:Q,8,false)</f>
        <v>BIAN</v>
      </c>
      <c r="P7071" s="65">
        <f>VLOOKUP(E7071,DATABASE!C:Q,9,False)</f>
        <v>1</v>
      </c>
      <c r="Q7071" s="93" t="str">
        <f>VLOOKUP(E7071,DATABASE!C:Q,4,false)</f>
        <v>GT</v>
      </c>
      <c r="R7071" s="93" t="str">
        <f>VLOOKUP(E7071,DATABASE!C:Q,11,false)</f>
        <v>Tire</v>
      </c>
    </row>
    <row r="7072" ht="22.5" customHeight="1">
      <c r="A7072" s="49"/>
      <c r="C7072" s="400">
        <v>46069.0</v>
      </c>
      <c r="D7072" s="524">
        <v>365.0</v>
      </c>
      <c r="E7072" s="544" t="s">
        <v>275</v>
      </c>
      <c r="F7072" s="387">
        <v>2.0</v>
      </c>
      <c r="G7072" s="140">
        <v>830000.0</v>
      </c>
      <c r="H7072" s="140">
        <v>5000.0</v>
      </c>
      <c r="I7072" s="74">
        <f t="shared" si="1"/>
        <v>1650000</v>
      </c>
      <c r="J7072" s="74">
        <f>IF(E7072="SERVICE",I7072-(I7072*50%),Vlookup(E7072,DATABASE!C:Q,10,false)*F7072)</f>
        <v>0</v>
      </c>
      <c r="K7072" s="74">
        <f>VLOOKUP(E7072,DATABASE!C:Q,7,false)</f>
        <v>782000</v>
      </c>
      <c r="L7072" s="74">
        <v>745000.0</v>
      </c>
      <c r="M7072" s="74">
        <f t="shared" si="2"/>
        <v>745000</v>
      </c>
      <c r="N7072" s="74">
        <f t="shared" si="3"/>
        <v>160000</v>
      </c>
      <c r="O7072" s="65" t="str">
        <f>VLOOKUP(E7072,DATABASE!C:Q,8,false)</f>
        <v>IBU</v>
      </c>
      <c r="P7072" s="65">
        <f>VLOOKUP(E7072,DATABASE!C:Q,9,False)</f>
        <v>1</v>
      </c>
      <c r="Q7072" s="93" t="str">
        <f>VLOOKUP(E7072,DATABASE!C:Q,4,false)</f>
        <v>Dunlop</v>
      </c>
      <c r="R7072" s="93" t="str">
        <f>VLOOKUP(E7072,DATABASE!C:Q,11,false)</f>
        <v>Tire</v>
      </c>
    </row>
    <row r="7073" ht="22.5" customHeight="1">
      <c r="A7073" s="49"/>
      <c r="C7073" s="400">
        <v>46069.0</v>
      </c>
      <c r="D7073" s="524">
        <v>366.0</v>
      </c>
      <c r="E7073" s="544" t="s">
        <v>262</v>
      </c>
      <c r="F7073" s="387">
        <v>1.0</v>
      </c>
      <c r="G7073" s="140">
        <v>110000.0</v>
      </c>
      <c r="H7073" s="74"/>
      <c r="I7073" s="74">
        <f t="shared" si="1"/>
        <v>110000</v>
      </c>
      <c r="J7073" s="74">
        <f>IF(E7073="SERVICE",I7073-(I7073*50%),Vlookup(E7073,DATABASE!C:Q,10,false)*F7073)</f>
        <v>5000</v>
      </c>
      <c r="K7073" s="74">
        <f>VLOOKUP(E7073,DATABASE!C:Q,7,false)</f>
        <v>0</v>
      </c>
      <c r="L7073" s="74">
        <v>0.0</v>
      </c>
      <c r="M7073" s="74">
        <f t="shared" si="2"/>
        <v>0</v>
      </c>
      <c r="N7073" s="74">
        <f t="shared" si="3"/>
        <v>105000</v>
      </c>
      <c r="O7073" s="65" t="str">
        <f>VLOOKUP(E7073,DATABASE!C:Q,8,false)</f>
        <v>IBU</v>
      </c>
      <c r="P7073" s="65">
        <f>VLOOKUP(E7073,DATABASE!C:Q,9,False)</f>
        <v>0</v>
      </c>
      <c r="Q7073" s="93" t="str">
        <f>VLOOKUP(E7073,DATABASE!C:Q,4,false)</f>
        <v>SPOORING SS/CARRY LOS BAK</v>
      </c>
      <c r="R7073" s="93" t="str">
        <f>VLOOKUP(E7073,DATABASE!C:Q,11,false)</f>
        <v>SERVICE</v>
      </c>
    </row>
    <row r="7074" ht="22.5" customHeight="1">
      <c r="A7074" s="49"/>
      <c r="C7074" s="400">
        <v>46069.0</v>
      </c>
      <c r="D7074" s="524">
        <v>366.0</v>
      </c>
      <c r="E7074" s="544" t="s">
        <v>299</v>
      </c>
      <c r="F7074" s="387">
        <v>2.0</v>
      </c>
      <c r="G7074" s="140">
        <v>30000.0</v>
      </c>
      <c r="H7074" s="74"/>
      <c r="I7074" s="74">
        <f t="shared" si="1"/>
        <v>60000</v>
      </c>
      <c r="J7074" s="74">
        <f>IF(E7074="SERVICE",I7074-(I7074*50%),Vlookup(E7074,DATABASE!C:Q,10,false)*F7074)</f>
        <v>0</v>
      </c>
      <c r="K7074" s="74">
        <f>VLOOKUP(E7074,DATABASE!C:Q,7,false)</f>
        <v>10000</v>
      </c>
      <c r="L7074" s="74">
        <v>10000.0</v>
      </c>
      <c r="M7074" s="74">
        <f t="shared" si="2"/>
        <v>10000</v>
      </c>
      <c r="N7074" s="74">
        <f t="shared" si="3"/>
        <v>40000</v>
      </c>
      <c r="O7074" s="65" t="str">
        <f>VLOOKUP(E7074,DATABASE!C:Q,8,false)</f>
        <v>BIAN</v>
      </c>
      <c r="P7074" s="65">
        <f>VLOOKUP(E7074,DATABASE!C:Q,9,False)</f>
        <v>0</v>
      </c>
      <c r="Q7074" s="93" t="str">
        <f>VLOOKUP(E7074,DATABASE!C:Q,4,false)</f>
        <v>Balancing</v>
      </c>
      <c r="R7074" s="93" t="str">
        <f>VLOOKUP(E7074,DATABASE!C:Q,11,false)</f>
        <v>COMPLEMENTARY</v>
      </c>
    </row>
    <row r="7075" ht="22.5" customHeight="1">
      <c r="A7075" s="49"/>
      <c r="C7075" s="400">
        <v>46069.0</v>
      </c>
      <c r="D7075" s="524">
        <v>366.0</v>
      </c>
      <c r="E7075" s="544" t="s">
        <v>251</v>
      </c>
      <c r="F7075" s="387">
        <v>1.0</v>
      </c>
      <c r="G7075" s="140">
        <v>350000.0</v>
      </c>
      <c r="H7075" s="140">
        <v>200000.0</v>
      </c>
      <c r="I7075" s="74">
        <f t="shared" si="1"/>
        <v>150000</v>
      </c>
      <c r="J7075" s="74">
        <f>IF(E7075="SERVICE",I7075-(I7075*50%),Vlookup(E7075,DATABASE!C:Q,10,false)*F7075)</f>
        <v>75000</v>
      </c>
      <c r="K7075" s="74">
        <f>VLOOKUP(E7075,DATABASE!C:Q,7,false)</f>
        <v>0</v>
      </c>
      <c r="L7075" s="74">
        <v>0.0</v>
      </c>
      <c r="M7075" s="74">
        <f t="shared" si="2"/>
        <v>0</v>
      </c>
      <c r="N7075" s="74">
        <f t="shared" si="3"/>
        <v>75000</v>
      </c>
      <c r="O7075" s="65" t="str">
        <f>VLOOKUP(E7075,DATABASE!C:Q,8,false)</f>
        <v>IBU</v>
      </c>
      <c r="P7075" s="65">
        <f>VLOOKUP(E7075,DATABASE!C:Q,9,False)</f>
        <v>0</v>
      </c>
      <c r="Q7075" s="93" t="str">
        <f>VLOOKUP(E7075,DATABASE!C:Q,4,false)</f>
        <v>SERVICE</v>
      </c>
      <c r="R7075" s="93" t="str">
        <f>VLOOKUP(E7075,DATABASE!C:Q,11,false)</f>
        <v>SERVICE</v>
      </c>
    </row>
    <row r="7076" ht="22.5" customHeight="1">
      <c r="A7076" s="49"/>
      <c r="C7076" s="400">
        <v>46069.0</v>
      </c>
      <c r="D7076" s="524">
        <v>367.0</v>
      </c>
      <c r="E7076" s="544" t="s">
        <v>265</v>
      </c>
      <c r="F7076" s="387">
        <v>2.0</v>
      </c>
      <c r="G7076" s="140">
        <v>685000.0</v>
      </c>
      <c r="H7076" s="74"/>
      <c r="I7076" s="74">
        <f t="shared" si="1"/>
        <v>1370000</v>
      </c>
      <c r="J7076" s="74">
        <f>IF(E7076="SERVICE",I7076-(I7076*50%),Vlookup(E7076,DATABASE!C:Q,10,false)*F7076)</f>
        <v>0</v>
      </c>
      <c r="K7076" s="74">
        <f>VLOOKUP(E7076,DATABASE!C:Q,7,false)</f>
        <v>628000</v>
      </c>
      <c r="L7076" s="74">
        <v>600000.0</v>
      </c>
      <c r="M7076" s="74">
        <f t="shared" si="2"/>
        <v>600000</v>
      </c>
      <c r="N7076" s="74">
        <f t="shared" si="3"/>
        <v>170000</v>
      </c>
      <c r="O7076" s="65" t="str">
        <f>VLOOKUP(E7076,DATABASE!C:Q,8,false)</f>
        <v>IBU</v>
      </c>
      <c r="P7076" s="65">
        <f>VLOOKUP(E7076,DATABASE!C:Q,9,False)</f>
        <v>1</v>
      </c>
      <c r="Q7076" s="93" t="str">
        <f>VLOOKUP(E7076,DATABASE!C:Q,4,false)</f>
        <v>Dunlop</v>
      </c>
      <c r="R7076" s="93" t="str">
        <f>VLOOKUP(E7076,DATABASE!C:Q,11,false)</f>
        <v>Tire</v>
      </c>
    </row>
    <row r="7077" ht="22.5" customHeight="1">
      <c r="A7077" s="49"/>
      <c r="C7077" s="400">
        <v>46069.0</v>
      </c>
      <c r="D7077" s="524">
        <v>368.0</v>
      </c>
      <c r="E7077" s="544" t="s">
        <v>275</v>
      </c>
      <c r="F7077" s="387">
        <v>4.0</v>
      </c>
      <c r="G7077" s="140">
        <v>830000.0</v>
      </c>
      <c r="H7077" s="74"/>
      <c r="I7077" s="74">
        <f t="shared" si="1"/>
        <v>3320000</v>
      </c>
      <c r="J7077" s="74">
        <f>IF(E7077="SERVICE",I7077-(I7077*50%),Vlookup(E7077,DATABASE!C:Q,10,false)*F7077)</f>
        <v>0</v>
      </c>
      <c r="K7077" s="74">
        <f>VLOOKUP(E7077,DATABASE!C:Q,7,false)</f>
        <v>782000</v>
      </c>
      <c r="L7077" s="74">
        <v>745000.0</v>
      </c>
      <c r="M7077" s="74">
        <f t="shared" si="2"/>
        <v>745000</v>
      </c>
      <c r="N7077" s="74">
        <f t="shared" si="3"/>
        <v>340000</v>
      </c>
      <c r="O7077" s="65" t="str">
        <f>VLOOKUP(E7077,DATABASE!C:Q,8,false)</f>
        <v>IBU</v>
      </c>
      <c r="P7077" s="65">
        <f>VLOOKUP(E7077,DATABASE!C:Q,9,False)</f>
        <v>1</v>
      </c>
      <c r="Q7077" s="93" t="str">
        <f>VLOOKUP(E7077,DATABASE!C:Q,4,false)</f>
        <v>Dunlop</v>
      </c>
      <c r="R7077" s="93" t="str">
        <f>VLOOKUP(E7077,DATABASE!C:Q,11,false)</f>
        <v>Tire</v>
      </c>
    </row>
    <row r="7078" ht="22.5" customHeight="1">
      <c r="A7078" s="49"/>
      <c r="C7078" s="400">
        <v>46070.0</v>
      </c>
      <c r="D7078" s="524">
        <v>369.0</v>
      </c>
      <c r="E7078" s="544" t="s">
        <v>268</v>
      </c>
      <c r="F7078" s="387">
        <v>1.0</v>
      </c>
      <c r="G7078" s="140">
        <v>710000.0</v>
      </c>
      <c r="H7078" s="74"/>
      <c r="I7078" s="74">
        <f t="shared" si="1"/>
        <v>710000</v>
      </c>
      <c r="J7078" s="74">
        <f>IF(E7078="SERVICE",I7078-(I7078*50%),Vlookup(E7078,DATABASE!C:Q,10,false)*F7078)</f>
        <v>0</v>
      </c>
      <c r="K7078" s="74">
        <f>VLOOKUP(E7078,DATABASE!C:Q,7,false)</f>
        <v>653000</v>
      </c>
      <c r="L7078" s="74">
        <v>622000.0</v>
      </c>
      <c r="M7078" s="74">
        <f t="shared" si="2"/>
        <v>625000</v>
      </c>
      <c r="N7078" s="74">
        <f t="shared" si="3"/>
        <v>85000</v>
      </c>
      <c r="O7078" s="65" t="str">
        <f>VLOOKUP(E7078,DATABASE!C:Q,8,false)</f>
        <v>IBU</v>
      </c>
      <c r="P7078" s="65">
        <f>VLOOKUP(E7078,DATABASE!C:Q,9,False)</f>
        <v>1</v>
      </c>
      <c r="Q7078" s="93" t="str">
        <f>VLOOKUP(E7078,DATABASE!C:Q,4,false)</f>
        <v>Dunlop</v>
      </c>
      <c r="R7078" s="93" t="str">
        <f>VLOOKUP(E7078,DATABASE!C:Q,11,false)</f>
        <v>Tire</v>
      </c>
    </row>
    <row r="7079" ht="22.5" customHeight="1">
      <c r="A7079" s="49"/>
      <c r="C7079" s="400">
        <v>46070.0</v>
      </c>
      <c r="D7079" s="524">
        <v>369.0</v>
      </c>
      <c r="E7079" s="544" t="s">
        <v>569</v>
      </c>
      <c r="F7079" s="387">
        <v>1.0</v>
      </c>
      <c r="G7079" s="140">
        <v>80000.0</v>
      </c>
      <c r="H7079" s="74"/>
      <c r="I7079" s="74">
        <f t="shared" si="1"/>
        <v>80000</v>
      </c>
      <c r="J7079" s="74">
        <f>IF(E7079="SERVICE",I7079-(I7079*50%),Vlookup(E7079,DATABASE!C:Q,10,false)*F7079)</f>
        <v>0</v>
      </c>
      <c r="K7079" s="74">
        <f>VLOOKUP(E7079,DATABASE!C:Q,7,false)</f>
        <v>45439.582</v>
      </c>
      <c r="L7079" s="74">
        <v>45309.6</v>
      </c>
      <c r="M7079" s="74">
        <f t="shared" si="2"/>
        <v>50000</v>
      </c>
      <c r="N7079" s="74">
        <f t="shared" si="3"/>
        <v>30000</v>
      </c>
      <c r="O7079" s="65" t="str">
        <f>VLOOKUP(E7079,DATABASE!C:Q,8,false)</f>
        <v>BIAN</v>
      </c>
      <c r="P7079" s="65">
        <f>VLOOKUP(E7079,DATABASE!C:Q,9,False)</f>
        <v>1</v>
      </c>
      <c r="Q7079" s="93" t="str">
        <f>VLOOKUP(E7079,DATABASE!C:Q,4,false)</f>
        <v>BD</v>
      </c>
      <c r="R7079" s="93" t="str">
        <f>VLOOKUP(E7079,DATABASE!C:Q,11,false)</f>
        <v>Tire</v>
      </c>
    </row>
    <row r="7080" ht="22.5" customHeight="1">
      <c r="A7080" s="49"/>
      <c r="C7080" s="400">
        <v>46070.0</v>
      </c>
      <c r="D7080" s="524">
        <v>370.0</v>
      </c>
      <c r="E7080" s="544" t="s">
        <v>268</v>
      </c>
      <c r="F7080" s="387">
        <v>1.0</v>
      </c>
      <c r="G7080" s="140">
        <v>710000.0</v>
      </c>
      <c r="H7080" s="74"/>
      <c r="I7080" s="74">
        <f t="shared" si="1"/>
        <v>710000</v>
      </c>
      <c r="J7080" s="74">
        <f>IF(E7080="SERVICE",I7080-(I7080*50%),Vlookup(E7080,DATABASE!C:Q,10,false)*F7080)</f>
        <v>0</v>
      </c>
      <c r="K7080" s="74">
        <f>VLOOKUP(E7080,DATABASE!C:Q,7,false)</f>
        <v>653000</v>
      </c>
      <c r="L7080" s="74">
        <v>622000.0</v>
      </c>
      <c r="M7080" s="74">
        <f t="shared" si="2"/>
        <v>625000</v>
      </c>
      <c r="N7080" s="74">
        <f t="shared" si="3"/>
        <v>85000</v>
      </c>
      <c r="O7080" s="65" t="str">
        <f>VLOOKUP(E7080,DATABASE!C:Q,8,false)</f>
        <v>IBU</v>
      </c>
      <c r="P7080" s="65">
        <f>VLOOKUP(E7080,DATABASE!C:Q,9,False)</f>
        <v>1</v>
      </c>
      <c r="Q7080" s="93" t="str">
        <f>VLOOKUP(E7080,DATABASE!C:Q,4,false)</f>
        <v>Dunlop</v>
      </c>
      <c r="R7080" s="93" t="str">
        <f>VLOOKUP(E7080,DATABASE!C:Q,11,false)</f>
        <v>Tire</v>
      </c>
    </row>
    <row r="7081" ht="22.5" customHeight="1">
      <c r="A7081" s="49"/>
      <c r="C7081" s="400">
        <v>46070.0</v>
      </c>
      <c r="D7081" s="524">
        <v>371.0</v>
      </c>
      <c r="E7081" s="544" t="s">
        <v>271</v>
      </c>
      <c r="F7081" s="387">
        <v>1.0</v>
      </c>
      <c r="G7081" s="140">
        <v>630000.0</v>
      </c>
      <c r="H7081" s="74"/>
      <c r="I7081" s="74">
        <f t="shared" si="1"/>
        <v>630000</v>
      </c>
      <c r="J7081" s="74">
        <f>IF(E7081="SERVICE",I7081-(I7081*50%),Vlookup(E7081,DATABASE!C:Q,10,false)*F7081)</f>
        <v>0</v>
      </c>
      <c r="K7081" s="74">
        <f>VLOOKUP(E7081,DATABASE!C:Q,7,false)</f>
        <v>570000</v>
      </c>
      <c r="L7081" s="74">
        <v>539000.0</v>
      </c>
      <c r="M7081" s="74">
        <f t="shared" si="2"/>
        <v>540000</v>
      </c>
      <c r="N7081" s="74">
        <f t="shared" si="3"/>
        <v>90000</v>
      </c>
      <c r="O7081" s="65" t="str">
        <f>VLOOKUP(E7081,DATABASE!C:Q,8,false)</f>
        <v>IBU</v>
      </c>
      <c r="P7081" s="65">
        <f>VLOOKUP(E7081,DATABASE!C:Q,9,False)</f>
        <v>1</v>
      </c>
      <c r="Q7081" s="93" t="str">
        <f>VLOOKUP(E7081,DATABASE!C:Q,4,false)</f>
        <v>Dunlop</v>
      </c>
      <c r="R7081" s="93" t="str">
        <f>VLOOKUP(E7081,DATABASE!C:Q,11,false)</f>
        <v>Tire</v>
      </c>
    </row>
    <row r="7082" ht="22.5" customHeight="1">
      <c r="A7082" s="49"/>
      <c r="C7082" s="400">
        <v>46070.0</v>
      </c>
      <c r="D7082" s="524">
        <v>372.0</v>
      </c>
      <c r="E7082" s="544" t="s">
        <v>581</v>
      </c>
      <c r="F7082" s="387">
        <v>4.0</v>
      </c>
      <c r="G7082" s="140">
        <v>670000.0</v>
      </c>
      <c r="H7082" s="140">
        <v>45000.0</v>
      </c>
      <c r="I7082" s="74">
        <f t="shared" si="1"/>
        <v>2500000</v>
      </c>
      <c r="J7082" s="74">
        <f>IF(E7082="SERVICE",I7082-(I7082*50%),Vlookup(E7082,DATABASE!C:Q,10,false)*F7082)</f>
        <v>0</v>
      </c>
      <c r="K7082" s="74">
        <f>VLOOKUP(E7082,DATABASE!C:Q,7,false)</f>
        <v>542528</v>
      </c>
      <c r="L7082" s="74">
        <v>531715.5</v>
      </c>
      <c r="M7082" s="74">
        <f t="shared" si="2"/>
        <v>535000</v>
      </c>
      <c r="N7082" s="74">
        <f t="shared" si="3"/>
        <v>360000</v>
      </c>
      <c r="O7082" s="65" t="str">
        <f>VLOOKUP(E7082,DATABASE!C:Q,8,false)</f>
        <v>IBU</v>
      </c>
      <c r="P7082" s="65">
        <f>VLOOKUP(E7082,DATABASE!C:Q,9,False)</f>
        <v>1</v>
      </c>
      <c r="Q7082" s="93" t="str">
        <f>VLOOKUP(E7082,DATABASE!C:Q,4,false)</f>
        <v>Bridgestone</v>
      </c>
      <c r="R7082" s="93" t="str">
        <f>VLOOKUP(E7082,DATABASE!C:Q,11,false)</f>
        <v>Tire</v>
      </c>
    </row>
    <row r="7083" ht="22.5" customHeight="1">
      <c r="A7083" s="49"/>
      <c r="C7083" s="400">
        <v>46070.0</v>
      </c>
      <c r="D7083" s="524">
        <v>372.0</v>
      </c>
      <c r="E7083" s="544" t="s">
        <v>299</v>
      </c>
      <c r="F7083" s="387">
        <v>2.0</v>
      </c>
      <c r="G7083" s="140">
        <v>30000.0</v>
      </c>
      <c r="H7083" s="74"/>
      <c r="I7083" s="74">
        <f t="shared" si="1"/>
        <v>60000</v>
      </c>
      <c r="J7083" s="74">
        <f>IF(E7083="SERVICE",I7083-(I7083*50%),Vlookup(E7083,DATABASE!C:Q,10,false)*F7083)</f>
        <v>0</v>
      </c>
      <c r="K7083" s="74">
        <f>VLOOKUP(E7083,DATABASE!C:Q,7,false)</f>
        <v>10000</v>
      </c>
      <c r="L7083" s="74">
        <v>10000.0</v>
      </c>
      <c r="M7083" s="74">
        <f t="shared" si="2"/>
        <v>10000</v>
      </c>
      <c r="N7083" s="74">
        <f t="shared" si="3"/>
        <v>40000</v>
      </c>
      <c r="O7083" s="65" t="str">
        <f>VLOOKUP(E7083,DATABASE!C:Q,8,false)</f>
        <v>BIAN</v>
      </c>
      <c r="P7083" s="65">
        <f>VLOOKUP(E7083,DATABASE!C:Q,9,False)</f>
        <v>0</v>
      </c>
      <c r="Q7083" s="93" t="str">
        <f>VLOOKUP(E7083,DATABASE!C:Q,4,false)</f>
        <v>Balancing</v>
      </c>
      <c r="R7083" s="93" t="str">
        <f>VLOOKUP(E7083,DATABASE!C:Q,11,false)</f>
        <v>COMPLEMENTARY</v>
      </c>
    </row>
    <row r="7084" ht="22.5" customHeight="1">
      <c r="A7084" s="49"/>
      <c r="C7084" s="400">
        <v>46070.0</v>
      </c>
      <c r="D7084" s="524">
        <v>372.0</v>
      </c>
      <c r="E7084" s="544" t="s">
        <v>256</v>
      </c>
      <c r="F7084" s="387">
        <v>1.0</v>
      </c>
      <c r="G7084" s="140">
        <v>150000.0</v>
      </c>
      <c r="H7084" s="140">
        <v>20000.0</v>
      </c>
      <c r="I7084" s="74">
        <f t="shared" si="1"/>
        <v>130000</v>
      </c>
      <c r="J7084" s="74">
        <f>IF(E7084="SERVICE",I7084-(I7084*50%),Vlookup(E7084,DATABASE!C:Q,10,false)*F7084)</f>
        <v>10000</v>
      </c>
      <c r="K7084" s="74">
        <f>VLOOKUP(E7084,DATABASE!C:Q,7,false)</f>
        <v>0</v>
      </c>
      <c r="L7084" s="74">
        <v>0.0</v>
      </c>
      <c r="M7084" s="74">
        <f t="shared" si="2"/>
        <v>0</v>
      </c>
      <c r="N7084" s="74">
        <f t="shared" si="3"/>
        <v>120000</v>
      </c>
      <c r="O7084" s="65" t="str">
        <f>VLOOKUP(E7084,DATABASE!C:Q,8,false)</f>
        <v>IBU</v>
      </c>
      <c r="P7084" s="65">
        <f>VLOOKUP(E7084,DATABASE!C:Q,9,False)</f>
        <v>0</v>
      </c>
      <c r="Q7084" s="93" t="str">
        <f>VLOOKUP(E7084,DATABASE!C:Q,4,false)</f>
        <v>SPOORING</v>
      </c>
      <c r="R7084" s="93" t="str">
        <f>VLOOKUP(E7084,DATABASE!C:Q,11,false)</f>
        <v>SERVICE</v>
      </c>
    </row>
    <row r="7085" ht="22.5" customHeight="1">
      <c r="A7085" s="49"/>
      <c r="C7085" s="400">
        <v>46070.0</v>
      </c>
      <c r="D7085" s="524">
        <v>372.0</v>
      </c>
      <c r="E7085" s="544" t="s">
        <v>301</v>
      </c>
      <c r="F7085" s="387">
        <v>1.0</v>
      </c>
      <c r="G7085" s="140">
        <v>250000.0</v>
      </c>
      <c r="H7085" s="74"/>
      <c r="I7085" s="74">
        <f t="shared" si="1"/>
        <v>250000</v>
      </c>
      <c r="J7085" s="74">
        <f>IF(E7085="SERVICE",I7085-(I7085*50%),Vlookup(E7085,DATABASE!C:Q,10,false)*F7085)</f>
        <v>75000</v>
      </c>
      <c r="K7085" s="74">
        <f>VLOOKUP(E7085,DATABASE!C:Q,7,false)</f>
        <v>75000</v>
      </c>
      <c r="L7085" s="74">
        <v>75000.0</v>
      </c>
      <c r="M7085" s="74">
        <f t="shared" si="2"/>
        <v>75000</v>
      </c>
      <c r="N7085" s="74">
        <f t="shared" si="3"/>
        <v>100000</v>
      </c>
      <c r="O7085" s="65" t="str">
        <f>VLOOKUP(E7085,DATABASE!C:Q,8,false)</f>
        <v>BIAN</v>
      </c>
      <c r="P7085" s="65">
        <f>VLOOKUP(E7085,DATABASE!C:Q,9,False)</f>
        <v>0</v>
      </c>
      <c r="Q7085" s="93" t="str">
        <f>VLOOKUP(E7085,DATABASE!C:Q,4,false)</f>
        <v>Baut Camber</v>
      </c>
      <c r="R7085" s="93" t="str">
        <f>VLOOKUP(E7085,DATABASE!C:Q,11,false)</f>
        <v>COMPLEMENTARY</v>
      </c>
    </row>
    <row r="7086" ht="22.5" customHeight="1">
      <c r="A7086" s="49"/>
      <c r="C7086" s="400">
        <v>46070.0</v>
      </c>
      <c r="D7086" s="524">
        <v>373.0</v>
      </c>
      <c r="E7086" s="544" t="s">
        <v>256</v>
      </c>
      <c r="F7086" s="387">
        <v>1.0</v>
      </c>
      <c r="G7086" s="140">
        <v>150000.0</v>
      </c>
      <c r="H7086" s="140">
        <v>20000.0</v>
      </c>
      <c r="I7086" s="74">
        <f t="shared" si="1"/>
        <v>130000</v>
      </c>
      <c r="J7086" s="74">
        <f>IF(E7086="SERVICE",I7086-(I7086*50%),Vlookup(E7086,DATABASE!C:Q,10,false)*F7086)</f>
        <v>10000</v>
      </c>
      <c r="K7086" s="74">
        <f>VLOOKUP(E7086,DATABASE!C:Q,7,false)</f>
        <v>0</v>
      </c>
      <c r="L7086" s="74">
        <v>0.0</v>
      </c>
      <c r="M7086" s="74">
        <f t="shared" si="2"/>
        <v>0</v>
      </c>
      <c r="N7086" s="74">
        <f t="shared" si="3"/>
        <v>120000</v>
      </c>
      <c r="O7086" s="65" t="str">
        <f>VLOOKUP(E7086,DATABASE!C:Q,8,false)</f>
        <v>IBU</v>
      </c>
      <c r="P7086" s="65">
        <f>VLOOKUP(E7086,DATABASE!C:Q,9,False)</f>
        <v>0</v>
      </c>
      <c r="Q7086" s="93" t="str">
        <f>VLOOKUP(E7086,DATABASE!C:Q,4,false)</f>
        <v>SPOORING</v>
      </c>
      <c r="R7086" s="93" t="str">
        <f>VLOOKUP(E7086,DATABASE!C:Q,11,false)</f>
        <v>SERVICE</v>
      </c>
    </row>
    <row r="7087" ht="22.5" customHeight="1">
      <c r="A7087" s="49"/>
      <c r="C7087" s="400">
        <v>46070.0</v>
      </c>
      <c r="D7087" s="524">
        <v>373.0</v>
      </c>
      <c r="E7087" s="544" t="s">
        <v>251</v>
      </c>
      <c r="F7087" s="387">
        <v>1.0</v>
      </c>
      <c r="G7087" s="140">
        <v>350000.0</v>
      </c>
      <c r="H7087" s="140">
        <v>200000.0</v>
      </c>
      <c r="I7087" s="74">
        <f t="shared" si="1"/>
        <v>150000</v>
      </c>
      <c r="J7087" s="74">
        <f>IF(E7087="SERVICE",I7087-(I7087*50%),Vlookup(E7087,DATABASE!C:Q,10,false)*F7087)</f>
        <v>75000</v>
      </c>
      <c r="K7087" s="74">
        <f>VLOOKUP(E7087,DATABASE!C:Q,7,false)</f>
        <v>0</v>
      </c>
      <c r="L7087" s="74">
        <v>0.0</v>
      </c>
      <c r="M7087" s="74">
        <f t="shared" si="2"/>
        <v>0</v>
      </c>
      <c r="N7087" s="74">
        <f t="shared" si="3"/>
        <v>75000</v>
      </c>
      <c r="O7087" s="65" t="str">
        <f>VLOOKUP(E7087,DATABASE!C:Q,8,false)</f>
        <v>IBU</v>
      </c>
      <c r="P7087" s="65">
        <f>VLOOKUP(E7087,DATABASE!C:Q,9,False)</f>
        <v>0</v>
      </c>
      <c r="Q7087" s="93" t="str">
        <f>VLOOKUP(E7087,DATABASE!C:Q,4,false)</f>
        <v>SERVICE</v>
      </c>
      <c r="R7087" s="93" t="str">
        <f>VLOOKUP(E7087,DATABASE!C:Q,11,false)</f>
        <v>SERVICE</v>
      </c>
    </row>
    <row r="7088" ht="22.5" customHeight="1">
      <c r="A7088" s="49"/>
      <c r="C7088" s="400">
        <v>46070.0</v>
      </c>
      <c r="D7088" s="524">
        <v>374.0</v>
      </c>
      <c r="E7088" s="544" t="s">
        <v>268</v>
      </c>
      <c r="F7088" s="387">
        <v>1.0</v>
      </c>
      <c r="G7088" s="140">
        <v>710000.0</v>
      </c>
      <c r="H7088" s="74"/>
      <c r="I7088" s="74">
        <f t="shared" si="1"/>
        <v>710000</v>
      </c>
      <c r="J7088" s="74">
        <f>IF(E7088="SERVICE",I7088-(I7088*50%),Vlookup(E7088,DATABASE!C:Q,10,false)*F7088)</f>
        <v>0</v>
      </c>
      <c r="K7088" s="74">
        <f>VLOOKUP(E7088,DATABASE!C:Q,7,false)</f>
        <v>653000</v>
      </c>
      <c r="L7088" s="74">
        <v>622000.0</v>
      </c>
      <c r="M7088" s="74">
        <f t="shared" si="2"/>
        <v>625000</v>
      </c>
      <c r="N7088" s="74">
        <f t="shared" si="3"/>
        <v>85000</v>
      </c>
      <c r="O7088" s="65" t="str">
        <f>VLOOKUP(E7088,DATABASE!C:Q,8,false)</f>
        <v>IBU</v>
      </c>
      <c r="P7088" s="65">
        <f>VLOOKUP(E7088,DATABASE!C:Q,9,False)</f>
        <v>1</v>
      </c>
      <c r="Q7088" s="93" t="str">
        <f>VLOOKUP(E7088,DATABASE!C:Q,4,false)</f>
        <v>Dunlop</v>
      </c>
      <c r="R7088" s="93" t="str">
        <f>VLOOKUP(E7088,DATABASE!C:Q,11,false)</f>
        <v>Tire</v>
      </c>
    </row>
    <row r="7089" ht="22.5" customHeight="1">
      <c r="A7089" s="49"/>
      <c r="C7089" s="400">
        <v>46070.0</v>
      </c>
      <c r="D7089" s="524">
        <v>375.0</v>
      </c>
      <c r="E7089" s="544" t="s">
        <v>1898</v>
      </c>
      <c r="F7089" s="387">
        <v>2.0</v>
      </c>
      <c r="G7089" s="140">
        <v>720000.0</v>
      </c>
      <c r="H7089" s="74"/>
      <c r="I7089" s="74">
        <f t="shared" si="1"/>
        <v>1440000</v>
      </c>
      <c r="J7089" s="74">
        <f>IF(E7089="SERVICE",I7089-(I7089*50%),Vlookup(E7089,DATABASE!C:Q,10,false)*F7089)</f>
        <v>0</v>
      </c>
      <c r="K7089" s="74">
        <f>VLOOKUP(E7089,DATABASE!C:Q,7,false)</f>
        <v>640700</v>
      </c>
      <c r="L7089" s="74">
        <v>627400.0</v>
      </c>
      <c r="M7089" s="74">
        <f t="shared" si="2"/>
        <v>630000</v>
      </c>
      <c r="N7089" s="74">
        <f t="shared" si="3"/>
        <v>180000</v>
      </c>
      <c r="O7089" s="65" t="str">
        <f>VLOOKUP(E7089,DATABASE!C:Q,8,false)</f>
        <v>BIAN</v>
      </c>
      <c r="P7089" s="65">
        <f>VLOOKUP(E7089,DATABASE!C:Q,9,False)</f>
        <v>1</v>
      </c>
      <c r="Q7089" s="93" t="str">
        <f>VLOOKUP(E7089,DATABASE!C:Q,4,false)</f>
        <v>GT</v>
      </c>
      <c r="R7089" s="93" t="str">
        <f>VLOOKUP(E7089,DATABASE!C:Q,11,false)</f>
        <v>Tire</v>
      </c>
    </row>
    <row r="7090" ht="22.5" customHeight="1">
      <c r="A7090" s="49"/>
      <c r="C7090" s="400">
        <v>46070.0</v>
      </c>
      <c r="D7090" s="524">
        <v>376.0</v>
      </c>
      <c r="E7090" s="544" t="s">
        <v>268</v>
      </c>
      <c r="F7090" s="387">
        <v>1.0</v>
      </c>
      <c r="G7090" s="140">
        <v>710000.0</v>
      </c>
      <c r="H7090" s="74"/>
      <c r="I7090" s="74">
        <f t="shared" si="1"/>
        <v>710000</v>
      </c>
      <c r="J7090" s="74">
        <f>IF(E7090="SERVICE",I7090-(I7090*50%),Vlookup(E7090,DATABASE!C:Q,10,false)*F7090)</f>
        <v>0</v>
      </c>
      <c r="K7090" s="74">
        <f>VLOOKUP(E7090,DATABASE!C:Q,7,false)</f>
        <v>653000</v>
      </c>
      <c r="L7090" s="74">
        <v>622000.0</v>
      </c>
      <c r="M7090" s="74">
        <f t="shared" si="2"/>
        <v>625000</v>
      </c>
      <c r="N7090" s="74">
        <f t="shared" si="3"/>
        <v>85000</v>
      </c>
      <c r="O7090" s="65" t="str">
        <f>VLOOKUP(E7090,DATABASE!C:Q,8,false)</f>
        <v>IBU</v>
      </c>
      <c r="P7090" s="65">
        <f>VLOOKUP(E7090,DATABASE!C:Q,9,False)</f>
        <v>1</v>
      </c>
      <c r="Q7090" s="93" t="str">
        <f>VLOOKUP(E7090,DATABASE!C:Q,4,false)</f>
        <v>Dunlop</v>
      </c>
      <c r="R7090" s="93" t="str">
        <f>VLOOKUP(E7090,DATABASE!C:Q,11,false)</f>
        <v>Tire</v>
      </c>
    </row>
    <row r="7091" ht="22.5" customHeight="1">
      <c r="A7091" s="49"/>
      <c r="C7091" s="400">
        <v>46070.0</v>
      </c>
      <c r="D7091" s="524">
        <v>377.0</v>
      </c>
      <c r="E7091" s="544" t="s">
        <v>256</v>
      </c>
      <c r="F7091" s="387">
        <v>1.0</v>
      </c>
      <c r="G7091" s="140">
        <v>150000.0</v>
      </c>
      <c r="H7091" s="140">
        <v>20000.0</v>
      </c>
      <c r="I7091" s="74">
        <f t="shared" si="1"/>
        <v>130000</v>
      </c>
      <c r="J7091" s="74">
        <f>IF(E7091="SERVICE",I7091-(I7091*50%),Vlookup(E7091,DATABASE!C:Q,10,false)*F7091)</f>
        <v>10000</v>
      </c>
      <c r="K7091" s="74">
        <f>VLOOKUP(E7091,DATABASE!C:Q,7,false)</f>
        <v>0</v>
      </c>
      <c r="L7091" s="74">
        <v>0.0</v>
      </c>
      <c r="M7091" s="74">
        <f t="shared" si="2"/>
        <v>0</v>
      </c>
      <c r="N7091" s="74">
        <f t="shared" si="3"/>
        <v>120000</v>
      </c>
      <c r="O7091" s="65" t="str">
        <f>VLOOKUP(E7091,DATABASE!C:Q,8,false)</f>
        <v>IBU</v>
      </c>
      <c r="P7091" s="65">
        <f>VLOOKUP(E7091,DATABASE!C:Q,9,False)</f>
        <v>0</v>
      </c>
      <c r="Q7091" s="93" t="str">
        <f>VLOOKUP(E7091,DATABASE!C:Q,4,false)</f>
        <v>SPOORING</v>
      </c>
      <c r="R7091" s="93" t="str">
        <f>VLOOKUP(E7091,DATABASE!C:Q,11,false)</f>
        <v>SERVICE</v>
      </c>
    </row>
    <row r="7092" ht="22.5" customHeight="1">
      <c r="A7092" s="49"/>
      <c r="C7092" s="400">
        <v>46070.0</v>
      </c>
      <c r="D7092" s="69" t="s">
        <v>2712</v>
      </c>
      <c r="E7092" s="544" t="s">
        <v>248</v>
      </c>
      <c r="F7092" s="387">
        <v>1.0</v>
      </c>
      <c r="G7092" s="140">
        <v>190000.0</v>
      </c>
      <c r="H7092" s="74"/>
      <c r="I7092" s="74">
        <f t="shared" si="1"/>
        <v>190000</v>
      </c>
      <c r="J7092" s="74">
        <f>IF(E7092="SERVICE",I7092-(I7092*50%),Vlookup(E7092,DATABASE!C:Q,10,false)*F7092)</f>
        <v>0</v>
      </c>
      <c r="K7092" s="74">
        <f>VLOOKUP(E7092,DATABASE!C:Q,7,false)</f>
        <v>209816.66</v>
      </c>
      <c r="L7092" s="74">
        <v>160833.0</v>
      </c>
      <c r="M7092" s="74">
        <f t="shared" si="2"/>
        <v>165000</v>
      </c>
      <c r="N7092" s="74">
        <f t="shared" si="3"/>
        <v>25000</v>
      </c>
      <c r="O7092" s="65" t="str">
        <f>VLOOKUP(E7092,DATABASE!C:Q,8,false)</f>
        <v>NON</v>
      </c>
      <c r="P7092" s="65">
        <f>VLOOKUP(E7092,DATABASE!C:Q,9,False)</f>
        <v>0</v>
      </c>
      <c r="Q7092" s="93" t="str">
        <f>VLOOKUP(E7092,DATABASE!C:Q,4,false)</f>
        <v>Pertamina</v>
      </c>
      <c r="R7092" s="93" t="str">
        <f>VLOOKUP(E7092,DATABASE!C:Q,11,false)</f>
        <v>OIL</v>
      </c>
    </row>
    <row r="7093" ht="22.5" customHeight="1">
      <c r="A7093" s="49"/>
      <c r="C7093" s="400">
        <v>46071.0</v>
      </c>
      <c r="D7093" s="524">
        <v>378.0</v>
      </c>
      <c r="E7093" s="544" t="s">
        <v>613</v>
      </c>
      <c r="F7093" s="387">
        <v>1.0</v>
      </c>
      <c r="G7093" s="140">
        <v>95000.0</v>
      </c>
      <c r="H7093" s="74"/>
      <c r="I7093" s="74">
        <f t="shared" si="1"/>
        <v>95000</v>
      </c>
      <c r="J7093" s="74">
        <f>IF(E7093="SERVICE",I7093-(I7093*50%),Vlookup(E7093,DATABASE!C:Q,10,false)*F7093)</f>
        <v>0</v>
      </c>
      <c r="K7093" s="74">
        <f>VLOOKUP(E7093,DATABASE!C:Q,7,false)</f>
        <v>58371.2695</v>
      </c>
      <c r="L7093" s="74">
        <v>55000.0</v>
      </c>
      <c r="M7093" s="74">
        <f t="shared" si="2"/>
        <v>55000</v>
      </c>
      <c r="N7093" s="74">
        <f t="shared" si="3"/>
        <v>40000</v>
      </c>
      <c r="O7093" s="65" t="str">
        <f>VLOOKUP(E7093,DATABASE!C:Q,8,false)</f>
        <v>BIAN</v>
      </c>
      <c r="P7093" s="65">
        <f>VLOOKUP(E7093,DATABASE!C:Q,9,False)</f>
        <v>1</v>
      </c>
      <c r="Q7093" s="93" t="str">
        <f>VLOOKUP(E7093,DATABASE!C:Q,4,false)</f>
        <v>BD</v>
      </c>
      <c r="R7093" s="93" t="str">
        <f>VLOOKUP(E7093,DATABASE!C:Q,11,false)</f>
        <v>Tire</v>
      </c>
    </row>
    <row r="7094" ht="22.5" customHeight="1">
      <c r="A7094" s="49"/>
      <c r="C7094" s="400">
        <v>46071.0</v>
      </c>
      <c r="D7094" s="524">
        <v>380.0</v>
      </c>
      <c r="E7094" s="544" t="s">
        <v>268</v>
      </c>
      <c r="F7094" s="387">
        <v>1.0</v>
      </c>
      <c r="G7094" s="140">
        <v>710000.0</v>
      </c>
      <c r="H7094" s="74"/>
      <c r="I7094" s="74">
        <f t="shared" si="1"/>
        <v>710000</v>
      </c>
      <c r="J7094" s="74">
        <f>IF(E7094="SERVICE",I7094-(I7094*50%),Vlookup(E7094,DATABASE!C:Q,10,false)*F7094)</f>
        <v>0</v>
      </c>
      <c r="K7094" s="74">
        <f>VLOOKUP(E7094,DATABASE!C:Q,7,false)</f>
        <v>653000</v>
      </c>
      <c r="L7094" s="74">
        <v>622000.0</v>
      </c>
      <c r="M7094" s="74">
        <f t="shared" si="2"/>
        <v>625000</v>
      </c>
      <c r="N7094" s="74">
        <f t="shared" si="3"/>
        <v>85000</v>
      </c>
      <c r="O7094" s="65" t="str">
        <f>VLOOKUP(E7094,DATABASE!C:Q,8,false)</f>
        <v>IBU</v>
      </c>
      <c r="P7094" s="65">
        <f>VLOOKUP(E7094,DATABASE!C:Q,9,False)</f>
        <v>1</v>
      </c>
      <c r="Q7094" s="93" t="str">
        <f>VLOOKUP(E7094,DATABASE!C:Q,4,false)</f>
        <v>Dunlop</v>
      </c>
      <c r="R7094" s="93" t="str">
        <f>VLOOKUP(E7094,DATABASE!C:Q,11,false)</f>
        <v>Tire</v>
      </c>
    </row>
    <row r="7095" ht="22.5" customHeight="1">
      <c r="A7095" s="49"/>
      <c r="C7095" s="400">
        <v>46071.0</v>
      </c>
      <c r="D7095" s="524">
        <v>381.0</v>
      </c>
      <c r="E7095" s="544" t="s">
        <v>897</v>
      </c>
      <c r="F7095" s="387">
        <v>2.0</v>
      </c>
      <c r="G7095" s="140">
        <v>1600000.0</v>
      </c>
      <c r="H7095" s="140">
        <v>20000.0</v>
      </c>
      <c r="I7095" s="74">
        <f t="shared" si="1"/>
        <v>3160000</v>
      </c>
      <c r="J7095" s="74">
        <f>IF(E7095="SERVICE",I7095-(I7095*50%),Vlookup(E7095,DATABASE!C:Q,10,false)*F7095)</f>
        <v>0</v>
      </c>
      <c r="K7095" s="74">
        <f>VLOOKUP(E7095,DATABASE!C:Q,7,false)</f>
        <v>1560000</v>
      </c>
      <c r="L7095" s="140">
        <v>1480000.0</v>
      </c>
      <c r="M7095" s="74">
        <f t="shared" si="2"/>
        <v>1480000</v>
      </c>
      <c r="N7095" s="74">
        <f t="shared" si="3"/>
        <v>200000</v>
      </c>
      <c r="O7095" s="65" t="str">
        <f>VLOOKUP(E7095,DATABASE!C:Q,8,false)</f>
        <v>BIAN</v>
      </c>
      <c r="P7095" s="65">
        <f>VLOOKUP(E7095,DATABASE!C:Q,9,False)</f>
        <v>1</v>
      </c>
      <c r="Q7095" s="93" t="str">
        <f>VLOOKUP(E7095,DATABASE!C:Q,4,false)</f>
        <v>GT</v>
      </c>
      <c r="R7095" s="93" t="str">
        <f>VLOOKUP(E7095,DATABASE!C:Q,11,false)</f>
        <v>Tire</v>
      </c>
    </row>
    <row r="7096" ht="22.5" customHeight="1">
      <c r="A7096" s="49"/>
      <c r="C7096" s="400">
        <v>46071.0</v>
      </c>
      <c r="D7096" s="524">
        <v>381.0</v>
      </c>
      <c r="E7096" s="544" t="s">
        <v>744</v>
      </c>
      <c r="F7096" s="387">
        <v>2.0</v>
      </c>
      <c r="G7096" s="140">
        <v>230000.0</v>
      </c>
      <c r="H7096" s="74"/>
      <c r="I7096" s="74">
        <f t="shared" si="1"/>
        <v>460000</v>
      </c>
      <c r="J7096" s="74">
        <f>IF(E7096="SERVICE",I7096-(I7096*50%),Vlookup(E7096,DATABASE!C:Q,10,false)*F7096)</f>
        <v>0</v>
      </c>
      <c r="K7096" s="74">
        <f>VLOOKUP(E7096,DATABASE!C:Q,7,false)</f>
        <v>182200</v>
      </c>
      <c r="L7096" s="74">
        <v>199920.0</v>
      </c>
      <c r="M7096" s="74">
        <f t="shared" si="2"/>
        <v>200000</v>
      </c>
      <c r="N7096" s="74">
        <f t="shared" si="3"/>
        <v>60000</v>
      </c>
      <c r="O7096" s="65" t="str">
        <f>VLOOKUP(E7096,DATABASE!C:Q,8,false)</f>
        <v>BIAN</v>
      </c>
      <c r="P7096" s="65">
        <f>VLOOKUP(E7096,DATABASE!C:Q,9,False)</f>
        <v>1</v>
      </c>
      <c r="Q7096" s="93" t="str">
        <f>VLOOKUP(E7096,DATABASE!C:Q,4,false)</f>
        <v>BD</v>
      </c>
      <c r="R7096" s="93" t="str">
        <f>VLOOKUP(E7096,DATABASE!C:Q,11,false)</f>
        <v>Tire</v>
      </c>
    </row>
    <row r="7097" ht="22.5" customHeight="1">
      <c r="A7097" s="49"/>
      <c r="C7097" s="400">
        <v>46071.0</v>
      </c>
      <c r="D7097" s="524">
        <v>381.0</v>
      </c>
      <c r="E7097" s="544" t="s">
        <v>821</v>
      </c>
      <c r="F7097" s="387">
        <v>2.0</v>
      </c>
      <c r="G7097" s="140">
        <v>85000.0</v>
      </c>
      <c r="H7097" s="74"/>
      <c r="I7097" s="74">
        <f t="shared" si="1"/>
        <v>170000</v>
      </c>
      <c r="J7097" s="74">
        <f>IF(E7097="SERVICE",I7097-(I7097*50%),Vlookup(E7097,DATABASE!C:Q,10,false)*F7097)</f>
        <v>0</v>
      </c>
      <c r="K7097" s="74">
        <f>VLOOKUP(E7097,DATABASE!C:Q,7,false)</f>
        <v>43500</v>
      </c>
      <c r="L7097" s="74">
        <v>43520.0</v>
      </c>
      <c r="M7097" s="74">
        <f t="shared" si="2"/>
        <v>45000</v>
      </c>
      <c r="N7097" s="74">
        <f t="shared" si="3"/>
        <v>80000</v>
      </c>
      <c r="O7097" s="65" t="str">
        <f>VLOOKUP(E7097,DATABASE!C:Q,8,false)</f>
        <v>BIAN</v>
      </c>
      <c r="P7097" s="65">
        <f>VLOOKUP(E7097,DATABASE!C:Q,9,False)</f>
        <v>1</v>
      </c>
      <c r="Q7097" s="93" t="str">
        <f>VLOOKUP(E7097,DATABASE!C:Q,4,false)</f>
        <v>Flap</v>
      </c>
      <c r="R7097" s="93" t="str">
        <f>VLOOKUP(E7097,DATABASE!C:Q,11,false)</f>
        <v>Tire</v>
      </c>
    </row>
    <row r="7098" ht="22.5" customHeight="1">
      <c r="A7098" s="49"/>
      <c r="C7098" s="400">
        <v>46071.0</v>
      </c>
      <c r="D7098" s="524">
        <v>382.0</v>
      </c>
      <c r="E7098" s="544" t="s">
        <v>286</v>
      </c>
      <c r="F7098" s="387">
        <v>1.0</v>
      </c>
      <c r="G7098" s="140">
        <v>560000.0</v>
      </c>
      <c r="H7098" s="140">
        <v>10000.0</v>
      </c>
      <c r="I7098" s="74">
        <f t="shared" si="1"/>
        <v>550000</v>
      </c>
      <c r="J7098" s="74">
        <f>IF(E7098="SERVICE",I7098-(I7098*50%),Vlookup(E7098,DATABASE!C:Q,10,false)*F7098)</f>
        <v>0</v>
      </c>
      <c r="K7098" s="74">
        <f>VLOOKUP(E7098,DATABASE!C:Q,7,false)</f>
        <v>488320</v>
      </c>
      <c r="L7098" s="74">
        <v>452970.0</v>
      </c>
      <c r="M7098" s="74">
        <f t="shared" si="2"/>
        <v>455000</v>
      </c>
      <c r="N7098" s="74">
        <f t="shared" si="3"/>
        <v>95000</v>
      </c>
      <c r="O7098" s="65" t="str">
        <f>VLOOKUP(E7098,DATABASE!C:Q,8,false)</f>
        <v>BIAN</v>
      </c>
      <c r="P7098" s="65">
        <f>VLOOKUP(E7098,DATABASE!C:Q,9,False)</f>
        <v>1</v>
      </c>
      <c r="Q7098" s="93" t="str">
        <f>VLOOKUP(E7098,DATABASE!C:Q,4,false)</f>
        <v>GT</v>
      </c>
      <c r="R7098" s="93" t="str">
        <f>VLOOKUP(E7098,DATABASE!C:Q,11,false)</f>
        <v>Tire</v>
      </c>
    </row>
    <row r="7099" ht="22.5" customHeight="1">
      <c r="A7099" s="49"/>
      <c r="C7099" s="400">
        <v>46071.0</v>
      </c>
      <c r="D7099" s="524">
        <v>382.0</v>
      </c>
      <c r="E7099" s="544" t="s">
        <v>569</v>
      </c>
      <c r="F7099" s="387">
        <v>1.0</v>
      </c>
      <c r="G7099" s="140">
        <v>80000.0</v>
      </c>
      <c r="H7099" s="74"/>
      <c r="I7099" s="74">
        <f t="shared" si="1"/>
        <v>80000</v>
      </c>
      <c r="J7099" s="74">
        <f>IF(E7099="SERVICE",I7099-(I7099*50%),Vlookup(E7099,DATABASE!C:Q,10,false)*F7099)</f>
        <v>0</v>
      </c>
      <c r="K7099" s="74">
        <f>VLOOKUP(E7099,DATABASE!C:Q,7,false)</f>
        <v>45439.582</v>
      </c>
      <c r="L7099" s="74">
        <v>45309.6</v>
      </c>
      <c r="M7099" s="74">
        <f t="shared" si="2"/>
        <v>50000</v>
      </c>
      <c r="N7099" s="74">
        <f t="shared" si="3"/>
        <v>30000</v>
      </c>
      <c r="O7099" s="65" t="str">
        <f>VLOOKUP(E7099,DATABASE!C:Q,8,false)</f>
        <v>BIAN</v>
      </c>
      <c r="P7099" s="65">
        <f>VLOOKUP(E7099,DATABASE!C:Q,9,False)</f>
        <v>1</v>
      </c>
      <c r="Q7099" s="93" t="str">
        <f>VLOOKUP(E7099,DATABASE!C:Q,4,false)</f>
        <v>BD</v>
      </c>
      <c r="R7099" s="93" t="str">
        <f>VLOOKUP(E7099,DATABASE!C:Q,11,false)</f>
        <v>Tire</v>
      </c>
    </row>
    <row r="7100" ht="22.5" customHeight="1">
      <c r="A7100" s="49"/>
      <c r="C7100" s="400">
        <v>46071.0</v>
      </c>
      <c r="D7100" s="524">
        <v>383.0</v>
      </c>
      <c r="E7100" s="544" t="s">
        <v>1520</v>
      </c>
      <c r="F7100" s="387">
        <v>3.0</v>
      </c>
      <c r="G7100" s="140">
        <v>1810000.0</v>
      </c>
      <c r="H7100" s="140">
        <v>10000.0</v>
      </c>
      <c r="I7100" s="74">
        <f t="shared" si="1"/>
        <v>5400000</v>
      </c>
      <c r="J7100" s="74">
        <f>IF(E7100="SERVICE",I7100-(I7100*50%),Vlookup(E7100,DATABASE!C:Q,10,false)*F7100)</f>
        <v>0</v>
      </c>
      <c r="K7100" s="74">
        <f>VLOOKUP(E7100,DATABASE!C:Q,7,false)</f>
        <v>1926858.75</v>
      </c>
      <c r="L7100" s="74">
        <v>1698000.0</v>
      </c>
      <c r="M7100" s="74">
        <f t="shared" si="2"/>
        <v>1700000</v>
      </c>
      <c r="N7100" s="74">
        <f t="shared" si="3"/>
        <v>300000</v>
      </c>
      <c r="O7100" s="65" t="str">
        <f>VLOOKUP(E7100,DATABASE!C:Q,8,false)</f>
        <v>BIAN</v>
      </c>
      <c r="P7100" s="65">
        <f>VLOOKUP(E7100,DATABASE!C:Q,9,False)</f>
        <v>1</v>
      </c>
      <c r="Q7100" s="93" t="str">
        <f>VLOOKUP(E7100,DATABASE!C:Q,4,false)</f>
        <v>DURATUN</v>
      </c>
      <c r="R7100" s="93" t="str">
        <f>VLOOKUP(E7100,DATABASE!C:Q,11,false)</f>
        <v>Tire</v>
      </c>
    </row>
    <row r="7101" ht="22.5" customHeight="1">
      <c r="A7101" s="49"/>
      <c r="C7101" s="400">
        <v>46071.0</v>
      </c>
      <c r="D7101" s="524">
        <v>385.0</v>
      </c>
      <c r="E7101" s="544" t="s">
        <v>572</v>
      </c>
      <c r="F7101" s="387">
        <v>2.0</v>
      </c>
      <c r="G7101" s="140">
        <v>1370000.0</v>
      </c>
      <c r="H7101" s="140">
        <v>20000.0</v>
      </c>
      <c r="I7101" s="74">
        <f t="shared" si="1"/>
        <v>2700000</v>
      </c>
      <c r="J7101" s="74">
        <f>IF(E7101="SERVICE",I7101-(I7101*50%),Vlookup(E7101,DATABASE!C:Q,10,false)*F7101)</f>
        <v>0</v>
      </c>
      <c r="K7101" s="74">
        <f>VLOOKUP(E7101,DATABASE!C:Q,7,false)</f>
        <v>1265000</v>
      </c>
      <c r="L7101" s="74">
        <v>1245000.0</v>
      </c>
      <c r="M7101" s="74">
        <f t="shared" si="2"/>
        <v>1245000</v>
      </c>
      <c r="N7101" s="74">
        <f t="shared" si="3"/>
        <v>210000</v>
      </c>
      <c r="O7101" s="65" t="str">
        <f>VLOOKUP(E7101,DATABASE!C:Q,8,false)</f>
        <v>IBU</v>
      </c>
      <c r="P7101" s="65">
        <f>VLOOKUP(E7101,DATABASE!C:Q,9,False)</f>
        <v>1</v>
      </c>
      <c r="Q7101" s="93" t="str">
        <f>VLOOKUP(E7101,DATABASE!C:Q,4,false)</f>
        <v>Bridgestone</v>
      </c>
      <c r="R7101" s="93" t="str">
        <f>VLOOKUP(E7101,DATABASE!C:Q,11,false)</f>
        <v>Tire</v>
      </c>
    </row>
    <row r="7102" ht="22.5" customHeight="1">
      <c r="A7102" s="49"/>
      <c r="C7102" s="400">
        <v>46071.0</v>
      </c>
      <c r="D7102" s="69" t="s">
        <v>2713</v>
      </c>
      <c r="E7102" s="544" t="s">
        <v>263</v>
      </c>
      <c r="F7102" s="387">
        <v>1.0</v>
      </c>
      <c r="G7102" s="140">
        <v>320000.0</v>
      </c>
      <c r="H7102" s="74"/>
      <c r="I7102" s="74">
        <f t="shared" si="1"/>
        <v>320000</v>
      </c>
      <c r="J7102" s="74">
        <f>IF(E7102="SERVICE",I7102-(I7102*50%),Vlookup(E7102,DATABASE!C:Q,10,false)*F7102)</f>
        <v>0</v>
      </c>
      <c r="K7102" s="74">
        <f>VLOOKUP(E7102,DATABASE!C:Q,7,false)</f>
        <v>334916</v>
      </c>
      <c r="L7102" s="74">
        <v>287688.0</v>
      </c>
      <c r="M7102" s="74">
        <f t="shared" si="2"/>
        <v>290000</v>
      </c>
      <c r="N7102" s="74">
        <f t="shared" si="3"/>
        <v>30000</v>
      </c>
      <c r="O7102" s="65" t="str">
        <f>VLOOKUP(E7102,DATABASE!C:Q,8,false)</f>
        <v>NON</v>
      </c>
      <c r="P7102" s="65">
        <f>VLOOKUP(E7102,DATABASE!C:Q,9,False)</f>
        <v>0</v>
      </c>
      <c r="Q7102" s="93" t="str">
        <f>VLOOKUP(E7102,DATABASE!C:Q,4,false)</f>
        <v>Shell</v>
      </c>
      <c r="R7102" s="93" t="str">
        <f>VLOOKUP(E7102,DATABASE!C:Q,11,false)</f>
        <v>OIL</v>
      </c>
    </row>
    <row r="7103" ht="22.5" customHeight="1">
      <c r="A7103" s="49"/>
      <c r="C7103" s="400">
        <v>46071.0</v>
      </c>
      <c r="D7103" s="69" t="s">
        <v>2713</v>
      </c>
      <c r="E7103" s="544" t="s">
        <v>298</v>
      </c>
      <c r="F7103" s="387">
        <v>1.0</v>
      </c>
      <c r="G7103" s="140">
        <v>25000.0</v>
      </c>
      <c r="H7103" s="74"/>
      <c r="I7103" s="74">
        <f t="shared" si="1"/>
        <v>25000</v>
      </c>
      <c r="J7103" s="74">
        <f>IF(E7103="SERVICE",I7103-(I7103*50%),Vlookup(E7103,DATABASE!C:Q,10,false)*F7103)</f>
        <v>0</v>
      </c>
      <c r="K7103" s="74">
        <f>VLOOKUP(E7103,DATABASE!C:Q,7,false)</f>
        <v>19200</v>
      </c>
      <c r="L7103" s="74">
        <v>19200.0</v>
      </c>
      <c r="M7103" s="74">
        <f t="shared" si="2"/>
        <v>20000</v>
      </c>
      <c r="N7103" s="74">
        <f t="shared" si="3"/>
        <v>5000</v>
      </c>
      <c r="O7103" s="65" t="str">
        <f>VLOOKUP(E7103,DATABASE!C:Q,8,false)</f>
        <v>BIAN</v>
      </c>
      <c r="P7103" s="65">
        <f>VLOOKUP(E7103,DATABASE!C:Q,9,False)</f>
        <v>0</v>
      </c>
      <c r="Q7103" s="93" t="str">
        <f>VLOOKUP(E7103,DATABASE!C:Q,4,false)</f>
        <v>Aspira</v>
      </c>
      <c r="R7103" s="93" t="str">
        <f>VLOOKUP(E7103,DATABASE!C:Q,11,false)</f>
        <v>COMPLEMENTARY</v>
      </c>
    </row>
    <row r="7104" ht="22.5" customHeight="1">
      <c r="A7104" s="49"/>
      <c r="C7104" s="400">
        <v>46072.0</v>
      </c>
      <c r="D7104" s="524">
        <v>386.0</v>
      </c>
      <c r="E7104" s="544" t="s">
        <v>781</v>
      </c>
      <c r="F7104" s="387">
        <v>2.0</v>
      </c>
      <c r="G7104" s="140">
        <v>530000.0</v>
      </c>
      <c r="H7104" s="74"/>
      <c r="I7104" s="74">
        <f t="shared" si="1"/>
        <v>1060000</v>
      </c>
      <c r="J7104" s="74">
        <f>IF(E7104="SERVICE",I7104-(I7104*50%),Vlookup(E7104,DATABASE!C:Q,10,false)*F7104)</f>
        <v>0</v>
      </c>
      <c r="K7104" s="74">
        <f>VLOOKUP(E7104,DATABASE!C:Q,7,false)</f>
        <v>470000</v>
      </c>
      <c r="L7104" s="74">
        <v>442500.0</v>
      </c>
      <c r="M7104" s="74">
        <f t="shared" si="2"/>
        <v>445000</v>
      </c>
      <c r="N7104" s="74">
        <f t="shared" si="3"/>
        <v>170000</v>
      </c>
      <c r="O7104" s="65" t="str">
        <f>VLOOKUP(E7104,DATABASE!C:Q,8,false)</f>
        <v>BIAN</v>
      </c>
      <c r="P7104" s="65">
        <f>VLOOKUP(E7104,DATABASE!C:Q,9,False)</f>
        <v>1</v>
      </c>
      <c r="Q7104" s="93" t="str">
        <f>VLOOKUP(E7104,DATABASE!C:Q,4,false)</f>
        <v>GT</v>
      </c>
      <c r="R7104" s="93" t="str">
        <f>VLOOKUP(E7104,DATABASE!C:Q,11,false)</f>
        <v>Tire</v>
      </c>
    </row>
    <row r="7105" ht="22.5" customHeight="1">
      <c r="A7105" s="49"/>
      <c r="C7105" s="400">
        <v>46072.0</v>
      </c>
      <c r="D7105" s="524">
        <v>387.0</v>
      </c>
      <c r="E7105" s="544" t="s">
        <v>932</v>
      </c>
      <c r="F7105" s="387">
        <v>2.0</v>
      </c>
      <c r="G7105" s="140">
        <v>680000.0</v>
      </c>
      <c r="H7105" s="74"/>
      <c r="I7105" s="74">
        <f t="shared" si="1"/>
        <v>1360000</v>
      </c>
      <c r="J7105" s="74">
        <f>IF(E7105="SERVICE",I7105-(I7105*50%),Vlookup(E7105,DATABASE!C:Q,10,false)*F7105)</f>
        <v>0</v>
      </c>
      <c r="K7105" s="74">
        <f>VLOOKUP(E7105,DATABASE!C:Q,7,false)</f>
        <v>601000</v>
      </c>
      <c r="L7105" s="74">
        <v>595000.0</v>
      </c>
      <c r="M7105" s="74">
        <f t="shared" si="2"/>
        <v>595000</v>
      </c>
      <c r="N7105" s="74">
        <f t="shared" si="3"/>
        <v>170000</v>
      </c>
      <c r="O7105" s="65" t="str">
        <f>VLOOKUP(E7105,DATABASE!C:Q,8,false)</f>
        <v>IBU</v>
      </c>
      <c r="P7105" s="65">
        <f>VLOOKUP(E7105,DATABASE!C:Q,9,False)</f>
        <v>1</v>
      </c>
      <c r="Q7105" s="93" t="str">
        <f>VLOOKUP(E7105,DATABASE!C:Q,4,false)</f>
        <v>Dunlop</v>
      </c>
      <c r="R7105" s="93" t="str">
        <f>VLOOKUP(E7105,DATABASE!C:Q,11,false)</f>
        <v>Tire</v>
      </c>
    </row>
    <row r="7106" ht="22.5" customHeight="1">
      <c r="A7106" s="49"/>
      <c r="C7106" s="400">
        <v>46072.0</v>
      </c>
      <c r="D7106" s="524">
        <v>388.0</v>
      </c>
      <c r="E7106" s="544" t="s">
        <v>268</v>
      </c>
      <c r="F7106" s="387">
        <v>1.0</v>
      </c>
      <c r="G7106" s="140">
        <v>710000.0</v>
      </c>
      <c r="H7106" s="74"/>
      <c r="I7106" s="74">
        <f t="shared" si="1"/>
        <v>710000</v>
      </c>
      <c r="J7106" s="74">
        <f>IF(E7106="SERVICE",I7106-(I7106*50%),Vlookup(E7106,DATABASE!C:Q,10,false)*F7106)</f>
        <v>0</v>
      </c>
      <c r="K7106" s="74">
        <f>VLOOKUP(E7106,DATABASE!C:Q,7,false)</f>
        <v>653000</v>
      </c>
      <c r="L7106" s="74">
        <v>622000.0</v>
      </c>
      <c r="M7106" s="74">
        <f t="shared" si="2"/>
        <v>625000</v>
      </c>
      <c r="N7106" s="74">
        <f t="shared" si="3"/>
        <v>85000</v>
      </c>
      <c r="O7106" s="65" t="str">
        <f>VLOOKUP(E7106,DATABASE!C:Q,8,false)</f>
        <v>IBU</v>
      </c>
      <c r="P7106" s="65">
        <f>VLOOKUP(E7106,DATABASE!C:Q,9,False)</f>
        <v>1</v>
      </c>
      <c r="Q7106" s="93" t="str">
        <f>VLOOKUP(E7106,DATABASE!C:Q,4,false)</f>
        <v>Dunlop</v>
      </c>
      <c r="R7106" s="93" t="str">
        <f>VLOOKUP(E7106,DATABASE!C:Q,11,false)</f>
        <v>Tire</v>
      </c>
    </row>
    <row r="7107" ht="22.5" customHeight="1">
      <c r="A7107" s="49"/>
      <c r="C7107" s="400">
        <v>46072.0</v>
      </c>
      <c r="D7107" s="524">
        <v>388.0</v>
      </c>
      <c r="E7107" s="544" t="s">
        <v>305</v>
      </c>
      <c r="F7107" s="387">
        <v>1.0</v>
      </c>
      <c r="G7107" s="140">
        <v>235000.0</v>
      </c>
      <c r="H7107" s="74"/>
      <c r="I7107" s="74">
        <f t="shared" si="1"/>
        <v>235000</v>
      </c>
      <c r="J7107" s="74">
        <f>IF(E7107="SERVICE",I7107-(I7107*50%),Vlookup(E7107,DATABASE!C:Q,10,false)*F7107)</f>
        <v>40000</v>
      </c>
      <c r="K7107" s="74">
        <f>VLOOKUP(E7107,DATABASE!C:Q,7,false)</f>
        <v>158530.2</v>
      </c>
      <c r="L7107" s="74">
        <v>151890.0</v>
      </c>
      <c r="M7107" s="74">
        <f t="shared" si="2"/>
        <v>155000</v>
      </c>
      <c r="N7107" s="74">
        <f t="shared" si="3"/>
        <v>40000</v>
      </c>
      <c r="O7107" s="65" t="str">
        <f>VLOOKUP(E7107,DATABASE!C:Q,8,false)</f>
        <v>BIAN</v>
      </c>
      <c r="P7107" s="65">
        <f>VLOOKUP(E7107,DATABASE!C:Q,9,False)</f>
        <v>1</v>
      </c>
      <c r="Q7107" s="93" t="str">
        <f>VLOOKUP(E7107,DATABASE!C:Q,4,false)</f>
        <v>Lower Arm</v>
      </c>
      <c r="R7107" s="93" t="str">
        <f>VLOOKUP(E7107,DATABASE!C:Q,11,false)</f>
        <v>COMPLEMENTARY</v>
      </c>
    </row>
    <row r="7108" ht="22.5" customHeight="1">
      <c r="A7108" s="49"/>
      <c r="C7108" s="400">
        <v>46072.0</v>
      </c>
      <c r="D7108" s="524">
        <v>388.0</v>
      </c>
      <c r="E7108" s="544" t="s">
        <v>2154</v>
      </c>
      <c r="F7108" s="387">
        <v>1.0</v>
      </c>
      <c r="G7108" s="140">
        <v>250000.0</v>
      </c>
      <c r="H7108" s="74"/>
      <c r="I7108" s="74">
        <f t="shared" si="1"/>
        <v>250000</v>
      </c>
      <c r="J7108" s="74">
        <f>IF(E7108="SERVICE",I7108-(I7108*50%),Vlookup(E7108,DATABASE!C:Q,10,false)*F7108)</f>
        <v>80000</v>
      </c>
      <c r="K7108" s="74">
        <f>VLOOKUP(E7108,DATABASE!C:Q,7,false)</f>
        <v>90000</v>
      </c>
      <c r="L7108" s="74">
        <v>90000.0</v>
      </c>
      <c r="M7108" s="74">
        <f t="shared" si="2"/>
        <v>90000</v>
      </c>
      <c r="N7108" s="74">
        <f t="shared" si="3"/>
        <v>80000</v>
      </c>
      <c r="O7108" s="65" t="str">
        <f>VLOOKUP(E7108,DATABASE!C:Q,8,false)</f>
        <v>IBU</v>
      </c>
      <c r="P7108" s="65">
        <f>VLOOKUP(E7108,DATABASE!C:Q,9,False)</f>
        <v>0</v>
      </c>
      <c r="Q7108" s="93" t="str">
        <f>VLOOKUP(E7108,DATABASE!C:Q,4,false)</f>
        <v>SERVICE</v>
      </c>
      <c r="R7108" s="93" t="str">
        <f>VLOOKUP(E7108,DATABASE!C:Q,11,false)</f>
        <v>COMPLEMENTARY</v>
      </c>
    </row>
    <row r="7109" ht="22.5" customHeight="1">
      <c r="A7109" s="49"/>
      <c r="C7109" s="400">
        <v>46072.0</v>
      </c>
      <c r="D7109" s="524">
        <v>388.0</v>
      </c>
      <c r="E7109" s="544" t="s">
        <v>2206</v>
      </c>
      <c r="F7109" s="387">
        <v>1.0</v>
      </c>
      <c r="G7109" s="140">
        <v>225000.0</v>
      </c>
      <c r="H7109" s="140">
        <v>25000.0</v>
      </c>
      <c r="I7109" s="74">
        <f t="shared" si="1"/>
        <v>200000</v>
      </c>
      <c r="J7109" s="74">
        <f>IF(E7109="SERVICE",I7109-(I7109*50%),Vlookup(E7109,DATABASE!C:Q,10,false)*F7109)</f>
        <v>40000</v>
      </c>
      <c r="K7109" s="74">
        <f>VLOOKUP(E7109,DATABASE!C:Q,7,false)</f>
        <v>95450</v>
      </c>
      <c r="L7109" s="74">
        <v>61000.0</v>
      </c>
      <c r="M7109" s="74">
        <f t="shared" si="2"/>
        <v>65000</v>
      </c>
      <c r="N7109" s="74">
        <f t="shared" si="3"/>
        <v>95000</v>
      </c>
      <c r="O7109" s="65" t="str">
        <f>VLOOKUP(E7109,DATABASE!C:Q,8,false)</f>
        <v>IBU</v>
      </c>
      <c r="P7109" s="65">
        <f>VLOOKUP(E7109,DATABASE!C:Q,9,False)</f>
        <v>1</v>
      </c>
      <c r="Q7109" s="93" t="str">
        <f>VLOOKUP(E7109,DATABASE!C:Q,4,false)</f>
        <v>TIEROD</v>
      </c>
      <c r="R7109" s="93" t="str">
        <f>VLOOKUP(E7109,DATABASE!C:Q,11,false)</f>
        <v>COMPLEMENTARY</v>
      </c>
    </row>
    <row r="7110" ht="22.5" customHeight="1">
      <c r="A7110" s="49"/>
      <c r="C7110" s="400">
        <v>46072.0</v>
      </c>
      <c r="D7110" s="524">
        <v>388.0</v>
      </c>
      <c r="E7110" s="544" t="s">
        <v>262</v>
      </c>
      <c r="F7110" s="387">
        <v>1.0</v>
      </c>
      <c r="G7110" s="140">
        <v>110000.0</v>
      </c>
      <c r="H7110" s="74"/>
      <c r="I7110" s="74">
        <f t="shared" si="1"/>
        <v>110000</v>
      </c>
      <c r="J7110" s="74">
        <f>IF(E7110="SERVICE",I7110-(I7110*50%),Vlookup(E7110,DATABASE!C:Q,10,false)*F7110)</f>
        <v>5000</v>
      </c>
      <c r="K7110" s="74">
        <f>VLOOKUP(E7110,DATABASE!C:Q,7,false)</f>
        <v>0</v>
      </c>
      <c r="L7110" s="74">
        <v>0.0</v>
      </c>
      <c r="M7110" s="74">
        <f t="shared" si="2"/>
        <v>0</v>
      </c>
      <c r="N7110" s="74">
        <f t="shared" si="3"/>
        <v>105000</v>
      </c>
      <c r="O7110" s="65" t="str">
        <f>VLOOKUP(E7110,DATABASE!C:Q,8,false)</f>
        <v>IBU</v>
      </c>
      <c r="P7110" s="65">
        <f>VLOOKUP(E7110,DATABASE!C:Q,9,False)</f>
        <v>0</v>
      </c>
      <c r="Q7110" s="93" t="str">
        <f>VLOOKUP(E7110,DATABASE!C:Q,4,false)</f>
        <v>SPOORING SS/CARRY LOS BAK</v>
      </c>
      <c r="R7110" s="93" t="str">
        <f>VLOOKUP(E7110,DATABASE!C:Q,11,false)</f>
        <v>SERVICE</v>
      </c>
    </row>
    <row r="7111" ht="22.5" customHeight="1">
      <c r="A7111" s="49"/>
      <c r="C7111" s="400">
        <v>46072.0</v>
      </c>
      <c r="D7111" s="524">
        <v>389.0</v>
      </c>
      <c r="E7111" s="544" t="s">
        <v>605</v>
      </c>
      <c r="F7111" s="387">
        <v>1.0</v>
      </c>
      <c r="G7111" s="140">
        <v>765000.0</v>
      </c>
      <c r="H7111" s="140">
        <v>30000.0</v>
      </c>
      <c r="I7111" s="74">
        <f t="shared" si="1"/>
        <v>735000</v>
      </c>
      <c r="J7111" s="74">
        <f>IF(E7111="SERVICE",I7111-(I7111*50%),Vlookup(E7111,DATABASE!C:Q,10,false)*F7111)</f>
        <v>0</v>
      </c>
      <c r="K7111" s="74">
        <f>VLOOKUP(E7111,DATABASE!C:Q,7,false)</f>
        <v>675000</v>
      </c>
      <c r="L7111" s="140">
        <v>650000.0</v>
      </c>
      <c r="M7111" s="74">
        <f t="shared" si="2"/>
        <v>650000</v>
      </c>
      <c r="N7111" s="74">
        <f t="shared" si="3"/>
        <v>85000</v>
      </c>
      <c r="O7111" s="65" t="str">
        <f>VLOOKUP(E7111,DATABASE!C:Q,8,false)</f>
        <v>IBU</v>
      </c>
      <c r="P7111" s="65">
        <f>VLOOKUP(E7111,DATABASE!C:Q,9,False)</f>
        <v>1</v>
      </c>
      <c r="Q7111" s="93" t="str">
        <f>VLOOKUP(E7111,DATABASE!C:Q,4,false)</f>
        <v>Bridgestone</v>
      </c>
      <c r="R7111" s="93" t="str">
        <f>VLOOKUP(E7111,DATABASE!C:Q,11,false)</f>
        <v>Tire</v>
      </c>
    </row>
    <row r="7112" ht="22.5" customHeight="1">
      <c r="A7112" s="49"/>
      <c r="C7112" s="400">
        <v>46072.0</v>
      </c>
      <c r="D7112" s="524">
        <v>390.0</v>
      </c>
      <c r="E7112" s="544" t="s">
        <v>268</v>
      </c>
      <c r="F7112" s="387">
        <v>2.0</v>
      </c>
      <c r="G7112" s="140">
        <v>710000.0</v>
      </c>
      <c r="H7112" s="74"/>
      <c r="I7112" s="74">
        <f t="shared" si="1"/>
        <v>1420000</v>
      </c>
      <c r="J7112" s="74">
        <f>IF(E7112="SERVICE",I7112-(I7112*50%),Vlookup(E7112,DATABASE!C:Q,10,false)*F7112)</f>
        <v>0</v>
      </c>
      <c r="K7112" s="74">
        <f>VLOOKUP(E7112,DATABASE!C:Q,7,false)</f>
        <v>653000</v>
      </c>
      <c r="L7112" s="74">
        <v>622000.0</v>
      </c>
      <c r="M7112" s="74">
        <f t="shared" si="2"/>
        <v>625000</v>
      </c>
      <c r="N7112" s="74">
        <f t="shared" si="3"/>
        <v>170000</v>
      </c>
      <c r="O7112" s="65" t="str">
        <f>VLOOKUP(E7112,DATABASE!C:Q,8,false)</f>
        <v>IBU</v>
      </c>
      <c r="P7112" s="65">
        <f>VLOOKUP(E7112,DATABASE!C:Q,9,False)</f>
        <v>1</v>
      </c>
      <c r="Q7112" s="93" t="str">
        <f>VLOOKUP(E7112,DATABASE!C:Q,4,false)</f>
        <v>Dunlop</v>
      </c>
      <c r="R7112" s="93" t="str">
        <f>VLOOKUP(E7112,DATABASE!C:Q,11,false)</f>
        <v>Tire</v>
      </c>
    </row>
    <row r="7113" ht="22.5" customHeight="1">
      <c r="A7113" s="49"/>
      <c r="C7113" s="400">
        <v>46073.0</v>
      </c>
      <c r="D7113" s="524">
        <v>391.0</v>
      </c>
      <c r="E7113" s="544" t="s">
        <v>600</v>
      </c>
      <c r="F7113" s="387">
        <v>2.0</v>
      </c>
      <c r="G7113" s="140">
        <v>680000.0</v>
      </c>
      <c r="H7113" s="74"/>
      <c r="I7113" s="74">
        <f t="shared" si="1"/>
        <v>1360000</v>
      </c>
      <c r="J7113" s="74">
        <f>IF(E7113="SERVICE",I7113-(I7113*50%),Vlookup(E7113,DATABASE!C:Q,10,false)*F7113)</f>
        <v>0</v>
      </c>
      <c r="K7113" s="74">
        <f>VLOOKUP(E7113,DATABASE!C:Q,7,false)</f>
        <v>611109.16</v>
      </c>
      <c r="L7113" s="74">
        <v>588505.8</v>
      </c>
      <c r="M7113" s="74">
        <f t="shared" si="2"/>
        <v>590000</v>
      </c>
      <c r="N7113" s="74">
        <f t="shared" si="3"/>
        <v>180000</v>
      </c>
      <c r="O7113" s="65" t="str">
        <f>VLOOKUP(E7113,DATABASE!C:Q,8,false)</f>
        <v>IBU</v>
      </c>
      <c r="P7113" s="65">
        <f>VLOOKUP(E7113,DATABASE!C:Q,9,False)</f>
        <v>1</v>
      </c>
      <c r="Q7113" s="93" t="str">
        <f>VLOOKUP(E7113,DATABASE!C:Q,4,false)</f>
        <v>Bridgestone</v>
      </c>
      <c r="R7113" s="93" t="str">
        <f>VLOOKUP(E7113,DATABASE!C:Q,11,false)</f>
        <v>Tire</v>
      </c>
    </row>
    <row r="7114" ht="22.5" customHeight="1">
      <c r="A7114" s="49"/>
      <c r="C7114" s="400">
        <v>46073.0</v>
      </c>
      <c r="D7114" s="524">
        <v>392.0</v>
      </c>
      <c r="E7114" s="544" t="s">
        <v>265</v>
      </c>
      <c r="F7114" s="387">
        <v>2.0</v>
      </c>
      <c r="G7114" s="140">
        <v>685000.0</v>
      </c>
      <c r="H7114" s="74"/>
      <c r="I7114" s="74">
        <f t="shared" si="1"/>
        <v>1370000</v>
      </c>
      <c r="J7114" s="74">
        <f>IF(E7114="SERVICE",I7114-(I7114*50%),Vlookup(E7114,DATABASE!C:Q,10,false)*F7114)</f>
        <v>0</v>
      </c>
      <c r="K7114" s="74">
        <f>VLOOKUP(E7114,DATABASE!C:Q,7,false)</f>
        <v>628000</v>
      </c>
      <c r="L7114" s="74">
        <v>600000.0</v>
      </c>
      <c r="M7114" s="74">
        <f t="shared" si="2"/>
        <v>600000</v>
      </c>
      <c r="N7114" s="74">
        <f t="shared" si="3"/>
        <v>170000</v>
      </c>
      <c r="O7114" s="65" t="str">
        <f>VLOOKUP(E7114,DATABASE!C:Q,8,false)</f>
        <v>IBU</v>
      </c>
      <c r="P7114" s="65">
        <f>VLOOKUP(E7114,DATABASE!C:Q,9,False)</f>
        <v>1</v>
      </c>
      <c r="Q7114" s="93" t="str">
        <f>VLOOKUP(E7114,DATABASE!C:Q,4,false)</f>
        <v>Dunlop</v>
      </c>
      <c r="R7114" s="93" t="str">
        <f>VLOOKUP(E7114,DATABASE!C:Q,11,false)</f>
        <v>Tire</v>
      </c>
    </row>
    <row r="7115" ht="22.5" customHeight="1">
      <c r="A7115" s="49"/>
      <c r="C7115" s="400">
        <v>46073.0</v>
      </c>
      <c r="D7115" s="524">
        <v>393.0</v>
      </c>
      <c r="E7115" s="544" t="s">
        <v>531</v>
      </c>
      <c r="F7115" s="387">
        <v>2.0</v>
      </c>
      <c r="G7115" s="140">
        <v>100000.0</v>
      </c>
      <c r="H7115" s="140">
        <v>30000.0</v>
      </c>
      <c r="I7115" s="74">
        <f t="shared" si="1"/>
        <v>140000</v>
      </c>
      <c r="J7115" s="74">
        <f>IF(E7115="SERVICE",I7115-(I7115*50%),Vlookup(E7115,DATABASE!C:Q,10,false)*F7115)</f>
        <v>0</v>
      </c>
      <c r="K7115" s="74">
        <f>VLOOKUP(E7115,DATABASE!C:Q,7,false)</f>
        <v>47000</v>
      </c>
      <c r="L7115" s="74">
        <v>47000.0</v>
      </c>
      <c r="M7115" s="74">
        <f t="shared" si="2"/>
        <v>50000</v>
      </c>
      <c r="N7115" s="74">
        <f t="shared" si="3"/>
        <v>40000</v>
      </c>
      <c r="O7115" s="65" t="str">
        <f>VLOOKUP(E7115,DATABASE!C:Q,8,false)</f>
        <v>BIAN</v>
      </c>
      <c r="P7115" s="65">
        <f>VLOOKUP(E7115,DATABASE!C:Q,9,False)</f>
        <v>1</v>
      </c>
      <c r="Q7115" s="93" t="str">
        <f>VLOOKUP(E7115,DATABASE!C:Q,4,false)</f>
        <v>BD</v>
      </c>
      <c r="R7115" s="93" t="str">
        <f>VLOOKUP(E7115,DATABASE!C:Q,11,false)</f>
        <v>Tire</v>
      </c>
    </row>
    <row r="7116" ht="22.5" customHeight="1">
      <c r="A7116" s="49"/>
      <c r="C7116" s="400">
        <v>46073.0</v>
      </c>
      <c r="D7116" s="524">
        <v>394.0</v>
      </c>
      <c r="E7116" s="544" t="s">
        <v>268</v>
      </c>
      <c r="F7116" s="387">
        <v>2.0</v>
      </c>
      <c r="G7116" s="140">
        <v>710000.0</v>
      </c>
      <c r="H7116" s="74"/>
      <c r="I7116" s="74">
        <f t="shared" si="1"/>
        <v>1420000</v>
      </c>
      <c r="J7116" s="74">
        <f>IF(E7116="SERVICE",I7116-(I7116*50%),Vlookup(E7116,DATABASE!C:Q,10,false)*F7116)</f>
        <v>0</v>
      </c>
      <c r="K7116" s="74">
        <f>VLOOKUP(E7116,DATABASE!C:Q,7,false)</f>
        <v>653000</v>
      </c>
      <c r="L7116" s="74">
        <v>622000.0</v>
      </c>
      <c r="M7116" s="74">
        <f t="shared" si="2"/>
        <v>625000</v>
      </c>
      <c r="N7116" s="74">
        <f t="shared" si="3"/>
        <v>170000</v>
      </c>
      <c r="O7116" s="65" t="str">
        <f>VLOOKUP(E7116,DATABASE!C:Q,8,false)</f>
        <v>IBU</v>
      </c>
      <c r="P7116" s="65">
        <f>VLOOKUP(E7116,DATABASE!C:Q,9,False)</f>
        <v>1</v>
      </c>
      <c r="Q7116" s="93" t="str">
        <f>VLOOKUP(E7116,DATABASE!C:Q,4,false)</f>
        <v>Dunlop</v>
      </c>
      <c r="R7116" s="93" t="str">
        <f>VLOOKUP(E7116,DATABASE!C:Q,11,false)</f>
        <v>Tire</v>
      </c>
    </row>
    <row r="7117" ht="22.5" customHeight="1">
      <c r="A7117" s="49"/>
      <c r="C7117" s="400">
        <v>46073.0</v>
      </c>
      <c r="D7117" s="524">
        <v>395.0</v>
      </c>
      <c r="E7117" s="544" t="s">
        <v>268</v>
      </c>
      <c r="F7117" s="387">
        <v>2.0</v>
      </c>
      <c r="G7117" s="140">
        <v>710000.0</v>
      </c>
      <c r="H7117" s="74"/>
      <c r="I7117" s="74">
        <f t="shared" si="1"/>
        <v>1420000</v>
      </c>
      <c r="J7117" s="74">
        <f>IF(E7117="SERVICE",I7117-(I7117*50%),Vlookup(E7117,DATABASE!C:Q,10,false)*F7117)</f>
        <v>0</v>
      </c>
      <c r="K7117" s="74">
        <f>VLOOKUP(E7117,DATABASE!C:Q,7,false)</f>
        <v>653000</v>
      </c>
      <c r="L7117" s="74">
        <v>622000.0</v>
      </c>
      <c r="M7117" s="74">
        <f t="shared" si="2"/>
        <v>625000</v>
      </c>
      <c r="N7117" s="74">
        <f t="shared" si="3"/>
        <v>170000</v>
      </c>
      <c r="O7117" s="65" t="str">
        <f>VLOOKUP(E7117,DATABASE!C:Q,8,false)</f>
        <v>IBU</v>
      </c>
      <c r="P7117" s="65">
        <f>VLOOKUP(E7117,DATABASE!C:Q,9,False)</f>
        <v>1</v>
      </c>
      <c r="Q7117" s="93" t="str">
        <f>VLOOKUP(E7117,DATABASE!C:Q,4,false)</f>
        <v>Dunlop</v>
      </c>
      <c r="R7117" s="93" t="str">
        <f>VLOOKUP(E7117,DATABASE!C:Q,11,false)</f>
        <v>Tire</v>
      </c>
    </row>
    <row r="7118" ht="22.5" customHeight="1">
      <c r="A7118" s="49"/>
      <c r="C7118" s="400">
        <v>46073.0</v>
      </c>
      <c r="D7118" s="524">
        <v>396.0</v>
      </c>
      <c r="E7118" s="544" t="s">
        <v>955</v>
      </c>
      <c r="F7118" s="387">
        <v>1.0</v>
      </c>
      <c r="G7118" s="140">
        <v>770000.0</v>
      </c>
      <c r="H7118" s="74"/>
      <c r="I7118" s="74">
        <f t="shared" si="1"/>
        <v>770000</v>
      </c>
      <c r="J7118" s="74">
        <f>IF(E7118="SERVICE",I7118-(I7118*50%),Vlookup(E7118,DATABASE!C:Q,10,false)*F7118)</f>
        <v>0</v>
      </c>
      <c r="K7118" s="74">
        <f>VLOOKUP(E7118,DATABASE!C:Q,7,false)</f>
        <v>712000</v>
      </c>
      <c r="L7118" s="74">
        <v>674000.0</v>
      </c>
      <c r="M7118" s="74">
        <f t="shared" si="2"/>
        <v>675000</v>
      </c>
      <c r="N7118" s="74">
        <f t="shared" si="3"/>
        <v>95000</v>
      </c>
      <c r="O7118" s="65" t="str">
        <f>VLOOKUP(E7118,DATABASE!C:Q,8,false)</f>
        <v>IBU</v>
      </c>
      <c r="P7118" s="65">
        <f>VLOOKUP(E7118,DATABASE!C:Q,9,False)</f>
        <v>1</v>
      </c>
      <c r="Q7118" s="93" t="str">
        <f>VLOOKUP(E7118,DATABASE!C:Q,4,false)</f>
        <v>Dunlop</v>
      </c>
      <c r="R7118" s="93" t="str">
        <f>VLOOKUP(E7118,DATABASE!C:Q,11,false)</f>
        <v>Tire</v>
      </c>
    </row>
    <row r="7119" ht="22.5" customHeight="1">
      <c r="A7119" s="49"/>
      <c r="C7119" s="400">
        <v>46073.0</v>
      </c>
      <c r="D7119" s="524">
        <v>397.0</v>
      </c>
      <c r="E7119" s="544" t="s">
        <v>554</v>
      </c>
      <c r="F7119" s="387">
        <v>2.0</v>
      </c>
      <c r="G7119" s="140">
        <v>790000.0</v>
      </c>
      <c r="H7119" s="74"/>
      <c r="I7119" s="74">
        <f t="shared" si="1"/>
        <v>1580000</v>
      </c>
      <c r="J7119" s="74">
        <f>IF(E7119="SERVICE",I7119-(I7119*50%),Vlookup(E7119,DATABASE!C:Q,10,false)*F7119)</f>
        <v>0</v>
      </c>
      <c r="K7119" s="74">
        <f>VLOOKUP(E7119,DATABASE!C:Q,7,false)</f>
        <v>710000</v>
      </c>
      <c r="L7119" s="74">
        <v>705000.0</v>
      </c>
      <c r="M7119" s="74">
        <f t="shared" si="2"/>
        <v>705000</v>
      </c>
      <c r="N7119" s="74">
        <f t="shared" si="3"/>
        <v>170000</v>
      </c>
      <c r="O7119" s="65" t="str">
        <f>VLOOKUP(E7119,DATABASE!C:Q,8,false)</f>
        <v>IBU</v>
      </c>
      <c r="P7119" s="65">
        <f>VLOOKUP(E7119,DATABASE!C:Q,9,False)</f>
        <v>1</v>
      </c>
      <c r="Q7119" s="93" t="str">
        <f>VLOOKUP(E7119,DATABASE!C:Q,4,false)</f>
        <v>Bridgestone</v>
      </c>
      <c r="R7119" s="93" t="str">
        <f>VLOOKUP(E7119,DATABASE!C:Q,11,false)</f>
        <v>Tire</v>
      </c>
    </row>
    <row r="7120" ht="22.5" customHeight="1">
      <c r="A7120" s="49"/>
      <c r="C7120" s="400">
        <v>46073.0</v>
      </c>
      <c r="D7120" s="524">
        <v>398.0</v>
      </c>
      <c r="E7120" s="544" t="s">
        <v>1486</v>
      </c>
      <c r="F7120" s="387">
        <v>2.0</v>
      </c>
      <c r="G7120" s="140">
        <v>977000.0</v>
      </c>
      <c r="H7120" s="140">
        <v>7000.0</v>
      </c>
      <c r="I7120" s="74">
        <f t="shared" si="1"/>
        <v>1940000</v>
      </c>
      <c r="J7120" s="74">
        <f>IF(E7120="SERVICE",I7120-(I7120*50%),Vlookup(E7120,DATABASE!C:Q,10,false)*F7120)</f>
        <v>0</v>
      </c>
      <c r="K7120" s="74">
        <f>VLOOKUP(E7120,DATABASE!C:Q,7,false)</f>
        <v>888000</v>
      </c>
      <c r="L7120" s="74">
        <v>877000.0</v>
      </c>
      <c r="M7120" s="74">
        <f t="shared" si="2"/>
        <v>880000</v>
      </c>
      <c r="N7120" s="74">
        <f t="shared" si="3"/>
        <v>180000</v>
      </c>
      <c r="O7120" s="65" t="str">
        <f>VLOOKUP(E7120,DATABASE!C:Q,8,false)</f>
        <v>IBU</v>
      </c>
      <c r="P7120" s="65">
        <f>VLOOKUP(E7120,DATABASE!C:Q,9,False)</f>
        <v>1</v>
      </c>
      <c r="Q7120" s="93" t="str">
        <f>VLOOKUP(E7120,DATABASE!C:Q,4,false)</f>
        <v>Dunlop</v>
      </c>
      <c r="R7120" s="93" t="str">
        <f>VLOOKUP(E7120,DATABASE!C:Q,11,false)</f>
        <v>Tire</v>
      </c>
    </row>
    <row r="7121" ht="22.5" customHeight="1">
      <c r="A7121" s="49"/>
      <c r="C7121" s="400">
        <v>46073.0</v>
      </c>
      <c r="D7121" s="524">
        <v>399.0</v>
      </c>
      <c r="E7121" s="544" t="s">
        <v>1862</v>
      </c>
      <c r="F7121" s="387">
        <v>2.0</v>
      </c>
      <c r="G7121" s="140">
        <v>2150000.0</v>
      </c>
      <c r="H7121" s="74"/>
      <c r="I7121" s="74">
        <f t="shared" si="1"/>
        <v>4300000</v>
      </c>
      <c r="J7121" s="74">
        <f>IF(E7121="SERVICE",I7121-(I7121*50%),Vlookup(E7121,DATABASE!C:Q,10,false)*F7121)</f>
        <v>0</v>
      </c>
      <c r="K7121" s="74">
        <f>VLOOKUP(E7121,DATABASE!C:Q,7,false)</f>
        <v>2080000</v>
      </c>
      <c r="L7121" s="74">
        <v>2050000.0</v>
      </c>
      <c r="M7121" s="74">
        <f t="shared" si="2"/>
        <v>2050000</v>
      </c>
      <c r="N7121" s="74">
        <f t="shared" si="3"/>
        <v>200000</v>
      </c>
      <c r="O7121" s="65" t="str">
        <f>VLOOKUP(E7121,DATABASE!C:Q,8,false)</f>
        <v>BIAN</v>
      </c>
      <c r="P7121" s="65">
        <f>VLOOKUP(E7121,DATABASE!C:Q,9,False)</f>
        <v>1</v>
      </c>
      <c r="Q7121" s="93" t="str">
        <f>VLOOKUP(E7121,DATABASE!C:Q,4,false)</f>
        <v>GiTi</v>
      </c>
      <c r="R7121" s="93" t="str">
        <f>VLOOKUP(E7121,DATABASE!C:Q,11,false)</f>
        <v>Tire</v>
      </c>
    </row>
    <row r="7122" ht="22.5" customHeight="1">
      <c r="A7122" s="49"/>
      <c r="C7122" s="400">
        <v>46074.0</v>
      </c>
      <c r="D7122" s="524">
        <v>400.0</v>
      </c>
      <c r="E7122" s="544" t="s">
        <v>569</v>
      </c>
      <c r="F7122" s="387">
        <v>4.0</v>
      </c>
      <c r="G7122" s="140">
        <v>80000.0</v>
      </c>
      <c r="H7122" s="74"/>
      <c r="I7122" s="74">
        <f t="shared" si="1"/>
        <v>320000</v>
      </c>
      <c r="J7122" s="74">
        <f>IF(E7122="SERVICE",I7122-(I7122*50%),Vlookup(E7122,DATABASE!C:Q,10,false)*F7122)</f>
        <v>0</v>
      </c>
      <c r="K7122" s="74">
        <f>VLOOKUP(E7122,DATABASE!C:Q,7,false)</f>
        <v>45439.582</v>
      </c>
      <c r="L7122" s="74">
        <v>45309.6</v>
      </c>
      <c r="M7122" s="74">
        <f t="shared" si="2"/>
        <v>50000</v>
      </c>
      <c r="N7122" s="74">
        <f t="shared" si="3"/>
        <v>120000</v>
      </c>
      <c r="O7122" s="65" t="str">
        <f>VLOOKUP(E7122,DATABASE!C:Q,8,false)</f>
        <v>BIAN</v>
      </c>
      <c r="P7122" s="65">
        <f>VLOOKUP(E7122,DATABASE!C:Q,9,False)</f>
        <v>1</v>
      </c>
      <c r="Q7122" s="93" t="str">
        <f>VLOOKUP(E7122,DATABASE!C:Q,4,false)</f>
        <v>BD</v>
      </c>
      <c r="R7122" s="93" t="str">
        <f>VLOOKUP(E7122,DATABASE!C:Q,11,false)</f>
        <v>Tire</v>
      </c>
    </row>
    <row r="7123" ht="22.5" customHeight="1">
      <c r="A7123" s="49"/>
      <c r="C7123" s="400">
        <v>46074.0</v>
      </c>
      <c r="D7123" s="524">
        <v>400.0</v>
      </c>
      <c r="E7123" s="544" t="s">
        <v>770</v>
      </c>
      <c r="F7123" s="387">
        <v>7.0</v>
      </c>
      <c r="G7123" s="140">
        <v>200000.0</v>
      </c>
      <c r="H7123" s="140">
        <v>30000.0</v>
      </c>
      <c r="I7123" s="74">
        <f t="shared" si="1"/>
        <v>1190000</v>
      </c>
      <c r="J7123" s="74">
        <f>IF(E7123="SERVICE",I7123-(I7123*50%),Vlookup(E7123,DATABASE!C:Q,10,false)*F7123)</f>
        <v>0</v>
      </c>
      <c r="K7123" s="74">
        <f>VLOOKUP(E7123,DATABASE!C:Q,7,false)</f>
        <v>145180</v>
      </c>
      <c r="L7123" s="74">
        <v>145180.0</v>
      </c>
      <c r="M7123" s="74">
        <f t="shared" si="2"/>
        <v>150000</v>
      </c>
      <c r="N7123" s="74">
        <f t="shared" si="3"/>
        <v>140000</v>
      </c>
      <c r="O7123" s="65" t="str">
        <f>VLOOKUP(E7123,DATABASE!C:Q,8,false)</f>
        <v>BIAN</v>
      </c>
      <c r="P7123" s="65">
        <f>VLOOKUP(E7123,DATABASE!C:Q,9,False)</f>
        <v>1</v>
      </c>
      <c r="Q7123" s="93" t="str">
        <f>VLOOKUP(E7123,DATABASE!C:Q,4,false)</f>
        <v>BD</v>
      </c>
      <c r="R7123" s="93" t="str">
        <f>VLOOKUP(E7123,DATABASE!C:Q,11,false)</f>
        <v>Tire</v>
      </c>
    </row>
    <row r="7124" ht="22.5" customHeight="1">
      <c r="A7124" s="49"/>
      <c r="C7124" s="400">
        <v>46074.0</v>
      </c>
      <c r="D7124" s="524">
        <v>400.0</v>
      </c>
      <c r="E7124" s="544" t="s">
        <v>757</v>
      </c>
      <c r="F7124" s="387">
        <v>3.0</v>
      </c>
      <c r="G7124" s="140">
        <v>200000.0</v>
      </c>
      <c r="H7124" s="140">
        <v>30000.0</v>
      </c>
      <c r="I7124" s="74">
        <f t="shared" si="1"/>
        <v>510000</v>
      </c>
      <c r="J7124" s="74">
        <f>IF(E7124="SERVICE",I7124-(I7124*50%),Vlookup(E7124,DATABASE!C:Q,10,false)*F7124)</f>
        <v>0</v>
      </c>
      <c r="K7124" s="74">
        <f>VLOOKUP(E7124,DATABASE!C:Q,7,false)</f>
        <v>140000</v>
      </c>
      <c r="L7124" s="74">
        <v>140000.0</v>
      </c>
      <c r="M7124" s="74">
        <f t="shared" si="2"/>
        <v>140000</v>
      </c>
      <c r="N7124" s="74">
        <f t="shared" si="3"/>
        <v>90000</v>
      </c>
      <c r="O7124" s="65" t="str">
        <f>VLOOKUP(E7124,DATABASE!C:Q,8,false)</f>
        <v>BIAN</v>
      </c>
      <c r="P7124" s="65">
        <f>VLOOKUP(E7124,DATABASE!C:Q,9,False)</f>
        <v>1</v>
      </c>
      <c r="Q7124" s="93" t="str">
        <f>VLOOKUP(E7124,DATABASE!C:Q,4,false)</f>
        <v>BD</v>
      </c>
      <c r="R7124" s="93" t="str">
        <f>VLOOKUP(E7124,DATABASE!C:Q,11,false)</f>
        <v>Tire</v>
      </c>
    </row>
    <row r="7125" ht="22.5" customHeight="1">
      <c r="A7125" s="49"/>
      <c r="C7125" s="400">
        <v>46074.0</v>
      </c>
      <c r="D7125" s="524">
        <v>401.0</v>
      </c>
      <c r="E7125" s="544" t="s">
        <v>937</v>
      </c>
      <c r="F7125" s="387">
        <v>2.0</v>
      </c>
      <c r="G7125" s="140">
        <v>910000.0</v>
      </c>
      <c r="H7125" s="140">
        <v>10000.0</v>
      </c>
      <c r="I7125" s="74">
        <f t="shared" si="1"/>
        <v>1800000</v>
      </c>
      <c r="J7125" s="74">
        <f>IF(E7125="SERVICE",I7125-(I7125*50%),Vlookup(E7125,DATABASE!C:Q,10,false)*F7125)</f>
        <v>0</v>
      </c>
      <c r="K7125" s="74">
        <f>VLOOKUP(E7125,DATABASE!C:Q,7,false)</f>
        <v>825000</v>
      </c>
      <c r="L7125" s="74">
        <v>815000.0</v>
      </c>
      <c r="M7125" s="74">
        <f t="shared" si="2"/>
        <v>815000</v>
      </c>
      <c r="N7125" s="74">
        <f t="shared" si="3"/>
        <v>170000</v>
      </c>
      <c r="O7125" s="65" t="str">
        <f>VLOOKUP(E7125,DATABASE!C:Q,8,false)</f>
        <v>IBU</v>
      </c>
      <c r="P7125" s="65">
        <f>VLOOKUP(E7125,DATABASE!C:Q,9,False)</f>
        <v>1</v>
      </c>
      <c r="Q7125" s="93" t="str">
        <f>VLOOKUP(E7125,DATABASE!C:Q,4,false)</f>
        <v>Bridgestone</v>
      </c>
      <c r="R7125" s="93" t="str">
        <f>VLOOKUP(E7125,DATABASE!C:Q,11,false)</f>
        <v>Tire</v>
      </c>
    </row>
    <row r="7126" ht="22.5" customHeight="1">
      <c r="A7126" s="49"/>
      <c r="C7126" s="400">
        <v>46074.0</v>
      </c>
      <c r="D7126" s="524">
        <v>402.0</v>
      </c>
      <c r="E7126" s="544" t="s">
        <v>275</v>
      </c>
      <c r="F7126" s="387">
        <v>4.0</v>
      </c>
      <c r="G7126" s="140">
        <v>830000.0</v>
      </c>
      <c r="H7126" s="74"/>
      <c r="I7126" s="74">
        <f t="shared" si="1"/>
        <v>3320000</v>
      </c>
      <c r="J7126" s="74">
        <f>IF(E7126="SERVICE",I7126-(I7126*50%),Vlookup(E7126,DATABASE!C:Q,10,false)*F7126)</f>
        <v>0</v>
      </c>
      <c r="K7126" s="74">
        <f>VLOOKUP(E7126,DATABASE!C:Q,7,false)</f>
        <v>782000</v>
      </c>
      <c r="L7126" s="74">
        <v>745000.0</v>
      </c>
      <c r="M7126" s="74">
        <f t="shared" si="2"/>
        <v>745000</v>
      </c>
      <c r="N7126" s="74">
        <f t="shared" si="3"/>
        <v>340000</v>
      </c>
      <c r="O7126" s="65" t="str">
        <f>VLOOKUP(E7126,DATABASE!C:Q,8,false)</f>
        <v>IBU</v>
      </c>
      <c r="P7126" s="65">
        <f>VLOOKUP(E7126,DATABASE!C:Q,9,False)</f>
        <v>1</v>
      </c>
      <c r="Q7126" s="93" t="str">
        <f>VLOOKUP(E7126,DATABASE!C:Q,4,false)</f>
        <v>Dunlop</v>
      </c>
      <c r="R7126" s="93" t="str">
        <f>VLOOKUP(E7126,DATABASE!C:Q,11,false)</f>
        <v>Tire</v>
      </c>
    </row>
    <row r="7127" ht="22.5" customHeight="1">
      <c r="A7127" s="49"/>
      <c r="C7127" s="400">
        <v>46074.0</v>
      </c>
      <c r="D7127" s="524">
        <v>404.0</v>
      </c>
      <c r="E7127" s="544" t="s">
        <v>1301</v>
      </c>
      <c r="F7127" s="387">
        <v>1.0</v>
      </c>
      <c r="G7127" s="140">
        <v>1285000.0</v>
      </c>
      <c r="H7127" s="74"/>
      <c r="I7127" s="74">
        <f t="shared" si="1"/>
        <v>1285000</v>
      </c>
      <c r="J7127" s="74">
        <f>IF(E7127="SERVICE",I7127-(I7127*50%),Vlookup(E7127,DATABASE!C:Q,10,false)*F7127)</f>
        <v>0</v>
      </c>
      <c r="K7127" s="74">
        <f>VLOOKUP(E7127,DATABASE!C:Q,7,false)</f>
        <v>1194000</v>
      </c>
      <c r="L7127" s="74">
        <v>1182000.0</v>
      </c>
      <c r="M7127" s="74">
        <f t="shared" si="2"/>
        <v>1185000</v>
      </c>
      <c r="N7127" s="74">
        <f t="shared" si="3"/>
        <v>100000</v>
      </c>
      <c r="O7127" s="65" t="str">
        <f>VLOOKUP(E7127,DATABASE!C:Q,8,false)</f>
        <v>IBU</v>
      </c>
      <c r="P7127" s="65">
        <f>VLOOKUP(E7127,DATABASE!C:Q,9,False)</f>
        <v>1</v>
      </c>
      <c r="Q7127" s="93" t="str">
        <f>VLOOKUP(E7127,DATABASE!C:Q,4,false)</f>
        <v>Dunlop</v>
      </c>
      <c r="R7127" s="93" t="str">
        <f>VLOOKUP(E7127,DATABASE!C:Q,11,false)</f>
        <v>Tire</v>
      </c>
    </row>
    <row r="7128" ht="22.5" customHeight="1">
      <c r="A7128" s="49"/>
      <c r="C7128" s="400">
        <v>46074.0</v>
      </c>
      <c r="D7128" s="524">
        <v>405.0</v>
      </c>
      <c r="E7128" s="544" t="s">
        <v>695</v>
      </c>
      <c r="F7128" s="387">
        <v>2.0</v>
      </c>
      <c r="G7128" s="140">
        <v>670000.0</v>
      </c>
      <c r="H7128" s="140">
        <v>10000.0</v>
      </c>
      <c r="I7128" s="74">
        <f t="shared" si="1"/>
        <v>1320000</v>
      </c>
      <c r="J7128" s="74">
        <f>IF(E7128="SERVICE",I7128-(I7128*50%),Vlookup(E7128,DATABASE!C:Q,10,false)*F7128)</f>
        <v>0</v>
      </c>
      <c r="K7128" s="74">
        <f>VLOOKUP(E7128,DATABASE!C:Q,7,false)</f>
        <v>582000</v>
      </c>
      <c r="L7128" s="74">
        <v>570000.0</v>
      </c>
      <c r="M7128" s="74">
        <f t="shared" si="2"/>
        <v>570000</v>
      </c>
      <c r="N7128" s="74">
        <f t="shared" si="3"/>
        <v>180000</v>
      </c>
      <c r="O7128" s="65" t="str">
        <f>VLOOKUP(E7128,DATABASE!C:Q,8,false)</f>
        <v>IBU</v>
      </c>
      <c r="P7128" s="65">
        <f>VLOOKUP(E7128,DATABASE!C:Q,9,False)</f>
        <v>1</v>
      </c>
      <c r="Q7128" s="93" t="str">
        <f>VLOOKUP(E7128,DATABASE!C:Q,4,false)</f>
        <v>Dunlop</v>
      </c>
      <c r="R7128" s="93" t="str">
        <f>VLOOKUP(E7128,DATABASE!C:Q,11,false)</f>
        <v>Tire</v>
      </c>
    </row>
    <row r="7129" ht="22.5" customHeight="1">
      <c r="A7129" s="49"/>
      <c r="C7129" s="400">
        <v>46074.0</v>
      </c>
      <c r="D7129" s="524">
        <v>406.0</v>
      </c>
      <c r="E7129" s="544" t="s">
        <v>268</v>
      </c>
      <c r="F7129" s="387">
        <v>2.0</v>
      </c>
      <c r="G7129" s="140">
        <v>710000.0</v>
      </c>
      <c r="H7129" s="74"/>
      <c r="I7129" s="74">
        <f t="shared" si="1"/>
        <v>1420000</v>
      </c>
      <c r="J7129" s="74">
        <f>IF(E7129="SERVICE",I7129-(I7129*50%),Vlookup(E7129,DATABASE!C:Q,10,false)*F7129)</f>
        <v>0</v>
      </c>
      <c r="K7129" s="74">
        <f>VLOOKUP(E7129,DATABASE!C:Q,7,false)</f>
        <v>653000</v>
      </c>
      <c r="L7129" s="74">
        <v>622000.0</v>
      </c>
      <c r="M7129" s="74">
        <f t="shared" si="2"/>
        <v>625000</v>
      </c>
      <c r="N7129" s="74">
        <f t="shared" si="3"/>
        <v>170000</v>
      </c>
      <c r="O7129" s="65" t="str">
        <f>VLOOKUP(E7129,DATABASE!C:Q,8,false)</f>
        <v>IBU</v>
      </c>
      <c r="P7129" s="65">
        <f>VLOOKUP(E7129,DATABASE!C:Q,9,False)</f>
        <v>1</v>
      </c>
      <c r="Q7129" s="93" t="str">
        <f>VLOOKUP(E7129,DATABASE!C:Q,4,false)</f>
        <v>Dunlop</v>
      </c>
      <c r="R7129" s="93" t="str">
        <f>VLOOKUP(E7129,DATABASE!C:Q,11,false)</f>
        <v>Tire</v>
      </c>
    </row>
    <row r="7130" ht="22.5" customHeight="1">
      <c r="A7130" s="49"/>
      <c r="C7130" s="400">
        <v>46074.0</v>
      </c>
      <c r="D7130" s="524">
        <v>407.0</v>
      </c>
      <c r="E7130" s="544" t="s">
        <v>947</v>
      </c>
      <c r="F7130" s="387">
        <v>1.0</v>
      </c>
      <c r="G7130" s="140">
        <v>785000.0</v>
      </c>
      <c r="H7130" s="74"/>
      <c r="I7130" s="74">
        <f t="shared" si="1"/>
        <v>785000</v>
      </c>
      <c r="J7130" s="74">
        <f>IF(E7130="SERVICE",I7130-(I7130*50%),Vlookup(E7130,DATABASE!C:Q,10,false)*F7130)</f>
        <v>0</v>
      </c>
      <c r="K7130" s="74">
        <f>VLOOKUP(E7130,DATABASE!C:Q,7,false)</f>
        <v>704346</v>
      </c>
      <c r="L7130" s="74">
        <v>680512.0</v>
      </c>
      <c r="M7130" s="74">
        <f t="shared" si="2"/>
        <v>685000</v>
      </c>
      <c r="N7130" s="74">
        <f t="shared" si="3"/>
        <v>100000</v>
      </c>
      <c r="O7130" s="65" t="str">
        <f>VLOOKUP(E7130,DATABASE!C:Q,8,false)</f>
        <v>IBU</v>
      </c>
      <c r="P7130" s="65">
        <f>VLOOKUP(E7130,DATABASE!C:Q,9,False)</f>
        <v>1</v>
      </c>
      <c r="Q7130" s="93" t="str">
        <f>VLOOKUP(E7130,DATABASE!C:Q,4,false)</f>
        <v>Bridgestone</v>
      </c>
      <c r="R7130" s="93" t="str">
        <f>VLOOKUP(E7130,DATABASE!C:Q,11,false)</f>
        <v>Tire</v>
      </c>
    </row>
    <row r="7131" ht="22.5" customHeight="1">
      <c r="A7131" s="49"/>
      <c r="C7131" s="400">
        <v>46074.0</v>
      </c>
      <c r="D7131" s="524">
        <v>498.0</v>
      </c>
      <c r="E7131" s="544" t="s">
        <v>947</v>
      </c>
      <c r="F7131" s="387">
        <v>1.0</v>
      </c>
      <c r="G7131" s="140">
        <v>785000.0</v>
      </c>
      <c r="H7131" s="140">
        <v>20000.0</v>
      </c>
      <c r="I7131" s="74">
        <f t="shared" si="1"/>
        <v>765000</v>
      </c>
      <c r="J7131" s="74">
        <f>IF(E7131="SERVICE",I7131-(I7131*50%),Vlookup(E7131,DATABASE!C:Q,10,false)*F7131)</f>
        <v>0</v>
      </c>
      <c r="K7131" s="74">
        <f>VLOOKUP(E7131,DATABASE!C:Q,7,false)</f>
        <v>704346</v>
      </c>
      <c r="L7131" s="74">
        <v>680512.0</v>
      </c>
      <c r="M7131" s="74">
        <f t="shared" si="2"/>
        <v>685000</v>
      </c>
      <c r="N7131" s="74">
        <f t="shared" si="3"/>
        <v>80000</v>
      </c>
      <c r="O7131" s="65" t="str">
        <f>VLOOKUP(E7131,DATABASE!C:Q,8,false)</f>
        <v>IBU</v>
      </c>
      <c r="P7131" s="65">
        <f>VLOOKUP(E7131,DATABASE!C:Q,9,False)</f>
        <v>1</v>
      </c>
      <c r="Q7131" s="93" t="str">
        <f>VLOOKUP(E7131,DATABASE!C:Q,4,false)</f>
        <v>Bridgestone</v>
      </c>
      <c r="R7131" s="93" t="str">
        <f>VLOOKUP(E7131,DATABASE!C:Q,11,false)</f>
        <v>Tire</v>
      </c>
    </row>
    <row r="7132" ht="22.5" customHeight="1">
      <c r="A7132" s="49"/>
      <c r="C7132" s="400">
        <v>46075.0</v>
      </c>
      <c r="D7132" s="69">
        <v>409.0</v>
      </c>
      <c r="E7132" s="544" t="s">
        <v>627</v>
      </c>
      <c r="F7132" s="387">
        <v>1.0</v>
      </c>
      <c r="G7132" s="140">
        <v>930000.0</v>
      </c>
      <c r="H7132" s="74"/>
      <c r="I7132" s="74">
        <f t="shared" si="1"/>
        <v>930000</v>
      </c>
      <c r="J7132" s="74">
        <f>IF(E7132="SERVICE",I7132-(I7132*50%),Vlookup(E7132,DATABASE!C:Q,10,false)*F7132)</f>
        <v>0</v>
      </c>
      <c r="K7132" s="74">
        <f>VLOOKUP(E7132,DATABASE!C:Q,7,false)</f>
        <v>879567</v>
      </c>
      <c r="L7132" s="74">
        <v>830273.6</v>
      </c>
      <c r="M7132" s="74">
        <f t="shared" si="2"/>
        <v>835000</v>
      </c>
      <c r="N7132" s="74">
        <f t="shared" si="3"/>
        <v>95000</v>
      </c>
      <c r="O7132" s="65" t="str">
        <f>VLOOKUP(E7132,DATABASE!C:Q,8,false)</f>
        <v>IBU</v>
      </c>
      <c r="P7132" s="65">
        <f>VLOOKUP(E7132,DATABASE!C:Q,9,False)</f>
        <v>1</v>
      </c>
      <c r="Q7132" s="93" t="str">
        <f>VLOOKUP(E7132,DATABASE!C:Q,4,false)</f>
        <v>Bridgestone</v>
      </c>
      <c r="R7132" s="93" t="str">
        <f>VLOOKUP(E7132,DATABASE!C:Q,11,false)</f>
        <v>Tire</v>
      </c>
    </row>
    <row r="7133" ht="22.5" customHeight="1">
      <c r="A7133" s="49"/>
      <c r="C7133" s="400">
        <v>46075.0</v>
      </c>
      <c r="D7133" s="69">
        <v>410.0</v>
      </c>
      <c r="E7133" s="544" t="s">
        <v>1565</v>
      </c>
      <c r="F7133" s="387">
        <v>1.0</v>
      </c>
      <c r="G7133" s="140">
        <v>1390000.0</v>
      </c>
      <c r="H7133" s="74"/>
      <c r="I7133" s="74">
        <f t="shared" si="1"/>
        <v>1390000</v>
      </c>
      <c r="J7133" s="74">
        <f>IF(E7133="SERVICE",I7133-(I7133*50%),Vlookup(E7133,DATABASE!C:Q,10,false)*F7133)</f>
        <v>0</v>
      </c>
      <c r="K7133" s="74">
        <f>VLOOKUP(E7133,DATABASE!C:Q,7,false)</f>
        <v>1292000</v>
      </c>
      <c r="L7133" s="74">
        <v>1292000.0</v>
      </c>
      <c r="M7133" s="74">
        <f t="shared" si="2"/>
        <v>1295000</v>
      </c>
      <c r="N7133" s="74">
        <f t="shared" si="3"/>
        <v>95000</v>
      </c>
      <c r="O7133" s="65" t="str">
        <f>VLOOKUP(E7133,DATABASE!C:Q,8,false)</f>
        <v>IBU</v>
      </c>
      <c r="P7133" s="65">
        <f>VLOOKUP(E7133,DATABASE!C:Q,9,False)</f>
        <v>1</v>
      </c>
      <c r="Q7133" s="93" t="str">
        <f>VLOOKUP(E7133,DATABASE!C:Q,4,false)</f>
        <v>Dunlop</v>
      </c>
      <c r="R7133" s="93" t="str">
        <f>VLOOKUP(E7133,DATABASE!C:Q,11,false)</f>
        <v>Tire</v>
      </c>
    </row>
    <row r="7134" ht="22.5" customHeight="1">
      <c r="A7134" s="49"/>
      <c r="C7134" s="400">
        <v>46075.0</v>
      </c>
      <c r="D7134" s="69">
        <v>411.0</v>
      </c>
      <c r="E7134" s="544" t="s">
        <v>566</v>
      </c>
      <c r="F7134" s="387">
        <v>3.0</v>
      </c>
      <c r="G7134" s="140">
        <v>1650000.0</v>
      </c>
      <c r="H7134" s="74"/>
      <c r="I7134" s="74">
        <f t="shared" si="1"/>
        <v>4950000</v>
      </c>
      <c r="J7134" s="74">
        <f>IF(E7134="SERVICE",I7134-(I7134*50%),Vlookup(E7134,DATABASE!C:Q,10,false)*F7134)</f>
        <v>0</v>
      </c>
      <c r="K7134" s="74">
        <f>VLOOKUP(E7134,DATABASE!C:Q,7,false)</f>
        <v>1565000</v>
      </c>
      <c r="L7134" s="74">
        <v>1545000.0</v>
      </c>
      <c r="M7134" s="74">
        <f t="shared" si="2"/>
        <v>1545000</v>
      </c>
      <c r="N7134" s="74">
        <f t="shared" si="3"/>
        <v>315000</v>
      </c>
      <c r="O7134" s="65" t="str">
        <f>VLOOKUP(E7134,DATABASE!C:Q,8,false)</f>
        <v>IBU</v>
      </c>
      <c r="P7134" s="65">
        <f>VLOOKUP(E7134,DATABASE!C:Q,9,False)</f>
        <v>1</v>
      </c>
      <c r="Q7134" s="93" t="str">
        <f>VLOOKUP(E7134,DATABASE!C:Q,4,false)</f>
        <v>Bridgestone</v>
      </c>
      <c r="R7134" s="93" t="str">
        <f>VLOOKUP(E7134,DATABASE!C:Q,11,false)</f>
        <v>Tire</v>
      </c>
    </row>
    <row r="7135" ht="22.5" customHeight="1">
      <c r="A7135" s="49"/>
      <c r="C7135" s="400">
        <v>46075.0</v>
      </c>
      <c r="D7135" s="69">
        <v>411.0</v>
      </c>
      <c r="E7135" s="544" t="s">
        <v>744</v>
      </c>
      <c r="F7135" s="387">
        <v>3.0</v>
      </c>
      <c r="G7135" s="140">
        <v>230000.0</v>
      </c>
      <c r="H7135" s="74"/>
      <c r="I7135" s="74">
        <f t="shared" si="1"/>
        <v>690000</v>
      </c>
      <c r="J7135" s="74">
        <f>IF(E7135="SERVICE",I7135-(I7135*50%),Vlookup(E7135,DATABASE!C:Q,10,false)*F7135)</f>
        <v>0</v>
      </c>
      <c r="K7135" s="74">
        <f>VLOOKUP(E7135,DATABASE!C:Q,7,false)</f>
        <v>182200</v>
      </c>
      <c r="L7135" s="74">
        <v>199920.0</v>
      </c>
      <c r="M7135" s="74">
        <f t="shared" si="2"/>
        <v>200000</v>
      </c>
      <c r="N7135" s="74">
        <f t="shared" si="3"/>
        <v>90000</v>
      </c>
      <c r="O7135" s="65" t="str">
        <f>VLOOKUP(E7135,DATABASE!C:Q,8,false)</f>
        <v>BIAN</v>
      </c>
      <c r="P7135" s="65">
        <f>VLOOKUP(E7135,DATABASE!C:Q,9,False)</f>
        <v>1</v>
      </c>
      <c r="Q7135" s="93" t="str">
        <f>VLOOKUP(E7135,DATABASE!C:Q,4,false)</f>
        <v>BD</v>
      </c>
      <c r="R7135" s="93" t="str">
        <f>VLOOKUP(E7135,DATABASE!C:Q,11,false)</f>
        <v>Tire</v>
      </c>
    </row>
    <row r="7136" ht="22.5" customHeight="1">
      <c r="A7136" s="49"/>
      <c r="C7136" s="400">
        <v>46075.0</v>
      </c>
      <c r="D7136" s="69">
        <v>411.0</v>
      </c>
      <c r="E7136" s="544" t="s">
        <v>821</v>
      </c>
      <c r="F7136" s="387">
        <v>3.0</v>
      </c>
      <c r="G7136" s="140">
        <v>90000.0</v>
      </c>
      <c r="H7136" s="74"/>
      <c r="I7136" s="74">
        <f t="shared" si="1"/>
        <v>270000</v>
      </c>
      <c r="J7136" s="74">
        <f>IF(E7136="SERVICE",I7136-(I7136*50%),Vlookup(E7136,DATABASE!C:Q,10,false)*F7136)</f>
        <v>0</v>
      </c>
      <c r="K7136" s="74">
        <f>VLOOKUP(E7136,DATABASE!C:Q,7,false)</f>
        <v>43500</v>
      </c>
      <c r="L7136" s="74">
        <v>43520.0</v>
      </c>
      <c r="M7136" s="74">
        <f t="shared" si="2"/>
        <v>45000</v>
      </c>
      <c r="N7136" s="74">
        <f t="shared" si="3"/>
        <v>135000</v>
      </c>
      <c r="O7136" s="65" t="str">
        <f>VLOOKUP(E7136,DATABASE!C:Q,8,false)</f>
        <v>BIAN</v>
      </c>
      <c r="P7136" s="65">
        <f>VLOOKUP(E7136,DATABASE!C:Q,9,False)</f>
        <v>1</v>
      </c>
      <c r="Q7136" s="93" t="str">
        <f>VLOOKUP(E7136,DATABASE!C:Q,4,false)</f>
        <v>Flap</v>
      </c>
      <c r="R7136" s="93" t="str">
        <f>VLOOKUP(E7136,DATABASE!C:Q,11,false)</f>
        <v>Tire</v>
      </c>
    </row>
    <row r="7137" ht="22.5" customHeight="1">
      <c r="A7137" s="49"/>
      <c r="C7137" s="400">
        <v>46075.0</v>
      </c>
      <c r="D7137" s="69">
        <v>412.0</v>
      </c>
      <c r="E7137" s="544" t="s">
        <v>245</v>
      </c>
      <c r="F7137" s="387">
        <v>1.0</v>
      </c>
      <c r="G7137" s="140">
        <v>4350000.0</v>
      </c>
      <c r="H7137" s="140">
        <v>0.0</v>
      </c>
      <c r="I7137" s="74">
        <f t="shared" si="1"/>
        <v>4350000</v>
      </c>
      <c r="J7137" s="74">
        <f>IF(E7137="SERVICE",I7137-(I7137*50%),Vlookup(E7137,DATABASE!C:Q,10,false)*F7137)</f>
        <v>0</v>
      </c>
      <c r="K7137" s="74">
        <f>VLOOKUP(E7137,DATABASE!C:Q,7,false)</f>
        <v>4200000</v>
      </c>
      <c r="L7137" s="74">
        <v>4100000.0</v>
      </c>
      <c r="M7137" s="74">
        <f t="shared" si="2"/>
        <v>4100000</v>
      </c>
      <c r="N7137" s="74">
        <f t="shared" si="3"/>
        <v>250000</v>
      </c>
      <c r="O7137" s="65" t="str">
        <f>VLOOKUP(E7137,DATABASE!C:Q,8,false)</f>
        <v>BIAN</v>
      </c>
      <c r="P7137" s="65">
        <f>VLOOKUP(E7137,DATABASE!C:Q,9,False)</f>
        <v>1</v>
      </c>
      <c r="Q7137" s="93" t="str">
        <f>VLOOKUP(E7137,DATABASE!C:Q,4,false)</f>
        <v>Advance</v>
      </c>
      <c r="R7137" s="93" t="str">
        <f>VLOOKUP(E7137,DATABASE!C:Q,11,false)</f>
        <v>Tire</v>
      </c>
    </row>
    <row r="7138" ht="22.5" customHeight="1">
      <c r="A7138" s="49"/>
      <c r="C7138" s="400">
        <v>46075.0</v>
      </c>
      <c r="D7138" s="69">
        <v>413.0</v>
      </c>
      <c r="E7138" s="544" t="s">
        <v>268</v>
      </c>
      <c r="F7138" s="387">
        <v>1.0</v>
      </c>
      <c r="G7138" s="140">
        <v>710000.0</v>
      </c>
      <c r="H7138" s="74"/>
      <c r="I7138" s="74">
        <f t="shared" si="1"/>
        <v>710000</v>
      </c>
      <c r="J7138" s="74">
        <f>IF(E7138="SERVICE",I7138-(I7138*50%),Vlookup(E7138,DATABASE!C:Q,10,false)*F7138)</f>
        <v>0</v>
      </c>
      <c r="K7138" s="74">
        <f>VLOOKUP(E7138,DATABASE!C:Q,7,false)</f>
        <v>653000</v>
      </c>
      <c r="L7138" s="74">
        <v>622000.0</v>
      </c>
      <c r="M7138" s="74">
        <f t="shared" si="2"/>
        <v>625000</v>
      </c>
      <c r="N7138" s="74">
        <f t="shared" si="3"/>
        <v>85000</v>
      </c>
      <c r="O7138" s="65" t="str">
        <f>VLOOKUP(E7138,DATABASE!C:Q,8,false)</f>
        <v>IBU</v>
      </c>
      <c r="P7138" s="65">
        <f>VLOOKUP(E7138,DATABASE!C:Q,9,False)</f>
        <v>1</v>
      </c>
      <c r="Q7138" s="93" t="str">
        <f>VLOOKUP(E7138,DATABASE!C:Q,4,false)</f>
        <v>Dunlop</v>
      </c>
      <c r="R7138" s="93" t="str">
        <f>VLOOKUP(E7138,DATABASE!C:Q,11,false)</f>
        <v>Tire</v>
      </c>
    </row>
    <row r="7139" ht="22.5" customHeight="1">
      <c r="A7139" s="49"/>
      <c r="C7139" s="400">
        <v>46075.0</v>
      </c>
      <c r="D7139" s="69">
        <v>414.0</v>
      </c>
      <c r="E7139" s="544" t="s">
        <v>600</v>
      </c>
      <c r="F7139" s="387">
        <v>4.0</v>
      </c>
      <c r="G7139" s="140">
        <v>680000.0</v>
      </c>
      <c r="H7139" s="74"/>
      <c r="I7139" s="74">
        <f t="shared" si="1"/>
        <v>2720000</v>
      </c>
      <c r="J7139" s="74">
        <f>IF(E7139="SERVICE",I7139-(I7139*50%),Vlookup(E7139,DATABASE!C:Q,10,false)*F7139)</f>
        <v>0</v>
      </c>
      <c r="K7139" s="74">
        <f>VLOOKUP(E7139,DATABASE!C:Q,7,false)</f>
        <v>611109.16</v>
      </c>
      <c r="L7139" s="74">
        <v>588505.8</v>
      </c>
      <c r="M7139" s="74">
        <f t="shared" si="2"/>
        <v>590000</v>
      </c>
      <c r="N7139" s="74">
        <f t="shared" si="3"/>
        <v>360000</v>
      </c>
      <c r="O7139" s="65" t="str">
        <f>VLOOKUP(E7139,DATABASE!C:Q,8,false)</f>
        <v>IBU</v>
      </c>
      <c r="P7139" s="65">
        <f>VLOOKUP(E7139,DATABASE!C:Q,9,False)</f>
        <v>1</v>
      </c>
      <c r="Q7139" s="93" t="str">
        <f>VLOOKUP(E7139,DATABASE!C:Q,4,false)</f>
        <v>Bridgestone</v>
      </c>
      <c r="R7139" s="93" t="str">
        <f>VLOOKUP(E7139,DATABASE!C:Q,11,false)</f>
        <v>Tire</v>
      </c>
    </row>
    <row r="7140" ht="22.5" customHeight="1">
      <c r="A7140" s="49"/>
      <c r="C7140" s="400">
        <v>46075.0</v>
      </c>
      <c r="D7140" s="69">
        <v>414.0</v>
      </c>
      <c r="E7140" s="544" t="s">
        <v>299</v>
      </c>
      <c r="F7140" s="387">
        <v>1.0</v>
      </c>
      <c r="G7140" s="140">
        <v>25000.0</v>
      </c>
      <c r="H7140" s="74"/>
      <c r="I7140" s="74">
        <f t="shared" si="1"/>
        <v>25000</v>
      </c>
      <c r="J7140" s="74">
        <f>IF(E7140="SERVICE",I7140-(I7140*50%),Vlookup(E7140,DATABASE!C:Q,10,false)*F7140)</f>
        <v>0</v>
      </c>
      <c r="K7140" s="74">
        <f>VLOOKUP(E7140,DATABASE!C:Q,7,false)</f>
        <v>10000</v>
      </c>
      <c r="L7140" s="74">
        <v>10000.0</v>
      </c>
      <c r="M7140" s="74">
        <f t="shared" si="2"/>
        <v>10000</v>
      </c>
      <c r="N7140" s="74">
        <f t="shared" si="3"/>
        <v>15000</v>
      </c>
      <c r="O7140" s="65" t="str">
        <f>VLOOKUP(E7140,DATABASE!C:Q,8,false)</f>
        <v>BIAN</v>
      </c>
      <c r="P7140" s="65">
        <f>VLOOKUP(E7140,DATABASE!C:Q,9,False)</f>
        <v>0</v>
      </c>
      <c r="Q7140" s="93" t="str">
        <f>VLOOKUP(E7140,DATABASE!C:Q,4,false)</f>
        <v>Balancing</v>
      </c>
      <c r="R7140" s="93" t="str">
        <f>VLOOKUP(E7140,DATABASE!C:Q,11,false)</f>
        <v>COMPLEMENTARY</v>
      </c>
    </row>
    <row r="7141" ht="22.5" customHeight="1">
      <c r="A7141" s="49"/>
      <c r="C7141" s="400">
        <v>46075.0</v>
      </c>
      <c r="D7141" s="69">
        <v>415.0</v>
      </c>
      <c r="E7141" s="544" t="s">
        <v>268</v>
      </c>
      <c r="F7141" s="387">
        <v>1.0</v>
      </c>
      <c r="G7141" s="140">
        <v>710000.0</v>
      </c>
      <c r="H7141" s="74"/>
      <c r="I7141" s="74">
        <f t="shared" si="1"/>
        <v>710000</v>
      </c>
      <c r="J7141" s="74">
        <f>IF(E7141="SERVICE",I7141-(I7141*50%),Vlookup(E7141,DATABASE!C:Q,10,false)*F7141)</f>
        <v>0</v>
      </c>
      <c r="K7141" s="74">
        <f>VLOOKUP(E7141,DATABASE!C:Q,7,false)</f>
        <v>653000</v>
      </c>
      <c r="L7141" s="74">
        <v>622000.0</v>
      </c>
      <c r="M7141" s="74">
        <f t="shared" si="2"/>
        <v>625000</v>
      </c>
      <c r="N7141" s="74">
        <f t="shared" si="3"/>
        <v>85000</v>
      </c>
      <c r="O7141" s="65" t="str">
        <f>VLOOKUP(E7141,DATABASE!C:Q,8,false)</f>
        <v>IBU</v>
      </c>
      <c r="P7141" s="65">
        <f>VLOOKUP(E7141,DATABASE!C:Q,9,False)</f>
        <v>1</v>
      </c>
      <c r="Q7141" s="93" t="str">
        <f>VLOOKUP(E7141,DATABASE!C:Q,4,false)</f>
        <v>Dunlop</v>
      </c>
      <c r="R7141" s="93" t="str">
        <f>VLOOKUP(E7141,DATABASE!C:Q,11,false)</f>
        <v>Tire</v>
      </c>
    </row>
    <row r="7142" ht="22.5" customHeight="1">
      <c r="A7142" s="49"/>
      <c r="C7142" s="400">
        <v>46075.0</v>
      </c>
      <c r="D7142" s="69">
        <v>416.0</v>
      </c>
      <c r="E7142" s="544" t="s">
        <v>937</v>
      </c>
      <c r="F7142" s="387">
        <v>1.0</v>
      </c>
      <c r="G7142" s="140">
        <v>910000.0</v>
      </c>
      <c r="H7142" s="74"/>
      <c r="I7142" s="74">
        <f t="shared" si="1"/>
        <v>910000</v>
      </c>
      <c r="J7142" s="74">
        <f>IF(E7142="SERVICE",I7142-(I7142*50%),Vlookup(E7142,DATABASE!C:Q,10,false)*F7142)</f>
        <v>0</v>
      </c>
      <c r="K7142" s="74">
        <f>VLOOKUP(E7142,DATABASE!C:Q,7,false)</f>
        <v>825000</v>
      </c>
      <c r="L7142" s="74">
        <v>815000.0</v>
      </c>
      <c r="M7142" s="74">
        <f t="shared" si="2"/>
        <v>815000</v>
      </c>
      <c r="N7142" s="74">
        <f t="shared" si="3"/>
        <v>95000</v>
      </c>
      <c r="O7142" s="65" t="str">
        <f>VLOOKUP(E7142,DATABASE!C:Q,8,false)</f>
        <v>IBU</v>
      </c>
      <c r="P7142" s="65">
        <f>VLOOKUP(E7142,DATABASE!C:Q,9,False)</f>
        <v>1</v>
      </c>
      <c r="Q7142" s="93" t="str">
        <f>VLOOKUP(E7142,DATABASE!C:Q,4,false)</f>
        <v>Bridgestone</v>
      </c>
      <c r="R7142" s="93" t="str">
        <f>VLOOKUP(E7142,DATABASE!C:Q,11,false)</f>
        <v>Tire</v>
      </c>
    </row>
    <row r="7143" ht="22.5" customHeight="1">
      <c r="A7143" s="49"/>
      <c r="C7143" s="400">
        <v>46075.0</v>
      </c>
      <c r="D7143" s="69" t="s">
        <v>2714</v>
      </c>
      <c r="E7143" s="544" t="s">
        <v>263</v>
      </c>
      <c r="F7143" s="387">
        <v>1.0</v>
      </c>
      <c r="G7143" s="140">
        <v>320000.0</v>
      </c>
      <c r="H7143" s="74"/>
      <c r="I7143" s="74">
        <f t="shared" si="1"/>
        <v>320000</v>
      </c>
      <c r="J7143" s="74">
        <f>IF(E7143="SERVICE",I7143-(I7143*50%),Vlookup(E7143,DATABASE!C:Q,10,false)*F7143)</f>
        <v>0</v>
      </c>
      <c r="K7143" s="74">
        <f>VLOOKUP(E7143,DATABASE!C:Q,7,false)</f>
        <v>334916</v>
      </c>
      <c r="L7143" s="74">
        <v>287688.0</v>
      </c>
      <c r="M7143" s="74">
        <f t="shared" si="2"/>
        <v>290000</v>
      </c>
      <c r="N7143" s="74">
        <f t="shared" si="3"/>
        <v>30000</v>
      </c>
      <c r="O7143" s="65" t="str">
        <f>VLOOKUP(E7143,DATABASE!C:Q,8,false)</f>
        <v>NON</v>
      </c>
      <c r="P7143" s="65">
        <f>VLOOKUP(E7143,DATABASE!C:Q,9,False)</f>
        <v>0</v>
      </c>
      <c r="Q7143" s="93" t="str">
        <f>VLOOKUP(E7143,DATABASE!C:Q,4,false)</f>
        <v>Shell</v>
      </c>
      <c r="R7143" s="93" t="str">
        <f>VLOOKUP(E7143,DATABASE!C:Q,11,false)</f>
        <v>OIL</v>
      </c>
    </row>
    <row r="7144" ht="22.5" customHeight="1">
      <c r="A7144" s="49"/>
      <c r="C7144" s="400">
        <v>46075.0</v>
      </c>
      <c r="D7144" s="69" t="s">
        <v>2715</v>
      </c>
      <c r="E7144" s="544" t="s">
        <v>248</v>
      </c>
      <c r="F7144" s="387">
        <v>1.0</v>
      </c>
      <c r="G7144" s="140">
        <v>190000.0</v>
      </c>
      <c r="H7144" s="74"/>
      <c r="I7144" s="74">
        <f t="shared" si="1"/>
        <v>190000</v>
      </c>
      <c r="J7144" s="74">
        <f>IF(E7144="SERVICE",I7144-(I7144*50%),Vlookup(E7144,DATABASE!C:Q,10,false)*F7144)</f>
        <v>0</v>
      </c>
      <c r="K7144" s="74">
        <f>VLOOKUP(E7144,DATABASE!C:Q,7,false)</f>
        <v>209816.66</v>
      </c>
      <c r="L7144" s="74">
        <v>160833.0</v>
      </c>
      <c r="M7144" s="74">
        <f t="shared" si="2"/>
        <v>165000</v>
      </c>
      <c r="N7144" s="74">
        <f t="shared" si="3"/>
        <v>25000</v>
      </c>
      <c r="O7144" s="65" t="str">
        <f>VLOOKUP(E7144,DATABASE!C:Q,8,false)</f>
        <v>NON</v>
      </c>
      <c r="P7144" s="65">
        <f>VLOOKUP(E7144,DATABASE!C:Q,9,False)</f>
        <v>0</v>
      </c>
      <c r="Q7144" s="93" t="str">
        <f>VLOOKUP(E7144,DATABASE!C:Q,4,false)</f>
        <v>Pertamina</v>
      </c>
      <c r="R7144" s="93" t="str">
        <f>VLOOKUP(E7144,DATABASE!C:Q,11,false)</f>
        <v>OIL</v>
      </c>
    </row>
    <row r="7145" ht="22.5" customHeight="1">
      <c r="A7145" s="49"/>
      <c r="C7145" s="400">
        <v>46076.0</v>
      </c>
      <c r="D7145" s="524">
        <v>417.0</v>
      </c>
      <c r="E7145" s="544" t="s">
        <v>265</v>
      </c>
      <c r="F7145" s="387">
        <v>1.0</v>
      </c>
      <c r="G7145" s="140">
        <v>685000.0</v>
      </c>
      <c r="H7145" s="74"/>
      <c r="I7145" s="74">
        <f t="shared" si="1"/>
        <v>685000</v>
      </c>
      <c r="J7145" s="74">
        <f>IF(E7145="SERVICE",I7145-(I7145*50%),Vlookup(E7145,DATABASE!C:Q,10,false)*F7145)</f>
        <v>0</v>
      </c>
      <c r="K7145" s="74">
        <f>VLOOKUP(E7145,DATABASE!C:Q,7,false)</f>
        <v>628000</v>
      </c>
      <c r="L7145" s="74">
        <v>600000.0</v>
      </c>
      <c r="M7145" s="74">
        <f t="shared" si="2"/>
        <v>600000</v>
      </c>
      <c r="N7145" s="74">
        <f t="shared" si="3"/>
        <v>85000</v>
      </c>
      <c r="O7145" s="65" t="str">
        <f>VLOOKUP(E7145,DATABASE!C:Q,8,false)</f>
        <v>IBU</v>
      </c>
      <c r="P7145" s="65">
        <f>VLOOKUP(E7145,DATABASE!C:Q,9,False)</f>
        <v>1</v>
      </c>
      <c r="Q7145" s="93" t="str">
        <f>VLOOKUP(E7145,DATABASE!C:Q,4,false)</f>
        <v>Dunlop</v>
      </c>
      <c r="R7145" s="93" t="str">
        <f>VLOOKUP(E7145,DATABASE!C:Q,11,false)</f>
        <v>Tire</v>
      </c>
    </row>
    <row r="7146" ht="22.5" customHeight="1">
      <c r="A7146" s="49"/>
      <c r="C7146" s="400">
        <v>46076.0</v>
      </c>
      <c r="D7146" s="524">
        <v>418.0</v>
      </c>
      <c r="E7146" s="544" t="s">
        <v>554</v>
      </c>
      <c r="F7146" s="387">
        <v>2.0</v>
      </c>
      <c r="G7146" s="140">
        <v>790000.0</v>
      </c>
      <c r="H7146" s="74"/>
      <c r="I7146" s="74">
        <f t="shared" si="1"/>
        <v>1580000</v>
      </c>
      <c r="J7146" s="74">
        <f>IF(E7146="SERVICE",I7146-(I7146*50%),Vlookup(E7146,DATABASE!C:Q,10,false)*F7146)</f>
        <v>0</v>
      </c>
      <c r="K7146" s="74">
        <f>VLOOKUP(E7146,DATABASE!C:Q,7,false)</f>
        <v>710000</v>
      </c>
      <c r="L7146" s="74">
        <v>705000.0</v>
      </c>
      <c r="M7146" s="74">
        <f t="shared" si="2"/>
        <v>705000</v>
      </c>
      <c r="N7146" s="74">
        <f t="shared" si="3"/>
        <v>170000</v>
      </c>
      <c r="O7146" s="65" t="str">
        <f>VLOOKUP(E7146,DATABASE!C:Q,8,false)</f>
        <v>IBU</v>
      </c>
      <c r="P7146" s="65">
        <f>VLOOKUP(E7146,DATABASE!C:Q,9,False)</f>
        <v>1</v>
      </c>
      <c r="Q7146" s="93" t="str">
        <f>VLOOKUP(E7146,DATABASE!C:Q,4,false)</f>
        <v>Bridgestone</v>
      </c>
      <c r="R7146" s="93" t="str">
        <f>VLOOKUP(E7146,DATABASE!C:Q,11,false)</f>
        <v>Tire</v>
      </c>
    </row>
    <row r="7147" ht="22.5" customHeight="1">
      <c r="A7147" s="49"/>
      <c r="C7147" s="400">
        <v>46076.0</v>
      </c>
      <c r="D7147" s="524">
        <v>419.0</v>
      </c>
      <c r="E7147" s="544" t="s">
        <v>2199</v>
      </c>
      <c r="F7147" s="387">
        <v>2.0</v>
      </c>
      <c r="G7147" s="140">
        <v>15000.0</v>
      </c>
      <c r="H7147" s="74"/>
      <c r="I7147" s="74">
        <f t="shared" si="1"/>
        <v>30000</v>
      </c>
      <c r="J7147" s="74">
        <f>IF(E7147="SERVICE",I7147-(I7147*50%),Vlookup(E7147,DATABASE!C:Q,10,false)*F7147)</f>
        <v>0</v>
      </c>
      <c r="K7147" s="74">
        <f>VLOOKUP(E7147,DATABASE!C:Q,7,false)</f>
        <v>5000</v>
      </c>
      <c r="L7147" s="74">
        <v>0.0</v>
      </c>
      <c r="M7147" s="74">
        <f t="shared" si="2"/>
        <v>0</v>
      </c>
      <c r="N7147" s="74">
        <f t="shared" si="3"/>
        <v>30000</v>
      </c>
      <c r="O7147" s="65" t="str">
        <f>VLOOKUP(E7147,DATABASE!C:Q,8,false)</f>
        <v>BIAN</v>
      </c>
      <c r="P7147" s="65">
        <f>VLOOKUP(E7147,DATABASE!C:Q,9,False)</f>
        <v>0</v>
      </c>
      <c r="Q7147" s="93" t="str">
        <f>VLOOKUP(E7147,DATABASE!C:Q,4,false)</f>
        <v>TAMBAL TUBLES</v>
      </c>
      <c r="R7147" s="93" t="str">
        <f>VLOOKUP(E7147,DATABASE!C:Q,11,false)</f>
        <v>COMPLEMENTARY</v>
      </c>
    </row>
    <row r="7148" ht="22.5" customHeight="1">
      <c r="A7148" s="49"/>
      <c r="C7148" s="400">
        <v>46076.0</v>
      </c>
      <c r="D7148" s="69">
        <v>420.0</v>
      </c>
      <c r="E7148" s="544" t="s">
        <v>777</v>
      </c>
      <c r="F7148" s="387">
        <v>2.0</v>
      </c>
      <c r="G7148" s="140">
        <v>590000.0</v>
      </c>
      <c r="H7148" s="74"/>
      <c r="I7148" s="74">
        <f t="shared" si="1"/>
        <v>1180000</v>
      </c>
      <c r="J7148" s="74">
        <f>IF(E7148="SERVICE",I7148-(I7148*50%),Vlookup(E7148,DATABASE!C:Q,10,false)*F7148)</f>
        <v>0</v>
      </c>
      <c r="K7148" s="74">
        <f>VLOOKUP(E7148,DATABASE!C:Q,7,false)</f>
        <v>540000</v>
      </c>
      <c r="L7148" s="74">
        <v>507000.0</v>
      </c>
      <c r="M7148" s="74">
        <f t="shared" si="2"/>
        <v>510000</v>
      </c>
      <c r="N7148" s="74">
        <f t="shared" si="3"/>
        <v>160000</v>
      </c>
      <c r="O7148" s="65" t="str">
        <f>VLOOKUP(E7148,DATABASE!C:Q,8,false)</f>
        <v>BIAN</v>
      </c>
      <c r="P7148" s="65">
        <f>VLOOKUP(E7148,DATABASE!C:Q,9,False)</f>
        <v>1</v>
      </c>
      <c r="Q7148" s="93" t="str">
        <f>VLOOKUP(E7148,DATABASE!C:Q,4,false)</f>
        <v>GT</v>
      </c>
      <c r="R7148" s="93" t="str">
        <f>VLOOKUP(E7148,DATABASE!C:Q,11,false)</f>
        <v>Tire</v>
      </c>
    </row>
    <row r="7149" ht="22.5" customHeight="1">
      <c r="A7149" s="49"/>
      <c r="C7149" s="400">
        <v>46076.0</v>
      </c>
      <c r="D7149" s="69">
        <v>421.0</v>
      </c>
      <c r="E7149" s="544" t="s">
        <v>1530</v>
      </c>
      <c r="F7149" s="387">
        <v>1.0</v>
      </c>
      <c r="G7149" s="140">
        <v>560000.0</v>
      </c>
      <c r="H7149" s="74"/>
      <c r="I7149" s="74">
        <f t="shared" si="1"/>
        <v>560000</v>
      </c>
      <c r="J7149" s="74">
        <f>IF(E7149="SERVICE",I7149-(I7149*50%),Vlookup(E7149,DATABASE!C:Q,10,false)*F7149)</f>
        <v>0</v>
      </c>
      <c r="K7149" s="74">
        <f>VLOOKUP(E7149,DATABASE!C:Q,7,false)</f>
        <v>467000</v>
      </c>
      <c r="L7149" s="74">
        <v>467000.0</v>
      </c>
      <c r="M7149" s="74">
        <f t="shared" si="2"/>
        <v>470000</v>
      </c>
      <c r="N7149" s="74">
        <f t="shared" si="3"/>
        <v>90000</v>
      </c>
      <c r="O7149" s="65" t="str">
        <f>VLOOKUP(E7149,DATABASE!C:Q,8,false)</f>
        <v>BIAN</v>
      </c>
      <c r="P7149" s="65">
        <f>VLOOKUP(E7149,DATABASE!C:Q,9,False)</f>
        <v>1</v>
      </c>
      <c r="Q7149" s="93" t="str">
        <f>VLOOKUP(E7149,DATABASE!C:Q,4,false)</f>
        <v>Laufen</v>
      </c>
      <c r="R7149" s="93" t="str">
        <f>VLOOKUP(E7149,DATABASE!C:Q,11,false)</f>
        <v>Tire</v>
      </c>
    </row>
    <row r="7150" ht="22.5" customHeight="1">
      <c r="A7150" s="49"/>
      <c r="C7150" s="400">
        <v>46077.0</v>
      </c>
      <c r="D7150" s="524">
        <v>425.0</v>
      </c>
      <c r="E7150" s="544" t="s">
        <v>940</v>
      </c>
      <c r="F7150" s="387">
        <v>1.0</v>
      </c>
      <c r="G7150" s="140">
        <v>820000.0</v>
      </c>
      <c r="H7150" s="140">
        <v>0.0</v>
      </c>
      <c r="I7150" s="74">
        <f t="shared" si="1"/>
        <v>820000</v>
      </c>
      <c r="J7150" s="74">
        <f>IF(E7150="SERVICE",I7150-(I7150*50%),Vlookup(E7150,DATABASE!C:Q,10,false)*F7150)</f>
        <v>0</v>
      </c>
      <c r="K7150" s="74">
        <f>VLOOKUP(E7150,DATABASE!C:Q,7,false)</f>
        <v>716500</v>
      </c>
      <c r="L7150" s="74">
        <v>716500.0</v>
      </c>
      <c r="M7150" s="74">
        <f t="shared" si="2"/>
        <v>720000</v>
      </c>
      <c r="N7150" s="74">
        <f t="shared" si="3"/>
        <v>100000</v>
      </c>
      <c r="O7150" s="65" t="str">
        <f>VLOOKUP(E7150,DATABASE!C:Q,8,false)</f>
        <v>IBU</v>
      </c>
      <c r="P7150" s="65">
        <f>VLOOKUP(E7150,DATABASE!C:Q,9,False)</f>
        <v>1</v>
      </c>
      <c r="Q7150" s="93" t="str">
        <f>VLOOKUP(E7150,DATABASE!C:Q,4,false)</f>
        <v>Dunlop</v>
      </c>
      <c r="R7150" s="93" t="str">
        <f>VLOOKUP(E7150,DATABASE!C:Q,11,false)</f>
        <v>Tire</v>
      </c>
    </row>
    <row r="7151" ht="22.5" customHeight="1">
      <c r="A7151" s="49"/>
      <c r="C7151" s="400">
        <v>46077.0</v>
      </c>
      <c r="D7151" s="524">
        <v>426.0</v>
      </c>
      <c r="E7151" s="544" t="s">
        <v>940</v>
      </c>
      <c r="F7151" s="387">
        <v>4.0</v>
      </c>
      <c r="G7151" s="140">
        <v>820000.0</v>
      </c>
      <c r="H7151" s="74"/>
      <c r="I7151" s="74">
        <f t="shared" si="1"/>
        <v>3280000</v>
      </c>
      <c r="J7151" s="74">
        <f>IF(E7151="SERVICE",I7151-(I7151*50%),Vlookup(E7151,DATABASE!C:Q,10,false)*F7151)</f>
        <v>0</v>
      </c>
      <c r="K7151" s="74">
        <f>VLOOKUP(E7151,DATABASE!C:Q,7,false)</f>
        <v>716500</v>
      </c>
      <c r="L7151" s="74">
        <v>716500.0</v>
      </c>
      <c r="M7151" s="74">
        <f t="shared" si="2"/>
        <v>720000</v>
      </c>
      <c r="N7151" s="74">
        <f t="shared" si="3"/>
        <v>400000</v>
      </c>
      <c r="O7151" s="65" t="str">
        <f>VLOOKUP(E7151,DATABASE!C:Q,8,false)</f>
        <v>IBU</v>
      </c>
      <c r="P7151" s="65">
        <f>VLOOKUP(E7151,DATABASE!C:Q,9,False)</f>
        <v>1</v>
      </c>
      <c r="Q7151" s="93" t="str">
        <f>VLOOKUP(E7151,DATABASE!C:Q,4,false)</f>
        <v>Dunlop</v>
      </c>
      <c r="R7151" s="93" t="str">
        <f>VLOOKUP(E7151,DATABASE!C:Q,11,false)</f>
        <v>Tire</v>
      </c>
    </row>
    <row r="7152" ht="22.5" customHeight="1">
      <c r="A7152" s="49"/>
      <c r="C7152" s="400">
        <v>46077.0</v>
      </c>
      <c r="D7152" s="524">
        <v>426.0</v>
      </c>
      <c r="E7152" s="544" t="s">
        <v>299</v>
      </c>
      <c r="F7152" s="387">
        <v>2.0</v>
      </c>
      <c r="G7152" s="140">
        <v>30000.0</v>
      </c>
      <c r="H7152" s="74"/>
      <c r="I7152" s="74">
        <f t="shared" si="1"/>
        <v>60000</v>
      </c>
      <c r="J7152" s="74">
        <f>IF(E7152="SERVICE",I7152-(I7152*50%),Vlookup(E7152,DATABASE!C:Q,10,false)*F7152)</f>
        <v>0</v>
      </c>
      <c r="K7152" s="74">
        <f>VLOOKUP(E7152,DATABASE!C:Q,7,false)</f>
        <v>10000</v>
      </c>
      <c r="L7152" s="74">
        <v>10000.0</v>
      </c>
      <c r="M7152" s="74">
        <f t="shared" si="2"/>
        <v>10000</v>
      </c>
      <c r="N7152" s="74">
        <f t="shared" si="3"/>
        <v>40000</v>
      </c>
      <c r="O7152" s="65" t="str">
        <f>VLOOKUP(E7152,DATABASE!C:Q,8,false)</f>
        <v>BIAN</v>
      </c>
      <c r="P7152" s="65">
        <f>VLOOKUP(E7152,DATABASE!C:Q,9,False)</f>
        <v>0</v>
      </c>
      <c r="Q7152" s="93" t="str">
        <f>VLOOKUP(E7152,DATABASE!C:Q,4,false)</f>
        <v>Balancing</v>
      </c>
      <c r="R7152" s="93" t="str">
        <f>VLOOKUP(E7152,DATABASE!C:Q,11,false)</f>
        <v>COMPLEMENTARY</v>
      </c>
    </row>
    <row r="7153" ht="22.5" customHeight="1">
      <c r="A7153" s="49"/>
      <c r="C7153" s="400">
        <v>46077.0</v>
      </c>
      <c r="D7153" s="524">
        <v>427.0</v>
      </c>
      <c r="E7153" s="544" t="s">
        <v>1862</v>
      </c>
      <c r="F7153" s="387">
        <v>2.0</v>
      </c>
      <c r="G7153" s="140">
        <v>2150000.0</v>
      </c>
      <c r="H7153" s="140">
        <v>10000.0</v>
      </c>
      <c r="I7153" s="74">
        <f t="shared" si="1"/>
        <v>4280000</v>
      </c>
      <c r="J7153" s="74">
        <f>IF(E7153="SERVICE",I7153-(I7153*50%),Vlookup(E7153,DATABASE!C:Q,10,false)*F7153)</f>
        <v>0</v>
      </c>
      <c r="K7153" s="74">
        <f>VLOOKUP(E7153,DATABASE!C:Q,7,false)</f>
        <v>2080000</v>
      </c>
      <c r="L7153" s="74">
        <v>2050000.0</v>
      </c>
      <c r="M7153" s="74">
        <f t="shared" si="2"/>
        <v>2050000</v>
      </c>
      <c r="N7153" s="74">
        <f t="shared" si="3"/>
        <v>180000</v>
      </c>
      <c r="O7153" s="65" t="str">
        <f>VLOOKUP(E7153,DATABASE!C:Q,8,false)</f>
        <v>BIAN</v>
      </c>
      <c r="P7153" s="65">
        <f>VLOOKUP(E7153,DATABASE!C:Q,9,False)</f>
        <v>1</v>
      </c>
      <c r="Q7153" s="93" t="str">
        <f>VLOOKUP(E7153,DATABASE!C:Q,4,false)</f>
        <v>GiTi</v>
      </c>
      <c r="R7153" s="93" t="str">
        <f>VLOOKUP(E7153,DATABASE!C:Q,11,false)</f>
        <v>Tire</v>
      </c>
    </row>
    <row r="7154" ht="22.5" customHeight="1">
      <c r="A7154" s="49"/>
      <c r="C7154" s="400">
        <v>46077.0</v>
      </c>
      <c r="D7154" s="524">
        <v>428.0</v>
      </c>
      <c r="E7154" s="544" t="s">
        <v>940</v>
      </c>
      <c r="F7154" s="387">
        <v>1.0</v>
      </c>
      <c r="G7154" s="140">
        <v>820000.0</v>
      </c>
      <c r="H7154" s="74"/>
      <c r="I7154" s="74">
        <f t="shared" si="1"/>
        <v>820000</v>
      </c>
      <c r="J7154" s="74">
        <f>IF(E7154="SERVICE",I7154-(I7154*50%),Vlookup(E7154,DATABASE!C:Q,10,false)*F7154)</f>
        <v>0</v>
      </c>
      <c r="K7154" s="74">
        <f>VLOOKUP(E7154,DATABASE!C:Q,7,false)</f>
        <v>716500</v>
      </c>
      <c r="L7154" s="74">
        <v>716500.0</v>
      </c>
      <c r="M7154" s="74">
        <f t="shared" si="2"/>
        <v>720000</v>
      </c>
      <c r="N7154" s="74">
        <f t="shared" si="3"/>
        <v>100000</v>
      </c>
      <c r="O7154" s="65" t="str">
        <f>VLOOKUP(E7154,DATABASE!C:Q,8,false)</f>
        <v>IBU</v>
      </c>
      <c r="P7154" s="65">
        <f>VLOOKUP(E7154,DATABASE!C:Q,9,False)</f>
        <v>1</v>
      </c>
      <c r="Q7154" s="93" t="str">
        <f>VLOOKUP(E7154,DATABASE!C:Q,4,false)</f>
        <v>Dunlop</v>
      </c>
      <c r="R7154" s="93" t="str">
        <f>VLOOKUP(E7154,DATABASE!C:Q,11,false)</f>
        <v>Tire</v>
      </c>
    </row>
    <row r="7155" ht="22.5" customHeight="1">
      <c r="A7155" s="49"/>
      <c r="C7155" s="400">
        <v>46077.0</v>
      </c>
      <c r="D7155" s="524">
        <v>429.0</v>
      </c>
      <c r="E7155" s="544" t="s">
        <v>265</v>
      </c>
      <c r="F7155" s="387">
        <v>1.0</v>
      </c>
      <c r="G7155" s="140">
        <v>685000.0</v>
      </c>
      <c r="H7155" s="74"/>
      <c r="I7155" s="74">
        <f t="shared" si="1"/>
        <v>685000</v>
      </c>
      <c r="J7155" s="74">
        <f>IF(E7155="SERVICE",I7155-(I7155*50%),Vlookup(E7155,DATABASE!C:Q,10,false)*F7155)</f>
        <v>0</v>
      </c>
      <c r="K7155" s="74">
        <f>VLOOKUP(E7155,DATABASE!C:Q,7,false)</f>
        <v>628000</v>
      </c>
      <c r="L7155" s="74">
        <v>600000.0</v>
      </c>
      <c r="M7155" s="74">
        <f t="shared" si="2"/>
        <v>600000</v>
      </c>
      <c r="N7155" s="74">
        <f t="shared" si="3"/>
        <v>85000</v>
      </c>
      <c r="O7155" s="65" t="str">
        <f>VLOOKUP(E7155,DATABASE!C:Q,8,false)</f>
        <v>IBU</v>
      </c>
      <c r="P7155" s="65">
        <f>VLOOKUP(E7155,DATABASE!C:Q,9,False)</f>
        <v>1</v>
      </c>
      <c r="Q7155" s="93" t="str">
        <f>VLOOKUP(E7155,DATABASE!C:Q,4,false)</f>
        <v>Dunlop</v>
      </c>
      <c r="R7155" s="93" t="str">
        <f>VLOOKUP(E7155,DATABASE!C:Q,11,false)</f>
        <v>Tire</v>
      </c>
    </row>
    <row r="7156" ht="22.5" customHeight="1">
      <c r="A7156" s="49"/>
      <c r="C7156" s="400">
        <v>46077.0</v>
      </c>
      <c r="D7156" s="524">
        <v>431.0</v>
      </c>
      <c r="E7156" s="544" t="s">
        <v>268</v>
      </c>
      <c r="F7156" s="387">
        <v>2.0</v>
      </c>
      <c r="G7156" s="140">
        <v>710000.0</v>
      </c>
      <c r="H7156" s="74"/>
      <c r="I7156" s="74">
        <f t="shared" si="1"/>
        <v>1420000</v>
      </c>
      <c r="J7156" s="74">
        <f>IF(E7156="SERVICE",I7156-(I7156*50%),Vlookup(E7156,DATABASE!C:Q,10,false)*F7156)</f>
        <v>0</v>
      </c>
      <c r="K7156" s="74">
        <f>VLOOKUP(E7156,DATABASE!C:Q,7,false)</f>
        <v>653000</v>
      </c>
      <c r="L7156" s="74">
        <v>622000.0</v>
      </c>
      <c r="M7156" s="74">
        <f t="shared" si="2"/>
        <v>625000</v>
      </c>
      <c r="N7156" s="74">
        <f t="shared" si="3"/>
        <v>170000</v>
      </c>
      <c r="O7156" s="65" t="str">
        <f>VLOOKUP(E7156,DATABASE!C:Q,8,false)</f>
        <v>IBU</v>
      </c>
      <c r="P7156" s="65">
        <f>VLOOKUP(E7156,DATABASE!C:Q,9,False)</f>
        <v>1</v>
      </c>
      <c r="Q7156" s="93" t="str">
        <f>VLOOKUP(E7156,DATABASE!C:Q,4,false)</f>
        <v>Dunlop</v>
      </c>
      <c r="R7156" s="93" t="str">
        <f>VLOOKUP(E7156,DATABASE!C:Q,11,false)</f>
        <v>Tire</v>
      </c>
    </row>
    <row r="7157" ht="22.5" customHeight="1">
      <c r="A7157" s="49"/>
      <c r="C7157" s="400">
        <v>46077.0</v>
      </c>
      <c r="D7157" s="524">
        <v>432.0</v>
      </c>
      <c r="E7157" s="544" t="s">
        <v>246</v>
      </c>
      <c r="F7157" s="387">
        <v>2.0</v>
      </c>
      <c r="G7157" s="140">
        <v>35000.0</v>
      </c>
      <c r="H7157" s="140">
        <v>5000.0</v>
      </c>
      <c r="I7157" s="74">
        <f t="shared" si="1"/>
        <v>60000</v>
      </c>
      <c r="J7157" s="74">
        <f>IF(E7157="SERVICE",I7157-(I7157*50%),Vlookup(E7157,DATABASE!C:Q,10,false)*F7157)</f>
        <v>0</v>
      </c>
      <c r="K7157" s="74">
        <f>VLOOKUP(E7157,DATABASE!C:Q,7,false)</f>
        <v>0</v>
      </c>
      <c r="L7157" s="74">
        <v>0.0</v>
      </c>
      <c r="M7157" s="74">
        <f t="shared" si="2"/>
        <v>0</v>
      </c>
      <c r="N7157" s="74">
        <f t="shared" si="3"/>
        <v>60000</v>
      </c>
      <c r="O7157" s="65" t="str">
        <f>VLOOKUP(E7157,DATABASE!C:Q,8,false)</f>
        <v>IBU</v>
      </c>
      <c r="P7157" s="65">
        <f>VLOOKUP(E7157,DATABASE!C:Q,9,False)</f>
        <v>0</v>
      </c>
      <c r="Q7157" s="93" t="str">
        <f>VLOOKUP(E7157,DATABASE!C:Q,4,false)</f>
        <v>Bongkar Pasang</v>
      </c>
      <c r="R7157" s="93" t="str">
        <f>VLOOKUP(E7157,DATABASE!C:Q,11,false)</f>
        <v>SERVICE</v>
      </c>
    </row>
    <row r="7158" ht="22.5" customHeight="1">
      <c r="A7158" s="49"/>
      <c r="C7158" s="400">
        <v>46078.0</v>
      </c>
      <c r="D7158" s="524">
        <v>433.0</v>
      </c>
      <c r="E7158" s="544" t="s">
        <v>275</v>
      </c>
      <c r="F7158" s="387">
        <v>2.0</v>
      </c>
      <c r="G7158" s="140">
        <v>830000.0</v>
      </c>
      <c r="H7158" s="74"/>
      <c r="I7158" s="74">
        <f t="shared" si="1"/>
        <v>1660000</v>
      </c>
      <c r="J7158" s="74">
        <f>IF(E7158="SERVICE",I7158-(I7158*50%),Vlookup(E7158,DATABASE!C:Q,10,false)*F7158)</f>
        <v>0</v>
      </c>
      <c r="K7158" s="74">
        <f>VLOOKUP(E7158,DATABASE!C:Q,7,false)</f>
        <v>782000</v>
      </c>
      <c r="L7158" s="74">
        <v>745000.0</v>
      </c>
      <c r="M7158" s="74">
        <f t="shared" si="2"/>
        <v>745000</v>
      </c>
      <c r="N7158" s="74">
        <f t="shared" si="3"/>
        <v>170000</v>
      </c>
      <c r="O7158" s="65" t="str">
        <f>VLOOKUP(E7158,DATABASE!C:Q,8,false)</f>
        <v>IBU</v>
      </c>
      <c r="P7158" s="65">
        <f>VLOOKUP(E7158,DATABASE!C:Q,9,False)</f>
        <v>1</v>
      </c>
      <c r="Q7158" s="93" t="str">
        <f>VLOOKUP(E7158,DATABASE!C:Q,4,false)</f>
        <v>Dunlop</v>
      </c>
      <c r="R7158" s="93" t="str">
        <f>VLOOKUP(E7158,DATABASE!C:Q,11,false)</f>
        <v>Tire</v>
      </c>
    </row>
    <row r="7159" ht="22.5" customHeight="1">
      <c r="A7159" s="49"/>
      <c r="C7159" s="400">
        <v>46078.0</v>
      </c>
      <c r="D7159" s="524">
        <v>434.0</v>
      </c>
      <c r="E7159" s="544" t="s">
        <v>265</v>
      </c>
      <c r="F7159" s="387">
        <v>2.0</v>
      </c>
      <c r="G7159" s="140">
        <v>685000.0</v>
      </c>
      <c r="H7159" s="74"/>
      <c r="I7159" s="74">
        <f t="shared" si="1"/>
        <v>1370000</v>
      </c>
      <c r="J7159" s="74">
        <f>IF(E7159="SERVICE",I7159-(I7159*50%),Vlookup(E7159,DATABASE!C:Q,10,false)*F7159)</f>
        <v>0</v>
      </c>
      <c r="K7159" s="74">
        <f>VLOOKUP(E7159,DATABASE!C:Q,7,false)</f>
        <v>628000</v>
      </c>
      <c r="L7159" s="74">
        <v>600000.0</v>
      </c>
      <c r="M7159" s="74">
        <f t="shared" si="2"/>
        <v>600000</v>
      </c>
      <c r="N7159" s="74">
        <f t="shared" si="3"/>
        <v>170000</v>
      </c>
      <c r="O7159" s="65" t="str">
        <f>VLOOKUP(E7159,DATABASE!C:Q,8,false)</f>
        <v>IBU</v>
      </c>
      <c r="P7159" s="65">
        <f>VLOOKUP(E7159,DATABASE!C:Q,9,False)</f>
        <v>1</v>
      </c>
      <c r="Q7159" s="93" t="str">
        <f>VLOOKUP(E7159,DATABASE!C:Q,4,false)</f>
        <v>Dunlop</v>
      </c>
      <c r="R7159" s="93" t="str">
        <f>VLOOKUP(E7159,DATABASE!C:Q,11,false)</f>
        <v>Tire</v>
      </c>
    </row>
    <row r="7160" ht="22.5" customHeight="1">
      <c r="A7160" s="49"/>
      <c r="C7160" s="400">
        <v>46078.0</v>
      </c>
      <c r="D7160" s="524">
        <v>435.0</v>
      </c>
      <c r="E7160" s="544" t="s">
        <v>932</v>
      </c>
      <c r="F7160" s="387">
        <v>3.0</v>
      </c>
      <c r="G7160" s="140">
        <v>680000.0</v>
      </c>
      <c r="H7160" s="74"/>
      <c r="I7160" s="74">
        <f t="shared" si="1"/>
        <v>2040000</v>
      </c>
      <c r="J7160" s="74">
        <f>IF(E7160="SERVICE",I7160-(I7160*50%),Vlookup(E7160,DATABASE!C:Q,10,false)*F7160)</f>
        <v>0</v>
      </c>
      <c r="K7160" s="74">
        <f>VLOOKUP(E7160,DATABASE!C:Q,7,false)</f>
        <v>601000</v>
      </c>
      <c r="L7160" s="74">
        <v>595000.0</v>
      </c>
      <c r="M7160" s="74">
        <f t="shared" si="2"/>
        <v>595000</v>
      </c>
      <c r="N7160" s="74">
        <f t="shared" si="3"/>
        <v>255000</v>
      </c>
      <c r="O7160" s="65" t="str">
        <f>VLOOKUP(E7160,DATABASE!C:Q,8,false)</f>
        <v>IBU</v>
      </c>
      <c r="P7160" s="65">
        <f>VLOOKUP(E7160,DATABASE!C:Q,9,False)</f>
        <v>1</v>
      </c>
      <c r="Q7160" s="93" t="str">
        <f>VLOOKUP(E7160,DATABASE!C:Q,4,false)</f>
        <v>Dunlop</v>
      </c>
      <c r="R7160" s="93" t="str">
        <f>VLOOKUP(E7160,DATABASE!C:Q,11,false)</f>
        <v>Tire</v>
      </c>
    </row>
    <row r="7161" ht="22.5" customHeight="1">
      <c r="A7161" s="49"/>
      <c r="C7161" s="400">
        <v>46078.0</v>
      </c>
      <c r="D7161" s="69">
        <v>436.0</v>
      </c>
      <c r="E7161" s="544" t="s">
        <v>856</v>
      </c>
      <c r="F7161" s="387">
        <v>2.0</v>
      </c>
      <c r="G7161" s="140">
        <v>670000.0</v>
      </c>
      <c r="H7161" s="140"/>
      <c r="I7161" s="74">
        <f t="shared" si="1"/>
        <v>1340000</v>
      </c>
      <c r="J7161" s="74">
        <f>IF(E7161="SERVICE",I7161-(I7161*50%),Vlookup(E7161,DATABASE!C:Q,10,false)*F7161)</f>
        <v>0</v>
      </c>
      <c r="K7161" s="74">
        <f>VLOOKUP(E7161,DATABASE!C:Q,7,false)</f>
        <v>615300</v>
      </c>
      <c r="L7161" s="74">
        <v>581120.0</v>
      </c>
      <c r="M7161" s="74">
        <f t="shared" si="2"/>
        <v>585000</v>
      </c>
      <c r="N7161" s="74">
        <f t="shared" si="3"/>
        <v>170000</v>
      </c>
      <c r="O7161" s="65" t="str">
        <f>VLOOKUP(E7161,DATABASE!C:Q,8,false)</f>
        <v>BIAN</v>
      </c>
      <c r="P7161" s="65">
        <f>VLOOKUP(E7161,DATABASE!C:Q,9,False)</f>
        <v>1</v>
      </c>
      <c r="Q7161" s="93" t="str">
        <f>VLOOKUP(E7161,DATABASE!C:Q,4,false)</f>
        <v>GT</v>
      </c>
      <c r="R7161" s="93" t="str">
        <f>VLOOKUP(E7161,DATABASE!C:Q,11,false)</f>
        <v>Tire</v>
      </c>
    </row>
    <row r="7162" ht="22.5" customHeight="1">
      <c r="A7162" s="49"/>
      <c r="C7162" s="400">
        <v>46078.0</v>
      </c>
      <c r="D7162" s="69">
        <v>437.0</v>
      </c>
      <c r="E7162" s="544" t="s">
        <v>622</v>
      </c>
      <c r="F7162" s="387">
        <v>2.0</v>
      </c>
      <c r="G7162" s="140">
        <v>900000.0</v>
      </c>
      <c r="H7162" s="74"/>
      <c r="I7162" s="74">
        <f t="shared" si="1"/>
        <v>1800000</v>
      </c>
      <c r="J7162" s="74">
        <f>IF(E7162="SERVICE",I7162-(I7162*50%),Vlookup(E7162,DATABASE!C:Q,10,false)*F7162)</f>
        <v>0</v>
      </c>
      <c r="K7162" s="74">
        <f>VLOOKUP(E7162,DATABASE!C:Q,7,false)</f>
        <v>851110.375</v>
      </c>
      <c r="L7162" s="74">
        <v>805872.0</v>
      </c>
      <c r="M7162" s="74">
        <f t="shared" si="2"/>
        <v>810000</v>
      </c>
      <c r="N7162" s="74">
        <f t="shared" si="3"/>
        <v>180000</v>
      </c>
      <c r="O7162" s="65" t="str">
        <f>VLOOKUP(E7162,DATABASE!C:Q,8,false)</f>
        <v>IBU</v>
      </c>
      <c r="P7162" s="65">
        <f>VLOOKUP(E7162,DATABASE!C:Q,9,False)</f>
        <v>1</v>
      </c>
      <c r="Q7162" s="93" t="str">
        <f>VLOOKUP(E7162,DATABASE!C:Q,4,false)</f>
        <v>Bridgestone</v>
      </c>
      <c r="R7162" s="93" t="str">
        <f>VLOOKUP(E7162,DATABASE!C:Q,11,false)</f>
        <v>Tire</v>
      </c>
    </row>
    <row r="7163" ht="22.5" customHeight="1">
      <c r="A7163" s="49"/>
      <c r="C7163" s="400">
        <v>46078.0</v>
      </c>
      <c r="D7163" s="69">
        <v>438.0</v>
      </c>
      <c r="E7163" s="544" t="s">
        <v>1009</v>
      </c>
      <c r="F7163" s="387">
        <v>1.0</v>
      </c>
      <c r="G7163" s="140">
        <v>685000.0</v>
      </c>
      <c r="H7163" s="74"/>
      <c r="I7163" s="74">
        <f t="shared" si="1"/>
        <v>685000</v>
      </c>
      <c r="J7163" s="74">
        <f>IF(E7163="SERVICE",I7163-(I7163*50%),Vlookup(E7163,DATABASE!C:Q,10,false)*F7163)</f>
        <v>0</v>
      </c>
      <c r="K7163" s="74">
        <f>VLOOKUP(E7163,DATABASE!C:Q,7,false)</f>
        <v>609800</v>
      </c>
      <c r="L7163" s="74">
        <v>592200.0</v>
      </c>
      <c r="M7163" s="74">
        <f t="shared" si="2"/>
        <v>595000</v>
      </c>
      <c r="N7163" s="74">
        <f t="shared" si="3"/>
        <v>90000</v>
      </c>
      <c r="O7163" s="65" t="str">
        <f>VLOOKUP(E7163,DATABASE!C:Q,8,false)</f>
        <v>BIAN</v>
      </c>
      <c r="P7163" s="65">
        <f>VLOOKUP(E7163,DATABASE!C:Q,9,False)</f>
        <v>1</v>
      </c>
      <c r="Q7163" s="93" t="str">
        <f>VLOOKUP(E7163,DATABASE!C:Q,4,false)</f>
        <v>GT</v>
      </c>
      <c r="R7163" s="93" t="str">
        <f>VLOOKUP(E7163,DATABASE!C:Q,11,false)</f>
        <v>Tire</v>
      </c>
    </row>
    <row r="7164" ht="22.5" customHeight="1">
      <c r="A7164" s="49"/>
      <c r="C7164" s="400">
        <v>46078.0</v>
      </c>
      <c r="D7164" s="69">
        <v>439.0</v>
      </c>
      <c r="E7164" s="544" t="s">
        <v>937</v>
      </c>
      <c r="F7164" s="387">
        <v>1.0</v>
      </c>
      <c r="G7164" s="140">
        <v>910000.0</v>
      </c>
      <c r="H7164" s="74"/>
      <c r="I7164" s="74">
        <f t="shared" si="1"/>
        <v>910000</v>
      </c>
      <c r="J7164" s="74">
        <f>IF(E7164="SERVICE",I7164-(I7164*50%),Vlookup(E7164,DATABASE!C:Q,10,false)*F7164)</f>
        <v>0</v>
      </c>
      <c r="K7164" s="74">
        <f>VLOOKUP(E7164,DATABASE!C:Q,7,false)</f>
        <v>825000</v>
      </c>
      <c r="L7164" s="74">
        <v>815000.0</v>
      </c>
      <c r="M7164" s="74">
        <f t="shared" si="2"/>
        <v>815000</v>
      </c>
      <c r="N7164" s="74">
        <f t="shared" si="3"/>
        <v>95000</v>
      </c>
      <c r="O7164" s="65" t="str">
        <f>VLOOKUP(E7164,DATABASE!C:Q,8,false)</f>
        <v>IBU</v>
      </c>
      <c r="P7164" s="65">
        <f>VLOOKUP(E7164,DATABASE!C:Q,9,False)</f>
        <v>1</v>
      </c>
      <c r="Q7164" s="93" t="str">
        <f>VLOOKUP(E7164,DATABASE!C:Q,4,false)</f>
        <v>Bridgestone</v>
      </c>
      <c r="R7164" s="93" t="str">
        <f>VLOOKUP(E7164,DATABASE!C:Q,11,false)</f>
        <v>Tire</v>
      </c>
    </row>
    <row r="7165" ht="22.5" customHeight="1">
      <c r="A7165" s="49"/>
      <c r="C7165" s="400">
        <v>46079.0</v>
      </c>
      <c r="D7165" s="524">
        <v>441.0</v>
      </c>
      <c r="E7165" s="544" t="s">
        <v>2605</v>
      </c>
      <c r="F7165" s="387">
        <v>1.0</v>
      </c>
      <c r="G7165" s="140">
        <v>720000.0</v>
      </c>
      <c r="H7165" s="74"/>
      <c r="I7165" s="74">
        <f t="shared" si="1"/>
        <v>720000</v>
      </c>
      <c r="J7165" s="74">
        <f>IF(E7165="SERVICE",I7165-(I7165*50%),Vlookup(E7165,DATABASE!C:Q,10,false)*F7165)</f>
        <v>0</v>
      </c>
      <c r="K7165" s="74">
        <f>VLOOKUP(E7165,DATABASE!C:Q,7,false)</f>
        <v>650000</v>
      </c>
      <c r="L7165" s="74">
        <v>620000.0</v>
      </c>
      <c r="M7165" s="74">
        <f t="shared" si="2"/>
        <v>620000</v>
      </c>
      <c r="N7165" s="74">
        <f t="shared" si="3"/>
        <v>100000</v>
      </c>
      <c r="O7165" s="65" t="str">
        <f>VLOOKUP(E7165,DATABASE!C:Q,8,false)</f>
        <v>BIAN</v>
      </c>
      <c r="P7165" s="65">
        <f>VLOOKUP(E7165,DATABASE!C:Q,9,False)</f>
        <v>1</v>
      </c>
      <c r="Q7165" s="93" t="str">
        <f>VLOOKUP(E7165,DATABASE!C:Q,4,false)</f>
        <v>Velg</v>
      </c>
      <c r="R7165" s="93" t="str">
        <f>VLOOKUP(E7165,DATABASE!C:Q,11,false)</f>
        <v>Tire</v>
      </c>
    </row>
    <row r="7166" ht="22.5" customHeight="1">
      <c r="A7166" s="49"/>
      <c r="C7166" s="400">
        <v>46079.0</v>
      </c>
      <c r="D7166" s="524">
        <v>441.0</v>
      </c>
      <c r="E7166" s="544" t="s">
        <v>391</v>
      </c>
      <c r="F7166" s="387">
        <v>1.0</v>
      </c>
      <c r="G7166" s="140">
        <v>1950000.0</v>
      </c>
      <c r="H7166" s="74"/>
      <c r="I7166" s="74">
        <f t="shared" si="1"/>
        <v>1950000</v>
      </c>
      <c r="J7166" s="74">
        <f>IF(E7166="SERVICE",I7166-(I7166*50%),Vlookup(E7166,DATABASE!C:Q,10,false)*F7166)</f>
        <v>0</v>
      </c>
      <c r="K7166" s="74">
        <f>VLOOKUP(E7166,DATABASE!C:Q,7,false)</f>
        <v>1885000</v>
      </c>
      <c r="L7166" s="74">
        <v>1840000.0</v>
      </c>
      <c r="M7166" s="74">
        <f t="shared" si="2"/>
        <v>1840000</v>
      </c>
      <c r="N7166" s="74">
        <f t="shared" si="3"/>
        <v>110000</v>
      </c>
      <c r="O7166" s="65" t="str">
        <f>VLOOKUP(E7166,DATABASE!C:Q,8,false)</f>
        <v>BIAN</v>
      </c>
      <c r="P7166" s="65">
        <f>VLOOKUP(E7166,DATABASE!C:Q,9,False)</f>
        <v>1</v>
      </c>
      <c r="Q7166" s="93" t="str">
        <f>VLOOKUP(E7166,DATABASE!C:Q,4,false)</f>
        <v>Advance</v>
      </c>
      <c r="R7166" s="93" t="str">
        <f>VLOOKUP(E7166,DATABASE!C:Q,11,false)</f>
        <v>Tire</v>
      </c>
    </row>
    <row r="7167" ht="22.5" customHeight="1">
      <c r="A7167" s="49"/>
      <c r="C7167" s="400">
        <v>46079.0</v>
      </c>
      <c r="D7167" s="524">
        <v>442.0</v>
      </c>
      <c r="E7167" s="544" t="s">
        <v>282</v>
      </c>
      <c r="F7167" s="387">
        <v>1.0</v>
      </c>
      <c r="G7167" s="140">
        <v>870000.0</v>
      </c>
      <c r="H7167" s="74"/>
      <c r="I7167" s="74">
        <f t="shared" si="1"/>
        <v>870000</v>
      </c>
      <c r="J7167" s="74">
        <f>IF(E7167="SERVICE",I7167-(I7167*50%),Vlookup(E7167,DATABASE!C:Q,10,false)*F7167)</f>
        <v>0</v>
      </c>
      <c r="K7167" s="74">
        <f>VLOOKUP(E7167,DATABASE!C:Q,7,false)</f>
        <v>779500</v>
      </c>
      <c r="L7167" s="74">
        <v>771000.0</v>
      </c>
      <c r="M7167" s="74">
        <f t="shared" si="2"/>
        <v>775000</v>
      </c>
      <c r="N7167" s="74">
        <f t="shared" si="3"/>
        <v>95000</v>
      </c>
      <c r="O7167" s="65" t="str">
        <f>VLOOKUP(E7167,DATABASE!C:Q,8,false)</f>
        <v>IBU</v>
      </c>
      <c r="P7167" s="65">
        <f>VLOOKUP(E7167,DATABASE!C:Q,9,False)</f>
        <v>1</v>
      </c>
      <c r="Q7167" s="93" t="str">
        <f>VLOOKUP(E7167,DATABASE!C:Q,4,false)</f>
        <v>Dunlop</v>
      </c>
      <c r="R7167" s="93" t="str">
        <f>VLOOKUP(E7167,DATABASE!C:Q,11,false)</f>
        <v>Tire</v>
      </c>
    </row>
    <row r="7168" ht="22.5" customHeight="1">
      <c r="A7168" s="49"/>
      <c r="C7168" s="400">
        <v>46079.0</v>
      </c>
      <c r="D7168" s="524">
        <v>443.0</v>
      </c>
      <c r="E7168" s="544" t="s">
        <v>968</v>
      </c>
      <c r="F7168" s="387">
        <v>1.0</v>
      </c>
      <c r="G7168" s="140">
        <v>675000.0</v>
      </c>
      <c r="H7168" s="140">
        <v>5000.0</v>
      </c>
      <c r="I7168" s="74">
        <f t="shared" si="1"/>
        <v>670000</v>
      </c>
      <c r="J7168" s="74">
        <f>IF(E7168="SERVICE",I7168-(I7168*50%),Vlookup(E7168,DATABASE!C:Q,10,false)*F7168)</f>
        <v>0</v>
      </c>
      <c r="K7168" s="74">
        <f>VLOOKUP(E7168,DATABASE!C:Q,7,false)</f>
        <v>582500</v>
      </c>
      <c r="L7168" s="74">
        <v>570500.0</v>
      </c>
      <c r="M7168" s="74">
        <f t="shared" si="2"/>
        <v>575000</v>
      </c>
      <c r="N7168" s="74">
        <f t="shared" si="3"/>
        <v>95000</v>
      </c>
      <c r="O7168" s="65" t="str">
        <f>VLOOKUP(E7168,DATABASE!C:Q,8,false)</f>
        <v>IBU</v>
      </c>
      <c r="P7168" s="65">
        <f>VLOOKUP(E7168,DATABASE!C:Q,9,False)</f>
        <v>1</v>
      </c>
      <c r="Q7168" s="93" t="str">
        <f>VLOOKUP(E7168,DATABASE!C:Q,4,false)</f>
        <v>Dunlop</v>
      </c>
      <c r="R7168" s="93" t="str">
        <f>VLOOKUP(E7168,DATABASE!C:Q,11,false)</f>
        <v>Tire</v>
      </c>
    </row>
    <row r="7169" ht="22.5" customHeight="1">
      <c r="A7169" s="49"/>
      <c r="C7169" s="400">
        <v>46079.0</v>
      </c>
      <c r="D7169" s="524">
        <v>443.0</v>
      </c>
      <c r="E7169" s="544" t="s">
        <v>2140</v>
      </c>
      <c r="F7169" s="387">
        <v>1.0</v>
      </c>
      <c r="G7169" s="140">
        <v>35000.0</v>
      </c>
      <c r="H7169" s="140">
        <v>10000.0</v>
      </c>
      <c r="I7169" s="74">
        <f t="shared" si="1"/>
        <v>25000</v>
      </c>
      <c r="J7169" s="74">
        <f>IF(E7169="SERVICE",I7169-(I7169*50%),Vlookup(E7169,DATABASE!C:Q,10,false)*F7169)</f>
        <v>0</v>
      </c>
      <c r="K7169" s="74">
        <f>VLOOKUP(E7169,DATABASE!C:Q,7,false)</f>
        <v>5000</v>
      </c>
      <c r="L7169" s="74">
        <v>0.0</v>
      </c>
      <c r="M7169" s="74">
        <f t="shared" si="2"/>
        <v>0</v>
      </c>
      <c r="N7169" s="74">
        <f t="shared" si="3"/>
        <v>25000</v>
      </c>
      <c r="O7169" s="65" t="str">
        <f>VLOOKUP(E7169,DATABASE!C:Q,8,false)</f>
        <v>IBU</v>
      </c>
      <c r="P7169" s="65">
        <f>VLOOKUP(E7169,DATABASE!C:Q,9,False)</f>
        <v>0</v>
      </c>
      <c r="Q7169" s="93" t="str">
        <f>VLOOKUP(E7169,DATABASE!C:Q,4,false)</f>
        <v>PENTIL + PASANG</v>
      </c>
      <c r="R7169" s="93" t="str">
        <f>VLOOKUP(E7169,DATABASE!C:Q,11,false)</f>
        <v>COMPLEMENTARY</v>
      </c>
    </row>
    <row r="7170" ht="22.5" customHeight="1">
      <c r="A7170" s="49"/>
      <c r="C7170" s="400">
        <v>46079.0</v>
      </c>
      <c r="D7170" s="524">
        <v>445.0</v>
      </c>
      <c r="E7170" s="544" t="s">
        <v>613</v>
      </c>
      <c r="F7170" s="387">
        <v>1.0</v>
      </c>
      <c r="G7170" s="140">
        <v>95000.0</v>
      </c>
      <c r="H7170" s="74"/>
      <c r="I7170" s="74">
        <f t="shared" si="1"/>
        <v>95000</v>
      </c>
      <c r="J7170" s="74">
        <f>IF(E7170="SERVICE",I7170-(I7170*50%),Vlookup(E7170,DATABASE!C:Q,10,false)*F7170)</f>
        <v>0</v>
      </c>
      <c r="K7170" s="74">
        <f>VLOOKUP(E7170,DATABASE!C:Q,7,false)</f>
        <v>58371.2695</v>
      </c>
      <c r="L7170" s="74">
        <v>55000.0</v>
      </c>
      <c r="M7170" s="74">
        <f t="shared" si="2"/>
        <v>55000</v>
      </c>
      <c r="N7170" s="74">
        <f t="shared" si="3"/>
        <v>40000</v>
      </c>
      <c r="O7170" s="65" t="str">
        <f>VLOOKUP(E7170,DATABASE!C:Q,8,false)</f>
        <v>BIAN</v>
      </c>
      <c r="P7170" s="65">
        <f>VLOOKUP(E7170,DATABASE!C:Q,9,False)</f>
        <v>1</v>
      </c>
      <c r="Q7170" s="93" t="str">
        <f>VLOOKUP(E7170,DATABASE!C:Q,4,false)</f>
        <v>BD</v>
      </c>
      <c r="R7170" s="93" t="str">
        <f>VLOOKUP(E7170,DATABASE!C:Q,11,false)</f>
        <v>Tire</v>
      </c>
    </row>
    <row r="7171" ht="22.5" customHeight="1">
      <c r="A7171" s="49"/>
      <c r="C7171" s="400">
        <v>46079.0</v>
      </c>
      <c r="D7171" s="524">
        <v>446.0</v>
      </c>
      <c r="E7171" s="544" t="s">
        <v>1530</v>
      </c>
      <c r="F7171" s="387">
        <v>1.0</v>
      </c>
      <c r="G7171" s="140">
        <v>560000.0</v>
      </c>
      <c r="H7171" s="74"/>
      <c r="I7171" s="74">
        <f t="shared" si="1"/>
        <v>560000</v>
      </c>
      <c r="J7171" s="74">
        <f>IF(E7171="SERVICE",I7171-(I7171*50%),Vlookup(E7171,DATABASE!C:Q,10,false)*F7171)</f>
        <v>0</v>
      </c>
      <c r="K7171" s="74">
        <f>VLOOKUP(E7171,DATABASE!C:Q,7,false)</f>
        <v>467000</v>
      </c>
      <c r="L7171" s="74">
        <v>467000.0</v>
      </c>
      <c r="M7171" s="74">
        <f t="shared" si="2"/>
        <v>470000</v>
      </c>
      <c r="N7171" s="74">
        <f t="shared" si="3"/>
        <v>90000</v>
      </c>
      <c r="O7171" s="65" t="str">
        <f>VLOOKUP(E7171,DATABASE!C:Q,8,false)</f>
        <v>BIAN</v>
      </c>
      <c r="P7171" s="65">
        <f>VLOOKUP(E7171,DATABASE!C:Q,9,False)</f>
        <v>1</v>
      </c>
      <c r="Q7171" s="93" t="str">
        <f>VLOOKUP(E7171,DATABASE!C:Q,4,false)</f>
        <v>Laufen</v>
      </c>
      <c r="R7171" s="93" t="str">
        <f>VLOOKUP(E7171,DATABASE!C:Q,11,false)</f>
        <v>Tire</v>
      </c>
    </row>
    <row r="7172" ht="22.5" customHeight="1">
      <c r="A7172" s="49"/>
      <c r="C7172" s="400">
        <v>46079.0</v>
      </c>
      <c r="D7172" s="524">
        <v>447.0</v>
      </c>
      <c r="E7172" s="544" t="s">
        <v>839</v>
      </c>
      <c r="F7172" s="387">
        <v>2.0</v>
      </c>
      <c r="G7172" s="140">
        <v>565000.0</v>
      </c>
      <c r="H7172" s="74"/>
      <c r="I7172" s="74">
        <f t="shared" si="1"/>
        <v>1130000</v>
      </c>
      <c r="J7172" s="74">
        <f>IF(E7172="SERVICE",I7172-(I7172*50%),Vlookup(E7172,DATABASE!C:Q,10,false)*F7172)</f>
        <v>0</v>
      </c>
      <c r="K7172" s="74">
        <f>VLOOKUP(E7172,DATABASE!C:Q,7,false)</f>
        <v>512640</v>
      </c>
      <c r="L7172" s="74">
        <v>475700.0</v>
      </c>
      <c r="M7172" s="74">
        <f t="shared" si="2"/>
        <v>480000</v>
      </c>
      <c r="N7172" s="74">
        <f t="shared" si="3"/>
        <v>170000</v>
      </c>
      <c r="O7172" s="65" t="str">
        <f>VLOOKUP(E7172,DATABASE!C:Q,8,false)</f>
        <v>BIAN</v>
      </c>
      <c r="P7172" s="65">
        <f>VLOOKUP(E7172,DATABASE!C:Q,9,False)</f>
        <v>1</v>
      </c>
      <c r="Q7172" s="93" t="str">
        <f>VLOOKUP(E7172,DATABASE!C:Q,4,false)</f>
        <v>GT</v>
      </c>
      <c r="R7172" s="93" t="str">
        <f>VLOOKUP(E7172,DATABASE!C:Q,11,false)</f>
        <v>Tire</v>
      </c>
    </row>
    <row r="7173" ht="22.5" customHeight="1">
      <c r="A7173" s="49"/>
      <c r="C7173" s="400">
        <v>46079.0</v>
      </c>
      <c r="D7173" s="524">
        <v>447.0</v>
      </c>
      <c r="E7173" s="544" t="s">
        <v>263</v>
      </c>
      <c r="F7173" s="387">
        <v>1.0</v>
      </c>
      <c r="G7173" s="140">
        <v>320000.0</v>
      </c>
      <c r="H7173" s="74"/>
      <c r="I7173" s="74">
        <f t="shared" si="1"/>
        <v>320000</v>
      </c>
      <c r="J7173" s="74">
        <f>IF(E7173="SERVICE",I7173-(I7173*50%),Vlookup(E7173,DATABASE!C:Q,10,false)*F7173)</f>
        <v>0</v>
      </c>
      <c r="K7173" s="74">
        <f>VLOOKUP(E7173,DATABASE!C:Q,7,false)</f>
        <v>334916</v>
      </c>
      <c r="L7173" s="74">
        <v>287688.0</v>
      </c>
      <c r="M7173" s="74">
        <f t="shared" si="2"/>
        <v>290000</v>
      </c>
      <c r="N7173" s="74">
        <f t="shared" si="3"/>
        <v>30000</v>
      </c>
      <c r="O7173" s="65" t="str">
        <f>VLOOKUP(E7173,DATABASE!C:Q,8,false)</f>
        <v>NON</v>
      </c>
      <c r="P7173" s="65">
        <f>VLOOKUP(E7173,DATABASE!C:Q,9,False)</f>
        <v>0</v>
      </c>
      <c r="Q7173" s="93" t="str">
        <f>VLOOKUP(E7173,DATABASE!C:Q,4,false)</f>
        <v>Shell</v>
      </c>
      <c r="R7173" s="93" t="str">
        <f>VLOOKUP(E7173,DATABASE!C:Q,11,false)</f>
        <v>OIL</v>
      </c>
    </row>
    <row r="7174" ht="22.5" customHeight="1">
      <c r="A7174" s="49"/>
      <c r="C7174" s="400">
        <v>46079.0</v>
      </c>
      <c r="D7174" s="524">
        <v>448.0</v>
      </c>
      <c r="E7174" s="544" t="s">
        <v>265</v>
      </c>
      <c r="F7174" s="387">
        <v>2.0</v>
      </c>
      <c r="G7174" s="140">
        <v>685000.0</v>
      </c>
      <c r="H7174" s="74"/>
      <c r="I7174" s="74">
        <f t="shared" si="1"/>
        <v>1370000</v>
      </c>
      <c r="J7174" s="74">
        <f>IF(E7174="SERVICE",I7174-(I7174*50%),Vlookup(E7174,DATABASE!C:Q,10,false)*F7174)</f>
        <v>0</v>
      </c>
      <c r="K7174" s="74">
        <f>VLOOKUP(E7174,DATABASE!C:Q,7,false)</f>
        <v>628000</v>
      </c>
      <c r="L7174" s="74">
        <v>600000.0</v>
      </c>
      <c r="M7174" s="74">
        <f t="shared" si="2"/>
        <v>600000</v>
      </c>
      <c r="N7174" s="74">
        <f t="shared" si="3"/>
        <v>170000</v>
      </c>
      <c r="O7174" s="65" t="str">
        <f>VLOOKUP(E7174,DATABASE!C:Q,8,false)</f>
        <v>IBU</v>
      </c>
      <c r="P7174" s="65">
        <f>VLOOKUP(E7174,DATABASE!C:Q,9,False)</f>
        <v>1</v>
      </c>
      <c r="Q7174" s="93" t="str">
        <f>VLOOKUP(E7174,DATABASE!C:Q,4,false)</f>
        <v>Dunlop</v>
      </c>
      <c r="R7174" s="93" t="str">
        <f>VLOOKUP(E7174,DATABASE!C:Q,11,false)</f>
        <v>Tire</v>
      </c>
    </row>
    <row r="7175" ht="22.5" customHeight="1">
      <c r="A7175" s="49"/>
      <c r="C7175" s="400">
        <v>46079.0</v>
      </c>
      <c r="D7175" s="524">
        <v>449.0</v>
      </c>
      <c r="E7175" s="544" t="s">
        <v>299</v>
      </c>
      <c r="F7175" s="387">
        <v>2.0</v>
      </c>
      <c r="G7175" s="140">
        <v>30000.0</v>
      </c>
      <c r="H7175" s="74"/>
      <c r="I7175" s="74">
        <f t="shared" si="1"/>
        <v>60000</v>
      </c>
      <c r="J7175" s="74">
        <f>IF(E7175="SERVICE",I7175-(I7175*50%),Vlookup(E7175,DATABASE!C:Q,10,false)*F7175)</f>
        <v>0</v>
      </c>
      <c r="K7175" s="74">
        <f>VLOOKUP(E7175,DATABASE!C:Q,7,false)</f>
        <v>10000</v>
      </c>
      <c r="L7175" s="74">
        <v>10000.0</v>
      </c>
      <c r="M7175" s="74">
        <f t="shared" si="2"/>
        <v>10000</v>
      </c>
      <c r="N7175" s="74">
        <f t="shared" si="3"/>
        <v>40000</v>
      </c>
      <c r="O7175" s="65" t="str">
        <f>VLOOKUP(E7175,DATABASE!C:Q,8,false)</f>
        <v>BIAN</v>
      </c>
      <c r="P7175" s="65">
        <f>VLOOKUP(E7175,DATABASE!C:Q,9,False)</f>
        <v>0</v>
      </c>
      <c r="Q7175" s="93" t="str">
        <f>VLOOKUP(E7175,DATABASE!C:Q,4,false)</f>
        <v>Balancing</v>
      </c>
      <c r="R7175" s="93" t="str">
        <f>VLOOKUP(E7175,DATABASE!C:Q,11,false)</f>
        <v>COMPLEMENTARY</v>
      </c>
    </row>
    <row r="7176" ht="22.5" customHeight="1">
      <c r="A7176" s="49"/>
      <c r="C7176" s="400">
        <v>46079.0</v>
      </c>
      <c r="D7176" s="524">
        <v>449.0</v>
      </c>
      <c r="E7176" s="544" t="s">
        <v>2199</v>
      </c>
      <c r="F7176" s="387">
        <v>1.0</v>
      </c>
      <c r="G7176" s="140">
        <v>15000.0</v>
      </c>
      <c r="H7176" s="74"/>
      <c r="I7176" s="74">
        <f t="shared" si="1"/>
        <v>15000</v>
      </c>
      <c r="J7176" s="74">
        <f>IF(E7176="SERVICE",I7176-(I7176*50%),Vlookup(E7176,DATABASE!C:Q,10,false)*F7176)</f>
        <v>0</v>
      </c>
      <c r="K7176" s="74">
        <f>VLOOKUP(E7176,DATABASE!C:Q,7,false)</f>
        <v>5000</v>
      </c>
      <c r="L7176" s="74">
        <v>0.0</v>
      </c>
      <c r="M7176" s="74">
        <f t="shared" si="2"/>
        <v>0</v>
      </c>
      <c r="N7176" s="74">
        <f t="shared" si="3"/>
        <v>15000</v>
      </c>
      <c r="O7176" s="65" t="str">
        <f>VLOOKUP(E7176,DATABASE!C:Q,8,false)</f>
        <v>BIAN</v>
      </c>
      <c r="P7176" s="65">
        <f>VLOOKUP(E7176,DATABASE!C:Q,9,False)</f>
        <v>0</v>
      </c>
      <c r="Q7176" s="93" t="str">
        <f>VLOOKUP(E7176,DATABASE!C:Q,4,false)</f>
        <v>TAMBAL TUBLES</v>
      </c>
      <c r="R7176" s="93" t="str">
        <f>VLOOKUP(E7176,DATABASE!C:Q,11,false)</f>
        <v>COMPLEMENTARY</v>
      </c>
    </row>
    <row r="7177" ht="22.5" customHeight="1">
      <c r="A7177" s="49"/>
      <c r="C7177" s="400">
        <v>46079.0</v>
      </c>
      <c r="D7177" s="524">
        <v>450.0</v>
      </c>
      <c r="E7177" s="544" t="s">
        <v>572</v>
      </c>
      <c r="F7177" s="387">
        <v>3.0</v>
      </c>
      <c r="G7177" s="140">
        <v>1370000.0</v>
      </c>
      <c r="H7177" s="140">
        <v>20000.0</v>
      </c>
      <c r="I7177" s="74">
        <f t="shared" si="1"/>
        <v>4050000</v>
      </c>
      <c r="J7177" s="74">
        <f>IF(E7177="SERVICE",I7177-(I7177*50%),Vlookup(E7177,DATABASE!C:Q,10,false)*F7177)</f>
        <v>0</v>
      </c>
      <c r="K7177" s="74">
        <f>VLOOKUP(E7177,DATABASE!C:Q,7,false)</f>
        <v>1265000</v>
      </c>
      <c r="L7177" s="74">
        <v>1245000.0</v>
      </c>
      <c r="M7177" s="74">
        <f t="shared" si="2"/>
        <v>1245000</v>
      </c>
      <c r="N7177" s="74">
        <f t="shared" si="3"/>
        <v>315000</v>
      </c>
      <c r="O7177" s="65" t="str">
        <f>VLOOKUP(E7177,DATABASE!C:Q,8,false)</f>
        <v>IBU</v>
      </c>
      <c r="P7177" s="65">
        <f>VLOOKUP(E7177,DATABASE!C:Q,9,False)</f>
        <v>1</v>
      </c>
      <c r="Q7177" s="93" t="str">
        <f>VLOOKUP(E7177,DATABASE!C:Q,4,false)</f>
        <v>Bridgestone</v>
      </c>
      <c r="R7177" s="93" t="str">
        <f>VLOOKUP(E7177,DATABASE!C:Q,11,false)</f>
        <v>Tire</v>
      </c>
    </row>
    <row r="7178" ht="22.5" customHeight="1">
      <c r="A7178" s="49"/>
      <c r="C7178" s="400">
        <v>46079.0</v>
      </c>
      <c r="D7178" s="524">
        <v>450.0</v>
      </c>
      <c r="E7178" s="544" t="s">
        <v>255</v>
      </c>
      <c r="F7178" s="387">
        <v>3.0</v>
      </c>
      <c r="G7178" s="140">
        <v>200000.0</v>
      </c>
      <c r="H7178" s="74"/>
      <c r="I7178" s="74">
        <f t="shared" si="1"/>
        <v>600000</v>
      </c>
      <c r="J7178" s="74">
        <f>IF(E7178="SERVICE",I7178-(I7178*50%),Vlookup(E7178,DATABASE!C:Q,10,false)*F7178)</f>
        <v>0</v>
      </c>
      <c r="K7178" s="74">
        <f>VLOOKUP(E7178,DATABASE!C:Q,7,false)</f>
        <v>161840</v>
      </c>
      <c r="L7178" s="74">
        <v>161840.0</v>
      </c>
      <c r="M7178" s="74">
        <f t="shared" si="2"/>
        <v>165000</v>
      </c>
      <c r="N7178" s="74">
        <f t="shared" si="3"/>
        <v>105000</v>
      </c>
      <c r="O7178" s="65" t="str">
        <f>VLOOKUP(E7178,DATABASE!C:Q,8,false)</f>
        <v>BIAN</v>
      </c>
      <c r="P7178" s="65">
        <f>VLOOKUP(E7178,DATABASE!C:Q,9,False)</f>
        <v>1</v>
      </c>
      <c r="Q7178" s="93" t="str">
        <f>VLOOKUP(E7178,DATABASE!C:Q,4,false)</f>
        <v>BD</v>
      </c>
      <c r="R7178" s="93" t="str">
        <f>VLOOKUP(E7178,DATABASE!C:Q,11,false)</f>
        <v>Tire</v>
      </c>
    </row>
    <row r="7179" ht="22.5" customHeight="1">
      <c r="A7179" s="49"/>
      <c r="C7179" s="400">
        <v>46079.0</v>
      </c>
      <c r="D7179" s="69" t="s">
        <v>2716</v>
      </c>
      <c r="E7179" s="544" t="s">
        <v>1364</v>
      </c>
      <c r="F7179" s="387">
        <v>3.0</v>
      </c>
      <c r="G7179" s="140">
        <v>140000.0</v>
      </c>
      <c r="H7179" s="140">
        <v>40000.0</v>
      </c>
      <c r="I7179" s="74">
        <f t="shared" si="1"/>
        <v>300000</v>
      </c>
      <c r="J7179" s="74">
        <f>IF(E7179="SERVICE",I7179-(I7179*50%),Vlookup(E7179,DATABASE!C:Q,10,false)*F7179)</f>
        <v>0</v>
      </c>
      <c r="K7179" s="74">
        <f>VLOOKUP(E7179,DATABASE!C:Q,7,false)</f>
        <v>130000</v>
      </c>
      <c r="L7179" s="140">
        <v>80000.0</v>
      </c>
      <c r="M7179" s="74">
        <f t="shared" si="2"/>
        <v>80000</v>
      </c>
      <c r="N7179" s="74">
        <f t="shared" si="3"/>
        <v>60000</v>
      </c>
      <c r="O7179" s="65" t="str">
        <f>VLOOKUP(E7179,DATABASE!C:Q,8,false)</f>
        <v>NON</v>
      </c>
      <c r="P7179" s="65">
        <f>VLOOKUP(E7179,DATABASE!C:Q,9,False)</f>
        <v>0</v>
      </c>
      <c r="Q7179" s="93" t="str">
        <f>VLOOKUP(E7179,DATABASE!C:Q,4,false)</f>
        <v>Castrol</v>
      </c>
      <c r="R7179" s="93" t="str">
        <f>VLOOKUP(E7179,DATABASE!C:Q,11,false)</f>
        <v>OIL</v>
      </c>
    </row>
    <row r="7180" ht="22.5" customHeight="1">
      <c r="A7180" s="49"/>
      <c r="C7180" s="400">
        <v>46080.0</v>
      </c>
      <c r="D7180" s="524">
        <v>451.0</v>
      </c>
      <c r="E7180" s="544" t="s">
        <v>781</v>
      </c>
      <c r="F7180" s="387">
        <v>2.0</v>
      </c>
      <c r="G7180" s="140">
        <v>530000.0</v>
      </c>
      <c r="H7180" s="140">
        <v>5000.0</v>
      </c>
      <c r="I7180" s="74">
        <f t="shared" si="1"/>
        <v>1050000</v>
      </c>
      <c r="J7180" s="74">
        <f>IF(E7180="SERVICE",I7180-(I7180*50%),Vlookup(E7180,DATABASE!C:Q,10,false)*F7180)</f>
        <v>0</v>
      </c>
      <c r="K7180" s="74">
        <f>VLOOKUP(E7180,DATABASE!C:Q,7,false)</f>
        <v>470000</v>
      </c>
      <c r="L7180" s="74">
        <v>442500.0</v>
      </c>
      <c r="M7180" s="74">
        <f t="shared" si="2"/>
        <v>445000</v>
      </c>
      <c r="N7180" s="74">
        <f t="shared" si="3"/>
        <v>160000</v>
      </c>
      <c r="O7180" s="65" t="str">
        <f>VLOOKUP(E7180,DATABASE!C:Q,8,false)</f>
        <v>BIAN</v>
      </c>
      <c r="P7180" s="65">
        <f>VLOOKUP(E7180,DATABASE!C:Q,9,False)</f>
        <v>1</v>
      </c>
      <c r="Q7180" s="93" t="str">
        <f>VLOOKUP(E7180,DATABASE!C:Q,4,false)</f>
        <v>GT</v>
      </c>
      <c r="R7180" s="93" t="str">
        <f>VLOOKUP(E7180,DATABASE!C:Q,11,false)</f>
        <v>Tire</v>
      </c>
    </row>
    <row r="7181" ht="22.5" customHeight="1">
      <c r="A7181" s="49"/>
      <c r="C7181" s="400">
        <v>46080.0</v>
      </c>
      <c r="D7181" s="524">
        <v>452.0</v>
      </c>
      <c r="E7181" s="544" t="s">
        <v>937</v>
      </c>
      <c r="F7181" s="387">
        <v>1.0</v>
      </c>
      <c r="G7181" s="140">
        <v>910000.0</v>
      </c>
      <c r="H7181" s="74"/>
      <c r="I7181" s="74">
        <f t="shared" si="1"/>
        <v>910000</v>
      </c>
      <c r="J7181" s="74">
        <f>IF(E7181="SERVICE",I7181-(I7181*50%),Vlookup(E7181,DATABASE!C:Q,10,false)*F7181)</f>
        <v>0</v>
      </c>
      <c r="K7181" s="74">
        <f>VLOOKUP(E7181,DATABASE!C:Q,7,false)</f>
        <v>825000</v>
      </c>
      <c r="L7181" s="74">
        <v>815000.0</v>
      </c>
      <c r="M7181" s="74">
        <f t="shared" si="2"/>
        <v>815000</v>
      </c>
      <c r="N7181" s="74">
        <f t="shared" si="3"/>
        <v>95000</v>
      </c>
      <c r="O7181" s="65" t="str">
        <f>VLOOKUP(E7181,DATABASE!C:Q,8,false)</f>
        <v>IBU</v>
      </c>
      <c r="P7181" s="65">
        <f>VLOOKUP(E7181,DATABASE!C:Q,9,False)</f>
        <v>1</v>
      </c>
      <c r="Q7181" s="93" t="str">
        <f>VLOOKUP(E7181,DATABASE!C:Q,4,false)</f>
        <v>Bridgestone</v>
      </c>
      <c r="R7181" s="93" t="str">
        <f>VLOOKUP(E7181,DATABASE!C:Q,11,false)</f>
        <v>Tire</v>
      </c>
    </row>
    <row r="7182" ht="22.5" customHeight="1">
      <c r="A7182" s="49"/>
      <c r="C7182" s="400">
        <v>46080.0</v>
      </c>
      <c r="D7182" s="524">
        <v>453.0</v>
      </c>
      <c r="E7182" s="544" t="s">
        <v>932</v>
      </c>
      <c r="F7182" s="387">
        <v>1.0</v>
      </c>
      <c r="G7182" s="140">
        <v>680000.0</v>
      </c>
      <c r="H7182" s="74"/>
      <c r="I7182" s="74">
        <f t="shared" si="1"/>
        <v>680000</v>
      </c>
      <c r="J7182" s="74">
        <f>IF(E7182="SERVICE",I7182-(I7182*50%),Vlookup(E7182,DATABASE!C:Q,10,false)*F7182)</f>
        <v>0</v>
      </c>
      <c r="K7182" s="74">
        <f>VLOOKUP(E7182,DATABASE!C:Q,7,false)</f>
        <v>601000</v>
      </c>
      <c r="L7182" s="74">
        <v>595000.0</v>
      </c>
      <c r="M7182" s="74">
        <f t="shared" si="2"/>
        <v>595000</v>
      </c>
      <c r="N7182" s="74">
        <f t="shared" si="3"/>
        <v>85000</v>
      </c>
      <c r="O7182" s="65" t="str">
        <f>VLOOKUP(E7182,DATABASE!C:Q,8,false)</f>
        <v>IBU</v>
      </c>
      <c r="P7182" s="65">
        <f>VLOOKUP(E7182,DATABASE!C:Q,9,False)</f>
        <v>1</v>
      </c>
      <c r="Q7182" s="93" t="str">
        <f>VLOOKUP(E7182,DATABASE!C:Q,4,false)</f>
        <v>Dunlop</v>
      </c>
      <c r="R7182" s="93" t="str">
        <f>VLOOKUP(E7182,DATABASE!C:Q,11,false)</f>
        <v>Tire</v>
      </c>
    </row>
    <row r="7183" ht="22.5" customHeight="1">
      <c r="A7183" s="49"/>
      <c r="C7183" s="400">
        <v>46080.0</v>
      </c>
      <c r="D7183" s="524">
        <v>454.0</v>
      </c>
      <c r="E7183" s="544" t="s">
        <v>1489</v>
      </c>
      <c r="F7183" s="387">
        <v>1.0</v>
      </c>
      <c r="G7183" s="140">
        <v>700000.0</v>
      </c>
      <c r="H7183" s="74"/>
      <c r="I7183" s="74">
        <f t="shared" si="1"/>
        <v>700000</v>
      </c>
      <c r="J7183" s="74">
        <f>IF(E7183="SERVICE",I7183-(I7183*50%),Vlookup(E7183,DATABASE!C:Q,10,false)*F7183)</f>
        <v>0</v>
      </c>
      <c r="K7183" s="74">
        <f>VLOOKUP(E7183,DATABASE!C:Q,7,false)</f>
        <v>609000</v>
      </c>
      <c r="L7183" s="74">
        <v>596000.0</v>
      </c>
      <c r="M7183" s="74">
        <f t="shared" si="2"/>
        <v>600000</v>
      </c>
      <c r="N7183" s="74">
        <f t="shared" si="3"/>
        <v>100000</v>
      </c>
      <c r="O7183" s="65" t="str">
        <f>VLOOKUP(E7183,DATABASE!C:Q,8,false)</f>
        <v>IBU</v>
      </c>
      <c r="P7183" s="65">
        <f>VLOOKUP(E7183,DATABASE!C:Q,9,False)</f>
        <v>1</v>
      </c>
      <c r="Q7183" s="93" t="str">
        <f>VLOOKUP(E7183,DATABASE!C:Q,4,false)</f>
        <v>Dunlop</v>
      </c>
      <c r="R7183" s="93" t="str">
        <f>VLOOKUP(E7183,DATABASE!C:Q,11,false)</f>
        <v>Tire</v>
      </c>
    </row>
    <row r="7184" ht="22.5" customHeight="1">
      <c r="A7184" s="49"/>
      <c r="C7184" s="400">
        <v>46080.0</v>
      </c>
      <c r="D7184" s="524">
        <v>456.0</v>
      </c>
      <c r="E7184" s="544" t="s">
        <v>937</v>
      </c>
      <c r="F7184" s="387">
        <v>2.0</v>
      </c>
      <c r="G7184" s="140">
        <v>910000.0</v>
      </c>
      <c r="H7184" s="74"/>
      <c r="I7184" s="74">
        <f t="shared" si="1"/>
        <v>1820000</v>
      </c>
      <c r="J7184" s="74">
        <f>IF(E7184="SERVICE",I7184-(I7184*50%),Vlookup(E7184,DATABASE!C:Q,10,false)*F7184)</f>
        <v>0</v>
      </c>
      <c r="K7184" s="74">
        <f>VLOOKUP(E7184,DATABASE!C:Q,7,false)</f>
        <v>825000</v>
      </c>
      <c r="L7184" s="74">
        <v>815000.0</v>
      </c>
      <c r="M7184" s="74">
        <f t="shared" si="2"/>
        <v>815000</v>
      </c>
      <c r="N7184" s="74">
        <f t="shared" si="3"/>
        <v>190000</v>
      </c>
      <c r="O7184" s="65" t="str">
        <f>VLOOKUP(E7184,DATABASE!C:Q,8,false)</f>
        <v>IBU</v>
      </c>
      <c r="P7184" s="65">
        <f>VLOOKUP(E7184,DATABASE!C:Q,9,False)</f>
        <v>1</v>
      </c>
      <c r="Q7184" s="93" t="str">
        <f>VLOOKUP(E7184,DATABASE!C:Q,4,false)</f>
        <v>Bridgestone</v>
      </c>
      <c r="R7184" s="93" t="str">
        <f>VLOOKUP(E7184,DATABASE!C:Q,11,false)</f>
        <v>Tire</v>
      </c>
    </row>
    <row r="7185" ht="22.5" customHeight="1">
      <c r="A7185" s="49"/>
      <c r="C7185" s="400">
        <v>46080.0</v>
      </c>
      <c r="D7185" s="524">
        <v>457.0</v>
      </c>
      <c r="E7185" s="544" t="s">
        <v>955</v>
      </c>
      <c r="F7185" s="387">
        <v>4.0</v>
      </c>
      <c r="G7185" s="140">
        <v>770000.0</v>
      </c>
      <c r="H7185" s="140">
        <v>5000.0</v>
      </c>
      <c r="I7185" s="74">
        <f t="shared" si="1"/>
        <v>3060000</v>
      </c>
      <c r="J7185" s="74">
        <f>IF(E7185="SERVICE",I7185-(I7185*50%),Vlookup(E7185,DATABASE!C:Q,10,false)*F7185)</f>
        <v>0</v>
      </c>
      <c r="K7185" s="74">
        <f>VLOOKUP(E7185,DATABASE!C:Q,7,false)</f>
        <v>712000</v>
      </c>
      <c r="L7185" s="74">
        <v>674000.0</v>
      </c>
      <c r="M7185" s="74">
        <f t="shared" si="2"/>
        <v>675000</v>
      </c>
      <c r="N7185" s="74">
        <f t="shared" si="3"/>
        <v>360000</v>
      </c>
      <c r="O7185" s="65" t="str">
        <f>VLOOKUP(E7185,DATABASE!C:Q,8,false)</f>
        <v>IBU</v>
      </c>
      <c r="P7185" s="65">
        <f>VLOOKUP(E7185,DATABASE!C:Q,9,False)</f>
        <v>1</v>
      </c>
      <c r="Q7185" s="93" t="str">
        <f>VLOOKUP(E7185,DATABASE!C:Q,4,false)</f>
        <v>Dunlop</v>
      </c>
      <c r="R7185" s="93" t="str">
        <f>VLOOKUP(E7185,DATABASE!C:Q,11,false)</f>
        <v>Tire</v>
      </c>
    </row>
    <row r="7186" ht="22.5" customHeight="1">
      <c r="A7186" s="49"/>
      <c r="C7186" s="400">
        <v>46080.0</v>
      </c>
      <c r="D7186" s="524">
        <v>458.0</v>
      </c>
      <c r="E7186" s="544" t="s">
        <v>605</v>
      </c>
      <c r="F7186" s="387">
        <v>1.0</v>
      </c>
      <c r="G7186" s="140">
        <v>765000.0</v>
      </c>
      <c r="H7186" s="74"/>
      <c r="I7186" s="74">
        <f t="shared" si="1"/>
        <v>765000</v>
      </c>
      <c r="J7186" s="74">
        <f>IF(E7186="SERVICE",I7186-(I7186*50%),Vlookup(E7186,DATABASE!C:Q,10,false)*F7186)</f>
        <v>0</v>
      </c>
      <c r="K7186" s="74">
        <f>VLOOKUP(E7186,DATABASE!C:Q,7,false)</f>
        <v>675000</v>
      </c>
      <c r="L7186" s="74">
        <v>675000.0</v>
      </c>
      <c r="M7186" s="74">
        <f t="shared" si="2"/>
        <v>675000</v>
      </c>
      <c r="N7186" s="74">
        <f t="shared" si="3"/>
        <v>90000</v>
      </c>
      <c r="O7186" s="65" t="str">
        <f>VLOOKUP(E7186,DATABASE!C:Q,8,false)</f>
        <v>IBU</v>
      </c>
      <c r="P7186" s="65">
        <f>VLOOKUP(E7186,DATABASE!C:Q,9,False)</f>
        <v>1</v>
      </c>
      <c r="Q7186" s="93" t="str">
        <f>VLOOKUP(E7186,DATABASE!C:Q,4,false)</f>
        <v>Bridgestone</v>
      </c>
      <c r="R7186" s="93" t="str">
        <f>VLOOKUP(E7186,DATABASE!C:Q,11,false)</f>
        <v>Tire</v>
      </c>
    </row>
    <row r="7187" ht="22.5" customHeight="1">
      <c r="A7187" s="49"/>
      <c r="C7187" s="400">
        <v>46080.0</v>
      </c>
      <c r="D7187" s="524">
        <v>459.0</v>
      </c>
      <c r="E7187" s="544" t="s">
        <v>294</v>
      </c>
      <c r="F7187" s="387">
        <v>2.0</v>
      </c>
      <c r="G7187" s="140">
        <v>580000.0</v>
      </c>
      <c r="H7187" s="140">
        <v>5000.0</v>
      </c>
      <c r="I7187" s="74">
        <f t="shared" si="1"/>
        <v>1150000</v>
      </c>
      <c r="J7187" s="74">
        <f>IF(E7187="SERVICE",I7187-(I7187*50%),Vlookup(E7187,DATABASE!C:Q,10,false)*F7187)</f>
        <v>0</v>
      </c>
      <c r="K7187" s="74">
        <f>VLOOKUP(E7187,DATABASE!C:Q,7,false)</f>
        <v>505000</v>
      </c>
      <c r="L7187" s="74">
        <v>490000.0</v>
      </c>
      <c r="M7187" s="74">
        <f t="shared" si="2"/>
        <v>490000</v>
      </c>
      <c r="N7187" s="74">
        <f t="shared" si="3"/>
        <v>170000</v>
      </c>
      <c r="O7187" s="65" t="str">
        <f>VLOOKUP(E7187,DATABASE!C:Q,8,false)</f>
        <v>BIAN</v>
      </c>
      <c r="P7187" s="65">
        <f>VLOOKUP(E7187,DATABASE!C:Q,9,False)</f>
        <v>1</v>
      </c>
      <c r="Q7187" s="93" t="str">
        <f>VLOOKUP(E7187,DATABASE!C:Q,4,false)</f>
        <v>GT</v>
      </c>
      <c r="R7187" s="93" t="str">
        <f>VLOOKUP(E7187,DATABASE!C:Q,11,false)</f>
        <v>Tire</v>
      </c>
    </row>
    <row r="7188" ht="22.5" customHeight="1">
      <c r="A7188" s="49"/>
      <c r="C7188" s="400">
        <v>46080.0</v>
      </c>
      <c r="D7188" s="524">
        <v>460.0</v>
      </c>
      <c r="E7188" s="544" t="s">
        <v>1862</v>
      </c>
      <c r="F7188" s="387">
        <v>2.0</v>
      </c>
      <c r="G7188" s="140">
        <v>2150000.0</v>
      </c>
      <c r="H7188" s="74"/>
      <c r="I7188" s="74">
        <f t="shared" si="1"/>
        <v>4300000</v>
      </c>
      <c r="J7188" s="74">
        <f>IF(E7188="SERVICE",I7188-(I7188*50%),Vlookup(E7188,DATABASE!C:Q,10,false)*F7188)</f>
        <v>0</v>
      </c>
      <c r="K7188" s="74">
        <f>VLOOKUP(E7188,DATABASE!C:Q,7,false)</f>
        <v>2080000</v>
      </c>
      <c r="L7188" s="74">
        <v>2050000.0</v>
      </c>
      <c r="M7188" s="74">
        <f t="shared" si="2"/>
        <v>2050000</v>
      </c>
      <c r="N7188" s="74">
        <f t="shared" si="3"/>
        <v>200000</v>
      </c>
      <c r="O7188" s="65" t="str">
        <f>VLOOKUP(E7188,DATABASE!C:Q,8,false)</f>
        <v>BIAN</v>
      </c>
      <c r="P7188" s="65">
        <f>VLOOKUP(E7188,DATABASE!C:Q,9,False)</f>
        <v>1</v>
      </c>
      <c r="Q7188" s="93" t="str">
        <f>VLOOKUP(E7188,DATABASE!C:Q,4,false)</f>
        <v>GiTi</v>
      </c>
      <c r="R7188" s="93" t="str">
        <f>VLOOKUP(E7188,DATABASE!C:Q,11,false)</f>
        <v>Tire</v>
      </c>
    </row>
    <row r="7189" ht="22.5" customHeight="1">
      <c r="A7189" s="49"/>
      <c r="C7189" s="400">
        <v>46080.0</v>
      </c>
      <c r="D7189" s="524">
        <v>461.0</v>
      </c>
      <c r="E7189" s="544" t="s">
        <v>2555</v>
      </c>
      <c r="F7189" s="387">
        <v>1.0</v>
      </c>
      <c r="G7189" s="140">
        <v>610000.0</v>
      </c>
      <c r="H7189" s="74"/>
      <c r="I7189" s="74">
        <f t="shared" si="1"/>
        <v>610000</v>
      </c>
      <c r="J7189" s="74">
        <f>IF(E7189="SERVICE",I7189-(I7189*50%),Vlookup(E7189,DATABASE!C:Q,10,false)*F7189)</f>
        <v>0</v>
      </c>
      <c r="K7189" s="74">
        <f>VLOOKUP(E7189,DATABASE!C:Q,7,false)</f>
        <v>520000</v>
      </c>
      <c r="L7189" s="74">
        <v>520000.0</v>
      </c>
      <c r="M7189" s="74">
        <f t="shared" si="2"/>
        <v>520000</v>
      </c>
      <c r="N7189" s="74">
        <f t="shared" si="3"/>
        <v>90000</v>
      </c>
      <c r="O7189" s="65" t="str">
        <f>VLOOKUP(E7189,DATABASE!C:Q,8,false)</f>
        <v>BIAN</v>
      </c>
      <c r="P7189" s="65">
        <f>VLOOKUP(E7189,DATABASE!C:Q,9,False)</f>
        <v>1</v>
      </c>
      <c r="Q7189" s="93" t="str">
        <f>VLOOKUP(E7189,DATABASE!C:Q,4,false)</f>
        <v>Laufen</v>
      </c>
      <c r="R7189" s="93" t="str">
        <f>VLOOKUP(E7189,DATABASE!C:Q,11,false)</f>
        <v>Tire</v>
      </c>
    </row>
    <row r="7190" ht="22.5" customHeight="1">
      <c r="A7190" s="49"/>
      <c r="C7190" s="400">
        <v>46080.0</v>
      </c>
      <c r="D7190" s="524">
        <v>462.0</v>
      </c>
      <c r="E7190" s="544" t="s">
        <v>2621</v>
      </c>
      <c r="F7190" s="387">
        <v>10.0</v>
      </c>
      <c r="G7190" s="140">
        <v>180000.0</v>
      </c>
      <c r="H7190" s="140">
        <v>10000.0</v>
      </c>
      <c r="I7190" s="74">
        <f t="shared" si="1"/>
        <v>1700000</v>
      </c>
      <c r="J7190" s="74">
        <f>IF(E7190="SERVICE",I7190-(I7190*50%),Vlookup(E7190,DATABASE!C:Q,10,false)*F7190)</f>
        <v>0</v>
      </c>
      <c r="K7190" s="74">
        <f>VLOOKUP(E7190,DATABASE!C:Q,7,false)</f>
        <v>141160</v>
      </c>
      <c r="L7190" s="74">
        <v>130137.0</v>
      </c>
      <c r="M7190" s="74">
        <f t="shared" si="2"/>
        <v>135000</v>
      </c>
      <c r="N7190" s="74">
        <f t="shared" si="3"/>
        <v>350000</v>
      </c>
      <c r="O7190" s="65" t="str">
        <f>VLOOKUP(E7190,DATABASE!C:Q,8,false)</f>
        <v>BIAN</v>
      </c>
      <c r="P7190" s="65">
        <f>VLOOKUP(E7190,DATABASE!C:Q,9,False)</f>
        <v>1</v>
      </c>
      <c r="Q7190" s="93" t="str">
        <f>VLOOKUP(E7190,DATABASE!C:Q,4,false)</f>
        <v>IBK light</v>
      </c>
      <c r="R7190" s="93" t="str">
        <f>VLOOKUP(E7190,DATABASE!C:Q,11,false)</f>
        <v>Tire</v>
      </c>
    </row>
    <row r="7191" ht="22.5" customHeight="1">
      <c r="A7191" s="49"/>
      <c r="C7191" s="400">
        <v>46080.0</v>
      </c>
      <c r="D7191" s="524">
        <v>462.0</v>
      </c>
      <c r="E7191" s="544" t="s">
        <v>2622</v>
      </c>
      <c r="F7191" s="387">
        <v>10.0</v>
      </c>
      <c r="G7191" s="140">
        <v>150000.0</v>
      </c>
      <c r="H7191" s="140">
        <v>10000.0</v>
      </c>
      <c r="I7191" s="74">
        <f t="shared" si="1"/>
        <v>1400000</v>
      </c>
      <c r="J7191" s="74">
        <f>IF(E7191="SERVICE",I7191-(I7191*50%),Vlookup(E7191,DATABASE!C:Q,10,false)*F7191)</f>
        <v>0</v>
      </c>
      <c r="K7191" s="74">
        <f>VLOOKUP(E7191,DATABASE!C:Q,7,false)</f>
        <v>85695</v>
      </c>
      <c r="L7191" s="74">
        <v>85695.0</v>
      </c>
      <c r="M7191" s="74">
        <f t="shared" si="2"/>
        <v>90000</v>
      </c>
      <c r="N7191" s="74">
        <f t="shared" si="3"/>
        <v>500000</v>
      </c>
      <c r="O7191" s="65" t="str">
        <f>VLOOKUP(E7191,DATABASE!C:Q,8,false)</f>
        <v>BIAN</v>
      </c>
      <c r="P7191" s="65">
        <f>VLOOKUP(E7191,DATABASE!C:Q,9,False)</f>
        <v>1</v>
      </c>
      <c r="Q7191" s="93" t="str">
        <f>VLOOKUP(E7191,DATABASE!C:Q,4,false)</f>
        <v>IBK</v>
      </c>
      <c r="R7191" s="93" t="str">
        <f>VLOOKUP(E7191,DATABASE!C:Q,11,false)</f>
        <v>Tire</v>
      </c>
    </row>
    <row r="7192" ht="22.5" customHeight="1">
      <c r="A7192" s="49"/>
      <c r="C7192" s="400">
        <v>46080.0</v>
      </c>
      <c r="D7192" s="524">
        <v>463.0</v>
      </c>
      <c r="E7192" s="544" t="s">
        <v>282</v>
      </c>
      <c r="F7192" s="387">
        <v>2.0</v>
      </c>
      <c r="G7192" s="140">
        <v>870000.0</v>
      </c>
      <c r="H7192" s="74"/>
      <c r="I7192" s="74">
        <f t="shared" si="1"/>
        <v>1740000</v>
      </c>
      <c r="J7192" s="74">
        <f>IF(E7192="SERVICE",I7192-(I7192*50%),Vlookup(E7192,DATABASE!C:Q,10,false)*F7192)</f>
        <v>0</v>
      </c>
      <c r="K7192" s="74">
        <f>VLOOKUP(E7192,DATABASE!C:Q,7,false)</f>
        <v>779500</v>
      </c>
      <c r="L7192" s="74">
        <v>771000.0</v>
      </c>
      <c r="M7192" s="74">
        <f t="shared" si="2"/>
        <v>775000</v>
      </c>
      <c r="N7192" s="74">
        <f t="shared" si="3"/>
        <v>190000</v>
      </c>
      <c r="O7192" s="65" t="str">
        <f>VLOOKUP(E7192,DATABASE!C:Q,8,false)</f>
        <v>IBU</v>
      </c>
      <c r="P7192" s="65">
        <f>VLOOKUP(E7192,DATABASE!C:Q,9,False)</f>
        <v>1</v>
      </c>
      <c r="Q7192" s="93" t="str">
        <f>VLOOKUP(E7192,DATABASE!C:Q,4,false)</f>
        <v>Dunlop</v>
      </c>
      <c r="R7192" s="93" t="str">
        <f>VLOOKUP(E7192,DATABASE!C:Q,11,false)</f>
        <v>Tire</v>
      </c>
    </row>
    <row r="7193" ht="22.5" customHeight="1">
      <c r="A7193" s="49"/>
      <c r="C7193" s="400">
        <v>46080.0</v>
      </c>
      <c r="D7193" s="69" t="s">
        <v>2717</v>
      </c>
      <c r="E7193" s="544" t="s">
        <v>263</v>
      </c>
      <c r="F7193" s="387">
        <v>1.0</v>
      </c>
      <c r="G7193" s="140">
        <v>320000.0</v>
      </c>
      <c r="H7193" s="74"/>
      <c r="I7193" s="74">
        <f t="shared" si="1"/>
        <v>320000</v>
      </c>
      <c r="J7193" s="74">
        <f>IF(E7193="SERVICE",I7193-(I7193*50%),Vlookup(E7193,DATABASE!C:Q,10,false)*F7193)</f>
        <v>0</v>
      </c>
      <c r="K7193" s="74">
        <f>VLOOKUP(E7193,DATABASE!C:Q,7,false)</f>
        <v>334916</v>
      </c>
      <c r="L7193" s="74">
        <v>287688.0</v>
      </c>
      <c r="M7193" s="74">
        <f t="shared" si="2"/>
        <v>290000</v>
      </c>
      <c r="N7193" s="74">
        <f t="shared" si="3"/>
        <v>30000</v>
      </c>
      <c r="O7193" s="65" t="str">
        <f>VLOOKUP(E7193,DATABASE!C:Q,8,false)</f>
        <v>NON</v>
      </c>
      <c r="P7193" s="65">
        <f>VLOOKUP(E7193,DATABASE!C:Q,9,False)</f>
        <v>0</v>
      </c>
      <c r="Q7193" s="93" t="str">
        <f>VLOOKUP(E7193,DATABASE!C:Q,4,false)</f>
        <v>Shell</v>
      </c>
      <c r="R7193" s="93" t="str">
        <f>VLOOKUP(E7193,DATABASE!C:Q,11,false)</f>
        <v>OIL</v>
      </c>
    </row>
    <row r="7194" ht="22.5" customHeight="1">
      <c r="A7194" s="49"/>
      <c r="C7194" s="400">
        <v>46081.0</v>
      </c>
      <c r="D7194" s="524">
        <v>464.0</v>
      </c>
      <c r="E7194" s="544" t="s">
        <v>614</v>
      </c>
      <c r="F7194" s="387">
        <v>2.0</v>
      </c>
      <c r="G7194" s="140">
        <v>820000.0</v>
      </c>
      <c r="H7194" s="74"/>
      <c r="I7194" s="74">
        <f t="shared" si="1"/>
        <v>1640000</v>
      </c>
      <c r="J7194" s="74">
        <f>IF(E7194="SERVICE",I7194-(I7194*50%),Vlookup(E7194,DATABASE!C:Q,10,false)*F7194)</f>
        <v>0</v>
      </c>
      <c r="K7194" s="74">
        <f>VLOOKUP(E7194,DATABASE!C:Q,7,false)</f>
        <v>754660.6</v>
      </c>
      <c r="L7194" s="74">
        <v>727756.0</v>
      </c>
      <c r="M7194" s="74">
        <f t="shared" si="2"/>
        <v>730000</v>
      </c>
      <c r="N7194" s="74">
        <f t="shared" si="3"/>
        <v>180000</v>
      </c>
      <c r="O7194" s="65" t="str">
        <f>VLOOKUP(E7194,DATABASE!C:Q,8,false)</f>
        <v>IBU</v>
      </c>
      <c r="P7194" s="65">
        <f>VLOOKUP(E7194,DATABASE!C:Q,9,False)</f>
        <v>1</v>
      </c>
      <c r="Q7194" s="93" t="str">
        <f>VLOOKUP(E7194,DATABASE!C:Q,4,false)</f>
        <v>Bridgestone</v>
      </c>
      <c r="R7194" s="93" t="str">
        <f>VLOOKUP(E7194,DATABASE!C:Q,11,false)</f>
        <v>Tire</v>
      </c>
    </row>
    <row r="7195" ht="22.5" customHeight="1">
      <c r="A7195" s="49"/>
      <c r="C7195" s="400">
        <v>46081.0</v>
      </c>
      <c r="D7195" s="524">
        <v>465.0</v>
      </c>
      <c r="E7195" s="544" t="s">
        <v>268</v>
      </c>
      <c r="F7195" s="387">
        <v>2.0</v>
      </c>
      <c r="G7195" s="140">
        <v>710000.0</v>
      </c>
      <c r="H7195" s="74"/>
      <c r="I7195" s="74">
        <f t="shared" si="1"/>
        <v>1420000</v>
      </c>
      <c r="J7195" s="74">
        <f>IF(E7195="SERVICE",I7195-(I7195*50%),Vlookup(E7195,DATABASE!C:Q,10,false)*F7195)</f>
        <v>0</v>
      </c>
      <c r="K7195" s="74">
        <f>VLOOKUP(E7195,DATABASE!C:Q,7,false)</f>
        <v>653000</v>
      </c>
      <c r="L7195" s="74">
        <v>622000.0</v>
      </c>
      <c r="M7195" s="74">
        <f t="shared" si="2"/>
        <v>625000</v>
      </c>
      <c r="N7195" s="74">
        <f t="shared" si="3"/>
        <v>170000</v>
      </c>
      <c r="O7195" s="65" t="str">
        <f>VLOOKUP(E7195,DATABASE!C:Q,8,false)</f>
        <v>IBU</v>
      </c>
      <c r="P7195" s="65">
        <f>VLOOKUP(E7195,DATABASE!C:Q,9,False)</f>
        <v>1</v>
      </c>
      <c r="Q7195" s="93" t="str">
        <f>VLOOKUP(E7195,DATABASE!C:Q,4,false)</f>
        <v>Dunlop</v>
      </c>
      <c r="R7195" s="93" t="str">
        <f>VLOOKUP(E7195,DATABASE!C:Q,11,false)</f>
        <v>Tire</v>
      </c>
    </row>
    <row r="7196" ht="22.5" customHeight="1">
      <c r="A7196" s="49"/>
      <c r="C7196" s="400">
        <v>46081.0</v>
      </c>
      <c r="D7196" s="524">
        <v>467.0</v>
      </c>
      <c r="E7196" s="544" t="s">
        <v>268</v>
      </c>
      <c r="F7196" s="387">
        <v>1.0</v>
      </c>
      <c r="G7196" s="140">
        <v>710000.0</v>
      </c>
      <c r="H7196" s="74"/>
      <c r="I7196" s="74">
        <f t="shared" si="1"/>
        <v>710000</v>
      </c>
      <c r="J7196" s="74">
        <f>IF(E7196="SERVICE",I7196-(I7196*50%),Vlookup(E7196,DATABASE!C:Q,10,false)*F7196)</f>
        <v>0</v>
      </c>
      <c r="K7196" s="74">
        <f>VLOOKUP(E7196,DATABASE!C:Q,7,false)</f>
        <v>653000</v>
      </c>
      <c r="L7196" s="74">
        <v>622000.0</v>
      </c>
      <c r="M7196" s="74">
        <f t="shared" si="2"/>
        <v>625000</v>
      </c>
      <c r="N7196" s="74">
        <f t="shared" si="3"/>
        <v>85000</v>
      </c>
      <c r="O7196" s="65" t="str">
        <f>VLOOKUP(E7196,DATABASE!C:Q,8,false)</f>
        <v>IBU</v>
      </c>
      <c r="P7196" s="65">
        <f>VLOOKUP(E7196,DATABASE!C:Q,9,False)</f>
        <v>1</v>
      </c>
      <c r="Q7196" s="93" t="str">
        <f>VLOOKUP(E7196,DATABASE!C:Q,4,false)</f>
        <v>Dunlop</v>
      </c>
      <c r="R7196" s="93" t="str">
        <f>VLOOKUP(E7196,DATABASE!C:Q,11,false)</f>
        <v>Tire</v>
      </c>
    </row>
    <row r="7197" ht="22.5" customHeight="1">
      <c r="A7197" s="49"/>
      <c r="C7197" s="400">
        <v>46081.0</v>
      </c>
      <c r="D7197" s="524">
        <v>468.0</v>
      </c>
      <c r="E7197" s="544" t="s">
        <v>1898</v>
      </c>
      <c r="F7197" s="387">
        <v>1.0</v>
      </c>
      <c r="G7197" s="140">
        <v>720000.0</v>
      </c>
      <c r="H7197" s="74"/>
      <c r="I7197" s="74">
        <f t="shared" si="1"/>
        <v>720000</v>
      </c>
      <c r="J7197" s="74">
        <f>IF(E7197="SERVICE",I7197-(I7197*50%),Vlookup(E7197,DATABASE!C:Q,10,false)*F7197)</f>
        <v>0</v>
      </c>
      <c r="K7197" s="74">
        <f>VLOOKUP(E7197,DATABASE!C:Q,7,false)</f>
        <v>640700</v>
      </c>
      <c r="L7197" s="74">
        <v>627400.0</v>
      </c>
      <c r="M7197" s="74">
        <f t="shared" si="2"/>
        <v>630000</v>
      </c>
      <c r="N7197" s="74">
        <f t="shared" si="3"/>
        <v>90000</v>
      </c>
      <c r="O7197" s="65" t="str">
        <f>VLOOKUP(E7197,DATABASE!C:Q,8,false)</f>
        <v>BIAN</v>
      </c>
      <c r="P7197" s="65">
        <f>VLOOKUP(E7197,DATABASE!C:Q,9,False)</f>
        <v>1</v>
      </c>
      <c r="Q7197" s="93" t="str">
        <f>VLOOKUP(E7197,DATABASE!C:Q,4,false)</f>
        <v>GT</v>
      </c>
      <c r="R7197" s="93" t="str">
        <f>VLOOKUP(E7197,DATABASE!C:Q,11,false)</f>
        <v>Tire</v>
      </c>
    </row>
    <row r="7198" ht="22.5" customHeight="1">
      <c r="A7198" s="49"/>
      <c r="C7198" s="400">
        <v>46081.0</v>
      </c>
      <c r="D7198" s="524">
        <v>469.0</v>
      </c>
      <c r="E7198" s="544" t="s">
        <v>282</v>
      </c>
      <c r="F7198" s="387">
        <v>1.0</v>
      </c>
      <c r="G7198" s="140">
        <v>870000.0</v>
      </c>
      <c r="H7198" s="74"/>
      <c r="I7198" s="74">
        <f t="shared" si="1"/>
        <v>870000</v>
      </c>
      <c r="J7198" s="74">
        <f>IF(E7198="SERVICE",I7198-(I7198*50%),Vlookup(E7198,DATABASE!C:Q,10,false)*F7198)</f>
        <v>0</v>
      </c>
      <c r="K7198" s="74">
        <f>VLOOKUP(E7198,DATABASE!C:Q,7,false)</f>
        <v>779500</v>
      </c>
      <c r="L7198" s="74">
        <v>771000.0</v>
      </c>
      <c r="M7198" s="74">
        <f t="shared" si="2"/>
        <v>775000</v>
      </c>
      <c r="N7198" s="74">
        <f t="shared" si="3"/>
        <v>95000</v>
      </c>
      <c r="O7198" s="65" t="str">
        <f>VLOOKUP(E7198,DATABASE!C:Q,8,false)</f>
        <v>IBU</v>
      </c>
      <c r="P7198" s="65">
        <f>VLOOKUP(E7198,DATABASE!C:Q,9,False)</f>
        <v>1</v>
      </c>
      <c r="Q7198" s="93" t="str">
        <f>VLOOKUP(E7198,DATABASE!C:Q,4,false)</f>
        <v>Dunlop</v>
      </c>
      <c r="R7198" s="93" t="str">
        <f>VLOOKUP(E7198,DATABASE!C:Q,11,false)</f>
        <v>Tire</v>
      </c>
    </row>
    <row r="7199" ht="22.5" customHeight="1">
      <c r="A7199" s="49"/>
      <c r="C7199" s="400">
        <v>46081.0</v>
      </c>
      <c r="D7199" s="524">
        <v>470.0</v>
      </c>
      <c r="E7199" s="544" t="s">
        <v>287</v>
      </c>
      <c r="F7199" s="387">
        <v>2.0</v>
      </c>
      <c r="G7199" s="140">
        <v>780000.0</v>
      </c>
      <c r="H7199" s="74"/>
      <c r="I7199" s="74">
        <f t="shared" si="1"/>
        <v>1560000</v>
      </c>
      <c r="J7199" s="74">
        <f>IF(E7199="SERVICE",I7199-(I7199*50%),Vlookup(E7199,DATABASE!C:Q,10,false)*F7199)</f>
        <v>0</v>
      </c>
      <c r="K7199" s="74">
        <f>VLOOKUP(E7199,DATABASE!C:Q,7,false)</f>
        <v>711000</v>
      </c>
      <c r="L7199" s="74">
        <v>690600.0</v>
      </c>
      <c r="M7199" s="74">
        <f t="shared" si="2"/>
        <v>695000</v>
      </c>
      <c r="N7199" s="74">
        <f t="shared" si="3"/>
        <v>170000</v>
      </c>
      <c r="O7199" s="65" t="str">
        <f>VLOOKUP(E7199,DATABASE!C:Q,8,false)</f>
        <v>BIAN</v>
      </c>
      <c r="P7199" s="65">
        <f>VLOOKUP(E7199,DATABASE!C:Q,9,False)</f>
        <v>1</v>
      </c>
      <c r="Q7199" s="93" t="str">
        <f>VLOOKUP(E7199,DATABASE!C:Q,4,false)</f>
        <v>GT</v>
      </c>
      <c r="R7199" s="93" t="str">
        <f>VLOOKUP(E7199,DATABASE!C:Q,11,false)</f>
        <v>Tire</v>
      </c>
    </row>
    <row r="7200" ht="22.5" customHeight="1">
      <c r="A7200" s="49"/>
      <c r="C7200" s="400">
        <v>46081.0</v>
      </c>
      <c r="D7200" s="524">
        <v>471.0</v>
      </c>
      <c r="E7200" s="544" t="s">
        <v>268</v>
      </c>
      <c r="F7200" s="387">
        <v>2.0</v>
      </c>
      <c r="G7200" s="140">
        <v>710000.0</v>
      </c>
      <c r="H7200" s="74"/>
      <c r="I7200" s="74">
        <f t="shared" si="1"/>
        <v>1420000</v>
      </c>
      <c r="J7200" s="74">
        <f>IF(E7200="SERVICE",I7200-(I7200*50%),Vlookup(E7200,DATABASE!C:Q,10,false)*F7200)</f>
        <v>0</v>
      </c>
      <c r="K7200" s="74">
        <f>VLOOKUP(E7200,DATABASE!C:Q,7,false)</f>
        <v>653000</v>
      </c>
      <c r="L7200" s="74">
        <v>622000.0</v>
      </c>
      <c r="M7200" s="74">
        <f t="shared" si="2"/>
        <v>625000</v>
      </c>
      <c r="N7200" s="74">
        <f t="shared" si="3"/>
        <v>170000</v>
      </c>
      <c r="O7200" s="65" t="str">
        <f>VLOOKUP(E7200,DATABASE!C:Q,8,false)</f>
        <v>IBU</v>
      </c>
      <c r="P7200" s="65">
        <f>VLOOKUP(E7200,DATABASE!C:Q,9,False)</f>
        <v>1</v>
      </c>
      <c r="Q7200" s="93" t="str">
        <f>VLOOKUP(E7200,DATABASE!C:Q,4,false)</f>
        <v>Dunlop</v>
      </c>
      <c r="R7200" s="93" t="str">
        <f>VLOOKUP(E7200,DATABASE!C:Q,11,false)</f>
        <v>Tire</v>
      </c>
    </row>
    <row r="7201" ht="22.5" customHeight="1">
      <c r="A7201" s="49"/>
      <c r="C7201" s="400">
        <v>46081.0</v>
      </c>
      <c r="D7201" s="524">
        <v>472.0</v>
      </c>
      <c r="E7201" s="544" t="s">
        <v>299</v>
      </c>
      <c r="F7201" s="387">
        <v>2.0</v>
      </c>
      <c r="G7201" s="140">
        <v>30000.0</v>
      </c>
      <c r="H7201" s="74"/>
      <c r="I7201" s="74">
        <f t="shared" si="1"/>
        <v>60000</v>
      </c>
      <c r="J7201" s="74">
        <f>IF(E7201="SERVICE",I7201-(I7201*50%),Vlookup(E7201,DATABASE!C:Q,10,false)*F7201)</f>
        <v>0</v>
      </c>
      <c r="K7201" s="74">
        <f>VLOOKUP(E7201,DATABASE!C:Q,7,false)</f>
        <v>10000</v>
      </c>
      <c r="L7201" s="74">
        <v>10000.0</v>
      </c>
      <c r="M7201" s="74">
        <f t="shared" si="2"/>
        <v>10000</v>
      </c>
      <c r="N7201" s="74">
        <f t="shared" si="3"/>
        <v>40000</v>
      </c>
      <c r="O7201" s="65" t="str">
        <f>VLOOKUP(E7201,DATABASE!C:Q,8,false)</f>
        <v>BIAN</v>
      </c>
      <c r="P7201" s="65">
        <f>VLOOKUP(E7201,DATABASE!C:Q,9,False)</f>
        <v>0</v>
      </c>
      <c r="Q7201" s="93" t="str">
        <f>VLOOKUP(E7201,DATABASE!C:Q,4,false)</f>
        <v>Balancing</v>
      </c>
      <c r="R7201" s="93" t="str">
        <f>VLOOKUP(E7201,DATABASE!C:Q,11,false)</f>
        <v>COMPLEMENTARY</v>
      </c>
    </row>
    <row r="7202" ht="22.5" customHeight="1">
      <c r="A7202" s="49"/>
      <c r="C7202" s="400">
        <v>46081.0</v>
      </c>
      <c r="D7202" s="524">
        <v>473.0</v>
      </c>
      <c r="E7202" s="544" t="s">
        <v>604</v>
      </c>
      <c r="F7202" s="387">
        <v>1.0</v>
      </c>
      <c r="G7202" s="140">
        <v>170000.0</v>
      </c>
      <c r="H7202" s="140">
        <v>10000.0</v>
      </c>
      <c r="I7202" s="74">
        <f t="shared" si="1"/>
        <v>160000</v>
      </c>
      <c r="J7202" s="74">
        <f>IF(E7202="SERVICE",I7202-(I7202*50%),Vlookup(E7202,DATABASE!C:Q,10,false)*F7202)</f>
        <v>0</v>
      </c>
      <c r="K7202" s="74">
        <f>VLOOKUP(E7202,DATABASE!C:Q,7,false)</f>
        <v>124000</v>
      </c>
      <c r="L7202" s="74">
        <v>124000.0</v>
      </c>
      <c r="M7202" s="74">
        <f t="shared" si="2"/>
        <v>125000</v>
      </c>
      <c r="N7202" s="74">
        <f t="shared" si="3"/>
        <v>35000</v>
      </c>
      <c r="O7202" s="65" t="str">
        <f>VLOOKUP(E7202,DATABASE!C:Q,8,false)</f>
        <v>BIAN</v>
      </c>
      <c r="P7202" s="65">
        <f>VLOOKUP(E7202,DATABASE!C:Q,9,False)</f>
        <v>1</v>
      </c>
      <c r="Q7202" s="93" t="str">
        <f>VLOOKUP(E7202,DATABASE!C:Q,4,false)</f>
        <v>BD</v>
      </c>
      <c r="R7202" s="93" t="str">
        <f>VLOOKUP(E7202,DATABASE!C:Q,11,false)</f>
        <v>Tire</v>
      </c>
    </row>
    <row r="7203" ht="22.5" customHeight="1">
      <c r="A7203" s="49"/>
      <c r="C7203" s="400">
        <v>46081.0</v>
      </c>
      <c r="D7203" s="524">
        <v>474.0</v>
      </c>
      <c r="E7203" s="544" t="s">
        <v>2623</v>
      </c>
      <c r="F7203" s="387">
        <v>4.0</v>
      </c>
      <c r="G7203" s="140">
        <v>960000.0</v>
      </c>
      <c r="H7203" s="74"/>
      <c r="I7203" s="74">
        <f t="shared" si="1"/>
        <v>3840000</v>
      </c>
      <c r="J7203" s="74">
        <f>IF(E7203="SERVICE",I7203-(I7203*50%),Vlookup(E7203,DATABASE!C:Q,10,false)*F7203)</f>
        <v>0</v>
      </c>
      <c r="K7203" s="74">
        <f>VLOOKUP(E7203,DATABASE!C:Q,7,false)</f>
        <v>855500</v>
      </c>
      <c r="L7203" s="74">
        <v>855500.0</v>
      </c>
      <c r="M7203" s="74">
        <f t="shared" si="2"/>
        <v>860000</v>
      </c>
      <c r="N7203" s="74">
        <f t="shared" si="3"/>
        <v>400000</v>
      </c>
      <c r="O7203" s="65" t="str">
        <f>VLOOKUP(E7203,DATABASE!C:Q,8,false)</f>
        <v>BIAN</v>
      </c>
      <c r="P7203" s="65">
        <f>VLOOKUP(E7203,DATABASE!C:Q,9,False)</f>
        <v>1</v>
      </c>
      <c r="Q7203" s="93" t="str">
        <f>VLOOKUP(E7203,DATABASE!C:Q,4,false)</f>
        <v>GT</v>
      </c>
      <c r="R7203" s="93" t="str">
        <f>VLOOKUP(E7203,DATABASE!C:Q,11,false)</f>
        <v>Tire</v>
      </c>
    </row>
    <row r="7204" ht="22.5" customHeight="1">
      <c r="A7204" s="49"/>
      <c r="C7204" s="400">
        <v>46081.0</v>
      </c>
      <c r="D7204" s="524">
        <v>475.0</v>
      </c>
      <c r="E7204" s="544" t="s">
        <v>1951</v>
      </c>
      <c r="F7204" s="387">
        <v>1.0</v>
      </c>
      <c r="G7204" s="140">
        <v>860000.0</v>
      </c>
      <c r="H7204" s="74"/>
      <c r="I7204" s="74">
        <f t="shared" si="1"/>
        <v>860000</v>
      </c>
      <c r="J7204" s="74">
        <f>IF(E7204="SERVICE",I7204-(I7204*50%),Vlookup(E7204,DATABASE!C:Q,10,false)*F7204)</f>
        <v>0</v>
      </c>
      <c r="K7204" s="74">
        <f>VLOOKUP(E7204,DATABASE!C:Q,7,false)</f>
        <v>757300</v>
      </c>
      <c r="L7204" s="74">
        <v>757300.0</v>
      </c>
      <c r="M7204" s="74">
        <f t="shared" si="2"/>
        <v>760000</v>
      </c>
      <c r="N7204" s="74">
        <f t="shared" si="3"/>
        <v>100000</v>
      </c>
      <c r="O7204" s="65" t="str">
        <f>VLOOKUP(E7204,DATABASE!C:Q,8,false)</f>
        <v>BIAN</v>
      </c>
      <c r="P7204" s="65">
        <f>VLOOKUP(E7204,DATABASE!C:Q,9,False)</f>
        <v>1</v>
      </c>
      <c r="Q7204" s="93" t="str">
        <f>VLOOKUP(E7204,DATABASE!C:Q,4,false)</f>
        <v>GT</v>
      </c>
      <c r="R7204" s="93" t="str">
        <f>VLOOKUP(E7204,DATABASE!C:Q,11,false)</f>
        <v>Tire</v>
      </c>
    </row>
    <row r="7205" ht="22.5" customHeight="1">
      <c r="A7205" s="49"/>
      <c r="C7205" s="400">
        <v>46081.0</v>
      </c>
      <c r="D7205" s="524">
        <v>475.0</v>
      </c>
      <c r="E7205" s="544" t="s">
        <v>299</v>
      </c>
      <c r="F7205" s="387">
        <v>1.0</v>
      </c>
      <c r="G7205" s="140">
        <v>30000.0</v>
      </c>
      <c r="H7205" s="74"/>
      <c r="I7205" s="74">
        <f t="shared" si="1"/>
        <v>30000</v>
      </c>
      <c r="J7205" s="74">
        <f>IF(E7205="SERVICE",I7205-(I7205*50%),Vlookup(E7205,DATABASE!C:Q,10,false)*F7205)</f>
        <v>0</v>
      </c>
      <c r="K7205" s="74">
        <f>VLOOKUP(E7205,DATABASE!C:Q,7,false)</f>
        <v>10000</v>
      </c>
      <c r="L7205" s="74">
        <v>10000.0</v>
      </c>
      <c r="M7205" s="74">
        <f t="shared" si="2"/>
        <v>10000</v>
      </c>
      <c r="N7205" s="74">
        <f t="shared" si="3"/>
        <v>20000</v>
      </c>
      <c r="O7205" s="65" t="str">
        <f>VLOOKUP(E7205,DATABASE!C:Q,8,false)</f>
        <v>BIAN</v>
      </c>
      <c r="P7205" s="65">
        <f>VLOOKUP(E7205,DATABASE!C:Q,9,False)</f>
        <v>0</v>
      </c>
      <c r="Q7205" s="93" t="str">
        <f>VLOOKUP(E7205,DATABASE!C:Q,4,false)</f>
        <v>Balancing</v>
      </c>
      <c r="R7205" s="93" t="str">
        <f>VLOOKUP(E7205,DATABASE!C:Q,11,false)</f>
        <v>COMPLEMENTARY</v>
      </c>
    </row>
    <row r="7206" ht="22.5" customHeight="1">
      <c r="A7206" s="49"/>
      <c r="C7206" s="400">
        <v>46081.0</v>
      </c>
      <c r="D7206" s="69" t="s">
        <v>2718</v>
      </c>
      <c r="E7206" s="544" t="s">
        <v>252</v>
      </c>
      <c r="F7206" s="387">
        <v>1.0</v>
      </c>
      <c r="G7206" s="140">
        <v>300000.0</v>
      </c>
      <c r="H7206" s="74"/>
      <c r="I7206" s="74">
        <f t="shared" si="1"/>
        <v>300000</v>
      </c>
      <c r="J7206" s="74">
        <f>IF(E7206="SERVICE",I7206-(I7206*50%),Vlookup(E7206,DATABASE!C:Q,10,false)*F7206)</f>
        <v>0</v>
      </c>
      <c r="K7206" s="74">
        <f>VLOOKUP(E7206,DATABASE!C:Q,7,false)</f>
        <v>317518</v>
      </c>
      <c r="L7206" s="74">
        <v>271778.0</v>
      </c>
      <c r="M7206" s="74">
        <f t="shared" si="2"/>
        <v>275000</v>
      </c>
      <c r="N7206" s="74">
        <f t="shared" si="3"/>
        <v>25000</v>
      </c>
      <c r="O7206" s="65" t="str">
        <f>VLOOKUP(E7206,DATABASE!C:Q,8,false)</f>
        <v>NON</v>
      </c>
      <c r="P7206" s="65">
        <f>VLOOKUP(E7206,DATABASE!C:Q,9,False)</f>
        <v>0</v>
      </c>
      <c r="Q7206" s="93" t="str">
        <f>VLOOKUP(E7206,DATABASE!C:Q,4,false)</f>
        <v>Shell</v>
      </c>
      <c r="R7206" s="93" t="str">
        <f>VLOOKUP(E7206,DATABASE!C:Q,11,false)</f>
        <v>OIL</v>
      </c>
    </row>
    <row r="7207" ht="22.5" customHeight="1">
      <c r="A7207" s="49"/>
      <c r="C7207" s="400">
        <v>46081.0</v>
      </c>
      <c r="D7207" s="69" t="s">
        <v>2718</v>
      </c>
      <c r="E7207" s="544" t="s">
        <v>2178</v>
      </c>
      <c r="F7207" s="387">
        <v>2.0</v>
      </c>
      <c r="G7207" s="140">
        <v>80000.0</v>
      </c>
      <c r="H7207" s="74"/>
      <c r="I7207" s="74">
        <f t="shared" si="1"/>
        <v>160000</v>
      </c>
      <c r="J7207" s="74">
        <f>IF(E7207="SERVICE",I7207-(I7207*50%),Vlookup(E7207,DATABASE!C:Q,10,false)*F7207)</f>
        <v>0</v>
      </c>
      <c r="K7207" s="74">
        <f>VLOOKUP(E7207,DATABASE!C:Q,7,false)</f>
        <v>80931</v>
      </c>
      <c r="L7207" s="74">
        <v>69272.0</v>
      </c>
      <c r="M7207" s="74">
        <f t="shared" si="2"/>
        <v>70000</v>
      </c>
      <c r="N7207" s="74">
        <f t="shared" si="3"/>
        <v>20000</v>
      </c>
      <c r="O7207" s="65" t="str">
        <f>VLOOKUP(E7207,DATABASE!C:Q,8,false)</f>
        <v>NON</v>
      </c>
      <c r="P7207" s="65">
        <f>VLOOKUP(E7207,DATABASE!C:Q,9,False)</f>
        <v>0</v>
      </c>
      <c r="Q7207" s="93" t="str">
        <f>VLOOKUP(E7207,DATABASE!C:Q,4,false)</f>
        <v>Shell</v>
      </c>
      <c r="R7207" s="93" t="str">
        <f>VLOOKUP(E7207,DATABASE!C:Q,11,false)</f>
        <v>OIL</v>
      </c>
    </row>
    <row r="7208" ht="22.5" customHeight="1">
      <c r="A7208" s="49"/>
      <c r="C7208" s="400">
        <v>46081.0</v>
      </c>
      <c r="D7208" s="69" t="s">
        <v>2719</v>
      </c>
      <c r="E7208" s="544" t="s">
        <v>263</v>
      </c>
      <c r="F7208" s="387">
        <v>1.0</v>
      </c>
      <c r="G7208" s="140">
        <v>320000.0</v>
      </c>
      <c r="H7208" s="74"/>
      <c r="I7208" s="74">
        <f t="shared" si="1"/>
        <v>320000</v>
      </c>
      <c r="J7208" s="74">
        <f>IF(E7208="SERVICE",I7208-(I7208*50%),Vlookup(E7208,DATABASE!C:Q,10,false)*F7208)</f>
        <v>0</v>
      </c>
      <c r="K7208" s="74">
        <f>VLOOKUP(E7208,DATABASE!C:Q,7,false)</f>
        <v>334916</v>
      </c>
      <c r="L7208" s="74">
        <v>287688.0</v>
      </c>
      <c r="M7208" s="74">
        <f t="shared" si="2"/>
        <v>290000</v>
      </c>
      <c r="N7208" s="74">
        <f t="shared" si="3"/>
        <v>30000</v>
      </c>
      <c r="O7208" s="65" t="str">
        <f>VLOOKUP(E7208,DATABASE!C:Q,8,false)</f>
        <v>NON</v>
      </c>
      <c r="P7208" s="65">
        <f>VLOOKUP(E7208,DATABASE!C:Q,9,False)</f>
        <v>0</v>
      </c>
      <c r="Q7208" s="93" t="str">
        <f>VLOOKUP(E7208,DATABASE!C:Q,4,false)</f>
        <v>Shell</v>
      </c>
      <c r="R7208" s="93" t="str">
        <f>VLOOKUP(E7208,DATABASE!C:Q,11,false)</f>
        <v>OIL</v>
      </c>
    </row>
    <row r="7209" ht="22.5" customHeight="1">
      <c r="A7209" s="49"/>
      <c r="C7209" s="400">
        <v>46082.0</v>
      </c>
      <c r="D7209" s="524">
        <v>466.0</v>
      </c>
      <c r="E7209" s="544" t="s">
        <v>591</v>
      </c>
      <c r="F7209" s="387">
        <v>1.0</v>
      </c>
      <c r="G7209" s="140">
        <v>700000.0</v>
      </c>
      <c r="H7209" s="140">
        <v>10000.0</v>
      </c>
      <c r="I7209" s="74">
        <f t="shared" si="1"/>
        <v>690000</v>
      </c>
      <c r="J7209" s="74">
        <f>IF(E7209="SERVICE",I7209-(I7209*50%),Vlookup(E7209,DATABASE!C:Q,10,false)*F7209)</f>
        <v>0</v>
      </c>
      <c r="K7209" s="74">
        <f>VLOOKUP(E7209,DATABASE!C:Q,7,false)</f>
        <v>633035.16</v>
      </c>
      <c r="L7209" s="74">
        <v>609844.4</v>
      </c>
      <c r="M7209" s="74">
        <f t="shared" si="2"/>
        <v>610000</v>
      </c>
      <c r="N7209" s="74">
        <f t="shared" si="3"/>
        <v>80000</v>
      </c>
      <c r="O7209" s="65" t="str">
        <f>VLOOKUP(E7209,DATABASE!C:Q,8,false)</f>
        <v>IBU</v>
      </c>
      <c r="P7209" s="65">
        <f>VLOOKUP(E7209,DATABASE!C:Q,9,False)</f>
        <v>1</v>
      </c>
      <c r="Q7209" s="93" t="str">
        <f>VLOOKUP(E7209,DATABASE!C:Q,4,false)</f>
        <v>Bridgestone</v>
      </c>
      <c r="R7209" s="93" t="str">
        <f>VLOOKUP(E7209,DATABASE!C:Q,11,false)</f>
        <v>Tire</v>
      </c>
    </row>
    <row r="7210" ht="22.5" customHeight="1">
      <c r="A7210" s="49"/>
      <c r="C7210" s="400">
        <v>46082.0</v>
      </c>
      <c r="D7210" s="524">
        <v>466.0</v>
      </c>
      <c r="E7210" s="544" t="s">
        <v>271</v>
      </c>
      <c r="F7210" s="387">
        <v>1.0</v>
      </c>
      <c r="G7210" s="140">
        <v>630000.0</v>
      </c>
      <c r="H7210" s="140">
        <v>10000.0</v>
      </c>
      <c r="I7210" s="74">
        <f t="shared" si="1"/>
        <v>620000</v>
      </c>
      <c r="J7210" s="74">
        <f>IF(E7210="SERVICE",I7210-(I7210*50%),Vlookup(E7210,DATABASE!C:Q,10,false)*F7210)</f>
        <v>0</v>
      </c>
      <c r="K7210" s="74">
        <f>VLOOKUP(E7210,DATABASE!C:Q,7,false)</f>
        <v>570000</v>
      </c>
      <c r="L7210" s="74">
        <v>539000.0</v>
      </c>
      <c r="M7210" s="74">
        <f t="shared" si="2"/>
        <v>540000</v>
      </c>
      <c r="N7210" s="74">
        <f t="shared" si="3"/>
        <v>80000</v>
      </c>
      <c r="O7210" s="65" t="str">
        <f>VLOOKUP(E7210,DATABASE!C:Q,8,false)</f>
        <v>IBU</v>
      </c>
      <c r="P7210" s="65">
        <f>VLOOKUP(E7210,DATABASE!C:Q,9,False)</f>
        <v>1</v>
      </c>
      <c r="Q7210" s="93" t="str">
        <f>VLOOKUP(E7210,DATABASE!C:Q,4,false)</f>
        <v>Dunlop</v>
      </c>
      <c r="R7210" s="93" t="str">
        <f>VLOOKUP(E7210,DATABASE!C:Q,11,false)</f>
        <v>Tire</v>
      </c>
    </row>
    <row r="7211" ht="22.5" customHeight="1">
      <c r="A7211" s="49"/>
      <c r="C7211" s="400">
        <v>46082.0</v>
      </c>
      <c r="D7211" s="524">
        <v>466.0</v>
      </c>
      <c r="E7211" s="544" t="s">
        <v>1867</v>
      </c>
      <c r="F7211" s="387">
        <v>2.0</v>
      </c>
      <c r="G7211" s="140">
        <v>650000.0</v>
      </c>
      <c r="H7211" s="140">
        <v>10000.0</v>
      </c>
      <c r="I7211" s="74">
        <f t="shared" si="1"/>
        <v>1280000</v>
      </c>
      <c r="J7211" s="74">
        <f>IF(E7211="SERVICE",I7211-(I7211*50%),Vlookup(E7211,DATABASE!C:Q,10,false)*F7211)</f>
        <v>0</v>
      </c>
      <c r="K7211" s="74">
        <f>VLOOKUP(E7211,DATABASE!C:Q,7,false)</f>
        <v>575200</v>
      </c>
      <c r="L7211" s="74">
        <v>558200.0</v>
      </c>
      <c r="M7211" s="74">
        <f t="shared" si="2"/>
        <v>560000</v>
      </c>
      <c r="N7211" s="74">
        <f t="shared" si="3"/>
        <v>160000</v>
      </c>
      <c r="O7211" s="65" t="str">
        <f>VLOOKUP(E7211,DATABASE!C:Q,8,false)</f>
        <v>BIAN</v>
      </c>
      <c r="P7211" s="65">
        <f>VLOOKUP(E7211,DATABASE!C:Q,9,False)</f>
        <v>1</v>
      </c>
      <c r="Q7211" s="93" t="str">
        <f>VLOOKUP(E7211,DATABASE!C:Q,4,false)</f>
        <v>GT</v>
      </c>
      <c r="R7211" s="93" t="str">
        <f>VLOOKUP(E7211,DATABASE!C:Q,11,false)</f>
        <v>Tire</v>
      </c>
    </row>
    <row r="7212" ht="22.5" customHeight="1">
      <c r="A7212" s="49"/>
      <c r="C7212" s="400">
        <v>46082.0</v>
      </c>
      <c r="D7212" s="524">
        <v>466.0</v>
      </c>
      <c r="E7212" s="544" t="s">
        <v>286</v>
      </c>
      <c r="F7212" s="387">
        <v>4.0</v>
      </c>
      <c r="G7212" s="140">
        <v>560000.0</v>
      </c>
      <c r="H7212" s="140">
        <v>10000.0</v>
      </c>
      <c r="I7212" s="74">
        <f t="shared" si="1"/>
        <v>2200000</v>
      </c>
      <c r="J7212" s="74">
        <f>IF(E7212="SERVICE",I7212-(I7212*50%),Vlookup(E7212,DATABASE!C:Q,10,false)*F7212)</f>
        <v>0</v>
      </c>
      <c r="K7212" s="74">
        <f>VLOOKUP(E7212,DATABASE!C:Q,7,false)</f>
        <v>488320</v>
      </c>
      <c r="L7212" s="74">
        <v>452970.0</v>
      </c>
      <c r="M7212" s="74">
        <f t="shared" si="2"/>
        <v>455000</v>
      </c>
      <c r="N7212" s="74">
        <f t="shared" si="3"/>
        <v>380000</v>
      </c>
      <c r="O7212" s="65" t="str">
        <f>VLOOKUP(E7212,DATABASE!C:Q,8,false)</f>
        <v>BIAN</v>
      </c>
      <c r="P7212" s="65">
        <f>VLOOKUP(E7212,DATABASE!C:Q,9,False)</f>
        <v>1</v>
      </c>
      <c r="Q7212" s="93" t="str">
        <f>VLOOKUP(E7212,DATABASE!C:Q,4,false)</f>
        <v>GT</v>
      </c>
      <c r="R7212" s="93" t="str">
        <f>VLOOKUP(E7212,DATABASE!C:Q,11,false)</f>
        <v>Tire</v>
      </c>
    </row>
    <row r="7213" ht="22.5" customHeight="1">
      <c r="A7213" s="49"/>
      <c r="C7213" s="400">
        <v>46082.0</v>
      </c>
      <c r="D7213" s="524">
        <v>476.0</v>
      </c>
      <c r="E7213" s="544" t="s">
        <v>932</v>
      </c>
      <c r="F7213" s="387">
        <v>4.0</v>
      </c>
      <c r="G7213" s="140">
        <v>680000.0</v>
      </c>
      <c r="H7213" s="74"/>
      <c r="I7213" s="74">
        <f t="shared" si="1"/>
        <v>2720000</v>
      </c>
      <c r="J7213" s="74">
        <f>IF(E7213="SERVICE",I7213-(I7213*50%),Vlookup(E7213,DATABASE!C:Q,10,false)*F7213)</f>
        <v>0</v>
      </c>
      <c r="K7213" s="74">
        <f>VLOOKUP(E7213,DATABASE!C:Q,7,false)</f>
        <v>601000</v>
      </c>
      <c r="L7213" s="74">
        <v>595000.0</v>
      </c>
      <c r="M7213" s="74">
        <f t="shared" si="2"/>
        <v>595000</v>
      </c>
      <c r="N7213" s="74">
        <f t="shared" si="3"/>
        <v>340000</v>
      </c>
      <c r="O7213" s="65" t="str">
        <f>VLOOKUP(E7213,DATABASE!C:Q,8,false)</f>
        <v>IBU</v>
      </c>
      <c r="P7213" s="65">
        <f>VLOOKUP(E7213,DATABASE!C:Q,9,False)</f>
        <v>1</v>
      </c>
      <c r="Q7213" s="93" t="str">
        <f>VLOOKUP(E7213,DATABASE!C:Q,4,false)</f>
        <v>Dunlop</v>
      </c>
      <c r="R7213" s="93" t="str">
        <f>VLOOKUP(E7213,DATABASE!C:Q,11,false)</f>
        <v>Tire</v>
      </c>
    </row>
    <row r="7214" ht="22.5" customHeight="1">
      <c r="A7214" s="49"/>
      <c r="C7214" s="400">
        <v>46082.0</v>
      </c>
      <c r="D7214" s="524">
        <v>476.0</v>
      </c>
      <c r="E7214" s="544" t="s">
        <v>299</v>
      </c>
      <c r="F7214" s="387">
        <v>2.0</v>
      </c>
      <c r="G7214" s="140">
        <v>30000.0</v>
      </c>
      <c r="H7214" s="74"/>
      <c r="I7214" s="74">
        <f t="shared" si="1"/>
        <v>60000</v>
      </c>
      <c r="J7214" s="74">
        <f>IF(E7214="SERVICE",I7214-(I7214*50%),Vlookup(E7214,DATABASE!C:Q,10,false)*F7214)</f>
        <v>0</v>
      </c>
      <c r="K7214" s="74">
        <f>VLOOKUP(E7214,DATABASE!C:Q,7,false)</f>
        <v>10000</v>
      </c>
      <c r="L7214" s="74">
        <v>10000.0</v>
      </c>
      <c r="M7214" s="74">
        <f t="shared" si="2"/>
        <v>10000</v>
      </c>
      <c r="N7214" s="74">
        <f t="shared" si="3"/>
        <v>40000</v>
      </c>
      <c r="O7214" s="65" t="str">
        <f>VLOOKUP(E7214,DATABASE!C:Q,8,false)</f>
        <v>BIAN</v>
      </c>
      <c r="P7214" s="65">
        <f>VLOOKUP(E7214,DATABASE!C:Q,9,False)</f>
        <v>0</v>
      </c>
      <c r="Q7214" s="93" t="str">
        <f>VLOOKUP(E7214,DATABASE!C:Q,4,false)</f>
        <v>Balancing</v>
      </c>
      <c r="R7214" s="93" t="str">
        <f>VLOOKUP(E7214,DATABASE!C:Q,11,false)</f>
        <v>COMPLEMENTARY</v>
      </c>
    </row>
    <row r="7215" ht="22.5" customHeight="1">
      <c r="A7215" s="49"/>
      <c r="C7215" s="400">
        <v>46082.0</v>
      </c>
      <c r="D7215" s="524">
        <v>477.0</v>
      </c>
      <c r="E7215" s="544" t="s">
        <v>287</v>
      </c>
      <c r="F7215" s="387">
        <v>2.0</v>
      </c>
      <c r="G7215" s="140">
        <v>780000.0</v>
      </c>
      <c r="H7215" s="74"/>
      <c r="I7215" s="74">
        <f t="shared" si="1"/>
        <v>1560000</v>
      </c>
      <c r="J7215" s="74">
        <f>IF(E7215="SERVICE",I7215-(I7215*50%),Vlookup(E7215,DATABASE!C:Q,10,false)*F7215)</f>
        <v>0</v>
      </c>
      <c r="K7215" s="74">
        <f>VLOOKUP(E7215,DATABASE!C:Q,7,false)</f>
        <v>711000</v>
      </c>
      <c r="L7215" s="74">
        <v>690600.0</v>
      </c>
      <c r="M7215" s="74">
        <f t="shared" si="2"/>
        <v>695000</v>
      </c>
      <c r="N7215" s="74">
        <f t="shared" si="3"/>
        <v>170000</v>
      </c>
      <c r="O7215" s="65" t="str">
        <f>VLOOKUP(E7215,DATABASE!C:Q,8,false)</f>
        <v>BIAN</v>
      </c>
      <c r="P7215" s="65">
        <f>VLOOKUP(E7215,DATABASE!C:Q,9,False)</f>
        <v>1</v>
      </c>
      <c r="Q7215" s="93" t="str">
        <f>VLOOKUP(E7215,DATABASE!C:Q,4,false)</f>
        <v>GT</v>
      </c>
      <c r="R7215" s="93" t="str">
        <f>VLOOKUP(E7215,DATABASE!C:Q,11,false)</f>
        <v>Tire</v>
      </c>
    </row>
    <row r="7216" ht="22.5" customHeight="1">
      <c r="A7216" s="49"/>
      <c r="C7216" s="400">
        <v>46082.0</v>
      </c>
      <c r="D7216" s="524">
        <v>477.0</v>
      </c>
      <c r="E7216" s="544" t="s">
        <v>299</v>
      </c>
      <c r="F7216" s="387">
        <v>2.0</v>
      </c>
      <c r="G7216" s="140">
        <v>30000.0</v>
      </c>
      <c r="H7216" s="74"/>
      <c r="I7216" s="74">
        <f t="shared" si="1"/>
        <v>60000</v>
      </c>
      <c r="J7216" s="74">
        <f>IF(E7216="SERVICE",I7216-(I7216*50%),Vlookup(E7216,DATABASE!C:Q,10,false)*F7216)</f>
        <v>0</v>
      </c>
      <c r="K7216" s="74">
        <f>VLOOKUP(E7216,DATABASE!C:Q,7,false)</f>
        <v>10000</v>
      </c>
      <c r="L7216" s="74">
        <v>10000.0</v>
      </c>
      <c r="M7216" s="74">
        <f t="shared" si="2"/>
        <v>10000</v>
      </c>
      <c r="N7216" s="74">
        <f t="shared" si="3"/>
        <v>40000</v>
      </c>
      <c r="O7216" s="65" t="str">
        <f>VLOOKUP(E7216,DATABASE!C:Q,8,false)</f>
        <v>BIAN</v>
      </c>
      <c r="P7216" s="65">
        <f>VLOOKUP(E7216,DATABASE!C:Q,9,False)</f>
        <v>0</v>
      </c>
      <c r="Q7216" s="93" t="str">
        <f>VLOOKUP(E7216,DATABASE!C:Q,4,false)</f>
        <v>Balancing</v>
      </c>
      <c r="R7216" s="93" t="str">
        <f>VLOOKUP(E7216,DATABASE!C:Q,11,false)</f>
        <v>COMPLEMENTARY</v>
      </c>
    </row>
    <row r="7217" ht="22.5" customHeight="1">
      <c r="A7217" s="49"/>
      <c r="C7217" s="400">
        <v>46082.0</v>
      </c>
      <c r="D7217" s="524">
        <v>478.0</v>
      </c>
      <c r="E7217" s="544" t="s">
        <v>600</v>
      </c>
      <c r="F7217" s="387">
        <v>2.0</v>
      </c>
      <c r="G7217" s="140">
        <v>680000.0</v>
      </c>
      <c r="H7217" s="74"/>
      <c r="I7217" s="74">
        <f t="shared" si="1"/>
        <v>1360000</v>
      </c>
      <c r="J7217" s="74">
        <f>IF(E7217="SERVICE",I7217-(I7217*50%),Vlookup(E7217,DATABASE!C:Q,10,false)*F7217)</f>
        <v>0</v>
      </c>
      <c r="K7217" s="74">
        <f>VLOOKUP(E7217,DATABASE!C:Q,7,false)</f>
        <v>611109.16</v>
      </c>
      <c r="L7217" s="74">
        <v>588505.8</v>
      </c>
      <c r="M7217" s="74">
        <f t="shared" si="2"/>
        <v>590000</v>
      </c>
      <c r="N7217" s="74">
        <f t="shared" si="3"/>
        <v>180000</v>
      </c>
      <c r="O7217" s="65" t="str">
        <f>VLOOKUP(E7217,DATABASE!C:Q,8,false)</f>
        <v>IBU</v>
      </c>
      <c r="P7217" s="65">
        <f>VLOOKUP(E7217,DATABASE!C:Q,9,False)</f>
        <v>1</v>
      </c>
      <c r="Q7217" s="93" t="str">
        <f>VLOOKUP(E7217,DATABASE!C:Q,4,false)</f>
        <v>Bridgestone</v>
      </c>
      <c r="R7217" s="93" t="str">
        <f>VLOOKUP(E7217,DATABASE!C:Q,11,false)</f>
        <v>Tire</v>
      </c>
    </row>
    <row r="7218" ht="22.5" customHeight="1">
      <c r="A7218" s="49"/>
      <c r="C7218" s="400">
        <v>46082.0</v>
      </c>
      <c r="D7218" s="524">
        <v>478.0</v>
      </c>
      <c r="E7218" s="544" t="s">
        <v>271</v>
      </c>
      <c r="F7218" s="387">
        <v>2.0</v>
      </c>
      <c r="G7218" s="140">
        <v>630000.0</v>
      </c>
      <c r="H7218" s="74"/>
      <c r="I7218" s="74">
        <f t="shared" si="1"/>
        <v>1260000</v>
      </c>
      <c r="J7218" s="74">
        <f>IF(E7218="SERVICE",I7218-(I7218*50%),Vlookup(E7218,DATABASE!C:Q,10,false)*F7218)</f>
        <v>0</v>
      </c>
      <c r="K7218" s="74">
        <f>VLOOKUP(E7218,DATABASE!C:Q,7,false)</f>
        <v>570000</v>
      </c>
      <c r="L7218" s="74">
        <v>539000.0</v>
      </c>
      <c r="M7218" s="74">
        <f t="shared" si="2"/>
        <v>540000</v>
      </c>
      <c r="N7218" s="74">
        <f t="shared" si="3"/>
        <v>180000</v>
      </c>
      <c r="O7218" s="65" t="str">
        <f>VLOOKUP(E7218,DATABASE!C:Q,8,false)</f>
        <v>IBU</v>
      </c>
      <c r="P7218" s="65">
        <f>VLOOKUP(E7218,DATABASE!C:Q,9,False)</f>
        <v>1</v>
      </c>
      <c r="Q7218" s="93" t="str">
        <f>VLOOKUP(E7218,DATABASE!C:Q,4,false)</f>
        <v>Dunlop</v>
      </c>
      <c r="R7218" s="93" t="str">
        <f>VLOOKUP(E7218,DATABASE!C:Q,11,false)</f>
        <v>Tire</v>
      </c>
    </row>
    <row r="7219" ht="22.5" customHeight="1">
      <c r="A7219" s="49"/>
      <c r="C7219" s="400">
        <v>46082.0</v>
      </c>
      <c r="D7219" s="524">
        <v>480.0</v>
      </c>
      <c r="E7219" s="544" t="s">
        <v>614</v>
      </c>
      <c r="F7219" s="387">
        <v>2.0</v>
      </c>
      <c r="G7219" s="140">
        <v>820000.0</v>
      </c>
      <c r="H7219" s="74"/>
      <c r="I7219" s="74">
        <f t="shared" si="1"/>
        <v>1640000</v>
      </c>
      <c r="J7219" s="74">
        <f>IF(E7219="SERVICE",I7219-(I7219*50%),Vlookup(E7219,DATABASE!C:Q,10,false)*F7219)</f>
        <v>0</v>
      </c>
      <c r="K7219" s="74">
        <f>VLOOKUP(E7219,DATABASE!C:Q,7,false)</f>
        <v>754660.6</v>
      </c>
      <c r="L7219" s="74">
        <v>727756.0</v>
      </c>
      <c r="M7219" s="74">
        <f t="shared" si="2"/>
        <v>730000</v>
      </c>
      <c r="N7219" s="74">
        <f t="shared" si="3"/>
        <v>180000</v>
      </c>
      <c r="O7219" s="65" t="str">
        <f>VLOOKUP(E7219,DATABASE!C:Q,8,false)</f>
        <v>IBU</v>
      </c>
      <c r="P7219" s="65">
        <f>VLOOKUP(E7219,DATABASE!C:Q,9,False)</f>
        <v>1</v>
      </c>
      <c r="Q7219" s="93" t="str">
        <f>VLOOKUP(E7219,DATABASE!C:Q,4,false)</f>
        <v>Bridgestone</v>
      </c>
      <c r="R7219" s="93" t="str">
        <f>VLOOKUP(E7219,DATABASE!C:Q,11,false)</f>
        <v>Tire</v>
      </c>
    </row>
    <row r="7220" ht="22.5" customHeight="1">
      <c r="A7220" s="49"/>
      <c r="C7220" s="400">
        <v>46082.0</v>
      </c>
      <c r="D7220" s="69" t="s">
        <v>2720</v>
      </c>
      <c r="E7220" s="544" t="s">
        <v>2178</v>
      </c>
      <c r="F7220" s="387">
        <v>3.0</v>
      </c>
      <c r="G7220" s="140">
        <v>80000.0</v>
      </c>
      <c r="H7220" s="74"/>
      <c r="I7220" s="74">
        <f t="shared" si="1"/>
        <v>240000</v>
      </c>
      <c r="J7220" s="74">
        <f>IF(E7220="SERVICE",I7220-(I7220*50%),Vlookup(E7220,DATABASE!C:Q,10,false)*F7220)</f>
        <v>0</v>
      </c>
      <c r="K7220" s="74">
        <f>VLOOKUP(E7220,DATABASE!C:Q,7,false)</f>
        <v>80931</v>
      </c>
      <c r="L7220" s="74">
        <v>69272.0</v>
      </c>
      <c r="M7220" s="74">
        <f t="shared" si="2"/>
        <v>70000</v>
      </c>
      <c r="N7220" s="74">
        <f t="shared" si="3"/>
        <v>30000</v>
      </c>
      <c r="O7220" s="65" t="str">
        <f>VLOOKUP(E7220,DATABASE!C:Q,8,false)</f>
        <v>NON</v>
      </c>
      <c r="P7220" s="65">
        <f>VLOOKUP(E7220,DATABASE!C:Q,9,False)</f>
        <v>0</v>
      </c>
      <c r="Q7220" s="93" t="str">
        <f>VLOOKUP(E7220,DATABASE!C:Q,4,false)</f>
        <v>Shell</v>
      </c>
      <c r="R7220" s="93" t="str">
        <f>VLOOKUP(E7220,DATABASE!C:Q,11,false)</f>
        <v>OIL</v>
      </c>
    </row>
    <row r="7221" ht="22.5" customHeight="1">
      <c r="A7221" s="49"/>
      <c r="C7221" s="400">
        <v>46083.0</v>
      </c>
      <c r="D7221" s="69">
        <v>481.0</v>
      </c>
      <c r="E7221" s="544" t="s">
        <v>275</v>
      </c>
      <c r="F7221" s="387">
        <v>1.0</v>
      </c>
      <c r="G7221" s="140">
        <v>830000.0</v>
      </c>
      <c r="H7221" s="74"/>
      <c r="I7221" s="74">
        <f t="shared" si="1"/>
        <v>830000</v>
      </c>
      <c r="J7221" s="74">
        <f>IF(E7221="SERVICE",I7221-(I7221*50%),Vlookup(E7221,DATABASE!C:Q,10,false)*F7221)</f>
        <v>0</v>
      </c>
      <c r="K7221" s="74">
        <f>VLOOKUP(E7221,DATABASE!C:Q,7,false)</f>
        <v>782000</v>
      </c>
      <c r="L7221" s="74">
        <v>745000.0</v>
      </c>
      <c r="M7221" s="74">
        <f t="shared" si="2"/>
        <v>745000</v>
      </c>
      <c r="N7221" s="74">
        <f t="shared" si="3"/>
        <v>85000</v>
      </c>
      <c r="O7221" s="65" t="str">
        <f>VLOOKUP(E7221,DATABASE!C:Q,8,false)</f>
        <v>IBU</v>
      </c>
      <c r="P7221" s="65">
        <f>VLOOKUP(E7221,DATABASE!C:Q,9,False)</f>
        <v>1</v>
      </c>
      <c r="Q7221" s="93" t="str">
        <f>VLOOKUP(E7221,DATABASE!C:Q,4,false)</f>
        <v>Dunlop</v>
      </c>
      <c r="R7221" s="93" t="str">
        <f>VLOOKUP(E7221,DATABASE!C:Q,11,false)</f>
        <v>Tire</v>
      </c>
    </row>
    <row r="7222" ht="22.5" customHeight="1">
      <c r="A7222" s="49"/>
      <c r="C7222" s="400">
        <v>46083.0</v>
      </c>
      <c r="D7222" s="524">
        <v>482.0</v>
      </c>
      <c r="E7222" s="544" t="s">
        <v>591</v>
      </c>
      <c r="F7222" s="387">
        <v>1.0</v>
      </c>
      <c r="G7222" s="140">
        <v>700000.0</v>
      </c>
      <c r="H7222" s="74"/>
      <c r="I7222" s="74">
        <f t="shared" si="1"/>
        <v>700000</v>
      </c>
      <c r="J7222" s="74">
        <f>IF(E7222="SERVICE",I7222-(I7222*50%),Vlookup(E7222,DATABASE!C:Q,10,false)*F7222)</f>
        <v>0</v>
      </c>
      <c r="K7222" s="74">
        <f>VLOOKUP(E7222,DATABASE!C:Q,7,false)</f>
        <v>633035.16</v>
      </c>
      <c r="L7222" s="74">
        <v>609844.4</v>
      </c>
      <c r="M7222" s="74">
        <f t="shared" si="2"/>
        <v>610000</v>
      </c>
      <c r="N7222" s="74">
        <f t="shared" si="3"/>
        <v>90000</v>
      </c>
      <c r="O7222" s="65" t="str">
        <f>VLOOKUP(E7222,DATABASE!C:Q,8,false)</f>
        <v>IBU</v>
      </c>
      <c r="P7222" s="65">
        <f>VLOOKUP(E7222,DATABASE!C:Q,9,False)</f>
        <v>1</v>
      </c>
      <c r="Q7222" s="93" t="str">
        <f>VLOOKUP(E7222,DATABASE!C:Q,4,false)</f>
        <v>Bridgestone</v>
      </c>
      <c r="R7222" s="93" t="str">
        <f>VLOOKUP(E7222,DATABASE!C:Q,11,false)</f>
        <v>Tire</v>
      </c>
    </row>
    <row r="7223" ht="22.5" customHeight="1">
      <c r="A7223" s="49"/>
      <c r="C7223" s="400">
        <v>46083.0</v>
      </c>
      <c r="D7223" s="524">
        <v>483.0</v>
      </c>
      <c r="E7223" s="544" t="s">
        <v>591</v>
      </c>
      <c r="F7223" s="387">
        <v>4.0</v>
      </c>
      <c r="G7223" s="140">
        <v>700000.0</v>
      </c>
      <c r="H7223" s="74"/>
      <c r="I7223" s="74">
        <f t="shared" si="1"/>
        <v>2800000</v>
      </c>
      <c r="J7223" s="74">
        <f>IF(E7223="SERVICE",I7223-(I7223*50%),Vlookup(E7223,DATABASE!C:Q,10,false)*F7223)</f>
        <v>0</v>
      </c>
      <c r="K7223" s="74">
        <f>VLOOKUP(E7223,DATABASE!C:Q,7,false)</f>
        <v>633035.16</v>
      </c>
      <c r="L7223" s="74">
        <v>609844.4</v>
      </c>
      <c r="M7223" s="74">
        <f t="shared" si="2"/>
        <v>610000</v>
      </c>
      <c r="N7223" s="74">
        <f t="shared" si="3"/>
        <v>360000</v>
      </c>
      <c r="O7223" s="65" t="str">
        <f>VLOOKUP(E7223,DATABASE!C:Q,8,false)</f>
        <v>IBU</v>
      </c>
      <c r="P7223" s="65">
        <f>VLOOKUP(E7223,DATABASE!C:Q,9,False)</f>
        <v>1</v>
      </c>
      <c r="Q7223" s="93" t="str">
        <f>VLOOKUP(E7223,DATABASE!C:Q,4,false)</f>
        <v>Bridgestone</v>
      </c>
      <c r="R7223" s="93" t="str">
        <f>VLOOKUP(E7223,DATABASE!C:Q,11,false)</f>
        <v>Tire</v>
      </c>
    </row>
    <row r="7224" ht="22.5" customHeight="1">
      <c r="A7224" s="49"/>
      <c r="C7224" s="400">
        <v>46083.0</v>
      </c>
      <c r="D7224" s="69">
        <v>484.0</v>
      </c>
      <c r="E7224" s="544" t="s">
        <v>591</v>
      </c>
      <c r="F7224" s="387">
        <v>1.0</v>
      </c>
      <c r="G7224" s="140">
        <v>700000.0</v>
      </c>
      <c r="H7224" s="74"/>
      <c r="I7224" s="74">
        <f t="shared" si="1"/>
        <v>700000</v>
      </c>
      <c r="J7224" s="74">
        <f>IF(E7224="SERVICE",I7224-(I7224*50%),Vlookup(E7224,DATABASE!C:Q,10,false)*F7224)</f>
        <v>0</v>
      </c>
      <c r="K7224" s="74">
        <f>VLOOKUP(E7224,DATABASE!C:Q,7,false)</f>
        <v>633035.16</v>
      </c>
      <c r="L7224" s="74">
        <v>609844.4</v>
      </c>
      <c r="M7224" s="74">
        <f t="shared" si="2"/>
        <v>610000</v>
      </c>
      <c r="N7224" s="74">
        <f t="shared" si="3"/>
        <v>90000</v>
      </c>
      <c r="O7224" s="65" t="str">
        <f>VLOOKUP(E7224,DATABASE!C:Q,8,false)</f>
        <v>IBU</v>
      </c>
      <c r="P7224" s="65">
        <f>VLOOKUP(E7224,DATABASE!C:Q,9,False)</f>
        <v>1</v>
      </c>
      <c r="Q7224" s="93" t="str">
        <f>VLOOKUP(E7224,DATABASE!C:Q,4,false)</f>
        <v>Bridgestone</v>
      </c>
      <c r="R7224" s="93" t="str">
        <f>VLOOKUP(E7224,DATABASE!C:Q,11,false)</f>
        <v>Tire</v>
      </c>
    </row>
    <row r="7225" ht="22.5" customHeight="1">
      <c r="A7225" s="49"/>
      <c r="C7225" s="400">
        <v>46083.0</v>
      </c>
      <c r="D7225" s="524">
        <v>485.0</v>
      </c>
      <c r="E7225" s="544" t="s">
        <v>461</v>
      </c>
      <c r="F7225" s="387">
        <v>2.0</v>
      </c>
      <c r="G7225" s="140">
        <v>60000.0</v>
      </c>
      <c r="H7225" s="140">
        <v>20000.0</v>
      </c>
      <c r="I7225" s="74">
        <f t="shared" si="1"/>
        <v>80000</v>
      </c>
      <c r="J7225" s="74">
        <f>IF(E7225="SERVICE",I7225-(I7225*50%),Vlookup(E7225,DATABASE!C:Q,10,false)*F7225)</f>
        <v>0</v>
      </c>
      <c r="K7225" s="74">
        <f>VLOOKUP(E7225,DATABASE!C:Q,7,false)</f>
        <v>15000</v>
      </c>
      <c r="L7225" s="74">
        <v>15000.0</v>
      </c>
      <c r="M7225" s="74">
        <f t="shared" si="2"/>
        <v>15000</v>
      </c>
      <c r="N7225" s="74">
        <f t="shared" si="3"/>
        <v>50000</v>
      </c>
      <c r="O7225" s="65" t="str">
        <f>VLOOKUP(E7225,DATABASE!C:Q,8,false)</f>
        <v>BIAN</v>
      </c>
      <c r="P7225" s="65">
        <f>VLOOKUP(E7225,DATABASE!C:Q,9,False)</f>
        <v>0</v>
      </c>
      <c r="Q7225" s="93" t="str">
        <f>VLOOKUP(E7225,DATABASE!C:Q,4,false)</f>
        <v>Balancing</v>
      </c>
      <c r="R7225" s="93" t="str">
        <f>VLOOKUP(E7225,DATABASE!C:Q,11,false)</f>
        <v>COMPLEMENTARY</v>
      </c>
    </row>
    <row r="7226" ht="22.5" customHeight="1">
      <c r="A7226" s="49"/>
      <c r="C7226" s="400">
        <v>46083.0</v>
      </c>
      <c r="D7226" s="524">
        <v>485.0</v>
      </c>
      <c r="E7226" s="544" t="s">
        <v>878</v>
      </c>
      <c r="F7226" s="387">
        <v>1.0</v>
      </c>
      <c r="G7226" s="140">
        <v>50000.0</v>
      </c>
      <c r="H7226" s="74"/>
      <c r="I7226" s="74">
        <f t="shared" si="1"/>
        <v>50000</v>
      </c>
      <c r="J7226" s="74">
        <f>IF(E7226="SERVICE",I7226-(I7226*50%),Vlookup(E7226,DATABASE!C:Q,10,false)*F7226)</f>
        <v>0</v>
      </c>
      <c r="K7226" s="74">
        <f>VLOOKUP(E7226,DATABASE!C:Q,7,false)</f>
        <v>0</v>
      </c>
      <c r="L7226" s="74">
        <v>0.0</v>
      </c>
      <c r="M7226" s="74">
        <f t="shared" si="2"/>
        <v>0</v>
      </c>
      <c r="N7226" s="74">
        <f t="shared" si="3"/>
        <v>50000</v>
      </c>
      <c r="O7226" s="65" t="str">
        <f>VLOOKUP(E7226,DATABASE!C:Q,8,false)</f>
        <v>IBU</v>
      </c>
      <c r="P7226" s="65">
        <f>VLOOKUP(E7226,DATABASE!C:Q,9,False)</f>
        <v>0</v>
      </c>
      <c r="Q7226" s="93" t="str">
        <f>VLOOKUP(E7226,DATABASE!C:Q,4,false)</f>
        <v>Bongkar Pasang 17</v>
      </c>
      <c r="R7226" s="93" t="str">
        <f>VLOOKUP(E7226,DATABASE!C:Q,11,false)</f>
        <v>SERVICE</v>
      </c>
    </row>
    <row r="7227" ht="22.5" customHeight="1">
      <c r="A7227" s="49"/>
      <c r="C7227" s="400">
        <v>46083.0</v>
      </c>
      <c r="D7227" s="524">
        <v>487.0</v>
      </c>
      <c r="E7227" s="544" t="s">
        <v>246</v>
      </c>
      <c r="F7227" s="387">
        <v>4.0</v>
      </c>
      <c r="G7227" s="140">
        <v>35000.0</v>
      </c>
      <c r="H7227" s="140">
        <v>10000.0</v>
      </c>
      <c r="I7227" s="74">
        <f t="shared" si="1"/>
        <v>100000</v>
      </c>
      <c r="J7227" s="74">
        <f>IF(E7227="SERVICE",I7227-(I7227*50%),Vlookup(E7227,DATABASE!C:Q,10,false)*F7227)</f>
        <v>0</v>
      </c>
      <c r="K7227" s="74">
        <f>VLOOKUP(E7227,DATABASE!C:Q,7,false)</f>
        <v>0</v>
      </c>
      <c r="L7227" s="74">
        <v>0.0</v>
      </c>
      <c r="M7227" s="74">
        <f t="shared" si="2"/>
        <v>0</v>
      </c>
      <c r="N7227" s="74">
        <f t="shared" si="3"/>
        <v>100000</v>
      </c>
      <c r="O7227" s="65" t="str">
        <f>VLOOKUP(E7227,DATABASE!C:Q,8,false)</f>
        <v>IBU</v>
      </c>
      <c r="P7227" s="65">
        <f>VLOOKUP(E7227,DATABASE!C:Q,9,False)</f>
        <v>0</v>
      </c>
      <c r="Q7227" s="93" t="str">
        <f>VLOOKUP(E7227,DATABASE!C:Q,4,false)</f>
        <v>Bongkar Pasang</v>
      </c>
      <c r="R7227" s="93" t="str">
        <f>VLOOKUP(E7227,DATABASE!C:Q,11,false)</f>
        <v>SERVICE</v>
      </c>
    </row>
    <row r="7228" ht="22.5" customHeight="1">
      <c r="A7228" s="49"/>
      <c r="C7228" s="400">
        <v>46083.0</v>
      </c>
      <c r="D7228" s="524">
        <v>488.0</v>
      </c>
      <c r="E7228" s="544" t="s">
        <v>275</v>
      </c>
      <c r="F7228" s="387">
        <v>4.0</v>
      </c>
      <c r="G7228" s="140">
        <v>830000.0</v>
      </c>
      <c r="H7228" s="74"/>
      <c r="I7228" s="74">
        <f t="shared" si="1"/>
        <v>3320000</v>
      </c>
      <c r="J7228" s="74">
        <f>IF(E7228="SERVICE",I7228-(I7228*50%),Vlookup(E7228,DATABASE!C:Q,10,false)*F7228)</f>
        <v>0</v>
      </c>
      <c r="K7228" s="74">
        <f>VLOOKUP(E7228,DATABASE!C:Q,7,false)</f>
        <v>782000</v>
      </c>
      <c r="L7228" s="74">
        <v>745000.0</v>
      </c>
      <c r="M7228" s="74">
        <f t="shared" si="2"/>
        <v>745000</v>
      </c>
      <c r="N7228" s="74">
        <f t="shared" si="3"/>
        <v>340000</v>
      </c>
      <c r="O7228" s="65" t="str">
        <f>VLOOKUP(E7228,DATABASE!C:Q,8,false)</f>
        <v>IBU</v>
      </c>
      <c r="P7228" s="65">
        <f>VLOOKUP(E7228,DATABASE!C:Q,9,False)</f>
        <v>1</v>
      </c>
      <c r="Q7228" s="93" t="str">
        <f>VLOOKUP(E7228,DATABASE!C:Q,4,false)</f>
        <v>Dunlop</v>
      </c>
      <c r="R7228" s="93" t="str">
        <f>VLOOKUP(E7228,DATABASE!C:Q,11,false)</f>
        <v>Tire</v>
      </c>
    </row>
    <row r="7229" ht="22.5" customHeight="1">
      <c r="A7229" s="49"/>
      <c r="C7229" s="400">
        <v>46083.0</v>
      </c>
      <c r="D7229" s="524">
        <v>489.0</v>
      </c>
      <c r="E7229" s="544" t="s">
        <v>937</v>
      </c>
      <c r="F7229" s="387">
        <v>1.0</v>
      </c>
      <c r="G7229" s="140">
        <v>910000.0</v>
      </c>
      <c r="H7229" s="74"/>
      <c r="I7229" s="74">
        <f t="shared" si="1"/>
        <v>910000</v>
      </c>
      <c r="J7229" s="74">
        <f>IF(E7229="SERVICE",I7229-(I7229*50%),Vlookup(E7229,DATABASE!C:Q,10,false)*F7229)</f>
        <v>0</v>
      </c>
      <c r="K7229" s="74">
        <f>VLOOKUP(E7229,DATABASE!C:Q,7,false)</f>
        <v>825000</v>
      </c>
      <c r="L7229" s="74">
        <v>815000.0</v>
      </c>
      <c r="M7229" s="74">
        <f t="shared" si="2"/>
        <v>815000</v>
      </c>
      <c r="N7229" s="74">
        <f t="shared" si="3"/>
        <v>95000</v>
      </c>
      <c r="O7229" s="65" t="str">
        <f>VLOOKUP(E7229,DATABASE!C:Q,8,false)</f>
        <v>IBU</v>
      </c>
      <c r="P7229" s="65">
        <f>VLOOKUP(E7229,DATABASE!C:Q,9,False)</f>
        <v>1</v>
      </c>
      <c r="Q7229" s="93" t="str">
        <f>VLOOKUP(E7229,DATABASE!C:Q,4,false)</f>
        <v>Bridgestone</v>
      </c>
      <c r="R7229" s="93" t="str">
        <f>VLOOKUP(E7229,DATABASE!C:Q,11,false)</f>
        <v>Tire</v>
      </c>
    </row>
    <row r="7230" ht="22.5" customHeight="1">
      <c r="A7230" s="49"/>
      <c r="C7230" s="400">
        <v>46083.0</v>
      </c>
      <c r="D7230" s="524">
        <v>490.0</v>
      </c>
      <c r="E7230" s="544" t="s">
        <v>268</v>
      </c>
      <c r="F7230" s="387">
        <v>1.0</v>
      </c>
      <c r="G7230" s="140">
        <v>710000.0</v>
      </c>
      <c r="H7230" s="74"/>
      <c r="I7230" s="74">
        <f t="shared" si="1"/>
        <v>710000</v>
      </c>
      <c r="J7230" s="74">
        <f>IF(E7230="SERVICE",I7230-(I7230*50%),Vlookup(E7230,DATABASE!C:Q,10,false)*F7230)</f>
        <v>0</v>
      </c>
      <c r="K7230" s="74">
        <f>VLOOKUP(E7230,DATABASE!C:Q,7,false)</f>
        <v>653000</v>
      </c>
      <c r="L7230" s="74">
        <v>622000.0</v>
      </c>
      <c r="M7230" s="74">
        <f t="shared" si="2"/>
        <v>625000</v>
      </c>
      <c r="N7230" s="74">
        <f t="shared" si="3"/>
        <v>85000</v>
      </c>
      <c r="O7230" s="65" t="str">
        <f>VLOOKUP(E7230,DATABASE!C:Q,8,false)</f>
        <v>IBU</v>
      </c>
      <c r="P7230" s="65">
        <f>VLOOKUP(E7230,DATABASE!C:Q,9,False)</f>
        <v>1</v>
      </c>
      <c r="Q7230" s="93" t="str">
        <f>VLOOKUP(E7230,DATABASE!C:Q,4,false)</f>
        <v>Dunlop</v>
      </c>
      <c r="R7230" s="93" t="str">
        <f>VLOOKUP(E7230,DATABASE!C:Q,11,false)</f>
        <v>Tire</v>
      </c>
    </row>
    <row r="7231" ht="22.5" customHeight="1">
      <c r="A7231" s="49"/>
      <c r="C7231" s="400">
        <v>46083.0</v>
      </c>
      <c r="D7231" s="69">
        <v>491.0</v>
      </c>
      <c r="E7231" s="544" t="s">
        <v>268</v>
      </c>
      <c r="F7231" s="387">
        <v>1.0</v>
      </c>
      <c r="G7231" s="140">
        <v>710000.0</v>
      </c>
      <c r="H7231" s="74"/>
      <c r="I7231" s="74">
        <f t="shared" si="1"/>
        <v>710000</v>
      </c>
      <c r="J7231" s="74">
        <f>IF(E7231="SERVICE",I7231-(I7231*50%),Vlookup(E7231,DATABASE!C:Q,10,false)*F7231)</f>
        <v>0</v>
      </c>
      <c r="K7231" s="74">
        <f>VLOOKUP(E7231,DATABASE!C:Q,7,false)</f>
        <v>653000</v>
      </c>
      <c r="L7231" s="74">
        <v>622000.0</v>
      </c>
      <c r="M7231" s="74">
        <f t="shared" si="2"/>
        <v>625000</v>
      </c>
      <c r="N7231" s="74">
        <f t="shared" si="3"/>
        <v>85000</v>
      </c>
      <c r="O7231" s="65" t="str">
        <f>VLOOKUP(E7231,DATABASE!C:Q,8,false)</f>
        <v>IBU</v>
      </c>
      <c r="P7231" s="65">
        <f>VLOOKUP(E7231,DATABASE!C:Q,9,False)</f>
        <v>1</v>
      </c>
      <c r="Q7231" s="93" t="str">
        <f>VLOOKUP(E7231,DATABASE!C:Q,4,false)</f>
        <v>Dunlop</v>
      </c>
      <c r="R7231" s="93" t="str">
        <f>VLOOKUP(E7231,DATABASE!C:Q,11,false)</f>
        <v>Tire</v>
      </c>
    </row>
    <row r="7232" ht="22.5" customHeight="1">
      <c r="A7232" s="49"/>
      <c r="C7232" s="400">
        <v>46083.0</v>
      </c>
      <c r="D7232" s="69">
        <v>491.0</v>
      </c>
      <c r="E7232" s="544" t="s">
        <v>569</v>
      </c>
      <c r="F7232" s="387">
        <v>1.0</v>
      </c>
      <c r="G7232" s="140">
        <v>80000.0</v>
      </c>
      <c r="H7232" s="74"/>
      <c r="I7232" s="74">
        <f t="shared" si="1"/>
        <v>80000</v>
      </c>
      <c r="J7232" s="74">
        <f>IF(E7232="SERVICE",I7232-(I7232*50%),Vlookup(E7232,DATABASE!C:Q,10,false)*F7232)</f>
        <v>0</v>
      </c>
      <c r="K7232" s="74">
        <f>VLOOKUP(E7232,DATABASE!C:Q,7,false)</f>
        <v>45439.582</v>
      </c>
      <c r="L7232" s="74">
        <v>45309.6</v>
      </c>
      <c r="M7232" s="74">
        <f t="shared" si="2"/>
        <v>50000</v>
      </c>
      <c r="N7232" s="74">
        <f t="shared" si="3"/>
        <v>30000</v>
      </c>
      <c r="O7232" s="65" t="str">
        <f>VLOOKUP(E7232,DATABASE!C:Q,8,false)</f>
        <v>BIAN</v>
      </c>
      <c r="P7232" s="65">
        <f>VLOOKUP(E7232,DATABASE!C:Q,9,False)</f>
        <v>1</v>
      </c>
      <c r="Q7232" s="93" t="str">
        <f>VLOOKUP(E7232,DATABASE!C:Q,4,false)</f>
        <v>BD</v>
      </c>
      <c r="R7232" s="93" t="str">
        <f>VLOOKUP(E7232,DATABASE!C:Q,11,false)</f>
        <v>Tire</v>
      </c>
    </row>
    <row r="7233" ht="22.5" customHeight="1">
      <c r="A7233" s="49"/>
      <c r="C7233" s="400">
        <v>46083.0</v>
      </c>
      <c r="D7233" s="69">
        <v>492.0</v>
      </c>
      <c r="E7233" s="544" t="s">
        <v>288</v>
      </c>
      <c r="F7233" s="387">
        <v>1.0</v>
      </c>
      <c r="G7233" s="140">
        <v>620000.0</v>
      </c>
      <c r="H7233" s="74"/>
      <c r="I7233" s="74">
        <f t="shared" si="1"/>
        <v>620000</v>
      </c>
      <c r="J7233" s="74">
        <f>IF(E7233="SERVICE",I7233-(I7233*50%),Vlookup(E7233,DATABASE!C:Q,10,false)*F7233)</f>
        <v>0</v>
      </c>
      <c r="K7233" s="74">
        <f>VLOOKUP(E7233,DATABASE!C:Q,7,false)</f>
        <v>565760</v>
      </c>
      <c r="L7233" s="74">
        <v>524800.0</v>
      </c>
      <c r="M7233" s="74">
        <f t="shared" si="2"/>
        <v>525000</v>
      </c>
      <c r="N7233" s="74">
        <f t="shared" si="3"/>
        <v>95000</v>
      </c>
      <c r="O7233" s="65" t="str">
        <f>VLOOKUP(E7233,DATABASE!C:Q,8,false)</f>
        <v>BIAN</v>
      </c>
      <c r="P7233" s="65">
        <f>VLOOKUP(E7233,DATABASE!C:Q,9,False)</f>
        <v>1</v>
      </c>
      <c r="Q7233" s="93" t="str">
        <f>VLOOKUP(E7233,DATABASE!C:Q,4,false)</f>
        <v>GT</v>
      </c>
      <c r="R7233" s="93" t="str">
        <f>VLOOKUP(E7233,DATABASE!C:Q,11,false)</f>
        <v>Tire</v>
      </c>
    </row>
    <row r="7234" ht="22.5" customHeight="1">
      <c r="A7234" s="49"/>
      <c r="C7234" s="400">
        <v>46083.0</v>
      </c>
      <c r="D7234" s="524">
        <v>493.0</v>
      </c>
      <c r="E7234" s="544" t="s">
        <v>268</v>
      </c>
      <c r="F7234" s="387">
        <v>2.0</v>
      </c>
      <c r="G7234" s="140">
        <v>710000.0</v>
      </c>
      <c r="H7234" s="74"/>
      <c r="I7234" s="74">
        <f t="shared" si="1"/>
        <v>1420000</v>
      </c>
      <c r="J7234" s="74">
        <f>IF(E7234="SERVICE",I7234-(I7234*50%),Vlookup(E7234,DATABASE!C:Q,10,false)*F7234)</f>
        <v>0</v>
      </c>
      <c r="K7234" s="74">
        <f>VLOOKUP(E7234,DATABASE!C:Q,7,false)</f>
        <v>653000</v>
      </c>
      <c r="L7234" s="74">
        <v>622000.0</v>
      </c>
      <c r="M7234" s="74">
        <f t="shared" si="2"/>
        <v>625000</v>
      </c>
      <c r="N7234" s="74">
        <f t="shared" si="3"/>
        <v>170000</v>
      </c>
      <c r="O7234" s="65" t="str">
        <f>VLOOKUP(E7234,DATABASE!C:Q,8,false)</f>
        <v>IBU</v>
      </c>
      <c r="P7234" s="65">
        <f>VLOOKUP(E7234,DATABASE!C:Q,9,False)</f>
        <v>1</v>
      </c>
      <c r="Q7234" s="93" t="str">
        <f>VLOOKUP(E7234,DATABASE!C:Q,4,false)</f>
        <v>Dunlop</v>
      </c>
      <c r="R7234" s="93" t="str">
        <f>VLOOKUP(E7234,DATABASE!C:Q,11,false)</f>
        <v>Tire</v>
      </c>
    </row>
    <row r="7235" ht="22.5" customHeight="1">
      <c r="A7235" s="49"/>
      <c r="C7235" s="400">
        <v>46084.0</v>
      </c>
      <c r="D7235" s="524">
        <v>494.0</v>
      </c>
      <c r="E7235" s="544" t="s">
        <v>1009</v>
      </c>
      <c r="F7235" s="387">
        <v>2.0</v>
      </c>
      <c r="G7235" s="140">
        <v>700000.0</v>
      </c>
      <c r="H7235" s="140">
        <v>15000.0</v>
      </c>
      <c r="I7235" s="74">
        <f t="shared" si="1"/>
        <v>1370000</v>
      </c>
      <c r="J7235" s="74">
        <f>IF(E7235="SERVICE",I7235-(I7235*50%),Vlookup(E7235,DATABASE!C:Q,10,false)*F7235)</f>
        <v>0</v>
      </c>
      <c r="K7235" s="74">
        <f>VLOOKUP(E7235,DATABASE!C:Q,7,false)</f>
        <v>609800</v>
      </c>
      <c r="L7235" s="74">
        <v>592200.0</v>
      </c>
      <c r="M7235" s="74">
        <f t="shared" si="2"/>
        <v>595000</v>
      </c>
      <c r="N7235" s="74">
        <f t="shared" si="3"/>
        <v>180000</v>
      </c>
      <c r="O7235" s="65" t="str">
        <f>VLOOKUP(E7235,DATABASE!C:Q,8,false)</f>
        <v>BIAN</v>
      </c>
      <c r="P7235" s="65">
        <f>VLOOKUP(E7235,DATABASE!C:Q,9,False)</f>
        <v>1</v>
      </c>
      <c r="Q7235" s="93" t="str">
        <f>VLOOKUP(E7235,DATABASE!C:Q,4,false)</f>
        <v>GT</v>
      </c>
      <c r="R7235" s="93" t="str">
        <f>VLOOKUP(E7235,DATABASE!C:Q,11,false)</f>
        <v>Tire</v>
      </c>
    </row>
    <row r="7236" ht="22.5" customHeight="1">
      <c r="A7236" s="49"/>
      <c r="C7236" s="400">
        <v>46084.0</v>
      </c>
      <c r="D7236" s="524">
        <v>495.0</v>
      </c>
      <c r="E7236" s="544" t="s">
        <v>605</v>
      </c>
      <c r="F7236" s="387">
        <v>1.0</v>
      </c>
      <c r="G7236" s="140">
        <v>765000.0</v>
      </c>
      <c r="H7236" s="140">
        <v>5000.0</v>
      </c>
      <c r="I7236" s="74">
        <f t="shared" si="1"/>
        <v>760000</v>
      </c>
      <c r="J7236" s="74">
        <f>IF(E7236="SERVICE",I7236-(I7236*50%),Vlookup(E7236,DATABASE!C:Q,10,false)*F7236)</f>
        <v>0</v>
      </c>
      <c r="K7236" s="74">
        <f>VLOOKUP(E7236,DATABASE!C:Q,7,false)</f>
        <v>675000</v>
      </c>
      <c r="L7236" s="74">
        <v>675000.0</v>
      </c>
      <c r="M7236" s="74">
        <f t="shared" si="2"/>
        <v>675000</v>
      </c>
      <c r="N7236" s="74">
        <f t="shared" si="3"/>
        <v>85000</v>
      </c>
      <c r="O7236" s="65" t="str">
        <f>VLOOKUP(E7236,DATABASE!C:Q,8,false)</f>
        <v>IBU</v>
      </c>
      <c r="P7236" s="65">
        <f>VLOOKUP(E7236,DATABASE!C:Q,9,False)</f>
        <v>1</v>
      </c>
      <c r="Q7236" s="93" t="str">
        <f>VLOOKUP(E7236,DATABASE!C:Q,4,false)</f>
        <v>Bridgestone</v>
      </c>
      <c r="R7236" s="93" t="str">
        <f>VLOOKUP(E7236,DATABASE!C:Q,11,false)</f>
        <v>Tire</v>
      </c>
    </row>
    <row r="7237" ht="22.5" customHeight="1">
      <c r="A7237" s="49"/>
      <c r="C7237" s="400">
        <v>46084.0</v>
      </c>
      <c r="D7237" s="69">
        <v>496.0</v>
      </c>
      <c r="E7237" s="544" t="s">
        <v>288</v>
      </c>
      <c r="F7237" s="387">
        <v>1.0</v>
      </c>
      <c r="G7237" s="140">
        <v>620000.0</v>
      </c>
      <c r="H7237" s="74"/>
      <c r="I7237" s="74">
        <f t="shared" si="1"/>
        <v>620000</v>
      </c>
      <c r="J7237" s="74">
        <f>IF(E7237="SERVICE",I7237-(I7237*50%),Vlookup(E7237,DATABASE!C:Q,10,false)*F7237)</f>
        <v>0</v>
      </c>
      <c r="K7237" s="74">
        <f>VLOOKUP(E7237,DATABASE!C:Q,7,false)</f>
        <v>565760</v>
      </c>
      <c r="L7237" s="74">
        <v>524800.0</v>
      </c>
      <c r="M7237" s="74">
        <f t="shared" si="2"/>
        <v>525000</v>
      </c>
      <c r="N7237" s="74">
        <f t="shared" si="3"/>
        <v>95000</v>
      </c>
      <c r="O7237" s="65" t="str">
        <f>VLOOKUP(E7237,DATABASE!C:Q,8,false)</f>
        <v>BIAN</v>
      </c>
      <c r="P7237" s="65">
        <f>VLOOKUP(E7237,DATABASE!C:Q,9,False)</f>
        <v>1</v>
      </c>
      <c r="Q7237" s="93" t="str">
        <f>VLOOKUP(E7237,DATABASE!C:Q,4,false)</f>
        <v>GT</v>
      </c>
      <c r="R7237" s="93" t="str">
        <f>VLOOKUP(E7237,DATABASE!C:Q,11,false)</f>
        <v>Tire</v>
      </c>
    </row>
    <row r="7238" ht="22.5" customHeight="1">
      <c r="A7238" s="49"/>
      <c r="C7238" s="400">
        <v>46084.0</v>
      </c>
      <c r="D7238" s="524">
        <v>498.0</v>
      </c>
      <c r="E7238" s="544" t="s">
        <v>695</v>
      </c>
      <c r="F7238" s="387">
        <v>2.0</v>
      </c>
      <c r="G7238" s="140">
        <v>670000.0</v>
      </c>
      <c r="H7238" s="140">
        <v>20000.0</v>
      </c>
      <c r="I7238" s="74">
        <f t="shared" si="1"/>
        <v>1300000</v>
      </c>
      <c r="J7238" s="74">
        <f>IF(E7238="SERVICE",I7238-(I7238*50%),Vlookup(E7238,DATABASE!C:Q,10,false)*F7238)</f>
        <v>0</v>
      </c>
      <c r="K7238" s="74">
        <f>VLOOKUP(E7238,DATABASE!C:Q,7,false)</f>
        <v>582000</v>
      </c>
      <c r="L7238" s="74">
        <v>570000.0</v>
      </c>
      <c r="M7238" s="74">
        <f t="shared" si="2"/>
        <v>570000</v>
      </c>
      <c r="N7238" s="74">
        <f t="shared" si="3"/>
        <v>160000</v>
      </c>
      <c r="O7238" s="65" t="str">
        <f>VLOOKUP(E7238,DATABASE!C:Q,8,false)</f>
        <v>IBU</v>
      </c>
      <c r="P7238" s="65">
        <f>VLOOKUP(E7238,DATABASE!C:Q,9,False)</f>
        <v>1</v>
      </c>
      <c r="Q7238" s="93" t="str">
        <f>VLOOKUP(E7238,DATABASE!C:Q,4,false)</f>
        <v>Dunlop</v>
      </c>
      <c r="R7238" s="93" t="str">
        <f>VLOOKUP(E7238,DATABASE!C:Q,11,false)</f>
        <v>Tire</v>
      </c>
    </row>
    <row r="7239" ht="22.5" customHeight="1">
      <c r="A7239" s="49"/>
      <c r="C7239" s="400">
        <v>46084.0</v>
      </c>
      <c r="D7239" s="524">
        <v>498.0</v>
      </c>
      <c r="E7239" s="544" t="s">
        <v>299</v>
      </c>
      <c r="F7239" s="387">
        <v>2.0</v>
      </c>
      <c r="G7239" s="140">
        <v>30000.0</v>
      </c>
      <c r="H7239" s="74"/>
      <c r="I7239" s="74">
        <f t="shared" si="1"/>
        <v>60000</v>
      </c>
      <c r="J7239" s="74">
        <f>IF(E7239="SERVICE",I7239-(I7239*50%),Vlookup(E7239,DATABASE!C:Q,10,false)*F7239)</f>
        <v>0</v>
      </c>
      <c r="K7239" s="74">
        <f>VLOOKUP(E7239,DATABASE!C:Q,7,false)</f>
        <v>10000</v>
      </c>
      <c r="L7239" s="74">
        <v>10000.0</v>
      </c>
      <c r="M7239" s="74">
        <f t="shared" si="2"/>
        <v>10000</v>
      </c>
      <c r="N7239" s="74">
        <f t="shared" si="3"/>
        <v>40000</v>
      </c>
      <c r="O7239" s="65" t="str">
        <f>VLOOKUP(E7239,DATABASE!C:Q,8,false)</f>
        <v>BIAN</v>
      </c>
      <c r="P7239" s="65">
        <f>VLOOKUP(E7239,DATABASE!C:Q,9,False)</f>
        <v>0</v>
      </c>
      <c r="Q7239" s="93" t="str">
        <f>VLOOKUP(E7239,DATABASE!C:Q,4,false)</f>
        <v>Balancing</v>
      </c>
      <c r="R7239" s="93" t="str">
        <f>VLOOKUP(E7239,DATABASE!C:Q,11,false)</f>
        <v>COMPLEMENTARY</v>
      </c>
    </row>
    <row r="7240" ht="22.5" customHeight="1">
      <c r="A7240" s="49"/>
      <c r="C7240" s="400">
        <v>46084.0</v>
      </c>
      <c r="D7240" s="524">
        <v>499.0</v>
      </c>
      <c r="E7240" s="544" t="s">
        <v>868</v>
      </c>
      <c r="F7240" s="387">
        <v>4.0</v>
      </c>
      <c r="G7240" s="140">
        <v>950000.0</v>
      </c>
      <c r="H7240" s="140">
        <v>10000.0</v>
      </c>
      <c r="I7240" s="74">
        <f t="shared" si="1"/>
        <v>3760000</v>
      </c>
      <c r="J7240" s="74">
        <f>IF(E7240="SERVICE",I7240-(I7240*50%),Vlookup(E7240,DATABASE!C:Q,10,false)*F7240)</f>
        <v>0</v>
      </c>
      <c r="K7240" s="74">
        <f>VLOOKUP(E7240,DATABASE!C:Q,7,false)</f>
        <v>861200</v>
      </c>
      <c r="L7240" s="74">
        <v>836000.0</v>
      </c>
      <c r="M7240" s="74">
        <f t="shared" si="2"/>
        <v>840000</v>
      </c>
      <c r="N7240" s="74">
        <f t="shared" si="3"/>
        <v>400000</v>
      </c>
      <c r="O7240" s="65" t="str">
        <f>VLOOKUP(E7240,DATABASE!C:Q,8,false)</f>
        <v>BIAN</v>
      </c>
      <c r="P7240" s="65">
        <f>VLOOKUP(E7240,DATABASE!C:Q,9,False)</f>
        <v>1</v>
      </c>
      <c r="Q7240" s="93" t="str">
        <f>VLOOKUP(E7240,DATABASE!C:Q,4,false)</f>
        <v>GT</v>
      </c>
      <c r="R7240" s="93" t="str">
        <f>VLOOKUP(E7240,DATABASE!C:Q,11,false)</f>
        <v>Tire</v>
      </c>
    </row>
    <row r="7241" ht="22.5" customHeight="1">
      <c r="A7241" s="49"/>
      <c r="C7241" s="400">
        <v>46084.0</v>
      </c>
      <c r="D7241" s="524">
        <v>500.0</v>
      </c>
      <c r="E7241" s="544" t="s">
        <v>275</v>
      </c>
      <c r="F7241" s="387">
        <v>2.0</v>
      </c>
      <c r="G7241" s="140">
        <v>830000.0</v>
      </c>
      <c r="H7241" s="140">
        <v>5000.0</v>
      </c>
      <c r="I7241" s="74">
        <f t="shared" si="1"/>
        <v>1650000</v>
      </c>
      <c r="J7241" s="74">
        <f>IF(E7241="SERVICE",I7241-(I7241*50%),Vlookup(E7241,DATABASE!C:Q,10,false)*F7241)</f>
        <v>0</v>
      </c>
      <c r="K7241" s="74">
        <v>745000.0</v>
      </c>
      <c r="L7241" s="74">
        <v>745000.0</v>
      </c>
      <c r="M7241" s="74">
        <f t="shared" si="2"/>
        <v>745000</v>
      </c>
      <c r="N7241" s="74">
        <f t="shared" si="3"/>
        <v>160000</v>
      </c>
      <c r="O7241" s="65" t="str">
        <f>VLOOKUP(E7241,DATABASE!C:Q,8,false)</f>
        <v>IBU</v>
      </c>
      <c r="P7241" s="65">
        <f>VLOOKUP(E7241,DATABASE!C:Q,9,False)</f>
        <v>1</v>
      </c>
      <c r="Q7241" s="93" t="str">
        <f>VLOOKUP(E7241,DATABASE!C:Q,4,false)</f>
        <v>Dunlop</v>
      </c>
      <c r="R7241" s="93" t="str">
        <f>VLOOKUP(E7241,DATABASE!C:Q,11,false)</f>
        <v>Tire</v>
      </c>
    </row>
    <row r="7242" ht="22.5" customHeight="1">
      <c r="A7242" s="49"/>
      <c r="C7242" s="400">
        <v>46084.0</v>
      </c>
      <c r="D7242" s="524">
        <v>501.0</v>
      </c>
      <c r="E7242" s="544" t="s">
        <v>600</v>
      </c>
      <c r="F7242" s="387">
        <v>2.0</v>
      </c>
      <c r="G7242" s="140">
        <v>680000.0</v>
      </c>
      <c r="H7242" s="74"/>
      <c r="I7242" s="74">
        <f t="shared" si="1"/>
        <v>1360000</v>
      </c>
      <c r="J7242" s="74">
        <f>IF(E7242="SERVICE",I7242-(I7242*50%),Vlookup(E7242,DATABASE!C:Q,10,false)*F7242)</f>
        <v>0</v>
      </c>
      <c r="K7242" s="74">
        <f>VLOOKUP(E7242,DATABASE!C:Q,7,false)</f>
        <v>611109.16</v>
      </c>
      <c r="L7242" s="74">
        <v>588505.8</v>
      </c>
      <c r="M7242" s="74">
        <f t="shared" si="2"/>
        <v>590000</v>
      </c>
      <c r="N7242" s="74">
        <f t="shared" si="3"/>
        <v>180000</v>
      </c>
      <c r="O7242" s="65" t="str">
        <f>VLOOKUP(E7242,DATABASE!C:Q,8,false)</f>
        <v>IBU</v>
      </c>
      <c r="P7242" s="65">
        <f>VLOOKUP(E7242,DATABASE!C:Q,9,False)</f>
        <v>1</v>
      </c>
      <c r="Q7242" s="93" t="str">
        <f>VLOOKUP(E7242,DATABASE!C:Q,4,false)</f>
        <v>Bridgestone</v>
      </c>
      <c r="R7242" s="93" t="str">
        <f>VLOOKUP(E7242,DATABASE!C:Q,11,false)</f>
        <v>Tire</v>
      </c>
    </row>
    <row r="7243" ht="22.5" customHeight="1">
      <c r="A7243" s="49"/>
      <c r="C7243" s="400">
        <v>46084.0</v>
      </c>
      <c r="D7243" s="524">
        <v>501.0</v>
      </c>
      <c r="E7243" s="544" t="s">
        <v>271</v>
      </c>
      <c r="F7243" s="387">
        <v>2.0</v>
      </c>
      <c r="G7243" s="140">
        <v>630000.0</v>
      </c>
      <c r="H7243" s="74"/>
      <c r="I7243" s="74">
        <f t="shared" si="1"/>
        <v>1260000</v>
      </c>
      <c r="J7243" s="74">
        <f>IF(E7243="SERVICE",I7243-(I7243*50%),Vlookup(E7243,DATABASE!C:Q,10,false)*F7243)</f>
        <v>0</v>
      </c>
      <c r="K7243" s="74">
        <f>VLOOKUP(E7243,DATABASE!C:Q,7,false)</f>
        <v>570000</v>
      </c>
      <c r="L7243" s="74">
        <v>539000.0</v>
      </c>
      <c r="M7243" s="74">
        <f t="shared" si="2"/>
        <v>540000</v>
      </c>
      <c r="N7243" s="74">
        <f t="shared" si="3"/>
        <v>180000</v>
      </c>
      <c r="O7243" s="65" t="str">
        <f>VLOOKUP(E7243,DATABASE!C:Q,8,false)</f>
        <v>IBU</v>
      </c>
      <c r="P7243" s="65">
        <f>VLOOKUP(E7243,DATABASE!C:Q,9,False)</f>
        <v>1</v>
      </c>
      <c r="Q7243" s="93" t="str">
        <f>VLOOKUP(E7243,DATABASE!C:Q,4,false)</f>
        <v>Dunlop</v>
      </c>
      <c r="R7243" s="93" t="str">
        <f>VLOOKUP(E7243,DATABASE!C:Q,11,false)</f>
        <v>Tire</v>
      </c>
    </row>
    <row r="7244" ht="22.5" customHeight="1">
      <c r="A7244" s="49"/>
      <c r="C7244" s="400">
        <v>46084.0</v>
      </c>
      <c r="D7244" s="524">
        <v>502.0</v>
      </c>
      <c r="E7244" s="544" t="s">
        <v>604</v>
      </c>
      <c r="F7244" s="387">
        <v>1.0</v>
      </c>
      <c r="G7244" s="140">
        <v>170000.0</v>
      </c>
      <c r="H7244" s="140">
        <v>10000.0</v>
      </c>
      <c r="I7244" s="74">
        <f t="shared" si="1"/>
        <v>160000</v>
      </c>
      <c r="J7244" s="74">
        <f>IF(E7244="SERVICE",I7244-(I7244*50%),Vlookup(E7244,DATABASE!C:Q,10,false)*F7244)</f>
        <v>0</v>
      </c>
      <c r="K7244" s="74">
        <f>VLOOKUP(E7244,DATABASE!C:Q,7,false)</f>
        <v>124000</v>
      </c>
      <c r="L7244" s="74">
        <v>124000.0</v>
      </c>
      <c r="M7244" s="74">
        <f t="shared" si="2"/>
        <v>125000</v>
      </c>
      <c r="N7244" s="74">
        <f t="shared" si="3"/>
        <v>35000</v>
      </c>
      <c r="O7244" s="65" t="str">
        <f>VLOOKUP(E7244,DATABASE!C:Q,8,false)</f>
        <v>BIAN</v>
      </c>
      <c r="P7244" s="65">
        <f>VLOOKUP(E7244,DATABASE!C:Q,9,False)</f>
        <v>1</v>
      </c>
      <c r="Q7244" s="93" t="str">
        <f>VLOOKUP(E7244,DATABASE!C:Q,4,false)</f>
        <v>BD</v>
      </c>
      <c r="R7244" s="93" t="str">
        <f>VLOOKUP(E7244,DATABASE!C:Q,11,false)</f>
        <v>Tire</v>
      </c>
    </row>
    <row r="7245" ht="22.5" customHeight="1">
      <c r="A7245" s="49"/>
      <c r="C7245" s="400">
        <v>46084.0</v>
      </c>
      <c r="D7245" s="69" t="s">
        <v>2721</v>
      </c>
      <c r="E7245" s="544" t="s">
        <v>2195</v>
      </c>
      <c r="F7245" s="387">
        <v>2.0</v>
      </c>
      <c r="G7245" s="140">
        <v>300000.0</v>
      </c>
      <c r="H7245" s="74"/>
      <c r="I7245" s="74">
        <f t="shared" si="1"/>
        <v>600000</v>
      </c>
      <c r="J7245" s="74">
        <f>IF(E7245="SERVICE",I7245-(I7245*50%),Vlookup(E7245,DATABASE!C:Q,10,false)*F7245)</f>
        <v>0</v>
      </c>
      <c r="K7245" s="74">
        <f>VLOOKUP(E7245,DATABASE!C:Q,7,false)</f>
        <v>329877</v>
      </c>
      <c r="L7245" s="74">
        <v>282805.0</v>
      </c>
      <c r="M7245" s="74">
        <f t="shared" si="2"/>
        <v>285000</v>
      </c>
      <c r="N7245" s="74">
        <f t="shared" si="3"/>
        <v>30000</v>
      </c>
      <c r="O7245" s="65" t="str">
        <f>VLOOKUP(E7245,DATABASE!C:Q,8,false)</f>
        <v>NON</v>
      </c>
      <c r="P7245" s="65">
        <f>VLOOKUP(E7245,DATABASE!C:Q,9,False)</f>
        <v>0</v>
      </c>
      <c r="Q7245" s="93" t="str">
        <f>VLOOKUP(E7245,DATABASE!C:Q,4,false)</f>
        <v>Shell</v>
      </c>
      <c r="R7245" s="93" t="str">
        <f>VLOOKUP(E7245,DATABASE!C:Q,11,false)</f>
        <v>OIL</v>
      </c>
    </row>
    <row r="7246" ht="22.5" customHeight="1">
      <c r="A7246" s="49"/>
      <c r="C7246" s="400">
        <v>46085.0</v>
      </c>
      <c r="D7246" s="524">
        <v>503.0</v>
      </c>
      <c r="E7246" s="544" t="s">
        <v>265</v>
      </c>
      <c r="F7246" s="387">
        <v>2.0</v>
      </c>
      <c r="G7246" s="140">
        <v>685000.0</v>
      </c>
      <c r="H7246" s="140">
        <v>5000.0</v>
      </c>
      <c r="I7246" s="74">
        <f t="shared" si="1"/>
        <v>1360000</v>
      </c>
      <c r="J7246" s="74">
        <f>IF(E7246="SERVICE",I7246-(I7246*50%),Vlookup(E7246,DATABASE!C:Q,10,false)*F7246)</f>
        <v>0</v>
      </c>
      <c r="K7246" s="74">
        <f>VLOOKUP(E7246,DATABASE!C:Q,7,false)</f>
        <v>628000</v>
      </c>
      <c r="L7246" s="74">
        <v>600000.0</v>
      </c>
      <c r="M7246" s="74">
        <f t="shared" si="2"/>
        <v>600000</v>
      </c>
      <c r="N7246" s="74">
        <f t="shared" si="3"/>
        <v>160000</v>
      </c>
      <c r="O7246" s="65" t="str">
        <f>VLOOKUP(E7246,DATABASE!C:Q,8,false)</f>
        <v>IBU</v>
      </c>
      <c r="P7246" s="65">
        <f>VLOOKUP(E7246,DATABASE!C:Q,9,False)</f>
        <v>1</v>
      </c>
      <c r="Q7246" s="93" t="str">
        <f>VLOOKUP(E7246,DATABASE!C:Q,4,false)</f>
        <v>Dunlop</v>
      </c>
      <c r="R7246" s="93" t="str">
        <f>VLOOKUP(E7246,DATABASE!C:Q,11,false)</f>
        <v>Tire</v>
      </c>
    </row>
    <row r="7247" ht="22.5" customHeight="1">
      <c r="A7247" s="49"/>
      <c r="C7247" s="400">
        <v>46085.0</v>
      </c>
      <c r="D7247" s="524">
        <v>504.0</v>
      </c>
      <c r="E7247" s="544" t="s">
        <v>299</v>
      </c>
      <c r="F7247" s="387">
        <v>2.0</v>
      </c>
      <c r="G7247" s="140">
        <v>30000.0</v>
      </c>
      <c r="H7247" s="74"/>
      <c r="I7247" s="74">
        <f t="shared" si="1"/>
        <v>60000</v>
      </c>
      <c r="J7247" s="74">
        <f>IF(E7247="SERVICE",I7247-(I7247*50%),Vlookup(E7247,DATABASE!C:Q,10,false)*F7247)</f>
        <v>0</v>
      </c>
      <c r="K7247" s="74">
        <f>VLOOKUP(E7247,DATABASE!C:Q,7,false)</f>
        <v>10000</v>
      </c>
      <c r="L7247" s="74">
        <v>10000.0</v>
      </c>
      <c r="M7247" s="74">
        <f t="shared" si="2"/>
        <v>10000</v>
      </c>
      <c r="N7247" s="74">
        <f t="shared" si="3"/>
        <v>40000</v>
      </c>
      <c r="O7247" s="65" t="str">
        <f>VLOOKUP(E7247,DATABASE!C:Q,8,false)</f>
        <v>BIAN</v>
      </c>
      <c r="P7247" s="65">
        <f>VLOOKUP(E7247,DATABASE!C:Q,9,False)</f>
        <v>0</v>
      </c>
      <c r="Q7247" s="93" t="str">
        <f>VLOOKUP(E7247,DATABASE!C:Q,4,false)</f>
        <v>Balancing</v>
      </c>
      <c r="R7247" s="93" t="str">
        <f>VLOOKUP(E7247,DATABASE!C:Q,11,false)</f>
        <v>COMPLEMENTARY</v>
      </c>
    </row>
    <row r="7248" ht="22.5" customHeight="1">
      <c r="A7248" s="49"/>
      <c r="C7248" s="400">
        <v>46085.0</v>
      </c>
      <c r="D7248" s="524">
        <v>505.0</v>
      </c>
      <c r="E7248" s="544" t="s">
        <v>839</v>
      </c>
      <c r="F7248" s="387">
        <v>2.0</v>
      </c>
      <c r="G7248" s="140">
        <v>565000.0</v>
      </c>
      <c r="H7248" s="140">
        <v>5000.0</v>
      </c>
      <c r="I7248" s="74">
        <f t="shared" si="1"/>
        <v>1120000</v>
      </c>
      <c r="J7248" s="74">
        <f>IF(E7248="SERVICE",I7248-(I7248*50%),Vlookup(E7248,DATABASE!C:Q,10,false)*F7248)</f>
        <v>0</v>
      </c>
      <c r="K7248" s="74">
        <f>VLOOKUP(E7248,DATABASE!C:Q,7,false)</f>
        <v>512640</v>
      </c>
      <c r="L7248" s="74">
        <v>475700.0</v>
      </c>
      <c r="M7248" s="74">
        <f t="shared" si="2"/>
        <v>480000</v>
      </c>
      <c r="N7248" s="74">
        <f t="shared" si="3"/>
        <v>160000</v>
      </c>
      <c r="O7248" s="65" t="str">
        <f>VLOOKUP(E7248,DATABASE!C:Q,8,false)</f>
        <v>BIAN</v>
      </c>
      <c r="P7248" s="65">
        <f>VLOOKUP(E7248,DATABASE!C:Q,9,False)</f>
        <v>1</v>
      </c>
      <c r="Q7248" s="93" t="str">
        <f>VLOOKUP(E7248,DATABASE!C:Q,4,false)</f>
        <v>GT</v>
      </c>
      <c r="R7248" s="93" t="str">
        <f>VLOOKUP(E7248,DATABASE!C:Q,11,false)</f>
        <v>Tire</v>
      </c>
    </row>
    <row r="7249" ht="22.5" customHeight="1">
      <c r="A7249" s="49"/>
      <c r="C7249" s="400">
        <v>46085.0</v>
      </c>
      <c r="D7249" s="524">
        <v>506.0</v>
      </c>
      <c r="E7249" s="544" t="s">
        <v>288</v>
      </c>
      <c r="F7249" s="387">
        <v>2.0</v>
      </c>
      <c r="G7249" s="140">
        <v>620000.0</v>
      </c>
      <c r="H7249" s="74"/>
      <c r="I7249" s="74">
        <f t="shared" si="1"/>
        <v>1240000</v>
      </c>
      <c r="J7249" s="74">
        <f>IF(E7249="SERVICE",I7249-(I7249*50%),Vlookup(E7249,DATABASE!C:Q,10,false)*F7249)</f>
        <v>0</v>
      </c>
      <c r="K7249" s="74">
        <f>VLOOKUP(E7249,DATABASE!C:Q,7,false)</f>
        <v>565760</v>
      </c>
      <c r="L7249" s="74">
        <v>524800.0</v>
      </c>
      <c r="M7249" s="74">
        <f t="shared" si="2"/>
        <v>525000</v>
      </c>
      <c r="N7249" s="74">
        <f t="shared" si="3"/>
        <v>190000</v>
      </c>
      <c r="O7249" s="65" t="str">
        <f>VLOOKUP(E7249,DATABASE!C:Q,8,false)</f>
        <v>BIAN</v>
      </c>
      <c r="P7249" s="65">
        <f>VLOOKUP(E7249,DATABASE!C:Q,9,False)</f>
        <v>1</v>
      </c>
      <c r="Q7249" s="93" t="str">
        <f>VLOOKUP(E7249,DATABASE!C:Q,4,false)</f>
        <v>GT</v>
      </c>
      <c r="R7249" s="93" t="str">
        <f>VLOOKUP(E7249,DATABASE!C:Q,11,false)</f>
        <v>Tire</v>
      </c>
    </row>
    <row r="7250" ht="22.5" customHeight="1">
      <c r="A7250" s="49"/>
      <c r="C7250" s="400">
        <v>46085.0</v>
      </c>
      <c r="D7250" s="524">
        <v>507.0</v>
      </c>
      <c r="E7250" s="544" t="s">
        <v>290</v>
      </c>
      <c r="F7250" s="387">
        <v>2.0</v>
      </c>
      <c r="G7250" s="140">
        <v>720000.0</v>
      </c>
      <c r="H7250" s="74"/>
      <c r="I7250" s="74">
        <f t="shared" si="1"/>
        <v>1440000</v>
      </c>
      <c r="J7250" s="74">
        <f>IF(E7250="SERVICE",I7250-(I7250*50%),Vlookup(E7250,DATABASE!C:Q,10,false)*F7250)</f>
        <v>0</v>
      </c>
      <c r="K7250" s="74">
        <f>VLOOKUP(E7250,DATABASE!C:Q,7,false)</f>
        <v>628100</v>
      </c>
      <c r="L7250" s="74">
        <v>609804.0</v>
      </c>
      <c r="M7250" s="74">
        <f t="shared" si="2"/>
        <v>610000</v>
      </c>
      <c r="N7250" s="74">
        <f t="shared" si="3"/>
        <v>220000</v>
      </c>
      <c r="O7250" s="65" t="str">
        <f>VLOOKUP(E7250,DATABASE!C:Q,8,false)</f>
        <v>BIAN</v>
      </c>
      <c r="P7250" s="65">
        <f>VLOOKUP(E7250,DATABASE!C:Q,9,False)</f>
        <v>1</v>
      </c>
      <c r="Q7250" s="93" t="str">
        <f>VLOOKUP(E7250,DATABASE!C:Q,4,false)</f>
        <v>GT</v>
      </c>
      <c r="R7250" s="93" t="str">
        <f>VLOOKUP(E7250,DATABASE!C:Q,11,false)</f>
        <v>Tire</v>
      </c>
    </row>
    <row r="7251" ht="22.5" customHeight="1">
      <c r="A7251" s="49"/>
      <c r="C7251" s="400">
        <v>46085.0</v>
      </c>
      <c r="D7251" s="524">
        <v>508.0</v>
      </c>
      <c r="E7251" s="544" t="s">
        <v>288</v>
      </c>
      <c r="F7251" s="387">
        <v>1.0</v>
      </c>
      <c r="G7251" s="140">
        <v>620000.0</v>
      </c>
      <c r="H7251" s="74"/>
      <c r="I7251" s="74">
        <f t="shared" si="1"/>
        <v>620000</v>
      </c>
      <c r="J7251" s="74">
        <f>IF(E7251="SERVICE",I7251-(I7251*50%),Vlookup(E7251,DATABASE!C:Q,10,false)*F7251)</f>
        <v>0</v>
      </c>
      <c r="K7251" s="74">
        <f>VLOOKUP(E7251,DATABASE!C:Q,7,false)</f>
        <v>565760</v>
      </c>
      <c r="L7251" s="74">
        <v>524800.0</v>
      </c>
      <c r="M7251" s="74">
        <f t="shared" si="2"/>
        <v>525000</v>
      </c>
      <c r="N7251" s="74">
        <f t="shared" si="3"/>
        <v>95000</v>
      </c>
      <c r="O7251" s="65" t="str">
        <f>VLOOKUP(E7251,DATABASE!C:Q,8,false)</f>
        <v>BIAN</v>
      </c>
      <c r="P7251" s="65">
        <f>VLOOKUP(E7251,DATABASE!C:Q,9,False)</f>
        <v>1</v>
      </c>
      <c r="Q7251" s="93" t="str">
        <f>VLOOKUP(E7251,DATABASE!C:Q,4,false)</f>
        <v>GT</v>
      </c>
      <c r="R7251" s="93" t="str">
        <f>VLOOKUP(E7251,DATABASE!C:Q,11,false)</f>
        <v>Tire</v>
      </c>
    </row>
    <row r="7252" ht="22.5" customHeight="1">
      <c r="A7252" s="49"/>
      <c r="C7252" s="400">
        <v>46085.0</v>
      </c>
      <c r="D7252" s="524">
        <v>509.0</v>
      </c>
      <c r="E7252" s="544" t="s">
        <v>1372</v>
      </c>
      <c r="F7252" s="387">
        <v>4.0</v>
      </c>
      <c r="G7252" s="140">
        <v>1130000.0</v>
      </c>
      <c r="H7252" s="74"/>
      <c r="I7252" s="74">
        <f t="shared" si="1"/>
        <v>4520000</v>
      </c>
      <c r="J7252" s="74">
        <f>IF(E7252="SERVICE",I7252-(I7252*50%),Vlookup(E7252,DATABASE!C:Q,10,false)*F7252)</f>
        <v>0</v>
      </c>
      <c r="K7252" s="74">
        <f>VLOOKUP(E7252,DATABASE!C:Q,7,false)</f>
        <v>1040000</v>
      </c>
      <c r="L7252" s="74">
        <v>1029000.0</v>
      </c>
      <c r="M7252" s="74">
        <f t="shared" si="2"/>
        <v>1030000</v>
      </c>
      <c r="N7252" s="74">
        <f t="shared" si="3"/>
        <v>400000</v>
      </c>
      <c r="O7252" s="65" t="str">
        <f>VLOOKUP(E7252,DATABASE!C:Q,8,false)</f>
        <v>IBU</v>
      </c>
      <c r="P7252" s="65">
        <f>VLOOKUP(E7252,DATABASE!C:Q,9,False)</f>
        <v>1</v>
      </c>
      <c r="Q7252" s="93" t="str">
        <f>VLOOKUP(E7252,DATABASE!C:Q,4,false)</f>
        <v>Dunlop</v>
      </c>
      <c r="R7252" s="93" t="str">
        <f>VLOOKUP(E7252,DATABASE!C:Q,11,false)</f>
        <v>Tire</v>
      </c>
    </row>
    <row r="7253" ht="22.5" customHeight="1">
      <c r="A7253" s="49"/>
      <c r="C7253" s="400">
        <v>46085.0</v>
      </c>
      <c r="D7253" s="524">
        <v>509.0</v>
      </c>
      <c r="E7253" s="544" t="s">
        <v>299</v>
      </c>
      <c r="F7253" s="387">
        <v>4.0</v>
      </c>
      <c r="G7253" s="140">
        <v>30000.0</v>
      </c>
      <c r="H7253" s="74"/>
      <c r="I7253" s="74">
        <f t="shared" si="1"/>
        <v>120000</v>
      </c>
      <c r="J7253" s="74">
        <f>IF(E7253="SERVICE",I7253-(I7253*50%),Vlookup(E7253,DATABASE!C:Q,10,false)*F7253)</f>
        <v>0</v>
      </c>
      <c r="K7253" s="74">
        <f>VLOOKUP(E7253,DATABASE!C:Q,7,false)</f>
        <v>10000</v>
      </c>
      <c r="L7253" s="74">
        <v>10000.0</v>
      </c>
      <c r="M7253" s="74">
        <f t="shared" si="2"/>
        <v>10000</v>
      </c>
      <c r="N7253" s="74">
        <f t="shared" si="3"/>
        <v>80000</v>
      </c>
      <c r="O7253" s="65" t="str">
        <f>VLOOKUP(E7253,DATABASE!C:Q,8,false)</f>
        <v>BIAN</v>
      </c>
      <c r="P7253" s="65">
        <f>VLOOKUP(E7253,DATABASE!C:Q,9,False)</f>
        <v>0</v>
      </c>
      <c r="Q7253" s="93" t="str">
        <f>VLOOKUP(E7253,DATABASE!C:Q,4,false)</f>
        <v>Balancing</v>
      </c>
      <c r="R7253" s="93" t="str">
        <f>VLOOKUP(E7253,DATABASE!C:Q,11,false)</f>
        <v>COMPLEMENTARY</v>
      </c>
    </row>
    <row r="7254" ht="22.5" customHeight="1">
      <c r="A7254" s="49"/>
      <c r="C7254" s="400">
        <v>46085.0</v>
      </c>
      <c r="D7254" s="524">
        <v>511.0</v>
      </c>
      <c r="E7254" s="544" t="s">
        <v>1009</v>
      </c>
      <c r="F7254" s="387">
        <v>1.0</v>
      </c>
      <c r="G7254" s="140">
        <v>700000.0</v>
      </c>
      <c r="H7254" s="140">
        <v>15000.0</v>
      </c>
      <c r="I7254" s="74">
        <f t="shared" si="1"/>
        <v>685000</v>
      </c>
      <c r="J7254" s="74">
        <f>IF(E7254="SERVICE",I7254-(I7254*50%),Vlookup(E7254,DATABASE!C:Q,10,false)*F7254)</f>
        <v>0</v>
      </c>
      <c r="K7254" s="74">
        <f>VLOOKUP(E7254,DATABASE!C:Q,7,false)</f>
        <v>609800</v>
      </c>
      <c r="L7254" s="74">
        <v>592200.0</v>
      </c>
      <c r="M7254" s="74">
        <f t="shared" si="2"/>
        <v>595000</v>
      </c>
      <c r="N7254" s="74">
        <f t="shared" si="3"/>
        <v>90000</v>
      </c>
      <c r="O7254" s="65" t="str">
        <f>VLOOKUP(E7254,DATABASE!C:Q,8,false)</f>
        <v>BIAN</v>
      </c>
      <c r="P7254" s="65">
        <f>VLOOKUP(E7254,DATABASE!C:Q,9,False)</f>
        <v>1</v>
      </c>
      <c r="Q7254" s="93" t="str">
        <f>VLOOKUP(E7254,DATABASE!C:Q,4,false)</f>
        <v>GT</v>
      </c>
      <c r="R7254" s="93" t="str">
        <f>VLOOKUP(E7254,DATABASE!C:Q,11,false)</f>
        <v>Tire</v>
      </c>
    </row>
    <row r="7255" ht="22.5" customHeight="1">
      <c r="A7255" s="49"/>
      <c r="C7255" s="400">
        <v>46085.0</v>
      </c>
      <c r="D7255" s="524">
        <v>512.0</v>
      </c>
      <c r="E7255" s="544" t="s">
        <v>1439</v>
      </c>
      <c r="F7255" s="387">
        <v>1.0</v>
      </c>
      <c r="G7255" s="140">
        <v>640000.0</v>
      </c>
      <c r="H7255" s="140">
        <v>10000.0</v>
      </c>
      <c r="I7255" s="74">
        <f t="shared" si="1"/>
        <v>630000</v>
      </c>
      <c r="J7255" s="74">
        <f>IF(E7255="SERVICE",I7255-(I7255*50%),Vlookup(E7255,DATABASE!C:Q,10,false)*F7255)</f>
        <v>0</v>
      </c>
      <c r="K7255" s="74">
        <f>VLOOKUP(E7255,DATABASE!C:Q,7,false)</f>
        <v>556800</v>
      </c>
      <c r="L7255" s="74">
        <v>540800.0</v>
      </c>
      <c r="M7255" s="74">
        <f t="shared" si="2"/>
        <v>545000</v>
      </c>
      <c r="N7255" s="74">
        <f t="shared" si="3"/>
        <v>85000</v>
      </c>
      <c r="O7255" s="65" t="str">
        <f>VLOOKUP(E7255,DATABASE!C:Q,8,false)</f>
        <v>BIAN</v>
      </c>
      <c r="P7255" s="65">
        <f>VLOOKUP(E7255,DATABASE!C:Q,9,False)</f>
        <v>1</v>
      </c>
      <c r="Q7255" s="93" t="str">
        <f>VLOOKUP(E7255,DATABASE!C:Q,4,false)</f>
        <v>GT</v>
      </c>
      <c r="R7255" s="93" t="str">
        <f>VLOOKUP(E7255,DATABASE!C:Q,11,false)</f>
        <v>Tire</v>
      </c>
    </row>
    <row r="7256" ht="22.5" customHeight="1">
      <c r="A7256" s="49"/>
      <c r="C7256" s="400">
        <v>46085.0</v>
      </c>
      <c r="D7256" s="524">
        <v>513.0</v>
      </c>
      <c r="E7256" s="544" t="s">
        <v>268</v>
      </c>
      <c r="F7256" s="387">
        <v>2.0</v>
      </c>
      <c r="G7256" s="140">
        <v>710000.0</v>
      </c>
      <c r="H7256" s="74"/>
      <c r="I7256" s="74">
        <f t="shared" si="1"/>
        <v>1420000</v>
      </c>
      <c r="J7256" s="74">
        <f>IF(E7256="SERVICE",I7256-(I7256*50%),Vlookup(E7256,DATABASE!C:Q,10,false)*F7256)</f>
        <v>0</v>
      </c>
      <c r="K7256" s="74">
        <f>VLOOKUP(E7256,DATABASE!C:Q,7,false)</f>
        <v>653000</v>
      </c>
      <c r="L7256" s="74">
        <v>622000.0</v>
      </c>
      <c r="M7256" s="74">
        <f t="shared" si="2"/>
        <v>625000</v>
      </c>
      <c r="N7256" s="74">
        <f t="shared" si="3"/>
        <v>170000</v>
      </c>
      <c r="O7256" s="65" t="str">
        <f>VLOOKUP(E7256,DATABASE!C:Q,8,false)</f>
        <v>IBU</v>
      </c>
      <c r="P7256" s="65">
        <f>VLOOKUP(E7256,DATABASE!C:Q,9,False)</f>
        <v>1</v>
      </c>
      <c r="Q7256" s="93" t="str">
        <f>VLOOKUP(E7256,DATABASE!C:Q,4,false)</f>
        <v>Dunlop</v>
      </c>
      <c r="R7256" s="93" t="str">
        <f>VLOOKUP(E7256,DATABASE!C:Q,11,false)</f>
        <v>Tire</v>
      </c>
    </row>
    <row r="7257" ht="22.5" customHeight="1">
      <c r="A7257" s="49"/>
      <c r="C7257" s="400">
        <v>46085.0</v>
      </c>
      <c r="D7257" s="69">
        <v>514.0</v>
      </c>
      <c r="E7257" s="544" t="s">
        <v>268</v>
      </c>
      <c r="F7257" s="387">
        <v>2.0</v>
      </c>
      <c r="G7257" s="140">
        <v>710000.0</v>
      </c>
      <c r="H7257" s="74"/>
      <c r="I7257" s="74">
        <f t="shared" si="1"/>
        <v>1420000</v>
      </c>
      <c r="J7257" s="74">
        <f>IF(E7257="SERVICE",I7257-(I7257*50%),Vlookup(E7257,DATABASE!C:Q,10,false)*F7257)</f>
        <v>0</v>
      </c>
      <c r="K7257" s="74">
        <f>VLOOKUP(E7257,DATABASE!C:Q,7,false)</f>
        <v>653000</v>
      </c>
      <c r="L7257" s="74">
        <v>622000.0</v>
      </c>
      <c r="M7257" s="74">
        <f t="shared" si="2"/>
        <v>625000</v>
      </c>
      <c r="N7257" s="74">
        <f t="shared" si="3"/>
        <v>170000</v>
      </c>
      <c r="O7257" s="65" t="str">
        <f>VLOOKUP(E7257,DATABASE!C:Q,8,false)</f>
        <v>IBU</v>
      </c>
      <c r="P7257" s="65">
        <f>VLOOKUP(E7257,DATABASE!C:Q,9,False)</f>
        <v>1</v>
      </c>
      <c r="Q7257" s="93" t="str">
        <f>VLOOKUP(E7257,DATABASE!C:Q,4,false)</f>
        <v>Dunlop</v>
      </c>
      <c r="R7257" s="93" t="str">
        <f>VLOOKUP(E7257,DATABASE!C:Q,11,false)</f>
        <v>Tire</v>
      </c>
    </row>
    <row r="7258" ht="22.5" customHeight="1">
      <c r="A7258" s="49"/>
      <c r="C7258" s="400">
        <v>46085.0</v>
      </c>
      <c r="D7258" s="69">
        <v>515.0</v>
      </c>
      <c r="E7258" s="544" t="s">
        <v>932</v>
      </c>
      <c r="F7258" s="387">
        <v>2.0</v>
      </c>
      <c r="G7258" s="140">
        <v>680000.0</v>
      </c>
      <c r="H7258" s="74"/>
      <c r="I7258" s="74">
        <f t="shared" si="1"/>
        <v>1360000</v>
      </c>
      <c r="J7258" s="74">
        <f>IF(E7258="SERVICE",I7258-(I7258*50%),Vlookup(E7258,DATABASE!C:Q,10,false)*F7258)</f>
        <v>0</v>
      </c>
      <c r="K7258" s="74">
        <f>VLOOKUP(E7258,DATABASE!C:Q,7,false)</f>
        <v>601000</v>
      </c>
      <c r="L7258" s="74">
        <v>595000.0</v>
      </c>
      <c r="M7258" s="74">
        <f t="shared" si="2"/>
        <v>595000</v>
      </c>
      <c r="N7258" s="74">
        <f t="shared" si="3"/>
        <v>170000</v>
      </c>
      <c r="O7258" s="65" t="str">
        <f>VLOOKUP(E7258,DATABASE!C:Q,8,false)</f>
        <v>IBU</v>
      </c>
      <c r="P7258" s="65">
        <f>VLOOKUP(E7258,DATABASE!C:Q,9,False)</f>
        <v>1</v>
      </c>
      <c r="Q7258" s="93" t="str">
        <f>VLOOKUP(E7258,DATABASE!C:Q,4,false)</f>
        <v>Dunlop</v>
      </c>
      <c r="R7258" s="93" t="str">
        <f>VLOOKUP(E7258,DATABASE!C:Q,11,false)</f>
        <v>Tire</v>
      </c>
    </row>
    <row r="7259" ht="22.5" customHeight="1">
      <c r="A7259" s="49"/>
      <c r="C7259" s="400">
        <v>46085.0</v>
      </c>
      <c r="D7259" s="524">
        <v>516.0</v>
      </c>
      <c r="E7259" s="544" t="s">
        <v>286</v>
      </c>
      <c r="F7259" s="387">
        <v>1.0</v>
      </c>
      <c r="G7259" s="140">
        <v>560000.0</v>
      </c>
      <c r="H7259" s="140">
        <v>10000.0</v>
      </c>
      <c r="I7259" s="74">
        <f t="shared" si="1"/>
        <v>550000</v>
      </c>
      <c r="J7259" s="74">
        <f>IF(E7259="SERVICE",I7259-(I7259*50%),Vlookup(E7259,DATABASE!C:Q,10,false)*F7259)</f>
        <v>0</v>
      </c>
      <c r="K7259" s="74">
        <f>VLOOKUP(E7259,DATABASE!C:Q,7,false)</f>
        <v>488320</v>
      </c>
      <c r="L7259" s="74">
        <v>452970.0</v>
      </c>
      <c r="M7259" s="74">
        <f t="shared" si="2"/>
        <v>455000</v>
      </c>
      <c r="N7259" s="74">
        <f t="shared" si="3"/>
        <v>95000</v>
      </c>
      <c r="O7259" s="65" t="str">
        <f>VLOOKUP(E7259,DATABASE!C:Q,8,false)</f>
        <v>BIAN</v>
      </c>
      <c r="P7259" s="65">
        <f>VLOOKUP(E7259,DATABASE!C:Q,9,False)</f>
        <v>1</v>
      </c>
      <c r="Q7259" s="93" t="str">
        <f>VLOOKUP(E7259,DATABASE!C:Q,4,false)</f>
        <v>GT</v>
      </c>
      <c r="R7259" s="93" t="str">
        <f>VLOOKUP(E7259,DATABASE!C:Q,11,false)</f>
        <v>Tire</v>
      </c>
    </row>
    <row r="7260" ht="22.5" customHeight="1">
      <c r="A7260" s="49"/>
      <c r="C7260" s="400">
        <v>46085.0</v>
      </c>
      <c r="D7260" s="524">
        <v>517.0</v>
      </c>
      <c r="E7260" s="544" t="s">
        <v>1009</v>
      </c>
      <c r="F7260" s="387">
        <v>2.0</v>
      </c>
      <c r="G7260" s="140">
        <v>700000.0</v>
      </c>
      <c r="H7260" s="140">
        <v>15000.0</v>
      </c>
      <c r="I7260" s="74">
        <f t="shared" si="1"/>
        <v>1370000</v>
      </c>
      <c r="J7260" s="74">
        <f>IF(E7260="SERVICE",I7260-(I7260*50%),Vlookup(E7260,DATABASE!C:Q,10,false)*F7260)</f>
        <v>0</v>
      </c>
      <c r="K7260" s="74">
        <f>VLOOKUP(E7260,DATABASE!C:Q,7,false)</f>
        <v>609800</v>
      </c>
      <c r="L7260" s="74">
        <v>592200.0</v>
      </c>
      <c r="M7260" s="74">
        <f t="shared" si="2"/>
        <v>595000</v>
      </c>
      <c r="N7260" s="74">
        <f t="shared" si="3"/>
        <v>180000</v>
      </c>
      <c r="O7260" s="65" t="str">
        <f>VLOOKUP(E7260,DATABASE!C:Q,8,false)</f>
        <v>BIAN</v>
      </c>
      <c r="P7260" s="65">
        <f>VLOOKUP(E7260,DATABASE!C:Q,9,False)</f>
        <v>1</v>
      </c>
      <c r="Q7260" s="93" t="str">
        <f>VLOOKUP(E7260,DATABASE!C:Q,4,false)</f>
        <v>GT</v>
      </c>
      <c r="R7260" s="93" t="str">
        <f>VLOOKUP(E7260,DATABASE!C:Q,11,false)</f>
        <v>Tire</v>
      </c>
    </row>
    <row r="7261" ht="22.5" customHeight="1">
      <c r="A7261" s="49"/>
      <c r="C7261" s="400">
        <v>46085.0</v>
      </c>
      <c r="D7261" s="69" t="s">
        <v>2722</v>
      </c>
      <c r="E7261" s="544" t="s">
        <v>2191</v>
      </c>
      <c r="F7261" s="387">
        <v>1.0</v>
      </c>
      <c r="G7261" s="140">
        <v>400000.0</v>
      </c>
      <c r="H7261" s="74"/>
      <c r="I7261" s="74">
        <f t="shared" si="1"/>
        <v>400000</v>
      </c>
      <c r="J7261" s="74">
        <f>IF(E7261="SERVICE",I7261-(I7261*50%),Vlookup(E7261,DATABASE!C:Q,10,false)*F7261)</f>
        <v>0</v>
      </c>
      <c r="K7261" s="74">
        <f>VLOOKUP(E7261,DATABASE!C:Q,7,false)</f>
        <v>422900</v>
      </c>
      <c r="L7261" s="74">
        <v>377951.0</v>
      </c>
      <c r="M7261" s="74">
        <f t="shared" si="2"/>
        <v>380000</v>
      </c>
      <c r="N7261" s="74">
        <f t="shared" si="3"/>
        <v>20000</v>
      </c>
      <c r="O7261" s="65" t="str">
        <f>VLOOKUP(E7261,DATABASE!C:Q,8,false)</f>
        <v>NON</v>
      </c>
      <c r="P7261" s="65">
        <f>VLOOKUP(E7261,DATABASE!C:Q,9,False)</f>
        <v>0</v>
      </c>
      <c r="Q7261" s="93" t="str">
        <f>VLOOKUP(E7261,DATABASE!C:Q,4,false)</f>
        <v>Shell</v>
      </c>
      <c r="R7261" s="93" t="str">
        <f>VLOOKUP(E7261,DATABASE!C:Q,11,false)</f>
        <v>OIL</v>
      </c>
    </row>
    <row r="7262" ht="22.5" customHeight="1">
      <c r="A7262" s="49"/>
      <c r="C7262" s="400">
        <v>46085.0</v>
      </c>
      <c r="D7262" s="69" t="s">
        <v>2723</v>
      </c>
      <c r="E7262" s="544" t="s">
        <v>298</v>
      </c>
      <c r="F7262" s="387">
        <v>1.0</v>
      </c>
      <c r="G7262" s="140">
        <v>25000.0</v>
      </c>
      <c r="H7262" s="74"/>
      <c r="I7262" s="74">
        <f t="shared" si="1"/>
        <v>25000</v>
      </c>
      <c r="J7262" s="74">
        <f>IF(E7262="SERVICE",I7262-(I7262*50%),Vlookup(E7262,DATABASE!C:Q,10,false)*F7262)</f>
        <v>0</v>
      </c>
      <c r="K7262" s="74">
        <f>VLOOKUP(E7262,DATABASE!C:Q,7,false)</f>
        <v>19200</v>
      </c>
      <c r="L7262" s="74">
        <v>19200.0</v>
      </c>
      <c r="M7262" s="74">
        <f t="shared" si="2"/>
        <v>20000</v>
      </c>
      <c r="N7262" s="74">
        <f t="shared" si="3"/>
        <v>5000</v>
      </c>
      <c r="O7262" s="65" t="str">
        <f>VLOOKUP(E7262,DATABASE!C:Q,8,false)</f>
        <v>BIAN</v>
      </c>
      <c r="P7262" s="65">
        <f>VLOOKUP(E7262,DATABASE!C:Q,9,False)</f>
        <v>0</v>
      </c>
      <c r="Q7262" s="93" t="str">
        <f>VLOOKUP(E7262,DATABASE!C:Q,4,false)</f>
        <v>Aspira</v>
      </c>
      <c r="R7262" s="93" t="str">
        <f>VLOOKUP(E7262,DATABASE!C:Q,11,false)</f>
        <v>COMPLEMENTARY</v>
      </c>
    </row>
    <row r="7263" ht="22.5" customHeight="1">
      <c r="A7263" s="49"/>
      <c r="C7263" s="400">
        <v>46086.0</v>
      </c>
      <c r="D7263" s="524">
        <v>518.0</v>
      </c>
      <c r="E7263" s="544" t="s">
        <v>968</v>
      </c>
      <c r="F7263" s="387">
        <v>1.0</v>
      </c>
      <c r="G7263" s="140">
        <v>675000.0</v>
      </c>
      <c r="H7263" s="140">
        <v>5000.0</v>
      </c>
      <c r="I7263" s="74">
        <f t="shared" si="1"/>
        <v>670000</v>
      </c>
      <c r="J7263" s="74">
        <f>IF(E7263="SERVICE",I7263-(I7263*50%),Vlookup(E7263,DATABASE!C:Q,10,false)*F7263)</f>
        <v>0</v>
      </c>
      <c r="K7263" s="74">
        <f>VLOOKUP(E7263,DATABASE!C:Q,7,false)</f>
        <v>582500</v>
      </c>
      <c r="L7263" s="74">
        <v>570500.0</v>
      </c>
      <c r="M7263" s="74">
        <f t="shared" si="2"/>
        <v>575000</v>
      </c>
      <c r="N7263" s="74">
        <f t="shared" si="3"/>
        <v>95000</v>
      </c>
      <c r="O7263" s="65" t="str">
        <f>VLOOKUP(E7263,DATABASE!C:Q,8,false)</f>
        <v>IBU</v>
      </c>
      <c r="P7263" s="65">
        <f>VLOOKUP(E7263,DATABASE!C:Q,9,False)</f>
        <v>1</v>
      </c>
      <c r="Q7263" s="93" t="str">
        <f>VLOOKUP(E7263,DATABASE!C:Q,4,false)</f>
        <v>Dunlop</v>
      </c>
      <c r="R7263" s="93" t="str">
        <f>VLOOKUP(E7263,DATABASE!C:Q,11,false)</f>
        <v>Tire</v>
      </c>
    </row>
    <row r="7264" ht="22.5" customHeight="1">
      <c r="A7264" s="49"/>
      <c r="C7264" s="400">
        <v>46086.0</v>
      </c>
      <c r="D7264" s="524">
        <v>519.0</v>
      </c>
      <c r="E7264" s="544" t="s">
        <v>924</v>
      </c>
      <c r="F7264" s="387">
        <v>4.0</v>
      </c>
      <c r="G7264" s="140">
        <v>1650000.0</v>
      </c>
      <c r="H7264" s="140">
        <v>20000.0</v>
      </c>
      <c r="I7264" s="74">
        <f t="shared" si="1"/>
        <v>6520000</v>
      </c>
      <c r="J7264" s="74">
        <f>IF(E7264="SERVICE",I7264-(I7264*50%),Vlookup(E7264,DATABASE!C:Q,10,false)*F7264)</f>
        <v>0</v>
      </c>
      <c r="K7264" s="74">
        <f>VLOOKUP(E7264,DATABASE!C:Q,7,false)</f>
        <v>1560000</v>
      </c>
      <c r="L7264" s="74">
        <v>1545000.0</v>
      </c>
      <c r="M7264" s="74">
        <f t="shared" si="2"/>
        <v>1545000</v>
      </c>
      <c r="N7264" s="74">
        <f t="shared" si="3"/>
        <v>340000</v>
      </c>
      <c r="O7264" s="65" t="str">
        <f>VLOOKUP(E7264,DATABASE!C:Q,8,false)</f>
        <v>BIAN</v>
      </c>
      <c r="P7264" s="65">
        <f>VLOOKUP(E7264,DATABASE!C:Q,9,False)</f>
        <v>1</v>
      </c>
      <c r="Q7264" s="93" t="str">
        <f>VLOOKUP(E7264,DATABASE!C:Q,4,false)</f>
        <v>TIRON</v>
      </c>
      <c r="R7264" s="93" t="str">
        <f>VLOOKUP(E7264,DATABASE!C:Q,11,false)</f>
        <v>Tire</v>
      </c>
    </row>
    <row r="7265" ht="22.5" customHeight="1">
      <c r="A7265" s="49"/>
      <c r="C7265" s="400">
        <v>46086.0</v>
      </c>
      <c r="D7265" s="524">
        <v>519.0</v>
      </c>
      <c r="E7265" s="544" t="s">
        <v>286</v>
      </c>
      <c r="F7265" s="387">
        <v>1.0</v>
      </c>
      <c r="G7265" s="140">
        <v>560000.0</v>
      </c>
      <c r="H7265" s="140">
        <v>10000.0</v>
      </c>
      <c r="I7265" s="74">
        <f t="shared" si="1"/>
        <v>550000</v>
      </c>
      <c r="J7265" s="74">
        <f>IF(E7265="SERVICE",I7265-(I7265*50%),Vlookup(E7265,DATABASE!C:Q,10,false)*F7265)</f>
        <v>0</v>
      </c>
      <c r="K7265" s="74">
        <f>VLOOKUP(E7265,DATABASE!C:Q,7,false)</f>
        <v>488320</v>
      </c>
      <c r="L7265" s="74">
        <v>452970.0</v>
      </c>
      <c r="M7265" s="74">
        <f t="shared" si="2"/>
        <v>455000</v>
      </c>
      <c r="N7265" s="74">
        <f t="shared" si="3"/>
        <v>95000</v>
      </c>
      <c r="O7265" s="65" t="str">
        <f>VLOOKUP(E7265,DATABASE!C:Q,8,false)</f>
        <v>BIAN</v>
      </c>
      <c r="P7265" s="65">
        <f>VLOOKUP(E7265,DATABASE!C:Q,9,False)</f>
        <v>1</v>
      </c>
      <c r="Q7265" s="93" t="str">
        <f>VLOOKUP(E7265,DATABASE!C:Q,4,false)</f>
        <v>GT</v>
      </c>
      <c r="R7265" s="93" t="str">
        <f>VLOOKUP(E7265,DATABASE!C:Q,11,false)</f>
        <v>Tire</v>
      </c>
    </row>
    <row r="7266" ht="22.5" customHeight="1">
      <c r="A7266" s="49"/>
      <c r="C7266" s="400">
        <v>46086.0</v>
      </c>
      <c r="D7266" s="524">
        <v>520.0</v>
      </c>
      <c r="E7266" s="544" t="s">
        <v>2155</v>
      </c>
      <c r="F7266" s="387">
        <v>1.0</v>
      </c>
      <c r="G7266" s="140">
        <v>650000.0</v>
      </c>
      <c r="H7266" s="140">
        <v>20000.0</v>
      </c>
      <c r="I7266" s="74">
        <f t="shared" si="1"/>
        <v>630000</v>
      </c>
      <c r="J7266" s="74">
        <f>IF(E7266="SERVICE",I7266-(I7266*50%),Vlookup(E7266,DATABASE!C:Q,10,false)*F7266)</f>
        <v>0</v>
      </c>
      <c r="K7266" s="74">
        <f>VLOOKUP(E7266,DATABASE!C:Q,7,false)</f>
        <v>555000</v>
      </c>
      <c r="L7266" s="74">
        <v>555000.0</v>
      </c>
      <c r="M7266" s="74">
        <f t="shared" si="2"/>
        <v>555000</v>
      </c>
      <c r="N7266" s="74">
        <f t="shared" si="3"/>
        <v>75000</v>
      </c>
      <c r="O7266" s="65" t="str">
        <f>VLOOKUP(E7266,DATABASE!C:Q,8,false)</f>
        <v>BIAN</v>
      </c>
      <c r="P7266" s="65">
        <f>VLOOKUP(E7266,DATABASE!C:Q,9,False)</f>
        <v>1</v>
      </c>
      <c r="Q7266" s="93" t="str">
        <f>VLOOKUP(E7266,DATABASE!C:Q,4,false)</f>
        <v>SAILUN</v>
      </c>
      <c r="R7266" s="93" t="str">
        <f>VLOOKUP(E7266,DATABASE!C:Q,11,false)</f>
        <v>Tire</v>
      </c>
    </row>
    <row r="7267" ht="22.5" customHeight="1">
      <c r="A7267" s="49"/>
      <c r="C7267" s="400">
        <v>46086.0</v>
      </c>
      <c r="D7267" s="524">
        <v>521.0</v>
      </c>
      <c r="E7267" s="544" t="s">
        <v>287</v>
      </c>
      <c r="F7267" s="387">
        <v>2.0</v>
      </c>
      <c r="G7267" s="140">
        <v>780000.0</v>
      </c>
      <c r="H7267" s="74"/>
      <c r="I7267" s="74">
        <f t="shared" si="1"/>
        <v>1560000</v>
      </c>
      <c r="J7267" s="74">
        <f>IF(E7267="SERVICE",I7267-(I7267*50%),Vlookup(E7267,DATABASE!C:Q,10,false)*F7267)</f>
        <v>0</v>
      </c>
      <c r="K7267" s="74">
        <f>VLOOKUP(E7267,DATABASE!C:Q,7,false)</f>
        <v>711000</v>
      </c>
      <c r="L7267" s="74">
        <v>690600.0</v>
      </c>
      <c r="M7267" s="74">
        <f t="shared" si="2"/>
        <v>695000</v>
      </c>
      <c r="N7267" s="74">
        <f t="shared" si="3"/>
        <v>170000</v>
      </c>
      <c r="O7267" s="65" t="str">
        <f>VLOOKUP(E7267,DATABASE!C:Q,8,false)</f>
        <v>BIAN</v>
      </c>
      <c r="P7267" s="65">
        <f>VLOOKUP(E7267,DATABASE!C:Q,9,False)</f>
        <v>1</v>
      </c>
      <c r="Q7267" s="93" t="str">
        <f>VLOOKUP(E7267,DATABASE!C:Q,4,false)</f>
        <v>GT</v>
      </c>
      <c r="R7267" s="93" t="str">
        <f>VLOOKUP(E7267,DATABASE!C:Q,11,false)</f>
        <v>Tire</v>
      </c>
    </row>
    <row r="7268" ht="22.5" customHeight="1">
      <c r="A7268" s="49"/>
      <c r="C7268" s="400">
        <v>46086.0</v>
      </c>
      <c r="D7268" s="524">
        <v>523.0</v>
      </c>
      <c r="E7268" s="544" t="s">
        <v>1704</v>
      </c>
      <c r="F7268" s="387">
        <v>2.0</v>
      </c>
      <c r="G7268" s="140">
        <v>820000.0</v>
      </c>
      <c r="H7268" s="74"/>
      <c r="I7268" s="74">
        <f t="shared" si="1"/>
        <v>1640000</v>
      </c>
      <c r="J7268" s="74">
        <f>IF(E7268="SERVICE",I7268-(I7268*50%),Vlookup(E7268,DATABASE!C:Q,10,false)*F7268)</f>
        <v>0</v>
      </c>
      <c r="K7268" s="74">
        <f>VLOOKUP(E7268,DATABASE!C:Q,7,false)</f>
        <v>787500</v>
      </c>
      <c r="L7268" s="74">
        <v>711900.0</v>
      </c>
      <c r="M7268" s="74">
        <f t="shared" si="2"/>
        <v>715000</v>
      </c>
      <c r="N7268" s="74">
        <f t="shared" si="3"/>
        <v>210000</v>
      </c>
      <c r="O7268" s="65" t="str">
        <f>VLOOKUP(E7268,DATABASE!C:Q,8,false)</f>
        <v>BIAN</v>
      </c>
      <c r="P7268" s="65">
        <f>VLOOKUP(E7268,DATABASE!C:Q,9,False)</f>
        <v>1</v>
      </c>
      <c r="Q7268" s="93" t="str">
        <f>VLOOKUP(E7268,DATABASE!C:Q,4,false)</f>
        <v>GT</v>
      </c>
      <c r="R7268" s="93" t="str">
        <f>VLOOKUP(E7268,DATABASE!C:Q,11,false)</f>
        <v>Tire</v>
      </c>
    </row>
    <row r="7269" ht="22.5" customHeight="1">
      <c r="A7269" s="49"/>
      <c r="C7269" s="400">
        <v>46086.0</v>
      </c>
      <c r="D7269" s="524">
        <v>524.0</v>
      </c>
      <c r="E7269" s="544" t="s">
        <v>605</v>
      </c>
      <c r="F7269" s="387">
        <v>1.0</v>
      </c>
      <c r="G7269" s="140">
        <v>765000.0</v>
      </c>
      <c r="H7269" s="140">
        <v>5000.0</v>
      </c>
      <c r="I7269" s="74">
        <f t="shared" si="1"/>
        <v>760000</v>
      </c>
      <c r="J7269" s="74">
        <f>IF(E7269="SERVICE",I7269-(I7269*50%),Vlookup(E7269,DATABASE!C:Q,10,false)*F7269)</f>
        <v>0</v>
      </c>
      <c r="K7269" s="74">
        <f>VLOOKUP(E7269,DATABASE!C:Q,7,false)</f>
        <v>675000</v>
      </c>
      <c r="L7269" s="74">
        <v>675000.0</v>
      </c>
      <c r="M7269" s="74">
        <f t="shared" si="2"/>
        <v>675000</v>
      </c>
      <c r="N7269" s="74">
        <f t="shared" si="3"/>
        <v>85000</v>
      </c>
      <c r="O7269" s="65" t="str">
        <f>VLOOKUP(E7269,DATABASE!C:Q,8,false)</f>
        <v>IBU</v>
      </c>
      <c r="P7269" s="65">
        <f>VLOOKUP(E7269,DATABASE!C:Q,9,False)</f>
        <v>1</v>
      </c>
      <c r="Q7269" s="93" t="str">
        <f>VLOOKUP(E7269,DATABASE!C:Q,4,false)</f>
        <v>Bridgestone</v>
      </c>
      <c r="R7269" s="93" t="str">
        <f>VLOOKUP(E7269,DATABASE!C:Q,11,false)</f>
        <v>Tire</v>
      </c>
    </row>
    <row r="7270" ht="22.5" customHeight="1">
      <c r="A7270" s="49"/>
      <c r="C7270" s="400">
        <v>46086.0</v>
      </c>
      <c r="D7270" s="524">
        <v>525.0</v>
      </c>
      <c r="E7270" s="544" t="s">
        <v>275</v>
      </c>
      <c r="F7270" s="387">
        <v>1.0</v>
      </c>
      <c r="G7270" s="140">
        <v>830000.0</v>
      </c>
      <c r="H7270" s="74"/>
      <c r="I7270" s="74">
        <f t="shared" si="1"/>
        <v>830000</v>
      </c>
      <c r="J7270" s="74">
        <f>IF(E7270="SERVICE",I7270-(I7270*50%),Vlookup(E7270,DATABASE!C:Q,10,false)*F7270)</f>
        <v>0</v>
      </c>
      <c r="K7270" s="74">
        <f>VLOOKUP(E7270,DATABASE!C:Q,7,false)</f>
        <v>782000</v>
      </c>
      <c r="L7270" s="74">
        <v>745000.0</v>
      </c>
      <c r="M7270" s="74">
        <f t="shared" si="2"/>
        <v>745000</v>
      </c>
      <c r="N7270" s="74">
        <f t="shared" si="3"/>
        <v>85000</v>
      </c>
      <c r="O7270" s="65" t="str">
        <f>VLOOKUP(E7270,DATABASE!C:Q,8,false)</f>
        <v>IBU</v>
      </c>
      <c r="P7270" s="65">
        <f>VLOOKUP(E7270,DATABASE!C:Q,9,False)</f>
        <v>1</v>
      </c>
      <c r="Q7270" s="93" t="str">
        <f>VLOOKUP(E7270,DATABASE!C:Q,4,false)</f>
        <v>Dunlop</v>
      </c>
      <c r="R7270" s="93" t="str">
        <f>VLOOKUP(E7270,DATABASE!C:Q,11,false)</f>
        <v>Tire</v>
      </c>
    </row>
    <row r="7271" ht="22.5" customHeight="1">
      <c r="A7271" s="49"/>
      <c r="C7271" s="400">
        <v>46086.0</v>
      </c>
      <c r="D7271" s="524">
        <v>526.0</v>
      </c>
      <c r="E7271" s="544" t="s">
        <v>569</v>
      </c>
      <c r="F7271" s="387">
        <v>3.0</v>
      </c>
      <c r="G7271" s="140">
        <v>80000.0</v>
      </c>
      <c r="H7271" s="74"/>
      <c r="I7271" s="74">
        <f t="shared" si="1"/>
        <v>240000</v>
      </c>
      <c r="J7271" s="74">
        <f>IF(E7271="SERVICE",I7271-(I7271*50%),Vlookup(E7271,DATABASE!C:Q,10,false)*F7271)</f>
        <v>0</v>
      </c>
      <c r="K7271" s="74">
        <f>VLOOKUP(E7271,DATABASE!C:Q,7,false)</f>
        <v>45439.582</v>
      </c>
      <c r="L7271" s="74">
        <v>45309.6</v>
      </c>
      <c r="M7271" s="74">
        <f t="shared" si="2"/>
        <v>50000</v>
      </c>
      <c r="N7271" s="74">
        <f t="shared" si="3"/>
        <v>90000</v>
      </c>
      <c r="O7271" s="65" t="str">
        <f>VLOOKUP(E7271,DATABASE!C:Q,8,false)</f>
        <v>BIAN</v>
      </c>
      <c r="P7271" s="65">
        <f>VLOOKUP(E7271,DATABASE!C:Q,9,False)</f>
        <v>1</v>
      </c>
      <c r="Q7271" s="93" t="str">
        <f>VLOOKUP(E7271,DATABASE!C:Q,4,false)</f>
        <v>BD</v>
      </c>
      <c r="R7271" s="93" t="str">
        <f>VLOOKUP(E7271,DATABASE!C:Q,11,false)</f>
        <v>Tire</v>
      </c>
    </row>
    <row r="7272" ht="22.5" customHeight="1">
      <c r="A7272" s="49"/>
      <c r="C7272" s="400">
        <v>46086.0</v>
      </c>
      <c r="D7272" s="524">
        <v>526.0</v>
      </c>
      <c r="E7272" s="544" t="s">
        <v>613</v>
      </c>
      <c r="F7272" s="387">
        <v>2.0</v>
      </c>
      <c r="G7272" s="140">
        <v>95000.0</v>
      </c>
      <c r="H7272" s="74"/>
      <c r="I7272" s="74">
        <f t="shared" si="1"/>
        <v>190000</v>
      </c>
      <c r="J7272" s="74">
        <f>IF(E7272="SERVICE",I7272-(I7272*50%),Vlookup(E7272,DATABASE!C:Q,10,false)*F7272)</f>
        <v>0</v>
      </c>
      <c r="K7272" s="74">
        <f>VLOOKUP(E7272,DATABASE!C:Q,7,false)</f>
        <v>58371.2695</v>
      </c>
      <c r="L7272" s="74">
        <v>55000.0</v>
      </c>
      <c r="M7272" s="74">
        <f t="shared" si="2"/>
        <v>55000</v>
      </c>
      <c r="N7272" s="74">
        <f t="shared" si="3"/>
        <v>80000</v>
      </c>
      <c r="O7272" s="65" t="str">
        <f>VLOOKUP(E7272,DATABASE!C:Q,8,false)</f>
        <v>BIAN</v>
      </c>
      <c r="P7272" s="65">
        <f>VLOOKUP(E7272,DATABASE!C:Q,9,False)</f>
        <v>1</v>
      </c>
      <c r="Q7272" s="93" t="str">
        <f>VLOOKUP(E7272,DATABASE!C:Q,4,false)</f>
        <v>BD</v>
      </c>
      <c r="R7272" s="93" t="str">
        <f>VLOOKUP(E7272,DATABASE!C:Q,11,false)</f>
        <v>Tire</v>
      </c>
    </row>
    <row r="7273" ht="22.5" customHeight="1">
      <c r="A7273" s="49"/>
      <c r="C7273" s="400">
        <v>46086.0</v>
      </c>
      <c r="D7273" s="524">
        <v>526.0</v>
      </c>
      <c r="E7273" s="544" t="s">
        <v>2621</v>
      </c>
      <c r="F7273" s="387">
        <v>1.0</v>
      </c>
      <c r="G7273" s="140">
        <v>180000.0</v>
      </c>
      <c r="H7273" s="74"/>
      <c r="I7273" s="74">
        <f t="shared" si="1"/>
        <v>180000</v>
      </c>
      <c r="J7273" s="74">
        <f>IF(E7273="SERVICE",I7273-(I7273*50%),Vlookup(E7273,DATABASE!C:Q,10,false)*F7273)</f>
        <v>0</v>
      </c>
      <c r="K7273" s="74">
        <f>VLOOKUP(E7273,DATABASE!C:Q,7,false)</f>
        <v>141160</v>
      </c>
      <c r="L7273" s="74">
        <v>130137.0</v>
      </c>
      <c r="M7273" s="74">
        <f t="shared" si="2"/>
        <v>135000</v>
      </c>
      <c r="N7273" s="74">
        <f t="shared" si="3"/>
        <v>45000</v>
      </c>
      <c r="O7273" s="65" t="str">
        <f>VLOOKUP(E7273,DATABASE!C:Q,8,false)</f>
        <v>BIAN</v>
      </c>
      <c r="P7273" s="65">
        <f>VLOOKUP(E7273,DATABASE!C:Q,9,False)</f>
        <v>1</v>
      </c>
      <c r="Q7273" s="93" t="str">
        <f>VLOOKUP(E7273,DATABASE!C:Q,4,false)</f>
        <v>IBK light</v>
      </c>
      <c r="R7273" s="93" t="str">
        <f>VLOOKUP(E7273,DATABASE!C:Q,11,false)</f>
        <v>Tire</v>
      </c>
    </row>
    <row r="7274" ht="22.5" customHeight="1">
      <c r="A7274" s="49"/>
      <c r="C7274" s="400">
        <v>46086.0</v>
      </c>
      <c r="D7274" s="69" t="s">
        <v>2724</v>
      </c>
      <c r="E7274" s="544" t="s">
        <v>263</v>
      </c>
      <c r="F7274" s="387">
        <v>1.0</v>
      </c>
      <c r="G7274" s="140">
        <v>320000.0</v>
      </c>
      <c r="H7274" s="74"/>
      <c r="I7274" s="74">
        <f t="shared" si="1"/>
        <v>320000</v>
      </c>
      <c r="J7274" s="74">
        <f>IF(E7274="SERVICE",I7274-(I7274*50%),Vlookup(E7274,DATABASE!C:Q,10,false)*F7274)</f>
        <v>0</v>
      </c>
      <c r="K7274" s="74">
        <f>VLOOKUP(E7274,DATABASE!C:Q,7,false)</f>
        <v>334916</v>
      </c>
      <c r="L7274" s="74">
        <v>287688.0</v>
      </c>
      <c r="M7274" s="74">
        <f t="shared" si="2"/>
        <v>290000</v>
      </c>
      <c r="N7274" s="74">
        <f t="shared" si="3"/>
        <v>30000</v>
      </c>
      <c r="O7274" s="65" t="str">
        <f>VLOOKUP(E7274,DATABASE!C:Q,8,false)</f>
        <v>NON</v>
      </c>
      <c r="P7274" s="65">
        <f>VLOOKUP(E7274,DATABASE!C:Q,9,False)</f>
        <v>0</v>
      </c>
      <c r="Q7274" s="93" t="str">
        <f>VLOOKUP(E7274,DATABASE!C:Q,4,false)</f>
        <v>Shell</v>
      </c>
      <c r="R7274" s="93" t="str">
        <f>VLOOKUP(E7274,DATABASE!C:Q,11,false)</f>
        <v>OIL</v>
      </c>
    </row>
    <row r="7275" ht="22.5" customHeight="1">
      <c r="A7275" s="49"/>
      <c r="C7275" s="400">
        <v>46086.0</v>
      </c>
      <c r="D7275" s="69" t="s">
        <v>2724</v>
      </c>
      <c r="E7275" s="544" t="s">
        <v>2609</v>
      </c>
      <c r="F7275" s="387">
        <v>1.0</v>
      </c>
      <c r="G7275" s="140">
        <v>30000.0</v>
      </c>
      <c r="H7275" s="74"/>
      <c r="I7275" s="74">
        <f t="shared" si="1"/>
        <v>30000</v>
      </c>
      <c r="J7275" s="74">
        <f>IF(E7275="SERVICE",I7275-(I7275*50%),Vlookup(E7275,DATABASE!C:Q,10,false)*F7275)</f>
        <v>0</v>
      </c>
      <c r="K7275" s="74">
        <f>VLOOKUP(E7275,DATABASE!C:Q,7,false)</f>
        <v>21500</v>
      </c>
      <c r="L7275" s="74">
        <v>21500.0</v>
      </c>
      <c r="M7275" s="74">
        <f t="shared" si="2"/>
        <v>25000</v>
      </c>
      <c r="N7275" s="74">
        <f t="shared" si="3"/>
        <v>5000</v>
      </c>
      <c r="O7275" s="65" t="str">
        <f>VLOOKUP(E7275,DATABASE!C:Q,8,false)</f>
        <v>BIAN</v>
      </c>
      <c r="P7275" s="65">
        <f>VLOOKUP(E7275,DATABASE!C:Q,9,False)</f>
        <v>0</v>
      </c>
      <c r="Q7275" s="93" t="str">
        <f>VLOOKUP(E7275,DATABASE!C:Q,4,false)</f>
        <v>Sakura</v>
      </c>
      <c r="R7275" s="93" t="str">
        <f>VLOOKUP(E7275,DATABASE!C:Q,11,false)</f>
        <v>COMPLEMENTARY</v>
      </c>
    </row>
    <row r="7276" ht="22.5" customHeight="1">
      <c r="A7276" s="49"/>
      <c r="C7276" s="400">
        <v>46087.0</v>
      </c>
      <c r="D7276" s="524">
        <v>528.0</v>
      </c>
      <c r="E7276" s="544" t="s">
        <v>256</v>
      </c>
      <c r="F7276" s="387">
        <v>1.0</v>
      </c>
      <c r="G7276" s="140">
        <v>175000.0</v>
      </c>
      <c r="H7276" s="140">
        <v>25000.0</v>
      </c>
      <c r="I7276" s="74">
        <f t="shared" si="1"/>
        <v>150000</v>
      </c>
      <c r="J7276" s="74">
        <f>IF(E7276="SERVICE",I7276-(I7276*50%),Vlookup(E7276,DATABASE!C:Q,10,false)*F7276)</f>
        <v>10000</v>
      </c>
      <c r="K7276" s="74">
        <f>VLOOKUP(E7276,DATABASE!C:Q,7,false)</f>
        <v>0</v>
      </c>
      <c r="L7276" s="74">
        <v>0.0</v>
      </c>
      <c r="M7276" s="74">
        <f t="shared" si="2"/>
        <v>0</v>
      </c>
      <c r="N7276" s="74">
        <f t="shared" si="3"/>
        <v>140000</v>
      </c>
      <c r="O7276" s="65" t="str">
        <f>VLOOKUP(E7276,DATABASE!C:Q,8,false)</f>
        <v>IBU</v>
      </c>
      <c r="P7276" s="65">
        <f>VLOOKUP(E7276,DATABASE!C:Q,9,False)</f>
        <v>0</v>
      </c>
      <c r="Q7276" s="93" t="str">
        <f>VLOOKUP(E7276,DATABASE!C:Q,4,false)</f>
        <v>SPOORING</v>
      </c>
      <c r="R7276" s="93" t="str">
        <f>VLOOKUP(E7276,DATABASE!C:Q,11,false)</f>
        <v>SERVICE</v>
      </c>
    </row>
    <row r="7277" ht="22.5" customHeight="1">
      <c r="A7277" s="49"/>
      <c r="C7277" s="400">
        <v>46087.0</v>
      </c>
      <c r="D7277" s="524">
        <v>528.0</v>
      </c>
      <c r="E7277" s="544" t="s">
        <v>251</v>
      </c>
      <c r="F7277" s="387">
        <v>1.0</v>
      </c>
      <c r="G7277" s="140">
        <v>350000.0</v>
      </c>
      <c r="H7277" s="140">
        <v>200000.0</v>
      </c>
      <c r="I7277" s="74">
        <f t="shared" si="1"/>
        <v>150000</v>
      </c>
      <c r="J7277" s="74">
        <f>IF(E7277="SERVICE",I7277-(I7277*50%),Vlookup(E7277,DATABASE!C:Q,10,false)*F7277)</f>
        <v>75000</v>
      </c>
      <c r="K7277" s="74">
        <f>VLOOKUP(E7277,DATABASE!C:Q,7,false)</f>
        <v>0</v>
      </c>
      <c r="L7277" s="74">
        <v>0.0</v>
      </c>
      <c r="M7277" s="74">
        <f t="shared" si="2"/>
        <v>0</v>
      </c>
      <c r="N7277" s="74">
        <f t="shared" si="3"/>
        <v>75000</v>
      </c>
      <c r="O7277" s="65" t="str">
        <f>VLOOKUP(E7277,DATABASE!C:Q,8,false)</f>
        <v>IBU</v>
      </c>
      <c r="P7277" s="65">
        <f>VLOOKUP(E7277,DATABASE!C:Q,9,False)</f>
        <v>0</v>
      </c>
      <c r="Q7277" s="93" t="str">
        <f>VLOOKUP(E7277,DATABASE!C:Q,4,false)</f>
        <v>SERVICE</v>
      </c>
      <c r="R7277" s="93" t="str">
        <f>VLOOKUP(E7277,DATABASE!C:Q,11,false)</f>
        <v>SERVICE</v>
      </c>
    </row>
    <row r="7278" ht="22.5" customHeight="1">
      <c r="A7278" s="49"/>
      <c r="C7278" s="400">
        <v>46087.0</v>
      </c>
      <c r="D7278" s="524">
        <v>529.0</v>
      </c>
      <c r="E7278" s="544" t="s">
        <v>299</v>
      </c>
      <c r="F7278" s="387">
        <v>2.0</v>
      </c>
      <c r="G7278" s="140">
        <v>30000.0</v>
      </c>
      <c r="H7278" s="74"/>
      <c r="I7278" s="74">
        <f t="shared" si="1"/>
        <v>60000</v>
      </c>
      <c r="J7278" s="74">
        <f>IF(E7278="SERVICE",I7278-(I7278*50%),Vlookup(E7278,DATABASE!C:Q,10,false)*F7278)</f>
        <v>0</v>
      </c>
      <c r="K7278" s="74">
        <f>VLOOKUP(E7278,DATABASE!C:Q,7,false)</f>
        <v>10000</v>
      </c>
      <c r="L7278" s="74">
        <v>10000.0</v>
      </c>
      <c r="M7278" s="74">
        <f t="shared" si="2"/>
        <v>10000</v>
      </c>
      <c r="N7278" s="74">
        <f t="shared" si="3"/>
        <v>40000</v>
      </c>
      <c r="O7278" s="65" t="str">
        <f>VLOOKUP(E7278,DATABASE!C:Q,8,false)</f>
        <v>BIAN</v>
      </c>
      <c r="P7278" s="65">
        <f>VLOOKUP(E7278,DATABASE!C:Q,9,False)</f>
        <v>0</v>
      </c>
      <c r="Q7278" s="93" t="str">
        <f>VLOOKUP(E7278,DATABASE!C:Q,4,false)</f>
        <v>Balancing</v>
      </c>
      <c r="R7278" s="93" t="str">
        <f>VLOOKUP(E7278,DATABASE!C:Q,11,false)</f>
        <v>COMPLEMENTARY</v>
      </c>
    </row>
    <row r="7279" ht="22.5" customHeight="1">
      <c r="A7279" s="49"/>
      <c r="C7279" s="400">
        <v>46087.0</v>
      </c>
      <c r="D7279" s="524">
        <v>530.0</v>
      </c>
      <c r="E7279" s="544" t="s">
        <v>1430</v>
      </c>
      <c r="F7279" s="387">
        <v>2.0</v>
      </c>
      <c r="G7279" s="140">
        <v>760000.0</v>
      </c>
      <c r="H7279" s="74"/>
      <c r="I7279" s="74">
        <f t="shared" si="1"/>
        <v>1520000</v>
      </c>
      <c r="J7279" s="74">
        <f>IF(E7279="SERVICE",I7279-(I7279*50%),Vlookup(E7279,DATABASE!C:Q,10,false)*F7279)</f>
        <v>0</v>
      </c>
      <c r="K7279" s="74">
        <f>VLOOKUP(E7279,DATABASE!C:Q,7,false)</f>
        <v>672800</v>
      </c>
      <c r="L7279" s="74">
        <v>659610.0</v>
      </c>
      <c r="M7279" s="74">
        <f t="shared" si="2"/>
        <v>660000</v>
      </c>
      <c r="N7279" s="74">
        <f t="shared" si="3"/>
        <v>200000</v>
      </c>
      <c r="O7279" s="65" t="str">
        <f>VLOOKUP(E7279,DATABASE!C:Q,8,false)</f>
        <v>BIAN</v>
      </c>
      <c r="P7279" s="65">
        <f>VLOOKUP(E7279,DATABASE!C:Q,9,False)</f>
        <v>1</v>
      </c>
      <c r="Q7279" s="93" t="str">
        <f>VLOOKUP(E7279,DATABASE!C:Q,4,false)</f>
        <v>GT</v>
      </c>
      <c r="R7279" s="93" t="str">
        <f>VLOOKUP(E7279,DATABASE!C:Q,11,false)</f>
        <v>Tire</v>
      </c>
    </row>
    <row r="7280" ht="22.5" customHeight="1">
      <c r="A7280" s="49"/>
      <c r="C7280" s="400">
        <v>46087.0</v>
      </c>
      <c r="D7280" s="524">
        <v>531.0</v>
      </c>
      <c r="E7280" s="544" t="s">
        <v>256</v>
      </c>
      <c r="F7280" s="387">
        <v>1.0</v>
      </c>
      <c r="G7280" s="140">
        <v>175000.0</v>
      </c>
      <c r="H7280" s="140">
        <v>25000.0</v>
      </c>
      <c r="I7280" s="74">
        <f t="shared" si="1"/>
        <v>150000</v>
      </c>
      <c r="J7280" s="74">
        <f>IF(E7280="SERVICE",I7280-(I7280*50%),Vlookup(E7280,DATABASE!C:Q,10,false)*F7280)</f>
        <v>10000</v>
      </c>
      <c r="K7280" s="74">
        <f>VLOOKUP(E7280,DATABASE!C:Q,7,false)</f>
        <v>0</v>
      </c>
      <c r="L7280" s="74">
        <v>0.0</v>
      </c>
      <c r="M7280" s="74">
        <f t="shared" si="2"/>
        <v>0</v>
      </c>
      <c r="N7280" s="74">
        <f t="shared" si="3"/>
        <v>140000</v>
      </c>
      <c r="O7280" s="65" t="str">
        <f>VLOOKUP(E7280,DATABASE!C:Q,8,false)</f>
        <v>IBU</v>
      </c>
      <c r="P7280" s="65">
        <f>VLOOKUP(E7280,DATABASE!C:Q,9,False)</f>
        <v>0</v>
      </c>
      <c r="Q7280" s="93" t="str">
        <f>VLOOKUP(E7280,DATABASE!C:Q,4,false)</f>
        <v>SPOORING</v>
      </c>
      <c r="R7280" s="93" t="str">
        <f>VLOOKUP(E7280,DATABASE!C:Q,11,false)</f>
        <v>SERVICE</v>
      </c>
    </row>
    <row r="7281" ht="22.5" customHeight="1">
      <c r="A7281" s="49"/>
      <c r="C7281" s="400">
        <v>46087.0</v>
      </c>
      <c r="D7281" s="524">
        <v>531.0</v>
      </c>
      <c r="E7281" s="544" t="s">
        <v>251</v>
      </c>
      <c r="F7281" s="387">
        <v>1.0</v>
      </c>
      <c r="G7281" s="140">
        <v>350000.0</v>
      </c>
      <c r="H7281" s="140">
        <v>200000.0</v>
      </c>
      <c r="I7281" s="74">
        <f t="shared" si="1"/>
        <v>150000</v>
      </c>
      <c r="J7281" s="74">
        <f>IF(E7281="SERVICE",I7281-(I7281*50%),Vlookup(E7281,DATABASE!C:Q,10,false)*F7281)</f>
        <v>75000</v>
      </c>
      <c r="K7281" s="74">
        <f>VLOOKUP(E7281,DATABASE!C:Q,7,false)</f>
        <v>0</v>
      </c>
      <c r="L7281" s="74">
        <v>0.0</v>
      </c>
      <c r="M7281" s="74">
        <f t="shared" si="2"/>
        <v>0</v>
      </c>
      <c r="N7281" s="74">
        <f t="shared" si="3"/>
        <v>75000</v>
      </c>
      <c r="O7281" s="65" t="str">
        <f>VLOOKUP(E7281,DATABASE!C:Q,8,false)</f>
        <v>IBU</v>
      </c>
      <c r="P7281" s="65">
        <f>VLOOKUP(E7281,DATABASE!C:Q,9,False)</f>
        <v>0</v>
      </c>
      <c r="Q7281" s="93" t="str">
        <f>VLOOKUP(E7281,DATABASE!C:Q,4,false)</f>
        <v>SERVICE</v>
      </c>
      <c r="R7281" s="93" t="str">
        <f>VLOOKUP(E7281,DATABASE!C:Q,11,false)</f>
        <v>SERVICE</v>
      </c>
    </row>
    <row r="7282" ht="22.5" customHeight="1">
      <c r="A7282" s="49"/>
      <c r="C7282" s="400">
        <v>46087.0</v>
      </c>
      <c r="D7282" s="524">
        <v>532.0</v>
      </c>
      <c r="E7282" s="544" t="s">
        <v>288</v>
      </c>
      <c r="F7282" s="387">
        <v>2.0</v>
      </c>
      <c r="G7282" s="140">
        <v>620000.0</v>
      </c>
      <c r="H7282" s="74"/>
      <c r="I7282" s="74">
        <f t="shared" si="1"/>
        <v>1240000</v>
      </c>
      <c r="J7282" s="74">
        <f>IF(E7282="SERVICE",I7282-(I7282*50%),Vlookup(E7282,DATABASE!C:Q,10,false)*F7282)</f>
        <v>0</v>
      </c>
      <c r="K7282" s="74">
        <f>VLOOKUP(E7282,DATABASE!C:Q,7,false)</f>
        <v>565760</v>
      </c>
      <c r="L7282" s="74">
        <v>524800.0</v>
      </c>
      <c r="M7282" s="74">
        <f t="shared" si="2"/>
        <v>525000</v>
      </c>
      <c r="N7282" s="74">
        <f t="shared" si="3"/>
        <v>190000</v>
      </c>
      <c r="O7282" s="65" t="str">
        <f>VLOOKUP(E7282,DATABASE!C:Q,8,false)</f>
        <v>BIAN</v>
      </c>
      <c r="P7282" s="65">
        <f>VLOOKUP(E7282,DATABASE!C:Q,9,False)</f>
        <v>1</v>
      </c>
      <c r="Q7282" s="93" t="str">
        <f>VLOOKUP(E7282,DATABASE!C:Q,4,false)</f>
        <v>GT</v>
      </c>
      <c r="R7282" s="93" t="str">
        <f>VLOOKUP(E7282,DATABASE!C:Q,11,false)</f>
        <v>Tire</v>
      </c>
    </row>
    <row r="7283" ht="22.5" customHeight="1">
      <c r="A7283" s="49"/>
      <c r="C7283" s="400">
        <v>46087.0</v>
      </c>
      <c r="D7283" s="524">
        <v>533.0</v>
      </c>
      <c r="E7283" s="544" t="s">
        <v>2621</v>
      </c>
      <c r="F7283" s="387">
        <v>4.0</v>
      </c>
      <c r="G7283" s="140">
        <v>180000.0</v>
      </c>
      <c r="H7283" s="74"/>
      <c r="I7283" s="74">
        <f t="shared" si="1"/>
        <v>720000</v>
      </c>
      <c r="J7283" s="74">
        <f>IF(E7283="SERVICE",I7283-(I7283*50%),Vlookup(E7283,DATABASE!C:Q,10,false)*F7283)</f>
        <v>0</v>
      </c>
      <c r="K7283" s="74">
        <f>VLOOKUP(E7283,DATABASE!C:Q,7,false)</f>
        <v>141160</v>
      </c>
      <c r="L7283" s="74">
        <v>130137.0</v>
      </c>
      <c r="M7283" s="74">
        <f t="shared" si="2"/>
        <v>135000</v>
      </c>
      <c r="N7283" s="74">
        <f t="shared" si="3"/>
        <v>180000</v>
      </c>
      <c r="O7283" s="65" t="str">
        <f>VLOOKUP(E7283,DATABASE!C:Q,8,false)</f>
        <v>BIAN</v>
      </c>
      <c r="P7283" s="65">
        <f>VLOOKUP(E7283,DATABASE!C:Q,9,False)</f>
        <v>1</v>
      </c>
      <c r="Q7283" s="93" t="str">
        <f>VLOOKUP(E7283,DATABASE!C:Q,4,false)</f>
        <v>IBK light</v>
      </c>
      <c r="R7283" s="93" t="str">
        <f>VLOOKUP(E7283,DATABASE!C:Q,11,false)</f>
        <v>Tire</v>
      </c>
    </row>
    <row r="7284" ht="22.5" customHeight="1">
      <c r="A7284" s="49"/>
      <c r="C7284" s="400">
        <v>46087.0</v>
      </c>
      <c r="D7284" s="524">
        <v>533.0</v>
      </c>
      <c r="E7284" s="544" t="s">
        <v>821</v>
      </c>
      <c r="F7284" s="387">
        <v>4.0</v>
      </c>
      <c r="G7284" s="140">
        <v>85000.0</v>
      </c>
      <c r="H7284" s="74"/>
      <c r="I7284" s="74">
        <f t="shared" si="1"/>
        <v>340000</v>
      </c>
      <c r="J7284" s="74">
        <f>IF(E7284="SERVICE",I7284-(I7284*50%),Vlookup(E7284,DATABASE!C:Q,10,false)*F7284)</f>
        <v>0</v>
      </c>
      <c r="K7284" s="74">
        <f>VLOOKUP(E7284,DATABASE!C:Q,7,false)</f>
        <v>43500</v>
      </c>
      <c r="L7284" s="74">
        <v>43520.0</v>
      </c>
      <c r="M7284" s="74">
        <f t="shared" si="2"/>
        <v>45000</v>
      </c>
      <c r="N7284" s="74">
        <f t="shared" si="3"/>
        <v>160000</v>
      </c>
      <c r="O7284" s="65" t="str">
        <f>VLOOKUP(E7284,DATABASE!C:Q,8,false)</f>
        <v>BIAN</v>
      </c>
      <c r="P7284" s="65">
        <f>VLOOKUP(E7284,DATABASE!C:Q,9,False)</f>
        <v>1</v>
      </c>
      <c r="Q7284" s="93" t="str">
        <f>VLOOKUP(E7284,DATABASE!C:Q,4,false)</f>
        <v>Flap</v>
      </c>
      <c r="R7284" s="93" t="str">
        <f>VLOOKUP(E7284,DATABASE!C:Q,11,false)</f>
        <v>Tire</v>
      </c>
    </row>
    <row r="7285" ht="22.5" customHeight="1">
      <c r="A7285" s="49"/>
      <c r="C7285" s="400">
        <v>46087.0</v>
      </c>
      <c r="D7285" s="524">
        <v>533.0</v>
      </c>
      <c r="E7285" s="544" t="s">
        <v>572</v>
      </c>
      <c r="F7285" s="387">
        <v>2.0</v>
      </c>
      <c r="G7285" s="140">
        <v>1370000.0</v>
      </c>
      <c r="H7285" s="140">
        <v>20000.0</v>
      </c>
      <c r="I7285" s="74">
        <f t="shared" si="1"/>
        <v>2700000</v>
      </c>
      <c r="J7285" s="74">
        <f>IF(E7285="SERVICE",I7285-(I7285*50%),Vlookup(E7285,DATABASE!C:Q,10,false)*F7285)</f>
        <v>0</v>
      </c>
      <c r="K7285" s="74">
        <f>VLOOKUP(E7285,DATABASE!C:Q,7,false)</f>
        <v>1265000</v>
      </c>
      <c r="L7285" s="74">
        <v>1245000.0</v>
      </c>
      <c r="M7285" s="74">
        <f t="shared" si="2"/>
        <v>1245000</v>
      </c>
      <c r="N7285" s="74">
        <f t="shared" si="3"/>
        <v>210000</v>
      </c>
      <c r="O7285" s="65" t="str">
        <f>VLOOKUP(E7285,DATABASE!C:Q,8,false)</f>
        <v>IBU</v>
      </c>
      <c r="P7285" s="65">
        <f>VLOOKUP(E7285,DATABASE!C:Q,9,False)</f>
        <v>1</v>
      </c>
      <c r="Q7285" s="93" t="str">
        <f>VLOOKUP(E7285,DATABASE!C:Q,4,false)</f>
        <v>Bridgestone</v>
      </c>
      <c r="R7285" s="93" t="str">
        <f>VLOOKUP(E7285,DATABASE!C:Q,11,false)</f>
        <v>Tire</v>
      </c>
    </row>
    <row r="7286" ht="22.5" customHeight="1">
      <c r="A7286" s="49"/>
      <c r="C7286" s="400">
        <v>46087.0</v>
      </c>
      <c r="D7286" s="524">
        <v>535.0</v>
      </c>
      <c r="E7286" s="544" t="s">
        <v>256</v>
      </c>
      <c r="F7286" s="387">
        <v>1.0</v>
      </c>
      <c r="G7286" s="140">
        <v>175000.0</v>
      </c>
      <c r="H7286" s="140">
        <v>25000.0</v>
      </c>
      <c r="I7286" s="74">
        <f t="shared" si="1"/>
        <v>150000</v>
      </c>
      <c r="J7286" s="74">
        <f>IF(E7286="SERVICE",I7286-(I7286*50%),Vlookup(E7286,DATABASE!C:Q,10,false)*F7286)</f>
        <v>10000</v>
      </c>
      <c r="K7286" s="74">
        <f>VLOOKUP(E7286,DATABASE!C:Q,7,false)</f>
        <v>0</v>
      </c>
      <c r="L7286" s="74">
        <v>0.0</v>
      </c>
      <c r="M7286" s="74">
        <f t="shared" si="2"/>
        <v>0</v>
      </c>
      <c r="N7286" s="74">
        <f t="shared" si="3"/>
        <v>140000</v>
      </c>
      <c r="O7286" s="65" t="str">
        <f>VLOOKUP(E7286,DATABASE!C:Q,8,false)</f>
        <v>IBU</v>
      </c>
      <c r="P7286" s="65">
        <f>VLOOKUP(E7286,DATABASE!C:Q,9,False)</f>
        <v>0</v>
      </c>
      <c r="Q7286" s="93" t="str">
        <f>VLOOKUP(E7286,DATABASE!C:Q,4,false)</f>
        <v>SPOORING</v>
      </c>
      <c r="R7286" s="93" t="str">
        <f>VLOOKUP(E7286,DATABASE!C:Q,11,false)</f>
        <v>SERVICE</v>
      </c>
    </row>
    <row r="7287" ht="22.5" customHeight="1">
      <c r="A7287" s="49"/>
      <c r="C7287" s="400">
        <v>46087.0</v>
      </c>
      <c r="D7287" s="524">
        <v>535.0</v>
      </c>
      <c r="E7287" s="544" t="s">
        <v>299</v>
      </c>
      <c r="F7287" s="387">
        <v>2.0</v>
      </c>
      <c r="G7287" s="140">
        <v>30000.0</v>
      </c>
      <c r="H7287" s="74"/>
      <c r="I7287" s="74">
        <f t="shared" si="1"/>
        <v>60000</v>
      </c>
      <c r="J7287" s="74">
        <f>IF(E7287="SERVICE",I7287-(I7287*50%),Vlookup(E7287,DATABASE!C:Q,10,false)*F7287)</f>
        <v>0</v>
      </c>
      <c r="K7287" s="74">
        <f>VLOOKUP(E7287,DATABASE!C:Q,7,false)</f>
        <v>10000</v>
      </c>
      <c r="L7287" s="74">
        <v>10000.0</v>
      </c>
      <c r="M7287" s="74">
        <f t="shared" si="2"/>
        <v>10000</v>
      </c>
      <c r="N7287" s="74">
        <f t="shared" si="3"/>
        <v>40000</v>
      </c>
      <c r="O7287" s="65" t="str">
        <f>VLOOKUP(E7287,DATABASE!C:Q,8,false)</f>
        <v>BIAN</v>
      </c>
      <c r="P7287" s="65">
        <f>VLOOKUP(E7287,DATABASE!C:Q,9,False)</f>
        <v>0</v>
      </c>
      <c r="Q7287" s="93" t="str">
        <f>VLOOKUP(E7287,DATABASE!C:Q,4,false)</f>
        <v>Balancing</v>
      </c>
      <c r="R7287" s="93" t="str">
        <f>VLOOKUP(E7287,DATABASE!C:Q,11,false)</f>
        <v>COMPLEMENTARY</v>
      </c>
    </row>
    <row r="7288" ht="22.5" customHeight="1">
      <c r="A7288" s="49"/>
      <c r="C7288" s="400">
        <v>46087.0</v>
      </c>
      <c r="D7288" s="524">
        <v>535.0</v>
      </c>
      <c r="E7288" s="544" t="s">
        <v>301</v>
      </c>
      <c r="F7288" s="387">
        <v>1.0</v>
      </c>
      <c r="G7288" s="140">
        <v>250000.0</v>
      </c>
      <c r="H7288" s="74"/>
      <c r="I7288" s="74">
        <f t="shared" si="1"/>
        <v>250000</v>
      </c>
      <c r="J7288" s="74">
        <f>IF(E7288="SERVICE",I7288-(I7288*50%),Vlookup(E7288,DATABASE!C:Q,10,false)*F7288)</f>
        <v>75000</v>
      </c>
      <c r="K7288" s="74">
        <f>VLOOKUP(E7288,DATABASE!C:Q,7,false)</f>
        <v>75000</v>
      </c>
      <c r="L7288" s="74">
        <v>75000.0</v>
      </c>
      <c r="M7288" s="74">
        <f t="shared" si="2"/>
        <v>75000</v>
      </c>
      <c r="N7288" s="74">
        <f t="shared" si="3"/>
        <v>100000</v>
      </c>
      <c r="O7288" s="65" t="str">
        <f>VLOOKUP(E7288,DATABASE!C:Q,8,false)</f>
        <v>BIAN</v>
      </c>
      <c r="P7288" s="65">
        <f>VLOOKUP(E7288,DATABASE!C:Q,9,False)</f>
        <v>0</v>
      </c>
      <c r="Q7288" s="93" t="str">
        <f>VLOOKUP(E7288,DATABASE!C:Q,4,false)</f>
        <v>Baut Camber</v>
      </c>
      <c r="R7288" s="93" t="str">
        <f>VLOOKUP(E7288,DATABASE!C:Q,11,false)</f>
        <v>COMPLEMENTARY</v>
      </c>
    </row>
    <row r="7289" ht="22.5" customHeight="1">
      <c r="A7289" s="49"/>
      <c r="C7289" s="400">
        <v>46087.0</v>
      </c>
      <c r="D7289" s="69" t="s">
        <v>2725</v>
      </c>
      <c r="E7289" s="544" t="s">
        <v>263</v>
      </c>
      <c r="F7289" s="387">
        <v>1.0</v>
      </c>
      <c r="G7289" s="140">
        <v>320000.0</v>
      </c>
      <c r="H7289" s="74"/>
      <c r="I7289" s="74">
        <f t="shared" si="1"/>
        <v>320000</v>
      </c>
      <c r="J7289" s="74">
        <f>IF(E7289="SERVICE",I7289-(I7289*50%),Vlookup(E7289,DATABASE!C:Q,10,false)*F7289)</f>
        <v>0</v>
      </c>
      <c r="K7289" s="74">
        <f>VLOOKUP(E7289,DATABASE!C:Q,7,false)</f>
        <v>334916</v>
      </c>
      <c r="L7289" s="74">
        <v>287688.0</v>
      </c>
      <c r="M7289" s="74">
        <f t="shared" si="2"/>
        <v>290000</v>
      </c>
      <c r="N7289" s="74">
        <f t="shared" si="3"/>
        <v>30000</v>
      </c>
      <c r="O7289" s="65" t="str">
        <f>VLOOKUP(E7289,DATABASE!C:Q,8,false)</f>
        <v>NON</v>
      </c>
      <c r="P7289" s="65">
        <f>VLOOKUP(E7289,DATABASE!C:Q,9,False)</f>
        <v>0</v>
      </c>
      <c r="Q7289" s="93" t="str">
        <f>VLOOKUP(E7289,DATABASE!C:Q,4,false)</f>
        <v>Shell</v>
      </c>
      <c r="R7289" s="93" t="str">
        <f>VLOOKUP(E7289,DATABASE!C:Q,11,false)</f>
        <v>OIL</v>
      </c>
    </row>
    <row r="7290" ht="22.5" customHeight="1">
      <c r="A7290" s="49"/>
      <c r="C7290" s="400">
        <v>46087.0</v>
      </c>
      <c r="D7290" s="69" t="s">
        <v>2725</v>
      </c>
      <c r="E7290" s="544" t="s">
        <v>298</v>
      </c>
      <c r="F7290" s="387">
        <v>1.0</v>
      </c>
      <c r="G7290" s="140">
        <v>25000.0</v>
      </c>
      <c r="H7290" s="74"/>
      <c r="I7290" s="74">
        <f t="shared" si="1"/>
        <v>25000</v>
      </c>
      <c r="J7290" s="74">
        <f>IF(E7290="SERVICE",I7290-(I7290*50%),Vlookup(E7290,DATABASE!C:Q,10,false)*F7290)</f>
        <v>0</v>
      </c>
      <c r="K7290" s="74">
        <f>VLOOKUP(E7290,DATABASE!C:Q,7,false)</f>
        <v>19200</v>
      </c>
      <c r="L7290" s="74">
        <v>19200.0</v>
      </c>
      <c r="M7290" s="74">
        <f t="shared" si="2"/>
        <v>20000</v>
      </c>
      <c r="N7290" s="74">
        <f t="shared" si="3"/>
        <v>5000</v>
      </c>
      <c r="O7290" s="65" t="str">
        <f>VLOOKUP(E7290,DATABASE!C:Q,8,false)</f>
        <v>BIAN</v>
      </c>
      <c r="P7290" s="65">
        <f>VLOOKUP(E7290,DATABASE!C:Q,9,False)</f>
        <v>0</v>
      </c>
      <c r="Q7290" s="93" t="str">
        <f>VLOOKUP(E7290,DATABASE!C:Q,4,false)</f>
        <v>Aspira</v>
      </c>
      <c r="R7290" s="93" t="str">
        <f>VLOOKUP(E7290,DATABASE!C:Q,11,false)</f>
        <v>COMPLEMENTARY</v>
      </c>
    </row>
    <row r="7291" ht="22.5" customHeight="1">
      <c r="A7291" s="49"/>
      <c r="C7291" s="400">
        <v>46088.0</v>
      </c>
      <c r="D7291" s="524">
        <v>456.0</v>
      </c>
      <c r="E7291" s="544" t="s">
        <v>256</v>
      </c>
      <c r="F7291" s="387">
        <v>1.0</v>
      </c>
      <c r="G7291" s="140">
        <v>175000.0</v>
      </c>
      <c r="H7291" s="140">
        <v>25000.0</v>
      </c>
      <c r="I7291" s="74">
        <f t="shared" si="1"/>
        <v>150000</v>
      </c>
      <c r="J7291" s="74">
        <f>IF(E7291="SERVICE",I7291-(I7291*50%),Vlookup(E7291,DATABASE!C:Q,10,false)*F7291)</f>
        <v>10000</v>
      </c>
      <c r="K7291" s="74">
        <f>VLOOKUP(E7291,DATABASE!C:Q,7,false)</f>
        <v>0</v>
      </c>
      <c r="L7291" s="74">
        <v>0.0</v>
      </c>
      <c r="M7291" s="74">
        <f t="shared" si="2"/>
        <v>0</v>
      </c>
      <c r="N7291" s="74">
        <f t="shared" si="3"/>
        <v>140000</v>
      </c>
      <c r="O7291" s="65" t="str">
        <f>VLOOKUP(E7291,DATABASE!C:Q,8,false)</f>
        <v>IBU</v>
      </c>
      <c r="P7291" s="65">
        <f>VLOOKUP(E7291,DATABASE!C:Q,9,False)</f>
        <v>0</v>
      </c>
      <c r="Q7291" s="93" t="str">
        <f>VLOOKUP(E7291,DATABASE!C:Q,4,false)</f>
        <v>SPOORING</v>
      </c>
      <c r="R7291" s="93" t="str">
        <f>VLOOKUP(E7291,DATABASE!C:Q,11,false)</f>
        <v>SERVICE</v>
      </c>
    </row>
    <row r="7292" ht="22.5" customHeight="1">
      <c r="A7292" s="49"/>
      <c r="C7292" s="400">
        <v>46088.0</v>
      </c>
      <c r="D7292" s="524">
        <v>456.0</v>
      </c>
      <c r="E7292" s="544" t="s">
        <v>301</v>
      </c>
      <c r="F7292" s="387">
        <v>1.0</v>
      </c>
      <c r="G7292" s="140">
        <v>250000.0</v>
      </c>
      <c r="H7292" s="74"/>
      <c r="I7292" s="74">
        <f t="shared" si="1"/>
        <v>250000</v>
      </c>
      <c r="J7292" s="74">
        <f>IF(E7292="SERVICE",I7292-(I7292*50%),Vlookup(E7292,DATABASE!C:Q,10,false)*F7292)</f>
        <v>75000</v>
      </c>
      <c r="K7292" s="74">
        <f>VLOOKUP(E7292,DATABASE!C:Q,7,false)</f>
        <v>75000</v>
      </c>
      <c r="L7292" s="74">
        <v>75000.0</v>
      </c>
      <c r="M7292" s="74">
        <f t="shared" si="2"/>
        <v>75000</v>
      </c>
      <c r="N7292" s="74">
        <f t="shared" si="3"/>
        <v>100000</v>
      </c>
      <c r="O7292" s="65" t="str">
        <f>VLOOKUP(E7292,DATABASE!C:Q,8,false)</f>
        <v>BIAN</v>
      </c>
      <c r="P7292" s="65">
        <f>VLOOKUP(E7292,DATABASE!C:Q,9,False)</f>
        <v>0</v>
      </c>
      <c r="Q7292" s="93" t="str">
        <f>VLOOKUP(E7292,DATABASE!C:Q,4,false)</f>
        <v>Baut Camber</v>
      </c>
      <c r="R7292" s="93" t="str">
        <f>VLOOKUP(E7292,DATABASE!C:Q,11,false)</f>
        <v>COMPLEMENTARY</v>
      </c>
    </row>
    <row r="7293" ht="22.5" customHeight="1">
      <c r="A7293" s="49"/>
      <c r="C7293" s="400">
        <v>46088.0</v>
      </c>
      <c r="D7293" s="524">
        <v>536.0</v>
      </c>
      <c r="E7293" s="544" t="s">
        <v>256</v>
      </c>
      <c r="F7293" s="387">
        <v>1.0</v>
      </c>
      <c r="G7293" s="140">
        <v>175000.0</v>
      </c>
      <c r="H7293" s="140">
        <v>25000.0</v>
      </c>
      <c r="I7293" s="74">
        <f t="shared" si="1"/>
        <v>150000</v>
      </c>
      <c r="J7293" s="74">
        <f>IF(E7293="SERVICE",I7293-(I7293*50%),Vlookup(E7293,DATABASE!C:Q,10,false)*F7293)</f>
        <v>10000</v>
      </c>
      <c r="K7293" s="74">
        <f>VLOOKUP(E7293,DATABASE!C:Q,7,false)</f>
        <v>0</v>
      </c>
      <c r="L7293" s="74">
        <v>0.0</v>
      </c>
      <c r="M7293" s="74">
        <f t="shared" si="2"/>
        <v>0</v>
      </c>
      <c r="N7293" s="74">
        <f t="shared" si="3"/>
        <v>140000</v>
      </c>
      <c r="O7293" s="65" t="str">
        <f>VLOOKUP(E7293,DATABASE!C:Q,8,false)</f>
        <v>IBU</v>
      </c>
      <c r="P7293" s="65">
        <f>VLOOKUP(E7293,DATABASE!C:Q,9,False)</f>
        <v>0</v>
      </c>
      <c r="Q7293" s="93" t="str">
        <f>VLOOKUP(E7293,DATABASE!C:Q,4,false)</f>
        <v>SPOORING</v>
      </c>
      <c r="R7293" s="93" t="str">
        <f>VLOOKUP(E7293,DATABASE!C:Q,11,false)</f>
        <v>SERVICE</v>
      </c>
    </row>
    <row r="7294" ht="22.5" customHeight="1">
      <c r="A7294" s="49"/>
      <c r="C7294" s="400">
        <v>46088.0</v>
      </c>
      <c r="D7294" s="524">
        <v>536.0</v>
      </c>
      <c r="E7294" s="544" t="s">
        <v>299</v>
      </c>
      <c r="F7294" s="387">
        <v>2.0</v>
      </c>
      <c r="G7294" s="140">
        <v>30000.0</v>
      </c>
      <c r="H7294" s="74"/>
      <c r="I7294" s="74">
        <f t="shared" si="1"/>
        <v>60000</v>
      </c>
      <c r="J7294" s="74">
        <f>IF(E7294="SERVICE",I7294-(I7294*50%),Vlookup(E7294,DATABASE!C:Q,10,false)*F7294)</f>
        <v>0</v>
      </c>
      <c r="K7294" s="74">
        <f>VLOOKUP(E7294,DATABASE!C:Q,7,false)</f>
        <v>10000</v>
      </c>
      <c r="L7294" s="74">
        <v>10000.0</v>
      </c>
      <c r="M7294" s="74">
        <f t="shared" si="2"/>
        <v>10000</v>
      </c>
      <c r="N7294" s="74">
        <f t="shared" si="3"/>
        <v>40000</v>
      </c>
      <c r="O7294" s="65" t="str">
        <f>VLOOKUP(E7294,DATABASE!C:Q,8,false)</f>
        <v>BIAN</v>
      </c>
      <c r="P7294" s="65">
        <f>VLOOKUP(E7294,DATABASE!C:Q,9,False)</f>
        <v>0</v>
      </c>
      <c r="Q7294" s="93" t="str">
        <f>VLOOKUP(E7294,DATABASE!C:Q,4,false)</f>
        <v>Balancing</v>
      </c>
      <c r="R7294" s="93" t="str">
        <f>VLOOKUP(E7294,DATABASE!C:Q,11,false)</f>
        <v>COMPLEMENTARY</v>
      </c>
    </row>
    <row r="7295" ht="22.5" customHeight="1">
      <c r="A7295" s="49"/>
      <c r="C7295" s="400">
        <v>46088.0</v>
      </c>
      <c r="D7295" s="524">
        <v>536.0</v>
      </c>
      <c r="E7295" s="544" t="s">
        <v>301</v>
      </c>
      <c r="F7295" s="387">
        <v>1.0</v>
      </c>
      <c r="G7295" s="140">
        <v>250000.0</v>
      </c>
      <c r="H7295" s="74"/>
      <c r="I7295" s="74">
        <f t="shared" si="1"/>
        <v>250000</v>
      </c>
      <c r="J7295" s="74">
        <f>IF(E7295="SERVICE",I7295-(I7295*50%),Vlookup(E7295,DATABASE!C:Q,10,false)*F7295)</f>
        <v>75000</v>
      </c>
      <c r="K7295" s="74">
        <f>VLOOKUP(E7295,DATABASE!C:Q,7,false)</f>
        <v>75000</v>
      </c>
      <c r="L7295" s="74">
        <v>75000.0</v>
      </c>
      <c r="M7295" s="74">
        <f t="shared" si="2"/>
        <v>75000</v>
      </c>
      <c r="N7295" s="74">
        <f t="shared" si="3"/>
        <v>100000</v>
      </c>
      <c r="O7295" s="65" t="str">
        <f>VLOOKUP(E7295,DATABASE!C:Q,8,false)</f>
        <v>BIAN</v>
      </c>
      <c r="P7295" s="65">
        <f>VLOOKUP(E7295,DATABASE!C:Q,9,False)</f>
        <v>0</v>
      </c>
      <c r="Q7295" s="93" t="str">
        <f>VLOOKUP(E7295,DATABASE!C:Q,4,false)</f>
        <v>Baut Camber</v>
      </c>
      <c r="R7295" s="93" t="str">
        <f>VLOOKUP(E7295,DATABASE!C:Q,11,false)</f>
        <v>COMPLEMENTARY</v>
      </c>
    </row>
    <row r="7296" ht="22.5" customHeight="1">
      <c r="A7296" s="49"/>
      <c r="C7296" s="400">
        <v>46088.0</v>
      </c>
      <c r="D7296" s="524">
        <v>537.0</v>
      </c>
      <c r="E7296" s="544" t="s">
        <v>2140</v>
      </c>
      <c r="F7296" s="387">
        <v>1.0</v>
      </c>
      <c r="G7296" s="140">
        <v>35000.0</v>
      </c>
      <c r="H7296" s="140">
        <v>5000.0</v>
      </c>
      <c r="I7296" s="74">
        <f t="shared" si="1"/>
        <v>30000</v>
      </c>
      <c r="J7296" s="74">
        <f>IF(E7296="SERVICE",I7296-(I7296*50%),Vlookup(E7296,DATABASE!C:Q,10,false)*F7296)</f>
        <v>0</v>
      </c>
      <c r="K7296" s="74">
        <f>VLOOKUP(E7296,DATABASE!C:Q,7,false)</f>
        <v>5000</v>
      </c>
      <c r="L7296" s="74">
        <v>0.0</v>
      </c>
      <c r="M7296" s="74">
        <f t="shared" si="2"/>
        <v>0</v>
      </c>
      <c r="N7296" s="74">
        <f t="shared" si="3"/>
        <v>30000</v>
      </c>
      <c r="O7296" s="65" t="str">
        <f>VLOOKUP(E7296,DATABASE!C:Q,8,false)</f>
        <v>IBU</v>
      </c>
      <c r="P7296" s="65">
        <f>VLOOKUP(E7296,DATABASE!C:Q,9,False)</f>
        <v>0</v>
      </c>
      <c r="Q7296" s="93" t="str">
        <f>VLOOKUP(E7296,DATABASE!C:Q,4,false)</f>
        <v>PENTIL + PASANG</v>
      </c>
      <c r="R7296" s="93" t="str">
        <f>VLOOKUP(E7296,DATABASE!C:Q,11,false)</f>
        <v>COMPLEMENTARY</v>
      </c>
    </row>
    <row r="7297" ht="22.5" customHeight="1">
      <c r="A7297" s="49"/>
      <c r="C7297" s="400">
        <v>46088.0</v>
      </c>
      <c r="D7297" s="524">
        <v>538.0</v>
      </c>
      <c r="E7297" s="544" t="s">
        <v>955</v>
      </c>
      <c r="F7297" s="387">
        <v>1.0</v>
      </c>
      <c r="G7297" s="140">
        <v>770000.0</v>
      </c>
      <c r="H7297" s="74"/>
      <c r="I7297" s="74">
        <f t="shared" si="1"/>
        <v>770000</v>
      </c>
      <c r="J7297" s="74">
        <f>IF(E7297="SERVICE",I7297-(I7297*50%),Vlookup(E7297,DATABASE!C:Q,10,false)*F7297)</f>
        <v>0</v>
      </c>
      <c r="K7297" s="74">
        <f>VLOOKUP(E7297,DATABASE!C:Q,7,false)</f>
        <v>712000</v>
      </c>
      <c r="L7297" s="74">
        <v>674000.0</v>
      </c>
      <c r="M7297" s="74">
        <f t="shared" si="2"/>
        <v>675000</v>
      </c>
      <c r="N7297" s="74">
        <f t="shared" si="3"/>
        <v>95000</v>
      </c>
      <c r="O7297" s="65" t="str">
        <f>VLOOKUP(E7297,DATABASE!C:Q,8,false)</f>
        <v>IBU</v>
      </c>
      <c r="P7297" s="65">
        <f>VLOOKUP(E7297,DATABASE!C:Q,9,False)</f>
        <v>1</v>
      </c>
      <c r="Q7297" s="93" t="str">
        <f>VLOOKUP(E7297,DATABASE!C:Q,4,false)</f>
        <v>Dunlop</v>
      </c>
      <c r="R7297" s="93" t="str">
        <f>VLOOKUP(E7297,DATABASE!C:Q,11,false)</f>
        <v>Tire</v>
      </c>
    </row>
    <row r="7298" ht="22.5" customHeight="1">
      <c r="A7298" s="49"/>
      <c r="C7298" s="400">
        <v>46088.0</v>
      </c>
      <c r="D7298" s="524">
        <v>539.0</v>
      </c>
      <c r="E7298" s="544" t="s">
        <v>262</v>
      </c>
      <c r="F7298" s="387">
        <v>1.0</v>
      </c>
      <c r="G7298" s="140">
        <v>130000.0</v>
      </c>
      <c r="H7298" s="140"/>
      <c r="I7298" s="74">
        <f t="shared" si="1"/>
        <v>130000</v>
      </c>
      <c r="J7298" s="74">
        <f>IF(E7298="SERVICE",I7298-(I7298*50%),Vlookup(E7298,DATABASE!C:Q,10,false)*F7298)</f>
        <v>5000</v>
      </c>
      <c r="K7298" s="74">
        <f>VLOOKUP(E7298,DATABASE!C:Q,7,false)</f>
        <v>0</v>
      </c>
      <c r="L7298" s="74">
        <v>0.0</v>
      </c>
      <c r="M7298" s="74">
        <f t="shared" si="2"/>
        <v>0</v>
      </c>
      <c r="N7298" s="74">
        <f t="shared" si="3"/>
        <v>125000</v>
      </c>
      <c r="O7298" s="65" t="str">
        <f>VLOOKUP(E7298,DATABASE!C:Q,8,false)</f>
        <v>IBU</v>
      </c>
      <c r="P7298" s="65">
        <f>VLOOKUP(E7298,DATABASE!C:Q,9,False)</f>
        <v>0</v>
      </c>
      <c r="Q7298" s="93" t="str">
        <f>VLOOKUP(E7298,DATABASE!C:Q,4,false)</f>
        <v>SPOORING SS/CARRY LOS BAK</v>
      </c>
      <c r="R7298" s="93" t="str">
        <f>VLOOKUP(E7298,DATABASE!C:Q,11,false)</f>
        <v>SERVICE</v>
      </c>
    </row>
    <row r="7299" ht="22.5" customHeight="1">
      <c r="A7299" s="49"/>
      <c r="C7299" s="400">
        <v>46088.0</v>
      </c>
      <c r="D7299" s="524">
        <v>539.0</v>
      </c>
      <c r="E7299" s="544" t="s">
        <v>251</v>
      </c>
      <c r="F7299" s="387">
        <v>1.0</v>
      </c>
      <c r="G7299" s="140">
        <v>350000.0</v>
      </c>
      <c r="H7299" s="140">
        <v>200000.0</v>
      </c>
      <c r="I7299" s="74">
        <f t="shared" si="1"/>
        <v>150000</v>
      </c>
      <c r="J7299" s="74">
        <f>IF(E7299="SERVICE",I7299-(I7299*50%),Vlookup(E7299,DATABASE!C:Q,10,false)*F7299)</f>
        <v>75000</v>
      </c>
      <c r="K7299" s="74">
        <f>VLOOKUP(E7299,DATABASE!C:Q,7,false)</f>
        <v>0</v>
      </c>
      <c r="L7299" s="74">
        <v>0.0</v>
      </c>
      <c r="M7299" s="74">
        <f t="shared" si="2"/>
        <v>0</v>
      </c>
      <c r="N7299" s="74">
        <f t="shared" si="3"/>
        <v>75000</v>
      </c>
      <c r="O7299" s="65" t="str">
        <f>VLOOKUP(E7299,DATABASE!C:Q,8,false)</f>
        <v>IBU</v>
      </c>
      <c r="P7299" s="65">
        <f>VLOOKUP(E7299,DATABASE!C:Q,9,False)</f>
        <v>0</v>
      </c>
      <c r="Q7299" s="93" t="str">
        <f>VLOOKUP(E7299,DATABASE!C:Q,4,false)</f>
        <v>SERVICE</v>
      </c>
      <c r="R7299" s="93" t="str">
        <f>VLOOKUP(E7299,DATABASE!C:Q,11,false)</f>
        <v>SERVICE</v>
      </c>
    </row>
    <row r="7300" ht="22.5" customHeight="1">
      <c r="A7300" s="49"/>
      <c r="C7300" s="400">
        <v>46088.0</v>
      </c>
      <c r="D7300" s="524">
        <v>540.0</v>
      </c>
      <c r="E7300" s="544" t="s">
        <v>591</v>
      </c>
      <c r="F7300" s="387">
        <v>1.0</v>
      </c>
      <c r="G7300" s="140">
        <v>700000.0</v>
      </c>
      <c r="H7300" s="74"/>
      <c r="I7300" s="74">
        <f t="shared" si="1"/>
        <v>700000</v>
      </c>
      <c r="J7300" s="74">
        <f>IF(E7300="SERVICE",I7300-(I7300*50%),Vlookup(E7300,DATABASE!C:Q,10,false)*F7300)</f>
        <v>0</v>
      </c>
      <c r="K7300" s="74">
        <f>VLOOKUP(E7300,DATABASE!C:Q,7,false)</f>
        <v>633035.16</v>
      </c>
      <c r="L7300" s="74">
        <v>609844.4</v>
      </c>
      <c r="M7300" s="74">
        <f t="shared" si="2"/>
        <v>610000</v>
      </c>
      <c r="N7300" s="74">
        <f t="shared" si="3"/>
        <v>90000</v>
      </c>
      <c r="O7300" s="65" t="str">
        <f>VLOOKUP(E7300,DATABASE!C:Q,8,false)</f>
        <v>IBU</v>
      </c>
      <c r="P7300" s="65">
        <f>VLOOKUP(E7300,DATABASE!C:Q,9,False)</f>
        <v>1</v>
      </c>
      <c r="Q7300" s="93" t="str">
        <f>VLOOKUP(E7300,DATABASE!C:Q,4,false)</f>
        <v>Bridgestone</v>
      </c>
      <c r="R7300" s="93" t="str">
        <f>VLOOKUP(E7300,DATABASE!C:Q,11,false)</f>
        <v>Tire</v>
      </c>
    </row>
    <row r="7301" ht="22.5" customHeight="1">
      <c r="A7301" s="49"/>
      <c r="C7301" s="400">
        <v>46088.0</v>
      </c>
      <c r="D7301" s="524">
        <v>541.0</v>
      </c>
      <c r="E7301" s="544" t="s">
        <v>1913</v>
      </c>
      <c r="F7301" s="387">
        <v>2.0</v>
      </c>
      <c r="G7301" s="140">
        <v>670000.0</v>
      </c>
      <c r="H7301" s="74"/>
      <c r="I7301" s="74">
        <f t="shared" si="1"/>
        <v>1340000</v>
      </c>
      <c r="J7301" s="74">
        <f>IF(E7301="SERVICE",I7301-(I7301*50%),Vlookup(E7301,DATABASE!C:Q,10,false)*F7301)</f>
        <v>0</v>
      </c>
      <c r="K7301" s="74">
        <f>VLOOKUP(E7301,DATABASE!C:Q,7,false)</f>
        <v>587200</v>
      </c>
      <c r="L7301" s="74">
        <v>570200.0</v>
      </c>
      <c r="M7301" s="74">
        <f t="shared" si="2"/>
        <v>575000</v>
      </c>
      <c r="N7301" s="74">
        <f t="shared" si="3"/>
        <v>190000</v>
      </c>
      <c r="O7301" s="65" t="str">
        <f>VLOOKUP(E7301,DATABASE!C:Q,8,false)</f>
        <v>BIAN</v>
      </c>
      <c r="P7301" s="65">
        <f>VLOOKUP(E7301,DATABASE!C:Q,9,False)</f>
        <v>1</v>
      </c>
      <c r="Q7301" s="93" t="str">
        <f>VLOOKUP(E7301,DATABASE!C:Q,4,false)</f>
        <v>GT</v>
      </c>
      <c r="R7301" s="93" t="str">
        <f>VLOOKUP(E7301,DATABASE!C:Q,11,false)</f>
        <v>Tire</v>
      </c>
    </row>
    <row r="7302" ht="22.5" customHeight="1">
      <c r="A7302" s="49"/>
      <c r="C7302" s="400">
        <v>46088.0</v>
      </c>
      <c r="D7302" s="524">
        <v>541.0</v>
      </c>
      <c r="E7302" s="544" t="s">
        <v>299</v>
      </c>
      <c r="F7302" s="387">
        <v>4.0</v>
      </c>
      <c r="G7302" s="140">
        <v>30000.0</v>
      </c>
      <c r="H7302" s="140">
        <v>5000.0</v>
      </c>
      <c r="I7302" s="74">
        <f t="shared" si="1"/>
        <v>100000</v>
      </c>
      <c r="J7302" s="74">
        <f>IF(E7302="SERVICE",I7302-(I7302*50%),Vlookup(E7302,DATABASE!C:Q,10,false)*F7302)</f>
        <v>0</v>
      </c>
      <c r="K7302" s="74">
        <f>VLOOKUP(E7302,DATABASE!C:Q,7,false)</f>
        <v>10000</v>
      </c>
      <c r="L7302" s="74">
        <v>10000.0</v>
      </c>
      <c r="M7302" s="74">
        <f t="shared" si="2"/>
        <v>10000</v>
      </c>
      <c r="N7302" s="74">
        <f t="shared" si="3"/>
        <v>60000</v>
      </c>
      <c r="O7302" s="65" t="str">
        <f>VLOOKUP(E7302,DATABASE!C:Q,8,false)</f>
        <v>BIAN</v>
      </c>
      <c r="P7302" s="65">
        <f>VLOOKUP(E7302,DATABASE!C:Q,9,False)</f>
        <v>0</v>
      </c>
      <c r="Q7302" s="93" t="str">
        <f>VLOOKUP(E7302,DATABASE!C:Q,4,false)</f>
        <v>Balancing</v>
      </c>
      <c r="R7302" s="93" t="str">
        <f>VLOOKUP(E7302,DATABASE!C:Q,11,false)</f>
        <v>COMPLEMENTARY</v>
      </c>
    </row>
    <row r="7303" ht="22.5" customHeight="1">
      <c r="A7303" s="49"/>
      <c r="C7303" s="400">
        <v>46088.0</v>
      </c>
      <c r="D7303" s="524">
        <v>541.0</v>
      </c>
      <c r="E7303" s="544" t="s">
        <v>256</v>
      </c>
      <c r="F7303" s="387">
        <v>1.0</v>
      </c>
      <c r="G7303" s="140">
        <v>175000.0</v>
      </c>
      <c r="H7303" s="140">
        <v>25000.0</v>
      </c>
      <c r="I7303" s="74">
        <f t="shared" si="1"/>
        <v>150000</v>
      </c>
      <c r="J7303" s="74">
        <f>IF(E7303="SERVICE",I7303-(I7303*50%),Vlookup(E7303,DATABASE!C:Q,10,false)*F7303)</f>
        <v>10000</v>
      </c>
      <c r="K7303" s="74">
        <f>VLOOKUP(E7303,DATABASE!C:Q,7,false)</f>
        <v>0</v>
      </c>
      <c r="L7303" s="74">
        <v>0.0</v>
      </c>
      <c r="M7303" s="74">
        <f t="shared" si="2"/>
        <v>0</v>
      </c>
      <c r="N7303" s="74">
        <f t="shared" si="3"/>
        <v>140000</v>
      </c>
      <c r="O7303" s="65" t="str">
        <f>VLOOKUP(E7303,DATABASE!C:Q,8,false)</f>
        <v>IBU</v>
      </c>
      <c r="P7303" s="65">
        <f>VLOOKUP(E7303,DATABASE!C:Q,9,False)</f>
        <v>0</v>
      </c>
      <c r="Q7303" s="93" t="str">
        <f>VLOOKUP(E7303,DATABASE!C:Q,4,false)</f>
        <v>SPOORING</v>
      </c>
      <c r="R7303" s="93" t="str">
        <f>VLOOKUP(E7303,DATABASE!C:Q,11,false)</f>
        <v>SERVICE</v>
      </c>
    </row>
    <row r="7304" ht="22.5" customHeight="1">
      <c r="A7304" s="49"/>
      <c r="C7304" s="400">
        <v>46088.0</v>
      </c>
      <c r="D7304" s="524">
        <v>541.0</v>
      </c>
      <c r="E7304" s="544" t="s">
        <v>301</v>
      </c>
      <c r="F7304" s="387">
        <v>1.0</v>
      </c>
      <c r="G7304" s="140">
        <v>250000.0</v>
      </c>
      <c r="H7304" s="74"/>
      <c r="I7304" s="74">
        <f t="shared" si="1"/>
        <v>250000</v>
      </c>
      <c r="J7304" s="74">
        <f>IF(E7304="SERVICE",I7304-(I7304*50%),Vlookup(E7304,DATABASE!C:Q,10,false)*F7304)</f>
        <v>75000</v>
      </c>
      <c r="K7304" s="74">
        <f>VLOOKUP(E7304,DATABASE!C:Q,7,false)</f>
        <v>75000</v>
      </c>
      <c r="L7304" s="74">
        <v>75000.0</v>
      </c>
      <c r="M7304" s="74">
        <f t="shared" si="2"/>
        <v>75000</v>
      </c>
      <c r="N7304" s="74">
        <f t="shared" si="3"/>
        <v>100000</v>
      </c>
      <c r="O7304" s="65" t="str">
        <f>VLOOKUP(E7304,DATABASE!C:Q,8,false)</f>
        <v>BIAN</v>
      </c>
      <c r="P7304" s="65">
        <f>VLOOKUP(E7304,DATABASE!C:Q,9,False)</f>
        <v>0</v>
      </c>
      <c r="Q7304" s="93" t="str">
        <f>VLOOKUP(E7304,DATABASE!C:Q,4,false)</f>
        <v>Baut Camber</v>
      </c>
      <c r="R7304" s="93" t="str">
        <f>VLOOKUP(E7304,DATABASE!C:Q,11,false)</f>
        <v>COMPLEMENTARY</v>
      </c>
    </row>
    <row r="7305" ht="22.5" customHeight="1">
      <c r="A7305" s="49"/>
      <c r="C7305" s="400">
        <v>46088.0</v>
      </c>
      <c r="D7305" s="524">
        <v>542.0</v>
      </c>
      <c r="E7305" s="544" t="s">
        <v>286</v>
      </c>
      <c r="F7305" s="387">
        <v>1.0</v>
      </c>
      <c r="G7305" s="140">
        <v>560000.0</v>
      </c>
      <c r="H7305" s="140">
        <v>10000.0</v>
      </c>
      <c r="I7305" s="74">
        <f t="shared" si="1"/>
        <v>550000</v>
      </c>
      <c r="J7305" s="74">
        <f>IF(E7305="SERVICE",I7305-(I7305*50%),Vlookup(E7305,DATABASE!C:Q,10,false)*F7305)</f>
        <v>0</v>
      </c>
      <c r="K7305" s="74">
        <f>VLOOKUP(E7305,DATABASE!C:Q,7,false)</f>
        <v>488320</v>
      </c>
      <c r="L7305" s="74">
        <v>452970.0</v>
      </c>
      <c r="M7305" s="74">
        <f t="shared" si="2"/>
        <v>455000</v>
      </c>
      <c r="N7305" s="74">
        <f t="shared" si="3"/>
        <v>95000</v>
      </c>
      <c r="O7305" s="65" t="str">
        <f>VLOOKUP(E7305,DATABASE!C:Q,8,false)</f>
        <v>BIAN</v>
      </c>
      <c r="P7305" s="65">
        <f>VLOOKUP(E7305,DATABASE!C:Q,9,False)</f>
        <v>1</v>
      </c>
      <c r="Q7305" s="93" t="str">
        <f>VLOOKUP(E7305,DATABASE!C:Q,4,false)</f>
        <v>GT</v>
      </c>
      <c r="R7305" s="93" t="str">
        <f>VLOOKUP(E7305,DATABASE!C:Q,11,false)</f>
        <v>Tire</v>
      </c>
    </row>
    <row r="7306" ht="22.5" customHeight="1">
      <c r="A7306" s="49"/>
      <c r="C7306" s="400">
        <v>46088.0</v>
      </c>
      <c r="D7306" s="524">
        <v>543.0</v>
      </c>
      <c r="E7306" s="544" t="s">
        <v>256</v>
      </c>
      <c r="F7306" s="387">
        <v>1.0</v>
      </c>
      <c r="G7306" s="140">
        <v>175000.0</v>
      </c>
      <c r="H7306" s="140">
        <v>25000.0</v>
      </c>
      <c r="I7306" s="74">
        <f t="shared" si="1"/>
        <v>150000</v>
      </c>
      <c r="J7306" s="74">
        <f>IF(E7306="SERVICE",I7306-(I7306*50%),Vlookup(E7306,DATABASE!C:Q,10,false)*F7306)</f>
        <v>10000</v>
      </c>
      <c r="K7306" s="74">
        <f>VLOOKUP(E7306,DATABASE!C:Q,7,false)</f>
        <v>0</v>
      </c>
      <c r="L7306" s="74">
        <v>0.0</v>
      </c>
      <c r="M7306" s="74">
        <f t="shared" si="2"/>
        <v>0</v>
      </c>
      <c r="N7306" s="74">
        <f t="shared" si="3"/>
        <v>140000</v>
      </c>
      <c r="O7306" s="65" t="str">
        <f>VLOOKUP(E7306,DATABASE!C:Q,8,false)</f>
        <v>IBU</v>
      </c>
      <c r="P7306" s="65">
        <f>VLOOKUP(E7306,DATABASE!C:Q,9,False)</f>
        <v>0</v>
      </c>
      <c r="Q7306" s="93" t="str">
        <f>VLOOKUP(E7306,DATABASE!C:Q,4,false)</f>
        <v>SPOORING</v>
      </c>
      <c r="R7306" s="93" t="str">
        <f>VLOOKUP(E7306,DATABASE!C:Q,11,false)</f>
        <v>SERVICE</v>
      </c>
    </row>
    <row r="7307" ht="22.5" customHeight="1">
      <c r="A7307" s="49"/>
      <c r="C7307" s="400">
        <v>46088.0</v>
      </c>
      <c r="D7307" s="524">
        <v>543.0</v>
      </c>
      <c r="E7307" s="544" t="s">
        <v>301</v>
      </c>
      <c r="F7307" s="387">
        <v>1.0</v>
      </c>
      <c r="G7307" s="140">
        <v>250000.0</v>
      </c>
      <c r="H7307" s="74"/>
      <c r="I7307" s="74">
        <f t="shared" si="1"/>
        <v>250000</v>
      </c>
      <c r="J7307" s="74">
        <f>IF(E7307="SERVICE",I7307-(I7307*50%),Vlookup(E7307,DATABASE!C:Q,10,false)*F7307)</f>
        <v>75000</v>
      </c>
      <c r="K7307" s="74">
        <f>VLOOKUP(E7307,DATABASE!C:Q,7,false)</f>
        <v>75000</v>
      </c>
      <c r="L7307" s="74">
        <v>75000.0</v>
      </c>
      <c r="M7307" s="74">
        <f t="shared" si="2"/>
        <v>75000</v>
      </c>
      <c r="N7307" s="74">
        <f t="shared" si="3"/>
        <v>100000</v>
      </c>
      <c r="O7307" s="65" t="str">
        <f>VLOOKUP(E7307,DATABASE!C:Q,8,false)</f>
        <v>BIAN</v>
      </c>
      <c r="P7307" s="65">
        <f>VLOOKUP(E7307,DATABASE!C:Q,9,False)</f>
        <v>0</v>
      </c>
      <c r="Q7307" s="93" t="str">
        <f>VLOOKUP(E7307,DATABASE!C:Q,4,false)</f>
        <v>Baut Camber</v>
      </c>
      <c r="R7307" s="93" t="str">
        <f>VLOOKUP(E7307,DATABASE!C:Q,11,false)</f>
        <v>COMPLEMENTARY</v>
      </c>
    </row>
    <row r="7308" ht="22.5" customHeight="1">
      <c r="A7308" s="49"/>
      <c r="C7308" s="400">
        <v>46088.0</v>
      </c>
      <c r="D7308" s="524">
        <v>544.0</v>
      </c>
      <c r="E7308" s="544" t="s">
        <v>256</v>
      </c>
      <c r="F7308" s="387">
        <v>1.0</v>
      </c>
      <c r="G7308" s="140">
        <v>175000.0</v>
      </c>
      <c r="H7308" s="140">
        <v>25000.0</v>
      </c>
      <c r="I7308" s="74">
        <f t="shared" si="1"/>
        <v>150000</v>
      </c>
      <c r="J7308" s="74">
        <f>IF(E7308="SERVICE",I7308-(I7308*50%),Vlookup(E7308,DATABASE!C:Q,10,false)*F7308)</f>
        <v>10000</v>
      </c>
      <c r="K7308" s="74">
        <f>VLOOKUP(E7308,DATABASE!C:Q,7,false)</f>
        <v>0</v>
      </c>
      <c r="L7308" s="74">
        <v>0.0</v>
      </c>
      <c r="M7308" s="74">
        <f t="shared" si="2"/>
        <v>0</v>
      </c>
      <c r="N7308" s="74">
        <f t="shared" si="3"/>
        <v>140000</v>
      </c>
      <c r="O7308" s="65" t="str">
        <f>VLOOKUP(E7308,DATABASE!C:Q,8,false)</f>
        <v>IBU</v>
      </c>
      <c r="P7308" s="65">
        <f>VLOOKUP(E7308,DATABASE!C:Q,9,False)</f>
        <v>0</v>
      </c>
      <c r="Q7308" s="93" t="str">
        <f>VLOOKUP(E7308,DATABASE!C:Q,4,false)</f>
        <v>SPOORING</v>
      </c>
      <c r="R7308" s="93" t="str">
        <f>VLOOKUP(E7308,DATABASE!C:Q,11,false)</f>
        <v>SERVICE</v>
      </c>
    </row>
    <row r="7309" ht="22.5" customHeight="1">
      <c r="A7309" s="49"/>
      <c r="C7309" s="400">
        <v>46088.0</v>
      </c>
      <c r="D7309" s="524">
        <v>545.0</v>
      </c>
      <c r="E7309" s="544" t="s">
        <v>1009</v>
      </c>
      <c r="F7309" s="387">
        <v>1.0</v>
      </c>
      <c r="G7309" s="140">
        <v>700000.0</v>
      </c>
      <c r="H7309" s="140">
        <v>15000.0</v>
      </c>
      <c r="I7309" s="74">
        <f t="shared" si="1"/>
        <v>685000</v>
      </c>
      <c r="J7309" s="74">
        <f>IF(E7309="SERVICE",I7309-(I7309*50%),Vlookup(E7309,DATABASE!C:Q,10,false)*F7309)</f>
        <v>0</v>
      </c>
      <c r="K7309" s="74">
        <f>VLOOKUP(E7309,DATABASE!C:Q,7,false)</f>
        <v>609800</v>
      </c>
      <c r="L7309" s="74">
        <v>592200.0</v>
      </c>
      <c r="M7309" s="74">
        <f t="shared" si="2"/>
        <v>595000</v>
      </c>
      <c r="N7309" s="74">
        <f t="shared" si="3"/>
        <v>90000</v>
      </c>
      <c r="O7309" s="65" t="str">
        <f>VLOOKUP(E7309,DATABASE!C:Q,8,false)</f>
        <v>BIAN</v>
      </c>
      <c r="P7309" s="65">
        <f>VLOOKUP(E7309,DATABASE!C:Q,9,False)</f>
        <v>1</v>
      </c>
      <c r="Q7309" s="93" t="str">
        <f>VLOOKUP(E7309,DATABASE!C:Q,4,false)</f>
        <v>GT</v>
      </c>
      <c r="R7309" s="93" t="str">
        <f>VLOOKUP(E7309,DATABASE!C:Q,11,false)</f>
        <v>Tire</v>
      </c>
    </row>
    <row r="7310" ht="22.5" customHeight="1">
      <c r="A7310" s="49"/>
      <c r="C7310" s="400">
        <v>46088.0</v>
      </c>
      <c r="D7310" s="69" t="s">
        <v>2726</v>
      </c>
      <c r="E7310" s="544" t="s">
        <v>252</v>
      </c>
      <c r="F7310" s="387">
        <v>1.0</v>
      </c>
      <c r="G7310" s="140">
        <v>300000.0</v>
      </c>
      <c r="H7310" s="74"/>
      <c r="I7310" s="74">
        <f t="shared" si="1"/>
        <v>300000</v>
      </c>
      <c r="J7310" s="74">
        <f>IF(E7310="SERVICE",I7310-(I7310*50%),Vlookup(E7310,DATABASE!C:Q,10,false)*F7310)</f>
        <v>0</v>
      </c>
      <c r="K7310" s="74">
        <f>VLOOKUP(E7310,DATABASE!C:Q,7,false)</f>
        <v>317518</v>
      </c>
      <c r="L7310" s="74">
        <v>271778.0</v>
      </c>
      <c r="M7310" s="74">
        <f t="shared" si="2"/>
        <v>275000</v>
      </c>
      <c r="N7310" s="74">
        <f t="shared" si="3"/>
        <v>25000</v>
      </c>
      <c r="O7310" s="65" t="str">
        <f>VLOOKUP(E7310,DATABASE!C:Q,8,false)</f>
        <v>NON</v>
      </c>
      <c r="P7310" s="65">
        <f>VLOOKUP(E7310,DATABASE!C:Q,9,False)</f>
        <v>0</v>
      </c>
      <c r="Q7310" s="93" t="str">
        <f>VLOOKUP(E7310,DATABASE!C:Q,4,false)</f>
        <v>Shell</v>
      </c>
      <c r="R7310" s="93" t="str">
        <f>VLOOKUP(E7310,DATABASE!C:Q,11,false)</f>
        <v>OIL</v>
      </c>
    </row>
    <row r="7311" ht="22.5" customHeight="1">
      <c r="A7311" s="49"/>
      <c r="C7311" s="400">
        <v>46089.0</v>
      </c>
      <c r="D7311" s="524">
        <v>547.0</v>
      </c>
      <c r="E7311" s="544" t="s">
        <v>256</v>
      </c>
      <c r="F7311" s="387">
        <v>1.0</v>
      </c>
      <c r="G7311" s="140">
        <v>175000.0</v>
      </c>
      <c r="H7311" s="140">
        <v>25000.0</v>
      </c>
      <c r="I7311" s="74">
        <f t="shared" si="1"/>
        <v>150000</v>
      </c>
      <c r="J7311" s="74">
        <f>IF(E7311="SERVICE",I7311-(I7311*50%),Vlookup(E7311,DATABASE!C:Q,10,false)*F7311)</f>
        <v>10000</v>
      </c>
      <c r="K7311" s="74">
        <f>VLOOKUP(E7311,DATABASE!C:Q,7,false)</f>
        <v>0</v>
      </c>
      <c r="L7311" s="74">
        <v>0.0</v>
      </c>
      <c r="M7311" s="74">
        <f t="shared" si="2"/>
        <v>0</v>
      </c>
      <c r="N7311" s="74">
        <f t="shared" si="3"/>
        <v>140000</v>
      </c>
      <c r="O7311" s="65" t="str">
        <f>VLOOKUP(E7311,DATABASE!C:Q,8,false)</f>
        <v>IBU</v>
      </c>
      <c r="P7311" s="65">
        <f>VLOOKUP(E7311,DATABASE!C:Q,9,False)</f>
        <v>0</v>
      </c>
      <c r="Q7311" s="93" t="str">
        <f>VLOOKUP(E7311,DATABASE!C:Q,4,false)</f>
        <v>SPOORING</v>
      </c>
      <c r="R7311" s="93" t="str">
        <f>VLOOKUP(E7311,DATABASE!C:Q,11,false)</f>
        <v>SERVICE</v>
      </c>
    </row>
    <row r="7312" ht="22.5" customHeight="1">
      <c r="A7312" s="49"/>
      <c r="C7312" s="400">
        <v>46089.0</v>
      </c>
      <c r="D7312" s="69">
        <v>548.0</v>
      </c>
      <c r="E7312" s="544" t="s">
        <v>268</v>
      </c>
      <c r="F7312" s="387">
        <v>1.0</v>
      </c>
      <c r="G7312" s="140">
        <v>710000.0</v>
      </c>
      <c r="H7312" s="74"/>
      <c r="I7312" s="74">
        <f t="shared" si="1"/>
        <v>710000</v>
      </c>
      <c r="J7312" s="74">
        <f>IF(E7312="SERVICE",I7312-(I7312*50%),Vlookup(E7312,DATABASE!C:Q,10,false)*F7312)</f>
        <v>0</v>
      </c>
      <c r="K7312" s="74">
        <f>VLOOKUP(E7312,DATABASE!C:Q,7,false)</f>
        <v>653000</v>
      </c>
      <c r="L7312" s="74">
        <v>622000.0</v>
      </c>
      <c r="M7312" s="74">
        <f t="shared" si="2"/>
        <v>625000</v>
      </c>
      <c r="N7312" s="74">
        <f t="shared" si="3"/>
        <v>85000</v>
      </c>
      <c r="O7312" s="65" t="str">
        <f>VLOOKUP(E7312,DATABASE!C:Q,8,false)</f>
        <v>IBU</v>
      </c>
      <c r="P7312" s="65">
        <f>VLOOKUP(E7312,DATABASE!C:Q,9,False)</f>
        <v>1</v>
      </c>
      <c r="Q7312" s="93" t="str">
        <f>VLOOKUP(E7312,DATABASE!C:Q,4,false)</f>
        <v>Dunlop</v>
      </c>
      <c r="R7312" s="93" t="str">
        <f>VLOOKUP(E7312,DATABASE!C:Q,11,false)</f>
        <v>Tire</v>
      </c>
    </row>
    <row r="7313" ht="22.5" customHeight="1">
      <c r="A7313" s="49"/>
      <c r="C7313" s="400">
        <v>46089.0</v>
      </c>
      <c r="D7313" s="524">
        <v>549.0</v>
      </c>
      <c r="E7313" s="544" t="s">
        <v>614</v>
      </c>
      <c r="F7313" s="387">
        <v>2.0</v>
      </c>
      <c r="G7313" s="140">
        <v>820000.0</v>
      </c>
      <c r="H7313" s="74"/>
      <c r="I7313" s="74">
        <f t="shared" si="1"/>
        <v>1640000</v>
      </c>
      <c r="J7313" s="74">
        <f>IF(E7313="SERVICE",I7313-(I7313*50%),Vlookup(E7313,DATABASE!C:Q,10,false)*F7313)</f>
        <v>0</v>
      </c>
      <c r="K7313" s="74">
        <f>VLOOKUP(E7313,DATABASE!C:Q,7,false)</f>
        <v>754660.6</v>
      </c>
      <c r="L7313" s="74">
        <v>727756.0</v>
      </c>
      <c r="M7313" s="74">
        <f t="shared" si="2"/>
        <v>730000</v>
      </c>
      <c r="N7313" s="74">
        <f t="shared" si="3"/>
        <v>180000</v>
      </c>
      <c r="O7313" s="65" t="str">
        <f>VLOOKUP(E7313,DATABASE!C:Q,8,false)</f>
        <v>IBU</v>
      </c>
      <c r="P7313" s="65">
        <f>VLOOKUP(E7313,DATABASE!C:Q,9,False)</f>
        <v>1</v>
      </c>
      <c r="Q7313" s="93" t="str">
        <f>VLOOKUP(E7313,DATABASE!C:Q,4,false)</f>
        <v>Bridgestone</v>
      </c>
      <c r="R7313" s="93" t="str">
        <f>VLOOKUP(E7313,DATABASE!C:Q,11,false)</f>
        <v>Tire</v>
      </c>
    </row>
    <row r="7314" ht="22.5" customHeight="1">
      <c r="A7314" s="49"/>
      <c r="C7314" s="400">
        <v>46089.0</v>
      </c>
      <c r="D7314" s="524">
        <v>550.0</v>
      </c>
      <c r="E7314" s="544" t="s">
        <v>1913</v>
      </c>
      <c r="F7314" s="387">
        <v>1.0</v>
      </c>
      <c r="G7314" s="140">
        <v>670000.0</v>
      </c>
      <c r="H7314" s="74"/>
      <c r="I7314" s="74">
        <f t="shared" si="1"/>
        <v>670000</v>
      </c>
      <c r="J7314" s="74">
        <f>IF(E7314="SERVICE",I7314-(I7314*50%),Vlookup(E7314,DATABASE!C:Q,10,false)*F7314)</f>
        <v>0</v>
      </c>
      <c r="K7314" s="74">
        <f>VLOOKUP(E7314,DATABASE!C:Q,7,false)</f>
        <v>587200</v>
      </c>
      <c r="L7314" s="74">
        <v>570200.0</v>
      </c>
      <c r="M7314" s="74">
        <f t="shared" si="2"/>
        <v>575000</v>
      </c>
      <c r="N7314" s="74">
        <f t="shared" si="3"/>
        <v>95000</v>
      </c>
      <c r="O7314" s="65" t="str">
        <f>VLOOKUP(E7314,DATABASE!C:Q,8,false)</f>
        <v>BIAN</v>
      </c>
      <c r="P7314" s="65">
        <f>VLOOKUP(E7314,DATABASE!C:Q,9,False)</f>
        <v>1</v>
      </c>
      <c r="Q7314" s="93" t="str">
        <f>VLOOKUP(E7314,DATABASE!C:Q,4,false)</f>
        <v>GT</v>
      </c>
      <c r="R7314" s="93" t="str">
        <f>VLOOKUP(E7314,DATABASE!C:Q,11,false)</f>
        <v>Tire</v>
      </c>
    </row>
    <row r="7315" ht="22.5" customHeight="1">
      <c r="A7315" s="49"/>
      <c r="C7315" s="400">
        <v>46089.0</v>
      </c>
      <c r="D7315" s="524">
        <v>551.0</v>
      </c>
      <c r="E7315" s="544" t="s">
        <v>569</v>
      </c>
      <c r="F7315" s="387">
        <v>1.0</v>
      </c>
      <c r="G7315" s="140">
        <v>80000.0</v>
      </c>
      <c r="H7315" s="74"/>
      <c r="I7315" s="74">
        <f t="shared" si="1"/>
        <v>80000</v>
      </c>
      <c r="J7315" s="74">
        <f>IF(E7315="SERVICE",I7315-(I7315*50%),Vlookup(E7315,DATABASE!C:Q,10,false)*F7315)</f>
        <v>0</v>
      </c>
      <c r="K7315" s="74">
        <f>VLOOKUP(E7315,DATABASE!C:Q,7,false)</f>
        <v>45439.582</v>
      </c>
      <c r="L7315" s="74">
        <v>45309.6</v>
      </c>
      <c r="M7315" s="74">
        <f t="shared" si="2"/>
        <v>50000</v>
      </c>
      <c r="N7315" s="74">
        <f t="shared" si="3"/>
        <v>30000</v>
      </c>
      <c r="O7315" s="65" t="str">
        <f>VLOOKUP(E7315,DATABASE!C:Q,8,false)</f>
        <v>BIAN</v>
      </c>
      <c r="P7315" s="65">
        <f>VLOOKUP(E7315,DATABASE!C:Q,9,False)</f>
        <v>1</v>
      </c>
      <c r="Q7315" s="93" t="str">
        <f>VLOOKUP(E7315,DATABASE!C:Q,4,false)</f>
        <v>BD</v>
      </c>
      <c r="R7315" s="93" t="str">
        <f>VLOOKUP(E7315,DATABASE!C:Q,11,false)</f>
        <v>Tire</v>
      </c>
    </row>
    <row r="7316" ht="22.5" customHeight="1">
      <c r="A7316" s="49"/>
      <c r="C7316" s="400">
        <v>46089.0</v>
      </c>
      <c r="D7316" s="524">
        <v>552.0</v>
      </c>
      <c r="E7316" s="544" t="s">
        <v>299</v>
      </c>
      <c r="F7316" s="387">
        <v>1.0</v>
      </c>
      <c r="G7316" s="140">
        <v>30000.0</v>
      </c>
      <c r="H7316" s="74"/>
      <c r="I7316" s="74">
        <f t="shared" si="1"/>
        <v>30000</v>
      </c>
      <c r="J7316" s="74">
        <f>IF(E7316="SERVICE",I7316-(I7316*50%),Vlookup(E7316,DATABASE!C:Q,10,false)*F7316)</f>
        <v>0</v>
      </c>
      <c r="K7316" s="74">
        <f>VLOOKUP(E7316,DATABASE!C:Q,7,false)</f>
        <v>10000</v>
      </c>
      <c r="L7316" s="74">
        <v>10000.0</v>
      </c>
      <c r="M7316" s="74">
        <f t="shared" si="2"/>
        <v>10000</v>
      </c>
      <c r="N7316" s="74">
        <f t="shared" si="3"/>
        <v>20000</v>
      </c>
      <c r="O7316" s="65" t="str">
        <f>VLOOKUP(E7316,DATABASE!C:Q,8,false)</f>
        <v>BIAN</v>
      </c>
      <c r="P7316" s="65">
        <f>VLOOKUP(E7316,DATABASE!C:Q,9,False)</f>
        <v>0</v>
      </c>
      <c r="Q7316" s="93" t="str">
        <f>VLOOKUP(E7316,DATABASE!C:Q,4,false)</f>
        <v>Balancing</v>
      </c>
      <c r="R7316" s="93" t="str">
        <f>VLOOKUP(E7316,DATABASE!C:Q,11,false)</f>
        <v>COMPLEMENTARY</v>
      </c>
    </row>
    <row r="7317" ht="22.5" customHeight="1">
      <c r="A7317" s="49"/>
      <c r="C7317" s="400">
        <v>46089.0</v>
      </c>
      <c r="D7317" s="524">
        <v>553.0</v>
      </c>
      <c r="E7317" s="544" t="s">
        <v>256</v>
      </c>
      <c r="F7317" s="387">
        <v>1.0</v>
      </c>
      <c r="G7317" s="140">
        <v>175000.0</v>
      </c>
      <c r="H7317" s="140">
        <v>25000.0</v>
      </c>
      <c r="I7317" s="74">
        <f t="shared" si="1"/>
        <v>150000</v>
      </c>
      <c r="J7317" s="74">
        <f>IF(E7317="SERVICE",I7317-(I7317*50%),Vlookup(E7317,DATABASE!C:Q,10,false)*F7317)</f>
        <v>10000</v>
      </c>
      <c r="K7317" s="74">
        <f>VLOOKUP(E7317,DATABASE!C:Q,7,false)</f>
        <v>0</v>
      </c>
      <c r="L7317" s="74">
        <v>0.0</v>
      </c>
      <c r="M7317" s="74">
        <f t="shared" si="2"/>
        <v>0</v>
      </c>
      <c r="N7317" s="74">
        <f t="shared" si="3"/>
        <v>140000</v>
      </c>
      <c r="O7317" s="65" t="str">
        <f>VLOOKUP(E7317,DATABASE!C:Q,8,false)</f>
        <v>IBU</v>
      </c>
      <c r="P7317" s="65">
        <f>VLOOKUP(E7317,DATABASE!C:Q,9,False)</f>
        <v>0</v>
      </c>
      <c r="Q7317" s="93" t="str">
        <f>VLOOKUP(E7317,DATABASE!C:Q,4,false)</f>
        <v>SPOORING</v>
      </c>
      <c r="R7317" s="93" t="str">
        <f>VLOOKUP(E7317,DATABASE!C:Q,11,false)</f>
        <v>SERVICE</v>
      </c>
    </row>
    <row r="7318" ht="22.5" customHeight="1">
      <c r="A7318" s="49"/>
      <c r="C7318" s="400">
        <v>46089.0</v>
      </c>
      <c r="D7318" s="524">
        <v>553.0</v>
      </c>
      <c r="E7318" s="544" t="s">
        <v>251</v>
      </c>
      <c r="F7318" s="387">
        <v>1.0</v>
      </c>
      <c r="G7318" s="140">
        <v>350000.0</v>
      </c>
      <c r="H7318" s="140">
        <v>200000.0</v>
      </c>
      <c r="I7318" s="74">
        <f t="shared" si="1"/>
        <v>150000</v>
      </c>
      <c r="J7318" s="74">
        <f>IF(E7318="SERVICE",I7318-(I7318*50%),Vlookup(E7318,DATABASE!C:Q,10,false)*F7318)</f>
        <v>75000</v>
      </c>
      <c r="K7318" s="74">
        <f>VLOOKUP(E7318,DATABASE!C:Q,7,false)</f>
        <v>0</v>
      </c>
      <c r="L7318" s="74">
        <v>0.0</v>
      </c>
      <c r="M7318" s="74">
        <f t="shared" si="2"/>
        <v>0</v>
      </c>
      <c r="N7318" s="74">
        <f t="shared" si="3"/>
        <v>75000</v>
      </c>
      <c r="O7318" s="65" t="str">
        <f>VLOOKUP(E7318,DATABASE!C:Q,8,false)</f>
        <v>IBU</v>
      </c>
      <c r="P7318" s="65">
        <f>VLOOKUP(E7318,DATABASE!C:Q,9,False)</f>
        <v>0</v>
      </c>
      <c r="Q7318" s="93" t="str">
        <f>VLOOKUP(E7318,DATABASE!C:Q,4,false)</f>
        <v>SERVICE</v>
      </c>
      <c r="R7318" s="93" t="str">
        <f>VLOOKUP(E7318,DATABASE!C:Q,11,false)</f>
        <v>SERVICE</v>
      </c>
    </row>
    <row r="7319" ht="22.5" customHeight="1">
      <c r="A7319" s="49"/>
      <c r="C7319" s="400">
        <v>46089.0</v>
      </c>
      <c r="D7319" s="69" t="s">
        <v>2727</v>
      </c>
      <c r="E7319" s="544" t="s">
        <v>252</v>
      </c>
      <c r="F7319" s="387">
        <v>1.0</v>
      </c>
      <c r="G7319" s="140">
        <v>300000.0</v>
      </c>
      <c r="H7319" s="74"/>
      <c r="I7319" s="74">
        <f t="shared" si="1"/>
        <v>300000</v>
      </c>
      <c r="J7319" s="74">
        <f>IF(E7319="SERVICE",I7319-(I7319*50%),Vlookup(E7319,DATABASE!C:Q,10,false)*F7319)</f>
        <v>0</v>
      </c>
      <c r="K7319" s="74">
        <f>VLOOKUP(E7319,DATABASE!C:Q,7,false)</f>
        <v>317518</v>
      </c>
      <c r="L7319" s="74">
        <v>271778.0</v>
      </c>
      <c r="M7319" s="74">
        <f t="shared" si="2"/>
        <v>275000</v>
      </c>
      <c r="N7319" s="74">
        <f t="shared" si="3"/>
        <v>25000</v>
      </c>
      <c r="O7319" s="65" t="str">
        <f>VLOOKUP(E7319,DATABASE!C:Q,8,false)</f>
        <v>NON</v>
      </c>
      <c r="P7319" s="65">
        <f>VLOOKUP(E7319,DATABASE!C:Q,9,False)</f>
        <v>0</v>
      </c>
      <c r="Q7319" s="93" t="str">
        <f>VLOOKUP(E7319,DATABASE!C:Q,4,false)</f>
        <v>Shell</v>
      </c>
      <c r="R7319" s="93" t="str">
        <f>VLOOKUP(E7319,DATABASE!C:Q,11,false)</f>
        <v>OIL</v>
      </c>
    </row>
    <row r="7320" ht="22.5" customHeight="1">
      <c r="A7320" s="49"/>
      <c r="C7320" s="400">
        <v>46089.0</v>
      </c>
      <c r="D7320" s="69" t="s">
        <v>2727</v>
      </c>
      <c r="E7320" s="544" t="s">
        <v>298</v>
      </c>
      <c r="F7320" s="387">
        <v>1.0</v>
      </c>
      <c r="G7320" s="140">
        <v>25000.0</v>
      </c>
      <c r="H7320" s="74"/>
      <c r="I7320" s="74">
        <f t="shared" si="1"/>
        <v>25000</v>
      </c>
      <c r="J7320" s="74">
        <f>IF(E7320="SERVICE",I7320-(I7320*50%),Vlookup(E7320,DATABASE!C:Q,10,false)*F7320)</f>
        <v>0</v>
      </c>
      <c r="K7320" s="74">
        <f>VLOOKUP(E7320,DATABASE!C:Q,7,false)</f>
        <v>19200</v>
      </c>
      <c r="L7320" s="74">
        <v>19200.0</v>
      </c>
      <c r="M7320" s="74">
        <f t="shared" si="2"/>
        <v>20000</v>
      </c>
      <c r="N7320" s="74">
        <f t="shared" si="3"/>
        <v>5000</v>
      </c>
      <c r="O7320" s="65" t="str">
        <f>VLOOKUP(E7320,DATABASE!C:Q,8,false)</f>
        <v>BIAN</v>
      </c>
      <c r="P7320" s="65">
        <f>VLOOKUP(E7320,DATABASE!C:Q,9,False)</f>
        <v>0</v>
      </c>
      <c r="Q7320" s="93" t="str">
        <f>VLOOKUP(E7320,DATABASE!C:Q,4,false)</f>
        <v>Aspira</v>
      </c>
      <c r="R7320" s="93" t="str">
        <f>VLOOKUP(E7320,DATABASE!C:Q,11,false)</f>
        <v>COMPLEMENTARY</v>
      </c>
    </row>
    <row r="7321" ht="22.5" customHeight="1">
      <c r="A7321" s="49"/>
      <c r="C7321" s="400">
        <v>46090.0</v>
      </c>
      <c r="D7321" s="524">
        <v>554.0</v>
      </c>
      <c r="E7321" s="544" t="s">
        <v>569</v>
      </c>
      <c r="F7321" s="387">
        <v>1.0</v>
      </c>
      <c r="G7321" s="140">
        <v>80000.0</v>
      </c>
      <c r="H7321" s="74"/>
      <c r="I7321" s="74">
        <f t="shared" si="1"/>
        <v>80000</v>
      </c>
      <c r="J7321" s="74">
        <f>IF(E7321="SERVICE",I7321-(I7321*50%),Vlookup(E7321,DATABASE!C:Q,10,false)*F7321)</f>
        <v>0</v>
      </c>
      <c r="K7321" s="74">
        <f>VLOOKUP(E7321,DATABASE!C:Q,7,false)</f>
        <v>45439.582</v>
      </c>
      <c r="L7321" s="74">
        <v>45309.6</v>
      </c>
      <c r="M7321" s="74">
        <f t="shared" si="2"/>
        <v>50000</v>
      </c>
      <c r="N7321" s="74">
        <f t="shared" si="3"/>
        <v>30000</v>
      </c>
      <c r="O7321" s="65" t="str">
        <f>VLOOKUP(E7321,DATABASE!C:Q,8,false)</f>
        <v>BIAN</v>
      </c>
      <c r="P7321" s="65">
        <f>VLOOKUP(E7321,DATABASE!C:Q,9,False)</f>
        <v>1</v>
      </c>
      <c r="Q7321" s="93" t="str">
        <f>VLOOKUP(E7321,DATABASE!C:Q,4,false)</f>
        <v>BD</v>
      </c>
      <c r="R7321" s="93" t="str">
        <f>VLOOKUP(E7321,DATABASE!C:Q,11,false)</f>
        <v>Tire</v>
      </c>
    </row>
    <row r="7322" ht="22.5" customHeight="1">
      <c r="A7322" s="49"/>
      <c r="C7322" s="400">
        <v>46090.0</v>
      </c>
      <c r="D7322" s="524">
        <v>555.0</v>
      </c>
      <c r="E7322" s="544" t="s">
        <v>1588</v>
      </c>
      <c r="F7322" s="387">
        <v>2.0</v>
      </c>
      <c r="G7322" s="140">
        <v>1050000.0</v>
      </c>
      <c r="H7322" s="74"/>
      <c r="I7322" s="74">
        <f t="shared" si="1"/>
        <v>2100000</v>
      </c>
      <c r="J7322" s="74">
        <f>IF(E7322="SERVICE",I7322-(I7322*50%),Vlookup(E7322,DATABASE!C:Q,10,false)*F7322)</f>
        <v>0</v>
      </c>
      <c r="K7322" s="74">
        <f>VLOOKUP(E7322,DATABASE!C:Q,7,false)</f>
        <v>930000</v>
      </c>
      <c r="L7322" s="74">
        <v>930000.0</v>
      </c>
      <c r="M7322" s="74">
        <f t="shared" si="2"/>
        <v>930000</v>
      </c>
      <c r="N7322" s="74">
        <f t="shared" si="3"/>
        <v>240000</v>
      </c>
      <c r="O7322" s="65" t="str">
        <f>VLOOKUP(E7322,DATABASE!C:Q,8,false)</f>
        <v>IBU</v>
      </c>
      <c r="P7322" s="65">
        <f>VLOOKUP(E7322,DATABASE!C:Q,9,False)</f>
        <v>1</v>
      </c>
      <c r="Q7322" s="93" t="str">
        <f>VLOOKUP(E7322,DATABASE!C:Q,4,false)</f>
        <v>Dunlop</v>
      </c>
      <c r="R7322" s="93" t="str">
        <f>VLOOKUP(E7322,DATABASE!C:Q,11,false)</f>
        <v>Tire</v>
      </c>
    </row>
    <row r="7323" ht="22.5" customHeight="1">
      <c r="A7323" s="49"/>
      <c r="C7323" s="400">
        <v>46090.0</v>
      </c>
      <c r="D7323" s="524">
        <v>556.0</v>
      </c>
      <c r="E7323" s="544" t="s">
        <v>605</v>
      </c>
      <c r="F7323" s="387">
        <v>2.0</v>
      </c>
      <c r="G7323" s="140">
        <v>765000.0</v>
      </c>
      <c r="H7323" s="74"/>
      <c r="I7323" s="74">
        <f t="shared" si="1"/>
        <v>1530000</v>
      </c>
      <c r="J7323" s="74">
        <f>IF(E7323="SERVICE",I7323-(I7323*50%),Vlookup(E7323,DATABASE!C:Q,10,false)*F7323)</f>
        <v>0</v>
      </c>
      <c r="K7323" s="74">
        <f>VLOOKUP(E7323,DATABASE!C:Q,7,false)</f>
        <v>675000</v>
      </c>
      <c r="L7323" s="74">
        <v>675000.0</v>
      </c>
      <c r="M7323" s="74">
        <f t="shared" si="2"/>
        <v>675000</v>
      </c>
      <c r="N7323" s="74">
        <f t="shared" si="3"/>
        <v>180000</v>
      </c>
      <c r="O7323" s="65" t="str">
        <f>VLOOKUP(E7323,DATABASE!C:Q,8,false)</f>
        <v>IBU</v>
      </c>
      <c r="P7323" s="65">
        <f>VLOOKUP(E7323,DATABASE!C:Q,9,False)</f>
        <v>1</v>
      </c>
      <c r="Q7323" s="93" t="str">
        <f>VLOOKUP(E7323,DATABASE!C:Q,4,false)</f>
        <v>Bridgestone</v>
      </c>
      <c r="R7323" s="93" t="str">
        <f>VLOOKUP(E7323,DATABASE!C:Q,11,false)</f>
        <v>Tire</v>
      </c>
    </row>
    <row r="7324" ht="22.5" customHeight="1">
      <c r="A7324" s="49"/>
      <c r="C7324" s="400">
        <v>46090.0</v>
      </c>
      <c r="D7324" s="524">
        <v>557.0</v>
      </c>
      <c r="E7324" s="544" t="s">
        <v>947</v>
      </c>
      <c r="F7324" s="387">
        <v>2.0</v>
      </c>
      <c r="G7324" s="140">
        <v>785000.0</v>
      </c>
      <c r="H7324" s="74"/>
      <c r="I7324" s="74">
        <f t="shared" si="1"/>
        <v>1570000</v>
      </c>
      <c r="J7324" s="74">
        <f>IF(E7324="SERVICE",I7324-(I7324*50%),Vlookup(E7324,DATABASE!C:Q,10,false)*F7324)</f>
        <v>0</v>
      </c>
      <c r="K7324" s="74">
        <f>VLOOKUP(E7324,DATABASE!C:Q,7,false)</f>
        <v>704346</v>
      </c>
      <c r="L7324" s="74">
        <v>680512.0</v>
      </c>
      <c r="M7324" s="74">
        <f t="shared" si="2"/>
        <v>685000</v>
      </c>
      <c r="N7324" s="74">
        <f t="shared" si="3"/>
        <v>200000</v>
      </c>
      <c r="O7324" s="65" t="str">
        <f>VLOOKUP(E7324,DATABASE!C:Q,8,false)</f>
        <v>IBU</v>
      </c>
      <c r="P7324" s="65">
        <f>VLOOKUP(E7324,DATABASE!C:Q,9,False)</f>
        <v>1</v>
      </c>
      <c r="Q7324" s="93" t="str">
        <f>VLOOKUP(E7324,DATABASE!C:Q,4,false)</f>
        <v>Bridgestone</v>
      </c>
      <c r="R7324" s="93" t="str">
        <f>VLOOKUP(E7324,DATABASE!C:Q,11,false)</f>
        <v>Tire</v>
      </c>
    </row>
    <row r="7325" ht="22.5" customHeight="1">
      <c r="A7325" s="49"/>
      <c r="C7325" s="400">
        <v>46090.0</v>
      </c>
      <c r="D7325" s="524">
        <v>558.0</v>
      </c>
      <c r="E7325" s="544" t="s">
        <v>627</v>
      </c>
      <c r="F7325" s="387">
        <v>2.0</v>
      </c>
      <c r="G7325" s="140">
        <v>950000.0</v>
      </c>
      <c r="H7325" s="140">
        <v>25000.0</v>
      </c>
      <c r="I7325" s="74">
        <f t="shared" si="1"/>
        <v>1850000</v>
      </c>
      <c r="J7325" s="74">
        <f>IF(E7325="SERVICE",I7325-(I7325*50%),Vlookup(E7325,DATABASE!C:Q,10,false)*F7325)</f>
        <v>0</v>
      </c>
      <c r="K7325" s="74">
        <f>VLOOKUP(E7325,DATABASE!C:Q,7,false)</f>
        <v>879567</v>
      </c>
      <c r="L7325" s="74">
        <v>830273.6</v>
      </c>
      <c r="M7325" s="74">
        <f t="shared" si="2"/>
        <v>835000</v>
      </c>
      <c r="N7325" s="74">
        <f t="shared" si="3"/>
        <v>180000</v>
      </c>
      <c r="O7325" s="65" t="str">
        <f>VLOOKUP(E7325,DATABASE!C:Q,8,false)</f>
        <v>IBU</v>
      </c>
      <c r="P7325" s="65">
        <f>VLOOKUP(E7325,DATABASE!C:Q,9,False)</f>
        <v>1</v>
      </c>
      <c r="Q7325" s="93" t="str">
        <f>VLOOKUP(E7325,DATABASE!C:Q,4,false)</f>
        <v>Bridgestone</v>
      </c>
      <c r="R7325" s="93" t="str">
        <f>VLOOKUP(E7325,DATABASE!C:Q,11,false)</f>
        <v>Tire</v>
      </c>
    </row>
    <row r="7326" ht="22.5" customHeight="1">
      <c r="A7326" s="49"/>
      <c r="C7326" s="400">
        <v>46090.0</v>
      </c>
      <c r="D7326" s="524">
        <v>558.0</v>
      </c>
      <c r="E7326" s="544" t="s">
        <v>299</v>
      </c>
      <c r="F7326" s="387">
        <v>2.0</v>
      </c>
      <c r="G7326" s="140">
        <v>30000.0</v>
      </c>
      <c r="H7326" s="140">
        <v>5000.0</v>
      </c>
      <c r="I7326" s="74">
        <f t="shared" si="1"/>
        <v>50000</v>
      </c>
      <c r="J7326" s="74">
        <f>IF(E7326="SERVICE",I7326-(I7326*50%),Vlookup(E7326,DATABASE!C:Q,10,false)*F7326)</f>
        <v>0</v>
      </c>
      <c r="K7326" s="74">
        <f>VLOOKUP(E7326,DATABASE!C:Q,7,false)</f>
        <v>10000</v>
      </c>
      <c r="L7326" s="74">
        <v>10000.0</v>
      </c>
      <c r="M7326" s="74">
        <f t="shared" si="2"/>
        <v>10000</v>
      </c>
      <c r="N7326" s="74">
        <f t="shared" si="3"/>
        <v>30000</v>
      </c>
      <c r="O7326" s="65" t="str">
        <f>VLOOKUP(E7326,DATABASE!C:Q,8,false)</f>
        <v>BIAN</v>
      </c>
      <c r="P7326" s="65">
        <f>VLOOKUP(E7326,DATABASE!C:Q,9,False)</f>
        <v>0</v>
      </c>
      <c r="Q7326" s="93" t="str">
        <f>VLOOKUP(E7326,DATABASE!C:Q,4,false)</f>
        <v>Balancing</v>
      </c>
      <c r="R7326" s="93" t="str">
        <f>VLOOKUP(E7326,DATABASE!C:Q,11,false)</f>
        <v>COMPLEMENTARY</v>
      </c>
    </row>
    <row r="7327" ht="22.5" customHeight="1">
      <c r="A7327" s="49"/>
      <c r="C7327" s="400">
        <v>46090.0</v>
      </c>
      <c r="D7327" s="524">
        <v>558.0</v>
      </c>
      <c r="E7327" s="544" t="s">
        <v>256</v>
      </c>
      <c r="F7327" s="387">
        <v>1.0</v>
      </c>
      <c r="G7327" s="140">
        <v>175000.0</v>
      </c>
      <c r="H7327" s="140">
        <v>25000.0</v>
      </c>
      <c r="I7327" s="74">
        <f t="shared" si="1"/>
        <v>150000</v>
      </c>
      <c r="J7327" s="74">
        <f>IF(E7327="SERVICE",I7327-(I7327*50%),Vlookup(E7327,DATABASE!C:Q,10,false)*F7327)</f>
        <v>10000</v>
      </c>
      <c r="K7327" s="74">
        <f>VLOOKUP(E7327,DATABASE!C:Q,7,false)</f>
        <v>0</v>
      </c>
      <c r="L7327" s="74">
        <v>0.0</v>
      </c>
      <c r="M7327" s="74">
        <f t="shared" si="2"/>
        <v>0</v>
      </c>
      <c r="N7327" s="74">
        <f t="shared" si="3"/>
        <v>140000</v>
      </c>
      <c r="O7327" s="65" t="str">
        <f>VLOOKUP(E7327,DATABASE!C:Q,8,false)</f>
        <v>IBU</v>
      </c>
      <c r="P7327" s="65">
        <f>VLOOKUP(E7327,DATABASE!C:Q,9,False)</f>
        <v>0</v>
      </c>
      <c r="Q7327" s="93" t="str">
        <f>VLOOKUP(E7327,DATABASE!C:Q,4,false)</f>
        <v>SPOORING</v>
      </c>
      <c r="R7327" s="93" t="str">
        <f>VLOOKUP(E7327,DATABASE!C:Q,11,false)</f>
        <v>SERVICE</v>
      </c>
    </row>
    <row r="7328" ht="22.5" customHeight="1">
      <c r="A7328" s="49"/>
      <c r="C7328" s="400">
        <v>46090.0</v>
      </c>
      <c r="D7328" s="524">
        <v>558.0</v>
      </c>
      <c r="E7328" s="544" t="s">
        <v>251</v>
      </c>
      <c r="F7328" s="387">
        <v>1.0</v>
      </c>
      <c r="G7328" s="140">
        <v>350000.0</v>
      </c>
      <c r="H7328" s="140">
        <v>200000.0</v>
      </c>
      <c r="I7328" s="74">
        <f t="shared" si="1"/>
        <v>150000</v>
      </c>
      <c r="J7328" s="74">
        <f>IF(E7328="SERVICE",I7328-(I7328*50%),Vlookup(E7328,DATABASE!C:Q,10,false)*F7328)</f>
        <v>75000</v>
      </c>
      <c r="K7328" s="74">
        <f>VLOOKUP(E7328,DATABASE!C:Q,7,false)</f>
        <v>0</v>
      </c>
      <c r="L7328" s="74">
        <v>0.0</v>
      </c>
      <c r="M7328" s="74">
        <f t="shared" si="2"/>
        <v>0</v>
      </c>
      <c r="N7328" s="74">
        <f t="shared" si="3"/>
        <v>75000</v>
      </c>
      <c r="O7328" s="65" t="str">
        <f>VLOOKUP(E7328,DATABASE!C:Q,8,false)</f>
        <v>IBU</v>
      </c>
      <c r="P7328" s="65">
        <f>VLOOKUP(E7328,DATABASE!C:Q,9,False)</f>
        <v>0</v>
      </c>
      <c r="Q7328" s="93" t="str">
        <f>VLOOKUP(E7328,DATABASE!C:Q,4,false)</f>
        <v>SERVICE</v>
      </c>
      <c r="R7328" s="93" t="str">
        <f>VLOOKUP(E7328,DATABASE!C:Q,11,false)</f>
        <v>SERVICE</v>
      </c>
    </row>
    <row r="7329" ht="22.5" customHeight="1">
      <c r="A7329" s="49"/>
      <c r="C7329" s="400">
        <v>46090.0</v>
      </c>
      <c r="D7329" s="524">
        <v>559.0</v>
      </c>
      <c r="E7329" s="544" t="s">
        <v>268</v>
      </c>
      <c r="F7329" s="387">
        <v>2.0</v>
      </c>
      <c r="G7329" s="140">
        <v>710000.0</v>
      </c>
      <c r="H7329" s="140">
        <v>10000.0</v>
      </c>
      <c r="I7329" s="74">
        <f t="shared" si="1"/>
        <v>1400000</v>
      </c>
      <c r="J7329" s="74">
        <f>IF(E7329="SERVICE",I7329-(I7329*50%),Vlookup(E7329,DATABASE!C:Q,10,false)*F7329)</f>
        <v>0</v>
      </c>
      <c r="K7329" s="74">
        <f>VLOOKUP(E7329,DATABASE!C:Q,7,false)</f>
        <v>653000</v>
      </c>
      <c r="L7329" s="74">
        <v>622000.0</v>
      </c>
      <c r="M7329" s="74">
        <f t="shared" si="2"/>
        <v>625000</v>
      </c>
      <c r="N7329" s="74">
        <f t="shared" si="3"/>
        <v>150000</v>
      </c>
      <c r="O7329" s="65" t="str">
        <f>VLOOKUP(E7329,DATABASE!C:Q,8,false)</f>
        <v>IBU</v>
      </c>
      <c r="P7329" s="65">
        <f>VLOOKUP(E7329,DATABASE!C:Q,9,False)</f>
        <v>1</v>
      </c>
      <c r="Q7329" s="93" t="str">
        <f>VLOOKUP(E7329,DATABASE!C:Q,4,false)</f>
        <v>Dunlop</v>
      </c>
      <c r="R7329" s="93" t="str">
        <f>VLOOKUP(E7329,DATABASE!C:Q,11,false)</f>
        <v>Tire</v>
      </c>
    </row>
    <row r="7330" ht="22.5" customHeight="1">
      <c r="A7330" s="49"/>
      <c r="C7330" s="400">
        <v>46090.0</v>
      </c>
      <c r="D7330" s="524">
        <v>560.0</v>
      </c>
      <c r="E7330" s="544" t="s">
        <v>581</v>
      </c>
      <c r="F7330" s="387">
        <v>2.0</v>
      </c>
      <c r="G7330" s="140">
        <v>670000.0</v>
      </c>
      <c r="H7330" s="140">
        <v>45000.0</v>
      </c>
      <c r="I7330" s="74">
        <f t="shared" si="1"/>
        <v>1250000</v>
      </c>
      <c r="J7330" s="74">
        <f>IF(E7330="SERVICE",I7330-(I7330*50%),Vlookup(E7330,DATABASE!C:Q,10,false)*F7330)</f>
        <v>0</v>
      </c>
      <c r="K7330" s="74">
        <f>VLOOKUP(E7330,DATABASE!C:Q,7,false)</f>
        <v>542528</v>
      </c>
      <c r="L7330" s="74">
        <v>531715.5</v>
      </c>
      <c r="M7330" s="74">
        <f t="shared" si="2"/>
        <v>535000</v>
      </c>
      <c r="N7330" s="74">
        <f t="shared" si="3"/>
        <v>180000</v>
      </c>
      <c r="O7330" s="65" t="str">
        <f>VLOOKUP(E7330,DATABASE!C:Q,8,false)</f>
        <v>IBU</v>
      </c>
      <c r="P7330" s="65">
        <f>VLOOKUP(E7330,DATABASE!C:Q,9,False)</f>
        <v>1</v>
      </c>
      <c r="Q7330" s="93" t="str">
        <f>VLOOKUP(E7330,DATABASE!C:Q,4,false)</f>
        <v>Bridgestone</v>
      </c>
      <c r="R7330" s="93" t="str">
        <f>VLOOKUP(E7330,DATABASE!C:Q,11,false)</f>
        <v>Tire</v>
      </c>
    </row>
    <row r="7331" ht="22.5" customHeight="1">
      <c r="A7331" s="49"/>
      <c r="C7331" s="400">
        <v>46090.0</v>
      </c>
      <c r="D7331" s="524">
        <v>561.0</v>
      </c>
      <c r="E7331" s="544" t="s">
        <v>256</v>
      </c>
      <c r="F7331" s="387">
        <v>1.0</v>
      </c>
      <c r="G7331" s="140">
        <v>175000.0</v>
      </c>
      <c r="H7331" s="140">
        <v>25000.0</v>
      </c>
      <c r="I7331" s="74">
        <f t="shared" si="1"/>
        <v>150000</v>
      </c>
      <c r="J7331" s="74">
        <f>IF(E7331="SERVICE",I7331-(I7331*50%),Vlookup(E7331,DATABASE!C:Q,10,false)*F7331)</f>
        <v>10000</v>
      </c>
      <c r="K7331" s="74">
        <f>VLOOKUP(E7331,DATABASE!C:Q,7,false)</f>
        <v>0</v>
      </c>
      <c r="L7331" s="74">
        <v>0.0</v>
      </c>
      <c r="M7331" s="74">
        <f t="shared" si="2"/>
        <v>0</v>
      </c>
      <c r="N7331" s="74">
        <f t="shared" si="3"/>
        <v>140000</v>
      </c>
      <c r="O7331" s="65" t="str">
        <f>VLOOKUP(E7331,DATABASE!C:Q,8,false)</f>
        <v>IBU</v>
      </c>
      <c r="P7331" s="65">
        <f>VLOOKUP(E7331,DATABASE!C:Q,9,False)</f>
        <v>0</v>
      </c>
      <c r="Q7331" s="93" t="str">
        <f>VLOOKUP(E7331,DATABASE!C:Q,4,false)</f>
        <v>SPOORING</v>
      </c>
      <c r="R7331" s="93" t="str">
        <f>VLOOKUP(E7331,DATABASE!C:Q,11,false)</f>
        <v>SERVICE</v>
      </c>
    </row>
    <row r="7332" ht="22.5" customHeight="1">
      <c r="A7332" s="49"/>
      <c r="C7332" s="400">
        <v>46090.0</v>
      </c>
      <c r="D7332" s="524">
        <v>561.0</v>
      </c>
      <c r="E7332" s="544" t="s">
        <v>299</v>
      </c>
      <c r="F7332" s="387">
        <v>2.0</v>
      </c>
      <c r="G7332" s="140">
        <v>30000.0</v>
      </c>
      <c r="H7332" s="140">
        <v>5000.0</v>
      </c>
      <c r="I7332" s="74">
        <f t="shared" si="1"/>
        <v>50000</v>
      </c>
      <c r="J7332" s="74">
        <f>IF(E7332="SERVICE",I7332-(I7332*50%),Vlookup(E7332,DATABASE!C:Q,10,false)*F7332)</f>
        <v>0</v>
      </c>
      <c r="K7332" s="74">
        <f>VLOOKUP(E7332,DATABASE!C:Q,7,false)</f>
        <v>10000</v>
      </c>
      <c r="L7332" s="74">
        <v>10000.0</v>
      </c>
      <c r="M7332" s="74">
        <f t="shared" si="2"/>
        <v>10000</v>
      </c>
      <c r="N7332" s="74">
        <f t="shared" si="3"/>
        <v>30000</v>
      </c>
      <c r="O7332" s="65" t="str">
        <f>VLOOKUP(E7332,DATABASE!C:Q,8,false)</f>
        <v>BIAN</v>
      </c>
      <c r="P7332" s="65">
        <f>VLOOKUP(E7332,DATABASE!C:Q,9,False)</f>
        <v>0</v>
      </c>
      <c r="Q7332" s="93" t="str">
        <f>VLOOKUP(E7332,DATABASE!C:Q,4,false)</f>
        <v>Balancing</v>
      </c>
      <c r="R7332" s="93" t="str">
        <f>VLOOKUP(E7332,DATABASE!C:Q,11,false)</f>
        <v>COMPLEMENTARY</v>
      </c>
    </row>
    <row r="7333" ht="22.5" customHeight="1">
      <c r="A7333" s="49"/>
      <c r="C7333" s="400">
        <v>46090.0</v>
      </c>
      <c r="D7333" s="524">
        <v>562.0</v>
      </c>
      <c r="E7333" s="544" t="s">
        <v>299</v>
      </c>
      <c r="F7333" s="387">
        <v>2.0</v>
      </c>
      <c r="G7333" s="140">
        <v>30000.0</v>
      </c>
      <c r="H7333" s="74"/>
      <c r="I7333" s="74">
        <f t="shared" si="1"/>
        <v>60000</v>
      </c>
      <c r="J7333" s="74">
        <f>IF(E7333="SERVICE",I7333-(I7333*50%),Vlookup(E7333,DATABASE!C:Q,10,false)*F7333)</f>
        <v>0</v>
      </c>
      <c r="K7333" s="74">
        <f>VLOOKUP(E7333,DATABASE!C:Q,7,false)</f>
        <v>10000</v>
      </c>
      <c r="L7333" s="74">
        <v>10000.0</v>
      </c>
      <c r="M7333" s="74">
        <f t="shared" si="2"/>
        <v>10000</v>
      </c>
      <c r="N7333" s="74">
        <f t="shared" si="3"/>
        <v>40000</v>
      </c>
      <c r="O7333" s="65" t="str">
        <f>VLOOKUP(E7333,DATABASE!C:Q,8,false)</f>
        <v>BIAN</v>
      </c>
      <c r="P7333" s="65">
        <f>VLOOKUP(E7333,DATABASE!C:Q,9,False)</f>
        <v>0</v>
      </c>
      <c r="Q7333" s="93" t="str">
        <f>VLOOKUP(E7333,DATABASE!C:Q,4,false)</f>
        <v>Balancing</v>
      </c>
      <c r="R7333" s="93" t="str">
        <f>VLOOKUP(E7333,DATABASE!C:Q,11,false)</f>
        <v>COMPLEMENTARY</v>
      </c>
    </row>
    <row r="7334" ht="22.5" customHeight="1">
      <c r="A7334" s="49"/>
      <c r="C7334" s="400">
        <v>46090.0</v>
      </c>
      <c r="D7334" s="524">
        <v>562.0</v>
      </c>
      <c r="E7334" s="544" t="s">
        <v>262</v>
      </c>
      <c r="F7334" s="387">
        <v>1.0</v>
      </c>
      <c r="G7334" s="140">
        <v>130000.0</v>
      </c>
      <c r="H7334" s="74"/>
      <c r="I7334" s="74">
        <f t="shared" si="1"/>
        <v>130000</v>
      </c>
      <c r="J7334" s="74">
        <f>IF(E7334="SERVICE",I7334-(I7334*50%),Vlookup(E7334,DATABASE!C:Q,10,false)*F7334)</f>
        <v>5000</v>
      </c>
      <c r="K7334" s="74">
        <f>VLOOKUP(E7334,DATABASE!C:Q,7,false)</f>
        <v>0</v>
      </c>
      <c r="L7334" s="74">
        <v>0.0</v>
      </c>
      <c r="M7334" s="74">
        <f t="shared" si="2"/>
        <v>0</v>
      </c>
      <c r="N7334" s="74">
        <f t="shared" si="3"/>
        <v>125000</v>
      </c>
      <c r="O7334" s="65" t="str">
        <f>VLOOKUP(E7334,DATABASE!C:Q,8,false)</f>
        <v>IBU</v>
      </c>
      <c r="P7334" s="65">
        <f>VLOOKUP(E7334,DATABASE!C:Q,9,False)</f>
        <v>0</v>
      </c>
      <c r="Q7334" s="93" t="str">
        <f>VLOOKUP(E7334,DATABASE!C:Q,4,false)</f>
        <v>SPOORING SS/CARRY LOS BAK</v>
      </c>
      <c r="R7334" s="93" t="str">
        <f>VLOOKUP(E7334,DATABASE!C:Q,11,false)</f>
        <v>SERVICE</v>
      </c>
    </row>
    <row r="7335" ht="22.5" customHeight="1">
      <c r="A7335" s="49"/>
      <c r="C7335" s="400">
        <v>46090.0</v>
      </c>
      <c r="D7335" s="524">
        <v>562.0</v>
      </c>
      <c r="E7335" s="544" t="s">
        <v>251</v>
      </c>
      <c r="F7335" s="387">
        <v>1.0</v>
      </c>
      <c r="G7335" s="140">
        <v>350000.0</v>
      </c>
      <c r="H7335" s="140">
        <v>230000.0</v>
      </c>
      <c r="I7335" s="74">
        <f t="shared" si="1"/>
        <v>120000</v>
      </c>
      <c r="J7335" s="74">
        <f>IF(E7335="SERVICE",I7335-(I7335*50%),Vlookup(E7335,DATABASE!C:Q,10,false)*F7335)</f>
        <v>60000</v>
      </c>
      <c r="K7335" s="74">
        <f>VLOOKUP(E7335,DATABASE!C:Q,7,false)</f>
        <v>0</v>
      </c>
      <c r="L7335" s="74">
        <v>0.0</v>
      </c>
      <c r="M7335" s="74">
        <f t="shared" si="2"/>
        <v>0</v>
      </c>
      <c r="N7335" s="74">
        <f t="shared" si="3"/>
        <v>60000</v>
      </c>
      <c r="O7335" s="65" t="str">
        <f>VLOOKUP(E7335,DATABASE!C:Q,8,false)</f>
        <v>IBU</v>
      </c>
      <c r="P7335" s="65">
        <f>VLOOKUP(E7335,DATABASE!C:Q,9,False)</f>
        <v>0</v>
      </c>
      <c r="Q7335" s="93" t="str">
        <f>VLOOKUP(E7335,DATABASE!C:Q,4,false)</f>
        <v>SERVICE</v>
      </c>
      <c r="R7335" s="93" t="str">
        <f>VLOOKUP(E7335,DATABASE!C:Q,11,false)</f>
        <v>SERVICE</v>
      </c>
    </row>
    <row r="7336" ht="22.5" customHeight="1">
      <c r="A7336" s="49"/>
      <c r="C7336" s="400">
        <v>46090.0</v>
      </c>
      <c r="D7336" s="524">
        <v>563.0</v>
      </c>
      <c r="E7336" s="544" t="s">
        <v>290</v>
      </c>
      <c r="F7336" s="387">
        <v>1.0</v>
      </c>
      <c r="G7336" s="140">
        <v>720000.0</v>
      </c>
      <c r="H7336" s="74"/>
      <c r="I7336" s="74">
        <f t="shared" si="1"/>
        <v>720000</v>
      </c>
      <c r="J7336" s="74">
        <f>IF(E7336="SERVICE",I7336-(I7336*50%),Vlookup(E7336,DATABASE!C:Q,10,false)*F7336)</f>
        <v>0</v>
      </c>
      <c r="K7336" s="74">
        <f>VLOOKUP(E7336,DATABASE!C:Q,7,false)</f>
        <v>628100</v>
      </c>
      <c r="L7336" s="74">
        <v>609804.0</v>
      </c>
      <c r="M7336" s="74">
        <f t="shared" si="2"/>
        <v>610000</v>
      </c>
      <c r="N7336" s="74">
        <f t="shared" si="3"/>
        <v>110000</v>
      </c>
      <c r="O7336" s="65" t="str">
        <f>VLOOKUP(E7336,DATABASE!C:Q,8,false)</f>
        <v>BIAN</v>
      </c>
      <c r="P7336" s="65">
        <f>VLOOKUP(E7336,DATABASE!C:Q,9,False)</f>
        <v>1</v>
      </c>
      <c r="Q7336" s="93" t="str">
        <f>VLOOKUP(E7336,DATABASE!C:Q,4,false)</f>
        <v>GT</v>
      </c>
      <c r="R7336" s="93" t="str">
        <f>VLOOKUP(E7336,DATABASE!C:Q,11,false)</f>
        <v>Tire</v>
      </c>
    </row>
    <row r="7337" ht="22.5" customHeight="1">
      <c r="A7337" s="49"/>
      <c r="C7337" s="400">
        <v>46090.0</v>
      </c>
      <c r="D7337" s="524">
        <v>564.0</v>
      </c>
      <c r="E7337" s="544" t="s">
        <v>1940</v>
      </c>
      <c r="F7337" s="387">
        <v>2.0</v>
      </c>
      <c r="G7337" s="140">
        <v>820000.0</v>
      </c>
      <c r="H7337" s="74"/>
      <c r="I7337" s="74">
        <f t="shared" si="1"/>
        <v>1640000</v>
      </c>
      <c r="J7337" s="74">
        <f>IF(E7337="SERVICE",I7337-(I7337*50%),Vlookup(E7337,DATABASE!C:Q,10,false)*F7337)</f>
        <v>0</v>
      </c>
      <c r="K7337" s="74">
        <f>VLOOKUP(E7337,DATABASE!C:Q,7,false)</f>
        <v>775500</v>
      </c>
      <c r="L7337" s="74">
        <v>716900.0</v>
      </c>
      <c r="M7337" s="74">
        <f t="shared" si="2"/>
        <v>720000</v>
      </c>
      <c r="N7337" s="74">
        <f t="shared" si="3"/>
        <v>200000</v>
      </c>
      <c r="O7337" s="65" t="str">
        <f>VLOOKUP(E7337,DATABASE!C:Q,8,false)</f>
        <v>BIAN</v>
      </c>
      <c r="P7337" s="65">
        <f>VLOOKUP(E7337,DATABASE!C:Q,9,False)</f>
        <v>1</v>
      </c>
      <c r="Q7337" s="93" t="str">
        <f>VLOOKUP(E7337,DATABASE!C:Q,4,false)</f>
        <v>GT</v>
      </c>
      <c r="R7337" s="93" t="str">
        <f>VLOOKUP(E7337,DATABASE!C:Q,11,false)</f>
        <v>Tire</v>
      </c>
    </row>
    <row r="7338" ht="22.5" customHeight="1">
      <c r="A7338" s="49"/>
      <c r="C7338" s="400">
        <v>46090.0</v>
      </c>
      <c r="D7338" s="524">
        <v>565.0</v>
      </c>
      <c r="E7338" s="544" t="s">
        <v>1009</v>
      </c>
      <c r="F7338" s="387">
        <v>1.0</v>
      </c>
      <c r="G7338" s="140">
        <v>700000.0</v>
      </c>
      <c r="H7338" s="140">
        <v>15000.0</v>
      </c>
      <c r="I7338" s="74">
        <f t="shared" si="1"/>
        <v>685000</v>
      </c>
      <c r="J7338" s="74">
        <f>IF(E7338="SERVICE",I7338-(I7338*50%),Vlookup(E7338,DATABASE!C:Q,10,false)*F7338)</f>
        <v>0</v>
      </c>
      <c r="K7338" s="74">
        <f>VLOOKUP(E7338,DATABASE!C:Q,7,false)</f>
        <v>609800</v>
      </c>
      <c r="L7338" s="74">
        <v>592200.0</v>
      </c>
      <c r="M7338" s="74">
        <f t="shared" si="2"/>
        <v>595000</v>
      </c>
      <c r="N7338" s="74">
        <f t="shared" si="3"/>
        <v>90000</v>
      </c>
      <c r="O7338" s="65" t="str">
        <f>VLOOKUP(E7338,DATABASE!C:Q,8,false)</f>
        <v>BIAN</v>
      </c>
      <c r="P7338" s="65">
        <f>VLOOKUP(E7338,DATABASE!C:Q,9,False)</f>
        <v>1</v>
      </c>
      <c r="Q7338" s="93" t="str">
        <f>VLOOKUP(E7338,DATABASE!C:Q,4,false)</f>
        <v>GT</v>
      </c>
      <c r="R7338" s="93" t="str">
        <f>VLOOKUP(E7338,DATABASE!C:Q,11,false)</f>
        <v>Tire</v>
      </c>
    </row>
    <row r="7339" ht="22.5" customHeight="1">
      <c r="A7339" s="49"/>
      <c r="C7339" s="400">
        <v>46090.0</v>
      </c>
      <c r="D7339" s="524">
        <v>565.0</v>
      </c>
      <c r="E7339" s="544" t="s">
        <v>246</v>
      </c>
      <c r="F7339" s="387">
        <v>2.0</v>
      </c>
      <c r="G7339" s="140">
        <v>35000.0</v>
      </c>
      <c r="H7339" s="140">
        <v>10000.0</v>
      </c>
      <c r="I7339" s="74">
        <f t="shared" si="1"/>
        <v>50000</v>
      </c>
      <c r="J7339" s="74">
        <f>IF(E7339="SERVICE",I7339-(I7339*50%),Vlookup(E7339,DATABASE!C:Q,10,false)*F7339)</f>
        <v>0</v>
      </c>
      <c r="K7339" s="74">
        <f>VLOOKUP(E7339,DATABASE!C:Q,7,false)</f>
        <v>0</v>
      </c>
      <c r="L7339" s="74">
        <v>0.0</v>
      </c>
      <c r="M7339" s="74">
        <f t="shared" si="2"/>
        <v>0</v>
      </c>
      <c r="N7339" s="74">
        <f t="shared" si="3"/>
        <v>50000</v>
      </c>
      <c r="O7339" s="65" t="str">
        <f>VLOOKUP(E7339,DATABASE!C:Q,8,false)</f>
        <v>IBU</v>
      </c>
      <c r="P7339" s="65">
        <f>VLOOKUP(E7339,DATABASE!C:Q,9,False)</f>
        <v>0</v>
      </c>
      <c r="Q7339" s="93" t="str">
        <f>VLOOKUP(E7339,DATABASE!C:Q,4,false)</f>
        <v>Bongkar Pasang</v>
      </c>
      <c r="R7339" s="93" t="str">
        <f>VLOOKUP(E7339,DATABASE!C:Q,11,false)</f>
        <v>SERVICE</v>
      </c>
    </row>
    <row r="7340" ht="22.5" customHeight="1">
      <c r="A7340" s="49"/>
      <c r="C7340" s="400">
        <v>46090.0</v>
      </c>
      <c r="D7340" s="524">
        <v>566.0</v>
      </c>
      <c r="E7340" s="544" t="s">
        <v>256</v>
      </c>
      <c r="F7340" s="387">
        <v>1.0</v>
      </c>
      <c r="G7340" s="140">
        <v>175000.0</v>
      </c>
      <c r="H7340" s="140">
        <v>25000.0</v>
      </c>
      <c r="I7340" s="74">
        <f t="shared" si="1"/>
        <v>150000</v>
      </c>
      <c r="J7340" s="74">
        <f>IF(E7340="SERVICE",I7340-(I7340*50%),Vlookup(E7340,DATABASE!C:Q,10,false)*F7340)</f>
        <v>10000</v>
      </c>
      <c r="K7340" s="74">
        <f>VLOOKUP(E7340,DATABASE!C:Q,7,false)</f>
        <v>0</v>
      </c>
      <c r="L7340" s="74">
        <v>0.0</v>
      </c>
      <c r="M7340" s="74">
        <f t="shared" si="2"/>
        <v>0</v>
      </c>
      <c r="N7340" s="74">
        <f t="shared" si="3"/>
        <v>140000</v>
      </c>
      <c r="O7340" s="65" t="str">
        <f>VLOOKUP(E7340,DATABASE!C:Q,8,false)</f>
        <v>IBU</v>
      </c>
      <c r="P7340" s="65">
        <f>VLOOKUP(E7340,DATABASE!C:Q,9,False)</f>
        <v>0</v>
      </c>
      <c r="Q7340" s="93" t="str">
        <f>VLOOKUP(E7340,DATABASE!C:Q,4,false)</f>
        <v>SPOORING</v>
      </c>
      <c r="R7340" s="93" t="str">
        <f>VLOOKUP(E7340,DATABASE!C:Q,11,false)</f>
        <v>SERVICE</v>
      </c>
    </row>
    <row r="7341" ht="22.5" customHeight="1">
      <c r="A7341" s="49"/>
      <c r="C7341" s="400">
        <v>46090.0</v>
      </c>
      <c r="D7341" s="524">
        <v>566.0</v>
      </c>
      <c r="E7341" s="544" t="s">
        <v>301</v>
      </c>
      <c r="F7341" s="387">
        <v>1.0</v>
      </c>
      <c r="G7341" s="140">
        <v>250000.0</v>
      </c>
      <c r="H7341" s="74"/>
      <c r="I7341" s="74">
        <f t="shared" si="1"/>
        <v>250000</v>
      </c>
      <c r="J7341" s="74">
        <f>IF(E7341="SERVICE",I7341-(I7341*50%),Vlookup(E7341,DATABASE!C:Q,10,false)*F7341)</f>
        <v>75000</v>
      </c>
      <c r="K7341" s="74">
        <f>VLOOKUP(E7341,DATABASE!C:Q,7,false)</f>
        <v>75000</v>
      </c>
      <c r="L7341" s="74">
        <v>75000.0</v>
      </c>
      <c r="M7341" s="74">
        <f t="shared" si="2"/>
        <v>75000</v>
      </c>
      <c r="N7341" s="74">
        <f t="shared" si="3"/>
        <v>100000</v>
      </c>
      <c r="O7341" s="65" t="str">
        <f>VLOOKUP(E7341,DATABASE!C:Q,8,false)</f>
        <v>BIAN</v>
      </c>
      <c r="P7341" s="65">
        <f>VLOOKUP(E7341,DATABASE!C:Q,9,False)</f>
        <v>0</v>
      </c>
      <c r="Q7341" s="93" t="str">
        <f>VLOOKUP(E7341,DATABASE!C:Q,4,false)</f>
        <v>Baut Camber</v>
      </c>
      <c r="R7341" s="93" t="str">
        <f>VLOOKUP(E7341,DATABASE!C:Q,11,false)</f>
        <v>COMPLEMENTARY</v>
      </c>
    </row>
    <row r="7342" ht="22.5" customHeight="1">
      <c r="A7342" s="49"/>
      <c r="C7342" s="400">
        <v>46090.0</v>
      </c>
      <c r="D7342" s="69" t="s">
        <v>2728</v>
      </c>
      <c r="E7342" s="544" t="s">
        <v>263</v>
      </c>
      <c r="F7342" s="387">
        <v>1.0</v>
      </c>
      <c r="G7342" s="140">
        <v>320000.0</v>
      </c>
      <c r="H7342" s="74"/>
      <c r="I7342" s="74">
        <f t="shared" si="1"/>
        <v>320000</v>
      </c>
      <c r="J7342" s="74">
        <f>IF(E7342="SERVICE",I7342-(I7342*50%),Vlookup(E7342,DATABASE!C:Q,10,false)*F7342)</f>
        <v>0</v>
      </c>
      <c r="K7342" s="74">
        <f>VLOOKUP(E7342,DATABASE!C:Q,7,false)</f>
        <v>334916</v>
      </c>
      <c r="L7342" s="74">
        <v>287688.0</v>
      </c>
      <c r="M7342" s="74">
        <f t="shared" si="2"/>
        <v>290000</v>
      </c>
      <c r="N7342" s="74">
        <f t="shared" si="3"/>
        <v>30000</v>
      </c>
      <c r="O7342" s="65" t="str">
        <f>VLOOKUP(E7342,DATABASE!C:Q,8,false)</f>
        <v>NON</v>
      </c>
      <c r="P7342" s="65">
        <f>VLOOKUP(E7342,DATABASE!C:Q,9,False)</f>
        <v>0</v>
      </c>
      <c r="Q7342" s="93" t="str">
        <f>VLOOKUP(E7342,DATABASE!C:Q,4,false)</f>
        <v>Shell</v>
      </c>
      <c r="R7342" s="93" t="str">
        <f>VLOOKUP(E7342,DATABASE!C:Q,11,false)</f>
        <v>OIL</v>
      </c>
    </row>
    <row r="7343" ht="22.5" customHeight="1">
      <c r="A7343" s="49"/>
      <c r="C7343" s="400">
        <v>46090.0</v>
      </c>
      <c r="D7343" s="69" t="s">
        <v>2728</v>
      </c>
      <c r="E7343" s="544" t="s">
        <v>298</v>
      </c>
      <c r="F7343" s="387">
        <v>1.0</v>
      </c>
      <c r="G7343" s="140">
        <v>25000.0</v>
      </c>
      <c r="H7343" s="74"/>
      <c r="I7343" s="74">
        <f t="shared" si="1"/>
        <v>25000</v>
      </c>
      <c r="J7343" s="74">
        <f>IF(E7343="SERVICE",I7343-(I7343*50%),Vlookup(E7343,DATABASE!C:Q,10,false)*F7343)</f>
        <v>0</v>
      </c>
      <c r="K7343" s="74">
        <f>VLOOKUP(E7343,DATABASE!C:Q,7,false)</f>
        <v>19200</v>
      </c>
      <c r="L7343" s="74">
        <v>19200.0</v>
      </c>
      <c r="M7343" s="74">
        <f t="shared" si="2"/>
        <v>20000</v>
      </c>
      <c r="N7343" s="74">
        <f t="shared" si="3"/>
        <v>5000</v>
      </c>
      <c r="O7343" s="65" t="str">
        <f>VLOOKUP(E7343,DATABASE!C:Q,8,false)</f>
        <v>BIAN</v>
      </c>
      <c r="P7343" s="65">
        <f>VLOOKUP(E7343,DATABASE!C:Q,9,False)</f>
        <v>0</v>
      </c>
      <c r="Q7343" s="93" t="str">
        <f>VLOOKUP(E7343,DATABASE!C:Q,4,false)</f>
        <v>Aspira</v>
      </c>
      <c r="R7343" s="93" t="str">
        <f>VLOOKUP(E7343,DATABASE!C:Q,11,false)</f>
        <v>COMPLEMENTARY</v>
      </c>
    </row>
    <row r="7344" ht="22.5" customHeight="1">
      <c r="A7344" s="49"/>
      <c r="C7344" s="400">
        <v>46090.0</v>
      </c>
      <c r="D7344" s="69" t="s">
        <v>2729</v>
      </c>
      <c r="E7344" s="544" t="s">
        <v>2191</v>
      </c>
      <c r="F7344" s="387">
        <v>1.0</v>
      </c>
      <c r="G7344" s="140">
        <v>400000.0</v>
      </c>
      <c r="H7344" s="74"/>
      <c r="I7344" s="74">
        <f t="shared" si="1"/>
        <v>400000</v>
      </c>
      <c r="J7344" s="74">
        <f>IF(E7344="SERVICE",I7344-(I7344*50%),Vlookup(E7344,DATABASE!C:Q,10,false)*F7344)</f>
        <v>0</v>
      </c>
      <c r="K7344" s="74">
        <f>VLOOKUP(E7344,DATABASE!C:Q,7,false)</f>
        <v>422900</v>
      </c>
      <c r="L7344" s="74">
        <v>377951.0</v>
      </c>
      <c r="M7344" s="74">
        <f t="shared" si="2"/>
        <v>380000</v>
      </c>
      <c r="N7344" s="74">
        <f t="shared" si="3"/>
        <v>20000</v>
      </c>
      <c r="O7344" s="65" t="str">
        <f>VLOOKUP(E7344,DATABASE!C:Q,8,false)</f>
        <v>NON</v>
      </c>
      <c r="P7344" s="65">
        <f>VLOOKUP(E7344,DATABASE!C:Q,9,False)</f>
        <v>0</v>
      </c>
      <c r="Q7344" s="93" t="str">
        <f>VLOOKUP(E7344,DATABASE!C:Q,4,false)</f>
        <v>Shell</v>
      </c>
      <c r="R7344" s="93" t="str">
        <f>VLOOKUP(E7344,DATABASE!C:Q,11,false)</f>
        <v>OIL</v>
      </c>
    </row>
    <row r="7345" ht="22.5" customHeight="1">
      <c r="A7345" s="49"/>
      <c r="C7345" s="400">
        <v>46090.0</v>
      </c>
      <c r="D7345" s="69" t="s">
        <v>2729</v>
      </c>
      <c r="E7345" s="544" t="s">
        <v>298</v>
      </c>
      <c r="F7345" s="387">
        <v>1.0</v>
      </c>
      <c r="G7345" s="140">
        <v>25000.0</v>
      </c>
      <c r="H7345" s="74"/>
      <c r="I7345" s="74">
        <f t="shared" si="1"/>
        <v>25000</v>
      </c>
      <c r="J7345" s="74">
        <f>IF(E7345="SERVICE",I7345-(I7345*50%),Vlookup(E7345,DATABASE!C:Q,10,false)*F7345)</f>
        <v>0</v>
      </c>
      <c r="K7345" s="74">
        <f>VLOOKUP(E7345,DATABASE!C:Q,7,false)</f>
        <v>19200</v>
      </c>
      <c r="L7345" s="74">
        <v>19200.0</v>
      </c>
      <c r="M7345" s="74">
        <f t="shared" si="2"/>
        <v>20000</v>
      </c>
      <c r="N7345" s="74">
        <f t="shared" si="3"/>
        <v>5000</v>
      </c>
      <c r="O7345" s="65" t="str">
        <f>VLOOKUP(E7345,DATABASE!C:Q,8,false)</f>
        <v>BIAN</v>
      </c>
      <c r="P7345" s="65">
        <f>VLOOKUP(E7345,DATABASE!C:Q,9,False)</f>
        <v>0</v>
      </c>
      <c r="Q7345" s="93" t="str">
        <f>VLOOKUP(E7345,DATABASE!C:Q,4,false)</f>
        <v>Aspira</v>
      </c>
      <c r="R7345" s="93" t="str">
        <f>VLOOKUP(E7345,DATABASE!C:Q,11,false)</f>
        <v>COMPLEMENTARY</v>
      </c>
    </row>
    <row r="7346" ht="22.5" customHeight="1">
      <c r="A7346" s="49"/>
      <c r="C7346" s="400">
        <v>46091.0</v>
      </c>
      <c r="D7346" s="524">
        <v>567.0</v>
      </c>
      <c r="E7346" s="544" t="s">
        <v>878</v>
      </c>
      <c r="F7346" s="387">
        <v>1.0</v>
      </c>
      <c r="G7346" s="140">
        <v>50000.0</v>
      </c>
      <c r="H7346" s="140">
        <v>10000.0</v>
      </c>
      <c r="I7346" s="74">
        <f t="shared" si="1"/>
        <v>40000</v>
      </c>
      <c r="J7346" s="74">
        <f>IF(E7346="SERVICE",I7346-(I7346*50%),Vlookup(E7346,DATABASE!C:Q,10,false)*F7346)</f>
        <v>0</v>
      </c>
      <c r="K7346" s="74">
        <f>VLOOKUP(E7346,DATABASE!C:Q,7,false)</f>
        <v>0</v>
      </c>
      <c r="L7346" s="74">
        <v>0.0</v>
      </c>
      <c r="M7346" s="74">
        <f t="shared" si="2"/>
        <v>0</v>
      </c>
      <c r="N7346" s="74">
        <f t="shared" si="3"/>
        <v>40000</v>
      </c>
      <c r="O7346" s="65" t="str">
        <f>VLOOKUP(E7346,DATABASE!C:Q,8,false)</f>
        <v>IBU</v>
      </c>
      <c r="P7346" s="65">
        <f>VLOOKUP(E7346,DATABASE!C:Q,9,False)</f>
        <v>0</v>
      </c>
      <c r="Q7346" s="93" t="str">
        <f>VLOOKUP(E7346,DATABASE!C:Q,4,false)</f>
        <v>Bongkar Pasang 17</v>
      </c>
      <c r="R7346" s="93" t="str">
        <f>VLOOKUP(E7346,DATABASE!C:Q,11,false)</f>
        <v>SERVICE</v>
      </c>
    </row>
    <row r="7347" ht="22.5" customHeight="1">
      <c r="A7347" s="49"/>
      <c r="C7347" s="400">
        <v>46091.0</v>
      </c>
      <c r="D7347" s="524">
        <v>569.0</v>
      </c>
      <c r="E7347" s="544" t="s">
        <v>286</v>
      </c>
      <c r="F7347" s="387">
        <v>5.0</v>
      </c>
      <c r="G7347" s="140">
        <v>560000.0</v>
      </c>
      <c r="H7347" s="140">
        <v>10000.0</v>
      </c>
      <c r="I7347" s="74">
        <f t="shared" si="1"/>
        <v>2750000</v>
      </c>
      <c r="J7347" s="74">
        <f>IF(E7347="SERVICE",I7347-(I7347*50%),Vlookup(E7347,DATABASE!C:Q,10,false)*F7347)</f>
        <v>0</v>
      </c>
      <c r="K7347" s="74">
        <f>VLOOKUP(E7347,DATABASE!C:Q,7,false)</f>
        <v>488320</v>
      </c>
      <c r="L7347" s="74">
        <v>452970.0</v>
      </c>
      <c r="M7347" s="74">
        <f t="shared" si="2"/>
        <v>455000</v>
      </c>
      <c r="N7347" s="74">
        <f t="shared" si="3"/>
        <v>475000</v>
      </c>
      <c r="O7347" s="65" t="str">
        <f>VLOOKUP(E7347,DATABASE!C:Q,8,false)</f>
        <v>BIAN</v>
      </c>
      <c r="P7347" s="65">
        <f>VLOOKUP(E7347,DATABASE!C:Q,9,False)</f>
        <v>1</v>
      </c>
      <c r="Q7347" s="93" t="str">
        <f>VLOOKUP(E7347,DATABASE!C:Q,4,false)</f>
        <v>GT</v>
      </c>
      <c r="R7347" s="93" t="str">
        <f>VLOOKUP(E7347,DATABASE!C:Q,11,false)</f>
        <v>Tire</v>
      </c>
    </row>
    <row r="7348" ht="22.5" customHeight="1">
      <c r="A7348" s="49"/>
      <c r="C7348" s="400">
        <v>46091.0</v>
      </c>
      <c r="D7348" s="524">
        <v>569.0</v>
      </c>
      <c r="E7348" s="544" t="s">
        <v>1867</v>
      </c>
      <c r="F7348" s="387">
        <v>1.0</v>
      </c>
      <c r="G7348" s="140">
        <v>650000.0</v>
      </c>
      <c r="H7348" s="140">
        <v>10000.0</v>
      </c>
      <c r="I7348" s="74">
        <f t="shared" si="1"/>
        <v>640000</v>
      </c>
      <c r="J7348" s="74">
        <f>IF(E7348="SERVICE",I7348-(I7348*50%),Vlookup(E7348,DATABASE!C:Q,10,false)*F7348)</f>
        <v>0</v>
      </c>
      <c r="K7348" s="74">
        <f>VLOOKUP(E7348,DATABASE!C:Q,7,false)</f>
        <v>575200</v>
      </c>
      <c r="L7348" s="74">
        <v>558200.0</v>
      </c>
      <c r="M7348" s="74">
        <f t="shared" si="2"/>
        <v>560000</v>
      </c>
      <c r="N7348" s="74">
        <f t="shared" si="3"/>
        <v>80000</v>
      </c>
      <c r="O7348" s="65" t="str">
        <f>VLOOKUP(E7348,DATABASE!C:Q,8,false)</f>
        <v>BIAN</v>
      </c>
      <c r="P7348" s="65">
        <f>VLOOKUP(E7348,DATABASE!C:Q,9,False)</f>
        <v>1</v>
      </c>
      <c r="Q7348" s="93" t="str">
        <f>VLOOKUP(E7348,DATABASE!C:Q,4,false)</f>
        <v>GT</v>
      </c>
      <c r="R7348" s="93" t="str">
        <f>VLOOKUP(E7348,DATABASE!C:Q,11,false)</f>
        <v>Tire</v>
      </c>
    </row>
    <row r="7349" ht="22.5" customHeight="1">
      <c r="A7349" s="49"/>
      <c r="C7349" s="400">
        <v>46091.0</v>
      </c>
      <c r="D7349" s="524">
        <v>570.0</v>
      </c>
      <c r="E7349" s="544" t="s">
        <v>275</v>
      </c>
      <c r="F7349" s="387">
        <v>1.0</v>
      </c>
      <c r="G7349" s="140">
        <v>830000.0</v>
      </c>
      <c r="H7349" s="74"/>
      <c r="I7349" s="74">
        <f t="shared" si="1"/>
        <v>830000</v>
      </c>
      <c r="J7349" s="74">
        <f>IF(E7349="SERVICE",I7349-(I7349*50%),Vlookup(E7349,DATABASE!C:Q,10,false)*F7349)</f>
        <v>0</v>
      </c>
      <c r="K7349" s="74">
        <f>VLOOKUP(E7349,DATABASE!C:Q,7,false)</f>
        <v>782000</v>
      </c>
      <c r="L7349" s="74">
        <v>745000.0</v>
      </c>
      <c r="M7349" s="74">
        <f t="shared" si="2"/>
        <v>745000</v>
      </c>
      <c r="N7349" s="74">
        <f t="shared" si="3"/>
        <v>85000</v>
      </c>
      <c r="O7349" s="69" t="s">
        <v>1329</v>
      </c>
      <c r="P7349" s="69">
        <v>0.0</v>
      </c>
      <c r="Q7349" s="93" t="str">
        <f>VLOOKUP(E7349,DATABASE!C:Q,4,false)</f>
        <v>Dunlop</v>
      </c>
      <c r="R7349" s="93" t="str">
        <f>VLOOKUP(E7349,DATABASE!C:Q,11,false)</f>
        <v>Tire</v>
      </c>
    </row>
    <row r="7350" ht="22.5" customHeight="1">
      <c r="A7350" s="49"/>
      <c r="C7350" s="400">
        <v>46091.0</v>
      </c>
      <c r="D7350" s="524">
        <v>571.0</v>
      </c>
      <c r="E7350" s="544" t="s">
        <v>591</v>
      </c>
      <c r="F7350" s="387">
        <v>1.0</v>
      </c>
      <c r="G7350" s="140">
        <v>700000.0</v>
      </c>
      <c r="H7350" s="74"/>
      <c r="I7350" s="74">
        <f t="shared" si="1"/>
        <v>700000</v>
      </c>
      <c r="J7350" s="74">
        <f>IF(E7350="SERVICE",I7350-(I7350*50%),Vlookup(E7350,DATABASE!C:Q,10,false)*F7350)</f>
        <v>0</v>
      </c>
      <c r="K7350" s="74">
        <f>VLOOKUP(E7350,DATABASE!C:Q,7,false)</f>
        <v>633035.16</v>
      </c>
      <c r="L7350" s="74">
        <v>609844.4</v>
      </c>
      <c r="M7350" s="74">
        <f t="shared" si="2"/>
        <v>610000</v>
      </c>
      <c r="N7350" s="74">
        <f t="shared" si="3"/>
        <v>90000</v>
      </c>
      <c r="O7350" s="65" t="str">
        <f>VLOOKUP(E7350,DATABASE!C:Q,8,false)</f>
        <v>IBU</v>
      </c>
      <c r="P7350" s="65">
        <f>VLOOKUP(E7350,DATABASE!C:Q,9,False)</f>
        <v>1</v>
      </c>
      <c r="Q7350" s="93" t="str">
        <f>VLOOKUP(E7350,DATABASE!C:Q,4,false)</f>
        <v>Bridgestone</v>
      </c>
      <c r="R7350" s="93" t="str">
        <f>VLOOKUP(E7350,DATABASE!C:Q,11,false)</f>
        <v>Tire</v>
      </c>
    </row>
    <row r="7351" ht="22.5" customHeight="1">
      <c r="A7351" s="49"/>
      <c r="C7351" s="400">
        <v>46091.0</v>
      </c>
      <c r="D7351" s="524">
        <v>572.0</v>
      </c>
      <c r="E7351" s="544" t="s">
        <v>569</v>
      </c>
      <c r="F7351" s="387">
        <v>1.0</v>
      </c>
      <c r="G7351" s="140">
        <v>80000.0</v>
      </c>
      <c r="H7351" s="74"/>
      <c r="I7351" s="74">
        <f t="shared" si="1"/>
        <v>80000</v>
      </c>
      <c r="J7351" s="74">
        <f>IF(E7351="SERVICE",I7351-(I7351*50%),Vlookup(E7351,DATABASE!C:Q,10,false)*F7351)</f>
        <v>0</v>
      </c>
      <c r="K7351" s="74">
        <f>VLOOKUP(E7351,DATABASE!C:Q,7,false)</f>
        <v>45439.582</v>
      </c>
      <c r="L7351" s="74">
        <v>45309.6</v>
      </c>
      <c r="M7351" s="74">
        <f t="shared" si="2"/>
        <v>50000</v>
      </c>
      <c r="N7351" s="74">
        <f t="shared" si="3"/>
        <v>30000</v>
      </c>
      <c r="O7351" s="65" t="str">
        <f>VLOOKUP(E7351,DATABASE!C:Q,8,false)</f>
        <v>BIAN</v>
      </c>
      <c r="P7351" s="65">
        <f>VLOOKUP(E7351,DATABASE!C:Q,9,False)</f>
        <v>1</v>
      </c>
      <c r="Q7351" s="93" t="str">
        <f>VLOOKUP(E7351,DATABASE!C:Q,4,false)</f>
        <v>BD</v>
      </c>
      <c r="R7351" s="93" t="str">
        <f>VLOOKUP(E7351,DATABASE!C:Q,11,false)</f>
        <v>Tire</v>
      </c>
    </row>
    <row r="7352" ht="22.5" customHeight="1">
      <c r="A7352" s="49"/>
      <c r="C7352" s="400">
        <v>46091.0</v>
      </c>
      <c r="D7352" s="524">
        <v>573.0</v>
      </c>
      <c r="E7352" s="544" t="s">
        <v>290</v>
      </c>
      <c r="F7352" s="387">
        <v>2.0</v>
      </c>
      <c r="G7352" s="140">
        <v>720000.0</v>
      </c>
      <c r="H7352" s="74"/>
      <c r="I7352" s="74">
        <f t="shared" si="1"/>
        <v>1440000</v>
      </c>
      <c r="J7352" s="74">
        <f>IF(E7352="SERVICE",I7352-(I7352*50%),Vlookup(E7352,DATABASE!C:Q,10,false)*F7352)</f>
        <v>0</v>
      </c>
      <c r="K7352" s="74">
        <f>VLOOKUP(E7352,DATABASE!C:Q,7,false)</f>
        <v>628100</v>
      </c>
      <c r="L7352" s="74">
        <v>609804.0</v>
      </c>
      <c r="M7352" s="74">
        <f t="shared" si="2"/>
        <v>610000</v>
      </c>
      <c r="N7352" s="74">
        <f t="shared" si="3"/>
        <v>220000</v>
      </c>
      <c r="O7352" s="65" t="str">
        <f>VLOOKUP(E7352,DATABASE!C:Q,8,false)</f>
        <v>BIAN</v>
      </c>
      <c r="P7352" s="65">
        <f>VLOOKUP(E7352,DATABASE!C:Q,9,False)</f>
        <v>1</v>
      </c>
      <c r="Q7352" s="93" t="str">
        <f>VLOOKUP(E7352,DATABASE!C:Q,4,false)</f>
        <v>GT</v>
      </c>
      <c r="R7352" s="93" t="str">
        <f>VLOOKUP(E7352,DATABASE!C:Q,11,false)</f>
        <v>Tire</v>
      </c>
    </row>
    <row r="7353" ht="22.5" customHeight="1">
      <c r="A7353" s="49"/>
      <c r="C7353" s="400">
        <v>46091.0</v>
      </c>
      <c r="D7353" s="524">
        <v>574.0</v>
      </c>
      <c r="E7353" s="544" t="s">
        <v>290</v>
      </c>
      <c r="F7353" s="387">
        <v>1.0</v>
      </c>
      <c r="G7353" s="140">
        <v>720000.0</v>
      </c>
      <c r="H7353" s="74"/>
      <c r="I7353" s="74">
        <f t="shared" si="1"/>
        <v>720000</v>
      </c>
      <c r="J7353" s="74">
        <f>IF(E7353="SERVICE",I7353-(I7353*50%),Vlookup(E7353,DATABASE!C:Q,10,false)*F7353)</f>
        <v>0</v>
      </c>
      <c r="K7353" s="74">
        <f>VLOOKUP(E7353,DATABASE!C:Q,7,false)</f>
        <v>628100</v>
      </c>
      <c r="L7353" s="74">
        <v>609804.0</v>
      </c>
      <c r="M7353" s="74">
        <f t="shared" si="2"/>
        <v>610000</v>
      </c>
      <c r="N7353" s="74">
        <f t="shared" si="3"/>
        <v>110000</v>
      </c>
      <c r="O7353" s="65" t="str">
        <f>VLOOKUP(E7353,DATABASE!C:Q,8,false)</f>
        <v>BIAN</v>
      </c>
      <c r="P7353" s="65">
        <f>VLOOKUP(E7353,DATABASE!C:Q,9,False)</f>
        <v>1</v>
      </c>
      <c r="Q7353" s="93" t="str">
        <f>VLOOKUP(E7353,DATABASE!C:Q,4,false)</f>
        <v>GT</v>
      </c>
      <c r="R7353" s="93" t="str">
        <f>VLOOKUP(E7353,DATABASE!C:Q,11,false)</f>
        <v>Tire</v>
      </c>
    </row>
    <row r="7354" ht="22.5" customHeight="1">
      <c r="A7354" s="49"/>
      <c r="C7354" s="400">
        <v>46091.0</v>
      </c>
      <c r="D7354" s="524">
        <v>575.0</v>
      </c>
      <c r="E7354" s="544" t="s">
        <v>290</v>
      </c>
      <c r="F7354" s="387">
        <v>1.0</v>
      </c>
      <c r="G7354" s="140">
        <v>720000.0</v>
      </c>
      <c r="H7354" s="140">
        <v>10000.0</v>
      </c>
      <c r="I7354" s="74">
        <f t="shared" si="1"/>
        <v>710000</v>
      </c>
      <c r="J7354" s="74">
        <f>IF(E7354="SERVICE",I7354-(I7354*50%),Vlookup(E7354,DATABASE!C:Q,10,false)*F7354)</f>
        <v>0</v>
      </c>
      <c r="K7354" s="74">
        <f>VLOOKUP(E7354,DATABASE!C:Q,7,false)</f>
        <v>628100</v>
      </c>
      <c r="L7354" s="74">
        <v>609804.0</v>
      </c>
      <c r="M7354" s="74">
        <f t="shared" si="2"/>
        <v>610000</v>
      </c>
      <c r="N7354" s="74">
        <f t="shared" si="3"/>
        <v>100000</v>
      </c>
      <c r="O7354" s="65" t="str">
        <f>VLOOKUP(E7354,DATABASE!C:Q,8,false)</f>
        <v>BIAN</v>
      </c>
      <c r="P7354" s="65">
        <f>VLOOKUP(E7354,DATABASE!C:Q,9,False)</f>
        <v>1</v>
      </c>
      <c r="Q7354" s="93" t="str">
        <f>VLOOKUP(E7354,DATABASE!C:Q,4,false)</f>
        <v>GT</v>
      </c>
      <c r="R7354" s="93" t="str">
        <f>VLOOKUP(E7354,DATABASE!C:Q,11,false)</f>
        <v>Tire</v>
      </c>
    </row>
    <row r="7355" ht="22.5" customHeight="1">
      <c r="A7355" s="49"/>
      <c r="C7355" s="400">
        <v>46091.0</v>
      </c>
      <c r="D7355" s="524">
        <v>576.0</v>
      </c>
      <c r="E7355" s="544" t="s">
        <v>262</v>
      </c>
      <c r="F7355" s="387">
        <v>1.0</v>
      </c>
      <c r="G7355" s="140">
        <v>130000.0</v>
      </c>
      <c r="H7355" s="74"/>
      <c r="I7355" s="74">
        <f t="shared" si="1"/>
        <v>130000</v>
      </c>
      <c r="J7355" s="74">
        <f>IF(E7355="SERVICE",I7355-(I7355*50%),Vlookup(E7355,DATABASE!C:Q,10,false)*F7355)</f>
        <v>5000</v>
      </c>
      <c r="K7355" s="74">
        <f>VLOOKUP(E7355,DATABASE!C:Q,7,false)</f>
        <v>0</v>
      </c>
      <c r="L7355" s="74">
        <v>0.0</v>
      </c>
      <c r="M7355" s="74">
        <f t="shared" si="2"/>
        <v>0</v>
      </c>
      <c r="N7355" s="74">
        <f t="shared" si="3"/>
        <v>125000</v>
      </c>
      <c r="O7355" s="65" t="str">
        <f>VLOOKUP(E7355,DATABASE!C:Q,8,false)</f>
        <v>IBU</v>
      </c>
      <c r="P7355" s="65">
        <f>VLOOKUP(E7355,DATABASE!C:Q,9,False)</f>
        <v>0</v>
      </c>
      <c r="Q7355" s="93" t="str">
        <f>VLOOKUP(E7355,DATABASE!C:Q,4,false)</f>
        <v>SPOORING SS/CARRY LOS BAK</v>
      </c>
      <c r="R7355" s="93" t="str">
        <f>VLOOKUP(E7355,DATABASE!C:Q,11,false)</f>
        <v>SERVICE</v>
      </c>
    </row>
    <row r="7356" ht="22.5" customHeight="1">
      <c r="A7356" s="49"/>
      <c r="C7356" s="400">
        <v>46091.0</v>
      </c>
      <c r="D7356" s="524">
        <v>576.0</v>
      </c>
      <c r="E7356" s="544" t="s">
        <v>251</v>
      </c>
      <c r="F7356" s="387">
        <v>1.0</v>
      </c>
      <c r="G7356" s="140">
        <v>350000.0</v>
      </c>
      <c r="H7356" s="140">
        <v>200000.0</v>
      </c>
      <c r="I7356" s="74">
        <f t="shared" si="1"/>
        <v>150000</v>
      </c>
      <c r="J7356" s="74">
        <f>IF(E7356="SERVICE",I7356-(I7356*50%),Vlookup(E7356,DATABASE!C:Q,10,false)*F7356)</f>
        <v>75000</v>
      </c>
      <c r="K7356" s="74">
        <f>VLOOKUP(E7356,DATABASE!C:Q,7,false)</f>
        <v>0</v>
      </c>
      <c r="L7356" s="74">
        <v>0.0</v>
      </c>
      <c r="M7356" s="74">
        <f t="shared" si="2"/>
        <v>0</v>
      </c>
      <c r="N7356" s="74">
        <f t="shared" si="3"/>
        <v>75000</v>
      </c>
      <c r="O7356" s="65" t="str">
        <f>VLOOKUP(E7356,DATABASE!C:Q,8,false)</f>
        <v>IBU</v>
      </c>
      <c r="P7356" s="65">
        <f>VLOOKUP(E7356,DATABASE!C:Q,9,False)</f>
        <v>0</v>
      </c>
      <c r="Q7356" s="93" t="str">
        <f>VLOOKUP(E7356,DATABASE!C:Q,4,false)</f>
        <v>SERVICE</v>
      </c>
      <c r="R7356" s="93" t="str">
        <f>VLOOKUP(E7356,DATABASE!C:Q,11,false)</f>
        <v>SERVICE</v>
      </c>
    </row>
    <row r="7357" ht="22.5" customHeight="1">
      <c r="A7357" s="49"/>
      <c r="C7357" s="400">
        <v>46091.0</v>
      </c>
      <c r="D7357" s="69">
        <v>577.0</v>
      </c>
      <c r="E7357" s="544" t="s">
        <v>268</v>
      </c>
      <c r="F7357" s="387">
        <v>2.0</v>
      </c>
      <c r="G7357" s="140">
        <v>710000.0</v>
      </c>
      <c r="H7357" s="74"/>
      <c r="I7357" s="74">
        <f t="shared" si="1"/>
        <v>1420000</v>
      </c>
      <c r="J7357" s="74">
        <f>IF(E7357="SERVICE",I7357-(I7357*50%),Vlookup(E7357,DATABASE!C:Q,10,false)*F7357)</f>
        <v>0</v>
      </c>
      <c r="K7357" s="74">
        <f>VLOOKUP(E7357,DATABASE!C:Q,7,false)</f>
        <v>653000</v>
      </c>
      <c r="L7357" s="74">
        <v>622000.0</v>
      </c>
      <c r="M7357" s="74">
        <f t="shared" si="2"/>
        <v>625000</v>
      </c>
      <c r="N7357" s="74">
        <f t="shared" si="3"/>
        <v>170000</v>
      </c>
      <c r="O7357" s="65" t="str">
        <f>VLOOKUP(E7357,DATABASE!C:Q,8,false)</f>
        <v>IBU</v>
      </c>
      <c r="P7357" s="65">
        <f>VLOOKUP(E7357,DATABASE!C:Q,9,False)</f>
        <v>1</v>
      </c>
      <c r="Q7357" s="93" t="str">
        <f>VLOOKUP(E7357,DATABASE!C:Q,4,false)</f>
        <v>Dunlop</v>
      </c>
      <c r="R7357" s="93" t="str">
        <f>VLOOKUP(E7357,DATABASE!C:Q,11,false)</f>
        <v>Tire</v>
      </c>
    </row>
    <row r="7358" ht="22.5" customHeight="1">
      <c r="A7358" s="49"/>
      <c r="C7358" s="400">
        <v>46091.0</v>
      </c>
      <c r="D7358" s="524">
        <v>578.0</v>
      </c>
      <c r="E7358" s="544" t="s">
        <v>268</v>
      </c>
      <c r="F7358" s="387">
        <v>1.0</v>
      </c>
      <c r="G7358" s="140">
        <v>710000.0</v>
      </c>
      <c r="H7358" s="74"/>
      <c r="I7358" s="74">
        <f t="shared" si="1"/>
        <v>710000</v>
      </c>
      <c r="J7358" s="74">
        <f>IF(E7358="SERVICE",I7358-(I7358*50%),Vlookup(E7358,DATABASE!C:Q,10,false)*F7358)</f>
        <v>0</v>
      </c>
      <c r="K7358" s="74">
        <f>VLOOKUP(E7358,DATABASE!C:Q,7,false)</f>
        <v>653000</v>
      </c>
      <c r="L7358" s="74">
        <v>622000.0</v>
      </c>
      <c r="M7358" s="74">
        <f t="shared" si="2"/>
        <v>625000</v>
      </c>
      <c r="N7358" s="74">
        <f t="shared" si="3"/>
        <v>85000</v>
      </c>
      <c r="O7358" s="65" t="str">
        <f>VLOOKUP(E7358,DATABASE!C:Q,8,false)</f>
        <v>IBU</v>
      </c>
      <c r="P7358" s="65">
        <f>VLOOKUP(E7358,DATABASE!C:Q,9,False)</f>
        <v>1</v>
      </c>
      <c r="Q7358" s="93" t="str">
        <f>VLOOKUP(E7358,DATABASE!C:Q,4,false)</f>
        <v>Dunlop</v>
      </c>
      <c r="R7358" s="93" t="str">
        <f>VLOOKUP(E7358,DATABASE!C:Q,11,false)</f>
        <v>Tire</v>
      </c>
    </row>
    <row r="7359" ht="22.5" customHeight="1">
      <c r="A7359" s="49"/>
      <c r="C7359" s="400">
        <v>46091.0</v>
      </c>
      <c r="D7359" s="524">
        <v>579.0</v>
      </c>
      <c r="E7359" s="544" t="s">
        <v>1940</v>
      </c>
      <c r="F7359" s="387">
        <v>1.0</v>
      </c>
      <c r="G7359" s="140">
        <v>820000.0</v>
      </c>
      <c r="H7359" s="74"/>
      <c r="I7359" s="74">
        <f t="shared" si="1"/>
        <v>820000</v>
      </c>
      <c r="J7359" s="74">
        <f>IF(E7359="SERVICE",I7359-(I7359*50%),Vlookup(E7359,DATABASE!C:Q,10,false)*F7359)</f>
        <v>0</v>
      </c>
      <c r="K7359" s="74">
        <f>VLOOKUP(E7359,DATABASE!C:Q,7,false)</f>
        <v>775500</v>
      </c>
      <c r="L7359" s="74">
        <v>716900.0</v>
      </c>
      <c r="M7359" s="74">
        <f t="shared" si="2"/>
        <v>720000</v>
      </c>
      <c r="N7359" s="74">
        <f t="shared" si="3"/>
        <v>100000</v>
      </c>
      <c r="O7359" s="65" t="str">
        <f>VLOOKUP(E7359,DATABASE!C:Q,8,false)</f>
        <v>BIAN</v>
      </c>
      <c r="P7359" s="65">
        <f>VLOOKUP(E7359,DATABASE!C:Q,9,False)</f>
        <v>1</v>
      </c>
      <c r="Q7359" s="93" t="str">
        <f>VLOOKUP(E7359,DATABASE!C:Q,4,false)</f>
        <v>GT</v>
      </c>
      <c r="R7359" s="93" t="str">
        <f>VLOOKUP(E7359,DATABASE!C:Q,11,false)</f>
        <v>Tire</v>
      </c>
    </row>
    <row r="7360" ht="22.5" customHeight="1">
      <c r="A7360" s="49"/>
      <c r="C7360" s="400">
        <v>46091.0</v>
      </c>
      <c r="D7360" s="524">
        <v>580.0</v>
      </c>
      <c r="E7360" s="544" t="s">
        <v>262</v>
      </c>
      <c r="F7360" s="387">
        <v>1.0</v>
      </c>
      <c r="G7360" s="140">
        <v>130000.0</v>
      </c>
      <c r="H7360" s="74"/>
      <c r="I7360" s="74">
        <f t="shared" si="1"/>
        <v>130000</v>
      </c>
      <c r="J7360" s="74">
        <f>IF(E7360="SERVICE",I7360-(I7360*50%),Vlookup(E7360,DATABASE!C:Q,10,false)*F7360)</f>
        <v>5000</v>
      </c>
      <c r="K7360" s="74">
        <f>VLOOKUP(E7360,DATABASE!C:Q,7,false)</f>
        <v>0</v>
      </c>
      <c r="L7360" s="74">
        <v>0.0</v>
      </c>
      <c r="M7360" s="74">
        <f t="shared" si="2"/>
        <v>0</v>
      </c>
      <c r="N7360" s="74">
        <f t="shared" si="3"/>
        <v>125000</v>
      </c>
      <c r="O7360" s="65" t="str">
        <f>VLOOKUP(E7360,DATABASE!C:Q,8,false)</f>
        <v>IBU</v>
      </c>
      <c r="P7360" s="65">
        <f>VLOOKUP(E7360,DATABASE!C:Q,9,False)</f>
        <v>0</v>
      </c>
      <c r="Q7360" s="93" t="str">
        <f>VLOOKUP(E7360,DATABASE!C:Q,4,false)</f>
        <v>SPOORING SS/CARRY LOS BAK</v>
      </c>
      <c r="R7360" s="93" t="str">
        <f>VLOOKUP(E7360,DATABASE!C:Q,11,false)</f>
        <v>SERVICE</v>
      </c>
    </row>
    <row r="7361" ht="22.5" customHeight="1">
      <c r="A7361" s="49"/>
      <c r="C7361" s="400">
        <v>46091.0</v>
      </c>
      <c r="D7361" s="524">
        <v>580.0</v>
      </c>
      <c r="E7361" s="544" t="s">
        <v>299</v>
      </c>
      <c r="F7361" s="387">
        <v>2.0</v>
      </c>
      <c r="G7361" s="140">
        <v>30000.0</v>
      </c>
      <c r="H7361" s="74"/>
      <c r="I7361" s="74">
        <f t="shared" si="1"/>
        <v>60000</v>
      </c>
      <c r="J7361" s="74">
        <f>IF(E7361="SERVICE",I7361-(I7361*50%),Vlookup(E7361,DATABASE!C:Q,10,false)*F7361)</f>
        <v>0</v>
      </c>
      <c r="K7361" s="74">
        <f>VLOOKUP(E7361,DATABASE!C:Q,7,false)</f>
        <v>10000</v>
      </c>
      <c r="L7361" s="74">
        <v>10000.0</v>
      </c>
      <c r="M7361" s="74">
        <f t="shared" si="2"/>
        <v>10000</v>
      </c>
      <c r="N7361" s="74">
        <f t="shared" si="3"/>
        <v>40000</v>
      </c>
      <c r="O7361" s="65" t="str">
        <f>VLOOKUP(E7361,DATABASE!C:Q,8,false)</f>
        <v>BIAN</v>
      </c>
      <c r="P7361" s="65">
        <f>VLOOKUP(E7361,DATABASE!C:Q,9,False)</f>
        <v>0</v>
      </c>
      <c r="Q7361" s="93" t="str">
        <f>VLOOKUP(E7361,DATABASE!C:Q,4,false)</f>
        <v>Balancing</v>
      </c>
      <c r="R7361" s="93" t="str">
        <f>VLOOKUP(E7361,DATABASE!C:Q,11,false)</f>
        <v>COMPLEMENTARY</v>
      </c>
    </row>
    <row r="7362" ht="22.5" customHeight="1">
      <c r="A7362" s="49"/>
      <c r="C7362" s="400">
        <v>46091.0</v>
      </c>
      <c r="D7362" s="524">
        <v>581.0</v>
      </c>
      <c r="E7362" s="544" t="s">
        <v>1867</v>
      </c>
      <c r="F7362" s="387">
        <v>2.0</v>
      </c>
      <c r="G7362" s="140">
        <v>650000.0</v>
      </c>
      <c r="H7362" s="74"/>
      <c r="I7362" s="74">
        <f t="shared" si="1"/>
        <v>1300000</v>
      </c>
      <c r="J7362" s="74">
        <f>IF(E7362="SERVICE",I7362-(I7362*50%),Vlookup(E7362,DATABASE!C:Q,10,false)*F7362)</f>
        <v>0</v>
      </c>
      <c r="K7362" s="74">
        <f>VLOOKUP(E7362,DATABASE!C:Q,7,false)</f>
        <v>575200</v>
      </c>
      <c r="L7362" s="74">
        <v>558200.0</v>
      </c>
      <c r="M7362" s="74">
        <f t="shared" si="2"/>
        <v>560000</v>
      </c>
      <c r="N7362" s="74">
        <f t="shared" si="3"/>
        <v>180000</v>
      </c>
      <c r="O7362" s="65" t="str">
        <f>VLOOKUP(E7362,DATABASE!C:Q,8,false)</f>
        <v>BIAN</v>
      </c>
      <c r="P7362" s="65">
        <f>VLOOKUP(E7362,DATABASE!C:Q,9,False)</f>
        <v>1</v>
      </c>
      <c r="Q7362" s="93" t="str">
        <f>VLOOKUP(E7362,DATABASE!C:Q,4,false)</f>
        <v>GT</v>
      </c>
      <c r="R7362" s="93" t="str">
        <f>VLOOKUP(E7362,DATABASE!C:Q,11,false)</f>
        <v>Tire</v>
      </c>
    </row>
    <row r="7363" ht="22.5" customHeight="1">
      <c r="A7363" s="49"/>
      <c r="C7363" s="400">
        <v>46091.0</v>
      </c>
      <c r="D7363" s="524">
        <v>582.0</v>
      </c>
      <c r="E7363" s="544" t="s">
        <v>295</v>
      </c>
      <c r="F7363" s="387">
        <v>2.0</v>
      </c>
      <c r="G7363" s="140">
        <v>1525000.0</v>
      </c>
      <c r="H7363" s="140">
        <v>20000.0</v>
      </c>
      <c r="I7363" s="74">
        <f t="shared" si="1"/>
        <v>3010000</v>
      </c>
      <c r="J7363" s="74">
        <f>IF(E7363="SERVICE",I7363-(I7363*50%),Vlookup(E7363,DATABASE!C:Q,10,false)*F7363)</f>
        <v>0</v>
      </c>
      <c r="K7363" s="74">
        <f>VLOOKUP(E7363,DATABASE!C:Q,7,false)</f>
        <v>1475000</v>
      </c>
      <c r="L7363" s="74">
        <v>1425000.0</v>
      </c>
      <c r="M7363" s="74">
        <f t="shared" si="2"/>
        <v>1425000</v>
      </c>
      <c r="N7363" s="74">
        <f t="shared" si="3"/>
        <v>160000</v>
      </c>
      <c r="O7363" s="65" t="str">
        <f>VLOOKUP(E7363,DATABASE!C:Q,8,false)</f>
        <v>BIAN</v>
      </c>
      <c r="P7363" s="65">
        <f>VLOOKUP(E7363,DATABASE!C:Q,9,False)</f>
        <v>1</v>
      </c>
      <c r="Q7363" s="93" t="str">
        <f>VLOOKUP(E7363,DATABASE!C:Q,4,false)</f>
        <v>TIRON</v>
      </c>
      <c r="R7363" s="93" t="str">
        <f>VLOOKUP(E7363,DATABASE!C:Q,11,false)</f>
        <v>Tire</v>
      </c>
    </row>
    <row r="7364" ht="22.5" customHeight="1">
      <c r="A7364" s="49"/>
      <c r="C7364" s="400">
        <v>46091.0</v>
      </c>
      <c r="D7364" s="524">
        <v>583.0</v>
      </c>
      <c r="E7364" s="544" t="s">
        <v>256</v>
      </c>
      <c r="F7364" s="387">
        <v>1.0</v>
      </c>
      <c r="G7364" s="140">
        <v>175000.0</v>
      </c>
      <c r="H7364" s="140">
        <v>25000.0</v>
      </c>
      <c r="I7364" s="74">
        <f t="shared" si="1"/>
        <v>150000</v>
      </c>
      <c r="J7364" s="74">
        <f>IF(E7364="SERVICE",I7364-(I7364*50%),Vlookup(E7364,DATABASE!C:Q,10,false)*F7364)</f>
        <v>10000</v>
      </c>
      <c r="K7364" s="74">
        <f>VLOOKUP(E7364,DATABASE!C:Q,7,false)</f>
        <v>0</v>
      </c>
      <c r="L7364" s="74">
        <v>0.0</v>
      </c>
      <c r="M7364" s="74">
        <f t="shared" si="2"/>
        <v>0</v>
      </c>
      <c r="N7364" s="74">
        <f t="shared" si="3"/>
        <v>140000</v>
      </c>
      <c r="O7364" s="65" t="str">
        <f>VLOOKUP(E7364,DATABASE!C:Q,8,false)</f>
        <v>IBU</v>
      </c>
      <c r="P7364" s="65">
        <f>VLOOKUP(E7364,DATABASE!C:Q,9,False)</f>
        <v>0</v>
      </c>
      <c r="Q7364" s="93" t="str">
        <f>VLOOKUP(E7364,DATABASE!C:Q,4,false)</f>
        <v>SPOORING</v>
      </c>
      <c r="R7364" s="93" t="str">
        <f>VLOOKUP(E7364,DATABASE!C:Q,11,false)</f>
        <v>SERVICE</v>
      </c>
    </row>
    <row r="7365" ht="22.5" customHeight="1">
      <c r="A7365" s="49"/>
      <c r="C7365" s="400">
        <v>46091.0</v>
      </c>
      <c r="D7365" s="524">
        <v>583.0</v>
      </c>
      <c r="E7365" s="544" t="s">
        <v>251</v>
      </c>
      <c r="F7365" s="387">
        <v>1.0</v>
      </c>
      <c r="G7365" s="140">
        <v>350000.0</v>
      </c>
      <c r="H7365" s="140">
        <v>200000.0</v>
      </c>
      <c r="I7365" s="74">
        <f t="shared" si="1"/>
        <v>150000</v>
      </c>
      <c r="J7365" s="74">
        <f>IF(E7365="SERVICE",I7365-(I7365*50%),Vlookup(E7365,DATABASE!C:Q,10,false)*F7365)</f>
        <v>75000</v>
      </c>
      <c r="K7365" s="74">
        <f>VLOOKUP(E7365,DATABASE!C:Q,7,false)</f>
        <v>0</v>
      </c>
      <c r="L7365" s="74">
        <v>0.0</v>
      </c>
      <c r="M7365" s="74">
        <f t="shared" si="2"/>
        <v>0</v>
      </c>
      <c r="N7365" s="74">
        <f t="shared" si="3"/>
        <v>75000</v>
      </c>
      <c r="O7365" s="65" t="str">
        <f>VLOOKUP(E7365,DATABASE!C:Q,8,false)</f>
        <v>IBU</v>
      </c>
      <c r="P7365" s="65">
        <f>VLOOKUP(E7365,DATABASE!C:Q,9,False)</f>
        <v>0</v>
      </c>
      <c r="Q7365" s="93" t="str">
        <f>VLOOKUP(E7365,DATABASE!C:Q,4,false)</f>
        <v>SERVICE</v>
      </c>
      <c r="R7365" s="93" t="str">
        <f>VLOOKUP(E7365,DATABASE!C:Q,11,false)</f>
        <v>SERVICE</v>
      </c>
    </row>
    <row r="7366" ht="22.5" customHeight="1">
      <c r="A7366" s="49"/>
      <c r="C7366" s="400">
        <v>46091.0</v>
      </c>
      <c r="D7366" s="524">
        <v>584.0</v>
      </c>
      <c r="E7366" s="544" t="s">
        <v>937</v>
      </c>
      <c r="F7366" s="387">
        <v>2.0</v>
      </c>
      <c r="G7366" s="140">
        <v>910000.0</v>
      </c>
      <c r="H7366" s="74"/>
      <c r="I7366" s="74">
        <f t="shared" si="1"/>
        <v>1820000</v>
      </c>
      <c r="J7366" s="74">
        <f>IF(E7366="SERVICE",I7366-(I7366*50%),Vlookup(E7366,DATABASE!C:Q,10,false)*F7366)</f>
        <v>0</v>
      </c>
      <c r="K7366" s="74">
        <f>VLOOKUP(E7366,DATABASE!C:Q,7,false)</f>
        <v>825000</v>
      </c>
      <c r="L7366" s="74">
        <v>815000.0</v>
      </c>
      <c r="M7366" s="74">
        <f t="shared" si="2"/>
        <v>815000</v>
      </c>
      <c r="N7366" s="74">
        <f t="shared" si="3"/>
        <v>190000</v>
      </c>
      <c r="O7366" s="65" t="str">
        <f>VLOOKUP(E7366,DATABASE!C:Q,8,false)</f>
        <v>IBU</v>
      </c>
      <c r="P7366" s="65">
        <f>VLOOKUP(E7366,DATABASE!C:Q,9,False)</f>
        <v>1</v>
      </c>
      <c r="Q7366" s="93" t="str">
        <f>VLOOKUP(E7366,DATABASE!C:Q,4,false)</f>
        <v>Bridgestone</v>
      </c>
      <c r="R7366" s="93" t="str">
        <f>VLOOKUP(E7366,DATABASE!C:Q,11,false)</f>
        <v>Tire</v>
      </c>
    </row>
    <row r="7367" ht="22.5" customHeight="1">
      <c r="A7367" s="49"/>
      <c r="C7367" s="400">
        <v>46091.0</v>
      </c>
      <c r="D7367" s="524">
        <v>585.0</v>
      </c>
      <c r="E7367" s="544" t="s">
        <v>1704</v>
      </c>
      <c r="F7367" s="387">
        <v>1.0</v>
      </c>
      <c r="G7367" s="140">
        <v>820000.0</v>
      </c>
      <c r="H7367" s="140">
        <v>20000.0</v>
      </c>
      <c r="I7367" s="74">
        <f t="shared" si="1"/>
        <v>800000</v>
      </c>
      <c r="J7367" s="74">
        <f>IF(E7367="SERVICE",I7367-(I7367*50%),Vlookup(E7367,DATABASE!C:Q,10,false)*F7367)</f>
        <v>0</v>
      </c>
      <c r="K7367" s="74">
        <f>VLOOKUP(E7367,DATABASE!C:Q,7,false)</f>
        <v>787500</v>
      </c>
      <c r="L7367" s="74">
        <v>711900.0</v>
      </c>
      <c r="M7367" s="74">
        <f t="shared" si="2"/>
        <v>715000</v>
      </c>
      <c r="N7367" s="74">
        <f t="shared" si="3"/>
        <v>85000</v>
      </c>
      <c r="O7367" s="65" t="str">
        <f>VLOOKUP(E7367,DATABASE!C:Q,8,false)</f>
        <v>BIAN</v>
      </c>
      <c r="P7367" s="65">
        <f>VLOOKUP(E7367,DATABASE!C:Q,9,False)</f>
        <v>1</v>
      </c>
      <c r="Q7367" s="93" t="str">
        <f>VLOOKUP(E7367,DATABASE!C:Q,4,false)</f>
        <v>GT</v>
      </c>
      <c r="R7367" s="93" t="str">
        <f>VLOOKUP(E7367,DATABASE!C:Q,11,false)</f>
        <v>Tire</v>
      </c>
    </row>
    <row r="7368" ht="22.5" customHeight="1">
      <c r="A7368" s="49"/>
      <c r="C7368" s="400">
        <v>46091.0</v>
      </c>
      <c r="D7368" s="524">
        <v>586.0</v>
      </c>
      <c r="E7368" s="544" t="s">
        <v>256</v>
      </c>
      <c r="F7368" s="387">
        <v>1.0</v>
      </c>
      <c r="G7368" s="140">
        <v>175000.0</v>
      </c>
      <c r="H7368" s="140">
        <v>25000.0</v>
      </c>
      <c r="I7368" s="74">
        <f t="shared" si="1"/>
        <v>150000</v>
      </c>
      <c r="J7368" s="74">
        <f>IF(E7368="SERVICE",I7368-(I7368*50%),Vlookup(E7368,DATABASE!C:Q,10,false)*F7368)</f>
        <v>10000</v>
      </c>
      <c r="K7368" s="74">
        <f>VLOOKUP(E7368,DATABASE!C:Q,7,false)</f>
        <v>0</v>
      </c>
      <c r="L7368" s="74">
        <v>0.0</v>
      </c>
      <c r="M7368" s="74">
        <f t="shared" si="2"/>
        <v>0</v>
      </c>
      <c r="N7368" s="74">
        <f t="shared" si="3"/>
        <v>140000</v>
      </c>
      <c r="O7368" s="65" t="str">
        <f>VLOOKUP(E7368,DATABASE!C:Q,8,false)</f>
        <v>IBU</v>
      </c>
      <c r="P7368" s="65">
        <f>VLOOKUP(E7368,DATABASE!C:Q,9,False)</f>
        <v>0</v>
      </c>
      <c r="Q7368" s="93" t="str">
        <f>VLOOKUP(E7368,DATABASE!C:Q,4,false)</f>
        <v>SPOORING</v>
      </c>
      <c r="R7368" s="93" t="str">
        <f>VLOOKUP(E7368,DATABASE!C:Q,11,false)</f>
        <v>SERVICE</v>
      </c>
    </row>
    <row r="7369" ht="22.5" customHeight="1">
      <c r="A7369" s="49"/>
      <c r="C7369" s="400">
        <v>46091.0</v>
      </c>
      <c r="D7369" s="524">
        <v>586.0</v>
      </c>
      <c r="E7369" s="544" t="s">
        <v>251</v>
      </c>
      <c r="F7369" s="387">
        <v>1.0</v>
      </c>
      <c r="G7369" s="140">
        <v>350000.0</v>
      </c>
      <c r="H7369" s="140">
        <v>200000.0</v>
      </c>
      <c r="I7369" s="74">
        <f t="shared" si="1"/>
        <v>150000</v>
      </c>
      <c r="J7369" s="74">
        <f>IF(E7369="SERVICE",I7369-(I7369*50%),Vlookup(E7369,DATABASE!C:Q,10,false)*F7369)</f>
        <v>75000</v>
      </c>
      <c r="K7369" s="74">
        <f>VLOOKUP(E7369,DATABASE!C:Q,7,false)</f>
        <v>0</v>
      </c>
      <c r="L7369" s="74">
        <v>0.0</v>
      </c>
      <c r="M7369" s="74">
        <f t="shared" si="2"/>
        <v>0</v>
      </c>
      <c r="N7369" s="74">
        <f t="shared" si="3"/>
        <v>75000</v>
      </c>
      <c r="O7369" s="65" t="str">
        <f>VLOOKUP(E7369,DATABASE!C:Q,8,false)</f>
        <v>IBU</v>
      </c>
      <c r="P7369" s="65">
        <f>VLOOKUP(E7369,DATABASE!C:Q,9,False)</f>
        <v>0</v>
      </c>
      <c r="Q7369" s="93" t="str">
        <f>VLOOKUP(E7369,DATABASE!C:Q,4,false)</f>
        <v>SERVICE</v>
      </c>
      <c r="R7369" s="93" t="str">
        <f>VLOOKUP(E7369,DATABASE!C:Q,11,false)</f>
        <v>SERVICE</v>
      </c>
    </row>
    <row r="7370" ht="22.5" customHeight="1">
      <c r="A7370" s="49"/>
      <c r="C7370" s="400">
        <v>46091.0</v>
      </c>
      <c r="D7370" s="524">
        <v>587.0</v>
      </c>
      <c r="E7370" s="544" t="s">
        <v>613</v>
      </c>
      <c r="F7370" s="387">
        <v>1.0</v>
      </c>
      <c r="G7370" s="140">
        <v>95000.0</v>
      </c>
      <c r="H7370" s="74"/>
      <c r="I7370" s="74">
        <f t="shared" si="1"/>
        <v>95000</v>
      </c>
      <c r="J7370" s="74">
        <f>IF(E7370="SERVICE",I7370-(I7370*50%),Vlookup(E7370,DATABASE!C:Q,10,false)*F7370)</f>
        <v>0</v>
      </c>
      <c r="K7370" s="74">
        <f>VLOOKUP(E7370,DATABASE!C:Q,7,false)</f>
        <v>58371.2695</v>
      </c>
      <c r="L7370" s="74">
        <v>55000.0</v>
      </c>
      <c r="M7370" s="74">
        <f t="shared" si="2"/>
        <v>55000</v>
      </c>
      <c r="N7370" s="74">
        <f t="shared" si="3"/>
        <v>40000</v>
      </c>
      <c r="O7370" s="65" t="str">
        <f>VLOOKUP(E7370,DATABASE!C:Q,8,false)</f>
        <v>BIAN</v>
      </c>
      <c r="P7370" s="65">
        <f>VLOOKUP(E7370,DATABASE!C:Q,9,False)</f>
        <v>1</v>
      </c>
      <c r="Q7370" s="93" t="str">
        <f>VLOOKUP(E7370,DATABASE!C:Q,4,false)</f>
        <v>BD</v>
      </c>
      <c r="R7370" s="93" t="str">
        <f>VLOOKUP(E7370,DATABASE!C:Q,11,false)</f>
        <v>Tire</v>
      </c>
    </row>
    <row r="7371" ht="22.5" customHeight="1">
      <c r="A7371" s="49"/>
      <c r="C7371" s="400">
        <v>46091.0</v>
      </c>
      <c r="D7371" s="524">
        <v>588.0</v>
      </c>
      <c r="E7371" s="544" t="s">
        <v>262</v>
      </c>
      <c r="F7371" s="387">
        <v>1.0</v>
      </c>
      <c r="G7371" s="140">
        <v>130000.0</v>
      </c>
      <c r="H7371" s="74"/>
      <c r="I7371" s="74">
        <f t="shared" si="1"/>
        <v>130000</v>
      </c>
      <c r="J7371" s="74">
        <f>IF(E7371="SERVICE",I7371-(I7371*50%),Vlookup(E7371,DATABASE!C:Q,10,false)*F7371)</f>
        <v>5000</v>
      </c>
      <c r="K7371" s="74">
        <f>VLOOKUP(E7371,DATABASE!C:Q,7,false)</f>
        <v>0</v>
      </c>
      <c r="L7371" s="74">
        <v>0.0</v>
      </c>
      <c r="M7371" s="74">
        <f t="shared" si="2"/>
        <v>0</v>
      </c>
      <c r="N7371" s="74">
        <f t="shared" si="3"/>
        <v>125000</v>
      </c>
      <c r="O7371" s="65" t="str">
        <f>VLOOKUP(E7371,DATABASE!C:Q,8,false)</f>
        <v>IBU</v>
      </c>
      <c r="P7371" s="65">
        <f>VLOOKUP(E7371,DATABASE!C:Q,9,False)</f>
        <v>0</v>
      </c>
      <c r="Q7371" s="93" t="str">
        <f>VLOOKUP(E7371,DATABASE!C:Q,4,false)</f>
        <v>SPOORING SS/CARRY LOS BAK</v>
      </c>
      <c r="R7371" s="93" t="str">
        <f>VLOOKUP(E7371,DATABASE!C:Q,11,false)</f>
        <v>SERVICE</v>
      </c>
    </row>
    <row r="7372" ht="22.5" customHeight="1">
      <c r="A7372" s="49"/>
      <c r="C7372" s="400">
        <v>46091.0</v>
      </c>
      <c r="D7372" s="524">
        <v>589.0</v>
      </c>
      <c r="E7372" s="544" t="s">
        <v>924</v>
      </c>
      <c r="F7372" s="387">
        <v>1.0</v>
      </c>
      <c r="G7372" s="140">
        <v>1650000.0</v>
      </c>
      <c r="H7372" s="74"/>
      <c r="I7372" s="74">
        <f t="shared" si="1"/>
        <v>1650000</v>
      </c>
      <c r="J7372" s="74">
        <f>IF(E7372="SERVICE",I7372-(I7372*50%),Vlookup(E7372,DATABASE!C:Q,10,false)*F7372)</f>
        <v>0</v>
      </c>
      <c r="K7372" s="74">
        <f>VLOOKUP(E7372,DATABASE!C:Q,7,false)</f>
        <v>1560000</v>
      </c>
      <c r="L7372" s="74">
        <v>1545000.0</v>
      </c>
      <c r="M7372" s="74">
        <f t="shared" si="2"/>
        <v>1545000</v>
      </c>
      <c r="N7372" s="74">
        <f t="shared" si="3"/>
        <v>105000</v>
      </c>
      <c r="O7372" s="65" t="str">
        <f>VLOOKUP(E7372,DATABASE!C:Q,8,false)</f>
        <v>BIAN</v>
      </c>
      <c r="P7372" s="65">
        <f>VLOOKUP(E7372,DATABASE!C:Q,9,False)</f>
        <v>1</v>
      </c>
      <c r="Q7372" s="93" t="str">
        <f>VLOOKUP(E7372,DATABASE!C:Q,4,false)</f>
        <v>TIRON</v>
      </c>
      <c r="R7372" s="93" t="str">
        <f>VLOOKUP(E7372,DATABASE!C:Q,11,false)</f>
        <v>Tire</v>
      </c>
    </row>
    <row r="7373" ht="22.5" customHeight="1">
      <c r="A7373" s="49"/>
      <c r="C7373" s="400">
        <v>46091.0</v>
      </c>
      <c r="D7373" s="524">
        <v>591.0</v>
      </c>
      <c r="E7373" s="544" t="s">
        <v>613</v>
      </c>
      <c r="F7373" s="387">
        <v>1.0</v>
      </c>
      <c r="G7373" s="140">
        <v>95000.0</v>
      </c>
      <c r="H7373" s="74"/>
      <c r="I7373" s="74">
        <f t="shared" si="1"/>
        <v>95000</v>
      </c>
      <c r="J7373" s="74">
        <f>IF(E7373="SERVICE",I7373-(I7373*50%),Vlookup(E7373,DATABASE!C:Q,10,false)*F7373)</f>
        <v>0</v>
      </c>
      <c r="K7373" s="74">
        <f>VLOOKUP(E7373,DATABASE!C:Q,7,false)</f>
        <v>58371.2695</v>
      </c>
      <c r="L7373" s="74">
        <v>55000.0</v>
      </c>
      <c r="M7373" s="74">
        <f t="shared" si="2"/>
        <v>55000</v>
      </c>
      <c r="N7373" s="74">
        <f t="shared" si="3"/>
        <v>40000</v>
      </c>
      <c r="O7373" s="65" t="str">
        <f>VLOOKUP(E7373,DATABASE!C:Q,8,false)</f>
        <v>BIAN</v>
      </c>
      <c r="P7373" s="65">
        <f>VLOOKUP(E7373,DATABASE!C:Q,9,False)</f>
        <v>1</v>
      </c>
      <c r="Q7373" s="93" t="str">
        <f>VLOOKUP(E7373,DATABASE!C:Q,4,false)</f>
        <v>BD</v>
      </c>
      <c r="R7373" s="93" t="str">
        <f>VLOOKUP(E7373,DATABASE!C:Q,11,false)</f>
        <v>Tire</v>
      </c>
    </row>
    <row r="7374" ht="22.5" customHeight="1">
      <c r="A7374" s="49"/>
      <c r="C7374" s="400">
        <v>46091.0</v>
      </c>
      <c r="D7374" s="69" t="s">
        <v>2730</v>
      </c>
      <c r="E7374" s="544" t="s">
        <v>252</v>
      </c>
      <c r="F7374" s="387">
        <v>1.0</v>
      </c>
      <c r="G7374" s="140">
        <v>300000.0</v>
      </c>
      <c r="H7374" s="74"/>
      <c r="I7374" s="74">
        <f t="shared" si="1"/>
        <v>300000</v>
      </c>
      <c r="J7374" s="74">
        <f>IF(E7374="SERVICE",I7374-(I7374*50%),Vlookup(E7374,DATABASE!C:Q,10,false)*F7374)</f>
        <v>0</v>
      </c>
      <c r="K7374" s="74">
        <f>VLOOKUP(E7374,DATABASE!C:Q,7,false)</f>
        <v>317518</v>
      </c>
      <c r="L7374" s="74">
        <v>271778.0</v>
      </c>
      <c r="M7374" s="74">
        <f t="shared" si="2"/>
        <v>275000</v>
      </c>
      <c r="N7374" s="74">
        <f t="shared" si="3"/>
        <v>25000</v>
      </c>
      <c r="O7374" s="65" t="str">
        <f>VLOOKUP(E7374,DATABASE!C:Q,8,false)</f>
        <v>NON</v>
      </c>
      <c r="P7374" s="65">
        <f>VLOOKUP(E7374,DATABASE!C:Q,9,False)</f>
        <v>0</v>
      </c>
      <c r="Q7374" s="93" t="str">
        <f>VLOOKUP(E7374,DATABASE!C:Q,4,false)</f>
        <v>Shell</v>
      </c>
      <c r="R7374" s="93" t="str">
        <f>VLOOKUP(E7374,DATABASE!C:Q,11,false)</f>
        <v>OIL</v>
      </c>
    </row>
    <row r="7375" ht="22.5" customHeight="1">
      <c r="A7375" s="49"/>
      <c r="C7375" s="400">
        <v>46091.0</v>
      </c>
      <c r="D7375" s="69" t="s">
        <v>2731</v>
      </c>
      <c r="E7375" s="544" t="s">
        <v>263</v>
      </c>
      <c r="F7375" s="387">
        <v>1.0</v>
      </c>
      <c r="G7375" s="140">
        <v>320000.0</v>
      </c>
      <c r="H7375" s="74"/>
      <c r="I7375" s="74">
        <f t="shared" si="1"/>
        <v>320000</v>
      </c>
      <c r="J7375" s="74">
        <f>IF(E7375="SERVICE",I7375-(I7375*50%),Vlookup(E7375,DATABASE!C:Q,10,false)*F7375)</f>
        <v>0</v>
      </c>
      <c r="K7375" s="74">
        <f>VLOOKUP(E7375,DATABASE!C:Q,7,false)</f>
        <v>334916</v>
      </c>
      <c r="L7375" s="74">
        <v>287688.0</v>
      </c>
      <c r="M7375" s="74">
        <f t="shared" si="2"/>
        <v>290000</v>
      </c>
      <c r="N7375" s="74">
        <f t="shared" si="3"/>
        <v>30000</v>
      </c>
      <c r="O7375" s="65" t="str">
        <f>VLOOKUP(E7375,DATABASE!C:Q,8,false)</f>
        <v>NON</v>
      </c>
      <c r="P7375" s="65">
        <f>VLOOKUP(E7375,DATABASE!C:Q,9,False)</f>
        <v>0</v>
      </c>
      <c r="Q7375" s="93" t="str">
        <f>VLOOKUP(E7375,DATABASE!C:Q,4,false)</f>
        <v>Shell</v>
      </c>
      <c r="R7375" s="93" t="str">
        <f>VLOOKUP(E7375,DATABASE!C:Q,11,false)</f>
        <v>OIL</v>
      </c>
    </row>
    <row r="7376" ht="22.5" customHeight="1">
      <c r="A7376" s="49"/>
      <c r="C7376" s="400">
        <v>46091.0</v>
      </c>
      <c r="D7376" s="69" t="s">
        <v>2732</v>
      </c>
      <c r="E7376" s="544" t="s">
        <v>2174</v>
      </c>
      <c r="F7376" s="387">
        <v>1.0</v>
      </c>
      <c r="G7376" s="140">
        <v>215000.0</v>
      </c>
      <c r="H7376" s="74"/>
      <c r="I7376" s="74">
        <f t="shared" si="1"/>
        <v>215000</v>
      </c>
      <c r="J7376" s="74">
        <f>IF(E7376="SERVICE",I7376-(I7376*50%),Vlookup(E7376,DATABASE!C:Q,10,false)*F7376)</f>
        <v>0</v>
      </c>
      <c r="K7376" s="74">
        <f>VLOOKUP(E7376,DATABASE!C:Q,7,false)</f>
        <v>225314</v>
      </c>
      <c r="L7376" s="74">
        <v>179445.0</v>
      </c>
      <c r="M7376" s="74">
        <f t="shared" si="2"/>
        <v>180000</v>
      </c>
      <c r="N7376" s="74">
        <f t="shared" si="3"/>
        <v>35000</v>
      </c>
      <c r="O7376" s="65" t="str">
        <f>VLOOKUP(E7376,DATABASE!C:Q,8,false)</f>
        <v>NON</v>
      </c>
      <c r="P7376" s="65">
        <f>VLOOKUP(E7376,DATABASE!C:Q,9,False)</f>
        <v>0</v>
      </c>
      <c r="Q7376" s="93" t="str">
        <f>VLOOKUP(E7376,DATABASE!C:Q,4,false)</f>
        <v>Shell</v>
      </c>
      <c r="R7376" s="93" t="str">
        <f>VLOOKUP(E7376,DATABASE!C:Q,11,false)</f>
        <v>OIL</v>
      </c>
    </row>
    <row r="7377" ht="22.5" customHeight="1">
      <c r="A7377" s="49"/>
      <c r="C7377" s="400">
        <v>46092.0</v>
      </c>
      <c r="D7377" s="524">
        <v>592.0</v>
      </c>
      <c r="E7377" s="544" t="s">
        <v>262</v>
      </c>
      <c r="F7377" s="387">
        <v>1.0</v>
      </c>
      <c r="G7377" s="140">
        <v>130000.0</v>
      </c>
      <c r="H7377" s="74"/>
      <c r="I7377" s="74">
        <f t="shared" si="1"/>
        <v>130000</v>
      </c>
      <c r="J7377" s="74">
        <f>IF(E7377="SERVICE",I7377-(I7377*50%),Vlookup(E7377,DATABASE!C:Q,10,false)*F7377)</f>
        <v>5000</v>
      </c>
      <c r="K7377" s="74">
        <f>VLOOKUP(E7377,DATABASE!C:Q,7,false)</f>
        <v>0</v>
      </c>
      <c r="L7377" s="74">
        <v>0.0</v>
      </c>
      <c r="M7377" s="74">
        <f t="shared" si="2"/>
        <v>0</v>
      </c>
      <c r="N7377" s="74">
        <f t="shared" si="3"/>
        <v>125000</v>
      </c>
      <c r="O7377" s="65" t="str">
        <f>VLOOKUP(E7377,DATABASE!C:Q,8,false)</f>
        <v>IBU</v>
      </c>
      <c r="P7377" s="65">
        <f>VLOOKUP(E7377,DATABASE!C:Q,9,False)</f>
        <v>0</v>
      </c>
      <c r="Q7377" s="93" t="str">
        <f>VLOOKUP(E7377,DATABASE!C:Q,4,false)</f>
        <v>SPOORING SS/CARRY LOS BAK</v>
      </c>
      <c r="R7377" s="93" t="str">
        <f>VLOOKUP(E7377,DATABASE!C:Q,11,false)</f>
        <v>SERVICE</v>
      </c>
    </row>
    <row r="7378" ht="22.5" customHeight="1">
      <c r="A7378" s="49"/>
      <c r="C7378" s="400">
        <v>46092.0</v>
      </c>
      <c r="D7378" s="524">
        <v>593.0</v>
      </c>
      <c r="E7378" s="544" t="s">
        <v>2140</v>
      </c>
      <c r="F7378" s="387">
        <v>2.0</v>
      </c>
      <c r="G7378" s="140">
        <v>35000.0</v>
      </c>
      <c r="H7378" s="74"/>
      <c r="I7378" s="74">
        <f t="shared" si="1"/>
        <v>70000</v>
      </c>
      <c r="J7378" s="74">
        <f>IF(E7378="SERVICE",I7378-(I7378*50%),Vlookup(E7378,DATABASE!C:Q,10,false)*F7378)</f>
        <v>0</v>
      </c>
      <c r="K7378" s="74">
        <f>VLOOKUP(E7378,DATABASE!C:Q,7,false)</f>
        <v>5000</v>
      </c>
      <c r="L7378" s="74">
        <v>0.0</v>
      </c>
      <c r="M7378" s="74">
        <f t="shared" si="2"/>
        <v>0</v>
      </c>
      <c r="N7378" s="74">
        <f t="shared" si="3"/>
        <v>70000</v>
      </c>
      <c r="O7378" s="65" t="str">
        <f>VLOOKUP(E7378,DATABASE!C:Q,8,false)</f>
        <v>IBU</v>
      </c>
      <c r="P7378" s="65">
        <f>VLOOKUP(E7378,DATABASE!C:Q,9,False)</f>
        <v>0</v>
      </c>
      <c r="Q7378" s="93" t="str">
        <f>VLOOKUP(E7378,DATABASE!C:Q,4,false)</f>
        <v>PENTIL + PASANG</v>
      </c>
      <c r="R7378" s="93" t="str">
        <f>VLOOKUP(E7378,DATABASE!C:Q,11,false)</f>
        <v>COMPLEMENTARY</v>
      </c>
    </row>
    <row r="7379" ht="22.5" customHeight="1">
      <c r="A7379" s="49"/>
      <c r="C7379" s="400">
        <v>46092.0</v>
      </c>
      <c r="D7379" s="524">
        <v>593.0</v>
      </c>
      <c r="E7379" s="544" t="s">
        <v>299</v>
      </c>
      <c r="F7379" s="387">
        <v>2.0</v>
      </c>
      <c r="G7379" s="140">
        <v>30000.0</v>
      </c>
      <c r="H7379" s="74"/>
      <c r="I7379" s="74">
        <f t="shared" si="1"/>
        <v>60000</v>
      </c>
      <c r="J7379" s="74">
        <f>IF(E7379="SERVICE",I7379-(I7379*50%),Vlookup(E7379,DATABASE!C:Q,10,false)*F7379)</f>
        <v>0</v>
      </c>
      <c r="K7379" s="74">
        <f>VLOOKUP(E7379,DATABASE!C:Q,7,false)</f>
        <v>10000</v>
      </c>
      <c r="L7379" s="74">
        <v>10000.0</v>
      </c>
      <c r="M7379" s="74">
        <f t="shared" si="2"/>
        <v>10000</v>
      </c>
      <c r="N7379" s="74">
        <f t="shared" si="3"/>
        <v>40000</v>
      </c>
      <c r="O7379" s="65" t="str">
        <f>VLOOKUP(E7379,DATABASE!C:Q,8,false)</f>
        <v>BIAN</v>
      </c>
      <c r="P7379" s="65">
        <f>VLOOKUP(E7379,DATABASE!C:Q,9,False)</f>
        <v>0</v>
      </c>
      <c r="Q7379" s="93" t="str">
        <f>VLOOKUP(E7379,DATABASE!C:Q,4,false)</f>
        <v>Balancing</v>
      </c>
      <c r="R7379" s="93" t="str">
        <f>VLOOKUP(E7379,DATABASE!C:Q,11,false)</f>
        <v>COMPLEMENTARY</v>
      </c>
    </row>
    <row r="7380" ht="22.5" customHeight="1">
      <c r="A7380" s="49"/>
      <c r="C7380" s="400">
        <v>46092.0</v>
      </c>
      <c r="D7380" s="524">
        <v>593.0</v>
      </c>
      <c r="E7380" s="544" t="s">
        <v>256</v>
      </c>
      <c r="F7380" s="387">
        <v>1.0</v>
      </c>
      <c r="G7380" s="140">
        <v>175000.0</v>
      </c>
      <c r="H7380" s="140">
        <v>25000.0</v>
      </c>
      <c r="I7380" s="74">
        <f t="shared" si="1"/>
        <v>150000</v>
      </c>
      <c r="J7380" s="74">
        <f>IF(E7380="SERVICE",I7380-(I7380*50%),Vlookup(E7380,DATABASE!C:Q,10,false)*F7380)</f>
        <v>10000</v>
      </c>
      <c r="K7380" s="74">
        <f>VLOOKUP(E7380,DATABASE!C:Q,7,false)</f>
        <v>0</v>
      </c>
      <c r="L7380" s="74">
        <v>0.0</v>
      </c>
      <c r="M7380" s="74">
        <f t="shared" si="2"/>
        <v>0</v>
      </c>
      <c r="N7380" s="74">
        <f t="shared" si="3"/>
        <v>140000</v>
      </c>
      <c r="O7380" s="65" t="str">
        <f>VLOOKUP(E7380,DATABASE!C:Q,8,false)</f>
        <v>IBU</v>
      </c>
      <c r="P7380" s="65">
        <f>VLOOKUP(E7380,DATABASE!C:Q,9,False)</f>
        <v>0</v>
      </c>
      <c r="Q7380" s="93" t="str">
        <f>VLOOKUP(E7380,DATABASE!C:Q,4,false)</f>
        <v>SPOORING</v>
      </c>
      <c r="R7380" s="93" t="str">
        <f>VLOOKUP(E7380,DATABASE!C:Q,11,false)</f>
        <v>SERVICE</v>
      </c>
    </row>
    <row r="7381" ht="22.5" customHeight="1">
      <c r="A7381" s="49"/>
      <c r="C7381" s="400">
        <v>46092.0</v>
      </c>
      <c r="D7381" s="524">
        <v>593.0</v>
      </c>
      <c r="E7381" s="544" t="s">
        <v>251</v>
      </c>
      <c r="F7381" s="387">
        <v>1.0</v>
      </c>
      <c r="G7381" s="140">
        <v>350000.0</v>
      </c>
      <c r="H7381" s="140">
        <v>200000.0</v>
      </c>
      <c r="I7381" s="74">
        <f t="shared" si="1"/>
        <v>150000</v>
      </c>
      <c r="J7381" s="74">
        <f>IF(E7381="SERVICE",I7381-(I7381*50%),Vlookup(E7381,DATABASE!C:Q,10,false)*F7381)</f>
        <v>75000</v>
      </c>
      <c r="K7381" s="74">
        <f>VLOOKUP(E7381,DATABASE!C:Q,7,false)</f>
        <v>0</v>
      </c>
      <c r="L7381" s="74">
        <v>0.0</v>
      </c>
      <c r="M7381" s="74">
        <f t="shared" si="2"/>
        <v>0</v>
      </c>
      <c r="N7381" s="74">
        <f t="shared" si="3"/>
        <v>75000</v>
      </c>
      <c r="O7381" s="65" t="str">
        <f>VLOOKUP(E7381,DATABASE!C:Q,8,false)</f>
        <v>IBU</v>
      </c>
      <c r="P7381" s="65">
        <f>VLOOKUP(E7381,DATABASE!C:Q,9,False)</f>
        <v>0</v>
      </c>
      <c r="Q7381" s="93" t="str">
        <f>VLOOKUP(E7381,DATABASE!C:Q,4,false)</f>
        <v>SERVICE</v>
      </c>
      <c r="R7381" s="93" t="str">
        <f>VLOOKUP(E7381,DATABASE!C:Q,11,false)</f>
        <v>SERVICE</v>
      </c>
    </row>
    <row r="7382" ht="22.5" customHeight="1">
      <c r="A7382" s="49"/>
      <c r="C7382" s="400">
        <v>46092.0</v>
      </c>
      <c r="D7382" s="524">
        <v>594.0</v>
      </c>
      <c r="E7382" s="544" t="s">
        <v>265</v>
      </c>
      <c r="F7382" s="387">
        <v>2.0</v>
      </c>
      <c r="G7382" s="140">
        <v>685000.0</v>
      </c>
      <c r="H7382" s="74"/>
      <c r="I7382" s="74">
        <f t="shared" si="1"/>
        <v>1370000</v>
      </c>
      <c r="J7382" s="74">
        <f>IF(E7382="SERVICE",I7382-(I7382*50%),Vlookup(E7382,DATABASE!C:Q,10,false)*F7382)</f>
        <v>0</v>
      </c>
      <c r="K7382" s="74">
        <f>VLOOKUP(E7382,DATABASE!C:Q,7,false)</f>
        <v>628000</v>
      </c>
      <c r="L7382" s="74">
        <v>600000.0</v>
      </c>
      <c r="M7382" s="74">
        <f t="shared" si="2"/>
        <v>600000</v>
      </c>
      <c r="N7382" s="74">
        <f t="shared" si="3"/>
        <v>170000</v>
      </c>
      <c r="O7382" s="65" t="str">
        <f>VLOOKUP(E7382,DATABASE!C:Q,8,false)</f>
        <v>IBU</v>
      </c>
      <c r="P7382" s="65">
        <f>VLOOKUP(E7382,DATABASE!C:Q,9,False)</f>
        <v>1</v>
      </c>
      <c r="Q7382" s="93" t="str">
        <f>VLOOKUP(E7382,DATABASE!C:Q,4,false)</f>
        <v>Dunlop</v>
      </c>
      <c r="R7382" s="93" t="str">
        <f>VLOOKUP(E7382,DATABASE!C:Q,11,false)</f>
        <v>Tire</v>
      </c>
    </row>
    <row r="7383" ht="22.5" customHeight="1">
      <c r="A7383" s="49"/>
      <c r="C7383" s="400">
        <v>46092.0</v>
      </c>
      <c r="D7383" s="524">
        <v>594.0</v>
      </c>
      <c r="E7383" s="544" t="s">
        <v>299</v>
      </c>
      <c r="F7383" s="387">
        <v>2.0</v>
      </c>
      <c r="G7383" s="140">
        <v>30000.0</v>
      </c>
      <c r="H7383" s="74"/>
      <c r="I7383" s="74">
        <f t="shared" si="1"/>
        <v>60000</v>
      </c>
      <c r="J7383" s="74">
        <f>IF(E7383="SERVICE",I7383-(I7383*50%),Vlookup(E7383,DATABASE!C:Q,10,false)*F7383)</f>
        <v>0</v>
      </c>
      <c r="K7383" s="74">
        <f>VLOOKUP(E7383,DATABASE!C:Q,7,false)</f>
        <v>10000</v>
      </c>
      <c r="L7383" s="74">
        <v>10000.0</v>
      </c>
      <c r="M7383" s="74">
        <f t="shared" si="2"/>
        <v>10000</v>
      </c>
      <c r="N7383" s="74">
        <f t="shared" si="3"/>
        <v>40000</v>
      </c>
      <c r="O7383" s="65" t="str">
        <f>VLOOKUP(E7383,DATABASE!C:Q,8,false)</f>
        <v>BIAN</v>
      </c>
      <c r="P7383" s="65">
        <f>VLOOKUP(E7383,DATABASE!C:Q,9,False)</f>
        <v>0</v>
      </c>
      <c r="Q7383" s="93" t="str">
        <f>VLOOKUP(E7383,DATABASE!C:Q,4,false)</f>
        <v>Balancing</v>
      </c>
      <c r="R7383" s="93" t="str">
        <f>VLOOKUP(E7383,DATABASE!C:Q,11,false)</f>
        <v>COMPLEMENTARY</v>
      </c>
    </row>
    <row r="7384" ht="22.5" customHeight="1">
      <c r="A7384" s="49"/>
      <c r="C7384" s="400">
        <v>46092.0</v>
      </c>
      <c r="D7384" s="524">
        <v>594.0</v>
      </c>
      <c r="E7384" s="544" t="s">
        <v>256</v>
      </c>
      <c r="F7384" s="387">
        <v>1.0</v>
      </c>
      <c r="G7384" s="140">
        <v>175000.0</v>
      </c>
      <c r="H7384" s="140">
        <v>25000.0</v>
      </c>
      <c r="I7384" s="74">
        <f t="shared" si="1"/>
        <v>150000</v>
      </c>
      <c r="J7384" s="74">
        <f>IF(E7384="SERVICE",I7384-(I7384*50%),Vlookup(E7384,DATABASE!C:Q,10,false)*F7384)</f>
        <v>10000</v>
      </c>
      <c r="K7384" s="74">
        <f>VLOOKUP(E7384,DATABASE!C:Q,7,false)</f>
        <v>0</v>
      </c>
      <c r="L7384" s="74">
        <v>0.0</v>
      </c>
      <c r="M7384" s="74">
        <f t="shared" si="2"/>
        <v>0</v>
      </c>
      <c r="N7384" s="74">
        <f t="shared" si="3"/>
        <v>140000</v>
      </c>
      <c r="O7384" s="65" t="str">
        <f>VLOOKUP(E7384,DATABASE!C:Q,8,false)</f>
        <v>IBU</v>
      </c>
      <c r="P7384" s="65">
        <f>VLOOKUP(E7384,DATABASE!C:Q,9,False)</f>
        <v>0</v>
      </c>
      <c r="Q7384" s="93" t="str">
        <f>VLOOKUP(E7384,DATABASE!C:Q,4,false)</f>
        <v>SPOORING</v>
      </c>
      <c r="R7384" s="93" t="str">
        <f>VLOOKUP(E7384,DATABASE!C:Q,11,false)</f>
        <v>SERVICE</v>
      </c>
    </row>
    <row r="7385" ht="22.5" customHeight="1">
      <c r="A7385" s="49"/>
      <c r="C7385" s="400">
        <v>46092.0</v>
      </c>
      <c r="D7385" s="524">
        <v>594.0</v>
      </c>
      <c r="E7385" s="544" t="s">
        <v>251</v>
      </c>
      <c r="F7385" s="387">
        <v>1.0</v>
      </c>
      <c r="G7385" s="140">
        <v>350000.0</v>
      </c>
      <c r="H7385" s="140">
        <v>200000.0</v>
      </c>
      <c r="I7385" s="74">
        <f t="shared" si="1"/>
        <v>150000</v>
      </c>
      <c r="J7385" s="74">
        <f>IF(E7385="SERVICE",I7385-(I7385*50%),Vlookup(E7385,DATABASE!C:Q,10,false)*F7385)</f>
        <v>75000</v>
      </c>
      <c r="K7385" s="74">
        <f>VLOOKUP(E7385,DATABASE!C:Q,7,false)</f>
        <v>0</v>
      </c>
      <c r="L7385" s="74">
        <v>0.0</v>
      </c>
      <c r="M7385" s="74">
        <f t="shared" si="2"/>
        <v>0</v>
      </c>
      <c r="N7385" s="74">
        <f t="shared" si="3"/>
        <v>75000</v>
      </c>
      <c r="O7385" s="65" t="str">
        <f>VLOOKUP(E7385,DATABASE!C:Q,8,false)</f>
        <v>IBU</v>
      </c>
      <c r="P7385" s="65">
        <f>VLOOKUP(E7385,DATABASE!C:Q,9,False)</f>
        <v>0</v>
      </c>
      <c r="Q7385" s="93" t="str">
        <f>VLOOKUP(E7385,DATABASE!C:Q,4,false)</f>
        <v>SERVICE</v>
      </c>
      <c r="R7385" s="93" t="str">
        <f>VLOOKUP(E7385,DATABASE!C:Q,11,false)</f>
        <v>SERVICE</v>
      </c>
    </row>
    <row r="7386" ht="22.5" customHeight="1">
      <c r="A7386" s="49"/>
      <c r="C7386" s="400">
        <v>46092.0</v>
      </c>
      <c r="D7386" s="524">
        <v>595.0</v>
      </c>
      <c r="E7386" s="544" t="s">
        <v>932</v>
      </c>
      <c r="F7386" s="387">
        <v>2.0</v>
      </c>
      <c r="G7386" s="140">
        <v>680000.0</v>
      </c>
      <c r="H7386" s="74"/>
      <c r="I7386" s="74">
        <f t="shared" si="1"/>
        <v>1360000</v>
      </c>
      <c r="J7386" s="74">
        <f>IF(E7386="SERVICE",I7386-(I7386*50%),Vlookup(E7386,DATABASE!C:Q,10,false)*F7386)</f>
        <v>0</v>
      </c>
      <c r="K7386" s="74">
        <f>VLOOKUP(E7386,DATABASE!C:Q,7,false)</f>
        <v>601000</v>
      </c>
      <c r="L7386" s="74">
        <v>595000.0</v>
      </c>
      <c r="M7386" s="74">
        <f t="shared" si="2"/>
        <v>595000</v>
      </c>
      <c r="N7386" s="74">
        <f t="shared" si="3"/>
        <v>170000</v>
      </c>
      <c r="O7386" s="65" t="str">
        <f>VLOOKUP(E7386,DATABASE!C:Q,8,false)</f>
        <v>IBU</v>
      </c>
      <c r="P7386" s="65">
        <f>VLOOKUP(E7386,DATABASE!C:Q,9,False)</f>
        <v>1</v>
      </c>
      <c r="Q7386" s="93" t="str">
        <f>VLOOKUP(E7386,DATABASE!C:Q,4,false)</f>
        <v>Dunlop</v>
      </c>
      <c r="R7386" s="93" t="str">
        <f>VLOOKUP(E7386,DATABASE!C:Q,11,false)</f>
        <v>Tire</v>
      </c>
    </row>
    <row r="7387" ht="22.5" customHeight="1">
      <c r="A7387" s="49"/>
      <c r="C7387" s="400">
        <v>46092.0</v>
      </c>
      <c r="D7387" s="524">
        <v>596.0</v>
      </c>
      <c r="E7387" s="544" t="s">
        <v>290</v>
      </c>
      <c r="F7387" s="387">
        <v>1.0</v>
      </c>
      <c r="G7387" s="140">
        <v>720000.0</v>
      </c>
      <c r="H7387" s="140">
        <v>10000.0</v>
      </c>
      <c r="I7387" s="74">
        <f t="shared" si="1"/>
        <v>710000</v>
      </c>
      <c r="J7387" s="74">
        <f>IF(E7387="SERVICE",I7387-(I7387*50%),Vlookup(E7387,DATABASE!C:Q,10,false)*F7387)</f>
        <v>0</v>
      </c>
      <c r="K7387" s="74">
        <f>VLOOKUP(E7387,DATABASE!C:Q,7,false)</f>
        <v>628100</v>
      </c>
      <c r="L7387" s="74">
        <v>609804.0</v>
      </c>
      <c r="M7387" s="74">
        <f t="shared" si="2"/>
        <v>610000</v>
      </c>
      <c r="N7387" s="74">
        <f t="shared" si="3"/>
        <v>100000</v>
      </c>
      <c r="O7387" s="65" t="str">
        <f>VLOOKUP(E7387,DATABASE!C:Q,8,false)</f>
        <v>BIAN</v>
      </c>
      <c r="P7387" s="65">
        <f>VLOOKUP(E7387,DATABASE!C:Q,9,False)</f>
        <v>1</v>
      </c>
      <c r="Q7387" s="93" t="str">
        <f>VLOOKUP(E7387,DATABASE!C:Q,4,false)</f>
        <v>GT</v>
      </c>
      <c r="R7387" s="93" t="str">
        <f>VLOOKUP(E7387,DATABASE!C:Q,11,false)</f>
        <v>Tire</v>
      </c>
    </row>
    <row r="7388" ht="22.5" customHeight="1">
      <c r="A7388" s="49"/>
      <c r="C7388" s="400">
        <v>46092.0</v>
      </c>
      <c r="D7388" s="524">
        <v>597.0</v>
      </c>
      <c r="E7388" s="544" t="s">
        <v>256</v>
      </c>
      <c r="F7388" s="387">
        <v>1.0</v>
      </c>
      <c r="G7388" s="140">
        <v>175000.0</v>
      </c>
      <c r="H7388" s="140">
        <v>25000.0</v>
      </c>
      <c r="I7388" s="74">
        <f t="shared" si="1"/>
        <v>150000</v>
      </c>
      <c r="J7388" s="74">
        <f>IF(E7388="SERVICE",I7388-(I7388*50%),Vlookup(E7388,DATABASE!C:Q,10,false)*F7388)</f>
        <v>10000</v>
      </c>
      <c r="K7388" s="74">
        <f>VLOOKUP(E7388,DATABASE!C:Q,7,false)</f>
        <v>0</v>
      </c>
      <c r="L7388" s="74">
        <v>0.0</v>
      </c>
      <c r="M7388" s="74">
        <f t="shared" si="2"/>
        <v>0</v>
      </c>
      <c r="N7388" s="74">
        <f t="shared" si="3"/>
        <v>140000</v>
      </c>
      <c r="O7388" s="65" t="str">
        <f>VLOOKUP(E7388,DATABASE!C:Q,8,false)</f>
        <v>IBU</v>
      </c>
      <c r="P7388" s="65">
        <f>VLOOKUP(E7388,DATABASE!C:Q,9,False)</f>
        <v>0</v>
      </c>
      <c r="Q7388" s="93" t="str">
        <f>VLOOKUP(E7388,DATABASE!C:Q,4,false)</f>
        <v>SPOORING</v>
      </c>
      <c r="R7388" s="93" t="str">
        <f>VLOOKUP(E7388,DATABASE!C:Q,11,false)</f>
        <v>SERVICE</v>
      </c>
    </row>
    <row r="7389" ht="22.5" customHeight="1">
      <c r="A7389" s="49"/>
      <c r="C7389" s="400">
        <v>46092.0</v>
      </c>
      <c r="D7389" s="524">
        <v>598.0</v>
      </c>
      <c r="E7389" s="544" t="s">
        <v>1439</v>
      </c>
      <c r="F7389" s="387">
        <v>1.0</v>
      </c>
      <c r="G7389" s="140">
        <v>640000.0</v>
      </c>
      <c r="H7389" s="140">
        <v>10000.0</v>
      </c>
      <c r="I7389" s="74">
        <f t="shared" si="1"/>
        <v>630000</v>
      </c>
      <c r="J7389" s="74">
        <f>IF(E7389="SERVICE",I7389-(I7389*50%),Vlookup(E7389,DATABASE!C:Q,10,false)*F7389)</f>
        <v>0</v>
      </c>
      <c r="K7389" s="74">
        <f>VLOOKUP(E7389,DATABASE!C:Q,7,false)</f>
        <v>556800</v>
      </c>
      <c r="L7389" s="74">
        <v>540800.0</v>
      </c>
      <c r="M7389" s="74">
        <f t="shared" si="2"/>
        <v>545000</v>
      </c>
      <c r="N7389" s="74">
        <f t="shared" si="3"/>
        <v>85000</v>
      </c>
      <c r="O7389" s="65" t="str">
        <f>VLOOKUP(E7389,DATABASE!C:Q,8,false)</f>
        <v>BIAN</v>
      </c>
      <c r="P7389" s="65">
        <f>VLOOKUP(E7389,DATABASE!C:Q,9,False)</f>
        <v>1</v>
      </c>
      <c r="Q7389" s="93" t="str">
        <f>VLOOKUP(E7389,DATABASE!C:Q,4,false)</f>
        <v>GT</v>
      </c>
      <c r="R7389" s="93" t="str">
        <f>VLOOKUP(E7389,DATABASE!C:Q,11,false)</f>
        <v>Tire</v>
      </c>
    </row>
    <row r="7390" ht="22.5" customHeight="1">
      <c r="A7390" s="49"/>
      <c r="C7390" s="400">
        <v>46092.0</v>
      </c>
      <c r="D7390" s="524">
        <v>599.0</v>
      </c>
      <c r="E7390" s="544" t="s">
        <v>600</v>
      </c>
      <c r="F7390" s="387">
        <v>2.0</v>
      </c>
      <c r="G7390" s="140">
        <v>680000.0</v>
      </c>
      <c r="H7390" s="74"/>
      <c r="I7390" s="74">
        <f t="shared" si="1"/>
        <v>1360000</v>
      </c>
      <c r="J7390" s="74">
        <f>IF(E7390="SERVICE",I7390-(I7390*50%),Vlookup(E7390,DATABASE!C:Q,10,false)*F7390)</f>
        <v>0</v>
      </c>
      <c r="K7390" s="74">
        <f>VLOOKUP(E7390,DATABASE!C:Q,7,false)</f>
        <v>611109.16</v>
      </c>
      <c r="L7390" s="74">
        <v>588505.8</v>
      </c>
      <c r="M7390" s="74">
        <f t="shared" si="2"/>
        <v>590000</v>
      </c>
      <c r="N7390" s="74">
        <f t="shared" si="3"/>
        <v>180000</v>
      </c>
      <c r="O7390" s="65" t="str">
        <f>VLOOKUP(E7390,DATABASE!C:Q,8,false)</f>
        <v>IBU</v>
      </c>
      <c r="P7390" s="65">
        <f>VLOOKUP(E7390,DATABASE!C:Q,9,False)</f>
        <v>1</v>
      </c>
      <c r="Q7390" s="93" t="str">
        <f>VLOOKUP(E7390,DATABASE!C:Q,4,false)</f>
        <v>Bridgestone</v>
      </c>
      <c r="R7390" s="93" t="str">
        <f>VLOOKUP(E7390,DATABASE!C:Q,11,false)</f>
        <v>Tire</v>
      </c>
    </row>
    <row r="7391" ht="22.5" customHeight="1">
      <c r="A7391" s="49"/>
      <c r="C7391" s="400">
        <v>46092.0</v>
      </c>
      <c r="D7391" s="524">
        <v>599.0</v>
      </c>
      <c r="E7391" s="544" t="s">
        <v>299</v>
      </c>
      <c r="F7391" s="387">
        <v>2.0</v>
      </c>
      <c r="G7391" s="140">
        <v>30000.0</v>
      </c>
      <c r="H7391" s="74"/>
      <c r="I7391" s="74">
        <f t="shared" si="1"/>
        <v>60000</v>
      </c>
      <c r="J7391" s="74">
        <f>IF(E7391="SERVICE",I7391-(I7391*50%),Vlookup(E7391,DATABASE!C:Q,10,false)*F7391)</f>
        <v>0</v>
      </c>
      <c r="K7391" s="74">
        <f>VLOOKUP(E7391,DATABASE!C:Q,7,false)</f>
        <v>10000</v>
      </c>
      <c r="L7391" s="74">
        <v>10000.0</v>
      </c>
      <c r="M7391" s="74">
        <f t="shared" si="2"/>
        <v>10000</v>
      </c>
      <c r="N7391" s="74">
        <f t="shared" si="3"/>
        <v>40000</v>
      </c>
      <c r="O7391" s="65" t="str">
        <f>VLOOKUP(E7391,DATABASE!C:Q,8,false)</f>
        <v>BIAN</v>
      </c>
      <c r="P7391" s="65">
        <f>VLOOKUP(E7391,DATABASE!C:Q,9,False)</f>
        <v>0</v>
      </c>
      <c r="Q7391" s="93" t="str">
        <f>VLOOKUP(E7391,DATABASE!C:Q,4,false)</f>
        <v>Balancing</v>
      </c>
      <c r="R7391" s="93" t="str">
        <f>VLOOKUP(E7391,DATABASE!C:Q,11,false)</f>
        <v>COMPLEMENTARY</v>
      </c>
    </row>
    <row r="7392" ht="22.5" customHeight="1">
      <c r="A7392" s="49"/>
      <c r="C7392" s="400">
        <v>46092.0</v>
      </c>
      <c r="D7392" s="524">
        <v>599.0</v>
      </c>
      <c r="E7392" s="544" t="s">
        <v>256</v>
      </c>
      <c r="F7392" s="387">
        <v>1.0</v>
      </c>
      <c r="G7392" s="140">
        <v>175000.0</v>
      </c>
      <c r="H7392" s="140">
        <v>25000.0</v>
      </c>
      <c r="I7392" s="74">
        <f t="shared" si="1"/>
        <v>150000</v>
      </c>
      <c r="J7392" s="74">
        <f>IF(E7392="SERVICE",I7392-(I7392*50%),Vlookup(E7392,DATABASE!C:Q,10,false)*F7392)</f>
        <v>10000</v>
      </c>
      <c r="K7392" s="74">
        <f>VLOOKUP(E7392,DATABASE!C:Q,7,false)</f>
        <v>0</v>
      </c>
      <c r="L7392" s="74">
        <v>0.0</v>
      </c>
      <c r="M7392" s="74">
        <f t="shared" si="2"/>
        <v>0</v>
      </c>
      <c r="N7392" s="74">
        <f t="shared" si="3"/>
        <v>140000</v>
      </c>
      <c r="O7392" s="65" t="str">
        <f>VLOOKUP(E7392,DATABASE!C:Q,8,false)</f>
        <v>IBU</v>
      </c>
      <c r="P7392" s="65">
        <f>VLOOKUP(E7392,DATABASE!C:Q,9,False)</f>
        <v>0</v>
      </c>
      <c r="Q7392" s="93" t="str">
        <f>VLOOKUP(E7392,DATABASE!C:Q,4,false)</f>
        <v>SPOORING</v>
      </c>
      <c r="R7392" s="93" t="str">
        <f>VLOOKUP(E7392,DATABASE!C:Q,11,false)</f>
        <v>SERVICE</v>
      </c>
    </row>
    <row r="7393" ht="22.5" customHeight="1">
      <c r="A7393" s="49"/>
      <c r="C7393" s="400">
        <v>46092.0</v>
      </c>
      <c r="D7393" s="524">
        <v>599.0</v>
      </c>
      <c r="E7393" s="544" t="s">
        <v>301</v>
      </c>
      <c r="F7393" s="387">
        <v>1.0</v>
      </c>
      <c r="G7393" s="140">
        <v>250000.0</v>
      </c>
      <c r="H7393" s="74"/>
      <c r="I7393" s="74">
        <f t="shared" si="1"/>
        <v>250000</v>
      </c>
      <c r="J7393" s="74">
        <f>IF(E7393="SERVICE",I7393-(I7393*50%),Vlookup(E7393,DATABASE!C:Q,10,false)*F7393)</f>
        <v>75000</v>
      </c>
      <c r="K7393" s="74">
        <f>VLOOKUP(E7393,DATABASE!C:Q,7,false)</f>
        <v>75000</v>
      </c>
      <c r="L7393" s="74">
        <v>75000.0</v>
      </c>
      <c r="M7393" s="74">
        <f t="shared" si="2"/>
        <v>75000</v>
      </c>
      <c r="N7393" s="74">
        <f t="shared" si="3"/>
        <v>100000</v>
      </c>
      <c r="O7393" s="65" t="str">
        <f>VLOOKUP(E7393,DATABASE!C:Q,8,false)</f>
        <v>BIAN</v>
      </c>
      <c r="P7393" s="65">
        <f>VLOOKUP(E7393,DATABASE!C:Q,9,False)</f>
        <v>0</v>
      </c>
      <c r="Q7393" s="93" t="str">
        <f>VLOOKUP(E7393,DATABASE!C:Q,4,false)</f>
        <v>Baut Camber</v>
      </c>
      <c r="R7393" s="93" t="str">
        <f>VLOOKUP(E7393,DATABASE!C:Q,11,false)</f>
        <v>COMPLEMENTARY</v>
      </c>
    </row>
    <row r="7394" ht="22.5" customHeight="1">
      <c r="A7394" s="49"/>
      <c r="C7394" s="400">
        <v>46092.0</v>
      </c>
      <c r="D7394" s="524">
        <v>600.0</v>
      </c>
      <c r="E7394" s="544" t="s">
        <v>275</v>
      </c>
      <c r="F7394" s="387">
        <v>1.0</v>
      </c>
      <c r="G7394" s="140">
        <v>830000.0</v>
      </c>
      <c r="H7394" s="140"/>
      <c r="I7394" s="74">
        <f t="shared" si="1"/>
        <v>830000</v>
      </c>
      <c r="J7394" s="74">
        <f>IF(E7394="SERVICE",I7394-(I7394*50%),Vlookup(E7394,DATABASE!C:Q,10,false)*F7394)</f>
        <v>0</v>
      </c>
      <c r="K7394" s="74">
        <f>VLOOKUP(E7394,DATABASE!C:Q,7,false)</f>
        <v>782000</v>
      </c>
      <c r="L7394" s="74">
        <v>745000.0</v>
      </c>
      <c r="M7394" s="74">
        <f t="shared" si="2"/>
        <v>745000</v>
      </c>
      <c r="N7394" s="74">
        <f t="shared" si="3"/>
        <v>85000</v>
      </c>
      <c r="O7394" s="69" t="s">
        <v>1329</v>
      </c>
      <c r="P7394" s="69">
        <v>0.0</v>
      </c>
      <c r="Q7394" s="93" t="str">
        <f>VLOOKUP(E7394,DATABASE!C:Q,4,false)</f>
        <v>Dunlop</v>
      </c>
      <c r="R7394" s="93" t="str">
        <f>VLOOKUP(E7394,DATABASE!C:Q,11,false)</f>
        <v>Tire</v>
      </c>
    </row>
    <row r="7395" ht="22.5" customHeight="1">
      <c r="A7395" s="49"/>
      <c r="C7395" s="400">
        <v>46092.0</v>
      </c>
      <c r="D7395" s="524">
        <v>601.0</v>
      </c>
      <c r="E7395" s="544" t="s">
        <v>2221</v>
      </c>
      <c r="F7395" s="387">
        <v>2.0</v>
      </c>
      <c r="G7395" s="140">
        <v>550000.0</v>
      </c>
      <c r="H7395" s="74"/>
      <c r="I7395" s="74">
        <f t="shared" si="1"/>
        <v>1100000</v>
      </c>
      <c r="J7395" s="74">
        <f>IF(E7395="SERVICE",I7395-(I7395*50%),Vlookup(E7395,DATABASE!C:Q,10,false)*F7395)</f>
        <v>0</v>
      </c>
      <c r="K7395" s="74">
        <f>VLOOKUP(E7395,DATABASE!C:Q,7,false)</f>
        <v>450000</v>
      </c>
      <c r="L7395" s="74">
        <v>450000.0</v>
      </c>
      <c r="M7395" s="74">
        <f t="shared" si="2"/>
        <v>450000</v>
      </c>
      <c r="N7395" s="74">
        <f t="shared" si="3"/>
        <v>200000</v>
      </c>
      <c r="O7395" s="65" t="str">
        <f>VLOOKUP(E7395,DATABASE!C:Q,8,false)</f>
        <v>BIAN</v>
      </c>
      <c r="P7395" s="65">
        <f>VLOOKUP(E7395,DATABASE!C:Q,9,False)</f>
        <v>1</v>
      </c>
      <c r="Q7395" s="93" t="str">
        <f>VLOOKUP(E7395,DATABASE!C:Q,4,false)</f>
        <v>Velg</v>
      </c>
      <c r="R7395" s="93" t="str">
        <f>VLOOKUP(E7395,DATABASE!C:Q,11,false)</f>
        <v>Tire</v>
      </c>
    </row>
    <row r="7396" ht="22.5" customHeight="1">
      <c r="A7396" s="49"/>
      <c r="C7396" s="400">
        <v>46092.0</v>
      </c>
      <c r="D7396" s="524">
        <v>601.0</v>
      </c>
      <c r="E7396" s="544" t="s">
        <v>275</v>
      </c>
      <c r="F7396" s="387">
        <v>2.0</v>
      </c>
      <c r="G7396" s="140">
        <v>830000.0</v>
      </c>
      <c r="H7396" s="74"/>
      <c r="I7396" s="74">
        <f t="shared" si="1"/>
        <v>1660000</v>
      </c>
      <c r="J7396" s="74">
        <f>IF(E7396="SERVICE",I7396-(I7396*50%),Vlookup(E7396,DATABASE!C:Q,10,false)*F7396)</f>
        <v>0</v>
      </c>
      <c r="K7396" s="74">
        <f>VLOOKUP(E7396,DATABASE!C:Q,7,false)</f>
        <v>782000</v>
      </c>
      <c r="L7396" s="74">
        <v>745000.0</v>
      </c>
      <c r="M7396" s="74">
        <f t="shared" si="2"/>
        <v>745000</v>
      </c>
      <c r="N7396" s="74">
        <f t="shared" si="3"/>
        <v>170000</v>
      </c>
      <c r="O7396" s="69" t="s">
        <v>1329</v>
      </c>
      <c r="P7396" s="69">
        <v>0.0</v>
      </c>
      <c r="Q7396" s="93" t="str">
        <f>VLOOKUP(E7396,DATABASE!C:Q,4,false)</f>
        <v>Dunlop</v>
      </c>
      <c r="R7396" s="93" t="str">
        <f>VLOOKUP(E7396,DATABASE!C:Q,11,false)</f>
        <v>Tire</v>
      </c>
    </row>
    <row r="7397" ht="22.5" customHeight="1">
      <c r="A7397" s="49"/>
      <c r="C7397" s="400">
        <v>46092.0</v>
      </c>
      <c r="D7397" s="524">
        <v>601.0</v>
      </c>
      <c r="E7397" s="544" t="s">
        <v>299</v>
      </c>
      <c r="F7397" s="387">
        <v>2.0</v>
      </c>
      <c r="G7397" s="140">
        <v>30000.0</v>
      </c>
      <c r="H7397" s="74"/>
      <c r="I7397" s="74">
        <f t="shared" si="1"/>
        <v>60000</v>
      </c>
      <c r="J7397" s="74">
        <f>IF(E7397="SERVICE",I7397-(I7397*50%),Vlookup(E7397,DATABASE!C:Q,10,false)*F7397)</f>
        <v>0</v>
      </c>
      <c r="K7397" s="74">
        <f>VLOOKUP(E7397,DATABASE!C:Q,7,false)</f>
        <v>10000</v>
      </c>
      <c r="L7397" s="74">
        <v>10000.0</v>
      </c>
      <c r="M7397" s="74">
        <f t="shared" si="2"/>
        <v>10000</v>
      </c>
      <c r="N7397" s="74">
        <f t="shared" si="3"/>
        <v>40000</v>
      </c>
      <c r="O7397" s="65" t="str">
        <f>VLOOKUP(E7397,DATABASE!C:Q,8,false)</f>
        <v>BIAN</v>
      </c>
      <c r="P7397" s="65">
        <f>VLOOKUP(E7397,DATABASE!C:Q,9,False)</f>
        <v>0</v>
      </c>
      <c r="Q7397" s="93" t="str">
        <f>VLOOKUP(E7397,DATABASE!C:Q,4,false)</f>
        <v>Balancing</v>
      </c>
      <c r="R7397" s="93" t="str">
        <f>VLOOKUP(E7397,DATABASE!C:Q,11,false)</f>
        <v>COMPLEMENTARY</v>
      </c>
    </row>
    <row r="7398" ht="22.5" customHeight="1">
      <c r="A7398" s="49"/>
      <c r="C7398" s="400">
        <v>46092.0</v>
      </c>
      <c r="D7398" s="524">
        <v>601.0</v>
      </c>
      <c r="E7398" s="544" t="s">
        <v>262</v>
      </c>
      <c r="F7398" s="387">
        <v>1.0</v>
      </c>
      <c r="G7398" s="140">
        <v>130000.0</v>
      </c>
      <c r="H7398" s="74"/>
      <c r="I7398" s="74">
        <f t="shared" si="1"/>
        <v>130000</v>
      </c>
      <c r="J7398" s="74">
        <f>IF(E7398="SERVICE",I7398-(I7398*50%),Vlookup(E7398,DATABASE!C:Q,10,false)*F7398)</f>
        <v>5000</v>
      </c>
      <c r="K7398" s="74">
        <f>VLOOKUP(E7398,DATABASE!C:Q,7,false)</f>
        <v>0</v>
      </c>
      <c r="L7398" s="74">
        <v>0.0</v>
      </c>
      <c r="M7398" s="74">
        <f t="shared" si="2"/>
        <v>0</v>
      </c>
      <c r="N7398" s="74">
        <f t="shared" si="3"/>
        <v>125000</v>
      </c>
      <c r="O7398" s="65" t="str">
        <f>VLOOKUP(E7398,DATABASE!C:Q,8,false)</f>
        <v>IBU</v>
      </c>
      <c r="P7398" s="65">
        <f>VLOOKUP(E7398,DATABASE!C:Q,9,False)</f>
        <v>0</v>
      </c>
      <c r="Q7398" s="93" t="str">
        <f>VLOOKUP(E7398,DATABASE!C:Q,4,false)</f>
        <v>SPOORING SS/CARRY LOS BAK</v>
      </c>
      <c r="R7398" s="93" t="str">
        <f>VLOOKUP(E7398,DATABASE!C:Q,11,false)</f>
        <v>SERVICE</v>
      </c>
    </row>
    <row r="7399" ht="22.5" customHeight="1">
      <c r="A7399" s="49"/>
      <c r="C7399" s="400">
        <v>46092.0</v>
      </c>
      <c r="D7399" s="524">
        <v>602.0</v>
      </c>
      <c r="E7399" s="544" t="s">
        <v>781</v>
      </c>
      <c r="F7399" s="387">
        <v>2.0</v>
      </c>
      <c r="G7399" s="140">
        <v>530000.0</v>
      </c>
      <c r="H7399" s="74"/>
      <c r="I7399" s="74">
        <f t="shared" si="1"/>
        <v>1060000</v>
      </c>
      <c r="J7399" s="74">
        <f>IF(E7399="SERVICE",I7399-(I7399*50%),Vlookup(E7399,DATABASE!C:Q,10,false)*F7399)</f>
        <v>0</v>
      </c>
      <c r="K7399" s="74">
        <f>VLOOKUP(E7399,DATABASE!C:Q,7,false)</f>
        <v>470000</v>
      </c>
      <c r="L7399" s="74">
        <v>442500.0</v>
      </c>
      <c r="M7399" s="74">
        <f t="shared" si="2"/>
        <v>445000</v>
      </c>
      <c r="N7399" s="74">
        <f t="shared" si="3"/>
        <v>170000</v>
      </c>
      <c r="O7399" s="65" t="str">
        <f>VLOOKUP(E7399,DATABASE!C:Q,8,false)</f>
        <v>BIAN</v>
      </c>
      <c r="P7399" s="65">
        <f>VLOOKUP(E7399,DATABASE!C:Q,9,False)</f>
        <v>1</v>
      </c>
      <c r="Q7399" s="93" t="str">
        <f>VLOOKUP(E7399,DATABASE!C:Q,4,false)</f>
        <v>GT</v>
      </c>
      <c r="R7399" s="93" t="str">
        <f>VLOOKUP(E7399,DATABASE!C:Q,11,false)</f>
        <v>Tire</v>
      </c>
    </row>
    <row r="7400" ht="22.5" customHeight="1">
      <c r="A7400" s="49"/>
      <c r="C7400" s="400">
        <v>46092.0</v>
      </c>
      <c r="D7400" s="524">
        <v>602.0</v>
      </c>
      <c r="E7400" s="544" t="s">
        <v>262</v>
      </c>
      <c r="F7400" s="387">
        <v>1.0</v>
      </c>
      <c r="G7400" s="140">
        <v>130000.0</v>
      </c>
      <c r="H7400" s="74"/>
      <c r="I7400" s="74">
        <f t="shared" si="1"/>
        <v>130000</v>
      </c>
      <c r="J7400" s="74">
        <f>IF(E7400="SERVICE",I7400-(I7400*50%),Vlookup(E7400,DATABASE!C:Q,10,false)*F7400)</f>
        <v>5000</v>
      </c>
      <c r="K7400" s="74">
        <f>VLOOKUP(E7400,DATABASE!C:Q,7,false)</f>
        <v>0</v>
      </c>
      <c r="L7400" s="74">
        <v>0.0</v>
      </c>
      <c r="M7400" s="74">
        <f t="shared" si="2"/>
        <v>0</v>
      </c>
      <c r="N7400" s="74">
        <f t="shared" si="3"/>
        <v>125000</v>
      </c>
      <c r="O7400" s="65" t="str">
        <f>VLOOKUP(E7400,DATABASE!C:Q,8,false)</f>
        <v>IBU</v>
      </c>
      <c r="P7400" s="65">
        <f>VLOOKUP(E7400,DATABASE!C:Q,9,False)</f>
        <v>0</v>
      </c>
      <c r="Q7400" s="93" t="str">
        <f>VLOOKUP(E7400,DATABASE!C:Q,4,false)</f>
        <v>SPOORING SS/CARRY LOS BAK</v>
      </c>
      <c r="R7400" s="93" t="str">
        <f>VLOOKUP(E7400,DATABASE!C:Q,11,false)</f>
        <v>SERVICE</v>
      </c>
    </row>
    <row r="7401" ht="22.5" customHeight="1">
      <c r="A7401" s="49"/>
      <c r="C7401" s="400">
        <v>46092.0</v>
      </c>
      <c r="D7401" s="524">
        <v>602.0</v>
      </c>
      <c r="E7401" s="544" t="s">
        <v>478</v>
      </c>
      <c r="F7401" s="387">
        <v>1.0</v>
      </c>
      <c r="G7401" s="140">
        <v>200000.0</v>
      </c>
      <c r="H7401" s="74"/>
      <c r="I7401" s="74">
        <f t="shared" si="1"/>
        <v>200000</v>
      </c>
      <c r="J7401" s="74">
        <f>IF(E7401="SERVICE",I7401-(I7401*50%),Vlookup(E7401,DATABASE!C:Q,10,false)*F7401)</f>
        <v>25000</v>
      </c>
      <c r="K7401" s="74">
        <f>VLOOKUP(E7401,DATABASE!C:Q,7,false)</f>
        <v>75000</v>
      </c>
      <c r="L7401" s="74">
        <v>75000.0</v>
      </c>
      <c r="M7401" s="74">
        <f t="shared" si="2"/>
        <v>75000</v>
      </c>
      <c r="N7401" s="74">
        <f t="shared" si="3"/>
        <v>100000</v>
      </c>
      <c r="O7401" s="65" t="str">
        <f>VLOOKUP(E7401,DATABASE!C:Q,8,false)</f>
        <v>BIAN</v>
      </c>
      <c r="P7401" s="65">
        <f>VLOOKUP(E7401,DATABASE!C:Q,9,False)</f>
        <v>0</v>
      </c>
      <c r="Q7401" s="93" t="str">
        <f>VLOOKUP(E7401,DATABASE!C:Q,4,false)</f>
        <v>Baut Camber ss-carry</v>
      </c>
      <c r="R7401" s="93" t="str">
        <f>VLOOKUP(E7401,DATABASE!C:Q,11,false)</f>
        <v>COMPLEMENTARY</v>
      </c>
    </row>
    <row r="7402" ht="22.5" customHeight="1">
      <c r="A7402" s="49"/>
      <c r="C7402" s="400">
        <v>46092.0</v>
      </c>
      <c r="D7402" s="524">
        <v>604.0</v>
      </c>
      <c r="E7402" s="544" t="s">
        <v>256</v>
      </c>
      <c r="F7402" s="387">
        <v>1.0</v>
      </c>
      <c r="G7402" s="140">
        <v>175000.0</v>
      </c>
      <c r="H7402" s="140">
        <v>25000.0</v>
      </c>
      <c r="I7402" s="74">
        <f t="shared" si="1"/>
        <v>150000</v>
      </c>
      <c r="J7402" s="74">
        <f>IF(E7402="SERVICE",I7402-(I7402*50%),Vlookup(E7402,DATABASE!C:Q,10,false)*F7402)</f>
        <v>10000</v>
      </c>
      <c r="K7402" s="74">
        <f>VLOOKUP(E7402,DATABASE!C:Q,7,false)</f>
        <v>0</v>
      </c>
      <c r="L7402" s="74">
        <v>0.0</v>
      </c>
      <c r="M7402" s="74">
        <f t="shared" si="2"/>
        <v>0</v>
      </c>
      <c r="N7402" s="74">
        <f t="shared" si="3"/>
        <v>140000</v>
      </c>
      <c r="O7402" s="65" t="str">
        <f>VLOOKUP(E7402,DATABASE!C:Q,8,false)</f>
        <v>IBU</v>
      </c>
      <c r="P7402" s="65">
        <f>VLOOKUP(E7402,DATABASE!C:Q,9,False)</f>
        <v>0</v>
      </c>
      <c r="Q7402" s="93" t="str">
        <f>VLOOKUP(E7402,DATABASE!C:Q,4,false)</f>
        <v>SPOORING</v>
      </c>
      <c r="R7402" s="93" t="str">
        <f>VLOOKUP(E7402,DATABASE!C:Q,11,false)</f>
        <v>SERVICE</v>
      </c>
    </row>
    <row r="7403" ht="22.5" customHeight="1">
      <c r="A7403" s="49"/>
      <c r="C7403" s="400">
        <v>46092.0</v>
      </c>
      <c r="D7403" s="524">
        <v>604.0</v>
      </c>
      <c r="E7403" s="544" t="s">
        <v>251</v>
      </c>
      <c r="F7403" s="387">
        <v>1.0</v>
      </c>
      <c r="G7403" s="140">
        <v>350000.0</v>
      </c>
      <c r="H7403" s="140">
        <v>200000.0</v>
      </c>
      <c r="I7403" s="74">
        <f t="shared" si="1"/>
        <v>150000</v>
      </c>
      <c r="J7403" s="74">
        <f>IF(E7403="SERVICE",I7403-(I7403*50%),Vlookup(E7403,DATABASE!C:Q,10,false)*F7403)</f>
        <v>75000</v>
      </c>
      <c r="K7403" s="74">
        <f>VLOOKUP(E7403,DATABASE!C:Q,7,false)</f>
        <v>0</v>
      </c>
      <c r="L7403" s="74">
        <v>0.0</v>
      </c>
      <c r="M7403" s="74">
        <f t="shared" si="2"/>
        <v>0</v>
      </c>
      <c r="N7403" s="74">
        <f t="shared" si="3"/>
        <v>75000</v>
      </c>
      <c r="O7403" s="65" t="str">
        <f>VLOOKUP(E7403,DATABASE!C:Q,8,false)</f>
        <v>IBU</v>
      </c>
      <c r="P7403" s="65">
        <f>VLOOKUP(E7403,DATABASE!C:Q,9,False)</f>
        <v>0</v>
      </c>
      <c r="Q7403" s="93" t="str">
        <f>VLOOKUP(E7403,DATABASE!C:Q,4,false)</f>
        <v>SERVICE</v>
      </c>
      <c r="R7403" s="93" t="str">
        <f>VLOOKUP(E7403,DATABASE!C:Q,11,false)</f>
        <v>SERVICE</v>
      </c>
    </row>
    <row r="7404" ht="22.5" customHeight="1">
      <c r="A7404" s="49"/>
      <c r="C7404" s="400">
        <v>46093.0</v>
      </c>
      <c r="D7404" s="524">
        <v>605.0</v>
      </c>
      <c r="E7404" s="544" t="s">
        <v>1389</v>
      </c>
      <c r="F7404" s="387">
        <v>2.0</v>
      </c>
      <c r="G7404" s="140">
        <v>1020000.0</v>
      </c>
      <c r="H7404" s="74"/>
      <c r="I7404" s="74">
        <f t="shared" si="1"/>
        <v>2040000</v>
      </c>
      <c r="J7404" s="74">
        <f>IF(E7404="SERVICE",I7404-(I7404*50%),Vlookup(E7404,DATABASE!C:Q,10,false)*F7404)</f>
        <v>0</v>
      </c>
      <c r="K7404" s="74">
        <f>VLOOKUP(E7404,DATABASE!C:Q,7,false)</f>
        <v>908000</v>
      </c>
      <c r="L7404" s="74">
        <v>908000.0</v>
      </c>
      <c r="M7404" s="74">
        <f t="shared" si="2"/>
        <v>910000</v>
      </c>
      <c r="N7404" s="74">
        <f t="shared" si="3"/>
        <v>220000</v>
      </c>
      <c r="O7404" s="65" t="str">
        <f>VLOOKUP(E7404,DATABASE!C:Q,8,false)</f>
        <v>IBU</v>
      </c>
      <c r="P7404" s="65">
        <f>VLOOKUP(E7404,DATABASE!C:Q,9,False)</f>
        <v>1</v>
      </c>
      <c r="Q7404" s="93" t="str">
        <f>VLOOKUP(E7404,DATABASE!C:Q,4,false)</f>
        <v>Dunlop</v>
      </c>
      <c r="R7404" s="93" t="str">
        <f>VLOOKUP(E7404,DATABASE!C:Q,11,false)</f>
        <v>Tire</v>
      </c>
    </row>
    <row r="7405" ht="22.5" customHeight="1">
      <c r="A7405" s="49"/>
      <c r="C7405" s="400">
        <v>46093.0</v>
      </c>
      <c r="D7405" s="524">
        <v>605.0</v>
      </c>
      <c r="E7405" s="544" t="s">
        <v>299</v>
      </c>
      <c r="F7405" s="387">
        <v>2.0</v>
      </c>
      <c r="G7405" s="140">
        <v>30000.0</v>
      </c>
      <c r="H7405" s="74"/>
      <c r="I7405" s="74">
        <f t="shared" si="1"/>
        <v>60000</v>
      </c>
      <c r="J7405" s="74">
        <f>IF(E7405="SERVICE",I7405-(I7405*50%),Vlookup(E7405,DATABASE!C:Q,10,false)*F7405)</f>
        <v>0</v>
      </c>
      <c r="K7405" s="74">
        <f>VLOOKUP(E7405,DATABASE!C:Q,7,false)</f>
        <v>10000</v>
      </c>
      <c r="L7405" s="74">
        <v>10000.0</v>
      </c>
      <c r="M7405" s="74">
        <f t="shared" si="2"/>
        <v>10000</v>
      </c>
      <c r="N7405" s="74">
        <f t="shared" si="3"/>
        <v>40000</v>
      </c>
      <c r="O7405" s="65" t="str">
        <f>VLOOKUP(E7405,DATABASE!C:Q,8,false)</f>
        <v>BIAN</v>
      </c>
      <c r="P7405" s="65">
        <f>VLOOKUP(E7405,DATABASE!C:Q,9,False)</f>
        <v>0</v>
      </c>
      <c r="Q7405" s="93" t="str">
        <f>VLOOKUP(E7405,DATABASE!C:Q,4,false)</f>
        <v>Balancing</v>
      </c>
      <c r="R7405" s="93" t="str">
        <f>VLOOKUP(E7405,DATABASE!C:Q,11,false)</f>
        <v>COMPLEMENTARY</v>
      </c>
    </row>
    <row r="7406" ht="22.5" customHeight="1">
      <c r="A7406" s="49"/>
      <c r="C7406" s="400">
        <v>46093.0</v>
      </c>
      <c r="D7406" s="524">
        <v>606.0</v>
      </c>
      <c r="E7406" s="544" t="s">
        <v>268</v>
      </c>
      <c r="F7406" s="387">
        <v>2.0</v>
      </c>
      <c r="G7406" s="140">
        <v>710000.0</v>
      </c>
      <c r="H7406" s="74"/>
      <c r="I7406" s="74">
        <f t="shared" si="1"/>
        <v>1420000</v>
      </c>
      <c r="J7406" s="74">
        <f>IF(E7406="SERVICE",I7406-(I7406*50%),Vlookup(E7406,DATABASE!C:Q,10,false)*F7406)</f>
        <v>0</v>
      </c>
      <c r="K7406" s="74">
        <f>VLOOKUP(E7406,DATABASE!C:Q,7,false)</f>
        <v>653000</v>
      </c>
      <c r="L7406" s="74">
        <v>622000.0</v>
      </c>
      <c r="M7406" s="74">
        <f t="shared" si="2"/>
        <v>625000</v>
      </c>
      <c r="N7406" s="74">
        <f t="shared" si="3"/>
        <v>170000</v>
      </c>
      <c r="O7406" s="65" t="str">
        <f>VLOOKUP(E7406,DATABASE!C:Q,8,false)</f>
        <v>IBU</v>
      </c>
      <c r="P7406" s="65">
        <f>VLOOKUP(E7406,DATABASE!C:Q,9,False)</f>
        <v>1</v>
      </c>
      <c r="Q7406" s="93" t="str">
        <f>VLOOKUP(E7406,DATABASE!C:Q,4,false)</f>
        <v>Dunlop</v>
      </c>
      <c r="R7406" s="93" t="str">
        <f>VLOOKUP(E7406,DATABASE!C:Q,11,false)</f>
        <v>Tire</v>
      </c>
    </row>
    <row r="7407" ht="22.5" customHeight="1">
      <c r="A7407" s="49"/>
      <c r="C7407" s="400">
        <v>46093.0</v>
      </c>
      <c r="D7407" s="524">
        <v>607.0</v>
      </c>
      <c r="E7407" s="544" t="s">
        <v>1843</v>
      </c>
      <c r="F7407" s="387">
        <v>1.0</v>
      </c>
      <c r="G7407" s="140">
        <v>2070000.0</v>
      </c>
      <c r="H7407" s="140">
        <v>20000.0</v>
      </c>
      <c r="I7407" s="74">
        <f t="shared" si="1"/>
        <v>2050000</v>
      </c>
      <c r="J7407" s="74">
        <f>IF(E7407="SERVICE",I7407-(I7407*50%),Vlookup(E7407,DATABASE!C:Q,10,false)*F7407)</f>
        <v>0</v>
      </c>
      <c r="K7407" s="74">
        <f>VLOOKUP(E7407,DATABASE!C:Q,7,false)</f>
        <v>1950000</v>
      </c>
      <c r="L7407" s="74">
        <v>1950000.0</v>
      </c>
      <c r="M7407" s="74">
        <f t="shared" si="2"/>
        <v>1950000</v>
      </c>
      <c r="N7407" s="74">
        <f t="shared" si="3"/>
        <v>100000</v>
      </c>
      <c r="O7407" s="65" t="str">
        <f>VLOOKUP(E7407,DATABASE!C:Q,8,false)</f>
        <v>BIAN</v>
      </c>
      <c r="P7407" s="65">
        <f>VLOOKUP(E7407,DATABASE!C:Q,9,False)</f>
        <v>1</v>
      </c>
      <c r="Q7407" s="93" t="str">
        <f>VLOOKUP(E7407,DATABASE!C:Q,4,false)</f>
        <v>G. YEAR</v>
      </c>
      <c r="R7407" s="93" t="str">
        <f>VLOOKUP(E7407,DATABASE!C:Q,11,false)</f>
        <v>Tire</v>
      </c>
    </row>
    <row r="7408" ht="22.5" customHeight="1">
      <c r="A7408" s="49"/>
      <c r="C7408" s="400">
        <v>46093.0</v>
      </c>
      <c r="D7408" s="524">
        <v>608.0</v>
      </c>
      <c r="E7408" s="544" t="s">
        <v>569</v>
      </c>
      <c r="F7408" s="387">
        <v>2.0</v>
      </c>
      <c r="G7408" s="140">
        <v>80000.0</v>
      </c>
      <c r="H7408" s="74"/>
      <c r="I7408" s="74">
        <f t="shared" si="1"/>
        <v>160000</v>
      </c>
      <c r="J7408" s="74">
        <f>IF(E7408="SERVICE",I7408-(I7408*50%),Vlookup(E7408,DATABASE!C:Q,10,false)*F7408)</f>
        <v>0</v>
      </c>
      <c r="K7408" s="74">
        <f>VLOOKUP(E7408,DATABASE!C:Q,7,false)</f>
        <v>45439.582</v>
      </c>
      <c r="L7408" s="74">
        <v>45309.6</v>
      </c>
      <c r="M7408" s="74">
        <f t="shared" si="2"/>
        <v>50000</v>
      </c>
      <c r="N7408" s="74">
        <f t="shared" si="3"/>
        <v>60000</v>
      </c>
      <c r="O7408" s="65" t="str">
        <f>VLOOKUP(E7408,DATABASE!C:Q,8,false)</f>
        <v>BIAN</v>
      </c>
      <c r="P7408" s="65">
        <f>VLOOKUP(E7408,DATABASE!C:Q,9,False)</f>
        <v>1</v>
      </c>
      <c r="Q7408" s="93" t="str">
        <f>VLOOKUP(E7408,DATABASE!C:Q,4,false)</f>
        <v>BD</v>
      </c>
      <c r="R7408" s="93" t="str">
        <f>VLOOKUP(E7408,DATABASE!C:Q,11,false)</f>
        <v>Tire</v>
      </c>
    </row>
    <row r="7409" ht="22.5" customHeight="1">
      <c r="A7409" s="49"/>
      <c r="C7409" s="400">
        <v>46093.0</v>
      </c>
      <c r="D7409" s="524">
        <v>609.0</v>
      </c>
      <c r="E7409" s="544" t="s">
        <v>1548</v>
      </c>
      <c r="F7409" s="387">
        <v>2.0</v>
      </c>
      <c r="G7409" s="140">
        <v>880000.0</v>
      </c>
      <c r="H7409" s="74"/>
      <c r="I7409" s="74">
        <f t="shared" si="1"/>
        <v>1760000</v>
      </c>
      <c r="J7409" s="74">
        <f>IF(E7409="SERVICE",I7409-(I7409*50%),Vlookup(E7409,DATABASE!C:Q,10,false)*F7409)</f>
        <v>0</v>
      </c>
      <c r="K7409" s="74">
        <f>VLOOKUP(E7409,DATABASE!C:Q,7,false)</f>
        <v>778000</v>
      </c>
      <c r="L7409" s="74">
        <v>778000.0</v>
      </c>
      <c r="M7409" s="74">
        <f t="shared" si="2"/>
        <v>780000</v>
      </c>
      <c r="N7409" s="74">
        <f t="shared" si="3"/>
        <v>200000</v>
      </c>
      <c r="O7409" s="65" t="str">
        <f>VLOOKUP(E7409,DATABASE!C:Q,8,false)</f>
        <v>IBU</v>
      </c>
      <c r="P7409" s="65">
        <f>VLOOKUP(E7409,DATABASE!C:Q,9,False)</f>
        <v>1</v>
      </c>
      <c r="Q7409" s="93" t="str">
        <f>VLOOKUP(E7409,DATABASE!C:Q,4,false)</f>
        <v>Dunlop</v>
      </c>
      <c r="R7409" s="93" t="str">
        <f>VLOOKUP(E7409,DATABASE!C:Q,11,false)</f>
        <v>Tire</v>
      </c>
    </row>
    <row r="7410" ht="22.5" customHeight="1">
      <c r="A7410" s="49"/>
      <c r="C7410" s="400">
        <v>46093.0</v>
      </c>
      <c r="D7410" s="524">
        <v>609.0</v>
      </c>
      <c r="E7410" s="544" t="s">
        <v>256</v>
      </c>
      <c r="F7410" s="387">
        <v>1.0</v>
      </c>
      <c r="G7410" s="140">
        <v>175000.0</v>
      </c>
      <c r="H7410" s="140">
        <v>25000.0</v>
      </c>
      <c r="I7410" s="74">
        <f t="shared" si="1"/>
        <v>150000</v>
      </c>
      <c r="J7410" s="74">
        <f>IF(E7410="SERVICE",I7410-(I7410*50%),Vlookup(E7410,DATABASE!C:Q,10,false)*F7410)</f>
        <v>10000</v>
      </c>
      <c r="K7410" s="74">
        <f>VLOOKUP(E7410,DATABASE!C:Q,7,false)</f>
        <v>0</v>
      </c>
      <c r="L7410" s="74">
        <v>0.0</v>
      </c>
      <c r="M7410" s="74">
        <f t="shared" si="2"/>
        <v>0</v>
      </c>
      <c r="N7410" s="74">
        <f t="shared" si="3"/>
        <v>140000</v>
      </c>
      <c r="O7410" s="65" t="str">
        <f>VLOOKUP(E7410,DATABASE!C:Q,8,false)</f>
        <v>IBU</v>
      </c>
      <c r="P7410" s="65">
        <f>VLOOKUP(E7410,DATABASE!C:Q,9,False)</f>
        <v>0</v>
      </c>
      <c r="Q7410" s="93" t="str">
        <f>VLOOKUP(E7410,DATABASE!C:Q,4,false)</f>
        <v>SPOORING</v>
      </c>
      <c r="R7410" s="93" t="str">
        <f>VLOOKUP(E7410,DATABASE!C:Q,11,false)</f>
        <v>SERVICE</v>
      </c>
    </row>
    <row r="7411" ht="22.5" customHeight="1">
      <c r="A7411" s="49"/>
      <c r="C7411" s="400">
        <v>46093.0</v>
      </c>
      <c r="D7411" s="524">
        <v>610.0</v>
      </c>
      <c r="E7411" s="544" t="s">
        <v>1377</v>
      </c>
      <c r="F7411" s="387">
        <v>1.0</v>
      </c>
      <c r="G7411" s="140">
        <v>950000.0</v>
      </c>
      <c r="H7411" s="74"/>
      <c r="I7411" s="74">
        <f t="shared" si="1"/>
        <v>950000</v>
      </c>
      <c r="J7411" s="74">
        <f>IF(E7411="SERVICE",I7411-(I7411*50%),Vlookup(E7411,DATABASE!C:Q,10,false)*F7411)</f>
        <v>0</v>
      </c>
      <c r="K7411" s="74">
        <f>VLOOKUP(E7411,DATABASE!C:Q,7,false)</f>
        <v>844000</v>
      </c>
      <c r="L7411" s="74">
        <v>844000.0</v>
      </c>
      <c r="M7411" s="74">
        <f t="shared" si="2"/>
        <v>845000</v>
      </c>
      <c r="N7411" s="74">
        <f t="shared" si="3"/>
        <v>105000</v>
      </c>
      <c r="O7411" s="65" t="str">
        <f>VLOOKUP(E7411,DATABASE!C:Q,8,false)</f>
        <v>IBU</v>
      </c>
      <c r="P7411" s="65">
        <f>VLOOKUP(E7411,DATABASE!C:Q,9,False)</f>
        <v>1</v>
      </c>
      <c r="Q7411" s="93" t="str">
        <f>VLOOKUP(E7411,DATABASE!C:Q,4,false)</f>
        <v>Dunlop</v>
      </c>
      <c r="R7411" s="93" t="str">
        <f>VLOOKUP(E7411,DATABASE!C:Q,11,false)</f>
        <v>Tire</v>
      </c>
    </row>
    <row r="7412" ht="22.5" customHeight="1">
      <c r="A7412" s="49"/>
      <c r="C7412" s="400">
        <v>46093.0</v>
      </c>
      <c r="D7412" s="524">
        <v>611.0</v>
      </c>
      <c r="E7412" s="544" t="s">
        <v>268</v>
      </c>
      <c r="F7412" s="387">
        <v>2.0</v>
      </c>
      <c r="G7412" s="140">
        <v>710000.0</v>
      </c>
      <c r="H7412" s="74"/>
      <c r="I7412" s="74">
        <f t="shared" si="1"/>
        <v>1420000</v>
      </c>
      <c r="J7412" s="74">
        <f>IF(E7412="SERVICE",I7412-(I7412*50%),Vlookup(E7412,DATABASE!C:Q,10,false)*F7412)</f>
        <v>0</v>
      </c>
      <c r="K7412" s="74">
        <f>VLOOKUP(E7412,DATABASE!C:Q,7,false)</f>
        <v>653000</v>
      </c>
      <c r="L7412" s="74">
        <v>622000.0</v>
      </c>
      <c r="M7412" s="74">
        <f t="shared" si="2"/>
        <v>625000</v>
      </c>
      <c r="N7412" s="74">
        <f t="shared" si="3"/>
        <v>170000</v>
      </c>
      <c r="O7412" s="65" t="str">
        <f>VLOOKUP(E7412,DATABASE!C:Q,8,false)</f>
        <v>IBU</v>
      </c>
      <c r="P7412" s="65">
        <f>VLOOKUP(E7412,DATABASE!C:Q,9,False)</f>
        <v>1</v>
      </c>
      <c r="Q7412" s="93" t="str">
        <f>VLOOKUP(E7412,DATABASE!C:Q,4,false)</f>
        <v>Dunlop</v>
      </c>
      <c r="R7412" s="93" t="str">
        <f>VLOOKUP(E7412,DATABASE!C:Q,11,false)</f>
        <v>Tire</v>
      </c>
    </row>
    <row r="7413" ht="22.5" customHeight="1">
      <c r="A7413" s="49"/>
      <c r="C7413" s="400">
        <v>46093.0</v>
      </c>
      <c r="D7413" s="524">
        <v>612.0</v>
      </c>
      <c r="E7413" s="544" t="s">
        <v>604</v>
      </c>
      <c r="F7413" s="387">
        <v>1.0</v>
      </c>
      <c r="G7413" s="140">
        <v>170000.0</v>
      </c>
      <c r="H7413" s="140">
        <v>10000.0</v>
      </c>
      <c r="I7413" s="74">
        <f t="shared" si="1"/>
        <v>160000</v>
      </c>
      <c r="J7413" s="74">
        <f>IF(E7413="SERVICE",I7413-(I7413*50%),Vlookup(E7413,DATABASE!C:Q,10,false)*F7413)</f>
        <v>0</v>
      </c>
      <c r="K7413" s="74">
        <f>VLOOKUP(E7413,DATABASE!C:Q,7,false)</f>
        <v>124000</v>
      </c>
      <c r="L7413" s="74">
        <v>124000.0</v>
      </c>
      <c r="M7413" s="74">
        <f t="shared" si="2"/>
        <v>125000</v>
      </c>
      <c r="N7413" s="74">
        <f t="shared" si="3"/>
        <v>35000</v>
      </c>
      <c r="O7413" s="65" t="str">
        <f>VLOOKUP(E7413,DATABASE!C:Q,8,false)</f>
        <v>BIAN</v>
      </c>
      <c r="P7413" s="65">
        <f>VLOOKUP(E7413,DATABASE!C:Q,9,False)</f>
        <v>1</v>
      </c>
      <c r="Q7413" s="93" t="str">
        <f>VLOOKUP(E7413,DATABASE!C:Q,4,false)</f>
        <v>BD</v>
      </c>
      <c r="R7413" s="93" t="str">
        <f>VLOOKUP(E7413,DATABASE!C:Q,11,false)</f>
        <v>Tire</v>
      </c>
    </row>
    <row r="7414" ht="22.5" customHeight="1">
      <c r="A7414" s="49"/>
      <c r="C7414" s="400">
        <v>46093.0</v>
      </c>
      <c r="D7414" s="524">
        <v>613.0</v>
      </c>
      <c r="E7414" s="544" t="s">
        <v>262</v>
      </c>
      <c r="F7414" s="387">
        <v>1.0</v>
      </c>
      <c r="G7414" s="140">
        <v>130000.0</v>
      </c>
      <c r="H7414" s="74"/>
      <c r="I7414" s="74">
        <f t="shared" si="1"/>
        <v>130000</v>
      </c>
      <c r="J7414" s="74">
        <f>IF(E7414="SERVICE",I7414-(I7414*50%),Vlookup(E7414,DATABASE!C:Q,10,false)*F7414)</f>
        <v>5000</v>
      </c>
      <c r="K7414" s="74">
        <f>VLOOKUP(E7414,DATABASE!C:Q,7,false)</f>
        <v>0</v>
      </c>
      <c r="L7414" s="74">
        <v>0.0</v>
      </c>
      <c r="M7414" s="74">
        <f t="shared" si="2"/>
        <v>0</v>
      </c>
      <c r="N7414" s="74">
        <f t="shared" si="3"/>
        <v>125000</v>
      </c>
      <c r="O7414" s="65" t="str">
        <f>VLOOKUP(E7414,DATABASE!C:Q,8,false)</f>
        <v>IBU</v>
      </c>
      <c r="P7414" s="65">
        <f>VLOOKUP(E7414,DATABASE!C:Q,9,False)</f>
        <v>0</v>
      </c>
      <c r="Q7414" s="93" t="str">
        <f>VLOOKUP(E7414,DATABASE!C:Q,4,false)</f>
        <v>SPOORING SS/CARRY LOS BAK</v>
      </c>
      <c r="R7414" s="93" t="str">
        <f>VLOOKUP(E7414,DATABASE!C:Q,11,false)</f>
        <v>SERVICE</v>
      </c>
    </row>
    <row r="7415" ht="22.5" customHeight="1">
      <c r="A7415" s="49"/>
      <c r="C7415" s="400">
        <v>46093.0</v>
      </c>
      <c r="D7415" s="524">
        <v>613.0</v>
      </c>
      <c r="E7415" s="544" t="s">
        <v>478</v>
      </c>
      <c r="F7415" s="387">
        <v>1.0</v>
      </c>
      <c r="G7415" s="140">
        <v>200000.0</v>
      </c>
      <c r="H7415" s="74"/>
      <c r="I7415" s="74">
        <f t="shared" si="1"/>
        <v>200000</v>
      </c>
      <c r="J7415" s="74">
        <f>IF(E7415="SERVICE",I7415-(I7415*50%),Vlookup(E7415,DATABASE!C:Q,10,false)*F7415)</f>
        <v>25000</v>
      </c>
      <c r="K7415" s="74">
        <f>VLOOKUP(E7415,DATABASE!C:Q,7,false)</f>
        <v>75000</v>
      </c>
      <c r="L7415" s="74">
        <v>75000.0</v>
      </c>
      <c r="M7415" s="74">
        <f t="shared" si="2"/>
        <v>75000</v>
      </c>
      <c r="N7415" s="74">
        <f t="shared" si="3"/>
        <v>100000</v>
      </c>
      <c r="O7415" s="65" t="str">
        <f>VLOOKUP(E7415,DATABASE!C:Q,8,false)</f>
        <v>BIAN</v>
      </c>
      <c r="P7415" s="65">
        <f>VLOOKUP(E7415,DATABASE!C:Q,9,False)</f>
        <v>0</v>
      </c>
      <c r="Q7415" s="93" t="str">
        <f>VLOOKUP(E7415,DATABASE!C:Q,4,false)</f>
        <v>Baut Camber ss-carry</v>
      </c>
      <c r="R7415" s="93" t="str">
        <f>VLOOKUP(E7415,DATABASE!C:Q,11,false)</f>
        <v>COMPLEMENTARY</v>
      </c>
    </row>
    <row r="7416" ht="22.5" customHeight="1">
      <c r="A7416" s="49"/>
      <c r="C7416" s="400">
        <v>46093.0</v>
      </c>
      <c r="D7416" s="524">
        <v>614.0</v>
      </c>
      <c r="E7416" s="544" t="s">
        <v>2625</v>
      </c>
      <c r="F7416" s="387">
        <v>2.0</v>
      </c>
      <c r="G7416" s="140">
        <v>630000.0</v>
      </c>
      <c r="H7416" s="74"/>
      <c r="I7416" s="74">
        <f t="shared" si="1"/>
        <v>1260000</v>
      </c>
      <c r="J7416" s="74">
        <f>IF(E7416="SERVICE",I7416-(I7416*50%),Vlookup(E7416,DATABASE!C:Q,10,false)*F7416)</f>
        <v>0</v>
      </c>
      <c r="K7416" s="74">
        <f>VLOOKUP(E7416,DATABASE!C:Q,7,false)</f>
        <v>532400</v>
      </c>
      <c r="L7416" s="74">
        <v>532400.0</v>
      </c>
      <c r="M7416" s="74">
        <f t="shared" si="2"/>
        <v>535000</v>
      </c>
      <c r="N7416" s="74">
        <f t="shared" si="3"/>
        <v>190000</v>
      </c>
      <c r="O7416" s="65" t="str">
        <f>VLOOKUP(E7416,DATABASE!C:Q,8,false)</f>
        <v>BIAN</v>
      </c>
      <c r="P7416" s="65">
        <f>VLOOKUP(E7416,DATABASE!C:Q,9,False)</f>
        <v>1</v>
      </c>
      <c r="Q7416" s="93" t="str">
        <f>VLOOKUP(E7416,DATABASE!C:Q,4,false)</f>
        <v>Sailun</v>
      </c>
      <c r="R7416" s="93" t="str">
        <f>VLOOKUP(E7416,DATABASE!C:Q,11,false)</f>
        <v>Tire</v>
      </c>
    </row>
    <row r="7417" ht="22.5" customHeight="1">
      <c r="A7417" s="49"/>
      <c r="C7417" s="400">
        <v>46093.0</v>
      </c>
      <c r="D7417" s="524">
        <v>615.0</v>
      </c>
      <c r="E7417" s="544" t="s">
        <v>2199</v>
      </c>
      <c r="F7417" s="387">
        <v>1.0</v>
      </c>
      <c r="G7417" s="140">
        <v>15000.0</v>
      </c>
      <c r="H7417" s="74"/>
      <c r="I7417" s="74">
        <f t="shared" si="1"/>
        <v>15000</v>
      </c>
      <c r="J7417" s="74">
        <f>IF(E7417="SERVICE",I7417-(I7417*50%),Vlookup(E7417,DATABASE!C:Q,10,false)*F7417)</f>
        <v>0</v>
      </c>
      <c r="K7417" s="74">
        <f>VLOOKUP(E7417,DATABASE!C:Q,7,false)</f>
        <v>5000</v>
      </c>
      <c r="L7417" s="140">
        <v>5000.0</v>
      </c>
      <c r="M7417" s="74">
        <f t="shared" si="2"/>
        <v>5000</v>
      </c>
      <c r="N7417" s="74">
        <f t="shared" si="3"/>
        <v>10000</v>
      </c>
      <c r="O7417" s="65" t="str">
        <f>VLOOKUP(E7417,DATABASE!C:Q,8,false)</f>
        <v>BIAN</v>
      </c>
      <c r="P7417" s="65">
        <f>VLOOKUP(E7417,DATABASE!C:Q,9,False)</f>
        <v>0</v>
      </c>
      <c r="Q7417" s="93" t="str">
        <f>VLOOKUP(E7417,DATABASE!C:Q,4,false)</f>
        <v>TAMBAL TUBLES</v>
      </c>
      <c r="R7417" s="93" t="str">
        <f>VLOOKUP(E7417,DATABASE!C:Q,11,false)</f>
        <v>COMPLEMENTARY</v>
      </c>
    </row>
    <row r="7418" ht="22.5" customHeight="1">
      <c r="A7418" s="49"/>
      <c r="C7418" s="400">
        <v>46093.0</v>
      </c>
      <c r="D7418" s="524">
        <v>616.0</v>
      </c>
      <c r="E7418" s="544" t="s">
        <v>256</v>
      </c>
      <c r="F7418" s="387">
        <v>1.0</v>
      </c>
      <c r="G7418" s="140">
        <v>175000.0</v>
      </c>
      <c r="H7418" s="140">
        <v>25000.0</v>
      </c>
      <c r="I7418" s="74">
        <f t="shared" si="1"/>
        <v>150000</v>
      </c>
      <c r="J7418" s="74">
        <f>IF(E7418="SERVICE",I7418-(I7418*50%),Vlookup(E7418,DATABASE!C:Q,10,false)*F7418)</f>
        <v>10000</v>
      </c>
      <c r="K7418" s="74">
        <f>VLOOKUP(E7418,DATABASE!C:Q,7,false)</f>
        <v>0</v>
      </c>
      <c r="L7418" s="74">
        <v>0.0</v>
      </c>
      <c r="M7418" s="74">
        <f t="shared" si="2"/>
        <v>0</v>
      </c>
      <c r="N7418" s="74">
        <f t="shared" si="3"/>
        <v>140000</v>
      </c>
      <c r="O7418" s="65" t="str">
        <f>VLOOKUP(E7418,DATABASE!C:Q,8,false)</f>
        <v>IBU</v>
      </c>
      <c r="P7418" s="65">
        <f>VLOOKUP(E7418,DATABASE!C:Q,9,False)</f>
        <v>0</v>
      </c>
      <c r="Q7418" s="93" t="str">
        <f>VLOOKUP(E7418,DATABASE!C:Q,4,false)</f>
        <v>SPOORING</v>
      </c>
      <c r="R7418" s="93" t="str">
        <f>VLOOKUP(E7418,DATABASE!C:Q,11,false)</f>
        <v>SERVICE</v>
      </c>
    </row>
    <row r="7419" ht="22.5" customHeight="1">
      <c r="A7419" s="49"/>
      <c r="C7419" s="400">
        <v>46093.0</v>
      </c>
      <c r="D7419" s="524">
        <v>616.0</v>
      </c>
      <c r="E7419" s="544" t="s">
        <v>299</v>
      </c>
      <c r="F7419" s="387">
        <v>2.0</v>
      </c>
      <c r="G7419" s="140">
        <v>30000.0</v>
      </c>
      <c r="H7419" s="74"/>
      <c r="I7419" s="74">
        <f t="shared" si="1"/>
        <v>60000</v>
      </c>
      <c r="J7419" s="74">
        <f>IF(E7419="SERVICE",I7419-(I7419*50%),Vlookup(E7419,DATABASE!C:Q,10,false)*F7419)</f>
        <v>0</v>
      </c>
      <c r="K7419" s="74">
        <f>VLOOKUP(E7419,DATABASE!C:Q,7,false)</f>
        <v>10000</v>
      </c>
      <c r="L7419" s="74">
        <v>10000.0</v>
      </c>
      <c r="M7419" s="74">
        <f t="shared" si="2"/>
        <v>10000</v>
      </c>
      <c r="N7419" s="74">
        <f t="shared" si="3"/>
        <v>40000</v>
      </c>
      <c r="O7419" s="65" t="str">
        <f>VLOOKUP(E7419,DATABASE!C:Q,8,false)</f>
        <v>BIAN</v>
      </c>
      <c r="P7419" s="65">
        <f>VLOOKUP(E7419,DATABASE!C:Q,9,False)</f>
        <v>0</v>
      </c>
      <c r="Q7419" s="93" t="str">
        <f>VLOOKUP(E7419,DATABASE!C:Q,4,false)</f>
        <v>Balancing</v>
      </c>
      <c r="R7419" s="93" t="str">
        <f>VLOOKUP(E7419,DATABASE!C:Q,11,false)</f>
        <v>COMPLEMENTARY</v>
      </c>
    </row>
    <row r="7420" ht="22.5" customHeight="1">
      <c r="A7420" s="49"/>
      <c r="C7420" s="400">
        <v>46093.0</v>
      </c>
      <c r="D7420" s="524">
        <v>616.0</v>
      </c>
      <c r="E7420" s="544" t="s">
        <v>301</v>
      </c>
      <c r="F7420" s="387">
        <v>1.0</v>
      </c>
      <c r="G7420" s="140">
        <v>250000.0</v>
      </c>
      <c r="H7420" s="74"/>
      <c r="I7420" s="74">
        <f t="shared" si="1"/>
        <v>250000</v>
      </c>
      <c r="J7420" s="74">
        <f>IF(E7420="SERVICE",I7420-(I7420*50%),Vlookup(E7420,DATABASE!C:Q,10,false)*F7420)</f>
        <v>75000</v>
      </c>
      <c r="K7420" s="74">
        <f>VLOOKUP(E7420,DATABASE!C:Q,7,false)</f>
        <v>75000</v>
      </c>
      <c r="L7420" s="74">
        <v>75000.0</v>
      </c>
      <c r="M7420" s="74">
        <f t="shared" si="2"/>
        <v>75000</v>
      </c>
      <c r="N7420" s="74">
        <f t="shared" si="3"/>
        <v>100000</v>
      </c>
      <c r="O7420" s="65" t="str">
        <f>VLOOKUP(E7420,DATABASE!C:Q,8,false)</f>
        <v>BIAN</v>
      </c>
      <c r="P7420" s="65">
        <f>VLOOKUP(E7420,DATABASE!C:Q,9,False)</f>
        <v>0</v>
      </c>
      <c r="Q7420" s="93" t="str">
        <f>VLOOKUP(E7420,DATABASE!C:Q,4,false)</f>
        <v>Baut Camber</v>
      </c>
      <c r="R7420" s="93" t="str">
        <f>VLOOKUP(E7420,DATABASE!C:Q,11,false)</f>
        <v>COMPLEMENTARY</v>
      </c>
    </row>
    <row r="7421" ht="22.5" customHeight="1">
      <c r="A7421" s="49"/>
      <c r="C7421" s="400">
        <v>46093.0</v>
      </c>
      <c r="D7421" s="524">
        <v>618.0</v>
      </c>
      <c r="E7421" s="544" t="s">
        <v>299</v>
      </c>
      <c r="F7421" s="387">
        <v>2.0</v>
      </c>
      <c r="G7421" s="140">
        <v>30000.0</v>
      </c>
      <c r="H7421" s="74"/>
      <c r="I7421" s="74">
        <f t="shared" si="1"/>
        <v>60000</v>
      </c>
      <c r="J7421" s="74">
        <f>IF(E7421="SERVICE",I7421-(I7421*50%),Vlookup(E7421,DATABASE!C:Q,10,false)*F7421)</f>
        <v>0</v>
      </c>
      <c r="K7421" s="74">
        <f>VLOOKUP(E7421,DATABASE!C:Q,7,false)</f>
        <v>10000</v>
      </c>
      <c r="L7421" s="74">
        <v>10000.0</v>
      </c>
      <c r="M7421" s="74">
        <f t="shared" si="2"/>
        <v>10000</v>
      </c>
      <c r="N7421" s="74">
        <f t="shared" si="3"/>
        <v>40000</v>
      </c>
      <c r="O7421" s="65" t="str">
        <f>VLOOKUP(E7421,DATABASE!C:Q,8,false)</f>
        <v>BIAN</v>
      </c>
      <c r="P7421" s="65">
        <f>VLOOKUP(E7421,DATABASE!C:Q,9,False)</f>
        <v>0</v>
      </c>
      <c r="Q7421" s="93" t="str">
        <f>VLOOKUP(E7421,DATABASE!C:Q,4,false)</f>
        <v>Balancing</v>
      </c>
      <c r="R7421" s="93" t="str">
        <f>VLOOKUP(E7421,DATABASE!C:Q,11,false)</f>
        <v>COMPLEMENTARY</v>
      </c>
    </row>
    <row r="7422" ht="22.5" customHeight="1">
      <c r="A7422" s="49"/>
      <c r="C7422" s="400">
        <v>46093.0</v>
      </c>
      <c r="D7422" s="524">
        <v>619.0</v>
      </c>
      <c r="E7422" s="544" t="s">
        <v>287</v>
      </c>
      <c r="F7422" s="387">
        <v>1.0</v>
      </c>
      <c r="G7422" s="140">
        <v>780000.0</v>
      </c>
      <c r="H7422" s="74"/>
      <c r="I7422" s="74">
        <f t="shared" si="1"/>
        <v>780000</v>
      </c>
      <c r="J7422" s="74">
        <f>IF(E7422="SERVICE",I7422-(I7422*50%),Vlookup(E7422,DATABASE!C:Q,10,false)*F7422)</f>
        <v>0</v>
      </c>
      <c r="K7422" s="74">
        <f>VLOOKUP(E7422,DATABASE!C:Q,7,false)</f>
        <v>711000</v>
      </c>
      <c r="L7422" s="74">
        <v>690600.0</v>
      </c>
      <c r="M7422" s="74">
        <f t="shared" si="2"/>
        <v>695000</v>
      </c>
      <c r="N7422" s="74">
        <f t="shared" si="3"/>
        <v>85000</v>
      </c>
      <c r="O7422" s="65" t="str">
        <f>VLOOKUP(E7422,DATABASE!C:Q,8,false)</f>
        <v>BIAN</v>
      </c>
      <c r="P7422" s="65">
        <f>VLOOKUP(E7422,DATABASE!C:Q,9,False)</f>
        <v>1</v>
      </c>
      <c r="Q7422" s="93" t="str">
        <f>VLOOKUP(E7422,DATABASE!C:Q,4,false)</f>
        <v>GT</v>
      </c>
      <c r="R7422" s="93" t="str">
        <f>VLOOKUP(E7422,DATABASE!C:Q,11,false)</f>
        <v>Tire</v>
      </c>
    </row>
    <row r="7423" ht="22.5" customHeight="1">
      <c r="A7423" s="49"/>
      <c r="C7423" s="400">
        <v>46093.0</v>
      </c>
      <c r="D7423" s="524">
        <v>621.0</v>
      </c>
      <c r="E7423" s="544" t="s">
        <v>569</v>
      </c>
      <c r="F7423" s="387">
        <v>1.0</v>
      </c>
      <c r="G7423" s="140">
        <v>80000.0</v>
      </c>
      <c r="H7423" s="74"/>
      <c r="I7423" s="74">
        <f t="shared" si="1"/>
        <v>80000</v>
      </c>
      <c r="J7423" s="74">
        <f>IF(E7423="SERVICE",I7423-(I7423*50%),Vlookup(E7423,DATABASE!C:Q,10,false)*F7423)</f>
        <v>0</v>
      </c>
      <c r="K7423" s="74">
        <f>VLOOKUP(E7423,DATABASE!C:Q,7,false)</f>
        <v>45439.582</v>
      </c>
      <c r="L7423" s="74">
        <v>45309.6</v>
      </c>
      <c r="M7423" s="74">
        <f t="shared" si="2"/>
        <v>50000</v>
      </c>
      <c r="N7423" s="74">
        <f t="shared" si="3"/>
        <v>30000</v>
      </c>
      <c r="O7423" s="65" t="str">
        <f>VLOOKUP(E7423,DATABASE!C:Q,8,false)</f>
        <v>BIAN</v>
      </c>
      <c r="P7423" s="65">
        <f>VLOOKUP(E7423,DATABASE!C:Q,9,False)</f>
        <v>1</v>
      </c>
      <c r="Q7423" s="93" t="str">
        <f>VLOOKUP(E7423,DATABASE!C:Q,4,false)</f>
        <v>BD</v>
      </c>
      <c r="R7423" s="93" t="str">
        <f>VLOOKUP(E7423,DATABASE!C:Q,11,false)</f>
        <v>Tire</v>
      </c>
    </row>
    <row r="7424" ht="22.5" customHeight="1">
      <c r="A7424" s="49"/>
      <c r="C7424" s="400">
        <v>46093.0</v>
      </c>
      <c r="D7424" s="524">
        <v>622.0</v>
      </c>
      <c r="E7424" s="544" t="s">
        <v>1555</v>
      </c>
      <c r="F7424" s="387">
        <v>1.0</v>
      </c>
      <c r="G7424" s="140">
        <v>1025000.0</v>
      </c>
      <c r="H7424" s="74"/>
      <c r="I7424" s="74">
        <f t="shared" si="1"/>
        <v>1025000</v>
      </c>
      <c r="J7424" s="74">
        <f>IF(E7424="SERVICE",I7424-(I7424*50%),Vlookup(E7424,DATABASE!C:Q,10,false)*F7424)</f>
        <v>0</v>
      </c>
      <c r="K7424" s="74">
        <f>VLOOKUP(E7424,DATABASE!C:Q,7,false)</f>
        <v>921750</v>
      </c>
      <c r="L7424" s="74">
        <v>921750.0</v>
      </c>
      <c r="M7424" s="74">
        <f t="shared" si="2"/>
        <v>925000</v>
      </c>
      <c r="N7424" s="74">
        <f t="shared" si="3"/>
        <v>100000</v>
      </c>
      <c r="O7424" s="65" t="str">
        <f>VLOOKUP(E7424,DATABASE!C:Q,8,false)</f>
        <v>IBU</v>
      </c>
      <c r="P7424" s="65">
        <f>VLOOKUP(E7424,DATABASE!C:Q,9,False)</f>
        <v>1</v>
      </c>
      <c r="Q7424" s="93" t="str">
        <f>VLOOKUP(E7424,DATABASE!C:Q,4,false)</f>
        <v>Dunlop</v>
      </c>
      <c r="R7424" s="93" t="str">
        <f>VLOOKUP(E7424,DATABASE!C:Q,11,false)</f>
        <v>Tire</v>
      </c>
    </row>
    <row r="7425" ht="22.5" customHeight="1">
      <c r="A7425" s="49"/>
      <c r="C7425" s="400">
        <v>46093.0</v>
      </c>
      <c r="D7425" s="524">
        <v>623.0</v>
      </c>
      <c r="E7425" s="544" t="s">
        <v>1548</v>
      </c>
      <c r="F7425" s="387">
        <v>2.0</v>
      </c>
      <c r="G7425" s="140">
        <v>880000.0</v>
      </c>
      <c r="H7425" s="140">
        <v>5000.0</v>
      </c>
      <c r="I7425" s="74">
        <f t="shared" si="1"/>
        <v>1750000</v>
      </c>
      <c r="J7425" s="74">
        <f>IF(E7425="SERVICE",I7425-(I7425*50%),Vlookup(E7425,DATABASE!C:Q,10,false)*F7425)</f>
        <v>0</v>
      </c>
      <c r="K7425" s="74">
        <f>VLOOKUP(E7425,DATABASE!C:Q,7,false)</f>
        <v>778000</v>
      </c>
      <c r="L7425" s="74">
        <v>778000.0</v>
      </c>
      <c r="M7425" s="74">
        <f t="shared" si="2"/>
        <v>780000</v>
      </c>
      <c r="N7425" s="74">
        <f t="shared" si="3"/>
        <v>190000</v>
      </c>
      <c r="O7425" s="65" t="str">
        <f>VLOOKUP(E7425,DATABASE!C:Q,8,false)</f>
        <v>IBU</v>
      </c>
      <c r="P7425" s="65">
        <f>VLOOKUP(E7425,DATABASE!C:Q,9,False)</f>
        <v>1</v>
      </c>
      <c r="Q7425" s="93" t="str">
        <f>VLOOKUP(E7425,DATABASE!C:Q,4,false)</f>
        <v>Dunlop</v>
      </c>
      <c r="R7425" s="93" t="str">
        <f>VLOOKUP(E7425,DATABASE!C:Q,11,false)</f>
        <v>Tire</v>
      </c>
    </row>
    <row r="7426" ht="22.5" customHeight="1">
      <c r="A7426" s="49"/>
      <c r="C7426" s="400">
        <v>46093.0</v>
      </c>
      <c r="D7426" s="524">
        <v>624.0</v>
      </c>
      <c r="E7426" s="544" t="s">
        <v>262</v>
      </c>
      <c r="F7426" s="387">
        <v>1.0</v>
      </c>
      <c r="G7426" s="140">
        <v>130000.0</v>
      </c>
      <c r="H7426" s="74"/>
      <c r="I7426" s="74">
        <f t="shared" si="1"/>
        <v>130000</v>
      </c>
      <c r="J7426" s="74">
        <f>IF(E7426="SERVICE",I7426-(I7426*50%),Vlookup(E7426,DATABASE!C:Q,10,false)*F7426)</f>
        <v>5000</v>
      </c>
      <c r="K7426" s="74">
        <f>VLOOKUP(E7426,DATABASE!C:Q,7,false)</f>
        <v>0</v>
      </c>
      <c r="L7426" s="74">
        <v>0.0</v>
      </c>
      <c r="M7426" s="74">
        <f t="shared" si="2"/>
        <v>0</v>
      </c>
      <c r="N7426" s="74">
        <f t="shared" si="3"/>
        <v>125000</v>
      </c>
      <c r="O7426" s="65" t="str">
        <f>VLOOKUP(E7426,DATABASE!C:Q,8,false)</f>
        <v>IBU</v>
      </c>
      <c r="P7426" s="65">
        <f>VLOOKUP(E7426,DATABASE!C:Q,9,False)</f>
        <v>0</v>
      </c>
      <c r="Q7426" s="93" t="str">
        <f>VLOOKUP(E7426,DATABASE!C:Q,4,false)</f>
        <v>SPOORING SS/CARRY LOS BAK</v>
      </c>
      <c r="R7426" s="93" t="str">
        <f>VLOOKUP(E7426,DATABASE!C:Q,11,false)</f>
        <v>SERVICE</v>
      </c>
    </row>
    <row r="7427" ht="22.5" customHeight="1">
      <c r="A7427" s="49"/>
      <c r="C7427" s="400">
        <v>46093.0</v>
      </c>
      <c r="D7427" s="524">
        <v>624.0</v>
      </c>
      <c r="E7427" s="544" t="s">
        <v>251</v>
      </c>
      <c r="F7427" s="387">
        <v>1.0</v>
      </c>
      <c r="G7427" s="140">
        <v>350000.0</v>
      </c>
      <c r="H7427" s="140">
        <v>70000.0</v>
      </c>
      <c r="I7427" s="74">
        <f t="shared" si="1"/>
        <v>280000</v>
      </c>
      <c r="J7427" s="74">
        <f>IF(E7427="SERVICE",I7427-(I7427*50%),Vlookup(E7427,DATABASE!C:Q,10,false)*F7427)</f>
        <v>140000</v>
      </c>
      <c r="K7427" s="74">
        <f>VLOOKUP(E7427,DATABASE!C:Q,7,false)</f>
        <v>0</v>
      </c>
      <c r="L7427" s="74">
        <v>0.0</v>
      </c>
      <c r="M7427" s="74">
        <f t="shared" si="2"/>
        <v>0</v>
      </c>
      <c r="N7427" s="74">
        <f t="shared" si="3"/>
        <v>140000</v>
      </c>
      <c r="O7427" s="65" t="str">
        <f>VLOOKUP(E7427,DATABASE!C:Q,8,false)</f>
        <v>IBU</v>
      </c>
      <c r="P7427" s="65">
        <f>VLOOKUP(E7427,DATABASE!C:Q,9,False)</f>
        <v>0</v>
      </c>
      <c r="Q7427" s="93" t="str">
        <f>VLOOKUP(E7427,DATABASE!C:Q,4,false)</f>
        <v>SERVICE</v>
      </c>
      <c r="R7427" s="93" t="str">
        <f>VLOOKUP(E7427,DATABASE!C:Q,11,false)</f>
        <v>SERVICE</v>
      </c>
    </row>
    <row r="7428" ht="22.5" customHeight="1">
      <c r="A7428" s="49"/>
      <c r="C7428" s="400">
        <v>46093.0</v>
      </c>
      <c r="D7428" s="524">
        <v>625.0</v>
      </c>
      <c r="E7428" s="544" t="s">
        <v>1862</v>
      </c>
      <c r="F7428" s="387">
        <v>1.0</v>
      </c>
      <c r="G7428" s="140">
        <v>2150000.0</v>
      </c>
      <c r="H7428" s="74"/>
      <c r="I7428" s="74">
        <f t="shared" si="1"/>
        <v>2150000</v>
      </c>
      <c r="J7428" s="74">
        <f>IF(E7428="SERVICE",I7428-(I7428*50%),Vlookup(E7428,DATABASE!C:Q,10,false)*F7428)</f>
        <v>0</v>
      </c>
      <c r="K7428" s="74">
        <f>VLOOKUP(E7428,DATABASE!C:Q,7,false)</f>
        <v>2080000</v>
      </c>
      <c r="L7428" s="74">
        <v>2050000.0</v>
      </c>
      <c r="M7428" s="74">
        <f t="shared" si="2"/>
        <v>2050000</v>
      </c>
      <c r="N7428" s="74">
        <f t="shared" si="3"/>
        <v>100000</v>
      </c>
      <c r="O7428" s="65" t="str">
        <f>VLOOKUP(E7428,DATABASE!C:Q,8,false)</f>
        <v>BIAN</v>
      </c>
      <c r="P7428" s="65">
        <f>VLOOKUP(E7428,DATABASE!C:Q,9,False)</f>
        <v>1</v>
      </c>
      <c r="Q7428" s="93" t="str">
        <f>VLOOKUP(E7428,DATABASE!C:Q,4,false)</f>
        <v>GiTi</v>
      </c>
      <c r="R7428" s="93" t="str">
        <f>VLOOKUP(E7428,DATABASE!C:Q,11,false)</f>
        <v>Tire</v>
      </c>
    </row>
    <row r="7429" ht="22.5" customHeight="1">
      <c r="A7429" s="49"/>
      <c r="C7429" s="400">
        <v>46093.0</v>
      </c>
      <c r="D7429" s="524">
        <v>628.0</v>
      </c>
      <c r="E7429" s="544" t="s">
        <v>251</v>
      </c>
      <c r="F7429" s="387">
        <v>1.0</v>
      </c>
      <c r="G7429" s="140">
        <v>350000.0</v>
      </c>
      <c r="H7429" s="140">
        <v>230000.0</v>
      </c>
      <c r="I7429" s="74">
        <f t="shared" si="1"/>
        <v>120000</v>
      </c>
      <c r="J7429" s="74">
        <f>IF(E7429="SERVICE",I7429-(I7429*50%),Vlookup(E7429,DATABASE!C:Q,10,false)*F7429)</f>
        <v>60000</v>
      </c>
      <c r="K7429" s="74">
        <f>VLOOKUP(E7429,DATABASE!C:Q,7,false)</f>
        <v>0</v>
      </c>
      <c r="L7429" s="74">
        <v>0.0</v>
      </c>
      <c r="M7429" s="74">
        <f t="shared" si="2"/>
        <v>0</v>
      </c>
      <c r="N7429" s="74">
        <f t="shared" si="3"/>
        <v>60000</v>
      </c>
      <c r="O7429" s="65" t="str">
        <f>VLOOKUP(E7429,DATABASE!C:Q,8,false)</f>
        <v>IBU</v>
      </c>
      <c r="P7429" s="65">
        <f>VLOOKUP(E7429,DATABASE!C:Q,9,False)</f>
        <v>0</v>
      </c>
      <c r="Q7429" s="93" t="str">
        <f>VLOOKUP(E7429,DATABASE!C:Q,4,false)</f>
        <v>SERVICE</v>
      </c>
      <c r="R7429" s="93" t="str">
        <f>VLOOKUP(E7429,DATABASE!C:Q,11,false)</f>
        <v>SERVICE</v>
      </c>
    </row>
    <row r="7430" ht="22.5" customHeight="1">
      <c r="A7430" s="49"/>
      <c r="C7430" s="400">
        <v>46093.0</v>
      </c>
      <c r="D7430" s="524">
        <v>629.0</v>
      </c>
      <c r="E7430" s="544" t="s">
        <v>265</v>
      </c>
      <c r="F7430" s="387">
        <v>1.0</v>
      </c>
      <c r="G7430" s="140">
        <v>685000.0</v>
      </c>
      <c r="H7430" s="74"/>
      <c r="I7430" s="74">
        <f t="shared" si="1"/>
        <v>685000</v>
      </c>
      <c r="J7430" s="74">
        <f>IF(E7430="SERVICE",I7430-(I7430*50%),Vlookup(E7430,DATABASE!C:Q,10,false)*F7430)</f>
        <v>0</v>
      </c>
      <c r="K7430" s="74">
        <v>600000.0</v>
      </c>
      <c r="L7430" s="74">
        <v>600000.0</v>
      </c>
      <c r="M7430" s="74">
        <f t="shared" si="2"/>
        <v>600000</v>
      </c>
      <c r="N7430" s="74">
        <f t="shared" si="3"/>
        <v>85000</v>
      </c>
      <c r="O7430" s="65" t="str">
        <f>VLOOKUP(E7430,DATABASE!C:Q,8,false)</f>
        <v>IBU</v>
      </c>
      <c r="P7430" s="65">
        <f>VLOOKUP(E7430,DATABASE!C:Q,9,False)</f>
        <v>1</v>
      </c>
      <c r="Q7430" s="93" t="str">
        <f>VLOOKUP(E7430,DATABASE!C:Q,4,false)</f>
        <v>Dunlop</v>
      </c>
      <c r="R7430" s="93" t="str">
        <f>VLOOKUP(E7430,DATABASE!C:Q,11,false)</f>
        <v>Tire</v>
      </c>
    </row>
    <row r="7431" ht="22.5" customHeight="1">
      <c r="A7431" s="49"/>
      <c r="C7431" s="400">
        <v>46093.0</v>
      </c>
      <c r="D7431" s="524">
        <v>630.0</v>
      </c>
      <c r="E7431" s="544" t="s">
        <v>246</v>
      </c>
      <c r="F7431" s="387">
        <v>4.0</v>
      </c>
      <c r="G7431" s="140">
        <v>35000.0</v>
      </c>
      <c r="H7431" s="140">
        <v>10000.0</v>
      </c>
      <c r="I7431" s="74">
        <f t="shared" si="1"/>
        <v>100000</v>
      </c>
      <c r="J7431" s="74">
        <f>IF(E7431="SERVICE",I7431-(I7431*50%),Vlookup(E7431,DATABASE!C:Q,10,false)*F7431)</f>
        <v>0</v>
      </c>
      <c r="K7431" s="74">
        <f>VLOOKUP(E7431,DATABASE!C:Q,7,false)</f>
        <v>0</v>
      </c>
      <c r="L7431" s="74">
        <v>0.0</v>
      </c>
      <c r="M7431" s="74">
        <f t="shared" si="2"/>
        <v>0</v>
      </c>
      <c r="N7431" s="74">
        <f t="shared" si="3"/>
        <v>100000</v>
      </c>
      <c r="O7431" s="65" t="str">
        <f>VLOOKUP(E7431,DATABASE!C:Q,8,false)</f>
        <v>IBU</v>
      </c>
      <c r="P7431" s="65">
        <f>VLOOKUP(E7431,DATABASE!C:Q,9,False)</f>
        <v>0</v>
      </c>
      <c r="Q7431" s="93" t="str">
        <f>VLOOKUP(E7431,DATABASE!C:Q,4,false)</f>
        <v>Bongkar Pasang</v>
      </c>
      <c r="R7431" s="93" t="str">
        <f>VLOOKUP(E7431,DATABASE!C:Q,11,false)</f>
        <v>SERVICE</v>
      </c>
    </row>
    <row r="7432" ht="22.5" customHeight="1">
      <c r="A7432" s="49"/>
      <c r="C7432" s="400">
        <v>46093.0</v>
      </c>
      <c r="D7432" s="524">
        <v>630.0</v>
      </c>
      <c r="E7432" s="544" t="s">
        <v>2139</v>
      </c>
      <c r="F7432" s="387">
        <v>4.0</v>
      </c>
      <c r="G7432" s="140">
        <v>10000.0</v>
      </c>
      <c r="H7432" s="74"/>
      <c r="I7432" s="74">
        <f t="shared" si="1"/>
        <v>40000</v>
      </c>
      <c r="J7432" s="74">
        <f>IF(E7432="SERVICE",I7432-(I7432*50%),Vlookup(E7432,DATABASE!C:Q,10,false)*F7432)</f>
        <v>0</v>
      </c>
      <c r="K7432" s="74">
        <f>VLOOKUP(E7432,DATABASE!C:Q,7,false)</f>
        <v>0</v>
      </c>
      <c r="L7432" s="74">
        <v>0.0</v>
      </c>
      <c r="M7432" s="74">
        <f t="shared" si="2"/>
        <v>0</v>
      </c>
      <c r="N7432" s="74">
        <f t="shared" si="3"/>
        <v>40000</v>
      </c>
      <c r="O7432" s="65" t="str">
        <f>VLOOKUP(E7432,DATABASE!C:Q,8,false)</f>
        <v>IBU</v>
      </c>
      <c r="P7432" s="65">
        <f>VLOOKUP(E7432,DATABASE!C:Q,9,False)</f>
        <v>0</v>
      </c>
      <c r="Q7432" s="93" t="str">
        <f>VLOOKUP(E7432,DATABASE!C:Q,4,false)</f>
        <v>PENTIL</v>
      </c>
      <c r="R7432" s="93" t="str">
        <f>VLOOKUP(E7432,DATABASE!C:Q,11,false)</f>
        <v>COMPLEMENTARY</v>
      </c>
    </row>
    <row r="7433" ht="22.5" customHeight="1">
      <c r="A7433" s="49"/>
      <c r="C7433" s="400">
        <v>46093.0</v>
      </c>
      <c r="D7433" s="524">
        <v>630.0</v>
      </c>
      <c r="E7433" s="544" t="s">
        <v>262</v>
      </c>
      <c r="F7433" s="387">
        <v>1.0</v>
      </c>
      <c r="G7433" s="140">
        <v>130000.0</v>
      </c>
      <c r="H7433" s="74"/>
      <c r="I7433" s="74">
        <f t="shared" si="1"/>
        <v>130000</v>
      </c>
      <c r="J7433" s="74">
        <f>IF(E7433="SERVICE",I7433-(I7433*50%),Vlookup(E7433,DATABASE!C:Q,10,false)*F7433)</f>
        <v>5000</v>
      </c>
      <c r="K7433" s="74">
        <f>VLOOKUP(E7433,DATABASE!C:Q,7,false)</f>
        <v>0</v>
      </c>
      <c r="L7433" s="74">
        <v>0.0</v>
      </c>
      <c r="M7433" s="74">
        <f t="shared" si="2"/>
        <v>0</v>
      </c>
      <c r="N7433" s="74">
        <f t="shared" si="3"/>
        <v>125000</v>
      </c>
      <c r="O7433" s="65" t="str">
        <f>VLOOKUP(E7433,DATABASE!C:Q,8,false)</f>
        <v>IBU</v>
      </c>
      <c r="P7433" s="65">
        <f>VLOOKUP(E7433,DATABASE!C:Q,9,False)</f>
        <v>0</v>
      </c>
      <c r="Q7433" s="93" t="str">
        <f>VLOOKUP(E7433,DATABASE!C:Q,4,false)</f>
        <v>SPOORING SS/CARRY LOS BAK</v>
      </c>
      <c r="R7433" s="93" t="str">
        <f>VLOOKUP(E7433,DATABASE!C:Q,11,false)</f>
        <v>SERVICE</v>
      </c>
    </row>
    <row r="7434" ht="22.5" customHeight="1">
      <c r="A7434" s="49"/>
      <c r="C7434" s="400">
        <v>46093.0</v>
      </c>
      <c r="D7434" s="524">
        <v>630.0</v>
      </c>
      <c r="E7434" s="544" t="s">
        <v>301</v>
      </c>
      <c r="F7434" s="387">
        <v>1.0</v>
      </c>
      <c r="G7434" s="140">
        <v>250000.0</v>
      </c>
      <c r="H7434" s="74"/>
      <c r="I7434" s="74">
        <f t="shared" si="1"/>
        <v>250000</v>
      </c>
      <c r="J7434" s="74">
        <f>IF(E7434="SERVICE",I7434-(I7434*50%),Vlookup(E7434,DATABASE!C:Q,10,false)*F7434)</f>
        <v>75000</v>
      </c>
      <c r="K7434" s="74">
        <f>VLOOKUP(E7434,DATABASE!C:Q,7,false)</f>
        <v>75000</v>
      </c>
      <c r="L7434" s="74">
        <v>75000.0</v>
      </c>
      <c r="M7434" s="74">
        <f t="shared" si="2"/>
        <v>75000</v>
      </c>
      <c r="N7434" s="74">
        <f t="shared" si="3"/>
        <v>100000</v>
      </c>
      <c r="O7434" s="65" t="str">
        <f>VLOOKUP(E7434,DATABASE!C:Q,8,false)</f>
        <v>BIAN</v>
      </c>
      <c r="P7434" s="65">
        <f>VLOOKUP(E7434,DATABASE!C:Q,9,False)</f>
        <v>0</v>
      </c>
      <c r="Q7434" s="93" t="str">
        <f>VLOOKUP(E7434,DATABASE!C:Q,4,false)</f>
        <v>Baut Camber</v>
      </c>
      <c r="R7434" s="93" t="str">
        <f>VLOOKUP(E7434,DATABASE!C:Q,11,false)</f>
        <v>COMPLEMENTARY</v>
      </c>
    </row>
    <row r="7435" ht="22.5" customHeight="1">
      <c r="A7435" s="49"/>
      <c r="C7435" s="400">
        <v>46093.0</v>
      </c>
      <c r="D7435" s="69" t="s">
        <v>2733</v>
      </c>
      <c r="E7435" s="544" t="s">
        <v>263</v>
      </c>
      <c r="F7435" s="387">
        <v>1.0</v>
      </c>
      <c r="G7435" s="140">
        <v>320000.0</v>
      </c>
      <c r="H7435" s="74"/>
      <c r="I7435" s="74">
        <f t="shared" si="1"/>
        <v>320000</v>
      </c>
      <c r="J7435" s="74">
        <f>IF(E7435="SERVICE",I7435-(I7435*50%),Vlookup(E7435,DATABASE!C:Q,10,false)*F7435)</f>
        <v>0</v>
      </c>
      <c r="K7435" s="74">
        <f>VLOOKUP(E7435,DATABASE!C:Q,7,false)</f>
        <v>334916</v>
      </c>
      <c r="L7435" s="74">
        <v>287688.0</v>
      </c>
      <c r="M7435" s="74">
        <f t="shared" si="2"/>
        <v>290000</v>
      </c>
      <c r="N7435" s="74">
        <f t="shared" si="3"/>
        <v>30000</v>
      </c>
      <c r="O7435" s="65" t="str">
        <f>VLOOKUP(E7435,DATABASE!C:Q,8,false)</f>
        <v>NON</v>
      </c>
      <c r="P7435" s="65">
        <f>VLOOKUP(E7435,DATABASE!C:Q,9,False)</f>
        <v>0</v>
      </c>
      <c r="Q7435" s="93" t="str">
        <f>VLOOKUP(E7435,DATABASE!C:Q,4,false)</f>
        <v>Shell</v>
      </c>
      <c r="R7435" s="93" t="str">
        <f>VLOOKUP(E7435,DATABASE!C:Q,11,false)</f>
        <v>OIL</v>
      </c>
    </row>
    <row r="7436" ht="22.5" customHeight="1">
      <c r="A7436" s="49"/>
      <c r="C7436" s="400">
        <v>46093.0</v>
      </c>
      <c r="D7436" s="69" t="s">
        <v>2733</v>
      </c>
      <c r="E7436" s="544" t="s">
        <v>298</v>
      </c>
      <c r="F7436" s="387">
        <v>1.0</v>
      </c>
      <c r="G7436" s="140">
        <v>25000.0</v>
      </c>
      <c r="H7436" s="74"/>
      <c r="I7436" s="74">
        <f t="shared" si="1"/>
        <v>25000</v>
      </c>
      <c r="J7436" s="74">
        <f>IF(E7436="SERVICE",I7436-(I7436*50%),Vlookup(E7436,DATABASE!C:Q,10,false)*F7436)</f>
        <v>0</v>
      </c>
      <c r="K7436" s="74">
        <f>VLOOKUP(E7436,DATABASE!C:Q,7,false)</f>
        <v>19200</v>
      </c>
      <c r="L7436" s="74">
        <v>19200.0</v>
      </c>
      <c r="M7436" s="74">
        <f t="shared" si="2"/>
        <v>20000</v>
      </c>
      <c r="N7436" s="74">
        <f t="shared" si="3"/>
        <v>5000</v>
      </c>
      <c r="O7436" s="65" t="str">
        <f>VLOOKUP(E7436,DATABASE!C:Q,8,false)</f>
        <v>BIAN</v>
      </c>
      <c r="P7436" s="65">
        <f>VLOOKUP(E7436,DATABASE!C:Q,9,False)</f>
        <v>0</v>
      </c>
      <c r="Q7436" s="93" t="str">
        <f>VLOOKUP(E7436,DATABASE!C:Q,4,false)</f>
        <v>Aspira</v>
      </c>
      <c r="R7436" s="93" t="str">
        <f>VLOOKUP(E7436,DATABASE!C:Q,11,false)</f>
        <v>COMPLEMENTARY</v>
      </c>
    </row>
    <row r="7437" ht="22.5" customHeight="1">
      <c r="A7437" s="49"/>
      <c r="C7437" s="400">
        <v>46094.0</v>
      </c>
      <c r="D7437" s="524">
        <v>631.0</v>
      </c>
      <c r="E7437" s="544" t="s">
        <v>295</v>
      </c>
      <c r="F7437" s="387">
        <v>3.0</v>
      </c>
      <c r="G7437" s="140">
        <v>1525000.0</v>
      </c>
      <c r="H7437" s="140">
        <v>20000.0</v>
      </c>
      <c r="I7437" s="74">
        <f t="shared" si="1"/>
        <v>4515000</v>
      </c>
      <c r="J7437" s="74">
        <f>IF(E7437="SERVICE",I7437-(I7437*50%),Vlookup(E7437,DATABASE!C:Q,10,false)*F7437)</f>
        <v>0</v>
      </c>
      <c r="K7437" s="74">
        <f>VLOOKUP(E7437,DATABASE!C:Q,7,false)</f>
        <v>1475000</v>
      </c>
      <c r="L7437" s="74">
        <v>1425000.0</v>
      </c>
      <c r="M7437" s="74">
        <f t="shared" si="2"/>
        <v>1425000</v>
      </c>
      <c r="N7437" s="74">
        <f t="shared" si="3"/>
        <v>240000</v>
      </c>
      <c r="O7437" s="65" t="str">
        <f>VLOOKUP(E7437,DATABASE!C:Q,8,false)</f>
        <v>BIAN</v>
      </c>
      <c r="P7437" s="65">
        <f>VLOOKUP(E7437,DATABASE!C:Q,9,False)</f>
        <v>1</v>
      </c>
      <c r="Q7437" s="93" t="str">
        <f>VLOOKUP(E7437,DATABASE!C:Q,4,false)</f>
        <v>TIRON</v>
      </c>
      <c r="R7437" s="93" t="str">
        <f>VLOOKUP(E7437,DATABASE!C:Q,11,false)</f>
        <v>Tire</v>
      </c>
    </row>
    <row r="7438" ht="22.5" customHeight="1">
      <c r="A7438" s="49"/>
      <c r="C7438" s="400">
        <v>46094.0</v>
      </c>
      <c r="D7438" s="524">
        <v>631.0</v>
      </c>
      <c r="E7438" s="544" t="s">
        <v>286</v>
      </c>
      <c r="F7438" s="387">
        <v>2.0</v>
      </c>
      <c r="G7438" s="140">
        <v>560000.0</v>
      </c>
      <c r="H7438" s="140">
        <v>10000.0</v>
      </c>
      <c r="I7438" s="74">
        <f t="shared" si="1"/>
        <v>1100000</v>
      </c>
      <c r="J7438" s="74">
        <f>IF(E7438="SERVICE",I7438-(I7438*50%),Vlookup(E7438,DATABASE!C:Q,10,false)*F7438)</f>
        <v>0</v>
      </c>
      <c r="K7438" s="74">
        <f>VLOOKUP(E7438,DATABASE!C:Q,7,false)</f>
        <v>488320</v>
      </c>
      <c r="L7438" s="74">
        <v>452970.0</v>
      </c>
      <c r="M7438" s="74">
        <f t="shared" si="2"/>
        <v>455000</v>
      </c>
      <c r="N7438" s="74">
        <f t="shared" si="3"/>
        <v>190000</v>
      </c>
      <c r="O7438" s="65" t="str">
        <f>VLOOKUP(E7438,DATABASE!C:Q,8,false)</f>
        <v>BIAN</v>
      </c>
      <c r="P7438" s="65">
        <f>VLOOKUP(E7438,DATABASE!C:Q,9,False)</f>
        <v>1</v>
      </c>
      <c r="Q7438" s="93" t="str">
        <f>VLOOKUP(E7438,DATABASE!C:Q,4,false)</f>
        <v>GT</v>
      </c>
      <c r="R7438" s="93" t="str">
        <f>VLOOKUP(E7438,DATABASE!C:Q,11,false)</f>
        <v>Tire</v>
      </c>
    </row>
    <row r="7439" ht="22.5" customHeight="1">
      <c r="A7439" s="49"/>
      <c r="C7439" s="400">
        <v>46094.0</v>
      </c>
      <c r="D7439" s="524">
        <v>632.0</v>
      </c>
      <c r="E7439" s="544" t="s">
        <v>1175</v>
      </c>
      <c r="F7439" s="387">
        <v>2.0</v>
      </c>
      <c r="G7439" s="140">
        <v>960000.0</v>
      </c>
      <c r="H7439" s="74"/>
      <c r="I7439" s="74">
        <f t="shared" si="1"/>
        <v>1920000</v>
      </c>
      <c r="J7439" s="74">
        <f>IF(E7439="SERVICE",I7439-(I7439*50%),Vlookup(E7439,DATABASE!C:Q,10,false)*F7439)</f>
        <v>0</v>
      </c>
      <c r="K7439" s="74">
        <f>VLOOKUP(E7439,DATABASE!C:Q,7,false)</f>
        <v>889369.5</v>
      </c>
      <c r="L7439" s="74">
        <v>859264.0</v>
      </c>
      <c r="M7439" s="74">
        <f t="shared" si="2"/>
        <v>860000</v>
      </c>
      <c r="N7439" s="74">
        <f t="shared" si="3"/>
        <v>200000</v>
      </c>
      <c r="O7439" s="65" t="str">
        <f>VLOOKUP(E7439,DATABASE!C:Q,8,false)</f>
        <v>IBU</v>
      </c>
      <c r="P7439" s="65">
        <f>VLOOKUP(E7439,DATABASE!C:Q,9,False)</f>
        <v>1</v>
      </c>
      <c r="Q7439" s="93" t="str">
        <f>VLOOKUP(E7439,DATABASE!C:Q,4,false)</f>
        <v>Bridgestone</v>
      </c>
      <c r="R7439" s="93" t="str">
        <f>VLOOKUP(E7439,DATABASE!C:Q,11,false)</f>
        <v>Tire</v>
      </c>
    </row>
    <row r="7440" ht="22.5" customHeight="1">
      <c r="A7440" s="49"/>
      <c r="C7440" s="400">
        <v>46094.0</v>
      </c>
      <c r="D7440" s="524">
        <v>633.0</v>
      </c>
      <c r="E7440" s="544" t="s">
        <v>251</v>
      </c>
      <c r="F7440" s="387">
        <v>1.0</v>
      </c>
      <c r="G7440" s="140">
        <v>350000.0</v>
      </c>
      <c r="H7440" s="140">
        <v>200000.0</v>
      </c>
      <c r="I7440" s="74">
        <f t="shared" si="1"/>
        <v>150000</v>
      </c>
      <c r="J7440" s="74">
        <f>IF(E7440="SERVICE",I7440-(I7440*50%),Vlookup(E7440,DATABASE!C:Q,10,false)*F7440)</f>
        <v>75000</v>
      </c>
      <c r="K7440" s="74">
        <f>VLOOKUP(E7440,DATABASE!C:Q,7,false)</f>
        <v>0</v>
      </c>
      <c r="L7440" s="74">
        <v>0.0</v>
      </c>
      <c r="M7440" s="74">
        <f t="shared" si="2"/>
        <v>0</v>
      </c>
      <c r="N7440" s="74">
        <f t="shared" si="3"/>
        <v>75000</v>
      </c>
      <c r="O7440" s="65" t="str">
        <f>VLOOKUP(E7440,DATABASE!C:Q,8,false)</f>
        <v>IBU</v>
      </c>
      <c r="P7440" s="65">
        <f>VLOOKUP(E7440,DATABASE!C:Q,9,False)</f>
        <v>0</v>
      </c>
      <c r="Q7440" s="93" t="str">
        <f>VLOOKUP(E7440,DATABASE!C:Q,4,false)</f>
        <v>SERVICE</v>
      </c>
      <c r="R7440" s="93" t="str">
        <f>VLOOKUP(E7440,DATABASE!C:Q,11,false)</f>
        <v>SERVICE</v>
      </c>
    </row>
    <row r="7441" ht="22.5" customHeight="1">
      <c r="A7441" s="49"/>
      <c r="C7441" s="400">
        <v>46094.0</v>
      </c>
      <c r="D7441" s="524">
        <v>633.0</v>
      </c>
      <c r="E7441" s="544" t="s">
        <v>1009</v>
      </c>
      <c r="F7441" s="387">
        <v>1.0</v>
      </c>
      <c r="G7441" s="140">
        <v>700000.0</v>
      </c>
      <c r="H7441" s="140">
        <v>15000.0</v>
      </c>
      <c r="I7441" s="74">
        <f t="shared" si="1"/>
        <v>685000</v>
      </c>
      <c r="J7441" s="74">
        <f>IF(E7441="SERVICE",I7441-(I7441*50%),Vlookup(E7441,DATABASE!C:Q,10,false)*F7441)</f>
        <v>0</v>
      </c>
      <c r="K7441" s="74">
        <f>VLOOKUP(E7441,DATABASE!C:Q,7,false)</f>
        <v>609800</v>
      </c>
      <c r="L7441" s="74">
        <v>592200.0</v>
      </c>
      <c r="M7441" s="74">
        <f t="shared" si="2"/>
        <v>595000</v>
      </c>
      <c r="N7441" s="74">
        <f t="shared" si="3"/>
        <v>90000</v>
      </c>
      <c r="O7441" s="65" t="str">
        <f>VLOOKUP(E7441,DATABASE!C:Q,8,false)</f>
        <v>BIAN</v>
      </c>
      <c r="P7441" s="65">
        <f>VLOOKUP(E7441,DATABASE!C:Q,9,False)</f>
        <v>1</v>
      </c>
      <c r="Q7441" s="93" t="str">
        <f>VLOOKUP(E7441,DATABASE!C:Q,4,false)</f>
        <v>GT</v>
      </c>
      <c r="R7441" s="93" t="str">
        <f>VLOOKUP(E7441,DATABASE!C:Q,11,false)</f>
        <v>Tire</v>
      </c>
    </row>
    <row r="7442" ht="22.5" customHeight="1">
      <c r="A7442" s="49"/>
      <c r="C7442" s="400">
        <v>46094.0</v>
      </c>
      <c r="D7442" s="524">
        <v>634.0</v>
      </c>
      <c r="E7442" s="544" t="s">
        <v>268</v>
      </c>
      <c r="F7442" s="387">
        <v>2.0</v>
      </c>
      <c r="G7442" s="140">
        <v>710000.0</v>
      </c>
      <c r="H7442" s="74"/>
      <c r="I7442" s="74">
        <f t="shared" si="1"/>
        <v>1420000</v>
      </c>
      <c r="J7442" s="74">
        <f>IF(E7442="SERVICE",I7442-(I7442*50%),Vlookup(E7442,DATABASE!C:Q,10,false)*F7442)</f>
        <v>0</v>
      </c>
      <c r="K7442" s="74">
        <f>VLOOKUP(E7442,DATABASE!C:Q,7,false)</f>
        <v>653000</v>
      </c>
      <c r="L7442" s="74">
        <v>622000.0</v>
      </c>
      <c r="M7442" s="74">
        <f t="shared" si="2"/>
        <v>625000</v>
      </c>
      <c r="N7442" s="74">
        <f t="shared" si="3"/>
        <v>170000</v>
      </c>
      <c r="O7442" s="65" t="str">
        <f>VLOOKUP(E7442,DATABASE!C:Q,8,false)</f>
        <v>IBU</v>
      </c>
      <c r="P7442" s="65">
        <f>VLOOKUP(E7442,DATABASE!C:Q,9,False)</f>
        <v>1</v>
      </c>
      <c r="Q7442" s="93" t="str">
        <f>VLOOKUP(E7442,DATABASE!C:Q,4,false)</f>
        <v>Dunlop</v>
      </c>
      <c r="R7442" s="93" t="str">
        <f>VLOOKUP(E7442,DATABASE!C:Q,11,false)</f>
        <v>Tire</v>
      </c>
    </row>
    <row r="7443" ht="22.5" customHeight="1">
      <c r="A7443" s="49"/>
      <c r="C7443" s="400">
        <v>46094.0</v>
      </c>
      <c r="D7443" s="524">
        <v>634.0</v>
      </c>
      <c r="E7443" s="544" t="s">
        <v>262</v>
      </c>
      <c r="F7443" s="387">
        <v>1.0</v>
      </c>
      <c r="G7443" s="140">
        <v>130000.0</v>
      </c>
      <c r="H7443" s="74"/>
      <c r="I7443" s="74">
        <f t="shared" si="1"/>
        <v>130000</v>
      </c>
      <c r="J7443" s="74">
        <f>IF(E7443="SERVICE",I7443-(I7443*50%),Vlookup(E7443,DATABASE!C:Q,10,false)*F7443)</f>
        <v>5000</v>
      </c>
      <c r="K7443" s="74">
        <f>VLOOKUP(E7443,DATABASE!C:Q,7,false)</f>
        <v>0</v>
      </c>
      <c r="L7443" s="74">
        <v>0.0</v>
      </c>
      <c r="M7443" s="74">
        <f t="shared" si="2"/>
        <v>0</v>
      </c>
      <c r="N7443" s="74">
        <f t="shared" si="3"/>
        <v>125000</v>
      </c>
      <c r="O7443" s="65" t="str">
        <f>VLOOKUP(E7443,DATABASE!C:Q,8,false)</f>
        <v>IBU</v>
      </c>
      <c r="P7443" s="65">
        <f>VLOOKUP(E7443,DATABASE!C:Q,9,False)</f>
        <v>0</v>
      </c>
      <c r="Q7443" s="93" t="str">
        <f>VLOOKUP(E7443,DATABASE!C:Q,4,false)</f>
        <v>SPOORING SS/CARRY LOS BAK</v>
      </c>
      <c r="R7443" s="93" t="str">
        <f>VLOOKUP(E7443,DATABASE!C:Q,11,false)</f>
        <v>SERVICE</v>
      </c>
    </row>
    <row r="7444" ht="22.5" customHeight="1">
      <c r="A7444" s="49"/>
      <c r="C7444" s="400">
        <v>46094.0</v>
      </c>
      <c r="D7444" s="524">
        <v>634.0</v>
      </c>
      <c r="E7444" s="544" t="s">
        <v>478</v>
      </c>
      <c r="F7444" s="387">
        <v>1.0</v>
      </c>
      <c r="G7444" s="140">
        <v>200000.0</v>
      </c>
      <c r="H7444" s="74"/>
      <c r="I7444" s="74">
        <f t="shared" si="1"/>
        <v>200000</v>
      </c>
      <c r="J7444" s="74">
        <f>IF(E7444="SERVICE",I7444-(I7444*50%),Vlookup(E7444,DATABASE!C:Q,10,false)*F7444)</f>
        <v>25000</v>
      </c>
      <c r="K7444" s="74">
        <f>VLOOKUP(E7444,DATABASE!C:Q,7,false)</f>
        <v>75000</v>
      </c>
      <c r="L7444" s="74">
        <v>75000.0</v>
      </c>
      <c r="M7444" s="74">
        <f t="shared" si="2"/>
        <v>75000</v>
      </c>
      <c r="N7444" s="74">
        <f t="shared" si="3"/>
        <v>100000</v>
      </c>
      <c r="O7444" s="65" t="str">
        <f>VLOOKUP(E7444,DATABASE!C:Q,8,false)</f>
        <v>BIAN</v>
      </c>
      <c r="P7444" s="65">
        <f>VLOOKUP(E7444,DATABASE!C:Q,9,False)</f>
        <v>0</v>
      </c>
      <c r="Q7444" s="93" t="str">
        <f>VLOOKUP(E7444,DATABASE!C:Q,4,false)</f>
        <v>Baut Camber ss-carry</v>
      </c>
      <c r="R7444" s="93" t="str">
        <f>VLOOKUP(E7444,DATABASE!C:Q,11,false)</f>
        <v>COMPLEMENTARY</v>
      </c>
    </row>
    <row r="7445" ht="22.5" customHeight="1">
      <c r="A7445" s="49"/>
      <c r="C7445" s="400">
        <v>46094.0</v>
      </c>
      <c r="D7445" s="524">
        <v>635.0</v>
      </c>
      <c r="E7445" s="544" t="s">
        <v>282</v>
      </c>
      <c r="F7445" s="387">
        <v>1.0</v>
      </c>
      <c r="G7445" s="140">
        <v>870000.0</v>
      </c>
      <c r="H7445" s="74"/>
      <c r="I7445" s="74">
        <f t="shared" si="1"/>
        <v>870000</v>
      </c>
      <c r="J7445" s="74">
        <f>IF(E7445="SERVICE",I7445-(I7445*50%),Vlookup(E7445,DATABASE!C:Q,10,false)*F7445)</f>
        <v>0</v>
      </c>
      <c r="K7445" s="74">
        <f>VLOOKUP(E7445,DATABASE!C:Q,7,false)</f>
        <v>779500</v>
      </c>
      <c r="L7445" s="74">
        <v>779500.0</v>
      </c>
      <c r="M7445" s="74">
        <f t="shared" si="2"/>
        <v>780000</v>
      </c>
      <c r="N7445" s="74">
        <f t="shared" si="3"/>
        <v>90000</v>
      </c>
      <c r="O7445" s="65" t="str">
        <f>VLOOKUP(E7445,DATABASE!C:Q,8,false)</f>
        <v>IBU</v>
      </c>
      <c r="P7445" s="65">
        <f>VLOOKUP(E7445,DATABASE!C:Q,9,False)</f>
        <v>1</v>
      </c>
      <c r="Q7445" s="93" t="str">
        <f>VLOOKUP(E7445,DATABASE!C:Q,4,false)</f>
        <v>Dunlop</v>
      </c>
      <c r="R7445" s="93" t="str">
        <f>VLOOKUP(E7445,DATABASE!C:Q,11,false)</f>
        <v>Tire</v>
      </c>
    </row>
    <row r="7446" ht="22.5" customHeight="1">
      <c r="A7446" s="49"/>
      <c r="C7446" s="400">
        <v>46094.0</v>
      </c>
      <c r="D7446" s="524">
        <v>636.0</v>
      </c>
      <c r="E7446" s="544" t="s">
        <v>572</v>
      </c>
      <c r="F7446" s="387">
        <v>1.0</v>
      </c>
      <c r="G7446" s="140">
        <v>1370000.0</v>
      </c>
      <c r="H7446" s="140">
        <v>20000.0</v>
      </c>
      <c r="I7446" s="74">
        <f t="shared" si="1"/>
        <v>1350000</v>
      </c>
      <c r="J7446" s="74">
        <f>IF(E7446="SERVICE",I7446-(I7446*50%),Vlookup(E7446,DATABASE!C:Q,10,false)*F7446)</f>
        <v>0</v>
      </c>
      <c r="K7446" s="74">
        <f>VLOOKUP(E7446,DATABASE!C:Q,7,false)</f>
        <v>1265000</v>
      </c>
      <c r="L7446" s="74">
        <v>1245000.0</v>
      </c>
      <c r="M7446" s="74">
        <f t="shared" si="2"/>
        <v>1245000</v>
      </c>
      <c r="N7446" s="74">
        <f t="shared" si="3"/>
        <v>105000</v>
      </c>
      <c r="O7446" s="65" t="str">
        <f>VLOOKUP(E7446,DATABASE!C:Q,8,false)</f>
        <v>IBU</v>
      </c>
      <c r="P7446" s="65">
        <f>VLOOKUP(E7446,DATABASE!C:Q,9,False)</f>
        <v>1</v>
      </c>
      <c r="Q7446" s="93" t="str">
        <f>VLOOKUP(E7446,DATABASE!C:Q,4,false)</f>
        <v>Bridgestone</v>
      </c>
      <c r="R7446" s="93" t="str">
        <f>VLOOKUP(E7446,DATABASE!C:Q,11,false)</f>
        <v>Tire</v>
      </c>
    </row>
    <row r="7447" ht="22.5" customHeight="1">
      <c r="A7447" s="49"/>
      <c r="C7447" s="400">
        <v>46094.0</v>
      </c>
      <c r="D7447" s="524">
        <v>636.0</v>
      </c>
      <c r="E7447" s="544" t="s">
        <v>255</v>
      </c>
      <c r="F7447" s="387">
        <v>1.0</v>
      </c>
      <c r="G7447" s="140">
        <v>200000.0</v>
      </c>
      <c r="H7447" s="74"/>
      <c r="I7447" s="74">
        <f t="shared" si="1"/>
        <v>200000</v>
      </c>
      <c r="J7447" s="74">
        <f>IF(E7447="SERVICE",I7447-(I7447*50%),Vlookup(E7447,DATABASE!C:Q,10,false)*F7447)</f>
        <v>0</v>
      </c>
      <c r="K7447" s="74">
        <f>VLOOKUP(E7447,DATABASE!C:Q,7,false)</f>
        <v>161840</v>
      </c>
      <c r="L7447" s="74">
        <v>161840.0</v>
      </c>
      <c r="M7447" s="74">
        <f t="shared" si="2"/>
        <v>165000</v>
      </c>
      <c r="N7447" s="74">
        <f t="shared" si="3"/>
        <v>35000</v>
      </c>
      <c r="O7447" s="65" t="str">
        <f>VLOOKUP(E7447,DATABASE!C:Q,8,false)</f>
        <v>BIAN</v>
      </c>
      <c r="P7447" s="65">
        <f>VLOOKUP(E7447,DATABASE!C:Q,9,False)</f>
        <v>1</v>
      </c>
      <c r="Q7447" s="93" t="str">
        <f>VLOOKUP(E7447,DATABASE!C:Q,4,false)</f>
        <v>BD</v>
      </c>
      <c r="R7447" s="93" t="str">
        <f>VLOOKUP(E7447,DATABASE!C:Q,11,false)</f>
        <v>Tire</v>
      </c>
    </row>
    <row r="7448" ht="22.5" customHeight="1">
      <c r="A7448" s="49"/>
      <c r="C7448" s="400">
        <v>46094.0</v>
      </c>
      <c r="D7448" s="524">
        <v>637.0</v>
      </c>
      <c r="E7448" s="544" t="s">
        <v>932</v>
      </c>
      <c r="F7448" s="387">
        <v>1.0</v>
      </c>
      <c r="G7448" s="140">
        <v>680000.0</v>
      </c>
      <c r="H7448" s="74"/>
      <c r="I7448" s="74">
        <f t="shared" si="1"/>
        <v>680000</v>
      </c>
      <c r="J7448" s="74">
        <f>IF(E7448="SERVICE",I7448-(I7448*50%),Vlookup(E7448,DATABASE!C:Q,10,false)*F7448)</f>
        <v>0</v>
      </c>
      <c r="K7448" s="74">
        <f>VLOOKUP(E7448,DATABASE!C:Q,7,false)</f>
        <v>601000</v>
      </c>
      <c r="L7448" s="74">
        <v>595000.0</v>
      </c>
      <c r="M7448" s="74">
        <f t="shared" si="2"/>
        <v>595000</v>
      </c>
      <c r="N7448" s="74">
        <f t="shared" si="3"/>
        <v>85000</v>
      </c>
      <c r="O7448" s="65" t="str">
        <f>VLOOKUP(E7448,DATABASE!C:Q,8,false)</f>
        <v>IBU</v>
      </c>
      <c r="P7448" s="65">
        <f>VLOOKUP(E7448,DATABASE!C:Q,9,False)</f>
        <v>1</v>
      </c>
      <c r="Q7448" s="93" t="str">
        <f>VLOOKUP(E7448,DATABASE!C:Q,4,false)</f>
        <v>Dunlop</v>
      </c>
      <c r="R7448" s="93" t="str">
        <f>VLOOKUP(E7448,DATABASE!C:Q,11,false)</f>
        <v>Tire</v>
      </c>
    </row>
    <row r="7449" ht="22.5" customHeight="1">
      <c r="A7449" s="49"/>
      <c r="C7449" s="400">
        <v>46094.0</v>
      </c>
      <c r="D7449" s="524">
        <v>638.0</v>
      </c>
      <c r="E7449" s="544" t="s">
        <v>1033</v>
      </c>
      <c r="F7449" s="387">
        <v>2.0</v>
      </c>
      <c r="G7449" s="140">
        <v>750000.0</v>
      </c>
      <c r="H7449" s="74"/>
      <c r="I7449" s="74">
        <f t="shared" si="1"/>
        <v>1500000</v>
      </c>
      <c r="J7449" s="74">
        <f>IF(E7449="SERVICE",I7449-(I7449*50%),Vlookup(E7449,DATABASE!C:Q,10,false)*F7449)</f>
        <v>0</v>
      </c>
      <c r="K7449" s="74">
        <f>VLOOKUP(E7449,DATABASE!C:Q,7,false)</f>
        <v>680512</v>
      </c>
      <c r="L7449" s="74">
        <v>657305.6</v>
      </c>
      <c r="M7449" s="74">
        <f t="shared" si="2"/>
        <v>660000</v>
      </c>
      <c r="N7449" s="74">
        <f t="shared" si="3"/>
        <v>180000</v>
      </c>
      <c r="O7449" s="65" t="str">
        <f>VLOOKUP(E7449,DATABASE!C:Q,8,false)</f>
        <v>IBU</v>
      </c>
      <c r="P7449" s="65">
        <f>VLOOKUP(E7449,DATABASE!C:Q,9,False)</f>
        <v>1</v>
      </c>
      <c r="Q7449" s="93" t="str">
        <f>VLOOKUP(E7449,DATABASE!C:Q,4,false)</f>
        <v>Bridgestone</v>
      </c>
      <c r="R7449" s="93" t="str">
        <f>VLOOKUP(E7449,DATABASE!C:Q,11,false)</f>
        <v>Tire</v>
      </c>
    </row>
    <row r="7450" ht="22.5" customHeight="1">
      <c r="A7450" s="49"/>
      <c r="C7450" s="400">
        <v>46094.0</v>
      </c>
      <c r="D7450" s="524">
        <v>638.0</v>
      </c>
      <c r="E7450" s="544" t="s">
        <v>299</v>
      </c>
      <c r="F7450" s="387">
        <v>2.0</v>
      </c>
      <c r="G7450" s="140">
        <v>30000.0</v>
      </c>
      <c r="H7450" s="74"/>
      <c r="I7450" s="74">
        <f t="shared" si="1"/>
        <v>60000</v>
      </c>
      <c r="J7450" s="74">
        <f>IF(E7450="SERVICE",I7450-(I7450*50%),Vlookup(E7450,DATABASE!C:Q,10,false)*F7450)</f>
        <v>0</v>
      </c>
      <c r="K7450" s="74">
        <f>VLOOKUP(E7450,DATABASE!C:Q,7,false)</f>
        <v>10000</v>
      </c>
      <c r="L7450" s="74">
        <v>10000.0</v>
      </c>
      <c r="M7450" s="74">
        <f t="shared" si="2"/>
        <v>10000</v>
      </c>
      <c r="N7450" s="74">
        <f t="shared" si="3"/>
        <v>40000</v>
      </c>
      <c r="O7450" s="65" t="str">
        <f>VLOOKUP(E7450,DATABASE!C:Q,8,false)</f>
        <v>BIAN</v>
      </c>
      <c r="P7450" s="65">
        <f>VLOOKUP(E7450,DATABASE!C:Q,9,False)</f>
        <v>0</v>
      </c>
      <c r="Q7450" s="93" t="str">
        <f>VLOOKUP(E7450,DATABASE!C:Q,4,false)</f>
        <v>Balancing</v>
      </c>
      <c r="R7450" s="93" t="str">
        <f>VLOOKUP(E7450,DATABASE!C:Q,11,false)</f>
        <v>COMPLEMENTARY</v>
      </c>
    </row>
    <row r="7451" ht="22.5" customHeight="1">
      <c r="A7451" s="49"/>
      <c r="C7451" s="400">
        <v>46094.0</v>
      </c>
      <c r="D7451" s="524">
        <v>638.0</v>
      </c>
      <c r="E7451" s="544" t="s">
        <v>256</v>
      </c>
      <c r="F7451" s="387">
        <v>1.0</v>
      </c>
      <c r="G7451" s="140">
        <v>175000.0</v>
      </c>
      <c r="H7451" s="140">
        <v>25000.0</v>
      </c>
      <c r="I7451" s="74">
        <f t="shared" si="1"/>
        <v>150000</v>
      </c>
      <c r="J7451" s="74">
        <f>IF(E7451="SERVICE",I7451-(I7451*50%),Vlookup(E7451,DATABASE!C:Q,10,false)*F7451)</f>
        <v>10000</v>
      </c>
      <c r="K7451" s="74">
        <f>VLOOKUP(E7451,DATABASE!C:Q,7,false)</f>
        <v>0</v>
      </c>
      <c r="L7451" s="74">
        <v>0.0</v>
      </c>
      <c r="M7451" s="74">
        <f t="shared" si="2"/>
        <v>0</v>
      </c>
      <c r="N7451" s="74">
        <f t="shared" si="3"/>
        <v>140000</v>
      </c>
      <c r="O7451" s="65" t="str">
        <f>VLOOKUP(E7451,DATABASE!C:Q,8,false)</f>
        <v>IBU</v>
      </c>
      <c r="P7451" s="65">
        <f>VLOOKUP(E7451,DATABASE!C:Q,9,False)</f>
        <v>0</v>
      </c>
      <c r="Q7451" s="93" t="str">
        <f>VLOOKUP(E7451,DATABASE!C:Q,4,false)</f>
        <v>SPOORING</v>
      </c>
      <c r="R7451" s="93" t="str">
        <f>VLOOKUP(E7451,DATABASE!C:Q,11,false)</f>
        <v>SERVICE</v>
      </c>
    </row>
    <row r="7452" ht="22.5" customHeight="1">
      <c r="A7452" s="49"/>
      <c r="C7452" s="400">
        <v>46094.0</v>
      </c>
      <c r="D7452" s="524">
        <v>638.0</v>
      </c>
      <c r="E7452" s="544" t="s">
        <v>301</v>
      </c>
      <c r="F7452" s="387">
        <v>1.0</v>
      </c>
      <c r="G7452" s="140">
        <v>250000.0</v>
      </c>
      <c r="H7452" s="74"/>
      <c r="I7452" s="74">
        <f t="shared" si="1"/>
        <v>250000</v>
      </c>
      <c r="J7452" s="74">
        <f>IF(E7452="SERVICE",I7452-(I7452*50%),Vlookup(E7452,DATABASE!C:Q,10,false)*F7452)</f>
        <v>75000</v>
      </c>
      <c r="K7452" s="74">
        <f>VLOOKUP(E7452,DATABASE!C:Q,7,false)</f>
        <v>75000</v>
      </c>
      <c r="L7452" s="74">
        <v>75000.0</v>
      </c>
      <c r="M7452" s="74">
        <f t="shared" si="2"/>
        <v>75000</v>
      </c>
      <c r="N7452" s="74">
        <f t="shared" si="3"/>
        <v>100000</v>
      </c>
      <c r="O7452" s="65" t="str">
        <f>VLOOKUP(E7452,DATABASE!C:Q,8,false)</f>
        <v>BIAN</v>
      </c>
      <c r="P7452" s="65">
        <f>VLOOKUP(E7452,DATABASE!C:Q,9,False)</f>
        <v>0</v>
      </c>
      <c r="Q7452" s="93" t="str">
        <f>VLOOKUP(E7452,DATABASE!C:Q,4,false)</f>
        <v>Baut Camber</v>
      </c>
      <c r="R7452" s="93" t="str">
        <f>VLOOKUP(E7452,DATABASE!C:Q,11,false)</f>
        <v>COMPLEMENTARY</v>
      </c>
    </row>
    <row r="7453" ht="22.5" customHeight="1">
      <c r="A7453" s="49"/>
      <c r="C7453" s="400">
        <v>46094.0</v>
      </c>
      <c r="D7453" s="524">
        <v>639.0</v>
      </c>
      <c r="E7453" s="544" t="s">
        <v>591</v>
      </c>
      <c r="F7453" s="387">
        <v>1.0</v>
      </c>
      <c r="G7453" s="140">
        <v>700000.0</v>
      </c>
      <c r="H7453" s="74"/>
      <c r="I7453" s="74">
        <f t="shared" si="1"/>
        <v>700000</v>
      </c>
      <c r="J7453" s="74">
        <f>IF(E7453="SERVICE",I7453-(I7453*50%),Vlookup(E7453,DATABASE!C:Q,10,false)*F7453)</f>
        <v>0</v>
      </c>
      <c r="K7453" s="74">
        <f>VLOOKUP(E7453,DATABASE!C:Q,7,false)</f>
        <v>633035.16</v>
      </c>
      <c r="L7453" s="74">
        <v>609844.4</v>
      </c>
      <c r="M7453" s="74">
        <f t="shared" si="2"/>
        <v>610000</v>
      </c>
      <c r="N7453" s="74">
        <f t="shared" si="3"/>
        <v>90000</v>
      </c>
      <c r="O7453" s="65" t="str">
        <f>VLOOKUP(E7453,DATABASE!C:Q,8,false)</f>
        <v>IBU</v>
      </c>
      <c r="P7453" s="65">
        <f>VLOOKUP(E7453,DATABASE!C:Q,9,False)</f>
        <v>1</v>
      </c>
      <c r="Q7453" s="93" t="str">
        <f>VLOOKUP(E7453,DATABASE!C:Q,4,false)</f>
        <v>Bridgestone</v>
      </c>
      <c r="R7453" s="93" t="str">
        <f>VLOOKUP(E7453,DATABASE!C:Q,11,false)</f>
        <v>Tire</v>
      </c>
    </row>
    <row r="7454" ht="22.5" customHeight="1">
      <c r="A7454" s="49"/>
      <c r="C7454" s="400">
        <v>46094.0</v>
      </c>
      <c r="D7454" s="524">
        <v>640.0</v>
      </c>
      <c r="E7454" s="544" t="s">
        <v>1858</v>
      </c>
      <c r="F7454" s="387">
        <v>2.0</v>
      </c>
      <c r="G7454" s="140">
        <v>2130000.0</v>
      </c>
      <c r="H7454" s="74"/>
      <c r="I7454" s="74">
        <f t="shared" si="1"/>
        <v>4260000</v>
      </c>
      <c r="J7454" s="74">
        <f>IF(E7454="SERVICE",I7454-(I7454*50%),Vlookup(E7454,DATABASE!C:Q,10,false)*F7454)</f>
        <v>0</v>
      </c>
      <c r="K7454" s="74">
        <f>VLOOKUP(E7454,DATABASE!C:Q,7,false)</f>
        <v>2030000</v>
      </c>
      <c r="L7454" s="74">
        <v>2030000.0</v>
      </c>
      <c r="M7454" s="74">
        <f t="shared" si="2"/>
        <v>2030000</v>
      </c>
      <c r="N7454" s="74">
        <f t="shared" si="3"/>
        <v>200000</v>
      </c>
      <c r="O7454" s="65" t="str">
        <f>VLOOKUP(E7454,DATABASE!C:Q,8,false)</f>
        <v>BIAN</v>
      </c>
      <c r="P7454" s="65">
        <f>VLOOKUP(E7454,DATABASE!C:Q,9,False)</f>
        <v>1</v>
      </c>
      <c r="Q7454" s="93" t="str">
        <f>VLOOKUP(E7454,DATABASE!C:Q,4,false)</f>
        <v>GiTi</v>
      </c>
      <c r="R7454" s="93" t="str">
        <f>VLOOKUP(E7454,DATABASE!C:Q,11,false)</f>
        <v>Tire</v>
      </c>
    </row>
    <row r="7455" ht="22.5" customHeight="1">
      <c r="A7455" s="49"/>
      <c r="C7455" s="400">
        <v>46094.0</v>
      </c>
      <c r="D7455" s="524">
        <v>641.0</v>
      </c>
      <c r="E7455" s="544" t="s">
        <v>256</v>
      </c>
      <c r="F7455" s="387">
        <v>1.0</v>
      </c>
      <c r="G7455" s="140">
        <v>175000.0</v>
      </c>
      <c r="H7455" s="140">
        <v>25000.0</v>
      </c>
      <c r="I7455" s="74">
        <f t="shared" si="1"/>
        <v>150000</v>
      </c>
      <c r="J7455" s="74">
        <f>IF(E7455="SERVICE",I7455-(I7455*50%),Vlookup(E7455,DATABASE!C:Q,10,false)*F7455)</f>
        <v>10000</v>
      </c>
      <c r="K7455" s="74">
        <f>VLOOKUP(E7455,DATABASE!C:Q,7,false)</f>
        <v>0</v>
      </c>
      <c r="L7455" s="74">
        <v>0.0</v>
      </c>
      <c r="M7455" s="74">
        <f t="shared" si="2"/>
        <v>0</v>
      </c>
      <c r="N7455" s="74">
        <f t="shared" si="3"/>
        <v>140000</v>
      </c>
      <c r="O7455" s="65" t="str">
        <f>VLOOKUP(E7455,DATABASE!C:Q,8,false)</f>
        <v>IBU</v>
      </c>
      <c r="P7455" s="65">
        <f>VLOOKUP(E7455,DATABASE!C:Q,9,False)</f>
        <v>0</v>
      </c>
      <c r="Q7455" s="93" t="str">
        <f>VLOOKUP(E7455,DATABASE!C:Q,4,false)</f>
        <v>SPOORING</v>
      </c>
      <c r="R7455" s="93" t="str">
        <f>VLOOKUP(E7455,DATABASE!C:Q,11,false)</f>
        <v>SERVICE</v>
      </c>
    </row>
    <row r="7456" ht="22.5" customHeight="1">
      <c r="A7456" s="49"/>
      <c r="C7456" s="400">
        <v>46094.0</v>
      </c>
      <c r="D7456" s="524">
        <v>642.0</v>
      </c>
      <c r="E7456" s="544" t="s">
        <v>847</v>
      </c>
      <c r="F7456" s="387">
        <v>2.0</v>
      </c>
      <c r="G7456" s="140">
        <v>775000.0</v>
      </c>
      <c r="H7456" s="74"/>
      <c r="I7456" s="74">
        <f t="shared" si="1"/>
        <v>1550000</v>
      </c>
      <c r="J7456" s="74">
        <f>IF(E7456="SERVICE",I7456-(I7456*50%),Vlookup(E7456,DATABASE!C:Q,10,false)*F7456)</f>
        <v>0</v>
      </c>
      <c r="K7456" s="74">
        <f>VLOOKUP(E7456,DATABASE!C:Q,7,false)</f>
        <v>718080</v>
      </c>
      <c r="L7456" s="74">
        <v>672210.0</v>
      </c>
      <c r="M7456" s="74">
        <f t="shared" si="2"/>
        <v>675000</v>
      </c>
      <c r="N7456" s="74">
        <f t="shared" si="3"/>
        <v>200000</v>
      </c>
      <c r="O7456" s="65" t="str">
        <f>VLOOKUP(E7456,DATABASE!C:Q,8,false)</f>
        <v>BIAN</v>
      </c>
      <c r="P7456" s="65">
        <f>VLOOKUP(E7456,DATABASE!C:Q,9,False)</f>
        <v>1</v>
      </c>
      <c r="Q7456" s="93" t="str">
        <f>VLOOKUP(E7456,DATABASE!C:Q,4,false)</f>
        <v>GT</v>
      </c>
      <c r="R7456" s="93" t="str">
        <f>VLOOKUP(E7456,DATABASE!C:Q,11,false)</f>
        <v>Tire</v>
      </c>
    </row>
    <row r="7457" ht="22.5" customHeight="1">
      <c r="A7457" s="49"/>
      <c r="C7457" s="400">
        <v>46094.0</v>
      </c>
      <c r="D7457" s="524">
        <v>642.0</v>
      </c>
      <c r="E7457" s="544" t="s">
        <v>256</v>
      </c>
      <c r="F7457" s="387">
        <v>1.0</v>
      </c>
      <c r="G7457" s="140">
        <v>175000.0</v>
      </c>
      <c r="H7457" s="140">
        <v>25000.0</v>
      </c>
      <c r="I7457" s="74">
        <f t="shared" si="1"/>
        <v>150000</v>
      </c>
      <c r="J7457" s="74">
        <f>IF(E7457="SERVICE",I7457-(I7457*50%),Vlookup(E7457,DATABASE!C:Q,10,false)*F7457)</f>
        <v>10000</v>
      </c>
      <c r="K7457" s="74">
        <f>VLOOKUP(E7457,DATABASE!C:Q,7,false)</f>
        <v>0</v>
      </c>
      <c r="L7457" s="74">
        <v>0.0</v>
      </c>
      <c r="M7457" s="74">
        <f t="shared" si="2"/>
        <v>0</v>
      </c>
      <c r="N7457" s="74">
        <f t="shared" si="3"/>
        <v>140000</v>
      </c>
      <c r="O7457" s="65" t="str">
        <f>VLOOKUP(E7457,DATABASE!C:Q,8,false)</f>
        <v>IBU</v>
      </c>
      <c r="P7457" s="65">
        <f>VLOOKUP(E7457,DATABASE!C:Q,9,False)</f>
        <v>0</v>
      </c>
      <c r="Q7457" s="93" t="str">
        <f>VLOOKUP(E7457,DATABASE!C:Q,4,false)</f>
        <v>SPOORING</v>
      </c>
      <c r="R7457" s="93" t="str">
        <f>VLOOKUP(E7457,DATABASE!C:Q,11,false)</f>
        <v>SERVICE</v>
      </c>
    </row>
    <row r="7458" ht="22.5" customHeight="1">
      <c r="A7458" s="49"/>
      <c r="C7458" s="400">
        <v>46094.0</v>
      </c>
      <c r="D7458" s="524">
        <v>642.0</v>
      </c>
      <c r="E7458" s="544" t="s">
        <v>301</v>
      </c>
      <c r="F7458" s="387">
        <v>1.0</v>
      </c>
      <c r="G7458" s="140">
        <v>250000.0</v>
      </c>
      <c r="H7458" s="74"/>
      <c r="I7458" s="74">
        <f t="shared" si="1"/>
        <v>250000</v>
      </c>
      <c r="J7458" s="74">
        <f>IF(E7458="SERVICE",I7458-(I7458*50%),Vlookup(E7458,DATABASE!C:Q,10,false)*F7458)</f>
        <v>75000</v>
      </c>
      <c r="K7458" s="74">
        <f>VLOOKUP(E7458,DATABASE!C:Q,7,false)</f>
        <v>75000</v>
      </c>
      <c r="L7458" s="74">
        <v>75000.0</v>
      </c>
      <c r="M7458" s="74">
        <f t="shared" si="2"/>
        <v>75000</v>
      </c>
      <c r="N7458" s="74">
        <f t="shared" si="3"/>
        <v>100000</v>
      </c>
      <c r="O7458" s="65" t="str">
        <f>VLOOKUP(E7458,DATABASE!C:Q,8,false)</f>
        <v>BIAN</v>
      </c>
      <c r="P7458" s="65">
        <f>VLOOKUP(E7458,DATABASE!C:Q,9,False)</f>
        <v>0</v>
      </c>
      <c r="Q7458" s="93" t="str">
        <f>VLOOKUP(E7458,DATABASE!C:Q,4,false)</f>
        <v>Baut Camber</v>
      </c>
      <c r="R7458" s="93" t="str">
        <f>VLOOKUP(E7458,DATABASE!C:Q,11,false)</f>
        <v>COMPLEMENTARY</v>
      </c>
    </row>
    <row r="7459" ht="22.5" customHeight="1">
      <c r="A7459" s="49"/>
      <c r="C7459" s="400">
        <v>46094.0</v>
      </c>
      <c r="D7459" s="69" t="s">
        <v>2734</v>
      </c>
      <c r="E7459" s="544" t="s">
        <v>248</v>
      </c>
      <c r="F7459" s="387">
        <v>1.0</v>
      </c>
      <c r="G7459" s="140">
        <v>190000.0</v>
      </c>
      <c r="H7459" s="74"/>
      <c r="I7459" s="74">
        <f t="shared" si="1"/>
        <v>190000</v>
      </c>
      <c r="J7459" s="74">
        <f>IF(E7459="SERVICE",I7459-(I7459*50%),Vlookup(E7459,DATABASE!C:Q,10,false)*F7459)</f>
        <v>0</v>
      </c>
      <c r="K7459" s="74">
        <f>VLOOKUP(E7459,DATABASE!C:Q,7,false)</f>
        <v>209816.66</v>
      </c>
      <c r="L7459" s="74">
        <v>160833.0</v>
      </c>
      <c r="M7459" s="74">
        <f t="shared" si="2"/>
        <v>165000</v>
      </c>
      <c r="N7459" s="74">
        <f t="shared" si="3"/>
        <v>25000</v>
      </c>
      <c r="O7459" s="65" t="str">
        <f>VLOOKUP(E7459,DATABASE!C:Q,8,false)</f>
        <v>NON</v>
      </c>
      <c r="P7459" s="65">
        <f>VLOOKUP(E7459,DATABASE!C:Q,9,False)</f>
        <v>0</v>
      </c>
      <c r="Q7459" s="93" t="str">
        <f>VLOOKUP(E7459,DATABASE!C:Q,4,false)</f>
        <v>Pertamina</v>
      </c>
      <c r="R7459" s="93" t="str">
        <f>VLOOKUP(E7459,DATABASE!C:Q,11,false)</f>
        <v>OIL</v>
      </c>
    </row>
    <row r="7460" ht="22.5" customHeight="1">
      <c r="A7460" s="49"/>
      <c r="C7460" s="400">
        <v>46094.0</v>
      </c>
      <c r="D7460" s="69" t="s">
        <v>2735</v>
      </c>
      <c r="E7460" s="544" t="s">
        <v>252</v>
      </c>
      <c r="F7460" s="387">
        <v>1.0</v>
      </c>
      <c r="G7460" s="140">
        <v>300000.0</v>
      </c>
      <c r="H7460" s="74"/>
      <c r="I7460" s="74">
        <f t="shared" si="1"/>
        <v>300000</v>
      </c>
      <c r="J7460" s="74">
        <f>IF(E7460="SERVICE",I7460-(I7460*50%),Vlookup(E7460,DATABASE!C:Q,10,false)*F7460)</f>
        <v>0</v>
      </c>
      <c r="K7460" s="74">
        <f>VLOOKUP(E7460,DATABASE!C:Q,7,false)</f>
        <v>317518</v>
      </c>
      <c r="L7460" s="74">
        <v>271778.0</v>
      </c>
      <c r="M7460" s="74">
        <f t="shared" si="2"/>
        <v>275000</v>
      </c>
      <c r="N7460" s="74">
        <f t="shared" si="3"/>
        <v>25000</v>
      </c>
      <c r="O7460" s="65" t="str">
        <f>VLOOKUP(E7460,DATABASE!C:Q,8,false)</f>
        <v>NON</v>
      </c>
      <c r="P7460" s="65">
        <f>VLOOKUP(E7460,DATABASE!C:Q,9,False)</f>
        <v>0</v>
      </c>
      <c r="Q7460" s="93" t="str">
        <f>VLOOKUP(E7460,DATABASE!C:Q,4,false)</f>
        <v>Shell</v>
      </c>
      <c r="R7460" s="93" t="str">
        <f>VLOOKUP(E7460,DATABASE!C:Q,11,false)</f>
        <v>OIL</v>
      </c>
    </row>
    <row r="7461" ht="22.5" customHeight="1">
      <c r="A7461" s="49"/>
      <c r="C7461" s="400">
        <v>46095.0</v>
      </c>
      <c r="D7461" s="524">
        <v>643.0</v>
      </c>
      <c r="E7461" s="544" t="s">
        <v>271</v>
      </c>
      <c r="F7461" s="387">
        <v>2.0</v>
      </c>
      <c r="G7461" s="140">
        <v>630000.0</v>
      </c>
      <c r="H7461" s="74"/>
      <c r="I7461" s="74">
        <f t="shared" si="1"/>
        <v>1260000</v>
      </c>
      <c r="J7461" s="74">
        <f>IF(E7461="SERVICE",I7461-(I7461*50%),Vlookup(E7461,DATABASE!C:Q,10,false)*F7461)</f>
        <v>0</v>
      </c>
      <c r="K7461" s="74">
        <f>VLOOKUP(E7461,DATABASE!C:Q,7,false)</f>
        <v>570000</v>
      </c>
      <c r="L7461" s="74">
        <v>539000.0</v>
      </c>
      <c r="M7461" s="74">
        <f t="shared" si="2"/>
        <v>540000</v>
      </c>
      <c r="N7461" s="74">
        <f t="shared" si="3"/>
        <v>180000</v>
      </c>
      <c r="O7461" s="65" t="str">
        <f>VLOOKUP(E7461,DATABASE!C:Q,8,false)</f>
        <v>IBU</v>
      </c>
      <c r="P7461" s="65">
        <f>VLOOKUP(E7461,DATABASE!C:Q,9,False)</f>
        <v>1</v>
      </c>
      <c r="Q7461" s="93" t="str">
        <f>VLOOKUP(E7461,DATABASE!C:Q,4,false)</f>
        <v>Dunlop</v>
      </c>
      <c r="R7461" s="93" t="str">
        <f>VLOOKUP(E7461,DATABASE!C:Q,11,false)</f>
        <v>Tire</v>
      </c>
    </row>
    <row r="7462" ht="22.5" customHeight="1">
      <c r="A7462" s="49"/>
      <c r="C7462" s="400">
        <v>46095.0</v>
      </c>
      <c r="D7462" s="69">
        <v>644.0</v>
      </c>
      <c r="E7462" s="544" t="s">
        <v>839</v>
      </c>
      <c r="F7462" s="387">
        <v>1.0</v>
      </c>
      <c r="G7462" s="140">
        <v>565000.0</v>
      </c>
      <c r="H7462" s="74"/>
      <c r="I7462" s="74">
        <f t="shared" si="1"/>
        <v>565000</v>
      </c>
      <c r="J7462" s="74">
        <f>IF(E7462="SERVICE",I7462-(I7462*50%),Vlookup(E7462,DATABASE!C:Q,10,false)*F7462)</f>
        <v>0</v>
      </c>
      <c r="K7462" s="74">
        <f>VLOOKUP(E7462,DATABASE!C:Q,7,false)</f>
        <v>512640</v>
      </c>
      <c r="L7462" s="74">
        <v>475700.0</v>
      </c>
      <c r="M7462" s="74">
        <f t="shared" si="2"/>
        <v>480000</v>
      </c>
      <c r="N7462" s="74">
        <f t="shared" si="3"/>
        <v>85000</v>
      </c>
      <c r="O7462" s="65" t="str">
        <f>VLOOKUP(E7462,DATABASE!C:Q,8,false)</f>
        <v>BIAN</v>
      </c>
      <c r="P7462" s="65">
        <f>VLOOKUP(E7462,DATABASE!C:Q,9,False)</f>
        <v>1</v>
      </c>
      <c r="Q7462" s="93" t="str">
        <f>VLOOKUP(E7462,DATABASE!C:Q,4,false)</f>
        <v>GT</v>
      </c>
      <c r="R7462" s="93" t="str">
        <f>VLOOKUP(E7462,DATABASE!C:Q,11,false)</f>
        <v>Tire</v>
      </c>
    </row>
    <row r="7463" ht="22.5" customHeight="1">
      <c r="A7463" s="49"/>
      <c r="C7463" s="400">
        <v>46095.0</v>
      </c>
      <c r="D7463" s="524">
        <v>645.0</v>
      </c>
      <c r="E7463" s="544" t="s">
        <v>1009</v>
      </c>
      <c r="F7463" s="387">
        <v>2.0</v>
      </c>
      <c r="G7463" s="140">
        <v>700000.0</v>
      </c>
      <c r="H7463" s="140">
        <v>15000.0</v>
      </c>
      <c r="I7463" s="74">
        <f t="shared" si="1"/>
        <v>1370000</v>
      </c>
      <c r="J7463" s="74">
        <f>IF(E7463="SERVICE",I7463-(I7463*50%),Vlookup(E7463,DATABASE!C:Q,10,false)*F7463)</f>
        <v>0</v>
      </c>
      <c r="K7463" s="74">
        <f>VLOOKUP(E7463,DATABASE!C:Q,7,false)</f>
        <v>609800</v>
      </c>
      <c r="L7463" s="74">
        <v>592200.0</v>
      </c>
      <c r="M7463" s="74">
        <f t="shared" si="2"/>
        <v>595000</v>
      </c>
      <c r="N7463" s="74">
        <f t="shared" si="3"/>
        <v>180000</v>
      </c>
      <c r="O7463" s="65" t="str">
        <f>VLOOKUP(E7463,DATABASE!C:Q,8,false)</f>
        <v>BIAN</v>
      </c>
      <c r="P7463" s="65">
        <f>VLOOKUP(E7463,DATABASE!C:Q,9,False)</f>
        <v>1</v>
      </c>
      <c r="Q7463" s="93" t="str">
        <f>VLOOKUP(E7463,DATABASE!C:Q,4,false)</f>
        <v>GT</v>
      </c>
      <c r="R7463" s="93" t="str">
        <f>VLOOKUP(E7463,DATABASE!C:Q,11,false)</f>
        <v>Tire</v>
      </c>
    </row>
    <row r="7464" ht="22.5" customHeight="1">
      <c r="A7464" s="49"/>
      <c r="C7464" s="400">
        <v>46095.0</v>
      </c>
      <c r="D7464" s="524">
        <v>646.0</v>
      </c>
      <c r="E7464" s="544" t="s">
        <v>256</v>
      </c>
      <c r="F7464" s="387">
        <v>1.0</v>
      </c>
      <c r="G7464" s="140">
        <v>175000.0</v>
      </c>
      <c r="H7464" s="140">
        <v>25000.0</v>
      </c>
      <c r="I7464" s="74">
        <f t="shared" si="1"/>
        <v>150000</v>
      </c>
      <c r="J7464" s="74">
        <f>IF(E7464="SERVICE",I7464-(I7464*50%),Vlookup(E7464,DATABASE!C:Q,10,false)*F7464)</f>
        <v>10000</v>
      </c>
      <c r="K7464" s="74">
        <f>VLOOKUP(E7464,DATABASE!C:Q,7,false)</f>
        <v>0</v>
      </c>
      <c r="L7464" s="74">
        <v>0.0</v>
      </c>
      <c r="M7464" s="74">
        <f t="shared" si="2"/>
        <v>0</v>
      </c>
      <c r="N7464" s="74">
        <f t="shared" si="3"/>
        <v>140000</v>
      </c>
      <c r="O7464" s="65" t="str">
        <f>VLOOKUP(E7464,DATABASE!C:Q,8,false)</f>
        <v>IBU</v>
      </c>
      <c r="P7464" s="65">
        <f>VLOOKUP(E7464,DATABASE!C:Q,9,False)</f>
        <v>0</v>
      </c>
      <c r="Q7464" s="93" t="str">
        <f>VLOOKUP(E7464,DATABASE!C:Q,4,false)</f>
        <v>SPOORING</v>
      </c>
      <c r="R7464" s="93" t="str">
        <f>VLOOKUP(E7464,DATABASE!C:Q,11,false)</f>
        <v>SERVICE</v>
      </c>
    </row>
    <row r="7465" ht="22.5" customHeight="1">
      <c r="A7465" s="49"/>
      <c r="C7465" s="400">
        <v>46095.0</v>
      </c>
      <c r="D7465" s="524">
        <v>646.0</v>
      </c>
      <c r="E7465" s="544" t="s">
        <v>301</v>
      </c>
      <c r="F7465" s="387">
        <v>1.0</v>
      </c>
      <c r="G7465" s="140">
        <v>250000.0</v>
      </c>
      <c r="H7465" s="74"/>
      <c r="I7465" s="74">
        <f t="shared" si="1"/>
        <v>250000</v>
      </c>
      <c r="J7465" s="74">
        <f>IF(E7465="SERVICE",I7465-(I7465*50%),Vlookup(E7465,DATABASE!C:Q,10,false)*F7465)</f>
        <v>75000</v>
      </c>
      <c r="K7465" s="74">
        <f>VLOOKUP(E7465,DATABASE!C:Q,7,false)</f>
        <v>75000</v>
      </c>
      <c r="L7465" s="74">
        <v>75000.0</v>
      </c>
      <c r="M7465" s="74">
        <f t="shared" si="2"/>
        <v>75000</v>
      </c>
      <c r="N7465" s="74">
        <f t="shared" si="3"/>
        <v>100000</v>
      </c>
      <c r="O7465" s="65" t="str">
        <f>VLOOKUP(E7465,DATABASE!C:Q,8,false)</f>
        <v>BIAN</v>
      </c>
      <c r="P7465" s="65">
        <f>VLOOKUP(E7465,DATABASE!C:Q,9,False)</f>
        <v>0</v>
      </c>
      <c r="Q7465" s="93" t="str">
        <f>VLOOKUP(E7465,DATABASE!C:Q,4,false)</f>
        <v>Baut Camber</v>
      </c>
      <c r="R7465" s="93" t="str">
        <f>VLOOKUP(E7465,DATABASE!C:Q,11,false)</f>
        <v>COMPLEMENTARY</v>
      </c>
    </row>
    <row r="7466" ht="22.5" customHeight="1">
      <c r="A7466" s="49"/>
      <c r="C7466" s="400">
        <v>46095.0</v>
      </c>
      <c r="D7466" s="524">
        <v>647.0</v>
      </c>
      <c r="E7466" s="544" t="s">
        <v>256</v>
      </c>
      <c r="F7466" s="387">
        <v>1.0</v>
      </c>
      <c r="G7466" s="140">
        <v>175000.0</v>
      </c>
      <c r="H7466" s="140">
        <v>25000.0</v>
      </c>
      <c r="I7466" s="74">
        <f t="shared" si="1"/>
        <v>150000</v>
      </c>
      <c r="J7466" s="74">
        <f>IF(E7466="SERVICE",I7466-(I7466*50%),Vlookup(E7466,DATABASE!C:Q,10,false)*F7466)</f>
        <v>10000</v>
      </c>
      <c r="K7466" s="74">
        <f>VLOOKUP(E7466,DATABASE!C:Q,7,false)</f>
        <v>0</v>
      </c>
      <c r="L7466" s="74">
        <v>0.0</v>
      </c>
      <c r="M7466" s="74">
        <f t="shared" si="2"/>
        <v>0</v>
      </c>
      <c r="N7466" s="74">
        <f t="shared" si="3"/>
        <v>140000</v>
      </c>
      <c r="O7466" s="65" t="str">
        <f>VLOOKUP(E7466,DATABASE!C:Q,8,false)</f>
        <v>IBU</v>
      </c>
      <c r="P7466" s="65">
        <f>VLOOKUP(E7466,DATABASE!C:Q,9,False)</f>
        <v>0</v>
      </c>
      <c r="Q7466" s="93" t="str">
        <f>VLOOKUP(E7466,DATABASE!C:Q,4,false)</f>
        <v>SPOORING</v>
      </c>
      <c r="R7466" s="93" t="str">
        <f>VLOOKUP(E7466,DATABASE!C:Q,11,false)</f>
        <v>SERVICE</v>
      </c>
    </row>
    <row r="7467" ht="22.5" customHeight="1">
      <c r="A7467" s="49"/>
      <c r="C7467" s="400">
        <v>46095.0</v>
      </c>
      <c r="D7467" s="524">
        <v>647.0</v>
      </c>
      <c r="E7467" s="544" t="s">
        <v>301</v>
      </c>
      <c r="F7467" s="387">
        <v>1.0</v>
      </c>
      <c r="G7467" s="140">
        <v>250000.0</v>
      </c>
      <c r="H7467" s="74"/>
      <c r="I7467" s="74">
        <f t="shared" si="1"/>
        <v>250000</v>
      </c>
      <c r="J7467" s="74">
        <f>IF(E7467="SERVICE",I7467-(I7467*50%),Vlookup(E7467,DATABASE!C:Q,10,false)*F7467)</f>
        <v>75000</v>
      </c>
      <c r="K7467" s="74">
        <f>VLOOKUP(E7467,DATABASE!C:Q,7,false)</f>
        <v>75000</v>
      </c>
      <c r="L7467" s="74">
        <v>75000.0</v>
      </c>
      <c r="M7467" s="74">
        <f t="shared" si="2"/>
        <v>75000</v>
      </c>
      <c r="N7467" s="74">
        <f t="shared" si="3"/>
        <v>100000</v>
      </c>
      <c r="O7467" s="65" t="str">
        <f>VLOOKUP(E7467,DATABASE!C:Q,8,false)</f>
        <v>BIAN</v>
      </c>
      <c r="P7467" s="65">
        <f>VLOOKUP(E7467,DATABASE!C:Q,9,False)</f>
        <v>0</v>
      </c>
      <c r="Q7467" s="93" t="str">
        <f>VLOOKUP(E7467,DATABASE!C:Q,4,false)</f>
        <v>Baut Camber</v>
      </c>
      <c r="R7467" s="93" t="str">
        <f>VLOOKUP(E7467,DATABASE!C:Q,11,false)</f>
        <v>COMPLEMENTARY</v>
      </c>
    </row>
    <row r="7468" ht="22.5" customHeight="1">
      <c r="A7468" s="49"/>
      <c r="C7468" s="400">
        <v>46095.0</v>
      </c>
      <c r="D7468" s="524">
        <v>648.0</v>
      </c>
      <c r="E7468" s="544" t="s">
        <v>268</v>
      </c>
      <c r="F7468" s="387">
        <v>1.0</v>
      </c>
      <c r="G7468" s="140">
        <v>710000.0</v>
      </c>
      <c r="H7468" s="74"/>
      <c r="I7468" s="74">
        <f t="shared" si="1"/>
        <v>710000</v>
      </c>
      <c r="J7468" s="74">
        <f>IF(E7468="SERVICE",I7468-(I7468*50%),Vlookup(E7468,DATABASE!C:Q,10,false)*F7468)</f>
        <v>0</v>
      </c>
      <c r="K7468" s="74">
        <f>VLOOKUP(E7468,DATABASE!C:Q,7,false)</f>
        <v>653000</v>
      </c>
      <c r="L7468" s="74">
        <v>622000.0</v>
      </c>
      <c r="M7468" s="74">
        <f t="shared" si="2"/>
        <v>625000</v>
      </c>
      <c r="N7468" s="74">
        <f t="shared" si="3"/>
        <v>85000</v>
      </c>
      <c r="O7468" s="65" t="str">
        <f>VLOOKUP(E7468,DATABASE!C:Q,8,false)</f>
        <v>IBU</v>
      </c>
      <c r="P7468" s="65">
        <f>VLOOKUP(E7468,DATABASE!C:Q,9,False)</f>
        <v>1</v>
      </c>
      <c r="Q7468" s="93" t="str">
        <f>VLOOKUP(E7468,DATABASE!C:Q,4,false)</f>
        <v>Dunlop</v>
      </c>
      <c r="R7468" s="93" t="str">
        <f>VLOOKUP(E7468,DATABASE!C:Q,11,false)</f>
        <v>Tire</v>
      </c>
    </row>
    <row r="7469" ht="22.5" customHeight="1">
      <c r="A7469" s="49"/>
      <c r="C7469" s="400">
        <v>46095.0</v>
      </c>
      <c r="D7469" s="524">
        <v>649.0</v>
      </c>
      <c r="E7469" s="544" t="s">
        <v>932</v>
      </c>
      <c r="F7469" s="387">
        <v>4.0</v>
      </c>
      <c r="G7469" s="140">
        <v>680000.0</v>
      </c>
      <c r="H7469" s="74"/>
      <c r="I7469" s="74">
        <f t="shared" si="1"/>
        <v>2720000</v>
      </c>
      <c r="J7469" s="74">
        <f>IF(E7469="SERVICE",I7469-(I7469*50%),Vlookup(E7469,DATABASE!C:Q,10,false)*F7469)</f>
        <v>0</v>
      </c>
      <c r="K7469" s="74">
        <f>VLOOKUP(E7469,DATABASE!C:Q,7,false)</f>
        <v>601000</v>
      </c>
      <c r="L7469" s="74">
        <v>595000.0</v>
      </c>
      <c r="M7469" s="74">
        <f t="shared" si="2"/>
        <v>595000</v>
      </c>
      <c r="N7469" s="74">
        <f t="shared" si="3"/>
        <v>340000</v>
      </c>
      <c r="O7469" s="65" t="str">
        <f>VLOOKUP(E7469,DATABASE!C:Q,8,false)</f>
        <v>IBU</v>
      </c>
      <c r="P7469" s="65">
        <f>VLOOKUP(E7469,DATABASE!C:Q,9,False)</f>
        <v>1</v>
      </c>
      <c r="Q7469" s="93" t="str">
        <f>VLOOKUP(E7469,DATABASE!C:Q,4,false)</f>
        <v>Dunlop</v>
      </c>
      <c r="R7469" s="93" t="str">
        <f>VLOOKUP(E7469,DATABASE!C:Q,11,false)</f>
        <v>Tire</v>
      </c>
    </row>
    <row r="7470" ht="22.5" customHeight="1">
      <c r="A7470" s="49"/>
      <c r="C7470" s="400">
        <v>46095.0</v>
      </c>
      <c r="D7470" s="524">
        <v>650.0</v>
      </c>
      <c r="E7470" s="544" t="s">
        <v>2625</v>
      </c>
      <c r="F7470" s="387">
        <v>2.0</v>
      </c>
      <c r="G7470" s="140">
        <v>625000.0</v>
      </c>
      <c r="H7470" s="74"/>
      <c r="I7470" s="74">
        <f t="shared" si="1"/>
        <v>1250000</v>
      </c>
      <c r="J7470" s="74">
        <f>IF(E7470="SERVICE",I7470-(I7470*50%),Vlookup(E7470,DATABASE!C:Q,10,false)*F7470)</f>
        <v>0</v>
      </c>
      <c r="K7470" s="74">
        <f>VLOOKUP(E7470,DATABASE!C:Q,7,false)</f>
        <v>532400</v>
      </c>
      <c r="L7470" s="74">
        <v>532400.0</v>
      </c>
      <c r="M7470" s="74">
        <f t="shared" si="2"/>
        <v>535000</v>
      </c>
      <c r="N7470" s="74">
        <f t="shared" si="3"/>
        <v>180000</v>
      </c>
      <c r="O7470" s="65" t="str">
        <f>VLOOKUP(E7470,DATABASE!C:Q,8,false)</f>
        <v>BIAN</v>
      </c>
      <c r="P7470" s="65">
        <f>VLOOKUP(E7470,DATABASE!C:Q,9,False)</f>
        <v>1</v>
      </c>
      <c r="Q7470" s="93" t="str">
        <f>VLOOKUP(E7470,DATABASE!C:Q,4,false)</f>
        <v>Sailun</v>
      </c>
      <c r="R7470" s="93" t="str">
        <f>VLOOKUP(E7470,DATABASE!C:Q,11,false)</f>
        <v>Tire</v>
      </c>
    </row>
    <row r="7471" ht="22.5" customHeight="1">
      <c r="A7471" s="49"/>
      <c r="C7471" s="400">
        <v>46095.0</v>
      </c>
      <c r="D7471" s="524">
        <v>650.0</v>
      </c>
      <c r="E7471" s="544" t="s">
        <v>256</v>
      </c>
      <c r="F7471" s="387">
        <v>1.0</v>
      </c>
      <c r="G7471" s="140">
        <v>175000.0</v>
      </c>
      <c r="H7471" s="140">
        <v>25000.0</v>
      </c>
      <c r="I7471" s="74">
        <f t="shared" si="1"/>
        <v>150000</v>
      </c>
      <c r="J7471" s="74">
        <f>IF(E7471="SERVICE",I7471-(I7471*50%),Vlookup(E7471,DATABASE!C:Q,10,false)*F7471)</f>
        <v>10000</v>
      </c>
      <c r="K7471" s="74">
        <f>VLOOKUP(E7471,DATABASE!C:Q,7,false)</f>
        <v>0</v>
      </c>
      <c r="L7471" s="74">
        <v>0.0</v>
      </c>
      <c r="M7471" s="74">
        <f t="shared" si="2"/>
        <v>0</v>
      </c>
      <c r="N7471" s="74">
        <f t="shared" si="3"/>
        <v>140000</v>
      </c>
      <c r="O7471" s="65" t="str">
        <f>VLOOKUP(E7471,DATABASE!C:Q,8,false)</f>
        <v>IBU</v>
      </c>
      <c r="P7471" s="65">
        <f>VLOOKUP(E7471,DATABASE!C:Q,9,False)</f>
        <v>0</v>
      </c>
      <c r="Q7471" s="93" t="str">
        <f>VLOOKUP(E7471,DATABASE!C:Q,4,false)</f>
        <v>SPOORING</v>
      </c>
      <c r="R7471" s="93" t="str">
        <f>VLOOKUP(E7471,DATABASE!C:Q,11,false)</f>
        <v>SERVICE</v>
      </c>
    </row>
    <row r="7472" ht="22.5" customHeight="1">
      <c r="A7472" s="49"/>
      <c r="C7472" s="400">
        <v>46095.0</v>
      </c>
      <c r="D7472" s="524">
        <v>650.0</v>
      </c>
      <c r="E7472" s="544" t="s">
        <v>301</v>
      </c>
      <c r="F7472" s="387">
        <v>1.0</v>
      </c>
      <c r="G7472" s="140">
        <v>250000.0</v>
      </c>
      <c r="H7472" s="74"/>
      <c r="I7472" s="74">
        <f t="shared" si="1"/>
        <v>250000</v>
      </c>
      <c r="J7472" s="74">
        <f>IF(E7472="SERVICE",I7472-(I7472*50%),Vlookup(E7472,DATABASE!C:Q,10,false)*F7472)</f>
        <v>75000</v>
      </c>
      <c r="K7472" s="74">
        <f>VLOOKUP(E7472,DATABASE!C:Q,7,false)</f>
        <v>75000</v>
      </c>
      <c r="L7472" s="74">
        <v>75000.0</v>
      </c>
      <c r="M7472" s="74">
        <f t="shared" si="2"/>
        <v>75000</v>
      </c>
      <c r="N7472" s="74">
        <f t="shared" si="3"/>
        <v>100000</v>
      </c>
      <c r="O7472" s="65" t="str">
        <f>VLOOKUP(E7472,DATABASE!C:Q,8,false)</f>
        <v>BIAN</v>
      </c>
      <c r="P7472" s="65">
        <f>VLOOKUP(E7472,DATABASE!C:Q,9,False)</f>
        <v>0</v>
      </c>
      <c r="Q7472" s="93" t="str">
        <f>VLOOKUP(E7472,DATABASE!C:Q,4,false)</f>
        <v>Baut Camber</v>
      </c>
      <c r="R7472" s="93" t="str">
        <f>VLOOKUP(E7472,DATABASE!C:Q,11,false)</f>
        <v>COMPLEMENTARY</v>
      </c>
    </row>
    <row r="7473" ht="22.5" customHeight="1">
      <c r="A7473" s="49"/>
      <c r="C7473" s="400">
        <v>46095.0</v>
      </c>
      <c r="D7473" s="524">
        <v>651.0</v>
      </c>
      <c r="E7473" s="544" t="s">
        <v>932</v>
      </c>
      <c r="F7473" s="387">
        <v>1.0</v>
      </c>
      <c r="G7473" s="140">
        <v>680000.0</v>
      </c>
      <c r="H7473" s="74"/>
      <c r="I7473" s="74">
        <f t="shared" si="1"/>
        <v>680000</v>
      </c>
      <c r="J7473" s="74">
        <f>IF(E7473="SERVICE",I7473-(I7473*50%),Vlookup(E7473,DATABASE!C:Q,10,false)*F7473)</f>
        <v>0</v>
      </c>
      <c r="K7473" s="74">
        <f>VLOOKUP(E7473,DATABASE!C:Q,7,false)</f>
        <v>601000</v>
      </c>
      <c r="L7473" s="74">
        <v>595000.0</v>
      </c>
      <c r="M7473" s="74">
        <f t="shared" si="2"/>
        <v>595000</v>
      </c>
      <c r="N7473" s="74">
        <f t="shared" si="3"/>
        <v>85000</v>
      </c>
      <c r="O7473" s="65" t="str">
        <f>VLOOKUP(E7473,DATABASE!C:Q,8,false)</f>
        <v>IBU</v>
      </c>
      <c r="P7473" s="65">
        <f>VLOOKUP(E7473,DATABASE!C:Q,9,False)</f>
        <v>1</v>
      </c>
      <c r="Q7473" s="93" t="str">
        <f>VLOOKUP(E7473,DATABASE!C:Q,4,false)</f>
        <v>Dunlop</v>
      </c>
      <c r="R7473" s="93" t="str">
        <f>VLOOKUP(E7473,DATABASE!C:Q,11,false)</f>
        <v>Tire</v>
      </c>
    </row>
    <row r="7474" ht="22.5" customHeight="1">
      <c r="A7474" s="49"/>
      <c r="C7474" s="400">
        <v>46095.0</v>
      </c>
      <c r="D7474" s="524">
        <v>652.0</v>
      </c>
      <c r="E7474" s="544" t="s">
        <v>256</v>
      </c>
      <c r="F7474" s="387">
        <v>1.0</v>
      </c>
      <c r="G7474" s="140">
        <v>175000.0</v>
      </c>
      <c r="H7474" s="140">
        <v>25000.0</v>
      </c>
      <c r="I7474" s="74">
        <f t="shared" si="1"/>
        <v>150000</v>
      </c>
      <c r="J7474" s="74">
        <f>IF(E7474="SERVICE",I7474-(I7474*50%),Vlookup(E7474,DATABASE!C:Q,10,false)*F7474)</f>
        <v>10000</v>
      </c>
      <c r="K7474" s="74">
        <f>VLOOKUP(E7474,DATABASE!C:Q,7,false)</f>
        <v>0</v>
      </c>
      <c r="L7474" s="74">
        <v>0.0</v>
      </c>
      <c r="M7474" s="74">
        <f t="shared" si="2"/>
        <v>0</v>
      </c>
      <c r="N7474" s="74">
        <f t="shared" si="3"/>
        <v>140000</v>
      </c>
      <c r="O7474" s="65" t="str">
        <f>VLOOKUP(E7474,DATABASE!C:Q,8,false)</f>
        <v>IBU</v>
      </c>
      <c r="P7474" s="65">
        <f>VLOOKUP(E7474,DATABASE!C:Q,9,False)</f>
        <v>0</v>
      </c>
      <c r="Q7474" s="93" t="str">
        <f>VLOOKUP(E7474,DATABASE!C:Q,4,false)</f>
        <v>SPOORING</v>
      </c>
      <c r="R7474" s="93" t="str">
        <f>VLOOKUP(E7474,DATABASE!C:Q,11,false)</f>
        <v>SERVICE</v>
      </c>
    </row>
    <row r="7475" ht="22.5" customHeight="1">
      <c r="A7475" s="49"/>
      <c r="C7475" s="400">
        <v>46095.0</v>
      </c>
      <c r="D7475" s="524">
        <v>652.0</v>
      </c>
      <c r="E7475" s="544" t="s">
        <v>301</v>
      </c>
      <c r="F7475" s="387">
        <v>1.0</v>
      </c>
      <c r="G7475" s="140">
        <v>250000.0</v>
      </c>
      <c r="H7475" s="74"/>
      <c r="I7475" s="74">
        <f t="shared" si="1"/>
        <v>250000</v>
      </c>
      <c r="J7475" s="74">
        <f>IF(E7475="SERVICE",I7475-(I7475*50%),Vlookup(E7475,DATABASE!C:Q,10,false)*F7475)</f>
        <v>75000</v>
      </c>
      <c r="K7475" s="74">
        <f>VLOOKUP(E7475,DATABASE!C:Q,7,false)</f>
        <v>75000</v>
      </c>
      <c r="L7475" s="74">
        <v>75000.0</v>
      </c>
      <c r="M7475" s="74">
        <f t="shared" si="2"/>
        <v>75000</v>
      </c>
      <c r="N7475" s="74">
        <f t="shared" si="3"/>
        <v>100000</v>
      </c>
      <c r="O7475" s="65" t="str">
        <f>VLOOKUP(E7475,DATABASE!C:Q,8,false)</f>
        <v>BIAN</v>
      </c>
      <c r="P7475" s="65">
        <f>VLOOKUP(E7475,DATABASE!C:Q,9,False)</f>
        <v>0</v>
      </c>
      <c r="Q7475" s="93" t="str">
        <f>VLOOKUP(E7475,DATABASE!C:Q,4,false)</f>
        <v>Baut Camber</v>
      </c>
      <c r="R7475" s="93" t="str">
        <f>VLOOKUP(E7475,DATABASE!C:Q,11,false)</f>
        <v>COMPLEMENTARY</v>
      </c>
    </row>
    <row r="7476" ht="22.5" customHeight="1">
      <c r="A7476" s="49"/>
      <c r="C7476" s="400">
        <v>46095.0</v>
      </c>
      <c r="D7476" s="524">
        <v>652.0</v>
      </c>
      <c r="E7476" s="544" t="s">
        <v>299</v>
      </c>
      <c r="F7476" s="387">
        <v>2.0</v>
      </c>
      <c r="G7476" s="140">
        <v>30000.0</v>
      </c>
      <c r="H7476" s="74"/>
      <c r="I7476" s="74">
        <f t="shared" si="1"/>
        <v>60000</v>
      </c>
      <c r="J7476" s="74">
        <f>IF(E7476="SERVICE",I7476-(I7476*50%),Vlookup(E7476,DATABASE!C:Q,10,false)*F7476)</f>
        <v>0</v>
      </c>
      <c r="K7476" s="74">
        <f>VLOOKUP(E7476,DATABASE!C:Q,7,false)</f>
        <v>10000</v>
      </c>
      <c r="L7476" s="74">
        <v>10000.0</v>
      </c>
      <c r="M7476" s="74">
        <f t="shared" si="2"/>
        <v>10000</v>
      </c>
      <c r="N7476" s="74">
        <f t="shared" si="3"/>
        <v>40000</v>
      </c>
      <c r="O7476" s="65" t="str">
        <f>VLOOKUP(E7476,DATABASE!C:Q,8,false)</f>
        <v>BIAN</v>
      </c>
      <c r="P7476" s="65">
        <f>VLOOKUP(E7476,DATABASE!C:Q,9,False)</f>
        <v>0</v>
      </c>
      <c r="Q7476" s="93" t="str">
        <f>VLOOKUP(E7476,DATABASE!C:Q,4,false)</f>
        <v>Balancing</v>
      </c>
      <c r="R7476" s="93" t="str">
        <f>VLOOKUP(E7476,DATABASE!C:Q,11,false)</f>
        <v>COMPLEMENTARY</v>
      </c>
    </row>
    <row r="7477" ht="22.5" customHeight="1">
      <c r="A7477" s="49"/>
      <c r="C7477" s="400">
        <v>46095.0</v>
      </c>
      <c r="D7477" s="524">
        <v>653.0</v>
      </c>
      <c r="E7477" s="544" t="s">
        <v>265</v>
      </c>
      <c r="F7477" s="387">
        <v>1.0</v>
      </c>
      <c r="G7477" s="140">
        <v>685000.0</v>
      </c>
      <c r="H7477" s="140">
        <v>5000.0</v>
      </c>
      <c r="I7477" s="74">
        <f t="shared" si="1"/>
        <v>680000</v>
      </c>
      <c r="J7477" s="74">
        <f>IF(E7477="SERVICE",I7477-(I7477*50%),Vlookup(E7477,DATABASE!C:Q,10,false)*F7477)</f>
        <v>0</v>
      </c>
      <c r="K7477" s="74">
        <f>VLOOKUP(E7477,DATABASE!C:Q,7,false)</f>
        <v>628000</v>
      </c>
      <c r="L7477" s="74">
        <v>600000.0</v>
      </c>
      <c r="M7477" s="74">
        <f t="shared" si="2"/>
        <v>600000</v>
      </c>
      <c r="N7477" s="74">
        <f t="shared" si="3"/>
        <v>80000</v>
      </c>
      <c r="O7477" s="65" t="str">
        <f>VLOOKUP(E7477,DATABASE!C:Q,8,false)</f>
        <v>IBU</v>
      </c>
      <c r="P7477" s="65">
        <f>VLOOKUP(E7477,DATABASE!C:Q,9,False)</f>
        <v>1</v>
      </c>
      <c r="Q7477" s="93" t="str">
        <f>VLOOKUP(E7477,DATABASE!C:Q,4,false)</f>
        <v>Dunlop</v>
      </c>
      <c r="R7477" s="93" t="str">
        <f>VLOOKUP(E7477,DATABASE!C:Q,11,false)</f>
        <v>Tire</v>
      </c>
    </row>
    <row r="7478" ht="22.5" customHeight="1">
      <c r="A7478" s="49"/>
      <c r="C7478" s="400">
        <v>46095.0</v>
      </c>
      <c r="D7478" s="524">
        <v>654.0</v>
      </c>
      <c r="E7478" s="544" t="s">
        <v>299</v>
      </c>
      <c r="F7478" s="387">
        <v>2.0</v>
      </c>
      <c r="G7478" s="140">
        <v>30000.0</v>
      </c>
      <c r="H7478" s="74"/>
      <c r="I7478" s="74">
        <f t="shared" si="1"/>
        <v>60000</v>
      </c>
      <c r="J7478" s="74">
        <f>IF(E7478="SERVICE",I7478-(I7478*50%),Vlookup(E7478,DATABASE!C:Q,10,false)*F7478)</f>
        <v>0</v>
      </c>
      <c r="K7478" s="74">
        <f>VLOOKUP(E7478,DATABASE!C:Q,7,false)</f>
        <v>10000</v>
      </c>
      <c r="L7478" s="74">
        <v>10000.0</v>
      </c>
      <c r="M7478" s="74">
        <f t="shared" si="2"/>
        <v>10000</v>
      </c>
      <c r="N7478" s="74">
        <f t="shared" si="3"/>
        <v>40000</v>
      </c>
      <c r="O7478" s="65" t="str">
        <f>VLOOKUP(E7478,DATABASE!C:Q,8,false)</f>
        <v>BIAN</v>
      </c>
      <c r="P7478" s="65">
        <f>VLOOKUP(E7478,DATABASE!C:Q,9,False)</f>
        <v>0</v>
      </c>
      <c r="Q7478" s="93" t="str">
        <f>VLOOKUP(E7478,DATABASE!C:Q,4,false)</f>
        <v>Balancing</v>
      </c>
      <c r="R7478" s="93" t="str">
        <f>VLOOKUP(E7478,DATABASE!C:Q,11,false)</f>
        <v>COMPLEMENTARY</v>
      </c>
    </row>
    <row r="7479" ht="22.5" customHeight="1">
      <c r="A7479" s="49"/>
      <c r="C7479" s="400">
        <v>46095.0</v>
      </c>
      <c r="D7479" s="524">
        <v>655.0</v>
      </c>
      <c r="E7479" s="544" t="s">
        <v>271</v>
      </c>
      <c r="F7479" s="387">
        <v>1.0</v>
      </c>
      <c r="G7479" s="140">
        <v>630000.0</v>
      </c>
      <c r="H7479" s="74"/>
      <c r="I7479" s="74">
        <f t="shared" si="1"/>
        <v>630000</v>
      </c>
      <c r="J7479" s="74">
        <f>IF(E7479="SERVICE",I7479-(I7479*50%),Vlookup(E7479,DATABASE!C:Q,10,false)*F7479)</f>
        <v>0</v>
      </c>
      <c r="K7479" s="74">
        <f>VLOOKUP(E7479,DATABASE!C:Q,7,false)</f>
        <v>570000</v>
      </c>
      <c r="L7479" s="74">
        <v>539000.0</v>
      </c>
      <c r="M7479" s="74">
        <f t="shared" si="2"/>
        <v>540000</v>
      </c>
      <c r="N7479" s="74">
        <f t="shared" si="3"/>
        <v>90000</v>
      </c>
      <c r="O7479" s="65" t="str">
        <f>VLOOKUP(E7479,DATABASE!C:Q,8,false)</f>
        <v>IBU</v>
      </c>
      <c r="P7479" s="65">
        <f>VLOOKUP(E7479,DATABASE!C:Q,9,False)</f>
        <v>1</v>
      </c>
      <c r="Q7479" s="93" t="str">
        <f>VLOOKUP(E7479,DATABASE!C:Q,4,false)</f>
        <v>Dunlop</v>
      </c>
      <c r="R7479" s="93" t="str">
        <f>VLOOKUP(E7479,DATABASE!C:Q,11,false)</f>
        <v>Tire</v>
      </c>
    </row>
    <row r="7480" ht="22.5" customHeight="1">
      <c r="A7480" s="49"/>
      <c r="C7480" s="400">
        <v>46095.0</v>
      </c>
      <c r="D7480" s="524">
        <v>656.0</v>
      </c>
      <c r="E7480" s="544" t="s">
        <v>299</v>
      </c>
      <c r="F7480" s="387">
        <v>2.0</v>
      </c>
      <c r="G7480" s="140">
        <v>30000.0</v>
      </c>
      <c r="H7480" s="74"/>
      <c r="I7480" s="74">
        <f t="shared" si="1"/>
        <v>60000</v>
      </c>
      <c r="J7480" s="74">
        <f>IF(E7480="SERVICE",I7480-(I7480*50%),Vlookup(E7480,DATABASE!C:Q,10,false)*F7480)</f>
        <v>0</v>
      </c>
      <c r="K7480" s="74">
        <f>VLOOKUP(E7480,DATABASE!C:Q,7,false)</f>
        <v>10000</v>
      </c>
      <c r="L7480" s="74">
        <v>10000.0</v>
      </c>
      <c r="M7480" s="74">
        <f t="shared" si="2"/>
        <v>10000</v>
      </c>
      <c r="N7480" s="74">
        <f t="shared" si="3"/>
        <v>40000</v>
      </c>
      <c r="O7480" s="65" t="str">
        <f>VLOOKUP(E7480,DATABASE!C:Q,8,false)</f>
        <v>BIAN</v>
      </c>
      <c r="P7480" s="65">
        <f>VLOOKUP(E7480,DATABASE!C:Q,9,False)</f>
        <v>0</v>
      </c>
      <c r="Q7480" s="93" t="str">
        <f>VLOOKUP(E7480,DATABASE!C:Q,4,false)</f>
        <v>Balancing</v>
      </c>
      <c r="R7480" s="93" t="str">
        <f>VLOOKUP(E7480,DATABASE!C:Q,11,false)</f>
        <v>COMPLEMENTARY</v>
      </c>
    </row>
    <row r="7481" ht="22.5" customHeight="1">
      <c r="A7481" s="49"/>
      <c r="C7481" s="400">
        <v>46095.0</v>
      </c>
      <c r="D7481" s="524">
        <v>657.0</v>
      </c>
      <c r="E7481" s="544" t="s">
        <v>265</v>
      </c>
      <c r="F7481" s="387">
        <v>1.0</v>
      </c>
      <c r="G7481" s="140">
        <v>685000.0</v>
      </c>
      <c r="H7481" s="74"/>
      <c r="I7481" s="74">
        <f t="shared" si="1"/>
        <v>685000</v>
      </c>
      <c r="J7481" s="74">
        <f>IF(E7481="SERVICE",I7481-(I7481*50%),Vlookup(E7481,DATABASE!C:Q,10,false)*F7481)</f>
        <v>0</v>
      </c>
      <c r="K7481" s="74">
        <f>VLOOKUP(E7481,DATABASE!C:Q,7,false)</f>
        <v>628000</v>
      </c>
      <c r="L7481" s="74">
        <v>600000.0</v>
      </c>
      <c r="M7481" s="74">
        <f t="shared" si="2"/>
        <v>600000</v>
      </c>
      <c r="N7481" s="74">
        <f t="shared" si="3"/>
        <v>85000</v>
      </c>
      <c r="O7481" s="65" t="str">
        <f>VLOOKUP(E7481,DATABASE!C:Q,8,false)</f>
        <v>IBU</v>
      </c>
      <c r="P7481" s="65">
        <f>VLOOKUP(E7481,DATABASE!C:Q,9,False)</f>
        <v>1</v>
      </c>
      <c r="Q7481" s="93" t="str">
        <f>VLOOKUP(E7481,DATABASE!C:Q,4,false)</f>
        <v>Dunlop</v>
      </c>
      <c r="R7481" s="93" t="str">
        <f>VLOOKUP(E7481,DATABASE!C:Q,11,false)</f>
        <v>Tire</v>
      </c>
    </row>
    <row r="7482" ht="22.5" customHeight="1">
      <c r="A7482" s="49"/>
      <c r="C7482" s="400">
        <v>46095.0</v>
      </c>
      <c r="D7482" s="524">
        <v>658.0</v>
      </c>
      <c r="E7482" s="544" t="s">
        <v>268</v>
      </c>
      <c r="F7482" s="387">
        <v>2.0</v>
      </c>
      <c r="G7482" s="140">
        <v>710000.0</v>
      </c>
      <c r="H7482" s="74"/>
      <c r="I7482" s="74">
        <f t="shared" si="1"/>
        <v>1420000</v>
      </c>
      <c r="J7482" s="74">
        <f>IF(E7482="SERVICE",I7482-(I7482*50%),Vlookup(E7482,DATABASE!C:Q,10,false)*F7482)</f>
        <v>0</v>
      </c>
      <c r="K7482" s="74">
        <f>VLOOKUP(E7482,DATABASE!C:Q,7,false)</f>
        <v>653000</v>
      </c>
      <c r="L7482" s="74">
        <v>622000.0</v>
      </c>
      <c r="M7482" s="74">
        <f t="shared" si="2"/>
        <v>625000</v>
      </c>
      <c r="N7482" s="74">
        <f t="shared" si="3"/>
        <v>170000</v>
      </c>
      <c r="O7482" s="65" t="str">
        <f>VLOOKUP(E7482,DATABASE!C:Q,8,false)</f>
        <v>IBU</v>
      </c>
      <c r="P7482" s="65">
        <f>VLOOKUP(E7482,DATABASE!C:Q,9,False)</f>
        <v>1</v>
      </c>
      <c r="Q7482" s="93" t="str">
        <f>VLOOKUP(E7482,DATABASE!C:Q,4,false)</f>
        <v>Dunlop</v>
      </c>
      <c r="R7482" s="93" t="str">
        <f>VLOOKUP(E7482,DATABASE!C:Q,11,false)</f>
        <v>Tire</v>
      </c>
    </row>
    <row r="7483" ht="22.5" customHeight="1">
      <c r="A7483" s="49"/>
      <c r="C7483" s="400">
        <v>46095.0</v>
      </c>
      <c r="D7483" s="524">
        <v>658.0</v>
      </c>
      <c r="E7483" s="544" t="s">
        <v>299</v>
      </c>
      <c r="F7483" s="387">
        <v>2.0</v>
      </c>
      <c r="G7483" s="140">
        <v>30000.0</v>
      </c>
      <c r="H7483" s="74"/>
      <c r="I7483" s="74">
        <f t="shared" si="1"/>
        <v>60000</v>
      </c>
      <c r="J7483" s="74">
        <f>IF(E7483="SERVICE",I7483-(I7483*50%),Vlookup(E7483,DATABASE!C:Q,10,false)*F7483)</f>
        <v>0</v>
      </c>
      <c r="K7483" s="74">
        <f>VLOOKUP(E7483,DATABASE!C:Q,7,false)</f>
        <v>10000</v>
      </c>
      <c r="L7483" s="74">
        <v>10000.0</v>
      </c>
      <c r="M7483" s="74">
        <f t="shared" si="2"/>
        <v>10000</v>
      </c>
      <c r="N7483" s="74">
        <f t="shared" si="3"/>
        <v>40000</v>
      </c>
      <c r="O7483" s="65" t="str">
        <f>VLOOKUP(E7483,DATABASE!C:Q,8,false)</f>
        <v>BIAN</v>
      </c>
      <c r="P7483" s="65">
        <f>VLOOKUP(E7483,DATABASE!C:Q,9,False)</f>
        <v>0</v>
      </c>
      <c r="Q7483" s="93" t="str">
        <f>VLOOKUP(E7483,DATABASE!C:Q,4,false)</f>
        <v>Balancing</v>
      </c>
      <c r="R7483" s="93" t="str">
        <f>VLOOKUP(E7483,DATABASE!C:Q,11,false)</f>
        <v>COMPLEMENTARY</v>
      </c>
    </row>
    <row r="7484" ht="22.5" customHeight="1">
      <c r="A7484" s="49"/>
      <c r="C7484" s="400">
        <v>46095.0</v>
      </c>
      <c r="D7484" s="524">
        <v>659.0</v>
      </c>
      <c r="E7484" s="544" t="s">
        <v>1951</v>
      </c>
      <c r="F7484" s="387">
        <v>2.0</v>
      </c>
      <c r="G7484" s="140">
        <v>860000.0</v>
      </c>
      <c r="H7484" s="74"/>
      <c r="I7484" s="74">
        <f t="shared" si="1"/>
        <v>1720000</v>
      </c>
      <c r="J7484" s="74">
        <f>IF(E7484="SERVICE",I7484-(I7484*50%),Vlookup(E7484,DATABASE!C:Q,10,false)*F7484)</f>
        <v>0</v>
      </c>
      <c r="K7484" s="74">
        <f>VLOOKUP(E7484,DATABASE!C:Q,7,false)</f>
        <v>757300</v>
      </c>
      <c r="L7484" s="74">
        <v>757300.0</v>
      </c>
      <c r="M7484" s="74">
        <f t="shared" si="2"/>
        <v>760000</v>
      </c>
      <c r="N7484" s="74">
        <f t="shared" si="3"/>
        <v>200000</v>
      </c>
      <c r="O7484" s="65" t="str">
        <f>VLOOKUP(E7484,DATABASE!C:Q,8,false)</f>
        <v>BIAN</v>
      </c>
      <c r="P7484" s="65">
        <f>VLOOKUP(E7484,DATABASE!C:Q,9,False)</f>
        <v>1</v>
      </c>
      <c r="Q7484" s="93" t="str">
        <f>VLOOKUP(E7484,DATABASE!C:Q,4,false)</f>
        <v>GT</v>
      </c>
      <c r="R7484" s="93" t="str">
        <f>VLOOKUP(E7484,DATABASE!C:Q,11,false)</f>
        <v>Tire</v>
      </c>
    </row>
    <row r="7485" ht="22.5" customHeight="1">
      <c r="A7485" s="49"/>
      <c r="C7485" s="400">
        <v>46095.0</v>
      </c>
      <c r="D7485" s="69" t="s">
        <v>2736</v>
      </c>
      <c r="E7485" s="544" t="s">
        <v>252</v>
      </c>
      <c r="F7485" s="387">
        <v>1.0</v>
      </c>
      <c r="G7485" s="140">
        <v>300000.0</v>
      </c>
      <c r="H7485" s="74"/>
      <c r="I7485" s="74">
        <f t="shared" si="1"/>
        <v>300000</v>
      </c>
      <c r="J7485" s="74">
        <f>IF(E7485="SERVICE",I7485-(I7485*50%),Vlookup(E7485,DATABASE!C:Q,10,false)*F7485)</f>
        <v>0</v>
      </c>
      <c r="K7485" s="74">
        <f>VLOOKUP(E7485,DATABASE!C:Q,7,false)</f>
        <v>317518</v>
      </c>
      <c r="L7485" s="74">
        <v>271778.0</v>
      </c>
      <c r="M7485" s="74">
        <f t="shared" si="2"/>
        <v>275000</v>
      </c>
      <c r="N7485" s="74">
        <f t="shared" si="3"/>
        <v>25000</v>
      </c>
      <c r="O7485" s="65" t="str">
        <f>VLOOKUP(E7485,DATABASE!C:Q,8,false)</f>
        <v>NON</v>
      </c>
      <c r="P7485" s="65">
        <f>VLOOKUP(E7485,DATABASE!C:Q,9,False)</f>
        <v>0</v>
      </c>
      <c r="Q7485" s="93" t="str">
        <f>VLOOKUP(E7485,DATABASE!C:Q,4,false)</f>
        <v>Shell</v>
      </c>
      <c r="R7485" s="93" t="str">
        <f>VLOOKUP(E7485,DATABASE!C:Q,11,false)</f>
        <v>OIL</v>
      </c>
    </row>
    <row r="7486" ht="22.5" customHeight="1">
      <c r="A7486" s="49"/>
      <c r="C7486" s="400">
        <v>46095.0</v>
      </c>
      <c r="D7486" s="69" t="s">
        <v>2737</v>
      </c>
      <c r="E7486" s="544" t="s">
        <v>263</v>
      </c>
      <c r="F7486" s="387">
        <v>1.0</v>
      </c>
      <c r="G7486" s="140">
        <v>320000.0</v>
      </c>
      <c r="H7486" s="74"/>
      <c r="I7486" s="74">
        <f t="shared" si="1"/>
        <v>320000</v>
      </c>
      <c r="J7486" s="74">
        <f>IF(E7486="SERVICE",I7486-(I7486*50%),Vlookup(E7486,DATABASE!C:Q,10,false)*F7486)</f>
        <v>0</v>
      </c>
      <c r="K7486" s="74">
        <f>VLOOKUP(E7486,DATABASE!C:Q,7,false)</f>
        <v>334916</v>
      </c>
      <c r="L7486" s="74">
        <v>287688.0</v>
      </c>
      <c r="M7486" s="74">
        <f t="shared" si="2"/>
        <v>290000</v>
      </c>
      <c r="N7486" s="74">
        <f t="shared" si="3"/>
        <v>30000</v>
      </c>
      <c r="O7486" s="65" t="str">
        <f>VLOOKUP(E7486,DATABASE!C:Q,8,false)</f>
        <v>NON</v>
      </c>
      <c r="P7486" s="65">
        <f>VLOOKUP(E7486,DATABASE!C:Q,9,False)</f>
        <v>0</v>
      </c>
      <c r="Q7486" s="93" t="str">
        <f>VLOOKUP(E7486,DATABASE!C:Q,4,false)</f>
        <v>Shell</v>
      </c>
      <c r="R7486" s="93" t="str">
        <f>VLOOKUP(E7486,DATABASE!C:Q,11,false)</f>
        <v>OIL</v>
      </c>
    </row>
    <row r="7487" ht="22.5" customHeight="1">
      <c r="A7487" s="49"/>
      <c r="C7487" s="400">
        <v>46096.0</v>
      </c>
      <c r="D7487" s="69">
        <v>660.0</v>
      </c>
      <c r="E7487" s="544" t="s">
        <v>262</v>
      </c>
      <c r="F7487" s="387">
        <v>1.0</v>
      </c>
      <c r="G7487" s="140">
        <v>130000.0</v>
      </c>
      <c r="H7487" s="74"/>
      <c r="I7487" s="74">
        <f t="shared" si="1"/>
        <v>130000</v>
      </c>
      <c r="J7487" s="74">
        <f>IF(E7487="SERVICE",I7487-(I7487*50%),Vlookup(E7487,DATABASE!C:Q,10,false)*F7487)</f>
        <v>5000</v>
      </c>
      <c r="K7487" s="74">
        <f>VLOOKUP(E7487,DATABASE!C:Q,7,false)</f>
        <v>0</v>
      </c>
      <c r="L7487" s="74">
        <v>0.0</v>
      </c>
      <c r="M7487" s="74">
        <f t="shared" si="2"/>
        <v>0</v>
      </c>
      <c r="N7487" s="74">
        <f t="shared" si="3"/>
        <v>125000</v>
      </c>
      <c r="O7487" s="65" t="str">
        <f>VLOOKUP(E7487,DATABASE!C:Q,8,false)</f>
        <v>IBU</v>
      </c>
      <c r="P7487" s="65">
        <f>VLOOKUP(E7487,DATABASE!C:Q,9,False)</f>
        <v>0</v>
      </c>
      <c r="Q7487" s="93" t="str">
        <f>VLOOKUP(E7487,DATABASE!C:Q,4,false)</f>
        <v>SPOORING SS/CARRY LOS BAK</v>
      </c>
      <c r="R7487" s="93" t="str">
        <f>VLOOKUP(E7487,DATABASE!C:Q,11,false)</f>
        <v>SERVICE</v>
      </c>
    </row>
    <row r="7488" ht="22.5" customHeight="1">
      <c r="A7488" s="49"/>
      <c r="C7488" s="400">
        <v>46096.0</v>
      </c>
      <c r="D7488" s="524">
        <v>660.0</v>
      </c>
      <c r="E7488" s="544" t="s">
        <v>251</v>
      </c>
      <c r="F7488" s="387">
        <v>1.0</v>
      </c>
      <c r="G7488" s="140">
        <v>350000.0</v>
      </c>
      <c r="H7488" s="140">
        <v>230000.0</v>
      </c>
      <c r="I7488" s="74">
        <f t="shared" si="1"/>
        <v>120000</v>
      </c>
      <c r="J7488" s="74">
        <f>IF(E7488="SERVICE",I7488-(I7488*50%),Vlookup(E7488,DATABASE!C:Q,10,false)*F7488)</f>
        <v>60000</v>
      </c>
      <c r="K7488" s="74">
        <f>VLOOKUP(E7488,DATABASE!C:Q,7,false)</f>
        <v>0</v>
      </c>
      <c r="L7488" s="74">
        <v>0.0</v>
      </c>
      <c r="M7488" s="74">
        <f t="shared" si="2"/>
        <v>0</v>
      </c>
      <c r="N7488" s="74">
        <f t="shared" si="3"/>
        <v>60000</v>
      </c>
      <c r="O7488" s="65" t="str">
        <f>VLOOKUP(E7488,DATABASE!C:Q,8,false)</f>
        <v>IBU</v>
      </c>
      <c r="P7488" s="65">
        <f>VLOOKUP(E7488,DATABASE!C:Q,9,False)</f>
        <v>0</v>
      </c>
      <c r="Q7488" s="93" t="str">
        <f>VLOOKUP(E7488,DATABASE!C:Q,4,false)</f>
        <v>SERVICE</v>
      </c>
      <c r="R7488" s="93" t="str">
        <f>VLOOKUP(E7488,DATABASE!C:Q,11,false)</f>
        <v>SERVICE</v>
      </c>
    </row>
    <row r="7489" ht="22.5" customHeight="1">
      <c r="A7489" s="49"/>
      <c r="C7489" s="400">
        <v>46096.0</v>
      </c>
      <c r="D7489" s="524">
        <v>661.0</v>
      </c>
      <c r="E7489" s="544" t="s">
        <v>299</v>
      </c>
      <c r="F7489" s="387">
        <v>2.0</v>
      </c>
      <c r="G7489" s="140">
        <v>30000.0</v>
      </c>
      <c r="H7489" s="74"/>
      <c r="I7489" s="74">
        <f t="shared" si="1"/>
        <v>60000</v>
      </c>
      <c r="J7489" s="74">
        <f>IF(E7489="SERVICE",I7489-(I7489*50%),Vlookup(E7489,DATABASE!C:Q,10,false)*F7489)</f>
        <v>0</v>
      </c>
      <c r="K7489" s="74">
        <f>VLOOKUP(E7489,DATABASE!C:Q,7,false)</f>
        <v>10000</v>
      </c>
      <c r="L7489" s="74">
        <v>10000.0</v>
      </c>
      <c r="M7489" s="74">
        <f t="shared" si="2"/>
        <v>10000</v>
      </c>
      <c r="N7489" s="74">
        <f t="shared" si="3"/>
        <v>40000</v>
      </c>
      <c r="O7489" s="65" t="str">
        <f>VLOOKUP(E7489,DATABASE!C:Q,8,false)</f>
        <v>BIAN</v>
      </c>
      <c r="P7489" s="65">
        <f>VLOOKUP(E7489,DATABASE!C:Q,9,False)</f>
        <v>0</v>
      </c>
      <c r="Q7489" s="93" t="str">
        <f>VLOOKUP(E7489,DATABASE!C:Q,4,false)</f>
        <v>Balancing</v>
      </c>
      <c r="R7489" s="93" t="str">
        <f>VLOOKUP(E7489,DATABASE!C:Q,11,false)</f>
        <v>COMPLEMENTARY</v>
      </c>
    </row>
    <row r="7490" ht="22.5" customHeight="1">
      <c r="A7490" s="49"/>
      <c r="C7490" s="400">
        <v>46096.0</v>
      </c>
      <c r="D7490" s="524">
        <v>662.0</v>
      </c>
      <c r="E7490" s="544" t="s">
        <v>262</v>
      </c>
      <c r="F7490" s="387">
        <v>1.0</v>
      </c>
      <c r="G7490" s="140">
        <v>130000.0</v>
      </c>
      <c r="H7490" s="74"/>
      <c r="I7490" s="74">
        <f t="shared" si="1"/>
        <v>130000</v>
      </c>
      <c r="J7490" s="74">
        <f>IF(E7490="SERVICE",I7490-(I7490*50%),Vlookup(E7490,DATABASE!C:Q,10,false)*F7490)</f>
        <v>5000</v>
      </c>
      <c r="K7490" s="74">
        <f>VLOOKUP(E7490,DATABASE!C:Q,7,false)</f>
        <v>0</v>
      </c>
      <c r="L7490" s="74">
        <v>0.0</v>
      </c>
      <c r="M7490" s="74">
        <f t="shared" si="2"/>
        <v>0</v>
      </c>
      <c r="N7490" s="74">
        <f t="shared" si="3"/>
        <v>125000</v>
      </c>
      <c r="O7490" s="65" t="str">
        <f>VLOOKUP(E7490,DATABASE!C:Q,8,false)</f>
        <v>IBU</v>
      </c>
      <c r="P7490" s="65">
        <f>VLOOKUP(E7490,DATABASE!C:Q,9,False)</f>
        <v>0</v>
      </c>
      <c r="Q7490" s="93" t="str">
        <f>VLOOKUP(E7490,DATABASE!C:Q,4,false)</f>
        <v>SPOORING SS/CARRY LOS BAK</v>
      </c>
      <c r="R7490" s="93" t="str">
        <f>VLOOKUP(E7490,DATABASE!C:Q,11,false)</f>
        <v>SERVICE</v>
      </c>
    </row>
    <row r="7491" ht="22.5" customHeight="1">
      <c r="A7491" s="49"/>
      <c r="C7491" s="400">
        <v>46096.0</v>
      </c>
      <c r="D7491" s="524">
        <v>662.0</v>
      </c>
      <c r="E7491" s="544" t="s">
        <v>478</v>
      </c>
      <c r="F7491" s="387">
        <v>1.0</v>
      </c>
      <c r="G7491" s="140">
        <v>200000.0</v>
      </c>
      <c r="H7491" s="74"/>
      <c r="I7491" s="74">
        <f t="shared" si="1"/>
        <v>200000</v>
      </c>
      <c r="J7491" s="74">
        <f>IF(E7491="SERVICE",I7491-(I7491*50%),Vlookup(E7491,DATABASE!C:Q,10,false)*F7491)</f>
        <v>25000</v>
      </c>
      <c r="K7491" s="74">
        <f>VLOOKUP(E7491,DATABASE!C:Q,7,false)</f>
        <v>75000</v>
      </c>
      <c r="L7491" s="74">
        <v>75000.0</v>
      </c>
      <c r="M7491" s="74">
        <f t="shared" si="2"/>
        <v>75000</v>
      </c>
      <c r="N7491" s="74">
        <f t="shared" si="3"/>
        <v>100000</v>
      </c>
      <c r="O7491" s="65" t="str">
        <f>VLOOKUP(E7491,DATABASE!C:Q,8,false)</f>
        <v>BIAN</v>
      </c>
      <c r="P7491" s="65">
        <f>VLOOKUP(E7491,DATABASE!C:Q,9,False)</f>
        <v>0</v>
      </c>
      <c r="Q7491" s="93" t="str">
        <f>VLOOKUP(E7491,DATABASE!C:Q,4,false)</f>
        <v>Baut Camber ss-carry</v>
      </c>
      <c r="R7491" s="93" t="str">
        <f>VLOOKUP(E7491,DATABASE!C:Q,11,false)</f>
        <v>COMPLEMENTARY</v>
      </c>
    </row>
    <row r="7492" ht="22.5" customHeight="1">
      <c r="A7492" s="49"/>
      <c r="C7492" s="400">
        <v>46096.0</v>
      </c>
      <c r="D7492" s="524">
        <v>662.0</v>
      </c>
      <c r="E7492" s="544" t="s">
        <v>2652</v>
      </c>
      <c r="F7492" s="387">
        <v>1.0</v>
      </c>
      <c r="G7492" s="140">
        <v>300000.0</v>
      </c>
      <c r="H7492" s="74"/>
      <c r="I7492" s="74">
        <f t="shared" si="1"/>
        <v>300000</v>
      </c>
      <c r="J7492" s="74">
        <f>IF(E7492="SERVICE",I7492-(I7492*50%),Vlookup(E7492,DATABASE!C:Q,10,false)*F7492)</f>
        <v>75000</v>
      </c>
      <c r="K7492" s="74">
        <f>VLOOKUP(E7492,DATABASE!C:Q,7,false)</f>
        <v>150000</v>
      </c>
      <c r="L7492" s="74">
        <v>150000.0</v>
      </c>
      <c r="M7492" s="74">
        <f t="shared" si="2"/>
        <v>150000</v>
      </c>
      <c r="N7492" s="74">
        <f t="shared" si="3"/>
        <v>75000</v>
      </c>
      <c r="O7492" s="65" t="str">
        <f>VLOOKUP(E7492,DATABASE!C:Q,8,false)</f>
        <v>BIAN</v>
      </c>
      <c r="P7492" s="65">
        <f>VLOOKUP(E7492,DATABASE!C:Q,9,False)</f>
        <v>0</v>
      </c>
      <c r="Q7492" s="93" t="str">
        <f>VLOOKUP(E7492,DATABASE!C:Q,4,false)</f>
        <v>Karet Support + Pasang</v>
      </c>
      <c r="R7492" s="93" t="str">
        <f>VLOOKUP(E7492,DATABASE!C:Q,11,false)</f>
        <v>COMPLEMENTARY</v>
      </c>
    </row>
    <row r="7493" ht="22.5" customHeight="1">
      <c r="A7493" s="49"/>
      <c r="C7493" s="400">
        <v>46096.0</v>
      </c>
      <c r="D7493" s="524">
        <v>663.0</v>
      </c>
      <c r="E7493" s="544" t="s">
        <v>262</v>
      </c>
      <c r="F7493" s="387">
        <v>1.0</v>
      </c>
      <c r="G7493" s="140">
        <v>130000.0</v>
      </c>
      <c r="H7493" s="74"/>
      <c r="I7493" s="74">
        <f t="shared" si="1"/>
        <v>130000</v>
      </c>
      <c r="J7493" s="74">
        <f>IF(E7493="SERVICE",I7493-(I7493*50%),Vlookup(E7493,DATABASE!C:Q,10,false)*F7493)</f>
        <v>5000</v>
      </c>
      <c r="K7493" s="74">
        <f>VLOOKUP(E7493,DATABASE!C:Q,7,false)</f>
        <v>0</v>
      </c>
      <c r="L7493" s="74">
        <v>0.0</v>
      </c>
      <c r="M7493" s="74">
        <f t="shared" si="2"/>
        <v>0</v>
      </c>
      <c r="N7493" s="74">
        <f t="shared" si="3"/>
        <v>125000</v>
      </c>
      <c r="O7493" s="65" t="str">
        <f>VLOOKUP(E7493,DATABASE!C:Q,8,false)</f>
        <v>IBU</v>
      </c>
      <c r="P7493" s="65">
        <f>VLOOKUP(E7493,DATABASE!C:Q,9,False)</f>
        <v>0</v>
      </c>
      <c r="Q7493" s="93" t="str">
        <f>VLOOKUP(E7493,DATABASE!C:Q,4,false)</f>
        <v>SPOORING SS/CARRY LOS BAK</v>
      </c>
      <c r="R7493" s="93" t="str">
        <f>VLOOKUP(E7493,DATABASE!C:Q,11,false)</f>
        <v>SERVICE</v>
      </c>
    </row>
    <row r="7494" ht="22.5" customHeight="1">
      <c r="A7494" s="49"/>
      <c r="C7494" s="400">
        <v>46096.0</v>
      </c>
      <c r="D7494" s="524">
        <v>663.0</v>
      </c>
      <c r="E7494" s="544" t="s">
        <v>251</v>
      </c>
      <c r="F7494" s="387">
        <v>1.0</v>
      </c>
      <c r="G7494" s="140">
        <v>350000.0</v>
      </c>
      <c r="H7494" s="140">
        <v>200000.0</v>
      </c>
      <c r="I7494" s="74">
        <f t="shared" si="1"/>
        <v>150000</v>
      </c>
      <c r="J7494" s="74">
        <f>IF(E7494="SERVICE",I7494-(I7494*50%),Vlookup(E7494,DATABASE!C:Q,10,false)*F7494)</f>
        <v>75000</v>
      </c>
      <c r="K7494" s="74">
        <f>VLOOKUP(E7494,DATABASE!C:Q,7,false)</f>
        <v>0</v>
      </c>
      <c r="L7494" s="74">
        <v>0.0</v>
      </c>
      <c r="M7494" s="74">
        <f t="shared" si="2"/>
        <v>0</v>
      </c>
      <c r="N7494" s="74">
        <f t="shared" si="3"/>
        <v>75000</v>
      </c>
      <c r="O7494" s="65" t="str">
        <f>VLOOKUP(E7494,DATABASE!C:Q,8,false)</f>
        <v>IBU</v>
      </c>
      <c r="P7494" s="65">
        <f>VLOOKUP(E7494,DATABASE!C:Q,9,False)</f>
        <v>0</v>
      </c>
      <c r="Q7494" s="93" t="str">
        <f>VLOOKUP(E7494,DATABASE!C:Q,4,false)</f>
        <v>SERVICE</v>
      </c>
      <c r="R7494" s="93" t="str">
        <f>VLOOKUP(E7494,DATABASE!C:Q,11,false)</f>
        <v>SERVICE</v>
      </c>
    </row>
    <row r="7495" ht="22.5" customHeight="1">
      <c r="A7495" s="49"/>
      <c r="C7495" s="400">
        <v>46096.0</v>
      </c>
      <c r="D7495" s="524">
        <v>663.0</v>
      </c>
      <c r="E7495" s="544" t="s">
        <v>856</v>
      </c>
      <c r="F7495" s="387">
        <v>2.0</v>
      </c>
      <c r="G7495" s="140">
        <v>670000.0</v>
      </c>
      <c r="H7495" s="74"/>
      <c r="I7495" s="74">
        <f t="shared" si="1"/>
        <v>1340000</v>
      </c>
      <c r="J7495" s="74">
        <f>IF(E7495="SERVICE",I7495-(I7495*50%),Vlookup(E7495,DATABASE!C:Q,10,false)*F7495)</f>
        <v>0</v>
      </c>
      <c r="K7495" s="74">
        <f>VLOOKUP(E7495,DATABASE!C:Q,7,false)</f>
        <v>615300</v>
      </c>
      <c r="L7495" s="74">
        <v>581120.0</v>
      </c>
      <c r="M7495" s="74">
        <f t="shared" si="2"/>
        <v>585000</v>
      </c>
      <c r="N7495" s="74">
        <f t="shared" si="3"/>
        <v>170000</v>
      </c>
      <c r="O7495" s="65" t="str">
        <f>VLOOKUP(E7495,DATABASE!C:Q,8,false)</f>
        <v>BIAN</v>
      </c>
      <c r="P7495" s="65">
        <f>VLOOKUP(E7495,DATABASE!C:Q,9,False)</f>
        <v>1</v>
      </c>
      <c r="Q7495" s="93" t="str">
        <f>VLOOKUP(E7495,DATABASE!C:Q,4,false)</f>
        <v>GT</v>
      </c>
      <c r="R7495" s="93" t="str">
        <f>VLOOKUP(E7495,DATABASE!C:Q,11,false)</f>
        <v>Tire</v>
      </c>
    </row>
    <row r="7496" ht="22.5" customHeight="1">
      <c r="A7496" s="49"/>
      <c r="C7496" s="400">
        <v>46096.0</v>
      </c>
      <c r="D7496" s="524">
        <v>664.0</v>
      </c>
      <c r="E7496" s="544" t="s">
        <v>1970</v>
      </c>
      <c r="F7496" s="387">
        <v>2.0</v>
      </c>
      <c r="G7496" s="140">
        <v>915000.0</v>
      </c>
      <c r="H7496" s="74"/>
      <c r="I7496" s="74">
        <f t="shared" si="1"/>
        <v>1830000</v>
      </c>
      <c r="J7496" s="74">
        <f>IF(E7496="SERVICE",I7496-(I7496*50%),Vlookup(E7496,DATABASE!C:Q,10,false)*F7496)</f>
        <v>0</v>
      </c>
      <c r="K7496" s="74">
        <f>VLOOKUP(E7496,DATABASE!C:Q,7,false)</f>
        <v>813300</v>
      </c>
      <c r="L7496" s="74">
        <v>813300.0</v>
      </c>
      <c r="M7496" s="74">
        <f t="shared" si="2"/>
        <v>815000</v>
      </c>
      <c r="N7496" s="74">
        <f t="shared" si="3"/>
        <v>200000</v>
      </c>
      <c r="O7496" s="65" t="str">
        <f>VLOOKUP(E7496,DATABASE!C:Q,8,false)</f>
        <v>BIAN</v>
      </c>
      <c r="P7496" s="65">
        <f>VLOOKUP(E7496,DATABASE!C:Q,9,False)</f>
        <v>1</v>
      </c>
      <c r="Q7496" s="93" t="str">
        <f>VLOOKUP(E7496,DATABASE!C:Q,4,false)</f>
        <v>GT</v>
      </c>
      <c r="R7496" s="93" t="str">
        <f>VLOOKUP(E7496,DATABASE!C:Q,11,false)</f>
        <v>Tire</v>
      </c>
    </row>
    <row r="7497" ht="22.5" customHeight="1">
      <c r="A7497" s="49"/>
      <c r="C7497" s="400">
        <v>46096.0</v>
      </c>
      <c r="D7497" s="524">
        <v>664.0</v>
      </c>
      <c r="E7497" s="544" t="s">
        <v>461</v>
      </c>
      <c r="F7497" s="387">
        <v>2.0</v>
      </c>
      <c r="G7497" s="140">
        <v>60000.0</v>
      </c>
      <c r="H7497" s="140">
        <v>25000.0</v>
      </c>
      <c r="I7497" s="74">
        <f t="shared" si="1"/>
        <v>70000</v>
      </c>
      <c r="J7497" s="74">
        <f>IF(E7497="SERVICE",I7497-(I7497*50%),Vlookup(E7497,DATABASE!C:Q,10,false)*F7497)</f>
        <v>0</v>
      </c>
      <c r="K7497" s="74">
        <f>VLOOKUP(E7497,DATABASE!C:Q,7,false)</f>
        <v>15000</v>
      </c>
      <c r="L7497" s="74">
        <v>15000.0</v>
      </c>
      <c r="M7497" s="74">
        <f t="shared" si="2"/>
        <v>15000</v>
      </c>
      <c r="N7497" s="74">
        <f t="shared" si="3"/>
        <v>40000</v>
      </c>
      <c r="O7497" s="65" t="str">
        <f>VLOOKUP(E7497,DATABASE!C:Q,8,false)</f>
        <v>BIAN</v>
      </c>
      <c r="P7497" s="65">
        <f>VLOOKUP(E7497,DATABASE!C:Q,9,False)</f>
        <v>0</v>
      </c>
      <c r="Q7497" s="93" t="str">
        <f>VLOOKUP(E7497,DATABASE!C:Q,4,false)</f>
        <v>Balancing</v>
      </c>
      <c r="R7497" s="93" t="str">
        <f>VLOOKUP(E7497,DATABASE!C:Q,11,false)</f>
        <v>COMPLEMENTARY</v>
      </c>
    </row>
    <row r="7498" ht="22.5" customHeight="1">
      <c r="A7498" s="49"/>
      <c r="C7498" s="400">
        <v>46096.0</v>
      </c>
      <c r="D7498" s="524">
        <v>665.0</v>
      </c>
      <c r="E7498" s="544" t="s">
        <v>256</v>
      </c>
      <c r="F7498" s="387">
        <v>1.0</v>
      </c>
      <c r="G7498" s="140">
        <v>175000.0</v>
      </c>
      <c r="H7498" s="140">
        <v>25000.0</v>
      </c>
      <c r="I7498" s="74">
        <f t="shared" si="1"/>
        <v>150000</v>
      </c>
      <c r="J7498" s="74">
        <f>IF(E7498="SERVICE",I7498-(I7498*50%),Vlookup(E7498,DATABASE!C:Q,10,false)*F7498)</f>
        <v>10000</v>
      </c>
      <c r="K7498" s="74">
        <f>VLOOKUP(E7498,DATABASE!C:Q,7,false)</f>
        <v>0</v>
      </c>
      <c r="L7498" s="74">
        <v>0.0</v>
      </c>
      <c r="M7498" s="74">
        <f t="shared" si="2"/>
        <v>0</v>
      </c>
      <c r="N7498" s="74">
        <f t="shared" si="3"/>
        <v>140000</v>
      </c>
      <c r="O7498" s="65" t="str">
        <f>VLOOKUP(E7498,DATABASE!C:Q,8,false)</f>
        <v>IBU</v>
      </c>
      <c r="P7498" s="65">
        <f>VLOOKUP(E7498,DATABASE!C:Q,9,False)</f>
        <v>0</v>
      </c>
      <c r="Q7498" s="93" t="str">
        <f>VLOOKUP(E7498,DATABASE!C:Q,4,false)</f>
        <v>SPOORING</v>
      </c>
      <c r="R7498" s="93" t="str">
        <f>VLOOKUP(E7498,DATABASE!C:Q,11,false)</f>
        <v>SERVICE</v>
      </c>
    </row>
    <row r="7499" ht="22.5" customHeight="1">
      <c r="A7499" s="49"/>
      <c r="C7499" s="400">
        <v>46096.0</v>
      </c>
      <c r="D7499" s="524">
        <v>665.0</v>
      </c>
      <c r="E7499" s="544" t="s">
        <v>299</v>
      </c>
      <c r="F7499" s="387">
        <v>2.0</v>
      </c>
      <c r="G7499" s="140">
        <v>30000.0</v>
      </c>
      <c r="H7499" s="74"/>
      <c r="I7499" s="74">
        <f t="shared" si="1"/>
        <v>60000</v>
      </c>
      <c r="J7499" s="74">
        <f>IF(E7499="SERVICE",I7499-(I7499*50%),Vlookup(E7499,DATABASE!C:Q,10,false)*F7499)</f>
        <v>0</v>
      </c>
      <c r="K7499" s="74">
        <f>VLOOKUP(E7499,DATABASE!C:Q,7,false)</f>
        <v>10000</v>
      </c>
      <c r="L7499" s="74">
        <v>10000.0</v>
      </c>
      <c r="M7499" s="74">
        <f t="shared" si="2"/>
        <v>10000</v>
      </c>
      <c r="N7499" s="74">
        <f t="shared" si="3"/>
        <v>40000</v>
      </c>
      <c r="O7499" s="65" t="str">
        <f>VLOOKUP(E7499,DATABASE!C:Q,8,false)</f>
        <v>BIAN</v>
      </c>
      <c r="P7499" s="65">
        <f>VLOOKUP(E7499,DATABASE!C:Q,9,False)</f>
        <v>0</v>
      </c>
      <c r="Q7499" s="93" t="str">
        <f>VLOOKUP(E7499,DATABASE!C:Q,4,false)</f>
        <v>Balancing</v>
      </c>
      <c r="R7499" s="93" t="str">
        <f>VLOOKUP(E7499,DATABASE!C:Q,11,false)</f>
        <v>COMPLEMENTARY</v>
      </c>
    </row>
    <row r="7500" ht="22.5" customHeight="1">
      <c r="A7500" s="49"/>
      <c r="C7500" s="400">
        <v>46096.0</v>
      </c>
      <c r="D7500" s="524">
        <v>665.0</v>
      </c>
      <c r="E7500" s="544" t="s">
        <v>301</v>
      </c>
      <c r="F7500" s="387">
        <v>1.0</v>
      </c>
      <c r="G7500" s="140">
        <v>250000.0</v>
      </c>
      <c r="H7500" s="74"/>
      <c r="I7500" s="74">
        <f t="shared" si="1"/>
        <v>250000</v>
      </c>
      <c r="J7500" s="74">
        <f>IF(E7500="SERVICE",I7500-(I7500*50%),Vlookup(E7500,DATABASE!C:Q,10,false)*F7500)</f>
        <v>75000</v>
      </c>
      <c r="K7500" s="74">
        <f>VLOOKUP(E7500,DATABASE!C:Q,7,false)</f>
        <v>75000</v>
      </c>
      <c r="L7500" s="74">
        <v>75000.0</v>
      </c>
      <c r="M7500" s="74">
        <f t="shared" si="2"/>
        <v>75000</v>
      </c>
      <c r="N7500" s="74">
        <f t="shared" si="3"/>
        <v>100000</v>
      </c>
      <c r="O7500" s="65" t="str">
        <f>VLOOKUP(E7500,DATABASE!C:Q,8,false)</f>
        <v>BIAN</v>
      </c>
      <c r="P7500" s="65">
        <f>VLOOKUP(E7500,DATABASE!C:Q,9,False)</f>
        <v>0</v>
      </c>
      <c r="Q7500" s="93" t="str">
        <f>VLOOKUP(E7500,DATABASE!C:Q,4,false)</f>
        <v>Baut Camber</v>
      </c>
      <c r="R7500" s="93" t="str">
        <f>VLOOKUP(E7500,DATABASE!C:Q,11,false)</f>
        <v>COMPLEMENTARY</v>
      </c>
    </row>
    <row r="7501" ht="22.5" customHeight="1">
      <c r="A7501" s="49"/>
      <c r="C7501" s="400">
        <v>46096.0</v>
      </c>
      <c r="D7501" s="524">
        <v>666.0</v>
      </c>
      <c r="E7501" s="544" t="s">
        <v>1361</v>
      </c>
      <c r="F7501" s="387">
        <v>1.0</v>
      </c>
      <c r="G7501" s="140">
        <v>960000.0</v>
      </c>
      <c r="H7501" s="74"/>
      <c r="I7501" s="74">
        <f t="shared" si="1"/>
        <v>960000</v>
      </c>
      <c r="J7501" s="74">
        <f>IF(E7501="SERVICE",I7501-(I7501*50%),Vlookup(E7501,DATABASE!C:Q,10,false)*F7501)</f>
        <v>0</v>
      </c>
      <c r="K7501" s="74">
        <f>VLOOKUP(E7501,DATABASE!C:Q,7,false)</f>
        <v>881000</v>
      </c>
      <c r="L7501" s="74">
        <v>863000.0</v>
      </c>
      <c r="M7501" s="74">
        <f t="shared" si="2"/>
        <v>865000</v>
      </c>
      <c r="N7501" s="74">
        <f t="shared" si="3"/>
        <v>95000</v>
      </c>
      <c r="O7501" s="65" t="str">
        <f>VLOOKUP(E7501,DATABASE!C:Q,8,false)</f>
        <v>IBU</v>
      </c>
      <c r="P7501" s="65">
        <f>VLOOKUP(E7501,DATABASE!C:Q,9,False)</f>
        <v>1</v>
      </c>
      <c r="Q7501" s="93" t="str">
        <f>VLOOKUP(E7501,DATABASE!C:Q,4,false)</f>
        <v>Dunlop</v>
      </c>
      <c r="R7501" s="93" t="str">
        <f>VLOOKUP(E7501,DATABASE!C:Q,11,false)</f>
        <v>Tire</v>
      </c>
    </row>
    <row r="7502" ht="22.5" customHeight="1">
      <c r="A7502" s="49"/>
      <c r="C7502" s="400">
        <v>46096.0</v>
      </c>
      <c r="D7502" s="524">
        <v>667.0</v>
      </c>
      <c r="E7502" s="544" t="s">
        <v>256</v>
      </c>
      <c r="F7502" s="387">
        <v>1.0</v>
      </c>
      <c r="G7502" s="140">
        <v>175000.0</v>
      </c>
      <c r="H7502" s="140">
        <v>25000.0</v>
      </c>
      <c r="I7502" s="74">
        <f t="shared" si="1"/>
        <v>150000</v>
      </c>
      <c r="J7502" s="74">
        <f>IF(E7502="SERVICE",I7502-(I7502*50%),Vlookup(E7502,DATABASE!C:Q,10,false)*F7502)</f>
        <v>10000</v>
      </c>
      <c r="K7502" s="74">
        <f>VLOOKUP(E7502,DATABASE!C:Q,7,false)</f>
        <v>0</v>
      </c>
      <c r="L7502" s="74">
        <v>0.0</v>
      </c>
      <c r="M7502" s="74">
        <f t="shared" si="2"/>
        <v>0</v>
      </c>
      <c r="N7502" s="74">
        <f t="shared" si="3"/>
        <v>140000</v>
      </c>
      <c r="O7502" s="65" t="str">
        <f>VLOOKUP(E7502,DATABASE!C:Q,8,false)</f>
        <v>IBU</v>
      </c>
      <c r="P7502" s="65">
        <f>VLOOKUP(E7502,DATABASE!C:Q,9,False)</f>
        <v>0</v>
      </c>
      <c r="Q7502" s="93" t="str">
        <f>VLOOKUP(E7502,DATABASE!C:Q,4,false)</f>
        <v>SPOORING</v>
      </c>
      <c r="R7502" s="93" t="str">
        <f>VLOOKUP(E7502,DATABASE!C:Q,11,false)</f>
        <v>SERVICE</v>
      </c>
    </row>
    <row r="7503" ht="22.5" customHeight="1">
      <c r="A7503" s="49"/>
      <c r="C7503" s="400">
        <v>46096.0</v>
      </c>
      <c r="D7503" s="524">
        <v>668.0</v>
      </c>
      <c r="E7503" s="544" t="s">
        <v>271</v>
      </c>
      <c r="F7503" s="387">
        <v>1.0</v>
      </c>
      <c r="G7503" s="140">
        <v>630000.0</v>
      </c>
      <c r="H7503" s="74"/>
      <c r="I7503" s="74">
        <f t="shared" si="1"/>
        <v>630000</v>
      </c>
      <c r="J7503" s="74">
        <f>IF(E7503="SERVICE",I7503-(I7503*50%),Vlookup(E7503,DATABASE!C:Q,10,false)*F7503)</f>
        <v>0</v>
      </c>
      <c r="K7503" s="74">
        <f>VLOOKUP(E7503,DATABASE!C:Q,7,false)</f>
        <v>570000</v>
      </c>
      <c r="L7503" s="74">
        <v>539000.0</v>
      </c>
      <c r="M7503" s="74">
        <f t="shared" si="2"/>
        <v>540000</v>
      </c>
      <c r="N7503" s="74">
        <f t="shared" si="3"/>
        <v>90000</v>
      </c>
      <c r="O7503" s="65" t="str">
        <f>VLOOKUP(E7503,DATABASE!C:Q,8,false)</f>
        <v>IBU</v>
      </c>
      <c r="P7503" s="65">
        <f>VLOOKUP(E7503,DATABASE!C:Q,9,False)</f>
        <v>1</v>
      </c>
      <c r="Q7503" s="93" t="str">
        <f>VLOOKUP(E7503,DATABASE!C:Q,4,false)</f>
        <v>Dunlop</v>
      </c>
      <c r="R7503" s="93" t="str">
        <f>VLOOKUP(E7503,DATABASE!C:Q,11,false)</f>
        <v>Tire</v>
      </c>
    </row>
    <row r="7504" ht="22.5" customHeight="1">
      <c r="A7504" s="49"/>
      <c r="C7504" s="400">
        <v>46096.0</v>
      </c>
      <c r="D7504" s="524">
        <v>668.0</v>
      </c>
      <c r="E7504" s="544" t="s">
        <v>299</v>
      </c>
      <c r="F7504" s="387">
        <v>2.0</v>
      </c>
      <c r="G7504" s="140">
        <v>30000.0</v>
      </c>
      <c r="H7504" s="74"/>
      <c r="I7504" s="74">
        <f t="shared" si="1"/>
        <v>60000</v>
      </c>
      <c r="J7504" s="74">
        <f>IF(E7504="SERVICE",I7504-(I7504*50%),Vlookup(E7504,DATABASE!C:Q,10,false)*F7504)</f>
        <v>0</v>
      </c>
      <c r="K7504" s="74">
        <f>VLOOKUP(E7504,DATABASE!C:Q,7,false)</f>
        <v>10000</v>
      </c>
      <c r="L7504" s="74">
        <v>10000.0</v>
      </c>
      <c r="M7504" s="74">
        <f t="shared" si="2"/>
        <v>10000</v>
      </c>
      <c r="N7504" s="74">
        <f t="shared" si="3"/>
        <v>40000</v>
      </c>
      <c r="O7504" s="65" t="str">
        <f>VLOOKUP(E7504,DATABASE!C:Q,8,false)</f>
        <v>BIAN</v>
      </c>
      <c r="P7504" s="65">
        <f>VLOOKUP(E7504,DATABASE!C:Q,9,False)</f>
        <v>0</v>
      </c>
      <c r="Q7504" s="93" t="str">
        <f>VLOOKUP(E7504,DATABASE!C:Q,4,false)</f>
        <v>Balancing</v>
      </c>
      <c r="R7504" s="93" t="str">
        <f>VLOOKUP(E7504,DATABASE!C:Q,11,false)</f>
        <v>COMPLEMENTARY</v>
      </c>
    </row>
    <row r="7505" ht="22.5" customHeight="1">
      <c r="A7505" s="49"/>
      <c r="C7505" s="400">
        <v>46096.0</v>
      </c>
      <c r="D7505" s="524">
        <v>668.0</v>
      </c>
      <c r="E7505" s="544" t="s">
        <v>256</v>
      </c>
      <c r="F7505" s="387">
        <v>1.0</v>
      </c>
      <c r="G7505" s="140">
        <v>175000.0</v>
      </c>
      <c r="H7505" s="140">
        <v>25000.0</v>
      </c>
      <c r="I7505" s="74">
        <f t="shared" si="1"/>
        <v>150000</v>
      </c>
      <c r="J7505" s="74">
        <f>IF(E7505="SERVICE",I7505-(I7505*50%),Vlookup(E7505,DATABASE!C:Q,10,false)*F7505)</f>
        <v>10000</v>
      </c>
      <c r="K7505" s="74">
        <f>VLOOKUP(E7505,DATABASE!C:Q,7,false)</f>
        <v>0</v>
      </c>
      <c r="L7505" s="74">
        <v>0.0</v>
      </c>
      <c r="M7505" s="74">
        <f t="shared" si="2"/>
        <v>0</v>
      </c>
      <c r="N7505" s="74">
        <f t="shared" si="3"/>
        <v>140000</v>
      </c>
      <c r="O7505" s="65" t="str">
        <f>VLOOKUP(E7505,DATABASE!C:Q,8,false)</f>
        <v>IBU</v>
      </c>
      <c r="P7505" s="65">
        <f>VLOOKUP(E7505,DATABASE!C:Q,9,False)</f>
        <v>0</v>
      </c>
      <c r="Q7505" s="93" t="str">
        <f>VLOOKUP(E7505,DATABASE!C:Q,4,false)</f>
        <v>SPOORING</v>
      </c>
      <c r="R7505" s="93" t="str">
        <f>VLOOKUP(E7505,DATABASE!C:Q,11,false)</f>
        <v>SERVICE</v>
      </c>
    </row>
    <row r="7506" ht="22.5" customHeight="1">
      <c r="A7506" s="49"/>
      <c r="C7506" s="400">
        <v>46096.0</v>
      </c>
      <c r="D7506" s="69" t="s">
        <v>2738</v>
      </c>
      <c r="E7506" s="544" t="s">
        <v>263</v>
      </c>
      <c r="F7506" s="387">
        <v>1.0</v>
      </c>
      <c r="G7506" s="140">
        <v>320000.0</v>
      </c>
      <c r="H7506" s="74"/>
      <c r="I7506" s="74">
        <f t="shared" si="1"/>
        <v>320000</v>
      </c>
      <c r="J7506" s="74">
        <f>IF(E7506="SERVICE",I7506-(I7506*50%),Vlookup(E7506,DATABASE!C:Q,10,false)*F7506)</f>
        <v>0</v>
      </c>
      <c r="K7506" s="74">
        <f>VLOOKUP(E7506,DATABASE!C:Q,7,false)</f>
        <v>334916</v>
      </c>
      <c r="L7506" s="74">
        <v>287688.0</v>
      </c>
      <c r="M7506" s="74">
        <f t="shared" si="2"/>
        <v>290000</v>
      </c>
      <c r="N7506" s="74">
        <f t="shared" si="3"/>
        <v>30000</v>
      </c>
      <c r="O7506" s="65" t="str">
        <f>VLOOKUP(E7506,DATABASE!C:Q,8,false)</f>
        <v>NON</v>
      </c>
      <c r="P7506" s="65">
        <f>VLOOKUP(E7506,DATABASE!C:Q,9,False)</f>
        <v>0</v>
      </c>
      <c r="Q7506" s="93" t="str">
        <f>VLOOKUP(E7506,DATABASE!C:Q,4,false)</f>
        <v>Shell</v>
      </c>
      <c r="R7506" s="93" t="str">
        <f>VLOOKUP(E7506,DATABASE!C:Q,11,false)</f>
        <v>OIL</v>
      </c>
    </row>
    <row r="7507" ht="22.5" customHeight="1">
      <c r="A7507" s="49"/>
      <c r="C7507" s="400">
        <v>46096.0</v>
      </c>
      <c r="D7507" s="69" t="s">
        <v>2739</v>
      </c>
      <c r="E7507" s="544" t="s">
        <v>263</v>
      </c>
      <c r="F7507" s="387">
        <v>1.0</v>
      </c>
      <c r="G7507" s="140">
        <v>320000.0</v>
      </c>
      <c r="H7507" s="74"/>
      <c r="I7507" s="74">
        <f t="shared" si="1"/>
        <v>320000</v>
      </c>
      <c r="J7507" s="74">
        <f>IF(E7507="SERVICE",I7507-(I7507*50%),Vlookup(E7507,DATABASE!C:Q,10,false)*F7507)</f>
        <v>0</v>
      </c>
      <c r="K7507" s="74">
        <f>VLOOKUP(E7507,DATABASE!C:Q,7,false)</f>
        <v>334916</v>
      </c>
      <c r="L7507" s="74">
        <v>287688.0</v>
      </c>
      <c r="M7507" s="74">
        <f t="shared" si="2"/>
        <v>290000</v>
      </c>
      <c r="N7507" s="74">
        <f t="shared" si="3"/>
        <v>30000</v>
      </c>
      <c r="O7507" s="65" t="str">
        <f>VLOOKUP(E7507,DATABASE!C:Q,8,false)</f>
        <v>NON</v>
      </c>
      <c r="P7507" s="65">
        <f>VLOOKUP(E7507,DATABASE!C:Q,9,False)</f>
        <v>0</v>
      </c>
      <c r="Q7507" s="93" t="str">
        <f>VLOOKUP(E7507,DATABASE!C:Q,4,false)</f>
        <v>Shell</v>
      </c>
      <c r="R7507" s="93" t="str">
        <f>VLOOKUP(E7507,DATABASE!C:Q,11,false)</f>
        <v>OIL</v>
      </c>
    </row>
    <row r="7508" ht="22.5" customHeight="1">
      <c r="A7508" s="49"/>
      <c r="C7508" s="400">
        <v>46097.0</v>
      </c>
      <c r="D7508" s="524">
        <v>669.0</v>
      </c>
      <c r="E7508" s="544" t="s">
        <v>268</v>
      </c>
      <c r="F7508" s="387">
        <v>2.0</v>
      </c>
      <c r="G7508" s="140">
        <v>710000.0</v>
      </c>
      <c r="H7508" s="74"/>
      <c r="I7508" s="74">
        <f t="shared" si="1"/>
        <v>1420000</v>
      </c>
      <c r="J7508" s="74">
        <f>IF(E7508="SERVICE",I7508-(I7508*50%),Vlookup(E7508,DATABASE!C:Q,10,false)*F7508)</f>
        <v>0</v>
      </c>
      <c r="K7508" s="74">
        <f>VLOOKUP(E7508,DATABASE!C:Q,7,false)</f>
        <v>653000</v>
      </c>
      <c r="L7508" s="74">
        <v>622000.0</v>
      </c>
      <c r="M7508" s="74">
        <f t="shared" si="2"/>
        <v>625000</v>
      </c>
      <c r="N7508" s="74">
        <f t="shared" si="3"/>
        <v>170000</v>
      </c>
      <c r="O7508" s="65" t="str">
        <f>VLOOKUP(E7508,DATABASE!C:Q,8,false)</f>
        <v>IBU</v>
      </c>
      <c r="P7508" s="65">
        <f>VLOOKUP(E7508,DATABASE!C:Q,9,False)</f>
        <v>1</v>
      </c>
      <c r="Q7508" s="93" t="str">
        <f>VLOOKUP(E7508,DATABASE!C:Q,4,false)</f>
        <v>Dunlop</v>
      </c>
      <c r="R7508" s="93" t="str">
        <f>VLOOKUP(E7508,DATABASE!C:Q,11,false)</f>
        <v>Tire</v>
      </c>
    </row>
    <row r="7509" ht="22.5" customHeight="1">
      <c r="A7509" s="49"/>
      <c r="C7509" s="400">
        <v>46097.0</v>
      </c>
      <c r="D7509" s="524">
        <v>670.0</v>
      </c>
      <c r="E7509" s="544" t="s">
        <v>256</v>
      </c>
      <c r="F7509" s="387">
        <v>1.0</v>
      </c>
      <c r="G7509" s="140">
        <v>175000.0</v>
      </c>
      <c r="H7509" s="140">
        <v>25000.0</v>
      </c>
      <c r="I7509" s="74">
        <f t="shared" si="1"/>
        <v>150000</v>
      </c>
      <c r="J7509" s="74">
        <f>IF(E7509="SERVICE",I7509-(I7509*50%),Vlookup(E7509,DATABASE!C:Q,10,false)*F7509)</f>
        <v>10000</v>
      </c>
      <c r="K7509" s="74">
        <f>VLOOKUP(E7509,DATABASE!C:Q,7,false)</f>
        <v>0</v>
      </c>
      <c r="L7509" s="74">
        <v>0.0</v>
      </c>
      <c r="M7509" s="74">
        <f t="shared" si="2"/>
        <v>0</v>
      </c>
      <c r="N7509" s="74">
        <f t="shared" si="3"/>
        <v>140000</v>
      </c>
      <c r="O7509" s="65" t="str">
        <f>VLOOKUP(E7509,DATABASE!C:Q,8,false)</f>
        <v>IBU</v>
      </c>
      <c r="P7509" s="65">
        <f>VLOOKUP(E7509,DATABASE!C:Q,9,False)</f>
        <v>0</v>
      </c>
      <c r="Q7509" s="93" t="str">
        <f>VLOOKUP(E7509,DATABASE!C:Q,4,false)</f>
        <v>SPOORING</v>
      </c>
      <c r="R7509" s="93" t="str">
        <f>VLOOKUP(E7509,DATABASE!C:Q,11,false)</f>
        <v>SERVICE</v>
      </c>
    </row>
    <row r="7510" ht="22.5" customHeight="1">
      <c r="A7510" s="49"/>
      <c r="C7510" s="400">
        <v>46097.0</v>
      </c>
      <c r="D7510" s="524">
        <v>672.0</v>
      </c>
      <c r="E7510" s="544" t="s">
        <v>968</v>
      </c>
      <c r="F7510" s="387">
        <v>4.0</v>
      </c>
      <c r="G7510" s="140">
        <v>675000.0</v>
      </c>
      <c r="H7510" s="140">
        <v>5000.0</v>
      </c>
      <c r="I7510" s="74">
        <f t="shared" si="1"/>
        <v>2680000</v>
      </c>
      <c r="J7510" s="74">
        <f>IF(E7510="SERVICE",I7510-(I7510*50%),Vlookup(E7510,DATABASE!C:Q,10,false)*F7510)</f>
        <v>0</v>
      </c>
      <c r="K7510" s="74">
        <f>VLOOKUP(E7510,DATABASE!C:Q,7,false)</f>
        <v>582500</v>
      </c>
      <c r="L7510" s="74">
        <v>570500.0</v>
      </c>
      <c r="M7510" s="74">
        <f t="shared" si="2"/>
        <v>575000</v>
      </c>
      <c r="N7510" s="74">
        <f t="shared" si="3"/>
        <v>380000</v>
      </c>
      <c r="O7510" s="65" t="str">
        <f>VLOOKUP(E7510,DATABASE!C:Q,8,false)</f>
        <v>IBU</v>
      </c>
      <c r="P7510" s="65">
        <f>VLOOKUP(E7510,DATABASE!C:Q,9,False)</f>
        <v>1</v>
      </c>
      <c r="Q7510" s="93" t="str">
        <f>VLOOKUP(E7510,DATABASE!C:Q,4,false)</f>
        <v>Dunlop</v>
      </c>
      <c r="R7510" s="93" t="str">
        <f>VLOOKUP(E7510,DATABASE!C:Q,11,false)</f>
        <v>Tire</v>
      </c>
    </row>
    <row r="7511" ht="22.5" customHeight="1">
      <c r="A7511" s="49"/>
      <c r="C7511" s="400">
        <v>46097.0</v>
      </c>
      <c r="D7511" s="524">
        <v>672.0</v>
      </c>
      <c r="E7511" s="544" t="s">
        <v>299</v>
      </c>
      <c r="F7511" s="387">
        <v>2.0</v>
      </c>
      <c r="G7511" s="140">
        <v>30000.0</v>
      </c>
      <c r="H7511" s="74"/>
      <c r="I7511" s="74">
        <f t="shared" si="1"/>
        <v>60000</v>
      </c>
      <c r="J7511" s="74">
        <f>IF(E7511="SERVICE",I7511-(I7511*50%),Vlookup(E7511,DATABASE!C:Q,10,false)*F7511)</f>
        <v>0</v>
      </c>
      <c r="K7511" s="74">
        <f>VLOOKUP(E7511,DATABASE!C:Q,7,false)</f>
        <v>10000</v>
      </c>
      <c r="L7511" s="74">
        <v>10000.0</v>
      </c>
      <c r="M7511" s="74">
        <f t="shared" si="2"/>
        <v>10000</v>
      </c>
      <c r="N7511" s="74">
        <f t="shared" si="3"/>
        <v>40000</v>
      </c>
      <c r="O7511" s="65" t="str">
        <f>VLOOKUP(E7511,DATABASE!C:Q,8,false)</f>
        <v>BIAN</v>
      </c>
      <c r="P7511" s="65">
        <f>VLOOKUP(E7511,DATABASE!C:Q,9,False)</f>
        <v>0</v>
      </c>
      <c r="Q7511" s="93" t="str">
        <f>VLOOKUP(E7511,DATABASE!C:Q,4,false)</f>
        <v>Balancing</v>
      </c>
      <c r="R7511" s="93" t="str">
        <f>VLOOKUP(E7511,DATABASE!C:Q,11,false)</f>
        <v>COMPLEMENTARY</v>
      </c>
    </row>
    <row r="7512" ht="22.5" customHeight="1">
      <c r="A7512" s="49"/>
      <c r="C7512" s="400">
        <v>46097.0</v>
      </c>
      <c r="D7512" s="524">
        <v>674.0</v>
      </c>
      <c r="E7512" s="544" t="s">
        <v>1430</v>
      </c>
      <c r="F7512" s="387">
        <v>2.0</v>
      </c>
      <c r="G7512" s="140">
        <v>760000.0</v>
      </c>
      <c r="H7512" s="74"/>
      <c r="I7512" s="74">
        <f t="shared" si="1"/>
        <v>1520000</v>
      </c>
      <c r="J7512" s="74">
        <f>IF(E7512="SERVICE",I7512-(I7512*50%),Vlookup(E7512,DATABASE!C:Q,10,false)*F7512)</f>
        <v>0</v>
      </c>
      <c r="K7512" s="74">
        <f>VLOOKUP(E7512,DATABASE!C:Q,7,false)</f>
        <v>672800</v>
      </c>
      <c r="L7512" s="74">
        <v>659610.0</v>
      </c>
      <c r="M7512" s="74">
        <f t="shared" si="2"/>
        <v>660000</v>
      </c>
      <c r="N7512" s="74">
        <f t="shared" si="3"/>
        <v>200000</v>
      </c>
      <c r="O7512" s="65" t="str">
        <f>VLOOKUP(E7512,DATABASE!C:Q,8,false)</f>
        <v>BIAN</v>
      </c>
      <c r="P7512" s="65">
        <f>VLOOKUP(E7512,DATABASE!C:Q,9,False)</f>
        <v>1</v>
      </c>
      <c r="Q7512" s="93" t="str">
        <f>VLOOKUP(E7512,DATABASE!C:Q,4,false)</f>
        <v>GT</v>
      </c>
      <c r="R7512" s="93" t="str">
        <f>VLOOKUP(E7512,DATABASE!C:Q,11,false)</f>
        <v>Tire</v>
      </c>
    </row>
    <row r="7513" ht="22.5" customHeight="1">
      <c r="A7513" s="49"/>
      <c r="C7513" s="400">
        <v>46097.0</v>
      </c>
      <c r="D7513" s="524">
        <v>675.0</v>
      </c>
      <c r="E7513" s="544" t="s">
        <v>1009</v>
      </c>
      <c r="F7513" s="387">
        <v>2.0</v>
      </c>
      <c r="G7513" s="140">
        <v>700000.0</v>
      </c>
      <c r="H7513" s="140">
        <v>15000.0</v>
      </c>
      <c r="I7513" s="74">
        <f t="shared" si="1"/>
        <v>1370000</v>
      </c>
      <c r="J7513" s="74">
        <f>IF(E7513="SERVICE",I7513-(I7513*50%),Vlookup(E7513,DATABASE!C:Q,10,false)*F7513)</f>
        <v>0</v>
      </c>
      <c r="K7513" s="74">
        <f>VLOOKUP(E7513,DATABASE!C:Q,7,false)</f>
        <v>609800</v>
      </c>
      <c r="L7513" s="74">
        <v>592200.0</v>
      </c>
      <c r="M7513" s="74">
        <f t="shared" si="2"/>
        <v>595000</v>
      </c>
      <c r="N7513" s="74">
        <f t="shared" si="3"/>
        <v>180000</v>
      </c>
      <c r="O7513" s="65" t="str">
        <f>VLOOKUP(E7513,DATABASE!C:Q,8,false)</f>
        <v>BIAN</v>
      </c>
      <c r="P7513" s="65">
        <f>VLOOKUP(E7513,DATABASE!C:Q,9,False)</f>
        <v>1</v>
      </c>
      <c r="Q7513" s="93" t="str">
        <f>VLOOKUP(E7513,DATABASE!C:Q,4,false)</f>
        <v>GT</v>
      </c>
      <c r="R7513" s="93" t="str">
        <f>VLOOKUP(E7513,DATABASE!C:Q,11,false)</f>
        <v>Tire</v>
      </c>
    </row>
    <row r="7514" ht="22.5" customHeight="1">
      <c r="A7514" s="49"/>
      <c r="C7514" s="400">
        <v>46097.0</v>
      </c>
      <c r="D7514" s="524">
        <v>675.0</v>
      </c>
      <c r="E7514" s="544" t="s">
        <v>299</v>
      </c>
      <c r="F7514" s="387">
        <v>2.0</v>
      </c>
      <c r="G7514" s="140">
        <v>30000.0</v>
      </c>
      <c r="H7514" s="74"/>
      <c r="I7514" s="74">
        <f t="shared" si="1"/>
        <v>60000</v>
      </c>
      <c r="J7514" s="74">
        <f>IF(E7514="SERVICE",I7514-(I7514*50%),Vlookup(E7514,DATABASE!C:Q,10,false)*F7514)</f>
        <v>0</v>
      </c>
      <c r="K7514" s="74">
        <f>VLOOKUP(E7514,DATABASE!C:Q,7,false)</f>
        <v>10000</v>
      </c>
      <c r="L7514" s="74">
        <v>10000.0</v>
      </c>
      <c r="M7514" s="74">
        <f t="shared" si="2"/>
        <v>10000</v>
      </c>
      <c r="N7514" s="74">
        <f t="shared" si="3"/>
        <v>40000</v>
      </c>
      <c r="O7514" s="65" t="str">
        <f>VLOOKUP(E7514,DATABASE!C:Q,8,false)</f>
        <v>BIAN</v>
      </c>
      <c r="P7514" s="65">
        <f>VLOOKUP(E7514,DATABASE!C:Q,9,False)</f>
        <v>0</v>
      </c>
      <c r="Q7514" s="93" t="str">
        <f>VLOOKUP(E7514,DATABASE!C:Q,4,false)</f>
        <v>Balancing</v>
      </c>
      <c r="R7514" s="93" t="str">
        <f>VLOOKUP(E7514,DATABASE!C:Q,11,false)</f>
        <v>COMPLEMENTARY</v>
      </c>
    </row>
    <row r="7515" ht="22.5" customHeight="1">
      <c r="A7515" s="49"/>
      <c r="C7515" s="400">
        <v>46097.0</v>
      </c>
      <c r="D7515" s="524">
        <v>676.0</v>
      </c>
      <c r="E7515" s="544" t="s">
        <v>256</v>
      </c>
      <c r="F7515" s="387">
        <v>1.0</v>
      </c>
      <c r="G7515" s="140">
        <v>175000.0</v>
      </c>
      <c r="H7515" s="140">
        <v>25000.0</v>
      </c>
      <c r="I7515" s="74">
        <f t="shared" si="1"/>
        <v>150000</v>
      </c>
      <c r="J7515" s="74">
        <f>IF(E7515="SERVICE",I7515-(I7515*50%),Vlookup(E7515,DATABASE!C:Q,10,false)*F7515)</f>
        <v>10000</v>
      </c>
      <c r="K7515" s="74">
        <f>VLOOKUP(E7515,DATABASE!C:Q,7,false)</f>
        <v>0</v>
      </c>
      <c r="L7515" s="74">
        <v>0.0</v>
      </c>
      <c r="M7515" s="74">
        <f t="shared" si="2"/>
        <v>0</v>
      </c>
      <c r="N7515" s="74">
        <f t="shared" si="3"/>
        <v>140000</v>
      </c>
      <c r="O7515" s="65" t="str">
        <f>VLOOKUP(E7515,DATABASE!C:Q,8,false)</f>
        <v>IBU</v>
      </c>
      <c r="P7515" s="65">
        <f>VLOOKUP(E7515,DATABASE!C:Q,9,False)</f>
        <v>0</v>
      </c>
      <c r="Q7515" s="93" t="str">
        <f>VLOOKUP(E7515,DATABASE!C:Q,4,false)</f>
        <v>SPOORING</v>
      </c>
      <c r="R7515" s="93" t="str">
        <f>VLOOKUP(E7515,DATABASE!C:Q,11,false)</f>
        <v>SERVICE</v>
      </c>
    </row>
    <row r="7516" ht="22.5" customHeight="1">
      <c r="A7516" s="49"/>
      <c r="C7516" s="400">
        <v>46097.0</v>
      </c>
      <c r="D7516" s="524">
        <v>676.0</v>
      </c>
      <c r="E7516" s="544" t="s">
        <v>301</v>
      </c>
      <c r="F7516" s="387">
        <v>1.0</v>
      </c>
      <c r="G7516" s="140">
        <v>250000.0</v>
      </c>
      <c r="H7516" s="74"/>
      <c r="I7516" s="74">
        <f t="shared" si="1"/>
        <v>250000</v>
      </c>
      <c r="J7516" s="74">
        <f>IF(E7516="SERVICE",I7516-(I7516*50%),Vlookup(E7516,DATABASE!C:Q,10,false)*F7516)</f>
        <v>75000</v>
      </c>
      <c r="K7516" s="74">
        <f>VLOOKUP(E7516,DATABASE!C:Q,7,false)</f>
        <v>75000</v>
      </c>
      <c r="L7516" s="74">
        <v>75000.0</v>
      </c>
      <c r="M7516" s="74">
        <f t="shared" si="2"/>
        <v>75000</v>
      </c>
      <c r="N7516" s="74">
        <f t="shared" si="3"/>
        <v>100000</v>
      </c>
      <c r="O7516" s="65" t="str">
        <f>VLOOKUP(E7516,DATABASE!C:Q,8,false)</f>
        <v>BIAN</v>
      </c>
      <c r="P7516" s="65">
        <f>VLOOKUP(E7516,DATABASE!C:Q,9,False)</f>
        <v>0</v>
      </c>
      <c r="Q7516" s="93" t="str">
        <f>VLOOKUP(E7516,DATABASE!C:Q,4,false)</f>
        <v>Baut Camber</v>
      </c>
      <c r="R7516" s="93" t="str">
        <f>VLOOKUP(E7516,DATABASE!C:Q,11,false)</f>
        <v>COMPLEMENTARY</v>
      </c>
    </row>
    <row r="7517" ht="22.5" customHeight="1">
      <c r="A7517" s="49"/>
      <c r="C7517" s="400">
        <v>46097.0</v>
      </c>
      <c r="D7517" s="524">
        <v>677.0</v>
      </c>
      <c r="E7517" s="544" t="s">
        <v>271</v>
      </c>
      <c r="F7517" s="387">
        <v>1.0</v>
      </c>
      <c r="G7517" s="140">
        <v>630000.0</v>
      </c>
      <c r="H7517" s="74"/>
      <c r="I7517" s="74">
        <f t="shared" si="1"/>
        <v>630000</v>
      </c>
      <c r="J7517" s="74">
        <f>IF(E7517="SERVICE",I7517-(I7517*50%),Vlookup(E7517,DATABASE!C:Q,10,false)*F7517)</f>
        <v>0</v>
      </c>
      <c r="K7517" s="74">
        <f>VLOOKUP(E7517,DATABASE!C:Q,7,false)</f>
        <v>570000</v>
      </c>
      <c r="L7517" s="74">
        <v>539000.0</v>
      </c>
      <c r="M7517" s="74">
        <f t="shared" si="2"/>
        <v>540000</v>
      </c>
      <c r="N7517" s="74">
        <f t="shared" si="3"/>
        <v>90000</v>
      </c>
      <c r="O7517" s="65" t="str">
        <f>VLOOKUP(E7517,DATABASE!C:Q,8,false)</f>
        <v>IBU</v>
      </c>
      <c r="P7517" s="65">
        <f>VLOOKUP(E7517,DATABASE!C:Q,9,False)</f>
        <v>1</v>
      </c>
      <c r="Q7517" s="93" t="str">
        <f>VLOOKUP(E7517,DATABASE!C:Q,4,false)</f>
        <v>Dunlop</v>
      </c>
      <c r="R7517" s="93" t="str">
        <f>VLOOKUP(E7517,DATABASE!C:Q,11,false)</f>
        <v>Tire</v>
      </c>
    </row>
    <row r="7518" ht="22.5" customHeight="1">
      <c r="A7518" s="49"/>
      <c r="C7518" s="400">
        <v>46097.0</v>
      </c>
      <c r="D7518" s="524">
        <v>678.0</v>
      </c>
      <c r="E7518" s="544" t="s">
        <v>256</v>
      </c>
      <c r="F7518" s="387">
        <v>1.0</v>
      </c>
      <c r="G7518" s="140">
        <v>175000.0</v>
      </c>
      <c r="H7518" s="140">
        <v>25000.0</v>
      </c>
      <c r="I7518" s="74">
        <f t="shared" si="1"/>
        <v>150000</v>
      </c>
      <c r="J7518" s="74">
        <f>IF(E7518="SERVICE",I7518-(I7518*50%),Vlookup(E7518,DATABASE!C:Q,10,false)*F7518)</f>
        <v>10000</v>
      </c>
      <c r="K7518" s="74">
        <f>VLOOKUP(E7518,DATABASE!C:Q,7,false)</f>
        <v>0</v>
      </c>
      <c r="L7518" s="74">
        <v>0.0</v>
      </c>
      <c r="M7518" s="74">
        <f t="shared" si="2"/>
        <v>0</v>
      </c>
      <c r="N7518" s="74">
        <f t="shared" si="3"/>
        <v>140000</v>
      </c>
      <c r="O7518" s="65" t="str">
        <f>VLOOKUP(E7518,DATABASE!C:Q,8,false)</f>
        <v>IBU</v>
      </c>
      <c r="P7518" s="65">
        <f>VLOOKUP(E7518,DATABASE!C:Q,9,False)</f>
        <v>0</v>
      </c>
      <c r="Q7518" s="93" t="str">
        <f>VLOOKUP(E7518,DATABASE!C:Q,4,false)</f>
        <v>SPOORING</v>
      </c>
      <c r="R7518" s="93" t="str">
        <f>VLOOKUP(E7518,DATABASE!C:Q,11,false)</f>
        <v>SERVICE</v>
      </c>
    </row>
    <row r="7519" ht="22.5" customHeight="1">
      <c r="A7519" s="49"/>
      <c r="C7519" s="400">
        <v>46097.0</v>
      </c>
      <c r="D7519" s="524">
        <v>678.0</v>
      </c>
      <c r="E7519" s="544" t="s">
        <v>282</v>
      </c>
      <c r="F7519" s="387">
        <v>2.0</v>
      </c>
      <c r="G7519" s="140">
        <v>870000.0</v>
      </c>
      <c r="H7519" s="74"/>
      <c r="I7519" s="74">
        <f t="shared" si="1"/>
        <v>1740000</v>
      </c>
      <c r="J7519" s="74">
        <f>IF(E7519="SERVICE",I7519-(I7519*50%),Vlookup(E7519,DATABASE!C:Q,10,false)*F7519)</f>
        <v>0</v>
      </c>
      <c r="K7519" s="74">
        <f>VLOOKUP(E7519,DATABASE!C:Q,7,false)</f>
        <v>779500</v>
      </c>
      <c r="L7519" s="74">
        <v>779500.0</v>
      </c>
      <c r="M7519" s="74">
        <f t="shared" si="2"/>
        <v>780000</v>
      </c>
      <c r="N7519" s="74">
        <f t="shared" si="3"/>
        <v>180000</v>
      </c>
      <c r="O7519" s="65" t="str">
        <f>VLOOKUP(E7519,DATABASE!C:Q,8,false)</f>
        <v>IBU</v>
      </c>
      <c r="P7519" s="65">
        <f>VLOOKUP(E7519,DATABASE!C:Q,9,False)</f>
        <v>1</v>
      </c>
      <c r="Q7519" s="93" t="str">
        <f>VLOOKUP(E7519,DATABASE!C:Q,4,false)</f>
        <v>Dunlop</v>
      </c>
      <c r="R7519" s="93" t="str">
        <f>VLOOKUP(E7519,DATABASE!C:Q,11,false)</f>
        <v>Tire</v>
      </c>
    </row>
    <row r="7520" ht="22.5" customHeight="1">
      <c r="A7520" s="49"/>
      <c r="C7520" s="400">
        <v>46097.0</v>
      </c>
      <c r="D7520" s="524">
        <v>678.0</v>
      </c>
      <c r="E7520" s="544" t="s">
        <v>251</v>
      </c>
      <c r="F7520" s="387">
        <v>1.0</v>
      </c>
      <c r="G7520" s="140">
        <v>350000.0</v>
      </c>
      <c r="H7520" s="140">
        <v>200000.0</v>
      </c>
      <c r="I7520" s="74">
        <f t="shared" si="1"/>
        <v>150000</v>
      </c>
      <c r="J7520" s="74">
        <f>IF(E7520="SERVICE",I7520-(I7520*50%),Vlookup(E7520,DATABASE!C:Q,10,false)*F7520)</f>
        <v>75000</v>
      </c>
      <c r="K7520" s="74">
        <f>VLOOKUP(E7520,DATABASE!C:Q,7,false)</f>
        <v>0</v>
      </c>
      <c r="L7520" s="74">
        <v>0.0</v>
      </c>
      <c r="M7520" s="74">
        <f t="shared" si="2"/>
        <v>0</v>
      </c>
      <c r="N7520" s="74">
        <f t="shared" si="3"/>
        <v>75000</v>
      </c>
      <c r="O7520" s="65" t="str">
        <f>VLOOKUP(E7520,DATABASE!C:Q,8,false)</f>
        <v>IBU</v>
      </c>
      <c r="P7520" s="65">
        <f>VLOOKUP(E7520,DATABASE!C:Q,9,False)</f>
        <v>0</v>
      </c>
      <c r="Q7520" s="93" t="str">
        <f>VLOOKUP(E7520,DATABASE!C:Q,4,false)</f>
        <v>SERVICE</v>
      </c>
      <c r="R7520" s="93" t="str">
        <f>VLOOKUP(E7520,DATABASE!C:Q,11,false)</f>
        <v>SERVICE</v>
      </c>
    </row>
    <row r="7521" ht="22.5" customHeight="1">
      <c r="A7521" s="49"/>
      <c r="C7521" s="400">
        <v>46097.0</v>
      </c>
      <c r="D7521" s="524">
        <v>678.0</v>
      </c>
      <c r="E7521" s="544" t="s">
        <v>299</v>
      </c>
      <c r="F7521" s="387">
        <v>2.0</v>
      </c>
      <c r="G7521" s="140">
        <v>30000.0</v>
      </c>
      <c r="H7521" s="74"/>
      <c r="I7521" s="74">
        <f t="shared" si="1"/>
        <v>60000</v>
      </c>
      <c r="J7521" s="74">
        <f>IF(E7521="SERVICE",I7521-(I7521*50%),Vlookup(E7521,DATABASE!C:Q,10,false)*F7521)</f>
        <v>0</v>
      </c>
      <c r="K7521" s="74">
        <f>VLOOKUP(E7521,DATABASE!C:Q,7,false)</f>
        <v>10000</v>
      </c>
      <c r="L7521" s="74">
        <v>10000.0</v>
      </c>
      <c r="M7521" s="74">
        <f t="shared" si="2"/>
        <v>10000</v>
      </c>
      <c r="N7521" s="74">
        <f t="shared" si="3"/>
        <v>40000</v>
      </c>
      <c r="O7521" s="65" t="str">
        <f>VLOOKUP(E7521,DATABASE!C:Q,8,false)</f>
        <v>BIAN</v>
      </c>
      <c r="P7521" s="65">
        <f>VLOOKUP(E7521,DATABASE!C:Q,9,False)</f>
        <v>0</v>
      </c>
      <c r="Q7521" s="93" t="str">
        <f>VLOOKUP(E7521,DATABASE!C:Q,4,false)</f>
        <v>Balancing</v>
      </c>
      <c r="R7521" s="93" t="str">
        <f>VLOOKUP(E7521,DATABASE!C:Q,11,false)</f>
        <v>COMPLEMENTARY</v>
      </c>
    </row>
    <row r="7522" ht="22.5" customHeight="1">
      <c r="A7522" s="49"/>
      <c r="C7522" s="400">
        <v>46097.0</v>
      </c>
      <c r="D7522" s="524">
        <v>679.0</v>
      </c>
      <c r="E7522" s="544" t="s">
        <v>286</v>
      </c>
      <c r="F7522" s="387">
        <v>1.0</v>
      </c>
      <c r="G7522" s="140">
        <v>560000.0</v>
      </c>
      <c r="H7522" s="140">
        <v>10000.0</v>
      </c>
      <c r="I7522" s="74">
        <f t="shared" si="1"/>
        <v>550000</v>
      </c>
      <c r="J7522" s="74">
        <f>IF(E7522="SERVICE",I7522-(I7522*50%),Vlookup(E7522,DATABASE!C:Q,10,false)*F7522)</f>
        <v>0</v>
      </c>
      <c r="K7522" s="74">
        <f>VLOOKUP(E7522,DATABASE!C:Q,7,false)</f>
        <v>488320</v>
      </c>
      <c r="L7522" s="74">
        <v>452970.0</v>
      </c>
      <c r="M7522" s="74">
        <f t="shared" si="2"/>
        <v>455000</v>
      </c>
      <c r="N7522" s="74">
        <f t="shared" si="3"/>
        <v>95000</v>
      </c>
      <c r="O7522" s="65" t="str">
        <f>VLOOKUP(E7522,DATABASE!C:Q,8,false)</f>
        <v>BIAN</v>
      </c>
      <c r="P7522" s="65">
        <f>VLOOKUP(E7522,DATABASE!C:Q,9,False)</f>
        <v>1</v>
      </c>
      <c r="Q7522" s="93" t="str">
        <f>VLOOKUP(E7522,DATABASE!C:Q,4,false)</f>
        <v>GT</v>
      </c>
      <c r="R7522" s="93" t="str">
        <f>VLOOKUP(E7522,DATABASE!C:Q,11,false)</f>
        <v>Tire</v>
      </c>
    </row>
    <row r="7523" ht="22.5" customHeight="1">
      <c r="A7523" s="49"/>
      <c r="C7523" s="400">
        <v>46097.0</v>
      </c>
      <c r="D7523" s="524">
        <v>680.0</v>
      </c>
      <c r="E7523" s="544" t="s">
        <v>256</v>
      </c>
      <c r="F7523" s="387">
        <v>1.0</v>
      </c>
      <c r="G7523" s="140">
        <v>175000.0</v>
      </c>
      <c r="H7523" s="140">
        <v>25000.0</v>
      </c>
      <c r="I7523" s="74">
        <f t="shared" si="1"/>
        <v>150000</v>
      </c>
      <c r="J7523" s="74">
        <f>IF(E7523="SERVICE",I7523-(I7523*50%),Vlookup(E7523,DATABASE!C:Q,10,false)*F7523)</f>
        <v>10000</v>
      </c>
      <c r="K7523" s="74">
        <f>VLOOKUP(E7523,DATABASE!C:Q,7,false)</f>
        <v>0</v>
      </c>
      <c r="L7523" s="74">
        <v>0.0</v>
      </c>
      <c r="M7523" s="74">
        <f t="shared" si="2"/>
        <v>0</v>
      </c>
      <c r="N7523" s="74">
        <f t="shared" si="3"/>
        <v>140000</v>
      </c>
      <c r="O7523" s="65" t="str">
        <f>VLOOKUP(E7523,DATABASE!C:Q,8,false)</f>
        <v>IBU</v>
      </c>
      <c r="P7523" s="65">
        <f>VLOOKUP(E7523,DATABASE!C:Q,9,False)</f>
        <v>0</v>
      </c>
      <c r="Q7523" s="93" t="str">
        <f>VLOOKUP(E7523,DATABASE!C:Q,4,false)</f>
        <v>SPOORING</v>
      </c>
      <c r="R7523" s="93" t="str">
        <f>VLOOKUP(E7523,DATABASE!C:Q,11,false)</f>
        <v>SERVICE</v>
      </c>
    </row>
    <row r="7524" ht="22.5" customHeight="1">
      <c r="A7524" s="49"/>
      <c r="C7524" s="400">
        <v>46097.0</v>
      </c>
      <c r="D7524" s="524">
        <v>680.0</v>
      </c>
      <c r="E7524" s="544" t="s">
        <v>301</v>
      </c>
      <c r="F7524" s="387">
        <v>1.0</v>
      </c>
      <c r="G7524" s="140">
        <v>250000.0</v>
      </c>
      <c r="H7524" s="74"/>
      <c r="I7524" s="74">
        <f t="shared" si="1"/>
        <v>250000</v>
      </c>
      <c r="J7524" s="74">
        <f>IF(E7524="SERVICE",I7524-(I7524*50%),Vlookup(E7524,DATABASE!C:Q,10,false)*F7524)</f>
        <v>75000</v>
      </c>
      <c r="K7524" s="74">
        <f>VLOOKUP(E7524,DATABASE!C:Q,7,false)</f>
        <v>75000</v>
      </c>
      <c r="L7524" s="74">
        <v>75000.0</v>
      </c>
      <c r="M7524" s="74">
        <f t="shared" si="2"/>
        <v>75000</v>
      </c>
      <c r="N7524" s="74">
        <f t="shared" si="3"/>
        <v>100000</v>
      </c>
      <c r="O7524" s="65" t="str">
        <f>VLOOKUP(E7524,DATABASE!C:Q,8,false)</f>
        <v>BIAN</v>
      </c>
      <c r="P7524" s="65">
        <f>VLOOKUP(E7524,DATABASE!C:Q,9,False)</f>
        <v>0</v>
      </c>
      <c r="Q7524" s="93" t="str">
        <f>VLOOKUP(E7524,DATABASE!C:Q,4,false)</f>
        <v>Baut Camber</v>
      </c>
      <c r="R7524" s="93" t="str">
        <f>VLOOKUP(E7524,DATABASE!C:Q,11,false)</f>
        <v>COMPLEMENTARY</v>
      </c>
    </row>
    <row r="7525" ht="22.5" customHeight="1">
      <c r="A7525" s="49"/>
      <c r="C7525" s="400">
        <v>46097.0</v>
      </c>
      <c r="D7525" s="524">
        <v>681.0</v>
      </c>
      <c r="E7525" s="544" t="s">
        <v>627</v>
      </c>
      <c r="F7525" s="387">
        <v>1.0</v>
      </c>
      <c r="G7525" s="140">
        <v>950000.0</v>
      </c>
      <c r="H7525" s="140">
        <v>20000.0</v>
      </c>
      <c r="I7525" s="74">
        <f t="shared" si="1"/>
        <v>930000</v>
      </c>
      <c r="J7525" s="74">
        <f>IF(E7525="SERVICE",I7525-(I7525*50%),Vlookup(E7525,DATABASE!C:Q,10,false)*F7525)</f>
        <v>0</v>
      </c>
      <c r="K7525" s="74">
        <f>VLOOKUP(E7525,DATABASE!C:Q,7,false)</f>
        <v>879567</v>
      </c>
      <c r="L7525" s="74">
        <v>830273.6</v>
      </c>
      <c r="M7525" s="74">
        <f t="shared" si="2"/>
        <v>835000</v>
      </c>
      <c r="N7525" s="74">
        <f t="shared" si="3"/>
        <v>95000</v>
      </c>
      <c r="O7525" s="65" t="str">
        <f>VLOOKUP(E7525,DATABASE!C:Q,8,false)</f>
        <v>IBU</v>
      </c>
      <c r="P7525" s="65">
        <f>VLOOKUP(E7525,DATABASE!C:Q,9,False)</f>
        <v>1</v>
      </c>
      <c r="Q7525" s="93" t="str">
        <f>VLOOKUP(E7525,DATABASE!C:Q,4,false)</f>
        <v>Bridgestone</v>
      </c>
      <c r="R7525" s="93" t="str">
        <f>VLOOKUP(E7525,DATABASE!C:Q,11,false)</f>
        <v>Tire</v>
      </c>
    </row>
    <row r="7526" ht="22.5" customHeight="1">
      <c r="A7526" s="49"/>
      <c r="C7526" s="400">
        <v>46097.0</v>
      </c>
      <c r="D7526" s="524">
        <v>682.0</v>
      </c>
      <c r="E7526" s="544" t="s">
        <v>868</v>
      </c>
      <c r="F7526" s="387">
        <v>4.0</v>
      </c>
      <c r="G7526" s="140">
        <v>950000.0</v>
      </c>
      <c r="H7526" s="140">
        <v>10000.0</v>
      </c>
      <c r="I7526" s="74">
        <f t="shared" si="1"/>
        <v>3760000</v>
      </c>
      <c r="J7526" s="74">
        <f>IF(E7526="SERVICE",I7526-(I7526*50%),Vlookup(E7526,DATABASE!C:Q,10,false)*F7526)</f>
        <v>0</v>
      </c>
      <c r="K7526" s="74">
        <f>VLOOKUP(E7526,DATABASE!C:Q,7,false)</f>
        <v>861200</v>
      </c>
      <c r="L7526" s="74">
        <v>836000.0</v>
      </c>
      <c r="M7526" s="74">
        <f t="shared" si="2"/>
        <v>840000</v>
      </c>
      <c r="N7526" s="74">
        <f t="shared" si="3"/>
        <v>400000</v>
      </c>
      <c r="O7526" s="65" t="str">
        <f>VLOOKUP(E7526,DATABASE!C:Q,8,false)</f>
        <v>BIAN</v>
      </c>
      <c r="P7526" s="65">
        <f>VLOOKUP(E7526,DATABASE!C:Q,9,False)</f>
        <v>1</v>
      </c>
      <c r="Q7526" s="93" t="str">
        <f>VLOOKUP(E7526,DATABASE!C:Q,4,false)</f>
        <v>GT</v>
      </c>
      <c r="R7526" s="93" t="str">
        <f>VLOOKUP(E7526,DATABASE!C:Q,11,false)</f>
        <v>Tire</v>
      </c>
    </row>
    <row r="7527" ht="22.5" customHeight="1">
      <c r="A7527" s="49"/>
      <c r="C7527" s="400">
        <v>46097.0</v>
      </c>
      <c r="D7527" s="524">
        <v>682.0</v>
      </c>
      <c r="E7527" s="544" t="s">
        <v>299</v>
      </c>
      <c r="F7527" s="387">
        <v>2.0</v>
      </c>
      <c r="G7527" s="140">
        <v>30000.0</v>
      </c>
      <c r="H7527" s="74"/>
      <c r="I7527" s="74">
        <f t="shared" si="1"/>
        <v>60000</v>
      </c>
      <c r="J7527" s="74">
        <f>IF(E7527="SERVICE",I7527-(I7527*50%),Vlookup(E7527,DATABASE!C:Q,10,false)*F7527)</f>
        <v>0</v>
      </c>
      <c r="K7527" s="74">
        <f>VLOOKUP(E7527,DATABASE!C:Q,7,false)</f>
        <v>10000</v>
      </c>
      <c r="L7527" s="74">
        <v>10000.0</v>
      </c>
      <c r="M7527" s="74">
        <f t="shared" si="2"/>
        <v>10000</v>
      </c>
      <c r="N7527" s="74">
        <f t="shared" si="3"/>
        <v>40000</v>
      </c>
      <c r="O7527" s="65" t="str">
        <f>VLOOKUP(E7527,DATABASE!C:Q,8,false)</f>
        <v>BIAN</v>
      </c>
      <c r="P7527" s="65">
        <f>VLOOKUP(E7527,DATABASE!C:Q,9,False)</f>
        <v>0</v>
      </c>
      <c r="Q7527" s="93" t="str">
        <f>VLOOKUP(E7527,DATABASE!C:Q,4,false)</f>
        <v>Balancing</v>
      </c>
      <c r="R7527" s="93" t="str">
        <f>VLOOKUP(E7527,DATABASE!C:Q,11,false)</f>
        <v>COMPLEMENTARY</v>
      </c>
    </row>
    <row r="7528" ht="22.5" customHeight="1">
      <c r="A7528" s="49"/>
      <c r="C7528" s="400">
        <v>46097.0</v>
      </c>
      <c r="D7528" s="524">
        <v>682.0</v>
      </c>
      <c r="E7528" s="544" t="s">
        <v>301</v>
      </c>
      <c r="F7528" s="387">
        <v>1.0</v>
      </c>
      <c r="G7528" s="140">
        <v>250000.0</v>
      </c>
      <c r="H7528" s="74"/>
      <c r="I7528" s="74">
        <f t="shared" si="1"/>
        <v>250000</v>
      </c>
      <c r="J7528" s="74">
        <f>IF(E7528="SERVICE",I7528-(I7528*50%),Vlookup(E7528,DATABASE!C:Q,10,false)*F7528)</f>
        <v>75000</v>
      </c>
      <c r="K7528" s="74">
        <f>VLOOKUP(E7528,DATABASE!C:Q,7,false)</f>
        <v>75000</v>
      </c>
      <c r="L7528" s="74">
        <v>75000.0</v>
      </c>
      <c r="M7528" s="74">
        <f t="shared" si="2"/>
        <v>75000</v>
      </c>
      <c r="N7528" s="74">
        <f t="shared" si="3"/>
        <v>100000</v>
      </c>
      <c r="O7528" s="65" t="str">
        <f>VLOOKUP(E7528,DATABASE!C:Q,8,false)</f>
        <v>BIAN</v>
      </c>
      <c r="P7528" s="65">
        <f>VLOOKUP(E7528,DATABASE!C:Q,9,False)</f>
        <v>0</v>
      </c>
      <c r="Q7528" s="93" t="str">
        <f>VLOOKUP(E7528,DATABASE!C:Q,4,false)</f>
        <v>Baut Camber</v>
      </c>
      <c r="R7528" s="93" t="str">
        <f>VLOOKUP(E7528,DATABASE!C:Q,11,false)</f>
        <v>COMPLEMENTARY</v>
      </c>
    </row>
    <row r="7529" ht="22.5" customHeight="1">
      <c r="A7529" s="49"/>
      <c r="C7529" s="400">
        <v>46097.0</v>
      </c>
      <c r="D7529" s="69">
        <v>683.0</v>
      </c>
      <c r="E7529" s="544" t="s">
        <v>256</v>
      </c>
      <c r="F7529" s="387">
        <v>1.0</v>
      </c>
      <c r="G7529" s="140">
        <v>175000.0</v>
      </c>
      <c r="H7529" s="140">
        <v>25000.0</v>
      </c>
      <c r="I7529" s="74">
        <f t="shared" si="1"/>
        <v>150000</v>
      </c>
      <c r="J7529" s="74">
        <f>IF(E7529="SERVICE",I7529-(I7529*50%),Vlookup(E7529,DATABASE!C:Q,10,false)*F7529)</f>
        <v>10000</v>
      </c>
      <c r="K7529" s="74">
        <f>VLOOKUP(E7529,DATABASE!C:Q,7,false)</f>
        <v>0</v>
      </c>
      <c r="L7529" s="74">
        <v>0.0</v>
      </c>
      <c r="M7529" s="74">
        <f t="shared" si="2"/>
        <v>0</v>
      </c>
      <c r="N7529" s="74">
        <f t="shared" si="3"/>
        <v>140000</v>
      </c>
      <c r="O7529" s="65" t="str">
        <f>VLOOKUP(E7529,DATABASE!C:Q,8,false)</f>
        <v>IBU</v>
      </c>
      <c r="P7529" s="65">
        <f>VLOOKUP(E7529,DATABASE!C:Q,9,False)</f>
        <v>0</v>
      </c>
      <c r="Q7529" s="93" t="str">
        <f>VLOOKUP(E7529,DATABASE!C:Q,4,false)</f>
        <v>SPOORING</v>
      </c>
      <c r="R7529" s="93" t="str">
        <f>VLOOKUP(E7529,DATABASE!C:Q,11,false)</f>
        <v>SERVICE</v>
      </c>
    </row>
    <row r="7530" ht="22.5" customHeight="1">
      <c r="A7530" s="49"/>
      <c r="C7530" s="400">
        <v>46097.0</v>
      </c>
      <c r="D7530" s="524">
        <v>684.0</v>
      </c>
      <c r="E7530" s="544" t="s">
        <v>1617</v>
      </c>
      <c r="F7530" s="387">
        <v>4.0</v>
      </c>
      <c r="G7530" s="140">
        <v>850000.0</v>
      </c>
      <c r="H7530" s="140">
        <v>10000.0</v>
      </c>
      <c r="I7530" s="74">
        <f t="shared" si="1"/>
        <v>3360000</v>
      </c>
      <c r="J7530" s="74">
        <f>IF(E7530="SERVICE",I7530-(I7530*50%),Vlookup(E7530,DATABASE!C:Q,10,false)*F7530)</f>
        <v>0</v>
      </c>
      <c r="K7530" s="74">
        <f>VLOOKUP(E7530,DATABASE!C:Q,7,false)</f>
        <v>739000</v>
      </c>
      <c r="L7530" s="74">
        <v>739000.0</v>
      </c>
      <c r="M7530" s="74">
        <f t="shared" si="2"/>
        <v>740000</v>
      </c>
      <c r="N7530" s="74">
        <f t="shared" si="3"/>
        <v>400000</v>
      </c>
      <c r="O7530" s="65" t="str">
        <f>VLOOKUP(E7530,DATABASE!C:Q,8,false)</f>
        <v>BIAN</v>
      </c>
      <c r="P7530" s="65">
        <f>VLOOKUP(E7530,DATABASE!C:Q,9,False)</f>
        <v>1</v>
      </c>
      <c r="Q7530" s="93" t="str">
        <f>VLOOKUP(E7530,DATABASE!C:Q,4,false)</f>
        <v>GT</v>
      </c>
      <c r="R7530" s="93" t="str">
        <f>VLOOKUP(E7530,DATABASE!C:Q,11,false)</f>
        <v>Tire</v>
      </c>
    </row>
    <row r="7531" ht="22.5" customHeight="1">
      <c r="A7531" s="49"/>
      <c r="C7531" s="400">
        <v>46097.0</v>
      </c>
      <c r="D7531" s="524">
        <v>684.0</v>
      </c>
      <c r="E7531" s="544" t="s">
        <v>299</v>
      </c>
      <c r="F7531" s="387">
        <v>2.0</v>
      </c>
      <c r="G7531" s="140">
        <v>30000.0</v>
      </c>
      <c r="H7531" s="74"/>
      <c r="I7531" s="74">
        <f t="shared" si="1"/>
        <v>60000</v>
      </c>
      <c r="J7531" s="74">
        <f>IF(E7531="SERVICE",I7531-(I7531*50%),Vlookup(E7531,DATABASE!C:Q,10,false)*F7531)</f>
        <v>0</v>
      </c>
      <c r="K7531" s="74">
        <f>VLOOKUP(E7531,DATABASE!C:Q,7,false)</f>
        <v>10000</v>
      </c>
      <c r="L7531" s="74">
        <v>10000.0</v>
      </c>
      <c r="M7531" s="74">
        <f t="shared" si="2"/>
        <v>10000</v>
      </c>
      <c r="N7531" s="74">
        <f t="shared" si="3"/>
        <v>40000</v>
      </c>
      <c r="O7531" s="65" t="str">
        <f>VLOOKUP(E7531,DATABASE!C:Q,8,false)</f>
        <v>BIAN</v>
      </c>
      <c r="P7531" s="65">
        <f>VLOOKUP(E7531,DATABASE!C:Q,9,False)</f>
        <v>0</v>
      </c>
      <c r="Q7531" s="93" t="str">
        <f>VLOOKUP(E7531,DATABASE!C:Q,4,false)</f>
        <v>Balancing</v>
      </c>
      <c r="R7531" s="93" t="str">
        <f>VLOOKUP(E7531,DATABASE!C:Q,11,false)</f>
        <v>COMPLEMENTARY</v>
      </c>
    </row>
    <row r="7532" ht="22.5" customHeight="1">
      <c r="A7532" s="49"/>
      <c r="C7532" s="400">
        <v>46097.0</v>
      </c>
      <c r="D7532" s="524">
        <v>684.0</v>
      </c>
      <c r="E7532" s="544" t="s">
        <v>256</v>
      </c>
      <c r="F7532" s="387">
        <v>1.0</v>
      </c>
      <c r="G7532" s="140">
        <v>175000.0</v>
      </c>
      <c r="H7532" s="140">
        <v>25000.0</v>
      </c>
      <c r="I7532" s="74">
        <f t="shared" si="1"/>
        <v>150000</v>
      </c>
      <c r="J7532" s="74">
        <f>IF(E7532="SERVICE",I7532-(I7532*50%),Vlookup(E7532,DATABASE!C:Q,10,false)*F7532)</f>
        <v>10000</v>
      </c>
      <c r="K7532" s="74">
        <f>VLOOKUP(E7532,DATABASE!C:Q,7,false)</f>
        <v>0</v>
      </c>
      <c r="L7532" s="74">
        <v>0.0</v>
      </c>
      <c r="M7532" s="74">
        <f t="shared" si="2"/>
        <v>0</v>
      </c>
      <c r="N7532" s="74">
        <f t="shared" si="3"/>
        <v>140000</v>
      </c>
      <c r="O7532" s="65" t="str">
        <f>VLOOKUP(E7532,DATABASE!C:Q,8,false)</f>
        <v>IBU</v>
      </c>
      <c r="P7532" s="65">
        <f>VLOOKUP(E7532,DATABASE!C:Q,9,False)</f>
        <v>0</v>
      </c>
      <c r="Q7532" s="93" t="str">
        <f>VLOOKUP(E7532,DATABASE!C:Q,4,false)</f>
        <v>SPOORING</v>
      </c>
      <c r="R7532" s="93" t="str">
        <f>VLOOKUP(E7532,DATABASE!C:Q,11,false)</f>
        <v>SERVICE</v>
      </c>
    </row>
    <row r="7533" ht="22.5" customHeight="1">
      <c r="A7533" s="49"/>
      <c r="C7533" s="400">
        <v>46097.0</v>
      </c>
      <c r="D7533" s="524">
        <v>685.0</v>
      </c>
      <c r="E7533" s="544" t="s">
        <v>276</v>
      </c>
      <c r="F7533" s="387">
        <v>4.0</v>
      </c>
      <c r="G7533" s="140">
        <v>720000.0</v>
      </c>
      <c r="H7533" s="140">
        <v>10000.0</v>
      </c>
      <c r="I7533" s="74">
        <f t="shared" si="1"/>
        <v>2840000</v>
      </c>
      <c r="J7533" s="74">
        <f>IF(E7533="SERVICE",I7533-(I7533*50%),Vlookup(E7533,DATABASE!C:Q,10,false)*F7533)</f>
        <v>0</v>
      </c>
      <c r="K7533" s="74">
        <f>VLOOKUP(E7533,DATABASE!C:Q,7,false)</f>
        <v>620000</v>
      </c>
      <c r="L7533" s="74">
        <v>620000.0</v>
      </c>
      <c r="M7533" s="74">
        <f t="shared" si="2"/>
        <v>620000</v>
      </c>
      <c r="N7533" s="74">
        <f t="shared" si="3"/>
        <v>360000</v>
      </c>
      <c r="O7533" s="65" t="str">
        <f>VLOOKUP(E7533,DATABASE!C:Q,8,false)</f>
        <v>IBU</v>
      </c>
      <c r="P7533" s="65">
        <f>VLOOKUP(E7533,DATABASE!C:Q,9,False)</f>
        <v>1</v>
      </c>
      <c r="Q7533" s="93" t="str">
        <f>VLOOKUP(E7533,DATABASE!C:Q,4,false)</f>
        <v>Dunlop</v>
      </c>
      <c r="R7533" s="93" t="str">
        <f>VLOOKUP(E7533,DATABASE!C:Q,11,false)</f>
        <v>Tire</v>
      </c>
    </row>
    <row r="7534" ht="22.5" customHeight="1">
      <c r="A7534" s="49"/>
      <c r="C7534" s="400">
        <v>46097.0</v>
      </c>
      <c r="D7534" s="524">
        <v>685.0</v>
      </c>
      <c r="E7534" s="544" t="s">
        <v>299</v>
      </c>
      <c r="F7534" s="387">
        <v>2.0</v>
      </c>
      <c r="G7534" s="140">
        <v>30000.0</v>
      </c>
      <c r="H7534" s="74"/>
      <c r="I7534" s="74">
        <f t="shared" si="1"/>
        <v>60000</v>
      </c>
      <c r="J7534" s="74">
        <f>IF(E7534="SERVICE",I7534-(I7534*50%),Vlookup(E7534,DATABASE!C:Q,10,false)*F7534)</f>
        <v>0</v>
      </c>
      <c r="K7534" s="74">
        <f>VLOOKUP(E7534,DATABASE!C:Q,7,false)</f>
        <v>10000</v>
      </c>
      <c r="L7534" s="74">
        <v>10000.0</v>
      </c>
      <c r="M7534" s="74">
        <f t="shared" si="2"/>
        <v>10000</v>
      </c>
      <c r="N7534" s="74">
        <f t="shared" si="3"/>
        <v>40000</v>
      </c>
      <c r="O7534" s="65" t="str">
        <f>VLOOKUP(E7534,DATABASE!C:Q,8,false)</f>
        <v>BIAN</v>
      </c>
      <c r="P7534" s="65">
        <f>VLOOKUP(E7534,DATABASE!C:Q,9,False)</f>
        <v>0</v>
      </c>
      <c r="Q7534" s="93" t="str">
        <f>VLOOKUP(E7534,DATABASE!C:Q,4,false)</f>
        <v>Balancing</v>
      </c>
      <c r="R7534" s="93" t="str">
        <f>VLOOKUP(E7534,DATABASE!C:Q,11,false)</f>
        <v>COMPLEMENTARY</v>
      </c>
    </row>
    <row r="7535" ht="22.5" customHeight="1">
      <c r="A7535" s="49"/>
      <c r="C7535" s="400">
        <v>46097.0</v>
      </c>
      <c r="D7535" s="524">
        <v>685.0</v>
      </c>
      <c r="E7535" s="544" t="s">
        <v>256</v>
      </c>
      <c r="F7535" s="387">
        <v>1.0</v>
      </c>
      <c r="G7535" s="140">
        <v>175000.0</v>
      </c>
      <c r="H7535" s="140">
        <v>25000.0</v>
      </c>
      <c r="I7535" s="74">
        <f t="shared" si="1"/>
        <v>150000</v>
      </c>
      <c r="J7535" s="74">
        <f>IF(E7535="SERVICE",I7535-(I7535*50%),Vlookup(E7535,DATABASE!C:Q,10,false)*F7535)</f>
        <v>10000</v>
      </c>
      <c r="K7535" s="74">
        <f>VLOOKUP(E7535,DATABASE!C:Q,7,false)</f>
        <v>0</v>
      </c>
      <c r="L7535" s="74">
        <v>0.0</v>
      </c>
      <c r="M7535" s="74">
        <f t="shared" si="2"/>
        <v>0</v>
      </c>
      <c r="N7535" s="74">
        <f t="shared" si="3"/>
        <v>140000</v>
      </c>
      <c r="O7535" s="65" t="str">
        <f>VLOOKUP(E7535,DATABASE!C:Q,8,false)</f>
        <v>IBU</v>
      </c>
      <c r="P7535" s="65">
        <f>VLOOKUP(E7535,DATABASE!C:Q,9,False)</f>
        <v>0</v>
      </c>
      <c r="Q7535" s="93" t="str">
        <f>VLOOKUP(E7535,DATABASE!C:Q,4,false)</f>
        <v>SPOORING</v>
      </c>
      <c r="R7535" s="93" t="str">
        <f>VLOOKUP(E7535,DATABASE!C:Q,11,false)</f>
        <v>SERVICE</v>
      </c>
    </row>
    <row r="7536" ht="22.5" customHeight="1">
      <c r="A7536" s="49"/>
      <c r="C7536" s="400">
        <v>46097.0</v>
      </c>
      <c r="D7536" s="524">
        <v>686.0</v>
      </c>
      <c r="E7536" s="544" t="s">
        <v>299</v>
      </c>
      <c r="F7536" s="387">
        <v>2.0</v>
      </c>
      <c r="G7536" s="140">
        <v>30000.0</v>
      </c>
      <c r="H7536" s="74"/>
      <c r="I7536" s="74">
        <f t="shared" si="1"/>
        <v>60000</v>
      </c>
      <c r="J7536" s="74">
        <f>IF(E7536="SERVICE",I7536-(I7536*50%),Vlookup(E7536,DATABASE!C:Q,10,false)*F7536)</f>
        <v>0</v>
      </c>
      <c r="K7536" s="74">
        <f>VLOOKUP(E7536,DATABASE!C:Q,7,false)</f>
        <v>10000</v>
      </c>
      <c r="L7536" s="74">
        <v>10000.0</v>
      </c>
      <c r="M7536" s="74">
        <f t="shared" si="2"/>
        <v>10000</v>
      </c>
      <c r="N7536" s="74">
        <f t="shared" si="3"/>
        <v>40000</v>
      </c>
      <c r="O7536" s="65" t="str">
        <f>VLOOKUP(E7536,DATABASE!C:Q,8,false)</f>
        <v>BIAN</v>
      </c>
      <c r="P7536" s="65">
        <f>VLOOKUP(E7536,DATABASE!C:Q,9,False)</f>
        <v>0</v>
      </c>
      <c r="Q7536" s="93" t="str">
        <f>VLOOKUP(E7536,DATABASE!C:Q,4,false)</f>
        <v>Balancing</v>
      </c>
      <c r="R7536" s="93" t="str">
        <f>VLOOKUP(E7536,DATABASE!C:Q,11,false)</f>
        <v>COMPLEMENTARY</v>
      </c>
    </row>
    <row r="7537" ht="22.5" customHeight="1">
      <c r="A7537" s="49"/>
      <c r="C7537" s="400">
        <v>46097.0</v>
      </c>
      <c r="D7537" s="524">
        <v>687.0</v>
      </c>
      <c r="E7537" s="544" t="s">
        <v>246</v>
      </c>
      <c r="F7537" s="387">
        <v>1.0</v>
      </c>
      <c r="G7537" s="140">
        <v>35000.0</v>
      </c>
      <c r="H7537" s="140">
        <v>10000.0</v>
      </c>
      <c r="I7537" s="74">
        <f t="shared" si="1"/>
        <v>25000</v>
      </c>
      <c r="J7537" s="74">
        <f>IF(E7537="SERVICE",I7537-(I7537*50%),Vlookup(E7537,DATABASE!C:Q,10,false)*F7537)</f>
        <v>0</v>
      </c>
      <c r="K7537" s="74">
        <f>VLOOKUP(E7537,DATABASE!C:Q,7,false)</f>
        <v>0</v>
      </c>
      <c r="L7537" s="74">
        <v>0.0</v>
      </c>
      <c r="M7537" s="74">
        <f t="shared" si="2"/>
        <v>0</v>
      </c>
      <c r="N7537" s="74">
        <f t="shared" si="3"/>
        <v>25000</v>
      </c>
      <c r="O7537" s="65" t="str">
        <f>VLOOKUP(E7537,DATABASE!C:Q,8,false)</f>
        <v>IBU</v>
      </c>
      <c r="P7537" s="65">
        <f>VLOOKUP(E7537,DATABASE!C:Q,9,False)</f>
        <v>0</v>
      </c>
      <c r="Q7537" s="93" t="str">
        <f>VLOOKUP(E7537,DATABASE!C:Q,4,false)</f>
        <v>Bongkar Pasang</v>
      </c>
      <c r="R7537" s="93" t="str">
        <f>VLOOKUP(E7537,DATABASE!C:Q,11,false)</f>
        <v>SERVICE</v>
      </c>
    </row>
    <row r="7538" ht="22.5" customHeight="1">
      <c r="A7538" s="49"/>
      <c r="C7538" s="400">
        <v>46097.0</v>
      </c>
      <c r="D7538" s="524">
        <v>687.0</v>
      </c>
      <c r="E7538" s="544" t="s">
        <v>299</v>
      </c>
      <c r="F7538" s="387">
        <v>2.0</v>
      </c>
      <c r="G7538" s="140">
        <v>30000.0</v>
      </c>
      <c r="H7538" s="74"/>
      <c r="I7538" s="74">
        <f t="shared" si="1"/>
        <v>60000</v>
      </c>
      <c r="J7538" s="74">
        <f>IF(E7538="SERVICE",I7538-(I7538*50%),Vlookup(E7538,DATABASE!C:Q,10,false)*F7538)</f>
        <v>0</v>
      </c>
      <c r="K7538" s="74">
        <f>VLOOKUP(E7538,DATABASE!C:Q,7,false)</f>
        <v>10000</v>
      </c>
      <c r="L7538" s="74">
        <v>10000.0</v>
      </c>
      <c r="M7538" s="74">
        <f t="shared" si="2"/>
        <v>10000</v>
      </c>
      <c r="N7538" s="74">
        <f t="shared" si="3"/>
        <v>40000</v>
      </c>
      <c r="O7538" s="65" t="str">
        <f>VLOOKUP(E7538,DATABASE!C:Q,8,false)</f>
        <v>BIAN</v>
      </c>
      <c r="P7538" s="65">
        <f>VLOOKUP(E7538,DATABASE!C:Q,9,False)</f>
        <v>0</v>
      </c>
      <c r="Q7538" s="93" t="str">
        <f>VLOOKUP(E7538,DATABASE!C:Q,4,false)</f>
        <v>Balancing</v>
      </c>
      <c r="R7538" s="93" t="str">
        <f>VLOOKUP(E7538,DATABASE!C:Q,11,false)</f>
        <v>COMPLEMENTARY</v>
      </c>
    </row>
    <row r="7539" ht="22.5" customHeight="1">
      <c r="A7539" s="49"/>
      <c r="C7539" s="400">
        <v>46097.0</v>
      </c>
      <c r="D7539" s="524">
        <v>687.0</v>
      </c>
      <c r="E7539" s="544" t="s">
        <v>262</v>
      </c>
      <c r="F7539" s="387">
        <v>1.0</v>
      </c>
      <c r="G7539" s="140">
        <v>130000.0</v>
      </c>
      <c r="H7539" s="74"/>
      <c r="I7539" s="74">
        <f t="shared" si="1"/>
        <v>130000</v>
      </c>
      <c r="J7539" s="74">
        <f>IF(E7539="SERVICE",I7539-(I7539*50%),Vlookup(E7539,DATABASE!C:Q,10,false)*F7539)</f>
        <v>5000</v>
      </c>
      <c r="K7539" s="74">
        <f>VLOOKUP(E7539,DATABASE!C:Q,7,false)</f>
        <v>0</v>
      </c>
      <c r="L7539" s="74">
        <v>0.0</v>
      </c>
      <c r="M7539" s="74">
        <f t="shared" si="2"/>
        <v>0</v>
      </c>
      <c r="N7539" s="74">
        <f t="shared" si="3"/>
        <v>125000</v>
      </c>
      <c r="O7539" s="65" t="str">
        <f>VLOOKUP(E7539,DATABASE!C:Q,8,false)</f>
        <v>IBU</v>
      </c>
      <c r="P7539" s="65">
        <f>VLOOKUP(E7539,DATABASE!C:Q,9,False)</f>
        <v>0</v>
      </c>
      <c r="Q7539" s="93" t="str">
        <f>VLOOKUP(E7539,DATABASE!C:Q,4,false)</f>
        <v>SPOORING SS/CARRY LOS BAK</v>
      </c>
      <c r="R7539" s="93" t="str">
        <f>VLOOKUP(E7539,DATABASE!C:Q,11,false)</f>
        <v>SERVICE</v>
      </c>
    </row>
    <row r="7540" ht="22.5" customHeight="1">
      <c r="A7540" s="49"/>
      <c r="C7540" s="400">
        <v>46097.0</v>
      </c>
      <c r="D7540" s="524">
        <v>687.0</v>
      </c>
      <c r="E7540" s="544" t="s">
        <v>251</v>
      </c>
      <c r="F7540" s="387">
        <v>1.0</v>
      </c>
      <c r="G7540" s="140">
        <v>350000.0</v>
      </c>
      <c r="H7540" s="140">
        <v>200000.0</v>
      </c>
      <c r="I7540" s="74">
        <f t="shared" si="1"/>
        <v>150000</v>
      </c>
      <c r="J7540" s="74">
        <f>IF(E7540="SERVICE",I7540-(I7540*50%),Vlookup(E7540,DATABASE!C:Q,10,false)*F7540)</f>
        <v>75000</v>
      </c>
      <c r="K7540" s="74">
        <f>VLOOKUP(E7540,DATABASE!C:Q,7,false)</f>
        <v>0</v>
      </c>
      <c r="L7540" s="74">
        <v>0.0</v>
      </c>
      <c r="M7540" s="74">
        <f t="shared" si="2"/>
        <v>0</v>
      </c>
      <c r="N7540" s="74">
        <f t="shared" si="3"/>
        <v>75000</v>
      </c>
      <c r="O7540" s="65" t="str">
        <f>VLOOKUP(E7540,DATABASE!C:Q,8,false)</f>
        <v>IBU</v>
      </c>
      <c r="P7540" s="65">
        <f>VLOOKUP(E7540,DATABASE!C:Q,9,False)</f>
        <v>0</v>
      </c>
      <c r="Q7540" s="93" t="str">
        <f>VLOOKUP(E7540,DATABASE!C:Q,4,false)</f>
        <v>SERVICE</v>
      </c>
      <c r="R7540" s="93" t="str">
        <f>VLOOKUP(E7540,DATABASE!C:Q,11,false)</f>
        <v>SERVICE</v>
      </c>
    </row>
    <row r="7541" ht="22.5" customHeight="1">
      <c r="A7541" s="49"/>
      <c r="C7541" s="400">
        <v>46098.0</v>
      </c>
      <c r="D7541" s="524">
        <v>691.0</v>
      </c>
      <c r="E7541" s="544" t="s">
        <v>250</v>
      </c>
      <c r="F7541" s="387">
        <v>2.0</v>
      </c>
      <c r="G7541" s="140">
        <v>135000.0</v>
      </c>
      <c r="H7541" s="74"/>
      <c r="I7541" s="74">
        <f t="shared" si="1"/>
        <v>270000</v>
      </c>
      <c r="J7541" s="74">
        <f>IF(E7541="SERVICE",I7541-(I7541*50%),Vlookup(E7541,DATABASE!C:Q,10,false)*F7541)</f>
        <v>0</v>
      </c>
      <c r="K7541" s="74">
        <f>VLOOKUP(E7541,DATABASE!C:Q,7,false)</f>
        <v>102000</v>
      </c>
      <c r="L7541" s="74">
        <v>102000.0</v>
      </c>
      <c r="M7541" s="74">
        <f t="shared" si="2"/>
        <v>105000</v>
      </c>
      <c r="N7541" s="74">
        <f t="shared" si="3"/>
        <v>60000</v>
      </c>
      <c r="O7541" s="65" t="str">
        <f>VLOOKUP(E7541,DATABASE!C:Q,8,false)</f>
        <v>BIAN</v>
      </c>
      <c r="P7541" s="65">
        <f>VLOOKUP(E7541,DATABASE!C:Q,9,False)</f>
        <v>1</v>
      </c>
      <c r="Q7541" s="93" t="str">
        <f>VLOOKUP(E7541,DATABASE!C:Q,4,false)</f>
        <v>BD</v>
      </c>
      <c r="R7541" s="93" t="str">
        <f>VLOOKUP(E7541,DATABASE!C:Q,11,false)</f>
        <v>Tire</v>
      </c>
    </row>
    <row r="7542" ht="22.5" customHeight="1">
      <c r="A7542" s="49"/>
      <c r="C7542" s="400">
        <v>46098.0</v>
      </c>
      <c r="D7542" s="524">
        <v>693.0</v>
      </c>
      <c r="E7542" s="544" t="s">
        <v>847</v>
      </c>
      <c r="F7542" s="387">
        <v>1.0</v>
      </c>
      <c r="G7542" s="140">
        <v>775000.0</v>
      </c>
      <c r="H7542" s="74"/>
      <c r="I7542" s="74">
        <f t="shared" si="1"/>
        <v>775000</v>
      </c>
      <c r="J7542" s="74">
        <f>IF(E7542="SERVICE",I7542-(I7542*50%),Vlookup(E7542,DATABASE!C:Q,10,false)*F7542)</f>
        <v>0</v>
      </c>
      <c r="K7542" s="74">
        <f>VLOOKUP(E7542,DATABASE!C:Q,7,false)</f>
        <v>718080</v>
      </c>
      <c r="L7542" s="74">
        <v>672210.0</v>
      </c>
      <c r="M7542" s="74">
        <f t="shared" si="2"/>
        <v>675000</v>
      </c>
      <c r="N7542" s="74">
        <f t="shared" si="3"/>
        <v>100000</v>
      </c>
      <c r="O7542" s="65" t="str">
        <f>VLOOKUP(E7542,DATABASE!C:Q,8,false)</f>
        <v>BIAN</v>
      </c>
      <c r="P7542" s="65">
        <f>VLOOKUP(E7542,DATABASE!C:Q,9,False)</f>
        <v>1</v>
      </c>
      <c r="Q7542" s="93" t="str">
        <f>VLOOKUP(E7542,DATABASE!C:Q,4,false)</f>
        <v>GT</v>
      </c>
      <c r="R7542" s="93" t="str">
        <f>VLOOKUP(E7542,DATABASE!C:Q,11,false)</f>
        <v>Tire</v>
      </c>
    </row>
    <row r="7543" ht="22.5" customHeight="1">
      <c r="A7543" s="49"/>
      <c r="C7543" s="400">
        <v>46098.0</v>
      </c>
      <c r="D7543" s="524">
        <v>694.0</v>
      </c>
      <c r="E7543" s="544" t="s">
        <v>591</v>
      </c>
      <c r="F7543" s="387">
        <v>2.0</v>
      </c>
      <c r="G7543" s="140">
        <v>700000.0</v>
      </c>
      <c r="H7543" s="74"/>
      <c r="I7543" s="74">
        <f t="shared" si="1"/>
        <v>1400000</v>
      </c>
      <c r="J7543" s="74">
        <f>IF(E7543="SERVICE",I7543-(I7543*50%),Vlookup(E7543,DATABASE!C:Q,10,false)*F7543)</f>
        <v>0</v>
      </c>
      <c r="K7543" s="74">
        <f>VLOOKUP(E7543,DATABASE!C:Q,7,false)</f>
        <v>633035.16</v>
      </c>
      <c r="L7543" s="74">
        <v>609844.4</v>
      </c>
      <c r="M7543" s="74">
        <f t="shared" si="2"/>
        <v>610000</v>
      </c>
      <c r="N7543" s="74">
        <f t="shared" si="3"/>
        <v>180000</v>
      </c>
      <c r="O7543" s="65" t="str">
        <f>VLOOKUP(E7543,DATABASE!C:Q,8,false)</f>
        <v>IBU</v>
      </c>
      <c r="P7543" s="65">
        <f>VLOOKUP(E7543,DATABASE!C:Q,9,False)</f>
        <v>1</v>
      </c>
      <c r="Q7543" s="93" t="str">
        <f>VLOOKUP(E7543,DATABASE!C:Q,4,false)</f>
        <v>Bridgestone</v>
      </c>
      <c r="R7543" s="93" t="str">
        <f>VLOOKUP(E7543,DATABASE!C:Q,11,false)</f>
        <v>Tire</v>
      </c>
    </row>
    <row r="7544" ht="22.5" customHeight="1">
      <c r="A7544" s="49"/>
      <c r="C7544" s="400">
        <v>46098.0</v>
      </c>
      <c r="D7544" s="524">
        <v>695.0</v>
      </c>
      <c r="E7544" s="544" t="s">
        <v>287</v>
      </c>
      <c r="F7544" s="387">
        <v>1.0</v>
      </c>
      <c r="G7544" s="140">
        <v>780000.0</v>
      </c>
      <c r="H7544" s="74"/>
      <c r="I7544" s="74">
        <f t="shared" si="1"/>
        <v>780000</v>
      </c>
      <c r="J7544" s="74">
        <f>IF(E7544="SERVICE",I7544-(I7544*50%),Vlookup(E7544,DATABASE!C:Q,10,false)*F7544)</f>
        <v>0</v>
      </c>
      <c r="K7544" s="74">
        <f>VLOOKUP(E7544,DATABASE!C:Q,7,false)</f>
        <v>711000</v>
      </c>
      <c r="L7544" s="74">
        <v>690600.0</v>
      </c>
      <c r="M7544" s="74">
        <f t="shared" si="2"/>
        <v>695000</v>
      </c>
      <c r="N7544" s="74">
        <f t="shared" si="3"/>
        <v>85000</v>
      </c>
      <c r="O7544" s="65" t="str">
        <f>VLOOKUP(E7544,DATABASE!C:Q,8,false)</f>
        <v>BIAN</v>
      </c>
      <c r="P7544" s="65">
        <f>VLOOKUP(E7544,DATABASE!C:Q,9,False)</f>
        <v>1</v>
      </c>
      <c r="Q7544" s="93" t="str">
        <f>VLOOKUP(E7544,DATABASE!C:Q,4,false)</f>
        <v>GT</v>
      </c>
      <c r="R7544" s="93" t="str">
        <f>VLOOKUP(E7544,DATABASE!C:Q,11,false)</f>
        <v>Tire</v>
      </c>
    </row>
    <row r="7545" ht="22.5" customHeight="1">
      <c r="A7545" s="49"/>
      <c r="C7545" s="400">
        <v>46098.0</v>
      </c>
      <c r="D7545" s="524">
        <v>695.0</v>
      </c>
      <c r="E7545" s="544" t="s">
        <v>299</v>
      </c>
      <c r="F7545" s="387">
        <v>2.0</v>
      </c>
      <c r="G7545" s="140">
        <v>30000.0</v>
      </c>
      <c r="H7545" s="74"/>
      <c r="I7545" s="74">
        <f t="shared" si="1"/>
        <v>60000</v>
      </c>
      <c r="J7545" s="74">
        <f>IF(E7545="SERVICE",I7545-(I7545*50%),Vlookup(E7545,DATABASE!C:Q,10,false)*F7545)</f>
        <v>0</v>
      </c>
      <c r="K7545" s="74">
        <f>VLOOKUP(E7545,DATABASE!C:Q,7,false)</f>
        <v>10000</v>
      </c>
      <c r="L7545" s="74">
        <v>10000.0</v>
      </c>
      <c r="M7545" s="74">
        <f t="shared" si="2"/>
        <v>10000</v>
      </c>
      <c r="N7545" s="74">
        <f t="shared" si="3"/>
        <v>40000</v>
      </c>
      <c r="O7545" s="65" t="str">
        <f>VLOOKUP(E7545,DATABASE!C:Q,8,false)</f>
        <v>BIAN</v>
      </c>
      <c r="P7545" s="65">
        <f>VLOOKUP(E7545,DATABASE!C:Q,9,False)</f>
        <v>0</v>
      </c>
      <c r="Q7545" s="93" t="str">
        <f>VLOOKUP(E7545,DATABASE!C:Q,4,false)</f>
        <v>Balancing</v>
      </c>
      <c r="R7545" s="93" t="str">
        <f>VLOOKUP(E7545,DATABASE!C:Q,11,false)</f>
        <v>COMPLEMENTARY</v>
      </c>
    </row>
    <row r="7546" ht="22.5" customHeight="1">
      <c r="A7546" s="49"/>
      <c r="C7546" s="400">
        <v>46098.0</v>
      </c>
      <c r="D7546" s="524">
        <v>695.0</v>
      </c>
      <c r="E7546" s="544" t="s">
        <v>262</v>
      </c>
      <c r="F7546" s="387">
        <v>1.0</v>
      </c>
      <c r="G7546" s="140">
        <v>130000.0</v>
      </c>
      <c r="H7546" s="74"/>
      <c r="I7546" s="74">
        <f t="shared" si="1"/>
        <v>130000</v>
      </c>
      <c r="J7546" s="74">
        <f>IF(E7546="SERVICE",I7546-(I7546*50%),Vlookup(E7546,DATABASE!C:Q,10,false)*F7546)</f>
        <v>5000</v>
      </c>
      <c r="K7546" s="74">
        <f>VLOOKUP(E7546,DATABASE!C:Q,7,false)</f>
        <v>0</v>
      </c>
      <c r="L7546" s="74">
        <v>0.0</v>
      </c>
      <c r="M7546" s="74">
        <f t="shared" si="2"/>
        <v>0</v>
      </c>
      <c r="N7546" s="74">
        <f t="shared" si="3"/>
        <v>125000</v>
      </c>
      <c r="O7546" s="65" t="str">
        <f>VLOOKUP(E7546,DATABASE!C:Q,8,false)</f>
        <v>IBU</v>
      </c>
      <c r="P7546" s="65">
        <f>VLOOKUP(E7546,DATABASE!C:Q,9,False)</f>
        <v>0</v>
      </c>
      <c r="Q7546" s="93" t="str">
        <f>VLOOKUP(E7546,DATABASE!C:Q,4,false)</f>
        <v>SPOORING SS/CARRY LOS BAK</v>
      </c>
      <c r="R7546" s="93" t="str">
        <f>VLOOKUP(E7546,DATABASE!C:Q,11,false)</f>
        <v>SERVICE</v>
      </c>
    </row>
    <row r="7547" ht="22.5" customHeight="1">
      <c r="A7547" s="49"/>
      <c r="C7547" s="400">
        <v>46098.0</v>
      </c>
      <c r="D7547" s="524">
        <v>696.0</v>
      </c>
      <c r="E7547" s="544" t="s">
        <v>275</v>
      </c>
      <c r="F7547" s="387">
        <v>4.0</v>
      </c>
      <c r="G7547" s="140">
        <v>830000.0</v>
      </c>
      <c r="H7547" s="74"/>
      <c r="I7547" s="74">
        <f t="shared" si="1"/>
        <v>3320000</v>
      </c>
      <c r="J7547" s="74">
        <f>IF(E7547="SERVICE",I7547-(I7547*50%),Vlookup(E7547,DATABASE!C:Q,10,false)*F7547)</f>
        <v>0</v>
      </c>
      <c r="K7547" s="74">
        <f>VLOOKUP(E7547,DATABASE!C:Q,7,false)</f>
        <v>782000</v>
      </c>
      <c r="L7547" s="74">
        <v>745000.0</v>
      </c>
      <c r="M7547" s="74">
        <f t="shared" si="2"/>
        <v>745000</v>
      </c>
      <c r="N7547" s="74">
        <f t="shared" si="3"/>
        <v>340000</v>
      </c>
      <c r="O7547" s="69" t="s">
        <v>1329</v>
      </c>
      <c r="P7547" s="69">
        <v>0.0</v>
      </c>
      <c r="Q7547" s="93" t="str">
        <f>VLOOKUP(E7547,DATABASE!C:Q,4,false)</f>
        <v>Dunlop</v>
      </c>
      <c r="R7547" s="93" t="str">
        <f>VLOOKUP(E7547,DATABASE!C:Q,11,false)</f>
        <v>Tire</v>
      </c>
    </row>
    <row r="7548" ht="22.5" customHeight="1">
      <c r="A7548" s="49"/>
      <c r="C7548" s="400">
        <v>46098.0</v>
      </c>
      <c r="D7548" s="524">
        <v>696.0</v>
      </c>
      <c r="E7548" s="544" t="s">
        <v>299</v>
      </c>
      <c r="F7548" s="387">
        <v>4.0</v>
      </c>
      <c r="G7548" s="140">
        <v>30000.0</v>
      </c>
      <c r="H7548" s="74"/>
      <c r="I7548" s="74">
        <f t="shared" si="1"/>
        <v>120000</v>
      </c>
      <c r="J7548" s="74">
        <f>IF(E7548="SERVICE",I7548-(I7548*50%),Vlookup(E7548,DATABASE!C:Q,10,false)*F7548)</f>
        <v>0</v>
      </c>
      <c r="K7548" s="74">
        <f>VLOOKUP(E7548,DATABASE!C:Q,7,false)</f>
        <v>10000</v>
      </c>
      <c r="L7548" s="74">
        <v>10000.0</v>
      </c>
      <c r="M7548" s="74">
        <f t="shared" si="2"/>
        <v>10000</v>
      </c>
      <c r="N7548" s="74">
        <f t="shared" si="3"/>
        <v>80000</v>
      </c>
      <c r="O7548" s="65" t="str">
        <f>VLOOKUP(E7548,DATABASE!C:Q,8,false)</f>
        <v>BIAN</v>
      </c>
      <c r="P7548" s="65">
        <f>VLOOKUP(E7548,DATABASE!C:Q,9,False)</f>
        <v>0</v>
      </c>
      <c r="Q7548" s="93" t="str">
        <f>VLOOKUP(E7548,DATABASE!C:Q,4,false)</f>
        <v>Balancing</v>
      </c>
      <c r="R7548" s="93" t="str">
        <f>VLOOKUP(E7548,DATABASE!C:Q,11,false)</f>
        <v>COMPLEMENTARY</v>
      </c>
    </row>
    <row r="7549" ht="22.5" customHeight="1">
      <c r="A7549" s="49"/>
      <c r="C7549" s="400">
        <v>46098.0</v>
      </c>
      <c r="D7549" s="524">
        <v>697.0</v>
      </c>
      <c r="E7549" s="544" t="s">
        <v>937</v>
      </c>
      <c r="F7549" s="387">
        <v>1.0</v>
      </c>
      <c r="G7549" s="140">
        <v>910000.0</v>
      </c>
      <c r="H7549" s="74"/>
      <c r="I7549" s="74">
        <f t="shared" si="1"/>
        <v>910000</v>
      </c>
      <c r="J7549" s="74">
        <f>IF(E7549="SERVICE",I7549-(I7549*50%),Vlookup(E7549,DATABASE!C:Q,10,false)*F7549)</f>
        <v>0</v>
      </c>
      <c r="K7549" s="74">
        <f>VLOOKUP(E7549,DATABASE!C:Q,7,false)</f>
        <v>825000</v>
      </c>
      <c r="L7549" s="74">
        <v>815000.0</v>
      </c>
      <c r="M7549" s="74">
        <f t="shared" si="2"/>
        <v>815000</v>
      </c>
      <c r="N7549" s="74">
        <f t="shared" si="3"/>
        <v>95000</v>
      </c>
      <c r="O7549" s="65" t="str">
        <f>VLOOKUP(E7549,DATABASE!C:Q,8,false)</f>
        <v>IBU</v>
      </c>
      <c r="P7549" s="65">
        <f>VLOOKUP(E7549,DATABASE!C:Q,9,False)</f>
        <v>1</v>
      </c>
      <c r="Q7549" s="93" t="str">
        <f>VLOOKUP(E7549,DATABASE!C:Q,4,false)</f>
        <v>Bridgestone</v>
      </c>
      <c r="R7549" s="93" t="str">
        <f>VLOOKUP(E7549,DATABASE!C:Q,11,false)</f>
        <v>Tire</v>
      </c>
    </row>
    <row r="7550" ht="22.5" customHeight="1">
      <c r="A7550" s="49"/>
      <c r="C7550" s="400">
        <v>46098.0</v>
      </c>
      <c r="D7550" s="524">
        <v>698.0</v>
      </c>
      <c r="E7550" s="544" t="s">
        <v>614</v>
      </c>
      <c r="F7550" s="387">
        <v>1.0</v>
      </c>
      <c r="G7550" s="140">
        <v>820000.0</v>
      </c>
      <c r="H7550" s="74"/>
      <c r="I7550" s="74">
        <f t="shared" si="1"/>
        <v>820000</v>
      </c>
      <c r="J7550" s="74">
        <f>IF(E7550="SERVICE",I7550-(I7550*50%),Vlookup(E7550,DATABASE!C:Q,10,false)*F7550)</f>
        <v>0</v>
      </c>
      <c r="K7550" s="74">
        <f>VLOOKUP(E7550,DATABASE!C:Q,7,false)</f>
        <v>754660.6</v>
      </c>
      <c r="L7550" s="74">
        <v>727756.0</v>
      </c>
      <c r="M7550" s="74">
        <f t="shared" si="2"/>
        <v>730000</v>
      </c>
      <c r="N7550" s="74">
        <f t="shared" si="3"/>
        <v>90000</v>
      </c>
      <c r="O7550" s="65" t="str">
        <f>VLOOKUP(E7550,DATABASE!C:Q,8,false)</f>
        <v>IBU</v>
      </c>
      <c r="P7550" s="65">
        <f>VLOOKUP(E7550,DATABASE!C:Q,9,False)</f>
        <v>1</v>
      </c>
      <c r="Q7550" s="93" t="str">
        <f>VLOOKUP(E7550,DATABASE!C:Q,4,false)</f>
        <v>Bridgestone</v>
      </c>
      <c r="R7550" s="93" t="str">
        <f>VLOOKUP(E7550,DATABASE!C:Q,11,false)</f>
        <v>Tire</v>
      </c>
    </row>
    <row r="7551" ht="22.5" customHeight="1">
      <c r="A7551" s="49"/>
      <c r="C7551" s="400">
        <v>46098.0</v>
      </c>
      <c r="D7551" s="524">
        <v>699.0</v>
      </c>
      <c r="E7551" s="544" t="s">
        <v>1944</v>
      </c>
      <c r="F7551" s="387">
        <v>1.0</v>
      </c>
      <c r="G7551" s="140">
        <v>810000.0</v>
      </c>
      <c r="H7551" s="74"/>
      <c r="I7551" s="74">
        <f t="shared" si="1"/>
        <v>810000</v>
      </c>
      <c r="J7551" s="74">
        <f>IF(E7551="SERVICE",I7551-(I7551*50%),Vlookup(E7551,DATABASE!C:Q,10,false)*F7551)</f>
        <v>0</v>
      </c>
      <c r="K7551" s="74">
        <f>VLOOKUP(E7551,DATABASE!C:Q,7,false)</f>
        <v>690000</v>
      </c>
      <c r="L7551" s="74">
        <v>690000.0</v>
      </c>
      <c r="M7551" s="74">
        <f t="shared" si="2"/>
        <v>690000</v>
      </c>
      <c r="N7551" s="74">
        <f t="shared" si="3"/>
        <v>120000</v>
      </c>
      <c r="O7551" s="65" t="str">
        <f>VLOOKUP(E7551,DATABASE!C:Q,8,false)</f>
        <v>BIAN</v>
      </c>
      <c r="P7551" s="65">
        <f>VLOOKUP(E7551,DATABASE!C:Q,9,False)</f>
        <v>1</v>
      </c>
      <c r="Q7551" s="93" t="str">
        <f>VLOOKUP(E7551,DATABASE!C:Q,4,false)</f>
        <v>GT</v>
      </c>
      <c r="R7551" s="93" t="str">
        <f>VLOOKUP(E7551,DATABASE!C:Q,11,false)</f>
        <v>Tire</v>
      </c>
    </row>
    <row r="7552" ht="22.5" customHeight="1">
      <c r="A7552" s="49"/>
      <c r="C7552" s="400">
        <v>46098.0</v>
      </c>
      <c r="D7552" s="524">
        <v>700.0</v>
      </c>
      <c r="E7552" s="544" t="s">
        <v>286</v>
      </c>
      <c r="F7552" s="387">
        <v>1.0</v>
      </c>
      <c r="G7552" s="140">
        <v>560000.0</v>
      </c>
      <c r="H7552" s="140">
        <v>10000.0</v>
      </c>
      <c r="I7552" s="74">
        <f t="shared" si="1"/>
        <v>550000</v>
      </c>
      <c r="J7552" s="74">
        <f>IF(E7552="SERVICE",I7552-(I7552*50%),Vlookup(E7552,DATABASE!C:Q,10,false)*F7552)</f>
        <v>0</v>
      </c>
      <c r="K7552" s="74">
        <f>VLOOKUP(E7552,DATABASE!C:Q,7,false)</f>
        <v>488320</v>
      </c>
      <c r="L7552" s="74">
        <v>452970.0</v>
      </c>
      <c r="M7552" s="74">
        <f t="shared" si="2"/>
        <v>455000</v>
      </c>
      <c r="N7552" s="74">
        <f t="shared" si="3"/>
        <v>95000</v>
      </c>
      <c r="O7552" s="65" t="str">
        <f>VLOOKUP(E7552,DATABASE!C:Q,8,false)</f>
        <v>BIAN</v>
      </c>
      <c r="P7552" s="65">
        <f>VLOOKUP(E7552,DATABASE!C:Q,9,False)</f>
        <v>1</v>
      </c>
      <c r="Q7552" s="93" t="str">
        <f>VLOOKUP(E7552,DATABASE!C:Q,4,false)</f>
        <v>GT</v>
      </c>
      <c r="R7552" s="93" t="str">
        <f>VLOOKUP(E7552,DATABASE!C:Q,11,false)</f>
        <v>Tire</v>
      </c>
    </row>
    <row r="7553" ht="22.5" customHeight="1">
      <c r="A7553" s="49"/>
      <c r="C7553" s="400">
        <v>46098.0</v>
      </c>
      <c r="D7553" s="524">
        <v>701.0</v>
      </c>
      <c r="E7553" s="544" t="s">
        <v>839</v>
      </c>
      <c r="F7553" s="387">
        <v>1.0</v>
      </c>
      <c r="G7553" s="140">
        <v>565000.0</v>
      </c>
      <c r="H7553" s="74"/>
      <c r="I7553" s="74">
        <f t="shared" si="1"/>
        <v>565000</v>
      </c>
      <c r="J7553" s="74">
        <f>IF(E7553="SERVICE",I7553-(I7553*50%),Vlookup(E7553,DATABASE!C:Q,10,false)*F7553)</f>
        <v>0</v>
      </c>
      <c r="K7553" s="74">
        <f>VLOOKUP(E7553,DATABASE!C:Q,7,false)</f>
        <v>512640</v>
      </c>
      <c r="L7553" s="74">
        <v>475700.0</v>
      </c>
      <c r="M7553" s="74">
        <f t="shared" si="2"/>
        <v>480000</v>
      </c>
      <c r="N7553" s="74">
        <f t="shared" si="3"/>
        <v>85000</v>
      </c>
      <c r="O7553" s="65" t="str">
        <f>VLOOKUP(E7553,DATABASE!C:Q,8,false)</f>
        <v>BIAN</v>
      </c>
      <c r="P7553" s="65">
        <f>VLOOKUP(E7553,DATABASE!C:Q,9,False)</f>
        <v>1</v>
      </c>
      <c r="Q7553" s="93" t="str">
        <f>VLOOKUP(E7553,DATABASE!C:Q,4,false)</f>
        <v>GT</v>
      </c>
      <c r="R7553" s="93" t="str">
        <f>VLOOKUP(E7553,DATABASE!C:Q,11,false)</f>
        <v>Tire</v>
      </c>
    </row>
    <row r="7554" ht="22.5" customHeight="1">
      <c r="A7554" s="49"/>
      <c r="C7554" s="400">
        <v>46098.0</v>
      </c>
      <c r="D7554" s="524">
        <v>702.0</v>
      </c>
      <c r="E7554" s="544" t="s">
        <v>695</v>
      </c>
      <c r="F7554" s="387">
        <v>1.0</v>
      </c>
      <c r="G7554" s="140">
        <v>670000.0</v>
      </c>
      <c r="H7554" s="140">
        <v>10000.0</v>
      </c>
      <c r="I7554" s="74">
        <f t="shared" si="1"/>
        <v>660000</v>
      </c>
      <c r="J7554" s="74">
        <f>IF(E7554="SERVICE",I7554-(I7554*50%),Vlookup(E7554,DATABASE!C:Q,10,false)*F7554)</f>
        <v>0</v>
      </c>
      <c r="K7554" s="74">
        <f>VLOOKUP(E7554,DATABASE!C:Q,7,false)</f>
        <v>582000</v>
      </c>
      <c r="L7554" s="74">
        <v>570000.0</v>
      </c>
      <c r="M7554" s="74">
        <f t="shared" si="2"/>
        <v>570000</v>
      </c>
      <c r="N7554" s="74">
        <f t="shared" si="3"/>
        <v>90000</v>
      </c>
      <c r="O7554" s="65" t="str">
        <f>VLOOKUP(E7554,DATABASE!C:Q,8,false)</f>
        <v>IBU</v>
      </c>
      <c r="P7554" s="65">
        <f>VLOOKUP(E7554,DATABASE!C:Q,9,False)</f>
        <v>1</v>
      </c>
      <c r="Q7554" s="93" t="str">
        <f>VLOOKUP(E7554,DATABASE!C:Q,4,false)</f>
        <v>Dunlop</v>
      </c>
      <c r="R7554" s="93" t="str">
        <f>VLOOKUP(E7554,DATABASE!C:Q,11,false)</f>
        <v>Tire</v>
      </c>
    </row>
    <row r="7555" ht="22.5" customHeight="1">
      <c r="A7555" s="49"/>
      <c r="C7555" s="400">
        <v>46098.0</v>
      </c>
      <c r="D7555" s="524">
        <v>703.0</v>
      </c>
      <c r="E7555" s="544" t="s">
        <v>600</v>
      </c>
      <c r="F7555" s="387">
        <v>4.0</v>
      </c>
      <c r="G7555" s="140">
        <v>680000.0</v>
      </c>
      <c r="H7555" s="74"/>
      <c r="I7555" s="74">
        <f t="shared" si="1"/>
        <v>2720000</v>
      </c>
      <c r="J7555" s="74">
        <f>IF(E7555="SERVICE",I7555-(I7555*50%),Vlookup(E7555,DATABASE!C:Q,10,false)*F7555)</f>
        <v>0</v>
      </c>
      <c r="K7555" s="74">
        <f>VLOOKUP(E7555,DATABASE!C:Q,7,false)</f>
        <v>611109.16</v>
      </c>
      <c r="L7555" s="74">
        <v>588505.8</v>
      </c>
      <c r="M7555" s="74">
        <f t="shared" si="2"/>
        <v>590000</v>
      </c>
      <c r="N7555" s="74">
        <f t="shared" si="3"/>
        <v>360000</v>
      </c>
      <c r="O7555" s="65" t="str">
        <f>VLOOKUP(E7555,DATABASE!C:Q,8,false)</f>
        <v>IBU</v>
      </c>
      <c r="P7555" s="65">
        <f>VLOOKUP(E7555,DATABASE!C:Q,9,False)</f>
        <v>1</v>
      </c>
      <c r="Q7555" s="93" t="str">
        <f>VLOOKUP(E7555,DATABASE!C:Q,4,false)</f>
        <v>Bridgestone</v>
      </c>
      <c r="R7555" s="93" t="str">
        <f>VLOOKUP(E7555,DATABASE!C:Q,11,false)</f>
        <v>Tire</v>
      </c>
    </row>
    <row r="7556" ht="22.5" customHeight="1">
      <c r="A7556" s="49"/>
      <c r="C7556" s="400">
        <v>46098.0</v>
      </c>
      <c r="D7556" s="524">
        <v>703.0</v>
      </c>
      <c r="E7556" s="544" t="s">
        <v>299</v>
      </c>
      <c r="F7556" s="387">
        <v>2.0</v>
      </c>
      <c r="G7556" s="140">
        <v>30000.0</v>
      </c>
      <c r="H7556" s="74"/>
      <c r="I7556" s="74">
        <f t="shared" si="1"/>
        <v>60000</v>
      </c>
      <c r="J7556" s="74">
        <f>IF(E7556="SERVICE",I7556-(I7556*50%),Vlookup(E7556,DATABASE!C:Q,10,false)*F7556)</f>
        <v>0</v>
      </c>
      <c r="K7556" s="74">
        <f>VLOOKUP(E7556,DATABASE!C:Q,7,false)</f>
        <v>10000</v>
      </c>
      <c r="L7556" s="74">
        <v>10000.0</v>
      </c>
      <c r="M7556" s="74">
        <f t="shared" si="2"/>
        <v>10000</v>
      </c>
      <c r="N7556" s="74">
        <f t="shared" si="3"/>
        <v>40000</v>
      </c>
      <c r="O7556" s="65" t="str">
        <f>VLOOKUP(E7556,DATABASE!C:Q,8,false)</f>
        <v>BIAN</v>
      </c>
      <c r="P7556" s="65">
        <f>VLOOKUP(E7556,DATABASE!C:Q,9,False)</f>
        <v>0</v>
      </c>
      <c r="Q7556" s="93" t="str">
        <f>VLOOKUP(E7556,DATABASE!C:Q,4,false)</f>
        <v>Balancing</v>
      </c>
      <c r="R7556" s="93" t="str">
        <f>VLOOKUP(E7556,DATABASE!C:Q,11,false)</f>
        <v>COMPLEMENTARY</v>
      </c>
    </row>
    <row r="7557" ht="22.5" customHeight="1">
      <c r="A7557" s="49"/>
      <c r="C7557" s="400">
        <v>46098.0</v>
      </c>
      <c r="D7557" s="524">
        <v>703.0</v>
      </c>
      <c r="E7557" s="544" t="s">
        <v>256</v>
      </c>
      <c r="F7557" s="387">
        <v>1.0</v>
      </c>
      <c r="G7557" s="140">
        <v>175000.0</v>
      </c>
      <c r="H7557" s="140">
        <v>25000.0</v>
      </c>
      <c r="I7557" s="74">
        <f t="shared" si="1"/>
        <v>150000</v>
      </c>
      <c r="J7557" s="74">
        <f>IF(E7557="SERVICE",I7557-(I7557*50%),Vlookup(E7557,DATABASE!C:Q,10,false)*F7557)</f>
        <v>10000</v>
      </c>
      <c r="K7557" s="74">
        <f>VLOOKUP(E7557,DATABASE!C:Q,7,false)</f>
        <v>0</v>
      </c>
      <c r="L7557" s="74">
        <v>0.0</v>
      </c>
      <c r="M7557" s="74">
        <f t="shared" si="2"/>
        <v>0</v>
      </c>
      <c r="N7557" s="74">
        <f t="shared" si="3"/>
        <v>140000</v>
      </c>
      <c r="O7557" s="65" t="str">
        <f>VLOOKUP(E7557,DATABASE!C:Q,8,false)</f>
        <v>IBU</v>
      </c>
      <c r="P7557" s="65">
        <f>VLOOKUP(E7557,DATABASE!C:Q,9,False)</f>
        <v>0</v>
      </c>
      <c r="Q7557" s="93" t="str">
        <f>VLOOKUP(E7557,DATABASE!C:Q,4,false)</f>
        <v>SPOORING</v>
      </c>
      <c r="R7557" s="93" t="str">
        <f>VLOOKUP(E7557,DATABASE!C:Q,11,false)</f>
        <v>SERVICE</v>
      </c>
    </row>
    <row r="7558" ht="22.5" customHeight="1">
      <c r="A7558" s="49"/>
      <c r="C7558" s="400">
        <v>46098.0</v>
      </c>
      <c r="D7558" s="524">
        <v>704.0</v>
      </c>
      <c r="E7558" s="544" t="s">
        <v>301</v>
      </c>
      <c r="F7558" s="387">
        <v>1.0</v>
      </c>
      <c r="G7558" s="140">
        <v>250000.0</v>
      </c>
      <c r="H7558" s="74"/>
      <c r="I7558" s="74">
        <f t="shared" si="1"/>
        <v>250000</v>
      </c>
      <c r="J7558" s="74">
        <f>IF(E7558="SERVICE",I7558-(I7558*50%),Vlookup(E7558,DATABASE!C:Q,10,false)*F7558)</f>
        <v>75000</v>
      </c>
      <c r="K7558" s="74">
        <f>VLOOKUP(E7558,DATABASE!C:Q,7,false)</f>
        <v>75000</v>
      </c>
      <c r="L7558" s="74">
        <v>75000.0</v>
      </c>
      <c r="M7558" s="74">
        <f t="shared" si="2"/>
        <v>75000</v>
      </c>
      <c r="N7558" s="74">
        <f t="shared" si="3"/>
        <v>100000</v>
      </c>
      <c r="O7558" s="65" t="str">
        <f>VLOOKUP(E7558,DATABASE!C:Q,8,false)</f>
        <v>BIAN</v>
      </c>
      <c r="P7558" s="65">
        <f>VLOOKUP(E7558,DATABASE!C:Q,9,False)</f>
        <v>0</v>
      </c>
      <c r="Q7558" s="93" t="str">
        <f>VLOOKUP(E7558,DATABASE!C:Q,4,false)</f>
        <v>Baut Camber</v>
      </c>
      <c r="R7558" s="93" t="str">
        <f>VLOOKUP(E7558,DATABASE!C:Q,11,false)</f>
        <v>COMPLEMENTARY</v>
      </c>
    </row>
    <row r="7559" ht="22.5" customHeight="1">
      <c r="A7559" s="49"/>
      <c r="C7559" s="400">
        <v>46098.0</v>
      </c>
      <c r="D7559" s="524">
        <v>706.0</v>
      </c>
      <c r="E7559" s="544" t="s">
        <v>2140</v>
      </c>
      <c r="F7559" s="387">
        <v>1.0</v>
      </c>
      <c r="G7559" s="140">
        <v>35000.0</v>
      </c>
      <c r="H7559" s="74"/>
      <c r="I7559" s="74">
        <f t="shared" si="1"/>
        <v>35000</v>
      </c>
      <c r="J7559" s="74">
        <f>IF(E7559="SERVICE",I7559-(I7559*50%),Vlookup(E7559,DATABASE!C:Q,10,false)*F7559)</f>
        <v>0</v>
      </c>
      <c r="K7559" s="74">
        <f>VLOOKUP(E7559,DATABASE!C:Q,7,false)</f>
        <v>5000</v>
      </c>
      <c r="L7559" s="74">
        <v>0.0</v>
      </c>
      <c r="M7559" s="74">
        <f t="shared" si="2"/>
        <v>0</v>
      </c>
      <c r="N7559" s="74">
        <f t="shared" si="3"/>
        <v>35000</v>
      </c>
      <c r="O7559" s="65" t="str">
        <f>VLOOKUP(E7559,DATABASE!C:Q,8,false)</f>
        <v>IBU</v>
      </c>
      <c r="P7559" s="65">
        <f>VLOOKUP(E7559,DATABASE!C:Q,9,False)</f>
        <v>0</v>
      </c>
      <c r="Q7559" s="93" t="str">
        <f>VLOOKUP(E7559,DATABASE!C:Q,4,false)</f>
        <v>PENTIL + PASANG</v>
      </c>
      <c r="R7559" s="93" t="str">
        <f>VLOOKUP(E7559,DATABASE!C:Q,11,false)</f>
        <v>COMPLEMENTARY</v>
      </c>
    </row>
    <row r="7560" ht="22.5" customHeight="1">
      <c r="A7560" s="49"/>
      <c r="C7560" s="400">
        <v>46098.0</v>
      </c>
      <c r="D7560" s="524">
        <v>707.0</v>
      </c>
      <c r="E7560" s="544" t="s">
        <v>1960</v>
      </c>
      <c r="F7560" s="387">
        <v>2.0</v>
      </c>
      <c r="G7560" s="140">
        <v>910000.0</v>
      </c>
      <c r="H7560" s="74"/>
      <c r="I7560" s="74">
        <f t="shared" si="1"/>
        <v>1820000</v>
      </c>
      <c r="J7560" s="74">
        <f>IF(E7560="SERVICE",I7560-(I7560*50%),Vlookup(E7560,DATABASE!C:Q,10,false)*F7560)</f>
        <v>0</v>
      </c>
      <c r="K7560" s="74">
        <f>VLOOKUP(E7560,DATABASE!C:Q,7,false)</f>
        <v>808300</v>
      </c>
      <c r="L7560" s="74">
        <v>808300.0</v>
      </c>
      <c r="M7560" s="74">
        <f t="shared" si="2"/>
        <v>810000</v>
      </c>
      <c r="N7560" s="74">
        <f t="shared" si="3"/>
        <v>200000</v>
      </c>
      <c r="O7560" s="65" t="str">
        <f>VLOOKUP(E7560,DATABASE!C:Q,8,false)</f>
        <v>BIAN</v>
      </c>
      <c r="P7560" s="65">
        <f>VLOOKUP(E7560,DATABASE!C:Q,9,False)</f>
        <v>1</v>
      </c>
      <c r="Q7560" s="93" t="str">
        <f>VLOOKUP(E7560,DATABASE!C:Q,4,false)</f>
        <v>GT</v>
      </c>
      <c r="R7560" s="93" t="str">
        <f>VLOOKUP(E7560,DATABASE!C:Q,11,false)</f>
        <v>Tire</v>
      </c>
    </row>
    <row r="7561" ht="22.5" customHeight="1">
      <c r="A7561" s="49"/>
      <c r="C7561" s="400">
        <v>46098.0</v>
      </c>
      <c r="D7561" s="524">
        <v>708.0</v>
      </c>
      <c r="E7561" s="544" t="s">
        <v>1361</v>
      </c>
      <c r="F7561" s="387">
        <v>1.0</v>
      </c>
      <c r="G7561" s="140">
        <v>960000.0</v>
      </c>
      <c r="H7561" s="74"/>
      <c r="I7561" s="74">
        <f t="shared" si="1"/>
        <v>960000</v>
      </c>
      <c r="J7561" s="74">
        <f>IF(E7561="SERVICE",I7561-(I7561*50%),Vlookup(E7561,DATABASE!C:Q,10,false)*F7561)</f>
        <v>0</v>
      </c>
      <c r="K7561" s="74">
        <f>VLOOKUP(E7561,DATABASE!C:Q,7,false)</f>
        <v>881000</v>
      </c>
      <c r="L7561" s="74">
        <v>863000.0</v>
      </c>
      <c r="M7561" s="74">
        <f t="shared" si="2"/>
        <v>865000</v>
      </c>
      <c r="N7561" s="74">
        <f t="shared" si="3"/>
        <v>95000</v>
      </c>
      <c r="O7561" s="65" t="str">
        <f>VLOOKUP(E7561,DATABASE!C:Q,8,false)</f>
        <v>IBU</v>
      </c>
      <c r="P7561" s="65">
        <f>VLOOKUP(E7561,DATABASE!C:Q,9,False)</f>
        <v>1</v>
      </c>
      <c r="Q7561" s="93" t="str">
        <f>VLOOKUP(E7561,DATABASE!C:Q,4,false)</f>
        <v>Dunlop</v>
      </c>
      <c r="R7561" s="93" t="str">
        <f>VLOOKUP(E7561,DATABASE!C:Q,11,false)</f>
        <v>Tire</v>
      </c>
    </row>
    <row r="7562" ht="22.5" customHeight="1">
      <c r="A7562" s="49"/>
      <c r="C7562" s="400">
        <v>46098.0</v>
      </c>
      <c r="D7562" s="524">
        <v>709.0</v>
      </c>
      <c r="E7562" s="544" t="s">
        <v>256</v>
      </c>
      <c r="F7562" s="387">
        <v>1.0</v>
      </c>
      <c r="G7562" s="140">
        <v>175000.0</v>
      </c>
      <c r="H7562" s="140">
        <v>25000.0</v>
      </c>
      <c r="I7562" s="74">
        <f t="shared" si="1"/>
        <v>150000</v>
      </c>
      <c r="J7562" s="74">
        <f>IF(E7562="SERVICE",I7562-(I7562*50%),Vlookup(E7562,DATABASE!C:Q,10,false)*F7562)</f>
        <v>10000</v>
      </c>
      <c r="K7562" s="74">
        <f>VLOOKUP(E7562,DATABASE!C:Q,7,false)</f>
        <v>0</v>
      </c>
      <c r="L7562" s="74">
        <v>0.0</v>
      </c>
      <c r="M7562" s="74">
        <f t="shared" si="2"/>
        <v>0</v>
      </c>
      <c r="N7562" s="74">
        <f t="shared" si="3"/>
        <v>140000</v>
      </c>
      <c r="O7562" s="65" t="str">
        <f>VLOOKUP(E7562,DATABASE!C:Q,8,false)</f>
        <v>IBU</v>
      </c>
      <c r="P7562" s="65">
        <f>VLOOKUP(E7562,DATABASE!C:Q,9,False)</f>
        <v>0</v>
      </c>
      <c r="Q7562" s="93" t="str">
        <f>VLOOKUP(E7562,DATABASE!C:Q,4,false)</f>
        <v>SPOORING</v>
      </c>
      <c r="R7562" s="93" t="str">
        <f>VLOOKUP(E7562,DATABASE!C:Q,11,false)</f>
        <v>SERVICE</v>
      </c>
    </row>
    <row r="7563" ht="22.5" customHeight="1">
      <c r="A7563" s="49"/>
      <c r="C7563" s="400">
        <v>46098.0</v>
      </c>
      <c r="D7563" s="524">
        <v>710.0</v>
      </c>
      <c r="E7563" s="544" t="s">
        <v>1565</v>
      </c>
      <c r="F7563" s="387">
        <v>2.0</v>
      </c>
      <c r="G7563" s="140">
        <v>1400000.0</v>
      </c>
      <c r="H7563" s="74"/>
      <c r="I7563" s="74">
        <f t="shared" si="1"/>
        <v>2800000</v>
      </c>
      <c r="J7563" s="74">
        <f>IF(E7563="SERVICE",I7563-(I7563*50%),Vlookup(E7563,DATABASE!C:Q,10,false)*F7563)</f>
        <v>0</v>
      </c>
      <c r="K7563" s="74">
        <f>VLOOKUP(E7563,DATABASE!C:Q,7,false)</f>
        <v>1292000</v>
      </c>
      <c r="L7563" s="74">
        <v>1292000.0</v>
      </c>
      <c r="M7563" s="74">
        <f t="shared" si="2"/>
        <v>1295000</v>
      </c>
      <c r="N7563" s="74">
        <f t="shared" si="3"/>
        <v>210000</v>
      </c>
      <c r="O7563" s="65" t="str">
        <f>VLOOKUP(E7563,DATABASE!C:Q,8,false)</f>
        <v>IBU</v>
      </c>
      <c r="P7563" s="65">
        <f>VLOOKUP(E7563,DATABASE!C:Q,9,False)</f>
        <v>1</v>
      </c>
      <c r="Q7563" s="93" t="str">
        <f>VLOOKUP(E7563,DATABASE!C:Q,4,false)</f>
        <v>Dunlop</v>
      </c>
      <c r="R7563" s="93" t="str">
        <f>VLOOKUP(E7563,DATABASE!C:Q,11,false)</f>
        <v>Tire</v>
      </c>
    </row>
    <row r="7564" ht="22.5" customHeight="1">
      <c r="A7564" s="49"/>
      <c r="C7564" s="400">
        <v>46098.0</v>
      </c>
      <c r="D7564" s="524">
        <v>711.0</v>
      </c>
      <c r="E7564" s="544" t="s">
        <v>1940</v>
      </c>
      <c r="F7564" s="387">
        <v>2.0</v>
      </c>
      <c r="G7564" s="140">
        <v>820000.0</v>
      </c>
      <c r="H7564" s="74"/>
      <c r="I7564" s="74">
        <f t="shared" si="1"/>
        <v>1640000</v>
      </c>
      <c r="J7564" s="74">
        <f>IF(E7564="SERVICE",I7564-(I7564*50%),Vlookup(E7564,DATABASE!C:Q,10,false)*F7564)</f>
        <v>0</v>
      </c>
      <c r="K7564" s="74">
        <f>VLOOKUP(E7564,DATABASE!C:Q,7,false)</f>
        <v>775500</v>
      </c>
      <c r="L7564" s="74">
        <v>716900.0</v>
      </c>
      <c r="M7564" s="74">
        <f t="shared" si="2"/>
        <v>720000</v>
      </c>
      <c r="N7564" s="74">
        <f t="shared" si="3"/>
        <v>200000</v>
      </c>
      <c r="O7564" s="65" t="str">
        <f>VLOOKUP(E7564,DATABASE!C:Q,8,false)</f>
        <v>BIAN</v>
      </c>
      <c r="P7564" s="65">
        <f>VLOOKUP(E7564,DATABASE!C:Q,9,False)</f>
        <v>1</v>
      </c>
      <c r="Q7564" s="93" t="str">
        <f>VLOOKUP(E7564,DATABASE!C:Q,4,false)</f>
        <v>GT</v>
      </c>
      <c r="R7564" s="93" t="str">
        <f>VLOOKUP(E7564,DATABASE!C:Q,11,false)</f>
        <v>Tire</v>
      </c>
    </row>
    <row r="7565" ht="22.5" customHeight="1">
      <c r="A7565" s="49"/>
      <c r="C7565" s="400">
        <v>46098.0</v>
      </c>
      <c r="D7565" s="524">
        <v>712.0</v>
      </c>
      <c r="E7565" s="544" t="s">
        <v>932</v>
      </c>
      <c r="F7565" s="387">
        <v>2.0</v>
      </c>
      <c r="G7565" s="140">
        <v>680000.0</v>
      </c>
      <c r="H7565" s="74"/>
      <c r="I7565" s="74">
        <f t="shared" si="1"/>
        <v>1360000</v>
      </c>
      <c r="J7565" s="74">
        <f>IF(E7565="SERVICE",I7565-(I7565*50%),Vlookup(E7565,DATABASE!C:Q,10,false)*F7565)</f>
        <v>0</v>
      </c>
      <c r="K7565" s="74">
        <f>VLOOKUP(E7565,DATABASE!C:Q,7,false)</f>
        <v>601000</v>
      </c>
      <c r="L7565" s="74">
        <v>595000.0</v>
      </c>
      <c r="M7565" s="74">
        <f t="shared" si="2"/>
        <v>595000</v>
      </c>
      <c r="N7565" s="74">
        <f t="shared" si="3"/>
        <v>170000</v>
      </c>
      <c r="O7565" s="65" t="str">
        <f>VLOOKUP(E7565,DATABASE!C:Q,8,false)</f>
        <v>IBU</v>
      </c>
      <c r="P7565" s="65">
        <f>VLOOKUP(E7565,DATABASE!C:Q,9,False)</f>
        <v>1</v>
      </c>
      <c r="Q7565" s="93" t="str">
        <f>VLOOKUP(E7565,DATABASE!C:Q,4,false)</f>
        <v>Dunlop</v>
      </c>
      <c r="R7565" s="93" t="str">
        <f>VLOOKUP(E7565,DATABASE!C:Q,11,false)</f>
        <v>Tire</v>
      </c>
    </row>
    <row r="7566" ht="22.5" customHeight="1">
      <c r="A7566" s="49"/>
      <c r="C7566" s="400">
        <v>46098.0</v>
      </c>
      <c r="D7566" s="524">
        <v>714.0</v>
      </c>
      <c r="E7566" s="544" t="s">
        <v>839</v>
      </c>
      <c r="F7566" s="387">
        <v>2.0</v>
      </c>
      <c r="G7566" s="140">
        <v>565000.0</v>
      </c>
      <c r="H7566" s="74"/>
      <c r="I7566" s="74">
        <f t="shared" si="1"/>
        <v>1130000</v>
      </c>
      <c r="J7566" s="74">
        <f>IF(E7566="SERVICE",I7566-(I7566*50%),Vlookup(E7566,DATABASE!C:Q,10,false)*F7566)</f>
        <v>0</v>
      </c>
      <c r="K7566" s="74">
        <f>VLOOKUP(E7566,DATABASE!C:Q,7,false)</f>
        <v>512640</v>
      </c>
      <c r="L7566" s="74">
        <v>475700.0</v>
      </c>
      <c r="M7566" s="74">
        <f t="shared" si="2"/>
        <v>480000</v>
      </c>
      <c r="N7566" s="74">
        <f t="shared" si="3"/>
        <v>170000</v>
      </c>
      <c r="O7566" s="65" t="str">
        <f>VLOOKUP(E7566,DATABASE!C:Q,8,false)</f>
        <v>BIAN</v>
      </c>
      <c r="P7566" s="65">
        <f>VLOOKUP(E7566,DATABASE!C:Q,9,False)</f>
        <v>1</v>
      </c>
      <c r="Q7566" s="93" t="str">
        <f>VLOOKUP(E7566,DATABASE!C:Q,4,false)</f>
        <v>GT</v>
      </c>
      <c r="R7566" s="93" t="str">
        <f>VLOOKUP(E7566,DATABASE!C:Q,11,false)</f>
        <v>Tire</v>
      </c>
    </row>
    <row r="7567" ht="22.5" customHeight="1">
      <c r="A7567" s="49"/>
      <c r="C7567" s="400">
        <v>46098.0</v>
      </c>
      <c r="D7567" s="524">
        <v>715.0</v>
      </c>
      <c r="E7567" s="544" t="s">
        <v>256</v>
      </c>
      <c r="F7567" s="387">
        <v>1.0</v>
      </c>
      <c r="G7567" s="140">
        <v>175000.0</v>
      </c>
      <c r="H7567" s="140">
        <v>25000.0</v>
      </c>
      <c r="I7567" s="74">
        <f t="shared" si="1"/>
        <v>150000</v>
      </c>
      <c r="J7567" s="74">
        <f>IF(E7567="SERVICE",I7567-(I7567*50%),Vlookup(E7567,DATABASE!C:Q,10,false)*F7567)</f>
        <v>10000</v>
      </c>
      <c r="K7567" s="74">
        <f>VLOOKUP(E7567,DATABASE!C:Q,7,false)</f>
        <v>0</v>
      </c>
      <c r="L7567" s="74">
        <v>0.0</v>
      </c>
      <c r="M7567" s="74">
        <f t="shared" si="2"/>
        <v>0</v>
      </c>
      <c r="N7567" s="74">
        <f t="shared" si="3"/>
        <v>140000</v>
      </c>
      <c r="O7567" s="65" t="str">
        <f>VLOOKUP(E7567,DATABASE!C:Q,8,false)</f>
        <v>IBU</v>
      </c>
      <c r="P7567" s="65">
        <f>VLOOKUP(E7567,DATABASE!C:Q,9,False)</f>
        <v>0</v>
      </c>
      <c r="Q7567" s="93" t="str">
        <f>VLOOKUP(E7567,DATABASE!C:Q,4,false)</f>
        <v>SPOORING</v>
      </c>
      <c r="R7567" s="93" t="str">
        <f>VLOOKUP(E7567,DATABASE!C:Q,11,false)</f>
        <v>SERVICE</v>
      </c>
    </row>
    <row r="7568" ht="22.5" customHeight="1">
      <c r="A7568" s="49"/>
      <c r="C7568" s="400">
        <v>46098.0</v>
      </c>
      <c r="D7568" s="69" t="s">
        <v>2740</v>
      </c>
      <c r="E7568" s="544" t="s">
        <v>248</v>
      </c>
      <c r="F7568" s="387">
        <v>1.0</v>
      </c>
      <c r="G7568" s="140">
        <v>190000.0</v>
      </c>
      <c r="H7568" s="74"/>
      <c r="I7568" s="74">
        <f t="shared" si="1"/>
        <v>190000</v>
      </c>
      <c r="J7568" s="74">
        <f>IF(E7568="SERVICE",I7568-(I7568*50%),Vlookup(E7568,DATABASE!C:Q,10,false)*F7568)</f>
        <v>0</v>
      </c>
      <c r="K7568" s="74">
        <f>VLOOKUP(E7568,DATABASE!C:Q,7,false)</f>
        <v>209816.66</v>
      </c>
      <c r="L7568" s="74">
        <v>160833.0</v>
      </c>
      <c r="M7568" s="74">
        <f t="shared" si="2"/>
        <v>165000</v>
      </c>
      <c r="N7568" s="74">
        <f t="shared" si="3"/>
        <v>25000</v>
      </c>
      <c r="O7568" s="65" t="str">
        <f>VLOOKUP(E7568,DATABASE!C:Q,8,false)</f>
        <v>NON</v>
      </c>
      <c r="P7568" s="65">
        <f>VLOOKUP(E7568,DATABASE!C:Q,9,False)</f>
        <v>0</v>
      </c>
      <c r="Q7568" s="93" t="str">
        <f>VLOOKUP(E7568,DATABASE!C:Q,4,false)</f>
        <v>Pertamina</v>
      </c>
      <c r="R7568" s="93" t="str">
        <f>VLOOKUP(E7568,DATABASE!C:Q,11,false)</f>
        <v>OIL</v>
      </c>
    </row>
    <row r="7569" ht="22.5" customHeight="1">
      <c r="A7569" s="49"/>
      <c r="C7569" s="400">
        <v>46098.0</v>
      </c>
      <c r="D7569" s="69" t="s">
        <v>2740</v>
      </c>
      <c r="E7569" s="544" t="s">
        <v>1342</v>
      </c>
      <c r="F7569" s="387">
        <v>2.0</v>
      </c>
      <c r="G7569" s="140">
        <v>390000.0</v>
      </c>
      <c r="H7569" s="74"/>
      <c r="I7569" s="74">
        <f t="shared" si="1"/>
        <v>780000</v>
      </c>
      <c r="J7569" s="74">
        <f>IF(E7569="SERVICE",I7569-(I7569*50%),Vlookup(E7569,DATABASE!C:Q,10,false)*F7569)</f>
        <v>0</v>
      </c>
      <c r="K7569" s="74">
        <f>VLOOKUP(E7569,DATABASE!C:Q,7,false)</f>
        <v>370000</v>
      </c>
      <c r="L7569" s="74">
        <v>370000.0</v>
      </c>
      <c r="M7569" s="74">
        <f t="shared" si="2"/>
        <v>370000</v>
      </c>
      <c r="N7569" s="74">
        <f t="shared" si="3"/>
        <v>40000</v>
      </c>
      <c r="O7569" s="65" t="str">
        <f>VLOOKUP(E7569,DATABASE!C:Q,8,false)</f>
        <v>NON</v>
      </c>
      <c r="P7569" s="65">
        <f>VLOOKUP(E7569,DATABASE!C:Q,9,False)</f>
        <v>0</v>
      </c>
      <c r="Q7569" s="93" t="str">
        <f>VLOOKUP(E7569,DATABASE!C:Q,4,false)</f>
        <v>Castrol</v>
      </c>
      <c r="R7569" s="93" t="str">
        <f>VLOOKUP(E7569,DATABASE!C:Q,11,false)</f>
        <v>OIL</v>
      </c>
    </row>
    <row r="7570" ht="22.5" customHeight="1">
      <c r="A7570" s="49"/>
      <c r="C7570" s="400">
        <v>46098.0</v>
      </c>
      <c r="D7570" s="69" t="s">
        <v>2741</v>
      </c>
      <c r="E7570" s="544" t="s">
        <v>2191</v>
      </c>
      <c r="F7570" s="387">
        <v>1.0</v>
      </c>
      <c r="G7570" s="140">
        <v>400000.0</v>
      </c>
      <c r="H7570" s="74"/>
      <c r="I7570" s="74">
        <f t="shared" si="1"/>
        <v>400000</v>
      </c>
      <c r="J7570" s="74">
        <f>IF(E7570="SERVICE",I7570-(I7570*50%),Vlookup(E7570,DATABASE!C:Q,10,false)*F7570)</f>
        <v>0</v>
      </c>
      <c r="K7570" s="74">
        <f>VLOOKUP(E7570,DATABASE!C:Q,7,false)</f>
        <v>422900</v>
      </c>
      <c r="L7570" s="74">
        <v>377951.0</v>
      </c>
      <c r="M7570" s="74">
        <f t="shared" si="2"/>
        <v>380000</v>
      </c>
      <c r="N7570" s="74">
        <f t="shared" si="3"/>
        <v>20000</v>
      </c>
      <c r="O7570" s="65" t="str">
        <f>VLOOKUP(E7570,DATABASE!C:Q,8,false)</f>
        <v>NON</v>
      </c>
      <c r="P7570" s="65">
        <f>VLOOKUP(E7570,DATABASE!C:Q,9,False)</f>
        <v>0</v>
      </c>
      <c r="Q7570" s="93" t="str">
        <f>VLOOKUP(E7570,DATABASE!C:Q,4,false)</f>
        <v>Shell</v>
      </c>
      <c r="R7570" s="93" t="str">
        <f>VLOOKUP(E7570,DATABASE!C:Q,11,false)</f>
        <v>OIL</v>
      </c>
    </row>
    <row r="7571" ht="22.5" customHeight="1">
      <c r="A7571" s="49"/>
      <c r="C7571" s="400">
        <v>46099.0</v>
      </c>
      <c r="D7571" s="524">
        <v>716.0</v>
      </c>
      <c r="E7571" s="544" t="s">
        <v>1894</v>
      </c>
      <c r="F7571" s="387">
        <v>1.0</v>
      </c>
      <c r="G7571" s="140">
        <v>545000.0</v>
      </c>
      <c r="H7571" s="140">
        <v>10000.0</v>
      </c>
      <c r="I7571" s="74">
        <f t="shared" si="1"/>
        <v>535000</v>
      </c>
      <c r="J7571" s="74">
        <f>IF(E7571="SERVICE",I7571-(I7571*50%),Vlookup(E7571,DATABASE!C:Q,10,false)*F7571)</f>
        <v>0</v>
      </c>
      <c r="K7571" s="74">
        <f>VLOOKUP(E7571,DATABASE!C:Q,7,false)</f>
        <v>458600</v>
      </c>
      <c r="L7571" s="74">
        <v>445400.0</v>
      </c>
      <c r="M7571" s="74">
        <f t="shared" si="2"/>
        <v>450000</v>
      </c>
      <c r="N7571" s="74">
        <f t="shared" si="3"/>
        <v>85000</v>
      </c>
      <c r="O7571" s="65" t="str">
        <f>VLOOKUP(E7571,DATABASE!C:Q,8,false)</f>
        <v>BIAN</v>
      </c>
      <c r="P7571" s="65">
        <f>VLOOKUP(E7571,DATABASE!C:Q,9,False)</f>
        <v>1</v>
      </c>
      <c r="Q7571" s="93" t="str">
        <f>VLOOKUP(E7571,DATABASE!C:Q,4,false)</f>
        <v>GT</v>
      </c>
      <c r="R7571" s="93" t="str">
        <f>VLOOKUP(E7571,DATABASE!C:Q,11,false)</f>
        <v>Tire</v>
      </c>
    </row>
    <row r="7572" ht="22.5" customHeight="1">
      <c r="A7572" s="49"/>
      <c r="C7572" s="400">
        <v>46099.0</v>
      </c>
      <c r="D7572" s="524">
        <v>717.0</v>
      </c>
      <c r="E7572" s="544" t="s">
        <v>291</v>
      </c>
      <c r="F7572" s="387">
        <v>2.0</v>
      </c>
      <c r="G7572" s="140">
        <v>780000.0</v>
      </c>
      <c r="H7572" s="74"/>
      <c r="I7572" s="74">
        <f t="shared" si="1"/>
        <v>1560000</v>
      </c>
      <c r="J7572" s="74">
        <f>IF(E7572="SERVICE",I7572-(I7572*50%),Vlookup(E7572,DATABASE!C:Q,10,false)*F7572)</f>
        <v>0</v>
      </c>
      <c r="K7572" s="74">
        <f>VLOOKUP(E7572,DATABASE!C:Q,7,false)</f>
        <v>689900</v>
      </c>
      <c r="L7572" s="74">
        <v>689900.0</v>
      </c>
      <c r="M7572" s="74">
        <f t="shared" si="2"/>
        <v>690000</v>
      </c>
      <c r="N7572" s="74">
        <f t="shared" si="3"/>
        <v>180000</v>
      </c>
      <c r="O7572" s="65" t="str">
        <f>VLOOKUP(E7572,DATABASE!C:Q,8,false)</f>
        <v>BIAN</v>
      </c>
      <c r="P7572" s="65">
        <f>VLOOKUP(E7572,DATABASE!C:Q,9,False)</f>
        <v>1</v>
      </c>
      <c r="Q7572" s="93" t="str">
        <f>VLOOKUP(E7572,DATABASE!C:Q,4,false)</f>
        <v>GT</v>
      </c>
      <c r="R7572" s="93" t="str">
        <f>VLOOKUP(E7572,DATABASE!C:Q,11,false)</f>
        <v>Tire</v>
      </c>
    </row>
    <row r="7573" ht="22.5" customHeight="1">
      <c r="A7573" s="49"/>
      <c r="C7573" s="400">
        <v>46099.0</v>
      </c>
      <c r="D7573" s="524">
        <v>717.0</v>
      </c>
      <c r="E7573" s="544" t="s">
        <v>256</v>
      </c>
      <c r="F7573" s="387">
        <v>1.0</v>
      </c>
      <c r="G7573" s="140">
        <v>175000.0</v>
      </c>
      <c r="H7573" s="140">
        <v>25000.0</v>
      </c>
      <c r="I7573" s="74">
        <f t="shared" si="1"/>
        <v>150000</v>
      </c>
      <c r="J7573" s="74">
        <f>IF(E7573="SERVICE",I7573-(I7573*50%),Vlookup(E7573,DATABASE!C:Q,10,false)*F7573)</f>
        <v>10000</v>
      </c>
      <c r="K7573" s="74">
        <f>VLOOKUP(E7573,DATABASE!C:Q,7,false)</f>
        <v>0</v>
      </c>
      <c r="L7573" s="74">
        <v>0.0</v>
      </c>
      <c r="M7573" s="74">
        <f t="shared" si="2"/>
        <v>0</v>
      </c>
      <c r="N7573" s="74">
        <f t="shared" si="3"/>
        <v>140000</v>
      </c>
      <c r="O7573" s="65" t="str">
        <f>VLOOKUP(E7573,DATABASE!C:Q,8,false)</f>
        <v>IBU</v>
      </c>
      <c r="P7573" s="65">
        <f>VLOOKUP(E7573,DATABASE!C:Q,9,False)</f>
        <v>0</v>
      </c>
      <c r="Q7573" s="93" t="str">
        <f>VLOOKUP(E7573,DATABASE!C:Q,4,false)</f>
        <v>SPOORING</v>
      </c>
      <c r="R7573" s="93" t="str">
        <f>VLOOKUP(E7573,DATABASE!C:Q,11,false)</f>
        <v>SERVICE</v>
      </c>
    </row>
    <row r="7574" ht="22.5" customHeight="1">
      <c r="A7574" s="49"/>
      <c r="C7574" s="400">
        <v>46099.0</v>
      </c>
      <c r="D7574" s="524">
        <v>717.0</v>
      </c>
      <c r="E7574" s="544" t="s">
        <v>251</v>
      </c>
      <c r="F7574" s="387">
        <v>1.0</v>
      </c>
      <c r="G7574" s="140">
        <v>350000.0</v>
      </c>
      <c r="H7574" s="140">
        <v>200000.0</v>
      </c>
      <c r="I7574" s="74">
        <f t="shared" si="1"/>
        <v>150000</v>
      </c>
      <c r="J7574" s="74">
        <f>IF(E7574="SERVICE",I7574-(I7574*50%),Vlookup(E7574,DATABASE!C:Q,10,false)*F7574)</f>
        <v>75000</v>
      </c>
      <c r="K7574" s="74">
        <f>VLOOKUP(E7574,DATABASE!C:Q,7,false)</f>
        <v>0</v>
      </c>
      <c r="L7574" s="74">
        <v>0.0</v>
      </c>
      <c r="M7574" s="74">
        <f t="shared" si="2"/>
        <v>0</v>
      </c>
      <c r="N7574" s="74">
        <f t="shared" si="3"/>
        <v>75000</v>
      </c>
      <c r="O7574" s="65" t="str">
        <f>VLOOKUP(E7574,DATABASE!C:Q,8,false)</f>
        <v>IBU</v>
      </c>
      <c r="P7574" s="65">
        <f>VLOOKUP(E7574,DATABASE!C:Q,9,False)</f>
        <v>0</v>
      </c>
      <c r="Q7574" s="93" t="str">
        <f>VLOOKUP(E7574,DATABASE!C:Q,4,false)</f>
        <v>SERVICE</v>
      </c>
      <c r="R7574" s="93" t="str">
        <f>VLOOKUP(E7574,DATABASE!C:Q,11,false)</f>
        <v>SERVICE</v>
      </c>
    </row>
    <row r="7575" ht="22.5" customHeight="1">
      <c r="A7575" s="49"/>
      <c r="C7575" s="400">
        <v>46099.0</v>
      </c>
      <c r="D7575" s="524">
        <v>718.0</v>
      </c>
      <c r="E7575" s="544" t="s">
        <v>265</v>
      </c>
      <c r="F7575" s="387">
        <v>2.0</v>
      </c>
      <c r="G7575" s="140">
        <v>685000.0</v>
      </c>
      <c r="H7575" s="74"/>
      <c r="I7575" s="74">
        <f t="shared" si="1"/>
        <v>1370000</v>
      </c>
      <c r="J7575" s="74">
        <f>IF(E7575="SERVICE",I7575-(I7575*50%),Vlookup(E7575,DATABASE!C:Q,10,false)*F7575)</f>
        <v>0</v>
      </c>
      <c r="K7575" s="74">
        <f>VLOOKUP(E7575,DATABASE!C:Q,7,false)</f>
        <v>628000</v>
      </c>
      <c r="L7575" s="74">
        <v>600000.0</v>
      </c>
      <c r="M7575" s="74">
        <f t="shared" si="2"/>
        <v>600000</v>
      </c>
      <c r="N7575" s="74">
        <f t="shared" si="3"/>
        <v>170000</v>
      </c>
      <c r="O7575" s="65" t="str">
        <f>VLOOKUP(E7575,DATABASE!C:Q,8,false)</f>
        <v>IBU</v>
      </c>
      <c r="P7575" s="65">
        <f>VLOOKUP(E7575,DATABASE!C:Q,9,False)</f>
        <v>1</v>
      </c>
      <c r="Q7575" s="93" t="str">
        <f>VLOOKUP(E7575,DATABASE!C:Q,4,false)</f>
        <v>Dunlop</v>
      </c>
      <c r="R7575" s="93" t="str">
        <f>VLOOKUP(E7575,DATABASE!C:Q,11,false)</f>
        <v>Tire</v>
      </c>
    </row>
    <row r="7576" ht="22.5" customHeight="1">
      <c r="A7576" s="49"/>
      <c r="C7576" s="400">
        <v>46099.0</v>
      </c>
      <c r="D7576" s="524">
        <v>719.0</v>
      </c>
      <c r="E7576" s="544" t="s">
        <v>268</v>
      </c>
      <c r="F7576" s="387">
        <v>1.0</v>
      </c>
      <c r="G7576" s="140">
        <v>710000.0</v>
      </c>
      <c r="H7576" s="74"/>
      <c r="I7576" s="74">
        <f t="shared" si="1"/>
        <v>710000</v>
      </c>
      <c r="J7576" s="74">
        <f>IF(E7576="SERVICE",I7576-(I7576*50%),Vlookup(E7576,DATABASE!C:Q,10,false)*F7576)</f>
        <v>0</v>
      </c>
      <c r="K7576" s="74">
        <f>VLOOKUP(E7576,DATABASE!C:Q,7,false)</f>
        <v>653000</v>
      </c>
      <c r="L7576" s="74">
        <v>622000.0</v>
      </c>
      <c r="M7576" s="74">
        <f t="shared" si="2"/>
        <v>625000</v>
      </c>
      <c r="N7576" s="74">
        <f t="shared" si="3"/>
        <v>85000</v>
      </c>
      <c r="O7576" s="65" t="str">
        <f>VLOOKUP(E7576,DATABASE!C:Q,8,false)</f>
        <v>IBU</v>
      </c>
      <c r="P7576" s="65">
        <f>VLOOKUP(E7576,DATABASE!C:Q,9,False)</f>
        <v>1</v>
      </c>
      <c r="Q7576" s="93" t="str">
        <f>VLOOKUP(E7576,DATABASE!C:Q,4,false)</f>
        <v>Dunlop</v>
      </c>
      <c r="R7576" s="93" t="str">
        <f>VLOOKUP(E7576,DATABASE!C:Q,11,false)</f>
        <v>Tire</v>
      </c>
    </row>
    <row r="7577" ht="22.5" customHeight="1">
      <c r="A7577" s="49"/>
      <c r="C7577" s="400">
        <v>46099.0</v>
      </c>
      <c r="D7577" s="524">
        <v>720.0</v>
      </c>
      <c r="E7577" s="544" t="s">
        <v>262</v>
      </c>
      <c r="F7577" s="387">
        <v>1.0</v>
      </c>
      <c r="G7577" s="140">
        <v>130000.0</v>
      </c>
      <c r="H7577" s="74"/>
      <c r="I7577" s="74">
        <f t="shared" si="1"/>
        <v>130000</v>
      </c>
      <c r="J7577" s="74">
        <f>IF(E7577="SERVICE",I7577-(I7577*50%),Vlookup(E7577,DATABASE!C:Q,10,false)*F7577)</f>
        <v>5000</v>
      </c>
      <c r="K7577" s="74">
        <f>VLOOKUP(E7577,DATABASE!C:Q,7,false)</f>
        <v>0</v>
      </c>
      <c r="L7577" s="74">
        <v>0.0</v>
      </c>
      <c r="M7577" s="74">
        <f t="shared" si="2"/>
        <v>0</v>
      </c>
      <c r="N7577" s="74">
        <f t="shared" si="3"/>
        <v>125000</v>
      </c>
      <c r="O7577" s="65" t="str">
        <f>VLOOKUP(E7577,DATABASE!C:Q,8,false)</f>
        <v>IBU</v>
      </c>
      <c r="P7577" s="65">
        <f>VLOOKUP(E7577,DATABASE!C:Q,9,False)</f>
        <v>0</v>
      </c>
      <c r="Q7577" s="93" t="str">
        <f>VLOOKUP(E7577,DATABASE!C:Q,4,false)</f>
        <v>SPOORING SS/CARRY LOS BAK</v>
      </c>
      <c r="R7577" s="93" t="str">
        <f>VLOOKUP(E7577,DATABASE!C:Q,11,false)</f>
        <v>SERVICE</v>
      </c>
    </row>
    <row r="7578" ht="22.5" customHeight="1">
      <c r="A7578" s="49"/>
      <c r="C7578" s="400">
        <v>46099.0</v>
      </c>
      <c r="D7578" s="524">
        <v>721.0</v>
      </c>
      <c r="E7578" s="544" t="s">
        <v>566</v>
      </c>
      <c r="F7578" s="387">
        <v>2.0</v>
      </c>
      <c r="G7578" s="140">
        <v>1670000.0</v>
      </c>
      <c r="H7578" s="140">
        <v>20000.0</v>
      </c>
      <c r="I7578" s="74">
        <f t="shared" si="1"/>
        <v>3300000</v>
      </c>
      <c r="J7578" s="74">
        <f>IF(E7578="SERVICE",I7578-(I7578*50%),Vlookup(E7578,DATABASE!C:Q,10,false)*F7578)</f>
        <v>0</v>
      </c>
      <c r="K7578" s="74">
        <f>VLOOKUP(E7578,DATABASE!C:Q,7,false)</f>
        <v>1565000</v>
      </c>
      <c r="L7578" s="74">
        <v>1545000.0</v>
      </c>
      <c r="M7578" s="74">
        <f t="shared" si="2"/>
        <v>1545000</v>
      </c>
      <c r="N7578" s="74">
        <f t="shared" si="3"/>
        <v>210000</v>
      </c>
      <c r="O7578" s="65" t="str">
        <f>VLOOKUP(E7578,DATABASE!C:Q,8,false)</f>
        <v>IBU</v>
      </c>
      <c r="P7578" s="65">
        <f>VLOOKUP(E7578,DATABASE!C:Q,9,False)</f>
        <v>1</v>
      </c>
      <c r="Q7578" s="93" t="str">
        <f>VLOOKUP(E7578,DATABASE!C:Q,4,false)</f>
        <v>Bridgestone</v>
      </c>
      <c r="R7578" s="93" t="str">
        <f>VLOOKUP(E7578,DATABASE!C:Q,11,false)</f>
        <v>Tire</v>
      </c>
    </row>
    <row r="7579" ht="22.5" customHeight="1">
      <c r="A7579" s="49"/>
      <c r="C7579" s="400">
        <v>46099.0</v>
      </c>
      <c r="D7579" s="524">
        <v>721.0</v>
      </c>
      <c r="E7579" s="544" t="s">
        <v>744</v>
      </c>
      <c r="F7579" s="387">
        <v>2.0</v>
      </c>
      <c r="G7579" s="140">
        <v>230000.0</v>
      </c>
      <c r="H7579" s="74"/>
      <c r="I7579" s="74">
        <f t="shared" si="1"/>
        <v>460000</v>
      </c>
      <c r="J7579" s="74">
        <f>IF(E7579="SERVICE",I7579-(I7579*50%),Vlookup(E7579,DATABASE!C:Q,10,false)*F7579)</f>
        <v>0</v>
      </c>
      <c r="K7579" s="74">
        <f>VLOOKUP(E7579,DATABASE!C:Q,7,false)</f>
        <v>182200</v>
      </c>
      <c r="L7579" s="74">
        <v>199920.0</v>
      </c>
      <c r="M7579" s="74">
        <f t="shared" si="2"/>
        <v>200000</v>
      </c>
      <c r="N7579" s="74">
        <f t="shared" si="3"/>
        <v>60000</v>
      </c>
      <c r="O7579" s="65" t="str">
        <f>VLOOKUP(E7579,DATABASE!C:Q,8,false)</f>
        <v>BIAN</v>
      </c>
      <c r="P7579" s="65">
        <f>VLOOKUP(E7579,DATABASE!C:Q,9,False)</f>
        <v>1</v>
      </c>
      <c r="Q7579" s="93" t="str">
        <f>VLOOKUP(E7579,DATABASE!C:Q,4,false)</f>
        <v>BD</v>
      </c>
      <c r="R7579" s="93" t="str">
        <f>VLOOKUP(E7579,DATABASE!C:Q,11,false)</f>
        <v>Tire</v>
      </c>
    </row>
    <row r="7580" ht="22.5" customHeight="1">
      <c r="A7580" s="49"/>
      <c r="C7580" s="400">
        <v>46099.0</v>
      </c>
      <c r="D7580" s="524">
        <v>721.0</v>
      </c>
      <c r="E7580" s="544" t="s">
        <v>821</v>
      </c>
      <c r="F7580" s="387">
        <v>2.0</v>
      </c>
      <c r="G7580" s="140">
        <v>85000.0</v>
      </c>
      <c r="H7580" s="74"/>
      <c r="I7580" s="74">
        <f t="shared" si="1"/>
        <v>170000</v>
      </c>
      <c r="J7580" s="74">
        <f>IF(E7580="SERVICE",I7580-(I7580*50%),Vlookup(E7580,DATABASE!C:Q,10,false)*F7580)</f>
        <v>0</v>
      </c>
      <c r="K7580" s="74">
        <f>VLOOKUP(E7580,DATABASE!C:Q,7,false)</f>
        <v>43500</v>
      </c>
      <c r="L7580" s="74">
        <v>43520.0</v>
      </c>
      <c r="M7580" s="74">
        <f t="shared" si="2"/>
        <v>45000</v>
      </c>
      <c r="N7580" s="74">
        <f t="shared" si="3"/>
        <v>80000</v>
      </c>
      <c r="O7580" s="65" t="str">
        <f>VLOOKUP(E7580,DATABASE!C:Q,8,false)</f>
        <v>BIAN</v>
      </c>
      <c r="P7580" s="65">
        <f>VLOOKUP(E7580,DATABASE!C:Q,9,False)</f>
        <v>1</v>
      </c>
      <c r="Q7580" s="93" t="str">
        <f>VLOOKUP(E7580,DATABASE!C:Q,4,false)</f>
        <v>Flap</v>
      </c>
      <c r="R7580" s="93" t="str">
        <f>VLOOKUP(E7580,DATABASE!C:Q,11,false)</f>
        <v>Tire</v>
      </c>
    </row>
    <row r="7581" ht="22.5" customHeight="1">
      <c r="A7581" s="49"/>
      <c r="C7581" s="400">
        <v>46099.0</v>
      </c>
      <c r="D7581" s="524">
        <v>722.0</v>
      </c>
      <c r="E7581" s="544" t="s">
        <v>299</v>
      </c>
      <c r="F7581" s="387">
        <v>2.0</v>
      </c>
      <c r="G7581" s="140">
        <v>30000.0</v>
      </c>
      <c r="H7581" s="74"/>
      <c r="I7581" s="74">
        <f t="shared" si="1"/>
        <v>60000</v>
      </c>
      <c r="J7581" s="74">
        <f>IF(E7581="SERVICE",I7581-(I7581*50%),Vlookup(E7581,DATABASE!C:Q,10,false)*F7581)</f>
        <v>0</v>
      </c>
      <c r="K7581" s="74">
        <f>VLOOKUP(E7581,DATABASE!C:Q,7,false)</f>
        <v>10000</v>
      </c>
      <c r="L7581" s="74">
        <v>10000.0</v>
      </c>
      <c r="M7581" s="74">
        <f t="shared" si="2"/>
        <v>10000</v>
      </c>
      <c r="N7581" s="74">
        <f t="shared" si="3"/>
        <v>40000</v>
      </c>
      <c r="O7581" s="65" t="str">
        <f>VLOOKUP(E7581,DATABASE!C:Q,8,false)</f>
        <v>BIAN</v>
      </c>
      <c r="P7581" s="65">
        <f>VLOOKUP(E7581,DATABASE!C:Q,9,False)</f>
        <v>0</v>
      </c>
      <c r="Q7581" s="93" t="str">
        <f>VLOOKUP(E7581,DATABASE!C:Q,4,false)</f>
        <v>Balancing</v>
      </c>
      <c r="R7581" s="93" t="str">
        <f>VLOOKUP(E7581,DATABASE!C:Q,11,false)</f>
        <v>COMPLEMENTARY</v>
      </c>
    </row>
    <row r="7582" ht="22.5" customHeight="1">
      <c r="A7582" s="49"/>
      <c r="C7582" s="400">
        <v>46099.0</v>
      </c>
      <c r="D7582" s="524">
        <v>722.0</v>
      </c>
      <c r="E7582" s="544" t="s">
        <v>246</v>
      </c>
      <c r="F7582" s="387">
        <v>2.0</v>
      </c>
      <c r="G7582" s="140">
        <v>35000.0</v>
      </c>
      <c r="H7582" s="140">
        <v>10000.0</v>
      </c>
      <c r="I7582" s="74">
        <f t="shared" si="1"/>
        <v>50000</v>
      </c>
      <c r="J7582" s="74">
        <f>IF(E7582="SERVICE",I7582-(I7582*50%),Vlookup(E7582,DATABASE!C:Q,10,false)*F7582)</f>
        <v>0</v>
      </c>
      <c r="K7582" s="74">
        <f>VLOOKUP(E7582,DATABASE!C:Q,7,false)</f>
        <v>0</v>
      </c>
      <c r="L7582" s="74">
        <v>0.0</v>
      </c>
      <c r="M7582" s="74">
        <f t="shared" si="2"/>
        <v>0</v>
      </c>
      <c r="N7582" s="74">
        <f t="shared" si="3"/>
        <v>50000</v>
      </c>
      <c r="O7582" s="65" t="str">
        <f>VLOOKUP(E7582,DATABASE!C:Q,8,false)</f>
        <v>IBU</v>
      </c>
      <c r="P7582" s="65">
        <f>VLOOKUP(E7582,DATABASE!C:Q,9,False)</f>
        <v>0</v>
      </c>
      <c r="Q7582" s="93" t="str">
        <f>VLOOKUP(E7582,DATABASE!C:Q,4,false)</f>
        <v>Bongkar Pasang</v>
      </c>
      <c r="R7582" s="93" t="str">
        <f>VLOOKUP(E7582,DATABASE!C:Q,11,false)</f>
        <v>SERVICE</v>
      </c>
    </row>
    <row r="7583" ht="22.5" customHeight="1">
      <c r="A7583" s="49"/>
      <c r="C7583" s="400">
        <v>46099.0</v>
      </c>
      <c r="D7583" s="524">
        <v>723.0</v>
      </c>
      <c r="E7583" s="544" t="s">
        <v>839</v>
      </c>
      <c r="F7583" s="387">
        <v>1.0</v>
      </c>
      <c r="G7583" s="140">
        <v>565000.0</v>
      </c>
      <c r="H7583" s="74"/>
      <c r="I7583" s="74">
        <f t="shared" si="1"/>
        <v>565000</v>
      </c>
      <c r="J7583" s="74">
        <f>IF(E7583="SERVICE",I7583-(I7583*50%),Vlookup(E7583,DATABASE!C:Q,10,false)*F7583)</f>
        <v>0</v>
      </c>
      <c r="K7583" s="74">
        <f>VLOOKUP(E7583,DATABASE!C:Q,7,false)</f>
        <v>512640</v>
      </c>
      <c r="L7583" s="74">
        <v>475700.0</v>
      </c>
      <c r="M7583" s="74">
        <f t="shared" si="2"/>
        <v>480000</v>
      </c>
      <c r="N7583" s="74">
        <f t="shared" si="3"/>
        <v>85000</v>
      </c>
      <c r="O7583" s="65" t="str">
        <f>VLOOKUP(E7583,DATABASE!C:Q,8,false)</f>
        <v>BIAN</v>
      </c>
      <c r="P7583" s="65">
        <f>VLOOKUP(E7583,DATABASE!C:Q,9,False)</f>
        <v>1</v>
      </c>
      <c r="Q7583" s="93" t="str">
        <f>VLOOKUP(E7583,DATABASE!C:Q,4,false)</f>
        <v>GT</v>
      </c>
      <c r="R7583" s="93" t="str">
        <f>VLOOKUP(E7583,DATABASE!C:Q,11,false)</f>
        <v>Tire</v>
      </c>
    </row>
    <row r="7584" ht="22.5" customHeight="1">
      <c r="A7584" s="49"/>
      <c r="C7584" s="400">
        <v>46099.0</v>
      </c>
      <c r="D7584" s="524">
        <v>724.0</v>
      </c>
      <c r="E7584" s="544" t="s">
        <v>1526</v>
      </c>
      <c r="F7584" s="387">
        <v>2.0</v>
      </c>
      <c r="G7584" s="140">
        <v>540000.0</v>
      </c>
      <c r="H7584" s="74"/>
      <c r="I7584" s="74">
        <f t="shared" si="1"/>
        <v>1080000</v>
      </c>
      <c r="J7584" s="74">
        <f>IF(E7584="SERVICE",I7584-(I7584*50%),Vlookup(E7584,DATABASE!C:Q,10,false)*F7584)</f>
        <v>0</v>
      </c>
      <c r="K7584" s="74">
        <f>VLOOKUP(E7584,DATABASE!C:Q,7,false)</f>
        <v>450000</v>
      </c>
      <c r="L7584" s="74">
        <v>450000.0</v>
      </c>
      <c r="M7584" s="74">
        <f t="shared" si="2"/>
        <v>450000</v>
      </c>
      <c r="N7584" s="74">
        <f t="shared" si="3"/>
        <v>180000</v>
      </c>
      <c r="O7584" s="65" t="str">
        <f>VLOOKUP(E7584,DATABASE!C:Q,8,false)</f>
        <v>BIAN</v>
      </c>
      <c r="P7584" s="65">
        <f>VLOOKUP(E7584,DATABASE!C:Q,9,False)</f>
        <v>1</v>
      </c>
      <c r="Q7584" s="93" t="str">
        <f>VLOOKUP(E7584,DATABASE!C:Q,4,false)</f>
        <v>Laufen</v>
      </c>
      <c r="R7584" s="93" t="str">
        <f>VLOOKUP(E7584,DATABASE!C:Q,11,false)</f>
        <v>Tire</v>
      </c>
    </row>
    <row r="7585" ht="22.5" customHeight="1">
      <c r="A7585" s="49"/>
      <c r="C7585" s="400">
        <v>46099.0</v>
      </c>
      <c r="D7585" s="524">
        <v>725.0</v>
      </c>
      <c r="E7585" s="544" t="s">
        <v>1278</v>
      </c>
      <c r="F7585" s="387">
        <v>1.0</v>
      </c>
      <c r="G7585" s="140">
        <v>1580000.0</v>
      </c>
      <c r="H7585" s="140">
        <v>20000.0</v>
      </c>
      <c r="I7585" s="74">
        <f t="shared" si="1"/>
        <v>1560000</v>
      </c>
      <c r="J7585" s="74">
        <f>IF(E7585="SERVICE",I7585-(I7585*50%),Vlookup(E7585,DATABASE!C:Q,10,false)*F7585)</f>
        <v>0</v>
      </c>
      <c r="K7585" s="74">
        <f>VLOOKUP(E7585,DATABASE!C:Q,7,false)</f>
        <v>1466393.5</v>
      </c>
      <c r="L7585" s="74">
        <v>1466393.5</v>
      </c>
      <c r="M7585" s="74">
        <f t="shared" si="2"/>
        <v>1470000</v>
      </c>
      <c r="N7585" s="74">
        <f t="shared" si="3"/>
        <v>90000</v>
      </c>
      <c r="O7585" s="65" t="str">
        <f>VLOOKUP(E7585,DATABASE!C:Q,8,false)</f>
        <v>IBU</v>
      </c>
      <c r="P7585" s="65">
        <f>VLOOKUP(E7585,DATABASE!C:Q,9,False)</f>
        <v>1</v>
      </c>
      <c r="Q7585" s="93" t="str">
        <f>VLOOKUP(E7585,DATABASE!C:Q,4,false)</f>
        <v>Bridgestone</v>
      </c>
      <c r="R7585" s="93" t="str">
        <f>VLOOKUP(E7585,DATABASE!C:Q,11,false)</f>
        <v>Tire</v>
      </c>
    </row>
    <row r="7586" ht="22.5" customHeight="1">
      <c r="A7586" s="49"/>
      <c r="C7586" s="400">
        <v>46099.0</v>
      </c>
      <c r="D7586" s="524">
        <v>726.0</v>
      </c>
      <c r="E7586" s="544" t="s">
        <v>256</v>
      </c>
      <c r="F7586" s="387">
        <v>1.0</v>
      </c>
      <c r="G7586" s="140">
        <v>175000.0</v>
      </c>
      <c r="H7586" s="140">
        <v>25000.0</v>
      </c>
      <c r="I7586" s="74">
        <f t="shared" si="1"/>
        <v>150000</v>
      </c>
      <c r="J7586" s="74">
        <f>IF(E7586="SERVICE",I7586-(I7586*50%),Vlookup(E7586,DATABASE!C:Q,10,false)*F7586)</f>
        <v>10000</v>
      </c>
      <c r="K7586" s="74">
        <f>VLOOKUP(E7586,DATABASE!C:Q,7,false)</f>
        <v>0</v>
      </c>
      <c r="L7586" s="74">
        <v>0.0</v>
      </c>
      <c r="M7586" s="74">
        <f t="shared" si="2"/>
        <v>0</v>
      </c>
      <c r="N7586" s="74">
        <f t="shared" si="3"/>
        <v>140000</v>
      </c>
      <c r="O7586" s="65" t="str">
        <f>VLOOKUP(E7586,DATABASE!C:Q,8,false)</f>
        <v>IBU</v>
      </c>
      <c r="P7586" s="65">
        <f>VLOOKUP(E7586,DATABASE!C:Q,9,False)</f>
        <v>0</v>
      </c>
      <c r="Q7586" s="93" t="str">
        <f>VLOOKUP(E7586,DATABASE!C:Q,4,false)</f>
        <v>SPOORING</v>
      </c>
      <c r="R7586" s="93" t="str">
        <f>VLOOKUP(E7586,DATABASE!C:Q,11,false)</f>
        <v>SERVICE</v>
      </c>
    </row>
    <row r="7587" ht="22.5" customHeight="1">
      <c r="A7587" s="49"/>
      <c r="C7587" s="400">
        <v>46099.0</v>
      </c>
      <c r="D7587" s="524">
        <v>726.0</v>
      </c>
      <c r="E7587" s="544" t="s">
        <v>301</v>
      </c>
      <c r="F7587" s="387">
        <v>1.0</v>
      </c>
      <c r="G7587" s="140">
        <v>250000.0</v>
      </c>
      <c r="H7587" s="74"/>
      <c r="I7587" s="74">
        <f t="shared" si="1"/>
        <v>250000</v>
      </c>
      <c r="J7587" s="74">
        <f>IF(E7587="SERVICE",I7587-(I7587*50%),Vlookup(E7587,DATABASE!C:Q,10,false)*F7587)</f>
        <v>75000</v>
      </c>
      <c r="K7587" s="74">
        <f>VLOOKUP(E7587,DATABASE!C:Q,7,false)</f>
        <v>75000</v>
      </c>
      <c r="L7587" s="74">
        <v>75000.0</v>
      </c>
      <c r="M7587" s="74">
        <f t="shared" si="2"/>
        <v>75000</v>
      </c>
      <c r="N7587" s="74">
        <f t="shared" si="3"/>
        <v>100000</v>
      </c>
      <c r="O7587" s="65" t="str">
        <f>VLOOKUP(E7587,DATABASE!C:Q,8,false)</f>
        <v>BIAN</v>
      </c>
      <c r="P7587" s="65">
        <f>VLOOKUP(E7587,DATABASE!C:Q,9,False)</f>
        <v>0</v>
      </c>
      <c r="Q7587" s="93" t="str">
        <f>VLOOKUP(E7587,DATABASE!C:Q,4,false)</f>
        <v>Baut Camber</v>
      </c>
      <c r="R7587" s="93" t="str">
        <f>VLOOKUP(E7587,DATABASE!C:Q,11,false)</f>
        <v>COMPLEMENTARY</v>
      </c>
    </row>
    <row r="7588" ht="22.5" customHeight="1">
      <c r="A7588" s="49"/>
      <c r="C7588" s="400">
        <v>46099.0</v>
      </c>
      <c r="D7588" s="524">
        <v>727.0</v>
      </c>
      <c r="E7588" s="544" t="s">
        <v>275</v>
      </c>
      <c r="F7588" s="387">
        <v>2.0</v>
      </c>
      <c r="G7588" s="140">
        <v>830000.0</v>
      </c>
      <c r="H7588" s="74"/>
      <c r="I7588" s="74">
        <f t="shared" si="1"/>
        <v>1660000</v>
      </c>
      <c r="J7588" s="74">
        <f>IF(E7588="SERVICE",I7588-(I7588*50%),Vlookup(E7588,DATABASE!C:Q,10,false)*F7588)</f>
        <v>0</v>
      </c>
      <c r="K7588" s="74">
        <f>VLOOKUP(E7588,DATABASE!C:Q,7,false)</f>
        <v>782000</v>
      </c>
      <c r="L7588" s="74">
        <v>745000.0</v>
      </c>
      <c r="M7588" s="74">
        <f t="shared" si="2"/>
        <v>745000</v>
      </c>
      <c r="N7588" s="74">
        <f t="shared" si="3"/>
        <v>170000</v>
      </c>
      <c r="O7588" s="69" t="s">
        <v>1329</v>
      </c>
      <c r="P7588" s="69">
        <v>0.0</v>
      </c>
      <c r="Q7588" s="93" t="str">
        <f>VLOOKUP(E7588,DATABASE!C:Q,4,false)</f>
        <v>Dunlop</v>
      </c>
      <c r="R7588" s="93" t="str">
        <f>VLOOKUP(E7588,DATABASE!C:Q,11,false)</f>
        <v>Tire</v>
      </c>
    </row>
    <row r="7589" ht="22.5" customHeight="1">
      <c r="A7589" s="49"/>
      <c r="C7589" s="400">
        <v>46099.0</v>
      </c>
      <c r="D7589" s="524">
        <v>728.0</v>
      </c>
      <c r="E7589" s="544" t="s">
        <v>291</v>
      </c>
      <c r="F7589" s="387">
        <v>2.0</v>
      </c>
      <c r="G7589" s="140">
        <v>780000.0</v>
      </c>
      <c r="H7589" s="74"/>
      <c r="I7589" s="74">
        <f t="shared" si="1"/>
        <v>1560000</v>
      </c>
      <c r="J7589" s="74">
        <f>IF(E7589="SERVICE",I7589-(I7589*50%),Vlookup(E7589,DATABASE!C:Q,10,false)*F7589)</f>
        <v>0</v>
      </c>
      <c r="K7589" s="74">
        <f>VLOOKUP(E7589,DATABASE!C:Q,7,false)</f>
        <v>689900</v>
      </c>
      <c r="L7589" s="74">
        <v>689900.0</v>
      </c>
      <c r="M7589" s="74">
        <f t="shared" si="2"/>
        <v>690000</v>
      </c>
      <c r="N7589" s="74">
        <f t="shared" si="3"/>
        <v>180000</v>
      </c>
      <c r="O7589" s="65" t="str">
        <f>VLOOKUP(E7589,DATABASE!C:Q,8,false)</f>
        <v>BIAN</v>
      </c>
      <c r="P7589" s="65">
        <f>VLOOKUP(E7589,DATABASE!C:Q,9,False)</f>
        <v>1</v>
      </c>
      <c r="Q7589" s="93" t="str">
        <f>VLOOKUP(E7589,DATABASE!C:Q,4,false)</f>
        <v>GT</v>
      </c>
      <c r="R7589" s="93" t="str">
        <f>VLOOKUP(E7589,DATABASE!C:Q,11,false)</f>
        <v>Tire</v>
      </c>
    </row>
    <row r="7590" ht="22.5" customHeight="1">
      <c r="A7590" s="49"/>
      <c r="C7590" s="400">
        <v>46099.0</v>
      </c>
      <c r="D7590" s="524">
        <v>729.0</v>
      </c>
      <c r="E7590" s="544" t="s">
        <v>1898</v>
      </c>
      <c r="F7590" s="387">
        <v>1.0</v>
      </c>
      <c r="G7590" s="140">
        <v>720000.0</v>
      </c>
      <c r="H7590" s="74"/>
      <c r="I7590" s="74">
        <f t="shared" si="1"/>
        <v>720000</v>
      </c>
      <c r="J7590" s="74">
        <f>IF(E7590="SERVICE",I7590-(I7590*50%),Vlookup(E7590,DATABASE!C:Q,10,false)*F7590)</f>
        <v>0</v>
      </c>
      <c r="K7590" s="74">
        <f>VLOOKUP(E7590,DATABASE!C:Q,7,false)</f>
        <v>640700</v>
      </c>
      <c r="L7590" s="74">
        <v>628100.0</v>
      </c>
      <c r="M7590" s="74">
        <f t="shared" si="2"/>
        <v>630000</v>
      </c>
      <c r="N7590" s="74">
        <f t="shared" si="3"/>
        <v>90000</v>
      </c>
      <c r="O7590" s="65" t="str">
        <f>VLOOKUP(E7590,DATABASE!C:Q,8,false)</f>
        <v>BIAN</v>
      </c>
      <c r="P7590" s="65">
        <f>VLOOKUP(E7590,DATABASE!C:Q,9,False)</f>
        <v>1</v>
      </c>
      <c r="Q7590" s="93" t="str">
        <f>VLOOKUP(E7590,DATABASE!C:Q,4,false)</f>
        <v>GT</v>
      </c>
      <c r="R7590" s="93" t="str">
        <f>VLOOKUP(E7590,DATABASE!C:Q,11,false)</f>
        <v>Tire</v>
      </c>
    </row>
    <row r="7591" ht="22.5" customHeight="1">
      <c r="A7591" s="49"/>
      <c r="C7591" s="400">
        <v>46099.0</v>
      </c>
      <c r="D7591" s="524">
        <v>730.0</v>
      </c>
      <c r="E7591" s="544" t="s">
        <v>256</v>
      </c>
      <c r="F7591" s="387">
        <v>1.0</v>
      </c>
      <c r="G7591" s="140">
        <v>175000.0</v>
      </c>
      <c r="H7591" s="140">
        <v>25000.0</v>
      </c>
      <c r="I7591" s="74">
        <f t="shared" si="1"/>
        <v>150000</v>
      </c>
      <c r="J7591" s="74">
        <f>IF(E7591="SERVICE",I7591-(I7591*50%),Vlookup(E7591,DATABASE!C:Q,10,false)*F7591)</f>
        <v>10000</v>
      </c>
      <c r="K7591" s="74">
        <f>VLOOKUP(E7591,DATABASE!C:Q,7,false)</f>
        <v>0</v>
      </c>
      <c r="L7591" s="74">
        <v>0.0</v>
      </c>
      <c r="M7591" s="74">
        <f t="shared" si="2"/>
        <v>0</v>
      </c>
      <c r="N7591" s="74">
        <f t="shared" si="3"/>
        <v>140000</v>
      </c>
      <c r="O7591" s="65" t="str">
        <f>VLOOKUP(E7591,DATABASE!C:Q,8,false)</f>
        <v>IBU</v>
      </c>
      <c r="P7591" s="65">
        <f>VLOOKUP(E7591,DATABASE!C:Q,9,False)</f>
        <v>0</v>
      </c>
      <c r="Q7591" s="93" t="str">
        <f>VLOOKUP(E7591,DATABASE!C:Q,4,false)</f>
        <v>SPOORING</v>
      </c>
      <c r="R7591" s="93" t="str">
        <f>VLOOKUP(E7591,DATABASE!C:Q,11,false)</f>
        <v>SERVICE</v>
      </c>
    </row>
    <row r="7592" ht="22.5" customHeight="1">
      <c r="A7592" s="49"/>
      <c r="C7592" s="400">
        <v>46099.0</v>
      </c>
      <c r="D7592" s="524">
        <v>730.0</v>
      </c>
      <c r="E7592" s="544" t="s">
        <v>461</v>
      </c>
      <c r="F7592" s="387">
        <v>2.0</v>
      </c>
      <c r="G7592" s="140">
        <v>60000.0</v>
      </c>
      <c r="H7592" s="140">
        <v>25000.0</v>
      </c>
      <c r="I7592" s="74">
        <f t="shared" si="1"/>
        <v>70000</v>
      </c>
      <c r="J7592" s="74">
        <f>IF(E7592="SERVICE",I7592-(I7592*50%),Vlookup(E7592,DATABASE!C:Q,10,false)*F7592)</f>
        <v>0</v>
      </c>
      <c r="K7592" s="74">
        <f>VLOOKUP(E7592,DATABASE!C:Q,7,false)</f>
        <v>15000</v>
      </c>
      <c r="L7592" s="74">
        <v>15000.0</v>
      </c>
      <c r="M7592" s="74">
        <f t="shared" si="2"/>
        <v>15000</v>
      </c>
      <c r="N7592" s="74">
        <f t="shared" si="3"/>
        <v>40000</v>
      </c>
      <c r="O7592" s="65" t="str">
        <f>VLOOKUP(E7592,DATABASE!C:Q,8,false)</f>
        <v>BIAN</v>
      </c>
      <c r="P7592" s="65">
        <f>VLOOKUP(E7592,DATABASE!C:Q,9,False)</f>
        <v>0</v>
      </c>
      <c r="Q7592" s="93" t="str">
        <f>VLOOKUP(E7592,DATABASE!C:Q,4,false)</f>
        <v>Balancing</v>
      </c>
      <c r="R7592" s="93" t="str">
        <f>VLOOKUP(E7592,DATABASE!C:Q,11,false)</f>
        <v>COMPLEMENTARY</v>
      </c>
    </row>
    <row r="7593" ht="22.5" customHeight="1">
      <c r="A7593" s="49"/>
      <c r="C7593" s="400">
        <v>46099.0</v>
      </c>
      <c r="D7593" s="524">
        <v>730.0</v>
      </c>
      <c r="E7593" s="544" t="s">
        <v>251</v>
      </c>
      <c r="F7593" s="387">
        <v>1.0</v>
      </c>
      <c r="G7593" s="140">
        <v>350000.0</v>
      </c>
      <c r="H7593" s="140">
        <v>100000.0</v>
      </c>
      <c r="I7593" s="74">
        <f t="shared" si="1"/>
        <v>250000</v>
      </c>
      <c r="J7593" s="74">
        <f>IF(E7593="SERVICE",I7593-(I7593*50%),Vlookup(E7593,DATABASE!C:Q,10,false)*F7593)</f>
        <v>125000</v>
      </c>
      <c r="K7593" s="74">
        <f>VLOOKUP(E7593,DATABASE!C:Q,7,false)</f>
        <v>0</v>
      </c>
      <c r="L7593" s="74">
        <v>0.0</v>
      </c>
      <c r="M7593" s="74">
        <f t="shared" si="2"/>
        <v>0</v>
      </c>
      <c r="N7593" s="74">
        <f t="shared" si="3"/>
        <v>125000</v>
      </c>
      <c r="O7593" s="65" t="str">
        <f>VLOOKUP(E7593,DATABASE!C:Q,8,false)</f>
        <v>IBU</v>
      </c>
      <c r="P7593" s="65">
        <f>VLOOKUP(E7593,DATABASE!C:Q,9,False)</f>
        <v>0</v>
      </c>
      <c r="Q7593" s="93" t="str">
        <f>VLOOKUP(E7593,DATABASE!C:Q,4,false)</f>
        <v>SERVICE</v>
      </c>
      <c r="R7593" s="93" t="str">
        <f>VLOOKUP(E7593,DATABASE!C:Q,11,false)</f>
        <v>SERVICE</v>
      </c>
    </row>
    <row r="7594" ht="22.5" customHeight="1">
      <c r="A7594" s="49"/>
      <c r="C7594" s="400">
        <v>46099.0</v>
      </c>
      <c r="D7594" s="524">
        <v>731.0</v>
      </c>
      <c r="E7594" s="544" t="s">
        <v>932</v>
      </c>
      <c r="F7594" s="387">
        <v>1.0</v>
      </c>
      <c r="G7594" s="140">
        <v>680000.0</v>
      </c>
      <c r="H7594" s="74"/>
      <c r="I7594" s="74">
        <f t="shared" si="1"/>
        <v>680000</v>
      </c>
      <c r="J7594" s="74">
        <f>IF(E7594="SERVICE",I7594-(I7594*50%),Vlookup(E7594,DATABASE!C:Q,10,false)*F7594)</f>
        <v>0</v>
      </c>
      <c r="K7594" s="74">
        <f>VLOOKUP(E7594,DATABASE!C:Q,7,false)</f>
        <v>601000</v>
      </c>
      <c r="L7594" s="74">
        <v>595000.0</v>
      </c>
      <c r="M7594" s="74">
        <f t="shared" si="2"/>
        <v>595000</v>
      </c>
      <c r="N7594" s="74">
        <f t="shared" si="3"/>
        <v>85000</v>
      </c>
      <c r="O7594" s="65" t="str">
        <f>VLOOKUP(E7594,DATABASE!C:Q,8,false)</f>
        <v>IBU</v>
      </c>
      <c r="P7594" s="65">
        <f>VLOOKUP(E7594,DATABASE!C:Q,9,False)</f>
        <v>1</v>
      </c>
      <c r="Q7594" s="93" t="str">
        <f>VLOOKUP(E7594,DATABASE!C:Q,4,false)</f>
        <v>Dunlop</v>
      </c>
      <c r="R7594" s="93" t="str">
        <f>VLOOKUP(E7594,DATABASE!C:Q,11,false)</f>
        <v>Tire</v>
      </c>
    </row>
    <row r="7595" ht="22.5" customHeight="1">
      <c r="A7595" s="49"/>
      <c r="C7595" s="400">
        <v>46099.0</v>
      </c>
      <c r="D7595" s="524">
        <v>732.0</v>
      </c>
      <c r="E7595" s="544" t="s">
        <v>856</v>
      </c>
      <c r="F7595" s="387">
        <v>2.0</v>
      </c>
      <c r="G7595" s="140">
        <v>670000.0</v>
      </c>
      <c r="H7595" s="74"/>
      <c r="I7595" s="74">
        <f t="shared" si="1"/>
        <v>1340000</v>
      </c>
      <c r="J7595" s="74">
        <f>IF(E7595="SERVICE",I7595-(I7595*50%),Vlookup(E7595,DATABASE!C:Q,10,false)*F7595)</f>
        <v>0</v>
      </c>
      <c r="K7595" s="74">
        <f>VLOOKUP(E7595,DATABASE!C:Q,7,false)</f>
        <v>615300</v>
      </c>
      <c r="L7595" s="74">
        <v>581120.0</v>
      </c>
      <c r="M7595" s="74">
        <f t="shared" si="2"/>
        <v>585000</v>
      </c>
      <c r="N7595" s="74">
        <f t="shared" si="3"/>
        <v>170000</v>
      </c>
      <c r="O7595" s="65" t="str">
        <f>VLOOKUP(E7595,DATABASE!C:Q,8,false)</f>
        <v>BIAN</v>
      </c>
      <c r="P7595" s="65">
        <f>VLOOKUP(E7595,DATABASE!C:Q,9,False)</f>
        <v>1</v>
      </c>
      <c r="Q7595" s="93" t="str">
        <f>VLOOKUP(E7595,DATABASE!C:Q,4,false)</f>
        <v>GT</v>
      </c>
      <c r="R7595" s="93" t="str">
        <f>VLOOKUP(E7595,DATABASE!C:Q,11,false)</f>
        <v>Tire</v>
      </c>
    </row>
    <row r="7596" ht="22.5" customHeight="1">
      <c r="A7596" s="49"/>
      <c r="C7596" s="400">
        <v>46099.0</v>
      </c>
      <c r="D7596" s="524">
        <v>733.0</v>
      </c>
      <c r="E7596" s="544" t="s">
        <v>287</v>
      </c>
      <c r="F7596" s="387">
        <v>2.0</v>
      </c>
      <c r="G7596" s="140">
        <v>780000.0</v>
      </c>
      <c r="H7596" s="74"/>
      <c r="I7596" s="74">
        <f t="shared" si="1"/>
        <v>1560000</v>
      </c>
      <c r="J7596" s="74">
        <f>IF(E7596="SERVICE",I7596-(I7596*50%),Vlookup(E7596,DATABASE!C:Q,10,false)*F7596)</f>
        <v>0</v>
      </c>
      <c r="K7596" s="74">
        <f>VLOOKUP(E7596,DATABASE!C:Q,7,false)</f>
        <v>711000</v>
      </c>
      <c r="L7596" s="74">
        <v>690600.0</v>
      </c>
      <c r="M7596" s="74">
        <f t="shared" si="2"/>
        <v>695000</v>
      </c>
      <c r="N7596" s="74">
        <f t="shared" si="3"/>
        <v>170000</v>
      </c>
      <c r="O7596" s="65" t="str">
        <f>VLOOKUP(E7596,DATABASE!C:Q,8,false)</f>
        <v>BIAN</v>
      </c>
      <c r="P7596" s="65">
        <f>VLOOKUP(E7596,DATABASE!C:Q,9,False)</f>
        <v>1</v>
      </c>
      <c r="Q7596" s="93" t="str">
        <f>VLOOKUP(E7596,DATABASE!C:Q,4,false)</f>
        <v>GT</v>
      </c>
      <c r="R7596" s="93" t="str">
        <f>VLOOKUP(E7596,DATABASE!C:Q,11,false)</f>
        <v>Tire</v>
      </c>
    </row>
    <row r="7597" ht="22.5" customHeight="1">
      <c r="A7597" s="49"/>
      <c r="C7597" s="400">
        <v>46099.0</v>
      </c>
      <c r="D7597" s="524">
        <v>734.0</v>
      </c>
      <c r="E7597" s="544" t="s">
        <v>256</v>
      </c>
      <c r="F7597" s="387">
        <v>1.0</v>
      </c>
      <c r="G7597" s="140">
        <v>175000.0</v>
      </c>
      <c r="H7597" s="140">
        <v>25000.0</v>
      </c>
      <c r="I7597" s="74">
        <f t="shared" si="1"/>
        <v>150000</v>
      </c>
      <c r="J7597" s="74">
        <f>IF(E7597="SERVICE",I7597-(I7597*50%),Vlookup(E7597,DATABASE!C:Q,10,false)*F7597)</f>
        <v>10000</v>
      </c>
      <c r="K7597" s="74">
        <f>VLOOKUP(E7597,DATABASE!C:Q,7,false)</f>
        <v>0</v>
      </c>
      <c r="L7597" s="74">
        <v>0.0</v>
      </c>
      <c r="M7597" s="74">
        <f t="shared" si="2"/>
        <v>0</v>
      </c>
      <c r="N7597" s="74">
        <f t="shared" si="3"/>
        <v>140000</v>
      </c>
      <c r="O7597" s="65" t="str">
        <f>VLOOKUP(E7597,DATABASE!C:Q,8,false)</f>
        <v>IBU</v>
      </c>
      <c r="P7597" s="65">
        <f>VLOOKUP(E7597,DATABASE!C:Q,9,False)</f>
        <v>0</v>
      </c>
      <c r="Q7597" s="93" t="str">
        <f>VLOOKUP(E7597,DATABASE!C:Q,4,false)</f>
        <v>SPOORING</v>
      </c>
      <c r="R7597" s="93" t="str">
        <f>VLOOKUP(E7597,DATABASE!C:Q,11,false)</f>
        <v>SERVICE</v>
      </c>
    </row>
    <row r="7598" ht="22.5" customHeight="1">
      <c r="A7598" s="49"/>
      <c r="C7598" s="400">
        <v>46099.0</v>
      </c>
      <c r="D7598" s="524">
        <v>736.0</v>
      </c>
      <c r="E7598" s="544" t="s">
        <v>1597</v>
      </c>
      <c r="F7598" s="387">
        <v>1.0</v>
      </c>
      <c r="G7598" s="140">
        <v>645000.0</v>
      </c>
      <c r="H7598" s="140">
        <v>15000.0</v>
      </c>
      <c r="I7598" s="74">
        <f t="shared" si="1"/>
        <v>630000</v>
      </c>
      <c r="J7598" s="74">
        <f>IF(E7598="SERVICE",I7598-(I7598*50%),Vlookup(E7598,DATABASE!C:Q,10,false)*F7598)</f>
        <v>0</v>
      </c>
      <c r="K7598" s="74">
        <f>VLOOKUP(E7598,DATABASE!C:Q,7,false)</f>
        <v>560700</v>
      </c>
      <c r="L7598" s="74">
        <v>544300.0</v>
      </c>
      <c r="M7598" s="74">
        <f t="shared" si="2"/>
        <v>545000</v>
      </c>
      <c r="N7598" s="74">
        <f t="shared" si="3"/>
        <v>85000</v>
      </c>
      <c r="O7598" s="65" t="str">
        <f>VLOOKUP(E7598,DATABASE!C:Q,8,false)</f>
        <v>BIAN</v>
      </c>
      <c r="P7598" s="65">
        <f>VLOOKUP(E7598,DATABASE!C:Q,9,False)</f>
        <v>1</v>
      </c>
      <c r="Q7598" s="93" t="str">
        <f>VLOOKUP(E7598,DATABASE!C:Q,4,false)</f>
        <v>GT</v>
      </c>
      <c r="R7598" s="93" t="str">
        <f>VLOOKUP(E7598,DATABASE!C:Q,11,false)</f>
        <v>Tire</v>
      </c>
    </row>
    <row r="7599" ht="22.5" customHeight="1">
      <c r="A7599" s="49"/>
      <c r="C7599" s="400">
        <v>46100.0</v>
      </c>
      <c r="D7599" s="524">
        <v>738.0</v>
      </c>
      <c r="E7599" s="544" t="s">
        <v>1076</v>
      </c>
      <c r="F7599" s="387">
        <v>1.0</v>
      </c>
      <c r="G7599" s="140">
        <v>770000.0</v>
      </c>
      <c r="H7599" s="74"/>
      <c r="I7599" s="74">
        <f t="shared" si="1"/>
        <v>770000</v>
      </c>
      <c r="J7599" s="74">
        <f>IF(E7599="SERVICE",I7599-(I7599*50%),Vlookup(E7599,DATABASE!C:Q,10,false)*F7599)</f>
        <v>0</v>
      </c>
      <c r="K7599" s="74">
        <f>VLOOKUP(E7599,DATABASE!C:Q,7,false)</f>
        <v>666540</v>
      </c>
      <c r="L7599" s="74">
        <v>666540.0</v>
      </c>
      <c r="M7599" s="74">
        <f t="shared" si="2"/>
        <v>670000</v>
      </c>
      <c r="N7599" s="74">
        <f t="shared" si="3"/>
        <v>100000</v>
      </c>
      <c r="O7599" s="65" t="str">
        <f>VLOOKUP(E7599,DATABASE!C:Q,8,false)</f>
        <v>BIAN</v>
      </c>
      <c r="P7599" s="65">
        <f>VLOOKUP(E7599,DATABASE!C:Q,9,False)</f>
        <v>1</v>
      </c>
      <c r="Q7599" s="93" t="str">
        <f>VLOOKUP(E7599,DATABASE!C:Q,4,false)</f>
        <v>GT</v>
      </c>
      <c r="R7599" s="93" t="str">
        <f>VLOOKUP(E7599,DATABASE!C:Q,11,false)</f>
        <v>Tire</v>
      </c>
    </row>
    <row r="7600" ht="22.5" customHeight="1">
      <c r="A7600" s="49"/>
      <c r="C7600" s="400">
        <v>46100.0</v>
      </c>
      <c r="D7600" s="524">
        <v>739.0</v>
      </c>
      <c r="E7600" s="544" t="s">
        <v>1617</v>
      </c>
      <c r="F7600" s="387">
        <v>1.0</v>
      </c>
      <c r="G7600" s="140">
        <v>850000.0</v>
      </c>
      <c r="H7600" s="140">
        <v>10000.0</v>
      </c>
      <c r="I7600" s="74">
        <f t="shared" si="1"/>
        <v>840000</v>
      </c>
      <c r="J7600" s="74">
        <f>IF(E7600="SERVICE",I7600-(I7600*50%),Vlookup(E7600,DATABASE!C:Q,10,false)*F7600)</f>
        <v>0</v>
      </c>
      <c r="K7600" s="74">
        <f>VLOOKUP(E7600,DATABASE!C:Q,7,false)</f>
        <v>739000</v>
      </c>
      <c r="L7600" s="74">
        <v>739000.0</v>
      </c>
      <c r="M7600" s="74">
        <f t="shared" si="2"/>
        <v>740000</v>
      </c>
      <c r="N7600" s="74">
        <f t="shared" si="3"/>
        <v>100000</v>
      </c>
      <c r="O7600" s="65" t="str">
        <f>VLOOKUP(E7600,DATABASE!C:Q,8,false)</f>
        <v>BIAN</v>
      </c>
      <c r="P7600" s="65">
        <f>VLOOKUP(E7600,DATABASE!C:Q,9,False)</f>
        <v>1</v>
      </c>
      <c r="Q7600" s="93" t="str">
        <f>VLOOKUP(E7600,DATABASE!C:Q,4,false)</f>
        <v>GT</v>
      </c>
      <c r="R7600" s="93" t="str">
        <f>VLOOKUP(E7600,DATABASE!C:Q,11,false)</f>
        <v>Tire</v>
      </c>
    </row>
    <row r="7601" ht="22.5" customHeight="1">
      <c r="A7601" s="49"/>
      <c r="C7601" s="400">
        <v>46100.0</v>
      </c>
      <c r="D7601" s="524">
        <v>740.0</v>
      </c>
      <c r="E7601" s="544" t="s">
        <v>2626</v>
      </c>
      <c r="F7601" s="387">
        <v>3.0</v>
      </c>
      <c r="G7601" s="140">
        <v>640000.0</v>
      </c>
      <c r="H7601" s="74"/>
      <c r="I7601" s="74">
        <f t="shared" si="1"/>
        <v>1920000</v>
      </c>
      <c r="J7601" s="74">
        <f>IF(E7601="SERVICE",I7601-(I7601*50%),Vlookup(E7601,DATABASE!C:Q,10,false)*F7601)</f>
        <v>0</v>
      </c>
      <c r="K7601" s="74">
        <f>VLOOKUP(E7601,DATABASE!C:Q,7,false)</f>
        <v>548000</v>
      </c>
      <c r="L7601" s="74">
        <v>548000.0</v>
      </c>
      <c r="M7601" s="74">
        <f t="shared" si="2"/>
        <v>550000</v>
      </c>
      <c r="N7601" s="74">
        <f t="shared" si="3"/>
        <v>270000</v>
      </c>
      <c r="O7601" s="65" t="str">
        <f>VLOOKUP(E7601,DATABASE!C:Q,8,false)</f>
        <v>Bian</v>
      </c>
      <c r="P7601" s="65">
        <f>VLOOKUP(E7601,DATABASE!C:Q,9,False)</f>
        <v>1</v>
      </c>
      <c r="Q7601" s="93" t="str">
        <f>VLOOKUP(E7601,DATABASE!C:Q,4,false)</f>
        <v>Laufen</v>
      </c>
      <c r="R7601" s="93" t="str">
        <f>VLOOKUP(E7601,DATABASE!C:Q,11,false)</f>
        <v>Tire</v>
      </c>
    </row>
    <row r="7602" ht="22.5" customHeight="1">
      <c r="A7602" s="49"/>
      <c r="C7602" s="400">
        <v>46100.0</v>
      </c>
      <c r="D7602" s="524">
        <v>741.0</v>
      </c>
      <c r="E7602" s="544" t="s">
        <v>1009</v>
      </c>
      <c r="F7602" s="387">
        <v>1.0</v>
      </c>
      <c r="G7602" s="140">
        <v>700000.0</v>
      </c>
      <c r="H7602" s="140">
        <v>15000.0</v>
      </c>
      <c r="I7602" s="74">
        <f t="shared" si="1"/>
        <v>685000</v>
      </c>
      <c r="J7602" s="74">
        <f>IF(E7602="SERVICE",I7602-(I7602*50%),Vlookup(E7602,DATABASE!C:Q,10,false)*F7602)</f>
        <v>0</v>
      </c>
      <c r="K7602" s="74">
        <f>VLOOKUP(E7602,DATABASE!C:Q,7,false)</f>
        <v>609800</v>
      </c>
      <c r="L7602" s="74">
        <v>592200.0</v>
      </c>
      <c r="M7602" s="74">
        <f t="shared" si="2"/>
        <v>595000</v>
      </c>
      <c r="N7602" s="74">
        <f t="shared" si="3"/>
        <v>90000</v>
      </c>
      <c r="O7602" s="65" t="str">
        <f>VLOOKUP(E7602,DATABASE!C:Q,8,false)</f>
        <v>BIAN</v>
      </c>
      <c r="P7602" s="65">
        <f>VLOOKUP(E7602,DATABASE!C:Q,9,False)</f>
        <v>1</v>
      </c>
      <c r="Q7602" s="93" t="str">
        <f>VLOOKUP(E7602,DATABASE!C:Q,4,false)</f>
        <v>GT</v>
      </c>
      <c r="R7602" s="93" t="str">
        <f>VLOOKUP(E7602,DATABASE!C:Q,11,false)</f>
        <v>Tire</v>
      </c>
    </row>
    <row r="7603" ht="22.5" customHeight="1">
      <c r="A7603" s="49"/>
      <c r="C7603" s="400">
        <v>46100.0</v>
      </c>
      <c r="D7603" s="524">
        <v>742.0</v>
      </c>
      <c r="E7603" s="544" t="s">
        <v>1009</v>
      </c>
      <c r="F7603" s="387">
        <v>1.0</v>
      </c>
      <c r="G7603" s="140">
        <v>700000.0</v>
      </c>
      <c r="H7603" s="140">
        <v>15000.0</v>
      </c>
      <c r="I7603" s="74">
        <f t="shared" si="1"/>
        <v>685000</v>
      </c>
      <c r="J7603" s="74">
        <f>IF(E7603="SERVICE",I7603-(I7603*50%),Vlookup(E7603,DATABASE!C:Q,10,false)*F7603)</f>
        <v>0</v>
      </c>
      <c r="K7603" s="74">
        <f>VLOOKUP(E7603,DATABASE!C:Q,7,false)</f>
        <v>609800</v>
      </c>
      <c r="L7603" s="74">
        <v>592200.0</v>
      </c>
      <c r="M7603" s="74">
        <f t="shared" si="2"/>
        <v>595000</v>
      </c>
      <c r="N7603" s="74">
        <f t="shared" si="3"/>
        <v>90000</v>
      </c>
      <c r="O7603" s="65" t="str">
        <f>VLOOKUP(E7603,DATABASE!C:Q,8,false)</f>
        <v>BIAN</v>
      </c>
      <c r="P7603" s="65">
        <f>VLOOKUP(E7603,DATABASE!C:Q,9,False)</f>
        <v>1</v>
      </c>
      <c r="Q7603" s="93" t="str">
        <f>VLOOKUP(E7603,DATABASE!C:Q,4,false)</f>
        <v>GT</v>
      </c>
      <c r="R7603" s="93" t="str">
        <f>VLOOKUP(E7603,DATABASE!C:Q,11,false)</f>
        <v>Tire</v>
      </c>
    </row>
    <row r="7604" ht="22.5" customHeight="1">
      <c r="A7604" s="49"/>
      <c r="C7604" s="400">
        <v>46100.0</v>
      </c>
      <c r="D7604" s="524">
        <v>743.0</v>
      </c>
      <c r="E7604" s="544" t="s">
        <v>250</v>
      </c>
      <c r="F7604" s="387">
        <v>1.0</v>
      </c>
      <c r="G7604" s="140">
        <v>135000.0</v>
      </c>
      <c r="H7604" s="74"/>
      <c r="I7604" s="74">
        <f t="shared" si="1"/>
        <v>135000</v>
      </c>
      <c r="J7604" s="74">
        <f>IF(E7604="SERVICE",I7604-(I7604*50%),Vlookup(E7604,DATABASE!C:Q,10,false)*F7604)</f>
        <v>0</v>
      </c>
      <c r="K7604" s="74">
        <f>VLOOKUP(E7604,DATABASE!C:Q,7,false)</f>
        <v>102000</v>
      </c>
      <c r="L7604" s="74">
        <v>102000.0</v>
      </c>
      <c r="M7604" s="74">
        <f t="shared" si="2"/>
        <v>105000</v>
      </c>
      <c r="N7604" s="74">
        <f t="shared" si="3"/>
        <v>30000</v>
      </c>
      <c r="O7604" s="65" t="str">
        <f>VLOOKUP(E7604,DATABASE!C:Q,8,false)</f>
        <v>BIAN</v>
      </c>
      <c r="P7604" s="65">
        <f>VLOOKUP(E7604,DATABASE!C:Q,9,False)</f>
        <v>1</v>
      </c>
      <c r="Q7604" s="93" t="str">
        <f>VLOOKUP(E7604,DATABASE!C:Q,4,false)</f>
        <v>BD</v>
      </c>
      <c r="R7604" s="93" t="str">
        <f>VLOOKUP(E7604,DATABASE!C:Q,11,false)</f>
        <v>Tire</v>
      </c>
    </row>
    <row r="7605" ht="22.5" customHeight="1">
      <c r="A7605" s="49"/>
      <c r="C7605" s="400">
        <v>46100.0</v>
      </c>
      <c r="D7605" s="524">
        <v>744.0</v>
      </c>
      <c r="E7605" s="544" t="s">
        <v>256</v>
      </c>
      <c r="F7605" s="387">
        <v>1.0</v>
      </c>
      <c r="G7605" s="140">
        <v>175000.0</v>
      </c>
      <c r="H7605" s="140">
        <v>25000.0</v>
      </c>
      <c r="I7605" s="74">
        <f t="shared" si="1"/>
        <v>150000</v>
      </c>
      <c r="J7605" s="74">
        <f>IF(E7605="SERVICE",I7605-(I7605*50%),Vlookup(E7605,DATABASE!C:Q,10,false)*F7605)</f>
        <v>10000</v>
      </c>
      <c r="K7605" s="74">
        <f>VLOOKUP(E7605,DATABASE!C:Q,7,false)</f>
        <v>0</v>
      </c>
      <c r="L7605" s="74">
        <v>0.0</v>
      </c>
      <c r="M7605" s="74">
        <f t="shared" si="2"/>
        <v>0</v>
      </c>
      <c r="N7605" s="74">
        <f t="shared" si="3"/>
        <v>140000</v>
      </c>
      <c r="O7605" s="65" t="str">
        <f>VLOOKUP(E7605,DATABASE!C:Q,8,false)</f>
        <v>IBU</v>
      </c>
      <c r="P7605" s="65">
        <f>VLOOKUP(E7605,DATABASE!C:Q,9,False)</f>
        <v>0</v>
      </c>
      <c r="Q7605" s="93" t="str">
        <f>VLOOKUP(E7605,DATABASE!C:Q,4,false)</f>
        <v>SPOORING</v>
      </c>
      <c r="R7605" s="93" t="str">
        <f>VLOOKUP(E7605,DATABASE!C:Q,11,false)</f>
        <v>SERVICE</v>
      </c>
    </row>
    <row r="7606" ht="22.5" customHeight="1">
      <c r="A7606" s="49"/>
      <c r="C7606" s="400">
        <v>46100.0</v>
      </c>
      <c r="D7606" s="524">
        <v>744.0</v>
      </c>
      <c r="E7606" s="544" t="s">
        <v>251</v>
      </c>
      <c r="F7606" s="387">
        <v>1.0</v>
      </c>
      <c r="G7606" s="140">
        <v>350000.0</v>
      </c>
      <c r="H7606" s="140">
        <v>200000.0</v>
      </c>
      <c r="I7606" s="74">
        <f t="shared" si="1"/>
        <v>150000</v>
      </c>
      <c r="J7606" s="74">
        <f>IF(E7606="SERVICE",I7606-(I7606*50%),Vlookup(E7606,DATABASE!C:Q,10,false)*F7606)</f>
        <v>75000</v>
      </c>
      <c r="K7606" s="74">
        <f>VLOOKUP(E7606,DATABASE!C:Q,7,false)</f>
        <v>0</v>
      </c>
      <c r="L7606" s="74">
        <v>0.0</v>
      </c>
      <c r="M7606" s="74">
        <f t="shared" si="2"/>
        <v>0</v>
      </c>
      <c r="N7606" s="74">
        <f t="shared" si="3"/>
        <v>75000</v>
      </c>
      <c r="O7606" s="65" t="str">
        <f>VLOOKUP(E7606,DATABASE!C:Q,8,false)</f>
        <v>IBU</v>
      </c>
      <c r="P7606" s="65">
        <f>VLOOKUP(E7606,DATABASE!C:Q,9,False)</f>
        <v>0</v>
      </c>
      <c r="Q7606" s="93" t="str">
        <f>VLOOKUP(E7606,DATABASE!C:Q,4,false)</f>
        <v>SERVICE</v>
      </c>
      <c r="R7606" s="93" t="str">
        <f>VLOOKUP(E7606,DATABASE!C:Q,11,false)</f>
        <v>SERVICE</v>
      </c>
    </row>
    <row r="7607" ht="22.5" customHeight="1">
      <c r="A7607" s="49"/>
      <c r="C7607" s="400">
        <v>46100.0</v>
      </c>
      <c r="D7607" s="524">
        <v>745.0</v>
      </c>
      <c r="E7607" s="544" t="s">
        <v>288</v>
      </c>
      <c r="F7607" s="387">
        <v>2.0</v>
      </c>
      <c r="G7607" s="140">
        <v>620000.0</v>
      </c>
      <c r="H7607" s="74"/>
      <c r="I7607" s="74">
        <f t="shared" si="1"/>
        <v>1240000</v>
      </c>
      <c r="J7607" s="74">
        <f>IF(E7607="SERVICE",I7607-(I7607*50%),Vlookup(E7607,DATABASE!C:Q,10,false)*F7607)</f>
        <v>0</v>
      </c>
      <c r="K7607" s="74">
        <f>VLOOKUP(E7607,DATABASE!C:Q,7,false)</f>
        <v>565760</v>
      </c>
      <c r="L7607" s="74">
        <v>524800.0</v>
      </c>
      <c r="M7607" s="74">
        <f t="shared" si="2"/>
        <v>525000</v>
      </c>
      <c r="N7607" s="74">
        <f t="shared" si="3"/>
        <v>190000</v>
      </c>
      <c r="O7607" s="65" t="str">
        <f>VLOOKUP(E7607,DATABASE!C:Q,8,false)</f>
        <v>BIAN</v>
      </c>
      <c r="P7607" s="65">
        <f>VLOOKUP(E7607,DATABASE!C:Q,9,False)</f>
        <v>1</v>
      </c>
      <c r="Q7607" s="93" t="str">
        <f>VLOOKUP(E7607,DATABASE!C:Q,4,false)</f>
        <v>GT</v>
      </c>
      <c r="R7607" s="93" t="str">
        <f>VLOOKUP(E7607,DATABASE!C:Q,11,false)</f>
        <v>Tire</v>
      </c>
    </row>
    <row r="7608" ht="22.5" customHeight="1">
      <c r="A7608" s="49"/>
      <c r="C7608" s="400">
        <v>46100.0</v>
      </c>
      <c r="D7608" s="524">
        <v>747.0</v>
      </c>
      <c r="E7608" s="544" t="s">
        <v>2627</v>
      </c>
      <c r="F7608" s="387">
        <v>4.0</v>
      </c>
      <c r="G7608" s="140">
        <v>1210000.0</v>
      </c>
      <c r="H7608" s="74"/>
      <c r="I7608" s="74">
        <f t="shared" si="1"/>
        <v>4840000</v>
      </c>
      <c r="J7608" s="74">
        <f>IF(E7608="SERVICE",I7608-(I7608*50%),Vlookup(E7608,DATABASE!C:Q,10,false)*F7608)</f>
        <v>0</v>
      </c>
      <c r="K7608" s="74">
        <f>VLOOKUP(E7608,DATABASE!C:Q,7,false)</f>
        <v>1097400</v>
      </c>
      <c r="L7608" s="74">
        <v>1097400.0</v>
      </c>
      <c r="M7608" s="74">
        <f t="shared" si="2"/>
        <v>1100000</v>
      </c>
      <c r="N7608" s="74">
        <f t="shared" si="3"/>
        <v>440000</v>
      </c>
      <c r="O7608" s="65" t="str">
        <f>VLOOKUP(E7608,DATABASE!C:Q,8,false)</f>
        <v>BIAN</v>
      </c>
      <c r="P7608" s="65">
        <f>VLOOKUP(E7608,DATABASE!C:Q,9,False)</f>
        <v>1</v>
      </c>
      <c r="Q7608" s="93" t="str">
        <f>VLOOKUP(E7608,DATABASE!C:Q,4,false)</f>
        <v>GT</v>
      </c>
      <c r="R7608" s="93" t="str">
        <f>VLOOKUP(E7608,DATABASE!C:Q,11,false)</f>
        <v>Tire</v>
      </c>
    </row>
    <row r="7609" ht="22.5" customHeight="1">
      <c r="A7609" s="49"/>
      <c r="C7609" s="400">
        <v>46100.0</v>
      </c>
      <c r="D7609" s="524">
        <v>748.0</v>
      </c>
      <c r="E7609" s="544" t="s">
        <v>974</v>
      </c>
      <c r="F7609" s="387">
        <v>2.0</v>
      </c>
      <c r="G7609" s="140">
        <v>585000.0</v>
      </c>
      <c r="H7609" s="140">
        <v>5000.0</v>
      </c>
      <c r="I7609" s="74">
        <f t="shared" si="1"/>
        <v>1160000</v>
      </c>
      <c r="J7609" s="74">
        <f>IF(E7609="SERVICE",I7609-(I7609*50%),Vlookup(E7609,DATABASE!C:Q,10,false)*F7609)</f>
        <v>0</v>
      </c>
      <c r="K7609" s="74">
        <f>VLOOKUP(E7609,DATABASE!C:Q,7,false)</f>
        <v>501500</v>
      </c>
      <c r="L7609" s="74">
        <v>491000.0</v>
      </c>
      <c r="M7609" s="74">
        <f t="shared" si="2"/>
        <v>495000</v>
      </c>
      <c r="N7609" s="74">
        <f t="shared" si="3"/>
        <v>170000</v>
      </c>
      <c r="O7609" s="65" t="str">
        <f>VLOOKUP(E7609,DATABASE!C:Q,8,false)</f>
        <v>IBU</v>
      </c>
      <c r="P7609" s="65">
        <f>VLOOKUP(E7609,DATABASE!C:Q,9,False)</f>
        <v>1</v>
      </c>
      <c r="Q7609" s="93" t="str">
        <f>VLOOKUP(E7609,DATABASE!C:Q,4,false)</f>
        <v>Dunlop</v>
      </c>
      <c r="R7609" s="93" t="str">
        <f>VLOOKUP(E7609,DATABASE!C:Q,11,false)</f>
        <v>Tire</v>
      </c>
    </row>
    <row r="7610" ht="22.5" customHeight="1">
      <c r="A7610" s="49"/>
      <c r="C7610" s="400">
        <v>46100.0</v>
      </c>
      <c r="D7610" s="524">
        <v>749.0</v>
      </c>
      <c r="E7610" s="544" t="s">
        <v>937</v>
      </c>
      <c r="F7610" s="387">
        <v>2.0</v>
      </c>
      <c r="G7610" s="140">
        <v>910000.0</v>
      </c>
      <c r="H7610" s="140">
        <v>10000.0</v>
      </c>
      <c r="I7610" s="74">
        <f t="shared" si="1"/>
        <v>1800000</v>
      </c>
      <c r="J7610" s="74">
        <f>IF(E7610="SERVICE",I7610-(I7610*50%),Vlookup(E7610,DATABASE!C:Q,10,false)*F7610)</f>
        <v>0</v>
      </c>
      <c r="K7610" s="74">
        <f>VLOOKUP(E7610,DATABASE!C:Q,7,false)</f>
        <v>825000</v>
      </c>
      <c r="L7610" s="74">
        <v>815000.0</v>
      </c>
      <c r="M7610" s="74">
        <f t="shared" si="2"/>
        <v>815000</v>
      </c>
      <c r="N7610" s="74">
        <f t="shared" si="3"/>
        <v>170000</v>
      </c>
      <c r="O7610" s="65" t="str">
        <f>VLOOKUP(E7610,DATABASE!C:Q,8,false)</f>
        <v>IBU</v>
      </c>
      <c r="P7610" s="65">
        <f>VLOOKUP(E7610,DATABASE!C:Q,9,False)</f>
        <v>1</v>
      </c>
      <c r="Q7610" s="93" t="str">
        <f>VLOOKUP(E7610,DATABASE!C:Q,4,false)</f>
        <v>Bridgestone</v>
      </c>
      <c r="R7610" s="93" t="str">
        <f>VLOOKUP(E7610,DATABASE!C:Q,11,false)</f>
        <v>Tire</v>
      </c>
    </row>
    <row r="7611" ht="22.5" customHeight="1">
      <c r="A7611" s="49"/>
      <c r="C7611" s="400">
        <v>46100.0</v>
      </c>
      <c r="D7611" s="524">
        <v>750.0</v>
      </c>
      <c r="E7611" s="544" t="s">
        <v>265</v>
      </c>
      <c r="F7611" s="387">
        <v>2.0</v>
      </c>
      <c r="G7611" s="140">
        <v>685000.0</v>
      </c>
      <c r="H7611" s="140">
        <v>5000.0</v>
      </c>
      <c r="I7611" s="74">
        <f t="shared" si="1"/>
        <v>1360000</v>
      </c>
      <c r="J7611" s="74">
        <f>IF(E7611="SERVICE",I7611-(I7611*50%),Vlookup(E7611,DATABASE!C:Q,10,false)*F7611)</f>
        <v>0</v>
      </c>
      <c r="K7611" s="74">
        <f>VLOOKUP(E7611,DATABASE!C:Q,7,false)</f>
        <v>628000</v>
      </c>
      <c r="L7611" s="74">
        <v>600000.0</v>
      </c>
      <c r="M7611" s="74">
        <f t="shared" si="2"/>
        <v>600000</v>
      </c>
      <c r="N7611" s="74">
        <f t="shared" si="3"/>
        <v>160000</v>
      </c>
      <c r="O7611" s="65" t="str">
        <f>VLOOKUP(E7611,DATABASE!C:Q,8,false)</f>
        <v>IBU</v>
      </c>
      <c r="P7611" s="65">
        <f>VLOOKUP(E7611,DATABASE!C:Q,9,False)</f>
        <v>1</v>
      </c>
      <c r="Q7611" s="93" t="str">
        <f>VLOOKUP(E7611,DATABASE!C:Q,4,false)</f>
        <v>Dunlop</v>
      </c>
      <c r="R7611" s="93" t="str">
        <f>VLOOKUP(E7611,DATABASE!C:Q,11,false)</f>
        <v>Tire</v>
      </c>
    </row>
    <row r="7612" ht="22.5" customHeight="1">
      <c r="A7612" s="49"/>
      <c r="C7612" s="400">
        <v>46100.0</v>
      </c>
      <c r="D7612" s="524">
        <v>751.0</v>
      </c>
      <c r="E7612" s="544" t="s">
        <v>695</v>
      </c>
      <c r="F7612" s="387">
        <v>2.0</v>
      </c>
      <c r="G7612" s="140">
        <v>670000.0</v>
      </c>
      <c r="H7612" s="140">
        <v>10000.0</v>
      </c>
      <c r="I7612" s="74">
        <f t="shared" si="1"/>
        <v>1320000</v>
      </c>
      <c r="J7612" s="74">
        <f>IF(E7612="SERVICE",I7612-(I7612*50%),Vlookup(E7612,DATABASE!C:Q,10,false)*F7612)</f>
        <v>0</v>
      </c>
      <c r="K7612" s="74">
        <f>VLOOKUP(E7612,DATABASE!C:Q,7,false)</f>
        <v>582000</v>
      </c>
      <c r="L7612" s="74">
        <v>570000.0</v>
      </c>
      <c r="M7612" s="74">
        <f t="shared" si="2"/>
        <v>570000</v>
      </c>
      <c r="N7612" s="74">
        <f t="shared" si="3"/>
        <v>180000</v>
      </c>
      <c r="O7612" s="65" t="str">
        <f>VLOOKUP(E7612,DATABASE!C:Q,8,false)</f>
        <v>IBU</v>
      </c>
      <c r="P7612" s="65">
        <f>VLOOKUP(E7612,DATABASE!C:Q,9,False)</f>
        <v>1</v>
      </c>
      <c r="Q7612" s="93" t="str">
        <f>VLOOKUP(E7612,DATABASE!C:Q,4,false)</f>
        <v>Dunlop</v>
      </c>
      <c r="R7612" s="93" t="str">
        <f>VLOOKUP(E7612,DATABASE!C:Q,11,false)</f>
        <v>Tire</v>
      </c>
    </row>
    <row r="7613" ht="22.5" customHeight="1">
      <c r="A7613" s="49"/>
      <c r="C7613" s="400">
        <v>46100.0</v>
      </c>
      <c r="D7613" s="524">
        <v>751.0</v>
      </c>
      <c r="E7613" s="544" t="s">
        <v>299</v>
      </c>
      <c r="F7613" s="387">
        <v>2.0</v>
      </c>
      <c r="G7613" s="140">
        <v>30000.0</v>
      </c>
      <c r="H7613" s="74"/>
      <c r="I7613" s="74">
        <f t="shared" si="1"/>
        <v>60000</v>
      </c>
      <c r="J7613" s="74">
        <f>IF(E7613="SERVICE",I7613-(I7613*50%),Vlookup(E7613,DATABASE!C:Q,10,false)*F7613)</f>
        <v>0</v>
      </c>
      <c r="K7613" s="74">
        <f>VLOOKUP(E7613,DATABASE!C:Q,7,false)</f>
        <v>10000</v>
      </c>
      <c r="L7613" s="74">
        <v>10000.0</v>
      </c>
      <c r="M7613" s="74">
        <f t="shared" si="2"/>
        <v>10000</v>
      </c>
      <c r="N7613" s="74">
        <f t="shared" si="3"/>
        <v>40000</v>
      </c>
      <c r="O7613" s="65" t="str">
        <f>VLOOKUP(E7613,DATABASE!C:Q,8,false)</f>
        <v>BIAN</v>
      </c>
      <c r="P7613" s="65">
        <f>VLOOKUP(E7613,DATABASE!C:Q,9,False)</f>
        <v>0</v>
      </c>
      <c r="Q7613" s="93" t="str">
        <f>VLOOKUP(E7613,DATABASE!C:Q,4,false)</f>
        <v>Balancing</v>
      </c>
      <c r="R7613" s="93" t="str">
        <f>VLOOKUP(E7613,DATABASE!C:Q,11,false)</f>
        <v>COMPLEMENTARY</v>
      </c>
    </row>
    <row r="7614" ht="22.5" customHeight="1">
      <c r="A7614" s="49"/>
      <c r="C7614" s="400">
        <v>46100.0</v>
      </c>
      <c r="D7614" s="524">
        <v>751.0</v>
      </c>
      <c r="E7614" s="544" t="s">
        <v>256</v>
      </c>
      <c r="F7614" s="387">
        <v>1.0</v>
      </c>
      <c r="G7614" s="140">
        <v>175000.0</v>
      </c>
      <c r="H7614" s="140">
        <v>25000.0</v>
      </c>
      <c r="I7614" s="74">
        <f t="shared" si="1"/>
        <v>150000</v>
      </c>
      <c r="J7614" s="74">
        <f>IF(E7614="SERVICE",I7614-(I7614*50%),Vlookup(E7614,DATABASE!C:Q,10,false)*F7614)</f>
        <v>10000</v>
      </c>
      <c r="K7614" s="74">
        <f>VLOOKUP(E7614,DATABASE!C:Q,7,false)</f>
        <v>0</v>
      </c>
      <c r="L7614" s="74">
        <v>0.0</v>
      </c>
      <c r="M7614" s="74">
        <f t="shared" si="2"/>
        <v>0</v>
      </c>
      <c r="N7614" s="74">
        <f t="shared" si="3"/>
        <v>140000</v>
      </c>
      <c r="O7614" s="65" t="str">
        <f>VLOOKUP(E7614,DATABASE!C:Q,8,false)</f>
        <v>IBU</v>
      </c>
      <c r="P7614" s="65">
        <f>VLOOKUP(E7614,DATABASE!C:Q,9,False)</f>
        <v>0</v>
      </c>
      <c r="Q7614" s="93" t="str">
        <f>VLOOKUP(E7614,DATABASE!C:Q,4,false)</f>
        <v>SPOORING</v>
      </c>
      <c r="R7614" s="93" t="str">
        <f>VLOOKUP(E7614,DATABASE!C:Q,11,false)</f>
        <v>SERVICE</v>
      </c>
    </row>
    <row r="7615" ht="22.5" customHeight="1">
      <c r="A7615" s="49"/>
      <c r="C7615" s="400">
        <v>46100.0</v>
      </c>
      <c r="D7615" s="524">
        <v>751.0</v>
      </c>
      <c r="E7615" s="544" t="s">
        <v>301</v>
      </c>
      <c r="F7615" s="387">
        <v>1.0</v>
      </c>
      <c r="G7615" s="140">
        <v>250000.0</v>
      </c>
      <c r="H7615" s="74"/>
      <c r="I7615" s="74">
        <f t="shared" si="1"/>
        <v>250000</v>
      </c>
      <c r="J7615" s="74">
        <f>IF(E7615="SERVICE",I7615-(I7615*50%),Vlookup(E7615,DATABASE!C:Q,10,false)*F7615)</f>
        <v>75000</v>
      </c>
      <c r="K7615" s="74">
        <f>VLOOKUP(E7615,DATABASE!C:Q,7,false)</f>
        <v>75000</v>
      </c>
      <c r="L7615" s="74">
        <v>75000.0</v>
      </c>
      <c r="M7615" s="74">
        <f t="shared" si="2"/>
        <v>75000</v>
      </c>
      <c r="N7615" s="74">
        <f t="shared" si="3"/>
        <v>100000</v>
      </c>
      <c r="O7615" s="65" t="str">
        <f>VLOOKUP(E7615,DATABASE!C:Q,8,false)</f>
        <v>BIAN</v>
      </c>
      <c r="P7615" s="65">
        <f>VLOOKUP(E7615,DATABASE!C:Q,9,False)</f>
        <v>0</v>
      </c>
      <c r="Q7615" s="93" t="str">
        <f>VLOOKUP(E7615,DATABASE!C:Q,4,false)</f>
        <v>Baut Camber</v>
      </c>
      <c r="R7615" s="93" t="str">
        <f>VLOOKUP(E7615,DATABASE!C:Q,11,false)</f>
        <v>COMPLEMENTARY</v>
      </c>
    </row>
    <row r="7616" ht="22.5" customHeight="1">
      <c r="A7616" s="49"/>
      <c r="C7616" s="400">
        <v>46100.0</v>
      </c>
      <c r="D7616" s="524">
        <v>752.0</v>
      </c>
      <c r="E7616" s="544" t="s">
        <v>282</v>
      </c>
      <c r="F7616" s="387">
        <v>1.0</v>
      </c>
      <c r="G7616" s="140">
        <v>870000.0</v>
      </c>
      <c r="H7616" s="74"/>
      <c r="I7616" s="74">
        <f t="shared" si="1"/>
        <v>870000</v>
      </c>
      <c r="J7616" s="74">
        <f>IF(E7616="SERVICE",I7616-(I7616*50%),Vlookup(E7616,DATABASE!C:Q,10,false)*F7616)</f>
        <v>0</v>
      </c>
      <c r="K7616" s="74">
        <f>VLOOKUP(E7616,DATABASE!C:Q,7,false)</f>
        <v>779500</v>
      </c>
      <c r="L7616" s="74">
        <v>779500.0</v>
      </c>
      <c r="M7616" s="74">
        <f t="shared" si="2"/>
        <v>780000</v>
      </c>
      <c r="N7616" s="74">
        <f t="shared" si="3"/>
        <v>90000</v>
      </c>
      <c r="O7616" s="65" t="str">
        <f>VLOOKUP(E7616,DATABASE!C:Q,8,false)</f>
        <v>IBU</v>
      </c>
      <c r="P7616" s="65">
        <f>VLOOKUP(E7616,DATABASE!C:Q,9,False)</f>
        <v>1</v>
      </c>
      <c r="Q7616" s="93" t="str">
        <f>VLOOKUP(E7616,DATABASE!C:Q,4,false)</f>
        <v>Dunlop</v>
      </c>
      <c r="R7616" s="93" t="str">
        <f>VLOOKUP(E7616,DATABASE!C:Q,11,false)</f>
        <v>Tire</v>
      </c>
    </row>
    <row r="7617" ht="22.5" customHeight="1">
      <c r="A7617" s="49"/>
      <c r="C7617" s="400">
        <v>46100.0</v>
      </c>
      <c r="D7617" s="524">
        <v>753.0</v>
      </c>
      <c r="E7617" s="544" t="s">
        <v>1429</v>
      </c>
      <c r="F7617" s="387">
        <v>1.0</v>
      </c>
      <c r="G7617" s="140">
        <v>940000.0</v>
      </c>
      <c r="H7617" s="74"/>
      <c r="I7617" s="74">
        <f t="shared" si="1"/>
        <v>940000</v>
      </c>
      <c r="J7617" s="74">
        <f>IF(E7617="SERVICE",I7617-(I7617*50%),Vlookup(E7617,DATABASE!C:Q,10,false)*F7617)</f>
        <v>0</v>
      </c>
      <c r="K7617" s="74">
        <f>VLOOKUP(E7617,DATABASE!C:Q,7,false)</f>
        <v>849000</v>
      </c>
      <c r="L7617" s="74">
        <v>840000.0</v>
      </c>
      <c r="M7617" s="74">
        <f t="shared" si="2"/>
        <v>840000</v>
      </c>
      <c r="N7617" s="74">
        <f t="shared" si="3"/>
        <v>100000</v>
      </c>
      <c r="O7617" s="65" t="str">
        <f>VLOOKUP(E7617,DATABASE!C:Q,8,false)</f>
        <v>IBU</v>
      </c>
      <c r="P7617" s="65">
        <f>VLOOKUP(E7617,DATABASE!C:Q,9,False)</f>
        <v>1</v>
      </c>
      <c r="Q7617" s="93" t="str">
        <f>VLOOKUP(E7617,DATABASE!C:Q,4,false)</f>
        <v>Dunlop</v>
      </c>
      <c r="R7617" s="93" t="str">
        <f>VLOOKUP(E7617,DATABASE!C:Q,11,false)</f>
        <v>Tire</v>
      </c>
    </row>
    <row r="7618" ht="22.5" customHeight="1">
      <c r="A7618" s="49"/>
      <c r="C7618" s="400">
        <v>46100.0</v>
      </c>
      <c r="D7618" s="524">
        <v>754.0</v>
      </c>
      <c r="E7618" s="544" t="s">
        <v>613</v>
      </c>
      <c r="F7618" s="387">
        <v>1.0</v>
      </c>
      <c r="G7618" s="140">
        <v>95000.0</v>
      </c>
      <c r="H7618" s="74"/>
      <c r="I7618" s="74">
        <f t="shared" si="1"/>
        <v>95000</v>
      </c>
      <c r="J7618" s="74">
        <f>IF(E7618="SERVICE",I7618-(I7618*50%),Vlookup(E7618,DATABASE!C:Q,10,false)*F7618)</f>
        <v>0</v>
      </c>
      <c r="K7618" s="74">
        <f>VLOOKUP(E7618,DATABASE!C:Q,7,false)</f>
        <v>58371.2695</v>
      </c>
      <c r="L7618" s="74">
        <v>55000.0</v>
      </c>
      <c r="M7618" s="74">
        <f t="shared" si="2"/>
        <v>55000</v>
      </c>
      <c r="N7618" s="74">
        <f t="shared" si="3"/>
        <v>40000</v>
      </c>
      <c r="O7618" s="65" t="str">
        <f>VLOOKUP(E7618,DATABASE!C:Q,8,false)</f>
        <v>BIAN</v>
      </c>
      <c r="P7618" s="65">
        <f>VLOOKUP(E7618,DATABASE!C:Q,9,False)</f>
        <v>1</v>
      </c>
      <c r="Q7618" s="93" t="str">
        <f>VLOOKUP(E7618,DATABASE!C:Q,4,false)</f>
        <v>BD</v>
      </c>
      <c r="R7618" s="93" t="str">
        <f>VLOOKUP(E7618,DATABASE!C:Q,11,false)</f>
        <v>Tire</v>
      </c>
    </row>
    <row r="7619" ht="22.5" customHeight="1">
      <c r="A7619" s="49"/>
      <c r="C7619" s="400">
        <v>46100.0</v>
      </c>
      <c r="D7619" s="524">
        <v>755.0</v>
      </c>
      <c r="E7619" s="544" t="s">
        <v>1548</v>
      </c>
      <c r="F7619" s="387">
        <v>1.0</v>
      </c>
      <c r="G7619" s="140">
        <v>880000.0</v>
      </c>
      <c r="H7619" s="74"/>
      <c r="I7619" s="74">
        <f t="shared" si="1"/>
        <v>880000</v>
      </c>
      <c r="J7619" s="74">
        <f>IF(E7619="SERVICE",I7619-(I7619*50%),Vlookup(E7619,DATABASE!C:Q,10,false)*F7619)</f>
        <v>0</v>
      </c>
      <c r="K7619" s="74">
        <f>VLOOKUP(E7619,DATABASE!C:Q,7,false)</f>
        <v>778000</v>
      </c>
      <c r="L7619" s="74">
        <v>778000.0</v>
      </c>
      <c r="M7619" s="74">
        <f t="shared" si="2"/>
        <v>780000</v>
      </c>
      <c r="N7619" s="74">
        <f t="shared" si="3"/>
        <v>100000</v>
      </c>
      <c r="O7619" s="65" t="str">
        <f>VLOOKUP(E7619,DATABASE!C:Q,8,false)</f>
        <v>IBU</v>
      </c>
      <c r="P7619" s="65">
        <f>VLOOKUP(E7619,DATABASE!C:Q,9,False)</f>
        <v>1</v>
      </c>
      <c r="Q7619" s="93" t="str">
        <f>VLOOKUP(E7619,DATABASE!C:Q,4,false)</f>
        <v>Dunlop</v>
      </c>
      <c r="R7619" s="93" t="str">
        <f>VLOOKUP(E7619,DATABASE!C:Q,11,false)</f>
        <v>Tire</v>
      </c>
    </row>
    <row r="7620" ht="22.5" customHeight="1">
      <c r="A7620" s="49"/>
      <c r="C7620" s="400">
        <v>46100.0</v>
      </c>
      <c r="D7620" s="524">
        <v>755.0</v>
      </c>
      <c r="E7620" s="544" t="s">
        <v>256</v>
      </c>
      <c r="F7620" s="387">
        <v>1.0</v>
      </c>
      <c r="G7620" s="140">
        <v>175000.0</v>
      </c>
      <c r="H7620" s="140">
        <v>25000.0</v>
      </c>
      <c r="I7620" s="74">
        <f t="shared" si="1"/>
        <v>150000</v>
      </c>
      <c r="J7620" s="74">
        <f>IF(E7620="SERVICE",I7620-(I7620*50%),Vlookup(E7620,DATABASE!C:Q,10,false)*F7620)</f>
        <v>10000</v>
      </c>
      <c r="K7620" s="74">
        <f>VLOOKUP(E7620,DATABASE!C:Q,7,false)</f>
        <v>0</v>
      </c>
      <c r="L7620" s="74">
        <v>0.0</v>
      </c>
      <c r="M7620" s="74">
        <f t="shared" si="2"/>
        <v>0</v>
      </c>
      <c r="N7620" s="74">
        <f t="shared" si="3"/>
        <v>140000</v>
      </c>
      <c r="O7620" s="65" t="str">
        <f>VLOOKUP(E7620,DATABASE!C:Q,8,false)</f>
        <v>IBU</v>
      </c>
      <c r="P7620" s="65">
        <f>VLOOKUP(E7620,DATABASE!C:Q,9,False)</f>
        <v>0</v>
      </c>
      <c r="Q7620" s="93" t="str">
        <f>VLOOKUP(E7620,DATABASE!C:Q,4,false)</f>
        <v>SPOORING</v>
      </c>
      <c r="R7620" s="93" t="str">
        <f>VLOOKUP(E7620,DATABASE!C:Q,11,false)</f>
        <v>SERVICE</v>
      </c>
    </row>
    <row r="7621" ht="22.5" customHeight="1">
      <c r="A7621" s="49"/>
      <c r="C7621" s="400">
        <v>46100.0</v>
      </c>
      <c r="D7621" s="524">
        <v>755.0</v>
      </c>
      <c r="E7621" s="544" t="s">
        <v>301</v>
      </c>
      <c r="F7621" s="387">
        <v>1.0</v>
      </c>
      <c r="G7621" s="140">
        <v>250000.0</v>
      </c>
      <c r="H7621" s="74"/>
      <c r="I7621" s="74">
        <f t="shared" si="1"/>
        <v>250000</v>
      </c>
      <c r="J7621" s="74">
        <f>IF(E7621="SERVICE",I7621-(I7621*50%),Vlookup(E7621,DATABASE!C:Q,10,false)*F7621)</f>
        <v>75000</v>
      </c>
      <c r="K7621" s="74">
        <f>VLOOKUP(E7621,DATABASE!C:Q,7,false)</f>
        <v>75000</v>
      </c>
      <c r="L7621" s="74">
        <v>75000.0</v>
      </c>
      <c r="M7621" s="74">
        <f t="shared" si="2"/>
        <v>75000</v>
      </c>
      <c r="N7621" s="74">
        <f t="shared" si="3"/>
        <v>100000</v>
      </c>
      <c r="O7621" s="65" t="str">
        <f>VLOOKUP(E7621,DATABASE!C:Q,8,false)</f>
        <v>BIAN</v>
      </c>
      <c r="P7621" s="65">
        <f>VLOOKUP(E7621,DATABASE!C:Q,9,False)</f>
        <v>0</v>
      </c>
      <c r="Q7621" s="93" t="str">
        <f>VLOOKUP(E7621,DATABASE!C:Q,4,false)</f>
        <v>Baut Camber</v>
      </c>
      <c r="R7621" s="93" t="str">
        <f>VLOOKUP(E7621,DATABASE!C:Q,11,false)</f>
        <v>COMPLEMENTARY</v>
      </c>
    </row>
    <row r="7622" ht="22.5" customHeight="1">
      <c r="A7622" s="49"/>
      <c r="C7622" s="400">
        <v>46100.0</v>
      </c>
      <c r="D7622" s="524">
        <v>756.0</v>
      </c>
      <c r="E7622" s="544" t="s">
        <v>614</v>
      </c>
      <c r="F7622" s="387">
        <v>2.0</v>
      </c>
      <c r="G7622" s="140">
        <v>820000.0</v>
      </c>
      <c r="H7622" s="74"/>
      <c r="I7622" s="74">
        <f t="shared" si="1"/>
        <v>1640000</v>
      </c>
      <c r="J7622" s="74">
        <f>IF(E7622="SERVICE",I7622-(I7622*50%),Vlookup(E7622,DATABASE!C:Q,10,false)*F7622)</f>
        <v>0</v>
      </c>
      <c r="K7622" s="74">
        <f>VLOOKUP(E7622,DATABASE!C:Q,7,false)</f>
        <v>754660.6</v>
      </c>
      <c r="L7622" s="74">
        <v>727756.0</v>
      </c>
      <c r="M7622" s="74">
        <f t="shared" si="2"/>
        <v>730000</v>
      </c>
      <c r="N7622" s="74">
        <f t="shared" si="3"/>
        <v>180000</v>
      </c>
      <c r="O7622" s="65" t="str">
        <f>VLOOKUP(E7622,DATABASE!C:Q,8,false)</f>
        <v>IBU</v>
      </c>
      <c r="P7622" s="65">
        <f>VLOOKUP(E7622,DATABASE!C:Q,9,False)</f>
        <v>1</v>
      </c>
      <c r="Q7622" s="93" t="str">
        <f>VLOOKUP(E7622,DATABASE!C:Q,4,false)</f>
        <v>Bridgestone</v>
      </c>
      <c r="R7622" s="93" t="str">
        <f>VLOOKUP(E7622,DATABASE!C:Q,11,false)</f>
        <v>Tire</v>
      </c>
    </row>
    <row r="7623" ht="22.5" customHeight="1">
      <c r="A7623" s="49"/>
      <c r="C7623" s="400">
        <v>46100.0</v>
      </c>
      <c r="D7623" s="524">
        <v>756.0</v>
      </c>
      <c r="E7623" s="544" t="s">
        <v>299</v>
      </c>
      <c r="F7623" s="387">
        <v>2.0</v>
      </c>
      <c r="G7623" s="140">
        <v>30000.0</v>
      </c>
      <c r="H7623" s="74"/>
      <c r="I7623" s="74">
        <f t="shared" si="1"/>
        <v>60000</v>
      </c>
      <c r="J7623" s="74">
        <f>IF(E7623="SERVICE",I7623-(I7623*50%),Vlookup(E7623,DATABASE!C:Q,10,false)*F7623)</f>
        <v>0</v>
      </c>
      <c r="K7623" s="74">
        <f>VLOOKUP(E7623,DATABASE!C:Q,7,false)</f>
        <v>10000</v>
      </c>
      <c r="L7623" s="74">
        <v>10000.0</v>
      </c>
      <c r="M7623" s="74">
        <f t="shared" si="2"/>
        <v>10000</v>
      </c>
      <c r="N7623" s="74">
        <f t="shared" si="3"/>
        <v>40000</v>
      </c>
      <c r="O7623" s="65" t="str">
        <f>VLOOKUP(E7623,DATABASE!C:Q,8,false)</f>
        <v>BIAN</v>
      </c>
      <c r="P7623" s="65">
        <f>VLOOKUP(E7623,DATABASE!C:Q,9,False)</f>
        <v>0</v>
      </c>
      <c r="Q7623" s="93" t="str">
        <f>VLOOKUP(E7623,DATABASE!C:Q,4,false)</f>
        <v>Balancing</v>
      </c>
      <c r="R7623" s="93" t="str">
        <f>VLOOKUP(E7623,DATABASE!C:Q,11,false)</f>
        <v>COMPLEMENTARY</v>
      </c>
    </row>
    <row r="7624" ht="22.5" customHeight="1">
      <c r="A7624" s="49"/>
      <c r="C7624" s="400">
        <v>46100.0</v>
      </c>
      <c r="D7624" s="524">
        <v>756.0</v>
      </c>
      <c r="E7624" s="544" t="s">
        <v>256</v>
      </c>
      <c r="F7624" s="387">
        <v>1.0</v>
      </c>
      <c r="G7624" s="140">
        <v>175000.0</v>
      </c>
      <c r="H7624" s="140">
        <v>25000.0</v>
      </c>
      <c r="I7624" s="74">
        <f t="shared" si="1"/>
        <v>150000</v>
      </c>
      <c r="J7624" s="74">
        <f>IF(E7624="SERVICE",I7624-(I7624*50%),Vlookup(E7624,DATABASE!C:Q,10,false)*F7624)</f>
        <v>10000</v>
      </c>
      <c r="K7624" s="74">
        <f>VLOOKUP(E7624,DATABASE!C:Q,7,false)</f>
        <v>0</v>
      </c>
      <c r="L7624" s="74">
        <v>0.0</v>
      </c>
      <c r="M7624" s="74">
        <f t="shared" si="2"/>
        <v>0</v>
      </c>
      <c r="N7624" s="74">
        <f t="shared" si="3"/>
        <v>140000</v>
      </c>
      <c r="O7624" s="65" t="str">
        <f>VLOOKUP(E7624,DATABASE!C:Q,8,false)</f>
        <v>IBU</v>
      </c>
      <c r="P7624" s="65">
        <f>VLOOKUP(E7624,DATABASE!C:Q,9,False)</f>
        <v>0</v>
      </c>
      <c r="Q7624" s="93" t="str">
        <f>VLOOKUP(E7624,DATABASE!C:Q,4,false)</f>
        <v>SPOORING</v>
      </c>
      <c r="R7624" s="93" t="str">
        <f>VLOOKUP(E7624,DATABASE!C:Q,11,false)</f>
        <v>SERVICE</v>
      </c>
    </row>
    <row r="7625" ht="22.5" customHeight="1">
      <c r="A7625" s="49"/>
      <c r="C7625" s="400">
        <v>46100.0</v>
      </c>
      <c r="D7625" s="524">
        <v>756.0</v>
      </c>
      <c r="E7625" s="544" t="s">
        <v>301</v>
      </c>
      <c r="F7625" s="387">
        <v>1.0</v>
      </c>
      <c r="G7625" s="140">
        <v>250000.0</v>
      </c>
      <c r="H7625" s="74"/>
      <c r="I7625" s="74">
        <f t="shared" si="1"/>
        <v>250000</v>
      </c>
      <c r="J7625" s="74">
        <f>IF(E7625="SERVICE",I7625-(I7625*50%),Vlookup(E7625,DATABASE!C:Q,10,false)*F7625)</f>
        <v>75000</v>
      </c>
      <c r="K7625" s="74">
        <f>VLOOKUP(E7625,DATABASE!C:Q,7,false)</f>
        <v>75000</v>
      </c>
      <c r="L7625" s="74">
        <v>75000.0</v>
      </c>
      <c r="M7625" s="74">
        <f t="shared" si="2"/>
        <v>75000</v>
      </c>
      <c r="N7625" s="74">
        <f t="shared" si="3"/>
        <v>100000</v>
      </c>
      <c r="O7625" s="65" t="str">
        <f>VLOOKUP(E7625,DATABASE!C:Q,8,false)</f>
        <v>BIAN</v>
      </c>
      <c r="P7625" s="65">
        <f>VLOOKUP(E7625,DATABASE!C:Q,9,False)</f>
        <v>0</v>
      </c>
      <c r="Q7625" s="93" t="str">
        <f>VLOOKUP(E7625,DATABASE!C:Q,4,false)</f>
        <v>Baut Camber</v>
      </c>
      <c r="R7625" s="93" t="str">
        <f>VLOOKUP(E7625,DATABASE!C:Q,11,false)</f>
        <v>COMPLEMENTARY</v>
      </c>
    </row>
    <row r="7626" ht="22.5" customHeight="1">
      <c r="A7626" s="49"/>
      <c r="C7626" s="400">
        <v>46100.0</v>
      </c>
      <c r="D7626" s="524">
        <v>757.0</v>
      </c>
      <c r="E7626" s="544" t="s">
        <v>246</v>
      </c>
      <c r="F7626" s="387">
        <v>1.0</v>
      </c>
      <c r="G7626" s="140">
        <v>35000.0</v>
      </c>
      <c r="H7626" s="140">
        <v>10000.0</v>
      </c>
      <c r="I7626" s="74">
        <f t="shared" si="1"/>
        <v>25000</v>
      </c>
      <c r="J7626" s="74">
        <f>IF(E7626="SERVICE",I7626-(I7626*50%),Vlookup(E7626,DATABASE!C:Q,10,false)*F7626)</f>
        <v>0</v>
      </c>
      <c r="K7626" s="74">
        <f>VLOOKUP(E7626,DATABASE!C:Q,7,false)</f>
        <v>0</v>
      </c>
      <c r="L7626" s="74">
        <v>0.0</v>
      </c>
      <c r="M7626" s="74">
        <f t="shared" si="2"/>
        <v>0</v>
      </c>
      <c r="N7626" s="74">
        <f t="shared" si="3"/>
        <v>25000</v>
      </c>
      <c r="O7626" s="65" t="str">
        <f>VLOOKUP(E7626,DATABASE!C:Q,8,false)</f>
        <v>IBU</v>
      </c>
      <c r="P7626" s="65">
        <f>VLOOKUP(E7626,DATABASE!C:Q,9,False)</f>
        <v>0</v>
      </c>
      <c r="Q7626" s="93" t="str">
        <f>VLOOKUP(E7626,DATABASE!C:Q,4,false)</f>
        <v>Bongkar Pasang</v>
      </c>
      <c r="R7626" s="93" t="str">
        <f>VLOOKUP(E7626,DATABASE!C:Q,11,false)</f>
        <v>SERVICE</v>
      </c>
    </row>
    <row r="7627" ht="22.5" customHeight="1">
      <c r="A7627" s="49"/>
      <c r="C7627" s="400">
        <v>46100.0</v>
      </c>
      <c r="D7627" s="524">
        <v>758.0</v>
      </c>
      <c r="E7627" s="544" t="s">
        <v>695</v>
      </c>
      <c r="F7627" s="387">
        <v>1.0</v>
      </c>
      <c r="G7627" s="140">
        <v>670000.0</v>
      </c>
      <c r="H7627" s="140">
        <v>10000.0</v>
      </c>
      <c r="I7627" s="74">
        <f t="shared" si="1"/>
        <v>660000</v>
      </c>
      <c r="J7627" s="74">
        <f>IF(E7627="SERVICE",I7627-(I7627*50%),Vlookup(E7627,DATABASE!C:Q,10,false)*F7627)</f>
        <v>0</v>
      </c>
      <c r="K7627" s="74">
        <f>VLOOKUP(E7627,DATABASE!C:Q,7,false)</f>
        <v>582000</v>
      </c>
      <c r="L7627" s="74">
        <v>570000.0</v>
      </c>
      <c r="M7627" s="74">
        <f t="shared" si="2"/>
        <v>570000</v>
      </c>
      <c r="N7627" s="74">
        <f t="shared" si="3"/>
        <v>90000</v>
      </c>
      <c r="O7627" s="65" t="str">
        <f>VLOOKUP(E7627,DATABASE!C:Q,8,false)</f>
        <v>IBU</v>
      </c>
      <c r="P7627" s="65">
        <f>VLOOKUP(E7627,DATABASE!C:Q,9,False)</f>
        <v>1</v>
      </c>
      <c r="Q7627" s="93" t="str">
        <f>VLOOKUP(E7627,DATABASE!C:Q,4,false)</f>
        <v>Dunlop</v>
      </c>
      <c r="R7627" s="93" t="str">
        <f>VLOOKUP(E7627,DATABASE!C:Q,11,false)</f>
        <v>Tire</v>
      </c>
    </row>
    <row r="7628" ht="22.5" customHeight="1">
      <c r="A7628" s="49"/>
      <c r="C7628" s="400">
        <v>46100.0</v>
      </c>
      <c r="D7628" s="524">
        <v>759.0</v>
      </c>
      <c r="E7628" s="544" t="s">
        <v>256</v>
      </c>
      <c r="F7628" s="387">
        <v>1.0</v>
      </c>
      <c r="G7628" s="140">
        <v>175000.0</v>
      </c>
      <c r="H7628" s="140">
        <v>25000.0</v>
      </c>
      <c r="I7628" s="74">
        <f t="shared" si="1"/>
        <v>150000</v>
      </c>
      <c r="J7628" s="74">
        <f>IF(E7628="SERVICE",I7628-(I7628*50%),Vlookup(E7628,DATABASE!C:Q,10,false)*F7628)</f>
        <v>10000</v>
      </c>
      <c r="K7628" s="74">
        <f>VLOOKUP(E7628,DATABASE!C:Q,7,false)</f>
        <v>0</v>
      </c>
      <c r="L7628" s="74">
        <v>0.0</v>
      </c>
      <c r="M7628" s="74">
        <f t="shared" si="2"/>
        <v>0</v>
      </c>
      <c r="N7628" s="74">
        <f t="shared" si="3"/>
        <v>140000</v>
      </c>
      <c r="O7628" s="65" t="str">
        <f>VLOOKUP(E7628,DATABASE!C:Q,8,false)</f>
        <v>IBU</v>
      </c>
      <c r="P7628" s="65">
        <f>VLOOKUP(E7628,DATABASE!C:Q,9,False)</f>
        <v>0</v>
      </c>
      <c r="Q7628" s="93" t="str">
        <f>VLOOKUP(E7628,DATABASE!C:Q,4,false)</f>
        <v>SPOORING</v>
      </c>
      <c r="R7628" s="93" t="str">
        <f>VLOOKUP(E7628,DATABASE!C:Q,11,false)</f>
        <v>SERVICE</v>
      </c>
    </row>
    <row r="7629" ht="22.5" customHeight="1">
      <c r="A7629" s="49"/>
      <c r="C7629" s="400">
        <v>46100.0</v>
      </c>
      <c r="D7629" s="524">
        <v>759.0</v>
      </c>
      <c r="E7629" s="544" t="s">
        <v>251</v>
      </c>
      <c r="F7629" s="387">
        <v>1.0</v>
      </c>
      <c r="G7629" s="140">
        <v>350000.0</v>
      </c>
      <c r="H7629" s="140">
        <v>100000.0</v>
      </c>
      <c r="I7629" s="74">
        <f t="shared" si="1"/>
        <v>250000</v>
      </c>
      <c r="J7629" s="74">
        <f>IF(E7629="SERVICE",I7629-(I7629*50%),Vlookup(E7629,DATABASE!C:Q,10,false)*F7629)</f>
        <v>125000</v>
      </c>
      <c r="K7629" s="74">
        <f>VLOOKUP(E7629,DATABASE!C:Q,7,false)</f>
        <v>0</v>
      </c>
      <c r="L7629" s="74">
        <v>0.0</v>
      </c>
      <c r="M7629" s="74">
        <f t="shared" si="2"/>
        <v>0</v>
      </c>
      <c r="N7629" s="74">
        <f t="shared" si="3"/>
        <v>125000</v>
      </c>
      <c r="O7629" s="65" t="str">
        <f>VLOOKUP(E7629,DATABASE!C:Q,8,false)</f>
        <v>IBU</v>
      </c>
      <c r="P7629" s="65">
        <f>VLOOKUP(E7629,DATABASE!C:Q,9,False)</f>
        <v>0</v>
      </c>
      <c r="Q7629" s="93" t="str">
        <f>VLOOKUP(E7629,DATABASE!C:Q,4,false)</f>
        <v>SERVICE</v>
      </c>
      <c r="R7629" s="93" t="str">
        <f>VLOOKUP(E7629,DATABASE!C:Q,11,false)</f>
        <v>SERVICE</v>
      </c>
    </row>
    <row r="7630" ht="22.5" customHeight="1">
      <c r="A7630" s="49"/>
      <c r="C7630" s="400">
        <v>46100.0</v>
      </c>
      <c r="D7630" s="524">
        <v>760.0</v>
      </c>
      <c r="E7630" s="544" t="s">
        <v>256</v>
      </c>
      <c r="F7630" s="387">
        <v>1.0</v>
      </c>
      <c r="G7630" s="140">
        <v>175000.0</v>
      </c>
      <c r="H7630" s="140">
        <v>25000.0</v>
      </c>
      <c r="I7630" s="74">
        <f t="shared" si="1"/>
        <v>150000</v>
      </c>
      <c r="J7630" s="74">
        <f>IF(E7630="SERVICE",I7630-(I7630*50%),Vlookup(E7630,DATABASE!C:Q,10,false)*F7630)</f>
        <v>10000</v>
      </c>
      <c r="K7630" s="74">
        <f>VLOOKUP(E7630,DATABASE!C:Q,7,false)</f>
        <v>0</v>
      </c>
      <c r="L7630" s="74">
        <v>0.0</v>
      </c>
      <c r="M7630" s="74">
        <f t="shared" si="2"/>
        <v>0</v>
      </c>
      <c r="N7630" s="74">
        <f t="shared" si="3"/>
        <v>140000</v>
      </c>
      <c r="O7630" s="65" t="str">
        <f>VLOOKUP(E7630,DATABASE!C:Q,8,false)</f>
        <v>IBU</v>
      </c>
      <c r="P7630" s="65">
        <f>VLOOKUP(E7630,DATABASE!C:Q,9,False)</f>
        <v>0</v>
      </c>
      <c r="Q7630" s="93" t="str">
        <f>VLOOKUP(E7630,DATABASE!C:Q,4,false)</f>
        <v>SPOORING</v>
      </c>
      <c r="R7630" s="93" t="str">
        <f>VLOOKUP(E7630,DATABASE!C:Q,11,false)</f>
        <v>SERVICE</v>
      </c>
    </row>
    <row r="7631" ht="22.5" customHeight="1">
      <c r="A7631" s="49"/>
      <c r="C7631" s="400">
        <v>46100.0</v>
      </c>
      <c r="D7631" s="524">
        <v>760.0</v>
      </c>
      <c r="E7631" s="544" t="s">
        <v>301</v>
      </c>
      <c r="F7631" s="387">
        <v>1.0</v>
      </c>
      <c r="G7631" s="140">
        <v>250000.0</v>
      </c>
      <c r="H7631" s="74"/>
      <c r="I7631" s="74">
        <f t="shared" si="1"/>
        <v>250000</v>
      </c>
      <c r="J7631" s="74">
        <f>IF(E7631="SERVICE",I7631-(I7631*50%),Vlookup(E7631,DATABASE!C:Q,10,false)*F7631)</f>
        <v>75000</v>
      </c>
      <c r="K7631" s="74">
        <f>VLOOKUP(E7631,DATABASE!C:Q,7,false)</f>
        <v>75000</v>
      </c>
      <c r="L7631" s="74">
        <v>75000.0</v>
      </c>
      <c r="M7631" s="74">
        <f t="shared" si="2"/>
        <v>75000</v>
      </c>
      <c r="N7631" s="74">
        <f t="shared" si="3"/>
        <v>100000</v>
      </c>
      <c r="O7631" s="65" t="str">
        <f>VLOOKUP(E7631,DATABASE!C:Q,8,false)</f>
        <v>BIAN</v>
      </c>
      <c r="P7631" s="65">
        <f>VLOOKUP(E7631,DATABASE!C:Q,9,False)</f>
        <v>0</v>
      </c>
      <c r="Q7631" s="93" t="str">
        <f>VLOOKUP(E7631,DATABASE!C:Q,4,false)</f>
        <v>Baut Camber</v>
      </c>
      <c r="R7631" s="93" t="str">
        <f>VLOOKUP(E7631,DATABASE!C:Q,11,false)</f>
        <v>COMPLEMENTARY</v>
      </c>
    </row>
    <row r="7632" ht="22.5" customHeight="1">
      <c r="A7632" s="49"/>
      <c r="C7632" s="400">
        <v>46100.0</v>
      </c>
      <c r="D7632" s="524">
        <v>761.0</v>
      </c>
      <c r="E7632" s="544" t="s">
        <v>299</v>
      </c>
      <c r="F7632" s="387">
        <v>2.0</v>
      </c>
      <c r="G7632" s="140">
        <v>30000.0</v>
      </c>
      <c r="H7632" s="74"/>
      <c r="I7632" s="74">
        <f t="shared" si="1"/>
        <v>60000</v>
      </c>
      <c r="J7632" s="74">
        <f>IF(E7632="SERVICE",I7632-(I7632*50%),Vlookup(E7632,DATABASE!C:Q,10,false)*F7632)</f>
        <v>0</v>
      </c>
      <c r="K7632" s="74">
        <f>VLOOKUP(E7632,DATABASE!C:Q,7,false)</f>
        <v>10000</v>
      </c>
      <c r="L7632" s="74">
        <v>10000.0</v>
      </c>
      <c r="M7632" s="74">
        <f t="shared" si="2"/>
        <v>10000</v>
      </c>
      <c r="N7632" s="74">
        <f t="shared" si="3"/>
        <v>40000</v>
      </c>
      <c r="O7632" s="65" t="str">
        <f>VLOOKUP(E7632,DATABASE!C:Q,8,false)</f>
        <v>BIAN</v>
      </c>
      <c r="P7632" s="65">
        <f>VLOOKUP(E7632,DATABASE!C:Q,9,False)</f>
        <v>0</v>
      </c>
      <c r="Q7632" s="93" t="str">
        <f>VLOOKUP(E7632,DATABASE!C:Q,4,false)</f>
        <v>Balancing</v>
      </c>
      <c r="R7632" s="93" t="str">
        <f>VLOOKUP(E7632,DATABASE!C:Q,11,false)</f>
        <v>COMPLEMENTARY</v>
      </c>
    </row>
    <row r="7633" ht="22.5" customHeight="1">
      <c r="A7633" s="49"/>
      <c r="C7633" s="400">
        <v>46100.0</v>
      </c>
      <c r="D7633" s="524">
        <v>7456.0</v>
      </c>
      <c r="E7633" s="544" t="s">
        <v>847</v>
      </c>
      <c r="F7633" s="387">
        <v>1.0</v>
      </c>
      <c r="G7633" s="140">
        <v>775000.0</v>
      </c>
      <c r="H7633" s="74"/>
      <c r="I7633" s="74">
        <f t="shared" si="1"/>
        <v>775000</v>
      </c>
      <c r="J7633" s="74">
        <f>IF(E7633="SERVICE",I7633-(I7633*50%),Vlookup(E7633,DATABASE!C:Q,10,false)*F7633)</f>
        <v>0</v>
      </c>
      <c r="K7633" s="74">
        <f>VLOOKUP(E7633,DATABASE!C:Q,7,false)</f>
        <v>718080</v>
      </c>
      <c r="L7633" s="74">
        <v>672210.0</v>
      </c>
      <c r="M7633" s="74">
        <f t="shared" si="2"/>
        <v>675000</v>
      </c>
      <c r="N7633" s="74">
        <f t="shared" si="3"/>
        <v>100000</v>
      </c>
      <c r="O7633" s="65" t="str">
        <f>VLOOKUP(E7633,DATABASE!C:Q,8,false)</f>
        <v>BIAN</v>
      </c>
      <c r="P7633" s="65">
        <f>VLOOKUP(E7633,DATABASE!C:Q,9,False)</f>
        <v>1</v>
      </c>
      <c r="Q7633" s="93" t="str">
        <f>VLOOKUP(E7633,DATABASE!C:Q,4,false)</f>
        <v>GT</v>
      </c>
      <c r="R7633" s="93" t="str">
        <f>VLOOKUP(E7633,DATABASE!C:Q,11,false)</f>
        <v>Tire</v>
      </c>
    </row>
    <row r="7634" ht="22.5" customHeight="1">
      <c r="A7634" s="49"/>
      <c r="C7634" s="400">
        <v>46100.0</v>
      </c>
      <c r="D7634" s="69" t="s">
        <v>2742</v>
      </c>
      <c r="E7634" s="544" t="s">
        <v>252</v>
      </c>
      <c r="F7634" s="387">
        <v>1.0</v>
      </c>
      <c r="G7634" s="140">
        <v>300000.0</v>
      </c>
      <c r="H7634" s="74"/>
      <c r="I7634" s="74">
        <f t="shared" si="1"/>
        <v>300000</v>
      </c>
      <c r="J7634" s="74">
        <f>IF(E7634="SERVICE",I7634-(I7634*50%),Vlookup(E7634,DATABASE!C:Q,10,false)*F7634)</f>
        <v>0</v>
      </c>
      <c r="K7634" s="74">
        <f>VLOOKUP(E7634,DATABASE!C:Q,7,false)</f>
        <v>317518</v>
      </c>
      <c r="L7634" s="74">
        <v>271778.0</v>
      </c>
      <c r="M7634" s="74">
        <f t="shared" si="2"/>
        <v>275000</v>
      </c>
      <c r="N7634" s="74">
        <f t="shared" si="3"/>
        <v>25000</v>
      </c>
      <c r="O7634" s="65" t="str">
        <f>VLOOKUP(E7634,DATABASE!C:Q,8,false)</f>
        <v>NON</v>
      </c>
      <c r="P7634" s="65">
        <f>VLOOKUP(E7634,DATABASE!C:Q,9,False)</f>
        <v>0</v>
      </c>
      <c r="Q7634" s="93" t="str">
        <f>VLOOKUP(E7634,DATABASE!C:Q,4,false)</f>
        <v>Shell</v>
      </c>
      <c r="R7634" s="93" t="str">
        <f>VLOOKUP(E7634,DATABASE!C:Q,11,false)</f>
        <v>OIL</v>
      </c>
    </row>
    <row r="7635" ht="22.5" customHeight="1">
      <c r="A7635" s="49"/>
      <c r="C7635" s="400">
        <v>46100.0</v>
      </c>
      <c r="D7635" s="69" t="s">
        <v>2742</v>
      </c>
      <c r="E7635" s="544" t="s">
        <v>2609</v>
      </c>
      <c r="F7635" s="387">
        <v>1.0</v>
      </c>
      <c r="G7635" s="140">
        <v>30000.0</v>
      </c>
      <c r="H7635" s="74"/>
      <c r="I7635" s="74">
        <f t="shared" si="1"/>
        <v>30000</v>
      </c>
      <c r="J7635" s="74">
        <f>IF(E7635="SERVICE",I7635-(I7635*50%),Vlookup(E7635,DATABASE!C:Q,10,false)*F7635)</f>
        <v>0</v>
      </c>
      <c r="K7635" s="74">
        <f>VLOOKUP(E7635,DATABASE!C:Q,7,false)</f>
        <v>21500</v>
      </c>
      <c r="L7635" s="74">
        <v>21500.0</v>
      </c>
      <c r="M7635" s="74">
        <f t="shared" si="2"/>
        <v>25000</v>
      </c>
      <c r="N7635" s="74">
        <f t="shared" si="3"/>
        <v>5000</v>
      </c>
      <c r="O7635" s="65" t="str">
        <f>VLOOKUP(E7635,DATABASE!C:Q,8,false)</f>
        <v>BIAN</v>
      </c>
      <c r="P7635" s="65">
        <f>VLOOKUP(E7635,DATABASE!C:Q,9,False)</f>
        <v>0</v>
      </c>
      <c r="Q7635" s="93" t="str">
        <f>VLOOKUP(E7635,DATABASE!C:Q,4,false)</f>
        <v>Sakura</v>
      </c>
      <c r="R7635" s="93" t="str">
        <f>VLOOKUP(E7635,DATABASE!C:Q,11,false)</f>
        <v>COMPLEMENTARY</v>
      </c>
    </row>
    <row r="7636" ht="22.5" customHeight="1">
      <c r="A7636" s="49"/>
      <c r="C7636" s="400">
        <v>46100.0</v>
      </c>
      <c r="D7636" s="69" t="s">
        <v>2743</v>
      </c>
      <c r="E7636" s="544" t="s">
        <v>263</v>
      </c>
      <c r="F7636" s="387">
        <v>1.0</v>
      </c>
      <c r="G7636" s="140">
        <v>320000.0</v>
      </c>
      <c r="H7636" s="74"/>
      <c r="I7636" s="74">
        <f t="shared" si="1"/>
        <v>320000</v>
      </c>
      <c r="J7636" s="74">
        <f>IF(E7636="SERVICE",I7636-(I7636*50%),Vlookup(E7636,DATABASE!C:Q,10,false)*F7636)</f>
        <v>0</v>
      </c>
      <c r="K7636" s="74">
        <f>VLOOKUP(E7636,DATABASE!C:Q,7,false)</f>
        <v>334916</v>
      </c>
      <c r="L7636" s="74">
        <v>287688.0</v>
      </c>
      <c r="M7636" s="74">
        <f t="shared" si="2"/>
        <v>290000</v>
      </c>
      <c r="N7636" s="74">
        <f t="shared" si="3"/>
        <v>30000</v>
      </c>
      <c r="O7636" s="65" t="str">
        <f>VLOOKUP(E7636,DATABASE!C:Q,8,false)</f>
        <v>NON</v>
      </c>
      <c r="P7636" s="65">
        <f>VLOOKUP(E7636,DATABASE!C:Q,9,False)</f>
        <v>0</v>
      </c>
      <c r="Q7636" s="93" t="str">
        <f>VLOOKUP(E7636,DATABASE!C:Q,4,false)</f>
        <v>Shell</v>
      </c>
      <c r="R7636" s="93" t="str">
        <f>VLOOKUP(E7636,DATABASE!C:Q,11,false)</f>
        <v>OIL</v>
      </c>
    </row>
    <row r="7637" ht="22.5" customHeight="1">
      <c r="A7637" s="49"/>
      <c r="C7637" s="400">
        <v>46101.0</v>
      </c>
      <c r="D7637" s="524">
        <v>762.0</v>
      </c>
      <c r="E7637" s="544" t="s">
        <v>974</v>
      </c>
      <c r="F7637" s="387">
        <v>2.0</v>
      </c>
      <c r="G7637" s="140">
        <v>585000.0</v>
      </c>
      <c r="H7637" s="140">
        <v>5000.0</v>
      </c>
      <c r="I7637" s="74">
        <f t="shared" si="1"/>
        <v>1160000</v>
      </c>
      <c r="J7637" s="74">
        <f>IF(E7637="SERVICE",I7637-(I7637*50%),Vlookup(E7637,DATABASE!C:Q,10,false)*F7637)</f>
        <v>0</v>
      </c>
      <c r="K7637" s="74">
        <f>VLOOKUP(E7637,DATABASE!C:Q,7,false)</f>
        <v>501500</v>
      </c>
      <c r="L7637" s="74">
        <v>491000.0</v>
      </c>
      <c r="M7637" s="74">
        <f t="shared" si="2"/>
        <v>495000</v>
      </c>
      <c r="N7637" s="74">
        <f t="shared" si="3"/>
        <v>170000</v>
      </c>
      <c r="O7637" s="65" t="str">
        <f>VLOOKUP(E7637,DATABASE!C:Q,8,false)</f>
        <v>IBU</v>
      </c>
      <c r="P7637" s="65">
        <f>VLOOKUP(E7637,DATABASE!C:Q,9,False)</f>
        <v>1</v>
      </c>
      <c r="Q7637" s="93" t="str">
        <f>VLOOKUP(E7637,DATABASE!C:Q,4,false)</f>
        <v>Dunlop</v>
      </c>
      <c r="R7637" s="93" t="str">
        <f>VLOOKUP(E7637,DATABASE!C:Q,11,false)</f>
        <v>Tire</v>
      </c>
    </row>
    <row r="7638" ht="22.5" customHeight="1">
      <c r="A7638" s="49"/>
      <c r="C7638" s="400">
        <v>46101.0</v>
      </c>
      <c r="D7638" s="524">
        <v>762.0</v>
      </c>
      <c r="E7638" s="544" t="s">
        <v>569</v>
      </c>
      <c r="F7638" s="387">
        <v>1.0</v>
      </c>
      <c r="G7638" s="140">
        <v>80000.0</v>
      </c>
      <c r="H7638" s="74"/>
      <c r="I7638" s="74">
        <f t="shared" si="1"/>
        <v>80000</v>
      </c>
      <c r="J7638" s="74">
        <f>IF(E7638="SERVICE",I7638-(I7638*50%),Vlookup(E7638,DATABASE!C:Q,10,false)*F7638)</f>
        <v>0</v>
      </c>
      <c r="K7638" s="74">
        <f>VLOOKUP(E7638,DATABASE!C:Q,7,false)</f>
        <v>45439.582</v>
      </c>
      <c r="L7638" s="74">
        <v>45309.6</v>
      </c>
      <c r="M7638" s="74">
        <f t="shared" si="2"/>
        <v>50000</v>
      </c>
      <c r="N7638" s="74">
        <f t="shared" si="3"/>
        <v>30000</v>
      </c>
      <c r="O7638" s="65" t="str">
        <f>VLOOKUP(E7638,DATABASE!C:Q,8,false)</f>
        <v>BIAN</v>
      </c>
      <c r="P7638" s="65">
        <f>VLOOKUP(E7638,DATABASE!C:Q,9,False)</f>
        <v>1</v>
      </c>
      <c r="Q7638" s="93" t="str">
        <f>VLOOKUP(E7638,DATABASE!C:Q,4,false)</f>
        <v>BD</v>
      </c>
      <c r="R7638" s="93" t="str">
        <f>VLOOKUP(E7638,DATABASE!C:Q,11,false)</f>
        <v>Tire</v>
      </c>
    </row>
    <row r="7639" ht="22.5" customHeight="1">
      <c r="A7639" s="49"/>
      <c r="C7639" s="400">
        <v>46101.0</v>
      </c>
      <c r="D7639" s="524">
        <v>764.0</v>
      </c>
      <c r="E7639" s="544" t="s">
        <v>1278</v>
      </c>
      <c r="F7639" s="387">
        <v>2.0</v>
      </c>
      <c r="G7639" s="140">
        <v>1580000.0</v>
      </c>
      <c r="H7639" s="140">
        <v>30000.0</v>
      </c>
      <c r="I7639" s="74">
        <f t="shared" si="1"/>
        <v>3100000</v>
      </c>
      <c r="J7639" s="74">
        <f>IF(E7639="SERVICE",I7639-(I7639*50%),Vlookup(E7639,DATABASE!C:Q,10,false)*F7639)</f>
        <v>0</v>
      </c>
      <c r="K7639" s="74">
        <f>VLOOKUP(E7639,DATABASE!C:Q,7,false)</f>
        <v>1466393.5</v>
      </c>
      <c r="L7639" s="74">
        <v>1466393.5</v>
      </c>
      <c r="M7639" s="140">
        <v>1460000.0</v>
      </c>
      <c r="N7639" s="74">
        <f t="shared" si="3"/>
        <v>180000</v>
      </c>
      <c r="O7639" s="65" t="str">
        <f>VLOOKUP(E7639,DATABASE!C:Q,8,false)</f>
        <v>IBU</v>
      </c>
      <c r="P7639" s="65">
        <f>VLOOKUP(E7639,DATABASE!C:Q,9,False)</f>
        <v>1</v>
      </c>
      <c r="Q7639" s="93" t="str">
        <f>VLOOKUP(E7639,DATABASE!C:Q,4,false)</f>
        <v>Bridgestone</v>
      </c>
      <c r="R7639" s="93" t="str">
        <f>VLOOKUP(E7639,DATABASE!C:Q,11,false)</f>
        <v>Tire</v>
      </c>
    </row>
    <row r="7640" ht="22.5" customHeight="1">
      <c r="A7640" s="49"/>
      <c r="C7640" s="400">
        <v>46101.0</v>
      </c>
      <c r="D7640" s="524">
        <v>765.0</v>
      </c>
      <c r="E7640" s="544" t="s">
        <v>1597</v>
      </c>
      <c r="F7640" s="387">
        <v>1.0</v>
      </c>
      <c r="G7640" s="140">
        <v>645000.0</v>
      </c>
      <c r="H7640" s="140">
        <v>5000.0</v>
      </c>
      <c r="I7640" s="74">
        <f t="shared" si="1"/>
        <v>640000</v>
      </c>
      <c r="J7640" s="74">
        <f>IF(E7640="SERVICE",I7640-(I7640*50%),Vlookup(E7640,DATABASE!C:Q,10,false)*F7640)</f>
        <v>0</v>
      </c>
      <c r="K7640" s="74">
        <f>VLOOKUP(E7640,DATABASE!C:Q,7,false)</f>
        <v>560700</v>
      </c>
      <c r="L7640" s="74">
        <v>544300.0</v>
      </c>
      <c r="M7640" s="74">
        <f t="shared" ref="M7640:M7925" si="4">CEILING(L7640, 5000)</f>
        <v>545000</v>
      </c>
      <c r="N7640" s="74">
        <f t="shared" si="3"/>
        <v>95000</v>
      </c>
      <c r="O7640" s="65" t="str">
        <f>VLOOKUP(E7640,DATABASE!C:Q,8,false)</f>
        <v>BIAN</v>
      </c>
      <c r="P7640" s="65">
        <f>VLOOKUP(E7640,DATABASE!C:Q,9,False)</f>
        <v>1</v>
      </c>
      <c r="Q7640" s="93" t="str">
        <f>VLOOKUP(E7640,DATABASE!C:Q,4,false)</f>
        <v>GT</v>
      </c>
      <c r="R7640" s="93" t="str">
        <f>VLOOKUP(E7640,DATABASE!C:Q,11,false)</f>
        <v>Tire</v>
      </c>
    </row>
    <row r="7641" ht="22.5" customHeight="1">
      <c r="A7641" s="49"/>
      <c r="C7641" s="400">
        <v>46101.0</v>
      </c>
      <c r="D7641" s="524">
        <v>765.0</v>
      </c>
      <c r="E7641" s="544" t="s">
        <v>299</v>
      </c>
      <c r="F7641" s="387">
        <v>2.0</v>
      </c>
      <c r="G7641" s="140">
        <v>30000.0</v>
      </c>
      <c r="H7641" s="74"/>
      <c r="I7641" s="74">
        <f t="shared" si="1"/>
        <v>60000</v>
      </c>
      <c r="J7641" s="74">
        <f>IF(E7641="SERVICE",I7641-(I7641*50%),Vlookup(E7641,DATABASE!C:Q,10,false)*F7641)</f>
        <v>0</v>
      </c>
      <c r="K7641" s="74">
        <f>VLOOKUP(E7641,DATABASE!C:Q,7,false)</f>
        <v>10000</v>
      </c>
      <c r="L7641" s="74">
        <v>10000.0</v>
      </c>
      <c r="M7641" s="74">
        <f t="shared" si="4"/>
        <v>10000</v>
      </c>
      <c r="N7641" s="74">
        <f t="shared" si="3"/>
        <v>40000</v>
      </c>
      <c r="O7641" s="65" t="str">
        <f>VLOOKUP(E7641,DATABASE!C:Q,8,false)</f>
        <v>BIAN</v>
      </c>
      <c r="P7641" s="65">
        <f>VLOOKUP(E7641,DATABASE!C:Q,9,False)</f>
        <v>0</v>
      </c>
      <c r="Q7641" s="93" t="str">
        <f>VLOOKUP(E7641,DATABASE!C:Q,4,false)</f>
        <v>Balancing</v>
      </c>
      <c r="R7641" s="93" t="str">
        <f>VLOOKUP(E7641,DATABASE!C:Q,11,false)</f>
        <v>COMPLEMENTARY</v>
      </c>
    </row>
    <row r="7642" ht="22.5" customHeight="1">
      <c r="A7642" s="49"/>
      <c r="C7642" s="400">
        <v>46101.0</v>
      </c>
      <c r="D7642" s="524">
        <v>765.0</v>
      </c>
      <c r="E7642" s="544" t="s">
        <v>256</v>
      </c>
      <c r="F7642" s="387">
        <v>1.0</v>
      </c>
      <c r="G7642" s="140">
        <v>175000.0</v>
      </c>
      <c r="H7642" s="140">
        <v>25000.0</v>
      </c>
      <c r="I7642" s="74">
        <f t="shared" si="1"/>
        <v>150000</v>
      </c>
      <c r="J7642" s="74">
        <f>IF(E7642="SERVICE",I7642-(I7642*50%),Vlookup(E7642,DATABASE!C:Q,10,false)*F7642)</f>
        <v>10000</v>
      </c>
      <c r="K7642" s="74">
        <f>VLOOKUP(E7642,DATABASE!C:Q,7,false)</f>
        <v>0</v>
      </c>
      <c r="L7642" s="74">
        <v>0.0</v>
      </c>
      <c r="M7642" s="74">
        <f t="shared" si="4"/>
        <v>0</v>
      </c>
      <c r="N7642" s="74">
        <f t="shared" si="3"/>
        <v>140000</v>
      </c>
      <c r="O7642" s="65" t="str">
        <f>VLOOKUP(E7642,DATABASE!C:Q,8,false)</f>
        <v>IBU</v>
      </c>
      <c r="P7642" s="65">
        <f>VLOOKUP(E7642,DATABASE!C:Q,9,False)</f>
        <v>0</v>
      </c>
      <c r="Q7642" s="93" t="str">
        <f>VLOOKUP(E7642,DATABASE!C:Q,4,false)</f>
        <v>SPOORING</v>
      </c>
      <c r="R7642" s="93" t="str">
        <f>VLOOKUP(E7642,DATABASE!C:Q,11,false)</f>
        <v>SERVICE</v>
      </c>
    </row>
    <row r="7643" ht="22.5" customHeight="1">
      <c r="A7643" s="49"/>
      <c r="C7643" s="400">
        <v>46101.0</v>
      </c>
      <c r="D7643" s="524">
        <v>765.0</v>
      </c>
      <c r="E7643" s="544" t="s">
        <v>251</v>
      </c>
      <c r="F7643" s="387">
        <v>1.0</v>
      </c>
      <c r="G7643" s="140">
        <v>350000.0</v>
      </c>
      <c r="H7643" s="140">
        <v>200000.0</v>
      </c>
      <c r="I7643" s="74">
        <f t="shared" si="1"/>
        <v>150000</v>
      </c>
      <c r="J7643" s="74">
        <f>IF(E7643="SERVICE",I7643-(I7643*50%),Vlookup(E7643,DATABASE!C:Q,10,false)*F7643)</f>
        <v>75000</v>
      </c>
      <c r="K7643" s="74">
        <f>VLOOKUP(E7643,DATABASE!C:Q,7,false)</f>
        <v>0</v>
      </c>
      <c r="L7643" s="74">
        <v>0.0</v>
      </c>
      <c r="M7643" s="74">
        <f t="shared" si="4"/>
        <v>0</v>
      </c>
      <c r="N7643" s="74">
        <f t="shared" si="3"/>
        <v>75000</v>
      </c>
      <c r="O7643" s="65" t="str">
        <f>VLOOKUP(E7643,DATABASE!C:Q,8,false)</f>
        <v>IBU</v>
      </c>
      <c r="P7643" s="65">
        <f>VLOOKUP(E7643,DATABASE!C:Q,9,False)</f>
        <v>0</v>
      </c>
      <c r="Q7643" s="93" t="str">
        <f>VLOOKUP(E7643,DATABASE!C:Q,4,false)</f>
        <v>SERVICE</v>
      </c>
      <c r="R7643" s="93" t="str">
        <f>VLOOKUP(E7643,DATABASE!C:Q,11,false)</f>
        <v>SERVICE</v>
      </c>
    </row>
    <row r="7644" ht="22.5" customHeight="1">
      <c r="A7644" s="49"/>
      <c r="C7644" s="400">
        <v>46101.0</v>
      </c>
      <c r="D7644" s="524">
        <v>766.0</v>
      </c>
      <c r="E7644" s="544" t="s">
        <v>932</v>
      </c>
      <c r="F7644" s="387">
        <v>2.0</v>
      </c>
      <c r="G7644" s="140">
        <v>690000.0</v>
      </c>
      <c r="H7644" s="140">
        <v>5000.0</v>
      </c>
      <c r="I7644" s="74">
        <f t="shared" si="1"/>
        <v>1370000</v>
      </c>
      <c r="J7644" s="74">
        <f>IF(E7644="SERVICE",I7644-(I7644*50%),Vlookup(E7644,DATABASE!C:Q,10,false)*F7644)</f>
        <v>0</v>
      </c>
      <c r="K7644" s="74">
        <f>VLOOKUP(E7644,DATABASE!C:Q,7,false)</f>
        <v>601000</v>
      </c>
      <c r="L7644" s="74">
        <v>601000.0</v>
      </c>
      <c r="M7644" s="74">
        <f t="shared" si="4"/>
        <v>605000</v>
      </c>
      <c r="N7644" s="74">
        <f t="shared" si="3"/>
        <v>160000</v>
      </c>
      <c r="O7644" s="65" t="str">
        <f>VLOOKUP(E7644,DATABASE!C:Q,8,false)</f>
        <v>IBU</v>
      </c>
      <c r="P7644" s="65">
        <f>VLOOKUP(E7644,DATABASE!C:Q,9,False)</f>
        <v>1</v>
      </c>
      <c r="Q7644" s="93" t="str">
        <f>VLOOKUP(E7644,DATABASE!C:Q,4,false)</f>
        <v>Dunlop</v>
      </c>
      <c r="R7644" s="93" t="str">
        <f>VLOOKUP(E7644,DATABASE!C:Q,11,false)</f>
        <v>Tire</v>
      </c>
    </row>
    <row r="7645" ht="22.5" customHeight="1">
      <c r="A7645" s="49"/>
      <c r="C7645" s="400">
        <v>46101.0</v>
      </c>
      <c r="D7645" s="524">
        <v>767.0</v>
      </c>
      <c r="E7645" s="544" t="s">
        <v>839</v>
      </c>
      <c r="F7645" s="387">
        <v>1.0</v>
      </c>
      <c r="G7645" s="140">
        <v>565000.0</v>
      </c>
      <c r="H7645" s="74"/>
      <c r="I7645" s="74">
        <f t="shared" si="1"/>
        <v>565000</v>
      </c>
      <c r="J7645" s="74">
        <f>IF(E7645="SERVICE",I7645-(I7645*50%),Vlookup(E7645,DATABASE!C:Q,10,false)*F7645)</f>
        <v>0</v>
      </c>
      <c r="K7645" s="74">
        <f>VLOOKUP(E7645,DATABASE!C:Q,7,false)</f>
        <v>512640</v>
      </c>
      <c r="L7645" s="74">
        <v>475700.0</v>
      </c>
      <c r="M7645" s="74">
        <f t="shared" si="4"/>
        <v>480000</v>
      </c>
      <c r="N7645" s="74">
        <f t="shared" si="3"/>
        <v>85000</v>
      </c>
      <c r="O7645" s="65" t="str">
        <f>VLOOKUP(E7645,DATABASE!C:Q,8,false)</f>
        <v>BIAN</v>
      </c>
      <c r="P7645" s="65">
        <f>VLOOKUP(E7645,DATABASE!C:Q,9,False)</f>
        <v>1</v>
      </c>
      <c r="Q7645" s="93" t="str">
        <f>VLOOKUP(E7645,DATABASE!C:Q,4,false)</f>
        <v>GT</v>
      </c>
      <c r="R7645" s="93" t="str">
        <f>VLOOKUP(E7645,DATABASE!C:Q,11,false)</f>
        <v>Tire</v>
      </c>
    </row>
    <row r="7646" ht="22.5" customHeight="1">
      <c r="A7646" s="49"/>
      <c r="C7646" s="400">
        <v>46101.0</v>
      </c>
      <c r="D7646" s="69" t="s">
        <v>2744</v>
      </c>
      <c r="E7646" s="544" t="s">
        <v>252</v>
      </c>
      <c r="F7646" s="387">
        <v>1.0</v>
      </c>
      <c r="G7646" s="140">
        <v>300000.0</v>
      </c>
      <c r="H7646" s="74"/>
      <c r="I7646" s="74">
        <f t="shared" si="1"/>
        <v>300000</v>
      </c>
      <c r="J7646" s="74">
        <f>IF(E7646="SERVICE",I7646-(I7646*50%),Vlookup(E7646,DATABASE!C:Q,10,false)*F7646)</f>
        <v>0</v>
      </c>
      <c r="K7646" s="74">
        <f>VLOOKUP(E7646,DATABASE!C:Q,7,false)</f>
        <v>317518</v>
      </c>
      <c r="L7646" s="74">
        <v>271778.0</v>
      </c>
      <c r="M7646" s="74">
        <f t="shared" si="4"/>
        <v>275000</v>
      </c>
      <c r="N7646" s="74">
        <f t="shared" si="3"/>
        <v>25000</v>
      </c>
      <c r="O7646" s="65" t="str">
        <f>VLOOKUP(E7646,DATABASE!C:Q,8,false)</f>
        <v>NON</v>
      </c>
      <c r="P7646" s="65">
        <f>VLOOKUP(E7646,DATABASE!C:Q,9,False)</f>
        <v>0</v>
      </c>
      <c r="Q7646" s="93" t="str">
        <f>VLOOKUP(E7646,DATABASE!C:Q,4,false)</f>
        <v>Shell</v>
      </c>
      <c r="R7646" s="93" t="str">
        <f>VLOOKUP(E7646,DATABASE!C:Q,11,false)</f>
        <v>OIL</v>
      </c>
    </row>
    <row r="7647" ht="22.5" customHeight="1">
      <c r="A7647" s="49"/>
      <c r="C7647" s="400">
        <v>46101.0</v>
      </c>
      <c r="D7647" s="69" t="s">
        <v>2744</v>
      </c>
      <c r="E7647" s="544" t="s">
        <v>2178</v>
      </c>
      <c r="F7647" s="387">
        <v>2.0</v>
      </c>
      <c r="G7647" s="140">
        <v>80000.0</v>
      </c>
      <c r="H7647" s="74"/>
      <c r="I7647" s="74">
        <f t="shared" si="1"/>
        <v>160000</v>
      </c>
      <c r="J7647" s="74">
        <f>IF(E7647="SERVICE",I7647-(I7647*50%),Vlookup(E7647,DATABASE!C:Q,10,false)*F7647)</f>
        <v>0</v>
      </c>
      <c r="K7647" s="74">
        <f>VLOOKUP(E7647,DATABASE!C:Q,7,false)</f>
        <v>80931</v>
      </c>
      <c r="L7647" s="74">
        <v>69272.0</v>
      </c>
      <c r="M7647" s="74">
        <f t="shared" si="4"/>
        <v>70000</v>
      </c>
      <c r="N7647" s="74">
        <f t="shared" si="3"/>
        <v>20000</v>
      </c>
      <c r="O7647" s="65" t="str">
        <f>VLOOKUP(E7647,DATABASE!C:Q,8,false)</f>
        <v>NON</v>
      </c>
      <c r="P7647" s="65">
        <f>VLOOKUP(E7647,DATABASE!C:Q,9,False)</f>
        <v>0</v>
      </c>
      <c r="Q7647" s="93" t="str">
        <f>VLOOKUP(E7647,DATABASE!C:Q,4,false)</f>
        <v>Shell</v>
      </c>
      <c r="R7647" s="93" t="str">
        <f>VLOOKUP(E7647,DATABASE!C:Q,11,false)</f>
        <v>OIL</v>
      </c>
    </row>
    <row r="7648" ht="22.5" customHeight="1">
      <c r="A7648" s="49"/>
      <c r="C7648" s="400">
        <v>46104.0</v>
      </c>
      <c r="D7648" s="69">
        <v>768.0</v>
      </c>
      <c r="E7648" s="544" t="s">
        <v>268</v>
      </c>
      <c r="F7648" s="387">
        <v>2.0</v>
      </c>
      <c r="G7648" s="140">
        <v>710000.0</v>
      </c>
      <c r="H7648" s="74"/>
      <c r="I7648" s="74">
        <f t="shared" si="1"/>
        <v>1420000</v>
      </c>
      <c r="J7648" s="74">
        <f>IF(E7648="SERVICE",I7648-(I7648*50%),Vlookup(E7648,DATABASE!C:Q,10,false)*F7648)</f>
        <v>0</v>
      </c>
      <c r="K7648" s="74">
        <f>VLOOKUP(E7648,DATABASE!C:Q,7,false)</f>
        <v>653000</v>
      </c>
      <c r="L7648" s="74">
        <v>622000.0</v>
      </c>
      <c r="M7648" s="74">
        <f t="shared" si="4"/>
        <v>625000</v>
      </c>
      <c r="N7648" s="74">
        <f t="shared" si="3"/>
        <v>170000</v>
      </c>
      <c r="O7648" s="65" t="str">
        <f>VLOOKUP(E7648,DATABASE!C:Q,8,false)</f>
        <v>IBU</v>
      </c>
      <c r="P7648" s="65">
        <f>VLOOKUP(E7648,DATABASE!C:Q,9,False)</f>
        <v>1</v>
      </c>
      <c r="Q7648" s="93" t="str">
        <f>VLOOKUP(E7648,DATABASE!C:Q,4,false)</f>
        <v>Dunlop</v>
      </c>
      <c r="R7648" s="93" t="str">
        <f>VLOOKUP(E7648,DATABASE!C:Q,11,false)</f>
        <v>Tire</v>
      </c>
    </row>
    <row r="7649" ht="22.5" customHeight="1">
      <c r="A7649" s="49"/>
      <c r="C7649" s="400">
        <v>46104.0</v>
      </c>
      <c r="D7649" s="69">
        <v>770.0</v>
      </c>
      <c r="E7649" s="544" t="s">
        <v>265</v>
      </c>
      <c r="F7649" s="387">
        <v>2.0</v>
      </c>
      <c r="G7649" s="140">
        <v>685000.0</v>
      </c>
      <c r="H7649" s="74"/>
      <c r="I7649" s="74">
        <f t="shared" si="1"/>
        <v>1370000</v>
      </c>
      <c r="J7649" s="74">
        <f>IF(E7649="SERVICE",I7649-(I7649*50%),Vlookup(E7649,DATABASE!C:Q,10,false)*F7649)</f>
        <v>0</v>
      </c>
      <c r="K7649" s="74">
        <f>VLOOKUP(E7649,DATABASE!C:Q,7,false)</f>
        <v>628000</v>
      </c>
      <c r="L7649" s="74">
        <v>600000.0</v>
      </c>
      <c r="M7649" s="74">
        <f t="shared" si="4"/>
        <v>600000</v>
      </c>
      <c r="N7649" s="74">
        <f t="shared" si="3"/>
        <v>170000</v>
      </c>
      <c r="O7649" s="65" t="str">
        <f>VLOOKUP(E7649,DATABASE!C:Q,8,false)</f>
        <v>IBU</v>
      </c>
      <c r="P7649" s="65">
        <f>VLOOKUP(E7649,DATABASE!C:Q,9,False)</f>
        <v>1</v>
      </c>
      <c r="Q7649" s="93" t="str">
        <f>VLOOKUP(E7649,DATABASE!C:Q,4,false)</f>
        <v>Dunlop</v>
      </c>
      <c r="R7649" s="93" t="str">
        <f>VLOOKUP(E7649,DATABASE!C:Q,11,false)</f>
        <v>Tire</v>
      </c>
    </row>
    <row r="7650" ht="22.5" customHeight="1">
      <c r="A7650" s="49"/>
      <c r="C7650" s="400">
        <v>46104.0</v>
      </c>
      <c r="D7650" s="69">
        <v>770.0</v>
      </c>
      <c r="E7650" s="544" t="s">
        <v>299</v>
      </c>
      <c r="F7650" s="387">
        <v>2.0</v>
      </c>
      <c r="G7650" s="140">
        <v>30000.0</v>
      </c>
      <c r="H7650" s="74"/>
      <c r="I7650" s="74">
        <f t="shared" si="1"/>
        <v>60000</v>
      </c>
      <c r="J7650" s="74">
        <f>IF(E7650="SERVICE",I7650-(I7650*50%),Vlookup(E7650,DATABASE!C:Q,10,false)*F7650)</f>
        <v>0</v>
      </c>
      <c r="K7650" s="74">
        <f>VLOOKUP(E7650,DATABASE!C:Q,7,false)</f>
        <v>10000</v>
      </c>
      <c r="L7650" s="74">
        <v>10000.0</v>
      </c>
      <c r="M7650" s="74">
        <f t="shared" si="4"/>
        <v>10000</v>
      </c>
      <c r="N7650" s="74">
        <f t="shared" si="3"/>
        <v>40000</v>
      </c>
      <c r="O7650" s="65" t="str">
        <f>VLOOKUP(E7650,DATABASE!C:Q,8,false)</f>
        <v>BIAN</v>
      </c>
      <c r="P7650" s="65">
        <f>VLOOKUP(E7650,DATABASE!C:Q,9,False)</f>
        <v>0</v>
      </c>
      <c r="Q7650" s="93" t="str">
        <f>VLOOKUP(E7650,DATABASE!C:Q,4,false)</f>
        <v>Balancing</v>
      </c>
      <c r="R7650" s="93" t="str">
        <f>VLOOKUP(E7650,DATABASE!C:Q,11,false)</f>
        <v>COMPLEMENTARY</v>
      </c>
    </row>
    <row r="7651" ht="22.5" customHeight="1">
      <c r="A7651" s="49"/>
      <c r="C7651" s="400">
        <v>46104.0</v>
      </c>
      <c r="D7651" s="69">
        <v>771.0</v>
      </c>
      <c r="E7651" s="544" t="s">
        <v>932</v>
      </c>
      <c r="F7651" s="387">
        <v>2.0</v>
      </c>
      <c r="G7651" s="140">
        <v>700000.0</v>
      </c>
      <c r="H7651" s="74"/>
      <c r="I7651" s="74">
        <f t="shared" si="1"/>
        <v>1400000</v>
      </c>
      <c r="J7651" s="74">
        <f>IF(E7651="SERVICE",I7651-(I7651*50%),Vlookup(E7651,DATABASE!C:Q,10,false)*F7651)</f>
        <v>0</v>
      </c>
      <c r="K7651" s="74">
        <f>VLOOKUP(E7651,DATABASE!C:Q,7,false)</f>
        <v>601000</v>
      </c>
      <c r="L7651" s="74">
        <v>601000.0</v>
      </c>
      <c r="M7651" s="74">
        <f t="shared" si="4"/>
        <v>605000</v>
      </c>
      <c r="N7651" s="74">
        <f t="shared" si="3"/>
        <v>190000</v>
      </c>
      <c r="O7651" s="65" t="str">
        <f>VLOOKUP(E7651,DATABASE!C:Q,8,false)</f>
        <v>IBU</v>
      </c>
      <c r="P7651" s="65">
        <f>VLOOKUP(E7651,DATABASE!C:Q,9,False)</f>
        <v>1</v>
      </c>
      <c r="Q7651" s="93" t="str">
        <f>VLOOKUP(E7651,DATABASE!C:Q,4,false)</f>
        <v>Dunlop</v>
      </c>
      <c r="R7651" s="93" t="str">
        <f>VLOOKUP(E7651,DATABASE!C:Q,11,false)</f>
        <v>Tire</v>
      </c>
    </row>
    <row r="7652" ht="22.5" customHeight="1">
      <c r="A7652" s="49"/>
      <c r="C7652" s="400">
        <v>46104.0</v>
      </c>
      <c r="D7652" s="69">
        <v>772.0</v>
      </c>
      <c r="E7652" s="544" t="s">
        <v>2140</v>
      </c>
      <c r="F7652" s="387">
        <v>2.0</v>
      </c>
      <c r="G7652" s="140">
        <v>30000.0</v>
      </c>
      <c r="H7652" s="74"/>
      <c r="I7652" s="74">
        <f t="shared" si="1"/>
        <v>60000</v>
      </c>
      <c r="J7652" s="74">
        <f>IF(E7652="SERVICE",I7652-(I7652*50%),Vlookup(E7652,DATABASE!C:Q,10,false)*F7652)</f>
        <v>0</v>
      </c>
      <c r="K7652" s="74">
        <f>VLOOKUP(E7652,DATABASE!C:Q,7,false)</f>
        <v>5000</v>
      </c>
      <c r="L7652" s="74">
        <v>0.0</v>
      </c>
      <c r="M7652" s="74">
        <f t="shared" si="4"/>
        <v>0</v>
      </c>
      <c r="N7652" s="74">
        <f t="shared" si="3"/>
        <v>60000</v>
      </c>
      <c r="O7652" s="65" t="str">
        <f>VLOOKUP(E7652,DATABASE!C:Q,8,false)</f>
        <v>IBU</v>
      </c>
      <c r="P7652" s="65">
        <f>VLOOKUP(E7652,DATABASE!C:Q,9,False)</f>
        <v>0</v>
      </c>
      <c r="Q7652" s="93" t="str">
        <f>VLOOKUP(E7652,DATABASE!C:Q,4,false)</f>
        <v>PENTIL + PASANG</v>
      </c>
      <c r="R7652" s="93" t="str">
        <f>VLOOKUP(E7652,DATABASE!C:Q,11,false)</f>
        <v>COMPLEMENTARY</v>
      </c>
    </row>
    <row r="7653" ht="22.5" customHeight="1">
      <c r="A7653" s="49"/>
      <c r="C7653" s="400">
        <v>46104.0</v>
      </c>
      <c r="D7653" s="69" t="s">
        <v>2745</v>
      </c>
      <c r="E7653" s="544" t="s">
        <v>263</v>
      </c>
      <c r="F7653" s="387">
        <v>1.0</v>
      </c>
      <c r="G7653" s="140">
        <v>320000.0</v>
      </c>
      <c r="H7653" s="74"/>
      <c r="I7653" s="74">
        <f t="shared" si="1"/>
        <v>320000</v>
      </c>
      <c r="J7653" s="74">
        <f>IF(E7653="SERVICE",I7653-(I7653*50%),Vlookup(E7653,DATABASE!C:Q,10,false)*F7653)</f>
        <v>0</v>
      </c>
      <c r="K7653" s="74">
        <f>VLOOKUP(E7653,DATABASE!C:Q,7,false)</f>
        <v>334916</v>
      </c>
      <c r="L7653" s="74">
        <v>287688.0</v>
      </c>
      <c r="M7653" s="74">
        <f t="shared" si="4"/>
        <v>290000</v>
      </c>
      <c r="N7653" s="74">
        <f t="shared" si="3"/>
        <v>30000</v>
      </c>
      <c r="O7653" s="65" t="str">
        <f>VLOOKUP(E7653,DATABASE!C:Q,8,false)</f>
        <v>NON</v>
      </c>
      <c r="P7653" s="65">
        <f>VLOOKUP(E7653,DATABASE!C:Q,9,False)</f>
        <v>0</v>
      </c>
      <c r="Q7653" s="93" t="str">
        <f>VLOOKUP(E7653,DATABASE!C:Q,4,false)</f>
        <v>Shell</v>
      </c>
      <c r="R7653" s="93" t="str">
        <f>VLOOKUP(E7653,DATABASE!C:Q,11,false)</f>
        <v>OIL</v>
      </c>
    </row>
    <row r="7654" ht="22.5" customHeight="1">
      <c r="A7654" s="49"/>
      <c r="C7654" s="400">
        <v>46104.0</v>
      </c>
      <c r="D7654" s="69" t="s">
        <v>2746</v>
      </c>
      <c r="E7654" s="544" t="s">
        <v>2191</v>
      </c>
      <c r="F7654" s="387">
        <v>1.0</v>
      </c>
      <c r="G7654" s="140">
        <v>400000.0</v>
      </c>
      <c r="H7654" s="74"/>
      <c r="I7654" s="74">
        <f t="shared" si="1"/>
        <v>400000</v>
      </c>
      <c r="J7654" s="74">
        <f>IF(E7654="SERVICE",I7654-(I7654*50%),Vlookup(E7654,DATABASE!C:Q,10,false)*F7654)</f>
        <v>0</v>
      </c>
      <c r="K7654" s="74">
        <f>VLOOKUP(E7654,DATABASE!C:Q,7,false)</f>
        <v>422900</v>
      </c>
      <c r="L7654" s="74">
        <v>377951.0</v>
      </c>
      <c r="M7654" s="74">
        <f t="shared" si="4"/>
        <v>380000</v>
      </c>
      <c r="N7654" s="74">
        <f t="shared" si="3"/>
        <v>20000</v>
      </c>
      <c r="O7654" s="65" t="str">
        <f>VLOOKUP(E7654,DATABASE!C:Q,8,false)</f>
        <v>NON</v>
      </c>
      <c r="P7654" s="65">
        <f>VLOOKUP(E7654,DATABASE!C:Q,9,False)</f>
        <v>0</v>
      </c>
      <c r="Q7654" s="93" t="str">
        <f>VLOOKUP(E7654,DATABASE!C:Q,4,false)</f>
        <v>Shell</v>
      </c>
      <c r="R7654" s="93" t="str">
        <f>VLOOKUP(E7654,DATABASE!C:Q,11,false)</f>
        <v>OIL</v>
      </c>
    </row>
    <row r="7655" ht="22.5" customHeight="1">
      <c r="A7655" s="49"/>
      <c r="C7655" s="400">
        <v>46104.0</v>
      </c>
      <c r="D7655" s="69" t="s">
        <v>2747</v>
      </c>
      <c r="E7655" s="544" t="s">
        <v>252</v>
      </c>
      <c r="F7655" s="387">
        <v>1.0</v>
      </c>
      <c r="G7655" s="140">
        <v>300000.0</v>
      </c>
      <c r="H7655" s="74"/>
      <c r="I7655" s="74">
        <f t="shared" si="1"/>
        <v>300000</v>
      </c>
      <c r="J7655" s="74">
        <f>IF(E7655="SERVICE",I7655-(I7655*50%),Vlookup(E7655,DATABASE!C:Q,10,false)*F7655)</f>
        <v>0</v>
      </c>
      <c r="K7655" s="74">
        <f>VLOOKUP(E7655,DATABASE!C:Q,7,false)</f>
        <v>317518</v>
      </c>
      <c r="L7655" s="74">
        <v>271778.0</v>
      </c>
      <c r="M7655" s="74">
        <f t="shared" si="4"/>
        <v>275000</v>
      </c>
      <c r="N7655" s="74">
        <f t="shared" si="3"/>
        <v>25000</v>
      </c>
      <c r="O7655" s="65" t="str">
        <f>VLOOKUP(E7655,DATABASE!C:Q,8,false)</f>
        <v>NON</v>
      </c>
      <c r="P7655" s="65">
        <f>VLOOKUP(E7655,DATABASE!C:Q,9,False)</f>
        <v>0</v>
      </c>
      <c r="Q7655" s="93" t="str">
        <f>VLOOKUP(E7655,DATABASE!C:Q,4,false)</f>
        <v>Shell</v>
      </c>
      <c r="R7655" s="93" t="str">
        <f>VLOOKUP(E7655,DATABASE!C:Q,11,false)</f>
        <v>OIL</v>
      </c>
    </row>
    <row r="7656" ht="22.5" customHeight="1">
      <c r="A7656" s="49"/>
      <c r="C7656" s="400">
        <v>46105.0</v>
      </c>
      <c r="D7656" s="69">
        <v>773.0</v>
      </c>
      <c r="E7656" s="544" t="s">
        <v>1565</v>
      </c>
      <c r="F7656" s="387">
        <v>1.0</v>
      </c>
      <c r="G7656" s="140">
        <v>1400000.0</v>
      </c>
      <c r="H7656" s="74"/>
      <c r="I7656" s="74">
        <f t="shared" si="1"/>
        <v>1400000</v>
      </c>
      <c r="J7656" s="74">
        <f>IF(E7656="SERVICE",I7656-(I7656*50%),Vlookup(E7656,DATABASE!C:Q,10,false)*F7656)</f>
        <v>0</v>
      </c>
      <c r="K7656" s="74">
        <f>VLOOKUP(E7656,DATABASE!C:Q,7,false)</f>
        <v>1292000</v>
      </c>
      <c r="L7656" s="74">
        <v>1292000.0</v>
      </c>
      <c r="M7656" s="74">
        <f t="shared" si="4"/>
        <v>1295000</v>
      </c>
      <c r="N7656" s="74">
        <f t="shared" si="3"/>
        <v>105000</v>
      </c>
      <c r="O7656" s="65" t="str">
        <f>VLOOKUP(E7656,DATABASE!C:Q,8,false)</f>
        <v>IBU</v>
      </c>
      <c r="P7656" s="65">
        <f>VLOOKUP(E7656,DATABASE!C:Q,9,False)</f>
        <v>1</v>
      </c>
      <c r="Q7656" s="93" t="str">
        <f>VLOOKUP(E7656,DATABASE!C:Q,4,false)</f>
        <v>Dunlop</v>
      </c>
      <c r="R7656" s="93" t="str">
        <f>VLOOKUP(E7656,DATABASE!C:Q,11,false)</f>
        <v>Tire</v>
      </c>
    </row>
    <row r="7657" ht="22.5" customHeight="1">
      <c r="A7657" s="49"/>
      <c r="C7657" s="400">
        <v>46105.0</v>
      </c>
      <c r="D7657" s="69">
        <v>774.0</v>
      </c>
      <c r="E7657" s="544" t="s">
        <v>2626</v>
      </c>
      <c r="F7657" s="387">
        <v>2.0</v>
      </c>
      <c r="G7657" s="140">
        <v>640000.0</v>
      </c>
      <c r="H7657" s="74"/>
      <c r="I7657" s="74">
        <f t="shared" si="1"/>
        <v>1280000</v>
      </c>
      <c r="J7657" s="74">
        <f>IF(E7657="SERVICE",I7657-(I7657*50%),Vlookup(E7657,DATABASE!C:Q,10,false)*F7657)</f>
        <v>0</v>
      </c>
      <c r="K7657" s="74">
        <f>VLOOKUP(E7657,DATABASE!C:Q,7,false)</f>
        <v>548000</v>
      </c>
      <c r="L7657" s="74">
        <v>548000.0</v>
      </c>
      <c r="M7657" s="74">
        <f t="shared" si="4"/>
        <v>550000</v>
      </c>
      <c r="N7657" s="74">
        <f t="shared" si="3"/>
        <v>180000</v>
      </c>
      <c r="O7657" s="65" t="str">
        <f>VLOOKUP(E7657,DATABASE!C:Q,8,false)</f>
        <v>Bian</v>
      </c>
      <c r="P7657" s="65">
        <f>VLOOKUP(E7657,DATABASE!C:Q,9,False)</f>
        <v>1</v>
      </c>
      <c r="Q7657" s="93" t="str">
        <f>VLOOKUP(E7657,DATABASE!C:Q,4,false)</f>
        <v>Laufen</v>
      </c>
      <c r="R7657" s="93" t="str">
        <f>VLOOKUP(E7657,DATABASE!C:Q,11,false)</f>
        <v>Tire</v>
      </c>
    </row>
    <row r="7658" ht="22.5" customHeight="1">
      <c r="A7658" s="49"/>
      <c r="C7658" s="400">
        <v>46105.0</v>
      </c>
      <c r="D7658" s="69">
        <v>775.0</v>
      </c>
      <c r="E7658" s="544" t="s">
        <v>839</v>
      </c>
      <c r="F7658" s="387">
        <v>2.0</v>
      </c>
      <c r="G7658" s="140">
        <v>565000.0</v>
      </c>
      <c r="H7658" s="74"/>
      <c r="I7658" s="74">
        <f t="shared" si="1"/>
        <v>1130000</v>
      </c>
      <c r="J7658" s="74">
        <f>IF(E7658="SERVICE",I7658-(I7658*50%),Vlookup(E7658,DATABASE!C:Q,10,false)*F7658)</f>
        <v>0</v>
      </c>
      <c r="K7658" s="74">
        <f>VLOOKUP(E7658,DATABASE!C:Q,7,false)</f>
        <v>512640</v>
      </c>
      <c r="L7658" s="74">
        <v>475700.0</v>
      </c>
      <c r="M7658" s="74">
        <f t="shared" si="4"/>
        <v>480000</v>
      </c>
      <c r="N7658" s="74">
        <f t="shared" si="3"/>
        <v>170000</v>
      </c>
      <c r="O7658" s="65" t="str">
        <f>VLOOKUP(E7658,DATABASE!C:Q,8,false)</f>
        <v>BIAN</v>
      </c>
      <c r="P7658" s="65">
        <f>VLOOKUP(E7658,DATABASE!C:Q,9,False)</f>
        <v>1</v>
      </c>
      <c r="Q7658" s="93" t="str">
        <f>VLOOKUP(E7658,DATABASE!C:Q,4,false)</f>
        <v>GT</v>
      </c>
      <c r="R7658" s="93" t="str">
        <f>VLOOKUP(E7658,DATABASE!C:Q,11,false)</f>
        <v>Tire</v>
      </c>
    </row>
    <row r="7659" ht="22.5" customHeight="1">
      <c r="A7659" s="49"/>
      <c r="C7659" s="400">
        <v>46105.0</v>
      </c>
      <c r="D7659" s="69">
        <v>776.0</v>
      </c>
      <c r="E7659" s="544" t="s">
        <v>1439</v>
      </c>
      <c r="F7659" s="387">
        <v>2.0</v>
      </c>
      <c r="G7659" s="140">
        <v>630000.0</v>
      </c>
      <c r="H7659" s="74"/>
      <c r="I7659" s="74">
        <f t="shared" si="1"/>
        <v>1260000</v>
      </c>
      <c r="J7659" s="74">
        <f>IF(E7659="SERVICE",I7659-(I7659*50%),Vlookup(E7659,DATABASE!C:Q,10,false)*F7659)</f>
        <v>0</v>
      </c>
      <c r="K7659" s="74">
        <f>VLOOKUP(E7659,DATABASE!C:Q,7,false)</f>
        <v>556800</v>
      </c>
      <c r="L7659" s="74">
        <v>540800.0</v>
      </c>
      <c r="M7659" s="74">
        <f t="shared" si="4"/>
        <v>545000</v>
      </c>
      <c r="N7659" s="74">
        <f t="shared" si="3"/>
        <v>170000</v>
      </c>
      <c r="O7659" s="65" t="str">
        <f>VLOOKUP(E7659,DATABASE!C:Q,8,false)</f>
        <v>BIAN</v>
      </c>
      <c r="P7659" s="65">
        <f>VLOOKUP(E7659,DATABASE!C:Q,9,False)</f>
        <v>1</v>
      </c>
      <c r="Q7659" s="93" t="str">
        <f>VLOOKUP(E7659,DATABASE!C:Q,4,false)</f>
        <v>GT</v>
      </c>
      <c r="R7659" s="93" t="str">
        <f>VLOOKUP(E7659,DATABASE!C:Q,11,false)</f>
        <v>Tire</v>
      </c>
    </row>
    <row r="7660" ht="22.5" customHeight="1">
      <c r="A7660" s="49"/>
      <c r="C7660" s="400">
        <v>46105.0</v>
      </c>
      <c r="D7660" s="69">
        <v>777.0</v>
      </c>
      <c r="E7660" s="544" t="s">
        <v>1033</v>
      </c>
      <c r="F7660" s="387">
        <v>1.0</v>
      </c>
      <c r="G7660" s="140">
        <v>750000.0</v>
      </c>
      <c r="H7660" s="74"/>
      <c r="I7660" s="74">
        <f t="shared" si="1"/>
        <v>750000</v>
      </c>
      <c r="J7660" s="74">
        <f>IF(E7660="SERVICE",I7660-(I7660*50%),Vlookup(E7660,DATABASE!C:Q,10,false)*F7660)</f>
        <v>0</v>
      </c>
      <c r="K7660" s="74">
        <f>VLOOKUP(E7660,DATABASE!C:Q,7,false)</f>
        <v>680512</v>
      </c>
      <c r="L7660" s="74">
        <v>657305.6</v>
      </c>
      <c r="M7660" s="74">
        <f t="shared" si="4"/>
        <v>660000</v>
      </c>
      <c r="N7660" s="74">
        <f t="shared" si="3"/>
        <v>90000</v>
      </c>
      <c r="O7660" s="65" t="str">
        <f>VLOOKUP(E7660,DATABASE!C:Q,8,false)</f>
        <v>IBU</v>
      </c>
      <c r="P7660" s="65">
        <f>VLOOKUP(E7660,DATABASE!C:Q,9,False)</f>
        <v>1</v>
      </c>
      <c r="Q7660" s="93" t="str">
        <f>VLOOKUP(E7660,DATABASE!C:Q,4,false)</f>
        <v>Bridgestone</v>
      </c>
      <c r="R7660" s="93" t="str">
        <f>VLOOKUP(E7660,DATABASE!C:Q,11,false)</f>
        <v>Tire</v>
      </c>
    </row>
    <row r="7661" ht="22.5" customHeight="1">
      <c r="A7661" s="49"/>
      <c r="C7661" s="400">
        <v>46105.0</v>
      </c>
      <c r="D7661" s="69">
        <v>778.0</v>
      </c>
      <c r="E7661" s="544" t="s">
        <v>781</v>
      </c>
      <c r="F7661" s="387">
        <v>1.0</v>
      </c>
      <c r="G7661" s="140">
        <v>530000.0</v>
      </c>
      <c r="H7661" s="74"/>
      <c r="I7661" s="74">
        <f t="shared" si="1"/>
        <v>530000</v>
      </c>
      <c r="J7661" s="74">
        <f>IF(E7661="SERVICE",I7661-(I7661*50%),Vlookup(E7661,DATABASE!C:Q,10,false)*F7661)</f>
        <v>0</v>
      </c>
      <c r="K7661" s="74">
        <f>VLOOKUP(E7661,DATABASE!C:Q,7,false)</f>
        <v>470000</v>
      </c>
      <c r="L7661" s="74">
        <v>442500.0</v>
      </c>
      <c r="M7661" s="74">
        <f t="shared" si="4"/>
        <v>445000</v>
      </c>
      <c r="N7661" s="74">
        <f t="shared" si="3"/>
        <v>85000</v>
      </c>
      <c r="O7661" s="65" t="str">
        <f>VLOOKUP(E7661,DATABASE!C:Q,8,false)</f>
        <v>BIAN</v>
      </c>
      <c r="P7661" s="65">
        <f>VLOOKUP(E7661,DATABASE!C:Q,9,False)</f>
        <v>1</v>
      </c>
      <c r="Q7661" s="93" t="str">
        <f>VLOOKUP(E7661,DATABASE!C:Q,4,false)</f>
        <v>GT</v>
      </c>
      <c r="R7661" s="93" t="str">
        <f>VLOOKUP(E7661,DATABASE!C:Q,11,false)</f>
        <v>Tire</v>
      </c>
    </row>
    <row r="7662" ht="22.5" customHeight="1">
      <c r="A7662" s="49"/>
      <c r="C7662" s="400">
        <v>46105.0</v>
      </c>
      <c r="D7662" s="69">
        <v>779.0</v>
      </c>
      <c r="E7662" s="544" t="s">
        <v>932</v>
      </c>
      <c r="F7662" s="387">
        <v>1.0</v>
      </c>
      <c r="G7662" s="140">
        <v>700000.0</v>
      </c>
      <c r="H7662" s="74"/>
      <c r="I7662" s="74">
        <f t="shared" si="1"/>
        <v>700000</v>
      </c>
      <c r="J7662" s="74">
        <f>IF(E7662="SERVICE",I7662-(I7662*50%),Vlookup(E7662,DATABASE!C:Q,10,false)*F7662)</f>
        <v>0</v>
      </c>
      <c r="K7662" s="74">
        <f>VLOOKUP(E7662,DATABASE!C:Q,7,false)</f>
        <v>601000</v>
      </c>
      <c r="L7662" s="74">
        <v>601000.0</v>
      </c>
      <c r="M7662" s="74">
        <f t="shared" si="4"/>
        <v>605000</v>
      </c>
      <c r="N7662" s="74">
        <f t="shared" si="3"/>
        <v>95000</v>
      </c>
      <c r="O7662" s="65" t="str">
        <f>VLOOKUP(E7662,DATABASE!C:Q,8,false)</f>
        <v>IBU</v>
      </c>
      <c r="P7662" s="65">
        <f>VLOOKUP(E7662,DATABASE!C:Q,9,False)</f>
        <v>1</v>
      </c>
      <c r="Q7662" s="93" t="str">
        <f>VLOOKUP(E7662,DATABASE!C:Q,4,false)</f>
        <v>Dunlop</v>
      </c>
      <c r="R7662" s="93" t="str">
        <f>VLOOKUP(E7662,DATABASE!C:Q,11,false)</f>
        <v>Tire</v>
      </c>
    </row>
    <row r="7663" ht="22.5" customHeight="1">
      <c r="A7663" s="49"/>
      <c r="C7663" s="400">
        <v>46105.0</v>
      </c>
      <c r="D7663" s="69">
        <v>779.0</v>
      </c>
      <c r="E7663" s="544" t="s">
        <v>569</v>
      </c>
      <c r="F7663" s="387">
        <v>1.0</v>
      </c>
      <c r="G7663" s="140">
        <v>80000.0</v>
      </c>
      <c r="H7663" s="74"/>
      <c r="I7663" s="74">
        <f t="shared" si="1"/>
        <v>80000</v>
      </c>
      <c r="J7663" s="74">
        <f>IF(E7663="SERVICE",I7663-(I7663*50%),Vlookup(E7663,DATABASE!C:Q,10,false)*F7663)</f>
        <v>0</v>
      </c>
      <c r="K7663" s="74">
        <f>VLOOKUP(E7663,DATABASE!C:Q,7,false)</f>
        <v>45439.582</v>
      </c>
      <c r="L7663" s="74">
        <v>45309.6</v>
      </c>
      <c r="M7663" s="74">
        <f t="shared" si="4"/>
        <v>50000</v>
      </c>
      <c r="N7663" s="74">
        <f t="shared" si="3"/>
        <v>30000</v>
      </c>
      <c r="O7663" s="65" t="str">
        <f>VLOOKUP(E7663,DATABASE!C:Q,8,false)</f>
        <v>BIAN</v>
      </c>
      <c r="P7663" s="65">
        <f>VLOOKUP(E7663,DATABASE!C:Q,9,False)</f>
        <v>1</v>
      </c>
      <c r="Q7663" s="93" t="str">
        <f>VLOOKUP(E7663,DATABASE!C:Q,4,false)</f>
        <v>BD</v>
      </c>
      <c r="R7663" s="93" t="str">
        <f>VLOOKUP(E7663,DATABASE!C:Q,11,false)</f>
        <v>Tire</v>
      </c>
    </row>
    <row r="7664" ht="22.5" customHeight="1">
      <c r="A7664" s="49"/>
      <c r="C7664" s="400">
        <v>46105.0</v>
      </c>
      <c r="D7664" s="69">
        <v>780.0</v>
      </c>
      <c r="E7664" s="544" t="s">
        <v>781</v>
      </c>
      <c r="F7664" s="387">
        <v>2.0</v>
      </c>
      <c r="G7664" s="140">
        <v>530000.0</v>
      </c>
      <c r="H7664" s="74"/>
      <c r="I7664" s="74">
        <f t="shared" si="1"/>
        <v>1060000</v>
      </c>
      <c r="J7664" s="74">
        <f>IF(E7664="SERVICE",I7664-(I7664*50%),Vlookup(E7664,DATABASE!C:Q,10,false)*F7664)</f>
        <v>0</v>
      </c>
      <c r="K7664" s="74">
        <f>VLOOKUP(E7664,DATABASE!C:Q,7,false)</f>
        <v>470000</v>
      </c>
      <c r="L7664" s="74">
        <v>442500.0</v>
      </c>
      <c r="M7664" s="74">
        <f t="shared" si="4"/>
        <v>445000</v>
      </c>
      <c r="N7664" s="74">
        <f t="shared" si="3"/>
        <v>170000</v>
      </c>
      <c r="O7664" s="65" t="str">
        <f>VLOOKUP(E7664,DATABASE!C:Q,8,false)</f>
        <v>BIAN</v>
      </c>
      <c r="P7664" s="65">
        <f>VLOOKUP(E7664,DATABASE!C:Q,9,False)</f>
        <v>1</v>
      </c>
      <c r="Q7664" s="93" t="str">
        <f>VLOOKUP(E7664,DATABASE!C:Q,4,false)</f>
        <v>GT</v>
      </c>
      <c r="R7664" s="93" t="str">
        <f>VLOOKUP(E7664,DATABASE!C:Q,11,false)</f>
        <v>Tire</v>
      </c>
    </row>
    <row r="7665" ht="22.5" customHeight="1">
      <c r="A7665" s="49"/>
      <c r="C7665" s="400">
        <v>46105.0</v>
      </c>
      <c r="D7665" s="69">
        <v>781.0</v>
      </c>
      <c r="E7665" s="544" t="s">
        <v>856</v>
      </c>
      <c r="F7665" s="387">
        <v>2.0</v>
      </c>
      <c r="G7665" s="140">
        <v>670000.0</v>
      </c>
      <c r="H7665" s="74"/>
      <c r="I7665" s="74">
        <f t="shared" si="1"/>
        <v>1340000</v>
      </c>
      <c r="J7665" s="74">
        <f>IF(E7665="SERVICE",I7665-(I7665*50%),Vlookup(E7665,DATABASE!C:Q,10,false)*F7665)</f>
        <v>0</v>
      </c>
      <c r="K7665" s="74">
        <f>VLOOKUP(E7665,DATABASE!C:Q,7,false)</f>
        <v>615300</v>
      </c>
      <c r="L7665" s="74">
        <v>581120.0</v>
      </c>
      <c r="M7665" s="74">
        <f t="shared" si="4"/>
        <v>585000</v>
      </c>
      <c r="N7665" s="74">
        <f t="shared" si="3"/>
        <v>170000</v>
      </c>
      <c r="O7665" s="65" t="str">
        <f>VLOOKUP(E7665,DATABASE!C:Q,8,false)</f>
        <v>BIAN</v>
      </c>
      <c r="P7665" s="65">
        <f>VLOOKUP(E7665,DATABASE!C:Q,9,False)</f>
        <v>1</v>
      </c>
      <c r="Q7665" s="93" t="str">
        <f>VLOOKUP(E7665,DATABASE!C:Q,4,false)</f>
        <v>GT</v>
      </c>
      <c r="R7665" s="93" t="str">
        <f>VLOOKUP(E7665,DATABASE!C:Q,11,false)</f>
        <v>Tire</v>
      </c>
    </row>
    <row r="7666" ht="22.5" customHeight="1">
      <c r="A7666" s="49"/>
      <c r="C7666" s="400">
        <v>46105.0</v>
      </c>
      <c r="D7666" s="69">
        <v>782.0</v>
      </c>
      <c r="E7666" s="544" t="s">
        <v>937</v>
      </c>
      <c r="F7666" s="387">
        <v>1.0</v>
      </c>
      <c r="G7666" s="140">
        <v>910000.0</v>
      </c>
      <c r="H7666" s="74"/>
      <c r="I7666" s="74">
        <f t="shared" si="1"/>
        <v>910000</v>
      </c>
      <c r="J7666" s="74">
        <f>IF(E7666="SERVICE",I7666-(I7666*50%),Vlookup(E7666,DATABASE!C:Q,10,false)*F7666)</f>
        <v>0</v>
      </c>
      <c r="K7666" s="74">
        <f>VLOOKUP(E7666,DATABASE!C:Q,7,false)</f>
        <v>825000</v>
      </c>
      <c r="L7666" s="74">
        <v>815000.0</v>
      </c>
      <c r="M7666" s="74">
        <f t="shared" si="4"/>
        <v>815000</v>
      </c>
      <c r="N7666" s="74">
        <f t="shared" si="3"/>
        <v>95000</v>
      </c>
      <c r="O7666" s="65" t="str">
        <f>VLOOKUP(E7666,DATABASE!C:Q,8,false)</f>
        <v>IBU</v>
      </c>
      <c r="P7666" s="65">
        <f>VLOOKUP(E7666,DATABASE!C:Q,9,False)</f>
        <v>1</v>
      </c>
      <c r="Q7666" s="93" t="str">
        <f>VLOOKUP(E7666,DATABASE!C:Q,4,false)</f>
        <v>Bridgestone</v>
      </c>
      <c r="R7666" s="93" t="str">
        <f>VLOOKUP(E7666,DATABASE!C:Q,11,false)</f>
        <v>Tire</v>
      </c>
    </row>
    <row r="7667" ht="22.5" customHeight="1">
      <c r="A7667" s="49"/>
      <c r="C7667" s="400">
        <v>46105.0</v>
      </c>
      <c r="D7667" s="69" t="s">
        <v>2748</v>
      </c>
      <c r="E7667" s="544" t="s">
        <v>258</v>
      </c>
      <c r="F7667" s="387">
        <v>1.0</v>
      </c>
      <c r="G7667" s="140">
        <v>320000.0</v>
      </c>
      <c r="H7667" s="74"/>
      <c r="I7667" s="74">
        <f t="shared" si="1"/>
        <v>320000</v>
      </c>
      <c r="J7667" s="74">
        <f>IF(E7667="SERVICE",I7667-(I7667*50%),Vlookup(E7667,DATABASE!C:Q,10,false)*F7667)</f>
        <v>0</v>
      </c>
      <c r="K7667" s="74">
        <f>VLOOKUP(E7667,DATABASE!C:Q,7,false)</f>
        <v>74700</v>
      </c>
      <c r="L7667" s="74">
        <v>73424.0</v>
      </c>
      <c r="M7667" s="74">
        <f t="shared" si="4"/>
        <v>75000</v>
      </c>
      <c r="N7667" s="74">
        <f t="shared" si="3"/>
        <v>245000</v>
      </c>
      <c r="O7667" s="65" t="str">
        <f>VLOOKUP(E7667,DATABASE!C:Q,8,false)</f>
        <v>NON</v>
      </c>
      <c r="P7667" s="65">
        <f>VLOOKUP(E7667,DATABASE!C:Q,9,False)</f>
        <v>0</v>
      </c>
      <c r="Q7667" s="93" t="str">
        <f>VLOOKUP(E7667,DATABASE!C:Q,4,false)</f>
        <v>Shell</v>
      </c>
      <c r="R7667" s="93" t="str">
        <f>VLOOKUP(E7667,DATABASE!C:Q,11,false)</f>
        <v>OIL</v>
      </c>
    </row>
    <row r="7668" ht="22.5" customHeight="1">
      <c r="A7668" s="49"/>
      <c r="C7668" s="400">
        <v>46105.0</v>
      </c>
      <c r="D7668" s="69" t="s">
        <v>2749</v>
      </c>
      <c r="E7668" s="544" t="s">
        <v>258</v>
      </c>
      <c r="F7668" s="387">
        <v>1.0</v>
      </c>
      <c r="G7668" s="140">
        <v>320000.0</v>
      </c>
      <c r="H7668" s="74"/>
      <c r="I7668" s="74">
        <f t="shared" si="1"/>
        <v>320000</v>
      </c>
      <c r="J7668" s="74">
        <f>IF(E7668="SERVICE",I7668-(I7668*50%),Vlookup(E7668,DATABASE!C:Q,10,false)*F7668)</f>
        <v>0</v>
      </c>
      <c r="K7668" s="74">
        <f>VLOOKUP(E7668,DATABASE!C:Q,7,false)</f>
        <v>74700</v>
      </c>
      <c r="L7668" s="74">
        <v>73424.0</v>
      </c>
      <c r="M7668" s="74">
        <f t="shared" si="4"/>
        <v>75000</v>
      </c>
      <c r="N7668" s="74">
        <f t="shared" si="3"/>
        <v>245000</v>
      </c>
      <c r="O7668" s="65" t="str">
        <f>VLOOKUP(E7668,DATABASE!C:Q,8,false)</f>
        <v>NON</v>
      </c>
      <c r="P7668" s="65">
        <f>VLOOKUP(E7668,DATABASE!C:Q,9,False)</f>
        <v>0</v>
      </c>
      <c r="Q7668" s="93" t="str">
        <f>VLOOKUP(E7668,DATABASE!C:Q,4,false)</f>
        <v>Shell</v>
      </c>
      <c r="R7668" s="93" t="str">
        <f>VLOOKUP(E7668,DATABASE!C:Q,11,false)</f>
        <v>OIL</v>
      </c>
    </row>
    <row r="7669" ht="22.5" customHeight="1">
      <c r="A7669" s="49"/>
      <c r="C7669" s="400">
        <v>46105.0</v>
      </c>
      <c r="D7669" s="69" t="s">
        <v>2750</v>
      </c>
      <c r="E7669" s="544" t="s">
        <v>258</v>
      </c>
      <c r="F7669" s="387">
        <v>1.0</v>
      </c>
      <c r="G7669" s="140">
        <v>320000.0</v>
      </c>
      <c r="H7669" s="74"/>
      <c r="I7669" s="74">
        <f t="shared" si="1"/>
        <v>320000</v>
      </c>
      <c r="J7669" s="74">
        <f>IF(E7669="SERVICE",I7669-(I7669*50%),Vlookup(E7669,DATABASE!C:Q,10,false)*F7669)</f>
        <v>0</v>
      </c>
      <c r="K7669" s="74">
        <f>VLOOKUP(E7669,DATABASE!C:Q,7,false)</f>
        <v>74700</v>
      </c>
      <c r="L7669" s="74">
        <v>73424.0</v>
      </c>
      <c r="M7669" s="74">
        <f t="shared" si="4"/>
        <v>75000</v>
      </c>
      <c r="N7669" s="74">
        <f t="shared" si="3"/>
        <v>245000</v>
      </c>
      <c r="O7669" s="65" t="str">
        <f>VLOOKUP(E7669,DATABASE!C:Q,8,false)</f>
        <v>NON</v>
      </c>
      <c r="P7669" s="65">
        <f>VLOOKUP(E7669,DATABASE!C:Q,9,False)</f>
        <v>0</v>
      </c>
      <c r="Q7669" s="93" t="str">
        <f>VLOOKUP(E7669,DATABASE!C:Q,4,false)</f>
        <v>Shell</v>
      </c>
      <c r="R7669" s="93" t="str">
        <f>VLOOKUP(E7669,DATABASE!C:Q,11,false)</f>
        <v>OIL</v>
      </c>
    </row>
    <row r="7670" ht="22.5" customHeight="1">
      <c r="A7670" s="49"/>
      <c r="C7670" s="400">
        <v>46105.0</v>
      </c>
      <c r="D7670" s="69" t="s">
        <v>2750</v>
      </c>
      <c r="E7670" s="544" t="s">
        <v>299</v>
      </c>
      <c r="F7670" s="387">
        <v>2.0</v>
      </c>
      <c r="G7670" s="140">
        <v>30000.0</v>
      </c>
      <c r="H7670" s="74"/>
      <c r="I7670" s="74">
        <f t="shared" si="1"/>
        <v>60000</v>
      </c>
      <c r="J7670" s="74">
        <f>IF(E7670="SERVICE",I7670-(I7670*50%),Vlookup(E7670,DATABASE!C:Q,10,false)*F7670)</f>
        <v>0</v>
      </c>
      <c r="K7670" s="74">
        <f>VLOOKUP(E7670,DATABASE!C:Q,7,false)</f>
        <v>10000</v>
      </c>
      <c r="L7670" s="74">
        <v>10000.0</v>
      </c>
      <c r="M7670" s="74">
        <f t="shared" si="4"/>
        <v>10000</v>
      </c>
      <c r="N7670" s="74">
        <f t="shared" si="3"/>
        <v>40000</v>
      </c>
      <c r="O7670" s="65" t="str">
        <f>VLOOKUP(E7670,DATABASE!C:Q,8,false)</f>
        <v>BIAN</v>
      </c>
      <c r="P7670" s="65">
        <f>VLOOKUP(E7670,DATABASE!C:Q,9,False)</f>
        <v>0</v>
      </c>
      <c r="Q7670" s="93" t="str">
        <f>VLOOKUP(E7670,DATABASE!C:Q,4,false)</f>
        <v>Balancing</v>
      </c>
      <c r="R7670" s="93" t="str">
        <f>VLOOKUP(E7670,DATABASE!C:Q,11,false)</f>
        <v>COMPLEMENTARY</v>
      </c>
    </row>
    <row r="7671" ht="22.5" customHeight="1">
      <c r="A7671" s="49"/>
      <c r="C7671" s="400">
        <v>46106.0</v>
      </c>
      <c r="D7671" s="524">
        <v>783.0</v>
      </c>
      <c r="E7671" s="544" t="s">
        <v>299</v>
      </c>
      <c r="F7671" s="387">
        <v>2.0</v>
      </c>
      <c r="G7671" s="140">
        <v>30000.0</v>
      </c>
      <c r="H7671" s="74"/>
      <c r="I7671" s="74">
        <f t="shared" si="1"/>
        <v>60000</v>
      </c>
      <c r="J7671" s="74">
        <f>IF(E7671="SERVICE",I7671-(I7671*50%),Vlookup(E7671,DATABASE!C:Q,10,false)*F7671)</f>
        <v>0</v>
      </c>
      <c r="K7671" s="74">
        <f>VLOOKUP(E7671,DATABASE!C:Q,7,false)</f>
        <v>10000</v>
      </c>
      <c r="L7671" s="74">
        <v>10000.0</v>
      </c>
      <c r="M7671" s="74">
        <f t="shared" si="4"/>
        <v>10000</v>
      </c>
      <c r="N7671" s="74">
        <f t="shared" si="3"/>
        <v>40000</v>
      </c>
      <c r="O7671" s="65" t="str">
        <f>VLOOKUP(E7671,DATABASE!C:Q,8,false)</f>
        <v>BIAN</v>
      </c>
      <c r="P7671" s="65">
        <f>VLOOKUP(E7671,DATABASE!C:Q,9,False)</f>
        <v>0</v>
      </c>
      <c r="Q7671" s="93" t="str">
        <f>VLOOKUP(E7671,DATABASE!C:Q,4,false)</f>
        <v>Balancing</v>
      </c>
      <c r="R7671" s="93" t="str">
        <f>VLOOKUP(E7671,DATABASE!C:Q,11,false)</f>
        <v>COMPLEMENTARY</v>
      </c>
    </row>
    <row r="7672" ht="22.5" customHeight="1">
      <c r="A7672" s="49"/>
      <c r="C7672" s="400">
        <v>46106.0</v>
      </c>
      <c r="D7672" s="524">
        <v>783.0</v>
      </c>
      <c r="E7672" s="544" t="s">
        <v>256</v>
      </c>
      <c r="F7672" s="387">
        <v>1.0</v>
      </c>
      <c r="G7672" s="140">
        <v>175000.0</v>
      </c>
      <c r="H7672" s="140">
        <v>25000.0</v>
      </c>
      <c r="I7672" s="74">
        <f t="shared" si="1"/>
        <v>150000</v>
      </c>
      <c r="J7672" s="74">
        <f>IF(E7672="SERVICE",I7672-(I7672*50%),Vlookup(E7672,DATABASE!C:Q,10,false)*F7672)</f>
        <v>10000</v>
      </c>
      <c r="K7672" s="74">
        <f>VLOOKUP(E7672,DATABASE!C:Q,7,false)</f>
        <v>0</v>
      </c>
      <c r="L7672" s="74">
        <v>0.0</v>
      </c>
      <c r="M7672" s="74">
        <f t="shared" si="4"/>
        <v>0</v>
      </c>
      <c r="N7672" s="74">
        <f t="shared" si="3"/>
        <v>140000</v>
      </c>
      <c r="O7672" s="65" t="str">
        <f>VLOOKUP(E7672,DATABASE!C:Q,8,false)</f>
        <v>IBU</v>
      </c>
      <c r="P7672" s="65">
        <f>VLOOKUP(E7672,DATABASE!C:Q,9,False)</f>
        <v>0</v>
      </c>
      <c r="Q7672" s="93" t="str">
        <f>VLOOKUP(E7672,DATABASE!C:Q,4,false)</f>
        <v>SPOORING</v>
      </c>
      <c r="R7672" s="93" t="str">
        <f>VLOOKUP(E7672,DATABASE!C:Q,11,false)</f>
        <v>SERVICE</v>
      </c>
    </row>
    <row r="7673" ht="22.5" customHeight="1">
      <c r="A7673" s="49"/>
      <c r="C7673" s="400">
        <v>46106.0</v>
      </c>
      <c r="D7673" s="524">
        <v>784.0</v>
      </c>
      <c r="E7673" s="544" t="s">
        <v>1009</v>
      </c>
      <c r="F7673" s="387">
        <v>2.0</v>
      </c>
      <c r="G7673" s="140">
        <v>700000.0</v>
      </c>
      <c r="H7673" s="140">
        <v>15000.0</v>
      </c>
      <c r="I7673" s="74">
        <f t="shared" si="1"/>
        <v>1370000</v>
      </c>
      <c r="J7673" s="74">
        <f>IF(E7673="SERVICE",I7673-(I7673*50%),Vlookup(E7673,DATABASE!C:Q,10,false)*F7673)</f>
        <v>0</v>
      </c>
      <c r="K7673" s="74">
        <f>VLOOKUP(E7673,DATABASE!C:Q,7,false)</f>
        <v>609800</v>
      </c>
      <c r="L7673" s="74">
        <v>592200.0</v>
      </c>
      <c r="M7673" s="74">
        <f t="shared" si="4"/>
        <v>595000</v>
      </c>
      <c r="N7673" s="74">
        <f t="shared" si="3"/>
        <v>180000</v>
      </c>
      <c r="O7673" s="65" t="str">
        <f>VLOOKUP(E7673,DATABASE!C:Q,8,false)</f>
        <v>BIAN</v>
      </c>
      <c r="P7673" s="65">
        <f>VLOOKUP(E7673,DATABASE!C:Q,9,False)</f>
        <v>1</v>
      </c>
      <c r="Q7673" s="93" t="str">
        <f>VLOOKUP(E7673,DATABASE!C:Q,4,false)</f>
        <v>GT</v>
      </c>
      <c r="R7673" s="93" t="str">
        <f>VLOOKUP(E7673,DATABASE!C:Q,11,false)</f>
        <v>Tire</v>
      </c>
    </row>
    <row r="7674" ht="22.5" customHeight="1">
      <c r="A7674" s="49"/>
      <c r="C7674" s="400">
        <v>46106.0</v>
      </c>
      <c r="D7674" s="524">
        <v>786.0</v>
      </c>
      <c r="E7674" s="544" t="s">
        <v>781</v>
      </c>
      <c r="F7674" s="387">
        <v>3.0</v>
      </c>
      <c r="G7674" s="140">
        <v>530000.0</v>
      </c>
      <c r="H7674" s="74"/>
      <c r="I7674" s="74">
        <f t="shared" si="1"/>
        <v>1590000</v>
      </c>
      <c r="J7674" s="74">
        <f>IF(E7674="SERVICE",I7674-(I7674*50%),Vlookup(E7674,DATABASE!C:Q,10,false)*F7674)</f>
        <v>0</v>
      </c>
      <c r="K7674" s="74">
        <f>VLOOKUP(E7674,DATABASE!C:Q,7,false)</f>
        <v>470000</v>
      </c>
      <c r="L7674" s="74">
        <v>442500.0</v>
      </c>
      <c r="M7674" s="74">
        <f t="shared" si="4"/>
        <v>445000</v>
      </c>
      <c r="N7674" s="74">
        <f t="shared" si="3"/>
        <v>255000</v>
      </c>
      <c r="O7674" s="65" t="str">
        <f>VLOOKUP(E7674,DATABASE!C:Q,8,false)</f>
        <v>BIAN</v>
      </c>
      <c r="P7674" s="65">
        <f>VLOOKUP(E7674,DATABASE!C:Q,9,False)</f>
        <v>1</v>
      </c>
      <c r="Q7674" s="93" t="str">
        <f>VLOOKUP(E7674,DATABASE!C:Q,4,false)</f>
        <v>GT</v>
      </c>
      <c r="R7674" s="93" t="str">
        <f>VLOOKUP(E7674,DATABASE!C:Q,11,false)</f>
        <v>Tire</v>
      </c>
    </row>
    <row r="7675" ht="22.5" customHeight="1">
      <c r="A7675" s="49"/>
      <c r="C7675" s="400">
        <v>46106.0</v>
      </c>
      <c r="D7675" s="524">
        <v>786.0</v>
      </c>
      <c r="E7675" s="544" t="s">
        <v>569</v>
      </c>
      <c r="F7675" s="387">
        <v>1.0</v>
      </c>
      <c r="G7675" s="140">
        <v>80000.0</v>
      </c>
      <c r="H7675" s="74"/>
      <c r="I7675" s="74">
        <f t="shared" si="1"/>
        <v>80000</v>
      </c>
      <c r="J7675" s="74">
        <f>IF(E7675="SERVICE",I7675-(I7675*50%),Vlookup(E7675,DATABASE!C:Q,10,false)*F7675)</f>
        <v>0</v>
      </c>
      <c r="K7675" s="74">
        <f>VLOOKUP(E7675,DATABASE!C:Q,7,false)</f>
        <v>45439.582</v>
      </c>
      <c r="L7675" s="74">
        <v>45309.6</v>
      </c>
      <c r="M7675" s="74">
        <f t="shared" si="4"/>
        <v>50000</v>
      </c>
      <c r="N7675" s="74">
        <f t="shared" si="3"/>
        <v>30000</v>
      </c>
      <c r="O7675" s="65" t="str">
        <f>VLOOKUP(E7675,DATABASE!C:Q,8,false)</f>
        <v>BIAN</v>
      </c>
      <c r="P7675" s="65">
        <f>VLOOKUP(E7675,DATABASE!C:Q,9,False)</f>
        <v>1</v>
      </c>
      <c r="Q7675" s="93" t="str">
        <f>VLOOKUP(E7675,DATABASE!C:Q,4,false)</f>
        <v>BD</v>
      </c>
      <c r="R7675" s="93" t="str">
        <f>VLOOKUP(E7675,DATABASE!C:Q,11,false)</f>
        <v>Tire</v>
      </c>
    </row>
    <row r="7676" ht="22.5" customHeight="1">
      <c r="A7676" s="49"/>
      <c r="C7676" s="400">
        <v>46106.0</v>
      </c>
      <c r="D7676" s="524">
        <v>787.0</v>
      </c>
      <c r="E7676" s="544" t="s">
        <v>591</v>
      </c>
      <c r="F7676" s="387">
        <v>1.0</v>
      </c>
      <c r="G7676" s="140">
        <v>710000.0</v>
      </c>
      <c r="H7676" s="140">
        <v>10000.0</v>
      </c>
      <c r="I7676" s="74">
        <f t="shared" si="1"/>
        <v>700000</v>
      </c>
      <c r="J7676" s="74">
        <f>IF(E7676="SERVICE",I7676-(I7676*50%),Vlookup(E7676,DATABASE!C:Q,10,false)*F7676)</f>
        <v>0</v>
      </c>
      <c r="K7676" s="74">
        <f>VLOOKUP(E7676,DATABASE!C:Q,7,false)</f>
        <v>633035.16</v>
      </c>
      <c r="L7676" s="74">
        <v>609844.4</v>
      </c>
      <c r="M7676" s="74">
        <f t="shared" si="4"/>
        <v>610000</v>
      </c>
      <c r="N7676" s="74">
        <f t="shared" si="3"/>
        <v>90000</v>
      </c>
      <c r="O7676" s="65" t="str">
        <f>VLOOKUP(E7676,DATABASE!C:Q,8,false)</f>
        <v>IBU</v>
      </c>
      <c r="P7676" s="65">
        <f>VLOOKUP(E7676,DATABASE!C:Q,9,False)</f>
        <v>1</v>
      </c>
      <c r="Q7676" s="93" t="str">
        <f>VLOOKUP(E7676,DATABASE!C:Q,4,false)</f>
        <v>Bridgestone</v>
      </c>
      <c r="R7676" s="93" t="str">
        <f>VLOOKUP(E7676,DATABASE!C:Q,11,false)</f>
        <v>Tire</v>
      </c>
    </row>
    <row r="7677" ht="22.5" customHeight="1">
      <c r="A7677" s="49"/>
      <c r="C7677" s="400">
        <v>46106.0</v>
      </c>
      <c r="D7677" s="524">
        <v>787.0</v>
      </c>
      <c r="E7677" s="544" t="s">
        <v>2199</v>
      </c>
      <c r="F7677" s="387">
        <v>1.0</v>
      </c>
      <c r="G7677" s="140">
        <v>15000.0</v>
      </c>
      <c r="H7677" s="74"/>
      <c r="I7677" s="74">
        <f t="shared" si="1"/>
        <v>15000</v>
      </c>
      <c r="J7677" s="74">
        <f>IF(E7677="SERVICE",I7677-(I7677*50%),Vlookup(E7677,DATABASE!C:Q,10,false)*F7677)</f>
        <v>0</v>
      </c>
      <c r="K7677" s="74">
        <f>VLOOKUP(E7677,DATABASE!C:Q,7,false)</f>
        <v>5000</v>
      </c>
      <c r="L7677" s="74">
        <v>0.0</v>
      </c>
      <c r="M7677" s="74">
        <f t="shared" si="4"/>
        <v>0</v>
      </c>
      <c r="N7677" s="74">
        <f t="shared" si="3"/>
        <v>15000</v>
      </c>
      <c r="O7677" s="65" t="str">
        <f>VLOOKUP(E7677,DATABASE!C:Q,8,false)</f>
        <v>BIAN</v>
      </c>
      <c r="P7677" s="65">
        <f>VLOOKUP(E7677,DATABASE!C:Q,9,False)</f>
        <v>0</v>
      </c>
      <c r="Q7677" s="93" t="str">
        <f>VLOOKUP(E7677,DATABASE!C:Q,4,false)</f>
        <v>TAMBAL TUBLES</v>
      </c>
      <c r="R7677" s="93" t="str">
        <f>VLOOKUP(E7677,DATABASE!C:Q,11,false)</f>
        <v>COMPLEMENTARY</v>
      </c>
    </row>
    <row r="7678" ht="22.5" customHeight="1">
      <c r="A7678" s="49"/>
      <c r="C7678" s="400">
        <v>46106.0</v>
      </c>
      <c r="D7678" s="524">
        <v>788.0</v>
      </c>
      <c r="E7678" s="544" t="s">
        <v>627</v>
      </c>
      <c r="F7678" s="387">
        <v>2.0</v>
      </c>
      <c r="G7678" s="140">
        <v>950000.0</v>
      </c>
      <c r="H7678" s="140">
        <v>20000.0</v>
      </c>
      <c r="I7678" s="74">
        <f t="shared" si="1"/>
        <v>1860000</v>
      </c>
      <c r="J7678" s="74">
        <f>IF(E7678="SERVICE",I7678-(I7678*50%),Vlookup(E7678,DATABASE!C:Q,10,false)*F7678)</f>
        <v>0</v>
      </c>
      <c r="K7678" s="74">
        <f>VLOOKUP(E7678,DATABASE!C:Q,7,false)</f>
        <v>879567</v>
      </c>
      <c r="L7678" s="74">
        <v>830273.6</v>
      </c>
      <c r="M7678" s="74">
        <f t="shared" si="4"/>
        <v>835000</v>
      </c>
      <c r="N7678" s="74">
        <f t="shared" si="3"/>
        <v>190000</v>
      </c>
      <c r="O7678" s="65" t="str">
        <f>VLOOKUP(E7678,DATABASE!C:Q,8,false)</f>
        <v>IBU</v>
      </c>
      <c r="P7678" s="65">
        <f>VLOOKUP(E7678,DATABASE!C:Q,9,False)</f>
        <v>1</v>
      </c>
      <c r="Q7678" s="93" t="str">
        <f>VLOOKUP(E7678,DATABASE!C:Q,4,false)</f>
        <v>Bridgestone</v>
      </c>
      <c r="R7678" s="93" t="str">
        <f>VLOOKUP(E7678,DATABASE!C:Q,11,false)</f>
        <v>Tire</v>
      </c>
    </row>
    <row r="7679" ht="22.5" customHeight="1">
      <c r="A7679" s="49"/>
      <c r="C7679" s="400">
        <v>46106.0</v>
      </c>
      <c r="D7679" s="524">
        <v>788.0</v>
      </c>
      <c r="E7679" s="544" t="s">
        <v>299</v>
      </c>
      <c r="F7679" s="387">
        <v>2.0</v>
      </c>
      <c r="G7679" s="140">
        <v>30000.0</v>
      </c>
      <c r="H7679" s="74"/>
      <c r="I7679" s="74">
        <f t="shared" si="1"/>
        <v>60000</v>
      </c>
      <c r="J7679" s="74">
        <f>IF(E7679="SERVICE",I7679-(I7679*50%),Vlookup(E7679,DATABASE!C:Q,10,false)*F7679)</f>
        <v>0</v>
      </c>
      <c r="K7679" s="74">
        <f>VLOOKUP(E7679,DATABASE!C:Q,7,false)</f>
        <v>10000</v>
      </c>
      <c r="L7679" s="74">
        <v>10000.0</v>
      </c>
      <c r="M7679" s="74">
        <f t="shared" si="4"/>
        <v>10000</v>
      </c>
      <c r="N7679" s="74">
        <f t="shared" si="3"/>
        <v>40000</v>
      </c>
      <c r="O7679" s="65" t="str">
        <f>VLOOKUP(E7679,DATABASE!C:Q,8,false)</f>
        <v>BIAN</v>
      </c>
      <c r="P7679" s="65">
        <f>VLOOKUP(E7679,DATABASE!C:Q,9,False)</f>
        <v>0</v>
      </c>
      <c r="Q7679" s="93" t="str">
        <f>VLOOKUP(E7679,DATABASE!C:Q,4,false)</f>
        <v>Balancing</v>
      </c>
      <c r="R7679" s="93" t="str">
        <f>VLOOKUP(E7679,DATABASE!C:Q,11,false)</f>
        <v>COMPLEMENTARY</v>
      </c>
    </row>
    <row r="7680" ht="22.5" customHeight="1">
      <c r="A7680" s="49"/>
      <c r="C7680" s="400">
        <v>46106.0</v>
      </c>
      <c r="D7680" s="524">
        <v>789.0</v>
      </c>
      <c r="E7680" s="544" t="s">
        <v>1301</v>
      </c>
      <c r="F7680" s="387">
        <v>1.0</v>
      </c>
      <c r="G7680" s="140">
        <v>1285000.0</v>
      </c>
      <c r="H7680" s="74"/>
      <c r="I7680" s="74">
        <f t="shared" si="1"/>
        <v>1285000</v>
      </c>
      <c r="J7680" s="74">
        <f>IF(E7680="SERVICE",I7680-(I7680*50%),Vlookup(E7680,DATABASE!C:Q,10,false)*F7680)</f>
        <v>0</v>
      </c>
      <c r="K7680" s="74">
        <f>VLOOKUP(E7680,DATABASE!C:Q,7,false)</f>
        <v>1194000</v>
      </c>
      <c r="L7680" s="74">
        <v>1182000.0</v>
      </c>
      <c r="M7680" s="74">
        <f t="shared" si="4"/>
        <v>1185000</v>
      </c>
      <c r="N7680" s="74">
        <f t="shared" si="3"/>
        <v>100000</v>
      </c>
      <c r="O7680" s="65" t="str">
        <f>VLOOKUP(E7680,DATABASE!C:Q,8,false)</f>
        <v>IBU</v>
      </c>
      <c r="P7680" s="65">
        <f>VLOOKUP(E7680,DATABASE!C:Q,9,False)</f>
        <v>1</v>
      </c>
      <c r="Q7680" s="93" t="str">
        <f>VLOOKUP(E7680,DATABASE!C:Q,4,false)</f>
        <v>Dunlop</v>
      </c>
      <c r="R7680" s="93" t="str">
        <f>VLOOKUP(E7680,DATABASE!C:Q,11,false)</f>
        <v>Tire</v>
      </c>
    </row>
    <row r="7681" ht="22.5" customHeight="1">
      <c r="A7681" s="49"/>
      <c r="C7681" s="400">
        <v>46106.0</v>
      </c>
      <c r="D7681" s="524">
        <v>790.0</v>
      </c>
      <c r="E7681" s="544" t="s">
        <v>288</v>
      </c>
      <c r="F7681" s="387">
        <v>4.0</v>
      </c>
      <c r="G7681" s="140">
        <v>620000.0</v>
      </c>
      <c r="H7681" s="74"/>
      <c r="I7681" s="74">
        <f t="shared" si="1"/>
        <v>2480000</v>
      </c>
      <c r="J7681" s="74">
        <f>IF(E7681="SERVICE",I7681-(I7681*50%),Vlookup(E7681,DATABASE!C:Q,10,false)*F7681)</f>
        <v>0</v>
      </c>
      <c r="K7681" s="74">
        <f>VLOOKUP(E7681,DATABASE!C:Q,7,false)</f>
        <v>565760</v>
      </c>
      <c r="L7681" s="74">
        <v>524800.0</v>
      </c>
      <c r="M7681" s="74">
        <f t="shared" si="4"/>
        <v>525000</v>
      </c>
      <c r="N7681" s="74">
        <f t="shared" si="3"/>
        <v>380000</v>
      </c>
      <c r="O7681" s="65" t="str">
        <f>VLOOKUP(E7681,DATABASE!C:Q,8,false)</f>
        <v>BIAN</v>
      </c>
      <c r="P7681" s="65">
        <f>VLOOKUP(E7681,DATABASE!C:Q,9,False)</f>
        <v>1</v>
      </c>
      <c r="Q7681" s="93" t="str">
        <f>VLOOKUP(E7681,DATABASE!C:Q,4,false)</f>
        <v>GT</v>
      </c>
      <c r="R7681" s="93" t="str">
        <f>VLOOKUP(E7681,DATABASE!C:Q,11,false)</f>
        <v>Tire</v>
      </c>
    </row>
    <row r="7682" ht="22.5" customHeight="1">
      <c r="A7682" s="49"/>
      <c r="C7682" s="400">
        <v>46106.0</v>
      </c>
      <c r="D7682" s="524">
        <v>790.0</v>
      </c>
      <c r="E7682" s="544" t="s">
        <v>299</v>
      </c>
      <c r="F7682" s="387">
        <v>2.0</v>
      </c>
      <c r="G7682" s="140">
        <v>30000.0</v>
      </c>
      <c r="H7682" s="74"/>
      <c r="I7682" s="74">
        <f t="shared" si="1"/>
        <v>60000</v>
      </c>
      <c r="J7682" s="74">
        <f>IF(E7682="SERVICE",I7682-(I7682*50%),Vlookup(E7682,DATABASE!C:Q,10,false)*F7682)</f>
        <v>0</v>
      </c>
      <c r="K7682" s="74">
        <f>VLOOKUP(E7682,DATABASE!C:Q,7,false)</f>
        <v>10000</v>
      </c>
      <c r="L7682" s="74">
        <v>10000.0</v>
      </c>
      <c r="M7682" s="74">
        <f t="shared" si="4"/>
        <v>10000</v>
      </c>
      <c r="N7682" s="74">
        <f t="shared" si="3"/>
        <v>40000</v>
      </c>
      <c r="O7682" s="65" t="str">
        <f>VLOOKUP(E7682,DATABASE!C:Q,8,false)</f>
        <v>BIAN</v>
      </c>
      <c r="P7682" s="65">
        <f>VLOOKUP(E7682,DATABASE!C:Q,9,False)</f>
        <v>0</v>
      </c>
      <c r="Q7682" s="93" t="str">
        <f>VLOOKUP(E7682,DATABASE!C:Q,4,false)</f>
        <v>Balancing</v>
      </c>
      <c r="R7682" s="93" t="str">
        <f>VLOOKUP(E7682,DATABASE!C:Q,11,false)</f>
        <v>COMPLEMENTARY</v>
      </c>
    </row>
    <row r="7683" ht="22.5" customHeight="1">
      <c r="A7683" s="49"/>
      <c r="C7683" s="400">
        <v>46106.0</v>
      </c>
      <c r="D7683" s="524">
        <v>790.0</v>
      </c>
      <c r="E7683" s="544" t="s">
        <v>305</v>
      </c>
      <c r="F7683" s="387">
        <v>2.0</v>
      </c>
      <c r="G7683" s="140">
        <v>235000.0</v>
      </c>
      <c r="H7683" s="74"/>
      <c r="I7683" s="74">
        <f t="shared" si="1"/>
        <v>470000</v>
      </c>
      <c r="J7683" s="74">
        <f>IF(E7683="SERVICE",I7683-(I7683*50%),Vlookup(E7683,DATABASE!C:Q,10,false)*F7683)</f>
        <v>80000</v>
      </c>
      <c r="K7683" s="74">
        <f>VLOOKUP(E7683,DATABASE!C:Q,7,false)</f>
        <v>158530.2</v>
      </c>
      <c r="L7683" s="74">
        <v>151890.0</v>
      </c>
      <c r="M7683" s="74">
        <f t="shared" si="4"/>
        <v>155000</v>
      </c>
      <c r="N7683" s="74">
        <f t="shared" si="3"/>
        <v>80000</v>
      </c>
      <c r="O7683" s="65" t="str">
        <f>VLOOKUP(E7683,DATABASE!C:Q,8,false)</f>
        <v>BIAN</v>
      </c>
      <c r="P7683" s="65">
        <f>VLOOKUP(E7683,DATABASE!C:Q,9,False)</f>
        <v>1</v>
      </c>
      <c r="Q7683" s="93" t="str">
        <f>VLOOKUP(E7683,DATABASE!C:Q,4,false)</f>
        <v>Lower Arm</v>
      </c>
      <c r="R7683" s="93" t="str">
        <f>VLOOKUP(E7683,DATABASE!C:Q,11,false)</f>
        <v>COMPLEMENTARY</v>
      </c>
    </row>
    <row r="7684" ht="22.5" customHeight="1">
      <c r="A7684" s="49"/>
      <c r="C7684" s="400">
        <v>46106.0</v>
      </c>
      <c r="D7684" s="524">
        <v>790.0</v>
      </c>
      <c r="E7684" s="544" t="s">
        <v>2206</v>
      </c>
      <c r="F7684" s="387">
        <v>1.0</v>
      </c>
      <c r="G7684" s="140">
        <v>225000.0</v>
      </c>
      <c r="H7684" s="140">
        <v>25000.0</v>
      </c>
      <c r="I7684" s="74">
        <f t="shared" si="1"/>
        <v>200000</v>
      </c>
      <c r="J7684" s="74">
        <f>IF(E7684="SERVICE",I7684-(I7684*50%),Vlookup(E7684,DATABASE!C:Q,10,false)*F7684)</f>
        <v>40000</v>
      </c>
      <c r="K7684" s="74">
        <f>VLOOKUP(E7684,DATABASE!C:Q,7,false)</f>
        <v>95450</v>
      </c>
      <c r="L7684" s="74">
        <v>61000.0</v>
      </c>
      <c r="M7684" s="74">
        <f t="shared" si="4"/>
        <v>65000</v>
      </c>
      <c r="N7684" s="74">
        <f t="shared" si="3"/>
        <v>95000</v>
      </c>
      <c r="O7684" s="65" t="str">
        <f>VLOOKUP(E7684,DATABASE!C:Q,8,false)</f>
        <v>IBU</v>
      </c>
      <c r="P7684" s="65">
        <f>VLOOKUP(E7684,DATABASE!C:Q,9,False)</f>
        <v>1</v>
      </c>
      <c r="Q7684" s="93" t="str">
        <f>VLOOKUP(E7684,DATABASE!C:Q,4,false)</f>
        <v>TIEROD</v>
      </c>
      <c r="R7684" s="93" t="str">
        <f>VLOOKUP(E7684,DATABASE!C:Q,11,false)</f>
        <v>COMPLEMENTARY</v>
      </c>
    </row>
    <row r="7685" ht="22.5" customHeight="1">
      <c r="A7685" s="49"/>
      <c r="C7685" s="400">
        <v>46106.0</v>
      </c>
      <c r="D7685" s="524">
        <v>790.0</v>
      </c>
      <c r="E7685" s="544" t="s">
        <v>251</v>
      </c>
      <c r="F7685" s="387">
        <v>1.0</v>
      </c>
      <c r="G7685" s="140">
        <v>350000.0</v>
      </c>
      <c r="H7685" s="140">
        <v>230000.0</v>
      </c>
      <c r="I7685" s="74">
        <f t="shared" si="1"/>
        <v>120000</v>
      </c>
      <c r="J7685" s="74">
        <f>IF(E7685="SERVICE",I7685-(I7685*50%),Vlookup(E7685,DATABASE!C:Q,10,false)*F7685)</f>
        <v>60000</v>
      </c>
      <c r="K7685" s="74">
        <f>VLOOKUP(E7685,DATABASE!C:Q,7,false)</f>
        <v>0</v>
      </c>
      <c r="L7685" s="74">
        <v>0.0</v>
      </c>
      <c r="M7685" s="74">
        <f t="shared" si="4"/>
        <v>0</v>
      </c>
      <c r="N7685" s="74">
        <f t="shared" si="3"/>
        <v>60000</v>
      </c>
      <c r="O7685" s="65" t="str">
        <f>VLOOKUP(E7685,DATABASE!C:Q,8,false)</f>
        <v>IBU</v>
      </c>
      <c r="P7685" s="65">
        <f>VLOOKUP(E7685,DATABASE!C:Q,9,False)</f>
        <v>0</v>
      </c>
      <c r="Q7685" s="93" t="str">
        <f>VLOOKUP(E7685,DATABASE!C:Q,4,false)</f>
        <v>SERVICE</v>
      </c>
      <c r="R7685" s="93" t="str">
        <f>VLOOKUP(E7685,DATABASE!C:Q,11,false)</f>
        <v>SERVICE</v>
      </c>
    </row>
    <row r="7686" ht="22.5" customHeight="1">
      <c r="A7686" s="49"/>
      <c r="C7686" s="400">
        <v>46106.0</v>
      </c>
      <c r="D7686" s="524">
        <v>790.0</v>
      </c>
      <c r="E7686" s="544" t="s">
        <v>262</v>
      </c>
      <c r="F7686" s="387">
        <v>1.0</v>
      </c>
      <c r="G7686" s="140">
        <v>130000.0</v>
      </c>
      <c r="H7686" s="74"/>
      <c r="I7686" s="74">
        <f t="shared" si="1"/>
        <v>130000</v>
      </c>
      <c r="J7686" s="74">
        <f>IF(E7686="SERVICE",I7686-(I7686*50%),Vlookup(E7686,DATABASE!C:Q,10,false)*F7686)</f>
        <v>5000</v>
      </c>
      <c r="K7686" s="74">
        <f>VLOOKUP(E7686,DATABASE!C:Q,7,false)</f>
        <v>0</v>
      </c>
      <c r="L7686" s="74">
        <v>0.0</v>
      </c>
      <c r="M7686" s="74">
        <f t="shared" si="4"/>
        <v>0</v>
      </c>
      <c r="N7686" s="74">
        <f t="shared" si="3"/>
        <v>125000</v>
      </c>
      <c r="O7686" s="65" t="str">
        <f>VLOOKUP(E7686,DATABASE!C:Q,8,false)</f>
        <v>IBU</v>
      </c>
      <c r="P7686" s="65">
        <f>VLOOKUP(E7686,DATABASE!C:Q,9,False)</f>
        <v>0</v>
      </c>
      <c r="Q7686" s="93" t="str">
        <f>VLOOKUP(E7686,DATABASE!C:Q,4,false)</f>
        <v>SPOORING SS/CARRY LOS BAK</v>
      </c>
      <c r="R7686" s="93" t="str">
        <f>VLOOKUP(E7686,DATABASE!C:Q,11,false)</f>
        <v>SERVICE</v>
      </c>
    </row>
    <row r="7687" ht="22.5" customHeight="1">
      <c r="A7687" s="49"/>
      <c r="C7687" s="400">
        <v>46106.0</v>
      </c>
      <c r="D7687" s="524">
        <v>790.0</v>
      </c>
      <c r="E7687" s="544" t="s">
        <v>478</v>
      </c>
      <c r="F7687" s="387">
        <v>1.0</v>
      </c>
      <c r="G7687" s="140">
        <v>200000.0</v>
      </c>
      <c r="H7687" s="74"/>
      <c r="I7687" s="74">
        <f t="shared" si="1"/>
        <v>200000</v>
      </c>
      <c r="J7687" s="74">
        <f>IF(E7687="SERVICE",I7687-(I7687*50%),Vlookup(E7687,DATABASE!C:Q,10,false)*F7687)</f>
        <v>25000</v>
      </c>
      <c r="K7687" s="74">
        <f>VLOOKUP(E7687,DATABASE!C:Q,7,false)</f>
        <v>75000</v>
      </c>
      <c r="L7687" s="74">
        <v>75000.0</v>
      </c>
      <c r="M7687" s="74">
        <f t="shared" si="4"/>
        <v>75000</v>
      </c>
      <c r="N7687" s="74">
        <f t="shared" si="3"/>
        <v>100000</v>
      </c>
      <c r="O7687" s="65" t="str">
        <f>VLOOKUP(E7687,DATABASE!C:Q,8,false)</f>
        <v>BIAN</v>
      </c>
      <c r="P7687" s="65">
        <f>VLOOKUP(E7687,DATABASE!C:Q,9,False)</f>
        <v>0</v>
      </c>
      <c r="Q7687" s="93" t="str">
        <f>VLOOKUP(E7687,DATABASE!C:Q,4,false)</f>
        <v>Baut Camber ss-carry</v>
      </c>
      <c r="R7687" s="93" t="str">
        <f>VLOOKUP(E7687,DATABASE!C:Q,11,false)</f>
        <v>COMPLEMENTARY</v>
      </c>
    </row>
    <row r="7688" ht="22.5" customHeight="1">
      <c r="A7688" s="49"/>
      <c r="C7688" s="400">
        <v>46106.0</v>
      </c>
      <c r="D7688" s="524">
        <v>791.0</v>
      </c>
      <c r="E7688" s="544" t="s">
        <v>1237</v>
      </c>
      <c r="F7688" s="387">
        <v>1.0</v>
      </c>
      <c r="G7688" s="140">
        <v>1235000.0</v>
      </c>
      <c r="H7688" s="74"/>
      <c r="I7688" s="74">
        <f t="shared" si="1"/>
        <v>1235000</v>
      </c>
      <c r="J7688" s="74">
        <f>IF(E7688="SERVICE",I7688-(I7688*50%),Vlookup(E7688,DATABASE!C:Q,10,false)*F7688)</f>
        <v>0</v>
      </c>
      <c r="K7688" s="74">
        <f>VLOOKUP(E7688,DATABASE!C:Q,7,false)</f>
        <v>1170353.16</v>
      </c>
      <c r="L7688" s="74">
        <v>1130842.0</v>
      </c>
      <c r="M7688" s="74">
        <f t="shared" si="4"/>
        <v>1135000</v>
      </c>
      <c r="N7688" s="74">
        <f t="shared" si="3"/>
        <v>100000</v>
      </c>
      <c r="O7688" s="65" t="str">
        <f>VLOOKUP(E7688,DATABASE!C:Q,8,false)</f>
        <v>IBU</v>
      </c>
      <c r="P7688" s="65">
        <f>VLOOKUP(E7688,DATABASE!C:Q,9,False)</f>
        <v>1</v>
      </c>
      <c r="Q7688" s="93" t="str">
        <f>VLOOKUP(E7688,DATABASE!C:Q,4,false)</f>
        <v>Bridgestone</v>
      </c>
      <c r="R7688" s="93" t="str">
        <f>VLOOKUP(E7688,DATABASE!C:Q,11,false)</f>
        <v>Tire</v>
      </c>
    </row>
    <row r="7689" ht="22.5" customHeight="1">
      <c r="A7689" s="49"/>
      <c r="C7689" s="400">
        <v>46106.0</v>
      </c>
      <c r="D7689" s="524">
        <v>792.0</v>
      </c>
      <c r="E7689" s="544" t="s">
        <v>256</v>
      </c>
      <c r="F7689" s="387">
        <v>1.0</v>
      </c>
      <c r="G7689" s="140">
        <v>175000.0</v>
      </c>
      <c r="H7689" s="140">
        <v>25000.0</v>
      </c>
      <c r="I7689" s="74">
        <f t="shared" si="1"/>
        <v>150000</v>
      </c>
      <c r="J7689" s="74">
        <f>IF(E7689="SERVICE",I7689-(I7689*50%),Vlookup(E7689,DATABASE!C:Q,10,false)*F7689)</f>
        <v>10000</v>
      </c>
      <c r="K7689" s="74">
        <f>VLOOKUP(E7689,DATABASE!C:Q,7,false)</f>
        <v>0</v>
      </c>
      <c r="L7689" s="74">
        <v>0.0</v>
      </c>
      <c r="M7689" s="74">
        <f t="shared" si="4"/>
        <v>0</v>
      </c>
      <c r="N7689" s="74">
        <f t="shared" si="3"/>
        <v>140000</v>
      </c>
      <c r="O7689" s="65" t="str">
        <f>VLOOKUP(E7689,DATABASE!C:Q,8,false)</f>
        <v>IBU</v>
      </c>
      <c r="P7689" s="65">
        <f>VLOOKUP(E7689,DATABASE!C:Q,9,False)</f>
        <v>0</v>
      </c>
      <c r="Q7689" s="93" t="str">
        <f>VLOOKUP(E7689,DATABASE!C:Q,4,false)</f>
        <v>SPOORING</v>
      </c>
      <c r="R7689" s="93" t="str">
        <f>VLOOKUP(E7689,DATABASE!C:Q,11,false)</f>
        <v>SERVICE</v>
      </c>
    </row>
    <row r="7690" ht="22.5" customHeight="1">
      <c r="A7690" s="49"/>
      <c r="C7690" s="400">
        <v>46106.0</v>
      </c>
      <c r="D7690" s="524">
        <v>792.0</v>
      </c>
      <c r="E7690" s="544" t="s">
        <v>301</v>
      </c>
      <c r="F7690" s="387">
        <v>1.0</v>
      </c>
      <c r="G7690" s="140">
        <v>250000.0</v>
      </c>
      <c r="H7690" s="74"/>
      <c r="I7690" s="74">
        <f t="shared" si="1"/>
        <v>250000</v>
      </c>
      <c r="J7690" s="74">
        <f>IF(E7690="SERVICE",I7690-(I7690*50%),Vlookup(E7690,DATABASE!C:Q,10,false)*F7690)</f>
        <v>75000</v>
      </c>
      <c r="K7690" s="74">
        <f>VLOOKUP(E7690,DATABASE!C:Q,7,false)</f>
        <v>75000</v>
      </c>
      <c r="L7690" s="74">
        <v>75000.0</v>
      </c>
      <c r="M7690" s="74">
        <f t="shared" si="4"/>
        <v>75000</v>
      </c>
      <c r="N7690" s="74">
        <f t="shared" si="3"/>
        <v>100000</v>
      </c>
      <c r="O7690" s="65" t="str">
        <f>VLOOKUP(E7690,DATABASE!C:Q,8,false)</f>
        <v>BIAN</v>
      </c>
      <c r="P7690" s="65">
        <f>VLOOKUP(E7690,DATABASE!C:Q,9,False)</f>
        <v>0</v>
      </c>
      <c r="Q7690" s="93" t="str">
        <f>VLOOKUP(E7690,DATABASE!C:Q,4,false)</f>
        <v>Baut Camber</v>
      </c>
      <c r="R7690" s="93" t="str">
        <f>VLOOKUP(E7690,DATABASE!C:Q,11,false)</f>
        <v>COMPLEMENTARY</v>
      </c>
    </row>
    <row r="7691" ht="22.5" customHeight="1">
      <c r="A7691" s="49"/>
      <c r="C7691" s="400">
        <v>46106.0</v>
      </c>
      <c r="D7691" s="524">
        <v>793.0</v>
      </c>
      <c r="E7691" s="544" t="s">
        <v>614</v>
      </c>
      <c r="F7691" s="387">
        <v>4.0</v>
      </c>
      <c r="G7691" s="140">
        <v>820000.0</v>
      </c>
      <c r="H7691" s="74"/>
      <c r="I7691" s="74">
        <f t="shared" si="1"/>
        <v>3280000</v>
      </c>
      <c r="J7691" s="74">
        <f>IF(E7691="SERVICE",I7691-(I7691*50%),Vlookup(E7691,DATABASE!C:Q,10,false)*F7691)</f>
        <v>0</v>
      </c>
      <c r="K7691" s="74">
        <f>VLOOKUP(E7691,DATABASE!C:Q,7,false)</f>
        <v>754660.6</v>
      </c>
      <c r="L7691" s="74">
        <v>727756.0</v>
      </c>
      <c r="M7691" s="74">
        <f t="shared" si="4"/>
        <v>730000</v>
      </c>
      <c r="N7691" s="74">
        <f t="shared" si="3"/>
        <v>360000</v>
      </c>
      <c r="O7691" s="65" t="str">
        <f>VLOOKUP(E7691,DATABASE!C:Q,8,false)</f>
        <v>IBU</v>
      </c>
      <c r="P7691" s="65">
        <f>VLOOKUP(E7691,DATABASE!C:Q,9,False)</f>
        <v>1</v>
      </c>
      <c r="Q7691" s="93" t="str">
        <f>VLOOKUP(E7691,DATABASE!C:Q,4,false)</f>
        <v>Bridgestone</v>
      </c>
      <c r="R7691" s="93" t="str">
        <f>VLOOKUP(E7691,DATABASE!C:Q,11,false)</f>
        <v>Tire</v>
      </c>
    </row>
    <row r="7692" ht="22.5" customHeight="1">
      <c r="A7692" s="49"/>
      <c r="C7692" s="400">
        <v>46106.0</v>
      </c>
      <c r="D7692" s="524">
        <v>794.0</v>
      </c>
      <c r="E7692" s="544" t="s">
        <v>897</v>
      </c>
      <c r="F7692" s="387">
        <v>1.0</v>
      </c>
      <c r="G7692" s="140">
        <v>1600000.0</v>
      </c>
      <c r="H7692" s="74"/>
      <c r="I7692" s="74">
        <f t="shared" si="1"/>
        <v>1600000</v>
      </c>
      <c r="J7692" s="74">
        <f>IF(E7692="SERVICE",I7692-(I7692*50%),Vlookup(E7692,DATABASE!C:Q,10,false)*F7692)</f>
        <v>0</v>
      </c>
      <c r="K7692" s="74">
        <f>VLOOKUP(E7692,DATABASE!C:Q,7,false)</f>
        <v>1560000</v>
      </c>
      <c r="L7692" s="74">
        <v>1500000.0</v>
      </c>
      <c r="M7692" s="74">
        <f t="shared" si="4"/>
        <v>1500000</v>
      </c>
      <c r="N7692" s="74">
        <f t="shared" si="3"/>
        <v>100000</v>
      </c>
      <c r="O7692" s="65" t="str">
        <f>VLOOKUP(E7692,DATABASE!C:Q,8,false)</f>
        <v>BIAN</v>
      </c>
      <c r="P7692" s="65">
        <f>VLOOKUP(E7692,DATABASE!C:Q,9,False)</f>
        <v>1</v>
      </c>
      <c r="Q7692" s="93" t="str">
        <f>VLOOKUP(E7692,DATABASE!C:Q,4,false)</f>
        <v>GT</v>
      </c>
      <c r="R7692" s="93" t="str">
        <f>VLOOKUP(E7692,DATABASE!C:Q,11,false)</f>
        <v>Tire</v>
      </c>
    </row>
    <row r="7693" ht="22.5" customHeight="1">
      <c r="A7693" s="49"/>
      <c r="C7693" s="400">
        <v>46106.0</v>
      </c>
      <c r="D7693" s="524">
        <v>794.0</v>
      </c>
      <c r="E7693" s="544" t="s">
        <v>744</v>
      </c>
      <c r="F7693" s="387">
        <v>1.0</v>
      </c>
      <c r="G7693" s="140">
        <v>230000.0</v>
      </c>
      <c r="H7693" s="74"/>
      <c r="I7693" s="74">
        <f t="shared" si="1"/>
        <v>230000</v>
      </c>
      <c r="J7693" s="74">
        <f>IF(E7693="SERVICE",I7693-(I7693*50%),Vlookup(E7693,DATABASE!C:Q,10,false)*F7693)</f>
        <v>0</v>
      </c>
      <c r="K7693" s="74">
        <f>VLOOKUP(E7693,DATABASE!C:Q,7,false)</f>
        <v>182200</v>
      </c>
      <c r="L7693" s="74">
        <v>199920.0</v>
      </c>
      <c r="M7693" s="74">
        <f t="shared" si="4"/>
        <v>200000</v>
      </c>
      <c r="N7693" s="74">
        <f t="shared" si="3"/>
        <v>30000</v>
      </c>
      <c r="O7693" s="65" t="str">
        <f>VLOOKUP(E7693,DATABASE!C:Q,8,false)</f>
        <v>BIAN</v>
      </c>
      <c r="P7693" s="65">
        <f>VLOOKUP(E7693,DATABASE!C:Q,9,False)</f>
        <v>1</v>
      </c>
      <c r="Q7693" s="93" t="str">
        <f>VLOOKUP(E7693,DATABASE!C:Q,4,false)</f>
        <v>BD</v>
      </c>
      <c r="R7693" s="93" t="str">
        <f>VLOOKUP(E7693,DATABASE!C:Q,11,false)</f>
        <v>Tire</v>
      </c>
    </row>
    <row r="7694" ht="22.5" customHeight="1">
      <c r="A7694" s="49"/>
      <c r="C7694" s="400">
        <v>46106.0</v>
      </c>
      <c r="D7694" s="524">
        <v>794.0</v>
      </c>
      <c r="E7694" s="544" t="s">
        <v>821</v>
      </c>
      <c r="F7694" s="387">
        <v>1.0</v>
      </c>
      <c r="G7694" s="140">
        <v>85000.0</v>
      </c>
      <c r="H7694" s="74"/>
      <c r="I7694" s="74">
        <f t="shared" si="1"/>
        <v>85000</v>
      </c>
      <c r="J7694" s="74">
        <f>IF(E7694="SERVICE",I7694-(I7694*50%),Vlookup(E7694,DATABASE!C:Q,10,false)*F7694)</f>
        <v>0</v>
      </c>
      <c r="K7694" s="74">
        <f>VLOOKUP(E7694,DATABASE!C:Q,7,false)</f>
        <v>43500</v>
      </c>
      <c r="L7694" s="74">
        <v>43520.0</v>
      </c>
      <c r="M7694" s="74">
        <f t="shared" si="4"/>
        <v>45000</v>
      </c>
      <c r="N7694" s="74">
        <f t="shared" si="3"/>
        <v>40000</v>
      </c>
      <c r="O7694" s="65" t="str">
        <f>VLOOKUP(E7694,DATABASE!C:Q,8,false)</f>
        <v>BIAN</v>
      </c>
      <c r="P7694" s="65">
        <f>VLOOKUP(E7694,DATABASE!C:Q,9,False)</f>
        <v>1</v>
      </c>
      <c r="Q7694" s="93" t="str">
        <f>VLOOKUP(E7694,DATABASE!C:Q,4,false)</f>
        <v>Flap</v>
      </c>
      <c r="R7694" s="93" t="str">
        <f>VLOOKUP(E7694,DATABASE!C:Q,11,false)</f>
        <v>Tire</v>
      </c>
    </row>
    <row r="7695" ht="22.5" customHeight="1">
      <c r="A7695" s="49"/>
      <c r="C7695" s="400">
        <v>46106.0</v>
      </c>
      <c r="D7695" s="524">
        <v>795.0</v>
      </c>
      <c r="E7695" s="544" t="s">
        <v>2626</v>
      </c>
      <c r="F7695" s="387">
        <v>1.0</v>
      </c>
      <c r="G7695" s="140">
        <v>640000.0</v>
      </c>
      <c r="H7695" s="74"/>
      <c r="I7695" s="74">
        <f t="shared" si="1"/>
        <v>640000</v>
      </c>
      <c r="J7695" s="74">
        <f>IF(E7695="SERVICE",I7695-(I7695*50%),Vlookup(E7695,DATABASE!C:Q,10,false)*F7695)</f>
        <v>0</v>
      </c>
      <c r="K7695" s="74">
        <f>VLOOKUP(E7695,DATABASE!C:Q,7,false)</f>
        <v>548000</v>
      </c>
      <c r="L7695" s="74">
        <v>548000.0</v>
      </c>
      <c r="M7695" s="74">
        <f t="shared" si="4"/>
        <v>550000</v>
      </c>
      <c r="N7695" s="74">
        <f t="shared" si="3"/>
        <v>90000</v>
      </c>
      <c r="O7695" s="65" t="str">
        <f>VLOOKUP(E7695,DATABASE!C:Q,8,false)</f>
        <v>Bian</v>
      </c>
      <c r="P7695" s="65">
        <f>VLOOKUP(E7695,DATABASE!C:Q,9,False)</f>
        <v>1</v>
      </c>
      <c r="Q7695" s="93" t="str">
        <f>VLOOKUP(E7695,DATABASE!C:Q,4,false)</f>
        <v>Laufen</v>
      </c>
      <c r="R7695" s="93" t="str">
        <f>VLOOKUP(E7695,DATABASE!C:Q,11,false)</f>
        <v>Tire</v>
      </c>
    </row>
    <row r="7696" ht="22.5" customHeight="1">
      <c r="A7696" s="49"/>
      <c r="C7696" s="400">
        <v>46106.0</v>
      </c>
      <c r="D7696" s="524">
        <v>795.0</v>
      </c>
      <c r="E7696" s="544" t="s">
        <v>256</v>
      </c>
      <c r="F7696" s="387">
        <v>1.0</v>
      </c>
      <c r="G7696" s="140">
        <v>175000.0</v>
      </c>
      <c r="H7696" s="140">
        <v>25000.0</v>
      </c>
      <c r="I7696" s="74">
        <f t="shared" si="1"/>
        <v>150000</v>
      </c>
      <c r="J7696" s="74">
        <f>IF(E7696="SERVICE",I7696-(I7696*50%),Vlookup(E7696,DATABASE!C:Q,10,false)*F7696)</f>
        <v>10000</v>
      </c>
      <c r="K7696" s="74">
        <f>VLOOKUP(E7696,DATABASE!C:Q,7,false)</f>
        <v>0</v>
      </c>
      <c r="L7696" s="74">
        <v>0.0</v>
      </c>
      <c r="M7696" s="74">
        <f t="shared" si="4"/>
        <v>0</v>
      </c>
      <c r="N7696" s="74">
        <f t="shared" si="3"/>
        <v>140000</v>
      </c>
      <c r="O7696" s="65" t="str">
        <f>VLOOKUP(E7696,DATABASE!C:Q,8,false)</f>
        <v>IBU</v>
      </c>
      <c r="P7696" s="65">
        <f>VLOOKUP(E7696,DATABASE!C:Q,9,False)</f>
        <v>0</v>
      </c>
      <c r="Q7696" s="93" t="str">
        <f>VLOOKUP(E7696,DATABASE!C:Q,4,false)</f>
        <v>SPOORING</v>
      </c>
      <c r="R7696" s="93" t="str">
        <f>VLOOKUP(E7696,DATABASE!C:Q,11,false)</f>
        <v>SERVICE</v>
      </c>
    </row>
    <row r="7697" ht="22.5" customHeight="1">
      <c r="A7697" s="49"/>
      <c r="C7697" s="400">
        <v>46106.0</v>
      </c>
      <c r="D7697" s="524">
        <v>796.0</v>
      </c>
      <c r="E7697" s="544" t="s">
        <v>591</v>
      </c>
      <c r="F7697" s="387">
        <v>1.0</v>
      </c>
      <c r="G7697" s="140">
        <v>710000.0</v>
      </c>
      <c r="H7697" s="140">
        <v>10000.0</v>
      </c>
      <c r="I7697" s="74">
        <f t="shared" si="1"/>
        <v>700000</v>
      </c>
      <c r="J7697" s="74">
        <f>IF(E7697="SERVICE",I7697-(I7697*50%),Vlookup(E7697,DATABASE!C:Q,10,false)*F7697)</f>
        <v>0</v>
      </c>
      <c r="K7697" s="74">
        <f>VLOOKUP(E7697,DATABASE!C:Q,7,false)</f>
        <v>633035.16</v>
      </c>
      <c r="L7697" s="74">
        <v>609844.4</v>
      </c>
      <c r="M7697" s="74">
        <f t="shared" si="4"/>
        <v>610000</v>
      </c>
      <c r="N7697" s="74">
        <f t="shared" si="3"/>
        <v>90000</v>
      </c>
      <c r="O7697" s="65" t="str">
        <f>VLOOKUP(E7697,DATABASE!C:Q,8,false)</f>
        <v>IBU</v>
      </c>
      <c r="P7697" s="65">
        <f>VLOOKUP(E7697,DATABASE!C:Q,9,False)</f>
        <v>1</v>
      </c>
      <c r="Q7697" s="93" t="str">
        <f>VLOOKUP(E7697,DATABASE!C:Q,4,false)</f>
        <v>Bridgestone</v>
      </c>
      <c r="R7697" s="93" t="str">
        <f>VLOOKUP(E7697,DATABASE!C:Q,11,false)</f>
        <v>Tire</v>
      </c>
    </row>
    <row r="7698" ht="22.5" customHeight="1">
      <c r="A7698" s="49"/>
      <c r="C7698" s="400">
        <v>46106.0</v>
      </c>
      <c r="D7698" s="524">
        <v>797.0</v>
      </c>
      <c r="E7698" s="544" t="s">
        <v>1597</v>
      </c>
      <c r="F7698" s="387">
        <v>2.0</v>
      </c>
      <c r="G7698" s="140">
        <v>645000.0</v>
      </c>
      <c r="H7698" s="74"/>
      <c r="I7698" s="74">
        <f t="shared" si="1"/>
        <v>1290000</v>
      </c>
      <c r="J7698" s="74">
        <f>IF(E7698="SERVICE",I7698-(I7698*50%),Vlookup(E7698,DATABASE!C:Q,10,false)*F7698)</f>
        <v>0</v>
      </c>
      <c r="K7698" s="74">
        <f>VLOOKUP(E7698,DATABASE!C:Q,7,false)</f>
        <v>560700</v>
      </c>
      <c r="L7698" s="74">
        <v>544300.0</v>
      </c>
      <c r="M7698" s="74">
        <f t="shared" si="4"/>
        <v>545000</v>
      </c>
      <c r="N7698" s="74">
        <f t="shared" si="3"/>
        <v>200000</v>
      </c>
      <c r="O7698" s="65" t="str">
        <f>VLOOKUP(E7698,DATABASE!C:Q,8,false)</f>
        <v>BIAN</v>
      </c>
      <c r="P7698" s="65">
        <f>VLOOKUP(E7698,DATABASE!C:Q,9,False)</f>
        <v>1</v>
      </c>
      <c r="Q7698" s="93" t="str">
        <f>VLOOKUP(E7698,DATABASE!C:Q,4,false)</f>
        <v>GT</v>
      </c>
      <c r="R7698" s="93" t="str">
        <f>VLOOKUP(E7698,DATABASE!C:Q,11,false)</f>
        <v>Tire</v>
      </c>
    </row>
    <row r="7699" ht="22.5" customHeight="1">
      <c r="A7699" s="49"/>
      <c r="C7699" s="400">
        <v>46106.0</v>
      </c>
      <c r="D7699" s="69" t="s">
        <v>2751</v>
      </c>
      <c r="E7699" s="544" t="s">
        <v>2146</v>
      </c>
      <c r="F7699" s="387">
        <v>2.0</v>
      </c>
      <c r="G7699" s="140">
        <v>65000.0</v>
      </c>
      <c r="H7699" s="74"/>
      <c r="I7699" s="74">
        <f t="shared" si="1"/>
        <v>130000</v>
      </c>
      <c r="J7699" s="74">
        <f>IF(E7699="SERVICE",I7699-(I7699*50%),Vlookup(E7699,DATABASE!C:Q,10,false)*F7699)</f>
        <v>0</v>
      </c>
      <c r="K7699" s="74">
        <f>VLOOKUP(E7699,DATABASE!C:Q,7,false)</f>
        <v>40000</v>
      </c>
      <c r="L7699" s="74">
        <v>40000.0</v>
      </c>
      <c r="M7699" s="74">
        <f t="shared" si="4"/>
        <v>40000</v>
      </c>
      <c r="N7699" s="74">
        <f t="shared" si="3"/>
        <v>50000</v>
      </c>
      <c r="O7699" s="65" t="str">
        <f>VLOOKUP(E7699,DATABASE!C:Q,8,false)</f>
        <v>NON</v>
      </c>
      <c r="P7699" s="65">
        <f>VLOOKUP(E7699,DATABASE!C:Q,9,False)</f>
        <v>0</v>
      </c>
      <c r="Q7699" s="93" t="str">
        <f>VLOOKUP(E7699,DATABASE!C:Q,4,false)</f>
        <v>Pertamina</v>
      </c>
      <c r="R7699" s="93" t="str">
        <f>VLOOKUP(E7699,DATABASE!C:Q,11,false)</f>
        <v>OIL</v>
      </c>
    </row>
    <row r="7700" ht="22.5" customHeight="1">
      <c r="A7700" s="49"/>
      <c r="C7700" s="400">
        <v>46106.0</v>
      </c>
      <c r="D7700" s="69" t="s">
        <v>2752</v>
      </c>
      <c r="E7700" s="544" t="s">
        <v>263</v>
      </c>
      <c r="F7700" s="387">
        <v>1.0</v>
      </c>
      <c r="G7700" s="140">
        <v>320000.0</v>
      </c>
      <c r="H7700" s="74"/>
      <c r="I7700" s="74">
        <f t="shared" si="1"/>
        <v>320000</v>
      </c>
      <c r="J7700" s="74">
        <f>IF(E7700="SERVICE",I7700-(I7700*50%),Vlookup(E7700,DATABASE!C:Q,10,false)*F7700)</f>
        <v>0</v>
      </c>
      <c r="K7700" s="74">
        <f>VLOOKUP(E7700,DATABASE!C:Q,7,false)</f>
        <v>334916</v>
      </c>
      <c r="L7700" s="74">
        <v>287688.0</v>
      </c>
      <c r="M7700" s="74">
        <f t="shared" si="4"/>
        <v>290000</v>
      </c>
      <c r="N7700" s="74">
        <f t="shared" si="3"/>
        <v>30000</v>
      </c>
      <c r="O7700" s="65" t="str">
        <f>VLOOKUP(E7700,DATABASE!C:Q,8,false)</f>
        <v>NON</v>
      </c>
      <c r="P7700" s="65">
        <f>VLOOKUP(E7700,DATABASE!C:Q,9,False)</f>
        <v>0</v>
      </c>
      <c r="Q7700" s="93" t="str">
        <f>VLOOKUP(E7700,DATABASE!C:Q,4,false)</f>
        <v>Shell</v>
      </c>
      <c r="R7700" s="93" t="str">
        <f>VLOOKUP(E7700,DATABASE!C:Q,11,false)</f>
        <v>OIL</v>
      </c>
    </row>
    <row r="7701" ht="22.5" customHeight="1">
      <c r="A7701" s="49"/>
      <c r="C7701" s="400">
        <v>46106.0</v>
      </c>
      <c r="D7701" s="69" t="s">
        <v>2753</v>
      </c>
      <c r="E7701" s="544" t="s">
        <v>248</v>
      </c>
      <c r="F7701" s="387">
        <v>1.0</v>
      </c>
      <c r="G7701" s="140">
        <v>190000.0</v>
      </c>
      <c r="H7701" s="74"/>
      <c r="I7701" s="74">
        <f t="shared" si="1"/>
        <v>190000</v>
      </c>
      <c r="J7701" s="74">
        <f>IF(E7701="SERVICE",I7701-(I7701*50%),Vlookup(E7701,DATABASE!C:Q,10,false)*F7701)</f>
        <v>0</v>
      </c>
      <c r="K7701" s="74">
        <f>VLOOKUP(E7701,DATABASE!C:Q,7,false)</f>
        <v>209816.66</v>
      </c>
      <c r="L7701" s="74">
        <v>160833.0</v>
      </c>
      <c r="M7701" s="74">
        <f t="shared" si="4"/>
        <v>165000</v>
      </c>
      <c r="N7701" s="74">
        <f t="shared" si="3"/>
        <v>25000</v>
      </c>
      <c r="O7701" s="65" t="str">
        <f>VLOOKUP(E7701,DATABASE!C:Q,8,false)</f>
        <v>NON</v>
      </c>
      <c r="P7701" s="65">
        <f>VLOOKUP(E7701,DATABASE!C:Q,9,False)</f>
        <v>0</v>
      </c>
      <c r="Q7701" s="93" t="str">
        <f>VLOOKUP(E7701,DATABASE!C:Q,4,false)</f>
        <v>Pertamina</v>
      </c>
      <c r="R7701" s="93" t="str">
        <f>VLOOKUP(E7701,DATABASE!C:Q,11,false)</f>
        <v>OIL</v>
      </c>
    </row>
    <row r="7702" ht="22.5" customHeight="1">
      <c r="A7702" s="49"/>
      <c r="C7702" s="400">
        <v>46106.0</v>
      </c>
      <c r="D7702" s="69" t="s">
        <v>2754</v>
      </c>
      <c r="E7702" s="544" t="s">
        <v>1342</v>
      </c>
      <c r="F7702" s="387">
        <v>1.0</v>
      </c>
      <c r="G7702" s="140">
        <v>390000.0</v>
      </c>
      <c r="H7702" s="74"/>
      <c r="I7702" s="74">
        <f t="shared" si="1"/>
        <v>390000</v>
      </c>
      <c r="J7702" s="74">
        <f>IF(E7702="SERVICE",I7702-(I7702*50%),Vlookup(E7702,DATABASE!C:Q,10,false)*F7702)</f>
        <v>0</v>
      </c>
      <c r="K7702" s="74">
        <f>VLOOKUP(E7702,DATABASE!C:Q,7,false)</f>
        <v>370000</v>
      </c>
      <c r="L7702" s="74">
        <v>370000.0</v>
      </c>
      <c r="M7702" s="74">
        <f t="shared" si="4"/>
        <v>370000</v>
      </c>
      <c r="N7702" s="74">
        <f t="shared" si="3"/>
        <v>20000</v>
      </c>
      <c r="O7702" s="65" t="str">
        <f>VLOOKUP(E7702,DATABASE!C:Q,8,false)</f>
        <v>NON</v>
      </c>
      <c r="P7702" s="65">
        <f>VLOOKUP(E7702,DATABASE!C:Q,9,False)</f>
        <v>0</v>
      </c>
      <c r="Q7702" s="93" t="str">
        <f>VLOOKUP(E7702,DATABASE!C:Q,4,false)</f>
        <v>Castrol</v>
      </c>
      <c r="R7702" s="93" t="str">
        <f>VLOOKUP(E7702,DATABASE!C:Q,11,false)</f>
        <v>OIL</v>
      </c>
    </row>
    <row r="7703" ht="22.5" customHeight="1">
      <c r="A7703" s="49"/>
      <c r="C7703" s="400">
        <v>46106.0</v>
      </c>
      <c r="D7703" s="69" t="s">
        <v>2755</v>
      </c>
      <c r="E7703" s="544" t="s">
        <v>252</v>
      </c>
      <c r="F7703" s="387">
        <v>1.0</v>
      </c>
      <c r="G7703" s="140">
        <v>300000.0</v>
      </c>
      <c r="H7703" s="74"/>
      <c r="I7703" s="74">
        <f t="shared" si="1"/>
        <v>300000</v>
      </c>
      <c r="J7703" s="74">
        <f>IF(E7703="SERVICE",I7703-(I7703*50%),Vlookup(E7703,DATABASE!C:Q,10,false)*F7703)</f>
        <v>0</v>
      </c>
      <c r="K7703" s="74">
        <f>VLOOKUP(E7703,DATABASE!C:Q,7,false)</f>
        <v>317518</v>
      </c>
      <c r="L7703" s="74">
        <v>271778.0</v>
      </c>
      <c r="M7703" s="74">
        <f t="shared" si="4"/>
        <v>275000</v>
      </c>
      <c r="N7703" s="74">
        <f t="shared" si="3"/>
        <v>25000</v>
      </c>
      <c r="O7703" s="65" t="str">
        <f>VLOOKUP(E7703,DATABASE!C:Q,8,false)</f>
        <v>NON</v>
      </c>
      <c r="P7703" s="65">
        <f>VLOOKUP(E7703,DATABASE!C:Q,9,False)</f>
        <v>0</v>
      </c>
      <c r="Q7703" s="93" t="str">
        <f>VLOOKUP(E7703,DATABASE!C:Q,4,false)</f>
        <v>Shell</v>
      </c>
      <c r="R7703" s="93" t="str">
        <f>VLOOKUP(E7703,DATABASE!C:Q,11,false)</f>
        <v>OIL</v>
      </c>
    </row>
    <row r="7704" ht="22.5" customHeight="1">
      <c r="A7704" s="49"/>
      <c r="C7704" s="400">
        <v>46106.0</v>
      </c>
      <c r="D7704" s="69" t="s">
        <v>2755</v>
      </c>
      <c r="E7704" s="544" t="s">
        <v>263</v>
      </c>
      <c r="F7704" s="387">
        <v>1.0</v>
      </c>
      <c r="G7704" s="140">
        <v>320000.0</v>
      </c>
      <c r="H7704" s="74"/>
      <c r="I7704" s="74">
        <f t="shared" si="1"/>
        <v>320000</v>
      </c>
      <c r="J7704" s="74">
        <f>IF(E7704="SERVICE",I7704-(I7704*50%),Vlookup(E7704,DATABASE!C:Q,10,false)*F7704)</f>
        <v>0</v>
      </c>
      <c r="K7704" s="74">
        <f>VLOOKUP(E7704,DATABASE!C:Q,7,false)</f>
        <v>334916</v>
      </c>
      <c r="L7704" s="74">
        <v>287688.0</v>
      </c>
      <c r="M7704" s="74">
        <f t="shared" si="4"/>
        <v>290000</v>
      </c>
      <c r="N7704" s="74">
        <f t="shared" si="3"/>
        <v>30000</v>
      </c>
      <c r="O7704" s="65" t="str">
        <f>VLOOKUP(E7704,DATABASE!C:Q,8,false)</f>
        <v>NON</v>
      </c>
      <c r="P7704" s="65">
        <f>VLOOKUP(E7704,DATABASE!C:Q,9,False)</f>
        <v>0</v>
      </c>
      <c r="Q7704" s="93" t="str">
        <f>VLOOKUP(E7704,DATABASE!C:Q,4,false)</f>
        <v>Shell</v>
      </c>
      <c r="R7704" s="93" t="str">
        <f>VLOOKUP(E7704,DATABASE!C:Q,11,false)</f>
        <v>OIL</v>
      </c>
    </row>
    <row r="7705" ht="22.5" customHeight="1">
      <c r="A7705" s="49"/>
      <c r="C7705" s="400">
        <v>46106.0</v>
      </c>
      <c r="D7705" s="69" t="s">
        <v>2755</v>
      </c>
      <c r="E7705" s="544" t="s">
        <v>258</v>
      </c>
      <c r="F7705" s="387">
        <v>2.0</v>
      </c>
      <c r="G7705" s="140">
        <v>85000.0</v>
      </c>
      <c r="H7705" s="74"/>
      <c r="I7705" s="74">
        <f t="shared" si="1"/>
        <v>170000</v>
      </c>
      <c r="J7705" s="74">
        <f>IF(E7705="SERVICE",I7705-(I7705*50%),Vlookup(E7705,DATABASE!C:Q,10,false)*F7705)</f>
        <v>0</v>
      </c>
      <c r="K7705" s="74">
        <f>VLOOKUP(E7705,DATABASE!C:Q,7,false)</f>
        <v>74700</v>
      </c>
      <c r="L7705" s="74">
        <v>73424.0</v>
      </c>
      <c r="M7705" s="74">
        <f t="shared" si="4"/>
        <v>75000</v>
      </c>
      <c r="N7705" s="74">
        <f t="shared" si="3"/>
        <v>20000</v>
      </c>
      <c r="O7705" s="65" t="str">
        <f>VLOOKUP(E7705,DATABASE!C:Q,8,false)</f>
        <v>NON</v>
      </c>
      <c r="P7705" s="65">
        <f>VLOOKUP(E7705,DATABASE!C:Q,9,False)</f>
        <v>0</v>
      </c>
      <c r="Q7705" s="93" t="str">
        <f>VLOOKUP(E7705,DATABASE!C:Q,4,false)</f>
        <v>Shell</v>
      </c>
      <c r="R7705" s="93" t="str">
        <f>VLOOKUP(E7705,DATABASE!C:Q,11,false)</f>
        <v>OIL</v>
      </c>
    </row>
    <row r="7706" ht="22.5" customHeight="1">
      <c r="A7706" s="49"/>
      <c r="C7706" s="400">
        <v>46106.0</v>
      </c>
      <c r="D7706" s="69" t="s">
        <v>2755</v>
      </c>
      <c r="E7706" s="544" t="s">
        <v>2756</v>
      </c>
      <c r="F7706" s="387">
        <v>1.0</v>
      </c>
      <c r="G7706" s="140">
        <v>28000.0</v>
      </c>
      <c r="H7706" s="74"/>
      <c r="I7706" s="74">
        <f t="shared" si="1"/>
        <v>28000</v>
      </c>
      <c r="J7706" s="74">
        <f>IF(E7706="SERVICE",I7706-(I7706*50%),Vlookup(E7706,DATABASE!C:Q,10,false)*F7706)</f>
        <v>0</v>
      </c>
      <c r="K7706" s="74">
        <f>VLOOKUP(E7706,DATABASE!C:Q,7,false)</f>
        <v>22000</v>
      </c>
      <c r="L7706" s="74">
        <v>22000.0</v>
      </c>
      <c r="M7706" s="74">
        <f t="shared" si="4"/>
        <v>25000</v>
      </c>
      <c r="N7706" s="74">
        <f t="shared" si="3"/>
        <v>3000</v>
      </c>
      <c r="O7706" s="65" t="str">
        <f>VLOOKUP(E7706,DATABASE!C:Q,8,false)</f>
        <v>BIAN</v>
      </c>
      <c r="P7706" s="65">
        <f>VLOOKUP(E7706,DATABASE!C:Q,9,False)</f>
        <v>0</v>
      </c>
      <c r="Q7706" s="93" t="str">
        <f>VLOOKUP(E7706,DATABASE!C:Q,4,false)</f>
        <v>Aspira</v>
      </c>
      <c r="R7706" s="93" t="str">
        <f>VLOOKUP(E7706,DATABASE!C:Q,11,false)</f>
        <v>COMPLEMENTARY</v>
      </c>
    </row>
    <row r="7707" ht="22.5" customHeight="1">
      <c r="A7707" s="49"/>
      <c r="C7707" s="400">
        <v>46106.0</v>
      </c>
      <c r="D7707" s="69" t="s">
        <v>2757</v>
      </c>
      <c r="E7707" s="544" t="s">
        <v>1342</v>
      </c>
      <c r="F7707" s="387">
        <v>1.0</v>
      </c>
      <c r="G7707" s="140">
        <v>390000.0</v>
      </c>
      <c r="H7707" s="74"/>
      <c r="I7707" s="74">
        <f t="shared" si="1"/>
        <v>390000</v>
      </c>
      <c r="J7707" s="74">
        <f>IF(E7707="SERVICE",I7707-(I7707*50%),Vlookup(E7707,DATABASE!C:Q,10,false)*F7707)</f>
        <v>0</v>
      </c>
      <c r="K7707" s="74">
        <f>VLOOKUP(E7707,DATABASE!C:Q,7,false)</f>
        <v>370000</v>
      </c>
      <c r="L7707" s="74">
        <v>370000.0</v>
      </c>
      <c r="M7707" s="74">
        <f t="shared" si="4"/>
        <v>370000</v>
      </c>
      <c r="N7707" s="74">
        <f t="shared" si="3"/>
        <v>20000</v>
      </c>
      <c r="O7707" s="65" t="str">
        <f>VLOOKUP(E7707,DATABASE!C:Q,8,false)</f>
        <v>NON</v>
      </c>
      <c r="P7707" s="65">
        <f>VLOOKUP(E7707,DATABASE!C:Q,9,False)</f>
        <v>0</v>
      </c>
      <c r="Q7707" s="93" t="str">
        <f>VLOOKUP(E7707,DATABASE!C:Q,4,false)</f>
        <v>Castrol</v>
      </c>
      <c r="R7707" s="93" t="str">
        <f>VLOOKUP(E7707,DATABASE!C:Q,11,false)</f>
        <v>OIL</v>
      </c>
    </row>
    <row r="7708" ht="22.5" customHeight="1">
      <c r="A7708" s="49"/>
      <c r="C7708" s="400">
        <v>46107.0</v>
      </c>
      <c r="D7708" s="69">
        <v>798.0</v>
      </c>
      <c r="E7708" s="544" t="s">
        <v>937</v>
      </c>
      <c r="F7708" s="387">
        <v>2.0</v>
      </c>
      <c r="G7708" s="140">
        <v>910000.0</v>
      </c>
      <c r="H7708" s="140">
        <v>5000.0</v>
      </c>
      <c r="I7708" s="74">
        <f t="shared" si="1"/>
        <v>1810000</v>
      </c>
      <c r="J7708" s="74">
        <f>IF(E7708="SERVICE",I7708-(I7708*50%),Vlookup(E7708,DATABASE!C:Q,10,false)*F7708)</f>
        <v>0</v>
      </c>
      <c r="K7708" s="74">
        <f>VLOOKUP(E7708,DATABASE!C:Q,7,false)</f>
        <v>825000</v>
      </c>
      <c r="L7708" s="74">
        <v>815000.0</v>
      </c>
      <c r="M7708" s="74">
        <f t="shared" si="4"/>
        <v>815000</v>
      </c>
      <c r="N7708" s="74">
        <f t="shared" si="3"/>
        <v>180000</v>
      </c>
      <c r="O7708" s="65" t="str">
        <f>VLOOKUP(E7708,DATABASE!C:Q,8,false)</f>
        <v>IBU</v>
      </c>
      <c r="P7708" s="65">
        <f>VLOOKUP(E7708,DATABASE!C:Q,9,False)</f>
        <v>1</v>
      </c>
      <c r="Q7708" s="93" t="str">
        <f>VLOOKUP(E7708,DATABASE!C:Q,4,false)</f>
        <v>Bridgestone</v>
      </c>
      <c r="R7708" s="93" t="str">
        <f>VLOOKUP(E7708,DATABASE!C:Q,11,false)</f>
        <v>Tire</v>
      </c>
    </row>
    <row r="7709" ht="22.5" customHeight="1">
      <c r="A7709" s="49"/>
      <c r="C7709" s="400">
        <v>46107.0</v>
      </c>
      <c r="D7709" s="69">
        <v>799.0</v>
      </c>
      <c r="E7709" s="544" t="s">
        <v>856</v>
      </c>
      <c r="F7709" s="387">
        <v>2.0</v>
      </c>
      <c r="G7709" s="140">
        <v>670000.0</v>
      </c>
      <c r="H7709" s="74"/>
      <c r="I7709" s="74">
        <f t="shared" si="1"/>
        <v>1340000</v>
      </c>
      <c r="J7709" s="74">
        <f>IF(E7709="SERVICE",I7709-(I7709*50%),Vlookup(E7709,DATABASE!C:Q,10,false)*F7709)</f>
        <v>0</v>
      </c>
      <c r="K7709" s="74">
        <f>VLOOKUP(E7709,DATABASE!C:Q,7,false)</f>
        <v>615300</v>
      </c>
      <c r="L7709" s="74">
        <v>581120.0</v>
      </c>
      <c r="M7709" s="74">
        <f t="shared" si="4"/>
        <v>585000</v>
      </c>
      <c r="N7709" s="74">
        <f t="shared" si="3"/>
        <v>170000</v>
      </c>
      <c r="O7709" s="65" t="str">
        <f>VLOOKUP(E7709,DATABASE!C:Q,8,false)</f>
        <v>BIAN</v>
      </c>
      <c r="P7709" s="65">
        <f>VLOOKUP(E7709,DATABASE!C:Q,9,False)</f>
        <v>1</v>
      </c>
      <c r="Q7709" s="93" t="str">
        <f>VLOOKUP(E7709,DATABASE!C:Q,4,false)</f>
        <v>GT</v>
      </c>
      <c r="R7709" s="93" t="str">
        <f>VLOOKUP(E7709,DATABASE!C:Q,11,false)</f>
        <v>Tire</v>
      </c>
    </row>
    <row r="7710" ht="22.5" customHeight="1">
      <c r="A7710" s="49"/>
      <c r="C7710" s="400">
        <v>46107.0</v>
      </c>
      <c r="D7710" s="69">
        <v>800.0</v>
      </c>
      <c r="E7710" s="544" t="s">
        <v>268</v>
      </c>
      <c r="F7710" s="387">
        <v>2.0</v>
      </c>
      <c r="G7710" s="140">
        <v>710000.0</v>
      </c>
      <c r="H7710" s="74"/>
      <c r="I7710" s="74">
        <f t="shared" si="1"/>
        <v>1420000</v>
      </c>
      <c r="J7710" s="74">
        <f>IF(E7710="SERVICE",I7710-(I7710*50%),Vlookup(E7710,DATABASE!C:Q,10,false)*F7710)</f>
        <v>0</v>
      </c>
      <c r="K7710" s="74">
        <f>VLOOKUP(E7710,DATABASE!C:Q,7,false)</f>
        <v>653000</v>
      </c>
      <c r="L7710" s="74">
        <v>622000.0</v>
      </c>
      <c r="M7710" s="74">
        <f t="shared" si="4"/>
        <v>625000</v>
      </c>
      <c r="N7710" s="74">
        <f t="shared" si="3"/>
        <v>170000</v>
      </c>
      <c r="O7710" s="65" t="str">
        <f>VLOOKUP(E7710,DATABASE!C:Q,8,false)</f>
        <v>IBU</v>
      </c>
      <c r="P7710" s="65">
        <f>VLOOKUP(E7710,DATABASE!C:Q,9,False)</f>
        <v>1</v>
      </c>
      <c r="Q7710" s="93" t="str">
        <f>VLOOKUP(E7710,DATABASE!C:Q,4,false)</f>
        <v>Dunlop</v>
      </c>
      <c r="R7710" s="93" t="str">
        <f>VLOOKUP(E7710,DATABASE!C:Q,11,false)</f>
        <v>Tire</v>
      </c>
    </row>
    <row r="7711" ht="22.5" customHeight="1">
      <c r="A7711" s="49"/>
      <c r="C7711" s="400">
        <v>46107.0</v>
      </c>
      <c r="D7711" s="69">
        <v>801.0</v>
      </c>
      <c r="E7711" s="544" t="s">
        <v>1974</v>
      </c>
      <c r="F7711" s="387">
        <v>1.0</v>
      </c>
      <c r="G7711" s="140">
        <v>1240000.0</v>
      </c>
      <c r="H7711" s="74"/>
      <c r="I7711" s="74">
        <f t="shared" si="1"/>
        <v>1240000</v>
      </c>
      <c r="J7711" s="74">
        <f>IF(E7711="SERVICE",I7711-(I7711*50%),Vlookup(E7711,DATABASE!C:Q,10,false)*F7711)</f>
        <v>0</v>
      </c>
      <c r="K7711" s="74">
        <f>VLOOKUP(E7711,DATABASE!C:Q,7,false)</f>
        <v>1221100</v>
      </c>
      <c r="L7711" s="74">
        <v>1150700.0</v>
      </c>
      <c r="M7711" s="74">
        <f t="shared" si="4"/>
        <v>1155000</v>
      </c>
      <c r="N7711" s="74">
        <f t="shared" si="3"/>
        <v>85000</v>
      </c>
      <c r="O7711" s="65" t="str">
        <f>VLOOKUP(E7711,DATABASE!C:Q,8,false)</f>
        <v>BIAN</v>
      </c>
      <c r="P7711" s="65">
        <f>VLOOKUP(E7711,DATABASE!C:Q,9,False)</f>
        <v>1</v>
      </c>
      <c r="Q7711" s="93" t="str">
        <f>VLOOKUP(E7711,DATABASE!C:Q,4,false)</f>
        <v>GT</v>
      </c>
      <c r="R7711" s="93" t="str">
        <f>VLOOKUP(E7711,DATABASE!C:Q,11,false)</f>
        <v>Tire</v>
      </c>
    </row>
    <row r="7712" ht="22.5" customHeight="1">
      <c r="A7712" s="49"/>
      <c r="C7712" s="400">
        <v>46107.0</v>
      </c>
      <c r="D7712" s="69">
        <v>802.0</v>
      </c>
      <c r="E7712" s="544" t="s">
        <v>1237</v>
      </c>
      <c r="F7712" s="387">
        <v>1.0</v>
      </c>
      <c r="G7712" s="140">
        <v>1235000.0</v>
      </c>
      <c r="H7712" s="140">
        <v>5000.0</v>
      </c>
      <c r="I7712" s="74">
        <f t="shared" si="1"/>
        <v>1230000</v>
      </c>
      <c r="J7712" s="74">
        <f>IF(E7712="SERVICE",I7712-(I7712*50%),Vlookup(E7712,DATABASE!C:Q,10,false)*F7712)</f>
        <v>0</v>
      </c>
      <c r="K7712" s="74">
        <f>VLOOKUP(E7712,DATABASE!C:Q,7,false)</f>
        <v>1170353.16</v>
      </c>
      <c r="L7712" s="74">
        <v>1130842.0</v>
      </c>
      <c r="M7712" s="74">
        <f t="shared" si="4"/>
        <v>1135000</v>
      </c>
      <c r="N7712" s="74">
        <f t="shared" si="3"/>
        <v>95000</v>
      </c>
      <c r="O7712" s="65" t="str">
        <f>VLOOKUP(E7712,DATABASE!C:Q,8,false)</f>
        <v>IBU</v>
      </c>
      <c r="P7712" s="65">
        <f>VLOOKUP(E7712,DATABASE!C:Q,9,False)</f>
        <v>1</v>
      </c>
      <c r="Q7712" s="93" t="str">
        <f>VLOOKUP(E7712,DATABASE!C:Q,4,false)</f>
        <v>Bridgestone</v>
      </c>
      <c r="R7712" s="93" t="str">
        <f>VLOOKUP(E7712,DATABASE!C:Q,11,false)</f>
        <v>Tire</v>
      </c>
    </row>
    <row r="7713" ht="22.5" customHeight="1">
      <c r="A7713" s="49"/>
      <c r="C7713" s="400">
        <v>46107.0</v>
      </c>
      <c r="D7713" s="524">
        <v>803.0</v>
      </c>
      <c r="E7713" s="544" t="s">
        <v>256</v>
      </c>
      <c r="F7713" s="387">
        <v>1.0</v>
      </c>
      <c r="G7713" s="140">
        <v>175000.0</v>
      </c>
      <c r="H7713" s="140">
        <v>25000.0</v>
      </c>
      <c r="I7713" s="74">
        <f t="shared" si="1"/>
        <v>150000</v>
      </c>
      <c r="J7713" s="74">
        <f>IF(E7713="SERVICE",I7713-(I7713*50%),Vlookup(E7713,DATABASE!C:Q,10,false)*F7713)</f>
        <v>10000</v>
      </c>
      <c r="K7713" s="74">
        <f>VLOOKUP(E7713,DATABASE!C:Q,7,false)</f>
        <v>0</v>
      </c>
      <c r="L7713" s="74">
        <v>0.0</v>
      </c>
      <c r="M7713" s="74">
        <f t="shared" si="4"/>
        <v>0</v>
      </c>
      <c r="N7713" s="74">
        <f t="shared" si="3"/>
        <v>140000</v>
      </c>
      <c r="O7713" s="65" t="str">
        <f>VLOOKUP(E7713,DATABASE!C:Q,8,false)</f>
        <v>IBU</v>
      </c>
      <c r="P7713" s="65">
        <f>VLOOKUP(E7713,DATABASE!C:Q,9,False)</f>
        <v>0</v>
      </c>
      <c r="Q7713" s="93" t="str">
        <f>VLOOKUP(E7713,DATABASE!C:Q,4,false)</f>
        <v>SPOORING</v>
      </c>
      <c r="R7713" s="93" t="str">
        <f>VLOOKUP(E7713,DATABASE!C:Q,11,false)</f>
        <v>SERVICE</v>
      </c>
    </row>
    <row r="7714" ht="22.5" customHeight="1">
      <c r="A7714" s="49"/>
      <c r="C7714" s="400">
        <v>46107.0</v>
      </c>
      <c r="D7714" s="524">
        <v>803.0</v>
      </c>
      <c r="E7714" s="544" t="s">
        <v>251</v>
      </c>
      <c r="F7714" s="387">
        <v>1.0</v>
      </c>
      <c r="G7714" s="140">
        <v>350000.0</v>
      </c>
      <c r="H7714" s="140">
        <v>200000.0</v>
      </c>
      <c r="I7714" s="74">
        <f t="shared" si="1"/>
        <v>150000</v>
      </c>
      <c r="J7714" s="74">
        <f>IF(E7714="SERVICE",I7714-(I7714*50%),Vlookup(E7714,DATABASE!C:Q,10,false)*F7714)</f>
        <v>75000</v>
      </c>
      <c r="K7714" s="74">
        <f>VLOOKUP(E7714,DATABASE!C:Q,7,false)</f>
        <v>0</v>
      </c>
      <c r="L7714" s="74">
        <v>0.0</v>
      </c>
      <c r="M7714" s="74">
        <f t="shared" si="4"/>
        <v>0</v>
      </c>
      <c r="N7714" s="74">
        <f t="shared" si="3"/>
        <v>75000</v>
      </c>
      <c r="O7714" s="65" t="str">
        <f>VLOOKUP(E7714,DATABASE!C:Q,8,false)</f>
        <v>IBU</v>
      </c>
      <c r="P7714" s="65">
        <f>VLOOKUP(E7714,DATABASE!C:Q,9,False)</f>
        <v>0</v>
      </c>
      <c r="Q7714" s="93" t="str">
        <f>VLOOKUP(E7714,DATABASE!C:Q,4,false)</f>
        <v>SERVICE</v>
      </c>
      <c r="R7714" s="93" t="str">
        <f>VLOOKUP(E7714,DATABASE!C:Q,11,false)</f>
        <v>SERVICE</v>
      </c>
    </row>
    <row r="7715" ht="22.5" customHeight="1">
      <c r="A7715" s="49"/>
      <c r="C7715" s="400">
        <v>46107.0</v>
      </c>
      <c r="D7715" s="524">
        <v>805.0</v>
      </c>
      <c r="E7715" s="544" t="s">
        <v>777</v>
      </c>
      <c r="F7715" s="387">
        <v>4.0</v>
      </c>
      <c r="G7715" s="140">
        <v>600000.0</v>
      </c>
      <c r="H7715" s="140">
        <v>10000.0</v>
      </c>
      <c r="I7715" s="74">
        <f t="shared" si="1"/>
        <v>2360000</v>
      </c>
      <c r="J7715" s="74">
        <f>IF(E7715="SERVICE",I7715-(I7715*50%),Vlookup(E7715,DATABASE!C:Q,10,false)*F7715)</f>
        <v>0</v>
      </c>
      <c r="K7715" s="74">
        <f>VLOOKUP(E7715,DATABASE!C:Q,7,false)</f>
        <v>540000</v>
      </c>
      <c r="L7715" s="74">
        <v>507000.0</v>
      </c>
      <c r="M7715" s="74">
        <f t="shared" si="4"/>
        <v>510000</v>
      </c>
      <c r="N7715" s="74">
        <f t="shared" si="3"/>
        <v>320000</v>
      </c>
      <c r="O7715" s="65" t="str">
        <f>VLOOKUP(E7715,DATABASE!C:Q,8,false)</f>
        <v>BIAN</v>
      </c>
      <c r="P7715" s="65">
        <f>VLOOKUP(E7715,DATABASE!C:Q,9,False)</f>
        <v>1</v>
      </c>
      <c r="Q7715" s="93" t="str">
        <f>VLOOKUP(E7715,DATABASE!C:Q,4,false)</f>
        <v>GT</v>
      </c>
      <c r="R7715" s="93" t="str">
        <f>VLOOKUP(E7715,DATABASE!C:Q,11,false)</f>
        <v>Tire</v>
      </c>
    </row>
    <row r="7716" ht="22.5" customHeight="1">
      <c r="A7716" s="49"/>
      <c r="C7716" s="400">
        <v>46107.0</v>
      </c>
      <c r="D7716" s="524">
        <v>805.0</v>
      </c>
      <c r="E7716" s="544" t="s">
        <v>250</v>
      </c>
      <c r="F7716" s="387">
        <v>4.0</v>
      </c>
      <c r="G7716" s="140">
        <v>135000.0</v>
      </c>
      <c r="H7716" s="74"/>
      <c r="I7716" s="74">
        <f t="shared" si="1"/>
        <v>540000</v>
      </c>
      <c r="J7716" s="74">
        <f>IF(E7716="SERVICE",I7716-(I7716*50%),Vlookup(E7716,DATABASE!C:Q,10,false)*F7716)</f>
        <v>0</v>
      </c>
      <c r="K7716" s="74">
        <f>VLOOKUP(E7716,DATABASE!C:Q,7,false)</f>
        <v>102000</v>
      </c>
      <c r="L7716" s="74">
        <v>102000.0</v>
      </c>
      <c r="M7716" s="74">
        <f t="shared" si="4"/>
        <v>105000</v>
      </c>
      <c r="N7716" s="74">
        <f t="shared" si="3"/>
        <v>120000</v>
      </c>
      <c r="O7716" s="65" t="str">
        <f>VLOOKUP(E7716,DATABASE!C:Q,8,false)</f>
        <v>BIAN</v>
      </c>
      <c r="P7716" s="65">
        <f>VLOOKUP(E7716,DATABASE!C:Q,9,False)</f>
        <v>1</v>
      </c>
      <c r="Q7716" s="93" t="str">
        <f>VLOOKUP(E7716,DATABASE!C:Q,4,false)</f>
        <v>BD</v>
      </c>
      <c r="R7716" s="93" t="str">
        <f>VLOOKUP(E7716,DATABASE!C:Q,11,false)</f>
        <v>Tire</v>
      </c>
    </row>
    <row r="7717" ht="22.5" customHeight="1">
      <c r="A7717" s="49"/>
      <c r="C7717" s="400">
        <v>46107.0</v>
      </c>
      <c r="D7717" s="524">
        <v>806.0</v>
      </c>
      <c r="E7717" s="544" t="s">
        <v>299</v>
      </c>
      <c r="F7717" s="387">
        <v>2.0</v>
      </c>
      <c r="G7717" s="140">
        <v>30000.0</v>
      </c>
      <c r="H7717" s="74"/>
      <c r="I7717" s="74">
        <f t="shared" si="1"/>
        <v>60000</v>
      </c>
      <c r="J7717" s="74">
        <f>IF(E7717="SERVICE",I7717-(I7717*50%),Vlookup(E7717,DATABASE!C:Q,10,false)*F7717)</f>
        <v>0</v>
      </c>
      <c r="K7717" s="74">
        <f>VLOOKUP(E7717,DATABASE!C:Q,7,false)</f>
        <v>10000</v>
      </c>
      <c r="L7717" s="74">
        <v>10000.0</v>
      </c>
      <c r="M7717" s="74">
        <f t="shared" si="4"/>
        <v>10000</v>
      </c>
      <c r="N7717" s="74">
        <f t="shared" si="3"/>
        <v>40000</v>
      </c>
      <c r="O7717" s="65" t="str">
        <f>VLOOKUP(E7717,DATABASE!C:Q,8,false)</f>
        <v>BIAN</v>
      </c>
      <c r="P7717" s="65">
        <f>VLOOKUP(E7717,DATABASE!C:Q,9,False)</f>
        <v>0</v>
      </c>
      <c r="Q7717" s="93" t="str">
        <f>VLOOKUP(E7717,DATABASE!C:Q,4,false)</f>
        <v>Balancing</v>
      </c>
      <c r="R7717" s="93" t="str">
        <f>VLOOKUP(E7717,DATABASE!C:Q,11,false)</f>
        <v>COMPLEMENTARY</v>
      </c>
    </row>
    <row r="7718" ht="22.5" customHeight="1">
      <c r="A7718" s="49"/>
      <c r="C7718" s="400">
        <v>46107.0</v>
      </c>
      <c r="D7718" s="524">
        <v>807.0</v>
      </c>
      <c r="E7718" s="544" t="s">
        <v>569</v>
      </c>
      <c r="F7718" s="387">
        <v>10.0</v>
      </c>
      <c r="G7718" s="140">
        <v>80000.0</v>
      </c>
      <c r="H7718" s="140">
        <v>2000.0</v>
      </c>
      <c r="I7718" s="74">
        <f t="shared" si="1"/>
        <v>780000</v>
      </c>
      <c r="J7718" s="74">
        <f>IF(E7718="SERVICE",I7718-(I7718*50%),Vlookup(E7718,DATABASE!C:Q,10,false)*F7718)</f>
        <v>0</v>
      </c>
      <c r="K7718" s="74">
        <f>VLOOKUP(E7718,DATABASE!C:Q,7,false)</f>
        <v>45439.582</v>
      </c>
      <c r="L7718" s="74">
        <v>45309.6</v>
      </c>
      <c r="M7718" s="74">
        <f t="shared" si="4"/>
        <v>50000</v>
      </c>
      <c r="N7718" s="74">
        <f t="shared" si="3"/>
        <v>280000</v>
      </c>
      <c r="O7718" s="65" t="str">
        <f>VLOOKUP(E7718,DATABASE!C:Q,8,false)</f>
        <v>BIAN</v>
      </c>
      <c r="P7718" s="65">
        <f>VLOOKUP(E7718,DATABASE!C:Q,9,False)</f>
        <v>1</v>
      </c>
      <c r="Q7718" s="93" t="str">
        <f>VLOOKUP(E7718,DATABASE!C:Q,4,false)</f>
        <v>BD</v>
      </c>
      <c r="R7718" s="93" t="str">
        <f>VLOOKUP(E7718,DATABASE!C:Q,11,false)</f>
        <v>Tire</v>
      </c>
    </row>
    <row r="7719" ht="22.5" customHeight="1">
      <c r="A7719" s="49"/>
      <c r="C7719" s="400">
        <v>46107.0</v>
      </c>
      <c r="D7719" s="524">
        <v>808.0</v>
      </c>
      <c r="E7719" s="544" t="s">
        <v>256</v>
      </c>
      <c r="F7719" s="387">
        <v>1.0</v>
      </c>
      <c r="G7719" s="140">
        <v>175000.0</v>
      </c>
      <c r="H7719" s="140">
        <v>25000.0</v>
      </c>
      <c r="I7719" s="74">
        <f t="shared" si="1"/>
        <v>150000</v>
      </c>
      <c r="J7719" s="74">
        <f>IF(E7719="SERVICE",I7719-(I7719*50%),Vlookup(E7719,DATABASE!C:Q,10,false)*F7719)</f>
        <v>10000</v>
      </c>
      <c r="K7719" s="74">
        <f>VLOOKUP(E7719,DATABASE!C:Q,7,false)</f>
        <v>0</v>
      </c>
      <c r="L7719" s="74">
        <v>0.0</v>
      </c>
      <c r="M7719" s="74">
        <f t="shared" si="4"/>
        <v>0</v>
      </c>
      <c r="N7719" s="74">
        <f t="shared" si="3"/>
        <v>140000</v>
      </c>
      <c r="O7719" s="65" t="str">
        <f>VLOOKUP(E7719,DATABASE!C:Q,8,false)</f>
        <v>IBU</v>
      </c>
      <c r="P7719" s="65">
        <f>VLOOKUP(E7719,DATABASE!C:Q,9,False)</f>
        <v>0</v>
      </c>
      <c r="Q7719" s="93" t="str">
        <f>VLOOKUP(E7719,DATABASE!C:Q,4,false)</f>
        <v>SPOORING</v>
      </c>
      <c r="R7719" s="93" t="str">
        <f>VLOOKUP(E7719,DATABASE!C:Q,11,false)</f>
        <v>SERVICE</v>
      </c>
    </row>
    <row r="7720" ht="22.5" customHeight="1">
      <c r="A7720" s="49"/>
      <c r="C7720" s="400">
        <v>46107.0</v>
      </c>
      <c r="D7720" s="524">
        <v>808.0</v>
      </c>
      <c r="E7720" s="544" t="s">
        <v>301</v>
      </c>
      <c r="F7720" s="387">
        <v>1.0</v>
      </c>
      <c r="G7720" s="140">
        <v>250000.0</v>
      </c>
      <c r="H7720" s="74"/>
      <c r="I7720" s="74">
        <f t="shared" si="1"/>
        <v>250000</v>
      </c>
      <c r="J7720" s="74">
        <f>IF(E7720="SERVICE",I7720-(I7720*50%),Vlookup(E7720,DATABASE!C:Q,10,false)*F7720)</f>
        <v>75000</v>
      </c>
      <c r="K7720" s="74">
        <f>VLOOKUP(E7720,DATABASE!C:Q,7,false)</f>
        <v>75000</v>
      </c>
      <c r="L7720" s="74">
        <v>75000.0</v>
      </c>
      <c r="M7720" s="74">
        <f t="shared" si="4"/>
        <v>75000</v>
      </c>
      <c r="N7720" s="74">
        <f t="shared" si="3"/>
        <v>100000</v>
      </c>
      <c r="O7720" s="65" t="str">
        <f>VLOOKUP(E7720,DATABASE!C:Q,8,false)</f>
        <v>BIAN</v>
      </c>
      <c r="P7720" s="65">
        <f>VLOOKUP(E7720,DATABASE!C:Q,9,False)</f>
        <v>0</v>
      </c>
      <c r="Q7720" s="93" t="str">
        <f>VLOOKUP(E7720,DATABASE!C:Q,4,false)</f>
        <v>Baut Camber</v>
      </c>
      <c r="R7720" s="93" t="str">
        <f>VLOOKUP(E7720,DATABASE!C:Q,11,false)</f>
        <v>COMPLEMENTARY</v>
      </c>
    </row>
    <row r="7721" ht="22.5" customHeight="1">
      <c r="A7721" s="49"/>
      <c r="C7721" s="400">
        <v>46107.0</v>
      </c>
      <c r="D7721" s="524">
        <v>809.0</v>
      </c>
      <c r="E7721" s="544" t="s">
        <v>268</v>
      </c>
      <c r="F7721" s="387">
        <v>1.0</v>
      </c>
      <c r="G7721" s="140">
        <v>710000.0</v>
      </c>
      <c r="H7721" s="74"/>
      <c r="I7721" s="74">
        <f t="shared" si="1"/>
        <v>710000</v>
      </c>
      <c r="J7721" s="74">
        <f>IF(E7721="SERVICE",I7721-(I7721*50%),Vlookup(E7721,DATABASE!C:Q,10,false)*F7721)</f>
        <v>0</v>
      </c>
      <c r="K7721" s="74">
        <f>VLOOKUP(E7721,DATABASE!C:Q,7,false)</f>
        <v>653000</v>
      </c>
      <c r="L7721" s="74">
        <v>622000.0</v>
      </c>
      <c r="M7721" s="74">
        <f t="shared" si="4"/>
        <v>625000</v>
      </c>
      <c r="N7721" s="74">
        <f t="shared" si="3"/>
        <v>85000</v>
      </c>
      <c r="O7721" s="65" t="str">
        <f>VLOOKUP(E7721,DATABASE!C:Q,8,false)</f>
        <v>IBU</v>
      </c>
      <c r="P7721" s="65">
        <f>VLOOKUP(E7721,DATABASE!C:Q,9,False)</f>
        <v>1</v>
      </c>
      <c r="Q7721" s="93" t="str">
        <f>VLOOKUP(E7721,DATABASE!C:Q,4,false)</f>
        <v>Dunlop</v>
      </c>
      <c r="R7721" s="93" t="str">
        <f>VLOOKUP(E7721,DATABASE!C:Q,11,false)</f>
        <v>Tire</v>
      </c>
    </row>
    <row r="7722" ht="22.5" customHeight="1">
      <c r="A7722" s="49"/>
      <c r="C7722" s="400">
        <v>46107.0</v>
      </c>
      <c r="D7722" s="524">
        <v>811.0</v>
      </c>
      <c r="E7722" s="544" t="s">
        <v>256</v>
      </c>
      <c r="F7722" s="387">
        <v>1.0</v>
      </c>
      <c r="G7722" s="140">
        <v>175000.0</v>
      </c>
      <c r="H7722" s="140">
        <v>25000.0</v>
      </c>
      <c r="I7722" s="74">
        <f t="shared" si="1"/>
        <v>150000</v>
      </c>
      <c r="J7722" s="74">
        <f>IF(E7722="SERVICE",I7722-(I7722*50%),Vlookup(E7722,DATABASE!C:Q,10,false)*F7722)</f>
        <v>10000</v>
      </c>
      <c r="K7722" s="74">
        <f>VLOOKUP(E7722,DATABASE!C:Q,7,false)</f>
        <v>0</v>
      </c>
      <c r="L7722" s="74">
        <v>0.0</v>
      </c>
      <c r="M7722" s="74">
        <f t="shared" si="4"/>
        <v>0</v>
      </c>
      <c r="N7722" s="74">
        <f t="shared" si="3"/>
        <v>140000</v>
      </c>
      <c r="O7722" s="65" t="str">
        <f>VLOOKUP(E7722,DATABASE!C:Q,8,false)</f>
        <v>IBU</v>
      </c>
      <c r="P7722" s="65">
        <f>VLOOKUP(E7722,DATABASE!C:Q,9,False)</f>
        <v>0</v>
      </c>
      <c r="Q7722" s="93" t="str">
        <f>VLOOKUP(E7722,DATABASE!C:Q,4,false)</f>
        <v>SPOORING</v>
      </c>
      <c r="R7722" s="93" t="str">
        <f>VLOOKUP(E7722,DATABASE!C:Q,11,false)</f>
        <v>SERVICE</v>
      </c>
    </row>
    <row r="7723" ht="22.5" customHeight="1">
      <c r="A7723" s="49"/>
      <c r="C7723" s="400">
        <v>46107.0</v>
      </c>
      <c r="D7723" s="524">
        <v>811.0</v>
      </c>
      <c r="E7723" s="544" t="s">
        <v>301</v>
      </c>
      <c r="F7723" s="387">
        <v>1.0</v>
      </c>
      <c r="G7723" s="140">
        <v>250000.0</v>
      </c>
      <c r="H7723" s="74"/>
      <c r="I7723" s="74">
        <f t="shared" si="1"/>
        <v>250000</v>
      </c>
      <c r="J7723" s="74">
        <f>IF(E7723="SERVICE",I7723-(I7723*50%),Vlookup(E7723,DATABASE!C:Q,10,false)*F7723)</f>
        <v>75000</v>
      </c>
      <c r="K7723" s="74">
        <f>VLOOKUP(E7723,DATABASE!C:Q,7,false)</f>
        <v>75000</v>
      </c>
      <c r="L7723" s="74">
        <v>75000.0</v>
      </c>
      <c r="M7723" s="74">
        <f t="shared" si="4"/>
        <v>75000</v>
      </c>
      <c r="N7723" s="74">
        <f t="shared" si="3"/>
        <v>100000</v>
      </c>
      <c r="O7723" s="65" t="str">
        <f>VLOOKUP(E7723,DATABASE!C:Q,8,false)</f>
        <v>BIAN</v>
      </c>
      <c r="P7723" s="65">
        <f>VLOOKUP(E7723,DATABASE!C:Q,9,False)</f>
        <v>0</v>
      </c>
      <c r="Q7723" s="93" t="str">
        <f>VLOOKUP(E7723,DATABASE!C:Q,4,false)</f>
        <v>Baut Camber</v>
      </c>
      <c r="R7723" s="93" t="str">
        <f>VLOOKUP(E7723,DATABASE!C:Q,11,false)</f>
        <v>COMPLEMENTARY</v>
      </c>
    </row>
    <row r="7724" ht="22.5" customHeight="1">
      <c r="A7724" s="49"/>
      <c r="C7724" s="400">
        <v>46107.0</v>
      </c>
      <c r="D7724" s="524">
        <v>812.0</v>
      </c>
      <c r="E7724" s="544" t="s">
        <v>250</v>
      </c>
      <c r="F7724" s="387">
        <v>1.0</v>
      </c>
      <c r="G7724" s="140">
        <v>135000.0</v>
      </c>
      <c r="H7724" s="74"/>
      <c r="I7724" s="74">
        <f t="shared" si="1"/>
        <v>135000</v>
      </c>
      <c r="J7724" s="74">
        <f>IF(E7724="SERVICE",I7724-(I7724*50%),Vlookup(E7724,DATABASE!C:Q,10,false)*F7724)</f>
        <v>0</v>
      </c>
      <c r="K7724" s="74">
        <f>VLOOKUP(E7724,DATABASE!C:Q,7,false)</f>
        <v>102000</v>
      </c>
      <c r="L7724" s="74">
        <v>102000.0</v>
      </c>
      <c r="M7724" s="74">
        <f t="shared" si="4"/>
        <v>105000</v>
      </c>
      <c r="N7724" s="74">
        <f t="shared" si="3"/>
        <v>30000</v>
      </c>
      <c r="O7724" s="65" t="str">
        <f>VLOOKUP(E7724,DATABASE!C:Q,8,false)</f>
        <v>BIAN</v>
      </c>
      <c r="P7724" s="65">
        <f>VLOOKUP(E7724,DATABASE!C:Q,9,False)</f>
        <v>1</v>
      </c>
      <c r="Q7724" s="93" t="str">
        <f>VLOOKUP(E7724,DATABASE!C:Q,4,false)</f>
        <v>BD</v>
      </c>
      <c r="R7724" s="93" t="str">
        <f>VLOOKUP(E7724,DATABASE!C:Q,11,false)</f>
        <v>Tire</v>
      </c>
    </row>
    <row r="7725" ht="22.5" customHeight="1">
      <c r="A7725" s="49"/>
      <c r="C7725" s="400">
        <v>46107.0</v>
      </c>
      <c r="D7725" s="524">
        <v>813.0</v>
      </c>
      <c r="E7725" s="544" t="s">
        <v>1957</v>
      </c>
      <c r="F7725" s="387">
        <v>4.0</v>
      </c>
      <c r="G7725" s="140">
        <v>830000.0</v>
      </c>
      <c r="H7725" s="74"/>
      <c r="I7725" s="74">
        <f t="shared" si="1"/>
        <v>3320000</v>
      </c>
      <c r="J7725" s="74">
        <f>IF(E7725="SERVICE",I7725-(I7725*50%),Vlookup(E7725,DATABASE!C:Q,10,false)*F7725)</f>
        <v>0</v>
      </c>
      <c r="K7725" s="74">
        <f>VLOOKUP(E7725,DATABASE!C:Q,7,false)</f>
        <v>726400</v>
      </c>
      <c r="L7725" s="74">
        <v>726400.0</v>
      </c>
      <c r="M7725" s="74">
        <f t="shared" si="4"/>
        <v>730000</v>
      </c>
      <c r="N7725" s="74">
        <f t="shared" si="3"/>
        <v>400000</v>
      </c>
      <c r="O7725" s="65" t="str">
        <f>VLOOKUP(E7725,DATABASE!C:Q,8,false)</f>
        <v>BIAN</v>
      </c>
      <c r="P7725" s="65">
        <f>VLOOKUP(E7725,DATABASE!C:Q,9,False)</f>
        <v>1</v>
      </c>
      <c r="Q7725" s="93" t="str">
        <f>VLOOKUP(E7725,DATABASE!C:Q,4,false)</f>
        <v>GT</v>
      </c>
      <c r="R7725" s="93" t="str">
        <f>VLOOKUP(E7725,DATABASE!C:Q,11,false)</f>
        <v>Tire</v>
      </c>
    </row>
    <row r="7726" ht="22.5" customHeight="1">
      <c r="A7726" s="49"/>
      <c r="C7726" s="400">
        <v>46107.0</v>
      </c>
      <c r="D7726" s="524">
        <v>813.0</v>
      </c>
      <c r="E7726" s="544" t="s">
        <v>299</v>
      </c>
      <c r="F7726" s="387">
        <v>2.0</v>
      </c>
      <c r="G7726" s="140">
        <v>30000.0</v>
      </c>
      <c r="H7726" s="74"/>
      <c r="I7726" s="74">
        <f t="shared" si="1"/>
        <v>60000</v>
      </c>
      <c r="J7726" s="74">
        <f>IF(E7726="SERVICE",I7726-(I7726*50%),Vlookup(E7726,DATABASE!C:Q,10,false)*F7726)</f>
        <v>0</v>
      </c>
      <c r="K7726" s="74">
        <f>VLOOKUP(E7726,DATABASE!C:Q,7,false)</f>
        <v>10000</v>
      </c>
      <c r="L7726" s="74">
        <v>10000.0</v>
      </c>
      <c r="M7726" s="74">
        <f t="shared" si="4"/>
        <v>10000</v>
      </c>
      <c r="N7726" s="74">
        <f t="shared" si="3"/>
        <v>40000</v>
      </c>
      <c r="O7726" s="65" t="str">
        <f>VLOOKUP(E7726,DATABASE!C:Q,8,false)</f>
        <v>BIAN</v>
      </c>
      <c r="P7726" s="65">
        <f>VLOOKUP(E7726,DATABASE!C:Q,9,False)</f>
        <v>0</v>
      </c>
      <c r="Q7726" s="93" t="str">
        <f>VLOOKUP(E7726,DATABASE!C:Q,4,false)</f>
        <v>Balancing</v>
      </c>
      <c r="R7726" s="93" t="str">
        <f>VLOOKUP(E7726,DATABASE!C:Q,11,false)</f>
        <v>COMPLEMENTARY</v>
      </c>
    </row>
    <row r="7727" ht="22.5" customHeight="1">
      <c r="A7727" s="49"/>
      <c r="C7727" s="400">
        <v>46107.0</v>
      </c>
      <c r="D7727" s="524">
        <v>813.0</v>
      </c>
      <c r="E7727" s="544" t="s">
        <v>256</v>
      </c>
      <c r="F7727" s="387">
        <v>1.0</v>
      </c>
      <c r="G7727" s="140">
        <v>175000.0</v>
      </c>
      <c r="H7727" s="140">
        <v>25000.0</v>
      </c>
      <c r="I7727" s="74">
        <f t="shared" si="1"/>
        <v>150000</v>
      </c>
      <c r="J7727" s="74">
        <f>IF(E7727="SERVICE",I7727-(I7727*50%),Vlookup(E7727,DATABASE!C:Q,10,false)*F7727)</f>
        <v>10000</v>
      </c>
      <c r="K7727" s="74">
        <f>VLOOKUP(E7727,DATABASE!C:Q,7,false)</f>
        <v>0</v>
      </c>
      <c r="L7727" s="74">
        <v>0.0</v>
      </c>
      <c r="M7727" s="74">
        <f t="shared" si="4"/>
        <v>0</v>
      </c>
      <c r="N7727" s="74">
        <f t="shared" si="3"/>
        <v>140000</v>
      </c>
      <c r="O7727" s="65" t="str">
        <f>VLOOKUP(E7727,DATABASE!C:Q,8,false)</f>
        <v>IBU</v>
      </c>
      <c r="P7727" s="65">
        <f>VLOOKUP(E7727,DATABASE!C:Q,9,False)</f>
        <v>0</v>
      </c>
      <c r="Q7727" s="93" t="str">
        <f>VLOOKUP(E7727,DATABASE!C:Q,4,false)</f>
        <v>SPOORING</v>
      </c>
      <c r="R7727" s="93" t="str">
        <f>VLOOKUP(E7727,DATABASE!C:Q,11,false)</f>
        <v>SERVICE</v>
      </c>
    </row>
    <row r="7728" ht="22.5" customHeight="1">
      <c r="A7728" s="49"/>
      <c r="C7728" s="400">
        <v>46107.0</v>
      </c>
      <c r="D7728" s="524">
        <v>813.0</v>
      </c>
      <c r="E7728" s="544" t="s">
        <v>251</v>
      </c>
      <c r="F7728" s="387">
        <v>1.0</v>
      </c>
      <c r="G7728" s="140">
        <v>350000.0</v>
      </c>
      <c r="H7728" s="140">
        <v>200000.0</v>
      </c>
      <c r="I7728" s="74">
        <f t="shared" si="1"/>
        <v>150000</v>
      </c>
      <c r="J7728" s="74">
        <f>IF(E7728="SERVICE",I7728-(I7728*50%),Vlookup(E7728,DATABASE!C:Q,10,false)*F7728)</f>
        <v>75000</v>
      </c>
      <c r="K7728" s="74">
        <f>VLOOKUP(E7728,DATABASE!C:Q,7,false)</f>
        <v>0</v>
      </c>
      <c r="L7728" s="74">
        <v>0.0</v>
      </c>
      <c r="M7728" s="74">
        <f t="shared" si="4"/>
        <v>0</v>
      </c>
      <c r="N7728" s="74">
        <f t="shared" si="3"/>
        <v>75000</v>
      </c>
      <c r="O7728" s="65" t="str">
        <f>VLOOKUP(E7728,DATABASE!C:Q,8,false)</f>
        <v>IBU</v>
      </c>
      <c r="P7728" s="65">
        <f>VLOOKUP(E7728,DATABASE!C:Q,9,False)</f>
        <v>0</v>
      </c>
      <c r="Q7728" s="93" t="str">
        <f>VLOOKUP(E7728,DATABASE!C:Q,4,false)</f>
        <v>SERVICE</v>
      </c>
      <c r="R7728" s="93" t="str">
        <f>VLOOKUP(E7728,DATABASE!C:Q,11,false)</f>
        <v>SERVICE</v>
      </c>
    </row>
    <row r="7729" ht="22.5" customHeight="1">
      <c r="A7729" s="49"/>
      <c r="C7729" s="400">
        <v>46107.0</v>
      </c>
      <c r="D7729" s="524">
        <v>814.0</v>
      </c>
      <c r="E7729" s="544" t="s">
        <v>1009</v>
      </c>
      <c r="F7729" s="387">
        <v>1.0</v>
      </c>
      <c r="G7729" s="140">
        <v>700000.0</v>
      </c>
      <c r="H7729" s="140">
        <v>15000.0</v>
      </c>
      <c r="I7729" s="74">
        <f t="shared" si="1"/>
        <v>685000</v>
      </c>
      <c r="J7729" s="74">
        <f>IF(E7729="SERVICE",I7729-(I7729*50%),Vlookup(E7729,DATABASE!C:Q,10,false)*F7729)</f>
        <v>0</v>
      </c>
      <c r="K7729" s="74">
        <f>VLOOKUP(E7729,DATABASE!C:Q,7,false)</f>
        <v>609800</v>
      </c>
      <c r="L7729" s="74">
        <v>592200.0</v>
      </c>
      <c r="M7729" s="74">
        <f t="shared" si="4"/>
        <v>595000</v>
      </c>
      <c r="N7729" s="74">
        <f t="shared" si="3"/>
        <v>90000</v>
      </c>
      <c r="O7729" s="65" t="str">
        <f>VLOOKUP(E7729,DATABASE!C:Q,8,false)</f>
        <v>BIAN</v>
      </c>
      <c r="P7729" s="65">
        <f>VLOOKUP(E7729,DATABASE!C:Q,9,False)</f>
        <v>1</v>
      </c>
      <c r="Q7729" s="93" t="str">
        <f>VLOOKUP(E7729,DATABASE!C:Q,4,false)</f>
        <v>GT</v>
      </c>
      <c r="R7729" s="93" t="str">
        <f>VLOOKUP(E7729,DATABASE!C:Q,11,false)</f>
        <v>Tire</v>
      </c>
    </row>
    <row r="7730" ht="22.5" customHeight="1">
      <c r="A7730" s="49"/>
      <c r="C7730" s="400">
        <v>46107.0</v>
      </c>
      <c r="D7730" s="69" t="s">
        <v>2758</v>
      </c>
      <c r="E7730" s="544" t="s">
        <v>252</v>
      </c>
      <c r="F7730" s="387">
        <v>1.0</v>
      </c>
      <c r="G7730" s="140">
        <v>300000.0</v>
      </c>
      <c r="H7730" s="74"/>
      <c r="I7730" s="74">
        <f t="shared" si="1"/>
        <v>300000</v>
      </c>
      <c r="J7730" s="74">
        <f>IF(E7730="SERVICE",I7730-(I7730*50%),Vlookup(E7730,DATABASE!C:Q,10,false)*F7730)</f>
        <v>0</v>
      </c>
      <c r="K7730" s="74">
        <f>VLOOKUP(E7730,DATABASE!C:Q,7,false)</f>
        <v>317518</v>
      </c>
      <c r="L7730" s="74">
        <v>271778.0</v>
      </c>
      <c r="M7730" s="74">
        <f t="shared" si="4"/>
        <v>275000</v>
      </c>
      <c r="N7730" s="74">
        <f t="shared" si="3"/>
        <v>25000</v>
      </c>
      <c r="O7730" s="65" t="str">
        <f>VLOOKUP(E7730,DATABASE!C:Q,8,false)</f>
        <v>NON</v>
      </c>
      <c r="P7730" s="65">
        <f>VLOOKUP(E7730,DATABASE!C:Q,9,False)</f>
        <v>0</v>
      </c>
      <c r="Q7730" s="93" t="str">
        <f>VLOOKUP(E7730,DATABASE!C:Q,4,false)</f>
        <v>Shell</v>
      </c>
      <c r="R7730" s="93" t="str">
        <f>VLOOKUP(E7730,DATABASE!C:Q,11,false)</f>
        <v>OIL</v>
      </c>
    </row>
    <row r="7731" ht="22.5" customHeight="1">
      <c r="A7731" s="49"/>
      <c r="C7731" s="400">
        <v>46107.0</v>
      </c>
      <c r="D7731" s="69" t="s">
        <v>2759</v>
      </c>
      <c r="E7731" s="544" t="s">
        <v>263</v>
      </c>
      <c r="F7731" s="387">
        <v>1.0</v>
      </c>
      <c r="G7731" s="140">
        <v>320000.0</v>
      </c>
      <c r="H7731" s="74"/>
      <c r="I7731" s="74">
        <f t="shared" si="1"/>
        <v>320000</v>
      </c>
      <c r="J7731" s="74">
        <f>IF(E7731="SERVICE",I7731-(I7731*50%),Vlookup(E7731,DATABASE!C:Q,10,false)*F7731)</f>
        <v>0</v>
      </c>
      <c r="K7731" s="74">
        <f>VLOOKUP(E7731,DATABASE!C:Q,7,false)</f>
        <v>334916</v>
      </c>
      <c r="L7731" s="74">
        <v>287688.0</v>
      </c>
      <c r="M7731" s="74">
        <f t="shared" si="4"/>
        <v>290000</v>
      </c>
      <c r="N7731" s="74">
        <f t="shared" si="3"/>
        <v>30000</v>
      </c>
      <c r="O7731" s="65" t="str">
        <f>VLOOKUP(E7731,DATABASE!C:Q,8,false)</f>
        <v>NON</v>
      </c>
      <c r="P7731" s="65">
        <f>VLOOKUP(E7731,DATABASE!C:Q,9,False)</f>
        <v>0</v>
      </c>
      <c r="Q7731" s="93" t="str">
        <f>VLOOKUP(E7731,DATABASE!C:Q,4,false)</f>
        <v>Shell</v>
      </c>
      <c r="R7731" s="93" t="str">
        <f>VLOOKUP(E7731,DATABASE!C:Q,11,false)</f>
        <v>OIL</v>
      </c>
    </row>
    <row r="7732" ht="22.5" customHeight="1">
      <c r="A7732" s="49"/>
      <c r="C7732" s="400">
        <v>46108.0</v>
      </c>
      <c r="D7732" s="524">
        <v>815.0</v>
      </c>
      <c r="E7732" s="544" t="s">
        <v>265</v>
      </c>
      <c r="F7732" s="387">
        <v>1.0</v>
      </c>
      <c r="G7732" s="140">
        <v>685000.0</v>
      </c>
      <c r="H7732" s="74"/>
      <c r="I7732" s="74">
        <f t="shared" si="1"/>
        <v>685000</v>
      </c>
      <c r="J7732" s="74">
        <f>IF(E7732="SERVICE",I7732-(I7732*50%),Vlookup(E7732,DATABASE!C:Q,10,false)*F7732)</f>
        <v>0</v>
      </c>
      <c r="K7732" s="74">
        <f>VLOOKUP(E7732,DATABASE!C:Q,7,false)</f>
        <v>628000</v>
      </c>
      <c r="L7732" s="74">
        <v>600000.0</v>
      </c>
      <c r="M7732" s="74">
        <f t="shared" si="4"/>
        <v>600000</v>
      </c>
      <c r="N7732" s="74">
        <f t="shared" si="3"/>
        <v>85000</v>
      </c>
      <c r="O7732" s="65" t="str">
        <f>VLOOKUP(E7732,DATABASE!C:Q,8,false)</f>
        <v>IBU</v>
      </c>
      <c r="P7732" s="65">
        <f>VLOOKUP(E7732,DATABASE!C:Q,9,False)</f>
        <v>1</v>
      </c>
      <c r="Q7732" s="93" t="str">
        <f>VLOOKUP(E7732,DATABASE!C:Q,4,false)</f>
        <v>Dunlop</v>
      </c>
      <c r="R7732" s="93" t="str">
        <f>VLOOKUP(E7732,DATABASE!C:Q,11,false)</f>
        <v>Tire</v>
      </c>
    </row>
    <row r="7733" ht="22.5" customHeight="1">
      <c r="A7733" s="49"/>
      <c r="C7733" s="400">
        <v>46108.0</v>
      </c>
      <c r="D7733" s="524">
        <v>816.0</v>
      </c>
      <c r="E7733" s="544" t="s">
        <v>268</v>
      </c>
      <c r="F7733" s="387">
        <v>4.0</v>
      </c>
      <c r="G7733" s="140">
        <v>710000.0</v>
      </c>
      <c r="H7733" s="74"/>
      <c r="I7733" s="74">
        <f t="shared" si="1"/>
        <v>2840000</v>
      </c>
      <c r="J7733" s="74">
        <f>IF(E7733="SERVICE",I7733-(I7733*50%),Vlookup(E7733,DATABASE!C:Q,10,false)*F7733)</f>
        <v>0</v>
      </c>
      <c r="K7733" s="74">
        <f>VLOOKUP(E7733,DATABASE!C:Q,7,false)</f>
        <v>653000</v>
      </c>
      <c r="L7733" s="74">
        <v>622000.0</v>
      </c>
      <c r="M7733" s="74">
        <f t="shared" si="4"/>
        <v>625000</v>
      </c>
      <c r="N7733" s="74">
        <f t="shared" si="3"/>
        <v>340000</v>
      </c>
      <c r="O7733" s="65" t="str">
        <f>VLOOKUP(E7733,DATABASE!C:Q,8,false)</f>
        <v>IBU</v>
      </c>
      <c r="P7733" s="65">
        <f>VLOOKUP(E7733,DATABASE!C:Q,9,False)</f>
        <v>1</v>
      </c>
      <c r="Q7733" s="93" t="str">
        <f>VLOOKUP(E7733,DATABASE!C:Q,4,false)</f>
        <v>Dunlop</v>
      </c>
      <c r="R7733" s="93" t="str">
        <f>VLOOKUP(E7733,DATABASE!C:Q,11,false)</f>
        <v>Tire</v>
      </c>
    </row>
    <row r="7734" ht="22.5" customHeight="1">
      <c r="A7734" s="49"/>
      <c r="C7734" s="400">
        <v>46108.0</v>
      </c>
      <c r="D7734" s="524">
        <v>817.0</v>
      </c>
      <c r="E7734" s="544" t="s">
        <v>572</v>
      </c>
      <c r="F7734" s="387">
        <v>2.0</v>
      </c>
      <c r="G7734" s="140">
        <v>1370000.0</v>
      </c>
      <c r="H7734" s="140">
        <v>20000.0</v>
      </c>
      <c r="I7734" s="74">
        <f t="shared" si="1"/>
        <v>2700000</v>
      </c>
      <c r="J7734" s="74">
        <f>IF(E7734="SERVICE",I7734-(I7734*50%),Vlookup(E7734,DATABASE!C:Q,10,false)*F7734)</f>
        <v>0</v>
      </c>
      <c r="K7734" s="74">
        <f>VLOOKUP(E7734,DATABASE!C:Q,7,false)</f>
        <v>1265000</v>
      </c>
      <c r="L7734" s="74">
        <v>1245000.0</v>
      </c>
      <c r="M7734" s="74">
        <f t="shared" si="4"/>
        <v>1245000</v>
      </c>
      <c r="N7734" s="74">
        <f t="shared" si="3"/>
        <v>210000</v>
      </c>
      <c r="O7734" s="65" t="str">
        <f>VLOOKUP(E7734,DATABASE!C:Q,8,false)</f>
        <v>IBU</v>
      </c>
      <c r="P7734" s="65">
        <f>VLOOKUP(E7734,DATABASE!C:Q,9,False)</f>
        <v>1</v>
      </c>
      <c r="Q7734" s="93" t="str">
        <f>VLOOKUP(E7734,DATABASE!C:Q,4,false)</f>
        <v>Bridgestone</v>
      </c>
      <c r="R7734" s="93" t="str">
        <f>VLOOKUP(E7734,DATABASE!C:Q,11,false)</f>
        <v>Tire</v>
      </c>
    </row>
    <row r="7735" ht="22.5" customHeight="1">
      <c r="A7735" s="49"/>
      <c r="C7735" s="400">
        <v>46108.0</v>
      </c>
      <c r="D7735" s="524">
        <v>818.0</v>
      </c>
      <c r="E7735" s="544" t="s">
        <v>2611</v>
      </c>
      <c r="F7735" s="387">
        <v>2.0</v>
      </c>
      <c r="G7735" s="140">
        <v>115000.0</v>
      </c>
      <c r="H7735" s="74"/>
      <c r="I7735" s="74">
        <f t="shared" si="1"/>
        <v>230000</v>
      </c>
      <c r="J7735" s="74">
        <f>IF(E7735="SERVICE",I7735-(I7735*50%),Vlookup(E7735,DATABASE!C:Q,10,false)*F7735)</f>
        <v>0</v>
      </c>
      <c r="K7735" s="74">
        <f>VLOOKUP(E7735,DATABASE!C:Q,7,false)</f>
        <v>81000</v>
      </c>
      <c r="L7735" s="74">
        <v>81000.0</v>
      </c>
      <c r="M7735" s="74">
        <f t="shared" si="4"/>
        <v>85000</v>
      </c>
      <c r="N7735" s="74">
        <f t="shared" si="3"/>
        <v>60000</v>
      </c>
      <c r="O7735" s="65" t="str">
        <f>VLOOKUP(E7735,DATABASE!C:Q,8,false)</f>
        <v>BIAN</v>
      </c>
      <c r="P7735" s="65">
        <f>VLOOKUP(E7735,DATABASE!C:Q,9,False)</f>
        <v>1</v>
      </c>
      <c r="Q7735" s="93" t="str">
        <f>VLOOKUP(E7735,DATABASE!C:Q,4,false)</f>
        <v>BD IBK</v>
      </c>
      <c r="R7735" s="93" t="str">
        <f>VLOOKUP(E7735,DATABASE!C:Q,11,false)</f>
        <v>Tire</v>
      </c>
    </row>
    <row r="7736" ht="22.5" customHeight="1">
      <c r="A7736" s="49"/>
      <c r="C7736" s="400">
        <v>46108.0</v>
      </c>
      <c r="D7736" s="524">
        <v>819.0</v>
      </c>
      <c r="E7736" s="544" t="s">
        <v>955</v>
      </c>
      <c r="F7736" s="387">
        <v>2.0</v>
      </c>
      <c r="G7736" s="140">
        <v>770000.0</v>
      </c>
      <c r="H7736" s="74"/>
      <c r="I7736" s="74">
        <f t="shared" si="1"/>
        <v>1540000</v>
      </c>
      <c r="J7736" s="74">
        <f>IF(E7736="SERVICE",I7736-(I7736*50%),Vlookup(E7736,DATABASE!C:Q,10,false)*F7736)</f>
        <v>0</v>
      </c>
      <c r="K7736" s="74">
        <f>VLOOKUP(E7736,DATABASE!C:Q,7,false)</f>
        <v>712000</v>
      </c>
      <c r="L7736" s="74">
        <v>674000.0</v>
      </c>
      <c r="M7736" s="74">
        <f t="shared" si="4"/>
        <v>675000</v>
      </c>
      <c r="N7736" s="74">
        <f t="shared" si="3"/>
        <v>190000</v>
      </c>
      <c r="O7736" s="65" t="str">
        <f>VLOOKUP(E7736,DATABASE!C:Q,8,false)</f>
        <v>IBU</v>
      </c>
      <c r="P7736" s="65">
        <f>VLOOKUP(E7736,DATABASE!C:Q,9,False)</f>
        <v>1</v>
      </c>
      <c r="Q7736" s="93" t="str">
        <f>VLOOKUP(E7736,DATABASE!C:Q,4,false)</f>
        <v>Dunlop</v>
      </c>
      <c r="R7736" s="93" t="str">
        <f>VLOOKUP(E7736,DATABASE!C:Q,11,false)</f>
        <v>Tire</v>
      </c>
    </row>
    <row r="7737" ht="22.5" customHeight="1">
      <c r="A7737" s="49"/>
      <c r="C7737" s="400">
        <v>46108.0</v>
      </c>
      <c r="D7737" s="524">
        <v>820.0</v>
      </c>
      <c r="E7737" s="544" t="s">
        <v>299</v>
      </c>
      <c r="F7737" s="387">
        <v>2.0</v>
      </c>
      <c r="G7737" s="140">
        <v>30000.0</v>
      </c>
      <c r="H7737" s="74"/>
      <c r="I7737" s="74">
        <f t="shared" si="1"/>
        <v>60000</v>
      </c>
      <c r="J7737" s="74">
        <f>IF(E7737="SERVICE",I7737-(I7737*50%),Vlookup(E7737,DATABASE!C:Q,10,false)*F7737)</f>
        <v>0</v>
      </c>
      <c r="K7737" s="74">
        <f>VLOOKUP(E7737,DATABASE!C:Q,7,false)</f>
        <v>10000</v>
      </c>
      <c r="L7737" s="74">
        <v>10000.0</v>
      </c>
      <c r="M7737" s="74">
        <f t="shared" si="4"/>
        <v>10000</v>
      </c>
      <c r="N7737" s="74">
        <f t="shared" si="3"/>
        <v>40000</v>
      </c>
      <c r="O7737" s="65" t="str">
        <f>VLOOKUP(E7737,DATABASE!C:Q,8,false)</f>
        <v>BIAN</v>
      </c>
      <c r="P7737" s="65">
        <f>VLOOKUP(E7737,DATABASE!C:Q,9,False)</f>
        <v>0</v>
      </c>
      <c r="Q7737" s="93" t="str">
        <f>VLOOKUP(E7737,DATABASE!C:Q,4,false)</f>
        <v>Balancing</v>
      </c>
      <c r="R7737" s="93" t="str">
        <f>VLOOKUP(E7737,DATABASE!C:Q,11,false)</f>
        <v>COMPLEMENTARY</v>
      </c>
    </row>
    <row r="7738" ht="22.5" customHeight="1">
      <c r="A7738" s="49"/>
      <c r="C7738" s="400">
        <v>46108.0</v>
      </c>
      <c r="D7738" s="524">
        <v>821.0</v>
      </c>
      <c r="E7738" s="544" t="s">
        <v>271</v>
      </c>
      <c r="F7738" s="387">
        <v>1.0</v>
      </c>
      <c r="G7738" s="140">
        <v>630000.0</v>
      </c>
      <c r="H7738" s="74"/>
      <c r="I7738" s="74">
        <f t="shared" si="1"/>
        <v>630000</v>
      </c>
      <c r="J7738" s="74">
        <f>IF(E7738="SERVICE",I7738-(I7738*50%),Vlookup(E7738,DATABASE!C:Q,10,false)*F7738)</f>
        <v>0</v>
      </c>
      <c r="K7738" s="74">
        <f>VLOOKUP(E7738,DATABASE!C:Q,7,false)</f>
        <v>570000</v>
      </c>
      <c r="L7738" s="74">
        <v>539000.0</v>
      </c>
      <c r="M7738" s="74">
        <f t="shared" si="4"/>
        <v>540000</v>
      </c>
      <c r="N7738" s="74">
        <f t="shared" si="3"/>
        <v>90000</v>
      </c>
      <c r="O7738" s="65" t="str">
        <f>VLOOKUP(E7738,DATABASE!C:Q,8,false)</f>
        <v>IBU</v>
      </c>
      <c r="P7738" s="65">
        <f>VLOOKUP(E7738,DATABASE!C:Q,9,False)</f>
        <v>1</v>
      </c>
      <c r="Q7738" s="93" t="str">
        <f>VLOOKUP(E7738,DATABASE!C:Q,4,false)</f>
        <v>Dunlop</v>
      </c>
      <c r="R7738" s="93" t="str">
        <f>VLOOKUP(E7738,DATABASE!C:Q,11,false)</f>
        <v>Tire</v>
      </c>
    </row>
    <row r="7739" ht="22.5" customHeight="1">
      <c r="A7739" s="49"/>
      <c r="C7739" s="400">
        <v>46108.0</v>
      </c>
      <c r="D7739" s="524">
        <v>822.0</v>
      </c>
      <c r="E7739" s="544" t="s">
        <v>256</v>
      </c>
      <c r="F7739" s="387">
        <v>1.0</v>
      </c>
      <c r="G7739" s="140">
        <v>175000.0</v>
      </c>
      <c r="H7739" s="140">
        <v>25000.0</v>
      </c>
      <c r="I7739" s="74">
        <f t="shared" si="1"/>
        <v>150000</v>
      </c>
      <c r="J7739" s="74">
        <f>IF(E7739="SERVICE",I7739-(I7739*50%),Vlookup(E7739,DATABASE!C:Q,10,false)*F7739)</f>
        <v>10000</v>
      </c>
      <c r="K7739" s="74">
        <f>VLOOKUP(E7739,DATABASE!C:Q,7,false)</f>
        <v>0</v>
      </c>
      <c r="L7739" s="74">
        <v>0.0</v>
      </c>
      <c r="M7739" s="74">
        <f t="shared" si="4"/>
        <v>0</v>
      </c>
      <c r="N7739" s="74">
        <f t="shared" si="3"/>
        <v>140000</v>
      </c>
      <c r="O7739" s="65" t="str">
        <f>VLOOKUP(E7739,DATABASE!C:Q,8,false)</f>
        <v>IBU</v>
      </c>
      <c r="P7739" s="65">
        <f>VLOOKUP(E7739,DATABASE!C:Q,9,False)</f>
        <v>0</v>
      </c>
      <c r="Q7739" s="93" t="str">
        <f>VLOOKUP(E7739,DATABASE!C:Q,4,false)</f>
        <v>SPOORING</v>
      </c>
      <c r="R7739" s="93" t="str">
        <f>VLOOKUP(E7739,DATABASE!C:Q,11,false)</f>
        <v>SERVICE</v>
      </c>
    </row>
    <row r="7740" ht="22.5" customHeight="1">
      <c r="A7740" s="49"/>
      <c r="C7740" s="400">
        <v>46108.0</v>
      </c>
      <c r="D7740" s="524">
        <v>822.0</v>
      </c>
      <c r="E7740" s="544" t="s">
        <v>301</v>
      </c>
      <c r="F7740" s="387">
        <v>1.0</v>
      </c>
      <c r="G7740" s="140">
        <v>250000.0</v>
      </c>
      <c r="H7740" s="74"/>
      <c r="I7740" s="74">
        <f t="shared" si="1"/>
        <v>250000</v>
      </c>
      <c r="J7740" s="74">
        <f>IF(E7740="SERVICE",I7740-(I7740*50%),Vlookup(E7740,DATABASE!C:Q,10,false)*F7740)</f>
        <v>75000</v>
      </c>
      <c r="K7740" s="74">
        <f>VLOOKUP(E7740,DATABASE!C:Q,7,false)</f>
        <v>75000</v>
      </c>
      <c r="L7740" s="74">
        <v>75000.0</v>
      </c>
      <c r="M7740" s="74">
        <f t="shared" si="4"/>
        <v>75000</v>
      </c>
      <c r="N7740" s="74">
        <f t="shared" si="3"/>
        <v>100000</v>
      </c>
      <c r="O7740" s="65" t="str">
        <f>VLOOKUP(E7740,DATABASE!C:Q,8,false)</f>
        <v>BIAN</v>
      </c>
      <c r="P7740" s="65">
        <f>VLOOKUP(E7740,DATABASE!C:Q,9,False)</f>
        <v>0</v>
      </c>
      <c r="Q7740" s="93" t="str">
        <f>VLOOKUP(E7740,DATABASE!C:Q,4,false)</f>
        <v>Baut Camber</v>
      </c>
      <c r="R7740" s="93" t="str">
        <f>VLOOKUP(E7740,DATABASE!C:Q,11,false)</f>
        <v>COMPLEMENTARY</v>
      </c>
    </row>
    <row r="7741" ht="22.5" customHeight="1">
      <c r="A7741" s="49"/>
      <c r="C7741" s="400">
        <v>46108.0</v>
      </c>
      <c r="D7741" s="524">
        <v>822.0</v>
      </c>
      <c r="E7741" s="544" t="s">
        <v>299</v>
      </c>
      <c r="F7741" s="387">
        <v>2.0</v>
      </c>
      <c r="G7741" s="140">
        <v>30000.0</v>
      </c>
      <c r="H7741" s="74"/>
      <c r="I7741" s="74">
        <f t="shared" si="1"/>
        <v>60000</v>
      </c>
      <c r="J7741" s="74">
        <f>IF(E7741="SERVICE",I7741-(I7741*50%),Vlookup(E7741,DATABASE!C:Q,10,false)*F7741)</f>
        <v>0</v>
      </c>
      <c r="K7741" s="74">
        <f>VLOOKUP(E7741,DATABASE!C:Q,7,false)</f>
        <v>10000</v>
      </c>
      <c r="L7741" s="74">
        <v>10000.0</v>
      </c>
      <c r="M7741" s="74">
        <f t="shared" si="4"/>
        <v>10000</v>
      </c>
      <c r="N7741" s="74">
        <f t="shared" si="3"/>
        <v>40000</v>
      </c>
      <c r="O7741" s="65" t="str">
        <f>VLOOKUP(E7741,DATABASE!C:Q,8,false)</f>
        <v>BIAN</v>
      </c>
      <c r="P7741" s="65">
        <f>VLOOKUP(E7741,DATABASE!C:Q,9,False)</f>
        <v>0</v>
      </c>
      <c r="Q7741" s="93" t="str">
        <f>VLOOKUP(E7741,DATABASE!C:Q,4,false)</f>
        <v>Balancing</v>
      </c>
      <c r="R7741" s="93" t="str">
        <f>VLOOKUP(E7741,DATABASE!C:Q,11,false)</f>
        <v>COMPLEMENTARY</v>
      </c>
    </row>
    <row r="7742" ht="22.5" customHeight="1">
      <c r="A7742" s="49"/>
      <c r="C7742" s="400">
        <v>46108.0</v>
      </c>
      <c r="D7742" s="524">
        <v>822.0</v>
      </c>
      <c r="E7742" s="544" t="s">
        <v>263</v>
      </c>
      <c r="F7742" s="387">
        <v>1.0</v>
      </c>
      <c r="G7742" s="140">
        <v>320000.0</v>
      </c>
      <c r="H7742" s="74"/>
      <c r="I7742" s="74">
        <f t="shared" si="1"/>
        <v>320000</v>
      </c>
      <c r="J7742" s="74">
        <f>IF(E7742="SERVICE",I7742-(I7742*50%),Vlookup(E7742,DATABASE!C:Q,10,false)*F7742)</f>
        <v>0</v>
      </c>
      <c r="K7742" s="74">
        <f>VLOOKUP(E7742,DATABASE!C:Q,7,false)</f>
        <v>334916</v>
      </c>
      <c r="L7742" s="74">
        <v>287688.0</v>
      </c>
      <c r="M7742" s="74">
        <f t="shared" si="4"/>
        <v>290000</v>
      </c>
      <c r="N7742" s="74">
        <f t="shared" si="3"/>
        <v>30000</v>
      </c>
      <c r="O7742" s="65" t="str">
        <f>VLOOKUP(E7742,DATABASE!C:Q,8,false)</f>
        <v>NON</v>
      </c>
      <c r="P7742" s="65">
        <f>VLOOKUP(E7742,DATABASE!C:Q,9,False)</f>
        <v>0</v>
      </c>
      <c r="Q7742" s="93" t="str">
        <f>VLOOKUP(E7742,DATABASE!C:Q,4,false)</f>
        <v>Shell</v>
      </c>
      <c r="R7742" s="93" t="str">
        <f>VLOOKUP(E7742,DATABASE!C:Q,11,false)</f>
        <v>OIL</v>
      </c>
    </row>
    <row r="7743" ht="22.5" customHeight="1">
      <c r="A7743" s="49"/>
      <c r="C7743" s="400">
        <v>46108.0</v>
      </c>
      <c r="D7743" s="524">
        <v>823.0</v>
      </c>
      <c r="E7743" s="544" t="s">
        <v>288</v>
      </c>
      <c r="F7743" s="387">
        <v>1.0</v>
      </c>
      <c r="G7743" s="140">
        <v>620000.0</v>
      </c>
      <c r="H7743" s="74"/>
      <c r="I7743" s="74">
        <f t="shared" si="1"/>
        <v>620000</v>
      </c>
      <c r="J7743" s="74">
        <f>IF(E7743="SERVICE",I7743-(I7743*50%),Vlookup(E7743,DATABASE!C:Q,10,false)*F7743)</f>
        <v>0</v>
      </c>
      <c r="K7743" s="74">
        <f>VLOOKUP(E7743,DATABASE!C:Q,7,false)</f>
        <v>565760</v>
      </c>
      <c r="L7743" s="74">
        <v>524800.0</v>
      </c>
      <c r="M7743" s="74">
        <f t="shared" si="4"/>
        <v>525000</v>
      </c>
      <c r="N7743" s="74">
        <f t="shared" si="3"/>
        <v>95000</v>
      </c>
      <c r="O7743" s="65" t="str">
        <f>VLOOKUP(E7743,DATABASE!C:Q,8,false)</f>
        <v>BIAN</v>
      </c>
      <c r="P7743" s="65">
        <f>VLOOKUP(E7743,DATABASE!C:Q,9,False)</f>
        <v>1</v>
      </c>
      <c r="Q7743" s="93" t="str">
        <f>VLOOKUP(E7743,DATABASE!C:Q,4,false)</f>
        <v>GT</v>
      </c>
      <c r="R7743" s="93" t="str">
        <f>VLOOKUP(E7743,DATABASE!C:Q,11,false)</f>
        <v>Tire</v>
      </c>
    </row>
    <row r="7744" ht="22.5" customHeight="1">
      <c r="A7744" s="49"/>
      <c r="C7744" s="400">
        <v>46108.0</v>
      </c>
      <c r="D7744" s="524">
        <v>824.0</v>
      </c>
      <c r="E7744" s="544" t="s">
        <v>265</v>
      </c>
      <c r="F7744" s="387">
        <v>2.0</v>
      </c>
      <c r="G7744" s="140">
        <v>685000.0</v>
      </c>
      <c r="H7744" s="74"/>
      <c r="I7744" s="74">
        <f t="shared" si="1"/>
        <v>1370000</v>
      </c>
      <c r="J7744" s="74">
        <f>IF(E7744="SERVICE",I7744-(I7744*50%),Vlookup(E7744,DATABASE!C:Q,10,false)*F7744)</f>
        <v>0</v>
      </c>
      <c r="K7744" s="74">
        <f>VLOOKUP(E7744,DATABASE!C:Q,7,false)</f>
        <v>628000</v>
      </c>
      <c r="L7744" s="74">
        <v>600000.0</v>
      </c>
      <c r="M7744" s="74">
        <f t="shared" si="4"/>
        <v>600000</v>
      </c>
      <c r="N7744" s="74">
        <f t="shared" si="3"/>
        <v>170000</v>
      </c>
      <c r="O7744" s="65" t="str">
        <f>VLOOKUP(E7744,DATABASE!C:Q,8,false)</f>
        <v>IBU</v>
      </c>
      <c r="P7744" s="65">
        <f>VLOOKUP(E7744,DATABASE!C:Q,9,False)</f>
        <v>1</v>
      </c>
      <c r="Q7744" s="93" t="str">
        <f>VLOOKUP(E7744,DATABASE!C:Q,4,false)</f>
        <v>Dunlop</v>
      </c>
      <c r="R7744" s="93" t="str">
        <f>VLOOKUP(E7744,DATABASE!C:Q,11,false)</f>
        <v>Tire</v>
      </c>
    </row>
    <row r="7745" ht="22.5" customHeight="1">
      <c r="A7745" s="49"/>
      <c r="C7745" s="400">
        <v>46108.0</v>
      </c>
      <c r="D7745" s="524">
        <v>824.0</v>
      </c>
      <c r="E7745" s="544" t="s">
        <v>262</v>
      </c>
      <c r="F7745" s="387">
        <v>1.0</v>
      </c>
      <c r="G7745" s="140">
        <v>130000.0</v>
      </c>
      <c r="H7745" s="74"/>
      <c r="I7745" s="74">
        <f t="shared" si="1"/>
        <v>130000</v>
      </c>
      <c r="J7745" s="74">
        <f>IF(E7745="SERVICE",I7745-(I7745*50%),Vlookup(E7745,DATABASE!C:Q,10,false)*F7745)</f>
        <v>5000</v>
      </c>
      <c r="K7745" s="74">
        <f>VLOOKUP(E7745,DATABASE!C:Q,7,false)</f>
        <v>0</v>
      </c>
      <c r="L7745" s="74">
        <v>0.0</v>
      </c>
      <c r="M7745" s="74">
        <f t="shared" si="4"/>
        <v>0</v>
      </c>
      <c r="N7745" s="74">
        <f t="shared" si="3"/>
        <v>125000</v>
      </c>
      <c r="O7745" s="65" t="str">
        <f>VLOOKUP(E7745,DATABASE!C:Q,8,false)</f>
        <v>IBU</v>
      </c>
      <c r="P7745" s="65">
        <f>VLOOKUP(E7745,DATABASE!C:Q,9,False)</f>
        <v>0</v>
      </c>
      <c r="Q7745" s="93" t="str">
        <f>VLOOKUP(E7745,DATABASE!C:Q,4,false)</f>
        <v>SPOORING SS/CARRY LOS BAK</v>
      </c>
      <c r="R7745" s="93" t="str">
        <f>VLOOKUP(E7745,DATABASE!C:Q,11,false)</f>
        <v>SERVICE</v>
      </c>
    </row>
    <row r="7746" ht="22.5" customHeight="1">
      <c r="A7746" s="49"/>
      <c r="C7746" s="400">
        <v>46108.0</v>
      </c>
      <c r="D7746" s="524">
        <v>824.0</v>
      </c>
      <c r="E7746" s="544" t="s">
        <v>478</v>
      </c>
      <c r="F7746" s="387">
        <v>1.0</v>
      </c>
      <c r="G7746" s="140">
        <v>200000.0</v>
      </c>
      <c r="H7746" s="74"/>
      <c r="I7746" s="74">
        <f t="shared" si="1"/>
        <v>200000</v>
      </c>
      <c r="J7746" s="74">
        <f>IF(E7746="SERVICE",I7746-(I7746*50%),Vlookup(E7746,DATABASE!C:Q,10,false)*F7746)</f>
        <v>25000</v>
      </c>
      <c r="K7746" s="74">
        <f>VLOOKUP(E7746,DATABASE!C:Q,7,false)</f>
        <v>75000</v>
      </c>
      <c r="L7746" s="74">
        <v>75000.0</v>
      </c>
      <c r="M7746" s="74">
        <f t="shared" si="4"/>
        <v>75000</v>
      </c>
      <c r="N7746" s="74">
        <f t="shared" si="3"/>
        <v>100000</v>
      </c>
      <c r="O7746" s="65" t="str">
        <f>VLOOKUP(E7746,DATABASE!C:Q,8,false)</f>
        <v>BIAN</v>
      </c>
      <c r="P7746" s="65">
        <f>VLOOKUP(E7746,DATABASE!C:Q,9,False)</f>
        <v>0</v>
      </c>
      <c r="Q7746" s="93" t="str">
        <f>VLOOKUP(E7746,DATABASE!C:Q,4,false)</f>
        <v>Baut Camber ss-carry</v>
      </c>
      <c r="R7746" s="93" t="str">
        <f>VLOOKUP(E7746,DATABASE!C:Q,11,false)</f>
        <v>COMPLEMENTARY</v>
      </c>
    </row>
    <row r="7747" ht="22.5" customHeight="1">
      <c r="A7747" s="49"/>
      <c r="C7747" s="400">
        <v>46108.0</v>
      </c>
      <c r="D7747" s="524">
        <v>825.0</v>
      </c>
      <c r="E7747" s="544" t="s">
        <v>268</v>
      </c>
      <c r="F7747" s="387">
        <v>2.0</v>
      </c>
      <c r="G7747" s="140">
        <v>710000.0</v>
      </c>
      <c r="H7747" s="74"/>
      <c r="I7747" s="74">
        <f t="shared" si="1"/>
        <v>1420000</v>
      </c>
      <c r="J7747" s="74">
        <f>IF(E7747="SERVICE",I7747-(I7747*50%),Vlookup(E7747,DATABASE!C:Q,10,false)*F7747)</f>
        <v>0</v>
      </c>
      <c r="K7747" s="74">
        <f>VLOOKUP(E7747,DATABASE!C:Q,7,false)</f>
        <v>653000</v>
      </c>
      <c r="L7747" s="74">
        <v>622000.0</v>
      </c>
      <c r="M7747" s="74">
        <f t="shared" si="4"/>
        <v>625000</v>
      </c>
      <c r="N7747" s="74">
        <f t="shared" si="3"/>
        <v>170000</v>
      </c>
      <c r="O7747" s="65" t="str">
        <f>VLOOKUP(E7747,DATABASE!C:Q,8,false)</f>
        <v>IBU</v>
      </c>
      <c r="P7747" s="65">
        <f>VLOOKUP(E7747,DATABASE!C:Q,9,False)</f>
        <v>1</v>
      </c>
      <c r="Q7747" s="93" t="str">
        <f>VLOOKUP(E7747,DATABASE!C:Q,4,false)</f>
        <v>Dunlop</v>
      </c>
      <c r="R7747" s="93" t="str">
        <f>VLOOKUP(E7747,DATABASE!C:Q,11,false)</f>
        <v>Tire</v>
      </c>
    </row>
    <row r="7748" ht="22.5" customHeight="1">
      <c r="A7748" s="49"/>
      <c r="C7748" s="400">
        <v>46108.0</v>
      </c>
      <c r="D7748" s="524">
        <v>826.0</v>
      </c>
      <c r="E7748" s="544" t="s">
        <v>1133</v>
      </c>
      <c r="F7748" s="387">
        <v>2.0</v>
      </c>
      <c r="G7748" s="140">
        <v>835000.0</v>
      </c>
      <c r="H7748" s="74"/>
      <c r="I7748" s="74">
        <f t="shared" si="1"/>
        <v>1670000</v>
      </c>
      <c r="J7748" s="74">
        <f>IF(E7748="SERVICE",I7748-(I7748*50%),Vlookup(E7748,DATABASE!C:Q,10,false)*F7748)</f>
        <v>0</v>
      </c>
      <c r="K7748" s="74">
        <f>VLOOKUP(E7748,DATABASE!C:Q,7,false)</f>
        <v>759539.2</v>
      </c>
      <c r="L7748" s="74">
        <v>733824.0</v>
      </c>
      <c r="M7748" s="74">
        <f t="shared" si="4"/>
        <v>735000</v>
      </c>
      <c r="N7748" s="74">
        <f t="shared" si="3"/>
        <v>200000</v>
      </c>
      <c r="O7748" s="65" t="str">
        <f>VLOOKUP(E7748,DATABASE!C:Q,8,false)</f>
        <v>IBU</v>
      </c>
      <c r="P7748" s="65">
        <f>VLOOKUP(E7748,DATABASE!C:Q,9,False)</f>
        <v>1</v>
      </c>
      <c r="Q7748" s="93" t="str">
        <f>VLOOKUP(E7748,DATABASE!C:Q,4,false)</f>
        <v>Bridgestone</v>
      </c>
      <c r="R7748" s="93" t="str">
        <f>VLOOKUP(E7748,DATABASE!C:Q,11,false)</f>
        <v>Tire</v>
      </c>
    </row>
    <row r="7749" ht="22.5" customHeight="1">
      <c r="A7749" s="49"/>
      <c r="C7749" s="400">
        <v>46108.0</v>
      </c>
      <c r="D7749" s="524">
        <v>827.0</v>
      </c>
      <c r="E7749" s="544" t="s">
        <v>554</v>
      </c>
      <c r="F7749" s="387">
        <v>4.0</v>
      </c>
      <c r="G7749" s="140">
        <v>790000.0</v>
      </c>
      <c r="H7749" s="74"/>
      <c r="I7749" s="74">
        <f t="shared" si="1"/>
        <v>3160000</v>
      </c>
      <c r="J7749" s="74">
        <f>IF(E7749="SERVICE",I7749-(I7749*50%),Vlookup(E7749,DATABASE!C:Q,10,false)*F7749)</f>
        <v>0</v>
      </c>
      <c r="K7749" s="74">
        <f>VLOOKUP(E7749,DATABASE!C:Q,7,false)</f>
        <v>710000</v>
      </c>
      <c r="L7749" s="74">
        <v>705000.0</v>
      </c>
      <c r="M7749" s="74">
        <f t="shared" si="4"/>
        <v>705000</v>
      </c>
      <c r="N7749" s="74">
        <f t="shared" si="3"/>
        <v>340000</v>
      </c>
      <c r="O7749" s="65" t="str">
        <f>VLOOKUP(E7749,DATABASE!C:Q,8,false)</f>
        <v>IBU</v>
      </c>
      <c r="P7749" s="65">
        <f>VLOOKUP(E7749,DATABASE!C:Q,9,False)</f>
        <v>1</v>
      </c>
      <c r="Q7749" s="93" t="str">
        <f>VLOOKUP(E7749,DATABASE!C:Q,4,false)</f>
        <v>Bridgestone</v>
      </c>
      <c r="R7749" s="93" t="str">
        <f>VLOOKUP(E7749,DATABASE!C:Q,11,false)</f>
        <v>Tire</v>
      </c>
    </row>
    <row r="7750" ht="22.5" customHeight="1">
      <c r="A7750" s="49"/>
      <c r="C7750" s="400">
        <v>46108.0</v>
      </c>
      <c r="D7750" s="524">
        <v>828.0</v>
      </c>
      <c r="E7750" s="544" t="s">
        <v>256</v>
      </c>
      <c r="F7750" s="387">
        <v>1.0</v>
      </c>
      <c r="G7750" s="140">
        <v>175000.0</v>
      </c>
      <c r="H7750" s="140">
        <v>25000.0</v>
      </c>
      <c r="I7750" s="74">
        <f t="shared" si="1"/>
        <v>150000</v>
      </c>
      <c r="J7750" s="74">
        <f>IF(E7750="SERVICE",I7750-(I7750*50%),Vlookup(E7750,DATABASE!C:Q,10,false)*F7750)</f>
        <v>10000</v>
      </c>
      <c r="K7750" s="74">
        <f>VLOOKUP(E7750,DATABASE!C:Q,7,false)</f>
        <v>0</v>
      </c>
      <c r="L7750" s="74">
        <v>0.0</v>
      </c>
      <c r="M7750" s="74">
        <f t="shared" si="4"/>
        <v>0</v>
      </c>
      <c r="N7750" s="74">
        <f t="shared" si="3"/>
        <v>140000</v>
      </c>
      <c r="O7750" s="65" t="str">
        <f>VLOOKUP(E7750,DATABASE!C:Q,8,false)</f>
        <v>IBU</v>
      </c>
      <c r="P7750" s="65">
        <f>VLOOKUP(E7750,DATABASE!C:Q,9,False)</f>
        <v>0</v>
      </c>
      <c r="Q7750" s="93" t="str">
        <f>VLOOKUP(E7750,DATABASE!C:Q,4,false)</f>
        <v>SPOORING</v>
      </c>
      <c r="R7750" s="93" t="str">
        <f>VLOOKUP(E7750,DATABASE!C:Q,11,false)</f>
        <v>SERVICE</v>
      </c>
    </row>
    <row r="7751" ht="22.5" customHeight="1">
      <c r="A7751" s="49"/>
      <c r="C7751" s="400">
        <v>46108.0</v>
      </c>
      <c r="D7751" s="524">
        <v>828.0</v>
      </c>
      <c r="E7751" s="544" t="s">
        <v>301</v>
      </c>
      <c r="F7751" s="387">
        <v>1.0</v>
      </c>
      <c r="G7751" s="140">
        <v>250000.0</v>
      </c>
      <c r="H7751" s="74"/>
      <c r="I7751" s="74">
        <f t="shared" si="1"/>
        <v>250000</v>
      </c>
      <c r="J7751" s="74">
        <f>IF(E7751="SERVICE",I7751-(I7751*50%),Vlookup(E7751,DATABASE!C:Q,10,false)*F7751)</f>
        <v>75000</v>
      </c>
      <c r="K7751" s="74">
        <f>VLOOKUP(E7751,DATABASE!C:Q,7,false)</f>
        <v>75000</v>
      </c>
      <c r="L7751" s="74">
        <v>75000.0</v>
      </c>
      <c r="M7751" s="74">
        <f t="shared" si="4"/>
        <v>75000</v>
      </c>
      <c r="N7751" s="74">
        <f t="shared" si="3"/>
        <v>100000</v>
      </c>
      <c r="O7751" s="65" t="str">
        <f>VLOOKUP(E7751,DATABASE!C:Q,8,false)</f>
        <v>BIAN</v>
      </c>
      <c r="P7751" s="65">
        <f>VLOOKUP(E7751,DATABASE!C:Q,9,False)</f>
        <v>0</v>
      </c>
      <c r="Q7751" s="93" t="str">
        <f>VLOOKUP(E7751,DATABASE!C:Q,4,false)</f>
        <v>Baut Camber</v>
      </c>
      <c r="R7751" s="93" t="str">
        <f>VLOOKUP(E7751,DATABASE!C:Q,11,false)</f>
        <v>COMPLEMENTARY</v>
      </c>
    </row>
    <row r="7752" ht="22.5" customHeight="1">
      <c r="A7752" s="49"/>
      <c r="C7752" s="400">
        <v>46108.0</v>
      </c>
      <c r="D7752" s="524">
        <v>829.0</v>
      </c>
      <c r="E7752" s="544" t="s">
        <v>275</v>
      </c>
      <c r="F7752" s="387">
        <v>2.0</v>
      </c>
      <c r="G7752" s="140">
        <v>830000.0</v>
      </c>
      <c r="H7752" s="74"/>
      <c r="I7752" s="74">
        <f t="shared" si="1"/>
        <v>1660000</v>
      </c>
      <c r="J7752" s="74">
        <f>IF(E7752="SERVICE",I7752-(I7752*50%),Vlookup(E7752,DATABASE!C:Q,10,false)*F7752)</f>
        <v>0</v>
      </c>
      <c r="K7752" s="74">
        <f>VLOOKUP(E7752,DATABASE!C:Q,7,false)</f>
        <v>782000</v>
      </c>
      <c r="L7752" s="74">
        <v>745000.0</v>
      </c>
      <c r="M7752" s="74">
        <f t="shared" si="4"/>
        <v>745000</v>
      </c>
      <c r="N7752" s="74">
        <f t="shared" si="3"/>
        <v>170000</v>
      </c>
      <c r="O7752" s="69" t="s">
        <v>1329</v>
      </c>
      <c r="P7752" s="69">
        <v>0.0</v>
      </c>
      <c r="Q7752" s="93" t="str">
        <f>VLOOKUP(E7752,DATABASE!C:Q,4,false)</f>
        <v>Dunlop</v>
      </c>
      <c r="R7752" s="93" t="str">
        <f>VLOOKUP(E7752,DATABASE!C:Q,11,false)</f>
        <v>Tire</v>
      </c>
    </row>
    <row r="7753" ht="22.5" customHeight="1">
      <c r="A7753" s="49"/>
      <c r="C7753" s="400">
        <v>46108.0</v>
      </c>
      <c r="D7753" s="524">
        <v>829.0</v>
      </c>
      <c r="E7753" s="544" t="s">
        <v>299</v>
      </c>
      <c r="F7753" s="387">
        <v>2.0</v>
      </c>
      <c r="G7753" s="140">
        <v>30000.0</v>
      </c>
      <c r="H7753" s="74"/>
      <c r="I7753" s="74">
        <f t="shared" si="1"/>
        <v>60000</v>
      </c>
      <c r="J7753" s="74">
        <f>IF(E7753="SERVICE",I7753-(I7753*50%),Vlookup(E7753,DATABASE!C:Q,10,false)*F7753)</f>
        <v>0</v>
      </c>
      <c r="K7753" s="74">
        <f>VLOOKUP(E7753,DATABASE!C:Q,7,false)</f>
        <v>10000</v>
      </c>
      <c r="L7753" s="74">
        <v>10000.0</v>
      </c>
      <c r="M7753" s="74">
        <f t="shared" si="4"/>
        <v>10000</v>
      </c>
      <c r="N7753" s="74">
        <f t="shared" si="3"/>
        <v>40000</v>
      </c>
      <c r="O7753" s="65" t="str">
        <f>VLOOKUP(E7753,DATABASE!C:Q,8,false)</f>
        <v>BIAN</v>
      </c>
      <c r="P7753" s="65">
        <f>VLOOKUP(E7753,DATABASE!C:Q,9,False)</f>
        <v>0</v>
      </c>
      <c r="Q7753" s="93" t="str">
        <f>VLOOKUP(E7753,DATABASE!C:Q,4,false)</f>
        <v>Balancing</v>
      </c>
      <c r="R7753" s="93" t="str">
        <f>VLOOKUP(E7753,DATABASE!C:Q,11,false)</f>
        <v>COMPLEMENTARY</v>
      </c>
    </row>
    <row r="7754" ht="22.5" customHeight="1">
      <c r="A7754" s="49"/>
      <c r="C7754" s="400">
        <v>46108.0</v>
      </c>
      <c r="D7754" s="524">
        <v>829.0</v>
      </c>
      <c r="E7754" s="544" t="s">
        <v>262</v>
      </c>
      <c r="F7754" s="387">
        <v>1.0</v>
      </c>
      <c r="G7754" s="140">
        <v>130000.0</v>
      </c>
      <c r="H7754" s="74"/>
      <c r="I7754" s="74">
        <f t="shared" si="1"/>
        <v>130000</v>
      </c>
      <c r="J7754" s="74">
        <f>IF(E7754="SERVICE",I7754-(I7754*50%),Vlookup(E7754,DATABASE!C:Q,10,false)*F7754)</f>
        <v>5000</v>
      </c>
      <c r="K7754" s="74">
        <f>VLOOKUP(E7754,DATABASE!C:Q,7,false)</f>
        <v>0</v>
      </c>
      <c r="L7754" s="74">
        <v>0.0</v>
      </c>
      <c r="M7754" s="74">
        <f t="shared" si="4"/>
        <v>0</v>
      </c>
      <c r="N7754" s="74">
        <f t="shared" si="3"/>
        <v>125000</v>
      </c>
      <c r="O7754" s="65" t="str">
        <f>VLOOKUP(E7754,DATABASE!C:Q,8,false)</f>
        <v>IBU</v>
      </c>
      <c r="P7754" s="65">
        <f>VLOOKUP(E7754,DATABASE!C:Q,9,False)</f>
        <v>0</v>
      </c>
      <c r="Q7754" s="93" t="str">
        <f>VLOOKUP(E7754,DATABASE!C:Q,4,false)</f>
        <v>SPOORING SS/CARRY LOS BAK</v>
      </c>
      <c r="R7754" s="93" t="str">
        <f>VLOOKUP(E7754,DATABASE!C:Q,11,false)</f>
        <v>SERVICE</v>
      </c>
    </row>
    <row r="7755" ht="22.5" customHeight="1">
      <c r="A7755" s="49"/>
      <c r="C7755" s="400">
        <v>46108.0</v>
      </c>
      <c r="D7755" s="524">
        <v>829.0</v>
      </c>
      <c r="E7755" s="544" t="s">
        <v>478</v>
      </c>
      <c r="F7755" s="387">
        <v>1.0</v>
      </c>
      <c r="G7755" s="140">
        <v>200000.0</v>
      </c>
      <c r="H7755" s="74"/>
      <c r="I7755" s="74">
        <f t="shared" si="1"/>
        <v>200000</v>
      </c>
      <c r="J7755" s="74">
        <f>IF(E7755="SERVICE",I7755-(I7755*50%),Vlookup(E7755,DATABASE!C:Q,10,false)*F7755)</f>
        <v>25000</v>
      </c>
      <c r="K7755" s="74">
        <f>VLOOKUP(E7755,DATABASE!C:Q,7,false)</f>
        <v>75000</v>
      </c>
      <c r="L7755" s="74">
        <v>75000.0</v>
      </c>
      <c r="M7755" s="74">
        <f t="shared" si="4"/>
        <v>75000</v>
      </c>
      <c r="N7755" s="74">
        <f t="shared" si="3"/>
        <v>100000</v>
      </c>
      <c r="O7755" s="65" t="str">
        <f>VLOOKUP(E7755,DATABASE!C:Q,8,false)</f>
        <v>BIAN</v>
      </c>
      <c r="P7755" s="65">
        <f>VLOOKUP(E7755,DATABASE!C:Q,9,False)</f>
        <v>0</v>
      </c>
      <c r="Q7755" s="93" t="str">
        <f>VLOOKUP(E7755,DATABASE!C:Q,4,false)</f>
        <v>Baut Camber ss-carry</v>
      </c>
      <c r="R7755" s="93" t="str">
        <f>VLOOKUP(E7755,DATABASE!C:Q,11,false)</f>
        <v>COMPLEMENTARY</v>
      </c>
    </row>
    <row r="7756" ht="22.5" customHeight="1">
      <c r="A7756" s="49"/>
      <c r="C7756" s="400">
        <v>46108.0</v>
      </c>
      <c r="D7756" s="524">
        <v>830.0</v>
      </c>
      <c r="E7756" s="544" t="s">
        <v>256</v>
      </c>
      <c r="F7756" s="387">
        <v>1.0</v>
      </c>
      <c r="G7756" s="140">
        <v>175000.0</v>
      </c>
      <c r="H7756" s="140">
        <v>25000.0</v>
      </c>
      <c r="I7756" s="74">
        <f t="shared" si="1"/>
        <v>150000</v>
      </c>
      <c r="J7756" s="74">
        <f>IF(E7756="SERVICE",I7756-(I7756*50%),Vlookup(E7756,DATABASE!C:Q,10,false)*F7756)</f>
        <v>10000</v>
      </c>
      <c r="K7756" s="74">
        <f>VLOOKUP(E7756,DATABASE!C:Q,7,false)</f>
        <v>0</v>
      </c>
      <c r="L7756" s="74">
        <v>0.0</v>
      </c>
      <c r="M7756" s="74">
        <f t="shared" si="4"/>
        <v>0</v>
      </c>
      <c r="N7756" s="74">
        <f t="shared" si="3"/>
        <v>140000</v>
      </c>
      <c r="O7756" s="65" t="str">
        <f>VLOOKUP(E7756,DATABASE!C:Q,8,false)</f>
        <v>IBU</v>
      </c>
      <c r="P7756" s="65">
        <f>VLOOKUP(E7756,DATABASE!C:Q,9,False)</f>
        <v>0</v>
      </c>
      <c r="Q7756" s="93" t="str">
        <f>VLOOKUP(E7756,DATABASE!C:Q,4,false)</f>
        <v>SPOORING</v>
      </c>
      <c r="R7756" s="93" t="str">
        <f>VLOOKUP(E7756,DATABASE!C:Q,11,false)</f>
        <v>SERVICE</v>
      </c>
    </row>
    <row r="7757" ht="22.5" customHeight="1">
      <c r="A7757" s="49"/>
      <c r="C7757" s="400">
        <v>46108.0</v>
      </c>
      <c r="D7757" s="524">
        <v>831.0</v>
      </c>
      <c r="E7757" s="544" t="s">
        <v>955</v>
      </c>
      <c r="F7757" s="387">
        <v>1.0</v>
      </c>
      <c r="G7757" s="140">
        <v>770000.0</v>
      </c>
      <c r="H7757" s="74"/>
      <c r="I7757" s="74">
        <f t="shared" si="1"/>
        <v>770000</v>
      </c>
      <c r="J7757" s="74">
        <f>IF(E7757="SERVICE",I7757-(I7757*50%),Vlookup(E7757,DATABASE!C:Q,10,false)*F7757)</f>
        <v>0</v>
      </c>
      <c r="K7757" s="74">
        <f>VLOOKUP(E7757,DATABASE!C:Q,7,false)</f>
        <v>712000</v>
      </c>
      <c r="L7757" s="74">
        <v>674000.0</v>
      </c>
      <c r="M7757" s="74">
        <f t="shared" si="4"/>
        <v>675000</v>
      </c>
      <c r="N7757" s="74">
        <f t="shared" si="3"/>
        <v>95000</v>
      </c>
      <c r="O7757" s="65" t="str">
        <f>VLOOKUP(E7757,DATABASE!C:Q,8,false)</f>
        <v>IBU</v>
      </c>
      <c r="P7757" s="65">
        <f>VLOOKUP(E7757,DATABASE!C:Q,9,False)</f>
        <v>1</v>
      </c>
      <c r="Q7757" s="93" t="str">
        <f>VLOOKUP(E7757,DATABASE!C:Q,4,false)</f>
        <v>Dunlop</v>
      </c>
      <c r="R7757" s="93" t="str">
        <f>VLOOKUP(E7757,DATABASE!C:Q,11,false)</f>
        <v>Tire</v>
      </c>
    </row>
    <row r="7758" ht="22.5" customHeight="1">
      <c r="A7758" s="49"/>
      <c r="C7758" s="400">
        <v>46108.0</v>
      </c>
      <c r="D7758" s="524">
        <v>831.0</v>
      </c>
      <c r="E7758" s="544" t="s">
        <v>263</v>
      </c>
      <c r="F7758" s="387">
        <v>1.0</v>
      </c>
      <c r="G7758" s="140">
        <v>320000.0</v>
      </c>
      <c r="H7758" s="74"/>
      <c r="I7758" s="74">
        <f t="shared" si="1"/>
        <v>320000</v>
      </c>
      <c r="J7758" s="74">
        <f>IF(E7758="SERVICE",I7758-(I7758*50%),Vlookup(E7758,DATABASE!C:Q,10,false)*F7758)</f>
        <v>0</v>
      </c>
      <c r="K7758" s="74">
        <f>VLOOKUP(E7758,DATABASE!C:Q,7,false)</f>
        <v>334916</v>
      </c>
      <c r="L7758" s="74">
        <v>287688.0</v>
      </c>
      <c r="M7758" s="74">
        <f t="shared" si="4"/>
        <v>290000</v>
      </c>
      <c r="N7758" s="74">
        <f t="shared" si="3"/>
        <v>30000</v>
      </c>
      <c r="O7758" s="65" t="str">
        <f>VLOOKUP(E7758,DATABASE!C:Q,8,false)</f>
        <v>NON</v>
      </c>
      <c r="P7758" s="65">
        <f>VLOOKUP(E7758,DATABASE!C:Q,9,False)</f>
        <v>0</v>
      </c>
      <c r="Q7758" s="93" t="str">
        <f>VLOOKUP(E7758,DATABASE!C:Q,4,false)</f>
        <v>Shell</v>
      </c>
      <c r="R7758" s="93" t="str">
        <f>VLOOKUP(E7758,DATABASE!C:Q,11,false)</f>
        <v>OIL</v>
      </c>
    </row>
    <row r="7759" ht="22.5" customHeight="1">
      <c r="A7759" s="49"/>
      <c r="C7759" s="400">
        <v>46108.0</v>
      </c>
      <c r="D7759" s="524">
        <v>832.0</v>
      </c>
      <c r="E7759" s="544" t="s">
        <v>256</v>
      </c>
      <c r="F7759" s="387">
        <v>1.0</v>
      </c>
      <c r="G7759" s="140">
        <v>175000.0</v>
      </c>
      <c r="H7759" s="140">
        <v>25000.0</v>
      </c>
      <c r="I7759" s="74">
        <f t="shared" si="1"/>
        <v>150000</v>
      </c>
      <c r="J7759" s="74">
        <f>IF(E7759="SERVICE",I7759-(I7759*50%),Vlookup(E7759,DATABASE!C:Q,10,false)*F7759)</f>
        <v>10000</v>
      </c>
      <c r="K7759" s="74">
        <f>VLOOKUP(E7759,DATABASE!C:Q,7,false)</f>
        <v>0</v>
      </c>
      <c r="L7759" s="74">
        <v>0.0</v>
      </c>
      <c r="M7759" s="74">
        <f t="shared" si="4"/>
        <v>0</v>
      </c>
      <c r="N7759" s="74">
        <f t="shared" si="3"/>
        <v>140000</v>
      </c>
      <c r="O7759" s="65" t="str">
        <f>VLOOKUP(E7759,DATABASE!C:Q,8,false)</f>
        <v>IBU</v>
      </c>
      <c r="P7759" s="65">
        <f>VLOOKUP(E7759,DATABASE!C:Q,9,False)</f>
        <v>0</v>
      </c>
      <c r="Q7759" s="93" t="str">
        <f>VLOOKUP(E7759,DATABASE!C:Q,4,false)</f>
        <v>SPOORING</v>
      </c>
      <c r="R7759" s="93" t="str">
        <f>VLOOKUP(E7759,DATABASE!C:Q,11,false)</f>
        <v>SERVICE</v>
      </c>
    </row>
    <row r="7760" ht="22.5" customHeight="1">
      <c r="A7760" s="49"/>
      <c r="C7760" s="400">
        <v>46108.0</v>
      </c>
      <c r="D7760" s="524">
        <v>832.0</v>
      </c>
      <c r="E7760" s="544" t="s">
        <v>301</v>
      </c>
      <c r="F7760" s="387">
        <v>1.0</v>
      </c>
      <c r="G7760" s="140">
        <v>250000.0</v>
      </c>
      <c r="H7760" s="74"/>
      <c r="I7760" s="74">
        <f t="shared" si="1"/>
        <v>250000</v>
      </c>
      <c r="J7760" s="74">
        <f>IF(E7760="SERVICE",I7760-(I7760*50%),Vlookup(E7760,DATABASE!C:Q,10,false)*F7760)</f>
        <v>75000</v>
      </c>
      <c r="K7760" s="74">
        <f>VLOOKUP(E7760,DATABASE!C:Q,7,false)</f>
        <v>75000</v>
      </c>
      <c r="L7760" s="74">
        <v>75000.0</v>
      </c>
      <c r="M7760" s="74">
        <f t="shared" si="4"/>
        <v>75000</v>
      </c>
      <c r="N7760" s="74">
        <f t="shared" si="3"/>
        <v>100000</v>
      </c>
      <c r="O7760" s="65" t="str">
        <f>VLOOKUP(E7760,DATABASE!C:Q,8,false)</f>
        <v>BIAN</v>
      </c>
      <c r="P7760" s="65">
        <f>VLOOKUP(E7760,DATABASE!C:Q,9,False)</f>
        <v>0</v>
      </c>
      <c r="Q7760" s="93" t="str">
        <f>VLOOKUP(E7760,DATABASE!C:Q,4,false)</f>
        <v>Baut Camber</v>
      </c>
      <c r="R7760" s="93" t="str">
        <f>VLOOKUP(E7760,DATABASE!C:Q,11,false)</f>
        <v>COMPLEMENTARY</v>
      </c>
    </row>
    <row r="7761" ht="22.5" customHeight="1">
      <c r="A7761" s="49"/>
      <c r="C7761" s="400">
        <v>46108.0</v>
      </c>
      <c r="D7761" s="524">
        <v>833.0</v>
      </c>
      <c r="E7761" s="544" t="s">
        <v>256</v>
      </c>
      <c r="F7761" s="387">
        <v>1.0</v>
      </c>
      <c r="G7761" s="140">
        <v>175000.0</v>
      </c>
      <c r="H7761" s="140">
        <v>25000.0</v>
      </c>
      <c r="I7761" s="74">
        <f t="shared" si="1"/>
        <v>150000</v>
      </c>
      <c r="J7761" s="74">
        <f>IF(E7761="SERVICE",I7761-(I7761*50%),Vlookup(E7761,DATABASE!C:Q,10,false)*F7761)</f>
        <v>10000</v>
      </c>
      <c r="K7761" s="74">
        <f>VLOOKUP(E7761,DATABASE!C:Q,7,false)</f>
        <v>0</v>
      </c>
      <c r="L7761" s="74">
        <v>0.0</v>
      </c>
      <c r="M7761" s="74">
        <f t="shared" si="4"/>
        <v>0</v>
      </c>
      <c r="N7761" s="74">
        <f t="shared" si="3"/>
        <v>140000</v>
      </c>
      <c r="O7761" s="65" t="str">
        <f>VLOOKUP(E7761,DATABASE!C:Q,8,false)</f>
        <v>IBU</v>
      </c>
      <c r="P7761" s="65">
        <f>VLOOKUP(E7761,DATABASE!C:Q,9,False)</f>
        <v>0</v>
      </c>
      <c r="Q7761" s="93" t="str">
        <f>VLOOKUP(E7761,DATABASE!C:Q,4,false)</f>
        <v>SPOORING</v>
      </c>
      <c r="R7761" s="93" t="str">
        <f>VLOOKUP(E7761,DATABASE!C:Q,11,false)</f>
        <v>SERVICE</v>
      </c>
    </row>
    <row r="7762" ht="22.5" customHeight="1">
      <c r="A7762" s="49"/>
      <c r="C7762" s="400">
        <v>46108.0</v>
      </c>
      <c r="D7762" s="524">
        <v>833.0</v>
      </c>
      <c r="E7762" s="544" t="s">
        <v>299</v>
      </c>
      <c r="F7762" s="387">
        <v>2.0</v>
      </c>
      <c r="G7762" s="140">
        <v>30000.0</v>
      </c>
      <c r="H7762" s="74"/>
      <c r="I7762" s="74">
        <f t="shared" si="1"/>
        <v>60000</v>
      </c>
      <c r="J7762" s="74">
        <f>IF(E7762="SERVICE",I7762-(I7762*50%),Vlookup(E7762,DATABASE!C:Q,10,false)*F7762)</f>
        <v>0</v>
      </c>
      <c r="K7762" s="74">
        <f>VLOOKUP(E7762,DATABASE!C:Q,7,false)</f>
        <v>10000</v>
      </c>
      <c r="L7762" s="74">
        <v>10000.0</v>
      </c>
      <c r="M7762" s="74">
        <f t="shared" si="4"/>
        <v>10000</v>
      </c>
      <c r="N7762" s="74">
        <f t="shared" si="3"/>
        <v>40000</v>
      </c>
      <c r="O7762" s="65" t="str">
        <f>VLOOKUP(E7762,DATABASE!C:Q,8,false)</f>
        <v>BIAN</v>
      </c>
      <c r="P7762" s="65">
        <f>VLOOKUP(E7762,DATABASE!C:Q,9,False)</f>
        <v>0</v>
      </c>
      <c r="Q7762" s="93" t="str">
        <f>VLOOKUP(E7762,DATABASE!C:Q,4,false)</f>
        <v>Balancing</v>
      </c>
      <c r="R7762" s="93" t="str">
        <f>VLOOKUP(E7762,DATABASE!C:Q,11,false)</f>
        <v>COMPLEMENTARY</v>
      </c>
    </row>
    <row r="7763" ht="22.5" customHeight="1">
      <c r="A7763" s="49"/>
      <c r="C7763" s="400">
        <v>46108.0</v>
      </c>
      <c r="D7763" s="524">
        <v>834.0</v>
      </c>
      <c r="E7763" s="544" t="s">
        <v>591</v>
      </c>
      <c r="F7763" s="387">
        <v>4.0</v>
      </c>
      <c r="G7763" s="140">
        <v>710000.0</v>
      </c>
      <c r="H7763" s="140">
        <v>10000.0</v>
      </c>
      <c r="I7763" s="74">
        <f t="shared" si="1"/>
        <v>2800000</v>
      </c>
      <c r="J7763" s="74">
        <f>IF(E7763="SERVICE",I7763-(I7763*50%),Vlookup(E7763,DATABASE!C:Q,10,false)*F7763)</f>
        <v>0</v>
      </c>
      <c r="K7763" s="74">
        <f>VLOOKUP(E7763,DATABASE!C:Q,7,false)</f>
        <v>633035.16</v>
      </c>
      <c r="L7763" s="74">
        <v>609844.4</v>
      </c>
      <c r="M7763" s="74">
        <f t="shared" si="4"/>
        <v>610000</v>
      </c>
      <c r="N7763" s="74">
        <f t="shared" si="3"/>
        <v>360000</v>
      </c>
      <c r="O7763" s="65" t="str">
        <f>VLOOKUP(E7763,DATABASE!C:Q,8,false)</f>
        <v>IBU</v>
      </c>
      <c r="P7763" s="65">
        <f>VLOOKUP(E7763,DATABASE!C:Q,9,False)</f>
        <v>1</v>
      </c>
      <c r="Q7763" s="93" t="str">
        <f>VLOOKUP(E7763,DATABASE!C:Q,4,false)</f>
        <v>Bridgestone</v>
      </c>
      <c r="R7763" s="93" t="str">
        <f>VLOOKUP(E7763,DATABASE!C:Q,11,false)</f>
        <v>Tire</v>
      </c>
    </row>
    <row r="7764" ht="22.5" customHeight="1">
      <c r="A7764" s="49"/>
      <c r="C7764" s="400">
        <v>46108.0</v>
      </c>
      <c r="D7764" s="524">
        <v>834.0</v>
      </c>
      <c r="E7764" s="544" t="s">
        <v>299</v>
      </c>
      <c r="F7764" s="387">
        <v>2.0</v>
      </c>
      <c r="G7764" s="140">
        <v>30000.0</v>
      </c>
      <c r="H7764" s="74"/>
      <c r="I7764" s="74">
        <f t="shared" si="1"/>
        <v>60000</v>
      </c>
      <c r="J7764" s="74">
        <f>IF(E7764="SERVICE",I7764-(I7764*50%),Vlookup(E7764,DATABASE!C:Q,10,false)*F7764)</f>
        <v>0</v>
      </c>
      <c r="K7764" s="74">
        <f>VLOOKUP(E7764,DATABASE!C:Q,7,false)</f>
        <v>10000</v>
      </c>
      <c r="L7764" s="74">
        <v>10000.0</v>
      </c>
      <c r="M7764" s="74">
        <f t="shared" si="4"/>
        <v>10000</v>
      </c>
      <c r="N7764" s="74">
        <f t="shared" si="3"/>
        <v>40000</v>
      </c>
      <c r="O7764" s="65" t="str">
        <f>VLOOKUP(E7764,DATABASE!C:Q,8,false)</f>
        <v>BIAN</v>
      </c>
      <c r="P7764" s="65">
        <f>VLOOKUP(E7764,DATABASE!C:Q,9,False)</f>
        <v>0</v>
      </c>
      <c r="Q7764" s="93" t="str">
        <f>VLOOKUP(E7764,DATABASE!C:Q,4,false)</f>
        <v>Balancing</v>
      </c>
      <c r="R7764" s="93" t="str">
        <f>VLOOKUP(E7764,DATABASE!C:Q,11,false)</f>
        <v>COMPLEMENTARY</v>
      </c>
    </row>
    <row r="7765" ht="22.5" customHeight="1">
      <c r="A7765" s="49"/>
      <c r="C7765" s="400">
        <v>46108.0</v>
      </c>
      <c r="D7765" s="69" t="s">
        <v>2760</v>
      </c>
      <c r="E7765" s="544" t="s">
        <v>263</v>
      </c>
      <c r="F7765" s="387">
        <v>1.0</v>
      </c>
      <c r="G7765" s="140">
        <v>320000.0</v>
      </c>
      <c r="H7765" s="74"/>
      <c r="I7765" s="74">
        <f t="shared" si="1"/>
        <v>320000</v>
      </c>
      <c r="J7765" s="74">
        <f>IF(E7765="SERVICE",I7765-(I7765*50%),Vlookup(E7765,DATABASE!C:Q,10,false)*F7765)</f>
        <v>0</v>
      </c>
      <c r="K7765" s="74">
        <f>VLOOKUP(E7765,DATABASE!C:Q,7,false)</f>
        <v>334916</v>
      </c>
      <c r="L7765" s="74">
        <v>287688.0</v>
      </c>
      <c r="M7765" s="74">
        <f t="shared" si="4"/>
        <v>290000</v>
      </c>
      <c r="N7765" s="74">
        <f t="shared" si="3"/>
        <v>30000</v>
      </c>
      <c r="O7765" s="65" t="str">
        <f>VLOOKUP(E7765,DATABASE!C:Q,8,false)</f>
        <v>NON</v>
      </c>
      <c r="P7765" s="65">
        <f>VLOOKUP(E7765,DATABASE!C:Q,9,False)</f>
        <v>0</v>
      </c>
      <c r="Q7765" s="93" t="str">
        <f>VLOOKUP(E7765,DATABASE!C:Q,4,false)</f>
        <v>Shell</v>
      </c>
      <c r="R7765" s="93" t="str">
        <f>VLOOKUP(E7765,DATABASE!C:Q,11,false)</f>
        <v>OIL</v>
      </c>
    </row>
    <row r="7766" ht="22.5" customHeight="1">
      <c r="A7766" s="49"/>
      <c r="C7766" s="400">
        <v>46108.0</v>
      </c>
      <c r="D7766" s="69" t="s">
        <v>2761</v>
      </c>
      <c r="E7766" s="544" t="s">
        <v>263</v>
      </c>
      <c r="F7766" s="387">
        <v>1.0</v>
      </c>
      <c r="G7766" s="140">
        <v>320000.0</v>
      </c>
      <c r="H7766" s="74"/>
      <c r="I7766" s="74">
        <f t="shared" si="1"/>
        <v>320000</v>
      </c>
      <c r="J7766" s="74">
        <f>IF(E7766="SERVICE",I7766-(I7766*50%),Vlookup(E7766,DATABASE!C:Q,10,false)*F7766)</f>
        <v>0</v>
      </c>
      <c r="K7766" s="74">
        <f>VLOOKUP(E7766,DATABASE!C:Q,7,false)</f>
        <v>334916</v>
      </c>
      <c r="L7766" s="74">
        <v>287688.0</v>
      </c>
      <c r="M7766" s="74">
        <f t="shared" si="4"/>
        <v>290000</v>
      </c>
      <c r="N7766" s="74">
        <f t="shared" si="3"/>
        <v>30000</v>
      </c>
      <c r="O7766" s="65" t="str">
        <f>VLOOKUP(E7766,DATABASE!C:Q,8,false)</f>
        <v>NON</v>
      </c>
      <c r="P7766" s="65">
        <f>VLOOKUP(E7766,DATABASE!C:Q,9,False)</f>
        <v>0</v>
      </c>
      <c r="Q7766" s="93" t="str">
        <f>VLOOKUP(E7766,DATABASE!C:Q,4,false)</f>
        <v>Shell</v>
      </c>
      <c r="R7766" s="93" t="str">
        <f>VLOOKUP(E7766,DATABASE!C:Q,11,false)</f>
        <v>OIL</v>
      </c>
    </row>
    <row r="7767" ht="22.5" customHeight="1">
      <c r="A7767" s="49"/>
      <c r="C7767" s="400">
        <v>46108.0</v>
      </c>
      <c r="D7767" s="69" t="s">
        <v>2762</v>
      </c>
      <c r="E7767" s="544" t="s">
        <v>2191</v>
      </c>
      <c r="F7767" s="387">
        <v>1.0</v>
      </c>
      <c r="G7767" s="140">
        <v>400000.0</v>
      </c>
      <c r="H7767" s="74"/>
      <c r="I7767" s="74">
        <f t="shared" si="1"/>
        <v>400000</v>
      </c>
      <c r="J7767" s="74">
        <f>IF(E7767="SERVICE",I7767-(I7767*50%),Vlookup(E7767,DATABASE!C:Q,10,false)*F7767)</f>
        <v>0</v>
      </c>
      <c r="K7767" s="74">
        <f>VLOOKUP(E7767,DATABASE!C:Q,7,false)</f>
        <v>422900</v>
      </c>
      <c r="L7767" s="74">
        <v>377951.0</v>
      </c>
      <c r="M7767" s="74">
        <f t="shared" si="4"/>
        <v>380000</v>
      </c>
      <c r="N7767" s="74">
        <f t="shared" si="3"/>
        <v>20000</v>
      </c>
      <c r="O7767" s="65" t="str">
        <f>VLOOKUP(E7767,DATABASE!C:Q,8,false)</f>
        <v>NON</v>
      </c>
      <c r="P7767" s="65">
        <f>VLOOKUP(E7767,DATABASE!C:Q,9,False)</f>
        <v>0</v>
      </c>
      <c r="Q7767" s="93" t="str">
        <f>VLOOKUP(E7767,DATABASE!C:Q,4,false)</f>
        <v>Shell</v>
      </c>
      <c r="R7767" s="93" t="str">
        <f>VLOOKUP(E7767,DATABASE!C:Q,11,false)</f>
        <v>OIL</v>
      </c>
    </row>
    <row r="7768" ht="22.5" customHeight="1">
      <c r="A7768" s="49"/>
      <c r="C7768" s="400">
        <v>46108.0</v>
      </c>
      <c r="D7768" s="69" t="s">
        <v>2762</v>
      </c>
      <c r="E7768" s="544" t="s">
        <v>298</v>
      </c>
      <c r="F7768" s="387">
        <v>1.0</v>
      </c>
      <c r="G7768" s="140">
        <v>25000.0</v>
      </c>
      <c r="H7768" s="74"/>
      <c r="I7768" s="74">
        <f t="shared" si="1"/>
        <v>25000</v>
      </c>
      <c r="J7768" s="74">
        <f>IF(E7768="SERVICE",I7768-(I7768*50%),Vlookup(E7768,DATABASE!C:Q,10,false)*F7768)</f>
        <v>0</v>
      </c>
      <c r="K7768" s="74">
        <f>VLOOKUP(E7768,DATABASE!C:Q,7,false)</f>
        <v>19200</v>
      </c>
      <c r="L7768" s="74">
        <v>19200.0</v>
      </c>
      <c r="M7768" s="74">
        <f t="shared" si="4"/>
        <v>20000</v>
      </c>
      <c r="N7768" s="74">
        <f t="shared" si="3"/>
        <v>5000</v>
      </c>
      <c r="O7768" s="65" t="str">
        <f>VLOOKUP(E7768,DATABASE!C:Q,8,false)</f>
        <v>BIAN</v>
      </c>
      <c r="P7768" s="65">
        <f>VLOOKUP(E7768,DATABASE!C:Q,9,False)</f>
        <v>0</v>
      </c>
      <c r="Q7768" s="93" t="str">
        <f>VLOOKUP(E7768,DATABASE!C:Q,4,false)</f>
        <v>Aspira</v>
      </c>
      <c r="R7768" s="93" t="str">
        <f>VLOOKUP(E7768,DATABASE!C:Q,11,false)</f>
        <v>COMPLEMENTARY</v>
      </c>
    </row>
    <row r="7769" ht="22.5" customHeight="1">
      <c r="A7769" s="49"/>
      <c r="C7769" s="400">
        <v>46109.0</v>
      </c>
      <c r="D7769" s="524">
        <v>835.0</v>
      </c>
      <c r="E7769" s="544" t="s">
        <v>268</v>
      </c>
      <c r="F7769" s="387">
        <v>1.0</v>
      </c>
      <c r="G7769" s="140">
        <v>710000.0</v>
      </c>
      <c r="H7769" s="74"/>
      <c r="I7769" s="74">
        <f t="shared" si="1"/>
        <v>710000</v>
      </c>
      <c r="J7769" s="74">
        <f>IF(E7769="SERVICE",I7769-(I7769*50%),Vlookup(E7769,DATABASE!C:Q,10,false)*F7769)</f>
        <v>0</v>
      </c>
      <c r="K7769" s="74">
        <f>VLOOKUP(E7769,DATABASE!C:Q,7,false)</f>
        <v>653000</v>
      </c>
      <c r="L7769" s="74">
        <v>622000.0</v>
      </c>
      <c r="M7769" s="74">
        <f t="shared" si="4"/>
        <v>625000</v>
      </c>
      <c r="N7769" s="74">
        <f t="shared" si="3"/>
        <v>85000</v>
      </c>
      <c r="O7769" s="65" t="str">
        <f>VLOOKUP(E7769,DATABASE!C:Q,8,false)</f>
        <v>IBU</v>
      </c>
      <c r="P7769" s="65">
        <f>VLOOKUP(E7769,DATABASE!C:Q,9,False)</f>
        <v>1</v>
      </c>
      <c r="Q7769" s="93" t="str">
        <f>VLOOKUP(E7769,DATABASE!C:Q,4,false)</f>
        <v>Dunlop</v>
      </c>
      <c r="R7769" s="93" t="str">
        <f>VLOOKUP(E7769,DATABASE!C:Q,11,false)</f>
        <v>Tire</v>
      </c>
    </row>
    <row r="7770" ht="22.5" customHeight="1">
      <c r="A7770" s="49"/>
      <c r="C7770" s="400">
        <v>46109.0</v>
      </c>
      <c r="D7770" s="524">
        <v>837.0</v>
      </c>
      <c r="E7770" s="544" t="s">
        <v>1175</v>
      </c>
      <c r="F7770" s="387">
        <v>2.0</v>
      </c>
      <c r="G7770" s="140">
        <v>960000.0</v>
      </c>
      <c r="H7770" s="74"/>
      <c r="I7770" s="74">
        <f t="shared" si="1"/>
        <v>1920000</v>
      </c>
      <c r="J7770" s="74">
        <f>IF(E7770="SERVICE",I7770-(I7770*50%),Vlookup(E7770,DATABASE!C:Q,10,false)*F7770)</f>
        <v>0</v>
      </c>
      <c r="K7770" s="74">
        <f>VLOOKUP(E7770,DATABASE!C:Q,7,false)</f>
        <v>889369.5</v>
      </c>
      <c r="L7770" s="74">
        <v>859264.0</v>
      </c>
      <c r="M7770" s="74">
        <f t="shared" si="4"/>
        <v>860000</v>
      </c>
      <c r="N7770" s="74">
        <f t="shared" si="3"/>
        <v>200000</v>
      </c>
      <c r="O7770" s="65" t="str">
        <f>VLOOKUP(E7770,DATABASE!C:Q,8,false)</f>
        <v>IBU</v>
      </c>
      <c r="P7770" s="65">
        <f>VLOOKUP(E7770,DATABASE!C:Q,9,False)</f>
        <v>1</v>
      </c>
      <c r="Q7770" s="93" t="str">
        <f>VLOOKUP(E7770,DATABASE!C:Q,4,false)</f>
        <v>Bridgestone</v>
      </c>
      <c r="R7770" s="93" t="str">
        <f>VLOOKUP(E7770,DATABASE!C:Q,11,false)</f>
        <v>Tire</v>
      </c>
    </row>
    <row r="7771" ht="22.5" customHeight="1">
      <c r="A7771" s="49"/>
      <c r="C7771" s="400">
        <v>46109.0</v>
      </c>
      <c r="D7771" s="524">
        <v>837.0</v>
      </c>
      <c r="E7771" s="544" t="s">
        <v>299</v>
      </c>
      <c r="F7771" s="387">
        <v>2.0</v>
      </c>
      <c r="G7771" s="140">
        <v>30000.0</v>
      </c>
      <c r="H7771" s="74"/>
      <c r="I7771" s="74">
        <f t="shared" si="1"/>
        <v>60000</v>
      </c>
      <c r="J7771" s="74">
        <f>IF(E7771="SERVICE",I7771-(I7771*50%),Vlookup(E7771,DATABASE!C:Q,10,false)*F7771)</f>
        <v>0</v>
      </c>
      <c r="K7771" s="74">
        <f>VLOOKUP(E7771,DATABASE!C:Q,7,false)</f>
        <v>10000</v>
      </c>
      <c r="L7771" s="74">
        <v>10000.0</v>
      </c>
      <c r="M7771" s="74">
        <f t="shared" si="4"/>
        <v>10000</v>
      </c>
      <c r="N7771" s="74">
        <f t="shared" si="3"/>
        <v>40000</v>
      </c>
      <c r="O7771" s="65" t="str">
        <f>VLOOKUP(E7771,DATABASE!C:Q,8,false)</f>
        <v>BIAN</v>
      </c>
      <c r="P7771" s="65">
        <f>VLOOKUP(E7771,DATABASE!C:Q,9,False)</f>
        <v>0</v>
      </c>
      <c r="Q7771" s="93" t="str">
        <f>VLOOKUP(E7771,DATABASE!C:Q,4,false)</f>
        <v>Balancing</v>
      </c>
      <c r="R7771" s="93" t="str">
        <f>VLOOKUP(E7771,DATABASE!C:Q,11,false)</f>
        <v>COMPLEMENTARY</v>
      </c>
    </row>
    <row r="7772" ht="22.5" customHeight="1">
      <c r="A7772" s="49"/>
      <c r="C7772" s="400">
        <v>46109.0</v>
      </c>
      <c r="D7772" s="524">
        <v>838.0</v>
      </c>
      <c r="E7772" s="544" t="s">
        <v>256</v>
      </c>
      <c r="F7772" s="387">
        <v>1.0</v>
      </c>
      <c r="G7772" s="140">
        <v>175000.0</v>
      </c>
      <c r="H7772" s="140">
        <v>25000.0</v>
      </c>
      <c r="I7772" s="74">
        <f t="shared" si="1"/>
        <v>150000</v>
      </c>
      <c r="J7772" s="74">
        <f>IF(E7772="SERVICE",I7772-(I7772*50%),Vlookup(E7772,DATABASE!C:Q,10,false)*F7772)</f>
        <v>10000</v>
      </c>
      <c r="K7772" s="74">
        <f>VLOOKUP(E7772,DATABASE!C:Q,7,false)</f>
        <v>0</v>
      </c>
      <c r="L7772" s="74">
        <v>0.0</v>
      </c>
      <c r="M7772" s="74">
        <f t="shared" si="4"/>
        <v>0</v>
      </c>
      <c r="N7772" s="74">
        <f t="shared" si="3"/>
        <v>140000</v>
      </c>
      <c r="O7772" s="65" t="str">
        <f>VLOOKUP(E7772,DATABASE!C:Q,8,false)</f>
        <v>IBU</v>
      </c>
      <c r="P7772" s="65">
        <f>VLOOKUP(E7772,DATABASE!C:Q,9,False)</f>
        <v>0</v>
      </c>
      <c r="Q7772" s="93" t="str">
        <f>VLOOKUP(E7772,DATABASE!C:Q,4,false)</f>
        <v>SPOORING</v>
      </c>
      <c r="R7772" s="93" t="str">
        <f>VLOOKUP(E7772,DATABASE!C:Q,11,false)</f>
        <v>SERVICE</v>
      </c>
    </row>
    <row r="7773" ht="22.5" customHeight="1">
      <c r="A7773" s="49"/>
      <c r="C7773" s="400">
        <v>46109.0</v>
      </c>
      <c r="D7773" s="524">
        <v>838.0</v>
      </c>
      <c r="E7773" s="544" t="s">
        <v>301</v>
      </c>
      <c r="F7773" s="387">
        <v>1.0</v>
      </c>
      <c r="G7773" s="140">
        <v>250000.0</v>
      </c>
      <c r="H7773" s="74"/>
      <c r="I7773" s="74">
        <f t="shared" si="1"/>
        <v>250000</v>
      </c>
      <c r="J7773" s="74">
        <f>IF(E7773="SERVICE",I7773-(I7773*50%),Vlookup(E7773,DATABASE!C:Q,10,false)*F7773)</f>
        <v>75000</v>
      </c>
      <c r="K7773" s="74">
        <f>VLOOKUP(E7773,DATABASE!C:Q,7,false)</f>
        <v>75000</v>
      </c>
      <c r="L7773" s="74">
        <v>75000.0</v>
      </c>
      <c r="M7773" s="74">
        <f t="shared" si="4"/>
        <v>75000</v>
      </c>
      <c r="N7773" s="74">
        <f t="shared" si="3"/>
        <v>100000</v>
      </c>
      <c r="O7773" s="65" t="str">
        <f>VLOOKUP(E7773,DATABASE!C:Q,8,false)</f>
        <v>BIAN</v>
      </c>
      <c r="P7773" s="65">
        <f>VLOOKUP(E7773,DATABASE!C:Q,9,False)</f>
        <v>0</v>
      </c>
      <c r="Q7773" s="93" t="str">
        <f>VLOOKUP(E7773,DATABASE!C:Q,4,false)</f>
        <v>Baut Camber</v>
      </c>
      <c r="R7773" s="93" t="str">
        <f>VLOOKUP(E7773,DATABASE!C:Q,11,false)</f>
        <v>COMPLEMENTARY</v>
      </c>
    </row>
    <row r="7774" ht="22.5" customHeight="1">
      <c r="A7774" s="49"/>
      <c r="C7774" s="400">
        <v>46109.0</v>
      </c>
      <c r="D7774" s="524">
        <v>839.0</v>
      </c>
      <c r="E7774" s="544" t="s">
        <v>627</v>
      </c>
      <c r="F7774" s="387">
        <v>2.0</v>
      </c>
      <c r="G7774" s="140">
        <v>950000.0</v>
      </c>
      <c r="H7774" s="140">
        <v>25000.0</v>
      </c>
      <c r="I7774" s="74">
        <f t="shared" si="1"/>
        <v>1850000</v>
      </c>
      <c r="J7774" s="74">
        <f>IF(E7774="SERVICE",I7774-(I7774*50%),Vlookup(E7774,DATABASE!C:Q,10,false)*F7774)</f>
        <v>0</v>
      </c>
      <c r="K7774" s="74">
        <f>VLOOKUP(E7774,DATABASE!C:Q,7,false)</f>
        <v>879567</v>
      </c>
      <c r="L7774" s="74">
        <v>830273.6</v>
      </c>
      <c r="M7774" s="74">
        <f t="shared" si="4"/>
        <v>835000</v>
      </c>
      <c r="N7774" s="74">
        <f t="shared" si="3"/>
        <v>180000</v>
      </c>
      <c r="O7774" s="65" t="str">
        <f>VLOOKUP(E7774,DATABASE!C:Q,8,false)</f>
        <v>IBU</v>
      </c>
      <c r="P7774" s="65">
        <f>VLOOKUP(E7774,DATABASE!C:Q,9,False)</f>
        <v>1</v>
      </c>
      <c r="Q7774" s="93" t="str">
        <f>VLOOKUP(E7774,DATABASE!C:Q,4,false)</f>
        <v>Bridgestone</v>
      </c>
      <c r="R7774" s="93" t="str">
        <f>VLOOKUP(E7774,DATABASE!C:Q,11,false)</f>
        <v>Tire</v>
      </c>
    </row>
    <row r="7775" ht="22.5" customHeight="1">
      <c r="A7775" s="49"/>
      <c r="C7775" s="400">
        <v>46109.0</v>
      </c>
      <c r="D7775" s="69">
        <v>841.0</v>
      </c>
      <c r="E7775" s="544" t="s">
        <v>265</v>
      </c>
      <c r="F7775" s="387">
        <v>1.0</v>
      </c>
      <c r="G7775" s="140">
        <v>685000.0</v>
      </c>
      <c r="H7775" s="74"/>
      <c r="I7775" s="74">
        <f t="shared" si="1"/>
        <v>685000</v>
      </c>
      <c r="J7775" s="74">
        <f>IF(E7775="SERVICE",I7775-(I7775*50%),Vlookup(E7775,DATABASE!C:Q,10,false)*F7775)</f>
        <v>0</v>
      </c>
      <c r="K7775" s="74">
        <f>VLOOKUP(E7775,DATABASE!C:Q,7,false)</f>
        <v>628000</v>
      </c>
      <c r="L7775" s="74">
        <v>600000.0</v>
      </c>
      <c r="M7775" s="74">
        <f t="shared" si="4"/>
        <v>600000</v>
      </c>
      <c r="N7775" s="74">
        <f t="shared" si="3"/>
        <v>85000</v>
      </c>
      <c r="O7775" s="65" t="str">
        <f>VLOOKUP(E7775,DATABASE!C:Q,8,false)</f>
        <v>IBU</v>
      </c>
      <c r="P7775" s="65">
        <f>VLOOKUP(E7775,DATABASE!C:Q,9,False)</f>
        <v>1</v>
      </c>
      <c r="Q7775" s="93" t="str">
        <f>VLOOKUP(E7775,DATABASE!C:Q,4,false)</f>
        <v>Dunlop</v>
      </c>
      <c r="R7775" s="93" t="str">
        <f>VLOOKUP(E7775,DATABASE!C:Q,11,false)</f>
        <v>Tire</v>
      </c>
    </row>
    <row r="7776" ht="22.5" customHeight="1">
      <c r="A7776" s="49"/>
      <c r="C7776" s="400">
        <v>46109.0</v>
      </c>
      <c r="D7776" s="524">
        <v>842.0</v>
      </c>
      <c r="E7776" s="544" t="s">
        <v>847</v>
      </c>
      <c r="F7776" s="387">
        <v>2.0</v>
      </c>
      <c r="G7776" s="140">
        <v>775000.0</v>
      </c>
      <c r="H7776" s="74"/>
      <c r="I7776" s="74">
        <f t="shared" si="1"/>
        <v>1550000</v>
      </c>
      <c r="J7776" s="74">
        <f>IF(E7776="SERVICE",I7776-(I7776*50%),Vlookup(E7776,DATABASE!C:Q,10,false)*F7776)</f>
        <v>0</v>
      </c>
      <c r="K7776" s="74">
        <f>VLOOKUP(E7776,DATABASE!C:Q,7,false)</f>
        <v>718080</v>
      </c>
      <c r="L7776" s="74">
        <v>672210.0</v>
      </c>
      <c r="M7776" s="74">
        <f t="shared" si="4"/>
        <v>675000</v>
      </c>
      <c r="N7776" s="74">
        <f t="shared" si="3"/>
        <v>200000</v>
      </c>
      <c r="O7776" s="65" t="str">
        <f>VLOOKUP(E7776,DATABASE!C:Q,8,false)</f>
        <v>BIAN</v>
      </c>
      <c r="P7776" s="65">
        <f>VLOOKUP(E7776,DATABASE!C:Q,9,False)</f>
        <v>1</v>
      </c>
      <c r="Q7776" s="93" t="str">
        <f>VLOOKUP(E7776,DATABASE!C:Q,4,false)</f>
        <v>GT</v>
      </c>
      <c r="R7776" s="93" t="str">
        <f>VLOOKUP(E7776,DATABASE!C:Q,11,false)</f>
        <v>Tire</v>
      </c>
    </row>
    <row r="7777" ht="22.5" customHeight="1">
      <c r="A7777" s="49"/>
      <c r="C7777" s="400">
        <v>46109.0</v>
      </c>
      <c r="D7777" s="524">
        <v>842.0</v>
      </c>
      <c r="E7777" s="544" t="s">
        <v>299</v>
      </c>
      <c r="F7777" s="387">
        <v>2.0</v>
      </c>
      <c r="G7777" s="140">
        <v>30000.0</v>
      </c>
      <c r="H7777" s="140">
        <v>5000.0</v>
      </c>
      <c r="I7777" s="74">
        <f t="shared" si="1"/>
        <v>50000</v>
      </c>
      <c r="J7777" s="74">
        <f>IF(E7777="SERVICE",I7777-(I7777*50%),Vlookup(E7777,DATABASE!C:Q,10,false)*F7777)</f>
        <v>0</v>
      </c>
      <c r="K7777" s="74">
        <f>VLOOKUP(E7777,DATABASE!C:Q,7,false)</f>
        <v>10000</v>
      </c>
      <c r="L7777" s="74">
        <v>10000.0</v>
      </c>
      <c r="M7777" s="74">
        <f t="shared" si="4"/>
        <v>10000</v>
      </c>
      <c r="N7777" s="74">
        <f t="shared" si="3"/>
        <v>30000</v>
      </c>
      <c r="O7777" s="65" t="str">
        <f>VLOOKUP(E7777,DATABASE!C:Q,8,false)</f>
        <v>BIAN</v>
      </c>
      <c r="P7777" s="65">
        <f>VLOOKUP(E7777,DATABASE!C:Q,9,False)</f>
        <v>0</v>
      </c>
      <c r="Q7777" s="93" t="str">
        <f>VLOOKUP(E7777,DATABASE!C:Q,4,false)</f>
        <v>Balancing</v>
      </c>
      <c r="R7777" s="93" t="str">
        <f>VLOOKUP(E7777,DATABASE!C:Q,11,false)</f>
        <v>COMPLEMENTARY</v>
      </c>
    </row>
    <row r="7778" ht="22.5" customHeight="1">
      <c r="A7778" s="49"/>
      <c r="C7778" s="400">
        <v>46109.0</v>
      </c>
      <c r="D7778" s="524">
        <v>843.0</v>
      </c>
      <c r="E7778" s="544" t="s">
        <v>288</v>
      </c>
      <c r="F7778" s="387">
        <v>1.0</v>
      </c>
      <c r="G7778" s="140">
        <v>620000.0</v>
      </c>
      <c r="H7778" s="74"/>
      <c r="I7778" s="74">
        <f t="shared" si="1"/>
        <v>620000</v>
      </c>
      <c r="J7778" s="74">
        <f>IF(E7778="SERVICE",I7778-(I7778*50%),Vlookup(E7778,DATABASE!C:Q,10,false)*F7778)</f>
        <v>0</v>
      </c>
      <c r="K7778" s="74">
        <f>VLOOKUP(E7778,DATABASE!C:Q,7,false)</f>
        <v>565760</v>
      </c>
      <c r="L7778" s="74">
        <v>524800.0</v>
      </c>
      <c r="M7778" s="74">
        <f t="shared" si="4"/>
        <v>525000</v>
      </c>
      <c r="N7778" s="74">
        <f t="shared" si="3"/>
        <v>95000</v>
      </c>
      <c r="O7778" s="65" t="str">
        <f>VLOOKUP(E7778,DATABASE!C:Q,8,false)</f>
        <v>BIAN</v>
      </c>
      <c r="P7778" s="65">
        <f>VLOOKUP(E7778,DATABASE!C:Q,9,False)</f>
        <v>1</v>
      </c>
      <c r="Q7778" s="93" t="str">
        <f>VLOOKUP(E7778,DATABASE!C:Q,4,false)</f>
        <v>GT</v>
      </c>
      <c r="R7778" s="93" t="str">
        <f>VLOOKUP(E7778,DATABASE!C:Q,11,false)</f>
        <v>Tire</v>
      </c>
    </row>
    <row r="7779" ht="22.5" customHeight="1">
      <c r="A7779" s="49"/>
      <c r="C7779" s="400">
        <v>46109.0</v>
      </c>
      <c r="D7779" s="524">
        <v>844.0</v>
      </c>
      <c r="E7779" s="544" t="s">
        <v>1947</v>
      </c>
      <c r="F7779" s="387">
        <v>3.0</v>
      </c>
      <c r="G7779" s="140">
        <v>790000.0</v>
      </c>
      <c r="H7779" s="74"/>
      <c r="I7779" s="74">
        <f t="shared" si="1"/>
        <v>2370000</v>
      </c>
      <c r="J7779" s="74">
        <f>IF(E7779="SERVICE",I7779-(I7779*50%),Vlookup(E7779,DATABASE!C:Q,10,false)*F7779)</f>
        <v>0</v>
      </c>
      <c r="K7779" s="74">
        <f>VLOOKUP(E7779,DATABASE!C:Q,7,false)</f>
        <v>694300</v>
      </c>
      <c r="L7779" s="74">
        <v>694300.0</v>
      </c>
      <c r="M7779" s="74">
        <f t="shared" si="4"/>
        <v>695000</v>
      </c>
      <c r="N7779" s="74">
        <f t="shared" si="3"/>
        <v>285000</v>
      </c>
      <c r="O7779" s="65" t="str">
        <f>VLOOKUP(E7779,DATABASE!C:Q,8,false)</f>
        <v>BIAN</v>
      </c>
      <c r="P7779" s="65">
        <f>VLOOKUP(E7779,DATABASE!C:Q,9,False)</f>
        <v>1</v>
      </c>
      <c r="Q7779" s="93" t="str">
        <f>VLOOKUP(E7779,DATABASE!C:Q,4,false)</f>
        <v>GT</v>
      </c>
      <c r="R7779" s="93" t="str">
        <f>VLOOKUP(E7779,DATABASE!C:Q,11,false)</f>
        <v>Tire</v>
      </c>
    </row>
    <row r="7780" ht="22.5" customHeight="1">
      <c r="A7780" s="49"/>
      <c r="C7780" s="400">
        <v>46109.0</v>
      </c>
      <c r="D7780" s="524">
        <v>845.0</v>
      </c>
      <c r="E7780" s="544" t="s">
        <v>1009</v>
      </c>
      <c r="F7780" s="387">
        <v>1.0</v>
      </c>
      <c r="G7780" s="140">
        <v>700000.0</v>
      </c>
      <c r="H7780" s="140">
        <v>15000.0</v>
      </c>
      <c r="I7780" s="74">
        <f t="shared" si="1"/>
        <v>685000</v>
      </c>
      <c r="J7780" s="74">
        <f>IF(E7780="SERVICE",I7780-(I7780*50%),Vlookup(E7780,DATABASE!C:Q,10,false)*F7780)</f>
        <v>0</v>
      </c>
      <c r="K7780" s="74">
        <f>VLOOKUP(E7780,DATABASE!C:Q,7,false)</f>
        <v>609800</v>
      </c>
      <c r="L7780" s="74">
        <v>592200.0</v>
      </c>
      <c r="M7780" s="74">
        <f t="shared" si="4"/>
        <v>595000</v>
      </c>
      <c r="N7780" s="74">
        <f t="shared" si="3"/>
        <v>90000</v>
      </c>
      <c r="O7780" s="65" t="str">
        <f>VLOOKUP(E7780,DATABASE!C:Q,8,false)</f>
        <v>BIAN</v>
      </c>
      <c r="P7780" s="65">
        <f>VLOOKUP(E7780,DATABASE!C:Q,9,False)</f>
        <v>1</v>
      </c>
      <c r="Q7780" s="93" t="str">
        <f>VLOOKUP(E7780,DATABASE!C:Q,4,false)</f>
        <v>GT</v>
      </c>
      <c r="R7780" s="93" t="str">
        <f>VLOOKUP(E7780,DATABASE!C:Q,11,false)</f>
        <v>Tire</v>
      </c>
    </row>
    <row r="7781" ht="22.5" customHeight="1">
      <c r="A7781" s="49"/>
      <c r="C7781" s="400">
        <v>46109.0</v>
      </c>
      <c r="D7781" s="524">
        <v>846.0</v>
      </c>
      <c r="E7781" s="544" t="s">
        <v>1928</v>
      </c>
      <c r="F7781" s="387">
        <v>1.0</v>
      </c>
      <c r="G7781" s="140">
        <v>685000.0</v>
      </c>
      <c r="H7781" s="140">
        <v>15000.0</v>
      </c>
      <c r="I7781" s="74">
        <f t="shared" si="1"/>
        <v>670000</v>
      </c>
      <c r="J7781" s="74">
        <f>IF(E7781="SERVICE",I7781-(I7781*50%),Vlookup(E7781,DATABASE!C:Q,10,false)*F7781)</f>
        <v>0</v>
      </c>
      <c r="K7781" s="74">
        <f>VLOOKUP(E7781,DATABASE!C:Q,7,false)</f>
        <v>589700</v>
      </c>
      <c r="L7781" s="74">
        <v>572700.0</v>
      </c>
      <c r="M7781" s="74">
        <f t="shared" si="4"/>
        <v>575000</v>
      </c>
      <c r="N7781" s="74">
        <f t="shared" si="3"/>
        <v>95000</v>
      </c>
      <c r="O7781" s="65" t="str">
        <f>VLOOKUP(E7781,DATABASE!C:Q,8,false)</f>
        <v>BIAN</v>
      </c>
      <c r="P7781" s="65">
        <f>VLOOKUP(E7781,DATABASE!C:Q,9,False)</f>
        <v>1</v>
      </c>
      <c r="Q7781" s="93" t="str">
        <f>VLOOKUP(E7781,DATABASE!C:Q,4,false)</f>
        <v>GT</v>
      </c>
      <c r="R7781" s="93" t="str">
        <f>VLOOKUP(E7781,DATABASE!C:Q,11,false)</f>
        <v>Tire</v>
      </c>
    </row>
    <row r="7782" ht="22.5" customHeight="1">
      <c r="A7782" s="49"/>
      <c r="C7782" s="400">
        <v>46109.0</v>
      </c>
      <c r="D7782" s="524">
        <v>847.0</v>
      </c>
      <c r="E7782" s="544" t="s">
        <v>937</v>
      </c>
      <c r="F7782" s="387">
        <v>1.0</v>
      </c>
      <c r="G7782" s="140">
        <v>910000.0</v>
      </c>
      <c r="H7782" s="74"/>
      <c r="I7782" s="74">
        <f t="shared" si="1"/>
        <v>910000</v>
      </c>
      <c r="J7782" s="74">
        <f>IF(E7782="SERVICE",I7782-(I7782*50%),Vlookup(E7782,DATABASE!C:Q,10,false)*F7782)</f>
        <v>0</v>
      </c>
      <c r="K7782" s="74">
        <f>VLOOKUP(E7782,DATABASE!C:Q,7,false)</f>
        <v>825000</v>
      </c>
      <c r="L7782" s="74">
        <v>815000.0</v>
      </c>
      <c r="M7782" s="74">
        <f t="shared" si="4"/>
        <v>815000</v>
      </c>
      <c r="N7782" s="74">
        <f t="shared" si="3"/>
        <v>95000</v>
      </c>
      <c r="O7782" s="65" t="str">
        <f>VLOOKUP(E7782,DATABASE!C:Q,8,false)</f>
        <v>IBU</v>
      </c>
      <c r="P7782" s="65">
        <f>VLOOKUP(E7782,DATABASE!C:Q,9,False)</f>
        <v>1</v>
      </c>
      <c r="Q7782" s="93" t="str">
        <f>VLOOKUP(E7782,DATABASE!C:Q,4,false)</f>
        <v>Bridgestone</v>
      </c>
      <c r="R7782" s="93" t="str">
        <f>VLOOKUP(E7782,DATABASE!C:Q,11,false)</f>
        <v>Tire</v>
      </c>
    </row>
    <row r="7783" ht="22.5" customHeight="1">
      <c r="A7783" s="49"/>
      <c r="C7783" s="400">
        <v>46109.0</v>
      </c>
      <c r="D7783" s="69">
        <v>848.0</v>
      </c>
      <c r="E7783" s="544" t="s">
        <v>256</v>
      </c>
      <c r="F7783" s="387">
        <v>1.0</v>
      </c>
      <c r="G7783" s="140">
        <v>175000.0</v>
      </c>
      <c r="H7783" s="140">
        <v>25000.0</v>
      </c>
      <c r="I7783" s="74">
        <f t="shared" si="1"/>
        <v>150000</v>
      </c>
      <c r="J7783" s="74">
        <f>IF(E7783="SERVICE",I7783-(I7783*50%),Vlookup(E7783,DATABASE!C:Q,10,false)*F7783)</f>
        <v>10000</v>
      </c>
      <c r="K7783" s="74">
        <f>VLOOKUP(E7783,DATABASE!C:Q,7,false)</f>
        <v>0</v>
      </c>
      <c r="L7783" s="74">
        <v>0.0</v>
      </c>
      <c r="M7783" s="74">
        <f t="shared" si="4"/>
        <v>0</v>
      </c>
      <c r="N7783" s="74">
        <f t="shared" si="3"/>
        <v>140000</v>
      </c>
      <c r="O7783" s="65" t="str">
        <f>VLOOKUP(E7783,DATABASE!C:Q,8,false)</f>
        <v>IBU</v>
      </c>
      <c r="P7783" s="65">
        <f>VLOOKUP(E7783,DATABASE!C:Q,9,False)</f>
        <v>0</v>
      </c>
      <c r="Q7783" s="93" t="str">
        <f>VLOOKUP(E7783,DATABASE!C:Q,4,false)</f>
        <v>SPOORING</v>
      </c>
      <c r="R7783" s="93" t="str">
        <f>VLOOKUP(E7783,DATABASE!C:Q,11,false)</f>
        <v>SERVICE</v>
      </c>
    </row>
    <row r="7784" ht="22.5" customHeight="1">
      <c r="A7784" s="49"/>
      <c r="C7784" s="400">
        <v>46109.0</v>
      </c>
      <c r="D7784" s="69">
        <v>848.0</v>
      </c>
      <c r="E7784" s="544" t="s">
        <v>301</v>
      </c>
      <c r="F7784" s="387">
        <v>1.0</v>
      </c>
      <c r="G7784" s="140">
        <v>250000.0</v>
      </c>
      <c r="H7784" s="74"/>
      <c r="I7784" s="74">
        <f t="shared" si="1"/>
        <v>250000</v>
      </c>
      <c r="J7784" s="74">
        <f>IF(E7784="SERVICE",I7784-(I7784*50%),Vlookup(E7784,DATABASE!C:Q,10,false)*F7784)</f>
        <v>75000</v>
      </c>
      <c r="K7784" s="74">
        <f>VLOOKUP(E7784,DATABASE!C:Q,7,false)</f>
        <v>75000</v>
      </c>
      <c r="L7784" s="74">
        <v>75000.0</v>
      </c>
      <c r="M7784" s="74">
        <f t="shared" si="4"/>
        <v>75000</v>
      </c>
      <c r="N7784" s="74">
        <f t="shared" si="3"/>
        <v>100000</v>
      </c>
      <c r="O7784" s="65" t="str">
        <f>VLOOKUP(E7784,DATABASE!C:Q,8,false)</f>
        <v>BIAN</v>
      </c>
      <c r="P7784" s="65">
        <f>VLOOKUP(E7784,DATABASE!C:Q,9,False)</f>
        <v>0</v>
      </c>
      <c r="Q7784" s="93" t="str">
        <f>VLOOKUP(E7784,DATABASE!C:Q,4,false)</f>
        <v>Baut Camber</v>
      </c>
      <c r="R7784" s="93" t="str">
        <f>VLOOKUP(E7784,DATABASE!C:Q,11,false)</f>
        <v>COMPLEMENTARY</v>
      </c>
    </row>
    <row r="7785" ht="22.5" customHeight="1">
      <c r="A7785" s="49"/>
      <c r="C7785" s="400">
        <v>46109.0</v>
      </c>
      <c r="D7785" s="524">
        <v>849.0</v>
      </c>
      <c r="E7785" s="544" t="s">
        <v>256</v>
      </c>
      <c r="F7785" s="387">
        <v>1.0</v>
      </c>
      <c r="G7785" s="140">
        <v>175000.0</v>
      </c>
      <c r="H7785" s="140">
        <v>25000.0</v>
      </c>
      <c r="I7785" s="74">
        <f t="shared" si="1"/>
        <v>150000</v>
      </c>
      <c r="J7785" s="74">
        <f>IF(E7785="SERVICE",I7785-(I7785*50%),Vlookup(E7785,DATABASE!C:Q,10,false)*F7785)</f>
        <v>10000</v>
      </c>
      <c r="K7785" s="74">
        <f>VLOOKUP(E7785,DATABASE!C:Q,7,false)</f>
        <v>0</v>
      </c>
      <c r="L7785" s="74">
        <v>0.0</v>
      </c>
      <c r="M7785" s="74">
        <f t="shared" si="4"/>
        <v>0</v>
      </c>
      <c r="N7785" s="74">
        <f t="shared" si="3"/>
        <v>140000</v>
      </c>
      <c r="O7785" s="65" t="str">
        <f>VLOOKUP(E7785,DATABASE!C:Q,8,false)</f>
        <v>IBU</v>
      </c>
      <c r="P7785" s="65">
        <f>VLOOKUP(E7785,DATABASE!C:Q,9,False)</f>
        <v>0</v>
      </c>
      <c r="Q7785" s="93" t="str">
        <f>VLOOKUP(E7785,DATABASE!C:Q,4,false)</f>
        <v>SPOORING</v>
      </c>
      <c r="R7785" s="93" t="str">
        <f>VLOOKUP(E7785,DATABASE!C:Q,11,false)</f>
        <v>SERVICE</v>
      </c>
    </row>
    <row r="7786" ht="22.5" customHeight="1">
      <c r="A7786" s="49"/>
      <c r="C7786" s="400">
        <v>46109.0</v>
      </c>
      <c r="D7786" s="524">
        <v>850.0</v>
      </c>
      <c r="E7786" s="544" t="s">
        <v>246</v>
      </c>
      <c r="F7786" s="387">
        <v>2.0</v>
      </c>
      <c r="G7786" s="140">
        <v>35000.0</v>
      </c>
      <c r="H7786" s="140">
        <v>10000.0</v>
      </c>
      <c r="I7786" s="74">
        <f t="shared" si="1"/>
        <v>50000</v>
      </c>
      <c r="J7786" s="74">
        <f>IF(E7786="SERVICE",I7786-(I7786*50%),Vlookup(E7786,DATABASE!C:Q,10,false)*F7786)</f>
        <v>0</v>
      </c>
      <c r="K7786" s="74">
        <f>VLOOKUP(E7786,DATABASE!C:Q,7,false)</f>
        <v>0</v>
      </c>
      <c r="L7786" s="74">
        <v>0.0</v>
      </c>
      <c r="M7786" s="74">
        <f t="shared" si="4"/>
        <v>0</v>
      </c>
      <c r="N7786" s="74">
        <f t="shared" si="3"/>
        <v>50000</v>
      </c>
      <c r="O7786" s="65" t="str">
        <f>VLOOKUP(E7786,DATABASE!C:Q,8,false)</f>
        <v>IBU</v>
      </c>
      <c r="P7786" s="65">
        <f>VLOOKUP(E7786,DATABASE!C:Q,9,False)</f>
        <v>0</v>
      </c>
      <c r="Q7786" s="93" t="str">
        <f>VLOOKUP(E7786,DATABASE!C:Q,4,false)</f>
        <v>Bongkar Pasang</v>
      </c>
      <c r="R7786" s="93" t="str">
        <f>VLOOKUP(E7786,DATABASE!C:Q,11,false)</f>
        <v>SERVICE</v>
      </c>
    </row>
    <row r="7787" ht="22.5" customHeight="1">
      <c r="A7787" s="49"/>
      <c r="C7787" s="400">
        <v>46109.0</v>
      </c>
      <c r="D7787" s="524">
        <v>852.0</v>
      </c>
      <c r="E7787" s="544" t="s">
        <v>251</v>
      </c>
      <c r="F7787" s="387">
        <v>1.0</v>
      </c>
      <c r="G7787" s="140">
        <v>350000.0</v>
      </c>
      <c r="H7787" s="140">
        <v>230000.0</v>
      </c>
      <c r="I7787" s="74">
        <f t="shared" si="1"/>
        <v>120000</v>
      </c>
      <c r="J7787" s="74">
        <f>IF(E7787="SERVICE",I7787-(I7787*50%),Vlookup(E7787,DATABASE!C:Q,10,false)*F7787)</f>
        <v>60000</v>
      </c>
      <c r="K7787" s="74">
        <f>VLOOKUP(E7787,DATABASE!C:Q,7,false)</f>
        <v>0</v>
      </c>
      <c r="L7787" s="74">
        <v>0.0</v>
      </c>
      <c r="M7787" s="74">
        <f t="shared" si="4"/>
        <v>0</v>
      </c>
      <c r="N7787" s="74">
        <f t="shared" si="3"/>
        <v>60000</v>
      </c>
      <c r="O7787" s="65" t="str">
        <f>VLOOKUP(E7787,DATABASE!C:Q,8,false)</f>
        <v>IBU</v>
      </c>
      <c r="P7787" s="65">
        <f>VLOOKUP(E7787,DATABASE!C:Q,9,False)</f>
        <v>0</v>
      </c>
      <c r="Q7787" s="93" t="str">
        <f>VLOOKUP(E7787,DATABASE!C:Q,4,false)</f>
        <v>SERVICE</v>
      </c>
      <c r="R7787" s="93" t="str">
        <f>VLOOKUP(E7787,DATABASE!C:Q,11,false)</f>
        <v>SERVICE</v>
      </c>
    </row>
    <row r="7788" ht="22.5" customHeight="1">
      <c r="A7788" s="49"/>
      <c r="C7788" s="400">
        <v>46109.0</v>
      </c>
      <c r="D7788" s="69" t="s">
        <v>2763</v>
      </c>
      <c r="E7788" s="544" t="s">
        <v>2191</v>
      </c>
      <c r="F7788" s="387">
        <v>1.0</v>
      </c>
      <c r="G7788" s="140">
        <v>400000.0</v>
      </c>
      <c r="H7788" s="74"/>
      <c r="I7788" s="74">
        <f t="shared" si="1"/>
        <v>400000</v>
      </c>
      <c r="J7788" s="74">
        <f>IF(E7788="SERVICE",I7788-(I7788*50%),Vlookup(E7788,DATABASE!C:Q,10,false)*F7788)</f>
        <v>0</v>
      </c>
      <c r="K7788" s="74">
        <f>VLOOKUP(E7788,DATABASE!C:Q,7,false)</f>
        <v>422900</v>
      </c>
      <c r="L7788" s="74">
        <v>377951.0</v>
      </c>
      <c r="M7788" s="74">
        <f t="shared" si="4"/>
        <v>380000</v>
      </c>
      <c r="N7788" s="74">
        <f t="shared" si="3"/>
        <v>20000</v>
      </c>
      <c r="O7788" s="65" t="str">
        <f>VLOOKUP(E7788,DATABASE!C:Q,8,false)</f>
        <v>NON</v>
      </c>
      <c r="P7788" s="65">
        <f>VLOOKUP(E7788,DATABASE!C:Q,9,False)</f>
        <v>0</v>
      </c>
      <c r="Q7788" s="93" t="str">
        <f>VLOOKUP(E7788,DATABASE!C:Q,4,false)</f>
        <v>Shell</v>
      </c>
      <c r="R7788" s="93" t="str">
        <f>VLOOKUP(E7788,DATABASE!C:Q,11,false)</f>
        <v>OIL</v>
      </c>
    </row>
    <row r="7789" ht="22.5" customHeight="1">
      <c r="A7789" s="49"/>
      <c r="C7789" s="400">
        <v>46110.0</v>
      </c>
      <c r="D7789" s="69">
        <v>853.0</v>
      </c>
      <c r="E7789" s="544" t="s">
        <v>554</v>
      </c>
      <c r="F7789" s="387">
        <v>2.0</v>
      </c>
      <c r="G7789" s="140">
        <v>800000.0</v>
      </c>
      <c r="H7789" s="74"/>
      <c r="I7789" s="74">
        <f t="shared" si="1"/>
        <v>1600000</v>
      </c>
      <c r="J7789" s="74">
        <f>IF(E7789="SERVICE",I7789-(I7789*50%),Vlookup(E7789,DATABASE!C:Q,10,false)*F7789)</f>
        <v>0</v>
      </c>
      <c r="K7789" s="74">
        <f>VLOOKUP(E7789,DATABASE!C:Q,7,false)</f>
        <v>710000</v>
      </c>
      <c r="L7789" s="74">
        <v>705000.0</v>
      </c>
      <c r="M7789" s="74">
        <f t="shared" si="4"/>
        <v>705000</v>
      </c>
      <c r="N7789" s="74">
        <f t="shared" si="3"/>
        <v>190000</v>
      </c>
      <c r="O7789" s="65" t="str">
        <f>VLOOKUP(E7789,DATABASE!C:Q,8,false)</f>
        <v>IBU</v>
      </c>
      <c r="P7789" s="65">
        <f>VLOOKUP(E7789,DATABASE!C:Q,9,False)</f>
        <v>1</v>
      </c>
      <c r="Q7789" s="93" t="str">
        <f>VLOOKUP(E7789,DATABASE!C:Q,4,false)</f>
        <v>Bridgestone</v>
      </c>
      <c r="R7789" s="93" t="str">
        <f>VLOOKUP(E7789,DATABASE!C:Q,11,false)</f>
        <v>Tire</v>
      </c>
    </row>
    <row r="7790" ht="22.5" customHeight="1">
      <c r="A7790" s="49"/>
      <c r="C7790" s="400">
        <v>46110.0</v>
      </c>
      <c r="D7790" s="69">
        <v>854.0</v>
      </c>
      <c r="E7790" s="544" t="s">
        <v>276</v>
      </c>
      <c r="F7790" s="387">
        <v>1.0</v>
      </c>
      <c r="G7790" s="140">
        <v>720000.0</v>
      </c>
      <c r="H7790" s="74"/>
      <c r="I7790" s="74">
        <f t="shared" si="1"/>
        <v>720000</v>
      </c>
      <c r="J7790" s="74">
        <f>IF(E7790="SERVICE",I7790-(I7790*50%),Vlookup(E7790,DATABASE!C:Q,10,false)*F7790)</f>
        <v>0</v>
      </c>
      <c r="K7790" s="74">
        <f>VLOOKUP(E7790,DATABASE!C:Q,7,false)</f>
        <v>620000</v>
      </c>
      <c r="L7790" s="74">
        <v>620000.0</v>
      </c>
      <c r="M7790" s="74">
        <f t="shared" si="4"/>
        <v>620000</v>
      </c>
      <c r="N7790" s="74">
        <f t="shared" si="3"/>
        <v>100000</v>
      </c>
      <c r="O7790" s="65" t="str">
        <f>VLOOKUP(E7790,DATABASE!C:Q,8,false)</f>
        <v>IBU</v>
      </c>
      <c r="P7790" s="65">
        <f>VLOOKUP(E7790,DATABASE!C:Q,9,False)</f>
        <v>1</v>
      </c>
      <c r="Q7790" s="93" t="str">
        <f>VLOOKUP(E7790,DATABASE!C:Q,4,false)</f>
        <v>Dunlop</v>
      </c>
      <c r="R7790" s="93" t="str">
        <f>VLOOKUP(E7790,DATABASE!C:Q,11,false)</f>
        <v>Tire</v>
      </c>
    </row>
    <row r="7791" ht="22.5" customHeight="1">
      <c r="A7791" s="49"/>
      <c r="C7791" s="400">
        <v>46110.0</v>
      </c>
      <c r="D7791" s="69">
        <v>856.0</v>
      </c>
      <c r="E7791" s="544" t="s">
        <v>600</v>
      </c>
      <c r="F7791" s="387">
        <v>2.0</v>
      </c>
      <c r="G7791" s="140">
        <v>680000.0</v>
      </c>
      <c r="H7791" s="74"/>
      <c r="I7791" s="74">
        <f t="shared" si="1"/>
        <v>1360000</v>
      </c>
      <c r="J7791" s="74">
        <f>IF(E7791="SERVICE",I7791-(I7791*50%),Vlookup(E7791,DATABASE!C:Q,10,false)*F7791)</f>
        <v>0</v>
      </c>
      <c r="K7791" s="74">
        <f>VLOOKUP(E7791,DATABASE!C:Q,7,false)</f>
        <v>611109.16</v>
      </c>
      <c r="L7791" s="74">
        <v>588505.8</v>
      </c>
      <c r="M7791" s="74">
        <f t="shared" si="4"/>
        <v>590000</v>
      </c>
      <c r="N7791" s="74">
        <f t="shared" si="3"/>
        <v>180000</v>
      </c>
      <c r="O7791" s="65" t="str">
        <f>VLOOKUP(E7791,DATABASE!C:Q,8,false)</f>
        <v>IBU</v>
      </c>
      <c r="P7791" s="65">
        <f>VLOOKUP(E7791,DATABASE!C:Q,9,False)</f>
        <v>1</v>
      </c>
      <c r="Q7791" s="93" t="str">
        <f>VLOOKUP(E7791,DATABASE!C:Q,4,false)</f>
        <v>Bridgestone</v>
      </c>
      <c r="R7791" s="93" t="str">
        <f>VLOOKUP(E7791,DATABASE!C:Q,11,false)</f>
        <v>Tire</v>
      </c>
    </row>
    <row r="7792" ht="22.5" customHeight="1">
      <c r="A7792" s="49"/>
      <c r="C7792" s="400">
        <v>46110.0</v>
      </c>
      <c r="D7792" s="69">
        <v>856.0</v>
      </c>
      <c r="E7792" s="544" t="s">
        <v>256</v>
      </c>
      <c r="F7792" s="387">
        <v>1.0</v>
      </c>
      <c r="G7792" s="140">
        <v>150000.0</v>
      </c>
      <c r="H7792" s="74"/>
      <c r="I7792" s="74">
        <f t="shared" si="1"/>
        <v>150000</v>
      </c>
      <c r="J7792" s="74">
        <f>IF(E7792="SERVICE",I7792-(I7792*50%),Vlookup(E7792,DATABASE!C:Q,10,false)*F7792)</f>
        <v>10000</v>
      </c>
      <c r="K7792" s="74">
        <f>VLOOKUP(E7792,DATABASE!C:Q,7,false)</f>
        <v>0</v>
      </c>
      <c r="L7792" s="74">
        <v>0.0</v>
      </c>
      <c r="M7792" s="74">
        <f t="shared" si="4"/>
        <v>0</v>
      </c>
      <c r="N7792" s="74">
        <f t="shared" si="3"/>
        <v>140000</v>
      </c>
      <c r="O7792" s="65" t="str">
        <f>VLOOKUP(E7792,DATABASE!C:Q,8,false)</f>
        <v>IBU</v>
      </c>
      <c r="P7792" s="65">
        <f>VLOOKUP(E7792,DATABASE!C:Q,9,False)</f>
        <v>0</v>
      </c>
      <c r="Q7792" s="93" t="str">
        <f>VLOOKUP(E7792,DATABASE!C:Q,4,false)</f>
        <v>SPOORING</v>
      </c>
      <c r="R7792" s="93" t="str">
        <f>VLOOKUP(E7792,DATABASE!C:Q,11,false)</f>
        <v>SERVICE</v>
      </c>
    </row>
    <row r="7793" ht="22.5" customHeight="1">
      <c r="A7793" s="49"/>
      <c r="C7793" s="400">
        <v>46110.0</v>
      </c>
      <c r="D7793" s="69">
        <v>856.0</v>
      </c>
      <c r="E7793" s="544" t="s">
        <v>299</v>
      </c>
      <c r="F7793" s="387">
        <v>2.0</v>
      </c>
      <c r="G7793" s="140">
        <v>30000.0</v>
      </c>
      <c r="H7793" s="74"/>
      <c r="I7793" s="74">
        <f t="shared" si="1"/>
        <v>60000</v>
      </c>
      <c r="J7793" s="74">
        <f>IF(E7793="SERVICE",I7793-(I7793*50%),Vlookup(E7793,DATABASE!C:Q,10,false)*F7793)</f>
        <v>0</v>
      </c>
      <c r="K7793" s="74">
        <f>VLOOKUP(E7793,DATABASE!C:Q,7,false)</f>
        <v>10000</v>
      </c>
      <c r="L7793" s="74">
        <v>10000.0</v>
      </c>
      <c r="M7793" s="74">
        <f t="shared" si="4"/>
        <v>10000</v>
      </c>
      <c r="N7793" s="74">
        <f t="shared" si="3"/>
        <v>40000</v>
      </c>
      <c r="O7793" s="65" t="str">
        <f>VLOOKUP(E7793,DATABASE!C:Q,8,false)</f>
        <v>BIAN</v>
      </c>
      <c r="P7793" s="65">
        <f>VLOOKUP(E7793,DATABASE!C:Q,9,False)</f>
        <v>0</v>
      </c>
      <c r="Q7793" s="93" t="str">
        <f>VLOOKUP(E7793,DATABASE!C:Q,4,false)</f>
        <v>Balancing</v>
      </c>
      <c r="R7793" s="93" t="str">
        <f>VLOOKUP(E7793,DATABASE!C:Q,11,false)</f>
        <v>COMPLEMENTARY</v>
      </c>
    </row>
    <row r="7794" ht="22.5" customHeight="1">
      <c r="A7794" s="49"/>
      <c r="C7794" s="400">
        <v>46110.0</v>
      </c>
      <c r="D7794" s="69">
        <v>857.0</v>
      </c>
      <c r="E7794" s="544" t="s">
        <v>1009</v>
      </c>
      <c r="F7794" s="387">
        <v>1.0</v>
      </c>
      <c r="G7794" s="140">
        <v>685000.0</v>
      </c>
      <c r="H7794" s="74"/>
      <c r="I7794" s="74">
        <f t="shared" si="1"/>
        <v>685000</v>
      </c>
      <c r="J7794" s="74">
        <f>IF(E7794="SERVICE",I7794-(I7794*50%),Vlookup(E7794,DATABASE!C:Q,10,false)*F7794)</f>
        <v>0</v>
      </c>
      <c r="K7794" s="74">
        <f>VLOOKUP(E7794,DATABASE!C:Q,7,false)</f>
        <v>609800</v>
      </c>
      <c r="L7794" s="74">
        <v>592200.0</v>
      </c>
      <c r="M7794" s="74">
        <f t="shared" si="4"/>
        <v>595000</v>
      </c>
      <c r="N7794" s="74">
        <f t="shared" si="3"/>
        <v>90000</v>
      </c>
      <c r="O7794" s="65" t="str">
        <f>VLOOKUP(E7794,DATABASE!C:Q,8,false)</f>
        <v>BIAN</v>
      </c>
      <c r="P7794" s="65">
        <f>VLOOKUP(E7794,DATABASE!C:Q,9,False)</f>
        <v>1</v>
      </c>
      <c r="Q7794" s="93" t="str">
        <f>VLOOKUP(E7794,DATABASE!C:Q,4,false)</f>
        <v>GT</v>
      </c>
      <c r="R7794" s="93" t="str">
        <f>VLOOKUP(E7794,DATABASE!C:Q,11,false)</f>
        <v>Tire</v>
      </c>
    </row>
    <row r="7795" ht="22.5" customHeight="1">
      <c r="A7795" s="49"/>
      <c r="C7795" s="400">
        <v>46110.0</v>
      </c>
      <c r="D7795" s="69">
        <v>858.0</v>
      </c>
      <c r="E7795" s="544" t="s">
        <v>301</v>
      </c>
      <c r="F7795" s="387">
        <v>1.0</v>
      </c>
      <c r="G7795" s="140">
        <v>250000.0</v>
      </c>
      <c r="H7795" s="74"/>
      <c r="I7795" s="74">
        <f t="shared" si="1"/>
        <v>250000</v>
      </c>
      <c r="J7795" s="74">
        <f>IF(E7795="SERVICE",I7795-(I7795*50%),Vlookup(E7795,DATABASE!C:Q,10,false)*F7795)</f>
        <v>75000</v>
      </c>
      <c r="K7795" s="74">
        <f>VLOOKUP(E7795,DATABASE!C:Q,7,false)</f>
        <v>75000</v>
      </c>
      <c r="L7795" s="74">
        <v>75000.0</v>
      </c>
      <c r="M7795" s="74">
        <f t="shared" si="4"/>
        <v>75000</v>
      </c>
      <c r="N7795" s="74">
        <f t="shared" si="3"/>
        <v>100000</v>
      </c>
      <c r="O7795" s="65" t="str">
        <f>VLOOKUP(E7795,DATABASE!C:Q,8,false)</f>
        <v>BIAN</v>
      </c>
      <c r="P7795" s="65">
        <f>VLOOKUP(E7795,DATABASE!C:Q,9,False)</f>
        <v>0</v>
      </c>
      <c r="Q7795" s="93" t="str">
        <f>VLOOKUP(E7795,DATABASE!C:Q,4,false)</f>
        <v>Baut Camber</v>
      </c>
      <c r="R7795" s="93" t="str">
        <f>VLOOKUP(E7795,DATABASE!C:Q,11,false)</f>
        <v>COMPLEMENTARY</v>
      </c>
    </row>
    <row r="7796" ht="22.5" customHeight="1">
      <c r="A7796" s="49"/>
      <c r="C7796" s="400">
        <v>46110.0</v>
      </c>
      <c r="D7796" s="69">
        <v>859.0</v>
      </c>
      <c r="E7796" s="544" t="s">
        <v>1597</v>
      </c>
      <c r="F7796" s="387">
        <v>1.0</v>
      </c>
      <c r="G7796" s="140">
        <v>645000.0</v>
      </c>
      <c r="H7796" s="74"/>
      <c r="I7796" s="74">
        <f t="shared" si="1"/>
        <v>645000</v>
      </c>
      <c r="J7796" s="74">
        <f>IF(E7796="SERVICE",I7796-(I7796*50%),Vlookup(E7796,DATABASE!C:Q,10,false)*F7796)</f>
        <v>0</v>
      </c>
      <c r="K7796" s="74">
        <f>VLOOKUP(E7796,DATABASE!C:Q,7,false)</f>
        <v>560700</v>
      </c>
      <c r="L7796" s="74">
        <v>544300.0</v>
      </c>
      <c r="M7796" s="74">
        <f t="shared" si="4"/>
        <v>545000</v>
      </c>
      <c r="N7796" s="74">
        <f t="shared" si="3"/>
        <v>100000</v>
      </c>
      <c r="O7796" s="65" t="str">
        <f>VLOOKUP(E7796,DATABASE!C:Q,8,false)</f>
        <v>BIAN</v>
      </c>
      <c r="P7796" s="65">
        <f>VLOOKUP(E7796,DATABASE!C:Q,9,False)</f>
        <v>1</v>
      </c>
      <c r="Q7796" s="93" t="str">
        <f>VLOOKUP(E7796,DATABASE!C:Q,4,false)</f>
        <v>GT</v>
      </c>
      <c r="R7796" s="93" t="str">
        <f>VLOOKUP(E7796,DATABASE!C:Q,11,false)</f>
        <v>Tire</v>
      </c>
    </row>
    <row r="7797" ht="22.5" customHeight="1">
      <c r="A7797" s="49"/>
      <c r="C7797" s="400">
        <v>46110.0</v>
      </c>
      <c r="D7797" s="69">
        <v>860.0</v>
      </c>
      <c r="E7797" s="544" t="s">
        <v>256</v>
      </c>
      <c r="F7797" s="387">
        <v>1.0</v>
      </c>
      <c r="G7797" s="140">
        <v>150000.0</v>
      </c>
      <c r="H7797" s="74"/>
      <c r="I7797" s="74">
        <f t="shared" si="1"/>
        <v>150000</v>
      </c>
      <c r="J7797" s="74">
        <f>IF(E7797="SERVICE",I7797-(I7797*50%),Vlookup(E7797,DATABASE!C:Q,10,false)*F7797)</f>
        <v>10000</v>
      </c>
      <c r="K7797" s="74">
        <f>VLOOKUP(E7797,DATABASE!C:Q,7,false)</f>
        <v>0</v>
      </c>
      <c r="L7797" s="74">
        <v>0.0</v>
      </c>
      <c r="M7797" s="74">
        <f t="shared" si="4"/>
        <v>0</v>
      </c>
      <c r="N7797" s="74">
        <f t="shared" si="3"/>
        <v>140000</v>
      </c>
      <c r="O7797" s="65" t="str">
        <f>VLOOKUP(E7797,DATABASE!C:Q,8,false)</f>
        <v>IBU</v>
      </c>
      <c r="P7797" s="65">
        <f>VLOOKUP(E7797,DATABASE!C:Q,9,False)</f>
        <v>0</v>
      </c>
      <c r="Q7797" s="93" t="str">
        <f>VLOOKUP(E7797,DATABASE!C:Q,4,false)</f>
        <v>SPOORING</v>
      </c>
      <c r="R7797" s="93" t="str">
        <f>VLOOKUP(E7797,DATABASE!C:Q,11,false)</f>
        <v>SERVICE</v>
      </c>
    </row>
    <row r="7798" ht="22.5" customHeight="1">
      <c r="A7798" s="49"/>
      <c r="C7798" s="400">
        <v>46110.0</v>
      </c>
      <c r="D7798" s="69">
        <v>860.0</v>
      </c>
      <c r="E7798" s="544" t="s">
        <v>301</v>
      </c>
      <c r="F7798" s="387">
        <v>1.0</v>
      </c>
      <c r="G7798" s="140">
        <v>25000.0</v>
      </c>
      <c r="H7798" s="74"/>
      <c r="I7798" s="74">
        <f t="shared" si="1"/>
        <v>25000</v>
      </c>
      <c r="J7798" s="74">
        <f>IF(E7798="SERVICE",I7798-(I7798*50%),Vlookup(E7798,DATABASE!C:Q,10,false)*F7798)</f>
        <v>75000</v>
      </c>
      <c r="K7798" s="74">
        <f>VLOOKUP(E7798,DATABASE!C:Q,7,false)</f>
        <v>75000</v>
      </c>
      <c r="L7798" s="74">
        <v>75000.0</v>
      </c>
      <c r="M7798" s="74">
        <f t="shared" si="4"/>
        <v>75000</v>
      </c>
      <c r="N7798" s="74">
        <f t="shared" si="3"/>
        <v>-125000</v>
      </c>
      <c r="O7798" s="65" t="str">
        <f>VLOOKUP(E7798,DATABASE!C:Q,8,false)</f>
        <v>BIAN</v>
      </c>
      <c r="P7798" s="65">
        <f>VLOOKUP(E7798,DATABASE!C:Q,9,False)</f>
        <v>0</v>
      </c>
      <c r="Q7798" s="93" t="str">
        <f>VLOOKUP(E7798,DATABASE!C:Q,4,false)</f>
        <v>Baut Camber</v>
      </c>
      <c r="R7798" s="93" t="str">
        <f>VLOOKUP(E7798,DATABASE!C:Q,11,false)</f>
        <v>COMPLEMENTARY</v>
      </c>
    </row>
    <row r="7799" ht="22.5" customHeight="1">
      <c r="A7799" s="49"/>
      <c r="C7799" s="400">
        <v>46110.0</v>
      </c>
      <c r="D7799" s="69" t="s">
        <v>2764</v>
      </c>
      <c r="E7799" s="544" t="s">
        <v>248</v>
      </c>
      <c r="F7799" s="387">
        <v>1.0</v>
      </c>
      <c r="G7799" s="140">
        <v>190000.0</v>
      </c>
      <c r="H7799" s="74"/>
      <c r="I7799" s="74">
        <f t="shared" si="1"/>
        <v>190000</v>
      </c>
      <c r="J7799" s="74">
        <f>IF(E7799="SERVICE",I7799-(I7799*50%),Vlookup(E7799,DATABASE!C:Q,10,false)*F7799)</f>
        <v>0</v>
      </c>
      <c r="K7799" s="74">
        <f>VLOOKUP(E7799,DATABASE!C:Q,7,false)</f>
        <v>209816.66</v>
      </c>
      <c r="L7799" s="74">
        <v>160833.0</v>
      </c>
      <c r="M7799" s="74">
        <f t="shared" si="4"/>
        <v>165000</v>
      </c>
      <c r="N7799" s="74">
        <f t="shared" si="3"/>
        <v>25000</v>
      </c>
      <c r="O7799" s="65" t="str">
        <f>VLOOKUP(E7799,DATABASE!C:Q,8,false)</f>
        <v>NON</v>
      </c>
      <c r="P7799" s="65">
        <f>VLOOKUP(E7799,DATABASE!C:Q,9,False)</f>
        <v>0</v>
      </c>
      <c r="Q7799" s="93" t="str">
        <f>VLOOKUP(E7799,DATABASE!C:Q,4,false)</f>
        <v>Pertamina</v>
      </c>
      <c r="R7799" s="93" t="str">
        <f>VLOOKUP(E7799,DATABASE!C:Q,11,false)</f>
        <v>OIL</v>
      </c>
    </row>
    <row r="7800" ht="22.5" customHeight="1">
      <c r="A7800" s="49"/>
      <c r="C7800" s="400">
        <v>46111.0</v>
      </c>
      <c r="D7800" s="524">
        <v>861.0</v>
      </c>
      <c r="E7800" s="544" t="s">
        <v>1009</v>
      </c>
      <c r="F7800" s="387">
        <v>2.0</v>
      </c>
      <c r="G7800" s="140">
        <v>700000.0</v>
      </c>
      <c r="H7800" s="140">
        <v>15000.0</v>
      </c>
      <c r="I7800" s="74">
        <f t="shared" si="1"/>
        <v>1370000</v>
      </c>
      <c r="J7800" s="74">
        <f>IF(E7800="SERVICE",I7800-(I7800*50%),Vlookup(E7800,DATABASE!C:Q,10,false)*F7800)</f>
        <v>0</v>
      </c>
      <c r="K7800" s="74">
        <f>VLOOKUP(E7800,DATABASE!C:Q,7,false)</f>
        <v>609800</v>
      </c>
      <c r="L7800" s="74">
        <v>592200.0</v>
      </c>
      <c r="M7800" s="74">
        <f t="shared" si="4"/>
        <v>595000</v>
      </c>
      <c r="N7800" s="74">
        <f t="shared" si="3"/>
        <v>180000</v>
      </c>
      <c r="O7800" s="65" t="str">
        <f>VLOOKUP(E7800,DATABASE!C:Q,8,false)</f>
        <v>BIAN</v>
      </c>
      <c r="P7800" s="65">
        <f>VLOOKUP(E7800,DATABASE!C:Q,9,False)</f>
        <v>1</v>
      </c>
      <c r="Q7800" s="93" t="str">
        <f>VLOOKUP(E7800,DATABASE!C:Q,4,false)</f>
        <v>GT</v>
      </c>
      <c r="R7800" s="93" t="str">
        <f>VLOOKUP(E7800,DATABASE!C:Q,11,false)</f>
        <v>Tire</v>
      </c>
    </row>
    <row r="7801" ht="22.5" customHeight="1">
      <c r="A7801" s="49"/>
      <c r="C7801" s="400">
        <v>46111.0</v>
      </c>
      <c r="D7801" s="524">
        <v>861.0</v>
      </c>
      <c r="E7801" s="544" t="s">
        <v>604</v>
      </c>
      <c r="F7801" s="387">
        <v>1.0</v>
      </c>
      <c r="G7801" s="140">
        <v>170000.0</v>
      </c>
      <c r="H7801" s="140">
        <v>10000.0</v>
      </c>
      <c r="I7801" s="74">
        <f t="shared" si="1"/>
        <v>160000</v>
      </c>
      <c r="J7801" s="74">
        <f>IF(E7801="SERVICE",I7801-(I7801*50%),Vlookup(E7801,DATABASE!C:Q,10,false)*F7801)</f>
        <v>0</v>
      </c>
      <c r="K7801" s="74">
        <f>VLOOKUP(E7801,DATABASE!C:Q,7,false)</f>
        <v>124000</v>
      </c>
      <c r="L7801" s="74">
        <v>124000.0</v>
      </c>
      <c r="M7801" s="74">
        <f t="shared" si="4"/>
        <v>125000</v>
      </c>
      <c r="N7801" s="74">
        <f t="shared" si="3"/>
        <v>35000</v>
      </c>
      <c r="O7801" s="65" t="str">
        <f>VLOOKUP(E7801,DATABASE!C:Q,8,false)</f>
        <v>BIAN</v>
      </c>
      <c r="P7801" s="65">
        <f>VLOOKUP(E7801,DATABASE!C:Q,9,False)</f>
        <v>1</v>
      </c>
      <c r="Q7801" s="93" t="str">
        <f>VLOOKUP(E7801,DATABASE!C:Q,4,false)</f>
        <v>BD</v>
      </c>
      <c r="R7801" s="93" t="str">
        <f>VLOOKUP(E7801,DATABASE!C:Q,11,false)</f>
        <v>Tire</v>
      </c>
    </row>
    <row r="7802" ht="22.5" customHeight="1">
      <c r="A7802" s="49"/>
      <c r="C7802" s="400">
        <v>46111.0</v>
      </c>
      <c r="D7802" s="524">
        <v>863.0</v>
      </c>
      <c r="E7802" s="544" t="s">
        <v>1301</v>
      </c>
      <c r="F7802" s="387">
        <v>2.0</v>
      </c>
      <c r="G7802" s="140">
        <v>1285000.0</v>
      </c>
      <c r="H7802" s="74"/>
      <c r="I7802" s="74">
        <f t="shared" si="1"/>
        <v>2570000</v>
      </c>
      <c r="J7802" s="74">
        <f>IF(E7802="SERVICE",I7802-(I7802*50%),Vlookup(E7802,DATABASE!C:Q,10,false)*F7802)</f>
        <v>0</v>
      </c>
      <c r="K7802" s="74">
        <f>VLOOKUP(E7802,DATABASE!C:Q,7,false)</f>
        <v>1194000</v>
      </c>
      <c r="L7802" s="74">
        <v>1182000.0</v>
      </c>
      <c r="M7802" s="74">
        <f t="shared" si="4"/>
        <v>1185000</v>
      </c>
      <c r="N7802" s="74">
        <f t="shared" si="3"/>
        <v>200000</v>
      </c>
      <c r="O7802" s="65" t="str">
        <f>VLOOKUP(E7802,DATABASE!C:Q,8,false)</f>
        <v>IBU</v>
      </c>
      <c r="P7802" s="65">
        <f>VLOOKUP(E7802,DATABASE!C:Q,9,False)</f>
        <v>1</v>
      </c>
      <c r="Q7802" s="93" t="str">
        <f>VLOOKUP(E7802,DATABASE!C:Q,4,false)</f>
        <v>Dunlop</v>
      </c>
      <c r="R7802" s="93" t="str">
        <f>VLOOKUP(E7802,DATABASE!C:Q,11,false)</f>
        <v>Tire</v>
      </c>
    </row>
    <row r="7803" ht="22.5" customHeight="1">
      <c r="A7803" s="49"/>
      <c r="C7803" s="400">
        <v>46111.0</v>
      </c>
      <c r="D7803" s="524">
        <v>863.0</v>
      </c>
      <c r="E7803" s="544" t="s">
        <v>256</v>
      </c>
      <c r="F7803" s="387">
        <v>1.0</v>
      </c>
      <c r="G7803" s="140">
        <v>175000.0</v>
      </c>
      <c r="H7803" s="140">
        <v>25000.0</v>
      </c>
      <c r="I7803" s="74">
        <f t="shared" si="1"/>
        <v>150000</v>
      </c>
      <c r="J7803" s="74">
        <f>IF(E7803="SERVICE",I7803-(I7803*50%),Vlookup(E7803,DATABASE!C:Q,10,false)*F7803)</f>
        <v>10000</v>
      </c>
      <c r="K7803" s="74">
        <f>VLOOKUP(E7803,DATABASE!C:Q,7,false)</f>
        <v>0</v>
      </c>
      <c r="L7803" s="74">
        <v>0.0</v>
      </c>
      <c r="M7803" s="74">
        <f t="shared" si="4"/>
        <v>0</v>
      </c>
      <c r="N7803" s="74">
        <f t="shared" si="3"/>
        <v>140000</v>
      </c>
      <c r="O7803" s="65" t="str">
        <f>VLOOKUP(E7803,DATABASE!C:Q,8,false)</f>
        <v>IBU</v>
      </c>
      <c r="P7803" s="65">
        <f>VLOOKUP(E7803,DATABASE!C:Q,9,False)</f>
        <v>0</v>
      </c>
      <c r="Q7803" s="93" t="str">
        <f>VLOOKUP(E7803,DATABASE!C:Q,4,false)</f>
        <v>SPOORING</v>
      </c>
      <c r="R7803" s="93" t="str">
        <f>VLOOKUP(E7803,DATABASE!C:Q,11,false)</f>
        <v>SERVICE</v>
      </c>
    </row>
    <row r="7804" ht="22.5" customHeight="1">
      <c r="A7804" s="49"/>
      <c r="C7804" s="400">
        <v>46111.0</v>
      </c>
      <c r="D7804" s="524">
        <v>864.0</v>
      </c>
      <c r="E7804" s="544" t="s">
        <v>932</v>
      </c>
      <c r="F7804" s="387">
        <v>2.0</v>
      </c>
      <c r="G7804" s="140">
        <v>690000.0</v>
      </c>
      <c r="H7804" s="74"/>
      <c r="I7804" s="74">
        <f t="shared" si="1"/>
        <v>1380000</v>
      </c>
      <c r="J7804" s="74">
        <f>IF(E7804="SERVICE",I7804-(I7804*50%),Vlookup(E7804,DATABASE!C:Q,10,false)*F7804)</f>
        <v>0</v>
      </c>
      <c r="K7804" s="74">
        <f>VLOOKUP(E7804,DATABASE!C:Q,7,false)</f>
        <v>601000</v>
      </c>
      <c r="L7804" s="74">
        <v>601000.0</v>
      </c>
      <c r="M7804" s="74">
        <f t="shared" si="4"/>
        <v>605000</v>
      </c>
      <c r="N7804" s="74">
        <f t="shared" si="3"/>
        <v>170000</v>
      </c>
      <c r="O7804" s="65" t="str">
        <f>VLOOKUP(E7804,DATABASE!C:Q,8,false)</f>
        <v>IBU</v>
      </c>
      <c r="P7804" s="65">
        <f>VLOOKUP(E7804,DATABASE!C:Q,9,False)</f>
        <v>1</v>
      </c>
      <c r="Q7804" s="93" t="str">
        <f>VLOOKUP(E7804,DATABASE!C:Q,4,false)</f>
        <v>Dunlop</v>
      </c>
      <c r="R7804" s="93" t="str">
        <f>VLOOKUP(E7804,DATABASE!C:Q,11,false)</f>
        <v>Tire</v>
      </c>
    </row>
    <row r="7805" ht="22.5" customHeight="1">
      <c r="A7805" s="49"/>
      <c r="C7805" s="400">
        <v>46111.0</v>
      </c>
      <c r="D7805" s="524">
        <v>865.0</v>
      </c>
      <c r="E7805" s="544" t="s">
        <v>271</v>
      </c>
      <c r="F7805" s="387">
        <v>1.0</v>
      </c>
      <c r="G7805" s="140">
        <v>630000.0</v>
      </c>
      <c r="H7805" s="74"/>
      <c r="I7805" s="74">
        <f t="shared" si="1"/>
        <v>630000</v>
      </c>
      <c r="J7805" s="74">
        <f>IF(E7805="SERVICE",I7805-(I7805*50%),Vlookup(E7805,DATABASE!C:Q,10,false)*F7805)</f>
        <v>0</v>
      </c>
      <c r="K7805" s="74">
        <f>VLOOKUP(E7805,DATABASE!C:Q,7,false)</f>
        <v>570000</v>
      </c>
      <c r="L7805" s="74">
        <v>539000.0</v>
      </c>
      <c r="M7805" s="74">
        <f t="shared" si="4"/>
        <v>540000</v>
      </c>
      <c r="N7805" s="74">
        <f t="shared" si="3"/>
        <v>90000</v>
      </c>
      <c r="O7805" s="65" t="str">
        <f>VLOOKUP(E7805,DATABASE!C:Q,8,false)</f>
        <v>IBU</v>
      </c>
      <c r="P7805" s="65">
        <f>VLOOKUP(E7805,DATABASE!C:Q,9,False)</f>
        <v>1</v>
      </c>
      <c r="Q7805" s="93" t="str">
        <f>VLOOKUP(E7805,DATABASE!C:Q,4,false)</f>
        <v>Dunlop</v>
      </c>
      <c r="R7805" s="93" t="str">
        <f>VLOOKUP(E7805,DATABASE!C:Q,11,false)</f>
        <v>Tire</v>
      </c>
    </row>
    <row r="7806" ht="22.5" customHeight="1">
      <c r="A7806" s="49"/>
      <c r="C7806" s="400">
        <v>46111.0</v>
      </c>
      <c r="D7806" s="524">
        <v>866.0</v>
      </c>
      <c r="E7806" s="544" t="s">
        <v>275</v>
      </c>
      <c r="F7806" s="387">
        <v>4.0</v>
      </c>
      <c r="G7806" s="140">
        <v>830000.0</v>
      </c>
      <c r="H7806" s="74"/>
      <c r="I7806" s="74">
        <f t="shared" si="1"/>
        <v>3320000</v>
      </c>
      <c r="J7806" s="74">
        <f>IF(E7806="SERVICE",I7806-(I7806*50%),Vlookup(E7806,DATABASE!C:Q,10,false)*F7806)</f>
        <v>0</v>
      </c>
      <c r="K7806" s="74">
        <f>VLOOKUP(E7806,DATABASE!C:Q,7,false)</f>
        <v>782000</v>
      </c>
      <c r="L7806" s="74">
        <v>745000.0</v>
      </c>
      <c r="M7806" s="74">
        <f t="shared" si="4"/>
        <v>745000</v>
      </c>
      <c r="N7806" s="74">
        <f t="shared" si="3"/>
        <v>340000</v>
      </c>
      <c r="O7806" s="65" t="str">
        <f>VLOOKUP(E7806,DATABASE!C:Q,8,false)</f>
        <v>IBU</v>
      </c>
      <c r="P7806" s="65">
        <f>VLOOKUP(E7806,DATABASE!C:Q,9,False)</f>
        <v>1</v>
      </c>
      <c r="Q7806" s="93" t="str">
        <f>VLOOKUP(E7806,DATABASE!C:Q,4,false)</f>
        <v>Dunlop</v>
      </c>
      <c r="R7806" s="93" t="str">
        <f>VLOOKUP(E7806,DATABASE!C:Q,11,false)</f>
        <v>Tire</v>
      </c>
    </row>
    <row r="7807" ht="22.5" customHeight="1">
      <c r="A7807" s="49"/>
      <c r="C7807" s="400">
        <v>46111.0</v>
      </c>
      <c r="D7807" s="524">
        <v>866.0</v>
      </c>
      <c r="E7807" s="544" t="s">
        <v>299</v>
      </c>
      <c r="F7807" s="387">
        <v>2.0</v>
      </c>
      <c r="G7807" s="140">
        <v>30000.0</v>
      </c>
      <c r="H7807" s="74"/>
      <c r="I7807" s="74">
        <f t="shared" si="1"/>
        <v>60000</v>
      </c>
      <c r="J7807" s="74">
        <f>IF(E7807="SERVICE",I7807-(I7807*50%),Vlookup(E7807,DATABASE!C:Q,10,false)*F7807)</f>
        <v>0</v>
      </c>
      <c r="K7807" s="74">
        <f>VLOOKUP(E7807,DATABASE!C:Q,7,false)</f>
        <v>10000</v>
      </c>
      <c r="L7807" s="74">
        <v>10000.0</v>
      </c>
      <c r="M7807" s="74">
        <f t="shared" si="4"/>
        <v>10000</v>
      </c>
      <c r="N7807" s="74">
        <f t="shared" si="3"/>
        <v>40000</v>
      </c>
      <c r="O7807" s="65" t="str">
        <f>VLOOKUP(E7807,DATABASE!C:Q,8,false)</f>
        <v>BIAN</v>
      </c>
      <c r="P7807" s="65">
        <f>VLOOKUP(E7807,DATABASE!C:Q,9,False)</f>
        <v>0</v>
      </c>
      <c r="Q7807" s="93" t="str">
        <f>VLOOKUP(E7807,DATABASE!C:Q,4,false)</f>
        <v>Balancing</v>
      </c>
      <c r="R7807" s="93" t="str">
        <f>VLOOKUP(E7807,DATABASE!C:Q,11,false)</f>
        <v>COMPLEMENTARY</v>
      </c>
    </row>
    <row r="7808" ht="22.5" customHeight="1">
      <c r="A7808" s="49"/>
      <c r="C7808" s="400">
        <v>46111.0</v>
      </c>
      <c r="D7808" s="524">
        <v>866.0</v>
      </c>
      <c r="E7808" s="544" t="s">
        <v>262</v>
      </c>
      <c r="F7808" s="387">
        <v>1.0</v>
      </c>
      <c r="G7808" s="140">
        <v>130000.0</v>
      </c>
      <c r="H7808" s="74"/>
      <c r="I7808" s="74">
        <f t="shared" si="1"/>
        <v>130000</v>
      </c>
      <c r="J7808" s="74">
        <f>IF(E7808="SERVICE",I7808-(I7808*50%),Vlookup(E7808,DATABASE!C:Q,10,false)*F7808)</f>
        <v>5000</v>
      </c>
      <c r="K7808" s="74">
        <f>VLOOKUP(E7808,DATABASE!C:Q,7,false)</f>
        <v>0</v>
      </c>
      <c r="L7808" s="74">
        <v>0.0</v>
      </c>
      <c r="M7808" s="74">
        <f t="shared" si="4"/>
        <v>0</v>
      </c>
      <c r="N7808" s="74">
        <f t="shared" si="3"/>
        <v>125000</v>
      </c>
      <c r="O7808" s="65" t="str">
        <f>VLOOKUP(E7808,DATABASE!C:Q,8,false)</f>
        <v>IBU</v>
      </c>
      <c r="P7808" s="65">
        <f>VLOOKUP(E7808,DATABASE!C:Q,9,False)</f>
        <v>0</v>
      </c>
      <c r="Q7808" s="93" t="str">
        <f>VLOOKUP(E7808,DATABASE!C:Q,4,false)</f>
        <v>SPOORING SS/CARRY LOS BAK</v>
      </c>
      <c r="R7808" s="93" t="str">
        <f>VLOOKUP(E7808,DATABASE!C:Q,11,false)</f>
        <v>SERVICE</v>
      </c>
    </row>
    <row r="7809" ht="22.5" customHeight="1">
      <c r="A7809" s="49"/>
      <c r="C7809" s="400">
        <v>46111.0</v>
      </c>
      <c r="D7809" s="524">
        <v>866.0</v>
      </c>
      <c r="E7809" s="544" t="s">
        <v>301</v>
      </c>
      <c r="F7809" s="387">
        <v>1.0</v>
      </c>
      <c r="G7809" s="140">
        <v>250000.0</v>
      </c>
      <c r="H7809" s="74"/>
      <c r="I7809" s="74">
        <f t="shared" si="1"/>
        <v>250000</v>
      </c>
      <c r="J7809" s="74">
        <f>IF(E7809="SERVICE",I7809-(I7809*50%),Vlookup(E7809,DATABASE!C:Q,10,false)*F7809)</f>
        <v>75000</v>
      </c>
      <c r="K7809" s="74">
        <f>VLOOKUP(E7809,DATABASE!C:Q,7,false)</f>
        <v>75000</v>
      </c>
      <c r="L7809" s="74">
        <v>75000.0</v>
      </c>
      <c r="M7809" s="74">
        <f t="shared" si="4"/>
        <v>75000</v>
      </c>
      <c r="N7809" s="74">
        <f t="shared" si="3"/>
        <v>100000</v>
      </c>
      <c r="O7809" s="65" t="str">
        <f>VLOOKUP(E7809,DATABASE!C:Q,8,false)</f>
        <v>BIAN</v>
      </c>
      <c r="P7809" s="65">
        <f>VLOOKUP(E7809,DATABASE!C:Q,9,False)</f>
        <v>0</v>
      </c>
      <c r="Q7809" s="93" t="str">
        <f>VLOOKUP(E7809,DATABASE!C:Q,4,false)</f>
        <v>Baut Camber</v>
      </c>
      <c r="R7809" s="93" t="str">
        <f>VLOOKUP(E7809,DATABASE!C:Q,11,false)</f>
        <v>COMPLEMENTARY</v>
      </c>
    </row>
    <row r="7810" ht="22.5" customHeight="1">
      <c r="A7810" s="49"/>
      <c r="C7810" s="400">
        <v>46111.0</v>
      </c>
      <c r="D7810" s="524">
        <v>867.0</v>
      </c>
      <c r="E7810" s="544" t="s">
        <v>974</v>
      </c>
      <c r="F7810" s="387">
        <v>2.0</v>
      </c>
      <c r="G7810" s="140">
        <v>585000.0</v>
      </c>
      <c r="H7810" s="140">
        <v>5000.0</v>
      </c>
      <c r="I7810" s="74">
        <f t="shared" si="1"/>
        <v>1160000</v>
      </c>
      <c r="J7810" s="74">
        <f>IF(E7810="SERVICE",I7810-(I7810*50%),Vlookup(E7810,DATABASE!C:Q,10,false)*F7810)</f>
        <v>0</v>
      </c>
      <c r="K7810" s="74">
        <f>VLOOKUP(E7810,DATABASE!C:Q,7,false)</f>
        <v>501500</v>
      </c>
      <c r="L7810" s="74">
        <v>491000.0</v>
      </c>
      <c r="M7810" s="74">
        <f t="shared" si="4"/>
        <v>495000</v>
      </c>
      <c r="N7810" s="74">
        <f t="shared" si="3"/>
        <v>170000</v>
      </c>
      <c r="O7810" s="65" t="str">
        <f>VLOOKUP(E7810,DATABASE!C:Q,8,false)</f>
        <v>IBU</v>
      </c>
      <c r="P7810" s="65">
        <f>VLOOKUP(E7810,DATABASE!C:Q,9,False)</f>
        <v>1</v>
      </c>
      <c r="Q7810" s="93" t="str">
        <f>VLOOKUP(E7810,DATABASE!C:Q,4,false)</f>
        <v>Dunlop</v>
      </c>
      <c r="R7810" s="93" t="str">
        <f>VLOOKUP(E7810,DATABASE!C:Q,11,false)</f>
        <v>Tire</v>
      </c>
    </row>
    <row r="7811" ht="22.5" customHeight="1">
      <c r="A7811" s="49"/>
      <c r="C7811" s="400">
        <v>46111.0</v>
      </c>
      <c r="D7811" s="524">
        <v>868.0</v>
      </c>
      <c r="E7811" s="544" t="s">
        <v>932</v>
      </c>
      <c r="F7811" s="387">
        <v>2.0</v>
      </c>
      <c r="G7811" s="140">
        <v>690000.0</v>
      </c>
      <c r="H7811" s="140">
        <v>5000.0</v>
      </c>
      <c r="I7811" s="74">
        <f t="shared" si="1"/>
        <v>1370000</v>
      </c>
      <c r="J7811" s="74">
        <f>IF(E7811="SERVICE",I7811-(I7811*50%),Vlookup(E7811,DATABASE!C:Q,10,false)*F7811)</f>
        <v>0</v>
      </c>
      <c r="K7811" s="74">
        <f>VLOOKUP(E7811,DATABASE!C:Q,7,false)</f>
        <v>601000</v>
      </c>
      <c r="L7811" s="140">
        <v>595000.0</v>
      </c>
      <c r="M7811" s="74">
        <f t="shared" si="4"/>
        <v>595000</v>
      </c>
      <c r="N7811" s="74">
        <f t="shared" si="3"/>
        <v>180000</v>
      </c>
      <c r="O7811" s="65" t="str">
        <f>VLOOKUP(E7811,DATABASE!C:Q,8,false)</f>
        <v>IBU</v>
      </c>
      <c r="P7811" s="65">
        <f>VLOOKUP(E7811,DATABASE!C:Q,9,False)</f>
        <v>1</v>
      </c>
      <c r="Q7811" s="93" t="str">
        <f>VLOOKUP(E7811,DATABASE!C:Q,4,false)</f>
        <v>Dunlop</v>
      </c>
      <c r="R7811" s="93" t="str">
        <f>VLOOKUP(E7811,DATABASE!C:Q,11,false)</f>
        <v>Tire</v>
      </c>
    </row>
    <row r="7812" ht="22.5" customHeight="1">
      <c r="A7812" s="49"/>
      <c r="C7812" s="400">
        <v>46111.0</v>
      </c>
      <c r="D7812" s="524">
        <v>868.0</v>
      </c>
      <c r="E7812" s="544" t="s">
        <v>262</v>
      </c>
      <c r="F7812" s="387">
        <v>1.0</v>
      </c>
      <c r="G7812" s="140">
        <v>130000.0</v>
      </c>
      <c r="H7812" s="74"/>
      <c r="I7812" s="74">
        <f t="shared" si="1"/>
        <v>130000</v>
      </c>
      <c r="J7812" s="74">
        <f>IF(E7812="SERVICE",I7812-(I7812*50%),Vlookup(E7812,DATABASE!C:Q,10,false)*F7812)</f>
        <v>5000</v>
      </c>
      <c r="K7812" s="74">
        <f>VLOOKUP(E7812,DATABASE!C:Q,7,false)</f>
        <v>0</v>
      </c>
      <c r="L7812" s="74">
        <v>0.0</v>
      </c>
      <c r="M7812" s="74">
        <f t="shared" si="4"/>
        <v>0</v>
      </c>
      <c r="N7812" s="74">
        <f t="shared" si="3"/>
        <v>125000</v>
      </c>
      <c r="O7812" s="65" t="str">
        <f>VLOOKUP(E7812,DATABASE!C:Q,8,false)</f>
        <v>IBU</v>
      </c>
      <c r="P7812" s="65">
        <f>VLOOKUP(E7812,DATABASE!C:Q,9,False)</f>
        <v>0</v>
      </c>
      <c r="Q7812" s="93" t="str">
        <f>VLOOKUP(E7812,DATABASE!C:Q,4,false)</f>
        <v>SPOORING SS/CARRY LOS BAK</v>
      </c>
      <c r="R7812" s="93" t="str">
        <f>VLOOKUP(E7812,DATABASE!C:Q,11,false)</f>
        <v>SERVICE</v>
      </c>
    </row>
    <row r="7813" ht="22.5" customHeight="1">
      <c r="A7813" s="49"/>
      <c r="C7813" s="400">
        <v>46111.0</v>
      </c>
      <c r="D7813" s="524">
        <v>868.0</v>
      </c>
      <c r="E7813" s="544" t="s">
        <v>478</v>
      </c>
      <c r="F7813" s="387">
        <v>1.0</v>
      </c>
      <c r="G7813" s="140">
        <v>200000.0</v>
      </c>
      <c r="H7813" s="74"/>
      <c r="I7813" s="74">
        <f t="shared" si="1"/>
        <v>200000</v>
      </c>
      <c r="J7813" s="74">
        <f>IF(E7813="SERVICE",I7813-(I7813*50%),Vlookup(E7813,DATABASE!C:Q,10,false)*F7813)</f>
        <v>25000</v>
      </c>
      <c r="K7813" s="74">
        <f>VLOOKUP(E7813,DATABASE!C:Q,7,false)</f>
        <v>75000</v>
      </c>
      <c r="L7813" s="74">
        <v>75000.0</v>
      </c>
      <c r="M7813" s="74">
        <f t="shared" si="4"/>
        <v>75000</v>
      </c>
      <c r="N7813" s="74">
        <f t="shared" si="3"/>
        <v>100000</v>
      </c>
      <c r="O7813" s="65" t="str">
        <f>VLOOKUP(E7813,DATABASE!C:Q,8,false)</f>
        <v>BIAN</v>
      </c>
      <c r="P7813" s="65">
        <f>VLOOKUP(E7813,DATABASE!C:Q,9,False)</f>
        <v>0</v>
      </c>
      <c r="Q7813" s="93" t="str">
        <f>VLOOKUP(E7813,DATABASE!C:Q,4,false)</f>
        <v>Baut Camber ss-carry</v>
      </c>
      <c r="R7813" s="93" t="str">
        <f>VLOOKUP(E7813,DATABASE!C:Q,11,false)</f>
        <v>COMPLEMENTARY</v>
      </c>
    </row>
    <row r="7814" ht="22.5" customHeight="1">
      <c r="A7814" s="49"/>
      <c r="C7814" s="400">
        <v>46111.0</v>
      </c>
      <c r="D7814" s="524">
        <v>869.0</v>
      </c>
      <c r="E7814" s="544" t="s">
        <v>2626</v>
      </c>
      <c r="F7814" s="387">
        <v>2.0</v>
      </c>
      <c r="G7814" s="140">
        <v>640000.0</v>
      </c>
      <c r="H7814" s="74"/>
      <c r="I7814" s="74">
        <f t="shared" si="1"/>
        <v>1280000</v>
      </c>
      <c r="J7814" s="74">
        <f>IF(E7814="SERVICE",I7814-(I7814*50%),Vlookup(E7814,DATABASE!C:Q,10,false)*F7814)</f>
        <v>0</v>
      </c>
      <c r="K7814" s="74">
        <f>VLOOKUP(E7814,DATABASE!C:Q,7,false)</f>
        <v>548000</v>
      </c>
      <c r="L7814" s="74">
        <v>548000.0</v>
      </c>
      <c r="M7814" s="74">
        <f t="shared" si="4"/>
        <v>550000</v>
      </c>
      <c r="N7814" s="74">
        <f t="shared" si="3"/>
        <v>180000</v>
      </c>
      <c r="O7814" s="65" t="str">
        <f>VLOOKUP(E7814,DATABASE!C:Q,8,false)</f>
        <v>Bian</v>
      </c>
      <c r="P7814" s="65">
        <f>VLOOKUP(E7814,DATABASE!C:Q,9,False)</f>
        <v>1</v>
      </c>
      <c r="Q7814" s="93" t="str">
        <f>VLOOKUP(E7814,DATABASE!C:Q,4,false)</f>
        <v>Laufen</v>
      </c>
      <c r="R7814" s="93" t="str">
        <f>VLOOKUP(E7814,DATABASE!C:Q,11,false)</f>
        <v>Tire</v>
      </c>
    </row>
    <row r="7815" ht="22.5" customHeight="1">
      <c r="A7815" s="49"/>
      <c r="C7815" s="400">
        <v>46111.0</v>
      </c>
      <c r="D7815" s="524">
        <v>870.0</v>
      </c>
      <c r="E7815" s="544" t="s">
        <v>2019</v>
      </c>
      <c r="F7815" s="387">
        <v>2.0</v>
      </c>
      <c r="G7815" s="140">
        <v>685000.0</v>
      </c>
      <c r="H7815" s="140">
        <v>5000.0</v>
      </c>
      <c r="I7815" s="74">
        <f t="shared" si="1"/>
        <v>1360000</v>
      </c>
      <c r="J7815" s="74">
        <f>IF(E7815="SERVICE",I7815-(I7815*50%),Vlookup(E7815,DATABASE!C:Q,10,false)*F7815)</f>
        <v>0</v>
      </c>
      <c r="K7815" s="74">
        <f>VLOOKUP(E7815,DATABASE!C:Q,7,false)</f>
        <v>620000</v>
      </c>
      <c r="L7815" s="74">
        <v>595000.0</v>
      </c>
      <c r="M7815" s="74">
        <f t="shared" si="4"/>
        <v>595000</v>
      </c>
      <c r="N7815" s="74">
        <f t="shared" si="3"/>
        <v>170000</v>
      </c>
      <c r="O7815" s="65" t="str">
        <f>VLOOKUP(E7815,DATABASE!C:Q,8,false)</f>
        <v>BIAN</v>
      </c>
      <c r="P7815" s="65">
        <f>VLOOKUP(E7815,DATABASE!C:Q,9,False)</f>
        <v>1</v>
      </c>
      <c r="Q7815" s="93" t="str">
        <f>VLOOKUP(E7815,DATABASE!C:Q,4,false)</f>
        <v>GT</v>
      </c>
      <c r="R7815" s="93" t="str">
        <f>VLOOKUP(E7815,DATABASE!C:Q,11,false)</f>
        <v>Tire</v>
      </c>
    </row>
    <row r="7816" ht="22.5" customHeight="1">
      <c r="A7816" s="49"/>
      <c r="C7816" s="400">
        <v>46111.0</v>
      </c>
      <c r="D7816" s="524">
        <v>872.0</v>
      </c>
      <c r="E7816" s="544" t="s">
        <v>275</v>
      </c>
      <c r="F7816" s="387">
        <v>2.0</v>
      </c>
      <c r="G7816" s="140">
        <v>830000.0</v>
      </c>
      <c r="H7816" s="74"/>
      <c r="I7816" s="74">
        <f t="shared" si="1"/>
        <v>1660000</v>
      </c>
      <c r="J7816" s="74">
        <f>IF(E7816="SERVICE",I7816-(I7816*50%),Vlookup(E7816,DATABASE!C:Q,10,false)*F7816)</f>
        <v>0</v>
      </c>
      <c r="K7816" s="74">
        <f>VLOOKUP(E7816,DATABASE!C:Q,7,false)</f>
        <v>782000</v>
      </c>
      <c r="L7816" s="74">
        <v>745000.0</v>
      </c>
      <c r="M7816" s="74">
        <f t="shared" si="4"/>
        <v>745000</v>
      </c>
      <c r="N7816" s="74">
        <f t="shared" si="3"/>
        <v>170000</v>
      </c>
      <c r="O7816" s="65" t="str">
        <f>VLOOKUP(E7816,DATABASE!C:Q,8,false)</f>
        <v>IBU</v>
      </c>
      <c r="P7816" s="69">
        <v>0.0</v>
      </c>
      <c r="Q7816" s="93" t="str">
        <f>VLOOKUP(E7816,DATABASE!C:Q,4,false)</f>
        <v>Dunlop</v>
      </c>
      <c r="R7816" s="93" t="str">
        <f>VLOOKUP(E7816,DATABASE!C:Q,11,false)</f>
        <v>Tire</v>
      </c>
    </row>
    <row r="7817" ht="22.5" customHeight="1">
      <c r="A7817" s="49"/>
      <c r="C7817" s="400">
        <v>46111.0</v>
      </c>
      <c r="D7817" s="69">
        <v>873.0</v>
      </c>
      <c r="E7817" s="544" t="s">
        <v>299</v>
      </c>
      <c r="F7817" s="387">
        <v>2.0</v>
      </c>
      <c r="G7817" s="140">
        <v>30000.0</v>
      </c>
      <c r="H7817" s="74"/>
      <c r="I7817" s="74">
        <f t="shared" si="1"/>
        <v>60000</v>
      </c>
      <c r="J7817" s="74">
        <f>IF(E7817="SERVICE",I7817-(I7817*50%),Vlookup(E7817,DATABASE!C:Q,10,false)*F7817)</f>
        <v>0</v>
      </c>
      <c r="K7817" s="74">
        <f>VLOOKUP(E7817,DATABASE!C:Q,7,false)</f>
        <v>10000</v>
      </c>
      <c r="L7817" s="74">
        <v>10000.0</v>
      </c>
      <c r="M7817" s="74">
        <f t="shared" si="4"/>
        <v>10000</v>
      </c>
      <c r="N7817" s="74">
        <f t="shared" si="3"/>
        <v>40000</v>
      </c>
      <c r="O7817" s="65" t="str">
        <f>VLOOKUP(E7817,DATABASE!C:Q,8,false)</f>
        <v>BIAN</v>
      </c>
      <c r="P7817" s="65">
        <f>VLOOKUP(E7817,DATABASE!C:Q,9,False)</f>
        <v>0</v>
      </c>
      <c r="Q7817" s="93" t="str">
        <f>VLOOKUP(E7817,DATABASE!C:Q,4,false)</f>
        <v>Balancing</v>
      </c>
      <c r="R7817" s="93" t="str">
        <f>VLOOKUP(E7817,DATABASE!C:Q,11,false)</f>
        <v>COMPLEMENTARY</v>
      </c>
    </row>
    <row r="7818" ht="22.5" customHeight="1">
      <c r="A7818" s="49"/>
      <c r="C7818" s="400">
        <v>46111.0</v>
      </c>
      <c r="D7818" s="69" t="s">
        <v>2765</v>
      </c>
      <c r="E7818" s="544" t="s">
        <v>2192</v>
      </c>
      <c r="F7818" s="387">
        <v>2.0</v>
      </c>
      <c r="G7818" s="140">
        <v>65000.0</v>
      </c>
      <c r="H7818" s="74"/>
      <c r="I7818" s="74">
        <f t="shared" si="1"/>
        <v>130000</v>
      </c>
      <c r="J7818" s="74">
        <f>IF(E7818="SERVICE",I7818-(I7818*50%),Vlookup(E7818,DATABASE!C:Q,10,false)*F7818)</f>
        <v>0</v>
      </c>
      <c r="K7818" s="74">
        <f>VLOOKUP(E7818,DATABASE!C:Q,7,false)</f>
        <v>59705</v>
      </c>
      <c r="L7818" s="74">
        <v>58114.0</v>
      </c>
      <c r="M7818" s="74">
        <f t="shared" si="4"/>
        <v>60000</v>
      </c>
      <c r="N7818" s="74">
        <f t="shared" si="3"/>
        <v>10000</v>
      </c>
      <c r="O7818" s="65" t="str">
        <f>VLOOKUP(E7818,DATABASE!C:Q,8,false)</f>
        <v>NON</v>
      </c>
      <c r="P7818" s="65">
        <f>VLOOKUP(E7818,DATABASE!C:Q,9,False)</f>
        <v>0</v>
      </c>
      <c r="Q7818" s="93" t="str">
        <f>VLOOKUP(E7818,DATABASE!C:Q,4,false)</f>
        <v>Shell</v>
      </c>
      <c r="R7818" s="93" t="str">
        <f>VLOOKUP(E7818,DATABASE!C:Q,11,false)</f>
        <v>OIL</v>
      </c>
    </row>
    <row r="7819" ht="22.5" customHeight="1">
      <c r="A7819" s="49"/>
      <c r="C7819" s="400">
        <v>46111.0</v>
      </c>
      <c r="D7819" s="69" t="s">
        <v>2766</v>
      </c>
      <c r="E7819" s="544" t="s">
        <v>2191</v>
      </c>
      <c r="F7819" s="387">
        <v>1.0</v>
      </c>
      <c r="G7819" s="140">
        <v>400000.0</v>
      </c>
      <c r="H7819" s="140"/>
      <c r="I7819" s="74">
        <f t="shared" si="1"/>
        <v>400000</v>
      </c>
      <c r="J7819" s="74">
        <f>IF(E7819="SERVICE",I7819-(I7819*50%),Vlookup(E7819,DATABASE!C:Q,10,false)*F7819)</f>
        <v>0</v>
      </c>
      <c r="K7819" s="74">
        <f>VLOOKUP(E7819,DATABASE!C:Q,7,false)</f>
        <v>422900</v>
      </c>
      <c r="L7819" s="74">
        <v>377951.0</v>
      </c>
      <c r="M7819" s="74">
        <f t="shared" si="4"/>
        <v>380000</v>
      </c>
      <c r="N7819" s="74">
        <f t="shared" si="3"/>
        <v>20000</v>
      </c>
      <c r="O7819" s="65" t="str">
        <f>VLOOKUP(E7819,DATABASE!C:Q,8,false)</f>
        <v>NON</v>
      </c>
      <c r="P7819" s="65">
        <f>VLOOKUP(E7819,DATABASE!C:Q,9,False)</f>
        <v>0</v>
      </c>
      <c r="Q7819" s="93" t="str">
        <f>VLOOKUP(E7819,DATABASE!C:Q,4,false)</f>
        <v>Shell</v>
      </c>
      <c r="R7819" s="93" t="str">
        <f>VLOOKUP(E7819,DATABASE!C:Q,11,false)</f>
        <v>OIL</v>
      </c>
    </row>
    <row r="7820" ht="22.5" customHeight="1">
      <c r="A7820" s="49"/>
      <c r="C7820" s="400">
        <v>46111.0</v>
      </c>
      <c r="D7820" s="69" t="s">
        <v>2766</v>
      </c>
      <c r="E7820" s="544" t="s">
        <v>2186</v>
      </c>
      <c r="F7820" s="387">
        <v>12.0</v>
      </c>
      <c r="G7820" s="140">
        <v>110000.0</v>
      </c>
      <c r="H7820" s="74"/>
      <c r="I7820" s="74">
        <f t="shared" si="1"/>
        <v>1320000</v>
      </c>
      <c r="J7820" s="74">
        <f>IF(E7820="SERVICE",I7820-(I7820*50%),Vlookup(E7820,DATABASE!C:Q,10,false)*F7820)</f>
        <v>0</v>
      </c>
      <c r="K7820" s="74">
        <f>VLOOKUP(E7820,DATABASE!C:Q,7,false)</f>
        <v>96400</v>
      </c>
      <c r="L7820" s="74">
        <v>95718.0</v>
      </c>
      <c r="M7820" s="74">
        <f t="shared" si="4"/>
        <v>100000</v>
      </c>
      <c r="N7820" s="74">
        <f t="shared" si="3"/>
        <v>120000</v>
      </c>
      <c r="O7820" s="65" t="str">
        <f>VLOOKUP(E7820,DATABASE!C:Q,8,false)</f>
        <v>NON</v>
      </c>
      <c r="P7820" s="65">
        <f>VLOOKUP(E7820,DATABASE!C:Q,9,False)</f>
        <v>0</v>
      </c>
      <c r="Q7820" s="93" t="str">
        <f>VLOOKUP(E7820,DATABASE!C:Q,4,false)</f>
        <v>Shell</v>
      </c>
      <c r="R7820" s="93" t="str">
        <f>VLOOKUP(E7820,DATABASE!C:Q,11,false)</f>
        <v>OIL</v>
      </c>
    </row>
    <row r="7821" ht="22.5" customHeight="1">
      <c r="A7821" s="49"/>
      <c r="C7821" s="400">
        <v>46112.0</v>
      </c>
      <c r="D7821" s="524">
        <v>874.0</v>
      </c>
      <c r="E7821" s="544" t="s">
        <v>924</v>
      </c>
      <c r="F7821" s="387">
        <v>1.0</v>
      </c>
      <c r="G7821" s="140">
        <v>1650000.0</v>
      </c>
      <c r="H7821" s="74"/>
      <c r="I7821" s="74">
        <f t="shared" si="1"/>
        <v>1650000</v>
      </c>
      <c r="J7821" s="74">
        <f>IF(E7821="SERVICE",I7821-(I7821*50%),Vlookup(E7821,DATABASE!C:Q,10,false)*F7821)</f>
        <v>0</v>
      </c>
      <c r="K7821" s="74">
        <f>VLOOKUP(E7821,DATABASE!C:Q,7,false)</f>
        <v>1560000</v>
      </c>
      <c r="L7821" s="206">
        <v>1545000.0</v>
      </c>
      <c r="M7821" s="74">
        <f t="shared" si="4"/>
        <v>1545000</v>
      </c>
      <c r="N7821" s="74">
        <f t="shared" si="3"/>
        <v>105000</v>
      </c>
      <c r="O7821" s="65" t="str">
        <f>VLOOKUP(E7821,DATABASE!C:Q,8,false)</f>
        <v>BIAN</v>
      </c>
      <c r="P7821" s="65">
        <f>VLOOKUP(E7821,DATABASE!C:Q,9,False)</f>
        <v>1</v>
      </c>
      <c r="Q7821" s="93" t="str">
        <f>VLOOKUP(E7821,DATABASE!C:Q,4,false)</f>
        <v>TIRON</v>
      </c>
      <c r="R7821" s="93" t="str">
        <f>VLOOKUP(E7821,DATABASE!C:Q,11,false)</f>
        <v>Tire</v>
      </c>
    </row>
    <row r="7822" ht="22.5" customHeight="1">
      <c r="A7822" s="49"/>
      <c r="C7822" s="400">
        <v>46112.0</v>
      </c>
      <c r="D7822" s="524">
        <v>875.0</v>
      </c>
      <c r="E7822" s="544" t="s">
        <v>286</v>
      </c>
      <c r="F7822" s="387">
        <v>5.0</v>
      </c>
      <c r="G7822" s="140">
        <v>560000.0</v>
      </c>
      <c r="H7822" s="140">
        <v>10000.0</v>
      </c>
      <c r="I7822" s="74">
        <f t="shared" si="1"/>
        <v>2750000</v>
      </c>
      <c r="J7822" s="74">
        <f>IF(E7822="SERVICE",I7822-(I7822*50%),Vlookup(E7822,DATABASE!C:Q,10,false)*F7822)</f>
        <v>0</v>
      </c>
      <c r="K7822" s="74">
        <f>VLOOKUP(E7822,DATABASE!C:Q,7,false)</f>
        <v>488320</v>
      </c>
      <c r="L7822" s="206">
        <v>452970.0</v>
      </c>
      <c r="M7822" s="74">
        <f t="shared" si="4"/>
        <v>455000</v>
      </c>
      <c r="N7822" s="74">
        <f t="shared" si="3"/>
        <v>475000</v>
      </c>
      <c r="O7822" s="65" t="str">
        <f>VLOOKUP(E7822,DATABASE!C:Q,8,false)</f>
        <v>BIAN</v>
      </c>
      <c r="P7822" s="65">
        <f>VLOOKUP(E7822,DATABASE!C:Q,9,False)</f>
        <v>1</v>
      </c>
      <c r="Q7822" s="93" t="str">
        <f>VLOOKUP(E7822,DATABASE!C:Q,4,false)</f>
        <v>GT</v>
      </c>
      <c r="R7822" s="93" t="str">
        <f>VLOOKUP(E7822,DATABASE!C:Q,11,false)</f>
        <v>Tire</v>
      </c>
    </row>
    <row r="7823" ht="22.5" customHeight="1">
      <c r="A7823" s="49"/>
      <c r="C7823" s="400">
        <v>46112.0</v>
      </c>
      <c r="D7823" s="524">
        <v>876.0</v>
      </c>
      <c r="E7823" s="544" t="s">
        <v>1301</v>
      </c>
      <c r="F7823" s="387">
        <v>1.0</v>
      </c>
      <c r="G7823" s="140">
        <v>1285000.0</v>
      </c>
      <c r="H7823" s="74"/>
      <c r="I7823" s="74">
        <f t="shared" si="1"/>
        <v>1285000</v>
      </c>
      <c r="J7823" s="74">
        <f>IF(E7823="SERVICE",I7823-(I7823*50%),Vlookup(E7823,DATABASE!C:Q,10,false)*F7823)</f>
        <v>0</v>
      </c>
      <c r="K7823" s="74">
        <f>VLOOKUP(E7823,DATABASE!C:Q,7,false)</f>
        <v>1194000</v>
      </c>
      <c r="L7823" s="206">
        <v>1182000.0</v>
      </c>
      <c r="M7823" s="74">
        <f t="shared" si="4"/>
        <v>1185000</v>
      </c>
      <c r="N7823" s="74">
        <f t="shared" si="3"/>
        <v>100000</v>
      </c>
      <c r="O7823" s="65" t="str">
        <f>VLOOKUP(E7823,DATABASE!C:Q,8,false)</f>
        <v>IBU</v>
      </c>
      <c r="P7823" s="65">
        <f>VLOOKUP(E7823,DATABASE!C:Q,9,False)</f>
        <v>1</v>
      </c>
      <c r="Q7823" s="93" t="str">
        <f>VLOOKUP(E7823,DATABASE!C:Q,4,false)</f>
        <v>Dunlop</v>
      </c>
      <c r="R7823" s="93" t="str">
        <f>VLOOKUP(E7823,DATABASE!C:Q,11,false)</f>
        <v>Tire</v>
      </c>
    </row>
    <row r="7824" ht="22.5" customHeight="1">
      <c r="A7824" s="49"/>
      <c r="C7824" s="400">
        <v>46112.0</v>
      </c>
      <c r="D7824" s="524">
        <v>877.0</v>
      </c>
      <c r="E7824" s="544" t="s">
        <v>2199</v>
      </c>
      <c r="F7824" s="387">
        <v>1.0</v>
      </c>
      <c r="G7824" s="140">
        <v>15000.0</v>
      </c>
      <c r="H7824" s="74"/>
      <c r="I7824" s="74">
        <f t="shared" si="1"/>
        <v>15000</v>
      </c>
      <c r="J7824" s="74">
        <f>IF(E7824="SERVICE",I7824-(I7824*50%),Vlookup(E7824,DATABASE!C:Q,10,false)*F7824)</f>
        <v>0</v>
      </c>
      <c r="K7824" s="74">
        <f>VLOOKUP(E7824,DATABASE!C:Q,7,false)</f>
        <v>5000</v>
      </c>
      <c r="L7824" s="206">
        <v>0.0</v>
      </c>
      <c r="M7824" s="74">
        <f t="shared" si="4"/>
        <v>0</v>
      </c>
      <c r="N7824" s="74">
        <f t="shared" si="3"/>
        <v>15000</v>
      </c>
      <c r="O7824" s="65" t="str">
        <f>VLOOKUP(E7824,DATABASE!C:Q,8,false)</f>
        <v>BIAN</v>
      </c>
      <c r="P7824" s="65">
        <f>VLOOKUP(E7824,DATABASE!C:Q,9,False)</f>
        <v>0</v>
      </c>
      <c r="Q7824" s="93" t="str">
        <f>VLOOKUP(E7824,DATABASE!C:Q,4,false)</f>
        <v>TAMBAL TUBLES</v>
      </c>
      <c r="R7824" s="93" t="str">
        <f>VLOOKUP(E7824,DATABASE!C:Q,11,false)</f>
        <v>COMPLEMENTARY</v>
      </c>
    </row>
    <row r="7825" ht="22.5" customHeight="1">
      <c r="A7825" s="49"/>
      <c r="C7825" s="400">
        <v>46112.0</v>
      </c>
      <c r="D7825" s="524">
        <v>878.0</v>
      </c>
      <c r="E7825" s="544" t="s">
        <v>268</v>
      </c>
      <c r="F7825" s="387">
        <v>4.0</v>
      </c>
      <c r="G7825" s="140">
        <v>710000.0</v>
      </c>
      <c r="H7825" s="74"/>
      <c r="I7825" s="74">
        <f t="shared" si="1"/>
        <v>2840000</v>
      </c>
      <c r="J7825" s="74">
        <f>IF(E7825="SERVICE",I7825-(I7825*50%),Vlookup(E7825,DATABASE!C:Q,10,false)*F7825)</f>
        <v>0</v>
      </c>
      <c r="K7825" s="74">
        <f>VLOOKUP(E7825,DATABASE!C:Q,7,false)</f>
        <v>653000</v>
      </c>
      <c r="L7825" s="206">
        <v>622000.0</v>
      </c>
      <c r="M7825" s="74">
        <f t="shared" si="4"/>
        <v>625000</v>
      </c>
      <c r="N7825" s="74">
        <f t="shared" si="3"/>
        <v>340000</v>
      </c>
      <c r="O7825" s="65" t="str">
        <f>VLOOKUP(E7825,DATABASE!C:Q,8,false)</f>
        <v>IBU</v>
      </c>
      <c r="P7825" s="65">
        <f>VLOOKUP(E7825,DATABASE!C:Q,9,False)</f>
        <v>1</v>
      </c>
      <c r="Q7825" s="93" t="str">
        <f>VLOOKUP(E7825,DATABASE!C:Q,4,false)</f>
        <v>Dunlop</v>
      </c>
      <c r="R7825" s="93" t="str">
        <f>VLOOKUP(E7825,DATABASE!C:Q,11,false)</f>
        <v>Tire</v>
      </c>
    </row>
    <row r="7826" ht="22.5" customHeight="1">
      <c r="A7826" s="49"/>
      <c r="C7826" s="400">
        <v>46112.0</v>
      </c>
      <c r="D7826" s="524">
        <v>879.0</v>
      </c>
      <c r="E7826" s="544" t="s">
        <v>268</v>
      </c>
      <c r="F7826" s="387">
        <v>2.0</v>
      </c>
      <c r="G7826" s="140">
        <v>710000.0</v>
      </c>
      <c r="H7826" s="74"/>
      <c r="I7826" s="74">
        <f t="shared" si="1"/>
        <v>1420000</v>
      </c>
      <c r="J7826" s="74">
        <f>IF(E7826="SERVICE",I7826-(I7826*50%),Vlookup(E7826,DATABASE!C:Q,10,false)*F7826)</f>
        <v>0</v>
      </c>
      <c r="K7826" s="74">
        <f>VLOOKUP(E7826,DATABASE!C:Q,7,false)</f>
        <v>653000</v>
      </c>
      <c r="L7826" s="206">
        <v>622000.0</v>
      </c>
      <c r="M7826" s="74">
        <f t="shared" si="4"/>
        <v>625000</v>
      </c>
      <c r="N7826" s="74">
        <f t="shared" si="3"/>
        <v>170000</v>
      </c>
      <c r="O7826" s="65" t="str">
        <f>VLOOKUP(E7826,DATABASE!C:Q,8,false)</f>
        <v>IBU</v>
      </c>
      <c r="P7826" s="65">
        <f>VLOOKUP(E7826,DATABASE!C:Q,9,False)</f>
        <v>1</v>
      </c>
      <c r="Q7826" s="93" t="str">
        <f>VLOOKUP(E7826,DATABASE!C:Q,4,false)</f>
        <v>Dunlop</v>
      </c>
      <c r="R7826" s="93" t="str">
        <f>VLOOKUP(E7826,DATABASE!C:Q,11,false)</f>
        <v>Tire</v>
      </c>
    </row>
    <row r="7827" ht="22.5" customHeight="1">
      <c r="A7827" s="49"/>
      <c r="C7827" s="400">
        <v>46112.0</v>
      </c>
      <c r="D7827" s="524">
        <v>880.0</v>
      </c>
      <c r="E7827" s="544" t="s">
        <v>256</v>
      </c>
      <c r="F7827" s="387">
        <v>1.0</v>
      </c>
      <c r="G7827" s="140">
        <v>175000.0</v>
      </c>
      <c r="H7827" s="140">
        <v>25000.0</v>
      </c>
      <c r="I7827" s="74">
        <f t="shared" si="1"/>
        <v>150000</v>
      </c>
      <c r="J7827" s="74">
        <f>IF(E7827="SERVICE",I7827-(I7827*50%),Vlookup(E7827,DATABASE!C:Q,10,false)*F7827)</f>
        <v>10000</v>
      </c>
      <c r="K7827" s="74">
        <f>VLOOKUP(E7827,DATABASE!C:Q,7,false)</f>
        <v>0</v>
      </c>
      <c r="L7827" s="206">
        <v>0.0</v>
      </c>
      <c r="M7827" s="74">
        <f t="shared" si="4"/>
        <v>0</v>
      </c>
      <c r="N7827" s="74">
        <f t="shared" si="3"/>
        <v>140000</v>
      </c>
      <c r="O7827" s="65" t="str">
        <f>VLOOKUP(E7827,DATABASE!C:Q,8,false)</f>
        <v>IBU</v>
      </c>
      <c r="P7827" s="65">
        <f>VLOOKUP(E7827,DATABASE!C:Q,9,False)</f>
        <v>0</v>
      </c>
      <c r="Q7827" s="93" t="str">
        <f>VLOOKUP(E7827,DATABASE!C:Q,4,false)</f>
        <v>SPOORING</v>
      </c>
      <c r="R7827" s="93" t="str">
        <f>VLOOKUP(E7827,DATABASE!C:Q,11,false)</f>
        <v>SERVICE</v>
      </c>
    </row>
    <row r="7828" ht="22.5" customHeight="1">
      <c r="A7828" s="49"/>
      <c r="C7828" s="400">
        <v>46112.0</v>
      </c>
      <c r="D7828" s="524">
        <v>880.0</v>
      </c>
      <c r="E7828" s="544" t="s">
        <v>251</v>
      </c>
      <c r="F7828" s="387">
        <v>1.0</v>
      </c>
      <c r="G7828" s="140">
        <v>350000.0</v>
      </c>
      <c r="H7828" s="140">
        <v>200000.0</v>
      </c>
      <c r="I7828" s="74">
        <f t="shared" si="1"/>
        <v>150000</v>
      </c>
      <c r="J7828" s="74">
        <f>IF(E7828="SERVICE",I7828-(I7828*50%),Vlookup(E7828,DATABASE!C:Q,10,false)*F7828)</f>
        <v>75000</v>
      </c>
      <c r="K7828" s="74">
        <f>VLOOKUP(E7828,DATABASE!C:Q,7,false)</f>
        <v>0</v>
      </c>
      <c r="L7828" s="206">
        <v>0.0</v>
      </c>
      <c r="M7828" s="74">
        <f t="shared" si="4"/>
        <v>0</v>
      </c>
      <c r="N7828" s="74">
        <f t="shared" si="3"/>
        <v>75000</v>
      </c>
      <c r="O7828" s="65" t="str">
        <f>VLOOKUP(E7828,DATABASE!C:Q,8,false)</f>
        <v>IBU</v>
      </c>
      <c r="P7828" s="65">
        <f>VLOOKUP(E7828,DATABASE!C:Q,9,False)</f>
        <v>0</v>
      </c>
      <c r="Q7828" s="93" t="str">
        <f>VLOOKUP(E7828,DATABASE!C:Q,4,false)</f>
        <v>SERVICE</v>
      </c>
      <c r="R7828" s="93" t="str">
        <f>VLOOKUP(E7828,DATABASE!C:Q,11,false)</f>
        <v>SERVICE</v>
      </c>
    </row>
    <row r="7829" ht="22.5" customHeight="1">
      <c r="A7829" s="49"/>
      <c r="C7829" s="400">
        <v>46112.0</v>
      </c>
      <c r="D7829" s="524">
        <v>880.0</v>
      </c>
      <c r="E7829" s="544" t="s">
        <v>299</v>
      </c>
      <c r="F7829" s="387">
        <v>2.0</v>
      </c>
      <c r="G7829" s="140">
        <v>30000.0</v>
      </c>
      <c r="H7829" s="74"/>
      <c r="I7829" s="74">
        <f t="shared" si="1"/>
        <v>60000</v>
      </c>
      <c r="J7829" s="74">
        <f>IF(E7829="SERVICE",I7829-(I7829*50%),Vlookup(E7829,DATABASE!C:Q,10,false)*F7829)</f>
        <v>0</v>
      </c>
      <c r="K7829" s="74">
        <f>VLOOKUP(E7829,DATABASE!C:Q,7,false)</f>
        <v>10000</v>
      </c>
      <c r="L7829" s="206">
        <v>10000.0</v>
      </c>
      <c r="M7829" s="74">
        <f t="shared" si="4"/>
        <v>10000</v>
      </c>
      <c r="N7829" s="74">
        <f t="shared" si="3"/>
        <v>40000</v>
      </c>
      <c r="O7829" s="65" t="str">
        <f>VLOOKUP(E7829,DATABASE!C:Q,8,false)</f>
        <v>BIAN</v>
      </c>
      <c r="P7829" s="65">
        <f>VLOOKUP(E7829,DATABASE!C:Q,9,False)</f>
        <v>0</v>
      </c>
      <c r="Q7829" s="93" t="str">
        <f>VLOOKUP(E7829,DATABASE!C:Q,4,false)</f>
        <v>Balancing</v>
      </c>
      <c r="R7829" s="93" t="str">
        <f>VLOOKUP(E7829,DATABASE!C:Q,11,false)</f>
        <v>COMPLEMENTARY</v>
      </c>
    </row>
    <row r="7830" ht="22.5" customHeight="1">
      <c r="A7830" s="49"/>
      <c r="C7830" s="400">
        <v>46112.0</v>
      </c>
      <c r="D7830" s="524">
        <v>881.0</v>
      </c>
      <c r="E7830" s="544" t="s">
        <v>614</v>
      </c>
      <c r="F7830" s="387">
        <v>2.0</v>
      </c>
      <c r="G7830" s="140">
        <v>820000.0</v>
      </c>
      <c r="H7830" s="74"/>
      <c r="I7830" s="74">
        <f t="shared" si="1"/>
        <v>1640000</v>
      </c>
      <c r="J7830" s="74">
        <f>IF(E7830="SERVICE",I7830-(I7830*50%),Vlookup(E7830,DATABASE!C:Q,10,false)*F7830)</f>
        <v>0</v>
      </c>
      <c r="K7830" s="74">
        <f>VLOOKUP(E7830,DATABASE!C:Q,7,false)</f>
        <v>754660.6</v>
      </c>
      <c r="L7830" s="206">
        <v>727756.0</v>
      </c>
      <c r="M7830" s="74">
        <f t="shared" si="4"/>
        <v>730000</v>
      </c>
      <c r="N7830" s="74">
        <f t="shared" si="3"/>
        <v>180000</v>
      </c>
      <c r="O7830" s="65" t="str">
        <f>VLOOKUP(E7830,DATABASE!C:Q,8,false)</f>
        <v>IBU</v>
      </c>
      <c r="P7830" s="65">
        <f>VLOOKUP(E7830,DATABASE!C:Q,9,False)</f>
        <v>1</v>
      </c>
      <c r="Q7830" s="93" t="str">
        <f>VLOOKUP(E7830,DATABASE!C:Q,4,false)</f>
        <v>Bridgestone</v>
      </c>
      <c r="R7830" s="93" t="str">
        <f>VLOOKUP(E7830,DATABASE!C:Q,11,false)</f>
        <v>Tire</v>
      </c>
    </row>
    <row r="7831" ht="22.5" customHeight="1">
      <c r="A7831" s="49"/>
      <c r="C7831" s="400">
        <v>46112.0</v>
      </c>
      <c r="D7831" s="524">
        <v>882.0</v>
      </c>
      <c r="E7831" s="544" t="s">
        <v>1597</v>
      </c>
      <c r="F7831" s="387">
        <v>1.0</v>
      </c>
      <c r="G7831" s="140">
        <v>645000.0</v>
      </c>
      <c r="H7831" s="74"/>
      <c r="I7831" s="74">
        <f t="shared" si="1"/>
        <v>645000</v>
      </c>
      <c r="J7831" s="74">
        <f>IF(E7831="SERVICE",I7831-(I7831*50%),Vlookup(E7831,DATABASE!C:Q,10,false)*F7831)</f>
        <v>0</v>
      </c>
      <c r="K7831" s="74">
        <f>VLOOKUP(E7831,DATABASE!C:Q,7,false)</f>
        <v>560700</v>
      </c>
      <c r="L7831" s="74">
        <v>544300.0</v>
      </c>
      <c r="M7831" s="74">
        <f t="shared" si="4"/>
        <v>545000</v>
      </c>
      <c r="N7831" s="74">
        <f t="shared" si="3"/>
        <v>100000</v>
      </c>
      <c r="O7831" s="65" t="str">
        <f>VLOOKUP(E7831,DATABASE!C:Q,8,false)</f>
        <v>BIAN</v>
      </c>
      <c r="P7831" s="65">
        <f>VLOOKUP(E7831,DATABASE!C:Q,9,False)</f>
        <v>1</v>
      </c>
      <c r="Q7831" s="93" t="str">
        <f>VLOOKUP(E7831,DATABASE!C:Q,4,false)</f>
        <v>GT</v>
      </c>
      <c r="R7831" s="93" t="str">
        <f>VLOOKUP(E7831,DATABASE!C:Q,11,false)</f>
        <v>Tire</v>
      </c>
    </row>
    <row r="7832" ht="22.5" customHeight="1">
      <c r="A7832" s="49"/>
      <c r="C7832" s="400">
        <v>46112.0</v>
      </c>
      <c r="D7832" s="524">
        <v>883.0</v>
      </c>
      <c r="E7832" s="544" t="s">
        <v>2199</v>
      </c>
      <c r="F7832" s="387">
        <v>1.0</v>
      </c>
      <c r="G7832" s="140">
        <v>15000.0</v>
      </c>
      <c r="H7832" s="74"/>
      <c r="I7832" s="74">
        <f t="shared" si="1"/>
        <v>15000</v>
      </c>
      <c r="J7832" s="74">
        <f>IF(E7832="SERVICE",I7832-(I7832*50%),Vlookup(E7832,DATABASE!C:Q,10,false)*F7832)</f>
        <v>0</v>
      </c>
      <c r="K7832" s="74">
        <f>VLOOKUP(E7832,DATABASE!C:Q,7,false)</f>
        <v>5000</v>
      </c>
      <c r="L7832" s="74">
        <v>0.0</v>
      </c>
      <c r="M7832" s="74">
        <f t="shared" si="4"/>
        <v>0</v>
      </c>
      <c r="N7832" s="74">
        <f t="shared" si="3"/>
        <v>15000</v>
      </c>
      <c r="O7832" s="65" t="str">
        <f>VLOOKUP(E7832,DATABASE!C:Q,8,false)</f>
        <v>BIAN</v>
      </c>
      <c r="P7832" s="65">
        <f>VLOOKUP(E7832,DATABASE!C:Q,9,False)</f>
        <v>0</v>
      </c>
      <c r="Q7832" s="93" t="str">
        <f>VLOOKUP(E7832,DATABASE!C:Q,4,false)</f>
        <v>TAMBAL TUBLES</v>
      </c>
      <c r="R7832" s="93" t="str">
        <f>VLOOKUP(E7832,DATABASE!C:Q,11,false)</f>
        <v>COMPLEMENTARY</v>
      </c>
    </row>
    <row r="7833" ht="22.5" customHeight="1">
      <c r="A7833" s="49"/>
      <c r="C7833" s="400">
        <v>46112.0</v>
      </c>
      <c r="D7833" s="524">
        <v>884.0</v>
      </c>
      <c r="E7833" s="544" t="s">
        <v>265</v>
      </c>
      <c r="F7833" s="387">
        <v>2.0</v>
      </c>
      <c r="G7833" s="140">
        <v>685000.0</v>
      </c>
      <c r="H7833" s="74"/>
      <c r="I7833" s="74">
        <f t="shared" si="1"/>
        <v>1370000</v>
      </c>
      <c r="J7833" s="74">
        <f>IF(E7833="SERVICE",I7833-(I7833*50%),Vlookup(E7833,DATABASE!C:Q,10,false)*F7833)</f>
        <v>0</v>
      </c>
      <c r="K7833" s="74">
        <f>VLOOKUP(E7833,DATABASE!C:Q,7,false)</f>
        <v>628000</v>
      </c>
      <c r="L7833" s="74">
        <v>600000.0</v>
      </c>
      <c r="M7833" s="74">
        <f t="shared" si="4"/>
        <v>600000</v>
      </c>
      <c r="N7833" s="74">
        <f t="shared" si="3"/>
        <v>170000</v>
      </c>
      <c r="O7833" s="65" t="str">
        <f>VLOOKUP(E7833,DATABASE!C:Q,8,false)</f>
        <v>IBU</v>
      </c>
      <c r="P7833" s="65">
        <f>VLOOKUP(E7833,DATABASE!C:Q,9,False)</f>
        <v>1</v>
      </c>
      <c r="Q7833" s="93" t="str">
        <f>VLOOKUP(E7833,DATABASE!C:Q,4,false)</f>
        <v>Dunlop</v>
      </c>
      <c r="R7833" s="93" t="str">
        <f>VLOOKUP(E7833,DATABASE!C:Q,11,false)</f>
        <v>Tire</v>
      </c>
    </row>
    <row r="7834" ht="22.5" customHeight="1">
      <c r="A7834" s="49"/>
      <c r="C7834" s="400">
        <v>46112.0</v>
      </c>
      <c r="D7834" s="524">
        <v>885.0</v>
      </c>
      <c r="E7834" s="544" t="s">
        <v>1913</v>
      </c>
      <c r="F7834" s="387">
        <v>4.0</v>
      </c>
      <c r="G7834" s="140">
        <v>670000.0</v>
      </c>
      <c r="H7834" s="74"/>
      <c r="I7834" s="74">
        <f t="shared" si="1"/>
        <v>2680000</v>
      </c>
      <c r="J7834" s="74">
        <f>IF(E7834="SERVICE",I7834-(I7834*50%),Vlookup(E7834,DATABASE!C:Q,10,false)*F7834)</f>
        <v>0</v>
      </c>
      <c r="K7834" s="74">
        <f>VLOOKUP(E7834,DATABASE!C:Q,7,false)</f>
        <v>587200</v>
      </c>
      <c r="L7834" s="74">
        <v>570200.0</v>
      </c>
      <c r="M7834" s="74">
        <f t="shared" si="4"/>
        <v>575000</v>
      </c>
      <c r="N7834" s="74">
        <f t="shared" si="3"/>
        <v>380000</v>
      </c>
      <c r="O7834" s="65" t="str">
        <f>VLOOKUP(E7834,DATABASE!C:Q,8,false)</f>
        <v>BIAN</v>
      </c>
      <c r="P7834" s="65">
        <f>VLOOKUP(E7834,DATABASE!C:Q,9,False)</f>
        <v>1</v>
      </c>
      <c r="Q7834" s="93" t="str">
        <f>VLOOKUP(E7834,DATABASE!C:Q,4,false)</f>
        <v>GT</v>
      </c>
      <c r="R7834" s="93" t="str">
        <f>VLOOKUP(E7834,DATABASE!C:Q,11,false)</f>
        <v>Tire</v>
      </c>
    </row>
    <row r="7835" ht="22.5" customHeight="1">
      <c r="A7835" s="49"/>
      <c r="C7835" s="400">
        <v>46112.0</v>
      </c>
      <c r="D7835" s="69">
        <v>886.0</v>
      </c>
      <c r="E7835" s="544" t="s">
        <v>2611</v>
      </c>
      <c r="F7835" s="387">
        <v>2.0</v>
      </c>
      <c r="G7835" s="140">
        <v>115000.0</v>
      </c>
      <c r="H7835" s="74"/>
      <c r="I7835" s="74">
        <f t="shared" si="1"/>
        <v>230000</v>
      </c>
      <c r="J7835" s="74">
        <f>IF(E7835="SERVICE",I7835-(I7835*50%),Vlookup(E7835,DATABASE!C:Q,10,false)*F7835)</f>
        <v>0</v>
      </c>
      <c r="K7835" s="74">
        <f>VLOOKUP(E7835,DATABASE!C:Q,7,false)</f>
        <v>81000</v>
      </c>
      <c r="L7835" s="74">
        <v>81000.0</v>
      </c>
      <c r="M7835" s="74">
        <f t="shared" si="4"/>
        <v>85000</v>
      </c>
      <c r="N7835" s="74">
        <f t="shared" si="3"/>
        <v>60000</v>
      </c>
      <c r="O7835" s="65" t="str">
        <f>VLOOKUP(E7835,DATABASE!C:Q,8,false)</f>
        <v>BIAN</v>
      </c>
      <c r="P7835" s="65">
        <f>VLOOKUP(E7835,DATABASE!C:Q,9,False)</f>
        <v>1</v>
      </c>
      <c r="Q7835" s="93" t="str">
        <f>VLOOKUP(E7835,DATABASE!C:Q,4,false)</f>
        <v>BD IBK</v>
      </c>
      <c r="R7835" s="93" t="str">
        <f>VLOOKUP(E7835,DATABASE!C:Q,11,false)</f>
        <v>Tire</v>
      </c>
    </row>
    <row r="7836" ht="22.5" customHeight="1">
      <c r="A7836" s="49"/>
      <c r="C7836" s="400">
        <v>46112.0</v>
      </c>
      <c r="D7836" s="69">
        <v>887.0</v>
      </c>
      <c r="E7836" s="544" t="s">
        <v>2611</v>
      </c>
      <c r="F7836" s="387">
        <v>1.0</v>
      </c>
      <c r="G7836" s="140">
        <v>115000.0</v>
      </c>
      <c r="H7836" s="74"/>
      <c r="I7836" s="74">
        <f t="shared" si="1"/>
        <v>115000</v>
      </c>
      <c r="J7836" s="74">
        <f>IF(E7836="SERVICE",I7836-(I7836*50%),Vlookup(E7836,DATABASE!C:Q,10,false)*F7836)</f>
        <v>0</v>
      </c>
      <c r="K7836" s="74">
        <f>VLOOKUP(E7836,DATABASE!C:Q,7,false)</f>
        <v>81000</v>
      </c>
      <c r="L7836" s="74">
        <v>81000.0</v>
      </c>
      <c r="M7836" s="74">
        <f t="shared" si="4"/>
        <v>85000</v>
      </c>
      <c r="N7836" s="74">
        <f t="shared" si="3"/>
        <v>30000</v>
      </c>
      <c r="O7836" s="65" t="str">
        <f>VLOOKUP(E7836,DATABASE!C:Q,8,false)</f>
        <v>BIAN</v>
      </c>
      <c r="P7836" s="65">
        <f>VLOOKUP(E7836,DATABASE!C:Q,9,False)</f>
        <v>1</v>
      </c>
      <c r="Q7836" s="93" t="str">
        <f>VLOOKUP(E7836,DATABASE!C:Q,4,false)</f>
        <v>BD IBK</v>
      </c>
      <c r="R7836" s="93" t="str">
        <f>VLOOKUP(E7836,DATABASE!C:Q,11,false)</f>
        <v>Tire</v>
      </c>
    </row>
    <row r="7837" ht="22.5" customHeight="1">
      <c r="A7837" s="49"/>
      <c r="C7837" s="400">
        <v>46112.0</v>
      </c>
      <c r="D7837" s="69" t="s">
        <v>2767</v>
      </c>
      <c r="E7837" s="544" t="s">
        <v>248</v>
      </c>
      <c r="F7837" s="387">
        <v>1.0</v>
      </c>
      <c r="G7837" s="140">
        <v>190000.0</v>
      </c>
      <c r="H7837" s="74"/>
      <c r="I7837" s="74">
        <f t="shared" si="1"/>
        <v>190000</v>
      </c>
      <c r="J7837" s="74">
        <f>IF(E7837="SERVICE",I7837-(I7837*50%),Vlookup(E7837,DATABASE!C:Q,10,false)*F7837)</f>
        <v>0</v>
      </c>
      <c r="K7837" s="74">
        <f>VLOOKUP(E7837,DATABASE!C:Q,7,false)</f>
        <v>209816.66</v>
      </c>
      <c r="L7837" s="206">
        <v>160833.0</v>
      </c>
      <c r="M7837" s="74">
        <f t="shared" si="4"/>
        <v>165000</v>
      </c>
      <c r="N7837" s="74">
        <f t="shared" si="3"/>
        <v>25000</v>
      </c>
      <c r="O7837" s="65" t="str">
        <f>VLOOKUP(E7837,DATABASE!C:Q,8,false)</f>
        <v>NON</v>
      </c>
      <c r="P7837" s="65">
        <f>VLOOKUP(E7837,DATABASE!C:Q,9,False)</f>
        <v>0</v>
      </c>
      <c r="Q7837" s="93" t="str">
        <f>VLOOKUP(E7837,DATABASE!C:Q,4,false)</f>
        <v>Pertamina</v>
      </c>
      <c r="R7837" s="93" t="str">
        <f>VLOOKUP(E7837,DATABASE!C:Q,11,false)</f>
        <v>OIL</v>
      </c>
    </row>
    <row r="7838" ht="22.5" customHeight="1">
      <c r="A7838" s="49"/>
      <c r="C7838" s="400">
        <v>46112.0</v>
      </c>
      <c r="D7838" s="69" t="s">
        <v>2767</v>
      </c>
      <c r="E7838" s="544" t="s">
        <v>298</v>
      </c>
      <c r="F7838" s="387">
        <v>1.0</v>
      </c>
      <c r="G7838" s="140">
        <v>25000.0</v>
      </c>
      <c r="H7838" s="140">
        <v>2000.0</v>
      </c>
      <c r="I7838" s="74">
        <f t="shared" si="1"/>
        <v>23000</v>
      </c>
      <c r="J7838" s="74">
        <f>IF(E7838="SERVICE",I7838-(I7838*50%),Vlookup(E7838,DATABASE!C:Q,10,false)*F7838)</f>
        <v>0</v>
      </c>
      <c r="K7838" s="74">
        <f>VLOOKUP(E7838,DATABASE!C:Q,7,false)</f>
        <v>19200</v>
      </c>
      <c r="L7838" s="206">
        <v>19200.0</v>
      </c>
      <c r="M7838" s="74">
        <f t="shared" si="4"/>
        <v>20000</v>
      </c>
      <c r="N7838" s="74">
        <f t="shared" si="3"/>
        <v>3000</v>
      </c>
      <c r="O7838" s="65" t="str">
        <f>VLOOKUP(E7838,DATABASE!C:Q,8,false)</f>
        <v>BIAN</v>
      </c>
      <c r="P7838" s="65">
        <f>VLOOKUP(E7838,DATABASE!C:Q,9,False)</f>
        <v>0</v>
      </c>
      <c r="Q7838" s="93" t="str">
        <f>VLOOKUP(E7838,DATABASE!C:Q,4,false)</f>
        <v>Aspira</v>
      </c>
      <c r="R7838" s="93" t="str">
        <f>VLOOKUP(E7838,DATABASE!C:Q,11,false)</f>
        <v>COMPLEMENTARY</v>
      </c>
    </row>
    <row r="7839" ht="22.5" customHeight="1">
      <c r="A7839" s="49"/>
      <c r="C7839" s="400">
        <v>46113.0</v>
      </c>
      <c r="D7839" s="524">
        <v>888.0</v>
      </c>
      <c r="E7839" s="544" t="s">
        <v>937</v>
      </c>
      <c r="F7839" s="387">
        <v>1.0</v>
      </c>
      <c r="G7839" s="140">
        <v>910000.0</v>
      </c>
      <c r="H7839" s="140">
        <v>5000.0</v>
      </c>
      <c r="I7839" s="74">
        <f t="shared" si="1"/>
        <v>905000</v>
      </c>
      <c r="J7839" s="74">
        <f>IF(E7839="SERVICE",I7839-(I7839*50%),Vlookup(E7839,DATABASE!C:Q,10,false)*F7839)</f>
        <v>0</v>
      </c>
      <c r="K7839" s="74">
        <f>VLOOKUP(E7839,DATABASE!C:Q,7,false)</f>
        <v>825000</v>
      </c>
      <c r="L7839" s="74">
        <v>815000.0</v>
      </c>
      <c r="M7839" s="74">
        <f t="shared" si="4"/>
        <v>815000</v>
      </c>
      <c r="N7839" s="74">
        <f t="shared" si="3"/>
        <v>90000</v>
      </c>
      <c r="O7839" s="65" t="str">
        <f>VLOOKUP(E7839,DATABASE!C:Q,8,false)</f>
        <v>IBU</v>
      </c>
      <c r="P7839" s="65">
        <f>VLOOKUP(E7839,DATABASE!C:Q,9,False)</f>
        <v>1</v>
      </c>
      <c r="Q7839" s="93" t="str">
        <f>VLOOKUP(E7839,DATABASE!C:Q,4,false)</f>
        <v>Bridgestone</v>
      </c>
      <c r="R7839" s="93" t="str">
        <f>VLOOKUP(E7839,DATABASE!C:Q,11,false)</f>
        <v>Tire</v>
      </c>
    </row>
    <row r="7840" ht="22.5" customHeight="1">
      <c r="A7840" s="49"/>
      <c r="C7840" s="400">
        <v>46113.0</v>
      </c>
      <c r="D7840" s="524">
        <v>888.0</v>
      </c>
      <c r="E7840" s="544" t="s">
        <v>613</v>
      </c>
      <c r="F7840" s="387">
        <v>1.0</v>
      </c>
      <c r="G7840" s="140">
        <v>95000.0</v>
      </c>
      <c r="H7840" s="74"/>
      <c r="I7840" s="74">
        <f t="shared" si="1"/>
        <v>95000</v>
      </c>
      <c r="J7840" s="74">
        <f>IF(E7840="SERVICE",I7840-(I7840*50%),Vlookup(E7840,DATABASE!C:Q,10,false)*F7840)</f>
        <v>0</v>
      </c>
      <c r="K7840" s="74">
        <f>VLOOKUP(E7840,DATABASE!C:Q,7,false)</f>
        <v>58371.2695</v>
      </c>
      <c r="L7840" s="74">
        <v>55000.0</v>
      </c>
      <c r="M7840" s="74">
        <f t="shared" si="4"/>
        <v>55000</v>
      </c>
      <c r="N7840" s="74">
        <f t="shared" si="3"/>
        <v>40000</v>
      </c>
      <c r="O7840" s="65" t="str">
        <f>VLOOKUP(E7840,DATABASE!C:Q,8,false)</f>
        <v>BIAN</v>
      </c>
      <c r="P7840" s="65">
        <f>VLOOKUP(E7840,DATABASE!C:Q,9,False)</f>
        <v>1</v>
      </c>
      <c r="Q7840" s="93" t="str">
        <f>VLOOKUP(E7840,DATABASE!C:Q,4,false)</f>
        <v>BD</v>
      </c>
      <c r="R7840" s="93" t="str">
        <f>VLOOKUP(E7840,DATABASE!C:Q,11,false)</f>
        <v>Tire</v>
      </c>
    </row>
    <row r="7841" ht="22.5" customHeight="1">
      <c r="A7841" s="49"/>
      <c r="C7841" s="400">
        <v>46113.0</v>
      </c>
      <c r="D7841" s="524">
        <v>889.0</v>
      </c>
      <c r="E7841" s="544" t="s">
        <v>2090</v>
      </c>
      <c r="F7841" s="387">
        <v>1.0</v>
      </c>
      <c r="G7841" s="140">
        <v>690000.0</v>
      </c>
      <c r="H7841" s="74"/>
      <c r="I7841" s="74">
        <f t="shared" si="1"/>
        <v>690000</v>
      </c>
      <c r="J7841" s="74">
        <f>IF(E7841="SERVICE",I7841-(I7841*50%),Vlookup(E7841,DATABASE!C:Q,10,false)*F7841)</f>
        <v>0</v>
      </c>
      <c r="K7841" s="74">
        <f>VLOOKUP(E7841,DATABASE!C:Q,7,false)</f>
        <v>605000</v>
      </c>
      <c r="L7841" s="74">
        <v>605000.0</v>
      </c>
      <c r="M7841" s="74">
        <f t="shared" si="4"/>
        <v>605000</v>
      </c>
      <c r="N7841" s="74">
        <f t="shared" si="3"/>
        <v>85000</v>
      </c>
      <c r="O7841" s="65" t="str">
        <f>VLOOKUP(E7841,DATABASE!C:Q,8,false)</f>
        <v>BIAN</v>
      </c>
      <c r="P7841" s="65">
        <f>VLOOKUP(E7841,DATABASE!C:Q,9,False)</f>
        <v>1</v>
      </c>
      <c r="Q7841" s="93" t="str">
        <f>VLOOKUP(E7841,DATABASE!C:Q,4,false)</f>
        <v>Laufen</v>
      </c>
      <c r="R7841" s="93" t="str">
        <f>VLOOKUP(E7841,DATABASE!C:Q,11,false)</f>
        <v>Tire</v>
      </c>
    </row>
    <row r="7842" ht="22.5" customHeight="1">
      <c r="A7842" s="49"/>
      <c r="C7842" s="400">
        <v>46113.0</v>
      </c>
      <c r="D7842" s="69">
        <v>890.0</v>
      </c>
      <c r="E7842" s="544" t="s">
        <v>2605</v>
      </c>
      <c r="F7842" s="387">
        <v>1.0</v>
      </c>
      <c r="G7842" s="140">
        <v>720000.0</v>
      </c>
      <c r="H7842" s="74"/>
      <c r="I7842" s="74">
        <f t="shared" si="1"/>
        <v>720000</v>
      </c>
      <c r="J7842" s="74">
        <f>IF(E7842="SERVICE",I7842-(I7842*50%),Vlookup(E7842,DATABASE!C:Q,10,false)*F7842)</f>
        <v>0</v>
      </c>
      <c r="K7842" s="74">
        <f>VLOOKUP(E7842,DATABASE!C:Q,7,false)</f>
        <v>650000</v>
      </c>
      <c r="L7842" s="74">
        <v>620000.0</v>
      </c>
      <c r="M7842" s="74">
        <f t="shared" si="4"/>
        <v>620000</v>
      </c>
      <c r="N7842" s="74">
        <f t="shared" si="3"/>
        <v>100000</v>
      </c>
      <c r="O7842" s="65" t="str">
        <f>VLOOKUP(E7842,DATABASE!C:Q,8,false)</f>
        <v>BIAN</v>
      </c>
      <c r="P7842" s="65">
        <f>VLOOKUP(E7842,DATABASE!C:Q,9,False)</f>
        <v>1</v>
      </c>
      <c r="Q7842" s="93" t="str">
        <f>VLOOKUP(E7842,DATABASE!C:Q,4,false)</f>
        <v>Velg</v>
      </c>
      <c r="R7842" s="93" t="str">
        <f>VLOOKUP(E7842,DATABASE!C:Q,11,false)</f>
        <v>Tire</v>
      </c>
    </row>
    <row r="7843" ht="22.5" customHeight="1">
      <c r="A7843" s="49"/>
      <c r="C7843" s="400">
        <v>46113.0</v>
      </c>
      <c r="D7843" s="524">
        <v>891.0</v>
      </c>
      <c r="E7843" s="544" t="s">
        <v>897</v>
      </c>
      <c r="F7843" s="387">
        <v>1.0</v>
      </c>
      <c r="G7843" s="140">
        <v>1600000.0</v>
      </c>
      <c r="H7843" s="74"/>
      <c r="I7843" s="74">
        <f t="shared" si="1"/>
        <v>1600000</v>
      </c>
      <c r="J7843" s="74">
        <f>IF(E7843="SERVICE",I7843-(I7843*50%),Vlookup(E7843,DATABASE!C:Q,10,false)*F7843)</f>
        <v>0</v>
      </c>
      <c r="K7843" s="74">
        <f>VLOOKUP(E7843,DATABASE!C:Q,7,false)</f>
        <v>1560000</v>
      </c>
      <c r="L7843" s="74">
        <v>1500000.0</v>
      </c>
      <c r="M7843" s="74">
        <f t="shared" si="4"/>
        <v>1500000</v>
      </c>
      <c r="N7843" s="74">
        <f t="shared" si="3"/>
        <v>100000</v>
      </c>
      <c r="O7843" s="65" t="str">
        <f>VLOOKUP(E7843,DATABASE!C:Q,8,false)</f>
        <v>BIAN</v>
      </c>
      <c r="P7843" s="65">
        <f>VLOOKUP(E7843,DATABASE!C:Q,9,False)</f>
        <v>1</v>
      </c>
      <c r="Q7843" s="93" t="str">
        <f>VLOOKUP(E7843,DATABASE!C:Q,4,false)</f>
        <v>GT</v>
      </c>
      <c r="R7843" s="93" t="str">
        <f>VLOOKUP(E7843,DATABASE!C:Q,11,false)</f>
        <v>Tire</v>
      </c>
    </row>
    <row r="7844" ht="22.5" customHeight="1">
      <c r="A7844" s="49"/>
      <c r="C7844" s="400">
        <v>46113.0</v>
      </c>
      <c r="D7844" s="524">
        <v>891.0</v>
      </c>
      <c r="E7844" s="544" t="s">
        <v>744</v>
      </c>
      <c r="F7844" s="387">
        <v>1.0</v>
      </c>
      <c r="G7844" s="140">
        <v>230000.0</v>
      </c>
      <c r="H7844" s="74"/>
      <c r="I7844" s="74">
        <f t="shared" si="1"/>
        <v>230000</v>
      </c>
      <c r="J7844" s="74">
        <f>IF(E7844="SERVICE",I7844-(I7844*50%),Vlookup(E7844,DATABASE!C:Q,10,false)*F7844)</f>
        <v>0</v>
      </c>
      <c r="K7844" s="74">
        <f>VLOOKUP(E7844,DATABASE!C:Q,7,false)</f>
        <v>182200</v>
      </c>
      <c r="L7844" s="74">
        <v>199920.0</v>
      </c>
      <c r="M7844" s="74">
        <f t="shared" si="4"/>
        <v>200000</v>
      </c>
      <c r="N7844" s="74">
        <f t="shared" si="3"/>
        <v>30000</v>
      </c>
      <c r="O7844" s="65" t="str">
        <f>VLOOKUP(E7844,DATABASE!C:Q,8,false)</f>
        <v>BIAN</v>
      </c>
      <c r="P7844" s="65">
        <f>VLOOKUP(E7844,DATABASE!C:Q,9,False)</f>
        <v>1</v>
      </c>
      <c r="Q7844" s="93" t="str">
        <f>VLOOKUP(E7844,DATABASE!C:Q,4,false)</f>
        <v>BD</v>
      </c>
      <c r="R7844" s="93" t="str">
        <f>VLOOKUP(E7844,DATABASE!C:Q,11,false)</f>
        <v>Tire</v>
      </c>
    </row>
    <row r="7845" ht="22.5" customHeight="1">
      <c r="A7845" s="49"/>
      <c r="C7845" s="400">
        <v>46113.0</v>
      </c>
      <c r="D7845" s="524">
        <v>892.0</v>
      </c>
      <c r="E7845" s="544" t="s">
        <v>647</v>
      </c>
      <c r="F7845" s="387">
        <v>2.0</v>
      </c>
      <c r="G7845" s="140">
        <v>1520000.0</v>
      </c>
      <c r="H7845" s="74"/>
      <c r="I7845" s="74">
        <f t="shared" si="1"/>
        <v>3040000</v>
      </c>
      <c r="J7845" s="74">
        <f>IF(E7845="SERVICE",I7845-(I7845*50%),Vlookup(E7845,DATABASE!C:Q,10,false)*F7845)</f>
        <v>0</v>
      </c>
      <c r="K7845" s="74">
        <f>VLOOKUP(E7845,DATABASE!C:Q,7,false)</f>
        <v>1420000</v>
      </c>
      <c r="L7845" s="74">
        <v>1420000.0</v>
      </c>
      <c r="M7845" s="74">
        <f t="shared" si="4"/>
        <v>1420000</v>
      </c>
      <c r="N7845" s="74">
        <f t="shared" si="3"/>
        <v>200000</v>
      </c>
      <c r="O7845" s="65" t="str">
        <f>VLOOKUP(E7845,DATABASE!C:Q,8,false)</f>
        <v>BIAN</v>
      </c>
      <c r="P7845" s="65">
        <f>VLOOKUP(E7845,DATABASE!C:Q,9,False)</f>
        <v>1</v>
      </c>
      <c r="Q7845" s="93" t="str">
        <f>VLOOKUP(E7845,DATABASE!C:Q,4,false)</f>
        <v>G. YEAR</v>
      </c>
      <c r="R7845" s="93" t="str">
        <f>VLOOKUP(E7845,DATABASE!C:Q,11,false)</f>
        <v>Tire</v>
      </c>
    </row>
    <row r="7846" ht="22.5" customHeight="1">
      <c r="A7846" s="49"/>
      <c r="C7846" s="400">
        <v>46113.0</v>
      </c>
      <c r="D7846" s="524">
        <v>892.0</v>
      </c>
      <c r="E7846" s="544" t="s">
        <v>744</v>
      </c>
      <c r="F7846" s="387">
        <v>2.0</v>
      </c>
      <c r="G7846" s="140">
        <v>230000.0</v>
      </c>
      <c r="H7846" s="74"/>
      <c r="I7846" s="74">
        <f t="shared" si="1"/>
        <v>460000</v>
      </c>
      <c r="J7846" s="74">
        <f>IF(E7846="SERVICE",I7846-(I7846*50%),Vlookup(E7846,DATABASE!C:Q,10,false)*F7846)</f>
        <v>0</v>
      </c>
      <c r="K7846" s="74">
        <f>VLOOKUP(E7846,DATABASE!C:Q,7,false)</f>
        <v>182200</v>
      </c>
      <c r="L7846" s="74">
        <v>199920.0</v>
      </c>
      <c r="M7846" s="74">
        <f t="shared" si="4"/>
        <v>200000</v>
      </c>
      <c r="N7846" s="74">
        <f t="shared" si="3"/>
        <v>60000</v>
      </c>
      <c r="O7846" s="65" t="str">
        <f>VLOOKUP(E7846,DATABASE!C:Q,8,false)</f>
        <v>BIAN</v>
      </c>
      <c r="P7846" s="65">
        <f>VLOOKUP(E7846,DATABASE!C:Q,9,False)</f>
        <v>1</v>
      </c>
      <c r="Q7846" s="93" t="str">
        <f>VLOOKUP(E7846,DATABASE!C:Q,4,false)</f>
        <v>BD</v>
      </c>
      <c r="R7846" s="93" t="str">
        <f>VLOOKUP(E7846,DATABASE!C:Q,11,false)</f>
        <v>Tire</v>
      </c>
    </row>
    <row r="7847" ht="22.5" customHeight="1">
      <c r="A7847" s="49"/>
      <c r="C7847" s="400">
        <v>46113.0</v>
      </c>
      <c r="D7847" s="524">
        <v>892.0</v>
      </c>
      <c r="E7847" s="544" t="s">
        <v>821</v>
      </c>
      <c r="F7847" s="387">
        <v>1.0</v>
      </c>
      <c r="G7847" s="140">
        <v>85000.0</v>
      </c>
      <c r="H7847" s="74"/>
      <c r="I7847" s="74">
        <f t="shared" si="1"/>
        <v>85000</v>
      </c>
      <c r="J7847" s="74">
        <f>IF(E7847="SERVICE",I7847-(I7847*50%),Vlookup(E7847,DATABASE!C:Q,10,false)*F7847)</f>
        <v>0</v>
      </c>
      <c r="K7847" s="74">
        <f>VLOOKUP(E7847,DATABASE!C:Q,7,false)</f>
        <v>43500</v>
      </c>
      <c r="L7847" s="74">
        <v>43520.0</v>
      </c>
      <c r="M7847" s="74">
        <f t="shared" si="4"/>
        <v>45000</v>
      </c>
      <c r="N7847" s="74">
        <f t="shared" si="3"/>
        <v>40000</v>
      </c>
      <c r="O7847" s="65" t="str">
        <f>VLOOKUP(E7847,DATABASE!C:Q,8,false)</f>
        <v>BIAN</v>
      </c>
      <c r="P7847" s="65">
        <f>VLOOKUP(E7847,DATABASE!C:Q,9,False)</f>
        <v>1</v>
      </c>
      <c r="Q7847" s="93" t="str">
        <f>VLOOKUP(E7847,DATABASE!C:Q,4,false)</f>
        <v>Flap</v>
      </c>
      <c r="R7847" s="93" t="str">
        <f>VLOOKUP(E7847,DATABASE!C:Q,11,false)</f>
        <v>Tire</v>
      </c>
    </row>
    <row r="7848" ht="22.5" customHeight="1">
      <c r="A7848" s="49"/>
      <c r="C7848" s="400">
        <v>46113.0</v>
      </c>
      <c r="D7848" s="524">
        <v>893.0</v>
      </c>
      <c r="E7848" s="544" t="s">
        <v>781</v>
      </c>
      <c r="F7848" s="387">
        <v>1.0</v>
      </c>
      <c r="G7848" s="140">
        <v>530000.0</v>
      </c>
      <c r="H7848" s="74"/>
      <c r="I7848" s="74">
        <f t="shared" si="1"/>
        <v>530000</v>
      </c>
      <c r="J7848" s="74">
        <f>IF(E7848="SERVICE",I7848-(I7848*50%),Vlookup(E7848,DATABASE!C:Q,10,false)*F7848)</f>
        <v>0</v>
      </c>
      <c r="K7848" s="74">
        <f>VLOOKUP(E7848,DATABASE!C:Q,7,false)</f>
        <v>470000</v>
      </c>
      <c r="L7848" s="74">
        <v>442500.0</v>
      </c>
      <c r="M7848" s="74">
        <f t="shared" si="4"/>
        <v>445000</v>
      </c>
      <c r="N7848" s="74">
        <f t="shared" si="3"/>
        <v>85000</v>
      </c>
      <c r="O7848" s="65" t="str">
        <f>VLOOKUP(E7848,DATABASE!C:Q,8,false)</f>
        <v>BIAN</v>
      </c>
      <c r="P7848" s="65">
        <f>VLOOKUP(E7848,DATABASE!C:Q,9,False)</f>
        <v>1</v>
      </c>
      <c r="Q7848" s="93" t="str">
        <f>VLOOKUP(E7848,DATABASE!C:Q,4,false)</f>
        <v>GT</v>
      </c>
      <c r="R7848" s="93" t="str">
        <f>VLOOKUP(E7848,DATABASE!C:Q,11,false)</f>
        <v>Tire</v>
      </c>
    </row>
    <row r="7849" ht="22.5" customHeight="1">
      <c r="A7849" s="49"/>
      <c r="C7849" s="400">
        <v>46113.0</v>
      </c>
      <c r="D7849" s="524">
        <v>893.0</v>
      </c>
      <c r="E7849" s="544" t="s">
        <v>299</v>
      </c>
      <c r="F7849" s="387">
        <v>1.0</v>
      </c>
      <c r="G7849" s="140">
        <v>30000.0</v>
      </c>
      <c r="H7849" s="74"/>
      <c r="I7849" s="74">
        <f t="shared" si="1"/>
        <v>30000</v>
      </c>
      <c r="J7849" s="74">
        <f>IF(E7849="SERVICE",I7849-(I7849*50%),Vlookup(E7849,DATABASE!C:Q,10,false)*F7849)</f>
        <v>0</v>
      </c>
      <c r="K7849" s="74">
        <f>VLOOKUP(E7849,DATABASE!C:Q,7,false)</f>
        <v>10000</v>
      </c>
      <c r="L7849" s="74">
        <v>10000.0</v>
      </c>
      <c r="M7849" s="74">
        <f t="shared" si="4"/>
        <v>10000</v>
      </c>
      <c r="N7849" s="74">
        <f t="shared" si="3"/>
        <v>20000</v>
      </c>
      <c r="O7849" s="65" t="str">
        <f>VLOOKUP(E7849,DATABASE!C:Q,8,false)</f>
        <v>BIAN</v>
      </c>
      <c r="P7849" s="65">
        <f>VLOOKUP(E7849,DATABASE!C:Q,9,False)</f>
        <v>0</v>
      </c>
      <c r="Q7849" s="93" t="str">
        <f>VLOOKUP(E7849,DATABASE!C:Q,4,false)</f>
        <v>Balancing</v>
      </c>
      <c r="R7849" s="93" t="str">
        <f>VLOOKUP(E7849,DATABASE!C:Q,11,false)</f>
        <v>COMPLEMENTARY</v>
      </c>
    </row>
    <row r="7850" ht="22.5" customHeight="1">
      <c r="A7850" s="49"/>
      <c r="C7850" s="400">
        <v>46113.0</v>
      </c>
      <c r="D7850" s="524">
        <v>894.0</v>
      </c>
      <c r="E7850" s="544" t="s">
        <v>781</v>
      </c>
      <c r="F7850" s="387">
        <v>1.0</v>
      </c>
      <c r="G7850" s="140">
        <v>530000.0</v>
      </c>
      <c r="H7850" s="74"/>
      <c r="I7850" s="74">
        <f t="shared" si="1"/>
        <v>530000</v>
      </c>
      <c r="J7850" s="74">
        <f>IF(E7850="SERVICE",I7850-(I7850*50%),Vlookup(E7850,DATABASE!C:Q,10,false)*F7850)</f>
        <v>0</v>
      </c>
      <c r="K7850" s="74">
        <f>VLOOKUP(E7850,DATABASE!C:Q,7,false)</f>
        <v>470000</v>
      </c>
      <c r="L7850" s="74">
        <v>442500.0</v>
      </c>
      <c r="M7850" s="74">
        <f t="shared" si="4"/>
        <v>445000</v>
      </c>
      <c r="N7850" s="74">
        <f t="shared" si="3"/>
        <v>85000</v>
      </c>
      <c r="O7850" s="65" t="str">
        <f>VLOOKUP(E7850,DATABASE!C:Q,8,false)</f>
        <v>BIAN</v>
      </c>
      <c r="P7850" s="65">
        <f>VLOOKUP(E7850,DATABASE!C:Q,9,False)</f>
        <v>1</v>
      </c>
      <c r="Q7850" s="93" t="str">
        <f>VLOOKUP(E7850,DATABASE!C:Q,4,false)</f>
        <v>GT</v>
      </c>
      <c r="R7850" s="93" t="str">
        <f>VLOOKUP(E7850,DATABASE!C:Q,11,false)</f>
        <v>Tire</v>
      </c>
    </row>
    <row r="7851" ht="22.5" customHeight="1">
      <c r="A7851" s="49"/>
      <c r="C7851" s="400">
        <v>46113.0</v>
      </c>
      <c r="D7851" s="524">
        <v>895.0</v>
      </c>
      <c r="E7851" s="544" t="s">
        <v>262</v>
      </c>
      <c r="F7851" s="387">
        <v>1.0</v>
      </c>
      <c r="G7851" s="140">
        <v>130000.0</v>
      </c>
      <c r="H7851" s="74"/>
      <c r="I7851" s="74">
        <f t="shared" si="1"/>
        <v>130000</v>
      </c>
      <c r="J7851" s="74">
        <f>IF(E7851="SERVICE",I7851-(I7851*50%),Vlookup(E7851,DATABASE!C:Q,10,false)*F7851)</f>
        <v>5000</v>
      </c>
      <c r="K7851" s="74">
        <f>VLOOKUP(E7851,DATABASE!C:Q,7,false)</f>
        <v>0</v>
      </c>
      <c r="L7851" s="74">
        <v>0.0</v>
      </c>
      <c r="M7851" s="74">
        <f t="shared" si="4"/>
        <v>0</v>
      </c>
      <c r="N7851" s="74">
        <f t="shared" si="3"/>
        <v>125000</v>
      </c>
      <c r="O7851" s="65" t="str">
        <f>VLOOKUP(E7851,DATABASE!C:Q,8,false)</f>
        <v>IBU</v>
      </c>
      <c r="P7851" s="65">
        <f>VLOOKUP(E7851,DATABASE!C:Q,9,False)</f>
        <v>0</v>
      </c>
      <c r="Q7851" s="93" t="str">
        <f>VLOOKUP(E7851,DATABASE!C:Q,4,false)</f>
        <v>SPOORING SS/CARRY LOS BAK</v>
      </c>
      <c r="R7851" s="93" t="str">
        <f>VLOOKUP(E7851,DATABASE!C:Q,11,false)</f>
        <v>SERVICE</v>
      </c>
    </row>
    <row r="7852" ht="22.5" customHeight="1">
      <c r="A7852" s="49"/>
      <c r="C7852" s="400">
        <v>46113.0</v>
      </c>
      <c r="D7852" s="524">
        <v>895.0</v>
      </c>
      <c r="E7852" s="544" t="s">
        <v>246</v>
      </c>
      <c r="F7852" s="387">
        <v>2.0</v>
      </c>
      <c r="G7852" s="140">
        <v>35000.0</v>
      </c>
      <c r="H7852" s="140">
        <v>10000.0</v>
      </c>
      <c r="I7852" s="74">
        <f t="shared" si="1"/>
        <v>50000</v>
      </c>
      <c r="J7852" s="74">
        <f>IF(E7852="SERVICE",I7852-(I7852*50%),Vlookup(E7852,DATABASE!C:Q,10,false)*F7852)</f>
        <v>0</v>
      </c>
      <c r="K7852" s="74">
        <f>VLOOKUP(E7852,DATABASE!C:Q,7,false)</f>
        <v>0</v>
      </c>
      <c r="L7852" s="74">
        <v>0.0</v>
      </c>
      <c r="M7852" s="74">
        <f t="shared" si="4"/>
        <v>0</v>
      </c>
      <c r="N7852" s="74">
        <f t="shared" si="3"/>
        <v>50000</v>
      </c>
      <c r="O7852" s="65" t="str">
        <f>VLOOKUP(E7852,DATABASE!C:Q,8,false)</f>
        <v>IBU</v>
      </c>
      <c r="P7852" s="65">
        <f>VLOOKUP(E7852,DATABASE!C:Q,9,False)</f>
        <v>0</v>
      </c>
      <c r="Q7852" s="93" t="str">
        <f>VLOOKUP(E7852,DATABASE!C:Q,4,false)</f>
        <v>Bongkar Pasang</v>
      </c>
      <c r="R7852" s="93" t="str">
        <f>VLOOKUP(E7852,DATABASE!C:Q,11,false)</f>
        <v>SERVICE</v>
      </c>
    </row>
    <row r="7853" ht="22.5" customHeight="1">
      <c r="A7853" s="49"/>
      <c r="C7853" s="400">
        <v>46113.0</v>
      </c>
      <c r="D7853" s="524">
        <v>896.0</v>
      </c>
      <c r="E7853" s="544" t="s">
        <v>932</v>
      </c>
      <c r="F7853" s="387">
        <v>4.0</v>
      </c>
      <c r="G7853" s="140">
        <v>690000.0</v>
      </c>
      <c r="H7853" s="74"/>
      <c r="I7853" s="74">
        <f t="shared" si="1"/>
        <v>2760000</v>
      </c>
      <c r="J7853" s="74">
        <f>IF(E7853="SERVICE",I7853-(I7853*50%),Vlookup(E7853,DATABASE!C:Q,10,false)*F7853)</f>
        <v>0</v>
      </c>
      <c r="K7853" s="74">
        <f>VLOOKUP(E7853,DATABASE!C:Q,7,false)</f>
        <v>601000</v>
      </c>
      <c r="L7853" s="74">
        <v>601000.0</v>
      </c>
      <c r="M7853" s="74">
        <f t="shared" si="4"/>
        <v>605000</v>
      </c>
      <c r="N7853" s="74">
        <f t="shared" si="3"/>
        <v>340000</v>
      </c>
      <c r="O7853" s="65" t="str">
        <f>VLOOKUP(E7853,DATABASE!C:Q,8,false)</f>
        <v>IBU</v>
      </c>
      <c r="P7853" s="65">
        <f>VLOOKUP(E7853,DATABASE!C:Q,9,False)</f>
        <v>1</v>
      </c>
      <c r="Q7853" s="93" t="str">
        <f>VLOOKUP(E7853,DATABASE!C:Q,4,false)</f>
        <v>Dunlop</v>
      </c>
      <c r="R7853" s="93" t="str">
        <f>VLOOKUP(E7853,DATABASE!C:Q,11,false)</f>
        <v>Tire</v>
      </c>
    </row>
    <row r="7854" ht="22.5" customHeight="1">
      <c r="A7854" s="49"/>
      <c r="C7854" s="400">
        <v>46113.0</v>
      </c>
      <c r="D7854" s="524">
        <v>896.0</v>
      </c>
      <c r="E7854" s="544" t="s">
        <v>299</v>
      </c>
      <c r="F7854" s="387">
        <v>2.0</v>
      </c>
      <c r="G7854" s="140">
        <v>30000.0</v>
      </c>
      <c r="H7854" s="74"/>
      <c r="I7854" s="74">
        <f t="shared" si="1"/>
        <v>60000</v>
      </c>
      <c r="J7854" s="74">
        <f>IF(E7854="SERVICE",I7854-(I7854*50%),Vlookup(E7854,DATABASE!C:Q,10,false)*F7854)</f>
        <v>0</v>
      </c>
      <c r="K7854" s="74">
        <f>VLOOKUP(E7854,DATABASE!C:Q,7,false)</f>
        <v>10000</v>
      </c>
      <c r="L7854" s="74">
        <v>10000.0</v>
      </c>
      <c r="M7854" s="74">
        <f t="shared" si="4"/>
        <v>10000</v>
      </c>
      <c r="N7854" s="74">
        <f t="shared" si="3"/>
        <v>40000</v>
      </c>
      <c r="O7854" s="65" t="str">
        <f>VLOOKUP(E7854,DATABASE!C:Q,8,false)</f>
        <v>BIAN</v>
      </c>
      <c r="P7854" s="65">
        <f>VLOOKUP(E7854,DATABASE!C:Q,9,False)</f>
        <v>0</v>
      </c>
      <c r="Q7854" s="93" t="str">
        <f>VLOOKUP(E7854,DATABASE!C:Q,4,false)</f>
        <v>Balancing</v>
      </c>
      <c r="R7854" s="93" t="str">
        <f>VLOOKUP(E7854,DATABASE!C:Q,11,false)</f>
        <v>COMPLEMENTARY</v>
      </c>
    </row>
    <row r="7855" ht="22.5" customHeight="1">
      <c r="A7855" s="49"/>
      <c r="C7855" s="400">
        <v>46113.0</v>
      </c>
      <c r="D7855" s="524">
        <v>897.0</v>
      </c>
      <c r="E7855" s="544" t="s">
        <v>286</v>
      </c>
      <c r="F7855" s="387">
        <v>1.0</v>
      </c>
      <c r="G7855" s="140">
        <v>560000.0</v>
      </c>
      <c r="H7855" s="140">
        <v>10000.0</v>
      </c>
      <c r="I7855" s="74">
        <f t="shared" si="1"/>
        <v>550000</v>
      </c>
      <c r="J7855" s="74">
        <f>IF(E7855="SERVICE",I7855-(I7855*50%),Vlookup(E7855,DATABASE!C:Q,10,false)*F7855)</f>
        <v>0</v>
      </c>
      <c r="K7855" s="74">
        <f>VLOOKUP(E7855,DATABASE!C:Q,7,false)</f>
        <v>488320</v>
      </c>
      <c r="L7855" s="74">
        <v>452970.0</v>
      </c>
      <c r="M7855" s="74">
        <f t="shared" si="4"/>
        <v>455000</v>
      </c>
      <c r="N7855" s="74">
        <f t="shared" si="3"/>
        <v>95000</v>
      </c>
      <c r="O7855" s="65" t="str">
        <f>VLOOKUP(E7855,DATABASE!C:Q,8,false)</f>
        <v>BIAN</v>
      </c>
      <c r="P7855" s="65">
        <f>VLOOKUP(E7855,DATABASE!C:Q,9,False)</f>
        <v>1</v>
      </c>
      <c r="Q7855" s="93" t="str">
        <f>VLOOKUP(E7855,DATABASE!C:Q,4,false)</f>
        <v>GT</v>
      </c>
      <c r="R7855" s="93" t="str">
        <f>VLOOKUP(E7855,DATABASE!C:Q,11,false)</f>
        <v>Tire</v>
      </c>
    </row>
    <row r="7856" ht="22.5" customHeight="1">
      <c r="A7856" s="49"/>
      <c r="C7856" s="400">
        <v>46113.0</v>
      </c>
      <c r="D7856" s="524">
        <v>899.0</v>
      </c>
      <c r="E7856" s="544" t="s">
        <v>1033</v>
      </c>
      <c r="F7856" s="387">
        <v>1.0</v>
      </c>
      <c r="G7856" s="140">
        <v>750000.0</v>
      </c>
      <c r="H7856" s="74"/>
      <c r="I7856" s="74">
        <f t="shared" si="1"/>
        <v>750000</v>
      </c>
      <c r="J7856" s="74">
        <f>IF(E7856="SERVICE",I7856-(I7856*50%),Vlookup(E7856,DATABASE!C:Q,10,false)*F7856)</f>
        <v>0</v>
      </c>
      <c r="K7856" s="74">
        <f>VLOOKUP(E7856,DATABASE!C:Q,7,false)</f>
        <v>680512</v>
      </c>
      <c r="L7856" s="74">
        <v>657305.6</v>
      </c>
      <c r="M7856" s="74">
        <f t="shared" si="4"/>
        <v>660000</v>
      </c>
      <c r="N7856" s="74">
        <f t="shared" si="3"/>
        <v>90000</v>
      </c>
      <c r="O7856" s="65" t="str">
        <f>VLOOKUP(E7856,DATABASE!C:Q,8,false)</f>
        <v>IBU</v>
      </c>
      <c r="P7856" s="65">
        <f>VLOOKUP(E7856,DATABASE!C:Q,9,False)</f>
        <v>1</v>
      </c>
      <c r="Q7856" s="93" t="str">
        <f>VLOOKUP(E7856,DATABASE!C:Q,4,false)</f>
        <v>Bridgestone</v>
      </c>
      <c r="R7856" s="93" t="str">
        <f>VLOOKUP(E7856,DATABASE!C:Q,11,false)</f>
        <v>Tire</v>
      </c>
    </row>
    <row r="7857" ht="22.5" customHeight="1">
      <c r="A7857" s="49"/>
      <c r="C7857" s="400">
        <v>46113.0</v>
      </c>
      <c r="D7857" s="524">
        <v>900.0</v>
      </c>
      <c r="E7857" s="544" t="s">
        <v>1524</v>
      </c>
      <c r="F7857" s="387">
        <v>4.0</v>
      </c>
      <c r="G7857" s="140">
        <v>1120000.0</v>
      </c>
      <c r="H7857" s="140">
        <v>20000.0</v>
      </c>
      <c r="I7857" s="74">
        <f t="shared" si="1"/>
        <v>4400000</v>
      </c>
      <c r="J7857" s="74">
        <f>IF(E7857="SERVICE",I7857-(I7857*50%),Vlookup(E7857,DATABASE!C:Q,10,false)*F7857)</f>
        <v>0</v>
      </c>
      <c r="K7857" s="74">
        <f>VLOOKUP(E7857,DATABASE!C:Q,7,false)</f>
        <v>1028000</v>
      </c>
      <c r="L7857" s="74">
        <v>1007000.0</v>
      </c>
      <c r="M7857" s="74">
        <f t="shared" si="4"/>
        <v>1010000</v>
      </c>
      <c r="N7857" s="74">
        <f t="shared" si="3"/>
        <v>360000</v>
      </c>
      <c r="O7857" s="65" t="str">
        <f>VLOOKUP(E7857,DATABASE!C:Q,8,false)</f>
        <v>IBU</v>
      </c>
      <c r="P7857" s="65">
        <f>VLOOKUP(E7857,DATABASE!C:Q,9,False)</f>
        <v>1</v>
      </c>
      <c r="Q7857" s="93" t="str">
        <f>VLOOKUP(E7857,DATABASE!C:Q,4,false)</f>
        <v>Dunlop</v>
      </c>
      <c r="R7857" s="93" t="str">
        <f>VLOOKUP(E7857,DATABASE!C:Q,11,false)</f>
        <v>Tire</v>
      </c>
    </row>
    <row r="7858" ht="22.5" customHeight="1">
      <c r="A7858" s="49"/>
      <c r="C7858" s="400">
        <v>46113.0</v>
      </c>
      <c r="D7858" s="524">
        <v>901.0</v>
      </c>
      <c r="E7858" s="544" t="s">
        <v>256</v>
      </c>
      <c r="F7858" s="387">
        <v>1.0</v>
      </c>
      <c r="G7858" s="140">
        <v>175000.0</v>
      </c>
      <c r="H7858" s="140">
        <v>25000.0</v>
      </c>
      <c r="I7858" s="74">
        <f t="shared" si="1"/>
        <v>150000</v>
      </c>
      <c r="J7858" s="74">
        <f>IF(E7858="SERVICE",I7858-(I7858*50%),Vlookup(E7858,DATABASE!C:Q,10,false)*F7858)</f>
        <v>10000</v>
      </c>
      <c r="K7858" s="74">
        <f>VLOOKUP(E7858,DATABASE!C:Q,7,false)</f>
        <v>0</v>
      </c>
      <c r="L7858" s="74">
        <v>0.0</v>
      </c>
      <c r="M7858" s="74">
        <f t="shared" si="4"/>
        <v>0</v>
      </c>
      <c r="N7858" s="74">
        <f t="shared" si="3"/>
        <v>140000</v>
      </c>
      <c r="O7858" s="65" t="str">
        <f>VLOOKUP(E7858,DATABASE!C:Q,8,false)</f>
        <v>IBU</v>
      </c>
      <c r="P7858" s="65">
        <f>VLOOKUP(E7858,DATABASE!C:Q,9,False)</f>
        <v>0</v>
      </c>
      <c r="Q7858" s="93" t="str">
        <f>VLOOKUP(E7858,DATABASE!C:Q,4,false)</f>
        <v>SPOORING</v>
      </c>
      <c r="R7858" s="93" t="str">
        <f>VLOOKUP(E7858,DATABASE!C:Q,11,false)</f>
        <v>SERVICE</v>
      </c>
    </row>
    <row r="7859" ht="22.5" customHeight="1">
      <c r="A7859" s="49"/>
      <c r="C7859" s="400">
        <v>46113.0</v>
      </c>
      <c r="D7859" s="524">
        <v>901.0</v>
      </c>
      <c r="E7859" s="544" t="s">
        <v>301</v>
      </c>
      <c r="F7859" s="387">
        <v>1.0</v>
      </c>
      <c r="G7859" s="140">
        <v>250000.0</v>
      </c>
      <c r="H7859" s="74"/>
      <c r="I7859" s="74">
        <f t="shared" si="1"/>
        <v>250000</v>
      </c>
      <c r="J7859" s="74">
        <f>IF(E7859="SERVICE",I7859-(I7859*50%),Vlookup(E7859,DATABASE!C:Q,10,false)*F7859)</f>
        <v>75000</v>
      </c>
      <c r="K7859" s="74">
        <f>VLOOKUP(E7859,DATABASE!C:Q,7,false)</f>
        <v>75000</v>
      </c>
      <c r="L7859" s="74">
        <v>75000.0</v>
      </c>
      <c r="M7859" s="74">
        <f t="shared" si="4"/>
        <v>75000</v>
      </c>
      <c r="N7859" s="74">
        <f t="shared" si="3"/>
        <v>100000</v>
      </c>
      <c r="O7859" s="65" t="str">
        <f>VLOOKUP(E7859,DATABASE!C:Q,8,false)</f>
        <v>BIAN</v>
      </c>
      <c r="P7859" s="65">
        <f>VLOOKUP(E7859,DATABASE!C:Q,9,False)</f>
        <v>0</v>
      </c>
      <c r="Q7859" s="93" t="str">
        <f>VLOOKUP(E7859,DATABASE!C:Q,4,false)</f>
        <v>Baut Camber</v>
      </c>
      <c r="R7859" s="93" t="str">
        <f>VLOOKUP(E7859,DATABASE!C:Q,11,false)</f>
        <v>COMPLEMENTARY</v>
      </c>
    </row>
    <row r="7860" ht="22.5" customHeight="1">
      <c r="A7860" s="49"/>
      <c r="C7860" s="400">
        <v>46113.0</v>
      </c>
      <c r="D7860" s="69" t="s">
        <v>2768</v>
      </c>
      <c r="E7860" s="544" t="s">
        <v>248</v>
      </c>
      <c r="F7860" s="387">
        <v>1.0</v>
      </c>
      <c r="G7860" s="140">
        <v>190000.0</v>
      </c>
      <c r="H7860" s="74"/>
      <c r="I7860" s="74">
        <f t="shared" si="1"/>
        <v>190000</v>
      </c>
      <c r="J7860" s="74">
        <f>IF(E7860="SERVICE",I7860-(I7860*50%),Vlookup(E7860,DATABASE!C:Q,10,false)*F7860)</f>
        <v>0</v>
      </c>
      <c r="K7860" s="74">
        <f>VLOOKUP(E7860,DATABASE!C:Q,7,false)</f>
        <v>209816.66</v>
      </c>
      <c r="L7860" s="74">
        <v>160833.0</v>
      </c>
      <c r="M7860" s="74">
        <f t="shared" si="4"/>
        <v>165000</v>
      </c>
      <c r="N7860" s="74">
        <f t="shared" si="3"/>
        <v>25000</v>
      </c>
      <c r="O7860" s="65" t="str">
        <f>VLOOKUP(E7860,DATABASE!C:Q,8,false)</f>
        <v>NON</v>
      </c>
      <c r="P7860" s="65">
        <f>VLOOKUP(E7860,DATABASE!C:Q,9,False)</f>
        <v>0</v>
      </c>
      <c r="Q7860" s="93" t="str">
        <f>VLOOKUP(E7860,DATABASE!C:Q,4,false)</f>
        <v>Pertamina</v>
      </c>
      <c r="R7860" s="93" t="str">
        <f>VLOOKUP(E7860,DATABASE!C:Q,11,false)</f>
        <v>OIL</v>
      </c>
    </row>
    <row r="7861" ht="22.5" customHeight="1">
      <c r="A7861" s="49"/>
      <c r="C7861" s="400">
        <v>46113.0</v>
      </c>
      <c r="D7861" s="69" t="s">
        <v>2768</v>
      </c>
      <c r="E7861" s="544" t="s">
        <v>298</v>
      </c>
      <c r="F7861" s="387">
        <v>1.0</v>
      </c>
      <c r="G7861" s="140">
        <v>25000.0</v>
      </c>
      <c r="H7861" s="140">
        <v>2000.0</v>
      </c>
      <c r="I7861" s="74">
        <f t="shared" si="1"/>
        <v>23000</v>
      </c>
      <c r="J7861" s="74">
        <f>IF(E7861="SERVICE",I7861-(I7861*50%),Vlookup(E7861,DATABASE!C:Q,10,false)*F7861)</f>
        <v>0</v>
      </c>
      <c r="K7861" s="74">
        <f>VLOOKUP(E7861,DATABASE!C:Q,7,false)</f>
        <v>19200</v>
      </c>
      <c r="L7861" s="74">
        <v>19200.0</v>
      </c>
      <c r="M7861" s="74">
        <f t="shared" si="4"/>
        <v>20000</v>
      </c>
      <c r="N7861" s="74">
        <f t="shared" si="3"/>
        <v>3000</v>
      </c>
      <c r="O7861" s="65" t="str">
        <f>VLOOKUP(E7861,DATABASE!C:Q,8,false)</f>
        <v>BIAN</v>
      </c>
      <c r="P7861" s="65">
        <f>VLOOKUP(E7861,DATABASE!C:Q,9,False)</f>
        <v>0</v>
      </c>
      <c r="Q7861" s="93" t="str">
        <f>VLOOKUP(E7861,DATABASE!C:Q,4,false)</f>
        <v>Aspira</v>
      </c>
      <c r="R7861" s="93" t="str">
        <f>VLOOKUP(E7861,DATABASE!C:Q,11,false)</f>
        <v>COMPLEMENTARY</v>
      </c>
    </row>
    <row r="7862" ht="22.5" customHeight="1">
      <c r="A7862" s="49"/>
      <c r="C7862" s="400">
        <v>46113.0</v>
      </c>
      <c r="D7862" s="69" t="s">
        <v>2769</v>
      </c>
      <c r="E7862" s="544" t="s">
        <v>263</v>
      </c>
      <c r="F7862" s="387">
        <v>1.0</v>
      </c>
      <c r="G7862" s="140">
        <v>320000.0</v>
      </c>
      <c r="H7862" s="74"/>
      <c r="I7862" s="74">
        <f t="shared" si="1"/>
        <v>320000</v>
      </c>
      <c r="J7862" s="74">
        <f>IF(E7862="SERVICE",I7862-(I7862*50%),Vlookup(E7862,DATABASE!C:Q,10,false)*F7862)</f>
        <v>0</v>
      </c>
      <c r="K7862" s="74">
        <f>VLOOKUP(E7862,DATABASE!C:Q,7,false)</f>
        <v>334916</v>
      </c>
      <c r="L7862" s="74">
        <v>287688.0</v>
      </c>
      <c r="M7862" s="74">
        <f t="shared" si="4"/>
        <v>290000</v>
      </c>
      <c r="N7862" s="74">
        <f t="shared" si="3"/>
        <v>30000</v>
      </c>
      <c r="O7862" s="65" t="str">
        <f>VLOOKUP(E7862,DATABASE!C:Q,8,false)</f>
        <v>NON</v>
      </c>
      <c r="P7862" s="65">
        <f>VLOOKUP(E7862,DATABASE!C:Q,9,False)</f>
        <v>0</v>
      </c>
      <c r="Q7862" s="93" t="str">
        <f>VLOOKUP(E7862,DATABASE!C:Q,4,false)</f>
        <v>Shell</v>
      </c>
      <c r="R7862" s="93" t="str">
        <f>VLOOKUP(E7862,DATABASE!C:Q,11,false)</f>
        <v>OIL</v>
      </c>
    </row>
    <row r="7863" ht="22.5" customHeight="1">
      <c r="A7863" s="49"/>
      <c r="C7863" s="400">
        <v>46113.0</v>
      </c>
      <c r="D7863" s="69" t="s">
        <v>2769</v>
      </c>
      <c r="E7863" s="544" t="s">
        <v>298</v>
      </c>
      <c r="F7863" s="387">
        <v>1.0</v>
      </c>
      <c r="G7863" s="140">
        <v>25000.0</v>
      </c>
      <c r="H7863" s="74"/>
      <c r="I7863" s="74">
        <f t="shared" si="1"/>
        <v>25000</v>
      </c>
      <c r="J7863" s="74">
        <f>IF(E7863="SERVICE",I7863-(I7863*50%),Vlookup(E7863,DATABASE!C:Q,10,false)*F7863)</f>
        <v>0</v>
      </c>
      <c r="K7863" s="74">
        <f>VLOOKUP(E7863,DATABASE!C:Q,7,false)</f>
        <v>19200</v>
      </c>
      <c r="L7863" s="74">
        <v>19200.0</v>
      </c>
      <c r="M7863" s="74">
        <f t="shared" si="4"/>
        <v>20000</v>
      </c>
      <c r="N7863" s="74">
        <f t="shared" si="3"/>
        <v>5000</v>
      </c>
      <c r="O7863" s="65" t="str">
        <f>VLOOKUP(E7863,DATABASE!C:Q,8,false)</f>
        <v>BIAN</v>
      </c>
      <c r="P7863" s="65">
        <f>VLOOKUP(E7863,DATABASE!C:Q,9,False)</f>
        <v>0</v>
      </c>
      <c r="Q7863" s="93" t="str">
        <f>VLOOKUP(E7863,DATABASE!C:Q,4,false)</f>
        <v>Aspira</v>
      </c>
      <c r="R7863" s="93" t="str">
        <f>VLOOKUP(E7863,DATABASE!C:Q,11,false)</f>
        <v>COMPLEMENTARY</v>
      </c>
    </row>
    <row r="7864" ht="22.5" customHeight="1">
      <c r="A7864" s="49"/>
      <c r="C7864" s="400">
        <v>46114.0</v>
      </c>
      <c r="D7864" s="524">
        <v>902.0</v>
      </c>
      <c r="E7864" s="544" t="s">
        <v>1133</v>
      </c>
      <c r="F7864" s="387">
        <v>2.0</v>
      </c>
      <c r="G7864" s="140">
        <v>835000.0</v>
      </c>
      <c r="H7864" s="74"/>
      <c r="I7864" s="74">
        <f t="shared" si="1"/>
        <v>1670000</v>
      </c>
      <c r="J7864" s="74">
        <f>IF(E7864="SERVICE",I7864-(I7864*50%),Vlookup(E7864,DATABASE!C:Q,10,false)*F7864)</f>
        <v>0</v>
      </c>
      <c r="K7864" s="74">
        <f>VLOOKUP(E7864,DATABASE!C:Q,7,false)</f>
        <v>759539.2</v>
      </c>
      <c r="L7864" s="74">
        <v>733824.0</v>
      </c>
      <c r="M7864" s="74">
        <f t="shared" si="4"/>
        <v>735000</v>
      </c>
      <c r="N7864" s="74">
        <f t="shared" si="3"/>
        <v>200000</v>
      </c>
      <c r="O7864" s="65" t="str">
        <f>VLOOKUP(E7864,DATABASE!C:Q,8,false)</f>
        <v>IBU</v>
      </c>
      <c r="P7864" s="65">
        <f>VLOOKUP(E7864,DATABASE!C:Q,9,False)</f>
        <v>1</v>
      </c>
      <c r="Q7864" s="93" t="str">
        <f>VLOOKUP(E7864,DATABASE!C:Q,4,false)</f>
        <v>Bridgestone</v>
      </c>
      <c r="R7864" s="93" t="str">
        <f>VLOOKUP(E7864,DATABASE!C:Q,11,false)</f>
        <v>Tire</v>
      </c>
    </row>
    <row r="7865" ht="22.5" customHeight="1">
      <c r="A7865" s="49"/>
      <c r="C7865" s="400">
        <v>46114.0</v>
      </c>
      <c r="D7865" s="524">
        <v>902.0</v>
      </c>
      <c r="E7865" s="544" t="s">
        <v>299</v>
      </c>
      <c r="F7865" s="387">
        <v>2.0</v>
      </c>
      <c r="G7865" s="140">
        <v>30000.0</v>
      </c>
      <c r="H7865" s="74"/>
      <c r="I7865" s="74">
        <f t="shared" si="1"/>
        <v>60000</v>
      </c>
      <c r="J7865" s="74">
        <f>IF(E7865="SERVICE",I7865-(I7865*50%),Vlookup(E7865,DATABASE!C:Q,10,false)*F7865)</f>
        <v>0</v>
      </c>
      <c r="K7865" s="74">
        <f>VLOOKUP(E7865,DATABASE!C:Q,7,false)</f>
        <v>10000</v>
      </c>
      <c r="L7865" s="74">
        <v>10000.0</v>
      </c>
      <c r="M7865" s="74">
        <f t="shared" si="4"/>
        <v>10000</v>
      </c>
      <c r="N7865" s="74">
        <f t="shared" si="3"/>
        <v>40000</v>
      </c>
      <c r="O7865" s="65" t="str">
        <f>VLOOKUP(E7865,DATABASE!C:Q,8,false)</f>
        <v>BIAN</v>
      </c>
      <c r="P7865" s="65">
        <f>VLOOKUP(E7865,DATABASE!C:Q,9,False)</f>
        <v>0</v>
      </c>
      <c r="Q7865" s="93" t="str">
        <f>VLOOKUP(E7865,DATABASE!C:Q,4,false)</f>
        <v>Balancing</v>
      </c>
      <c r="R7865" s="93" t="str">
        <f>VLOOKUP(E7865,DATABASE!C:Q,11,false)</f>
        <v>COMPLEMENTARY</v>
      </c>
    </row>
    <row r="7866" ht="22.5" customHeight="1">
      <c r="A7866" s="49"/>
      <c r="C7866" s="400">
        <v>46114.0</v>
      </c>
      <c r="D7866" s="524">
        <v>902.0</v>
      </c>
      <c r="E7866" s="544" t="s">
        <v>256</v>
      </c>
      <c r="F7866" s="387">
        <v>1.0</v>
      </c>
      <c r="G7866" s="140">
        <v>175000.0</v>
      </c>
      <c r="H7866" s="140">
        <v>25000.0</v>
      </c>
      <c r="I7866" s="74">
        <f t="shared" si="1"/>
        <v>150000</v>
      </c>
      <c r="J7866" s="74">
        <f>IF(E7866="SERVICE",I7866-(I7866*50%),Vlookup(E7866,DATABASE!C:Q,10,false)*F7866)</f>
        <v>10000</v>
      </c>
      <c r="K7866" s="74">
        <f>VLOOKUP(E7866,DATABASE!C:Q,7,false)</f>
        <v>0</v>
      </c>
      <c r="L7866" s="74">
        <v>0.0</v>
      </c>
      <c r="M7866" s="74">
        <f t="shared" si="4"/>
        <v>0</v>
      </c>
      <c r="N7866" s="74">
        <f t="shared" si="3"/>
        <v>140000</v>
      </c>
      <c r="O7866" s="65" t="str">
        <f>VLOOKUP(E7866,DATABASE!C:Q,8,false)</f>
        <v>IBU</v>
      </c>
      <c r="P7866" s="65">
        <f>VLOOKUP(E7866,DATABASE!C:Q,9,False)</f>
        <v>0</v>
      </c>
      <c r="Q7866" s="93" t="str">
        <f>VLOOKUP(E7866,DATABASE!C:Q,4,false)</f>
        <v>SPOORING</v>
      </c>
      <c r="R7866" s="93" t="str">
        <f>VLOOKUP(E7866,DATABASE!C:Q,11,false)</f>
        <v>SERVICE</v>
      </c>
    </row>
    <row r="7867" ht="22.5" customHeight="1">
      <c r="A7867" s="49"/>
      <c r="C7867" s="400">
        <v>46114.0</v>
      </c>
      <c r="D7867" s="524">
        <v>902.0</v>
      </c>
      <c r="E7867" s="544" t="s">
        <v>251</v>
      </c>
      <c r="F7867" s="387">
        <v>1.0</v>
      </c>
      <c r="G7867" s="140">
        <v>350000.0</v>
      </c>
      <c r="H7867" s="140">
        <v>200000.0</v>
      </c>
      <c r="I7867" s="74">
        <f t="shared" si="1"/>
        <v>150000</v>
      </c>
      <c r="J7867" s="74">
        <f>IF(E7867="SERVICE",I7867-(I7867*50%),Vlookup(E7867,DATABASE!C:Q,10,false)*F7867)</f>
        <v>75000</v>
      </c>
      <c r="K7867" s="74">
        <f>VLOOKUP(E7867,DATABASE!C:Q,7,false)</f>
        <v>0</v>
      </c>
      <c r="L7867" s="74">
        <v>0.0</v>
      </c>
      <c r="M7867" s="74">
        <f t="shared" si="4"/>
        <v>0</v>
      </c>
      <c r="N7867" s="74">
        <f t="shared" si="3"/>
        <v>75000</v>
      </c>
      <c r="O7867" s="65" t="str">
        <f>VLOOKUP(E7867,DATABASE!C:Q,8,false)</f>
        <v>IBU</v>
      </c>
      <c r="P7867" s="65">
        <f>VLOOKUP(E7867,DATABASE!C:Q,9,False)</f>
        <v>0</v>
      </c>
      <c r="Q7867" s="93" t="str">
        <f>VLOOKUP(E7867,DATABASE!C:Q,4,false)</f>
        <v>SERVICE</v>
      </c>
      <c r="R7867" s="93" t="str">
        <f>VLOOKUP(E7867,DATABASE!C:Q,11,false)</f>
        <v>SERVICE</v>
      </c>
    </row>
    <row r="7868" ht="22.5" customHeight="1">
      <c r="A7868" s="49"/>
      <c r="C7868" s="400">
        <v>46114.0</v>
      </c>
      <c r="D7868" s="524">
        <v>903.0</v>
      </c>
      <c r="E7868" s="544" t="s">
        <v>275</v>
      </c>
      <c r="F7868" s="387">
        <v>2.0</v>
      </c>
      <c r="G7868" s="140">
        <v>830000.0</v>
      </c>
      <c r="H7868" s="74"/>
      <c r="I7868" s="74">
        <f t="shared" si="1"/>
        <v>1660000</v>
      </c>
      <c r="J7868" s="74">
        <f>IF(E7868="SERVICE",I7868-(I7868*50%),Vlookup(E7868,DATABASE!C:Q,10,false)*F7868)</f>
        <v>0</v>
      </c>
      <c r="K7868" s="74">
        <f>VLOOKUP(E7868,DATABASE!C:Q,7,false)</f>
        <v>782000</v>
      </c>
      <c r="L7868" s="74">
        <v>745000.0</v>
      </c>
      <c r="M7868" s="74">
        <f t="shared" si="4"/>
        <v>745000</v>
      </c>
      <c r="N7868" s="74">
        <f t="shared" si="3"/>
        <v>170000</v>
      </c>
      <c r="O7868" s="65" t="str">
        <f>VLOOKUP(E7868,DATABASE!C:Q,8,false)</f>
        <v>IBU</v>
      </c>
      <c r="P7868" s="65">
        <f>VLOOKUP(E7868,DATABASE!C:Q,9,False)</f>
        <v>1</v>
      </c>
      <c r="Q7868" s="93" t="str">
        <f>VLOOKUP(E7868,DATABASE!C:Q,4,false)</f>
        <v>Dunlop</v>
      </c>
      <c r="R7868" s="93" t="str">
        <f>VLOOKUP(E7868,DATABASE!C:Q,11,false)</f>
        <v>Tire</v>
      </c>
    </row>
    <row r="7869" ht="22.5" customHeight="1">
      <c r="A7869" s="49"/>
      <c r="C7869" s="400">
        <v>46114.0</v>
      </c>
      <c r="D7869" s="524">
        <v>904.0</v>
      </c>
      <c r="E7869" s="544" t="s">
        <v>275</v>
      </c>
      <c r="F7869" s="387">
        <v>1.0</v>
      </c>
      <c r="G7869" s="140">
        <v>830000.0</v>
      </c>
      <c r="H7869" s="74"/>
      <c r="I7869" s="74">
        <f t="shared" si="1"/>
        <v>830000</v>
      </c>
      <c r="J7869" s="74">
        <f>IF(E7869="SERVICE",I7869-(I7869*50%),Vlookup(E7869,DATABASE!C:Q,10,false)*F7869)</f>
        <v>0</v>
      </c>
      <c r="K7869" s="74">
        <f>VLOOKUP(E7869,DATABASE!C:Q,7,false)</f>
        <v>782000</v>
      </c>
      <c r="L7869" s="74">
        <v>745000.0</v>
      </c>
      <c r="M7869" s="74">
        <f t="shared" si="4"/>
        <v>745000</v>
      </c>
      <c r="N7869" s="74">
        <f t="shared" si="3"/>
        <v>85000</v>
      </c>
      <c r="O7869" s="65" t="str">
        <f>VLOOKUP(E7869,DATABASE!C:Q,8,false)</f>
        <v>IBU</v>
      </c>
      <c r="P7869" s="65">
        <f>VLOOKUP(E7869,DATABASE!C:Q,9,False)</f>
        <v>1</v>
      </c>
      <c r="Q7869" s="93" t="str">
        <f>VLOOKUP(E7869,DATABASE!C:Q,4,false)</f>
        <v>Dunlop</v>
      </c>
      <c r="R7869" s="93" t="str">
        <f>VLOOKUP(E7869,DATABASE!C:Q,11,false)</f>
        <v>Tire</v>
      </c>
    </row>
    <row r="7870" ht="22.5" customHeight="1">
      <c r="A7870" s="49"/>
      <c r="C7870" s="400">
        <v>46114.0</v>
      </c>
      <c r="D7870" s="524">
        <v>905.0</v>
      </c>
      <c r="E7870" s="544" t="s">
        <v>275</v>
      </c>
      <c r="F7870" s="387">
        <v>1.0</v>
      </c>
      <c r="G7870" s="140">
        <v>830000.0</v>
      </c>
      <c r="H7870" s="74"/>
      <c r="I7870" s="74">
        <f t="shared" si="1"/>
        <v>830000</v>
      </c>
      <c r="J7870" s="74">
        <f>IF(E7870="SERVICE",I7870-(I7870*50%),Vlookup(E7870,DATABASE!C:Q,10,false)*F7870)</f>
        <v>0</v>
      </c>
      <c r="K7870" s="74">
        <f>VLOOKUP(E7870,DATABASE!C:Q,7,false)</f>
        <v>782000</v>
      </c>
      <c r="L7870" s="74">
        <v>745000.0</v>
      </c>
      <c r="M7870" s="74">
        <f t="shared" si="4"/>
        <v>745000</v>
      </c>
      <c r="N7870" s="74">
        <f t="shared" si="3"/>
        <v>85000</v>
      </c>
      <c r="O7870" s="65" t="str">
        <f>VLOOKUP(E7870,DATABASE!C:Q,8,false)</f>
        <v>IBU</v>
      </c>
      <c r="P7870" s="65">
        <f>VLOOKUP(E7870,DATABASE!C:Q,9,False)</f>
        <v>1</v>
      </c>
      <c r="Q7870" s="93" t="str">
        <f>VLOOKUP(E7870,DATABASE!C:Q,4,false)</f>
        <v>Dunlop</v>
      </c>
      <c r="R7870" s="93" t="str">
        <f>VLOOKUP(E7870,DATABASE!C:Q,11,false)</f>
        <v>Tire</v>
      </c>
    </row>
    <row r="7871" ht="22.5" customHeight="1">
      <c r="A7871" s="49"/>
      <c r="C7871" s="400">
        <v>46114.0</v>
      </c>
      <c r="D7871" s="524">
        <v>906.0</v>
      </c>
      <c r="E7871" s="544" t="s">
        <v>268</v>
      </c>
      <c r="F7871" s="387">
        <v>2.0</v>
      </c>
      <c r="G7871" s="140">
        <v>710000.0</v>
      </c>
      <c r="H7871" s="74"/>
      <c r="I7871" s="74">
        <f t="shared" si="1"/>
        <v>1420000</v>
      </c>
      <c r="J7871" s="74">
        <f>IF(E7871="SERVICE",I7871-(I7871*50%),Vlookup(E7871,DATABASE!C:Q,10,false)*F7871)</f>
        <v>0</v>
      </c>
      <c r="K7871" s="74">
        <f>VLOOKUP(E7871,DATABASE!C:Q,7,false)</f>
        <v>653000</v>
      </c>
      <c r="L7871" s="74">
        <v>622000.0</v>
      </c>
      <c r="M7871" s="74">
        <f t="shared" si="4"/>
        <v>625000</v>
      </c>
      <c r="N7871" s="74">
        <f t="shared" si="3"/>
        <v>170000</v>
      </c>
      <c r="O7871" s="65" t="str">
        <f>VLOOKUP(E7871,DATABASE!C:Q,8,false)</f>
        <v>IBU</v>
      </c>
      <c r="P7871" s="65">
        <f>VLOOKUP(E7871,DATABASE!C:Q,9,False)</f>
        <v>1</v>
      </c>
      <c r="Q7871" s="93" t="str">
        <f>VLOOKUP(E7871,DATABASE!C:Q,4,false)</f>
        <v>Dunlop</v>
      </c>
      <c r="R7871" s="93" t="str">
        <f>VLOOKUP(E7871,DATABASE!C:Q,11,false)</f>
        <v>Tire</v>
      </c>
    </row>
    <row r="7872" ht="22.5" customHeight="1">
      <c r="A7872" s="49"/>
      <c r="C7872" s="400">
        <v>46114.0</v>
      </c>
      <c r="D7872" s="524">
        <v>907.0</v>
      </c>
      <c r="E7872" s="544" t="s">
        <v>1429</v>
      </c>
      <c r="F7872" s="387">
        <v>1.0</v>
      </c>
      <c r="G7872" s="140">
        <v>940000.0</v>
      </c>
      <c r="H7872" s="74"/>
      <c r="I7872" s="74">
        <f t="shared" si="1"/>
        <v>940000</v>
      </c>
      <c r="J7872" s="74">
        <f>IF(E7872="SERVICE",I7872-(I7872*50%),Vlookup(E7872,DATABASE!C:Q,10,false)*F7872)</f>
        <v>0</v>
      </c>
      <c r="K7872" s="74">
        <f>VLOOKUP(E7872,DATABASE!C:Q,7,false)</f>
        <v>849000</v>
      </c>
      <c r="L7872" s="74">
        <v>840000.0</v>
      </c>
      <c r="M7872" s="74">
        <f t="shared" si="4"/>
        <v>840000</v>
      </c>
      <c r="N7872" s="74">
        <f t="shared" si="3"/>
        <v>100000</v>
      </c>
      <c r="O7872" s="65" t="str">
        <f>VLOOKUP(E7872,DATABASE!C:Q,8,false)</f>
        <v>IBU</v>
      </c>
      <c r="P7872" s="65">
        <f>VLOOKUP(E7872,DATABASE!C:Q,9,False)</f>
        <v>1</v>
      </c>
      <c r="Q7872" s="93" t="str">
        <f>VLOOKUP(E7872,DATABASE!C:Q,4,false)</f>
        <v>Dunlop</v>
      </c>
      <c r="R7872" s="93" t="str">
        <f>VLOOKUP(E7872,DATABASE!C:Q,11,false)</f>
        <v>Tire</v>
      </c>
    </row>
    <row r="7873" ht="22.5" customHeight="1">
      <c r="A7873" s="49"/>
      <c r="C7873" s="400">
        <v>46114.0</v>
      </c>
      <c r="D7873" s="524">
        <v>907.0</v>
      </c>
      <c r="E7873" s="544" t="s">
        <v>299</v>
      </c>
      <c r="F7873" s="387">
        <v>2.0</v>
      </c>
      <c r="G7873" s="140">
        <v>30000.0</v>
      </c>
      <c r="H7873" s="74"/>
      <c r="I7873" s="74">
        <f t="shared" si="1"/>
        <v>60000</v>
      </c>
      <c r="J7873" s="74">
        <f>IF(E7873="SERVICE",I7873-(I7873*50%),Vlookup(E7873,DATABASE!C:Q,10,false)*F7873)</f>
        <v>0</v>
      </c>
      <c r="K7873" s="74">
        <f>VLOOKUP(E7873,DATABASE!C:Q,7,false)</f>
        <v>10000</v>
      </c>
      <c r="L7873" s="74">
        <v>10000.0</v>
      </c>
      <c r="M7873" s="74">
        <f t="shared" si="4"/>
        <v>10000</v>
      </c>
      <c r="N7873" s="74">
        <f t="shared" si="3"/>
        <v>40000</v>
      </c>
      <c r="O7873" s="65" t="str">
        <f>VLOOKUP(E7873,DATABASE!C:Q,8,false)</f>
        <v>BIAN</v>
      </c>
      <c r="P7873" s="65">
        <f>VLOOKUP(E7873,DATABASE!C:Q,9,False)</f>
        <v>0</v>
      </c>
      <c r="Q7873" s="93" t="str">
        <f>VLOOKUP(E7873,DATABASE!C:Q,4,false)</f>
        <v>Balancing</v>
      </c>
      <c r="R7873" s="93" t="str">
        <f>VLOOKUP(E7873,DATABASE!C:Q,11,false)</f>
        <v>COMPLEMENTARY</v>
      </c>
    </row>
    <row r="7874" ht="22.5" customHeight="1">
      <c r="A7874" s="49"/>
      <c r="C7874" s="400">
        <v>46114.0</v>
      </c>
      <c r="D7874" s="524">
        <v>907.0</v>
      </c>
      <c r="E7874" s="544" t="s">
        <v>256</v>
      </c>
      <c r="F7874" s="387">
        <v>1.0</v>
      </c>
      <c r="G7874" s="140">
        <v>175000.0</v>
      </c>
      <c r="H7874" s="140">
        <v>25000.0</v>
      </c>
      <c r="I7874" s="74">
        <f t="shared" si="1"/>
        <v>150000</v>
      </c>
      <c r="J7874" s="74">
        <f>IF(E7874="SERVICE",I7874-(I7874*50%),Vlookup(E7874,DATABASE!C:Q,10,false)*F7874)</f>
        <v>10000</v>
      </c>
      <c r="K7874" s="74">
        <f>VLOOKUP(E7874,DATABASE!C:Q,7,false)</f>
        <v>0</v>
      </c>
      <c r="L7874" s="74">
        <v>0.0</v>
      </c>
      <c r="M7874" s="74">
        <f t="shared" si="4"/>
        <v>0</v>
      </c>
      <c r="N7874" s="74">
        <f t="shared" si="3"/>
        <v>140000</v>
      </c>
      <c r="O7874" s="65" t="str">
        <f>VLOOKUP(E7874,DATABASE!C:Q,8,false)</f>
        <v>IBU</v>
      </c>
      <c r="P7874" s="65">
        <f>VLOOKUP(E7874,DATABASE!C:Q,9,False)</f>
        <v>0</v>
      </c>
      <c r="Q7874" s="93" t="str">
        <f>VLOOKUP(E7874,DATABASE!C:Q,4,false)</f>
        <v>SPOORING</v>
      </c>
      <c r="R7874" s="93" t="str">
        <f>VLOOKUP(E7874,DATABASE!C:Q,11,false)</f>
        <v>SERVICE</v>
      </c>
    </row>
    <row r="7875" ht="22.5" customHeight="1">
      <c r="A7875" s="49"/>
      <c r="C7875" s="400">
        <v>46114.0</v>
      </c>
      <c r="D7875" s="524">
        <v>908.0</v>
      </c>
      <c r="E7875" s="544" t="s">
        <v>268</v>
      </c>
      <c r="F7875" s="387">
        <v>2.0</v>
      </c>
      <c r="G7875" s="140">
        <v>710000.0</v>
      </c>
      <c r="H7875" s="74"/>
      <c r="I7875" s="74">
        <f t="shared" si="1"/>
        <v>1420000</v>
      </c>
      <c r="J7875" s="74">
        <f>IF(E7875="SERVICE",I7875-(I7875*50%),Vlookup(E7875,DATABASE!C:Q,10,false)*F7875)</f>
        <v>0</v>
      </c>
      <c r="K7875" s="74">
        <f>VLOOKUP(E7875,DATABASE!C:Q,7,false)</f>
        <v>653000</v>
      </c>
      <c r="L7875" s="74">
        <v>622000.0</v>
      </c>
      <c r="M7875" s="74">
        <f t="shared" si="4"/>
        <v>625000</v>
      </c>
      <c r="N7875" s="74">
        <f t="shared" si="3"/>
        <v>170000</v>
      </c>
      <c r="O7875" s="65" t="str">
        <f>VLOOKUP(E7875,DATABASE!C:Q,8,false)</f>
        <v>IBU</v>
      </c>
      <c r="P7875" s="65">
        <f>VLOOKUP(E7875,DATABASE!C:Q,9,False)</f>
        <v>1</v>
      </c>
      <c r="Q7875" s="93" t="str">
        <f>VLOOKUP(E7875,DATABASE!C:Q,4,false)</f>
        <v>Dunlop</v>
      </c>
      <c r="R7875" s="93" t="str">
        <f>VLOOKUP(E7875,DATABASE!C:Q,11,false)</f>
        <v>Tire</v>
      </c>
    </row>
    <row r="7876" ht="22.5" customHeight="1">
      <c r="A7876" s="49"/>
      <c r="C7876" s="400">
        <v>46114.0</v>
      </c>
      <c r="D7876" s="524">
        <v>908.0</v>
      </c>
      <c r="E7876" s="544" t="s">
        <v>554</v>
      </c>
      <c r="F7876" s="387">
        <v>2.0</v>
      </c>
      <c r="G7876" s="140">
        <v>800000.0</v>
      </c>
      <c r="H7876" s="74"/>
      <c r="I7876" s="74">
        <f t="shared" si="1"/>
        <v>1600000</v>
      </c>
      <c r="J7876" s="74">
        <f>IF(E7876="SERVICE",I7876-(I7876*50%),Vlookup(E7876,DATABASE!C:Q,10,false)*F7876)</f>
        <v>0</v>
      </c>
      <c r="K7876" s="74">
        <f>VLOOKUP(E7876,DATABASE!C:Q,7,false)</f>
        <v>710000</v>
      </c>
      <c r="L7876" s="74">
        <v>705000.0</v>
      </c>
      <c r="M7876" s="74">
        <f t="shared" si="4"/>
        <v>705000</v>
      </c>
      <c r="N7876" s="74">
        <f t="shared" si="3"/>
        <v>190000</v>
      </c>
      <c r="O7876" s="65" t="str">
        <f>VLOOKUP(E7876,DATABASE!C:Q,8,false)</f>
        <v>IBU</v>
      </c>
      <c r="P7876" s="65">
        <f>VLOOKUP(E7876,DATABASE!C:Q,9,False)</f>
        <v>1</v>
      </c>
      <c r="Q7876" s="93" t="str">
        <f>VLOOKUP(E7876,DATABASE!C:Q,4,false)</f>
        <v>Bridgestone</v>
      </c>
      <c r="R7876" s="93" t="str">
        <f>VLOOKUP(E7876,DATABASE!C:Q,11,false)</f>
        <v>Tire</v>
      </c>
    </row>
    <row r="7877" ht="22.5" customHeight="1">
      <c r="A7877" s="49"/>
      <c r="C7877" s="400">
        <v>46114.0</v>
      </c>
      <c r="D7877" s="524">
        <v>909.0</v>
      </c>
      <c r="E7877" s="544" t="s">
        <v>256</v>
      </c>
      <c r="F7877" s="387">
        <v>1.0</v>
      </c>
      <c r="G7877" s="140">
        <v>175000.0</v>
      </c>
      <c r="H7877" s="140">
        <v>25000.0</v>
      </c>
      <c r="I7877" s="74">
        <f t="shared" si="1"/>
        <v>150000</v>
      </c>
      <c r="J7877" s="74">
        <f>IF(E7877="SERVICE",I7877-(I7877*50%),Vlookup(E7877,DATABASE!C:Q,10,false)*F7877)</f>
        <v>10000</v>
      </c>
      <c r="K7877" s="74">
        <f>VLOOKUP(E7877,DATABASE!C:Q,7,false)</f>
        <v>0</v>
      </c>
      <c r="L7877" s="74">
        <v>0.0</v>
      </c>
      <c r="M7877" s="74">
        <f t="shared" si="4"/>
        <v>0</v>
      </c>
      <c r="N7877" s="74">
        <f t="shared" si="3"/>
        <v>140000</v>
      </c>
      <c r="O7877" s="65" t="str">
        <f>VLOOKUP(E7877,DATABASE!C:Q,8,false)</f>
        <v>IBU</v>
      </c>
      <c r="P7877" s="65">
        <f>VLOOKUP(E7877,DATABASE!C:Q,9,False)</f>
        <v>0</v>
      </c>
      <c r="Q7877" s="93" t="str">
        <f>VLOOKUP(E7877,DATABASE!C:Q,4,false)</f>
        <v>SPOORING</v>
      </c>
      <c r="R7877" s="93" t="str">
        <f>VLOOKUP(E7877,DATABASE!C:Q,11,false)</f>
        <v>SERVICE</v>
      </c>
    </row>
    <row r="7878" ht="22.5" customHeight="1">
      <c r="A7878" s="49"/>
      <c r="C7878" s="400">
        <v>46114.0</v>
      </c>
      <c r="D7878" s="69" t="s">
        <v>2770</v>
      </c>
      <c r="E7878" s="544" t="s">
        <v>252</v>
      </c>
      <c r="F7878" s="387">
        <v>1.0</v>
      </c>
      <c r="G7878" s="140">
        <v>300000.0</v>
      </c>
      <c r="H7878" s="74"/>
      <c r="I7878" s="74">
        <f t="shared" si="1"/>
        <v>300000</v>
      </c>
      <c r="J7878" s="74">
        <f>IF(E7878="SERVICE",I7878-(I7878*50%),Vlookup(E7878,DATABASE!C:Q,10,false)*F7878)</f>
        <v>0</v>
      </c>
      <c r="K7878" s="74">
        <f>VLOOKUP(E7878,DATABASE!C:Q,7,false)</f>
        <v>317518</v>
      </c>
      <c r="L7878" s="74">
        <v>271778.0</v>
      </c>
      <c r="M7878" s="74">
        <f t="shared" si="4"/>
        <v>275000</v>
      </c>
      <c r="N7878" s="74">
        <f t="shared" si="3"/>
        <v>25000</v>
      </c>
      <c r="O7878" s="65" t="str">
        <f>VLOOKUP(E7878,DATABASE!C:Q,8,false)</f>
        <v>NON</v>
      </c>
      <c r="P7878" s="65">
        <f>VLOOKUP(E7878,DATABASE!C:Q,9,False)</f>
        <v>0</v>
      </c>
      <c r="Q7878" s="93" t="str">
        <f>VLOOKUP(E7878,DATABASE!C:Q,4,false)</f>
        <v>Shell</v>
      </c>
      <c r="R7878" s="93" t="str">
        <f>VLOOKUP(E7878,DATABASE!C:Q,11,false)</f>
        <v>OIL</v>
      </c>
    </row>
    <row r="7879" ht="22.5" customHeight="1">
      <c r="A7879" s="49"/>
      <c r="C7879" s="400">
        <v>46114.0</v>
      </c>
      <c r="D7879" s="69" t="s">
        <v>2771</v>
      </c>
      <c r="E7879" s="544" t="s">
        <v>252</v>
      </c>
      <c r="F7879" s="387">
        <v>1.0</v>
      </c>
      <c r="G7879" s="140">
        <v>300000.0</v>
      </c>
      <c r="H7879" s="74"/>
      <c r="I7879" s="74">
        <f t="shared" si="1"/>
        <v>300000</v>
      </c>
      <c r="J7879" s="74">
        <f>IF(E7879="SERVICE",I7879-(I7879*50%),Vlookup(E7879,DATABASE!C:Q,10,false)*F7879)</f>
        <v>0</v>
      </c>
      <c r="K7879" s="74">
        <f>VLOOKUP(E7879,DATABASE!C:Q,7,false)</f>
        <v>317518</v>
      </c>
      <c r="L7879" s="74">
        <v>271778.0</v>
      </c>
      <c r="M7879" s="74">
        <f t="shared" si="4"/>
        <v>275000</v>
      </c>
      <c r="N7879" s="74">
        <f t="shared" si="3"/>
        <v>25000</v>
      </c>
      <c r="O7879" s="65" t="str">
        <f>VLOOKUP(E7879,DATABASE!C:Q,8,false)</f>
        <v>NON</v>
      </c>
      <c r="P7879" s="65">
        <f>VLOOKUP(E7879,DATABASE!C:Q,9,False)</f>
        <v>0</v>
      </c>
      <c r="Q7879" s="93" t="str">
        <f>VLOOKUP(E7879,DATABASE!C:Q,4,false)</f>
        <v>Shell</v>
      </c>
      <c r="R7879" s="93" t="str">
        <f>VLOOKUP(E7879,DATABASE!C:Q,11,false)</f>
        <v>OIL</v>
      </c>
    </row>
    <row r="7880" ht="22.5" customHeight="1">
      <c r="A7880" s="49"/>
      <c r="C7880" s="400">
        <v>46114.0</v>
      </c>
      <c r="D7880" s="69" t="s">
        <v>2772</v>
      </c>
      <c r="E7880" s="544" t="s">
        <v>2191</v>
      </c>
      <c r="F7880" s="387">
        <v>1.0</v>
      </c>
      <c r="G7880" s="140">
        <v>400000.0</v>
      </c>
      <c r="H7880" s="74"/>
      <c r="I7880" s="74">
        <f t="shared" si="1"/>
        <v>400000</v>
      </c>
      <c r="J7880" s="74">
        <f>IF(E7880="SERVICE",I7880-(I7880*50%),Vlookup(E7880,DATABASE!C:Q,10,false)*F7880)</f>
        <v>0</v>
      </c>
      <c r="K7880" s="74">
        <f>VLOOKUP(E7880,DATABASE!C:Q,7,false)</f>
        <v>422900</v>
      </c>
      <c r="L7880" s="74">
        <v>377951.0</v>
      </c>
      <c r="M7880" s="74">
        <f t="shared" si="4"/>
        <v>380000</v>
      </c>
      <c r="N7880" s="74">
        <f t="shared" si="3"/>
        <v>20000</v>
      </c>
      <c r="O7880" s="65" t="str">
        <f>VLOOKUP(E7880,DATABASE!C:Q,8,false)</f>
        <v>NON</v>
      </c>
      <c r="P7880" s="65">
        <f>VLOOKUP(E7880,DATABASE!C:Q,9,False)</f>
        <v>0</v>
      </c>
      <c r="Q7880" s="93" t="str">
        <f>VLOOKUP(E7880,DATABASE!C:Q,4,false)</f>
        <v>Shell</v>
      </c>
      <c r="R7880" s="93" t="str">
        <f>VLOOKUP(E7880,DATABASE!C:Q,11,false)</f>
        <v>OIL</v>
      </c>
    </row>
    <row r="7881" ht="22.5" customHeight="1">
      <c r="A7881" s="49"/>
      <c r="C7881" s="400">
        <v>46114.0</v>
      </c>
      <c r="D7881" s="69" t="s">
        <v>2773</v>
      </c>
      <c r="E7881" s="544" t="s">
        <v>252</v>
      </c>
      <c r="F7881" s="387">
        <v>1.0</v>
      </c>
      <c r="G7881" s="140">
        <v>300000.0</v>
      </c>
      <c r="H7881" s="74"/>
      <c r="I7881" s="74">
        <f t="shared" si="1"/>
        <v>300000</v>
      </c>
      <c r="J7881" s="74">
        <f>IF(E7881="SERVICE",I7881-(I7881*50%),Vlookup(E7881,DATABASE!C:Q,10,false)*F7881)</f>
        <v>0</v>
      </c>
      <c r="K7881" s="74">
        <f>VLOOKUP(E7881,DATABASE!C:Q,7,false)</f>
        <v>317518</v>
      </c>
      <c r="L7881" s="74">
        <v>271778.0</v>
      </c>
      <c r="M7881" s="74">
        <f t="shared" si="4"/>
        <v>275000</v>
      </c>
      <c r="N7881" s="74">
        <f t="shared" si="3"/>
        <v>25000</v>
      </c>
      <c r="O7881" s="65" t="str">
        <f>VLOOKUP(E7881,DATABASE!C:Q,8,false)</f>
        <v>NON</v>
      </c>
      <c r="P7881" s="65">
        <f>VLOOKUP(E7881,DATABASE!C:Q,9,False)</f>
        <v>0</v>
      </c>
      <c r="Q7881" s="93" t="str">
        <f>VLOOKUP(E7881,DATABASE!C:Q,4,false)</f>
        <v>Shell</v>
      </c>
      <c r="R7881" s="93" t="str">
        <f>VLOOKUP(E7881,DATABASE!C:Q,11,false)</f>
        <v>OIL</v>
      </c>
    </row>
    <row r="7882" ht="22.5" customHeight="1">
      <c r="A7882" s="49"/>
      <c r="C7882" s="400">
        <v>46115.0</v>
      </c>
      <c r="D7882" s="524">
        <v>912.0</v>
      </c>
      <c r="E7882" s="544" t="s">
        <v>286</v>
      </c>
      <c r="F7882" s="387">
        <v>11.0</v>
      </c>
      <c r="G7882" s="140">
        <v>560000.0</v>
      </c>
      <c r="H7882" s="140">
        <v>10000.0</v>
      </c>
      <c r="I7882" s="74">
        <f t="shared" si="1"/>
        <v>6050000</v>
      </c>
      <c r="J7882" s="74">
        <f>IF(E7882="SERVICE",I7882-(I7882*50%),Vlookup(E7882,DATABASE!C:Q,10,false)*F7882)</f>
        <v>0</v>
      </c>
      <c r="K7882" s="74">
        <f>VLOOKUP(E7882,DATABASE!C:Q,7,false)</f>
        <v>488320</v>
      </c>
      <c r="L7882" s="74">
        <v>452970.0</v>
      </c>
      <c r="M7882" s="74">
        <f t="shared" si="4"/>
        <v>455000</v>
      </c>
      <c r="N7882" s="74">
        <f t="shared" si="3"/>
        <v>1045000</v>
      </c>
      <c r="O7882" s="65" t="str">
        <f>VLOOKUP(E7882,DATABASE!C:Q,8,false)</f>
        <v>BIAN</v>
      </c>
      <c r="P7882" s="65">
        <f>VLOOKUP(E7882,DATABASE!C:Q,9,False)</f>
        <v>1</v>
      </c>
      <c r="Q7882" s="93" t="str">
        <f>VLOOKUP(E7882,DATABASE!C:Q,4,false)</f>
        <v>GT</v>
      </c>
      <c r="R7882" s="93" t="str">
        <f>VLOOKUP(E7882,DATABASE!C:Q,11,false)</f>
        <v>Tire</v>
      </c>
    </row>
    <row r="7883" ht="22.5" customHeight="1">
      <c r="A7883" s="49"/>
      <c r="C7883" s="400">
        <v>46115.0</v>
      </c>
      <c r="D7883" s="524">
        <v>914.0</v>
      </c>
      <c r="E7883" s="544" t="s">
        <v>275</v>
      </c>
      <c r="F7883" s="387">
        <v>2.0</v>
      </c>
      <c r="G7883" s="140">
        <v>830000.0</v>
      </c>
      <c r="H7883" s="74"/>
      <c r="I7883" s="74">
        <f t="shared" si="1"/>
        <v>1660000</v>
      </c>
      <c r="J7883" s="74">
        <f>IF(E7883="SERVICE",I7883-(I7883*50%),Vlookup(E7883,DATABASE!C:Q,10,false)*F7883)</f>
        <v>0</v>
      </c>
      <c r="K7883" s="74">
        <f>VLOOKUP(E7883,DATABASE!C:Q,7,false)</f>
        <v>782000</v>
      </c>
      <c r="L7883" s="74">
        <v>745000.0</v>
      </c>
      <c r="M7883" s="74">
        <f t="shared" si="4"/>
        <v>745000</v>
      </c>
      <c r="N7883" s="74">
        <f t="shared" si="3"/>
        <v>170000</v>
      </c>
      <c r="O7883" s="65" t="str">
        <f>VLOOKUP(E7883,DATABASE!C:Q,8,false)</f>
        <v>IBU</v>
      </c>
      <c r="P7883" s="65">
        <f>VLOOKUP(E7883,DATABASE!C:Q,9,False)</f>
        <v>1</v>
      </c>
      <c r="Q7883" s="93" t="str">
        <f>VLOOKUP(E7883,DATABASE!C:Q,4,false)</f>
        <v>Dunlop</v>
      </c>
      <c r="R7883" s="93" t="str">
        <f>VLOOKUP(E7883,DATABASE!C:Q,11,false)</f>
        <v>Tire</v>
      </c>
    </row>
    <row r="7884" ht="22.5" customHeight="1">
      <c r="A7884" s="49"/>
      <c r="C7884" s="400">
        <v>46115.0</v>
      </c>
      <c r="D7884" s="524">
        <v>915.0</v>
      </c>
      <c r="E7884" s="544" t="s">
        <v>1033</v>
      </c>
      <c r="F7884" s="387">
        <v>1.0</v>
      </c>
      <c r="G7884" s="140">
        <v>750000.0</v>
      </c>
      <c r="H7884" s="74"/>
      <c r="I7884" s="74">
        <f t="shared" si="1"/>
        <v>750000</v>
      </c>
      <c r="J7884" s="74">
        <f>IF(E7884="SERVICE",I7884-(I7884*50%),Vlookup(E7884,DATABASE!C:Q,10,false)*F7884)</f>
        <v>0</v>
      </c>
      <c r="K7884" s="74">
        <f>VLOOKUP(E7884,DATABASE!C:Q,7,false)</f>
        <v>680512</v>
      </c>
      <c r="L7884" s="74">
        <v>657305.6</v>
      </c>
      <c r="M7884" s="74">
        <f t="shared" si="4"/>
        <v>660000</v>
      </c>
      <c r="N7884" s="74">
        <f t="shared" si="3"/>
        <v>90000</v>
      </c>
      <c r="O7884" s="65" t="str">
        <f>VLOOKUP(E7884,DATABASE!C:Q,8,false)</f>
        <v>IBU</v>
      </c>
      <c r="P7884" s="65">
        <f>VLOOKUP(E7884,DATABASE!C:Q,9,False)</f>
        <v>1</v>
      </c>
      <c r="Q7884" s="93" t="str">
        <f>VLOOKUP(E7884,DATABASE!C:Q,4,false)</f>
        <v>Bridgestone</v>
      </c>
      <c r="R7884" s="93" t="str">
        <f>VLOOKUP(E7884,DATABASE!C:Q,11,false)</f>
        <v>Tire</v>
      </c>
    </row>
    <row r="7885" ht="22.5" customHeight="1">
      <c r="A7885" s="49"/>
      <c r="C7885" s="400">
        <v>46115.0</v>
      </c>
      <c r="D7885" s="524">
        <v>916.0</v>
      </c>
      <c r="E7885" s="544" t="s">
        <v>271</v>
      </c>
      <c r="F7885" s="387">
        <v>2.0</v>
      </c>
      <c r="G7885" s="140">
        <v>630000.0</v>
      </c>
      <c r="H7885" s="140">
        <v>30000.0</v>
      </c>
      <c r="I7885" s="74">
        <f t="shared" si="1"/>
        <v>1200000</v>
      </c>
      <c r="J7885" s="74">
        <f>IF(E7885="SERVICE",I7885-(I7885*50%),Vlookup(E7885,DATABASE!C:Q,10,false)*F7885)</f>
        <v>0</v>
      </c>
      <c r="K7885" s="74">
        <f>VLOOKUP(E7885,DATABASE!C:Q,7,false)</f>
        <v>570000</v>
      </c>
      <c r="L7885" s="74">
        <v>539000.0</v>
      </c>
      <c r="M7885" s="74">
        <f t="shared" si="4"/>
        <v>540000</v>
      </c>
      <c r="N7885" s="74">
        <f t="shared" si="3"/>
        <v>120000</v>
      </c>
      <c r="O7885" s="65" t="str">
        <f>VLOOKUP(E7885,DATABASE!C:Q,8,false)</f>
        <v>IBU</v>
      </c>
      <c r="P7885" s="65">
        <f>VLOOKUP(E7885,DATABASE!C:Q,9,False)</f>
        <v>1</v>
      </c>
      <c r="Q7885" s="93" t="str">
        <f>VLOOKUP(E7885,DATABASE!C:Q,4,false)</f>
        <v>Dunlop</v>
      </c>
      <c r="R7885" s="93" t="str">
        <f>VLOOKUP(E7885,DATABASE!C:Q,11,false)</f>
        <v>Tire</v>
      </c>
    </row>
    <row r="7886" ht="22.5" customHeight="1">
      <c r="A7886" s="49"/>
      <c r="C7886" s="400">
        <v>46115.0</v>
      </c>
      <c r="D7886" s="524">
        <v>917.0</v>
      </c>
      <c r="E7886" s="544" t="s">
        <v>256</v>
      </c>
      <c r="F7886" s="387">
        <v>1.0</v>
      </c>
      <c r="G7886" s="140">
        <v>175000.0</v>
      </c>
      <c r="H7886" s="140">
        <v>25000.0</v>
      </c>
      <c r="I7886" s="74">
        <f t="shared" si="1"/>
        <v>150000</v>
      </c>
      <c r="J7886" s="74">
        <f>IF(E7886="SERVICE",I7886-(I7886*50%),Vlookup(E7886,DATABASE!C:Q,10,false)*F7886)</f>
        <v>10000</v>
      </c>
      <c r="K7886" s="74">
        <f>VLOOKUP(E7886,DATABASE!C:Q,7,false)</f>
        <v>0</v>
      </c>
      <c r="L7886" s="74">
        <v>0.0</v>
      </c>
      <c r="M7886" s="74">
        <f t="shared" si="4"/>
        <v>0</v>
      </c>
      <c r="N7886" s="74">
        <f t="shared" si="3"/>
        <v>140000</v>
      </c>
      <c r="O7886" s="65" t="str">
        <f>VLOOKUP(E7886,DATABASE!C:Q,8,false)</f>
        <v>IBU</v>
      </c>
      <c r="P7886" s="65">
        <f>VLOOKUP(E7886,DATABASE!C:Q,9,False)</f>
        <v>0</v>
      </c>
      <c r="Q7886" s="93" t="str">
        <f>VLOOKUP(E7886,DATABASE!C:Q,4,false)</f>
        <v>SPOORING</v>
      </c>
      <c r="R7886" s="93" t="str">
        <f>VLOOKUP(E7886,DATABASE!C:Q,11,false)</f>
        <v>SERVICE</v>
      </c>
    </row>
    <row r="7887" ht="22.5" customHeight="1">
      <c r="A7887" s="49"/>
      <c r="C7887" s="400">
        <v>46115.0</v>
      </c>
      <c r="D7887" s="524">
        <v>918.0</v>
      </c>
      <c r="E7887" s="544" t="s">
        <v>955</v>
      </c>
      <c r="F7887" s="387">
        <v>4.0</v>
      </c>
      <c r="G7887" s="140">
        <v>770000.0</v>
      </c>
      <c r="H7887" s="140">
        <v>10000.0</v>
      </c>
      <c r="I7887" s="74">
        <f t="shared" si="1"/>
        <v>3040000</v>
      </c>
      <c r="J7887" s="74">
        <f>IF(E7887="SERVICE",I7887-(I7887*50%),Vlookup(E7887,DATABASE!C:Q,10,false)*F7887)</f>
        <v>0</v>
      </c>
      <c r="K7887" s="74">
        <f>VLOOKUP(E7887,DATABASE!C:Q,7,false)</f>
        <v>712000</v>
      </c>
      <c r="L7887" s="74">
        <v>674000.0</v>
      </c>
      <c r="M7887" s="74">
        <f t="shared" si="4"/>
        <v>675000</v>
      </c>
      <c r="N7887" s="74">
        <f t="shared" si="3"/>
        <v>340000</v>
      </c>
      <c r="O7887" s="65" t="str">
        <f>VLOOKUP(E7887,DATABASE!C:Q,8,false)</f>
        <v>IBU</v>
      </c>
      <c r="P7887" s="65">
        <f>VLOOKUP(E7887,DATABASE!C:Q,9,False)</f>
        <v>1</v>
      </c>
      <c r="Q7887" s="93" t="str">
        <f>VLOOKUP(E7887,DATABASE!C:Q,4,false)</f>
        <v>Dunlop</v>
      </c>
      <c r="R7887" s="93" t="str">
        <f>VLOOKUP(E7887,DATABASE!C:Q,11,false)</f>
        <v>Tire</v>
      </c>
    </row>
    <row r="7888" ht="22.5" customHeight="1">
      <c r="A7888" s="49"/>
      <c r="C7888" s="400">
        <v>46115.0</v>
      </c>
      <c r="D7888" s="524">
        <v>919.0</v>
      </c>
      <c r="E7888" s="544" t="s">
        <v>946</v>
      </c>
      <c r="F7888" s="387">
        <v>4.0</v>
      </c>
      <c r="G7888" s="140">
        <v>910000.0</v>
      </c>
      <c r="H7888" s="74"/>
      <c r="I7888" s="74">
        <f t="shared" si="1"/>
        <v>3640000</v>
      </c>
      <c r="J7888" s="74">
        <f>IF(E7888="SERVICE",I7888-(I7888*50%),Vlookup(E7888,DATABASE!C:Q,10,false)*F7888)</f>
        <v>0</v>
      </c>
      <c r="K7888" s="74">
        <f>VLOOKUP(E7888,DATABASE!C:Q,7,false)</f>
        <v>809000</v>
      </c>
      <c r="L7888" s="74">
        <v>809000.0</v>
      </c>
      <c r="M7888" s="74">
        <f t="shared" si="4"/>
        <v>810000</v>
      </c>
      <c r="N7888" s="74">
        <f t="shared" si="3"/>
        <v>400000</v>
      </c>
      <c r="O7888" s="65" t="str">
        <f>VLOOKUP(E7888,DATABASE!C:Q,8,false)</f>
        <v>IBU</v>
      </c>
      <c r="P7888" s="65">
        <f>VLOOKUP(E7888,DATABASE!C:Q,9,False)</f>
        <v>1</v>
      </c>
      <c r="Q7888" s="93" t="str">
        <f>VLOOKUP(E7888,DATABASE!C:Q,4,false)</f>
        <v>Dunlop</v>
      </c>
      <c r="R7888" s="93" t="str">
        <f>VLOOKUP(E7888,DATABASE!C:Q,11,false)</f>
        <v>Tire</v>
      </c>
    </row>
    <row r="7889" ht="22.5" customHeight="1">
      <c r="A7889" s="49"/>
      <c r="C7889" s="400">
        <v>46115.0</v>
      </c>
      <c r="D7889" s="524">
        <v>919.0</v>
      </c>
      <c r="E7889" s="544" t="s">
        <v>299</v>
      </c>
      <c r="F7889" s="387">
        <v>2.0</v>
      </c>
      <c r="G7889" s="140">
        <v>30000.0</v>
      </c>
      <c r="H7889" s="74"/>
      <c r="I7889" s="74">
        <f t="shared" si="1"/>
        <v>60000</v>
      </c>
      <c r="J7889" s="74">
        <f>IF(E7889="SERVICE",I7889-(I7889*50%),Vlookup(E7889,DATABASE!C:Q,10,false)*F7889)</f>
        <v>0</v>
      </c>
      <c r="K7889" s="74">
        <f>VLOOKUP(E7889,DATABASE!C:Q,7,false)</f>
        <v>10000</v>
      </c>
      <c r="L7889" s="74">
        <v>10000.0</v>
      </c>
      <c r="M7889" s="74">
        <f t="shared" si="4"/>
        <v>10000</v>
      </c>
      <c r="N7889" s="74">
        <f t="shared" si="3"/>
        <v>40000</v>
      </c>
      <c r="O7889" s="65" t="str">
        <f>VLOOKUP(E7889,DATABASE!C:Q,8,false)</f>
        <v>BIAN</v>
      </c>
      <c r="P7889" s="65">
        <f>VLOOKUP(E7889,DATABASE!C:Q,9,False)</f>
        <v>0</v>
      </c>
      <c r="Q7889" s="93" t="str">
        <f>VLOOKUP(E7889,DATABASE!C:Q,4,false)</f>
        <v>Balancing</v>
      </c>
      <c r="R7889" s="93" t="str">
        <f>VLOOKUP(E7889,DATABASE!C:Q,11,false)</f>
        <v>COMPLEMENTARY</v>
      </c>
    </row>
    <row r="7890" ht="22.5" customHeight="1">
      <c r="A7890" s="49"/>
      <c r="C7890" s="400">
        <v>46115.0</v>
      </c>
      <c r="D7890" s="69" t="s">
        <v>2774</v>
      </c>
      <c r="E7890" s="544" t="s">
        <v>2191</v>
      </c>
      <c r="F7890" s="387">
        <v>1.0</v>
      </c>
      <c r="G7890" s="140">
        <v>400000.0</v>
      </c>
      <c r="H7890" s="74"/>
      <c r="I7890" s="74">
        <f t="shared" si="1"/>
        <v>400000</v>
      </c>
      <c r="J7890" s="74">
        <f>IF(E7890="SERVICE",I7890-(I7890*50%),Vlookup(E7890,DATABASE!C:Q,10,false)*F7890)</f>
        <v>0</v>
      </c>
      <c r="K7890" s="74">
        <f>VLOOKUP(E7890,DATABASE!C:Q,7,false)</f>
        <v>422900</v>
      </c>
      <c r="L7890" s="74">
        <v>377951.0</v>
      </c>
      <c r="M7890" s="74">
        <f t="shared" si="4"/>
        <v>380000</v>
      </c>
      <c r="N7890" s="74">
        <f t="shared" si="3"/>
        <v>20000</v>
      </c>
      <c r="O7890" s="65" t="str">
        <f>VLOOKUP(E7890,DATABASE!C:Q,8,false)</f>
        <v>NON</v>
      </c>
      <c r="P7890" s="65">
        <f>VLOOKUP(E7890,DATABASE!C:Q,9,False)</f>
        <v>0</v>
      </c>
      <c r="Q7890" s="93" t="str">
        <f>VLOOKUP(E7890,DATABASE!C:Q,4,false)</f>
        <v>Shell</v>
      </c>
      <c r="R7890" s="93" t="str">
        <f>VLOOKUP(E7890,DATABASE!C:Q,11,false)</f>
        <v>OIL</v>
      </c>
    </row>
    <row r="7891" ht="22.5" customHeight="1">
      <c r="A7891" s="49"/>
      <c r="C7891" s="400">
        <v>46116.0</v>
      </c>
      <c r="D7891" s="524">
        <v>920.0</v>
      </c>
      <c r="E7891" s="544" t="s">
        <v>569</v>
      </c>
      <c r="F7891" s="387">
        <v>1.0</v>
      </c>
      <c r="G7891" s="140">
        <v>80000.0</v>
      </c>
      <c r="H7891" s="74"/>
      <c r="I7891" s="74">
        <f t="shared" si="1"/>
        <v>80000</v>
      </c>
      <c r="J7891" s="74">
        <f>IF(E7891="SERVICE",I7891-(I7891*50%),Vlookup(E7891,DATABASE!C:Q,10,false)*F7891)</f>
        <v>0</v>
      </c>
      <c r="K7891" s="74">
        <f>VLOOKUP(E7891,DATABASE!C:Q,7,false)</f>
        <v>45439.582</v>
      </c>
      <c r="L7891" s="74">
        <v>45309.6</v>
      </c>
      <c r="M7891" s="74">
        <f t="shared" si="4"/>
        <v>50000</v>
      </c>
      <c r="N7891" s="74">
        <f t="shared" si="3"/>
        <v>30000</v>
      </c>
      <c r="O7891" s="65" t="str">
        <f>VLOOKUP(E7891,DATABASE!C:Q,8,false)</f>
        <v>BIAN</v>
      </c>
      <c r="P7891" s="65">
        <f>VLOOKUP(E7891,DATABASE!C:Q,9,False)</f>
        <v>1</v>
      </c>
      <c r="Q7891" s="93" t="str">
        <f>VLOOKUP(E7891,DATABASE!C:Q,4,false)</f>
        <v>BD</v>
      </c>
      <c r="R7891" s="93" t="str">
        <f>VLOOKUP(E7891,DATABASE!C:Q,11,false)</f>
        <v>Tire</v>
      </c>
    </row>
    <row r="7892" ht="22.5" customHeight="1">
      <c r="A7892" s="49"/>
      <c r="C7892" s="400">
        <v>46116.0</v>
      </c>
      <c r="D7892" s="524">
        <v>921.0</v>
      </c>
      <c r="E7892" s="544" t="s">
        <v>605</v>
      </c>
      <c r="F7892" s="387">
        <v>1.0</v>
      </c>
      <c r="G7892" s="140">
        <v>765000.0</v>
      </c>
      <c r="H7892" s="74"/>
      <c r="I7892" s="74">
        <f t="shared" si="1"/>
        <v>765000</v>
      </c>
      <c r="J7892" s="74">
        <f>IF(E7892="SERVICE",I7892-(I7892*50%),Vlookup(E7892,DATABASE!C:Q,10,false)*F7892)</f>
        <v>0</v>
      </c>
      <c r="K7892" s="74">
        <f>VLOOKUP(E7892,DATABASE!C:Q,7,false)</f>
        <v>675000</v>
      </c>
      <c r="L7892" s="74">
        <v>675000.0</v>
      </c>
      <c r="M7892" s="74">
        <f t="shared" si="4"/>
        <v>675000</v>
      </c>
      <c r="N7892" s="74">
        <f t="shared" si="3"/>
        <v>90000</v>
      </c>
      <c r="O7892" s="65" t="str">
        <f>VLOOKUP(E7892,DATABASE!C:Q,8,false)</f>
        <v>IBU</v>
      </c>
      <c r="P7892" s="65">
        <f>VLOOKUP(E7892,DATABASE!C:Q,9,False)</f>
        <v>1</v>
      </c>
      <c r="Q7892" s="93" t="str">
        <f>VLOOKUP(E7892,DATABASE!C:Q,4,false)</f>
        <v>Bridgestone</v>
      </c>
      <c r="R7892" s="93" t="str">
        <f>VLOOKUP(E7892,DATABASE!C:Q,11,false)</f>
        <v>Tire</v>
      </c>
    </row>
    <row r="7893" ht="22.5" customHeight="1">
      <c r="A7893" s="49"/>
      <c r="C7893" s="400">
        <v>46116.0</v>
      </c>
      <c r="D7893" s="524">
        <v>922.0</v>
      </c>
      <c r="E7893" s="544" t="s">
        <v>1486</v>
      </c>
      <c r="F7893" s="387">
        <v>2.0</v>
      </c>
      <c r="G7893" s="140">
        <v>980000.0</v>
      </c>
      <c r="H7893" s="140">
        <v>5000.0</v>
      </c>
      <c r="I7893" s="74">
        <f t="shared" si="1"/>
        <v>1950000</v>
      </c>
      <c r="J7893" s="74">
        <f>IF(E7893="SERVICE",I7893-(I7893*50%),Vlookup(E7893,DATABASE!C:Q,10,false)*F7893)</f>
        <v>0</v>
      </c>
      <c r="K7893" s="74">
        <f>VLOOKUP(E7893,DATABASE!C:Q,7,false)</f>
        <v>888000</v>
      </c>
      <c r="L7893" s="74">
        <v>888000.0</v>
      </c>
      <c r="M7893" s="74">
        <f t="shared" si="4"/>
        <v>890000</v>
      </c>
      <c r="N7893" s="74">
        <f t="shared" si="3"/>
        <v>170000</v>
      </c>
      <c r="O7893" s="65" t="str">
        <f>VLOOKUP(E7893,DATABASE!C:Q,8,false)</f>
        <v>IBU</v>
      </c>
      <c r="P7893" s="65">
        <f>VLOOKUP(E7893,DATABASE!C:Q,9,False)</f>
        <v>1</v>
      </c>
      <c r="Q7893" s="93" t="str">
        <f>VLOOKUP(E7893,DATABASE!C:Q,4,false)</f>
        <v>Dunlop</v>
      </c>
      <c r="R7893" s="93" t="str">
        <f>VLOOKUP(E7893,DATABASE!C:Q,11,false)</f>
        <v>Tire</v>
      </c>
    </row>
    <row r="7894" ht="22.5" customHeight="1">
      <c r="A7894" s="49"/>
      <c r="C7894" s="400">
        <v>46116.0</v>
      </c>
      <c r="D7894" s="524">
        <v>922.0</v>
      </c>
      <c r="E7894" s="544" t="s">
        <v>256</v>
      </c>
      <c r="F7894" s="387">
        <v>1.0</v>
      </c>
      <c r="G7894" s="140">
        <v>175000.0</v>
      </c>
      <c r="H7894" s="140">
        <v>25000.0</v>
      </c>
      <c r="I7894" s="74">
        <f t="shared" si="1"/>
        <v>150000</v>
      </c>
      <c r="J7894" s="74">
        <f>IF(E7894="SERVICE",I7894-(I7894*50%),Vlookup(E7894,DATABASE!C:Q,10,false)*F7894)</f>
        <v>10000</v>
      </c>
      <c r="K7894" s="74">
        <f>VLOOKUP(E7894,DATABASE!C:Q,7,false)</f>
        <v>0</v>
      </c>
      <c r="L7894" s="74">
        <v>0.0</v>
      </c>
      <c r="M7894" s="74">
        <f t="shared" si="4"/>
        <v>0</v>
      </c>
      <c r="N7894" s="74">
        <f t="shared" si="3"/>
        <v>140000</v>
      </c>
      <c r="O7894" s="65" t="str">
        <f>VLOOKUP(E7894,DATABASE!C:Q,8,false)</f>
        <v>IBU</v>
      </c>
      <c r="P7894" s="65">
        <f>VLOOKUP(E7894,DATABASE!C:Q,9,False)</f>
        <v>0</v>
      </c>
      <c r="Q7894" s="93" t="str">
        <f>VLOOKUP(E7894,DATABASE!C:Q,4,false)</f>
        <v>SPOORING</v>
      </c>
      <c r="R7894" s="93" t="str">
        <f>VLOOKUP(E7894,DATABASE!C:Q,11,false)</f>
        <v>SERVICE</v>
      </c>
    </row>
    <row r="7895" ht="22.5" customHeight="1">
      <c r="A7895" s="49"/>
      <c r="C7895" s="400">
        <v>46116.0</v>
      </c>
      <c r="D7895" s="524">
        <v>922.0</v>
      </c>
      <c r="E7895" s="544" t="s">
        <v>301</v>
      </c>
      <c r="F7895" s="387">
        <v>1.0</v>
      </c>
      <c r="G7895" s="140">
        <v>250000.0</v>
      </c>
      <c r="H7895" s="74"/>
      <c r="I7895" s="74">
        <f t="shared" si="1"/>
        <v>250000</v>
      </c>
      <c r="J7895" s="74">
        <f>IF(E7895="SERVICE",I7895-(I7895*50%),Vlookup(E7895,DATABASE!C:Q,10,false)*F7895)</f>
        <v>75000</v>
      </c>
      <c r="K7895" s="74">
        <f>VLOOKUP(E7895,DATABASE!C:Q,7,false)</f>
        <v>75000</v>
      </c>
      <c r="L7895" s="74">
        <v>75000.0</v>
      </c>
      <c r="M7895" s="74">
        <f t="shared" si="4"/>
        <v>75000</v>
      </c>
      <c r="N7895" s="74">
        <f t="shared" si="3"/>
        <v>100000</v>
      </c>
      <c r="O7895" s="65" t="str">
        <f>VLOOKUP(E7895,DATABASE!C:Q,8,false)</f>
        <v>BIAN</v>
      </c>
      <c r="P7895" s="65">
        <f>VLOOKUP(E7895,DATABASE!C:Q,9,False)</f>
        <v>0</v>
      </c>
      <c r="Q7895" s="93" t="str">
        <f>VLOOKUP(E7895,DATABASE!C:Q,4,false)</f>
        <v>Baut Camber</v>
      </c>
      <c r="R7895" s="93" t="str">
        <f>VLOOKUP(E7895,DATABASE!C:Q,11,false)</f>
        <v>COMPLEMENTARY</v>
      </c>
    </row>
    <row r="7896" ht="22.5" customHeight="1">
      <c r="A7896" s="49"/>
      <c r="C7896" s="400">
        <v>46116.0</v>
      </c>
      <c r="D7896" s="524">
        <v>923.0</v>
      </c>
      <c r="E7896" s="544" t="s">
        <v>1361</v>
      </c>
      <c r="F7896" s="387">
        <v>4.0</v>
      </c>
      <c r="G7896" s="140">
        <v>960000.0</v>
      </c>
      <c r="H7896" s="74"/>
      <c r="I7896" s="74">
        <f t="shared" si="1"/>
        <v>3840000</v>
      </c>
      <c r="J7896" s="74">
        <f>IF(E7896="SERVICE",I7896-(I7896*50%),Vlookup(E7896,DATABASE!C:Q,10,false)*F7896)</f>
        <v>0</v>
      </c>
      <c r="K7896" s="74">
        <f>VLOOKUP(E7896,DATABASE!C:Q,7,false)</f>
        <v>881000</v>
      </c>
      <c r="L7896" s="74">
        <v>863000.0</v>
      </c>
      <c r="M7896" s="74">
        <f t="shared" si="4"/>
        <v>865000</v>
      </c>
      <c r="N7896" s="74">
        <f t="shared" si="3"/>
        <v>380000</v>
      </c>
      <c r="O7896" s="65" t="str">
        <f>VLOOKUP(E7896,DATABASE!C:Q,8,false)</f>
        <v>IBU</v>
      </c>
      <c r="P7896" s="65">
        <f>VLOOKUP(E7896,DATABASE!C:Q,9,False)</f>
        <v>1</v>
      </c>
      <c r="Q7896" s="93" t="str">
        <f>VLOOKUP(E7896,DATABASE!C:Q,4,false)</f>
        <v>Dunlop</v>
      </c>
      <c r="R7896" s="93" t="str">
        <f>VLOOKUP(E7896,DATABASE!C:Q,11,false)</f>
        <v>Tire</v>
      </c>
    </row>
    <row r="7897" ht="22.5" customHeight="1">
      <c r="A7897" s="49"/>
      <c r="C7897" s="400">
        <v>46116.0</v>
      </c>
      <c r="D7897" s="524">
        <v>923.0</v>
      </c>
      <c r="E7897" s="544" t="s">
        <v>299</v>
      </c>
      <c r="F7897" s="387">
        <v>2.0</v>
      </c>
      <c r="G7897" s="140">
        <v>30000.0</v>
      </c>
      <c r="H7897" s="74"/>
      <c r="I7897" s="74">
        <f t="shared" si="1"/>
        <v>60000</v>
      </c>
      <c r="J7897" s="74">
        <f>IF(E7897="SERVICE",I7897-(I7897*50%),Vlookup(E7897,DATABASE!C:Q,10,false)*F7897)</f>
        <v>0</v>
      </c>
      <c r="K7897" s="74">
        <f>VLOOKUP(E7897,DATABASE!C:Q,7,false)</f>
        <v>10000</v>
      </c>
      <c r="L7897" s="74">
        <v>10000.0</v>
      </c>
      <c r="M7897" s="74">
        <f t="shared" si="4"/>
        <v>10000</v>
      </c>
      <c r="N7897" s="74">
        <f t="shared" si="3"/>
        <v>40000</v>
      </c>
      <c r="O7897" s="65" t="str">
        <f>VLOOKUP(E7897,DATABASE!C:Q,8,false)</f>
        <v>BIAN</v>
      </c>
      <c r="P7897" s="65">
        <f>VLOOKUP(E7897,DATABASE!C:Q,9,False)</f>
        <v>0</v>
      </c>
      <c r="Q7897" s="93" t="str">
        <f>VLOOKUP(E7897,DATABASE!C:Q,4,false)</f>
        <v>Balancing</v>
      </c>
      <c r="R7897" s="93" t="str">
        <f>VLOOKUP(E7897,DATABASE!C:Q,11,false)</f>
        <v>COMPLEMENTARY</v>
      </c>
    </row>
    <row r="7898" ht="22.5" customHeight="1">
      <c r="A7898" s="49"/>
      <c r="C7898" s="400">
        <v>46116.0</v>
      </c>
      <c r="D7898" s="524">
        <v>923.0</v>
      </c>
      <c r="E7898" s="544" t="s">
        <v>256</v>
      </c>
      <c r="F7898" s="387">
        <v>1.0</v>
      </c>
      <c r="G7898" s="140">
        <v>175000.0</v>
      </c>
      <c r="H7898" s="140">
        <v>25000.0</v>
      </c>
      <c r="I7898" s="74">
        <f t="shared" si="1"/>
        <v>150000</v>
      </c>
      <c r="J7898" s="74">
        <f>IF(E7898="SERVICE",I7898-(I7898*50%),Vlookup(E7898,DATABASE!C:Q,10,false)*F7898)</f>
        <v>10000</v>
      </c>
      <c r="K7898" s="74">
        <f>VLOOKUP(E7898,DATABASE!C:Q,7,false)</f>
        <v>0</v>
      </c>
      <c r="L7898" s="74">
        <v>0.0</v>
      </c>
      <c r="M7898" s="74">
        <f t="shared" si="4"/>
        <v>0</v>
      </c>
      <c r="N7898" s="74">
        <f t="shared" si="3"/>
        <v>140000</v>
      </c>
      <c r="O7898" s="65" t="str">
        <f>VLOOKUP(E7898,DATABASE!C:Q,8,false)</f>
        <v>IBU</v>
      </c>
      <c r="P7898" s="65">
        <f>VLOOKUP(E7898,DATABASE!C:Q,9,False)</f>
        <v>0</v>
      </c>
      <c r="Q7898" s="93" t="str">
        <f>VLOOKUP(E7898,DATABASE!C:Q,4,false)</f>
        <v>SPOORING</v>
      </c>
      <c r="R7898" s="93" t="str">
        <f>VLOOKUP(E7898,DATABASE!C:Q,11,false)</f>
        <v>SERVICE</v>
      </c>
    </row>
    <row r="7899" ht="22.5" customHeight="1">
      <c r="A7899" s="49"/>
      <c r="C7899" s="400">
        <v>46116.0</v>
      </c>
      <c r="D7899" s="524">
        <v>923.0</v>
      </c>
      <c r="E7899" s="544" t="s">
        <v>301</v>
      </c>
      <c r="F7899" s="387">
        <v>1.0</v>
      </c>
      <c r="G7899" s="140">
        <v>250000.0</v>
      </c>
      <c r="H7899" s="74"/>
      <c r="I7899" s="74">
        <f t="shared" si="1"/>
        <v>250000</v>
      </c>
      <c r="J7899" s="74">
        <f>IF(E7899="SERVICE",I7899-(I7899*50%),Vlookup(E7899,DATABASE!C:Q,10,false)*F7899)</f>
        <v>75000</v>
      </c>
      <c r="K7899" s="74">
        <f>VLOOKUP(E7899,DATABASE!C:Q,7,false)</f>
        <v>75000</v>
      </c>
      <c r="L7899" s="74">
        <v>75000.0</v>
      </c>
      <c r="M7899" s="74">
        <f t="shared" si="4"/>
        <v>75000</v>
      </c>
      <c r="N7899" s="74">
        <f t="shared" si="3"/>
        <v>100000</v>
      </c>
      <c r="O7899" s="65" t="str">
        <f>VLOOKUP(E7899,DATABASE!C:Q,8,false)</f>
        <v>BIAN</v>
      </c>
      <c r="P7899" s="65">
        <f>VLOOKUP(E7899,DATABASE!C:Q,9,False)</f>
        <v>0</v>
      </c>
      <c r="Q7899" s="93" t="str">
        <f>VLOOKUP(E7899,DATABASE!C:Q,4,false)</f>
        <v>Baut Camber</v>
      </c>
      <c r="R7899" s="93" t="str">
        <f>VLOOKUP(E7899,DATABASE!C:Q,11,false)</f>
        <v>COMPLEMENTARY</v>
      </c>
    </row>
    <row r="7900" ht="22.5" customHeight="1">
      <c r="A7900" s="49"/>
      <c r="C7900" s="400">
        <v>46116.0</v>
      </c>
      <c r="D7900" s="524">
        <v>924.0</v>
      </c>
      <c r="E7900" s="544" t="s">
        <v>256</v>
      </c>
      <c r="F7900" s="387">
        <v>1.0</v>
      </c>
      <c r="G7900" s="140">
        <v>175000.0</v>
      </c>
      <c r="H7900" s="140">
        <v>25000.0</v>
      </c>
      <c r="I7900" s="74">
        <f t="shared" si="1"/>
        <v>150000</v>
      </c>
      <c r="J7900" s="74">
        <f>IF(E7900="SERVICE",I7900-(I7900*50%),Vlookup(E7900,DATABASE!C:Q,10,false)*F7900)</f>
        <v>10000</v>
      </c>
      <c r="K7900" s="74">
        <f>VLOOKUP(E7900,DATABASE!C:Q,7,false)</f>
        <v>0</v>
      </c>
      <c r="L7900" s="74">
        <v>0.0</v>
      </c>
      <c r="M7900" s="74">
        <f t="shared" si="4"/>
        <v>0</v>
      </c>
      <c r="N7900" s="74">
        <f t="shared" si="3"/>
        <v>140000</v>
      </c>
      <c r="O7900" s="65" t="str">
        <f>VLOOKUP(E7900,DATABASE!C:Q,8,false)</f>
        <v>IBU</v>
      </c>
      <c r="P7900" s="65">
        <f>VLOOKUP(E7900,DATABASE!C:Q,9,False)</f>
        <v>0</v>
      </c>
      <c r="Q7900" s="93" t="str">
        <f>VLOOKUP(E7900,DATABASE!C:Q,4,false)</f>
        <v>SPOORING</v>
      </c>
      <c r="R7900" s="93" t="str">
        <f>VLOOKUP(E7900,DATABASE!C:Q,11,false)</f>
        <v>SERVICE</v>
      </c>
    </row>
    <row r="7901" ht="22.5" customHeight="1">
      <c r="A7901" s="49"/>
      <c r="C7901" s="400">
        <v>46116.0</v>
      </c>
      <c r="D7901" s="524">
        <v>924.0</v>
      </c>
      <c r="E7901" s="544" t="s">
        <v>301</v>
      </c>
      <c r="F7901" s="387">
        <v>1.0</v>
      </c>
      <c r="G7901" s="140">
        <v>250000.0</v>
      </c>
      <c r="H7901" s="74"/>
      <c r="I7901" s="74">
        <f t="shared" si="1"/>
        <v>250000</v>
      </c>
      <c r="J7901" s="74">
        <f>IF(E7901="SERVICE",I7901-(I7901*50%),Vlookup(E7901,DATABASE!C:Q,10,false)*F7901)</f>
        <v>75000</v>
      </c>
      <c r="K7901" s="74">
        <f>VLOOKUP(E7901,DATABASE!C:Q,7,false)</f>
        <v>75000</v>
      </c>
      <c r="L7901" s="74">
        <v>75000.0</v>
      </c>
      <c r="M7901" s="74">
        <f t="shared" si="4"/>
        <v>75000</v>
      </c>
      <c r="N7901" s="74">
        <f t="shared" si="3"/>
        <v>100000</v>
      </c>
      <c r="O7901" s="65" t="str">
        <f>VLOOKUP(E7901,DATABASE!C:Q,8,false)</f>
        <v>BIAN</v>
      </c>
      <c r="P7901" s="65">
        <f>VLOOKUP(E7901,DATABASE!C:Q,9,False)</f>
        <v>0</v>
      </c>
      <c r="Q7901" s="93" t="str">
        <f>VLOOKUP(E7901,DATABASE!C:Q,4,false)</f>
        <v>Baut Camber</v>
      </c>
      <c r="R7901" s="93" t="str">
        <f>VLOOKUP(E7901,DATABASE!C:Q,11,false)</f>
        <v>COMPLEMENTARY</v>
      </c>
    </row>
    <row r="7902" ht="22.5" customHeight="1">
      <c r="A7902" s="49"/>
      <c r="C7902" s="400">
        <v>46116.0</v>
      </c>
      <c r="D7902" s="524">
        <v>925.0</v>
      </c>
      <c r="E7902" s="544" t="s">
        <v>647</v>
      </c>
      <c r="F7902" s="387">
        <v>2.0</v>
      </c>
      <c r="G7902" s="140">
        <v>1520000.0</v>
      </c>
      <c r="H7902" s="74"/>
      <c r="I7902" s="74">
        <f t="shared" si="1"/>
        <v>3040000</v>
      </c>
      <c r="J7902" s="74">
        <f>IF(E7902="SERVICE",I7902-(I7902*50%),Vlookup(E7902,DATABASE!C:Q,10,false)*F7902)</f>
        <v>0</v>
      </c>
      <c r="K7902" s="74">
        <f>VLOOKUP(E7902,DATABASE!C:Q,7,false)</f>
        <v>1420000</v>
      </c>
      <c r="L7902" s="74">
        <v>1420000.0</v>
      </c>
      <c r="M7902" s="74">
        <f t="shared" si="4"/>
        <v>1420000</v>
      </c>
      <c r="N7902" s="74">
        <f t="shared" si="3"/>
        <v>200000</v>
      </c>
      <c r="O7902" s="65" t="str">
        <f>VLOOKUP(E7902,DATABASE!C:Q,8,false)</f>
        <v>BIAN</v>
      </c>
      <c r="P7902" s="65">
        <f>VLOOKUP(E7902,DATABASE!C:Q,9,False)</f>
        <v>1</v>
      </c>
      <c r="Q7902" s="93" t="str">
        <f>VLOOKUP(E7902,DATABASE!C:Q,4,false)</f>
        <v>G. YEAR</v>
      </c>
      <c r="R7902" s="93" t="str">
        <f>VLOOKUP(E7902,DATABASE!C:Q,11,false)</f>
        <v>Tire</v>
      </c>
    </row>
    <row r="7903" ht="22.5" customHeight="1">
      <c r="A7903" s="49"/>
      <c r="C7903" s="400">
        <v>46116.0</v>
      </c>
      <c r="D7903" s="524">
        <v>926.0</v>
      </c>
      <c r="E7903" s="544" t="s">
        <v>924</v>
      </c>
      <c r="F7903" s="387">
        <v>2.0</v>
      </c>
      <c r="G7903" s="140">
        <v>1650000.0</v>
      </c>
      <c r="H7903" s="74"/>
      <c r="I7903" s="74">
        <f t="shared" si="1"/>
        <v>3300000</v>
      </c>
      <c r="J7903" s="74">
        <f>IF(E7903="SERVICE",I7903-(I7903*50%),Vlookup(E7903,DATABASE!C:Q,10,false)*F7903)</f>
        <v>0</v>
      </c>
      <c r="K7903" s="74">
        <f>VLOOKUP(E7903,DATABASE!C:Q,7,false)</f>
        <v>1560000</v>
      </c>
      <c r="L7903" s="74">
        <v>1545000.0</v>
      </c>
      <c r="M7903" s="74">
        <f t="shared" si="4"/>
        <v>1545000</v>
      </c>
      <c r="N7903" s="74">
        <f t="shared" si="3"/>
        <v>210000</v>
      </c>
      <c r="O7903" s="65" t="str">
        <f>VLOOKUP(E7903,DATABASE!C:Q,8,false)</f>
        <v>BIAN</v>
      </c>
      <c r="P7903" s="65">
        <f>VLOOKUP(E7903,DATABASE!C:Q,9,False)</f>
        <v>1</v>
      </c>
      <c r="Q7903" s="93" t="str">
        <f>VLOOKUP(E7903,DATABASE!C:Q,4,false)</f>
        <v>TIRON</v>
      </c>
      <c r="R7903" s="93" t="str">
        <f>VLOOKUP(E7903,DATABASE!C:Q,11,false)</f>
        <v>Tire</v>
      </c>
    </row>
    <row r="7904" ht="22.5" customHeight="1">
      <c r="A7904" s="49"/>
      <c r="C7904" s="400">
        <v>46116.0</v>
      </c>
      <c r="D7904" s="524">
        <v>928.0</v>
      </c>
      <c r="E7904" s="544" t="s">
        <v>256</v>
      </c>
      <c r="F7904" s="387">
        <v>1.0</v>
      </c>
      <c r="G7904" s="140">
        <v>175000.0</v>
      </c>
      <c r="H7904" s="140">
        <v>25000.0</v>
      </c>
      <c r="I7904" s="74">
        <f t="shared" si="1"/>
        <v>150000</v>
      </c>
      <c r="J7904" s="74">
        <f>IF(E7904="SERVICE",I7904-(I7904*50%),Vlookup(E7904,DATABASE!C:Q,10,false)*F7904)</f>
        <v>10000</v>
      </c>
      <c r="K7904" s="74">
        <f>VLOOKUP(E7904,DATABASE!C:Q,7,false)</f>
        <v>0</v>
      </c>
      <c r="L7904" s="74">
        <v>0.0</v>
      </c>
      <c r="M7904" s="74">
        <f t="shared" si="4"/>
        <v>0</v>
      </c>
      <c r="N7904" s="74">
        <f t="shared" si="3"/>
        <v>140000</v>
      </c>
      <c r="O7904" s="65" t="str">
        <f>VLOOKUP(E7904,DATABASE!C:Q,8,false)</f>
        <v>IBU</v>
      </c>
      <c r="P7904" s="65">
        <f>VLOOKUP(E7904,DATABASE!C:Q,9,False)</f>
        <v>0</v>
      </c>
      <c r="Q7904" s="93" t="str">
        <f>VLOOKUP(E7904,DATABASE!C:Q,4,false)</f>
        <v>SPOORING</v>
      </c>
      <c r="R7904" s="93" t="str">
        <f>VLOOKUP(E7904,DATABASE!C:Q,11,false)</f>
        <v>SERVICE</v>
      </c>
    </row>
    <row r="7905" ht="22.5" customHeight="1">
      <c r="A7905" s="49"/>
      <c r="C7905" s="400">
        <v>46116.0</v>
      </c>
      <c r="D7905" s="524">
        <v>929.0</v>
      </c>
      <c r="E7905" s="544" t="s">
        <v>2611</v>
      </c>
      <c r="F7905" s="387">
        <v>1.0</v>
      </c>
      <c r="G7905" s="140">
        <v>115000.0</v>
      </c>
      <c r="H7905" s="74"/>
      <c r="I7905" s="74">
        <f t="shared" si="1"/>
        <v>115000</v>
      </c>
      <c r="J7905" s="74">
        <f>IF(E7905="SERVICE",I7905-(I7905*50%),Vlookup(E7905,DATABASE!C:Q,10,false)*F7905)</f>
        <v>0</v>
      </c>
      <c r="K7905" s="74">
        <f>VLOOKUP(E7905,DATABASE!C:Q,7,false)</f>
        <v>81000</v>
      </c>
      <c r="L7905" s="74">
        <v>81000.0</v>
      </c>
      <c r="M7905" s="74">
        <f t="shared" si="4"/>
        <v>85000</v>
      </c>
      <c r="N7905" s="74">
        <f t="shared" si="3"/>
        <v>30000</v>
      </c>
      <c r="O7905" s="65" t="str">
        <f>VLOOKUP(E7905,DATABASE!C:Q,8,false)</f>
        <v>BIAN</v>
      </c>
      <c r="P7905" s="65">
        <f>VLOOKUP(E7905,DATABASE!C:Q,9,False)</f>
        <v>1</v>
      </c>
      <c r="Q7905" s="93" t="str">
        <f>VLOOKUP(E7905,DATABASE!C:Q,4,false)</f>
        <v>BD IBK</v>
      </c>
      <c r="R7905" s="93" t="str">
        <f>VLOOKUP(E7905,DATABASE!C:Q,11,false)</f>
        <v>Tire</v>
      </c>
    </row>
    <row r="7906" ht="22.5" customHeight="1">
      <c r="A7906" s="49"/>
      <c r="C7906" s="400">
        <v>46116.0</v>
      </c>
      <c r="D7906" s="524">
        <v>930.0</v>
      </c>
      <c r="E7906" s="544" t="s">
        <v>1597</v>
      </c>
      <c r="F7906" s="387">
        <v>2.0</v>
      </c>
      <c r="G7906" s="140">
        <v>645000.0</v>
      </c>
      <c r="H7906" s="140">
        <v>5000.0</v>
      </c>
      <c r="I7906" s="74">
        <f t="shared" si="1"/>
        <v>1280000</v>
      </c>
      <c r="J7906" s="74">
        <f>IF(E7906="SERVICE",I7906-(I7906*50%),Vlookup(E7906,DATABASE!C:Q,10,false)*F7906)</f>
        <v>0</v>
      </c>
      <c r="K7906" s="74">
        <f>VLOOKUP(E7906,DATABASE!C:Q,7,false)</f>
        <v>560700</v>
      </c>
      <c r="L7906" s="74">
        <v>544300.0</v>
      </c>
      <c r="M7906" s="74">
        <f t="shared" si="4"/>
        <v>545000</v>
      </c>
      <c r="N7906" s="74">
        <f t="shared" si="3"/>
        <v>190000</v>
      </c>
      <c r="O7906" s="65" t="str">
        <f>VLOOKUP(E7906,DATABASE!C:Q,8,false)</f>
        <v>BIAN</v>
      </c>
      <c r="P7906" s="65">
        <f>VLOOKUP(E7906,DATABASE!C:Q,9,False)</f>
        <v>1</v>
      </c>
      <c r="Q7906" s="93" t="str">
        <f>VLOOKUP(E7906,DATABASE!C:Q,4,false)</f>
        <v>GT</v>
      </c>
      <c r="R7906" s="93" t="str">
        <f>VLOOKUP(E7906,DATABASE!C:Q,11,false)</f>
        <v>Tire</v>
      </c>
    </row>
    <row r="7907" ht="22.5" customHeight="1">
      <c r="A7907" s="49"/>
      <c r="C7907" s="400">
        <v>46116.0</v>
      </c>
      <c r="D7907" s="524">
        <v>931.0</v>
      </c>
      <c r="E7907" s="544" t="s">
        <v>1602</v>
      </c>
      <c r="F7907" s="387">
        <v>4.0</v>
      </c>
      <c r="G7907" s="140">
        <v>1875000.0</v>
      </c>
      <c r="H7907" s="74"/>
      <c r="I7907" s="74">
        <f t="shared" si="1"/>
        <v>7500000</v>
      </c>
      <c r="J7907" s="74">
        <f>IF(E7907="SERVICE",I7907-(I7907*50%),Vlookup(E7907,DATABASE!C:Q,10,false)*F7907)</f>
        <v>0</v>
      </c>
      <c r="K7907" s="74">
        <f>VLOOKUP(E7907,DATABASE!C:Q,7,false)</f>
        <v>1762000</v>
      </c>
      <c r="L7907" s="74">
        <v>1762000.0</v>
      </c>
      <c r="M7907" s="74">
        <f t="shared" si="4"/>
        <v>1765000</v>
      </c>
      <c r="N7907" s="74">
        <f t="shared" si="3"/>
        <v>440000</v>
      </c>
      <c r="O7907" s="65" t="str">
        <f>VLOOKUP(E7907,DATABASE!C:Q,8,false)</f>
        <v>IBU</v>
      </c>
      <c r="P7907" s="65">
        <f>VLOOKUP(E7907,DATABASE!C:Q,9,False)</f>
        <v>1</v>
      </c>
      <c r="Q7907" s="93" t="str">
        <f>VLOOKUP(E7907,DATABASE!C:Q,4,false)</f>
        <v>Dunlop</v>
      </c>
      <c r="R7907" s="93" t="str">
        <f>VLOOKUP(E7907,DATABASE!C:Q,11,false)</f>
        <v>Tire</v>
      </c>
    </row>
    <row r="7908" ht="22.5" customHeight="1">
      <c r="A7908" s="49"/>
      <c r="C7908" s="400">
        <v>46116.0</v>
      </c>
      <c r="D7908" s="524">
        <v>931.0</v>
      </c>
      <c r="E7908" s="544" t="s">
        <v>461</v>
      </c>
      <c r="F7908" s="387">
        <v>2.0</v>
      </c>
      <c r="G7908" s="140">
        <v>60000.0</v>
      </c>
      <c r="H7908" s="140">
        <v>20000.0</v>
      </c>
      <c r="I7908" s="74">
        <f t="shared" si="1"/>
        <v>80000</v>
      </c>
      <c r="J7908" s="74">
        <f>IF(E7908="SERVICE",I7908-(I7908*50%),Vlookup(E7908,DATABASE!C:Q,10,false)*F7908)</f>
        <v>0</v>
      </c>
      <c r="K7908" s="74">
        <f>VLOOKUP(E7908,DATABASE!C:Q,7,false)</f>
        <v>15000</v>
      </c>
      <c r="L7908" s="74">
        <v>15000.0</v>
      </c>
      <c r="M7908" s="74">
        <f t="shared" si="4"/>
        <v>15000</v>
      </c>
      <c r="N7908" s="74">
        <f t="shared" si="3"/>
        <v>50000</v>
      </c>
      <c r="O7908" s="65" t="str">
        <f>VLOOKUP(E7908,DATABASE!C:Q,8,false)</f>
        <v>BIAN</v>
      </c>
      <c r="P7908" s="65">
        <f>VLOOKUP(E7908,DATABASE!C:Q,9,False)</f>
        <v>0</v>
      </c>
      <c r="Q7908" s="93" t="str">
        <f>VLOOKUP(E7908,DATABASE!C:Q,4,false)</f>
        <v>Balancing</v>
      </c>
      <c r="R7908" s="93" t="str">
        <f>VLOOKUP(E7908,DATABASE!C:Q,11,false)</f>
        <v>COMPLEMENTARY</v>
      </c>
    </row>
    <row r="7909" ht="22.5" customHeight="1">
      <c r="A7909" s="49"/>
      <c r="C7909" s="400">
        <v>46116.0</v>
      </c>
      <c r="D7909" s="524">
        <v>931.0</v>
      </c>
      <c r="E7909" s="544" t="s">
        <v>256</v>
      </c>
      <c r="F7909" s="387">
        <v>1.0</v>
      </c>
      <c r="G7909" s="140">
        <v>175000.0</v>
      </c>
      <c r="H7909" s="140">
        <v>25000.0</v>
      </c>
      <c r="I7909" s="74">
        <f t="shared" si="1"/>
        <v>150000</v>
      </c>
      <c r="J7909" s="74">
        <f>IF(E7909="SERVICE",I7909-(I7909*50%),Vlookup(E7909,DATABASE!C:Q,10,false)*F7909)</f>
        <v>10000</v>
      </c>
      <c r="K7909" s="74">
        <f>VLOOKUP(E7909,DATABASE!C:Q,7,false)</f>
        <v>0</v>
      </c>
      <c r="L7909" s="74">
        <v>0.0</v>
      </c>
      <c r="M7909" s="74">
        <f t="shared" si="4"/>
        <v>0</v>
      </c>
      <c r="N7909" s="74">
        <f t="shared" si="3"/>
        <v>140000</v>
      </c>
      <c r="O7909" s="65" t="str">
        <f>VLOOKUP(E7909,DATABASE!C:Q,8,false)</f>
        <v>IBU</v>
      </c>
      <c r="P7909" s="65">
        <f>VLOOKUP(E7909,DATABASE!C:Q,9,False)</f>
        <v>0</v>
      </c>
      <c r="Q7909" s="93" t="str">
        <f>VLOOKUP(E7909,DATABASE!C:Q,4,false)</f>
        <v>SPOORING</v>
      </c>
      <c r="R7909" s="93" t="str">
        <f>VLOOKUP(E7909,DATABASE!C:Q,11,false)</f>
        <v>SERVICE</v>
      </c>
    </row>
    <row r="7910" ht="22.5" customHeight="1">
      <c r="A7910" s="49"/>
      <c r="C7910" s="400">
        <v>46116.0</v>
      </c>
      <c r="D7910" s="524">
        <v>932.0</v>
      </c>
      <c r="E7910" s="544" t="s">
        <v>288</v>
      </c>
      <c r="F7910" s="387">
        <v>1.0</v>
      </c>
      <c r="G7910" s="140">
        <v>620000.0</v>
      </c>
      <c r="H7910" s="74"/>
      <c r="I7910" s="74">
        <f t="shared" si="1"/>
        <v>620000</v>
      </c>
      <c r="J7910" s="74">
        <f>IF(E7910="SERVICE",I7910-(I7910*50%),Vlookup(E7910,DATABASE!C:Q,10,false)*F7910)</f>
        <v>0</v>
      </c>
      <c r="K7910" s="74">
        <f>VLOOKUP(E7910,DATABASE!C:Q,7,false)</f>
        <v>565760</v>
      </c>
      <c r="L7910" s="74">
        <v>524800.0</v>
      </c>
      <c r="M7910" s="74">
        <f t="shared" si="4"/>
        <v>525000</v>
      </c>
      <c r="N7910" s="74">
        <f t="shared" si="3"/>
        <v>95000</v>
      </c>
      <c r="O7910" s="65" t="str">
        <f>VLOOKUP(E7910,DATABASE!C:Q,8,false)</f>
        <v>BIAN</v>
      </c>
      <c r="P7910" s="65">
        <f>VLOOKUP(E7910,DATABASE!C:Q,9,False)</f>
        <v>1</v>
      </c>
      <c r="Q7910" s="93" t="str">
        <f>VLOOKUP(E7910,DATABASE!C:Q,4,false)</f>
        <v>GT</v>
      </c>
      <c r="R7910" s="93" t="str">
        <f>VLOOKUP(E7910,DATABASE!C:Q,11,false)</f>
        <v>Tire</v>
      </c>
    </row>
    <row r="7911" ht="22.5" customHeight="1">
      <c r="A7911" s="49"/>
      <c r="C7911" s="400">
        <v>46116.0</v>
      </c>
      <c r="D7911" s="69" t="s">
        <v>2775</v>
      </c>
      <c r="E7911" s="544" t="s">
        <v>252</v>
      </c>
      <c r="F7911" s="387">
        <v>1.0</v>
      </c>
      <c r="G7911" s="140">
        <v>300000.0</v>
      </c>
      <c r="H7911" s="74"/>
      <c r="I7911" s="74">
        <f t="shared" si="1"/>
        <v>300000</v>
      </c>
      <c r="J7911" s="74">
        <f>IF(E7911="SERVICE",I7911-(I7911*50%),Vlookup(E7911,DATABASE!C:Q,10,false)*F7911)</f>
        <v>0</v>
      </c>
      <c r="K7911" s="74">
        <f>VLOOKUP(E7911,DATABASE!C:Q,7,false)</f>
        <v>317518</v>
      </c>
      <c r="L7911" s="74">
        <v>271778.0</v>
      </c>
      <c r="M7911" s="74">
        <f t="shared" si="4"/>
        <v>275000</v>
      </c>
      <c r="N7911" s="74">
        <f t="shared" si="3"/>
        <v>25000</v>
      </c>
      <c r="O7911" s="65" t="str">
        <f>VLOOKUP(E7911,DATABASE!C:Q,8,false)</f>
        <v>NON</v>
      </c>
      <c r="P7911" s="65">
        <f>VLOOKUP(E7911,DATABASE!C:Q,9,False)</f>
        <v>0</v>
      </c>
      <c r="Q7911" s="93" t="str">
        <f>VLOOKUP(E7911,DATABASE!C:Q,4,false)</f>
        <v>Shell</v>
      </c>
      <c r="R7911" s="93" t="str">
        <f>VLOOKUP(E7911,DATABASE!C:Q,11,false)</f>
        <v>OIL</v>
      </c>
    </row>
    <row r="7912" ht="22.5" customHeight="1">
      <c r="A7912" s="49"/>
      <c r="C7912" s="400">
        <v>46117.0</v>
      </c>
      <c r="D7912" s="69">
        <v>933.0</v>
      </c>
      <c r="E7912" s="544" t="s">
        <v>288</v>
      </c>
      <c r="F7912" s="387">
        <v>1.0</v>
      </c>
      <c r="G7912" s="140">
        <v>620000.0</v>
      </c>
      <c r="H7912" s="74"/>
      <c r="I7912" s="74">
        <f t="shared" si="1"/>
        <v>620000</v>
      </c>
      <c r="J7912" s="74">
        <f>IF(E7912="SERVICE",I7912-(I7912*50%),Vlookup(E7912,DATABASE!C:Q,10,false)*F7912)</f>
        <v>0</v>
      </c>
      <c r="K7912" s="74">
        <f>VLOOKUP(E7912,DATABASE!C:Q,7,false)</f>
        <v>565760</v>
      </c>
      <c r="L7912" s="74">
        <v>524800.0</v>
      </c>
      <c r="M7912" s="74">
        <f t="shared" si="4"/>
        <v>525000</v>
      </c>
      <c r="N7912" s="74">
        <f t="shared" si="3"/>
        <v>95000</v>
      </c>
      <c r="O7912" s="65" t="str">
        <f>VLOOKUP(E7912,DATABASE!C:Q,8,false)</f>
        <v>BIAN</v>
      </c>
      <c r="P7912" s="65">
        <f>VLOOKUP(E7912,DATABASE!C:Q,9,False)</f>
        <v>1</v>
      </c>
      <c r="Q7912" s="93" t="str">
        <f>VLOOKUP(E7912,DATABASE!C:Q,4,false)</f>
        <v>GT</v>
      </c>
      <c r="R7912" s="93" t="str">
        <f>VLOOKUP(E7912,DATABASE!C:Q,11,false)</f>
        <v>Tire</v>
      </c>
    </row>
    <row r="7913" ht="22.5" customHeight="1">
      <c r="A7913" s="49"/>
      <c r="C7913" s="400">
        <v>46117.0</v>
      </c>
      <c r="D7913" s="524">
        <v>934.0</v>
      </c>
      <c r="E7913" s="544" t="s">
        <v>1430</v>
      </c>
      <c r="F7913" s="387">
        <v>2.0</v>
      </c>
      <c r="G7913" s="140">
        <v>760000.0</v>
      </c>
      <c r="H7913" s="74"/>
      <c r="I7913" s="74">
        <f t="shared" si="1"/>
        <v>1520000</v>
      </c>
      <c r="J7913" s="74">
        <f>IF(E7913="SERVICE",I7913-(I7913*50%),Vlookup(E7913,DATABASE!C:Q,10,false)*F7913)</f>
        <v>0</v>
      </c>
      <c r="K7913" s="74">
        <f>VLOOKUP(E7913,DATABASE!C:Q,7,false)</f>
        <v>672800</v>
      </c>
      <c r="L7913" s="74">
        <v>659610.0</v>
      </c>
      <c r="M7913" s="74">
        <f t="shared" si="4"/>
        <v>660000</v>
      </c>
      <c r="N7913" s="74">
        <f t="shared" si="3"/>
        <v>200000</v>
      </c>
      <c r="O7913" s="65" t="str">
        <f>VLOOKUP(E7913,DATABASE!C:Q,8,false)</f>
        <v>BIAN</v>
      </c>
      <c r="P7913" s="65">
        <f>VLOOKUP(E7913,DATABASE!C:Q,9,False)</f>
        <v>1</v>
      </c>
      <c r="Q7913" s="93" t="str">
        <f>VLOOKUP(E7913,DATABASE!C:Q,4,false)</f>
        <v>GT</v>
      </c>
      <c r="R7913" s="93" t="str">
        <f>VLOOKUP(E7913,DATABASE!C:Q,11,false)</f>
        <v>Tire</v>
      </c>
    </row>
    <row r="7914" ht="22.5" customHeight="1">
      <c r="A7914" s="49"/>
      <c r="C7914" s="400">
        <v>46117.0</v>
      </c>
      <c r="D7914" s="524">
        <v>934.0</v>
      </c>
      <c r="E7914" s="544" t="s">
        <v>299</v>
      </c>
      <c r="F7914" s="387">
        <v>2.0</v>
      </c>
      <c r="G7914" s="140">
        <v>30000.0</v>
      </c>
      <c r="H7914" s="74"/>
      <c r="I7914" s="74">
        <f t="shared" si="1"/>
        <v>60000</v>
      </c>
      <c r="J7914" s="74">
        <f>IF(E7914="SERVICE",I7914-(I7914*50%),Vlookup(E7914,DATABASE!C:Q,10,false)*F7914)</f>
        <v>0</v>
      </c>
      <c r="K7914" s="74">
        <f>VLOOKUP(E7914,DATABASE!C:Q,7,false)</f>
        <v>10000</v>
      </c>
      <c r="L7914" s="74">
        <v>10000.0</v>
      </c>
      <c r="M7914" s="74">
        <f t="shared" si="4"/>
        <v>10000</v>
      </c>
      <c r="N7914" s="74">
        <f t="shared" si="3"/>
        <v>40000</v>
      </c>
      <c r="O7914" s="65" t="str">
        <f>VLOOKUP(E7914,DATABASE!C:Q,8,false)</f>
        <v>BIAN</v>
      </c>
      <c r="P7914" s="65">
        <f>VLOOKUP(E7914,DATABASE!C:Q,9,False)</f>
        <v>0</v>
      </c>
      <c r="Q7914" s="93" t="str">
        <f>VLOOKUP(E7914,DATABASE!C:Q,4,false)</f>
        <v>Balancing</v>
      </c>
      <c r="R7914" s="93" t="str">
        <f>VLOOKUP(E7914,DATABASE!C:Q,11,false)</f>
        <v>COMPLEMENTARY</v>
      </c>
    </row>
    <row r="7915" ht="22.5" customHeight="1">
      <c r="A7915" s="49"/>
      <c r="C7915" s="400">
        <v>46117.0</v>
      </c>
      <c r="D7915" s="524">
        <v>935.0</v>
      </c>
      <c r="E7915" s="544" t="s">
        <v>1530</v>
      </c>
      <c r="F7915" s="387">
        <v>1.0</v>
      </c>
      <c r="G7915" s="140">
        <v>560000.0</v>
      </c>
      <c r="H7915" s="74"/>
      <c r="I7915" s="74">
        <f t="shared" si="1"/>
        <v>560000</v>
      </c>
      <c r="J7915" s="74">
        <f>IF(E7915="SERVICE",I7915-(I7915*50%),Vlookup(E7915,DATABASE!C:Q,10,false)*F7915)</f>
        <v>0</v>
      </c>
      <c r="K7915" s="74">
        <f>VLOOKUP(E7915,DATABASE!C:Q,7,false)</f>
        <v>467000</v>
      </c>
      <c r="L7915" s="74">
        <v>467000.0</v>
      </c>
      <c r="M7915" s="74">
        <f t="shared" si="4"/>
        <v>470000</v>
      </c>
      <c r="N7915" s="74">
        <f t="shared" si="3"/>
        <v>90000</v>
      </c>
      <c r="O7915" s="65" t="str">
        <f>VLOOKUP(E7915,DATABASE!C:Q,8,false)</f>
        <v>BIAN</v>
      </c>
      <c r="P7915" s="65">
        <f>VLOOKUP(E7915,DATABASE!C:Q,9,False)</f>
        <v>1</v>
      </c>
      <c r="Q7915" s="93" t="str">
        <f>VLOOKUP(E7915,DATABASE!C:Q,4,false)</f>
        <v>Laufen</v>
      </c>
      <c r="R7915" s="93" t="str">
        <f>VLOOKUP(E7915,DATABASE!C:Q,11,false)</f>
        <v>Tire</v>
      </c>
    </row>
    <row r="7916" ht="22.5" customHeight="1">
      <c r="A7916" s="49"/>
      <c r="C7916" s="400">
        <v>46117.0</v>
      </c>
      <c r="D7916" s="524">
        <v>936.0</v>
      </c>
      <c r="E7916" s="544" t="s">
        <v>1530</v>
      </c>
      <c r="F7916" s="387">
        <v>1.0</v>
      </c>
      <c r="G7916" s="140">
        <v>560000.0</v>
      </c>
      <c r="H7916" s="74"/>
      <c r="I7916" s="74">
        <f t="shared" si="1"/>
        <v>560000</v>
      </c>
      <c r="J7916" s="74">
        <f>IF(E7916="SERVICE",I7916-(I7916*50%),Vlookup(E7916,DATABASE!C:Q,10,false)*F7916)</f>
        <v>0</v>
      </c>
      <c r="K7916" s="74">
        <f>VLOOKUP(E7916,DATABASE!C:Q,7,false)</f>
        <v>467000</v>
      </c>
      <c r="L7916" s="74">
        <v>467000.0</v>
      </c>
      <c r="M7916" s="74">
        <f t="shared" si="4"/>
        <v>470000</v>
      </c>
      <c r="N7916" s="74">
        <f t="shared" si="3"/>
        <v>90000</v>
      </c>
      <c r="O7916" s="65" t="str">
        <f>VLOOKUP(E7916,DATABASE!C:Q,8,false)</f>
        <v>BIAN</v>
      </c>
      <c r="P7916" s="65">
        <f>VLOOKUP(E7916,DATABASE!C:Q,9,False)</f>
        <v>1</v>
      </c>
      <c r="Q7916" s="93" t="str">
        <f>VLOOKUP(E7916,DATABASE!C:Q,4,false)</f>
        <v>Laufen</v>
      </c>
      <c r="R7916" s="93" t="str">
        <f>VLOOKUP(E7916,DATABASE!C:Q,11,false)</f>
        <v>Tire</v>
      </c>
    </row>
    <row r="7917" ht="22.5" customHeight="1">
      <c r="A7917" s="49"/>
      <c r="C7917" s="400">
        <v>46117.0</v>
      </c>
      <c r="D7917" s="524">
        <v>937.0</v>
      </c>
      <c r="E7917" s="544" t="s">
        <v>932</v>
      </c>
      <c r="F7917" s="387">
        <v>2.0</v>
      </c>
      <c r="G7917" s="140">
        <v>690000.0</v>
      </c>
      <c r="H7917" s="140">
        <v>10000.0</v>
      </c>
      <c r="I7917" s="74">
        <f t="shared" si="1"/>
        <v>1360000</v>
      </c>
      <c r="J7917" s="74">
        <f>IF(E7917="SERVICE",I7917-(I7917*50%),Vlookup(E7917,DATABASE!C:Q,10,false)*F7917)</f>
        <v>0</v>
      </c>
      <c r="K7917" s="74">
        <f>VLOOKUP(E7917,DATABASE!C:Q,7,false)</f>
        <v>601000</v>
      </c>
      <c r="L7917" s="140">
        <v>595000.0</v>
      </c>
      <c r="M7917" s="74">
        <f t="shared" si="4"/>
        <v>595000</v>
      </c>
      <c r="N7917" s="74">
        <f t="shared" si="3"/>
        <v>170000</v>
      </c>
      <c r="O7917" s="65" t="str">
        <f>VLOOKUP(E7917,DATABASE!C:Q,8,false)</f>
        <v>IBU</v>
      </c>
      <c r="P7917" s="65">
        <f>VLOOKUP(E7917,DATABASE!C:Q,9,False)</f>
        <v>1</v>
      </c>
      <c r="Q7917" s="93" t="str">
        <f>VLOOKUP(E7917,DATABASE!C:Q,4,false)</f>
        <v>Dunlop</v>
      </c>
      <c r="R7917" s="93" t="str">
        <f>VLOOKUP(E7917,DATABASE!C:Q,11,false)</f>
        <v>Tire</v>
      </c>
    </row>
    <row r="7918" ht="22.5" customHeight="1">
      <c r="A7918" s="49"/>
      <c r="C7918" s="400">
        <v>46117.0</v>
      </c>
      <c r="D7918" s="69">
        <v>938.0</v>
      </c>
      <c r="E7918" s="544" t="s">
        <v>2140</v>
      </c>
      <c r="F7918" s="387">
        <v>1.0</v>
      </c>
      <c r="G7918" s="140">
        <v>35000.0</v>
      </c>
      <c r="H7918" s="140">
        <v>5000.0</v>
      </c>
      <c r="I7918" s="74">
        <f t="shared" si="1"/>
        <v>30000</v>
      </c>
      <c r="J7918" s="74">
        <f>IF(E7918="SERVICE",I7918-(I7918*50%),Vlookup(E7918,DATABASE!C:Q,10,false)*F7918)</f>
        <v>0</v>
      </c>
      <c r="K7918" s="74">
        <f>VLOOKUP(E7918,DATABASE!C:Q,7,false)</f>
        <v>5000</v>
      </c>
      <c r="L7918" s="140">
        <v>10000.0</v>
      </c>
      <c r="M7918" s="74">
        <f t="shared" si="4"/>
        <v>10000</v>
      </c>
      <c r="N7918" s="74">
        <f t="shared" si="3"/>
        <v>20000</v>
      </c>
      <c r="O7918" s="65" t="str">
        <f>VLOOKUP(E7918,DATABASE!C:Q,8,false)</f>
        <v>IBU</v>
      </c>
      <c r="P7918" s="65">
        <f>VLOOKUP(E7918,DATABASE!C:Q,9,False)</f>
        <v>0</v>
      </c>
      <c r="Q7918" s="93" t="str">
        <f>VLOOKUP(E7918,DATABASE!C:Q,4,false)</f>
        <v>PENTIL + PASANG</v>
      </c>
      <c r="R7918" s="93" t="str">
        <f>VLOOKUP(E7918,DATABASE!C:Q,11,false)</f>
        <v>COMPLEMENTARY</v>
      </c>
    </row>
    <row r="7919" ht="22.5" customHeight="1">
      <c r="A7919" s="49"/>
      <c r="C7919" s="400">
        <v>46117.0</v>
      </c>
      <c r="D7919" s="69">
        <v>939.0</v>
      </c>
      <c r="E7919" s="544" t="s">
        <v>604</v>
      </c>
      <c r="F7919" s="387">
        <v>1.0</v>
      </c>
      <c r="G7919" s="140">
        <v>160000.0</v>
      </c>
      <c r="H7919" s="74"/>
      <c r="I7919" s="74">
        <f t="shared" si="1"/>
        <v>160000</v>
      </c>
      <c r="J7919" s="74">
        <f>IF(E7919="SERVICE",I7919-(I7919*50%),Vlookup(E7919,DATABASE!C:Q,10,false)*F7919)</f>
        <v>0</v>
      </c>
      <c r="K7919" s="74">
        <f>VLOOKUP(E7919,DATABASE!C:Q,7,false)</f>
        <v>124000</v>
      </c>
      <c r="L7919" s="74">
        <v>124000.0</v>
      </c>
      <c r="M7919" s="74">
        <f t="shared" si="4"/>
        <v>125000</v>
      </c>
      <c r="N7919" s="74">
        <f t="shared" si="3"/>
        <v>35000</v>
      </c>
      <c r="O7919" s="65" t="str">
        <f>VLOOKUP(E7919,DATABASE!C:Q,8,false)</f>
        <v>BIAN</v>
      </c>
      <c r="P7919" s="65">
        <f>VLOOKUP(E7919,DATABASE!C:Q,9,False)</f>
        <v>1</v>
      </c>
      <c r="Q7919" s="93" t="str">
        <f>VLOOKUP(E7919,DATABASE!C:Q,4,false)</f>
        <v>BD</v>
      </c>
      <c r="R7919" s="93" t="str">
        <f>VLOOKUP(E7919,DATABASE!C:Q,11,false)</f>
        <v>Tire</v>
      </c>
    </row>
    <row r="7920" ht="22.5" customHeight="1">
      <c r="A7920" s="49"/>
      <c r="C7920" s="400">
        <v>46117.0</v>
      </c>
      <c r="D7920" s="69" t="s">
        <v>2776</v>
      </c>
      <c r="E7920" s="544" t="s">
        <v>2191</v>
      </c>
      <c r="F7920" s="387">
        <v>1.0</v>
      </c>
      <c r="G7920" s="140">
        <v>400000.0</v>
      </c>
      <c r="H7920" s="74"/>
      <c r="I7920" s="74">
        <f t="shared" si="1"/>
        <v>400000</v>
      </c>
      <c r="J7920" s="74">
        <f>IF(E7920="SERVICE",I7920-(I7920*50%),Vlookup(E7920,DATABASE!C:Q,10,false)*F7920)</f>
        <v>0</v>
      </c>
      <c r="K7920" s="74">
        <f>VLOOKUP(E7920,DATABASE!C:Q,7,false)</f>
        <v>422900</v>
      </c>
      <c r="L7920" s="74">
        <v>377951.0</v>
      </c>
      <c r="M7920" s="74">
        <f t="shared" si="4"/>
        <v>380000</v>
      </c>
      <c r="N7920" s="74">
        <f t="shared" si="3"/>
        <v>20000</v>
      </c>
      <c r="O7920" s="65" t="str">
        <f>VLOOKUP(E7920,DATABASE!C:Q,8,false)</f>
        <v>NON</v>
      </c>
      <c r="P7920" s="65">
        <f>VLOOKUP(E7920,DATABASE!C:Q,9,False)</f>
        <v>0</v>
      </c>
      <c r="Q7920" s="93" t="str">
        <f>VLOOKUP(E7920,DATABASE!C:Q,4,false)</f>
        <v>Shell</v>
      </c>
      <c r="R7920" s="93" t="str">
        <f>VLOOKUP(E7920,DATABASE!C:Q,11,false)</f>
        <v>OIL</v>
      </c>
    </row>
    <row r="7921" ht="22.5" customHeight="1">
      <c r="A7921" s="49"/>
      <c r="C7921" s="400">
        <v>46117.0</v>
      </c>
      <c r="D7921" s="69" t="s">
        <v>2777</v>
      </c>
      <c r="E7921" s="544" t="s">
        <v>252</v>
      </c>
      <c r="F7921" s="387">
        <v>1.0</v>
      </c>
      <c r="G7921" s="140">
        <v>300000.0</v>
      </c>
      <c r="H7921" s="74"/>
      <c r="I7921" s="74">
        <f t="shared" si="1"/>
        <v>300000</v>
      </c>
      <c r="J7921" s="74">
        <f>IF(E7921="SERVICE",I7921-(I7921*50%),Vlookup(E7921,DATABASE!C:Q,10,false)*F7921)</f>
        <v>0</v>
      </c>
      <c r="K7921" s="74">
        <f>VLOOKUP(E7921,DATABASE!C:Q,7,false)</f>
        <v>317518</v>
      </c>
      <c r="L7921" s="74">
        <v>271778.0</v>
      </c>
      <c r="M7921" s="74">
        <f t="shared" si="4"/>
        <v>275000</v>
      </c>
      <c r="N7921" s="74">
        <f t="shared" si="3"/>
        <v>25000</v>
      </c>
      <c r="O7921" s="65" t="str">
        <f>VLOOKUP(E7921,DATABASE!C:Q,8,false)</f>
        <v>NON</v>
      </c>
      <c r="P7921" s="65">
        <f>VLOOKUP(E7921,DATABASE!C:Q,9,False)</f>
        <v>0</v>
      </c>
      <c r="Q7921" s="93" t="str">
        <f>VLOOKUP(E7921,DATABASE!C:Q,4,false)</f>
        <v>Shell</v>
      </c>
      <c r="R7921" s="93" t="str">
        <f>VLOOKUP(E7921,DATABASE!C:Q,11,false)</f>
        <v>OIL</v>
      </c>
    </row>
    <row r="7922" ht="22.5" customHeight="1">
      <c r="A7922" s="49"/>
      <c r="C7922" s="400">
        <v>46117.0</v>
      </c>
      <c r="D7922" s="69" t="s">
        <v>2777</v>
      </c>
      <c r="E7922" s="544" t="s">
        <v>298</v>
      </c>
      <c r="F7922" s="387">
        <v>1.0</v>
      </c>
      <c r="G7922" s="140">
        <v>25000.0</v>
      </c>
      <c r="H7922" s="74"/>
      <c r="I7922" s="74">
        <f t="shared" si="1"/>
        <v>25000</v>
      </c>
      <c r="J7922" s="74">
        <f>IF(E7922="SERVICE",I7922-(I7922*50%),Vlookup(E7922,DATABASE!C:Q,10,false)*F7922)</f>
        <v>0</v>
      </c>
      <c r="K7922" s="74">
        <f>VLOOKUP(E7922,DATABASE!C:Q,7,false)</f>
        <v>19200</v>
      </c>
      <c r="L7922" s="74">
        <v>19200.0</v>
      </c>
      <c r="M7922" s="74">
        <f t="shared" si="4"/>
        <v>20000</v>
      </c>
      <c r="N7922" s="74">
        <f t="shared" si="3"/>
        <v>5000</v>
      </c>
      <c r="O7922" s="65" t="str">
        <f>VLOOKUP(E7922,DATABASE!C:Q,8,false)</f>
        <v>BIAN</v>
      </c>
      <c r="P7922" s="65">
        <f>VLOOKUP(E7922,DATABASE!C:Q,9,False)</f>
        <v>0</v>
      </c>
      <c r="Q7922" s="93" t="str">
        <f>VLOOKUP(E7922,DATABASE!C:Q,4,false)</f>
        <v>Aspira</v>
      </c>
      <c r="R7922" s="93" t="str">
        <f>VLOOKUP(E7922,DATABASE!C:Q,11,false)</f>
        <v>COMPLEMENTARY</v>
      </c>
    </row>
    <row r="7923" ht="22.5" customHeight="1">
      <c r="A7923" s="49"/>
      <c r="C7923" s="400">
        <v>46118.0</v>
      </c>
      <c r="D7923" s="524">
        <v>940.0</v>
      </c>
      <c r="E7923" s="544" t="s">
        <v>1530</v>
      </c>
      <c r="F7923" s="387">
        <v>1.0</v>
      </c>
      <c r="G7923" s="140">
        <v>560000.0</v>
      </c>
      <c r="H7923" s="74"/>
      <c r="I7923" s="74">
        <f t="shared" si="1"/>
        <v>560000</v>
      </c>
      <c r="J7923" s="74">
        <f>IF(E7923="SERVICE",I7923-(I7923*50%),Vlookup(E7923,DATABASE!C:Q,10,false)*F7923)</f>
        <v>0</v>
      </c>
      <c r="K7923" s="74">
        <f>VLOOKUP(E7923,DATABASE!C:Q,7,false)</f>
        <v>467000</v>
      </c>
      <c r="L7923" s="74">
        <v>467000.0</v>
      </c>
      <c r="M7923" s="74">
        <f t="shared" si="4"/>
        <v>470000</v>
      </c>
      <c r="N7923" s="74">
        <f t="shared" si="3"/>
        <v>90000</v>
      </c>
      <c r="O7923" s="65" t="str">
        <f>VLOOKUP(E7923,DATABASE!C:Q,8,false)</f>
        <v>BIAN</v>
      </c>
      <c r="P7923" s="65">
        <f>VLOOKUP(E7923,DATABASE!C:Q,9,False)</f>
        <v>1</v>
      </c>
      <c r="Q7923" s="93" t="str">
        <f>VLOOKUP(E7923,DATABASE!C:Q,4,false)</f>
        <v>Laufen</v>
      </c>
      <c r="R7923" s="93" t="str">
        <f>VLOOKUP(E7923,DATABASE!C:Q,11,false)</f>
        <v>Tire</v>
      </c>
    </row>
    <row r="7924" ht="22.5" customHeight="1">
      <c r="A7924" s="49"/>
      <c r="C7924" s="400">
        <v>46118.0</v>
      </c>
      <c r="D7924" s="524">
        <v>941.0</v>
      </c>
      <c r="E7924" s="544" t="s">
        <v>1430</v>
      </c>
      <c r="F7924" s="387">
        <v>2.0</v>
      </c>
      <c r="G7924" s="140">
        <v>760000.0</v>
      </c>
      <c r="H7924" s="74"/>
      <c r="I7924" s="74">
        <f t="shared" si="1"/>
        <v>1520000</v>
      </c>
      <c r="J7924" s="74">
        <f>IF(E7924="SERVICE",I7924-(I7924*50%),Vlookup(E7924,DATABASE!C:Q,10,false)*F7924)</f>
        <v>0</v>
      </c>
      <c r="K7924" s="74">
        <f>VLOOKUP(E7924,DATABASE!C:Q,7,false)</f>
        <v>672800</v>
      </c>
      <c r="L7924" s="74">
        <v>659610.0</v>
      </c>
      <c r="M7924" s="74">
        <f t="shared" si="4"/>
        <v>660000</v>
      </c>
      <c r="N7924" s="74">
        <f t="shared" si="3"/>
        <v>200000</v>
      </c>
      <c r="O7924" s="65" t="str">
        <f>VLOOKUP(E7924,DATABASE!C:Q,8,false)</f>
        <v>BIAN</v>
      </c>
      <c r="P7924" s="65">
        <f>VLOOKUP(E7924,DATABASE!C:Q,9,False)</f>
        <v>1</v>
      </c>
      <c r="Q7924" s="93" t="str">
        <f>VLOOKUP(E7924,DATABASE!C:Q,4,false)</f>
        <v>GT</v>
      </c>
      <c r="R7924" s="93" t="str">
        <f>VLOOKUP(E7924,DATABASE!C:Q,11,false)</f>
        <v>Tire</v>
      </c>
    </row>
    <row r="7925" ht="22.5" customHeight="1">
      <c r="A7925" s="49"/>
      <c r="C7925" s="400">
        <v>46118.0</v>
      </c>
      <c r="D7925" s="524">
        <v>942.0</v>
      </c>
      <c r="E7925" s="544" t="s">
        <v>256</v>
      </c>
      <c r="F7925" s="387">
        <v>1.0</v>
      </c>
      <c r="G7925" s="140">
        <v>175000.0</v>
      </c>
      <c r="H7925" s="140">
        <v>25000.0</v>
      </c>
      <c r="I7925" s="74">
        <f t="shared" si="1"/>
        <v>150000</v>
      </c>
      <c r="J7925" s="74">
        <f>IF(E7925="SERVICE",I7925-(I7925*50%),Vlookup(E7925,DATABASE!C:Q,10,false)*F7925)</f>
        <v>10000</v>
      </c>
      <c r="K7925" s="74">
        <f>VLOOKUP(E7925,DATABASE!C:Q,7,false)</f>
        <v>0</v>
      </c>
      <c r="L7925" s="74">
        <v>0.0</v>
      </c>
      <c r="M7925" s="74">
        <f t="shared" si="4"/>
        <v>0</v>
      </c>
      <c r="N7925" s="74">
        <f t="shared" si="3"/>
        <v>140000</v>
      </c>
      <c r="O7925" s="65" t="str">
        <f>VLOOKUP(E7925,DATABASE!C:Q,8,false)</f>
        <v>IBU</v>
      </c>
      <c r="P7925" s="65">
        <f>VLOOKUP(E7925,DATABASE!C:Q,9,False)</f>
        <v>0</v>
      </c>
      <c r="Q7925" s="93" t="str">
        <f>VLOOKUP(E7925,DATABASE!C:Q,4,false)</f>
        <v>SPOORING</v>
      </c>
      <c r="R7925" s="93" t="str">
        <f>VLOOKUP(E7925,DATABASE!C:Q,11,false)</f>
        <v>SERVICE</v>
      </c>
    </row>
    <row r="7926" ht="22.5" customHeight="1">
      <c r="A7926" s="49"/>
      <c r="C7926" s="400">
        <v>46118.0</v>
      </c>
      <c r="D7926" s="524">
        <v>943.0</v>
      </c>
      <c r="E7926" s="544" t="s">
        <v>932</v>
      </c>
      <c r="F7926" s="387">
        <v>1.0</v>
      </c>
      <c r="G7926" s="140">
        <v>690000.0</v>
      </c>
      <c r="H7926" s="74"/>
      <c r="I7926" s="74">
        <f t="shared" si="1"/>
        <v>690000</v>
      </c>
      <c r="J7926" s="74">
        <f>IF(E7926="SERVICE",I7926-(I7926*50%),Vlookup(E7926,DATABASE!C:Q,10,false)*F7926)</f>
        <v>0</v>
      </c>
      <c r="K7926" s="74">
        <f>VLOOKUP(E7926,DATABASE!C:Q,7,false)</f>
        <v>601000</v>
      </c>
      <c r="L7926" s="74">
        <v>601000.0</v>
      </c>
      <c r="M7926" s="140">
        <v>595000.0</v>
      </c>
      <c r="N7926" s="74">
        <f t="shared" si="3"/>
        <v>95000</v>
      </c>
      <c r="O7926" s="65" t="str">
        <f>VLOOKUP(E7926,DATABASE!C:Q,8,false)</f>
        <v>IBU</v>
      </c>
      <c r="P7926" s="65">
        <f>VLOOKUP(E7926,DATABASE!C:Q,9,False)</f>
        <v>1</v>
      </c>
      <c r="Q7926" s="93" t="str">
        <f>VLOOKUP(E7926,DATABASE!C:Q,4,false)</f>
        <v>Dunlop</v>
      </c>
      <c r="R7926" s="93" t="str">
        <f>VLOOKUP(E7926,DATABASE!C:Q,11,false)</f>
        <v>Tire</v>
      </c>
    </row>
    <row r="7927" ht="22.5" customHeight="1">
      <c r="A7927" s="49"/>
      <c r="C7927" s="400">
        <v>46118.0</v>
      </c>
      <c r="D7927" s="524">
        <v>944.0</v>
      </c>
      <c r="E7927" s="544" t="s">
        <v>262</v>
      </c>
      <c r="F7927" s="387">
        <v>1.0</v>
      </c>
      <c r="G7927" s="140">
        <v>130000.0</v>
      </c>
      <c r="H7927" s="74"/>
      <c r="I7927" s="74">
        <f t="shared" si="1"/>
        <v>130000</v>
      </c>
      <c r="J7927" s="74">
        <f>IF(E7927="SERVICE",I7927-(I7927*50%),Vlookup(E7927,DATABASE!C:Q,10,false)*F7927)</f>
        <v>5000</v>
      </c>
      <c r="K7927" s="74">
        <f>VLOOKUP(E7927,DATABASE!C:Q,7,false)</f>
        <v>0</v>
      </c>
      <c r="L7927" s="74">
        <v>0.0</v>
      </c>
      <c r="M7927" s="74">
        <f t="shared" ref="M7927:M7930" si="5">CEILING(L7927, 5000)</f>
        <v>0</v>
      </c>
      <c r="N7927" s="74">
        <f t="shared" si="3"/>
        <v>125000</v>
      </c>
      <c r="O7927" s="65" t="str">
        <f>VLOOKUP(E7927,DATABASE!C:Q,8,false)</f>
        <v>IBU</v>
      </c>
      <c r="P7927" s="65">
        <f>VLOOKUP(E7927,DATABASE!C:Q,9,False)</f>
        <v>0</v>
      </c>
      <c r="Q7927" s="93" t="str">
        <f>VLOOKUP(E7927,DATABASE!C:Q,4,false)</f>
        <v>SPOORING SS/CARRY LOS BAK</v>
      </c>
      <c r="R7927" s="93" t="str">
        <f>VLOOKUP(E7927,DATABASE!C:Q,11,false)</f>
        <v>SERVICE</v>
      </c>
    </row>
    <row r="7928" ht="22.5" customHeight="1">
      <c r="A7928" s="49"/>
      <c r="C7928" s="400">
        <v>46118.0</v>
      </c>
      <c r="D7928" s="524">
        <v>944.0</v>
      </c>
      <c r="E7928" s="544" t="s">
        <v>478</v>
      </c>
      <c r="F7928" s="387">
        <v>1.0</v>
      </c>
      <c r="G7928" s="140">
        <v>200000.0</v>
      </c>
      <c r="H7928" s="74"/>
      <c r="I7928" s="74">
        <f t="shared" si="1"/>
        <v>200000</v>
      </c>
      <c r="J7928" s="74">
        <f>IF(E7928="SERVICE",I7928-(I7928*50%),Vlookup(E7928,DATABASE!C:Q,10,false)*F7928)</f>
        <v>25000</v>
      </c>
      <c r="K7928" s="74">
        <f>VLOOKUP(E7928,DATABASE!C:Q,7,false)</f>
        <v>75000</v>
      </c>
      <c r="L7928" s="74">
        <v>75000.0</v>
      </c>
      <c r="M7928" s="74">
        <f t="shared" si="5"/>
        <v>75000</v>
      </c>
      <c r="N7928" s="74">
        <f t="shared" si="3"/>
        <v>100000</v>
      </c>
      <c r="O7928" s="65" t="str">
        <f>VLOOKUP(E7928,DATABASE!C:Q,8,false)</f>
        <v>BIAN</v>
      </c>
      <c r="P7928" s="65">
        <f>VLOOKUP(E7928,DATABASE!C:Q,9,False)</f>
        <v>0</v>
      </c>
      <c r="Q7928" s="93" t="str">
        <f>VLOOKUP(E7928,DATABASE!C:Q,4,false)</f>
        <v>Baut Camber ss-carry</v>
      </c>
      <c r="R7928" s="93" t="str">
        <f>VLOOKUP(E7928,DATABASE!C:Q,11,false)</f>
        <v>COMPLEMENTARY</v>
      </c>
    </row>
    <row r="7929" ht="22.5" customHeight="1">
      <c r="A7929" s="49"/>
      <c r="C7929" s="400">
        <v>46118.0</v>
      </c>
      <c r="D7929" s="524">
        <v>944.0</v>
      </c>
      <c r="E7929" s="544" t="s">
        <v>251</v>
      </c>
      <c r="F7929" s="387">
        <v>1.0</v>
      </c>
      <c r="G7929" s="140">
        <v>350000.0</v>
      </c>
      <c r="H7929" s="140">
        <v>230000.0</v>
      </c>
      <c r="I7929" s="74">
        <f t="shared" si="1"/>
        <v>120000</v>
      </c>
      <c r="J7929" s="74">
        <f>IF(E7929="SERVICE",I7929-(I7929*50%),Vlookup(E7929,DATABASE!C:Q,10,false)*F7929)</f>
        <v>60000</v>
      </c>
      <c r="K7929" s="74">
        <f>VLOOKUP(E7929,DATABASE!C:Q,7,false)</f>
        <v>0</v>
      </c>
      <c r="L7929" s="74">
        <v>0.0</v>
      </c>
      <c r="M7929" s="74">
        <f t="shared" si="5"/>
        <v>0</v>
      </c>
      <c r="N7929" s="74">
        <f t="shared" si="3"/>
        <v>60000</v>
      </c>
      <c r="O7929" s="65" t="str">
        <f>VLOOKUP(E7929,DATABASE!C:Q,8,false)</f>
        <v>IBU</v>
      </c>
      <c r="P7929" s="65">
        <f>VLOOKUP(E7929,DATABASE!C:Q,9,False)</f>
        <v>0</v>
      </c>
      <c r="Q7929" s="93" t="str">
        <f>VLOOKUP(E7929,DATABASE!C:Q,4,false)</f>
        <v>SERVICE</v>
      </c>
      <c r="R7929" s="93" t="str">
        <f>VLOOKUP(E7929,DATABASE!C:Q,11,false)</f>
        <v>SERVICE</v>
      </c>
    </row>
    <row r="7930" ht="22.5" customHeight="1">
      <c r="A7930" s="49"/>
      <c r="C7930" s="400">
        <v>46118.0</v>
      </c>
      <c r="D7930" s="524">
        <v>945.0</v>
      </c>
      <c r="E7930" s="544" t="s">
        <v>605</v>
      </c>
      <c r="F7930" s="387">
        <v>1.0</v>
      </c>
      <c r="G7930" s="140">
        <v>765000.0</v>
      </c>
      <c r="H7930" s="74"/>
      <c r="I7930" s="74">
        <f t="shared" si="1"/>
        <v>765000</v>
      </c>
      <c r="J7930" s="74">
        <f>IF(E7930="SERVICE",I7930-(I7930*50%),Vlookup(E7930,DATABASE!C:Q,10,false)*F7930)</f>
        <v>0</v>
      </c>
      <c r="K7930" s="74">
        <f>VLOOKUP(E7930,DATABASE!C:Q,7,false)</f>
        <v>675000</v>
      </c>
      <c r="L7930" s="74">
        <v>675000.0</v>
      </c>
      <c r="M7930" s="74">
        <f t="shared" si="5"/>
        <v>675000</v>
      </c>
      <c r="N7930" s="74">
        <f t="shared" si="3"/>
        <v>90000</v>
      </c>
      <c r="O7930" s="65" t="str">
        <f>VLOOKUP(E7930,DATABASE!C:Q,8,false)</f>
        <v>IBU</v>
      </c>
      <c r="P7930" s="65">
        <f>VLOOKUP(E7930,DATABASE!C:Q,9,False)</f>
        <v>1</v>
      </c>
      <c r="Q7930" s="93" t="str">
        <f>VLOOKUP(E7930,DATABASE!C:Q,4,false)</f>
        <v>Bridgestone</v>
      </c>
      <c r="R7930" s="93" t="str">
        <f>VLOOKUP(E7930,DATABASE!C:Q,11,false)</f>
        <v>Tire</v>
      </c>
    </row>
    <row r="7931" ht="22.5" customHeight="1">
      <c r="A7931" s="49"/>
      <c r="C7931" s="400">
        <v>46118.0</v>
      </c>
      <c r="D7931" s="524">
        <v>946.0</v>
      </c>
      <c r="E7931" s="544" t="s">
        <v>932</v>
      </c>
      <c r="F7931" s="387">
        <v>2.0</v>
      </c>
      <c r="G7931" s="140">
        <v>690000.0</v>
      </c>
      <c r="H7931" s="140">
        <v>10000.0</v>
      </c>
      <c r="I7931" s="74">
        <f t="shared" si="1"/>
        <v>1360000</v>
      </c>
      <c r="J7931" s="74">
        <f>IF(E7931="SERVICE",I7931-(I7931*50%),Vlookup(E7931,DATABASE!C:Q,10,false)*F7931)</f>
        <v>0</v>
      </c>
      <c r="K7931" s="74">
        <f>VLOOKUP(E7931,DATABASE!C:Q,7,false)</f>
        <v>601000</v>
      </c>
      <c r="L7931" s="74">
        <v>601000.0</v>
      </c>
      <c r="M7931" s="140">
        <v>595000.0</v>
      </c>
      <c r="N7931" s="74">
        <f t="shared" si="3"/>
        <v>170000</v>
      </c>
      <c r="O7931" s="65" t="str">
        <f>VLOOKUP(E7931,DATABASE!C:Q,8,false)</f>
        <v>IBU</v>
      </c>
      <c r="P7931" s="65">
        <f>VLOOKUP(E7931,DATABASE!C:Q,9,False)</f>
        <v>1</v>
      </c>
      <c r="Q7931" s="93" t="str">
        <f>VLOOKUP(E7931,DATABASE!C:Q,4,false)</f>
        <v>Dunlop</v>
      </c>
      <c r="R7931" s="93" t="str">
        <f>VLOOKUP(E7931,DATABASE!C:Q,11,false)</f>
        <v>Tire</v>
      </c>
    </row>
    <row r="7932" ht="22.5" customHeight="1">
      <c r="A7932" s="49"/>
      <c r="C7932" s="400">
        <v>46118.0</v>
      </c>
      <c r="D7932" s="524">
        <v>946.0</v>
      </c>
      <c r="E7932" s="544" t="s">
        <v>256</v>
      </c>
      <c r="F7932" s="387">
        <v>1.0</v>
      </c>
      <c r="G7932" s="140">
        <v>175000.0</v>
      </c>
      <c r="H7932" s="140">
        <v>25000.0</v>
      </c>
      <c r="I7932" s="74">
        <f t="shared" si="1"/>
        <v>150000</v>
      </c>
      <c r="J7932" s="74">
        <f>IF(E7932="SERVICE",I7932-(I7932*50%),Vlookup(E7932,DATABASE!C:Q,10,false)*F7932)</f>
        <v>10000</v>
      </c>
      <c r="K7932" s="74">
        <f>VLOOKUP(E7932,DATABASE!C:Q,7,false)</f>
        <v>0</v>
      </c>
      <c r="L7932" s="74">
        <v>0.0</v>
      </c>
      <c r="M7932" s="74">
        <f t="shared" ref="M7932:M11236" si="6">CEILING(L7932, 5000)</f>
        <v>0</v>
      </c>
      <c r="N7932" s="74">
        <f t="shared" si="3"/>
        <v>140000</v>
      </c>
      <c r="O7932" s="65" t="str">
        <f>VLOOKUP(E7932,DATABASE!C:Q,8,false)</f>
        <v>IBU</v>
      </c>
      <c r="P7932" s="65">
        <f>VLOOKUP(E7932,DATABASE!C:Q,9,False)</f>
        <v>0</v>
      </c>
      <c r="Q7932" s="93" t="str">
        <f>VLOOKUP(E7932,DATABASE!C:Q,4,false)</f>
        <v>SPOORING</v>
      </c>
      <c r="R7932" s="93" t="str">
        <f>VLOOKUP(E7932,DATABASE!C:Q,11,false)</f>
        <v>SERVICE</v>
      </c>
    </row>
    <row r="7933" ht="22.5" customHeight="1">
      <c r="A7933" s="49"/>
      <c r="C7933" s="400">
        <v>46118.0</v>
      </c>
      <c r="D7933" s="524">
        <v>947.0</v>
      </c>
      <c r="E7933" s="544" t="s">
        <v>256</v>
      </c>
      <c r="F7933" s="387">
        <v>1.0</v>
      </c>
      <c r="G7933" s="140">
        <v>175000.0</v>
      </c>
      <c r="H7933" s="140">
        <v>25000.0</v>
      </c>
      <c r="I7933" s="74">
        <f t="shared" si="1"/>
        <v>150000</v>
      </c>
      <c r="J7933" s="74">
        <f>IF(E7933="SERVICE",I7933-(I7933*50%),Vlookup(E7933,DATABASE!C:Q,10,false)*F7933)</f>
        <v>10000</v>
      </c>
      <c r="K7933" s="74">
        <f>VLOOKUP(E7933,DATABASE!C:Q,7,false)</f>
        <v>0</v>
      </c>
      <c r="L7933" s="74">
        <v>0.0</v>
      </c>
      <c r="M7933" s="74">
        <f t="shared" si="6"/>
        <v>0</v>
      </c>
      <c r="N7933" s="74">
        <f t="shared" si="3"/>
        <v>140000</v>
      </c>
      <c r="O7933" s="65" t="str">
        <f>VLOOKUP(E7933,DATABASE!C:Q,8,false)</f>
        <v>IBU</v>
      </c>
      <c r="P7933" s="65">
        <f>VLOOKUP(E7933,DATABASE!C:Q,9,False)</f>
        <v>0</v>
      </c>
      <c r="Q7933" s="93" t="str">
        <f>VLOOKUP(E7933,DATABASE!C:Q,4,false)</f>
        <v>SPOORING</v>
      </c>
      <c r="R7933" s="93" t="str">
        <f>VLOOKUP(E7933,DATABASE!C:Q,11,false)</f>
        <v>SERVICE</v>
      </c>
    </row>
    <row r="7934" ht="22.5" customHeight="1">
      <c r="A7934" s="49"/>
      <c r="C7934" s="400">
        <v>46118.0</v>
      </c>
      <c r="D7934" s="524">
        <v>947.0</v>
      </c>
      <c r="E7934" s="544" t="s">
        <v>299</v>
      </c>
      <c r="F7934" s="387">
        <v>2.0</v>
      </c>
      <c r="G7934" s="140">
        <v>30000.0</v>
      </c>
      <c r="H7934" s="74"/>
      <c r="I7934" s="74">
        <f t="shared" si="1"/>
        <v>60000</v>
      </c>
      <c r="J7934" s="74">
        <f>IF(E7934="SERVICE",I7934-(I7934*50%),Vlookup(E7934,DATABASE!C:Q,10,false)*F7934)</f>
        <v>0</v>
      </c>
      <c r="K7934" s="74">
        <f>VLOOKUP(E7934,DATABASE!C:Q,7,false)</f>
        <v>10000</v>
      </c>
      <c r="L7934" s="74">
        <v>10000.0</v>
      </c>
      <c r="M7934" s="74">
        <f t="shared" si="6"/>
        <v>10000</v>
      </c>
      <c r="N7934" s="74">
        <f t="shared" si="3"/>
        <v>40000</v>
      </c>
      <c r="O7934" s="65" t="str">
        <f>VLOOKUP(E7934,DATABASE!C:Q,8,false)</f>
        <v>BIAN</v>
      </c>
      <c r="P7934" s="65">
        <f>VLOOKUP(E7934,DATABASE!C:Q,9,False)</f>
        <v>0</v>
      </c>
      <c r="Q7934" s="93" t="str">
        <f>VLOOKUP(E7934,DATABASE!C:Q,4,false)</f>
        <v>Balancing</v>
      </c>
      <c r="R7934" s="93" t="str">
        <f>VLOOKUP(E7934,DATABASE!C:Q,11,false)</f>
        <v>COMPLEMENTARY</v>
      </c>
    </row>
    <row r="7935" ht="22.5" customHeight="1">
      <c r="A7935" s="49"/>
      <c r="C7935" s="400">
        <v>46118.0</v>
      </c>
      <c r="D7935" s="524">
        <v>948.0</v>
      </c>
      <c r="E7935" s="544" t="s">
        <v>268</v>
      </c>
      <c r="F7935" s="387">
        <v>2.0</v>
      </c>
      <c r="G7935" s="140">
        <v>710000.0</v>
      </c>
      <c r="H7935" s="74"/>
      <c r="I7935" s="74">
        <f t="shared" si="1"/>
        <v>1420000</v>
      </c>
      <c r="J7935" s="74">
        <f>IF(E7935="SERVICE",I7935-(I7935*50%),Vlookup(E7935,DATABASE!C:Q,10,false)*F7935)</f>
        <v>0</v>
      </c>
      <c r="K7935" s="74">
        <f>VLOOKUP(E7935,DATABASE!C:Q,7,false)</f>
        <v>653000</v>
      </c>
      <c r="L7935" s="74">
        <v>622000.0</v>
      </c>
      <c r="M7935" s="74">
        <f t="shared" si="6"/>
        <v>625000</v>
      </c>
      <c r="N7935" s="74">
        <f t="shared" si="3"/>
        <v>170000</v>
      </c>
      <c r="O7935" s="69" t="s">
        <v>1329</v>
      </c>
      <c r="P7935" s="69">
        <v>0.0</v>
      </c>
      <c r="Q7935" s="93" t="str">
        <f>VLOOKUP(E7935,DATABASE!C:Q,4,false)</f>
        <v>Dunlop</v>
      </c>
      <c r="R7935" s="93" t="str">
        <f>VLOOKUP(E7935,DATABASE!C:Q,11,false)</f>
        <v>Tire</v>
      </c>
    </row>
    <row r="7936" ht="22.5" customHeight="1">
      <c r="A7936" s="49"/>
      <c r="C7936" s="400">
        <v>46118.0</v>
      </c>
      <c r="D7936" s="524">
        <v>949.0</v>
      </c>
      <c r="E7936" s="544" t="s">
        <v>955</v>
      </c>
      <c r="F7936" s="387">
        <v>2.0</v>
      </c>
      <c r="G7936" s="140">
        <v>770000.0</v>
      </c>
      <c r="H7936" s="74"/>
      <c r="I7936" s="74">
        <f t="shared" si="1"/>
        <v>1540000</v>
      </c>
      <c r="J7936" s="74">
        <f>IF(E7936="SERVICE",I7936-(I7936*50%),Vlookup(E7936,DATABASE!C:Q,10,false)*F7936)</f>
        <v>0</v>
      </c>
      <c r="K7936" s="74">
        <f>VLOOKUP(E7936,DATABASE!C:Q,7,false)</f>
        <v>712000</v>
      </c>
      <c r="L7936" s="74">
        <v>674000.0</v>
      </c>
      <c r="M7936" s="74">
        <f t="shared" si="6"/>
        <v>675000</v>
      </c>
      <c r="N7936" s="74">
        <f t="shared" si="3"/>
        <v>190000</v>
      </c>
      <c r="O7936" s="65" t="str">
        <f>VLOOKUP(E7936,DATABASE!C:Q,8,false)</f>
        <v>IBU</v>
      </c>
      <c r="P7936" s="65">
        <f>VLOOKUP(E7936,DATABASE!C:Q,9,False)</f>
        <v>1</v>
      </c>
      <c r="Q7936" s="93" t="str">
        <f>VLOOKUP(E7936,DATABASE!C:Q,4,false)</f>
        <v>Dunlop</v>
      </c>
      <c r="R7936" s="93" t="str">
        <f>VLOOKUP(E7936,DATABASE!C:Q,11,false)</f>
        <v>Tire</v>
      </c>
    </row>
    <row r="7937" ht="22.5" customHeight="1">
      <c r="A7937" s="49"/>
      <c r="C7937" s="400">
        <v>46118.0</v>
      </c>
      <c r="D7937" s="524">
        <v>950.0</v>
      </c>
      <c r="E7937" s="544" t="s">
        <v>256</v>
      </c>
      <c r="F7937" s="387">
        <v>1.0</v>
      </c>
      <c r="G7937" s="140">
        <v>175000.0</v>
      </c>
      <c r="H7937" s="140">
        <v>25000.0</v>
      </c>
      <c r="I7937" s="74">
        <f t="shared" si="1"/>
        <v>150000</v>
      </c>
      <c r="J7937" s="74">
        <f>IF(E7937="SERVICE",I7937-(I7937*50%),Vlookup(E7937,DATABASE!C:Q,10,false)*F7937)</f>
        <v>10000</v>
      </c>
      <c r="K7937" s="74">
        <f>VLOOKUP(E7937,DATABASE!C:Q,7,false)</f>
        <v>0</v>
      </c>
      <c r="L7937" s="74">
        <v>0.0</v>
      </c>
      <c r="M7937" s="74">
        <f t="shared" si="6"/>
        <v>0</v>
      </c>
      <c r="N7937" s="74">
        <f t="shared" si="3"/>
        <v>140000</v>
      </c>
      <c r="O7937" s="65" t="str">
        <f>VLOOKUP(E7937,DATABASE!C:Q,8,false)</f>
        <v>IBU</v>
      </c>
      <c r="P7937" s="65">
        <f>VLOOKUP(E7937,DATABASE!C:Q,9,False)</f>
        <v>0</v>
      </c>
      <c r="Q7937" s="93" t="str">
        <f>VLOOKUP(E7937,DATABASE!C:Q,4,false)</f>
        <v>SPOORING</v>
      </c>
      <c r="R7937" s="93" t="str">
        <f>VLOOKUP(E7937,DATABASE!C:Q,11,false)</f>
        <v>SERVICE</v>
      </c>
    </row>
    <row r="7938" ht="22.5" customHeight="1">
      <c r="A7938" s="49"/>
      <c r="C7938" s="400">
        <v>46118.0</v>
      </c>
      <c r="D7938" s="524">
        <v>950.0</v>
      </c>
      <c r="E7938" s="544" t="s">
        <v>301</v>
      </c>
      <c r="F7938" s="387">
        <v>1.0</v>
      </c>
      <c r="G7938" s="140">
        <v>250000.0</v>
      </c>
      <c r="H7938" s="74"/>
      <c r="I7938" s="74">
        <f t="shared" si="1"/>
        <v>250000</v>
      </c>
      <c r="J7938" s="74">
        <f>IF(E7938="SERVICE",I7938-(I7938*50%),Vlookup(E7938,DATABASE!C:Q,10,false)*F7938)</f>
        <v>75000</v>
      </c>
      <c r="K7938" s="74">
        <f>VLOOKUP(E7938,DATABASE!C:Q,7,false)</f>
        <v>75000</v>
      </c>
      <c r="L7938" s="74">
        <v>75000.0</v>
      </c>
      <c r="M7938" s="74">
        <f t="shared" si="6"/>
        <v>75000</v>
      </c>
      <c r="N7938" s="74">
        <f t="shared" si="3"/>
        <v>100000</v>
      </c>
      <c r="O7938" s="65" t="str">
        <f>VLOOKUP(E7938,DATABASE!C:Q,8,false)</f>
        <v>BIAN</v>
      </c>
      <c r="P7938" s="65">
        <f>VLOOKUP(E7938,DATABASE!C:Q,9,False)</f>
        <v>0</v>
      </c>
      <c r="Q7938" s="93" t="str">
        <f>VLOOKUP(E7938,DATABASE!C:Q,4,false)</f>
        <v>Baut Camber</v>
      </c>
      <c r="R7938" s="93" t="str">
        <f>VLOOKUP(E7938,DATABASE!C:Q,11,false)</f>
        <v>COMPLEMENTARY</v>
      </c>
    </row>
    <row r="7939" ht="22.5" customHeight="1">
      <c r="A7939" s="49"/>
      <c r="C7939" s="400">
        <v>46118.0</v>
      </c>
      <c r="D7939" s="524">
        <v>950.0</v>
      </c>
      <c r="E7939" s="544" t="s">
        <v>299</v>
      </c>
      <c r="F7939" s="387">
        <v>3.0</v>
      </c>
      <c r="G7939" s="140">
        <v>30000.0</v>
      </c>
      <c r="H7939" s="74"/>
      <c r="I7939" s="74">
        <f t="shared" si="1"/>
        <v>90000</v>
      </c>
      <c r="J7939" s="74">
        <f>IF(E7939="SERVICE",I7939-(I7939*50%),Vlookup(E7939,DATABASE!C:Q,10,false)*F7939)</f>
        <v>0</v>
      </c>
      <c r="K7939" s="74">
        <f>VLOOKUP(E7939,DATABASE!C:Q,7,false)</f>
        <v>10000</v>
      </c>
      <c r="L7939" s="74">
        <v>10000.0</v>
      </c>
      <c r="M7939" s="74">
        <f t="shared" si="6"/>
        <v>10000</v>
      </c>
      <c r="N7939" s="74">
        <f t="shared" si="3"/>
        <v>60000</v>
      </c>
      <c r="O7939" s="65" t="str">
        <f>VLOOKUP(E7939,DATABASE!C:Q,8,false)</f>
        <v>BIAN</v>
      </c>
      <c r="P7939" s="65">
        <f>VLOOKUP(E7939,DATABASE!C:Q,9,False)</f>
        <v>0</v>
      </c>
      <c r="Q7939" s="93" t="str">
        <f>VLOOKUP(E7939,DATABASE!C:Q,4,false)</f>
        <v>Balancing</v>
      </c>
      <c r="R7939" s="93" t="str">
        <f>VLOOKUP(E7939,DATABASE!C:Q,11,false)</f>
        <v>COMPLEMENTARY</v>
      </c>
    </row>
    <row r="7940" ht="22.5" customHeight="1">
      <c r="A7940" s="49"/>
      <c r="C7940" s="400">
        <v>46118.0</v>
      </c>
      <c r="D7940" s="524">
        <v>951.0</v>
      </c>
      <c r="E7940" s="544" t="s">
        <v>572</v>
      </c>
      <c r="F7940" s="387">
        <v>1.0</v>
      </c>
      <c r="G7940" s="140">
        <v>1370000.0</v>
      </c>
      <c r="H7940" s="140">
        <v>20000.0</v>
      </c>
      <c r="I7940" s="74">
        <f t="shared" si="1"/>
        <v>1350000</v>
      </c>
      <c r="J7940" s="74">
        <f>IF(E7940="SERVICE",I7940-(I7940*50%),Vlookup(E7940,DATABASE!C:Q,10,false)*F7940)</f>
        <v>0</v>
      </c>
      <c r="K7940" s="74">
        <f>VLOOKUP(E7940,DATABASE!C:Q,7,false)</f>
        <v>1265000</v>
      </c>
      <c r="L7940" s="74">
        <v>1245000.0</v>
      </c>
      <c r="M7940" s="74">
        <f t="shared" si="6"/>
        <v>1245000</v>
      </c>
      <c r="N7940" s="74">
        <f t="shared" si="3"/>
        <v>105000</v>
      </c>
      <c r="O7940" s="65" t="str">
        <f>VLOOKUP(E7940,DATABASE!C:Q,8,false)</f>
        <v>IBU</v>
      </c>
      <c r="P7940" s="65">
        <f>VLOOKUP(E7940,DATABASE!C:Q,9,False)</f>
        <v>1</v>
      </c>
      <c r="Q7940" s="93" t="str">
        <f>VLOOKUP(E7940,DATABASE!C:Q,4,false)</f>
        <v>Bridgestone</v>
      </c>
      <c r="R7940" s="93" t="str">
        <f>VLOOKUP(E7940,DATABASE!C:Q,11,false)</f>
        <v>Tire</v>
      </c>
    </row>
    <row r="7941" ht="22.5" customHeight="1">
      <c r="A7941" s="49"/>
      <c r="C7941" s="400">
        <v>46118.0</v>
      </c>
      <c r="D7941" s="524">
        <v>951.0</v>
      </c>
      <c r="E7941" s="544" t="s">
        <v>255</v>
      </c>
      <c r="F7941" s="387">
        <v>1.0</v>
      </c>
      <c r="G7941" s="140">
        <v>200000.0</v>
      </c>
      <c r="H7941" s="74"/>
      <c r="I7941" s="74">
        <f t="shared" si="1"/>
        <v>200000</v>
      </c>
      <c r="J7941" s="74">
        <f>IF(E7941="SERVICE",I7941-(I7941*50%),Vlookup(E7941,DATABASE!C:Q,10,false)*F7941)</f>
        <v>0</v>
      </c>
      <c r="K7941" s="74">
        <f>VLOOKUP(E7941,DATABASE!C:Q,7,false)</f>
        <v>161840</v>
      </c>
      <c r="L7941" s="74">
        <v>161840.0</v>
      </c>
      <c r="M7941" s="74">
        <f t="shared" si="6"/>
        <v>165000</v>
      </c>
      <c r="N7941" s="74">
        <f t="shared" si="3"/>
        <v>35000</v>
      </c>
      <c r="O7941" s="65" t="str">
        <f>VLOOKUP(E7941,DATABASE!C:Q,8,false)</f>
        <v>BIAN</v>
      </c>
      <c r="P7941" s="65">
        <f>VLOOKUP(E7941,DATABASE!C:Q,9,False)</f>
        <v>1</v>
      </c>
      <c r="Q7941" s="93" t="str">
        <f>VLOOKUP(E7941,DATABASE!C:Q,4,false)</f>
        <v>BD</v>
      </c>
      <c r="R7941" s="93" t="str">
        <f>VLOOKUP(E7941,DATABASE!C:Q,11,false)</f>
        <v>Tire</v>
      </c>
    </row>
    <row r="7942" ht="22.5" customHeight="1">
      <c r="A7942" s="49"/>
      <c r="C7942" s="400">
        <v>46118.0</v>
      </c>
      <c r="D7942" s="524">
        <v>952.0</v>
      </c>
      <c r="E7942" s="544" t="s">
        <v>265</v>
      </c>
      <c r="F7942" s="387">
        <v>1.0</v>
      </c>
      <c r="G7942" s="140">
        <v>685000.0</v>
      </c>
      <c r="H7942" s="74"/>
      <c r="I7942" s="74">
        <f t="shared" si="1"/>
        <v>685000</v>
      </c>
      <c r="J7942" s="74">
        <f>IF(E7942="SERVICE",I7942-(I7942*50%),Vlookup(E7942,DATABASE!C:Q,10,false)*F7942)</f>
        <v>0</v>
      </c>
      <c r="K7942" s="74">
        <f>VLOOKUP(E7942,DATABASE!C:Q,7,false)</f>
        <v>628000</v>
      </c>
      <c r="L7942" s="74">
        <v>600000.0</v>
      </c>
      <c r="M7942" s="74">
        <f t="shared" si="6"/>
        <v>600000</v>
      </c>
      <c r="N7942" s="74">
        <f t="shared" si="3"/>
        <v>85000</v>
      </c>
      <c r="O7942" s="65" t="str">
        <f>VLOOKUP(E7942,DATABASE!C:Q,8,false)</f>
        <v>IBU</v>
      </c>
      <c r="P7942" s="65">
        <f>VLOOKUP(E7942,DATABASE!C:Q,9,False)</f>
        <v>1</v>
      </c>
      <c r="Q7942" s="93" t="str">
        <f>VLOOKUP(E7942,DATABASE!C:Q,4,false)</f>
        <v>Dunlop</v>
      </c>
      <c r="R7942" s="93" t="str">
        <f>VLOOKUP(E7942,DATABASE!C:Q,11,false)</f>
        <v>Tire</v>
      </c>
    </row>
    <row r="7943" ht="22.5" customHeight="1">
      <c r="A7943" s="49"/>
      <c r="C7943" s="400">
        <v>46118.0</v>
      </c>
      <c r="D7943" s="69">
        <v>953.0</v>
      </c>
      <c r="E7943" s="544" t="s">
        <v>268</v>
      </c>
      <c r="F7943" s="387">
        <v>1.0</v>
      </c>
      <c r="G7943" s="140">
        <v>710000.0</v>
      </c>
      <c r="H7943" s="74"/>
      <c r="I7943" s="74">
        <f t="shared" si="1"/>
        <v>710000</v>
      </c>
      <c r="J7943" s="74">
        <f>IF(E7943="SERVICE",I7943-(I7943*50%),Vlookup(E7943,DATABASE!C:Q,10,false)*F7943)</f>
        <v>0</v>
      </c>
      <c r="K7943" s="74">
        <f>VLOOKUP(E7943,DATABASE!C:Q,7,false)</f>
        <v>653000</v>
      </c>
      <c r="L7943" s="74">
        <v>622000.0</v>
      </c>
      <c r="M7943" s="74">
        <f t="shared" si="6"/>
        <v>625000</v>
      </c>
      <c r="N7943" s="74">
        <f t="shared" si="3"/>
        <v>85000</v>
      </c>
      <c r="O7943" s="69" t="s">
        <v>1329</v>
      </c>
      <c r="P7943" s="69">
        <v>0.0</v>
      </c>
      <c r="Q7943" s="93" t="str">
        <f>VLOOKUP(E7943,DATABASE!C:Q,4,false)</f>
        <v>Dunlop</v>
      </c>
      <c r="R7943" s="93" t="str">
        <f>VLOOKUP(E7943,DATABASE!C:Q,11,false)</f>
        <v>Tire</v>
      </c>
    </row>
    <row r="7944" ht="22.5" customHeight="1">
      <c r="A7944" s="49"/>
      <c r="C7944" s="400">
        <v>46118.0</v>
      </c>
      <c r="D7944" s="524">
        <v>954.0</v>
      </c>
      <c r="E7944" s="544" t="s">
        <v>256</v>
      </c>
      <c r="F7944" s="387">
        <v>1.0</v>
      </c>
      <c r="G7944" s="140">
        <v>175000.0</v>
      </c>
      <c r="H7944" s="140">
        <v>25000.0</v>
      </c>
      <c r="I7944" s="74">
        <f t="shared" si="1"/>
        <v>150000</v>
      </c>
      <c r="J7944" s="74">
        <f>IF(E7944="SERVICE",I7944-(I7944*50%),Vlookup(E7944,DATABASE!C:Q,10,false)*F7944)</f>
        <v>10000</v>
      </c>
      <c r="K7944" s="74">
        <f>VLOOKUP(E7944,DATABASE!C:Q,7,false)</f>
        <v>0</v>
      </c>
      <c r="L7944" s="74">
        <v>0.0</v>
      </c>
      <c r="M7944" s="74">
        <f t="shared" si="6"/>
        <v>0</v>
      </c>
      <c r="N7944" s="74">
        <f t="shared" si="3"/>
        <v>140000</v>
      </c>
      <c r="O7944" s="65" t="str">
        <f>VLOOKUP(E7944,DATABASE!C:Q,8,false)</f>
        <v>IBU</v>
      </c>
      <c r="P7944" s="65">
        <f>VLOOKUP(E7944,DATABASE!C:Q,9,False)</f>
        <v>0</v>
      </c>
      <c r="Q7944" s="93" t="str">
        <f>VLOOKUP(E7944,DATABASE!C:Q,4,false)</f>
        <v>SPOORING</v>
      </c>
      <c r="R7944" s="93" t="str">
        <f>VLOOKUP(E7944,DATABASE!C:Q,11,false)</f>
        <v>SERVICE</v>
      </c>
    </row>
    <row r="7945" ht="22.5" customHeight="1">
      <c r="A7945" s="49"/>
      <c r="C7945" s="400">
        <v>46118.0</v>
      </c>
      <c r="D7945" s="524">
        <v>954.0</v>
      </c>
      <c r="E7945" s="544" t="s">
        <v>251</v>
      </c>
      <c r="F7945" s="387">
        <v>1.0</v>
      </c>
      <c r="G7945" s="140">
        <v>350000.0</v>
      </c>
      <c r="H7945" s="140">
        <v>200000.0</v>
      </c>
      <c r="I7945" s="74">
        <f t="shared" si="1"/>
        <v>150000</v>
      </c>
      <c r="J7945" s="74">
        <f>IF(E7945="SERVICE",I7945-(I7945*50%),Vlookup(E7945,DATABASE!C:Q,10,false)*F7945)</f>
        <v>75000</v>
      </c>
      <c r="K7945" s="74">
        <f>VLOOKUP(E7945,DATABASE!C:Q,7,false)</f>
        <v>0</v>
      </c>
      <c r="L7945" s="74">
        <v>0.0</v>
      </c>
      <c r="M7945" s="74">
        <f t="shared" si="6"/>
        <v>0</v>
      </c>
      <c r="N7945" s="74">
        <f t="shared" si="3"/>
        <v>75000</v>
      </c>
      <c r="O7945" s="65" t="str">
        <f>VLOOKUP(E7945,DATABASE!C:Q,8,false)</f>
        <v>IBU</v>
      </c>
      <c r="P7945" s="65">
        <f>VLOOKUP(E7945,DATABASE!C:Q,9,False)</f>
        <v>0</v>
      </c>
      <c r="Q7945" s="93" t="str">
        <f>VLOOKUP(E7945,DATABASE!C:Q,4,false)</f>
        <v>SERVICE</v>
      </c>
      <c r="R7945" s="93" t="str">
        <f>VLOOKUP(E7945,DATABASE!C:Q,11,false)</f>
        <v>SERVICE</v>
      </c>
    </row>
    <row r="7946" ht="22.5" customHeight="1">
      <c r="A7946" s="49"/>
      <c r="C7946" s="400">
        <v>46118.0</v>
      </c>
      <c r="D7946" s="69">
        <v>955.0</v>
      </c>
      <c r="E7946" s="544" t="s">
        <v>1112</v>
      </c>
      <c r="F7946" s="387">
        <v>2.0</v>
      </c>
      <c r="G7946" s="140">
        <v>1085000.0</v>
      </c>
      <c r="H7946" s="74"/>
      <c r="I7946" s="74">
        <f t="shared" si="1"/>
        <v>2170000</v>
      </c>
      <c r="J7946" s="74">
        <f>IF(E7946="SERVICE",I7946-(I7946*50%),Vlookup(E7946,DATABASE!C:Q,10,false)*F7946)</f>
        <v>0</v>
      </c>
      <c r="K7946" s="74">
        <f>VLOOKUP(E7946,DATABASE!C:Q,7,false)</f>
        <v>980542.4</v>
      </c>
      <c r="L7946" s="74">
        <v>980542.4</v>
      </c>
      <c r="M7946" s="74">
        <f t="shared" si="6"/>
        <v>985000</v>
      </c>
      <c r="N7946" s="74">
        <f t="shared" si="3"/>
        <v>200000</v>
      </c>
      <c r="O7946" s="65" t="str">
        <f>VLOOKUP(E7946,DATABASE!C:Q,8,false)</f>
        <v>IBU</v>
      </c>
      <c r="P7946" s="65">
        <f>VLOOKUP(E7946,DATABASE!C:Q,9,False)</f>
        <v>1</v>
      </c>
      <c r="Q7946" s="93" t="str">
        <f>VLOOKUP(E7946,DATABASE!C:Q,4,false)</f>
        <v>Bridgestone</v>
      </c>
      <c r="R7946" s="93" t="str">
        <f>VLOOKUP(E7946,DATABASE!C:Q,11,false)</f>
        <v>Tire</v>
      </c>
    </row>
    <row r="7947" ht="22.5" customHeight="1">
      <c r="A7947" s="49"/>
      <c r="C7947" s="400">
        <v>46118.0</v>
      </c>
      <c r="D7947" s="69">
        <v>955.0</v>
      </c>
      <c r="E7947" s="544" t="s">
        <v>246</v>
      </c>
      <c r="F7947" s="387">
        <v>2.0</v>
      </c>
      <c r="G7947" s="140">
        <v>25000.0</v>
      </c>
      <c r="H7947" s="74"/>
      <c r="I7947" s="74">
        <f t="shared" si="1"/>
        <v>50000</v>
      </c>
      <c r="J7947" s="74">
        <f>IF(E7947="SERVICE",I7947-(I7947*50%),Vlookup(E7947,DATABASE!C:Q,10,false)*F7947)</f>
        <v>0</v>
      </c>
      <c r="K7947" s="74">
        <f>VLOOKUP(E7947,DATABASE!C:Q,7,false)</f>
        <v>0</v>
      </c>
      <c r="L7947" s="74">
        <v>0.0</v>
      </c>
      <c r="M7947" s="74">
        <f t="shared" si="6"/>
        <v>0</v>
      </c>
      <c r="N7947" s="74">
        <f t="shared" si="3"/>
        <v>50000</v>
      </c>
      <c r="O7947" s="65" t="str">
        <f>VLOOKUP(E7947,DATABASE!C:Q,8,false)</f>
        <v>IBU</v>
      </c>
      <c r="P7947" s="65">
        <f>VLOOKUP(E7947,DATABASE!C:Q,9,False)</f>
        <v>0</v>
      </c>
      <c r="Q7947" s="93" t="str">
        <f>VLOOKUP(E7947,DATABASE!C:Q,4,false)</f>
        <v>Bongkar Pasang</v>
      </c>
      <c r="R7947" s="93" t="str">
        <f>VLOOKUP(E7947,DATABASE!C:Q,11,false)</f>
        <v>SERVICE</v>
      </c>
    </row>
    <row r="7948" ht="22.5" customHeight="1">
      <c r="A7948" s="49"/>
      <c r="C7948" s="400">
        <v>46118.0</v>
      </c>
      <c r="D7948" s="524">
        <v>956.0</v>
      </c>
      <c r="E7948" s="544" t="s">
        <v>1383</v>
      </c>
      <c r="F7948" s="387">
        <v>1.0</v>
      </c>
      <c r="G7948" s="140">
        <v>912000.0</v>
      </c>
      <c r="H7948" s="140">
        <v>2000.0</v>
      </c>
      <c r="I7948" s="74">
        <f t="shared" si="1"/>
        <v>910000</v>
      </c>
      <c r="J7948" s="74">
        <f>IF(E7948="SERVICE",I7948-(I7948*50%),Vlookup(E7948,DATABASE!C:Q,10,false)*F7948)</f>
        <v>0</v>
      </c>
      <c r="K7948" s="74">
        <f>VLOOKUP(E7948,DATABASE!C:Q,7,false)</f>
        <v>812000</v>
      </c>
      <c r="L7948" s="74">
        <v>812000.0</v>
      </c>
      <c r="M7948" s="74">
        <f t="shared" si="6"/>
        <v>815000</v>
      </c>
      <c r="N7948" s="74">
        <f t="shared" si="3"/>
        <v>95000</v>
      </c>
      <c r="O7948" s="65" t="str">
        <f>VLOOKUP(E7948,DATABASE!C:Q,8,false)</f>
        <v>IBU</v>
      </c>
      <c r="P7948" s="65">
        <f>VLOOKUP(E7948,DATABASE!C:Q,9,False)</f>
        <v>1</v>
      </c>
      <c r="Q7948" s="93" t="str">
        <f>VLOOKUP(E7948,DATABASE!C:Q,4,false)</f>
        <v>Dunlop</v>
      </c>
      <c r="R7948" s="93" t="str">
        <f>VLOOKUP(E7948,DATABASE!C:Q,11,false)</f>
        <v>Tire</v>
      </c>
    </row>
    <row r="7949" ht="22.5" customHeight="1">
      <c r="A7949" s="49"/>
      <c r="C7949" s="400">
        <v>46118.0</v>
      </c>
      <c r="D7949" s="69">
        <v>957.0</v>
      </c>
      <c r="E7949" s="544" t="s">
        <v>256</v>
      </c>
      <c r="F7949" s="387">
        <v>1.0</v>
      </c>
      <c r="G7949" s="140">
        <v>175000.0</v>
      </c>
      <c r="H7949" s="140">
        <v>25000.0</v>
      </c>
      <c r="I7949" s="74">
        <f t="shared" si="1"/>
        <v>150000</v>
      </c>
      <c r="J7949" s="74">
        <f>IF(E7949="SERVICE",I7949-(I7949*50%),Vlookup(E7949,DATABASE!C:Q,10,false)*F7949)</f>
        <v>10000</v>
      </c>
      <c r="K7949" s="74">
        <f>VLOOKUP(E7949,DATABASE!C:Q,7,false)</f>
        <v>0</v>
      </c>
      <c r="L7949" s="74">
        <v>0.0</v>
      </c>
      <c r="M7949" s="74">
        <f t="shared" si="6"/>
        <v>0</v>
      </c>
      <c r="N7949" s="74">
        <f t="shared" si="3"/>
        <v>140000</v>
      </c>
      <c r="O7949" s="65" t="str">
        <f>VLOOKUP(E7949,DATABASE!C:Q,8,false)</f>
        <v>IBU</v>
      </c>
      <c r="P7949" s="65">
        <f>VLOOKUP(E7949,DATABASE!C:Q,9,False)</f>
        <v>0</v>
      </c>
      <c r="Q7949" s="93" t="str">
        <f>VLOOKUP(E7949,DATABASE!C:Q,4,false)</f>
        <v>SPOORING</v>
      </c>
      <c r="R7949" s="93" t="str">
        <f>VLOOKUP(E7949,DATABASE!C:Q,11,false)</f>
        <v>SERVICE</v>
      </c>
    </row>
    <row r="7950" ht="22.5" customHeight="1">
      <c r="A7950" s="49"/>
      <c r="C7950" s="400">
        <v>46118.0</v>
      </c>
      <c r="D7950" s="69">
        <v>957.0</v>
      </c>
      <c r="E7950" s="544" t="s">
        <v>251</v>
      </c>
      <c r="F7950" s="387">
        <v>1.0</v>
      </c>
      <c r="G7950" s="140">
        <v>350000.0</v>
      </c>
      <c r="H7950" s="140">
        <v>200000.0</v>
      </c>
      <c r="I7950" s="74">
        <f t="shared" si="1"/>
        <v>150000</v>
      </c>
      <c r="J7950" s="74">
        <f>IF(E7950="SERVICE",I7950-(I7950*50%),Vlookup(E7950,DATABASE!C:Q,10,false)*F7950)</f>
        <v>75000</v>
      </c>
      <c r="K7950" s="74">
        <f>VLOOKUP(E7950,DATABASE!C:Q,7,false)</f>
        <v>0</v>
      </c>
      <c r="L7950" s="74">
        <v>0.0</v>
      </c>
      <c r="M7950" s="74">
        <f t="shared" si="6"/>
        <v>0</v>
      </c>
      <c r="N7950" s="74">
        <f t="shared" si="3"/>
        <v>75000</v>
      </c>
      <c r="O7950" s="65" t="str">
        <f>VLOOKUP(E7950,DATABASE!C:Q,8,false)</f>
        <v>IBU</v>
      </c>
      <c r="P7950" s="65">
        <f>VLOOKUP(E7950,DATABASE!C:Q,9,False)</f>
        <v>0</v>
      </c>
      <c r="Q7950" s="93" t="str">
        <f>VLOOKUP(E7950,DATABASE!C:Q,4,false)</f>
        <v>SERVICE</v>
      </c>
      <c r="R7950" s="93" t="str">
        <f>VLOOKUP(E7950,DATABASE!C:Q,11,false)</f>
        <v>SERVICE</v>
      </c>
    </row>
    <row r="7951" ht="22.5" customHeight="1">
      <c r="A7951" s="49"/>
      <c r="C7951" s="400">
        <v>46118.0</v>
      </c>
      <c r="D7951" s="69" t="s">
        <v>2778</v>
      </c>
      <c r="E7951" s="544" t="s">
        <v>2191</v>
      </c>
      <c r="F7951" s="387">
        <v>1.0</v>
      </c>
      <c r="G7951" s="140">
        <v>400000.0</v>
      </c>
      <c r="H7951" s="74"/>
      <c r="I7951" s="74">
        <f t="shared" si="1"/>
        <v>400000</v>
      </c>
      <c r="J7951" s="74">
        <f>IF(E7951="SERVICE",I7951-(I7951*50%),Vlookup(E7951,DATABASE!C:Q,10,false)*F7951)</f>
        <v>0</v>
      </c>
      <c r="K7951" s="74">
        <f>VLOOKUP(E7951,DATABASE!C:Q,7,false)</f>
        <v>422900</v>
      </c>
      <c r="L7951" s="74">
        <v>377951.0</v>
      </c>
      <c r="M7951" s="74">
        <f t="shared" si="6"/>
        <v>380000</v>
      </c>
      <c r="N7951" s="74">
        <f t="shared" si="3"/>
        <v>20000</v>
      </c>
      <c r="O7951" s="65" t="str">
        <f>VLOOKUP(E7951,DATABASE!C:Q,8,false)</f>
        <v>NON</v>
      </c>
      <c r="P7951" s="65">
        <f>VLOOKUP(E7951,DATABASE!C:Q,9,False)</f>
        <v>0</v>
      </c>
      <c r="Q7951" s="93" t="str">
        <f>VLOOKUP(E7951,DATABASE!C:Q,4,false)</f>
        <v>Shell</v>
      </c>
      <c r="R7951" s="93" t="str">
        <f>VLOOKUP(E7951,DATABASE!C:Q,11,false)</f>
        <v>OIL</v>
      </c>
    </row>
    <row r="7952" ht="22.5" customHeight="1">
      <c r="A7952" s="49"/>
      <c r="C7952" s="400">
        <v>46118.0</v>
      </c>
      <c r="D7952" s="69" t="s">
        <v>2779</v>
      </c>
      <c r="E7952" s="544" t="s">
        <v>252</v>
      </c>
      <c r="F7952" s="387">
        <v>1.0</v>
      </c>
      <c r="G7952" s="140">
        <v>300000.0</v>
      </c>
      <c r="H7952" s="74"/>
      <c r="I7952" s="74">
        <f t="shared" si="1"/>
        <v>300000</v>
      </c>
      <c r="J7952" s="74">
        <f>IF(E7952="SERVICE",I7952-(I7952*50%),Vlookup(E7952,DATABASE!C:Q,10,false)*F7952)</f>
        <v>0</v>
      </c>
      <c r="K7952" s="74">
        <f>VLOOKUP(E7952,DATABASE!C:Q,7,false)</f>
        <v>317518</v>
      </c>
      <c r="L7952" s="74">
        <v>271778.0</v>
      </c>
      <c r="M7952" s="74">
        <f t="shared" si="6"/>
        <v>275000</v>
      </c>
      <c r="N7952" s="74">
        <f t="shared" si="3"/>
        <v>25000</v>
      </c>
      <c r="O7952" s="65" t="str">
        <f>VLOOKUP(E7952,DATABASE!C:Q,8,false)</f>
        <v>NON</v>
      </c>
      <c r="P7952" s="65">
        <f>VLOOKUP(E7952,DATABASE!C:Q,9,False)</f>
        <v>0</v>
      </c>
      <c r="Q7952" s="93" t="str">
        <f>VLOOKUP(E7952,DATABASE!C:Q,4,false)</f>
        <v>Shell</v>
      </c>
      <c r="R7952" s="93" t="str">
        <f>VLOOKUP(E7952,DATABASE!C:Q,11,false)</f>
        <v>OIL</v>
      </c>
    </row>
    <row r="7953" ht="22.5" customHeight="1">
      <c r="A7953" s="49"/>
      <c r="C7953" s="400">
        <v>46118.0</v>
      </c>
      <c r="D7953" s="69" t="s">
        <v>2780</v>
      </c>
      <c r="E7953" s="544" t="s">
        <v>252</v>
      </c>
      <c r="F7953" s="387">
        <v>1.0</v>
      </c>
      <c r="G7953" s="140">
        <v>300000.0</v>
      </c>
      <c r="H7953" s="74"/>
      <c r="I7953" s="74">
        <f t="shared" si="1"/>
        <v>300000</v>
      </c>
      <c r="J7953" s="74">
        <f>IF(E7953="SERVICE",I7953-(I7953*50%),Vlookup(E7953,DATABASE!C:Q,10,false)*F7953)</f>
        <v>0</v>
      </c>
      <c r="K7953" s="74">
        <f>VLOOKUP(E7953,DATABASE!C:Q,7,false)</f>
        <v>317518</v>
      </c>
      <c r="L7953" s="74">
        <v>271778.0</v>
      </c>
      <c r="M7953" s="74">
        <f t="shared" si="6"/>
        <v>275000</v>
      </c>
      <c r="N7953" s="74">
        <f t="shared" si="3"/>
        <v>25000</v>
      </c>
      <c r="O7953" s="65" t="str">
        <f>VLOOKUP(E7953,DATABASE!C:Q,8,false)</f>
        <v>NON</v>
      </c>
      <c r="P7953" s="65">
        <f>VLOOKUP(E7953,DATABASE!C:Q,9,False)</f>
        <v>0</v>
      </c>
      <c r="Q7953" s="93" t="str">
        <f>VLOOKUP(E7953,DATABASE!C:Q,4,false)</f>
        <v>Shell</v>
      </c>
      <c r="R7953" s="93" t="str">
        <f>VLOOKUP(E7953,DATABASE!C:Q,11,false)</f>
        <v>OIL</v>
      </c>
    </row>
    <row r="7954" ht="22.5" customHeight="1">
      <c r="A7954" s="49"/>
      <c r="C7954" s="400">
        <v>46118.0</v>
      </c>
      <c r="D7954" s="69" t="s">
        <v>2780</v>
      </c>
      <c r="E7954" s="544" t="s">
        <v>252</v>
      </c>
      <c r="F7954" s="387">
        <v>1.0</v>
      </c>
      <c r="G7954" s="140">
        <v>300000.0</v>
      </c>
      <c r="H7954" s="74"/>
      <c r="I7954" s="74">
        <f t="shared" si="1"/>
        <v>300000</v>
      </c>
      <c r="J7954" s="74">
        <f>IF(E7954="SERVICE",I7954-(I7954*50%),Vlookup(E7954,DATABASE!C:Q,10,false)*F7954)</f>
        <v>0</v>
      </c>
      <c r="K7954" s="74">
        <f>VLOOKUP(E7954,DATABASE!C:Q,7,false)</f>
        <v>317518</v>
      </c>
      <c r="L7954" s="74">
        <v>271778.0</v>
      </c>
      <c r="M7954" s="74">
        <f t="shared" si="6"/>
        <v>275000</v>
      </c>
      <c r="N7954" s="74">
        <f t="shared" si="3"/>
        <v>25000</v>
      </c>
      <c r="O7954" s="65" t="str">
        <f>VLOOKUP(E7954,DATABASE!C:Q,8,false)</f>
        <v>NON</v>
      </c>
      <c r="P7954" s="65">
        <f>VLOOKUP(E7954,DATABASE!C:Q,9,False)</f>
        <v>0</v>
      </c>
      <c r="Q7954" s="93" t="str">
        <f>VLOOKUP(E7954,DATABASE!C:Q,4,false)</f>
        <v>Shell</v>
      </c>
      <c r="R7954" s="93" t="str">
        <f>VLOOKUP(E7954,DATABASE!C:Q,11,false)</f>
        <v>OIL</v>
      </c>
    </row>
    <row r="7955" ht="22.5" customHeight="1">
      <c r="A7955" s="49"/>
      <c r="C7955" s="400">
        <v>46119.0</v>
      </c>
      <c r="D7955" s="524">
        <v>958.0</v>
      </c>
      <c r="E7955" s="544" t="s">
        <v>1894</v>
      </c>
      <c r="F7955" s="387">
        <v>1.0</v>
      </c>
      <c r="G7955" s="140">
        <v>545000.0</v>
      </c>
      <c r="H7955" s="74"/>
      <c r="I7955" s="74">
        <f t="shared" si="1"/>
        <v>545000</v>
      </c>
      <c r="J7955" s="74">
        <f>IF(E7955="SERVICE",I7955-(I7955*50%),Vlookup(E7955,DATABASE!C:Q,10,false)*F7955)</f>
        <v>0</v>
      </c>
      <c r="K7955" s="74">
        <f>VLOOKUP(E7955,DATABASE!C:Q,7,false)</f>
        <v>458600</v>
      </c>
      <c r="L7955" s="74">
        <v>445400.0</v>
      </c>
      <c r="M7955" s="74">
        <f t="shared" si="6"/>
        <v>450000</v>
      </c>
      <c r="N7955" s="74">
        <f t="shared" si="3"/>
        <v>95000</v>
      </c>
      <c r="O7955" s="65" t="str">
        <f>VLOOKUP(E7955,DATABASE!C:Q,8,false)</f>
        <v>BIAN</v>
      </c>
      <c r="P7955" s="65">
        <f>VLOOKUP(E7955,DATABASE!C:Q,9,False)</f>
        <v>1</v>
      </c>
      <c r="Q7955" s="93" t="str">
        <f>VLOOKUP(E7955,DATABASE!C:Q,4,false)</f>
        <v>GT</v>
      </c>
      <c r="R7955" s="93" t="str">
        <f>VLOOKUP(E7955,DATABASE!C:Q,11,false)</f>
        <v>Tire</v>
      </c>
    </row>
    <row r="7956" ht="22.5" customHeight="1">
      <c r="A7956" s="49"/>
      <c r="C7956" s="400">
        <v>46119.0</v>
      </c>
      <c r="D7956" s="524">
        <v>960.0</v>
      </c>
      <c r="E7956" s="544" t="s">
        <v>604</v>
      </c>
      <c r="F7956" s="387">
        <v>1.0</v>
      </c>
      <c r="G7956" s="140">
        <v>170000.0</v>
      </c>
      <c r="H7956" s="140">
        <v>10000.0</v>
      </c>
      <c r="I7956" s="74">
        <f t="shared" si="1"/>
        <v>160000</v>
      </c>
      <c r="J7956" s="74">
        <f>IF(E7956="SERVICE",I7956-(I7956*50%),Vlookup(E7956,DATABASE!C:Q,10,false)*F7956)</f>
        <v>0</v>
      </c>
      <c r="K7956" s="74">
        <f>VLOOKUP(E7956,DATABASE!C:Q,7,false)</f>
        <v>124000</v>
      </c>
      <c r="L7956" s="74">
        <v>124000.0</v>
      </c>
      <c r="M7956" s="74">
        <f t="shared" si="6"/>
        <v>125000</v>
      </c>
      <c r="N7956" s="74">
        <f t="shared" si="3"/>
        <v>35000</v>
      </c>
      <c r="O7956" s="65" t="str">
        <f>VLOOKUP(E7956,DATABASE!C:Q,8,false)</f>
        <v>BIAN</v>
      </c>
      <c r="P7956" s="65">
        <f>VLOOKUP(E7956,DATABASE!C:Q,9,False)</f>
        <v>1</v>
      </c>
      <c r="Q7956" s="93" t="str">
        <f>VLOOKUP(E7956,DATABASE!C:Q,4,false)</f>
        <v>BD</v>
      </c>
      <c r="R7956" s="93" t="str">
        <f>VLOOKUP(E7956,DATABASE!C:Q,11,false)</f>
        <v>Tire</v>
      </c>
    </row>
    <row r="7957" ht="22.5" customHeight="1">
      <c r="A7957" s="49"/>
      <c r="C7957" s="400">
        <v>46119.0</v>
      </c>
      <c r="D7957" s="524">
        <v>961.0</v>
      </c>
      <c r="E7957" s="544" t="s">
        <v>604</v>
      </c>
      <c r="F7957" s="387">
        <v>1.0</v>
      </c>
      <c r="G7957" s="140">
        <v>170000.0</v>
      </c>
      <c r="H7957" s="140">
        <v>10000.0</v>
      </c>
      <c r="I7957" s="74">
        <f t="shared" si="1"/>
        <v>160000</v>
      </c>
      <c r="J7957" s="74">
        <f>IF(E7957="SERVICE",I7957-(I7957*50%),Vlookup(E7957,DATABASE!C:Q,10,false)*F7957)</f>
        <v>0</v>
      </c>
      <c r="K7957" s="74">
        <f>VLOOKUP(E7957,DATABASE!C:Q,7,false)</f>
        <v>124000</v>
      </c>
      <c r="L7957" s="74">
        <v>124000.0</v>
      </c>
      <c r="M7957" s="74">
        <f t="shared" si="6"/>
        <v>125000</v>
      </c>
      <c r="N7957" s="74">
        <f t="shared" si="3"/>
        <v>35000</v>
      </c>
      <c r="O7957" s="65" t="str">
        <f>VLOOKUP(E7957,DATABASE!C:Q,8,false)</f>
        <v>BIAN</v>
      </c>
      <c r="P7957" s="65">
        <f>VLOOKUP(E7957,DATABASE!C:Q,9,False)</f>
        <v>1</v>
      </c>
      <c r="Q7957" s="93" t="str">
        <f>VLOOKUP(E7957,DATABASE!C:Q,4,false)</f>
        <v>BD</v>
      </c>
      <c r="R7957" s="93" t="str">
        <f>VLOOKUP(E7957,DATABASE!C:Q,11,false)</f>
        <v>Tire</v>
      </c>
    </row>
    <row r="7958" ht="22.5" customHeight="1">
      <c r="A7958" s="49"/>
      <c r="C7958" s="400">
        <v>46119.0</v>
      </c>
      <c r="D7958" s="524">
        <v>962.0</v>
      </c>
      <c r="E7958" s="544" t="s">
        <v>275</v>
      </c>
      <c r="F7958" s="387">
        <v>2.0</v>
      </c>
      <c r="G7958" s="140">
        <v>830000.0</v>
      </c>
      <c r="H7958" s="74"/>
      <c r="I7958" s="74">
        <f t="shared" si="1"/>
        <v>1660000</v>
      </c>
      <c r="J7958" s="74">
        <f>IF(E7958="SERVICE",I7958-(I7958*50%),Vlookup(E7958,DATABASE!C:Q,10,false)*F7958)</f>
        <v>0</v>
      </c>
      <c r="K7958" s="74">
        <f>VLOOKUP(E7958,DATABASE!C:Q,7,false)</f>
        <v>782000</v>
      </c>
      <c r="L7958" s="74">
        <v>745000.0</v>
      </c>
      <c r="M7958" s="74">
        <f t="shared" si="6"/>
        <v>745000</v>
      </c>
      <c r="N7958" s="74">
        <f t="shared" si="3"/>
        <v>170000</v>
      </c>
      <c r="O7958" s="69" t="s">
        <v>1329</v>
      </c>
      <c r="P7958" s="69">
        <v>0.0</v>
      </c>
      <c r="Q7958" s="93" t="str">
        <f>VLOOKUP(E7958,DATABASE!C:Q,4,false)</f>
        <v>Dunlop</v>
      </c>
      <c r="R7958" s="93" t="str">
        <f>VLOOKUP(E7958,DATABASE!C:Q,11,false)</f>
        <v>Tire</v>
      </c>
    </row>
    <row r="7959" ht="22.5" customHeight="1">
      <c r="A7959" s="49"/>
      <c r="C7959" s="400">
        <v>46119.0</v>
      </c>
      <c r="D7959" s="524">
        <v>963.0</v>
      </c>
      <c r="E7959" s="544" t="s">
        <v>569</v>
      </c>
      <c r="F7959" s="387">
        <v>1.0</v>
      </c>
      <c r="G7959" s="140">
        <v>80000.0</v>
      </c>
      <c r="H7959" s="74"/>
      <c r="I7959" s="74">
        <f t="shared" si="1"/>
        <v>80000</v>
      </c>
      <c r="J7959" s="74">
        <f>IF(E7959="SERVICE",I7959-(I7959*50%),Vlookup(E7959,DATABASE!C:Q,10,false)*F7959)</f>
        <v>0</v>
      </c>
      <c r="K7959" s="74">
        <f>VLOOKUP(E7959,DATABASE!C:Q,7,false)</f>
        <v>45439.582</v>
      </c>
      <c r="L7959" s="74">
        <v>45309.6</v>
      </c>
      <c r="M7959" s="74">
        <f t="shared" si="6"/>
        <v>50000</v>
      </c>
      <c r="N7959" s="74">
        <f t="shared" si="3"/>
        <v>30000</v>
      </c>
      <c r="O7959" s="65" t="str">
        <f>VLOOKUP(E7959,DATABASE!C:Q,8,false)</f>
        <v>BIAN</v>
      </c>
      <c r="P7959" s="65">
        <f>VLOOKUP(E7959,DATABASE!C:Q,9,False)</f>
        <v>1</v>
      </c>
      <c r="Q7959" s="93" t="str">
        <f>VLOOKUP(E7959,DATABASE!C:Q,4,false)</f>
        <v>BD</v>
      </c>
      <c r="R7959" s="93" t="str">
        <f>VLOOKUP(E7959,DATABASE!C:Q,11,false)</f>
        <v>Tire</v>
      </c>
    </row>
    <row r="7960" ht="22.5" customHeight="1">
      <c r="A7960" s="49"/>
      <c r="C7960" s="400">
        <v>46119.0</v>
      </c>
      <c r="D7960" s="524">
        <v>964.0</v>
      </c>
      <c r="E7960" s="544" t="s">
        <v>1439</v>
      </c>
      <c r="F7960" s="387">
        <v>1.0</v>
      </c>
      <c r="G7960" s="140">
        <v>640000.0</v>
      </c>
      <c r="H7960" s="140">
        <v>10000.0</v>
      </c>
      <c r="I7960" s="74">
        <f t="shared" si="1"/>
        <v>630000</v>
      </c>
      <c r="J7960" s="74">
        <f>IF(E7960="SERVICE",I7960-(I7960*50%),Vlookup(E7960,DATABASE!C:Q,10,false)*F7960)</f>
        <v>0</v>
      </c>
      <c r="K7960" s="74">
        <f>VLOOKUP(E7960,DATABASE!C:Q,7,false)</f>
        <v>556800</v>
      </c>
      <c r="L7960" s="74">
        <v>540800.0</v>
      </c>
      <c r="M7960" s="74">
        <f t="shared" si="6"/>
        <v>545000</v>
      </c>
      <c r="N7960" s="74">
        <f t="shared" si="3"/>
        <v>85000</v>
      </c>
      <c r="O7960" s="65" t="str">
        <f>VLOOKUP(E7960,DATABASE!C:Q,8,false)</f>
        <v>BIAN</v>
      </c>
      <c r="P7960" s="65">
        <f>VLOOKUP(E7960,DATABASE!C:Q,9,False)</f>
        <v>1</v>
      </c>
      <c r="Q7960" s="93" t="str">
        <f>VLOOKUP(E7960,DATABASE!C:Q,4,false)</f>
        <v>GT</v>
      </c>
      <c r="R7960" s="93" t="str">
        <f>VLOOKUP(E7960,DATABASE!C:Q,11,false)</f>
        <v>Tire</v>
      </c>
    </row>
    <row r="7961" ht="22.5" customHeight="1">
      <c r="A7961" s="49"/>
      <c r="C7961" s="400">
        <v>46119.0</v>
      </c>
      <c r="D7961" s="69">
        <v>965.0</v>
      </c>
      <c r="E7961" s="544" t="s">
        <v>2048</v>
      </c>
      <c r="F7961" s="387">
        <v>2.0</v>
      </c>
      <c r="G7961" s="140">
        <v>700000.0</v>
      </c>
      <c r="H7961" s="74"/>
      <c r="I7961" s="74">
        <f t="shared" si="1"/>
        <v>1400000</v>
      </c>
      <c r="J7961" s="74">
        <f>IF(E7961="SERVICE",I7961-(I7961*50%),Vlookup(E7961,DATABASE!C:Q,10,false)*F7961)</f>
        <v>0</v>
      </c>
      <c r="K7961" s="74">
        <f>VLOOKUP(E7961,DATABASE!C:Q,7,false)</f>
        <v>615000</v>
      </c>
      <c r="L7961" s="74">
        <v>615000.0</v>
      </c>
      <c r="M7961" s="74">
        <f t="shared" si="6"/>
        <v>615000</v>
      </c>
      <c r="N7961" s="74">
        <f t="shared" si="3"/>
        <v>170000</v>
      </c>
      <c r="O7961" s="65" t="str">
        <f>VLOOKUP(E7961,DATABASE!C:Q,8,false)</f>
        <v>BIAN</v>
      </c>
      <c r="P7961" s="65">
        <f>VLOOKUP(E7961,DATABASE!C:Q,9,False)</f>
        <v>1</v>
      </c>
      <c r="Q7961" s="93" t="str">
        <f>VLOOKUP(E7961,DATABASE!C:Q,4,false)</f>
        <v>HANKOOK</v>
      </c>
      <c r="R7961" s="93" t="str">
        <f>VLOOKUP(E7961,DATABASE!C:Q,11,false)</f>
        <v>Tire</v>
      </c>
    </row>
    <row r="7962" ht="22.5" customHeight="1">
      <c r="A7962" s="49"/>
      <c r="C7962" s="400">
        <v>46119.0</v>
      </c>
      <c r="D7962" s="524">
        <v>966.0</v>
      </c>
      <c r="E7962" s="544" t="s">
        <v>591</v>
      </c>
      <c r="F7962" s="387">
        <v>2.0</v>
      </c>
      <c r="G7962" s="140">
        <v>710000.0</v>
      </c>
      <c r="H7962" s="140">
        <v>10000.0</v>
      </c>
      <c r="I7962" s="74">
        <f t="shared" si="1"/>
        <v>1400000</v>
      </c>
      <c r="J7962" s="74">
        <f>IF(E7962="SERVICE",I7962-(I7962*50%),Vlookup(E7962,DATABASE!C:Q,10,false)*F7962)</f>
        <v>0</v>
      </c>
      <c r="K7962" s="74">
        <f>VLOOKUP(E7962,DATABASE!C:Q,7,false)</f>
        <v>633035.16</v>
      </c>
      <c r="L7962" s="74">
        <v>609844.375</v>
      </c>
      <c r="M7962" s="74">
        <f t="shared" si="6"/>
        <v>610000</v>
      </c>
      <c r="N7962" s="74">
        <f t="shared" si="3"/>
        <v>180000</v>
      </c>
      <c r="O7962" s="65" t="str">
        <f>VLOOKUP(E7962,DATABASE!C:Q,8,false)</f>
        <v>IBU</v>
      </c>
      <c r="P7962" s="65">
        <f>VLOOKUP(E7962,DATABASE!C:Q,9,False)</f>
        <v>1</v>
      </c>
      <c r="Q7962" s="93" t="str">
        <f>VLOOKUP(E7962,DATABASE!C:Q,4,false)</f>
        <v>Bridgestone</v>
      </c>
      <c r="R7962" s="93" t="str">
        <f>VLOOKUP(E7962,DATABASE!C:Q,11,false)</f>
        <v>Tire</v>
      </c>
    </row>
    <row r="7963" ht="22.5" customHeight="1">
      <c r="A7963" s="49"/>
      <c r="C7963" s="400">
        <v>46119.0</v>
      </c>
      <c r="D7963" s="524">
        <v>966.0</v>
      </c>
      <c r="E7963" s="544" t="s">
        <v>299</v>
      </c>
      <c r="F7963" s="387">
        <v>2.0</v>
      </c>
      <c r="G7963" s="140">
        <v>30000.0</v>
      </c>
      <c r="H7963" s="74"/>
      <c r="I7963" s="74">
        <f t="shared" si="1"/>
        <v>60000</v>
      </c>
      <c r="J7963" s="74">
        <f>IF(E7963="SERVICE",I7963-(I7963*50%),Vlookup(E7963,DATABASE!C:Q,10,false)*F7963)</f>
        <v>0</v>
      </c>
      <c r="K7963" s="74">
        <f>VLOOKUP(E7963,DATABASE!C:Q,7,false)</f>
        <v>10000</v>
      </c>
      <c r="L7963" s="74">
        <v>10000.0</v>
      </c>
      <c r="M7963" s="74">
        <f t="shared" si="6"/>
        <v>10000</v>
      </c>
      <c r="N7963" s="74">
        <f t="shared" si="3"/>
        <v>40000</v>
      </c>
      <c r="O7963" s="65" t="str">
        <f>VLOOKUP(E7963,DATABASE!C:Q,8,false)</f>
        <v>BIAN</v>
      </c>
      <c r="P7963" s="65">
        <f>VLOOKUP(E7963,DATABASE!C:Q,9,False)</f>
        <v>0</v>
      </c>
      <c r="Q7963" s="93" t="str">
        <f>VLOOKUP(E7963,DATABASE!C:Q,4,false)</f>
        <v>Balancing</v>
      </c>
      <c r="R7963" s="93" t="str">
        <f>VLOOKUP(E7963,DATABASE!C:Q,11,false)</f>
        <v>COMPLEMENTARY</v>
      </c>
    </row>
    <row r="7964" ht="22.5" customHeight="1">
      <c r="A7964" s="49"/>
      <c r="C7964" s="400">
        <v>46119.0</v>
      </c>
      <c r="D7964" s="524">
        <v>966.0</v>
      </c>
      <c r="E7964" s="544" t="s">
        <v>251</v>
      </c>
      <c r="F7964" s="387">
        <v>1.0</v>
      </c>
      <c r="G7964" s="140">
        <v>350000.0</v>
      </c>
      <c r="H7964" s="140">
        <v>100000.0</v>
      </c>
      <c r="I7964" s="74">
        <f t="shared" si="1"/>
        <v>250000</v>
      </c>
      <c r="J7964" s="74">
        <f>IF(E7964="SERVICE",I7964-(I7964*50%),Vlookup(E7964,DATABASE!C:Q,10,false)*F7964)</f>
        <v>125000</v>
      </c>
      <c r="K7964" s="74">
        <f>VLOOKUP(E7964,DATABASE!C:Q,7,false)</f>
        <v>0</v>
      </c>
      <c r="L7964" s="74">
        <v>0.0</v>
      </c>
      <c r="M7964" s="74">
        <f t="shared" si="6"/>
        <v>0</v>
      </c>
      <c r="N7964" s="74">
        <f t="shared" si="3"/>
        <v>125000</v>
      </c>
      <c r="O7964" s="65" t="str">
        <f>VLOOKUP(E7964,DATABASE!C:Q,8,false)</f>
        <v>IBU</v>
      </c>
      <c r="P7964" s="65">
        <f>VLOOKUP(E7964,DATABASE!C:Q,9,False)</f>
        <v>0</v>
      </c>
      <c r="Q7964" s="93" t="str">
        <f>VLOOKUP(E7964,DATABASE!C:Q,4,false)</f>
        <v>SERVICE</v>
      </c>
      <c r="R7964" s="93" t="str">
        <f>VLOOKUP(E7964,DATABASE!C:Q,11,false)</f>
        <v>SERVICE</v>
      </c>
    </row>
    <row r="7965" ht="22.5" customHeight="1">
      <c r="A7965" s="49"/>
      <c r="C7965" s="400">
        <v>46119.0</v>
      </c>
      <c r="D7965" s="524">
        <v>967.0</v>
      </c>
      <c r="E7965" s="544" t="s">
        <v>275</v>
      </c>
      <c r="F7965" s="387">
        <v>1.0</v>
      </c>
      <c r="G7965" s="140">
        <v>830000.0</v>
      </c>
      <c r="H7965" s="74"/>
      <c r="I7965" s="74">
        <f t="shared" si="1"/>
        <v>830000</v>
      </c>
      <c r="J7965" s="74">
        <f>IF(E7965="SERVICE",I7965-(I7965*50%),Vlookup(E7965,DATABASE!C:Q,10,false)*F7965)</f>
        <v>0</v>
      </c>
      <c r="K7965" s="74">
        <f>VLOOKUP(E7965,DATABASE!C:Q,7,false)</f>
        <v>782000</v>
      </c>
      <c r="L7965" s="140">
        <v>745000.0</v>
      </c>
      <c r="M7965" s="74">
        <f t="shared" si="6"/>
        <v>745000</v>
      </c>
      <c r="N7965" s="74">
        <f t="shared" si="3"/>
        <v>85000</v>
      </c>
      <c r="O7965" s="69" t="s">
        <v>2629</v>
      </c>
      <c r="P7965" s="69">
        <v>0.0</v>
      </c>
      <c r="Q7965" s="93" t="str">
        <f>VLOOKUP(E7965,DATABASE!C:Q,4,false)</f>
        <v>Dunlop</v>
      </c>
      <c r="R7965" s="93" t="str">
        <f>VLOOKUP(E7965,DATABASE!C:Q,11,false)</f>
        <v>Tire</v>
      </c>
    </row>
    <row r="7966" ht="22.5" customHeight="1">
      <c r="A7966" s="49"/>
      <c r="C7966" s="400">
        <v>46119.0</v>
      </c>
      <c r="D7966" s="524">
        <v>968.0</v>
      </c>
      <c r="E7966" s="544" t="s">
        <v>262</v>
      </c>
      <c r="F7966" s="387">
        <v>1.0</v>
      </c>
      <c r="G7966" s="140">
        <v>130000.0</v>
      </c>
      <c r="H7966" s="140">
        <v>30000.0</v>
      </c>
      <c r="I7966" s="74">
        <f t="shared" si="1"/>
        <v>100000</v>
      </c>
      <c r="J7966" s="74">
        <f>IF(E7966="SERVICE",I7966-(I7966*50%),Vlookup(E7966,DATABASE!C:Q,10,false)*F7966)</f>
        <v>5000</v>
      </c>
      <c r="K7966" s="74">
        <f>VLOOKUP(E7966,DATABASE!C:Q,7,false)</f>
        <v>0</v>
      </c>
      <c r="L7966" s="74">
        <v>0.0</v>
      </c>
      <c r="M7966" s="74">
        <f t="shared" si="6"/>
        <v>0</v>
      </c>
      <c r="N7966" s="74">
        <f t="shared" si="3"/>
        <v>95000</v>
      </c>
      <c r="O7966" s="65" t="str">
        <f>VLOOKUP(E7966,DATABASE!C:Q,8,false)</f>
        <v>IBU</v>
      </c>
      <c r="P7966" s="65">
        <f>VLOOKUP(E7966,DATABASE!C:Q,9,False)</f>
        <v>0</v>
      </c>
      <c r="Q7966" s="93" t="str">
        <f>VLOOKUP(E7966,DATABASE!C:Q,4,false)</f>
        <v>SPOORING SS/CARRY LOS BAK</v>
      </c>
      <c r="R7966" s="93" t="str">
        <f>VLOOKUP(E7966,DATABASE!C:Q,11,false)</f>
        <v>SERVICE</v>
      </c>
    </row>
    <row r="7967" ht="22.5" customHeight="1">
      <c r="A7967" s="49"/>
      <c r="C7967" s="400">
        <v>46119.0</v>
      </c>
      <c r="D7967" s="524">
        <v>968.0</v>
      </c>
      <c r="E7967" s="544" t="s">
        <v>251</v>
      </c>
      <c r="F7967" s="387">
        <v>1.0</v>
      </c>
      <c r="G7967" s="140">
        <v>350000.0</v>
      </c>
      <c r="H7967" s="140">
        <v>270000.0</v>
      </c>
      <c r="I7967" s="74">
        <f t="shared" si="1"/>
        <v>80000</v>
      </c>
      <c r="J7967" s="74">
        <f>IF(E7967="SERVICE",I7967-(I7967*50%),Vlookup(E7967,DATABASE!C:Q,10,false)*F7967)</f>
        <v>40000</v>
      </c>
      <c r="K7967" s="74">
        <f>VLOOKUP(E7967,DATABASE!C:Q,7,false)</f>
        <v>0</v>
      </c>
      <c r="L7967" s="74">
        <v>0.0</v>
      </c>
      <c r="M7967" s="74">
        <f t="shared" si="6"/>
        <v>0</v>
      </c>
      <c r="N7967" s="74">
        <f t="shared" si="3"/>
        <v>40000</v>
      </c>
      <c r="O7967" s="65" t="str">
        <f>VLOOKUP(E7967,DATABASE!C:Q,8,false)</f>
        <v>IBU</v>
      </c>
      <c r="P7967" s="65">
        <f>VLOOKUP(E7967,DATABASE!C:Q,9,False)</f>
        <v>0</v>
      </c>
      <c r="Q7967" s="93" t="str">
        <f>VLOOKUP(E7967,DATABASE!C:Q,4,false)</f>
        <v>SERVICE</v>
      </c>
      <c r="R7967" s="93" t="str">
        <f>VLOOKUP(E7967,DATABASE!C:Q,11,false)</f>
        <v>SERVICE</v>
      </c>
    </row>
    <row r="7968" ht="22.5" customHeight="1">
      <c r="A7968" s="49"/>
      <c r="C7968" s="400">
        <v>46119.0</v>
      </c>
      <c r="D7968" s="69" t="s">
        <v>2781</v>
      </c>
      <c r="E7968" s="544" t="s">
        <v>1364</v>
      </c>
      <c r="F7968" s="387">
        <v>3.0</v>
      </c>
      <c r="G7968" s="140">
        <v>140000.0</v>
      </c>
      <c r="H7968" s="140">
        <v>10000.0</v>
      </c>
      <c r="I7968" s="74">
        <f t="shared" si="1"/>
        <v>390000</v>
      </c>
      <c r="J7968" s="74">
        <f>IF(E7968="SERVICE",I7968-(I7968*50%),Vlookup(E7968,DATABASE!C:Q,10,false)*F7968)</f>
        <v>0</v>
      </c>
      <c r="K7968" s="74">
        <f>VLOOKUP(E7968,DATABASE!C:Q,7,false)</f>
        <v>130000</v>
      </c>
      <c r="L7968" s="74">
        <v>130000.0</v>
      </c>
      <c r="M7968" s="74">
        <f t="shared" si="6"/>
        <v>130000</v>
      </c>
      <c r="N7968" s="74">
        <f t="shared" si="3"/>
        <v>0</v>
      </c>
      <c r="O7968" s="65" t="str">
        <f>VLOOKUP(E7968,DATABASE!C:Q,8,false)</f>
        <v>NON</v>
      </c>
      <c r="P7968" s="65">
        <f>VLOOKUP(E7968,DATABASE!C:Q,9,False)</f>
        <v>0</v>
      </c>
      <c r="Q7968" s="93" t="str">
        <f>VLOOKUP(E7968,DATABASE!C:Q,4,false)</f>
        <v>Castrol</v>
      </c>
      <c r="R7968" s="93" t="str">
        <f>VLOOKUP(E7968,DATABASE!C:Q,11,false)</f>
        <v>OIL</v>
      </c>
    </row>
    <row r="7969" ht="22.5" customHeight="1">
      <c r="A7969" s="49"/>
      <c r="C7969" s="400">
        <v>46119.0</v>
      </c>
      <c r="D7969" s="69" t="s">
        <v>2781</v>
      </c>
      <c r="E7969" s="544" t="s">
        <v>298</v>
      </c>
      <c r="F7969" s="387">
        <v>1.0</v>
      </c>
      <c r="G7969" s="140">
        <v>25000.0</v>
      </c>
      <c r="H7969" s="74"/>
      <c r="I7969" s="74">
        <f t="shared" si="1"/>
        <v>25000</v>
      </c>
      <c r="J7969" s="74">
        <f>IF(E7969="SERVICE",I7969-(I7969*50%),Vlookup(E7969,DATABASE!C:Q,10,false)*F7969)</f>
        <v>0</v>
      </c>
      <c r="K7969" s="74">
        <f>VLOOKUP(E7969,DATABASE!C:Q,7,false)</f>
        <v>19200</v>
      </c>
      <c r="L7969" s="74">
        <v>19200.0</v>
      </c>
      <c r="M7969" s="74">
        <f t="shared" si="6"/>
        <v>20000</v>
      </c>
      <c r="N7969" s="74">
        <f t="shared" si="3"/>
        <v>5000</v>
      </c>
      <c r="O7969" s="65" t="str">
        <f>VLOOKUP(E7969,DATABASE!C:Q,8,false)</f>
        <v>BIAN</v>
      </c>
      <c r="P7969" s="65">
        <f>VLOOKUP(E7969,DATABASE!C:Q,9,False)</f>
        <v>0</v>
      </c>
      <c r="Q7969" s="93" t="str">
        <f>VLOOKUP(E7969,DATABASE!C:Q,4,false)</f>
        <v>Aspira</v>
      </c>
      <c r="R7969" s="93" t="str">
        <f>VLOOKUP(E7969,DATABASE!C:Q,11,false)</f>
        <v>COMPLEMENTARY</v>
      </c>
    </row>
    <row r="7970" ht="22.5" customHeight="1">
      <c r="A7970" s="49"/>
      <c r="C7970" s="400">
        <v>46120.0</v>
      </c>
      <c r="D7970" s="524">
        <v>970.0</v>
      </c>
      <c r="E7970" s="544" t="s">
        <v>1439</v>
      </c>
      <c r="F7970" s="387">
        <v>1.0</v>
      </c>
      <c r="G7970" s="140">
        <v>640000.0</v>
      </c>
      <c r="H7970" s="140">
        <v>10000.0</v>
      </c>
      <c r="I7970" s="74">
        <f t="shared" si="1"/>
        <v>630000</v>
      </c>
      <c r="J7970" s="74">
        <f>IF(E7970="SERVICE",I7970-(I7970*50%),Vlookup(E7970,DATABASE!C:Q,10,false)*F7970)</f>
        <v>0</v>
      </c>
      <c r="K7970" s="74">
        <f>VLOOKUP(E7970,DATABASE!C:Q,7,false)</f>
        <v>556800</v>
      </c>
      <c r="L7970" s="74">
        <v>540800.0</v>
      </c>
      <c r="M7970" s="74">
        <f t="shared" si="6"/>
        <v>545000</v>
      </c>
      <c r="N7970" s="74">
        <f t="shared" si="3"/>
        <v>85000</v>
      </c>
      <c r="O7970" s="65" t="str">
        <f>VLOOKUP(E7970,DATABASE!C:Q,8,false)</f>
        <v>BIAN</v>
      </c>
      <c r="P7970" s="65">
        <f>VLOOKUP(E7970,DATABASE!C:Q,9,False)</f>
        <v>1</v>
      </c>
      <c r="Q7970" s="93" t="str">
        <f>VLOOKUP(E7970,DATABASE!C:Q,4,false)</f>
        <v>GT</v>
      </c>
      <c r="R7970" s="93" t="str">
        <f>VLOOKUP(E7970,DATABASE!C:Q,11,false)</f>
        <v>Tire</v>
      </c>
    </row>
    <row r="7971" ht="22.5" customHeight="1">
      <c r="A7971" s="49"/>
      <c r="C7971" s="400">
        <v>46120.0</v>
      </c>
      <c r="D7971" s="524">
        <v>971.0</v>
      </c>
      <c r="E7971" s="544" t="s">
        <v>282</v>
      </c>
      <c r="F7971" s="387">
        <v>1.0</v>
      </c>
      <c r="G7971" s="140">
        <v>870000.0</v>
      </c>
      <c r="H7971" s="74"/>
      <c r="I7971" s="74">
        <f t="shared" si="1"/>
        <v>870000</v>
      </c>
      <c r="J7971" s="74">
        <f>IF(E7971="SERVICE",I7971-(I7971*50%),Vlookup(E7971,DATABASE!C:Q,10,false)*F7971)</f>
        <v>0</v>
      </c>
      <c r="K7971" s="74">
        <f>VLOOKUP(E7971,DATABASE!C:Q,7,false)</f>
        <v>779500</v>
      </c>
      <c r="L7971" s="74">
        <v>779500.0</v>
      </c>
      <c r="M7971" s="74">
        <f t="shared" si="6"/>
        <v>780000</v>
      </c>
      <c r="N7971" s="74">
        <f t="shared" si="3"/>
        <v>90000</v>
      </c>
      <c r="O7971" s="65" t="str">
        <f>VLOOKUP(E7971,DATABASE!C:Q,8,false)</f>
        <v>IBU</v>
      </c>
      <c r="P7971" s="65">
        <f>VLOOKUP(E7971,DATABASE!C:Q,9,False)</f>
        <v>1</v>
      </c>
      <c r="Q7971" s="93" t="str">
        <f>VLOOKUP(E7971,DATABASE!C:Q,4,false)</f>
        <v>Dunlop</v>
      </c>
      <c r="R7971" s="93" t="str">
        <f>VLOOKUP(E7971,DATABASE!C:Q,11,false)</f>
        <v>Tire</v>
      </c>
    </row>
    <row r="7972" ht="22.5" customHeight="1">
      <c r="A7972" s="49"/>
      <c r="C7972" s="400">
        <v>46120.0</v>
      </c>
      <c r="D7972" s="524">
        <v>972.0</v>
      </c>
      <c r="E7972" s="544" t="s">
        <v>591</v>
      </c>
      <c r="F7972" s="387">
        <v>1.0</v>
      </c>
      <c r="G7972" s="140">
        <v>710000.0</v>
      </c>
      <c r="H7972" s="140">
        <v>10000.0</v>
      </c>
      <c r="I7972" s="74">
        <f t="shared" si="1"/>
        <v>700000</v>
      </c>
      <c r="J7972" s="74">
        <f>IF(E7972="SERVICE",I7972-(I7972*50%),Vlookup(E7972,DATABASE!C:Q,10,false)*F7972)</f>
        <v>0</v>
      </c>
      <c r="K7972" s="74">
        <f>VLOOKUP(E7972,DATABASE!C:Q,7,false)</f>
        <v>633035.16</v>
      </c>
      <c r="L7972" s="74">
        <v>609844.375</v>
      </c>
      <c r="M7972" s="74">
        <f t="shared" si="6"/>
        <v>610000</v>
      </c>
      <c r="N7972" s="74">
        <f t="shared" si="3"/>
        <v>90000</v>
      </c>
      <c r="O7972" s="65" t="str">
        <f>VLOOKUP(E7972,DATABASE!C:Q,8,false)</f>
        <v>IBU</v>
      </c>
      <c r="P7972" s="65">
        <f>VLOOKUP(E7972,DATABASE!C:Q,9,False)</f>
        <v>1</v>
      </c>
      <c r="Q7972" s="93" t="str">
        <f>VLOOKUP(E7972,DATABASE!C:Q,4,false)</f>
        <v>Bridgestone</v>
      </c>
      <c r="R7972" s="93" t="str">
        <f>VLOOKUP(E7972,DATABASE!C:Q,11,false)</f>
        <v>Tire</v>
      </c>
    </row>
    <row r="7973" ht="22.5" customHeight="1">
      <c r="A7973" s="49"/>
      <c r="C7973" s="400">
        <v>46120.0</v>
      </c>
      <c r="D7973" s="524">
        <v>973.0</v>
      </c>
      <c r="E7973" s="544" t="s">
        <v>622</v>
      </c>
      <c r="F7973" s="387">
        <v>2.0</v>
      </c>
      <c r="G7973" s="140">
        <v>925000.0</v>
      </c>
      <c r="H7973" s="140">
        <v>5000.0</v>
      </c>
      <c r="I7973" s="74">
        <f t="shared" si="1"/>
        <v>1840000</v>
      </c>
      <c r="J7973" s="74">
        <f>IF(E7973="SERVICE",I7973-(I7973*50%),Vlookup(E7973,DATABASE!C:Q,10,false)*F7973)</f>
        <v>0</v>
      </c>
      <c r="K7973" s="74">
        <f>VLOOKUP(E7973,DATABASE!C:Q,7,false)</f>
        <v>851110.375</v>
      </c>
      <c r="L7973" s="74">
        <v>822259.2</v>
      </c>
      <c r="M7973" s="74">
        <f t="shared" si="6"/>
        <v>825000</v>
      </c>
      <c r="N7973" s="74">
        <f t="shared" si="3"/>
        <v>190000</v>
      </c>
      <c r="O7973" s="65" t="str">
        <f>VLOOKUP(E7973,DATABASE!C:Q,8,false)</f>
        <v>IBU</v>
      </c>
      <c r="P7973" s="65">
        <f>VLOOKUP(E7973,DATABASE!C:Q,9,False)</f>
        <v>1</v>
      </c>
      <c r="Q7973" s="93" t="str">
        <f>VLOOKUP(E7973,DATABASE!C:Q,4,false)</f>
        <v>Bridgestone</v>
      </c>
      <c r="R7973" s="93" t="str">
        <f>VLOOKUP(E7973,DATABASE!C:Q,11,false)</f>
        <v>Tire</v>
      </c>
    </row>
    <row r="7974" ht="22.5" customHeight="1">
      <c r="A7974" s="49"/>
      <c r="C7974" s="400">
        <v>46120.0</v>
      </c>
      <c r="D7974" s="524">
        <v>974.0</v>
      </c>
      <c r="E7974" s="544" t="s">
        <v>932</v>
      </c>
      <c r="F7974" s="387">
        <v>1.0</v>
      </c>
      <c r="G7974" s="140">
        <v>690000.0</v>
      </c>
      <c r="H7974" s="140">
        <v>10000.0</v>
      </c>
      <c r="I7974" s="74">
        <f t="shared" si="1"/>
        <v>680000</v>
      </c>
      <c r="J7974" s="74">
        <f>IF(E7974="SERVICE",I7974-(I7974*50%),Vlookup(E7974,DATABASE!C:Q,10,false)*F7974)</f>
        <v>0</v>
      </c>
      <c r="K7974" s="74">
        <f>VLOOKUP(E7974,DATABASE!C:Q,7,false)</f>
        <v>601000</v>
      </c>
      <c r="L7974" s="140">
        <v>595000.0</v>
      </c>
      <c r="M7974" s="74">
        <f t="shared" si="6"/>
        <v>595000</v>
      </c>
      <c r="N7974" s="74">
        <f t="shared" si="3"/>
        <v>85000</v>
      </c>
      <c r="O7974" s="65" t="str">
        <f>VLOOKUP(E7974,DATABASE!C:Q,8,false)</f>
        <v>IBU</v>
      </c>
      <c r="P7974" s="65">
        <f>VLOOKUP(E7974,DATABASE!C:Q,9,False)</f>
        <v>1</v>
      </c>
      <c r="Q7974" s="93" t="str">
        <f>VLOOKUP(E7974,DATABASE!C:Q,4,false)</f>
        <v>Dunlop</v>
      </c>
      <c r="R7974" s="93" t="str">
        <f>VLOOKUP(E7974,DATABASE!C:Q,11,false)</f>
        <v>Tire</v>
      </c>
    </row>
    <row r="7975" ht="22.5" customHeight="1">
      <c r="A7975" s="49"/>
      <c r="C7975" s="400">
        <v>46120.0</v>
      </c>
      <c r="D7975" s="524">
        <v>975.0</v>
      </c>
      <c r="E7975" s="544" t="s">
        <v>1597</v>
      </c>
      <c r="F7975" s="387">
        <v>2.0</v>
      </c>
      <c r="G7975" s="140">
        <v>645000.0</v>
      </c>
      <c r="H7975" s="140">
        <v>15000.0</v>
      </c>
      <c r="I7975" s="74">
        <f t="shared" si="1"/>
        <v>1260000</v>
      </c>
      <c r="J7975" s="74">
        <f>IF(E7975="SERVICE",I7975-(I7975*50%),Vlookup(E7975,DATABASE!C:Q,10,false)*F7975)</f>
        <v>0</v>
      </c>
      <c r="K7975" s="74">
        <f>VLOOKUP(E7975,DATABASE!C:Q,7,false)</f>
        <v>560700</v>
      </c>
      <c r="L7975" s="74">
        <v>544300.0</v>
      </c>
      <c r="M7975" s="74">
        <f t="shared" si="6"/>
        <v>545000</v>
      </c>
      <c r="N7975" s="74">
        <f t="shared" si="3"/>
        <v>170000</v>
      </c>
      <c r="O7975" s="65" t="str">
        <f>VLOOKUP(E7975,DATABASE!C:Q,8,false)</f>
        <v>BIAN</v>
      </c>
      <c r="P7975" s="65">
        <f>VLOOKUP(E7975,DATABASE!C:Q,9,False)</f>
        <v>1</v>
      </c>
      <c r="Q7975" s="93" t="str">
        <f>VLOOKUP(E7975,DATABASE!C:Q,4,false)</f>
        <v>GT</v>
      </c>
      <c r="R7975" s="93" t="str">
        <f>VLOOKUP(E7975,DATABASE!C:Q,11,false)</f>
        <v>Tire</v>
      </c>
    </row>
    <row r="7976" ht="22.5" customHeight="1">
      <c r="A7976" s="49"/>
      <c r="C7976" s="400">
        <v>46120.0</v>
      </c>
      <c r="D7976" s="524">
        <v>975.0</v>
      </c>
      <c r="E7976" s="544" t="s">
        <v>256</v>
      </c>
      <c r="F7976" s="387">
        <v>1.0</v>
      </c>
      <c r="G7976" s="140">
        <v>175000.0</v>
      </c>
      <c r="H7976" s="140">
        <v>75000.0</v>
      </c>
      <c r="I7976" s="74">
        <f t="shared" si="1"/>
        <v>100000</v>
      </c>
      <c r="J7976" s="74">
        <f>IF(E7976="SERVICE",I7976-(I7976*50%),Vlookup(E7976,DATABASE!C:Q,10,false)*F7976)</f>
        <v>10000</v>
      </c>
      <c r="K7976" s="74">
        <f>VLOOKUP(E7976,DATABASE!C:Q,7,false)</f>
        <v>0</v>
      </c>
      <c r="L7976" s="74">
        <v>0.0</v>
      </c>
      <c r="M7976" s="74">
        <f t="shared" si="6"/>
        <v>0</v>
      </c>
      <c r="N7976" s="74">
        <f t="shared" si="3"/>
        <v>90000</v>
      </c>
      <c r="O7976" s="65" t="str">
        <f>VLOOKUP(E7976,DATABASE!C:Q,8,false)</f>
        <v>IBU</v>
      </c>
      <c r="P7976" s="65">
        <f>VLOOKUP(E7976,DATABASE!C:Q,9,False)</f>
        <v>0</v>
      </c>
      <c r="Q7976" s="93" t="str">
        <f>VLOOKUP(E7976,DATABASE!C:Q,4,false)</f>
        <v>SPOORING</v>
      </c>
      <c r="R7976" s="93" t="str">
        <f>VLOOKUP(E7976,DATABASE!C:Q,11,false)</f>
        <v>SERVICE</v>
      </c>
    </row>
    <row r="7977" ht="22.5" customHeight="1">
      <c r="A7977" s="49"/>
      <c r="C7977" s="400">
        <v>46120.0</v>
      </c>
      <c r="D7977" s="524">
        <v>975.0</v>
      </c>
      <c r="E7977" s="544" t="s">
        <v>301</v>
      </c>
      <c r="F7977" s="387">
        <v>1.0</v>
      </c>
      <c r="G7977" s="140">
        <v>250000.0</v>
      </c>
      <c r="H7977" s="74"/>
      <c r="I7977" s="74">
        <f t="shared" si="1"/>
        <v>250000</v>
      </c>
      <c r="J7977" s="74">
        <f>IF(E7977="SERVICE",I7977-(I7977*50%),Vlookup(E7977,DATABASE!C:Q,10,false)*F7977)</f>
        <v>75000</v>
      </c>
      <c r="K7977" s="74">
        <f>VLOOKUP(E7977,DATABASE!C:Q,7,false)</f>
        <v>75000</v>
      </c>
      <c r="L7977" s="74">
        <v>75000.0</v>
      </c>
      <c r="M7977" s="74">
        <f t="shared" si="6"/>
        <v>75000</v>
      </c>
      <c r="N7977" s="74">
        <f t="shared" si="3"/>
        <v>100000</v>
      </c>
      <c r="O7977" s="65" t="str">
        <f>VLOOKUP(E7977,DATABASE!C:Q,8,false)</f>
        <v>BIAN</v>
      </c>
      <c r="P7977" s="65">
        <f>VLOOKUP(E7977,DATABASE!C:Q,9,False)</f>
        <v>0</v>
      </c>
      <c r="Q7977" s="93" t="str">
        <f>VLOOKUP(E7977,DATABASE!C:Q,4,false)</f>
        <v>Baut Camber</v>
      </c>
      <c r="R7977" s="93" t="str">
        <f>VLOOKUP(E7977,DATABASE!C:Q,11,false)</f>
        <v>COMPLEMENTARY</v>
      </c>
    </row>
    <row r="7978" ht="22.5" customHeight="1">
      <c r="A7978" s="49"/>
      <c r="C7978" s="400">
        <v>46120.0</v>
      </c>
      <c r="D7978" s="524">
        <v>976.0</v>
      </c>
      <c r="E7978" s="544" t="s">
        <v>2555</v>
      </c>
      <c r="F7978" s="387">
        <v>2.0</v>
      </c>
      <c r="G7978" s="140">
        <v>610000.0</v>
      </c>
      <c r="H7978" s="74"/>
      <c r="I7978" s="74">
        <f t="shared" si="1"/>
        <v>1220000</v>
      </c>
      <c r="J7978" s="74">
        <f>IF(E7978="SERVICE",I7978-(I7978*50%),Vlookup(E7978,DATABASE!C:Q,10,false)*F7978)</f>
        <v>0</v>
      </c>
      <c r="K7978" s="74">
        <f>VLOOKUP(E7978,DATABASE!C:Q,7,false)</f>
        <v>520000</v>
      </c>
      <c r="L7978" s="74">
        <v>520000.0</v>
      </c>
      <c r="M7978" s="74">
        <f t="shared" si="6"/>
        <v>520000</v>
      </c>
      <c r="N7978" s="74">
        <f t="shared" si="3"/>
        <v>180000</v>
      </c>
      <c r="O7978" s="65" t="str">
        <f>VLOOKUP(E7978,DATABASE!C:Q,8,false)</f>
        <v>BIAN</v>
      </c>
      <c r="P7978" s="65">
        <f>VLOOKUP(E7978,DATABASE!C:Q,9,False)</f>
        <v>1</v>
      </c>
      <c r="Q7978" s="93" t="str">
        <f>VLOOKUP(E7978,DATABASE!C:Q,4,false)</f>
        <v>Laufen</v>
      </c>
      <c r="R7978" s="93" t="str">
        <f>VLOOKUP(E7978,DATABASE!C:Q,11,false)</f>
        <v>Tire</v>
      </c>
    </row>
    <row r="7979" ht="22.5" customHeight="1">
      <c r="A7979" s="49"/>
      <c r="C7979" s="400">
        <v>46120.0</v>
      </c>
      <c r="D7979" s="524">
        <v>978.0</v>
      </c>
      <c r="E7979" s="544" t="s">
        <v>250</v>
      </c>
      <c r="F7979" s="387">
        <v>1.0</v>
      </c>
      <c r="G7979" s="140">
        <v>135000.0</v>
      </c>
      <c r="H7979" s="74"/>
      <c r="I7979" s="74">
        <f t="shared" si="1"/>
        <v>135000</v>
      </c>
      <c r="J7979" s="74">
        <f>IF(E7979="SERVICE",I7979-(I7979*50%),Vlookup(E7979,DATABASE!C:Q,10,false)*F7979)</f>
        <v>0</v>
      </c>
      <c r="K7979" s="74">
        <f>VLOOKUP(E7979,DATABASE!C:Q,7,false)</f>
        <v>102000</v>
      </c>
      <c r="L7979" s="74">
        <v>102000.0</v>
      </c>
      <c r="M7979" s="74">
        <f t="shared" si="6"/>
        <v>105000</v>
      </c>
      <c r="N7979" s="74">
        <f t="shared" si="3"/>
        <v>30000</v>
      </c>
      <c r="O7979" s="65" t="str">
        <f>VLOOKUP(E7979,DATABASE!C:Q,8,false)</f>
        <v>BIAN</v>
      </c>
      <c r="P7979" s="65">
        <f>VLOOKUP(E7979,DATABASE!C:Q,9,False)</f>
        <v>1</v>
      </c>
      <c r="Q7979" s="93" t="str">
        <f>VLOOKUP(E7979,DATABASE!C:Q,4,false)</f>
        <v>BD</v>
      </c>
      <c r="R7979" s="93" t="str">
        <f>VLOOKUP(E7979,DATABASE!C:Q,11,false)</f>
        <v>Tire</v>
      </c>
    </row>
    <row r="7980" ht="22.5" customHeight="1">
      <c r="A7980" s="49"/>
      <c r="C7980" s="400">
        <v>46120.0</v>
      </c>
      <c r="D7980" s="524">
        <v>979.0</v>
      </c>
      <c r="E7980" s="544" t="s">
        <v>250</v>
      </c>
      <c r="F7980" s="387">
        <v>1.0</v>
      </c>
      <c r="G7980" s="140">
        <v>135000.0</v>
      </c>
      <c r="H7980" s="74"/>
      <c r="I7980" s="74">
        <f t="shared" si="1"/>
        <v>135000</v>
      </c>
      <c r="J7980" s="74">
        <f>IF(E7980="SERVICE",I7980-(I7980*50%),Vlookup(E7980,DATABASE!C:Q,10,false)*F7980)</f>
        <v>0</v>
      </c>
      <c r="K7980" s="74">
        <f>VLOOKUP(E7980,DATABASE!C:Q,7,false)</f>
        <v>102000</v>
      </c>
      <c r="L7980" s="74">
        <v>102000.0</v>
      </c>
      <c r="M7980" s="74">
        <f t="shared" si="6"/>
        <v>105000</v>
      </c>
      <c r="N7980" s="74">
        <f t="shared" si="3"/>
        <v>30000</v>
      </c>
      <c r="O7980" s="65" t="str">
        <f>VLOOKUP(E7980,DATABASE!C:Q,8,false)</f>
        <v>BIAN</v>
      </c>
      <c r="P7980" s="65">
        <f>VLOOKUP(E7980,DATABASE!C:Q,9,False)</f>
        <v>1</v>
      </c>
      <c r="Q7980" s="93" t="str">
        <f>VLOOKUP(E7980,DATABASE!C:Q,4,false)</f>
        <v>BD</v>
      </c>
      <c r="R7980" s="93" t="str">
        <f>VLOOKUP(E7980,DATABASE!C:Q,11,false)</f>
        <v>Tire</v>
      </c>
    </row>
    <row r="7981" ht="22.5" customHeight="1">
      <c r="A7981" s="49"/>
      <c r="C7981" s="400">
        <v>46120.0</v>
      </c>
      <c r="D7981" s="69">
        <v>980.0</v>
      </c>
      <c r="E7981" s="544" t="s">
        <v>554</v>
      </c>
      <c r="F7981" s="387">
        <v>2.0</v>
      </c>
      <c r="G7981" s="140">
        <v>790000.0</v>
      </c>
      <c r="H7981" s="74"/>
      <c r="I7981" s="74">
        <f t="shared" si="1"/>
        <v>1580000</v>
      </c>
      <c r="J7981" s="74">
        <f>IF(E7981="SERVICE",I7981-(I7981*50%),Vlookup(E7981,DATABASE!C:Q,10,false)*F7981)</f>
        <v>0</v>
      </c>
      <c r="K7981" s="74">
        <f>VLOOKUP(E7981,DATABASE!C:Q,7,false)</f>
        <v>710000</v>
      </c>
      <c r="L7981" s="74">
        <v>705000.0</v>
      </c>
      <c r="M7981" s="74">
        <f t="shared" si="6"/>
        <v>705000</v>
      </c>
      <c r="N7981" s="74">
        <f t="shared" si="3"/>
        <v>170000</v>
      </c>
      <c r="O7981" s="65" t="str">
        <f>VLOOKUP(E7981,DATABASE!C:Q,8,false)</f>
        <v>IBU</v>
      </c>
      <c r="P7981" s="65">
        <f>VLOOKUP(E7981,DATABASE!C:Q,9,False)</f>
        <v>1</v>
      </c>
      <c r="Q7981" s="93" t="str">
        <f>VLOOKUP(E7981,DATABASE!C:Q,4,false)</f>
        <v>Bridgestone</v>
      </c>
      <c r="R7981" s="93" t="str">
        <f>VLOOKUP(E7981,DATABASE!C:Q,11,false)</f>
        <v>Tire</v>
      </c>
    </row>
    <row r="7982" ht="22.5" customHeight="1">
      <c r="A7982" s="49"/>
      <c r="C7982" s="400">
        <v>46120.0</v>
      </c>
      <c r="D7982" s="524">
        <v>983.0</v>
      </c>
      <c r="E7982" s="544" t="s">
        <v>271</v>
      </c>
      <c r="F7982" s="387">
        <v>1.0</v>
      </c>
      <c r="G7982" s="140">
        <v>630000.0</v>
      </c>
      <c r="H7982" s="74"/>
      <c r="I7982" s="74">
        <f t="shared" si="1"/>
        <v>630000</v>
      </c>
      <c r="J7982" s="74">
        <f>IF(E7982="SERVICE",I7982-(I7982*50%),Vlookup(E7982,DATABASE!C:Q,10,false)*F7982)</f>
        <v>0</v>
      </c>
      <c r="K7982" s="74">
        <f>VLOOKUP(E7982,DATABASE!C:Q,7,false)</f>
        <v>570000</v>
      </c>
      <c r="L7982" s="74">
        <v>539000.0</v>
      </c>
      <c r="M7982" s="74">
        <f t="shared" si="6"/>
        <v>540000</v>
      </c>
      <c r="N7982" s="74">
        <f t="shared" si="3"/>
        <v>90000</v>
      </c>
      <c r="O7982" s="65" t="str">
        <f>VLOOKUP(E7982,DATABASE!C:Q,8,false)</f>
        <v>IBU</v>
      </c>
      <c r="P7982" s="65">
        <f>VLOOKUP(E7982,DATABASE!C:Q,9,False)</f>
        <v>1</v>
      </c>
      <c r="Q7982" s="93" t="str">
        <f>VLOOKUP(E7982,DATABASE!C:Q,4,false)</f>
        <v>Dunlop</v>
      </c>
      <c r="R7982" s="93" t="str">
        <f>VLOOKUP(E7982,DATABASE!C:Q,11,false)</f>
        <v>Tire</v>
      </c>
    </row>
    <row r="7983" ht="22.5" customHeight="1">
      <c r="A7983" s="49"/>
      <c r="C7983" s="400">
        <v>46120.0</v>
      </c>
      <c r="D7983" s="524">
        <v>984.0</v>
      </c>
      <c r="E7983" s="544" t="s">
        <v>256</v>
      </c>
      <c r="F7983" s="387">
        <v>1.0</v>
      </c>
      <c r="G7983" s="140">
        <v>175000.0</v>
      </c>
      <c r="H7983" s="140">
        <v>25000.0</v>
      </c>
      <c r="I7983" s="74">
        <f t="shared" si="1"/>
        <v>150000</v>
      </c>
      <c r="J7983" s="74">
        <f>IF(E7983="SERVICE",I7983-(I7983*50%),Vlookup(E7983,DATABASE!C:Q,10,false)*F7983)</f>
        <v>10000</v>
      </c>
      <c r="K7983" s="74">
        <f>VLOOKUP(E7983,DATABASE!C:Q,7,false)</f>
        <v>0</v>
      </c>
      <c r="L7983" s="74">
        <v>0.0</v>
      </c>
      <c r="M7983" s="74">
        <f t="shared" si="6"/>
        <v>0</v>
      </c>
      <c r="N7983" s="74">
        <f t="shared" si="3"/>
        <v>140000</v>
      </c>
      <c r="O7983" s="65" t="str">
        <f>VLOOKUP(E7983,DATABASE!C:Q,8,false)</f>
        <v>IBU</v>
      </c>
      <c r="P7983" s="65">
        <f>VLOOKUP(E7983,DATABASE!C:Q,9,False)</f>
        <v>0</v>
      </c>
      <c r="Q7983" s="93" t="str">
        <f>VLOOKUP(E7983,DATABASE!C:Q,4,false)</f>
        <v>SPOORING</v>
      </c>
      <c r="R7983" s="93" t="str">
        <f>VLOOKUP(E7983,DATABASE!C:Q,11,false)</f>
        <v>SERVICE</v>
      </c>
    </row>
    <row r="7984" ht="22.5" customHeight="1">
      <c r="A7984" s="49"/>
      <c r="C7984" s="400">
        <v>46120.0</v>
      </c>
      <c r="D7984" s="524">
        <v>984.0</v>
      </c>
      <c r="E7984" s="544" t="s">
        <v>251</v>
      </c>
      <c r="F7984" s="387">
        <v>1.0</v>
      </c>
      <c r="G7984" s="140">
        <v>350000.0</v>
      </c>
      <c r="H7984" s="140">
        <v>200000.0</v>
      </c>
      <c r="I7984" s="74">
        <f t="shared" si="1"/>
        <v>150000</v>
      </c>
      <c r="J7984" s="74">
        <f>IF(E7984="SERVICE",I7984-(I7984*50%),Vlookup(E7984,DATABASE!C:Q,10,false)*F7984)</f>
        <v>75000</v>
      </c>
      <c r="K7984" s="74">
        <f>VLOOKUP(E7984,DATABASE!C:Q,7,false)</f>
        <v>0</v>
      </c>
      <c r="L7984" s="74">
        <v>0.0</v>
      </c>
      <c r="M7984" s="74">
        <f t="shared" si="6"/>
        <v>0</v>
      </c>
      <c r="N7984" s="74">
        <f t="shared" si="3"/>
        <v>75000</v>
      </c>
      <c r="O7984" s="65" t="str">
        <f>VLOOKUP(E7984,DATABASE!C:Q,8,false)</f>
        <v>IBU</v>
      </c>
      <c r="P7984" s="65">
        <f>VLOOKUP(E7984,DATABASE!C:Q,9,False)</f>
        <v>0</v>
      </c>
      <c r="Q7984" s="93" t="str">
        <f>VLOOKUP(E7984,DATABASE!C:Q,4,false)</f>
        <v>SERVICE</v>
      </c>
      <c r="R7984" s="93" t="str">
        <f>VLOOKUP(E7984,DATABASE!C:Q,11,false)</f>
        <v>SERVICE</v>
      </c>
    </row>
    <row r="7985" ht="22.5" customHeight="1">
      <c r="A7985" s="49"/>
      <c r="C7985" s="400">
        <v>46120.0</v>
      </c>
      <c r="D7985" s="524">
        <v>985.0</v>
      </c>
      <c r="E7985" s="544" t="s">
        <v>262</v>
      </c>
      <c r="F7985" s="387">
        <v>1.0</v>
      </c>
      <c r="G7985" s="140">
        <v>130000.0</v>
      </c>
      <c r="H7985" s="74"/>
      <c r="I7985" s="74">
        <f t="shared" si="1"/>
        <v>130000</v>
      </c>
      <c r="J7985" s="74">
        <f>IF(E7985="SERVICE",I7985-(I7985*50%),Vlookup(E7985,DATABASE!C:Q,10,false)*F7985)</f>
        <v>5000</v>
      </c>
      <c r="K7985" s="74">
        <f>VLOOKUP(E7985,DATABASE!C:Q,7,false)</f>
        <v>0</v>
      </c>
      <c r="L7985" s="74">
        <v>0.0</v>
      </c>
      <c r="M7985" s="74">
        <f t="shared" si="6"/>
        <v>0</v>
      </c>
      <c r="N7985" s="74">
        <f t="shared" si="3"/>
        <v>125000</v>
      </c>
      <c r="O7985" s="65" t="str">
        <f>VLOOKUP(E7985,DATABASE!C:Q,8,false)</f>
        <v>IBU</v>
      </c>
      <c r="P7985" s="65">
        <f>VLOOKUP(E7985,DATABASE!C:Q,9,False)</f>
        <v>0</v>
      </c>
      <c r="Q7985" s="93" t="str">
        <f>VLOOKUP(E7985,DATABASE!C:Q,4,false)</f>
        <v>SPOORING SS/CARRY LOS BAK</v>
      </c>
      <c r="R7985" s="93" t="str">
        <f>VLOOKUP(E7985,DATABASE!C:Q,11,false)</f>
        <v>SERVICE</v>
      </c>
    </row>
    <row r="7986" ht="22.5" customHeight="1">
      <c r="A7986" s="49"/>
      <c r="C7986" s="400">
        <v>46120.0</v>
      </c>
      <c r="D7986" s="524">
        <v>985.0</v>
      </c>
      <c r="E7986" s="544" t="s">
        <v>251</v>
      </c>
      <c r="F7986" s="387">
        <v>1.0</v>
      </c>
      <c r="G7986" s="140">
        <v>350000.0</v>
      </c>
      <c r="H7986" s="140">
        <v>100000.0</v>
      </c>
      <c r="I7986" s="74">
        <f t="shared" si="1"/>
        <v>250000</v>
      </c>
      <c r="J7986" s="74">
        <f>IF(E7986="SERVICE",I7986-(I7986*50%),Vlookup(E7986,DATABASE!C:Q,10,false)*F7986)</f>
        <v>125000</v>
      </c>
      <c r="K7986" s="74">
        <f>VLOOKUP(E7986,DATABASE!C:Q,7,false)</f>
        <v>0</v>
      </c>
      <c r="L7986" s="74">
        <v>0.0</v>
      </c>
      <c r="M7986" s="74">
        <f t="shared" si="6"/>
        <v>0</v>
      </c>
      <c r="N7986" s="74">
        <f t="shared" si="3"/>
        <v>125000</v>
      </c>
      <c r="O7986" s="65" t="str">
        <f>VLOOKUP(E7986,DATABASE!C:Q,8,false)</f>
        <v>IBU</v>
      </c>
      <c r="P7986" s="65">
        <f>VLOOKUP(E7986,DATABASE!C:Q,9,False)</f>
        <v>0</v>
      </c>
      <c r="Q7986" s="93" t="str">
        <f>VLOOKUP(E7986,DATABASE!C:Q,4,false)</f>
        <v>SERVICE</v>
      </c>
      <c r="R7986" s="93" t="str">
        <f>VLOOKUP(E7986,DATABASE!C:Q,11,false)</f>
        <v>SERVICE</v>
      </c>
    </row>
    <row r="7987" ht="22.5" customHeight="1">
      <c r="A7987" s="49"/>
      <c r="C7987" s="400">
        <v>46120.0</v>
      </c>
      <c r="D7987" s="69" t="s">
        <v>2782</v>
      </c>
      <c r="E7987" s="544" t="s">
        <v>248</v>
      </c>
      <c r="F7987" s="387">
        <v>1.0</v>
      </c>
      <c r="G7987" s="140">
        <v>190000.0</v>
      </c>
      <c r="H7987" s="74"/>
      <c r="I7987" s="74">
        <f t="shared" si="1"/>
        <v>190000</v>
      </c>
      <c r="J7987" s="74">
        <f>IF(E7987="SERVICE",I7987-(I7987*50%),Vlookup(E7987,DATABASE!C:Q,10,false)*F7987)</f>
        <v>0</v>
      </c>
      <c r="K7987" s="74">
        <f>VLOOKUP(E7987,DATABASE!C:Q,7,false)</f>
        <v>209816.66</v>
      </c>
      <c r="L7987" s="74">
        <v>160833.0</v>
      </c>
      <c r="M7987" s="74">
        <f t="shared" si="6"/>
        <v>165000</v>
      </c>
      <c r="N7987" s="74">
        <f t="shared" si="3"/>
        <v>25000</v>
      </c>
      <c r="O7987" s="65" t="str">
        <f>VLOOKUP(E7987,DATABASE!C:Q,8,false)</f>
        <v>NON</v>
      </c>
      <c r="P7987" s="65">
        <f>VLOOKUP(E7987,DATABASE!C:Q,9,False)</f>
        <v>0</v>
      </c>
      <c r="Q7987" s="93" t="str">
        <f>VLOOKUP(E7987,DATABASE!C:Q,4,false)</f>
        <v>Pertamina</v>
      </c>
      <c r="R7987" s="93" t="str">
        <f>VLOOKUP(E7987,DATABASE!C:Q,11,false)</f>
        <v>OIL</v>
      </c>
    </row>
    <row r="7988" ht="22.5" customHeight="1">
      <c r="A7988" s="49"/>
      <c r="C7988" s="400">
        <v>46121.0</v>
      </c>
      <c r="D7988" s="524">
        <v>986.0</v>
      </c>
      <c r="E7988" s="544" t="s">
        <v>2555</v>
      </c>
      <c r="F7988" s="387">
        <v>2.0</v>
      </c>
      <c r="G7988" s="140">
        <v>610000.0</v>
      </c>
      <c r="H7988" s="74"/>
      <c r="I7988" s="74">
        <f t="shared" si="1"/>
        <v>1220000</v>
      </c>
      <c r="J7988" s="74">
        <f>IF(E7988="SERVICE",I7988-(I7988*50%),Vlookup(E7988,DATABASE!C:Q,10,false)*F7988)</f>
        <v>0</v>
      </c>
      <c r="K7988" s="74">
        <f>VLOOKUP(E7988,DATABASE!C:Q,7,false)</f>
        <v>520000</v>
      </c>
      <c r="L7988" s="74">
        <v>520000.0</v>
      </c>
      <c r="M7988" s="74">
        <f t="shared" si="6"/>
        <v>520000</v>
      </c>
      <c r="N7988" s="74">
        <f t="shared" si="3"/>
        <v>180000</v>
      </c>
      <c r="O7988" s="65" t="str">
        <f>VLOOKUP(E7988,DATABASE!C:Q,8,false)</f>
        <v>BIAN</v>
      </c>
      <c r="P7988" s="65">
        <f>VLOOKUP(E7988,DATABASE!C:Q,9,False)</f>
        <v>1</v>
      </c>
      <c r="Q7988" s="93" t="str">
        <f>VLOOKUP(E7988,DATABASE!C:Q,4,false)</f>
        <v>Laufen</v>
      </c>
      <c r="R7988" s="93" t="str">
        <f>VLOOKUP(E7988,DATABASE!C:Q,11,false)</f>
        <v>Tire</v>
      </c>
    </row>
    <row r="7989" ht="22.5" customHeight="1">
      <c r="A7989" s="49"/>
      <c r="C7989" s="400">
        <v>46121.0</v>
      </c>
      <c r="D7989" s="524">
        <v>987.0</v>
      </c>
      <c r="E7989" s="544" t="s">
        <v>600</v>
      </c>
      <c r="F7989" s="387">
        <v>2.0</v>
      </c>
      <c r="G7989" s="140">
        <v>680000.0</v>
      </c>
      <c r="H7989" s="140">
        <v>5000.0</v>
      </c>
      <c r="I7989" s="74">
        <f t="shared" si="1"/>
        <v>1350000</v>
      </c>
      <c r="J7989" s="74">
        <f>IF(E7989="SERVICE",I7989-(I7989*50%),Vlookup(E7989,DATABASE!C:Q,10,false)*F7989)</f>
        <v>0</v>
      </c>
      <c r="K7989" s="74">
        <f>VLOOKUP(E7989,DATABASE!C:Q,7,false)</f>
        <v>611109.16</v>
      </c>
      <c r="L7989" s="74">
        <v>588505.75</v>
      </c>
      <c r="M7989" s="74">
        <f t="shared" si="6"/>
        <v>590000</v>
      </c>
      <c r="N7989" s="74">
        <f t="shared" si="3"/>
        <v>170000</v>
      </c>
      <c r="O7989" s="65" t="str">
        <f>VLOOKUP(E7989,DATABASE!C:Q,8,false)</f>
        <v>IBU</v>
      </c>
      <c r="P7989" s="65">
        <f>VLOOKUP(E7989,DATABASE!C:Q,9,False)</f>
        <v>1</v>
      </c>
      <c r="Q7989" s="93" t="str">
        <f>VLOOKUP(E7989,DATABASE!C:Q,4,false)</f>
        <v>Bridgestone</v>
      </c>
      <c r="R7989" s="93" t="str">
        <f>VLOOKUP(E7989,DATABASE!C:Q,11,false)</f>
        <v>Tire</v>
      </c>
    </row>
    <row r="7990" ht="22.5" customHeight="1">
      <c r="A7990" s="49"/>
      <c r="C7990" s="400">
        <v>46121.0</v>
      </c>
      <c r="D7990" s="524">
        <v>988.0</v>
      </c>
      <c r="E7990" s="544" t="s">
        <v>695</v>
      </c>
      <c r="F7990" s="387">
        <v>1.0</v>
      </c>
      <c r="G7990" s="140">
        <v>675000.0</v>
      </c>
      <c r="H7990" s="74"/>
      <c r="I7990" s="74">
        <f t="shared" si="1"/>
        <v>675000</v>
      </c>
      <c r="J7990" s="74">
        <f>IF(E7990="SERVICE",I7990-(I7990*50%),Vlookup(E7990,DATABASE!C:Q,10,false)*F7990)</f>
        <v>0</v>
      </c>
      <c r="K7990" s="74">
        <f>VLOOKUP(E7990,DATABASE!C:Q,7,false)</f>
        <v>582000</v>
      </c>
      <c r="L7990" s="74">
        <v>582000.0</v>
      </c>
      <c r="M7990" s="74">
        <f t="shared" si="6"/>
        <v>585000</v>
      </c>
      <c r="N7990" s="74">
        <f t="shared" si="3"/>
        <v>90000</v>
      </c>
      <c r="O7990" s="65" t="str">
        <f>VLOOKUP(E7990,DATABASE!C:Q,8,false)</f>
        <v>IBU</v>
      </c>
      <c r="P7990" s="69">
        <v>0.0</v>
      </c>
      <c r="Q7990" s="93" t="str">
        <f>VLOOKUP(E7990,DATABASE!C:Q,4,false)</f>
        <v>Dunlop</v>
      </c>
      <c r="R7990" s="93" t="str">
        <f>VLOOKUP(E7990,DATABASE!C:Q,11,false)</f>
        <v>Tire</v>
      </c>
    </row>
    <row r="7991" ht="22.5" customHeight="1">
      <c r="A7991" s="49"/>
      <c r="C7991" s="400">
        <v>46121.0</v>
      </c>
      <c r="D7991" s="524">
        <v>989.0</v>
      </c>
      <c r="E7991" s="544" t="s">
        <v>566</v>
      </c>
      <c r="F7991" s="387">
        <v>1.0</v>
      </c>
      <c r="G7991" s="140">
        <v>1670000.0</v>
      </c>
      <c r="H7991" s="140">
        <v>20000.0</v>
      </c>
      <c r="I7991" s="74">
        <f t="shared" si="1"/>
        <v>1650000</v>
      </c>
      <c r="J7991" s="74">
        <f>IF(E7991="SERVICE",I7991-(I7991*50%),Vlookup(E7991,DATABASE!C:Q,10,false)*F7991)</f>
        <v>0</v>
      </c>
      <c r="K7991" s="74">
        <f>VLOOKUP(E7991,DATABASE!C:Q,7,false)</f>
        <v>1565000</v>
      </c>
      <c r="L7991" s="74">
        <v>1545000.0</v>
      </c>
      <c r="M7991" s="74">
        <f t="shared" si="6"/>
        <v>1545000</v>
      </c>
      <c r="N7991" s="74">
        <f t="shared" si="3"/>
        <v>105000</v>
      </c>
      <c r="O7991" s="65" t="str">
        <f>VLOOKUP(E7991,DATABASE!C:Q,8,false)</f>
        <v>IBU</v>
      </c>
      <c r="P7991" s="65">
        <f>VLOOKUP(E7991,DATABASE!C:Q,9,False)</f>
        <v>1</v>
      </c>
      <c r="Q7991" s="93" t="str">
        <f>VLOOKUP(E7991,DATABASE!C:Q,4,false)</f>
        <v>Bridgestone</v>
      </c>
      <c r="R7991" s="93" t="str">
        <f>VLOOKUP(E7991,DATABASE!C:Q,11,false)</f>
        <v>Tire</v>
      </c>
    </row>
    <row r="7992" ht="22.5" customHeight="1">
      <c r="A7992" s="49"/>
      <c r="C7992" s="400">
        <v>46121.0</v>
      </c>
      <c r="D7992" s="524">
        <v>990.0</v>
      </c>
      <c r="E7992" s="544" t="s">
        <v>554</v>
      </c>
      <c r="F7992" s="387">
        <v>2.0</v>
      </c>
      <c r="G7992" s="140">
        <v>790000.0</v>
      </c>
      <c r="H7992" s="74"/>
      <c r="I7992" s="74">
        <f t="shared" si="1"/>
        <v>1580000</v>
      </c>
      <c r="J7992" s="74">
        <f>IF(E7992="SERVICE",I7992-(I7992*50%),Vlookup(E7992,DATABASE!C:Q,10,false)*F7992)</f>
        <v>0</v>
      </c>
      <c r="K7992" s="74">
        <f>VLOOKUP(E7992,DATABASE!C:Q,7,false)</f>
        <v>710000</v>
      </c>
      <c r="L7992" s="74">
        <v>705000.0</v>
      </c>
      <c r="M7992" s="74">
        <f t="shared" si="6"/>
        <v>705000</v>
      </c>
      <c r="N7992" s="74">
        <f t="shared" si="3"/>
        <v>170000</v>
      </c>
      <c r="O7992" s="65" t="str">
        <f>VLOOKUP(E7992,DATABASE!C:Q,8,false)</f>
        <v>IBU</v>
      </c>
      <c r="P7992" s="65">
        <f>VLOOKUP(E7992,DATABASE!C:Q,9,False)</f>
        <v>1</v>
      </c>
      <c r="Q7992" s="93" t="str">
        <f>VLOOKUP(E7992,DATABASE!C:Q,4,false)</f>
        <v>Bridgestone</v>
      </c>
      <c r="R7992" s="93" t="str">
        <f>VLOOKUP(E7992,DATABASE!C:Q,11,false)</f>
        <v>Tire</v>
      </c>
    </row>
    <row r="7993" ht="22.5" customHeight="1">
      <c r="A7993" s="49"/>
      <c r="C7993" s="400">
        <v>46121.0</v>
      </c>
      <c r="D7993" s="524">
        <v>990.0</v>
      </c>
      <c r="E7993" s="544" t="s">
        <v>937</v>
      </c>
      <c r="F7993" s="387">
        <v>2.0</v>
      </c>
      <c r="G7993" s="140">
        <v>910000.0</v>
      </c>
      <c r="H7993" s="74"/>
      <c r="I7993" s="74">
        <f t="shared" si="1"/>
        <v>1820000</v>
      </c>
      <c r="J7993" s="74">
        <f>IF(E7993="SERVICE",I7993-(I7993*50%),Vlookup(E7993,DATABASE!C:Q,10,false)*F7993)</f>
        <v>0</v>
      </c>
      <c r="K7993" s="74">
        <f>VLOOKUP(E7993,DATABASE!C:Q,7,false)</f>
        <v>825000</v>
      </c>
      <c r="L7993" s="74">
        <v>815000.0</v>
      </c>
      <c r="M7993" s="74">
        <f t="shared" si="6"/>
        <v>815000</v>
      </c>
      <c r="N7993" s="74">
        <f t="shared" si="3"/>
        <v>190000</v>
      </c>
      <c r="O7993" s="65" t="str">
        <f>VLOOKUP(E7993,DATABASE!C:Q,8,false)</f>
        <v>IBU</v>
      </c>
      <c r="P7993" s="65">
        <f>VLOOKUP(E7993,DATABASE!C:Q,9,False)</f>
        <v>1</v>
      </c>
      <c r="Q7993" s="93" t="str">
        <f>VLOOKUP(E7993,DATABASE!C:Q,4,false)</f>
        <v>Bridgestone</v>
      </c>
      <c r="R7993" s="93" t="str">
        <f>VLOOKUP(E7993,DATABASE!C:Q,11,false)</f>
        <v>Tire</v>
      </c>
    </row>
    <row r="7994" ht="22.5" customHeight="1">
      <c r="A7994" s="49"/>
      <c r="C7994" s="400">
        <v>46121.0</v>
      </c>
      <c r="D7994" s="69">
        <v>990.0</v>
      </c>
      <c r="E7994" s="544" t="s">
        <v>299</v>
      </c>
      <c r="F7994" s="387">
        <v>2.0</v>
      </c>
      <c r="G7994" s="140">
        <v>30000.0</v>
      </c>
      <c r="H7994" s="74"/>
      <c r="I7994" s="74">
        <f t="shared" si="1"/>
        <v>60000</v>
      </c>
      <c r="J7994" s="74">
        <f>IF(E7994="SERVICE",I7994-(I7994*50%),Vlookup(E7994,DATABASE!C:Q,10,false)*F7994)</f>
        <v>0</v>
      </c>
      <c r="K7994" s="74">
        <f>VLOOKUP(E7994,DATABASE!C:Q,7,false)</f>
        <v>10000</v>
      </c>
      <c r="L7994" s="74">
        <v>10000.0</v>
      </c>
      <c r="M7994" s="74">
        <f t="shared" si="6"/>
        <v>10000</v>
      </c>
      <c r="N7994" s="74">
        <f t="shared" si="3"/>
        <v>40000</v>
      </c>
      <c r="O7994" s="65" t="str">
        <f>VLOOKUP(E7994,DATABASE!C:Q,8,false)</f>
        <v>BIAN</v>
      </c>
      <c r="P7994" s="65">
        <f>VLOOKUP(E7994,DATABASE!C:Q,9,False)</f>
        <v>0</v>
      </c>
      <c r="Q7994" s="93" t="str">
        <f>VLOOKUP(E7994,DATABASE!C:Q,4,false)</f>
        <v>Balancing</v>
      </c>
      <c r="R7994" s="93" t="str">
        <f>VLOOKUP(E7994,DATABASE!C:Q,11,false)</f>
        <v>COMPLEMENTARY</v>
      </c>
    </row>
    <row r="7995" ht="22.5" customHeight="1">
      <c r="A7995" s="49"/>
      <c r="C7995" s="400">
        <v>46121.0</v>
      </c>
      <c r="D7995" s="524">
        <v>991.0</v>
      </c>
      <c r="E7995" s="544" t="s">
        <v>294</v>
      </c>
      <c r="F7995" s="387">
        <v>4.0</v>
      </c>
      <c r="G7995" s="140">
        <v>580000.0</v>
      </c>
      <c r="H7995" s="140">
        <v>5000.0</v>
      </c>
      <c r="I7995" s="74">
        <f t="shared" si="1"/>
        <v>2300000</v>
      </c>
      <c r="J7995" s="74">
        <f>IF(E7995="SERVICE",I7995-(I7995*50%),Vlookup(E7995,DATABASE!C:Q,10,false)*F7995)</f>
        <v>0</v>
      </c>
      <c r="K7995" s="74">
        <f>VLOOKUP(E7995,DATABASE!C:Q,7,false)</f>
        <v>505000</v>
      </c>
      <c r="L7995" s="74">
        <v>490000.0</v>
      </c>
      <c r="M7995" s="74">
        <f t="shared" si="6"/>
        <v>490000</v>
      </c>
      <c r="N7995" s="74">
        <f t="shared" si="3"/>
        <v>340000</v>
      </c>
      <c r="O7995" s="65" t="str">
        <f>VLOOKUP(E7995,DATABASE!C:Q,8,false)</f>
        <v>BIAN</v>
      </c>
      <c r="P7995" s="65">
        <f>VLOOKUP(E7995,DATABASE!C:Q,9,False)</f>
        <v>1</v>
      </c>
      <c r="Q7995" s="93" t="str">
        <f>VLOOKUP(E7995,DATABASE!C:Q,4,false)</f>
        <v>GT</v>
      </c>
      <c r="R7995" s="93" t="str">
        <f>VLOOKUP(E7995,DATABASE!C:Q,11,false)</f>
        <v>Tire</v>
      </c>
    </row>
    <row r="7996" ht="22.5" customHeight="1">
      <c r="A7996" s="49"/>
      <c r="C7996" s="400">
        <v>46121.0</v>
      </c>
      <c r="D7996" s="524">
        <v>992.0</v>
      </c>
      <c r="E7996" s="544" t="s">
        <v>605</v>
      </c>
      <c r="F7996" s="387">
        <v>1.0</v>
      </c>
      <c r="G7996" s="140">
        <v>765000.0</v>
      </c>
      <c r="H7996" s="74"/>
      <c r="I7996" s="74">
        <f t="shared" si="1"/>
        <v>765000</v>
      </c>
      <c r="J7996" s="74">
        <f>IF(E7996="SERVICE",I7996-(I7996*50%),Vlookup(E7996,DATABASE!C:Q,10,false)*F7996)</f>
        <v>0</v>
      </c>
      <c r="K7996" s="74">
        <f>VLOOKUP(E7996,DATABASE!C:Q,7,false)</f>
        <v>675000</v>
      </c>
      <c r="L7996" s="74">
        <v>675000.0</v>
      </c>
      <c r="M7996" s="74">
        <f t="shared" si="6"/>
        <v>675000</v>
      </c>
      <c r="N7996" s="74">
        <f t="shared" si="3"/>
        <v>90000</v>
      </c>
      <c r="O7996" s="65" t="str">
        <f>VLOOKUP(E7996,DATABASE!C:Q,8,false)</f>
        <v>IBU</v>
      </c>
      <c r="P7996" s="65">
        <f>VLOOKUP(E7996,DATABASE!C:Q,9,False)</f>
        <v>1</v>
      </c>
      <c r="Q7996" s="93" t="str">
        <f>VLOOKUP(E7996,DATABASE!C:Q,4,false)</f>
        <v>Bridgestone</v>
      </c>
      <c r="R7996" s="93" t="str">
        <f>VLOOKUP(E7996,DATABASE!C:Q,11,false)</f>
        <v>Tire</v>
      </c>
    </row>
    <row r="7997" ht="22.5" customHeight="1">
      <c r="A7997" s="49"/>
      <c r="C7997" s="400">
        <v>46121.0</v>
      </c>
      <c r="D7997" s="524">
        <v>993.0</v>
      </c>
      <c r="E7997" s="544" t="s">
        <v>256</v>
      </c>
      <c r="F7997" s="387">
        <v>1.0</v>
      </c>
      <c r="G7997" s="140">
        <v>175000.0</v>
      </c>
      <c r="H7997" s="140">
        <v>25000.0</v>
      </c>
      <c r="I7997" s="74">
        <f t="shared" si="1"/>
        <v>150000</v>
      </c>
      <c r="J7997" s="74">
        <f>IF(E7997="SERVICE",I7997-(I7997*50%),Vlookup(E7997,DATABASE!C:Q,10,false)*F7997)</f>
        <v>10000</v>
      </c>
      <c r="K7997" s="74">
        <f>VLOOKUP(E7997,DATABASE!C:Q,7,false)</f>
        <v>0</v>
      </c>
      <c r="L7997" s="74">
        <v>0.0</v>
      </c>
      <c r="M7997" s="74">
        <f t="shared" si="6"/>
        <v>0</v>
      </c>
      <c r="N7997" s="74">
        <f t="shared" si="3"/>
        <v>140000</v>
      </c>
      <c r="O7997" s="65" t="str">
        <f>VLOOKUP(E7997,DATABASE!C:Q,8,false)</f>
        <v>IBU</v>
      </c>
      <c r="P7997" s="65">
        <f>VLOOKUP(E7997,DATABASE!C:Q,9,False)</f>
        <v>0</v>
      </c>
      <c r="Q7997" s="93" t="str">
        <f>VLOOKUP(E7997,DATABASE!C:Q,4,false)</f>
        <v>SPOORING</v>
      </c>
      <c r="R7997" s="93" t="str">
        <f>VLOOKUP(E7997,DATABASE!C:Q,11,false)</f>
        <v>SERVICE</v>
      </c>
    </row>
    <row r="7998" ht="22.5" customHeight="1">
      <c r="A7998" s="49"/>
      <c r="C7998" s="400">
        <v>46121.0</v>
      </c>
      <c r="D7998" s="524">
        <v>993.0</v>
      </c>
      <c r="E7998" s="544" t="s">
        <v>299</v>
      </c>
      <c r="F7998" s="387">
        <v>2.0</v>
      </c>
      <c r="G7998" s="140">
        <v>30000.0</v>
      </c>
      <c r="H7998" s="74"/>
      <c r="I7998" s="74">
        <f t="shared" si="1"/>
        <v>60000</v>
      </c>
      <c r="J7998" s="74">
        <f>IF(E7998="SERVICE",I7998-(I7998*50%),Vlookup(E7998,DATABASE!C:Q,10,false)*F7998)</f>
        <v>0</v>
      </c>
      <c r="K7998" s="74">
        <f>VLOOKUP(E7998,DATABASE!C:Q,7,false)</f>
        <v>10000</v>
      </c>
      <c r="L7998" s="74">
        <v>75000.0</v>
      </c>
      <c r="M7998" s="74">
        <f t="shared" si="6"/>
        <v>75000</v>
      </c>
      <c r="N7998" s="74">
        <f t="shared" si="3"/>
        <v>-90000</v>
      </c>
      <c r="O7998" s="65" t="str">
        <f>VLOOKUP(E7998,DATABASE!C:Q,8,false)</f>
        <v>BIAN</v>
      </c>
      <c r="P7998" s="65">
        <f>VLOOKUP(E7998,DATABASE!C:Q,9,False)</f>
        <v>0</v>
      </c>
      <c r="Q7998" s="93" t="str">
        <f>VLOOKUP(E7998,DATABASE!C:Q,4,false)</f>
        <v>Balancing</v>
      </c>
      <c r="R7998" s="93" t="str">
        <f>VLOOKUP(E7998,DATABASE!C:Q,11,false)</f>
        <v>COMPLEMENTARY</v>
      </c>
    </row>
    <row r="7999" ht="22.5" customHeight="1">
      <c r="A7999" s="49"/>
      <c r="C7999" s="400">
        <v>46121.0</v>
      </c>
      <c r="D7999" s="524">
        <v>994.0</v>
      </c>
      <c r="E7999" s="544" t="s">
        <v>937</v>
      </c>
      <c r="F7999" s="387">
        <v>3.0</v>
      </c>
      <c r="G7999" s="140">
        <v>910000.0</v>
      </c>
      <c r="H7999" s="140">
        <v>5000.0</v>
      </c>
      <c r="I7999" s="74">
        <f t="shared" si="1"/>
        <v>2715000</v>
      </c>
      <c r="J7999" s="74">
        <f>IF(E7999="SERVICE",I7999-(I7999*50%),Vlookup(E7999,DATABASE!C:Q,10,false)*F7999)</f>
        <v>0</v>
      </c>
      <c r="K7999" s="74">
        <f>VLOOKUP(E7999,DATABASE!C:Q,7,false)</f>
        <v>825000</v>
      </c>
      <c r="L7999" s="74">
        <v>815000.0</v>
      </c>
      <c r="M7999" s="74">
        <f t="shared" si="6"/>
        <v>815000</v>
      </c>
      <c r="N7999" s="74">
        <f t="shared" si="3"/>
        <v>270000</v>
      </c>
      <c r="O7999" s="65" t="str">
        <f>VLOOKUP(E7999,DATABASE!C:Q,8,false)</f>
        <v>IBU</v>
      </c>
      <c r="P7999" s="65">
        <f>VLOOKUP(E7999,DATABASE!C:Q,9,False)</f>
        <v>1</v>
      </c>
      <c r="Q7999" s="93" t="str">
        <f>VLOOKUP(E7999,DATABASE!C:Q,4,false)</f>
        <v>Bridgestone</v>
      </c>
      <c r="R7999" s="93" t="str">
        <f>VLOOKUP(E7999,DATABASE!C:Q,11,false)</f>
        <v>Tire</v>
      </c>
    </row>
    <row r="8000" ht="22.5" customHeight="1">
      <c r="A8000" s="49"/>
      <c r="C8000" s="400">
        <v>46121.0</v>
      </c>
      <c r="D8000" s="524">
        <v>995.0</v>
      </c>
      <c r="E8000" s="544" t="s">
        <v>262</v>
      </c>
      <c r="F8000" s="387">
        <v>1.0</v>
      </c>
      <c r="G8000" s="140">
        <v>130000.0</v>
      </c>
      <c r="H8000" s="74"/>
      <c r="I8000" s="74">
        <f t="shared" si="1"/>
        <v>130000</v>
      </c>
      <c r="J8000" s="74">
        <f>IF(E8000="SERVICE",I8000-(I8000*50%),Vlookup(E8000,DATABASE!C:Q,10,false)*F8000)</f>
        <v>5000</v>
      </c>
      <c r="K8000" s="74">
        <f>VLOOKUP(E8000,DATABASE!C:Q,7,false)</f>
        <v>0</v>
      </c>
      <c r="L8000" s="74">
        <v>0.0</v>
      </c>
      <c r="M8000" s="74">
        <f t="shared" si="6"/>
        <v>0</v>
      </c>
      <c r="N8000" s="74">
        <f t="shared" si="3"/>
        <v>125000</v>
      </c>
      <c r="O8000" s="65" t="str">
        <f>VLOOKUP(E8000,DATABASE!C:Q,8,false)</f>
        <v>IBU</v>
      </c>
      <c r="P8000" s="65">
        <f>VLOOKUP(E8000,DATABASE!C:Q,9,False)</f>
        <v>0</v>
      </c>
      <c r="Q8000" s="93" t="str">
        <f>VLOOKUP(E8000,DATABASE!C:Q,4,false)</f>
        <v>SPOORING SS/CARRY LOS BAK</v>
      </c>
      <c r="R8000" s="93" t="str">
        <f>VLOOKUP(E8000,DATABASE!C:Q,11,false)</f>
        <v>SERVICE</v>
      </c>
    </row>
    <row r="8001" ht="22.5" customHeight="1">
      <c r="A8001" s="49"/>
      <c r="C8001" s="400">
        <v>46121.0</v>
      </c>
      <c r="D8001" s="524">
        <v>995.0</v>
      </c>
      <c r="E8001" s="544" t="s">
        <v>305</v>
      </c>
      <c r="F8001" s="387">
        <v>1.0</v>
      </c>
      <c r="G8001" s="140">
        <v>235000.0</v>
      </c>
      <c r="H8001" s="74"/>
      <c r="I8001" s="74">
        <f t="shared" si="1"/>
        <v>235000</v>
      </c>
      <c r="J8001" s="74">
        <f>IF(E8001="SERVICE",I8001-(I8001*50%),Vlookup(E8001,DATABASE!C:Q,10,false)*F8001)</f>
        <v>40000</v>
      </c>
      <c r="K8001" s="74">
        <f>VLOOKUP(E8001,DATABASE!C:Q,7,false)</f>
        <v>158530.2</v>
      </c>
      <c r="L8001" s="74">
        <v>151890.0</v>
      </c>
      <c r="M8001" s="74">
        <f t="shared" si="6"/>
        <v>155000</v>
      </c>
      <c r="N8001" s="74">
        <f t="shared" si="3"/>
        <v>40000</v>
      </c>
      <c r="O8001" s="65" t="str">
        <f>VLOOKUP(E8001,DATABASE!C:Q,8,false)</f>
        <v>BIAN</v>
      </c>
      <c r="P8001" s="65">
        <f>VLOOKUP(E8001,DATABASE!C:Q,9,False)</f>
        <v>1</v>
      </c>
      <c r="Q8001" s="93" t="str">
        <f>VLOOKUP(E8001,DATABASE!C:Q,4,false)</f>
        <v>Lower Arm</v>
      </c>
      <c r="R8001" s="93" t="str">
        <f>VLOOKUP(E8001,DATABASE!C:Q,11,false)</f>
        <v>COMPLEMENTARY</v>
      </c>
    </row>
    <row r="8002" ht="22.5" customHeight="1">
      <c r="A8002" s="49"/>
      <c r="C8002" s="400">
        <v>46121.0</v>
      </c>
      <c r="D8002" s="524">
        <v>995.0</v>
      </c>
      <c r="E8002" s="544" t="s">
        <v>251</v>
      </c>
      <c r="F8002" s="387">
        <v>1.0</v>
      </c>
      <c r="G8002" s="140">
        <v>350000.0</v>
      </c>
      <c r="H8002" s="140">
        <v>200000.0</v>
      </c>
      <c r="I8002" s="74">
        <f t="shared" si="1"/>
        <v>150000</v>
      </c>
      <c r="J8002" s="74">
        <f>IF(E8002="SERVICE",I8002-(I8002*50%),Vlookup(E8002,DATABASE!C:Q,10,false)*F8002)</f>
        <v>75000</v>
      </c>
      <c r="K8002" s="74">
        <f>VLOOKUP(E8002,DATABASE!C:Q,7,false)</f>
        <v>0</v>
      </c>
      <c r="L8002" s="74">
        <v>0.0</v>
      </c>
      <c r="M8002" s="74">
        <f t="shared" si="6"/>
        <v>0</v>
      </c>
      <c r="N8002" s="74">
        <f t="shared" si="3"/>
        <v>75000</v>
      </c>
      <c r="O8002" s="65" t="str">
        <f>VLOOKUP(E8002,DATABASE!C:Q,8,false)</f>
        <v>IBU</v>
      </c>
      <c r="P8002" s="65">
        <f>VLOOKUP(E8002,DATABASE!C:Q,9,False)</f>
        <v>0</v>
      </c>
      <c r="Q8002" s="93" t="str">
        <f>VLOOKUP(E8002,DATABASE!C:Q,4,false)</f>
        <v>SERVICE</v>
      </c>
      <c r="R8002" s="93" t="str">
        <f>VLOOKUP(E8002,DATABASE!C:Q,11,false)</f>
        <v>SERVICE</v>
      </c>
    </row>
    <row r="8003" ht="22.5" customHeight="1">
      <c r="A8003" s="49"/>
      <c r="C8003" s="400">
        <v>46121.0</v>
      </c>
      <c r="D8003" s="524">
        <v>996.0</v>
      </c>
      <c r="E8003" s="544" t="s">
        <v>600</v>
      </c>
      <c r="F8003" s="387">
        <v>2.0</v>
      </c>
      <c r="G8003" s="140">
        <v>680000.0</v>
      </c>
      <c r="H8003" s="140">
        <v>5000.0</v>
      </c>
      <c r="I8003" s="74">
        <f t="shared" si="1"/>
        <v>1350000</v>
      </c>
      <c r="J8003" s="74">
        <f>IF(E8003="SERVICE",I8003-(I8003*50%),Vlookup(E8003,DATABASE!C:Q,10,false)*F8003)</f>
        <v>0</v>
      </c>
      <c r="K8003" s="74">
        <f>VLOOKUP(E8003,DATABASE!C:Q,7,false)</f>
        <v>611109.16</v>
      </c>
      <c r="L8003" s="74">
        <v>588505.75</v>
      </c>
      <c r="M8003" s="74">
        <f t="shared" si="6"/>
        <v>590000</v>
      </c>
      <c r="N8003" s="74">
        <f t="shared" si="3"/>
        <v>170000</v>
      </c>
      <c r="O8003" s="65" t="str">
        <f>VLOOKUP(E8003,DATABASE!C:Q,8,false)</f>
        <v>IBU</v>
      </c>
      <c r="P8003" s="65">
        <f>VLOOKUP(E8003,DATABASE!C:Q,9,False)</f>
        <v>1</v>
      </c>
      <c r="Q8003" s="93" t="str">
        <f>VLOOKUP(E8003,DATABASE!C:Q,4,false)</f>
        <v>Bridgestone</v>
      </c>
      <c r="R8003" s="93" t="str">
        <f>VLOOKUP(E8003,DATABASE!C:Q,11,false)</f>
        <v>Tire</v>
      </c>
    </row>
    <row r="8004" ht="22.5" customHeight="1">
      <c r="A8004" s="49"/>
      <c r="C8004" s="400">
        <v>46121.0</v>
      </c>
      <c r="D8004" s="524">
        <v>997.0</v>
      </c>
      <c r="E8004" s="544" t="s">
        <v>591</v>
      </c>
      <c r="F8004" s="387">
        <v>2.0</v>
      </c>
      <c r="G8004" s="140">
        <v>710000.0</v>
      </c>
      <c r="H8004" s="140">
        <v>10000.0</v>
      </c>
      <c r="I8004" s="74">
        <f t="shared" si="1"/>
        <v>1400000</v>
      </c>
      <c r="J8004" s="74">
        <f>IF(E8004="SERVICE",I8004-(I8004*50%),Vlookup(E8004,DATABASE!C:Q,10,false)*F8004)</f>
        <v>0</v>
      </c>
      <c r="K8004" s="74">
        <f>VLOOKUP(E8004,DATABASE!C:Q,7,false)</f>
        <v>633035.16</v>
      </c>
      <c r="L8004" s="74">
        <v>609844.375</v>
      </c>
      <c r="M8004" s="74">
        <f t="shared" si="6"/>
        <v>610000</v>
      </c>
      <c r="N8004" s="74">
        <f t="shared" si="3"/>
        <v>180000</v>
      </c>
      <c r="O8004" s="65" t="str">
        <f>VLOOKUP(E8004,DATABASE!C:Q,8,false)</f>
        <v>IBU</v>
      </c>
      <c r="P8004" s="65">
        <f>VLOOKUP(E8004,DATABASE!C:Q,9,False)</f>
        <v>1</v>
      </c>
      <c r="Q8004" s="93" t="str">
        <f>VLOOKUP(E8004,DATABASE!C:Q,4,false)</f>
        <v>Bridgestone</v>
      </c>
      <c r="R8004" s="93" t="str">
        <f>VLOOKUP(E8004,DATABASE!C:Q,11,false)</f>
        <v>Tire</v>
      </c>
    </row>
    <row r="8005" ht="22.5" customHeight="1">
      <c r="A8005" s="49"/>
      <c r="C8005" s="400">
        <v>46121.0</v>
      </c>
      <c r="D8005" s="524">
        <v>998.0</v>
      </c>
      <c r="E8005" s="544" t="s">
        <v>256</v>
      </c>
      <c r="F8005" s="387">
        <v>1.0</v>
      </c>
      <c r="G8005" s="140">
        <v>175000.0</v>
      </c>
      <c r="H8005" s="140">
        <v>25000.0</v>
      </c>
      <c r="I8005" s="74">
        <f t="shared" si="1"/>
        <v>150000</v>
      </c>
      <c r="J8005" s="74">
        <f>IF(E8005="SERVICE",I8005-(I8005*50%),Vlookup(E8005,DATABASE!C:Q,10,false)*F8005)</f>
        <v>10000</v>
      </c>
      <c r="K8005" s="74">
        <f>VLOOKUP(E8005,DATABASE!C:Q,7,false)</f>
        <v>0</v>
      </c>
      <c r="L8005" s="74">
        <v>0.0</v>
      </c>
      <c r="M8005" s="74">
        <f t="shared" si="6"/>
        <v>0</v>
      </c>
      <c r="N8005" s="74">
        <f t="shared" si="3"/>
        <v>140000</v>
      </c>
      <c r="O8005" s="65" t="str">
        <f>VLOOKUP(E8005,DATABASE!C:Q,8,false)</f>
        <v>IBU</v>
      </c>
      <c r="P8005" s="65">
        <f>VLOOKUP(E8005,DATABASE!C:Q,9,False)</f>
        <v>0</v>
      </c>
      <c r="Q8005" s="93" t="str">
        <f>VLOOKUP(E8005,DATABASE!C:Q,4,false)</f>
        <v>SPOORING</v>
      </c>
      <c r="R8005" s="93" t="str">
        <f>VLOOKUP(E8005,DATABASE!C:Q,11,false)</f>
        <v>SERVICE</v>
      </c>
    </row>
    <row r="8006" ht="22.5" customHeight="1">
      <c r="A8006" s="49"/>
      <c r="C8006" s="400">
        <v>46121.0</v>
      </c>
      <c r="D8006" s="524">
        <v>998.0</v>
      </c>
      <c r="E8006" s="544" t="s">
        <v>301</v>
      </c>
      <c r="F8006" s="387">
        <v>1.0</v>
      </c>
      <c r="G8006" s="140">
        <v>250000.0</v>
      </c>
      <c r="H8006" s="74"/>
      <c r="I8006" s="74">
        <f t="shared" si="1"/>
        <v>250000</v>
      </c>
      <c r="J8006" s="74">
        <f>IF(E8006="SERVICE",I8006-(I8006*50%),Vlookup(E8006,DATABASE!C:Q,10,false)*F8006)</f>
        <v>75000</v>
      </c>
      <c r="K8006" s="74">
        <f>VLOOKUP(E8006,DATABASE!C:Q,7,false)</f>
        <v>75000</v>
      </c>
      <c r="L8006" s="74">
        <v>75000.0</v>
      </c>
      <c r="M8006" s="74">
        <f t="shared" si="6"/>
        <v>75000</v>
      </c>
      <c r="N8006" s="74">
        <f t="shared" si="3"/>
        <v>100000</v>
      </c>
      <c r="O8006" s="65" t="str">
        <f>VLOOKUP(E8006,DATABASE!C:Q,8,false)</f>
        <v>BIAN</v>
      </c>
      <c r="P8006" s="65">
        <f>VLOOKUP(E8006,DATABASE!C:Q,9,False)</f>
        <v>0</v>
      </c>
      <c r="Q8006" s="93" t="str">
        <f>VLOOKUP(E8006,DATABASE!C:Q,4,false)</f>
        <v>Baut Camber</v>
      </c>
      <c r="R8006" s="93" t="str">
        <f>VLOOKUP(E8006,DATABASE!C:Q,11,false)</f>
        <v>COMPLEMENTARY</v>
      </c>
    </row>
    <row r="8007" ht="22.5" customHeight="1">
      <c r="A8007" s="49"/>
      <c r="C8007" s="400">
        <v>46121.0</v>
      </c>
      <c r="D8007" s="524">
        <v>999.0</v>
      </c>
      <c r="E8007" s="544" t="s">
        <v>256</v>
      </c>
      <c r="F8007" s="387">
        <v>1.0</v>
      </c>
      <c r="G8007" s="140">
        <v>175000.0</v>
      </c>
      <c r="H8007" s="140">
        <v>25000.0</v>
      </c>
      <c r="I8007" s="74">
        <f t="shared" si="1"/>
        <v>150000</v>
      </c>
      <c r="J8007" s="74">
        <f>IF(E8007="SERVICE",I8007-(I8007*50%),Vlookup(E8007,DATABASE!C:Q,10,false)*F8007)</f>
        <v>10000</v>
      </c>
      <c r="K8007" s="74">
        <f>VLOOKUP(E8007,DATABASE!C:Q,7,false)</f>
        <v>0</v>
      </c>
      <c r="L8007" s="74">
        <v>0.0</v>
      </c>
      <c r="M8007" s="74">
        <f t="shared" si="6"/>
        <v>0</v>
      </c>
      <c r="N8007" s="74">
        <f t="shared" si="3"/>
        <v>140000</v>
      </c>
      <c r="O8007" s="65" t="str">
        <f>VLOOKUP(E8007,DATABASE!C:Q,8,false)</f>
        <v>IBU</v>
      </c>
      <c r="P8007" s="65">
        <f>VLOOKUP(E8007,DATABASE!C:Q,9,False)</f>
        <v>0</v>
      </c>
      <c r="Q8007" s="93" t="str">
        <f>VLOOKUP(E8007,DATABASE!C:Q,4,false)</f>
        <v>SPOORING</v>
      </c>
      <c r="R8007" s="93" t="str">
        <f>VLOOKUP(E8007,DATABASE!C:Q,11,false)</f>
        <v>SERVICE</v>
      </c>
    </row>
    <row r="8008" ht="22.5" customHeight="1">
      <c r="A8008" s="49"/>
      <c r="C8008" s="400">
        <v>46121.0</v>
      </c>
      <c r="D8008" s="524">
        <v>999.0</v>
      </c>
      <c r="E8008" s="544" t="s">
        <v>299</v>
      </c>
      <c r="F8008" s="387">
        <v>2.0</v>
      </c>
      <c r="G8008" s="140">
        <v>30000.0</v>
      </c>
      <c r="H8008" s="74"/>
      <c r="I8008" s="74">
        <f t="shared" si="1"/>
        <v>60000</v>
      </c>
      <c r="J8008" s="74">
        <f>IF(E8008="SERVICE",I8008-(I8008*50%),Vlookup(E8008,DATABASE!C:Q,10,false)*F8008)</f>
        <v>0</v>
      </c>
      <c r="K8008" s="74">
        <f>VLOOKUP(E8008,DATABASE!C:Q,7,false)</f>
        <v>10000</v>
      </c>
      <c r="L8008" s="74">
        <v>10000.0</v>
      </c>
      <c r="M8008" s="74">
        <f t="shared" si="6"/>
        <v>10000</v>
      </c>
      <c r="N8008" s="74">
        <f t="shared" si="3"/>
        <v>40000</v>
      </c>
      <c r="O8008" s="65" t="str">
        <f>VLOOKUP(E8008,DATABASE!C:Q,8,false)</f>
        <v>BIAN</v>
      </c>
      <c r="P8008" s="65">
        <f>VLOOKUP(E8008,DATABASE!C:Q,9,False)</f>
        <v>0</v>
      </c>
      <c r="Q8008" s="93" t="str">
        <f>VLOOKUP(E8008,DATABASE!C:Q,4,false)</f>
        <v>Balancing</v>
      </c>
      <c r="R8008" s="93" t="str">
        <f>VLOOKUP(E8008,DATABASE!C:Q,11,false)</f>
        <v>COMPLEMENTARY</v>
      </c>
    </row>
    <row r="8009" ht="22.5" customHeight="1">
      <c r="A8009" s="49"/>
      <c r="C8009" s="400">
        <v>46121.0</v>
      </c>
      <c r="D8009" s="524">
        <v>999.0</v>
      </c>
      <c r="E8009" s="544" t="s">
        <v>301</v>
      </c>
      <c r="F8009" s="387">
        <v>1.0</v>
      </c>
      <c r="G8009" s="140">
        <v>250000.0</v>
      </c>
      <c r="H8009" s="74"/>
      <c r="I8009" s="74">
        <f t="shared" si="1"/>
        <v>250000</v>
      </c>
      <c r="J8009" s="74">
        <f>IF(E8009="SERVICE",I8009-(I8009*50%),Vlookup(E8009,DATABASE!C:Q,10,false)*F8009)</f>
        <v>75000</v>
      </c>
      <c r="K8009" s="74">
        <f>VLOOKUP(E8009,DATABASE!C:Q,7,false)</f>
        <v>75000</v>
      </c>
      <c r="L8009" s="74">
        <v>75000.0</v>
      </c>
      <c r="M8009" s="74">
        <f t="shared" si="6"/>
        <v>75000</v>
      </c>
      <c r="N8009" s="74">
        <f t="shared" si="3"/>
        <v>100000</v>
      </c>
      <c r="O8009" s="65" t="str">
        <f>VLOOKUP(E8009,DATABASE!C:Q,8,false)</f>
        <v>BIAN</v>
      </c>
      <c r="P8009" s="65">
        <f>VLOOKUP(E8009,DATABASE!C:Q,9,False)</f>
        <v>0</v>
      </c>
      <c r="Q8009" s="93" t="str">
        <f>VLOOKUP(E8009,DATABASE!C:Q,4,false)</f>
        <v>Baut Camber</v>
      </c>
      <c r="R8009" s="93" t="str">
        <f>VLOOKUP(E8009,DATABASE!C:Q,11,false)</f>
        <v>COMPLEMENTARY</v>
      </c>
    </row>
    <row r="8010" ht="22.5" customHeight="1">
      <c r="A8010" s="49"/>
      <c r="C8010" s="400">
        <v>46121.0</v>
      </c>
      <c r="D8010" s="524">
        <v>1000.0</v>
      </c>
      <c r="E8010" s="544" t="s">
        <v>262</v>
      </c>
      <c r="F8010" s="387">
        <v>1.0</v>
      </c>
      <c r="G8010" s="140">
        <v>130000.0</v>
      </c>
      <c r="H8010" s="74"/>
      <c r="I8010" s="74">
        <f t="shared" si="1"/>
        <v>130000</v>
      </c>
      <c r="J8010" s="74">
        <f>IF(E8010="SERVICE",I8010-(I8010*50%),Vlookup(E8010,DATABASE!C:Q,10,false)*F8010)</f>
        <v>5000</v>
      </c>
      <c r="K8010" s="74">
        <f>VLOOKUP(E8010,DATABASE!C:Q,7,false)</f>
        <v>0</v>
      </c>
      <c r="L8010" s="74">
        <v>0.0</v>
      </c>
      <c r="M8010" s="74">
        <f t="shared" si="6"/>
        <v>0</v>
      </c>
      <c r="N8010" s="74">
        <f t="shared" si="3"/>
        <v>125000</v>
      </c>
      <c r="O8010" s="65" t="str">
        <f>VLOOKUP(E8010,DATABASE!C:Q,8,false)</f>
        <v>IBU</v>
      </c>
      <c r="P8010" s="65">
        <f>VLOOKUP(E8010,DATABASE!C:Q,9,False)</f>
        <v>0</v>
      </c>
      <c r="Q8010" s="93" t="str">
        <f>VLOOKUP(E8010,DATABASE!C:Q,4,false)</f>
        <v>SPOORING SS/CARRY LOS BAK</v>
      </c>
      <c r="R8010" s="93" t="str">
        <f>VLOOKUP(E8010,DATABASE!C:Q,11,false)</f>
        <v>SERVICE</v>
      </c>
    </row>
    <row r="8011" ht="22.5" customHeight="1">
      <c r="A8011" s="49"/>
      <c r="C8011" s="400">
        <v>46122.0</v>
      </c>
      <c r="D8011" s="524">
        <v>1001.0</v>
      </c>
      <c r="E8011" s="544" t="s">
        <v>2624</v>
      </c>
      <c r="F8011" s="387">
        <v>2.0</v>
      </c>
      <c r="G8011" s="140">
        <v>610000.0</v>
      </c>
      <c r="H8011" s="74"/>
      <c r="I8011" s="74">
        <f t="shared" si="1"/>
        <v>1220000</v>
      </c>
      <c r="J8011" s="74">
        <f>IF(E8011="SERVICE",I8011-(I8011*50%),Vlookup(E8011,DATABASE!C:Q,10,false)*F8011)</f>
        <v>0</v>
      </c>
      <c r="K8011" s="74">
        <f>VLOOKUP(E8011,DATABASE!C:Q,7,false)</f>
        <v>517000</v>
      </c>
      <c r="L8011" s="74">
        <v>517000.0</v>
      </c>
      <c r="M8011" s="74">
        <f t="shared" si="6"/>
        <v>520000</v>
      </c>
      <c r="N8011" s="74">
        <f t="shared" si="3"/>
        <v>180000</v>
      </c>
      <c r="O8011" s="65" t="str">
        <f>VLOOKUP(E8011,DATABASE!C:Q,8,false)</f>
        <v>BIAN</v>
      </c>
      <c r="P8011" s="65">
        <f>VLOOKUP(E8011,DATABASE!C:Q,9,False)</f>
        <v>1</v>
      </c>
      <c r="Q8011" s="93" t="str">
        <f>VLOOKUP(E8011,DATABASE!C:Q,4,false)</f>
        <v>Sailun</v>
      </c>
      <c r="R8011" s="93" t="str">
        <f>VLOOKUP(E8011,DATABASE!C:Q,11,false)</f>
        <v>Tire</v>
      </c>
    </row>
    <row r="8012" ht="22.5" customHeight="1">
      <c r="A8012" s="49"/>
      <c r="C8012" s="400">
        <v>46122.0</v>
      </c>
      <c r="D8012" s="524">
        <v>1002.0</v>
      </c>
      <c r="E8012" s="544" t="s">
        <v>937</v>
      </c>
      <c r="F8012" s="387">
        <v>2.0</v>
      </c>
      <c r="G8012" s="140">
        <v>910000.0</v>
      </c>
      <c r="H8012" s="140">
        <v>10000.0</v>
      </c>
      <c r="I8012" s="74">
        <f t="shared" si="1"/>
        <v>1800000</v>
      </c>
      <c r="J8012" s="74">
        <f>IF(E8012="SERVICE",I8012-(I8012*50%),Vlookup(E8012,DATABASE!C:Q,10,false)*F8012)</f>
        <v>0</v>
      </c>
      <c r="K8012" s="74">
        <f>VLOOKUP(E8012,DATABASE!C:Q,7,false)</f>
        <v>825000</v>
      </c>
      <c r="L8012" s="74">
        <v>815000.0</v>
      </c>
      <c r="M8012" s="74">
        <f t="shared" si="6"/>
        <v>815000</v>
      </c>
      <c r="N8012" s="74">
        <f t="shared" si="3"/>
        <v>170000</v>
      </c>
      <c r="O8012" s="65" t="str">
        <f>VLOOKUP(E8012,DATABASE!C:Q,8,false)</f>
        <v>IBU</v>
      </c>
      <c r="P8012" s="65">
        <f>VLOOKUP(E8012,DATABASE!C:Q,9,False)</f>
        <v>1</v>
      </c>
      <c r="Q8012" s="93" t="str">
        <f>VLOOKUP(E8012,DATABASE!C:Q,4,false)</f>
        <v>Bridgestone</v>
      </c>
      <c r="R8012" s="93" t="str">
        <f>VLOOKUP(E8012,DATABASE!C:Q,11,false)</f>
        <v>Tire</v>
      </c>
    </row>
    <row r="8013" ht="22.5" customHeight="1">
      <c r="A8013" s="49"/>
      <c r="C8013" s="400">
        <v>46122.0</v>
      </c>
      <c r="D8013" s="524">
        <v>1002.0</v>
      </c>
      <c r="E8013" s="544" t="s">
        <v>246</v>
      </c>
      <c r="F8013" s="387">
        <v>2.0</v>
      </c>
      <c r="G8013" s="140">
        <v>35000.0</v>
      </c>
      <c r="H8013" s="140">
        <v>10000.0</v>
      </c>
      <c r="I8013" s="74">
        <f t="shared" si="1"/>
        <v>50000</v>
      </c>
      <c r="J8013" s="74">
        <f>IF(E8013="SERVICE",I8013-(I8013*50%),Vlookup(E8013,DATABASE!C:Q,10,false)*F8013)</f>
        <v>0</v>
      </c>
      <c r="K8013" s="74">
        <f>VLOOKUP(E8013,DATABASE!C:Q,7,false)</f>
        <v>0</v>
      </c>
      <c r="L8013" s="74">
        <v>0.0</v>
      </c>
      <c r="M8013" s="74">
        <f t="shared" si="6"/>
        <v>0</v>
      </c>
      <c r="N8013" s="74">
        <f t="shared" si="3"/>
        <v>50000</v>
      </c>
      <c r="O8013" s="65" t="str">
        <f>VLOOKUP(E8013,DATABASE!C:Q,8,false)</f>
        <v>IBU</v>
      </c>
      <c r="P8013" s="65">
        <f>VLOOKUP(E8013,DATABASE!C:Q,9,False)</f>
        <v>0</v>
      </c>
      <c r="Q8013" s="93" t="str">
        <f>VLOOKUP(E8013,DATABASE!C:Q,4,false)</f>
        <v>Bongkar Pasang</v>
      </c>
      <c r="R8013" s="93" t="str">
        <f>VLOOKUP(E8013,DATABASE!C:Q,11,false)</f>
        <v>SERVICE</v>
      </c>
    </row>
    <row r="8014" ht="22.5" customHeight="1">
      <c r="A8014" s="49"/>
      <c r="C8014" s="400">
        <v>46122.0</v>
      </c>
      <c r="D8014" s="524">
        <v>1002.0</v>
      </c>
      <c r="E8014" s="544" t="s">
        <v>299</v>
      </c>
      <c r="F8014" s="387">
        <v>2.0</v>
      </c>
      <c r="G8014" s="140">
        <v>30000.0</v>
      </c>
      <c r="H8014" s="74"/>
      <c r="I8014" s="74">
        <f t="shared" si="1"/>
        <v>60000</v>
      </c>
      <c r="J8014" s="74">
        <f>IF(E8014="SERVICE",I8014-(I8014*50%),Vlookup(E8014,DATABASE!C:Q,10,false)*F8014)</f>
        <v>0</v>
      </c>
      <c r="K8014" s="74">
        <f>VLOOKUP(E8014,DATABASE!C:Q,7,false)</f>
        <v>10000</v>
      </c>
      <c r="L8014" s="74">
        <v>10000.0</v>
      </c>
      <c r="M8014" s="74">
        <f t="shared" si="6"/>
        <v>10000</v>
      </c>
      <c r="N8014" s="74">
        <f t="shared" si="3"/>
        <v>40000</v>
      </c>
      <c r="O8014" s="65" t="str">
        <f>VLOOKUP(E8014,DATABASE!C:Q,8,false)</f>
        <v>BIAN</v>
      </c>
      <c r="P8014" s="65">
        <f>VLOOKUP(E8014,DATABASE!C:Q,9,False)</f>
        <v>0</v>
      </c>
      <c r="Q8014" s="93" t="str">
        <f>VLOOKUP(E8014,DATABASE!C:Q,4,false)</f>
        <v>Balancing</v>
      </c>
      <c r="R8014" s="93" t="str">
        <f>VLOOKUP(E8014,DATABASE!C:Q,11,false)</f>
        <v>COMPLEMENTARY</v>
      </c>
    </row>
    <row r="8015" ht="22.5" customHeight="1">
      <c r="A8015" s="49"/>
      <c r="C8015" s="400">
        <v>46122.0</v>
      </c>
      <c r="D8015" s="524">
        <v>1004.0</v>
      </c>
      <c r="E8015" s="544" t="s">
        <v>1486</v>
      </c>
      <c r="F8015" s="387">
        <v>1.0</v>
      </c>
      <c r="G8015" s="140">
        <v>980000.0</v>
      </c>
      <c r="H8015" s="74"/>
      <c r="I8015" s="74">
        <f t="shared" si="1"/>
        <v>980000</v>
      </c>
      <c r="J8015" s="74">
        <f>IF(E8015="SERVICE",I8015-(I8015*50%),Vlookup(E8015,DATABASE!C:Q,10,false)*F8015)</f>
        <v>0</v>
      </c>
      <c r="K8015" s="74">
        <f>VLOOKUP(E8015,DATABASE!C:Q,7,false)</f>
        <v>888000</v>
      </c>
      <c r="L8015" s="74">
        <v>888000.0</v>
      </c>
      <c r="M8015" s="74">
        <f t="shared" si="6"/>
        <v>890000</v>
      </c>
      <c r="N8015" s="74">
        <f t="shared" si="3"/>
        <v>90000</v>
      </c>
      <c r="O8015" s="65" t="str">
        <f>VLOOKUP(E8015,DATABASE!C:Q,8,false)</f>
        <v>IBU</v>
      </c>
      <c r="P8015" s="65">
        <f>VLOOKUP(E8015,DATABASE!C:Q,9,False)</f>
        <v>1</v>
      </c>
      <c r="Q8015" s="93" t="str">
        <f>VLOOKUP(E8015,DATABASE!C:Q,4,false)</f>
        <v>Dunlop</v>
      </c>
      <c r="R8015" s="93" t="str">
        <f>VLOOKUP(E8015,DATABASE!C:Q,11,false)</f>
        <v>Tire</v>
      </c>
    </row>
    <row r="8016" ht="22.5" customHeight="1">
      <c r="A8016" s="49"/>
      <c r="C8016" s="400">
        <v>46122.0</v>
      </c>
      <c r="D8016" s="524">
        <v>1005.0</v>
      </c>
      <c r="E8016" s="544" t="s">
        <v>246</v>
      </c>
      <c r="F8016" s="387">
        <v>4.0</v>
      </c>
      <c r="G8016" s="140">
        <v>35000.0</v>
      </c>
      <c r="H8016" s="140">
        <v>10000.0</v>
      </c>
      <c r="I8016" s="74">
        <f t="shared" si="1"/>
        <v>100000</v>
      </c>
      <c r="J8016" s="74">
        <f>IF(E8016="SERVICE",I8016-(I8016*50%),Vlookup(E8016,DATABASE!C:Q,10,false)*F8016)</f>
        <v>0</v>
      </c>
      <c r="K8016" s="74">
        <f>VLOOKUP(E8016,DATABASE!C:Q,7,false)</f>
        <v>0</v>
      </c>
      <c r="L8016" s="74">
        <v>0.0</v>
      </c>
      <c r="M8016" s="74">
        <f t="shared" si="6"/>
        <v>0</v>
      </c>
      <c r="N8016" s="74">
        <f t="shared" si="3"/>
        <v>100000</v>
      </c>
      <c r="O8016" s="65" t="str">
        <f>VLOOKUP(E8016,DATABASE!C:Q,8,false)</f>
        <v>IBU</v>
      </c>
      <c r="P8016" s="65">
        <f>VLOOKUP(E8016,DATABASE!C:Q,9,False)</f>
        <v>0</v>
      </c>
      <c r="Q8016" s="93" t="str">
        <f>VLOOKUP(E8016,DATABASE!C:Q,4,false)</f>
        <v>Bongkar Pasang</v>
      </c>
      <c r="R8016" s="93" t="str">
        <f>VLOOKUP(E8016,DATABASE!C:Q,11,false)</f>
        <v>SERVICE</v>
      </c>
    </row>
    <row r="8017" ht="22.5" customHeight="1">
      <c r="A8017" s="49"/>
      <c r="C8017" s="400">
        <v>46122.0</v>
      </c>
      <c r="D8017" s="524">
        <v>1006.0</v>
      </c>
      <c r="E8017" s="544" t="s">
        <v>937</v>
      </c>
      <c r="F8017" s="387">
        <v>1.0</v>
      </c>
      <c r="G8017" s="140">
        <v>910000.0</v>
      </c>
      <c r="H8017" s="74"/>
      <c r="I8017" s="74">
        <f t="shared" si="1"/>
        <v>910000</v>
      </c>
      <c r="J8017" s="74">
        <f>IF(E8017="SERVICE",I8017-(I8017*50%),Vlookup(E8017,DATABASE!C:Q,10,false)*F8017)</f>
        <v>0</v>
      </c>
      <c r="K8017" s="74">
        <f>VLOOKUP(E8017,DATABASE!C:Q,7,false)</f>
        <v>825000</v>
      </c>
      <c r="L8017" s="74">
        <v>815000.0</v>
      </c>
      <c r="M8017" s="74">
        <f t="shared" si="6"/>
        <v>815000</v>
      </c>
      <c r="N8017" s="74">
        <f t="shared" si="3"/>
        <v>95000</v>
      </c>
      <c r="O8017" s="65" t="str">
        <f>VLOOKUP(E8017,DATABASE!C:Q,8,false)</f>
        <v>IBU</v>
      </c>
      <c r="P8017" s="65">
        <f>VLOOKUP(E8017,DATABASE!C:Q,9,False)</f>
        <v>1</v>
      </c>
      <c r="Q8017" s="93" t="str">
        <f>VLOOKUP(E8017,DATABASE!C:Q,4,false)</f>
        <v>Bridgestone</v>
      </c>
      <c r="R8017" s="93" t="str">
        <f>VLOOKUP(E8017,DATABASE!C:Q,11,false)</f>
        <v>Tire</v>
      </c>
    </row>
    <row r="8018" ht="22.5" customHeight="1">
      <c r="A8018" s="49"/>
      <c r="C8018" s="400">
        <v>46123.0</v>
      </c>
      <c r="D8018" s="524">
        <v>1007.0</v>
      </c>
      <c r="E8018" s="544" t="s">
        <v>937</v>
      </c>
      <c r="F8018" s="387">
        <v>1.0</v>
      </c>
      <c r="G8018" s="140">
        <v>910000.0</v>
      </c>
      <c r="H8018" s="74"/>
      <c r="I8018" s="74">
        <f t="shared" si="1"/>
        <v>910000</v>
      </c>
      <c r="J8018" s="74">
        <f>IF(E8018="SERVICE",I8018-(I8018*50%),Vlookup(E8018,DATABASE!C:Q,10,false)*F8018)</f>
        <v>0</v>
      </c>
      <c r="K8018" s="74">
        <f>VLOOKUP(E8018,DATABASE!C:Q,7,false)</f>
        <v>825000</v>
      </c>
      <c r="L8018" s="74">
        <v>815000.0</v>
      </c>
      <c r="M8018" s="74">
        <f t="shared" si="6"/>
        <v>815000</v>
      </c>
      <c r="N8018" s="74">
        <f t="shared" si="3"/>
        <v>95000</v>
      </c>
      <c r="O8018" s="65" t="str">
        <f>VLOOKUP(E8018,DATABASE!C:Q,8,false)</f>
        <v>IBU</v>
      </c>
      <c r="P8018" s="65">
        <f>VLOOKUP(E8018,DATABASE!C:Q,9,False)</f>
        <v>1</v>
      </c>
      <c r="Q8018" s="93" t="str">
        <f>VLOOKUP(E8018,DATABASE!C:Q,4,false)</f>
        <v>Bridgestone</v>
      </c>
      <c r="R8018" s="93" t="str">
        <f>VLOOKUP(E8018,DATABASE!C:Q,11,false)</f>
        <v>Tire</v>
      </c>
    </row>
    <row r="8019" ht="22.5" customHeight="1">
      <c r="A8019" s="49"/>
      <c r="C8019" s="400">
        <v>46123.0</v>
      </c>
      <c r="D8019" s="524">
        <v>1008.0</v>
      </c>
      <c r="E8019" s="544" t="s">
        <v>554</v>
      </c>
      <c r="F8019" s="387">
        <v>4.0</v>
      </c>
      <c r="G8019" s="140">
        <v>790000.0</v>
      </c>
      <c r="H8019" s="74"/>
      <c r="I8019" s="74">
        <f t="shared" si="1"/>
        <v>3160000</v>
      </c>
      <c r="J8019" s="74">
        <f>IF(E8019="SERVICE",I8019-(I8019*50%),Vlookup(E8019,DATABASE!C:Q,10,false)*F8019)</f>
        <v>0</v>
      </c>
      <c r="K8019" s="74">
        <f>VLOOKUP(E8019,DATABASE!C:Q,7,false)</f>
        <v>710000</v>
      </c>
      <c r="L8019" s="74">
        <v>705000.0</v>
      </c>
      <c r="M8019" s="74">
        <f t="shared" si="6"/>
        <v>705000</v>
      </c>
      <c r="N8019" s="74">
        <f t="shared" si="3"/>
        <v>340000</v>
      </c>
      <c r="O8019" s="65" t="str">
        <f>VLOOKUP(E8019,DATABASE!C:Q,8,false)</f>
        <v>IBU</v>
      </c>
      <c r="P8019" s="65">
        <f>VLOOKUP(E8019,DATABASE!C:Q,9,False)</f>
        <v>1</v>
      </c>
      <c r="Q8019" s="93" t="str">
        <f>VLOOKUP(E8019,DATABASE!C:Q,4,false)</f>
        <v>Bridgestone</v>
      </c>
      <c r="R8019" s="93" t="str">
        <f>VLOOKUP(E8019,DATABASE!C:Q,11,false)</f>
        <v>Tire</v>
      </c>
    </row>
    <row r="8020" ht="22.5" customHeight="1">
      <c r="A8020" s="49"/>
      <c r="C8020" s="400">
        <v>46123.0</v>
      </c>
      <c r="D8020" s="524">
        <v>1009.0</v>
      </c>
      <c r="E8020" s="544" t="s">
        <v>299</v>
      </c>
      <c r="F8020" s="387">
        <v>2.0</v>
      </c>
      <c r="G8020" s="140">
        <v>30000.0</v>
      </c>
      <c r="H8020" s="74"/>
      <c r="I8020" s="74">
        <f t="shared" si="1"/>
        <v>60000</v>
      </c>
      <c r="J8020" s="74">
        <f>IF(E8020="SERVICE",I8020-(I8020*50%),Vlookup(E8020,DATABASE!C:Q,10,false)*F8020)</f>
        <v>0</v>
      </c>
      <c r="K8020" s="74">
        <f>VLOOKUP(E8020,DATABASE!C:Q,7,false)</f>
        <v>10000</v>
      </c>
      <c r="L8020" s="74">
        <v>10000.0</v>
      </c>
      <c r="M8020" s="74">
        <f t="shared" si="6"/>
        <v>10000</v>
      </c>
      <c r="N8020" s="74">
        <f t="shared" si="3"/>
        <v>40000</v>
      </c>
      <c r="O8020" s="65" t="str">
        <f>VLOOKUP(E8020,DATABASE!C:Q,8,false)</f>
        <v>BIAN</v>
      </c>
      <c r="P8020" s="65">
        <f>VLOOKUP(E8020,DATABASE!C:Q,9,False)</f>
        <v>0</v>
      </c>
      <c r="Q8020" s="93" t="str">
        <f>VLOOKUP(E8020,DATABASE!C:Q,4,false)</f>
        <v>Balancing</v>
      </c>
      <c r="R8020" s="93" t="str">
        <f>VLOOKUP(E8020,DATABASE!C:Q,11,false)</f>
        <v>COMPLEMENTARY</v>
      </c>
    </row>
    <row r="8021" ht="22.5" customHeight="1">
      <c r="A8021" s="49"/>
      <c r="C8021" s="400">
        <v>46123.0</v>
      </c>
      <c r="D8021" s="524">
        <v>1009.0</v>
      </c>
      <c r="E8021" s="544" t="s">
        <v>262</v>
      </c>
      <c r="F8021" s="387">
        <v>1.0</v>
      </c>
      <c r="G8021" s="140">
        <v>130000.0</v>
      </c>
      <c r="H8021" s="74"/>
      <c r="I8021" s="74">
        <f t="shared" si="1"/>
        <v>130000</v>
      </c>
      <c r="J8021" s="74">
        <f>IF(E8021="SERVICE",I8021-(I8021*50%),Vlookup(E8021,DATABASE!C:Q,10,false)*F8021)</f>
        <v>5000</v>
      </c>
      <c r="K8021" s="74">
        <f>VLOOKUP(E8021,DATABASE!C:Q,7,false)</f>
        <v>0</v>
      </c>
      <c r="L8021" s="74">
        <v>0.0</v>
      </c>
      <c r="M8021" s="74">
        <f t="shared" si="6"/>
        <v>0</v>
      </c>
      <c r="N8021" s="74">
        <f t="shared" si="3"/>
        <v>125000</v>
      </c>
      <c r="O8021" s="65" t="str">
        <f>VLOOKUP(E8021,DATABASE!C:Q,8,false)</f>
        <v>IBU</v>
      </c>
      <c r="P8021" s="65">
        <f>VLOOKUP(E8021,DATABASE!C:Q,9,False)</f>
        <v>0</v>
      </c>
      <c r="Q8021" s="93" t="str">
        <f>VLOOKUP(E8021,DATABASE!C:Q,4,false)</f>
        <v>SPOORING SS/CARRY LOS BAK</v>
      </c>
      <c r="R8021" s="93" t="str">
        <f>VLOOKUP(E8021,DATABASE!C:Q,11,false)</f>
        <v>SERVICE</v>
      </c>
    </row>
    <row r="8022" ht="22.5" customHeight="1">
      <c r="A8022" s="49"/>
      <c r="C8022" s="400">
        <v>46123.0</v>
      </c>
      <c r="D8022" s="524">
        <v>1010.0</v>
      </c>
      <c r="E8022" s="544" t="s">
        <v>1439</v>
      </c>
      <c r="F8022" s="387">
        <v>2.0</v>
      </c>
      <c r="G8022" s="140">
        <v>640000.0</v>
      </c>
      <c r="H8022" s="140">
        <v>10000.0</v>
      </c>
      <c r="I8022" s="74">
        <f t="shared" si="1"/>
        <v>1260000</v>
      </c>
      <c r="J8022" s="74">
        <f>IF(E8022="SERVICE",I8022-(I8022*50%),Vlookup(E8022,DATABASE!C:Q,10,false)*F8022)</f>
        <v>0</v>
      </c>
      <c r="K8022" s="74">
        <f>VLOOKUP(E8022,DATABASE!C:Q,7,false)</f>
        <v>556800</v>
      </c>
      <c r="L8022" s="74">
        <v>540800.0</v>
      </c>
      <c r="M8022" s="74">
        <f t="shared" si="6"/>
        <v>545000</v>
      </c>
      <c r="N8022" s="74">
        <f t="shared" si="3"/>
        <v>170000</v>
      </c>
      <c r="O8022" s="65" t="str">
        <f>VLOOKUP(E8022,DATABASE!C:Q,8,false)</f>
        <v>BIAN</v>
      </c>
      <c r="P8022" s="65">
        <f>VLOOKUP(E8022,DATABASE!C:Q,9,False)</f>
        <v>1</v>
      </c>
      <c r="Q8022" s="93" t="str">
        <f>VLOOKUP(E8022,DATABASE!C:Q,4,false)</f>
        <v>GT</v>
      </c>
      <c r="R8022" s="93" t="str">
        <f>VLOOKUP(E8022,DATABASE!C:Q,11,false)</f>
        <v>Tire</v>
      </c>
    </row>
    <row r="8023" ht="22.5" customHeight="1">
      <c r="A8023" s="49"/>
      <c r="C8023" s="400">
        <v>46123.0</v>
      </c>
      <c r="D8023" s="524">
        <v>1011.0</v>
      </c>
      <c r="E8023" s="544" t="s">
        <v>1862</v>
      </c>
      <c r="F8023" s="387">
        <v>1.0</v>
      </c>
      <c r="G8023" s="140">
        <v>2150000.0</v>
      </c>
      <c r="H8023" s="74"/>
      <c r="I8023" s="74">
        <f t="shared" si="1"/>
        <v>2150000</v>
      </c>
      <c r="J8023" s="74">
        <f>IF(E8023="SERVICE",I8023-(I8023*50%),Vlookup(E8023,DATABASE!C:Q,10,false)*F8023)</f>
        <v>0</v>
      </c>
      <c r="K8023" s="74">
        <f>VLOOKUP(E8023,DATABASE!C:Q,7,false)</f>
        <v>2080000</v>
      </c>
      <c r="L8023" s="74">
        <v>2050000.0</v>
      </c>
      <c r="M8023" s="74">
        <f t="shared" si="6"/>
        <v>2050000</v>
      </c>
      <c r="N8023" s="74">
        <f t="shared" si="3"/>
        <v>100000</v>
      </c>
      <c r="O8023" s="65" t="str">
        <f>VLOOKUP(E8023,DATABASE!C:Q,8,false)</f>
        <v>BIAN</v>
      </c>
      <c r="P8023" s="65">
        <f>VLOOKUP(E8023,DATABASE!C:Q,9,False)</f>
        <v>1</v>
      </c>
      <c r="Q8023" s="93" t="str">
        <f>VLOOKUP(E8023,DATABASE!C:Q,4,false)</f>
        <v>GiTi</v>
      </c>
      <c r="R8023" s="93" t="str">
        <f>VLOOKUP(E8023,DATABASE!C:Q,11,false)</f>
        <v>Tire</v>
      </c>
    </row>
    <row r="8024" ht="22.5" customHeight="1">
      <c r="A8024" s="49"/>
      <c r="C8024" s="400">
        <v>46123.0</v>
      </c>
      <c r="D8024" s="524">
        <v>1012.0</v>
      </c>
      <c r="E8024" s="544" t="s">
        <v>569</v>
      </c>
      <c r="F8024" s="387">
        <v>1.0</v>
      </c>
      <c r="G8024" s="140">
        <v>80000.0</v>
      </c>
      <c r="H8024" s="74"/>
      <c r="I8024" s="74">
        <f t="shared" si="1"/>
        <v>80000</v>
      </c>
      <c r="J8024" s="74">
        <f>IF(E8024="SERVICE",I8024-(I8024*50%),Vlookup(E8024,DATABASE!C:Q,10,false)*F8024)</f>
        <v>0</v>
      </c>
      <c r="K8024" s="74">
        <f>VLOOKUP(E8024,DATABASE!C:Q,7,false)</f>
        <v>45439.582</v>
      </c>
      <c r="L8024" s="74">
        <v>45309.6</v>
      </c>
      <c r="M8024" s="74">
        <f t="shared" si="6"/>
        <v>50000</v>
      </c>
      <c r="N8024" s="74">
        <f t="shared" si="3"/>
        <v>30000</v>
      </c>
      <c r="O8024" s="65" t="str">
        <f>VLOOKUP(E8024,DATABASE!C:Q,8,false)</f>
        <v>BIAN</v>
      </c>
      <c r="P8024" s="65">
        <f>VLOOKUP(E8024,DATABASE!C:Q,9,False)</f>
        <v>1</v>
      </c>
      <c r="Q8024" s="93" t="str">
        <f>VLOOKUP(E8024,DATABASE!C:Q,4,false)</f>
        <v>BD</v>
      </c>
      <c r="R8024" s="93" t="str">
        <f>VLOOKUP(E8024,DATABASE!C:Q,11,false)</f>
        <v>Tire</v>
      </c>
    </row>
    <row r="8025" ht="22.5" customHeight="1">
      <c r="A8025" s="49"/>
      <c r="C8025" s="400">
        <v>46123.0</v>
      </c>
      <c r="D8025" s="524">
        <v>1013.0</v>
      </c>
      <c r="E8025" s="544" t="s">
        <v>937</v>
      </c>
      <c r="F8025" s="387">
        <v>1.0</v>
      </c>
      <c r="G8025" s="140">
        <v>910000.0</v>
      </c>
      <c r="H8025" s="74"/>
      <c r="I8025" s="74">
        <f t="shared" si="1"/>
        <v>910000</v>
      </c>
      <c r="J8025" s="74">
        <f>IF(E8025="SERVICE",I8025-(I8025*50%),Vlookup(E8025,DATABASE!C:Q,10,false)*F8025)</f>
        <v>0</v>
      </c>
      <c r="K8025" s="74">
        <f>VLOOKUP(E8025,DATABASE!C:Q,7,false)</f>
        <v>825000</v>
      </c>
      <c r="L8025" s="74">
        <v>815000.0</v>
      </c>
      <c r="M8025" s="74">
        <f t="shared" si="6"/>
        <v>815000</v>
      </c>
      <c r="N8025" s="74">
        <f t="shared" si="3"/>
        <v>95000</v>
      </c>
      <c r="O8025" s="65" t="str">
        <f>VLOOKUP(E8025,DATABASE!C:Q,8,false)</f>
        <v>IBU</v>
      </c>
      <c r="P8025" s="65">
        <f>VLOOKUP(E8025,DATABASE!C:Q,9,False)</f>
        <v>1</v>
      </c>
      <c r="Q8025" s="93" t="str">
        <f>VLOOKUP(E8025,DATABASE!C:Q,4,false)</f>
        <v>Bridgestone</v>
      </c>
      <c r="R8025" s="93" t="str">
        <f>VLOOKUP(E8025,DATABASE!C:Q,11,false)</f>
        <v>Tire</v>
      </c>
    </row>
    <row r="8026" ht="22.5" customHeight="1">
      <c r="A8026" s="49"/>
      <c r="C8026" s="400">
        <v>46123.0</v>
      </c>
      <c r="D8026" s="524">
        <v>1013.0</v>
      </c>
      <c r="E8026" s="544" t="s">
        <v>262</v>
      </c>
      <c r="F8026" s="387">
        <v>1.0</v>
      </c>
      <c r="G8026" s="140">
        <v>130000.0</v>
      </c>
      <c r="H8026" s="74"/>
      <c r="I8026" s="74">
        <f t="shared" si="1"/>
        <v>130000</v>
      </c>
      <c r="J8026" s="74">
        <f>IF(E8026="SERVICE",I8026-(I8026*50%),Vlookup(E8026,DATABASE!C:Q,10,false)*F8026)</f>
        <v>5000</v>
      </c>
      <c r="K8026" s="74">
        <f>VLOOKUP(E8026,DATABASE!C:Q,7,false)</f>
        <v>0</v>
      </c>
      <c r="L8026" s="74">
        <v>0.0</v>
      </c>
      <c r="M8026" s="74">
        <f t="shared" si="6"/>
        <v>0</v>
      </c>
      <c r="N8026" s="74">
        <f t="shared" si="3"/>
        <v>125000</v>
      </c>
      <c r="O8026" s="65" t="str">
        <f>VLOOKUP(E8026,DATABASE!C:Q,8,false)</f>
        <v>IBU</v>
      </c>
      <c r="P8026" s="65">
        <f>VLOOKUP(E8026,DATABASE!C:Q,9,False)</f>
        <v>0</v>
      </c>
      <c r="Q8026" s="93" t="str">
        <f>VLOOKUP(E8026,DATABASE!C:Q,4,false)</f>
        <v>SPOORING SS/CARRY LOS BAK</v>
      </c>
      <c r="R8026" s="93" t="str">
        <f>VLOOKUP(E8026,DATABASE!C:Q,11,false)</f>
        <v>SERVICE</v>
      </c>
    </row>
    <row r="8027" ht="22.5" customHeight="1">
      <c r="A8027" s="49"/>
      <c r="C8027" s="400">
        <v>46123.0</v>
      </c>
      <c r="D8027" s="524">
        <v>1013.0</v>
      </c>
      <c r="E8027" s="544" t="s">
        <v>251</v>
      </c>
      <c r="F8027" s="387">
        <v>1.0</v>
      </c>
      <c r="G8027" s="140">
        <v>350000.0</v>
      </c>
      <c r="H8027" s="140">
        <v>100000.0</v>
      </c>
      <c r="I8027" s="74">
        <f t="shared" si="1"/>
        <v>250000</v>
      </c>
      <c r="J8027" s="74">
        <f>IF(E8027="SERVICE",I8027-(I8027*50%),Vlookup(E8027,DATABASE!C:Q,10,false)*F8027)</f>
        <v>125000</v>
      </c>
      <c r="K8027" s="74">
        <f>VLOOKUP(E8027,DATABASE!C:Q,7,false)</f>
        <v>0</v>
      </c>
      <c r="L8027" s="74">
        <v>0.0</v>
      </c>
      <c r="M8027" s="74">
        <f t="shared" si="6"/>
        <v>0</v>
      </c>
      <c r="N8027" s="74">
        <f t="shared" si="3"/>
        <v>125000</v>
      </c>
      <c r="O8027" s="65" t="str">
        <f>VLOOKUP(E8027,DATABASE!C:Q,8,false)</f>
        <v>IBU</v>
      </c>
      <c r="P8027" s="65">
        <f>VLOOKUP(E8027,DATABASE!C:Q,9,False)</f>
        <v>0</v>
      </c>
      <c r="Q8027" s="93" t="str">
        <f>VLOOKUP(E8027,DATABASE!C:Q,4,false)</f>
        <v>SERVICE</v>
      </c>
      <c r="R8027" s="93" t="str">
        <f>VLOOKUP(E8027,DATABASE!C:Q,11,false)</f>
        <v>SERVICE</v>
      </c>
    </row>
    <row r="8028" ht="22.5" customHeight="1">
      <c r="A8028" s="49"/>
      <c r="C8028" s="400">
        <v>46123.0</v>
      </c>
      <c r="D8028" s="524">
        <v>1014.0</v>
      </c>
      <c r="E8028" s="544" t="s">
        <v>605</v>
      </c>
      <c r="F8028" s="387">
        <v>3.0</v>
      </c>
      <c r="G8028" s="140">
        <v>765000.0</v>
      </c>
      <c r="H8028" s="74"/>
      <c r="I8028" s="74">
        <f t="shared" si="1"/>
        <v>2295000</v>
      </c>
      <c r="J8028" s="74">
        <f>IF(E8028="SERVICE",I8028-(I8028*50%),Vlookup(E8028,DATABASE!C:Q,10,false)*F8028)</f>
        <v>0</v>
      </c>
      <c r="K8028" s="74">
        <f>VLOOKUP(E8028,DATABASE!C:Q,7,false)</f>
        <v>675000</v>
      </c>
      <c r="L8028" s="74">
        <v>675000.0</v>
      </c>
      <c r="M8028" s="74">
        <f t="shared" si="6"/>
        <v>675000</v>
      </c>
      <c r="N8028" s="74">
        <f t="shared" si="3"/>
        <v>270000</v>
      </c>
      <c r="O8028" s="65" t="str">
        <f>VLOOKUP(E8028,DATABASE!C:Q,8,false)</f>
        <v>IBU</v>
      </c>
      <c r="P8028" s="65">
        <f>VLOOKUP(E8028,DATABASE!C:Q,9,False)</f>
        <v>1</v>
      </c>
      <c r="Q8028" s="93" t="str">
        <f>VLOOKUP(E8028,DATABASE!C:Q,4,false)</f>
        <v>Bridgestone</v>
      </c>
      <c r="R8028" s="93" t="str">
        <f>VLOOKUP(E8028,DATABASE!C:Q,11,false)</f>
        <v>Tire</v>
      </c>
    </row>
    <row r="8029" ht="22.5" customHeight="1">
      <c r="A8029" s="49"/>
      <c r="C8029" s="400">
        <v>46123.0</v>
      </c>
      <c r="D8029" s="524">
        <v>1015.0</v>
      </c>
      <c r="E8029" s="544" t="s">
        <v>294</v>
      </c>
      <c r="F8029" s="387">
        <v>2.0</v>
      </c>
      <c r="G8029" s="140">
        <v>580000.0</v>
      </c>
      <c r="H8029" s="140">
        <v>5000.0</v>
      </c>
      <c r="I8029" s="74">
        <f t="shared" si="1"/>
        <v>1150000</v>
      </c>
      <c r="J8029" s="74">
        <f>IF(E8029="SERVICE",I8029-(I8029*50%),Vlookup(E8029,DATABASE!C:Q,10,false)*F8029)</f>
        <v>0</v>
      </c>
      <c r="K8029" s="74">
        <f>VLOOKUP(E8029,DATABASE!C:Q,7,false)</f>
        <v>505000</v>
      </c>
      <c r="L8029" s="74">
        <v>490000.0</v>
      </c>
      <c r="M8029" s="74">
        <f t="shared" si="6"/>
        <v>490000</v>
      </c>
      <c r="N8029" s="74">
        <f t="shared" si="3"/>
        <v>170000</v>
      </c>
      <c r="O8029" s="65" t="str">
        <f>VLOOKUP(E8029,DATABASE!C:Q,8,false)</f>
        <v>BIAN</v>
      </c>
      <c r="P8029" s="65">
        <f>VLOOKUP(E8029,DATABASE!C:Q,9,False)</f>
        <v>1</v>
      </c>
      <c r="Q8029" s="93" t="str">
        <f>VLOOKUP(E8029,DATABASE!C:Q,4,false)</f>
        <v>GT</v>
      </c>
      <c r="R8029" s="93" t="str">
        <f>VLOOKUP(E8029,DATABASE!C:Q,11,false)</f>
        <v>Tire</v>
      </c>
    </row>
    <row r="8030" ht="22.5" customHeight="1">
      <c r="A8030" s="49"/>
      <c r="C8030" s="400">
        <v>46123.0</v>
      </c>
      <c r="D8030" s="524">
        <v>1015.0</v>
      </c>
      <c r="E8030" s="544" t="s">
        <v>777</v>
      </c>
      <c r="F8030" s="387">
        <v>1.0</v>
      </c>
      <c r="G8030" s="140">
        <v>600000.0</v>
      </c>
      <c r="H8030" s="74"/>
      <c r="I8030" s="74">
        <f t="shared" si="1"/>
        <v>600000</v>
      </c>
      <c r="J8030" s="74">
        <f>IF(E8030="SERVICE",I8030-(I8030*50%),Vlookup(E8030,DATABASE!C:Q,10,false)*F8030)</f>
        <v>0</v>
      </c>
      <c r="K8030" s="74">
        <f>VLOOKUP(E8030,DATABASE!C:Q,7,false)</f>
        <v>540000</v>
      </c>
      <c r="L8030" s="74">
        <v>505000.0</v>
      </c>
      <c r="M8030" s="74">
        <f t="shared" si="6"/>
        <v>505000</v>
      </c>
      <c r="N8030" s="74">
        <f t="shared" si="3"/>
        <v>95000</v>
      </c>
      <c r="O8030" s="65" t="str">
        <f>VLOOKUP(E8030,DATABASE!C:Q,8,false)</f>
        <v>BIAN</v>
      </c>
      <c r="P8030" s="65">
        <f>VLOOKUP(E8030,DATABASE!C:Q,9,False)</f>
        <v>1</v>
      </c>
      <c r="Q8030" s="93" t="str">
        <f>VLOOKUP(E8030,DATABASE!C:Q,4,false)</f>
        <v>GT</v>
      </c>
      <c r="R8030" s="93" t="str">
        <f>VLOOKUP(E8030,DATABASE!C:Q,11,false)</f>
        <v>Tire</v>
      </c>
    </row>
    <row r="8031" ht="22.5" customHeight="1">
      <c r="A8031" s="49"/>
      <c r="C8031" s="400">
        <v>46123.0</v>
      </c>
      <c r="D8031" s="69">
        <v>1016.0</v>
      </c>
      <c r="E8031" s="544" t="s">
        <v>256</v>
      </c>
      <c r="F8031" s="387">
        <v>1.0</v>
      </c>
      <c r="G8031" s="140">
        <v>150000.0</v>
      </c>
      <c r="H8031" s="74"/>
      <c r="I8031" s="74">
        <f t="shared" si="1"/>
        <v>150000</v>
      </c>
      <c r="J8031" s="74">
        <f>IF(E8031="SERVICE",I8031-(I8031*50%),Vlookup(E8031,DATABASE!C:Q,10,false)*F8031)</f>
        <v>10000</v>
      </c>
      <c r="K8031" s="74">
        <f>VLOOKUP(E8031,DATABASE!C:Q,7,false)</f>
        <v>0</v>
      </c>
      <c r="L8031" s="74">
        <v>0.0</v>
      </c>
      <c r="M8031" s="74">
        <f t="shared" si="6"/>
        <v>0</v>
      </c>
      <c r="N8031" s="74">
        <f t="shared" si="3"/>
        <v>140000</v>
      </c>
      <c r="O8031" s="65" t="str">
        <f>VLOOKUP(E8031,DATABASE!C:Q,8,false)</f>
        <v>IBU</v>
      </c>
      <c r="P8031" s="65">
        <f>VLOOKUP(E8031,DATABASE!C:Q,9,False)</f>
        <v>0</v>
      </c>
      <c r="Q8031" s="93" t="str">
        <f>VLOOKUP(E8031,DATABASE!C:Q,4,false)</f>
        <v>SPOORING</v>
      </c>
      <c r="R8031" s="93" t="str">
        <f>VLOOKUP(E8031,DATABASE!C:Q,11,false)</f>
        <v>SERVICE</v>
      </c>
    </row>
    <row r="8032" ht="22.5" customHeight="1">
      <c r="A8032" s="49"/>
      <c r="C8032" s="400">
        <v>46123.0</v>
      </c>
      <c r="D8032" s="69">
        <v>1016.0</v>
      </c>
      <c r="E8032" s="544" t="s">
        <v>251</v>
      </c>
      <c r="F8032" s="387">
        <v>1.0</v>
      </c>
      <c r="G8032" s="140">
        <v>250000.0</v>
      </c>
      <c r="H8032" s="74"/>
      <c r="I8032" s="74">
        <f t="shared" si="1"/>
        <v>250000</v>
      </c>
      <c r="J8032" s="74">
        <f>IF(E8032="SERVICE",I8032-(I8032*50%),Vlookup(E8032,DATABASE!C:Q,10,false)*F8032)</f>
        <v>125000</v>
      </c>
      <c r="K8032" s="74">
        <f>VLOOKUP(E8032,DATABASE!C:Q,7,false)</f>
        <v>0</v>
      </c>
      <c r="L8032" s="74">
        <v>0.0</v>
      </c>
      <c r="M8032" s="74">
        <f t="shared" si="6"/>
        <v>0</v>
      </c>
      <c r="N8032" s="74">
        <f t="shared" si="3"/>
        <v>125000</v>
      </c>
      <c r="O8032" s="65" t="str">
        <f>VLOOKUP(E8032,DATABASE!C:Q,8,false)</f>
        <v>IBU</v>
      </c>
      <c r="P8032" s="65">
        <f>VLOOKUP(E8032,DATABASE!C:Q,9,False)</f>
        <v>0</v>
      </c>
      <c r="Q8032" s="93" t="str">
        <f>VLOOKUP(E8032,DATABASE!C:Q,4,false)</f>
        <v>SERVICE</v>
      </c>
      <c r="R8032" s="93" t="str">
        <f>VLOOKUP(E8032,DATABASE!C:Q,11,false)</f>
        <v>SERVICE</v>
      </c>
    </row>
    <row r="8033" ht="22.5" customHeight="1">
      <c r="A8033" s="49"/>
      <c r="C8033" s="400">
        <v>46124.0</v>
      </c>
      <c r="D8033" s="69">
        <v>1017.0</v>
      </c>
      <c r="E8033" s="544" t="s">
        <v>2624</v>
      </c>
      <c r="F8033" s="387">
        <v>2.0</v>
      </c>
      <c r="G8033" s="140">
        <v>610000.0</v>
      </c>
      <c r="H8033" s="74"/>
      <c r="I8033" s="74">
        <f t="shared" si="1"/>
        <v>1220000</v>
      </c>
      <c r="J8033" s="74">
        <f>IF(E8033="SERVICE",I8033-(I8033*50%),Vlookup(E8033,DATABASE!C:Q,10,false)*F8033)</f>
        <v>0</v>
      </c>
      <c r="K8033" s="74">
        <f>VLOOKUP(E8033,DATABASE!C:Q,7,false)</f>
        <v>517000</v>
      </c>
      <c r="L8033" s="74">
        <v>517000.0</v>
      </c>
      <c r="M8033" s="74">
        <f t="shared" si="6"/>
        <v>520000</v>
      </c>
      <c r="N8033" s="74">
        <f t="shared" si="3"/>
        <v>180000</v>
      </c>
      <c r="O8033" s="65" t="str">
        <f>VLOOKUP(E8033,DATABASE!C:Q,8,false)</f>
        <v>BIAN</v>
      </c>
      <c r="P8033" s="65">
        <f>VLOOKUP(E8033,DATABASE!C:Q,9,False)</f>
        <v>1</v>
      </c>
      <c r="Q8033" s="93" t="str">
        <f>VLOOKUP(E8033,DATABASE!C:Q,4,false)</f>
        <v>Sailun</v>
      </c>
      <c r="R8033" s="93" t="str">
        <f>VLOOKUP(E8033,DATABASE!C:Q,11,false)</f>
        <v>Tire</v>
      </c>
    </row>
    <row r="8034" ht="22.5" customHeight="1">
      <c r="A8034" s="49"/>
      <c r="C8034" s="400">
        <v>46124.0</v>
      </c>
      <c r="D8034" s="69">
        <v>1018.0</v>
      </c>
      <c r="E8034" s="544" t="s">
        <v>2199</v>
      </c>
      <c r="F8034" s="387">
        <v>1.0</v>
      </c>
      <c r="G8034" s="140">
        <v>20000.0</v>
      </c>
      <c r="H8034" s="74"/>
      <c r="I8034" s="74">
        <f t="shared" si="1"/>
        <v>20000</v>
      </c>
      <c r="J8034" s="74">
        <f>IF(E8034="SERVICE",I8034-(I8034*50%),Vlookup(E8034,DATABASE!C:Q,10,false)*F8034)</f>
        <v>0</v>
      </c>
      <c r="K8034" s="74">
        <f>VLOOKUP(E8034,DATABASE!C:Q,7,false)</f>
        <v>5000</v>
      </c>
      <c r="L8034" s="74">
        <v>0.0</v>
      </c>
      <c r="M8034" s="74">
        <f t="shared" si="6"/>
        <v>0</v>
      </c>
      <c r="N8034" s="74">
        <f t="shared" si="3"/>
        <v>20000</v>
      </c>
      <c r="O8034" s="65" t="str">
        <f>VLOOKUP(E8034,DATABASE!C:Q,8,false)</f>
        <v>BIAN</v>
      </c>
      <c r="P8034" s="65">
        <f>VLOOKUP(E8034,DATABASE!C:Q,9,False)</f>
        <v>0</v>
      </c>
      <c r="Q8034" s="93" t="str">
        <f>VLOOKUP(E8034,DATABASE!C:Q,4,false)</f>
        <v>TAMBAL TUBLES</v>
      </c>
      <c r="R8034" s="93" t="str">
        <f>VLOOKUP(E8034,DATABASE!C:Q,11,false)</f>
        <v>COMPLEMENTARY</v>
      </c>
    </row>
    <row r="8035" ht="22.5" customHeight="1">
      <c r="A8035" s="49"/>
      <c r="C8035" s="400">
        <v>46124.0</v>
      </c>
      <c r="D8035" s="69">
        <v>1019.0</v>
      </c>
      <c r="E8035" s="544" t="s">
        <v>2624</v>
      </c>
      <c r="F8035" s="387">
        <v>2.0</v>
      </c>
      <c r="G8035" s="140">
        <v>610000.0</v>
      </c>
      <c r="H8035" s="74"/>
      <c r="I8035" s="74">
        <f t="shared" si="1"/>
        <v>1220000</v>
      </c>
      <c r="J8035" s="74">
        <f>IF(E8035="SERVICE",I8035-(I8035*50%),Vlookup(E8035,DATABASE!C:Q,10,false)*F8035)</f>
        <v>0</v>
      </c>
      <c r="K8035" s="74">
        <f>VLOOKUP(E8035,DATABASE!C:Q,7,false)</f>
        <v>517000</v>
      </c>
      <c r="L8035" s="74">
        <v>517000.0</v>
      </c>
      <c r="M8035" s="74">
        <f t="shared" si="6"/>
        <v>520000</v>
      </c>
      <c r="N8035" s="74">
        <f t="shared" si="3"/>
        <v>180000</v>
      </c>
      <c r="O8035" s="65" t="str">
        <f>VLOOKUP(E8035,DATABASE!C:Q,8,false)</f>
        <v>BIAN</v>
      </c>
      <c r="P8035" s="65">
        <f>VLOOKUP(E8035,DATABASE!C:Q,9,False)</f>
        <v>1</v>
      </c>
      <c r="Q8035" s="93" t="str">
        <f>VLOOKUP(E8035,DATABASE!C:Q,4,false)</f>
        <v>Sailun</v>
      </c>
      <c r="R8035" s="93" t="str">
        <f>VLOOKUP(E8035,DATABASE!C:Q,11,false)</f>
        <v>Tire</v>
      </c>
    </row>
    <row r="8036" ht="22.5" customHeight="1">
      <c r="A8036" s="49"/>
      <c r="C8036" s="400">
        <v>46124.0</v>
      </c>
      <c r="D8036" s="69">
        <v>1020.0</v>
      </c>
      <c r="E8036" s="544" t="s">
        <v>569</v>
      </c>
      <c r="F8036" s="387">
        <v>1.0</v>
      </c>
      <c r="G8036" s="140">
        <v>80000.0</v>
      </c>
      <c r="H8036" s="74"/>
      <c r="I8036" s="74">
        <f t="shared" si="1"/>
        <v>80000</v>
      </c>
      <c r="J8036" s="74">
        <f>IF(E8036="SERVICE",I8036-(I8036*50%),Vlookup(E8036,DATABASE!C:Q,10,false)*F8036)</f>
        <v>0</v>
      </c>
      <c r="K8036" s="74">
        <f>VLOOKUP(E8036,DATABASE!C:Q,7,false)</f>
        <v>45439.582</v>
      </c>
      <c r="L8036" s="74">
        <v>45309.6</v>
      </c>
      <c r="M8036" s="74">
        <f t="shared" si="6"/>
        <v>50000</v>
      </c>
      <c r="N8036" s="74">
        <f t="shared" si="3"/>
        <v>30000</v>
      </c>
      <c r="O8036" s="65" t="str">
        <f>VLOOKUP(E8036,DATABASE!C:Q,8,false)</f>
        <v>BIAN</v>
      </c>
      <c r="P8036" s="65">
        <f>VLOOKUP(E8036,DATABASE!C:Q,9,False)</f>
        <v>1</v>
      </c>
      <c r="Q8036" s="93" t="str">
        <f>VLOOKUP(E8036,DATABASE!C:Q,4,false)</f>
        <v>BD</v>
      </c>
      <c r="R8036" s="93" t="str">
        <f>VLOOKUP(E8036,DATABASE!C:Q,11,false)</f>
        <v>Tire</v>
      </c>
    </row>
    <row r="8037" ht="22.5" customHeight="1">
      <c r="A8037" s="49"/>
      <c r="C8037" s="400">
        <v>46124.0</v>
      </c>
      <c r="D8037" s="69">
        <v>1021.0</v>
      </c>
      <c r="E8037" s="544" t="s">
        <v>1704</v>
      </c>
      <c r="F8037" s="387">
        <v>4.0</v>
      </c>
      <c r="G8037" s="140">
        <v>820000.0</v>
      </c>
      <c r="H8037" s="74"/>
      <c r="I8037" s="74">
        <f t="shared" si="1"/>
        <v>3280000</v>
      </c>
      <c r="J8037" s="74">
        <f>IF(E8037="SERVICE",I8037-(I8037*50%),Vlookup(E8037,DATABASE!C:Q,10,false)*F8037)</f>
        <v>0</v>
      </c>
      <c r="K8037" s="74">
        <f>VLOOKUP(E8037,DATABASE!C:Q,7,false)</f>
        <v>787500</v>
      </c>
      <c r="L8037" s="74">
        <v>711900.0</v>
      </c>
      <c r="M8037" s="74">
        <f t="shared" si="6"/>
        <v>715000</v>
      </c>
      <c r="N8037" s="74">
        <f t="shared" si="3"/>
        <v>420000</v>
      </c>
      <c r="O8037" s="65" t="str">
        <f>VLOOKUP(E8037,DATABASE!C:Q,8,false)</f>
        <v>BIAN</v>
      </c>
      <c r="P8037" s="65">
        <f>VLOOKUP(E8037,DATABASE!C:Q,9,False)</f>
        <v>1</v>
      </c>
      <c r="Q8037" s="93" t="str">
        <f>VLOOKUP(E8037,DATABASE!C:Q,4,false)</f>
        <v>GT</v>
      </c>
      <c r="R8037" s="93" t="str">
        <f>VLOOKUP(E8037,DATABASE!C:Q,11,false)</f>
        <v>Tire</v>
      </c>
    </row>
    <row r="8038" ht="22.5" customHeight="1">
      <c r="A8038" s="49"/>
      <c r="C8038" s="400">
        <v>46124.0</v>
      </c>
      <c r="D8038" s="69">
        <v>1021.0</v>
      </c>
      <c r="E8038" s="544" t="s">
        <v>299</v>
      </c>
      <c r="F8038" s="387">
        <v>2.0</v>
      </c>
      <c r="G8038" s="140">
        <v>30000.0</v>
      </c>
      <c r="H8038" s="74"/>
      <c r="I8038" s="74">
        <f t="shared" si="1"/>
        <v>60000</v>
      </c>
      <c r="J8038" s="74">
        <f>IF(E8038="SERVICE",I8038-(I8038*50%),Vlookup(E8038,DATABASE!C:Q,10,false)*F8038)</f>
        <v>0</v>
      </c>
      <c r="K8038" s="74">
        <f>VLOOKUP(E8038,DATABASE!C:Q,7,false)</f>
        <v>10000</v>
      </c>
      <c r="L8038" s="74">
        <v>10000.0</v>
      </c>
      <c r="M8038" s="74">
        <f t="shared" si="6"/>
        <v>10000</v>
      </c>
      <c r="N8038" s="74">
        <f t="shared" si="3"/>
        <v>40000</v>
      </c>
      <c r="O8038" s="65" t="str">
        <f>VLOOKUP(E8038,DATABASE!C:Q,8,false)</f>
        <v>BIAN</v>
      </c>
      <c r="P8038" s="65">
        <f>VLOOKUP(E8038,DATABASE!C:Q,9,False)</f>
        <v>0</v>
      </c>
      <c r="Q8038" s="93" t="str">
        <f>VLOOKUP(E8038,DATABASE!C:Q,4,false)</f>
        <v>Balancing</v>
      </c>
      <c r="R8038" s="93" t="str">
        <f>VLOOKUP(E8038,DATABASE!C:Q,11,false)</f>
        <v>COMPLEMENTARY</v>
      </c>
    </row>
    <row r="8039" ht="22.5" customHeight="1">
      <c r="A8039" s="49"/>
      <c r="C8039" s="400">
        <v>46124.0</v>
      </c>
      <c r="D8039" s="69">
        <v>1021.0</v>
      </c>
      <c r="E8039" s="544" t="s">
        <v>256</v>
      </c>
      <c r="F8039" s="387">
        <v>1.0</v>
      </c>
      <c r="G8039" s="140">
        <v>150000.0</v>
      </c>
      <c r="H8039" s="74"/>
      <c r="I8039" s="74">
        <f t="shared" si="1"/>
        <v>150000</v>
      </c>
      <c r="J8039" s="74">
        <f>IF(E8039="SERVICE",I8039-(I8039*50%),Vlookup(E8039,DATABASE!C:Q,10,false)*F8039)</f>
        <v>10000</v>
      </c>
      <c r="K8039" s="74">
        <f>VLOOKUP(E8039,DATABASE!C:Q,7,false)</f>
        <v>0</v>
      </c>
      <c r="L8039" s="74">
        <v>0.0</v>
      </c>
      <c r="M8039" s="74">
        <f t="shared" si="6"/>
        <v>0</v>
      </c>
      <c r="N8039" s="74">
        <f t="shared" si="3"/>
        <v>140000</v>
      </c>
      <c r="O8039" s="65" t="str">
        <f>VLOOKUP(E8039,DATABASE!C:Q,8,false)</f>
        <v>IBU</v>
      </c>
      <c r="P8039" s="65">
        <f>VLOOKUP(E8039,DATABASE!C:Q,9,False)</f>
        <v>0</v>
      </c>
      <c r="Q8039" s="93" t="str">
        <f>VLOOKUP(E8039,DATABASE!C:Q,4,false)</f>
        <v>SPOORING</v>
      </c>
      <c r="R8039" s="93" t="str">
        <f>VLOOKUP(E8039,DATABASE!C:Q,11,false)</f>
        <v>SERVICE</v>
      </c>
    </row>
    <row r="8040" ht="22.5" customHeight="1">
      <c r="A8040" s="49"/>
      <c r="C8040" s="400">
        <v>46124.0</v>
      </c>
      <c r="D8040" s="69">
        <v>1022.0</v>
      </c>
      <c r="E8040" s="544" t="s">
        <v>301</v>
      </c>
      <c r="F8040" s="387">
        <v>1.0</v>
      </c>
      <c r="G8040" s="140">
        <v>250000.0</v>
      </c>
      <c r="H8040" s="74"/>
      <c r="I8040" s="74">
        <f t="shared" si="1"/>
        <v>250000</v>
      </c>
      <c r="J8040" s="74">
        <f>IF(E8040="SERVICE",I8040-(I8040*50%),Vlookup(E8040,DATABASE!C:Q,10,false)*F8040)</f>
        <v>75000</v>
      </c>
      <c r="K8040" s="74">
        <f>VLOOKUP(E8040,DATABASE!C:Q,7,false)</f>
        <v>75000</v>
      </c>
      <c r="L8040" s="74">
        <v>75000.0</v>
      </c>
      <c r="M8040" s="74">
        <f t="shared" si="6"/>
        <v>75000</v>
      </c>
      <c r="N8040" s="74">
        <f t="shared" si="3"/>
        <v>100000</v>
      </c>
      <c r="O8040" s="65" t="str">
        <f>VLOOKUP(E8040,DATABASE!C:Q,8,false)</f>
        <v>BIAN</v>
      </c>
      <c r="P8040" s="65">
        <f>VLOOKUP(E8040,DATABASE!C:Q,9,False)</f>
        <v>0</v>
      </c>
      <c r="Q8040" s="93" t="str">
        <f>VLOOKUP(E8040,DATABASE!C:Q,4,false)</f>
        <v>Baut Camber</v>
      </c>
      <c r="R8040" s="93" t="str">
        <f>VLOOKUP(E8040,DATABASE!C:Q,11,false)</f>
        <v>COMPLEMENTARY</v>
      </c>
    </row>
    <row r="8041" ht="22.5" customHeight="1">
      <c r="A8041" s="49"/>
      <c r="C8041" s="400">
        <v>46124.0</v>
      </c>
      <c r="D8041" s="69">
        <v>1023.0</v>
      </c>
      <c r="E8041" s="544" t="s">
        <v>2140</v>
      </c>
      <c r="F8041" s="387">
        <v>2.0</v>
      </c>
      <c r="G8041" s="140">
        <v>35000.0</v>
      </c>
      <c r="H8041" s="74"/>
      <c r="I8041" s="74">
        <f t="shared" si="1"/>
        <v>70000</v>
      </c>
      <c r="J8041" s="74">
        <f>IF(E8041="SERVICE",I8041-(I8041*50%),Vlookup(E8041,DATABASE!C:Q,10,false)*F8041)</f>
        <v>0</v>
      </c>
      <c r="K8041" s="74">
        <f>VLOOKUP(E8041,DATABASE!C:Q,7,false)</f>
        <v>5000</v>
      </c>
      <c r="L8041" s="74">
        <v>0.0</v>
      </c>
      <c r="M8041" s="74">
        <f t="shared" si="6"/>
        <v>0</v>
      </c>
      <c r="N8041" s="74">
        <f t="shared" si="3"/>
        <v>70000</v>
      </c>
      <c r="O8041" s="65" t="str">
        <f>VLOOKUP(E8041,DATABASE!C:Q,8,false)</f>
        <v>IBU</v>
      </c>
      <c r="P8041" s="65">
        <f>VLOOKUP(E8041,DATABASE!C:Q,9,False)</f>
        <v>0</v>
      </c>
      <c r="Q8041" s="93" t="str">
        <f>VLOOKUP(E8041,DATABASE!C:Q,4,false)</f>
        <v>PENTIL + PASANG</v>
      </c>
      <c r="R8041" s="93" t="str">
        <f>VLOOKUP(E8041,DATABASE!C:Q,11,false)</f>
        <v>COMPLEMENTARY</v>
      </c>
    </row>
    <row r="8042" ht="22.5" customHeight="1">
      <c r="A8042" s="49"/>
      <c r="C8042" s="400">
        <v>46125.0</v>
      </c>
      <c r="D8042" s="524">
        <v>1024.0</v>
      </c>
      <c r="E8042" s="544" t="s">
        <v>1439</v>
      </c>
      <c r="F8042" s="387">
        <v>2.0</v>
      </c>
      <c r="G8042" s="140">
        <v>640000.0</v>
      </c>
      <c r="H8042" s="140">
        <v>10000.0</v>
      </c>
      <c r="I8042" s="74">
        <f t="shared" si="1"/>
        <v>1260000</v>
      </c>
      <c r="J8042" s="74">
        <f>IF(E8042="SERVICE",I8042-(I8042*50%),Vlookup(E8042,DATABASE!C:Q,10,false)*F8042)</f>
        <v>0</v>
      </c>
      <c r="K8042" s="74">
        <f>VLOOKUP(E8042,DATABASE!C:Q,7,false)</f>
        <v>556800</v>
      </c>
      <c r="L8042" s="74">
        <v>540800.0</v>
      </c>
      <c r="M8042" s="74">
        <f t="shared" si="6"/>
        <v>545000</v>
      </c>
      <c r="N8042" s="74">
        <f t="shared" si="3"/>
        <v>170000</v>
      </c>
      <c r="O8042" s="65" t="str">
        <f>VLOOKUP(E8042,DATABASE!C:Q,8,false)</f>
        <v>BIAN</v>
      </c>
      <c r="P8042" s="65">
        <f>VLOOKUP(E8042,DATABASE!C:Q,9,False)</f>
        <v>1</v>
      </c>
      <c r="Q8042" s="93" t="str">
        <f>VLOOKUP(E8042,DATABASE!C:Q,4,false)</f>
        <v>GT</v>
      </c>
      <c r="R8042" s="93" t="str">
        <f>VLOOKUP(E8042,DATABASE!C:Q,11,false)</f>
        <v>Tire</v>
      </c>
    </row>
    <row r="8043" ht="22.5" customHeight="1">
      <c r="A8043" s="49"/>
      <c r="C8043" s="400">
        <v>46125.0</v>
      </c>
      <c r="D8043" s="524">
        <v>1024.0</v>
      </c>
      <c r="E8043" s="544" t="s">
        <v>262</v>
      </c>
      <c r="F8043" s="387">
        <v>1.0</v>
      </c>
      <c r="G8043" s="140">
        <v>130000.0</v>
      </c>
      <c r="H8043" s="74"/>
      <c r="I8043" s="74">
        <f t="shared" si="1"/>
        <v>130000</v>
      </c>
      <c r="J8043" s="74">
        <f>IF(E8043="SERVICE",I8043-(I8043*50%),Vlookup(E8043,DATABASE!C:Q,10,false)*F8043)</f>
        <v>5000</v>
      </c>
      <c r="K8043" s="74">
        <f>VLOOKUP(E8043,DATABASE!C:Q,7,false)</f>
        <v>0</v>
      </c>
      <c r="L8043" s="74">
        <v>0.0</v>
      </c>
      <c r="M8043" s="74">
        <f t="shared" si="6"/>
        <v>0</v>
      </c>
      <c r="N8043" s="74">
        <f t="shared" si="3"/>
        <v>125000</v>
      </c>
      <c r="O8043" s="65" t="str">
        <f>VLOOKUP(E8043,DATABASE!C:Q,8,false)</f>
        <v>IBU</v>
      </c>
      <c r="P8043" s="65">
        <f>VLOOKUP(E8043,DATABASE!C:Q,9,False)</f>
        <v>0</v>
      </c>
      <c r="Q8043" s="93" t="str">
        <f>VLOOKUP(E8043,DATABASE!C:Q,4,false)</f>
        <v>SPOORING SS/CARRY LOS BAK</v>
      </c>
      <c r="R8043" s="93" t="str">
        <f>VLOOKUP(E8043,DATABASE!C:Q,11,false)</f>
        <v>SERVICE</v>
      </c>
    </row>
    <row r="8044" ht="22.5" customHeight="1">
      <c r="A8044" s="49"/>
      <c r="C8044" s="400">
        <v>46125.0</v>
      </c>
      <c r="D8044" s="524">
        <v>1024.0</v>
      </c>
      <c r="E8044" s="544" t="s">
        <v>478</v>
      </c>
      <c r="F8044" s="387">
        <v>1.0</v>
      </c>
      <c r="G8044" s="140">
        <v>200000.0</v>
      </c>
      <c r="H8044" s="74"/>
      <c r="I8044" s="74">
        <f t="shared" si="1"/>
        <v>200000</v>
      </c>
      <c r="J8044" s="74">
        <f>IF(E8044="SERVICE",I8044-(I8044*50%),Vlookup(E8044,DATABASE!C:Q,10,false)*F8044)</f>
        <v>25000</v>
      </c>
      <c r="K8044" s="74">
        <f>VLOOKUP(E8044,DATABASE!C:Q,7,false)</f>
        <v>75000</v>
      </c>
      <c r="L8044" s="74">
        <v>75000.0</v>
      </c>
      <c r="M8044" s="74">
        <f t="shared" si="6"/>
        <v>75000</v>
      </c>
      <c r="N8044" s="74">
        <f t="shared" si="3"/>
        <v>100000</v>
      </c>
      <c r="O8044" s="65" t="str">
        <f>VLOOKUP(E8044,DATABASE!C:Q,8,false)</f>
        <v>BIAN</v>
      </c>
      <c r="P8044" s="65">
        <f>VLOOKUP(E8044,DATABASE!C:Q,9,False)</f>
        <v>0</v>
      </c>
      <c r="Q8044" s="93" t="str">
        <f>VLOOKUP(E8044,DATABASE!C:Q,4,false)</f>
        <v>Baut Camber ss-carry</v>
      </c>
      <c r="R8044" s="93" t="str">
        <f>VLOOKUP(E8044,DATABASE!C:Q,11,false)</f>
        <v>COMPLEMENTARY</v>
      </c>
    </row>
    <row r="8045" ht="22.5" customHeight="1">
      <c r="A8045" s="49"/>
      <c r="C8045" s="400">
        <v>46125.0</v>
      </c>
      <c r="D8045" s="524">
        <v>1025.0</v>
      </c>
      <c r="E8045" s="544" t="s">
        <v>566</v>
      </c>
      <c r="F8045" s="387">
        <v>1.0</v>
      </c>
      <c r="G8045" s="140">
        <v>1670000.0</v>
      </c>
      <c r="H8045" s="140">
        <v>20000.0</v>
      </c>
      <c r="I8045" s="74">
        <f t="shared" si="1"/>
        <v>1650000</v>
      </c>
      <c r="J8045" s="74">
        <f>IF(E8045="SERVICE",I8045-(I8045*50%),Vlookup(E8045,DATABASE!C:Q,10,false)*F8045)</f>
        <v>0</v>
      </c>
      <c r="K8045" s="74">
        <f>VLOOKUP(E8045,DATABASE!C:Q,7,false)</f>
        <v>1565000</v>
      </c>
      <c r="L8045" s="74">
        <v>1545000.0</v>
      </c>
      <c r="M8045" s="74">
        <f t="shared" si="6"/>
        <v>1545000</v>
      </c>
      <c r="N8045" s="74">
        <f t="shared" si="3"/>
        <v>105000</v>
      </c>
      <c r="O8045" s="65" t="str">
        <f>VLOOKUP(E8045,DATABASE!C:Q,8,false)</f>
        <v>IBU</v>
      </c>
      <c r="P8045" s="65">
        <f>VLOOKUP(E8045,DATABASE!C:Q,9,False)</f>
        <v>1</v>
      </c>
      <c r="Q8045" s="93" t="str">
        <f>VLOOKUP(E8045,DATABASE!C:Q,4,false)</f>
        <v>Bridgestone</v>
      </c>
      <c r="R8045" s="93" t="str">
        <f>VLOOKUP(E8045,DATABASE!C:Q,11,false)</f>
        <v>Tire</v>
      </c>
    </row>
    <row r="8046" ht="22.5" customHeight="1">
      <c r="A8046" s="49"/>
      <c r="C8046" s="400">
        <v>46125.0</v>
      </c>
      <c r="D8046" s="69">
        <v>1026.0</v>
      </c>
      <c r="E8046" s="544" t="s">
        <v>256</v>
      </c>
      <c r="F8046" s="387">
        <v>1.0</v>
      </c>
      <c r="G8046" s="140">
        <v>150000.0</v>
      </c>
      <c r="H8046" s="74"/>
      <c r="I8046" s="74">
        <f t="shared" si="1"/>
        <v>150000</v>
      </c>
      <c r="J8046" s="74">
        <f>IF(E8046="SERVICE",I8046-(I8046*50%),Vlookup(E8046,DATABASE!C:Q,10,false)*F8046)</f>
        <v>10000</v>
      </c>
      <c r="K8046" s="74">
        <f>VLOOKUP(E8046,DATABASE!C:Q,7,false)</f>
        <v>0</v>
      </c>
      <c r="L8046" s="140">
        <v>0.0</v>
      </c>
      <c r="M8046" s="74">
        <f t="shared" si="6"/>
        <v>0</v>
      </c>
      <c r="N8046" s="74">
        <f t="shared" si="3"/>
        <v>140000</v>
      </c>
      <c r="O8046" s="65" t="str">
        <f>VLOOKUP(E8046,DATABASE!C:Q,8,false)</f>
        <v>IBU</v>
      </c>
      <c r="P8046" s="65">
        <f>VLOOKUP(E8046,DATABASE!C:Q,9,False)</f>
        <v>0</v>
      </c>
      <c r="Q8046" s="93" t="str">
        <f>VLOOKUP(E8046,DATABASE!C:Q,4,false)</f>
        <v>SPOORING</v>
      </c>
      <c r="R8046" s="93" t="str">
        <f>VLOOKUP(E8046,DATABASE!C:Q,11,false)</f>
        <v>SERVICE</v>
      </c>
    </row>
    <row r="8047" ht="22.5" customHeight="1">
      <c r="A8047" s="49"/>
      <c r="C8047" s="400">
        <v>46125.0</v>
      </c>
      <c r="D8047" s="524">
        <v>1027.0</v>
      </c>
      <c r="E8047" s="544" t="s">
        <v>262</v>
      </c>
      <c r="F8047" s="387">
        <v>1.0</v>
      </c>
      <c r="G8047" s="140">
        <v>130000.0</v>
      </c>
      <c r="H8047" s="74"/>
      <c r="I8047" s="74">
        <f t="shared" si="1"/>
        <v>130000</v>
      </c>
      <c r="J8047" s="74">
        <f>IF(E8047="SERVICE",I8047-(I8047*50%),Vlookup(E8047,DATABASE!C:Q,10,false)*F8047)</f>
        <v>5000</v>
      </c>
      <c r="K8047" s="74">
        <f>VLOOKUP(E8047,DATABASE!C:Q,7,false)</f>
        <v>0</v>
      </c>
      <c r="L8047" s="74">
        <v>0.0</v>
      </c>
      <c r="M8047" s="74">
        <f t="shared" si="6"/>
        <v>0</v>
      </c>
      <c r="N8047" s="74">
        <f t="shared" si="3"/>
        <v>125000</v>
      </c>
      <c r="O8047" s="65" t="str">
        <f>VLOOKUP(E8047,DATABASE!C:Q,8,false)</f>
        <v>IBU</v>
      </c>
      <c r="P8047" s="65">
        <f>VLOOKUP(E8047,DATABASE!C:Q,9,False)</f>
        <v>0</v>
      </c>
      <c r="Q8047" s="93" t="str">
        <f>VLOOKUP(E8047,DATABASE!C:Q,4,false)</f>
        <v>SPOORING SS/CARRY LOS BAK</v>
      </c>
      <c r="R8047" s="93" t="str">
        <f>VLOOKUP(E8047,DATABASE!C:Q,11,false)</f>
        <v>SERVICE</v>
      </c>
    </row>
    <row r="8048" ht="22.5" customHeight="1">
      <c r="A8048" s="49"/>
      <c r="C8048" s="400">
        <v>46125.0</v>
      </c>
      <c r="D8048" s="524">
        <v>1027.0</v>
      </c>
      <c r="E8048" s="544" t="s">
        <v>299</v>
      </c>
      <c r="F8048" s="387">
        <v>2.0</v>
      </c>
      <c r="G8048" s="140">
        <v>30000.0</v>
      </c>
      <c r="H8048" s="74"/>
      <c r="I8048" s="74">
        <f t="shared" si="1"/>
        <v>60000</v>
      </c>
      <c r="J8048" s="74">
        <f>IF(E8048="SERVICE",I8048-(I8048*50%),Vlookup(E8048,DATABASE!C:Q,10,false)*F8048)</f>
        <v>0</v>
      </c>
      <c r="K8048" s="74">
        <f>VLOOKUP(E8048,DATABASE!C:Q,7,false)</f>
        <v>10000</v>
      </c>
      <c r="L8048" s="74">
        <v>10000.0</v>
      </c>
      <c r="M8048" s="74">
        <f t="shared" si="6"/>
        <v>10000</v>
      </c>
      <c r="N8048" s="74">
        <f t="shared" si="3"/>
        <v>40000</v>
      </c>
      <c r="O8048" s="65" t="str">
        <f>VLOOKUP(E8048,DATABASE!C:Q,8,false)</f>
        <v>BIAN</v>
      </c>
      <c r="P8048" s="65">
        <f>VLOOKUP(E8048,DATABASE!C:Q,9,False)</f>
        <v>0</v>
      </c>
      <c r="Q8048" s="93" t="str">
        <f>VLOOKUP(E8048,DATABASE!C:Q,4,false)</f>
        <v>Balancing</v>
      </c>
      <c r="R8048" s="93" t="str">
        <f>VLOOKUP(E8048,DATABASE!C:Q,11,false)</f>
        <v>COMPLEMENTARY</v>
      </c>
    </row>
    <row r="8049" ht="22.5" customHeight="1">
      <c r="A8049" s="49"/>
      <c r="C8049" s="400">
        <v>46125.0</v>
      </c>
      <c r="D8049" s="524">
        <v>1027.0</v>
      </c>
      <c r="E8049" s="544" t="s">
        <v>478</v>
      </c>
      <c r="F8049" s="387">
        <v>1.0</v>
      </c>
      <c r="G8049" s="140">
        <v>200000.0</v>
      </c>
      <c r="H8049" s="74"/>
      <c r="I8049" s="74">
        <f t="shared" si="1"/>
        <v>200000</v>
      </c>
      <c r="J8049" s="74">
        <f>IF(E8049="SERVICE",I8049-(I8049*50%),Vlookup(E8049,DATABASE!C:Q,10,false)*F8049)</f>
        <v>25000</v>
      </c>
      <c r="K8049" s="74">
        <f>VLOOKUP(E8049,DATABASE!C:Q,7,false)</f>
        <v>75000</v>
      </c>
      <c r="L8049" s="74">
        <v>75000.0</v>
      </c>
      <c r="M8049" s="74">
        <f t="shared" si="6"/>
        <v>75000</v>
      </c>
      <c r="N8049" s="74">
        <f t="shared" si="3"/>
        <v>100000</v>
      </c>
      <c r="O8049" s="65" t="str">
        <f>VLOOKUP(E8049,DATABASE!C:Q,8,false)</f>
        <v>BIAN</v>
      </c>
      <c r="P8049" s="65">
        <f>VLOOKUP(E8049,DATABASE!C:Q,9,False)</f>
        <v>0</v>
      </c>
      <c r="Q8049" s="93" t="str">
        <f>VLOOKUP(E8049,DATABASE!C:Q,4,false)</f>
        <v>Baut Camber ss-carry</v>
      </c>
      <c r="R8049" s="93" t="str">
        <f>VLOOKUP(E8049,DATABASE!C:Q,11,false)</f>
        <v>COMPLEMENTARY</v>
      </c>
    </row>
    <row r="8050" ht="22.5" customHeight="1">
      <c r="A8050" s="49"/>
      <c r="C8050" s="400">
        <v>46125.0</v>
      </c>
      <c r="D8050" s="524">
        <v>1028.0</v>
      </c>
      <c r="E8050" s="544" t="s">
        <v>294</v>
      </c>
      <c r="F8050" s="387">
        <v>1.0</v>
      </c>
      <c r="G8050" s="140">
        <v>580000.0</v>
      </c>
      <c r="H8050" s="140">
        <v>5000.0</v>
      </c>
      <c r="I8050" s="74">
        <f t="shared" si="1"/>
        <v>575000</v>
      </c>
      <c r="J8050" s="74">
        <f>IF(E8050="SERVICE",I8050-(I8050*50%),Vlookup(E8050,DATABASE!C:Q,10,false)*F8050)</f>
        <v>0</v>
      </c>
      <c r="K8050" s="74">
        <f>VLOOKUP(E8050,DATABASE!C:Q,7,false)</f>
        <v>505000</v>
      </c>
      <c r="L8050" s="74">
        <v>490000.0</v>
      </c>
      <c r="M8050" s="74">
        <f t="shared" si="6"/>
        <v>490000</v>
      </c>
      <c r="N8050" s="74">
        <f t="shared" si="3"/>
        <v>85000</v>
      </c>
      <c r="O8050" s="65" t="str">
        <f>VLOOKUP(E8050,DATABASE!C:Q,8,false)</f>
        <v>BIAN</v>
      </c>
      <c r="P8050" s="65">
        <f>VLOOKUP(E8050,DATABASE!C:Q,9,False)</f>
        <v>1</v>
      </c>
      <c r="Q8050" s="93" t="str">
        <f>VLOOKUP(E8050,DATABASE!C:Q,4,false)</f>
        <v>GT</v>
      </c>
      <c r="R8050" s="93" t="str">
        <f>VLOOKUP(E8050,DATABASE!C:Q,11,false)</f>
        <v>Tire</v>
      </c>
    </row>
    <row r="8051" ht="22.5" customHeight="1">
      <c r="A8051" s="49"/>
      <c r="C8051" s="400">
        <v>46125.0</v>
      </c>
      <c r="D8051" s="524">
        <v>1029.0</v>
      </c>
      <c r="E8051" s="544" t="s">
        <v>256</v>
      </c>
      <c r="F8051" s="387">
        <v>1.0</v>
      </c>
      <c r="G8051" s="140">
        <v>175000.0</v>
      </c>
      <c r="H8051" s="140">
        <v>25000.0</v>
      </c>
      <c r="I8051" s="74">
        <f t="shared" si="1"/>
        <v>150000</v>
      </c>
      <c r="J8051" s="74">
        <f>IF(E8051="SERVICE",I8051-(I8051*50%),Vlookup(E8051,DATABASE!C:Q,10,false)*F8051)</f>
        <v>10000</v>
      </c>
      <c r="K8051" s="74">
        <f>VLOOKUP(E8051,DATABASE!C:Q,7,false)</f>
        <v>0</v>
      </c>
      <c r="L8051" s="74">
        <v>0.0</v>
      </c>
      <c r="M8051" s="74">
        <f t="shared" si="6"/>
        <v>0</v>
      </c>
      <c r="N8051" s="74">
        <f t="shared" si="3"/>
        <v>140000</v>
      </c>
      <c r="O8051" s="65" t="str">
        <f>VLOOKUP(E8051,DATABASE!C:Q,8,false)</f>
        <v>IBU</v>
      </c>
      <c r="P8051" s="65">
        <f>VLOOKUP(E8051,DATABASE!C:Q,9,False)</f>
        <v>0</v>
      </c>
      <c r="Q8051" s="93" t="str">
        <f>VLOOKUP(E8051,DATABASE!C:Q,4,false)</f>
        <v>SPOORING</v>
      </c>
      <c r="R8051" s="93" t="str">
        <f>VLOOKUP(E8051,DATABASE!C:Q,11,false)</f>
        <v>SERVICE</v>
      </c>
    </row>
    <row r="8052" ht="22.5" customHeight="1">
      <c r="A8052" s="49"/>
      <c r="C8052" s="400">
        <v>46125.0</v>
      </c>
      <c r="D8052" s="524">
        <v>1029.0</v>
      </c>
      <c r="E8052" s="544" t="s">
        <v>299</v>
      </c>
      <c r="F8052" s="387">
        <v>2.0</v>
      </c>
      <c r="G8052" s="140">
        <v>30000.0</v>
      </c>
      <c r="H8052" s="74"/>
      <c r="I8052" s="74">
        <f t="shared" si="1"/>
        <v>60000</v>
      </c>
      <c r="J8052" s="74">
        <f>IF(E8052="SERVICE",I8052-(I8052*50%),Vlookup(E8052,DATABASE!C:Q,10,false)*F8052)</f>
        <v>0</v>
      </c>
      <c r="K8052" s="74">
        <f>VLOOKUP(E8052,DATABASE!C:Q,7,false)</f>
        <v>10000</v>
      </c>
      <c r="L8052" s="74">
        <v>10000.0</v>
      </c>
      <c r="M8052" s="74">
        <f t="shared" si="6"/>
        <v>10000</v>
      </c>
      <c r="N8052" s="74">
        <f t="shared" si="3"/>
        <v>40000</v>
      </c>
      <c r="O8052" s="65" t="str">
        <f>VLOOKUP(E8052,DATABASE!C:Q,8,false)</f>
        <v>BIAN</v>
      </c>
      <c r="P8052" s="65">
        <f>VLOOKUP(E8052,DATABASE!C:Q,9,False)</f>
        <v>0</v>
      </c>
      <c r="Q8052" s="93" t="str">
        <f>VLOOKUP(E8052,DATABASE!C:Q,4,false)</f>
        <v>Balancing</v>
      </c>
      <c r="R8052" s="93" t="str">
        <f>VLOOKUP(E8052,DATABASE!C:Q,11,false)</f>
        <v>COMPLEMENTARY</v>
      </c>
    </row>
    <row r="8053" ht="22.5" customHeight="1">
      <c r="A8053" s="49"/>
      <c r="C8053" s="400">
        <v>46125.0</v>
      </c>
      <c r="D8053" s="524">
        <v>1029.0</v>
      </c>
      <c r="E8053" s="544" t="s">
        <v>251</v>
      </c>
      <c r="F8053" s="387">
        <v>1.0</v>
      </c>
      <c r="G8053" s="140">
        <v>350000.0</v>
      </c>
      <c r="H8053" s="140">
        <v>200000.0</v>
      </c>
      <c r="I8053" s="74">
        <f t="shared" si="1"/>
        <v>150000</v>
      </c>
      <c r="J8053" s="74">
        <f>IF(E8053="SERVICE",I8053-(I8053*50%),Vlookup(E8053,DATABASE!C:Q,10,false)*F8053)</f>
        <v>75000</v>
      </c>
      <c r="K8053" s="74">
        <f>VLOOKUP(E8053,DATABASE!C:Q,7,false)</f>
        <v>0</v>
      </c>
      <c r="L8053" s="74">
        <v>0.0</v>
      </c>
      <c r="M8053" s="74">
        <f t="shared" si="6"/>
        <v>0</v>
      </c>
      <c r="N8053" s="74">
        <f t="shared" si="3"/>
        <v>75000</v>
      </c>
      <c r="O8053" s="65" t="str">
        <f>VLOOKUP(E8053,DATABASE!C:Q,8,false)</f>
        <v>IBU</v>
      </c>
      <c r="P8053" s="65">
        <f>VLOOKUP(E8053,DATABASE!C:Q,9,False)</f>
        <v>0</v>
      </c>
      <c r="Q8053" s="93" t="str">
        <f>VLOOKUP(E8053,DATABASE!C:Q,4,false)</f>
        <v>SERVICE</v>
      </c>
      <c r="R8053" s="93" t="str">
        <f>VLOOKUP(E8053,DATABASE!C:Q,11,false)</f>
        <v>SERVICE</v>
      </c>
    </row>
    <row r="8054" ht="22.5" customHeight="1">
      <c r="A8054" s="49"/>
      <c r="C8054" s="400">
        <v>46125.0</v>
      </c>
      <c r="D8054" s="524">
        <v>1030.0</v>
      </c>
      <c r="E8054" s="544" t="s">
        <v>294</v>
      </c>
      <c r="F8054" s="387">
        <v>1.0</v>
      </c>
      <c r="G8054" s="140">
        <v>580000.0</v>
      </c>
      <c r="H8054" s="140">
        <v>5000.0</v>
      </c>
      <c r="I8054" s="74">
        <f t="shared" si="1"/>
        <v>575000</v>
      </c>
      <c r="J8054" s="74">
        <f>IF(E8054="SERVICE",I8054-(I8054*50%),Vlookup(E8054,DATABASE!C:Q,10,false)*F8054)</f>
        <v>0</v>
      </c>
      <c r="K8054" s="74">
        <f>VLOOKUP(E8054,DATABASE!C:Q,7,false)</f>
        <v>505000</v>
      </c>
      <c r="L8054" s="74">
        <v>490000.0</v>
      </c>
      <c r="M8054" s="74">
        <f t="shared" si="6"/>
        <v>490000</v>
      </c>
      <c r="N8054" s="74">
        <f t="shared" si="3"/>
        <v>85000</v>
      </c>
      <c r="O8054" s="65" t="str">
        <f>VLOOKUP(E8054,DATABASE!C:Q,8,false)</f>
        <v>BIAN</v>
      </c>
      <c r="P8054" s="65">
        <f>VLOOKUP(E8054,DATABASE!C:Q,9,False)</f>
        <v>1</v>
      </c>
      <c r="Q8054" s="93" t="str">
        <f>VLOOKUP(E8054,DATABASE!C:Q,4,false)</f>
        <v>GT</v>
      </c>
      <c r="R8054" s="93" t="str">
        <f>VLOOKUP(E8054,DATABASE!C:Q,11,false)</f>
        <v>Tire</v>
      </c>
    </row>
    <row r="8055" ht="22.5" customHeight="1">
      <c r="A8055" s="49"/>
      <c r="C8055" s="400">
        <v>46125.0</v>
      </c>
      <c r="D8055" s="524">
        <v>1031.0</v>
      </c>
      <c r="E8055" s="544" t="s">
        <v>1555</v>
      </c>
      <c r="F8055" s="387">
        <v>2.0</v>
      </c>
      <c r="G8055" s="140">
        <v>1025000.0</v>
      </c>
      <c r="H8055" s="74"/>
      <c r="I8055" s="74">
        <f t="shared" si="1"/>
        <v>2050000</v>
      </c>
      <c r="J8055" s="74">
        <f>IF(E8055="SERVICE",I8055-(I8055*50%),Vlookup(E8055,DATABASE!C:Q,10,false)*F8055)</f>
        <v>0</v>
      </c>
      <c r="K8055" s="74">
        <f>VLOOKUP(E8055,DATABASE!C:Q,7,false)</f>
        <v>921750</v>
      </c>
      <c r="L8055" s="74">
        <v>921750.0</v>
      </c>
      <c r="M8055" s="74">
        <f t="shared" si="6"/>
        <v>925000</v>
      </c>
      <c r="N8055" s="74">
        <f t="shared" si="3"/>
        <v>200000</v>
      </c>
      <c r="O8055" s="65" t="str">
        <f>VLOOKUP(E8055,DATABASE!C:Q,8,false)</f>
        <v>IBU</v>
      </c>
      <c r="P8055" s="65">
        <f>VLOOKUP(E8055,DATABASE!C:Q,9,False)</f>
        <v>1</v>
      </c>
      <c r="Q8055" s="93" t="str">
        <f>VLOOKUP(E8055,DATABASE!C:Q,4,false)</f>
        <v>Dunlop</v>
      </c>
      <c r="R8055" s="93" t="str">
        <f>VLOOKUP(E8055,DATABASE!C:Q,11,false)</f>
        <v>Tire</v>
      </c>
    </row>
    <row r="8056" ht="22.5" customHeight="1">
      <c r="A8056" s="49"/>
      <c r="C8056" s="400">
        <v>46125.0</v>
      </c>
      <c r="D8056" s="524">
        <v>1031.0</v>
      </c>
      <c r="E8056" s="544" t="s">
        <v>263</v>
      </c>
      <c r="F8056" s="387">
        <v>1.0</v>
      </c>
      <c r="G8056" s="140">
        <v>345000.0</v>
      </c>
      <c r="H8056" s="74"/>
      <c r="I8056" s="74">
        <f t="shared" si="1"/>
        <v>345000</v>
      </c>
      <c r="J8056" s="74">
        <f>IF(E8056="SERVICE",I8056-(I8056*50%),Vlookup(E8056,DATABASE!C:Q,10,false)*F8056)</f>
        <v>0</v>
      </c>
      <c r="K8056" s="74">
        <f>VLOOKUP(E8056,DATABASE!C:Q,7,false)</f>
        <v>334916</v>
      </c>
      <c r="L8056" s="74">
        <v>292600.0</v>
      </c>
      <c r="M8056" s="74">
        <f t="shared" si="6"/>
        <v>295000</v>
      </c>
      <c r="N8056" s="74">
        <f t="shared" si="3"/>
        <v>50000</v>
      </c>
      <c r="O8056" s="65" t="str">
        <f>VLOOKUP(E8056,DATABASE!C:Q,8,false)</f>
        <v>NON</v>
      </c>
      <c r="P8056" s="65">
        <f>VLOOKUP(E8056,DATABASE!C:Q,9,False)</f>
        <v>0</v>
      </c>
      <c r="Q8056" s="93" t="str">
        <f>VLOOKUP(E8056,DATABASE!C:Q,4,false)</f>
        <v>Shell</v>
      </c>
      <c r="R8056" s="93" t="str">
        <f>VLOOKUP(E8056,DATABASE!C:Q,11,false)</f>
        <v>OIL</v>
      </c>
    </row>
    <row r="8057" ht="22.5" customHeight="1">
      <c r="A8057" s="49"/>
      <c r="C8057" s="400">
        <v>46125.0</v>
      </c>
      <c r="D8057" s="524">
        <v>1032.0</v>
      </c>
      <c r="E8057" s="544" t="s">
        <v>268</v>
      </c>
      <c r="F8057" s="387">
        <v>1.0</v>
      </c>
      <c r="G8057" s="140">
        <v>710000.0</v>
      </c>
      <c r="H8057" s="74"/>
      <c r="I8057" s="74">
        <f t="shared" si="1"/>
        <v>710000</v>
      </c>
      <c r="J8057" s="74">
        <f>IF(E8057="SERVICE",I8057-(I8057*50%),Vlookup(E8057,DATABASE!C:Q,10,false)*F8057)</f>
        <v>0</v>
      </c>
      <c r="K8057" s="74">
        <f>VLOOKUP(E8057,DATABASE!C:Q,7,false)</f>
        <v>653000</v>
      </c>
      <c r="L8057" s="74">
        <v>622000.0</v>
      </c>
      <c r="M8057" s="74">
        <f t="shared" si="6"/>
        <v>625000</v>
      </c>
      <c r="N8057" s="74">
        <f t="shared" si="3"/>
        <v>85000</v>
      </c>
      <c r="O8057" s="65" t="str">
        <f>VLOOKUP(E8057,DATABASE!C:Q,8,false)</f>
        <v>IBU</v>
      </c>
      <c r="P8057" s="65">
        <f>VLOOKUP(E8057,DATABASE!C:Q,9,False)</f>
        <v>1</v>
      </c>
      <c r="Q8057" s="93" t="str">
        <f>VLOOKUP(E8057,DATABASE!C:Q,4,false)</f>
        <v>Dunlop</v>
      </c>
      <c r="R8057" s="93" t="str">
        <f>VLOOKUP(E8057,DATABASE!C:Q,11,false)</f>
        <v>Tire</v>
      </c>
    </row>
    <row r="8058" ht="22.5" customHeight="1">
      <c r="A8058" s="49"/>
      <c r="C8058" s="400">
        <v>46125.0</v>
      </c>
      <c r="D8058" s="69">
        <v>1033.0</v>
      </c>
      <c r="E8058" s="544" t="s">
        <v>566</v>
      </c>
      <c r="F8058" s="387">
        <v>1.0</v>
      </c>
      <c r="G8058" s="140">
        <v>1650000.0</v>
      </c>
      <c r="H8058" s="74"/>
      <c r="I8058" s="74">
        <f t="shared" si="1"/>
        <v>1650000</v>
      </c>
      <c r="J8058" s="74">
        <f>IF(E8058="SERVICE",I8058-(I8058*50%),Vlookup(E8058,DATABASE!C:Q,10,false)*F8058)</f>
        <v>0</v>
      </c>
      <c r="K8058" s="74">
        <f>VLOOKUP(E8058,DATABASE!C:Q,7,false)</f>
        <v>1565000</v>
      </c>
      <c r="L8058" s="74">
        <v>1545000.0</v>
      </c>
      <c r="M8058" s="74">
        <f t="shared" si="6"/>
        <v>1545000</v>
      </c>
      <c r="N8058" s="74">
        <f t="shared" si="3"/>
        <v>105000</v>
      </c>
      <c r="O8058" s="65" t="str">
        <f>VLOOKUP(E8058,DATABASE!C:Q,8,false)</f>
        <v>IBU</v>
      </c>
      <c r="P8058" s="65">
        <f>VLOOKUP(E8058,DATABASE!C:Q,9,False)</f>
        <v>1</v>
      </c>
      <c r="Q8058" s="93" t="str">
        <f>VLOOKUP(E8058,DATABASE!C:Q,4,false)</f>
        <v>Bridgestone</v>
      </c>
      <c r="R8058" s="93" t="str">
        <f>VLOOKUP(E8058,DATABASE!C:Q,11,false)</f>
        <v>Tire</v>
      </c>
    </row>
    <row r="8059" ht="22.5" customHeight="1">
      <c r="A8059" s="49"/>
      <c r="C8059" s="400">
        <v>46125.0</v>
      </c>
      <c r="D8059" s="69">
        <v>1033.0</v>
      </c>
      <c r="E8059" s="544" t="s">
        <v>744</v>
      </c>
      <c r="F8059" s="387">
        <v>1.0</v>
      </c>
      <c r="G8059" s="140">
        <v>230000.0</v>
      </c>
      <c r="H8059" s="74"/>
      <c r="I8059" s="74">
        <f t="shared" si="1"/>
        <v>230000</v>
      </c>
      <c r="J8059" s="74">
        <f>IF(E8059="SERVICE",I8059-(I8059*50%),Vlookup(E8059,DATABASE!C:Q,10,false)*F8059)</f>
        <v>0</v>
      </c>
      <c r="K8059" s="74">
        <f>VLOOKUP(E8059,DATABASE!C:Q,7,false)</f>
        <v>182200</v>
      </c>
      <c r="L8059" s="74">
        <v>199920.0</v>
      </c>
      <c r="M8059" s="74">
        <f t="shared" si="6"/>
        <v>200000</v>
      </c>
      <c r="N8059" s="74">
        <f t="shared" si="3"/>
        <v>30000</v>
      </c>
      <c r="O8059" s="65" t="str">
        <f>VLOOKUP(E8059,DATABASE!C:Q,8,false)</f>
        <v>BIAN</v>
      </c>
      <c r="P8059" s="65">
        <f>VLOOKUP(E8059,DATABASE!C:Q,9,False)</f>
        <v>1</v>
      </c>
      <c r="Q8059" s="93" t="str">
        <f>VLOOKUP(E8059,DATABASE!C:Q,4,false)</f>
        <v>BD</v>
      </c>
      <c r="R8059" s="93" t="str">
        <f>VLOOKUP(E8059,DATABASE!C:Q,11,false)</f>
        <v>Tire</v>
      </c>
    </row>
    <row r="8060" ht="22.5" customHeight="1">
      <c r="A8060" s="49"/>
      <c r="C8060" s="400">
        <v>46125.0</v>
      </c>
      <c r="D8060" s="69">
        <v>1033.0</v>
      </c>
      <c r="E8060" s="544" t="s">
        <v>821</v>
      </c>
      <c r="F8060" s="387">
        <v>1.0</v>
      </c>
      <c r="G8060" s="140">
        <v>90000.0</v>
      </c>
      <c r="H8060" s="74"/>
      <c r="I8060" s="74">
        <f t="shared" si="1"/>
        <v>90000</v>
      </c>
      <c r="J8060" s="74">
        <f>IF(E8060="SERVICE",I8060-(I8060*50%),Vlookup(E8060,DATABASE!C:Q,10,false)*F8060)</f>
        <v>0</v>
      </c>
      <c r="K8060" s="74">
        <f>VLOOKUP(E8060,DATABASE!C:Q,7,false)</f>
        <v>43500</v>
      </c>
      <c r="L8060" s="74">
        <v>43520.0</v>
      </c>
      <c r="M8060" s="74">
        <f t="shared" si="6"/>
        <v>45000</v>
      </c>
      <c r="N8060" s="74">
        <f t="shared" si="3"/>
        <v>45000</v>
      </c>
      <c r="O8060" s="65" t="str">
        <f>VLOOKUP(E8060,DATABASE!C:Q,8,false)</f>
        <v>BIAN</v>
      </c>
      <c r="P8060" s="65">
        <f>VLOOKUP(E8060,DATABASE!C:Q,9,False)</f>
        <v>1</v>
      </c>
      <c r="Q8060" s="93" t="str">
        <f>VLOOKUP(E8060,DATABASE!C:Q,4,false)</f>
        <v>Flap</v>
      </c>
      <c r="R8060" s="93" t="str">
        <f>VLOOKUP(E8060,DATABASE!C:Q,11,false)</f>
        <v>Tire</v>
      </c>
    </row>
    <row r="8061" ht="22.5" customHeight="1">
      <c r="A8061" s="49"/>
      <c r="C8061" s="400">
        <v>46125.0</v>
      </c>
      <c r="D8061" s="69">
        <v>1034.0</v>
      </c>
      <c r="E8061" s="544" t="s">
        <v>250</v>
      </c>
      <c r="F8061" s="387">
        <v>1.0</v>
      </c>
      <c r="G8061" s="140">
        <v>135000.0</v>
      </c>
      <c r="H8061" s="74"/>
      <c r="I8061" s="74">
        <f t="shared" si="1"/>
        <v>135000</v>
      </c>
      <c r="J8061" s="74">
        <f>IF(E8061="SERVICE",I8061-(I8061*50%),Vlookup(E8061,DATABASE!C:Q,10,false)*F8061)</f>
        <v>0</v>
      </c>
      <c r="K8061" s="74">
        <f>VLOOKUP(E8061,DATABASE!C:Q,7,false)</f>
        <v>102000</v>
      </c>
      <c r="L8061" s="74">
        <v>102000.0</v>
      </c>
      <c r="M8061" s="74">
        <f t="shared" si="6"/>
        <v>105000</v>
      </c>
      <c r="N8061" s="74">
        <f t="shared" si="3"/>
        <v>30000</v>
      </c>
      <c r="O8061" s="65" t="str">
        <f>VLOOKUP(E8061,DATABASE!C:Q,8,false)</f>
        <v>BIAN</v>
      </c>
      <c r="P8061" s="65">
        <f>VLOOKUP(E8061,DATABASE!C:Q,9,False)</f>
        <v>1</v>
      </c>
      <c r="Q8061" s="93" t="str">
        <f>VLOOKUP(E8061,DATABASE!C:Q,4,false)</f>
        <v>BD</v>
      </c>
      <c r="R8061" s="93" t="str">
        <f>VLOOKUP(E8061,DATABASE!C:Q,11,false)</f>
        <v>Tire</v>
      </c>
    </row>
    <row r="8062" ht="22.5" customHeight="1">
      <c r="A8062" s="49"/>
      <c r="C8062" s="400">
        <v>46125.0</v>
      </c>
      <c r="D8062" s="524">
        <v>1035.0</v>
      </c>
      <c r="E8062" s="544" t="s">
        <v>1112</v>
      </c>
      <c r="F8062" s="387">
        <v>1.0</v>
      </c>
      <c r="G8062" s="140">
        <v>1085000.0</v>
      </c>
      <c r="H8062" s="140">
        <v>5000.0</v>
      </c>
      <c r="I8062" s="74">
        <f t="shared" si="1"/>
        <v>1080000</v>
      </c>
      <c r="J8062" s="74">
        <f>IF(E8062="SERVICE",I8062-(I8062*50%),Vlookup(E8062,DATABASE!C:Q,10,false)*F8062)</f>
        <v>0</v>
      </c>
      <c r="K8062" s="74">
        <f>VLOOKUP(E8062,DATABASE!C:Q,7,false)</f>
        <v>980542.4</v>
      </c>
      <c r="L8062" s="74">
        <v>980542.4</v>
      </c>
      <c r="M8062" s="74">
        <f t="shared" si="6"/>
        <v>985000</v>
      </c>
      <c r="N8062" s="74">
        <f t="shared" si="3"/>
        <v>95000</v>
      </c>
      <c r="O8062" s="65" t="str">
        <f>VLOOKUP(E8062,DATABASE!C:Q,8,false)</f>
        <v>IBU</v>
      </c>
      <c r="P8062" s="65">
        <f>VLOOKUP(E8062,DATABASE!C:Q,9,False)</f>
        <v>1</v>
      </c>
      <c r="Q8062" s="93" t="str">
        <f>VLOOKUP(E8062,DATABASE!C:Q,4,false)</f>
        <v>Bridgestone</v>
      </c>
      <c r="R8062" s="93" t="str">
        <f>VLOOKUP(E8062,DATABASE!C:Q,11,false)</f>
        <v>Tire</v>
      </c>
    </row>
    <row r="8063" ht="22.5" customHeight="1">
      <c r="A8063" s="49"/>
      <c r="C8063" s="400">
        <v>46125.0</v>
      </c>
      <c r="D8063" s="524">
        <v>1035.0</v>
      </c>
      <c r="E8063" s="544" t="s">
        <v>262</v>
      </c>
      <c r="F8063" s="387">
        <v>1.0</v>
      </c>
      <c r="G8063" s="140">
        <v>130000.0</v>
      </c>
      <c r="H8063" s="74"/>
      <c r="I8063" s="74">
        <f t="shared" si="1"/>
        <v>130000</v>
      </c>
      <c r="J8063" s="74">
        <f>IF(E8063="SERVICE",I8063-(I8063*50%),Vlookup(E8063,DATABASE!C:Q,10,false)*F8063)</f>
        <v>5000</v>
      </c>
      <c r="K8063" s="74">
        <f>VLOOKUP(E8063,DATABASE!C:Q,7,false)</f>
        <v>0</v>
      </c>
      <c r="L8063" s="74">
        <v>0.0</v>
      </c>
      <c r="M8063" s="74">
        <f t="shared" si="6"/>
        <v>0</v>
      </c>
      <c r="N8063" s="74">
        <f t="shared" si="3"/>
        <v>125000</v>
      </c>
      <c r="O8063" s="65" t="str">
        <f>VLOOKUP(E8063,DATABASE!C:Q,8,false)</f>
        <v>IBU</v>
      </c>
      <c r="P8063" s="65">
        <f>VLOOKUP(E8063,DATABASE!C:Q,9,False)</f>
        <v>0</v>
      </c>
      <c r="Q8063" s="93" t="str">
        <f>VLOOKUP(E8063,DATABASE!C:Q,4,false)</f>
        <v>SPOORING SS/CARRY LOS BAK</v>
      </c>
      <c r="R8063" s="93" t="str">
        <f>VLOOKUP(E8063,DATABASE!C:Q,11,false)</f>
        <v>SERVICE</v>
      </c>
    </row>
    <row r="8064" ht="22.5" customHeight="1">
      <c r="A8064" s="49"/>
      <c r="C8064" s="400">
        <v>46125.0</v>
      </c>
      <c r="D8064" s="524">
        <v>1035.0</v>
      </c>
      <c r="E8064" s="544" t="s">
        <v>251</v>
      </c>
      <c r="F8064" s="387">
        <v>1.0</v>
      </c>
      <c r="G8064" s="140">
        <v>350000.0</v>
      </c>
      <c r="H8064" s="140">
        <v>200000.0</v>
      </c>
      <c r="I8064" s="74">
        <f t="shared" si="1"/>
        <v>150000</v>
      </c>
      <c r="J8064" s="74">
        <f>IF(E8064="SERVICE",I8064-(I8064*50%),Vlookup(E8064,DATABASE!C:Q,10,false)*F8064)</f>
        <v>75000</v>
      </c>
      <c r="K8064" s="74">
        <f>VLOOKUP(E8064,DATABASE!C:Q,7,false)</f>
        <v>0</v>
      </c>
      <c r="L8064" s="74">
        <v>0.0</v>
      </c>
      <c r="M8064" s="74">
        <f t="shared" si="6"/>
        <v>0</v>
      </c>
      <c r="N8064" s="74">
        <f t="shared" si="3"/>
        <v>75000</v>
      </c>
      <c r="O8064" s="65" t="str">
        <f>VLOOKUP(E8064,DATABASE!C:Q,8,false)</f>
        <v>IBU</v>
      </c>
      <c r="P8064" s="65">
        <f>VLOOKUP(E8064,DATABASE!C:Q,9,False)</f>
        <v>0</v>
      </c>
      <c r="Q8064" s="93" t="str">
        <f>VLOOKUP(E8064,DATABASE!C:Q,4,false)</f>
        <v>SERVICE</v>
      </c>
      <c r="R8064" s="93" t="str">
        <f>VLOOKUP(E8064,DATABASE!C:Q,11,false)</f>
        <v>SERVICE</v>
      </c>
    </row>
    <row r="8065" ht="22.5" customHeight="1">
      <c r="A8065" s="49"/>
      <c r="C8065" s="400">
        <v>46125.0</v>
      </c>
      <c r="D8065" s="69">
        <v>1035.0</v>
      </c>
      <c r="E8065" s="544" t="s">
        <v>248</v>
      </c>
      <c r="F8065" s="387">
        <v>1.0</v>
      </c>
      <c r="G8065" s="140">
        <v>190000.0</v>
      </c>
      <c r="H8065" s="74"/>
      <c r="I8065" s="74">
        <f t="shared" si="1"/>
        <v>190000</v>
      </c>
      <c r="J8065" s="74">
        <f>IF(E8065="SERVICE",I8065-(I8065*50%),Vlookup(E8065,DATABASE!C:Q,10,false)*F8065)</f>
        <v>0</v>
      </c>
      <c r="K8065" s="74">
        <f>VLOOKUP(E8065,DATABASE!C:Q,7,false)</f>
        <v>209816.66</v>
      </c>
      <c r="L8065" s="74">
        <v>160833.0</v>
      </c>
      <c r="M8065" s="74">
        <f t="shared" si="6"/>
        <v>165000</v>
      </c>
      <c r="N8065" s="74">
        <f t="shared" si="3"/>
        <v>25000</v>
      </c>
      <c r="O8065" s="65" t="str">
        <f>VLOOKUP(E8065,DATABASE!C:Q,8,false)</f>
        <v>NON</v>
      </c>
      <c r="P8065" s="65">
        <f>VLOOKUP(E8065,DATABASE!C:Q,9,False)</f>
        <v>0</v>
      </c>
      <c r="Q8065" s="93" t="str">
        <f>VLOOKUP(E8065,DATABASE!C:Q,4,false)</f>
        <v>Pertamina</v>
      </c>
      <c r="R8065" s="93" t="str">
        <f>VLOOKUP(E8065,DATABASE!C:Q,11,false)</f>
        <v>OIL</v>
      </c>
    </row>
    <row r="8066" ht="22.5" customHeight="1">
      <c r="A8066" s="49"/>
      <c r="C8066" s="400">
        <v>46125.0</v>
      </c>
      <c r="D8066" s="524">
        <v>1035.0</v>
      </c>
      <c r="E8066" s="544" t="s">
        <v>298</v>
      </c>
      <c r="F8066" s="387">
        <v>1.0</v>
      </c>
      <c r="G8066" s="140">
        <v>25000.0</v>
      </c>
      <c r="H8066" s="74"/>
      <c r="I8066" s="74">
        <f t="shared" si="1"/>
        <v>25000</v>
      </c>
      <c r="J8066" s="74">
        <f>IF(E8066="SERVICE",I8066-(I8066*50%),Vlookup(E8066,DATABASE!C:Q,10,false)*F8066)</f>
        <v>0</v>
      </c>
      <c r="K8066" s="74">
        <f>VLOOKUP(E8066,DATABASE!C:Q,7,false)</f>
        <v>19200</v>
      </c>
      <c r="L8066" s="74">
        <v>19200.0</v>
      </c>
      <c r="M8066" s="74">
        <f t="shared" si="6"/>
        <v>20000</v>
      </c>
      <c r="N8066" s="74">
        <f t="shared" si="3"/>
        <v>5000</v>
      </c>
      <c r="O8066" s="65" t="str">
        <f>VLOOKUP(E8066,DATABASE!C:Q,8,false)</f>
        <v>BIAN</v>
      </c>
      <c r="P8066" s="65">
        <f>VLOOKUP(E8066,DATABASE!C:Q,9,False)</f>
        <v>0</v>
      </c>
      <c r="Q8066" s="93" t="str">
        <f>VLOOKUP(E8066,DATABASE!C:Q,4,false)</f>
        <v>Aspira</v>
      </c>
      <c r="R8066" s="93" t="str">
        <f>VLOOKUP(E8066,DATABASE!C:Q,11,false)</f>
        <v>COMPLEMENTARY</v>
      </c>
    </row>
    <row r="8067" ht="22.5" customHeight="1">
      <c r="A8067" s="49"/>
      <c r="C8067" s="400">
        <v>46126.0</v>
      </c>
      <c r="D8067" s="524">
        <v>1036.0</v>
      </c>
      <c r="E8067" s="544" t="s">
        <v>292</v>
      </c>
      <c r="F8067" s="387">
        <v>1.0</v>
      </c>
      <c r="G8067" s="140">
        <v>430000.0</v>
      </c>
      <c r="H8067" s="140">
        <v>30000.0</v>
      </c>
      <c r="I8067" s="74">
        <f t="shared" si="1"/>
        <v>400000</v>
      </c>
      <c r="J8067" s="74">
        <f>IF(E8067="SERVICE",I8067-(I8067*50%),Vlookup(E8067,DATABASE!C:Q,10,false)*F8067)</f>
        <v>0</v>
      </c>
      <c r="K8067" s="74">
        <f>VLOOKUP(E8067,DATABASE!C:Q,7,false)</f>
        <v>326700</v>
      </c>
      <c r="L8067" s="74">
        <v>326700.0</v>
      </c>
      <c r="M8067" s="74">
        <f t="shared" si="6"/>
        <v>330000</v>
      </c>
      <c r="N8067" s="74">
        <f t="shared" si="3"/>
        <v>70000</v>
      </c>
      <c r="O8067" s="65" t="str">
        <f>VLOOKUP(E8067,DATABASE!C:Q,8,false)</f>
        <v>BIAN</v>
      </c>
      <c r="P8067" s="65">
        <f>VLOOKUP(E8067,DATABASE!C:Q,9,False)</f>
        <v>1</v>
      </c>
      <c r="Q8067" s="93" t="str">
        <f>VLOOKUP(E8067,DATABASE!C:Q,4,false)</f>
        <v>GT</v>
      </c>
      <c r="R8067" s="93" t="str">
        <f>VLOOKUP(E8067,DATABASE!C:Q,11,false)</f>
        <v>Tire</v>
      </c>
    </row>
    <row r="8068" ht="22.5" customHeight="1">
      <c r="A8068" s="49"/>
      <c r="C8068" s="400">
        <v>46126.0</v>
      </c>
      <c r="D8068" s="524">
        <v>1036.0</v>
      </c>
      <c r="E8068" s="544" t="s">
        <v>531</v>
      </c>
      <c r="F8068" s="387">
        <v>1.0</v>
      </c>
      <c r="G8068" s="140">
        <v>100000.0</v>
      </c>
      <c r="H8068" s="140">
        <v>30000.0</v>
      </c>
      <c r="I8068" s="74">
        <f t="shared" si="1"/>
        <v>70000</v>
      </c>
      <c r="J8068" s="74">
        <f>IF(E8068="SERVICE",I8068-(I8068*50%),Vlookup(E8068,DATABASE!C:Q,10,false)*F8068)</f>
        <v>0</v>
      </c>
      <c r="K8068" s="74">
        <f>VLOOKUP(E8068,DATABASE!C:Q,7,false)</f>
        <v>47000</v>
      </c>
      <c r="L8068" s="74">
        <v>47000.0</v>
      </c>
      <c r="M8068" s="74">
        <f t="shared" si="6"/>
        <v>50000</v>
      </c>
      <c r="N8068" s="74">
        <f t="shared" si="3"/>
        <v>20000</v>
      </c>
      <c r="O8068" s="65" t="str">
        <f>VLOOKUP(E8068,DATABASE!C:Q,8,false)</f>
        <v>BIAN</v>
      </c>
      <c r="P8068" s="65">
        <f>VLOOKUP(E8068,DATABASE!C:Q,9,False)</f>
        <v>1</v>
      </c>
      <c r="Q8068" s="93" t="str">
        <f>VLOOKUP(E8068,DATABASE!C:Q,4,false)</f>
        <v>BD</v>
      </c>
      <c r="R8068" s="93" t="str">
        <f>VLOOKUP(E8068,DATABASE!C:Q,11,false)</f>
        <v>Tire</v>
      </c>
    </row>
    <row r="8069" ht="22.5" customHeight="1">
      <c r="A8069" s="49"/>
      <c r="C8069" s="400">
        <v>46126.0</v>
      </c>
      <c r="D8069" s="524">
        <v>1038.0</v>
      </c>
      <c r="E8069" s="544" t="s">
        <v>262</v>
      </c>
      <c r="F8069" s="387">
        <v>1.0</v>
      </c>
      <c r="G8069" s="140">
        <v>130000.0</v>
      </c>
      <c r="H8069" s="74"/>
      <c r="I8069" s="74">
        <f t="shared" si="1"/>
        <v>130000</v>
      </c>
      <c r="J8069" s="74">
        <f>IF(E8069="SERVICE",I8069-(I8069*50%),Vlookup(E8069,DATABASE!C:Q,10,false)*F8069)</f>
        <v>5000</v>
      </c>
      <c r="K8069" s="74">
        <f>VLOOKUP(E8069,DATABASE!C:Q,7,false)</f>
        <v>0</v>
      </c>
      <c r="L8069" s="74">
        <v>0.0</v>
      </c>
      <c r="M8069" s="74">
        <f t="shared" si="6"/>
        <v>0</v>
      </c>
      <c r="N8069" s="74">
        <f t="shared" si="3"/>
        <v>125000</v>
      </c>
      <c r="O8069" s="65" t="str">
        <f>VLOOKUP(E8069,DATABASE!C:Q,8,false)</f>
        <v>IBU</v>
      </c>
      <c r="P8069" s="65">
        <f>VLOOKUP(E8069,DATABASE!C:Q,9,False)</f>
        <v>0</v>
      </c>
      <c r="Q8069" s="93" t="str">
        <f>VLOOKUP(E8069,DATABASE!C:Q,4,false)</f>
        <v>SPOORING SS/CARRY LOS BAK</v>
      </c>
      <c r="R8069" s="93" t="str">
        <f>VLOOKUP(E8069,DATABASE!C:Q,11,false)</f>
        <v>SERVICE</v>
      </c>
    </row>
    <row r="8070" ht="22.5" customHeight="1">
      <c r="A8070" s="49"/>
      <c r="C8070" s="400">
        <v>46126.0</v>
      </c>
      <c r="D8070" s="524">
        <v>1039.0</v>
      </c>
      <c r="E8070" s="544" t="s">
        <v>262</v>
      </c>
      <c r="F8070" s="387">
        <v>1.0</v>
      </c>
      <c r="G8070" s="140">
        <v>130000.0</v>
      </c>
      <c r="H8070" s="74"/>
      <c r="I8070" s="74">
        <f t="shared" si="1"/>
        <v>130000</v>
      </c>
      <c r="J8070" s="74">
        <f>IF(E8070="SERVICE",I8070-(I8070*50%),Vlookup(E8070,DATABASE!C:Q,10,false)*F8070)</f>
        <v>5000</v>
      </c>
      <c r="K8070" s="74">
        <f>VLOOKUP(E8070,DATABASE!C:Q,7,false)</f>
        <v>0</v>
      </c>
      <c r="L8070" s="74">
        <v>0.0</v>
      </c>
      <c r="M8070" s="74">
        <f t="shared" si="6"/>
        <v>0</v>
      </c>
      <c r="N8070" s="74">
        <f t="shared" si="3"/>
        <v>125000</v>
      </c>
      <c r="O8070" s="65" t="str">
        <f>VLOOKUP(E8070,DATABASE!C:Q,8,false)</f>
        <v>IBU</v>
      </c>
      <c r="P8070" s="65">
        <f>VLOOKUP(E8070,DATABASE!C:Q,9,False)</f>
        <v>0</v>
      </c>
      <c r="Q8070" s="93" t="str">
        <f>VLOOKUP(E8070,DATABASE!C:Q,4,false)</f>
        <v>SPOORING SS/CARRY LOS BAK</v>
      </c>
      <c r="R8070" s="93" t="str">
        <f>VLOOKUP(E8070,DATABASE!C:Q,11,false)</f>
        <v>SERVICE</v>
      </c>
    </row>
    <row r="8071" ht="22.5" customHeight="1">
      <c r="A8071" s="49"/>
      <c r="C8071" s="400">
        <v>46126.0</v>
      </c>
      <c r="D8071" s="524">
        <v>1039.0</v>
      </c>
      <c r="E8071" s="544" t="s">
        <v>2206</v>
      </c>
      <c r="F8071" s="387">
        <v>1.0</v>
      </c>
      <c r="G8071" s="140">
        <v>225000.0</v>
      </c>
      <c r="H8071" s="140">
        <v>0.0</v>
      </c>
      <c r="I8071" s="74">
        <f t="shared" si="1"/>
        <v>225000</v>
      </c>
      <c r="J8071" s="74">
        <f>IF(E8071="SERVICE",I8071-(I8071*50%),Vlookup(E8071,DATABASE!C:Q,10,false)*F8071)</f>
        <v>40000</v>
      </c>
      <c r="K8071" s="74">
        <f>VLOOKUP(E8071,DATABASE!C:Q,7,false)</f>
        <v>95450</v>
      </c>
      <c r="L8071" s="74">
        <v>61000.0</v>
      </c>
      <c r="M8071" s="74">
        <f t="shared" si="6"/>
        <v>65000</v>
      </c>
      <c r="N8071" s="74">
        <f t="shared" si="3"/>
        <v>120000</v>
      </c>
      <c r="O8071" s="65" t="str">
        <f>VLOOKUP(E8071,DATABASE!C:Q,8,false)</f>
        <v>IBU</v>
      </c>
      <c r="P8071" s="65">
        <f>VLOOKUP(E8071,DATABASE!C:Q,9,False)</f>
        <v>1</v>
      </c>
      <c r="Q8071" s="93" t="str">
        <f>VLOOKUP(E8071,DATABASE!C:Q,4,false)</f>
        <v>TIEROD</v>
      </c>
      <c r="R8071" s="93" t="str">
        <f>VLOOKUP(E8071,DATABASE!C:Q,11,false)</f>
        <v>COMPLEMENTARY</v>
      </c>
    </row>
    <row r="8072" ht="22.5" customHeight="1">
      <c r="A8072" s="49"/>
      <c r="C8072" s="400">
        <v>46126.0</v>
      </c>
      <c r="D8072" s="524">
        <v>1040.0</v>
      </c>
      <c r="E8072" s="544" t="s">
        <v>374</v>
      </c>
      <c r="F8072" s="387">
        <v>2.0</v>
      </c>
      <c r="G8072" s="140">
        <v>2050000.0</v>
      </c>
      <c r="H8072" s="74"/>
      <c r="I8072" s="74">
        <f t="shared" si="1"/>
        <v>4100000</v>
      </c>
      <c r="J8072" s="74">
        <f>IF(E8072="SERVICE",I8072-(I8072*50%),Vlookup(E8072,DATABASE!C:Q,10,false)*F8072)</f>
        <v>0</v>
      </c>
      <c r="K8072" s="74">
        <f>VLOOKUP(E8072,DATABASE!C:Q,7,false)</f>
        <v>1980000</v>
      </c>
      <c r="L8072" s="74">
        <v>1940000.0</v>
      </c>
      <c r="M8072" s="74">
        <f t="shared" si="6"/>
        <v>1940000</v>
      </c>
      <c r="N8072" s="74">
        <f t="shared" si="3"/>
        <v>220000</v>
      </c>
      <c r="O8072" s="65" t="str">
        <f>VLOOKUP(E8072,DATABASE!C:Q,8,false)</f>
        <v>BIAN</v>
      </c>
      <c r="P8072" s="65">
        <f>VLOOKUP(E8072,DATABASE!C:Q,9,False)</f>
        <v>1</v>
      </c>
      <c r="Q8072" s="93" t="str">
        <f>VLOOKUP(E8072,DATABASE!C:Q,4,false)</f>
        <v>Advance</v>
      </c>
      <c r="R8072" s="93" t="str">
        <f>VLOOKUP(E8072,DATABASE!C:Q,11,false)</f>
        <v>Tire</v>
      </c>
    </row>
    <row r="8073" ht="22.5" customHeight="1">
      <c r="A8073" s="49"/>
      <c r="C8073" s="400">
        <v>46126.0</v>
      </c>
      <c r="D8073" s="524">
        <v>1041.0</v>
      </c>
      <c r="E8073" s="544" t="s">
        <v>262</v>
      </c>
      <c r="F8073" s="387">
        <v>1.0</v>
      </c>
      <c r="G8073" s="140">
        <v>130000.0</v>
      </c>
      <c r="H8073" s="74"/>
      <c r="I8073" s="74">
        <f t="shared" si="1"/>
        <v>130000</v>
      </c>
      <c r="J8073" s="74">
        <f>IF(E8073="SERVICE",I8073-(I8073*50%),Vlookup(E8073,DATABASE!C:Q,10,false)*F8073)</f>
        <v>5000</v>
      </c>
      <c r="K8073" s="74">
        <f>VLOOKUP(E8073,DATABASE!C:Q,7,false)</f>
        <v>0</v>
      </c>
      <c r="L8073" s="74">
        <v>0.0</v>
      </c>
      <c r="M8073" s="74">
        <f t="shared" si="6"/>
        <v>0</v>
      </c>
      <c r="N8073" s="74">
        <f t="shared" si="3"/>
        <v>125000</v>
      </c>
      <c r="O8073" s="65" t="str">
        <f>VLOOKUP(E8073,DATABASE!C:Q,8,false)</f>
        <v>IBU</v>
      </c>
      <c r="P8073" s="65">
        <f>VLOOKUP(E8073,DATABASE!C:Q,9,False)</f>
        <v>0</v>
      </c>
      <c r="Q8073" s="93" t="str">
        <f>VLOOKUP(E8073,DATABASE!C:Q,4,false)</f>
        <v>SPOORING SS/CARRY LOS BAK</v>
      </c>
      <c r="R8073" s="93" t="str">
        <f>VLOOKUP(E8073,DATABASE!C:Q,11,false)</f>
        <v>SERVICE</v>
      </c>
    </row>
    <row r="8074" ht="22.5" customHeight="1">
      <c r="A8074" s="49"/>
      <c r="C8074" s="400">
        <v>46126.0</v>
      </c>
      <c r="D8074" s="524">
        <v>1041.0</v>
      </c>
      <c r="E8074" s="544" t="s">
        <v>251</v>
      </c>
      <c r="F8074" s="387">
        <v>1.0</v>
      </c>
      <c r="G8074" s="140">
        <v>350000.0</v>
      </c>
      <c r="H8074" s="140">
        <v>270000.0</v>
      </c>
      <c r="I8074" s="74">
        <f t="shared" si="1"/>
        <v>80000</v>
      </c>
      <c r="J8074" s="74">
        <f>IF(E8074="SERVICE",I8074-(I8074*50%),Vlookup(E8074,DATABASE!C:Q,10,false)*F8074)</f>
        <v>40000</v>
      </c>
      <c r="K8074" s="74">
        <f>VLOOKUP(E8074,DATABASE!C:Q,7,false)</f>
        <v>0</v>
      </c>
      <c r="L8074" s="74">
        <v>0.0</v>
      </c>
      <c r="M8074" s="74">
        <f t="shared" si="6"/>
        <v>0</v>
      </c>
      <c r="N8074" s="74">
        <f t="shared" si="3"/>
        <v>40000</v>
      </c>
      <c r="O8074" s="65" t="str">
        <f>VLOOKUP(E8074,DATABASE!C:Q,8,false)</f>
        <v>IBU</v>
      </c>
      <c r="P8074" s="65">
        <f>VLOOKUP(E8074,DATABASE!C:Q,9,False)</f>
        <v>0</v>
      </c>
      <c r="Q8074" s="93" t="str">
        <f>VLOOKUP(E8074,DATABASE!C:Q,4,false)</f>
        <v>SERVICE</v>
      </c>
      <c r="R8074" s="93" t="str">
        <f>VLOOKUP(E8074,DATABASE!C:Q,11,false)</f>
        <v>SERVICE</v>
      </c>
    </row>
    <row r="8075" ht="22.5" customHeight="1">
      <c r="A8075" s="49"/>
      <c r="C8075" s="400">
        <v>46126.0</v>
      </c>
      <c r="D8075" s="524">
        <v>1042.0</v>
      </c>
      <c r="E8075" s="544" t="s">
        <v>256</v>
      </c>
      <c r="F8075" s="387">
        <v>1.0</v>
      </c>
      <c r="G8075" s="140">
        <v>175000.0</v>
      </c>
      <c r="H8075" s="140">
        <v>25000.0</v>
      </c>
      <c r="I8075" s="74">
        <f t="shared" si="1"/>
        <v>150000</v>
      </c>
      <c r="J8075" s="74">
        <f>IF(E8075="SERVICE",I8075-(I8075*50%),Vlookup(E8075,DATABASE!C:Q,10,false)*F8075)</f>
        <v>10000</v>
      </c>
      <c r="K8075" s="74">
        <f>VLOOKUP(E8075,DATABASE!C:Q,7,false)</f>
        <v>0</v>
      </c>
      <c r="L8075" s="74">
        <v>0.0</v>
      </c>
      <c r="M8075" s="74">
        <f t="shared" si="6"/>
        <v>0</v>
      </c>
      <c r="N8075" s="74">
        <f t="shared" si="3"/>
        <v>140000</v>
      </c>
      <c r="O8075" s="65" t="str">
        <f>VLOOKUP(E8075,DATABASE!C:Q,8,false)</f>
        <v>IBU</v>
      </c>
      <c r="P8075" s="65">
        <f>VLOOKUP(E8075,DATABASE!C:Q,9,False)</f>
        <v>0</v>
      </c>
      <c r="Q8075" s="93" t="str">
        <f>VLOOKUP(E8075,DATABASE!C:Q,4,false)</f>
        <v>SPOORING</v>
      </c>
      <c r="R8075" s="93" t="str">
        <f>VLOOKUP(E8075,DATABASE!C:Q,11,false)</f>
        <v>SERVICE</v>
      </c>
    </row>
    <row r="8076" ht="22.5" customHeight="1">
      <c r="A8076" s="49"/>
      <c r="C8076" s="400">
        <v>46126.0</v>
      </c>
      <c r="D8076" s="524">
        <v>1042.0</v>
      </c>
      <c r="E8076" s="544" t="s">
        <v>251</v>
      </c>
      <c r="F8076" s="387">
        <v>1.0</v>
      </c>
      <c r="G8076" s="140">
        <v>350000.0</v>
      </c>
      <c r="H8076" s="140">
        <v>200000.0</v>
      </c>
      <c r="I8076" s="74">
        <f t="shared" si="1"/>
        <v>150000</v>
      </c>
      <c r="J8076" s="74">
        <f>IF(E8076="SERVICE",I8076-(I8076*50%),Vlookup(E8076,DATABASE!C:Q,10,false)*F8076)</f>
        <v>75000</v>
      </c>
      <c r="K8076" s="74">
        <f>VLOOKUP(E8076,DATABASE!C:Q,7,false)</f>
        <v>0</v>
      </c>
      <c r="L8076" s="74">
        <v>0.0</v>
      </c>
      <c r="M8076" s="74">
        <f t="shared" si="6"/>
        <v>0</v>
      </c>
      <c r="N8076" s="74">
        <f t="shared" si="3"/>
        <v>75000</v>
      </c>
      <c r="O8076" s="65" t="str">
        <f>VLOOKUP(E8076,DATABASE!C:Q,8,false)</f>
        <v>IBU</v>
      </c>
      <c r="P8076" s="65">
        <f>VLOOKUP(E8076,DATABASE!C:Q,9,False)</f>
        <v>0</v>
      </c>
      <c r="Q8076" s="93" t="str">
        <f>VLOOKUP(E8076,DATABASE!C:Q,4,false)</f>
        <v>SERVICE</v>
      </c>
      <c r="R8076" s="93" t="str">
        <f>VLOOKUP(E8076,DATABASE!C:Q,11,false)</f>
        <v>SERVICE</v>
      </c>
    </row>
    <row r="8077" ht="22.5" customHeight="1">
      <c r="A8077" s="49"/>
      <c r="C8077" s="400">
        <v>46126.0</v>
      </c>
      <c r="D8077" s="69" t="s">
        <v>2783</v>
      </c>
      <c r="E8077" s="544" t="s">
        <v>252</v>
      </c>
      <c r="F8077" s="387">
        <v>1.0</v>
      </c>
      <c r="G8077" s="140">
        <v>325000.0</v>
      </c>
      <c r="H8077" s="74"/>
      <c r="I8077" s="74">
        <f t="shared" si="1"/>
        <v>325000</v>
      </c>
      <c r="J8077" s="74">
        <f>IF(E8077="SERVICE",I8077-(I8077*50%),Vlookup(E8077,DATABASE!C:Q,10,false)*F8077)</f>
        <v>0</v>
      </c>
      <c r="K8077" s="74">
        <f>VLOOKUP(E8077,DATABASE!C:Q,7,false)</f>
        <v>317518</v>
      </c>
      <c r="L8077" s="74">
        <v>275500.0</v>
      </c>
      <c r="M8077" s="74">
        <f t="shared" si="6"/>
        <v>280000</v>
      </c>
      <c r="N8077" s="74">
        <f t="shared" si="3"/>
        <v>45000</v>
      </c>
      <c r="O8077" s="65" t="str">
        <f>VLOOKUP(E8077,DATABASE!C:Q,8,false)</f>
        <v>NON</v>
      </c>
      <c r="P8077" s="65">
        <f>VLOOKUP(E8077,DATABASE!C:Q,9,False)</f>
        <v>0</v>
      </c>
      <c r="Q8077" s="93" t="str">
        <f>VLOOKUP(E8077,DATABASE!C:Q,4,false)</f>
        <v>Shell</v>
      </c>
      <c r="R8077" s="93" t="str">
        <f>VLOOKUP(E8077,DATABASE!C:Q,11,false)</f>
        <v>OIL</v>
      </c>
    </row>
    <row r="8078" ht="22.5" customHeight="1">
      <c r="A8078" s="49"/>
      <c r="C8078" s="400">
        <v>46127.0</v>
      </c>
      <c r="D8078" s="524">
        <v>1043.0</v>
      </c>
      <c r="E8078" s="544" t="s">
        <v>622</v>
      </c>
      <c r="F8078" s="387">
        <v>2.0</v>
      </c>
      <c r="G8078" s="140">
        <v>925000.0</v>
      </c>
      <c r="H8078" s="74"/>
      <c r="I8078" s="74">
        <f t="shared" si="1"/>
        <v>1850000</v>
      </c>
      <c r="J8078" s="74">
        <f>IF(E8078="SERVICE",I8078-(I8078*50%),Vlookup(E8078,DATABASE!C:Q,10,false)*F8078)</f>
        <v>0</v>
      </c>
      <c r="K8078" s="74">
        <f>VLOOKUP(E8078,DATABASE!C:Q,7,false)</f>
        <v>851110.375</v>
      </c>
      <c r="L8078" s="74">
        <v>822259.2</v>
      </c>
      <c r="M8078" s="74">
        <f t="shared" si="6"/>
        <v>825000</v>
      </c>
      <c r="N8078" s="74">
        <f t="shared" si="3"/>
        <v>200000</v>
      </c>
      <c r="O8078" s="65" t="str">
        <f>VLOOKUP(E8078,DATABASE!C:Q,8,false)</f>
        <v>IBU</v>
      </c>
      <c r="P8078" s="65">
        <f>VLOOKUP(E8078,DATABASE!C:Q,9,False)</f>
        <v>1</v>
      </c>
      <c r="Q8078" s="93" t="str">
        <f>VLOOKUP(E8078,DATABASE!C:Q,4,false)</f>
        <v>Bridgestone</v>
      </c>
      <c r="R8078" s="93" t="str">
        <f>VLOOKUP(E8078,DATABASE!C:Q,11,false)</f>
        <v>Tire</v>
      </c>
    </row>
    <row r="8079" ht="22.5" customHeight="1">
      <c r="A8079" s="49"/>
      <c r="C8079" s="400">
        <v>46127.0</v>
      </c>
      <c r="D8079" s="524">
        <v>1043.0</v>
      </c>
      <c r="E8079" s="544" t="s">
        <v>256</v>
      </c>
      <c r="F8079" s="387">
        <v>1.0</v>
      </c>
      <c r="G8079" s="140">
        <v>175000.0</v>
      </c>
      <c r="H8079" s="140">
        <v>25000.0</v>
      </c>
      <c r="I8079" s="74">
        <f t="shared" si="1"/>
        <v>150000</v>
      </c>
      <c r="J8079" s="74">
        <f>IF(E8079="SERVICE",I8079-(I8079*50%),Vlookup(E8079,DATABASE!C:Q,10,false)*F8079)</f>
        <v>10000</v>
      </c>
      <c r="K8079" s="74">
        <f>VLOOKUP(E8079,DATABASE!C:Q,7,false)</f>
        <v>0</v>
      </c>
      <c r="L8079" s="74">
        <v>0.0</v>
      </c>
      <c r="M8079" s="74">
        <f t="shared" si="6"/>
        <v>0</v>
      </c>
      <c r="N8079" s="74">
        <f t="shared" si="3"/>
        <v>140000</v>
      </c>
      <c r="O8079" s="65" t="str">
        <f>VLOOKUP(E8079,DATABASE!C:Q,8,false)</f>
        <v>IBU</v>
      </c>
      <c r="P8079" s="65">
        <f>VLOOKUP(E8079,DATABASE!C:Q,9,False)</f>
        <v>0</v>
      </c>
      <c r="Q8079" s="93" t="str">
        <f>VLOOKUP(E8079,DATABASE!C:Q,4,false)</f>
        <v>SPOORING</v>
      </c>
      <c r="R8079" s="93" t="str">
        <f>VLOOKUP(E8079,DATABASE!C:Q,11,false)</f>
        <v>SERVICE</v>
      </c>
    </row>
    <row r="8080" ht="22.5" customHeight="1">
      <c r="A8080" s="49"/>
      <c r="C8080" s="400">
        <v>46127.0</v>
      </c>
      <c r="D8080" s="524">
        <v>1043.0</v>
      </c>
      <c r="E8080" s="544" t="s">
        <v>301</v>
      </c>
      <c r="F8080" s="387">
        <v>1.0</v>
      </c>
      <c r="G8080" s="140">
        <v>250000.0</v>
      </c>
      <c r="H8080" s="74"/>
      <c r="I8080" s="74">
        <f t="shared" si="1"/>
        <v>250000</v>
      </c>
      <c r="J8080" s="74">
        <f>IF(E8080="SERVICE",I8080-(I8080*50%),Vlookup(E8080,DATABASE!C:Q,10,false)*F8080)</f>
        <v>75000</v>
      </c>
      <c r="K8080" s="74">
        <f>VLOOKUP(E8080,DATABASE!C:Q,7,false)</f>
        <v>75000</v>
      </c>
      <c r="L8080" s="74">
        <v>75000.0</v>
      </c>
      <c r="M8080" s="74">
        <f t="shared" si="6"/>
        <v>75000</v>
      </c>
      <c r="N8080" s="74">
        <f t="shared" si="3"/>
        <v>100000</v>
      </c>
      <c r="O8080" s="65" t="str">
        <f>VLOOKUP(E8080,DATABASE!C:Q,8,false)</f>
        <v>BIAN</v>
      </c>
      <c r="P8080" s="65">
        <f>VLOOKUP(E8080,DATABASE!C:Q,9,False)</f>
        <v>0</v>
      </c>
      <c r="Q8080" s="93" t="str">
        <f>VLOOKUP(E8080,DATABASE!C:Q,4,false)</f>
        <v>Baut Camber</v>
      </c>
      <c r="R8080" s="93" t="str">
        <f>VLOOKUP(E8080,DATABASE!C:Q,11,false)</f>
        <v>COMPLEMENTARY</v>
      </c>
    </row>
    <row r="8081" ht="22.5" customHeight="1">
      <c r="A8081" s="49"/>
      <c r="C8081" s="400">
        <v>46127.0</v>
      </c>
      <c r="D8081" s="524">
        <v>1044.0</v>
      </c>
      <c r="E8081" s="544" t="s">
        <v>256</v>
      </c>
      <c r="F8081" s="387">
        <v>1.0</v>
      </c>
      <c r="G8081" s="140">
        <v>175000.0</v>
      </c>
      <c r="H8081" s="140">
        <v>25000.0</v>
      </c>
      <c r="I8081" s="74">
        <f t="shared" si="1"/>
        <v>150000</v>
      </c>
      <c r="J8081" s="74">
        <f>IF(E8081="SERVICE",I8081-(I8081*50%),Vlookup(E8081,DATABASE!C:Q,10,false)*F8081)</f>
        <v>10000</v>
      </c>
      <c r="K8081" s="74">
        <f>VLOOKUP(E8081,DATABASE!C:Q,7,false)</f>
        <v>0</v>
      </c>
      <c r="L8081" s="74">
        <v>0.0</v>
      </c>
      <c r="M8081" s="74">
        <f t="shared" si="6"/>
        <v>0</v>
      </c>
      <c r="N8081" s="74">
        <f t="shared" si="3"/>
        <v>140000</v>
      </c>
      <c r="O8081" s="65" t="str">
        <f>VLOOKUP(E8081,DATABASE!C:Q,8,false)</f>
        <v>IBU</v>
      </c>
      <c r="P8081" s="65">
        <f>VLOOKUP(E8081,DATABASE!C:Q,9,False)</f>
        <v>0</v>
      </c>
      <c r="Q8081" s="93" t="str">
        <f>VLOOKUP(E8081,DATABASE!C:Q,4,false)</f>
        <v>SPOORING</v>
      </c>
      <c r="R8081" s="93" t="str">
        <f>VLOOKUP(E8081,DATABASE!C:Q,11,false)</f>
        <v>SERVICE</v>
      </c>
    </row>
    <row r="8082" ht="22.5" customHeight="1">
      <c r="A8082" s="49"/>
      <c r="C8082" s="400">
        <v>46127.0</v>
      </c>
      <c r="D8082" s="524">
        <v>1044.0</v>
      </c>
      <c r="E8082" s="544" t="s">
        <v>299</v>
      </c>
      <c r="F8082" s="387">
        <v>1.0</v>
      </c>
      <c r="G8082" s="140">
        <v>30000.0</v>
      </c>
      <c r="H8082" s="74"/>
      <c r="I8082" s="74">
        <f t="shared" si="1"/>
        <v>30000</v>
      </c>
      <c r="J8082" s="74">
        <f>IF(E8082="SERVICE",I8082-(I8082*50%),Vlookup(E8082,DATABASE!C:Q,10,false)*F8082)</f>
        <v>0</v>
      </c>
      <c r="K8082" s="74">
        <f>VLOOKUP(E8082,DATABASE!C:Q,7,false)</f>
        <v>10000</v>
      </c>
      <c r="L8082" s="74">
        <v>10000.0</v>
      </c>
      <c r="M8082" s="74">
        <f t="shared" si="6"/>
        <v>10000</v>
      </c>
      <c r="N8082" s="74">
        <f t="shared" si="3"/>
        <v>20000</v>
      </c>
      <c r="O8082" s="65" t="str">
        <f>VLOOKUP(E8082,DATABASE!C:Q,8,false)</f>
        <v>BIAN</v>
      </c>
      <c r="P8082" s="65">
        <f>VLOOKUP(E8082,DATABASE!C:Q,9,False)</f>
        <v>0</v>
      </c>
      <c r="Q8082" s="93" t="str">
        <f>VLOOKUP(E8082,DATABASE!C:Q,4,false)</f>
        <v>Balancing</v>
      </c>
      <c r="R8082" s="93" t="str">
        <f>VLOOKUP(E8082,DATABASE!C:Q,11,false)</f>
        <v>COMPLEMENTARY</v>
      </c>
    </row>
    <row r="8083" ht="22.5" customHeight="1">
      <c r="A8083" s="49"/>
      <c r="C8083" s="400">
        <v>46127.0</v>
      </c>
      <c r="D8083" s="524">
        <v>1045.0</v>
      </c>
      <c r="E8083" s="544" t="s">
        <v>1009</v>
      </c>
      <c r="F8083" s="387">
        <v>1.0</v>
      </c>
      <c r="G8083" s="140">
        <v>700000.0</v>
      </c>
      <c r="H8083" s="140">
        <v>15000.0</v>
      </c>
      <c r="I8083" s="74">
        <f t="shared" si="1"/>
        <v>685000</v>
      </c>
      <c r="J8083" s="74">
        <f>IF(E8083="SERVICE",I8083-(I8083*50%),Vlookup(E8083,DATABASE!C:Q,10,false)*F8083)</f>
        <v>0</v>
      </c>
      <c r="K8083" s="74">
        <f>VLOOKUP(E8083,DATABASE!C:Q,7,false)</f>
        <v>609800</v>
      </c>
      <c r="L8083" s="74">
        <v>592200.0</v>
      </c>
      <c r="M8083" s="74">
        <f t="shared" si="6"/>
        <v>595000</v>
      </c>
      <c r="N8083" s="74">
        <f t="shared" si="3"/>
        <v>90000</v>
      </c>
      <c r="O8083" s="65" t="str">
        <f>VLOOKUP(E8083,DATABASE!C:Q,8,false)</f>
        <v>BIAN</v>
      </c>
      <c r="P8083" s="65">
        <f>VLOOKUP(E8083,DATABASE!C:Q,9,False)</f>
        <v>1</v>
      </c>
      <c r="Q8083" s="93" t="str">
        <f>VLOOKUP(E8083,DATABASE!C:Q,4,false)</f>
        <v>GT</v>
      </c>
      <c r="R8083" s="93" t="str">
        <f>VLOOKUP(E8083,DATABASE!C:Q,11,false)</f>
        <v>Tire</v>
      </c>
    </row>
    <row r="8084" ht="22.5" customHeight="1">
      <c r="A8084" s="49"/>
      <c r="C8084" s="400">
        <v>46127.0</v>
      </c>
      <c r="D8084" s="524">
        <v>1045.0</v>
      </c>
      <c r="E8084" s="544" t="s">
        <v>614</v>
      </c>
      <c r="F8084" s="387">
        <v>1.0</v>
      </c>
      <c r="G8084" s="140">
        <v>820000.0</v>
      </c>
      <c r="H8084" s="74"/>
      <c r="I8084" s="74">
        <f t="shared" si="1"/>
        <v>820000</v>
      </c>
      <c r="J8084" s="74">
        <f>IF(E8084="SERVICE",I8084-(I8084*50%),Vlookup(E8084,DATABASE!C:Q,10,false)*F8084)</f>
        <v>0</v>
      </c>
      <c r="K8084" s="74">
        <f>VLOOKUP(E8084,DATABASE!C:Q,7,false)</f>
        <v>754660.6</v>
      </c>
      <c r="L8084" s="74">
        <v>727756.0</v>
      </c>
      <c r="M8084" s="74">
        <f t="shared" si="6"/>
        <v>730000</v>
      </c>
      <c r="N8084" s="74">
        <f t="shared" si="3"/>
        <v>90000</v>
      </c>
      <c r="O8084" s="65" t="str">
        <f>VLOOKUP(E8084,DATABASE!C:Q,8,false)</f>
        <v>IBU</v>
      </c>
      <c r="P8084" s="65">
        <f>VLOOKUP(E8084,DATABASE!C:Q,9,False)</f>
        <v>1</v>
      </c>
      <c r="Q8084" s="93" t="str">
        <f>VLOOKUP(E8084,DATABASE!C:Q,4,false)</f>
        <v>Bridgestone</v>
      </c>
      <c r="R8084" s="93" t="str">
        <f>VLOOKUP(E8084,DATABASE!C:Q,11,false)</f>
        <v>Tire</v>
      </c>
    </row>
    <row r="8085" ht="22.5" customHeight="1">
      <c r="A8085" s="49"/>
      <c r="C8085" s="400">
        <v>46127.0</v>
      </c>
      <c r="D8085" s="524">
        <v>1045.0</v>
      </c>
      <c r="E8085" s="544" t="s">
        <v>256</v>
      </c>
      <c r="F8085" s="387">
        <v>1.0</v>
      </c>
      <c r="G8085" s="140">
        <v>175000.0</v>
      </c>
      <c r="H8085" s="140">
        <v>25000.0</v>
      </c>
      <c r="I8085" s="74">
        <f t="shared" si="1"/>
        <v>150000</v>
      </c>
      <c r="J8085" s="74">
        <f>IF(E8085="SERVICE",I8085-(I8085*50%),Vlookup(E8085,DATABASE!C:Q,10,false)*F8085)</f>
        <v>10000</v>
      </c>
      <c r="K8085" s="74">
        <f>VLOOKUP(E8085,DATABASE!C:Q,7,false)</f>
        <v>0</v>
      </c>
      <c r="L8085" s="74">
        <v>0.0</v>
      </c>
      <c r="M8085" s="74">
        <f t="shared" si="6"/>
        <v>0</v>
      </c>
      <c r="N8085" s="74">
        <f t="shared" si="3"/>
        <v>140000</v>
      </c>
      <c r="O8085" s="65" t="str">
        <f>VLOOKUP(E8085,DATABASE!C:Q,8,false)</f>
        <v>IBU</v>
      </c>
      <c r="P8085" s="65">
        <f>VLOOKUP(E8085,DATABASE!C:Q,9,False)</f>
        <v>0</v>
      </c>
      <c r="Q8085" s="93" t="str">
        <f>VLOOKUP(E8085,DATABASE!C:Q,4,false)</f>
        <v>SPOORING</v>
      </c>
      <c r="R8085" s="93" t="str">
        <f>VLOOKUP(E8085,DATABASE!C:Q,11,false)</f>
        <v>SERVICE</v>
      </c>
    </row>
    <row r="8086" ht="22.5" customHeight="1">
      <c r="A8086" s="49"/>
      <c r="C8086" s="400">
        <v>46127.0</v>
      </c>
      <c r="D8086" s="524">
        <v>1046.0</v>
      </c>
      <c r="E8086" s="544" t="s">
        <v>2140</v>
      </c>
      <c r="F8086" s="387">
        <v>4.0</v>
      </c>
      <c r="G8086" s="140">
        <v>35000.0</v>
      </c>
      <c r="H8086" s="74"/>
      <c r="I8086" s="74">
        <f t="shared" si="1"/>
        <v>140000</v>
      </c>
      <c r="J8086" s="74">
        <f>IF(E8086="SERVICE",I8086-(I8086*50%),Vlookup(E8086,DATABASE!C:Q,10,false)*F8086)</f>
        <v>0</v>
      </c>
      <c r="K8086" s="74">
        <f>VLOOKUP(E8086,DATABASE!C:Q,7,false)</f>
        <v>5000</v>
      </c>
      <c r="L8086" s="74">
        <v>0.0</v>
      </c>
      <c r="M8086" s="74">
        <f t="shared" si="6"/>
        <v>0</v>
      </c>
      <c r="N8086" s="74">
        <f t="shared" si="3"/>
        <v>140000</v>
      </c>
      <c r="O8086" s="65" t="str">
        <f>VLOOKUP(E8086,DATABASE!C:Q,8,false)</f>
        <v>IBU</v>
      </c>
      <c r="P8086" s="65">
        <f>VLOOKUP(E8086,DATABASE!C:Q,9,False)</f>
        <v>0</v>
      </c>
      <c r="Q8086" s="93" t="str">
        <f>VLOOKUP(E8086,DATABASE!C:Q,4,false)</f>
        <v>PENTIL + PASANG</v>
      </c>
      <c r="R8086" s="93" t="str">
        <f>VLOOKUP(E8086,DATABASE!C:Q,11,false)</f>
        <v>COMPLEMENTARY</v>
      </c>
    </row>
    <row r="8087" ht="22.5" customHeight="1">
      <c r="A8087" s="49"/>
      <c r="C8087" s="400">
        <v>46127.0</v>
      </c>
      <c r="D8087" s="524">
        <v>1046.0</v>
      </c>
      <c r="E8087" s="544" t="s">
        <v>256</v>
      </c>
      <c r="F8087" s="387">
        <v>1.0</v>
      </c>
      <c r="G8087" s="140">
        <v>175000.0</v>
      </c>
      <c r="H8087" s="140">
        <v>25000.0</v>
      </c>
      <c r="I8087" s="74">
        <f t="shared" si="1"/>
        <v>150000</v>
      </c>
      <c r="J8087" s="74">
        <f>IF(E8087="SERVICE",I8087-(I8087*50%),Vlookup(E8087,DATABASE!C:Q,10,false)*F8087)</f>
        <v>10000</v>
      </c>
      <c r="K8087" s="74">
        <f>VLOOKUP(E8087,DATABASE!C:Q,7,false)</f>
        <v>0</v>
      </c>
      <c r="L8087" s="74">
        <v>0.0</v>
      </c>
      <c r="M8087" s="74">
        <f t="shared" si="6"/>
        <v>0</v>
      </c>
      <c r="N8087" s="74">
        <f t="shared" si="3"/>
        <v>140000</v>
      </c>
      <c r="O8087" s="65" t="str">
        <f>VLOOKUP(E8087,DATABASE!C:Q,8,false)</f>
        <v>IBU</v>
      </c>
      <c r="P8087" s="65">
        <f>VLOOKUP(E8087,DATABASE!C:Q,9,False)</f>
        <v>0</v>
      </c>
      <c r="Q8087" s="93" t="str">
        <f>VLOOKUP(E8087,DATABASE!C:Q,4,false)</f>
        <v>SPOORING</v>
      </c>
      <c r="R8087" s="93" t="str">
        <f>VLOOKUP(E8087,DATABASE!C:Q,11,false)</f>
        <v>SERVICE</v>
      </c>
    </row>
    <row r="8088" ht="22.5" customHeight="1">
      <c r="A8088" s="49"/>
      <c r="C8088" s="400">
        <v>46127.0</v>
      </c>
      <c r="D8088" s="524">
        <v>1046.0</v>
      </c>
      <c r="E8088" s="544" t="s">
        <v>301</v>
      </c>
      <c r="F8088" s="387">
        <v>1.0</v>
      </c>
      <c r="G8088" s="140">
        <v>250000.0</v>
      </c>
      <c r="H8088" s="74"/>
      <c r="I8088" s="74">
        <f t="shared" si="1"/>
        <v>250000</v>
      </c>
      <c r="J8088" s="74">
        <f>IF(E8088="SERVICE",I8088-(I8088*50%),Vlookup(E8088,DATABASE!C:Q,10,false)*F8088)</f>
        <v>75000</v>
      </c>
      <c r="K8088" s="74">
        <f>VLOOKUP(E8088,DATABASE!C:Q,7,false)</f>
        <v>75000</v>
      </c>
      <c r="L8088" s="74">
        <v>75000.0</v>
      </c>
      <c r="M8088" s="74">
        <f t="shared" si="6"/>
        <v>75000</v>
      </c>
      <c r="N8088" s="74">
        <f t="shared" si="3"/>
        <v>100000</v>
      </c>
      <c r="O8088" s="65" t="str">
        <f>VLOOKUP(E8088,DATABASE!C:Q,8,false)</f>
        <v>BIAN</v>
      </c>
      <c r="P8088" s="65">
        <f>VLOOKUP(E8088,DATABASE!C:Q,9,False)</f>
        <v>0</v>
      </c>
      <c r="Q8088" s="93" t="str">
        <f>VLOOKUP(E8088,DATABASE!C:Q,4,false)</f>
        <v>Baut Camber</v>
      </c>
      <c r="R8088" s="93" t="str">
        <f>VLOOKUP(E8088,DATABASE!C:Q,11,false)</f>
        <v>COMPLEMENTARY</v>
      </c>
    </row>
    <row r="8089" ht="22.5" customHeight="1">
      <c r="A8089" s="49"/>
      <c r="C8089" s="400">
        <v>46127.0</v>
      </c>
      <c r="D8089" s="524">
        <v>1047.0</v>
      </c>
      <c r="E8089" s="544" t="s">
        <v>256</v>
      </c>
      <c r="F8089" s="387">
        <v>1.0</v>
      </c>
      <c r="G8089" s="140">
        <v>175000.0</v>
      </c>
      <c r="H8089" s="140">
        <v>25000.0</v>
      </c>
      <c r="I8089" s="74">
        <f t="shared" si="1"/>
        <v>150000</v>
      </c>
      <c r="J8089" s="74">
        <f>IF(E8089="SERVICE",I8089-(I8089*50%),Vlookup(E8089,DATABASE!C:Q,10,false)*F8089)</f>
        <v>10000</v>
      </c>
      <c r="K8089" s="74">
        <f>VLOOKUP(E8089,DATABASE!C:Q,7,false)</f>
        <v>0</v>
      </c>
      <c r="L8089" s="74">
        <v>0.0</v>
      </c>
      <c r="M8089" s="74">
        <f t="shared" si="6"/>
        <v>0</v>
      </c>
      <c r="N8089" s="74">
        <f t="shared" si="3"/>
        <v>140000</v>
      </c>
      <c r="O8089" s="65" t="str">
        <f>VLOOKUP(E8089,DATABASE!C:Q,8,false)</f>
        <v>IBU</v>
      </c>
      <c r="P8089" s="65">
        <f>VLOOKUP(E8089,DATABASE!C:Q,9,False)</f>
        <v>0</v>
      </c>
      <c r="Q8089" s="93" t="str">
        <f>VLOOKUP(E8089,DATABASE!C:Q,4,false)</f>
        <v>SPOORING</v>
      </c>
      <c r="R8089" s="93" t="str">
        <f>VLOOKUP(E8089,DATABASE!C:Q,11,false)</f>
        <v>SERVICE</v>
      </c>
    </row>
    <row r="8090" ht="22.5" customHeight="1">
      <c r="A8090" s="49"/>
      <c r="C8090" s="400">
        <v>46127.0</v>
      </c>
      <c r="D8090" s="69" t="s">
        <v>2784</v>
      </c>
      <c r="E8090" s="544" t="s">
        <v>2146</v>
      </c>
      <c r="F8090" s="387">
        <v>1.0</v>
      </c>
      <c r="G8090" s="140">
        <v>65000.0</v>
      </c>
      <c r="H8090" s="74"/>
      <c r="I8090" s="74">
        <f t="shared" si="1"/>
        <v>65000</v>
      </c>
      <c r="J8090" s="74">
        <f>IF(E8090="SERVICE",I8090-(I8090*50%),Vlookup(E8090,DATABASE!C:Q,10,false)*F8090)</f>
        <v>0</v>
      </c>
      <c r="K8090" s="74">
        <f>VLOOKUP(E8090,DATABASE!C:Q,7,false)</f>
        <v>40000</v>
      </c>
      <c r="L8090" s="74">
        <v>40000.0</v>
      </c>
      <c r="M8090" s="74">
        <f t="shared" si="6"/>
        <v>40000</v>
      </c>
      <c r="N8090" s="74">
        <f t="shared" si="3"/>
        <v>25000</v>
      </c>
      <c r="O8090" s="65" t="str">
        <f>VLOOKUP(E8090,DATABASE!C:Q,8,false)</f>
        <v>NON</v>
      </c>
      <c r="P8090" s="65">
        <f>VLOOKUP(E8090,DATABASE!C:Q,9,False)</f>
        <v>0</v>
      </c>
      <c r="Q8090" s="93" t="str">
        <f>VLOOKUP(E8090,DATABASE!C:Q,4,false)</f>
        <v>Pertamina</v>
      </c>
      <c r="R8090" s="93" t="str">
        <f>VLOOKUP(E8090,DATABASE!C:Q,11,false)</f>
        <v>OIL</v>
      </c>
    </row>
    <row r="8091" ht="22.5" customHeight="1">
      <c r="A8091" s="49"/>
      <c r="C8091" s="400">
        <v>46128.0</v>
      </c>
      <c r="D8091" s="524">
        <v>1048.0</v>
      </c>
      <c r="E8091" s="544" t="s">
        <v>1862</v>
      </c>
      <c r="F8091" s="387">
        <v>2.0</v>
      </c>
      <c r="G8091" s="140">
        <v>2150000.0</v>
      </c>
      <c r="H8091" s="74"/>
      <c r="I8091" s="74">
        <f t="shared" si="1"/>
        <v>4300000</v>
      </c>
      <c r="J8091" s="74">
        <f>IF(E8091="SERVICE",I8091-(I8091*50%),Vlookup(E8091,DATABASE!C:Q,10,false)*F8091)</f>
        <v>0</v>
      </c>
      <c r="K8091" s="74">
        <f>VLOOKUP(E8091,DATABASE!C:Q,7,false)</f>
        <v>2080000</v>
      </c>
      <c r="L8091" s="74">
        <v>2050000.0</v>
      </c>
      <c r="M8091" s="74">
        <f t="shared" si="6"/>
        <v>2050000</v>
      </c>
      <c r="N8091" s="74">
        <f t="shared" si="3"/>
        <v>200000</v>
      </c>
      <c r="O8091" s="65" t="str">
        <f>VLOOKUP(E8091,DATABASE!C:Q,8,false)</f>
        <v>BIAN</v>
      </c>
      <c r="P8091" s="65">
        <f>VLOOKUP(E8091,DATABASE!C:Q,9,False)</f>
        <v>1</v>
      </c>
      <c r="Q8091" s="93" t="str">
        <f>VLOOKUP(E8091,DATABASE!C:Q,4,false)</f>
        <v>GiTi</v>
      </c>
      <c r="R8091" s="93" t="str">
        <f>VLOOKUP(E8091,DATABASE!C:Q,11,false)</f>
        <v>Tire</v>
      </c>
    </row>
    <row r="8092" ht="22.5" customHeight="1">
      <c r="A8092" s="49"/>
      <c r="C8092" s="400">
        <v>46128.0</v>
      </c>
      <c r="D8092" s="524">
        <v>1050.0</v>
      </c>
      <c r="E8092" s="544" t="s">
        <v>256</v>
      </c>
      <c r="F8092" s="387">
        <v>1.0</v>
      </c>
      <c r="G8092" s="140">
        <v>175000.0</v>
      </c>
      <c r="H8092" s="140">
        <v>25000.0</v>
      </c>
      <c r="I8092" s="74">
        <f t="shared" si="1"/>
        <v>150000</v>
      </c>
      <c r="J8092" s="74">
        <f>IF(E8092="SERVICE",I8092-(I8092*50%),Vlookup(E8092,DATABASE!C:Q,10,false)*F8092)</f>
        <v>10000</v>
      </c>
      <c r="K8092" s="74">
        <f>VLOOKUP(E8092,DATABASE!C:Q,7,false)</f>
        <v>0</v>
      </c>
      <c r="L8092" s="74">
        <v>0.0</v>
      </c>
      <c r="M8092" s="74">
        <f t="shared" si="6"/>
        <v>0</v>
      </c>
      <c r="N8092" s="74">
        <f t="shared" si="3"/>
        <v>140000</v>
      </c>
      <c r="O8092" s="65" t="str">
        <f>VLOOKUP(E8092,DATABASE!C:Q,8,false)</f>
        <v>IBU</v>
      </c>
      <c r="P8092" s="65">
        <f>VLOOKUP(E8092,DATABASE!C:Q,9,False)</f>
        <v>0</v>
      </c>
      <c r="Q8092" s="93" t="str">
        <f>VLOOKUP(E8092,DATABASE!C:Q,4,false)</f>
        <v>SPOORING</v>
      </c>
      <c r="R8092" s="93" t="str">
        <f>VLOOKUP(E8092,DATABASE!C:Q,11,false)</f>
        <v>SERVICE</v>
      </c>
    </row>
    <row r="8093" ht="22.5" customHeight="1">
      <c r="A8093" s="49"/>
      <c r="C8093" s="400">
        <v>46128.0</v>
      </c>
      <c r="D8093" s="524">
        <v>1050.0</v>
      </c>
      <c r="E8093" s="544" t="s">
        <v>251</v>
      </c>
      <c r="F8093" s="387">
        <v>1.0</v>
      </c>
      <c r="G8093" s="140">
        <v>350000.0</v>
      </c>
      <c r="H8093" s="140">
        <v>200000.0</v>
      </c>
      <c r="I8093" s="74">
        <f t="shared" si="1"/>
        <v>150000</v>
      </c>
      <c r="J8093" s="74">
        <f>IF(E8093="SERVICE",I8093-(I8093*50%),Vlookup(E8093,DATABASE!C:Q,10,false)*F8093)</f>
        <v>75000</v>
      </c>
      <c r="K8093" s="74">
        <f>VLOOKUP(E8093,DATABASE!C:Q,7,false)</f>
        <v>0</v>
      </c>
      <c r="L8093" s="74">
        <v>0.0</v>
      </c>
      <c r="M8093" s="74">
        <f t="shared" si="6"/>
        <v>0</v>
      </c>
      <c r="N8093" s="74">
        <f t="shared" si="3"/>
        <v>75000</v>
      </c>
      <c r="O8093" s="65" t="str">
        <f>VLOOKUP(E8093,DATABASE!C:Q,8,false)</f>
        <v>IBU</v>
      </c>
      <c r="P8093" s="65">
        <f>VLOOKUP(E8093,DATABASE!C:Q,9,False)</f>
        <v>0</v>
      </c>
      <c r="Q8093" s="93" t="str">
        <f>VLOOKUP(E8093,DATABASE!C:Q,4,false)</f>
        <v>SERVICE</v>
      </c>
      <c r="R8093" s="93" t="str">
        <f>VLOOKUP(E8093,DATABASE!C:Q,11,false)</f>
        <v>SERVICE</v>
      </c>
    </row>
    <row r="8094" ht="22.5" customHeight="1">
      <c r="A8094" s="49"/>
      <c r="C8094" s="400">
        <v>46128.0</v>
      </c>
      <c r="D8094" s="524">
        <v>1051.0</v>
      </c>
      <c r="E8094" s="544" t="s">
        <v>262</v>
      </c>
      <c r="F8094" s="387">
        <v>1.0</v>
      </c>
      <c r="G8094" s="140">
        <v>130000.0</v>
      </c>
      <c r="H8094" s="74"/>
      <c r="I8094" s="74">
        <f t="shared" si="1"/>
        <v>130000</v>
      </c>
      <c r="J8094" s="74">
        <f>IF(E8094="SERVICE",I8094-(I8094*50%),Vlookup(E8094,DATABASE!C:Q,10,false)*F8094)</f>
        <v>5000</v>
      </c>
      <c r="K8094" s="74">
        <f>VLOOKUP(E8094,DATABASE!C:Q,7,false)</f>
        <v>0</v>
      </c>
      <c r="L8094" s="74">
        <v>0.0</v>
      </c>
      <c r="M8094" s="74">
        <f t="shared" si="6"/>
        <v>0</v>
      </c>
      <c r="N8094" s="74">
        <f t="shared" si="3"/>
        <v>125000</v>
      </c>
      <c r="O8094" s="65" t="str">
        <f>VLOOKUP(E8094,DATABASE!C:Q,8,false)</f>
        <v>IBU</v>
      </c>
      <c r="P8094" s="65">
        <f>VLOOKUP(E8094,DATABASE!C:Q,9,False)</f>
        <v>0</v>
      </c>
      <c r="Q8094" s="93" t="str">
        <f>VLOOKUP(E8094,DATABASE!C:Q,4,false)</f>
        <v>SPOORING SS/CARRY LOS BAK</v>
      </c>
      <c r="R8094" s="93" t="str">
        <f>VLOOKUP(E8094,DATABASE!C:Q,11,false)</f>
        <v>SERVICE</v>
      </c>
    </row>
    <row r="8095" ht="22.5" customHeight="1">
      <c r="A8095" s="49"/>
      <c r="C8095" s="400">
        <v>46128.0</v>
      </c>
      <c r="D8095" s="524">
        <v>1051.0</v>
      </c>
      <c r="E8095" s="544" t="s">
        <v>251</v>
      </c>
      <c r="F8095" s="387">
        <v>1.0</v>
      </c>
      <c r="G8095" s="140">
        <v>350000.0</v>
      </c>
      <c r="H8095" s="140">
        <v>150000.0</v>
      </c>
      <c r="I8095" s="74">
        <f t="shared" si="1"/>
        <v>200000</v>
      </c>
      <c r="J8095" s="74">
        <f>IF(E8095="SERVICE",I8095-(I8095*50%),Vlookup(E8095,DATABASE!C:Q,10,false)*F8095)</f>
        <v>100000</v>
      </c>
      <c r="K8095" s="74">
        <f>VLOOKUP(E8095,DATABASE!C:Q,7,false)</f>
        <v>0</v>
      </c>
      <c r="L8095" s="74">
        <v>0.0</v>
      </c>
      <c r="M8095" s="74">
        <f t="shared" si="6"/>
        <v>0</v>
      </c>
      <c r="N8095" s="74">
        <f t="shared" si="3"/>
        <v>100000</v>
      </c>
      <c r="O8095" s="65" t="str">
        <f>VLOOKUP(E8095,DATABASE!C:Q,8,false)</f>
        <v>IBU</v>
      </c>
      <c r="P8095" s="65">
        <f>VLOOKUP(E8095,DATABASE!C:Q,9,False)</f>
        <v>0</v>
      </c>
      <c r="Q8095" s="93" t="str">
        <f>VLOOKUP(E8095,DATABASE!C:Q,4,false)</f>
        <v>SERVICE</v>
      </c>
      <c r="R8095" s="93" t="str">
        <f>VLOOKUP(E8095,DATABASE!C:Q,11,false)</f>
        <v>SERVICE</v>
      </c>
    </row>
    <row r="8096" ht="22.5" customHeight="1">
      <c r="A8096" s="49"/>
      <c r="C8096" s="400">
        <v>46128.0</v>
      </c>
      <c r="D8096" s="524">
        <v>1052.0</v>
      </c>
      <c r="E8096" s="544" t="s">
        <v>569</v>
      </c>
      <c r="F8096" s="387">
        <v>2.0</v>
      </c>
      <c r="G8096" s="140">
        <v>80000.0</v>
      </c>
      <c r="H8096" s="74"/>
      <c r="I8096" s="74">
        <f t="shared" si="1"/>
        <v>160000</v>
      </c>
      <c r="J8096" s="74">
        <f>IF(E8096="SERVICE",I8096-(I8096*50%),Vlookup(E8096,DATABASE!C:Q,10,false)*F8096)</f>
        <v>0</v>
      </c>
      <c r="K8096" s="74">
        <f>VLOOKUP(E8096,DATABASE!C:Q,7,false)</f>
        <v>45439.582</v>
      </c>
      <c r="L8096" s="74">
        <v>45309.6</v>
      </c>
      <c r="M8096" s="74">
        <f t="shared" si="6"/>
        <v>50000</v>
      </c>
      <c r="N8096" s="74">
        <f t="shared" si="3"/>
        <v>60000</v>
      </c>
      <c r="O8096" s="65" t="str">
        <f>VLOOKUP(E8096,DATABASE!C:Q,8,false)</f>
        <v>BIAN</v>
      </c>
      <c r="P8096" s="65">
        <f>VLOOKUP(E8096,DATABASE!C:Q,9,False)</f>
        <v>1</v>
      </c>
      <c r="Q8096" s="93" t="str">
        <f>VLOOKUP(E8096,DATABASE!C:Q,4,false)</f>
        <v>BD</v>
      </c>
      <c r="R8096" s="93" t="str">
        <f>VLOOKUP(E8096,DATABASE!C:Q,11,false)</f>
        <v>Tire</v>
      </c>
    </row>
    <row r="8097" ht="22.5" customHeight="1">
      <c r="A8097" s="49"/>
      <c r="C8097" s="400">
        <v>46128.0</v>
      </c>
      <c r="D8097" s="524">
        <v>1053.0</v>
      </c>
      <c r="E8097" s="544" t="s">
        <v>256</v>
      </c>
      <c r="F8097" s="387">
        <v>1.0</v>
      </c>
      <c r="G8097" s="140">
        <v>175000.0</v>
      </c>
      <c r="H8097" s="140">
        <v>25000.0</v>
      </c>
      <c r="I8097" s="74">
        <f t="shared" si="1"/>
        <v>150000</v>
      </c>
      <c r="J8097" s="74">
        <f>IF(E8097="SERVICE",I8097-(I8097*50%),Vlookup(E8097,DATABASE!C:Q,10,false)*F8097)</f>
        <v>10000</v>
      </c>
      <c r="K8097" s="74">
        <f>VLOOKUP(E8097,DATABASE!C:Q,7,false)</f>
        <v>0</v>
      </c>
      <c r="L8097" s="74">
        <v>0.0</v>
      </c>
      <c r="M8097" s="74">
        <f t="shared" si="6"/>
        <v>0</v>
      </c>
      <c r="N8097" s="74">
        <f t="shared" si="3"/>
        <v>140000</v>
      </c>
      <c r="O8097" s="65" t="str">
        <f>VLOOKUP(E8097,DATABASE!C:Q,8,false)</f>
        <v>IBU</v>
      </c>
      <c r="P8097" s="65">
        <f>VLOOKUP(E8097,DATABASE!C:Q,9,False)</f>
        <v>0</v>
      </c>
      <c r="Q8097" s="93" t="str">
        <f>VLOOKUP(E8097,DATABASE!C:Q,4,false)</f>
        <v>SPOORING</v>
      </c>
      <c r="R8097" s="93" t="str">
        <f>VLOOKUP(E8097,DATABASE!C:Q,11,false)</f>
        <v>SERVICE</v>
      </c>
    </row>
    <row r="8098" ht="22.5" customHeight="1">
      <c r="A8098" s="49"/>
      <c r="C8098" s="400">
        <v>46128.0</v>
      </c>
      <c r="D8098" s="524">
        <v>1053.0</v>
      </c>
      <c r="E8098" s="544" t="s">
        <v>301</v>
      </c>
      <c r="F8098" s="387">
        <v>1.0</v>
      </c>
      <c r="G8098" s="140">
        <v>250000.0</v>
      </c>
      <c r="H8098" s="74"/>
      <c r="I8098" s="74">
        <f t="shared" si="1"/>
        <v>250000</v>
      </c>
      <c r="J8098" s="74">
        <f>IF(E8098="SERVICE",I8098-(I8098*50%),Vlookup(E8098,DATABASE!C:Q,10,false)*F8098)</f>
        <v>75000</v>
      </c>
      <c r="K8098" s="74">
        <f>VLOOKUP(E8098,DATABASE!C:Q,7,false)</f>
        <v>75000</v>
      </c>
      <c r="L8098" s="74">
        <v>75000.0</v>
      </c>
      <c r="M8098" s="74">
        <f t="shared" si="6"/>
        <v>75000</v>
      </c>
      <c r="N8098" s="74">
        <f t="shared" si="3"/>
        <v>100000</v>
      </c>
      <c r="O8098" s="65" t="str">
        <f>VLOOKUP(E8098,DATABASE!C:Q,8,false)</f>
        <v>BIAN</v>
      </c>
      <c r="P8098" s="65">
        <f>VLOOKUP(E8098,DATABASE!C:Q,9,False)</f>
        <v>0</v>
      </c>
      <c r="Q8098" s="93" t="str">
        <f>VLOOKUP(E8098,DATABASE!C:Q,4,false)</f>
        <v>Baut Camber</v>
      </c>
      <c r="R8098" s="93" t="str">
        <f>VLOOKUP(E8098,DATABASE!C:Q,11,false)</f>
        <v>COMPLEMENTARY</v>
      </c>
    </row>
    <row r="8099" ht="22.5" customHeight="1">
      <c r="A8099" s="49"/>
      <c r="C8099" s="400">
        <v>46128.0</v>
      </c>
      <c r="D8099" s="524">
        <v>1053.0</v>
      </c>
      <c r="E8099" s="544" t="s">
        <v>251</v>
      </c>
      <c r="F8099" s="387">
        <v>1.0</v>
      </c>
      <c r="G8099" s="140">
        <v>350000.0</v>
      </c>
      <c r="H8099" s="140">
        <v>200000.0</v>
      </c>
      <c r="I8099" s="74">
        <f t="shared" si="1"/>
        <v>150000</v>
      </c>
      <c r="J8099" s="74">
        <f>IF(E8099="SERVICE",I8099-(I8099*50%),Vlookup(E8099,DATABASE!C:Q,10,false)*F8099)</f>
        <v>75000</v>
      </c>
      <c r="K8099" s="74">
        <f>VLOOKUP(E8099,DATABASE!C:Q,7,false)</f>
        <v>0</v>
      </c>
      <c r="L8099" s="74">
        <v>0.0</v>
      </c>
      <c r="M8099" s="74">
        <f t="shared" si="6"/>
        <v>0</v>
      </c>
      <c r="N8099" s="74">
        <f t="shared" si="3"/>
        <v>75000</v>
      </c>
      <c r="O8099" s="65" t="str">
        <f>VLOOKUP(E8099,DATABASE!C:Q,8,false)</f>
        <v>IBU</v>
      </c>
      <c r="P8099" s="65">
        <f>VLOOKUP(E8099,DATABASE!C:Q,9,False)</f>
        <v>0</v>
      </c>
      <c r="Q8099" s="93" t="str">
        <f>VLOOKUP(E8099,DATABASE!C:Q,4,false)</f>
        <v>SERVICE</v>
      </c>
      <c r="R8099" s="93" t="str">
        <f>VLOOKUP(E8099,DATABASE!C:Q,11,false)</f>
        <v>SERVICE</v>
      </c>
    </row>
    <row r="8100" ht="22.5" customHeight="1">
      <c r="A8100" s="49"/>
      <c r="C8100" s="400">
        <v>46129.0</v>
      </c>
      <c r="D8100" s="524">
        <v>1054.0</v>
      </c>
      <c r="E8100" s="544" t="s">
        <v>591</v>
      </c>
      <c r="F8100" s="387">
        <v>2.0</v>
      </c>
      <c r="G8100" s="140">
        <v>710000.0</v>
      </c>
      <c r="H8100" s="140">
        <v>10000.0</v>
      </c>
      <c r="I8100" s="74">
        <f t="shared" si="1"/>
        <v>1400000</v>
      </c>
      <c r="J8100" s="74">
        <f>IF(E8100="SERVICE",I8100-(I8100*50%),Vlookup(E8100,DATABASE!C:Q,10,false)*F8100)</f>
        <v>0</v>
      </c>
      <c r="K8100" s="74">
        <f>VLOOKUP(E8100,DATABASE!C:Q,7,false)</f>
        <v>633035.16</v>
      </c>
      <c r="L8100" s="74">
        <v>609844.375</v>
      </c>
      <c r="M8100" s="74">
        <f t="shared" si="6"/>
        <v>610000</v>
      </c>
      <c r="N8100" s="74">
        <f t="shared" si="3"/>
        <v>180000</v>
      </c>
      <c r="O8100" s="65" t="str">
        <f>VLOOKUP(E8100,DATABASE!C:Q,8,false)</f>
        <v>IBU</v>
      </c>
      <c r="P8100" s="65">
        <f>VLOOKUP(E8100,DATABASE!C:Q,9,False)</f>
        <v>1</v>
      </c>
      <c r="Q8100" s="93" t="str">
        <f>VLOOKUP(E8100,DATABASE!C:Q,4,false)</f>
        <v>Bridgestone</v>
      </c>
      <c r="R8100" s="93" t="str">
        <f>VLOOKUP(E8100,DATABASE!C:Q,11,false)</f>
        <v>Tire</v>
      </c>
    </row>
    <row r="8101" ht="22.5" customHeight="1">
      <c r="A8101" s="49"/>
      <c r="C8101" s="400">
        <v>46129.0</v>
      </c>
      <c r="D8101" s="524">
        <v>1056.0</v>
      </c>
      <c r="E8101" s="544" t="s">
        <v>591</v>
      </c>
      <c r="F8101" s="387">
        <v>2.0</v>
      </c>
      <c r="G8101" s="140">
        <v>710000.0</v>
      </c>
      <c r="H8101" s="140">
        <v>10000.0</v>
      </c>
      <c r="I8101" s="74">
        <f t="shared" si="1"/>
        <v>1400000</v>
      </c>
      <c r="J8101" s="74">
        <f>IF(E8101="SERVICE",I8101-(I8101*50%),Vlookup(E8101,DATABASE!C:Q,10,false)*F8101)</f>
        <v>0</v>
      </c>
      <c r="K8101" s="74">
        <f>VLOOKUP(E8101,DATABASE!C:Q,7,false)</f>
        <v>633035.16</v>
      </c>
      <c r="L8101" s="74">
        <v>609844.375</v>
      </c>
      <c r="M8101" s="74">
        <f t="shared" si="6"/>
        <v>610000</v>
      </c>
      <c r="N8101" s="74">
        <f t="shared" si="3"/>
        <v>180000</v>
      </c>
      <c r="O8101" s="65" t="str">
        <f>VLOOKUP(E8101,DATABASE!C:Q,8,false)</f>
        <v>IBU</v>
      </c>
      <c r="P8101" s="65">
        <f>VLOOKUP(E8101,DATABASE!C:Q,9,False)</f>
        <v>1</v>
      </c>
      <c r="Q8101" s="93" t="str">
        <f>VLOOKUP(E8101,DATABASE!C:Q,4,false)</f>
        <v>Bridgestone</v>
      </c>
      <c r="R8101" s="93" t="str">
        <f>VLOOKUP(E8101,DATABASE!C:Q,11,false)</f>
        <v>Tire</v>
      </c>
    </row>
    <row r="8102" ht="22.5" customHeight="1">
      <c r="A8102" s="49"/>
      <c r="C8102" s="400">
        <v>46129.0</v>
      </c>
      <c r="D8102" s="524">
        <v>1057.0</v>
      </c>
      <c r="E8102" s="544" t="s">
        <v>275</v>
      </c>
      <c r="F8102" s="387">
        <v>2.0</v>
      </c>
      <c r="G8102" s="140">
        <v>830000.0</v>
      </c>
      <c r="H8102" s="74"/>
      <c r="I8102" s="74">
        <f t="shared" si="1"/>
        <v>1660000</v>
      </c>
      <c r="J8102" s="74">
        <f>IF(E8102="SERVICE",I8102-(I8102*50%),Vlookup(E8102,DATABASE!C:Q,10,false)*F8102)</f>
        <v>0</v>
      </c>
      <c r="K8102" s="74">
        <f>VLOOKUP(E8102,DATABASE!C:Q,7,false)</f>
        <v>782000</v>
      </c>
      <c r="L8102" s="74">
        <v>745000.0</v>
      </c>
      <c r="M8102" s="74">
        <f t="shared" si="6"/>
        <v>745000</v>
      </c>
      <c r="N8102" s="74">
        <f t="shared" si="3"/>
        <v>170000</v>
      </c>
      <c r="O8102" s="65" t="str">
        <f>VLOOKUP(E8102,DATABASE!C:Q,8,false)</f>
        <v>IBU</v>
      </c>
      <c r="P8102" s="65">
        <f>VLOOKUP(E8102,DATABASE!C:Q,9,False)</f>
        <v>1</v>
      </c>
      <c r="Q8102" s="93" t="str">
        <f>VLOOKUP(E8102,DATABASE!C:Q,4,false)</f>
        <v>Dunlop</v>
      </c>
      <c r="R8102" s="93" t="str">
        <f>VLOOKUP(E8102,DATABASE!C:Q,11,false)</f>
        <v>Tire</v>
      </c>
    </row>
    <row r="8103" ht="22.5" customHeight="1">
      <c r="A8103" s="49"/>
      <c r="C8103" s="400">
        <v>46129.0</v>
      </c>
      <c r="D8103" s="524">
        <v>1058.0</v>
      </c>
      <c r="E8103" s="544" t="s">
        <v>777</v>
      </c>
      <c r="F8103" s="387">
        <v>1.0</v>
      </c>
      <c r="G8103" s="140">
        <v>600000.0</v>
      </c>
      <c r="H8103" s="74"/>
      <c r="I8103" s="74">
        <f t="shared" si="1"/>
        <v>600000</v>
      </c>
      <c r="J8103" s="74">
        <f>IF(E8103="SERVICE",I8103-(I8103*50%),Vlookup(E8103,DATABASE!C:Q,10,false)*F8103)</f>
        <v>0</v>
      </c>
      <c r="K8103" s="74">
        <f>VLOOKUP(E8103,DATABASE!C:Q,7,false)</f>
        <v>540000</v>
      </c>
      <c r="L8103" s="74">
        <v>505000.0</v>
      </c>
      <c r="M8103" s="74">
        <f t="shared" si="6"/>
        <v>505000</v>
      </c>
      <c r="N8103" s="74">
        <f t="shared" si="3"/>
        <v>95000</v>
      </c>
      <c r="O8103" s="65" t="str">
        <f>VLOOKUP(E8103,DATABASE!C:Q,8,false)</f>
        <v>BIAN</v>
      </c>
      <c r="P8103" s="65">
        <f>VLOOKUP(E8103,DATABASE!C:Q,9,False)</f>
        <v>1</v>
      </c>
      <c r="Q8103" s="93" t="str">
        <f>VLOOKUP(E8103,DATABASE!C:Q,4,false)</f>
        <v>GT</v>
      </c>
      <c r="R8103" s="93" t="str">
        <f>VLOOKUP(E8103,DATABASE!C:Q,11,false)</f>
        <v>Tire</v>
      </c>
    </row>
    <row r="8104" ht="22.5" customHeight="1">
      <c r="A8104" s="49"/>
      <c r="C8104" s="400">
        <v>46129.0</v>
      </c>
      <c r="D8104" s="524">
        <v>1059.0</v>
      </c>
      <c r="E8104" s="544" t="s">
        <v>600</v>
      </c>
      <c r="F8104" s="387">
        <v>3.0</v>
      </c>
      <c r="G8104" s="140">
        <v>680000.0</v>
      </c>
      <c r="H8104" s="74"/>
      <c r="I8104" s="74">
        <f t="shared" si="1"/>
        <v>2040000</v>
      </c>
      <c r="J8104" s="74">
        <f>IF(E8104="SERVICE",I8104-(I8104*50%),Vlookup(E8104,DATABASE!C:Q,10,false)*F8104)</f>
        <v>0</v>
      </c>
      <c r="K8104" s="74">
        <f>VLOOKUP(E8104,DATABASE!C:Q,7,false)</f>
        <v>611109.16</v>
      </c>
      <c r="L8104" s="74">
        <v>588505.75</v>
      </c>
      <c r="M8104" s="74">
        <f t="shared" si="6"/>
        <v>590000</v>
      </c>
      <c r="N8104" s="74">
        <f t="shared" si="3"/>
        <v>270000</v>
      </c>
      <c r="O8104" s="65" t="str">
        <f>VLOOKUP(E8104,DATABASE!C:Q,8,false)</f>
        <v>IBU</v>
      </c>
      <c r="P8104" s="65">
        <f>VLOOKUP(E8104,DATABASE!C:Q,9,False)</f>
        <v>1</v>
      </c>
      <c r="Q8104" s="93" t="str">
        <f>VLOOKUP(E8104,DATABASE!C:Q,4,false)</f>
        <v>Bridgestone</v>
      </c>
      <c r="R8104" s="93" t="str">
        <f>VLOOKUP(E8104,DATABASE!C:Q,11,false)</f>
        <v>Tire</v>
      </c>
    </row>
    <row r="8105" ht="22.5" customHeight="1">
      <c r="A8105" s="49"/>
      <c r="C8105" s="400">
        <v>46129.0</v>
      </c>
      <c r="D8105" s="524">
        <v>1059.0</v>
      </c>
      <c r="E8105" s="544" t="s">
        <v>256</v>
      </c>
      <c r="F8105" s="387">
        <v>1.0</v>
      </c>
      <c r="G8105" s="140">
        <v>175000.0</v>
      </c>
      <c r="H8105" s="140">
        <v>25000.0</v>
      </c>
      <c r="I8105" s="74">
        <f t="shared" si="1"/>
        <v>150000</v>
      </c>
      <c r="J8105" s="74">
        <f>IF(E8105="SERVICE",I8105-(I8105*50%),Vlookup(E8105,DATABASE!C:Q,10,false)*F8105)</f>
        <v>10000</v>
      </c>
      <c r="K8105" s="74">
        <f>VLOOKUP(E8105,DATABASE!C:Q,7,false)</f>
        <v>0</v>
      </c>
      <c r="L8105" s="74">
        <v>0.0</v>
      </c>
      <c r="M8105" s="74">
        <f t="shared" si="6"/>
        <v>0</v>
      </c>
      <c r="N8105" s="74">
        <f t="shared" si="3"/>
        <v>140000</v>
      </c>
      <c r="O8105" s="65" t="str">
        <f>VLOOKUP(E8105,DATABASE!C:Q,8,false)</f>
        <v>IBU</v>
      </c>
      <c r="P8105" s="65">
        <f>VLOOKUP(E8105,DATABASE!C:Q,9,False)</f>
        <v>0</v>
      </c>
      <c r="Q8105" s="93" t="str">
        <f>VLOOKUP(E8105,DATABASE!C:Q,4,false)</f>
        <v>SPOORING</v>
      </c>
      <c r="R8105" s="93" t="str">
        <f>VLOOKUP(E8105,DATABASE!C:Q,11,false)</f>
        <v>SERVICE</v>
      </c>
    </row>
    <row r="8106" ht="22.5" customHeight="1">
      <c r="A8106" s="49"/>
      <c r="C8106" s="400">
        <v>46129.0</v>
      </c>
      <c r="D8106" s="524">
        <v>1059.0</v>
      </c>
      <c r="E8106" s="544" t="s">
        <v>301</v>
      </c>
      <c r="F8106" s="387">
        <v>1.0</v>
      </c>
      <c r="G8106" s="140">
        <v>250000.0</v>
      </c>
      <c r="H8106" s="74"/>
      <c r="I8106" s="74">
        <f t="shared" si="1"/>
        <v>250000</v>
      </c>
      <c r="J8106" s="74">
        <f>IF(E8106="SERVICE",I8106-(I8106*50%),Vlookup(E8106,DATABASE!C:Q,10,false)*F8106)</f>
        <v>75000</v>
      </c>
      <c r="K8106" s="74">
        <f>VLOOKUP(E8106,DATABASE!C:Q,7,false)</f>
        <v>75000</v>
      </c>
      <c r="L8106" s="74">
        <v>75000.0</v>
      </c>
      <c r="M8106" s="74">
        <f t="shared" si="6"/>
        <v>75000</v>
      </c>
      <c r="N8106" s="74">
        <f t="shared" si="3"/>
        <v>100000</v>
      </c>
      <c r="O8106" s="65" t="str">
        <f>VLOOKUP(E8106,DATABASE!C:Q,8,false)</f>
        <v>BIAN</v>
      </c>
      <c r="P8106" s="65">
        <f>VLOOKUP(E8106,DATABASE!C:Q,9,False)</f>
        <v>0</v>
      </c>
      <c r="Q8106" s="93" t="str">
        <f>VLOOKUP(E8106,DATABASE!C:Q,4,false)</f>
        <v>Baut Camber</v>
      </c>
      <c r="R8106" s="93" t="str">
        <f>VLOOKUP(E8106,DATABASE!C:Q,11,false)</f>
        <v>COMPLEMENTARY</v>
      </c>
    </row>
    <row r="8107" ht="22.5" customHeight="1">
      <c r="A8107" s="49"/>
      <c r="C8107" s="400">
        <v>46129.0</v>
      </c>
      <c r="D8107" s="524">
        <v>1060.0</v>
      </c>
      <c r="E8107" s="544" t="s">
        <v>600</v>
      </c>
      <c r="F8107" s="387">
        <v>2.0</v>
      </c>
      <c r="G8107" s="140">
        <v>680000.0</v>
      </c>
      <c r="H8107" s="74"/>
      <c r="I8107" s="74">
        <f t="shared" si="1"/>
        <v>1360000</v>
      </c>
      <c r="J8107" s="74">
        <f>IF(E8107="SERVICE",I8107-(I8107*50%),Vlookup(E8107,DATABASE!C:Q,10,false)*F8107)</f>
        <v>0</v>
      </c>
      <c r="K8107" s="74">
        <f>VLOOKUP(E8107,DATABASE!C:Q,7,false)</f>
        <v>611109.16</v>
      </c>
      <c r="L8107" s="74">
        <v>588505.75</v>
      </c>
      <c r="M8107" s="74">
        <f t="shared" si="6"/>
        <v>590000</v>
      </c>
      <c r="N8107" s="74">
        <f t="shared" si="3"/>
        <v>180000</v>
      </c>
      <c r="O8107" s="65" t="str">
        <f>VLOOKUP(E8107,DATABASE!C:Q,8,false)</f>
        <v>IBU</v>
      </c>
      <c r="P8107" s="65">
        <f>VLOOKUP(E8107,DATABASE!C:Q,9,False)</f>
        <v>1</v>
      </c>
      <c r="Q8107" s="93" t="str">
        <f>VLOOKUP(E8107,DATABASE!C:Q,4,false)</f>
        <v>Bridgestone</v>
      </c>
      <c r="R8107" s="93" t="str">
        <f>VLOOKUP(E8107,DATABASE!C:Q,11,false)</f>
        <v>Tire</v>
      </c>
    </row>
    <row r="8108" ht="22.5" customHeight="1">
      <c r="A8108" s="49"/>
      <c r="C8108" s="400">
        <v>46129.0</v>
      </c>
      <c r="D8108" s="69">
        <v>1061.0</v>
      </c>
      <c r="E8108" s="544" t="s">
        <v>275</v>
      </c>
      <c r="F8108" s="387">
        <v>2.0</v>
      </c>
      <c r="G8108" s="140">
        <v>830000.0</v>
      </c>
      <c r="H8108" s="74"/>
      <c r="I8108" s="74">
        <f t="shared" si="1"/>
        <v>1660000</v>
      </c>
      <c r="J8108" s="74">
        <f>IF(E8108="SERVICE",I8108-(I8108*50%),Vlookup(E8108,DATABASE!C:Q,10,false)*F8108)</f>
        <v>0</v>
      </c>
      <c r="K8108" s="74">
        <f>VLOOKUP(E8108,DATABASE!C:Q,7,false)</f>
        <v>782000</v>
      </c>
      <c r="L8108" s="74">
        <v>745000.0</v>
      </c>
      <c r="M8108" s="74">
        <f t="shared" si="6"/>
        <v>745000</v>
      </c>
      <c r="N8108" s="74">
        <f t="shared" si="3"/>
        <v>170000</v>
      </c>
      <c r="O8108" s="65" t="str">
        <f>VLOOKUP(E8108,DATABASE!C:Q,8,false)</f>
        <v>IBU</v>
      </c>
      <c r="P8108" s="65">
        <f>VLOOKUP(E8108,DATABASE!C:Q,9,False)</f>
        <v>1</v>
      </c>
      <c r="Q8108" s="93" t="str">
        <f>VLOOKUP(E8108,DATABASE!C:Q,4,false)</f>
        <v>Dunlop</v>
      </c>
      <c r="R8108" s="93" t="str">
        <f>VLOOKUP(E8108,DATABASE!C:Q,11,false)</f>
        <v>Tire</v>
      </c>
    </row>
    <row r="8109" ht="22.5" customHeight="1">
      <c r="A8109" s="49"/>
      <c r="C8109" s="400">
        <v>46129.0</v>
      </c>
      <c r="D8109" s="524">
        <v>1062.0</v>
      </c>
      <c r="E8109" s="544" t="s">
        <v>1400</v>
      </c>
      <c r="F8109" s="387">
        <v>1.0</v>
      </c>
      <c r="G8109" s="140">
        <v>565000.0</v>
      </c>
      <c r="H8109" s="140">
        <v>15000.0</v>
      </c>
      <c r="I8109" s="74">
        <f t="shared" si="1"/>
        <v>550000</v>
      </c>
      <c r="J8109" s="74">
        <f>IF(E8109="SERVICE",I8109-(I8109*50%),Vlookup(E8109,DATABASE!C:Q,10,false)*F8109)</f>
        <v>0</v>
      </c>
      <c r="K8109" s="74">
        <f>VLOOKUP(E8109,DATABASE!C:Q,7,false)</f>
        <v>465000</v>
      </c>
      <c r="L8109" s="74">
        <v>465000.0</v>
      </c>
      <c r="M8109" s="74">
        <f t="shared" si="6"/>
        <v>465000</v>
      </c>
      <c r="N8109" s="74">
        <f t="shared" si="3"/>
        <v>85000</v>
      </c>
      <c r="O8109" s="65" t="str">
        <f>VLOOKUP(E8109,DATABASE!C:Q,8,false)</f>
        <v>IBU</v>
      </c>
      <c r="P8109" s="65">
        <f>VLOOKUP(E8109,DATABASE!C:Q,9,False)</f>
        <v>1</v>
      </c>
      <c r="Q8109" s="93" t="str">
        <f>VLOOKUP(E8109,DATABASE!C:Q,4,false)</f>
        <v>Dunlop</v>
      </c>
      <c r="R8109" s="93" t="str">
        <f>VLOOKUP(E8109,DATABASE!C:Q,11,false)</f>
        <v>Tire</v>
      </c>
    </row>
    <row r="8110" ht="22.5" customHeight="1">
      <c r="A8110" s="49"/>
      <c r="C8110" s="400">
        <v>46129.0</v>
      </c>
      <c r="D8110" s="524">
        <v>1063.0</v>
      </c>
      <c r="E8110" s="544" t="s">
        <v>299</v>
      </c>
      <c r="F8110" s="387">
        <v>2.0</v>
      </c>
      <c r="G8110" s="140">
        <v>30000.0</v>
      </c>
      <c r="H8110" s="74"/>
      <c r="I8110" s="74">
        <f t="shared" si="1"/>
        <v>60000</v>
      </c>
      <c r="J8110" s="74">
        <f>IF(E8110="SERVICE",I8110-(I8110*50%),Vlookup(E8110,DATABASE!C:Q,10,false)*F8110)</f>
        <v>0</v>
      </c>
      <c r="K8110" s="74">
        <f>VLOOKUP(E8110,DATABASE!C:Q,7,false)</f>
        <v>10000</v>
      </c>
      <c r="L8110" s="74">
        <v>10000.0</v>
      </c>
      <c r="M8110" s="74">
        <f t="shared" si="6"/>
        <v>10000</v>
      </c>
      <c r="N8110" s="74">
        <f t="shared" si="3"/>
        <v>40000</v>
      </c>
      <c r="O8110" s="65" t="str">
        <f>VLOOKUP(E8110,DATABASE!C:Q,8,false)</f>
        <v>BIAN</v>
      </c>
      <c r="P8110" s="65">
        <f>VLOOKUP(E8110,DATABASE!C:Q,9,False)</f>
        <v>0</v>
      </c>
      <c r="Q8110" s="93" t="str">
        <f>VLOOKUP(E8110,DATABASE!C:Q,4,false)</f>
        <v>Balancing</v>
      </c>
      <c r="R8110" s="93" t="str">
        <f>VLOOKUP(E8110,DATABASE!C:Q,11,false)</f>
        <v>COMPLEMENTARY</v>
      </c>
    </row>
    <row r="8111" ht="22.5" customHeight="1">
      <c r="A8111" s="49"/>
      <c r="C8111" s="400">
        <v>46129.0</v>
      </c>
      <c r="D8111" s="524">
        <v>1063.0</v>
      </c>
      <c r="E8111" s="544" t="s">
        <v>256</v>
      </c>
      <c r="F8111" s="387">
        <v>1.0</v>
      </c>
      <c r="G8111" s="140">
        <v>175000.0</v>
      </c>
      <c r="H8111" s="140">
        <v>25000.0</v>
      </c>
      <c r="I8111" s="74">
        <f t="shared" si="1"/>
        <v>150000</v>
      </c>
      <c r="J8111" s="74">
        <f>IF(E8111="SERVICE",I8111-(I8111*50%),Vlookup(E8111,DATABASE!C:Q,10,false)*F8111)</f>
        <v>10000</v>
      </c>
      <c r="K8111" s="74">
        <f>VLOOKUP(E8111,DATABASE!C:Q,7,false)</f>
        <v>0</v>
      </c>
      <c r="L8111" s="74">
        <v>0.0</v>
      </c>
      <c r="M8111" s="74">
        <f t="shared" si="6"/>
        <v>0</v>
      </c>
      <c r="N8111" s="74">
        <f t="shared" si="3"/>
        <v>140000</v>
      </c>
      <c r="O8111" s="65" t="str">
        <f>VLOOKUP(E8111,DATABASE!C:Q,8,false)</f>
        <v>IBU</v>
      </c>
      <c r="P8111" s="65">
        <f>VLOOKUP(E8111,DATABASE!C:Q,9,False)</f>
        <v>0</v>
      </c>
      <c r="Q8111" s="93" t="str">
        <f>VLOOKUP(E8111,DATABASE!C:Q,4,false)</f>
        <v>SPOORING</v>
      </c>
      <c r="R8111" s="93" t="str">
        <f>VLOOKUP(E8111,DATABASE!C:Q,11,false)</f>
        <v>SERVICE</v>
      </c>
    </row>
    <row r="8112" ht="22.5" customHeight="1">
      <c r="A8112" s="49"/>
      <c r="C8112" s="400">
        <v>46129.0</v>
      </c>
      <c r="D8112" s="524">
        <v>1063.0</v>
      </c>
      <c r="E8112" s="544" t="s">
        <v>251</v>
      </c>
      <c r="F8112" s="387">
        <v>1.0</v>
      </c>
      <c r="G8112" s="140">
        <v>350000.0</v>
      </c>
      <c r="H8112" s="140">
        <v>200000.0</v>
      </c>
      <c r="I8112" s="74">
        <f t="shared" si="1"/>
        <v>150000</v>
      </c>
      <c r="J8112" s="74">
        <f>IF(E8112="SERVICE",I8112-(I8112*50%),Vlookup(E8112,DATABASE!C:Q,10,false)*F8112)</f>
        <v>75000</v>
      </c>
      <c r="K8112" s="74">
        <f>VLOOKUP(E8112,DATABASE!C:Q,7,false)</f>
        <v>0</v>
      </c>
      <c r="L8112" s="74">
        <v>0.0</v>
      </c>
      <c r="M8112" s="74">
        <f t="shared" si="6"/>
        <v>0</v>
      </c>
      <c r="N8112" s="74">
        <f t="shared" si="3"/>
        <v>75000</v>
      </c>
      <c r="O8112" s="65" t="str">
        <f>VLOOKUP(E8112,DATABASE!C:Q,8,false)</f>
        <v>IBU</v>
      </c>
      <c r="P8112" s="65">
        <f>VLOOKUP(E8112,DATABASE!C:Q,9,False)</f>
        <v>0</v>
      </c>
      <c r="Q8112" s="93" t="str">
        <f>VLOOKUP(E8112,DATABASE!C:Q,4,false)</f>
        <v>SERVICE</v>
      </c>
      <c r="R8112" s="93" t="str">
        <f>VLOOKUP(E8112,DATABASE!C:Q,11,false)</f>
        <v>SERVICE</v>
      </c>
    </row>
    <row r="8113" ht="22.5" customHeight="1">
      <c r="A8113" s="49"/>
      <c r="C8113" s="400">
        <v>46129.0</v>
      </c>
      <c r="D8113" s="524">
        <v>1066.0</v>
      </c>
      <c r="E8113" s="544" t="s">
        <v>569</v>
      </c>
      <c r="F8113" s="387">
        <v>1.0</v>
      </c>
      <c r="G8113" s="140">
        <v>80000.0</v>
      </c>
      <c r="H8113" s="74"/>
      <c r="I8113" s="74">
        <f t="shared" si="1"/>
        <v>80000</v>
      </c>
      <c r="J8113" s="74">
        <f>IF(E8113="SERVICE",I8113-(I8113*50%),Vlookup(E8113,DATABASE!C:Q,10,false)*F8113)</f>
        <v>0</v>
      </c>
      <c r="K8113" s="74">
        <f>VLOOKUP(E8113,DATABASE!C:Q,7,false)</f>
        <v>45439.582</v>
      </c>
      <c r="L8113" s="74">
        <v>45309.6</v>
      </c>
      <c r="M8113" s="74">
        <f t="shared" si="6"/>
        <v>50000</v>
      </c>
      <c r="N8113" s="74">
        <f t="shared" si="3"/>
        <v>30000</v>
      </c>
      <c r="O8113" s="65" t="str">
        <f>VLOOKUP(E8113,DATABASE!C:Q,8,false)</f>
        <v>BIAN</v>
      </c>
      <c r="P8113" s="65">
        <f>VLOOKUP(E8113,DATABASE!C:Q,9,False)</f>
        <v>1</v>
      </c>
      <c r="Q8113" s="93" t="str">
        <f>VLOOKUP(E8113,DATABASE!C:Q,4,false)</f>
        <v>BD</v>
      </c>
      <c r="R8113" s="93" t="str">
        <f>VLOOKUP(E8113,DATABASE!C:Q,11,false)</f>
        <v>Tire</v>
      </c>
    </row>
    <row r="8114" ht="22.5" customHeight="1">
      <c r="A8114" s="49"/>
      <c r="C8114" s="400">
        <v>46129.0</v>
      </c>
      <c r="D8114" s="69" t="s">
        <v>2785</v>
      </c>
      <c r="E8114" s="544" t="s">
        <v>263</v>
      </c>
      <c r="F8114" s="387">
        <v>1.0</v>
      </c>
      <c r="G8114" s="140">
        <v>345000.0</v>
      </c>
      <c r="H8114" s="74"/>
      <c r="I8114" s="74">
        <f t="shared" si="1"/>
        <v>345000</v>
      </c>
      <c r="J8114" s="74">
        <f>IF(E8114="SERVICE",I8114-(I8114*50%),Vlookup(E8114,DATABASE!C:Q,10,false)*F8114)</f>
        <v>0</v>
      </c>
      <c r="K8114" s="74">
        <f>VLOOKUP(E8114,DATABASE!C:Q,7,false)</f>
        <v>334916</v>
      </c>
      <c r="L8114" s="74">
        <v>292600.0</v>
      </c>
      <c r="M8114" s="74">
        <f t="shared" si="6"/>
        <v>295000</v>
      </c>
      <c r="N8114" s="74">
        <f t="shared" si="3"/>
        <v>50000</v>
      </c>
      <c r="O8114" s="65" t="str">
        <f>VLOOKUP(E8114,DATABASE!C:Q,8,false)</f>
        <v>NON</v>
      </c>
      <c r="P8114" s="65">
        <f>VLOOKUP(E8114,DATABASE!C:Q,9,False)</f>
        <v>0</v>
      </c>
      <c r="Q8114" s="93" t="str">
        <f>VLOOKUP(E8114,DATABASE!C:Q,4,false)</f>
        <v>Shell</v>
      </c>
      <c r="R8114" s="93" t="str">
        <f>VLOOKUP(E8114,DATABASE!C:Q,11,false)</f>
        <v>OIL</v>
      </c>
    </row>
    <row r="8115" ht="22.5" customHeight="1">
      <c r="A8115" s="49"/>
      <c r="C8115" s="400">
        <v>46129.0</v>
      </c>
      <c r="D8115" s="69" t="s">
        <v>2785</v>
      </c>
      <c r="E8115" s="544" t="s">
        <v>298</v>
      </c>
      <c r="F8115" s="387">
        <v>1.0</v>
      </c>
      <c r="G8115" s="140">
        <v>25000.0</v>
      </c>
      <c r="H8115" s="74"/>
      <c r="I8115" s="74">
        <f t="shared" si="1"/>
        <v>25000</v>
      </c>
      <c r="J8115" s="74">
        <f>IF(E8115="SERVICE",I8115-(I8115*50%),Vlookup(E8115,DATABASE!C:Q,10,false)*F8115)</f>
        <v>0</v>
      </c>
      <c r="K8115" s="74">
        <f>VLOOKUP(E8115,DATABASE!C:Q,7,false)</f>
        <v>19200</v>
      </c>
      <c r="L8115" s="74">
        <v>19200.0</v>
      </c>
      <c r="M8115" s="74">
        <f t="shared" si="6"/>
        <v>20000</v>
      </c>
      <c r="N8115" s="74">
        <f t="shared" si="3"/>
        <v>5000</v>
      </c>
      <c r="O8115" s="65" t="str">
        <f>VLOOKUP(E8115,DATABASE!C:Q,8,false)</f>
        <v>BIAN</v>
      </c>
      <c r="P8115" s="65">
        <f>VLOOKUP(E8115,DATABASE!C:Q,9,False)</f>
        <v>0</v>
      </c>
      <c r="Q8115" s="93" t="str">
        <f>VLOOKUP(E8115,DATABASE!C:Q,4,false)</f>
        <v>Aspira</v>
      </c>
      <c r="R8115" s="93" t="str">
        <f>VLOOKUP(E8115,DATABASE!C:Q,11,false)</f>
        <v>COMPLEMENTARY</v>
      </c>
    </row>
    <row r="8116" ht="22.5" customHeight="1">
      <c r="A8116" s="49"/>
      <c r="C8116" s="400">
        <v>46130.0</v>
      </c>
      <c r="D8116" s="524">
        <v>1067.0</v>
      </c>
      <c r="E8116" s="544" t="s">
        <v>295</v>
      </c>
      <c r="F8116" s="387">
        <v>4.0</v>
      </c>
      <c r="G8116" s="140">
        <v>1525000.0</v>
      </c>
      <c r="H8116" s="140">
        <v>20000.0</v>
      </c>
      <c r="I8116" s="74">
        <f t="shared" si="1"/>
        <v>6020000</v>
      </c>
      <c r="J8116" s="74">
        <f>IF(E8116="SERVICE",I8116-(I8116*50%),Vlookup(E8116,DATABASE!C:Q,10,false)*F8116)</f>
        <v>0</v>
      </c>
      <c r="K8116" s="74">
        <f>VLOOKUP(E8116,DATABASE!C:Q,7,false)</f>
        <v>1475000</v>
      </c>
      <c r="L8116" s="74">
        <v>1425000.0</v>
      </c>
      <c r="M8116" s="74">
        <f t="shared" si="6"/>
        <v>1425000</v>
      </c>
      <c r="N8116" s="74">
        <f t="shared" si="3"/>
        <v>320000</v>
      </c>
      <c r="O8116" s="65" t="str">
        <f>VLOOKUP(E8116,DATABASE!C:Q,8,false)</f>
        <v>BIAN</v>
      </c>
      <c r="P8116" s="65">
        <f>VLOOKUP(E8116,DATABASE!C:Q,9,False)</f>
        <v>1</v>
      </c>
      <c r="Q8116" s="93" t="str">
        <f>VLOOKUP(E8116,DATABASE!C:Q,4,false)</f>
        <v>TIRON</v>
      </c>
      <c r="R8116" s="93" t="str">
        <f>VLOOKUP(E8116,DATABASE!C:Q,11,false)</f>
        <v>Tire</v>
      </c>
    </row>
    <row r="8117" ht="22.5" customHeight="1">
      <c r="A8117" s="49"/>
      <c r="C8117" s="400">
        <v>46130.0</v>
      </c>
      <c r="D8117" s="524">
        <v>1068.0</v>
      </c>
      <c r="E8117" s="544" t="s">
        <v>275</v>
      </c>
      <c r="F8117" s="387">
        <v>1.0</v>
      </c>
      <c r="G8117" s="140">
        <v>830000.0</v>
      </c>
      <c r="H8117" s="74"/>
      <c r="I8117" s="74">
        <f t="shared" si="1"/>
        <v>830000</v>
      </c>
      <c r="J8117" s="74">
        <f>IF(E8117="SERVICE",I8117-(I8117*50%),Vlookup(E8117,DATABASE!C:Q,10,false)*F8117)</f>
        <v>0</v>
      </c>
      <c r="K8117" s="74">
        <f>VLOOKUP(E8117,DATABASE!C:Q,7,false)</f>
        <v>782000</v>
      </c>
      <c r="L8117" s="74">
        <v>745000.0</v>
      </c>
      <c r="M8117" s="74">
        <f t="shared" si="6"/>
        <v>745000</v>
      </c>
      <c r="N8117" s="74">
        <f t="shared" si="3"/>
        <v>85000</v>
      </c>
      <c r="O8117" s="65" t="str">
        <f>VLOOKUP(E8117,DATABASE!C:Q,8,false)</f>
        <v>IBU</v>
      </c>
      <c r="P8117" s="65">
        <f>VLOOKUP(E8117,DATABASE!C:Q,9,False)</f>
        <v>1</v>
      </c>
      <c r="Q8117" s="93" t="str">
        <f>VLOOKUP(E8117,DATABASE!C:Q,4,false)</f>
        <v>Dunlop</v>
      </c>
      <c r="R8117" s="93" t="str">
        <f>VLOOKUP(E8117,DATABASE!C:Q,11,false)</f>
        <v>Tire</v>
      </c>
    </row>
    <row r="8118" ht="22.5" customHeight="1">
      <c r="A8118" s="49"/>
      <c r="C8118" s="400">
        <v>46130.0</v>
      </c>
      <c r="D8118" s="524">
        <v>1069.0</v>
      </c>
      <c r="E8118" s="544" t="s">
        <v>777</v>
      </c>
      <c r="F8118" s="387">
        <v>2.0</v>
      </c>
      <c r="G8118" s="140">
        <v>600000.0</v>
      </c>
      <c r="H8118" s="74"/>
      <c r="I8118" s="74">
        <f t="shared" si="1"/>
        <v>1200000</v>
      </c>
      <c r="J8118" s="74">
        <f>IF(E8118="SERVICE",I8118-(I8118*50%),Vlookup(E8118,DATABASE!C:Q,10,false)*F8118)</f>
        <v>0</v>
      </c>
      <c r="K8118" s="74">
        <f>VLOOKUP(E8118,DATABASE!C:Q,7,false)</f>
        <v>540000</v>
      </c>
      <c r="L8118" s="74">
        <v>505000.0</v>
      </c>
      <c r="M8118" s="74">
        <f t="shared" si="6"/>
        <v>505000</v>
      </c>
      <c r="N8118" s="74">
        <f t="shared" si="3"/>
        <v>190000</v>
      </c>
      <c r="O8118" s="65" t="str">
        <f>VLOOKUP(E8118,DATABASE!C:Q,8,false)</f>
        <v>BIAN</v>
      </c>
      <c r="P8118" s="65">
        <f>VLOOKUP(E8118,DATABASE!C:Q,9,False)</f>
        <v>1</v>
      </c>
      <c r="Q8118" s="93" t="str">
        <f>VLOOKUP(E8118,DATABASE!C:Q,4,false)</f>
        <v>GT</v>
      </c>
      <c r="R8118" s="93" t="str">
        <f>VLOOKUP(E8118,DATABASE!C:Q,11,false)</f>
        <v>Tire</v>
      </c>
    </row>
    <row r="8119" ht="22.5" customHeight="1">
      <c r="A8119" s="49"/>
      <c r="C8119" s="400">
        <v>46130.0</v>
      </c>
      <c r="D8119" s="524">
        <v>1070.0</v>
      </c>
      <c r="E8119" s="544" t="s">
        <v>605</v>
      </c>
      <c r="F8119" s="387">
        <v>2.0</v>
      </c>
      <c r="G8119" s="140">
        <v>765000.0</v>
      </c>
      <c r="H8119" s="74"/>
      <c r="I8119" s="74">
        <f t="shared" si="1"/>
        <v>1530000</v>
      </c>
      <c r="J8119" s="74">
        <f>IF(E8119="SERVICE",I8119-(I8119*50%),Vlookup(E8119,DATABASE!C:Q,10,false)*F8119)</f>
        <v>0</v>
      </c>
      <c r="K8119" s="74">
        <f>VLOOKUP(E8119,DATABASE!C:Q,7,false)</f>
        <v>675000</v>
      </c>
      <c r="L8119" s="74">
        <v>675000.0</v>
      </c>
      <c r="M8119" s="74">
        <f t="shared" si="6"/>
        <v>675000</v>
      </c>
      <c r="N8119" s="74">
        <f t="shared" si="3"/>
        <v>180000</v>
      </c>
      <c r="O8119" s="65" t="str">
        <f>VLOOKUP(E8119,DATABASE!C:Q,8,false)</f>
        <v>IBU</v>
      </c>
      <c r="P8119" s="65">
        <f>VLOOKUP(E8119,DATABASE!C:Q,9,False)</f>
        <v>1</v>
      </c>
      <c r="Q8119" s="93" t="str">
        <f>VLOOKUP(E8119,DATABASE!C:Q,4,false)</f>
        <v>Bridgestone</v>
      </c>
      <c r="R8119" s="93" t="str">
        <f>VLOOKUP(E8119,DATABASE!C:Q,11,false)</f>
        <v>Tire</v>
      </c>
    </row>
    <row r="8120" ht="22.5" customHeight="1">
      <c r="A8120" s="49"/>
      <c r="C8120" s="400">
        <v>46130.0</v>
      </c>
      <c r="D8120" s="524">
        <v>1071.0</v>
      </c>
      <c r="E8120" s="544" t="s">
        <v>572</v>
      </c>
      <c r="F8120" s="387">
        <v>2.0</v>
      </c>
      <c r="G8120" s="140">
        <v>1370000.0</v>
      </c>
      <c r="H8120" s="140">
        <v>20000.0</v>
      </c>
      <c r="I8120" s="74">
        <f t="shared" si="1"/>
        <v>2700000</v>
      </c>
      <c r="J8120" s="74">
        <f>IF(E8120="SERVICE",I8120-(I8120*50%),Vlookup(E8120,DATABASE!C:Q,10,false)*F8120)</f>
        <v>0</v>
      </c>
      <c r="K8120" s="74">
        <f>VLOOKUP(E8120,DATABASE!C:Q,7,false)</f>
        <v>1265000</v>
      </c>
      <c r="L8120" s="74">
        <v>1245000.0</v>
      </c>
      <c r="M8120" s="74">
        <f t="shared" si="6"/>
        <v>1245000</v>
      </c>
      <c r="N8120" s="74">
        <f t="shared" si="3"/>
        <v>210000</v>
      </c>
      <c r="O8120" s="65" t="str">
        <f>VLOOKUP(E8120,DATABASE!C:Q,8,false)</f>
        <v>IBU</v>
      </c>
      <c r="P8120" s="65">
        <f>VLOOKUP(E8120,DATABASE!C:Q,9,False)</f>
        <v>1</v>
      </c>
      <c r="Q8120" s="93" t="str">
        <f>VLOOKUP(E8120,DATABASE!C:Q,4,false)</f>
        <v>Bridgestone</v>
      </c>
      <c r="R8120" s="93" t="str">
        <f>VLOOKUP(E8120,DATABASE!C:Q,11,false)</f>
        <v>Tire</v>
      </c>
    </row>
    <row r="8121" ht="22.5" customHeight="1">
      <c r="A8121" s="49"/>
      <c r="C8121" s="400">
        <v>46130.0</v>
      </c>
      <c r="D8121" s="524">
        <v>1072.0</v>
      </c>
      <c r="E8121" s="544" t="s">
        <v>256</v>
      </c>
      <c r="F8121" s="387">
        <v>1.0</v>
      </c>
      <c r="G8121" s="140">
        <v>175000.0</v>
      </c>
      <c r="H8121" s="140">
        <v>25000.0</v>
      </c>
      <c r="I8121" s="74">
        <f t="shared" si="1"/>
        <v>150000</v>
      </c>
      <c r="J8121" s="74">
        <f>IF(E8121="SERVICE",I8121-(I8121*50%),Vlookup(E8121,DATABASE!C:Q,10,false)*F8121)</f>
        <v>10000</v>
      </c>
      <c r="K8121" s="74">
        <f>VLOOKUP(E8121,DATABASE!C:Q,7,false)</f>
        <v>0</v>
      </c>
      <c r="L8121" s="74">
        <v>0.0</v>
      </c>
      <c r="M8121" s="74">
        <f t="shared" si="6"/>
        <v>0</v>
      </c>
      <c r="N8121" s="74">
        <f t="shared" si="3"/>
        <v>140000</v>
      </c>
      <c r="O8121" s="65" t="str">
        <f>VLOOKUP(E8121,DATABASE!C:Q,8,false)</f>
        <v>IBU</v>
      </c>
      <c r="P8121" s="65">
        <f>VLOOKUP(E8121,DATABASE!C:Q,9,False)</f>
        <v>0</v>
      </c>
      <c r="Q8121" s="93" t="str">
        <f>VLOOKUP(E8121,DATABASE!C:Q,4,false)</f>
        <v>SPOORING</v>
      </c>
      <c r="R8121" s="93" t="str">
        <f>VLOOKUP(E8121,DATABASE!C:Q,11,false)</f>
        <v>SERVICE</v>
      </c>
    </row>
    <row r="8122" ht="22.5" customHeight="1">
      <c r="A8122" s="49"/>
      <c r="C8122" s="400">
        <v>46130.0</v>
      </c>
      <c r="D8122" s="524">
        <v>1072.0</v>
      </c>
      <c r="E8122" s="544" t="s">
        <v>301</v>
      </c>
      <c r="F8122" s="387">
        <v>1.0</v>
      </c>
      <c r="G8122" s="140">
        <v>250000.0</v>
      </c>
      <c r="H8122" s="74"/>
      <c r="I8122" s="74">
        <f t="shared" si="1"/>
        <v>250000</v>
      </c>
      <c r="J8122" s="74">
        <f>IF(E8122="SERVICE",I8122-(I8122*50%),Vlookup(E8122,DATABASE!C:Q,10,false)*F8122)</f>
        <v>75000</v>
      </c>
      <c r="K8122" s="74">
        <f>VLOOKUP(E8122,DATABASE!C:Q,7,false)</f>
        <v>75000</v>
      </c>
      <c r="L8122" s="74">
        <v>75000.0</v>
      </c>
      <c r="M8122" s="74">
        <f t="shared" si="6"/>
        <v>75000</v>
      </c>
      <c r="N8122" s="74">
        <f t="shared" si="3"/>
        <v>100000</v>
      </c>
      <c r="O8122" s="65" t="str">
        <f>VLOOKUP(E8122,DATABASE!C:Q,8,false)</f>
        <v>BIAN</v>
      </c>
      <c r="P8122" s="65">
        <f>VLOOKUP(E8122,DATABASE!C:Q,9,False)</f>
        <v>0</v>
      </c>
      <c r="Q8122" s="93" t="str">
        <f>VLOOKUP(E8122,DATABASE!C:Q,4,false)</f>
        <v>Baut Camber</v>
      </c>
      <c r="R8122" s="93" t="str">
        <f>VLOOKUP(E8122,DATABASE!C:Q,11,false)</f>
        <v>COMPLEMENTARY</v>
      </c>
    </row>
    <row r="8123" ht="22.5" customHeight="1">
      <c r="A8123" s="49"/>
      <c r="C8123" s="400">
        <v>46130.0</v>
      </c>
      <c r="D8123" s="524">
        <v>1073.0</v>
      </c>
      <c r="E8123" s="544" t="s">
        <v>932</v>
      </c>
      <c r="F8123" s="387">
        <v>2.0</v>
      </c>
      <c r="G8123" s="140">
        <v>690000.0</v>
      </c>
      <c r="H8123" s="74"/>
      <c r="I8123" s="74">
        <f t="shared" si="1"/>
        <v>1380000</v>
      </c>
      <c r="J8123" s="74">
        <f>IF(E8123="SERVICE",I8123-(I8123*50%),Vlookup(E8123,DATABASE!C:Q,10,false)*F8123)</f>
        <v>0</v>
      </c>
      <c r="K8123" s="74">
        <f>VLOOKUP(E8123,DATABASE!C:Q,7,false)</f>
        <v>601000</v>
      </c>
      <c r="L8123" s="74">
        <v>601000.0</v>
      </c>
      <c r="M8123" s="74">
        <f t="shared" si="6"/>
        <v>605000</v>
      </c>
      <c r="N8123" s="74">
        <f t="shared" si="3"/>
        <v>170000</v>
      </c>
      <c r="O8123" s="65" t="str">
        <f>VLOOKUP(E8123,DATABASE!C:Q,8,false)</f>
        <v>IBU</v>
      </c>
      <c r="P8123" s="65">
        <f>VLOOKUP(E8123,DATABASE!C:Q,9,False)</f>
        <v>1</v>
      </c>
      <c r="Q8123" s="93" t="str">
        <f>VLOOKUP(E8123,DATABASE!C:Q,4,false)</f>
        <v>Dunlop</v>
      </c>
      <c r="R8123" s="93" t="str">
        <f>VLOOKUP(E8123,DATABASE!C:Q,11,false)</f>
        <v>Tire</v>
      </c>
    </row>
    <row r="8124" ht="22.5" customHeight="1">
      <c r="A8124" s="49"/>
      <c r="C8124" s="400">
        <v>46130.0</v>
      </c>
      <c r="D8124" s="524">
        <v>1074.0</v>
      </c>
      <c r="E8124" s="544" t="s">
        <v>1489</v>
      </c>
      <c r="F8124" s="387">
        <v>2.0</v>
      </c>
      <c r="G8124" s="140">
        <v>700000.0</v>
      </c>
      <c r="H8124" s="74"/>
      <c r="I8124" s="74">
        <f t="shared" si="1"/>
        <v>1400000</v>
      </c>
      <c r="J8124" s="74">
        <f>IF(E8124="SERVICE",I8124-(I8124*50%),Vlookup(E8124,DATABASE!C:Q,10,false)*F8124)</f>
        <v>0</v>
      </c>
      <c r="K8124" s="74">
        <f>VLOOKUP(E8124,DATABASE!C:Q,7,false)</f>
        <v>609000</v>
      </c>
      <c r="L8124" s="74">
        <v>609000.0</v>
      </c>
      <c r="M8124" s="74">
        <f t="shared" si="6"/>
        <v>610000</v>
      </c>
      <c r="N8124" s="74">
        <f t="shared" si="3"/>
        <v>180000</v>
      </c>
      <c r="O8124" s="65" t="str">
        <f>VLOOKUP(E8124,DATABASE!C:Q,8,false)</f>
        <v>IBU</v>
      </c>
      <c r="P8124" s="65">
        <f>VLOOKUP(E8124,DATABASE!C:Q,9,False)</f>
        <v>1</v>
      </c>
      <c r="Q8124" s="93" t="str">
        <f>VLOOKUP(E8124,DATABASE!C:Q,4,false)</f>
        <v>Dunlop</v>
      </c>
      <c r="R8124" s="93" t="str">
        <f>VLOOKUP(E8124,DATABASE!C:Q,11,false)</f>
        <v>Tire</v>
      </c>
    </row>
    <row r="8125" ht="22.5" customHeight="1">
      <c r="A8125" s="49"/>
      <c r="C8125" s="400">
        <v>46130.0</v>
      </c>
      <c r="D8125" s="524">
        <v>1075.0</v>
      </c>
      <c r="E8125" s="544" t="s">
        <v>256</v>
      </c>
      <c r="F8125" s="387">
        <v>1.0</v>
      </c>
      <c r="G8125" s="140">
        <v>175000.0</v>
      </c>
      <c r="H8125" s="140">
        <v>25000.0</v>
      </c>
      <c r="I8125" s="74">
        <f t="shared" si="1"/>
        <v>150000</v>
      </c>
      <c r="J8125" s="74">
        <f>IF(E8125="SERVICE",I8125-(I8125*50%),Vlookup(E8125,DATABASE!C:Q,10,false)*F8125)</f>
        <v>10000</v>
      </c>
      <c r="K8125" s="74">
        <f>VLOOKUP(E8125,DATABASE!C:Q,7,false)</f>
        <v>0</v>
      </c>
      <c r="L8125" s="74">
        <v>0.0</v>
      </c>
      <c r="M8125" s="74">
        <f t="shared" si="6"/>
        <v>0</v>
      </c>
      <c r="N8125" s="74">
        <f t="shared" si="3"/>
        <v>140000</v>
      </c>
      <c r="O8125" s="65" t="str">
        <f>VLOOKUP(E8125,DATABASE!C:Q,8,false)</f>
        <v>IBU</v>
      </c>
      <c r="P8125" s="65">
        <f>VLOOKUP(E8125,DATABASE!C:Q,9,False)</f>
        <v>0</v>
      </c>
      <c r="Q8125" s="93" t="str">
        <f>VLOOKUP(E8125,DATABASE!C:Q,4,false)</f>
        <v>SPOORING</v>
      </c>
      <c r="R8125" s="93" t="str">
        <f>VLOOKUP(E8125,DATABASE!C:Q,11,false)</f>
        <v>SERVICE</v>
      </c>
    </row>
    <row r="8126" ht="22.5" customHeight="1">
      <c r="A8126" s="49"/>
      <c r="C8126" s="400">
        <v>46130.0</v>
      </c>
      <c r="D8126" s="524">
        <v>1075.0</v>
      </c>
      <c r="E8126" s="544" t="s">
        <v>299</v>
      </c>
      <c r="F8126" s="387">
        <v>2.0</v>
      </c>
      <c r="G8126" s="140">
        <v>30000.0</v>
      </c>
      <c r="H8126" s="74"/>
      <c r="I8126" s="74">
        <f t="shared" si="1"/>
        <v>60000</v>
      </c>
      <c r="J8126" s="74">
        <f>IF(E8126="SERVICE",I8126-(I8126*50%),Vlookup(E8126,DATABASE!C:Q,10,false)*F8126)</f>
        <v>0</v>
      </c>
      <c r="K8126" s="74">
        <f>VLOOKUP(E8126,DATABASE!C:Q,7,false)</f>
        <v>10000</v>
      </c>
      <c r="L8126" s="74">
        <v>10000.0</v>
      </c>
      <c r="M8126" s="74">
        <f t="shared" si="6"/>
        <v>10000</v>
      </c>
      <c r="N8126" s="74">
        <f t="shared" si="3"/>
        <v>40000</v>
      </c>
      <c r="O8126" s="65" t="str">
        <f>VLOOKUP(E8126,DATABASE!C:Q,8,false)</f>
        <v>BIAN</v>
      </c>
      <c r="P8126" s="65">
        <f>VLOOKUP(E8126,DATABASE!C:Q,9,False)</f>
        <v>0</v>
      </c>
      <c r="Q8126" s="93" t="str">
        <f>VLOOKUP(E8126,DATABASE!C:Q,4,false)</f>
        <v>Balancing</v>
      </c>
      <c r="R8126" s="93" t="str">
        <f>VLOOKUP(E8126,DATABASE!C:Q,11,false)</f>
        <v>COMPLEMENTARY</v>
      </c>
    </row>
    <row r="8127" ht="22.5" customHeight="1">
      <c r="A8127" s="49"/>
      <c r="C8127" s="400">
        <v>46130.0</v>
      </c>
      <c r="D8127" s="524">
        <v>1075.0</v>
      </c>
      <c r="E8127" s="544" t="s">
        <v>301</v>
      </c>
      <c r="F8127" s="387">
        <v>1.0</v>
      </c>
      <c r="G8127" s="140">
        <v>250000.0</v>
      </c>
      <c r="H8127" s="74"/>
      <c r="I8127" s="74">
        <f t="shared" si="1"/>
        <v>250000</v>
      </c>
      <c r="J8127" s="74">
        <f>IF(E8127="SERVICE",I8127-(I8127*50%),Vlookup(E8127,DATABASE!C:Q,10,false)*F8127)</f>
        <v>75000</v>
      </c>
      <c r="K8127" s="74">
        <f>VLOOKUP(E8127,DATABASE!C:Q,7,false)</f>
        <v>75000</v>
      </c>
      <c r="L8127" s="74">
        <v>75000.0</v>
      </c>
      <c r="M8127" s="74">
        <f t="shared" si="6"/>
        <v>75000</v>
      </c>
      <c r="N8127" s="74">
        <f t="shared" si="3"/>
        <v>100000</v>
      </c>
      <c r="O8127" s="65" t="str">
        <f>VLOOKUP(E8127,DATABASE!C:Q,8,false)</f>
        <v>BIAN</v>
      </c>
      <c r="P8127" s="65">
        <f>VLOOKUP(E8127,DATABASE!C:Q,9,False)</f>
        <v>0</v>
      </c>
      <c r="Q8127" s="93" t="str">
        <f>VLOOKUP(E8127,DATABASE!C:Q,4,false)</f>
        <v>Baut Camber</v>
      </c>
      <c r="R8127" s="93" t="str">
        <f>VLOOKUP(E8127,DATABASE!C:Q,11,false)</f>
        <v>COMPLEMENTARY</v>
      </c>
    </row>
    <row r="8128" ht="22.5" customHeight="1">
      <c r="A8128" s="49"/>
      <c r="C8128" s="400">
        <v>46130.0</v>
      </c>
      <c r="D8128" s="524">
        <v>1076.0</v>
      </c>
      <c r="E8128" s="544" t="s">
        <v>268</v>
      </c>
      <c r="F8128" s="387">
        <v>1.0</v>
      </c>
      <c r="G8128" s="140">
        <v>710000.0</v>
      </c>
      <c r="H8128" s="74"/>
      <c r="I8128" s="74">
        <f t="shared" si="1"/>
        <v>710000</v>
      </c>
      <c r="J8128" s="74">
        <f>IF(E8128="SERVICE",I8128-(I8128*50%),Vlookup(E8128,DATABASE!C:Q,10,false)*F8128)</f>
        <v>0</v>
      </c>
      <c r="K8128" s="74">
        <f>VLOOKUP(E8128,DATABASE!C:Q,7,false)</f>
        <v>653000</v>
      </c>
      <c r="L8128" s="74">
        <v>622000.0</v>
      </c>
      <c r="M8128" s="74">
        <f t="shared" si="6"/>
        <v>625000</v>
      </c>
      <c r="N8128" s="74">
        <f t="shared" si="3"/>
        <v>85000</v>
      </c>
      <c r="O8128" s="65" t="str">
        <f>VLOOKUP(E8128,DATABASE!C:Q,8,false)</f>
        <v>IBU</v>
      </c>
      <c r="P8128" s="65">
        <f>VLOOKUP(E8128,DATABASE!C:Q,9,False)</f>
        <v>1</v>
      </c>
      <c r="Q8128" s="93" t="str">
        <f>VLOOKUP(E8128,DATABASE!C:Q,4,false)</f>
        <v>Dunlop</v>
      </c>
      <c r="R8128" s="93" t="str">
        <f>VLOOKUP(E8128,DATABASE!C:Q,11,false)</f>
        <v>Tire</v>
      </c>
    </row>
    <row r="8129" ht="22.5" customHeight="1">
      <c r="A8129" s="49"/>
      <c r="C8129" s="400">
        <v>46130.0</v>
      </c>
      <c r="D8129" s="524">
        <v>1076.0</v>
      </c>
      <c r="E8129" s="544" t="s">
        <v>262</v>
      </c>
      <c r="F8129" s="387">
        <v>1.0</v>
      </c>
      <c r="G8129" s="140">
        <v>130000.0</v>
      </c>
      <c r="H8129" s="74"/>
      <c r="I8129" s="74">
        <f t="shared" si="1"/>
        <v>130000</v>
      </c>
      <c r="J8129" s="74">
        <f>IF(E8129="SERVICE",I8129-(I8129*50%),Vlookup(E8129,DATABASE!C:Q,10,false)*F8129)</f>
        <v>5000</v>
      </c>
      <c r="K8129" s="74">
        <f>VLOOKUP(E8129,DATABASE!C:Q,7,false)</f>
        <v>0</v>
      </c>
      <c r="L8129" s="74">
        <v>0.0</v>
      </c>
      <c r="M8129" s="74">
        <f t="shared" si="6"/>
        <v>0</v>
      </c>
      <c r="N8129" s="74">
        <f t="shared" si="3"/>
        <v>125000</v>
      </c>
      <c r="O8129" s="65" t="str">
        <f>VLOOKUP(E8129,DATABASE!C:Q,8,false)</f>
        <v>IBU</v>
      </c>
      <c r="P8129" s="65">
        <f>VLOOKUP(E8129,DATABASE!C:Q,9,False)</f>
        <v>0</v>
      </c>
      <c r="Q8129" s="93" t="str">
        <f>VLOOKUP(E8129,DATABASE!C:Q,4,false)</f>
        <v>SPOORING SS/CARRY LOS BAK</v>
      </c>
      <c r="R8129" s="93" t="str">
        <f>VLOOKUP(E8129,DATABASE!C:Q,11,false)</f>
        <v>SERVICE</v>
      </c>
    </row>
    <row r="8130" ht="22.5" customHeight="1">
      <c r="A8130" s="49"/>
      <c r="C8130" s="400">
        <v>46130.0</v>
      </c>
      <c r="D8130" s="524">
        <v>1076.0</v>
      </c>
      <c r="E8130" s="544" t="s">
        <v>478</v>
      </c>
      <c r="F8130" s="387">
        <v>1.0</v>
      </c>
      <c r="G8130" s="140">
        <v>200000.0</v>
      </c>
      <c r="H8130" s="74"/>
      <c r="I8130" s="74">
        <f t="shared" si="1"/>
        <v>200000</v>
      </c>
      <c r="J8130" s="74">
        <f>IF(E8130="SERVICE",I8130-(I8130*50%),Vlookup(E8130,DATABASE!C:Q,10,false)*F8130)</f>
        <v>25000</v>
      </c>
      <c r="K8130" s="74">
        <f>VLOOKUP(E8130,DATABASE!C:Q,7,false)</f>
        <v>75000</v>
      </c>
      <c r="L8130" s="74">
        <v>75000.0</v>
      </c>
      <c r="M8130" s="74">
        <f t="shared" si="6"/>
        <v>75000</v>
      </c>
      <c r="N8130" s="74">
        <f t="shared" si="3"/>
        <v>100000</v>
      </c>
      <c r="O8130" s="65" t="str">
        <f>VLOOKUP(E8130,DATABASE!C:Q,8,false)</f>
        <v>BIAN</v>
      </c>
      <c r="P8130" s="65">
        <f>VLOOKUP(E8130,DATABASE!C:Q,9,False)</f>
        <v>0</v>
      </c>
      <c r="Q8130" s="93" t="str">
        <f>VLOOKUP(E8130,DATABASE!C:Q,4,false)</f>
        <v>Baut Camber ss-carry</v>
      </c>
      <c r="R8130" s="93" t="str">
        <f>VLOOKUP(E8130,DATABASE!C:Q,11,false)</f>
        <v>COMPLEMENTARY</v>
      </c>
    </row>
    <row r="8131" ht="22.5" customHeight="1">
      <c r="A8131" s="49"/>
      <c r="C8131" s="400">
        <v>46130.0</v>
      </c>
      <c r="D8131" s="524">
        <v>1076.0</v>
      </c>
      <c r="E8131" s="544" t="s">
        <v>2652</v>
      </c>
      <c r="F8131" s="387">
        <v>1.0</v>
      </c>
      <c r="G8131" s="140">
        <v>300000.0</v>
      </c>
      <c r="H8131" s="74"/>
      <c r="I8131" s="74">
        <f t="shared" si="1"/>
        <v>300000</v>
      </c>
      <c r="J8131" s="74">
        <f>IF(E8131="SERVICE",I8131-(I8131*50%),Vlookup(E8131,DATABASE!C:Q,10,false)*F8131)</f>
        <v>75000</v>
      </c>
      <c r="K8131" s="74">
        <f>VLOOKUP(E8131,DATABASE!C:Q,7,false)</f>
        <v>150000</v>
      </c>
      <c r="L8131" s="74">
        <v>150000.0</v>
      </c>
      <c r="M8131" s="74">
        <f t="shared" si="6"/>
        <v>150000</v>
      </c>
      <c r="N8131" s="74">
        <f t="shared" si="3"/>
        <v>75000</v>
      </c>
      <c r="O8131" s="65" t="str">
        <f>VLOOKUP(E8131,DATABASE!C:Q,8,false)</f>
        <v>BIAN</v>
      </c>
      <c r="P8131" s="65">
        <f>VLOOKUP(E8131,DATABASE!C:Q,9,False)</f>
        <v>0</v>
      </c>
      <c r="Q8131" s="93" t="str">
        <f>VLOOKUP(E8131,DATABASE!C:Q,4,false)</f>
        <v>Karet Support + Pasang</v>
      </c>
      <c r="R8131" s="93" t="str">
        <f>VLOOKUP(E8131,DATABASE!C:Q,11,false)</f>
        <v>COMPLEMENTARY</v>
      </c>
    </row>
    <row r="8132" ht="22.5" customHeight="1">
      <c r="A8132" s="49"/>
      <c r="C8132" s="400">
        <v>46130.0</v>
      </c>
      <c r="D8132" s="524">
        <v>1077.0</v>
      </c>
      <c r="E8132" s="544" t="s">
        <v>974</v>
      </c>
      <c r="F8132" s="387">
        <v>2.0</v>
      </c>
      <c r="G8132" s="140">
        <v>590000.0</v>
      </c>
      <c r="H8132" s="74"/>
      <c r="I8132" s="74">
        <f t="shared" si="1"/>
        <v>1180000</v>
      </c>
      <c r="J8132" s="74">
        <f>IF(E8132="SERVICE",I8132-(I8132*50%),Vlookup(E8132,DATABASE!C:Q,10,false)*F8132)</f>
        <v>0</v>
      </c>
      <c r="K8132" s="74">
        <f>VLOOKUP(E8132,DATABASE!C:Q,7,false)</f>
        <v>501500</v>
      </c>
      <c r="L8132" s="74">
        <v>501500.0</v>
      </c>
      <c r="M8132" s="74">
        <f t="shared" si="6"/>
        <v>505000</v>
      </c>
      <c r="N8132" s="74">
        <f t="shared" si="3"/>
        <v>170000</v>
      </c>
      <c r="O8132" s="65" t="str">
        <f>VLOOKUP(E8132,DATABASE!C:Q,8,false)</f>
        <v>IBU</v>
      </c>
      <c r="P8132" s="65">
        <f>VLOOKUP(E8132,DATABASE!C:Q,9,False)</f>
        <v>1</v>
      </c>
      <c r="Q8132" s="93" t="str">
        <f>VLOOKUP(E8132,DATABASE!C:Q,4,false)</f>
        <v>Dunlop</v>
      </c>
      <c r="R8132" s="93" t="str">
        <f>VLOOKUP(E8132,DATABASE!C:Q,11,false)</f>
        <v>Tire</v>
      </c>
    </row>
    <row r="8133" ht="22.5" customHeight="1">
      <c r="A8133" s="49"/>
      <c r="C8133" s="400">
        <v>46130.0</v>
      </c>
      <c r="D8133" s="524">
        <v>1079.0</v>
      </c>
      <c r="E8133" s="544" t="s">
        <v>1862</v>
      </c>
      <c r="F8133" s="387">
        <v>2.0</v>
      </c>
      <c r="G8133" s="140">
        <v>2150000.0</v>
      </c>
      <c r="H8133" s="74"/>
      <c r="I8133" s="74">
        <f t="shared" si="1"/>
        <v>4300000</v>
      </c>
      <c r="J8133" s="74">
        <f>IF(E8133="SERVICE",I8133-(I8133*50%),Vlookup(E8133,DATABASE!C:Q,10,false)*F8133)</f>
        <v>0</v>
      </c>
      <c r="K8133" s="74">
        <f>VLOOKUP(E8133,DATABASE!C:Q,7,false)</f>
        <v>2080000</v>
      </c>
      <c r="L8133" s="74">
        <v>2050000.0</v>
      </c>
      <c r="M8133" s="74">
        <f t="shared" si="6"/>
        <v>2050000</v>
      </c>
      <c r="N8133" s="74">
        <f t="shared" si="3"/>
        <v>200000</v>
      </c>
      <c r="O8133" s="65" t="str">
        <f>VLOOKUP(E8133,DATABASE!C:Q,8,false)</f>
        <v>BIAN</v>
      </c>
      <c r="P8133" s="65">
        <f>VLOOKUP(E8133,DATABASE!C:Q,9,False)</f>
        <v>1</v>
      </c>
      <c r="Q8133" s="93" t="str">
        <f>VLOOKUP(E8133,DATABASE!C:Q,4,false)</f>
        <v>GiTi</v>
      </c>
      <c r="R8133" s="93" t="str">
        <f>VLOOKUP(E8133,DATABASE!C:Q,11,false)</f>
        <v>Tire</v>
      </c>
    </row>
    <row r="8134" ht="22.5" customHeight="1">
      <c r="A8134" s="49"/>
      <c r="C8134" s="400">
        <v>46130.0</v>
      </c>
      <c r="D8134" s="69" t="s">
        <v>2786</v>
      </c>
      <c r="E8134" s="544" t="s">
        <v>252</v>
      </c>
      <c r="F8134" s="387">
        <v>1.0</v>
      </c>
      <c r="G8134" s="140">
        <v>325000.0</v>
      </c>
      <c r="H8134" s="74"/>
      <c r="I8134" s="74">
        <f t="shared" si="1"/>
        <v>325000</v>
      </c>
      <c r="J8134" s="74">
        <f>IF(E8134="SERVICE",I8134-(I8134*50%),Vlookup(E8134,DATABASE!C:Q,10,false)*F8134)</f>
        <v>0</v>
      </c>
      <c r="K8134" s="74">
        <f>VLOOKUP(E8134,DATABASE!C:Q,7,false)</f>
        <v>317518</v>
      </c>
      <c r="L8134" s="74">
        <v>275500.0</v>
      </c>
      <c r="M8134" s="74">
        <f t="shared" si="6"/>
        <v>280000</v>
      </c>
      <c r="N8134" s="74">
        <f t="shared" si="3"/>
        <v>45000</v>
      </c>
      <c r="O8134" s="65" t="str">
        <f>VLOOKUP(E8134,DATABASE!C:Q,8,false)</f>
        <v>NON</v>
      </c>
      <c r="P8134" s="65">
        <f>VLOOKUP(E8134,DATABASE!C:Q,9,False)</f>
        <v>0</v>
      </c>
      <c r="Q8134" s="93" t="str">
        <f>VLOOKUP(E8134,DATABASE!C:Q,4,false)</f>
        <v>Shell</v>
      </c>
      <c r="R8134" s="93" t="str">
        <f>VLOOKUP(E8134,DATABASE!C:Q,11,false)</f>
        <v>OIL</v>
      </c>
    </row>
    <row r="8135" ht="22.5" customHeight="1">
      <c r="A8135" s="49"/>
      <c r="C8135" s="400">
        <v>46131.0</v>
      </c>
      <c r="D8135" s="524">
        <v>1081.0</v>
      </c>
      <c r="E8135" s="544" t="s">
        <v>1427</v>
      </c>
      <c r="F8135" s="387">
        <v>2.0</v>
      </c>
      <c r="G8135" s="140">
        <v>780000.0</v>
      </c>
      <c r="H8135" s="74"/>
      <c r="I8135" s="74">
        <f t="shared" si="1"/>
        <v>1560000</v>
      </c>
      <c r="J8135" s="74">
        <f>IF(E8135="SERVICE",I8135-(I8135*50%),Vlookup(E8135,DATABASE!C:Q,10,false)*F8135)</f>
        <v>0</v>
      </c>
      <c r="K8135" s="74">
        <f>VLOOKUP(E8135,DATABASE!C:Q,7,false)</f>
        <v>696500</v>
      </c>
      <c r="L8135" s="74">
        <v>696500.0</v>
      </c>
      <c r="M8135" s="74">
        <f t="shared" si="6"/>
        <v>700000</v>
      </c>
      <c r="N8135" s="74">
        <f t="shared" si="3"/>
        <v>160000</v>
      </c>
      <c r="O8135" s="65" t="str">
        <f>VLOOKUP(E8135,DATABASE!C:Q,8,false)</f>
        <v>IBU</v>
      </c>
      <c r="P8135" s="65">
        <f>VLOOKUP(E8135,DATABASE!C:Q,9,False)</f>
        <v>1</v>
      </c>
      <c r="Q8135" s="93" t="str">
        <f>VLOOKUP(E8135,DATABASE!C:Q,4,false)</f>
        <v>Dunlop</v>
      </c>
      <c r="R8135" s="93" t="str">
        <f>VLOOKUP(E8135,DATABASE!C:Q,11,false)</f>
        <v>Tire</v>
      </c>
    </row>
    <row r="8136" ht="22.5" customHeight="1">
      <c r="A8136" s="49"/>
      <c r="C8136" s="400">
        <v>46131.0</v>
      </c>
      <c r="D8136" s="524">
        <v>1082.0</v>
      </c>
      <c r="E8136" s="544" t="s">
        <v>974</v>
      </c>
      <c r="F8136" s="387">
        <v>2.0</v>
      </c>
      <c r="G8136" s="140">
        <v>590000.0</v>
      </c>
      <c r="H8136" s="74"/>
      <c r="I8136" s="74">
        <f t="shared" si="1"/>
        <v>1180000</v>
      </c>
      <c r="J8136" s="74">
        <f>IF(E8136="SERVICE",I8136-(I8136*50%),Vlookup(E8136,DATABASE!C:Q,10,false)*F8136)</f>
        <v>0</v>
      </c>
      <c r="K8136" s="74">
        <f>VLOOKUP(E8136,DATABASE!C:Q,7,false)</f>
        <v>501500</v>
      </c>
      <c r="L8136" s="74">
        <v>501500.0</v>
      </c>
      <c r="M8136" s="74">
        <f t="shared" si="6"/>
        <v>505000</v>
      </c>
      <c r="N8136" s="74">
        <f t="shared" si="3"/>
        <v>170000</v>
      </c>
      <c r="O8136" s="65" t="str">
        <f>VLOOKUP(E8136,DATABASE!C:Q,8,false)</f>
        <v>IBU</v>
      </c>
      <c r="P8136" s="65">
        <f>VLOOKUP(E8136,DATABASE!C:Q,9,False)</f>
        <v>1</v>
      </c>
      <c r="Q8136" s="93" t="str">
        <f>VLOOKUP(E8136,DATABASE!C:Q,4,false)</f>
        <v>Dunlop</v>
      </c>
      <c r="R8136" s="93" t="str">
        <f>VLOOKUP(E8136,DATABASE!C:Q,11,false)</f>
        <v>Tire</v>
      </c>
    </row>
    <row r="8137" ht="22.5" customHeight="1">
      <c r="A8137" s="49"/>
      <c r="C8137" s="400">
        <v>46131.0</v>
      </c>
      <c r="D8137" s="524">
        <v>1083.0</v>
      </c>
      <c r="E8137" s="544" t="s">
        <v>246</v>
      </c>
      <c r="F8137" s="387">
        <v>4.0</v>
      </c>
      <c r="G8137" s="140">
        <v>35000.0</v>
      </c>
      <c r="H8137" s="74"/>
      <c r="I8137" s="74">
        <f t="shared" si="1"/>
        <v>140000</v>
      </c>
      <c r="J8137" s="74">
        <f>IF(E8137="SERVICE",I8137-(I8137*50%),Vlookup(E8137,DATABASE!C:Q,10,false)*F8137)</f>
        <v>0</v>
      </c>
      <c r="K8137" s="74">
        <f>VLOOKUP(E8137,DATABASE!C:Q,7,false)</f>
        <v>0</v>
      </c>
      <c r="L8137" s="74">
        <v>0.0</v>
      </c>
      <c r="M8137" s="74">
        <f t="shared" si="6"/>
        <v>0</v>
      </c>
      <c r="N8137" s="74">
        <f t="shared" si="3"/>
        <v>140000</v>
      </c>
      <c r="O8137" s="65" t="str">
        <f>VLOOKUP(E8137,DATABASE!C:Q,8,false)</f>
        <v>IBU</v>
      </c>
      <c r="P8137" s="65">
        <f>VLOOKUP(E8137,DATABASE!C:Q,9,False)</f>
        <v>0</v>
      </c>
      <c r="Q8137" s="93" t="str">
        <f>VLOOKUP(E8137,DATABASE!C:Q,4,false)</f>
        <v>Bongkar Pasang</v>
      </c>
      <c r="R8137" s="69" t="s">
        <v>61</v>
      </c>
    </row>
    <row r="8138" ht="22.5" customHeight="1">
      <c r="A8138" s="49"/>
      <c r="C8138" s="400">
        <v>46131.0</v>
      </c>
      <c r="D8138" s="524">
        <v>1084.0</v>
      </c>
      <c r="E8138" s="544" t="s">
        <v>268</v>
      </c>
      <c r="F8138" s="387">
        <v>1.0</v>
      </c>
      <c r="G8138" s="140">
        <v>710000.0</v>
      </c>
      <c r="H8138" s="74"/>
      <c r="I8138" s="74">
        <f t="shared" si="1"/>
        <v>710000</v>
      </c>
      <c r="J8138" s="74">
        <f>IF(E8138="SERVICE",I8138-(I8138*50%),Vlookup(E8138,DATABASE!C:Q,10,false)*F8138)</f>
        <v>0</v>
      </c>
      <c r="K8138" s="74">
        <f>VLOOKUP(E8138,DATABASE!C:Q,7,false)</f>
        <v>653000</v>
      </c>
      <c r="L8138" s="74">
        <v>622000.0</v>
      </c>
      <c r="M8138" s="74">
        <f t="shared" si="6"/>
        <v>625000</v>
      </c>
      <c r="N8138" s="74">
        <f t="shared" si="3"/>
        <v>85000</v>
      </c>
      <c r="O8138" s="65" t="str">
        <f>VLOOKUP(E8138,DATABASE!C:Q,8,false)</f>
        <v>IBU</v>
      </c>
      <c r="P8138" s="65">
        <f>VLOOKUP(E8138,DATABASE!C:Q,9,False)</f>
        <v>1</v>
      </c>
      <c r="Q8138" s="93" t="str">
        <f>VLOOKUP(E8138,DATABASE!C:Q,4,false)</f>
        <v>Dunlop</v>
      </c>
      <c r="R8138" s="93" t="str">
        <f>VLOOKUP(E8138,DATABASE!C:Q,11,false)</f>
        <v>Tire</v>
      </c>
    </row>
    <row r="8139" ht="22.5" customHeight="1">
      <c r="A8139" s="49"/>
      <c r="C8139" s="400">
        <v>46131.0</v>
      </c>
      <c r="D8139" s="524">
        <v>1084.0</v>
      </c>
      <c r="E8139" s="544" t="s">
        <v>569</v>
      </c>
      <c r="F8139" s="387">
        <v>1.0</v>
      </c>
      <c r="G8139" s="140">
        <v>80000.0</v>
      </c>
      <c r="H8139" s="74"/>
      <c r="I8139" s="74">
        <f t="shared" si="1"/>
        <v>80000</v>
      </c>
      <c r="J8139" s="74">
        <f>IF(E8139="SERVICE",I8139-(I8139*50%),Vlookup(E8139,DATABASE!C:Q,10,false)*F8139)</f>
        <v>0</v>
      </c>
      <c r="K8139" s="74">
        <f>VLOOKUP(E8139,DATABASE!C:Q,7,false)</f>
        <v>45439.582</v>
      </c>
      <c r="L8139" s="74">
        <v>45309.6</v>
      </c>
      <c r="M8139" s="74">
        <f t="shared" si="6"/>
        <v>50000</v>
      </c>
      <c r="N8139" s="74">
        <f t="shared" si="3"/>
        <v>30000</v>
      </c>
      <c r="O8139" s="65" t="str">
        <f>VLOOKUP(E8139,DATABASE!C:Q,8,false)</f>
        <v>BIAN</v>
      </c>
      <c r="P8139" s="65">
        <f>VLOOKUP(E8139,DATABASE!C:Q,9,False)</f>
        <v>1</v>
      </c>
      <c r="Q8139" s="93" t="str">
        <f>VLOOKUP(E8139,DATABASE!C:Q,4,false)</f>
        <v>BD</v>
      </c>
      <c r="R8139" s="93" t="str">
        <f>VLOOKUP(E8139,DATABASE!C:Q,11,false)</f>
        <v>Tire</v>
      </c>
    </row>
    <row r="8140" ht="22.5" customHeight="1">
      <c r="A8140" s="49"/>
      <c r="C8140" s="400">
        <v>46131.0</v>
      </c>
      <c r="D8140" s="524">
        <v>1085.0</v>
      </c>
      <c r="E8140" s="544" t="s">
        <v>531</v>
      </c>
      <c r="F8140" s="387">
        <v>1.0</v>
      </c>
      <c r="G8140" s="140">
        <v>100000.0</v>
      </c>
      <c r="H8140" s="140">
        <v>30000.0</v>
      </c>
      <c r="I8140" s="74">
        <f t="shared" si="1"/>
        <v>70000</v>
      </c>
      <c r="J8140" s="74">
        <f>IF(E8140="SERVICE",I8140-(I8140*50%),Vlookup(E8140,DATABASE!C:Q,10,false)*F8140)</f>
        <v>0</v>
      </c>
      <c r="K8140" s="74">
        <f>VLOOKUP(E8140,DATABASE!C:Q,7,false)</f>
        <v>47000</v>
      </c>
      <c r="L8140" s="74">
        <v>47000.0</v>
      </c>
      <c r="M8140" s="74">
        <f t="shared" si="6"/>
        <v>50000</v>
      </c>
      <c r="N8140" s="74">
        <f t="shared" si="3"/>
        <v>20000</v>
      </c>
      <c r="O8140" s="65" t="str">
        <f>VLOOKUP(E8140,DATABASE!C:Q,8,false)</f>
        <v>BIAN</v>
      </c>
      <c r="P8140" s="65">
        <f>VLOOKUP(E8140,DATABASE!C:Q,9,False)</f>
        <v>1</v>
      </c>
      <c r="Q8140" s="93" t="str">
        <f>VLOOKUP(E8140,DATABASE!C:Q,4,false)</f>
        <v>BD</v>
      </c>
      <c r="R8140" s="93" t="str">
        <f>VLOOKUP(E8140,DATABASE!C:Q,11,false)</f>
        <v>Tire</v>
      </c>
    </row>
    <row r="8141" ht="22.5" customHeight="1">
      <c r="A8141" s="49"/>
      <c r="C8141" s="400">
        <v>46131.0</v>
      </c>
      <c r="D8141" s="69" t="s">
        <v>2787</v>
      </c>
      <c r="E8141" s="544" t="s">
        <v>2191</v>
      </c>
      <c r="F8141" s="387">
        <v>1.0</v>
      </c>
      <c r="G8141" s="140">
        <v>430000.0</v>
      </c>
      <c r="H8141" s="74"/>
      <c r="I8141" s="74">
        <f t="shared" si="1"/>
        <v>430000</v>
      </c>
      <c r="J8141" s="74">
        <f>IF(E8141="SERVICE",I8141-(I8141*50%),Vlookup(E8141,DATABASE!C:Q,10,false)*F8141)</f>
        <v>0</v>
      </c>
      <c r="K8141" s="74">
        <f>VLOOKUP(E8141,DATABASE!C:Q,7,false)</f>
        <v>422900</v>
      </c>
      <c r="L8141" s="74">
        <v>380400.0</v>
      </c>
      <c r="M8141" s="74">
        <f t="shared" si="6"/>
        <v>385000</v>
      </c>
      <c r="N8141" s="74">
        <f t="shared" si="3"/>
        <v>45000</v>
      </c>
      <c r="O8141" s="65" t="str">
        <f>VLOOKUP(E8141,DATABASE!C:Q,8,false)</f>
        <v>NON</v>
      </c>
      <c r="P8141" s="65">
        <f>VLOOKUP(E8141,DATABASE!C:Q,9,False)</f>
        <v>0</v>
      </c>
      <c r="Q8141" s="93" t="str">
        <f>VLOOKUP(E8141,DATABASE!C:Q,4,false)</f>
        <v>Shell</v>
      </c>
      <c r="R8141" s="93" t="str">
        <f>VLOOKUP(E8141,DATABASE!C:Q,11,false)</f>
        <v>OIL</v>
      </c>
    </row>
    <row r="8142" ht="22.5" customHeight="1">
      <c r="A8142" s="49"/>
      <c r="C8142" s="400">
        <v>46131.0</v>
      </c>
      <c r="D8142" s="69" t="s">
        <v>2787</v>
      </c>
      <c r="E8142" s="544" t="s">
        <v>2186</v>
      </c>
      <c r="F8142" s="387">
        <v>3.0</v>
      </c>
      <c r="G8142" s="140">
        <v>125000.0</v>
      </c>
      <c r="H8142" s="74"/>
      <c r="I8142" s="74">
        <f t="shared" si="1"/>
        <v>375000</v>
      </c>
      <c r="J8142" s="74">
        <f>IF(E8142="SERVICE",I8142-(I8142*50%),Vlookup(E8142,DATABASE!C:Q,10,false)*F8142)</f>
        <v>0</v>
      </c>
      <c r="K8142" s="74">
        <f>VLOOKUP(E8142,DATABASE!C:Q,7,false)</f>
        <v>96400</v>
      </c>
      <c r="L8142" s="74">
        <v>96400.0</v>
      </c>
      <c r="M8142" s="74">
        <f t="shared" si="6"/>
        <v>100000</v>
      </c>
      <c r="N8142" s="74">
        <f t="shared" si="3"/>
        <v>75000</v>
      </c>
      <c r="O8142" s="65" t="str">
        <f>VLOOKUP(E8142,DATABASE!C:Q,8,false)</f>
        <v>NON</v>
      </c>
      <c r="P8142" s="65">
        <f>VLOOKUP(E8142,DATABASE!C:Q,9,False)</f>
        <v>0</v>
      </c>
      <c r="Q8142" s="93" t="str">
        <f>VLOOKUP(E8142,DATABASE!C:Q,4,false)</f>
        <v>Shell</v>
      </c>
      <c r="R8142" s="93" t="str">
        <f>VLOOKUP(E8142,DATABASE!C:Q,11,false)</f>
        <v>OIL</v>
      </c>
    </row>
    <row r="8143" ht="22.5" customHeight="1">
      <c r="A8143" s="49"/>
      <c r="C8143" s="400">
        <v>46131.0</v>
      </c>
      <c r="D8143" s="69" t="s">
        <v>2787</v>
      </c>
      <c r="E8143" s="544" t="s">
        <v>2544</v>
      </c>
      <c r="F8143" s="387">
        <v>1.0</v>
      </c>
      <c r="G8143" s="140">
        <v>35000.0</v>
      </c>
      <c r="H8143" s="74"/>
      <c r="I8143" s="74">
        <f t="shared" si="1"/>
        <v>35000</v>
      </c>
      <c r="J8143" s="74">
        <f>IF(E8143="SERVICE",I8143-(I8143*50%),Vlookup(E8143,DATABASE!C:Q,10,false)*F8143)</f>
        <v>0</v>
      </c>
      <c r="K8143" s="74">
        <f>VLOOKUP(E8143,DATABASE!C:Q,7,false)</f>
        <v>26000</v>
      </c>
      <c r="L8143" s="74">
        <v>26000.0</v>
      </c>
      <c r="M8143" s="74">
        <f t="shared" si="6"/>
        <v>30000</v>
      </c>
      <c r="N8143" s="74">
        <f t="shared" si="3"/>
        <v>5000</v>
      </c>
      <c r="O8143" s="65" t="str">
        <f>VLOOKUP(E8143,DATABASE!C:Q,8,false)</f>
        <v>BIAN</v>
      </c>
      <c r="P8143" s="65">
        <f>VLOOKUP(E8143,DATABASE!C:Q,9,False)</f>
        <v>0</v>
      </c>
      <c r="Q8143" s="93" t="str">
        <f>VLOOKUP(E8143,DATABASE!C:Q,4,false)</f>
        <v>Denso</v>
      </c>
      <c r="R8143" s="93" t="str">
        <f>VLOOKUP(E8143,DATABASE!C:Q,11,false)</f>
        <v>COMPLEMENTARY</v>
      </c>
    </row>
    <row r="8144" ht="22.5" customHeight="1">
      <c r="A8144" s="49"/>
      <c r="C8144" s="400">
        <v>46132.0</v>
      </c>
      <c r="D8144" s="524">
        <v>1086.0</v>
      </c>
      <c r="E8144" s="544" t="s">
        <v>275</v>
      </c>
      <c r="F8144" s="387">
        <v>1.0</v>
      </c>
      <c r="G8144" s="140">
        <v>830000.0</v>
      </c>
      <c r="H8144" s="74"/>
      <c r="I8144" s="74">
        <f t="shared" si="1"/>
        <v>830000</v>
      </c>
      <c r="J8144" s="74">
        <f>IF(E8144="SERVICE",I8144-(I8144*50%),Vlookup(E8144,DATABASE!C:Q,10,false)*F8144)</f>
        <v>0</v>
      </c>
      <c r="K8144" s="74">
        <f>VLOOKUP(E8144,DATABASE!C:Q,7,false)</f>
        <v>782000</v>
      </c>
      <c r="L8144" s="74">
        <v>745000.0</v>
      </c>
      <c r="M8144" s="74">
        <f t="shared" si="6"/>
        <v>745000</v>
      </c>
      <c r="N8144" s="74">
        <f t="shared" si="3"/>
        <v>85000</v>
      </c>
      <c r="O8144" s="65" t="str">
        <f>VLOOKUP(E8144,DATABASE!C:Q,8,false)</f>
        <v>IBU</v>
      </c>
      <c r="P8144" s="65">
        <f>VLOOKUP(E8144,DATABASE!C:Q,9,False)</f>
        <v>1</v>
      </c>
      <c r="Q8144" s="93" t="str">
        <f>VLOOKUP(E8144,DATABASE!C:Q,4,false)</f>
        <v>Dunlop</v>
      </c>
      <c r="R8144" s="93" t="str">
        <f>VLOOKUP(E8144,DATABASE!C:Q,11,false)</f>
        <v>Tire</v>
      </c>
    </row>
    <row r="8145" ht="22.5" customHeight="1">
      <c r="A8145" s="49"/>
      <c r="C8145" s="400">
        <v>46132.0</v>
      </c>
      <c r="D8145" s="524">
        <v>1087.0</v>
      </c>
      <c r="E8145" s="544" t="s">
        <v>268</v>
      </c>
      <c r="F8145" s="387">
        <v>2.0</v>
      </c>
      <c r="G8145" s="140">
        <v>710000.0</v>
      </c>
      <c r="H8145" s="74"/>
      <c r="I8145" s="74">
        <f t="shared" si="1"/>
        <v>1420000</v>
      </c>
      <c r="J8145" s="74">
        <f>IF(E8145="SERVICE",I8145-(I8145*50%),Vlookup(E8145,DATABASE!C:Q,10,false)*F8145)</f>
        <v>0</v>
      </c>
      <c r="K8145" s="74">
        <f>VLOOKUP(E8145,DATABASE!C:Q,7,false)</f>
        <v>653000</v>
      </c>
      <c r="L8145" s="74">
        <v>622000.0</v>
      </c>
      <c r="M8145" s="74">
        <f t="shared" si="6"/>
        <v>625000</v>
      </c>
      <c r="N8145" s="74">
        <f t="shared" si="3"/>
        <v>170000</v>
      </c>
      <c r="O8145" s="65" t="str">
        <f>VLOOKUP(E8145,DATABASE!C:Q,8,false)</f>
        <v>IBU</v>
      </c>
      <c r="P8145" s="65">
        <f>VLOOKUP(E8145,DATABASE!C:Q,9,False)</f>
        <v>1</v>
      </c>
      <c r="Q8145" s="93" t="str">
        <f>VLOOKUP(E8145,DATABASE!C:Q,4,false)</f>
        <v>Dunlop</v>
      </c>
      <c r="R8145" s="93" t="str">
        <f>VLOOKUP(E8145,DATABASE!C:Q,11,false)</f>
        <v>Tire</v>
      </c>
    </row>
    <row r="8146" ht="22.5" customHeight="1">
      <c r="A8146" s="49"/>
      <c r="C8146" s="400">
        <v>46132.0</v>
      </c>
      <c r="D8146" s="524">
        <v>1088.0</v>
      </c>
      <c r="E8146" s="544" t="s">
        <v>271</v>
      </c>
      <c r="F8146" s="387">
        <v>1.0</v>
      </c>
      <c r="G8146" s="140">
        <v>640000.0</v>
      </c>
      <c r="H8146" s="74"/>
      <c r="I8146" s="74">
        <f t="shared" si="1"/>
        <v>640000</v>
      </c>
      <c r="J8146" s="74">
        <f>IF(E8146="SERVICE",I8146-(I8146*50%),Vlookup(E8146,DATABASE!C:Q,10,false)*F8146)</f>
        <v>0</v>
      </c>
      <c r="K8146" s="74">
        <f>VLOOKUP(E8146,DATABASE!C:Q,7,false)</f>
        <v>570000</v>
      </c>
      <c r="L8146" s="74">
        <v>550000.0</v>
      </c>
      <c r="M8146" s="74">
        <f t="shared" si="6"/>
        <v>550000</v>
      </c>
      <c r="N8146" s="74">
        <f t="shared" si="3"/>
        <v>90000</v>
      </c>
      <c r="O8146" s="65" t="str">
        <f>VLOOKUP(E8146,DATABASE!C:Q,8,false)</f>
        <v>IBU</v>
      </c>
      <c r="P8146" s="65">
        <f>VLOOKUP(E8146,DATABASE!C:Q,9,False)</f>
        <v>1</v>
      </c>
      <c r="Q8146" s="93" t="str">
        <f>VLOOKUP(E8146,DATABASE!C:Q,4,false)</f>
        <v>Dunlop</v>
      </c>
      <c r="R8146" s="93" t="str">
        <f>VLOOKUP(E8146,DATABASE!C:Q,11,false)</f>
        <v>Tire</v>
      </c>
    </row>
    <row r="8147" ht="22.5" customHeight="1">
      <c r="A8147" s="49"/>
      <c r="C8147" s="400">
        <v>46132.0</v>
      </c>
      <c r="D8147" s="524">
        <v>1090.0</v>
      </c>
      <c r="E8147" s="544" t="s">
        <v>2019</v>
      </c>
      <c r="F8147" s="387">
        <v>1.0</v>
      </c>
      <c r="G8147" s="140">
        <v>685000.0</v>
      </c>
      <c r="H8147" s="140">
        <v>10000.0</v>
      </c>
      <c r="I8147" s="74">
        <f t="shared" si="1"/>
        <v>675000</v>
      </c>
      <c r="J8147" s="74">
        <f>IF(E8147="SERVICE",I8147-(I8147*50%),Vlookup(E8147,DATABASE!C:Q,10,false)*F8147)</f>
        <v>0</v>
      </c>
      <c r="K8147" s="74">
        <f>VLOOKUP(E8147,DATABASE!C:Q,7,false)</f>
        <v>620000</v>
      </c>
      <c r="L8147" s="74">
        <v>595000.0</v>
      </c>
      <c r="M8147" s="74">
        <f t="shared" si="6"/>
        <v>595000</v>
      </c>
      <c r="N8147" s="74">
        <f t="shared" si="3"/>
        <v>80000</v>
      </c>
      <c r="O8147" s="65" t="str">
        <f>VLOOKUP(E8147,DATABASE!C:Q,8,false)</f>
        <v>BIAN</v>
      </c>
      <c r="P8147" s="65">
        <f>VLOOKUP(E8147,DATABASE!C:Q,9,False)</f>
        <v>1</v>
      </c>
      <c r="Q8147" s="93" t="str">
        <f>VLOOKUP(E8147,DATABASE!C:Q,4,false)</f>
        <v>GT</v>
      </c>
      <c r="R8147" s="93" t="str">
        <f>VLOOKUP(E8147,DATABASE!C:Q,11,false)</f>
        <v>Tire</v>
      </c>
    </row>
    <row r="8148" ht="22.5" customHeight="1">
      <c r="A8148" s="49"/>
      <c r="C8148" s="400">
        <v>46132.0</v>
      </c>
      <c r="D8148" s="524">
        <v>1090.0</v>
      </c>
      <c r="E8148" s="544" t="s">
        <v>2019</v>
      </c>
      <c r="F8148" s="387">
        <v>1.0</v>
      </c>
      <c r="G8148" s="140">
        <v>685000.0</v>
      </c>
      <c r="H8148" s="140">
        <v>10000.0</v>
      </c>
      <c r="I8148" s="74">
        <f t="shared" si="1"/>
        <v>675000</v>
      </c>
      <c r="J8148" s="74">
        <f>IF(E8148="SERVICE",I8148-(I8148*50%),Vlookup(E8148,DATABASE!C:Q,10,false)*F8148)</f>
        <v>0</v>
      </c>
      <c r="K8148" s="74">
        <f>VLOOKUP(E8148,DATABASE!C:Q,7,false)</f>
        <v>620000</v>
      </c>
      <c r="L8148" s="74">
        <v>595000.0</v>
      </c>
      <c r="M8148" s="74">
        <f t="shared" si="6"/>
        <v>595000</v>
      </c>
      <c r="N8148" s="74">
        <f t="shared" si="3"/>
        <v>80000</v>
      </c>
      <c r="O8148" s="65" t="str">
        <f>VLOOKUP(E8148,DATABASE!C:Q,8,false)</f>
        <v>BIAN</v>
      </c>
      <c r="P8148" s="65">
        <f>VLOOKUP(E8148,DATABASE!C:Q,9,False)</f>
        <v>1</v>
      </c>
      <c r="Q8148" s="93" t="str">
        <f>VLOOKUP(E8148,DATABASE!C:Q,4,false)</f>
        <v>GT</v>
      </c>
      <c r="R8148" s="93" t="str">
        <f>VLOOKUP(E8148,DATABASE!C:Q,11,false)</f>
        <v>Tire</v>
      </c>
    </row>
    <row r="8149" ht="22.5" customHeight="1">
      <c r="A8149" s="49"/>
      <c r="C8149" s="400">
        <v>46132.0</v>
      </c>
      <c r="D8149" s="524">
        <v>1092.0</v>
      </c>
      <c r="E8149" s="544" t="s">
        <v>268</v>
      </c>
      <c r="F8149" s="387">
        <v>1.0</v>
      </c>
      <c r="G8149" s="140">
        <v>710000.0</v>
      </c>
      <c r="H8149" s="74"/>
      <c r="I8149" s="74">
        <f t="shared" si="1"/>
        <v>710000</v>
      </c>
      <c r="J8149" s="74">
        <f>IF(E8149="SERVICE",I8149-(I8149*50%),Vlookup(E8149,DATABASE!C:Q,10,false)*F8149)</f>
        <v>0</v>
      </c>
      <c r="K8149" s="74">
        <f>VLOOKUP(E8149,DATABASE!C:Q,7,false)</f>
        <v>653000</v>
      </c>
      <c r="L8149" s="74">
        <v>622000.0</v>
      </c>
      <c r="M8149" s="74">
        <f t="shared" si="6"/>
        <v>625000</v>
      </c>
      <c r="N8149" s="74">
        <f t="shared" si="3"/>
        <v>85000</v>
      </c>
      <c r="O8149" s="65" t="str">
        <f>VLOOKUP(E8149,DATABASE!C:Q,8,false)</f>
        <v>IBU</v>
      </c>
      <c r="P8149" s="65">
        <f>VLOOKUP(E8149,DATABASE!C:Q,9,False)</f>
        <v>1</v>
      </c>
      <c r="Q8149" s="93" t="str">
        <f>VLOOKUP(E8149,DATABASE!C:Q,4,false)</f>
        <v>Dunlop</v>
      </c>
      <c r="R8149" s="93" t="str">
        <f>VLOOKUP(E8149,DATABASE!C:Q,11,false)</f>
        <v>Tire</v>
      </c>
    </row>
    <row r="8150" ht="22.5" customHeight="1">
      <c r="A8150" s="49"/>
      <c r="C8150" s="400">
        <v>46132.0</v>
      </c>
      <c r="D8150" s="524">
        <v>1094.0</v>
      </c>
      <c r="E8150" s="544" t="s">
        <v>271</v>
      </c>
      <c r="F8150" s="387">
        <v>3.0</v>
      </c>
      <c r="G8150" s="140">
        <v>640000.0</v>
      </c>
      <c r="H8150" s="74"/>
      <c r="I8150" s="74">
        <f t="shared" si="1"/>
        <v>1920000</v>
      </c>
      <c r="J8150" s="74">
        <f>IF(E8150="SERVICE",I8150-(I8150*50%),Vlookup(E8150,DATABASE!C:Q,10,false)*F8150)</f>
        <v>0</v>
      </c>
      <c r="K8150" s="74">
        <f>VLOOKUP(E8150,DATABASE!C:Q,7,false)</f>
        <v>570000</v>
      </c>
      <c r="L8150" s="74">
        <v>550000.0</v>
      </c>
      <c r="M8150" s="74">
        <f t="shared" si="6"/>
        <v>550000</v>
      </c>
      <c r="N8150" s="74">
        <f t="shared" si="3"/>
        <v>270000</v>
      </c>
      <c r="O8150" s="65" t="str">
        <f>VLOOKUP(E8150,DATABASE!C:Q,8,false)</f>
        <v>IBU</v>
      </c>
      <c r="P8150" s="65">
        <f>VLOOKUP(E8150,DATABASE!C:Q,9,False)</f>
        <v>1</v>
      </c>
      <c r="Q8150" s="93" t="str">
        <f>VLOOKUP(E8150,DATABASE!C:Q,4,false)</f>
        <v>Dunlop</v>
      </c>
      <c r="R8150" s="93" t="str">
        <f>VLOOKUP(E8150,DATABASE!C:Q,11,false)</f>
        <v>Tire</v>
      </c>
    </row>
    <row r="8151" ht="22.5" customHeight="1">
      <c r="A8151" s="49"/>
      <c r="C8151" s="400">
        <v>46132.0</v>
      </c>
      <c r="D8151" s="524">
        <v>1096.0</v>
      </c>
      <c r="E8151" s="544" t="s">
        <v>932</v>
      </c>
      <c r="F8151" s="387">
        <v>1.0</v>
      </c>
      <c r="G8151" s="140">
        <v>690000.0</v>
      </c>
      <c r="H8151" s="74"/>
      <c r="I8151" s="74">
        <f t="shared" si="1"/>
        <v>690000</v>
      </c>
      <c r="J8151" s="74">
        <f>IF(E8151="SERVICE",I8151-(I8151*50%),Vlookup(E8151,DATABASE!C:Q,10,false)*F8151)</f>
        <v>0</v>
      </c>
      <c r="K8151" s="74">
        <f>VLOOKUP(E8151,DATABASE!C:Q,7,false)</f>
        <v>601000</v>
      </c>
      <c r="L8151" s="74">
        <v>601000.0</v>
      </c>
      <c r="M8151" s="74">
        <f t="shared" si="6"/>
        <v>605000</v>
      </c>
      <c r="N8151" s="74">
        <f t="shared" si="3"/>
        <v>85000</v>
      </c>
      <c r="O8151" s="65" t="str">
        <f>VLOOKUP(E8151,DATABASE!C:Q,8,false)</f>
        <v>IBU</v>
      </c>
      <c r="P8151" s="65">
        <f>VLOOKUP(E8151,DATABASE!C:Q,9,False)</f>
        <v>1</v>
      </c>
      <c r="Q8151" s="93" t="str">
        <f>VLOOKUP(E8151,DATABASE!C:Q,4,false)</f>
        <v>Dunlop</v>
      </c>
      <c r="R8151" s="93" t="str">
        <f>VLOOKUP(E8151,DATABASE!C:Q,11,false)</f>
        <v>Tire</v>
      </c>
    </row>
    <row r="8152" ht="22.5" customHeight="1">
      <c r="A8152" s="49"/>
      <c r="C8152" s="400">
        <v>46132.0</v>
      </c>
      <c r="D8152" s="524">
        <v>1096.0</v>
      </c>
      <c r="E8152" s="544" t="s">
        <v>248</v>
      </c>
      <c r="F8152" s="387">
        <v>1.0</v>
      </c>
      <c r="G8152" s="140">
        <v>210000.0</v>
      </c>
      <c r="H8152" s="74"/>
      <c r="I8152" s="74">
        <f t="shared" si="1"/>
        <v>210000</v>
      </c>
      <c r="J8152" s="74">
        <f>IF(E8152="SERVICE",I8152-(I8152*50%),Vlookup(E8152,DATABASE!C:Q,10,false)*F8152)</f>
        <v>0</v>
      </c>
      <c r="K8152" s="74">
        <f>VLOOKUP(E8152,DATABASE!C:Q,7,false)</f>
        <v>209816.66</v>
      </c>
      <c r="L8152" s="74">
        <v>160833.0</v>
      </c>
      <c r="M8152" s="74">
        <f t="shared" si="6"/>
        <v>165000</v>
      </c>
      <c r="N8152" s="74">
        <f t="shared" si="3"/>
        <v>45000</v>
      </c>
      <c r="O8152" s="65" t="str">
        <f>VLOOKUP(E8152,DATABASE!C:Q,8,false)</f>
        <v>NON</v>
      </c>
      <c r="P8152" s="65">
        <f>VLOOKUP(E8152,DATABASE!C:Q,9,False)</f>
        <v>0</v>
      </c>
      <c r="Q8152" s="93" t="str">
        <f>VLOOKUP(E8152,DATABASE!C:Q,4,false)</f>
        <v>Pertamina</v>
      </c>
      <c r="R8152" s="93" t="str">
        <f>VLOOKUP(E8152,DATABASE!C:Q,11,false)</f>
        <v>OIL</v>
      </c>
    </row>
    <row r="8153" ht="22.5" customHeight="1">
      <c r="A8153" s="49"/>
      <c r="C8153" s="400">
        <v>46132.0</v>
      </c>
      <c r="D8153" s="524">
        <v>1097.0</v>
      </c>
      <c r="E8153" s="544" t="s">
        <v>262</v>
      </c>
      <c r="F8153" s="387">
        <v>1.0</v>
      </c>
      <c r="G8153" s="140">
        <v>130000.0</v>
      </c>
      <c r="H8153" s="74"/>
      <c r="I8153" s="74">
        <f t="shared" si="1"/>
        <v>130000</v>
      </c>
      <c r="J8153" s="74">
        <f>IF(E8153="SERVICE",I8153-(I8153*50%),Vlookup(E8153,DATABASE!C:Q,10,false)*F8153)</f>
        <v>5000</v>
      </c>
      <c r="K8153" s="74">
        <f>VLOOKUP(E8153,DATABASE!C:Q,7,false)</f>
        <v>0</v>
      </c>
      <c r="L8153" s="74">
        <v>0.0</v>
      </c>
      <c r="M8153" s="74">
        <f t="shared" si="6"/>
        <v>0</v>
      </c>
      <c r="N8153" s="74">
        <f t="shared" si="3"/>
        <v>125000</v>
      </c>
      <c r="O8153" s="65" t="str">
        <f>VLOOKUP(E8153,DATABASE!C:Q,8,false)</f>
        <v>IBU</v>
      </c>
      <c r="P8153" s="65">
        <f>VLOOKUP(E8153,DATABASE!C:Q,9,False)</f>
        <v>0</v>
      </c>
      <c r="Q8153" s="93" t="str">
        <f>VLOOKUP(E8153,DATABASE!C:Q,4,false)</f>
        <v>SPOORING SS/CARRY LOS BAK</v>
      </c>
      <c r="R8153" s="93" t="str">
        <f>VLOOKUP(E8153,DATABASE!C:Q,11,false)</f>
        <v>SERVICE</v>
      </c>
    </row>
    <row r="8154" ht="22.5" customHeight="1">
      <c r="A8154" s="49"/>
      <c r="C8154" s="400">
        <v>46132.0</v>
      </c>
      <c r="D8154" s="524">
        <v>1097.0</v>
      </c>
      <c r="E8154" s="544" t="s">
        <v>251</v>
      </c>
      <c r="F8154" s="387">
        <v>1.0</v>
      </c>
      <c r="G8154" s="140">
        <v>350000.0</v>
      </c>
      <c r="H8154" s="140">
        <v>100000.0</v>
      </c>
      <c r="I8154" s="74">
        <f t="shared" si="1"/>
        <v>250000</v>
      </c>
      <c r="J8154" s="74">
        <f>IF(E8154="SERVICE",I8154-(I8154*50%),Vlookup(E8154,DATABASE!C:Q,10,false)*F8154)</f>
        <v>125000</v>
      </c>
      <c r="K8154" s="74">
        <f>VLOOKUP(E8154,DATABASE!C:Q,7,false)</f>
        <v>0</v>
      </c>
      <c r="L8154" s="74">
        <v>0.0</v>
      </c>
      <c r="M8154" s="74">
        <f t="shared" si="6"/>
        <v>0</v>
      </c>
      <c r="N8154" s="74">
        <f t="shared" si="3"/>
        <v>125000</v>
      </c>
      <c r="O8154" s="65" t="str">
        <f>VLOOKUP(E8154,DATABASE!C:Q,8,false)</f>
        <v>IBU</v>
      </c>
      <c r="P8154" s="65">
        <f>VLOOKUP(E8154,DATABASE!C:Q,9,False)</f>
        <v>0</v>
      </c>
      <c r="Q8154" s="93" t="str">
        <f>VLOOKUP(E8154,DATABASE!C:Q,4,false)</f>
        <v>SERVICE</v>
      </c>
      <c r="R8154" s="93" t="str">
        <f>VLOOKUP(E8154,DATABASE!C:Q,11,false)</f>
        <v>SERVICE</v>
      </c>
    </row>
    <row r="8155" ht="22.5" customHeight="1">
      <c r="A8155" s="49"/>
      <c r="C8155" s="400">
        <v>46132.0</v>
      </c>
      <c r="D8155" s="524">
        <v>1098.0</v>
      </c>
      <c r="E8155" s="544" t="s">
        <v>268</v>
      </c>
      <c r="F8155" s="387">
        <v>2.0</v>
      </c>
      <c r="G8155" s="140">
        <v>710000.0</v>
      </c>
      <c r="H8155" s="74"/>
      <c r="I8155" s="74">
        <f t="shared" si="1"/>
        <v>1420000</v>
      </c>
      <c r="J8155" s="74">
        <f>IF(E8155="SERVICE",I8155-(I8155*50%),Vlookup(E8155,DATABASE!C:Q,10,false)*F8155)</f>
        <v>0</v>
      </c>
      <c r="K8155" s="74">
        <f>VLOOKUP(E8155,DATABASE!C:Q,7,false)</f>
        <v>653000</v>
      </c>
      <c r="L8155" s="74">
        <v>622000.0</v>
      </c>
      <c r="M8155" s="74">
        <f t="shared" si="6"/>
        <v>625000</v>
      </c>
      <c r="N8155" s="74">
        <f t="shared" si="3"/>
        <v>170000</v>
      </c>
      <c r="O8155" s="65" t="str">
        <f>VLOOKUP(E8155,DATABASE!C:Q,8,false)</f>
        <v>IBU</v>
      </c>
      <c r="P8155" s="65">
        <f>VLOOKUP(E8155,DATABASE!C:Q,9,False)</f>
        <v>1</v>
      </c>
      <c r="Q8155" s="93" t="str">
        <f>VLOOKUP(E8155,DATABASE!C:Q,4,false)</f>
        <v>Dunlop</v>
      </c>
      <c r="R8155" s="93" t="str">
        <f>VLOOKUP(E8155,DATABASE!C:Q,11,false)</f>
        <v>Tire</v>
      </c>
    </row>
    <row r="8156" ht="22.5" customHeight="1">
      <c r="A8156" s="49"/>
      <c r="C8156" s="400">
        <v>46132.0</v>
      </c>
      <c r="D8156" s="524">
        <v>1099.0</v>
      </c>
      <c r="E8156" s="544" t="s">
        <v>256</v>
      </c>
      <c r="F8156" s="387">
        <v>1.0</v>
      </c>
      <c r="G8156" s="140">
        <v>175000.0</v>
      </c>
      <c r="H8156" s="140">
        <v>25000.0</v>
      </c>
      <c r="I8156" s="74">
        <f t="shared" si="1"/>
        <v>150000</v>
      </c>
      <c r="J8156" s="74">
        <f>IF(E8156="SERVICE",I8156-(I8156*50%),Vlookup(E8156,DATABASE!C:Q,10,false)*F8156)</f>
        <v>10000</v>
      </c>
      <c r="K8156" s="74">
        <f>VLOOKUP(E8156,DATABASE!C:Q,7,false)</f>
        <v>0</v>
      </c>
      <c r="L8156" s="74">
        <v>0.0</v>
      </c>
      <c r="M8156" s="74">
        <f t="shared" si="6"/>
        <v>0</v>
      </c>
      <c r="N8156" s="74">
        <f t="shared" si="3"/>
        <v>140000</v>
      </c>
      <c r="O8156" s="65" t="str">
        <f>VLOOKUP(E8156,DATABASE!C:Q,8,false)</f>
        <v>IBU</v>
      </c>
      <c r="P8156" s="65">
        <f>VLOOKUP(E8156,DATABASE!C:Q,9,False)</f>
        <v>0</v>
      </c>
      <c r="Q8156" s="93" t="str">
        <f>VLOOKUP(E8156,DATABASE!C:Q,4,false)</f>
        <v>SPOORING</v>
      </c>
      <c r="R8156" s="93" t="str">
        <f>VLOOKUP(E8156,DATABASE!C:Q,11,false)</f>
        <v>SERVICE</v>
      </c>
    </row>
    <row r="8157" ht="22.5" customHeight="1">
      <c r="A8157" s="49"/>
      <c r="C8157" s="400">
        <v>46132.0</v>
      </c>
      <c r="D8157" s="524">
        <v>1099.0</v>
      </c>
      <c r="E8157" s="544" t="s">
        <v>251</v>
      </c>
      <c r="F8157" s="387">
        <v>1.0</v>
      </c>
      <c r="G8157" s="140">
        <v>350000.0</v>
      </c>
      <c r="H8157" s="140">
        <v>200000.0</v>
      </c>
      <c r="I8157" s="74">
        <f t="shared" si="1"/>
        <v>150000</v>
      </c>
      <c r="J8157" s="74">
        <f>IF(E8157="SERVICE",I8157-(I8157*50%),Vlookup(E8157,DATABASE!C:Q,10,false)*F8157)</f>
        <v>75000</v>
      </c>
      <c r="K8157" s="74">
        <f>VLOOKUP(E8157,DATABASE!C:Q,7,false)</f>
        <v>0</v>
      </c>
      <c r="L8157" s="74">
        <v>0.0</v>
      </c>
      <c r="M8157" s="74">
        <f t="shared" si="6"/>
        <v>0</v>
      </c>
      <c r="N8157" s="74">
        <f t="shared" si="3"/>
        <v>75000</v>
      </c>
      <c r="O8157" s="65" t="str">
        <f>VLOOKUP(E8157,DATABASE!C:Q,8,false)</f>
        <v>IBU</v>
      </c>
      <c r="P8157" s="65">
        <f>VLOOKUP(E8157,DATABASE!C:Q,9,False)</f>
        <v>0</v>
      </c>
      <c r="Q8157" s="93" t="str">
        <f>VLOOKUP(E8157,DATABASE!C:Q,4,false)</f>
        <v>SERVICE</v>
      </c>
      <c r="R8157" s="93" t="str">
        <f>VLOOKUP(E8157,DATABASE!C:Q,11,false)</f>
        <v>SERVICE</v>
      </c>
    </row>
    <row r="8158" ht="22.5" customHeight="1">
      <c r="A8158" s="49"/>
      <c r="C8158" s="400">
        <v>46132.0</v>
      </c>
      <c r="D8158" s="524">
        <v>1100.0</v>
      </c>
      <c r="E8158" s="544" t="s">
        <v>955</v>
      </c>
      <c r="F8158" s="387">
        <v>5.0</v>
      </c>
      <c r="G8158" s="140">
        <v>770000.0</v>
      </c>
      <c r="H8158" s="140">
        <v>10000.0</v>
      </c>
      <c r="I8158" s="74">
        <f t="shared" si="1"/>
        <v>3800000</v>
      </c>
      <c r="J8158" s="74">
        <f>IF(E8158="SERVICE",I8158-(I8158*50%),Vlookup(E8158,DATABASE!C:Q,10,false)*F8158)</f>
        <v>0</v>
      </c>
      <c r="K8158" s="74">
        <f>VLOOKUP(E8158,DATABASE!C:Q,7,false)</f>
        <v>712000</v>
      </c>
      <c r="L8158" s="74">
        <v>660000.0</v>
      </c>
      <c r="M8158" s="74">
        <f t="shared" si="6"/>
        <v>660000</v>
      </c>
      <c r="N8158" s="74">
        <f t="shared" si="3"/>
        <v>500000</v>
      </c>
      <c r="O8158" s="65" t="str">
        <f>VLOOKUP(E8158,DATABASE!C:Q,8,false)</f>
        <v>IBU</v>
      </c>
      <c r="P8158" s="65">
        <f>VLOOKUP(E8158,DATABASE!C:Q,9,False)</f>
        <v>1</v>
      </c>
      <c r="Q8158" s="93" t="str">
        <f>VLOOKUP(E8158,DATABASE!C:Q,4,false)</f>
        <v>Dunlop</v>
      </c>
      <c r="R8158" s="93" t="str">
        <f>VLOOKUP(E8158,DATABASE!C:Q,11,false)</f>
        <v>Tire</v>
      </c>
    </row>
    <row r="8159" ht="22.5" customHeight="1">
      <c r="A8159" s="49"/>
      <c r="C8159" s="400">
        <v>46132.0</v>
      </c>
      <c r="D8159" s="524">
        <v>1100.0</v>
      </c>
      <c r="E8159" s="544" t="s">
        <v>299</v>
      </c>
      <c r="F8159" s="387">
        <v>2.0</v>
      </c>
      <c r="G8159" s="140">
        <v>30000.0</v>
      </c>
      <c r="H8159" s="74"/>
      <c r="I8159" s="74">
        <f t="shared" si="1"/>
        <v>60000</v>
      </c>
      <c r="J8159" s="74">
        <f>IF(E8159="SERVICE",I8159-(I8159*50%),Vlookup(E8159,DATABASE!C:Q,10,false)*F8159)</f>
        <v>0</v>
      </c>
      <c r="K8159" s="74">
        <f>VLOOKUP(E8159,DATABASE!C:Q,7,false)</f>
        <v>10000</v>
      </c>
      <c r="L8159" s="74">
        <v>10000.0</v>
      </c>
      <c r="M8159" s="74">
        <f t="shared" si="6"/>
        <v>10000</v>
      </c>
      <c r="N8159" s="74">
        <f t="shared" si="3"/>
        <v>40000</v>
      </c>
      <c r="O8159" s="65" t="str">
        <f>VLOOKUP(E8159,DATABASE!C:Q,8,false)</f>
        <v>BIAN</v>
      </c>
      <c r="P8159" s="65">
        <f>VLOOKUP(E8159,DATABASE!C:Q,9,False)</f>
        <v>0</v>
      </c>
      <c r="Q8159" s="93" t="str">
        <f>VLOOKUP(E8159,DATABASE!C:Q,4,false)</f>
        <v>Balancing</v>
      </c>
      <c r="R8159" s="93" t="str">
        <f>VLOOKUP(E8159,DATABASE!C:Q,11,false)</f>
        <v>COMPLEMENTARY</v>
      </c>
    </row>
    <row r="8160" ht="22.5" customHeight="1">
      <c r="A8160" s="49"/>
      <c r="C8160" s="400">
        <v>46132.0</v>
      </c>
      <c r="D8160" s="524">
        <v>1101.0</v>
      </c>
      <c r="E8160" s="544" t="s">
        <v>1389</v>
      </c>
      <c r="F8160" s="387">
        <v>1.0</v>
      </c>
      <c r="G8160" s="140">
        <v>1020000.0</v>
      </c>
      <c r="H8160" s="74"/>
      <c r="I8160" s="74">
        <f t="shared" si="1"/>
        <v>1020000</v>
      </c>
      <c r="J8160" s="74">
        <f>IF(E8160="SERVICE",I8160-(I8160*50%),Vlookup(E8160,DATABASE!C:Q,10,false)*F8160)</f>
        <v>0</v>
      </c>
      <c r="K8160" s="74">
        <f>VLOOKUP(E8160,DATABASE!C:Q,7,false)</f>
        <v>908000</v>
      </c>
      <c r="L8160" s="74">
        <v>908000.0</v>
      </c>
      <c r="M8160" s="74">
        <f t="shared" si="6"/>
        <v>910000</v>
      </c>
      <c r="N8160" s="74">
        <f t="shared" si="3"/>
        <v>110000</v>
      </c>
      <c r="O8160" s="65" t="str">
        <f>VLOOKUP(E8160,DATABASE!C:Q,8,false)</f>
        <v>IBU</v>
      </c>
      <c r="P8160" s="65">
        <f>VLOOKUP(E8160,DATABASE!C:Q,9,False)</f>
        <v>1</v>
      </c>
      <c r="Q8160" s="93" t="str">
        <f>VLOOKUP(E8160,DATABASE!C:Q,4,false)</f>
        <v>Dunlop</v>
      </c>
      <c r="R8160" s="93" t="str">
        <f>VLOOKUP(E8160,DATABASE!C:Q,11,false)</f>
        <v>Tire</v>
      </c>
    </row>
    <row r="8161" ht="22.5" customHeight="1">
      <c r="A8161" s="49"/>
      <c r="C8161" s="400">
        <v>46132.0</v>
      </c>
      <c r="D8161" s="524">
        <v>1102.0</v>
      </c>
      <c r="E8161" s="544" t="s">
        <v>1940</v>
      </c>
      <c r="F8161" s="387">
        <v>2.0</v>
      </c>
      <c r="G8161" s="140">
        <v>820000.0</v>
      </c>
      <c r="H8161" s="74"/>
      <c r="I8161" s="74">
        <f t="shared" si="1"/>
        <v>1640000</v>
      </c>
      <c r="J8161" s="74">
        <f>IF(E8161="SERVICE",I8161-(I8161*50%),Vlookup(E8161,DATABASE!C:Q,10,false)*F8161)</f>
        <v>0</v>
      </c>
      <c r="K8161" s="74">
        <f>VLOOKUP(E8161,DATABASE!C:Q,7,false)</f>
        <v>775500</v>
      </c>
      <c r="L8161" s="74">
        <v>716900.0</v>
      </c>
      <c r="M8161" s="74">
        <f t="shared" si="6"/>
        <v>720000</v>
      </c>
      <c r="N8161" s="74">
        <f t="shared" si="3"/>
        <v>200000</v>
      </c>
      <c r="O8161" s="65" t="str">
        <f>VLOOKUP(E8161,DATABASE!C:Q,8,false)</f>
        <v>BIAN</v>
      </c>
      <c r="P8161" s="65">
        <f>VLOOKUP(E8161,DATABASE!C:Q,9,False)</f>
        <v>1</v>
      </c>
      <c r="Q8161" s="93" t="str">
        <f>VLOOKUP(E8161,DATABASE!C:Q,4,false)</f>
        <v>GT</v>
      </c>
      <c r="R8161" s="93" t="str">
        <f>VLOOKUP(E8161,DATABASE!C:Q,11,false)</f>
        <v>Tire</v>
      </c>
    </row>
    <row r="8162" ht="22.5" customHeight="1">
      <c r="A8162" s="49"/>
      <c r="C8162" s="400">
        <v>46132.0</v>
      </c>
      <c r="D8162" s="524">
        <v>1103.0</v>
      </c>
      <c r="E8162" s="544" t="s">
        <v>2236</v>
      </c>
      <c r="F8162" s="387">
        <v>1.0</v>
      </c>
      <c r="G8162" s="140">
        <v>900000.0</v>
      </c>
      <c r="H8162" s="74"/>
      <c r="I8162" s="74">
        <f t="shared" si="1"/>
        <v>900000</v>
      </c>
      <c r="J8162" s="74">
        <f>IF(E8162="SERVICE",I8162-(I8162*50%),Vlookup(E8162,DATABASE!C:Q,10,false)*F8162)</f>
        <v>0</v>
      </c>
      <c r="K8162" s="74">
        <f>VLOOKUP(E8162,DATABASE!C:Q,7,false)</f>
        <v>775000</v>
      </c>
      <c r="L8162" s="74">
        <v>775000.0</v>
      </c>
      <c r="M8162" s="74">
        <f t="shared" si="6"/>
        <v>775000</v>
      </c>
      <c r="N8162" s="74">
        <f t="shared" si="3"/>
        <v>125000</v>
      </c>
      <c r="O8162" s="65" t="str">
        <f>VLOOKUP(E8162,DATABASE!C:Q,8,false)</f>
        <v>BIAN</v>
      </c>
      <c r="P8162" s="65">
        <f>VLOOKUP(E8162,DATABASE!C:Q,9,False)</f>
        <v>0</v>
      </c>
      <c r="Q8162" s="93" t="str">
        <f>VLOOKUP(E8162,DATABASE!C:Q,4,false)</f>
        <v>VELG</v>
      </c>
      <c r="R8162" s="93" t="str">
        <f>VLOOKUP(E8162,DATABASE!C:Q,11,false)</f>
        <v>COMPLEMENTARY</v>
      </c>
    </row>
    <row r="8163" ht="22.5" customHeight="1">
      <c r="A8163" s="49"/>
      <c r="C8163" s="400">
        <v>46132.0</v>
      </c>
      <c r="D8163" s="524">
        <v>1103.0</v>
      </c>
      <c r="E8163" s="544" t="s">
        <v>566</v>
      </c>
      <c r="F8163" s="387">
        <v>1.0</v>
      </c>
      <c r="G8163" s="140">
        <v>1670000.0</v>
      </c>
      <c r="H8163" s="140">
        <v>20000.0</v>
      </c>
      <c r="I8163" s="74">
        <f t="shared" si="1"/>
        <v>1650000</v>
      </c>
      <c r="J8163" s="74">
        <f>IF(E8163="SERVICE",I8163-(I8163*50%),Vlookup(E8163,DATABASE!C:Q,10,false)*F8163)</f>
        <v>0</v>
      </c>
      <c r="K8163" s="74">
        <f>VLOOKUP(E8163,DATABASE!C:Q,7,false)</f>
        <v>1565000</v>
      </c>
      <c r="L8163" s="74">
        <v>1545000.0</v>
      </c>
      <c r="M8163" s="74">
        <f t="shared" si="6"/>
        <v>1545000</v>
      </c>
      <c r="N8163" s="74">
        <f t="shared" si="3"/>
        <v>105000</v>
      </c>
      <c r="O8163" s="65" t="str">
        <f>VLOOKUP(E8163,DATABASE!C:Q,8,false)</f>
        <v>IBU</v>
      </c>
      <c r="P8163" s="65">
        <f>VLOOKUP(E8163,DATABASE!C:Q,9,False)</f>
        <v>1</v>
      </c>
      <c r="Q8163" s="93" t="str">
        <f>VLOOKUP(E8163,DATABASE!C:Q,4,false)</f>
        <v>Bridgestone</v>
      </c>
      <c r="R8163" s="93" t="str">
        <f>VLOOKUP(E8163,DATABASE!C:Q,11,false)</f>
        <v>Tire</v>
      </c>
    </row>
    <row r="8164" ht="22.5" customHeight="1">
      <c r="A8164" s="49"/>
      <c r="C8164" s="400">
        <v>46132.0</v>
      </c>
      <c r="D8164" s="524">
        <v>1103.0</v>
      </c>
      <c r="E8164" s="544" t="s">
        <v>744</v>
      </c>
      <c r="F8164" s="387">
        <v>1.0</v>
      </c>
      <c r="G8164" s="140">
        <v>230000.0</v>
      </c>
      <c r="H8164" s="74"/>
      <c r="I8164" s="74">
        <f t="shared" si="1"/>
        <v>230000</v>
      </c>
      <c r="J8164" s="74">
        <f>IF(E8164="SERVICE",I8164-(I8164*50%),Vlookup(E8164,DATABASE!C:Q,10,false)*F8164)</f>
        <v>0</v>
      </c>
      <c r="K8164" s="74">
        <f>VLOOKUP(E8164,DATABASE!C:Q,7,false)</f>
        <v>182200</v>
      </c>
      <c r="L8164" s="74">
        <v>199920.0</v>
      </c>
      <c r="M8164" s="74">
        <f t="shared" si="6"/>
        <v>200000</v>
      </c>
      <c r="N8164" s="74">
        <f t="shared" si="3"/>
        <v>30000</v>
      </c>
      <c r="O8164" s="65" t="str">
        <f>VLOOKUP(E8164,DATABASE!C:Q,8,false)</f>
        <v>BIAN</v>
      </c>
      <c r="P8164" s="65">
        <f>VLOOKUP(E8164,DATABASE!C:Q,9,False)</f>
        <v>1</v>
      </c>
      <c r="Q8164" s="93" t="str">
        <f>VLOOKUP(E8164,DATABASE!C:Q,4,false)</f>
        <v>BD</v>
      </c>
      <c r="R8164" s="93" t="str">
        <f>VLOOKUP(E8164,DATABASE!C:Q,11,false)</f>
        <v>Tire</v>
      </c>
    </row>
    <row r="8165" ht="22.5" customHeight="1">
      <c r="A8165" s="49"/>
      <c r="C8165" s="400">
        <v>46132.0</v>
      </c>
      <c r="D8165" s="524">
        <v>1103.0</v>
      </c>
      <c r="E8165" s="544" t="s">
        <v>821</v>
      </c>
      <c r="F8165" s="387">
        <v>1.0</v>
      </c>
      <c r="G8165" s="140">
        <v>85000.0</v>
      </c>
      <c r="H8165" s="74"/>
      <c r="I8165" s="74">
        <f t="shared" si="1"/>
        <v>85000</v>
      </c>
      <c r="J8165" s="74">
        <f>IF(E8165="SERVICE",I8165-(I8165*50%),Vlookup(E8165,DATABASE!C:Q,10,false)*F8165)</f>
        <v>0</v>
      </c>
      <c r="K8165" s="74">
        <f>VLOOKUP(E8165,DATABASE!C:Q,7,false)</f>
        <v>43500</v>
      </c>
      <c r="L8165" s="74">
        <v>43520.0</v>
      </c>
      <c r="M8165" s="74">
        <f t="shared" si="6"/>
        <v>45000</v>
      </c>
      <c r="N8165" s="74">
        <f t="shared" si="3"/>
        <v>40000</v>
      </c>
      <c r="O8165" s="65" t="str">
        <f>VLOOKUP(E8165,DATABASE!C:Q,8,false)</f>
        <v>BIAN</v>
      </c>
      <c r="P8165" s="65">
        <f>VLOOKUP(E8165,DATABASE!C:Q,9,False)</f>
        <v>1</v>
      </c>
      <c r="Q8165" s="93" t="str">
        <f>VLOOKUP(E8165,DATABASE!C:Q,4,false)</f>
        <v>Flap</v>
      </c>
      <c r="R8165" s="93" t="str">
        <f>VLOOKUP(E8165,DATABASE!C:Q,11,false)</f>
        <v>Tire</v>
      </c>
    </row>
    <row r="8166" ht="22.5" customHeight="1">
      <c r="A8166" s="49"/>
      <c r="C8166" s="400">
        <v>46132.0</v>
      </c>
      <c r="D8166" s="524">
        <v>1104.0</v>
      </c>
      <c r="E8166" s="544" t="s">
        <v>1133</v>
      </c>
      <c r="F8166" s="387">
        <v>1.0</v>
      </c>
      <c r="G8166" s="140">
        <v>835000.0</v>
      </c>
      <c r="H8166" s="74"/>
      <c r="I8166" s="74">
        <f t="shared" si="1"/>
        <v>835000</v>
      </c>
      <c r="J8166" s="74">
        <f>IF(E8166="SERVICE",I8166-(I8166*50%),Vlookup(E8166,DATABASE!C:Q,10,false)*F8166)</f>
        <v>0</v>
      </c>
      <c r="K8166" s="74">
        <f>VLOOKUP(E8166,DATABASE!C:Q,7,false)</f>
        <v>759539.2</v>
      </c>
      <c r="L8166" s="74">
        <v>733824.0</v>
      </c>
      <c r="M8166" s="74">
        <f t="shared" si="6"/>
        <v>735000</v>
      </c>
      <c r="N8166" s="74">
        <f t="shared" si="3"/>
        <v>100000</v>
      </c>
      <c r="O8166" s="65" t="str">
        <f>VLOOKUP(E8166,DATABASE!C:Q,8,false)</f>
        <v>IBU</v>
      </c>
      <c r="P8166" s="65">
        <f>VLOOKUP(E8166,DATABASE!C:Q,9,False)</f>
        <v>1</v>
      </c>
      <c r="Q8166" s="93" t="str">
        <f>VLOOKUP(E8166,DATABASE!C:Q,4,false)</f>
        <v>Bridgestone</v>
      </c>
      <c r="R8166" s="93" t="str">
        <f>VLOOKUP(E8166,DATABASE!C:Q,11,false)</f>
        <v>Tire</v>
      </c>
    </row>
    <row r="8167" ht="22.5" customHeight="1">
      <c r="A8167" s="49"/>
      <c r="C8167" s="400">
        <v>46132.0</v>
      </c>
      <c r="D8167" s="524">
        <v>1105.0</v>
      </c>
      <c r="E8167" s="544" t="s">
        <v>268</v>
      </c>
      <c r="F8167" s="387">
        <v>4.0</v>
      </c>
      <c r="G8167" s="140">
        <v>710000.0</v>
      </c>
      <c r="H8167" s="74"/>
      <c r="I8167" s="74">
        <f t="shared" si="1"/>
        <v>2840000</v>
      </c>
      <c r="J8167" s="74">
        <f>IF(E8167="SERVICE",I8167-(I8167*50%),Vlookup(E8167,DATABASE!C:Q,10,false)*F8167)</f>
        <v>0</v>
      </c>
      <c r="K8167" s="74">
        <f>VLOOKUP(E8167,DATABASE!C:Q,7,false)</f>
        <v>653000</v>
      </c>
      <c r="L8167" s="74">
        <v>622000.0</v>
      </c>
      <c r="M8167" s="74">
        <f t="shared" si="6"/>
        <v>625000</v>
      </c>
      <c r="N8167" s="74">
        <f t="shared" si="3"/>
        <v>340000</v>
      </c>
      <c r="O8167" s="65" t="str">
        <f>VLOOKUP(E8167,DATABASE!C:Q,8,false)</f>
        <v>IBU</v>
      </c>
      <c r="P8167" s="65">
        <f>VLOOKUP(E8167,DATABASE!C:Q,9,False)</f>
        <v>1</v>
      </c>
      <c r="Q8167" s="93" t="str">
        <f>VLOOKUP(E8167,DATABASE!C:Q,4,false)</f>
        <v>Dunlop</v>
      </c>
      <c r="R8167" s="93" t="str">
        <f>VLOOKUP(E8167,DATABASE!C:Q,11,false)</f>
        <v>Tire</v>
      </c>
    </row>
    <row r="8168" ht="22.5" customHeight="1">
      <c r="A8168" s="49"/>
      <c r="C8168" s="400">
        <v>46132.0</v>
      </c>
      <c r="D8168" s="524">
        <v>1106.0</v>
      </c>
      <c r="E8168" s="544" t="s">
        <v>275</v>
      </c>
      <c r="F8168" s="387">
        <v>2.0</v>
      </c>
      <c r="G8168" s="140">
        <v>830000.0</v>
      </c>
      <c r="H8168" s="74"/>
      <c r="I8168" s="74">
        <f t="shared" si="1"/>
        <v>1660000</v>
      </c>
      <c r="J8168" s="74">
        <f>IF(E8168="SERVICE",I8168-(I8168*50%),Vlookup(E8168,DATABASE!C:Q,10,false)*F8168)</f>
        <v>0</v>
      </c>
      <c r="K8168" s="74">
        <f>VLOOKUP(E8168,DATABASE!C:Q,7,false)</f>
        <v>782000</v>
      </c>
      <c r="L8168" s="74">
        <v>745000.0</v>
      </c>
      <c r="M8168" s="74">
        <f t="shared" si="6"/>
        <v>745000</v>
      </c>
      <c r="N8168" s="74">
        <f t="shared" si="3"/>
        <v>170000</v>
      </c>
      <c r="O8168" s="65" t="str">
        <f>VLOOKUP(E8168,DATABASE!C:Q,8,false)</f>
        <v>IBU</v>
      </c>
      <c r="P8168" s="65">
        <f>VLOOKUP(E8168,DATABASE!C:Q,9,False)</f>
        <v>1</v>
      </c>
      <c r="Q8168" s="93" t="str">
        <f>VLOOKUP(E8168,DATABASE!C:Q,4,false)</f>
        <v>Dunlop</v>
      </c>
      <c r="R8168" s="93" t="str">
        <f>VLOOKUP(E8168,DATABASE!C:Q,11,false)</f>
        <v>Tire</v>
      </c>
    </row>
    <row r="8169" ht="22.5" customHeight="1">
      <c r="A8169" s="49"/>
      <c r="C8169" s="400">
        <v>46132.0</v>
      </c>
      <c r="D8169" s="524">
        <v>1106.0</v>
      </c>
      <c r="E8169" s="544" t="s">
        <v>299</v>
      </c>
      <c r="F8169" s="387">
        <v>2.0</v>
      </c>
      <c r="G8169" s="140">
        <v>30000.0</v>
      </c>
      <c r="H8169" s="74"/>
      <c r="I8169" s="74">
        <f t="shared" si="1"/>
        <v>60000</v>
      </c>
      <c r="J8169" s="74">
        <f>IF(E8169="SERVICE",I8169-(I8169*50%),Vlookup(E8169,DATABASE!C:Q,10,false)*F8169)</f>
        <v>0</v>
      </c>
      <c r="K8169" s="74">
        <f>VLOOKUP(E8169,DATABASE!C:Q,7,false)</f>
        <v>10000</v>
      </c>
      <c r="L8169" s="74">
        <v>10000.0</v>
      </c>
      <c r="M8169" s="74">
        <f t="shared" si="6"/>
        <v>10000</v>
      </c>
      <c r="N8169" s="74">
        <f t="shared" si="3"/>
        <v>40000</v>
      </c>
      <c r="O8169" s="65" t="str">
        <f>VLOOKUP(E8169,DATABASE!C:Q,8,false)</f>
        <v>BIAN</v>
      </c>
      <c r="P8169" s="65">
        <f>VLOOKUP(E8169,DATABASE!C:Q,9,False)</f>
        <v>0</v>
      </c>
      <c r="Q8169" s="93" t="str">
        <f>VLOOKUP(E8169,DATABASE!C:Q,4,false)</f>
        <v>Balancing</v>
      </c>
      <c r="R8169" s="93" t="str">
        <f>VLOOKUP(E8169,DATABASE!C:Q,11,false)</f>
        <v>COMPLEMENTARY</v>
      </c>
    </row>
    <row r="8170" ht="22.5" customHeight="1">
      <c r="A8170" s="49"/>
      <c r="C8170" s="400">
        <v>46132.0</v>
      </c>
      <c r="D8170" s="524">
        <v>1106.0</v>
      </c>
      <c r="E8170" s="544" t="s">
        <v>262</v>
      </c>
      <c r="F8170" s="387">
        <v>1.0</v>
      </c>
      <c r="G8170" s="140">
        <v>130000.0</v>
      </c>
      <c r="H8170" s="74"/>
      <c r="I8170" s="74">
        <f t="shared" si="1"/>
        <v>130000</v>
      </c>
      <c r="J8170" s="74">
        <f>IF(E8170="SERVICE",I8170-(I8170*50%),Vlookup(E8170,DATABASE!C:Q,10,false)*F8170)</f>
        <v>5000</v>
      </c>
      <c r="K8170" s="74">
        <f>VLOOKUP(E8170,DATABASE!C:Q,7,false)</f>
        <v>0</v>
      </c>
      <c r="L8170" s="74">
        <v>0.0</v>
      </c>
      <c r="M8170" s="74">
        <f t="shared" si="6"/>
        <v>0</v>
      </c>
      <c r="N8170" s="74">
        <f t="shared" si="3"/>
        <v>125000</v>
      </c>
      <c r="O8170" s="65" t="str">
        <f>VLOOKUP(E8170,DATABASE!C:Q,8,false)</f>
        <v>IBU</v>
      </c>
      <c r="P8170" s="65">
        <f>VLOOKUP(E8170,DATABASE!C:Q,9,False)</f>
        <v>0</v>
      </c>
      <c r="Q8170" s="93" t="str">
        <f>VLOOKUP(E8170,DATABASE!C:Q,4,false)</f>
        <v>SPOORING SS/CARRY LOS BAK</v>
      </c>
      <c r="R8170" s="93" t="str">
        <f>VLOOKUP(E8170,DATABASE!C:Q,11,false)</f>
        <v>SERVICE</v>
      </c>
    </row>
    <row r="8171" ht="22.5" customHeight="1">
      <c r="A8171" s="49"/>
      <c r="C8171" s="400">
        <v>46132.0</v>
      </c>
      <c r="D8171" s="524">
        <v>1106.0</v>
      </c>
      <c r="E8171" s="544" t="s">
        <v>251</v>
      </c>
      <c r="F8171" s="387">
        <v>1.0</v>
      </c>
      <c r="G8171" s="140">
        <v>350000.0</v>
      </c>
      <c r="H8171" s="140">
        <v>200000.0</v>
      </c>
      <c r="I8171" s="74">
        <f t="shared" si="1"/>
        <v>150000</v>
      </c>
      <c r="J8171" s="74">
        <f>IF(E8171="SERVICE",I8171-(I8171*50%),Vlookup(E8171,DATABASE!C:Q,10,false)*F8171)</f>
        <v>75000</v>
      </c>
      <c r="K8171" s="74">
        <f>VLOOKUP(E8171,DATABASE!C:Q,7,false)</f>
        <v>0</v>
      </c>
      <c r="L8171" s="74">
        <v>0.0</v>
      </c>
      <c r="M8171" s="74">
        <f t="shared" si="6"/>
        <v>0</v>
      </c>
      <c r="N8171" s="74">
        <f t="shared" si="3"/>
        <v>75000</v>
      </c>
      <c r="O8171" s="65" t="str">
        <f>VLOOKUP(E8171,DATABASE!C:Q,8,false)</f>
        <v>IBU</v>
      </c>
      <c r="P8171" s="65">
        <f>VLOOKUP(E8171,DATABASE!C:Q,9,False)</f>
        <v>0</v>
      </c>
      <c r="Q8171" s="93" t="str">
        <f>VLOOKUP(E8171,DATABASE!C:Q,4,false)</f>
        <v>SERVICE</v>
      </c>
      <c r="R8171" s="93" t="str">
        <f>VLOOKUP(E8171,DATABASE!C:Q,11,false)</f>
        <v>SERVICE</v>
      </c>
    </row>
    <row r="8172" ht="22.5" customHeight="1">
      <c r="A8172" s="49"/>
      <c r="C8172" s="400">
        <v>46132.0</v>
      </c>
      <c r="D8172" s="69" t="s">
        <v>2788</v>
      </c>
      <c r="E8172" s="544" t="s">
        <v>252</v>
      </c>
      <c r="F8172" s="387">
        <v>1.0</v>
      </c>
      <c r="G8172" s="140">
        <v>325000.0</v>
      </c>
      <c r="H8172" s="74"/>
      <c r="I8172" s="74">
        <f t="shared" si="1"/>
        <v>325000</v>
      </c>
      <c r="J8172" s="74">
        <f>IF(E8172="SERVICE",I8172-(I8172*50%),Vlookup(E8172,DATABASE!C:Q,10,false)*F8172)</f>
        <v>0</v>
      </c>
      <c r="K8172" s="74">
        <f>VLOOKUP(E8172,DATABASE!C:Q,7,false)</f>
        <v>317518</v>
      </c>
      <c r="L8172" s="74">
        <v>275500.0</v>
      </c>
      <c r="M8172" s="74">
        <f t="shared" si="6"/>
        <v>280000</v>
      </c>
      <c r="N8172" s="74">
        <f t="shared" si="3"/>
        <v>45000</v>
      </c>
      <c r="O8172" s="65" t="str">
        <f>VLOOKUP(E8172,DATABASE!C:Q,8,false)</f>
        <v>NON</v>
      </c>
      <c r="P8172" s="65">
        <f>VLOOKUP(E8172,DATABASE!C:Q,9,False)</f>
        <v>0</v>
      </c>
      <c r="Q8172" s="93" t="str">
        <f>VLOOKUP(E8172,DATABASE!C:Q,4,false)</f>
        <v>Shell</v>
      </c>
      <c r="R8172" s="93" t="str">
        <f>VLOOKUP(E8172,DATABASE!C:Q,11,false)</f>
        <v>OIL</v>
      </c>
    </row>
    <row r="8173" ht="22.5" customHeight="1">
      <c r="A8173" s="49"/>
      <c r="C8173" s="400">
        <v>46133.0</v>
      </c>
      <c r="D8173" s="524">
        <v>1107.0</v>
      </c>
      <c r="E8173" s="544" t="s">
        <v>737</v>
      </c>
      <c r="F8173" s="387">
        <v>1.0</v>
      </c>
      <c r="G8173" s="140">
        <v>270000.0</v>
      </c>
      <c r="H8173" s="74"/>
      <c r="I8173" s="74">
        <f t="shared" si="1"/>
        <v>270000</v>
      </c>
      <c r="J8173" s="74">
        <f>IF(E8173="SERVICE",I8173-(I8173*50%),Vlookup(E8173,DATABASE!C:Q,10,false)*F8173)</f>
        <v>0</v>
      </c>
      <c r="K8173" s="74">
        <f>VLOOKUP(E8173,DATABASE!C:Q,7,false)</f>
        <v>241001.6</v>
      </c>
      <c r="L8173" s="74">
        <v>237440.0</v>
      </c>
      <c r="M8173" s="74">
        <f t="shared" si="6"/>
        <v>240000</v>
      </c>
      <c r="N8173" s="74">
        <f t="shared" si="3"/>
        <v>30000</v>
      </c>
      <c r="O8173" s="65" t="str">
        <f>VLOOKUP(E8173,DATABASE!C:Q,8,false)</f>
        <v>IBU</v>
      </c>
      <c r="P8173" s="65">
        <f>VLOOKUP(E8173,DATABASE!C:Q,9,False)</f>
        <v>1</v>
      </c>
      <c r="Q8173" s="93" t="str">
        <f>VLOOKUP(E8173,DATABASE!C:Q,4,false)</f>
        <v>BD</v>
      </c>
      <c r="R8173" s="93" t="str">
        <f>VLOOKUP(E8173,DATABASE!C:Q,11,false)</f>
        <v>Tire</v>
      </c>
    </row>
    <row r="8174" ht="22.5" customHeight="1">
      <c r="A8174" s="49"/>
      <c r="C8174" s="400">
        <v>46133.0</v>
      </c>
      <c r="D8174" s="524">
        <v>1108.0</v>
      </c>
      <c r="E8174" s="544" t="s">
        <v>262</v>
      </c>
      <c r="F8174" s="387">
        <v>1.0</v>
      </c>
      <c r="G8174" s="140">
        <v>130000.0</v>
      </c>
      <c r="H8174" s="74"/>
      <c r="I8174" s="74">
        <f t="shared" si="1"/>
        <v>130000</v>
      </c>
      <c r="J8174" s="74">
        <f>IF(E8174="SERVICE",I8174-(I8174*50%),Vlookup(E8174,DATABASE!C:Q,10,false)*F8174)</f>
        <v>5000</v>
      </c>
      <c r="K8174" s="74">
        <f>VLOOKUP(E8174,DATABASE!C:Q,7,false)</f>
        <v>0</v>
      </c>
      <c r="L8174" s="74">
        <v>0.0</v>
      </c>
      <c r="M8174" s="74">
        <f t="shared" si="6"/>
        <v>0</v>
      </c>
      <c r="N8174" s="74">
        <f t="shared" si="3"/>
        <v>125000</v>
      </c>
      <c r="O8174" s="65" t="str">
        <f>VLOOKUP(E8174,DATABASE!C:Q,8,false)</f>
        <v>IBU</v>
      </c>
      <c r="P8174" s="65">
        <f>VLOOKUP(E8174,DATABASE!C:Q,9,False)</f>
        <v>0</v>
      </c>
      <c r="Q8174" s="93" t="str">
        <f>VLOOKUP(E8174,DATABASE!C:Q,4,false)</f>
        <v>SPOORING SS/CARRY LOS BAK</v>
      </c>
      <c r="R8174" s="93" t="str">
        <f>VLOOKUP(E8174,DATABASE!C:Q,11,false)</f>
        <v>SERVICE</v>
      </c>
    </row>
    <row r="8175" ht="22.5" customHeight="1">
      <c r="A8175" s="49"/>
      <c r="C8175" s="400">
        <v>46133.0</v>
      </c>
      <c r="D8175" s="524">
        <v>1108.0</v>
      </c>
      <c r="E8175" s="544" t="s">
        <v>251</v>
      </c>
      <c r="F8175" s="387">
        <v>1.0</v>
      </c>
      <c r="G8175" s="140">
        <v>350000.0</v>
      </c>
      <c r="H8175" s="140">
        <v>200000.0</v>
      </c>
      <c r="I8175" s="74">
        <f t="shared" si="1"/>
        <v>150000</v>
      </c>
      <c r="J8175" s="74">
        <f>IF(E8175="SERVICE",I8175-(I8175*50%),Vlookup(E8175,DATABASE!C:Q,10,false)*F8175)</f>
        <v>75000</v>
      </c>
      <c r="K8175" s="74">
        <f>VLOOKUP(E8175,DATABASE!C:Q,7,false)</f>
        <v>0</v>
      </c>
      <c r="L8175" s="74">
        <v>0.0</v>
      </c>
      <c r="M8175" s="74">
        <f t="shared" si="6"/>
        <v>0</v>
      </c>
      <c r="N8175" s="74">
        <f t="shared" si="3"/>
        <v>75000</v>
      </c>
      <c r="O8175" s="65" t="str">
        <f>VLOOKUP(E8175,DATABASE!C:Q,8,false)</f>
        <v>IBU</v>
      </c>
      <c r="P8175" s="65">
        <f>VLOOKUP(E8175,DATABASE!C:Q,9,False)</f>
        <v>0</v>
      </c>
      <c r="Q8175" s="93" t="str">
        <f>VLOOKUP(E8175,DATABASE!C:Q,4,false)</f>
        <v>SERVICE</v>
      </c>
      <c r="R8175" s="93" t="str">
        <f>VLOOKUP(E8175,DATABASE!C:Q,11,false)</f>
        <v>SERVICE</v>
      </c>
    </row>
    <row r="8176" ht="22.5" customHeight="1">
      <c r="A8176" s="49"/>
      <c r="C8176" s="400">
        <v>46133.0</v>
      </c>
      <c r="D8176" s="524">
        <v>1109.0</v>
      </c>
      <c r="E8176" s="544" t="s">
        <v>1400</v>
      </c>
      <c r="F8176" s="387">
        <v>1.0</v>
      </c>
      <c r="G8176" s="140">
        <v>565000.0</v>
      </c>
      <c r="H8176" s="140">
        <v>5000.0</v>
      </c>
      <c r="I8176" s="74">
        <f t="shared" si="1"/>
        <v>560000</v>
      </c>
      <c r="J8176" s="74">
        <f>IF(E8176="SERVICE",I8176-(I8176*50%),Vlookup(E8176,DATABASE!C:Q,10,false)*F8176)</f>
        <v>0</v>
      </c>
      <c r="K8176" s="74">
        <f>VLOOKUP(E8176,DATABASE!C:Q,7,false)</f>
        <v>465000</v>
      </c>
      <c r="L8176" s="74">
        <v>465000.0</v>
      </c>
      <c r="M8176" s="74">
        <f t="shared" si="6"/>
        <v>465000</v>
      </c>
      <c r="N8176" s="74">
        <f t="shared" si="3"/>
        <v>95000</v>
      </c>
      <c r="O8176" s="65" t="str">
        <f>VLOOKUP(E8176,DATABASE!C:Q,8,false)</f>
        <v>IBU</v>
      </c>
      <c r="P8176" s="65">
        <f>VLOOKUP(E8176,DATABASE!C:Q,9,False)</f>
        <v>1</v>
      </c>
      <c r="Q8176" s="93" t="str">
        <f>VLOOKUP(E8176,DATABASE!C:Q,4,false)</f>
        <v>Dunlop</v>
      </c>
      <c r="R8176" s="93" t="str">
        <f>VLOOKUP(E8176,DATABASE!C:Q,11,false)</f>
        <v>Tire</v>
      </c>
    </row>
    <row r="8177" ht="22.5" customHeight="1">
      <c r="A8177" s="49"/>
      <c r="C8177" s="400">
        <v>46133.0</v>
      </c>
      <c r="D8177" s="524">
        <v>1110.0</v>
      </c>
      <c r="E8177" s="544" t="s">
        <v>554</v>
      </c>
      <c r="F8177" s="387">
        <v>1.0</v>
      </c>
      <c r="G8177" s="140">
        <v>790000.0</v>
      </c>
      <c r="H8177" s="74"/>
      <c r="I8177" s="74">
        <f t="shared" si="1"/>
        <v>790000</v>
      </c>
      <c r="J8177" s="74">
        <f>IF(E8177="SERVICE",I8177-(I8177*50%),Vlookup(E8177,DATABASE!C:Q,10,false)*F8177)</f>
        <v>0</v>
      </c>
      <c r="K8177" s="74">
        <f>VLOOKUP(E8177,DATABASE!C:Q,7,false)</f>
        <v>710000</v>
      </c>
      <c r="L8177" s="74">
        <v>705000.0</v>
      </c>
      <c r="M8177" s="74">
        <f t="shared" si="6"/>
        <v>705000</v>
      </c>
      <c r="N8177" s="74">
        <f t="shared" si="3"/>
        <v>85000</v>
      </c>
      <c r="O8177" s="65" t="str">
        <f>VLOOKUP(E8177,DATABASE!C:Q,8,false)</f>
        <v>IBU</v>
      </c>
      <c r="P8177" s="65">
        <f>VLOOKUP(E8177,DATABASE!C:Q,9,False)</f>
        <v>1</v>
      </c>
      <c r="Q8177" s="93" t="str">
        <f>VLOOKUP(E8177,DATABASE!C:Q,4,false)</f>
        <v>Bridgestone</v>
      </c>
      <c r="R8177" s="93" t="str">
        <f>VLOOKUP(E8177,DATABASE!C:Q,11,false)</f>
        <v>Tire</v>
      </c>
    </row>
    <row r="8178" ht="22.5" customHeight="1">
      <c r="A8178" s="49"/>
      <c r="C8178" s="400">
        <v>46133.0</v>
      </c>
      <c r="D8178" s="524">
        <v>1110.0</v>
      </c>
      <c r="E8178" s="544" t="s">
        <v>250</v>
      </c>
      <c r="F8178" s="387">
        <v>1.0</v>
      </c>
      <c r="G8178" s="140">
        <v>135000.0</v>
      </c>
      <c r="H8178" s="74"/>
      <c r="I8178" s="74">
        <f t="shared" si="1"/>
        <v>135000</v>
      </c>
      <c r="J8178" s="74">
        <f>IF(E8178="SERVICE",I8178-(I8178*50%),Vlookup(E8178,DATABASE!C:Q,10,false)*F8178)</f>
        <v>0</v>
      </c>
      <c r="K8178" s="74">
        <f>VLOOKUP(E8178,DATABASE!C:Q,7,false)</f>
        <v>102000</v>
      </c>
      <c r="L8178" s="74">
        <v>102000.0</v>
      </c>
      <c r="M8178" s="74">
        <f t="shared" si="6"/>
        <v>105000</v>
      </c>
      <c r="N8178" s="74">
        <f t="shared" si="3"/>
        <v>30000</v>
      </c>
      <c r="O8178" s="65" t="str">
        <f>VLOOKUP(E8178,DATABASE!C:Q,8,false)</f>
        <v>BIAN</v>
      </c>
      <c r="P8178" s="65">
        <f>VLOOKUP(E8178,DATABASE!C:Q,9,False)</f>
        <v>1</v>
      </c>
      <c r="Q8178" s="93" t="str">
        <f>VLOOKUP(E8178,DATABASE!C:Q,4,false)</f>
        <v>BD</v>
      </c>
      <c r="R8178" s="93" t="str">
        <f>VLOOKUP(E8178,DATABASE!C:Q,11,false)</f>
        <v>Tire</v>
      </c>
    </row>
    <row r="8179" ht="22.5" customHeight="1">
      <c r="A8179" s="49"/>
      <c r="C8179" s="400">
        <v>46133.0</v>
      </c>
      <c r="D8179" s="524">
        <v>1111.0</v>
      </c>
      <c r="E8179" s="544" t="s">
        <v>268</v>
      </c>
      <c r="F8179" s="387">
        <v>4.0</v>
      </c>
      <c r="G8179" s="140">
        <v>710000.0</v>
      </c>
      <c r="H8179" s="74"/>
      <c r="I8179" s="74">
        <f t="shared" si="1"/>
        <v>2840000</v>
      </c>
      <c r="J8179" s="74">
        <f>IF(E8179="SERVICE",I8179-(I8179*50%),Vlookup(E8179,DATABASE!C:Q,10,false)*F8179)</f>
        <v>0</v>
      </c>
      <c r="K8179" s="74">
        <f>VLOOKUP(E8179,DATABASE!C:Q,7,false)</f>
        <v>653000</v>
      </c>
      <c r="L8179" s="74">
        <v>622000.0</v>
      </c>
      <c r="M8179" s="74">
        <f t="shared" si="6"/>
        <v>625000</v>
      </c>
      <c r="N8179" s="74">
        <f t="shared" si="3"/>
        <v>340000</v>
      </c>
      <c r="O8179" s="65" t="str">
        <f>VLOOKUP(E8179,DATABASE!C:Q,8,false)</f>
        <v>IBU</v>
      </c>
      <c r="P8179" s="65">
        <f>VLOOKUP(E8179,DATABASE!C:Q,9,False)</f>
        <v>1</v>
      </c>
      <c r="Q8179" s="93" t="str">
        <f>VLOOKUP(E8179,DATABASE!C:Q,4,false)</f>
        <v>Dunlop</v>
      </c>
      <c r="R8179" s="93" t="str">
        <f>VLOOKUP(E8179,DATABASE!C:Q,11,false)</f>
        <v>Tire</v>
      </c>
    </row>
    <row r="8180" ht="22.5" customHeight="1">
      <c r="A8180" s="49"/>
      <c r="C8180" s="400">
        <v>46133.0</v>
      </c>
      <c r="D8180" s="524">
        <v>1112.0</v>
      </c>
      <c r="E8180" s="544" t="s">
        <v>275</v>
      </c>
      <c r="F8180" s="387">
        <v>2.0</v>
      </c>
      <c r="G8180" s="140">
        <v>830000.0</v>
      </c>
      <c r="H8180" s="74"/>
      <c r="I8180" s="74">
        <f t="shared" si="1"/>
        <v>1660000</v>
      </c>
      <c r="J8180" s="74">
        <f>IF(E8180="SERVICE",I8180-(I8180*50%),Vlookup(E8180,DATABASE!C:Q,10,false)*F8180)</f>
        <v>0</v>
      </c>
      <c r="K8180" s="74">
        <f>VLOOKUP(E8180,DATABASE!C:Q,7,false)</f>
        <v>782000</v>
      </c>
      <c r="L8180" s="74">
        <v>745000.0</v>
      </c>
      <c r="M8180" s="74">
        <f t="shared" si="6"/>
        <v>745000</v>
      </c>
      <c r="N8180" s="74">
        <f t="shared" si="3"/>
        <v>170000</v>
      </c>
      <c r="O8180" s="65" t="str">
        <f>VLOOKUP(E8180,DATABASE!C:Q,8,false)</f>
        <v>IBU</v>
      </c>
      <c r="P8180" s="65">
        <f>VLOOKUP(E8180,DATABASE!C:Q,9,False)</f>
        <v>1</v>
      </c>
      <c r="Q8180" s="93" t="str">
        <f>VLOOKUP(E8180,DATABASE!C:Q,4,false)</f>
        <v>Dunlop</v>
      </c>
      <c r="R8180" s="93" t="str">
        <f>VLOOKUP(E8180,DATABASE!C:Q,11,false)</f>
        <v>Tire</v>
      </c>
    </row>
    <row r="8181" ht="22.5" customHeight="1">
      <c r="A8181" s="49"/>
      <c r="C8181" s="400">
        <v>46133.0</v>
      </c>
      <c r="D8181" s="524">
        <v>1113.0</v>
      </c>
      <c r="E8181" s="544" t="s">
        <v>1400</v>
      </c>
      <c r="F8181" s="387">
        <v>3.0</v>
      </c>
      <c r="G8181" s="140">
        <v>565000.0</v>
      </c>
      <c r="H8181" s="140">
        <v>15000.0</v>
      </c>
      <c r="I8181" s="74">
        <f t="shared" si="1"/>
        <v>1650000</v>
      </c>
      <c r="J8181" s="74">
        <f>IF(E8181="SERVICE",I8181-(I8181*50%),Vlookup(E8181,DATABASE!C:Q,10,false)*F8181)</f>
        <v>0</v>
      </c>
      <c r="K8181" s="74">
        <f>VLOOKUP(E8181,DATABASE!C:Q,7,false)</f>
        <v>465000</v>
      </c>
      <c r="L8181" s="74">
        <v>465000.0</v>
      </c>
      <c r="M8181" s="74">
        <f t="shared" si="6"/>
        <v>465000</v>
      </c>
      <c r="N8181" s="74">
        <f t="shared" si="3"/>
        <v>255000</v>
      </c>
      <c r="O8181" s="65" t="str">
        <f>VLOOKUP(E8181,DATABASE!C:Q,8,false)</f>
        <v>IBU</v>
      </c>
      <c r="P8181" s="69">
        <v>1.0</v>
      </c>
      <c r="Q8181" s="93" t="str">
        <f>VLOOKUP(E8181,DATABASE!C:Q,4,false)</f>
        <v>Dunlop</v>
      </c>
      <c r="R8181" s="93" t="str">
        <f>VLOOKUP(E8181,DATABASE!C:Q,11,false)</f>
        <v>Tire</v>
      </c>
    </row>
    <row r="8182" ht="22.5" customHeight="1">
      <c r="A8182" s="49"/>
      <c r="C8182" s="400">
        <v>46133.0</v>
      </c>
      <c r="D8182" s="524">
        <v>1113.0</v>
      </c>
      <c r="E8182" s="544" t="s">
        <v>1400</v>
      </c>
      <c r="F8182" s="387">
        <v>6.0</v>
      </c>
      <c r="G8182" s="140">
        <v>565000.0</v>
      </c>
      <c r="H8182" s="140">
        <v>15000.0</v>
      </c>
      <c r="I8182" s="74">
        <f t="shared" si="1"/>
        <v>3300000</v>
      </c>
      <c r="J8182" s="74">
        <f>IF(E8182="SERVICE",I8182-(I8182*50%),Vlookup(E8182,DATABASE!C:Q,10,false)*F8182)</f>
        <v>0</v>
      </c>
      <c r="K8182" s="74">
        <f>VLOOKUP(E8182,DATABASE!C:Q,7,false)</f>
        <v>465000</v>
      </c>
      <c r="L8182" s="74">
        <v>465000.0</v>
      </c>
      <c r="M8182" s="74">
        <f t="shared" si="6"/>
        <v>465000</v>
      </c>
      <c r="N8182" s="74">
        <f t="shared" si="3"/>
        <v>510000</v>
      </c>
      <c r="O8182" s="69" t="s">
        <v>1329</v>
      </c>
      <c r="P8182" s="69">
        <v>0.0</v>
      </c>
      <c r="Q8182" s="93" t="str">
        <f>VLOOKUP(E8182,DATABASE!C:Q,4,false)</f>
        <v>Dunlop</v>
      </c>
      <c r="R8182" s="93" t="str">
        <f>VLOOKUP(E8182,DATABASE!C:Q,11,false)</f>
        <v>Tire</v>
      </c>
    </row>
    <row r="8183" ht="22.5" customHeight="1">
      <c r="A8183" s="49"/>
      <c r="C8183" s="400">
        <v>46133.0</v>
      </c>
      <c r="D8183" s="524">
        <v>1114.0</v>
      </c>
      <c r="E8183" s="544" t="s">
        <v>262</v>
      </c>
      <c r="F8183" s="387">
        <v>1.0</v>
      </c>
      <c r="G8183" s="140">
        <v>130000.0</v>
      </c>
      <c r="H8183" s="140">
        <v>30000.0</v>
      </c>
      <c r="I8183" s="74">
        <f t="shared" si="1"/>
        <v>100000</v>
      </c>
      <c r="J8183" s="74">
        <f>IF(E8183="SERVICE",I8183-(I8183*50%),Vlookup(E8183,DATABASE!C:Q,10,false)*F8183)</f>
        <v>5000</v>
      </c>
      <c r="K8183" s="74">
        <f>VLOOKUP(E8183,DATABASE!C:Q,7,false)</f>
        <v>0</v>
      </c>
      <c r="L8183" s="74">
        <v>0.0</v>
      </c>
      <c r="M8183" s="74">
        <f t="shared" si="6"/>
        <v>0</v>
      </c>
      <c r="N8183" s="74">
        <f t="shared" si="3"/>
        <v>95000</v>
      </c>
      <c r="O8183" s="65" t="str">
        <f>VLOOKUP(E8183,DATABASE!C:Q,8,false)</f>
        <v>IBU</v>
      </c>
      <c r="P8183" s="65">
        <f>VLOOKUP(E8183,DATABASE!C:Q,9,False)</f>
        <v>0</v>
      </c>
      <c r="Q8183" s="93" t="str">
        <f>VLOOKUP(E8183,DATABASE!C:Q,4,false)</f>
        <v>SPOORING SS/CARRY LOS BAK</v>
      </c>
      <c r="R8183" s="93" t="str">
        <f>VLOOKUP(E8183,DATABASE!C:Q,11,false)</f>
        <v>SERVICE</v>
      </c>
    </row>
    <row r="8184" ht="22.5" customHeight="1">
      <c r="A8184" s="49"/>
      <c r="C8184" s="400">
        <v>46133.0</v>
      </c>
      <c r="D8184" s="524">
        <v>1114.0</v>
      </c>
      <c r="E8184" s="544" t="s">
        <v>251</v>
      </c>
      <c r="F8184" s="387">
        <v>1.0</v>
      </c>
      <c r="G8184" s="140">
        <v>350000.0</v>
      </c>
      <c r="H8184" s="140">
        <v>200000.0</v>
      </c>
      <c r="I8184" s="74">
        <f t="shared" si="1"/>
        <v>150000</v>
      </c>
      <c r="J8184" s="74">
        <f>IF(E8184="SERVICE",I8184-(I8184*50%),Vlookup(E8184,DATABASE!C:Q,10,false)*F8184)</f>
        <v>75000</v>
      </c>
      <c r="K8184" s="74">
        <f>VLOOKUP(E8184,DATABASE!C:Q,7,false)</f>
        <v>0</v>
      </c>
      <c r="L8184" s="74">
        <v>0.0</v>
      </c>
      <c r="M8184" s="74">
        <f t="shared" si="6"/>
        <v>0</v>
      </c>
      <c r="N8184" s="74">
        <f t="shared" si="3"/>
        <v>75000</v>
      </c>
      <c r="O8184" s="65" t="str">
        <f>VLOOKUP(E8184,DATABASE!C:Q,8,false)</f>
        <v>IBU</v>
      </c>
      <c r="P8184" s="65">
        <f>VLOOKUP(E8184,DATABASE!C:Q,9,False)</f>
        <v>0</v>
      </c>
      <c r="Q8184" s="93" t="str">
        <f>VLOOKUP(E8184,DATABASE!C:Q,4,false)</f>
        <v>SERVICE</v>
      </c>
      <c r="R8184" s="93" t="str">
        <f>VLOOKUP(E8184,DATABASE!C:Q,11,false)</f>
        <v>SERVICE</v>
      </c>
    </row>
    <row r="8185" ht="22.5" customHeight="1">
      <c r="A8185" s="49"/>
      <c r="C8185" s="400">
        <v>46133.0</v>
      </c>
      <c r="D8185" s="524">
        <v>1115.0</v>
      </c>
      <c r="E8185" s="544" t="s">
        <v>268</v>
      </c>
      <c r="F8185" s="387">
        <v>4.0</v>
      </c>
      <c r="G8185" s="140">
        <v>710000.0</v>
      </c>
      <c r="H8185" s="74"/>
      <c r="I8185" s="74">
        <f t="shared" si="1"/>
        <v>2840000</v>
      </c>
      <c r="J8185" s="74">
        <f>IF(E8185="SERVICE",I8185-(I8185*50%),Vlookup(E8185,DATABASE!C:Q,10,false)*F8185)</f>
        <v>0</v>
      </c>
      <c r="K8185" s="74">
        <f>VLOOKUP(E8185,DATABASE!C:Q,7,false)</f>
        <v>653000</v>
      </c>
      <c r="L8185" s="74">
        <v>622000.0</v>
      </c>
      <c r="M8185" s="74">
        <f t="shared" si="6"/>
        <v>625000</v>
      </c>
      <c r="N8185" s="74">
        <f t="shared" si="3"/>
        <v>340000</v>
      </c>
      <c r="O8185" s="65" t="str">
        <f>VLOOKUP(E8185,DATABASE!C:Q,8,false)</f>
        <v>IBU</v>
      </c>
      <c r="P8185" s="65">
        <f>VLOOKUP(E8185,DATABASE!C:Q,9,False)</f>
        <v>1</v>
      </c>
      <c r="Q8185" s="93" t="str">
        <f>VLOOKUP(E8185,DATABASE!C:Q,4,false)</f>
        <v>Dunlop</v>
      </c>
      <c r="R8185" s="93" t="str">
        <f>VLOOKUP(E8185,DATABASE!C:Q,11,false)</f>
        <v>Tire</v>
      </c>
    </row>
    <row r="8186" ht="22.5" customHeight="1">
      <c r="A8186" s="49"/>
      <c r="C8186" s="400">
        <v>46133.0</v>
      </c>
      <c r="D8186" s="524">
        <v>1115.0</v>
      </c>
      <c r="E8186" s="544" t="s">
        <v>299</v>
      </c>
      <c r="F8186" s="387">
        <v>2.0</v>
      </c>
      <c r="G8186" s="140">
        <v>30000.0</v>
      </c>
      <c r="H8186" s="74"/>
      <c r="I8186" s="74">
        <f t="shared" si="1"/>
        <v>60000</v>
      </c>
      <c r="J8186" s="74">
        <f>IF(E8186="SERVICE",I8186-(I8186*50%),Vlookup(E8186,DATABASE!C:Q,10,false)*F8186)</f>
        <v>0</v>
      </c>
      <c r="K8186" s="74">
        <f>VLOOKUP(E8186,DATABASE!C:Q,7,false)</f>
        <v>10000</v>
      </c>
      <c r="L8186" s="74">
        <v>10000.0</v>
      </c>
      <c r="M8186" s="74">
        <f t="shared" si="6"/>
        <v>10000</v>
      </c>
      <c r="N8186" s="74">
        <f t="shared" si="3"/>
        <v>40000</v>
      </c>
      <c r="O8186" s="65" t="str">
        <f>VLOOKUP(E8186,DATABASE!C:Q,8,false)</f>
        <v>BIAN</v>
      </c>
      <c r="P8186" s="65">
        <f>VLOOKUP(E8186,DATABASE!C:Q,9,False)</f>
        <v>0</v>
      </c>
      <c r="Q8186" s="93" t="str">
        <f>VLOOKUP(E8186,DATABASE!C:Q,4,false)</f>
        <v>Balancing</v>
      </c>
      <c r="R8186" s="93" t="str">
        <f>VLOOKUP(E8186,DATABASE!C:Q,11,false)</f>
        <v>COMPLEMENTARY</v>
      </c>
    </row>
    <row r="8187" ht="22.5" customHeight="1">
      <c r="A8187" s="49"/>
      <c r="C8187" s="400">
        <v>46133.0</v>
      </c>
      <c r="D8187" s="524">
        <v>1116.0</v>
      </c>
      <c r="E8187" s="544" t="s">
        <v>262</v>
      </c>
      <c r="F8187" s="387">
        <v>1.0</v>
      </c>
      <c r="G8187" s="140">
        <v>130000.0</v>
      </c>
      <c r="H8187" s="74"/>
      <c r="I8187" s="74">
        <f t="shared" si="1"/>
        <v>130000</v>
      </c>
      <c r="J8187" s="74">
        <f>IF(E8187="SERVICE",I8187-(I8187*50%),Vlookup(E8187,DATABASE!C:Q,10,false)*F8187)</f>
        <v>5000</v>
      </c>
      <c r="K8187" s="74">
        <f>VLOOKUP(E8187,DATABASE!C:Q,7,false)</f>
        <v>0</v>
      </c>
      <c r="L8187" s="74">
        <v>0.0</v>
      </c>
      <c r="M8187" s="74">
        <f t="shared" si="6"/>
        <v>0</v>
      </c>
      <c r="N8187" s="74">
        <f t="shared" si="3"/>
        <v>125000</v>
      </c>
      <c r="O8187" s="65" t="str">
        <f>VLOOKUP(E8187,DATABASE!C:Q,8,false)</f>
        <v>IBU</v>
      </c>
      <c r="P8187" s="65">
        <f>VLOOKUP(E8187,DATABASE!C:Q,9,False)</f>
        <v>0</v>
      </c>
      <c r="Q8187" s="93" t="str">
        <f>VLOOKUP(E8187,DATABASE!C:Q,4,false)</f>
        <v>SPOORING SS/CARRY LOS BAK</v>
      </c>
      <c r="R8187" s="93" t="str">
        <f>VLOOKUP(E8187,DATABASE!C:Q,11,false)</f>
        <v>SERVICE</v>
      </c>
    </row>
    <row r="8188" ht="22.5" customHeight="1">
      <c r="A8188" s="49"/>
      <c r="C8188" s="400">
        <v>46133.0</v>
      </c>
      <c r="D8188" s="524">
        <v>1116.0</v>
      </c>
      <c r="E8188" s="544" t="s">
        <v>251</v>
      </c>
      <c r="F8188" s="387">
        <v>1.0</v>
      </c>
      <c r="G8188" s="140">
        <v>350000.0</v>
      </c>
      <c r="H8188" s="140">
        <v>200000.0</v>
      </c>
      <c r="I8188" s="74">
        <f t="shared" si="1"/>
        <v>150000</v>
      </c>
      <c r="J8188" s="74">
        <f>IF(E8188="SERVICE",I8188-(I8188*50%),Vlookup(E8188,DATABASE!C:Q,10,false)*F8188)</f>
        <v>75000</v>
      </c>
      <c r="K8188" s="74">
        <f>VLOOKUP(E8188,DATABASE!C:Q,7,false)</f>
        <v>0</v>
      </c>
      <c r="L8188" s="74">
        <v>0.0</v>
      </c>
      <c r="M8188" s="74">
        <f t="shared" si="6"/>
        <v>0</v>
      </c>
      <c r="N8188" s="74">
        <f t="shared" si="3"/>
        <v>75000</v>
      </c>
      <c r="O8188" s="65" t="str">
        <f>VLOOKUP(E8188,DATABASE!C:Q,8,false)</f>
        <v>IBU</v>
      </c>
      <c r="P8188" s="65">
        <f>VLOOKUP(E8188,DATABASE!C:Q,9,False)</f>
        <v>0</v>
      </c>
      <c r="Q8188" s="93" t="str">
        <f>VLOOKUP(E8188,DATABASE!C:Q,4,false)</f>
        <v>SERVICE</v>
      </c>
      <c r="R8188" s="93" t="str">
        <f>VLOOKUP(E8188,DATABASE!C:Q,11,false)</f>
        <v>SERVICE</v>
      </c>
    </row>
    <row r="8189" ht="22.5" customHeight="1">
      <c r="A8189" s="49"/>
      <c r="C8189" s="400">
        <v>46133.0</v>
      </c>
      <c r="D8189" s="524">
        <v>1116.0</v>
      </c>
      <c r="E8189" s="544" t="s">
        <v>2206</v>
      </c>
      <c r="F8189" s="387">
        <v>1.0</v>
      </c>
      <c r="G8189" s="140">
        <v>225000.0</v>
      </c>
      <c r="H8189" s="140">
        <v>25000.0</v>
      </c>
      <c r="I8189" s="74">
        <f t="shared" si="1"/>
        <v>200000</v>
      </c>
      <c r="J8189" s="74">
        <f>IF(E8189="SERVICE",I8189-(I8189*50%),Vlookup(E8189,DATABASE!C:Q,10,false)*F8189)</f>
        <v>40000</v>
      </c>
      <c r="K8189" s="74">
        <f>VLOOKUP(E8189,DATABASE!C:Q,7,false)</f>
        <v>95450</v>
      </c>
      <c r="L8189" s="74">
        <v>61000.0</v>
      </c>
      <c r="M8189" s="74">
        <f t="shared" si="6"/>
        <v>65000</v>
      </c>
      <c r="N8189" s="74">
        <f t="shared" si="3"/>
        <v>95000</v>
      </c>
      <c r="O8189" s="65" t="str">
        <f>VLOOKUP(E8189,DATABASE!C:Q,8,false)</f>
        <v>IBU</v>
      </c>
      <c r="P8189" s="65">
        <f>VLOOKUP(E8189,DATABASE!C:Q,9,False)</f>
        <v>1</v>
      </c>
      <c r="Q8189" s="93" t="str">
        <f>VLOOKUP(E8189,DATABASE!C:Q,4,false)</f>
        <v>TIEROD</v>
      </c>
      <c r="R8189" s="93" t="str">
        <f>VLOOKUP(E8189,DATABASE!C:Q,11,false)</f>
        <v>COMPLEMENTARY</v>
      </c>
    </row>
    <row r="8190" ht="22.5" customHeight="1">
      <c r="A8190" s="49"/>
      <c r="C8190" s="400">
        <v>46133.0</v>
      </c>
      <c r="D8190" s="524">
        <v>1117.0</v>
      </c>
      <c r="E8190" s="544" t="s">
        <v>581</v>
      </c>
      <c r="F8190" s="387">
        <v>1.0</v>
      </c>
      <c r="G8190" s="140">
        <v>645000.0</v>
      </c>
      <c r="H8190" s="140">
        <v>5000.0</v>
      </c>
      <c r="I8190" s="74">
        <f t="shared" si="1"/>
        <v>640000</v>
      </c>
      <c r="J8190" s="74">
        <f>IF(E8190="SERVICE",I8190-(I8190*50%),Vlookup(E8190,DATABASE!C:Q,10,false)*F8190)</f>
        <v>0</v>
      </c>
      <c r="K8190" s="74">
        <f>VLOOKUP(E8190,DATABASE!C:Q,7,false)</f>
        <v>542528</v>
      </c>
      <c r="L8190" s="74">
        <v>542528.0</v>
      </c>
      <c r="M8190" s="74">
        <f t="shared" si="6"/>
        <v>545000</v>
      </c>
      <c r="N8190" s="74">
        <f t="shared" si="3"/>
        <v>95000</v>
      </c>
      <c r="O8190" s="65" t="str">
        <f>VLOOKUP(E8190,DATABASE!C:Q,8,false)</f>
        <v>IBU</v>
      </c>
      <c r="P8190" s="65">
        <f>VLOOKUP(E8190,DATABASE!C:Q,9,False)</f>
        <v>1</v>
      </c>
      <c r="Q8190" s="93" t="str">
        <f>VLOOKUP(E8190,DATABASE!C:Q,4,false)</f>
        <v>Bridgestone</v>
      </c>
      <c r="R8190" s="93" t="str">
        <f>VLOOKUP(E8190,DATABASE!C:Q,11,false)</f>
        <v>Tire</v>
      </c>
    </row>
    <row r="8191" ht="22.5" customHeight="1">
      <c r="A8191" s="49"/>
      <c r="C8191" s="400">
        <v>46133.0</v>
      </c>
      <c r="D8191" s="524">
        <v>1118.0</v>
      </c>
      <c r="E8191" s="544" t="s">
        <v>256</v>
      </c>
      <c r="F8191" s="387">
        <v>1.0</v>
      </c>
      <c r="G8191" s="140">
        <v>175000.0</v>
      </c>
      <c r="H8191" s="140">
        <v>25000.0</v>
      </c>
      <c r="I8191" s="74">
        <f t="shared" si="1"/>
        <v>150000</v>
      </c>
      <c r="J8191" s="74">
        <f>IF(E8191="SERVICE",I8191-(I8191*50%),Vlookup(E8191,DATABASE!C:Q,10,false)*F8191)</f>
        <v>10000</v>
      </c>
      <c r="K8191" s="74">
        <f>VLOOKUP(E8191,DATABASE!C:Q,7,false)</f>
        <v>0</v>
      </c>
      <c r="L8191" s="74">
        <v>0.0</v>
      </c>
      <c r="M8191" s="74">
        <f t="shared" si="6"/>
        <v>0</v>
      </c>
      <c r="N8191" s="74">
        <f t="shared" si="3"/>
        <v>140000</v>
      </c>
      <c r="O8191" s="65" t="str">
        <f>VLOOKUP(E8191,DATABASE!C:Q,8,false)</f>
        <v>IBU</v>
      </c>
      <c r="P8191" s="65">
        <f>VLOOKUP(E8191,DATABASE!C:Q,9,False)</f>
        <v>0</v>
      </c>
      <c r="Q8191" s="93" t="str">
        <f>VLOOKUP(E8191,DATABASE!C:Q,4,false)</f>
        <v>SPOORING</v>
      </c>
      <c r="R8191" s="93" t="str">
        <f>VLOOKUP(E8191,DATABASE!C:Q,11,false)</f>
        <v>SERVICE</v>
      </c>
    </row>
    <row r="8192" ht="22.5" customHeight="1">
      <c r="A8192" s="49"/>
      <c r="C8192" s="400">
        <v>46133.0</v>
      </c>
      <c r="D8192" s="524">
        <v>1118.0</v>
      </c>
      <c r="E8192" s="544" t="s">
        <v>251</v>
      </c>
      <c r="F8192" s="387">
        <v>1.0</v>
      </c>
      <c r="G8192" s="140">
        <v>350000.0</v>
      </c>
      <c r="H8192" s="140">
        <v>200000.0</v>
      </c>
      <c r="I8192" s="74">
        <f t="shared" si="1"/>
        <v>150000</v>
      </c>
      <c r="J8192" s="74">
        <f>IF(E8192="SERVICE",I8192-(I8192*50%),Vlookup(E8192,DATABASE!C:Q,10,false)*F8192)</f>
        <v>75000</v>
      </c>
      <c r="K8192" s="74">
        <f>VLOOKUP(E8192,DATABASE!C:Q,7,false)</f>
        <v>0</v>
      </c>
      <c r="L8192" s="74">
        <v>0.0</v>
      </c>
      <c r="M8192" s="74">
        <f t="shared" si="6"/>
        <v>0</v>
      </c>
      <c r="N8192" s="74">
        <f t="shared" si="3"/>
        <v>75000</v>
      </c>
      <c r="O8192" s="65" t="str">
        <f>VLOOKUP(E8192,DATABASE!C:Q,8,false)</f>
        <v>IBU</v>
      </c>
      <c r="P8192" s="65">
        <f>VLOOKUP(E8192,DATABASE!C:Q,9,False)</f>
        <v>0</v>
      </c>
      <c r="Q8192" s="93" t="str">
        <f>VLOOKUP(E8192,DATABASE!C:Q,4,false)</f>
        <v>SERVICE</v>
      </c>
      <c r="R8192" s="93" t="str">
        <f>VLOOKUP(E8192,DATABASE!C:Q,11,false)</f>
        <v>SERVICE</v>
      </c>
    </row>
    <row r="8193" ht="22.5" customHeight="1">
      <c r="A8193" s="49"/>
      <c r="C8193" s="400">
        <v>46133.0</v>
      </c>
      <c r="D8193" s="524">
        <v>1119.0</v>
      </c>
      <c r="E8193" s="544" t="s">
        <v>940</v>
      </c>
      <c r="F8193" s="387">
        <v>1.0</v>
      </c>
      <c r="G8193" s="140">
        <v>820000.0</v>
      </c>
      <c r="H8193" s="74"/>
      <c r="I8193" s="74">
        <f t="shared" si="1"/>
        <v>820000</v>
      </c>
      <c r="J8193" s="74">
        <f>IF(E8193="SERVICE",I8193-(I8193*50%),Vlookup(E8193,DATABASE!C:Q,10,false)*F8193)</f>
        <v>0</v>
      </c>
      <c r="K8193" s="74">
        <f>VLOOKUP(E8193,DATABASE!C:Q,7,false)</f>
        <v>716500</v>
      </c>
      <c r="L8193" s="74">
        <v>716500.0</v>
      </c>
      <c r="M8193" s="74">
        <f t="shared" si="6"/>
        <v>720000</v>
      </c>
      <c r="N8193" s="74">
        <f t="shared" si="3"/>
        <v>100000</v>
      </c>
      <c r="O8193" s="65" t="str">
        <f>VLOOKUP(E8193,DATABASE!C:Q,8,false)</f>
        <v>IBU</v>
      </c>
      <c r="P8193" s="65">
        <f>VLOOKUP(E8193,DATABASE!C:Q,9,False)</f>
        <v>1</v>
      </c>
      <c r="Q8193" s="93" t="str">
        <f>VLOOKUP(E8193,DATABASE!C:Q,4,false)</f>
        <v>Dunlop</v>
      </c>
      <c r="R8193" s="93" t="str">
        <f>VLOOKUP(E8193,DATABASE!C:Q,11,false)</f>
        <v>Tire</v>
      </c>
    </row>
    <row r="8194" ht="22.5" customHeight="1">
      <c r="A8194" s="49"/>
      <c r="C8194" s="400">
        <v>46134.0</v>
      </c>
      <c r="D8194" s="524">
        <v>1121.0</v>
      </c>
      <c r="E8194" s="544" t="s">
        <v>268</v>
      </c>
      <c r="F8194" s="387">
        <v>2.0</v>
      </c>
      <c r="G8194" s="140">
        <v>710000.0</v>
      </c>
      <c r="H8194" s="74"/>
      <c r="I8194" s="74">
        <f t="shared" si="1"/>
        <v>1420000</v>
      </c>
      <c r="J8194" s="74">
        <f>IF(E8194="SERVICE",I8194-(I8194*50%),Vlookup(E8194,DATABASE!C:Q,10,false)*F8194)</f>
        <v>0</v>
      </c>
      <c r="K8194" s="74">
        <f>VLOOKUP(E8194,DATABASE!C:Q,7,false)</f>
        <v>653000</v>
      </c>
      <c r="L8194" s="74">
        <v>622000.0</v>
      </c>
      <c r="M8194" s="74">
        <f t="shared" si="6"/>
        <v>625000</v>
      </c>
      <c r="N8194" s="74">
        <f t="shared" si="3"/>
        <v>170000</v>
      </c>
      <c r="O8194" s="65" t="str">
        <f>VLOOKUP(E8194,DATABASE!C:Q,8,false)</f>
        <v>IBU</v>
      </c>
      <c r="P8194" s="65">
        <f>VLOOKUP(E8194,DATABASE!C:Q,9,False)</f>
        <v>1</v>
      </c>
      <c r="Q8194" s="93" t="str">
        <f>VLOOKUP(E8194,DATABASE!C:Q,4,false)</f>
        <v>Dunlop</v>
      </c>
      <c r="R8194" s="93" t="str">
        <f>VLOOKUP(E8194,DATABASE!C:Q,11,false)</f>
        <v>Tire</v>
      </c>
    </row>
    <row r="8195" ht="22.5" customHeight="1">
      <c r="A8195" s="49"/>
      <c r="C8195" s="400">
        <v>46134.0</v>
      </c>
      <c r="D8195" s="524">
        <v>1122.0</v>
      </c>
      <c r="E8195" s="544" t="s">
        <v>268</v>
      </c>
      <c r="F8195" s="387">
        <v>2.0</v>
      </c>
      <c r="G8195" s="140">
        <v>710000.0</v>
      </c>
      <c r="H8195" s="74"/>
      <c r="I8195" s="74">
        <f t="shared" si="1"/>
        <v>1420000</v>
      </c>
      <c r="J8195" s="74">
        <f>IF(E8195="SERVICE",I8195-(I8195*50%),Vlookup(E8195,DATABASE!C:Q,10,false)*F8195)</f>
        <v>0</v>
      </c>
      <c r="K8195" s="74">
        <f>VLOOKUP(E8195,DATABASE!C:Q,7,false)</f>
        <v>653000</v>
      </c>
      <c r="L8195" s="74">
        <v>622000.0</v>
      </c>
      <c r="M8195" s="74">
        <f t="shared" si="6"/>
        <v>625000</v>
      </c>
      <c r="N8195" s="74">
        <f t="shared" si="3"/>
        <v>170000</v>
      </c>
      <c r="O8195" s="65" t="str">
        <f>VLOOKUP(E8195,DATABASE!C:Q,8,false)</f>
        <v>IBU</v>
      </c>
      <c r="P8195" s="65">
        <f>VLOOKUP(E8195,DATABASE!C:Q,9,False)</f>
        <v>1</v>
      </c>
      <c r="Q8195" s="93" t="str">
        <f>VLOOKUP(E8195,DATABASE!C:Q,4,false)</f>
        <v>Dunlop</v>
      </c>
      <c r="R8195" s="93" t="str">
        <f>VLOOKUP(E8195,DATABASE!C:Q,11,false)</f>
        <v>Tire</v>
      </c>
    </row>
    <row r="8196" ht="22.5" customHeight="1">
      <c r="A8196" s="49"/>
      <c r="C8196" s="400">
        <v>46134.0</v>
      </c>
      <c r="D8196" s="524">
        <v>1123.0</v>
      </c>
      <c r="E8196" s="544" t="s">
        <v>276</v>
      </c>
      <c r="F8196" s="387">
        <v>2.0</v>
      </c>
      <c r="G8196" s="140">
        <v>720000.0</v>
      </c>
      <c r="H8196" s="140">
        <v>10000.0</v>
      </c>
      <c r="I8196" s="74">
        <f t="shared" si="1"/>
        <v>1420000</v>
      </c>
      <c r="J8196" s="74">
        <f>IF(E8196="SERVICE",I8196-(I8196*50%),Vlookup(E8196,DATABASE!C:Q,10,false)*F8196)</f>
        <v>0</v>
      </c>
      <c r="K8196" s="74">
        <f>VLOOKUP(E8196,DATABASE!C:Q,7,false)</f>
        <v>620000</v>
      </c>
      <c r="L8196" s="74">
        <v>620000.0</v>
      </c>
      <c r="M8196" s="74">
        <f t="shared" si="6"/>
        <v>620000</v>
      </c>
      <c r="N8196" s="74">
        <f t="shared" si="3"/>
        <v>180000</v>
      </c>
      <c r="O8196" s="65" t="str">
        <f>VLOOKUP(E8196,DATABASE!C:Q,8,false)</f>
        <v>IBU</v>
      </c>
      <c r="P8196" s="65">
        <f>VLOOKUP(E8196,DATABASE!C:Q,9,False)</f>
        <v>1</v>
      </c>
      <c r="Q8196" s="93" t="str">
        <f>VLOOKUP(E8196,DATABASE!C:Q,4,false)</f>
        <v>Dunlop</v>
      </c>
      <c r="R8196" s="93" t="str">
        <f>VLOOKUP(E8196,DATABASE!C:Q,11,false)</f>
        <v>Tire</v>
      </c>
    </row>
    <row r="8197" ht="22.5" customHeight="1">
      <c r="A8197" s="49"/>
      <c r="C8197" s="400">
        <v>46134.0</v>
      </c>
      <c r="D8197" s="524">
        <v>1124.0</v>
      </c>
      <c r="E8197" s="544" t="s">
        <v>275</v>
      </c>
      <c r="F8197" s="387">
        <v>3.0</v>
      </c>
      <c r="G8197" s="140">
        <v>830000.0</v>
      </c>
      <c r="H8197" s="74"/>
      <c r="I8197" s="74">
        <f t="shared" si="1"/>
        <v>2490000</v>
      </c>
      <c r="J8197" s="74">
        <f>IF(E8197="SERVICE",I8197-(I8197*50%),Vlookup(E8197,DATABASE!C:Q,10,false)*F8197)</f>
        <v>0</v>
      </c>
      <c r="K8197" s="74">
        <f>VLOOKUP(E8197,DATABASE!C:Q,7,false)</f>
        <v>782000</v>
      </c>
      <c r="L8197" s="74">
        <v>745000.0</v>
      </c>
      <c r="M8197" s="74">
        <f t="shared" si="6"/>
        <v>745000</v>
      </c>
      <c r="N8197" s="74">
        <f t="shared" si="3"/>
        <v>255000</v>
      </c>
      <c r="O8197" s="65" t="str">
        <f>VLOOKUP(E8197,DATABASE!C:Q,8,false)</f>
        <v>IBU</v>
      </c>
      <c r="P8197" s="65">
        <f>VLOOKUP(E8197,DATABASE!C:Q,9,False)</f>
        <v>1</v>
      </c>
      <c r="Q8197" s="93" t="str">
        <f>VLOOKUP(E8197,DATABASE!C:Q,4,false)</f>
        <v>Dunlop</v>
      </c>
      <c r="R8197" s="93" t="str">
        <f>VLOOKUP(E8197,DATABASE!C:Q,11,false)</f>
        <v>Tire</v>
      </c>
    </row>
    <row r="8198" ht="22.5" customHeight="1">
      <c r="A8198" s="49"/>
      <c r="C8198" s="400">
        <v>46134.0</v>
      </c>
      <c r="D8198" s="524">
        <v>1125.0</v>
      </c>
      <c r="E8198" s="544" t="s">
        <v>566</v>
      </c>
      <c r="F8198" s="387">
        <v>2.0</v>
      </c>
      <c r="G8198" s="140">
        <v>1670000.0</v>
      </c>
      <c r="H8198" s="140">
        <v>20000.0</v>
      </c>
      <c r="I8198" s="74">
        <f t="shared" si="1"/>
        <v>3300000</v>
      </c>
      <c r="J8198" s="74">
        <f>IF(E8198="SERVICE",I8198-(I8198*50%),Vlookup(E8198,DATABASE!C:Q,10,false)*F8198)</f>
        <v>0</v>
      </c>
      <c r="K8198" s="74">
        <f>VLOOKUP(E8198,DATABASE!C:Q,7,false)</f>
        <v>1565000</v>
      </c>
      <c r="L8198" s="74">
        <v>1545000.0</v>
      </c>
      <c r="M8198" s="74">
        <f t="shared" si="6"/>
        <v>1545000</v>
      </c>
      <c r="N8198" s="74">
        <f t="shared" si="3"/>
        <v>210000</v>
      </c>
      <c r="O8198" s="65" t="str">
        <f>VLOOKUP(E8198,DATABASE!C:Q,8,false)</f>
        <v>IBU</v>
      </c>
      <c r="P8198" s="65">
        <f>VLOOKUP(E8198,DATABASE!C:Q,9,False)</f>
        <v>1</v>
      </c>
      <c r="Q8198" s="93" t="str">
        <f>VLOOKUP(E8198,DATABASE!C:Q,4,false)</f>
        <v>Bridgestone</v>
      </c>
      <c r="R8198" s="93" t="str">
        <f>VLOOKUP(E8198,DATABASE!C:Q,11,false)</f>
        <v>Tire</v>
      </c>
    </row>
    <row r="8199" ht="22.5" customHeight="1">
      <c r="A8199" s="49"/>
      <c r="C8199" s="400">
        <v>46134.0</v>
      </c>
      <c r="D8199" s="524">
        <v>1125.0</v>
      </c>
      <c r="E8199" s="544" t="s">
        <v>737</v>
      </c>
      <c r="F8199" s="387">
        <v>2.0</v>
      </c>
      <c r="G8199" s="140">
        <v>270000.0</v>
      </c>
      <c r="H8199" s="74"/>
      <c r="I8199" s="74">
        <f t="shared" si="1"/>
        <v>540000</v>
      </c>
      <c r="J8199" s="74">
        <f>IF(E8199="SERVICE",I8199-(I8199*50%),Vlookup(E8199,DATABASE!C:Q,10,false)*F8199)</f>
        <v>0</v>
      </c>
      <c r="K8199" s="74">
        <f>VLOOKUP(E8199,DATABASE!C:Q,7,false)</f>
        <v>241001.6</v>
      </c>
      <c r="L8199" s="74">
        <v>237440.0</v>
      </c>
      <c r="M8199" s="74">
        <f t="shared" si="6"/>
        <v>240000</v>
      </c>
      <c r="N8199" s="74">
        <f t="shared" si="3"/>
        <v>60000</v>
      </c>
      <c r="O8199" s="65" t="str">
        <f>VLOOKUP(E8199,DATABASE!C:Q,8,false)</f>
        <v>IBU</v>
      </c>
      <c r="P8199" s="65">
        <f>VLOOKUP(E8199,DATABASE!C:Q,9,False)</f>
        <v>1</v>
      </c>
      <c r="Q8199" s="93" t="str">
        <f>VLOOKUP(E8199,DATABASE!C:Q,4,false)</f>
        <v>BD</v>
      </c>
      <c r="R8199" s="93" t="str">
        <f>VLOOKUP(E8199,DATABASE!C:Q,11,false)</f>
        <v>Tire</v>
      </c>
    </row>
    <row r="8200" ht="22.5" customHeight="1">
      <c r="A8200" s="49"/>
      <c r="C8200" s="400">
        <v>46134.0</v>
      </c>
      <c r="D8200" s="524">
        <v>1125.0</v>
      </c>
      <c r="E8200" s="544" t="s">
        <v>821</v>
      </c>
      <c r="F8200" s="387">
        <v>2.0</v>
      </c>
      <c r="G8200" s="140">
        <v>90000.0</v>
      </c>
      <c r="H8200" s="74"/>
      <c r="I8200" s="74">
        <f t="shared" si="1"/>
        <v>180000</v>
      </c>
      <c r="J8200" s="74">
        <f>IF(E8200="SERVICE",I8200-(I8200*50%),Vlookup(E8200,DATABASE!C:Q,10,false)*F8200)</f>
        <v>0</v>
      </c>
      <c r="K8200" s="74">
        <f>VLOOKUP(E8200,DATABASE!C:Q,7,false)</f>
        <v>43500</v>
      </c>
      <c r="L8200" s="74">
        <v>43520.0</v>
      </c>
      <c r="M8200" s="74">
        <f t="shared" si="6"/>
        <v>45000</v>
      </c>
      <c r="N8200" s="74">
        <f t="shared" si="3"/>
        <v>90000</v>
      </c>
      <c r="O8200" s="65" t="str">
        <f>VLOOKUP(E8200,DATABASE!C:Q,8,false)</f>
        <v>BIAN</v>
      </c>
      <c r="P8200" s="65">
        <f>VLOOKUP(E8200,DATABASE!C:Q,9,False)</f>
        <v>1</v>
      </c>
      <c r="Q8200" s="93" t="str">
        <f>VLOOKUP(E8200,DATABASE!C:Q,4,false)</f>
        <v>Flap</v>
      </c>
      <c r="R8200" s="93" t="str">
        <f>VLOOKUP(E8200,DATABASE!C:Q,11,false)</f>
        <v>Tire</v>
      </c>
    </row>
    <row r="8201" ht="22.5" customHeight="1">
      <c r="A8201" s="49"/>
      <c r="C8201" s="400">
        <v>46134.0</v>
      </c>
      <c r="D8201" s="524">
        <v>1127.0</v>
      </c>
      <c r="E8201" s="544" t="s">
        <v>262</v>
      </c>
      <c r="F8201" s="387">
        <v>1.0</v>
      </c>
      <c r="G8201" s="140">
        <v>130000.0</v>
      </c>
      <c r="H8201" s="74"/>
      <c r="I8201" s="74">
        <f t="shared" si="1"/>
        <v>130000</v>
      </c>
      <c r="J8201" s="74">
        <f>IF(E8201="SERVICE",I8201-(I8201*50%),Vlookup(E8201,DATABASE!C:Q,10,false)*F8201)</f>
        <v>5000</v>
      </c>
      <c r="K8201" s="74">
        <f>VLOOKUP(E8201,DATABASE!C:Q,7,false)</f>
        <v>0</v>
      </c>
      <c r="L8201" s="74">
        <v>0.0</v>
      </c>
      <c r="M8201" s="74">
        <f t="shared" si="6"/>
        <v>0</v>
      </c>
      <c r="N8201" s="74">
        <f t="shared" si="3"/>
        <v>125000</v>
      </c>
      <c r="O8201" s="65" t="str">
        <f>VLOOKUP(E8201,DATABASE!C:Q,8,false)</f>
        <v>IBU</v>
      </c>
      <c r="P8201" s="65">
        <f>VLOOKUP(E8201,DATABASE!C:Q,9,False)</f>
        <v>0</v>
      </c>
      <c r="Q8201" s="93" t="str">
        <f>VLOOKUP(E8201,DATABASE!C:Q,4,false)</f>
        <v>SPOORING SS/CARRY LOS BAK</v>
      </c>
      <c r="R8201" s="93" t="str">
        <f>VLOOKUP(E8201,DATABASE!C:Q,11,false)</f>
        <v>SERVICE</v>
      </c>
    </row>
    <row r="8202" ht="22.5" customHeight="1">
      <c r="A8202" s="49"/>
      <c r="C8202" s="400">
        <v>46134.0</v>
      </c>
      <c r="D8202" s="524">
        <v>1127.0</v>
      </c>
      <c r="E8202" s="544" t="s">
        <v>251</v>
      </c>
      <c r="F8202" s="387">
        <v>1.0</v>
      </c>
      <c r="G8202" s="140">
        <v>350000.0</v>
      </c>
      <c r="H8202" s="140">
        <v>200000.0</v>
      </c>
      <c r="I8202" s="74">
        <f t="shared" si="1"/>
        <v>150000</v>
      </c>
      <c r="J8202" s="74">
        <f>IF(E8202="SERVICE",I8202-(I8202*50%),Vlookup(E8202,DATABASE!C:Q,10,false)*F8202)</f>
        <v>75000</v>
      </c>
      <c r="K8202" s="74">
        <f>VLOOKUP(E8202,DATABASE!C:Q,7,false)</f>
        <v>0</v>
      </c>
      <c r="L8202" s="74">
        <v>0.0</v>
      </c>
      <c r="M8202" s="74">
        <f t="shared" si="6"/>
        <v>0</v>
      </c>
      <c r="N8202" s="74">
        <f t="shared" si="3"/>
        <v>75000</v>
      </c>
      <c r="O8202" s="65" t="str">
        <f>VLOOKUP(E8202,DATABASE!C:Q,8,false)</f>
        <v>IBU</v>
      </c>
      <c r="P8202" s="65">
        <f>VLOOKUP(E8202,DATABASE!C:Q,9,False)</f>
        <v>0</v>
      </c>
      <c r="Q8202" s="93" t="str">
        <f>VLOOKUP(E8202,DATABASE!C:Q,4,false)</f>
        <v>SERVICE</v>
      </c>
      <c r="R8202" s="93" t="str">
        <f>VLOOKUP(E8202,DATABASE!C:Q,11,false)</f>
        <v>SERVICE</v>
      </c>
    </row>
    <row r="8203" ht="22.5" customHeight="1">
      <c r="A8203" s="49"/>
      <c r="C8203" s="400">
        <v>46134.0</v>
      </c>
      <c r="D8203" s="524">
        <v>1129.0</v>
      </c>
      <c r="E8203" s="544" t="s">
        <v>299</v>
      </c>
      <c r="F8203" s="387">
        <v>2.0</v>
      </c>
      <c r="G8203" s="140">
        <v>30000.0</v>
      </c>
      <c r="H8203" s="74"/>
      <c r="I8203" s="74">
        <f t="shared" si="1"/>
        <v>60000</v>
      </c>
      <c r="J8203" s="74">
        <f>IF(E8203="SERVICE",I8203-(I8203*50%),Vlookup(E8203,DATABASE!C:Q,10,false)*F8203)</f>
        <v>0</v>
      </c>
      <c r="K8203" s="74">
        <f>VLOOKUP(E8203,DATABASE!C:Q,7,false)</f>
        <v>10000</v>
      </c>
      <c r="L8203" s="74">
        <v>10000.0</v>
      </c>
      <c r="M8203" s="74">
        <f t="shared" si="6"/>
        <v>10000</v>
      </c>
      <c r="N8203" s="74">
        <f t="shared" si="3"/>
        <v>40000</v>
      </c>
      <c r="O8203" s="65" t="str">
        <f>VLOOKUP(E8203,DATABASE!C:Q,8,false)</f>
        <v>BIAN</v>
      </c>
      <c r="P8203" s="65">
        <f>VLOOKUP(E8203,DATABASE!C:Q,9,False)</f>
        <v>0</v>
      </c>
      <c r="Q8203" s="93" t="str">
        <f>VLOOKUP(E8203,DATABASE!C:Q,4,false)</f>
        <v>Balancing</v>
      </c>
      <c r="R8203" s="93" t="str">
        <f>VLOOKUP(E8203,DATABASE!C:Q,11,false)</f>
        <v>COMPLEMENTARY</v>
      </c>
    </row>
    <row r="8204" ht="22.5" customHeight="1">
      <c r="A8204" s="49"/>
      <c r="C8204" s="400">
        <v>46134.0</v>
      </c>
      <c r="D8204" s="524">
        <v>1129.0</v>
      </c>
      <c r="E8204" s="544" t="s">
        <v>256</v>
      </c>
      <c r="F8204" s="387">
        <v>1.0</v>
      </c>
      <c r="G8204" s="140">
        <v>175000.0</v>
      </c>
      <c r="H8204" s="140">
        <v>25000.0</v>
      </c>
      <c r="I8204" s="74">
        <f t="shared" si="1"/>
        <v>150000</v>
      </c>
      <c r="J8204" s="74">
        <f>IF(E8204="SERVICE",I8204-(I8204*50%),Vlookup(E8204,DATABASE!C:Q,10,false)*F8204)</f>
        <v>10000</v>
      </c>
      <c r="K8204" s="74">
        <f>VLOOKUP(E8204,DATABASE!C:Q,7,false)</f>
        <v>0</v>
      </c>
      <c r="L8204" s="74">
        <v>0.0</v>
      </c>
      <c r="M8204" s="74">
        <f t="shared" si="6"/>
        <v>0</v>
      </c>
      <c r="N8204" s="74">
        <f t="shared" si="3"/>
        <v>140000</v>
      </c>
      <c r="O8204" s="65" t="str">
        <f>VLOOKUP(E8204,DATABASE!C:Q,8,false)</f>
        <v>IBU</v>
      </c>
      <c r="P8204" s="65">
        <f>VLOOKUP(E8204,DATABASE!C:Q,9,False)</f>
        <v>0</v>
      </c>
      <c r="Q8204" s="93" t="str">
        <f>VLOOKUP(E8204,DATABASE!C:Q,4,false)</f>
        <v>SPOORING</v>
      </c>
      <c r="R8204" s="93" t="str">
        <f>VLOOKUP(E8204,DATABASE!C:Q,11,false)</f>
        <v>SERVICE</v>
      </c>
    </row>
    <row r="8205" ht="22.5" customHeight="1">
      <c r="A8205" s="49"/>
      <c r="C8205" s="400">
        <v>46134.0</v>
      </c>
      <c r="D8205" s="524">
        <v>1129.0</v>
      </c>
      <c r="E8205" s="544" t="s">
        <v>301</v>
      </c>
      <c r="F8205" s="387">
        <v>1.0</v>
      </c>
      <c r="G8205" s="140">
        <v>250000.0</v>
      </c>
      <c r="H8205" s="74"/>
      <c r="I8205" s="74">
        <f t="shared" si="1"/>
        <v>250000</v>
      </c>
      <c r="J8205" s="74">
        <f>IF(E8205="SERVICE",I8205-(I8205*50%),Vlookup(E8205,DATABASE!C:Q,10,false)*F8205)</f>
        <v>75000</v>
      </c>
      <c r="K8205" s="74">
        <f>VLOOKUP(E8205,DATABASE!C:Q,7,false)</f>
        <v>75000</v>
      </c>
      <c r="L8205" s="74">
        <v>75000.0</v>
      </c>
      <c r="M8205" s="74">
        <f t="shared" si="6"/>
        <v>75000</v>
      </c>
      <c r="N8205" s="74">
        <f t="shared" si="3"/>
        <v>100000</v>
      </c>
      <c r="O8205" s="65" t="str">
        <f>VLOOKUP(E8205,DATABASE!C:Q,8,false)</f>
        <v>BIAN</v>
      </c>
      <c r="P8205" s="65">
        <f>VLOOKUP(E8205,DATABASE!C:Q,9,False)</f>
        <v>0</v>
      </c>
      <c r="Q8205" s="93" t="str">
        <f>VLOOKUP(E8205,DATABASE!C:Q,4,false)</f>
        <v>Baut Camber</v>
      </c>
      <c r="R8205" s="93" t="str">
        <f>VLOOKUP(E8205,DATABASE!C:Q,11,false)</f>
        <v>COMPLEMENTARY</v>
      </c>
    </row>
    <row r="8206" ht="22.5" customHeight="1">
      <c r="A8206" s="49"/>
      <c r="C8206" s="400">
        <v>46134.0</v>
      </c>
      <c r="D8206" s="524">
        <v>1130.0</v>
      </c>
      <c r="E8206" s="544" t="s">
        <v>268</v>
      </c>
      <c r="F8206" s="387">
        <v>2.0</v>
      </c>
      <c r="G8206" s="140">
        <v>710000.0</v>
      </c>
      <c r="H8206" s="74"/>
      <c r="I8206" s="74">
        <f t="shared" si="1"/>
        <v>1420000</v>
      </c>
      <c r="J8206" s="74">
        <f>IF(E8206="SERVICE",I8206-(I8206*50%),Vlookup(E8206,DATABASE!C:Q,10,false)*F8206)</f>
        <v>0</v>
      </c>
      <c r="K8206" s="74">
        <f>VLOOKUP(E8206,DATABASE!C:Q,7,false)</f>
        <v>653000</v>
      </c>
      <c r="L8206" s="74">
        <v>622000.0</v>
      </c>
      <c r="M8206" s="74">
        <f t="shared" si="6"/>
        <v>625000</v>
      </c>
      <c r="N8206" s="74">
        <f t="shared" si="3"/>
        <v>170000</v>
      </c>
      <c r="O8206" s="65" t="str">
        <f>VLOOKUP(E8206,DATABASE!C:Q,8,false)</f>
        <v>IBU</v>
      </c>
      <c r="P8206" s="65">
        <f>VLOOKUP(E8206,DATABASE!C:Q,9,False)</f>
        <v>1</v>
      </c>
      <c r="Q8206" s="93" t="str">
        <f>VLOOKUP(E8206,DATABASE!C:Q,4,false)</f>
        <v>Dunlop</v>
      </c>
      <c r="R8206" s="93" t="str">
        <f>VLOOKUP(E8206,DATABASE!C:Q,11,false)</f>
        <v>Tire</v>
      </c>
    </row>
    <row r="8207" ht="22.5" customHeight="1">
      <c r="A8207" s="49"/>
      <c r="C8207" s="400">
        <v>46134.0</v>
      </c>
      <c r="D8207" s="524">
        <v>1131.0</v>
      </c>
      <c r="E8207" s="544" t="s">
        <v>572</v>
      </c>
      <c r="F8207" s="387">
        <v>2.0</v>
      </c>
      <c r="G8207" s="140">
        <v>1370000.0</v>
      </c>
      <c r="H8207" s="140">
        <v>20000.0</v>
      </c>
      <c r="I8207" s="74">
        <f t="shared" si="1"/>
        <v>2700000</v>
      </c>
      <c r="J8207" s="74">
        <f>IF(E8207="SERVICE",I8207-(I8207*50%),Vlookup(E8207,DATABASE!C:Q,10,false)*F8207)</f>
        <v>0</v>
      </c>
      <c r="K8207" s="74">
        <f>VLOOKUP(E8207,DATABASE!C:Q,7,false)</f>
        <v>1265000</v>
      </c>
      <c r="L8207" s="74">
        <v>1245000.0</v>
      </c>
      <c r="M8207" s="74">
        <f t="shared" si="6"/>
        <v>1245000</v>
      </c>
      <c r="N8207" s="74">
        <f t="shared" si="3"/>
        <v>210000</v>
      </c>
      <c r="O8207" s="65" t="str">
        <f>VLOOKUP(E8207,DATABASE!C:Q,8,false)</f>
        <v>IBU</v>
      </c>
      <c r="P8207" s="65">
        <f>VLOOKUP(E8207,DATABASE!C:Q,9,False)</f>
        <v>1</v>
      </c>
      <c r="Q8207" s="93" t="str">
        <f>VLOOKUP(E8207,DATABASE!C:Q,4,false)</f>
        <v>Bridgestone</v>
      </c>
      <c r="R8207" s="93" t="str">
        <f>VLOOKUP(E8207,DATABASE!C:Q,11,false)</f>
        <v>Tire</v>
      </c>
    </row>
    <row r="8208" ht="22.5" customHeight="1">
      <c r="A8208" s="49"/>
      <c r="C8208" s="400">
        <v>46134.0</v>
      </c>
      <c r="D8208" s="524">
        <v>1131.0</v>
      </c>
      <c r="E8208" s="544" t="s">
        <v>255</v>
      </c>
      <c r="F8208" s="387">
        <v>2.0</v>
      </c>
      <c r="G8208" s="140">
        <v>200000.0</v>
      </c>
      <c r="H8208" s="74"/>
      <c r="I8208" s="74">
        <f t="shared" si="1"/>
        <v>400000</v>
      </c>
      <c r="J8208" s="74">
        <f>IF(E8208="SERVICE",I8208-(I8208*50%),Vlookup(E8208,DATABASE!C:Q,10,false)*F8208)</f>
        <v>0</v>
      </c>
      <c r="K8208" s="74">
        <f>VLOOKUP(E8208,DATABASE!C:Q,7,false)</f>
        <v>161840</v>
      </c>
      <c r="L8208" s="74">
        <v>161840.0</v>
      </c>
      <c r="M8208" s="74">
        <f t="shared" si="6"/>
        <v>165000</v>
      </c>
      <c r="N8208" s="74">
        <f t="shared" si="3"/>
        <v>70000</v>
      </c>
      <c r="O8208" s="65" t="str">
        <f>VLOOKUP(E8208,DATABASE!C:Q,8,false)</f>
        <v>BIAN</v>
      </c>
      <c r="P8208" s="65">
        <f>VLOOKUP(E8208,DATABASE!C:Q,9,False)</f>
        <v>1</v>
      </c>
      <c r="Q8208" s="93" t="str">
        <f>VLOOKUP(E8208,DATABASE!C:Q,4,false)</f>
        <v>BD</v>
      </c>
      <c r="R8208" s="93" t="str">
        <f>VLOOKUP(E8208,DATABASE!C:Q,11,false)</f>
        <v>Tire</v>
      </c>
    </row>
    <row r="8209" ht="22.5" customHeight="1">
      <c r="A8209" s="49"/>
      <c r="C8209" s="400">
        <v>46134.0</v>
      </c>
      <c r="D8209" s="524">
        <v>1131.0</v>
      </c>
      <c r="E8209" s="544" t="s">
        <v>814</v>
      </c>
      <c r="F8209" s="387">
        <v>1.0</v>
      </c>
      <c r="G8209" s="140">
        <v>70000.0</v>
      </c>
      <c r="H8209" s="74"/>
      <c r="I8209" s="74">
        <f t="shared" si="1"/>
        <v>70000</v>
      </c>
      <c r="J8209" s="74">
        <f>IF(E8209="SERVICE",I8209-(I8209*50%),Vlookup(E8209,DATABASE!C:Q,10,false)*F8209)</f>
        <v>0</v>
      </c>
      <c r="K8209" s="74">
        <f>VLOOKUP(E8209,DATABASE!C:Q,7,false)</f>
        <v>39440</v>
      </c>
      <c r="L8209" s="74">
        <v>39440.0</v>
      </c>
      <c r="M8209" s="74">
        <f t="shared" si="6"/>
        <v>40000</v>
      </c>
      <c r="N8209" s="74">
        <f t="shared" si="3"/>
        <v>30000</v>
      </c>
      <c r="O8209" s="65" t="str">
        <f>VLOOKUP(E8209,DATABASE!C:Q,8,false)</f>
        <v>BIAN</v>
      </c>
      <c r="P8209" s="65">
        <f>VLOOKUP(E8209,DATABASE!C:Q,9,False)</f>
        <v>1</v>
      </c>
      <c r="Q8209" s="93" t="str">
        <f>VLOOKUP(E8209,DATABASE!C:Q,4,false)</f>
        <v>Flap</v>
      </c>
      <c r="R8209" s="93" t="str">
        <f>VLOOKUP(E8209,DATABASE!C:Q,11,false)</f>
        <v>Tire</v>
      </c>
    </row>
    <row r="8210" ht="22.5" customHeight="1">
      <c r="A8210" s="49"/>
      <c r="C8210" s="400">
        <v>46134.0</v>
      </c>
      <c r="D8210" s="524">
        <v>1132.0</v>
      </c>
      <c r="E8210" s="544" t="s">
        <v>256</v>
      </c>
      <c r="F8210" s="387">
        <v>1.0</v>
      </c>
      <c r="G8210" s="140">
        <v>175000.0</v>
      </c>
      <c r="H8210" s="140">
        <v>25000.0</v>
      </c>
      <c r="I8210" s="74">
        <f t="shared" si="1"/>
        <v>150000</v>
      </c>
      <c r="J8210" s="74">
        <f>IF(E8210="SERVICE",I8210-(I8210*50%),Vlookup(E8210,DATABASE!C:Q,10,false)*F8210)</f>
        <v>10000</v>
      </c>
      <c r="K8210" s="74">
        <f>VLOOKUP(E8210,DATABASE!C:Q,7,false)</f>
        <v>0</v>
      </c>
      <c r="L8210" s="74">
        <v>0.0</v>
      </c>
      <c r="M8210" s="74">
        <f t="shared" si="6"/>
        <v>0</v>
      </c>
      <c r="N8210" s="74">
        <f t="shared" si="3"/>
        <v>140000</v>
      </c>
      <c r="O8210" s="65" t="str">
        <f>VLOOKUP(E8210,DATABASE!C:Q,8,false)</f>
        <v>IBU</v>
      </c>
      <c r="P8210" s="65">
        <f>VLOOKUP(E8210,DATABASE!C:Q,9,False)</f>
        <v>0</v>
      </c>
      <c r="Q8210" s="93" t="str">
        <f>VLOOKUP(E8210,DATABASE!C:Q,4,false)</f>
        <v>SPOORING</v>
      </c>
      <c r="R8210" s="93" t="str">
        <f>VLOOKUP(E8210,DATABASE!C:Q,11,false)</f>
        <v>SERVICE</v>
      </c>
    </row>
    <row r="8211" ht="22.5" customHeight="1">
      <c r="A8211" s="49"/>
      <c r="C8211" s="400">
        <v>46134.0</v>
      </c>
      <c r="D8211" s="524">
        <v>1132.0</v>
      </c>
      <c r="E8211" s="544" t="s">
        <v>251</v>
      </c>
      <c r="F8211" s="387">
        <v>1.0</v>
      </c>
      <c r="G8211" s="140">
        <v>350000.0</v>
      </c>
      <c r="H8211" s="140">
        <v>200000.0</v>
      </c>
      <c r="I8211" s="74">
        <f t="shared" si="1"/>
        <v>150000</v>
      </c>
      <c r="J8211" s="74">
        <f>IF(E8211="SERVICE",I8211-(I8211*50%),Vlookup(E8211,DATABASE!C:Q,10,false)*F8211)</f>
        <v>75000</v>
      </c>
      <c r="K8211" s="74">
        <f>VLOOKUP(E8211,DATABASE!C:Q,7,false)</f>
        <v>0</v>
      </c>
      <c r="L8211" s="74">
        <v>0.0</v>
      </c>
      <c r="M8211" s="74">
        <f t="shared" si="6"/>
        <v>0</v>
      </c>
      <c r="N8211" s="74">
        <f t="shared" si="3"/>
        <v>75000</v>
      </c>
      <c r="O8211" s="65" t="str">
        <f>VLOOKUP(E8211,DATABASE!C:Q,8,false)</f>
        <v>IBU</v>
      </c>
      <c r="P8211" s="65">
        <f>VLOOKUP(E8211,DATABASE!C:Q,9,False)</f>
        <v>0</v>
      </c>
      <c r="Q8211" s="93" t="str">
        <f>VLOOKUP(E8211,DATABASE!C:Q,4,false)</f>
        <v>SERVICE</v>
      </c>
      <c r="R8211" s="93" t="str">
        <f>VLOOKUP(E8211,DATABASE!C:Q,11,false)</f>
        <v>SERVICE</v>
      </c>
    </row>
    <row r="8212" ht="22.5" customHeight="1">
      <c r="A8212" s="49"/>
      <c r="C8212" s="400">
        <v>46134.0</v>
      </c>
      <c r="D8212" s="524">
        <v>1133.0</v>
      </c>
      <c r="E8212" s="544" t="s">
        <v>1940</v>
      </c>
      <c r="F8212" s="387">
        <v>2.0</v>
      </c>
      <c r="G8212" s="140">
        <v>820000.0</v>
      </c>
      <c r="H8212" s="74"/>
      <c r="I8212" s="74">
        <f t="shared" si="1"/>
        <v>1640000</v>
      </c>
      <c r="J8212" s="74">
        <f>IF(E8212="SERVICE",I8212-(I8212*50%),Vlookup(E8212,DATABASE!C:Q,10,false)*F8212)</f>
        <v>0</v>
      </c>
      <c r="K8212" s="74">
        <f>VLOOKUP(E8212,DATABASE!C:Q,7,false)</f>
        <v>775500</v>
      </c>
      <c r="L8212" s="74">
        <v>716900.0</v>
      </c>
      <c r="M8212" s="74">
        <f t="shared" si="6"/>
        <v>720000</v>
      </c>
      <c r="N8212" s="74">
        <f t="shared" si="3"/>
        <v>200000</v>
      </c>
      <c r="O8212" s="65" t="str">
        <f>VLOOKUP(E8212,DATABASE!C:Q,8,false)</f>
        <v>BIAN</v>
      </c>
      <c r="P8212" s="65">
        <f>VLOOKUP(E8212,DATABASE!C:Q,9,False)</f>
        <v>1</v>
      </c>
      <c r="Q8212" s="93" t="str">
        <f>VLOOKUP(E8212,DATABASE!C:Q,4,false)</f>
        <v>GT</v>
      </c>
      <c r="R8212" s="93" t="str">
        <f>VLOOKUP(E8212,DATABASE!C:Q,11,false)</f>
        <v>Tire</v>
      </c>
    </row>
    <row r="8213" ht="22.5" customHeight="1">
      <c r="A8213" s="49"/>
      <c r="C8213" s="400">
        <v>46134.0</v>
      </c>
      <c r="D8213" s="524">
        <v>1134.0</v>
      </c>
      <c r="E8213" s="544" t="s">
        <v>262</v>
      </c>
      <c r="F8213" s="387">
        <v>1.0</v>
      </c>
      <c r="G8213" s="140">
        <v>130000.0</v>
      </c>
      <c r="H8213" s="74"/>
      <c r="I8213" s="74">
        <f t="shared" si="1"/>
        <v>130000</v>
      </c>
      <c r="J8213" s="74">
        <f>IF(E8213="SERVICE",I8213-(I8213*50%),Vlookup(E8213,DATABASE!C:Q,10,false)*F8213)</f>
        <v>5000</v>
      </c>
      <c r="K8213" s="74">
        <f>VLOOKUP(E8213,DATABASE!C:Q,7,false)</f>
        <v>0</v>
      </c>
      <c r="L8213" s="74">
        <v>0.0</v>
      </c>
      <c r="M8213" s="74">
        <f t="shared" si="6"/>
        <v>0</v>
      </c>
      <c r="N8213" s="74">
        <f t="shared" si="3"/>
        <v>125000</v>
      </c>
      <c r="O8213" s="65" t="str">
        <f>VLOOKUP(E8213,DATABASE!C:Q,8,false)</f>
        <v>IBU</v>
      </c>
      <c r="P8213" s="65">
        <f>VLOOKUP(E8213,DATABASE!C:Q,9,False)</f>
        <v>0</v>
      </c>
      <c r="Q8213" s="93" t="str">
        <f>VLOOKUP(E8213,DATABASE!C:Q,4,false)</f>
        <v>SPOORING SS/CARRY LOS BAK</v>
      </c>
      <c r="R8213" s="93" t="str">
        <f>VLOOKUP(E8213,DATABASE!C:Q,11,false)</f>
        <v>SERVICE</v>
      </c>
    </row>
    <row r="8214" ht="22.5" customHeight="1">
      <c r="A8214" s="49"/>
      <c r="C8214" s="400">
        <v>46135.0</v>
      </c>
      <c r="D8214" s="524">
        <v>1135.0</v>
      </c>
      <c r="E8214" s="544" t="s">
        <v>955</v>
      </c>
      <c r="F8214" s="387">
        <v>4.0</v>
      </c>
      <c r="G8214" s="140">
        <v>770000.0</v>
      </c>
      <c r="H8214" s="140">
        <v>10000.0</v>
      </c>
      <c r="I8214" s="74">
        <f t="shared" si="1"/>
        <v>3040000</v>
      </c>
      <c r="J8214" s="74">
        <f>IF(E8214="SERVICE",I8214-(I8214*50%),Vlookup(E8214,DATABASE!C:Q,10,false)*F8214)</f>
        <v>0</v>
      </c>
      <c r="K8214" s="74">
        <f>VLOOKUP(E8214,DATABASE!C:Q,7,false)</f>
        <v>712000</v>
      </c>
      <c r="L8214" s="74">
        <v>660000.0</v>
      </c>
      <c r="M8214" s="74">
        <f t="shared" si="6"/>
        <v>660000</v>
      </c>
      <c r="N8214" s="74">
        <f t="shared" si="3"/>
        <v>400000</v>
      </c>
      <c r="O8214" s="65" t="str">
        <f>VLOOKUP(E8214,DATABASE!C:Q,8,false)</f>
        <v>IBU</v>
      </c>
      <c r="P8214" s="65">
        <f>VLOOKUP(E8214,DATABASE!C:Q,9,False)</f>
        <v>1</v>
      </c>
      <c r="Q8214" s="93" t="str">
        <f>VLOOKUP(E8214,DATABASE!C:Q,4,false)</f>
        <v>Dunlop</v>
      </c>
      <c r="R8214" s="93" t="str">
        <f>VLOOKUP(E8214,DATABASE!C:Q,11,false)</f>
        <v>Tire</v>
      </c>
    </row>
    <row r="8215" ht="22.5" customHeight="1">
      <c r="A8215" s="49"/>
      <c r="C8215" s="400">
        <v>46135.0</v>
      </c>
      <c r="D8215" s="524">
        <v>1135.0</v>
      </c>
      <c r="E8215" s="544" t="s">
        <v>299</v>
      </c>
      <c r="F8215" s="387">
        <v>2.0</v>
      </c>
      <c r="G8215" s="140">
        <v>30000.0</v>
      </c>
      <c r="H8215" s="74"/>
      <c r="I8215" s="74">
        <f t="shared" si="1"/>
        <v>60000</v>
      </c>
      <c r="J8215" s="74">
        <f>IF(E8215="SERVICE",I8215-(I8215*50%),Vlookup(E8215,DATABASE!C:Q,10,false)*F8215)</f>
        <v>0</v>
      </c>
      <c r="K8215" s="74">
        <f>VLOOKUP(E8215,DATABASE!C:Q,7,false)</f>
        <v>10000</v>
      </c>
      <c r="L8215" s="74">
        <v>10000.0</v>
      </c>
      <c r="M8215" s="74">
        <f t="shared" si="6"/>
        <v>10000</v>
      </c>
      <c r="N8215" s="74">
        <f t="shared" si="3"/>
        <v>40000</v>
      </c>
      <c r="O8215" s="65" t="str">
        <f>VLOOKUP(E8215,DATABASE!C:Q,8,false)</f>
        <v>BIAN</v>
      </c>
      <c r="P8215" s="65">
        <f>VLOOKUP(E8215,DATABASE!C:Q,9,False)</f>
        <v>0</v>
      </c>
      <c r="Q8215" s="93" t="str">
        <f>VLOOKUP(E8215,DATABASE!C:Q,4,false)</f>
        <v>Balancing</v>
      </c>
      <c r="R8215" s="93" t="str">
        <f>VLOOKUP(E8215,DATABASE!C:Q,11,false)</f>
        <v>COMPLEMENTARY</v>
      </c>
    </row>
    <row r="8216" ht="22.5" customHeight="1">
      <c r="A8216" s="49"/>
      <c r="C8216" s="400">
        <v>46135.0</v>
      </c>
      <c r="D8216" s="524">
        <v>1136.0</v>
      </c>
      <c r="E8216" s="544" t="s">
        <v>1524</v>
      </c>
      <c r="F8216" s="387">
        <v>2.0</v>
      </c>
      <c r="G8216" s="140">
        <v>1135000.0</v>
      </c>
      <c r="H8216" s="140">
        <v>10000.0</v>
      </c>
      <c r="I8216" s="74">
        <f t="shared" si="1"/>
        <v>2250000</v>
      </c>
      <c r="J8216" s="74">
        <f>IF(E8216="SERVICE",I8216-(I8216*50%),Vlookup(E8216,DATABASE!C:Q,10,false)*F8216)</f>
        <v>0</v>
      </c>
      <c r="K8216" s="74">
        <f>VLOOKUP(E8216,DATABASE!C:Q,7,false)</f>
        <v>1028000</v>
      </c>
      <c r="L8216" s="74">
        <v>1028000.0</v>
      </c>
      <c r="M8216" s="74">
        <f t="shared" si="6"/>
        <v>1030000</v>
      </c>
      <c r="N8216" s="74">
        <f t="shared" si="3"/>
        <v>190000</v>
      </c>
      <c r="O8216" s="65" t="str">
        <f>VLOOKUP(E8216,DATABASE!C:Q,8,false)</f>
        <v>IBU</v>
      </c>
      <c r="P8216" s="65">
        <f>VLOOKUP(E8216,DATABASE!C:Q,9,False)</f>
        <v>1</v>
      </c>
      <c r="Q8216" s="93" t="str">
        <f>VLOOKUP(E8216,DATABASE!C:Q,4,false)</f>
        <v>Dunlop</v>
      </c>
      <c r="R8216" s="93" t="str">
        <f>VLOOKUP(E8216,DATABASE!C:Q,11,false)</f>
        <v>Tire</v>
      </c>
    </row>
    <row r="8217" ht="22.5" customHeight="1">
      <c r="A8217" s="49"/>
      <c r="C8217" s="400">
        <v>46135.0</v>
      </c>
      <c r="D8217" s="524">
        <v>1137.0</v>
      </c>
      <c r="E8217" s="544" t="s">
        <v>2199</v>
      </c>
      <c r="F8217" s="387">
        <v>1.0</v>
      </c>
      <c r="G8217" s="140">
        <v>20000.0</v>
      </c>
      <c r="H8217" s="140">
        <v>5000.0</v>
      </c>
      <c r="I8217" s="74">
        <f t="shared" si="1"/>
        <v>15000</v>
      </c>
      <c r="J8217" s="74">
        <f>IF(E8217="SERVICE",I8217-(I8217*50%),Vlookup(E8217,DATABASE!C:Q,10,false)*F8217)</f>
        <v>0</v>
      </c>
      <c r="K8217" s="74">
        <f>VLOOKUP(E8217,DATABASE!C:Q,7,false)</f>
        <v>5000</v>
      </c>
      <c r="L8217" s="74">
        <v>0.0</v>
      </c>
      <c r="M8217" s="74">
        <f t="shared" si="6"/>
        <v>0</v>
      </c>
      <c r="N8217" s="74">
        <f t="shared" si="3"/>
        <v>15000</v>
      </c>
      <c r="O8217" s="65" t="str">
        <f>VLOOKUP(E8217,DATABASE!C:Q,8,false)</f>
        <v>BIAN</v>
      </c>
      <c r="P8217" s="65">
        <f>VLOOKUP(E8217,DATABASE!C:Q,9,False)</f>
        <v>0</v>
      </c>
      <c r="Q8217" s="93" t="str">
        <f>VLOOKUP(E8217,DATABASE!C:Q,4,false)</f>
        <v>TAMBAL TUBLES</v>
      </c>
      <c r="R8217" s="93" t="str">
        <f>VLOOKUP(E8217,DATABASE!C:Q,11,false)</f>
        <v>COMPLEMENTARY</v>
      </c>
    </row>
    <row r="8218" ht="22.5" customHeight="1">
      <c r="A8218" s="49"/>
      <c r="C8218" s="400">
        <v>46135.0</v>
      </c>
      <c r="D8218" s="524">
        <v>1137.0</v>
      </c>
      <c r="E8218" s="544" t="s">
        <v>299</v>
      </c>
      <c r="F8218" s="387">
        <v>2.0</v>
      </c>
      <c r="G8218" s="140">
        <v>30000.0</v>
      </c>
      <c r="H8218" s="74"/>
      <c r="I8218" s="74">
        <f t="shared" si="1"/>
        <v>60000</v>
      </c>
      <c r="J8218" s="74">
        <f>IF(E8218="SERVICE",I8218-(I8218*50%),Vlookup(E8218,DATABASE!C:Q,10,false)*F8218)</f>
        <v>0</v>
      </c>
      <c r="K8218" s="74">
        <f>VLOOKUP(E8218,DATABASE!C:Q,7,false)</f>
        <v>10000</v>
      </c>
      <c r="L8218" s="74">
        <v>10000.0</v>
      </c>
      <c r="M8218" s="74">
        <f t="shared" si="6"/>
        <v>10000</v>
      </c>
      <c r="N8218" s="74">
        <f t="shared" si="3"/>
        <v>40000</v>
      </c>
      <c r="O8218" s="65" t="str">
        <f>VLOOKUP(E8218,DATABASE!C:Q,8,false)</f>
        <v>BIAN</v>
      </c>
      <c r="P8218" s="65">
        <f>VLOOKUP(E8218,DATABASE!C:Q,9,False)</f>
        <v>0</v>
      </c>
      <c r="Q8218" s="93" t="str">
        <f>VLOOKUP(E8218,DATABASE!C:Q,4,false)</f>
        <v>Balancing</v>
      </c>
      <c r="R8218" s="93" t="str">
        <f>VLOOKUP(E8218,DATABASE!C:Q,11,false)</f>
        <v>COMPLEMENTARY</v>
      </c>
    </row>
    <row r="8219" ht="22.5" customHeight="1">
      <c r="A8219" s="49"/>
      <c r="C8219" s="400">
        <v>46135.0</v>
      </c>
      <c r="D8219" s="524">
        <v>1138.0</v>
      </c>
      <c r="E8219" s="544" t="s">
        <v>251</v>
      </c>
      <c r="F8219" s="387">
        <v>1.0</v>
      </c>
      <c r="G8219" s="140">
        <v>350000.0</v>
      </c>
      <c r="H8219" s="140">
        <v>200000.0</v>
      </c>
      <c r="I8219" s="74">
        <f t="shared" si="1"/>
        <v>150000</v>
      </c>
      <c r="J8219" s="74">
        <f>IF(E8219="SERVICE",I8219-(I8219*50%),Vlookup(E8219,DATABASE!C:Q,10,false)*F8219)</f>
        <v>75000</v>
      </c>
      <c r="K8219" s="74">
        <f>VLOOKUP(E8219,DATABASE!C:Q,7,false)</f>
        <v>0</v>
      </c>
      <c r="L8219" s="74">
        <v>0.0</v>
      </c>
      <c r="M8219" s="74">
        <f t="shared" si="6"/>
        <v>0</v>
      </c>
      <c r="N8219" s="74">
        <f t="shared" si="3"/>
        <v>75000</v>
      </c>
      <c r="O8219" s="65" t="str">
        <f>VLOOKUP(E8219,DATABASE!C:Q,8,false)</f>
        <v>IBU</v>
      </c>
      <c r="P8219" s="65">
        <f>VLOOKUP(E8219,DATABASE!C:Q,9,False)</f>
        <v>0</v>
      </c>
      <c r="Q8219" s="93" t="str">
        <f>VLOOKUP(E8219,DATABASE!C:Q,4,false)</f>
        <v>SERVICE</v>
      </c>
      <c r="R8219" s="93" t="str">
        <f>VLOOKUP(E8219,DATABASE!C:Q,11,false)</f>
        <v>SERVICE</v>
      </c>
    </row>
    <row r="8220" ht="22.5" customHeight="1">
      <c r="A8220" s="49"/>
      <c r="C8220" s="400">
        <v>46135.0</v>
      </c>
      <c r="D8220" s="524">
        <v>1138.0</v>
      </c>
      <c r="E8220" s="544" t="s">
        <v>262</v>
      </c>
      <c r="F8220" s="387">
        <v>1.0</v>
      </c>
      <c r="G8220" s="140">
        <v>130000.0</v>
      </c>
      <c r="H8220" s="74"/>
      <c r="I8220" s="74">
        <f t="shared" si="1"/>
        <v>130000</v>
      </c>
      <c r="J8220" s="74">
        <f>IF(E8220="SERVICE",I8220-(I8220*50%),Vlookup(E8220,DATABASE!C:Q,10,false)*F8220)</f>
        <v>5000</v>
      </c>
      <c r="K8220" s="74">
        <f>VLOOKUP(E8220,DATABASE!C:Q,7,false)</f>
        <v>0</v>
      </c>
      <c r="L8220" s="74">
        <v>0.0</v>
      </c>
      <c r="M8220" s="74">
        <f t="shared" si="6"/>
        <v>0</v>
      </c>
      <c r="N8220" s="74">
        <f t="shared" si="3"/>
        <v>125000</v>
      </c>
      <c r="O8220" s="65" t="str">
        <f>VLOOKUP(E8220,DATABASE!C:Q,8,false)</f>
        <v>IBU</v>
      </c>
      <c r="P8220" s="65">
        <f>VLOOKUP(E8220,DATABASE!C:Q,9,False)</f>
        <v>0</v>
      </c>
      <c r="Q8220" s="93" t="str">
        <f>VLOOKUP(E8220,DATABASE!C:Q,4,false)</f>
        <v>SPOORING SS/CARRY LOS BAK</v>
      </c>
      <c r="R8220" s="93" t="str">
        <f>VLOOKUP(E8220,DATABASE!C:Q,11,false)</f>
        <v>SERVICE</v>
      </c>
    </row>
    <row r="8221" ht="22.5" customHeight="1">
      <c r="A8221" s="49"/>
      <c r="C8221" s="400">
        <v>46135.0</v>
      </c>
      <c r="D8221" s="524">
        <v>1140.0</v>
      </c>
      <c r="E8221" s="544" t="s">
        <v>256</v>
      </c>
      <c r="F8221" s="387">
        <v>1.0</v>
      </c>
      <c r="G8221" s="140">
        <v>175000.0</v>
      </c>
      <c r="H8221" s="140">
        <v>25000.0</v>
      </c>
      <c r="I8221" s="74">
        <f t="shared" si="1"/>
        <v>150000</v>
      </c>
      <c r="J8221" s="74">
        <f>IF(E8221="SERVICE",I8221-(I8221*50%),Vlookup(E8221,DATABASE!C:Q,10,false)*F8221)</f>
        <v>10000</v>
      </c>
      <c r="K8221" s="74">
        <f>VLOOKUP(E8221,DATABASE!C:Q,7,false)</f>
        <v>0</v>
      </c>
      <c r="L8221" s="74">
        <v>0.0</v>
      </c>
      <c r="M8221" s="74">
        <f t="shared" si="6"/>
        <v>0</v>
      </c>
      <c r="N8221" s="74">
        <f t="shared" si="3"/>
        <v>140000</v>
      </c>
      <c r="O8221" s="65" t="str">
        <f>VLOOKUP(E8221,DATABASE!C:Q,8,false)</f>
        <v>IBU</v>
      </c>
      <c r="P8221" s="65">
        <f>VLOOKUP(E8221,DATABASE!C:Q,9,False)</f>
        <v>0</v>
      </c>
      <c r="Q8221" s="93" t="str">
        <f>VLOOKUP(E8221,DATABASE!C:Q,4,false)</f>
        <v>SPOORING</v>
      </c>
      <c r="R8221" s="93" t="str">
        <f>VLOOKUP(E8221,DATABASE!C:Q,11,false)</f>
        <v>SERVICE</v>
      </c>
    </row>
    <row r="8222" ht="22.5" customHeight="1">
      <c r="A8222" s="49"/>
      <c r="C8222" s="400">
        <v>46135.0</v>
      </c>
      <c r="D8222" s="524">
        <v>1141.0</v>
      </c>
      <c r="E8222" s="544" t="s">
        <v>974</v>
      </c>
      <c r="F8222" s="387">
        <v>2.0</v>
      </c>
      <c r="G8222" s="140">
        <v>590000.0</v>
      </c>
      <c r="H8222" s="74"/>
      <c r="I8222" s="74">
        <f t="shared" si="1"/>
        <v>1180000</v>
      </c>
      <c r="J8222" s="74">
        <f>IF(E8222="SERVICE",I8222-(I8222*50%),Vlookup(E8222,DATABASE!C:Q,10,false)*F8222)</f>
        <v>0</v>
      </c>
      <c r="K8222" s="74">
        <f>VLOOKUP(E8222,DATABASE!C:Q,7,false)</f>
        <v>501500</v>
      </c>
      <c r="L8222" s="74">
        <v>501500.0</v>
      </c>
      <c r="M8222" s="74">
        <f t="shared" si="6"/>
        <v>505000</v>
      </c>
      <c r="N8222" s="74">
        <f t="shared" si="3"/>
        <v>170000</v>
      </c>
      <c r="O8222" s="65" t="str">
        <f>VLOOKUP(E8222,DATABASE!C:Q,8,false)</f>
        <v>IBU</v>
      </c>
      <c r="P8222" s="65">
        <f>VLOOKUP(E8222,DATABASE!C:Q,9,False)</f>
        <v>1</v>
      </c>
      <c r="Q8222" s="93" t="str">
        <f>VLOOKUP(E8222,DATABASE!C:Q,4,false)</f>
        <v>Dunlop</v>
      </c>
      <c r="R8222" s="93" t="str">
        <f>VLOOKUP(E8222,DATABASE!C:Q,11,false)</f>
        <v>Tire</v>
      </c>
    </row>
    <row r="8223" ht="22.5" customHeight="1">
      <c r="A8223" s="49"/>
      <c r="C8223" s="400">
        <v>46135.0</v>
      </c>
      <c r="D8223" s="524">
        <v>1142.0</v>
      </c>
      <c r="E8223" s="544" t="s">
        <v>605</v>
      </c>
      <c r="F8223" s="387">
        <v>2.0</v>
      </c>
      <c r="G8223" s="140">
        <v>765000.0</v>
      </c>
      <c r="H8223" s="74"/>
      <c r="I8223" s="74">
        <f t="shared" si="1"/>
        <v>1530000</v>
      </c>
      <c r="J8223" s="74">
        <f>IF(E8223="SERVICE",I8223-(I8223*50%),Vlookup(E8223,DATABASE!C:Q,10,false)*F8223)</f>
        <v>0</v>
      </c>
      <c r="K8223" s="74">
        <f>VLOOKUP(E8223,DATABASE!C:Q,7,false)</f>
        <v>675000</v>
      </c>
      <c r="L8223" s="74">
        <v>675000.0</v>
      </c>
      <c r="M8223" s="74">
        <f t="shared" si="6"/>
        <v>675000</v>
      </c>
      <c r="N8223" s="74">
        <f t="shared" si="3"/>
        <v>180000</v>
      </c>
      <c r="O8223" s="65" t="str">
        <f>VLOOKUP(E8223,DATABASE!C:Q,8,false)</f>
        <v>IBU</v>
      </c>
      <c r="P8223" s="65">
        <f>VLOOKUP(E8223,DATABASE!C:Q,9,False)</f>
        <v>1</v>
      </c>
      <c r="Q8223" s="93" t="str">
        <f>VLOOKUP(E8223,DATABASE!C:Q,4,false)</f>
        <v>Bridgestone</v>
      </c>
      <c r="R8223" s="93" t="str">
        <f>VLOOKUP(E8223,DATABASE!C:Q,11,false)</f>
        <v>Tire</v>
      </c>
    </row>
    <row r="8224" ht="22.5" customHeight="1">
      <c r="A8224" s="49"/>
      <c r="C8224" s="400">
        <v>46135.0</v>
      </c>
      <c r="D8224" s="524">
        <v>1143.0</v>
      </c>
      <c r="E8224" s="544" t="s">
        <v>262</v>
      </c>
      <c r="F8224" s="387">
        <v>1.0</v>
      </c>
      <c r="G8224" s="140">
        <v>130000.0</v>
      </c>
      <c r="H8224" s="74"/>
      <c r="I8224" s="74">
        <f t="shared" si="1"/>
        <v>130000</v>
      </c>
      <c r="J8224" s="74">
        <f>IF(E8224="SERVICE",I8224-(I8224*50%),Vlookup(E8224,DATABASE!C:Q,10,false)*F8224)</f>
        <v>5000</v>
      </c>
      <c r="K8224" s="74">
        <f>VLOOKUP(E8224,DATABASE!C:Q,7,false)</f>
        <v>0</v>
      </c>
      <c r="L8224" s="74">
        <v>0.0</v>
      </c>
      <c r="M8224" s="74">
        <f t="shared" si="6"/>
        <v>0</v>
      </c>
      <c r="N8224" s="74">
        <f t="shared" si="3"/>
        <v>125000</v>
      </c>
      <c r="O8224" s="65" t="str">
        <f>VLOOKUP(E8224,DATABASE!C:Q,8,false)</f>
        <v>IBU</v>
      </c>
      <c r="P8224" s="65">
        <f>VLOOKUP(E8224,DATABASE!C:Q,9,False)</f>
        <v>0</v>
      </c>
      <c r="Q8224" s="93" t="str">
        <f>VLOOKUP(E8224,DATABASE!C:Q,4,false)</f>
        <v>SPOORING SS/CARRY LOS BAK</v>
      </c>
      <c r="R8224" s="93" t="str">
        <f>VLOOKUP(E8224,DATABASE!C:Q,11,false)</f>
        <v>SERVICE</v>
      </c>
    </row>
    <row r="8225" ht="22.5" customHeight="1">
      <c r="A8225" s="49"/>
      <c r="C8225" s="400">
        <v>46135.0</v>
      </c>
      <c r="D8225" s="524">
        <v>1144.0</v>
      </c>
      <c r="E8225" s="544" t="s">
        <v>932</v>
      </c>
      <c r="F8225" s="387">
        <v>2.0</v>
      </c>
      <c r="G8225" s="140">
        <v>690000.0</v>
      </c>
      <c r="H8225" s="74"/>
      <c r="I8225" s="74">
        <f t="shared" si="1"/>
        <v>1380000</v>
      </c>
      <c r="J8225" s="74">
        <f>IF(E8225="SERVICE",I8225-(I8225*50%),Vlookup(E8225,DATABASE!C:Q,10,false)*F8225)</f>
        <v>0</v>
      </c>
      <c r="K8225" s="74">
        <f>VLOOKUP(E8225,DATABASE!C:Q,7,false)</f>
        <v>601000</v>
      </c>
      <c r="L8225" s="74">
        <v>601000.0</v>
      </c>
      <c r="M8225" s="74">
        <f t="shared" si="6"/>
        <v>605000</v>
      </c>
      <c r="N8225" s="74">
        <f t="shared" si="3"/>
        <v>170000</v>
      </c>
      <c r="O8225" s="65" t="str">
        <f>VLOOKUP(E8225,DATABASE!C:Q,8,false)</f>
        <v>IBU</v>
      </c>
      <c r="P8225" s="65">
        <f>VLOOKUP(E8225,DATABASE!C:Q,9,False)</f>
        <v>1</v>
      </c>
      <c r="Q8225" s="93" t="str">
        <f>VLOOKUP(E8225,DATABASE!C:Q,4,false)</f>
        <v>Dunlop</v>
      </c>
      <c r="R8225" s="93" t="str">
        <f>VLOOKUP(E8225,DATABASE!C:Q,11,false)</f>
        <v>Tire</v>
      </c>
    </row>
    <row r="8226" ht="22.5" customHeight="1">
      <c r="A8226" s="49"/>
      <c r="C8226" s="400">
        <v>46135.0</v>
      </c>
      <c r="D8226" s="524">
        <v>1145.0</v>
      </c>
      <c r="E8226" s="544" t="s">
        <v>265</v>
      </c>
      <c r="F8226" s="387">
        <v>1.0</v>
      </c>
      <c r="G8226" s="140">
        <v>695000.0</v>
      </c>
      <c r="H8226" s="74"/>
      <c r="I8226" s="74">
        <f t="shared" si="1"/>
        <v>695000</v>
      </c>
      <c r="J8226" s="74">
        <f>IF(E8226="SERVICE",I8226-(I8226*50%),Vlookup(E8226,DATABASE!C:Q,10,false)*F8226)</f>
        <v>0</v>
      </c>
      <c r="K8226" s="74">
        <f>VLOOKUP(E8226,DATABASE!C:Q,7,false)</f>
        <v>628000</v>
      </c>
      <c r="L8226" s="74">
        <v>610000.0</v>
      </c>
      <c r="M8226" s="74">
        <f t="shared" si="6"/>
        <v>610000</v>
      </c>
      <c r="N8226" s="74">
        <f t="shared" si="3"/>
        <v>85000</v>
      </c>
      <c r="O8226" s="65" t="str">
        <f>VLOOKUP(E8226,DATABASE!C:Q,8,false)</f>
        <v>IBU</v>
      </c>
      <c r="P8226" s="65">
        <f>VLOOKUP(E8226,DATABASE!C:Q,9,False)</f>
        <v>1</v>
      </c>
      <c r="Q8226" s="93" t="str">
        <f>VLOOKUP(E8226,DATABASE!C:Q,4,false)</f>
        <v>Dunlop</v>
      </c>
      <c r="R8226" s="93" t="str">
        <f>VLOOKUP(E8226,DATABASE!C:Q,11,false)</f>
        <v>Tire</v>
      </c>
    </row>
    <row r="8227" ht="22.5" customHeight="1">
      <c r="A8227" s="49"/>
      <c r="C8227" s="400">
        <v>46136.0</v>
      </c>
      <c r="D8227" s="524">
        <v>1146.0</v>
      </c>
      <c r="E8227" s="544" t="s">
        <v>256</v>
      </c>
      <c r="F8227" s="387">
        <v>1.0</v>
      </c>
      <c r="G8227" s="140">
        <v>175000.0</v>
      </c>
      <c r="H8227" s="140">
        <v>25000.0</v>
      </c>
      <c r="I8227" s="74">
        <f t="shared" si="1"/>
        <v>150000</v>
      </c>
      <c r="J8227" s="74">
        <f>IF(E8227="SERVICE",I8227-(I8227*50%),Vlookup(E8227,DATABASE!C:Q,10,false)*F8227)</f>
        <v>10000</v>
      </c>
      <c r="K8227" s="74">
        <f>VLOOKUP(E8227,DATABASE!C:Q,7,false)</f>
        <v>0</v>
      </c>
      <c r="L8227" s="74">
        <v>0.0</v>
      </c>
      <c r="M8227" s="74">
        <f t="shared" si="6"/>
        <v>0</v>
      </c>
      <c r="N8227" s="74">
        <f t="shared" si="3"/>
        <v>140000</v>
      </c>
      <c r="O8227" s="65" t="str">
        <f>VLOOKUP(E8227,DATABASE!C:Q,8,false)</f>
        <v>IBU</v>
      </c>
      <c r="P8227" s="65">
        <f>VLOOKUP(E8227,DATABASE!C:Q,9,False)</f>
        <v>0</v>
      </c>
      <c r="Q8227" s="93" t="str">
        <f>VLOOKUP(E8227,DATABASE!C:Q,4,false)</f>
        <v>SPOORING</v>
      </c>
      <c r="R8227" s="93" t="str">
        <f>VLOOKUP(E8227,DATABASE!C:Q,11,false)</f>
        <v>SERVICE</v>
      </c>
    </row>
    <row r="8228" ht="22.5" customHeight="1">
      <c r="A8228" s="49"/>
      <c r="C8228" s="400">
        <v>46136.0</v>
      </c>
      <c r="D8228" s="524">
        <v>1146.0</v>
      </c>
      <c r="E8228" s="544" t="s">
        <v>251</v>
      </c>
      <c r="F8228" s="387">
        <v>1.0</v>
      </c>
      <c r="G8228" s="140">
        <v>350000.0</v>
      </c>
      <c r="H8228" s="140">
        <v>200000.0</v>
      </c>
      <c r="I8228" s="74">
        <f t="shared" si="1"/>
        <v>150000</v>
      </c>
      <c r="J8228" s="74">
        <f>IF(E8228="SERVICE",I8228-(I8228*50%),Vlookup(E8228,DATABASE!C:Q,10,false)*F8228)</f>
        <v>75000</v>
      </c>
      <c r="K8228" s="74">
        <f>VLOOKUP(E8228,DATABASE!C:Q,7,false)</f>
        <v>0</v>
      </c>
      <c r="L8228" s="74">
        <v>0.0</v>
      </c>
      <c r="M8228" s="74">
        <f t="shared" si="6"/>
        <v>0</v>
      </c>
      <c r="N8228" s="74">
        <f t="shared" si="3"/>
        <v>75000</v>
      </c>
      <c r="O8228" s="65" t="str">
        <f>VLOOKUP(E8228,DATABASE!C:Q,8,false)</f>
        <v>IBU</v>
      </c>
      <c r="P8228" s="65">
        <f>VLOOKUP(E8228,DATABASE!C:Q,9,False)</f>
        <v>0</v>
      </c>
      <c r="Q8228" s="93" t="str">
        <f>VLOOKUP(E8228,DATABASE!C:Q,4,false)</f>
        <v>SERVICE</v>
      </c>
      <c r="R8228" s="93" t="str">
        <f>VLOOKUP(E8228,DATABASE!C:Q,11,false)</f>
        <v>SERVICE</v>
      </c>
    </row>
    <row r="8229" ht="22.5" customHeight="1">
      <c r="A8229" s="49"/>
      <c r="C8229" s="400">
        <v>46136.0</v>
      </c>
      <c r="D8229" s="524">
        <v>1146.0</v>
      </c>
      <c r="E8229" s="544" t="s">
        <v>282</v>
      </c>
      <c r="F8229" s="387">
        <v>2.0</v>
      </c>
      <c r="G8229" s="140">
        <v>880000.0</v>
      </c>
      <c r="H8229" s="74"/>
      <c r="I8229" s="74">
        <f t="shared" si="1"/>
        <v>1760000</v>
      </c>
      <c r="J8229" s="74">
        <f>IF(E8229="SERVICE",I8229-(I8229*50%),Vlookup(E8229,DATABASE!C:Q,10,false)*F8229)</f>
        <v>0</v>
      </c>
      <c r="K8229" s="74">
        <f>VLOOKUP(E8229,DATABASE!C:Q,7,false)</f>
        <v>779500</v>
      </c>
      <c r="L8229" s="74">
        <v>779500.0</v>
      </c>
      <c r="M8229" s="74">
        <f t="shared" si="6"/>
        <v>780000</v>
      </c>
      <c r="N8229" s="74">
        <f t="shared" si="3"/>
        <v>200000</v>
      </c>
      <c r="O8229" s="65" t="str">
        <f>VLOOKUP(E8229,DATABASE!C:Q,8,false)</f>
        <v>IBU</v>
      </c>
      <c r="P8229" s="65">
        <f>VLOOKUP(E8229,DATABASE!C:Q,9,False)</f>
        <v>1</v>
      </c>
      <c r="Q8229" s="93" t="str">
        <f>VLOOKUP(E8229,DATABASE!C:Q,4,false)</f>
        <v>Dunlop</v>
      </c>
      <c r="R8229" s="93" t="str">
        <f>VLOOKUP(E8229,DATABASE!C:Q,11,false)</f>
        <v>Tire</v>
      </c>
    </row>
    <row r="8230" ht="22.5" customHeight="1">
      <c r="A8230" s="49"/>
      <c r="C8230" s="400">
        <v>46136.0</v>
      </c>
      <c r="D8230" s="524">
        <v>1146.0</v>
      </c>
      <c r="E8230" s="544" t="s">
        <v>299</v>
      </c>
      <c r="F8230" s="387">
        <v>2.0</v>
      </c>
      <c r="G8230" s="140">
        <v>30000.0</v>
      </c>
      <c r="H8230" s="74"/>
      <c r="I8230" s="74">
        <f t="shared" si="1"/>
        <v>60000</v>
      </c>
      <c r="J8230" s="74">
        <f>IF(E8230="SERVICE",I8230-(I8230*50%),Vlookup(E8230,DATABASE!C:Q,10,false)*F8230)</f>
        <v>0</v>
      </c>
      <c r="K8230" s="74">
        <f>VLOOKUP(E8230,DATABASE!C:Q,7,false)</f>
        <v>10000</v>
      </c>
      <c r="L8230" s="74">
        <v>10000.0</v>
      </c>
      <c r="M8230" s="74">
        <f t="shared" si="6"/>
        <v>10000</v>
      </c>
      <c r="N8230" s="74">
        <f t="shared" si="3"/>
        <v>40000</v>
      </c>
      <c r="O8230" s="65" t="str">
        <f>VLOOKUP(E8230,DATABASE!C:Q,8,false)</f>
        <v>BIAN</v>
      </c>
      <c r="P8230" s="65">
        <f>VLOOKUP(E8230,DATABASE!C:Q,9,False)</f>
        <v>0</v>
      </c>
      <c r="Q8230" s="93" t="str">
        <f>VLOOKUP(E8230,DATABASE!C:Q,4,false)</f>
        <v>Balancing</v>
      </c>
      <c r="R8230" s="93" t="str">
        <f>VLOOKUP(E8230,DATABASE!C:Q,11,false)</f>
        <v>COMPLEMENTARY</v>
      </c>
    </row>
    <row r="8231" ht="22.5" customHeight="1">
      <c r="A8231" s="49"/>
      <c r="C8231" s="400">
        <v>46136.0</v>
      </c>
      <c r="D8231" s="524">
        <v>1146.0</v>
      </c>
      <c r="E8231" s="544" t="s">
        <v>299</v>
      </c>
      <c r="F8231" s="387">
        <v>2.0</v>
      </c>
      <c r="G8231" s="140">
        <v>30000.0</v>
      </c>
      <c r="H8231" s="74"/>
      <c r="I8231" s="74">
        <f t="shared" si="1"/>
        <v>60000</v>
      </c>
      <c r="J8231" s="74">
        <f>IF(E8231="SERVICE",I8231-(I8231*50%),Vlookup(E8231,DATABASE!C:Q,10,false)*F8231)</f>
        <v>0</v>
      </c>
      <c r="K8231" s="74">
        <f>VLOOKUP(E8231,DATABASE!C:Q,7,false)</f>
        <v>10000</v>
      </c>
      <c r="L8231" s="74">
        <v>10000.0</v>
      </c>
      <c r="M8231" s="74">
        <f t="shared" si="6"/>
        <v>10000</v>
      </c>
      <c r="N8231" s="74">
        <f t="shared" si="3"/>
        <v>40000</v>
      </c>
      <c r="O8231" s="65" t="str">
        <f>VLOOKUP(E8231,DATABASE!C:Q,8,false)</f>
        <v>BIAN</v>
      </c>
      <c r="P8231" s="65">
        <f>VLOOKUP(E8231,DATABASE!C:Q,9,False)</f>
        <v>0</v>
      </c>
      <c r="Q8231" s="93" t="str">
        <f>VLOOKUP(E8231,DATABASE!C:Q,4,false)</f>
        <v>Balancing</v>
      </c>
      <c r="R8231" s="93" t="str">
        <f>VLOOKUP(E8231,DATABASE!C:Q,11,false)</f>
        <v>COMPLEMENTARY</v>
      </c>
    </row>
    <row r="8232" ht="22.5" customHeight="1">
      <c r="A8232" s="49"/>
      <c r="C8232" s="400">
        <v>46136.0</v>
      </c>
      <c r="D8232" s="524">
        <v>1147.0</v>
      </c>
      <c r="E8232" s="544" t="s">
        <v>1839</v>
      </c>
      <c r="F8232" s="387">
        <v>2.0</v>
      </c>
      <c r="G8232" s="140">
        <v>800000.0</v>
      </c>
      <c r="H8232" s="140">
        <v>100000.0</v>
      </c>
      <c r="I8232" s="74">
        <f t="shared" si="1"/>
        <v>1400000</v>
      </c>
      <c r="J8232" s="74">
        <f>IF(E8232="SERVICE",I8232-(I8232*50%),Vlookup(E8232,DATABASE!C:Q,10,false)*F8232)</f>
        <v>0</v>
      </c>
      <c r="K8232" s="74">
        <f>VLOOKUP(E8232,DATABASE!C:Q,7,false)</f>
        <v>700000</v>
      </c>
      <c r="L8232" s="74">
        <v>700000.0</v>
      </c>
      <c r="M8232" s="74">
        <f t="shared" si="6"/>
        <v>700000</v>
      </c>
      <c r="N8232" s="74">
        <f t="shared" si="3"/>
        <v>0</v>
      </c>
      <c r="O8232" s="65" t="str">
        <f>VLOOKUP(E8232,DATABASE!C:Q,8,false)</f>
        <v>BIAN</v>
      </c>
      <c r="P8232" s="65">
        <f>VLOOKUP(E8232,DATABASE!C:Q,9,False)</f>
        <v>1</v>
      </c>
      <c r="Q8232" s="93" t="str">
        <f>VLOOKUP(E8232,DATABASE!C:Q,4,false)</f>
        <v>G. YEAR</v>
      </c>
      <c r="R8232" s="93" t="str">
        <f>VLOOKUP(E8232,DATABASE!C:Q,11,false)</f>
        <v>Tire</v>
      </c>
    </row>
    <row r="8233" ht="22.5" customHeight="1">
      <c r="A8233" s="49"/>
      <c r="C8233" s="400">
        <v>46136.0</v>
      </c>
      <c r="D8233" s="524">
        <v>1148.0</v>
      </c>
      <c r="E8233" s="544" t="s">
        <v>1400</v>
      </c>
      <c r="F8233" s="387">
        <v>6.0</v>
      </c>
      <c r="G8233" s="140">
        <v>565000.0</v>
      </c>
      <c r="H8233" s="140">
        <v>15000.0</v>
      </c>
      <c r="I8233" s="74">
        <f t="shared" si="1"/>
        <v>3300000</v>
      </c>
      <c r="J8233" s="74">
        <f>IF(E8233="SERVICE",I8233-(I8233*50%),Vlookup(E8233,DATABASE!C:Q,10,false)*F8233)</f>
        <v>0</v>
      </c>
      <c r="K8233" s="74">
        <f>VLOOKUP(E8233,DATABASE!C:Q,7,false)</f>
        <v>465000</v>
      </c>
      <c r="L8233" s="74">
        <v>465000.0</v>
      </c>
      <c r="M8233" s="74">
        <f t="shared" si="6"/>
        <v>465000</v>
      </c>
      <c r="N8233" s="74">
        <f t="shared" si="3"/>
        <v>510000</v>
      </c>
      <c r="O8233" s="65" t="str">
        <f>VLOOKUP(E8233,DATABASE!C:Q,8,false)</f>
        <v>IBU</v>
      </c>
      <c r="P8233" s="65">
        <f>VLOOKUP(E8233,DATABASE!C:Q,9,False)</f>
        <v>1</v>
      </c>
      <c r="Q8233" s="93" t="str">
        <f>VLOOKUP(E8233,DATABASE!C:Q,4,false)</f>
        <v>Dunlop</v>
      </c>
      <c r="R8233" s="93" t="str">
        <f>VLOOKUP(E8233,DATABASE!C:Q,11,false)</f>
        <v>Tire</v>
      </c>
    </row>
    <row r="8234" ht="22.5" customHeight="1">
      <c r="A8234" s="49"/>
      <c r="C8234" s="400">
        <v>46136.0</v>
      </c>
      <c r="D8234" s="524">
        <v>1148.0</v>
      </c>
      <c r="E8234" s="544" t="s">
        <v>295</v>
      </c>
      <c r="F8234" s="387">
        <v>2.0</v>
      </c>
      <c r="G8234" s="140">
        <v>1525000.0</v>
      </c>
      <c r="H8234" s="140">
        <v>20000.0</v>
      </c>
      <c r="I8234" s="74">
        <f t="shared" si="1"/>
        <v>3010000</v>
      </c>
      <c r="J8234" s="74">
        <f>IF(E8234="SERVICE",I8234-(I8234*50%),Vlookup(E8234,DATABASE!C:Q,10,false)*F8234)</f>
        <v>0</v>
      </c>
      <c r="K8234" s="74">
        <f>VLOOKUP(E8234,DATABASE!C:Q,7,false)</f>
        <v>1475000</v>
      </c>
      <c r="L8234" s="74">
        <v>1425000.0</v>
      </c>
      <c r="M8234" s="74">
        <f t="shared" si="6"/>
        <v>1425000</v>
      </c>
      <c r="N8234" s="74">
        <f t="shared" si="3"/>
        <v>160000</v>
      </c>
      <c r="O8234" s="65" t="str">
        <f>VLOOKUP(E8234,DATABASE!C:Q,8,false)</f>
        <v>BIAN</v>
      </c>
      <c r="P8234" s="65">
        <f>VLOOKUP(E8234,DATABASE!C:Q,9,False)</f>
        <v>1</v>
      </c>
      <c r="Q8234" s="93" t="str">
        <f>VLOOKUP(E8234,DATABASE!C:Q,4,false)</f>
        <v>TIRON</v>
      </c>
      <c r="R8234" s="93" t="str">
        <f>VLOOKUP(E8234,DATABASE!C:Q,11,false)</f>
        <v>Tire</v>
      </c>
    </row>
    <row r="8235" ht="22.5" customHeight="1">
      <c r="A8235" s="49"/>
      <c r="C8235" s="400">
        <v>46136.0</v>
      </c>
      <c r="D8235" s="524">
        <v>1149.0</v>
      </c>
      <c r="E8235" s="544" t="s">
        <v>268</v>
      </c>
      <c r="F8235" s="387">
        <v>2.0</v>
      </c>
      <c r="G8235" s="140">
        <v>720000.0</v>
      </c>
      <c r="H8235" s="74"/>
      <c r="I8235" s="74">
        <f t="shared" si="1"/>
        <v>1440000</v>
      </c>
      <c r="J8235" s="74">
        <f>IF(E8235="SERVICE",I8235-(I8235*50%),Vlookup(E8235,DATABASE!C:Q,10,false)*F8235)</f>
        <v>0</v>
      </c>
      <c r="K8235" s="74">
        <f>VLOOKUP(E8235,DATABASE!C:Q,7,false)</f>
        <v>653000</v>
      </c>
      <c r="L8235" s="74">
        <v>634500.0</v>
      </c>
      <c r="M8235" s="74">
        <f t="shared" si="6"/>
        <v>635000</v>
      </c>
      <c r="N8235" s="74">
        <f t="shared" si="3"/>
        <v>170000</v>
      </c>
      <c r="O8235" s="65" t="str">
        <f>VLOOKUP(E8235,DATABASE!C:Q,8,false)</f>
        <v>IBU</v>
      </c>
      <c r="P8235" s="65">
        <f>VLOOKUP(E8235,DATABASE!C:Q,9,False)</f>
        <v>1</v>
      </c>
      <c r="Q8235" s="93" t="str">
        <f>VLOOKUP(E8235,DATABASE!C:Q,4,false)</f>
        <v>Dunlop</v>
      </c>
      <c r="R8235" s="93" t="str">
        <f>VLOOKUP(E8235,DATABASE!C:Q,11,false)</f>
        <v>Tire</v>
      </c>
    </row>
    <row r="8236" ht="22.5" customHeight="1">
      <c r="A8236" s="49"/>
      <c r="C8236" s="400">
        <v>46136.0</v>
      </c>
      <c r="D8236" s="524">
        <v>1150.0</v>
      </c>
      <c r="E8236" s="544" t="s">
        <v>1097</v>
      </c>
      <c r="F8236" s="387">
        <v>2.0</v>
      </c>
      <c r="G8236" s="140">
        <v>920000.0</v>
      </c>
      <c r="H8236" s="74"/>
      <c r="I8236" s="74">
        <f t="shared" si="1"/>
        <v>1840000</v>
      </c>
      <c r="J8236" s="74">
        <f>IF(E8236="SERVICE",I8236-(I8236*50%),Vlookup(E8236,DATABASE!C:Q,10,false)*F8236)</f>
        <v>0</v>
      </c>
      <c r="K8236" s="74">
        <f>VLOOKUP(E8236,DATABASE!C:Q,7,false)</f>
        <v>844838.5</v>
      </c>
      <c r="L8236" s="74">
        <v>815987.25</v>
      </c>
      <c r="M8236" s="74">
        <f t="shared" si="6"/>
        <v>820000</v>
      </c>
      <c r="N8236" s="74">
        <f t="shared" si="3"/>
        <v>200000</v>
      </c>
      <c r="O8236" s="65" t="str">
        <f>VLOOKUP(E8236,DATABASE!C:Q,8,false)</f>
        <v>IBU</v>
      </c>
      <c r="P8236" s="65">
        <f>VLOOKUP(E8236,DATABASE!C:Q,9,False)</f>
        <v>1</v>
      </c>
      <c r="Q8236" s="93" t="str">
        <f>VLOOKUP(E8236,DATABASE!C:Q,4,false)</f>
        <v>Bridgestone</v>
      </c>
      <c r="R8236" s="93" t="str">
        <f>VLOOKUP(E8236,DATABASE!C:Q,11,false)</f>
        <v>Tire</v>
      </c>
    </row>
    <row r="8237" ht="22.5" customHeight="1">
      <c r="A8237" s="49"/>
      <c r="C8237" s="400">
        <v>46136.0</v>
      </c>
      <c r="D8237" s="524">
        <v>1153.0</v>
      </c>
      <c r="E8237" s="544" t="s">
        <v>268</v>
      </c>
      <c r="F8237" s="387">
        <v>2.0</v>
      </c>
      <c r="G8237" s="140">
        <v>720000.0</v>
      </c>
      <c r="H8237" s="140">
        <v>10000.0</v>
      </c>
      <c r="I8237" s="74">
        <f t="shared" si="1"/>
        <v>1420000</v>
      </c>
      <c r="J8237" s="74">
        <f>IF(E8237="SERVICE",I8237-(I8237*50%),Vlookup(E8237,DATABASE!C:Q,10,false)*F8237)</f>
        <v>0</v>
      </c>
      <c r="K8237" s="74">
        <f>VLOOKUP(E8237,DATABASE!C:Q,7,false)</f>
        <v>653000</v>
      </c>
      <c r="L8237" s="140">
        <v>622000.0</v>
      </c>
      <c r="M8237" s="74">
        <f t="shared" si="6"/>
        <v>625000</v>
      </c>
      <c r="N8237" s="74">
        <f t="shared" si="3"/>
        <v>170000</v>
      </c>
      <c r="O8237" s="65" t="str">
        <f>VLOOKUP(E8237,DATABASE!C:Q,8,false)</f>
        <v>IBU</v>
      </c>
      <c r="P8237" s="65">
        <f>VLOOKUP(E8237,DATABASE!C:Q,9,False)</f>
        <v>1</v>
      </c>
      <c r="Q8237" s="93" t="str">
        <f>VLOOKUP(E8237,DATABASE!C:Q,4,false)</f>
        <v>Dunlop</v>
      </c>
      <c r="R8237" s="93" t="str">
        <f>VLOOKUP(E8237,DATABASE!C:Q,11,false)</f>
        <v>Tire</v>
      </c>
    </row>
    <row r="8238" ht="22.5" customHeight="1">
      <c r="A8238" s="49"/>
      <c r="C8238" s="400">
        <v>46136.0</v>
      </c>
      <c r="D8238" s="524">
        <v>1154.0</v>
      </c>
      <c r="E8238" s="544" t="s">
        <v>600</v>
      </c>
      <c r="F8238" s="387">
        <v>1.0</v>
      </c>
      <c r="G8238" s="140">
        <v>680000.0</v>
      </c>
      <c r="H8238" s="74"/>
      <c r="I8238" s="74">
        <f t="shared" si="1"/>
        <v>680000</v>
      </c>
      <c r="J8238" s="74">
        <f>IF(E8238="SERVICE",I8238-(I8238*50%),Vlookup(E8238,DATABASE!C:Q,10,false)*F8238)</f>
        <v>0</v>
      </c>
      <c r="K8238" s="74">
        <f>VLOOKUP(E8238,DATABASE!C:Q,7,false)</f>
        <v>611109.16</v>
      </c>
      <c r="L8238" s="74">
        <v>588505.75</v>
      </c>
      <c r="M8238" s="74">
        <f t="shared" si="6"/>
        <v>590000</v>
      </c>
      <c r="N8238" s="74">
        <f t="shared" si="3"/>
        <v>90000</v>
      </c>
      <c r="O8238" s="65" t="str">
        <f>VLOOKUP(E8238,DATABASE!C:Q,8,false)</f>
        <v>IBU</v>
      </c>
      <c r="P8238" s="65">
        <f>VLOOKUP(E8238,DATABASE!C:Q,9,False)</f>
        <v>1</v>
      </c>
      <c r="Q8238" s="93" t="str">
        <f>VLOOKUP(E8238,DATABASE!C:Q,4,false)</f>
        <v>Bridgestone</v>
      </c>
      <c r="R8238" s="93" t="str">
        <f>VLOOKUP(E8238,DATABASE!C:Q,11,false)</f>
        <v>Tire</v>
      </c>
    </row>
    <row r="8239" ht="22.5" customHeight="1">
      <c r="A8239" s="49"/>
      <c r="C8239" s="400">
        <v>46136.0</v>
      </c>
      <c r="D8239" s="524">
        <v>1155.0</v>
      </c>
      <c r="E8239" s="544" t="s">
        <v>275</v>
      </c>
      <c r="F8239" s="387">
        <v>4.0</v>
      </c>
      <c r="G8239" s="140">
        <v>830000.0</v>
      </c>
      <c r="H8239" s="74"/>
      <c r="I8239" s="74">
        <f t="shared" si="1"/>
        <v>3320000</v>
      </c>
      <c r="J8239" s="74">
        <f>IF(E8239="SERVICE",I8239-(I8239*50%),Vlookup(E8239,DATABASE!C:Q,10,false)*F8239)</f>
        <v>0</v>
      </c>
      <c r="K8239" s="74">
        <f>VLOOKUP(E8239,DATABASE!C:Q,7,false)</f>
        <v>782000</v>
      </c>
      <c r="L8239" s="140">
        <v>745000.0</v>
      </c>
      <c r="M8239" s="74">
        <f t="shared" si="6"/>
        <v>745000</v>
      </c>
      <c r="N8239" s="74">
        <f t="shared" si="3"/>
        <v>340000</v>
      </c>
      <c r="O8239" s="65" t="str">
        <f>VLOOKUP(E8239,DATABASE!C:Q,8,false)</f>
        <v>IBU</v>
      </c>
      <c r="P8239" s="65">
        <f>VLOOKUP(E8239,DATABASE!C:Q,9,False)</f>
        <v>1</v>
      </c>
      <c r="Q8239" s="93" t="str">
        <f>VLOOKUP(E8239,DATABASE!C:Q,4,false)</f>
        <v>Dunlop</v>
      </c>
      <c r="R8239" s="93" t="str">
        <f>VLOOKUP(E8239,DATABASE!C:Q,11,false)</f>
        <v>Tire</v>
      </c>
    </row>
    <row r="8240" ht="22.5" customHeight="1">
      <c r="A8240" s="49"/>
      <c r="C8240" s="400">
        <v>46136.0</v>
      </c>
      <c r="D8240" s="524">
        <v>1156.0</v>
      </c>
      <c r="E8240" s="544" t="s">
        <v>256</v>
      </c>
      <c r="F8240" s="387">
        <v>1.0</v>
      </c>
      <c r="G8240" s="140">
        <v>175000.0</v>
      </c>
      <c r="H8240" s="140">
        <v>25000.0</v>
      </c>
      <c r="I8240" s="74">
        <f t="shared" si="1"/>
        <v>150000</v>
      </c>
      <c r="J8240" s="74">
        <f>IF(E8240="SERVICE",I8240-(I8240*50%),Vlookup(E8240,DATABASE!C:Q,10,false)*F8240)</f>
        <v>10000</v>
      </c>
      <c r="K8240" s="74">
        <f>VLOOKUP(E8240,DATABASE!C:Q,7,false)</f>
        <v>0</v>
      </c>
      <c r="L8240" s="74">
        <v>0.0</v>
      </c>
      <c r="M8240" s="74">
        <f t="shared" si="6"/>
        <v>0</v>
      </c>
      <c r="N8240" s="74">
        <f t="shared" si="3"/>
        <v>140000</v>
      </c>
      <c r="O8240" s="65" t="str">
        <f>VLOOKUP(E8240,DATABASE!C:Q,8,false)</f>
        <v>IBU</v>
      </c>
      <c r="P8240" s="65">
        <f>VLOOKUP(E8240,DATABASE!C:Q,9,False)</f>
        <v>0</v>
      </c>
      <c r="Q8240" s="93" t="str">
        <f>VLOOKUP(E8240,DATABASE!C:Q,4,false)</f>
        <v>SPOORING</v>
      </c>
      <c r="R8240" s="93" t="str">
        <f>VLOOKUP(E8240,DATABASE!C:Q,11,false)</f>
        <v>SERVICE</v>
      </c>
    </row>
    <row r="8241" ht="22.5" customHeight="1">
      <c r="A8241" s="49"/>
      <c r="C8241" s="400">
        <v>46136.0</v>
      </c>
      <c r="D8241" s="524">
        <v>1156.0</v>
      </c>
      <c r="E8241" s="544" t="s">
        <v>251</v>
      </c>
      <c r="F8241" s="387">
        <v>1.0</v>
      </c>
      <c r="G8241" s="140">
        <v>350000.0</v>
      </c>
      <c r="H8241" s="140">
        <v>150000.0</v>
      </c>
      <c r="I8241" s="74">
        <f t="shared" si="1"/>
        <v>200000</v>
      </c>
      <c r="J8241" s="74">
        <f>IF(E8241="SERVICE",I8241-(I8241*50%),Vlookup(E8241,DATABASE!C:Q,10,false)*F8241)</f>
        <v>100000</v>
      </c>
      <c r="K8241" s="74">
        <f>VLOOKUP(E8241,DATABASE!C:Q,7,false)</f>
        <v>0</v>
      </c>
      <c r="L8241" s="74">
        <v>0.0</v>
      </c>
      <c r="M8241" s="74">
        <f t="shared" si="6"/>
        <v>0</v>
      </c>
      <c r="N8241" s="74">
        <f t="shared" si="3"/>
        <v>100000</v>
      </c>
      <c r="O8241" s="65" t="str">
        <f>VLOOKUP(E8241,DATABASE!C:Q,8,false)</f>
        <v>IBU</v>
      </c>
      <c r="P8241" s="65">
        <f>VLOOKUP(E8241,DATABASE!C:Q,9,False)</f>
        <v>0</v>
      </c>
      <c r="Q8241" s="93" t="str">
        <f>VLOOKUP(E8241,DATABASE!C:Q,4,false)</f>
        <v>SERVICE</v>
      </c>
      <c r="R8241" s="93" t="str">
        <f>VLOOKUP(E8241,DATABASE!C:Q,11,false)</f>
        <v>SERVICE</v>
      </c>
    </row>
    <row r="8242" ht="22.5" customHeight="1">
      <c r="A8242" s="49"/>
      <c r="C8242" s="400">
        <v>46137.0</v>
      </c>
      <c r="D8242" s="524">
        <v>1157.0</v>
      </c>
      <c r="E8242" s="544" t="s">
        <v>955</v>
      </c>
      <c r="F8242" s="387">
        <v>1.0</v>
      </c>
      <c r="G8242" s="140">
        <v>770000.0</v>
      </c>
      <c r="H8242" s="140">
        <v>10000.0</v>
      </c>
      <c r="I8242" s="74">
        <f t="shared" si="1"/>
        <v>760000</v>
      </c>
      <c r="J8242" s="74">
        <f>IF(E8242="SERVICE",I8242-(I8242*50%),Vlookup(E8242,DATABASE!C:Q,10,false)*F8242)</f>
        <v>0</v>
      </c>
      <c r="K8242" s="74">
        <f>VLOOKUP(E8242,DATABASE!C:Q,7,false)</f>
        <v>712000</v>
      </c>
      <c r="L8242" s="74">
        <v>660000.0</v>
      </c>
      <c r="M8242" s="74">
        <f t="shared" si="6"/>
        <v>660000</v>
      </c>
      <c r="N8242" s="74">
        <f t="shared" si="3"/>
        <v>100000</v>
      </c>
      <c r="O8242" s="65" t="str">
        <f>VLOOKUP(E8242,DATABASE!C:Q,8,false)</f>
        <v>IBU</v>
      </c>
      <c r="P8242" s="65">
        <f>VLOOKUP(E8242,DATABASE!C:Q,9,False)</f>
        <v>1</v>
      </c>
      <c r="Q8242" s="93" t="str">
        <f>VLOOKUP(E8242,DATABASE!C:Q,4,false)</f>
        <v>Dunlop</v>
      </c>
      <c r="R8242" s="93" t="str">
        <f>VLOOKUP(E8242,DATABASE!C:Q,11,false)</f>
        <v>Tire</v>
      </c>
    </row>
    <row r="8243" ht="22.5" customHeight="1">
      <c r="A8243" s="49"/>
      <c r="C8243" s="400">
        <v>46137.0</v>
      </c>
      <c r="D8243" s="524">
        <v>1159.0</v>
      </c>
      <c r="E8243" s="544" t="s">
        <v>268</v>
      </c>
      <c r="F8243" s="387">
        <v>2.0</v>
      </c>
      <c r="G8243" s="140">
        <v>720000.0</v>
      </c>
      <c r="H8243" s="74"/>
      <c r="I8243" s="74">
        <f t="shared" si="1"/>
        <v>1440000</v>
      </c>
      <c r="J8243" s="74">
        <f>IF(E8243="SERVICE",I8243-(I8243*50%),Vlookup(E8243,DATABASE!C:Q,10,false)*F8243)</f>
        <v>0</v>
      </c>
      <c r="K8243" s="74">
        <f>VLOOKUP(E8243,DATABASE!C:Q,7,false)</f>
        <v>653000</v>
      </c>
      <c r="L8243" s="74">
        <v>634500.0</v>
      </c>
      <c r="M8243" s="74">
        <f t="shared" si="6"/>
        <v>635000</v>
      </c>
      <c r="N8243" s="74">
        <f t="shared" si="3"/>
        <v>170000</v>
      </c>
      <c r="O8243" s="65" t="str">
        <f>VLOOKUP(E8243,DATABASE!C:Q,8,false)</f>
        <v>IBU</v>
      </c>
      <c r="P8243" s="65">
        <f>VLOOKUP(E8243,DATABASE!C:Q,9,False)</f>
        <v>1</v>
      </c>
      <c r="Q8243" s="93" t="str">
        <f>VLOOKUP(E8243,DATABASE!C:Q,4,false)</f>
        <v>Dunlop</v>
      </c>
      <c r="R8243" s="93" t="str">
        <f>VLOOKUP(E8243,DATABASE!C:Q,11,false)</f>
        <v>Tire</v>
      </c>
    </row>
    <row r="8244" ht="22.5" customHeight="1">
      <c r="A8244" s="49"/>
      <c r="C8244" s="400">
        <v>46137.0</v>
      </c>
      <c r="D8244" s="524">
        <v>1160.0</v>
      </c>
      <c r="E8244" s="544" t="s">
        <v>268</v>
      </c>
      <c r="F8244" s="387">
        <v>2.0</v>
      </c>
      <c r="G8244" s="140">
        <v>720000.0</v>
      </c>
      <c r="H8244" s="74"/>
      <c r="I8244" s="74">
        <f t="shared" si="1"/>
        <v>1440000</v>
      </c>
      <c r="J8244" s="74">
        <f>IF(E8244="SERVICE",I8244-(I8244*50%),Vlookup(E8244,DATABASE!C:Q,10,false)*F8244)</f>
        <v>0</v>
      </c>
      <c r="K8244" s="74">
        <f>VLOOKUP(E8244,DATABASE!C:Q,7,false)</f>
        <v>653000</v>
      </c>
      <c r="L8244" s="74">
        <v>634500.0</v>
      </c>
      <c r="M8244" s="74">
        <f t="shared" si="6"/>
        <v>635000</v>
      </c>
      <c r="N8244" s="74">
        <f t="shared" si="3"/>
        <v>170000</v>
      </c>
      <c r="O8244" s="65" t="str">
        <f>VLOOKUP(E8244,DATABASE!C:Q,8,false)</f>
        <v>IBU</v>
      </c>
      <c r="P8244" s="65">
        <f>VLOOKUP(E8244,DATABASE!C:Q,9,False)</f>
        <v>1</v>
      </c>
      <c r="Q8244" s="93" t="str">
        <f>VLOOKUP(E8244,DATABASE!C:Q,4,false)</f>
        <v>Dunlop</v>
      </c>
      <c r="R8244" s="93" t="str">
        <f>VLOOKUP(E8244,DATABASE!C:Q,11,false)</f>
        <v>Tire</v>
      </c>
    </row>
    <row r="8245" ht="22.5" customHeight="1">
      <c r="A8245" s="49"/>
      <c r="C8245" s="400">
        <v>46137.0</v>
      </c>
      <c r="D8245" s="524">
        <v>1161.0</v>
      </c>
      <c r="E8245" s="544" t="s">
        <v>932</v>
      </c>
      <c r="F8245" s="387">
        <v>2.0</v>
      </c>
      <c r="G8245" s="140">
        <v>690000.0</v>
      </c>
      <c r="H8245" s="74"/>
      <c r="I8245" s="74">
        <f t="shared" si="1"/>
        <v>1380000</v>
      </c>
      <c r="J8245" s="74">
        <f>IF(E8245="SERVICE",I8245-(I8245*50%),Vlookup(E8245,DATABASE!C:Q,10,false)*F8245)</f>
        <v>0</v>
      </c>
      <c r="K8245" s="74">
        <f>VLOOKUP(E8245,DATABASE!C:Q,7,false)</f>
        <v>601000</v>
      </c>
      <c r="L8245" s="74">
        <v>601000.0</v>
      </c>
      <c r="M8245" s="74">
        <f t="shared" si="6"/>
        <v>605000</v>
      </c>
      <c r="N8245" s="74">
        <f t="shared" si="3"/>
        <v>170000</v>
      </c>
      <c r="O8245" s="65" t="str">
        <f>VLOOKUP(E8245,DATABASE!C:Q,8,false)</f>
        <v>IBU</v>
      </c>
      <c r="P8245" s="65">
        <f>VLOOKUP(E8245,DATABASE!C:Q,9,False)</f>
        <v>1</v>
      </c>
      <c r="Q8245" s="93" t="str">
        <f>VLOOKUP(E8245,DATABASE!C:Q,4,false)</f>
        <v>Dunlop</v>
      </c>
      <c r="R8245" s="93" t="str">
        <f>VLOOKUP(E8245,DATABASE!C:Q,11,false)</f>
        <v>Tire</v>
      </c>
    </row>
    <row r="8246" ht="22.5" customHeight="1">
      <c r="A8246" s="49"/>
      <c r="C8246" s="400">
        <v>46137.0</v>
      </c>
      <c r="D8246" s="524">
        <v>1161.0</v>
      </c>
      <c r="E8246" s="544" t="s">
        <v>256</v>
      </c>
      <c r="F8246" s="387">
        <v>1.0</v>
      </c>
      <c r="G8246" s="140">
        <v>175000.0</v>
      </c>
      <c r="H8246" s="140">
        <v>25000.0</v>
      </c>
      <c r="I8246" s="74">
        <f t="shared" si="1"/>
        <v>150000</v>
      </c>
      <c r="J8246" s="74">
        <f>IF(E8246="SERVICE",I8246-(I8246*50%),Vlookup(E8246,DATABASE!C:Q,10,false)*F8246)</f>
        <v>10000</v>
      </c>
      <c r="K8246" s="74">
        <f>VLOOKUP(E8246,DATABASE!C:Q,7,false)</f>
        <v>0</v>
      </c>
      <c r="L8246" s="74">
        <v>0.0</v>
      </c>
      <c r="M8246" s="74">
        <f t="shared" si="6"/>
        <v>0</v>
      </c>
      <c r="N8246" s="74">
        <f t="shared" si="3"/>
        <v>140000</v>
      </c>
      <c r="O8246" s="65" t="str">
        <f>VLOOKUP(E8246,DATABASE!C:Q,8,false)</f>
        <v>IBU</v>
      </c>
      <c r="P8246" s="65">
        <f>VLOOKUP(E8246,DATABASE!C:Q,9,False)</f>
        <v>0</v>
      </c>
      <c r="Q8246" s="93" t="str">
        <f>VLOOKUP(E8246,DATABASE!C:Q,4,false)</f>
        <v>SPOORING</v>
      </c>
      <c r="R8246" s="93" t="str">
        <f>VLOOKUP(E8246,DATABASE!C:Q,11,false)</f>
        <v>SERVICE</v>
      </c>
    </row>
    <row r="8247" ht="22.5" customHeight="1">
      <c r="A8247" s="49"/>
      <c r="C8247" s="400">
        <v>46137.0</v>
      </c>
      <c r="D8247" s="524">
        <v>1161.0</v>
      </c>
      <c r="E8247" s="544" t="s">
        <v>299</v>
      </c>
      <c r="F8247" s="387">
        <v>2.0</v>
      </c>
      <c r="G8247" s="140">
        <v>30000.0</v>
      </c>
      <c r="H8247" s="74"/>
      <c r="I8247" s="74">
        <f t="shared" si="1"/>
        <v>60000</v>
      </c>
      <c r="J8247" s="74">
        <f>IF(E8247="SERVICE",I8247-(I8247*50%),Vlookup(E8247,DATABASE!C:Q,10,false)*F8247)</f>
        <v>0</v>
      </c>
      <c r="K8247" s="74">
        <f>VLOOKUP(E8247,DATABASE!C:Q,7,false)</f>
        <v>10000</v>
      </c>
      <c r="L8247" s="74">
        <v>10000.0</v>
      </c>
      <c r="M8247" s="74">
        <f t="shared" si="6"/>
        <v>10000</v>
      </c>
      <c r="N8247" s="74">
        <f t="shared" si="3"/>
        <v>40000</v>
      </c>
      <c r="O8247" s="65" t="str">
        <f>VLOOKUP(E8247,DATABASE!C:Q,8,false)</f>
        <v>BIAN</v>
      </c>
      <c r="P8247" s="65">
        <f>VLOOKUP(E8247,DATABASE!C:Q,9,False)</f>
        <v>0</v>
      </c>
      <c r="Q8247" s="93" t="str">
        <f>VLOOKUP(E8247,DATABASE!C:Q,4,false)</f>
        <v>Balancing</v>
      </c>
      <c r="R8247" s="93" t="str">
        <f>VLOOKUP(E8247,DATABASE!C:Q,11,false)</f>
        <v>COMPLEMENTARY</v>
      </c>
    </row>
    <row r="8248" ht="22.5" customHeight="1">
      <c r="A8248" s="49"/>
      <c r="C8248" s="400">
        <v>46137.0</v>
      </c>
      <c r="D8248" s="524">
        <v>1161.0</v>
      </c>
      <c r="E8248" s="544" t="s">
        <v>251</v>
      </c>
      <c r="F8248" s="387">
        <v>1.0</v>
      </c>
      <c r="G8248" s="140">
        <v>350000.0</v>
      </c>
      <c r="H8248" s="140">
        <v>200000.0</v>
      </c>
      <c r="I8248" s="74">
        <f t="shared" si="1"/>
        <v>150000</v>
      </c>
      <c r="J8248" s="74">
        <f>IF(E8248="SERVICE",I8248-(I8248*50%),Vlookup(E8248,DATABASE!C:Q,10,false)*F8248)</f>
        <v>75000</v>
      </c>
      <c r="K8248" s="74">
        <f>VLOOKUP(E8248,DATABASE!C:Q,7,false)</f>
        <v>0</v>
      </c>
      <c r="L8248" s="74">
        <v>0.0</v>
      </c>
      <c r="M8248" s="74">
        <f t="shared" si="6"/>
        <v>0</v>
      </c>
      <c r="N8248" s="74">
        <f t="shared" si="3"/>
        <v>75000</v>
      </c>
      <c r="O8248" s="65" t="str">
        <f>VLOOKUP(E8248,DATABASE!C:Q,8,false)</f>
        <v>IBU</v>
      </c>
      <c r="P8248" s="65">
        <f>VLOOKUP(E8248,DATABASE!C:Q,9,False)</f>
        <v>0</v>
      </c>
      <c r="Q8248" s="93" t="str">
        <f>VLOOKUP(E8248,DATABASE!C:Q,4,false)</f>
        <v>SERVICE</v>
      </c>
      <c r="R8248" s="93" t="str">
        <f>VLOOKUP(E8248,DATABASE!C:Q,11,false)</f>
        <v>SERVICE</v>
      </c>
    </row>
    <row r="8249" ht="22.5" customHeight="1">
      <c r="A8249" s="49"/>
      <c r="C8249" s="400">
        <v>46137.0</v>
      </c>
      <c r="D8249" s="524">
        <v>1162.0</v>
      </c>
      <c r="E8249" s="544" t="s">
        <v>1133</v>
      </c>
      <c r="F8249" s="387">
        <v>1.0</v>
      </c>
      <c r="G8249" s="140">
        <v>835000.0</v>
      </c>
      <c r="H8249" s="140">
        <v>5000.0</v>
      </c>
      <c r="I8249" s="74">
        <f t="shared" si="1"/>
        <v>830000</v>
      </c>
      <c r="J8249" s="74">
        <f>IF(E8249="SERVICE",I8249-(I8249*50%),Vlookup(E8249,DATABASE!C:Q,10,false)*F8249)</f>
        <v>0</v>
      </c>
      <c r="K8249" s="74">
        <f>VLOOKUP(E8249,DATABASE!C:Q,7,false)</f>
        <v>759539.2</v>
      </c>
      <c r="L8249" s="74">
        <v>733824.0</v>
      </c>
      <c r="M8249" s="74">
        <f t="shared" si="6"/>
        <v>735000</v>
      </c>
      <c r="N8249" s="74">
        <f t="shared" si="3"/>
        <v>95000</v>
      </c>
      <c r="O8249" s="65" t="str">
        <f>VLOOKUP(E8249,DATABASE!C:Q,8,false)</f>
        <v>IBU</v>
      </c>
      <c r="P8249" s="65">
        <f>VLOOKUP(E8249,DATABASE!C:Q,9,False)</f>
        <v>1</v>
      </c>
      <c r="Q8249" s="93" t="str">
        <f>VLOOKUP(E8249,DATABASE!C:Q,4,false)</f>
        <v>Bridgestone</v>
      </c>
      <c r="R8249" s="93" t="str">
        <f>VLOOKUP(E8249,DATABASE!C:Q,11,false)</f>
        <v>Tire</v>
      </c>
    </row>
    <row r="8250" ht="22.5" customHeight="1">
      <c r="A8250" s="49"/>
      <c r="C8250" s="400">
        <v>46137.0</v>
      </c>
      <c r="D8250" s="524">
        <v>1163.0</v>
      </c>
      <c r="E8250" s="544" t="s">
        <v>262</v>
      </c>
      <c r="F8250" s="387">
        <v>1.0</v>
      </c>
      <c r="G8250" s="140">
        <v>130000.0</v>
      </c>
      <c r="H8250" s="74"/>
      <c r="I8250" s="74">
        <f t="shared" si="1"/>
        <v>130000</v>
      </c>
      <c r="J8250" s="74">
        <f>IF(E8250="SERVICE",I8250-(I8250*50%),Vlookup(E8250,DATABASE!C:Q,10,false)*F8250)</f>
        <v>5000</v>
      </c>
      <c r="K8250" s="74">
        <f>VLOOKUP(E8250,DATABASE!C:Q,7,false)</f>
        <v>0</v>
      </c>
      <c r="L8250" s="74">
        <v>0.0</v>
      </c>
      <c r="M8250" s="74">
        <f t="shared" si="6"/>
        <v>0</v>
      </c>
      <c r="N8250" s="74">
        <f t="shared" si="3"/>
        <v>125000</v>
      </c>
      <c r="O8250" s="65" t="str">
        <f>VLOOKUP(E8250,DATABASE!C:Q,8,false)</f>
        <v>IBU</v>
      </c>
      <c r="P8250" s="65">
        <f>VLOOKUP(E8250,DATABASE!C:Q,9,False)</f>
        <v>0</v>
      </c>
      <c r="Q8250" s="93" t="str">
        <f>VLOOKUP(E8250,DATABASE!C:Q,4,false)</f>
        <v>SPOORING SS/CARRY LOS BAK</v>
      </c>
      <c r="R8250" s="93" t="str">
        <f>VLOOKUP(E8250,DATABASE!C:Q,11,false)</f>
        <v>SERVICE</v>
      </c>
    </row>
    <row r="8251" ht="22.5" customHeight="1">
      <c r="A8251" s="49"/>
      <c r="C8251" s="400">
        <v>46137.0</v>
      </c>
      <c r="D8251" s="524">
        <v>1163.0</v>
      </c>
      <c r="E8251" s="544" t="s">
        <v>251</v>
      </c>
      <c r="F8251" s="387">
        <v>1.0</v>
      </c>
      <c r="G8251" s="140">
        <v>350000.0</v>
      </c>
      <c r="H8251" s="140">
        <v>150000.0</v>
      </c>
      <c r="I8251" s="74">
        <f t="shared" si="1"/>
        <v>200000</v>
      </c>
      <c r="J8251" s="74">
        <f>IF(E8251="SERVICE",I8251-(I8251*50%),Vlookup(E8251,DATABASE!C:Q,10,false)*F8251)</f>
        <v>100000</v>
      </c>
      <c r="K8251" s="74">
        <f>VLOOKUP(E8251,DATABASE!C:Q,7,false)</f>
        <v>0</v>
      </c>
      <c r="L8251" s="74">
        <v>0.0</v>
      </c>
      <c r="M8251" s="74">
        <f t="shared" si="6"/>
        <v>0</v>
      </c>
      <c r="N8251" s="74">
        <f t="shared" si="3"/>
        <v>100000</v>
      </c>
      <c r="O8251" s="65" t="str">
        <f>VLOOKUP(E8251,DATABASE!C:Q,8,false)</f>
        <v>IBU</v>
      </c>
      <c r="P8251" s="65">
        <f>VLOOKUP(E8251,DATABASE!C:Q,9,False)</f>
        <v>0</v>
      </c>
      <c r="Q8251" s="93" t="str">
        <f>VLOOKUP(E8251,DATABASE!C:Q,4,false)</f>
        <v>SERVICE</v>
      </c>
      <c r="R8251" s="93" t="str">
        <f>VLOOKUP(E8251,DATABASE!C:Q,11,false)</f>
        <v>SERVICE</v>
      </c>
    </row>
    <row r="8252" ht="22.5" customHeight="1">
      <c r="A8252" s="49"/>
      <c r="C8252" s="400">
        <v>46137.0</v>
      </c>
      <c r="D8252" s="524">
        <v>1164.0</v>
      </c>
      <c r="E8252" s="544" t="s">
        <v>299</v>
      </c>
      <c r="F8252" s="387">
        <v>2.0</v>
      </c>
      <c r="G8252" s="140">
        <v>30000.0</v>
      </c>
      <c r="H8252" s="74"/>
      <c r="I8252" s="74">
        <f t="shared" si="1"/>
        <v>60000</v>
      </c>
      <c r="J8252" s="74">
        <f>IF(E8252="SERVICE",I8252-(I8252*50%),Vlookup(E8252,DATABASE!C:Q,10,false)*F8252)</f>
        <v>0</v>
      </c>
      <c r="K8252" s="74">
        <f>VLOOKUP(E8252,DATABASE!C:Q,7,false)</f>
        <v>10000</v>
      </c>
      <c r="L8252" s="74">
        <v>10000.0</v>
      </c>
      <c r="M8252" s="74">
        <f t="shared" si="6"/>
        <v>10000</v>
      </c>
      <c r="N8252" s="74">
        <f t="shared" si="3"/>
        <v>40000</v>
      </c>
      <c r="O8252" s="65" t="str">
        <f>VLOOKUP(E8252,DATABASE!C:Q,8,false)</f>
        <v>BIAN</v>
      </c>
      <c r="P8252" s="65">
        <f>VLOOKUP(E8252,DATABASE!C:Q,9,False)</f>
        <v>0</v>
      </c>
      <c r="Q8252" s="93" t="str">
        <f>VLOOKUP(E8252,DATABASE!C:Q,4,false)</f>
        <v>Balancing</v>
      </c>
      <c r="R8252" s="93" t="str">
        <f>VLOOKUP(E8252,DATABASE!C:Q,11,false)</f>
        <v>COMPLEMENTARY</v>
      </c>
    </row>
    <row r="8253" ht="22.5" customHeight="1">
      <c r="A8253" s="49"/>
      <c r="C8253" s="400">
        <v>46137.0</v>
      </c>
      <c r="D8253" s="524">
        <v>1165.0</v>
      </c>
      <c r="E8253" s="544" t="s">
        <v>256</v>
      </c>
      <c r="F8253" s="387">
        <v>1.0</v>
      </c>
      <c r="G8253" s="140">
        <v>175000.0</v>
      </c>
      <c r="H8253" s="140">
        <v>25000.0</v>
      </c>
      <c r="I8253" s="74">
        <f t="shared" si="1"/>
        <v>150000</v>
      </c>
      <c r="J8253" s="74">
        <f>IF(E8253="SERVICE",I8253-(I8253*50%),Vlookup(E8253,DATABASE!C:Q,10,false)*F8253)</f>
        <v>10000</v>
      </c>
      <c r="K8253" s="74">
        <f>VLOOKUP(E8253,DATABASE!C:Q,7,false)</f>
        <v>0</v>
      </c>
      <c r="L8253" s="74">
        <v>0.0</v>
      </c>
      <c r="M8253" s="74">
        <f t="shared" si="6"/>
        <v>0</v>
      </c>
      <c r="N8253" s="74">
        <f t="shared" si="3"/>
        <v>140000</v>
      </c>
      <c r="O8253" s="65" t="str">
        <f>VLOOKUP(E8253,DATABASE!C:Q,8,false)</f>
        <v>IBU</v>
      </c>
      <c r="P8253" s="65">
        <f>VLOOKUP(E8253,DATABASE!C:Q,9,False)</f>
        <v>0</v>
      </c>
      <c r="Q8253" s="93" t="str">
        <f>VLOOKUP(E8253,DATABASE!C:Q,4,false)</f>
        <v>SPOORING</v>
      </c>
      <c r="R8253" s="93" t="str">
        <f>VLOOKUP(E8253,DATABASE!C:Q,11,false)</f>
        <v>SERVICE</v>
      </c>
    </row>
    <row r="8254" ht="22.5" customHeight="1">
      <c r="A8254" s="49"/>
      <c r="C8254" s="400">
        <v>46137.0</v>
      </c>
      <c r="D8254" s="524">
        <v>1165.0</v>
      </c>
      <c r="E8254" s="544" t="s">
        <v>299</v>
      </c>
      <c r="F8254" s="387">
        <v>2.0</v>
      </c>
      <c r="G8254" s="140">
        <v>30000.0</v>
      </c>
      <c r="H8254" s="74"/>
      <c r="I8254" s="74">
        <f t="shared" si="1"/>
        <v>60000</v>
      </c>
      <c r="J8254" s="74">
        <f>IF(E8254="SERVICE",I8254-(I8254*50%),Vlookup(E8254,DATABASE!C:Q,10,false)*F8254)</f>
        <v>0</v>
      </c>
      <c r="K8254" s="74">
        <f>VLOOKUP(E8254,DATABASE!C:Q,7,false)</f>
        <v>10000</v>
      </c>
      <c r="L8254" s="74">
        <v>10000.0</v>
      </c>
      <c r="M8254" s="74">
        <f t="shared" si="6"/>
        <v>10000</v>
      </c>
      <c r="N8254" s="74">
        <f t="shared" si="3"/>
        <v>40000</v>
      </c>
      <c r="O8254" s="65" t="str">
        <f>VLOOKUP(E8254,DATABASE!C:Q,8,false)</f>
        <v>BIAN</v>
      </c>
      <c r="P8254" s="65">
        <f>VLOOKUP(E8254,DATABASE!C:Q,9,False)</f>
        <v>0</v>
      </c>
      <c r="Q8254" s="93" t="str">
        <f>VLOOKUP(E8254,DATABASE!C:Q,4,false)</f>
        <v>Balancing</v>
      </c>
      <c r="R8254" s="93" t="str">
        <f>VLOOKUP(E8254,DATABASE!C:Q,11,false)</f>
        <v>COMPLEMENTARY</v>
      </c>
    </row>
    <row r="8255" ht="22.5" customHeight="1">
      <c r="A8255" s="49"/>
      <c r="C8255" s="400">
        <v>46137.0</v>
      </c>
      <c r="D8255" s="524">
        <v>1165.0</v>
      </c>
      <c r="E8255" s="544" t="s">
        <v>301</v>
      </c>
      <c r="F8255" s="387">
        <v>1.0</v>
      </c>
      <c r="G8255" s="140">
        <v>250000.0</v>
      </c>
      <c r="H8255" s="74"/>
      <c r="I8255" s="74">
        <f t="shared" si="1"/>
        <v>250000</v>
      </c>
      <c r="J8255" s="74">
        <f>IF(E8255="SERVICE",I8255-(I8255*50%),Vlookup(E8255,DATABASE!C:Q,10,false)*F8255)</f>
        <v>75000</v>
      </c>
      <c r="K8255" s="74">
        <f>VLOOKUP(E8255,DATABASE!C:Q,7,false)</f>
        <v>75000</v>
      </c>
      <c r="L8255" s="74">
        <v>75000.0</v>
      </c>
      <c r="M8255" s="74">
        <f t="shared" si="6"/>
        <v>75000</v>
      </c>
      <c r="N8255" s="74">
        <f t="shared" si="3"/>
        <v>100000</v>
      </c>
      <c r="O8255" s="65" t="str">
        <f>VLOOKUP(E8255,DATABASE!C:Q,8,false)</f>
        <v>BIAN</v>
      </c>
      <c r="P8255" s="65">
        <f>VLOOKUP(E8255,DATABASE!C:Q,9,False)</f>
        <v>0</v>
      </c>
      <c r="Q8255" s="93" t="str">
        <f>VLOOKUP(E8255,DATABASE!C:Q,4,false)</f>
        <v>Baut Camber</v>
      </c>
      <c r="R8255" s="93" t="str">
        <f>VLOOKUP(E8255,DATABASE!C:Q,11,false)</f>
        <v>COMPLEMENTARY</v>
      </c>
    </row>
    <row r="8256" ht="22.5" customHeight="1">
      <c r="A8256" s="49"/>
      <c r="C8256" s="400">
        <v>46137.0</v>
      </c>
      <c r="D8256" s="524">
        <v>1166.0</v>
      </c>
      <c r="E8256" s="544" t="s">
        <v>294</v>
      </c>
      <c r="F8256" s="387">
        <v>2.0</v>
      </c>
      <c r="G8256" s="140">
        <v>580000.0</v>
      </c>
      <c r="H8256" s="140">
        <v>5000.0</v>
      </c>
      <c r="I8256" s="74">
        <f t="shared" si="1"/>
        <v>1150000</v>
      </c>
      <c r="J8256" s="74">
        <f>IF(E8256="SERVICE",I8256-(I8256*50%),Vlookup(E8256,DATABASE!C:Q,10,false)*F8256)</f>
        <v>0</v>
      </c>
      <c r="K8256" s="74">
        <f>VLOOKUP(E8256,DATABASE!C:Q,7,false)</f>
        <v>505000</v>
      </c>
      <c r="L8256" s="74">
        <v>490000.0</v>
      </c>
      <c r="M8256" s="74">
        <f t="shared" si="6"/>
        <v>490000</v>
      </c>
      <c r="N8256" s="74">
        <f t="shared" si="3"/>
        <v>170000</v>
      </c>
      <c r="O8256" s="65" t="str">
        <f>VLOOKUP(E8256,DATABASE!C:Q,8,false)</f>
        <v>BIAN</v>
      </c>
      <c r="P8256" s="65">
        <f>VLOOKUP(E8256,DATABASE!C:Q,9,False)</f>
        <v>1</v>
      </c>
      <c r="Q8256" s="93" t="str">
        <f>VLOOKUP(E8256,DATABASE!C:Q,4,false)</f>
        <v>GT</v>
      </c>
      <c r="R8256" s="93" t="str">
        <f>VLOOKUP(E8256,DATABASE!C:Q,11,false)</f>
        <v>Tire</v>
      </c>
    </row>
    <row r="8257" ht="22.5" customHeight="1">
      <c r="A8257" s="49"/>
      <c r="C8257" s="400">
        <v>46137.0</v>
      </c>
      <c r="D8257" s="524">
        <v>1166.0</v>
      </c>
      <c r="E8257" s="544" t="s">
        <v>250</v>
      </c>
      <c r="F8257" s="387">
        <v>1.0</v>
      </c>
      <c r="G8257" s="140">
        <v>135000.0</v>
      </c>
      <c r="H8257" s="74"/>
      <c r="I8257" s="74">
        <f t="shared" si="1"/>
        <v>135000</v>
      </c>
      <c r="J8257" s="74">
        <f>IF(E8257="SERVICE",I8257-(I8257*50%),Vlookup(E8257,DATABASE!C:Q,10,false)*F8257)</f>
        <v>0</v>
      </c>
      <c r="K8257" s="74">
        <f>VLOOKUP(E8257,DATABASE!C:Q,7,false)</f>
        <v>102000</v>
      </c>
      <c r="L8257" s="74">
        <v>102000.0</v>
      </c>
      <c r="M8257" s="74">
        <f t="shared" si="6"/>
        <v>105000</v>
      </c>
      <c r="N8257" s="74">
        <f t="shared" si="3"/>
        <v>30000</v>
      </c>
      <c r="O8257" s="65" t="str">
        <f>VLOOKUP(E8257,DATABASE!C:Q,8,false)</f>
        <v>BIAN</v>
      </c>
      <c r="P8257" s="65">
        <f>VLOOKUP(E8257,DATABASE!C:Q,9,False)</f>
        <v>1</v>
      </c>
      <c r="Q8257" s="93" t="str">
        <f>VLOOKUP(E8257,DATABASE!C:Q,4,false)</f>
        <v>BD</v>
      </c>
      <c r="R8257" s="93" t="str">
        <f>VLOOKUP(E8257,DATABASE!C:Q,11,false)</f>
        <v>Tire</v>
      </c>
    </row>
    <row r="8258" ht="22.5" customHeight="1">
      <c r="A8258" s="49"/>
      <c r="C8258" s="400">
        <v>46137.0</v>
      </c>
      <c r="D8258" s="524">
        <v>1167.0</v>
      </c>
      <c r="E8258" s="544" t="s">
        <v>932</v>
      </c>
      <c r="F8258" s="387">
        <v>4.0</v>
      </c>
      <c r="G8258" s="140">
        <v>690000.0</v>
      </c>
      <c r="H8258" s="74"/>
      <c r="I8258" s="74">
        <f t="shared" si="1"/>
        <v>2760000</v>
      </c>
      <c r="J8258" s="74">
        <f>IF(E8258="SERVICE",I8258-(I8258*50%),Vlookup(E8258,DATABASE!C:Q,10,false)*F8258)</f>
        <v>0</v>
      </c>
      <c r="K8258" s="74">
        <f>VLOOKUP(E8258,DATABASE!C:Q,7,false)</f>
        <v>601000</v>
      </c>
      <c r="L8258" s="74">
        <v>601000.0</v>
      </c>
      <c r="M8258" s="74">
        <f t="shared" si="6"/>
        <v>605000</v>
      </c>
      <c r="N8258" s="74">
        <f t="shared" si="3"/>
        <v>340000</v>
      </c>
      <c r="O8258" s="65" t="str">
        <f>VLOOKUP(E8258,DATABASE!C:Q,8,false)</f>
        <v>IBU</v>
      </c>
      <c r="P8258" s="65">
        <f>VLOOKUP(E8258,DATABASE!C:Q,9,False)</f>
        <v>1</v>
      </c>
      <c r="Q8258" s="93" t="str">
        <f>VLOOKUP(E8258,DATABASE!C:Q,4,false)</f>
        <v>Dunlop</v>
      </c>
      <c r="R8258" s="93" t="str">
        <f>VLOOKUP(E8258,DATABASE!C:Q,11,false)</f>
        <v>Tire</v>
      </c>
    </row>
    <row r="8259" ht="22.5" customHeight="1">
      <c r="A8259" s="49"/>
      <c r="C8259" s="400">
        <v>46137.0</v>
      </c>
      <c r="D8259" s="524">
        <v>1167.0</v>
      </c>
      <c r="E8259" s="544" t="s">
        <v>299</v>
      </c>
      <c r="F8259" s="387">
        <v>2.0</v>
      </c>
      <c r="G8259" s="140">
        <v>30000.0</v>
      </c>
      <c r="H8259" s="74"/>
      <c r="I8259" s="74">
        <f t="shared" si="1"/>
        <v>60000</v>
      </c>
      <c r="J8259" s="74">
        <f>IF(E8259="SERVICE",I8259-(I8259*50%),Vlookup(E8259,DATABASE!C:Q,10,false)*F8259)</f>
        <v>0</v>
      </c>
      <c r="K8259" s="74">
        <f>VLOOKUP(E8259,DATABASE!C:Q,7,false)</f>
        <v>10000</v>
      </c>
      <c r="L8259" s="74">
        <v>10000.0</v>
      </c>
      <c r="M8259" s="74">
        <f t="shared" si="6"/>
        <v>10000</v>
      </c>
      <c r="N8259" s="74">
        <f t="shared" si="3"/>
        <v>40000</v>
      </c>
      <c r="O8259" s="65" t="str">
        <f>VLOOKUP(E8259,DATABASE!C:Q,8,false)</f>
        <v>BIAN</v>
      </c>
      <c r="P8259" s="65">
        <f>VLOOKUP(E8259,DATABASE!C:Q,9,False)</f>
        <v>0</v>
      </c>
      <c r="Q8259" s="93" t="str">
        <f>VLOOKUP(E8259,DATABASE!C:Q,4,false)</f>
        <v>Balancing</v>
      </c>
      <c r="R8259" s="93" t="str">
        <f>VLOOKUP(E8259,DATABASE!C:Q,11,false)</f>
        <v>COMPLEMENTARY</v>
      </c>
    </row>
    <row r="8260" ht="22.5" customHeight="1">
      <c r="A8260" s="49"/>
      <c r="C8260" s="400">
        <v>46137.0</v>
      </c>
      <c r="D8260" s="524">
        <v>1167.0</v>
      </c>
      <c r="E8260" s="544" t="s">
        <v>262</v>
      </c>
      <c r="F8260" s="387">
        <v>1.0</v>
      </c>
      <c r="G8260" s="140">
        <v>130000.0</v>
      </c>
      <c r="H8260" s="74"/>
      <c r="I8260" s="74">
        <f t="shared" si="1"/>
        <v>130000</v>
      </c>
      <c r="J8260" s="74">
        <f>IF(E8260="SERVICE",I8260-(I8260*50%),Vlookup(E8260,DATABASE!C:Q,10,false)*F8260)</f>
        <v>5000</v>
      </c>
      <c r="K8260" s="74">
        <f>VLOOKUP(E8260,DATABASE!C:Q,7,false)</f>
        <v>0</v>
      </c>
      <c r="L8260" s="74">
        <v>0.0</v>
      </c>
      <c r="M8260" s="74">
        <f t="shared" si="6"/>
        <v>0</v>
      </c>
      <c r="N8260" s="74">
        <f t="shared" si="3"/>
        <v>125000</v>
      </c>
      <c r="O8260" s="65" t="str">
        <f>VLOOKUP(E8260,DATABASE!C:Q,8,false)</f>
        <v>IBU</v>
      </c>
      <c r="P8260" s="65">
        <f>VLOOKUP(E8260,DATABASE!C:Q,9,False)</f>
        <v>0</v>
      </c>
      <c r="Q8260" s="93" t="str">
        <f>VLOOKUP(E8260,DATABASE!C:Q,4,false)</f>
        <v>SPOORING SS/CARRY LOS BAK</v>
      </c>
      <c r="R8260" s="93" t="str">
        <f>VLOOKUP(E8260,DATABASE!C:Q,11,false)</f>
        <v>SERVICE</v>
      </c>
    </row>
    <row r="8261" ht="22.5" customHeight="1">
      <c r="A8261" s="49"/>
      <c r="C8261" s="400">
        <v>46137.0</v>
      </c>
      <c r="D8261" s="524">
        <v>1167.0</v>
      </c>
      <c r="E8261" s="544" t="s">
        <v>305</v>
      </c>
      <c r="F8261" s="387">
        <v>2.0</v>
      </c>
      <c r="G8261" s="140">
        <v>235000.0</v>
      </c>
      <c r="H8261" s="74"/>
      <c r="I8261" s="74">
        <f t="shared" si="1"/>
        <v>470000</v>
      </c>
      <c r="J8261" s="74">
        <f>IF(E8261="SERVICE",I8261-(I8261*50%),Vlookup(E8261,DATABASE!C:Q,10,false)*F8261)</f>
        <v>80000</v>
      </c>
      <c r="K8261" s="74">
        <f>VLOOKUP(E8261,DATABASE!C:Q,7,false)</f>
        <v>158530.2</v>
      </c>
      <c r="L8261" s="74">
        <v>151890.0</v>
      </c>
      <c r="M8261" s="74">
        <f t="shared" si="6"/>
        <v>155000</v>
      </c>
      <c r="N8261" s="74">
        <f t="shared" si="3"/>
        <v>80000</v>
      </c>
      <c r="O8261" s="65" t="str">
        <f>VLOOKUP(E8261,DATABASE!C:Q,8,false)</f>
        <v>BIAN</v>
      </c>
      <c r="P8261" s="65">
        <f>VLOOKUP(E8261,DATABASE!C:Q,9,False)</f>
        <v>1</v>
      </c>
      <c r="Q8261" s="93" t="str">
        <f>VLOOKUP(E8261,DATABASE!C:Q,4,false)</f>
        <v>Lower Arm</v>
      </c>
      <c r="R8261" s="93" t="str">
        <f>VLOOKUP(E8261,DATABASE!C:Q,11,false)</f>
        <v>COMPLEMENTARY</v>
      </c>
    </row>
    <row r="8262" ht="22.5" customHeight="1">
      <c r="A8262" s="49"/>
      <c r="C8262" s="400">
        <v>46137.0</v>
      </c>
      <c r="D8262" s="524">
        <v>1167.0</v>
      </c>
      <c r="E8262" s="544" t="s">
        <v>2154</v>
      </c>
      <c r="F8262" s="387">
        <v>1.0</v>
      </c>
      <c r="G8262" s="140">
        <v>250000.0</v>
      </c>
      <c r="H8262" s="74"/>
      <c r="I8262" s="74">
        <f t="shared" si="1"/>
        <v>250000</v>
      </c>
      <c r="J8262" s="74">
        <f>IF(E8262="SERVICE",I8262-(I8262*50%),Vlookup(E8262,DATABASE!C:Q,10,false)*F8262)</f>
        <v>80000</v>
      </c>
      <c r="K8262" s="74">
        <f>VLOOKUP(E8262,DATABASE!C:Q,7,false)</f>
        <v>90000</v>
      </c>
      <c r="L8262" s="74">
        <v>90000.0</v>
      </c>
      <c r="M8262" s="74">
        <f t="shared" si="6"/>
        <v>90000</v>
      </c>
      <c r="N8262" s="74">
        <f t="shared" si="3"/>
        <v>80000</v>
      </c>
      <c r="O8262" s="65" t="str">
        <f>VLOOKUP(E8262,DATABASE!C:Q,8,false)</f>
        <v>IBU</v>
      </c>
      <c r="P8262" s="65">
        <f>VLOOKUP(E8262,DATABASE!C:Q,9,False)</f>
        <v>0</v>
      </c>
      <c r="Q8262" s="93" t="str">
        <f>VLOOKUP(E8262,DATABASE!C:Q,4,false)</f>
        <v>SERVICE</v>
      </c>
      <c r="R8262" s="93" t="str">
        <f>VLOOKUP(E8262,DATABASE!C:Q,11,false)</f>
        <v>COMPLEMENTARY</v>
      </c>
    </row>
    <row r="8263" ht="22.5" customHeight="1">
      <c r="A8263" s="49"/>
      <c r="C8263" s="400">
        <v>46137.0</v>
      </c>
      <c r="D8263" s="524">
        <v>1167.0</v>
      </c>
      <c r="E8263" s="544" t="s">
        <v>251</v>
      </c>
      <c r="F8263" s="387">
        <v>1.0</v>
      </c>
      <c r="G8263" s="140">
        <v>350000.0</v>
      </c>
      <c r="H8263" s="140">
        <v>270000.0</v>
      </c>
      <c r="I8263" s="74">
        <f t="shared" si="1"/>
        <v>80000</v>
      </c>
      <c r="J8263" s="74">
        <f>IF(E8263="SERVICE",I8263-(I8263*50%),Vlookup(E8263,DATABASE!C:Q,10,false)*F8263)</f>
        <v>40000</v>
      </c>
      <c r="K8263" s="74">
        <f>VLOOKUP(E8263,DATABASE!C:Q,7,false)</f>
        <v>0</v>
      </c>
      <c r="L8263" s="74">
        <v>0.0</v>
      </c>
      <c r="M8263" s="74">
        <f t="shared" si="6"/>
        <v>0</v>
      </c>
      <c r="N8263" s="74">
        <f t="shared" si="3"/>
        <v>40000</v>
      </c>
      <c r="O8263" s="65" t="str">
        <f>VLOOKUP(E8263,DATABASE!C:Q,8,false)</f>
        <v>IBU</v>
      </c>
      <c r="P8263" s="65">
        <f>VLOOKUP(E8263,DATABASE!C:Q,9,False)</f>
        <v>0</v>
      </c>
      <c r="Q8263" s="93" t="str">
        <f>VLOOKUP(E8263,DATABASE!C:Q,4,false)</f>
        <v>SERVICE</v>
      </c>
      <c r="R8263" s="93" t="str">
        <f>VLOOKUP(E8263,DATABASE!C:Q,11,false)</f>
        <v>SERVICE</v>
      </c>
    </row>
    <row r="8264" ht="22.5" customHeight="1">
      <c r="A8264" s="49"/>
      <c r="C8264" s="400">
        <v>46137.0</v>
      </c>
      <c r="D8264" s="69" t="s">
        <v>2789</v>
      </c>
      <c r="E8264" s="544" t="s">
        <v>252</v>
      </c>
      <c r="F8264" s="387">
        <v>1.0</v>
      </c>
      <c r="G8264" s="140">
        <v>325000.0</v>
      </c>
      <c r="H8264" s="74"/>
      <c r="I8264" s="74">
        <f t="shared" si="1"/>
        <v>325000</v>
      </c>
      <c r="J8264" s="74">
        <f>IF(E8264="SERVICE",I8264-(I8264*50%),Vlookup(E8264,DATABASE!C:Q,10,false)*F8264)</f>
        <v>0</v>
      </c>
      <c r="K8264" s="74">
        <f>VLOOKUP(E8264,DATABASE!C:Q,7,false)</f>
        <v>317518</v>
      </c>
      <c r="L8264" s="74">
        <v>275500.0</v>
      </c>
      <c r="M8264" s="74">
        <f t="shared" si="6"/>
        <v>280000</v>
      </c>
      <c r="N8264" s="74">
        <f t="shared" si="3"/>
        <v>45000</v>
      </c>
      <c r="O8264" s="65" t="str">
        <f>VLOOKUP(E8264,DATABASE!C:Q,8,false)</f>
        <v>NON</v>
      </c>
      <c r="P8264" s="65">
        <f>VLOOKUP(E8264,DATABASE!C:Q,9,False)</f>
        <v>0</v>
      </c>
      <c r="Q8264" s="93" t="str">
        <f>VLOOKUP(E8264,DATABASE!C:Q,4,false)</f>
        <v>Shell</v>
      </c>
      <c r="R8264" s="93" t="str">
        <f>VLOOKUP(E8264,DATABASE!C:Q,11,false)</f>
        <v>OIL</v>
      </c>
    </row>
    <row r="8265" ht="22.5" customHeight="1">
      <c r="A8265" s="49"/>
      <c r="C8265" s="400">
        <v>46137.0</v>
      </c>
      <c r="D8265" s="69" t="s">
        <v>2790</v>
      </c>
      <c r="E8265" s="544" t="s">
        <v>263</v>
      </c>
      <c r="F8265" s="387">
        <v>1.0</v>
      </c>
      <c r="G8265" s="140">
        <v>345000.0</v>
      </c>
      <c r="H8265" s="74"/>
      <c r="I8265" s="74">
        <f t="shared" si="1"/>
        <v>345000</v>
      </c>
      <c r="J8265" s="74">
        <f>IF(E8265="SERVICE",I8265-(I8265*50%),Vlookup(E8265,DATABASE!C:Q,10,false)*F8265)</f>
        <v>0</v>
      </c>
      <c r="K8265" s="74">
        <f>VLOOKUP(E8265,DATABASE!C:Q,7,false)</f>
        <v>334916</v>
      </c>
      <c r="L8265" s="74">
        <v>292600.0</v>
      </c>
      <c r="M8265" s="74">
        <f t="shared" si="6"/>
        <v>295000</v>
      </c>
      <c r="N8265" s="74">
        <f t="shared" si="3"/>
        <v>50000</v>
      </c>
      <c r="O8265" s="65" t="str">
        <f>VLOOKUP(E8265,DATABASE!C:Q,8,false)</f>
        <v>NON</v>
      </c>
      <c r="P8265" s="65">
        <f>VLOOKUP(E8265,DATABASE!C:Q,9,False)</f>
        <v>0</v>
      </c>
      <c r="Q8265" s="93" t="str">
        <f>VLOOKUP(E8265,DATABASE!C:Q,4,false)</f>
        <v>Shell</v>
      </c>
      <c r="R8265" s="93" t="str">
        <f>VLOOKUP(E8265,DATABASE!C:Q,11,false)</f>
        <v>OIL</v>
      </c>
    </row>
    <row r="8266" ht="22.5" customHeight="1">
      <c r="A8266" s="49"/>
      <c r="C8266" s="400">
        <v>46138.0</v>
      </c>
      <c r="D8266" s="69">
        <v>1168.0</v>
      </c>
      <c r="E8266" s="544" t="s">
        <v>955</v>
      </c>
      <c r="F8266" s="387">
        <v>1.0</v>
      </c>
      <c r="G8266" s="140">
        <v>760000.0</v>
      </c>
      <c r="H8266" s="74"/>
      <c r="I8266" s="74">
        <f t="shared" si="1"/>
        <v>760000</v>
      </c>
      <c r="J8266" s="74">
        <f>IF(E8266="SERVICE",I8266-(I8266*50%),Vlookup(E8266,DATABASE!C:Q,10,false)*F8266)</f>
        <v>0</v>
      </c>
      <c r="K8266" s="74">
        <f>VLOOKUP(E8266,DATABASE!C:Q,7,false)</f>
        <v>712000</v>
      </c>
      <c r="L8266" s="74">
        <v>660000.0</v>
      </c>
      <c r="M8266" s="74">
        <f t="shared" si="6"/>
        <v>660000</v>
      </c>
      <c r="N8266" s="74">
        <f t="shared" si="3"/>
        <v>100000</v>
      </c>
      <c r="O8266" s="65" t="str">
        <f>VLOOKUP(E8266,DATABASE!C:Q,8,false)</f>
        <v>IBU</v>
      </c>
      <c r="P8266" s="65">
        <f>VLOOKUP(E8266,DATABASE!C:Q,9,False)</f>
        <v>1</v>
      </c>
      <c r="Q8266" s="93" t="str">
        <f>VLOOKUP(E8266,DATABASE!C:Q,4,false)</f>
        <v>Dunlop</v>
      </c>
      <c r="R8266" s="93" t="str">
        <f>VLOOKUP(E8266,DATABASE!C:Q,11,false)</f>
        <v>Tire</v>
      </c>
    </row>
    <row r="8267" ht="22.5" customHeight="1">
      <c r="A8267" s="49"/>
      <c r="C8267" s="400">
        <v>46138.0</v>
      </c>
      <c r="D8267" s="69">
        <v>1169.0</v>
      </c>
      <c r="E8267" s="544" t="s">
        <v>2611</v>
      </c>
      <c r="F8267" s="387">
        <v>1.0</v>
      </c>
      <c r="G8267" s="140">
        <v>115000.0</v>
      </c>
      <c r="H8267" s="74"/>
      <c r="I8267" s="74">
        <f t="shared" si="1"/>
        <v>115000</v>
      </c>
      <c r="J8267" s="74">
        <f>IF(E8267="SERVICE",I8267-(I8267*50%),Vlookup(E8267,DATABASE!C:Q,10,false)*F8267)</f>
        <v>0</v>
      </c>
      <c r="K8267" s="74">
        <f>VLOOKUP(E8267,DATABASE!C:Q,7,false)</f>
        <v>81000</v>
      </c>
      <c r="L8267" s="74">
        <v>81000.0</v>
      </c>
      <c r="M8267" s="74">
        <f t="shared" si="6"/>
        <v>85000</v>
      </c>
      <c r="N8267" s="74">
        <f t="shared" si="3"/>
        <v>30000</v>
      </c>
      <c r="O8267" s="65" t="str">
        <f>VLOOKUP(E8267,DATABASE!C:Q,8,false)</f>
        <v>BIAN</v>
      </c>
      <c r="P8267" s="65">
        <f>VLOOKUP(E8267,DATABASE!C:Q,9,False)</f>
        <v>1</v>
      </c>
      <c r="Q8267" s="93" t="str">
        <f>VLOOKUP(E8267,DATABASE!C:Q,4,false)</f>
        <v>BD IBK</v>
      </c>
      <c r="R8267" s="93" t="str">
        <f>VLOOKUP(E8267,DATABASE!C:Q,11,false)</f>
        <v>Tire</v>
      </c>
    </row>
    <row r="8268" ht="22.5" customHeight="1">
      <c r="A8268" s="49"/>
      <c r="C8268" s="400">
        <v>46138.0</v>
      </c>
      <c r="D8268" s="69">
        <v>1170.0</v>
      </c>
      <c r="E8268" s="544" t="s">
        <v>955</v>
      </c>
      <c r="F8268" s="387">
        <v>1.0</v>
      </c>
      <c r="G8268" s="140">
        <v>760000.0</v>
      </c>
      <c r="H8268" s="74"/>
      <c r="I8268" s="74">
        <f t="shared" si="1"/>
        <v>760000</v>
      </c>
      <c r="J8268" s="74">
        <f>IF(E8268="SERVICE",I8268-(I8268*50%),Vlookup(E8268,DATABASE!C:Q,10,false)*F8268)</f>
        <v>0</v>
      </c>
      <c r="K8268" s="74">
        <f>VLOOKUP(E8268,DATABASE!C:Q,7,false)</f>
        <v>712000</v>
      </c>
      <c r="L8268" s="74">
        <v>660000.0</v>
      </c>
      <c r="M8268" s="74">
        <f t="shared" si="6"/>
        <v>660000</v>
      </c>
      <c r="N8268" s="74">
        <f t="shared" si="3"/>
        <v>100000</v>
      </c>
      <c r="O8268" s="65" t="str">
        <f>VLOOKUP(E8268,DATABASE!C:Q,8,false)</f>
        <v>IBU</v>
      </c>
      <c r="P8268" s="65">
        <f>VLOOKUP(E8268,DATABASE!C:Q,9,False)</f>
        <v>1</v>
      </c>
      <c r="Q8268" s="93" t="str">
        <f>VLOOKUP(E8268,DATABASE!C:Q,4,false)</f>
        <v>Dunlop</v>
      </c>
      <c r="R8268" s="93" t="str">
        <f>VLOOKUP(E8268,DATABASE!C:Q,11,false)</f>
        <v>Tire</v>
      </c>
    </row>
    <row r="8269" ht="22.5" customHeight="1">
      <c r="A8269" s="49"/>
      <c r="C8269" s="400">
        <v>46138.0</v>
      </c>
      <c r="D8269" s="69">
        <v>1171.0</v>
      </c>
      <c r="E8269" s="544" t="s">
        <v>256</v>
      </c>
      <c r="F8269" s="387">
        <v>1.0</v>
      </c>
      <c r="G8269" s="140">
        <v>150000.0</v>
      </c>
      <c r="H8269" s="74"/>
      <c r="I8269" s="74">
        <f t="shared" si="1"/>
        <v>150000</v>
      </c>
      <c r="J8269" s="74">
        <f>IF(E8269="SERVICE",I8269-(I8269*50%),Vlookup(E8269,DATABASE!C:Q,10,false)*F8269)</f>
        <v>10000</v>
      </c>
      <c r="K8269" s="74">
        <f>VLOOKUP(E8269,DATABASE!C:Q,7,false)</f>
        <v>0</v>
      </c>
      <c r="L8269" s="74">
        <v>0.0</v>
      </c>
      <c r="M8269" s="74">
        <f t="shared" si="6"/>
        <v>0</v>
      </c>
      <c r="N8269" s="74">
        <f t="shared" si="3"/>
        <v>140000</v>
      </c>
      <c r="O8269" s="65" t="str">
        <f>VLOOKUP(E8269,DATABASE!C:Q,8,false)</f>
        <v>IBU</v>
      </c>
      <c r="P8269" s="65">
        <f>VLOOKUP(E8269,DATABASE!C:Q,9,False)</f>
        <v>0</v>
      </c>
      <c r="Q8269" s="93" t="str">
        <f>VLOOKUP(E8269,DATABASE!C:Q,4,false)</f>
        <v>SPOORING</v>
      </c>
      <c r="R8269" s="93" t="str">
        <f>VLOOKUP(E8269,DATABASE!C:Q,11,false)</f>
        <v>SERVICE</v>
      </c>
    </row>
    <row r="8270" ht="22.5" customHeight="1">
      <c r="A8270" s="49"/>
      <c r="C8270" s="400">
        <v>46138.0</v>
      </c>
      <c r="D8270" s="69">
        <v>1172.0</v>
      </c>
      <c r="E8270" s="544" t="s">
        <v>256</v>
      </c>
      <c r="F8270" s="387">
        <v>1.0</v>
      </c>
      <c r="G8270" s="140">
        <v>150000.0</v>
      </c>
      <c r="H8270" s="74"/>
      <c r="I8270" s="74">
        <f t="shared" si="1"/>
        <v>150000</v>
      </c>
      <c r="J8270" s="74">
        <f>IF(E8270="SERVICE",I8270-(I8270*50%),Vlookup(E8270,DATABASE!C:Q,10,false)*F8270)</f>
        <v>10000</v>
      </c>
      <c r="K8270" s="74">
        <f>VLOOKUP(E8270,DATABASE!C:Q,7,false)</f>
        <v>0</v>
      </c>
      <c r="L8270" s="74">
        <v>0.0</v>
      </c>
      <c r="M8270" s="74">
        <f t="shared" si="6"/>
        <v>0</v>
      </c>
      <c r="N8270" s="74">
        <f t="shared" si="3"/>
        <v>140000</v>
      </c>
      <c r="O8270" s="65" t="str">
        <f>VLOOKUP(E8270,DATABASE!C:Q,8,false)</f>
        <v>IBU</v>
      </c>
      <c r="P8270" s="65">
        <f>VLOOKUP(E8270,DATABASE!C:Q,9,False)</f>
        <v>0</v>
      </c>
      <c r="Q8270" s="93" t="str">
        <f>VLOOKUP(E8270,DATABASE!C:Q,4,false)</f>
        <v>SPOORING</v>
      </c>
      <c r="R8270" s="93" t="str">
        <f>VLOOKUP(E8270,DATABASE!C:Q,11,false)</f>
        <v>SERVICE</v>
      </c>
    </row>
    <row r="8271" ht="22.5" customHeight="1">
      <c r="A8271" s="49"/>
      <c r="C8271" s="400">
        <v>46138.0</v>
      </c>
      <c r="D8271" s="69">
        <v>1172.0</v>
      </c>
      <c r="E8271" s="544" t="s">
        <v>301</v>
      </c>
      <c r="F8271" s="387">
        <v>1.0</v>
      </c>
      <c r="G8271" s="140">
        <v>250000.0</v>
      </c>
      <c r="H8271" s="74"/>
      <c r="I8271" s="74">
        <f t="shared" si="1"/>
        <v>250000</v>
      </c>
      <c r="J8271" s="74">
        <f>IF(E8271="SERVICE",I8271-(I8271*50%),Vlookup(E8271,DATABASE!C:Q,10,false)*F8271)</f>
        <v>75000</v>
      </c>
      <c r="K8271" s="74">
        <f>VLOOKUP(E8271,DATABASE!C:Q,7,false)</f>
        <v>75000</v>
      </c>
      <c r="L8271" s="74">
        <v>75000.0</v>
      </c>
      <c r="M8271" s="74">
        <f t="shared" si="6"/>
        <v>75000</v>
      </c>
      <c r="N8271" s="74">
        <f t="shared" si="3"/>
        <v>100000</v>
      </c>
      <c r="O8271" s="65" t="str">
        <f>VLOOKUP(E8271,DATABASE!C:Q,8,false)</f>
        <v>BIAN</v>
      </c>
      <c r="P8271" s="65">
        <f>VLOOKUP(E8271,DATABASE!C:Q,9,False)</f>
        <v>0</v>
      </c>
      <c r="Q8271" s="93" t="str">
        <f>VLOOKUP(E8271,DATABASE!C:Q,4,false)</f>
        <v>Baut Camber</v>
      </c>
      <c r="R8271" s="93" t="str">
        <f>VLOOKUP(E8271,DATABASE!C:Q,11,false)</f>
        <v>COMPLEMENTARY</v>
      </c>
    </row>
    <row r="8272" ht="22.5" customHeight="1">
      <c r="A8272" s="49"/>
      <c r="C8272" s="400">
        <v>46138.0</v>
      </c>
      <c r="D8272" s="69">
        <v>1173.0</v>
      </c>
      <c r="E8272" s="544" t="s">
        <v>265</v>
      </c>
      <c r="F8272" s="387">
        <v>2.0</v>
      </c>
      <c r="G8272" s="140">
        <v>695000.0</v>
      </c>
      <c r="H8272" s="74"/>
      <c r="I8272" s="74">
        <f t="shared" si="1"/>
        <v>1390000</v>
      </c>
      <c r="J8272" s="74">
        <f>IF(E8272="SERVICE",I8272-(I8272*50%),Vlookup(E8272,DATABASE!C:Q,10,false)*F8272)</f>
        <v>0</v>
      </c>
      <c r="K8272" s="74">
        <f>VLOOKUP(E8272,DATABASE!C:Q,7,false)</f>
        <v>628000</v>
      </c>
      <c r="L8272" s="74">
        <v>610000.0</v>
      </c>
      <c r="M8272" s="74">
        <f t="shared" si="6"/>
        <v>610000</v>
      </c>
      <c r="N8272" s="74">
        <f t="shared" si="3"/>
        <v>170000</v>
      </c>
      <c r="O8272" s="65" t="str">
        <f>VLOOKUP(E8272,DATABASE!C:Q,8,false)</f>
        <v>IBU</v>
      </c>
      <c r="P8272" s="65">
        <f>VLOOKUP(E8272,DATABASE!C:Q,9,False)</f>
        <v>1</v>
      </c>
      <c r="Q8272" s="93" t="str">
        <f>VLOOKUP(E8272,DATABASE!C:Q,4,false)</f>
        <v>Dunlop</v>
      </c>
      <c r="R8272" s="93" t="str">
        <f>VLOOKUP(E8272,DATABASE!C:Q,11,false)</f>
        <v>Tire</v>
      </c>
    </row>
    <row r="8273" ht="22.5" customHeight="1">
      <c r="A8273" s="49"/>
      <c r="C8273" s="400">
        <v>46138.0</v>
      </c>
      <c r="D8273" s="69">
        <v>1174.0</v>
      </c>
      <c r="E8273" s="544" t="s">
        <v>955</v>
      </c>
      <c r="F8273" s="387">
        <v>2.0</v>
      </c>
      <c r="G8273" s="140">
        <v>760000.0</v>
      </c>
      <c r="H8273" s="74"/>
      <c r="I8273" s="74">
        <f t="shared" si="1"/>
        <v>1520000</v>
      </c>
      <c r="J8273" s="74">
        <f>IF(E8273="SERVICE",I8273-(I8273*50%),Vlookup(E8273,DATABASE!C:Q,10,false)*F8273)</f>
        <v>0</v>
      </c>
      <c r="K8273" s="74">
        <f>VLOOKUP(E8273,DATABASE!C:Q,7,false)</f>
        <v>712000</v>
      </c>
      <c r="L8273" s="74">
        <v>660000.0</v>
      </c>
      <c r="M8273" s="74">
        <f t="shared" si="6"/>
        <v>660000</v>
      </c>
      <c r="N8273" s="74">
        <f t="shared" si="3"/>
        <v>200000</v>
      </c>
      <c r="O8273" s="65" t="str">
        <f>VLOOKUP(E8273,DATABASE!C:Q,8,false)</f>
        <v>IBU</v>
      </c>
      <c r="P8273" s="65">
        <f>VLOOKUP(E8273,DATABASE!C:Q,9,False)</f>
        <v>1</v>
      </c>
      <c r="Q8273" s="93" t="str">
        <f>VLOOKUP(E8273,DATABASE!C:Q,4,false)</f>
        <v>Dunlop</v>
      </c>
      <c r="R8273" s="93" t="str">
        <f>VLOOKUP(E8273,DATABASE!C:Q,11,false)</f>
        <v>Tire</v>
      </c>
    </row>
    <row r="8274" ht="22.5" customHeight="1">
      <c r="A8274" s="49"/>
      <c r="C8274" s="400">
        <v>46139.0</v>
      </c>
      <c r="D8274" s="524">
        <v>1175.0</v>
      </c>
      <c r="E8274" s="544" t="s">
        <v>275</v>
      </c>
      <c r="F8274" s="387">
        <v>1.0</v>
      </c>
      <c r="G8274" s="140">
        <v>830000.0</v>
      </c>
      <c r="H8274" s="74"/>
      <c r="I8274" s="74">
        <f t="shared" si="1"/>
        <v>830000</v>
      </c>
      <c r="J8274" s="74">
        <f>IF(E8274="SERVICE",I8274-(I8274*50%),Vlookup(E8274,DATABASE!C:Q,10,false)*F8274)</f>
        <v>0</v>
      </c>
      <c r="K8274" s="74">
        <f>VLOOKUP(E8274,DATABASE!C:Q,7,false)</f>
        <v>782000</v>
      </c>
      <c r="L8274" s="74">
        <v>745000.0</v>
      </c>
      <c r="M8274" s="74">
        <f t="shared" si="6"/>
        <v>745000</v>
      </c>
      <c r="N8274" s="74">
        <f t="shared" si="3"/>
        <v>85000</v>
      </c>
      <c r="O8274" s="65" t="str">
        <f>VLOOKUP(E8274,DATABASE!C:Q,8,false)</f>
        <v>IBU</v>
      </c>
      <c r="P8274" s="65">
        <f>VLOOKUP(E8274,DATABASE!C:Q,9,False)</f>
        <v>1</v>
      </c>
      <c r="Q8274" s="93" t="str">
        <f>VLOOKUP(E8274,DATABASE!C:Q,4,false)</f>
        <v>Dunlop</v>
      </c>
      <c r="R8274" s="93" t="str">
        <f>VLOOKUP(E8274,DATABASE!C:Q,11,false)</f>
        <v>Tire</v>
      </c>
    </row>
    <row r="8275" ht="22.5" customHeight="1">
      <c r="A8275" s="49"/>
      <c r="C8275" s="400">
        <v>46139.0</v>
      </c>
      <c r="D8275" s="524">
        <v>1176.0</v>
      </c>
      <c r="E8275" s="544" t="s">
        <v>256</v>
      </c>
      <c r="F8275" s="387">
        <v>1.0</v>
      </c>
      <c r="G8275" s="140">
        <v>175000.0</v>
      </c>
      <c r="H8275" s="140">
        <v>25000.0</v>
      </c>
      <c r="I8275" s="74">
        <f t="shared" si="1"/>
        <v>150000</v>
      </c>
      <c r="J8275" s="74">
        <f>IF(E8275="SERVICE",I8275-(I8275*50%),Vlookup(E8275,DATABASE!C:Q,10,false)*F8275)</f>
        <v>10000</v>
      </c>
      <c r="K8275" s="74">
        <f>VLOOKUP(E8275,DATABASE!C:Q,7,false)</f>
        <v>0</v>
      </c>
      <c r="L8275" s="74">
        <v>0.0</v>
      </c>
      <c r="M8275" s="74">
        <f t="shared" si="6"/>
        <v>0</v>
      </c>
      <c r="N8275" s="74">
        <f t="shared" si="3"/>
        <v>140000</v>
      </c>
      <c r="O8275" s="65" t="str">
        <f>VLOOKUP(E8275,DATABASE!C:Q,8,false)</f>
        <v>IBU</v>
      </c>
      <c r="P8275" s="65">
        <f>VLOOKUP(E8275,DATABASE!C:Q,9,False)</f>
        <v>0</v>
      </c>
      <c r="Q8275" s="93" t="str">
        <f>VLOOKUP(E8275,DATABASE!C:Q,4,false)</f>
        <v>SPOORING</v>
      </c>
      <c r="R8275" s="93" t="str">
        <f>VLOOKUP(E8275,DATABASE!C:Q,11,false)</f>
        <v>SERVICE</v>
      </c>
    </row>
    <row r="8276" ht="22.5" customHeight="1">
      <c r="A8276" s="49"/>
      <c r="C8276" s="400">
        <v>46139.0</v>
      </c>
      <c r="D8276" s="524">
        <v>1176.0</v>
      </c>
      <c r="E8276" s="544" t="s">
        <v>301</v>
      </c>
      <c r="F8276" s="387">
        <v>1.0</v>
      </c>
      <c r="G8276" s="140">
        <v>250000.0</v>
      </c>
      <c r="H8276" s="74"/>
      <c r="I8276" s="74">
        <f t="shared" si="1"/>
        <v>250000</v>
      </c>
      <c r="J8276" s="74">
        <f>IF(E8276="SERVICE",I8276-(I8276*50%),Vlookup(E8276,DATABASE!C:Q,10,false)*F8276)</f>
        <v>75000</v>
      </c>
      <c r="K8276" s="74">
        <f>VLOOKUP(E8276,DATABASE!C:Q,7,false)</f>
        <v>75000</v>
      </c>
      <c r="L8276" s="74">
        <v>75000.0</v>
      </c>
      <c r="M8276" s="74">
        <f t="shared" si="6"/>
        <v>75000</v>
      </c>
      <c r="N8276" s="74">
        <f t="shared" si="3"/>
        <v>100000</v>
      </c>
      <c r="O8276" s="65" t="str">
        <f>VLOOKUP(E8276,DATABASE!C:Q,8,false)</f>
        <v>BIAN</v>
      </c>
      <c r="P8276" s="65">
        <f>VLOOKUP(E8276,DATABASE!C:Q,9,False)</f>
        <v>0</v>
      </c>
      <c r="Q8276" s="93" t="str">
        <f>VLOOKUP(E8276,DATABASE!C:Q,4,false)</f>
        <v>Baut Camber</v>
      </c>
      <c r="R8276" s="93" t="str">
        <f>VLOOKUP(E8276,DATABASE!C:Q,11,false)</f>
        <v>COMPLEMENTARY</v>
      </c>
    </row>
    <row r="8277" ht="22.5" customHeight="1">
      <c r="A8277" s="49"/>
      <c r="C8277" s="400">
        <v>46139.0</v>
      </c>
      <c r="D8277" s="524">
        <v>1177.0</v>
      </c>
      <c r="E8277" s="544" t="s">
        <v>265</v>
      </c>
      <c r="F8277" s="387">
        <v>1.0</v>
      </c>
      <c r="G8277" s="140">
        <v>700000.0</v>
      </c>
      <c r="H8277" s="74"/>
      <c r="I8277" s="74">
        <f t="shared" si="1"/>
        <v>700000</v>
      </c>
      <c r="J8277" s="74">
        <f>IF(E8277="SERVICE",I8277-(I8277*50%),Vlookup(E8277,DATABASE!C:Q,10,false)*F8277)</f>
        <v>0</v>
      </c>
      <c r="K8277" s="74">
        <f>VLOOKUP(E8277,DATABASE!C:Q,7,false)</f>
        <v>628000</v>
      </c>
      <c r="L8277" s="74">
        <v>610000.0</v>
      </c>
      <c r="M8277" s="74">
        <f t="shared" si="6"/>
        <v>610000</v>
      </c>
      <c r="N8277" s="74">
        <f t="shared" si="3"/>
        <v>90000</v>
      </c>
      <c r="O8277" s="65" t="str">
        <f>VLOOKUP(E8277,DATABASE!C:Q,8,false)</f>
        <v>IBU</v>
      </c>
      <c r="P8277" s="65">
        <f>VLOOKUP(E8277,DATABASE!C:Q,9,False)</f>
        <v>1</v>
      </c>
      <c r="Q8277" s="93" t="str">
        <f>VLOOKUP(E8277,DATABASE!C:Q,4,false)</f>
        <v>Dunlop</v>
      </c>
      <c r="R8277" s="93" t="str">
        <f>VLOOKUP(E8277,DATABASE!C:Q,11,false)</f>
        <v>Tire</v>
      </c>
    </row>
    <row r="8278" ht="22.5" customHeight="1">
      <c r="A8278" s="49"/>
      <c r="C8278" s="400">
        <v>46139.0</v>
      </c>
      <c r="D8278" s="524">
        <v>1178.0</v>
      </c>
      <c r="E8278" s="544" t="s">
        <v>932</v>
      </c>
      <c r="F8278" s="387">
        <v>2.0</v>
      </c>
      <c r="G8278" s="140">
        <v>690000.0</v>
      </c>
      <c r="H8278" s="74"/>
      <c r="I8278" s="74">
        <f t="shared" si="1"/>
        <v>1380000</v>
      </c>
      <c r="J8278" s="74">
        <f>IF(E8278="SERVICE",I8278-(I8278*50%),Vlookup(E8278,DATABASE!C:Q,10,false)*F8278)</f>
        <v>0</v>
      </c>
      <c r="K8278" s="74">
        <f>VLOOKUP(E8278,DATABASE!C:Q,7,false)</f>
        <v>601000</v>
      </c>
      <c r="L8278" s="74">
        <v>601000.0</v>
      </c>
      <c r="M8278" s="74">
        <f t="shared" si="6"/>
        <v>605000</v>
      </c>
      <c r="N8278" s="74">
        <f t="shared" si="3"/>
        <v>170000</v>
      </c>
      <c r="O8278" s="65" t="str">
        <f>VLOOKUP(E8278,DATABASE!C:Q,8,false)</f>
        <v>IBU</v>
      </c>
      <c r="P8278" s="65">
        <f>VLOOKUP(E8278,DATABASE!C:Q,9,False)</f>
        <v>1</v>
      </c>
      <c r="Q8278" s="93" t="str">
        <f>VLOOKUP(E8278,DATABASE!C:Q,4,false)</f>
        <v>Dunlop</v>
      </c>
      <c r="R8278" s="93" t="str">
        <f>VLOOKUP(E8278,DATABASE!C:Q,11,false)</f>
        <v>Tire</v>
      </c>
    </row>
    <row r="8279" ht="22.5" customHeight="1">
      <c r="A8279" s="49"/>
      <c r="C8279" s="400">
        <v>46139.0</v>
      </c>
      <c r="D8279" s="524">
        <v>1179.0</v>
      </c>
      <c r="E8279" s="544" t="s">
        <v>791</v>
      </c>
      <c r="F8279" s="387">
        <v>2.0</v>
      </c>
      <c r="G8279" s="140">
        <v>1280000.0</v>
      </c>
      <c r="H8279" s="74"/>
      <c r="I8279" s="74">
        <f t="shared" si="1"/>
        <v>2560000</v>
      </c>
      <c r="J8279" s="74">
        <f>IF(E8279="SERVICE",I8279-(I8279*50%),Vlookup(E8279,DATABASE!C:Q,10,false)*F8279)</f>
        <v>0</v>
      </c>
      <c r="K8279" s="74">
        <f>VLOOKUP(E8279,DATABASE!C:Q,7,false)</f>
        <v>1210000</v>
      </c>
      <c r="L8279" s="74">
        <v>1180000.0</v>
      </c>
      <c r="M8279" s="74">
        <f t="shared" si="6"/>
        <v>1180000</v>
      </c>
      <c r="N8279" s="74">
        <f t="shared" si="3"/>
        <v>200000</v>
      </c>
      <c r="O8279" s="65" t="str">
        <f>VLOOKUP(E8279,DATABASE!C:Q,8,false)</f>
        <v>BIAN</v>
      </c>
      <c r="P8279" s="65">
        <f>VLOOKUP(E8279,DATABASE!C:Q,9,False)</f>
        <v>1</v>
      </c>
      <c r="Q8279" s="93" t="str">
        <f>VLOOKUP(E8279,DATABASE!C:Q,4,false)</f>
        <v>GT</v>
      </c>
      <c r="R8279" s="93" t="str">
        <f>VLOOKUP(E8279,DATABASE!C:Q,11,false)</f>
        <v>Tire</v>
      </c>
    </row>
    <row r="8280" ht="22.5" customHeight="1">
      <c r="A8280" s="49"/>
      <c r="C8280" s="400">
        <v>46139.0</v>
      </c>
      <c r="D8280" s="524">
        <v>1179.0</v>
      </c>
      <c r="E8280" s="544" t="s">
        <v>255</v>
      </c>
      <c r="F8280" s="387">
        <v>2.0</v>
      </c>
      <c r="G8280" s="140">
        <v>200000.0</v>
      </c>
      <c r="H8280" s="74"/>
      <c r="I8280" s="74">
        <f t="shared" si="1"/>
        <v>400000</v>
      </c>
      <c r="J8280" s="74">
        <f>IF(E8280="SERVICE",I8280-(I8280*50%),Vlookup(E8280,DATABASE!C:Q,10,false)*F8280)</f>
        <v>0</v>
      </c>
      <c r="K8280" s="74">
        <f>VLOOKUP(E8280,DATABASE!C:Q,7,false)</f>
        <v>161840</v>
      </c>
      <c r="L8280" s="74">
        <v>161840.0</v>
      </c>
      <c r="M8280" s="74">
        <f t="shared" si="6"/>
        <v>165000</v>
      </c>
      <c r="N8280" s="74">
        <f t="shared" si="3"/>
        <v>70000</v>
      </c>
      <c r="O8280" s="65" t="str">
        <f>VLOOKUP(E8280,DATABASE!C:Q,8,false)</f>
        <v>BIAN</v>
      </c>
      <c r="P8280" s="65">
        <f>VLOOKUP(E8280,DATABASE!C:Q,9,False)</f>
        <v>1</v>
      </c>
      <c r="Q8280" s="93" t="str">
        <f>VLOOKUP(E8280,DATABASE!C:Q,4,false)</f>
        <v>BD</v>
      </c>
      <c r="R8280" s="93" t="str">
        <f>VLOOKUP(E8280,DATABASE!C:Q,11,false)</f>
        <v>Tire</v>
      </c>
    </row>
    <row r="8281" ht="22.5" customHeight="1">
      <c r="A8281" s="49"/>
      <c r="C8281" s="400">
        <v>46139.0</v>
      </c>
      <c r="D8281" s="69">
        <v>1179.0</v>
      </c>
      <c r="E8281" s="544" t="s">
        <v>814</v>
      </c>
      <c r="F8281" s="387">
        <v>2.0</v>
      </c>
      <c r="G8281" s="140">
        <v>70000.0</v>
      </c>
      <c r="H8281" s="74"/>
      <c r="I8281" s="74">
        <f t="shared" si="1"/>
        <v>140000</v>
      </c>
      <c r="J8281" s="74">
        <f>IF(E8281="SERVICE",I8281-(I8281*50%),Vlookup(E8281,DATABASE!C:Q,10,false)*F8281)</f>
        <v>0</v>
      </c>
      <c r="K8281" s="74">
        <f>VLOOKUP(E8281,DATABASE!C:Q,7,false)</f>
        <v>39440</v>
      </c>
      <c r="L8281" s="74">
        <v>39440.0</v>
      </c>
      <c r="M8281" s="74">
        <f t="shared" si="6"/>
        <v>40000</v>
      </c>
      <c r="N8281" s="74">
        <f t="shared" si="3"/>
        <v>60000</v>
      </c>
      <c r="O8281" s="65" t="str">
        <f>VLOOKUP(E8281,DATABASE!C:Q,8,false)</f>
        <v>BIAN</v>
      </c>
      <c r="P8281" s="65">
        <f>VLOOKUP(E8281,DATABASE!C:Q,9,False)</f>
        <v>1</v>
      </c>
      <c r="Q8281" s="93" t="str">
        <f>VLOOKUP(E8281,DATABASE!C:Q,4,false)</f>
        <v>Flap</v>
      </c>
      <c r="R8281" s="93" t="str">
        <f>VLOOKUP(E8281,DATABASE!C:Q,11,false)</f>
        <v>Tire</v>
      </c>
    </row>
    <row r="8282" ht="22.5" customHeight="1">
      <c r="A8282" s="49"/>
      <c r="C8282" s="400">
        <v>46139.0</v>
      </c>
      <c r="D8282" s="524">
        <v>1180.0</v>
      </c>
      <c r="E8282" s="544" t="s">
        <v>1377</v>
      </c>
      <c r="F8282" s="387">
        <v>2.0</v>
      </c>
      <c r="G8282" s="140">
        <v>950000.0</v>
      </c>
      <c r="H8282" s="74"/>
      <c r="I8282" s="74">
        <f t="shared" si="1"/>
        <v>1900000</v>
      </c>
      <c r="J8282" s="74">
        <f>IF(E8282="SERVICE",I8282-(I8282*50%),Vlookup(E8282,DATABASE!C:Q,10,false)*F8282)</f>
        <v>0</v>
      </c>
      <c r="K8282" s="74">
        <f>VLOOKUP(E8282,DATABASE!C:Q,7,false)</f>
        <v>844000</v>
      </c>
      <c r="L8282" s="74">
        <v>844000.0</v>
      </c>
      <c r="M8282" s="74">
        <f t="shared" si="6"/>
        <v>845000</v>
      </c>
      <c r="N8282" s="74">
        <f t="shared" si="3"/>
        <v>210000</v>
      </c>
      <c r="O8282" s="65" t="str">
        <f>VLOOKUP(E8282,DATABASE!C:Q,8,false)</f>
        <v>IBU</v>
      </c>
      <c r="P8282" s="65">
        <f>VLOOKUP(E8282,DATABASE!C:Q,9,False)</f>
        <v>1</v>
      </c>
      <c r="Q8282" s="93" t="str">
        <f>VLOOKUP(E8282,DATABASE!C:Q,4,false)</f>
        <v>Dunlop</v>
      </c>
      <c r="R8282" s="93" t="str">
        <f>VLOOKUP(E8282,DATABASE!C:Q,11,false)</f>
        <v>Tire</v>
      </c>
    </row>
    <row r="8283" ht="22.5" customHeight="1">
      <c r="A8283" s="49"/>
      <c r="C8283" s="400">
        <v>46139.0</v>
      </c>
      <c r="D8283" s="524">
        <v>1181.0</v>
      </c>
      <c r="E8283" s="544" t="s">
        <v>1862</v>
      </c>
      <c r="F8283" s="387">
        <v>2.0</v>
      </c>
      <c r="G8283" s="140">
        <v>2150000.0</v>
      </c>
      <c r="H8283" s="74"/>
      <c r="I8283" s="74">
        <f t="shared" si="1"/>
        <v>4300000</v>
      </c>
      <c r="J8283" s="74">
        <f>IF(E8283="SERVICE",I8283-(I8283*50%),Vlookup(E8283,DATABASE!C:Q,10,false)*F8283)</f>
        <v>0</v>
      </c>
      <c r="K8283" s="74">
        <f>VLOOKUP(E8283,DATABASE!C:Q,7,false)</f>
        <v>2080000</v>
      </c>
      <c r="L8283" s="74">
        <v>2050000.0</v>
      </c>
      <c r="M8283" s="74">
        <f t="shared" si="6"/>
        <v>2050000</v>
      </c>
      <c r="N8283" s="74">
        <f t="shared" si="3"/>
        <v>200000</v>
      </c>
      <c r="O8283" s="65" t="str">
        <f>VLOOKUP(E8283,DATABASE!C:Q,8,false)</f>
        <v>BIAN</v>
      </c>
      <c r="P8283" s="65">
        <f>VLOOKUP(E8283,DATABASE!C:Q,9,False)</f>
        <v>1</v>
      </c>
      <c r="Q8283" s="93" t="str">
        <f>VLOOKUP(E8283,DATABASE!C:Q,4,false)</f>
        <v>GiTi</v>
      </c>
      <c r="R8283" s="93" t="str">
        <f>VLOOKUP(E8283,DATABASE!C:Q,11,false)</f>
        <v>Tire</v>
      </c>
    </row>
    <row r="8284" ht="22.5" customHeight="1">
      <c r="A8284" s="49"/>
      <c r="C8284" s="400">
        <v>46139.0</v>
      </c>
      <c r="D8284" s="524">
        <v>1182.0</v>
      </c>
      <c r="E8284" s="544" t="s">
        <v>268</v>
      </c>
      <c r="F8284" s="387">
        <v>1.0</v>
      </c>
      <c r="G8284" s="140">
        <v>720000.0</v>
      </c>
      <c r="H8284" s="74"/>
      <c r="I8284" s="74">
        <f t="shared" si="1"/>
        <v>720000</v>
      </c>
      <c r="J8284" s="74">
        <f>IF(E8284="SERVICE",I8284-(I8284*50%),Vlookup(E8284,DATABASE!C:Q,10,false)*F8284)</f>
        <v>0</v>
      </c>
      <c r="K8284" s="74">
        <f>VLOOKUP(E8284,DATABASE!C:Q,7,false)</f>
        <v>653000</v>
      </c>
      <c r="L8284" s="74">
        <v>634500.0</v>
      </c>
      <c r="M8284" s="74">
        <f t="shared" si="6"/>
        <v>635000</v>
      </c>
      <c r="N8284" s="74">
        <f t="shared" si="3"/>
        <v>85000</v>
      </c>
      <c r="O8284" s="65" t="str">
        <f>VLOOKUP(E8284,DATABASE!C:Q,8,false)</f>
        <v>IBU</v>
      </c>
      <c r="P8284" s="65">
        <f>VLOOKUP(E8284,DATABASE!C:Q,9,False)</f>
        <v>1</v>
      </c>
      <c r="Q8284" s="93" t="str">
        <f>VLOOKUP(E8284,DATABASE!C:Q,4,false)</f>
        <v>Dunlop</v>
      </c>
      <c r="R8284" s="93" t="str">
        <f>VLOOKUP(E8284,DATABASE!C:Q,11,false)</f>
        <v>Tire</v>
      </c>
    </row>
    <row r="8285" ht="22.5" customHeight="1">
      <c r="A8285" s="49"/>
      <c r="C8285" s="400">
        <v>46139.0</v>
      </c>
      <c r="D8285" s="524">
        <v>1183.0</v>
      </c>
      <c r="E8285" s="544" t="s">
        <v>777</v>
      </c>
      <c r="F8285" s="387">
        <v>2.0</v>
      </c>
      <c r="G8285" s="140">
        <v>600000.0</v>
      </c>
      <c r="H8285" s="74"/>
      <c r="I8285" s="74">
        <f t="shared" si="1"/>
        <v>1200000</v>
      </c>
      <c r="J8285" s="74">
        <f>IF(E8285="SERVICE",I8285-(I8285*50%),Vlookup(E8285,DATABASE!C:Q,10,false)*F8285)</f>
        <v>0</v>
      </c>
      <c r="K8285" s="74">
        <f>VLOOKUP(E8285,DATABASE!C:Q,7,false)</f>
        <v>540000</v>
      </c>
      <c r="L8285" s="74">
        <v>505000.0</v>
      </c>
      <c r="M8285" s="74">
        <f t="shared" si="6"/>
        <v>505000</v>
      </c>
      <c r="N8285" s="74">
        <f t="shared" si="3"/>
        <v>190000</v>
      </c>
      <c r="O8285" s="65" t="str">
        <f>VLOOKUP(E8285,DATABASE!C:Q,8,false)</f>
        <v>BIAN</v>
      </c>
      <c r="P8285" s="65">
        <f>VLOOKUP(E8285,DATABASE!C:Q,9,False)</f>
        <v>1</v>
      </c>
      <c r="Q8285" s="93" t="str">
        <f>VLOOKUP(E8285,DATABASE!C:Q,4,false)</f>
        <v>GT</v>
      </c>
      <c r="R8285" s="93" t="str">
        <f>VLOOKUP(E8285,DATABASE!C:Q,11,false)</f>
        <v>Tire</v>
      </c>
    </row>
    <row r="8286" ht="22.5" customHeight="1">
      <c r="A8286" s="49"/>
      <c r="C8286" s="400">
        <v>46139.0</v>
      </c>
      <c r="D8286" s="524">
        <v>1184.0</v>
      </c>
      <c r="E8286" s="544" t="s">
        <v>268</v>
      </c>
      <c r="F8286" s="387">
        <v>1.0</v>
      </c>
      <c r="G8286" s="140">
        <v>720000.0</v>
      </c>
      <c r="H8286" s="74"/>
      <c r="I8286" s="74">
        <f t="shared" si="1"/>
        <v>720000</v>
      </c>
      <c r="J8286" s="74">
        <f>IF(E8286="SERVICE",I8286-(I8286*50%),Vlookup(E8286,DATABASE!C:Q,10,false)*F8286)</f>
        <v>0</v>
      </c>
      <c r="K8286" s="74">
        <f>VLOOKUP(E8286,DATABASE!C:Q,7,false)</f>
        <v>653000</v>
      </c>
      <c r="L8286" s="74">
        <v>634500.0</v>
      </c>
      <c r="M8286" s="74">
        <f t="shared" si="6"/>
        <v>635000</v>
      </c>
      <c r="N8286" s="74">
        <f t="shared" si="3"/>
        <v>85000</v>
      </c>
      <c r="O8286" s="65" t="str">
        <f>VLOOKUP(E8286,DATABASE!C:Q,8,false)</f>
        <v>IBU</v>
      </c>
      <c r="P8286" s="65">
        <f>VLOOKUP(E8286,DATABASE!C:Q,9,False)</f>
        <v>1</v>
      </c>
      <c r="Q8286" s="93" t="str">
        <f>VLOOKUP(E8286,DATABASE!C:Q,4,false)</f>
        <v>Dunlop</v>
      </c>
      <c r="R8286" s="93" t="str">
        <f>VLOOKUP(E8286,DATABASE!C:Q,11,false)</f>
        <v>Tire</v>
      </c>
    </row>
    <row r="8287" ht="22.5" customHeight="1">
      <c r="A8287" s="49"/>
      <c r="C8287" s="400">
        <v>46139.0</v>
      </c>
      <c r="D8287" s="524">
        <v>1186.0</v>
      </c>
      <c r="E8287" s="544" t="s">
        <v>268</v>
      </c>
      <c r="F8287" s="387">
        <v>2.0</v>
      </c>
      <c r="G8287" s="140">
        <v>720000.0</v>
      </c>
      <c r="H8287" s="74"/>
      <c r="I8287" s="74">
        <f t="shared" si="1"/>
        <v>1440000</v>
      </c>
      <c r="J8287" s="74">
        <f>IF(E8287="SERVICE",I8287-(I8287*50%),Vlookup(E8287,DATABASE!C:Q,10,false)*F8287)</f>
        <v>0</v>
      </c>
      <c r="K8287" s="74">
        <f>VLOOKUP(E8287,DATABASE!C:Q,7,false)</f>
        <v>653000</v>
      </c>
      <c r="L8287" s="74">
        <v>634500.0</v>
      </c>
      <c r="M8287" s="74">
        <f t="shared" si="6"/>
        <v>635000</v>
      </c>
      <c r="N8287" s="74">
        <f t="shared" si="3"/>
        <v>170000</v>
      </c>
      <c r="O8287" s="65" t="str">
        <f>VLOOKUP(E8287,DATABASE!C:Q,8,false)</f>
        <v>IBU</v>
      </c>
      <c r="P8287" s="65">
        <f>VLOOKUP(E8287,DATABASE!C:Q,9,False)</f>
        <v>1</v>
      </c>
      <c r="Q8287" s="93" t="str">
        <f>VLOOKUP(E8287,DATABASE!C:Q,4,false)</f>
        <v>Dunlop</v>
      </c>
      <c r="R8287" s="93" t="str">
        <f>VLOOKUP(E8287,DATABASE!C:Q,11,false)</f>
        <v>Tire</v>
      </c>
    </row>
    <row r="8288" ht="22.5" customHeight="1">
      <c r="A8288" s="49"/>
      <c r="C8288" s="400">
        <v>46139.0</v>
      </c>
      <c r="D8288" s="524">
        <v>1187.0</v>
      </c>
      <c r="E8288" s="544" t="s">
        <v>299</v>
      </c>
      <c r="F8288" s="387">
        <v>2.0</v>
      </c>
      <c r="G8288" s="140">
        <v>30000.0</v>
      </c>
      <c r="H8288" s="74"/>
      <c r="I8288" s="74">
        <f t="shared" si="1"/>
        <v>60000</v>
      </c>
      <c r="J8288" s="74">
        <f>IF(E8288="SERVICE",I8288-(I8288*50%),Vlookup(E8288,DATABASE!C:Q,10,false)*F8288)</f>
        <v>0</v>
      </c>
      <c r="K8288" s="74">
        <f>VLOOKUP(E8288,DATABASE!C:Q,7,false)</f>
        <v>10000</v>
      </c>
      <c r="L8288" s="74">
        <v>10000.0</v>
      </c>
      <c r="M8288" s="74">
        <f t="shared" si="6"/>
        <v>10000</v>
      </c>
      <c r="N8288" s="74">
        <f t="shared" si="3"/>
        <v>40000</v>
      </c>
      <c r="O8288" s="65" t="str">
        <f>VLOOKUP(E8288,DATABASE!C:Q,8,false)</f>
        <v>BIAN</v>
      </c>
      <c r="P8288" s="65">
        <f>VLOOKUP(E8288,DATABASE!C:Q,9,False)</f>
        <v>0</v>
      </c>
      <c r="Q8288" s="93" t="str">
        <f>VLOOKUP(E8288,DATABASE!C:Q,4,false)</f>
        <v>Balancing</v>
      </c>
      <c r="R8288" s="93" t="str">
        <f>VLOOKUP(E8288,DATABASE!C:Q,11,false)</f>
        <v>COMPLEMENTARY</v>
      </c>
    </row>
    <row r="8289" ht="22.5" customHeight="1">
      <c r="A8289" s="49"/>
      <c r="C8289" s="400">
        <v>46139.0</v>
      </c>
      <c r="D8289" s="524">
        <v>1187.0</v>
      </c>
      <c r="E8289" s="544" t="s">
        <v>262</v>
      </c>
      <c r="F8289" s="387">
        <v>1.0</v>
      </c>
      <c r="G8289" s="140">
        <v>130000.0</v>
      </c>
      <c r="H8289" s="74"/>
      <c r="I8289" s="74">
        <f t="shared" si="1"/>
        <v>130000</v>
      </c>
      <c r="J8289" s="74">
        <f>IF(E8289="SERVICE",I8289-(I8289*50%),Vlookup(E8289,DATABASE!C:Q,10,false)*F8289)</f>
        <v>5000</v>
      </c>
      <c r="K8289" s="74">
        <f>VLOOKUP(E8289,DATABASE!C:Q,7,false)</f>
        <v>0</v>
      </c>
      <c r="L8289" s="74">
        <v>0.0</v>
      </c>
      <c r="M8289" s="74">
        <f t="shared" si="6"/>
        <v>0</v>
      </c>
      <c r="N8289" s="74">
        <f t="shared" si="3"/>
        <v>125000</v>
      </c>
      <c r="O8289" s="65" t="str">
        <f>VLOOKUP(E8289,DATABASE!C:Q,8,false)</f>
        <v>IBU</v>
      </c>
      <c r="P8289" s="65">
        <f>VLOOKUP(E8289,DATABASE!C:Q,9,False)</f>
        <v>0</v>
      </c>
      <c r="Q8289" s="93" t="str">
        <f>VLOOKUP(E8289,DATABASE!C:Q,4,false)</f>
        <v>SPOORING SS/CARRY LOS BAK</v>
      </c>
      <c r="R8289" s="93" t="str">
        <f>VLOOKUP(E8289,DATABASE!C:Q,11,false)</f>
        <v>SERVICE</v>
      </c>
    </row>
    <row r="8290" ht="22.5" customHeight="1">
      <c r="A8290" s="49"/>
      <c r="C8290" s="400">
        <v>46139.0</v>
      </c>
      <c r="D8290" s="524">
        <v>1187.0</v>
      </c>
      <c r="E8290" s="544" t="s">
        <v>251</v>
      </c>
      <c r="F8290" s="387">
        <v>1.0</v>
      </c>
      <c r="G8290" s="140">
        <v>350000.0</v>
      </c>
      <c r="H8290" s="140">
        <v>150000.0</v>
      </c>
      <c r="I8290" s="74">
        <f t="shared" si="1"/>
        <v>200000</v>
      </c>
      <c r="J8290" s="74">
        <f>IF(E8290="SERVICE",I8290-(I8290*50%),Vlookup(E8290,DATABASE!C:Q,10,false)*F8290)</f>
        <v>100000</v>
      </c>
      <c r="K8290" s="74">
        <f>VLOOKUP(E8290,DATABASE!C:Q,7,false)</f>
        <v>0</v>
      </c>
      <c r="L8290" s="74">
        <v>0.0</v>
      </c>
      <c r="M8290" s="74">
        <f t="shared" si="6"/>
        <v>0</v>
      </c>
      <c r="N8290" s="74">
        <f t="shared" si="3"/>
        <v>100000</v>
      </c>
      <c r="O8290" s="65" t="str">
        <f>VLOOKUP(E8290,DATABASE!C:Q,8,false)</f>
        <v>IBU</v>
      </c>
      <c r="P8290" s="65">
        <f>VLOOKUP(E8290,DATABASE!C:Q,9,False)</f>
        <v>0</v>
      </c>
      <c r="Q8290" s="93" t="str">
        <f>VLOOKUP(E8290,DATABASE!C:Q,4,false)</f>
        <v>SERVICE</v>
      </c>
      <c r="R8290" s="93" t="str">
        <f>VLOOKUP(E8290,DATABASE!C:Q,11,false)</f>
        <v>SERVICE</v>
      </c>
    </row>
    <row r="8291" ht="22.5" customHeight="1">
      <c r="A8291" s="49"/>
      <c r="C8291" s="400">
        <v>46139.0</v>
      </c>
      <c r="D8291" s="524">
        <v>1188.0</v>
      </c>
      <c r="E8291" s="544" t="s">
        <v>268</v>
      </c>
      <c r="F8291" s="387">
        <v>2.0</v>
      </c>
      <c r="G8291" s="140">
        <v>720000.0</v>
      </c>
      <c r="H8291" s="74"/>
      <c r="I8291" s="74">
        <f t="shared" si="1"/>
        <v>1440000</v>
      </c>
      <c r="J8291" s="74">
        <f>IF(E8291="SERVICE",I8291-(I8291*50%),Vlookup(E8291,DATABASE!C:Q,10,false)*F8291)</f>
        <v>0</v>
      </c>
      <c r="K8291" s="74">
        <f>VLOOKUP(E8291,DATABASE!C:Q,7,false)</f>
        <v>653000</v>
      </c>
      <c r="L8291" s="74">
        <v>634500.0</v>
      </c>
      <c r="M8291" s="74">
        <f t="shared" si="6"/>
        <v>635000</v>
      </c>
      <c r="N8291" s="74">
        <f t="shared" si="3"/>
        <v>170000</v>
      </c>
      <c r="O8291" s="65" t="str">
        <f>VLOOKUP(E8291,DATABASE!C:Q,8,false)</f>
        <v>IBU</v>
      </c>
      <c r="P8291" s="65">
        <f>VLOOKUP(E8291,DATABASE!C:Q,9,False)</f>
        <v>1</v>
      </c>
      <c r="Q8291" s="93" t="str">
        <f>VLOOKUP(E8291,DATABASE!C:Q,4,false)</f>
        <v>Dunlop</v>
      </c>
      <c r="R8291" s="93" t="str">
        <f>VLOOKUP(E8291,DATABASE!C:Q,11,false)</f>
        <v>Tire</v>
      </c>
    </row>
    <row r="8292" ht="22.5" customHeight="1">
      <c r="A8292" s="49"/>
      <c r="C8292" s="400">
        <v>46139.0</v>
      </c>
      <c r="D8292" s="524">
        <v>1188.0</v>
      </c>
      <c r="E8292" s="544" t="s">
        <v>262</v>
      </c>
      <c r="F8292" s="387">
        <v>1.0</v>
      </c>
      <c r="G8292" s="140">
        <v>130000.0</v>
      </c>
      <c r="H8292" s="74"/>
      <c r="I8292" s="74">
        <f t="shared" si="1"/>
        <v>130000</v>
      </c>
      <c r="J8292" s="74">
        <f>IF(E8292="SERVICE",I8292-(I8292*50%),Vlookup(E8292,DATABASE!C:Q,10,false)*F8292)</f>
        <v>5000</v>
      </c>
      <c r="K8292" s="74">
        <f>VLOOKUP(E8292,DATABASE!C:Q,7,false)</f>
        <v>0</v>
      </c>
      <c r="L8292" s="74">
        <v>0.0</v>
      </c>
      <c r="M8292" s="74">
        <f t="shared" si="6"/>
        <v>0</v>
      </c>
      <c r="N8292" s="74">
        <f t="shared" si="3"/>
        <v>125000</v>
      </c>
      <c r="O8292" s="65" t="str">
        <f>VLOOKUP(E8292,DATABASE!C:Q,8,false)</f>
        <v>IBU</v>
      </c>
      <c r="P8292" s="65">
        <f>VLOOKUP(E8292,DATABASE!C:Q,9,False)</f>
        <v>0</v>
      </c>
      <c r="Q8292" s="93" t="str">
        <f>VLOOKUP(E8292,DATABASE!C:Q,4,false)</f>
        <v>SPOORING SS/CARRY LOS BAK</v>
      </c>
      <c r="R8292" s="93" t="str">
        <f>VLOOKUP(E8292,DATABASE!C:Q,11,false)</f>
        <v>SERVICE</v>
      </c>
    </row>
    <row r="8293" ht="22.5" customHeight="1">
      <c r="A8293" s="49"/>
      <c r="C8293" s="400">
        <v>46139.0</v>
      </c>
      <c r="D8293" s="69" t="s">
        <v>2791</v>
      </c>
      <c r="E8293" s="544" t="s">
        <v>252</v>
      </c>
      <c r="F8293" s="387">
        <v>1.0</v>
      </c>
      <c r="G8293" s="140">
        <v>325000.0</v>
      </c>
      <c r="H8293" s="74"/>
      <c r="I8293" s="74">
        <f t="shared" si="1"/>
        <v>325000</v>
      </c>
      <c r="J8293" s="74">
        <f>IF(E8293="SERVICE",I8293-(I8293*50%),Vlookup(E8293,DATABASE!C:Q,10,false)*F8293)</f>
        <v>0</v>
      </c>
      <c r="K8293" s="74">
        <f>VLOOKUP(E8293,DATABASE!C:Q,7,false)</f>
        <v>317518</v>
      </c>
      <c r="L8293" s="74">
        <v>275500.0</v>
      </c>
      <c r="M8293" s="74">
        <f t="shared" si="6"/>
        <v>280000</v>
      </c>
      <c r="N8293" s="74">
        <f t="shared" si="3"/>
        <v>45000</v>
      </c>
      <c r="O8293" s="65" t="str">
        <f>VLOOKUP(E8293,DATABASE!C:Q,8,false)</f>
        <v>NON</v>
      </c>
      <c r="P8293" s="65">
        <f>VLOOKUP(E8293,DATABASE!C:Q,9,False)</f>
        <v>0</v>
      </c>
      <c r="Q8293" s="93" t="str">
        <f>VLOOKUP(E8293,DATABASE!C:Q,4,false)</f>
        <v>Shell</v>
      </c>
      <c r="R8293" s="93" t="str">
        <f>VLOOKUP(E8293,DATABASE!C:Q,11,false)</f>
        <v>OIL</v>
      </c>
    </row>
    <row r="8294" ht="22.5" customHeight="1">
      <c r="A8294" s="49"/>
      <c r="C8294" s="400">
        <v>46139.0</v>
      </c>
      <c r="D8294" s="69" t="s">
        <v>2792</v>
      </c>
      <c r="E8294" s="544" t="s">
        <v>248</v>
      </c>
      <c r="F8294" s="387">
        <v>1.0</v>
      </c>
      <c r="G8294" s="140">
        <v>210000.0</v>
      </c>
      <c r="H8294" s="74"/>
      <c r="I8294" s="74">
        <f t="shared" si="1"/>
        <v>210000</v>
      </c>
      <c r="J8294" s="74">
        <f>IF(E8294="SERVICE",I8294-(I8294*50%),Vlookup(E8294,DATABASE!C:Q,10,false)*F8294)</f>
        <v>0</v>
      </c>
      <c r="K8294" s="74">
        <f>VLOOKUP(E8294,DATABASE!C:Q,7,false)</f>
        <v>209816.66</v>
      </c>
      <c r="L8294" s="74">
        <v>160833.0</v>
      </c>
      <c r="M8294" s="74">
        <f t="shared" si="6"/>
        <v>165000</v>
      </c>
      <c r="N8294" s="74">
        <f t="shared" si="3"/>
        <v>45000</v>
      </c>
      <c r="O8294" s="65" t="str">
        <f>VLOOKUP(E8294,DATABASE!C:Q,8,false)</f>
        <v>NON</v>
      </c>
      <c r="P8294" s="65">
        <f>VLOOKUP(E8294,DATABASE!C:Q,9,False)</f>
        <v>0</v>
      </c>
      <c r="Q8294" s="93" t="str">
        <f>VLOOKUP(E8294,DATABASE!C:Q,4,false)</f>
        <v>Pertamina</v>
      </c>
      <c r="R8294" s="93" t="str">
        <f>VLOOKUP(E8294,DATABASE!C:Q,11,false)</f>
        <v>OIL</v>
      </c>
    </row>
    <row r="8295" ht="22.5" customHeight="1">
      <c r="A8295" s="49"/>
      <c r="C8295" s="400">
        <v>46139.0</v>
      </c>
      <c r="D8295" s="69" t="s">
        <v>2793</v>
      </c>
      <c r="E8295" s="544" t="s">
        <v>252</v>
      </c>
      <c r="F8295" s="387">
        <v>1.0</v>
      </c>
      <c r="G8295" s="140">
        <v>325000.0</v>
      </c>
      <c r="H8295" s="74"/>
      <c r="I8295" s="74">
        <f t="shared" si="1"/>
        <v>325000</v>
      </c>
      <c r="J8295" s="74">
        <f>IF(E8295="SERVICE",I8295-(I8295*50%),Vlookup(E8295,DATABASE!C:Q,10,false)*F8295)</f>
        <v>0</v>
      </c>
      <c r="K8295" s="74">
        <f>VLOOKUP(E8295,DATABASE!C:Q,7,false)</f>
        <v>317518</v>
      </c>
      <c r="L8295" s="74">
        <v>275500.0</v>
      </c>
      <c r="M8295" s="74">
        <f t="shared" si="6"/>
        <v>280000</v>
      </c>
      <c r="N8295" s="74">
        <f t="shared" si="3"/>
        <v>45000</v>
      </c>
      <c r="O8295" s="65" t="str">
        <f>VLOOKUP(E8295,DATABASE!C:Q,8,false)</f>
        <v>NON</v>
      </c>
      <c r="P8295" s="65">
        <f>VLOOKUP(E8295,DATABASE!C:Q,9,False)</f>
        <v>0</v>
      </c>
      <c r="Q8295" s="93" t="str">
        <f>VLOOKUP(E8295,DATABASE!C:Q,4,false)</f>
        <v>Shell</v>
      </c>
      <c r="R8295" s="93" t="str">
        <f>VLOOKUP(E8295,DATABASE!C:Q,11,false)</f>
        <v>OIL</v>
      </c>
    </row>
    <row r="8296" ht="22.5" customHeight="1">
      <c r="A8296" s="49"/>
      <c r="C8296" s="400">
        <v>46139.0</v>
      </c>
      <c r="D8296" s="69" t="s">
        <v>2794</v>
      </c>
      <c r="E8296" s="544" t="s">
        <v>248</v>
      </c>
      <c r="F8296" s="387">
        <v>1.0</v>
      </c>
      <c r="G8296" s="140">
        <v>210000.0</v>
      </c>
      <c r="H8296" s="74"/>
      <c r="I8296" s="74">
        <f t="shared" si="1"/>
        <v>210000</v>
      </c>
      <c r="J8296" s="74">
        <f>IF(E8296="SERVICE",I8296-(I8296*50%),Vlookup(E8296,DATABASE!C:Q,10,false)*F8296)</f>
        <v>0</v>
      </c>
      <c r="K8296" s="74">
        <f>VLOOKUP(E8296,DATABASE!C:Q,7,false)</f>
        <v>209816.66</v>
      </c>
      <c r="L8296" s="74">
        <v>160833.0</v>
      </c>
      <c r="M8296" s="74">
        <f t="shared" si="6"/>
        <v>165000</v>
      </c>
      <c r="N8296" s="74">
        <f t="shared" si="3"/>
        <v>45000</v>
      </c>
      <c r="O8296" s="65" t="str">
        <f>VLOOKUP(E8296,DATABASE!C:Q,8,false)</f>
        <v>NON</v>
      </c>
      <c r="P8296" s="65">
        <f>VLOOKUP(E8296,DATABASE!C:Q,9,False)</f>
        <v>0</v>
      </c>
      <c r="Q8296" s="93" t="str">
        <f>VLOOKUP(E8296,DATABASE!C:Q,4,false)</f>
        <v>Pertamina</v>
      </c>
      <c r="R8296" s="93" t="str">
        <f>VLOOKUP(E8296,DATABASE!C:Q,11,false)</f>
        <v>OIL</v>
      </c>
    </row>
    <row r="8297" ht="22.5" customHeight="1">
      <c r="A8297" s="49"/>
      <c r="C8297" s="400">
        <v>46140.0</v>
      </c>
      <c r="D8297" s="524">
        <v>1189.0</v>
      </c>
      <c r="E8297" s="544" t="s">
        <v>265</v>
      </c>
      <c r="F8297" s="387">
        <v>4.0</v>
      </c>
      <c r="G8297" s="140">
        <v>700000.0</v>
      </c>
      <c r="H8297" s="74"/>
      <c r="I8297" s="74">
        <f t="shared" si="1"/>
        <v>2800000</v>
      </c>
      <c r="J8297" s="74">
        <f>IF(E8297="SERVICE",I8297-(I8297*50%),Vlookup(E8297,DATABASE!C:Q,10,false)*F8297)</f>
        <v>0</v>
      </c>
      <c r="K8297" s="74">
        <f>VLOOKUP(E8297,DATABASE!C:Q,7,false)</f>
        <v>628000</v>
      </c>
      <c r="L8297" s="74">
        <v>610000.0</v>
      </c>
      <c r="M8297" s="74">
        <f t="shared" si="6"/>
        <v>610000</v>
      </c>
      <c r="N8297" s="74">
        <f t="shared" si="3"/>
        <v>360000</v>
      </c>
      <c r="O8297" s="65" t="str">
        <f>VLOOKUP(E8297,DATABASE!C:Q,8,false)</f>
        <v>IBU</v>
      </c>
      <c r="P8297" s="65">
        <f>VLOOKUP(E8297,DATABASE!C:Q,9,False)</f>
        <v>1</v>
      </c>
      <c r="Q8297" s="93" t="str">
        <f>VLOOKUP(E8297,DATABASE!C:Q,4,false)</f>
        <v>Dunlop</v>
      </c>
      <c r="R8297" s="93" t="str">
        <f>VLOOKUP(E8297,DATABASE!C:Q,11,false)</f>
        <v>Tire</v>
      </c>
    </row>
    <row r="8298" ht="22.5" customHeight="1">
      <c r="A8298" s="49"/>
      <c r="C8298" s="400">
        <v>46140.0</v>
      </c>
      <c r="D8298" s="524">
        <v>1190.0</v>
      </c>
      <c r="E8298" s="544" t="s">
        <v>1858</v>
      </c>
      <c r="F8298" s="387">
        <v>1.0</v>
      </c>
      <c r="G8298" s="140">
        <v>2130000.0</v>
      </c>
      <c r="H8298" s="74"/>
      <c r="I8298" s="74">
        <f t="shared" si="1"/>
        <v>2130000</v>
      </c>
      <c r="J8298" s="74">
        <f>IF(E8298="SERVICE",I8298-(I8298*50%),Vlookup(E8298,DATABASE!C:Q,10,false)*F8298)</f>
        <v>0</v>
      </c>
      <c r="K8298" s="74">
        <f>VLOOKUP(E8298,DATABASE!C:Q,7,false)</f>
        <v>2030000</v>
      </c>
      <c r="L8298" s="74">
        <v>2030000.0</v>
      </c>
      <c r="M8298" s="74">
        <f t="shared" si="6"/>
        <v>2030000</v>
      </c>
      <c r="N8298" s="74">
        <f t="shared" si="3"/>
        <v>100000</v>
      </c>
      <c r="O8298" s="65" t="str">
        <f>VLOOKUP(E8298,DATABASE!C:Q,8,false)</f>
        <v>BIAN</v>
      </c>
      <c r="P8298" s="65">
        <f>VLOOKUP(E8298,DATABASE!C:Q,9,False)</f>
        <v>1</v>
      </c>
      <c r="Q8298" s="93" t="str">
        <f>VLOOKUP(E8298,DATABASE!C:Q,4,false)</f>
        <v>GiTi</v>
      </c>
      <c r="R8298" s="93" t="str">
        <f>VLOOKUP(E8298,DATABASE!C:Q,11,false)</f>
        <v>Tire</v>
      </c>
    </row>
    <row r="8299" ht="22.5" customHeight="1">
      <c r="A8299" s="49"/>
      <c r="C8299" s="400">
        <v>46140.0</v>
      </c>
      <c r="D8299" s="524">
        <v>1191.0</v>
      </c>
      <c r="E8299" s="544" t="s">
        <v>744</v>
      </c>
      <c r="F8299" s="387">
        <v>2.0</v>
      </c>
      <c r="G8299" s="140">
        <v>230000.0</v>
      </c>
      <c r="H8299" s="74"/>
      <c r="I8299" s="74">
        <f t="shared" si="1"/>
        <v>460000</v>
      </c>
      <c r="J8299" s="74">
        <f>IF(E8299="SERVICE",I8299-(I8299*50%),Vlookup(E8299,DATABASE!C:Q,10,false)*F8299)</f>
        <v>0</v>
      </c>
      <c r="K8299" s="74">
        <f>VLOOKUP(E8299,DATABASE!C:Q,7,false)</f>
        <v>182200</v>
      </c>
      <c r="L8299" s="74">
        <v>199920.0</v>
      </c>
      <c r="M8299" s="74">
        <f t="shared" si="6"/>
        <v>200000</v>
      </c>
      <c r="N8299" s="74">
        <f t="shared" si="3"/>
        <v>60000</v>
      </c>
      <c r="O8299" s="65" t="str">
        <f>VLOOKUP(E8299,DATABASE!C:Q,8,false)</f>
        <v>BIAN</v>
      </c>
      <c r="P8299" s="65">
        <f>VLOOKUP(E8299,DATABASE!C:Q,9,False)</f>
        <v>1</v>
      </c>
      <c r="Q8299" s="93" t="str">
        <f>VLOOKUP(E8299,DATABASE!C:Q,4,false)</f>
        <v>BD</v>
      </c>
      <c r="R8299" s="93" t="str">
        <f>VLOOKUP(E8299,DATABASE!C:Q,11,false)</f>
        <v>Tire</v>
      </c>
    </row>
    <row r="8300" ht="22.5" customHeight="1">
      <c r="A8300" s="49"/>
      <c r="C8300" s="400">
        <v>46140.0</v>
      </c>
      <c r="D8300" s="524">
        <v>1192.0</v>
      </c>
      <c r="E8300" s="544" t="s">
        <v>256</v>
      </c>
      <c r="F8300" s="387">
        <v>1.0</v>
      </c>
      <c r="G8300" s="140">
        <v>175000.0</v>
      </c>
      <c r="H8300" s="140">
        <v>25000.0</v>
      </c>
      <c r="I8300" s="74">
        <f t="shared" si="1"/>
        <v>150000</v>
      </c>
      <c r="J8300" s="74">
        <f>IF(E8300="SERVICE",I8300-(I8300*50%),Vlookup(E8300,DATABASE!C:Q,10,false)*F8300)</f>
        <v>10000</v>
      </c>
      <c r="K8300" s="74">
        <f>VLOOKUP(E8300,DATABASE!C:Q,7,false)</f>
        <v>0</v>
      </c>
      <c r="L8300" s="74">
        <v>0.0</v>
      </c>
      <c r="M8300" s="74">
        <f t="shared" si="6"/>
        <v>0</v>
      </c>
      <c r="N8300" s="74">
        <f t="shared" si="3"/>
        <v>140000</v>
      </c>
      <c r="O8300" s="65" t="str">
        <f>VLOOKUP(E8300,DATABASE!C:Q,8,false)</f>
        <v>IBU</v>
      </c>
      <c r="P8300" s="65">
        <f>VLOOKUP(E8300,DATABASE!C:Q,9,False)</f>
        <v>0</v>
      </c>
      <c r="Q8300" s="93" t="str">
        <f>VLOOKUP(E8300,DATABASE!C:Q,4,false)</f>
        <v>SPOORING</v>
      </c>
      <c r="R8300" s="93" t="str">
        <f>VLOOKUP(E8300,DATABASE!C:Q,11,false)</f>
        <v>SERVICE</v>
      </c>
    </row>
    <row r="8301" ht="22.5" customHeight="1">
      <c r="A8301" s="49"/>
      <c r="C8301" s="400">
        <v>46140.0</v>
      </c>
      <c r="D8301" s="524">
        <v>1192.0</v>
      </c>
      <c r="E8301" s="544" t="s">
        <v>301</v>
      </c>
      <c r="F8301" s="387">
        <v>1.0</v>
      </c>
      <c r="G8301" s="140">
        <v>250000.0</v>
      </c>
      <c r="H8301" s="74"/>
      <c r="I8301" s="74">
        <f t="shared" si="1"/>
        <v>250000</v>
      </c>
      <c r="J8301" s="74">
        <f>IF(E8301="SERVICE",I8301-(I8301*50%),Vlookup(E8301,DATABASE!C:Q,10,false)*F8301)</f>
        <v>75000</v>
      </c>
      <c r="K8301" s="74">
        <f>VLOOKUP(E8301,DATABASE!C:Q,7,false)</f>
        <v>75000</v>
      </c>
      <c r="L8301" s="74">
        <v>75000.0</v>
      </c>
      <c r="M8301" s="74">
        <f t="shared" si="6"/>
        <v>75000</v>
      </c>
      <c r="N8301" s="74">
        <f t="shared" si="3"/>
        <v>100000</v>
      </c>
      <c r="O8301" s="65" t="str">
        <f>VLOOKUP(E8301,DATABASE!C:Q,8,false)</f>
        <v>BIAN</v>
      </c>
      <c r="P8301" s="65">
        <f>VLOOKUP(E8301,DATABASE!C:Q,9,False)</f>
        <v>0</v>
      </c>
      <c r="Q8301" s="93" t="str">
        <f>VLOOKUP(E8301,DATABASE!C:Q,4,false)</f>
        <v>Baut Camber</v>
      </c>
      <c r="R8301" s="93" t="str">
        <f>VLOOKUP(E8301,DATABASE!C:Q,11,false)</f>
        <v>COMPLEMENTARY</v>
      </c>
    </row>
    <row r="8302" ht="22.5" customHeight="1">
      <c r="A8302" s="49"/>
      <c r="C8302" s="400">
        <v>46140.0</v>
      </c>
      <c r="D8302" s="69">
        <v>1194.0</v>
      </c>
      <c r="E8302" s="544" t="s">
        <v>256</v>
      </c>
      <c r="F8302" s="387">
        <v>1.0</v>
      </c>
      <c r="G8302" s="140">
        <v>175000.0</v>
      </c>
      <c r="H8302" s="140">
        <v>25000.0</v>
      </c>
      <c r="I8302" s="74">
        <f t="shared" si="1"/>
        <v>150000</v>
      </c>
      <c r="J8302" s="74">
        <f>IF(E8302="SERVICE",I8302-(I8302*50%),Vlookup(E8302,DATABASE!C:Q,10,false)*F8302)</f>
        <v>10000</v>
      </c>
      <c r="K8302" s="74">
        <f>VLOOKUP(E8302,DATABASE!C:Q,7,false)</f>
        <v>0</v>
      </c>
      <c r="L8302" s="74">
        <v>0.0</v>
      </c>
      <c r="M8302" s="74">
        <f t="shared" si="6"/>
        <v>0</v>
      </c>
      <c r="N8302" s="74">
        <f t="shared" si="3"/>
        <v>140000</v>
      </c>
      <c r="O8302" s="65" t="str">
        <f>VLOOKUP(E8302,DATABASE!C:Q,8,false)</f>
        <v>IBU</v>
      </c>
      <c r="P8302" s="65">
        <f>VLOOKUP(E8302,DATABASE!C:Q,9,False)</f>
        <v>0</v>
      </c>
      <c r="Q8302" s="93" t="str">
        <f>VLOOKUP(E8302,DATABASE!C:Q,4,false)</f>
        <v>SPOORING</v>
      </c>
      <c r="R8302" s="93" t="str">
        <f>VLOOKUP(E8302,DATABASE!C:Q,11,false)</f>
        <v>SERVICE</v>
      </c>
    </row>
    <row r="8303" ht="22.5" customHeight="1">
      <c r="A8303" s="49"/>
      <c r="C8303" s="400">
        <v>46140.0</v>
      </c>
      <c r="D8303" s="69">
        <v>1194.0</v>
      </c>
      <c r="E8303" s="544" t="s">
        <v>301</v>
      </c>
      <c r="F8303" s="387">
        <v>1.0</v>
      </c>
      <c r="G8303" s="140">
        <v>250000.0</v>
      </c>
      <c r="H8303" s="74"/>
      <c r="I8303" s="74">
        <f t="shared" si="1"/>
        <v>250000</v>
      </c>
      <c r="J8303" s="74">
        <f>IF(E8303="SERVICE",I8303-(I8303*50%),Vlookup(E8303,DATABASE!C:Q,10,false)*F8303)</f>
        <v>75000</v>
      </c>
      <c r="K8303" s="74">
        <f>VLOOKUP(E8303,DATABASE!C:Q,7,false)</f>
        <v>75000</v>
      </c>
      <c r="L8303" s="74">
        <v>75000.0</v>
      </c>
      <c r="M8303" s="74">
        <f t="shared" si="6"/>
        <v>75000</v>
      </c>
      <c r="N8303" s="74">
        <f t="shared" si="3"/>
        <v>100000</v>
      </c>
      <c r="O8303" s="65" t="str">
        <f>VLOOKUP(E8303,DATABASE!C:Q,8,false)</f>
        <v>BIAN</v>
      </c>
      <c r="P8303" s="65">
        <f>VLOOKUP(E8303,DATABASE!C:Q,9,False)</f>
        <v>0</v>
      </c>
      <c r="Q8303" s="93" t="str">
        <f>VLOOKUP(E8303,DATABASE!C:Q,4,false)</f>
        <v>Baut Camber</v>
      </c>
      <c r="R8303" s="93" t="str">
        <f>VLOOKUP(E8303,DATABASE!C:Q,11,false)</f>
        <v>COMPLEMENTARY</v>
      </c>
    </row>
    <row r="8304" ht="22.5" customHeight="1">
      <c r="A8304" s="49"/>
      <c r="C8304" s="400">
        <v>46141.0</v>
      </c>
      <c r="D8304" s="524">
        <v>1196.0</v>
      </c>
      <c r="E8304" s="544" t="s">
        <v>932</v>
      </c>
      <c r="F8304" s="387">
        <v>2.0</v>
      </c>
      <c r="G8304" s="140">
        <v>690000.0</v>
      </c>
      <c r="H8304" s="74"/>
      <c r="I8304" s="74">
        <f t="shared" si="1"/>
        <v>1380000</v>
      </c>
      <c r="J8304" s="74">
        <f>IF(E8304="SERVICE",I8304-(I8304*50%),Vlookup(E8304,DATABASE!C:Q,10,false)*F8304)</f>
        <v>0</v>
      </c>
      <c r="K8304" s="74">
        <f>VLOOKUP(E8304,DATABASE!C:Q,7,false)</f>
        <v>601000</v>
      </c>
      <c r="L8304" s="74">
        <v>601000.0</v>
      </c>
      <c r="M8304" s="74">
        <f t="shared" si="6"/>
        <v>605000</v>
      </c>
      <c r="N8304" s="74">
        <f t="shared" si="3"/>
        <v>170000</v>
      </c>
      <c r="O8304" s="65" t="str">
        <f>VLOOKUP(E8304,DATABASE!C:Q,8,false)</f>
        <v>IBU</v>
      </c>
      <c r="P8304" s="65">
        <f>VLOOKUP(E8304,DATABASE!C:Q,9,False)</f>
        <v>1</v>
      </c>
      <c r="Q8304" s="93" t="str">
        <f>VLOOKUP(E8304,DATABASE!C:Q,4,false)</f>
        <v>Dunlop</v>
      </c>
      <c r="R8304" s="93" t="str">
        <f>VLOOKUP(E8304,DATABASE!C:Q,11,false)</f>
        <v>Tire</v>
      </c>
    </row>
    <row r="8305" ht="22.5" customHeight="1">
      <c r="A8305" s="49"/>
      <c r="C8305" s="400">
        <v>46141.0</v>
      </c>
      <c r="D8305" s="524">
        <v>1197.0</v>
      </c>
      <c r="E8305" s="544" t="s">
        <v>777</v>
      </c>
      <c r="F8305" s="387">
        <v>1.0</v>
      </c>
      <c r="G8305" s="140">
        <v>600000.0</v>
      </c>
      <c r="H8305" s="74"/>
      <c r="I8305" s="74">
        <f t="shared" si="1"/>
        <v>600000</v>
      </c>
      <c r="J8305" s="74">
        <f>IF(E8305="SERVICE",I8305-(I8305*50%),Vlookup(E8305,DATABASE!C:Q,10,false)*F8305)</f>
        <v>0</v>
      </c>
      <c r="K8305" s="74">
        <f>VLOOKUP(E8305,DATABASE!C:Q,7,false)</f>
        <v>540000</v>
      </c>
      <c r="L8305" s="74">
        <v>505000.0</v>
      </c>
      <c r="M8305" s="74">
        <f t="shared" si="6"/>
        <v>505000</v>
      </c>
      <c r="N8305" s="74">
        <f t="shared" si="3"/>
        <v>95000</v>
      </c>
      <c r="O8305" s="65" t="str">
        <f>VLOOKUP(E8305,DATABASE!C:Q,8,false)</f>
        <v>BIAN</v>
      </c>
      <c r="P8305" s="65">
        <f>VLOOKUP(E8305,DATABASE!C:Q,9,False)</f>
        <v>1</v>
      </c>
      <c r="Q8305" s="93" t="str">
        <f>VLOOKUP(E8305,DATABASE!C:Q,4,false)</f>
        <v>GT</v>
      </c>
      <c r="R8305" s="93" t="str">
        <f>VLOOKUP(E8305,DATABASE!C:Q,11,false)</f>
        <v>Tire</v>
      </c>
    </row>
    <row r="8306" ht="22.5" customHeight="1">
      <c r="A8306" s="49"/>
      <c r="C8306" s="400">
        <v>46141.0</v>
      </c>
      <c r="D8306" s="524">
        <v>1198.0</v>
      </c>
      <c r="E8306" s="544" t="s">
        <v>262</v>
      </c>
      <c r="F8306" s="387">
        <v>1.0</v>
      </c>
      <c r="G8306" s="140">
        <v>130000.0</v>
      </c>
      <c r="H8306" s="74"/>
      <c r="I8306" s="74">
        <f t="shared" si="1"/>
        <v>130000</v>
      </c>
      <c r="J8306" s="74">
        <f>IF(E8306="SERVICE",I8306-(I8306*50%),Vlookup(E8306,DATABASE!C:Q,10,false)*F8306)</f>
        <v>5000</v>
      </c>
      <c r="K8306" s="74">
        <f>VLOOKUP(E8306,DATABASE!C:Q,7,false)</f>
        <v>0</v>
      </c>
      <c r="L8306" s="74">
        <v>0.0</v>
      </c>
      <c r="M8306" s="74">
        <f t="shared" si="6"/>
        <v>0</v>
      </c>
      <c r="N8306" s="74">
        <f t="shared" si="3"/>
        <v>125000</v>
      </c>
      <c r="O8306" s="65" t="str">
        <f>VLOOKUP(E8306,DATABASE!C:Q,8,false)</f>
        <v>IBU</v>
      </c>
      <c r="P8306" s="65">
        <f>VLOOKUP(E8306,DATABASE!C:Q,9,False)</f>
        <v>0</v>
      </c>
      <c r="Q8306" s="93" t="str">
        <f>VLOOKUP(E8306,DATABASE!C:Q,4,false)</f>
        <v>SPOORING SS/CARRY LOS BAK</v>
      </c>
      <c r="R8306" s="93" t="str">
        <f>VLOOKUP(E8306,DATABASE!C:Q,11,false)</f>
        <v>SERVICE</v>
      </c>
    </row>
    <row r="8307" ht="22.5" customHeight="1">
      <c r="A8307" s="49"/>
      <c r="C8307" s="400">
        <v>46141.0</v>
      </c>
      <c r="D8307" s="524">
        <v>1198.0</v>
      </c>
      <c r="E8307" s="544" t="s">
        <v>251</v>
      </c>
      <c r="F8307" s="387">
        <v>1.0</v>
      </c>
      <c r="G8307" s="140">
        <v>350000.0</v>
      </c>
      <c r="H8307" s="140">
        <v>150000.0</v>
      </c>
      <c r="I8307" s="74">
        <f t="shared" si="1"/>
        <v>200000</v>
      </c>
      <c r="J8307" s="74">
        <f>IF(E8307="SERVICE",I8307-(I8307*50%),Vlookup(E8307,DATABASE!C:Q,10,false)*F8307)</f>
        <v>100000</v>
      </c>
      <c r="K8307" s="74">
        <f>VLOOKUP(E8307,DATABASE!C:Q,7,false)</f>
        <v>0</v>
      </c>
      <c r="L8307" s="74">
        <v>0.0</v>
      </c>
      <c r="M8307" s="74">
        <f t="shared" si="6"/>
        <v>0</v>
      </c>
      <c r="N8307" s="74">
        <f t="shared" si="3"/>
        <v>100000</v>
      </c>
      <c r="O8307" s="65" t="str">
        <f>VLOOKUP(E8307,DATABASE!C:Q,8,false)</f>
        <v>IBU</v>
      </c>
      <c r="P8307" s="65">
        <f>VLOOKUP(E8307,DATABASE!C:Q,9,False)</f>
        <v>0</v>
      </c>
      <c r="Q8307" s="93" t="str">
        <f>VLOOKUP(E8307,DATABASE!C:Q,4,false)</f>
        <v>SERVICE</v>
      </c>
      <c r="R8307" s="93" t="str">
        <f>VLOOKUP(E8307,DATABASE!C:Q,11,false)</f>
        <v>SERVICE</v>
      </c>
    </row>
    <row r="8308" ht="22.5" customHeight="1">
      <c r="A8308" s="49"/>
      <c r="C8308" s="400">
        <v>46141.0</v>
      </c>
      <c r="D8308" s="524">
        <v>1199.0</v>
      </c>
      <c r="E8308" s="544" t="s">
        <v>268</v>
      </c>
      <c r="F8308" s="387">
        <v>2.0</v>
      </c>
      <c r="G8308" s="140">
        <v>720000.0</v>
      </c>
      <c r="H8308" s="74"/>
      <c r="I8308" s="74">
        <f t="shared" si="1"/>
        <v>1440000</v>
      </c>
      <c r="J8308" s="74">
        <f>IF(E8308="SERVICE",I8308-(I8308*50%),Vlookup(E8308,DATABASE!C:Q,10,false)*F8308)</f>
        <v>0</v>
      </c>
      <c r="K8308" s="74">
        <f>VLOOKUP(E8308,DATABASE!C:Q,7,false)</f>
        <v>653000</v>
      </c>
      <c r="L8308" s="74">
        <v>634500.0</v>
      </c>
      <c r="M8308" s="74">
        <f t="shared" si="6"/>
        <v>635000</v>
      </c>
      <c r="N8308" s="74">
        <f t="shared" si="3"/>
        <v>170000</v>
      </c>
      <c r="O8308" s="65" t="str">
        <f>VLOOKUP(E8308,DATABASE!C:Q,8,false)</f>
        <v>IBU</v>
      </c>
      <c r="P8308" s="65">
        <f>VLOOKUP(E8308,DATABASE!C:Q,9,False)</f>
        <v>1</v>
      </c>
      <c r="Q8308" s="93" t="str">
        <f>VLOOKUP(E8308,DATABASE!C:Q,4,false)</f>
        <v>Dunlop</v>
      </c>
      <c r="R8308" s="93" t="str">
        <f>VLOOKUP(E8308,DATABASE!C:Q,11,false)</f>
        <v>Tire</v>
      </c>
    </row>
    <row r="8309" ht="22.5" customHeight="1">
      <c r="A8309" s="49"/>
      <c r="C8309" s="400">
        <v>46141.0</v>
      </c>
      <c r="D8309" s="524">
        <v>1200.0</v>
      </c>
      <c r="E8309" s="544" t="s">
        <v>256</v>
      </c>
      <c r="F8309" s="387">
        <v>1.0</v>
      </c>
      <c r="G8309" s="140">
        <v>175000.0</v>
      </c>
      <c r="H8309" s="140">
        <v>25000.0</v>
      </c>
      <c r="I8309" s="74">
        <f t="shared" si="1"/>
        <v>150000</v>
      </c>
      <c r="J8309" s="74">
        <f>IF(E8309="SERVICE",I8309-(I8309*50%),Vlookup(E8309,DATABASE!C:Q,10,false)*F8309)</f>
        <v>10000</v>
      </c>
      <c r="K8309" s="74">
        <f>VLOOKUP(E8309,DATABASE!C:Q,7,false)</f>
        <v>0</v>
      </c>
      <c r="L8309" s="74">
        <v>0.0</v>
      </c>
      <c r="M8309" s="74">
        <f t="shared" si="6"/>
        <v>0</v>
      </c>
      <c r="N8309" s="74">
        <f t="shared" si="3"/>
        <v>140000</v>
      </c>
      <c r="O8309" s="65" t="str">
        <f>VLOOKUP(E8309,DATABASE!C:Q,8,false)</f>
        <v>IBU</v>
      </c>
      <c r="P8309" s="65">
        <f>VLOOKUP(E8309,DATABASE!C:Q,9,False)</f>
        <v>0</v>
      </c>
      <c r="Q8309" s="93" t="str">
        <f>VLOOKUP(E8309,DATABASE!C:Q,4,false)</f>
        <v>SPOORING</v>
      </c>
      <c r="R8309" s="93" t="str">
        <f>VLOOKUP(E8309,DATABASE!C:Q,11,false)</f>
        <v>SERVICE</v>
      </c>
    </row>
    <row r="8310" ht="22.5" customHeight="1">
      <c r="A8310" s="49"/>
      <c r="C8310" s="400">
        <v>46141.0</v>
      </c>
      <c r="D8310" s="524">
        <v>1200.0</v>
      </c>
      <c r="E8310" s="544" t="s">
        <v>301</v>
      </c>
      <c r="F8310" s="387">
        <v>1.0</v>
      </c>
      <c r="G8310" s="140">
        <v>250000.0</v>
      </c>
      <c r="H8310" s="74"/>
      <c r="I8310" s="74">
        <f t="shared" si="1"/>
        <v>250000</v>
      </c>
      <c r="J8310" s="74">
        <f>IF(E8310="SERVICE",I8310-(I8310*50%),Vlookup(E8310,DATABASE!C:Q,10,false)*F8310)</f>
        <v>75000</v>
      </c>
      <c r="K8310" s="74">
        <f>VLOOKUP(E8310,DATABASE!C:Q,7,false)</f>
        <v>75000</v>
      </c>
      <c r="L8310" s="74">
        <v>75000.0</v>
      </c>
      <c r="M8310" s="74">
        <f t="shared" si="6"/>
        <v>75000</v>
      </c>
      <c r="N8310" s="74">
        <f t="shared" si="3"/>
        <v>100000</v>
      </c>
      <c r="O8310" s="65" t="str">
        <f>VLOOKUP(E8310,DATABASE!C:Q,8,false)</f>
        <v>BIAN</v>
      </c>
      <c r="P8310" s="65">
        <f>VLOOKUP(E8310,DATABASE!C:Q,9,False)</f>
        <v>0</v>
      </c>
      <c r="Q8310" s="93" t="str">
        <f>VLOOKUP(E8310,DATABASE!C:Q,4,false)</f>
        <v>Baut Camber</v>
      </c>
      <c r="R8310" s="93" t="str">
        <f>VLOOKUP(E8310,DATABASE!C:Q,11,false)</f>
        <v>COMPLEMENTARY</v>
      </c>
    </row>
    <row r="8311" ht="22.5" customHeight="1">
      <c r="A8311" s="49"/>
      <c r="C8311" s="400">
        <v>46141.0</v>
      </c>
      <c r="D8311" s="524">
        <v>1201.0</v>
      </c>
      <c r="E8311" s="544" t="s">
        <v>2199</v>
      </c>
      <c r="F8311" s="387">
        <v>1.0</v>
      </c>
      <c r="G8311" s="140">
        <v>20000.0</v>
      </c>
      <c r="H8311" s="140">
        <v>5000.0</v>
      </c>
      <c r="I8311" s="74">
        <f t="shared" si="1"/>
        <v>15000</v>
      </c>
      <c r="J8311" s="74">
        <f>IF(E8311="SERVICE",I8311-(I8311*50%),Vlookup(E8311,DATABASE!C:Q,10,false)*F8311)</f>
        <v>0</v>
      </c>
      <c r="K8311" s="74">
        <f>VLOOKUP(E8311,DATABASE!C:Q,7,false)</f>
        <v>5000</v>
      </c>
      <c r="L8311" s="74">
        <v>0.0</v>
      </c>
      <c r="M8311" s="74">
        <f t="shared" si="6"/>
        <v>0</v>
      </c>
      <c r="N8311" s="74">
        <f t="shared" si="3"/>
        <v>15000</v>
      </c>
      <c r="O8311" s="65" t="str">
        <f>VLOOKUP(E8311,DATABASE!C:Q,8,false)</f>
        <v>BIAN</v>
      </c>
      <c r="P8311" s="65">
        <f>VLOOKUP(E8311,DATABASE!C:Q,9,False)</f>
        <v>0</v>
      </c>
      <c r="Q8311" s="93" t="str">
        <f>VLOOKUP(E8311,DATABASE!C:Q,4,false)</f>
        <v>TAMBAL TUBLES</v>
      </c>
      <c r="R8311" s="93" t="str">
        <f>VLOOKUP(E8311,DATABASE!C:Q,11,false)</f>
        <v>COMPLEMENTARY</v>
      </c>
    </row>
    <row r="8312" ht="22.5" customHeight="1">
      <c r="A8312" s="49"/>
      <c r="C8312" s="400">
        <v>46141.0</v>
      </c>
      <c r="D8312" s="524">
        <v>1202.0</v>
      </c>
      <c r="E8312" s="544" t="s">
        <v>622</v>
      </c>
      <c r="F8312" s="387">
        <v>2.0</v>
      </c>
      <c r="G8312" s="140">
        <v>925000.0</v>
      </c>
      <c r="H8312" s="74"/>
      <c r="I8312" s="74">
        <f t="shared" si="1"/>
        <v>1850000</v>
      </c>
      <c r="J8312" s="74">
        <f>IF(E8312="SERVICE",I8312-(I8312*50%),Vlookup(E8312,DATABASE!C:Q,10,false)*F8312)</f>
        <v>0</v>
      </c>
      <c r="K8312" s="74">
        <f>VLOOKUP(E8312,DATABASE!C:Q,7,false)</f>
        <v>851110.375</v>
      </c>
      <c r="L8312" s="74">
        <v>822259.2</v>
      </c>
      <c r="M8312" s="74">
        <f t="shared" si="6"/>
        <v>825000</v>
      </c>
      <c r="N8312" s="74">
        <f t="shared" si="3"/>
        <v>200000</v>
      </c>
      <c r="O8312" s="65" t="str">
        <f>VLOOKUP(E8312,DATABASE!C:Q,8,false)</f>
        <v>IBU</v>
      </c>
      <c r="P8312" s="65">
        <f>VLOOKUP(E8312,DATABASE!C:Q,9,False)</f>
        <v>1</v>
      </c>
      <c r="Q8312" s="93" t="str">
        <f>VLOOKUP(E8312,DATABASE!C:Q,4,false)</f>
        <v>Bridgestone</v>
      </c>
      <c r="R8312" s="93" t="str">
        <f>VLOOKUP(E8312,DATABASE!C:Q,11,false)</f>
        <v>Tire</v>
      </c>
    </row>
    <row r="8313" ht="22.5" customHeight="1">
      <c r="A8313" s="49"/>
      <c r="C8313" s="400">
        <v>46141.0</v>
      </c>
      <c r="D8313" s="524">
        <v>1203.0</v>
      </c>
      <c r="E8313" s="544" t="s">
        <v>622</v>
      </c>
      <c r="F8313" s="387">
        <v>1.0</v>
      </c>
      <c r="G8313" s="140">
        <v>925000.0</v>
      </c>
      <c r="H8313" s="74"/>
      <c r="I8313" s="74">
        <f t="shared" si="1"/>
        <v>925000</v>
      </c>
      <c r="J8313" s="74">
        <f>IF(E8313="SERVICE",I8313-(I8313*50%),Vlookup(E8313,DATABASE!C:Q,10,false)*F8313)</f>
        <v>0</v>
      </c>
      <c r="K8313" s="74">
        <f>VLOOKUP(E8313,DATABASE!C:Q,7,false)</f>
        <v>851110.375</v>
      </c>
      <c r="L8313" s="74">
        <v>822259.2</v>
      </c>
      <c r="M8313" s="74">
        <f t="shared" si="6"/>
        <v>825000</v>
      </c>
      <c r="N8313" s="74">
        <f t="shared" si="3"/>
        <v>100000</v>
      </c>
      <c r="O8313" s="65" t="str">
        <f>VLOOKUP(E8313,DATABASE!C:Q,8,false)</f>
        <v>IBU</v>
      </c>
      <c r="P8313" s="65">
        <f>VLOOKUP(E8313,DATABASE!C:Q,9,False)</f>
        <v>1</v>
      </c>
      <c r="Q8313" s="93" t="str">
        <f>VLOOKUP(E8313,DATABASE!C:Q,4,false)</f>
        <v>Bridgestone</v>
      </c>
      <c r="R8313" s="93" t="str">
        <f>VLOOKUP(E8313,DATABASE!C:Q,11,false)</f>
        <v>Tire</v>
      </c>
    </row>
    <row r="8314" ht="22.5" customHeight="1">
      <c r="A8314" s="49"/>
      <c r="C8314" s="400">
        <v>46141.0</v>
      </c>
      <c r="D8314" s="524">
        <v>1204.0</v>
      </c>
      <c r="E8314" s="544" t="s">
        <v>932</v>
      </c>
      <c r="F8314" s="387">
        <v>2.0</v>
      </c>
      <c r="G8314" s="140">
        <v>690000.0</v>
      </c>
      <c r="H8314" s="74"/>
      <c r="I8314" s="74">
        <f t="shared" si="1"/>
        <v>1380000</v>
      </c>
      <c r="J8314" s="74">
        <f>IF(E8314="SERVICE",I8314-(I8314*50%),Vlookup(E8314,DATABASE!C:Q,10,false)*F8314)</f>
        <v>0</v>
      </c>
      <c r="K8314" s="74">
        <f>VLOOKUP(E8314,DATABASE!C:Q,7,false)</f>
        <v>601000</v>
      </c>
      <c r="L8314" s="74">
        <v>601000.0</v>
      </c>
      <c r="M8314" s="74">
        <f t="shared" si="6"/>
        <v>605000</v>
      </c>
      <c r="N8314" s="74">
        <f t="shared" si="3"/>
        <v>170000</v>
      </c>
      <c r="O8314" s="65" t="str">
        <f>VLOOKUP(E8314,DATABASE!C:Q,8,false)</f>
        <v>IBU</v>
      </c>
      <c r="P8314" s="65">
        <f>VLOOKUP(E8314,DATABASE!C:Q,9,False)</f>
        <v>1</v>
      </c>
      <c r="Q8314" s="93" t="str">
        <f>VLOOKUP(E8314,DATABASE!C:Q,4,false)</f>
        <v>Dunlop</v>
      </c>
      <c r="R8314" s="93" t="str">
        <f>VLOOKUP(E8314,DATABASE!C:Q,11,false)</f>
        <v>Tire</v>
      </c>
    </row>
    <row r="8315" ht="22.5" customHeight="1">
      <c r="A8315" s="49"/>
      <c r="C8315" s="400">
        <v>46141.0</v>
      </c>
      <c r="D8315" s="524">
        <v>1204.0</v>
      </c>
      <c r="E8315" s="544" t="s">
        <v>256</v>
      </c>
      <c r="F8315" s="387">
        <v>1.0</v>
      </c>
      <c r="G8315" s="140">
        <v>175000.0</v>
      </c>
      <c r="H8315" s="140">
        <v>25000.0</v>
      </c>
      <c r="I8315" s="74">
        <f t="shared" si="1"/>
        <v>150000</v>
      </c>
      <c r="J8315" s="74">
        <f>IF(E8315="SERVICE",I8315-(I8315*50%),Vlookup(E8315,DATABASE!C:Q,10,false)*F8315)</f>
        <v>10000</v>
      </c>
      <c r="K8315" s="74">
        <f>VLOOKUP(E8315,DATABASE!C:Q,7,false)</f>
        <v>0</v>
      </c>
      <c r="L8315" s="74">
        <v>0.0</v>
      </c>
      <c r="M8315" s="74">
        <f t="shared" si="6"/>
        <v>0</v>
      </c>
      <c r="N8315" s="74">
        <f t="shared" si="3"/>
        <v>140000</v>
      </c>
      <c r="O8315" s="65" t="str">
        <f>VLOOKUP(E8315,DATABASE!C:Q,8,false)</f>
        <v>IBU</v>
      </c>
      <c r="P8315" s="65">
        <f>VLOOKUP(E8315,DATABASE!C:Q,9,False)</f>
        <v>0</v>
      </c>
      <c r="Q8315" s="93" t="str">
        <f>VLOOKUP(E8315,DATABASE!C:Q,4,false)</f>
        <v>SPOORING</v>
      </c>
      <c r="R8315" s="93" t="str">
        <f>VLOOKUP(E8315,DATABASE!C:Q,11,false)</f>
        <v>SERVICE</v>
      </c>
    </row>
    <row r="8316" ht="22.5" customHeight="1">
      <c r="A8316" s="49"/>
      <c r="C8316" s="400">
        <v>46141.0</v>
      </c>
      <c r="D8316" s="524">
        <v>1204.0</v>
      </c>
      <c r="E8316" s="544" t="s">
        <v>251</v>
      </c>
      <c r="F8316" s="387">
        <v>1.0</v>
      </c>
      <c r="G8316" s="140">
        <v>350000.0</v>
      </c>
      <c r="H8316" s="140">
        <v>200000.0</v>
      </c>
      <c r="I8316" s="74">
        <f t="shared" si="1"/>
        <v>150000</v>
      </c>
      <c r="J8316" s="74">
        <f>IF(E8316="SERVICE",I8316-(I8316*50%),Vlookup(E8316,DATABASE!C:Q,10,false)*F8316)</f>
        <v>75000</v>
      </c>
      <c r="K8316" s="74">
        <f>VLOOKUP(E8316,DATABASE!C:Q,7,false)</f>
        <v>0</v>
      </c>
      <c r="L8316" s="74">
        <v>0.0</v>
      </c>
      <c r="M8316" s="74">
        <f t="shared" si="6"/>
        <v>0</v>
      </c>
      <c r="N8316" s="74">
        <f t="shared" si="3"/>
        <v>75000</v>
      </c>
      <c r="O8316" s="65" t="str">
        <f>VLOOKUP(E8316,DATABASE!C:Q,8,false)</f>
        <v>IBU</v>
      </c>
      <c r="P8316" s="65">
        <f>VLOOKUP(E8316,DATABASE!C:Q,9,False)</f>
        <v>0</v>
      </c>
      <c r="Q8316" s="93" t="str">
        <f>VLOOKUP(E8316,DATABASE!C:Q,4,false)</f>
        <v>SERVICE</v>
      </c>
      <c r="R8316" s="93" t="str">
        <f>VLOOKUP(E8316,DATABASE!C:Q,11,false)</f>
        <v>SERVICE</v>
      </c>
    </row>
    <row r="8317" ht="22.5" customHeight="1">
      <c r="A8317" s="49"/>
      <c r="C8317" s="400">
        <v>46141.0</v>
      </c>
      <c r="D8317" s="524">
        <v>1205.0</v>
      </c>
      <c r="E8317" s="544" t="s">
        <v>265</v>
      </c>
      <c r="F8317" s="387">
        <v>1.0</v>
      </c>
      <c r="G8317" s="140">
        <v>700000.0</v>
      </c>
      <c r="H8317" s="74"/>
      <c r="I8317" s="74">
        <f t="shared" si="1"/>
        <v>700000</v>
      </c>
      <c r="J8317" s="74">
        <f>IF(E8317="SERVICE",I8317-(I8317*50%),Vlookup(E8317,DATABASE!C:Q,10,false)*F8317)</f>
        <v>0</v>
      </c>
      <c r="K8317" s="74">
        <f>VLOOKUP(E8317,DATABASE!C:Q,7,false)</f>
        <v>628000</v>
      </c>
      <c r="L8317" s="74">
        <v>610000.0</v>
      </c>
      <c r="M8317" s="74">
        <f t="shared" si="6"/>
        <v>610000</v>
      </c>
      <c r="N8317" s="74">
        <f t="shared" si="3"/>
        <v>90000</v>
      </c>
      <c r="O8317" s="65" t="str">
        <f>VLOOKUP(E8317,DATABASE!C:Q,8,false)</f>
        <v>IBU</v>
      </c>
      <c r="P8317" s="65">
        <f>VLOOKUP(E8317,DATABASE!C:Q,9,False)</f>
        <v>1</v>
      </c>
      <c r="Q8317" s="93" t="str">
        <f>VLOOKUP(E8317,DATABASE!C:Q,4,false)</f>
        <v>Dunlop</v>
      </c>
      <c r="R8317" s="93" t="str">
        <f>VLOOKUP(E8317,DATABASE!C:Q,11,false)</f>
        <v>Tire</v>
      </c>
    </row>
    <row r="8318" ht="22.5" customHeight="1">
      <c r="A8318" s="49"/>
      <c r="C8318" s="400">
        <v>46142.0</v>
      </c>
      <c r="D8318" s="524">
        <v>1206.0</v>
      </c>
      <c r="E8318" s="544" t="s">
        <v>271</v>
      </c>
      <c r="F8318" s="387">
        <v>2.0</v>
      </c>
      <c r="G8318" s="140">
        <v>640000.0</v>
      </c>
      <c r="H8318" s="74"/>
      <c r="I8318" s="74">
        <f t="shared" si="1"/>
        <v>1280000</v>
      </c>
      <c r="J8318" s="74">
        <f>IF(E8318="SERVICE",I8318-(I8318*50%),Vlookup(E8318,DATABASE!C:Q,10,false)*F8318)</f>
        <v>0</v>
      </c>
      <c r="K8318" s="74">
        <f>VLOOKUP(E8318,DATABASE!C:Q,7,false)</f>
        <v>570000</v>
      </c>
      <c r="L8318" s="74">
        <v>550000.0</v>
      </c>
      <c r="M8318" s="74">
        <f t="shared" si="6"/>
        <v>550000</v>
      </c>
      <c r="N8318" s="74">
        <f t="shared" si="3"/>
        <v>180000</v>
      </c>
      <c r="O8318" s="65" t="str">
        <f>VLOOKUP(E8318,DATABASE!C:Q,8,false)</f>
        <v>IBU</v>
      </c>
      <c r="P8318" s="65">
        <f>VLOOKUP(E8318,DATABASE!C:Q,9,False)</f>
        <v>1</v>
      </c>
      <c r="Q8318" s="93" t="str">
        <f>VLOOKUP(E8318,DATABASE!C:Q,4,false)</f>
        <v>Dunlop</v>
      </c>
      <c r="R8318" s="93" t="str">
        <f>VLOOKUP(E8318,DATABASE!C:Q,11,false)</f>
        <v>Tire</v>
      </c>
    </row>
    <row r="8319" ht="22.5" customHeight="1">
      <c r="A8319" s="49"/>
      <c r="C8319" s="400">
        <v>46142.0</v>
      </c>
      <c r="D8319" s="524">
        <v>1207.0</v>
      </c>
      <c r="E8319" s="544" t="s">
        <v>924</v>
      </c>
      <c r="F8319" s="387">
        <v>1.0</v>
      </c>
      <c r="G8319" s="140">
        <v>1650000.0</v>
      </c>
      <c r="H8319" s="74"/>
      <c r="I8319" s="74">
        <f t="shared" si="1"/>
        <v>1650000</v>
      </c>
      <c r="J8319" s="74">
        <f>IF(E8319="SERVICE",I8319-(I8319*50%),Vlookup(E8319,DATABASE!C:Q,10,false)*F8319)</f>
        <v>0</v>
      </c>
      <c r="K8319" s="74">
        <f>VLOOKUP(E8319,DATABASE!C:Q,7,false)</f>
        <v>1560000</v>
      </c>
      <c r="L8319" s="74">
        <v>1545000.0</v>
      </c>
      <c r="M8319" s="74">
        <f t="shared" si="6"/>
        <v>1545000</v>
      </c>
      <c r="N8319" s="74">
        <f t="shared" si="3"/>
        <v>105000</v>
      </c>
      <c r="O8319" s="65" t="str">
        <f>VLOOKUP(E8319,DATABASE!C:Q,8,false)</f>
        <v>BIAN</v>
      </c>
      <c r="P8319" s="65">
        <f>VLOOKUP(E8319,DATABASE!C:Q,9,False)</f>
        <v>1</v>
      </c>
      <c r="Q8319" s="93" t="str">
        <f>VLOOKUP(E8319,DATABASE!C:Q,4,false)</f>
        <v>TIRON</v>
      </c>
      <c r="R8319" s="93" t="str">
        <f>VLOOKUP(E8319,DATABASE!C:Q,11,false)</f>
        <v>Tire</v>
      </c>
    </row>
    <row r="8320" ht="22.5" customHeight="1">
      <c r="A8320" s="49"/>
      <c r="C8320" s="400">
        <v>46142.0</v>
      </c>
      <c r="D8320" s="524">
        <v>1208.0</v>
      </c>
      <c r="E8320" s="544" t="s">
        <v>256</v>
      </c>
      <c r="F8320" s="387">
        <v>1.0</v>
      </c>
      <c r="G8320" s="140">
        <v>175000.0</v>
      </c>
      <c r="H8320" s="140">
        <v>25000.0</v>
      </c>
      <c r="I8320" s="74">
        <f t="shared" si="1"/>
        <v>150000</v>
      </c>
      <c r="J8320" s="74">
        <f>IF(E8320="SERVICE",I8320-(I8320*50%),Vlookup(E8320,DATABASE!C:Q,10,false)*F8320)</f>
        <v>10000</v>
      </c>
      <c r="K8320" s="74">
        <f>VLOOKUP(E8320,DATABASE!C:Q,7,false)</f>
        <v>0</v>
      </c>
      <c r="L8320" s="74">
        <v>0.0</v>
      </c>
      <c r="M8320" s="74">
        <f t="shared" si="6"/>
        <v>0</v>
      </c>
      <c r="N8320" s="74">
        <f t="shared" si="3"/>
        <v>140000</v>
      </c>
      <c r="O8320" s="65" t="str">
        <f>VLOOKUP(E8320,DATABASE!C:Q,8,false)</f>
        <v>IBU</v>
      </c>
      <c r="P8320" s="65">
        <f>VLOOKUP(E8320,DATABASE!C:Q,9,False)</f>
        <v>0</v>
      </c>
      <c r="Q8320" s="93" t="str">
        <f>VLOOKUP(E8320,DATABASE!C:Q,4,false)</f>
        <v>SPOORING</v>
      </c>
      <c r="R8320" s="93" t="str">
        <f>VLOOKUP(E8320,DATABASE!C:Q,11,false)</f>
        <v>SERVICE</v>
      </c>
    </row>
    <row r="8321" ht="22.5" customHeight="1">
      <c r="A8321" s="49"/>
      <c r="C8321" s="400">
        <v>46142.0</v>
      </c>
      <c r="D8321" s="524">
        <v>1209.0</v>
      </c>
      <c r="E8321" s="544" t="s">
        <v>275</v>
      </c>
      <c r="F8321" s="387">
        <v>1.0</v>
      </c>
      <c r="G8321" s="140">
        <v>830000.0</v>
      </c>
      <c r="H8321" s="74"/>
      <c r="I8321" s="74">
        <f t="shared" si="1"/>
        <v>830000</v>
      </c>
      <c r="J8321" s="74">
        <f>IF(E8321="SERVICE",I8321-(I8321*50%),Vlookup(E8321,DATABASE!C:Q,10,false)*F8321)</f>
        <v>0</v>
      </c>
      <c r="K8321" s="74">
        <f>VLOOKUP(E8321,DATABASE!C:Q,7,false)</f>
        <v>782000</v>
      </c>
      <c r="L8321" s="74">
        <v>745000.0</v>
      </c>
      <c r="M8321" s="74">
        <f t="shared" si="6"/>
        <v>745000</v>
      </c>
      <c r="N8321" s="74">
        <f t="shared" si="3"/>
        <v>85000</v>
      </c>
      <c r="O8321" s="65" t="str">
        <f>VLOOKUP(E8321,DATABASE!C:Q,8,false)</f>
        <v>IBU</v>
      </c>
      <c r="P8321" s="65">
        <f>VLOOKUP(E8321,DATABASE!C:Q,9,False)</f>
        <v>1</v>
      </c>
      <c r="Q8321" s="93" t="str">
        <f>VLOOKUP(E8321,DATABASE!C:Q,4,false)</f>
        <v>Dunlop</v>
      </c>
      <c r="R8321" s="93" t="str">
        <f>VLOOKUP(E8321,DATABASE!C:Q,11,false)</f>
        <v>Tire</v>
      </c>
    </row>
    <row r="8322" ht="22.5" customHeight="1">
      <c r="A8322" s="49"/>
      <c r="C8322" s="400">
        <v>46142.0</v>
      </c>
      <c r="D8322" s="524">
        <v>1209.0</v>
      </c>
      <c r="E8322" s="544" t="s">
        <v>613</v>
      </c>
      <c r="F8322" s="387">
        <v>1.0</v>
      </c>
      <c r="G8322" s="140">
        <v>95000.0</v>
      </c>
      <c r="H8322" s="140">
        <v>5000.0</v>
      </c>
      <c r="I8322" s="74">
        <f t="shared" si="1"/>
        <v>90000</v>
      </c>
      <c r="J8322" s="74">
        <f>IF(E8322="SERVICE",I8322-(I8322*50%),Vlookup(E8322,DATABASE!C:Q,10,false)*F8322)</f>
        <v>0</v>
      </c>
      <c r="K8322" s="74">
        <f>VLOOKUP(E8322,DATABASE!C:Q,7,false)</f>
        <v>58371.2695</v>
      </c>
      <c r="L8322" s="74">
        <v>55000.0</v>
      </c>
      <c r="M8322" s="74">
        <f t="shared" si="6"/>
        <v>55000</v>
      </c>
      <c r="N8322" s="74">
        <f t="shared" si="3"/>
        <v>35000</v>
      </c>
      <c r="O8322" s="65" t="str">
        <f>VLOOKUP(E8322,DATABASE!C:Q,8,false)</f>
        <v>BIAN</v>
      </c>
      <c r="P8322" s="65">
        <f>VLOOKUP(E8322,DATABASE!C:Q,9,False)</f>
        <v>1</v>
      </c>
      <c r="Q8322" s="93" t="str">
        <f>VLOOKUP(E8322,DATABASE!C:Q,4,false)</f>
        <v>BD</v>
      </c>
      <c r="R8322" s="93" t="str">
        <f>VLOOKUP(E8322,DATABASE!C:Q,11,false)</f>
        <v>Tire</v>
      </c>
    </row>
    <row r="8323" ht="22.5" customHeight="1">
      <c r="A8323" s="49"/>
      <c r="C8323" s="400">
        <v>46142.0</v>
      </c>
      <c r="D8323" s="524">
        <v>1210.0</v>
      </c>
      <c r="E8323" s="544" t="s">
        <v>1548</v>
      </c>
      <c r="F8323" s="387">
        <v>2.0</v>
      </c>
      <c r="G8323" s="140">
        <v>880000.0</v>
      </c>
      <c r="H8323" s="74"/>
      <c r="I8323" s="74">
        <f t="shared" si="1"/>
        <v>1760000</v>
      </c>
      <c r="J8323" s="74">
        <f>IF(E8323="SERVICE",I8323-(I8323*50%),Vlookup(E8323,DATABASE!C:Q,10,false)*F8323)</f>
        <v>0</v>
      </c>
      <c r="K8323" s="74">
        <f>VLOOKUP(E8323,DATABASE!C:Q,7,false)</f>
        <v>778000</v>
      </c>
      <c r="L8323" s="74">
        <v>778000.0</v>
      </c>
      <c r="M8323" s="74">
        <f t="shared" si="6"/>
        <v>780000</v>
      </c>
      <c r="N8323" s="74">
        <f t="shared" si="3"/>
        <v>200000</v>
      </c>
      <c r="O8323" s="65" t="str">
        <f>VLOOKUP(E8323,DATABASE!C:Q,8,false)</f>
        <v>IBU</v>
      </c>
      <c r="P8323" s="65">
        <f>VLOOKUP(E8323,DATABASE!C:Q,9,False)</f>
        <v>1</v>
      </c>
      <c r="Q8323" s="93" t="str">
        <f>VLOOKUP(E8323,DATABASE!C:Q,4,false)</f>
        <v>Dunlop</v>
      </c>
      <c r="R8323" s="93" t="str">
        <f>VLOOKUP(E8323,DATABASE!C:Q,11,false)</f>
        <v>Tire</v>
      </c>
    </row>
    <row r="8324" ht="22.5" customHeight="1">
      <c r="A8324" s="49"/>
      <c r="C8324" s="400">
        <v>46142.0</v>
      </c>
      <c r="D8324" s="524">
        <v>1211.0</v>
      </c>
      <c r="E8324" s="544" t="s">
        <v>1361</v>
      </c>
      <c r="F8324" s="387">
        <v>2.0</v>
      </c>
      <c r="G8324" s="140">
        <v>985000.0</v>
      </c>
      <c r="H8324" s="74"/>
      <c r="I8324" s="74">
        <f t="shared" si="1"/>
        <v>1970000</v>
      </c>
      <c r="J8324" s="74">
        <f>IF(E8324="SERVICE",I8324-(I8324*50%),Vlookup(E8324,DATABASE!C:Q,10,false)*F8324)</f>
        <v>0</v>
      </c>
      <c r="K8324" s="74">
        <f>VLOOKUP(E8324,DATABASE!C:Q,7,false)</f>
        <v>881000</v>
      </c>
      <c r="L8324" s="74">
        <v>881000.0</v>
      </c>
      <c r="M8324" s="74">
        <f t="shared" si="6"/>
        <v>885000</v>
      </c>
      <c r="N8324" s="74">
        <f t="shared" si="3"/>
        <v>200000</v>
      </c>
      <c r="O8324" s="65" t="str">
        <f>VLOOKUP(E8324,DATABASE!C:Q,8,false)</f>
        <v>IBU</v>
      </c>
      <c r="P8324" s="65">
        <f>VLOOKUP(E8324,DATABASE!C:Q,9,False)</f>
        <v>1</v>
      </c>
      <c r="Q8324" s="93" t="str">
        <f>VLOOKUP(E8324,DATABASE!C:Q,4,false)</f>
        <v>Dunlop</v>
      </c>
      <c r="R8324" s="93" t="str">
        <f>VLOOKUP(E8324,DATABASE!C:Q,11,false)</f>
        <v>Tire</v>
      </c>
    </row>
    <row r="8325" ht="22.5" customHeight="1">
      <c r="A8325" s="49"/>
      <c r="C8325" s="400">
        <v>46142.0</v>
      </c>
      <c r="D8325" s="524">
        <v>1211.0</v>
      </c>
      <c r="E8325" s="544" t="s">
        <v>2611</v>
      </c>
      <c r="F8325" s="387">
        <v>1.0</v>
      </c>
      <c r="G8325" s="140">
        <v>115000.0</v>
      </c>
      <c r="H8325" s="74"/>
      <c r="I8325" s="74">
        <f t="shared" si="1"/>
        <v>115000</v>
      </c>
      <c r="J8325" s="74">
        <f>IF(E8325="SERVICE",I8325-(I8325*50%),Vlookup(E8325,DATABASE!C:Q,10,false)*F8325)</f>
        <v>0</v>
      </c>
      <c r="K8325" s="74">
        <f>VLOOKUP(E8325,DATABASE!C:Q,7,false)</f>
        <v>81000</v>
      </c>
      <c r="L8325" s="74">
        <v>81000.0</v>
      </c>
      <c r="M8325" s="74">
        <f t="shared" si="6"/>
        <v>85000</v>
      </c>
      <c r="N8325" s="74">
        <f t="shared" si="3"/>
        <v>30000</v>
      </c>
      <c r="O8325" s="65" t="str">
        <f>VLOOKUP(E8325,DATABASE!C:Q,8,false)</f>
        <v>BIAN</v>
      </c>
      <c r="P8325" s="65">
        <f>VLOOKUP(E8325,DATABASE!C:Q,9,False)</f>
        <v>1</v>
      </c>
      <c r="Q8325" s="93" t="str">
        <f>VLOOKUP(E8325,DATABASE!C:Q,4,false)</f>
        <v>BD IBK</v>
      </c>
      <c r="R8325" s="93" t="str">
        <f>VLOOKUP(E8325,DATABASE!C:Q,11,false)</f>
        <v>Tire</v>
      </c>
    </row>
    <row r="8326" ht="22.5" customHeight="1">
      <c r="A8326" s="49"/>
      <c r="C8326" s="400">
        <v>46142.0</v>
      </c>
      <c r="D8326" s="524">
        <v>1211.0</v>
      </c>
      <c r="E8326" s="544" t="s">
        <v>299</v>
      </c>
      <c r="F8326" s="387">
        <v>2.0</v>
      </c>
      <c r="G8326" s="140">
        <v>30000.0</v>
      </c>
      <c r="H8326" s="74"/>
      <c r="I8326" s="74">
        <f t="shared" si="1"/>
        <v>60000</v>
      </c>
      <c r="J8326" s="74">
        <f>IF(E8326="SERVICE",I8326-(I8326*50%),Vlookup(E8326,DATABASE!C:Q,10,false)*F8326)</f>
        <v>0</v>
      </c>
      <c r="K8326" s="74">
        <f>VLOOKUP(E8326,DATABASE!C:Q,7,false)</f>
        <v>10000</v>
      </c>
      <c r="L8326" s="74">
        <v>10000.0</v>
      </c>
      <c r="M8326" s="74">
        <f t="shared" si="6"/>
        <v>10000</v>
      </c>
      <c r="N8326" s="74">
        <f t="shared" si="3"/>
        <v>40000</v>
      </c>
      <c r="O8326" s="65" t="str">
        <f>VLOOKUP(E8326,DATABASE!C:Q,8,false)</f>
        <v>BIAN</v>
      </c>
      <c r="P8326" s="65">
        <f>VLOOKUP(E8326,DATABASE!C:Q,9,False)</f>
        <v>0</v>
      </c>
      <c r="Q8326" s="93" t="str">
        <f>VLOOKUP(E8326,DATABASE!C:Q,4,false)</f>
        <v>Balancing</v>
      </c>
      <c r="R8326" s="93" t="str">
        <f>VLOOKUP(E8326,DATABASE!C:Q,11,false)</f>
        <v>COMPLEMENTARY</v>
      </c>
    </row>
    <row r="8327" ht="22.5" customHeight="1">
      <c r="A8327" s="49"/>
      <c r="C8327" s="400">
        <v>46142.0</v>
      </c>
      <c r="D8327" s="524">
        <v>1212.0</v>
      </c>
      <c r="E8327" s="544" t="s">
        <v>256</v>
      </c>
      <c r="F8327" s="387">
        <v>1.0</v>
      </c>
      <c r="G8327" s="140">
        <v>175000.0</v>
      </c>
      <c r="H8327" s="140">
        <v>25000.0</v>
      </c>
      <c r="I8327" s="74">
        <f t="shared" si="1"/>
        <v>150000</v>
      </c>
      <c r="J8327" s="74">
        <f>IF(E8327="SERVICE",I8327-(I8327*50%),Vlookup(E8327,DATABASE!C:Q,10,false)*F8327)</f>
        <v>10000</v>
      </c>
      <c r="K8327" s="74">
        <f>VLOOKUP(E8327,DATABASE!C:Q,7,false)</f>
        <v>0</v>
      </c>
      <c r="L8327" s="74">
        <v>0.0</v>
      </c>
      <c r="M8327" s="74">
        <f t="shared" si="6"/>
        <v>0</v>
      </c>
      <c r="N8327" s="74">
        <f t="shared" si="3"/>
        <v>140000</v>
      </c>
      <c r="O8327" s="65" t="str">
        <f>VLOOKUP(E8327,DATABASE!C:Q,8,false)</f>
        <v>IBU</v>
      </c>
      <c r="P8327" s="65">
        <f>VLOOKUP(E8327,DATABASE!C:Q,9,False)</f>
        <v>0</v>
      </c>
      <c r="Q8327" s="93" t="str">
        <f>VLOOKUP(E8327,DATABASE!C:Q,4,false)</f>
        <v>SPOORING</v>
      </c>
      <c r="R8327" s="93" t="str">
        <f>VLOOKUP(E8327,DATABASE!C:Q,11,false)</f>
        <v>SERVICE</v>
      </c>
    </row>
    <row r="8328" ht="22.5" customHeight="1">
      <c r="A8328" s="49"/>
      <c r="C8328" s="400">
        <v>46142.0</v>
      </c>
      <c r="D8328" s="524">
        <v>1212.0</v>
      </c>
      <c r="E8328" s="544" t="s">
        <v>301</v>
      </c>
      <c r="F8328" s="387">
        <v>1.0</v>
      </c>
      <c r="G8328" s="140">
        <v>250000.0</v>
      </c>
      <c r="H8328" s="74"/>
      <c r="I8328" s="74">
        <f t="shared" si="1"/>
        <v>250000</v>
      </c>
      <c r="J8328" s="74">
        <f>IF(E8328="SERVICE",I8328-(I8328*50%),Vlookup(E8328,DATABASE!C:Q,10,false)*F8328)</f>
        <v>75000</v>
      </c>
      <c r="K8328" s="74">
        <f>VLOOKUP(E8328,DATABASE!C:Q,7,false)</f>
        <v>75000</v>
      </c>
      <c r="L8328" s="74">
        <v>75000.0</v>
      </c>
      <c r="M8328" s="74">
        <f t="shared" si="6"/>
        <v>75000</v>
      </c>
      <c r="N8328" s="74">
        <f t="shared" si="3"/>
        <v>100000</v>
      </c>
      <c r="O8328" s="65" t="str">
        <f>VLOOKUP(E8328,DATABASE!C:Q,8,false)</f>
        <v>BIAN</v>
      </c>
      <c r="P8328" s="65">
        <f>VLOOKUP(E8328,DATABASE!C:Q,9,False)</f>
        <v>0</v>
      </c>
      <c r="Q8328" s="93" t="str">
        <f>VLOOKUP(E8328,DATABASE!C:Q,4,false)</f>
        <v>Baut Camber</v>
      </c>
      <c r="R8328" s="93" t="str">
        <f>VLOOKUP(E8328,DATABASE!C:Q,11,false)</f>
        <v>COMPLEMENTARY</v>
      </c>
    </row>
    <row r="8329" ht="22.5" customHeight="1">
      <c r="A8329" s="49"/>
      <c r="C8329" s="400">
        <v>46142.0</v>
      </c>
      <c r="D8329" s="524">
        <v>1213.0</v>
      </c>
      <c r="E8329" s="544" t="s">
        <v>256</v>
      </c>
      <c r="F8329" s="387">
        <v>1.0</v>
      </c>
      <c r="G8329" s="140">
        <v>175000.0</v>
      </c>
      <c r="H8329" s="140">
        <v>25000.0</v>
      </c>
      <c r="I8329" s="74">
        <f t="shared" si="1"/>
        <v>150000</v>
      </c>
      <c r="J8329" s="74">
        <f>IF(E8329="SERVICE",I8329-(I8329*50%),Vlookup(E8329,DATABASE!C:Q,10,false)*F8329)</f>
        <v>10000</v>
      </c>
      <c r="K8329" s="74">
        <f>VLOOKUP(E8329,DATABASE!C:Q,7,false)</f>
        <v>0</v>
      </c>
      <c r="L8329" s="74">
        <v>0.0</v>
      </c>
      <c r="M8329" s="74">
        <f t="shared" si="6"/>
        <v>0</v>
      </c>
      <c r="N8329" s="74">
        <f t="shared" si="3"/>
        <v>140000</v>
      </c>
      <c r="O8329" s="65" t="str">
        <f>VLOOKUP(E8329,DATABASE!C:Q,8,false)</f>
        <v>IBU</v>
      </c>
      <c r="P8329" s="65">
        <f>VLOOKUP(E8329,DATABASE!C:Q,9,False)</f>
        <v>0</v>
      </c>
      <c r="Q8329" s="93" t="str">
        <f>VLOOKUP(E8329,DATABASE!C:Q,4,false)</f>
        <v>SPOORING</v>
      </c>
      <c r="R8329" s="93" t="str">
        <f>VLOOKUP(E8329,DATABASE!C:Q,11,false)</f>
        <v>SERVICE</v>
      </c>
    </row>
    <row r="8330" ht="22.5" customHeight="1">
      <c r="A8330" s="49"/>
      <c r="C8330" s="400">
        <v>46142.0</v>
      </c>
      <c r="D8330" s="524">
        <v>1215.0</v>
      </c>
      <c r="E8330" s="544" t="s">
        <v>251</v>
      </c>
      <c r="F8330" s="387">
        <v>1.0</v>
      </c>
      <c r="G8330" s="140">
        <v>350000.0</v>
      </c>
      <c r="H8330" s="140">
        <v>100000.0</v>
      </c>
      <c r="I8330" s="74">
        <f t="shared" si="1"/>
        <v>250000</v>
      </c>
      <c r="J8330" s="74">
        <f>IF(E8330="SERVICE",I8330-(I8330*50%),Vlookup(E8330,DATABASE!C:Q,10,false)*F8330)</f>
        <v>125000</v>
      </c>
      <c r="K8330" s="74">
        <f>VLOOKUP(E8330,DATABASE!C:Q,7,false)</f>
        <v>0</v>
      </c>
      <c r="L8330" s="74">
        <v>0.0</v>
      </c>
      <c r="M8330" s="74">
        <f t="shared" si="6"/>
        <v>0</v>
      </c>
      <c r="N8330" s="74">
        <f t="shared" si="3"/>
        <v>125000</v>
      </c>
      <c r="O8330" s="65" t="str">
        <f>VLOOKUP(E8330,DATABASE!C:Q,8,false)</f>
        <v>IBU</v>
      </c>
      <c r="P8330" s="65">
        <f>VLOOKUP(E8330,DATABASE!C:Q,9,False)</f>
        <v>0</v>
      </c>
      <c r="Q8330" s="93" t="str">
        <f>VLOOKUP(E8330,DATABASE!C:Q,4,false)</f>
        <v>SERVICE</v>
      </c>
      <c r="R8330" s="93" t="str">
        <f>VLOOKUP(E8330,DATABASE!C:Q,11,false)</f>
        <v>SERVICE</v>
      </c>
    </row>
    <row r="8331" ht="22.5" customHeight="1">
      <c r="A8331" s="49"/>
      <c r="C8331" s="400">
        <v>46142.0</v>
      </c>
      <c r="D8331" s="524">
        <v>1216.0</v>
      </c>
      <c r="E8331" s="544" t="s">
        <v>256</v>
      </c>
      <c r="F8331" s="387">
        <v>1.0</v>
      </c>
      <c r="G8331" s="140">
        <v>175000.0</v>
      </c>
      <c r="H8331" s="140">
        <v>25000.0</v>
      </c>
      <c r="I8331" s="74">
        <f t="shared" si="1"/>
        <v>150000</v>
      </c>
      <c r="J8331" s="74">
        <f>IF(E8331="SERVICE",I8331-(I8331*50%),Vlookup(E8331,DATABASE!C:Q,10,false)*F8331)</f>
        <v>10000</v>
      </c>
      <c r="K8331" s="74">
        <f>VLOOKUP(E8331,DATABASE!C:Q,7,false)</f>
        <v>0</v>
      </c>
      <c r="L8331" s="74">
        <v>0.0</v>
      </c>
      <c r="M8331" s="74">
        <f t="shared" si="6"/>
        <v>0</v>
      </c>
      <c r="N8331" s="74">
        <f t="shared" si="3"/>
        <v>140000</v>
      </c>
      <c r="O8331" s="65" t="str">
        <f>VLOOKUP(E8331,DATABASE!C:Q,8,false)</f>
        <v>IBU</v>
      </c>
      <c r="P8331" s="65">
        <f>VLOOKUP(E8331,DATABASE!C:Q,9,False)</f>
        <v>0</v>
      </c>
      <c r="Q8331" s="93" t="str">
        <f>VLOOKUP(E8331,DATABASE!C:Q,4,false)</f>
        <v>SPOORING</v>
      </c>
      <c r="R8331" s="93" t="str">
        <f>VLOOKUP(E8331,DATABASE!C:Q,11,false)</f>
        <v>SERVICE</v>
      </c>
    </row>
    <row r="8332" ht="22.5" customHeight="1">
      <c r="A8332" s="49"/>
      <c r="C8332" s="400">
        <v>46142.0</v>
      </c>
      <c r="D8332" s="524">
        <v>1216.0</v>
      </c>
      <c r="E8332" s="544" t="s">
        <v>301</v>
      </c>
      <c r="F8332" s="387">
        <v>1.0</v>
      </c>
      <c r="G8332" s="140">
        <v>250000.0</v>
      </c>
      <c r="H8332" s="74"/>
      <c r="I8332" s="74">
        <f t="shared" si="1"/>
        <v>250000</v>
      </c>
      <c r="J8332" s="74">
        <f>IF(E8332="SERVICE",I8332-(I8332*50%),Vlookup(E8332,DATABASE!C:Q,10,false)*F8332)</f>
        <v>75000</v>
      </c>
      <c r="K8332" s="74">
        <f>VLOOKUP(E8332,DATABASE!C:Q,7,false)</f>
        <v>75000</v>
      </c>
      <c r="L8332" s="74">
        <v>75000.0</v>
      </c>
      <c r="M8332" s="74">
        <f t="shared" si="6"/>
        <v>75000</v>
      </c>
      <c r="N8332" s="74">
        <f t="shared" si="3"/>
        <v>100000</v>
      </c>
      <c r="O8332" s="65" t="str">
        <f>VLOOKUP(E8332,DATABASE!C:Q,8,false)</f>
        <v>BIAN</v>
      </c>
      <c r="P8332" s="65">
        <f>VLOOKUP(E8332,DATABASE!C:Q,9,False)</f>
        <v>0</v>
      </c>
      <c r="Q8332" s="93" t="str">
        <f>VLOOKUP(E8332,DATABASE!C:Q,4,false)</f>
        <v>Baut Camber</v>
      </c>
      <c r="R8332" s="93" t="str">
        <f>VLOOKUP(E8332,DATABASE!C:Q,11,false)</f>
        <v>COMPLEMENTARY</v>
      </c>
    </row>
    <row r="8333" ht="22.5" customHeight="1">
      <c r="A8333" s="49"/>
      <c r="C8333" s="400">
        <v>46142.0</v>
      </c>
      <c r="D8333" s="524">
        <v>1217.0</v>
      </c>
      <c r="E8333" s="544" t="s">
        <v>262</v>
      </c>
      <c r="F8333" s="387">
        <v>1.0</v>
      </c>
      <c r="G8333" s="140">
        <v>130000.0</v>
      </c>
      <c r="H8333" s="74"/>
      <c r="I8333" s="74">
        <f t="shared" si="1"/>
        <v>130000</v>
      </c>
      <c r="J8333" s="74">
        <f>IF(E8333="SERVICE",I8333-(I8333*50%),Vlookup(E8333,DATABASE!C:Q,10,false)*F8333)</f>
        <v>5000</v>
      </c>
      <c r="K8333" s="74">
        <f>VLOOKUP(E8333,DATABASE!C:Q,7,false)</f>
        <v>0</v>
      </c>
      <c r="L8333" s="74">
        <v>0.0</v>
      </c>
      <c r="M8333" s="74">
        <f t="shared" si="6"/>
        <v>0</v>
      </c>
      <c r="N8333" s="74">
        <f t="shared" si="3"/>
        <v>125000</v>
      </c>
      <c r="O8333" s="65" t="str">
        <f>VLOOKUP(E8333,DATABASE!C:Q,8,false)</f>
        <v>IBU</v>
      </c>
      <c r="P8333" s="65">
        <f>VLOOKUP(E8333,DATABASE!C:Q,9,False)</f>
        <v>0</v>
      </c>
      <c r="Q8333" s="93" t="str">
        <f>VLOOKUP(E8333,DATABASE!C:Q,4,false)</f>
        <v>SPOORING SS/CARRY LOS BAK</v>
      </c>
      <c r="R8333" s="93" t="str">
        <f>VLOOKUP(E8333,DATABASE!C:Q,11,false)</f>
        <v>SERVICE</v>
      </c>
    </row>
    <row r="8334" ht="22.5" customHeight="1">
      <c r="A8334" s="49"/>
      <c r="C8334" s="400">
        <v>46142.0</v>
      </c>
      <c r="D8334" s="69" t="s">
        <v>2795</v>
      </c>
      <c r="E8334" s="544" t="s">
        <v>248</v>
      </c>
      <c r="F8334" s="387">
        <v>1.0</v>
      </c>
      <c r="G8334" s="140">
        <v>210000.0</v>
      </c>
      <c r="H8334" s="140">
        <v>10000.0</v>
      </c>
      <c r="I8334" s="74">
        <f t="shared" si="1"/>
        <v>200000</v>
      </c>
      <c r="J8334" s="74">
        <f>IF(E8334="SERVICE",I8334-(I8334*50%),Vlookup(E8334,DATABASE!C:Q,10,false)*F8334)</f>
        <v>0</v>
      </c>
      <c r="K8334" s="74">
        <f>VLOOKUP(E8334,DATABASE!C:Q,7,false)</f>
        <v>209816.66</v>
      </c>
      <c r="L8334" s="74">
        <v>160833.0</v>
      </c>
      <c r="M8334" s="74">
        <f t="shared" si="6"/>
        <v>165000</v>
      </c>
      <c r="N8334" s="74">
        <f t="shared" si="3"/>
        <v>35000</v>
      </c>
      <c r="O8334" s="65" t="str">
        <f>VLOOKUP(E8334,DATABASE!C:Q,8,false)</f>
        <v>NON</v>
      </c>
      <c r="P8334" s="65">
        <f>VLOOKUP(E8334,DATABASE!C:Q,9,False)</f>
        <v>0</v>
      </c>
      <c r="Q8334" s="93" t="str">
        <f>VLOOKUP(E8334,DATABASE!C:Q,4,false)</f>
        <v>Pertamina</v>
      </c>
      <c r="R8334" s="93" t="str">
        <f>VLOOKUP(E8334,DATABASE!C:Q,11,false)</f>
        <v>OIL</v>
      </c>
    </row>
    <row r="8335" ht="22.5" customHeight="1">
      <c r="A8335" s="49"/>
      <c r="C8335" s="400">
        <v>46142.0</v>
      </c>
      <c r="D8335" s="69" t="s">
        <v>2796</v>
      </c>
      <c r="E8335" s="544" t="s">
        <v>248</v>
      </c>
      <c r="F8335" s="387">
        <v>1.0</v>
      </c>
      <c r="G8335" s="140">
        <v>210000.0</v>
      </c>
      <c r="H8335" s="140">
        <v>10000.0</v>
      </c>
      <c r="I8335" s="74">
        <f t="shared" si="1"/>
        <v>200000</v>
      </c>
      <c r="J8335" s="74">
        <f>IF(E8335="SERVICE",I8335-(I8335*50%),Vlookup(E8335,DATABASE!C:Q,10,false)*F8335)</f>
        <v>0</v>
      </c>
      <c r="K8335" s="74">
        <f>VLOOKUP(E8335,DATABASE!C:Q,7,false)</f>
        <v>209816.66</v>
      </c>
      <c r="L8335" s="74">
        <v>160833.0</v>
      </c>
      <c r="M8335" s="74">
        <f t="shared" si="6"/>
        <v>165000</v>
      </c>
      <c r="N8335" s="74">
        <f t="shared" si="3"/>
        <v>35000</v>
      </c>
      <c r="O8335" s="65" t="str">
        <f>VLOOKUP(E8335,DATABASE!C:Q,8,false)</f>
        <v>NON</v>
      </c>
      <c r="P8335" s="65">
        <f>VLOOKUP(E8335,DATABASE!C:Q,9,False)</f>
        <v>0</v>
      </c>
      <c r="Q8335" s="93" t="str">
        <f>VLOOKUP(E8335,DATABASE!C:Q,4,false)</f>
        <v>Pertamina</v>
      </c>
      <c r="R8335" s="93" t="str">
        <f>VLOOKUP(E8335,DATABASE!C:Q,11,false)</f>
        <v>OIL</v>
      </c>
    </row>
    <row r="8336" ht="22.5" customHeight="1">
      <c r="A8336" s="49"/>
      <c r="C8336" s="400">
        <v>46142.0</v>
      </c>
      <c r="D8336" s="69" t="s">
        <v>2796</v>
      </c>
      <c r="E8336" s="544" t="s">
        <v>252</v>
      </c>
      <c r="F8336" s="387">
        <v>1.0</v>
      </c>
      <c r="G8336" s="140">
        <v>325000.0</v>
      </c>
      <c r="H8336" s="74"/>
      <c r="I8336" s="74">
        <f t="shared" si="1"/>
        <v>325000</v>
      </c>
      <c r="J8336" s="74">
        <f>IF(E8336="SERVICE",I8336-(I8336*50%),Vlookup(E8336,DATABASE!C:Q,10,false)*F8336)</f>
        <v>0</v>
      </c>
      <c r="K8336" s="74">
        <f>VLOOKUP(E8336,DATABASE!C:Q,7,false)</f>
        <v>317518</v>
      </c>
      <c r="L8336" s="74">
        <v>275500.0</v>
      </c>
      <c r="M8336" s="74">
        <f t="shared" si="6"/>
        <v>280000</v>
      </c>
      <c r="N8336" s="74">
        <f t="shared" si="3"/>
        <v>45000</v>
      </c>
      <c r="O8336" s="65" t="str">
        <f>VLOOKUP(E8336,DATABASE!C:Q,8,false)</f>
        <v>NON</v>
      </c>
      <c r="P8336" s="65">
        <f>VLOOKUP(E8336,DATABASE!C:Q,9,False)</f>
        <v>0</v>
      </c>
      <c r="Q8336" s="93" t="str">
        <f>VLOOKUP(E8336,DATABASE!C:Q,4,false)</f>
        <v>Shell</v>
      </c>
      <c r="R8336" s="93" t="str">
        <f>VLOOKUP(E8336,DATABASE!C:Q,11,false)</f>
        <v>OIL</v>
      </c>
    </row>
    <row r="8337" ht="22.5" customHeight="1">
      <c r="A8337" s="49"/>
      <c r="C8337" s="400">
        <v>46143.0</v>
      </c>
      <c r="D8337" s="524">
        <v>1218.0</v>
      </c>
      <c r="E8337" s="544" t="s">
        <v>275</v>
      </c>
      <c r="F8337" s="387">
        <v>1.0</v>
      </c>
      <c r="G8337" s="140">
        <v>830000.0</v>
      </c>
      <c r="H8337" s="74"/>
      <c r="I8337" s="74">
        <f t="shared" si="1"/>
        <v>830000</v>
      </c>
      <c r="J8337" s="74">
        <f>IF(E8337="SERVICE",I8337-(I8337*50%),Vlookup(E8337,DATABASE!C:Q,10,false)*F8337)</f>
        <v>0</v>
      </c>
      <c r="K8337" s="74">
        <f>VLOOKUP(E8337,DATABASE!C:Q,7,false)</f>
        <v>782000</v>
      </c>
      <c r="L8337" s="74">
        <v>745000.0</v>
      </c>
      <c r="M8337" s="74">
        <f t="shared" si="6"/>
        <v>745000</v>
      </c>
      <c r="N8337" s="74">
        <f t="shared" si="3"/>
        <v>85000</v>
      </c>
      <c r="O8337" s="65" t="str">
        <f>VLOOKUP(E8337,DATABASE!C:Q,8,false)</f>
        <v>IBU</v>
      </c>
      <c r="P8337" s="65">
        <f>VLOOKUP(E8337,DATABASE!C:Q,9,False)</f>
        <v>1</v>
      </c>
      <c r="Q8337" s="93" t="str">
        <f>VLOOKUP(E8337,DATABASE!C:Q,4,false)</f>
        <v>Dunlop</v>
      </c>
      <c r="R8337" s="93" t="str">
        <f>VLOOKUP(E8337,DATABASE!C:Q,11,false)</f>
        <v>Tire</v>
      </c>
    </row>
    <row r="8338" ht="22.5" customHeight="1">
      <c r="A8338" s="49"/>
      <c r="C8338" s="400">
        <v>46143.0</v>
      </c>
      <c r="D8338" s="524">
        <v>1218.0</v>
      </c>
      <c r="E8338" s="544" t="s">
        <v>613</v>
      </c>
      <c r="F8338" s="387">
        <v>1.0</v>
      </c>
      <c r="G8338" s="140">
        <v>95000.0</v>
      </c>
      <c r="H8338" s="74"/>
      <c r="I8338" s="74">
        <f t="shared" si="1"/>
        <v>95000</v>
      </c>
      <c r="J8338" s="74">
        <f>IF(E8338="SERVICE",I8338-(I8338*50%),Vlookup(E8338,DATABASE!C:Q,10,false)*F8338)</f>
        <v>0</v>
      </c>
      <c r="K8338" s="74">
        <f>VLOOKUP(E8338,DATABASE!C:Q,7,false)</f>
        <v>58371.2695</v>
      </c>
      <c r="L8338" s="74">
        <v>55000.0</v>
      </c>
      <c r="M8338" s="74">
        <f t="shared" si="6"/>
        <v>55000</v>
      </c>
      <c r="N8338" s="74">
        <f t="shared" si="3"/>
        <v>40000</v>
      </c>
      <c r="O8338" s="65" t="str">
        <f>VLOOKUP(E8338,DATABASE!C:Q,8,false)</f>
        <v>BIAN</v>
      </c>
      <c r="P8338" s="65">
        <f>VLOOKUP(E8338,DATABASE!C:Q,9,False)</f>
        <v>1</v>
      </c>
      <c r="Q8338" s="93" t="str">
        <f>VLOOKUP(E8338,DATABASE!C:Q,4,false)</f>
        <v>BD</v>
      </c>
      <c r="R8338" s="93" t="str">
        <f>VLOOKUP(E8338,DATABASE!C:Q,11,false)</f>
        <v>Tire</v>
      </c>
    </row>
    <row r="8339" ht="22.5" customHeight="1">
      <c r="A8339" s="49"/>
      <c r="C8339" s="400">
        <v>46143.0</v>
      </c>
      <c r="D8339" s="524">
        <v>1220.0</v>
      </c>
      <c r="E8339" s="544" t="s">
        <v>275</v>
      </c>
      <c r="F8339" s="387">
        <v>1.0</v>
      </c>
      <c r="G8339" s="140">
        <v>830000.0</v>
      </c>
      <c r="H8339" s="74"/>
      <c r="I8339" s="74">
        <f t="shared" si="1"/>
        <v>830000</v>
      </c>
      <c r="J8339" s="74">
        <f>IF(E8339="SERVICE",I8339-(I8339*50%),Vlookup(E8339,DATABASE!C:Q,10,false)*F8339)</f>
        <v>0</v>
      </c>
      <c r="K8339" s="74">
        <f>VLOOKUP(E8339,DATABASE!C:Q,7,false)</f>
        <v>782000</v>
      </c>
      <c r="L8339" s="74">
        <v>745000.0</v>
      </c>
      <c r="M8339" s="74">
        <f t="shared" si="6"/>
        <v>745000</v>
      </c>
      <c r="N8339" s="74">
        <f t="shared" si="3"/>
        <v>85000</v>
      </c>
      <c r="O8339" s="65" t="str">
        <f>VLOOKUP(E8339,DATABASE!C:Q,8,false)</f>
        <v>IBU</v>
      </c>
      <c r="P8339" s="65">
        <f>VLOOKUP(E8339,DATABASE!C:Q,9,False)</f>
        <v>1</v>
      </c>
      <c r="Q8339" s="93" t="str">
        <f>VLOOKUP(E8339,DATABASE!C:Q,4,false)</f>
        <v>Dunlop</v>
      </c>
      <c r="R8339" s="93" t="str">
        <f>VLOOKUP(E8339,DATABASE!C:Q,11,false)</f>
        <v>Tire</v>
      </c>
    </row>
    <row r="8340" ht="22.5" customHeight="1">
      <c r="A8340" s="49"/>
      <c r="C8340" s="400">
        <v>46143.0</v>
      </c>
      <c r="D8340" s="524">
        <v>1220.0</v>
      </c>
      <c r="E8340" s="544" t="s">
        <v>604</v>
      </c>
      <c r="F8340" s="387">
        <v>1.0</v>
      </c>
      <c r="G8340" s="140">
        <v>170000.0</v>
      </c>
      <c r="H8340" s="140">
        <v>10000.0</v>
      </c>
      <c r="I8340" s="74">
        <f t="shared" si="1"/>
        <v>160000</v>
      </c>
      <c r="J8340" s="74">
        <f>IF(E8340="SERVICE",I8340-(I8340*50%),Vlookup(E8340,DATABASE!C:Q,10,false)*F8340)</f>
        <v>0</v>
      </c>
      <c r="K8340" s="74">
        <f>VLOOKUP(E8340,DATABASE!C:Q,7,false)</f>
        <v>124000</v>
      </c>
      <c r="L8340" s="74">
        <v>124000.0</v>
      </c>
      <c r="M8340" s="74">
        <f t="shared" si="6"/>
        <v>125000</v>
      </c>
      <c r="N8340" s="74">
        <f t="shared" si="3"/>
        <v>35000</v>
      </c>
      <c r="O8340" s="65" t="str">
        <f>VLOOKUP(E8340,DATABASE!C:Q,8,false)</f>
        <v>BIAN</v>
      </c>
      <c r="P8340" s="65">
        <f>VLOOKUP(E8340,DATABASE!C:Q,9,False)</f>
        <v>1</v>
      </c>
      <c r="Q8340" s="93" t="str">
        <f>VLOOKUP(E8340,DATABASE!C:Q,4,false)</f>
        <v>BD</v>
      </c>
      <c r="R8340" s="93" t="str">
        <f>VLOOKUP(E8340,DATABASE!C:Q,11,false)</f>
        <v>Tire</v>
      </c>
    </row>
    <row r="8341" ht="22.5" customHeight="1">
      <c r="A8341" s="49"/>
      <c r="C8341" s="400">
        <v>46143.0</v>
      </c>
      <c r="D8341" s="524">
        <v>1221.0</v>
      </c>
      <c r="E8341" s="544" t="s">
        <v>256</v>
      </c>
      <c r="F8341" s="387">
        <v>1.0</v>
      </c>
      <c r="G8341" s="140">
        <v>175000.0</v>
      </c>
      <c r="H8341" s="140">
        <v>25000.0</v>
      </c>
      <c r="I8341" s="74">
        <f t="shared" si="1"/>
        <v>150000</v>
      </c>
      <c r="J8341" s="74">
        <f>IF(E8341="SERVICE",I8341-(I8341*50%),Vlookup(E8341,DATABASE!C:Q,10,false)*F8341)</f>
        <v>10000</v>
      </c>
      <c r="K8341" s="74">
        <f>VLOOKUP(E8341,DATABASE!C:Q,7,false)</f>
        <v>0</v>
      </c>
      <c r="L8341" s="74">
        <v>0.0</v>
      </c>
      <c r="M8341" s="74">
        <f t="shared" si="6"/>
        <v>0</v>
      </c>
      <c r="N8341" s="74">
        <f t="shared" si="3"/>
        <v>140000</v>
      </c>
      <c r="O8341" s="65" t="str">
        <f>VLOOKUP(E8341,DATABASE!C:Q,8,false)</f>
        <v>IBU</v>
      </c>
      <c r="P8341" s="65">
        <f>VLOOKUP(E8341,DATABASE!C:Q,9,False)</f>
        <v>0</v>
      </c>
      <c r="Q8341" s="93" t="str">
        <f>VLOOKUP(E8341,DATABASE!C:Q,4,false)</f>
        <v>SPOORING</v>
      </c>
      <c r="R8341" s="93" t="str">
        <f>VLOOKUP(E8341,DATABASE!C:Q,11,false)</f>
        <v>SERVICE</v>
      </c>
    </row>
    <row r="8342" ht="22.5" customHeight="1">
      <c r="A8342" s="49"/>
      <c r="C8342" s="400">
        <v>46143.0</v>
      </c>
      <c r="D8342" s="524">
        <v>1221.0</v>
      </c>
      <c r="E8342" s="544" t="s">
        <v>299</v>
      </c>
      <c r="F8342" s="387">
        <v>2.0</v>
      </c>
      <c r="G8342" s="140">
        <v>30000.0</v>
      </c>
      <c r="H8342" s="74"/>
      <c r="I8342" s="74">
        <f t="shared" si="1"/>
        <v>60000</v>
      </c>
      <c r="J8342" s="74">
        <f>IF(E8342="SERVICE",I8342-(I8342*50%),Vlookup(E8342,DATABASE!C:Q,10,false)*F8342)</f>
        <v>0</v>
      </c>
      <c r="K8342" s="74">
        <f>VLOOKUP(E8342,DATABASE!C:Q,7,false)</f>
        <v>10000</v>
      </c>
      <c r="L8342" s="74">
        <v>10000.0</v>
      </c>
      <c r="M8342" s="74">
        <f t="shared" si="6"/>
        <v>10000</v>
      </c>
      <c r="N8342" s="74">
        <f t="shared" si="3"/>
        <v>40000</v>
      </c>
      <c r="O8342" s="65" t="str">
        <f>VLOOKUP(E8342,DATABASE!C:Q,8,false)</f>
        <v>BIAN</v>
      </c>
      <c r="P8342" s="65">
        <f>VLOOKUP(E8342,DATABASE!C:Q,9,False)</f>
        <v>0</v>
      </c>
      <c r="Q8342" s="93" t="str">
        <f>VLOOKUP(E8342,DATABASE!C:Q,4,false)</f>
        <v>Balancing</v>
      </c>
      <c r="R8342" s="93" t="str">
        <f>VLOOKUP(E8342,DATABASE!C:Q,11,false)</f>
        <v>COMPLEMENTARY</v>
      </c>
    </row>
    <row r="8343" ht="22.5" customHeight="1">
      <c r="A8343" s="49"/>
      <c r="C8343" s="400">
        <v>46143.0</v>
      </c>
      <c r="D8343" s="524">
        <v>1221.0</v>
      </c>
      <c r="E8343" s="544" t="s">
        <v>301</v>
      </c>
      <c r="F8343" s="387">
        <v>1.0</v>
      </c>
      <c r="G8343" s="140">
        <v>250000.0</v>
      </c>
      <c r="H8343" s="74"/>
      <c r="I8343" s="74">
        <f t="shared" si="1"/>
        <v>250000</v>
      </c>
      <c r="J8343" s="74">
        <f>IF(E8343="SERVICE",I8343-(I8343*50%),Vlookup(E8343,DATABASE!C:Q,10,false)*F8343)</f>
        <v>75000</v>
      </c>
      <c r="K8343" s="74">
        <f>VLOOKUP(E8343,DATABASE!C:Q,7,false)</f>
        <v>75000</v>
      </c>
      <c r="L8343" s="74">
        <v>75000.0</v>
      </c>
      <c r="M8343" s="74">
        <f t="shared" si="6"/>
        <v>75000</v>
      </c>
      <c r="N8343" s="74">
        <f t="shared" si="3"/>
        <v>100000</v>
      </c>
      <c r="O8343" s="65" t="str">
        <f>VLOOKUP(E8343,DATABASE!C:Q,8,false)</f>
        <v>BIAN</v>
      </c>
      <c r="P8343" s="65">
        <f>VLOOKUP(E8343,DATABASE!C:Q,9,False)</f>
        <v>0</v>
      </c>
      <c r="Q8343" s="93" t="str">
        <f>VLOOKUP(E8343,DATABASE!C:Q,4,false)</f>
        <v>Baut Camber</v>
      </c>
      <c r="R8343" s="93" t="str">
        <f>VLOOKUP(E8343,DATABASE!C:Q,11,false)</f>
        <v>COMPLEMENTARY</v>
      </c>
    </row>
    <row r="8344" ht="22.5" customHeight="1">
      <c r="A8344" s="49"/>
      <c r="C8344" s="400">
        <v>46143.0</v>
      </c>
      <c r="D8344" s="524">
        <v>1222.0</v>
      </c>
      <c r="E8344" s="544" t="s">
        <v>299</v>
      </c>
      <c r="F8344" s="387">
        <v>2.0</v>
      </c>
      <c r="G8344" s="140">
        <v>30000.0</v>
      </c>
      <c r="H8344" s="74"/>
      <c r="I8344" s="74">
        <f t="shared" si="1"/>
        <v>60000</v>
      </c>
      <c r="J8344" s="74">
        <f>IF(E8344="SERVICE",I8344-(I8344*50%),Vlookup(E8344,DATABASE!C:Q,10,false)*F8344)</f>
        <v>0</v>
      </c>
      <c r="K8344" s="74">
        <f>VLOOKUP(E8344,DATABASE!C:Q,7,false)</f>
        <v>10000</v>
      </c>
      <c r="L8344" s="74">
        <v>10000.0</v>
      </c>
      <c r="M8344" s="74">
        <f t="shared" si="6"/>
        <v>10000</v>
      </c>
      <c r="N8344" s="74">
        <f t="shared" si="3"/>
        <v>40000</v>
      </c>
      <c r="O8344" s="65" t="str">
        <f>VLOOKUP(E8344,DATABASE!C:Q,8,false)</f>
        <v>BIAN</v>
      </c>
      <c r="P8344" s="65">
        <f>VLOOKUP(E8344,DATABASE!C:Q,9,False)</f>
        <v>0</v>
      </c>
      <c r="Q8344" s="93" t="str">
        <f>VLOOKUP(E8344,DATABASE!C:Q,4,false)</f>
        <v>Balancing</v>
      </c>
      <c r="R8344" s="93" t="str">
        <f>VLOOKUP(E8344,DATABASE!C:Q,11,false)</f>
        <v>COMPLEMENTARY</v>
      </c>
    </row>
    <row r="8345" ht="22.5" customHeight="1">
      <c r="A8345" s="49"/>
      <c r="C8345" s="400">
        <v>46143.0</v>
      </c>
      <c r="D8345" s="524">
        <v>1223.0</v>
      </c>
      <c r="E8345" s="544" t="s">
        <v>1076</v>
      </c>
      <c r="F8345" s="387">
        <v>2.0</v>
      </c>
      <c r="G8345" s="140">
        <v>770000.0</v>
      </c>
      <c r="H8345" s="74"/>
      <c r="I8345" s="74">
        <f t="shared" si="1"/>
        <v>1540000</v>
      </c>
      <c r="J8345" s="74">
        <f>IF(E8345="SERVICE",I8345-(I8345*50%),Vlookup(E8345,DATABASE!C:Q,10,false)*F8345)</f>
        <v>0</v>
      </c>
      <c r="K8345" s="74">
        <f>VLOOKUP(E8345,DATABASE!C:Q,7,false)</f>
        <v>666540</v>
      </c>
      <c r="L8345" s="74">
        <v>666540.0</v>
      </c>
      <c r="M8345" s="74">
        <f t="shared" si="6"/>
        <v>670000</v>
      </c>
      <c r="N8345" s="74">
        <f t="shared" si="3"/>
        <v>200000</v>
      </c>
      <c r="O8345" s="65" t="str">
        <f>VLOOKUP(E8345,DATABASE!C:Q,8,false)</f>
        <v>BIAN</v>
      </c>
      <c r="P8345" s="65">
        <f>VLOOKUP(E8345,DATABASE!C:Q,9,False)</f>
        <v>1</v>
      </c>
      <c r="Q8345" s="93" t="str">
        <f>VLOOKUP(E8345,DATABASE!C:Q,4,false)</f>
        <v>GT</v>
      </c>
      <c r="R8345" s="93" t="str">
        <f>VLOOKUP(E8345,DATABASE!C:Q,11,false)</f>
        <v>Tire</v>
      </c>
    </row>
    <row r="8346" ht="22.5" customHeight="1">
      <c r="A8346" s="49"/>
      <c r="C8346" s="400">
        <v>46143.0</v>
      </c>
      <c r="D8346" s="524">
        <v>1224.0</v>
      </c>
      <c r="E8346" s="544" t="s">
        <v>275</v>
      </c>
      <c r="F8346" s="387">
        <v>1.0</v>
      </c>
      <c r="G8346" s="140">
        <v>830000.0</v>
      </c>
      <c r="H8346" s="74"/>
      <c r="I8346" s="74">
        <f t="shared" si="1"/>
        <v>830000</v>
      </c>
      <c r="J8346" s="74">
        <f>IF(E8346="SERVICE",I8346-(I8346*50%),Vlookup(E8346,DATABASE!C:Q,10,false)*F8346)</f>
        <v>0</v>
      </c>
      <c r="K8346" s="74">
        <f>VLOOKUP(E8346,DATABASE!C:Q,7,false)</f>
        <v>782000</v>
      </c>
      <c r="L8346" s="74">
        <v>745000.0</v>
      </c>
      <c r="M8346" s="74">
        <f t="shared" si="6"/>
        <v>745000</v>
      </c>
      <c r="N8346" s="74">
        <f t="shared" si="3"/>
        <v>85000</v>
      </c>
      <c r="O8346" s="65" t="str">
        <f>VLOOKUP(E8346,DATABASE!C:Q,8,false)</f>
        <v>IBU</v>
      </c>
      <c r="P8346" s="65">
        <f>VLOOKUP(E8346,DATABASE!C:Q,9,False)</f>
        <v>1</v>
      </c>
      <c r="Q8346" s="93" t="str">
        <f>VLOOKUP(E8346,DATABASE!C:Q,4,false)</f>
        <v>Dunlop</v>
      </c>
      <c r="R8346" s="93" t="str">
        <f>VLOOKUP(E8346,DATABASE!C:Q,11,false)</f>
        <v>Tire</v>
      </c>
    </row>
    <row r="8347" ht="22.5" customHeight="1">
      <c r="A8347" s="49"/>
      <c r="C8347" s="400">
        <v>46143.0</v>
      </c>
      <c r="D8347" s="524">
        <v>1225.0</v>
      </c>
      <c r="E8347" s="544" t="s">
        <v>932</v>
      </c>
      <c r="F8347" s="387">
        <v>1.0</v>
      </c>
      <c r="G8347" s="140">
        <v>690000.0</v>
      </c>
      <c r="H8347" s="74"/>
      <c r="I8347" s="74">
        <f t="shared" si="1"/>
        <v>690000</v>
      </c>
      <c r="J8347" s="74">
        <f>IF(E8347="SERVICE",I8347-(I8347*50%),Vlookup(E8347,DATABASE!C:Q,10,false)*F8347)</f>
        <v>0</v>
      </c>
      <c r="K8347" s="74">
        <f>VLOOKUP(E8347,DATABASE!C:Q,7,false)</f>
        <v>601000</v>
      </c>
      <c r="L8347" s="74">
        <v>601000.0</v>
      </c>
      <c r="M8347" s="74">
        <f t="shared" si="6"/>
        <v>605000</v>
      </c>
      <c r="N8347" s="74">
        <f t="shared" si="3"/>
        <v>85000</v>
      </c>
      <c r="O8347" s="65" t="str">
        <f>VLOOKUP(E8347,DATABASE!C:Q,8,false)</f>
        <v>IBU</v>
      </c>
      <c r="P8347" s="65">
        <f>VLOOKUP(E8347,DATABASE!C:Q,9,False)</f>
        <v>1</v>
      </c>
      <c r="Q8347" s="93" t="str">
        <f>VLOOKUP(E8347,DATABASE!C:Q,4,false)</f>
        <v>Dunlop</v>
      </c>
      <c r="R8347" s="93" t="str">
        <f>VLOOKUP(E8347,DATABASE!C:Q,11,false)</f>
        <v>Tire</v>
      </c>
    </row>
    <row r="8348" ht="22.5" customHeight="1">
      <c r="A8348" s="49"/>
      <c r="C8348" s="400">
        <v>46143.0</v>
      </c>
      <c r="D8348" s="524">
        <v>1226.0</v>
      </c>
      <c r="E8348" s="544" t="s">
        <v>268</v>
      </c>
      <c r="F8348" s="387">
        <v>1.0</v>
      </c>
      <c r="G8348" s="140">
        <v>720000.0</v>
      </c>
      <c r="H8348" s="74"/>
      <c r="I8348" s="74">
        <f t="shared" si="1"/>
        <v>720000</v>
      </c>
      <c r="J8348" s="74">
        <f>IF(E8348="SERVICE",I8348-(I8348*50%),Vlookup(E8348,DATABASE!C:Q,10,false)*F8348)</f>
        <v>0</v>
      </c>
      <c r="K8348" s="74">
        <f>VLOOKUP(E8348,DATABASE!C:Q,7,false)</f>
        <v>653000</v>
      </c>
      <c r="L8348" s="74">
        <v>634500.0</v>
      </c>
      <c r="M8348" s="74">
        <f t="shared" si="6"/>
        <v>635000</v>
      </c>
      <c r="N8348" s="74">
        <f t="shared" si="3"/>
        <v>85000</v>
      </c>
      <c r="O8348" s="65" t="str">
        <f>VLOOKUP(E8348,DATABASE!C:Q,8,false)</f>
        <v>IBU</v>
      </c>
      <c r="P8348" s="65">
        <f>VLOOKUP(E8348,DATABASE!C:Q,9,False)</f>
        <v>1</v>
      </c>
      <c r="Q8348" s="93" t="str">
        <f>VLOOKUP(E8348,DATABASE!C:Q,4,false)</f>
        <v>Dunlop</v>
      </c>
      <c r="R8348" s="93" t="str">
        <f>VLOOKUP(E8348,DATABASE!C:Q,11,false)</f>
        <v>Tire</v>
      </c>
    </row>
    <row r="8349" ht="22.5" customHeight="1">
      <c r="A8349" s="49"/>
      <c r="C8349" s="400">
        <v>46143.0</v>
      </c>
      <c r="D8349" s="524">
        <v>1227.0</v>
      </c>
      <c r="E8349" s="544" t="s">
        <v>403</v>
      </c>
      <c r="F8349" s="387">
        <v>2.0</v>
      </c>
      <c r="G8349" s="140">
        <v>2260000.0</v>
      </c>
      <c r="H8349" s="74"/>
      <c r="I8349" s="74">
        <f t="shared" si="1"/>
        <v>4520000</v>
      </c>
      <c r="J8349" s="74">
        <f>IF(E8349="SERVICE",I8349-(I8349*50%),Vlookup(E8349,DATABASE!C:Q,10,false)*F8349)</f>
        <v>0</v>
      </c>
      <c r="K8349" s="74">
        <f>VLOOKUP(E8349,DATABASE!C:Q,7,false)</f>
        <v>2160000</v>
      </c>
      <c r="L8349" s="74">
        <v>2160000.0</v>
      </c>
      <c r="M8349" s="74">
        <f t="shared" si="6"/>
        <v>2160000</v>
      </c>
      <c r="N8349" s="74">
        <f t="shared" si="3"/>
        <v>200000</v>
      </c>
      <c r="O8349" s="65" t="str">
        <f>VLOOKUP(E8349,DATABASE!C:Q,8,false)</f>
        <v>BIAN</v>
      </c>
      <c r="P8349" s="65">
        <f>VLOOKUP(E8349,DATABASE!C:Q,9,False)</f>
        <v>1</v>
      </c>
      <c r="Q8349" s="93" t="str">
        <f>VLOOKUP(E8349,DATABASE!C:Q,4,false)</f>
        <v>Advance</v>
      </c>
      <c r="R8349" s="93" t="str">
        <f>VLOOKUP(E8349,DATABASE!C:Q,11,false)</f>
        <v>Tire</v>
      </c>
    </row>
    <row r="8350" ht="22.5" customHeight="1">
      <c r="A8350" s="49"/>
      <c r="C8350" s="400">
        <v>46143.0</v>
      </c>
      <c r="D8350" s="524">
        <v>1228.0</v>
      </c>
      <c r="E8350" s="544" t="s">
        <v>268</v>
      </c>
      <c r="F8350" s="387">
        <v>4.0</v>
      </c>
      <c r="G8350" s="140">
        <v>720000.0</v>
      </c>
      <c r="H8350" s="74"/>
      <c r="I8350" s="74">
        <f t="shared" si="1"/>
        <v>2880000</v>
      </c>
      <c r="J8350" s="74">
        <f>IF(E8350="SERVICE",I8350-(I8350*50%),Vlookup(E8350,DATABASE!C:Q,10,false)*F8350)</f>
        <v>0</v>
      </c>
      <c r="K8350" s="74">
        <f>VLOOKUP(E8350,DATABASE!C:Q,7,false)</f>
        <v>653000</v>
      </c>
      <c r="L8350" s="74">
        <v>634500.0</v>
      </c>
      <c r="M8350" s="74">
        <f t="shared" si="6"/>
        <v>635000</v>
      </c>
      <c r="N8350" s="74">
        <f t="shared" si="3"/>
        <v>340000</v>
      </c>
      <c r="O8350" s="65" t="str">
        <f>VLOOKUP(E8350,DATABASE!C:Q,8,false)</f>
        <v>IBU</v>
      </c>
      <c r="P8350" s="65">
        <f>VLOOKUP(E8350,DATABASE!C:Q,9,False)</f>
        <v>1</v>
      </c>
      <c r="Q8350" s="93" t="str">
        <f>VLOOKUP(E8350,DATABASE!C:Q,4,false)</f>
        <v>Dunlop</v>
      </c>
      <c r="R8350" s="93" t="str">
        <f>VLOOKUP(E8350,DATABASE!C:Q,11,false)</f>
        <v>Tire</v>
      </c>
    </row>
    <row r="8351" ht="22.5" customHeight="1">
      <c r="A8351" s="49"/>
      <c r="C8351" s="400">
        <v>46143.0</v>
      </c>
      <c r="D8351" s="524">
        <v>1228.0</v>
      </c>
      <c r="E8351" s="544" t="s">
        <v>299</v>
      </c>
      <c r="F8351" s="387">
        <v>2.0</v>
      </c>
      <c r="G8351" s="140">
        <v>30000.0</v>
      </c>
      <c r="H8351" s="74"/>
      <c r="I8351" s="74">
        <f t="shared" si="1"/>
        <v>60000</v>
      </c>
      <c r="J8351" s="74">
        <f>IF(E8351="SERVICE",I8351-(I8351*50%),Vlookup(E8351,DATABASE!C:Q,10,false)*F8351)</f>
        <v>0</v>
      </c>
      <c r="K8351" s="74">
        <f>VLOOKUP(E8351,DATABASE!C:Q,7,false)</f>
        <v>10000</v>
      </c>
      <c r="L8351" s="74">
        <v>10000.0</v>
      </c>
      <c r="M8351" s="74">
        <f t="shared" si="6"/>
        <v>10000</v>
      </c>
      <c r="N8351" s="74">
        <f t="shared" si="3"/>
        <v>40000</v>
      </c>
      <c r="O8351" s="65" t="str">
        <f>VLOOKUP(E8351,DATABASE!C:Q,8,false)</f>
        <v>BIAN</v>
      </c>
      <c r="P8351" s="65">
        <f>VLOOKUP(E8351,DATABASE!C:Q,9,False)</f>
        <v>0</v>
      </c>
      <c r="Q8351" s="93" t="str">
        <f>VLOOKUP(E8351,DATABASE!C:Q,4,false)</f>
        <v>Balancing</v>
      </c>
      <c r="R8351" s="93" t="str">
        <f>VLOOKUP(E8351,DATABASE!C:Q,11,false)</f>
        <v>COMPLEMENTARY</v>
      </c>
    </row>
    <row r="8352" ht="22.5" customHeight="1">
      <c r="A8352" s="49"/>
      <c r="C8352" s="400">
        <v>46143.0</v>
      </c>
      <c r="D8352" s="524">
        <v>1228.0</v>
      </c>
      <c r="E8352" s="544" t="s">
        <v>262</v>
      </c>
      <c r="F8352" s="387">
        <v>1.0</v>
      </c>
      <c r="G8352" s="140">
        <v>130000.0</v>
      </c>
      <c r="H8352" s="74"/>
      <c r="I8352" s="74">
        <f t="shared" si="1"/>
        <v>130000</v>
      </c>
      <c r="J8352" s="74">
        <f>IF(E8352="SERVICE",I8352-(I8352*50%),Vlookup(E8352,DATABASE!C:Q,10,false)*F8352)</f>
        <v>5000</v>
      </c>
      <c r="K8352" s="74">
        <f>VLOOKUP(E8352,DATABASE!C:Q,7,false)</f>
        <v>0</v>
      </c>
      <c r="L8352" s="74">
        <v>0.0</v>
      </c>
      <c r="M8352" s="74">
        <f t="shared" si="6"/>
        <v>0</v>
      </c>
      <c r="N8352" s="74">
        <f t="shared" si="3"/>
        <v>125000</v>
      </c>
      <c r="O8352" s="65" t="str">
        <f>VLOOKUP(E8352,DATABASE!C:Q,8,false)</f>
        <v>IBU</v>
      </c>
      <c r="P8352" s="65">
        <f>VLOOKUP(E8352,DATABASE!C:Q,9,False)</f>
        <v>0</v>
      </c>
      <c r="Q8352" s="93" t="str">
        <f>VLOOKUP(E8352,DATABASE!C:Q,4,false)</f>
        <v>SPOORING SS/CARRY LOS BAK</v>
      </c>
      <c r="R8352" s="93" t="str">
        <f>VLOOKUP(E8352,DATABASE!C:Q,11,false)</f>
        <v>SERVICE</v>
      </c>
    </row>
    <row r="8353" ht="22.5" customHeight="1">
      <c r="A8353" s="49"/>
      <c r="C8353" s="400">
        <v>46143.0</v>
      </c>
      <c r="D8353" s="524">
        <v>1228.0</v>
      </c>
      <c r="E8353" s="544" t="s">
        <v>478</v>
      </c>
      <c r="F8353" s="387">
        <v>1.0</v>
      </c>
      <c r="G8353" s="140">
        <v>200000.0</v>
      </c>
      <c r="H8353" s="74"/>
      <c r="I8353" s="74">
        <f t="shared" si="1"/>
        <v>200000</v>
      </c>
      <c r="J8353" s="74">
        <f>IF(E8353="SERVICE",I8353-(I8353*50%),Vlookup(E8353,DATABASE!C:Q,10,false)*F8353)</f>
        <v>25000</v>
      </c>
      <c r="K8353" s="74">
        <f>VLOOKUP(E8353,DATABASE!C:Q,7,false)</f>
        <v>75000</v>
      </c>
      <c r="L8353" s="74">
        <v>75000.0</v>
      </c>
      <c r="M8353" s="74">
        <f t="shared" si="6"/>
        <v>75000</v>
      </c>
      <c r="N8353" s="74">
        <f t="shared" si="3"/>
        <v>100000</v>
      </c>
      <c r="O8353" s="65" t="str">
        <f>VLOOKUP(E8353,DATABASE!C:Q,8,false)</f>
        <v>BIAN</v>
      </c>
      <c r="P8353" s="65">
        <f>VLOOKUP(E8353,DATABASE!C:Q,9,False)</f>
        <v>0</v>
      </c>
      <c r="Q8353" s="93" t="str">
        <f>VLOOKUP(E8353,DATABASE!C:Q,4,false)</f>
        <v>Baut Camber ss-carry</v>
      </c>
      <c r="R8353" s="93" t="str">
        <f>VLOOKUP(E8353,DATABASE!C:Q,11,false)</f>
        <v>COMPLEMENTARY</v>
      </c>
    </row>
    <row r="8354" ht="22.5" customHeight="1">
      <c r="A8354" s="49"/>
      <c r="C8354" s="400">
        <v>46144.0</v>
      </c>
      <c r="D8354" s="524">
        <v>1229.0</v>
      </c>
      <c r="E8354" s="544" t="s">
        <v>1400</v>
      </c>
      <c r="F8354" s="387">
        <v>4.0</v>
      </c>
      <c r="G8354" s="140">
        <v>565000.0</v>
      </c>
      <c r="H8354" s="140">
        <v>15000.0</v>
      </c>
      <c r="I8354" s="74">
        <f t="shared" si="1"/>
        <v>2200000</v>
      </c>
      <c r="J8354" s="74">
        <f>IF(E8354="SERVICE",I8354-(I8354*50%),Vlookup(E8354,DATABASE!C:Q,10,false)*F8354)</f>
        <v>0</v>
      </c>
      <c r="K8354" s="74">
        <f>VLOOKUP(E8354,DATABASE!C:Q,7,false)</f>
        <v>465000</v>
      </c>
      <c r="L8354" s="74">
        <v>465000.0</v>
      </c>
      <c r="M8354" s="74">
        <f t="shared" si="6"/>
        <v>465000</v>
      </c>
      <c r="N8354" s="74">
        <f t="shared" si="3"/>
        <v>340000</v>
      </c>
      <c r="O8354" s="65" t="str">
        <f>VLOOKUP(E8354,DATABASE!C:Q,8,false)</f>
        <v>IBU</v>
      </c>
      <c r="P8354" s="65">
        <f>VLOOKUP(E8354,DATABASE!C:Q,9,False)</f>
        <v>1</v>
      </c>
      <c r="Q8354" s="93" t="str">
        <f>VLOOKUP(E8354,DATABASE!C:Q,4,false)</f>
        <v>Dunlop</v>
      </c>
      <c r="R8354" s="93" t="str">
        <f>VLOOKUP(E8354,DATABASE!C:Q,11,false)</f>
        <v>Tire</v>
      </c>
    </row>
    <row r="8355" ht="22.5" customHeight="1">
      <c r="A8355" s="49"/>
      <c r="C8355" s="400">
        <v>46144.0</v>
      </c>
      <c r="D8355" s="524">
        <v>1231.0</v>
      </c>
      <c r="E8355" s="544" t="s">
        <v>581</v>
      </c>
      <c r="F8355" s="387">
        <v>2.0</v>
      </c>
      <c r="G8355" s="140">
        <v>645000.0</v>
      </c>
      <c r="H8355" s="140">
        <v>5000.0</v>
      </c>
      <c r="I8355" s="74">
        <f t="shared" si="1"/>
        <v>1280000</v>
      </c>
      <c r="J8355" s="74">
        <f>IF(E8355="SERVICE",I8355-(I8355*50%),Vlookup(E8355,DATABASE!C:Q,10,false)*F8355)</f>
        <v>0</v>
      </c>
      <c r="K8355" s="74">
        <f>VLOOKUP(E8355,DATABASE!C:Q,7,false)</f>
        <v>542528</v>
      </c>
      <c r="L8355" s="74">
        <v>542528.0</v>
      </c>
      <c r="M8355" s="74">
        <f t="shared" si="6"/>
        <v>545000</v>
      </c>
      <c r="N8355" s="74">
        <f t="shared" si="3"/>
        <v>190000</v>
      </c>
      <c r="O8355" s="65" t="str">
        <f>VLOOKUP(E8355,DATABASE!C:Q,8,false)</f>
        <v>IBU</v>
      </c>
      <c r="P8355" s="65">
        <f>VLOOKUP(E8355,DATABASE!C:Q,9,False)</f>
        <v>1</v>
      </c>
      <c r="Q8355" s="93" t="str">
        <f>VLOOKUP(E8355,DATABASE!C:Q,4,false)</f>
        <v>Bridgestone</v>
      </c>
      <c r="R8355" s="93" t="str">
        <f>VLOOKUP(E8355,DATABASE!C:Q,11,false)</f>
        <v>Tire</v>
      </c>
    </row>
    <row r="8356" ht="22.5" customHeight="1">
      <c r="A8356" s="49"/>
      <c r="C8356" s="400">
        <v>46144.0</v>
      </c>
      <c r="D8356" s="524">
        <v>1231.0</v>
      </c>
      <c r="E8356" s="544" t="s">
        <v>299</v>
      </c>
      <c r="F8356" s="387">
        <v>2.0</v>
      </c>
      <c r="G8356" s="140">
        <v>30000.0</v>
      </c>
      <c r="H8356" s="74"/>
      <c r="I8356" s="74">
        <f t="shared" si="1"/>
        <v>60000</v>
      </c>
      <c r="J8356" s="74">
        <f>IF(E8356="SERVICE",I8356-(I8356*50%),Vlookup(E8356,DATABASE!C:Q,10,false)*F8356)</f>
        <v>0</v>
      </c>
      <c r="K8356" s="74">
        <f>VLOOKUP(E8356,DATABASE!C:Q,7,false)</f>
        <v>10000</v>
      </c>
      <c r="L8356" s="74">
        <v>10000.0</v>
      </c>
      <c r="M8356" s="74">
        <f t="shared" si="6"/>
        <v>10000</v>
      </c>
      <c r="N8356" s="74">
        <f t="shared" si="3"/>
        <v>40000</v>
      </c>
      <c r="O8356" s="65" t="str">
        <f>VLOOKUP(E8356,DATABASE!C:Q,8,false)</f>
        <v>BIAN</v>
      </c>
      <c r="P8356" s="65">
        <f>VLOOKUP(E8356,DATABASE!C:Q,9,False)</f>
        <v>0</v>
      </c>
      <c r="Q8356" s="93" t="str">
        <f>VLOOKUP(E8356,DATABASE!C:Q,4,false)</f>
        <v>Balancing</v>
      </c>
      <c r="R8356" s="93" t="str">
        <f>VLOOKUP(E8356,DATABASE!C:Q,11,false)</f>
        <v>COMPLEMENTARY</v>
      </c>
    </row>
    <row r="8357" ht="22.5" customHeight="1">
      <c r="A8357" s="49"/>
      <c r="C8357" s="400">
        <v>46144.0</v>
      </c>
      <c r="D8357" s="524">
        <v>1232.0</v>
      </c>
      <c r="E8357" s="544" t="s">
        <v>695</v>
      </c>
      <c r="F8357" s="387">
        <v>2.0</v>
      </c>
      <c r="G8357" s="140">
        <v>675000.0</v>
      </c>
      <c r="H8357" s="74"/>
      <c r="I8357" s="74">
        <f t="shared" si="1"/>
        <v>1350000</v>
      </c>
      <c r="J8357" s="74">
        <f>IF(E8357="SERVICE",I8357-(I8357*50%),Vlookup(E8357,DATABASE!C:Q,10,false)*F8357)</f>
        <v>0</v>
      </c>
      <c r="K8357" s="74">
        <f>VLOOKUP(E8357,DATABASE!C:Q,7,false)</f>
        <v>582000</v>
      </c>
      <c r="L8357" s="74">
        <v>582000.0</v>
      </c>
      <c r="M8357" s="74">
        <f t="shared" si="6"/>
        <v>585000</v>
      </c>
      <c r="N8357" s="74">
        <f t="shared" si="3"/>
        <v>180000</v>
      </c>
      <c r="O8357" s="65" t="str">
        <f>VLOOKUP(E8357,DATABASE!C:Q,8,false)</f>
        <v>IBU</v>
      </c>
      <c r="P8357" s="65">
        <f>VLOOKUP(E8357,DATABASE!C:Q,9,False)</f>
        <v>1</v>
      </c>
      <c r="Q8357" s="93" t="str">
        <f>VLOOKUP(E8357,DATABASE!C:Q,4,false)</f>
        <v>Dunlop</v>
      </c>
      <c r="R8357" s="93" t="str">
        <f>VLOOKUP(E8357,DATABASE!C:Q,11,false)</f>
        <v>Tire</v>
      </c>
    </row>
    <row r="8358" ht="22.5" customHeight="1">
      <c r="A8358" s="49"/>
      <c r="C8358" s="400">
        <v>46144.0</v>
      </c>
      <c r="D8358" s="69">
        <v>1232.0</v>
      </c>
      <c r="E8358" s="544" t="s">
        <v>299</v>
      </c>
      <c r="F8358" s="387">
        <v>2.0</v>
      </c>
      <c r="G8358" s="140">
        <v>30000.0</v>
      </c>
      <c r="H8358" s="74"/>
      <c r="I8358" s="74">
        <f t="shared" si="1"/>
        <v>60000</v>
      </c>
      <c r="J8358" s="74">
        <f>IF(E8358="SERVICE",I8358-(I8358*50%),Vlookup(E8358,DATABASE!C:Q,10,false)*F8358)</f>
        <v>0</v>
      </c>
      <c r="K8358" s="74">
        <f>VLOOKUP(E8358,DATABASE!C:Q,7,false)</f>
        <v>10000</v>
      </c>
      <c r="L8358" s="74">
        <v>10000.0</v>
      </c>
      <c r="M8358" s="74">
        <f t="shared" si="6"/>
        <v>10000</v>
      </c>
      <c r="N8358" s="74">
        <f t="shared" si="3"/>
        <v>40000</v>
      </c>
      <c r="O8358" s="65" t="str">
        <f>VLOOKUP(E8358,DATABASE!C:Q,8,false)</f>
        <v>BIAN</v>
      </c>
      <c r="P8358" s="65">
        <f>VLOOKUP(E8358,DATABASE!C:Q,9,False)</f>
        <v>0</v>
      </c>
      <c r="Q8358" s="93" t="str">
        <f>VLOOKUP(E8358,DATABASE!C:Q,4,false)</f>
        <v>Balancing</v>
      </c>
      <c r="R8358" s="93" t="str">
        <f>VLOOKUP(E8358,DATABASE!C:Q,11,false)</f>
        <v>COMPLEMENTARY</v>
      </c>
    </row>
    <row r="8359" ht="22.5" customHeight="1">
      <c r="A8359" s="49"/>
      <c r="C8359" s="400">
        <v>46144.0</v>
      </c>
      <c r="D8359" s="524">
        <v>1233.0</v>
      </c>
      <c r="E8359" s="544" t="s">
        <v>940</v>
      </c>
      <c r="F8359" s="387">
        <v>2.0</v>
      </c>
      <c r="G8359" s="140">
        <v>820000.0</v>
      </c>
      <c r="H8359" s="74"/>
      <c r="I8359" s="74">
        <f t="shared" si="1"/>
        <v>1640000</v>
      </c>
      <c r="J8359" s="74">
        <f>IF(E8359="SERVICE",I8359-(I8359*50%),Vlookup(E8359,DATABASE!C:Q,10,false)*F8359)</f>
        <v>0</v>
      </c>
      <c r="K8359" s="74">
        <f>VLOOKUP(E8359,DATABASE!C:Q,7,false)</f>
        <v>716500</v>
      </c>
      <c r="L8359" s="74">
        <v>716500.0</v>
      </c>
      <c r="M8359" s="74">
        <f t="shared" si="6"/>
        <v>720000</v>
      </c>
      <c r="N8359" s="74">
        <f t="shared" si="3"/>
        <v>200000</v>
      </c>
      <c r="O8359" s="65" t="str">
        <f>VLOOKUP(E8359,DATABASE!C:Q,8,false)</f>
        <v>IBU</v>
      </c>
      <c r="P8359" s="65">
        <f>VLOOKUP(E8359,DATABASE!C:Q,9,False)</f>
        <v>1</v>
      </c>
      <c r="Q8359" s="93" t="str">
        <f>VLOOKUP(E8359,DATABASE!C:Q,4,false)</f>
        <v>Dunlop</v>
      </c>
      <c r="R8359" s="93" t="str">
        <f>VLOOKUP(E8359,DATABASE!C:Q,11,false)</f>
        <v>Tire</v>
      </c>
    </row>
    <row r="8360" ht="22.5" customHeight="1">
      <c r="A8360" s="49"/>
      <c r="C8360" s="400">
        <v>46144.0</v>
      </c>
      <c r="D8360" s="524">
        <v>1234.0</v>
      </c>
      <c r="E8360" s="544" t="s">
        <v>262</v>
      </c>
      <c r="F8360" s="387">
        <v>1.0</v>
      </c>
      <c r="G8360" s="140">
        <v>130000.0</v>
      </c>
      <c r="H8360" s="74"/>
      <c r="I8360" s="74">
        <f t="shared" si="1"/>
        <v>130000</v>
      </c>
      <c r="J8360" s="74">
        <f>IF(E8360="SERVICE",I8360-(I8360*50%),Vlookup(E8360,DATABASE!C:Q,10,false)*F8360)</f>
        <v>5000</v>
      </c>
      <c r="K8360" s="74">
        <f>VLOOKUP(E8360,DATABASE!C:Q,7,false)</f>
        <v>0</v>
      </c>
      <c r="L8360" s="74">
        <v>0.0</v>
      </c>
      <c r="M8360" s="74">
        <f t="shared" si="6"/>
        <v>0</v>
      </c>
      <c r="N8360" s="74">
        <f t="shared" si="3"/>
        <v>125000</v>
      </c>
      <c r="O8360" s="65" t="str">
        <f>VLOOKUP(E8360,DATABASE!C:Q,8,false)</f>
        <v>IBU</v>
      </c>
      <c r="P8360" s="65">
        <f>VLOOKUP(E8360,DATABASE!C:Q,9,False)</f>
        <v>0</v>
      </c>
      <c r="Q8360" s="93" t="str">
        <f>VLOOKUP(E8360,DATABASE!C:Q,4,false)</f>
        <v>SPOORING SS/CARRY LOS BAK</v>
      </c>
      <c r="R8360" s="93" t="str">
        <f>VLOOKUP(E8360,DATABASE!C:Q,11,false)</f>
        <v>SERVICE</v>
      </c>
    </row>
    <row r="8361" ht="22.5" customHeight="1">
      <c r="A8361" s="49"/>
      <c r="C8361" s="400">
        <v>46144.0</v>
      </c>
      <c r="D8361" s="524">
        <v>1234.0</v>
      </c>
      <c r="E8361" s="544" t="s">
        <v>251</v>
      </c>
      <c r="F8361" s="387">
        <v>1.0</v>
      </c>
      <c r="G8361" s="140">
        <v>350000.0</v>
      </c>
      <c r="H8361" s="140">
        <v>270000.0</v>
      </c>
      <c r="I8361" s="74">
        <f t="shared" si="1"/>
        <v>80000</v>
      </c>
      <c r="J8361" s="74">
        <f>IF(E8361="SERVICE",I8361-(I8361*50%),Vlookup(E8361,DATABASE!C:Q,10,false)*F8361)</f>
        <v>40000</v>
      </c>
      <c r="K8361" s="74">
        <f>VLOOKUP(E8361,DATABASE!C:Q,7,false)</f>
        <v>0</v>
      </c>
      <c r="L8361" s="74">
        <v>0.0</v>
      </c>
      <c r="M8361" s="74">
        <f t="shared" si="6"/>
        <v>0</v>
      </c>
      <c r="N8361" s="74">
        <f t="shared" si="3"/>
        <v>40000</v>
      </c>
      <c r="O8361" s="65" t="str">
        <f>VLOOKUP(E8361,DATABASE!C:Q,8,false)</f>
        <v>IBU</v>
      </c>
      <c r="P8361" s="65">
        <f>VLOOKUP(E8361,DATABASE!C:Q,9,False)</f>
        <v>0</v>
      </c>
      <c r="Q8361" s="93" t="str">
        <f>VLOOKUP(E8361,DATABASE!C:Q,4,false)</f>
        <v>SERVICE</v>
      </c>
      <c r="R8361" s="93" t="str">
        <f>VLOOKUP(E8361,DATABASE!C:Q,11,false)</f>
        <v>SERVICE</v>
      </c>
    </row>
    <row r="8362" ht="22.5" customHeight="1">
      <c r="A8362" s="49"/>
      <c r="C8362" s="400">
        <v>46144.0</v>
      </c>
      <c r="D8362" s="524">
        <v>1234.0</v>
      </c>
      <c r="E8362" s="544" t="s">
        <v>478</v>
      </c>
      <c r="F8362" s="387">
        <v>1.0</v>
      </c>
      <c r="G8362" s="140">
        <v>200000.0</v>
      </c>
      <c r="H8362" s="74"/>
      <c r="I8362" s="74">
        <f t="shared" si="1"/>
        <v>200000</v>
      </c>
      <c r="J8362" s="74">
        <f>IF(E8362="SERVICE",I8362-(I8362*50%),Vlookup(E8362,DATABASE!C:Q,10,false)*F8362)</f>
        <v>25000</v>
      </c>
      <c r="K8362" s="74">
        <f>VLOOKUP(E8362,DATABASE!C:Q,7,false)</f>
        <v>75000</v>
      </c>
      <c r="L8362" s="74">
        <v>75000.0</v>
      </c>
      <c r="M8362" s="74">
        <f t="shared" si="6"/>
        <v>75000</v>
      </c>
      <c r="N8362" s="74">
        <f t="shared" si="3"/>
        <v>100000</v>
      </c>
      <c r="O8362" s="65" t="str">
        <f>VLOOKUP(E8362,DATABASE!C:Q,8,false)</f>
        <v>BIAN</v>
      </c>
      <c r="P8362" s="65">
        <f>VLOOKUP(E8362,DATABASE!C:Q,9,False)</f>
        <v>0</v>
      </c>
      <c r="Q8362" s="93" t="str">
        <f>VLOOKUP(E8362,DATABASE!C:Q,4,false)</f>
        <v>Baut Camber ss-carry</v>
      </c>
      <c r="R8362" s="93" t="str">
        <f>VLOOKUP(E8362,DATABASE!C:Q,11,false)</f>
        <v>COMPLEMENTARY</v>
      </c>
    </row>
    <row r="8363" ht="22.5" customHeight="1">
      <c r="A8363" s="49"/>
      <c r="C8363" s="400">
        <v>46144.0</v>
      </c>
      <c r="D8363" s="524">
        <v>1235.0</v>
      </c>
      <c r="E8363" s="544" t="s">
        <v>282</v>
      </c>
      <c r="F8363" s="387">
        <v>2.0</v>
      </c>
      <c r="G8363" s="140">
        <v>880000.0</v>
      </c>
      <c r="H8363" s="74"/>
      <c r="I8363" s="74">
        <f t="shared" si="1"/>
        <v>1760000</v>
      </c>
      <c r="J8363" s="74">
        <f>IF(E8363="SERVICE",I8363-(I8363*50%),Vlookup(E8363,DATABASE!C:Q,10,false)*F8363)</f>
        <v>0</v>
      </c>
      <c r="K8363" s="74">
        <f>VLOOKUP(E8363,DATABASE!C:Q,7,false)</f>
        <v>779500</v>
      </c>
      <c r="L8363" s="74">
        <v>779500.0</v>
      </c>
      <c r="M8363" s="74">
        <f t="shared" si="6"/>
        <v>780000</v>
      </c>
      <c r="N8363" s="74">
        <f t="shared" si="3"/>
        <v>200000</v>
      </c>
      <c r="O8363" s="65" t="str">
        <f>VLOOKUP(E8363,DATABASE!C:Q,8,false)</f>
        <v>IBU</v>
      </c>
      <c r="P8363" s="65">
        <f>VLOOKUP(E8363,DATABASE!C:Q,9,False)</f>
        <v>1</v>
      </c>
      <c r="Q8363" s="93" t="str">
        <f>VLOOKUP(E8363,DATABASE!C:Q,4,false)</f>
        <v>Dunlop</v>
      </c>
      <c r="R8363" s="93" t="str">
        <f>VLOOKUP(E8363,DATABASE!C:Q,11,false)</f>
        <v>Tire</v>
      </c>
    </row>
    <row r="8364" ht="22.5" customHeight="1">
      <c r="A8364" s="49"/>
      <c r="C8364" s="400">
        <v>46144.0</v>
      </c>
      <c r="D8364" s="524">
        <v>1236.0</v>
      </c>
      <c r="E8364" s="544" t="s">
        <v>299</v>
      </c>
      <c r="F8364" s="387">
        <v>2.0</v>
      </c>
      <c r="G8364" s="140">
        <v>30000.0</v>
      </c>
      <c r="H8364" s="74"/>
      <c r="I8364" s="74">
        <f t="shared" si="1"/>
        <v>60000</v>
      </c>
      <c r="J8364" s="74">
        <f>IF(E8364="SERVICE",I8364-(I8364*50%),Vlookup(E8364,DATABASE!C:Q,10,false)*F8364)</f>
        <v>0</v>
      </c>
      <c r="K8364" s="74">
        <f>VLOOKUP(E8364,DATABASE!C:Q,7,false)</f>
        <v>10000</v>
      </c>
      <c r="L8364" s="74">
        <v>10000.0</v>
      </c>
      <c r="M8364" s="74">
        <f t="shared" si="6"/>
        <v>10000</v>
      </c>
      <c r="N8364" s="74">
        <f t="shared" si="3"/>
        <v>40000</v>
      </c>
      <c r="O8364" s="65" t="str">
        <f>VLOOKUP(E8364,DATABASE!C:Q,8,false)</f>
        <v>BIAN</v>
      </c>
      <c r="P8364" s="65">
        <f>VLOOKUP(E8364,DATABASE!C:Q,9,False)</f>
        <v>0</v>
      </c>
      <c r="Q8364" s="93" t="str">
        <f>VLOOKUP(E8364,DATABASE!C:Q,4,false)</f>
        <v>Balancing</v>
      </c>
      <c r="R8364" s="93" t="str">
        <f>VLOOKUP(E8364,DATABASE!C:Q,11,false)</f>
        <v>COMPLEMENTARY</v>
      </c>
    </row>
    <row r="8365" ht="22.5" customHeight="1">
      <c r="A8365" s="49"/>
      <c r="C8365" s="400">
        <v>46144.0</v>
      </c>
      <c r="D8365" s="524">
        <v>1237.0</v>
      </c>
      <c r="E8365" s="544" t="s">
        <v>256</v>
      </c>
      <c r="F8365" s="387">
        <v>1.0</v>
      </c>
      <c r="G8365" s="140">
        <v>175000.0</v>
      </c>
      <c r="H8365" s="140">
        <v>25000.0</v>
      </c>
      <c r="I8365" s="74">
        <f t="shared" si="1"/>
        <v>150000</v>
      </c>
      <c r="J8365" s="74">
        <f>IF(E8365="SERVICE",I8365-(I8365*50%),Vlookup(E8365,DATABASE!C:Q,10,false)*F8365)</f>
        <v>10000</v>
      </c>
      <c r="K8365" s="74">
        <f>VLOOKUP(E8365,DATABASE!C:Q,7,false)</f>
        <v>0</v>
      </c>
      <c r="L8365" s="74">
        <v>0.0</v>
      </c>
      <c r="M8365" s="74">
        <f t="shared" si="6"/>
        <v>0</v>
      </c>
      <c r="N8365" s="74">
        <f t="shared" si="3"/>
        <v>140000</v>
      </c>
      <c r="O8365" s="65" t="str">
        <f>VLOOKUP(E8365,DATABASE!C:Q,8,false)</f>
        <v>IBU</v>
      </c>
      <c r="P8365" s="65">
        <f>VLOOKUP(E8365,DATABASE!C:Q,9,False)</f>
        <v>0</v>
      </c>
      <c r="Q8365" s="93" t="str">
        <f>VLOOKUP(E8365,DATABASE!C:Q,4,false)</f>
        <v>SPOORING</v>
      </c>
      <c r="R8365" s="93" t="str">
        <f>VLOOKUP(E8365,DATABASE!C:Q,11,false)</f>
        <v>SERVICE</v>
      </c>
    </row>
    <row r="8366" ht="22.5" customHeight="1">
      <c r="A8366" s="49"/>
      <c r="C8366" s="400">
        <v>46144.0</v>
      </c>
      <c r="D8366" s="524">
        <v>1238.0</v>
      </c>
      <c r="E8366" s="544" t="s">
        <v>2199</v>
      </c>
      <c r="F8366" s="387">
        <v>1.0</v>
      </c>
      <c r="G8366" s="140">
        <v>20000.0</v>
      </c>
      <c r="H8366" s="74"/>
      <c r="I8366" s="74">
        <f t="shared" si="1"/>
        <v>20000</v>
      </c>
      <c r="J8366" s="74">
        <f>IF(E8366="SERVICE",I8366-(I8366*50%),Vlookup(E8366,DATABASE!C:Q,10,false)*F8366)</f>
        <v>0</v>
      </c>
      <c r="K8366" s="74">
        <f>VLOOKUP(E8366,DATABASE!C:Q,7,false)</f>
        <v>5000</v>
      </c>
      <c r="L8366" s="140">
        <v>5000.0</v>
      </c>
      <c r="M8366" s="74">
        <f t="shared" si="6"/>
        <v>5000</v>
      </c>
      <c r="N8366" s="74">
        <f t="shared" si="3"/>
        <v>15000</v>
      </c>
      <c r="O8366" s="65" t="str">
        <f>VLOOKUP(E8366,DATABASE!C:Q,8,false)</f>
        <v>BIAN</v>
      </c>
      <c r="P8366" s="65">
        <f>VLOOKUP(E8366,DATABASE!C:Q,9,False)</f>
        <v>0</v>
      </c>
      <c r="Q8366" s="93" t="str">
        <f>VLOOKUP(E8366,DATABASE!C:Q,4,false)</f>
        <v>TAMBAL TUBLES</v>
      </c>
      <c r="R8366" s="93" t="str">
        <f>VLOOKUP(E8366,DATABASE!C:Q,11,false)</f>
        <v>COMPLEMENTARY</v>
      </c>
    </row>
    <row r="8367" ht="22.5" customHeight="1">
      <c r="A8367" s="49"/>
      <c r="C8367" s="400">
        <v>46144.0</v>
      </c>
      <c r="D8367" s="524">
        <v>1239.0</v>
      </c>
      <c r="E8367" s="544" t="s">
        <v>1951</v>
      </c>
      <c r="F8367" s="387">
        <v>2.0</v>
      </c>
      <c r="G8367" s="140">
        <v>860000.0</v>
      </c>
      <c r="H8367" s="74"/>
      <c r="I8367" s="74">
        <f t="shared" si="1"/>
        <v>1720000</v>
      </c>
      <c r="J8367" s="74">
        <f>IF(E8367="SERVICE",I8367-(I8367*50%),Vlookup(E8367,DATABASE!C:Q,10,false)*F8367)</f>
        <v>0</v>
      </c>
      <c r="K8367" s="74">
        <f>VLOOKUP(E8367,DATABASE!C:Q,7,false)</f>
        <v>757300</v>
      </c>
      <c r="L8367" s="74">
        <v>757300.0</v>
      </c>
      <c r="M8367" s="74">
        <f t="shared" si="6"/>
        <v>760000</v>
      </c>
      <c r="N8367" s="74">
        <f t="shared" si="3"/>
        <v>200000</v>
      </c>
      <c r="O8367" s="65" t="str">
        <f>VLOOKUP(E8367,DATABASE!C:Q,8,false)</f>
        <v>BIAN</v>
      </c>
      <c r="P8367" s="65">
        <f>VLOOKUP(E8367,DATABASE!C:Q,9,False)</f>
        <v>1</v>
      </c>
      <c r="Q8367" s="93" t="str">
        <f>VLOOKUP(E8367,DATABASE!C:Q,4,false)</f>
        <v>GT</v>
      </c>
      <c r="R8367" s="93" t="str">
        <f>VLOOKUP(E8367,DATABASE!C:Q,11,false)</f>
        <v>Tire</v>
      </c>
    </row>
    <row r="8368" ht="22.5" customHeight="1">
      <c r="A8368" s="49"/>
      <c r="C8368" s="400">
        <v>46144.0</v>
      </c>
      <c r="D8368" s="524">
        <v>1240.0</v>
      </c>
      <c r="E8368" s="544" t="s">
        <v>268</v>
      </c>
      <c r="F8368" s="387">
        <v>1.0</v>
      </c>
      <c r="G8368" s="140">
        <v>720000.0</v>
      </c>
      <c r="H8368" s="74"/>
      <c r="I8368" s="74">
        <f t="shared" si="1"/>
        <v>720000</v>
      </c>
      <c r="J8368" s="74">
        <f>IF(E8368="SERVICE",I8368-(I8368*50%),Vlookup(E8368,DATABASE!C:Q,10,false)*F8368)</f>
        <v>0</v>
      </c>
      <c r="K8368" s="74">
        <f>VLOOKUP(E8368,DATABASE!C:Q,7,false)</f>
        <v>653000</v>
      </c>
      <c r="L8368" s="74">
        <v>634500.0</v>
      </c>
      <c r="M8368" s="74">
        <f t="shared" si="6"/>
        <v>635000</v>
      </c>
      <c r="N8368" s="74">
        <f t="shared" si="3"/>
        <v>85000</v>
      </c>
      <c r="O8368" s="65" t="str">
        <f>VLOOKUP(E8368,DATABASE!C:Q,8,false)</f>
        <v>IBU</v>
      </c>
      <c r="P8368" s="65">
        <f>VLOOKUP(E8368,DATABASE!C:Q,9,False)</f>
        <v>1</v>
      </c>
      <c r="Q8368" s="93" t="str">
        <f>VLOOKUP(E8368,DATABASE!C:Q,4,false)</f>
        <v>Dunlop</v>
      </c>
      <c r="R8368" s="93" t="str">
        <f>VLOOKUP(E8368,DATABASE!C:Q,11,false)</f>
        <v>Tire</v>
      </c>
    </row>
    <row r="8369" ht="22.5" customHeight="1">
      <c r="A8369" s="49"/>
      <c r="C8369" s="400">
        <v>46144.0</v>
      </c>
      <c r="D8369" s="524">
        <v>1241.0</v>
      </c>
      <c r="E8369" s="544" t="s">
        <v>2628</v>
      </c>
      <c r="F8369" s="387">
        <v>1.0</v>
      </c>
      <c r="G8369" s="140">
        <v>620000.0</v>
      </c>
      <c r="H8369" s="74"/>
      <c r="I8369" s="74">
        <f t="shared" si="1"/>
        <v>620000</v>
      </c>
      <c r="J8369" s="74">
        <f>IF(E8369="SERVICE",I8369-(I8369*50%),Vlookup(E8369,DATABASE!C:Q,10,false)*F8369)</f>
        <v>0</v>
      </c>
      <c r="K8369" s="74">
        <f>VLOOKUP(E8369,DATABASE!C:Q,7,false)</f>
        <v>530000</v>
      </c>
      <c r="L8369" s="74">
        <v>530000.0</v>
      </c>
      <c r="M8369" s="74">
        <f t="shared" si="6"/>
        <v>530000</v>
      </c>
      <c r="N8369" s="74">
        <f t="shared" si="3"/>
        <v>90000</v>
      </c>
      <c r="O8369" s="65" t="str">
        <f>VLOOKUP(E8369,DATABASE!C:Q,8,false)</f>
        <v>IBU</v>
      </c>
      <c r="P8369" s="65">
        <f>VLOOKUP(E8369,DATABASE!C:Q,9,False)</f>
        <v>1</v>
      </c>
      <c r="Q8369" s="93" t="str">
        <f>VLOOKUP(E8369,DATABASE!C:Q,4,false)</f>
        <v>DUNLOP</v>
      </c>
      <c r="R8369" s="93" t="str">
        <f>VLOOKUP(E8369,DATABASE!C:Q,11,false)</f>
        <v>Tire</v>
      </c>
    </row>
    <row r="8370" ht="22.5" customHeight="1">
      <c r="A8370" s="49"/>
      <c r="C8370" s="400">
        <v>46144.0</v>
      </c>
      <c r="D8370" s="69" t="s">
        <v>2797</v>
      </c>
      <c r="E8370" s="544" t="s">
        <v>252</v>
      </c>
      <c r="F8370" s="387">
        <v>1.0</v>
      </c>
      <c r="G8370" s="140">
        <v>325000.0</v>
      </c>
      <c r="H8370" s="74"/>
      <c r="I8370" s="74">
        <f t="shared" si="1"/>
        <v>325000</v>
      </c>
      <c r="J8370" s="74">
        <f>IF(E8370="SERVICE",I8370-(I8370*50%),Vlookup(E8370,DATABASE!C:Q,10,false)*F8370)</f>
        <v>0</v>
      </c>
      <c r="K8370" s="74">
        <f>VLOOKUP(E8370,DATABASE!C:Q,7,false)</f>
        <v>317518</v>
      </c>
      <c r="L8370" s="74">
        <v>275500.0</v>
      </c>
      <c r="M8370" s="74">
        <f t="shared" si="6"/>
        <v>280000</v>
      </c>
      <c r="N8370" s="74">
        <f t="shared" si="3"/>
        <v>45000</v>
      </c>
      <c r="O8370" s="65" t="str">
        <f>VLOOKUP(E8370,DATABASE!C:Q,8,false)</f>
        <v>NON</v>
      </c>
      <c r="P8370" s="65">
        <f>VLOOKUP(E8370,DATABASE!C:Q,9,False)</f>
        <v>0</v>
      </c>
      <c r="Q8370" s="93" t="str">
        <f>VLOOKUP(E8370,DATABASE!C:Q,4,false)</f>
        <v>Shell</v>
      </c>
      <c r="R8370" s="93" t="str">
        <f>VLOOKUP(E8370,DATABASE!C:Q,11,false)</f>
        <v>OIL</v>
      </c>
    </row>
    <row r="8371" ht="22.5" customHeight="1">
      <c r="A8371" s="49"/>
      <c r="C8371" s="400">
        <v>46145.0</v>
      </c>
      <c r="D8371" s="524">
        <v>1242.0</v>
      </c>
      <c r="E8371" s="544" t="s">
        <v>1133</v>
      </c>
      <c r="F8371" s="387">
        <v>1.0</v>
      </c>
      <c r="G8371" s="140">
        <v>835000.0</v>
      </c>
      <c r="H8371" s="140">
        <v>5000.0</v>
      </c>
      <c r="I8371" s="74">
        <f t="shared" si="1"/>
        <v>830000</v>
      </c>
      <c r="J8371" s="74">
        <f>IF(E8371="SERVICE",I8371-(I8371*50%),Vlookup(E8371,DATABASE!C:Q,10,false)*F8371)</f>
        <v>0</v>
      </c>
      <c r="K8371" s="74">
        <f>VLOOKUP(E8371,DATABASE!C:Q,7,false)</f>
        <v>759539.2</v>
      </c>
      <c r="L8371" s="74">
        <v>733824.0</v>
      </c>
      <c r="M8371" s="74">
        <f t="shared" si="6"/>
        <v>735000</v>
      </c>
      <c r="N8371" s="74">
        <f t="shared" si="3"/>
        <v>95000</v>
      </c>
      <c r="O8371" s="65" t="str">
        <f>VLOOKUP(E8371,DATABASE!C:Q,8,false)</f>
        <v>IBU</v>
      </c>
      <c r="P8371" s="65">
        <f>VLOOKUP(E8371,DATABASE!C:Q,9,False)</f>
        <v>1</v>
      </c>
      <c r="Q8371" s="93" t="str">
        <f>VLOOKUP(E8371,DATABASE!C:Q,4,false)</f>
        <v>Bridgestone</v>
      </c>
      <c r="R8371" s="93" t="str">
        <f>VLOOKUP(E8371,DATABASE!C:Q,11,false)</f>
        <v>Tire</v>
      </c>
    </row>
    <row r="8372" ht="22.5" customHeight="1">
      <c r="A8372" s="49"/>
      <c r="C8372" s="400">
        <v>46145.0</v>
      </c>
      <c r="D8372" s="524">
        <v>1243.0</v>
      </c>
      <c r="E8372" s="544" t="s">
        <v>1886</v>
      </c>
      <c r="F8372" s="387">
        <v>1.0</v>
      </c>
      <c r="G8372" s="140">
        <v>520000.0</v>
      </c>
      <c r="H8372" s="140">
        <v>55000.0</v>
      </c>
      <c r="I8372" s="74">
        <f t="shared" si="1"/>
        <v>465000</v>
      </c>
      <c r="J8372" s="74">
        <f>IF(E8372="SERVICE",I8372-(I8372*50%),Vlookup(E8372,DATABASE!C:Q,10,false)*F8372)</f>
        <v>0</v>
      </c>
      <c r="K8372" s="74">
        <f>VLOOKUP(E8372,DATABASE!C:Q,7,false)</f>
        <v>411100</v>
      </c>
      <c r="L8372" s="74">
        <v>411100.0</v>
      </c>
      <c r="M8372" s="74">
        <f t="shared" si="6"/>
        <v>415000</v>
      </c>
      <c r="N8372" s="74">
        <f t="shared" si="3"/>
        <v>50000</v>
      </c>
      <c r="O8372" s="65" t="str">
        <f>VLOOKUP(E8372,DATABASE!C:Q,8,false)</f>
        <v>BIAN</v>
      </c>
      <c r="P8372" s="65">
        <f>VLOOKUP(E8372,DATABASE!C:Q,9,False)</f>
        <v>1</v>
      </c>
      <c r="Q8372" s="93" t="str">
        <f>VLOOKUP(E8372,DATABASE!C:Q,4,false)</f>
        <v>GT</v>
      </c>
      <c r="R8372" s="93" t="str">
        <f>VLOOKUP(E8372,DATABASE!C:Q,11,false)</f>
        <v>Tire</v>
      </c>
    </row>
    <row r="8373" ht="22.5" customHeight="1">
      <c r="A8373" s="49"/>
      <c r="C8373" s="400">
        <v>46145.0</v>
      </c>
      <c r="D8373" s="524">
        <v>1244.0</v>
      </c>
      <c r="E8373" s="544" t="s">
        <v>374</v>
      </c>
      <c r="F8373" s="387">
        <v>1.0</v>
      </c>
      <c r="G8373" s="140">
        <v>2050000.0</v>
      </c>
      <c r="H8373" s="74"/>
      <c r="I8373" s="74">
        <f t="shared" si="1"/>
        <v>2050000</v>
      </c>
      <c r="J8373" s="74">
        <f>IF(E8373="SERVICE",I8373-(I8373*50%),Vlookup(E8373,DATABASE!C:Q,10,false)*F8373)</f>
        <v>0</v>
      </c>
      <c r="K8373" s="74">
        <f>VLOOKUP(E8373,DATABASE!C:Q,7,false)</f>
        <v>1980000</v>
      </c>
      <c r="L8373" s="74">
        <v>1940000.0</v>
      </c>
      <c r="M8373" s="74">
        <f t="shared" si="6"/>
        <v>1940000</v>
      </c>
      <c r="N8373" s="74">
        <f t="shared" si="3"/>
        <v>110000</v>
      </c>
      <c r="O8373" s="65" t="str">
        <f>VLOOKUP(E8373,DATABASE!C:Q,8,false)</f>
        <v>BIAN</v>
      </c>
      <c r="P8373" s="65">
        <f>VLOOKUP(E8373,DATABASE!C:Q,9,False)</f>
        <v>1</v>
      </c>
      <c r="Q8373" s="93" t="str">
        <f>VLOOKUP(E8373,DATABASE!C:Q,4,false)</f>
        <v>Advance</v>
      </c>
      <c r="R8373" s="93" t="str">
        <f>VLOOKUP(E8373,DATABASE!C:Q,11,false)</f>
        <v>Tire</v>
      </c>
    </row>
    <row r="8374" ht="22.5" customHeight="1">
      <c r="A8374" s="49"/>
      <c r="C8374" s="400">
        <v>46145.0</v>
      </c>
      <c r="D8374" s="524">
        <v>1245.0</v>
      </c>
      <c r="E8374" s="544" t="s">
        <v>268</v>
      </c>
      <c r="F8374" s="387">
        <v>4.0</v>
      </c>
      <c r="G8374" s="140">
        <v>720000.0</v>
      </c>
      <c r="H8374" s="74"/>
      <c r="I8374" s="74">
        <f t="shared" si="1"/>
        <v>2880000</v>
      </c>
      <c r="J8374" s="74">
        <f>IF(E8374="SERVICE",I8374-(I8374*50%),Vlookup(E8374,DATABASE!C:Q,10,false)*F8374)</f>
        <v>0</v>
      </c>
      <c r="K8374" s="74">
        <f>VLOOKUP(E8374,DATABASE!C:Q,7,false)</f>
        <v>653000</v>
      </c>
      <c r="L8374" s="74">
        <v>634500.0</v>
      </c>
      <c r="M8374" s="74">
        <f t="shared" si="6"/>
        <v>635000</v>
      </c>
      <c r="N8374" s="74">
        <f t="shared" si="3"/>
        <v>340000</v>
      </c>
      <c r="O8374" s="65" t="str">
        <f>VLOOKUP(E8374,DATABASE!C:Q,8,false)</f>
        <v>IBU</v>
      </c>
      <c r="P8374" s="65">
        <f>VLOOKUP(E8374,DATABASE!C:Q,9,False)</f>
        <v>1</v>
      </c>
      <c r="Q8374" s="93" t="str">
        <f>VLOOKUP(E8374,DATABASE!C:Q,4,false)</f>
        <v>Dunlop</v>
      </c>
      <c r="R8374" s="93" t="str">
        <f>VLOOKUP(E8374,DATABASE!C:Q,11,false)</f>
        <v>Tire</v>
      </c>
    </row>
    <row r="8375" ht="22.5" customHeight="1">
      <c r="A8375" s="49"/>
      <c r="C8375" s="400">
        <v>46145.0</v>
      </c>
      <c r="D8375" s="69" t="s">
        <v>2798</v>
      </c>
      <c r="E8375" s="544" t="s">
        <v>252</v>
      </c>
      <c r="F8375" s="387">
        <v>1.0</v>
      </c>
      <c r="G8375" s="140">
        <v>325000.0</v>
      </c>
      <c r="H8375" s="74"/>
      <c r="I8375" s="74">
        <f t="shared" si="1"/>
        <v>325000</v>
      </c>
      <c r="J8375" s="74">
        <f>IF(E8375="SERVICE",I8375-(I8375*50%),Vlookup(E8375,DATABASE!C:Q,10,false)*F8375)</f>
        <v>0</v>
      </c>
      <c r="K8375" s="74">
        <f>VLOOKUP(E8375,DATABASE!C:Q,7,false)</f>
        <v>317518</v>
      </c>
      <c r="L8375" s="74">
        <v>275500.0</v>
      </c>
      <c r="M8375" s="74">
        <f t="shared" si="6"/>
        <v>280000</v>
      </c>
      <c r="N8375" s="74">
        <f t="shared" si="3"/>
        <v>45000</v>
      </c>
      <c r="O8375" s="65" t="str">
        <f>VLOOKUP(E8375,DATABASE!C:Q,8,false)</f>
        <v>NON</v>
      </c>
      <c r="P8375" s="65">
        <f>VLOOKUP(E8375,DATABASE!C:Q,9,False)</f>
        <v>0</v>
      </c>
      <c r="Q8375" s="93" t="str">
        <f>VLOOKUP(E8375,DATABASE!C:Q,4,false)</f>
        <v>Shell</v>
      </c>
      <c r="R8375" s="93" t="str">
        <f>VLOOKUP(E8375,DATABASE!C:Q,11,false)</f>
        <v>OIL</v>
      </c>
    </row>
    <row r="8376" ht="22.5" customHeight="1">
      <c r="A8376" s="49"/>
      <c r="C8376" s="400">
        <v>46145.0</v>
      </c>
      <c r="D8376" s="69" t="s">
        <v>2798</v>
      </c>
      <c r="E8376" s="544" t="s">
        <v>298</v>
      </c>
      <c r="F8376" s="387">
        <v>1.0</v>
      </c>
      <c r="G8376" s="140">
        <v>25000.0</v>
      </c>
      <c r="H8376" s="74"/>
      <c r="I8376" s="74">
        <f t="shared" si="1"/>
        <v>25000</v>
      </c>
      <c r="J8376" s="74">
        <f>IF(E8376="SERVICE",I8376-(I8376*50%),Vlookup(E8376,DATABASE!C:Q,10,false)*F8376)</f>
        <v>0</v>
      </c>
      <c r="K8376" s="74">
        <f>VLOOKUP(E8376,DATABASE!C:Q,7,false)</f>
        <v>19200</v>
      </c>
      <c r="L8376" s="74">
        <v>19200.0</v>
      </c>
      <c r="M8376" s="74">
        <f t="shared" si="6"/>
        <v>20000</v>
      </c>
      <c r="N8376" s="74">
        <f t="shared" si="3"/>
        <v>5000</v>
      </c>
      <c r="O8376" s="65" t="str">
        <f>VLOOKUP(E8376,DATABASE!C:Q,8,false)</f>
        <v>BIAN</v>
      </c>
      <c r="P8376" s="65">
        <f>VLOOKUP(E8376,DATABASE!C:Q,9,False)</f>
        <v>0</v>
      </c>
      <c r="Q8376" s="93" t="str">
        <f>VLOOKUP(E8376,DATABASE!C:Q,4,false)</f>
        <v>Aspira</v>
      </c>
      <c r="R8376" s="93" t="str">
        <f>VLOOKUP(E8376,DATABASE!C:Q,11,false)</f>
        <v>COMPLEMENTARY</v>
      </c>
    </row>
    <row r="8377" ht="22.5" customHeight="1">
      <c r="A8377" s="49"/>
      <c r="C8377" s="400">
        <v>46146.0</v>
      </c>
      <c r="D8377" s="524">
        <v>1246.0</v>
      </c>
      <c r="E8377" s="544" t="s">
        <v>256</v>
      </c>
      <c r="F8377" s="387">
        <v>1.0</v>
      </c>
      <c r="G8377" s="140">
        <v>175000.0</v>
      </c>
      <c r="H8377" s="140">
        <v>25000.0</v>
      </c>
      <c r="I8377" s="74">
        <f t="shared" si="1"/>
        <v>150000</v>
      </c>
      <c r="J8377" s="74">
        <f>IF(E8377="SERVICE",I8377-(I8377*50%),Vlookup(E8377,DATABASE!C:Q,10,false)*F8377)</f>
        <v>10000</v>
      </c>
      <c r="K8377" s="74">
        <f>VLOOKUP(E8377,DATABASE!C:Q,7,false)</f>
        <v>0</v>
      </c>
      <c r="L8377" s="74">
        <v>0.0</v>
      </c>
      <c r="M8377" s="74">
        <f t="shared" si="6"/>
        <v>0</v>
      </c>
      <c r="N8377" s="74">
        <f t="shared" si="3"/>
        <v>140000</v>
      </c>
      <c r="O8377" s="65" t="str">
        <f>VLOOKUP(E8377,DATABASE!C:Q,8,false)</f>
        <v>IBU</v>
      </c>
      <c r="P8377" s="65">
        <f>VLOOKUP(E8377,DATABASE!C:Q,9,False)</f>
        <v>0</v>
      </c>
      <c r="Q8377" s="93" t="str">
        <f>VLOOKUP(E8377,DATABASE!C:Q,4,false)</f>
        <v>SPOORING</v>
      </c>
      <c r="R8377" s="93" t="str">
        <f>VLOOKUP(E8377,DATABASE!C:Q,11,false)</f>
        <v>SERVICE</v>
      </c>
    </row>
    <row r="8378" ht="22.5" customHeight="1">
      <c r="A8378" s="49"/>
      <c r="C8378" s="400">
        <v>46146.0</v>
      </c>
      <c r="D8378" s="524">
        <v>1246.0</v>
      </c>
      <c r="E8378" s="544" t="s">
        <v>251</v>
      </c>
      <c r="F8378" s="387">
        <v>1.0</v>
      </c>
      <c r="G8378" s="140">
        <v>350000.0</v>
      </c>
      <c r="H8378" s="140">
        <v>270000.0</v>
      </c>
      <c r="I8378" s="74">
        <f t="shared" si="1"/>
        <v>80000</v>
      </c>
      <c r="J8378" s="74">
        <f>IF(E8378="SERVICE",I8378-(I8378*50%),Vlookup(E8378,DATABASE!C:Q,10,false)*F8378)</f>
        <v>40000</v>
      </c>
      <c r="K8378" s="74">
        <f>VLOOKUP(E8378,DATABASE!C:Q,7,false)</f>
        <v>0</v>
      </c>
      <c r="L8378" s="74">
        <v>0.0</v>
      </c>
      <c r="M8378" s="74">
        <f t="shared" si="6"/>
        <v>0</v>
      </c>
      <c r="N8378" s="74">
        <f t="shared" si="3"/>
        <v>40000</v>
      </c>
      <c r="O8378" s="65" t="str">
        <f>VLOOKUP(E8378,DATABASE!C:Q,8,false)</f>
        <v>IBU</v>
      </c>
      <c r="P8378" s="65">
        <f>VLOOKUP(E8378,DATABASE!C:Q,9,False)</f>
        <v>0</v>
      </c>
      <c r="Q8378" s="93" t="str">
        <f>VLOOKUP(E8378,DATABASE!C:Q,4,false)</f>
        <v>SERVICE</v>
      </c>
      <c r="R8378" s="93" t="str">
        <f>VLOOKUP(E8378,DATABASE!C:Q,11,false)</f>
        <v>SERVICE</v>
      </c>
    </row>
    <row r="8379" ht="22.5" customHeight="1">
      <c r="A8379" s="49"/>
      <c r="C8379" s="400">
        <v>46146.0</v>
      </c>
      <c r="D8379" s="524">
        <v>1247.0</v>
      </c>
      <c r="E8379" s="544" t="s">
        <v>268</v>
      </c>
      <c r="F8379" s="387">
        <v>1.0</v>
      </c>
      <c r="G8379" s="140">
        <v>720000.0</v>
      </c>
      <c r="H8379" s="74"/>
      <c r="I8379" s="74">
        <f t="shared" si="1"/>
        <v>720000</v>
      </c>
      <c r="J8379" s="74">
        <f>IF(E8379="SERVICE",I8379-(I8379*50%),Vlookup(E8379,DATABASE!C:Q,10,false)*F8379)</f>
        <v>0</v>
      </c>
      <c r="K8379" s="74">
        <f>VLOOKUP(E8379,DATABASE!C:Q,7,false)</f>
        <v>653000</v>
      </c>
      <c r="L8379" s="74">
        <v>634500.0</v>
      </c>
      <c r="M8379" s="74">
        <f t="shared" si="6"/>
        <v>635000</v>
      </c>
      <c r="N8379" s="74">
        <f t="shared" si="3"/>
        <v>85000</v>
      </c>
      <c r="O8379" s="65" t="str">
        <f>VLOOKUP(E8379,DATABASE!C:Q,8,false)</f>
        <v>IBU</v>
      </c>
      <c r="P8379" s="65">
        <f>VLOOKUP(E8379,DATABASE!C:Q,9,False)</f>
        <v>1</v>
      </c>
      <c r="Q8379" s="93" t="str">
        <f>VLOOKUP(E8379,DATABASE!C:Q,4,false)</f>
        <v>Dunlop</v>
      </c>
      <c r="R8379" s="93" t="str">
        <f>VLOOKUP(E8379,DATABASE!C:Q,11,false)</f>
        <v>Tire</v>
      </c>
    </row>
    <row r="8380" ht="22.5" customHeight="1">
      <c r="A8380" s="49"/>
      <c r="C8380" s="400">
        <v>46146.0</v>
      </c>
      <c r="D8380" s="524">
        <v>1248.0</v>
      </c>
      <c r="E8380" s="544" t="s">
        <v>591</v>
      </c>
      <c r="F8380" s="387">
        <v>1.0</v>
      </c>
      <c r="G8380" s="140">
        <v>710000.0</v>
      </c>
      <c r="H8380" s="140">
        <v>10000.0</v>
      </c>
      <c r="I8380" s="74">
        <f t="shared" si="1"/>
        <v>700000</v>
      </c>
      <c r="J8380" s="74">
        <f>IF(E8380="SERVICE",I8380-(I8380*50%),Vlookup(E8380,DATABASE!C:Q,10,false)*F8380)</f>
        <v>0</v>
      </c>
      <c r="K8380" s="74">
        <f>VLOOKUP(E8380,DATABASE!C:Q,7,false)</f>
        <v>633035.16</v>
      </c>
      <c r="L8380" s="74">
        <v>609844.375</v>
      </c>
      <c r="M8380" s="74">
        <f t="shared" si="6"/>
        <v>610000</v>
      </c>
      <c r="N8380" s="74">
        <f t="shared" si="3"/>
        <v>90000</v>
      </c>
      <c r="O8380" s="65" t="str">
        <f>VLOOKUP(E8380,DATABASE!C:Q,8,false)</f>
        <v>IBU</v>
      </c>
      <c r="P8380" s="65">
        <f>VLOOKUP(E8380,DATABASE!C:Q,9,False)</f>
        <v>1</v>
      </c>
      <c r="Q8380" s="93" t="str">
        <f>VLOOKUP(E8380,DATABASE!C:Q,4,false)</f>
        <v>Bridgestone</v>
      </c>
      <c r="R8380" s="93" t="str">
        <f>VLOOKUP(E8380,DATABASE!C:Q,11,false)</f>
        <v>Tire</v>
      </c>
    </row>
    <row r="8381" ht="22.5" customHeight="1">
      <c r="A8381" s="49"/>
      <c r="C8381" s="400">
        <v>46146.0</v>
      </c>
      <c r="D8381" s="524">
        <v>1249.0</v>
      </c>
      <c r="E8381" s="544" t="s">
        <v>268</v>
      </c>
      <c r="F8381" s="387">
        <v>2.0</v>
      </c>
      <c r="G8381" s="140">
        <v>720000.0</v>
      </c>
      <c r="H8381" s="74"/>
      <c r="I8381" s="74">
        <f t="shared" si="1"/>
        <v>1440000</v>
      </c>
      <c r="J8381" s="74">
        <f>IF(E8381="SERVICE",I8381-(I8381*50%),Vlookup(E8381,DATABASE!C:Q,10,false)*F8381)</f>
        <v>0</v>
      </c>
      <c r="K8381" s="74">
        <f>VLOOKUP(E8381,DATABASE!C:Q,7,false)</f>
        <v>653000</v>
      </c>
      <c r="L8381" s="74">
        <v>634500.0</v>
      </c>
      <c r="M8381" s="74">
        <f t="shared" si="6"/>
        <v>635000</v>
      </c>
      <c r="N8381" s="74">
        <f t="shared" si="3"/>
        <v>170000</v>
      </c>
      <c r="O8381" s="65" t="str">
        <f>VLOOKUP(E8381,DATABASE!C:Q,8,false)</f>
        <v>IBU</v>
      </c>
      <c r="P8381" s="65">
        <f>VLOOKUP(E8381,DATABASE!C:Q,9,False)</f>
        <v>1</v>
      </c>
      <c r="Q8381" s="93" t="str">
        <f>VLOOKUP(E8381,DATABASE!C:Q,4,false)</f>
        <v>Dunlop</v>
      </c>
      <c r="R8381" s="93" t="str">
        <f>VLOOKUP(E8381,DATABASE!C:Q,11,false)</f>
        <v>Tire</v>
      </c>
    </row>
    <row r="8382" ht="22.5" customHeight="1">
      <c r="A8382" s="49"/>
      <c r="C8382" s="400">
        <v>46146.0</v>
      </c>
      <c r="D8382" s="524">
        <v>1250.0</v>
      </c>
      <c r="E8382" s="544" t="s">
        <v>251</v>
      </c>
      <c r="F8382" s="387">
        <v>1.0</v>
      </c>
      <c r="G8382" s="140">
        <v>350000.0</v>
      </c>
      <c r="H8382" s="140">
        <v>200000.0</v>
      </c>
      <c r="I8382" s="74">
        <f t="shared" si="1"/>
        <v>150000</v>
      </c>
      <c r="J8382" s="74">
        <f>IF(E8382="SERVICE",I8382-(I8382*50%),Vlookup(E8382,DATABASE!C:Q,10,false)*F8382)</f>
        <v>75000</v>
      </c>
      <c r="K8382" s="74">
        <f>VLOOKUP(E8382,DATABASE!C:Q,7,false)</f>
        <v>0</v>
      </c>
      <c r="L8382" s="74">
        <v>0.0</v>
      </c>
      <c r="M8382" s="74">
        <f t="shared" si="6"/>
        <v>0</v>
      </c>
      <c r="N8382" s="74">
        <f t="shared" si="3"/>
        <v>75000</v>
      </c>
      <c r="O8382" s="65" t="str">
        <f>VLOOKUP(E8382,DATABASE!C:Q,8,false)</f>
        <v>IBU</v>
      </c>
      <c r="P8382" s="65">
        <f>VLOOKUP(E8382,DATABASE!C:Q,9,False)</f>
        <v>0</v>
      </c>
      <c r="Q8382" s="93" t="str">
        <f>VLOOKUP(E8382,DATABASE!C:Q,4,false)</f>
        <v>SERVICE</v>
      </c>
      <c r="R8382" s="93" t="str">
        <f>VLOOKUP(E8382,DATABASE!C:Q,11,false)</f>
        <v>SERVICE</v>
      </c>
    </row>
    <row r="8383" ht="22.5" customHeight="1">
      <c r="A8383" s="49"/>
      <c r="C8383" s="400">
        <v>46146.0</v>
      </c>
      <c r="D8383" s="524">
        <v>1251.0</v>
      </c>
      <c r="E8383" s="544" t="s">
        <v>2345</v>
      </c>
      <c r="F8383" s="387">
        <v>1.0</v>
      </c>
      <c r="G8383" s="140">
        <v>775000.0</v>
      </c>
      <c r="H8383" s="140">
        <v>25000.0</v>
      </c>
      <c r="I8383" s="74">
        <f t="shared" si="1"/>
        <v>750000</v>
      </c>
      <c r="J8383" s="74">
        <f>IF(E8383="SERVICE",I8383-(I8383*50%),Vlookup(E8383,DATABASE!C:Q,10,false)*F8383)</f>
        <v>0</v>
      </c>
      <c r="K8383" s="74">
        <f>VLOOKUP(E8383,DATABASE!C:Q,7,false)</f>
        <v>680000</v>
      </c>
      <c r="L8383" s="74">
        <v>650000.0</v>
      </c>
      <c r="M8383" s="74">
        <f t="shared" si="6"/>
        <v>650000</v>
      </c>
      <c r="N8383" s="74">
        <f t="shared" si="3"/>
        <v>100000</v>
      </c>
      <c r="O8383" s="65" t="str">
        <f>VLOOKUP(E8383,DATABASE!C:Q,8,false)</f>
        <v>BIAN</v>
      </c>
      <c r="P8383" s="65">
        <f>VLOOKUP(E8383,DATABASE!C:Q,9,False)</f>
        <v>1</v>
      </c>
      <c r="Q8383" s="93" t="str">
        <f>VLOOKUP(E8383,DATABASE!C:Q,4,false)</f>
        <v>Velg</v>
      </c>
      <c r="R8383" s="93" t="str">
        <f>VLOOKUP(E8383,DATABASE!C:Q,11,false)</f>
        <v>Tire</v>
      </c>
    </row>
    <row r="8384" ht="22.5" customHeight="1">
      <c r="A8384" s="49"/>
      <c r="C8384" s="400">
        <v>46146.0</v>
      </c>
      <c r="D8384" s="524">
        <v>1251.0</v>
      </c>
      <c r="E8384" s="544" t="s">
        <v>830</v>
      </c>
      <c r="F8384" s="387">
        <v>1.0</v>
      </c>
      <c r="G8384" s="140">
        <v>220000.0</v>
      </c>
      <c r="H8384" s="74"/>
      <c r="I8384" s="74">
        <f t="shared" si="1"/>
        <v>220000</v>
      </c>
      <c r="J8384" s="74">
        <f>IF(E8384="SERVICE",I8384-(I8384*50%),Vlookup(E8384,DATABASE!C:Q,10,false)*F8384)</f>
        <v>0</v>
      </c>
      <c r="K8384" s="74">
        <f>VLOOKUP(E8384,DATABASE!C:Q,7,false)</f>
        <v>184150</v>
      </c>
      <c r="L8384" s="74">
        <v>184150.0</v>
      </c>
      <c r="M8384" s="74">
        <f t="shared" si="6"/>
        <v>185000</v>
      </c>
      <c r="N8384" s="74">
        <f t="shared" si="3"/>
        <v>35000</v>
      </c>
      <c r="O8384" s="65" t="str">
        <f>VLOOKUP(E8384,DATABASE!C:Q,8,false)</f>
        <v>BIAN</v>
      </c>
      <c r="P8384" s="65">
        <f>VLOOKUP(E8384,DATABASE!C:Q,9,False)</f>
        <v>1</v>
      </c>
      <c r="Q8384" s="93" t="str">
        <f>VLOOKUP(E8384,DATABASE!C:Q,4,false)</f>
        <v>BD</v>
      </c>
      <c r="R8384" s="93" t="str">
        <f>VLOOKUP(E8384,DATABASE!C:Q,11,false)</f>
        <v>Tire</v>
      </c>
    </row>
    <row r="8385" ht="22.5" customHeight="1">
      <c r="A8385" s="49"/>
      <c r="C8385" s="400">
        <v>46146.0</v>
      </c>
      <c r="D8385" s="524">
        <v>1251.0</v>
      </c>
      <c r="E8385" s="544" t="s">
        <v>821</v>
      </c>
      <c r="F8385" s="387">
        <v>1.0</v>
      </c>
      <c r="G8385" s="140">
        <v>90000.0</v>
      </c>
      <c r="H8385" s="74"/>
      <c r="I8385" s="74">
        <f t="shared" si="1"/>
        <v>90000</v>
      </c>
      <c r="J8385" s="74">
        <f>IF(E8385="SERVICE",I8385-(I8385*50%),Vlookup(E8385,DATABASE!C:Q,10,false)*F8385)</f>
        <v>0</v>
      </c>
      <c r="K8385" s="74">
        <f>VLOOKUP(E8385,DATABASE!C:Q,7,false)</f>
        <v>43500</v>
      </c>
      <c r="L8385" s="74">
        <v>43520.0</v>
      </c>
      <c r="M8385" s="74">
        <f t="shared" si="6"/>
        <v>45000</v>
      </c>
      <c r="N8385" s="74">
        <f t="shared" si="3"/>
        <v>45000</v>
      </c>
      <c r="O8385" s="65" t="str">
        <f>VLOOKUP(E8385,DATABASE!C:Q,8,false)</f>
        <v>BIAN</v>
      </c>
      <c r="P8385" s="65">
        <f>VLOOKUP(E8385,DATABASE!C:Q,9,False)</f>
        <v>1</v>
      </c>
      <c r="Q8385" s="93" t="str">
        <f>VLOOKUP(E8385,DATABASE!C:Q,4,false)</f>
        <v>Flap</v>
      </c>
      <c r="R8385" s="93" t="str">
        <f>VLOOKUP(E8385,DATABASE!C:Q,11,false)</f>
        <v>Tire</v>
      </c>
    </row>
    <row r="8386" ht="22.5" customHeight="1">
      <c r="A8386" s="49"/>
      <c r="C8386" s="400">
        <v>46146.0</v>
      </c>
      <c r="D8386" s="524">
        <v>1252.0</v>
      </c>
      <c r="E8386" s="544" t="s">
        <v>295</v>
      </c>
      <c r="F8386" s="387">
        <v>1.0</v>
      </c>
      <c r="G8386" s="140">
        <v>1525000.0</v>
      </c>
      <c r="H8386" s="74"/>
      <c r="I8386" s="74">
        <f t="shared" si="1"/>
        <v>1525000</v>
      </c>
      <c r="J8386" s="74">
        <f>IF(E8386="SERVICE",I8386-(I8386*50%),Vlookup(E8386,DATABASE!C:Q,10,false)*F8386)</f>
        <v>0</v>
      </c>
      <c r="K8386" s="74">
        <f>VLOOKUP(E8386,DATABASE!C:Q,7,false)</f>
        <v>1475000</v>
      </c>
      <c r="L8386" s="74">
        <v>1425000.0</v>
      </c>
      <c r="M8386" s="74">
        <f t="shared" si="6"/>
        <v>1425000</v>
      </c>
      <c r="N8386" s="74">
        <f t="shared" si="3"/>
        <v>100000</v>
      </c>
      <c r="O8386" s="65" t="str">
        <f>VLOOKUP(E8386,DATABASE!C:Q,8,false)</f>
        <v>BIAN</v>
      </c>
      <c r="P8386" s="65">
        <f>VLOOKUP(E8386,DATABASE!C:Q,9,False)</f>
        <v>1</v>
      </c>
      <c r="Q8386" s="93" t="str">
        <f>VLOOKUP(E8386,DATABASE!C:Q,4,false)</f>
        <v>TIRON</v>
      </c>
      <c r="R8386" s="93" t="str">
        <f>VLOOKUP(E8386,DATABASE!C:Q,11,false)</f>
        <v>Tire</v>
      </c>
    </row>
    <row r="8387" ht="22.5" customHeight="1">
      <c r="A8387" s="49"/>
      <c r="C8387" s="400">
        <v>46146.0</v>
      </c>
      <c r="D8387" s="524">
        <v>1253.0</v>
      </c>
      <c r="E8387" s="544" t="s">
        <v>271</v>
      </c>
      <c r="F8387" s="387">
        <v>1.0</v>
      </c>
      <c r="G8387" s="140">
        <v>640000.0</v>
      </c>
      <c r="H8387" s="74"/>
      <c r="I8387" s="74">
        <f t="shared" si="1"/>
        <v>640000</v>
      </c>
      <c r="J8387" s="74">
        <f>IF(E8387="SERVICE",I8387-(I8387*50%),Vlookup(E8387,DATABASE!C:Q,10,false)*F8387)</f>
        <v>0</v>
      </c>
      <c r="K8387" s="74">
        <f>VLOOKUP(E8387,DATABASE!C:Q,7,false)</f>
        <v>570000</v>
      </c>
      <c r="L8387" s="74">
        <v>550000.0</v>
      </c>
      <c r="M8387" s="74">
        <f t="shared" si="6"/>
        <v>550000</v>
      </c>
      <c r="N8387" s="74">
        <f t="shared" si="3"/>
        <v>90000</v>
      </c>
      <c r="O8387" s="65" t="str">
        <f>VLOOKUP(E8387,DATABASE!C:Q,8,false)</f>
        <v>IBU</v>
      </c>
      <c r="P8387" s="65">
        <f>VLOOKUP(E8387,DATABASE!C:Q,9,False)</f>
        <v>1</v>
      </c>
      <c r="Q8387" s="93" t="str">
        <f>VLOOKUP(E8387,DATABASE!C:Q,4,false)</f>
        <v>Dunlop</v>
      </c>
      <c r="R8387" s="93" t="str">
        <f>VLOOKUP(E8387,DATABASE!C:Q,11,false)</f>
        <v>Tire</v>
      </c>
    </row>
    <row r="8388" ht="22.5" customHeight="1">
      <c r="A8388" s="49"/>
      <c r="C8388" s="400">
        <v>46146.0</v>
      </c>
      <c r="D8388" s="524">
        <v>1254.0</v>
      </c>
      <c r="E8388" s="544" t="s">
        <v>256</v>
      </c>
      <c r="F8388" s="387">
        <v>1.0</v>
      </c>
      <c r="G8388" s="140">
        <v>175000.0</v>
      </c>
      <c r="H8388" s="140">
        <v>25000.0</v>
      </c>
      <c r="I8388" s="74">
        <f t="shared" si="1"/>
        <v>150000</v>
      </c>
      <c r="J8388" s="74">
        <f>IF(E8388="SERVICE",I8388-(I8388*50%),Vlookup(E8388,DATABASE!C:Q,10,false)*F8388)</f>
        <v>10000</v>
      </c>
      <c r="K8388" s="74">
        <f>VLOOKUP(E8388,DATABASE!C:Q,7,false)</f>
        <v>0</v>
      </c>
      <c r="L8388" s="74">
        <v>0.0</v>
      </c>
      <c r="M8388" s="74">
        <f t="shared" si="6"/>
        <v>0</v>
      </c>
      <c r="N8388" s="74">
        <f t="shared" si="3"/>
        <v>140000</v>
      </c>
      <c r="O8388" s="65" t="str">
        <f>VLOOKUP(E8388,DATABASE!C:Q,8,false)</f>
        <v>IBU</v>
      </c>
      <c r="P8388" s="65">
        <f>VLOOKUP(E8388,DATABASE!C:Q,9,False)</f>
        <v>0</v>
      </c>
      <c r="Q8388" s="93" t="str">
        <f>VLOOKUP(E8388,DATABASE!C:Q,4,false)</f>
        <v>SPOORING</v>
      </c>
      <c r="R8388" s="93" t="str">
        <f>VLOOKUP(E8388,DATABASE!C:Q,11,false)</f>
        <v>SERVICE</v>
      </c>
    </row>
    <row r="8389" ht="22.5" customHeight="1">
      <c r="A8389" s="49"/>
      <c r="C8389" s="400">
        <v>46146.0</v>
      </c>
      <c r="D8389" s="524">
        <v>1254.0</v>
      </c>
      <c r="E8389" s="544" t="s">
        <v>301</v>
      </c>
      <c r="F8389" s="387">
        <v>1.0</v>
      </c>
      <c r="G8389" s="140">
        <v>250000.0</v>
      </c>
      <c r="H8389" s="74"/>
      <c r="I8389" s="74">
        <f t="shared" si="1"/>
        <v>250000</v>
      </c>
      <c r="J8389" s="74">
        <f>IF(E8389="SERVICE",I8389-(I8389*50%),Vlookup(E8389,DATABASE!C:Q,10,false)*F8389)</f>
        <v>75000</v>
      </c>
      <c r="K8389" s="74">
        <f>VLOOKUP(E8389,DATABASE!C:Q,7,false)</f>
        <v>75000</v>
      </c>
      <c r="L8389" s="74">
        <v>75000.0</v>
      </c>
      <c r="M8389" s="74">
        <f t="shared" si="6"/>
        <v>75000</v>
      </c>
      <c r="N8389" s="74">
        <f t="shared" si="3"/>
        <v>100000</v>
      </c>
      <c r="O8389" s="65" t="str">
        <f>VLOOKUP(E8389,DATABASE!C:Q,8,false)</f>
        <v>BIAN</v>
      </c>
      <c r="P8389" s="65">
        <f>VLOOKUP(E8389,DATABASE!C:Q,9,False)</f>
        <v>0</v>
      </c>
      <c r="Q8389" s="93" t="str">
        <f>VLOOKUP(E8389,DATABASE!C:Q,4,false)</f>
        <v>Baut Camber</v>
      </c>
      <c r="R8389" s="93" t="str">
        <f>VLOOKUP(E8389,DATABASE!C:Q,11,false)</f>
        <v>COMPLEMENTARY</v>
      </c>
    </row>
    <row r="8390" ht="22.5" customHeight="1">
      <c r="A8390" s="49"/>
      <c r="C8390" s="400">
        <v>46147.0</v>
      </c>
      <c r="D8390" s="524">
        <v>1255.0</v>
      </c>
      <c r="E8390" s="544" t="s">
        <v>271</v>
      </c>
      <c r="F8390" s="387">
        <v>1.0</v>
      </c>
      <c r="G8390" s="140">
        <v>640000.0</v>
      </c>
      <c r="H8390" s="74"/>
      <c r="I8390" s="74">
        <f t="shared" si="1"/>
        <v>640000</v>
      </c>
      <c r="J8390" s="74">
        <f>IF(E8390="SERVICE",I8390-(I8390*50%),Vlookup(E8390,DATABASE!C:Q,10,false)*F8390)</f>
        <v>0</v>
      </c>
      <c r="K8390" s="74">
        <f>VLOOKUP(E8390,DATABASE!C:Q,7,false)</f>
        <v>570000</v>
      </c>
      <c r="L8390" s="74">
        <v>550000.0</v>
      </c>
      <c r="M8390" s="74">
        <f t="shared" si="6"/>
        <v>550000</v>
      </c>
      <c r="N8390" s="74">
        <f t="shared" si="3"/>
        <v>90000</v>
      </c>
      <c r="O8390" s="65" t="str">
        <f>VLOOKUP(E8390,DATABASE!C:Q,8,false)</f>
        <v>IBU</v>
      </c>
      <c r="P8390" s="65">
        <f>VLOOKUP(E8390,DATABASE!C:Q,9,False)</f>
        <v>1</v>
      </c>
      <c r="Q8390" s="93" t="str">
        <f>VLOOKUP(E8390,DATABASE!C:Q,4,false)</f>
        <v>Dunlop</v>
      </c>
      <c r="R8390" s="93" t="str">
        <f>VLOOKUP(E8390,DATABASE!C:Q,11,false)</f>
        <v>Tire</v>
      </c>
    </row>
    <row r="8391" ht="22.5" customHeight="1">
      <c r="A8391" s="49"/>
      <c r="C8391" s="400">
        <v>46147.0</v>
      </c>
      <c r="D8391" s="524">
        <v>1256.0</v>
      </c>
      <c r="E8391" s="544" t="s">
        <v>268</v>
      </c>
      <c r="F8391" s="387">
        <v>1.0</v>
      </c>
      <c r="G8391" s="140">
        <v>720000.0</v>
      </c>
      <c r="H8391" s="74"/>
      <c r="I8391" s="74">
        <f t="shared" si="1"/>
        <v>720000</v>
      </c>
      <c r="J8391" s="74">
        <f>IF(E8391="SERVICE",I8391-(I8391*50%),Vlookup(E8391,DATABASE!C:Q,10,false)*F8391)</f>
        <v>0</v>
      </c>
      <c r="K8391" s="74">
        <f>VLOOKUP(E8391,DATABASE!C:Q,7,false)</f>
        <v>653000</v>
      </c>
      <c r="L8391" s="74">
        <v>634500.0</v>
      </c>
      <c r="M8391" s="74">
        <f t="shared" si="6"/>
        <v>635000</v>
      </c>
      <c r="N8391" s="74">
        <f t="shared" si="3"/>
        <v>85000</v>
      </c>
      <c r="O8391" s="65" t="str">
        <f>VLOOKUP(E8391,DATABASE!C:Q,8,false)</f>
        <v>IBU</v>
      </c>
      <c r="P8391" s="65">
        <f>VLOOKUP(E8391,DATABASE!C:Q,9,False)</f>
        <v>1</v>
      </c>
      <c r="Q8391" s="93" t="str">
        <f>VLOOKUP(E8391,DATABASE!C:Q,4,false)</f>
        <v>Dunlop</v>
      </c>
      <c r="R8391" s="93" t="str">
        <f>VLOOKUP(E8391,DATABASE!C:Q,11,false)</f>
        <v>Tire</v>
      </c>
    </row>
    <row r="8392" ht="22.5" customHeight="1">
      <c r="A8392" s="49"/>
      <c r="C8392" s="400">
        <v>46147.0</v>
      </c>
      <c r="D8392" s="524">
        <v>1257.0</v>
      </c>
      <c r="E8392" s="544" t="s">
        <v>569</v>
      </c>
      <c r="F8392" s="387">
        <v>1.0</v>
      </c>
      <c r="G8392" s="140">
        <v>80000.0</v>
      </c>
      <c r="H8392" s="74"/>
      <c r="I8392" s="74">
        <f t="shared" si="1"/>
        <v>80000</v>
      </c>
      <c r="J8392" s="74">
        <f>IF(E8392="SERVICE",I8392-(I8392*50%),Vlookup(E8392,DATABASE!C:Q,10,false)*F8392)</f>
        <v>0</v>
      </c>
      <c r="K8392" s="74">
        <f>VLOOKUP(E8392,DATABASE!C:Q,7,false)</f>
        <v>45439.582</v>
      </c>
      <c r="L8392" s="74">
        <v>45439.582</v>
      </c>
      <c r="M8392" s="74">
        <f t="shared" si="6"/>
        <v>50000</v>
      </c>
      <c r="N8392" s="74">
        <f t="shared" si="3"/>
        <v>30000</v>
      </c>
      <c r="O8392" s="65" t="str">
        <f>VLOOKUP(E8392,DATABASE!C:Q,8,false)</f>
        <v>BIAN</v>
      </c>
      <c r="P8392" s="65">
        <f>VLOOKUP(E8392,DATABASE!C:Q,9,False)</f>
        <v>1</v>
      </c>
      <c r="Q8392" s="93" t="str">
        <f>VLOOKUP(E8392,DATABASE!C:Q,4,false)</f>
        <v>BD</v>
      </c>
      <c r="R8392" s="93" t="str">
        <f>VLOOKUP(E8392,DATABASE!C:Q,11,false)</f>
        <v>Tire</v>
      </c>
    </row>
    <row r="8393" ht="22.5" customHeight="1">
      <c r="A8393" s="49"/>
      <c r="C8393" s="400">
        <v>46147.0</v>
      </c>
      <c r="D8393" s="69">
        <v>1259.0</v>
      </c>
      <c r="E8393" s="544" t="s">
        <v>265</v>
      </c>
      <c r="F8393" s="387">
        <v>1.0</v>
      </c>
      <c r="G8393" s="140">
        <v>700000.0</v>
      </c>
      <c r="H8393" s="74"/>
      <c r="I8393" s="74">
        <f t="shared" si="1"/>
        <v>700000</v>
      </c>
      <c r="J8393" s="74">
        <f>IF(E8393="SERVICE",I8393-(I8393*50%),Vlookup(E8393,DATABASE!C:Q,10,false)*F8393)</f>
        <v>0</v>
      </c>
      <c r="K8393" s="74">
        <f>VLOOKUP(E8393,DATABASE!C:Q,7,false)</f>
        <v>628000</v>
      </c>
      <c r="L8393" s="74">
        <v>610000.0</v>
      </c>
      <c r="M8393" s="74">
        <f t="shared" si="6"/>
        <v>610000</v>
      </c>
      <c r="N8393" s="74">
        <f t="shared" si="3"/>
        <v>90000</v>
      </c>
      <c r="O8393" s="65" t="str">
        <f>VLOOKUP(E8393,DATABASE!C:Q,8,false)</f>
        <v>IBU</v>
      </c>
      <c r="P8393" s="65">
        <f>VLOOKUP(E8393,DATABASE!C:Q,9,False)</f>
        <v>1</v>
      </c>
      <c r="Q8393" s="93" t="str">
        <f>VLOOKUP(E8393,DATABASE!C:Q,4,false)</f>
        <v>Dunlop</v>
      </c>
      <c r="R8393" s="93" t="str">
        <f>VLOOKUP(E8393,DATABASE!C:Q,11,false)</f>
        <v>Tire</v>
      </c>
    </row>
    <row r="8394" ht="22.5" customHeight="1">
      <c r="A8394" s="49"/>
      <c r="C8394" s="400">
        <v>46147.0</v>
      </c>
      <c r="D8394" s="524">
        <v>1260.0</v>
      </c>
      <c r="E8394" s="544" t="s">
        <v>256</v>
      </c>
      <c r="F8394" s="387">
        <v>1.0</v>
      </c>
      <c r="G8394" s="140">
        <v>175000.0</v>
      </c>
      <c r="H8394" s="140">
        <v>25000.0</v>
      </c>
      <c r="I8394" s="74">
        <f t="shared" si="1"/>
        <v>150000</v>
      </c>
      <c r="J8394" s="74">
        <f>IF(E8394="SERVICE",I8394-(I8394*50%),Vlookup(E8394,DATABASE!C:Q,10,false)*F8394)</f>
        <v>10000</v>
      </c>
      <c r="K8394" s="74">
        <f>VLOOKUP(E8394,DATABASE!C:Q,7,false)</f>
        <v>0</v>
      </c>
      <c r="L8394" s="74">
        <v>0.0</v>
      </c>
      <c r="M8394" s="74">
        <f t="shared" si="6"/>
        <v>0</v>
      </c>
      <c r="N8394" s="74">
        <f t="shared" si="3"/>
        <v>140000</v>
      </c>
      <c r="O8394" s="65" t="str">
        <f>VLOOKUP(E8394,DATABASE!C:Q,8,false)</f>
        <v>IBU</v>
      </c>
      <c r="P8394" s="65">
        <f>VLOOKUP(E8394,DATABASE!C:Q,9,False)</f>
        <v>0</v>
      </c>
      <c r="Q8394" s="93" t="str">
        <f>VLOOKUP(E8394,DATABASE!C:Q,4,false)</f>
        <v>SPOORING</v>
      </c>
      <c r="R8394" s="93" t="str">
        <f>VLOOKUP(E8394,DATABASE!C:Q,11,false)</f>
        <v>SERVICE</v>
      </c>
    </row>
    <row r="8395" ht="22.5" customHeight="1">
      <c r="A8395" s="49"/>
      <c r="C8395" s="400">
        <v>46147.0</v>
      </c>
      <c r="D8395" s="524">
        <v>1260.0</v>
      </c>
      <c r="E8395" s="544" t="s">
        <v>301</v>
      </c>
      <c r="F8395" s="387">
        <v>1.0</v>
      </c>
      <c r="G8395" s="140">
        <v>250000.0</v>
      </c>
      <c r="H8395" s="74"/>
      <c r="I8395" s="74">
        <f t="shared" si="1"/>
        <v>250000</v>
      </c>
      <c r="J8395" s="74">
        <f>IF(E8395="SERVICE",I8395-(I8395*50%),Vlookup(E8395,DATABASE!C:Q,10,false)*F8395)</f>
        <v>75000</v>
      </c>
      <c r="K8395" s="74">
        <f>VLOOKUP(E8395,DATABASE!C:Q,7,false)</f>
        <v>75000</v>
      </c>
      <c r="L8395" s="74">
        <v>75000.0</v>
      </c>
      <c r="M8395" s="74">
        <f t="shared" si="6"/>
        <v>75000</v>
      </c>
      <c r="N8395" s="74">
        <f t="shared" si="3"/>
        <v>100000</v>
      </c>
      <c r="O8395" s="65" t="str">
        <f>VLOOKUP(E8395,DATABASE!C:Q,8,false)</f>
        <v>BIAN</v>
      </c>
      <c r="P8395" s="65">
        <f>VLOOKUP(E8395,DATABASE!C:Q,9,False)</f>
        <v>0</v>
      </c>
      <c r="Q8395" s="93" t="str">
        <f>VLOOKUP(E8395,DATABASE!C:Q,4,false)</f>
        <v>Baut Camber</v>
      </c>
      <c r="R8395" s="93" t="str">
        <f>VLOOKUP(E8395,DATABASE!C:Q,11,false)</f>
        <v>COMPLEMENTARY</v>
      </c>
    </row>
    <row r="8396" ht="22.5" customHeight="1">
      <c r="A8396" s="49"/>
      <c r="C8396" s="400">
        <v>46147.0</v>
      </c>
      <c r="D8396" s="524">
        <v>1262.0</v>
      </c>
      <c r="E8396" s="544" t="s">
        <v>262</v>
      </c>
      <c r="F8396" s="387">
        <v>1.0</v>
      </c>
      <c r="G8396" s="140">
        <v>130000.0</v>
      </c>
      <c r="H8396" s="74"/>
      <c r="I8396" s="74">
        <f t="shared" si="1"/>
        <v>130000</v>
      </c>
      <c r="J8396" s="74">
        <f>IF(E8396="SERVICE",I8396-(I8396*50%),Vlookup(E8396,DATABASE!C:Q,10,false)*F8396)</f>
        <v>5000</v>
      </c>
      <c r="K8396" s="74">
        <f>VLOOKUP(E8396,DATABASE!C:Q,7,false)</f>
        <v>0</v>
      </c>
      <c r="L8396" s="74">
        <v>0.0</v>
      </c>
      <c r="M8396" s="74">
        <f t="shared" si="6"/>
        <v>0</v>
      </c>
      <c r="N8396" s="74">
        <f t="shared" si="3"/>
        <v>125000</v>
      </c>
      <c r="O8396" s="65" t="str">
        <f>VLOOKUP(E8396,DATABASE!C:Q,8,false)</f>
        <v>IBU</v>
      </c>
      <c r="P8396" s="65">
        <f>VLOOKUP(E8396,DATABASE!C:Q,9,False)</f>
        <v>0</v>
      </c>
      <c r="Q8396" s="93" t="str">
        <f>VLOOKUP(E8396,DATABASE!C:Q,4,false)</f>
        <v>SPOORING SS/CARRY LOS BAK</v>
      </c>
      <c r="R8396" s="93" t="str">
        <f>VLOOKUP(E8396,DATABASE!C:Q,11,false)</f>
        <v>SERVICE</v>
      </c>
    </row>
    <row r="8397" ht="22.5" customHeight="1">
      <c r="A8397" s="49"/>
      <c r="C8397" s="400">
        <v>46147.0</v>
      </c>
      <c r="D8397" s="524">
        <v>1262.0</v>
      </c>
      <c r="E8397" s="544" t="s">
        <v>478</v>
      </c>
      <c r="F8397" s="387">
        <v>1.0</v>
      </c>
      <c r="G8397" s="140">
        <v>200000.0</v>
      </c>
      <c r="H8397" s="74"/>
      <c r="I8397" s="74">
        <f t="shared" si="1"/>
        <v>200000</v>
      </c>
      <c r="J8397" s="74">
        <f>IF(E8397="SERVICE",I8397-(I8397*50%),Vlookup(E8397,DATABASE!C:Q,10,false)*F8397)</f>
        <v>25000</v>
      </c>
      <c r="K8397" s="74">
        <f>VLOOKUP(E8397,DATABASE!C:Q,7,false)</f>
        <v>75000</v>
      </c>
      <c r="L8397" s="74">
        <v>75000.0</v>
      </c>
      <c r="M8397" s="74">
        <f t="shared" si="6"/>
        <v>75000</v>
      </c>
      <c r="N8397" s="74">
        <f t="shared" si="3"/>
        <v>100000</v>
      </c>
      <c r="O8397" s="65" t="str">
        <f>VLOOKUP(E8397,DATABASE!C:Q,8,false)</f>
        <v>BIAN</v>
      </c>
      <c r="P8397" s="65">
        <f>VLOOKUP(E8397,DATABASE!C:Q,9,False)</f>
        <v>0</v>
      </c>
      <c r="Q8397" s="93" t="str">
        <f>VLOOKUP(E8397,DATABASE!C:Q,4,false)</f>
        <v>Baut Camber ss-carry</v>
      </c>
      <c r="R8397" s="93" t="str">
        <f>VLOOKUP(E8397,DATABASE!C:Q,11,false)</f>
        <v>COMPLEMENTARY</v>
      </c>
    </row>
    <row r="8398" ht="22.5" customHeight="1">
      <c r="A8398" s="49"/>
      <c r="C8398" s="400">
        <v>46147.0</v>
      </c>
      <c r="D8398" s="524">
        <v>1262.0</v>
      </c>
      <c r="E8398" s="544" t="s">
        <v>299</v>
      </c>
      <c r="F8398" s="387">
        <v>2.0</v>
      </c>
      <c r="G8398" s="140">
        <v>30000.0</v>
      </c>
      <c r="H8398" s="74"/>
      <c r="I8398" s="74">
        <f t="shared" si="1"/>
        <v>60000</v>
      </c>
      <c r="J8398" s="74">
        <f>IF(E8398="SERVICE",I8398-(I8398*50%),Vlookup(E8398,DATABASE!C:Q,10,false)*F8398)</f>
        <v>0</v>
      </c>
      <c r="K8398" s="74">
        <f>VLOOKUP(E8398,DATABASE!C:Q,7,false)</f>
        <v>10000</v>
      </c>
      <c r="L8398" s="74">
        <v>10000.0</v>
      </c>
      <c r="M8398" s="74">
        <f t="shared" si="6"/>
        <v>10000</v>
      </c>
      <c r="N8398" s="74">
        <f t="shared" si="3"/>
        <v>40000</v>
      </c>
      <c r="O8398" s="65" t="str">
        <f>VLOOKUP(E8398,DATABASE!C:Q,8,false)</f>
        <v>BIAN</v>
      </c>
      <c r="P8398" s="65">
        <f>VLOOKUP(E8398,DATABASE!C:Q,9,False)</f>
        <v>0</v>
      </c>
      <c r="Q8398" s="93" t="str">
        <f>VLOOKUP(E8398,DATABASE!C:Q,4,false)</f>
        <v>Balancing</v>
      </c>
      <c r="R8398" s="93" t="str">
        <f>VLOOKUP(E8398,DATABASE!C:Q,11,false)</f>
        <v>COMPLEMENTARY</v>
      </c>
    </row>
    <row r="8399" ht="22.5" customHeight="1">
      <c r="A8399" s="49"/>
      <c r="C8399" s="400">
        <v>46147.0</v>
      </c>
      <c r="D8399" s="524">
        <v>1262.0</v>
      </c>
      <c r="E8399" s="544" t="s">
        <v>246</v>
      </c>
      <c r="F8399" s="387">
        <v>1.0</v>
      </c>
      <c r="G8399" s="140">
        <v>35000.0</v>
      </c>
      <c r="H8399" s="140">
        <v>10000.0</v>
      </c>
      <c r="I8399" s="74">
        <f t="shared" si="1"/>
        <v>25000</v>
      </c>
      <c r="J8399" s="74">
        <f>IF(E8399="SERVICE",I8399-(I8399*50%),Vlookup(E8399,DATABASE!C:Q,10,false)*F8399)</f>
        <v>0</v>
      </c>
      <c r="K8399" s="74">
        <f>VLOOKUP(E8399,DATABASE!C:Q,7,false)</f>
        <v>0</v>
      </c>
      <c r="L8399" s="74">
        <v>0.0</v>
      </c>
      <c r="M8399" s="74">
        <f t="shared" si="6"/>
        <v>0</v>
      </c>
      <c r="N8399" s="74">
        <f t="shared" si="3"/>
        <v>25000</v>
      </c>
      <c r="O8399" s="65" t="str">
        <f>VLOOKUP(E8399,DATABASE!C:Q,8,false)</f>
        <v>IBU</v>
      </c>
      <c r="P8399" s="65">
        <f>VLOOKUP(E8399,DATABASE!C:Q,9,False)</f>
        <v>0</v>
      </c>
      <c r="Q8399" s="93" t="str">
        <f>VLOOKUP(E8399,DATABASE!C:Q,4,false)</f>
        <v>Bongkar Pasang</v>
      </c>
      <c r="R8399" s="93" t="str">
        <f>VLOOKUP(E8399,DATABASE!C:Q,11,false)</f>
        <v>SERVICE</v>
      </c>
    </row>
    <row r="8400" ht="22.5" customHeight="1">
      <c r="A8400" s="49"/>
      <c r="C8400" s="400">
        <v>46148.0</v>
      </c>
      <c r="D8400" s="524">
        <v>1263.0</v>
      </c>
      <c r="E8400" s="544" t="s">
        <v>275</v>
      </c>
      <c r="F8400" s="387">
        <v>1.0</v>
      </c>
      <c r="G8400" s="140">
        <v>850000.0</v>
      </c>
      <c r="H8400" s="140">
        <v>20000.0</v>
      </c>
      <c r="I8400" s="74">
        <f t="shared" si="1"/>
        <v>830000</v>
      </c>
      <c r="J8400" s="74">
        <f>IF(E8400="SERVICE",I8400-(I8400*50%),Vlookup(E8400,DATABASE!C:Q,10,false)*F8400)</f>
        <v>0</v>
      </c>
      <c r="K8400" s="74">
        <f>VLOOKUP(E8400,DATABASE!C:Q,7,false)</f>
        <v>782000</v>
      </c>
      <c r="L8400" s="74">
        <v>759500.0</v>
      </c>
      <c r="M8400" s="74">
        <f t="shared" si="6"/>
        <v>760000</v>
      </c>
      <c r="N8400" s="74">
        <f t="shared" si="3"/>
        <v>70000</v>
      </c>
      <c r="O8400" s="65" t="str">
        <f>VLOOKUP(E8400,DATABASE!C:Q,8,false)</f>
        <v>IBU</v>
      </c>
      <c r="P8400" s="65">
        <f>VLOOKUP(E8400,DATABASE!C:Q,9,False)</f>
        <v>1</v>
      </c>
      <c r="Q8400" s="93" t="str">
        <f>VLOOKUP(E8400,DATABASE!C:Q,4,false)</f>
        <v>Dunlop</v>
      </c>
      <c r="R8400" s="93" t="str">
        <f>VLOOKUP(E8400,DATABASE!C:Q,11,false)</f>
        <v>Tire</v>
      </c>
    </row>
    <row r="8401" ht="22.5" customHeight="1">
      <c r="A8401" s="49"/>
      <c r="C8401" s="400">
        <v>46148.0</v>
      </c>
      <c r="D8401" s="524">
        <v>1265.0</v>
      </c>
      <c r="E8401" s="544" t="s">
        <v>687</v>
      </c>
      <c r="F8401" s="387">
        <v>3.0</v>
      </c>
      <c r="G8401" s="140">
        <v>1050000.0</v>
      </c>
      <c r="H8401" s="74"/>
      <c r="I8401" s="74">
        <f t="shared" si="1"/>
        <v>3150000</v>
      </c>
      <c r="J8401" s="74">
        <f>IF(E8401="SERVICE",I8401-(I8401*50%),Vlookup(E8401,DATABASE!C:Q,10,false)*F8401)</f>
        <v>0</v>
      </c>
      <c r="K8401" s="74">
        <f>VLOOKUP(E8401,DATABASE!C:Q,7,false)</f>
        <v>959000</v>
      </c>
      <c r="L8401" s="74">
        <v>949000.0</v>
      </c>
      <c r="M8401" s="74">
        <f t="shared" si="6"/>
        <v>950000</v>
      </c>
      <c r="N8401" s="74">
        <f t="shared" si="3"/>
        <v>300000</v>
      </c>
      <c r="O8401" s="65" t="str">
        <f>VLOOKUP(E8401,DATABASE!C:Q,8,false)</f>
        <v>IBU</v>
      </c>
      <c r="P8401" s="65">
        <f>VLOOKUP(E8401,DATABASE!C:Q,9,False)</f>
        <v>1</v>
      </c>
      <c r="Q8401" s="93" t="str">
        <f>VLOOKUP(E8401,DATABASE!C:Q,4,false)</f>
        <v>Dunlop</v>
      </c>
      <c r="R8401" s="93" t="str">
        <f>VLOOKUP(E8401,DATABASE!C:Q,11,false)</f>
        <v>Tire</v>
      </c>
    </row>
    <row r="8402" ht="22.5" customHeight="1">
      <c r="A8402" s="49"/>
      <c r="C8402" s="400">
        <v>46148.0</v>
      </c>
      <c r="D8402" s="524">
        <v>1267.0</v>
      </c>
      <c r="E8402" s="544" t="s">
        <v>265</v>
      </c>
      <c r="F8402" s="387">
        <v>4.0</v>
      </c>
      <c r="G8402" s="140">
        <v>700000.0</v>
      </c>
      <c r="H8402" s="74"/>
      <c r="I8402" s="74">
        <f t="shared" si="1"/>
        <v>2800000</v>
      </c>
      <c r="J8402" s="74">
        <f>IF(E8402="SERVICE",I8402-(I8402*50%),Vlookup(E8402,DATABASE!C:Q,10,false)*F8402)</f>
        <v>0</v>
      </c>
      <c r="K8402" s="74">
        <f>VLOOKUP(E8402,DATABASE!C:Q,7,false)</f>
        <v>628000</v>
      </c>
      <c r="L8402" s="74">
        <v>610000.0</v>
      </c>
      <c r="M8402" s="74">
        <f t="shared" si="6"/>
        <v>610000</v>
      </c>
      <c r="N8402" s="74">
        <f t="shared" si="3"/>
        <v>360000</v>
      </c>
      <c r="O8402" s="65" t="str">
        <f>VLOOKUP(E8402,DATABASE!C:Q,8,false)</f>
        <v>IBU</v>
      </c>
      <c r="P8402" s="65">
        <f>VLOOKUP(E8402,DATABASE!C:Q,9,False)</f>
        <v>1</v>
      </c>
      <c r="Q8402" s="93" t="str">
        <f>VLOOKUP(E8402,DATABASE!C:Q,4,false)</f>
        <v>Dunlop</v>
      </c>
      <c r="R8402" s="93" t="str">
        <f>VLOOKUP(E8402,DATABASE!C:Q,11,false)</f>
        <v>Tire</v>
      </c>
    </row>
    <row r="8403" ht="22.5" customHeight="1">
      <c r="A8403" s="49"/>
      <c r="C8403" s="400">
        <v>46148.0</v>
      </c>
      <c r="D8403" s="524">
        <v>1268.0</v>
      </c>
      <c r="E8403" s="544" t="s">
        <v>940</v>
      </c>
      <c r="F8403" s="387">
        <v>1.0</v>
      </c>
      <c r="G8403" s="140">
        <v>820000.0</v>
      </c>
      <c r="H8403" s="74"/>
      <c r="I8403" s="74">
        <f t="shared" si="1"/>
        <v>820000</v>
      </c>
      <c r="J8403" s="74">
        <f>IF(E8403="SERVICE",I8403-(I8403*50%),Vlookup(E8403,DATABASE!C:Q,10,false)*F8403)</f>
        <v>0</v>
      </c>
      <c r="K8403" s="74">
        <f>VLOOKUP(E8403,DATABASE!C:Q,7,false)</f>
        <v>716500</v>
      </c>
      <c r="L8403" s="74">
        <v>716500.0</v>
      </c>
      <c r="M8403" s="74">
        <f t="shared" si="6"/>
        <v>720000</v>
      </c>
      <c r="N8403" s="74">
        <f t="shared" si="3"/>
        <v>100000</v>
      </c>
      <c r="O8403" s="65" t="str">
        <f>VLOOKUP(E8403,DATABASE!C:Q,8,false)</f>
        <v>IBU</v>
      </c>
      <c r="P8403" s="65">
        <f>VLOOKUP(E8403,DATABASE!C:Q,9,False)</f>
        <v>1</v>
      </c>
      <c r="Q8403" s="93" t="str">
        <f>VLOOKUP(E8403,DATABASE!C:Q,4,false)</f>
        <v>Dunlop</v>
      </c>
      <c r="R8403" s="93" t="str">
        <f>VLOOKUP(E8403,DATABASE!C:Q,11,false)</f>
        <v>Tire</v>
      </c>
    </row>
    <row r="8404" ht="22.5" customHeight="1">
      <c r="A8404" s="49"/>
      <c r="C8404" s="400">
        <v>46148.0</v>
      </c>
      <c r="D8404" s="524">
        <v>1269.0</v>
      </c>
      <c r="E8404" s="544" t="s">
        <v>374</v>
      </c>
      <c r="F8404" s="387">
        <v>1.0</v>
      </c>
      <c r="G8404" s="140">
        <v>2050000.0</v>
      </c>
      <c r="H8404" s="74"/>
      <c r="I8404" s="74">
        <f t="shared" si="1"/>
        <v>2050000</v>
      </c>
      <c r="J8404" s="74">
        <f>IF(E8404="SERVICE",I8404-(I8404*50%),Vlookup(E8404,DATABASE!C:Q,10,false)*F8404)</f>
        <v>0</v>
      </c>
      <c r="K8404" s="74">
        <f>VLOOKUP(E8404,DATABASE!C:Q,7,false)</f>
        <v>1980000</v>
      </c>
      <c r="L8404" s="74">
        <v>1940000.0</v>
      </c>
      <c r="M8404" s="74">
        <f t="shared" si="6"/>
        <v>1940000</v>
      </c>
      <c r="N8404" s="74">
        <f t="shared" si="3"/>
        <v>110000</v>
      </c>
      <c r="O8404" s="65" t="str">
        <f>VLOOKUP(E8404,DATABASE!C:Q,8,false)</f>
        <v>BIAN</v>
      </c>
      <c r="P8404" s="65">
        <f>VLOOKUP(E8404,DATABASE!C:Q,9,False)</f>
        <v>1</v>
      </c>
      <c r="Q8404" s="93" t="str">
        <f>VLOOKUP(E8404,DATABASE!C:Q,4,false)</f>
        <v>Advance</v>
      </c>
      <c r="R8404" s="93" t="str">
        <f>VLOOKUP(E8404,DATABASE!C:Q,11,false)</f>
        <v>Tire</v>
      </c>
    </row>
    <row r="8405" ht="22.5" customHeight="1">
      <c r="A8405" s="49"/>
      <c r="C8405" s="400">
        <v>46148.0</v>
      </c>
      <c r="D8405" s="524">
        <v>1270.0</v>
      </c>
      <c r="E8405" s="544" t="s">
        <v>566</v>
      </c>
      <c r="F8405" s="387">
        <v>2.0</v>
      </c>
      <c r="G8405" s="140">
        <v>1670000.0</v>
      </c>
      <c r="H8405" s="140">
        <v>20000.0</v>
      </c>
      <c r="I8405" s="74">
        <f t="shared" si="1"/>
        <v>3300000</v>
      </c>
      <c r="J8405" s="74">
        <f>IF(E8405="SERVICE",I8405-(I8405*50%),Vlookup(E8405,DATABASE!C:Q,10,false)*F8405)</f>
        <v>0</v>
      </c>
      <c r="K8405" s="74">
        <f>VLOOKUP(E8405,DATABASE!C:Q,7,false)</f>
        <v>1565000</v>
      </c>
      <c r="L8405" s="74">
        <v>1545000.0</v>
      </c>
      <c r="M8405" s="74">
        <f t="shared" si="6"/>
        <v>1545000</v>
      </c>
      <c r="N8405" s="74">
        <f t="shared" si="3"/>
        <v>210000</v>
      </c>
      <c r="O8405" s="65" t="str">
        <f>VLOOKUP(E8405,DATABASE!C:Q,8,false)</f>
        <v>IBU</v>
      </c>
      <c r="P8405" s="65">
        <f>VLOOKUP(E8405,DATABASE!C:Q,9,False)</f>
        <v>1</v>
      </c>
      <c r="Q8405" s="93" t="str">
        <f>VLOOKUP(E8405,DATABASE!C:Q,4,false)</f>
        <v>Bridgestone</v>
      </c>
      <c r="R8405" s="93" t="str">
        <f>VLOOKUP(E8405,DATABASE!C:Q,11,false)</f>
        <v>Tire</v>
      </c>
    </row>
    <row r="8406" ht="22.5" customHeight="1">
      <c r="A8406" s="49"/>
      <c r="C8406" s="400">
        <v>46148.0</v>
      </c>
      <c r="D8406" s="524">
        <v>1272.0</v>
      </c>
      <c r="E8406" s="544" t="s">
        <v>955</v>
      </c>
      <c r="F8406" s="387">
        <v>2.0</v>
      </c>
      <c r="G8406" s="140">
        <v>770000.0</v>
      </c>
      <c r="H8406" s="140">
        <v>20000.0</v>
      </c>
      <c r="I8406" s="74">
        <f t="shared" si="1"/>
        <v>1500000</v>
      </c>
      <c r="J8406" s="74">
        <f>IF(E8406="SERVICE",I8406-(I8406*50%),Vlookup(E8406,DATABASE!C:Q,10,false)*F8406)</f>
        <v>0</v>
      </c>
      <c r="K8406" s="74">
        <f>VLOOKUP(E8406,DATABASE!C:Q,7,false)</f>
        <v>712000</v>
      </c>
      <c r="L8406" s="74">
        <v>660000.0</v>
      </c>
      <c r="M8406" s="74">
        <f t="shared" si="6"/>
        <v>660000</v>
      </c>
      <c r="N8406" s="74">
        <f t="shared" si="3"/>
        <v>180000</v>
      </c>
      <c r="O8406" s="65" t="str">
        <f>VLOOKUP(E8406,DATABASE!C:Q,8,false)</f>
        <v>IBU</v>
      </c>
      <c r="P8406" s="65">
        <f>VLOOKUP(E8406,DATABASE!C:Q,9,False)</f>
        <v>1</v>
      </c>
      <c r="Q8406" s="93" t="str">
        <f>VLOOKUP(E8406,DATABASE!C:Q,4,false)</f>
        <v>Dunlop</v>
      </c>
      <c r="R8406" s="93" t="str">
        <f>VLOOKUP(E8406,DATABASE!C:Q,11,false)</f>
        <v>Tire</v>
      </c>
    </row>
    <row r="8407" ht="22.5" customHeight="1">
      <c r="A8407" s="49"/>
      <c r="C8407" s="400">
        <v>46148.0</v>
      </c>
      <c r="D8407" s="524">
        <v>1272.0</v>
      </c>
      <c r="E8407" s="544" t="s">
        <v>299</v>
      </c>
      <c r="F8407" s="387">
        <v>2.0</v>
      </c>
      <c r="G8407" s="140">
        <v>30000.0</v>
      </c>
      <c r="H8407" s="74"/>
      <c r="I8407" s="74">
        <f t="shared" si="1"/>
        <v>60000</v>
      </c>
      <c r="J8407" s="74">
        <f>IF(E8407="SERVICE",I8407-(I8407*50%),Vlookup(E8407,DATABASE!C:Q,10,false)*F8407)</f>
        <v>0</v>
      </c>
      <c r="K8407" s="74">
        <f>VLOOKUP(E8407,DATABASE!C:Q,7,false)</f>
        <v>10000</v>
      </c>
      <c r="L8407" s="74">
        <v>10000.0</v>
      </c>
      <c r="M8407" s="74">
        <f t="shared" si="6"/>
        <v>10000</v>
      </c>
      <c r="N8407" s="74">
        <f t="shared" si="3"/>
        <v>40000</v>
      </c>
      <c r="O8407" s="65" t="str">
        <f>VLOOKUP(E8407,DATABASE!C:Q,8,false)</f>
        <v>BIAN</v>
      </c>
      <c r="P8407" s="65">
        <f>VLOOKUP(E8407,DATABASE!C:Q,9,False)</f>
        <v>0</v>
      </c>
      <c r="Q8407" s="93" t="str">
        <f>VLOOKUP(E8407,DATABASE!C:Q,4,false)</f>
        <v>Balancing</v>
      </c>
      <c r="R8407" s="93" t="str">
        <f>VLOOKUP(E8407,DATABASE!C:Q,11,false)</f>
        <v>COMPLEMENTARY</v>
      </c>
    </row>
    <row r="8408" ht="22.5" customHeight="1">
      <c r="A8408" s="49"/>
      <c r="C8408" s="400">
        <v>46148.0</v>
      </c>
      <c r="D8408" s="524">
        <v>1272.0</v>
      </c>
      <c r="E8408" s="544" t="s">
        <v>256</v>
      </c>
      <c r="F8408" s="387">
        <v>1.0</v>
      </c>
      <c r="G8408" s="140">
        <v>175000.0</v>
      </c>
      <c r="H8408" s="140">
        <v>25000.0</v>
      </c>
      <c r="I8408" s="74">
        <f t="shared" si="1"/>
        <v>150000</v>
      </c>
      <c r="J8408" s="74">
        <f>IF(E8408="SERVICE",I8408-(I8408*50%),Vlookup(E8408,DATABASE!C:Q,10,false)*F8408)</f>
        <v>10000</v>
      </c>
      <c r="K8408" s="74">
        <f>VLOOKUP(E8408,DATABASE!C:Q,7,false)</f>
        <v>0</v>
      </c>
      <c r="L8408" s="74">
        <v>0.0</v>
      </c>
      <c r="M8408" s="74">
        <f t="shared" si="6"/>
        <v>0</v>
      </c>
      <c r="N8408" s="74">
        <f t="shared" si="3"/>
        <v>140000</v>
      </c>
      <c r="O8408" s="65" t="str">
        <f>VLOOKUP(E8408,DATABASE!C:Q,8,false)</f>
        <v>IBU</v>
      </c>
      <c r="P8408" s="65">
        <f>VLOOKUP(E8408,DATABASE!C:Q,9,False)</f>
        <v>0</v>
      </c>
      <c r="Q8408" s="93" t="str">
        <f>VLOOKUP(E8408,DATABASE!C:Q,4,false)</f>
        <v>SPOORING</v>
      </c>
      <c r="R8408" s="93" t="str">
        <f>VLOOKUP(E8408,DATABASE!C:Q,11,false)</f>
        <v>SERVICE</v>
      </c>
    </row>
    <row r="8409" ht="22.5" customHeight="1">
      <c r="A8409" s="49"/>
      <c r="C8409" s="400">
        <v>46148.0</v>
      </c>
      <c r="D8409" s="524">
        <v>1272.0</v>
      </c>
      <c r="E8409" s="544" t="s">
        <v>301</v>
      </c>
      <c r="F8409" s="387">
        <v>1.0</v>
      </c>
      <c r="G8409" s="140">
        <v>250000.0</v>
      </c>
      <c r="H8409" s="74"/>
      <c r="I8409" s="74">
        <f t="shared" si="1"/>
        <v>250000</v>
      </c>
      <c r="J8409" s="74">
        <f>IF(E8409="SERVICE",I8409-(I8409*50%),Vlookup(E8409,DATABASE!C:Q,10,false)*F8409)</f>
        <v>75000</v>
      </c>
      <c r="K8409" s="74">
        <f>VLOOKUP(E8409,DATABASE!C:Q,7,false)</f>
        <v>75000</v>
      </c>
      <c r="L8409" s="74">
        <v>75000.0</v>
      </c>
      <c r="M8409" s="74">
        <f t="shared" si="6"/>
        <v>75000</v>
      </c>
      <c r="N8409" s="74">
        <f t="shared" si="3"/>
        <v>100000</v>
      </c>
      <c r="O8409" s="65" t="str">
        <f>VLOOKUP(E8409,DATABASE!C:Q,8,false)</f>
        <v>BIAN</v>
      </c>
      <c r="P8409" s="65">
        <f>VLOOKUP(E8409,DATABASE!C:Q,9,False)</f>
        <v>0</v>
      </c>
      <c r="Q8409" s="93" t="str">
        <f>VLOOKUP(E8409,DATABASE!C:Q,4,false)</f>
        <v>Baut Camber</v>
      </c>
      <c r="R8409" s="93" t="str">
        <f>VLOOKUP(E8409,DATABASE!C:Q,11,false)</f>
        <v>COMPLEMENTARY</v>
      </c>
    </row>
    <row r="8410" ht="22.5" customHeight="1">
      <c r="A8410" s="49"/>
      <c r="C8410" s="400">
        <v>46148.0</v>
      </c>
      <c r="D8410" s="524">
        <v>1273.0</v>
      </c>
      <c r="E8410" s="544" t="s">
        <v>250</v>
      </c>
      <c r="F8410" s="387">
        <v>1.0</v>
      </c>
      <c r="G8410" s="140">
        <v>135000.0</v>
      </c>
      <c r="H8410" s="74"/>
      <c r="I8410" s="74">
        <f t="shared" si="1"/>
        <v>135000</v>
      </c>
      <c r="J8410" s="74">
        <f>IF(E8410="SERVICE",I8410-(I8410*50%),Vlookup(E8410,DATABASE!C:Q,10,false)*F8410)</f>
        <v>0</v>
      </c>
      <c r="K8410" s="74">
        <f>VLOOKUP(E8410,DATABASE!C:Q,7,false)</f>
        <v>102000</v>
      </c>
      <c r="L8410" s="74">
        <v>102000.0</v>
      </c>
      <c r="M8410" s="74">
        <f t="shared" si="6"/>
        <v>105000</v>
      </c>
      <c r="N8410" s="74">
        <f t="shared" si="3"/>
        <v>30000</v>
      </c>
      <c r="O8410" s="65" t="str">
        <f>VLOOKUP(E8410,DATABASE!C:Q,8,false)</f>
        <v>BIAN</v>
      </c>
      <c r="P8410" s="65">
        <f>VLOOKUP(E8410,DATABASE!C:Q,9,False)</f>
        <v>1</v>
      </c>
      <c r="Q8410" s="93" t="str">
        <f>VLOOKUP(E8410,DATABASE!C:Q,4,false)</f>
        <v>BD</v>
      </c>
      <c r="R8410" s="93" t="str">
        <f>VLOOKUP(E8410,DATABASE!C:Q,11,false)</f>
        <v>Tire</v>
      </c>
    </row>
    <row r="8411" ht="22.5" customHeight="1">
      <c r="A8411" s="49"/>
      <c r="C8411" s="400">
        <v>46148.0</v>
      </c>
      <c r="D8411" s="524">
        <v>1273.0</v>
      </c>
      <c r="E8411" s="544" t="s">
        <v>2199</v>
      </c>
      <c r="F8411" s="387">
        <v>1.0</v>
      </c>
      <c r="G8411" s="140">
        <v>20000.0</v>
      </c>
      <c r="H8411" s="74"/>
      <c r="I8411" s="74">
        <f t="shared" si="1"/>
        <v>20000</v>
      </c>
      <c r="J8411" s="74">
        <f>IF(E8411="SERVICE",I8411-(I8411*50%),Vlookup(E8411,DATABASE!C:Q,10,false)*F8411)</f>
        <v>0</v>
      </c>
      <c r="K8411" s="74">
        <f>VLOOKUP(E8411,DATABASE!C:Q,7,false)</f>
        <v>5000</v>
      </c>
      <c r="L8411" s="74">
        <v>5000.0</v>
      </c>
      <c r="M8411" s="74">
        <f t="shared" si="6"/>
        <v>5000</v>
      </c>
      <c r="N8411" s="74">
        <f t="shared" si="3"/>
        <v>15000</v>
      </c>
      <c r="O8411" s="65" t="str">
        <f>VLOOKUP(E8411,DATABASE!C:Q,8,false)</f>
        <v>BIAN</v>
      </c>
      <c r="P8411" s="65">
        <f>VLOOKUP(E8411,DATABASE!C:Q,9,False)</f>
        <v>0</v>
      </c>
      <c r="Q8411" s="93" t="str">
        <f>VLOOKUP(E8411,DATABASE!C:Q,4,false)</f>
        <v>TAMBAL TUBLES</v>
      </c>
      <c r="R8411" s="93" t="str">
        <f>VLOOKUP(E8411,DATABASE!C:Q,11,false)</f>
        <v>COMPLEMENTARY</v>
      </c>
    </row>
    <row r="8412" ht="22.5" customHeight="1">
      <c r="A8412" s="49"/>
      <c r="C8412" s="400">
        <v>46148.0</v>
      </c>
      <c r="D8412" s="524">
        <v>1274.0</v>
      </c>
      <c r="E8412" s="544" t="s">
        <v>1389</v>
      </c>
      <c r="F8412" s="387">
        <v>2.0</v>
      </c>
      <c r="G8412" s="140">
        <v>1020000.0</v>
      </c>
      <c r="H8412" s="74"/>
      <c r="I8412" s="74">
        <f t="shared" si="1"/>
        <v>2040000</v>
      </c>
      <c r="J8412" s="74">
        <f>IF(E8412="SERVICE",I8412-(I8412*50%),Vlookup(E8412,DATABASE!C:Q,10,false)*F8412)</f>
        <v>0</v>
      </c>
      <c r="K8412" s="74">
        <f>VLOOKUP(E8412,DATABASE!C:Q,7,false)</f>
        <v>908000</v>
      </c>
      <c r="L8412" s="74">
        <v>908000.0</v>
      </c>
      <c r="M8412" s="74">
        <f t="shared" si="6"/>
        <v>910000</v>
      </c>
      <c r="N8412" s="74">
        <f t="shared" si="3"/>
        <v>220000</v>
      </c>
      <c r="O8412" s="65" t="str">
        <f>VLOOKUP(E8412,DATABASE!C:Q,8,false)</f>
        <v>IBU</v>
      </c>
      <c r="P8412" s="65">
        <f>VLOOKUP(E8412,DATABASE!C:Q,9,False)</f>
        <v>1</v>
      </c>
      <c r="Q8412" s="93" t="str">
        <f>VLOOKUP(E8412,DATABASE!C:Q,4,false)</f>
        <v>Dunlop</v>
      </c>
      <c r="R8412" s="93" t="str">
        <f>VLOOKUP(E8412,DATABASE!C:Q,11,false)</f>
        <v>Tire</v>
      </c>
    </row>
    <row r="8413" ht="22.5" customHeight="1">
      <c r="A8413" s="49"/>
      <c r="C8413" s="400">
        <v>46148.0</v>
      </c>
      <c r="D8413" s="524">
        <v>1275.0</v>
      </c>
      <c r="E8413" s="544" t="s">
        <v>256</v>
      </c>
      <c r="F8413" s="387">
        <v>1.0</v>
      </c>
      <c r="G8413" s="140">
        <v>175000.0</v>
      </c>
      <c r="H8413" s="140">
        <v>25000.0</v>
      </c>
      <c r="I8413" s="74">
        <f t="shared" si="1"/>
        <v>150000</v>
      </c>
      <c r="J8413" s="74">
        <f>IF(E8413="SERVICE",I8413-(I8413*50%),Vlookup(E8413,DATABASE!C:Q,10,false)*F8413)</f>
        <v>10000</v>
      </c>
      <c r="K8413" s="74">
        <f>VLOOKUP(E8413,DATABASE!C:Q,7,false)</f>
        <v>0</v>
      </c>
      <c r="L8413" s="74">
        <v>0.0</v>
      </c>
      <c r="M8413" s="74">
        <f t="shared" si="6"/>
        <v>0</v>
      </c>
      <c r="N8413" s="74">
        <f t="shared" si="3"/>
        <v>140000</v>
      </c>
      <c r="O8413" s="65" t="str">
        <f>VLOOKUP(E8413,DATABASE!C:Q,8,false)</f>
        <v>IBU</v>
      </c>
      <c r="P8413" s="65">
        <f>VLOOKUP(E8413,DATABASE!C:Q,9,False)</f>
        <v>0</v>
      </c>
      <c r="Q8413" s="93" t="str">
        <f>VLOOKUP(E8413,DATABASE!C:Q,4,false)</f>
        <v>SPOORING</v>
      </c>
      <c r="R8413" s="93" t="str">
        <f>VLOOKUP(E8413,DATABASE!C:Q,11,false)</f>
        <v>SERVICE</v>
      </c>
    </row>
    <row r="8414" ht="22.5" customHeight="1">
      <c r="A8414" s="49"/>
      <c r="C8414" s="400">
        <v>46148.0</v>
      </c>
      <c r="D8414" s="524">
        <v>1275.0</v>
      </c>
      <c r="E8414" s="544" t="s">
        <v>301</v>
      </c>
      <c r="F8414" s="387">
        <v>1.0</v>
      </c>
      <c r="G8414" s="140">
        <v>250000.0</v>
      </c>
      <c r="H8414" s="74"/>
      <c r="I8414" s="74">
        <f t="shared" si="1"/>
        <v>250000</v>
      </c>
      <c r="J8414" s="74">
        <f>IF(E8414="SERVICE",I8414-(I8414*50%),Vlookup(E8414,DATABASE!C:Q,10,false)*F8414)</f>
        <v>75000</v>
      </c>
      <c r="K8414" s="74">
        <f>VLOOKUP(E8414,DATABASE!C:Q,7,false)</f>
        <v>75000</v>
      </c>
      <c r="L8414" s="74">
        <v>75000.0</v>
      </c>
      <c r="M8414" s="74">
        <f t="shared" si="6"/>
        <v>75000</v>
      </c>
      <c r="N8414" s="74">
        <f t="shared" si="3"/>
        <v>100000</v>
      </c>
      <c r="O8414" s="65" t="str">
        <f>VLOOKUP(E8414,DATABASE!C:Q,8,false)</f>
        <v>BIAN</v>
      </c>
      <c r="P8414" s="65">
        <f>VLOOKUP(E8414,DATABASE!C:Q,9,False)</f>
        <v>0</v>
      </c>
      <c r="Q8414" s="93" t="str">
        <f>VLOOKUP(E8414,DATABASE!C:Q,4,false)</f>
        <v>Baut Camber</v>
      </c>
      <c r="R8414" s="93" t="str">
        <f>VLOOKUP(E8414,DATABASE!C:Q,11,false)</f>
        <v>COMPLEMENTARY</v>
      </c>
    </row>
    <row r="8415" ht="22.5" customHeight="1">
      <c r="A8415" s="49"/>
      <c r="C8415" s="400">
        <v>46148.0</v>
      </c>
      <c r="D8415" s="69" t="s">
        <v>2799</v>
      </c>
      <c r="E8415" s="544" t="s">
        <v>252</v>
      </c>
      <c r="F8415" s="387">
        <v>1.0</v>
      </c>
      <c r="G8415" s="140">
        <v>325000.0</v>
      </c>
      <c r="H8415" s="140">
        <v>10000.0</v>
      </c>
      <c r="I8415" s="74">
        <f t="shared" si="1"/>
        <v>315000</v>
      </c>
      <c r="J8415" s="74">
        <f>IF(E8415="SERVICE",I8415-(I8415*50%),Vlookup(E8415,DATABASE!C:Q,10,false)*F8415)</f>
        <v>0</v>
      </c>
      <c r="K8415" s="74">
        <f>VLOOKUP(E8415,DATABASE!C:Q,7,false)</f>
        <v>317518</v>
      </c>
      <c r="L8415" s="74">
        <v>275500.0</v>
      </c>
      <c r="M8415" s="74">
        <f t="shared" si="6"/>
        <v>280000</v>
      </c>
      <c r="N8415" s="74">
        <f t="shared" si="3"/>
        <v>35000</v>
      </c>
      <c r="O8415" s="65" t="str">
        <f>VLOOKUP(E8415,DATABASE!C:Q,8,false)</f>
        <v>NON</v>
      </c>
      <c r="P8415" s="65">
        <f>VLOOKUP(E8415,DATABASE!C:Q,9,False)</f>
        <v>0</v>
      </c>
      <c r="Q8415" s="93" t="str">
        <f>VLOOKUP(E8415,DATABASE!C:Q,4,false)</f>
        <v>Shell</v>
      </c>
      <c r="R8415" s="93" t="str">
        <f>VLOOKUP(E8415,DATABASE!C:Q,11,false)</f>
        <v>OIL</v>
      </c>
    </row>
    <row r="8416" ht="22.5" customHeight="1">
      <c r="A8416" s="49"/>
      <c r="C8416" s="400">
        <v>46148.0</v>
      </c>
      <c r="D8416" s="69" t="s">
        <v>2800</v>
      </c>
      <c r="E8416" s="544" t="s">
        <v>252</v>
      </c>
      <c r="F8416" s="387">
        <v>1.0</v>
      </c>
      <c r="G8416" s="140">
        <v>325000.0</v>
      </c>
      <c r="H8416" s="140">
        <v>10000.0</v>
      </c>
      <c r="I8416" s="74">
        <f t="shared" si="1"/>
        <v>315000</v>
      </c>
      <c r="J8416" s="74">
        <f>IF(E8416="SERVICE",I8416-(I8416*50%),Vlookup(E8416,DATABASE!C:Q,10,false)*F8416)</f>
        <v>0</v>
      </c>
      <c r="K8416" s="74">
        <f>VLOOKUP(E8416,DATABASE!C:Q,7,false)</f>
        <v>317518</v>
      </c>
      <c r="L8416" s="74">
        <v>275500.0</v>
      </c>
      <c r="M8416" s="74">
        <f t="shared" si="6"/>
        <v>280000</v>
      </c>
      <c r="N8416" s="74">
        <f t="shared" si="3"/>
        <v>35000</v>
      </c>
      <c r="O8416" s="65" t="str">
        <f>VLOOKUP(E8416,DATABASE!C:Q,8,false)</f>
        <v>NON</v>
      </c>
      <c r="P8416" s="65">
        <f>VLOOKUP(E8416,DATABASE!C:Q,9,False)</f>
        <v>0</v>
      </c>
      <c r="Q8416" s="93" t="str">
        <f>VLOOKUP(E8416,DATABASE!C:Q,4,false)</f>
        <v>Shell</v>
      </c>
      <c r="R8416" s="93" t="str">
        <f>VLOOKUP(E8416,DATABASE!C:Q,11,false)</f>
        <v>OIL</v>
      </c>
    </row>
    <row r="8417" ht="22.5" customHeight="1">
      <c r="A8417" s="49"/>
      <c r="C8417" s="400">
        <v>46149.0</v>
      </c>
      <c r="D8417" s="524">
        <v>1276.0</v>
      </c>
      <c r="E8417" s="544" t="s">
        <v>271</v>
      </c>
      <c r="F8417" s="387">
        <v>1.0</v>
      </c>
      <c r="G8417" s="140">
        <v>640000.0</v>
      </c>
      <c r="H8417" s="74"/>
      <c r="I8417" s="74">
        <f t="shared" si="1"/>
        <v>640000</v>
      </c>
      <c r="J8417" s="74">
        <f>IF(E8417="SERVICE",I8417-(I8417*50%),Vlookup(E8417,DATABASE!C:Q,10,false)*F8417)</f>
        <v>0</v>
      </c>
      <c r="K8417" s="74">
        <f>VLOOKUP(E8417,DATABASE!C:Q,7,false)</f>
        <v>570000</v>
      </c>
      <c r="L8417" s="74">
        <v>550000.0</v>
      </c>
      <c r="M8417" s="74">
        <f t="shared" si="6"/>
        <v>550000</v>
      </c>
      <c r="N8417" s="74">
        <f t="shared" si="3"/>
        <v>90000</v>
      </c>
      <c r="O8417" s="65" t="str">
        <f>VLOOKUP(E8417,DATABASE!C:Q,8,false)</f>
        <v>IBU</v>
      </c>
      <c r="P8417" s="65">
        <f>VLOOKUP(E8417,DATABASE!C:Q,9,False)</f>
        <v>1</v>
      </c>
      <c r="Q8417" s="93" t="str">
        <f>VLOOKUP(E8417,DATABASE!C:Q,4,false)</f>
        <v>Dunlop</v>
      </c>
      <c r="R8417" s="93" t="str">
        <f>VLOOKUP(E8417,DATABASE!C:Q,11,false)</f>
        <v>Tire</v>
      </c>
    </row>
    <row r="8418" ht="22.5" customHeight="1">
      <c r="A8418" s="49"/>
      <c r="C8418" s="400">
        <v>46149.0</v>
      </c>
      <c r="D8418" s="524">
        <v>1277.0</v>
      </c>
      <c r="E8418" s="544" t="s">
        <v>256</v>
      </c>
      <c r="F8418" s="387">
        <v>1.0</v>
      </c>
      <c r="G8418" s="140">
        <v>175000.0</v>
      </c>
      <c r="H8418" s="140">
        <v>25000.0</v>
      </c>
      <c r="I8418" s="74">
        <f t="shared" si="1"/>
        <v>150000</v>
      </c>
      <c r="J8418" s="74">
        <f>IF(E8418="SERVICE",I8418-(I8418*50%),Vlookup(E8418,DATABASE!C:Q,10,false)*F8418)</f>
        <v>10000</v>
      </c>
      <c r="K8418" s="74">
        <f>VLOOKUP(E8418,DATABASE!C:Q,7,false)</f>
        <v>0</v>
      </c>
      <c r="L8418" s="74">
        <v>0.0</v>
      </c>
      <c r="M8418" s="74">
        <f t="shared" si="6"/>
        <v>0</v>
      </c>
      <c r="N8418" s="74">
        <f t="shared" si="3"/>
        <v>140000</v>
      </c>
      <c r="O8418" s="65" t="str">
        <f>VLOOKUP(E8418,DATABASE!C:Q,8,false)</f>
        <v>IBU</v>
      </c>
      <c r="P8418" s="65">
        <f>VLOOKUP(E8418,DATABASE!C:Q,9,False)</f>
        <v>0</v>
      </c>
      <c r="Q8418" s="93" t="str">
        <f>VLOOKUP(E8418,DATABASE!C:Q,4,false)</f>
        <v>SPOORING</v>
      </c>
      <c r="R8418" s="93" t="str">
        <f>VLOOKUP(E8418,DATABASE!C:Q,11,false)</f>
        <v>SERVICE</v>
      </c>
    </row>
    <row r="8419" ht="22.5" customHeight="1">
      <c r="A8419" s="49"/>
      <c r="C8419" s="400">
        <v>46149.0</v>
      </c>
      <c r="D8419" s="524">
        <v>1277.0</v>
      </c>
      <c r="E8419" s="544" t="s">
        <v>301</v>
      </c>
      <c r="F8419" s="387">
        <v>1.0</v>
      </c>
      <c r="G8419" s="140">
        <v>250000.0</v>
      </c>
      <c r="H8419" s="74"/>
      <c r="I8419" s="74">
        <f t="shared" si="1"/>
        <v>250000</v>
      </c>
      <c r="J8419" s="74">
        <f>IF(E8419="SERVICE",I8419-(I8419*50%),Vlookup(E8419,DATABASE!C:Q,10,false)*F8419)</f>
        <v>75000</v>
      </c>
      <c r="K8419" s="74">
        <f>VLOOKUP(E8419,DATABASE!C:Q,7,false)</f>
        <v>75000</v>
      </c>
      <c r="L8419" s="74">
        <v>75000.0</v>
      </c>
      <c r="M8419" s="74">
        <f t="shared" si="6"/>
        <v>75000</v>
      </c>
      <c r="N8419" s="74">
        <f t="shared" si="3"/>
        <v>100000</v>
      </c>
      <c r="O8419" s="65" t="str">
        <f>VLOOKUP(E8419,DATABASE!C:Q,8,false)</f>
        <v>BIAN</v>
      </c>
      <c r="P8419" s="65">
        <f>VLOOKUP(E8419,DATABASE!C:Q,9,False)</f>
        <v>0</v>
      </c>
      <c r="Q8419" s="93" t="str">
        <f>VLOOKUP(E8419,DATABASE!C:Q,4,false)</f>
        <v>Baut Camber</v>
      </c>
      <c r="R8419" s="93" t="str">
        <f>VLOOKUP(E8419,DATABASE!C:Q,11,false)</f>
        <v>COMPLEMENTARY</v>
      </c>
    </row>
    <row r="8420" ht="22.5" customHeight="1">
      <c r="A8420" s="49"/>
      <c r="C8420" s="400">
        <v>46149.0</v>
      </c>
      <c r="D8420" s="524">
        <v>1278.0</v>
      </c>
      <c r="E8420" s="544" t="s">
        <v>940</v>
      </c>
      <c r="F8420" s="387">
        <v>1.0</v>
      </c>
      <c r="G8420" s="140">
        <v>820000.0</v>
      </c>
      <c r="H8420" s="74"/>
      <c r="I8420" s="74">
        <f t="shared" si="1"/>
        <v>820000</v>
      </c>
      <c r="J8420" s="74">
        <f>IF(E8420="SERVICE",I8420-(I8420*50%),Vlookup(E8420,DATABASE!C:Q,10,false)*F8420)</f>
        <v>0</v>
      </c>
      <c r="K8420" s="74">
        <f>VLOOKUP(E8420,DATABASE!C:Q,7,false)</f>
        <v>716500</v>
      </c>
      <c r="L8420" s="74">
        <v>716500.0</v>
      </c>
      <c r="M8420" s="74">
        <f t="shared" si="6"/>
        <v>720000</v>
      </c>
      <c r="N8420" s="74">
        <f t="shared" si="3"/>
        <v>100000</v>
      </c>
      <c r="O8420" s="65" t="str">
        <f>VLOOKUP(E8420,DATABASE!C:Q,8,false)</f>
        <v>IBU</v>
      </c>
      <c r="P8420" s="65">
        <f>VLOOKUP(E8420,DATABASE!C:Q,9,False)</f>
        <v>1</v>
      </c>
      <c r="Q8420" s="93" t="str">
        <f>VLOOKUP(E8420,DATABASE!C:Q,4,false)</f>
        <v>Dunlop</v>
      </c>
      <c r="R8420" s="93" t="str">
        <f>VLOOKUP(E8420,DATABASE!C:Q,11,false)</f>
        <v>Tire</v>
      </c>
    </row>
    <row r="8421" ht="22.5" customHeight="1">
      <c r="A8421" s="49"/>
      <c r="C8421" s="400">
        <v>46149.0</v>
      </c>
      <c r="D8421" s="524">
        <v>1279.0</v>
      </c>
      <c r="E8421" s="544" t="s">
        <v>622</v>
      </c>
      <c r="F8421" s="387">
        <v>1.0</v>
      </c>
      <c r="G8421" s="140">
        <v>925000.0</v>
      </c>
      <c r="H8421" s="74"/>
      <c r="I8421" s="74">
        <f t="shared" si="1"/>
        <v>925000</v>
      </c>
      <c r="J8421" s="74">
        <f>IF(E8421="SERVICE",I8421-(I8421*50%),Vlookup(E8421,DATABASE!C:Q,10,false)*F8421)</f>
        <v>0</v>
      </c>
      <c r="K8421" s="74">
        <f>VLOOKUP(E8421,DATABASE!C:Q,7,false)</f>
        <v>851110.375</v>
      </c>
      <c r="L8421" s="74">
        <v>822259.2</v>
      </c>
      <c r="M8421" s="74">
        <f t="shared" si="6"/>
        <v>825000</v>
      </c>
      <c r="N8421" s="74">
        <f t="shared" si="3"/>
        <v>100000</v>
      </c>
      <c r="O8421" s="65" t="str">
        <f>VLOOKUP(E8421,DATABASE!C:Q,8,false)</f>
        <v>IBU</v>
      </c>
      <c r="P8421" s="65">
        <f>VLOOKUP(E8421,DATABASE!C:Q,9,False)</f>
        <v>1</v>
      </c>
      <c r="Q8421" s="93" t="str">
        <f>VLOOKUP(E8421,DATABASE!C:Q,4,false)</f>
        <v>Bridgestone</v>
      </c>
      <c r="R8421" s="93" t="str">
        <f>VLOOKUP(E8421,DATABASE!C:Q,11,false)</f>
        <v>Tire</v>
      </c>
    </row>
    <row r="8422" ht="22.5" customHeight="1">
      <c r="A8422" s="49"/>
      <c r="C8422" s="400">
        <v>46149.0</v>
      </c>
      <c r="D8422" s="524">
        <v>1280.0</v>
      </c>
      <c r="E8422" s="544" t="s">
        <v>2140</v>
      </c>
      <c r="F8422" s="387">
        <v>1.0</v>
      </c>
      <c r="G8422" s="140">
        <v>35000.0</v>
      </c>
      <c r="H8422" s="140">
        <v>10000.0</v>
      </c>
      <c r="I8422" s="74">
        <f t="shared" si="1"/>
        <v>25000</v>
      </c>
      <c r="J8422" s="74">
        <f>IF(E8422="SERVICE",I8422-(I8422*50%),Vlookup(E8422,DATABASE!C:Q,10,false)*F8422)</f>
        <v>0</v>
      </c>
      <c r="K8422" s="74">
        <f>VLOOKUP(E8422,DATABASE!C:Q,7,false)</f>
        <v>5000</v>
      </c>
      <c r="L8422" s="74">
        <v>0.0</v>
      </c>
      <c r="M8422" s="74">
        <f t="shared" si="6"/>
        <v>0</v>
      </c>
      <c r="N8422" s="74">
        <f t="shared" si="3"/>
        <v>25000</v>
      </c>
      <c r="O8422" s="65" t="str">
        <f>VLOOKUP(E8422,DATABASE!C:Q,8,false)</f>
        <v>IBU</v>
      </c>
      <c r="P8422" s="65">
        <f>VLOOKUP(E8422,DATABASE!C:Q,9,False)</f>
        <v>0</v>
      </c>
      <c r="Q8422" s="93" t="str">
        <f>VLOOKUP(E8422,DATABASE!C:Q,4,false)</f>
        <v>PENTIL + PASANG</v>
      </c>
      <c r="R8422" s="93" t="str">
        <f>VLOOKUP(E8422,DATABASE!C:Q,11,false)</f>
        <v>COMPLEMENTARY</v>
      </c>
    </row>
    <row r="8423" ht="22.5" customHeight="1">
      <c r="A8423" s="49"/>
      <c r="C8423" s="400">
        <v>46149.0</v>
      </c>
      <c r="D8423" s="524">
        <v>1282.0</v>
      </c>
      <c r="E8423" s="544" t="s">
        <v>287</v>
      </c>
      <c r="F8423" s="387">
        <v>1.0</v>
      </c>
      <c r="G8423" s="140">
        <v>800000.0</v>
      </c>
      <c r="H8423" s="74"/>
      <c r="I8423" s="74">
        <f t="shared" si="1"/>
        <v>800000</v>
      </c>
      <c r="J8423" s="74">
        <f>IF(E8423="SERVICE",I8423-(I8423*50%),Vlookup(E8423,DATABASE!C:Q,10,false)*F8423)</f>
        <v>0</v>
      </c>
      <c r="K8423" s="74">
        <f>VLOOKUP(E8423,DATABASE!C:Q,7,false)</f>
        <v>711000</v>
      </c>
      <c r="L8423" s="74">
        <v>711000.0</v>
      </c>
      <c r="M8423" s="74">
        <f t="shared" si="6"/>
        <v>715000</v>
      </c>
      <c r="N8423" s="74">
        <f t="shared" si="3"/>
        <v>85000</v>
      </c>
      <c r="O8423" s="65" t="str">
        <f>VLOOKUP(E8423,DATABASE!C:Q,8,false)</f>
        <v>BIAN</v>
      </c>
      <c r="P8423" s="65">
        <f>VLOOKUP(E8423,DATABASE!C:Q,9,False)</f>
        <v>1</v>
      </c>
      <c r="Q8423" s="93" t="str">
        <f>VLOOKUP(E8423,DATABASE!C:Q,4,false)</f>
        <v>GT</v>
      </c>
      <c r="R8423" s="93" t="str">
        <f>VLOOKUP(E8423,DATABASE!C:Q,11,false)</f>
        <v>Tire</v>
      </c>
    </row>
    <row r="8424" ht="22.5" customHeight="1">
      <c r="A8424" s="49"/>
      <c r="C8424" s="400">
        <v>46149.0</v>
      </c>
      <c r="D8424" s="524">
        <v>1282.0</v>
      </c>
      <c r="E8424" s="544" t="s">
        <v>246</v>
      </c>
      <c r="F8424" s="387">
        <v>1.0</v>
      </c>
      <c r="G8424" s="140">
        <v>35000.0</v>
      </c>
      <c r="H8424" s="140">
        <v>10000.0</v>
      </c>
      <c r="I8424" s="74">
        <f t="shared" si="1"/>
        <v>25000</v>
      </c>
      <c r="J8424" s="74">
        <f>IF(E8424="SERVICE",I8424-(I8424*50%),Vlookup(E8424,DATABASE!C:Q,10,false)*F8424)</f>
        <v>0</v>
      </c>
      <c r="K8424" s="74">
        <f>VLOOKUP(E8424,DATABASE!C:Q,7,false)</f>
        <v>0</v>
      </c>
      <c r="L8424" s="74">
        <v>0.0</v>
      </c>
      <c r="M8424" s="74">
        <f t="shared" si="6"/>
        <v>0</v>
      </c>
      <c r="N8424" s="74">
        <f t="shared" si="3"/>
        <v>25000</v>
      </c>
      <c r="O8424" s="65" t="str">
        <f>VLOOKUP(E8424,DATABASE!C:Q,8,false)</f>
        <v>IBU</v>
      </c>
      <c r="P8424" s="65">
        <f>VLOOKUP(E8424,DATABASE!C:Q,9,False)</f>
        <v>0</v>
      </c>
      <c r="Q8424" s="93" t="str">
        <f>VLOOKUP(E8424,DATABASE!C:Q,4,false)</f>
        <v>Bongkar Pasang</v>
      </c>
      <c r="R8424" s="93" t="str">
        <f>VLOOKUP(E8424,DATABASE!C:Q,11,false)</f>
        <v>SERVICE</v>
      </c>
    </row>
    <row r="8425" ht="22.5" customHeight="1">
      <c r="A8425" s="49"/>
      <c r="C8425" s="400">
        <v>46149.0</v>
      </c>
      <c r="D8425" s="524">
        <v>1283.0</v>
      </c>
      <c r="E8425" s="544" t="s">
        <v>290</v>
      </c>
      <c r="F8425" s="387">
        <v>2.0</v>
      </c>
      <c r="G8425" s="140">
        <v>720000.0</v>
      </c>
      <c r="H8425" s="74"/>
      <c r="I8425" s="74">
        <f t="shared" si="1"/>
        <v>1440000</v>
      </c>
      <c r="J8425" s="74">
        <f>IF(E8425="SERVICE",I8425-(I8425*50%),Vlookup(E8425,DATABASE!C:Q,10,false)*F8425)</f>
        <v>0</v>
      </c>
      <c r="K8425" s="74">
        <f>VLOOKUP(E8425,DATABASE!C:Q,7,false)</f>
        <v>628100</v>
      </c>
      <c r="L8425" s="74">
        <v>628100.0</v>
      </c>
      <c r="M8425" s="74">
        <f t="shared" si="6"/>
        <v>630000</v>
      </c>
      <c r="N8425" s="74">
        <f t="shared" si="3"/>
        <v>180000</v>
      </c>
      <c r="O8425" s="65" t="str">
        <f>VLOOKUP(E8425,DATABASE!C:Q,8,false)</f>
        <v>BIAN</v>
      </c>
      <c r="P8425" s="65">
        <f>VLOOKUP(E8425,DATABASE!C:Q,9,False)</f>
        <v>1</v>
      </c>
      <c r="Q8425" s="93" t="str">
        <f>VLOOKUP(E8425,DATABASE!C:Q,4,false)</f>
        <v>GT</v>
      </c>
      <c r="R8425" s="93" t="str">
        <f>VLOOKUP(E8425,DATABASE!C:Q,11,false)</f>
        <v>Tire</v>
      </c>
    </row>
    <row r="8426" ht="22.5" customHeight="1">
      <c r="A8426" s="49"/>
      <c r="C8426" s="400">
        <v>46149.0</v>
      </c>
      <c r="D8426" s="524">
        <v>1284.0</v>
      </c>
      <c r="E8426" s="544" t="s">
        <v>256</v>
      </c>
      <c r="F8426" s="387">
        <v>1.0</v>
      </c>
      <c r="G8426" s="140">
        <v>175000.0</v>
      </c>
      <c r="H8426" s="140">
        <v>25000.0</v>
      </c>
      <c r="I8426" s="74">
        <f t="shared" si="1"/>
        <v>150000</v>
      </c>
      <c r="J8426" s="74">
        <f>IF(E8426="SERVICE",I8426-(I8426*50%),Vlookup(E8426,DATABASE!C:Q,10,false)*F8426)</f>
        <v>10000</v>
      </c>
      <c r="K8426" s="74">
        <f>VLOOKUP(E8426,DATABASE!C:Q,7,false)</f>
        <v>0</v>
      </c>
      <c r="L8426" s="74">
        <v>0.0</v>
      </c>
      <c r="M8426" s="74">
        <f t="shared" si="6"/>
        <v>0</v>
      </c>
      <c r="N8426" s="74">
        <f t="shared" si="3"/>
        <v>140000</v>
      </c>
      <c r="O8426" s="65" t="str">
        <f>VLOOKUP(E8426,DATABASE!C:Q,8,false)</f>
        <v>IBU</v>
      </c>
      <c r="P8426" s="65">
        <f>VLOOKUP(E8426,DATABASE!C:Q,9,False)</f>
        <v>0</v>
      </c>
      <c r="Q8426" s="93" t="str">
        <f>VLOOKUP(E8426,DATABASE!C:Q,4,false)</f>
        <v>SPOORING</v>
      </c>
      <c r="R8426" s="93" t="str">
        <f>VLOOKUP(E8426,DATABASE!C:Q,11,false)</f>
        <v>SERVICE</v>
      </c>
    </row>
    <row r="8427" ht="22.5" customHeight="1">
      <c r="A8427" s="49"/>
      <c r="C8427" s="400">
        <v>46149.0</v>
      </c>
      <c r="D8427" s="524">
        <v>1284.0</v>
      </c>
      <c r="E8427" s="544" t="s">
        <v>301</v>
      </c>
      <c r="F8427" s="387">
        <v>1.0</v>
      </c>
      <c r="G8427" s="140">
        <v>250000.0</v>
      </c>
      <c r="H8427" s="74"/>
      <c r="I8427" s="74">
        <f t="shared" si="1"/>
        <v>250000</v>
      </c>
      <c r="J8427" s="74">
        <f>IF(E8427="SERVICE",I8427-(I8427*50%),Vlookup(E8427,DATABASE!C:Q,10,false)*F8427)</f>
        <v>75000</v>
      </c>
      <c r="K8427" s="74">
        <f>VLOOKUP(E8427,DATABASE!C:Q,7,false)</f>
        <v>75000</v>
      </c>
      <c r="L8427" s="74">
        <v>75000.0</v>
      </c>
      <c r="M8427" s="74">
        <f t="shared" si="6"/>
        <v>75000</v>
      </c>
      <c r="N8427" s="74">
        <f t="shared" si="3"/>
        <v>100000</v>
      </c>
      <c r="O8427" s="65" t="str">
        <f>VLOOKUP(E8427,DATABASE!C:Q,8,false)</f>
        <v>BIAN</v>
      </c>
      <c r="P8427" s="65">
        <f>VLOOKUP(E8427,DATABASE!C:Q,9,False)</f>
        <v>0</v>
      </c>
      <c r="Q8427" s="93" t="str">
        <f>VLOOKUP(E8427,DATABASE!C:Q,4,false)</f>
        <v>Baut Camber</v>
      </c>
      <c r="R8427" s="93" t="str">
        <f>VLOOKUP(E8427,DATABASE!C:Q,11,false)</f>
        <v>COMPLEMENTARY</v>
      </c>
    </row>
    <row r="8428" ht="22.5" customHeight="1">
      <c r="A8428" s="49"/>
      <c r="C8428" s="400">
        <v>46149.0</v>
      </c>
      <c r="D8428" s="524">
        <v>1284.0</v>
      </c>
      <c r="E8428" s="544" t="s">
        <v>251</v>
      </c>
      <c r="F8428" s="387">
        <v>1.0</v>
      </c>
      <c r="G8428" s="140">
        <v>350000.0</v>
      </c>
      <c r="H8428" s="140">
        <v>200000.0</v>
      </c>
      <c r="I8428" s="74">
        <f t="shared" si="1"/>
        <v>150000</v>
      </c>
      <c r="J8428" s="74">
        <f>IF(E8428="SERVICE",I8428-(I8428*50%),Vlookup(E8428,DATABASE!C:Q,10,false)*F8428)</f>
        <v>75000</v>
      </c>
      <c r="K8428" s="74">
        <f>VLOOKUP(E8428,DATABASE!C:Q,7,false)</f>
        <v>0</v>
      </c>
      <c r="L8428" s="74">
        <v>0.0</v>
      </c>
      <c r="M8428" s="74">
        <f t="shared" si="6"/>
        <v>0</v>
      </c>
      <c r="N8428" s="74">
        <f t="shared" si="3"/>
        <v>75000</v>
      </c>
      <c r="O8428" s="65" t="str">
        <f>VLOOKUP(E8428,DATABASE!C:Q,8,false)</f>
        <v>IBU</v>
      </c>
      <c r="P8428" s="65">
        <f>VLOOKUP(E8428,DATABASE!C:Q,9,False)</f>
        <v>0</v>
      </c>
      <c r="Q8428" s="93" t="str">
        <f>VLOOKUP(E8428,DATABASE!C:Q,4,false)</f>
        <v>SERVICE</v>
      </c>
      <c r="R8428" s="93" t="str">
        <f>VLOOKUP(E8428,DATABASE!C:Q,11,false)</f>
        <v>SERVICE</v>
      </c>
    </row>
    <row r="8429" ht="22.5" customHeight="1">
      <c r="A8429" s="49"/>
      <c r="C8429" s="400">
        <v>46149.0</v>
      </c>
      <c r="D8429" s="524">
        <v>1286.0</v>
      </c>
      <c r="E8429" s="544" t="s">
        <v>2345</v>
      </c>
      <c r="F8429" s="387">
        <v>2.0</v>
      </c>
      <c r="G8429" s="140">
        <v>775000.0</v>
      </c>
      <c r="H8429" s="140">
        <v>25000.0</v>
      </c>
      <c r="I8429" s="74">
        <f t="shared" si="1"/>
        <v>1500000</v>
      </c>
      <c r="J8429" s="74">
        <f>IF(E8429="SERVICE",I8429-(I8429*50%),Vlookup(E8429,DATABASE!C:Q,10,false)*F8429)</f>
        <v>0</v>
      </c>
      <c r="K8429" s="74">
        <f>VLOOKUP(E8429,DATABASE!C:Q,7,false)</f>
        <v>680000</v>
      </c>
      <c r="L8429" s="74">
        <v>650000.0</v>
      </c>
      <c r="M8429" s="74">
        <f t="shared" si="6"/>
        <v>650000</v>
      </c>
      <c r="N8429" s="74">
        <f t="shared" si="3"/>
        <v>200000</v>
      </c>
      <c r="O8429" s="65" t="str">
        <f>VLOOKUP(E8429,DATABASE!C:Q,8,false)</f>
        <v>BIAN</v>
      </c>
      <c r="P8429" s="65">
        <f>VLOOKUP(E8429,DATABASE!C:Q,9,False)</f>
        <v>1</v>
      </c>
      <c r="Q8429" s="93" t="str">
        <f>VLOOKUP(E8429,DATABASE!C:Q,4,false)</f>
        <v>Velg</v>
      </c>
      <c r="R8429" s="93" t="str">
        <f>VLOOKUP(E8429,DATABASE!C:Q,11,false)</f>
        <v>Tire</v>
      </c>
    </row>
    <row r="8430" ht="22.5" customHeight="1">
      <c r="A8430" s="49"/>
      <c r="C8430" s="400">
        <v>46149.0</v>
      </c>
      <c r="D8430" s="69">
        <v>1288.0</v>
      </c>
      <c r="E8430" s="544" t="s">
        <v>265</v>
      </c>
      <c r="F8430" s="387">
        <v>2.0</v>
      </c>
      <c r="G8430" s="140">
        <v>700000.0</v>
      </c>
      <c r="H8430" s="74"/>
      <c r="I8430" s="74">
        <f t="shared" si="1"/>
        <v>1400000</v>
      </c>
      <c r="J8430" s="74">
        <f>IF(E8430="SERVICE",I8430-(I8430*50%),Vlookup(E8430,DATABASE!C:Q,10,false)*F8430)</f>
        <v>0</v>
      </c>
      <c r="K8430" s="74">
        <f>VLOOKUP(E8430,DATABASE!C:Q,7,false)</f>
        <v>628000</v>
      </c>
      <c r="L8430" s="74">
        <v>610000.0</v>
      </c>
      <c r="M8430" s="74">
        <f t="shared" si="6"/>
        <v>610000</v>
      </c>
      <c r="N8430" s="74">
        <f t="shared" si="3"/>
        <v>180000</v>
      </c>
      <c r="O8430" s="65" t="str">
        <f>VLOOKUP(E8430,DATABASE!C:Q,8,false)</f>
        <v>IBU</v>
      </c>
      <c r="P8430" s="65">
        <f>VLOOKUP(E8430,DATABASE!C:Q,9,False)</f>
        <v>1</v>
      </c>
      <c r="Q8430" s="93" t="str">
        <f>VLOOKUP(E8430,DATABASE!C:Q,4,false)</f>
        <v>Dunlop</v>
      </c>
      <c r="R8430" s="93" t="str">
        <f>VLOOKUP(E8430,DATABASE!C:Q,11,false)</f>
        <v>Tire</v>
      </c>
    </row>
    <row r="8431" ht="22.5" customHeight="1">
      <c r="A8431" s="49"/>
      <c r="C8431" s="400">
        <v>46149.0</v>
      </c>
      <c r="D8431" s="524">
        <v>1289.0</v>
      </c>
      <c r="E8431" s="544" t="s">
        <v>294</v>
      </c>
      <c r="F8431" s="387">
        <v>1.0</v>
      </c>
      <c r="G8431" s="140">
        <v>590000.0</v>
      </c>
      <c r="H8431" s="74"/>
      <c r="I8431" s="74">
        <f t="shared" si="1"/>
        <v>590000</v>
      </c>
      <c r="J8431" s="74">
        <f>IF(E8431="SERVICE",I8431-(I8431*50%),Vlookup(E8431,DATABASE!C:Q,10,false)*F8431)</f>
        <v>0</v>
      </c>
      <c r="K8431" s="74">
        <f>VLOOKUP(E8431,DATABASE!C:Q,7,false)</f>
        <v>505000</v>
      </c>
      <c r="L8431" s="74">
        <v>505000.0</v>
      </c>
      <c r="M8431" s="74">
        <f t="shared" si="6"/>
        <v>505000</v>
      </c>
      <c r="N8431" s="74">
        <f t="shared" si="3"/>
        <v>85000</v>
      </c>
      <c r="O8431" s="65" t="str">
        <f>VLOOKUP(E8431,DATABASE!C:Q,8,false)</f>
        <v>BIAN</v>
      </c>
      <c r="P8431" s="65">
        <f>VLOOKUP(E8431,DATABASE!C:Q,9,False)</f>
        <v>1</v>
      </c>
      <c r="Q8431" s="93" t="str">
        <f>VLOOKUP(E8431,DATABASE!C:Q,4,false)</f>
        <v>GT</v>
      </c>
      <c r="R8431" s="93" t="str">
        <f>VLOOKUP(E8431,DATABASE!C:Q,11,false)</f>
        <v>Tire</v>
      </c>
    </row>
    <row r="8432" ht="22.5" customHeight="1">
      <c r="A8432" s="49"/>
      <c r="C8432" s="400">
        <v>46149.0</v>
      </c>
      <c r="D8432" s="524">
        <v>1289.0</v>
      </c>
      <c r="E8432" s="544" t="s">
        <v>250</v>
      </c>
      <c r="F8432" s="387">
        <v>1.0</v>
      </c>
      <c r="G8432" s="140">
        <v>135000.0</v>
      </c>
      <c r="H8432" s="74"/>
      <c r="I8432" s="74">
        <f t="shared" si="1"/>
        <v>135000</v>
      </c>
      <c r="J8432" s="74">
        <f>IF(E8432="SERVICE",I8432-(I8432*50%),Vlookup(E8432,DATABASE!C:Q,10,false)*F8432)</f>
        <v>0</v>
      </c>
      <c r="K8432" s="74">
        <f>VLOOKUP(E8432,DATABASE!C:Q,7,false)</f>
        <v>102000</v>
      </c>
      <c r="L8432" s="74">
        <v>102000.0</v>
      </c>
      <c r="M8432" s="74">
        <f t="shared" si="6"/>
        <v>105000</v>
      </c>
      <c r="N8432" s="74">
        <f t="shared" si="3"/>
        <v>30000</v>
      </c>
      <c r="O8432" s="65" t="str">
        <f>VLOOKUP(E8432,DATABASE!C:Q,8,false)</f>
        <v>BIAN</v>
      </c>
      <c r="P8432" s="65">
        <f>VLOOKUP(E8432,DATABASE!C:Q,9,False)</f>
        <v>1</v>
      </c>
      <c r="Q8432" s="93" t="str">
        <f>VLOOKUP(E8432,DATABASE!C:Q,4,false)</f>
        <v>BD</v>
      </c>
      <c r="R8432" s="93" t="str">
        <f>VLOOKUP(E8432,DATABASE!C:Q,11,false)</f>
        <v>Tire</v>
      </c>
    </row>
    <row r="8433" ht="22.5" customHeight="1">
      <c r="A8433" s="49"/>
      <c r="C8433" s="400">
        <v>46149.0</v>
      </c>
      <c r="D8433" s="69" t="s">
        <v>2801</v>
      </c>
      <c r="E8433" s="544" t="s">
        <v>263</v>
      </c>
      <c r="F8433" s="387">
        <v>1.0</v>
      </c>
      <c r="G8433" s="140">
        <v>345000.0</v>
      </c>
      <c r="H8433" s="140">
        <v>10000.0</v>
      </c>
      <c r="I8433" s="74">
        <f t="shared" si="1"/>
        <v>335000</v>
      </c>
      <c r="J8433" s="74">
        <f>IF(E8433="SERVICE",I8433-(I8433*50%),Vlookup(E8433,DATABASE!C:Q,10,false)*F8433)</f>
        <v>0</v>
      </c>
      <c r="K8433" s="74">
        <f>VLOOKUP(E8433,DATABASE!C:Q,7,false)</f>
        <v>334916</v>
      </c>
      <c r="L8433" s="74">
        <v>292600.0</v>
      </c>
      <c r="M8433" s="74">
        <f t="shared" si="6"/>
        <v>295000</v>
      </c>
      <c r="N8433" s="74">
        <f t="shared" si="3"/>
        <v>40000</v>
      </c>
      <c r="O8433" s="65" t="str">
        <f>VLOOKUP(E8433,DATABASE!C:Q,8,false)</f>
        <v>NON</v>
      </c>
      <c r="P8433" s="65">
        <f>VLOOKUP(E8433,DATABASE!C:Q,9,False)</f>
        <v>0</v>
      </c>
      <c r="Q8433" s="93" t="str">
        <f>VLOOKUP(E8433,DATABASE!C:Q,4,false)</f>
        <v>Shell</v>
      </c>
      <c r="R8433" s="93" t="str">
        <f>VLOOKUP(E8433,DATABASE!C:Q,11,false)</f>
        <v>OIL</v>
      </c>
    </row>
    <row r="8434" ht="22.5" customHeight="1">
      <c r="A8434" s="49"/>
      <c r="C8434" s="400">
        <v>46149.0</v>
      </c>
      <c r="D8434" s="69" t="s">
        <v>2802</v>
      </c>
      <c r="E8434" s="544" t="s">
        <v>2191</v>
      </c>
      <c r="F8434" s="387">
        <v>1.0</v>
      </c>
      <c r="G8434" s="140">
        <v>430000.0</v>
      </c>
      <c r="H8434" s="74"/>
      <c r="I8434" s="74">
        <f t="shared" si="1"/>
        <v>430000</v>
      </c>
      <c r="J8434" s="74">
        <f>IF(E8434="SERVICE",I8434-(I8434*50%),Vlookup(E8434,DATABASE!C:Q,10,false)*F8434)</f>
        <v>0</v>
      </c>
      <c r="K8434" s="74">
        <f>VLOOKUP(E8434,DATABASE!C:Q,7,false)</f>
        <v>422900</v>
      </c>
      <c r="L8434" s="74">
        <v>380400.0</v>
      </c>
      <c r="M8434" s="74">
        <f t="shared" si="6"/>
        <v>385000</v>
      </c>
      <c r="N8434" s="74">
        <f t="shared" si="3"/>
        <v>45000</v>
      </c>
      <c r="O8434" s="65" t="str">
        <f>VLOOKUP(E8434,DATABASE!C:Q,8,false)</f>
        <v>NON</v>
      </c>
      <c r="P8434" s="65">
        <f>VLOOKUP(E8434,DATABASE!C:Q,9,False)</f>
        <v>0</v>
      </c>
      <c r="Q8434" s="93" t="str">
        <f>VLOOKUP(E8434,DATABASE!C:Q,4,false)</f>
        <v>Shell</v>
      </c>
      <c r="R8434" s="93" t="str">
        <f>VLOOKUP(E8434,DATABASE!C:Q,11,false)</f>
        <v>OIL</v>
      </c>
    </row>
    <row r="8435" ht="22.5" customHeight="1">
      <c r="A8435" s="49"/>
      <c r="C8435" s="400">
        <v>46149.0</v>
      </c>
      <c r="D8435" s="69" t="s">
        <v>2803</v>
      </c>
      <c r="E8435" s="544" t="s">
        <v>2191</v>
      </c>
      <c r="F8435" s="387">
        <v>1.0</v>
      </c>
      <c r="G8435" s="140">
        <v>430000.0</v>
      </c>
      <c r="H8435" s="74"/>
      <c r="I8435" s="74">
        <f t="shared" si="1"/>
        <v>430000</v>
      </c>
      <c r="J8435" s="74">
        <f>IF(E8435="SERVICE",I8435-(I8435*50%),Vlookup(E8435,DATABASE!C:Q,10,false)*F8435)</f>
        <v>0</v>
      </c>
      <c r="K8435" s="74">
        <f>VLOOKUP(E8435,DATABASE!C:Q,7,false)</f>
        <v>422900</v>
      </c>
      <c r="L8435" s="74">
        <v>380400.0</v>
      </c>
      <c r="M8435" s="74">
        <f t="shared" si="6"/>
        <v>385000</v>
      </c>
      <c r="N8435" s="74">
        <f t="shared" si="3"/>
        <v>45000</v>
      </c>
      <c r="O8435" s="65" t="str">
        <f>VLOOKUP(E8435,DATABASE!C:Q,8,false)</f>
        <v>NON</v>
      </c>
      <c r="P8435" s="65">
        <f>VLOOKUP(E8435,DATABASE!C:Q,9,False)</f>
        <v>0</v>
      </c>
      <c r="Q8435" s="93" t="str">
        <f>VLOOKUP(E8435,DATABASE!C:Q,4,false)</f>
        <v>Shell</v>
      </c>
      <c r="R8435" s="93" t="str">
        <f>VLOOKUP(E8435,DATABASE!C:Q,11,false)</f>
        <v>OIL</v>
      </c>
    </row>
    <row r="8436" ht="22.5" customHeight="1">
      <c r="A8436" s="49"/>
      <c r="C8436" s="400">
        <v>46150.0</v>
      </c>
      <c r="D8436" s="524">
        <v>1290.0</v>
      </c>
      <c r="E8436" s="544" t="s">
        <v>2630</v>
      </c>
      <c r="F8436" s="387">
        <v>5.0</v>
      </c>
      <c r="G8436" s="140">
        <v>535000.0</v>
      </c>
      <c r="H8436" s="140">
        <v>10000.0</v>
      </c>
      <c r="I8436" s="74">
        <f t="shared" si="1"/>
        <v>2625000</v>
      </c>
      <c r="J8436" s="74">
        <f>IF(E8436="SERVICE",I8436-(I8436*50%),Vlookup(E8436,DATABASE!C:Q,10,false)*F8436)</f>
        <v>0</v>
      </c>
      <c r="K8436" s="74">
        <f>VLOOKUP(E8436,DATABASE!C:Q,7,false)</f>
        <v>439000</v>
      </c>
      <c r="L8436" s="74">
        <v>434000.0</v>
      </c>
      <c r="M8436" s="74">
        <f t="shared" si="6"/>
        <v>435000</v>
      </c>
      <c r="N8436" s="74">
        <f t="shared" si="3"/>
        <v>450000</v>
      </c>
      <c r="O8436" s="65" t="str">
        <f>VLOOKUP(E8436,DATABASE!C:Q,8,false)</f>
        <v>BIAN</v>
      </c>
      <c r="P8436" s="65">
        <f>VLOOKUP(E8436,DATABASE!C:Q,9,False)</f>
        <v>1</v>
      </c>
      <c r="Q8436" s="93" t="str">
        <f>VLOOKUP(E8436,DATABASE!C:Q,4,false)</f>
        <v>HanKOOK</v>
      </c>
      <c r="R8436" s="93" t="str">
        <f>VLOOKUP(E8436,DATABASE!C:Q,11,false)</f>
        <v>Tire</v>
      </c>
    </row>
    <row r="8437" ht="22.5" customHeight="1">
      <c r="A8437" s="49"/>
      <c r="C8437" s="400">
        <v>46150.0</v>
      </c>
      <c r="D8437" s="524">
        <v>1291.0</v>
      </c>
      <c r="E8437" s="544" t="s">
        <v>856</v>
      </c>
      <c r="F8437" s="387">
        <v>2.0</v>
      </c>
      <c r="G8437" s="140">
        <v>690000.0</v>
      </c>
      <c r="H8437" s="74"/>
      <c r="I8437" s="74">
        <f t="shared" si="1"/>
        <v>1380000</v>
      </c>
      <c r="J8437" s="74">
        <f>IF(E8437="SERVICE",I8437-(I8437*50%),Vlookup(E8437,DATABASE!C:Q,10,false)*F8437)</f>
        <v>0</v>
      </c>
      <c r="K8437" s="74">
        <f>VLOOKUP(E8437,DATABASE!C:Q,7,false)</f>
        <v>615300</v>
      </c>
      <c r="L8437" s="74">
        <v>604200.0</v>
      </c>
      <c r="M8437" s="74">
        <f t="shared" si="6"/>
        <v>605000</v>
      </c>
      <c r="N8437" s="74">
        <f t="shared" si="3"/>
        <v>170000</v>
      </c>
      <c r="O8437" s="65" t="str">
        <f>VLOOKUP(E8437,DATABASE!C:Q,8,false)</f>
        <v>BIAN</v>
      </c>
      <c r="P8437" s="65">
        <f>VLOOKUP(E8437,DATABASE!C:Q,9,False)</f>
        <v>1</v>
      </c>
      <c r="Q8437" s="93" t="str">
        <f>VLOOKUP(E8437,DATABASE!C:Q,4,false)</f>
        <v>GT</v>
      </c>
      <c r="R8437" s="93" t="str">
        <f>VLOOKUP(E8437,DATABASE!C:Q,11,false)</f>
        <v>Tire</v>
      </c>
    </row>
    <row r="8438" ht="22.5" customHeight="1">
      <c r="A8438" s="49"/>
      <c r="C8438" s="400">
        <v>46150.0</v>
      </c>
      <c r="D8438" s="524">
        <v>1292.0</v>
      </c>
      <c r="E8438" s="544" t="s">
        <v>2019</v>
      </c>
      <c r="F8438" s="387">
        <v>2.0</v>
      </c>
      <c r="G8438" s="140">
        <v>710000.0</v>
      </c>
      <c r="H8438" s="74"/>
      <c r="I8438" s="74">
        <f t="shared" si="1"/>
        <v>1420000</v>
      </c>
      <c r="J8438" s="74">
        <f>IF(E8438="SERVICE",I8438-(I8438*50%),Vlookup(E8438,DATABASE!C:Q,10,false)*F8438)</f>
        <v>0</v>
      </c>
      <c r="K8438" s="74">
        <f>VLOOKUP(E8438,DATABASE!C:Q,7,false)</f>
        <v>620000</v>
      </c>
      <c r="L8438" s="74">
        <v>620000.0</v>
      </c>
      <c r="M8438" s="74">
        <f t="shared" si="6"/>
        <v>620000</v>
      </c>
      <c r="N8438" s="74">
        <f t="shared" si="3"/>
        <v>180000</v>
      </c>
      <c r="O8438" s="65" t="str">
        <f>VLOOKUP(E8438,DATABASE!C:Q,8,false)</f>
        <v>BIAN</v>
      </c>
      <c r="P8438" s="65">
        <f>VLOOKUP(E8438,DATABASE!C:Q,9,False)</f>
        <v>1</v>
      </c>
      <c r="Q8438" s="93" t="str">
        <f>VLOOKUP(E8438,DATABASE!C:Q,4,false)</f>
        <v>GT</v>
      </c>
      <c r="R8438" s="93" t="str">
        <f>VLOOKUP(E8438,DATABASE!C:Q,11,false)</f>
        <v>Tire</v>
      </c>
    </row>
    <row r="8439" ht="22.5" customHeight="1">
      <c r="A8439" s="49"/>
      <c r="C8439" s="400">
        <v>46150.0</v>
      </c>
      <c r="D8439" s="524">
        <v>1293.0</v>
      </c>
      <c r="E8439" s="544" t="s">
        <v>250</v>
      </c>
      <c r="F8439" s="387">
        <v>1.0</v>
      </c>
      <c r="G8439" s="140">
        <v>135000.0</v>
      </c>
      <c r="H8439" s="74"/>
      <c r="I8439" s="74">
        <f t="shared" si="1"/>
        <v>135000</v>
      </c>
      <c r="J8439" s="74">
        <f>IF(E8439="SERVICE",I8439-(I8439*50%),Vlookup(E8439,DATABASE!C:Q,10,false)*F8439)</f>
        <v>0</v>
      </c>
      <c r="K8439" s="74">
        <f>VLOOKUP(E8439,DATABASE!C:Q,7,false)</f>
        <v>102000</v>
      </c>
      <c r="L8439" s="74">
        <v>102000.0</v>
      </c>
      <c r="M8439" s="74">
        <f t="shared" si="6"/>
        <v>105000</v>
      </c>
      <c r="N8439" s="74">
        <f t="shared" si="3"/>
        <v>30000</v>
      </c>
      <c r="O8439" s="65" t="str">
        <f>VLOOKUP(E8439,DATABASE!C:Q,8,false)</f>
        <v>BIAN</v>
      </c>
      <c r="P8439" s="65">
        <f>VLOOKUP(E8439,DATABASE!C:Q,9,False)</f>
        <v>1</v>
      </c>
      <c r="Q8439" s="93" t="str">
        <f>VLOOKUP(E8439,DATABASE!C:Q,4,false)</f>
        <v>BD</v>
      </c>
      <c r="R8439" s="93" t="str">
        <f>VLOOKUP(E8439,DATABASE!C:Q,11,false)</f>
        <v>Tire</v>
      </c>
    </row>
    <row r="8440" ht="22.5" customHeight="1">
      <c r="A8440" s="49"/>
      <c r="C8440" s="400">
        <v>46150.0</v>
      </c>
      <c r="D8440" s="524">
        <v>1294.0</v>
      </c>
      <c r="E8440" s="544" t="s">
        <v>268</v>
      </c>
      <c r="F8440" s="387">
        <v>2.0</v>
      </c>
      <c r="G8440" s="140">
        <v>720000.0</v>
      </c>
      <c r="H8440" s="74"/>
      <c r="I8440" s="74">
        <f t="shared" si="1"/>
        <v>1440000</v>
      </c>
      <c r="J8440" s="74">
        <f>IF(E8440="SERVICE",I8440-(I8440*50%),Vlookup(E8440,DATABASE!C:Q,10,false)*F8440)</f>
        <v>0</v>
      </c>
      <c r="K8440" s="74">
        <f>VLOOKUP(E8440,DATABASE!C:Q,7,false)</f>
        <v>653000</v>
      </c>
      <c r="L8440" s="74">
        <v>634500.0</v>
      </c>
      <c r="M8440" s="74">
        <f t="shared" si="6"/>
        <v>635000</v>
      </c>
      <c r="N8440" s="74">
        <f t="shared" si="3"/>
        <v>170000</v>
      </c>
      <c r="O8440" s="65" t="str">
        <f>VLOOKUP(E8440,DATABASE!C:Q,8,false)</f>
        <v>IBU</v>
      </c>
      <c r="P8440" s="65">
        <f>VLOOKUP(E8440,DATABASE!C:Q,9,False)</f>
        <v>1</v>
      </c>
      <c r="Q8440" s="93" t="str">
        <f>VLOOKUP(E8440,DATABASE!C:Q,4,false)</f>
        <v>Dunlop</v>
      </c>
      <c r="R8440" s="93" t="str">
        <f>VLOOKUP(E8440,DATABASE!C:Q,11,false)</f>
        <v>Tire</v>
      </c>
    </row>
    <row r="8441" ht="22.5" customHeight="1">
      <c r="A8441" s="49"/>
      <c r="C8441" s="400">
        <v>46150.0</v>
      </c>
      <c r="D8441" s="524">
        <v>1295.0</v>
      </c>
      <c r="E8441" s="544" t="s">
        <v>256</v>
      </c>
      <c r="F8441" s="387">
        <v>1.0</v>
      </c>
      <c r="G8441" s="140">
        <v>175000.0</v>
      </c>
      <c r="H8441" s="140">
        <v>25000.0</v>
      </c>
      <c r="I8441" s="74">
        <f t="shared" si="1"/>
        <v>150000</v>
      </c>
      <c r="J8441" s="74">
        <f>IF(E8441="SERVICE",I8441-(I8441*50%),Vlookup(E8441,DATABASE!C:Q,10,false)*F8441)</f>
        <v>10000</v>
      </c>
      <c r="K8441" s="74">
        <f>VLOOKUP(E8441,DATABASE!C:Q,7,false)</f>
        <v>0</v>
      </c>
      <c r="L8441" s="74">
        <v>0.0</v>
      </c>
      <c r="M8441" s="74">
        <f t="shared" si="6"/>
        <v>0</v>
      </c>
      <c r="N8441" s="74">
        <f t="shared" si="3"/>
        <v>140000</v>
      </c>
      <c r="O8441" s="65" t="str">
        <f>VLOOKUP(E8441,DATABASE!C:Q,8,false)</f>
        <v>IBU</v>
      </c>
      <c r="P8441" s="65">
        <f>VLOOKUP(E8441,DATABASE!C:Q,9,False)</f>
        <v>0</v>
      </c>
      <c r="Q8441" s="93" t="str">
        <f>VLOOKUP(E8441,DATABASE!C:Q,4,false)</f>
        <v>SPOORING</v>
      </c>
      <c r="R8441" s="93" t="str">
        <f>VLOOKUP(E8441,DATABASE!C:Q,11,false)</f>
        <v>SERVICE</v>
      </c>
    </row>
    <row r="8442" ht="22.5" customHeight="1">
      <c r="A8442" s="49"/>
      <c r="C8442" s="400">
        <v>46150.0</v>
      </c>
      <c r="D8442" s="524">
        <v>1295.0</v>
      </c>
      <c r="E8442" s="544" t="s">
        <v>251</v>
      </c>
      <c r="F8442" s="387">
        <v>1.0</v>
      </c>
      <c r="G8442" s="140">
        <v>350000.0</v>
      </c>
      <c r="H8442" s="140">
        <v>200000.0</v>
      </c>
      <c r="I8442" s="74">
        <f t="shared" si="1"/>
        <v>150000</v>
      </c>
      <c r="J8442" s="74">
        <f>IF(E8442="SERVICE",I8442-(I8442*50%),Vlookup(E8442,DATABASE!C:Q,10,false)*F8442)</f>
        <v>75000</v>
      </c>
      <c r="K8442" s="74">
        <f>VLOOKUP(E8442,DATABASE!C:Q,7,false)</f>
        <v>0</v>
      </c>
      <c r="L8442" s="74">
        <v>0.0</v>
      </c>
      <c r="M8442" s="74">
        <f t="shared" si="6"/>
        <v>0</v>
      </c>
      <c r="N8442" s="74">
        <f t="shared" si="3"/>
        <v>75000</v>
      </c>
      <c r="O8442" s="65" t="str">
        <f>VLOOKUP(E8442,DATABASE!C:Q,8,false)</f>
        <v>IBU</v>
      </c>
      <c r="P8442" s="65">
        <f>VLOOKUP(E8442,DATABASE!C:Q,9,False)</f>
        <v>0</v>
      </c>
      <c r="Q8442" s="93" t="str">
        <f>VLOOKUP(E8442,DATABASE!C:Q,4,false)</f>
        <v>SERVICE</v>
      </c>
      <c r="R8442" s="93" t="str">
        <f>VLOOKUP(E8442,DATABASE!C:Q,11,false)</f>
        <v>SERVICE</v>
      </c>
    </row>
    <row r="8443" ht="22.5" customHeight="1">
      <c r="A8443" s="49"/>
      <c r="C8443" s="400">
        <v>46150.0</v>
      </c>
      <c r="D8443" s="524">
        <v>1296.0</v>
      </c>
      <c r="E8443" s="544" t="s">
        <v>781</v>
      </c>
      <c r="F8443" s="387">
        <v>1.0</v>
      </c>
      <c r="G8443" s="140">
        <v>550000.0</v>
      </c>
      <c r="H8443" s="74"/>
      <c r="I8443" s="74">
        <f t="shared" si="1"/>
        <v>550000</v>
      </c>
      <c r="J8443" s="74">
        <f>IF(E8443="SERVICE",I8443-(I8443*50%),Vlookup(E8443,DATABASE!C:Q,10,false)*F8443)</f>
        <v>0</v>
      </c>
      <c r="K8443" s="74">
        <f>VLOOKUP(E8443,DATABASE!C:Q,7,false)</f>
        <v>470000</v>
      </c>
      <c r="L8443" s="74">
        <v>460000.0</v>
      </c>
      <c r="M8443" s="74">
        <f t="shared" si="6"/>
        <v>460000</v>
      </c>
      <c r="N8443" s="74">
        <f t="shared" si="3"/>
        <v>90000</v>
      </c>
      <c r="O8443" s="65" t="str">
        <f>VLOOKUP(E8443,DATABASE!C:Q,8,false)</f>
        <v>BIAN</v>
      </c>
      <c r="P8443" s="65">
        <f>VLOOKUP(E8443,DATABASE!C:Q,9,False)</f>
        <v>1</v>
      </c>
      <c r="Q8443" s="93" t="str">
        <f>VLOOKUP(E8443,DATABASE!C:Q,4,false)</f>
        <v>GT</v>
      </c>
      <c r="R8443" s="93" t="str">
        <f>VLOOKUP(E8443,DATABASE!C:Q,11,false)</f>
        <v>Tire</v>
      </c>
    </row>
    <row r="8444" ht="22.5" customHeight="1">
      <c r="A8444" s="49"/>
      <c r="C8444" s="400">
        <v>46150.0</v>
      </c>
      <c r="D8444" s="524">
        <v>1296.0</v>
      </c>
      <c r="E8444" s="544" t="s">
        <v>2019</v>
      </c>
      <c r="F8444" s="387">
        <v>1.0</v>
      </c>
      <c r="G8444" s="140">
        <v>710000.0</v>
      </c>
      <c r="H8444" s="74"/>
      <c r="I8444" s="74">
        <f t="shared" si="1"/>
        <v>710000</v>
      </c>
      <c r="J8444" s="74">
        <f>IF(E8444="SERVICE",I8444-(I8444*50%),Vlookup(E8444,DATABASE!C:Q,10,false)*F8444)</f>
        <v>0</v>
      </c>
      <c r="K8444" s="74">
        <f>VLOOKUP(E8444,DATABASE!C:Q,7,false)</f>
        <v>620000</v>
      </c>
      <c r="L8444" s="74">
        <v>620000.0</v>
      </c>
      <c r="M8444" s="74">
        <f t="shared" si="6"/>
        <v>620000</v>
      </c>
      <c r="N8444" s="74">
        <f t="shared" si="3"/>
        <v>90000</v>
      </c>
      <c r="O8444" s="65" t="str">
        <f>VLOOKUP(E8444,DATABASE!C:Q,8,false)</f>
        <v>BIAN</v>
      </c>
      <c r="P8444" s="65">
        <f>VLOOKUP(E8444,DATABASE!C:Q,9,False)</f>
        <v>1</v>
      </c>
      <c r="Q8444" s="93" t="str">
        <f>VLOOKUP(E8444,DATABASE!C:Q,4,false)</f>
        <v>GT</v>
      </c>
      <c r="R8444" s="93" t="str">
        <f>VLOOKUP(E8444,DATABASE!C:Q,11,false)</f>
        <v>Tire</v>
      </c>
    </row>
    <row r="8445" ht="22.5" customHeight="1">
      <c r="A8445" s="49"/>
      <c r="C8445" s="400">
        <v>46150.0</v>
      </c>
      <c r="D8445" s="524">
        <v>1298.0</v>
      </c>
      <c r="E8445" s="544" t="s">
        <v>1898</v>
      </c>
      <c r="F8445" s="387">
        <v>1.0</v>
      </c>
      <c r="G8445" s="140">
        <v>720000.0</v>
      </c>
      <c r="H8445" s="74"/>
      <c r="I8445" s="74">
        <f t="shared" si="1"/>
        <v>720000</v>
      </c>
      <c r="J8445" s="74">
        <f>IF(E8445="SERVICE",I8445-(I8445*50%),Vlookup(E8445,DATABASE!C:Q,10,false)*F8445)</f>
        <v>0</v>
      </c>
      <c r="K8445" s="74">
        <f>VLOOKUP(E8445,DATABASE!C:Q,7,false)</f>
        <v>640700</v>
      </c>
      <c r="L8445" s="74">
        <v>628100.0</v>
      </c>
      <c r="M8445" s="74">
        <f t="shared" si="6"/>
        <v>630000</v>
      </c>
      <c r="N8445" s="74">
        <f t="shared" si="3"/>
        <v>90000</v>
      </c>
      <c r="O8445" s="65" t="str">
        <f>VLOOKUP(E8445,DATABASE!C:Q,8,false)</f>
        <v>BIAN</v>
      </c>
      <c r="P8445" s="65">
        <f>VLOOKUP(E8445,DATABASE!C:Q,9,False)</f>
        <v>1</v>
      </c>
      <c r="Q8445" s="93" t="str">
        <f>VLOOKUP(E8445,DATABASE!C:Q,4,false)</f>
        <v>GT</v>
      </c>
      <c r="R8445" s="93" t="str">
        <f>VLOOKUP(E8445,DATABASE!C:Q,11,false)</f>
        <v>Tire</v>
      </c>
    </row>
    <row r="8446" ht="22.5" customHeight="1">
      <c r="A8446" s="49"/>
      <c r="C8446" s="400">
        <v>46150.0</v>
      </c>
      <c r="D8446" s="524">
        <v>1299.0</v>
      </c>
      <c r="E8446" s="544" t="s">
        <v>275</v>
      </c>
      <c r="F8446" s="387">
        <v>2.0</v>
      </c>
      <c r="G8446" s="140">
        <v>850000.0</v>
      </c>
      <c r="H8446" s="74"/>
      <c r="I8446" s="74">
        <f t="shared" si="1"/>
        <v>1700000</v>
      </c>
      <c r="J8446" s="74">
        <f>IF(E8446="SERVICE",I8446-(I8446*50%),Vlookup(E8446,DATABASE!C:Q,10,false)*F8446)</f>
        <v>0</v>
      </c>
      <c r="K8446" s="74">
        <f>VLOOKUP(E8446,DATABASE!C:Q,7,false)</f>
        <v>782000</v>
      </c>
      <c r="L8446" s="74">
        <v>759500.0</v>
      </c>
      <c r="M8446" s="74">
        <f t="shared" si="6"/>
        <v>760000</v>
      </c>
      <c r="N8446" s="74">
        <f t="shared" si="3"/>
        <v>180000</v>
      </c>
      <c r="O8446" s="65" t="str">
        <f>VLOOKUP(E8446,DATABASE!C:Q,8,false)</f>
        <v>IBU</v>
      </c>
      <c r="P8446" s="65">
        <f>VLOOKUP(E8446,DATABASE!C:Q,9,False)</f>
        <v>1</v>
      </c>
      <c r="Q8446" s="93" t="str">
        <f>VLOOKUP(E8446,DATABASE!C:Q,4,false)</f>
        <v>Dunlop</v>
      </c>
      <c r="R8446" s="93" t="str">
        <f>VLOOKUP(E8446,DATABASE!C:Q,11,false)</f>
        <v>Tire</v>
      </c>
    </row>
    <row r="8447" ht="22.5" customHeight="1">
      <c r="A8447" s="49"/>
      <c r="C8447" s="400">
        <v>46150.0</v>
      </c>
      <c r="D8447" s="524">
        <v>1300.0</v>
      </c>
      <c r="E8447" s="544" t="s">
        <v>256</v>
      </c>
      <c r="F8447" s="387">
        <v>1.0</v>
      </c>
      <c r="G8447" s="140">
        <v>175000.0</v>
      </c>
      <c r="H8447" s="140">
        <v>25000.0</v>
      </c>
      <c r="I8447" s="74">
        <f t="shared" si="1"/>
        <v>150000</v>
      </c>
      <c r="J8447" s="74">
        <f>IF(E8447="SERVICE",I8447-(I8447*50%),Vlookup(E8447,DATABASE!C:Q,10,false)*F8447)</f>
        <v>10000</v>
      </c>
      <c r="K8447" s="74">
        <f>VLOOKUP(E8447,DATABASE!C:Q,7,false)</f>
        <v>0</v>
      </c>
      <c r="L8447" s="74">
        <v>0.0</v>
      </c>
      <c r="M8447" s="74">
        <f t="shared" si="6"/>
        <v>0</v>
      </c>
      <c r="N8447" s="74">
        <f t="shared" si="3"/>
        <v>140000</v>
      </c>
      <c r="O8447" s="65" t="str">
        <f>VLOOKUP(E8447,DATABASE!C:Q,8,false)</f>
        <v>IBU</v>
      </c>
      <c r="P8447" s="65">
        <f>VLOOKUP(E8447,DATABASE!C:Q,9,False)</f>
        <v>0</v>
      </c>
      <c r="Q8447" s="93" t="str">
        <f>VLOOKUP(E8447,DATABASE!C:Q,4,false)</f>
        <v>SPOORING</v>
      </c>
      <c r="R8447" s="93" t="str">
        <f>VLOOKUP(E8447,DATABASE!C:Q,11,false)</f>
        <v>SERVICE</v>
      </c>
    </row>
    <row r="8448" ht="22.5" customHeight="1">
      <c r="A8448" s="49"/>
      <c r="C8448" s="400">
        <v>46150.0</v>
      </c>
      <c r="D8448" s="524">
        <v>1300.0</v>
      </c>
      <c r="E8448" s="544" t="s">
        <v>299</v>
      </c>
      <c r="F8448" s="387">
        <v>2.0</v>
      </c>
      <c r="G8448" s="140">
        <v>30000.0</v>
      </c>
      <c r="H8448" s="74"/>
      <c r="I8448" s="74">
        <f t="shared" si="1"/>
        <v>60000</v>
      </c>
      <c r="J8448" s="74">
        <f>IF(E8448="SERVICE",I8448-(I8448*50%),Vlookup(E8448,DATABASE!C:Q,10,false)*F8448)</f>
        <v>0</v>
      </c>
      <c r="K8448" s="74">
        <f>VLOOKUP(E8448,DATABASE!C:Q,7,false)</f>
        <v>10000</v>
      </c>
      <c r="L8448" s="74">
        <v>10000.0</v>
      </c>
      <c r="M8448" s="74">
        <f t="shared" si="6"/>
        <v>10000</v>
      </c>
      <c r="N8448" s="74">
        <f t="shared" si="3"/>
        <v>40000</v>
      </c>
      <c r="O8448" s="65" t="str">
        <f>VLOOKUP(E8448,DATABASE!C:Q,8,false)</f>
        <v>BIAN</v>
      </c>
      <c r="P8448" s="65">
        <f>VLOOKUP(E8448,DATABASE!C:Q,9,False)</f>
        <v>0</v>
      </c>
      <c r="Q8448" s="93" t="str">
        <f>VLOOKUP(E8448,DATABASE!C:Q,4,false)</f>
        <v>Balancing</v>
      </c>
      <c r="R8448" s="93" t="str">
        <f>VLOOKUP(E8448,DATABASE!C:Q,11,false)</f>
        <v>COMPLEMENTARY</v>
      </c>
    </row>
    <row r="8449" ht="22.5" customHeight="1">
      <c r="A8449" s="49"/>
      <c r="C8449" s="400">
        <v>46150.0</v>
      </c>
      <c r="D8449" s="524">
        <v>1300.0</v>
      </c>
      <c r="E8449" s="544" t="s">
        <v>301</v>
      </c>
      <c r="F8449" s="387">
        <v>1.0</v>
      </c>
      <c r="G8449" s="140">
        <v>250000.0</v>
      </c>
      <c r="H8449" s="74"/>
      <c r="I8449" s="74">
        <f t="shared" si="1"/>
        <v>250000</v>
      </c>
      <c r="J8449" s="74">
        <f>IF(E8449="SERVICE",I8449-(I8449*50%),Vlookup(E8449,DATABASE!C:Q,10,false)*F8449)</f>
        <v>75000</v>
      </c>
      <c r="K8449" s="74">
        <f>VLOOKUP(E8449,DATABASE!C:Q,7,false)</f>
        <v>75000</v>
      </c>
      <c r="L8449" s="74">
        <v>75000.0</v>
      </c>
      <c r="M8449" s="74">
        <f t="shared" si="6"/>
        <v>75000</v>
      </c>
      <c r="N8449" s="74">
        <f t="shared" si="3"/>
        <v>100000</v>
      </c>
      <c r="O8449" s="65" t="str">
        <f>VLOOKUP(E8449,DATABASE!C:Q,8,false)</f>
        <v>BIAN</v>
      </c>
      <c r="P8449" s="65">
        <f>VLOOKUP(E8449,DATABASE!C:Q,9,False)</f>
        <v>0</v>
      </c>
      <c r="Q8449" s="93" t="str">
        <f>VLOOKUP(E8449,DATABASE!C:Q,4,false)</f>
        <v>Baut Camber</v>
      </c>
      <c r="R8449" s="93" t="str">
        <f>VLOOKUP(E8449,DATABASE!C:Q,11,false)</f>
        <v>COMPLEMENTARY</v>
      </c>
    </row>
    <row r="8450" ht="22.5" customHeight="1">
      <c r="A8450" s="49"/>
      <c r="C8450" s="400">
        <v>46150.0</v>
      </c>
      <c r="D8450" s="524">
        <v>1301.0</v>
      </c>
      <c r="E8450" s="544" t="s">
        <v>265</v>
      </c>
      <c r="F8450" s="387">
        <v>2.0</v>
      </c>
      <c r="G8450" s="140">
        <v>700000.0</v>
      </c>
      <c r="H8450" s="74"/>
      <c r="I8450" s="74">
        <f t="shared" si="1"/>
        <v>1400000</v>
      </c>
      <c r="J8450" s="74">
        <f>IF(E8450="SERVICE",I8450-(I8450*50%),Vlookup(E8450,DATABASE!C:Q,10,false)*F8450)</f>
        <v>0</v>
      </c>
      <c r="K8450" s="74">
        <f>VLOOKUP(E8450,DATABASE!C:Q,7,false)</f>
        <v>628000</v>
      </c>
      <c r="L8450" s="74">
        <v>610000.0</v>
      </c>
      <c r="M8450" s="74">
        <f t="shared" si="6"/>
        <v>610000</v>
      </c>
      <c r="N8450" s="74">
        <f t="shared" si="3"/>
        <v>180000</v>
      </c>
      <c r="O8450" s="65" t="str">
        <f>VLOOKUP(E8450,DATABASE!C:Q,8,false)</f>
        <v>IBU</v>
      </c>
      <c r="P8450" s="65">
        <f>VLOOKUP(E8450,DATABASE!C:Q,9,False)</f>
        <v>1</v>
      </c>
      <c r="Q8450" s="93" t="str">
        <f>VLOOKUP(E8450,DATABASE!C:Q,4,false)</f>
        <v>Dunlop</v>
      </c>
      <c r="R8450" s="93" t="str">
        <f>VLOOKUP(E8450,DATABASE!C:Q,11,false)</f>
        <v>Tire</v>
      </c>
    </row>
    <row r="8451" ht="22.5" customHeight="1">
      <c r="A8451" s="49"/>
      <c r="C8451" s="400">
        <v>46150.0</v>
      </c>
      <c r="D8451" s="524">
        <v>1302.0</v>
      </c>
      <c r="E8451" s="544" t="s">
        <v>256</v>
      </c>
      <c r="F8451" s="387">
        <v>1.0</v>
      </c>
      <c r="G8451" s="140">
        <v>175000.0</v>
      </c>
      <c r="H8451" s="140">
        <v>25000.0</v>
      </c>
      <c r="I8451" s="74">
        <f t="shared" si="1"/>
        <v>150000</v>
      </c>
      <c r="J8451" s="74">
        <f>IF(E8451="SERVICE",I8451-(I8451*50%),Vlookup(E8451,DATABASE!C:Q,10,false)*F8451)</f>
        <v>10000</v>
      </c>
      <c r="K8451" s="74">
        <f>VLOOKUP(E8451,DATABASE!C:Q,7,false)</f>
        <v>0</v>
      </c>
      <c r="L8451" s="74">
        <v>0.0</v>
      </c>
      <c r="M8451" s="74">
        <f t="shared" si="6"/>
        <v>0</v>
      </c>
      <c r="N8451" s="74">
        <f t="shared" si="3"/>
        <v>140000</v>
      </c>
      <c r="O8451" s="65" t="str">
        <f>VLOOKUP(E8451,DATABASE!C:Q,8,false)</f>
        <v>IBU</v>
      </c>
      <c r="P8451" s="65">
        <f>VLOOKUP(E8451,DATABASE!C:Q,9,False)</f>
        <v>0</v>
      </c>
      <c r="Q8451" s="93" t="str">
        <f>VLOOKUP(E8451,DATABASE!C:Q,4,false)</f>
        <v>SPOORING</v>
      </c>
      <c r="R8451" s="93" t="str">
        <f>VLOOKUP(E8451,DATABASE!C:Q,11,false)</f>
        <v>SERVICE</v>
      </c>
    </row>
    <row r="8452" ht="22.5" customHeight="1">
      <c r="A8452" s="49"/>
      <c r="C8452" s="400">
        <v>46150.0</v>
      </c>
      <c r="D8452" s="524">
        <v>1302.0</v>
      </c>
      <c r="E8452" s="544" t="s">
        <v>301</v>
      </c>
      <c r="F8452" s="387">
        <v>1.0</v>
      </c>
      <c r="G8452" s="140">
        <v>250000.0</v>
      </c>
      <c r="H8452" s="74"/>
      <c r="I8452" s="74">
        <f t="shared" si="1"/>
        <v>250000</v>
      </c>
      <c r="J8452" s="74">
        <f>IF(E8452="SERVICE",I8452-(I8452*50%),Vlookup(E8452,DATABASE!C:Q,10,false)*F8452)</f>
        <v>75000</v>
      </c>
      <c r="K8452" s="74">
        <f>VLOOKUP(E8452,DATABASE!C:Q,7,false)</f>
        <v>75000</v>
      </c>
      <c r="L8452" s="74">
        <v>75000.0</v>
      </c>
      <c r="M8452" s="74">
        <f t="shared" si="6"/>
        <v>75000</v>
      </c>
      <c r="N8452" s="74">
        <f t="shared" si="3"/>
        <v>100000</v>
      </c>
      <c r="O8452" s="65" t="str">
        <f>VLOOKUP(E8452,DATABASE!C:Q,8,false)</f>
        <v>BIAN</v>
      </c>
      <c r="P8452" s="65">
        <f>VLOOKUP(E8452,DATABASE!C:Q,9,False)</f>
        <v>0</v>
      </c>
      <c r="Q8452" s="93" t="str">
        <f>VLOOKUP(E8452,DATABASE!C:Q,4,false)</f>
        <v>Baut Camber</v>
      </c>
      <c r="R8452" s="93" t="str">
        <f>VLOOKUP(E8452,DATABASE!C:Q,11,false)</f>
        <v>COMPLEMENTARY</v>
      </c>
    </row>
    <row r="8453" ht="22.5" customHeight="1">
      <c r="A8453" s="49"/>
      <c r="C8453" s="400">
        <v>46150.0</v>
      </c>
      <c r="D8453" s="524">
        <v>1302.0</v>
      </c>
      <c r="E8453" s="544" t="s">
        <v>299</v>
      </c>
      <c r="F8453" s="387">
        <v>2.0</v>
      </c>
      <c r="G8453" s="140">
        <v>30000.0</v>
      </c>
      <c r="H8453" s="74"/>
      <c r="I8453" s="74">
        <f t="shared" si="1"/>
        <v>60000</v>
      </c>
      <c r="J8453" s="74">
        <f>IF(E8453="SERVICE",I8453-(I8453*50%),Vlookup(E8453,DATABASE!C:Q,10,false)*F8453)</f>
        <v>0</v>
      </c>
      <c r="K8453" s="74">
        <f>VLOOKUP(E8453,DATABASE!C:Q,7,false)</f>
        <v>10000</v>
      </c>
      <c r="L8453" s="74">
        <v>10000.0</v>
      </c>
      <c r="M8453" s="74">
        <f t="shared" si="6"/>
        <v>10000</v>
      </c>
      <c r="N8453" s="74">
        <f t="shared" si="3"/>
        <v>40000</v>
      </c>
      <c r="O8453" s="65" t="str">
        <f>VLOOKUP(E8453,DATABASE!C:Q,8,false)</f>
        <v>BIAN</v>
      </c>
      <c r="P8453" s="65">
        <f>VLOOKUP(E8453,DATABASE!C:Q,9,False)</f>
        <v>0</v>
      </c>
      <c r="Q8453" s="93" t="str">
        <f>VLOOKUP(E8453,DATABASE!C:Q,4,false)</f>
        <v>Balancing</v>
      </c>
      <c r="R8453" s="93" t="str">
        <f>VLOOKUP(E8453,DATABASE!C:Q,11,false)</f>
        <v>COMPLEMENTARY</v>
      </c>
    </row>
    <row r="8454" ht="22.5" customHeight="1">
      <c r="A8454" s="49"/>
      <c r="C8454" s="400">
        <v>46150.0</v>
      </c>
      <c r="D8454" s="524">
        <v>1302.0</v>
      </c>
      <c r="E8454" s="544" t="s">
        <v>251</v>
      </c>
      <c r="F8454" s="387">
        <v>1.0</v>
      </c>
      <c r="G8454" s="140">
        <v>350000.0</v>
      </c>
      <c r="H8454" s="140">
        <v>200000.0</v>
      </c>
      <c r="I8454" s="74">
        <f t="shared" si="1"/>
        <v>150000</v>
      </c>
      <c r="J8454" s="74">
        <f>IF(E8454="SERVICE",I8454-(I8454*50%),Vlookup(E8454,DATABASE!C:Q,10,false)*F8454)</f>
        <v>75000</v>
      </c>
      <c r="K8454" s="74">
        <f>VLOOKUP(E8454,DATABASE!C:Q,7,false)</f>
        <v>0</v>
      </c>
      <c r="L8454" s="74">
        <v>0.0</v>
      </c>
      <c r="M8454" s="74">
        <f t="shared" si="6"/>
        <v>0</v>
      </c>
      <c r="N8454" s="74">
        <f t="shared" si="3"/>
        <v>75000</v>
      </c>
      <c r="O8454" s="65" t="str">
        <f>VLOOKUP(E8454,DATABASE!C:Q,8,false)</f>
        <v>IBU</v>
      </c>
      <c r="P8454" s="65">
        <f>VLOOKUP(E8454,DATABASE!C:Q,9,False)</f>
        <v>0</v>
      </c>
      <c r="Q8454" s="93" t="str">
        <f>VLOOKUP(E8454,DATABASE!C:Q,4,false)</f>
        <v>SERVICE</v>
      </c>
      <c r="R8454" s="93" t="str">
        <f>VLOOKUP(E8454,DATABASE!C:Q,11,false)</f>
        <v>SERVICE</v>
      </c>
    </row>
    <row r="8455" ht="22.5" customHeight="1">
      <c r="A8455" s="49"/>
      <c r="C8455" s="400">
        <v>46150.0</v>
      </c>
      <c r="D8455" s="524">
        <v>1303.0</v>
      </c>
      <c r="E8455" s="544" t="s">
        <v>932</v>
      </c>
      <c r="F8455" s="387">
        <v>2.0</v>
      </c>
      <c r="G8455" s="140">
        <v>690000.0</v>
      </c>
      <c r="H8455" s="74"/>
      <c r="I8455" s="74">
        <f t="shared" si="1"/>
        <v>1380000</v>
      </c>
      <c r="J8455" s="74">
        <f>IF(E8455="SERVICE",I8455-(I8455*50%),Vlookup(E8455,DATABASE!C:Q,10,false)*F8455)</f>
        <v>0</v>
      </c>
      <c r="K8455" s="74">
        <f>VLOOKUP(E8455,DATABASE!C:Q,7,false)</f>
        <v>601000</v>
      </c>
      <c r="L8455" s="74">
        <v>601000.0</v>
      </c>
      <c r="M8455" s="74">
        <f t="shared" si="6"/>
        <v>605000</v>
      </c>
      <c r="N8455" s="74">
        <f t="shared" si="3"/>
        <v>170000</v>
      </c>
      <c r="O8455" s="65" t="str">
        <f>VLOOKUP(E8455,DATABASE!C:Q,8,false)</f>
        <v>IBU</v>
      </c>
      <c r="P8455" s="65">
        <f>VLOOKUP(E8455,DATABASE!C:Q,9,False)</f>
        <v>1</v>
      </c>
      <c r="Q8455" s="93" t="str">
        <f>VLOOKUP(E8455,DATABASE!C:Q,4,false)</f>
        <v>Dunlop</v>
      </c>
      <c r="R8455" s="93" t="str">
        <f>VLOOKUP(E8455,DATABASE!C:Q,11,false)</f>
        <v>Tire</v>
      </c>
    </row>
    <row r="8456" ht="22.5" customHeight="1">
      <c r="A8456" s="49"/>
      <c r="C8456" s="400">
        <v>46151.0</v>
      </c>
      <c r="D8456" s="524">
        <v>1304.0</v>
      </c>
      <c r="E8456" s="544" t="s">
        <v>275</v>
      </c>
      <c r="F8456" s="387">
        <v>2.0</v>
      </c>
      <c r="G8456" s="140">
        <v>850000.0</v>
      </c>
      <c r="H8456" s="74"/>
      <c r="I8456" s="74">
        <f t="shared" si="1"/>
        <v>1700000</v>
      </c>
      <c r="J8456" s="74">
        <f>IF(E8456="SERVICE",I8456-(I8456*50%),Vlookup(E8456,DATABASE!C:Q,10,false)*F8456)</f>
        <v>0</v>
      </c>
      <c r="K8456" s="74">
        <f>VLOOKUP(E8456,DATABASE!C:Q,7,false)</f>
        <v>782000</v>
      </c>
      <c r="L8456" s="74">
        <v>759500.0</v>
      </c>
      <c r="M8456" s="74">
        <f t="shared" si="6"/>
        <v>760000</v>
      </c>
      <c r="N8456" s="74">
        <f t="shared" si="3"/>
        <v>180000</v>
      </c>
      <c r="O8456" s="65" t="str">
        <f>VLOOKUP(E8456,DATABASE!C:Q,8,false)</f>
        <v>IBU</v>
      </c>
      <c r="P8456" s="65">
        <f>VLOOKUP(E8456,DATABASE!C:Q,9,False)</f>
        <v>1</v>
      </c>
      <c r="Q8456" s="93" t="str">
        <f>VLOOKUP(E8456,DATABASE!C:Q,4,false)</f>
        <v>Dunlop</v>
      </c>
      <c r="R8456" s="93" t="str">
        <f>VLOOKUP(E8456,DATABASE!C:Q,11,false)</f>
        <v>Tire</v>
      </c>
    </row>
    <row r="8457" ht="22.5" customHeight="1">
      <c r="A8457" s="49"/>
      <c r="C8457" s="400">
        <v>46151.0</v>
      </c>
      <c r="D8457" s="524">
        <v>1305.0</v>
      </c>
      <c r="E8457" s="544" t="s">
        <v>897</v>
      </c>
      <c r="F8457" s="387">
        <v>1.0</v>
      </c>
      <c r="G8457" s="140">
        <v>1625000.0</v>
      </c>
      <c r="H8457" s="74"/>
      <c r="I8457" s="74">
        <f t="shared" si="1"/>
        <v>1625000</v>
      </c>
      <c r="J8457" s="74">
        <f>IF(E8457="SERVICE",I8457-(I8457*50%),Vlookup(E8457,DATABASE!C:Q,10,false)*F8457)</f>
        <v>0</v>
      </c>
      <c r="K8457" s="74">
        <f>VLOOKUP(E8457,DATABASE!C:Q,7,false)</f>
        <v>1560000</v>
      </c>
      <c r="L8457" s="74">
        <v>1525000.0</v>
      </c>
      <c r="M8457" s="74">
        <f t="shared" si="6"/>
        <v>1525000</v>
      </c>
      <c r="N8457" s="74">
        <f t="shared" si="3"/>
        <v>100000</v>
      </c>
      <c r="O8457" s="65" t="str">
        <f>VLOOKUP(E8457,DATABASE!C:Q,8,false)</f>
        <v>BIAN</v>
      </c>
      <c r="P8457" s="65">
        <f>VLOOKUP(E8457,DATABASE!C:Q,9,False)</f>
        <v>1</v>
      </c>
      <c r="Q8457" s="93" t="str">
        <f>VLOOKUP(E8457,DATABASE!C:Q,4,false)</f>
        <v>GT</v>
      </c>
      <c r="R8457" s="93" t="str">
        <f>VLOOKUP(E8457,DATABASE!C:Q,11,false)</f>
        <v>Tire</v>
      </c>
    </row>
    <row r="8458" ht="22.5" customHeight="1">
      <c r="A8458" s="49"/>
      <c r="C8458" s="400">
        <v>46151.0</v>
      </c>
      <c r="D8458" s="69">
        <v>1305.0</v>
      </c>
      <c r="E8458" s="544" t="s">
        <v>744</v>
      </c>
      <c r="F8458" s="387">
        <v>1.0</v>
      </c>
      <c r="G8458" s="140">
        <v>230000.0</v>
      </c>
      <c r="H8458" s="74"/>
      <c r="I8458" s="74">
        <f t="shared" si="1"/>
        <v>230000</v>
      </c>
      <c r="J8458" s="74">
        <f>IF(E8458="SERVICE",I8458-(I8458*50%),Vlookup(E8458,DATABASE!C:Q,10,false)*F8458)</f>
        <v>0</v>
      </c>
      <c r="K8458" s="74">
        <f>VLOOKUP(E8458,DATABASE!C:Q,7,false)</f>
        <v>182200</v>
      </c>
      <c r="L8458" s="74">
        <v>182200.0</v>
      </c>
      <c r="M8458" s="74">
        <f t="shared" si="6"/>
        <v>185000</v>
      </c>
      <c r="N8458" s="74">
        <f t="shared" si="3"/>
        <v>45000</v>
      </c>
      <c r="O8458" s="65" t="str">
        <f>VLOOKUP(E8458,DATABASE!C:Q,8,false)</f>
        <v>BIAN</v>
      </c>
      <c r="P8458" s="65">
        <f>VLOOKUP(E8458,DATABASE!C:Q,9,False)</f>
        <v>1</v>
      </c>
      <c r="Q8458" s="93" t="str">
        <f>VLOOKUP(E8458,DATABASE!C:Q,4,false)</f>
        <v>BD</v>
      </c>
      <c r="R8458" s="93" t="str">
        <f>VLOOKUP(E8458,DATABASE!C:Q,11,false)</f>
        <v>Tire</v>
      </c>
    </row>
    <row r="8459" ht="22.5" customHeight="1">
      <c r="A8459" s="49"/>
      <c r="C8459" s="400">
        <v>46151.0</v>
      </c>
      <c r="D8459" s="69">
        <v>1306.0</v>
      </c>
      <c r="E8459" s="544" t="s">
        <v>554</v>
      </c>
      <c r="F8459" s="387">
        <v>1.0</v>
      </c>
      <c r="G8459" s="140">
        <v>790000.0</v>
      </c>
      <c r="H8459" s="74"/>
      <c r="I8459" s="74">
        <f t="shared" si="1"/>
        <v>790000</v>
      </c>
      <c r="J8459" s="74">
        <f>IF(E8459="SERVICE",I8459-(I8459*50%),Vlookup(E8459,DATABASE!C:Q,10,false)*F8459)</f>
        <v>0</v>
      </c>
      <c r="K8459" s="74">
        <f>VLOOKUP(E8459,DATABASE!C:Q,7,false)</f>
        <v>710000</v>
      </c>
      <c r="L8459" s="74">
        <v>705000.0</v>
      </c>
      <c r="M8459" s="74">
        <f t="shared" si="6"/>
        <v>705000</v>
      </c>
      <c r="N8459" s="74">
        <f t="shared" si="3"/>
        <v>85000</v>
      </c>
      <c r="O8459" s="65" t="str">
        <f>VLOOKUP(E8459,DATABASE!C:Q,8,false)</f>
        <v>IBU</v>
      </c>
      <c r="P8459" s="65">
        <f>VLOOKUP(E8459,DATABASE!C:Q,9,False)</f>
        <v>1</v>
      </c>
      <c r="Q8459" s="93" t="str">
        <f>VLOOKUP(E8459,DATABASE!C:Q,4,false)</f>
        <v>Bridgestone</v>
      </c>
      <c r="R8459" s="93" t="str">
        <f>VLOOKUP(E8459,DATABASE!C:Q,11,false)</f>
        <v>Tire</v>
      </c>
    </row>
    <row r="8460" ht="22.5" customHeight="1">
      <c r="A8460" s="49"/>
      <c r="C8460" s="400">
        <v>46151.0</v>
      </c>
      <c r="D8460" s="69">
        <v>1307.0</v>
      </c>
      <c r="E8460" s="544" t="s">
        <v>262</v>
      </c>
      <c r="F8460" s="387">
        <v>1.0</v>
      </c>
      <c r="G8460" s="140">
        <v>130000.0</v>
      </c>
      <c r="H8460" s="74"/>
      <c r="I8460" s="74">
        <f t="shared" si="1"/>
        <v>130000</v>
      </c>
      <c r="J8460" s="74">
        <f>IF(E8460="SERVICE",I8460-(I8460*50%),Vlookup(E8460,DATABASE!C:Q,10,false)*F8460)</f>
        <v>5000</v>
      </c>
      <c r="K8460" s="74">
        <f>VLOOKUP(E8460,DATABASE!C:Q,7,false)</f>
        <v>0</v>
      </c>
      <c r="L8460" s="74">
        <v>0.0</v>
      </c>
      <c r="M8460" s="74">
        <f t="shared" si="6"/>
        <v>0</v>
      </c>
      <c r="N8460" s="74">
        <f t="shared" si="3"/>
        <v>125000</v>
      </c>
      <c r="O8460" s="65" t="str">
        <f>VLOOKUP(E8460,DATABASE!C:Q,8,false)</f>
        <v>IBU</v>
      </c>
      <c r="P8460" s="65">
        <f>VLOOKUP(E8460,DATABASE!C:Q,9,False)</f>
        <v>0</v>
      </c>
      <c r="Q8460" s="93" t="str">
        <f>VLOOKUP(E8460,DATABASE!C:Q,4,false)</f>
        <v>SPOORING SS/CARRY LOS BAK</v>
      </c>
      <c r="R8460" s="93" t="str">
        <f>VLOOKUP(E8460,DATABASE!C:Q,11,false)</f>
        <v>SERVICE</v>
      </c>
    </row>
    <row r="8461" ht="22.5" customHeight="1">
      <c r="A8461" s="49"/>
      <c r="C8461" s="400">
        <v>46151.0</v>
      </c>
      <c r="D8461" s="69">
        <v>1308.0</v>
      </c>
      <c r="E8461" s="544" t="s">
        <v>1912</v>
      </c>
      <c r="F8461" s="387">
        <v>1.0</v>
      </c>
      <c r="G8461" s="140">
        <v>720000.0</v>
      </c>
      <c r="H8461" s="74"/>
      <c r="I8461" s="74">
        <f t="shared" si="1"/>
        <v>720000</v>
      </c>
      <c r="J8461" s="74">
        <f>IF(E8461="SERVICE",I8461-(I8461*50%),Vlookup(E8461,DATABASE!C:Q,10,false)*F8461)</f>
        <v>0</v>
      </c>
      <c r="K8461" s="74">
        <f>VLOOKUP(E8461,DATABASE!C:Q,7,false)</f>
        <v>636300</v>
      </c>
      <c r="L8461" s="74">
        <v>636300.0</v>
      </c>
      <c r="M8461" s="74">
        <f t="shared" si="6"/>
        <v>640000</v>
      </c>
      <c r="N8461" s="74">
        <f t="shared" si="3"/>
        <v>80000</v>
      </c>
      <c r="O8461" s="65" t="str">
        <f>VLOOKUP(E8461,DATABASE!C:Q,8,false)</f>
        <v>BIAN</v>
      </c>
      <c r="P8461" s="65">
        <f>VLOOKUP(E8461,DATABASE!C:Q,9,False)</f>
        <v>1</v>
      </c>
      <c r="Q8461" s="93" t="str">
        <f>VLOOKUP(E8461,DATABASE!C:Q,4,false)</f>
        <v>GT</v>
      </c>
      <c r="R8461" s="93" t="str">
        <f>VLOOKUP(E8461,DATABASE!C:Q,11,false)</f>
        <v>Tire</v>
      </c>
    </row>
    <row r="8462" ht="22.5" customHeight="1">
      <c r="A8462" s="49"/>
      <c r="C8462" s="400">
        <v>46151.0</v>
      </c>
      <c r="D8462" s="69">
        <v>1309.0</v>
      </c>
      <c r="E8462" s="544" t="s">
        <v>897</v>
      </c>
      <c r="F8462" s="387">
        <v>2.0</v>
      </c>
      <c r="G8462" s="140">
        <v>1625000.0</v>
      </c>
      <c r="H8462" s="74"/>
      <c r="I8462" s="74">
        <f t="shared" si="1"/>
        <v>3250000</v>
      </c>
      <c r="J8462" s="74">
        <f>IF(E8462="SERVICE",I8462-(I8462*50%),Vlookup(E8462,DATABASE!C:Q,10,false)*F8462)</f>
        <v>0</v>
      </c>
      <c r="K8462" s="74">
        <f>VLOOKUP(E8462,DATABASE!C:Q,7,false)</f>
        <v>1560000</v>
      </c>
      <c r="L8462" s="74">
        <v>1525000.0</v>
      </c>
      <c r="M8462" s="74">
        <f t="shared" si="6"/>
        <v>1525000</v>
      </c>
      <c r="N8462" s="74">
        <f t="shared" si="3"/>
        <v>200000</v>
      </c>
      <c r="O8462" s="65" t="str">
        <f>VLOOKUP(E8462,DATABASE!C:Q,8,false)</f>
        <v>BIAN</v>
      </c>
      <c r="P8462" s="65">
        <f>VLOOKUP(E8462,DATABASE!C:Q,9,False)</f>
        <v>1</v>
      </c>
      <c r="Q8462" s="93" t="str">
        <f>VLOOKUP(E8462,DATABASE!C:Q,4,false)</f>
        <v>GT</v>
      </c>
      <c r="R8462" s="93" t="str">
        <f>VLOOKUP(E8462,DATABASE!C:Q,11,false)</f>
        <v>Tire</v>
      </c>
    </row>
    <row r="8463" ht="22.5" customHeight="1">
      <c r="A8463" s="49"/>
      <c r="C8463" s="400">
        <v>46151.0</v>
      </c>
      <c r="D8463" s="69">
        <v>1309.0</v>
      </c>
      <c r="E8463" s="544" t="s">
        <v>821</v>
      </c>
      <c r="F8463" s="387">
        <v>1.0</v>
      </c>
      <c r="G8463" s="140">
        <v>90000.0</v>
      </c>
      <c r="H8463" s="74"/>
      <c r="I8463" s="74">
        <f t="shared" si="1"/>
        <v>90000</v>
      </c>
      <c r="J8463" s="74">
        <f>IF(E8463="SERVICE",I8463-(I8463*50%),Vlookup(E8463,DATABASE!C:Q,10,false)*F8463)</f>
        <v>0</v>
      </c>
      <c r="K8463" s="74">
        <f>VLOOKUP(E8463,DATABASE!C:Q,7,false)</f>
        <v>43500</v>
      </c>
      <c r="L8463" s="74">
        <v>43500.0</v>
      </c>
      <c r="M8463" s="74">
        <f t="shared" si="6"/>
        <v>45000</v>
      </c>
      <c r="N8463" s="74">
        <f t="shared" si="3"/>
        <v>45000</v>
      </c>
      <c r="O8463" s="65" t="str">
        <f>VLOOKUP(E8463,DATABASE!C:Q,8,false)</f>
        <v>BIAN</v>
      </c>
      <c r="P8463" s="65">
        <f>VLOOKUP(E8463,DATABASE!C:Q,9,False)</f>
        <v>1</v>
      </c>
      <c r="Q8463" s="93" t="str">
        <f>VLOOKUP(E8463,DATABASE!C:Q,4,false)</f>
        <v>Flap</v>
      </c>
      <c r="R8463" s="93" t="str">
        <f>VLOOKUP(E8463,DATABASE!C:Q,11,false)</f>
        <v>Tire</v>
      </c>
    </row>
    <row r="8464" ht="22.5" customHeight="1">
      <c r="A8464" s="49"/>
      <c r="C8464" s="400">
        <v>46151.0</v>
      </c>
      <c r="D8464" s="69">
        <v>1310.0</v>
      </c>
      <c r="E8464" s="544" t="s">
        <v>262</v>
      </c>
      <c r="F8464" s="387">
        <v>1.0</v>
      </c>
      <c r="G8464" s="140">
        <v>130000.0</v>
      </c>
      <c r="H8464" s="74"/>
      <c r="I8464" s="74">
        <f t="shared" si="1"/>
        <v>130000</v>
      </c>
      <c r="J8464" s="74">
        <f>IF(E8464="SERVICE",I8464-(I8464*50%),Vlookup(E8464,DATABASE!C:Q,10,false)*F8464)</f>
        <v>5000</v>
      </c>
      <c r="K8464" s="74">
        <f>VLOOKUP(E8464,DATABASE!C:Q,7,false)</f>
        <v>0</v>
      </c>
      <c r="L8464" s="74">
        <v>0.0</v>
      </c>
      <c r="M8464" s="74">
        <f t="shared" si="6"/>
        <v>0</v>
      </c>
      <c r="N8464" s="74">
        <f t="shared" si="3"/>
        <v>125000</v>
      </c>
      <c r="O8464" s="65" t="str">
        <f>VLOOKUP(E8464,DATABASE!C:Q,8,false)</f>
        <v>IBU</v>
      </c>
      <c r="P8464" s="65">
        <f>VLOOKUP(E8464,DATABASE!C:Q,9,False)</f>
        <v>0</v>
      </c>
      <c r="Q8464" s="93" t="str">
        <f>VLOOKUP(E8464,DATABASE!C:Q,4,false)</f>
        <v>SPOORING SS/CARRY LOS BAK</v>
      </c>
      <c r="R8464" s="93" t="str">
        <f>VLOOKUP(E8464,DATABASE!C:Q,11,false)</f>
        <v>SERVICE</v>
      </c>
    </row>
    <row r="8465" ht="22.5" customHeight="1">
      <c r="A8465" s="49"/>
      <c r="C8465" s="400">
        <v>46151.0</v>
      </c>
      <c r="D8465" s="524">
        <v>1311.0</v>
      </c>
      <c r="E8465" s="544" t="s">
        <v>897</v>
      </c>
      <c r="F8465" s="387">
        <v>2.0</v>
      </c>
      <c r="G8465" s="140">
        <v>1625000.0</v>
      </c>
      <c r="H8465" s="74"/>
      <c r="I8465" s="74">
        <f t="shared" si="1"/>
        <v>3250000</v>
      </c>
      <c r="J8465" s="74">
        <f>IF(E8465="SERVICE",I8465-(I8465*50%),Vlookup(E8465,DATABASE!C:Q,10,false)*F8465)</f>
        <v>0</v>
      </c>
      <c r="K8465" s="74">
        <f>VLOOKUP(E8465,DATABASE!C:Q,7,false)</f>
        <v>1560000</v>
      </c>
      <c r="L8465" s="74">
        <v>1525000.0</v>
      </c>
      <c r="M8465" s="74">
        <f t="shared" si="6"/>
        <v>1525000</v>
      </c>
      <c r="N8465" s="74">
        <f t="shared" si="3"/>
        <v>200000</v>
      </c>
      <c r="O8465" s="65" t="str">
        <f>VLOOKUP(E8465,DATABASE!C:Q,8,false)</f>
        <v>BIAN</v>
      </c>
      <c r="P8465" s="65">
        <f>VLOOKUP(E8465,DATABASE!C:Q,9,False)</f>
        <v>1</v>
      </c>
      <c r="Q8465" s="93" t="str">
        <f>VLOOKUP(E8465,DATABASE!C:Q,4,false)</f>
        <v>GT</v>
      </c>
      <c r="R8465" s="93" t="str">
        <f>VLOOKUP(E8465,DATABASE!C:Q,11,false)</f>
        <v>Tire</v>
      </c>
    </row>
    <row r="8466" ht="22.5" customHeight="1">
      <c r="A8466" s="49"/>
      <c r="C8466" s="400">
        <v>46151.0</v>
      </c>
      <c r="D8466" s="524">
        <v>1311.0</v>
      </c>
      <c r="E8466" s="544" t="s">
        <v>744</v>
      </c>
      <c r="F8466" s="387">
        <v>2.0</v>
      </c>
      <c r="G8466" s="140">
        <v>230000.0</v>
      </c>
      <c r="H8466" s="74"/>
      <c r="I8466" s="74">
        <f t="shared" si="1"/>
        <v>460000</v>
      </c>
      <c r="J8466" s="74">
        <f>IF(E8466="SERVICE",I8466-(I8466*50%),Vlookup(E8466,DATABASE!C:Q,10,false)*F8466)</f>
        <v>0</v>
      </c>
      <c r="K8466" s="74">
        <f>VLOOKUP(E8466,DATABASE!C:Q,7,false)</f>
        <v>182200</v>
      </c>
      <c r="L8466" s="74">
        <v>182200.0</v>
      </c>
      <c r="M8466" s="74">
        <f t="shared" si="6"/>
        <v>185000</v>
      </c>
      <c r="N8466" s="74">
        <f t="shared" si="3"/>
        <v>90000</v>
      </c>
      <c r="O8466" s="65" t="str">
        <f>VLOOKUP(E8466,DATABASE!C:Q,8,false)</f>
        <v>BIAN</v>
      </c>
      <c r="P8466" s="65">
        <f>VLOOKUP(E8466,DATABASE!C:Q,9,False)</f>
        <v>1</v>
      </c>
      <c r="Q8466" s="93" t="str">
        <f>VLOOKUP(E8466,DATABASE!C:Q,4,false)</f>
        <v>BD</v>
      </c>
      <c r="R8466" s="93" t="str">
        <f>VLOOKUP(E8466,DATABASE!C:Q,11,false)</f>
        <v>Tire</v>
      </c>
    </row>
    <row r="8467" ht="22.5" customHeight="1">
      <c r="A8467" s="49"/>
      <c r="C8467" s="400">
        <v>46151.0</v>
      </c>
      <c r="D8467" s="524">
        <v>1311.0</v>
      </c>
      <c r="E8467" s="544" t="s">
        <v>821</v>
      </c>
      <c r="F8467" s="387">
        <v>2.0</v>
      </c>
      <c r="G8467" s="140">
        <v>90000.0</v>
      </c>
      <c r="H8467" s="74"/>
      <c r="I8467" s="74">
        <f t="shared" si="1"/>
        <v>180000</v>
      </c>
      <c r="J8467" s="74">
        <f>IF(E8467="SERVICE",I8467-(I8467*50%),Vlookup(E8467,DATABASE!C:Q,10,false)*F8467)</f>
        <v>0</v>
      </c>
      <c r="K8467" s="74">
        <f>VLOOKUP(E8467,DATABASE!C:Q,7,false)</f>
        <v>43500</v>
      </c>
      <c r="L8467" s="74">
        <v>43500.0</v>
      </c>
      <c r="M8467" s="74">
        <f t="shared" si="6"/>
        <v>45000</v>
      </c>
      <c r="N8467" s="74">
        <f t="shared" si="3"/>
        <v>90000</v>
      </c>
      <c r="O8467" s="65" t="str">
        <f>VLOOKUP(E8467,DATABASE!C:Q,8,false)</f>
        <v>BIAN</v>
      </c>
      <c r="P8467" s="65">
        <f>VLOOKUP(E8467,DATABASE!C:Q,9,False)</f>
        <v>1</v>
      </c>
      <c r="Q8467" s="93" t="str">
        <f>VLOOKUP(E8467,DATABASE!C:Q,4,false)</f>
        <v>Flap</v>
      </c>
      <c r="R8467" s="93" t="str">
        <f>VLOOKUP(E8467,DATABASE!C:Q,11,false)</f>
        <v>Tire</v>
      </c>
    </row>
    <row r="8468" ht="22.5" customHeight="1">
      <c r="A8468" s="49"/>
      <c r="C8468" s="400">
        <v>46151.0</v>
      </c>
      <c r="D8468" s="524">
        <v>1312.0</v>
      </c>
      <c r="E8468" s="544" t="s">
        <v>256</v>
      </c>
      <c r="F8468" s="387">
        <v>1.0</v>
      </c>
      <c r="G8468" s="140">
        <v>175000.0</v>
      </c>
      <c r="H8468" s="140">
        <v>25000.0</v>
      </c>
      <c r="I8468" s="74">
        <f t="shared" si="1"/>
        <v>150000</v>
      </c>
      <c r="J8468" s="74">
        <f>IF(E8468="SERVICE",I8468-(I8468*50%),Vlookup(E8468,DATABASE!C:Q,10,false)*F8468)</f>
        <v>10000</v>
      </c>
      <c r="K8468" s="74">
        <f>VLOOKUP(E8468,DATABASE!C:Q,7,false)</f>
        <v>0</v>
      </c>
      <c r="L8468" s="74">
        <v>0.0</v>
      </c>
      <c r="M8468" s="74">
        <f t="shared" si="6"/>
        <v>0</v>
      </c>
      <c r="N8468" s="74">
        <f t="shared" si="3"/>
        <v>140000</v>
      </c>
      <c r="O8468" s="65" t="str">
        <f>VLOOKUP(E8468,DATABASE!C:Q,8,false)</f>
        <v>IBU</v>
      </c>
      <c r="P8468" s="65">
        <f>VLOOKUP(E8468,DATABASE!C:Q,9,False)</f>
        <v>0</v>
      </c>
      <c r="Q8468" s="93" t="str">
        <f>VLOOKUP(E8468,DATABASE!C:Q,4,false)</f>
        <v>SPOORING</v>
      </c>
      <c r="R8468" s="93" t="str">
        <f>VLOOKUP(E8468,DATABASE!C:Q,11,false)</f>
        <v>SERVICE</v>
      </c>
    </row>
    <row r="8469" ht="22.5" customHeight="1">
      <c r="A8469" s="49"/>
      <c r="C8469" s="400">
        <v>46151.0</v>
      </c>
      <c r="D8469" s="524">
        <v>1312.0</v>
      </c>
      <c r="E8469" s="544" t="s">
        <v>251</v>
      </c>
      <c r="F8469" s="387">
        <v>1.0</v>
      </c>
      <c r="G8469" s="140">
        <v>350000.0</v>
      </c>
      <c r="H8469" s="140">
        <v>200000.0</v>
      </c>
      <c r="I8469" s="74">
        <f t="shared" si="1"/>
        <v>150000</v>
      </c>
      <c r="J8469" s="74">
        <f>IF(E8469="SERVICE",I8469-(I8469*50%),Vlookup(E8469,DATABASE!C:Q,10,false)*F8469)</f>
        <v>75000</v>
      </c>
      <c r="K8469" s="74">
        <f>VLOOKUP(E8469,DATABASE!C:Q,7,false)</f>
        <v>0</v>
      </c>
      <c r="L8469" s="74">
        <v>0.0</v>
      </c>
      <c r="M8469" s="74">
        <f t="shared" si="6"/>
        <v>0</v>
      </c>
      <c r="N8469" s="74">
        <f t="shared" si="3"/>
        <v>75000</v>
      </c>
      <c r="O8469" s="65" t="str">
        <f>VLOOKUP(E8469,DATABASE!C:Q,8,false)</f>
        <v>IBU</v>
      </c>
      <c r="P8469" s="65">
        <f>VLOOKUP(E8469,DATABASE!C:Q,9,False)</f>
        <v>0</v>
      </c>
      <c r="Q8469" s="93" t="str">
        <f>VLOOKUP(E8469,DATABASE!C:Q,4,false)</f>
        <v>SERVICE</v>
      </c>
      <c r="R8469" s="93" t="str">
        <f>VLOOKUP(E8469,DATABASE!C:Q,11,false)</f>
        <v>SERVICE</v>
      </c>
    </row>
    <row r="8470" ht="22.5" customHeight="1">
      <c r="A8470" s="49"/>
      <c r="C8470" s="400">
        <v>46151.0</v>
      </c>
      <c r="D8470" s="524">
        <v>1313.0</v>
      </c>
      <c r="E8470" s="544" t="s">
        <v>1597</v>
      </c>
      <c r="F8470" s="387">
        <v>1.0</v>
      </c>
      <c r="G8470" s="140">
        <v>650000.0</v>
      </c>
      <c r="H8470" s="74"/>
      <c r="I8470" s="74">
        <f t="shared" si="1"/>
        <v>650000</v>
      </c>
      <c r="J8470" s="74">
        <f>IF(E8470="SERVICE",I8470-(I8470*50%),Vlookup(E8470,DATABASE!C:Q,10,false)*F8470)</f>
        <v>0</v>
      </c>
      <c r="K8470" s="74">
        <f>VLOOKUP(E8470,DATABASE!C:Q,7,false)</f>
        <v>560700</v>
      </c>
      <c r="L8470" s="74">
        <v>560700.0</v>
      </c>
      <c r="M8470" s="74">
        <f t="shared" si="6"/>
        <v>565000</v>
      </c>
      <c r="N8470" s="74">
        <f t="shared" si="3"/>
        <v>85000</v>
      </c>
      <c r="O8470" s="65" t="str">
        <f>VLOOKUP(E8470,DATABASE!C:Q,8,false)</f>
        <v>BIAN</v>
      </c>
      <c r="P8470" s="65">
        <f>VLOOKUP(E8470,DATABASE!C:Q,9,False)</f>
        <v>1</v>
      </c>
      <c r="Q8470" s="93" t="str">
        <f>VLOOKUP(E8470,DATABASE!C:Q,4,false)</f>
        <v>GT</v>
      </c>
      <c r="R8470" s="93" t="str">
        <f>VLOOKUP(E8470,DATABASE!C:Q,11,false)</f>
        <v>Tire</v>
      </c>
    </row>
    <row r="8471" ht="22.5" customHeight="1">
      <c r="A8471" s="49"/>
      <c r="C8471" s="400">
        <v>46151.0</v>
      </c>
      <c r="D8471" s="524">
        <v>1314.0</v>
      </c>
      <c r="E8471" s="544" t="s">
        <v>287</v>
      </c>
      <c r="F8471" s="387">
        <v>2.0</v>
      </c>
      <c r="G8471" s="140">
        <v>800000.0</v>
      </c>
      <c r="H8471" s="74"/>
      <c r="I8471" s="74">
        <f t="shared" si="1"/>
        <v>1600000</v>
      </c>
      <c r="J8471" s="74">
        <f>IF(E8471="SERVICE",I8471-(I8471*50%),Vlookup(E8471,DATABASE!C:Q,10,false)*F8471)</f>
        <v>0</v>
      </c>
      <c r="K8471" s="74">
        <f>VLOOKUP(E8471,DATABASE!C:Q,7,false)</f>
        <v>711000</v>
      </c>
      <c r="L8471" s="74">
        <v>711000.0</v>
      </c>
      <c r="M8471" s="74">
        <f t="shared" si="6"/>
        <v>715000</v>
      </c>
      <c r="N8471" s="74">
        <f t="shared" si="3"/>
        <v>170000</v>
      </c>
      <c r="O8471" s="65" t="str">
        <f>VLOOKUP(E8471,DATABASE!C:Q,8,false)</f>
        <v>BIAN</v>
      </c>
      <c r="P8471" s="65">
        <f>VLOOKUP(E8471,DATABASE!C:Q,9,False)</f>
        <v>1</v>
      </c>
      <c r="Q8471" s="93" t="str">
        <f>VLOOKUP(E8471,DATABASE!C:Q,4,false)</f>
        <v>GT</v>
      </c>
      <c r="R8471" s="93" t="str">
        <f>VLOOKUP(E8471,DATABASE!C:Q,11,false)</f>
        <v>Tire</v>
      </c>
    </row>
    <row r="8472" ht="22.5" customHeight="1">
      <c r="A8472" s="49"/>
      <c r="C8472" s="400">
        <v>46151.0</v>
      </c>
      <c r="D8472" s="524">
        <v>1315.0</v>
      </c>
      <c r="E8472" s="544" t="s">
        <v>256</v>
      </c>
      <c r="F8472" s="387">
        <v>1.0</v>
      </c>
      <c r="G8472" s="140">
        <v>175000.0</v>
      </c>
      <c r="H8472" s="140">
        <v>25000.0</v>
      </c>
      <c r="I8472" s="74">
        <f t="shared" si="1"/>
        <v>150000</v>
      </c>
      <c r="J8472" s="74">
        <f>IF(E8472="SERVICE",I8472-(I8472*50%),Vlookup(E8472,DATABASE!C:Q,10,false)*F8472)</f>
        <v>10000</v>
      </c>
      <c r="K8472" s="74">
        <f>VLOOKUP(E8472,DATABASE!C:Q,7,false)</f>
        <v>0</v>
      </c>
      <c r="L8472" s="74">
        <v>0.0</v>
      </c>
      <c r="M8472" s="74">
        <f t="shared" si="6"/>
        <v>0</v>
      </c>
      <c r="N8472" s="74">
        <f t="shared" si="3"/>
        <v>140000</v>
      </c>
      <c r="O8472" s="65" t="str">
        <f>VLOOKUP(E8472,DATABASE!C:Q,8,false)</f>
        <v>IBU</v>
      </c>
      <c r="P8472" s="65">
        <f>VLOOKUP(E8472,DATABASE!C:Q,9,False)</f>
        <v>0</v>
      </c>
      <c r="Q8472" s="93" t="str">
        <f>VLOOKUP(E8472,DATABASE!C:Q,4,false)</f>
        <v>SPOORING</v>
      </c>
      <c r="R8472" s="93" t="str">
        <f>VLOOKUP(E8472,DATABASE!C:Q,11,false)</f>
        <v>SERVICE</v>
      </c>
    </row>
    <row r="8473" ht="22.5" customHeight="1">
      <c r="A8473" s="49"/>
      <c r="C8473" s="400">
        <v>46151.0</v>
      </c>
      <c r="D8473" s="524">
        <v>1315.0</v>
      </c>
      <c r="E8473" s="544" t="s">
        <v>301</v>
      </c>
      <c r="F8473" s="387">
        <v>1.0</v>
      </c>
      <c r="G8473" s="140">
        <v>250000.0</v>
      </c>
      <c r="H8473" s="74"/>
      <c r="I8473" s="74">
        <f t="shared" si="1"/>
        <v>250000</v>
      </c>
      <c r="J8473" s="74">
        <f>IF(E8473="SERVICE",I8473-(I8473*50%),Vlookup(E8473,DATABASE!C:Q,10,false)*F8473)</f>
        <v>75000</v>
      </c>
      <c r="K8473" s="74">
        <f>VLOOKUP(E8473,DATABASE!C:Q,7,false)</f>
        <v>75000</v>
      </c>
      <c r="L8473" s="74">
        <v>75000.0</v>
      </c>
      <c r="M8473" s="74">
        <f t="shared" si="6"/>
        <v>75000</v>
      </c>
      <c r="N8473" s="74">
        <f t="shared" si="3"/>
        <v>100000</v>
      </c>
      <c r="O8473" s="65" t="str">
        <f>VLOOKUP(E8473,DATABASE!C:Q,8,false)</f>
        <v>BIAN</v>
      </c>
      <c r="P8473" s="65">
        <f>VLOOKUP(E8473,DATABASE!C:Q,9,False)</f>
        <v>0</v>
      </c>
      <c r="Q8473" s="93" t="str">
        <f>VLOOKUP(E8473,DATABASE!C:Q,4,false)</f>
        <v>Baut Camber</v>
      </c>
      <c r="R8473" s="93" t="str">
        <f>VLOOKUP(E8473,DATABASE!C:Q,11,false)</f>
        <v>COMPLEMENTARY</v>
      </c>
    </row>
    <row r="8474" ht="22.5" customHeight="1">
      <c r="A8474" s="49"/>
      <c r="C8474" s="400">
        <v>46151.0</v>
      </c>
      <c r="D8474" s="524">
        <v>1315.0</v>
      </c>
      <c r="E8474" s="544" t="s">
        <v>299</v>
      </c>
      <c r="F8474" s="387">
        <v>2.0</v>
      </c>
      <c r="G8474" s="140">
        <v>30000.0</v>
      </c>
      <c r="H8474" s="74"/>
      <c r="I8474" s="74">
        <f t="shared" si="1"/>
        <v>60000</v>
      </c>
      <c r="J8474" s="74">
        <f>IF(E8474="SERVICE",I8474-(I8474*50%),Vlookup(E8474,DATABASE!C:Q,10,false)*F8474)</f>
        <v>0</v>
      </c>
      <c r="K8474" s="74">
        <f>VLOOKUP(E8474,DATABASE!C:Q,7,false)</f>
        <v>10000</v>
      </c>
      <c r="L8474" s="74">
        <v>10000.0</v>
      </c>
      <c r="M8474" s="74">
        <f t="shared" si="6"/>
        <v>10000</v>
      </c>
      <c r="N8474" s="74">
        <f t="shared" si="3"/>
        <v>40000</v>
      </c>
      <c r="O8474" s="65" t="str">
        <f>VLOOKUP(E8474,DATABASE!C:Q,8,false)</f>
        <v>BIAN</v>
      </c>
      <c r="P8474" s="65">
        <f>VLOOKUP(E8474,DATABASE!C:Q,9,False)</f>
        <v>0</v>
      </c>
      <c r="Q8474" s="93" t="str">
        <f>VLOOKUP(E8474,DATABASE!C:Q,4,false)</f>
        <v>Balancing</v>
      </c>
      <c r="R8474" s="93" t="str">
        <f>VLOOKUP(E8474,DATABASE!C:Q,11,false)</f>
        <v>COMPLEMENTARY</v>
      </c>
    </row>
    <row r="8475" ht="22.5" customHeight="1">
      <c r="A8475" s="49"/>
      <c r="C8475" s="400">
        <v>46151.0</v>
      </c>
      <c r="D8475" s="524">
        <v>1316.0</v>
      </c>
      <c r="E8475" s="544" t="s">
        <v>246</v>
      </c>
      <c r="F8475" s="387">
        <v>2.0</v>
      </c>
      <c r="G8475" s="140">
        <v>35000.0</v>
      </c>
      <c r="H8475" s="140">
        <v>10000.0</v>
      </c>
      <c r="I8475" s="74">
        <f t="shared" si="1"/>
        <v>50000</v>
      </c>
      <c r="J8475" s="74">
        <f>IF(E8475="SERVICE",I8475-(I8475*50%),Vlookup(E8475,DATABASE!C:Q,10,false)*F8475)</f>
        <v>0</v>
      </c>
      <c r="K8475" s="74">
        <f>VLOOKUP(E8475,DATABASE!C:Q,7,false)</f>
        <v>0</v>
      </c>
      <c r="L8475" s="74">
        <v>0.0</v>
      </c>
      <c r="M8475" s="74">
        <f t="shared" si="6"/>
        <v>0</v>
      </c>
      <c r="N8475" s="74">
        <f t="shared" si="3"/>
        <v>50000</v>
      </c>
      <c r="O8475" s="65" t="str">
        <f>VLOOKUP(E8475,DATABASE!C:Q,8,false)</f>
        <v>IBU</v>
      </c>
      <c r="P8475" s="65">
        <f>VLOOKUP(E8475,DATABASE!C:Q,9,False)</f>
        <v>0</v>
      </c>
      <c r="Q8475" s="93" t="str">
        <f>VLOOKUP(E8475,DATABASE!C:Q,4,false)</f>
        <v>Bongkar Pasang</v>
      </c>
      <c r="R8475" s="93" t="str">
        <f>VLOOKUP(E8475,DATABASE!C:Q,11,false)</f>
        <v>SERVICE</v>
      </c>
    </row>
    <row r="8476" ht="22.5" customHeight="1">
      <c r="A8476" s="49"/>
      <c r="C8476" s="400">
        <v>46151.0</v>
      </c>
      <c r="D8476" s="524">
        <v>1316.0</v>
      </c>
      <c r="E8476" s="544" t="s">
        <v>299</v>
      </c>
      <c r="F8476" s="387">
        <v>2.0</v>
      </c>
      <c r="G8476" s="140">
        <v>30000.0</v>
      </c>
      <c r="H8476" s="74"/>
      <c r="I8476" s="74">
        <f t="shared" si="1"/>
        <v>60000</v>
      </c>
      <c r="J8476" s="74">
        <f>IF(E8476="SERVICE",I8476-(I8476*50%),Vlookup(E8476,DATABASE!C:Q,10,false)*F8476)</f>
        <v>0</v>
      </c>
      <c r="K8476" s="74">
        <f>VLOOKUP(E8476,DATABASE!C:Q,7,false)</f>
        <v>10000</v>
      </c>
      <c r="L8476" s="74">
        <v>10000.0</v>
      </c>
      <c r="M8476" s="74">
        <f t="shared" si="6"/>
        <v>10000</v>
      </c>
      <c r="N8476" s="74">
        <f t="shared" si="3"/>
        <v>40000</v>
      </c>
      <c r="O8476" s="65" t="str">
        <f>VLOOKUP(E8476,DATABASE!C:Q,8,false)</f>
        <v>BIAN</v>
      </c>
      <c r="P8476" s="65">
        <f>VLOOKUP(E8476,DATABASE!C:Q,9,False)</f>
        <v>0</v>
      </c>
      <c r="Q8476" s="93" t="str">
        <f>VLOOKUP(E8476,DATABASE!C:Q,4,false)</f>
        <v>Balancing</v>
      </c>
      <c r="R8476" s="93" t="str">
        <f>VLOOKUP(E8476,DATABASE!C:Q,11,false)</f>
        <v>COMPLEMENTARY</v>
      </c>
    </row>
    <row r="8477" ht="22.5" customHeight="1">
      <c r="A8477" s="49"/>
      <c r="C8477" s="400">
        <v>46151.0</v>
      </c>
      <c r="D8477" s="524">
        <v>1317.0</v>
      </c>
      <c r="E8477" s="544" t="s">
        <v>265</v>
      </c>
      <c r="F8477" s="387">
        <v>1.0</v>
      </c>
      <c r="G8477" s="140">
        <v>700000.0</v>
      </c>
      <c r="H8477" s="74"/>
      <c r="I8477" s="74">
        <f t="shared" si="1"/>
        <v>700000</v>
      </c>
      <c r="J8477" s="74">
        <f>IF(E8477="SERVICE",I8477-(I8477*50%),Vlookup(E8477,DATABASE!C:Q,10,false)*F8477)</f>
        <v>0</v>
      </c>
      <c r="K8477" s="74">
        <f>VLOOKUP(E8477,DATABASE!C:Q,7,false)</f>
        <v>628000</v>
      </c>
      <c r="L8477" s="74">
        <v>610000.0</v>
      </c>
      <c r="M8477" s="74">
        <f t="shared" si="6"/>
        <v>610000</v>
      </c>
      <c r="N8477" s="74">
        <f t="shared" si="3"/>
        <v>90000</v>
      </c>
      <c r="O8477" s="65" t="str">
        <f>VLOOKUP(E8477,DATABASE!C:Q,8,false)</f>
        <v>IBU</v>
      </c>
      <c r="P8477" s="65">
        <f>VLOOKUP(E8477,DATABASE!C:Q,9,False)</f>
        <v>1</v>
      </c>
      <c r="Q8477" s="93" t="str">
        <f>VLOOKUP(E8477,DATABASE!C:Q,4,false)</f>
        <v>Dunlop</v>
      </c>
      <c r="R8477" s="93" t="str">
        <f>VLOOKUP(E8477,DATABASE!C:Q,11,false)</f>
        <v>Tire</v>
      </c>
    </row>
    <row r="8478" ht="22.5" customHeight="1">
      <c r="A8478" s="49"/>
      <c r="C8478" s="400">
        <v>46151.0</v>
      </c>
      <c r="D8478" s="69">
        <v>1318.0</v>
      </c>
      <c r="E8478" s="544" t="s">
        <v>256</v>
      </c>
      <c r="F8478" s="387">
        <v>1.0</v>
      </c>
      <c r="G8478" s="140">
        <v>175000.0</v>
      </c>
      <c r="H8478" s="140">
        <v>25000.0</v>
      </c>
      <c r="I8478" s="74">
        <f t="shared" si="1"/>
        <v>150000</v>
      </c>
      <c r="J8478" s="74">
        <f>IF(E8478="SERVICE",I8478-(I8478*50%),Vlookup(E8478,DATABASE!C:Q,10,false)*F8478)</f>
        <v>10000</v>
      </c>
      <c r="K8478" s="74">
        <f>VLOOKUP(E8478,DATABASE!C:Q,7,false)</f>
        <v>0</v>
      </c>
      <c r="L8478" s="74">
        <v>0.0</v>
      </c>
      <c r="M8478" s="74">
        <f t="shared" si="6"/>
        <v>0</v>
      </c>
      <c r="N8478" s="74">
        <f t="shared" si="3"/>
        <v>140000</v>
      </c>
      <c r="O8478" s="65" t="str">
        <f>VLOOKUP(E8478,DATABASE!C:Q,8,false)</f>
        <v>IBU</v>
      </c>
      <c r="P8478" s="65">
        <f>VLOOKUP(E8478,DATABASE!C:Q,9,False)</f>
        <v>0</v>
      </c>
      <c r="Q8478" s="93" t="str">
        <f>VLOOKUP(E8478,DATABASE!C:Q,4,false)</f>
        <v>SPOORING</v>
      </c>
      <c r="R8478" s="93" t="str">
        <f>VLOOKUP(E8478,DATABASE!C:Q,11,false)</f>
        <v>SERVICE</v>
      </c>
    </row>
    <row r="8479" ht="22.5" customHeight="1">
      <c r="A8479" s="49"/>
      <c r="C8479" s="400">
        <v>46151.0</v>
      </c>
      <c r="D8479" s="69">
        <v>1318.0</v>
      </c>
      <c r="E8479" s="544" t="s">
        <v>301</v>
      </c>
      <c r="F8479" s="387">
        <v>1.0</v>
      </c>
      <c r="G8479" s="140">
        <v>250000.0</v>
      </c>
      <c r="H8479" s="74"/>
      <c r="I8479" s="74">
        <f t="shared" si="1"/>
        <v>250000</v>
      </c>
      <c r="J8479" s="74">
        <f>IF(E8479="SERVICE",I8479-(I8479*50%),Vlookup(E8479,DATABASE!C:Q,10,false)*F8479)</f>
        <v>75000</v>
      </c>
      <c r="K8479" s="74">
        <f>VLOOKUP(E8479,DATABASE!C:Q,7,false)</f>
        <v>75000</v>
      </c>
      <c r="L8479" s="74">
        <v>75000.0</v>
      </c>
      <c r="M8479" s="74">
        <f t="shared" si="6"/>
        <v>75000</v>
      </c>
      <c r="N8479" s="74">
        <f t="shared" si="3"/>
        <v>100000</v>
      </c>
      <c r="O8479" s="65" t="str">
        <f>VLOOKUP(E8479,DATABASE!C:Q,8,false)</f>
        <v>BIAN</v>
      </c>
      <c r="P8479" s="65">
        <f>VLOOKUP(E8479,DATABASE!C:Q,9,False)</f>
        <v>0</v>
      </c>
      <c r="Q8479" s="93" t="str">
        <f>VLOOKUP(E8479,DATABASE!C:Q,4,false)</f>
        <v>Baut Camber</v>
      </c>
      <c r="R8479" s="93" t="str">
        <f>VLOOKUP(E8479,DATABASE!C:Q,11,false)</f>
        <v>COMPLEMENTARY</v>
      </c>
    </row>
    <row r="8480" ht="22.5" customHeight="1">
      <c r="A8480" s="49"/>
      <c r="C8480" s="400">
        <v>46151.0</v>
      </c>
      <c r="D8480" s="69">
        <v>1318.0</v>
      </c>
      <c r="E8480" s="544" t="s">
        <v>299</v>
      </c>
      <c r="F8480" s="387">
        <v>2.0</v>
      </c>
      <c r="G8480" s="140">
        <v>30000.0</v>
      </c>
      <c r="H8480" s="74"/>
      <c r="I8480" s="74">
        <f t="shared" si="1"/>
        <v>60000</v>
      </c>
      <c r="J8480" s="74">
        <f>IF(E8480="SERVICE",I8480-(I8480*50%),Vlookup(E8480,DATABASE!C:Q,10,false)*F8480)</f>
        <v>0</v>
      </c>
      <c r="K8480" s="74">
        <f>VLOOKUP(E8480,DATABASE!C:Q,7,false)</f>
        <v>10000</v>
      </c>
      <c r="L8480" s="74">
        <v>10000.0</v>
      </c>
      <c r="M8480" s="74">
        <f t="shared" si="6"/>
        <v>10000</v>
      </c>
      <c r="N8480" s="74">
        <f t="shared" si="3"/>
        <v>40000</v>
      </c>
      <c r="O8480" s="65" t="str">
        <f>VLOOKUP(E8480,DATABASE!C:Q,8,false)</f>
        <v>BIAN</v>
      </c>
      <c r="P8480" s="65">
        <f>VLOOKUP(E8480,DATABASE!C:Q,9,False)</f>
        <v>0</v>
      </c>
      <c r="Q8480" s="93" t="str">
        <f>VLOOKUP(E8480,DATABASE!C:Q,4,false)</f>
        <v>Balancing</v>
      </c>
      <c r="R8480" s="93" t="str">
        <f>VLOOKUP(E8480,DATABASE!C:Q,11,false)</f>
        <v>COMPLEMENTARY</v>
      </c>
    </row>
    <row r="8481" ht="22.5" customHeight="1">
      <c r="A8481" s="49"/>
      <c r="C8481" s="400">
        <v>46151.0</v>
      </c>
      <c r="D8481" s="69" t="s">
        <v>2804</v>
      </c>
      <c r="E8481" s="544" t="s">
        <v>252</v>
      </c>
      <c r="F8481" s="387">
        <v>1.0</v>
      </c>
      <c r="G8481" s="140">
        <v>325000.0</v>
      </c>
      <c r="H8481" s="140">
        <v>10000.0</v>
      </c>
      <c r="I8481" s="74">
        <f t="shared" si="1"/>
        <v>315000</v>
      </c>
      <c r="J8481" s="74">
        <f>IF(E8481="SERVICE",I8481-(I8481*50%),Vlookup(E8481,DATABASE!C:Q,10,false)*F8481)</f>
        <v>0</v>
      </c>
      <c r="K8481" s="74">
        <f>VLOOKUP(E8481,DATABASE!C:Q,7,false)</f>
        <v>317518</v>
      </c>
      <c r="L8481" s="74">
        <v>275500.0</v>
      </c>
      <c r="M8481" s="74">
        <f t="shared" si="6"/>
        <v>280000</v>
      </c>
      <c r="N8481" s="74">
        <f t="shared" si="3"/>
        <v>35000</v>
      </c>
      <c r="O8481" s="65" t="str">
        <f>VLOOKUP(E8481,DATABASE!C:Q,8,false)</f>
        <v>NON</v>
      </c>
      <c r="P8481" s="65">
        <f>VLOOKUP(E8481,DATABASE!C:Q,9,False)</f>
        <v>0</v>
      </c>
      <c r="Q8481" s="93" t="str">
        <f>VLOOKUP(E8481,DATABASE!C:Q,4,false)</f>
        <v>Shell</v>
      </c>
      <c r="R8481" s="93" t="str">
        <f>VLOOKUP(E8481,DATABASE!C:Q,11,false)</f>
        <v>OIL</v>
      </c>
    </row>
    <row r="8482" ht="22.5" customHeight="1">
      <c r="A8482" s="49"/>
      <c r="C8482" s="400">
        <v>46151.0</v>
      </c>
      <c r="D8482" s="69" t="s">
        <v>2805</v>
      </c>
      <c r="E8482" s="544" t="s">
        <v>248</v>
      </c>
      <c r="F8482" s="387">
        <v>1.0</v>
      </c>
      <c r="G8482" s="140">
        <v>210000.0</v>
      </c>
      <c r="H8482" s="140">
        <v>10000.0</v>
      </c>
      <c r="I8482" s="74">
        <f t="shared" si="1"/>
        <v>200000</v>
      </c>
      <c r="J8482" s="74">
        <f>IF(E8482="SERVICE",I8482-(I8482*50%),Vlookup(E8482,DATABASE!C:Q,10,false)*F8482)</f>
        <v>0</v>
      </c>
      <c r="K8482" s="74">
        <f>VLOOKUP(E8482,DATABASE!C:Q,7,false)</f>
        <v>209816.66</v>
      </c>
      <c r="L8482" s="74">
        <v>160833.0</v>
      </c>
      <c r="M8482" s="74">
        <f t="shared" si="6"/>
        <v>165000</v>
      </c>
      <c r="N8482" s="74">
        <f t="shared" si="3"/>
        <v>35000</v>
      </c>
      <c r="O8482" s="65" t="str">
        <f>VLOOKUP(E8482,DATABASE!C:Q,8,false)</f>
        <v>NON</v>
      </c>
      <c r="P8482" s="65">
        <f>VLOOKUP(E8482,DATABASE!C:Q,9,False)</f>
        <v>0</v>
      </c>
      <c r="Q8482" s="93" t="str">
        <f>VLOOKUP(E8482,DATABASE!C:Q,4,false)</f>
        <v>Pertamina</v>
      </c>
      <c r="R8482" s="93" t="str">
        <f>VLOOKUP(E8482,DATABASE!C:Q,11,false)</f>
        <v>OIL</v>
      </c>
    </row>
    <row r="8483" ht="22.5" customHeight="1">
      <c r="A8483" s="49"/>
      <c r="C8483" s="400">
        <v>46152.0</v>
      </c>
      <c r="D8483" s="69">
        <v>1319.0</v>
      </c>
      <c r="E8483" s="544" t="s">
        <v>955</v>
      </c>
      <c r="F8483" s="387">
        <v>1.0</v>
      </c>
      <c r="G8483" s="140">
        <v>760000.0</v>
      </c>
      <c r="H8483" s="74"/>
      <c r="I8483" s="74">
        <f t="shared" si="1"/>
        <v>760000</v>
      </c>
      <c r="J8483" s="74">
        <f>IF(E8483="SERVICE",I8483-(I8483*50%),Vlookup(E8483,DATABASE!C:Q,10,false)*F8483)</f>
        <v>0</v>
      </c>
      <c r="K8483" s="74">
        <f>VLOOKUP(E8483,DATABASE!C:Q,7,false)</f>
        <v>712000</v>
      </c>
      <c r="L8483" s="74">
        <v>660000.0</v>
      </c>
      <c r="M8483" s="74">
        <f t="shared" si="6"/>
        <v>660000</v>
      </c>
      <c r="N8483" s="74">
        <f t="shared" si="3"/>
        <v>100000</v>
      </c>
      <c r="O8483" s="65" t="str">
        <f>VLOOKUP(E8483,DATABASE!C:Q,8,false)</f>
        <v>IBU</v>
      </c>
      <c r="P8483" s="65">
        <f>VLOOKUP(E8483,DATABASE!C:Q,9,False)</f>
        <v>1</v>
      </c>
      <c r="Q8483" s="93" t="str">
        <f>VLOOKUP(E8483,DATABASE!C:Q,4,false)</f>
        <v>Dunlop</v>
      </c>
      <c r="R8483" s="93" t="str">
        <f>VLOOKUP(E8483,DATABASE!C:Q,11,false)</f>
        <v>Tire</v>
      </c>
    </row>
    <row r="8484" ht="22.5" customHeight="1">
      <c r="A8484" s="49"/>
      <c r="C8484" s="400">
        <v>46152.0</v>
      </c>
      <c r="D8484" s="69">
        <v>1321.0</v>
      </c>
      <c r="E8484" s="544" t="s">
        <v>268</v>
      </c>
      <c r="F8484" s="387">
        <v>4.0</v>
      </c>
      <c r="G8484" s="140">
        <v>720000.0</v>
      </c>
      <c r="H8484" s="74"/>
      <c r="I8484" s="74">
        <f t="shared" si="1"/>
        <v>2880000</v>
      </c>
      <c r="J8484" s="74">
        <f>IF(E8484="SERVICE",I8484-(I8484*50%),Vlookup(E8484,DATABASE!C:Q,10,false)*F8484)</f>
        <v>0</v>
      </c>
      <c r="K8484" s="74">
        <f>VLOOKUP(E8484,DATABASE!C:Q,7,false)</f>
        <v>653000</v>
      </c>
      <c r="L8484" s="74">
        <v>634500.0</v>
      </c>
      <c r="M8484" s="74">
        <f t="shared" si="6"/>
        <v>635000</v>
      </c>
      <c r="N8484" s="74">
        <f t="shared" si="3"/>
        <v>340000</v>
      </c>
      <c r="O8484" s="65" t="str">
        <f>VLOOKUP(E8484,DATABASE!C:Q,8,false)</f>
        <v>IBU</v>
      </c>
      <c r="P8484" s="65">
        <f>VLOOKUP(E8484,DATABASE!C:Q,9,False)</f>
        <v>1</v>
      </c>
      <c r="Q8484" s="93" t="str">
        <f>VLOOKUP(E8484,DATABASE!C:Q,4,false)</f>
        <v>Dunlop</v>
      </c>
      <c r="R8484" s="93" t="str">
        <f>VLOOKUP(E8484,DATABASE!C:Q,11,false)</f>
        <v>Tire</v>
      </c>
    </row>
    <row r="8485" ht="22.5" customHeight="1">
      <c r="A8485" s="49"/>
      <c r="C8485" s="400">
        <v>46152.0</v>
      </c>
      <c r="D8485" s="69">
        <v>1321.0</v>
      </c>
      <c r="E8485" s="544" t="s">
        <v>299</v>
      </c>
      <c r="F8485" s="387">
        <v>2.0</v>
      </c>
      <c r="G8485" s="140">
        <v>30000.0</v>
      </c>
      <c r="H8485" s="74"/>
      <c r="I8485" s="74">
        <f t="shared" si="1"/>
        <v>60000</v>
      </c>
      <c r="J8485" s="74">
        <f>IF(E8485="SERVICE",I8485-(I8485*50%),Vlookup(E8485,DATABASE!C:Q,10,false)*F8485)</f>
        <v>0</v>
      </c>
      <c r="K8485" s="74">
        <f>VLOOKUP(E8485,DATABASE!C:Q,7,false)</f>
        <v>10000</v>
      </c>
      <c r="L8485" s="74">
        <v>10000.0</v>
      </c>
      <c r="M8485" s="74">
        <f t="shared" si="6"/>
        <v>10000</v>
      </c>
      <c r="N8485" s="74">
        <f t="shared" si="3"/>
        <v>40000</v>
      </c>
      <c r="O8485" s="65" t="str">
        <f>VLOOKUP(E8485,DATABASE!C:Q,8,false)</f>
        <v>BIAN</v>
      </c>
      <c r="P8485" s="65">
        <f>VLOOKUP(E8485,DATABASE!C:Q,9,False)</f>
        <v>0</v>
      </c>
      <c r="Q8485" s="93" t="str">
        <f>VLOOKUP(E8485,DATABASE!C:Q,4,false)</f>
        <v>Balancing</v>
      </c>
      <c r="R8485" s="93" t="str">
        <f>VLOOKUP(E8485,DATABASE!C:Q,11,false)</f>
        <v>COMPLEMENTARY</v>
      </c>
    </row>
    <row r="8486" ht="22.5" customHeight="1">
      <c r="A8486" s="49"/>
      <c r="C8486" s="400">
        <v>46152.0</v>
      </c>
      <c r="D8486" s="69">
        <v>1322.0</v>
      </c>
      <c r="E8486" s="544" t="s">
        <v>695</v>
      </c>
      <c r="F8486" s="387">
        <v>2.0</v>
      </c>
      <c r="G8486" s="140">
        <v>675000.0</v>
      </c>
      <c r="H8486" s="74"/>
      <c r="I8486" s="74">
        <f t="shared" si="1"/>
        <v>1350000</v>
      </c>
      <c r="J8486" s="74">
        <f>IF(E8486="SERVICE",I8486-(I8486*50%),Vlookup(E8486,DATABASE!C:Q,10,false)*F8486)</f>
        <v>0</v>
      </c>
      <c r="K8486" s="74">
        <f>VLOOKUP(E8486,DATABASE!C:Q,7,false)</f>
        <v>582000</v>
      </c>
      <c r="L8486" s="74">
        <v>582000.0</v>
      </c>
      <c r="M8486" s="74">
        <f t="shared" si="6"/>
        <v>585000</v>
      </c>
      <c r="N8486" s="74">
        <f t="shared" si="3"/>
        <v>180000</v>
      </c>
      <c r="O8486" s="65" t="str">
        <f>VLOOKUP(E8486,DATABASE!C:Q,8,false)</f>
        <v>IBU</v>
      </c>
      <c r="P8486" s="65">
        <f>VLOOKUP(E8486,DATABASE!C:Q,9,False)</f>
        <v>1</v>
      </c>
      <c r="Q8486" s="93" t="str">
        <f>VLOOKUP(E8486,DATABASE!C:Q,4,false)</f>
        <v>Dunlop</v>
      </c>
      <c r="R8486" s="93" t="str">
        <f>VLOOKUP(E8486,DATABASE!C:Q,11,false)</f>
        <v>Tire</v>
      </c>
    </row>
    <row r="8487" ht="22.5" customHeight="1">
      <c r="A8487" s="49"/>
      <c r="C8487" s="400">
        <v>46152.0</v>
      </c>
      <c r="D8487" s="69" t="s">
        <v>2806</v>
      </c>
      <c r="E8487" s="544" t="s">
        <v>2174</v>
      </c>
      <c r="F8487" s="387">
        <v>1.0</v>
      </c>
      <c r="G8487" s="140">
        <v>235000.0</v>
      </c>
      <c r="H8487" s="74"/>
      <c r="I8487" s="74">
        <f t="shared" si="1"/>
        <v>235000</v>
      </c>
      <c r="J8487" s="74">
        <f>IF(E8487="SERVICE",I8487-(I8487*50%),Vlookup(E8487,DATABASE!C:Q,10,false)*F8487)</f>
        <v>0</v>
      </c>
      <c r="K8487" s="74">
        <f>VLOOKUP(E8487,DATABASE!C:Q,7,false)</f>
        <v>225314</v>
      </c>
      <c r="L8487" s="74">
        <v>182600.0</v>
      </c>
      <c r="M8487" s="74">
        <f t="shared" si="6"/>
        <v>185000</v>
      </c>
      <c r="N8487" s="74">
        <f t="shared" si="3"/>
        <v>50000</v>
      </c>
      <c r="O8487" s="65" t="str">
        <f>VLOOKUP(E8487,DATABASE!C:Q,8,false)</f>
        <v>NON</v>
      </c>
      <c r="P8487" s="65">
        <f>VLOOKUP(E8487,DATABASE!C:Q,9,False)</f>
        <v>0</v>
      </c>
      <c r="Q8487" s="93" t="str">
        <f>VLOOKUP(E8487,DATABASE!C:Q,4,false)</f>
        <v>Shell</v>
      </c>
      <c r="R8487" s="93" t="str">
        <f>VLOOKUP(E8487,DATABASE!C:Q,11,false)</f>
        <v>OIL</v>
      </c>
    </row>
    <row r="8488" ht="22.5" customHeight="1">
      <c r="A8488" s="49"/>
      <c r="C8488" s="400">
        <v>46152.0</v>
      </c>
      <c r="D8488" s="69" t="s">
        <v>2806</v>
      </c>
      <c r="E8488" s="544" t="s">
        <v>298</v>
      </c>
      <c r="F8488" s="387">
        <v>1.0</v>
      </c>
      <c r="G8488" s="140">
        <v>23000.0</v>
      </c>
      <c r="H8488" s="74"/>
      <c r="I8488" s="74">
        <f t="shared" si="1"/>
        <v>23000</v>
      </c>
      <c r="J8488" s="74">
        <f>IF(E8488="SERVICE",I8488-(I8488*50%),Vlookup(E8488,DATABASE!C:Q,10,false)*F8488)</f>
        <v>0</v>
      </c>
      <c r="K8488" s="74">
        <f>VLOOKUP(E8488,DATABASE!C:Q,7,false)</f>
        <v>19200</v>
      </c>
      <c r="L8488" s="74">
        <v>19200.0</v>
      </c>
      <c r="M8488" s="74">
        <f t="shared" si="6"/>
        <v>20000</v>
      </c>
      <c r="N8488" s="74">
        <f t="shared" si="3"/>
        <v>3000</v>
      </c>
      <c r="O8488" s="65" t="str">
        <f>VLOOKUP(E8488,DATABASE!C:Q,8,false)</f>
        <v>BIAN</v>
      </c>
      <c r="P8488" s="65">
        <f>VLOOKUP(E8488,DATABASE!C:Q,9,False)</f>
        <v>0</v>
      </c>
      <c r="Q8488" s="93" t="str">
        <f>VLOOKUP(E8488,DATABASE!C:Q,4,false)</f>
        <v>Aspira</v>
      </c>
      <c r="R8488" s="93" t="str">
        <f>VLOOKUP(E8488,DATABASE!C:Q,11,false)</f>
        <v>COMPLEMENTARY</v>
      </c>
    </row>
    <row r="8489" ht="22.5" customHeight="1">
      <c r="A8489" s="49"/>
      <c r="C8489" s="400">
        <v>46153.0</v>
      </c>
      <c r="D8489" s="524">
        <v>1325.0</v>
      </c>
      <c r="E8489" s="544" t="s">
        <v>262</v>
      </c>
      <c r="F8489" s="387">
        <v>1.0</v>
      </c>
      <c r="G8489" s="140">
        <v>130000.0</v>
      </c>
      <c r="H8489" s="74"/>
      <c r="I8489" s="74">
        <f t="shared" si="1"/>
        <v>130000</v>
      </c>
      <c r="J8489" s="74">
        <f>IF(E8489="SERVICE",I8489-(I8489*50%),Vlookup(E8489,DATABASE!C:Q,10,false)*F8489)</f>
        <v>5000</v>
      </c>
      <c r="K8489" s="74">
        <f>VLOOKUP(E8489,DATABASE!C:Q,7,false)</f>
        <v>0</v>
      </c>
      <c r="L8489" s="74">
        <v>0.0</v>
      </c>
      <c r="M8489" s="74">
        <f t="shared" si="6"/>
        <v>0</v>
      </c>
      <c r="N8489" s="74">
        <f t="shared" si="3"/>
        <v>125000</v>
      </c>
      <c r="O8489" s="65" t="str">
        <f>VLOOKUP(E8489,DATABASE!C:Q,8,false)</f>
        <v>IBU</v>
      </c>
      <c r="P8489" s="65">
        <f>VLOOKUP(E8489,DATABASE!C:Q,9,False)</f>
        <v>0</v>
      </c>
      <c r="Q8489" s="93" t="str">
        <f>VLOOKUP(E8489,DATABASE!C:Q,4,false)</f>
        <v>SPOORING SS/CARRY LOS BAK</v>
      </c>
      <c r="R8489" s="93" t="str">
        <f>VLOOKUP(E8489,DATABASE!C:Q,11,false)</f>
        <v>SERVICE</v>
      </c>
    </row>
    <row r="8490" ht="22.5" customHeight="1">
      <c r="A8490" s="49"/>
      <c r="C8490" s="400">
        <v>46153.0</v>
      </c>
      <c r="D8490" s="524">
        <v>1325.0</v>
      </c>
      <c r="E8490" s="544" t="s">
        <v>251</v>
      </c>
      <c r="F8490" s="387">
        <v>1.0</v>
      </c>
      <c r="G8490" s="140">
        <v>350000.0</v>
      </c>
      <c r="H8490" s="140">
        <v>200000.0</v>
      </c>
      <c r="I8490" s="74">
        <f t="shared" si="1"/>
        <v>150000</v>
      </c>
      <c r="J8490" s="74">
        <f>IF(E8490="SERVICE",I8490-(I8490*50%),Vlookup(E8490,DATABASE!C:Q,10,false)*F8490)</f>
        <v>75000</v>
      </c>
      <c r="K8490" s="74">
        <f>VLOOKUP(E8490,DATABASE!C:Q,7,false)</f>
        <v>0</v>
      </c>
      <c r="L8490" s="74">
        <v>0.0</v>
      </c>
      <c r="M8490" s="74">
        <f t="shared" si="6"/>
        <v>0</v>
      </c>
      <c r="N8490" s="74">
        <f t="shared" si="3"/>
        <v>75000</v>
      </c>
      <c r="O8490" s="65" t="str">
        <f>VLOOKUP(E8490,DATABASE!C:Q,8,false)</f>
        <v>IBU</v>
      </c>
      <c r="P8490" s="65">
        <f>VLOOKUP(E8490,DATABASE!C:Q,9,False)</f>
        <v>0</v>
      </c>
      <c r="Q8490" s="93" t="str">
        <f>VLOOKUP(E8490,DATABASE!C:Q,4,false)</f>
        <v>SERVICE</v>
      </c>
      <c r="R8490" s="93" t="str">
        <f>VLOOKUP(E8490,DATABASE!C:Q,11,false)</f>
        <v>SERVICE</v>
      </c>
    </row>
    <row r="8491" ht="22.5" customHeight="1">
      <c r="A8491" s="49"/>
      <c r="C8491" s="400">
        <v>46153.0</v>
      </c>
      <c r="D8491" s="524">
        <v>1326.0</v>
      </c>
      <c r="E8491" s="544" t="s">
        <v>268</v>
      </c>
      <c r="F8491" s="387">
        <v>1.0</v>
      </c>
      <c r="G8491" s="140">
        <v>720000.0</v>
      </c>
      <c r="H8491" s="74"/>
      <c r="I8491" s="74">
        <f t="shared" si="1"/>
        <v>720000</v>
      </c>
      <c r="J8491" s="74">
        <f>IF(E8491="SERVICE",I8491-(I8491*50%),Vlookup(E8491,DATABASE!C:Q,10,false)*F8491)</f>
        <v>0</v>
      </c>
      <c r="K8491" s="74">
        <f>VLOOKUP(E8491,DATABASE!C:Q,7,false)</f>
        <v>653000</v>
      </c>
      <c r="L8491" s="74">
        <v>634500.0</v>
      </c>
      <c r="M8491" s="74">
        <f t="shared" si="6"/>
        <v>635000</v>
      </c>
      <c r="N8491" s="74">
        <f t="shared" si="3"/>
        <v>85000</v>
      </c>
      <c r="O8491" s="65" t="str">
        <f>VLOOKUP(E8491,DATABASE!C:Q,8,false)</f>
        <v>IBU</v>
      </c>
      <c r="P8491" s="65">
        <f>VLOOKUP(E8491,DATABASE!C:Q,9,False)</f>
        <v>1</v>
      </c>
      <c r="Q8491" s="93" t="str">
        <f>VLOOKUP(E8491,DATABASE!C:Q,4,false)</f>
        <v>Dunlop</v>
      </c>
      <c r="R8491" s="93" t="str">
        <f>VLOOKUP(E8491,DATABASE!C:Q,11,false)</f>
        <v>Tire</v>
      </c>
    </row>
    <row r="8492" ht="22.5" customHeight="1">
      <c r="A8492" s="49"/>
      <c r="C8492" s="400">
        <v>46153.0</v>
      </c>
      <c r="D8492" s="524">
        <v>1328.0</v>
      </c>
      <c r="E8492" s="544" t="s">
        <v>932</v>
      </c>
      <c r="F8492" s="387">
        <v>1.0</v>
      </c>
      <c r="G8492" s="140">
        <v>690000.0</v>
      </c>
      <c r="H8492" s="74"/>
      <c r="I8492" s="74">
        <f t="shared" si="1"/>
        <v>690000</v>
      </c>
      <c r="J8492" s="74">
        <f>IF(E8492="SERVICE",I8492-(I8492*50%),Vlookup(E8492,DATABASE!C:Q,10,false)*F8492)</f>
        <v>0</v>
      </c>
      <c r="K8492" s="74">
        <f>VLOOKUP(E8492,DATABASE!C:Q,7,false)</f>
        <v>601000</v>
      </c>
      <c r="L8492" s="74">
        <v>601000.0</v>
      </c>
      <c r="M8492" s="74">
        <f t="shared" si="6"/>
        <v>605000</v>
      </c>
      <c r="N8492" s="74">
        <f t="shared" si="3"/>
        <v>85000</v>
      </c>
      <c r="O8492" s="65" t="str">
        <f>VLOOKUP(E8492,DATABASE!C:Q,8,false)</f>
        <v>IBU</v>
      </c>
      <c r="P8492" s="65">
        <f>VLOOKUP(E8492,DATABASE!C:Q,9,False)</f>
        <v>1</v>
      </c>
      <c r="Q8492" s="93" t="str">
        <f>VLOOKUP(E8492,DATABASE!C:Q,4,false)</f>
        <v>Dunlop</v>
      </c>
      <c r="R8492" s="93" t="str">
        <f>VLOOKUP(E8492,DATABASE!C:Q,11,false)</f>
        <v>Tire</v>
      </c>
    </row>
    <row r="8493" ht="22.5" customHeight="1">
      <c r="A8493" s="49"/>
      <c r="C8493" s="400">
        <v>46153.0</v>
      </c>
      <c r="D8493" s="524">
        <v>1329.0</v>
      </c>
      <c r="E8493" s="544" t="s">
        <v>256</v>
      </c>
      <c r="F8493" s="387">
        <v>1.0</v>
      </c>
      <c r="G8493" s="140">
        <v>175000.0</v>
      </c>
      <c r="H8493" s="140">
        <v>25000.0</v>
      </c>
      <c r="I8493" s="74">
        <f t="shared" si="1"/>
        <v>150000</v>
      </c>
      <c r="J8493" s="74">
        <f>IF(E8493="SERVICE",I8493-(I8493*50%),Vlookup(E8493,DATABASE!C:Q,10,false)*F8493)</f>
        <v>10000</v>
      </c>
      <c r="K8493" s="74">
        <f>VLOOKUP(E8493,DATABASE!C:Q,7,false)</f>
        <v>0</v>
      </c>
      <c r="L8493" s="74">
        <v>0.0</v>
      </c>
      <c r="M8493" s="74">
        <f t="shared" si="6"/>
        <v>0</v>
      </c>
      <c r="N8493" s="74">
        <f t="shared" si="3"/>
        <v>140000</v>
      </c>
      <c r="O8493" s="65" t="str">
        <f>VLOOKUP(E8493,DATABASE!C:Q,8,false)</f>
        <v>IBU</v>
      </c>
      <c r="P8493" s="65">
        <f>VLOOKUP(E8493,DATABASE!C:Q,9,False)</f>
        <v>0</v>
      </c>
      <c r="Q8493" s="93" t="str">
        <f>VLOOKUP(E8493,DATABASE!C:Q,4,false)</f>
        <v>SPOORING</v>
      </c>
      <c r="R8493" s="93" t="str">
        <f>VLOOKUP(E8493,DATABASE!C:Q,11,false)</f>
        <v>SERVICE</v>
      </c>
    </row>
    <row r="8494" ht="22.5" customHeight="1">
      <c r="A8494" s="49"/>
      <c r="C8494" s="400">
        <v>46153.0</v>
      </c>
      <c r="D8494" s="524">
        <v>1329.0</v>
      </c>
      <c r="E8494" s="544" t="s">
        <v>251</v>
      </c>
      <c r="F8494" s="387">
        <v>1.0</v>
      </c>
      <c r="G8494" s="140">
        <v>350000.0</v>
      </c>
      <c r="H8494" s="140">
        <v>200000.0</v>
      </c>
      <c r="I8494" s="74">
        <f t="shared" si="1"/>
        <v>150000</v>
      </c>
      <c r="J8494" s="74">
        <f>IF(E8494="SERVICE",I8494-(I8494*50%),Vlookup(E8494,DATABASE!C:Q,10,false)*F8494)</f>
        <v>75000</v>
      </c>
      <c r="K8494" s="74">
        <f>VLOOKUP(E8494,DATABASE!C:Q,7,false)</f>
        <v>0</v>
      </c>
      <c r="L8494" s="74">
        <v>0.0</v>
      </c>
      <c r="M8494" s="74">
        <f t="shared" si="6"/>
        <v>0</v>
      </c>
      <c r="N8494" s="74">
        <f t="shared" si="3"/>
        <v>75000</v>
      </c>
      <c r="O8494" s="65" t="str">
        <f>VLOOKUP(E8494,DATABASE!C:Q,8,false)</f>
        <v>IBU</v>
      </c>
      <c r="P8494" s="65">
        <f>VLOOKUP(E8494,DATABASE!C:Q,9,False)</f>
        <v>0</v>
      </c>
      <c r="Q8494" s="93" t="str">
        <f>VLOOKUP(E8494,DATABASE!C:Q,4,false)</f>
        <v>SERVICE</v>
      </c>
      <c r="R8494" s="93" t="str">
        <f>VLOOKUP(E8494,DATABASE!C:Q,11,false)</f>
        <v>SERVICE</v>
      </c>
    </row>
    <row r="8495" ht="22.5" customHeight="1">
      <c r="A8495" s="49"/>
      <c r="C8495" s="400">
        <v>46153.0</v>
      </c>
      <c r="D8495" s="524">
        <v>1330.0</v>
      </c>
      <c r="E8495" s="544" t="s">
        <v>250</v>
      </c>
      <c r="F8495" s="387">
        <v>2.0</v>
      </c>
      <c r="G8495" s="140">
        <v>135000.0</v>
      </c>
      <c r="H8495" s="74"/>
      <c r="I8495" s="74">
        <f t="shared" si="1"/>
        <v>270000</v>
      </c>
      <c r="J8495" s="74">
        <f>IF(E8495="SERVICE",I8495-(I8495*50%),Vlookup(E8495,DATABASE!C:Q,10,false)*F8495)</f>
        <v>0</v>
      </c>
      <c r="K8495" s="74">
        <f>VLOOKUP(E8495,DATABASE!C:Q,7,false)</f>
        <v>102000</v>
      </c>
      <c r="L8495" s="74">
        <v>102000.0</v>
      </c>
      <c r="M8495" s="74">
        <f t="shared" si="6"/>
        <v>105000</v>
      </c>
      <c r="N8495" s="74">
        <f t="shared" si="3"/>
        <v>60000</v>
      </c>
      <c r="O8495" s="65" t="str">
        <f>VLOOKUP(E8495,DATABASE!C:Q,8,false)</f>
        <v>BIAN</v>
      </c>
      <c r="P8495" s="65">
        <f>VLOOKUP(E8495,DATABASE!C:Q,9,False)</f>
        <v>1</v>
      </c>
      <c r="Q8495" s="93" t="str">
        <f>VLOOKUP(E8495,DATABASE!C:Q,4,false)</f>
        <v>BD</v>
      </c>
      <c r="R8495" s="93" t="str">
        <f>VLOOKUP(E8495,DATABASE!C:Q,11,false)</f>
        <v>Tire</v>
      </c>
    </row>
    <row r="8496" ht="22.5" customHeight="1">
      <c r="A8496" s="49"/>
      <c r="C8496" s="400">
        <v>46153.0</v>
      </c>
      <c r="D8496" s="524">
        <v>1331.0</v>
      </c>
      <c r="E8496" s="544" t="s">
        <v>262</v>
      </c>
      <c r="F8496" s="387">
        <v>1.0</v>
      </c>
      <c r="G8496" s="140">
        <v>130000.0</v>
      </c>
      <c r="H8496" s="74"/>
      <c r="I8496" s="74">
        <f t="shared" si="1"/>
        <v>130000</v>
      </c>
      <c r="J8496" s="74">
        <f>IF(E8496="SERVICE",I8496-(I8496*50%),Vlookup(E8496,DATABASE!C:Q,10,false)*F8496)</f>
        <v>5000</v>
      </c>
      <c r="K8496" s="74">
        <f>VLOOKUP(E8496,DATABASE!C:Q,7,false)</f>
        <v>0</v>
      </c>
      <c r="L8496" s="74">
        <v>0.0</v>
      </c>
      <c r="M8496" s="74">
        <f t="shared" si="6"/>
        <v>0</v>
      </c>
      <c r="N8496" s="74">
        <f t="shared" si="3"/>
        <v>125000</v>
      </c>
      <c r="O8496" s="65" t="str">
        <f>VLOOKUP(E8496,DATABASE!C:Q,8,false)</f>
        <v>IBU</v>
      </c>
      <c r="P8496" s="65">
        <f>VLOOKUP(E8496,DATABASE!C:Q,9,False)</f>
        <v>0</v>
      </c>
      <c r="Q8496" s="93" t="str">
        <f>VLOOKUP(E8496,DATABASE!C:Q,4,false)</f>
        <v>SPOORING SS/CARRY LOS BAK</v>
      </c>
      <c r="R8496" s="93" t="str">
        <f>VLOOKUP(E8496,DATABASE!C:Q,11,false)</f>
        <v>SERVICE</v>
      </c>
    </row>
    <row r="8497" ht="22.5" customHeight="1">
      <c r="A8497" s="49"/>
      <c r="C8497" s="400">
        <v>46153.0</v>
      </c>
      <c r="D8497" s="524">
        <v>1332.0</v>
      </c>
      <c r="E8497" s="544" t="s">
        <v>246</v>
      </c>
      <c r="F8497" s="387">
        <v>4.0</v>
      </c>
      <c r="G8497" s="140">
        <v>35000.0</v>
      </c>
      <c r="H8497" s="140">
        <v>5000.0</v>
      </c>
      <c r="I8497" s="74">
        <f t="shared" si="1"/>
        <v>120000</v>
      </c>
      <c r="J8497" s="74">
        <f>IF(E8497="SERVICE",I8497-(I8497*50%),Vlookup(E8497,DATABASE!C:Q,10,false)*F8497)</f>
        <v>0</v>
      </c>
      <c r="K8497" s="74">
        <f>VLOOKUP(E8497,DATABASE!C:Q,7,false)</f>
        <v>0</v>
      </c>
      <c r="L8497" s="74">
        <v>0.0</v>
      </c>
      <c r="M8497" s="74">
        <f t="shared" si="6"/>
        <v>0</v>
      </c>
      <c r="N8497" s="74">
        <f t="shared" si="3"/>
        <v>120000</v>
      </c>
      <c r="O8497" s="65" t="str">
        <f>VLOOKUP(E8497,DATABASE!C:Q,8,false)</f>
        <v>IBU</v>
      </c>
      <c r="P8497" s="65">
        <f>VLOOKUP(E8497,DATABASE!C:Q,9,False)</f>
        <v>0</v>
      </c>
      <c r="Q8497" s="93" t="str">
        <f>VLOOKUP(E8497,DATABASE!C:Q,4,false)</f>
        <v>Bongkar Pasang</v>
      </c>
      <c r="R8497" s="93" t="str">
        <f>VLOOKUP(E8497,DATABASE!C:Q,11,false)</f>
        <v>SERVICE</v>
      </c>
    </row>
    <row r="8498" ht="22.5" customHeight="1">
      <c r="A8498" s="49"/>
      <c r="C8498" s="400">
        <v>46153.0</v>
      </c>
      <c r="D8498" s="524">
        <v>1332.0</v>
      </c>
      <c r="E8498" s="544" t="s">
        <v>2139</v>
      </c>
      <c r="F8498" s="387">
        <v>2.0</v>
      </c>
      <c r="G8498" s="140">
        <v>10000.0</v>
      </c>
      <c r="H8498" s="74"/>
      <c r="I8498" s="74">
        <f t="shared" si="1"/>
        <v>20000</v>
      </c>
      <c r="J8498" s="74">
        <f>IF(E8498="SERVICE",I8498-(I8498*50%),Vlookup(E8498,DATABASE!C:Q,10,false)*F8498)</f>
        <v>0</v>
      </c>
      <c r="K8498" s="74">
        <f>VLOOKUP(E8498,DATABASE!C:Q,7,false)</f>
        <v>0</v>
      </c>
      <c r="L8498" s="74">
        <v>0.0</v>
      </c>
      <c r="M8498" s="74">
        <f t="shared" si="6"/>
        <v>0</v>
      </c>
      <c r="N8498" s="74">
        <f t="shared" si="3"/>
        <v>20000</v>
      </c>
      <c r="O8498" s="65" t="str">
        <f>VLOOKUP(E8498,DATABASE!C:Q,8,false)</f>
        <v>IBU</v>
      </c>
      <c r="P8498" s="65">
        <f>VLOOKUP(E8498,DATABASE!C:Q,9,False)</f>
        <v>0</v>
      </c>
      <c r="Q8498" s="93" t="str">
        <f>VLOOKUP(E8498,DATABASE!C:Q,4,false)</f>
        <v>PENTIL</v>
      </c>
      <c r="R8498" s="93" t="str">
        <f>VLOOKUP(E8498,DATABASE!C:Q,11,false)</f>
        <v>COMPLEMENTARY</v>
      </c>
    </row>
    <row r="8499" ht="22.5" customHeight="1">
      <c r="A8499" s="49"/>
      <c r="C8499" s="400">
        <v>46153.0</v>
      </c>
      <c r="D8499" s="524">
        <v>1332.0</v>
      </c>
      <c r="E8499" s="544" t="s">
        <v>299</v>
      </c>
      <c r="F8499" s="387">
        <v>2.0</v>
      </c>
      <c r="G8499" s="140">
        <v>30000.0</v>
      </c>
      <c r="H8499" s="74"/>
      <c r="I8499" s="74">
        <f t="shared" si="1"/>
        <v>60000</v>
      </c>
      <c r="J8499" s="74">
        <f>IF(E8499="SERVICE",I8499-(I8499*50%),Vlookup(E8499,DATABASE!C:Q,10,false)*F8499)</f>
        <v>0</v>
      </c>
      <c r="K8499" s="74">
        <f>VLOOKUP(E8499,DATABASE!C:Q,7,false)</f>
        <v>10000</v>
      </c>
      <c r="L8499" s="74">
        <v>10000.0</v>
      </c>
      <c r="M8499" s="74">
        <f t="shared" si="6"/>
        <v>10000</v>
      </c>
      <c r="N8499" s="74">
        <f t="shared" si="3"/>
        <v>40000</v>
      </c>
      <c r="O8499" s="65" t="str">
        <f>VLOOKUP(E8499,DATABASE!C:Q,8,false)</f>
        <v>BIAN</v>
      </c>
      <c r="P8499" s="65">
        <f>VLOOKUP(E8499,DATABASE!C:Q,9,False)</f>
        <v>0</v>
      </c>
      <c r="Q8499" s="93" t="str">
        <f>VLOOKUP(E8499,DATABASE!C:Q,4,false)</f>
        <v>Balancing</v>
      </c>
      <c r="R8499" s="93" t="str">
        <f>VLOOKUP(E8499,DATABASE!C:Q,11,false)</f>
        <v>COMPLEMENTARY</v>
      </c>
    </row>
    <row r="8500" ht="22.5" customHeight="1">
      <c r="A8500" s="49"/>
      <c r="C8500" s="400">
        <v>46154.0</v>
      </c>
      <c r="D8500" s="524">
        <v>1333.0</v>
      </c>
      <c r="E8500" s="544" t="s">
        <v>2624</v>
      </c>
      <c r="F8500" s="387">
        <v>2.0</v>
      </c>
      <c r="G8500" s="140">
        <v>610000.0</v>
      </c>
      <c r="H8500" s="74"/>
      <c r="I8500" s="74">
        <f t="shared" si="1"/>
        <v>1220000</v>
      </c>
      <c r="J8500" s="74">
        <f>IF(E8500="SERVICE",I8500-(I8500*50%),Vlookup(E8500,DATABASE!C:Q,10,false)*F8500)</f>
        <v>0</v>
      </c>
      <c r="K8500" s="74">
        <f>VLOOKUP(E8500,DATABASE!C:Q,7,false)</f>
        <v>517000</v>
      </c>
      <c r="L8500" s="74">
        <v>517000.0</v>
      </c>
      <c r="M8500" s="74">
        <f t="shared" si="6"/>
        <v>520000</v>
      </c>
      <c r="N8500" s="74">
        <f t="shared" si="3"/>
        <v>180000</v>
      </c>
      <c r="O8500" s="65" t="str">
        <f>VLOOKUP(E8500,DATABASE!C:Q,8,false)</f>
        <v>BIAN</v>
      </c>
      <c r="P8500" s="65">
        <f>VLOOKUP(E8500,DATABASE!C:Q,9,False)</f>
        <v>1</v>
      </c>
      <c r="Q8500" s="93" t="str">
        <f>VLOOKUP(E8500,DATABASE!C:Q,4,false)</f>
        <v>Sailun</v>
      </c>
      <c r="R8500" s="93" t="str">
        <f>VLOOKUP(E8500,DATABASE!C:Q,11,false)</f>
        <v>Tire</v>
      </c>
    </row>
    <row r="8501" ht="22.5" customHeight="1">
      <c r="A8501" s="49"/>
      <c r="C8501" s="400">
        <v>46154.0</v>
      </c>
      <c r="D8501" s="524">
        <v>1333.0</v>
      </c>
      <c r="E8501" s="544" t="s">
        <v>299</v>
      </c>
      <c r="F8501" s="387">
        <v>2.0</v>
      </c>
      <c r="G8501" s="140">
        <v>30000.0</v>
      </c>
      <c r="H8501" s="74"/>
      <c r="I8501" s="74">
        <f t="shared" si="1"/>
        <v>60000</v>
      </c>
      <c r="J8501" s="74">
        <f>IF(E8501="SERVICE",I8501-(I8501*50%),Vlookup(E8501,DATABASE!C:Q,10,false)*F8501)</f>
        <v>0</v>
      </c>
      <c r="K8501" s="74">
        <f>VLOOKUP(E8501,DATABASE!C:Q,7,false)</f>
        <v>10000</v>
      </c>
      <c r="L8501" s="74">
        <v>10000.0</v>
      </c>
      <c r="M8501" s="74">
        <f t="shared" si="6"/>
        <v>10000</v>
      </c>
      <c r="N8501" s="74">
        <f t="shared" si="3"/>
        <v>40000</v>
      </c>
      <c r="O8501" s="65" t="str">
        <f>VLOOKUP(E8501,DATABASE!C:Q,8,false)</f>
        <v>BIAN</v>
      </c>
      <c r="P8501" s="65">
        <f>VLOOKUP(E8501,DATABASE!C:Q,9,False)</f>
        <v>0</v>
      </c>
      <c r="Q8501" s="93" t="str">
        <f>VLOOKUP(E8501,DATABASE!C:Q,4,false)</f>
        <v>Balancing</v>
      </c>
      <c r="R8501" s="93" t="str">
        <f>VLOOKUP(E8501,DATABASE!C:Q,11,false)</f>
        <v>COMPLEMENTARY</v>
      </c>
    </row>
    <row r="8502" ht="22.5" customHeight="1">
      <c r="A8502" s="49"/>
      <c r="C8502" s="400">
        <v>46154.0</v>
      </c>
      <c r="D8502" s="524">
        <v>1334.0</v>
      </c>
      <c r="E8502" s="544" t="s">
        <v>256</v>
      </c>
      <c r="F8502" s="387">
        <v>1.0</v>
      </c>
      <c r="G8502" s="140">
        <v>175000.0</v>
      </c>
      <c r="H8502" s="140">
        <v>25000.0</v>
      </c>
      <c r="I8502" s="74">
        <f t="shared" si="1"/>
        <v>150000</v>
      </c>
      <c r="J8502" s="74">
        <f>IF(E8502="SERVICE",I8502-(I8502*50%),Vlookup(E8502,DATABASE!C:Q,10,false)*F8502)</f>
        <v>10000</v>
      </c>
      <c r="K8502" s="74">
        <f>VLOOKUP(E8502,DATABASE!C:Q,7,false)</f>
        <v>0</v>
      </c>
      <c r="L8502" s="74">
        <v>0.0</v>
      </c>
      <c r="M8502" s="74">
        <f t="shared" si="6"/>
        <v>0</v>
      </c>
      <c r="N8502" s="74">
        <f t="shared" si="3"/>
        <v>140000</v>
      </c>
      <c r="O8502" s="65" t="str">
        <f>VLOOKUP(E8502,DATABASE!C:Q,8,false)</f>
        <v>IBU</v>
      </c>
      <c r="P8502" s="65">
        <f>VLOOKUP(E8502,DATABASE!C:Q,9,False)</f>
        <v>0</v>
      </c>
      <c r="Q8502" s="93" t="str">
        <f>VLOOKUP(E8502,DATABASE!C:Q,4,false)</f>
        <v>SPOORING</v>
      </c>
      <c r="R8502" s="93" t="str">
        <f>VLOOKUP(E8502,DATABASE!C:Q,11,false)</f>
        <v>SERVICE</v>
      </c>
    </row>
    <row r="8503" ht="22.5" customHeight="1">
      <c r="A8503" s="49"/>
      <c r="C8503" s="400">
        <v>46154.0</v>
      </c>
      <c r="D8503" s="524">
        <v>1334.0</v>
      </c>
      <c r="E8503" s="544" t="s">
        <v>301</v>
      </c>
      <c r="F8503" s="387">
        <v>1.0</v>
      </c>
      <c r="G8503" s="140">
        <v>250000.0</v>
      </c>
      <c r="H8503" s="74"/>
      <c r="I8503" s="74">
        <f t="shared" si="1"/>
        <v>250000</v>
      </c>
      <c r="J8503" s="74">
        <f>IF(E8503="SERVICE",I8503-(I8503*50%),Vlookup(E8503,DATABASE!C:Q,10,false)*F8503)</f>
        <v>75000</v>
      </c>
      <c r="K8503" s="74">
        <f>VLOOKUP(E8503,DATABASE!C:Q,7,false)</f>
        <v>75000</v>
      </c>
      <c r="L8503" s="74">
        <v>75000.0</v>
      </c>
      <c r="M8503" s="74">
        <f t="shared" si="6"/>
        <v>75000</v>
      </c>
      <c r="N8503" s="74">
        <f t="shared" si="3"/>
        <v>100000</v>
      </c>
      <c r="O8503" s="65" t="str">
        <f>VLOOKUP(E8503,DATABASE!C:Q,8,false)</f>
        <v>BIAN</v>
      </c>
      <c r="P8503" s="65">
        <f>VLOOKUP(E8503,DATABASE!C:Q,9,False)</f>
        <v>0</v>
      </c>
      <c r="Q8503" s="93" t="str">
        <f>VLOOKUP(E8503,DATABASE!C:Q,4,false)</f>
        <v>Baut Camber</v>
      </c>
      <c r="R8503" s="93" t="str">
        <f>VLOOKUP(E8503,DATABASE!C:Q,11,false)</f>
        <v>COMPLEMENTARY</v>
      </c>
    </row>
    <row r="8504" ht="22.5" customHeight="1">
      <c r="A8504" s="49"/>
      <c r="C8504" s="400">
        <v>46154.0</v>
      </c>
      <c r="D8504" s="524">
        <v>1335.0</v>
      </c>
      <c r="E8504" s="544" t="s">
        <v>268</v>
      </c>
      <c r="F8504" s="387">
        <v>2.0</v>
      </c>
      <c r="G8504" s="140">
        <v>720000.0</v>
      </c>
      <c r="H8504" s="74"/>
      <c r="I8504" s="74">
        <f t="shared" si="1"/>
        <v>1440000</v>
      </c>
      <c r="J8504" s="74">
        <f>IF(E8504="SERVICE",I8504-(I8504*50%),Vlookup(E8504,DATABASE!C:Q,10,false)*F8504)</f>
        <v>0</v>
      </c>
      <c r="K8504" s="74">
        <f>VLOOKUP(E8504,DATABASE!C:Q,7,false)</f>
        <v>653000</v>
      </c>
      <c r="L8504" s="74">
        <v>634500.0</v>
      </c>
      <c r="M8504" s="74">
        <f t="shared" si="6"/>
        <v>635000</v>
      </c>
      <c r="N8504" s="74">
        <f t="shared" si="3"/>
        <v>170000</v>
      </c>
      <c r="O8504" s="65" t="str">
        <f>VLOOKUP(E8504,DATABASE!C:Q,8,false)</f>
        <v>IBU</v>
      </c>
      <c r="P8504" s="65">
        <f>VLOOKUP(E8504,DATABASE!C:Q,9,False)</f>
        <v>1</v>
      </c>
      <c r="Q8504" s="93" t="str">
        <f>VLOOKUP(E8504,DATABASE!C:Q,4,false)</f>
        <v>Dunlop</v>
      </c>
      <c r="R8504" s="93" t="str">
        <f>VLOOKUP(E8504,DATABASE!C:Q,11,false)</f>
        <v>Tire</v>
      </c>
    </row>
    <row r="8505" ht="22.5" customHeight="1">
      <c r="A8505" s="49"/>
      <c r="C8505" s="400">
        <v>46154.0</v>
      </c>
      <c r="D8505" s="524">
        <v>1336.0</v>
      </c>
      <c r="E8505" s="544" t="s">
        <v>932</v>
      </c>
      <c r="F8505" s="387">
        <v>1.0</v>
      </c>
      <c r="G8505" s="140">
        <v>690000.0</v>
      </c>
      <c r="H8505" s="74"/>
      <c r="I8505" s="74">
        <f t="shared" si="1"/>
        <v>690000</v>
      </c>
      <c r="J8505" s="74">
        <f>IF(E8505="SERVICE",I8505-(I8505*50%),Vlookup(E8505,DATABASE!C:Q,10,false)*F8505)</f>
        <v>0</v>
      </c>
      <c r="K8505" s="74">
        <f>VLOOKUP(E8505,DATABASE!C:Q,7,false)</f>
        <v>601000</v>
      </c>
      <c r="L8505" s="74">
        <v>601000.0</v>
      </c>
      <c r="M8505" s="74">
        <f t="shared" si="6"/>
        <v>605000</v>
      </c>
      <c r="N8505" s="74">
        <f t="shared" si="3"/>
        <v>85000</v>
      </c>
      <c r="O8505" s="65" t="str">
        <f>VLOOKUP(E8505,DATABASE!C:Q,8,false)</f>
        <v>IBU</v>
      </c>
      <c r="P8505" s="65">
        <f>VLOOKUP(E8505,DATABASE!C:Q,9,False)</f>
        <v>1</v>
      </c>
      <c r="Q8505" s="93" t="str">
        <f>VLOOKUP(E8505,DATABASE!C:Q,4,false)</f>
        <v>Dunlop</v>
      </c>
      <c r="R8505" s="93" t="str">
        <f>VLOOKUP(E8505,DATABASE!C:Q,11,false)</f>
        <v>Tire</v>
      </c>
    </row>
    <row r="8506" ht="22.5" customHeight="1">
      <c r="A8506" s="49"/>
      <c r="C8506" s="400">
        <v>46154.0</v>
      </c>
      <c r="D8506" s="524">
        <v>1337.0</v>
      </c>
      <c r="E8506" s="544" t="s">
        <v>268</v>
      </c>
      <c r="F8506" s="387">
        <v>1.0</v>
      </c>
      <c r="G8506" s="140">
        <v>720000.0</v>
      </c>
      <c r="H8506" s="74"/>
      <c r="I8506" s="74">
        <f t="shared" si="1"/>
        <v>720000</v>
      </c>
      <c r="J8506" s="74">
        <f>IF(E8506="SERVICE",I8506-(I8506*50%),Vlookup(E8506,DATABASE!C:Q,10,false)*F8506)</f>
        <v>0</v>
      </c>
      <c r="K8506" s="74">
        <f>VLOOKUP(E8506,DATABASE!C:Q,7,false)</f>
        <v>653000</v>
      </c>
      <c r="L8506" s="74">
        <v>634500.0</v>
      </c>
      <c r="M8506" s="74">
        <f t="shared" si="6"/>
        <v>635000</v>
      </c>
      <c r="N8506" s="74">
        <f t="shared" si="3"/>
        <v>85000</v>
      </c>
      <c r="O8506" s="65" t="str">
        <f>VLOOKUP(E8506,DATABASE!C:Q,8,false)</f>
        <v>IBU</v>
      </c>
      <c r="P8506" s="65">
        <f>VLOOKUP(E8506,DATABASE!C:Q,9,False)</f>
        <v>1</v>
      </c>
      <c r="Q8506" s="93" t="str">
        <f>VLOOKUP(E8506,DATABASE!C:Q,4,false)</f>
        <v>Dunlop</v>
      </c>
      <c r="R8506" s="93" t="str">
        <f>VLOOKUP(E8506,DATABASE!C:Q,11,false)</f>
        <v>Tire</v>
      </c>
    </row>
    <row r="8507" ht="22.5" customHeight="1">
      <c r="A8507" s="49"/>
      <c r="C8507" s="400">
        <v>46154.0</v>
      </c>
      <c r="D8507" s="524">
        <v>1338.0</v>
      </c>
      <c r="E8507" s="544" t="s">
        <v>268</v>
      </c>
      <c r="F8507" s="387">
        <v>1.0</v>
      </c>
      <c r="G8507" s="140">
        <v>720000.0</v>
      </c>
      <c r="H8507" s="74"/>
      <c r="I8507" s="74">
        <f t="shared" si="1"/>
        <v>720000</v>
      </c>
      <c r="J8507" s="74">
        <f>IF(E8507="SERVICE",I8507-(I8507*50%),Vlookup(E8507,DATABASE!C:Q,10,false)*F8507)</f>
        <v>0</v>
      </c>
      <c r="K8507" s="74">
        <f>VLOOKUP(E8507,DATABASE!C:Q,7,false)</f>
        <v>653000</v>
      </c>
      <c r="L8507" s="74">
        <v>634500.0</v>
      </c>
      <c r="M8507" s="74">
        <f t="shared" si="6"/>
        <v>635000</v>
      </c>
      <c r="N8507" s="74">
        <f t="shared" si="3"/>
        <v>85000</v>
      </c>
      <c r="O8507" s="65" t="str">
        <f>VLOOKUP(E8507,DATABASE!C:Q,8,false)</f>
        <v>IBU</v>
      </c>
      <c r="P8507" s="65">
        <f>VLOOKUP(E8507,DATABASE!C:Q,9,False)</f>
        <v>1</v>
      </c>
      <c r="Q8507" s="93" t="str">
        <f>VLOOKUP(E8507,DATABASE!C:Q,4,false)</f>
        <v>Dunlop</v>
      </c>
      <c r="R8507" s="93" t="str">
        <f>VLOOKUP(E8507,DATABASE!C:Q,11,false)</f>
        <v>Tire</v>
      </c>
    </row>
    <row r="8508" ht="22.5" customHeight="1">
      <c r="A8508" s="49"/>
      <c r="C8508" s="400">
        <v>46154.0</v>
      </c>
      <c r="D8508" s="524">
        <v>1339.0</v>
      </c>
      <c r="E8508" s="544" t="s">
        <v>1430</v>
      </c>
      <c r="F8508" s="387">
        <v>2.0</v>
      </c>
      <c r="G8508" s="140">
        <v>775000.0</v>
      </c>
      <c r="H8508" s="74"/>
      <c r="I8508" s="74">
        <f t="shared" si="1"/>
        <v>1550000</v>
      </c>
      <c r="J8508" s="74">
        <f>IF(E8508="SERVICE",I8508-(I8508*50%),Vlookup(E8508,DATABASE!C:Q,10,false)*F8508)</f>
        <v>0</v>
      </c>
      <c r="K8508" s="74">
        <f>VLOOKUP(E8508,DATABASE!C:Q,7,false)</f>
        <v>672800</v>
      </c>
      <c r="L8508" s="74">
        <v>672800.0</v>
      </c>
      <c r="M8508" s="74">
        <f t="shared" si="6"/>
        <v>675000</v>
      </c>
      <c r="N8508" s="74">
        <f t="shared" si="3"/>
        <v>200000</v>
      </c>
      <c r="O8508" s="65" t="str">
        <f>VLOOKUP(E8508,DATABASE!C:Q,8,false)</f>
        <v>BIAN</v>
      </c>
      <c r="P8508" s="65">
        <f>VLOOKUP(E8508,DATABASE!C:Q,9,False)</f>
        <v>1</v>
      </c>
      <c r="Q8508" s="93" t="str">
        <f>VLOOKUP(E8508,DATABASE!C:Q,4,false)</f>
        <v>GT</v>
      </c>
      <c r="R8508" s="93" t="str">
        <f>VLOOKUP(E8508,DATABASE!C:Q,11,false)</f>
        <v>Tire</v>
      </c>
    </row>
    <row r="8509" ht="22.5" customHeight="1">
      <c r="A8509" s="49"/>
      <c r="C8509" s="400">
        <v>46154.0</v>
      </c>
      <c r="D8509" s="524">
        <v>1340.0</v>
      </c>
      <c r="E8509" s="544" t="s">
        <v>299</v>
      </c>
      <c r="F8509" s="387">
        <v>2.0</v>
      </c>
      <c r="G8509" s="140">
        <v>30000.0</v>
      </c>
      <c r="H8509" s="74"/>
      <c r="I8509" s="74">
        <f t="shared" si="1"/>
        <v>60000</v>
      </c>
      <c r="J8509" s="74">
        <f>IF(E8509="SERVICE",I8509-(I8509*50%),Vlookup(E8509,DATABASE!C:Q,10,false)*F8509)</f>
        <v>0</v>
      </c>
      <c r="K8509" s="74">
        <f>VLOOKUP(E8509,DATABASE!C:Q,7,false)</f>
        <v>10000</v>
      </c>
      <c r="L8509" s="74">
        <v>10000.0</v>
      </c>
      <c r="M8509" s="74">
        <f t="shared" si="6"/>
        <v>10000</v>
      </c>
      <c r="N8509" s="74">
        <f t="shared" si="3"/>
        <v>40000</v>
      </c>
      <c r="O8509" s="65" t="str">
        <f>VLOOKUP(E8509,DATABASE!C:Q,8,false)</f>
        <v>BIAN</v>
      </c>
      <c r="P8509" s="65">
        <f>VLOOKUP(E8509,DATABASE!C:Q,9,False)</f>
        <v>0</v>
      </c>
      <c r="Q8509" s="93" t="str">
        <f>VLOOKUP(E8509,DATABASE!C:Q,4,false)</f>
        <v>Balancing</v>
      </c>
      <c r="R8509" s="93" t="str">
        <f>VLOOKUP(E8509,DATABASE!C:Q,11,false)</f>
        <v>COMPLEMENTARY</v>
      </c>
    </row>
    <row r="8510" ht="22.5" customHeight="1">
      <c r="A8510" s="49"/>
      <c r="C8510" s="400">
        <v>46154.0</v>
      </c>
      <c r="D8510" s="524">
        <v>1341.0</v>
      </c>
      <c r="E8510" s="544" t="s">
        <v>265</v>
      </c>
      <c r="F8510" s="387">
        <v>4.0</v>
      </c>
      <c r="G8510" s="140">
        <v>700000.0</v>
      </c>
      <c r="H8510" s="74"/>
      <c r="I8510" s="74">
        <f t="shared" si="1"/>
        <v>2800000</v>
      </c>
      <c r="J8510" s="74">
        <f>IF(E8510="SERVICE",I8510-(I8510*50%),Vlookup(E8510,DATABASE!C:Q,10,false)*F8510)</f>
        <v>0</v>
      </c>
      <c r="K8510" s="74">
        <f>VLOOKUP(E8510,DATABASE!C:Q,7,false)</f>
        <v>628000</v>
      </c>
      <c r="L8510" s="74">
        <v>610000.0</v>
      </c>
      <c r="M8510" s="74">
        <f t="shared" si="6"/>
        <v>610000</v>
      </c>
      <c r="N8510" s="74">
        <f t="shared" si="3"/>
        <v>360000</v>
      </c>
      <c r="O8510" s="65" t="str">
        <f>VLOOKUP(E8510,DATABASE!C:Q,8,false)</f>
        <v>IBU</v>
      </c>
      <c r="P8510" s="65">
        <f>VLOOKUP(E8510,DATABASE!C:Q,9,False)</f>
        <v>1</v>
      </c>
      <c r="Q8510" s="93" t="str">
        <f>VLOOKUP(E8510,DATABASE!C:Q,4,false)</f>
        <v>Dunlop</v>
      </c>
      <c r="R8510" s="93" t="str">
        <f>VLOOKUP(E8510,DATABASE!C:Q,11,false)</f>
        <v>Tire</v>
      </c>
    </row>
    <row r="8511" ht="22.5" customHeight="1">
      <c r="A8511" s="49"/>
      <c r="C8511" s="400">
        <v>46154.0</v>
      </c>
      <c r="D8511" s="524">
        <v>1342.0</v>
      </c>
      <c r="E8511" s="544" t="s">
        <v>566</v>
      </c>
      <c r="F8511" s="387">
        <v>4.0</v>
      </c>
      <c r="G8511" s="140">
        <v>1670000.0</v>
      </c>
      <c r="H8511" s="140">
        <v>20000.0</v>
      </c>
      <c r="I8511" s="74">
        <f t="shared" si="1"/>
        <v>6600000</v>
      </c>
      <c r="J8511" s="74">
        <f>IF(E8511="SERVICE",I8511-(I8511*50%),Vlookup(E8511,DATABASE!C:Q,10,false)*F8511)</f>
        <v>0</v>
      </c>
      <c r="K8511" s="74">
        <f>VLOOKUP(E8511,DATABASE!C:Q,7,false)</f>
        <v>1565000</v>
      </c>
      <c r="L8511" s="74">
        <v>1545000.0</v>
      </c>
      <c r="M8511" s="74">
        <f t="shared" si="6"/>
        <v>1545000</v>
      </c>
      <c r="N8511" s="74">
        <f t="shared" si="3"/>
        <v>420000</v>
      </c>
      <c r="O8511" s="65" t="str">
        <f>VLOOKUP(E8511,DATABASE!C:Q,8,false)</f>
        <v>IBU</v>
      </c>
      <c r="P8511" s="65">
        <f>VLOOKUP(E8511,DATABASE!C:Q,9,False)</f>
        <v>1</v>
      </c>
      <c r="Q8511" s="93" t="str">
        <f>VLOOKUP(E8511,DATABASE!C:Q,4,false)</f>
        <v>Bridgestone</v>
      </c>
      <c r="R8511" s="93" t="str">
        <f>VLOOKUP(E8511,DATABASE!C:Q,11,false)</f>
        <v>Tire</v>
      </c>
    </row>
    <row r="8512" ht="22.5" customHeight="1">
      <c r="A8512" s="49"/>
      <c r="C8512" s="400">
        <v>46154.0</v>
      </c>
      <c r="D8512" s="524">
        <v>1343.0</v>
      </c>
      <c r="E8512" s="544" t="s">
        <v>275</v>
      </c>
      <c r="F8512" s="387">
        <v>2.0</v>
      </c>
      <c r="G8512" s="140">
        <v>850000.0</v>
      </c>
      <c r="H8512" s="74"/>
      <c r="I8512" s="74">
        <f t="shared" si="1"/>
        <v>1700000</v>
      </c>
      <c r="J8512" s="74">
        <f>IF(E8512="SERVICE",I8512-(I8512*50%),Vlookup(E8512,DATABASE!C:Q,10,false)*F8512)</f>
        <v>0</v>
      </c>
      <c r="K8512" s="74">
        <f>VLOOKUP(E8512,DATABASE!C:Q,7,false)</f>
        <v>782000</v>
      </c>
      <c r="L8512" s="74">
        <v>759500.0</v>
      </c>
      <c r="M8512" s="74">
        <f t="shared" si="6"/>
        <v>760000</v>
      </c>
      <c r="N8512" s="74">
        <f t="shared" si="3"/>
        <v>180000</v>
      </c>
      <c r="O8512" s="65" t="str">
        <f>VLOOKUP(E8512,DATABASE!C:Q,8,false)</f>
        <v>IBU</v>
      </c>
      <c r="P8512" s="65">
        <f>VLOOKUP(E8512,DATABASE!C:Q,9,False)</f>
        <v>1</v>
      </c>
      <c r="Q8512" s="93" t="str">
        <f>VLOOKUP(E8512,DATABASE!C:Q,4,false)</f>
        <v>Dunlop</v>
      </c>
      <c r="R8512" s="93" t="str">
        <f>VLOOKUP(E8512,DATABASE!C:Q,11,false)</f>
        <v>Tire</v>
      </c>
    </row>
    <row r="8513" ht="22.5" customHeight="1">
      <c r="A8513" s="49"/>
      <c r="C8513" s="400">
        <v>46154.0</v>
      </c>
      <c r="D8513" s="524">
        <v>1343.0</v>
      </c>
      <c r="E8513" s="544" t="s">
        <v>299</v>
      </c>
      <c r="F8513" s="387">
        <v>2.0</v>
      </c>
      <c r="G8513" s="140">
        <v>30000.0</v>
      </c>
      <c r="H8513" s="74"/>
      <c r="I8513" s="74">
        <f t="shared" si="1"/>
        <v>60000</v>
      </c>
      <c r="J8513" s="74">
        <f>IF(E8513="SERVICE",I8513-(I8513*50%),Vlookup(E8513,DATABASE!C:Q,10,false)*F8513)</f>
        <v>0</v>
      </c>
      <c r="K8513" s="74">
        <f>VLOOKUP(E8513,DATABASE!C:Q,7,false)</f>
        <v>10000</v>
      </c>
      <c r="L8513" s="74">
        <v>10000.0</v>
      </c>
      <c r="M8513" s="74">
        <f t="shared" si="6"/>
        <v>10000</v>
      </c>
      <c r="N8513" s="74">
        <f t="shared" si="3"/>
        <v>40000</v>
      </c>
      <c r="O8513" s="65" t="str">
        <f>VLOOKUP(E8513,DATABASE!C:Q,8,false)</f>
        <v>BIAN</v>
      </c>
      <c r="P8513" s="65">
        <f>VLOOKUP(E8513,DATABASE!C:Q,9,False)</f>
        <v>0</v>
      </c>
      <c r="Q8513" s="93" t="str">
        <f>VLOOKUP(E8513,DATABASE!C:Q,4,false)</f>
        <v>Balancing</v>
      </c>
      <c r="R8513" s="93" t="str">
        <f>VLOOKUP(E8513,DATABASE!C:Q,11,false)</f>
        <v>COMPLEMENTARY</v>
      </c>
    </row>
    <row r="8514" ht="22.5" customHeight="1">
      <c r="A8514" s="49"/>
      <c r="C8514" s="400">
        <v>46154.0</v>
      </c>
      <c r="D8514" s="524">
        <v>1343.0</v>
      </c>
      <c r="E8514" s="544" t="s">
        <v>251</v>
      </c>
      <c r="F8514" s="387">
        <v>1.0</v>
      </c>
      <c r="G8514" s="140">
        <v>350000.0</v>
      </c>
      <c r="H8514" s="140">
        <v>200000.0</v>
      </c>
      <c r="I8514" s="74">
        <f t="shared" si="1"/>
        <v>150000</v>
      </c>
      <c r="J8514" s="74">
        <f>IF(E8514="SERVICE",I8514-(I8514*50%),Vlookup(E8514,DATABASE!C:Q,10,false)*F8514)</f>
        <v>75000</v>
      </c>
      <c r="K8514" s="74">
        <f>VLOOKUP(E8514,DATABASE!C:Q,7,false)</f>
        <v>0</v>
      </c>
      <c r="L8514" s="74">
        <v>0.0</v>
      </c>
      <c r="M8514" s="74">
        <f t="shared" si="6"/>
        <v>0</v>
      </c>
      <c r="N8514" s="74">
        <f t="shared" si="3"/>
        <v>75000</v>
      </c>
      <c r="O8514" s="65" t="str">
        <f>VLOOKUP(E8514,DATABASE!C:Q,8,false)</f>
        <v>IBU</v>
      </c>
      <c r="P8514" s="65">
        <f>VLOOKUP(E8514,DATABASE!C:Q,9,False)</f>
        <v>0</v>
      </c>
      <c r="Q8514" s="93" t="str">
        <f>VLOOKUP(E8514,DATABASE!C:Q,4,false)</f>
        <v>SERVICE</v>
      </c>
      <c r="R8514" s="93" t="str">
        <f>VLOOKUP(E8514,DATABASE!C:Q,11,false)</f>
        <v>SERVICE</v>
      </c>
    </row>
    <row r="8515" ht="22.5" customHeight="1">
      <c r="A8515" s="49"/>
      <c r="C8515" s="400">
        <v>46154.0</v>
      </c>
      <c r="D8515" s="524">
        <v>1343.0</v>
      </c>
      <c r="E8515" s="544" t="s">
        <v>305</v>
      </c>
      <c r="F8515" s="387">
        <v>1.0</v>
      </c>
      <c r="G8515" s="140">
        <v>235000.0</v>
      </c>
      <c r="H8515" s="74"/>
      <c r="I8515" s="74">
        <f t="shared" si="1"/>
        <v>235000</v>
      </c>
      <c r="J8515" s="74">
        <f>IF(E8515="SERVICE",I8515-(I8515*50%),Vlookup(E8515,DATABASE!C:Q,10,false)*F8515)</f>
        <v>40000</v>
      </c>
      <c r="K8515" s="74">
        <f>VLOOKUP(E8515,DATABASE!C:Q,7,false)</f>
        <v>158530.2</v>
      </c>
      <c r="L8515" s="74">
        <v>151890.0</v>
      </c>
      <c r="M8515" s="74">
        <f t="shared" si="6"/>
        <v>155000</v>
      </c>
      <c r="N8515" s="74">
        <f t="shared" si="3"/>
        <v>40000</v>
      </c>
      <c r="O8515" s="65" t="str">
        <f>VLOOKUP(E8515,DATABASE!C:Q,8,false)</f>
        <v>BIAN</v>
      </c>
      <c r="P8515" s="65">
        <f>VLOOKUP(E8515,DATABASE!C:Q,9,False)</f>
        <v>1</v>
      </c>
      <c r="Q8515" s="93" t="str">
        <f>VLOOKUP(E8515,DATABASE!C:Q,4,false)</f>
        <v>Lower Arm</v>
      </c>
      <c r="R8515" s="93" t="str">
        <f>VLOOKUP(E8515,DATABASE!C:Q,11,false)</f>
        <v>COMPLEMENTARY</v>
      </c>
    </row>
    <row r="8516" ht="22.5" customHeight="1">
      <c r="A8516" s="49"/>
      <c r="C8516" s="400">
        <v>46154.0</v>
      </c>
      <c r="D8516" s="524">
        <v>1343.0</v>
      </c>
      <c r="E8516" s="544" t="s">
        <v>478</v>
      </c>
      <c r="F8516" s="387">
        <v>1.0</v>
      </c>
      <c r="G8516" s="140">
        <v>200000.0</v>
      </c>
      <c r="H8516" s="74"/>
      <c r="I8516" s="74">
        <f t="shared" si="1"/>
        <v>200000</v>
      </c>
      <c r="J8516" s="74">
        <f>IF(E8516="SERVICE",I8516-(I8516*50%),Vlookup(E8516,DATABASE!C:Q,10,false)*F8516)</f>
        <v>25000</v>
      </c>
      <c r="K8516" s="74">
        <f>VLOOKUP(E8516,DATABASE!C:Q,7,false)</f>
        <v>75000</v>
      </c>
      <c r="L8516" s="74">
        <v>75000.0</v>
      </c>
      <c r="M8516" s="74">
        <f t="shared" si="6"/>
        <v>75000</v>
      </c>
      <c r="N8516" s="74">
        <f t="shared" si="3"/>
        <v>100000</v>
      </c>
      <c r="O8516" s="65" t="str">
        <f>VLOOKUP(E8516,DATABASE!C:Q,8,false)</f>
        <v>BIAN</v>
      </c>
      <c r="P8516" s="65">
        <f>VLOOKUP(E8516,DATABASE!C:Q,9,False)</f>
        <v>0</v>
      </c>
      <c r="Q8516" s="93" t="str">
        <f>VLOOKUP(E8516,DATABASE!C:Q,4,false)</f>
        <v>Baut Camber ss-carry</v>
      </c>
      <c r="R8516" s="93" t="str">
        <f>VLOOKUP(E8516,DATABASE!C:Q,11,false)</f>
        <v>COMPLEMENTARY</v>
      </c>
    </row>
    <row r="8517" ht="22.5" customHeight="1">
      <c r="A8517" s="49"/>
      <c r="C8517" s="400">
        <v>46154.0</v>
      </c>
      <c r="D8517" s="524">
        <v>1344.0</v>
      </c>
      <c r="E8517" s="544" t="s">
        <v>1430</v>
      </c>
      <c r="F8517" s="387">
        <v>2.0</v>
      </c>
      <c r="G8517" s="140">
        <v>775000.0</v>
      </c>
      <c r="H8517" s="74"/>
      <c r="I8517" s="74">
        <f t="shared" si="1"/>
        <v>1550000</v>
      </c>
      <c r="J8517" s="74">
        <f>IF(E8517="SERVICE",I8517-(I8517*50%),Vlookup(E8517,DATABASE!C:Q,10,false)*F8517)</f>
        <v>0</v>
      </c>
      <c r="K8517" s="74">
        <f>VLOOKUP(E8517,DATABASE!C:Q,7,false)</f>
        <v>672800</v>
      </c>
      <c r="L8517" s="74">
        <v>672800.0</v>
      </c>
      <c r="M8517" s="74">
        <f t="shared" si="6"/>
        <v>675000</v>
      </c>
      <c r="N8517" s="74">
        <f t="shared" si="3"/>
        <v>200000</v>
      </c>
      <c r="O8517" s="65" t="str">
        <f>VLOOKUP(E8517,DATABASE!C:Q,8,false)</f>
        <v>BIAN</v>
      </c>
      <c r="P8517" s="65">
        <f>VLOOKUP(E8517,DATABASE!C:Q,9,False)</f>
        <v>1</v>
      </c>
      <c r="Q8517" s="93" t="str">
        <f>VLOOKUP(E8517,DATABASE!C:Q,4,false)</f>
        <v>GT</v>
      </c>
      <c r="R8517" s="93" t="str">
        <f>VLOOKUP(E8517,DATABASE!C:Q,11,false)</f>
        <v>Tire</v>
      </c>
    </row>
    <row r="8518" ht="22.5" customHeight="1">
      <c r="A8518" s="49"/>
      <c r="C8518" s="400">
        <v>46154.0</v>
      </c>
      <c r="D8518" s="69" t="s">
        <v>2807</v>
      </c>
      <c r="E8518" s="544" t="s">
        <v>263</v>
      </c>
      <c r="F8518" s="387">
        <v>1.0</v>
      </c>
      <c r="G8518" s="140">
        <v>345000.0</v>
      </c>
      <c r="H8518" s="140">
        <v>10000.0</v>
      </c>
      <c r="I8518" s="74">
        <f t="shared" si="1"/>
        <v>335000</v>
      </c>
      <c r="J8518" s="74">
        <f>IF(E8518="SERVICE",I8518-(I8518*50%),Vlookup(E8518,DATABASE!C:Q,10,false)*F8518)</f>
        <v>0</v>
      </c>
      <c r="K8518" s="74">
        <f>VLOOKUP(E8518,DATABASE!C:Q,7,false)</f>
        <v>334916</v>
      </c>
      <c r="L8518" s="74">
        <v>292600.0</v>
      </c>
      <c r="M8518" s="74">
        <f t="shared" si="6"/>
        <v>295000</v>
      </c>
      <c r="N8518" s="74">
        <f t="shared" si="3"/>
        <v>40000</v>
      </c>
      <c r="O8518" s="65" t="str">
        <f>VLOOKUP(E8518,DATABASE!C:Q,8,false)</f>
        <v>NON</v>
      </c>
      <c r="P8518" s="65">
        <f>VLOOKUP(E8518,DATABASE!C:Q,9,False)</f>
        <v>0</v>
      </c>
      <c r="Q8518" s="93" t="str">
        <f>VLOOKUP(E8518,DATABASE!C:Q,4,false)</f>
        <v>Shell</v>
      </c>
      <c r="R8518" s="93" t="str">
        <f>VLOOKUP(E8518,DATABASE!C:Q,11,false)</f>
        <v>OIL</v>
      </c>
    </row>
    <row r="8519" ht="22.5" customHeight="1">
      <c r="A8519" s="49"/>
      <c r="C8519" s="400">
        <v>46155.0</v>
      </c>
      <c r="D8519" s="524">
        <v>1346.0</v>
      </c>
      <c r="E8519" s="544" t="s">
        <v>777</v>
      </c>
      <c r="F8519" s="387">
        <v>1.0</v>
      </c>
      <c r="G8519" s="140">
        <v>600000.0</v>
      </c>
      <c r="H8519" s="74"/>
      <c r="I8519" s="74">
        <f t="shared" si="1"/>
        <v>600000</v>
      </c>
      <c r="J8519" s="74">
        <f>IF(E8519="SERVICE",I8519-(I8519*50%),Vlookup(E8519,DATABASE!C:Q,10,false)*F8519)</f>
        <v>0</v>
      </c>
      <c r="K8519" s="74">
        <f>VLOOKUP(E8519,DATABASE!C:Q,7,false)</f>
        <v>540000</v>
      </c>
      <c r="L8519" s="74">
        <v>505000.0</v>
      </c>
      <c r="M8519" s="74">
        <f t="shared" si="6"/>
        <v>505000</v>
      </c>
      <c r="N8519" s="74">
        <f t="shared" si="3"/>
        <v>95000</v>
      </c>
      <c r="O8519" s="65" t="str">
        <f>VLOOKUP(E8519,DATABASE!C:Q,8,false)</f>
        <v>BIAN</v>
      </c>
      <c r="P8519" s="65">
        <f>VLOOKUP(E8519,DATABASE!C:Q,9,False)</f>
        <v>1</v>
      </c>
      <c r="Q8519" s="93" t="str">
        <f>VLOOKUP(E8519,DATABASE!C:Q,4,false)</f>
        <v>GT</v>
      </c>
      <c r="R8519" s="93" t="str">
        <f>VLOOKUP(E8519,DATABASE!C:Q,11,false)</f>
        <v>Tire</v>
      </c>
    </row>
    <row r="8520" ht="22.5" customHeight="1">
      <c r="A8520" s="49"/>
      <c r="C8520" s="400">
        <v>46155.0</v>
      </c>
      <c r="D8520" s="524">
        <v>1347.0</v>
      </c>
      <c r="E8520" s="544" t="s">
        <v>268</v>
      </c>
      <c r="F8520" s="387">
        <v>2.0</v>
      </c>
      <c r="G8520" s="140">
        <v>720000.0</v>
      </c>
      <c r="H8520" s="74"/>
      <c r="I8520" s="74">
        <f t="shared" si="1"/>
        <v>1440000</v>
      </c>
      <c r="J8520" s="74">
        <f>IF(E8520="SERVICE",I8520-(I8520*50%),Vlookup(E8520,DATABASE!C:Q,10,false)*F8520)</f>
        <v>0</v>
      </c>
      <c r="K8520" s="74">
        <f>VLOOKUP(E8520,DATABASE!C:Q,7,false)</f>
        <v>653000</v>
      </c>
      <c r="L8520" s="74">
        <v>634500.0</v>
      </c>
      <c r="M8520" s="74">
        <f t="shared" si="6"/>
        <v>635000</v>
      </c>
      <c r="N8520" s="74">
        <f t="shared" si="3"/>
        <v>170000</v>
      </c>
      <c r="O8520" s="65" t="str">
        <f>VLOOKUP(E8520,DATABASE!C:Q,8,false)</f>
        <v>IBU</v>
      </c>
      <c r="P8520" s="65">
        <f>VLOOKUP(E8520,DATABASE!C:Q,9,False)</f>
        <v>1</v>
      </c>
      <c r="Q8520" s="93" t="str">
        <f>VLOOKUP(E8520,DATABASE!C:Q,4,false)</f>
        <v>Dunlop</v>
      </c>
      <c r="R8520" s="93" t="str">
        <f>VLOOKUP(E8520,DATABASE!C:Q,11,false)</f>
        <v>Tire</v>
      </c>
    </row>
    <row r="8521" ht="22.5" customHeight="1">
      <c r="A8521" s="49"/>
      <c r="C8521" s="400">
        <v>46155.0</v>
      </c>
      <c r="D8521" s="524">
        <v>1348.0</v>
      </c>
      <c r="E8521" s="544" t="s">
        <v>294</v>
      </c>
      <c r="F8521" s="387">
        <v>2.0</v>
      </c>
      <c r="G8521" s="140">
        <v>590000.0</v>
      </c>
      <c r="H8521" s="74"/>
      <c r="I8521" s="74">
        <f t="shared" si="1"/>
        <v>1180000</v>
      </c>
      <c r="J8521" s="74">
        <f>IF(E8521="SERVICE",I8521-(I8521*50%),Vlookup(E8521,DATABASE!C:Q,10,false)*F8521)</f>
        <v>0</v>
      </c>
      <c r="K8521" s="74">
        <f>VLOOKUP(E8521,DATABASE!C:Q,7,false)</f>
        <v>505000</v>
      </c>
      <c r="L8521" s="74">
        <v>505000.0</v>
      </c>
      <c r="M8521" s="74">
        <f t="shared" si="6"/>
        <v>505000</v>
      </c>
      <c r="N8521" s="74">
        <f t="shared" si="3"/>
        <v>170000</v>
      </c>
      <c r="O8521" s="65" t="str">
        <f>VLOOKUP(E8521,DATABASE!C:Q,8,false)</f>
        <v>BIAN</v>
      </c>
      <c r="P8521" s="65">
        <f>VLOOKUP(E8521,DATABASE!C:Q,9,False)</f>
        <v>1</v>
      </c>
      <c r="Q8521" s="93" t="str">
        <f>VLOOKUP(E8521,DATABASE!C:Q,4,false)</f>
        <v>GT</v>
      </c>
      <c r="R8521" s="93" t="str">
        <f>VLOOKUP(E8521,DATABASE!C:Q,11,false)</f>
        <v>Tire</v>
      </c>
    </row>
    <row r="8522" ht="22.5" customHeight="1">
      <c r="A8522" s="49"/>
      <c r="C8522" s="400">
        <v>46155.0</v>
      </c>
      <c r="D8522" s="524">
        <v>1348.0</v>
      </c>
      <c r="E8522" s="544" t="s">
        <v>299</v>
      </c>
      <c r="F8522" s="387">
        <v>2.0</v>
      </c>
      <c r="G8522" s="140">
        <v>30000.0</v>
      </c>
      <c r="H8522" s="74"/>
      <c r="I8522" s="74">
        <f t="shared" si="1"/>
        <v>60000</v>
      </c>
      <c r="J8522" s="74">
        <f>IF(E8522="SERVICE",I8522-(I8522*50%),Vlookup(E8522,DATABASE!C:Q,10,false)*F8522)</f>
        <v>0</v>
      </c>
      <c r="K8522" s="74">
        <f>VLOOKUP(E8522,DATABASE!C:Q,7,false)</f>
        <v>10000</v>
      </c>
      <c r="L8522" s="74">
        <v>10000.0</v>
      </c>
      <c r="M8522" s="74">
        <f t="shared" si="6"/>
        <v>10000</v>
      </c>
      <c r="N8522" s="74">
        <f t="shared" si="3"/>
        <v>40000</v>
      </c>
      <c r="O8522" s="65" t="str">
        <f>VLOOKUP(E8522,DATABASE!C:Q,8,false)</f>
        <v>BIAN</v>
      </c>
      <c r="P8522" s="65">
        <f>VLOOKUP(E8522,DATABASE!C:Q,9,False)</f>
        <v>0</v>
      </c>
      <c r="Q8522" s="93" t="str">
        <f>VLOOKUP(E8522,DATABASE!C:Q,4,false)</f>
        <v>Balancing</v>
      </c>
      <c r="R8522" s="93" t="str">
        <f>VLOOKUP(E8522,DATABASE!C:Q,11,false)</f>
        <v>COMPLEMENTARY</v>
      </c>
    </row>
    <row r="8523" ht="22.5" customHeight="1">
      <c r="A8523" s="49"/>
      <c r="C8523" s="400">
        <v>46155.0</v>
      </c>
      <c r="D8523" s="524">
        <v>1348.0</v>
      </c>
      <c r="E8523" s="544" t="s">
        <v>262</v>
      </c>
      <c r="F8523" s="387">
        <v>1.0</v>
      </c>
      <c r="G8523" s="140">
        <v>130000.0</v>
      </c>
      <c r="H8523" s="74"/>
      <c r="I8523" s="74">
        <f t="shared" si="1"/>
        <v>130000</v>
      </c>
      <c r="J8523" s="74">
        <f>IF(E8523="SERVICE",I8523-(I8523*50%),Vlookup(E8523,DATABASE!C:Q,10,false)*F8523)</f>
        <v>5000</v>
      </c>
      <c r="K8523" s="74">
        <f>VLOOKUP(E8523,DATABASE!C:Q,7,false)</f>
        <v>0</v>
      </c>
      <c r="L8523" s="74">
        <v>0.0</v>
      </c>
      <c r="M8523" s="74">
        <f t="shared" si="6"/>
        <v>0</v>
      </c>
      <c r="N8523" s="74">
        <f t="shared" si="3"/>
        <v>125000</v>
      </c>
      <c r="O8523" s="65" t="str">
        <f>VLOOKUP(E8523,DATABASE!C:Q,8,false)</f>
        <v>IBU</v>
      </c>
      <c r="P8523" s="65">
        <f>VLOOKUP(E8523,DATABASE!C:Q,9,False)</f>
        <v>0</v>
      </c>
      <c r="Q8523" s="93" t="str">
        <f>VLOOKUP(E8523,DATABASE!C:Q,4,false)</f>
        <v>SPOORING SS/CARRY LOS BAK</v>
      </c>
      <c r="R8523" s="93" t="str">
        <f>VLOOKUP(E8523,DATABASE!C:Q,11,false)</f>
        <v>SERVICE</v>
      </c>
    </row>
    <row r="8524" ht="22.5" customHeight="1">
      <c r="A8524" s="49"/>
      <c r="C8524" s="400">
        <v>46155.0</v>
      </c>
      <c r="D8524" s="524">
        <v>1348.0</v>
      </c>
      <c r="E8524" s="544" t="s">
        <v>305</v>
      </c>
      <c r="F8524" s="387">
        <v>2.0</v>
      </c>
      <c r="G8524" s="140">
        <v>235000.0</v>
      </c>
      <c r="H8524" s="74"/>
      <c r="I8524" s="74">
        <f t="shared" si="1"/>
        <v>470000</v>
      </c>
      <c r="J8524" s="74">
        <f>IF(E8524="SERVICE",I8524-(I8524*50%),Vlookup(E8524,DATABASE!C:Q,10,false)*F8524)</f>
        <v>80000</v>
      </c>
      <c r="K8524" s="74">
        <f>VLOOKUP(E8524,DATABASE!C:Q,7,false)</f>
        <v>158530.2</v>
      </c>
      <c r="L8524" s="74">
        <v>151890.0</v>
      </c>
      <c r="M8524" s="74">
        <f t="shared" si="6"/>
        <v>155000</v>
      </c>
      <c r="N8524" s="74">
        <f t="shared" si="3"/>
        <v>80000</v>
      </c>
      <c r="O8524" s="65" t="str">
        <f>VLOOKUP(E8524,DATABASE!C:Q,8,false)</f>
        <v>BIAN</v>
      </c>
      <c r="P8524" s="65">
        <f>VLOOKUP(E8524,DATABASE!C:Q,9,False)</f>
        <v>1</v>
      </c>
      <c r="Q8524" s="93" t="str">
        <f>VLOOKUP(E8524,DATABASE!C:Q,4,false)</f>
        <v>Lower Arm</v>
      </c>
      <c r="R8524" s="93" t="str">
        <f>VLOOKUP(E8524,DATABASE!C:Q,11,false)</f>
        <v>COMPLEMENTARY</v>
      </c>
    </row>
    <row r="8525" ht="22.5" customHeight="1">
      <c r="A8525" s="49"/>
      <c r="C8525" s="400">
        <v>46155.0</v>
      </c>
      <c r="D8525" s="524">
        <v>1348.0</v>
      </c>
      <c r="E8525" s="544" t="s">
        <v>478</v>
      </c>
      <c r="F8525" s="387">
        <v>1.0</v>
      </c>
      <c r="G8525" s="140">
        <v>200000.0</v>
      </c>
      <c r="H8525" s="74"/>
      <c r="I8525" s="74">
        <f t="shared" si="1"/>
        <v>200000</v>
      </c>
      <c r="J8525" s="74">
        <f>IF(E8525="SERVICE",I8525-(I8525*50%),Vlookup(E8525,DATABASE!C:Q,10,false)*F8525)</f>
        <v>25000</v>
      </c>
      <c r="K8525" s="74">
        <f>VLOOKUP(E8525,DATABASE!C:Q,7,false)</f>
        <v>75000</v>
      </c>
      <c r="L8525" s="74">
        <v>75000.0</v>
      </c>
      <c r="M8525" s="74">
        <f t="shared" si="6"/>
        <v>75000</v>
      </c>
      <c r="N8525" s="74">
        <f t="shared" si="3"/>
        <v>100000</v>
      </c>
      <c r="O8525" s="65" t="str">
        <f>VLOOKUP(E8525,DATABASE!C:Q,8,false)</f>
        <v>BIAN</v>
      </c>
      <c r="P8525" s="65">
        <f>VLOOKUP(E8525,DATABASE!C:Q,9,False)</f>
        <v>0</v>
      </c>
      <c r="Q8525" s="93" t="str">
        <f>VLOOKUP(E8525,DATABASE!C:Q,4,false)</f>
        <v>Baut Camber ss-carry</v>
      </c>
      <c r="R8525" s="93" t="str">
        <f>VLOOKUP(E8525,DATABASE!C:Q,11,false)</f>
        <v>COMPLEMENTARY</v>
      </c>
    </row>
    <row r="8526" ht="22.5" customHeight="1">
      <c r="A8526" s="49"/>
      <c r="C8526" s="400">
        <v>46155.0</v>
      </c>
      <c r="D8526" s="524">
        <v>1349.0</v>
      </c>
      <c r="E8526" s="544" t="s">
        <v>1439</v>
      </c>
      <c r="F8526" s="387">
        <v>2.0</v>
      </c>
      <c r="G8526" s="140">
        <v>645000.0</v>
      </c>
      <c r="H8526" s="74"/>
      <c r="I8526" s="74">
        <f t="shared" si="1"/>
        <v>1290000</v>
      </c>
      <c r="J8526" s="74">
        <f>IF(E8526="SERVICE",I8526-(I8526*50%),Vlookup(E8526,DATABASE!C:Q,10,false)*F8526)</f>
        <v>0</v>
      </c>
      <c r="K8526" s="74">
        <f>VLOOKUP(E8526,DATABASE!C:Q,7,false)</f>
        <v>556800</v>
      </c>
      <c r="L8526" s="74">
        <v>556800.0</v>
      </c>
      <c r="M8526" s="74">
        <f t="shared" si="6"/>
        <v>560000</v>
      </c>
      <c r="N8526" s="74">
        <f t="shared" si="3"/>
        <v>170000</v>
      </c>
      <c r="O8526" s="65" t="str">
        <f>VLOOKUP(E8526,DATABASE!C:Q,8,false)</f>
        <v>BIAN</v>
      </c>
      <c r="P8526" s="65">
        <f>VLOOKUP(E8526,DATABASE!C:Q,9,False)</f>
        <v>1</v>
      </c>
      <c r="Q8526" s="93" t="str">
        <f>VLOOKUP(E8526,DATABASE!C:Q,4,false)</f>
        <v>GT</v>
      </c>
      <c r="R8526" s="93" t="str">
        <f>VLOOKUP(E8526,DATABASE!C:Q,11,false)</f>
        <v>Tire</v>
      </c>
    </row>
    <row r="8527" ht="22.5" customHeight="1">
      <c r="A8527" s="49"/>
      <c r="C8527" s="400">
        <v>46155.0</v>
      </c>
      <c r="D8527" s="524">
        <v>1349.0</v>
      </c>
      <c r="E8527" s="544" t="s">
        <v>262</v>
      </c>
      <c r="F8527" s="387">
        <v>1.0</v>
      </c>
      <c r="G8527" s="140">
        <v>130000.0</v>
      </c>
      <c r="H8527" s="74"/>
      <c r="I8527" s="74">
        <f t="shared" si="1"/>
        <v>130000</v>
      </c>
      <c r="J8527" s="74">
        <f>IF(E8527="SERVICE",I8527-(I8527*50%),Vlookup(E8527,DATABASE!C:Q,10,false)*F8527)</f>
        <v>5000</v>
      </c>
      <c r="K8527" s="74">
        <f>VLOOKUP(E8527,DATABASE!C:Q,7,false)</f>
        <v>0</v>
      </c>
      <c r="L8527" s="74">
        <v>0.0</v>
      </c>
      <c r="M8527" s="74">
        <f t="shared" si="6"/>
        <v>0</v>
      </c>
      <c r="N8527" s="74">
        <f t="shared" si="3"/>
        <v>125000</v>
      </c>
      <c r="O8527" s="65" t="str">
        <f>VLOOKUP(E8527,DATABASE!C:Q,8,false)</f>
        <v>IBU</v>
      </c>
      <c r="P8527" s="65">
        <f>VLOOKUP(E8527,DATABASE!C:Q,9,False)</f>
        <v>0</v>
      </c>
      <c r="Q8527" s="93" t="str">
        <f>VLOOKUP(E8527,DATABASE!C:Q,4,false)</f>
        <v>SPOORING SS/CARRY LOS BAK</v>
      </c>
      <c r="R8527" s="93" t="str">
        <f>VLOOKUP(E8527,DATABASE!C:Q,11,false)</f>
        <v>SERVICE</v>
      </c>
    </row>
    <row r="8528" ht="22.5" customHeight="1">
      <c r="A8528" s="49"/>
      <c r="C8528" s="400">
        <v>46155.0</v>
      </c>
      <c r="D8528" s="524">
        <v>1349.0</v>
      </c>
      <c r="E8528" s="544" t="s">
        <v>305</v>
      </c>
      <c r="F8528" s="387">
        <v>1.0</v>
      </c>
      <c r="G8528" s="140">
        <v>235000.0</v>
      </c>
      <c r="H8528" s="74"/>
      <c r="I8528" s="74">
        <f t="shared" si="1"/>
        <v>235000</v>
      </c>
      <c r="J8528" s="74">
        <f>IF(E8528="SERVICE",I8528-(I8528*50%),Vlookup(E8528,DATABASE!C:Q,10,false)*F8528)</f>
        <v>40000</v>
      </c>
      <c r="K8528" s="74">
        <f>VLOOKUP(E8528,DATABASE!C:Q,7,false)</f>
        <v>158530.2</v>
      </c>
      <c r="L8528" s="74">
        <v>151890.0</v>
      </c>
      <c r="M8528" s="74">
        <f t="shared" si="6"/>
        <v>155000</v>
      </c>
      <c r="N8528" s="74">
        <f t="shared" si="3"/>
        <v>40000</v>
      </c>
      <c r="O8528" s="65" t="str">
        <f>VLOOKUP(E8528,DATABASE!C:Q,8,false)</f>
        <v>BIAN</v>
      </c>
      <c r="P8528" s="65">
        <f>VLOOKUP(E8528,DATABASE!C:Q,9,False)</f>
        <v>1</v>
      </c>
      <c r="Q8528" s="93" t="str">
        <f>VLOOKUP(E8528,DATABASE!C:Q,4,false)</f>
        <v>Lower Arm</v>
      </c>
      <c r="R8528" s="93" t="str">
        <f>VLOOKUP(E8528,DATABASE!C:Q,11,false)</f>
        <v>COMPLEMENTARY</v>
      </c>
    </row>
    <row r="8529" ht="22.5" customHeight="1">
      <c r="A8529" s="49"/>
      <c r="C8529" s="400">
        <v>46155.0</v>
      </c>
      <c r="D8529" s="524">
        <v>1349.0</v>
      </c>
      <c r="E8529" s="544" t="s">
        <v>251</v>
      </c>
      <c r="F8529" s="387">
        <v>1.0</v>
      </c>
      <c r="G8529" s="140">
        <v>350000.0</v>
      </c>
      <c r="H8529" s="140">
        <v>200000.0</v>
      </c>
      <c r="I8529" s="74">
        <f t="shared" si="1"/>
        <v>150000</v>
      </c>
      <c r="J8529" s="74">
        <f>IF(E8529="SERVICE",I8529-(I8529*50%),Vlookup(E8529,DATABASE!C:Q,10,false)*F8529)</f>
        <v>75000</v>
      </c>
      <c r="K8529" s="74">
        <f>VLOOKUP(E8529,DATABASE!C:Q,7,false)</f>
        <v>0</v>
      </c>
      <c r="L8529" s="74">
        <v>0.0</v>
      </c>
      <c r="M8529" s="74">
        <f t="shared" si="6"/>
        <v>0</v>
      </c>
      <c r="N8529" s="74">
        <f t="shared" si="3"/>
        <v>75000</v>
      </c>
      <c r="O8529" s="65" t="str">
        <f>VLOOKUP(E8529,DATABASE!C:Q,8,false)</f>
        <v>IBU</v>
      </c>
      <c r="P8529" s="65">
        <f>VLOOKUP(E8529,DATABASE!C:Q,9,False)</f>
        <v>0</v>
      </c>
      <c r="Q8529" s="93" t="str">
        <f>VLOOKUP(E8529,DATABASE!C:Q,4,false)</f>
        <v>SERVICE</v>
      </c>
      <c r="R8529" s="93" t="str">
        <f>VLOOKUP(E8529,DATABASE!C:Q,11,false)</f>
        <v>SERVICE</v>
      </c>
    </row>
    <row r="8530" ht="22.5" customHeight="1">
      <c r="A8530" s="49"/>
      <c r="C8530" s="400">
        <v>46155.0</v>
      </c>
      <c r="D8530" s="524">
        <v>1350.0</v>
      </c>
      <c r="E8530" s="544" t="s">
        <v>839</v>
      </c>
      <c r="F8530" s="387">
        <v>2.0</v>
      </c>
      <c r="G8530" s="140">
        <v>580000.0</v>
      </c>
      <c r="H8530" s="74"/>
      <c r="I8530" s="74">
        <f t="shared" si="1"/>
        <v>1160000</v>
      </c>
      <c r="J8530" s="74">
        <f>IF(E8530="SERVICE",I8530-(I8530*50%),Vlookup(E8530,DATABASE!C:Q,10,false)*F8530)</f>
        <v>0</v>
      </c>
      <c r="K8530" s="74">
        <f>VLOOKUP(E8530,DATABASE!C:Q,7,false)</f>
        <v>512640</v>
      </c>
      <c r="L8530" s="74">
        <v>490000.0</v>
      </c>
      <c r="M8530" s="74">
        <f t="shared" si="6"/>
        <v>490000</v>
      </c>
      <c r="N8530" s="74">
        <f t="shared" si="3"/>
        <v>180000</v>
      </c>
      <c r="O8530" s="65" t="str">
        <f>VLOOKUP(E8530,DATABASE!C:Q,8,false)</f>
        <v>BIAN</v>
      </c>
      <c r="P8530" s="65">
        <f>VLOOKUP(E8530,DATABASE!C:Q,9,False)</f>
        <v>1</v>
      </c>
      <c r="Q8530" s="93" t="str">
        <f>VLOOKUP(E8530,DATABASE!C:Q,4,false)</f>
        <v>GT</v>
      </c>
      <c r="R8530" s="93" t="str">
        <f>VLOOKUP(E8530,DATABASE!C:Q,11,false)</f>
        <v>Tire</v>
      </c>
    </row>
    <row r="8531" ht="22.5" customHeight="1">
      <c r="A8531" s="49"/>
      <c r="C8531" s="400">
        <v>46155.0</v>
      </c>
      <c r="D8531" s="524">
        <v>1350.0</v>
      </c>
      <c r="E8531" s="544" t="s">
        <v>299</v>
      </c>
      <c r="F8531" s="387">
        <v>2.0</v>
      </c>
      <c r="G8531" s="140">
        <v>30000.0</v>
      </c>
      <c r="H8531" s="74"/>
      <c r="I8531" s="74">
        <f t="shared" si="1"/>
        <v>60000</v>
      </c>
      <c r="J8531" s="74">
        <f>IF(E8531="SERVICE",I8531-(I8531*50%),Vlookup(E8531,DATABASE!C:Q,10,false)*F8531)</f>
        <v>0</v>
      </c>
      <c r="K8531" s="74">
        <f>VLOOKUP(E8531,DATABASE!C:Q,7,false)</f>
        <v>10000</v>
      </c>
      <c r="L8531" s="74">
        <v>10000.0</v>
      </c>
      <c r="M8531" s="74">
        <f t="shared" si="6"/>
        <v>10000</v>
      </c>
      <c r="N8531" s="74">
        <f t="shared" si="3"/>
        <v>40000</v>
      </c>
      <c r="O8531" s="65" t="str">
        <f>VLOOKUP(E8531,DATABASE!C:Q,8,false)</f>
        <v>BIAN</v>
      </c>
      <c r="P8531" s="65">
        <f>VLOOKUP(E8531,DATABASE!C:Q,9,False)</f>
        <v>0</v>
      </c>
      <c r="Q8531" s="93" t="str">
        <f>VLOOKUP(E8531,DATABASE!C:Q,4,false)</f>
        <v>Balancing</v>
      </c>
      <c r="R8531" s="93" t="str">
        <f>VLOOKUP(E8531,DATABASE!C:Q,11,false)</f>
        <v>COMPLEMENTARY</v>
      </c>
    </row>
    <row r="8532" ht="22.5" customHeight="1">
      <c r="A8532" s="49"/>
      <c r="C8532" s="400">
        <v>46155.0</v>
      </c>
      <c r="D8532" s="524">
        <v>1350.0</v>
      </c>
      <c r="E8532" s="544" t="s">
        <v>256</v>
      </c>
      <c r="F8532" s="387">
        <v>1.0</v>
      </c>
      <c r="G8532" s="140">
        <v>175000.0</v>
      </c>
      <c r="H8532" s="140">
        <v>25000.0</v>
      </c>
      <c r="I8532" s="74">
        <f t="shared" si="1"/>
        <v>150000</v>
      </c>
      <c r="J8532" s="74">
        <f>IF(E8532="SERVICE",I8532-(I8532*50%),Vlookup(E8532,DATABASE!C:Q,10,false)*F8532)</f>
        <v>10000</v>
      </c>
      <c r="K8532" s="74">
        <f>VLOOKUP(E8532,DATABASE!C:Q,7,false)</f>
        <v>0</v>
      </c>
      <c r="L8532" s="74">
        <v>0.0</v>
      </c>
      <c r="M8532" s="74">
        <f t="shared" si="6"/>
        <v>0</v>
      </c>
      <c r="N8532" s="74">
        <f t="shared" si="3"/>
        <v>140000</v>
      </c>
      <c r="O8532" s="65" t="str">
        <f>VLOOKUP(E8532,DATABASE!C:Q,8,false)</f>
        <v>IBU</v>
      </c>
      <c r="P8532" s="65">
        <f>VLOOKUP(E8532,DATABASE!C:Q,9,False)</f>
        <v>0</v>
      </c>
      <c r="Q8532" s="93" t="str">
        <f>VLOOKUP(E8532,DATABASE!C:Q,4,false)</f>
        <v>SPOORING</v>
      </c>
      <c r="R8532" s="93" t="str">
        <f>VLOOKUP(E8532,DATABASE!C:Q,11,false)</f>
        <v>SERVICE</v>
      </c>
    </row>
    <row r="8533" ht="22.5" customHeight="1">
      <c r="A8533" s="49"/>
      <c r="C8533" s="400">
        <v>46155.0</v>
      </c>
      <c r="D8533" s="524">
        <v>1350.0</v>
      </c>
      <c r="E8533" s="544" t="s">
        <v>301</v>
      </c>
      <c r="F8533" s="387">
        <v>1.0</v>
      </c>
      <c r="G8533" s="140">
        <v>250000.0</v>
      </c>
      <c r="H8533" s="74"/>
      <c r="I8533" s="74">
        <f t="shared" si="1"/>
        <v>250000</v>
      </c>
      <c r="J8533" s="74">
        <f>IF(E8533="SERVICE",I8533-(I8533*50%),Vlookup(E8533,DATABASE!C:Q,10,false)*F8533)</f>
        <v>75000</v>
      </c>
      <c r="K8533" s="74">
        <f>VLOOKUP(E8533,DATABASE!C:Q,7,false)</f>
        <v>75000</v>
      </c>
      <c r="L8533" s="74">
        <v>75000.0</v>
      </c>
      <c r="M8533" s="74">
        <f t="shared" si="6"/>
        <v>75000</v>
      </c>
      <c r="N8533" s="74">
        <f t="shared" si="3"/>
        <v>100000</v>
      </c>
      <c r="O8533" s="65" t="str">
        <f>VLOOKUP(E8533,DATABASE!C:Q,8,false)</f>
        <v>BIAN</v>
      </c>
      <c r="P8533" s="65">
        <f>VLOOKUP(E8533,DATABASE!C:Q,9,False)</f>
        <v>0</v>
      </c>
      <c r="Q8533" s="93" t="str">
        <f>VLOOKUP(E8533,DATABASE!C:Q,4,false)</f>
        <v>Baut Camber</v>
      </c>
      <c r="R8533" s="93" t="str">
        <f>VLOOKUP(E8533,DATABASE!C:Q,11,false)</f>
        <v>COMPLEMENTARY</v>
      </c>
    </row>
    <row r="8534" ht="22.5" customHeight="1">
      <c r="A8534" s="49"/>
      <c r="C8534" s="400">
        <v>46155.0</v>
      </c>
      <c r="D8534" s="524">
        <v>1351.0</v>
      </c>
      <c r="E8534" s="544" t="s">
        <v>937</v>
      </c>
      <c r="F8534" s="387">
        <v>2.0</v>
      </c>
      <c r="G8534" s="140">
        <v>910000.0</v>
      </c>
      <c r="H8534" s="140">
        <v>10000.0</v>
      </c>
      <c r="I8534" s="74">
        <f t="shared" si="1"/>
        <v>1800000</v>
      </c>
      <c r="J8534" s="74">
        <f>IF(E8534="SERVICE",I8534-(I8534*50%),Vlookup(E8534,DATABASE!C:Q,10,false)*F8534)</f>
        <v>0</v>
      </c>
      <c r="K8534" s="74">
        <f>VLOOKUP(E8534,DATABASE!C:Q,7,false)</f>
        <v>825000</v>
      </c>
      <c r="L8534" s="74">
        <v>815000.0</v>
      </c>
      <c r="M8534" s="74">
        <f t="shared" si="6"/>
        <v>815000</v>
      </c>
      <c r="N8534" s="74">
        <f t="shared" si="3"/>
        <v>170000</v>
      </c>
      <c r="O8534" s="65" t="str">
        <f>VLOOKUP(E8534,DATABASE!C:Q,8,false)</f>
        <v>IBU</v>
      </c>
      <c r="P8534" s="65">
        <f>VLOOKUP(E8534,DATABASE!C:Q,9,False)</f>
        <v>1</v>
      </c>
      <c r="Q8534" s="93" t="str">
        <f>VLOOKUP(E8534,DATABASE!C:Q,4,false)</f>
        <v>Bridgestone</v>
      </c>
      <c r="R8534" s="93" t="str">
        <f>VLOOKUP(E8534,DATABASE!C:Q,11,false)</f>
        <v>Tire</v>
      </c>
    </row>
    <row r="8535" ht="22.5" customHeight="1">
      <c r="A8535" s="49"/>
      <c r="C8535" s="400">
        <v>46155.0</v>
      </c>
      <c r="D8535" s="524">
        <v>1352.0</v>
      </c>
      <c r="E8535" s="544" t="s">
        <v>2199</v>
      </c>
      <c r="F8535" s="387">
        <v>1.0</v>
      </c>
      <c r="G8535" s="140">
        <v>15000.0</v>
      </c>
      <c r="H8535" s="74"/>
      <c r="I8535" s="74">
        <f t="shared" si="1"/>
        <v>15000</v>
      </c>
      <c r="J8535" s="74">
        <f>IF(E8535="SERVICE",I8535-(I8535*50%),Vlookup(E8535,DATABASE!C:Q,10,false)*F8535)</f>
        <v>0</v>
      </c>
      <c r="K8535" s="74">
        <f>VLOOKUP(E8535,DATABASE!C:Q,7,false)</f>
        <v>5000</v>
      </c>
      <c r="L8535" s="74">
        <v>5000.0</v>
      </c>
      <c r="M8535" s="74">
        <f t="shared" si="6"/>
        <v>5000</v>
      </c>
      <c r="N8535" s="74">
        <f t="shared" si="3"/>
        <v>10000</v>
      </c>
      <c r="O8535" s="65" t="str">
        <f>VLOOKUP(E8535,DATABASE!C:Q,8,false)</f>
        <v>BIAN</v>
      </c>
      <c r="P8535" s="65">
        <f>VLOOKUP(E8535,DATABASE!C:Q,9,False)</f>
        <v>0</v>
      </c>
      <c r="Q8535" s="93" t="str">
        <f>VLOOKUP(E8535,DATABASE!C:Q,4,false)</f>
        <v>TAMBAL TUBLES</v>
      </c>
      <c r="R8535" s="93" t="str">
        <f>VLOOKUP(E8535,DATABASE!C:Q,11,false)</f>
        <v>COMPLEMENTARY</v>
      </c>
    </row>
    <row r="8536" ht="22.5" customHeight="1">
      <c r="A8536" s="49"/>
      <c r="C8536" s="400">
        <v>46156.0</v>
      </c>
      <c r="D8536" s="524">
        <v>1353.0</v>
      </c>
      <c r="E8536" s="544" t="s">
        <v>2630</v>
      </c>
      <c r="F8536" s="387">
        <v>5.0</v>
      </c>
      <c r="G8536" s="140">
        <v>535000.0</v>
      </c>
      <c r="H8536" s="140">
        <v>10000.0</v>
      </c>
      <c r="I8536" s="74">
        <f t="shared" si="1"/>
        <v>2625000</v>
      </c>
      <c r="J8536" s="74">
        <f>IF(E8536="SERVICE",I8536-(I8536*50%),Vlookup(E8536,DATABASE!C:Q,10,false)*F8536)</f>
        <v>0</v>
      </c>
      <c r="K8536" s="74">
        <f>VLOOKUP(E8536,DATABASE!C:Q,7,false)</f>
        <v>439000</v>
      </c>
      <c r="L8536" s="74">
        <v>434000.0</v>
      </c>
      <c r="M8536" s="74">
        <f t="shared" si="6"/>
        <v>435000</v>
      </c>
      <c r="N8536" s="74">
        <f t="shared" si="3"/>
        <v>450000</v>
      </c>
      <c r="O8536" s="65" t="str">
        <f>VLOOKUP(E8536,DATABASE!C:Q,8,false)</f>
        <v>BIAN</v>
      </c>
      <c r="P8536" s="65">
        <f>VLOOKUP(E8536,DATABASE!C:Q,9,False)</f>
        <v>1</v>
      </c>
      <c r="Q8536" s="93" t="str">
        <f>VLOOKUP(E8536,DATABASE!C:Q,4,false)</f>
        <v>HanKOOK</v>
      </c>
      <c r="R8536" s="93" t="str">
        <f>VLOOKUP(E8536,DATABASE!C:Q,11,false)</f>
        <v>Tire</v>
      </c>
    </row>
    <row r="8537" ht="22.5" customHeight="1">
      <c r="A8537" s="49"/>
      <c r="C8537" s="400">
        <v>46156.0</v>
      </c>
      <c r="D8537" s="524">
        <v>1353.0</v>
      </c>
      <c r="E8537" s="544" t="s">
        <v>1400</v>
      </c>
      <c r="F8537" s="387">
        <v>2.0</v>
      </c>
      <c r="G8537" s="140">
        <v>565000.0</v>
      </c>
      <c r="H8537" s="140">
        <v>15000.0</v>
      </c>
      <c r="I8537" s="74">
        <f t="shared" si="1"/>
        <v>1100000</v>
      </c>
      <c r="J8537" s="74">
        <f>IF(E8537="SERVICE",I8537-(I8537*50%),Vlookup(E8537,DATABASE!C:Q,10,false)*F8537)</f>
        <v>0</v>
      </c>
      <c r="K8537" s="74">
        <f>VLOOKUP(E8537,DATABASE!C:Q,7,false)</f>
        <v>465000</v>
      </c>
      <c r="L8537" s="74">
        <v>465000.0</v>
      </c>
      <c r="M8537" s="74">
        <f t="shared" si="6"/>
        <v>465000</v>
      </c>
      <c r="N8537" s="74">
        <f t="shared" si="3"/>
        <v>170000</v>
      </c>
      <c r="O8537" s="65" t="str">
        <f>VLOOKUP(E8537,DATABASE!C:Q,8,false)</f>
        <v>IBU</v>
      </c>
      <c r="P8537" s="65">
        <f>VLOOKUP(E8537,DATABASE!C:Q,9,False)</f>
        <v>1</v>
      </c>
      <c r="Q8537" s="93" t="str">
        <f>VLOOKUP(E8537,DATABASE!C:Q,4,false)</f>
        <v>Dunlop</v>
      </c>
      <c r="R8537" s="93" t="str">
        <f>VLOOKUP(E8537,DATABASE!C:Q,11,false)</f>
        <v>Tire</v>
      </c>
    </row>
    <row r="8538" ht="22.5" customHeight="1">
      <c r="A8538" s="49"/>
      <c r="C8538" s="400">
        <v>46156.0</v>
      </c>
      <c r="D8538" s="524">
        <v>1353.0</v>
      </c>
      <c r="E8538" s="544" t="s">
        <v>271</v>
      </c>
      <c r="F8538" s="387">
        <v>2.0</v>
      </c>
      <c r="G8538" s="140">
        <v>640000.0</v>
      </c>
      <c r="H8538" s="140">
        <v>10000.0</v>
      </c>
      <c r="I8538" s="74">
        <f t="shared" si="1"/>
        <v>1260000</v>
      </c>
      <c r="J8538" s="74">
        <f>IF(E8538="SERVICE",I8538-(I8538*50%),Vlookup(E8538,DATABASE!C:Q,10,false)*F8538)</f>
        <v>0</v>
      </c>
      <c r="K8538" s="74">
        <f>VLOOKUP(E8538,DATABASE!C:Q,7,false)</f>
        <v>570000</v>
      </c>
      <c r="L8538" s="74">
        <v>550000.0</v>
      </c>
      <c r="M8538" s="74">
        <f t="shared" si="6"/>
        <v>550000</v>
      </c>
      <c r="N8538" s="74">
        <f t="shared" si="3"/>
        <v>160000</v>
      </c>
      <c r="O8538" s="65" t="str">
        <f>VLOOKUP(E8538,DATABASE!C:Q,8,false)</f>
        <v>IBU</v>
      </c>
      <c r="P8538" s="65">
        <f>VLOOKUP(E8538,DATABASE!C:Q,9,False)</f>
        <v>1</v>
      </c>
      <c r="Q8538" s="93" t="str">
        <f>VLOOKUP(E8538,DATABASE!C:Q,4,false)</f>
        <v>Dunlop</v>
      </c>
      <c r="R8538" s="93" t="str">
        <f>VLOOKUP(E8538,DATABASE!C:Q,11,false)</f>
        <v>Tire</v>
      </c>
    </row>
    <row r="8539" ht="22.5" customHeight="1">
      <c r="A8539" s="49"/>
      <c r="C8539" s="400">
        <v>46156.0</v>
      </c>
      <c r="D8539" s="524">
        <v>1354.0</v>
      </c>
      <c r="E8539" s="544" t="s">
        <v>288</v>
      </c>
      <c r="F8539" s="387">
        <v>2.0</v>
      </c>
      <c r="G8539" s="140">
        <v>630000.0</v>
      </c>
      <c r="H8539" s="74"/>
      <c r="I8539" s="74">
        <f t="shared" si="1"/>
        <v>1260000</v>
      </c>
      <c r="J8539" s="74">
        <f>IF(E8539="SERVICE",I8539-(I8539*50%),Vlookup(E8539,DATABASE!C:Q,10,false)*F8539)</f>
        <v>0</v>
      </c>
      <c r="K8539" s="74">
        <f>VLOOKUP(E8539,DATABASE!C:Q,7,false)</f>
        <v>565760</v>
      </c>
      <c r="L8539" s="74">
        <v>540500.0</v>
      </c>
      <c r="M8539" s="74">
        <f t="shared" si="6"/>
        <v>545000</v>
      </c>
      <c r="N8539" s="74">
        <f t="shared" si="3"/>
        <v>170000</v>
      </c>
      <c r="O8539" s="65" t="str">
        <f>VLOOKUP(E8539,DATABASE!C:Q,8,false)</f>
        <v>BIAN</v>
      </c>
      <c r="P8539" s="65">
        <f>VLOOKUP(E8539,DATABASE!C:Q,9,False)</f>
        <v>1</v>
      </c>
      <c r="Q8539" s="93" t="str">
        <f>VLOOKUP(E8539,DATABASE!C:Q,4,false)</f>
        <v>GT</v>
      </c>
      <c r="R8539" s="93" t="str">
        <f>VLOOKUP(E8539,DATABASE!C:Q,11,false)</f>
        <v>Tire</v>
      </c>
    </row>
    <row r="8540" ht="22.5" customHeight="1">
      <c r="A8540" s="49"/>
      <c r="C8540" s="400">
        <v>46156.0</v>
      </c>
      <c r="D8540" s="524">
        <v>1357.0</v>
      </c>
      <c r="E8540" s="544" t="s">
        <v>1076</v>
      </c>
      <c r="F8540" s="387">
        <v>2.0</v>
      </c>
      <c r="G8540" s="140">
        <v>770000.0</v>
      </c>
      <c r="H8540" s="74"/>
      <c r="I8540" s="74">
        <f t="shared" si="1"/>
        <v>1540000</v>
      </c>
      <c r="J8540" s="74">
        <f>IF(E8540="SERVICE",I8540-(I8540*50%),Vlookup(E8540,DATABASE!C:Q,10,false)*F8540)</f>
        <v>0</v>
      </c>
      <c r="K8540" s="74">
        <f>VLOOKUP(E8540,DATABASE!C:Q,7,false)</f>
        <v>666540</v>
      </c>
      <c r="L8540" s="74">
        <v>666540.0</v>
      </c>
      <c r="M8540" s="74">
        <f t="shared" si="6"/>
        <v>670000</v>
      </c>
      <c r="N8540" s="74">
        <f t="shared" si="3"/>
        <v>200000</v>
      </c>
      <c r="O8540" s="65" t="str">
        <f>VLOOKUP(E8540,DATABASE!C:Q,8,false)</f>
        <v>BIAN</v>
      </c>
      <c r="P8540" s="65">
        <f>VLOOKUP(E8540,DATABASE!C:Q,9,False)</f>
        <v>1</v>
      </c>
      <c r="Q8540" s="93" t="str">
        <f>VLOOKUP(E8540,DATABASE!C:Q,4,false)</f>
        <v>GT</v>
      </c>
      <c r="R8540" s="93" t="str">
        <f>VLOOKUP(E8540,DATABASE!C:Q,11,false)</f>
        <v>Tire</v>
      </c>
    </row>
    <row r="8541" ht="22.5" customHeight="1">
      <c r="A8541" s="49"/>
      <c r="C8541" s="400">
        <v>46156.0</v>
      </c>
      <c r="D8541" s="524">
        <v>1357.0</v>
      </c>
      <c r="E8541" s="544" t="s">
        <v>613</v>
      </c>
      <c r="F8541" s="387">
        <v>1.0</v>
      </c>
      <c r="G8541" s="140">
        <v>100000.0</v>
      </c>
      <c r="H8541" s="140">
        <v>5000.0</v>
      </c>
      <c r="I8541" s="74">
        <f t="shared" si="1"/>
        <v>95000</v>
      </c>
      <c r="J8541" s="74">
        <f>IF(E8541="SERVICE",I8541-(I8541*50%),Vlookup(E8541,DATABASE!C:Q,10,false)*F8541)</f>
        <v>0</v>
      </c>
      <c r="K8541" s="74">
        <f>VLOOKUP(E8541,DATABASE!C:Q,7,false)</f>
        <v>58371.2695</v>
      </c>
      <c r="L8541" s="74">
        <v>58371.2695</v>
      </c>
      <c r="M8541" s="74">
        <f t="shared" si="6"/>
        <v>60000</v>
      </c>
      <c r="N8541" s="74">
        <f t="shared" si="3"/>
        <v>35000</v>
      </c>
      <c r="O8541" s="65" t="str">
        <f>VLOOKUP(E8541,DATABASE!C:Q,8,false)</f>
        <v>BIAN</v>
      </c>
      <c r="P8541" s="65">
        <f>VLOOKUP(E8541,DATABASE!C:Q,9,False)</f>
        <v>1</v>
      </c>
      <c r="Q8541" s="93" t="str">
        <f>VLOOKUP(E8541,DATABASE!C:Q,4,false)</f>
        <v>BD</v>
      </c>
      <c r="R8541" s="93" t="str">
        <f>VLOOKUP(E8541,DATABASE!C:Q,11,false)</f>
        <v>Tire</v>
      </c>
    </row>
    <row r="8542" ht="22.5" customHeight="1">
      <c r="A8542" s="49"/>
      <c r="C8542" s="400">
        <v>46156.0</v>
      </c>
      <c r="D8542" s="524">
        <v>1357.0</v>
      </c>
      <c r="E8542" s="544" t="s">
        <v>2174</v>
      </c>
      <c r="F8542" s="387">
        <v>1.0</v>
      </c>
      <c r="G8542" s="140">
        <v>235000.0</v>
      </c>
      <c r="H8542" s="74"/>
      <c r="I8542" s="74">
        <f t="shared" si="1"/>
        <v>235000</v>
      </c>
      <c r="J8542" s="74">
        <f>IF(E8542="SERVICE",I8542-(I8542*50%),Vlookup(E8542,DATABASE!C:Q,10,false)*F8542)</f>
        <v>0</v>
      </c>
      <c r="K8542" s="74">
        <f>VLOOKUP(E8542,DATABASE!C:Q,7,false)</f>
        <v>225314</v>
      </c>
      <c r="L8542" s="74">
        <v>182600.0</v>
      </c>
      <c r="M8542" s="74">
        <f t="shared" si="6"/>
        <v>185000</v>
      </c>
      <c r="N8542" s="74">
        <f t="shared" si="3"/>
        <v>50000</v>
      </c>
      <c r="O8542" s="65" t="str">
        <f>VLOOKUP(E8542,DATABASE!C:Q,8,false)</f>
        <v>NON</v>
      </c>
      <c r="P8542" s="65">
        <f>VLOOKUP(E8542,DATABASE!C:Q,9,False)</f>
        <v>0</v>
      </c>
      <c r="Q8542" s="93" t="str">
        <f>VLOOKUP(E8542,DATABASE!C:Q,4,false)</f>
        <v>Shell</v>
      </c>
      <c r="R8542" s="93" t="str">
        <f>VLOOKUP(E8542,DATABASE!C:Q,11,false)</f>
        <v>OIL</v>
      </c>
    </row>
    <row r="8543" ht="22.5" customHeight="1">
      <c r="A8543" s="49"/>
      <c r="C8543" s="400">
        <v>46156.0</v>
      </c>
      <c r="D8543" s="524">
        <v>1358.0</v>
      </c>
      <c r="E8543" s="544" t="s">
        <v>897</v>
      </c>
      <c r="F8543" s="387">
        <v>1.0</v>
      </c>
      <c r="G8543" s="140">
        <v>1625000.0</v>
      </c>
      <c r="H8543" s="74"/>
      <c r="I8543" s="74">
        <f t="shared" si="1"/>
        <v>1625000</v>
      </c>
      <c r="J8543" s="74">
        <f>IF(E8543="SERVICE",I8543-(I8543*50%),Vlookup(E8543,DATABASE!C:Q,10,false)*F8543)</f>
        <v>0</v>
      </c>
      <c r="K8543" s="74">
        <f>VLOOKUP(E8543,DATABASE!C:Q,7,false)</f>
        <v>1560000</v>
      </c>
      <c r="L8543" s="74">
        <v>1525000.0</v>
      </c>
      <c r="M8543" s="74">
        <f t="shared" si="6"/>
        <v>1525000</v>
      </c>
      <c r="N8543" s="74">
        <f t="shared" si="3"/>
        <v>100000</v>
      </c>
      <c r="O8543" s="65" t="str">
        <f>VLOOKUP(E8543,DATABASE!C:Q,8,false)</f>
        <v>BIAN</v>
      </c>
      <c r="P8543" s="65">
        <f>VLOOKUP(E8543,DATABASE!C:Q,9,False)</f>
        <v>1</v>
      </c>
      <c r="Q8543" s="93" t="str">
        <f>VLOOKUP(E8543,DATABASE!C:Q,4,false)</f>
        <v>GT</v>
      </c>
      <c r="R8543" s="93" t="str">
        <f>VLOOKUP(E8543,DATABASE!C:Q,11,false)</f>
        <v>Tire</v>
      </c>
    </row>
    <row r="8544" ht="22.5" customHeight="1">
      <c r="A8544" s="49"/>
      <c r="C8544" s="400">
        <v>46156.0</v>
      </c>
      <c r="D8544" s="524">
        <v>1358.0</v>
      </c>
      <c r="E8544" s="544" t="s">
        <v>744</v>
      </c>
      <c r="F8544" s="387">
        <v>1.0</v>
      </c>
      <c r="G8544" s="140">
        <v>230000.0</v>
      </c>
      <c r="H8544" s="74"/>
      <c r="I8544" s="74">
        <f t="shared" si="1"/>
        <v>230000</v>
      </c>
      <c r="J8544" s="74">
        <f>IF(E8544="SERVICE",I8544-(I8544*50%),Vlookup(E8544,DATABASE!C:Q,10,false)*F8544)</f>
        <v>0</v>
      </c>
      <c r="K8544" s="74">
        <f>VLOOKUP(E8544,DATABASE!C:Q,7,false)</f>
        <v>182200</v>
      </c>
      <c r="L8544" s="74">
        <v>182200.0</v>
      </c>
      <c r="M8544" s="74">
        <f t="shared" si="6"/>
        <v>185000</v>
      </c>
      <c r="N8544" s="74">
        <f t="shared" si="3"/>
        <v>45000</v>
      </c>
      <c r="O8544" s="65" t="str">
        <f>VLOOKUP(E8544,DATABASE!C:Q,8,false)</f>
        <v>BIAN</v>
      </c>
      <c r="P8544" s="65">
        <f>VLOOKUP(E8544,DATABASE!C:Q,9,False)</f>
        <v>1</v>
      </c>
      <c r="Q8544" s="93" t="str">
        <f>VLOOKUP(E8544,DATABASE!C:Q,4,false)</f>
        <v>BD</v>
      </c>
      <c r="R8544" s="93" t="str">
        <f>VLOOKUP(E8544,DATABASE!C:Q,11,false)</f>
        <v>Tire</v>
      </c>
    </row>
    <row r="8545" ht="22.5" customHeight="1">
      <c r="A8545" s="49"/>
      <c r="C8545" s="400">
        <v>46156.0</v>
      </c>
      <c r="D8545" s="524">
        <v>1358.0</v>
      </c>
      <c r="E8545" s="544" t="s">
        <v>821</v>
      </c>
      <c r="F8545" s="387">
        <v>1.0</v>
      </c>
      <c r="G8545" s="140">
        <v>90000.0</v>
      </c>
      <c r="H8545" s="74"/>
      <c r="I8545" s="74">
        <f t="shared" si="1"/>
        <v>90000</v>
      </c>
      <c r="J8545" s="74">
        <f>IF(E8545="SERVICE",I8545-(I8545*50%),Vlookup(E8545,DATABASE!C:Q,10,false)*F8545)</f>
        <v>0</v>
      </c>
      <c r="K8545" s="74">
        <f>VLOOKUP(E8545,DATABASE!C:Q,7,false)</f>
        <v>43500</v>
      </c>
      <c r="L8545" s="74">
        <v>43500.0</v>
      </c>
      <c r="M8545" s="74">
        <f t="shared" si="6"/>
        <v>45000</v>
      </c>
      <c r="N8545" s="74">
        <f t="shared" si="3"/>
        <v>45000</v>
      </c>
      <c r="O8545" s="65" t="str">
        <f>VLOOKUP(E8545,DATABASE!C:Q,8,false)</f>
        <v>BIAN</v>
      </c>
      <c r="P8545" s="65">
        <f>VLOOKUP(E8545,DATABASE!C:Q,9,False)</f>
        <v>1</v>
      </c>
      <c r="Q8545" s="93" t="str">
        <f>VLOOKUP(E8545,DATABASE!C:Q,4,false)</f>
        <v>Flap</v>
      </c>
      <c r="R8545" s="93" t="str">
        <f>VLOOKUP(E8545,DATABASE!C:Q,11,false)</f>
        <v>Tire</v>
      </c>
    </row>
    <row r="8546" ht="22.5" customHeight="1">
      <c r="A8546" s="49"/>
      <c r="C8546" s="400">
        <v>46156.0</v>
      </c>
      <c r="D8546" s="524">
        <v>1359.0</v>
      </c>
      <c r="E8546" s="544" t="s">
        <v>391</v>
      </c>
      <c r="F8546" s="387">
        <v>1.0</v>
      </c>
      <c r="G8546" s="140">
        <v>1950000.0</v>
      </c>
      <c r="H8546" s="74"/>
      <c r="I8546" s="74">
        <f t="shared" si="1"/>
        <v>1950000</v>
      </c>
      <c r="J8546" s="74">
        <f>IF(E8546="SERVICE",I8546-(I8546*50%),Vlookup(E8546,DATABASE!C:Q,10,false)*F8546)</f>
        <v>0</v>
      </c>
      <c r="K8546" s="74">
        <f>VLOOKUP(E8546,DATABASE!C:Q,7,false)</f>
        <v>1885000</v>
      </c>
      <c r="L8546" s="74">
        <v>1840000.0</v>
      </c>
      <c r="M8546" s="74">
        <f t="shared" si="6"/>
        <v>1840000</v>
      </c>
      <c r="N8546" s="74">
        <f t="shared" si="3"/>
        <v>110000</v>
      </c>
      <c r="O8546" s="65" t="str">
        <f>VLOOKUP(E8546,DATABASE!C:Q,8,false)</f>
        <v>BIAN</v>
      </c>
      <c r="P8546" s="65">
        <f>VLOOKUP(E8546,DATABASE!C:Q,9,False)</f>
        <v>1</v>
      </c>
      <c r="Q8546" s="93" t="str">
        <f>VLOOKUP(E8546,DATABASE!C:Q,4,false)</f>
        <v>Advance</v>
      </c>
      <c r="R8546" s="93" t="str">
        <f>VLOOKUP(E8546,DATABASE!C:Q,11,false)</f>
        <v>Tire</v>
      </c>
    </row>
    <row r="8547" ht="22.5" customHeight="1">
      <c r="A8547" s="49"/>
      <c r="C8547" s="400">
        <v>46156.0</v>
      </c>
      <c r="D8547" s="524">
        <v>1360.0</v>
      </c>
      <c r="E8547" s="544" t="s">
        <v>275</v>
      </c>
      <c r="F8547" s="387">
        <v>4.0</v>
      </c>
      <c r="G8547" s="140">
        <v>850000.0</v>
      </c>
      <c r="H8547" s="74"/>
      <c r="I8547" s="74">
        <f t="shared" si="1"/>
        <v>3400000</v>
      </c>
      <c r="J8547" s="74">
        <f>IF(E8547="SERVICE",I8547-(I8547*50%),Vlookup(E8547,DATABASE!C:Q,10,false)*F8547)</f>
        <v>0</v>
      </c>
      <c r="K8547" s="74">
        <f>VLOOKUP(E8547,DATABASE!C:Q,7,false)</f>
        <v>782000</v>
      </c>
      <c r="L8547" s="74">
        <v>759500.0</v>
      </c>
      <c r="M8547" s="74">
        <f t="shared" si="6"/>
        <v>760000</v>
      </c>
      <c r="N8547" s="74">
        <f t="shared" si="3"/>
        <v>360000</v>
      </c>
      <c r="O8547" s="65" t="str">
        <f>VLOOKUP(E8547,DATABASE!C:Q,8,false)</f>
        <v>IBU</v>
      </c>
      <c r="P8547" s="65">
        <f>VLOOKUP(E8547,DATABASE!C:Q,9,False)</f>
        <v>1</v>
      </c>
      <c r="Q8547" s="93" t="str">
        <f>VLOOKUP(E8547,DATABASE!C:Q,4,false)</f>
        <v>Dunlop</v>
      </c>
      <c r="R8547" s="93" t="str">
        <f>VLOOKUP(E8547,DATABASE!C:Q,11,false)</f>
        <v>Tire</v>
      </c>
    </row>
    <row r="8548" ht="22.5" customHeight="1">
      <c r="A8548" s="49"/>
      <c r="C8548" s="400">
        <v>46156.0</v>
      </c>
      <c r="D8548" s="524">
        <v>1360.0</v>
      </c>
      <c r="E8548" s="544" t="s">
        <v>256</v>
      </c>
      <c r="F8548" s="387">
        <v>1.0</v>
      </c>
      <c r="G8548" s="140">
        <v>175000.0</v>
      </c>
      <c r="H8548" s="140">
        <v>25000.0</v>
      </c>
      <c r="I8548" s="74">
        <f t="shared" si="1"/>
        <v>150000</v>
      </c>
      <c r="J8548" s="74">
        <f>IF(E8548="SERVICE",I8548-(I8548*50%),Vlookup(E8548,DATABASE!C:Q,10,false)*F8548)</f>
        <v>10000</v>
      </c>
      <c r="K8548" s="74">
        <f>VLOOKUP(E8548,DATABASE!C:Q,7,false)</f>
        <v>0</v>
      </c>
      <c r="L8548" s="74">
        <v>0.0</v>
      </c>
      <c r="M8548" s="74">
        <f t="shared" si="6"/>
        <v>0</v>
      </c>
      <c r="N8548" s="74">
        <f t="shared" si="3"/>
        <v>140000</v>
      </c>
      <c r="O8548" s="65" t="str">
        <f>VLOOKUP(E8548,DATABASE!C:Q,8,false)</f>
        <v>IBU</v>
      </c>
      <c r="P8548" s="65">
        <f>VLOOKUP(E8548,DATABASE!C:Q,9,False)</f>
        <v>0</v>
      </c>
      <c r="Q8548" s="93" t="str">
        <f>VLOOKUP(E8548,DATABASE!C:Q,4,false)</f>
        <v>SPOORING</v>
      </c>
      <c r="R8548" s="93" t="str">
        <f>VLOOKUP(E8548,DATABASE!C:Q,11,false)</f>
        <v>SERVICE</v>
      </c>
    </row>
    <row r="8549" ht="22.5" customHeight="1">
      <c r="A8549" s="49"/>
      <c r="C8549" s="400">
        <v>46156.0</v>
      </c>
      <c r="D8549" s="524">
        <v>1360.0</v>
      </c>
      <c r="E8549" s="544" t="s">
        <v>299</v>
      </c>
      <c r="F8549" s="387">
        <v>2.0</v>
      </c>
      <c r="G8549" s="140">
        <v>30000.0</v>
      </c>
      <c r="H8549" s="140">
        <v>5000.0</v>
      </c>
      <c r="I8549" s="74">
        <f t="shared" si="1"/>
        <v>50000</v>
      </c>
      <c r="J8549" s="74">
        <f>IF(E8549="SERVICE",I8549-(I8549*50%),Vlookup(E8549,DATABASE!C:Q,10,false)*F8549)</f>
        <v>0</v>
      </c>
      <c r="K8549" s="74">
        <f>VLOOKUP(E8549,DATABASE!C:Q,7,false)</f>
        <v>10000</v>
      </c>
      <c r="L8549" s="74">
        <v>10000.0</v>
      </c>
      <c r="M8549" s="74">
        <f t="shared" si="6"/>
        <v>10000</v>
      </c>
      <c r="N8549" s="74">
        <f t="shared" si="3"/>
        <v>30000</v>
      </c>
      <c r="O8549" s="65" t="str">
        <f>VLOOKUP(E8549,DATABASE!C:Q,8,false)</f>
        <v>BIAN</v>
      </c>
      <c r="P8549" s="65">
        <f>VLOOKUP(E8549,DATABASE!C:Q,9,False)</f>
        <v>0</v>
      </c>
      <c r="Q8549" s="93" t="str">
        <f>VLOOKUP(E8549,DATABASE!C:Q,4,false)</f>
        <v>Balancing</v>
      </c>
      <c r="R8549" s="93" t="str">
        <f>VLOOKUP(E8549,DATABASE!C:Q,11,false)</f>
        <v>COMPLEMENTARY</v>
      </c>
    </row>
    <row r="8550" ht="22.5" customHeight="1">
      <c r="A8550" s="49"/>
      <c r="C8550" s="400">
        <v>46156.0</v>
      </c>
      <c r="D8550" s="524">
        <v>1362.0</v>
      </c>
      <c r="E8550" s="544" t="s">
        <v>271</v>
      </c>
      <c r="F8550" s="387">
        <v>1.0</v>
      </c>
      <c r="G8550" s="140">
        <v>640000.0</v>
      </c>
      <c r="H8550" s="74"/>
      <c r="I8550" s="74">
        <f t="shared" si="1"/>
        <v>640000</v>
      </c>
      <c r="J8550" s="74">
        <f>IF(E8550="SERVICE",I8550-(I8550*50%),Vlookup(E8550,DATABASE!C:Q,10,false)*F8550)</f>
        <v>0</v>
      </c>
      <c r="K8550" s="74">
        <f>VLOOKUP(E8550,DATABASE!C:Q,7,false)</f>
        <v>570000</v>
      </c>
      <c r="L8550" s="74">
        <v>550000.0</v>
      </c>
      <c r="M8550" s="74">
        <f t="shared" si="6"/>
        <v>550000</v>
      </c>
      <c r="N8550" s="74">
        <f t="shared" si="3"/>
        <v>90000</v>
      </c>
      <c r="O8550" s="65" t="str">
        <f>VLOOKUP(E8550,DATABASE!C:Q,8,false)</f>
        <v>IBU</v>
      </c>
      <c r="P8550" s="65">
        <f>VLOOKUP(E8550,DATABASE!C:Q,9,False)</f>
        <v>1</v>
      </c>
      <c r="Q8550" s="93" t="str">
        <f>VLOOKUP(E8550,DATABASE!C:Q,4,false)</f>
        <v>Dunlop</v>
      </c>
      <c r="R8550" s="93" t="str">
        <f>VLOOKUP(E8550,DATABASE!C:Q,11,false)</f>
        <v>Tire</v>
      </c>
    </row>
    <row r="8551" ht="22.5" customHeight="1">
      <c r="A8551" s="49"/>
      <c r="C8551" s="400">
        <v>46156.0</v>
      </c>
      <c r="D8551" s="524">
        <v>1363.0</v>
      </c>
      <c r="E8551" s="544" t="s">
        <v>1867</v>
      </c>
      <c r="F8551" s="387">
        <v>2.0</v>
      </c>
      <c r="G8551" s="140">
        <v>665000.0</v>
      </c>
      <c r="H8551" s="74"/>
      <c r="I8551" s="74">
        <f t="shared" si="1"/>
        <v>1330000</v>
      </c>
      <c r="J8551" s="74">
        <f>IF(E8551="SERVICE",I8551-(I8551*50%),Vlookup(E8551,DATABASE!C:Q,10,false)*F8551)</f>
        <v>0</v>
      </c>
      <c r="K8551" s="74">
        <f>VLOOKUP(E8551,DATABASE!C:Q,7,false)</f>
        <v>575200</v>
      </c>
      <c r="L8551" s="74">
        <v>575200.0</v>
      </c>
      <c r="M8551" s="74">
        <f t="shared" si="6"/>
        <v>580000</v>
      </c>
      <c r="N8551" s="74">
        <f t="shared" si="3"/>
        <v>170000</v>
      </c>
      <c r="O8551" s="65" t="str">
        <f>VLOOKUP(E8551,DATABASE!C:Q,8,false)</f>
        <v>BIAN</v>
      </c>
      <c r="P8551" s="65">
        <f>VLOOKUP(E8551,DATABASE!C:Q,9,False)</f>
        <v>1</v>
      </c>
      <c r="Q8551" s="93" t="str">
        <f>VLOOKUP(E8551,DATABASE!C:Q,4,false)</f>
        <v>GT</v>
      </c>
      <c r="R8551" s="93" t="str">
        <f>VLOOKUP(E8551,DATABASE!C:Q,11,false)</f>
        <v>Tire</v>
      </c>
    </row>
    <row r="8552" ht="22.5" customHeight="1">
      <c r="A8552" s="49"/>
      <c r="C8552" s="400">
        <v>46156.0</v>
      </c>
      <c r="D8552" s="524">
        <v>1363.0</v>
      </c>
      <c r="E8552" s="544" t="s">
        <v>256</v>
      </c>
      <c r="F8552" s="387">
        <v>1.0</v>
      </c>
      <c r="G8552" s="140">
        <v>175000.0</v>
      </c>
      <c r="H8552" s="140">
        <v>25000.0</v>
      </c>
      <c r="I8552" s="74">
        <f t="shared" si="1"/>
        <v>150000</v>
      </c>
      <c r="J8552" s="74">
        <f>IF(E8552="SERVICE",I8552-(I8552*50%),Vlookup(E8552,DATABASE!C:Q,10,false)*F8552)</f>
        <v>10000</v>
      </c>
      <c r="K8552" s="74">
        <f>VLOOKUP(E8552,DATABASE!C:Q,7,false)</f>
        <v>0</v>
      </c>
      <c r="L8552" s="74">
        <v>0.0</v>
      </c>
      <c r="M8552" s="74">
        <f t="shared" si="6"/>
        <v>0</v>
      </c>
      <c r="N8552" s="74">
        <f t="shared" si="3"/>
        <v>140000</v>
      </c>
      <c r="O8552" s="65" t="str">
        <f>VLOOKUP(E8552,DATABASE!C:Q,8,false)</f>
        <v>IBU</v>
      </c>
      <c r="P8552" s="65">
        <f>VLOOKUP(E8552,DATABASE!C:Q,9,False)</f>
        <v>0</v>
      </c>
      <c r="Q8552" s="93" t="str">
        <f>VLOOKUP(E8552,DATABASE!C:Q,4,false)</f>
        <v>SPOORING</v>
      </c>
      <c r="R8552" s="93" t="str">
        <f>VLOOKUP(E8552,DATABASE!C:Q,11,false)</f>
        <v>SERVICE</v>
      </c>
    </row>
    <row r="8553" ht="22.5" customHeight="1">
      <c r="A8553" s="49"/>
      <c r="C8553" s="400">
        <v>46156.0</v>
      </c>
      <c r="D8553" s="524">
        <v>1364.0</v>
      </c>
      <c r="E8553" s="544" t="s">
        <v>1439</v>
      </c>
      <c r="F8553" s="387">
        <v>1.0</v>
      </c>
      <c r="G8553" s="140">
        <v>645000.0</v>
      </c>
      <c r="H8553" s="74"/>
      <c r="I8553" s="74">
        <f t="shared" si="1"/>
        <v>645000</v>
      </c>
      <c r="J8553" s="74">
        <f>IF(E8553="SERVICE",I8553-(I8553*50%),Vlookup(E8553,DATABASE!C:Q,10,false)*F8553)</f>
        <v>0</v>
      </c>
      <c r="K8553" s="74">
        <f>VLOOKUP(E8553,DATABASE!C:Q,7,false)</f>
        <v>556800</v>
      </c>
      <c r="L8553" s="74">
        <v>556800.0</v>
      </c>
      <c r="M8553" s="74">
        <f t="shared" si="6"/>
        <v>560000</v>
      </c>
      <c r="N8553" s="74">
        <f t="shared" si="3"/>
        <v>85000</v>
      </c>
      <c r="O8553" s="65" t="str">
        <f>VLOOKUP(E8553,DATABASE!C:Q,8,false)</f>
        <v>BIAN</v>
      </c>
      <c r="P8553" s="65">
        <f>VLOOKUP(E8553,DATABASE!C:Q,9,False)</f>
        <v>1</v>
      </c>
      <c r="Q8553" s="93" t="str">
        <f>VLOOKUP(E8553,DATABASE!C:Q,4,false)</f>
        <v>GT</v>
      </c>
      <c r="R8553" s="93" t="str">
        <f>VLOOKUP(E8553,DATABASE!C:Q,11,false)</f>
        <v>Tire</v>
      </c>
    </row>
    <row r="8554" ht="22.5" customHeight="1">
      <c r="A8554" s="49"/>
      <c r="C8554" s="400">
        <v>46156.0</v>
      </c>
      <c r="D8554" s="524">
        <v>1365.0</v>
      </c>
      <c r="E8554" s="544" t="s">
        <v>250</v>
      </c>
      <c r="F8554" s="387">
        <v>1.0</v>
      </c>
      <c r="G8554" s="140">
        <v>135000.0</v>
      </c>
      <c r="H8554" s="74"/>
      <c r="I8554" s="74">
        <f t="shared" si="1"/>
        <v>135000</v>
      </c>
      <c r="J8554" s="74">
        <f>IF(E8554="SERVICE",I8554-(I8554*50%),Vlookup(E8554,DATABASE!C:Q,10,false)*F8554)</f>
        <v>0</v>
      </c>
      <c r="K8554" s="74">
        <f>VLOOKUP(E8554,DATABASE!C:Q,7,false)</f>
        <v>102000</v>
      </c>
      <c r="L8554" s="74">
        <v>102000.0</v>
      </c>
      <c r="M8554" s="74">
        <f t="shared" si="6"/>
        <v>105000</v>
      </c>
      <c r="N8554" s="74">
        <f t="shared" si="3"/>
        <v>30000</v>
      </c>
      <c r="O8554" s="65" t="str">
        <f>VLOOKUP(E8554,DATABASE!C:Q,8,false)</f>
        <v>BIAN</v>
      </c>
      <c r="P8554" s="65">
        <f>VLOOKUP(E8554,DATABASE!C:Q,9,False)</f>
        <v>1</v>
      </c>
      <c r="Q8554" s="93" t="str">
        <f>VLOOKUP(E8554,DATABASE!C:Q,4,false)</f>
        <v>BD</v>
      </c>
      <c r="R8554" s="93" t="str">
        <f>VLOOKUP(E8554,DATABASE!C:Q,11,false)</f>
        <v>Tire</v>
      </c>
    </row>
    <row r="8555" ht="22.5" customHeight="1">
      <c r="A8555" s="49"/>
      <c r="C8555" s="400">
        <v>46156.0</v>
      </c>
      <c r="D8555" s="524">
        <v>1366.0</v>
      </c>
      <c r="E8555" s="544" t="s">
        <v>268</v>
      </c>
      <c r="F8555" s="387">
        <v>1.0</v>
      </c>
      <c r="G8555" s="140">
        <v>720000.0</v>
      </c>
      <c r="H8555" s="74"/>
      <c r="I8555" s="74">
        <f t="shared" si="1"/>
        <v>720000</v>
      </c>
      <c r="J8555" s="74">
        <f>IF(E8555="SERVICE",I8555-(I8555*50%),Vlookup(E8555,DATABASE!C:Q,10,false)*F8555)</f>
        <v>0</v>
      </c>
      <c r="K8555" s="74">
        <f>VLOOKUP(E8555,DATABASE!C:Q,7,false)</f>
        <v>653000</v>
      </c>
      <c r="L8555" s="74">
        <v>634500.0</v>
      </c>
      <c r="M8555" s="74">
        <f t="shared" si="6"/>
        <v>635000</v>
      </c>
      <c r="N8555" s="74">
        <f t="shared" si="3"/>
        <v>85000</v>
      </c>
      <c r="O8555" s="65" t="str">
        <f>VLOOKUP(E8555,DATABASE!C:Q,8,false)</f>
        <v>IBU</v>
      </c>
      <c r="P8555" s="65">
        <f>VLOOKUP(E8555,DATABASE!C:Q,9,False)</f>
        <v>1</v>
      </c>
      <c r="Q8555" s="93" t="str">
        <f>VLOOKUP(E8555,DATABASE!C:Q,4,false)</f>
        <v>Dunlop</v>
      </c>
      <c r="R8555" s="93" t="str">
        <f>VLOOKUP(E8555,DATABASE!C:Q,11,false)</f>
        <v>Tire</v>
      </c>
    </row>
    <row r="8556" ht="22.5" customHeight="1">
      <c r="A8556" s="49"/>
      <c r="C8556" s="400">
        <v>46156.0</v>
      </c>
      <c r="D8556" s="524">
        <v>1367.0</v>
      </c>
      <c r="E8556" s="544" t="s">
        <v>256</v>
      </c>
      <c r="F8556" s="387">
        <v>1.0</v>
      </c>
      <c r="G8556" s="140">
        <v>175000.0</v>
      </c>
      <c r="H8556" s="140">
        <v>25000.0</v>
      </c>
      <c r="I8556" s="74">
        <f t="shared" si="1"/>
        <v>150000</v>
      </c>
      <c r="J8556" s="74">
        <f>IF(E8556="SERVICE",I8556-(I8556*50%),Vlookup(E8556,DATABASE!C:Q,10,false)*F8556)</f>
        <v>10000</v>
      </c>
      <c r="K8556" s="74">
        <f>VLOOKUP(E8556,DATABASE!C:Q,7,false)</f>
        <v>0</v>
      </c>
      <c r="L8556" s="74">
        <v>0.0</v>
      </c>
      <c r="M8556" s="74">
        <f t="shared" si="6"/>
        <v>0</v>
      </c>
      <c r="N8556" s="74">
        <f t="shared" si="3"/>
        <v>140000</v>
      </c>
      <c r="O8556" s="65" t="str">
        <f>VLOOKUP(E8556,DATABASE!C:Q,8,false)</f>
        <v>IBU</v>
      </c>
      <c r="P8556" s="65">
        <f>VLOOKUP(E8556,DATABASE!C:Q,9,False)</f>
        <v>0</v>
      </c>
      <c r="Q8556" s="93" t="str">
        <f>VLOOKUP(E8556,DATABASE!C:Q,4,false)</f>
        <v>SPOORING</v>
      </c>
      <c r="R8556" s="93" t="str">
        <f>VLOOKUP(E8556,DATABASE!C:Q,11,false)</f>
        <v>SERVICE</v>
      </c>
    </row>
    <row r="8557" ht="22.5" customHeight="1">
      <c r="A8557" s="49"/>
      <c r="C8557" s="400">
        <v>46156.0</v>
      </c>
      <c r="D8557" s="524">
        <v>1367.0</v>
      </c>
      <c r="E8557" s="544" t="s">
        <v>251</v>
      </c>
      <c r="F8557" s="387">
        <v>1.0</v>
      </c>
      <c r="G8557" s="140">
        <v>350000.0</v>
      </c>
      <c r="H8557" s="140">
        <v>290000.0</v>
      </c>
      <c r="I8557" s="74">
        <f t="shared" si="1"/>
        <v>60000</v>
      </c>
      <c r="J8557" s="74">
        <f>IF(E8557="SERVICE",I8557-(I8557*50%),Vlookup(E8557,DATABASE!C:Q,10,false)*F8557)</f>
        <v>30000</v>
      </c>
      <c r="K8557" s="74">
        <f>VLOOKUP(E8557,DATABASE!C:Q,7,false)</f>
        <v>0</v>
      </c>
      <c r="L8557" s="74">
        <v>0.0</v>
      </c>
      <c r="M8557" s="74">
        <f t="shared" si="6"/>
        <v>0</v>
      </c>
      <c r="N8557" s="74">
        <f t="shared" si="3"/>
        <v>30000</v>
      </c>
      <c r="O8557" s="65" t="str">
        <f>VLOOKUP(E8557,DATABASE!C:Q,8,false)</f>
        <v>IBU</v>
      </c>
      <c r="P8557" s="65">
        <f>VLOOKUP(E8557,DATABASE!C:Q,9,False)</f>
        <v>0</v>
      </c>
      <c r="Q8557" s="93" t="str">
        <f>VLOOKUP(E8557,DATABASE!C:Q,4,false)</f>
        <v>SERVICE</v>
      </c>
      <c r="R8557" s="93" t="str">
        <f>VLOOKUP(E8557,DATABASE!C:Q,11,false)</f>
        <v>SERVICE</v>
      </c>
    </row>
    <row r="8558" ht="22.5" customHeight="1">
      <c r="A8558" s="49"/>
      <c r="C8558" s="400">
        <v>46156.0</v>
      </c>
      <c r="D8558" s="524">
        <v>1368.0</v>
      </c>
      <c r="E8558" s="544" t="s">
        <v>299</v>
      </c>
      <c r="F8558" s="387">
        <v>2.0</v>
      </c>
      <c r="G8558" s="140">
        <v>30000.0</v>
      </c>
      <c r="H8558" s="74"/>
      <c r="I8558" s="74">
        <f t="shared" si="1"/>
        <v>60000</v>
      </c>
      <c r="J8558" s="74">
        <f>IF(E8558="SERVICE",I8558-(I8558*50%),Vlookup(E8558,DATABASE!C:Q,10,false)*F8558)</f>
        <v>0</v>
      </c>
      <c r="K8558" s="74">
        <f>VLOOKUP(E8558,DATABASE!C:Q,7,false)</f>
        <v>10000</v>
      </c>
      <c r="L8558" s="74">
        <v>10000.0</v>
      </c>
      <c r="M8558" s="74">
        <f t="shared" si="6"/>
        <v>10000</v>
      </c>
      <c r="N8558" s="74">
        <f t="shared" si="3"/>
        <v>40000</v>
      </c>
      <c r="O8558" s="65" t="str">
        <f>VLOOKUP(E8558,DATABASE!C:Q,8,false)</f>
        <v>BIAN</v>
      </c>
      <c r="P8558" s="65">
        <f>VLOOKUP(E8558,DATABASE!C:Q,9,False)</f>
        <v>0</v>
      </c>
      <c r="Q8558" s="93" t="str">
        <f>VLOOKUP(E8558,DATABASE!C:Q,4,false)</f>
        <v>Balancing</v>
      </c>
      <c r="R8558" s="93" t="str">
        <f>VLOOKUP(E8558,DATABASE!C:Q,11,false)</f>
        <v>COMPLEMENTARY</v>
      </c>
    </row>
    <row r="8559" ht="22.5" customHeight="1">
      <c r="A8559" s="49"/>
      <c r="C8559" s="400">
        <v>46156.0</v>
      </c>
      <c r="D8559" s="524">
        <v>1369.0</v>
      </c>
      <c r="E8559" s="544" t="s">
        <v>1439</v>
      </c>
      <c r="F8559" s="387">
        <v>2.0</v>
      </c>
      <c r="G8559" s="140">
        <v>645000.0</v>
      </c>
      <c r="H8559" s="74"/>
      <c r="I8559" s="74">
        <f t="shared" si="1"/>
        <v>1290000</v>
      </c>
      <c r="J8559" s="74">
        <f>IF(E8559="SERVICE",I8559-(I8559*50%),Vlookup(E8559,DATABASE!C:Q,10,false)*F8559)</f>
        <v>0</v>
      </c>
      <c r="K8559" s="74">
        <f>VLOOKUP(E8559,DATABASE!C:Q,7,false)</f>
        <v>556800</v>
      </c>
      <c r="L8559" s="74">
        <v>556800.0</v>
      </c>
      <c r="M8559" s="74">
        <f t="shared" si="6"/>
        <v>560000</v>
      </c>
      <c r="N8559" s="74">
        <f t="shared" si="3"/>
        <v>170000</v>
      </c>
      <c r="O8559" s="65" t="str">
        <f>VLOOKUP(E8559,DATABASE!C:Q,8,false)</f>
        <v>BIAN</v>
      </c>
      <c r="P8559" s="65">
        <f>VLOOKUP(E8559,DATABASE!C:Q,9,False)</f>
        <v>1</v>
      </c>
      <c r="Q8559" s="93" t="str">
        <f>VLOOKUP(E8559,DATABASE!C:Q,4,false)</f>
        <v>GT</v>
      </c>
      <c r="R8559" s="93" t="str">
        <f>VLOOKUP(E8559,DATABASE!C:Q,11,false)</f>
        <v>Tire</v>
      </c>
    </row>
    <row r="8560" ht="22.5" customHeight="1">
      <c r="A8560" s="49"/>
      <c r="C8560" s="400">
        <v>46156.0</v>
      </c>
      <c r="D8560" s="524">
        <v>1370.0</v>
      </c>
      <c r="E8560" s="544" t="s">
        <v>268</v>
      </c>
      <c r="F8560" s="387">
        <v>2.0</v>
      </c>
      <c r="G8560" s="140">
        <v>720000.0</v>
      </c>
      <c r="H8560" s="74"/>
      <c r="I8560" s="74">
        <f t="shared" si="1"/>
        <v>1440000</v>
      </c>
      <c r="J8560" s="74">
        <f>IF(E8560="SERVICE",I8560-(I8560*50%),Vlookup(E8560,DATABASE!C:Q,10,false)*F8560)</f>
        <v>0</v>
      </c>
      <c r="K8560" s="74">
        <f>VLOOKUP(E8560,DATABASE!C:Q,7,false)</f>
        <v>653000</v>
      </c>
      <c r="L8560" s="74">
        <v>634500.0</v>
      </c>
      <c r="M8560" s="74">
        <f t="shared" si="6"/>
        <v>635000</v>
      </c>
      <c r="N8560" s="74">
        <f t="shared" si="3"/>
        <v>170000</v>
      </c>
      <c r="O8560" s="65" t="str">
        <f>VLOOKUP(E8560,DATABASE!C:Q,8,false)</f>
        <v>IBU</v>
      </c>
      <c r="P8560" s="65">
        <f>VLOOKUP(E8560,DATABASE!C:Q,9,False)</f>
        <v>1</v>
      </c>
      <c r="Q8560" s="93" t="str">
        <f>VLOOKUP(E8560,DATABASE!C:Q,4,false)</f>
        <v>Dunlop</v>
      </c>
      <c r="R8560" s="93" t="str">
        <f>VLOOKUP(E8560,DATABASE!C:Q,11,false)</f>
        <v>Tire</v>
      </c>
    </row>
    <row r="8561" ht="22.5" customHeight="1">
      <c r="A8561" s="49"/>
      <c r="C8561" s="400">
        <v>46156.0</v>
      </c>
      <c r="D8561" s="524">
        <v>1371.0</v>
      </c>
      <c r="E8561" s="544" t="s">
        <v>256</v>
      </c>
      <c r="F8561" s="387">
        <v>1.0</v>
      </c>
      <c r="G8561" s="140">
        <v>175000.0</v>
      </c>
      <c r="H8561" s="140">
        <v>25000.0</v>
      </c>
      <c r="I8561" s="74">
        <f t="shared" si="1"/>
        <v>150000</v>
      </c>
      <c r="J8561" s="74">
        <f>IF(E8561="SERVICE",I8561-(I8561*50%),Vlookup(E8561,DATABASE!C:Q,10,false)*F8561)</f>
        <v>10000</v>
      </c>
      <c r="K8561" s="74">
        <f>VLOOKUP(E8561,DATABASE!C:Q,7,false)</f>
        <v>0</v>
      </c>
      <c r="L8561" s="74">
        <v>0.0</v>
      </c>
      <c r="M8561" s="74">
        <f t="shared" si="6"/>
        <v>0</v>
      </c>
      <c r="N8561" s="74">
        <f t="shared" si="3"/>
        <v>140000</v>
      </c>
      <c r="O8561" s="65" t="str">
        <f>VLOOKUP(E8561,DATABASE!C:Q,8,false)</f>
        <v>IBU</v>
      </c>
      <c r="P8561" s="65">
        <f>VLOOKUP(E8561,DATABASE!C:Q,9,False)</f>
        <v>0</v>
      </c>
      <c r="Q8561" s="93" t="str">
        <f>VLOOKUP(E8561,DATABASE!C:Q,4,false)</f>
        <v>SPOORING</v>
      </c>
      <c r="R8561" s="93" t="str">
        <f>VLOOKUP(E8561,DATABASE!C:Q,11,false)</f>
        <v>SERVICE</v>
      </c>
    </row>
    <row r="8562" ht="22.5" customHeight="1">
      <c r="A8562" s="49"/>
      <c r="C8562" s="400">
        <v>46156.0</v>
      </c>
      <c r="D8562" s="524">
        <v>1371.0</v>
      </c>
      <c r="E8562" s="544" t="s">
        <v>251</v>
      </c>
      <c r="F8562" s="387">
        <v>1.0</v>
      </c>
      <c r="G8562" s="140">
        <v>350000.0</v>
      </c>
      <c r="H8562" s="140">
        <v>200000.0</v>
      </c>
      <c r="I8562" s="74">
        <f t="shared" si="1"/>
        <v>150000</v>
      </c>
      <c r="J8562" s="74">
        <f>IF(E8562="SERVICE",I8562-(I8562*50%),Vlookup(E8562,DATABASE!C:Q,10,false)*F8562)</f>
        <v>75000</v>
      </c>
      <c r="K8562" s="74">
        <f>VLOOKUP(E8562,DATABASE!C:Q,7,false)</f>
        <v>0</v>
      </c>
      <c r="L8562" s="74">
        <v>0.0</v>
      </c>
      <c r="M8562" s="74">
        <f t="shared" si="6"/>
        <v>0</v>
      </c>
      <c r="N8562" s="74">
        <f t="shared" si="3"/>
        <v>75000</v>
      </c>
      <c r="O8562" s="65" t="str">
        <f>VLOOKUP(E8562,DATABASE!C:Q,8,false)</f>
        <v>IBU</v>
      </c>
      <c r="P8562" s="65">
        <f>VLOOKUP(E8562,DATABASE!C:Q,9,False)</f>
        <v>0</v>
      </c>
      <c r="Q8562" s="93" t="str">
        <f>VLOOKUP(E8562,DATABASE!C:Q,4,false)</f>
        <v>SERVICE</v>
      </c>
      <c r="R8562" s="93" t="str">
        <f>VLOOKUP(E8562,DATABASE!C:Q,11,false)</f>
        <v>SERVICE</v>
      </c>
    </row>
    <row r="8563" ht="22.5" customHeight="1">
      <c r="A8563" s="49"/>
      <c r="C8563" s="400">
        <v>46156.0</v>
      </c>
      <c r="D8563" s="69" t="s">
        <v>2808</v>
      </c>
      <c r="E8563" s="544" t="s">
        <v>263</v>
      </c>
      <c r="F8563" s="387">
        <v>1.0</v>
      </c>
      <c r="G8563" s="140">
        <v>345000.0</v>
      </c>
      <c r="H8563" s="74"/>
      <c r="I8563" s="74">
        <f t="shared" si="1"/>
        <v>345000</v>
      </c>
      <c r="J8563" s="74">
        <f>IF(E8563="SERVICE",I8563-(I8563*50%),Vlookup(E8563,DATABASE!C:Q,10,false)*F8563)</f>
        <v>0</v>
      </c>
      <c r="K8563" s="74">
        <f>VLOOKUP(E8563,DATABASE!C:Q,7,false)</f>
        <v>334916</v>
      </c>
      <c r="L8563" s="74">
        <v>292600.0</v>
      </c>
      <c r="M8563" s="74">
        <f t="shared" si="6"/>
        <v>295000</v>
      </c>
      <c r="N8563" s="74">
        <f t="shared" si="3"/>
        <v>50000</v>
      </c>
      <c r="O8563" s="65" t="str">
        <f>VLOOKUP(E8563,DATABASE!C:Q,8,false)</f>
        <v>NON</v>
      </c>
      <c r="P8563" s="65">
        <f>VLOOKUP(E8563,DATABASE!C:Q,9,False)</f>
        <v>0</v>
      </c>
      <c r="Q8563" s="93" t="str">
        <f>VLOOKUP(E8563,DATABASE!C:Q,4,false)</f>
        <v>Shell</v>
      </c>
      <c r="R8563" s="93" t="str">
        <f>VLOOKUP(E8563,DATABASE!C:Q,11,false)</f>
        <v>OIL</v>
      </c>
    </row>
    <row r="8564" ht="22.5" customHeight="1">
      <c r="A8564" s="49"/>
      <c r="C8564" s="400">
        <v>46157.0</v>
      </c>
      <c r="D8564" s="524">
        <v>1372.0</v>
      </c>
      <c r="E8564" s="544" t="s">
        <v>605</v>
      </c>
      <c r="F8564" s="387">
        <v>1.0</v>
      </c>
      <c r="G8564" s="140">
        <v>765000.0</v>
      </c>
      <c r="H8564" s="74"/>
      <c r="I8564" s="74">
        <f t="shared" si="1"/>
        <v>765000</v>
      </c>
      <c r="J8564" s="74">
        <f>IF(E8564="SERVICE",I8564-(I8564*50%),Vlookup(E8564,DATABASE!C:Q,10,false)*F8564)</f>
        <v>0</v>
      </c>
      <c r="K8564" s="74">
        <f>VLOOKUP(E8564,DATABASE!C:Q,7,false)</f>
        <v>675000</v>
      </c>
      <c r="L8564" s="74">
        <v>675000.0</v>
      </c>
      <c r="M8564" s="74">
        <f t="shared" si="6"/>
        <v>675000</v>
      </c>
      <c r="N8564" s="74">
        <f t="shared" si="3"/>
        <v>90000</v>
      </c>
      <c r="O8564" s="65" t="str">
        <f>VLOOKUP(E8564,DATABASE!C:Q,8,false)</f>
        <v>IBU</v>
      </c>
      <c r="P8564" s="65">
        <f>VLOOKUP(E8564,DATABASE!C:Q,9,False)</f>
        <v>1</v>
      </c>
      <c r="Q8564" s="93" t="str">
        <f>VLOOKUP(E8564,DATABASE!C:Q,4,false)</f>
        <v>Bridgestone</v>
      </c>
      <c r="R8564" s="93" t="str">
        <f>VLOOKUP(E8564,DATABASE!C:Q,11,false)</f>
        <v>Tire</v>
      </c>
    </row>
    <row r="8565" ht="22.5" customHeight="1">
      <c r="A8565" s="49"/>
      <c r="C8565" s="400">
        <v>46157.0</v>
      </c>
      <c r="D8565" s="524">
        <v>1373.0</v>
      </c>
      <c r="E8565" s="544" t="s">
        <v>781</v>
      </c>
      <c r="F8565" s="387">
        <v>2.0</v>
      </c>
      <c r="G8565" s="140">
        <v>550000.0</v>
      </c>
      <c r="H8565" s="74"/>
      <c r="I8565" s="74">
        <f t="shared" si="1"/>
        <v>1100000</v>
      </c>
      <c r="J8565" s="74">
        <f>IF(E8565="SERVICE",I8565-(I8565*50%),Vlookup(E8565,DATABASE!C:Q,10,false)*F8565)</f>
        <v>0</v>
      </c>
      <c r="K8565" s="74">
        <f>VLOOKUP(E8565,DATABASE!C:Q,7,false)</f>
        <v>470000</v>
      </c>
      <c r="L8565" s="74">
        <v>460000.0</v>
      </c>
      <c r="M8565" s="74">
        <f t="shared" si="6"/>
        <v>460000</v>
      </c>
      <c r="N8565" s="74">
        <f t="shared" si="3"/>
        <v>180000</v>
      </c>
      <c r="O8565" s="65" t="str">
        <f>VLOOKUP(E8565,DATABASE!C:Q,8,false)</f>
        <v>BIAN</v>
      </c>
      <c r="P8565" s="65">
        <f>VLOOKUP(E8565,DATABASE!C:Q,9,False)</f>
        <v>1</v>
      </c>
      <c r="Q8565" s="93" t="str">
        <f>VLOOKUP(E8565,DATABASE!C:Q,4,false)</f>
        <v>GT</v>
      </c>
      <c r="R8565" s="93" t="str">
        <f>VLOOKUP(E8565,DATABASE!C:Q,11,false)</f>
        <v>Tire</v>
      </c>
    </row>
    <row r="8566" ht="22.5" customHeight="1">
      <c r="A8566" s="49"/>
      <c r="C8566" s="400">
        <v>46157.0</v>
      </c>
      <c r="D8566" s="524">
        <v>1373.0</v>
      </c>
      <c r="E8566" s="544" t="s">
        <v>262</v>
      </c>
      <c r="F8566" s="387">
        <v>1.0</v>
      </c>
      <c r="G8566" s="140">
        <v>130000.0</v>
      </c>
      <c r="H8566" s="74"/>
      <c r="I8566" s="74">
        <f t="shared" si="1"/>
        <v>130000</v>
      </c>
      <c r="J8566" s="74">
        <f>IF(E8566="SERVICE",I8566-(I8566*50%),Vlookup(E8566,DATABASE!C:Q,10,false)*F8566)</f>
        <v>5000</v>
      </c>
      <c r="K8566" s="74">
        <f>VLOOKUP(E8566,DATABASE!C:Q,7,false)</f>
        <v>0</v>
      </c>
      <c r="L8566" s="74">
        <v>0.0</v>
      </c>
      <c r="M8566" s="74">
        <f t="shared" si="6"/>
        <v>0</v>
      </c>
      <c r="N8566" s="74">
        <f t="shared" si="3"/>
        <v>125000</v>
      </c>
      <c r="O8566" s="65" t="str">
        <f>VLOOKUP(E8566,DATABASE!C:Q,8,false)</f>
        <v>IBU</v>
      </c>
      <c r="P8566" s="65">
        <f>VLOOKUP(E8566,DATABASE!C:Q,9,False)</f>
        <v>0</v>
      </c>
      <c r="Q8566" s="93" t="str">
        <f>VLOOKUP(E8566,DATABASE!C:Q,4,false)</f>
        <v>SPOORING SS/CARRY LOS BAK</v>
      </c>
      <c r="R8566" s="93" t="str">
        <f>VLOOKUP(E8566,DATABASE!C:Q,11,false)</f>
        <v>SERVICE</v>
      </c>
    </row>
    <row r="8567" ht="22.5" customHeight="1">
      <c r="A8567" s="49"/>
      <c r="C8567" s="400">
        <v>46157.0</v>
      </c>
      <c r="D8567" s="524">
        <v>1373.0</v>
      </c>
      <c r="E8567" s="544" t="s">
        <v>299</v>
      </c>
      <c r="F8567" s="387">
        <v>2.0</v>
      </c>
      <c r="G8567" s="140">
        <v>30000.0</v>
      </c>
      <c r="H8567" s="74"/>
      <c r="I8567" s="74">
        <f t="shared" si="1"/>
        <v>60000</v>
      </c>
      <c r="J8567" s="74">
        <f>IF(E8567="SERVICE",I8567-(I8567*50%),Vlookup(E8567,DATABASE!C:Q,10,false)*F8567)</f>
        <v>0</v>
      </c>
      <c r="K8567" s="74">
        <f>VLOOKUP(E8567,DATABASE!C:Q,7,false)</f>
        <v>10000</v>
      </c>
      <c r="L8567" s="74">
        <v>10000.0</v>
      </c>
      <c r="M8567" s="74">
        <f t="shared" si="6"/>
        <v>10000</v>
      </c>
      <c r="N8567" s="74">
        <f t="shared" si="3"/>
        <v>40000</v>
      </c>
      <c r="O8567" s="65" t="str">
        <f>VLOOKUP(E8567,DATABASE!C:Q,8,false)</f>
        <v>BIAN</v>
      </c>
      <c r="P8567" s="65">
        <f>VLOOKUP(E8567,DATABASE!C:Q,9,False)</f>
        <v>0</v>
      </c>
      <c r="Q8567" s="93" t="str">
        <f>VLOOKUP(E8567,DATABASE!C:Q,4,false)</f>
        <v>Balancing</v>
      </c>
      <c r="R8567" s="93" t="str">
        <f>VLOOKUP(E8567,DATABASE!C:Q,11,false)</f>
        <v>COMPLEMENTARY</v>
      </c>
    </row>
    <row r="8568" ht="22.5" customHeight="1">
      <c r="A8568" s="49"/>
      <c r="C8568" s="400">
        <v>46157.0</v>
      </c>
      <c r="D8568" s="524">
        <v>1373.0</v>
      </c>
      <c r="E8568" s="544" t="s">
        <v>478</v>
      </c>
      <c r="F8568" s="387">
        <v>1.0</v>
      </c>
      <c r="G8568" s="140">
        <v>200000.0</v>
      </c>
      <c r="H8568" s="74"/>
      <c r="I8568" s="74">
        <f t="shared" si="1"/>
        <v>200000</v>
      </c>
      <c r="J8568" s="74">
        <f>IF(E8568="SERVICE",I8568-(I8568*50%),Vlookup(E8568,DATABASE!C:Q,10,false)*F8568)</f>
        <v>25000</v>
      </c>
      <c r="K8568" s="74">
        <f>VLOOKUP(E8568,DATABASE!C:Q,7,false)</f>
        <v>75000</v>
      </c>
      <c r="L8568" s="74">
        <v>75000.0</v>
      </c>
      <c r="M8568" s="74">
        <f t="shared" si="6"/>
        <v>75000</v>
      </c>
      <c r="N8568" s="74">
        <f t="shared" si="3"/>
        <v>100000</v>
      </c>
      <c r="O8568" s="65" t="str">
        <f>VLOOKUP(E8568,DATABASE!C:Q,8,false)</f>
        <v>BIAN</v>
      </c>
      <c r="P8568" s="65">
        <f>VLOOKUP(E8568,DATABASE!C:Q,9,False)</f>
        <v>0</v>
      </c>
      <c r="Q8568" s="93" t="str">
        <f>VLOOKUP(E8568,DATABASE!C:Q,4,false)</f>
        <v>Baut Camber ss-carry</v>
      </c>
      <c r="R8568" s="93" t="str">
        <f>VLOOKUP(E8568,DATABASE!C:Q,11,false)</f>
        <v>COMPLEMENTARY</v>
      </c>
    </row>
    <row r="8569" ht="22.5" customHeight="1">
      <c r="A8569" s="49"/>
      <c r="C8569" s="400">
        <v>46157.0</v>
      </c>
      <c r="D8569" s="524">
        <v>1374.0</v>
      </c>
      <c r="E8569" s="544" t="s">
        <v>2611</v>
      </c>
      <c r="F8569" s="387">
        <v>1.0</v>
      </c>
      <c r="G8569" s="140">
        <v>115000.0</v>
      </c>
      <c r="H8569" s="74"/>
      <c r="I8569" s="74">
        <f t="shared" si="1"/>
        <v>115000</v>
      </c>
      <c r="J8569" s="74">
        <f>IF(E8569="SERVICE",I8569-(I8569*50%),Vlookup(E8569,DATABASE!C:Q,10,false)*F8569)</f>
        <v>0</v>
      </c>
      <c r="K8569" s="74">
        <f>VLOOKUP(E8569,DATABASE!C:Q,7,false)</f>
        <v>81000</v>
      </c>
      <c r="L8569" s="74">
        <v>81000.0</v>
      </c>
      <c r="M8569" s="74">
        <f t="shared" si="6"/>
        <v>85000</v>
      </c>
      <c r="N8569" s="74">
        <f t="shared" si="3"/>
        <v>30000</v>
      </c>
      <c r="O8569" s="65" t="str">
        <f>VLOOKUP(E8569,DATABASE!C:Q,8,false)</f>
        <v>BIAN</v>
      </c>
      <c r="P8569" s="65">
        <f>VLOOKUP(E8569,DATABASE!C:Q,9,False)</f>
        <v>1</v>
      </c>
      <c r="Q8569" s="93" t="str">
        <f>VLOOKUP(E8569,DATABASE!C:Q,4,false)</f>
        <v>BD IBK</v>
      </c>
      <c r="R8569" s="93" t="str">
        <f>VLOOKUP(E8569,DATABASE!C:Q,11,false)</f>
        <v>Tire</v>
      </c>
    </row>
    <row r="8570" ht="22.5" customHeight="1">
      <c r="A8570" s="49"/>
      <c r="C8570" s="400">
        <v>46157.0</v>
      </c>
      <c r="D8570" s="524">
        <v>1375.0</v>
      </c>
      <c r="E8570" s="544" t="s">
        <v>932</v>
      </c>
      <c r="F8570" s="387">
        <v>1.0</v>
      </c>
      <c r="G8570" s="140">
        <v>690000.0</v>
      </c>
      <c r="H8570" s="74"/>
      <c r="I8570" s="74">
        <f t="shared" si="1"/>
        <v>690000</v>
      </c>
      <c r="J8570" s="74">
        <f>IF(E8570="SERVICE",I8570-(I8570*50%),Vlookup(E8570,DATABASE!C:Q,10,false)*F8570)</f>
        <v>0</v>
      </c>
      <c r="K8570" s="74">
        <f>VLOOKUP(E8570,DATABASE!C:Q,7,false)</f>
        <v>601000</v>
      </c>
      <c r="L8570" s="74">
        <v>601000.0</v>
      </c>
      <c r="M8570" s="74">
        <f t="shared" si="6"/>
        <v>605000</v>
      </c>
      <c r="N8570" s="74">
        <f t="shared" si="3"/>
        <v>85000</v>
      </c>
      <c r="O8570" s="65" t="str">
        <f>VLOOKUP(E8570,DATABASE!C:Q,8,false)</f>
        <v>IBU</v>
      </c>
      <c r="P8570" s="65">
        <f>VLOOKUP(E8570,DATABASE!C:Q,9,False)</f>
        <v>1</v>
      </c>
      <c r="Q8570" s="93" t="str">
        <f>VLOOKUP(E8570,DATABASE!C:Q,4,false)</f>
        <v>Dunlop</v>
      </c>
      <c r="R8570" s="93" t="str">
        <f>VLOOKUP(E8570,DATABASE!C:Q,11,false)</f>
        <v>Tire</v>
      </c>
    </row>
    <row r="8571" ht="22.5" customHeight="1">
      <c r="A8571" s="49"/>
      <c r="C8571" s="400">
        <v>46157.0</v>
      </c>
      <c r="D8571" s="524">
        <v>1376.0</v>
      </c>
      <c r="E8571" s="544" t="s">
        <v>246</v>
      </c>
      <c r="F8571" s="387">
        <v>4.0</v>
      </c>
      <c r="G8571" s="140">
        <v>35000.0</v>
      </c>
      <c r="H8571" s="74"/>
      <c r="I8571" s="74">
        <f t="shared" si="1"/>
        <v>140000</v>
      </c>
      <c r="J8571" s="74">
        <f>IF(E8571="SERVICE",I8571-(I8571*50%),Vlookup(E8571,DATABASE!C:Q,10,false)*F8571)</f>
        <v>0</v>
      </c>
      <c r="K8571" s="74">
        <f>VLOOKUP(E8571,DATABASE!C:Q,7,false)</f>
        <v>0</v>
      </c>
      <c r="L8571" s="74">
        <v>0.0</v>
      </c>
      <c r="M8571" s="74">
        <f t="shared" si="6"/>
        <v>0</v>
      </c>
      <c r="N8571" s="74">
        <f t="shared" si="3"/>
        <v>140000</v>
      </c>
      <c r="O8571" s="65" t="str">
        <f>VLOOKUP(E8571,DATABASE!C:Q,8,false)</f>
        <v>IBU</v>
      </c>
      <c r="P8571" s="65">
        <f>VLOOKUP(E8571,DATABASE!C:Q,9,False)</f>
        <v>0</v>
      </c>
      <c r="Q8571" s="93" t="str">
        <f>VLOOKUP(E8571,DATABASE!C:Q,4,false)</f>
        <v>Bongkar Pasang</v>
      </c>
      <c r="R8571" s="93" t="str">
        <f>VLOOKUP(E8571,DATABASE!C:Q,11,false)</f>
        <v>SERVICE</v>
      </c>
    </row>
    <row r="8572" ht="22.5" customHeight="1">
      <c r="A8572" s="49"/>
      <c r="C8572" s="400">
        <v>46157.0</v>
      </c>
      <c r="D8572" s="524">
        <v>1377.0</v>
      </c>
      <c r="E8572" s="544" t="s">
        <v>554</v>
      </c>
      <c r="F8572" s="387">
        <v>2.0</v>
      </c>
      <c r="G8572" s="140">
        <v>800000.0</v>
      </c>
      <c r="H8572" s="74"/>
      <c r="I8572" s="74">
        <f t="shared" si="1"/>
        <v>1600000</v>
      </c>
      <c r="J8572" s="74">
        <f>IF(E8572="SERVICE",I8572-(I8572*50%),Vlookup(E8572,DATABASE!C:Q,10,false)*F8572)</f>
        <v>0</v>
      </c>
      <c r="K8572" s="74">
        <f>VLOOKUP(E8572,DATABASE!C:Q,7,false)</f>
        <v>710000</v>
      </c>
      <c r="L8572" s="74">
        <v>705000.0</v>
      </c>
      <c r="M8572" s="74">
        <f t="shared" si="6"/>
        <v>705000</v>
      </c>
      <c r="N8572" s="74">
        <f t="shared" si="3"/>
        <v>190000</v>
      </c>
      <c r="O8572" s="65" t="str">
        <f>VLOOKUP(E8572,DATABASE!C:Q,8,false)</f>
        <v>IBU</v>
      </c>
      <c r="P8572" s="65">
        <f>VLOOKUP(E8572,DATABASE!C:Q,9,False)</f>
        <v>1</v>
      </c>
      <c r="Q8572" s="93" t="str">
        <f>VLOOKUP(E8572,DATABASE!C:Q,4,false)</f>
        <v>Bridgestone</v>
      </c>
      <c r="R8572" s="93" t="str">
        <f>VLOOKUP(E8572,DATABASE!C:Q,11,false)</f>
        <v>Tire</v>
      </c>
    </row>
    <row r="8573" ht="22.5" customHeight="1">
      <c r="A8573" s="49"/>
      <c r="C8573" s="400">
        <v>46157.0</v>
      </c>
      <c r="D8573" s="524">
        <v>1378.0</v>
      </c>
      <c r="E8573" s="544" t="s">
        <v>932</v>
      </c>
      <c r="F8573" s="387">
        <v>1.0</v>
      </c>
      <c r="G8573" s="140">
        <v>690000.0</v>
      </c>
      <c r="H8573" s="74"/>
      <c r="I8573" s="74">
        <f t="shared" si="1"/>
        <v>690000</v>
      </c>
      <c r="J8573" s="74">
        <f>IF(E8573="SERVICE",I8573-(I8573*50%),Vlookup(E8573,DATABASE!C:Q,10,false)*F8573)</f>
        <v>0</v>
      </c>
      <c r="K8573" s="74">
        <f>VLOOKUP(E8573,DATABASE!C:Q,7,false)</f>
        <v>601000</v>
      </c>
      <c r="L8573" s="74">
        <v>601000.0</v>
      </c>
      <c r="M8573" s="74">
        <f t="shared" si="6"/>
        <v>605000</v>
      </c>
      <c r="N8573" s="74">
        <f t="shared" si="3"/>
        <v>85000</v>
      </c>
      <c r="O8573" s="65" t="str">
        <f>VLOOKUP(E8573,DATABASE!C:Q,8,false)</f>
        <v>IBU</v>
      </c>
      <c r="P8573" s="65">
        <f>VLOOKUP(E8573,DATABASE!C:Q,9,False)</f>
        <v>1</v>
      </c>
      <c r="Q8573" s="93" t="str">
        <f>VLOOKUP(E8573,DATABASE!C:Q,4,false)</f>
        <v>Dunlop</v>
      </c>
      <c r="R8573" s="93" t="str">
        <f>VLOOKUP(E8573,DATABASE!C:Q,11,false)</f>
        <v>Tire</v>
      </c>
    </row>
    <row r="8574" ht="22.5" customHeight="1">
      <c r="A8574" s="49"/>
      <c r="C8574" s="400">
        <v>46157.0</v>
      </c>
      <c r="D8574" s="69" t="s">
        <v>2809</v>
      </c>
      <c r="E8574" s="544" t="s">
        <v>263</v>
      </c>
      <c r="F8574" s="387">
        <v>1.0</v>
      </c>
      <c r="G8574" s="140">
        <v>345000.0</v>
      </c>
      <c r="H8574" s="74"/>
      <c r="I8574" s="74">
        <f t="shared" si="1"/>
        <v>345000</v>
      </c>
      <c r="J8574" s="74">
        <f>IF(E8574="SERVICE",I8574-(I8574*50%),Vlookup(E8574,DATABASE!C:Q,10,false)*F8574)</f>
        <v>0</v>
      </c>
      <c r="K8574" s="74">
        <f>VLOOKUP(E8574,DATABASE!C:Q,7,false)</f>
        <v>334916</v>
      </c>
      <c r="L8574" s="74">
        <v>292600.0</v>
      </c>
      <c r="M8574" s="74">
        <f t="shared" si="6"/>
        <v>295000</v>
      </c>
      <c r="N8574" s="74">
        <f t="shared" si="3"/>
        <v>50000</v>
      </c>
      <c r="O8574" s="65" t="str">
        <f>VLOOKUP(E8574,DATABASE!C:Q,8,false)</f>
        <v>NON</v>
      </c>
      <c r="P8574" s="65">
        <f>VLOOKUP(E8574,DATABASE!C:Q,9,False)</f>
        <v>0</v>
      </c>
      <c r="Q8574" s="93" t="str">
        <f>VLOOKUP(E8574,DATABASE!C:Q,4,false)</f>
        <v>Shell</v>
      </c>
      <c r="R8574" s="93" t="str">
        <f>VLOOKUP(E8574,DATABASE!C:Q,11,false)</f>
        <v>OIL</v>
      </c>
    </row>
    <row r="8575" ht="22.5" customHeight="1">
      <c r="A8575" s="49"/>
      <c r="C8575" s="400">
        <v>46157.0</v>
      </c>
      <c r="D8575" s="69" t="s">
        <v>2809</v>
      </c>
      <c r="E8575" s="544" t="s">
        <v>2541</v>
      </c>
      <c r="F8575" s="387">
        <v>1.0</v>
      </c>
      <c r="G8575" s="140">
        <v>25000.0</v>
      </c>
      <c r="H8575" s="140">
        <v>2000.0</v>
      </c>
      <c r="I8575" s="74">
        <f t="shared" si="1"/>
        <v>23000</v>
      </c>
      <c r="J8575" s="74">
        <f>IF(E8575="SERVICE",I8575-(I8575*50%),Vlookup(E8575,DATABASE!C:Q,10,false)*F8575)</f>
        <v>0</v>
      </c>
      <c r="K8575" s="74">
        <f>VLOOKUP(E8575,DATABASE!C:Q,7,false)</f>
        <v>21500</v>
      </c>
      <c r="L8575" s="74">
        <v>21500.0</v>
      </c>
      <c r="M8575" s="74">
        <f t="shared" si="6"/>
        <v>25000</v>
      </c>
      <c r="N8575" s="74">
        <f t="shared" si="3"/>
        <v>-2000</v>
      </c>
      <c r="O8575" s="65" t="str">
        <f>VLOOKUP(E8575,DATABASE!C:Q,8,false)</f>
        <v>BIAN</v>
      </c>
      <c r="P8575" s="65">
        <f>VLOOKUP(E8575,DATABASE!C:Q,9,False)</f>
        <v>0</v>
      </c>
      <c r="Q8575" s="93" t="str">
        <f>VLOOKUP(E8575,DATABASE!C:Q,4,false)</f>
        <v>Sakura</v>
      </c>
      <c r="R8575" s="93" t="str">
        <f>VLOOKUP(E8575,DATABASE!C:Q,11,false)</f>
        <v>COMPLEMENTARY</v>
      </c>
    </row>
    <row r="8576" ht="22.5" customHeight="1">
      <c r="A8576" s="49"/>
      <c r="C8576" s="400">
        <v>46157.0</v>
      </c>
      <c r="D8576" s="69" t="s">
        <v>2810</v>
      </c>
      <c r="E8576" s="544" t="s">
        <v>2191</v>
      </c>
      <c r="F8576" s="387">
        <v>1.0</v>
      </c>
      <c r="G8576" s="140">
        <v>430000.0</v>
      </c>
      <c r="H8576" s="74"/>
      <c r="I8576" s="74">
        <f t="shared" si="1"/>
        <v>430000</v>
      </c>
      <c r="J8576" s="74">
        <f>IF(E8576="SERVICE",I8576-(I8576*50%),Vlookup(E8576,DATABASE!C:Q,10,false)*F8576)</f>
        <v>0</v>
      </c>
      <c r="K8576" s="74">
        <f>VLOOKUP(E8576,DATABASE!C:Q,7,false)</f>
        <v>422900</v>
      </c>
      <c r="L8576" s="74">
        <v>380400.0</v>
      </c>
      <c r="M8576" s="74">
        <f t="shared" si="6"/>
        <v>385000</v>
      </c>
      <c r="N8576" s="74">
        <f t="shared" si="3"/>
        <v>45000</v>
      </c>
      <c r="O8576" s="65" t="str">
        <f>VLOOKUP(E8576,DATABASE!C:Q,8,false)</f>
        <v>NON</v>
      </c>
      <c r="P8576" s="65">
        <f>VLOOKUP(E8576,DATABASE!C:Q,9,False)</f>
        <v>0</v>
      </c>
      <c r="Q8576" s="93" t="str">
        <f>VLOOKUP(E8576,DATABASE!C:Q,4,false)</f>
        <v>Shell</v>
      </c>
      <c r="R8576" s="93" t="str">
        <f>VLOOKUP(E8576,DATABASE!C:Q,11,false)</f>
        <v>OIL</v>
      </c>
    </row>
    <row r="8577" ht="22.5" customHeight="1">
      <c r="A8577" s="49"/>
      <c r="C8577" s="400">
        <v>46158.0</v>
      </c>
      <c r="D8577" s="524">
        <v>1379.0</v>
      </c>
      <c r="E8577" s="544" t="s">
        <v>275</v>
      </c>
      <c r="F8577" s="387">
        <v>1.0</v>
      </c>
      <c r="G8577" s="140">
        <v>850000.0</v>
      </c>
      <c r="H8577" s="74"/>
      <c r="I8577" s="74">
        <f t="shared" si="1"/>
        <v>850000</v>
      </c>
      <c r="J8577" s="74">
        <f>IF(E8577="SERVICE",I8577-(I8577*50%),Vlookup(E8577,DATABASE!C:Q,10,false)*F8577)</f>
        <v>0</v>
      </c>
      <c r="K8577" s="74">
        <f>VLOOKUP(E8577,DATABASE!C:Q,7,false)</f>
        <v>782000</v>
      </c>
      <c r="L8577" s="74">
        <v>759500.0</v>
      </c>
      <c r="M8577" s="74">
        <f t="shared" si="6"/>
        <v>760000</v>
      </c>
      <c r="N8577" s="74">
        <f t="shared" si="3"/>
        <v>90000</v>
      </c>
      <c r="O8577" s="65" t="str">
        <f>VLOOKUP(E8577,DATABASE!C:Q,8,false)</f>
        <v>IBU</v>
      </c>
      <c r="P8577" s="65">
        <f>VLOOKUP(E8577,DATABASE!C:Q,9,False)</f>
        <v>1</v>
      </c>
      <c r="Q8577" s="93" t="str">
        <f>VLOOKUP(E8577,DATABASE!C:Q,4,false)</f>
        <v>Dunlop</v>
      </c>
      <c r="R8577" s="93" t="str">
        <f>VLOOKUP(E8577,DATABASE!C:Q,11,false)</f>
        <v>Tire</v>
      </c>
    </row>
    <row r="8578" ht="22.5" customHeight="1">
      <c r="A8578" s="49"/>
      <c r="C8578" s="400">
        <v>46158.0</v>
      </c>
      <c r="D8578" s="524">
        <v>1380.0</v>
      </c>
      <c r="E8578" s="544" t="s">
        <v>932</v>
      </c>
      <c r="F8578" s="387">
        <v>1.0</v>
      </c>
      <c r="G8578" s="140">
        <v>690000.0</v>
      </c>
      <c r="H8578" s="74"/>
      <c r="I8578" s="74">
        <f t="shared" si="1"/>
        <v>690000</v>
      </c>
      <c r="J8578" s="74">
        <f>IF(E8578="SERVICE",I8578-(I8578*50%),Vlookup(E8578,DATABASE!C:Q,10,false)*F8578)</f>
        <v>0</v>
      </c>
      <c r="K8578" s="74">
        <f>VLOOKUP(E8578,DATABASE!C:Q,7,false)</f>
        <v>601000</v>
      </c>
      <c r="L8578" s="74">
        <v>601000.0</v>
      </c>
      <c r="M8578" s="74">
        <f t="shared" si="6"/>
        <v>605000</v>
      </c>
      <c r="N8578" s="74">
        <f t="shared" si="3"/>
        <v>85000</v>
      </c>
      <c r="O8578" s="65" t="str">
        <f>VLOOKUP(E8578,DATABASE!C:Q,8,false)</f>
        <v>IBU</v>
      </c>
      <c r="P8578" s="65">
        <f>VLOOKUP(E8578,DATABASE!C:Q,9,False)</f>
        <v>1</v>
      </c>
      <c r="Q8578" s="93" t="str">
        <f>VLOOKUP(E8578,DATABASE!C:Q,4,false)</f>
        <v>Dunlop</v>
      </c>
      <c r="R8578" s="93" t="str">
        <f>VLOOKUP(E8578,DATABASE!C:Q,11,false)</f>
        <v>Tire</v>
      </c>
    </row>
    <row r="8579" ht="22.5" customHeight="1">
      <c r="A8579" s="49"/>
      <c r="C8579" s="400">
        <v>46158.0</v>
      </c>
      <c r="D8579" s="524">
        <v>1381.0</v>
      </c>
      <c r="E8579" s="544" t="s">
        <v>932</v>
      </c>
      <c r="F8579" s="387">
        <v>2.0</v>
      </c>
      <c r="G8579" s="140">
        <v>690000.0</v>
      </c>
      <c r="H8579" s="74"/>
      <c r="I8579" s="74">
        <f t="shared" si="1"/>
        <v>1380000</v>
      </c>
      <c r="J8579" s="74">
        <f>IF(E8579="SERVICE",I8579-(I8579*50%),Vlookup(E8579,DATABASE!C:Q,10,false)*F8579)</f>
        <v>0</v>
      </c>
      <c r="K8579" s="74">
        <f>VLOOKUP(E8579,DATABASE!C:Q,7,false)</f>
        <v>601000</v>
      </c>
      <c r="L8579" s="74">
        <v>601000.0</v>
      </c>
      <c r="M8579" s="74">
        <f t="shared" si="6"/>
        <v>605000</v>
      </c>
      <c r="N8579" s="74">
        <f t="shared" si="3"/>
        <v>170000</v>
      </c>
      <c r="O8579" s="65" t="str">
        <f>VLOOKUP(E8579,DATABASE!C:Q,8,false)</f>
        <v>IBU</v>
      </c>
      <c r="P8579" s="65">
        <f>VLOOKUP(E8579,DATABASE!C:Q,9,False)</f>
        <v>1</v>
      </c>
      <c r="Q8579" s="93" t="str">
        <f>VLOOKUP(E8579,DATABASE!C:Q,4,false)</f>
        <v>Dunlop</v>
      </c>
      <c r="R8579" s="93" t="str">
        <f>VLOOKUP(E8579,DATABASE!C:Q,11,false)</f>
        <v>Tire</v>
      </c>
    </row>
    <row r="8580" ht="22.5" customHeight="1">
      <c r="A8580" s="49"/>
      <c r="C8580" s="400">
        <v>46158.0</v>
      </c>
      <c r="D8580" s="524">
        <v>1382.0</v>
      </c>
      <c r="E8580" s="544" t="s">
        <v>695</v>
      </c>
      <c r="F8580" s="387">
        <v>1.0</v>
      </c>
      <c r="G8580" s="140">
        <v>675000.0</v>
      </c>
      <c r="H8580" s="74"/>
      <c r="I8580" s="74">
        <f t="shared" si="1"/>
        <v>675000</v>
      </c>
      <c r="J8580" s="74">
        <f>IF(E8580="SERVICE",I8580-(I8580*50%),Vlookup(E8580,DATABASE!C:Q,10,false)*F8580)</f>
        <v>0</v>
      </c>
      <c r="K8580" s="74">
        <f>VLOOKUP(E8580,DATABASE!C:Q,7,false)</f>
        <v>582000</v>
      </c>
      <c r="L8580" s="74">
        <v>582000.0</v>
      </c>
      <c r="M8580" s="74">
        <f t="shared" si="6"/>
        <v>585000</v>
      </c>
      <c r="N8580" s="74">
        <f t="shared" si="3"/>
        <v>90000</v>
      </c>
      <c r="O8580" s="65" t="str">
        <f>VLOOKUP(E8580,DATABASE!C:Q,8,false)</f>
        <v>IBU</v>
      </c>
      <c r="P8580" s="65">
        <f>VLOOKUP(E8580,DATABASE!C:Q,9,False)</f>
        <v>1</v>
      </c>
      <c r="Q8580" s="93" t="str">
        <f>VLOOKUP(E8580,DATABASE!C:Q,4,false)</f>
        <v>Dunlop</v>
      </c>
      <c r="R8580" s="93" t="str">
        <f>VLOOKUP(E8580,DATABASE!C:Q,11,false)</f>
        <v>Tire</v>
      </c>
    </row>
    <row r="8581" ht="22.5" customHeight="1">
      <c r="A8581" s="49"/>
      <c r="C8581" s="400">
        <v>46158.0</v>
      </c>
      <c r="D8581" s="524">
        <v>1383.0</v>
      </c>
      <c r="E8581" s="544" t="s">
        <v>256</v>
      </c>
      <c r="F8581" s="387">
        <v>1.0</v>
      </c>
      <c r="G8581" s="140">
        <v>175000.0</v>
      </c>
      <c r="H8581" s="140">
        <v>25000.0</v>
      </c>
      <c r="I8581" s="74">
        <f t="shared" si="1"/>
        <v>150000</v>
      </c>
      <c r="J8581" s="74">
        <f>IF(E8581="SERVICE",I8581-(I8581*50%),Vlookup(E8581,DATABASE!C:Q,10,false)*F8581)</f>
        <v>10000</v>
      </c>
      <c r="K8581" s="74">
        <f>VLOOKUP(E8581,DATABASE!C:Q,7,false)</f>
        <v>0</v>
      </c>
      <c r="L8581" s="74">
        <v>0.0</v>
      </c>
      <c r="M8581" s="74">
        <f t="shared" si="6"/>
        <v>0</v>
      </c>
      <c r="N8581" s="74">
        <f t="shared" si="3"/>
        <v>140000</v>
      </c>
      <c r="O8581" s="65" t="str">
        <f>VLOOKUP(E8581,DATABASE!C:Q,8,false)</f>
        <v>IBU</v>
      </c>
      <c r="P8581" s="65">
        <f>VLOOKUP(E8581,DATABASE!C:Q,9,False)</f>
        <v>0</v>
      </c>
      <c r="Q8581" s="93" t="str">
        <f>VLOOKUP(E8581,DATABASE!C:Q,4,false)</f>
        <v>SPOORING</v>
      </c>
      <c r="R8581" s="93" t="str">
        <f>VLOOKUP(E8581,DATABASE!C:Q,11,false)</f>
        <v>SERVICE</v>
      </c>
    </row>
    <row r="8582" ht="22.5" customHeight="1">
      <c r="A8582" s="49"/>
      <c r="C8582" s="400">
        <v>46158.0</v>
      </c>
      <c r="D8582" s="524">
        <v>1383.0</v>
      </c>
      <c r="E8582" s="544" t="s">
        <v>301</v>
      </c>
      <c r="F8582" s="387">
        <v>1.0</v>
      </c>
      <c r="G8582" s="140">
        <v>250000.0</v>
      </c>
      <c r="H8582" s="74"/>
      <c r="I8582" s="74">
        <f t="shared" si="1"/>
        <v>250000</v>
      </c>
      <c r="J8582" s="74">
        <f>IF(E8582="SERVICE",I8582-(I8582*50%),Vlookup(E8582,DATABASE!C:Q,10,false)*F8582)</f>
        <v>75000</v>
      </c>
      <c r="K8582" s="74">
        <f>VLOOKUP(E8582,DATABASE!C:Q,7,false)</f>
        <v>75000</v>
      </c>
      <c r="L8582" s="74">
        <v>75000.0</v>
      </c>
      <c r="M8582" s="74">
        <f t="shared" si="6"/>
        <v>75000</v>
      </c>
      <c r="N8582" s="74">
        <f t="shared" si="3"/>
        <v>100000</v>
      </c>
      <c r="O8582" s="65" t="str">
        <f>VLOOKUP(E8582,DATABASE!C:Q,8,false)</f>
        <v>BIAN</v>
      </c>
      <c r="P8582" s="65">
        <f>VLOOKUP(E8582,DATABASE!C:Q,9,False)</f>
        <v>0</v>
      </c>
      <c r="Q8582" s="93" t="str">
        <f>VLOOKUP(E8582,DATABASE!C:Q,4,false)</f>
        <v>Baut Camber</v>
      </c>
      <c r="R8582" s="93" t="str">
        <f>VLOOKUP(E8582,DATABASE!C:Q,11,false)</f>
        <v>COMPLEMENTARY</v>
      </c>
    </row>
    <row r="8583" ht="22.5" customHeight="1">
      <c r="A8583" s="49"/>
      <c r="C8583" s="400">
        <v>46158.0</v>
      </c>
      <c r="D8583" s="524">
        <v>1384.0</v>
      </c>
      <c r="E8583" s="544" t="s">
        <v>294</v>
      </c>
      <c r="F8583" s="387">
        <v>1.0</v>
      </c>
      <c r="G8583" s="140">
        <v>590000.0</v>
      </c>
      <c r="H8583" s="74"/>
      <c r="I8583" s="74">
        <f t="shared" si="1"/>
        <v>590000</v>
      </c>
      <c r="J8583" s="74">
        <f>IF(E8583="SERVICE",I8583-(I8583*50%),Vlookup(E8583,DATABASE!C:Q,10,false)*F8583)</f>
        <v>0</v>
      </c>
      <c r="K8583" s="74">
        <f>VLOOKUP(E8583,DATABASE!C:Q,7,false)</f>
        <v>505000</v>
      </c>
      <c r="L8583" s="74">
        <v>505000.0</v>
      </c>
      <c r="M8583" s="74">
        <f t="shared" si="6"/>
        <v>505000</v>
      </c>
      <c r="N8583" s="74">
        <f t="shared" si="3"/>
        <v>85000</v>
      </c>
      <c r="O8583" s="65" t="str">
        <f>VLOOKUP(E8583,DATABASE!C:Q,8,false)</f>
        <v>BIAN</v>
      </c>
      <c r="P8583" s="65">
        <f>VLOOKUP(E8583,DATABASE!C:Q,9,False)</f>
        <v>1</v>
      </c>
      <c r="Q8583" s="93" t="str">
        <f>VLOOKUP(E8583,DATABASE!C:Q,4,false)</f>
        <v>GT</v>
      </c>
      <c r="R8583" s="93" t="str">
        <f>VLOOKUP(E8583,DATABASE!C:Q,11,false)</f>
        <v>Tire</v>
      </c>
    </row>
    <row r="8584" ht="22.5" customHeight="1">
      <c r="A8584" s="49"/>
      <c r="C8584" s="400">
        <v>46158.0</v>
      </c>
      <c r="D8584" s="524">
        <v>1385.0</v>
      </c>
      <c r="E8584" s="544" t="s">
        <v>275</v>
      </c>
      <c r="F8584" s="387">
        <v>4.0</v>
      </c>
      <c r="G8584" s="140">
        <v>850000.0</v>
      </c>
      <c r="H8584" s="74"/>
      <c r="I8584" s="74">
        <f t="shared" si="1"/>
        <v>3400000</v>
      </c>
      <c r="J8584" s="74">
        <f>IF(E8584="SERVICE",I8584-(I8584*50%),Vlookup(E8584,DATABASE!C:Q,10,false)*F8584)</f>
        <v>0</v>
      </c>
      <c r="K8584" s="74">
        <f>VLOOKUP(E8584,DATABASE!C:Q,7,false)</f>
        <v>782000</v>
      </c>
      <c r="L8584" s="74">
        <v>759500.0</v>
      </c>
      <c r="M8584" s="74">
        <f t="shared" si="6"/>
        <v>760000</v>
      </c>
      <c r="N8584" s="74">
        <f t="shared" si="3"/>
        <v>360000</v>
      </c>
      <c r="O8584" s="65" t="str">
        <f>VLOOKUP(E8584,DATABASE!C:Q,8,false)</f>
        <v>IBU</v>
      </c>
      <c r="P8584" s="65">
        <f>VLOOKUP(E8584,DATABASE!C:Q,9,False)</f>
        <v>1</v>
      </c>
      <c r="Q8584" s="93" t="str">
        <f>VLOOKUP(E8584,DATABASE!C:Q,4,false)</f>
        <v>Dunlop</v>
      </c>
      <c r="R8584" s="93" t="str">
        <f>VLOOKUP(E8584,DATABASE!C:Q,11,false)</f>
        <v>Tire</v>
      </c>
    </row>
    <row r="8585" ht="22.5" customHeight="1">
      <c r="A8585" s="49"/>
      <c r="C8585" s="400">
        <v>46158.0</v>
      </c>
      <c r="D8585" s="524">
        <v>1386.0</v>
      </c>
      <c r="E8585" s="544" t="s">
        <v>256</v>
      </c>
      <c r="F8585" s="387">
        <v>2.0</v>
      </c>
      <c r="G8585" s="140">
        <v>175000.0</v>
      </c>
      <c r="H8585" s="140">
        <v>25000.0</v>
      </c>
      <c r="I8585" s="74">
        <f t="shared" si="1"/>
        <v>300000</v>
      </c>
      <c r="J8585" s="74">
        <f>IF(E8585="SERVICE",I8585-(I8585*50%),Vlookup(E8585,DATABASE!C:Q,10,false)*F8585)</f>
        <v>20000</v>
      </c>
      <c r="K8585" s="74">
        <f>VLOOKUP(E8585,DATABASE!C:Q,7,false)</f>
        <v>0</v>
      </c>
      <c r="L8585" s="74">
        <v>0.0</v>
      </c>
      <c r="M8585" s="74">
        <f t="shared" si="6"/>
        <v>0</v>
      </c>
      <c r="N8585" s="74">
        <f t="shared" si="3"/>
        <v>280000</v>
      </c>
      <c r="O8585" s="65" t="str">
        <f>VLOOKUP(E8585,DATABASE!C:Q,8,false)</f>
        <v>IBU</v>
      </c>
      <c r="P8585" s="65">
        <f>VLOOKUP(E8585,DATABASE!C:Q,9,False)</f>
        <v>0</v>
      </c>
      <c r="Q8585" s="93" t="str">
        <f>VLOOKUP(E8585,DATABASE!C:Q,4,false)</f>
        <v>SPOORING</v>
      </c>
      <c r="R8585" s="93" t="str">
        <f>VLOOKUP(E8585,DATABASE!C:Q,11,false)</f>
        <v>SERVICE</v>
      </c>
    </row>
    <row r="8586" ht="22.5" customHeight="1">
      <c r="A8586" s="49"/>
      <c r="C8586" s="400">
        <v>46158.0</v>
      </c>
      <c r="D8586" s="524">
        <v>1386.0</v>
      </c>
      <c r="E8586" s="544" t="s">
        <v>299</v>
      </c>
      <c r="F8586" s="387">
        <v>4.0</v>
      </c>
      <c r="G8586" s="140">
        <v>30000.0</v>
      </c>
      <c r="H8586" s="74"/>
      <c r="I8586" s="74">
        <f t="shared" si="1"/>
        <v>120000</v>
      </c>
      <c r="J8586" s="74">
        <f>IF(E8586="SERVICE",I8586-(I8586*50%),Vlookup(E8586,DATABASE!C:Q,10,false)*F8586)</f>
        <v>0</v>
      </c>
      <c r="K8586" s="74">
        <f>VLOOKUP(E8586,DATABASE!C:Q,7,false)</f>
        <v>10000</v>
      </c>
      <c r="L8586" s="74">
        <v>10000.0</v>
      </c>
      <c r="M8586" s="74">
        <f t="shared" si="6"/>
        <v>10000</v>
      </c>
      <c r="N8586" s="74">
        <f t="shared" si="3"/>
        <v>80000</v>
      </c>
      <c r="O8586" s="65" t="str">
        <f>VLOOKUP(E8586,DATABASE!C:Q,8,false)</f>
        <v>BIAN</v>
      </c>
      <c r="P8586" s="65">
        <f>VLOOKUP(E8586,DATABASE!C:Q,9,False)</f>
        <v>0</v>
      </c>
      <c r="Q8586" s="93" t="str">
        <f>VLOOKUP(E8586,DATABASE!C:Q,4,false)</f>
        <v>Balancing</v>
      </c>
      <c r="R8586" s="93" t="str">
        <f>VLOOKUP(E8586,DATABASE!C:Q,11,false)</f>
        <v>COMPLEMENTARY</v>
      </c>
    </row>
    <row r="8587" ht="22.5" customHeight="1">
      <c r="A8587" s="49"/>
      <c r="C8587" s="400">
        <v>46158.0</v>
      </c>
      <c r="D8587" s="524">
        <v>1386.0</v>
      </c>
      <c r="E8587" s="544" t="s">
        <v>246</v>
      </c>
      <c r="F8587" s="387">
        <v>8.0</v>
      </c>
      <c r="G8587" s="140">
        <v>35000.0</v>
      </c>
      <c r="H8587" s="140">
        <v>10000.0</v>
      </c>
      <c r="I8587" s="74">
        <f t="shared" si="1"/>
        <v>200000</v>
      </c>
      <c r="J8587" s="74">
        <f>IF(E8587="SERVICE",I8587-(I8587*50%),Vlookup(E8587,DATABASE!C:Q,10,false)*F8587)</f>
        <v>0</v>
      </c>
      <c r="K8587" s="74">
        <f>VLOOKUP(E8587,DATABASE!C:Q,7,false)</f>
        <v>0</v>
      </c>
      <c r="L8587" s="74">
        <v>0.0</v>
      </c>
      <c r="M8587" s="74">
        <f t="shared" si="6"/>
        <v>0</v>
      </c>
      <c r="N8587" s="74">
        <f t="shared" si="3"/>
        <v>200000</v>
      </c>
      <c r="O8587" s="65" t="str">
        <f>VLOOKUP(E8587,DATABASE!C:Q,8,false)</f>
        <v>IBU</v>
      </c>
      <c r="P8587" s="65">
        <f>VLOOKUP(E8587,DATABASE!C:Q,9,False)</f>
        <v>0</v>
      </c>
      <c r="Q8587" s="93" t="str">
        <f>VLOOKUP(E8587,DATABASE!C:Q,4,false)</f>
        <v>Bongkar Pasang</v>
      </c>
      <c r="R8587" s="93" t="str">
        <f>VLOOKUP(E8587,DATABASE!C:Q,11,false)</f>
        <v>SERVICE</v>
      </c>
    </row>
    <row r="8588" ht="22.5" customHeight="1">
      <c r="A8588" s="49"/>
      <c r="C8588" s="400">
        <v>46158.0</v>
      </c>
      <c r="D8588" s="524">
        <v>1386.0</v>
      </c>
      <c r="E8588" s="544" t="s">
        <v>483</v>
      </c>
      <c r="F8588" s="387">
        <v>8.0</v>
      </c>
      <c r="G8588" s="140">
        <v>15000.0</v>
      </c>
      <c r="H8588" s="140">
        <v>6000.0</v>
      </c>
      <c r="I8588" s="74">
        <f t="shared" si="1"/>
        <v>72000</v>
      </c>
      <c r="J8588" s="74">
        <f>IF(E8588="SERVICE",I8588-(I8588*50%),Vlookup(E8588,DATABASE!C:Q,10,false)*F8588)</f>
        <v>0</v>
      </c>
      <c r="K8588" s="74">
        <f>VLOOKUP(E8588,DATABASE!C:Q,7,false)</f>
        <v>10000</v>
      </c>
      <c r="L8588" s="74">
        <v>10000.0</v>
      </c>
      <c r="M8588" s="74">
        <f t="shared" si="6"/>
        <v>10000</v>
      </c>
      <c r="N8588" s="74">
        <f t="shared" si="3"/>
        <v>-8000</v>
      </c>
      <c r="O8588" s="65" t="str">
        <f>VLOOKUP(E8588,DATABASE!C:Q,8,false)</f>
        <v>IBU</v>
      </c>
      <c r="P8588" s="65">
        <f>VLOOKUP(E8588,DATABASE!C:Q,9,False)</f>
        <v>0</v>
      </c>
      <c r="Q8588" s="93" t="str">
        <f>VLOOKUP(E8588,DATABASE!C:Q,4,false)</f>
        <v>Baut</v>
      </c>
      <c r="R8588" s="93" t="str">
        <f>VLOOKUP(E8588,DATABASE!C:Q,11,false)</f>
        <v>COMPLEMENTARY</v>
      </c>
    </row>
    <row r="8589" ht="22.5" customHeight="1">
      <c r="A8589" s="49"/>
      <c r="C8589" s="400">
        <v>46158.0</v>
      </c>
      <c r="D8589" s="524">
        <v>1387.0</v>
      </c>
      <c r="E8589" s="544" t="s">
        <v>1486</v>
      </c>
      <c r="F8589" s="387">
        <v>2.0</v>
      </c>
      <c r="G8589" s="140">
        <v>980000.0</v>
      </c>
      <c r="H8589" s="74"/>
      <c r="I8589" s="74">
        <f t="shared" si="1"/>
        <v>1960000</v>
      </c>
      <c r="J8589" s="74">
        <f>IF(E8589="SERVICE",I8589-(I8589*50%),Vlookup(E8589,DATABASE!C:Q,10,false)*F8589)</f>
        <v>0</v>
      </c>
      <c r="K8589" s="74">
        <f>VLOOKUP(E8589,DATABASE!C:Q,7,false)</f>
        <v>888000</v>
      </c>
      <c r="L8589" s="74">
        <v>888000.0</v>
      </c>
      <c r="M8589" s="74">
        <f t="shared" si="6"/>
        <v>890000</v>
      </c>
      <c r="N8589" s="74">
        <f t="shared" si="3"/>
        <v>180000</v>
      </c>
      <c r="O8589" s="65" t="str">
        <f>VLOOKUP(E8589,DATABASE!C:Q,8,false)</f>
        <v>IBU</v>
      </c>
      <c r="P8589" s="65">
        <f>VLOOKUP(E8589,DATABASE!C:Q,9,False)</f>
        <v>1</v>
      </c>
      <c r="Q8589" s="93" t="str">
        <f>VLOOKUP(E8589,DATABASE!C:Q,4,false)</f>
        <v>Dunlop</v>
      </c>
      <c r="R8589" s="93" t="str">
        <f>VLOOKUP(E8589,DATABASE!C:Q,11,false)</f>
        <v>Tire</v>
      </c>
    </row>
    <row r="8590" ht="22.5" customHeight="1">
      <c r="A8590" s="49"/>
      <c r="C8590" s="400">
        <v>46158.0</v>
      </c>
      <c r="D8590" s="524">
        <v>1387.0</v>
      </c>
      <c r="E8590" s="544" t="s">
        <v>1097</v>
      </c>
      <c r="F8590" s="387">
        <v>2.0</v>
      </c>
      <c r="G8590" s="140">
        <v>920000.0</v>
      </c>
      <c r="H8590" s="74"/>
      <c r="I8590" s="74">
        <f t="shared" si="1"/>
        <v>1840000</v>
      </c>
      <c r="J8590" s="74">
        <f>IF(E8590="SERVICE",I8590-(I8590*50%),Vlookup(E8590,DATABASE!C:Q,10,false)*F8590)</f>
        <v>0</v>
      </c>
      <c r="K8590" s="74">
        <f>VLOOKUP(E8590,DATABASE!C:Q,7,false)</f>
        <v>844838.5</v>
      </c>
      <c r="L8590" s="74">
        <v>815987.25</v>
      </c>
      <c r="M8590" s="74">
        <f t="shared" si="6"/>
        <v>820000</v>
      </c>
      <c r="N8590" s="74">
        <f t="shared" si="3"/>
        <v>200000</v>
      </c>
      <c r="O8590" s="65" t="str">
        <f>VLOOKUP(E8590,DATABASE!C:Q,8,false)</f>
        <v>IBU</v>
      </c>
      <c r="P8590" s="65">
        <f>VLOOKUP(E8590,DATABASE!C:Q,9,False)</f>
        <v>1</v>
      </c>
      <c r="Q8590" s="93" t="str">
        <f>VLOOKUP(E8590,DATABASE!C:Q,4,false)</f>
        <v>Bridgestone</v>
      </c>
      <c r="R8590" s="93" t="str">
        <f>VLOOKUP(E8590,DATABASE!C:Q,11,false)</f>
        <v>Tire</v>
      </c>
    </row>
    <row r="8591" ht="22.5" customHeight="1">
      <c r="A8591" s="49"/>
      <c r="C8591" s="400">
        <v>46158.0</v>
      </c>
      <c r="D8591" s="524">
        <v>1389.0</v>
      </c>
      <c r="E8591" s="544" t="s">
        <v>256</v>
      </c>
      <c r="F8591" s="387">
        <v>1.0</v>
      </c>
      <c r="G8591" s="140">
        <v>175000.0</v>
      </c>
      <c r="H8591" s="140">
        <v>25000.0</v>
      </c>
      <c r="I8591" s="74">
        <f t="shared" si="1"/>
        <v>150000</v>
      </c>
      <c r="J8591" s="74">
        <f>IF(E8591="SERVICE",I8591-(I8591*50%),Vlookup(E8591,DATABASE!C:Q,10,false)*F8591)</f>
        <v>10000</v>
      </c>
      <c r="K8591" s="74">
        <f>VLOOKUP(E8591,DATABASE!C:Q,7,false)</f>
        <v>0</v>
      </c>
      <c r="L8591" s="74">
        <v>0.0</v>
      </c>
      <c r="M8591" s="74">
        <f t="shared" si="6"/>
        <v>0</v>
      </c>
      <c r="N8591" s="74">
        <f t="shared" si="3"/>
        <v>140000</v>
      </c>
      <c r="O8591" s="65" t="str">
        <f>VLOOKUP(E8591,DATABASE!C:Q,8,false)</f>
        <v>IBU</v>
      </c>
      <c r="P8591" s="65">
        <f>VLOOKUP(E8591,DATABASE!C:Q,9,False)</f>
        <v>0</v>
      </c>
      <c r="Q8591" s="93" t="str">
        <f>VLOOKUP(E8591,DATABASE!C:Q,4,false)</f>
        <v>SPOORING</v>
      </c>
      <c r="R8591" s="93" t="str">
        <f>VLOOKUP(E8591,DATABASE!C:Q,11,false)</f>
        <v>SERVICE</v>
      </c>
    </row>
    <row r="8592" ht="22.5" customHeight="1">
      <c r="A8592" s="49"/>
      <c r="C8592" s="400">
        <v>46158.0</v>
      </c>
      <c r="D8592" s="524">
        <v>1389.0</v>
      </c>
      <c r="E8592" s="544" t="s">
        <v>301</v>
      </c>
      <c r="F8592" s="387">
        <v>1.0</v>
      </c>
      <c r="G8592" s="140">
        <v>250000.0</v>
      </c>
      <c r="H8592" s="74"/>
      <c r="I8592" s="74">
        <f t="shared" si="1"/>
        <v>250000</v>
      </c>
      <c r="J8592" s="74">
        <f>IF(E8592="SERVICE",I8592-(I8592*50%),Vlookup(E8592,DATABASE!C:Q,10,false)*F8592)</f>
        <v>75000</v>
      </c>
      <c r="K8592" s="74">
        <f>VLOOKUP(E8592,DATABASE!C:Q,7,false)</f>
        <v>75000</v>
      </c>
      <c r="L8592" s="74">
        <v>75000.0</v>
      </c>
      <c r="M8592" s="74">
        <f t="shared" si="6"/>
        <v>75000</v>
      </c>
      <c r="N8592" s="74">
        <f t="shared" si="3"/>
        <v>100000</v>
      </c>
      <c r="O8592" s="65" t="str">
        <f>VLOOKUP(E8592,DATABASE!C:Q,8,false)</f>
        <v>BIAN</v>
      </c>
      <c r="P8592" s="65">
        <f>VLOOKUP(E8592,DATABASE!C:Q,9,False)</f>
        <v>0</v>
      </c>
      <c r="Q8592" s="93" t="str">
        <f>VLOOKUP(E8592,DATABASE!C:Q,4,false)</f>
        <v>Baut Camber</v>
      </c>
      <c r="R8592" s="93" t="str">
        <f>VLOOKUP(E8592,DATABASE!C:Q,11,false)</f>
        <v>COMPLEMENTARY</v>
      </c>
    </row>
    <row r="8593" ht="22.5" customHeight="1">
      <c r="A8593" s="49"/>
      <c r="C8593" s="400">
        <v>46158.0</v>
      </c>
      <c r="D8593" s="524">
        <v>1390.0</v>
      </c>
      <c r="E8593" s="544" t="s">
        <v>1009</v>
      </c>
      <c r="F8593" s="387">
        <v>1.0</v>
      </c>
      <c r="G8593" s="140">
        <v>700000.0</v>
      </c>
      <c r="H8593" s="74"/>
      <c r="I8593" s="74">
        <f t="shared" si="1"/>
        <v>700000</v>
      </c>
      <c r="J8593" s="74">
        <f>IF(E8593="SERVICE",I8593-(I8593*50%),Vlookup(E8593,DATABASE!C:Q,10,false)*F8593)</f>
        <v>0</v>
      </c>
      <c r="K8593" s="74">
        <f>VLOOKUP(E8593,DATABASE!C:Q,7,false)</f>
        <v>609800</v>
      </c>
      <c r="L8593" s="74">
        <v>609800.0</v>
      </c>
      <c r="M8593" s="74">
        <f t="shared" si="6"/>
        <v>610000</v>
      </c>
      <c r="N8593" s="74">
        <f t="shared" si="3"/>
        <v>90000</v>
      </c>
      <c r="O8593" s="65" t="str">
        <f>VLOOKUP(E8593,DATABASE!C:Q,8,false)</f>
        <v>BIAN</v>
      </c>
      <c r="P8593" s="65">
        <f>VLOOKUP(E8593,DATABASE!C:Q,9,False)</f>
        <v>1</v>
      </c>
      <c r="Q8593" s="93" t="str">
        <f>VLOOKUP(E8593,DATABASE!C:Q,4,false)</f>
        <v>GT</v>
      </c>
      <c r="R8593" s="93" t="str">
        <f>VLOOKUP(E8593,DATABASE!C:Q,11,false)</f>
        <v>Tire</v>
      </c>
    </row>
    <row r="8594" ht="22.5" customHeight="1">
      <c r="A8594" s="49"/>
      <c r="C8594" s="400">
        <v>46158.0</v>
      </c>
      <c r="D8594" s="524">
        <v>1391.0</v>
      </c>
      <c r="E8594" s="544" t="s">
        <v>1427</v>
      </c>
      <c r="F8594" s="387">
        <v>1.0</v>
      </c>
      <c r="G8594" s="140">
        <v>780000.0</v>
      </c>
      <c r="H8594" s="74"/>
      <c r="I8594" s="74">
        <f t="shared" si="1"/>
        <v>780000</v>
      </c>
      <c r="J8594" s="74">
        <f>IF(E8594="SERVICE",I8594-(I8594*50%),Vlookup(E8594,DATABASE!C:Q,10,false)*F8594)</f>
        <v>0</v>
      </c>
      <c r="K8594" s="74">
        <f>VLOOKUP(E8594,DATABASE!C:Q,7,false)</f>
        <v>696500</v>
      </c>
      <c r="L8594" s="74">
        <v>696500.0</v>
      </c>
      <c r="M8594" s="74">
        <f t="shared" si="6"/>
        <v>700000</v>
      </c>
      <c r="N8594" s="74">
        <f t="shared" si="3"/>
        <v>80000</v>
      </c>
      <c r="O8594" s="65" t="str">
        <f>VLOOKUP(E8594,DATABASE!C:Q,8,false)</f>
        <v>IBU</v>
      </c>
      <c r="P8594" s="65">
        <f>VLOOKUP(E8594,DATABASE!C:Q,9,False)</f>
        <v>1</v>
      </c>
      <c r="Q8594" s="93" t="str">
        <f>VLOOKUP(E8594,DATABASE!C:Q,4,false)</f>
        <v>Dunlop</v>
      </c>
      <c r="R8594" s="93" t="str">
        <f>VLOOKUP(E8594,DATABASE!C:Q,11,false)</f>
        <v>Tire</v>
      </c>
    </row>
    <row r="8595" ht="22.5" customHeight="1">
      <c r="A8595" s="49"/>
      <c r="C8595" s="400">
        <v>46158.0</v>
      </c>
      <c r="D8595" s="524">
        <v>1391.0</v>
      </c>
      <c r="E8595" s="544" t="s">
        <v>256</v>
      </c>
      <c r="F8595" s="387">
        <v>1.0</v>
      </c>
      <c r="G8595" s="140">
        <v>175000.0</v>
      </c>
      <c r="H8595" s="140">
        <v>25000.0</v>
      </c>
      <c r="I8595" s="74">
        <f t="shared" si="1"/>
        <v>150000</v>
      </c>
      <c r="J8595" s="74">
        <f>IF(E8595="SERVICE",I8595-(I8595*50%),Vlookup(E8595,DATABASE!C:Q,10,false)*F8595)</f>
        <v>10000</v>
      </c>
      <c r="K8595" s="74">
        <f>VLOOKUP(E8595,DATABASE!C:Q,7,false)</f>
        <v>0</v>
      </c>
      <c r="L8595" s="74">
        <v>0.0</v>
      </c>
      <c r="M8595" s="74">
        <f t="shared" si="6"/>
        <v>0</v>
      </c>
      <c r="N8595" s="74">
        <f t="shared" si="3"/>
        <v>140000</v>
      </c>
      <c r="O8595" s="65" t="str">
        <f>VLOOKUP(E8595,DATABASE!C:Q,8,false)</f>
        <v>IBU</v>
      </c>
      <c r="P8595" s="65">
        <f>VLOOKUP(E8595,DATABASE!C:Q,9,False)</f>
        <v>0</v>
      </c>
      <c r="Q8595" s="93" t="str">
        <f>VLOOKUP(E8595,DATABASE!C:Q,4,false)</f>
        <v>SPOORING</v>
      </c>
      <c r="R8595" s="93" t="str">
        <f>VLOOKUP(E8595,DATABASE!C:Q,11,false)</f>
        <v>SERVICE</v>
      </c>
    </row>
    <row r="8596" ht="22.5" customHeight="1">
      <c r="A8596" s="49"/>
      <c r="C8596" s="400">
        <v>46158.0</v>
      </c>
      <c r="D8596" s="524">
        <v>1391.0</v>
      </c>
      <c r="E8596" s="544" t="s">
        <v>251</v>
      </c>
      <c r="F8596" s="387">
        <v>1.0</v>
      </c>
      <c r="G8596" s="140">
        <v>350000.0</v>
      </c>
      <c r="H8596" s="140">
        <v>200000.0</v>
      </c>
      <c r="I8596" s="74">
        <f t="shared" si="1"/>
        <v>150000</v>
      </c>
      <c r="J8596" s="74">
        <f>IF(E8596="SERVICE",I8596-(I8596*50%),Vlookup(E8596,DATABASE!C:Q,10,false)*F8596)</f>
        <v>75000</v>
      </c>
      <c r="K8596" s="74">
        <f>VLOOKUP(E8596,DATABASE!C:Q,7,false)</f>
        <v>0</v>
      </c>
      <c r="L8596" s="74">
        <v>0.0</v>
      </c>
      <c r="M8596" s="74">
        <f t="shared" si="6"/>
        <v>0</v>
      </c>
      <c r="N8596" s="74">
        <f t="shared" si="3"/>
        <v>75000</v>
      </c>
      <c r="O8596" s="65" t="str">
        <f>VLOOKUP(E8596,DATABASE!C:Q,8,false)</f>
        <v>IBU</v>
      </c>
      <c r="P8596" s="65">
        <f>VLOOKUP(E8596,DATABASE!C:Q,9,False)</f>
        <v>0</v>
      </c>
      <c r="Q8596" s="93" t="str">
        <f>VLOOKUP(E8596,DATABASE!C:Q,4,false)</f>
        <v>SERVICE</v>
      </c>
      <c r="R8596" s="93" t="str">
        <f>VLOOKUP(E8596,DATABASE!C:Q,11,false)</f>
        <v>SERVICE</v>
      </c>
    </row>
    <row r="8597" ht="22.5" customHeight="1">
      <c r="A8597" s="49"/>
      <c r="C8597" s="400">
        <v>46158.0</v>
      </c>
      <c r="D8597" s="69" t="s">
        <v>2811</v>
      </c>
      <c r="E8597" s="544" t="s">
        <v>263</v>
      </c>
      <c r="F8597" s="387">
        <v>1.0</v>
      </c>
      <c r="G8597" s="140">
        <v>345000.0</v>
      </c>
      <c r="H8597" s="74"/>
      <c r="I8597" s="74">
        <f t="shared" si="1"/>
        <v>345000</v>
      </c>
      <c r="J8597" s="74">
        <f>IF(E8597="SERVICE",I8597-(I8597*50%),Vlookup(E8597,DATABASE!C:Q,10,false)*F8597)</f>
        <v>0</v>
      </c>
      <c r="K8597" s="74">
        <f>VLOOKUP(E8597,DATABASE!C:Q,7,false)</f>
        <v>334916</v>
      </c>
      <c r="L8597" s="74">
        <v>292600.0</v>
      </c>
      <c r="M8597" s="74">
        <f t="shared" si="6"/>
        <v>295000</v>
      </c>
      <c r="N8597" s="74">
        <f t="shared" si="3"/>
        <v>50000</v>
      </c>
      <c r="O8597" s="65" t="str">
        <f>VLOOKUP(E8597,DATABASE!C:Q,8,false)</f>
        <v>NON</v>
      </c>
      <c r="P8597" s="65">
        <f>VLOOKUP(E8597,DATABASE!C:Q,9,False)</f>
        <v>0</v>
      </c>
      <c r="Q8597" s="93" t="str">
        <f>VLOOKUP(E8597,DATABASE!C:Q,4,false)</f>
        <v>Shell</v>
      </c>
      <c r="R8597" s="93" t="str">
        <f>VLOOKUP(E8597,DATABASE!C:Q,11,false)</f>
        <v>OIL</v>
      </c>
    </row>
    <row r="8598" ht="22.5" customHeight="1">
      <c r="A8598" s="49"/>
      <c r="C8598" s="400">
        <v>46158.0</v>
      </c>
      <c r="D8598" s="69" t="s">
        <v>2811</v>
      </c>
      <c r="E8598" s="544" t="s">
        <v>298</v>
      </c>
      <c r="F8598" s="387">
        <v>1.0</v>
      </c>
      <c r="G8598" s="140">
        <v>25000.0</v>
      </c>
      <c r="H8598" s="74"/>
      <c r="I8598" s="74">
        <f t="shared" si="1"/>
        <v>25000</v>
      </c>
      <c r="J8598" s="74">
        <f>IF(E8598="SERVICE",I8598-(I8598*50%),Vlookup(E8598,DATABASE!C:Q,10,false)*F8598)</f>
        <v>0</v>
      </c>
      <c r="K8598" s="74">
        <f>VLOOKUP(E8598,DATABASE!C:Q,7,false)</f>
        <v>19200</v>
      </c>
      <c r="L8598" s="74">
        <v>19200.0</v>
      </c>
      <c r="M8598" s="74">
        <f t="shared" si="6"/>
        <v>20000</v>
      </c>
      <c r="N8598" s="74">
        <f t="shared" si="3"/>
        <v>5000</v>
      </c>
      <c r="O8598" s="65" t="str">
        <f>VLOOKUP(E8598,DATABASE!C:Q,8,false)</f>
        <v>BIAN</v>
      </c>
      <c r="P8598" s="65">
        <f>VLOOKUP(E8598,DATABASE!C:Q,9,False)</f>
        <v>0</v>
      </c>
      <c r="Q8598" s="93" t="str">
        <f>VLOOKUP(E8598,DATABASE!C:Q,4,false)</f>
        <v>Aspira</v>
      </c>
      <c r="R8598" s="93" t="str">
        <f>VLOOKUP(E8598,DATABASE!C:Q,11,false)</f>
        <v>COMPLEMENTARY</v>
      </c>
    </row>
    <row r="8599" ht="22.5" customHeight="1">
      <c r="A8599" s="49"/>
      <c r="C8599" s="400">
        <v>46159.0</v>
      </c>
      <c r="D8599" s="69">
        <v>1393.0</v>
      </c>
      <c r="E8599" s="544" t="s">
        <v>262</v>
      </c>
      <c r="F8599" s="387">
        <v>1.0</v>
      </c>
      <c r="G8599" s="140">
        <v>130000.0</v>
      </c>
      <c r="H8599" s="74"/>
      <c r="I8599" s="74">
        <f t="shared" si="1"/>
        <v>130000</v>
      </c>
      <c r="J8599" s="74">
        <f>IF(E8599="SERVICE",I8599-(I8599*50%),Vlookup(E8599,DATABASE!C:Q,10,false)*F8599)</f>
        <v>5000</v>
      </c>
      <c r="K8599" s="74">
        <f>VLOOKUP(E8599,DATABASE!C:Q,7,false)</f>
        <v>0</v>
      </c>
      <c r="L8599" s="74">
        <v>0.0</v>
      </c>
      <c r="M8599" s="74">
        <f t="shared" si="6"/>
        <v>0</v>
      </c>
      <c r="N8599" s="74">
        <f t="shared" si="3"/>
        <v>125000</v>
      </c>
      <c r="O8599" s="65" t="str">
        <f>VLOOKUP(E8599,DATABASE!C:Q,8,false)</f>
        <v>IBU</v>
      </c>
      <c r="P8599" s="65">
        <f>VLOOKUP(E8599,DATABASE!C:Q,9,False)</f>
        <v>0</v>
      </c>
      <c r="Q8599" s="93" t="str">
        <f>VLOOKUP(E8599,DATABASE!C:Q,4,false)</f>
        <v>SPOORING SS/CARRY LOS BAK</v>
      </c>
      <c r="R8599" s="93" t="str">
        <f>VLOOKUP(E8599,DATABASE!C:Q,11,false)</f>
        <v>SERVICE</v>
      </c>
    </row>
    <row r="8600" ht="22.5" customHeight="1">
      <c r="A8600" s="49"/>
      <c r="C8600" s="400">
        <v>46159.0</v>
      </c>
      <c r="D8600" s="69">
        <v>1395.0</v>
      </c>
      <c r="E8600" s="544" t="s">
        <v>781</v>
      </c>
      <c r="F8600" s="387">
        <v>2.0</v>
      </c>
      <c r="G8600" s="140">
        <v>550000.0</v>
      </c>
      <c r="H8600" s="74"/>
      <c r="I8600" s="74">
        <f t="shared" si="1"/>
        <v>1100000</v>
      </c>
      <c r="J8600" s="74">
        <f>IF(E8600="SERVICE",I8600-(I8600*50%),Vlookup(E8600,DATABASE!C:Q,10,false)*F8600)</f>
        <v>0</v>
      </c>
      <c r="K8600" s="74">
        <f>VLOOKUP(E8600,DATABASE!C:Q,7,false)</f>
        <v>470000</v>
      </c>
      <c r="L8600" s="74">
        <v>460000.0</v>
      </c>
      <c r="M8600" s="74">
        <f t="shared" si="6"/>
        <v>460000</v>
      </c>
      <c r="N8600" s="74">
        <f t="shared" si="3"/>
        <v>180000</v>
      </c>
      <c r="O8600" s="65" t="str">
        <f>VLOOKUP(E8600,DATABASE!C:Q,8,false)</f>
        <v>BIAN</v>
      </c>
      <c r="P8600" s="65">
        <f>VLOOKUP(E8600,DATABASE!C:Q,9,False)</f>
        <v>1</v>
      </c>
      <c r="Q8600" s="93" t="str">
        <f>VLOOKUP(E8600,DATABASE!C:Q,4,false)</f>
        <v>GT</v>
      </c>
      <c r="R8600" s="93" t="str">
        <f>VLOOKUP(E8600,DATABASE!C:Q,11,false)</f>
        <v>Tire</v>
      </c>
    </row>
    <row r="8601" ht="22.5" customHeight="1">
      <c r="A8601" s="49"/>
      <c r="C8601" s="400">
        <v>46159.0</v>
      </c>
      <c r="D8601" s="69">
        <v>1395.0</v>
      </c>
      <c r="E8601" s="544" t="s">
        <v>569</v>
      </c>
      <c r="F8601" s="387">
        <v>4.0</v>
      </c>
      <c r="G8601" s="140">
        <v>135000.0</v>
      </c>
      <c r="H8601" s="74"/>
      <c r="I8601" s="74">
        <f t="shared" si="1"/>
        <v>540000</v>
      </c>
      <c r="J8601" s="74">
        <f>IF(E8601="SERVICE",I8601-(I8601*50%),Vlookup(E8601,DATABASE!C:Q,10,false)*F8601)</f>
        <v>0</v>
      </c>
      <c r="K8601" s="74">
        <f>VLOOKUP(E8601,DATABASE!C:Q,7,false)</f>
        <v>45439.582</v>
      </c>
      <c r="L8601" s="74">
        <v>45439.582</v>
      </c>
      <c r="M8601" s="74">
        <f t="shared" si="6"/>
        <v>50000</v>
      </c>
      <c r="N8601" s="74">
        <f t="shared" si="3"/>
        <v>340000</v>
      </c>
      <c r="O8601" s="65" t="str">
        <f>VLOOKUP(E8601,DATABASE!C:Q,8,false)</f>
        <v>BIAN</v>
      </c>
      <c r="P8601" s="65">
        <f>VLOOKUP(E8601,DATABASE!C:Q,9,False)</f>
        <v>1</v>
      </c>
      <c r="Q8601" s="93" t="str">
        <f>VLOOKUP(E8601,DATABASE!C:Q,4,false)</f>
        <v>BD</v>
      </c>
      <c r="R8601" s="93" t="str">
        <f>VLOOKUP(E8601,DATABASE!C:Q,11,false)</f>
        <v>Tire</v>
      </c>
    </row>
    <row r="8602" ht="22.5" customHeight="1">
      <c r="A8602" s="49"/>
      <c r="C8602" s="400">
        <v>46159.0</v>
      </c>
      <c r="D8602" s="69">
        <v>1396.0</v>
      </c>
      <c r="E8602" s="544" t="s">
        <v>569</v>
      </c>
      <c r="F8602" s="387">
        <v>4.0</v>
      </c>
      <c r="G8602" s="140">
        <v>80000.0</v>
      </c>
      <c r="H8602" s="74"/>
      <c r="I8602" s="74">
        <f t="shared" si="1"/>
        <v>320000</v>
      </c>
      <c r="J8602" s="74">
        <f>IF(E8602="SERVICE",I8602-(I8602*50%),Vlookup(E8602,DATABASE!C:Q,10,false)*F8602)</f>
        <v>0</v>
      </c>
      <c r="K8602" s="74">
        <f>VLOOKUP(E8602,DATABASE!C:Q,7,false)</f>
        <v>45439.582</v>
      </c>
      <c r="L8602" s="74">
        <v>45439.582</v>
      </c>
      <c r="M8602" s="74">
        <f t="shared" si="6"/>
        <v>50000</v>
      </c>
      <c r="N8602" s="74">
        <f t="shared" si="3"/>
        <v>120000</v>
      </c>
      <c r="O8602" s="65" t="str">
        <f>VLOOKUP(E8602,DATABASE!C:Q,8,false)</f>
        <v>BIAN</v>
      </c>
      <c r="P8602" s="65">
        <f>VLOOKUP(E8602,DATABASE!C:Q,9,False)</f>
        <v>1</v>
      </c>
      <c r="Q8602" s="93" t="str">
        <f>VLOOKUP(E8602,DATABASE!C:Q,4,false)</f>
        <v>BD</v>
      </c>
      <c r="R8602" s="93" t="str">
        <f>VLOOKUP(E8602,DATABASE!C:Q,11,false)</f>
        <v>Tire</v>
      </c>
    </row>
    <row r="8603" ht="22.5" customHeight="1">
      <c r="A8603" s="49"/>
      <c r="C8603" s="400">
        <v>46159.0</v>
      </c>
      <c r="D8603" s="69">
        <v>1398.0</v>
      </c>
      <c r="E8603" s="544" t="s">
        <v>250</v>
      </c>
      <c r="F8603" s="387">
        <v>1.0</v>
      </c>
      <c r="G8603" s="140">
        <v>135000.0</v>
      </c>
      <c r="H8603" s="74"/>
      <c r="I8603" s="74">
        <f t="shared" si="1"/>
        <v>135000</v>
      </c>
      <c r="J8603" s="74">
        <f>IF(E8603="SERVICE",I8603-(I8603*50%),Vlookup(E8603,DATABASE!C:Q,10,false)*F8603)</f>
        <v>0</v>
      </c>
      <c r="K8603" s="74">
        <f>VLOOKUP(E8603,DATABASE!C:Q,7,false)</f>
        <v>102000</v>
      </c>
      <c r="L8603" s="74">
        <v>102000.0</v>
      </c>
      <c r="M8603" s="74">
        <f t="shared" si="6"/>
        <v>105000</v>
      </c>
      <c r="N8603" s="74">
        <f t="shared" si="3"/>
        <v>30000</v>
      </c>
      <c r="O8603" s="65" t="str">
        <f>VLOOKUP(E8603,DATABASE!C:Q,8,false)</f>
        <v>BIAN</v>
      </c>
      <c r="P8603" s="65">
        <f>VLOOKUP(E8603,DATABASE!C:Q,9,False)</f>
        <v>1</v>
      </c>
      <c r="Q8603" s="93" t="str">
        <f>VLOOKUP(E8603,DATABASE!C:Q,4,false)</f>
        <v>BD</v>
      </c>
      <c r="R8603" s="93" t="str">
        <f>VLOOKUP(E8603,DATABASE!C:Q,11,false)</f>
        <v>Tire</v>
      </c>
    </row>
    <row r="8604" ht="22.5" customHeight="1">
      <c r="A8604" s="49"/>
      <c r="C8604" s="400">
        <v>46159.0</v>
      </c>
      <c r="D8604" s="69">
        <v>1398.0</v>
      </c>
      <c r="E8604" s="544" t="s">
        <v>604</v>
      </c>
      <c r="F8604" s="387">
        <v>1.0</v>
      </c>
      <c r="G8604" s="140">
        <v>160000.0</v>
      </c>
      <c r="H8604" s="74"/>
      <c r="I8604" s="74">
        <f t="shared" si="1"/>
        <v>160000</v>
      </c>
      <c r="J8604" s="74">
        <f>IF(E8604="SERVICE",I8604-(I8604*50%),Vlookup(E8604,DATABASE!C:Q,10,false)*F8604)</f>
        <v>0</v>
      </c>
      <c r="K8604" s="74">
        <f>VLOOKUP(E8604,DATABASE!C:Q,7,false)</f>
        <v>124000</v>
      </c>
      <c r="L8604" s="74">
        <v>124000.0</v>
      </c>
      <c r="M8604" s="74">
        <f t="shared" si="6"/>
        <v>125000</v>
      </c>
      <c r="N8604" s="74">
        <f t="shared" si="3"/>
        <v>35000</v>
      </c>
      <c r="O8604" s="65" t="str">
        <f>VLOOKUP(E8604,DATABASE!C:Q,8,false)</f>
        <v>BIAN</v>
      </c>
      <c r="P8604" s="65">
        <f>VLOOKUP(E8604,DATABASE!C:Q,9,False)</f>
        <v>1</v>
      </c>
      <c r="Q8604" s="93" t="str">
        <f>VLOOKUP(E8604,DATABASE!C:Q,4,false)</f>
        <v>BD</v>
      </c>
      <c r="R8604" s="93" t="str">
        <f>VLOOKUP(E8604,DATABASE!C:Q,11,false)</f>
        <v>Tire</v>
      </c>
    </row>
    <row r="8605" ht="22.5" customHeight="1">
      <c r="A8605" s="49"/>
      <c r="C8605" s="400">
        <v>46159.0</v>
      </c>
      <c r="D8605" s="69">
        <v>1398.0</v>
      </c>
      <c r="E8605" s="544" t="s">
        <v>781</v>
      </c>
      <c r="F8605" s="387">
        <v>1.0</v>
      </c>
      <c r="G8605" s="140">
        <v>550000.0</v>
      </c>
      <c r="H8605" s="74"/>
      <c r="I8605" s="74">
        <f t="shared" si="1"/>
        <v>550000</v>
      </c>
      <c r="J8605" s="74">
        <f>IF(E8605="SERVICE",I8605-(I8605*50%),Vlookup(E8605,DATABASE!C:Q,10,false)*F8605)</f>
        <v>0</v>
      </c>
      <c r="K8605" s="74">
        <f>VLOOKUP(E8605,DATABASE!C:Q,7,false)</f>
        <v>470000</v>
      </c>
      <c r="L8605" s="74">
        <v>460000.0</v>
      </c>
      <c r="M8605" s="74">
        <f t="shared" si="6"/>
        <v>460000</v>
      </c>
      <c r="N8605" s="74">
        <f t="shared" si="3"/>
        <v>90000</v>
      </c>
      <c r="O8605" s="65" t="str">
        <f>VLOOKUP(E8605,DATABASE!C:Q,8,false)</f>
        <v>BIAN</v>
      </c>
      <c r="P8605" s="65">
        <f>VLOOKUP(E8605,DATABASE!C:Q,9,False)</f>
        <v>1</v>
      </c>
      <c r="Q8605" s="93" t="str">
        <f>VLOOKUP(E8605,DATABASE!C:Q,4,false)</f>
        <v>GT</v>
      </c>
      <c r="R8605" s="93" t="str">
        <f>VLOOKUP(E8605,DATABASE!C:Q,11,false)</f>
        <v>Tire</v>
      </c>
    </row>
    <row r="8606" ht="22.5" customHeight="1">
      <c r="A8606" s="49"/>
      <c r="C8606" s="400">
        <v>46159.0</v>
      </c>
      <c r="D8606" s="69">
        <v>1398.0</v>
      </c>
      <c r="E8606" s="544" t="s">
        <v>2019</v>
      </c>
      <c r="F8606" s="387">
        <v>1.0</v>
      </c>
      <c r="G8606" s="140">
        <v>710000.0</v>
      </c>
      <c r="H8606" s="74"/>
      <c r="I8606" s="74">
        <f t="shared" si="1"/>
        <v>710000</v>
      </c>
      <c r="J8606" s="74">
        <f>IF(E8606="SERVICE",I8606-(I8606*50%),Vlookup(E8606,DATABASE!C:Q,10,false)*F8606)</f>
        <v>0</v>
      </c>
      <c r="K8606" s="74">
        <f>VLOOKUP(E8606,DATABASE!C:Q,7,false)</f>
        <v>620000</v>
      </c>
      <c r="L8606" s="74">
        <v>620000.0</v>
      </c>
      <c r="M8606" s="74">
        <f t="shared" si="6"/>
        <v>620000</v>
      </c>
      <c r="N8606" s="74">
        <f t="shared" si="3"/>
        <v>90000</v>
      </c>
      <c r="O8606" s="65" t="str">
        <f>VLOOKUP(E8606,DATABASE!C:Q,8,false)</f>
        <v>BIAN</v>
      </c>
      <c r="P8606" s="65">
        <f>VLOOKUP(E8606,DATABASE!C:Q,9,False)</f>
        <v>1</v>
      </c>
      <c r="Q8606" s="93" t="str">
        <f>VLOOKUP(E8606,DATABASE!C:Q,4,false)</f>
        <v>GT</v>
      </c>
      <c r="R8606" s="93" t="str">
        <f>VLOOKUP(E8606,DATABASE!C:Q,11,false)</f>
        <v>Tire</v>
      </c>
    </row>
    <row r="8607" ht="22.5" customHeight="1">
      <c r="A8607" s="49"/>
      <c r="C8607" s="400">
        <v>46159.0</v>
      </c>
      <c r="D8607" s="69">
        <v>1399.0</v>
      </c>
      <c r="E8607" s="544" t="s">
        <v>955</v>
      </c>
      <c r="F8607" s="387">
        <v>4.0</v>
      </c>
      <c r="G8607" s="140">
        <v>750000.0</v>
      </c>
      <c r="H8607" s="74"/>
      <c r="I8607" s="74">
        <f t="shared" si="1"/>
        <v>3000000</v>
      </c>
      <c r="J8607" s="74">
        <f>IF(E8607="SERVICE",I8607-(I8607*50%),Vlookup(E8607,DATABASE!C:Q,10,false)*F8607)</f>
        <v>0</v>
      </c>
      <c r="K8607" s="74">
        <f>VLOOKUP(E8607,DATABASE!C:Q,7,false)</f>
        <v>712000</v>
      </c>
      <c r="L8607" s="74">
        <v>660000.0</v>
      </c>
      <c r="M8607" s="74">
        <f t="shared" si="6"/>
        <v>660000</v>
      </c>
      <c r="N8607" s="74">
        <f t="shared" si="3"/>
        <v>360000</v>
      </c>
      <c r="O8607" s="65" t="str">
        <f>VLOOKUP(E8607,DATABASE!C:Q,8,false)</f>
        <v>IBU</v>
      </c>
      <c r="P8607" s="65">
        <f>VLOOKUP(E8607,DATABASE!C:Q,9,False)</f>
        <v>1</v>
      </c>
      <c r="Q8607" s="93" t="str">
        <f>VLOOKUP(E8607,DATABASE!C:Q,4,false)</f>
        <v>Dunlop</v>
      </c>
      <c r="R8607" s="93" t="str">
        <f>VLOOKUP(E8607,DATABASE!C:Q,11,false)</f>
        <v>Tire</v>
      </c>
    </row>
    <row r="8608" ht="22.5" customHeight="1">
      <c r="A8608" s="49"/>
      <c r="C8608" s="400">
        <v>46159.0</v>
      </c>
      <c r="D8608" s="69">
        <v>1400.0</v>
      </c>
      <c r="E8608" s="544" t="s">
        <v>256</v>
      </c>
      <c r="F8608" s="387">
        <v>1.0</v>
      </c>
      <c r="G8608" s="140">
        <v>150000.0</v>
      </c>
      <c r="H8608" s="74"/>
      <c r="I8608" s="74">
        <f t="shared" si="1"/>
        <v>150000</v>
      </c>
      <c r="J8608" s="74">
        <f>IF(E8608="SERVICE",I8608-(I8608*50%),Vlookup(E8608,DATABASE!C:Q,10,false)*F8608)</f>
        <v>10000</v>
      </c>
      <c r="K8608" s="74">
        <f>VLOOKUP(E8608,DATABASE!C:Q,7,false)</f>
        <v>0</v>
      </c>
      <c r="L8608" s="74">
        <v>0.0</v>
      </c>
      <c r="M8608" s="74">
        <f t="shared" si="6"/>
        <v>0</v>
      </c>
      <c r="N8608" s="74">
        <f t="shared" si="3"/>
        <v>140000</v>
      </c>
      <c r="O8608" s="65" t="str">
        <f>VLOOKUP(E8608,DATABASE!C:Q,8,false)</f>
        <v>IBU</v>
      </c>
      <c r="P8608" s="65">
        <f>VLOOKUP(E8608,DATABASE!C:Q,9,False)</f>
        <v>0</v>
      </c>
      <c r="Q8608" s="93" t="str">
        <f>VLOOKUP(E8608,DATABASE!C:Q,4,false)</f>
        <v>SPOORING</v>
      </c>
      <c r="R8608" s="93" t="str">
        <f>VLOOKUP(E8608,DATABASE!C:Q,11,false)</f>
        <v>SERVICE</v>
      </c>
    </row>
    <row r="8609" ht="22.5" customHeight="1">
      <c r="A8609" s="49"/>
      <c r="C8609" s="400">
        <v>46159.0</v>
      </c>
      <c r="D8609" s="69">
        <v>1401.0</v>
      </c>
      <c r="E8609" s="544" t="s">
        <v>1898</v>
      </c>
      <c r="F8609" s="387">
        <v>2.0</v>
      </c>
      <c r="G8609" s="140">
        <v>720000.0</v>
      </c>
      <c r="H8609" s="74"/>
      <c r="I8609" s="74">
        <f t="shared" si="1"/>
        <v>1440000</v>
      </c>
      <c r="J8609" s="74">
        <f>IF(E8609="SERVICE",I8609-(I8609*50%),Vlookup(E8609,DATABASE!C:Q,10,false)*F8609)</f>
        <v>0</v>
      </c>
      <c r="K8609" s="74">
        <f>VLOOKUP(E8609,DATABASE!C:Q,7,false)</f>
        <v>640700</v>
      </c>
      <c r="L8609" s="74">
        <v>628100.0</v>
      </c>
      <c r="M8609" s="74">
        <f t="shared" si="6"/>
        <v>630000</v>
      </c>
      <c r="N8609" s="74">
        <f t="shared" si="3"/>
        <v>180000</v>
      </c>
      <c r="O8609" s="65" t="str">
        <f>VLOOKUP(E8609,DATABASE!C:Q,8,false)</f>
        <v>BIAN</v>
      </c>
      <c r="P8609" s="65">
        <f>VLOOKUP(E8609,DATABASE!C:Q,9,False)</f>
        <v>1</v>
      </c>
      <c r="Q8609" s="93" t="str">
        <f>VLOOKUP(E8609,DATABASE!C:Q,4,false)</f>
        <v>GT</v>
      </c>
      <c r="R8609" s="93" t="str">
        <f>VLOOKUP(E8609,DATABASE!C:Q,11,false)</f>
        <v>Tire</v>
      </c>
    </row>
    <row r="8610" ht="22.5" customHeight="1">
      <c r="A8610" s="49"/>
      <c r="C8610" s="400">
        <v>46159.0</v>
      </c>
      <c r="D8610" s="69">
        <v>1402.0</v>
      </c>
      <c r="E8610" s="544" t="s">
        <v>271</v>
      </c>
      <c r="F8610" s="387">
        <v>1.0</v>
      </c>
      <c r="G8610" s="140">
        <v>640000.0</v>
      </c>
      <c r="H8610" s="74"/>
      <c r="I8610" s="74">
        <f t="shared" si="1"/>
        <v>640000</v>
      </c>
      <c r="J8610" s="74">
        <f>IF(E8610="SERVICE",I8610-(I8610*50%),Vlookup(E8610,DATABASE!C:Q,10,false)*F8610)</f>
        <v>0</v>
      </c>
      <c r="K8610" s="74">
        <f>VLOOKUP(E8610,DATABASE!C:Q,7,false)</f>
        <v>570000</v>
      </c>
      <c r="L8610" s="74">
        <v>550000.0</v>
      </c>
      <c r="M8610" s="74">
        <f t="shared" si="6"/>
        <v>550000</v>
      </c>
      <c r="N8610" s="74">
        <f t="shared" si="3"/>
        <v>90000</v>
      </c>
      <c r="O8610" s="65" t="str">
        <f>VLOOKUP(E8610,DATABASE!C:Q,8,false)</f>
        <v>IBU</v>
      </c>
      <c r="P8610" s="65">
        <f>VLOOKUP(E8610,DATABASE!C:Q,9,False)</f>
        <v>1</v>
      </c>
      <c r="Q8610" s="93" t="str">
        <f>VLOOKUP(E8610,DATABASE!C:Q,4,false)</f>
        <v>Dunlop</v>
      </c>
      <c r="R8610" s="93" t="str">
        <f>VLOOKUP(E8610,DATABASE!C:Q,11,false)</f>
        <v>Tire</v>
      </c>
    </row>
    <row r="8611" ht="22.5" customHeight="1">
      <c r="A8611" s="49"/>
      <c r="C8611" s="400">
        <v>46159.0</v>
      </c>
      <c r="D8611" s="69" t="s">
        <v>2812</v>
      </c>
      <c r="E8611" s="544" t="s">
        <v>263</v>
      </c>
      <c r="F8611" s="387">
        <v>1.0</v>
      </c>
      <c r="G8611" s="140">
        <v>345000.0</v>
      </c>
      <c r="H8611" s="74"/>
      <c r="I8611" s="74">
        <f t="shared" si="1"/>
        <v>345000</v>
      </c>
      <c r="J8611" s="74">
        <f>IF(E8611="SERVICE",I8611-(I8611*50%),Vlookup(E8611,DATABASE!C:Q,10,false)*F8611)</f>
        <v>0</v>
      </c>
      <c r="K8611" s="74">
        <f>VLOOKUP(E8611,DATABASE!C:Q,7,false)</f>
        <v>334916</v>
      </c>
      <c r="L8611" s="74">
        <v>292600.0</v>
      </c>
      <c r="M8611" s="74">
        <f t="shared" si="6"/>
        <v>295000</v>
      </c>
      <c r="N8611" s="74">
        <f t="shared" si="3"/>
        <v>50000</v>
      </c>
      <c r="O8611" s="65" t="str">
        <f>VLOOKUP(E8611,DATABASE!C:Q,8,false)</f>
        <v>NON</v>
      </c>
      <c r="P8611" s="65">
        <f>VLOOKUP(E8611,DATABASE!C:Q,9,False)</f>
        <v>0</v>
      </c>
      <c r="Q8611" s="93" t="str">
        <f>VLOOKUP(E8611,DATABASE!C:Q,4,false)</f>
        <v>Shell</v>
      </c>
      <c r="R8611" s="93" t="str">
        <f>VLOOKUP(E8611,DATABASE!C:Q,11,false)</f>
        <v>OIL</v>
      </c>
    </row>
    <row r="8612" ht="22.5" customHeight="1">
      <c r="A8612" s="49"/>
      <c r="C8612" s="400">
        <v>46159.0</v>
      </c>
      <c r="D8612" s="69" t="s">
        <v>2812</v>
      </c>
      <c r="E8612" s="544" t="s">
        <v>298</v>
      </c>
      <c r="F8612" s="387">
        <v>1.0</v>
      </c>
      <c r="G8612" s="140">
        <v>23000.0</v>
      </c>
      <c r="H8612" s="74"/>
      <c r="I8612" s="74">
        <f t="shared" si="1"/>
        <v>23000</v>
      </c>
      <c r="J8612" s="74">
        <f>IF(E8612="SERVICE",I8612-(I8612*50%),Vlookup(E8612,DATABASE!C:Q,10,false)*F8612)</f>
        <v>0</v>
      </c>
      <c r="K8612" s="74">
        <f>VLOOKUP(E8612,DATABASE!C:Q,7,false)</f>
        <v>19200</v>
      </c>
      <c r="L8612" s="74">
        <v>19200.0</v>
      </c>
      <c r="M8612" s="74">
        <f t="shared" si="6"/>
        <v>20000</v>
      </c>
      <c r="N8612" s="74">
        <f t="shared" si="3"/>
        <v>3000</v>
      </c>
      <c r="O8612" s="65" t="str">
        <f>VLOOKUP(E8612,DATABASE!C:Q,8,false)</f>
        <v>BIAN</v>
      </c>
      <c r="P8612" s="65">
        <f>VLOOKUP(E8612,DATABASE!C:Q,9,False)</f>
        <v>0</v>
      </c>
      <c r="Q8612" s="93" t="str">
        <f>VLOOKUP(E8612,DATABASE!C:Q,4,false)</f>
        <v>Aspira</v>
      </c>
      <c r="R8612" s="93" t="str">
        <f>VLOOKUP(E8612,DATABASE!C:Q,11,false)</f>
        <v>COMPLEMENTARY</v>
      </c>
    </row>
    <row r="8613" ht="22.5" customHeight="1">
      <c r="A8613" s="49"/>
      <c r="C8613" s="400">
        <v>46159.0</v>
      </c>
      <c r="D8613" s="69" t="s">
        <v>2813</v>
      </c>
      <c r="E8613" s="544" t="s">
        <v>2191</v>
      </c>
      <c r="F8613" s="387">
        <v>1.0</v>
      </c>
      <c r="G8613" s="140">
        <v>430000.0</v>
      </c>
      <c r="H8613" s="74"/>
      <c r="I8613" s="74">
        <f t="shared" si="1"/>
        <v>430000</v>
      </c>
      <c r="J8613" s="74">
        <f>IF(E8613="SERVICE",I8613-(I8613*50%),Vlookup(E8613,DATABASE!C:Q,10,false)*F8613)</f>
        <v>0</v>
      </c>
      <c r="K8613" s="74">
        <f>VLOOKUP(E8613,DATABASE!C:Q,7,false)</f>
        <v>422900</v>
      </c>
      <c r="L8613" s="74">
        <v>380400.0</v>
      </c>
      <c r="M8613" s="74">
        <f t="shared" si="6"/>
        <v>385000</v>
      </c>
      <c r="N8613" s="74">
        <f t="shared" si="3"/>
        <v>45000</v>
      </c>
      <c r="O8613" s="65" t="str">
        <f>VLOOKUP(E8613,DATABASE!C:Q,8,false)</f>
        <v>NON</v>
      </c>
      <c r="P8613" s="65">
        <f>VLOOKUP(E8613,DATABASE!C:Q,9,False)</f>
        <v>0</v>
      </c>
      <c r="Q8613" s="93" t="str">
        <f>VLOOKUP(E8613,DATABASE!C:Q,4,false)</f>
        <v>Shell</v>
      </c>
      <c r="R8613" s="93" t="str">
        <f>VLOOKUP(E8613,DATABASE!C:Q,11,false)</f>
        <v>OIL</v>
      </c>
    </row>
    <row r="8614" ht="22.5" customHeight="1">
      <c r="A8614" s="49"/>
      <c r="C8614" s="400">
        <v>46159.0</v>
      </c>
      <c r="D8614" s="69" t="s">
        <v>2814</v>
      </c>
      <c r="E8614" s="544" t="s">
        <v>2191</v>
      </c>
      <c r="F8614" s="387">
        <v>1.0</v>
      </c>
      <c r="G8614" s="140">
        <v>430000.0</v>
      </c>
      <c r="H8614" s="74"/>
      <c r="I8614" s="74">
        <f t="shared" si="1"/>
        <v>430000</v>
      </c>
      <c r="J8614" s="74">
        <f>IF(E8614="SERVICE",I8614-(I8614*50%),Vlookup(E8614,DATABASE!C:Q,10,false)*F8614)</f>
        <v>0</v>
      </c>
      <c r="K8614" s="74">
        <f>VLOOKUP(E8614,DATABASE!C:Q,7,false)</f>
        <v>422900</v>
      </c>
      <c r="L8614" s="74">
        <v>380400.0</v>
      </c>
      <c r="M8614" s="74">
        <f t="shared" si="6"/>
        <v>385000</v>
      </c>
      <c r="N8614" s="74">
        <f t="shared" si="3"/>
        <v>45000</v>
      </c>
      <c r="O8614" s="65" t="str">
        <f>VLOOKUP(E8614,DATABASE!C:Q,8,false)</f>
        <v>NON</v>
      </c>
      <c r="P8614" s="65">
        <f>VLOOKUP(E8614,DATABASE!C:Q,9,False)</f>
        <v>0</v>
      </c>
      <c r="Q8614" s="93" t="str">
        <f>VLOOKUP(E8614,DATABASE!C:Q,4,false)</f>
        <v>Shell</v>
      </c>
      <c r="R8614" s="93" t="str">
        <f>VLOOKUP(E8614,DATABASE!C:Q,11,false)</f>
        <v>OIL</v>
      </c>
    </row>
    <row r="8615" ht="22.5" customHeight="1">
      <c r="A8615" s="49"/>
      <c r="C8615" s="400">
        <v>46159.0</v>
      </c>
      <c r="D8615" s="69" t="s">
        <v>2814</v>
      </c>
      <c r="E8615" s="544" t="s">
        <v>298</v>
      </c>
      <c r="F8615" s="387">
        <v>1.0</v>
      </c>
      <c r="G8615" s="140">
        <v>25000.0</v>
      </c>
      <c r="H8615" s="74"/>
      <c r="I8615" s="74">
        <f t="shared" si="1"/>
        <v>25000</v>
      </c>
      <c r="J8615" s="74">
        <f>IF(E8615="SERVICE",I8615-(I8615*50%),Vlookup(E8615,DATABASE!C:Q,10,false)*F8615)</f>
        <v>0</v>
      </c>
      <c r="K8615" s="74">
        <f>VLOOKUP(E8615,DATABASE!C:Q,7,false)</f>
        <v>19200</v>
      </c>
      <c r="L8615" s="74">
        <v>19200.0</v>
      </c>
      <c r="M8615" s="74">
        <f t="shared" si="6"/>
        <v>20000</v>
      </c>
      <c r="N8615" s="74">
        <f t="shared" si="3"/>
        <v>5000</v>
      </c>
      <c r="O8615" s="65" t="str">
        <f>VLOOKUP(E8615,DATABASE!C:Q,8,false)</f>
        <v>BIAN</v>
      </c>
      <c r="P8615" s="65">
        <f>VLOOKUP(E8615,DATABASE!C:Q,9,False)</f>
        <v>0</v>
      </c>
      <c r="Q8615" s="93" t="str">
        <f>VLOOKUP(E8615,DATABASE!C:Q,4,false)</f>
        <v>Aspira</v>
      </c>
      <c r="R8615" s="93" t="str">
        <f>VLOOKUP(E8615,DATABASE!C:Q,11,false)</f>
        <v>COMPLEMENTARY</v>
      </c>
    </row>
    <row r="8616" ht="22.5" customHeight="1">
      <c r="A8616" s="49"/>
      <c r="C8616" s="400">
        <v>46160.0</v>
      </c>
      <c r="D8616" s="524">
        <v>1403.0</v>
      </c>
      <c r="E8616" s="544" t="s">
        <v>932</v>
      </c>
      <c r="F8616" s="387">
        <v>1.0</v>
      </c>
      <c r="G8616" s="140">
        <v>690000.0</v>
      </c>
      <c r="H8616" s="74"/>
      <c r="I8616" s="74">
        <f t="shared" si="1"/>
        <v>690000</v>
      </c>
      <c r="J8616" s="74">
        <f>IF(E8616="SERVICE",I8616-(I8616*50%),Vlookup(E8616,DATABASE!C:Q,10,false)*F8616)</f>
        <v>0</v>
      </c>
      <c r="K8616" s="74">
        <f>VLOOKUP(E8616,DATABASE!C:Q,7,false)</f>
        <v>601000</v>
      </c>
      <c r="L8616" s="74">
        <v>601000.0</v>
      </c>
      <c r="M8616" s="74">
        <f t="shared" si="6"/>
        <v>605000</v>
      </c>
      <c r="N8616" s="74">
        <f t="shared" si="3"/>
        <v>85000</v>
      </c>
      <c r="O8616" s="65" t="str">
        <f>VLOOKUP(E8616,DATABASE!C:Q,8,false)</f>
        <v>IBU</v>
      </c>
      <c r="P8616" s="65">
        <f>VLOOKUP(E8616,DATABASE!C:Q,9,False)</f>
        <v>1</v>
      </c>
      <c r="Q8616" s="93" t="str">
        <f>VLOOKUP(E8616,DATABASE!C:Q,4,false)</f>
        <v>Dunlop</v>
      </c>
      <c r="R8616" s="93" t="str">
        <f>VLOOKUP(E8616,DATABASE!C:Q,11,false)</f>
        <v>Tire</v>
      </c>
    </row>
    <row r="8617" ht="22.5" customHeight="1">
      <c r="A8617" s="49"/>
      <c r="C8617" s="400">
        <v>46160.0</v>
      </c>
      <c r="D8617" s="524">
        <v>1404.0</v>
      </c>
      <c r="E8617" s="544" t="s">
        <v>268</v>
      </c>
      <c r="F8617" s="387">
        <v>2.0</v>
      </c>
      <c r="G8617" s="140">
        <v>720000.0</v>
      </c>
      <c r="H8617" s="74"/>
      <c r="I8617" s="74">
        <f t="shared" si="1"/>
        <v>1440000</v>
      </c>
      <c r="J8617" s="74">
        <f>IF(E8617="SERVICE",I8617-(I8617*50%),Vlookup(E8617,DATABASE!C:Q,10,false)*F8617)</f>
        <v>0</v>
      </c>
      <c r="K8617" s="74">
        <f>VLOOKUP(E8617,DATABASE!C:Q,7,false)</f>
        <v>653000</v>
      </c>
      <c r="L8617" s="74">
        <v>634500.0</v>
      </c>
      <c r="M8617" s="74">
        <f t="shared" si="6"/>
        <v>635000</v>
      </c>
      <c r="N8617" s="74">
        <f t="shared" si="3"/>
        <v>170000</v>
      </c>
      <c r="O8617" s="65" t="str">
        <f>VLOOKUP(E8617,DATABASE!C:Q,8,false)</f>
        <v>IBU</v>
      </c>
      <c r="P8617" s="65">
        <f>VLOOKUP(E8617,DATABASE!C:Q,9,False)</f>
        <v>1</v>
      </c>
      <c r="Q8617" s="93" t="str">
        <f>VLOOKUP(E8617,DATABASE!C:Q,4,false)</f>
        <v>Dunlop</v>
      </c>
      <c r="R8617" s="93" t="str">
        <f>VLOOKUP(E8617,DATABASE!C:Q,11,false)</f>
        <v>Tire</v>
      </c>
    </row>
    <row r="8618" ht="22.5" customHeight="1">
      <c r="A8618" s="49"/>
      <c r="C8618" s="400">
        <v>46160.0</v>
      </c>
      <c r="D8618" s="524">
        <v>1404.0</v>
      </c>
      <c r="E8618" s="544" t="s">
        <v>299</v>
      </c>
      <c r="F8618" s="387">
        <v>2.0</v>
      </c>
      <c r="G8618" s="140">
        <v>30000.0</v>
      </c>
      <c r="H8618" s="74"/>
      <c r="I8618" s="74">
        <f t="shared" si="1"/>
        <v>60000</v>
      </c>
      <c r="J8618" s="74">
        <f>IF(E8618="SERVICE",I8618-(I8618*50%),Vlookup(E8618,DATABASE!C:Q,10,false)*F8618)</f>
        <v>0</v>
      </c>
      <c r="K8618" s="74">
        <f>VLOOKUP(E8618,DATABASE!C:Q,7,false)</f>
        <v>10000</v>
      </c>
      <c r="L8618" s="74">
        <v>10000.0</v>
      </c>
      <c r="M8618" s="74">
        <f t="shared" si="6"/>
        <v>10000</v>
      </c>
      <c r="N8618" s="74">
        <f t="shared" si="3"/>
        <v>40000</v>
      </c>
      <c r="O8618" s="65" t="str">
        <f>VLOOKUP(E8618,DATABASE!C:Q,8,false)</f>
        <v>BIAN</v>
      </c>
      <c r="P8618" s="65">
        <f>VLOOKUP(E8618,DATABASE!C:Q,9,False)</f>
        <v>0</v>
      </c>
      <c r="Q8618" s="93" t="str">
        <f>VLOOKUP(E8618,DATABASE!C:Q,4,false)</f>
        <v>Balancing</v>
      </c>
      <c r="R8618" s="93" t="str">
        <f>VLOOKUP(E8618,DATABASE!C:Q,11,false)</f>
        <v>COMPLEMENTARY</v>
      </c>
    </row>
    <row r="8619" ht="22.5" customHeight="1">
      <c r="A8619" s="49"/>
      <c r="C8619" s="400">
        <v>46160.0</v>
      </c>
      <c r="D8619" s="524">
        <v>1404.0</v>
      </c>
      <c r="E8619" s="544" t="s">
        <v>262</v>
      </c>
      <c r="F8619" s="387">
        <v>1.0</v>
      </c>
      <c r="G8619" s="140">
        <v>130000.0</v>
      </c>
      <c r="H8619" s="74"/>
      <c r="I8619" s="74">
        <f t="shared" si="1"/>
        <v>130000</v>
      </c>
      <c r="J8619" s="74">
        <f>IF(E8619="SERVICE",I8619-(I8619*50%),Vlookup(E8619,DATABASE!C:Q,10,false)*F8619)</f>
        <v>5000</v>
      </c>
      <c r="K8619" s="74">
        <f>VLOOKUP(E8619,DATABASE!C:Q,7,false)</f>
        <v>0</v>
      </c>
      <c r="L8619" s="74">
        <v>0.0</v>
      </c>
      <c r="M8619" s="74">
        <f t="shared" si="6"/>
        <v>0</v>
      </c>
      <c r="N8619" s="74">
        <f t="shared" si="3"/>
        <v>125000</v>
      </c>
      <c r="O8619" s="65" t="str">
        <f>VLOOKUP(E8619,DATABASE!C:Q,8,false)</f>
        <v>IBU</v>
      </c>
      <c r="P8619" s="65">
        <f>VLOOKUP(E8619,DATABASE!C:Q,9,False)</f>
        <v>0</v>
      </c>
      <c r="Q8619" s="93" t="str">
        <f>VLOOKUP(E8619,DATABASE!C:Q,4,false)</f>
        <v>SPOORING SS/CARRY LOS BAK</v>
      </c>
      <c r="R8619" s="93" t="str">
        <f>VLOOKUP(E8619,DATABASE!C:Q,11,false)</f>
        <v>SERVICE</v>
      </c>
    </row>
    <row r="8620" ht="22.5" customHeight="1">
      <c r="A8620" s="49"/>
      <c r="C8620" s="400">
        <v>46160.0</v>
      </c>
      <c r="D8620" s="524">
        <v>1404.0</v>
      </c>
      <c r="E8620" s="544" t="s">
        <v>301</v>
      </c>
      <c r="F8620" s="387">
        <v>1.0</v>
      </c>
      <c r="G8620" s="140">
        <v>250000.0</v>
      </c>
      <c r="H8620" s="74"/>
      <c r="I8620" s="74">
        <f t="shared" si="1"/>
        <v>250000</v>
      </c>
      <c r="J8620" s="74">
        <f>IF(E8620="SERVICE",I8620-(I8620*50%),Vlookup(E8620,DATABASE!C:Q,10,false)*F8620)</f>
        <v>75000</v>
      </c>
      <c r="K8620" s="74">
        <f>VLOOKUP(E8620,DATABASE!C:Q,7,false)</f>
        <v>75000</v>
      </c>
      <c r="L8620" s="74">
        <v>75000.0</v>
      </c>
      <c r="M8620" s="74">
        <f t="shared" si="6"/>
        <v>75000</v>
      </c>
      <c r="N8620" s="74">
        <f t="shared" si="3"/>
        <v>100000</v>
      </c>
      <c r="O8620" s="65" t="str">
        <f>VLOOKUP(E8620,DATABASE!C:Q,8,false)</f>
        <v>BIAN</v>
      </c>
      <c r="P8620" s="65">
        <f>VLOOKUP(E8620,DATABASE!C:Q,9,False)</f>
        <v>0</v>
      </c>
      <c r="Q8620" s="93" t="str">
        <f>VLOOKUP(E8620,DATABASE!C:Q,4,false)</f>
        <v>Baut Camber</v>
      </c>
      <c r="R8620" s="93" t="str">
        <f>VLOOKUP(E8620,DATABASE!C:Q,11,false)</f>
        <v>COMPLEMENTARY</v>
      </c>
    </row>
    <row r="8621" ht="22.5" customHeight="1">
      <c r="A8621" s="49"/>
      <c r="C8621" s="400">
        <v>46160.0</v>
      </c>
      <c r="D8621" s="524">
        <v>1405.0</v>
      </c>
      <c r="E8621" s="544" t="s">
        <v>932</v>
      </c>
      <c r="F8621" s="387">
        <v>3.0</v>
      </c>
      <c r="G8621" s="140">
        <v>690000.0</v>
      </c>
      <c r="H8621" s="74"/>
      <c r="I8621" s="74">
        <f t="shared" si="1"/>
        <v>2070000</v>
      </c>
      <c r="J8621" s="74">
        <f>IF(E8621="SERVICE",I8621-(I8621*50%),Vlookup(E8621,DATABASE!C:Q,10,false)*F8621)</f>
        <v>0</v>
      </c>
      <c r="K8621" s="74">
        <f>VLOOKUP(E8621,DATABASE!C:Q,7,false)</f>
        <v>601000</v>
      </c>
      <c r="L8621" s="74">
        <v>601000.0</v>
      </c>
      <c r="M8621" s="74">
        <f t="shared" si="6"/>
        <v>605000</v>
      </c>
      <c r="N8621" s="74">
        <f t="shared" si="3"/>
        <v>255000</v>
      </c>
      <c r="O8621" s="65" t="str">
        <f>VLOOKUP(E8621,DATABASE!C:Q,8,false)</f>
        <v>IBU</v>
      </c>
      <c r="P8621" s="65">
        <f>VLOOKUP(E8621,DATABASE!C:Q,9,False)</f>
        <v>1</v>
      </c>
      <c r="Q8621" s="93" t="str">
        <f>VLOOKUP(E8621,DATABASE!C:Q,4,false)</f>
        <v>Dunlop</v>
      </c>
      <c r="R8621" s="93" t="str">
        <f>VLOOKUP(E8621,DATABASE!C:Q,11,false)</f>
        <v>Tire</v>
      </c>
    </row>
    <row r="8622" ht="22.5" customHeight="1">
      <c r="A8622" s="49"/>
      <c r="C8622" s="400">
        <v>46160.0</v>
      </c>
      <c r="D8622" s="524">
        <v>1406.0</v>
      </c>
      <c r="E8622" s="544" t="s">
        <v>268</v>
      </c>
      <c r="F8622" s="387">
        <v>4.0</v>
      </c>
      <c r="G8622" s="140">
        <v>720000.0</v>
      </c>
      <c r="H8622" s="74"/>
      <c r="I8622" s="74">
        <f t="shared" si="1"/>
        <v>2880000</v>
      </c>
      <c r="J8622" s="74">
        <f>IF(E8622="SERVICE",I8622-(I8622*50%),Vlookup(E8622,DATABASE!C:Q,10,false)*F8622)</f>
        <v>0</v>
      </c>
      <c r="K8622" s="74">
        <f>VLOOKUP(E8622,DATABASE!C:Q,7,false)</f>
        <v>653000</v>
      </c>
      <c r="L8622" s="74">
        <v>634500.0</v>
      </c>
      <c r="M8622" s="74">
        <f t="shared" si="6"/>
        <v>635000</v>
      </c>
      <c r="N8622" s="74">
        <f t="shared" si="3"/>
        <v>340000</v>
      </c>
      <c r="O8622" s="65" t="str">
        <f>VLOOKUP(E8622,DATABASE!C:Q,8,false)</f>
        <v>IBU</v>
      </c>
      <c r="P8622" s="65">
        <f>VLOOKUP(E8622,DATABASE!C:Q,9,False)</f>
        <v>1</v>
      </c>
      <c r="Q8622" s="93" t="str">
        <f>VLOOKUP(E8622,DATABASE!C:Q,4,false)</f>
        <v>Dunlop</v>
      </c>
      <c r="R8622" s="93" t="str">
        <f>VLOOKUP(E8622,DATABASE!C:Q,11,false)</f>
        <v>Tire</v>
      </c>
    </row>
    <row r="8623" ht="22.5" customHeight="1">
      <c r="A8623" s="49"/>
      <c r="C8623" s="400">
        <v>46160.0</v>
      </c>
      <c r="D8623" s="524">
        <v>1407.0</v>
      </c>
      <c r="E8623" s="544" t="s">
        <v>271</v>
      </c>
      <c r="F8623" s="387">
        <v>2.0</v>
      </c>
      <c r="G8623" s="140">
        <v>640000.0</v>
      </c>
      <c r="H8623" s="74"/>
      <c r="I8623" s="74">
        <f t="shared" si="1"/>
        <v>1280000</v>
      </c>
      <c r="J8623" s="74">
        <f>IF(E8623="SERVICE",I8623-(I8623*50%),Vlookup(E8623,DATABASE!C:Q,10,false)*F8623)</f>
        <v>0</v>
      </c>
      <c r="K8623" s="74">
        <f>VLOOKUP(E8623,DATABASE!C:Q,7,false)</f>
        <v>570000</v>
      </c>
      <c r="L8623" s="74">
        <v>550000.0</v>
      </c>
      <c r="M8623" s="74">
        <f t="shared" si="6"/>
        <v>550000</v>
      </c>
      <c r="N8623" s="74">
        <f t="shared" si="3"/>
        <v>180000</v>
      </c>
      <c r="O8623" s="65" t="str">
        <f>VLOOKUP(E8623,DATABASE!C:Q,8,false)</f>
        <v>IBU</v>
      </c>
      <c r="P8623" s="65">
        <f>VLOOKUP(E8623,DATABASE!C:Q,9,False)</f>
        <v>1</v>
      </c>
      <c r="Q8623" s="93" t="str">
        <f>VLOOKUP(E8623,DATABASE!C:Q,4,false)</f>
        <v>Dunlop</v>
      </c>
      <c r="R8623" s="93" t="str">
        <f>VLOOKUP(E8623,DATABASE!C:Q,11,false)</f>
        <v>Tire</v>
      </c>
    </row>
    <row r="8624" ht="22.5" customHeight="1">
      <c r="A8624" s="49"/>
      <c r="C8624" s="400">
        <v>46160.0</v>
      </c>
      <c r="D8624" s="524">
        <v>1407.0</v>
      </c>
      <c r="E8624" s="544" t="s">
        <v>299</v>
      </c>
      <c r="F8624" s="387">
        <v>2.0</v>
      </c>
      <c r="G8624" s="140">
        <v>30000.0</v>
      </c>
      <c r="H8624" s="74"/>
      <c r="I8624" s="74">
        <f t="shared" si="1"/>
        <v>60000</v>
      </c>
      <c r="J8624" s="74">
        <f>IF(E8624="SERVICE",I8624-(I8624*50%),Vlookup(E8624,DATABASE!C:Q,10,false)*F8624)</f>
        <v>0</v>
      </c>
      <c r="K8624" s="74">
        <f>VLOOKUP(E8624,DATABASE!C:Q,7,false)</f>
        <v>10000</v>
      </c>
      <c r="L8624" s="74">
        <v>10000.0</v>
      </c>
      <c r="M8624" s="74">
        <f t="shared" si="6"/>
        <v>10000</v>
      </c>
      <c r="N8624" s="74">
        <f t="shared" si="3"/>
        <v>40000</v>
      </c>
      <c r="O8624" s="65" t="str">
        <f>VLOOKUP(E8624,DATABASE!C:Q,8,false)</f>
        <v>BIAN</v>
      </c>
      <c r="P8624" s="65">
        <f>VLOOKUP(E8624,DATABASE!C:Q,9,False)</f>
        <v>0</v>
      </c>
      <c r="Q8624" s="93" t="str">
        <f>VLOOKUP(E8624,DATABASE!C:Q,4,false)</f>
        <v>Balancing</v>
      </c>
      <c r="R8624" s="93" t="str">
        <f>VLOOKUP(E8624,DATABASE!C:Q,11,false)</f>
        <v>COMPLEMENTARY</v>
      </c>
    </row>
    <row r="8625" ht="22.5" customHeight="1">
      <c r="A8625" s="49"/>
      <c r="C8625" s="400">
        <v>46160.0</v>
      </c>
      <c r="D8625" s="524">
        <v>1407.0</v>
      </c>
      <c r="E8625" s="544" t="s">
        <v>256</v>
      </c>
      <c r="F8625" s="387">
        <v>1.0</v>
      </c>
      <c r="G8625" s="140">
        <v>175000.0</v>
      </c>
      <c r="H8625" s="140">
        <v>25000.0</v>
      </c>
      <c r="I8625" s="74">
        <f t="shared" si="1"/>
        <v>150000</v>
      </c>
      <c r="J8625" s="74">
        <f>IF(E8625="SERVICE",I8625-(I8625*50%),Vlookup(E8625,DATABASE!C:Q,10,false)*F8625)</f>
        <v>10000</v>
      </c>
      <c r="K8625" s="74">
        <f>VLOOKUP(E8625,DATABASE!C:Q,7,false)</f>
        <v>0</v>
      </c>
      <c r="L8625" s="74">
        <v>0.0</v>
      </c>
      <c r="M8625" s="74">
        <f t="shared" si="6"/>
        <v>0</v>
      </c>
      <c r="N8625" s="74">
        <f t="shared" si="3"/>
        <v>140000</v>
      </c>
      <c r="O8625" s="65" t="str">
        <f>VLOOKUP(E8625,DATABASE!C:Q,8,false)</f>
        <v>IBU</v>
      </c>
      <c r="P8625" s="65">
        <f>VLOOKUP(E8625,DATABASE!C:Q,9,False)</f>
        <v>0</v>
      </c>
      <c r="Q8625" s="93" t="str">
        <f>VLOOKUP(E8625,DATABASE!C:Q,4,false)</f>
        <v>SPOORING</v>
      </c>
      <c r="R8625" s="93" t="str">
        <f>VLOOKUP(E8625,DATABASE!C:Q,11,false)</f>
        <v>SERVICE</v>
      </c>
    </row>
    <row r="8626" ht="22.5" customHeight="1">
      <c r="A8626" s="49"/>
      <c r="C8626" s="400">
        <v>46160.0</v>
      </c>
      <c r="D8626" s="524">
        <v>1407.0</v>
      </c>
      <c r="E8626" s="544" t="s">
        <v>301</v>
      </c>
      <c r="F8626" s="387">
        <v>1.0</v>
      </c>
      <c r="G8626" s="140">
        <v>250000.0</v>
      </c>
      <c r="H8626" s="74"/>
      <c r="I8626" s="74">
        <f t="shared" si="1"/>
        <v>250000</v>
      </c>
      <c r="J8626" s="74">
        <f>IF(E8626="SERVICE",I8626-(I8626*50%),Vlookup(E8626,DATABASE!C:Q,10,false)*F8626)</f>
        <v>75000</v>
      </c>
      <c r="K8626" s="74">
        <f>VLOOKUP(E8626,DATABASE!C:Q,7,false)</f>
        <v>75000</v>
      </c>
      <c r="L8626" s="74">
        <v>75000.0</v>
      </c>
      <c r="M8626" s="74">
        <f t="shared" si="6"/>
        <v>75000</v>
      </c>
      <c r="N8626" s="74">
        <f t="shared" si="3"/>
        <v>100000</v>
      </c>
      <c r="O8626" s="65" t="str">
        <f>VLOOKUP(E8626,DATABASE!C:Q,8,false)</f>
        <v>BIAN</v>
      </c>
      <c r="P8626" s="65">
        <f>VLOOKUP(E8626,DATABASE!C:Q,9,False)</f>
        <v>0</v>
      </c>
      <c r="Q8626" s="93" t="str">
        <f>VLOOKUP(E8626,DATABASE!C:Q,4,false)</f>
        <v>Baut Camber</v>
      </c>
      <c r="R8626" s="93" t="str">
        <f>VLOOKUP(E8626,DATABASE!C:Q,11,false)</f>
        <v>COMPLEMENTARY</v>
      </c>
    </row>
    <row r="8627" ht="22.5" customHeight="1">
      <c r="A8627" s="49"/>
      <c r="C8627" s="400">
        <v>46160.0</v>
      </c>
      <c r="D8627" s="524">
        <v>1407.0</v>
      </c>
      <c r="E8627" s="544" t="s">
        <v>262</v>
      </c>
      <c r="F8627" s="387">
        <v>1.0</v>
      </c>
      <c r="G8627" s="140">
        <v>130000.0</v>
      </c>
      <c r="H8627" s="74"/>
      <c r="I8627" s="74">
        <f t="shared" si="1"/>
        <v>130000</v>
      </c>
      <c r="J8627" s="74">
        <f>IF(E8627="SERVICE",I8627-(I8627*50%),Vlookup(E8627,DATABASE!C:Q,10,false)*F8627)</f>
        <v>5000</v>
      </c>
      <c r="K8627" s="74">
        <f>VLOOKUP(E8627,DATABASE!C:Q,7,false)</f>
        <v>0</v>
      </c>
      <c r="L8627" s="74">
        <v>0.0</v>
      </c>
      <c r="M8627" s="74">
        <f t="shared" si="6"/>
        <v>0</v>
      </c>
      <c r="N8627" s="74">
        <f t="shared" si="3"/>
        <v>125000</v>
      </c>
      <c r="O8627" s="65" t="str">
        <f>VLOOKUP(E8627,DATABASE!C:Q,8,false)</f>
        <v>IBU</v>
      </c>
      <c r="P8627" s="65">
        <f>VLOOKUP(E8627,DATABASE!C:Q,9,False)</f>
        <v>0</v>
      </c>
      <c r="Q8627" s="93" t="str">
        <f>VLOOKUP(E8627,DATABASE!C:Q,4,false)</f>
        <v>SPOORING SS/CARRY LOS BAK</v>
      </c>
      <c r="R8627" s="93" t="str">
        <f>VLOOKUP(E8627,DATABASE!C:Q,11,false)</f>
        <v>SERVICE</v>
      </c>
    </row>
    <row r="8628" ht="22.5" customHeight="1">
      <c r="A8628" s="49"/>
      <c r="C8628" s="400">
        <v>46160.0</v>
      </c>
      <c r="D8628" s="524">
        <v>1410.0</v>
      </c>
      <c r="E8628" s="544" t="s">
        <v>262</v>
      </c>
      <c r="F8628" s="387">
        <v>1.0</v>
      </c>
      <c r="G8628" s="140">
        <v>130000.0</v>
      </c>
      <c r="H8628" s="74"/>
      <c r="I8628" s="74">
        <f t="shared" si="1"/>
        <v>130000</v>
      </c>
      <c r="J8628" s="74">
        <f>IF(E8628="SERVICE",I8628-(I8628*50%),Vlookup(E8628,DATABASE!C:Q,10,false)*F8628)</f>
        <v>5000</v>
      </c>
      <c r="K8628" s="74">
        <f>VLOOKUP(E8628,DATABASE!C:Q,7,false)</f>
        <v>0</v>
      </c>
      <c r="L8628" s="74">
        <v>0.0</v>
      </c>
      <c r="M8628" s="74">
        <f t="shared" si="6"/>
        <v>0</v>
      </c>
      <c r="N8628" s="74">
        <f t="shared" si="3"/>
        <v>125000</v>
      </c>
      <c r="O8628" s="65" t="str">
        <f>VLOOKUP(E8628,DATABASE!C:Q,8,false)</f>
        <v>IBU</v>
      </c>
      <c r="P8628" s="65">
        <f>VLOOKUP(E8628,DATABASE!C:Q,9,False)</f>
        <v>0</v>
      </c>
      <c r="Q8628" s="93" t="str">
        <f>VLOOKUP(E8628,DATABASE!C:Q,4,false)</f>
        <v>SPOORING SS/CARRY LOS BAK</v>
      </c>
      <c r="R8628" s="93" t="str">
        <f>VLOOKUP(E8628,DATABASE!C:Q,11,false)</f>
        <v>SERVICE</v>
      </c>
    </row>
    <row r="8629" ht="22.5" customHeight="1">
      <c r="A8629" s="49"/>
      <c r="C8629" s="400">
        <v>46160.0</v>
      </c>
      <c r="D8629" s="524">
        <v>1411.0</v>
      </c>
      <c r="E8629" s="544" t="s">
        <v>781</v>
      </c>
      <c r="F8629" s="387">
        <v>4.0</v>
      </c>
      <c r="G8629" s="140">
        <v>550000.0</v>
      </c>
      <c r="H8629" s="74"/>
      <c r="I8629" s="74">
        <f t="shared" si="1"/>
        <v>2200000</v>
      </c>
      <c r="J8629" s="74">
        <f>IF(E8629="SERVICE",I8629-(I8629*50%),Vlookup(E8629,DATABASE!C:Q,10,false)*F8629)</f>
        <v>0</v>
      </c>
      <c r="K8629" s="74">
        <f>VLOOKUP(E8629,DATABASE!C:Q,7,false)</f>
        <v>470000</v>
      </c>
      <c r="L8629" s="74">
        <v>460000.0</v>
      </c>
      <c r="M8629" s="74">
        <f t="shared" si="6"/>
        <v>460000</v>
      </c>
      <c r="N8629" s="74">
        <f t="shared" si="3"/>
        <v>360000</v>
      </c>
      <c r="O8629" s="65" t="str">
        <f>VLOOKUP(E8629,DATABASE!C:Q,8,false)</f>
        <v>BIAN</v>
      </c>
      <c r="P8629" s="65">
        <f>VLOOKUP(E8629,DATABASE!C:Q,9,False)</f>
        <v>1</v>
      </c>
      <c r="Q8629" s="93" t="str">
        <f>VLOOKUP(E8629,DATABASE!C:Q,4,false)</f>
        <v>GT</v>
      </c>
      <c r="R8629" s="93" t="str">
        <f>VLOOKUP(E8629,DATABASE!C:Q,11,false)</f>
        <v>Tire</v>
      </c>
    </row>
    <row r="8630" ht="22.5" customHeight="1">
      <c r="A8630" s="49"/>
      <c r="C8630" s="400">
        <v>46160.0</v>
      </c>
      <c r="D8630" s="524">
        <v>1412.0</v>
      </c>
      <c r="E8630" s="544" t="s">
        <v>604</v>
      </c>
      <c r="F8630" s="387">
        <v>1.0</v>
      </c>
      <c r="G8630" s="140">
        <v>170000.0</v>
      </c>
      <c r="H8630" s="140">
        <v>10000.0</v>
      </c>
      <c r="I8630" s="74">
        <f t="shared" si="1"/>
        <v>160000</v>
      </c>
      <c r="J8630" s="74">
        <f>IF(E8630="SERVICE",I8630-(I8630*50%),Vlookup(E8630,DATABASE!C:Q,10,false)*F8630)</f>
        <v>0</v>
      </c>
      <c r="K8630" s="74">
        <f>VLOOKUP(E8630,DATABASE!C:Q,7,false)</f>
        <v>124000</v>
      </c>
      <c r="L8630" s="74">
        <v>124000.0</v>
      </c>
      <c r="M8630" s="74">
        <f t="shared" si="6"/>
        <v>125000</v>
      </c>
      <c r="N8630" s="74">
        <f t="shared" si="3"/>
        <v>35000</v>
      </c>
      <c r="O8630" s="65" t="str">
        <f>VLOOKUP(E8630,DATABASE!C:Q,8,false)</f>
        <v>BIAN</v>
      </c>
      <c r="P8630" s="65">
        <f>VLOOKUP(E8630,DATABASE!C:Q,9,False)</f>
        <v>1</v>
      </c>
      <c r="Q8630" s="93" t="str">
        <f>VLOOKUP(E8630,DATABASE!C:Q,4,false)</f>
        <v>BD</v>
      </c>
      <c r="R8630" s="93" t="str">
        <f>VLOOKUP(E8630,DATABASE!C:Q,11,false)</f>
        <v>Tire</v>
      </c>
    </row>
    <row r="8631" ht="22.5" customHeight="1">
      <c r="A8631" s="49"/>
      <c r="C8631" s="400">
        <v>46160.0</v>
      </c>
      <c r="D8631" s="524">
        <v>1413.0</v>
      </c>
      <c r="E8631" s="544" t="s">
        <v>271</v>
      </c>
      <c r="F8631" s="387">
        <v>1.0</v>
      </c>
      <c r="G8631" s="140">
        <v>640000.0</v>
      </c>
      <c r="H8631" s="74"/>
      <c r="I8631" s="74">
        <f t="shared" si="1"/>
        <v>640000</v>
      </c>
      <c r="J8631" s="74">
        <f>IF(E8631="SERVICE",I8631-(I8631*50%),Vlookup(E8631,DATABASE!C:Q,10,false)*F8631)</f>
        <v>0</v>
      </c>
      <c r="K8631" s="74">
        <f>VLOOKUP(E8631,DATABASE!C:Q,7,false)</f>
        <v>570000</v>
      </c>
      <c r="L8631" s="74">
        <v>550000.0</v>
      </c>
      <c r="M8631" s="74">
        <f t="shared" si="6"/>
        <v>550000</v>
      </c>
      <c r="N8631" s="74">
        <f t="shared" si="3"/>
        <v>90000</v>
      </c>
      <c r="O8631" s="65" t="str">
        <f>VLOOKUP(E8631,DATABASE!C:Q,8,false)</f>
        <v>IBU</v>
      </c>
      <c r="P8631" s="65">
        <f>VLOOKUP(E8631,DATABASE!C:Q,9,False)</f>
        <v>1</v>
      </c>
      <c r="Q8631" s="93" t="str">
        <f>VLOOKUP(E8631,DATABASE!C:Q,4,false)</f>
        <v>Dunlop</v>
      </c>
      <c r="R8631" s="93" t="str">
        <f>VLOOKUP(E8631,DATABASE!C:Q,11,false)</f>
        <v>Tire</v>
      </c>
    </row>
    <row r="8632" ht="22.5" customHeight="1">
      <c r="A8632" s="49"/>
      <c r="C8632" s="400">
        <v>46160.0</v>
      </c>
      <c r="D8632" s="524">
        <v>1414.0</v>
      </c>
      <c r="E8632" s="544" t="s">
        <v>246</v>
      </c>
      <c r="F8632" s="387">
        <v>4.0</v>
      </c>
      <c r="G8632" s="140">
        <v>35000.0</v>
      </c>
      <c r="H8632" s="140">
        <v>10000.0</v>
      </c>
      <c r="I8632" s="74">
        <f t="shared" si="1"/>
        <v>100000</v>
      </c>
      <c r="J8632" s="74">
        <f>IF(E8632="SERVICE",I8632-(I8632*50%),Vlookup(E8632,DATABASE!C:Q,10,false)*F8632)</f>
        <v>0</v>
      </c>
      <c r="K8632" s="74">
        <f>VLOOKUP(E8632,DATABASE!C:Q,7,false)</f>
        <v>0</v>
      </c>
      <c r="L8632" s="74">
        <v>0.0</v>
      </c>
      <c r="M8632" s="74">
        <f t="shared" si="6"/>
        <v>0</v>
      </c>
      <c r="N8632" s="74">
        <f t="shared" si="3"/>
        <v>100000</v>
      </c>
      <c r="O8632" s="65" t="str">
        <f>VLOOKUP(E8632,DATABASE!C:Q,8,false)</f>
        <v>IBU</v>
      </c>
      <c r="P8632" s="65">
        <f>VLOOKUP(E8632,DATABASE!C:Q,9,False)</f>
        <v>0</v>
      </c>
      <c r="Q8632" s="93" t="str">
        <f>VLOOKUP(E8632,DATABASE!C:Q,4,false)</f>
        <v>Bongkar Pasang</v>
      </c>
      <c r="R8632" s="93" t="str">
        <f>VLOOKUP(E8632,DATABASE!C:Q,11,false)</f>
        <v>SERVICE</v>
      </c>
    </row>
    <row r="8633" ht="22.5" customHeight="1">
      <c r="A8633" s="49"/>
      <c r="C8633" s="400">
        <v>46160.0</v>
      </c>
      <c r="D8633" s="524">
        <v>1414.0</v>
      </c>
      <c r="E8633" s="544" t="s">
        <v>299</v>
      </c>
      <c r="F8633" s="387">
        <v>2.0</v>
      </c>
      <c r="G8633" s="140">
        <v>30000.0</v>
      </c>
      <c r="H8633" s="74"/>
      <c r="I8633" s="74">
        <f t="shared" si="1"/>
        <v>60000</v>
      </c>
      <c r="J8633" s="74">
        <f>IF(E8633="SERVICE",I8633-(I8633*50%),Vlookup(E8633,DATABASE!C:Q,10,false)*F8633)</f>
        <v>0</v>
      </c>
      <c r="K8633" s="74">
        <f>VLOOKUP(E8633,DATABASE!C:Q,7,false)</f>
        <v>10000</v>
      </c>
      <c r="L8633" s="74">
        <v>10000.0</v>
      </c>
      <c r="M8633" s="74">
        <f t="shared" si="6"/>
        <v>10000</v>
      </c>
      <c r="N8633" s="74">
        <f t="shared" si="3"/>
        <v>40000</v>
      </c>
      <c r="O8633" s="65" t="str">
        <f>VLOOKUP(E8633,DATABASE!C:Q,8,false)</f>
        <v>BIAN</v>
      </c>
      <c r="P8633" s="65">
        <f>VLOOKUP(E8633,DATABASE!C:Q,9,False)</f>
        <v>0</v>
      </c>
      <c r="Q8633" s="93" t="str">
        <f>VLOOKUP(E8633,DATABASE!C:Q,4,false)</f>
        <v>Balancing</v>
      </c>
      <c r="R8633" s="93" t="str">
        <f>VLOOKUP(E8633,DATABASE!C:Q,11,false)</f>
        <v>COMPLEMENTARY</v>
      </c>
    </row>
    <row r="8634" ht="22.5" customHeight="1">
      <c r="A8634" s="49"/>
      <c r="C8634" s="400">
        <v>46160.0</v>
      </c>
      <c r="D8634" s="524">
        <v>1414.0</v>
      </c>
      <c r="E8634" s="544" t="s">
        <v>256</v>
      </c>
      <c r="F8634" s="387">
        <v>1.0</v>
      </c>
      <c r="G8634" s="140">
        <v>175000.0</v>
      </c>
      <c r="H8634" s="140">
        <v>25000.0</v>
      </c>
      <c r="I8634" s="74">
        <f t="shared" si="1"/>
        <v>150000</v>
      </c>
      <c r="J8634" s="74">
        <f>IF(E8634="SERVICE",I8634-(I8634*50%),Vlookup(E8634,DATABASE!C:Q,10,false)*F8634)</f>
        <v>10000</v>
      </c>
      <c r="K8634" s="74">
        <f>VLOOKUP(E8634,DATABASE!C:Q,7,false)</f>
        <v>0</v>
      </c>
      <c r="L8634" s="74">
        <v>0.0</v>
      </c>
      <c r="M8634" s="74">
        <f t="shared" si="6"/>
        <v>0</v>
      </c>
      <c r="N8634" s="74">
        <f t="shared" si="3"/>
        <v>140000</v>
      </c>
      <c r="O8634" s="65" t="str">
        <f>VLOOKUP(E8634,DATABASE!C:Q,8,false)</f>
        <v>IBU</v>
      </c>
      <c r="P8634" s="65">
        <f>VLOOKUP(E8634,DATABASE!C:Q,9,False)</f>
        <v>0</v>
      </c>
      <c r="Q8634" s="93" t="str">
        <f>VLOOKUP(E8634,DATABASE!C:Q,4,false)</f>
        <v>SPOORING</v>
      </c>
      <c r="R8634" s="93" t="str">
        <f>VLOOKUP(E8634,DATABASE!C:Q,11,false)</f>
        <v>SERVICE</v>
      </c>
    </row>
    <row r="8635" ht="22.5" customHeight="1">
      <c r="A8635" s="49"/>
      <c r="C8635" s="400">
        <v>46160.0</v>
      </c>
      <c r="D8635" s="524">
        <v>1414.0</v>
      </c>
      <c r="E8635" s="544" t="s">
        <v>301</v>
      </c>
      <c r="F8635" s="387">
        <v>1.0</v>
      </c>
      <c r="G8635" s="140">
        <v>250000.0</v>
      </c>
      <c r="H8635" s="74"/>
      <c r="I8635" s="74">
        <f t="shared" si="1"/>
        <v>250000</v>
      </c>
      <c r="J8635" s="74">
        <f>IF(E8635="SERVICE",I8635-(I8635*50%),Vlookup(E8635,DATABASE!C:Q,10,false)*F8635)</f>
        <v>75000</v>
      </c>
      <c r="K8635" s="74">
        <f>VLOOKUP(E8635,DATABASE!C:Q,7,false)</f>
        <v>75000</v>
      </c>
      <c r="L8635" s="74">
        <v>75000.0</v>
      </c>
      <c r="M8635" s="74">
        <f t="shared" si="6"/>
        <v>75000</v>
      </c>
      <c r="N8635" s="74">
        <f t="shared" si="3"/>
        <v>100000</v>
      </c>
      <c r="O8635" s="65" t="str">
        <f>VLOOKUP(E8635,DATABASE!C:Q,8,false)</f>
        <v>BIAN</v>
      </c>
      <c r="P8635" s="65">
        <f>VLOOKUP(E8635,DATABASE!C:Q,9,False)</f>
        <v>0</v>
      </c>
      <c r="Q8635" s="93" t="str">
        <f>VLOOKUP(E8635,DATABASE!C:Q,4,false)</f>
        <v>Baut Camber</v>
      </c>
      <c r="R8635" s="93" t="str">
        <f>VLOOKUP(E8635,DATABASE!C:Q,11,false)</f>
        <v>COMPLEMENTARY</v>
      </c>
    </row>
    <row r="8636" ht="22.5" customHeight="1">
      <c r="A8636" s="49"/>
      <c r="C8636" s="400">
        <v>46160.0</v>
      </c>
      <c r="D8636" s="524">
        <v>1415.0</v>
      </c>
      <c r="E8636" s="544" t="s">
        <v>265</v>
      </c>
      <c r="F8636" s="387">
        <v>2.0</v>
      </c>
      <c r="G8636" s="140">
        <v>700000.0</v>
      </c>
      <c r="H8636" s="74"/>
      <c r="I8636" s="74">
        <f t="shared" si="1"/>
        <v>1400000</v>
      </c>
      <c r="J8636" s="74">
        <f>IF(E8636="SERVICE",I8636-(I8636*50%),Vlookup(E8636,DATABASE!C:Q,10,false)*F8636)</f>
        <v>0</v>
      </c>
      <c r="K8636" s="74">
        <f>VLOOKUP(E8636,DATABASE!C:Q,7,false)</f>
        <v>628000</v>
      </c>
      <c r="L8636" s="74">
        <v>610000.0</v>
      </c>
      <c r="M8636" s="74">
        <f t="shared" si="6"/>
        <v>610000</v>
      </c>
      <c r="N8636" s="74">
        <f t="shared" si="3"/>
        <v>180000</v>
      </c>
      <c r="O8636" s="65" t="str">
        <f>VLOOKUP(E8636,DATABASE!C:Q,8,false)</f>
        <v>IBU</v>
      </c>
      <c r="P8636" s="65">
        <f>VLOOKUP(E8636,DATABASE!C:Q,9,False)</f>
        <v>1</v>
      </c>
      <c r="Q8636" s="93" t="str">
        <f>VLOOKUP(E8636,DATABASE!C:Q,4,false)</f>
        <v>Dunlop</v>
      </c>
      <c r="R8636" s="93" t="str">
        <f>VLOOKUP(E8636,DATABASE!C:Q,11,false)</f>
        <v>Tire</v>
      </c>
    </row>
    <row r="8637" ht="22.5" customHeight="1">
      <c r="A8637" s="49"/>
      <c r="C8637" s="400">
        <v>46160.0</v>
      </c>
      <c r="D8637" s="524">
        <v>1416.0</v>
      </c>
      <c r="E8637" s="544" t="s">
        <v>256</v>
      </c>
      <c r="F8637" s="387">
        <v>1.0</v>
      </c>
      <c r="G8637" s="140">
        <v>175000.0</v>
      </c>
      <c r="H8637" s="140">
        <v>15000.0</v>
      </c>
      <c r="I8637" s="74">
        <f t="shared" si="1"/>
        <v>160000</v>
      </c>
      <c r="J8637" s="74">
        <f>IF(E8637="SERVICE",I8637-(I8637*50%),Vlookup(E8637,DATABASE!C:Q,10,false)*F8637)</f>
        <v>10000</v>
      </c>
      <c r="K8637" s="74">
        <f>VLOOKUP(E8637,DATABASE!C:Q,7,false)</f>
        <v>0</v>
      </c>
      <c r="L8637" s="74">
        <v>0.0</v>
      </c>
      <c r="M8637" s="74">
        <f t="shared" si="6"/>
        <v>0</v>
      </c>
      <c r="N8637" s="74">
        <f t="shared" si="3"/>
        <v>150000</v>
      </c>
      <c r="O8637" s="65" t="str">
        <f>VLOOKUP(E8637,DATABASE!C:Q,8,false)</f>
        <v>IBU</v>
      </c>
      <c r="P8637" s="65">
        <f>VLOOKUP(E8637,DATABASE!C:Q,9,False)</f>
        <v>0</v>
      </c>
      <c r="Q8637" s="93" t="str">
        <f>VLOOKUP(E8637,DATABASE!C:Q,4,false)</f>
        <v>SPOORING</v>
      </c>
      <c r="R8637" s="93" t="str">
        <f>VLOOKUP(E8637,DATABASE!C:Q,11,false)</f>
        <v>SERVICE</v>
      </c>
    </row>
    <row r="8638" ht="22.5" customHeight="1">
      <c r="A8638" s="49"/>
      <c r="C8638" s="400">
        <v>46160.0</v>
      </c>
      <c r="D8638" s="524">
        <v>1417.0</v>
      </c>
      <c r="E8638" s="544" t="s">
        <v>688</v>
      </c>
      <c r="F8638" s="387">
        <v>5.0</v>
      </c>
      <c r="G8638" s="140">
        <v>150000.0</v>
      </c>
      <c r="H8638" s="140">
        <v>10000.0</v>
      </c>
      <c r="I8638" s="74">
        <f t="shared" si="1"/>
        <v>700000</v>
      </c>
      <c r="J8638" s="74">
        <f>IF(E8638="SERVICE",I8638-(I8638*50%),Vlookup(E8638,DATABASE!C:Q,10,false)*F8638)</f>
        <v>0</v>
      </c>
      <c r="K8638" s="74">
        <f>VLOOKUP(E8638,DATABASE!C:Q,7,false)</f>
        <v>100000</v>
      </c>
      <c r="L8638" s="74">
        <v>100000.0</v>
      </c>
      <c r="M8638" s="74">
        <f t="shared" si="6"/>
        <v>100000</v>
      </c>
      <c r="N8638" s="74">
        <f t="shared" si="3"/>
        <v>200000</v>
      </c>
      <c r="O8638" s="65" t="str">
        <f>VLOOKUP(E8638,DATABASE!C:Q,8,false)</f>
        <v>BIAN</v>
      </c>
      <c r="P8638" s="65">
        <f>VLOOKUP(E8638,DATABASE!C:Q,9,False)</f>
        <v>1</v>
      </c>
      <c r="Q8638" s="93" t="str">
        <f>VLOOKUP(E8638,DATABASE!C:Q,4,false)</f>
        <v>BD</v>
      </c>
      <c r="R8638" s="93" t="str">
        <f>VLOOKUP(E8638,DATABASE!C:Q,11,false)</f>
        <v>Tire</v>
      </c>
    </row>
    <row r="8639" ht="22.5" customHeight="1">
      <c r="A8639" s="49"/>
      <c r="C8639" s="400">
        <v>46160.0</v>
      </c>
      <c r="D8639" s="69">
        <v>1419.0</v>
      </c>
      <c r="E8639" s="544" t="s">
        <v>374</v>
      </c>
      <c r="F8639" s="387">
        <v>2.0</v>
      </c>
      <c r="G8639" s="140">
        <v>2040000.0</v>
      </c>
      <c r="H8639" s="74"/>
      <c r="I8639" s="74">
        <f t="shared" si="1"/>
        <v>4080000</v>
      </c>
      <c r="J8639" s="74">
        <f>IF(E8639="SERVICE",I8639-(I8639*50%),Vlookup(E8639,DATABASE!C:Q,10,false)*F8639)</f>
        <v>0</v>
      </c>
      <c r="K8639" s="74">
        <f>VLOOKUP(E8639,DATABASE!C:Q,7,false)</f>
        <v>1980000</v>
      </c>
      <c r="L8639" s="74">
        <v>1940000.0</v>
      </c>
      <c r="M8639" s="74">
        <f t="shared" si="6"/>
        <v>1940000</v>
      </c>
      <c r="N8639" s="74">
        <f t="shared" si="3"/>
        <v>200000</v>
      </c>
      <c r="O8639" s="65" t="str">
        <f>VLOOKUP(E8639,DATABASE!C:Q,8,false)</f>
        <v>BIAN</v>
      </c>
      <c r="P8639" s="65">
        <f>VLOOKUP(E8639,DATABASE!C:Q,9,False)</f>
        <v>1</v>
      </c>
      <c r="Q8639" s="93" t="str">
        <f>VLOOKUP(E8639,DATABASE!C:Q,4,false)</f>
        <v>Advance</v>
      </c>
      <c r="R8639" s="93" t="str">
        <f>VLOOKUP(E8639,DATABASE!C:Q,11,false)</f>
        <v>Tire</v>
      </c>
    </row>
    <row r="8640" ht="22.5" customHeight="1">
      <c r="A8640" s="49"/>
      <c r="C8640" s="400">
        <v>46160.0</v>
      </c>
      <c r="D8640" s="524">
        <v>1420.0</v>
      </c>
      <c r="E8640" s="544" t="s">
        <v>932</v>
      </c>
      <c r="F8640" s="387">
        <v>2.0</v>
      </c>
      <c r="G8640" s="140">
        <v>690000.0</v>
      </c>
      <c r="H8640" s="74"/>
      <c r="I8640" s="74">
        <f t="shared" si="1"/>
        <v>1380000</v>
      </c>
      <c r="J8640" s="74">
        <f>IF(E8640="SERVICE",I8640-(I8640*50%),Vlookup(E8640,DATABASE!C:Q,10,false)*F8640)</f>
        <v>0</v>
      </c>
      <c r="K8640" s="74">
        <f>VLOOKUP(E8640,DATABASE!C:Q,7,false)</f>
        <v>601000</v>
      </c>
      <c r="L8640" s="74">
        <v>601000.0</v>
      </c>
      <c r="M8640" s="74">
        <f t="shared" si="6"/>
        <v>605000</v>
      </c>
      <c r="N8640" s="74">
        <f t="shared" si="3"/>
        <v>170000</v>
      </c>
      <c r="O8640" s="65" t="str">
        <f>VLOOKUP(E8640,DATABASE!C:Q,8,false)</f>
        <v>IBU</v>
      </c>
      <c r="P8640" s="65">
        <f>VLOOKUP(E8640,DATABASE!C:Q,9,False)</f>
        <v>1</v>
      </c>
      <c r="Q8640" s="93" t="str">
        <f>VLOOKUP(E8640,DATABASE!C:Q,4,false)</f>
        <v>Dunlop</v>
      </c>
      <c r="R8640" s="93" t="str">
        <f>VLOOKUP(E8640,DATABASE!C:Q,11,false)</f>
        <v>Tire</v>
      </c>
    </row>
    <row r="8641" ht="22.5" customHeight="1">
      <c r="A8641" s="49"/>
      <c r="C8641" s="400">
        <v>46160.0</v>
      </c>
      <c r="D8641" s="524">
        <v>1421.0</v>
      </c>
      <c r="E8641" s="544" t="s">
        <v>554</v>
      </c>
      <c r="F8641" s="387">
        <v>2.0</v>
      </c>
      <c r="G8641" s="140">
        <v>790000.0</v>
      </c>
      <c r="H8641" s="74"/>
      <c r="I8641" s="74">
        <f t="shared" si="1"/>
        <v>1580000</v>
      </c>
      <c r="J8641" s="74">
        <f>IF(E8641="SERVICE",I8641-(I8641*50%),Vlookup(E8641,DATABASE!C:Q,10,false)*F8641)</f>
        <v>0</v>
      </c>
      <c r="K8641" s="74">
        <f>VLOOKUP(E8641,DATABASE!C:Q,7,false)</f>
        <v>710000</v>
      </c>
      <c r="L8641" s="74">
        <v>705000.0</v>
      </c>
      <c r="M8641" s="74">
        <f t="shared" si="6"/>
        <v>705000</v>
      </c>
      <c r="N8641" s="74">
        <f t="shared" si="3"/>
        <v>170000</v>
      </c>
      <c r="O8641" s="65" t="str">
        <f>VLOOKUP(E8641,DATABASE!C:Q,8,false)</f>
        <v>IBU</v>
      </c>
      <c r="P8641" s="65">
        <f>VLOOKUP(E8641,DATABASE!C:Q,9,False)</f>
        <v>1</v>
      </c>
      <c r="Q8641" s="93" t="str">
        <f>VLOOKUP(E8641,DATABASE!C:Q,4,false)</f>
        <v>Bridgestone</v>
      </c>
      <c r="R8641" s="93" t="str">
        <f>VLOOKUP(E8641,DATABASE!C:Q,11,false)</f>
        <v>Tire</v>
      </c>
    </row>
    <row r="8642" ht="22.5" customHeight="1">
      <c r="A8642" s="49"/>
      <c r="C8642" s="400">
        <v>46161.0</v>
      </c>
      <c r="D8642" s="524">
        <v>1422.0</v>
      </c>
      <c r="E8642" s="544" t="s">
        <v>613</v>
      </c>
      <c r="F8642" s="387">
        <v>1.0</v>
      </c>
      <c r="G8642" s="140">
        <v>100000.0</v>
      </c>
      <c r="H8642" s="140">
        <v>10000.0</v>
      </c>
      <c r="I8642" s="74">
        <f t="shared" si="1"/>
        <v>90000</v>
      </c>
      <c r="J8642" s="74">
        <f>IF(E8642="SERVICE",I8642-(I8642*50%),Vlookup(E8642,DATABASE!C:Q,10,false)*F8642)</f>
        <v>0</v>
      </c>
      <c r="K8642" s="74">
        <f>VLOOKUP(E8642,DATABASE!C:Q,7,false)</f>
        <v>58371.2695</v>
      </c>
      <c r="L8642" s="74">
        <v>58371.2695</v>
      </c>
      <c r="M8642" s="74">
        <f t="shared" si="6"/>
        <v>60000</v>
      </c>
      <c r="N8642" s="74">
        <f t="shared" si="3"/>
        <v>30000</v>
      </c>
      <c r="O8642" s="65" t="str">
        <f>VLOOKUP(E8642,DATABASE!C:Q,8,false)</f>
        <v>BIAN</v>
      </c>
      <c r="P8642" s="65">
        <f>VLOOKUP(E8642,DATABASE!C:Q,9,False)</f>
        <v>1</v>
      </c>
      <c r="Q8642" s="93" t="str">
        <f>VLOOKUP(E8642,DATABASE!C:Q,4,false)</f>
        <v>BD</v>
      </c>
      <c r="R8642" s="93" t="str">
        <f>VLOOKUP(E8642,DATABASE!C:Q,11,false)</f>
        <v>Tire</v>
      </c>
    </row>
    <row r="8643" ht="22.5" customHeight="1">
      <c r="A8643" s="49"/>
      <c r="C8643" s="400">
        <v>46161.0</v>
      </c>
      <c r="D8643" s="524">
        <v>1423.0</v>
      </c>
      <c r="E8643" s="544" t="s">
        <v>937</v>
      </c>
      <c r="F8643" s="387">
        <v>1.0</v>
      </c>
      <c r="G8643" s="140">
        <v>910000.0</v>
      </c>
      <c r="H8643" s="140">
        <v>10000.0</v>
      </c>
      <c r="I8643" s="74">
        <f t="shared" si="1"/>
        <v>900000</v>
      </c>
      <c r="J8643" s="74">
        <f>IF(E8643="SERVICE",I8643-(I8643*50%),Vlookup(E8643,DATABASE!C:Q,10,false)*F8643)</f>
        <v>0</v>
      </c>
      <c r="K8643" s="74">
        <f>VLOOKUP(E8643,DATABASE!C:Q,7,false)</f>
        <v>825000</v>
      </c>
      <c r="L8643" s="74">
        <v>815000.0</v>
      </c>
      <c r="M8643" s="74">
        <f t="shared" si="6"/>
        <v>815000</v>
      </c>
      <c r="N8643" s="74">
        <f t="shared" si="3"/>
        <v>85000</v>
      </c>
      <c r="O8643" s="65" t="str">
        <f>VLOOKUP(E8643,DATABASE!C:Q,8,false)</f>
        <v>IBU</v>
      </c>
      <c r="P8643" s="65">
        <f>VLOOKUP(E8643,DATABASE!C:Q,9,False)</f>
        <v>1</v>
      </c>
      <c r="Q8643" s="93" t="str">
        <f>VLOOKUP(E8643,DATABASE!C:Q,4,false)</f>
        <v>Bridgestone</v>
      </c>
      <c r="R8643" s="93" t="str">
        <f>VLOOKUP(E8643,DATABASE!C:Q,11,false)</f>
        <v>Tire</v>
      </c>
    </row>
    <row r="8644" ht="22.5" customHeight="1">
      <c r="A8644" s="49"/>
      <c r="C8644" s="400">
        <v>46161.0</v>
      </c>
      <c r="D8644" s="524">
        <v>1424.0</v>
      </c>
      <c r="E8644" s="544" t="s">
        <v>605</v>
      </c>
      <c r="F8644" s="387">
        <v>2.0</v>
      </c>
      <c r="G8644" s="140">
        <v>765000.0</v>
      </c>
      <c r="H8644" s="140">
        <v>5000.0</v>
      </c>
      <c r="I8644" s="74">
        <f t="shared" si="1"/>
        <v>1520000</v>
      </c>
      <c r="J8644" s="74">
        <f>IF(E8644="SERVICE",I8644-(I8644*50%),Vlookup(E8644,DATABASE!C:Q,10,false)*F8644)</f>
        <v>0</v>
      </c>
      <c r="K8644" s="74">
        <f>VLOOKUP(E8644,DATABASE!C:Q,7,false)</f>
        <v>675000</v>
      </c>
      <c r="L8644" s="74">
        <v>675000.0</v>
      </c>
      <c r="M8644" s="74">
        <f t="shared" si="6"/>
        <v>675000</v>
      </c>
      <c r="N8644" s="74">
        <f t="shared" si="3"/>
        <v>170000</v>
      </c>
      <c r="O8644" s="65" t="str">
        <f>VLOOKUP(E8644,DATABASE!C:Q,8,false)</f>
        <v>IBU</v>
      </c>
      <c r="P8644" s="65">
        <f>VLOOKUP(E8644,DATABASE!C:Q,9,False)</f>
        <v>1</v>
      </c>
      <c r="Q8644" s="93" t="str">
        <f>VLOOKUP(E8644,DATABASE!C:Q,4,false)</f>
        <v>Bridgestone</v>
      </c>
      <c r="R8644" s="93" t="str">
        <f>VLOOKUP(E8644,DATABASE!C:Q,11,false)</f>
        <v>Tire</v>
      </c>
    </row>
    <row r="8645" ht="22.5" customHeight="1">
      <c r="A8645" s="49"/>
      <c r="C8645" s="400">
        <v>46161.0</v>
      </c>
      <c r="D8645" s="524">
        <v>1425.0</v>
      </c>
      <c r="E8645" s="544" t="s">
        <v>251</v>
      </c>
      <c r="F8645" s="387">
        <v>1.0</v>
      </c>
      <c r="G8645" s="140">
        <v>350000.0</v>
      </c>
      <c r="H8645" s="140">
        <v>200000.0</v>
      </c>
      <c r="I8645" s="74">
        <f t="shared" si="1"/>
        <v>150000</v>
      </c>
      <c r="J8645" s="74">
        <f>IF(E8645="SERVICE",I8645-(I8645*50%),Vlookup(E8645,DATABASE!C:Q,10,false)*F8645)</f>
        <v>75000</v>
      </c>
      <c r="K8645" s="74">
        <f>VLOOKUP(E8645,DATABASE!C:Q,7,false)</f>
        <v>0</v>
      </c>
      <c r="L8645" s="74">
        <v>0.0</v>
      </c>
      <c r="M8645" s="74">
        <f t="shared" si="6"/>
        <v>0</v>
      </c>
      <c r="N8645" s="74">
        <f t="shared" si="3"/>
        <v>75000</v>
      </c>
      <c r="O8645" s="65" t="str">
        <f>VLOOKUP(E8645,DATABASE!C:Q,8,false)</f>
        <v>IBU</v>
      </c>
      <c r="P8645" s="65">
        <f>VLOOKUP(E8645,DATABASE!C:Q,9,False)</f>
        <v>0</v>
      </c>
      <c r="Q8645" s="93" t="str">
        <f>VLOOKUP(E8645,DATABASE!C:Q,4,false)</f>
        <v>SERVICE</v>
      </c>
      <c r="R8645" s="93" t="str">
        <f>VLOOKUP(E8645,DATABASE!C:Q,11,false)</f>
        <v>SERVICE</v>
      </c>
    </row>
    <row r="8646" ht="22.5" customHeight="1">
      <c r="A8646" s="49"/>
      <c r="C8646" s="400">
        <v>46161.0</v>
      </c>
      <c r="D8646" s="524">
        <v>1426.0</v>
      </c>
      <c r="E8646" s="544" t="s">
        <v>868</v>
      </c>
      <c r="F8646" s="387">
        <v>3.0</v>
      </c>
      <c r="G8646" s="140">
        <v>950000.0</v>
      </c>
      <c r="H8646" s="140">
        <v>10000.0</v>
      </c>
      <c r="I8646" s="74">
        <f t="shared" si="1"/>
        <v>2820000</v>
      </c>
      <c r="J8646" s="74">
        <f>IF(E8646="SERVICE",I8646-(I8646*50%),Vlookup(E8646,DATABASE!C:Q,10,false)*F8646)</f>
        <v>0</v>
      </c>
      <c r="K8646" s="74">
        <f>VLOOKUP(E8646,DATABASE!C:Q,7,false)</f>
        <v>861200</v>
      </c>
      <c r="L8646" s="74">
        <v>836000.0</v>
      </c>
      <c r="M8646" s="74">
        <f t="shared" si="6"/>
        <v>840000</v>
      </c>
      <c r="N8646" s="74">
        <f t="shared" si="3"/>
        <v>300000</v>
      </c>
      <c r="O8646" s="65" t="str">
        <f>VLOOKUP(E8646,DATABASE!C:Q,8,false)</f>
        <v>BIAN</v>
      </c>
      <c r="P8646" s="65">
        <f>VLOOKUP(E8646,DATABASE!C:Q,9,False)</f>
        <v>1</v>
      </c>
      <c r="Q8646" s="93" t="str">
        <f>VLOOKUP(E8646,DATABASE!C:Q,4,false)</f>
        <v>GT</v>
      </c>
      <c r="R8646" s="93" t="str">
        <f>VLOOKUP(E8646,DATABASE!C:Q,11,false)</f>
        <v>Tire</v>
      </c>
    </row>
    <row r="8647" ht="22.5" customHeight="1">
      <c r="A8647" s="49"/>
      <c r="C8647" s="400">
        <v>46161.0</v>
      </c>
      <c r="D8647" s="524">
        <v>1426.0</v>
      </c>
      <c r="E8647" s="544" t="s">
        <v>299</v>
      </c>
      <c r="F8647" s="387">
        <v>2.0</v>
      </c>
      <c r="G8647" s="140">
        <v>30000.0</v>
      </c>
      <c r="H8647" s="74"/>
      <c r="I8647" s="74">
        <f t="shared" si="1"/>
        <v>60000</v>
      </c>
      <c r="J8647" s="74">
        <f>IF(E8647="SERVICE",I8647-(I8647*50%),Vlookup(E8647,DATABASE!C:Q,10,false)*F8647)</f>
        <v>0</v>
      </c>
      <c r="K8647" s="74">
        <f>VLOOKUP(E8647,DATABASE!C:Q,7,false)</f>
        <v>10000</v>
      </c>
      <c r="L8647" s="74">
        <v>10000.0</v>
      </c>
      <c r="M8647" s="74">
        <f t="shared" si="6"/>
        <v>10000</v>
      </c>
      <c r="N8647" s="74">
        <f t="shared" si="3"/>
        <v>40000</v>
      </c>
      <c r="O8647" s="65" t="str">
        <f>VLOOKUP(E8647,DATABASE!C:Q,8,false)</f>
        <v>BIAN</v>
      </c>
      <c r="P8647" s="65">
        <f>VLOOKUP(E8647,DATABASE!C:Q,9,False)</f>
        <v>0</v>
      </c>
      <c r="Q8647" s="93" t="str">
        <f>VLOOKUP(E8647,DATABASE!C:Q,4,false)</f>
        <v>Balancing</v>
      </c>
      <c r="R8647" s="93" t="str">
        <f>VLOOKUP(E8647,DATABASE!C:Q,11,false)</f>
        <v>COMPLEMENTARY</v>
      </c>
    </row>
    <row r="8648" ht="22.5" customHeight="1">
      <c r="A8648" s="49"/>
      <c r="C8648" s="400">
        <v>46161.0</v>
      </c>
      <c r="D8648" s="524">
        <v>1426.0</v>
      </c>
      <c r="E8648" s="544" t="s">
        <v>256</v>
      </c>
      <c r="F8648" s="387">
        <v>1.0</v>
      </c>
      <c r="G8648" s="140">
        <v>175000.0</v>
      </c>
      <c r="H8648" s="140">
        <v>25000.0</v>
      </c>
      <c r="I8648" s="74">
        <f t="shared" si="1"/>
        <v>150000</v>
      </c>
      <c r="J8648" s="74">
        <f>IF(E8648="SERVICE",I8648-(I8648*50%),Vlookup(E8648,DATABASE!C:Q,10,false)*F8648)</f>
        <v>10000</v>
      </c>
      <c r="K8648" s="74">
        <f>VLOOKUP(E8648,DATABASE!C:Q,7,false)</f>
        <v>0</v>
      </c>
      <c r="L8648" s="74">
        <v>0.0</v>
      </c>
      <c r="M8648" s="74">
        <f t="shared" si="6"/>
        <v>0</v>
      </c>
      <c r="N8648" s="74">
        <f t="shared" si="3"/>
        <v>140000</v>
      </c>
      <c r="O8648" s="65" t="str">
        <f>VLOOKUP(E8648,DATABASE!C:Q,8,false)</f>
        <v>IBU</v>
      </c>
      <c r="P8648" s="65">
        <f>VLOOKUP(E8648,DATABASE!C:Q,9,False)</f>
        <v>0</v>
      </c>
      <c r="Q8648" s="93" t="str">
        <f>VLOOKUP(E8648,DATABASE!C:Q,4,false)</f>
        <v>SPOORING</v>
      </c>
      <c r="R8648" s="93" t="str">
        <f>VLOOKUP(E8648,DATABASE!C:Q,11,false)</f>
        <v>SERVICE</v>
      </c>
    </row>
    <row r="8649" ht="22.5" customHeight="1">
      <c r="A8649" s="49"/>
      <c r="C8649" s="400">
        <v>46161.0</v>
      </c>
      <c r="D8649" s="524">
        <v>1426.0</v>
      </c>
      <c r="E8649" s="544" t="s">
        <v>301</v>
      </c>
      <c r="F8649" s="387">
        <v>1.0</v>
      </c>
      <c r="G8649" s="140">
        <v>250000.0</v>
      </c>
      <c r="H8649" s="74"/>
      <c r="I8649" s="74">
        <f t="shared" si="1"/>
        <v>250000</v>
      </c>
      <c r="J8649" s="74">
        <f>IF(E8649="SERVICE",I8649-(I8649*50%),Vlookup(E8649,DATABASE!C:Q,10,false)*F8649)</f>
        <v>75000</v>
      </c>
      <c r="K8649" s="74">
        <f>VLOOKUP(E8649,DATABASE!C:Q,7,false)</f>
        <v>75000</v>
      </c>
      <c r="L8649" s="74">
        <v>75000.0</v>
      </c>
      <c r="M8649" s="74">
        <f t="shared" si="6"/>
        <v>75000</v>
      </c>
      <c r="N8649" s="74">
        <f t="shared" si="3"/>
        <v>100000</v>
      </c>
      <c r="O8649" s="65" t="str">
        <f>VLOOKUP(E8649,DATABASE!C:Q,8,false)</f>
        <v>BIAN</v>
      </c>
      <c r="P8649" s="65">
        <f>VLOOKUP(E8649,DATABASE!C:Q,9,False)</f>
        <v>0</v>
      </c>
      <c r="Q8649" s="93" t="str">
        <f>VLOOKUP(E8649,DATABASE!C:Q,4,false)</f>
        <v>Baut Camber</v>
      </c>
      <c r="R8649" s="93" t="str">
        <f>VLOOKUP(E8649,DATABASE!C:Q,11,false)</f>
        <v>COMPLEMENTARY</v>
      </c>
    </row>
    <row r="8650" ht="22.5" customHeight="1">
      <c r="A8650" s="49"/>
      <c r="C8650" s="400">
        <v>46161.0</v>
      </c>
      <c r="D8650" s="524">
        <v>1427.0</v>
      </c>
      <c r="E8650" s="544" t="s">
        <v>290</v>
      </c>
      <c r="F8650" s="387">
        <v>1.0</v>
      </c>
      <c r="G8650" s="140">
        <v>720000.0</v>
      </c>
      <c r="H8650" s="74"/>
      <c r="I8650" s="74">
        <f t="shared" si="1"/>
        <v>720000</v>
      </c>
      <c r="J8650" s="74">
        <f>IF(E8650="SERVICE",I8650-(I8650*50%),Vlookup(E8650,DATABASE!C:Q,10,false)*F8650)</f>
        <v>0</v>
      </c>
      <c r="K8650" s="74">
        <f>VLOOKUP(E8650,DATABASE!C:Q,7,false)</f>
        <v>628100</v>
      </c>
      <c r="L8650" s="74">
        <v>628100.0</v>
      </c>
      <c r="M8650" s="74">
        <f t="shared" si="6"/>
        <v>630000</v>
      </c>
      <c r="N8650" s="74">
        <f t="shared" si="3"/>
        <v>90000</v>
      </c>
      <c r="O8650" s="65" t="str">
        <f>VLOOKUP(E8650,DATABASE!C:Q,8,false)</f>
        <v>BIAN</v>
      </c>
      <c r="P8650" s="65">
        <f>VLOOKUP(E8650,DATABASE!C:Q,9,False)</f>
        <v>1</v>
      </c>
      <c r="Q8650" s="93" t="str">
        <f>VLOOKUP(E8650,DATABASE!C:Q,4,false)</f>
        <v>GT</v>
      </c>
      <c r="R8650" s="93" t="str">
        <f>VLOOKUP(E8650,DATABASE!C:Q,11,false)</f>
        <v>Tire</v>
      </c>
    </row>
    <row r="8651" ht="22.5" customHeight="1">
      <c r="A8651" s="49"/>
      <c r="C8651" s="400">
        <v>46161.0</v>
      </c>
      <c r="D8651" s="524">
        <v>1427.0</v>
      </c>
      <c r="E8651" s="544" t="s">
        <v>604</v>
      </c>
      <c r="F8651" s="387">
        <v>1.0</v>
      </c>
      <c r="G8651" s="140">
        <v>170000.0</v>
      </c>
      <c r="H8651" s="140">
        <v>10000.0</v>
      </c>
      <c r="I8651" s="74">
        <f t="shared" si="1"/>
        <v>160000</v>
      </c>
      <c r="J8651" s="74">
        <f>IF(E8651="SERVICE",I8651-(I8651*50%),Vlookup(E8651,DATABASE!C:Q,10,false)*F8651)</f>
        <v>0</v>
      </c>
      <c r="K8651" s="74">
        <f>VLOOKUP(E8651,DATABASE!C:Q,7,false)</f>
        <v>124000</v>
      </c>
      <c r="L8651" s="74">
        <v>124000.0</v>
      </c>
      <c r="M8651" s="74">
        <f t="shared" si="6"/>
        <v>125000</v>
      </c>
      <c r="N8651" s="74">
        <f t="shared" si="3"/>
        <v>35000</v>
      </c>
      <c r="O8651" s="65" t="str">
        <f>VLOOKUP(E8651,DATABASE!C:Q,8,false)</f>
        <v>BIAN</v>
      </c>
      <c r="P8651" s="65">
        <f>VLOOKUP(E8651,DATABASE!C:Q,9,False)</f>
        <v>1</v>
      </c>
      <c r="Q8651" s="93" t="str">
        <f>VLOOKUP(E8651,DATABASE!C:Q,4,false)</f>
        <v>BD</v>
      </c>
      <c r="R8651" s="93" t="str">
        <f>VLOOKUP(E8651,DATABASE!C:Q,11,false)</f>
        <v>Tire</v>
      </c>
    </row>
    <row r="8652" ht="22.5" customHeight="1">
      <c r="A8652" s="49"/>
      <c r="C8652" s="400">
        <v>46161.0</v>
      </c>
      <c r="D8652" s="524">
        <v>1428.0</v>
      </c>
      <c r="E8652" s="544" t="s">
        <v>955</v>
      </c>
      <c r="F8652" s="387">
        <v>2.0</v>
      </c>
      <c r="G8652" s="140">
        <v>770000.0</v>
      </c>
      <c r="H8652" s="140">
        <v>20000.0</v>
      </c>
      <c r="I8652" s="74">
        <f t="shared" si="1"/>
        <v>1500000</v>
      </c>
      <c r="J8652" s="74">
        <f>IF(E8652="SERVICE",I8652-(I8652*50%),Vlookup(E8652,DATABASE!C:Q,10,false)*F8652)</f>
        <v>0</v>
      </c>
      <c r="K8652" s="74">
        <f>VLOOKUP(E8652,DATABASE!C:Q,7,false)</f>
        <v>712000</v>
      </c>
      <c r="L8652" s="74">
        <v>660000.0</v>
      </c>
      <c r="M8652" s="74">
        <f t="shared" si="6"/>
        <v>660000</v>
      </c>
      <c r="N8652" s="74">
        <f t="shared" si="3"/>
        <v>180000</v>
      </c>
      <c r="O8652" s="65" t="str">
        <f>VLOOKUP(E8652,DATABASE!C:Q,8,false)</f>
        <v>IBU</v>
      </c>
      <c r="P8652" s="65">
        <f>VLOOKUP(E8652,DATABASE!C:Q,9,False)</f>
        <v>1</v>
      </c>
      <c r="Q8652" s="93" t="str">
        <f>VLOOKUP(E8652,DATABASE!C:Q,4,false)</f>
        <v>Dunlop</v>
      </c>
      <c r="R8652" s="93" t="str">
        <f>VLOOKUP(E8652,DATABASE!C:Q,11,false)</f>
        <v>Tire</v>
      </c>
    </row>
    <row r="8653" ht="22.5" customHeight="1">
      <c r="A8653" s="49"/>
      <c r="C8653" s="400">
        <v>46161.0</v>
      </c>
      <c r="D8653" s="524">
        <v>1428.0</v>
      </c>
      <c r="E8653" s="544" t="s">
        <v>256</v>
      </c>
      <c r="F8653" s="387">
        <v>1.0</v>
      </c>
      <c r="G8653" s="140">
        <v>175000.0</v>
      </c>
      <c r="H8653" s="140">
        <v>25000.0</v>
      </c>
      <c r="I8653" s="74">
        <f t="shared" si="1"/>
        <v>150000</v>
      </c>
      <c r="J8653" s="74">
        <f>IF(E8653="SERVICE",I8653-(I8653*50%),Vlookup(E8653,DATABASE!C:Q,10,false)*F8653)</f>
        <v>10000</v>
      </c>
      <c r="K8653" s="74">
        <f>VLOOKUP(E8653,DATABASE!C:Q,7,false)</f>
        <v>0</v>
      </c>
      <c r="L8653" s="74">
        <v>0.0</v>
      </c>
      <c r="M8653" s="74">
        <f t="shared" si="6"/>
        <v>0</v>
      </c>
      <c r="N8653" s="74">
        <f t="shared" si="3"/>
        <v>140000</v>
      </c>
      <c r="O8653" s="65" t="str">
        <f>VLOOKUP(E8653,DATABASE!C:Q,8,false)</f>
        <v>IBU</v>
      </c>
      <c r="P8653" s="65">
        <f>VLOOKUP(E8653,DATABASE!C:Q,9,False)</f>
        <v>0</v>
      </c>
      <c r="Q8653" s="93" t="str">
        <f>VLOOKUP(E8653,DATABASE!C:Q,4,false)</f>
        <v>SPOORING</v>
      </c>
      <c r="R8653" s="93" t="str">
        <f>VLOOKUP(E8653,DATABASE!C:Q,11,false)</f>
        <v>SERVICE</v>
      </c>
    </row>
    <row r="8654" ht="22.5" customHeight="1">
      <c r="A8654" s="49"/>
      <c r="C8654" s="400">
        <v>46161.0</v>
      </c>
      <c r="D8654" s="524">
        <v>1428.0</v>
      </c>
      <c r="E8654" s="544" t="s">
        <v>301</v>
      </c>
      <c r="F8654" s="387">
        <v>1.0</v>
      </c>
      <c r="G8654" s="140">
        <v>250000.0</v>
      </c>
      <c r="H8654" s="74"/>
      <c r="I8654" s="74">
        <f t="shared" si="1"/>
        <v>250000</v>
      </c>
      <c r="J8654" s="74">
        <f>IF(E8654="SERVICE",I8654-(I8654*50%),Vlookup(E8654,DATABASE!C:Q,10,false)*F8654)</f>
        <v>75000</v>
      </c>
      <c r="K8654" s="74">
        <f>VLOOKUP(E8654,DATABASE!C:Q,7,false)</f>
        <v>75000</v>
      </c>
      <c r="L8654" s="74">
        <v>75000.0</v>
      </c>
      <c r="M8654" s="74">
        <f t="shared" si="6"/>
        <v>75000</v>
      </c>
      <c r="N8654" s="74">
        <f t="shared" si="3"/>
        <v>100000</v>
      </c>
      <c r="O8654" s="65" t="str">
        <f>VLOOKUP(E8654,DATABASE!C:Q,8,false)</f>
        <v>BIAN</v>
      </c>
      <c r="P8654" s="65">
        <f>VLOOKUP(E8654,DATABASE!C:Q,9,False)</f>
        <v>0</v>
      </c>
      <c r="Q8654" s="93" t="str">
        <f>VLOOKUP(E8654,DATABASE!C:Q,4,false)</f>
        <v>Baut Camber</v>
      </c>
      <c r="R8654" s="93" t="str">
        <f>VLOOKUP(E8654,DATABASE!C:Q,11,false)</f>
        <v>COMPLEMENTARY</v>
      </c>
    </row>
    <row r="8655" ht="22.5" customHeight="1">
      <c r="A8655" s="49"/>
      <c r="C8655" s="400">
        <v>46162.0</v>
      </c>
      <c r="D8655" s="524">
        <v>1429.0</v>
      </c>
      <c r="E8655" s="544" t="s">
        <v>268</v>
      </c>
      <c r="F8655" s="387">
        <v>2.0</v>
      </c>
      <c r="G8655" s="140">
        <v>720000.0</v>
      </c>
      <c r="H8655" s="140">
        <v>5000.0</v>
      </c>
      <c r="I8655" s="74">
        <f t="shared" si="1"/>
        <v>1430000</v>
      </c>
      <c r="J8655" s="74">
        <f>IF(E8655="SERVICE",I8655-(I8655*50%),Vlookup(E8655,DATABASE!C:Q,10,false)*F8655)</f>
        <v>0</v>
      </c>
      <c r="K8655" s="74">
        <f>VLOOKUP(E8655,DATABASE!C:Q,7,false)</f>
        <v>653000</v>
      </c>
      <c r="L8655" s="74">
        <v>634500.0</v>
      </c>
      <c r="M8655" s="74">
        <f t="shared" si="6"/>
        <v>635000</v>
      </c>
      <c r="N8655" s="74">
        <f t="shared" si="3"/>
        <v>160000</v>
      </c>
      <c r="O8655" s="65" t="str">
        <f>VLOOKUP(E8655,DATABASE!C:Q,8,false)</f>
        <v>IBU</v>
      </c>
      <c r="P8655" s="65">
        <f>VLOOKUP(E8655,DATABASE!C:Q,9,False)</f>
        <v>1</v>
      </c>
      <c r="Q8655" s="93" t="str">
        <f>VLOOKUP(E8655,DATABASE!C:Q,4,false)</f>
        <v>Dunlop</v>
      </c>
      <c r="R8655" s="93" t="str">
        <f>VLOOKUP(E8655,DATABASE!C:Q,11,false)</f>
        <v>Tire</v>
      </c>
    </row>
    <row r="8656" ht="22.5" customHeight="1">
      <c r="A8656" s="49"/>
      <c r="C8656" s="400">
        <v>46162.0</v>
      </c>
      <c r="D8656" s="524">
        <v>1430.0</v>
      </c>
      <c r="E8656" s="544" t="s">
        <v>1858</v>
      </c>
      <c r="F8656" s="387">
        <v>1.0</v>
      </c>
      <c r="G8656" s="140">
        <v>2130000.0</v>
      </c>
      <c r="H8656" s="74"/>
      <c r="I8656" s="74">
        <f t="shared" si="1"/>
        <v>2130000</v>
      </c>
      <c r="J8656" s="74">
        <f>IF(E8656="SERVICE",I8656-(I8656*50%),Vlookup(E8656,DATABASE!C:Q,10,false)*F8656)</f>
        <v>0</v>
      </c>
      <c r="K8656" s="74">
        <f>VLOOKUP(E8656,DATABASE!C:Q,7,false)</f>
        <v>2030000</v>
      </c>
      <c r="L8656" s="74">
        <v>2030000.0</v>
      </c>
      <c r="M8656" s="74">
        <f t="shared" si="6"/>
        <v>2030000</v>
      </c>
      <c r="N8656" s="74">
        <f t="shared" si="3"/>
        <v>100000</v>
      </c>
      <c r="O8656" s="65" t="str">
        <f>VLOOKUP(E8656,DATABASE!C:Q,8,false)</f>
        <v>BIAN</v>
      </c>
      <c r="P8656" s="65">
        <f>VLOOKUP(E8656,DATABASE!C:Q,9,False)</f>
        <v>1</v>
      </c>
      <c r="Q8656" s="93" t="str">
        <f>VLOOKUP(E8656,DATABASE!C:Q,4,false)</f>
        <v>GiTi</v>
      </c>
      <c r="R8656" s="93" t="str">
        <f>VLOOKUP(E8656,DATABASE!C:Q,11,false)</f>
        <v>Tire</v>
      </c>
    </row>
    <row r="8657" ht="22.5" customHeight="1">
      <c r="A8657" s="49"/>
      <c r="C8657" s="400">
        <v>46162.0</v>
      </c>
      <c r="D8657" s="524">
        <v>1432.0</v>
      </c>
      <c r="E8657" s="544" t="s">
        <v>955</v>
      </c>
      <c r="F8657" s="387">
        <v>1.0</v>
      </c>
      <c r="G8657" s="140">
        <v>770000.0</v>
      </c>
      <c r="H8657" s="140">
        <v>10000.0</v>
      </c>
      <c r="I8657" s="74">
        <f t="shared" si="1"/>
        <v>760000</v>
      </c>
      <c r="J8657" s="74">
        <f>IF(E8657="SERVICE",I8657-(I8657*50%),Vlookup(E8657,DATABASE!C:Q,10,false)*F8657)</f>
        <v>0</v>
      </c>
      <c r="K8657" s="74">
        <f>VLOOKUP(E8657,DATABASE!C:Q,7,false)</f>
        <v>712000</v>
      </c>
      <c r="L8657" s="74">
        <v>660000.0</v>
      </c>
      <c r="M8657" s="74">
        <f t="shared" si="6"/>
        <v>660000</v>
      </c>
      <c r="N8657" s="74">
        <f t="shared" si="3"/>
        <v>100000</v>
      </c>
      <c r="O8657" s="65" t="str">
        <f>VLOOKUP(E8657,DATABASE!C:Q,8,false)</f>
        <v>IBU</v>
      </c>
      <c r="P8657" s="65">
        <f>VLOOKUP(E8657,DATABASE!C:Q,9,False)</f>
        <v>1</v>
      </c>
      <c r="Q8657" s="93" t="str">
        <f>VLOOKUP(E8657,DATABASE!C:Q,4,false)</f>
        <v>Dunlop</v>
      </c>
      <c r="R8657" s="93" t="str">
        <f>VLOOKUP(E8657,DATABASE!C:Q,11,false)</f>
        <v>Tire</v>
      </c>
    </row>
    <row r="8658" ht="22.5" customHeight="1">
      <c r="A8658" s="49"/>
      <c r="C8658" s="400">
        <v>46162.0</v>
      </c>
      <c r="D8658" s="524">
        <v>1433.0</v>
      </c>
      <c r="E8658" s="544" t="s">
        <v>262</v>
      </c>
      <c r="F8658" s="387">
        <v>1.0</v>
      </c>
      <c r="G8658" s="140">
        <v>130000.0</v>
      </c>
      <c r="H8658" s="74"/>
      <c r="I8658" s="74">
        <f t="shared" si="1"/>
        <v>130000</v>
      </c>
      <c r="J8658" s="74">
        <f>IF(E8658="SERVICE",I8658-(I8658*50%),Vlookup(E8658,DATABASE!C:Q,10,false)*F8658)</f>
        <v>5000</v>
      </c>
      <c r="K8658" s="74">
        <f>VLOOKUP(E8658,DATABASE!C:Q,7,false)</f>
        <v>0</v>
      </c>
      <c r="L8658" s="74">
        <v>0.0</v>
      </c>
      <c r="M8658" s="74">
        <f t="shared" si="6"/>
        <v>0</v>
      </c>
      <c r="N8658" s="74">
        <f t="shared" si="3"/>
        <v>125000</v>
      </c>
      <c r="O8658" s="65" t="str">
        <f>VLOOKUP(E8658,DATABASE!C:Q,8,false)</f>
        <v>IBU</v>
      </c>
      <c r="P8658" s="65">
        <f>VLOOKUP(E8658,DATABASE!C:Q,9,False)</f>
        <v>0</v>
      </c>
      <c r="Q8658" s="93" t="str">
        <f>VLOOKUP(E8658,DATABASE!C:Q,4,false)</f>
        <v>SPOORING SS/CARRY LOS BAK</v>
      </c>
      <c r="R8658" s="93" t="str">
        <f>VLOOKUP(E8658,DATABASE!C:Q,11,false)</f>
        <v>SERVICE</v>
      </c>
    </row>
    <row r="8659" ht="22.5" customHeight="1">
      <c r="A8659" s="49"/>
      <c r="C8659" s="400">
        <v>46162.0</v>
      </c>
      <c r="D8659" s="524">
        <v>1433.0</v>
      </c>
      <c r="E8659" s="544" t="s">
        <v>301</v>
      </c>
      <c r="F8659" s="387">
        <v>1.0</v>
      </c>
      <c r="G8659" s="140">
        <v>250000.0</v>
      </c>
      <c r="H8659" s="74"/>
      <c r="I8659" s="74">
        <f t="shared" si="1"/>
        <v>250000</v>
      </c>
      <c r="J8659" s="74">
        <f>IF(E8659="SERVICE",I8659-(I8659*50%),Vlookup(E8659,DATABASE!C:Q,10,false)*F8659)</f>
        <v>75000</v>
      </c>
      <c r="K8659" s="74">
        <f>VLOOKUP(E8659,DATABASE!C:Q,7,false)</f>
        <v>75000</v>
      </c>
      <c r="L8659" s="74">
        <v>75000.0</v>
      </c>
      <c r="M8659" s="74">
        <f t="shared" si="6"/>
        <v>75000</v>
      </c>
      <c r="N8659" s="74">
        <f t="shared" si="3"/>
        <v>100000</v>
      </c>
      <c r="O8659" s="65" t="str">
        <f>VLOOKUP(E8659,DATABASE!C:Q,8,false)</f>
        <v>BIAN</v>
      </c>
      <c r="P8659" s="65">
        <f>VLOOKUP(E8659,DATABASE!C:Q,9,False)</f>
        <v>0</v>
      </c>
      <c r="Q8659" s="93" t="str">
        <f>VLOOKUP(E8659,DATABASE!C:Q,4,false)</f>
        <v>Baut Camber</v>
      </c>
      <c r="R8659" s="93" t="str">
        <f>VLOOKUP(E8659,DATABASE!C:Q,11,false)</f>
        <v>COMPLEMENTARY</v>
      </c>
    </row>
    <row r="8660" ht="22.5" customHeight="1">
      <c r="A8660" s="49"/>
      <c r="C8660" s="400">
        <v>46162.0</v>
      </c>
      <c r="D8660" s="524">
        <v>1434.0</v>
      </c>
      <c r="E8660" s="544" t="s">
        <v>781</v>
      </c>
      <c r="F8660" s="387">
        <v>2.0</v>
      </c>
      <c r="G8660" s="140">
        <v>550000.0</v>
      </c>
      <c r="H8660" s="74"/>
      <c r="I8660" s="74">
        <f t="shared" si="1"/>
        <v>1100000</v>
      </c>
      <c r="J8660" s="74">
        <f>IF(E8660="SERVICE",I8660-(I8660*50%),Vlookup(E8660,DATABASE!C:Q,10,false)*F8660)</f>
        <v>0</v>
      </c>
      <c r="K8660" s="74">
        <f>VLOOKUP(E8660,DATABASE!C:Q,7,false)</f>
        <v>470000</v>
      </c>
      <c r="L8660" s="74">
        <v>460000.0</v>
      </c>
      <c r="M8660" s="74">
        <f t="shared" si="6"/>
        <v>460000</v>
      </c>
      <c r="N8660" s="74">
        <f t="shared" si="3"/>
        <v>180000</v>
      </c>
      <c r="O8660" s="65" t="str">
        <f>VLOOKUP(E8660,DATABASE!C:Q,8,false)</f>
        <v>BIAN</v>
      </c>
      <c r="P8660" s="65">
        <f>VLOOKUP(E8660,DATABASE!C:Q,9,False)</f>
        <v>1</v>
      </c>
      <c r="Q8660" s="93" t="str">
        <f>VLOOKUP(E8660,DATABASE!C:Q,4,false)</f>
        <v>GT</v>
      </c>
      <c r="R8660" s="93" t="str">
        <f>VLOOKUP(E8660,DATABASE!C:Q,11,false)</f>
        <v>Tire</v>
      </c>
    </row>
    <row r="8661" ht="22.5" customHeight="1">
      <c r="A8661" s="49"/>
      <c r="C8661" s="400">
        <v>46162.0</v>
      </c>
      <c r="D8661" s="524">
        <v>1435.0</v>
      </c>
      <c r="E8661" s="544" t="s">
        <v>250</v>
      </c>
      <c r="F8661" s="387">
        <v>1.0</v>
      </c>
      <c r="G8661" s="140">
        <v>135000.0</v>
      </c>
      <c r="H8661" s="74"/>
      <c r="I8661" s="74">
        <f t="shared" si="1"/>
        <v>135000</v>
      </c>
      <c r="J8661" s="74">
        <f>IF(E8661="SERVICE",I8661-(I8661*50%),Vlookup(E8661,DATABASE!C:Q,10,false)*F8661)</f>
        <v>0</v>
      </c>
      <c r="K8661" s="74">
        <f>VLOOKUP(E8661,DATABASE!C:Q,7,false)</f>
        <v>102000</v>
      </c>
      <c r="L8661" s="74">
        <v>102000.0</v>
      </c>
      <c r="M8661" s="74">
        <f t="shared" si="6"/>
        <v>105000</v>
      </c>
      <c r="N8661" s="74">
        <f t="shared" si="3"/>
        <v>30000</v>
      </c>
      <c r="O8661" s="65" t="str">
        <f>VLOOKUP(E8661,DATABASE!C:Q,8,false)</f>
        <v>BIAN</v>
      </c>
      <c r="P8661" s="65">
        <f>VLOOKUP(E8661,DATABASE!C:Q,9,False)</f>
        <v>1</v>
      </c>
      <c r="Q8661" s="93" t="str">
        <f>VLOOKUP(E8661,DATABASE!C:Q,4,false)</f>
        <v>BD</v>
      </c>
      <c r="R8661" s="93" t="str">
        <f>VLOOKUP(E8661,DATABASE!C:Q,11,false)</f>
        <v>Tire</v>
      </c>
    </row>
    <row r="8662" ht="22.5" customHeight="1">
      <c r="A8662" s="49"/>
      <c r="C8662" s="400">
        <v>46162.0</v>
      </c>
      <c r="D8662" s="524">
        <v>1436.0</v>
      </c>
      <c r="E8662" s="544" t="s">
        <v>1400</v>
      </c>
      <c r="F8662" s="387">
        <v>5.0</v>
      </c>
      <c r="G8662" s="140">
        <v>565000.0</v>
      </c>
      <c r="H8662" s="140">
        <v>15000.0</v>
      </c>
      <c r="I8662" s="74">
        <f t="shared" si="1"/>
        <v>2750000</v>
      </c>
      <c r="J8662" s="74">
        <f>IF(E8662="SERVICE",I8662-(I8662*50%),Vlookup(E8662,DATABASE!C:Q,10,false)*F8662)</f>
        <v>0</v>
      </c>
      <c r="K8662" s="74">
        <f>VLOOKUP(E8662,DATABASE!C:Q,7,false)</f>
        <v>465000</v>
      </c>
      <c r="L8662" s="74">
        <v>465000.0</v>
      </c>
      <c r="M8662" s="74">
        <f t="shared" si="6"/>
        <v>465000</v>
      </c>
      <c r="N8662" s="74">
        <f t="shared" si="3"/>
        <v>425000</v>
      </c>
      <c r="O8662" s="65" t="str">
        <f>VLOOKUP(E8662,DATABASE!C:Q,8,false)</f>
        <v>IBU</v>
      </c>
      <c r="P8662" s="65">
        <f>VLOOKUP(E8662,DATABASE!C:Q,9,False)</f>
        <v>1</v>
      </c>
      <c r="Q8662" s="93" t="str">
        <f>VLOOKUP(E8662,DATABASE!C:Q,4,false)</f>
        <v>Dunlop</v>
      </c>
      <c r="R8662" s="93" t="str">
        <f>VLOOKUP(E8662,DATABASE!C:Q,11,false)</f>
        <v>Tire</v>
      </c>
    </row>
    <row r="8663" ht="22.5" customHeight="1">
      <c r="A8663" s="49"/>
      <c r="C8663" s="400">
        <v>46162.0</v>
      </c>
      <c r="D8663" s="524">
        <v>1436.0</v>
      </c>
      <c r="E8663" s="544" t="s">
        <v>695</v>
      </c>
      <c r="F8663" s="387">
        <v>2.0</v>
      </c>
      <c r="G8663" s="140">
        <v>675000.0</v>
      </c>
      <c r="H8663" s="140">
        <v>20000.0</v>
      </c>
      <c r="I8663" s="74">
        <f t="shared" si="1"/>
        <v>1310000</v>
      </c>
      <c r="J8663" s="74">
        <f>IF(E8663="SERVICE",I8663-(I8663*50%),Vlookup(E8663,DATABASE!C:Q,10,false)*F8663)</f>
        <v>0</v>
      </c>
      <c r="K8663" s="74">
        <f>VLOOKUP(E8663,DATABASE!C:Q,7,false)</f>
        <v>582000</v>
      </c>
      <c r="L8663" s="74">
        <v>582000.0</v>
      </c>
      <c r="M8663" s="74">
        <f t="shared" si="6"/>
        <v>585000</v>
      </c>
      <c r="N8663" s="74">
        <f t="shared" si="3"/>
        <v>140000</v>
      </c>
      <c r="O8663" s="65" t="str">
        <f>VLOOKUP(E8663,DATABASE!C:Q,8,false)</f>
        <v>IBU</v>
      </c>
      <c r="P8663" s="65">
        <f>VLOOKUP(E8663,DATABASE!C:Q,9,False)</f>
        <v>1</v>
      </c>
      <c r="Q8663" s="93" t="str">
        <f>VLOOKUP(E8663,DATABASE!C:Q,4,false)</f>
        <v>Dunlop</v>
      </c>
      <c r="R8663" s="93" t="str">
        <f>VLOOKUP(E8663,DATABASE!C:Q,11,false)</f>
        <v>Tire</v>
      </c>
    </row>
    <row r="8664" ht="22.5" customHeight="1">
      <c r="A8664" s="49"/>
      <c r="C8664" s="400">
        <v>46162.0</v>
      </c>
      <c r="D8664" s="524">
        <v>1438.0</v>
      </c>
      <c r="E8664" s="544" t="s">
        <v>256</v>
      </c>
      <c r="F8664" s="387">
        <v>1.0</v>
      </c>
      <c r="G8664" s="140">
        <v>175000.0</v>
      </c>
      <c r="H8664" s="140">
        <v>25000.0</v>
      </c>
      <c r="I8664" s="74">
        <f t="shared" si="1"/>
        <v>150000</v>
      </c>
      <c r="J8664" s="74">
        <f>IF(E8664="SERVICE",I8664-(I8664*50%),Vlookup(E8664,DATABASE!C:Q,10,false)*F8664)</f>
        <v>10000</v>
      </c>
      <c r="K8664" s="74">
        <f>VLOOKUP(E8664,DATABASE!C:Q,7,false)</f>
        <v>0</v>
      </c>
      <c r="L8664" s="74">
        <v>0.0</v>
      </c>
      <c r="M8664" s="74">
        <f t="shared" si="6"/>
        <v>0</v>
      </c>
      <c r="N8664" s="74">
        <f t="shared" si="3"/>
        <v>140000</v>
      </c>
      <c r="O8664" s="65" t="str">
        <f>VLOOKUP(E8664,DATABASE!C:Q,8,false)</f>
        <v>IBU</v>
      </c>
      <c r="P8664" s="65">
        <f>VLOOKUP(E8664,DATABASE!C:Q,9,False)</f>
        <v>0</v>
      </c>
      <c r="Q8664" s="93" t="str">
        <f>VLOOKUP(E8664,DATABASE!C:Q,4,false)</f>
        <v>SPOORING</v>
      </c>
      <c r="R8664" s="93" t="str">
        <f>VLOOKUP(E8664,DATABASE!C:Q,11,false)</f>
        <v>SERVICE</v>
      </c>
    </row>
    <row r="8665" ht="22.5" customHeight="1">
      <c r="A8665" s="49"/>
      <c r="C8665" s="400">
        <v>46162.0</v>
      </c>
      <c r="D8665" s="524">
        <v>1438.0</v>
      </c>
      <c r="E8665" s="544" t="s">
        <v>301</v>
      </c>
      <c r="F8665" s="387">
        <v>1.0</v>
      </c>
      <c r="G8665" s="140">
        <v>250000.0</v>
      </c>
      <c r="H8665" s="74"/>
      <c r="I8665" s="74">
        <f t="shared" si="1"/>
        <v>250000</v>
      </c>
      <c r="J8665" s="74">
        <f>IF(E8665="SERVICE",I8665-(I8665*50%),Vlookup(E8665,DATABASE!C:Q,10,false)*F8665)</f>
        <v>75000</v>
      </c>
      <c r="K8665" s="74">
        <f>VLOOKUP(E8665,DATABASE!C:Q,7,false)</f>
        <v>75000</v>
      </c>
      <c r="L8665" s="74">
        <v>75000.0</v>
      </c>
      <c r="M8665" s="74">
        <f t="shared" si="6"/>
        <v>75000</v>
      </c>
      <c r="N8665" s="74">
        <f t="shared" si="3"/>
        <v>100000</v>
      </c>
      <c r="O8665" s="65" t="str">
        <f>VLOOKUP(E8665,DATABASE!C:Q,8,false)</f>
        <v>BIAN</v>
      </c>
      <c r="P8665" s="65">
        <f>VLOOKUP(E8665,DATABASE!C:Q,9,False)</f>
        <v>0</v>
      </c>
      <c r="Q8665" s="93" t="str">
        <f>VLOOKUP(E8665,DATABASE!C:Q,4,false)</f>
        <v>Baut Camber</v>
      </c>
      <c r="R8665" s="93" t="str">
        <f>VLOOKUP(E8665,DATABASE!C:Q,11,false)</f>
        <v>COMPLEMENTARY</v>
      </c>
    </row>
    <row r="8666" ht="22.5" customHeight="1">
      <c r="A8666" s="49"/>
      <c r="C8666" s="400">
        <v>46162.0</v>
      </c>
      <c r="D8666" s="69" t="s">
        <v>2815</v>
      </c>
      <c r="E8666" s="544" t="s">
        <v>2178</v>
      </c>
      <c r="F8666" s="387">
        <v>4.0</v>
      </c>
      <c r="G8666" s="140">
        <v>100000.0</v>
      </c>
      <c r="H8666" s="140">
        <v>15000.0</v>
      </c>
      <c r="I8666" s="74">
        <f t="shared" si="1"/>
        <v>340000</v>
      </c>
      <c r="J8666" s="74">
        <f>IF(E8666="SERVICE",I8666-(I8666*50%),Vlookup(E8666,DATABASE!C:Q,10,false)*F8666)</f>
        <v>0</v>
      </c>
      <c r="K8666" s="74">
        <f>VLOOKUP(E8666,DATABASE!C:Q,7,false)</f>
        <v>80931</v>
      </c>
      <c r="L8666" s="74">
        <v>71439.0</v>
      </c>
      <c r="M8666" s="74">
        <f t="shared" si="6"/>
        <v>75000</v>
      </c>
      <c r="N8666" s="74">
        <f t="shared" si="3"/>
        <v>40000</v>
      </c>
      <c r="O8666" s="65" t="str">
        <f>VLOOKUP(E8666,DATABASE!C:Q,8,false)</f>
        <v>NON</v>
      </c>
      <c r="P8666" s="65">
        <f>VLOOKUP(E8666,DATABASE!C:Q,9,False)</f>
        <v>0</v>
      </c>
      <c r="Q8666" s="93" t="str">
        <f>VLOOKUP(E8666,DATABASE!C:Q,4,false)</f>
        <v>Shell</v>
      </c>
      <c r="R8666" s="93" t="str">
        <f>VLOOKUP(E8666,DATABASE!C:Q,11,false)</f>
        <v>OIL</v>
      </c>
    </row>
    <row r="8667" ht="22.5" customHeight="1">
      <c r="A8667" s="49"/>
      <c r="C8667" s="400">
        <v>46163.0</v>
      </c>
      <c r="D8667" s="524">
        <v>1440.0</v>
      </c>
      <c r="E8667" s="544" t="s">
        <v>256</v>
      </c>
      <c r="F8667" s="387">
        <v>1.0</v>
      </c>
      <c r="G8667" s="140">
        <v>175000.0</v>
      </c>
      <c r="H8667" s="140">
        <v>25000.0</v>
      </c>
      <c r="I8667" s="74">
        <f t="shared" si="1"/>
        <v>150000</v>
      </c>
      <c r="J8667" s="74">
        <f>IF(E8667="SERVICE",I8667-(I8667*50%),Vlookup(E8667,DATABASE!C:Q,10,false)*F8667)</f>
        <v>10000</v>
      </c>
      <c r="K8667" s="74">
        <f>VLOOKUP(E8667,DATABASE!C:Q,7,false)</f>
        <v>0</v>
      </c>
      <c r="L8667" s="140">
        <v>0.0</v>
      </c>
      <c r="M8667" s="74">
        <f t="shared" si="6"/>
        <v>0</v>
      </c>
      <c r="N8667" s="74">
        <f t="shared" si="3"/>
        <v>140000</v>
      </c>
      <c r="O8667" s="65" t="str">
        <f>VLOOKUP(E8667,DATABASE!C:Q,8,false)</f>
        <v>IBU</v>
      </c>
      <c r="P8667" s="65">
        <f>VLOOKUP(E8667,DATABASE!C:Q,9,False)</f>
        <v>0</v>
      </c>
      <c r="Q8667" s="93" t="str">
        <f>VLOOKUP(E8667,DATABASE!C:Q,4,false)</f>
        <v>SPOORING</v>
      </c>
      <c r="R8667" s="93" t="str">
        <f>VLOOKUP(E8667,DATABASE!C:Q,11,false)</f>
        <v>SERVICE</v>
      </c>
    </row>
    <row r="8668" ht="22.5" customHeight="1">
      <c r="A8668" s="49"/>
      <c r="C8668" s="400">
        <v>46163.0</v>
      </c>
      <c r="D8668" s="524">
        <v>1442.0</v>
      </c>
      <c r="E8668" s="544" t="s">
        <v>1372</v>
      </c>
      <c r="F8668" s="387">
        <v>1.0</v>
      </c>
      <c r="G8668" s="140">
        <v>1150000.0</v>
      </c>
      <c r="H8668" s="74"/>
      <c r="I8668" s="74">
        <f t="shared" si="1"/>
        <v>1150000</v>
      </c>
      <c r="J8668" s="74">
        <f>IF(E8668="SERVICE",I8668-(I8668*50%),Vlookup(E8668,DATABASE!C:Q,10,false)*F8668)</f>
        <v>0</v>
      </c>
      <c r="K8668" s="74">
        <f>VLOOKUP(E8668,DATABASE!C:Q,7,false)</f>
        <v>1040000</v>
      </c>
      <c r="L8668" s="74">
        <v>1040000.0</v>
      </c>
      <c r="M8668" s="74">
        <f t="shared" si="6"/>
        <v>1040000</v>
      </c>
      <c r="N8668" s="74">
        <f t="shared" si="3"/>
        <v>110000</v>
      </c>
      <c r="O8668" s="65" t="str">
        <f>VLOOKUP(E8668,DATABASE!C:Q,8,false)</f>
        <v>IBU</v>
      </c>
      <c r="P8668" s="65">
        <f>VLOOKUP(E8668,DATABASE!C:Q,9,False)</f>
        <v>1</v>
      </c>
      <c r="Q8668" s="93" t="str">
        <f>VLOOKUP(E8668,DATABASE!C:Q,4,false)</f>
        <v>Dunlop</v>
      </c>
      <c r="R8668" s="93" t="str">
        <f>VLOOKUP(E8668,DATABASE!C:Q,11,false)</f>
        <v>Tire</v>
      </c>
    </row>
    <row r="8669" ht="22.5" customHeight="1">
      <c r="A8669" s="49"/>
      <c r="C8669" s="400">
        <v>46163.0</v>
      </c>
      <c r="D8669" s="524">
        <v>1442.0</v>
      </c>
      <c r="E8669" s="544" t="s">
        <v>299</v>
      </c>
      <c r="F8669" s="387">
        <v>2.0</v>
      </c>
      <c r="G8669" s="140">
        <v>30000.0</v>
      </c>
      <c r="H8669" s="74"/>
      <c r="I8669" s="74">
        <f t="shared" si="1"/>
        <v>60000</v>
      </c>
      <c r="J8669" s="74">
        <f>IF(E8669="SERVICE",I8669-(I8669*50%),Vlookup(E8669,DATABASE!C:Q,10,false)*F8669)</f>
        <v>0</v>
      </c>
      <c r="K8669" s="74">
        <f>VLOOKUP(E8669,DATABASE!C:Q,7,false)</f>
        <v>10000</v>
      </c>
      <c r="L8669" s="74">
        <v>10000.0</v>
      </c>
      <c r="M8669" s="74">
        <f t="shared" si="6"/>
        <v>10000</v>
      </c>
      <c r="N8669" s="74">
        <f t="shared" si="3"/>
        <v>40000</v>
      </c>
      <c r="O8669" s="65" t="str">
        <f>VLOOKUP(E8669,DATABASE!C:Q,8,false)</f>
        <v>BIAN</v>
      </c>
      <c r="P8669" s="65">
        <f>VLOOKUP(E8669,DATABASE!C:Q,9,False)</f>
        <v>0</v>
      </c>
      <c r="Q8669" s="93" t="str">
        <f>VLOOKUP(E8669,DATABASE!C:Q,4,false)</f>
        <v>Balancing</v>
      </c>
      <c r="R8669" s="93" t="str">
        <f>VLOOKUP(E8669,DATABASE!C:Q,11,false)</f>
        <v>COMPLEMENTARY</v>
      </c>
    </row>
    <row r="8670" ht="22.5" customHeight="1">
      <c r="A8670" s="49"/>
      <c r="C8670" s="400">
        <v>46163.0</v>
      </c>
      <c r="D8670" s="524">
        <v>1443.0</v>
      </c>
      <c r="E8670" s="544" t="s">
        <v>268</v>
      </c>
      <c r="F8670" s="387">
        <v>2.0</v>
      </c>
      <c r="G8670" s="140">
        <v>720000.0</v>
      </c>
      <c r="H8670" s="140">
        <v>5000.0</v>
      </c>
      <c r="I8670" s="74">
        <f t="shared" si="1"/>
        <v>1430000</v>
      </c>
      <c r="J8670" s="74">
        <f>IF(E8670="SERVICE",I8670-(I8670*50%),Vlookup(E8670,DATABASE!C:Q,10,false)*F8670)</f>
        <v>0</v>
      </c>
      <c r="K8670" s="74">
        <f>VLOOKUP(E8670,DATABASE!C:Q,7,false)</f>
        <v>653000</v>
      </c>
      <c r="L8670" s="74">
        <v>634500.0</v>
      </c>
      <c r="M8670" s="74">
        <f t="shared" si="6"/>
        <v>635000</v>
      </c>
      <c r="N8670" s="74">
        <f t="shared" si="3"/>
        <v>160000</v>
      </c>
      <c r="O8670" s="65" t="str">
        <f>VLOOKUP(E8670,DATABASE!C:Q,8,false)</f>
        <v>IBU</v>
      </c>
      <c r="P8670" s="65">
        <f>VLOOKUP(E8670,DATABASE!C:Q,9,False)</f>
        <v>1</v>
      </c>
      <c r="Q8670" s="93" t="str">
        <f>VLOOKUP(E8670,DATABASE!C:Q,4,false)</f>
        <v>Dunlop</v>
      </c>
      <c r="R8670" s="93" t="str">
        <f>VLOOKUP(E8670,DATABASE!C:Q,11,false)</f>
        <v>Tire</v>
      </c>
    </row>
    <row r="8671" ht="22.5" customHeight="1">
      <c r="A8671" s="49"/>
      <c r="C8671" s="400">
        <v>46163.0</v>
      </c>
      <c r="D8671" s="524">
        <v>1444.0</v>
      </c>
      <c r="E8671" s="544" t="s">
        <v>856</v>
      </c>
      <c r="F8671" s="387">
        <v>1.0</v>
      </c>
      <c r="G8671" s="140">
        <v>690000.0</v>
      </c>
      <c r="H8671" s="74"/>
      <c r="I8671" s="74">
        <f t="shared" si="1"/>
        <v>690000</v>
      </c>
      <c r="J8671" s="74">
        <f>IF(E8671="SERVICE",I8671-(I8671*50%),Vlookup(E8671,DATABASE!C:Q,10,false)*F8671)</f>
        <v>0</v>
      </c>
      <c r="K8671" s="74">
        <f>VLOOKUP(E8671,DATABASE!C:Q,7,false)</f>
        <v>615300</v>
      </c>
      <c r="L8671" s="74">
        <v>604200.0</v>
      </c>
      <c r="M8671" s="74">
        <f t="shared" si="6"/>
        <v>605000</v>
      </c>
      <c r="N8671" s="74">
        <f t="shared" si="3"/>
        <v>85000</v>
      </c>
      <c r="O8671" s="65" t="str">
        <f>VLOOKUP(E8671,DATABASE!C:Q,8,false)</f>
        <v>BIAN</v>
      </c>
      <c r="P8671" s="65">
        <f>VLOOKUP(E8671,DATABASE!C:Q,9,False)</f>
        <v>1</v>
      </c>
      <c r="Q8671" s="93" t="str">
        <f>VLOOKUP(E8671,DATABASE!C:Q,4,false)</f>
        <v>GT</v>
      </c>
      <c r="R8671" s="93" t="str">
        <f>VLOOKUP(E8671,DATABASE!C:Q,11,false)</f>
        <v>Tire</v>
      </c>
    </row>
    <row r="8672" ht="22.5" customHeight="1">
      <c r="A8672" s="49"/>
      <c r="C8672" s="400">
        <v>46163.0</v>
      </c>
      <c r="D8672" s="524">
        <v>1445.0</v>
      </c>
      <c r="E8672" s="544" t="s">
        <v>282</v>
      </c>
      <c r="F8672" s="387">
        <v>1.0</v>
      </c>
      <c r="G8672" s="140">
        <v>880000.0</v>
      </c>
      <c r="H8672" s="74"/>
      <c r="I8672" s="74">
        <f t="shared" si="1"/>
        <v>880000</v>
      </c>
      <c r="J8672" s="74">
        <f>IF(E8672="SERVICE",I8672-(I8672*50%),Vlookup(E8672,DATABASE!C:Q,10,false)*F8672)</f>
        <v>0</v>
      </c>
      <c r="K8672" s="74">
        <f>VLOOKUP(E8672,DATABASE!C:Q,7,false)</f>
        <v>779500</v>
      </c>
      <c r="L8672" s="74">
        <v>779500.0</v>
      </c>
      <c r="M8672" s="74">
        <f t="shared" si="6"/>
        <v>780000</v>
      </c>
      <c r="N8672" s="74">
        <f t="shared" si="3"/>
        <v>100000</v>
      </c>
      <c r="O8672" s="65" t="str">
        <f>VLOOKUP(E8672,DATABASE!C:Q,8,false)</f>
        <v>IBU</v>
      </c>
      <c r="P8672" s="65">
        <f>VLOOKUP(E8672,DATABASE!C:Q,9,False)</f>
        <v>1</v>
      </c>
      <c r="Q8672" s="93" t="str">
        <f>VLOOKUP(E8672,DATABASE!C:Q,4,false)</f>
        <v>Dunlop</v>
      </c>
      <c r="R8672" s="93" t="str">
        <f>VLOOKUP(E8672,DATABASE!C:Q,11,false)</f>
        <v>Tire</v>
      </c>
    </row>
    <row r="8673" ht="22.5" customHeight="1">
      <c r="A8673" s="49"/>
      <c r="C8673" s="400">
        <v>46163.0</v>
      </c>
      <c r="D8673" s="524">
        <v>1446.0</v>
      </c>
      <c r="E8673" s="544" t="s">
        <v>268</v>
      </c>
      <c r="F8673" s="387">
        <v>2.0</v>
      </c>
      <c r="G8673" s="140">
        <v>720000.0</v>
      </c>
      <c r="H8673" s="74"/>
      <c r="I8673" s="74">
        <f t="shared" si="1"/>
        <v>1440000</v>
      </c>
      <c r="J8673" s="74">
        <f>IF(E8673="SERVICE",I8673-(I8673*50%),Vlookup(E8673,DATABASE!C:Q,10,false)*F8673)</f>
        <v>0</v>
      </c>
      <c r="K8673" s="74">
        <f>VLOOKUP(E8673,DATABASE!C:Q,7,false)</f>
        <v>653000</v>
      </c>
      <c r="L8673" s="74">
        <v>634500.0</v>
      </c>
      <c r="M8673" s="74">
        <f t="shared" si="6"/>
        <v>635000</v>
      </c>
      <c r="N8673" s="74">
        <f t="shared" si="3"/>
        <v>170000</v>
      </c>
      <c r="O8673" s="65" t="str">
        <f>VLOOKUP(E8673,DATABASE!C:Q,8,false)</f>
        <v>IBU</v>
      </c>
      <c r="P8673" s="65">
        <f>VLOOKUP(E8673,DATABASE!C:Q,9,False)</f>
        <v>1</v>
      </c>
      <c r="Q8673" s="93" t="str">
        <f>VLOOKUP(E8673,DATABASE!C:Q,4,false)</f>
        <v>Dunlop</v>
      </c>
      <c r="R8673" s="93" t="str">
        <f>VLOOKUP(E8673,DATABASE!C:Q,11,false)</f>
        <v>Tire</v>
      </c>
    </row>
    <row r="8674" ht="22.5" customHeight="1">
      <c r="A8674" s="49"/>
      <c r="C8674" s="400">
        <v>46163.0</v>
      </c>
      <c r="D8674" s="524">
        <v>1446.0</v>
      </c>
      <c r="E8674" s="544" t="s">
        <v>299</v>
      </c>
      <c r="F8674" s="387">
        <v>2.0</v>
      </c>
      <c r="G8674" s="140">
        <v>30000.0</v>
      </c>
      <c r="H8674" s="74"/>
      <c r="I8674" s="74">
        <f t="shared" si="1"/>
        <v>60000</v>
      </c>
      <c r="J8674" s="74">
        <f>IF(E8674="SERVICE",I8674-(I8674*50%),Vlookup(E8674,DATABASE!C:Q,10,false)*F8674)</f>
        <v>0</v>
      </c>
      <c r="K8674" s="74">
        <f>VLOOKUP(E8674,DATABASE!C:Q,7,false)</f>
        <v>10000</v>
      </c>
      <c r="L8674" s="74">
        <v>10000.0</v>
      </c>
      <c r="M8674" s="74">
        <f t="shared" si="6"/>
        <v>10000</v>
      </c>
      <c r="N8674" s="74">
        <f t="shared" si="3"/>
        <v>40000</v>
      </c>
      <c r="O8674" s="65" t="str">
        <f>VLOOKUP(E8674,DATABASE!C:Q,8,false)</f>
        <v>BIAN</v>
      </c>
      <c r="P8674" s="65">
        <f>VLOOKUP(E8674,DATABASE!C:Q,9,False)</f>
        <v>0</v>
      </c>
      <c r="Q8674" s="93" t="str">
        <f>VLOOKUP(E8674,DATABASE!C:Q,4,false)</f>
        <v>Balancing</v>
      </c>
      <c r="R8674" s="93" t="str">
        <f>VLOOKUP(E8674,DATABASE!C:Q,11,false)</f>
        <v>COMPLEMENTARY</v>
      </c>
    </row>
    <row r="8675" ht="22.5" customHeight="1">
      <c r="A8675" s="49"/>
      <c r="C8675" s="400">
        <v>46163.0</v>
      </c>
      <c r="D8675" s="524">
        <v>1446.0</v>
      </c>
      <c r="E8675" s="544" t="s">
        <v>256</v>
      </c>
      <c r="F8675" s="387">
        <v>1.0</v>
      </c>
      <c r="G8675" s="140">
        <v>175000.0</v>
      </c>
      <c r="H8675" s="140">
        <v>25000.0</v>
      </c>
      <c r="I8675" s="74">
        <f t="shared" si="1"/>
        <v>150000</v>
      </c>
      <c r="J8675" s="74">
        <f>IF(E8675="SERVICE",I8675-(I8675*50%),Vlookup(E8675,DATABASE!C:Q,10,false)*F8675)</f>
        <v>10000</v>
      </c>
      <c r="K8675" s="74">
        <f>VLOOKUP(E8675,DATABASE!C:Q,7,false)</f>
        <v>0</v>
      </c>
      <c r="L8675" s="74">
        <v>0.0</v>
      </c>
      <c r="M8675" s="74">
        <f t="shared" si="6"/>
        <v>0</v>
      </c>
      <c r="N8675" s="74">
        <f t="shared" si="3"/>
        <v>140000</v>
      </c>
      <c r="O8675" s="65" t="str">
        <f>VLOOKUP(E8675,DATABASE!C:Q,8,false)</f>
        <v>IBU</v>
      </c>
      <c r="P8675" s="65">
        <f>VLOOKUP(E8675,DATABASE!C:Q,9,False)</f>
        <v>0</v>
      </c>
      <c r="Q8675" s="93" t="str">
        <f>VLOOKUP(E8675,DATABASE!C:Q,4,false)</f>
        <v>SPOORING</v>
      </c>
      <c r="R8675" s="93" t="str">
        <f>VLOOKUP(E8675,DATABASE!C:Q,11,false)</f>
        <v>SERVICE</v>
      </c>
    </row>
    <row r="8676" ht="22.5" customHeight="1">
      <c r="A8676" s="49"/>
      <c r="C8676" s="400">
        <v>46163.0</v>
      </c>
      <c r="D8676" s="524">
        <v>1446.0</v>
      </c>
      <c r="E8676" s="544" t="s">
        <v>301</v>
      </c>
      <c r="F8676" s="387">
        <v>1.0</v>
      </c>
      <c r="G8676" s="140">
        <v>250000.0</v>
      </c>
      <c r="H8676" s="74"/>
      <c r="I8676" s="74">
        <f t="shared" si="1"/>
        <v>250000</v>
      </c>
      <c r="J8676" s="74">
        <f>IF(E8676="SERVICE",I8676-(I8676*50%),Vlookup(E8676,DATABASE!C:Q,10,false)*F8676)</f>
        <v>75000</v>
      </c>
      <c r="K8676" s="74">
        <f>VLOOKUP(E8676,DATABASE!C:Q,7,false)</f>
        <v>75000</v>
      </c>
      <c r="L8676" s="74">
        <v>75000.0</v>
      </c>
      <c r="M8676" s="74">
        <f t="shared" si="6"/>
        <v>75000</v>
      </c>
      <c r="N8676" s="74">
        <f t="shared" si="3"/>
        <v>100000</v>
      </c>
      <c r="O8676" s="65" t="str">
        <f>VLOOKUP(E8676,DATABASE!C:Q,8,false)</f>
        <v>BIAN</v>
      </c>
      <c r="P8676" s="65">
        <f>VLOOKUP(E8676,DATABASE!C:Q,9,False)</f>
        <v>0</v>
      </c>
      <c r="Q8676" s="93" t="str">
        <f>VLOOKUP(E8676,DATABASE!C:Q,4,false)</f>
        <v>Baut Camber</v>
      </c>
      <c r="R8676" s="93" t="str">
        <f>VLOOKUP(E8676,DATABASE!C:Q,11,false)</f>
        <v>COMPLEMENTARY</v>
      </c>
    </row>
    <row r="8677" ht="22.5" customHeight="1">
      <c r="A8677" s="49"/>
      <c r="C8677" s="400">
        <v>46163.0</v>
      </c>
      <c r="D8677" s="524">
        <v>1447.0</v>
      </c>
      <c r="E8677" s="544" t="s">
        <v>271</v>
      </c>
      <c r="F8677" s="387">
        <v>4.0</v>
      </c>
      <c r="G8677" s="140">
        <v>640000.0</v>
      </c>
      <c r="H8677" s="140">
        <v>2500.0</v>
      </c>
      <c r="I8677" s="74">
        <f t="shared" si="1"/>
        <v>2550000</v>
      </c>
      <c r="J8677" s="74">
        <f>IF(E8677="SERVICE",I8677-(I8677*50%),Vlookup(E8677,DATABASE!C:Q,10,false)*F8677)</f>
        <v>0</v>
      </c>
      <c r="K8677" s="74">
        <f>VLOOKUP(E8677,DATABASE!C:Q,7,false)</f>
        <v>570000</v>
      </c>
      <c r="L8677" s="74">
        <v>550000.0</v>
      </c>
      <c r="M8677" s="74">
        <f t="shared" si="6"/>
        <v>550000</v>
      </c>
      <c r="N8677" s="74">
        <f t="shared" si="3"/>
        <v>350000</v>
      </c>
      <c r="O8677" s="65" t="str">
        <f>VLOOKUP(E8677,DATABASE!C:Q,8,false)</f>
        <v>IBU</v>
      </c>
      <c r="P8677" s="65">
        <f>VLOOKUP(E8677,DATABASE!C:Q,9,False)</f>
        <v>1</v>
      </c>
      <c r="Q8677" s="93" t="str">
        <f>VLOOKUP(E8677,DATABASE!C:Q,4,false)</f>
        <v>Dunlop</v>
      </c>
      <c r="R8677" s="93" t="str">
        <f>VLOOKUP(E8677,DATABASE!C:Q,11,false)</f>
        <v>Tire</v>
      </c>
    </row>
    <row r="8678" ht="22.5" customHeight="1">
      <c r="A8678" s="49"/>
      <c r="C8678" s="400">
        <v>46163.0</v>
      </c>
      <c r="D8678" s="524">
        <v>1448.0</v>
      </c>
      <c r="E8678" s="544" t="s">
        <v>932</v>
      </c>
      <c r="F8678" s="387">
        <v>1.0</v>
      </c>
      <c r="G8678" s="140">
        <v>690000.0</v>
      </c>
      <c r="H8678" s="74"/>
      <c r="I8678" s="74">
        <f t="shared" si="1"/>
        <v>690000</v>
      </c>
      <c r="J8678" s="74">
        <f>IF(E8678="SERVICE",I8678-(I8678*50%),Vlookup(E8678,DATABASE!C:Q,10,false)*F8678)</f>
        <v>0</v>
      </c>
      <c r="K8678" s="74">
        <f>VLOOKUP(E8678,DATABASE!C:Q,7,false)</f>
        <v>601000</v>
      </c>
      <c r="L8678" s="74">
        <v>601000.0</v>
      </c>
      <c r="M8678" s="74">
        <f t="shared" si="6"/>
        <v>605000</v>
      </c>
      <c r="N8678" s="74">
        <f t="shared" si="3"/>
        <v>85000</v>
      </c>
      <c r="O8678" s="65" t="str">
        <f>VLOOKUP(E8678,DATABASE!C:Q,8,false)</f>
        <v>IBU</v>
      </c>
      <c r="P8678" s="65">
        <f>VLOOKUP(E8678,DATABASE!C:Q,9,False)</f>
        <v>1</v>
      </c>
      <c r="Q8678" s="93" t="str">
        <f>VLOOKUP(E8678,DATABASE!C:Q,4,false)</f>
        <v>Dunlop</v>
      </c>
      <c r="R8678" s="93" t="str">
        <f>VLOOKUP(E8678,DATABASE!C:Q,11,false)</f>
        <v>Tire</v>
      </c>
    </row>
    <row r="8679" ht="22.5" customHeight="1">
      <c r="A8679" s="49"/>
      <c r="C8679" s="400">
        <v>46163.0</v>
      </c>
      <c r="D8679" s="524">
        <v>1449.0</v>
      </c>
      <c r="E8679" s="544" t="s">
        <v>839</v>
      </c>
      <c r="F8679" s="387">
        <v>2.0</v>
      </c>
      <c r="G8679" s="140">
        <v>580000.0</v>
      </c>
      <c r="H8679" s="74"/>
      <c r="I8679" s="74">
        <f t="shared" si="1"/>
        <v>1160000</v>
      </c>
      <c r="J8679" s="74">
        <f>IF(E8679="SERVICE",I8679-(I8679*50%),Vlookup(E8679,DATABASE!C:Q,10,false)*F8679)</f>
        <v>0</v>
      </c>
      <c r="K8679" s="74">
        <f>VLOOKUP(E8679,DATABASE!C:Q,7,false)</f>
        <v>512640</v>
      </c>
      <c r="L8679" s="74">
        <v>490000.0</v>
      </c>
      <c r="M8679" s="74">
        <f t="shared" si="6"/>
        <v>490000</v>
      </c>
      <c r="N8679" s="74">
        <f t="shared" si="3"/>
        <v>180000</v>
      </c>
      <c r="O8679" s="65" t="str">
        <f>VLOOKUP(E8679,DATABASE!C:Q,8,false)</f>
        <v>BIAN</v>
      </c>
      <c r="P8679" s="65">
        <f>VLOOKUP(E8679,DATABASE!C:Q,9,False)</f>
        <v>1</v>
      </c>
      <c r="Q8679" s="93" t="str">
        <f>VLOOKUP(E8679,DATABASE!C:Q,4,false)</f>
        <v>GT</v>
      </c>
      <c r="R8679" s="93" t="str">
        <f>VLOOKUP(E8679,DATABASE!C:Q,11,false)</f>
        <v>Tire</v>
      </c>
    </row>
    <row r="8680" ht="22.5" customHeight="1">
      <c r="A8680" s="49"/>
      <c r="C8680" s="400">
        <v>46163.0</v>
      </c>
      <c r="D8680" s="524">
        <v>1450.0</v>
      </c>
      <c r="E8680" s="544" t="s">
        <v>299</v>
      </c>
      <c r="F8680" s="387">
        <v>2.0</v>
      </c>
      <c r="G8680" s="140">
        <v>30000.0</v>
      </c>
      <c r="H8680" s="74"/>
      <c r="I8680" s="74">
        <f t="shared" si="1"/>
        <v>60000</v>
      </c>
      <c r="J8680" s="74">
        <f>IF(E8680="SERVICE",I8680-(I8680*50%),Vlookup(E8680,DATABASE!C:Q,10,false)*F8680)</f>
        <v>0</v>
      </c>
      <c r="K8680" s="74">
        <f>VLOOKUP(E8680,DATABASE!C:Q,7,false)</f>
        <v>10000</v>
      </c>
      <c r="L8680" s="74">
        <v>10000.0</v>
      </c>
      <c r="M8680" s="74">
        <f t="shared" si="6"/>
        <v>10000</v>
      </c>
      <c r="N8680" s="74">
        <f t="shared" si="3"/>
        <v>40000</v>
      </c>
      <c r="O8680" s="65" t="str">
        <f>VLOOKUP(E8680,DATABASE!C:Q,8,false)</f>
        <v>BIAN</v>
      </c>
      <c r="P8680" s="65">
        <f>VLOOKUP(E8680,DATABASE!C:Q,9,False)</f>
        <v>0</v>
      </c>
      <c r="Q8680" s="93" t="str">
        <f>VLOOKUP(E8680,DATABASE!C:Q,4,false)</f>
        <v>Balancing</v>
      </c>
      <c r="R8680" s="93" t="str">
        <f>VLOOKUP(E8680,DATABASE!C:Q,11,false)</f>
        <v>COMPLEMENTARY</v>
      </c>
    </row>
    <row r="8681" ht="22.5" customHeight="1">
      <c r="A8681" s="49"/>
      <c r="C8681" s="400">
        <v>46163.0</v>
      </c>
      <c r="D8681" s="69" t="s">
        <v>2816</v>
      </c>
      <c r="E8681" s="544" t="s">
        <v>2174</v>
      </c>
      <c r="F8681" s="387">
        <v>1.0</v>
      </c>
      <c r="G8681" s="140">
        <v>235000.0</v>
      </c>
      <c r="H8681" s="74"/>
      <c r="I8681" s="74">
        <f t="shared" si="1"/>
        <v>235000</v>
      </c>
      <c r="J8681" s="74">
        <f>IF(E8681="SERVICE",I8681-(I8681*50%),Vlookup(E8681,DATABASE!C:Q,10,false)*F8681)</f>
        <v>0</v>
      </c>
      <c r="K8681" s="74">
        <f>VLOOKUP(E8681,DATABASE!C:Q,7,false)</f>
        <v>225314</v>
      </c>
      <c r="L8681" s="74">
        <v>182600.0</v>
      </c>
      <c r="M8681" s="74">
        <f t="shared" si="6"/>
        <v>185000</v>
      </c>
      <c r="N8681" s="74">
        <f t="shared" si="3"/>
        <v>50000</v>
      </c>
      <c r="O8681" s="65" t="str">
        <f>VLOOKUP(E8681,DATABASE!C:Q,8,false)</f>
        <v>NON</v>
      </c>
      <c r="P8681" s="65">
        <f>VLOOKUP(E8681,DATABASE!C:Q,9,False)</f>
        <v>0</v>
      </c>
      <c r="Q8681" s="93" t="str">
        <f>VLOOKUP(E8681,DATABASE!C:Q,4,false)</f>
        <v>Shell</v>
      </c>
      <c r="R8681" s="93" t="str">
        <f>VLOOKUP(E8681,DATABASE!C:Q,11,false)</f>
        <v>OIL</v>
      </c>
    </row>
    <row r="8682" ht="22.5" customHeight="1">
      <c r="A8682" s="49"/>
      <c r="C8682" s="400">
        <v>46163.0</v>
      </c>
      <c r="D8682" s="69" t="s">
        <v>2816</v>
      </c>
      <c r="E8682" s="544" t="s">
        <v>298</v>
      </c>
      <c r="F8682" s="387">
        <v>1.0</v>
      </c>
      <c r="G8682" s="140">
        <v>25000.0</v>
      </c>
      <c r="H8682" s="74"/>
      <c r="I8682" s="74">
        <f t="shared" si="1"/>
        <v>25000</v>
      </c>
      <c r="J8682" s="74">
        <f>IF(E8682="SERVICE",I8682-(I8682*50%),Vlookup(E8682,DATABASE!C:Q,10,false)*F8682)</f>
        <v>0</v>
      </c>
      <c r="K8682" s="74">
        <f>VLOOKUP(E8682,DATABASE!C:Q,7,false)</f>
        <v>19200</v>
      </c>
      <c r="L8682" s="74">
        <v>19200.0</v>
      </c>
      <c r="M8682" s="74">
        <f t="shared" si="6"/>
        <v>20000</v>
      </c>
      <c r="N8682" s="74">
        <f t="shared" si="3"/>
        <v>5000</v>
      </c>
      <c r="O8682" s="65" t="str">
        <f>VLOOKUP(E8682,DATABASE!C:Q,8,false)</f>
        <v>BIAN</v>
      </c>
      <c r="P8682" s="65">
        <f>VLOOKUP(E8682,DATABASE!C:Q,9,False)</f>
        <v>0</v>
      </c>
      <c r="Q8682" s="93" t="str">
        <f>VLOOKUP(E8682,DATABASE!C:Q,4,false)</f>
        <v>Aspira</v>
      </c>
      <c r="R8682" s="93" t="str">
        <f>VLOOKUP(E8682,DATABASE!C:Q,11,false)</f>
        <v>COMPLEMENTARY</v>
      </c>
    </row>
    <row r="8683" ht="22.5" customHeight="1">
      <c r="A8683" s="49"/>
      <c r="C8683" s="400">
        <v>46163.0</v>
      </c>
      <c r="D8683" s="69" t="s">
        <v>2817</v>
      </c>
      <c r="E8683" s="544" t="s">
        <v>263</v>
      </c>
      <c r="F8683" s="387">
        <v>1.0</v>
      </c>
      <c r="G8683" s="140">
        <v>345000.0</v>
      </c>
      <c r="H8683" s="74"/>
      <c r="I8683" s="74">
        <f t="shared" si="1"/>
        <v>345000</v>
      </c>
      <c r="J8683" s="74">
        <f>IF(E8683="SERVICE",I8683-(I8683*50%),Vlookup(E8683,DATABASE!C:Q,10,false)*F8683)</f>
        <v>0</v>
      </c>
      <c r="K8683" s="74">
        <f>VLOOKUP(E8683,DATABASE!C:Q,7,false)</f>
        <v>334916</v>
      </c>
      <c r="L8683" s="74">
        <v>292600.0</v>
      </c>
      <c r="M8683" s="74">
        <f t="shared" si="6"/>
        <v>295000</v>
      </c>
      <c r="N8683" s="74">
        <f t="shared" si="3"/>
        <v>50000</v>
      </c>
      <c r="O8683" s="65" t="str">
        <f>VLOOKUP(E8683,DATABASE!C:Q,8,false)</f>
        <v>NON</v>
      </c>
      <c r="P8683" s="65">
        <f>VLOOKUP(E8683,DATABASE!C:Q,9,False)</f>
        <v>0</v>
      </c>
      <c r="Q8683" s="93" t="str">
        <f>VLOOKUP(E8683,DATABASE!C:Q,4,false)</f>
        <v>Shell</v>
      </c>
      <c r="R8683" s="93" t="str">
        <f>VLOOKUP(E8683,DATABASE!C:Q,11,false)</f>
        <v>OIL</v>
      </c>
    </row>
    <row r="8684" ht="22.5" customHeight="1">
      <c r="A8684" s="49"/>
      <c r="C8684" s="400">
        <v>46163.0</v>
      </c>
      <c r="D8684" s="69" t="s">
        <v>2818</v>
      </c>
      <c r="E8684" s="544" t="s">
        <v>2146</v>
      </c>
      <c r="F8684" s="387">
        <v>4.0</v>
      </c>
      <c r="G8684" s="140">
        <v>65000.0</v>
      </c>
      <c r="H8684" s="74"/>
      <c r="I8684" s="74">
        <f t="shared" si="1"/>
        <v>260000</v>
      </c>
      <c r="J8684" s="74">
        <f>IF(E8684="SERVICE",I8684-(I8684*50%),Vlookup(E8684,DATABASE!C:Q,10,false)*F8684)</f>
        <v>0</v>
      </c>
      <c r="K8684" s="74">
        <f>VLOOKUP(E8684,DATABASE!C:Q,7,false)</f>
        <v>40000</v>
      </c>
      <c r="L8684" s="74">
        <v>40000.0</v>
      </c>
      <c r="M8684" s="74">
        <f t="shared" si="6"/>
        <v>40000</v>
      </c>
      <c r="N8684" s="74">
        <f t="shared" si="3"/>
        <v>100000</v>
      </c>
      <c r="O8684" s="65" t="str">
        <f>VLOOKUP(E8684,DATABASE!C:Q,8,false)</f>
        <v>NON</v>
      </c>
      <c r="P8684" s="65">
        <f>VLOOKUP(E8684,DATABASE!C:Q,9,False)</f>
        <v>0</v>
      </c>
      <c r="Q8684" s="93" t="str">
        <f>VLOOKUP(E8684,DATABASE!C:Q,4,false)</f>
        <v>Pertamina</v>
      </c>
      <c r="R8684" s="93" t="str">
        <f>VLOOKUP(E8684,DATABASE!C:Q,11,false)</f>
        <v>OIL</v>
      </c>
    </row>
    <row r="8685" ht="22.5" customHeight="1">
      <c r="A8685" s="49"/>
      <c r="C8685" s="400">
        <v>46164.0</v>
      </c>
      <c r="D8685" s="524">
        <v>1451.0</v>
      </c>
      <c r="E8685" s="544" t="s">
        <v>2611</v>
      </c>
      <c r="F8685" s="387">
        <v>1.0</v>
      </c>
      <c r="G8685" s="140">
        <v>115000.0</v>
      </c>
      <c r="H8685" s="74"/>
      <c r="I8685" s="74">
        <f t="shared" si="1"/>
        <v>115000</v>
      </c>
      <c r="J8685" s="74">
        <f>IF(E8685="SERVICE",I8685-(I8685*50%),Vlookup(E8685,DATABASE!C:Q,10,false)*F8685)</f>
        <v>0</v>
      </c>
      <c r="K8685" s="74">
        <f>VLOOKUP(E8685,DATABASE!C:Q,7,false)</f>
        <v>81000</v>
      </c>
      <c r="L8685" s="74">
        <v>81000.0</v>
      </c>
      <c r="M8685" s="74">
        <f t="shared" si="6"/>
        <v>85000</v>
      </c>
      <c r="N8685" s="74">
        <f t="shared" si="3"/>
        <v>30000</v>
      </c>
      <c r="O8685" s="65" t="str">
        <f>VLOOKUP(E8685,DATABASE!C:Q,8,false)</f>
        <v>BIAN</v>
      </c>
      <c r="P8685" s="65">
        <f>VLOOKUP(E8685,DATABASE!C:Q,9,False)</f>
        <v>1</v>
      </c>
      <c r="Q8685" s="93" t="str">
        <f>VLOOKUP(E8685,DATABASE!C:Q,4,false)</f>
        <v>BD IBK</v>
      </c>
      <c r="R8685" s="93" t="str">
        <f>VLOOKUP(E8685,DATABASE!C:Q,11,false)</f>
        <v>Tire</v>
      </c>
    </row>
    <row r="8686" ht="22.5" customHeight="1">
      <c r="A8686" s="49"/>
      <c r="C8686" s="400">
        <v>46164.0</v>
      </c>
      <c r="D8686" s="524">
        <v>1452.0</v>
      </c>
      <c r="E8686" s="544" t="s">
        <v>275</v>
      </c>
      <c r="F8686" s="387">
        <v>1.0</v>
      </c>
      <c r="G8686" s="140">
        <v>850000.0</v>
      </c>
      <c r="H8686" s="74"/>
      <c r="I8686" s="74">
        <f t="shared" si="1"/>
        <v>850000</v>
      </c>
      <c r="J8686" s="74">
        <f>IF(E8686="SERVICE",I8686-(I8686*50%),Vlookup(E8686,DATABASE!C:Q,10,false)*F8686)</f>
        <v>0</v>
      </c>
      <c r="K8686" s="74">
        <f>VLOOKUP(E8686,DATABASE!C:Q,7,false)</f>
        <v>782000</v>
      </c>
      <c r="L8686" s="74">
        <v>759500.0</v>
      </c>
      <c r="M8686" s="74">
        <f t="shared" si="6"/>
        <v>760000</v>
      </c>
      <c r="N8686" s="74">
        <f t="shared" si="3"/>
        <v>90000</v>
      </c>
      <c r="O8686" s="65" t="str">
        <f>VLOOKUP(E8686,DATABASE!C:Q,8,false)</f>
        <v>IBU</v>
      </c>
      <c r="P8686" s="65">
        <f>VLOOKUP(E8686,DATABASE!C:Q,9,False)</f>
        <v>1</v>
      </c>
      <c r="Q8686" s="93" t="str">
        <f>VLOOKUP(E8686,DATABASE!C:Q,4,false)</f>
        <v>Dunlop</v>
      </c>
      <c r="R8686" s="93" t="str">
        <f>VLOOKUP(E8686,DATABASE!C:Q,11,false)</f>
        <v>Tire</v>
      </c>
    </row>
    <row r="8687" ht="22.5" customHeight="1">
      <c r="A8687" s="49"/>
      <c r="C8687" s="400">
        <v>46164.0</v>
      </c>
      <c r="D8687" s="524">
        <v>1453.0</v>
      </c>
      <c r="E8687" s="544" t="s">
        <v>554</v>
      </c>
      <c r="F8687" s="387">
        <v>2.0</v>
      </c>
      <c r="G8687" s="140">
        <v>790000.0</v>
      </c>
      <c r="H8687" s="74"/>
      <c r="I8687" s="74">
        <f t="shared" si="1"/>
        <v>1580000</v>
      </c>
      <c r="J8687" s="74">
        <f>IF(E8687="SERVICE",I8687-(I8687*50%),Vlookup(E8687,DATABASE!C:Q,10,false)*F8687)</f>
        <v>0</v>
      </c>
      <c r="K8687" s="74">
        <f>VLOOKUP(E8687,DATABASE!C:Q,7,false)</f>
        <v>710000</v>
      </c>
      <c r="L8687" s="74">
        <v>705000.0</v>
      </c>
      <c r="M8687" s="74">
        <f t="shared" si="6"/>
        <v>705000</v>
      </c>
      <c r="N8687" s="74">
        <f t="shared" si="3"/>
        <v>170000</v>
      </c>
      <c r="O8687" s="65" t="str">
        <f>VLOOKUP(E8687,DATABASE!C:Q,8,false)</f>
        <v>IBU</v>
      </c>
      <c r="P8687" s="65">
        <f>VLOOKUP(E8687,DATABASE!C:Q,9,False)</f>
        <v>1</v>
      </c>
      <c r="Q8687" s="93" t="str">
        <f>VLOOKUP(E8687,DATABASE!C:Q,4,false)</f>
        <v>Bridgestone</v>
      </c>
      <c r="R8687" s="93" t="str">
        <f>VLOOKUP(E8687,DATABASE!C:Q,11,false)</f>
        <v>Tire</v>
      </c>
    </row>
    <row r="8688" ht="22.5" customHeight="1">
      <c r="A8688" s="49"/>
      <c r="C8688" s="400">
        <v>46164.0</v>
      </c>
      <c r="D8688" s="524">
        <v>1454.0</v>
      </c>
      <c r="E8688" s="544" t="s">
        <v>251</v>
      </c>
      <c r="F8688" s="387">
        <v>1.0</v>
      </c>
      <c r="G8688" s="140">
        <v>350000.0</v>
      </c>
      <c r="H8688" s="140">
        <v>250000.0</v>
      </c>
      <c r="I8688" s="74">
        <f t="shared" si="1"/>
        <v>100000</v>
      </c>
      <c r="J8688" s="74">
        <f>IF(E8688="SERVICE",I8688-(I8688*50%),Vlookup(E8688,DATABASE!C:Q,10,false)*F8688)</f>
        <v>50000</v>
      </c>
      <c r="K8688" s="74">
        <f>VLOOKUP(E8688,DATABASE!C:Q,7,false)</f>
        <v>0</v>
      </c>
      <c r="L8688" s="74">
        <v>0.0</v>
      </c>
      <c r="M8688" s="74">
        <f t="shared" si="6"/>
        <v>0</v>
      </c>
      <c r="N8688" s="74">
        <f t="shared" si="3"/>
        <v>50000</v>
      </c>
      <c r="O8688" s="65" t="str">
        <f>VLOOKUP(E8688,DATABASE!C:Q,8,false)</f>
        <v>IBU</v>
      </c>
      <c r="P8688" s="65">
        <f>VLOOKUP(E8688,DATABASE!C:Q,9,False)</f>
        <v>0</v>
      </c>
      <c r="Q8688" s="93" t="str">
        <f>VLOOKUP(E8688,DATABASE!C:Q,4,false)</f>
        <v>SERVICE</v>
      </c>
      <c r="R8688" s="93" t="str">
        <f>VLOOKUP(E8688,DATABASE!C:Q,11,false)</f>
        <v>SERVICE</v>
      </c>
    </row>
    <row r="8689" ht="22.5" customHeight="1">
      <c r="A8689" s="49"/>
      <c r="C8689" s="400">
        <v>46164.0</v>
      </c>
      <c r="D8689" s="524">
        <v>1455.0</v>
      </c>
      <c r="E8689" s="544" t="s">
        <v>299</v>
      </c>
      <c r="F8689" s="387">
        <v>4.0</v>
      </c>
      <c r="G8689" s="140">
        <v>30000.0</v>
      </c>
      <c r="H8689" s="74"/>
      <c r="I8689" s="74">
        <f t="shared" si="1"/>
        <v>120000</v>
      </c>
      <c r="J8689" s="74">
        <f>IF(E8689="SERVICE",I8689-(I8689*50%),Vlookup(E8689,DATABASE!C:Q,10,false)*F8689)</f>
        <v>0</v>
      </c>
      <c r="K8689" s="74">
        <f>VLOOKUP(E8689,DATABASE!C:Q,7,false)</f>
        <v>10000</v>
      </c>
      <c r="L8689" s="74">
        <v>10000.0</v>
      </c>
      <c r="M8689" s="74">
        <f t="shared" si="6"/>
        <v>10000</v>
      </c>
      <c r="N8689" s="74">
        <f t="shared" si="3"/>
        <v>80000</v>
      </c>
      <c r="O8689" s="65" t="str">
        <f>VLOOKUP(E8689,DATABASE!C:Q,8,false)</f>
        <v>BIAN</v>
      </c>
      <c r="P8689" s="65">
        <f>VLOOKUP(E8689,DATABASE!C:Q,9,False)</f>
        <v>0</v>
      </c>
      <c r="Q8689" s="93" t="str">
        <f>VLOOKUP(E8689,DATABASE!C:Q,4,false)</f>
        <v>Balancing</v>
      </c>
      <c r="R8689" s="93" t="str">
        <f>VLOOKUP(E8689,DATABASE!C:Q,11,false)</f>
        <v>COMPLEMENTARY</v>
      </c>
    </row>
    <row r="8690" ht="22.5" customHeight="1">
      <c r="A8690" s="49"/>
      <c r="C8690" s="400">
        <v>46164.0</v>
      </c>
      <c r="D8690" s="524">
        <v>1456.0</v>
      </c>
      <c r="E8690" s="544" t="s">
        <v>2022</v>
      </c>
      <c r="F8690" s="387">
        <v>2.0</v>
      </c>
      <c r="G8690" s="140">
        <v>1300000.0</v>
      </c>
      <c r="H8690" s="140">
        <v>40000.0</v>
      </c>
      <c r="I8690" s="74">
        <f t="shared" si="1"/>
        <v>2520000</v>
      </c>
      <c r="J8690" s="74">
        <f>IF(E8690="SERVICE",I8690-(I8690*50%),Vlookup(E8690,DATABASE!C:Q,10,false)*F8690)</f>
        <v>0</v>
      </c>
      <c r="K8690" s="74">
        <f>VLOOKUP(E8690,DATABASE!C:Q,7,false)</f>
        <v>1175000</v>
      </c>
      <c r="L8690" s="140">
        <v>1160000.0</v>
      </c>
      <c r="M8690" s="74">
        <f t="shared" si="6"/>
        <v>1160000</v>
      </c>
      <c r="N8690" s="74">
        <f t="shared" si="3"/>
        <v>200000</v>
      </c>
      <c r="O8690" s="65" t="str">
        <f>VLOOKUP(E8690,DATABASE!C:Q,8,false)</f>
        <v>BIAN</v>
      </c>
      <c r="P8690" s="65">
        <f>VLOOKUP(E8690,DATABASE!C:Q,9,False)</f>
        <v>1</v>
      </c>
      <c r="Q8690" s="93" t="str">
        <f>VLOOKUP(E8690,DATABASE!C:Q,4,false)</f>
        <v>GT</v>
      </c>
      <c r="R8690" s="93" t="str">
        <f>VLOOKUP(E8690,DATABASE!C:Q,11,false)</f>
        <v>Tire</v>
      </c>
    </row>
    <row r="8691" ht="22.5" customHeight="1">
      <c r="A8691" s="49"/>
      <c r="C8691" s="400">
        <v>46164.0</v>
      </c>
      <c r="D8691" s="524">
        <v>1456.0</v>
      </c>
      <c r="E8691" s="544" t="s">
        <v>744</v>
      </c>
      <c r="F8691" s="387">
        <v>2.0</v>
      </c>
      <c r="G8691" s="140">
        <v>230000.0</v>
      </c>
      <c r="H8691" s="74"/>
      <c r="I8691" s="74">
        <f t="shared" si="1"/>
        <v>460000</v>
      </c>
      <c r="J8691" s="74">
        <f>IF(E8691="SERVICE",I8691-(I8691*50%),Vlookup(E8691,DATABASE!C:Q,10,false)*F8691)</f>
        <v>0</v>
      </c>
      <c r="K8691" s="74">
        <f>VLOOKUP(E8691,DATABASE!C:Q,7,false)</f>
        <v>182200</v>
      </c>
      <c r="L8691" s="74">
        <v>182200.0</v>
      </c>
      <c r="M8691" s="74">
        <f t="shared" si="6"/>
        <v>185000</v>
      </c>
      <c r="N8691" s="74">
        <f t="shared" si="3"/>
        <v>90000</v>
      </c>
      <c r="O8691" s="65" t="str">
        <f>VLOOKUP(E8691,DATABASE!C:Q,8,false)</f>
        <v>BIAN</v>
      </c>
      <c r="P8691" s="65">
        <f>VLOOKUP(E8691,DATABASE!C:Q,9,False)</f>
        <v>1</v>
      </c>
      <c r="Q8691" s="93" t="str">
        <f>VLOOKUP(E8691,DATABASE!C:Q,4,false)</f>
        <v>BD</v>
      </c>
      <c r="R8691" s="93" t="str">
        <f>VLOOKUP(E8691,DATABASE!C:Q,11,false)</f>
        <v>Tire</v>
      </c>
    </row>
    <row r="8692" ht="22.5" customHeight="1">
      <c r="A8692" s="49"/>
      <c r="C8692" s="400">
        <v>46164.0</v>
      </c>
      <c r="D8692" s="524">
        <v>1456.0</v>
      </c>
      <c r="E8692" s="544" t="s">
        <v>821</v>
      </c>
      <c r="F8692" s="387">
        <v>2.0</v>
      </c>
      <c r="G8692" s="140">
        <v>90000.0</v>
      </c>
      <c r="H8692" s="74"/>
      <c r="I8692" s="74">
        <f t="shared" si="1"/>
        <v>180000</v>
      </c>
      <c r="J8692" s="74">
        <f>IF(E8692="SERVICE",I8692-(I8692*50%),Vlookup(E8692,DATABASE!C:Q,10,false)*F8692)</f>
        <v>0</v>
      </c>
      <c r="K8692" s="74">
        <f>VLOOKUP(E8692,DATABASE!C:Q,7,false)</f>
        <v>43500</v>
      </c>
      <c r="L8692" s="74">
        <v>43500.0</v>
      </c>
      <c r="M8692" s="74">
        <f t="shared" si="6"/>
        <v>45000</v>
      </c>
      <c r="N8692" s="74">
        <f t="shared" si="3"/>
        <v>90000</v>
      </c>
      <c r="O8692" s="65" t="str">
        <f>VLOOKUP(E8692,DATABASE!C:Q,8,false)</f>
        <v>BIAN</v>
      </c>
      <c r="P8692" s="65">
        <f>VLOOKUP(E8692,DATABASE!C:Q,9,False)</f>
        <v>1</v>
      </c>
      <c r="Q8692" s="93" t="str">
        <f>VLOOKUP(E8692,DATABASE!C:Q,4,false)</f>
        <v>Flap</v>
      </c>
      <c r="R8692" s="93" t="str">
        <f>VLOOKUP(E8692,DATABASE!C:Q,11,false)</f>
        <v>Tire</v>
      </c>
    </row>
    <row r="8693" ht="22.5" customHeight="1">
      <c r="A8693" s="49"/>
      <c r="C8693" s="400">
        <v>46164.0</v>
      </c>
      <c r="D8693" s="524">
        <v>1457.0</v>
      </c>
      <c r="E8693" s="544" t="s">
        <v>256</v>
      </c>
      <c r="F8693" s="387">
        <v>1.0</v>
      </c>
      <c r="G8693" s="140">
        <v>175000.0</v>
      </c>
      <c r="H8693" s="140">
        <v>25000.0</v>
      </c>
      <c r="I8693" s="74">
        <f t="shared" si="1"/>
        <v>150000</v>
      </c>
      <c r="J8693" s="74">
        <f>IF(E8693="SERVICE",I8693-(I8693*50%),Vlookup(E8693,DATABASE!C:Q,10,false)*F8693)</f>
        <v>10000</v>
      </c>
      <c r="K8693" s="74">
        <f>VLOOKUP(E8693,DATABASE!C:Q,7,false)</f>
        <v>0</v>
      </c>
      <c r="L8693" s="74">
        <v>0.0</v>
      </c>
      <c r="M8693" s="74">
        <f t="shared" si="6"/>
        <v>0</v>
      </c>
      <c r="N8693" s="74">
        <f t="shared" si="3"/>
        <v>140000</v>
      </c>
      <c r="O8693" s="65" t="str">
        <f>VLOOKUP(E8693,DATABASE!C:Q,8,false)</f>
        <v>IBU</v>
      </c>
      <c r="P8693" s="65">
        <f>VLOOKUP(E8693,DATABASE!C:Q,9,False)</f>
        <v>0</v>
      </c>
      <c r="Q8693" s="93" t="str">
        <f>VLOOKUP(E8693,DATABASE!C:Q,4,false)</f>
        <v>SPOORING</v>
      </c>
      <c r="R8693" s="93" t="str">
        <f>VLOOKUP(E8693,DATABASE!C:Q,11,false)</f>
        <v>SERVICE</v>
      </c>
    </row>
    <row r="8694" ht="22.5" customHeight="1">
      <c r="A8694" s="49"/>
      <c r="C8694" s="400">
        <v>46164.0</v>
      </c>
      <c r="D8694" s="524">
        <v>1457.0</v>
      </c>
      <c r="E8694" s="544" t="s">
        <v>299</v>
      </c>
      <c r="F8694" s="387">
        <v>2.0</v>
      </c>
      <c r="G8694" s="140">
        <v>30000.0</v>
      </c>
      <c r="H8694" s="74"/>
      <c r="I8694" s="74">
        <f t="shared" si="1"/>
        <v>60000</v>
      </c>
      <c r="J8694" s="74">
        <f>IF(E8694="SERVICE",I8694-(I8694*50%),Vlookup(E8694,DATABASE!C:Q,10,false)*F8694)</f>
        <v>0</v>
      </c>
      <c r="K8694" s="74">
        <f>VLOOKUP(E8694,DATABASE!C:Q,7,false)</f>
        <v>10000</v>
      </c>
      <c r="L8694" s="74">
        <v>10000.0</v>
      </c>
      <c r="M8694" s="74">
        <f t="shared" si="6"/>
        <v>10000</v>
      </c>
      <c r="N8694" s="74">
        <f t="shared" si="3"/>
        <v>40000</v>
      </c>
      <c r="O8694" s="65" t="str">
        <f>VLOOKUP(E8694,DATABASE!C:Q,8,false)</f>
        <v>BIAN</v>
      </c>
      <c r="P8694" s="65">
        <f>VLOOKUP(E8694,DATABASE!C:Q,9,False)</f>
        <v>0</v>
      </c>
      <c r="Q8694" s="93" t="str">
        <f>VLOOKUP(E8694,DATABASE!C:Q,4,false)</f>
        <v>Balancing</v>
      </c>
      <c r="R8694" s="93" t="str">
        <f>VLOOKUP(E8694,DATABASE!C:Q,11,false)</f>
        <v>COMPLEMENTARY</v>
      </c>
    </row>
    <row r="8695" ht="22.5" customHeight="1">
      <c r="A8695" s="49"/>
      <c r="C8695" s="400">
        <v>46164.0</v>
      </c>
      <c r="D8695" s="524">
        <v>1458.0</v>
      </c>
      <c r="E8695" s="544" t="s">
        <v>554</v>
      </c>
      <c r="F8695" s="387">
        <v>2.0</v>
      </c>
      <c r="G8695" s="140">
        <v>790000.0</v>
      </c>
      <c r="H8695" s="74"/>
      <c r="I8695" s="74">
        <f t="shared" si="1"/>
        <v>1580000</v>
      </c>
      <c r="J8695" s="74">
        <f>IF(E8695="SERVICE",I8695-(I8695*50%),Vlookup(E8695,DATABASE!C:Q,10,false)*F8695)</f>
        <v>0</v>
      </c>
      <c r="K8695" s="74">
        <f>VLOOKUP(E8695,DATABASE!C:Q,7,false)</f>
        <v>710000</v>
      </c>
      <c r="L8695" s="74">
        <v>705000.0</v>
      </c>
      <c r="M8695" s="74">
        <f t="shared" si="6"/>
        <v>705000</v>
      </c>
      <c r="N8695" s="74">
        <f t="shared" si="3"/>
        <v>170000</v>
      </c>
      <c r="O8695" s="65" t="str">
        <f>VLOOKUP(E8695,DATABASE!C:Q,8,false)</f>
        <v>IBU</v>
      </c>
      <c r="P8695" s="65">
        <f>VLOOKUP(E8695,DATABASE!C:Q,9,False)</f>
        <v>1</v>
      </c>
      <c r="Q8695" s="93" t="str">
        <f>VLOOKUP(E8695,DATABASE!C:Q,4,false)</f>
        <v>Bridgestone</v>
      </c>
      <c r="R8695" s="93" t="str">
        <f>VLOOKUP(E8695,DATABASE!C:Q,11,false)</f>
        <v>Tire</v>
      </c>
    </row>
    <row r="8696" ht="22.5" customHeight="1">
      <c r="A8696" s="49"/>
      <c r="C8696" s="400">
        <v>46164.0</v>
      </c>
      <c r="D8696" s="524">
        <v>1458.0</v>
      </c>
      <c r="E8696" s="544" t="s">
        <v>262</v>
      </c>
      <c r="F8696" s="387">
        <v>1.0</v>
      </c>
      <c r="G8696" s="140">
        <v>130000.0</v>
      </c>
      <c r="H8696" s="74"/>
      <c r="I8696" s="74">
        <f t="shared" si="1"/>
        <v>130000</v>
      </c>
      <c r="J8696" s="74">
        <f>IF(E8696="SERVICE",I8696-(I8696*50%),Vlookup(E8696,DATABASE!C:Q,10,false)*F8696)</f>
        <v>5000</v>
      </c>
      <c r="K8696" s="74">
        <f>VLOOKUP(E8696,DATABASE!C:Q,7,false)</f>
        <v>0</v>
      </c>
      <c r="L8696" s="74">
        <v>0.0</v>
      </c>
      <c r="M8696" s="74">
        <f t="shared" si="6"/>
        <v>0</v>
      </c>
      <c r="N8696" s="74">
        <f t="shared" si="3"/>
        <v>125000</v>
      </c>
      <c r="O8696" s="65" t="str">
        <f>VLOOKUP(E8696,DATABASE!C:Q,8,false)</f>
        <v>IBU</v>
      </c>
      <c r="P8696" s="65">
        <f>VLOOKUP(E8696,DATABASE!C:Q,9,False)</f>
        <v>0</v>
      </c>
      <c r="Q8696" s="93" t="str">
        <f>VLOOKUP(E8696,DATABASE!C:Q,4,false)</f>
        <v>SPOORING SS/CARRY LOS BAK</v>
      </c>
      <c r="R8696" s="93" t="str">
        <f>VLOOKUP(E8696,DATABASE!C:Q,11,false)</f>
        <v>SERVICE</v>
      </c>
    </row>
    <row r="8697" ht="22.5" customHeight="1">
      <c r="A8697" s="49"/>
      <c r="C8697" s="400">
        <v>46164.0</v>
      </c>
      <c r="D8697" s="524">
        <v>1458.0</v>
      </c>
      <c r="E8697" s="544" t="s">
        <v>305</v>
      </c>
      <c r="F8697" s="387">
        <v>1.0</v>
      </c>
      <c r="G8697" s="140">
        <v>235000.0</v>
      </c>
      <c r="H8697" s="74"/>
      <c r="I8697" s="74">
        <f t="shared" si="1"/>
        <v>235000</v>
      </c>
      <c r="J8697" s="74">
        <f>IF(E8697="SERVICE",I8697-(I8697*50%),Vlookup(E8697,DATABASE!C:Q,10,false)*F8697)</f>
        <v>40000</v>
      </c>
      <c r="K8697" s="74">
        <f>VLOOKUP(E8697,DATABASE!C:Q,7,false)</f>
        <v>158530.2</v>
      </c>
      <c r="L8697" s="74">
        <v>151890.0</v>
      </c>
      <c r="M8697" s="74">
        <f t="shared" si="6"/>
        <v>155000</v>
      </c>
      <c r="N8697" s="74">
        <f t="shared" si="3"/>
        <v>40000</v>
      </c>
      <c r="O8697" s="65" t="str">
        <f>VLOOKUP(E8697,DATABASE!C:Q,8,false)</f>
        <v>BIAN</v>
      </c>
      <c r="P8697" s="65">
        <f>VLOOKUP(E8697,DATABASE!C:Q,9,False)</f>
        <v>1</v>
      </c>
      <c r="Q8697" s="93" t="str">
        <f>VLOOKUP(E8697,DATABASE!C:Q,4,false)</f>
        <v>Lower Arm</v>
      </c>
      <c r="R8697" s="93" t="str">
        <f>VLOOKUP(E8697,DATABASE!C:Q,11,false)</f>
        <v>COMPLEMENTARY</v>
      </c>
    </row>
    <row r="8698" ht="22.5" customHeight="1">
      <c r="A8698" s="49"/>
      <c r="C8698" s="400">
        <v>46164.0</v>
      </c>
      <c r="D8698" s="524">
        <v>1459.0</v>
      </c>
      <c r="E8698" s="544" t="s">
        <v>256</v>
      </c>
      <c r="F8698" s="387">
        <v>1.0</v>
      </c>
      <c r="G8698" s="140">
        <v>175000.0</v>
      </c>
      <c r="H8698" s="140">
        <v>25000.0</v>
      </c>
      <c r="I8698" s="74">
        <f t="shared" si="1"/>
        <v>150000</v>
      </c>
      <c r="J8698" s="74">
        <f>IF(E8698="SERVICE",I8698-(I8698*50%),Vlookup(E8698,DATABASE!C:Q,10,false)*F8698)</f>
        <v>10000</v>
      </c>
      <c r="K8698" s="74">
        <f>VLOOKUP(E8698,DATABASE!C:Q,7,false)</f>
        <v>0</v>
      </c>
      <c r="L8698" s="74">
        <v>0.0</v>
      </c>
      <c r="M8698" s="74">
        <f t="shared" si="6"/>
        <v>0</v>
      </c>
      <c r="N8698" s="74">
        <f t="shared" si="3"/>
        <v>140000</v>
      </c>
      <c r="O8698" s="65" t="str">
        <f>VLOOKUP(E8698,DATABASE!C:Q,8,false)</f>
        <v>IBU</v>
      </c>
      <c r="P8698" s="65">
        <f>VLOOKUP(E8698,DATABASE!C:Q,9,False)</f>
        <v>0</v>
      </c>
      <c r="Q8698" s="93" t="str">
        <f>VLOOKUP(E8698,DATABASE!C:Q,4,false)</f>
        <v>SPOORING</v>
      </c>
      <c r="R8698" s="93" t="str">
        <f>VLOOKUP(E8698,DATABASE!C:Q,11,false)</f>
        <v>SERVICE</v>
      </c>
    </row>
    <row r="8699" ht="22.5" customHeight="1">
      <c r="A8699" s="49"/>
      <c r="C8699" s="400">
        <v>46164.0</v>
      </c>
      <c r="D8699" s="524">
        <v>1459.0</v>
      </c>
      <c r="E8699" s="544" t="s">
        <v>299</v>
      </c>
      <c r="F8699" s="387">
        <v>2.0</v>
      </c>
      <c r="G8699" s="140">
        <v>30000.0</v>
      </c>
      <c r="H8699" s="74"/>
      <c r="I8699" s="74">
        <f t="shared" si="1"/>
        <v>60000</v>
      </c>
      <c r="J8699" s="74">
        <f>IF(E8699="SERVICE",I8699-(I8699*50%),Vlookup(E8699,DATABASE!C:Q,10,false)*F8699)</f>
        <v>0</v>
      </c>
      <c r="K8699" s="74">
        <f>VLOOKUP(E8699,DATABASE!C:Q,7,false)</f>
        <v>10000</v>
      </c>
      <c r="L8699" s="74">
        <v>10000.0</v>
      </c>
      <c r="M8699" s="74">
        <f t="shared" si="6"/>
        <v>10000</v>
      </c>
      <c r="N8699" s="74">
        <f t="shared" si="3"/>
        <v>40000</v>
      </c>
      <c r="O8699" s="65" t="str">
        <f>VLOOKUP(E8699,DATABASE!C:Q,8,false)</f>
        <v>BIAN</v>
      </c>
      <c r="P8699" s="65">
        <f>VLOOKUP(E8699,DATABASE!C:Q,9,False)</f>
        <v>0</v>
      </c>
      <c r="Q8699" s="93" t="str">
        <f>VLOOKUP(E8699,DATABASE!C:Q,4,false)</f>
        <v>Balancing</v>
      </c>
      <c r="R8699" s="93" t="str">
        <f>VLOOKUP(E8699,DATABASE!C:Q,11,false)</f>
        <v>COMPLEMENTARY</v>
      </c>
    </row>
    <row r="8700" ht="22.5" customHeight="1">
      <c r="A8700" s="49"/>
      <c r="C8700" s="400">
        <v>46164.0</v>
      </c>
      <c r="D8700" s="524">
        <v>1459.0</v>
      </c>
      <c r="E8700" s="544" t="s">
        <v>251</v>
      </c>
      <c r="F8700" s="387">
        <v>1.0</v>
      </c>
      <c r="G8700" s="140">
        <v>350000.0</v>
      </c>
      <c r="H8700" s="140">
        <v>200000.0</v>
      </c>
      <c r="I8700" s="74">
        <f t="shared" si="1"/>
        <v>150000</v>
      </c>
      <c r="J8700" s="74">
        <f>IF(E8700="SERVICE",I8700-(I8700*50%),Vlookup(E8700,DATABASE!C:Q,10,false)*F8700)</f>
        <v>75000</v>
      </c>
      <c r="K8700" s="74">
        <f>VLOOKUP(E8700,DATABASE!C:Q,7,false)</f>
        <v>0</v>
      </c>
      <c r="L8700" s="74">
        <v>0.0</v>
      </c>
      <c r="M8700" s="74">
        <f t="shared" si="6"/>
        <v>0</v>
      </c>
      <c r="N8700" s="74">
        <f t="shared" si="3"/>
        <v>75000</v>
      </c>
      <c r="O8700" s="65" t="str">
        <f>VLOOKUP(E8700,DATABASE!C:Q,8,false)</f>
        <v>IBU</v>
      </c>
      <c r="P8700" s="65">
        <f>VLOOKUP(E8700,DATABASE!C:Q,9,False)</f>
        <v>0</v>
      </c>
      <c r="Q8700" s="93" t="str">
        <f>VLOOKUP(E8700,DATABASE!C:Q,4,false)</f>
        <v>SERVICE</v>
      </c>
      <c r="R8700" s="93" t="str">
        <f>VLOOKUP(E8700,DATABASE!C:Q,11,false)</f>
        <v>SERVICE</v>
      </c>
    </row>
    <row r="8701" ht="22.5" customHeight="1">
      <c r="A8701" s="49"/>
      <c r="C8701" s="400">
        <v>46164.0</v>
      </c>
      <c r="D8701" s="524">
        <v>1460.0</v>
      </c>
      <c r="E8701" s="544" t="s">
        <v>299</v>
      </c>
      <c r="F8701" s="387">
        <v>1.0</v>
      </c>
      <c r="G8701" s="140">
        <v>30000.0</v>
      </c>
      <c r="H8701" s="74"/>
      <c r="I8701" s="74">
        <f t="shared" si="1"/>
        <v>30000</v>
      </c>
      <c r="J8701" s="74">
        <f>IF(E8701="SERVICE",I8701-(I8701*50%),Vlookup(E8701,DATABASE!C:Q,10,false)*F8701)</f>
        <v>0</v>
      </c>
      <c r="K8701" s="74">
        <f>VLOOKUP(E8701,DATABASE!C:Q,7,false)</f>
        <v>10000</v>
      </c>
      <c r="L8701" s="74">
        <v>10000.0</v>
      </c>
      <c r="M8701" s="74">
        <f t="shared" si="6"/>
        <v>10000</v>
      </c>
      <c r="N8701" s="74">
        <f t="shared" si="3"/>
        <v>20000</v>
      </c>
      <c r="O8701" s="65" t="str">
        <f>VLOOKUP(E8701,DATABASE!C:Q,8,false)</f>
        <v>BIAN</v>
      </c>
      <c r="P8701" s="65">
        <f>VLOOKUP(E8701,DATABASE!C:Q,9,False)</f>
        <v>0</v>
      </c>
      <c r="Q8701" s="93" t="str">
        <f>VLOOKUP(E8701,DATABASE!C:Q,4,false)</f>
        <v>Balancing</v>
      </c>
      <c r="R8701" s="93" t="str">
        <f>VLOOKUP(E8701,DATABASE!C:Q,11,false)</f>
        <v>COMPLEMENTARY</v>
      </c>
    </row>
    <row r="8702" ht="22.5" customHeight="1">
      <c r="A8702" s="49"/>
      <c r="C8702" s="400">
        <v>46164.0</v>
      </c>
      <c r="D8702" s="524">
        <v>1461.0</v>
      </c>
      <c r="E8702" s="544" t="s">
        <v>940</v>
      </c>
      <c r="F8702" s="387">
        <v>4.0</v>
      </c>
      <c r="G8702" s="140">
        <v>820000.0</v>
      </c>
      <c r="H8702" s="74"/>
      <c r="I8702" s="74">
        <f t="shared" si="1"/>
        <v>3280000</v>
      </c>
      <c r="J8702" s="74">
        <f>IF(E8702="SERVICE",I8702-(I8702*50%),Vlookup(E8702,DATABASE!C:Q,10,false)*F8702)</f>
        <v>0</v>
      </c>
      <c r="K8702" s="74">
        <f>VLOOKUP(E8702,DATABASE!C:Q,7,false)</f>
        <v>716500</v>
      </c>
      <c r="L8702" s="74">
        <v>716500.0</v>
      </c>
      <c r="M8702" s="74">
        <f t="shared" si="6"/>
        <v>720000</v>
      </c>
      <c r="N8702" s="74">
        <f t="shared" si="3"/>
        <v>400000</v>
      </c>
      <c r="O8702" s="65" t="str">
        <f>VLOOKUP(E8702,DATABASE!C:Q,8,false)</f>
        <v>IBU</v>
      </c>
      <c r="P8702" s="65">
        <f>VLOOKUP(E8702,DATABASE!C:Q,9,False)</f>
        <v>1</v>
      </c>
      <c r="Q8702" s="93" t="str">
        <f>VLOOKUP(E8702,DATABASE!C:Q,4,false)</f>
        <v>Dunlop</v>
      </c>
      <c r="R8702" s="93" t="str">
        <f>VLOOKUP(E8702,DATABASE!C:Q,11,false)</f>
        <v>Tire</v>
      </c>
    </row>
    <row r="8703" ht="22.5" customHeight="1">
      <c r="A8703" s="49"/>
      <c r="C8703" s="400">
        <v>46164.0</v>
      </c>
      <c r="D8703" s="524">
        <v>1461.0</v>
      </c>
      <c r="E8703" s="544" t="s">
        <v>256</v>
      </c>
      <c r="F8703" s="387">
        <v>1.0</v>
      </c>
      <c r="G8703" s="140">
        <v>175000.0</v>
      </c>
      <c r="H8703" s="140">
        <v>25000.0</v>
      </c>
      <c r="I8703" s="74">
        <f t="shared" si="1"/>
        <v>150000</v>
      </c>
      <c r="J8703" s="74">
        <f>IF(E8703="SERVICE",I8703-(I8703*50%),Vlookup(E8703,DATABASE!C:Q,10,false)*F8703)</f>
        <v>10000</v>
      </c>
      <c r="K8703" s="74">
        <f>VLOOKUP(E8703,DATABASE!C:Q,7,false)</f>
        <v>0</v>
      </c>
      <c r="L8703" s="74">
        <v>0.0</v>
      </c>
      <c r="M8703" s="74">
        <f t="shared" si="6"/>
        <v>0</v>
      </c>
      <c r="N8703" s="74">
        <f t="shared" si="3"/>
        <v>140000</v>
      </c>
      <c r="O8703" s="65" t="str">
        <f>VLOOKUP(E8703,DATABASE!C:Q,8,false)</f>
        <v>IBU</v>
      </c>
      <c r="P8703" s="65">
        <f>VLOOKUP(E8703,DATABASE!C:Q,9,False)</f>
        <v>0</v>
      </c>
      <c r="Q8703" s="93" t="str">
        <f>VLOOKUP(E8703,DATABASE!C:Q,4,false)</f>
        <v>SPOORING</v>
      </c>
      <c r="R8703" s="93" t="str">
        <f>VLOOKUP(E8703,DATABASE!C:Q,11,false)</f>
        <v>SERVICE</v>
      </c>
    </row>
    <row r="8704" ht="22.5" customHeight="1">
      <c r="A8704" s="49"/>
      <c r="C8704" s="400">
        <v>46164.0</v>
      </c>
      <c r="D8704" s="524">
        <v>1461.0</v>
      </c>
      <c r="E8704" s="544" t="s">
        <v>301</v>
      </c>
      <c r="F8704" s="387">
        <v>1.0</v>
      </c>
      <c r="G8704" s="140">
        <v>250000.0</v>
      </c>
      <c r="H8704" s="74"/>
      <c r="I8704" s="74">
        <f t="shared" si="1"/>
        <v>250000</v>
      </c>
      <c r="J8704" s="74">
        <f>IF(E8704="SERVICE",I8704-(I8704*50%),Vlookup(E8704,DATABASE!C:Q,10,false)*F8704)</f>
        <v>75000</v>
      </c>
      <c r="K8704" s="74">
        <f>VLOOKUP(E8704,DATABASE!C:Q,7,false)</f>
        <v>75000</v>
      </c>
      <c r="L8704" s="74">
        <v>75000.0</v>
      </c>
      <c r="M8704" s="74">
        <f t="shared" si="6"/>
        <v>75000</v>
      </c>
      <c r="N8704" s="74">
        <f t="shared" si="3"/>
        <v>100000</v>
      </c>
      <c r="O8704" s="65" t="str">
        <f>VLOOKUP(E8704,DATABASE!C:Q,8,false)</f>
        <v>BIAN</v>
      </c>
      <c r="P8704" s="65">
        <f>VLOOKUP(E8704,DATABASE!C:Q,9,False)</f>
        <v>0</v>
      </c>
      <c r="Q8704" s="93" t="str">
        <f>VLOOKUP(E8704,DATABASE!C:Q,4,false)</f>
        <v>Baut Camber</v>
      </c>
      <c r="R8704" s="93" t="str">
        <f>VLOOKUP(E8704,DATABASE!C:Q,11,false)</f>
        <v>COMPLEMENTARY</v>
      </c>
    </row>
    <row r="8705" ht="22.5" customHeight="1">
      <c r="A8705" s="49"/>
      <c r="C8705" s="400">
        <v>46165.0</v>
      </c>
      <c r="D8705" s="524">
        <v>1464.0</v>
      </c>
      <c r="E8705" s="544" t="s">
        <v>1009</v>
      </c>
      <c r="F8705" s="387">
        <v>2.0</v>
      </c>
      <c r="G8705" s="140">
        <v>700000.0</v>
      </c>
      <c r="H8705" s="74"/>
      <c r="I8705" s="74">
        <f t="shared" si="1"/>
        <v>1400000</v>
      </c>
      <c r="J8705" s="74">
        <f>IF(E8705="SERVICE",I8705-(I8705*50%),Vlookup(E8705,DATABASE!C:Q,10,false)*F8705)</f>
        <v>0</v>
      </c>
      <c r="K8705" s="74">
        <f>VLOOKUP(E8705,DATABASE!C:Q,7,false)</f>
        <v>609800</v>
      </c>
      <c r="L8705" s="74">
        <v>609800.0</v>
      </c>
      <c r="M8705" s="74">
        <f t="shared" si="6"/>
        <v>610000</v>
      </c>
      <c r="N8705" s="74">
        <f t="shared" si="3"/>
        <v>180000</v>
      </c>
      <c r="O8705" s="65" t="str">
        <f>VLOOKUP(E8705,DATABASE!C:Q,8,false)</f>
        <v>BIAN</v>
      </c>
      <c r="P8705" s="65">
        <f>VLOOKUP(E8705,DATABASE!C:Q,9,False)</f>
        <v>1</v>
      </c>
      <c r="Q8705" s="93" t="str">
        <f>VLOOKUP(E8705,DATABASE!C:Q,4,false)</f>
        <v>GT</v>
      </c>
      <c r="R8705" s="93" t="str">
        <f>VLOOKUP(E8705,DATABASE!C:Q,11,false)</f>
        <v>Tire</v>
      </c>
    </row>
    <row r="8706" ht="22.5" customHeight="1">
      <c r="A8706" s="49"/>
      <c r="C8706" s="400">
        <v>46165.0</v>
      </c>
      <c r="D8706" s="524">
        <v>1465.0</v>
      </c>
      <c r="E8706" s="544" t="s">
        <v>275</v>
      </c>
      <c r="F8706" s="387">
        <v>2.0</v>
      </c>
      <c r="G8706" s="140">
        <v>850000.0</v>
      </c>
      <c r="H8706" s="74"/>
      <c r="I8706" s="74">
        <f t="shared" si="1"/>
        <v>1700000</v>
      </c>
      <c r="J8706" s="74">
        <f>IF(E8706="SERVICE",I8706-(I8706*50%),Vlookup(E8706,DATABASE!C:Q,10,false)*F8706)</f>
        <v>0</v>
      </c>
      <c r="K8706" s="74">
        <f>VLOOKUP(E8706,DATABASE!C:Q,7,false)</f>
        <v>782000</v>
      </c>
      <c r="L8706" s="74">
        <v>759500.0</v>
      </c>
      <c r="M8706" s="74">
        <f t="shared" si="6"/>
        <v>760000</v>
      </c>
      <c r="N8706" s="74">
        <f t="shared" si="3"/>
        <v>180000</v>
      </c>
      <c r="O8706" s="65" t="str">
        <f>VLOOKUP(E8706,DATABASE!C:Q,8,false)</f>
        <v>IBU</v>
      </c>
      <c r="P8706" s="65">
        <f>VLOOKUP(E8706,DATABASE!C:Q,9,False)</f>
        <v>1</v>
      </c>
      <c r="Q8706" s="93" t="str">
        <f>VLOOKUP(E8706,DATABASE!C:Q,4,false)</f>
        <v>Dunlop</v>
      </c>
      <c r="R8706" s="93" t="str">
        <f>VLOOKUP(E8706,DATABASE!C:Q,11,false)</f>
        <v>Tire</v>
      </c>
    </row>
    <row r="8707" ht="22.5" customHeight="1">
      <c r="A8707" s="49"/>
      <c r="C8707" s="400">
        <v>46165.0</v>
      </c>
      <c r="D8707" s="524">
        <v>1466.0</v>
      </c>
      <c r="E8707" s="544" t="s">
        <v>268</v>
      </c>
      <c r="F8707" s="387">
        <v>1.0</v>
      </c>
      <c r="G8707" s="140">
        <v>720000.0</v>
      </c>
      <c r="H8707" s="74"/>
      <c r="I8707" s="74">
        <f t="shared" si="1"/>
        <v>720000</v>
      </c>
      <c r="J8707" s="74">
        <f>IF(E8707="SERVICE",I8707-(I8707*50%),Vlookup(E8707,DATABASE!C:Q,10,false)*F8707)</f>
        <v>0</v>
      </c>
      <c r="K8707" s="74">
        <f>VLOOKUP(E8707,DATABASE!C:Q,7,false)</f>
        <v>653000</v>
      </c>
      <c r="L8707" s="74">
        <v>634500.0</v>
      </c>
      <c r="M8707" s="74">
        <f t="shared" si="6"/>
        <v>635000</v>
      </c>
      <c r="N8707" s="74">
        <f t="shared" si="3"/>
        <v>85000</v>
      </c>
      <c r="O8707" s="65" t="str">
        <f>VLOOKUP(E8707,DATABASE!C:Q,8,false)</f>
        <v>IBU</v>
      </c>
      <c r="P8707" s="65">
        <f>VLOOKUP(E8707,DATABASE!C:Q,9,False)</f>
        <v>1</v>
      </c>
      <c r="Q8707" s="93" t="str">
        <f>VLOOKUP(E8707,DATABASE!C:Q,4,false)</f>
        <v>Dunlop</v>
      </c>
      <c r="R8707" s="93" t="str">
        <f>VLOOKUP(E8707,DATABASE!C:Q,11,false)</f>
        <v>Tire</v>
      </c>
    </row>
    <row r="8708" ht="22.5" customHeight="1">
      <c r="A8708" s="49"/>
      <c r="C8708" s="400">
        <v>46165.0</v>
      </c>
      <c r="D8708" s="524">
        <v>1467.0</v>
      </c>
      <c r="E8708" s="544" t="s">
        <v>924</v>
      </c>
      <c r="F8708" s="387">
        <v>2.0</v>
      </c>
      <c r="G8708" s="140">
        <v>1650000.0</v>
      </c>
      <c r="H8708" s="140">
        <v>7500.0</v>
      </c>
      <c r="I8708" s="74">
        <f t="shared" si="1"/>
        <v>3285000</v>
      </c>
      <c r="J8708" s="74">
        <f>IF(E8708="SERVICE",I8708-(I8708*50%),Vlookup(E8708,DATABASE!C:Q,10,false)*F8708)</f>
        <v>0</v>
      </c>
      <c r="K8708" s="74">
        <f>VLOOKUP(E8708,DATABASE!C:Q,7,false)</f>
        <v>1560000</v>
      </c>
      <c r="L8708" s="74">
        <v>1545000.0</v>
      </c>
      <c r="M8708" s="74">
        <f t="shared" si="6"/>
        <v>1545000</v>
      </c>
      <c r="N8708" s="74">
        <f t="shared" si="3"/>
        <v>195000</v>
      </c>
      <c r="O8708" s="65" t="str">
        <f>VLOOKUP(E8708,DATABASE!C:Q,8,false)</f>
        <v>BIAN</v>
      </c>
      <c r="P8708" s="65">
        <f>VLOOKUP(E8708,DATABASE!C:Q,9,False)</f>
        <v>1</v>
      </c>
      <c r="Q8708" s="93" t="str">
        <f>VLOOKUP(E8708,DATABASE!C:Q,4,false)</f>
        <v>TIRON</v>
      </c>
      <c r="R8708" s="93" t="str">
        <f>VLOOKUP(E8708,DATABASE!C:Q,11,false)</f>
        <v>Tire</v>
      </c>
    </row>
    <row r="8709" ht="22.5" customHeight="1">
      <c r="A8709" s="49"/>
      <c r="C8709" s="400">
        <v>46165.0</v>
      </c>
      <c r="D8709" s="524">
        <v>1468.0</v>
      </c>
      <c r="E8709" s="544" t="s">
        <v>1439</v>
      </c>
      <c r="F8709" s="387">
        <v>3.0</v>
      </c>
      <c r="G8709" s="140">
        <v>645000.0</v>
      </c>
      <c r="H8709" s="74"/>
      <c r="I8709" s="74">
        <f t="shared" si="1"/>
        <v>1935000</v>
      </c>
      <c r="J8709" s="74">
        <f>IF(E8709="SERVICE",I8709-(I8709*50%),Vlookup(E8709,DATABASE!C:Q,10,false)*F8709)</f>
        <v>0</v>
      </c>
      <c r="K8709" s="74">
        <f>VLOOKUP(E8709,DATABASE!C:Q,7,false)</f>
        <v>556800</v>
      </c>
      <c r="L8709" s="74">
        <v>556800.0</v>
      </c>
      <c r="M8709" s="74">
        <f t="shared" si="6"/>
        <v>560000</v>
      </c>
      <c r="N8709" s="74">
        <f t="shared" si="3"/>
        <v>255000</v>
      </c>
      <c r="O8709" s="65" t="str">
        <f>VLOOKUP(E8709,DATABASE!C:Q,8,false)</f>
        <v>BIAN</v>
      </c>
      <c r="P8709" s="65">
        <f>VLOOKUP(E8709,DATABASE!C:Q,9,False)</f>
        <v>1</v>
      </c>
      <c r="Q8709" s="93" t="str">
        <f>VLOOKUP(E8709,DATABASE!C:Q,4,false)</f>
        <v>GT</v>
      </c>
      <c r="R8709" s="93" t="str">
        <f>VLOOKUP(E8709,DATABASE!C:Q,11,false)</f>
        <v>Tire</v>
      </c>
    </row>
    <row r="8710" ht="22.5" customHeight="1">
      <c r="A8710" s="49"/>
      <c r="C8710" s="400">
        <v>46165.0</v>
      </c>
      <c r="D8710" s="524">
        <v>1469.0</v>
      </c>
      <c r="E8710" s="544" t="s">
        <v>2624</v>
      </c>
      <c r="F8710" s="387">
        <v>1.0</v>
      </c>
      <c r="G8710" s="140">
        <v>610000.0</v>
      </c>
      <c r="H8710" s="74"/>
      <c r="I8710" s="74">
        <f t="shared" si="1"/>
        <v>610000</v>
      </c>
      <c r="J8710" s="74">
        <f>IF(E8710="SERVICE",I8710-(I8710*50%),Vlookup(E8710,DATABASE!C:Q,10,false)*F8710)</f>
        <v>0</v>
      </c>
      <c r="K8710" s="74">
        <f>VLOOKUP(E8710,DATABASE!C:Q,7,false)</f>
        <v>517000</v>
      </c>
      <c r="L8710" s="74">
        <v>517000.0</v>
      </c>
      <c r="M8710" s="74">
        <f t="shared" si="6"/>
        <v>520000</v>
      </c>
      <c r="N8710" s="74">
        <f t="shared" si="3"/>
        <v>90000</v>
      </c>
      <c r="O8710" s="65" t="str">
        <f>VLOOKUP(E8710,DATABASE!C:Q,8,false)</f>
        <v>BIAN</v>
      </c>
      <c r="P8710" s="65">
        <f>VLOOKUP(E8710,DATABASE!C:Q,9,False)</f>
        <v>1</v>
      </c>
      <c r="Q8710" s="93" t="str">
        <f>VLOOKUP(E8710,DATABASE!C:Q,4,false)</f>
        <v>Sailun</v>
      </c>
      <c r="R8710" s="93" t="str">
        <f>VLOOKUP(E8710,DATABASE!C:Q,11,false)</f>
        <v>Tire</v>
      </c>
    </row>
    <row r="8711" ht="22.5" customHeight="1">
      <c r="A8711" s="49"/>
      <c r="C8711" s="400">
        <v>46165.0</v>
      </c>
      <c r="D8711" s="524">
        <v>1470.0</v>
      </c>
      <c r="E8711" s="544" t="s">
        <v>1400</v>
      </c>
      <c r="F8711" s="387">
        <v>2.0</v>
      </c>
      <c r="G8711" s="140">
        <v>565000.0</v>
      </c>
      <c r="H8711" s="140">
        <v>5000.0</v>
      </c>
      <c r="I8711" s="74">
        <f t="shared" si="1"/>
        <v>1120000</v>
      </c>
      <c r="J8711" s="74">
        <f>IF(E8711="SERVICE",I8711-(I8711*50%),Vlookup(E8711,DATABASE!C:Q,10,false)*F8711)</f>
        <v>0</v>
      </c>
      <c r="K8711" s="74">
        <f>VLOOKUP(E8711,DATABASE!C:Q,7,false)</f>
        <v>465000</v>
      </c>
      <c r="L8711" s="74">
        <v>465000.0</v>
      </c>
      <c r="M8711" s="74">
        <f t="shared" si="6"/>
        <v>465000</v>
      </c>
      <c r="N8711" s="74">
        <f t="shared" si="3"/>
        <v>190000</v>
      </c>
      <c r="O8711" s="65" t="str">
        <f>VLOOKUP(E8711,DATABASE!C:Q,8,false)</f>
        <v>IBU</v>
      </c>
      <c r="P8711" s="65">
        <f>VLOOKUP(E8711,DATABASE!C:Q,9,False)</f>
        <v>1</v>
      </c>
      <c r="Q8711" s="93" t="str">
        <f>VLOOKUP(E8711,DATABASE!C:Q,4,false)</f>
        <v>Dunlop</v>
      </c>
      <c r="R8711" s="93" t="str">
        <f>VLOOKUP(E8711,DATABASE!C:Q,11,false)</f>
        <v>Tire</v>
      </c>
    </row>
    <row r="8712" ht="22.5" customHeight="1">
      <c r="A8712" s="49"/>
      <c r="C8712" s="400">
        <v>46165.0</v>
      </c>
      <c r="D8712" s="524">
        <v>1471.0</v>
      </c>
      <c r="E8712" s="544" t="s">
        <v>256</v>
      </c>
      <c r="F8712" s="387">
        <v>1.0</v>
      </c>
      <c r="G8712" s="140">
        <v>175000.0</v>
      </c>
      <c r="H8712" s="140">
        <v>25000.0</v>
      </c>
      <c r="I8712" s="74">
        <f t="shared" si="1"/>
        <v>150000</v>
      </c>
      <c r="J8712" s="74">
        <f>IF(E8712="SERVICE",I8712-(I8712*50%),Vlookup(E8712,DATABASE!C:Q,10,false)*F8712)</f>
        <v>10000</v>
      </c>
      <c r="K8712" s="74">
        <f>VLOOKUP(E8712,DATABASE!C:Q,7,false)</f>
        <v>0</v>
      </c>
      <c r="L8712" s="74">
        <v>0.0</v>
      </c>
      <c r="M8712" s="74">
        <f t="shared" si="6"/>
        <v>0</v>
      </c>
      <c r="N8712" s="74">
        <f t="shared" si="3"/>
        <v>140000</v>
      </c>
      <c r="O8712" s="65" t="str">
        <f>VLOOKUP(E8712,DATABASE!C:Q,8,false)</f>
        <v>IBU</v>
      </c>
      <c r="P8712" s="65">
        <f>VLOOKUP(E8712,DATABASE!C:Q,9,False)</f>
        <v>0</v>
      </c>
      <c r="Q8712" s="93" t="str">
        <f>VLOOKUP(E8712,DATABASE!C:Q,4,false)</f>
        <v>SPOORING</v>
      </c>
      <c r="R8712" s="93" t="str">
        <f>VLOOKUP(E8712,DATABASE!C:Q,11,false)</f>
        <v>SERVICE</v>
      </c>
    </row>
    <row r="8713" ht="22.5" customHeight="1">
      <c r="A8713" s="49"/>
      <c r="C8713" s="400">
        <v>46165.0</v>
      </c>
      <c r="D8713" s="524">
        <v>1472.0</v>
      </c>
      <c r="E8713" s="544" t="s">
        <v>554</v>
      </c>
      <c r="F8713" s="387">
        <v>1.0</v>
      </c>
      <c r="G8713" s="140">
        <v>790000.0</v>
      </c>
      <c r="H8713" s="74"/>
      <c r="I8713" s="74">
        <f t="shared" si="1"/>
        <v>790000</v>
      </c>
      <c r="J8713" s="74">
        <f>IF(E8713="SERVICE",I8713-(I8713*50%),Vlookup(E8713,DATABASE!C:Q,10,false)*F8713)</f>
        <v>0</v>
      </c>
      <c r="K8713" s="74">
        <f>VLOOKUP(E8713,DATABASE!C:Q,7,false)</f>
        <v>710000</v>
      </c>
      <c r="L8713" s="74">
        <v>705000.0</v>
      </c>
      <c r="M8713" s="74">
        <f t="shared" si="6"/>
        <v>705000</v>
      </c>
      <c r="N8713" s="74">
        <f t="shared" si="3"/>
        <v>85000</v>
      </c>
      <c r="O8713" s="65" t="str">
        <f>VLOOKUP(E8713,DATABASE!C:Q,8,false)</f>
        <v>IBU</v>
      </c>
      <c r="P8713" s="65">
        <f>VLOOKUP(E8713,DATABASE!C:Q,9,False)</f>
        <v>1</v>
      </c>
      <c r="Q8713" s="93" t="str">
        <f>VLOOKUP(E8713,DATABASE!C:Q,4,false)</f>
        <v>Bridgestone</v>
      </c>
      <c r="R8713" s="93" t="str">
        <f>VLOOKUP(E8713,DATABASE!C:Q,11,false)</f>
        <v>Tire</v>
      </c>
    </row>
    <row r="8714" ht="22.5" customHeight="1">
      <c r="A8714" s="49"/>
      <c r="C8714" s="400">
        <v>46165.0</v>
      </c>
      <c r="D8714" s="524">
        <v>1473.0</v>
      </c>
      <c r="E8714" s="544" t="s">
        <v>268</v>
      </c>
      <c r="F8714" s="387">
        <v>1.0</v>
      </c>
      <c r="G8714" s="140">
        <v>720000.0</v>
      </c>
      <c r="H8714" s="74"/>
      <c r="I8714" s="74">
        <f t="shared" si="1"/>
        <v>720000</v>
      </c>
      <c r="J8714" s="74">
        <f>IF(E8714="SERVICE",I8714-(I8714*50%),Vlookup(E8714,DATABASE!C:Q,10,false)*F8714)</f>
        <v>0</v>
      </c>
      <c r="K8714" s="74">
        <f>VLOOKUP(E8714,DATABASE!C:Q,7,false)</f>
        <v>653000</v>
      </c>
      <c r="L8714" s="74">
        <v>634500.0</v>
      </c>
      <c r="M8714" s="74">
        <f t="shared" si="6"/>
        <v>635000</v>
      </c>
      <c r="N8714" s="74">
        <f t="shared" si="3"/>
        <v>85000</v>
      </c>
      <c r="O8714" s="65" t="str">
        <f>VLOOKUP(E8714,DATABASE!C:Q,8,false)</f>
        <v>IBU</v>
      </c>
      <c r="P8714" s="65">
        <f>VLOOKUP(E8714,DATABASE!C:Q,9,False)</f>
        <v>1</v>
      </c>
      <c r="Q8714" s="93" t="str">
        <f>VLOOKUP(E8714,DATABASE!C:Q,4,false)</f>
        <v>Dunlop</v>
      </c>
      <c r="R8714" s="93" t="str">
        <f>VLOOKUP(E8714,DATABASE!C:Q,11,false)</f>
        <v>Tire</v>
      </c>
    </row>
    <row r="8715" ht="22.5" customHeight="1">
      <c r="A8715" s="49"/>
      <c r="C8715" s="400">
        <v>46165.0</v>
      </c>
      <c r="D8715" s="69" t="s">
        <v>2819</v>
      </c>
      <c r="E8715" s="544" t="s">
        <v>2174</v>
      </c>
      <c r="F8715" s="387">
        <v>1.0</v>
      </c>
      <c r="G8715" s="140">
        <v>235000.0</v>
      </c>
      <c r="H8715" s="74"/>
      <c r="I8715" s="74">
        <f t="shared" si="1"/>
        <v>235000</v>
      </c>
      <c r="J8715" s="74">
        <f>IF(E8715="SERVICE",I8715-(I8715*50%),Vlookup(E8715,DATABASE!C:Q,10,false)*F8715)</f>
        <v>0</v>
      </c>
      <c r="K8715" s="74">
        <f>VLOOKUP(E8715,DATABASE!C:Q,7,false)</f>
        <v>225314</v>
      </c>
      <c r="L8715" s="74">
        <v>182600.0</v>
      </c>
      <c r="M8715" s="74">
        <f t="shared" si="6"/>
        <v>185000</v>
      </c>
      <c r="N8715" s="74">
        <f t="shared" si="3"/>
        <v>50000</v>
      </c>
      <c r="O8715" s="65" t="str">
        <f>VLOOKUP(E8715,DATABASE!C:Q,8,false)</f>
        <v>NON</v>
      </c>
      <c r="P8715" s="65">
        <f>VLOOKUP(E8715,DATABASE!C:Q,9,False)</f>
        <v>0</v>
      </c>
      <c r="Q8715" s="93" t="str">
        <f>VLOOKUP(E8715,DATABASE!C:Q,4,false)</f>
        <v>Shell</v>
      </c>
      <c r="R8715" s="93" t="str">
        <f>VLOOKUP(E8715,DATABASE!C:Q,11,false)</f>
        <v>OIL</v>
      </c>
    </row>
    <row r="8716" ht="22.5" customHeight="1">
      <c r="A8716" s="49"/>
      <c r="C8716" s="400">
        <v>46166.0</v>
      </c>
      <c r="D8716" s="69">
        <v>1474.0</v>
      </c>
      <c r="E8716" s="544" t="s">
        <v>265</v>
      </c>
      <c r="F8716" s="387">
        <v>1.0</v>
      </c>
      <c r="G8716" s="140">
        <v>700000.0</v>
      </c>
      <c r="H8716" s="74"/>
      <c r="I8716" s="74">
        <f t="shared" si="1"/>
        <v>700000</v>
      </c>
      <c r="J8716" s="74">
        <f>IF(E8716="SERVICE",I8716-(I8716*50%),Vlookup(E8716,DATABASE!C:Q,10,false)*F8716)</f>
        <v>0</v>
      </c>
      <c r="K8716" s="74">
        <f>VLOOKUP(E8716,DATABASE!C:Q,7,false)</f>
        <v>628000</v>
      </c>
      <c r="L8716" s="74">
        <v>610000.0</v>
      </c>
      <c r="M8716" s="74">
        <f t="shared" si="6"/>
        <v>610000</v>
      </c>
      <c r="N8716" s="74">
        <f t="shared" si="3"/>
        <v>90000</v>
      </c>
      <c r="O8716" s="65" t="str">
        <f>VLOOKUP(E8716,DATABASE!C:Q,8,false)</f>
        <v>IBU</v>
      </c>
      <c r="P8716" s="65">
        <f>VLOOKUP(E8716,DATABASE!C:Q,9,False)</f>
        <v>1</v>
      </c>
      <c r="Q8716" s="93" t="str">
        <f>VLOOKUP(E8716,DATABASE!C:Q,4,false)</f>
        <v>Dunlop</v>
      </c>
      <c r="R8716" s="93" t="str">
        <f>VLOOKUP(E8716,DATABASE!C:Q,11,false)</f>
        <v>Tire</v>
      </c>
    </row>
    <row r="8717" ht="22.5" customHeight="1">
      <c r="A8717" s="49"/>
      <c r="C8717" s="400">
        <v>46166.0</v>
      </c>
      <c r="D8717" s="69">
        <v>1475.0</v>
      </c>
      <c r="E8717" s="544" t="s">
        <v>1439</v>
      </c>
      <c r="F8717" s="387">
        <v>1.0</v>
      </c>
      <c r="G8717" s="140">
        <v>645000.0</v>
      </c>
      <c r="H8717" s="74"/>
      <c r="I8717" s="74">
        <f t="shared" si="1"/>
        <v>645000</v>
      </c>
      <c r="J8717" s="74">
        <f>IF(E8717="SERVICE",I8717-(I8717*50%),Vlookup(E8717,DATABASE!C:Q,10,false)*F8717)</f>
        <v>0</v>
      </c>
      <c r="K8717" s="74">
        <f>VLOOKUP(E8717,DATABASE!C:Q,7,false)</f>
        <v>556800</v>
      </c>
      <c r="L8717" s="74">
        <v>556800.0</v>
      </c>
      <c r="M8717" s="74">
        <f t="shared" si="6"/>
        <v>560000</v>
      </c>
      <c r="N8717" s="74">
        <f t="shared" si="3"/>
        <v>85000</v>
      </c>
      <c r="O8717" s="65" t="str">
        <f>VLOOKUP(E8717,DATABASE!C:Q,8,false)</f>
        <v>BIAN</v>
      </c>
      <c r="P8717" s="65">
        <f>VLOOKUP(E8717,DATABASE!C:Q,9,False)</f>
        <v>1</v>
      </c>
      <c r="Q8717" s="93" t="str">
        <f>VLOOKUP(E8717,DATABASE!C:Q,4,false)</f>
        <v>GT</v>
      </c>
      <c r="R8717" s="93" t="str">
        <f>VLOOKUP(E8717,DATABASE!C:Q,11,false)</f>
        <v>Tire</v>
      </c>
    </row>
    <row r="8718" ht="22.5" customHeight="1">
      <c r="A8718" s="49"/>
      <c r="C8718" s="400">
        <v>46166.0</v>
      </c>
      <c r="D8718" s="69">
        <v>1476.0</v>
      </c>
      <c r="E8718" s="544" t="s">
        <v>1898</v>
      </c>
      <c r="F8718" s="387">
        <v>4.0</v>
      </c>
      <c r="G8718" s="140">
        <v>720000.0</v>
      </c>
      <c r="H8718" s="74"/>
      <c r="I8718" s="74">
        <f t="shared" si="1"/>
        <v>2880000</v>
      </c>
      <c r="J8718" s="74">
        <f>IF(E8718="SERVICE",I8718-(I8718*50%),Vlookup(E8718,DATABASE!C:Q,10,false)*F8718)</f>
        <v>0</v>
      </c>
      <c r="K8718" s="74">
        <f>VLOOKUP(E8718,DATABASE!C:Q,7,false)</f>
        <v>640700</v>
      </c>
      <c r="L8718" s="74">
        <v>628100.0</v>
      </c>
      <c r="M8718" s="74">
        <f t="shared" si="6"/>
        <v>630000</v>
      </c>
      <c r="N8718" s="74">
        <f t="shared" si="3"/>
        <v>360000</v>
      </c>
      <c r="O8718" s="65" t="str">
        <f>VLOOKUP(E8718,DATABASE!C:Q,8,false)</f>
        <v>BIAN</v>
      </c>
      <c r="P8718" s="65">
        <f>VLOOKUP(E8718,DATABASE!C:Q,9,False)</f>
        <v>1</v>
      </c>
      <c r="Q8718" s="93" t="str">
        <f>VLOOKUP(E8718,DATABASE!C:Q,4,false)</f>
        <v>GT</v>
      </c>
      <c r="R8718" s="93" t="str">
        <f>VLOOKUP(E8718,DATABASE!C:Q,11,false)</f>
        <v>Tire</v>
      </c>
    </row>
    <row r="8719" ht="22.5" customHeight="1">
      <c r="A8719" s="49"/>
      <c r="C8719" s="400">
        <v>46166.0</v>
      </c>
      <c r="D8719" s="69" t="s">
        <v>0</v>
      </c>
      <c r="E8719" s="544" t="s">
        <v>256</v>
      </c>
      <c r="F8719" s="387">
        <v>1.0</v>
      </c>
      <c r="G8719" s="140">
        <v>150000.0</v>
      </c>
      <c r="H8719" s="74"/>
      <c r="I8719" s="74">
        <f t="shared" si="1"/>
        <v>150000</v>
      </c>
      <c r="J8719" s="74">
        <f>IF(E8719="SERVICE",I8719-(I8719*50%),Vlookup(E8719,DATABASE!C:Q,10,false)*F8719)</f>
        <v>10000</v>
      </c>
      <c r="K8719" s="74">
        <f>VLOOKUP(E8719,DATABASE!C:Q,7,false)</f>
        <v>0</v>
      </c>
      <c r="L8719" s="74">
        <v>0.0</v>
      </c>
      <c r="M8719" s="74">
        <f t="shared" si="6"/>
        <v>0</v>
      </c>
      <c r="N8719" s="74">
        <f t="shared" si="3"/>
        <v>140000</v>
      </c>
      <c r="O8719" s="65" t="str">
        <f>VLOOKUP(E8719,DATABASE!C:Q,8,false)</f>
        <v>IBU</v>
      </c>
      <c r="P8719" s="65">
        <f>VLOOKUP(E8719,DATABASE!C:Q,9,False)</f>
        <v>0</v>
      </c>
      <c r="Q8719" s="93" t="str">
        <f>VLOOKUP(E8719,DATABASE!C:Q,4,false)</f>
        <v>SPOORING</v>
      </c>
      <c r="R8719" s="93" t="str">
        <f>VLOOKUP(E8719,DATABASE!C:Q,11,false)</f>
        <v>SERVICE</v>
      </c>
    </row>
    <row r="8720" ht="22.5" customHeight="1">
      <c r="A8720" s="49"/>
      <c r="C8720" s="400">
        <v>46166.0</v>
      </c>
      <c r="D8720" s="69" t="s">
        <v>0</v>
      </c>
      <c r="E8720" s="544" t="s">
        <v>251</v>
      </c>
      <c r="F8720" s="387">
        <v>1.0</v>
      </c>
      <c r="G8720" s="140">
        <v>150000.0</v>
      </c>
      <c r="H8720" s="74"/>
      <c r="I8720" s="74">
        <f t="shared" si="1"/>
        <v>150000</v>
      </c>
      <c r="J8720" s="74">
        <f>IF(E8720="SERVICE",I8720-(I8720*50%),Vlookup(E8720,DATABASE!C:Q,10,false)*F8720)</f>
        <v>75000</v>
      </c>
      <c r="K8720" s="74">
        <f>VLOOKUP(E8720,DATABASE!C:Q,7,false)</f>
        <v>0</v>
      </c>
      <c r="L8720" s="74">
        <v>0.0</v>
      </c>
      <c r="M8720" s="74">
        <f t="shared" si="6"/>
        <v>0</v>
      </c>
      <c r="N8720" s="74">
        <f t="shared" si="3"/>
        <v>75000</v>
      </c>
      <c r="O8720" s="65" t="str">
        <f>VLOOKUP(E8720,DATABASE!C:Q,8,false)</f>
        <v>IBU</v>
      </c>
      <c r="P8720" s="65">
        <f>VLOOKUP(E8720,DATABASE!C:Q,9,False)</f>
        <v>0</v>
      </c>
      <c r="Q8720" s="93" t="str">
        <f>VLOOKUP(E8720,DATABASE!C:Q,4,false)</f>
        <v>SERVICE</v>
      </c>
      <c r="R8720" s="93" t="str">
        <f>VLOOKUP(E8720,DATABASE!C:Q,11,false)</f>
        <v>SERVICE</v>
      </c>
    </row>
    <row r="8721" ht="22.5" customHeight="1">
      <c r="A8721" s="49"/>
      <c r="C8721" s="400">
        <v>46166.0</v>
      </c>
      <c r="D8721" s="69" t="s">
        <v>2820</v>
      </c>
      <c r="E8721" s="544" t="s">
        <v>2174</v>
      </c>
      <c r="F8721" s="387">
        <v>1.0</v>
      </c>
      <c r="G8721" s="140">
        <v>235000.0</v>
      </c>
      <c r="H8721" s="74"/>
      <c r="I8721" s="74">
        <f t="shared" si="1"/>
        <v>235000</v>
      </c>
      <c r="J8721" s="74">
        <f>IF(E8721="SERVICE",I8721-(I8721*50%),Vlookup(E8721,DATABASE!C:Q,10,false)*F8721)</f>
        <v>0</v>
      </c>
      <c r="K8721" s="74">
        <f>VLOOKUP(E8721,DATABASE!C:Q,7,false)</f>
        <v>225314</v>
      </c>
      <c r="L8721" s="74">
        <v>182600.0</v>
      </c>
      <c r="M8721" s="74">
        <f t="shared" si="6"/>
        <v>185000</v>
      </c>
      <c r="N8721" s="74">
        <f t="shared" si="3"/>
        <v>50000</v>
      </c>
      <c r="O8721" s="65" t="str">
        <f>VLOOKUP(E8721,DATABASE!C:Q,8,false)</f>
        <v>NON</v>
      </c>
      <c r="P8721" s="65">
        <f>VLOOKUP(E8721,DATABASE!C:Q,9,False)</f>
        <v>0</v>
      </c>
      <c r="Q8721" s="93" t="str">
        <f>VLOOKUP(E8721,DATABASE!C:Q,4,false)</f>
        <v>Shell</v>
      </c>
      <c r="R8721" s="93" t="str">
        <f>VLOOKUP(E8721,DATABASE!C:Q,11,false)</f>
        <v>OIL</v>
      </c>
    </row>
    <row r="8722" ht="22.5" customHeight="1">
      <c r="A8722" s="49"/>
      <c r="C8722" s="400">
        <v>46166.0</v>
      </c>
      <c r="D8722" s="69" t="s">
        <v>2821</v>
      </c>
      <c r="E8722" s="544" t="s">
        <v>2174</v>
      </c>
      <c r="F8722" s="387">
        <v>1.0</v>
      </c>
      <c r="G8722" s="140">
        <v>235000.0</v>
      </c>
      <c r="H8722" s="74"/>
      <c r="I8722" s="74">
        <f t="shared" si="1"/>
        <v>235000</v>
      </c>
      <c r="J8722" s="74">
        <f>IF(E8722="SERVICE",I8722-(I8722*50%),Vlookup(E8722,DATABASE!C:Q,10,false)*F8722)</f>
        <v>0</v>
      </c>
      <c r="K8722" s="74">
        <f>VLOOKUP(E8722,DATABASE!C:Q,7,false)</f>
        <v>225314</v>
      </c>
      <c r="L8722" s="74">
        <v>182600.0</v>
      </c>
      <c r="M8722" s="74">
        <f t="shared" si="6"/>
        <v>185000</v>
      </c>
      <c r="N8722" s="74">
        <f t="shared" si="3"/>
        <v>50000</v>
      </c>
      <c r="O8722" s="65" t="str">
        <f>VLOOKUP(E8722,DATABASE!C:Q,8,false)</f>
        <v>NON</v>
      </c>
      <c r="P8722" s="65">
        <f>VLOOKUP(E8722,DATABASE!C:Q,9,False)</f>
        <v>0</v>
      </c>
      <c r="Q8722" s="93" t="str">
        <f>VLOOKUP(E8722,DATABASE!C:Q,4,false)</f>
        <v>Shell</v>
      </c>
      <c r="R8722" s="93" t="str">
        <f>VLOOKUP(E8722,DATABASE!C:Q,11,false)</f>
        <v>OIL</v>
      </c>
    </row>
    <row r="8723" ht="22.5" customHeight="1">
      <c r="A8723" s="49"/>
      <c r="C8723" s="400">
        <v>46167.0</v>
      </c>
      <c r="D8723" s="524">
        <v>1477.0</v>
      </c>
      <c r="E8723" s="544" t="s">
        <v>268</v>
      </c>
      <c r="F8723" s="387">
        <v>1.0</v>
      </c>
      <c r="G8723" s="140">
        <v>720000.0</v>
      </c>
      <c r="H8723" s="74"/>
      <c r="I8723" s="74">
        <f t="shared" si="1"/>
        <v>720000</v>
      </c>
      <c r="J8723" s="74">
        <f>IF(E8723="SERVICE",I8723-(I8723*50%),Vlookup(E8723,DATABASE!C:Q,10,false)*F8723)</f>
        <v>0</v>
      </c>
      <c r="K8723" s="74">
        <f>VLOOKUP(E8723,DATABASE!C:Q,7,false)</f>
        <v>653000</v>
      </c>
      <c r="L8723" s="74">
        <v>634500.0</v>
      </c>
      <c r="M8723" s="74">
        <f t="shared" si="6"/>
        <v>635000</v>
      </c>
      <c r="N8723" s="74">
        <f t="shared" si="3"/>
        <v>85000</v>
      </c>
      <c r="O8723" s="65" t="str">
        <f>VLOOKUP(E8723,DATABASE!C:Q,8,false)</f>
        <v>IBU</v>
      </c>
      <c r="P8723" s="65">
        <f>VLOOKUP(E8723,DATABASE!C:Q,9,False)</f>
        <v>1</v>
      </c>
      <c r="Q8723" s="93" t="str">
        <f>VLOOKUP(E8723,DATABASE!C:Q,4,false)</f>
        <v>Dunlop</v>
      </c>
      <c r="R8723" s="93" t="str">
        <f>VLOOKUP(E8723,DATABASE!C:Q,11,false)</f>
        <v>Tire</v>
      </c>
    </row>
    <row r="8724" ht="22.5" customHeight="1">
      <c r="A8724" s="49"/>
      <c r="C8724" s="400">
        <v>46167.0</v>
      </c>
      <c r="D8724" s="524">
        <v>1478.0</v>
      </c>
      <c r="E8724" s="544" t="s">
        <v>744</v>
      </c>
      <c r="F8724" s="387">
        <v>2.0</v>
      </c>
      <c r="G8724" s="140">
        <v>230000.0</v>
      </c>
      <c r="H8724" s="74"/>
      <c r="I8724" s="74">
        <f t="shared" si="1"/>
        <v>460000</v>
      </c>
      <c r="J8724" s="74">
        <f>IF(E8724="SERVICE",I8724-(I8724*50%),Vlookup(E8724,DATABASE!C:Q,10,false)*F8724)</f>
        <v>0</v>
      </c>
      <c r="K8724" s="74">
        <f>VLOOKUP(E8724,DATABASE!C:Q,7,false)</f>
        <v>182200</v>
      </c>
      <c r="L8724" s="74">
        <v>182200.0</v>
      </c>
      <c r="M8724" s="74">
        <f t="shared" si="6"/>
        <v>185000</v>
      </c>
      <c r="N8724" s="74">
        <f t="shared" si="3"/>
        <v>90000</v>
      </c>
      <c r="O8724" s="65" t="str">
        <f>VLOOKUP(E8724,DATABASE!C:Q,8,false)</f>
        <v>BIAN</v>
      </c>
      <c r="P8724" s="65">
        <f>VLOOKUP(E8724,DATABASE!C:Q,9,False)</f>
        <v>1</v>
      </c>
      <c r="Q8724" s="93" t="str">
        <f>VLOOKUP(E8724,DATABASE!C:Q,4,false)</f>
        <v>BD</v>
      </c>
      <c r="R8724" s="93" t="str">
        <f>VLOOKUP(E8724,DATABASE!C:Q,11,false)</f>
        <v>Tire</v>
      </c>
    </row>
    <row r="8725" ht="22.5" customHeight="1">
      <c r="A8725" s="49"/>
      <c r="C8725" s="400">
        <v>46167.0</v>
      </c>
      <c r="D8725" s="524">
        <v>1478.0</v>
      </c>
      <c r="E8725" s="544" t="s">
        <v>613</v>
      </c>
      <c r="F8725" s="387">
        <v>2.0</v>
      </c>
      <c r="G8725" s="140">
        <v>100000.0</v>
      </c>
      <c r="H8725" s="74"/>
      <c r="I8725" s="74">
        <f t="shared" si="1"/>
        <v>200000</v>
      </c>
      <c r="J8725" s="74">
        <f>IF(E8725="SERVICE",I8725-(I8725*50%),Vlookup(E8725,DATABASE!C:Q,10,false)*F8725)</f>
        <v>0</v>
      </c>
      <c r="K8725" s="74">
        <f>VLOOKUP(E8725,DATABASE!C:Q,7,false)</f>
        <v>58371.2695</v>
      </c>
      <c r="L8725" s="74">
        <v>58371.2695</v>
      </c>
      <c r="M8725" s="74">
        <f t="shared" si="6"/>
        <v>60000</v>
      </c>
      <c r="N8725" s="74">
        <f t="shared" si="3"/>
        <v>80000</v>
      </c>
      <c r="O8725" s="65" t="str">
        <f>VLOOKUP(E8725,DATABASE!C:Q,8,false)</f>
        <v>BIAN</v>
      </c>
      <c r="P8725" s="65">
        <f>VLOOKUP(E8725,DATABASE!C:Q,9,False)</f>
        <v>1</v>
      </c>
      <c r="Q8725" s="93" t="str">
        <f>VLOOKUP(E8725,DATABASE!C:Q,4,false)</f>
        <v>BD</v>
      </c>
      <c r="R8725" s="93" t="str">
        <f>VLOOKUP(E8725,DATABASE!C:Q,11,false)</f>
        <v>Tire</v>
      </c>
    </row>
    <row r="8726" ht="22.5" customHeight="1">
      <c r="A8726" s="49"/>
      <c r="C8726" s="400">
        <v>46167.0</v>
      </c>
      <c r="D8726" s="524">
        <v>1478.0</v>
      </c>
      <c r="E8726" s="544" t="s">
        <v>569</v>
      </c>
      <c r="F8726" s="387">
        <v>2.0</v>
      </c>
      <c r="G8726" s="140">
        <v>80000.0</v>
      </c>
      <c r="H8726" s="74"/>
      <c r="I8726" s="74">
        <f t="shared" si="1"/>
        <v>160000</v>
      </c>
      <c r="J8726" s="74">
        <f>IF(E8726="SERVICE",I8726-(I8726*50%),Vlookup(E8726,DATABASE!C:Q,10,false)*F8726)</f>
        <v>0</v>
      </c>
      <c r="K8726" s="74">
        <f>VLOOKUP(E8726,DATABASE!C:Q,7,false)</f>
        <v>45439.582</v>
      </c>
      <c r="L8726" s="74">
        <v>45439.582</v>
      </c>
      <c r="M8726" s="74">
        <f t="shared" si="6"/>
        <v>50000</v>
      </c>
      <c r="N8726" s="74">
        <f t="shared" si="3"/>
        <v>60000</v>
      </c>
      <c r="O8726" s="65" t="str">
        <f>VLOOKUP(E8726,DATABASE!C:Q,8,false)</f>
        <v>BIAN</v>
      </c>
      <c r="P8726" s="65">
        <f>VLOOKUP(E8726,DATABASE!C:Q,9,False)</f>
        <v>1</v>
      </c>
      <c r="Q8726" s="93" t="str">
        <f>VLOOKUP(E8726,DATABASE!C:Q,4,false)</f>
        <v>BD</v>
      </c>
      <c r="R8726" s="93" t="str">
        <f>VLOOKUP(E8726,DATABASE!C:Q,11,false)</f>
        <v>Tire</v>
      </c>
    </row>
    <row r="8727" ht="22.5" customHeight="1">
      <c r="A8727" s="49"/>
      <c r="C8727" s="400">
        <v>46167.0</v>
      </c>
      <c r="D8727" s="524">
        <v>1480.0</v>
      </c>
      <c r="E8727" s="544" t="s">
        <v>777</v>
      </c>
      <c r="F8727" s="387">
        <v>1.0</v>
      </c>
      <c r="G8727" s="140">
        <v>600000.0</v>
      </c>
      <c r="H8727" s="74"/>
      <c r="I8727" s="74">
        <f t="shared" si="1"/>
        <v>600000</v>
      </c>
      <c r="J8727" s="74">
        <f>IF(E8727="SERVICE",I8727-(I8727*50%),Vlookup(E8727,DATABASE!C:Q,10,false)*F8727)</f>
        <v>0</v>
      </c>
      <c r="K8727" s="74">
        <f>VLOOKUP(E8727,DATABASE!C:Q,7,false)</f>
        <v>540000</v>
      </c>
      <c r="L8727" s="74">
        <v>505000.0</v>
      </c>
      <c r="M8727" s="74">
        <f t="shared" si="6"/>
        <v>505000</v>
      </c>
      <c r="N8727" s="74">
        <f t="shared" si="3"/>
        <v>95000</v>
      </c>
      <c r="O8727" s="65" t="str">
        <f>VLOOKUP(E8727,DATABASE!C:Q,8,false)</f>
        <v>BIAN</v>
      </c>
      <c r="P8727" s="65">
        <f>VLOOKUP(E8727,DATABASE!C:Q,9,False)</f>
        <v>1</v>
      </c>
      <c r="Q8727" s="93" t="str">
        <f>VLOOKUP(E8727,DATABASE!C:Q,4,false)</f>
        <v>GT</v>
      </c>
      <c r="R8727" s="93" t="str">
        <f>VLOOKUP(E8727,DATABASE!C:Q,11,false)</f>
        <v>Tire</v>
      </c>
    </row>
    <row r="8728" ht="22.5" customHeight="1">
      <c r="A8728" s="49"/>
      <c r="C8728" s="400">
        <v>46167.0</v>
      </c>
      <c r="D8728" s="524">
        <v>1481.0</v>
      </c>
      <c r="E8728" s="544" t="s">
        <v>613</v>
      </c>
      <c r="F8728" s="387">
        <v>1.0</v>
      </c>
      <c r="G8728" s="140">
        <v>100000.0</v>
      </c>
      <c r="H8728" s="74"/>
      <c r="I8728" s="74">
        <f t="shared" si="1"/>
        <v>100000</v>
      </c>
      <c r="J8728" s="74">
        <f>IF(E8728="SERVICE",I8728-(I8728*50%),Vlookup(E8728,DATABASE!C:Q,10,false)*F8728)</f>
        <v>0</v>
      </c>
      <c r="K8728" s="74">
        <f>VLOOKUP(E8728,DATABASE!C:Q,7,false)</f>
        <v>58371.2695</v>
      </c>
      <c r="L8728" s="74">
        <v>58371.2695</v>
      </c>
      <c r="M8728" s="74">
        <f t="shared" si="6"/>
        <v>60000</v>
      </c>
      <c r="N8728" s="74">
        <f t="shared" si="3"/>
        <v>40000</v>
      </c>
      <c r="O8728" s="65" t="str">
        <f>VLOOKUP(E8728,DATABASE!C:Q,8,false)</f>
        <v>BIAN</v>
      </c>
      <c r="P8728" s="65">
        <f>VLOOKUP(E8728,DATABASE!C:Q,9,False)</f>
        <v>1</v>
      </c>
      <c r="Q8728" s="93" t="str">
        <f>VLOOKUP(E8728,DATABASE!C:Q,4,false)</f>
        <v>BD</v>
      </c>
      <c r="R8728" s="93" t="str">
        <f>VLOOKUP(E8728,DATABASE!C:Q,11,false)</f>
        <v>Tire</v>
      </c>
    </row>
    <row r="8729" ht="22.5" customHeight="1">
      <c r="A8729" s="49"/>
      <c r="C8729" s="400">
        <v>46167.0</v>
      </c>
      <c r="D8729" s="524">
        <v>1482.0</v>
      </c>
      <c r="E8729" s="544" t="s">
        <v>777</v>
      </c>
      <c r="F8729" s="387">
        <v>1.0</v>
      </c>
      <c r="G8729" s="140">
        <v>600000.0</v>
      </c>
      <c r="H8729" s="74"/>
      <c r="I8729" s="74">
        <f t="shared" si="1"/>
        <v>600000</v>
      </c>
      <c r="J8729" s="74">
        <f>IF(E8729="SERVICE",I8729-(I8729*50%),Vlookup(E8729,DATABASE!C:Q,10,false)*F8729)</f>
        <v>0</v>
      </c>
      <c r="K8729" s="74">
        <f>VLOOKUP(E8729,DATABASE!C:Q,7,false)</f>
        <v>540000</v>
      </c>
      <c r="L8729" s="74">
        <v>505000.0</v>
      </c>
      <c r="M8729" s="74">
        <f t="shared" si="6"/>
        <v>505000</v>
      </c>
      <c r="N8729" s="74">
        <f t="shared" si="3"/>
        <v>95000</v>
      </c>
      <c r="O8729" s="65" t="str">
        <f>VLOOKUP(E8729,DATABASE!C:Q,8,false)</f>
        <v>BIAN</v>
      </c>
      <c r="P8729" s="65">
        <f>VLOOKUP(E8729,DATABASE!C:Q,9,False)</f>
        <v>1</v>
      </c>
      <c r="Q8729" s="93" t="str">
        <f>VLOOKUP(E8729,DATABASE!C:Q,4,false)</f>
        <v>GT</v>
      </c>
      <c r="R8729" s="93" t="str">
        <f>VLOOKUP(E8729,DATABASE!C:Q,11,false)</f>
        <v>Tire</v>
      </c>
    </row>
    <row r="8730" ht="22.5" customHeight="1">
      <c r="A8730" s="49"/>
      <c r="C8730" s="400">
        <v>46167.0</v>
      </c>
      <c r="D8730" s="524">
        <v>1483.0</v>
      </c>
      <c r="E8730" s="544" t="s">
        <v>262</v>
      </c>
      <c r="F8730" s="387">
        <v>1.0</v>
      </c>
      <c r="G8730" s="140">
        <v>130000.0</v>
      </c>
      <c r="H8730" s="74"/>
      <c r="I8730" s="74">
        <f t="shared" si="1"/>
        <v>130000</v>
      </c>
      <c r="J8730" s="74">
        <f>IF(E8730="SERVICE",I8730-(I8730*50%),Vlookup(E8730,DATABASE!C:Q,10,false)*F8730)</f>
        <v>5000</v>
      </c>
      <c r="K8730" s="74">
        <f>VLOOKUP(E8730,DATABASE!C:Q,7,false)</f>
        <v>0</v>
      </c>
      <c r="L8730" s="74">
        <v>0.0</v>
      </c>
      <c r="M8730" s="74">
        <f t="shared" si="6"/>
        <v>0</v>
      </c>
      <c r="N8730" s="74">
        <f t="shared" si="3"/>
        <v>125000</v>
      </c>
      <c r="O8730" s="65" t="str">
        <f>VLOOKUP(E8730,DATABASE!C:Q,8,false)</f>
        <v>IBU</v>
      </c>
      <c r="P8730" s="65">
        <f>VLOOKUP(E8730,DATABASE!C:Q,9,False)</f>
        <v>0</v>
      </c>
      <c r="Q8730" s="93" t="str">
        <f>VLOOKUP(E8730,DATABASE!C:Q,4,false)</f>
        <v>SPOORING SS/CARRY LOS BAK</v>
      </c>
      <c r="R8730" s="93" t="str">
        <f>VLOOKUP(E8730,DATABASE!C:Q,11,false)</f>
        <v>SERVICE</v>
      </c>
    </row>
    <row r="8731" ht="22.5" customHeight="1">
      <c r="A8731" s="49"/>
      <c r="C8731" s="400">
        <v>46167.0</v>
      </c>
      <c r="D8731" s="524">
        <v>1483.0</v>
      </c>
      <c r="E8731" s="544" t="s">
        <v>299</v>
      </c>
      <c r="F8731" s="387">
        <v>2.0</v>
      </c>
      <c r="G8731" s="140">
        <v>30000.0</v>
      </c>
      <c r="H8731" s="74"/>
      <c r="I8731" s="74">
        <f t="shared" si="1"/>
        <v>60000</v>
      </c>
      <c r="J8731" s="74">
        <f>IF(E8731="SERVICE",I8731-(I8731*50%),Vlookup(E8731,DATABASE!C:Q,10,false)*F8731)</f>
        <v>0</v>
      </c>
      <c r="K8731" s="74">
        <f>VLOOKUP(E8731,DATABASE!C:Q,7,false)</f>
        <v>10000</v>
      </c>
      <c r="L8731" s="74">
        <v>10000.0</v>
      </c>
      <c r="M8731" s="74">
        <f t="shared" si="6"/>
        <v>10000</v>
      </c>
      <c r="N8731" s="74">
        <f t="shared" si="3"/>
        <v>40000</v>
      </c>
      <c r="O8731" s="65" t="str">
        <f>VLOOKUP(E8731,DATABASE!C:Q,8,false)</f>
        <v>BIAN</v>
      </c>
      <c r="P8731" s="65">
        <f>VLOOKUP(E8731,DATABASE!C:Q,9,False)</f>
        <v>0</v>
      </c>
      <c r="Q8731" s="93" t="str">
        <f>VLOOKUP(E8731,DATABASE!C:Q,4,false)</f>
        <v>Balancing</v>
      </c>
      <c r="R8731" s="93" t="str">
        <f>VLOOKUP(E8731,DATABASE!C:Q,11,false)</f>
        <v>COMPLEMENTARY</v>
      </c>
    </row>
    <row r="8732" ht="22.5" customHeight="1">
      <c r="A8732" s="49"/>
      <c r="C8732" s="400">
        <v>46167.0</v>
      </c>
      <c r="D8732" s="524">
        <v>1483.0</v>
      </c>
      <c r="E8732" s="544" t="s">
        <v>478</v>
      </c>
      <c r="F8732" s="387">
        <v>1.0</v>
      </c>
      <c r="G8732" s="140">
        <v>200000.0</v>
      </c>
      <c r="H8732" s="74"/>
      <c r="I8732" s="74">
        <f t="shared" si="1"/>
        <v>200000</v>
      </c>
      <c r="J8732" s="74">
        <f>IF(E8732="SERVICE",I8732-(I8732*50%),Vlookup(E8732,DATABASE!C:Q,10,false)*F8732)</f>
        <v>25000</v>
      </c>
      <c r="K8732" s="74">
        <f>VLOOKUP(E8732,DATABASE!C:Q,7,false)</f>
        <v>75000</v>
      </c>
      <c r="L8732" s="74">
        <v>75000.0</v>
      </c>
      <c r="M8732" s="74">
        <f t="shared" si="6"/>
        <v>75000</v>
      </c>
      <c r="N8732" s="74">
        <f t="shared" si="3"/>
        <v>100000</v>
      </c>
      <c r="O8732" s="65" t="str">
        <f>VLOOKUP(E8732,DATABASE!C:Q,8,false)</f>
        <v>BIAN</v>
      </c>
      <c r="P8732" s="65">
        <f>VLOOKUP(E8732,DATABASE!C:Q,9,False)</f>
        <v>0</v>
      </c>
      <c r="Q8732" s="93" t="str">
        <f>VLOOKUP(E8732,DATABASE!C:Q,4,false)</f>
        <v>Baut Camber ss-carry</v>
      </c>
      <c r="R8732" s="93" t="str">
        <f>VLOOKUP(E8732,DATABASE!C:Q,11,false)</f>
        <v>COMPLEMENTARY</v>
      </c>
    </row>
    <row r="8733" ht="22.5" customHeight="1">
      <c r="A8733" s="49"/>
      <c r="C8733" s="400">
        <v>46167.0</v>
      </c>
      <c r="D8733" s="524">
        <v>1484.0</v>
      </c>
      <c r="E8733" s="544" t="s">
        <v>268</v>
      </c>
      <c r="F8733" s="387">
        <v>2.0</v>
      </c>
      <c r="G8733" s="140">
        <v>720000.0</v>
      </c>
      <c r="H8733" s="74"/>
      <c r="I8733" s="74">
        <f t="shared" si="1"/>
        <v>1440000</v>
      </c>
      <c r="J8733" s="74">
        <f>IF(E8733="SERVICE",I8733-(I8733*50%),Vlookup(E8733,DATABASE!C:Q,10,false)*F8733)</f>
        <v>0</v>
      </c>
      <c r="K8733" s="74">
        <f>VLOOKUP(E8733,DATABASE!C:Q,7,false)</f>
        <v>653000</v>
      </c>
      <c r="L8733" s="74">
        <v>634500.0</v>
      </c>
      <c r="M8733" s="74">
        <f t="shared" si="6"/>
        <v>635000</v>
      </c>
      <c r="N8733" s="74">
        <f t="shared" si="3"/>
        <v>170000</v>
      </c>
      <c r="O8733" s="65" t="str">
        <f>VLOOKUP(E8733,DATABASE!C:Q,8,false)</f>
        <v>IBU</v>
      </c>
      <c r="P8733" s="65">
        <f>VLOOKUP(E8733,DATABASE!C:Q,9,False)</f>
        <v>1</v>
      </c>
      <c r="Q8733" s="93" t="str">
        <f>VLOOKUP(E8733,DATABASE!C:Q,4,false)</f>
        <v>Dunlop</v>
      </c>
      <c r="R8733" s="93" t="str">
        <f>VLOOKUP(E8733,DATABASE!C:Q,11,false)</f>
        <v>Tire</v>
      </c>
    </row>
    <row r="8734" ht="22.5" customHeight="1">
      <c r="A8734" s="49"/>
      <c r="C8734" s="400">
        <v>46167.0</v>
      </c>
      <c r="D8734" s="524">
        <v>1485.0</v>
      </c>
      <c r="E8734" s="544" t="s">
        <v>256</v>
      </c>
      <c r="F8734" s="387">
        <v>1.0</v>
      </c>
      <c r="G8734" s="140">
        <v>175000.0</v>
      </c>
      <c r="H8734" s="140">
        <v>25000.0</v>
      </c>
      <c r="I8734" s="74">
        <f t="shared" si="1"/>
        <v>150000</v>
      </c>
      <c r="J8734" s="74">
        <f>IF(E8734="SERVICE",I8734-(I8734*50%),Vlookup(E8734,DATABASE!C:Q,10,false)*F8734)</f>
        <v>10000</v>
      </c>
      <c r="K8734" s="74">
        <f>VLOOKUP(E8734,DATABASE!C:Q,7,false)</f>
        <v>0</v>
      </c>
      <c r="L8734" s="74">
        <v>0.0</v>
      </c>
      <c r="M8734" s="74">
        <f t="shared" si="6"/>
        <v>0</v>
      </c>
      <c r="N8734" s="74">
        <f t="shared" si="3"/>
        <v>140000</v>
      </c>
      <c r="O8734" s="65" t="str">
        <f>VLOOKUP(E8734,DATABASE!C:Q,8,false)</f>
        <v>IBU</v>
      </c>
      <c r="P8734" s="65">
        <f>VLOOKUP(E8734,DATABASE!C:Q,9,False)</f>
        <v>0</v>
      </c>
      <c r="Q8734" s="93" t="str">
        <f>VLOOKUP(E8734,DATABASE!C:Q,4,false)</f>
        <v>SPOORING</v>
      </c>
      <c r="R8734" s="93" t="str">
        <f>VLOOKUP(E8734,DATABASE!C:Q,11,false)</f>
        <v>SERVICE</v>
      </c>
    </row>
    <row r="8735" ht="22.5" customHeight="1">
      <c r="A8735" s="49"/>
      <c r="C8735" s="400">
        <v>46167.0</v>
      </c>
      <c r="D8735" s="524">
        <v>1485.0</v>
      </c>
      <c r="E8735" s="544" t="s">
        <v>301</v>
      </c>
      <c r="F8735" s="387">
        <v>1.0</v>
      </c>
      <c r="G8735" s="140">
        <v>250000.0</v>
      </c>
      <c r="H8735" s="74"/>
      <c r="I8735" s="74">
        <f t="shared" si="1"/>
        <v>250000</v>
      </c>
      <c r="J8735" s="74">
        <f>IF(E8735="SERVICE",I8735-(I8735*50%),Vlookup(E8735,DATABASE!C:Q,10,false)*F8735)</f>
        <v>75000</v>
      </c>
      <c r="K8735" s="74">
        <f>VLOOKUP(E8735,DATABASE!C:Q,7,false)</f>
        <v>75000</v>
      </c>
      <c r="L8735" s="74">
        <v>75000.0</v>
      </c>
      <c r="M8735" s="74">
        <f t="shared" si="6"/>
        <v>75000</v>
      </c>
      <c r="N8735" s="74">
        <f t="shared" si="3"/>
        <v>100000</v>
      </c>
      <c r="O8735" s="65" t="str">
        <f>VLOOKUP(E8735,DATABASE!C:Q,8,false)</f>
        <v>BIAN</v>
      </c>
      <c r="P8735" s="65">
        <f>VLOOKUP(E8735,DATABASE!C:Q,9,False)</f>
        <v>0</v>
      </c>
      <c r="Q8735" s="93" t="str">
        <f>VLOOKUP(E8735,DATABASE!C:Q,4,false)</f>
        <v>Baut Camber</v>
      </c>
      <c r="R8735" s="93" t="str">
        <f>VLOOKUP(E8735,DATABASE!C:Q,11,false)</f>
        <v>COMPLEMENTARY</v>
      </c>
    </row>
    <row r="8736" ht="22.5" customHeight="1">
      <c r="A8736" s="49"/>
      <c r="C8736" s="400">
        <v>46167.0</v>
      </c>
      <c r="D8736" s="524">
        <v>1486.0</v>
      </c>
      <c r="E8736" s="544" t="s">
        <v>268</v>
      </c>
      <c r="F8736" s="387">
        <v>2.0</v>
      </c>
      <c r="G8736" s="140">
        <v>720000.0</v>
      </c>
      <c r="H8736" s="74"/>
      <c r="I8736" s="74">
        <f t="shared" si="1"/>
        <v>1440000</v>
      </c>
      <c r="J8736" s="74">
        <f>IF(E8736="SERVICE",I8736-(I8736*50%),Vlookup(E8736,DATABASE!C:Q,10,false)*F8736)</f>
        <v>0</v>
      </c>
      <c r="K8736" s="74">
        <f>VLOOKUP(E8736,DATABASE!C:Q,7,false)</f>
        <v>653000</v>
      </c>
      <c r="L8736" s="74">
        <v>634500.0</v>
      </c>
      <c r="M8736" s="74">
        <f t="shared" si="6"/>
        <v>635000</v>
      </c>
      <c r="N8736" s="74">
        <f t="shared" si="3"/>
        <v>170000</v>
      </c>
      <c r="O8736" s="65" t="str">
        <f>VLOOKUP(E8736,DATABASE!C:Q,8,false)</f>
        <v>IBU</v>
      </c>
      <c r="P8736" s="65">
        <f>VLOOKUP(E8736,DATABASE!C:Q,9,False)</f>
        <v>1</v>
      </c>
      <c r="Q8736" s="93" t="str">
        <f>VLOOKUP(E8736,DATABASE!C:Q,4,false)</f>
        <v>Dunlop</v>
      </c>
      <c r="R8736" s="93" t="str">
        <f>VLOOKUP(E8736,DATABASE!C:Q,11,false)</f>
        <v>Tire</v>
      </c>
    </row>
    <row r="8737" ht="22.5" customHeight="1">
      <c r="A8737" s="49"/>
      <c r="C8737" s="400">
        <v>46167.0</v>
      </c>
      <c r="D8737" s="524">
        <v>1486.0</v>
      </c>
      <c r="E8737" s="544" t="s">
        <v>299</v>
      </c>
      <c r="F8737" s="387">
        <v>2.0</v>
      </c>
      <c r="G8737" s="140">
        <v>30000.0</v>
      </c>
      <c r="H8737" s="74"/>
      <c r="I8737" s="74">
        <f t="shared" si="1"/>
        <v>60000</v>
      </c>
      <c r="J8737" s="74">
        <f>IF(E8737="SERVICE",I8737-(I8737*50%),Vlookup(E8737,DATABASE!C:Q,10,false)*F8737)</f>
        <v>0</v>
      </c>
      <c r="K8737" s="74">
        <f>VLOOKUP(E8737,DATABASE!C:Q,7,false)</f>
        <v>10000</v>
      </c>
      <c r="L8737" s="74">
        <v>10000.0</v>
      </c>
      <c r="M8737" s="74">
        <f t="shared" si="6"/>
        <v>10000</v>
      </c>
      <c r="N8737" s="74">
        <f t="shared" si="3"/>
        <v>40000</v>
      </c>
      <c r="O8737" s="65" t="str">
        <f>VLOOKUP(E8737,DATABASE!C:Q,8,false)</f>
        <v>BIAN</v>
      </c>
      <c r="P8737" s="65">
        <f>VLOOKUP(E8737,DATABASE!C:Q,9,False)</f>
        <v>0</v>
      </c>
      <c r="Q8737" s="93" t="str">
        <f>VLOOKUP(E8737,DATABASE!C:Q,4,false)</f>
        <v>Balancing</v>
      </c>
      <c r="R8737" s="93" t="str">
        <f>VLOOKUP(E8737,DATABASE!C:Q,11,false)</f>
        <v>COMPLEMENTARY</v>
      </c>
    </row>
    <row r="8738" ht="22.5" customHeight="1">
      <c r="A8738" s="49"/>
      <c r="C8738" s="400">
        <v>46167.0</v>
      </c>
      <c r="D8738" s="524">
        <v>1486.0</v>
      </c>
      <c r="E8738" s="544" t="s">
        <v>262</v>
      </c>
      <c r="F8738" s="387">
        <v>1.0</v>
      </c>
      <c r="G8738" s="140">
        <v>130000.0</v>
      </c>
      <c r="H8738" s="74"/>
      <c r="I8738" s="74">
        <f t="shared" si="1"/>
        <v>130000</v>
      </c>
      <c r="J8738" s="74">
        <f>IF(E8738="SERVICE",I8738-(I8738*50%),Vlookup(E8738,DATABASE!C:Q,10,false)*F8738)</f>
        <v>5000</v>
      </c>
      <c r="K8738" s="74">
        <f>VLOOKUP(E8738,DATABASE!C:Q,7,false)</f>
        <v>0</v>
      </c>
      <c r="L8738" s="74">
        <v>0.0</v>
      </c>
      <c r="M8738" s="74">
        <f t="shared" si="6"/>
        <v>0</v>
      </c>
      <c r="N8738" s="74">
        <f t="shared" si="3"/>
        <v>125000</v>
      </c>
      <c r="O8738" s="65" t="str">
        <f>VLOOKUP(E8738,DATABASE!C:Q,8,false)</f>
        <v>IBU</v>
      </c>
      <c r="P8738" s="65">
        <f>VLOOKUP(E8738,DATABASE!C:Q,9,False)</f>
        <v>0</v>
      </c>
      <c r="Q8738" s="93" t="str">
        <f>VLOOKUP(E8738,DATABASE!C:Q,4,false)</f>
        <v>SPOORING SS/CARRY LOS BAK</v>
      </c>
      <c r="R8738" s="93" t="str">
        <f>VLOOKUP(E8738,DATABASE!C:Q,11,false)</f>
        <v>SERVICE</v>
      </c>
    </row>
    <row r="8739" ht="22.5" customHeight="1">
      <c r="A8739" s="49"/>
      <c r="C8739" s="400">
        <v>46167.0</v>
      </c>
      <c r="D8739" s="524">
        <v>1486.0</v>
      </c>
      <c r="E8739" s="544" t="s">
        <v>305</v>
      </c>
      <c r="F8739" s="387">
        <v>1.0</v>
      </c>
      <c r="G8739" s="140">
        <v>235000.0</v>
      </c>
      <c r="H8739" s="74"/>
      <c r="I8739" s="74">
        <f t="shared" si="1"/>
        <v>235000</v>
      </c>
      <c r="J8739" s="74">
        <f>IF(E8739="SERVICE",I8739-(I8739*50%),Vlookup(E8739,DATABASE!C:Q,10,false)*F8739)</f>
        <v>40000</v>
      </c>
      <c r="K8739" s="74">
        <f>VLOOKUP(E8739,DATABASE!C:Q,7,false)</f>
        <v>158530.2</v>
      </c>
      <c r="L8739" s="140">
        <v>158530.2</v>
      </c>
      <c r="M8739" s="74">
        <f t="shared" si="6"/>
        <v>160000</v>
      </c>
      <c r="N8739" s="74">
        <f t="shared" si="3"/>
        <v>35000</v>
      </c>
      <c r="O8739" s="65" t="str">
        <f>VLOOKUP(E8739,DATABASE!C:Q,8,false)</f>
        <v>BIAN</v>
      </c>
      <c r="P8739" s="65">
        <f>VLOOKUP(E8739,DATABASE!C:Q,9,False)</f>
        <v>1</v>
      </c>
      <c r="Q8739" s="93" t="str">
        <f>VLOOKUP(E8739,DATABASE!C:Q,4,false)</f>
        <v>Lower Arm</v>
      </c>
      <c r="R8739" s="93" t="str">
        <f>VLOOKUP(E8739,DATABASE!C:Q,11,false)</f>
        <v>COMPLEMENTARY</v>
      </c>
    </row>
    <row r="8740" ht="22.5" customHeight="1">
      <c r="A8740" s="49"/>
      <c r="C8740" s="400">
        <v>46168.0</v>
      </c>
      <c r="D8740" s="524">
        <v>1487.0</v>
      </c>
      <c r="E8740" s="544" t="s">
        <v>1427</v>
      </c>
      <c r="F8740" s="387">
        <v>1.0</v>
      </c>
      <c r="G8740" s="140">
        <v>780000.0</v>
      </c>
      <c r="H8740" s="74"/>
      <c r="I8740" s="74">
        <f t="shared" si="1"/>
        <v>780000</v>
      </c>
      <c r="J8740" s="74">
        <f>IF(E8740="SERVICE",I8740-(I8740*50%),Vlookup(E8740,DATABASE!C:Q,10,false)*F8740)</f>
        <v>0</v>
      </c>
      <c r="K8740" s="74">
        <f>VLOOKUP(E8740,DATABASE!C:Q,7,false)</f>
        <v>696500</v>
      </c>
      <c r="L8740" s="74">
        <v>696500.0</v>
      </c>
      <c r="M8740" s="74">
        <f t="shared" si="6"/>
        <v>700000</v>
      </c>
      <c r="N8740" s="74">
        <f t="shared" si="3"/>
        <v>80000</v>
      </c>
      <c r="O8740" s="65" t="str">
        <f>VLOOKUP(E8740,DATABASE!C:Q,8,false)</f>
        <v>IBU</v>
      </c>
      <c r="P8740" s="65">
        <f>VLOOKUP(E8740,DATABASE!C:Q,9,False)</f>
        <v>1</v>
      </c>
      <c r="Q8740" s="93" t="str">
        <f>VLOOKUP(E8740,DATABASE!C:Q,4,false)</f>
        <v>Dunlop</v>
      </c>
      <c r="R8740" s="93" t="str">
        <f>VLOOKUP(E8740,DATABASE!C:Q,11,false)</f>
        <v>Tire</v>
      </c>
    </row>
    <row r="8741" ht="22.5" customHeight="1">
      <c r="A8741" s="49"/>
      <c r="C8741" s="400">
        <v>46168.0</v>
      </c>
      <c r="D8741" s="524">
        <v>1488.0</v>
      </c>
      <c r="E8741" s="544" t="s">
        <v>1951</v>
      </c>
      <c r="F8741" s="387">
        <v>1.0</v>
      </c>
      <c r="G8741" s="140">
        <v>860000.0</v>
      </c>
      <c r="H8741" s="74"/>
      <c r="I8741" s="74">
        <f t="shared" si="1"/>
        <v>860000</v>
      </c>
      <c r="J8741" s="74">
        <f>IF(E8741="SERVICE",I8741-(I8741*50%),Vlookup(E8741,DATABASE!C:Q,10,false)*F8741)</f>
        <v>0</v>
      </c>
      <c r="K8741" s="74">
        <f>VLOOKUP(E8741,DATABASE!C:Q,7,false)</f>
        <v>757300</v>
      </c>
      <c r="L8741" s="74">
        <v>757300.0</v>
      </c>
      <c r="M8741" s="74">
        <f t="shared" si="6"/>
        <v>760000</v>
      </c>
      <c r="N8741" s="74">
        <f t="shared" si="3"/>
        <v>100000</v>
      </c>
      <c r="O8741" s="65" t="str">
        <f>VLOOKUP(E8741,DATABASE!C:Q,8,false)</f>
        <v>BIAN</v>
      </c>
      <c r="P8741" s="65">
        <f>VLOOKUP(E8741,DATABASE!C:Q,9,False)</f>
        <v>1</v>
      </c>
      <c r="Q8741" s="93" t="str">
        <f>VLOOKUP(E8741,DATABASE!C:Q,4,false)</f>
        <v>GT</v>
      </c>
      <c r="R8741" s="93" t="str">
        <f>VLOOKUP(E8741,DATABASE!C:Q,11,false)</f>
        <v>Tire</v>
      </c>
    </row>
    <row r="8742" ht="22.5" customHeight="1">
      <c r="A8742" s="49"/>
      <c r="C8742" s="400">
        <v>46168.0</v>
      </c>
      <c r="D8742" s="524">
        <v>1489.0</v>
      </c>
      <c r="E8742" s="544" t="s">
        <v>569</v>
      </c>
      <c r="F8742" s="387">
        <v>1.0</v>
      </c>
      <c r="G8742" s="140">
        <v>80000.0</v>
      </c>
      <c r="H8742" s="74"/>
      <c r="I8742" s="74">
        <f t="shared" si="1"/>
        <v>80000</v>
      </c>
      <c r="J8742" s="74">
        <f>IF(E8742="SERVICE",I8742-(I8742*50%),Vlookup(E8742,DATABASE!C:Q,10,false)*F8742)</f>
        <v>0</v>
      </c>
      <c r="K8742" s="74">
        <f>VLOOKUP(E8742,DATABASE!C:Q,7,false)</f>
        <v>45439.582</v>
      </c>
      <c r="L8742" s="74">
        <v>45439.582</v>
      </c>
      <c r="M8742" s="74">
        <f t="shared" si="6"/>
        <v>50000</v>
      </c>
      <c r="N8742" s="74">
        <f t="shared" si="3"/>
        <v>30000</v>
      </c>
      <c r="O8742" s="65" t="str">
        <f>VLOOKUP(E8742,DATABASE!C:Q,8,false)</f>
        <v>BIAN</v>
      </c>
      <c r="P8742" s="65">
        <f>VLOOKUP(E8742,DATABASE!C:Q,9,False)</f>
        <v>1</v>
      </c>
      <c r="Q8742" s="93" t="str">
        <f>VLOOKUP(E8742,DATABASE!C:Q,4,false)</f>
        <v>BD</v>
      </c>
      <c r="R8742" s="93" t="str">
        <f>VLOOKUP(E8742,DATABASE!C:Q,11,false)</f>
        <v>Tire</v>
      </c>
    </row>
    <row r="8743" ht="22.5" customHeight="1">
      <c r="A8743" s="49"/>
      <c r="C8743" s="400">
        <v>46168.0</v>
      </c>
      <c r="D8743" s="524">
        <v>1490.0</v>
      </c>
      <c r="E8743" s="544" t="s">
        <v>839</v>
      </c>
      <c r="F8743" s="387">
        <v>2.0</v>
      </c>
      <c r="G8743" s="140">
        <v>580000.0</v>
      </c>
      <c r="H8743" s="74"/>
      <c r="I8743" s="74">
        <f t="shared" si="1"/>
        <v>1160000</v>
      </c>
      <c r="J8743" s="74">
        <f>IF(E8743="SERVICE",I8743-(I8743*50%),Vlookup(E8743,DATABASE!C:Q,10,false)*F8743)</f>
        <v>0</v>
      </c>
      <c r="K8743" s="74">
        <f>VLOOKUP(E8743,DATABASE!C:Q,7,false)</f>
        <v>512640</v>
      </c>
      <c r="L8743" s="74">
        <v>490000.0</v>
      </c>
      <c r="M8743" s="74">
        <f t="shared" si="6"/>
        <v>490000</v>
      </c>
      <c r="N8743" s="74">
        <f t="shared" si="3"/>
        <v>180000</v>
      </c>
      <c r="O8743" s="65" t="str">
        <f>VLOOKUP(E8743,DATABASE!C:Q,8,false)</f>
        <v>BIAN</v>
      </c>
      <c r="P8743" s="65">
        <f>VLOOKUP(E8743,DATABASE!C:Q,9,False)</f>
        <v>1</v>
      </c>
      <c r="Q8743" s="93" t="str">
        <f>VLOOKUP(E8743,DATABASE!C:Q,4,false)</f>
        <v>GT</v>
      </c>
      <c r="R8743" s="93" t="str">
        <f>VLOOKUP(E8743,DATABASE!C:Q,11,false)</f>
        <v>Tire</v>
      </c>
    </row>
    <row r="8744" ht="22.5" customHeight="1">
      <c r="A8744" s="49"/>
      <c r="C8744" s="400">
        <v>46168.0</v>
      </c>
      <c r="D8744" s="524">
        <v>1491.0</v>
      </c>
      <c r="E8744" s="544" t="s">
        <v>294</v>
      </c>
      <c r="F8744" s="387">
        <v>2.0</v>
      </c>
      <c r="G8744" s="140">
        <v>590000.0</v>
      </c>
      <c r="H8744" s="74"/>
      <c r="I8744" s="74">
        <f t="shared" si="1"/>
        <v>1180000</v>
      </c>
      <c r="J8744" s="74">
        <f>IF(E8744="SERVICE",I8744-(I8744*50%),Vlookup(E8744,DATABASE!C:Q,10,false)*F8744)</f>
        <v>0</v>
      </c>
      <c r="K8744" s="74">
        <f>VLOOKUP(E8744,DATABASE!C:Q,7,false)</f>
        <v>505000</v>
      </c>
      <c r="L8744" s="74">
        <v>505000.0</v>
      </c>
      <c r="M8744" s="74">
        <f t="shared" si="6"/>
        <v>505000</v>
      </c>
      <c r="N8744" s="74">
        <f t="shared" si="3"/>
        <v>170000</v>
      </c>
      <c r="O8744" s="65" t="str">
        <f>VLOOKUP(E8744,DATABASE!C:Q,8,false)</f>
        <v>BIAN</v>
      </c>
      <c r="P8744" s="65">
        <f>VLOOKUP(E8744,DATABASE!C:Q,9,False)</f>
        <v>1</v>
      </c>
      <c r="Q8744" s="93" t="str">
        <f>VLOOKUP(E8744,DATABASE!C:Q,4,false)</f>
        <v>GT</v>
      </c>
      <c r="R8744" s="93" t="str">
        <f>VLOOKUP(E8744,DATABASE!C:Q,11,false)</f>
        <v>Tire</v>
      </c>
    </row>
    <row r="8745" ht="22.5" customHeight="1">
      <c r="A8745" s="49"/>
      <c r="C8745" s="400">
        <v>46168.0</v>
      </c>
      <c r="D8745" s="524">
        <v>1492.0</v>
      </c>
      <c r="E8745" s="544" t="s">
        <v>856</v>
      </c>
      <c r="F8745" s="387">
        <v>2.0</v>
      </c>
      <c r="G8745" s="140">
        <v>690000.0</v>
      </c>
      <c r="H8745" s="74"/>
      <c r="I8745" s="74">
        <f t="shared" si="1"/>
        <v>1380000</v>
      </c>
      <c r="J8745" s="74">
        <f>IF(E8745="SERVICE",I8745-(I8745*50%),Vlookup(E8745,DATABASE!C:Q,10,false)*F8745)</f>
        <v>0</v>
      </c>
      <c r="K8745" s="74">
        <f>VLOOKUP(E8745,DATABASE!C:Q,7,false)</f>
        <v>615300</v>
      </c>
      <c r="L8745" s="74">
        <v>604200.0</v>
      </c>
      <c r="M8745" s="74">
        <f t="shared" si="6"/>
        <v>605000</v>
      </c>
      <c r="N8745" s="74">
        <f t="shared" si="3"/>
        <v>170000</v>
      </c>
      <c r="O8745" s="65" t="str">
        <f>VLOOKUP(E8745,DATABASE!C:Q,8,false)</f>
        <v>BIAN</v>
      </c>
      <c r="P8745" s="65">
        <f>VLOOKUP(E8745,DATABASE!C:Q,9,False)</f>
        <v>1</v>
      </c>
      <c r="Q8745" s="93" t="str">
        <f>VLOOKUP(E8745,DATABASE!C:Q,4,false)</f>
        <v>GT</v>
      </c>
      <c r="R8745" s="93" t="str">
        <f>VLOOKUP(E8745,DATABASE!C:Q,11,false)</f>
        <v>Tire</v>
      </c>
    </row>
    <row r="8746" ht="22.5" customHeight="1">
      <c r="A8746" s="49"/>
      <c r="C8746" s="400">
        <v>46168.0</v>
      </c>
      <c r="D8746" s="524">
        <v>1493.0</v>
      </c>
      <c r="E8746" s="544" t="s">
        <v>268</v>
      </c>
      <c r="F8746" s="387">
        <v>1.0</v>
      </c>
      <c r="G8746" s="140">
        <v>720000.0</v>
      </c>
      <c r="H8746" s="74"/>
      <c r="I8746" s="74">
        <f t="shared" si="1"/>
        <v>720000</v>
      </c>
      <c r="J8746" s="74">
        <f>IF(E8746="SERVICE",I8746-(I8746*50%),Vlookup(E8746,DATABASE!C:Q,10,false)*F8746)</f>
        <v>0</v>
      </c>
      <c r="K8746" s="74">
        <f>VLOOKUP(E8746,DATABASE!C:Q,7,false)</f>
        <v>653000</v>
      </c>
      <c r="L8746" s="74">
        <v>634500.0</v>
      </c>
      <c r="M8746" s="74">
        <f t="shared" si="6"/>
        <v>635000</v>
      </c>
      <c r="N8746" s="74">
        <f t="shared" si="3"/>
        <v>85000</v>
      </c>
      <c r="O8746" s="65" t="str">
        <f>VLOOKUP(E8746,DATABASE!C:Q,8,false)</f>
        <v>IBU</v>
      </c>
      <c r="P8746" s="65">
        <f>VLOOKUP(E8746,DATABASE!C:Q,9,False)</f>
        <v>1</v>
      </c>
      <c r="Q8746" s="93" t="str">
        <f>VLOOKUP(E8746,DATABASE!C:Q,4,false)</f>
        <v>Dunlop</v>
      </c>
      <c r="R8746" s="93" t="str">
        <f>VLOOKUP(E8746,DATABASE!C:Q,11,false)</f>
        <v>Tire</v>
      </c>
    </row>
    <row r="8747" ht="22.5" customHeight="1">
      <c r="A8747" s="49"/>
      <c r="C8747" s="400">
        <v>46168.0</v>
      </c>
      <c r="D8747" s="524">
        <v>1494.0</v>
      </c>
      <c r="E8747" s="544" t="s">
        <v>275</v>
      </c>
      <c r="F8747" s="387">
        <v>2.0</v>
      </c>
      <c r="G8747" s="140">
        <v>850000.0</v>
      </c>
      <c r="H8747" s="74"/>
      <c r="I8747" s="74">
        <f t="shared" si="1"/>
        <v>1700000</v>
      </c>
      <c r="J8747" s="74">
        <f>IF(E8747="SERVICE",I8747-(I8747*50%),Vlookup(E8747,DATABASE!C:Q,10,false)*F8747)</f>
        <v>0</v>
      </c>
      <c r="K8747" s="74">
        <f>VLOOKUP(E8747,DATABASE!C:Q,7,false)</f>
        <v>782000</v>
      </c>
      <c r="L8747" s="74">
        <v>759500.0</v>
      </c>
      <c r="M8747" s="74">
        <f t="shared" si="6"/>
        <v>760000</v>
      </c>
      <c r="N8747" s="74">
        <f t="shared" si="3"/>
        <v>180000</v>
      </c>
      <c r="O8747" s="65" t="str">
        <f>VLOOKUP(E8747,DATABASE!C:Q,8,false)</f>
        <v>IBU</v>
      </c>
      <c r="P8747" s="65">
        <f>VLOOKUP(E8747,DATABASE!C:Q,9,False)</f>
        <v>1</v>
      </c>
      <c r="Q8747" s="93" t="str">
        <f>VLOOKUP(E8747,DATABASE!C:Q,4,false)</f>
        <v>Dunlop</v>
      </c>
      <c r="R8747" s="93" t="str">
        <f>VLOOKUP(E8747,DATABASE!C:Q,11,false)</f>
        <v>Tire</v>
      </c>
    </row>
    <row r="8748" ht="22.5" customHeight="1">
      <c r="A8748" s="49"/>
      <c r="C8748" s="400">
        <v>46168.0</v>
      </c>
      <c r="D8748" s="524">
        <v>1495.0</v>
      </c>
      <c r="E8748" s="544" t="s">
        <v>604</v>
      </c>
      <c r="F8748" s="387">
        <v>1.0</v>
      </c>
      <c r="G8748" s="140">
        <v>170000.0</v>
      </c>
      <c r="H8748" s="140">
        <v>10000.0</v>
      </c>
      <c r="I8748" s="74">
        <f t="shared" si="1"/>
        <v>160000</v>
      </c>
      <c r="J8748" s="74">
        <f>IF(E8748="SERVICE",I8748-(I8748*50%),Vlookup(E8748,DATABASE!C:Q,10,false)*F8748)</f>
        <v>0</v>
      </c>
      <c r="K8748" s="74">
        <f>VLOOKUP(E8748,DATABASE!C:Q,7,false)</f>
        <v>124000</v>
      </c>
      <c r="L8748" s="74">
        <v>124000.0</v>
      </c>
      <c r="M8748" s="74">
        <f t="shared" si="6"/>
        <v>125000</v>
      </c>
      <c r="N8748" s="74">
        <f t="shared" si="3"/>
        <v>35000</v>
      </c>
      <c r="O8748" s="65" t="str">
        <f>VLOOKUP(E8748,DATABASE!C:Q,8,false)</f>
        <v>BIAN</v>
      </c>
      <c r="P8748" s="65">
        <f>VLOOKUP(E8748,DATABASE!C:Q,9,False)</f>
        <v>1</v>
      </c>
      <c r="Q8748" s="93" t="str">
        <f>VLOOKUP(E8748,DATABASE!C:Q,4,false)</f>
        <v>BD</v>
      </c>
      <c r="R8748" s="93" t="str">
        <f>VLOOKUP(E8748,DATABASE!C:Q,11,false)</f>
        <v>Tire</v>
      </c>
    </row>
    <row r="8749" ht="22.5" customHeight="1">
      <c r="A8749" s="49"/>
      <c r="C8749" s="400">
        <v>46168.0</v>
      </c>
      <c r="D8749" s="524">
        <v>1496.0</v>
      </c>
      <c r="E8749" s="544" t="s">
        <v>1196</v>
      </c>
      <c r="F8749" s="387">
        <v>1.0</v>
      </c>
      <c r="G8749" s="140">
        <v>1020000.0</v>
      </c>
      <c r="H8749" s="140">
        <v>110000.0</v>
      </c>
      <c r="I8749" s="74">
        <f t="shared" si="1"/>
        <v>910000</v>
      </c>
      <c r="J8749" s="74">
        <f>IF(E8749="SERVICE",I8749-(I8749*50%),Vlookup(E8749,DATABASE!C:Q,10,false)*F8749)</f>
        <v>0</v>
      </c>
      <c r="K8749" s="74">
        <f>VLOOKUP(E8749,DATABASE!C:Q,7,false)</f>
        <v>943430.5</v>
      </c>
      <c r="L8749" s="74">
        <v>909585.0</v>
      </c>
      <c r="M8749" s="74">
        <f t="shared" si="6"/>
        <v>910000</v>
      </c>
      <c r="N8749" s="74">
        <f t="shared" si="3"/>
        <v>0</v>
      </c>
      <c r="O8749" s="65" t="str">
        <f>VLOOKUP(E8749,DATABASE!C:Q,8,false)</f>
        <v>IBU</v>
      </c>
      <c r="P8749" s="65">
        <f>VLOOKUP(E8749,DATABASE!C:Q,9,False)</f>
        <v>1</v>
      </c>
      <c r="Q8749" s="93" t="str">
        <f>VLOOKUP(E8749,DATABASE!C:Q,4,false)</f>
        <v>Bridgestone</v>
      </c>
      <c r="R8749" s="93" t="str">
        <f>VLOOKUP(E8749,DATABASE!C:Q,11,false)</f>
        <v>Tire</v>
      </c>
    </row>
    <row r="8750" ht="22.5" customHeight="1">
      <c r="A8750" s="49"/>
      <c r="C8750" s="400">
        <v>46168.0</v>
      </c>
      <c r="D8750" s="524">
        <v>1497.0</v>
      </c>
      <c r="E8750" s="544" t="s">
        <v>924</v>
      </c>
      <c r="F8750" s="387">
        <v>1.0</v>
      </c>
      <c r="G8750" s="140">
        <v>1650000.0</v>
      </c>
      <c r="H8750" s="74"/>
      <c r="I8750" s="74">
        <f t="shared" si="1"/>
        <v>1650000</v>
      </c>
      <c r="J8750" s="74">
        <f>IF(E8750="SERVICE",I8750-(I8750*50%),Vlookup(E8750,DATABASE!C:Q,10,false)*F8750)</f>
        <v>0</v>
      </c>
      <c r="K8750" s="74">
        <f>VLOOKUP(E8750,DATABASE!C:Q,7,false)</f>
        <v>1560000</v>
      </c>
      <c r="L8750" s="74">
        <v>1545000.0</v>
      </c>
      <c r="M8750" s="74">
        <f t="shared" si="6"/>
        <v>1545000</v>
      </c>
      <c r="N8750" s="74">
        <f t="shared" si="3"/>
        <v>105000</v>
      </c>
      <c r="O8750" s="65" t="str">
        <f>VLOOKUP(E8750,DATABASE!C:Q,8,false)</f>
        <v>BIAN</v>
      </c>
      <c r="P8750" s="65">
        <f>VLOOKUP(E8750,DATABASE!C:Q,9,False)</f>
        <v>1</v>
      </c>
      <c r="Q8750" s="93" t="str">
        <f>VLOOKUP(E8750,DATABASE!C:Q,4,false)</f>
        <v>TIRON</v>
      </c>
      <c r="R8750" s="93" t="str">
        <f>VLOOKUP(E8750,DATABASE!C:Q,11,false)</f>
        <v>Tire</v>
      </c>
    </row>
    <row r="8751" ht="22.5" customHeight="1">
      <c r="A8751" s="49"/>
      <c r="C8751" s="400">
        <v>46168.0</v>
      </c>
      <c r="D8751" s="524">
        <v>1499.0</v>
      </c>
      <c r="E8751" s="544" t="s">
        <v>1400</v>
      </c>
      <c r="F8751" s="387">
        <v>1.0</v>
      </c>
      <c r="G8751" s="140">
        <v>565000.0</v>
      </c>
      <c r="H8751" s="140">
        <v>5000.0</v>
      </c>
      <c r="I8751" s="74">
        <f t="shared" si="1"/>
        <v>560000</v>
      </c>
      <c r="J8751" s="74">
        <f>IF(E8751="SERVICE",I8751-(I8751*50%),Vlookup(E8751,DATABASE!C:Q,10,false)*F8751)</f>
        <v>0</v>
      </c>
      <c r="K8751" s="74">
        <f>VLOOKUP(E8751,DATABASE!C:Q,7,false)</f>
        <v>465000</v>
      </c>
      <c r="L8751" s="74">
        <v>465000.0</v>
      </c>
      <c r="M8751" s="74">
        <f t="shared" si="6"/>
        <v>465000</v>
      </c>
      <c r="N8751" s="74">
        <f t="shared" si="3"/>
        <v>95000</v>
      </c>
      <c r="O8751" s="65" t="str">
        <f>VLOOKUP(E8751,DATABASE!C:Q,8,false)</f>
        <v>IBU</v>
      </c>
      <c r="P8751" s="65">
        <f>VLOOKUP(E8751,DATABASE!C:Q,9,False)</f>
        <v>1</v>
      </c>
      <c r="Q8751" s="93" t="str">
        <f>VLOOKUP(E8751,DATABASE!C:Q,4,false)</f>
        <v>Dunlop</v>
      </c>
      <c r="R8751" s="93" t="str">
        <f>VLOOKUP(E8751,DATABASE!C:Q,11,false)</f>
        <v>Tire</v>
      </c>
    </row>
    <row r="8752" ht="22.5" customHeight="1">
      <c r="A8752" s="49"/>
      <c r="C8752" s="400">
        <v>46168.0</v>
      </c>
      <c r="D8752" s="524">
        <v>1501.0</v>
      </c>
      <c r="E8752" s="544" t="s">
        <v>251</v>
      </c>
      <c r="F8752" s="387">
        <v>1.0</v>
      </c>
      <c r="G8752" s="140">
        <v>350000.0</v>
      </c>
      <c r="H8752" s="140">
        <v>250000.0</v>
      </c>
      <c r="I8752" s="74">
        <f t="shared" si="1"/>
        <v>100000</v>
      </c>
      <c r="J8752" s="74">
        <f>IF(E8752="SERVICE",I8752-(I8752*50%),Vlookup(E8752,DATABASE!C:Q,10,false)*F8752)</f>
        <v>50000</v>
      </c>
      <c r="K8752" s="74">
        <f>VLOOKUP(E8752,DATABASE!C:Q,7,false)</f>
        <v>0</v>
      </c>
      <c r="L8752" s="74">
        <v>0.0</v>
      </c>
      <c r="M8752" s="74">
        <f t="shared" si="6"/>
        <v>0</v>
      </c>
      <c r="N8752" s="74">
        <f t="shared" si="3"/>
        <v>50000</v>
      </c>
      <c r="O8752" s="65" t="str">
        <f>VLOOKUP(E8752,DATABASE!C:Q,8,false)</f>
        <v>IBU</v>
      </c>
      <c r="P8752" s="65">
        <f>VLOOKUP(E8752,DATABASE!C:Q,9,False)</f>
        <v>0</v>
      </c>
      <c r="Q8752" s="93" t="str">
        <f>VLOOKUP(E8752,DATABASE!C:Q,4,false)</f>
        <v>SERVICE</v>
      </c>
      <c r="R8752" s="93" t="str">
        <f>VLOOKUP(E8752,DATABASE!C:Q,11,false)</f>
        <v>SERVICE</v>
      </c>
    </row>
    <row r="8753" ht="22.5" customHeight="1">
      <c r="A8753" s="49"/>
      <c r="C8753" s="400">
        <v>46168.0</v>
      </c>
      <c r="D8753" s="524">
        <v>1501.0</v>
      </c>
      <c r="E8753" s="544" t="s">
        <v>262</v>
      </c>
      <c r="F8753" s="387">
        <v>1.0</v>
      </c>
      <c r="G8753" s="140">
        <v>130000.0</v>
      </c>
      <c r="H8753" s="74"/>
      <c r="I8753" s="74">
        <f t="shared" si="1"/>
        <v>130000</v>
      </c>
      <c r="J8753" s="74">
        <f>IF(E8753="SERVICE",I8753-(I8753*50%),Vlookup(E8753,DATABASE!C:Q,10,false)*F8753)</f>
        <v>5000</v>
      </c>
      <c r="K8753" s="74">
        <f>VLOOKUP(E8753,DATABASE!C:Q,7,false)</f>
        <v>0</v>
      </c>
      <c r="L8753" s="74">
        <v>0.0</v>
      </c>
      <c r="M8753" s="74">
        <f t="shared" si="6"/>
        <v>0</v>
      </c>
      <c r="N8753" s="74">
        <f t="shared" si="3"/>
        <v>125000</v>
      </c>
      <c r="O8753" s="65" t="str">
        <f>VLOOKUP(E8753,DATABASE!C:Q,8,false)</f>
        <v>IBU</v>
      </c>
      <c r="P8753" s="65">
        <f>VLOOKUP(E8753,DATABASE!C:Q,9,False)</f>
        <v>0</v>
      </c>
      <c r="Q8753" s="93" t="str">
        <f>VLOOKUP(E8753,DATABASE!C:Q,4,false)</f>
        <v>SPOORING SS/CARRY LOS BAK</v>
      </c>
      <c r="R8753" s="93" t="str">
        <f>VLOOKUP(E8753,DATABASE!C:Q,11,false)</f>
        <v>SERVICE</v>
      </c>
    </row>
    <row r="8754" ht="22.5" customHeight="1">
      <c r="A8754" s="49"/>
      <c r="C8754" s="400">
        <v>46168.0</v>
      </c>
      <c r="D8754" s="524">
        <v>1502.0</v>
      </c>
      <c r="E8754" s="544" t="s">
        <v>937</v>
      </c>
      <c r="F8754" s="387">
        <v>1.0</v>
      </c>
      <c r="G8754" s="140">
        <v>910000.0</v>
      </c>
      <c r="H8754" s="140">
        <v>10000.0</v>
      </c>
      <c r="I8754" s="74">
        <f t="shared" si="1"/>
        <v>900000</v>
      </c>
      <c r="J8754" s="74">
        <f>IF(E8754="SERVICE",I8754-(I8754*50%),Vlookup(E8754,DATABASE!C:Q,10,false)*F8754)</f>
        <v>0</v>
      </c>
      <c r="K8754" s="74">
        <f>VLOOKUP(E8754,DATABASE!C:Q,7,false)</f>
        <v>825000</v>
      </c>
      <c r="L8754" s="74">
        <v>815000.0</v>
      </c>
      <c r="M8754" s="74">
        <f t="shared" si="6"/>
        <v>815000</v>
      </c>
      <c r="N8754" s="74">
        <f t="shared" si="3"/>
        <v>85000</v>
      </c>
      <c r="O8754" s="65" t="str">
        <f>VLOOKUP(E8754,DATABASE!C:Q,8,false)</f>
        <v>IBU</v>
      </c>
      <c r="P8754" s="65">
        <f>VLOOKUP(E8754,DATABASE!C:Q,9,False)</f>
        <v>1</v>
      </c>
      <c r="Q8754" s="93" t="str">
        <f>VLOOKUP(E8754,DATABASE!C:Q,4,false)</f>
        <v>Bridgestone</v>
      </c>
      <c r="R8754" s="93" t="str">
        <f>VLOOKUP(E8754,DATABASE!C:Q,11,false)</f>
        <v>Tire</v>
      </c>
    </row>
    <row r="8755" ht="22.5" customHeight="1">
      <c r="A8755" s="49"/>
      <c r="C8755" s="400">
        <v>46168.0</v>
      </c>
      <c r="D8755" s="524">
        <v>1583.0</v>
      </c>
      <c r="E8755" s="544" t="s">
        <v>946</v>
      </c>
      <c r="F8755" s="387">
        <v>2.0</v>
      </c>
      <c r="G8755" s="140">
        <v>910000.0</v>
      </c>
      <c r="H8755" s="140">
        <v>10000.0</v>
      </c>
      <c r="I8755" s="74">
        <f t="shared" si="1"/>
        <v>1800000</v>
      </c>
      <c r="J8755" s="74">
        <f>IF(E8755="SERVICE",I8755-(I8755*50%),Vlookup(E8755,DATABASE!C:Q,10,false)*F8755)</f>
        <v>0</v>
      </c>
      <c r="K8755" s="74">
        <f>VLOOKUP(E8755,DATABASE!C:Q,7,false)</f>
        <v>809000</v>
      </c>
      <c r="L8755" s="74">
        <v>809000.0</v>
      </c>
      <c r="M8755" s="74">
        <f t="shared" si="6"/>
        <v>810000</v>
      </c>
      <c r="N8755" s="74">
        <f t="shared" si="3"/>
        <v>180000</v>
      </c>
      <c r="O8755" s="65" t="str">
        <f>VLOOKUP(E8755,DATABASE!C:Q,8,false)</f>
        <v>IBU</v>
      </c>
      <c r="P8755" s="65">
        <f>VLOOKUP(E8755,DATABASE!C:Q,9,False)</f>
        <v>1</v>
      </c>
      <c r="Q8755" s="93" t="str">
        <f>VLOOKUP(E8755,DATABASE!C:Q,4,false)</f>
        <v>Dunlop</v>
      </c>
      <c r="R8755" s="93" t="str">
        <f>VLOOKUP(E8755,DATABASE!C:Q,11,false)</f>
        <v>Tire</v>
      </c>
    </row>
    <row r="8756" ht="22.5" customHeight="1">
      <c r="A8756" s="49"/>
      <c r="C8756" s="400">
        <v>46170.0</v>
      </c>
      <c r="D8756" s="524">
        <v>1505.0</v>
      </c>
      <c r="E8756" s="544" t="s">
        <v>261</v>
      </c>
      <c r="F8756" s="387">
        <v>1.0</v>
      </c>
      <c r="G8756" s="140">
        <v>515000.0</v>
      </c>
      <c r="H8756" s="140">
        <v>15000.0</v>
      </c>
      <c r="I8756" s="74">
        <f t="shared" si="1"/>
        <v>500000</v>
      </c>
      <c r="J8756" s="74">
        <f>IF(E8756="SERVICE",I8756-(I8756*50%),Vlookup(E8756,DATABASE!C:Q,10,false)*F8756)</f>
        <v>0</v>
      </c>
      <c r="K8756" s="74">
        <f>VLOOKUP(E8756,DATABASE!C:Q,7,false)</f>
        <v>415000</v>
      </c>
      <c r="L8756" s="74">
        <v>415000.0</v>
      </c>
      <c r="M8756" s="74">
        <f t="shared" si="6"/>
        <v>415000</v>
      </c>
      <c r="N8756" s="74">
        <f t="shared" si="3"/>
        <v>85000</v>
      </c>
      <c r="O8756" s="65" t="str">
        <f>VLOOKUP(E8756,DATABASE!C:Q,8,false)</f>
        <v>IBU</v>
      </c>
      <c r="P8756" s="65">
        <f>VLOOKUP(E8756,DATABASE!C:Q,9,False)</f>
        <v>1</v>
      </c>
      <c r="Q8756" s="93" t="str">
        <f>VLOOKUP(E8756,DATABASE!C:Q,4,false)</f>
        <v>Dunlop</v>
      </c>
      <c r="R8756" s="93" t="str">
        <f>VLOOKUP(E8756,DATABASE!C:Q,11,false)</f>
        <v>Tire</v>
      </c>
    </row>
    <row r="8757" ht="22.5" customHeight="1">
      <c r="A8757" s="49"/>
      <c r="C8757" s="400">
        <v>46170.0</v>
      </c>
      <c r="D8757" s="524">
        <v>1506.0</v>
      </c>
      <c r="E8757" s="544" t="s">
        <v>256</v>
      </c>
      <c r="F8757" s="387">
        <v>1.0</v>
      </c>
      <c r="G8757" s="140">
        <v>175000.0</v>
      </c>
      <c r="H8757" s="140">
        <v>25000.0</v>
      </c>
      <c r="I8757" s="74">
        <f t="shared" si="1"/>
        <v>150000</v>
      </c>
      <c r="J8757" s="74">
        <f>IF(E8757="SERVICE",I8757-(I8757*50%),Vlookup(E8757,DATABASE!C:Q,10,false)*F8757)</f>
        <v>10000</v>
      </c>
      <c r="K8757" s="74">
        <f>VLOOKUP(E8757,DATABASE!C:Q,7,false)</f>
        <v>0</v>
      </c>
      <c r="L8757" s="74">
        <v>0.0</v>
      </c>
      <c r="M8757" s="74">
        <f t="shared" si="6"/>
        <v>0</v>
      </c>
      <c r="N8757" s="74">
        <f t="shared" si="3"/>
        <v>140000</v>
      </c>
      <c r="O8757" s="65" t="str">
        <f>VLOOKUP(E8757,DATABASE!C:Q,8,false)</f>
        <v>IBU</v>
      </c>
      <c r="P8757" s="65">
        <f>VLOOKUP(E8757,DATABASE!C:Q,9,False)</f>
        <v>0</v>
      </c>
      <c r="Q8757" s="93" t="str">
        <f>VLOOKUP(E8757,DATABASE!C:Q,4,false)</f>
        <v>SPOORING</v>
      </c>
      <c r="R8757" s="93" t="str">
        <f>VLOOKUP(E8757,DATABASE!C:Q,11,false)</f>
        <v>SERVICE</v>
      </c>
    </row>
    <row r="8758" ht="22.5" customHeight="1">
      <c r="A8758" s="49"/>
      <c r="C8758" s="400">
        <v>46170.0</v>
      </c>
      <c r="D8758" s="524">
        <v>1507.0</v>
      </c>
      <c r="E8758" s="544" t="s">
        <v>839</v>
      </c>
      <c r="F8758" s="387">
        <v>2.0</v>
      </c>
      <c r="G8758" s="140">
        <v>580000.0</v>
      </c>
      <c r="H8758" s="74"/>
      <c r="I8758" s="74">
        <f t="shared" si="1"/>
        <v>1160000</v>
      </c>
      <c r="J8758" s="74">
        <f>IF(E8758="SERVICE",I8758-(I8758*50%),Vlookup(E8758,DATABASE!C:Q,10,false)*F8758)</f>
        <v>0</v>
      </c>
      <c r="K8758" s="74">
        <f>VLOOKUP(E8758,DATABASE!C:Q,7,false)</f>
        <v>512640</v>
      </c>
      <c r="L8758" s="74">
        <v>490000.0</v>
      </c>
      <c r="M8758" s="74">
        <f t="shared" si="6"/>
        <v>490000</v>
      </c>
      <c r="N8758" s="74">
        <f t="shared" si="3"/>
        <v>180000</v>
      </c>
      <c r="O8758" s="65" t="str">
        <f>VLOOKUP(E8758,DATABASE!C:Q,8,false)</f>
        <v>BIAN</v>
      </c>
      <c r="P8758" s="65">
        <f>VLOOKUP(E8758,DATABASE!C:Q,9,False)</f>
        <v>1</v>
      </c>
      <c r="Q8758" s="93" t="str">
        <f>VLOOKUP(E8758,DATABASE!C:Q,4,false)</f>
        <v>GT</v>
      </c>
      <c r="R8758" s="93" t="str">
        <f>VLOOKUP(E8758,DATABASE!C:Q,11,false)</f>
        <v>Tire</v>
      </c>
    </row>
    <row r="8759" ht="22.5" customHeight="1">
      <c r="A8759" s="49"/>
      <c r="C8759" s="400">
        <v>46170.0</v>
      </c>
      <c r="D8759" s="524">
        <v>1507.0</v>
      </c>
      <c r="E8759" s="544" t="s">
        <v>299</v>
      </c>
      <c r="F8759" s="387">
        <v>2.0</v>
      </c>
      <c r="G8759" s="140">
        <v>30000.0</v>
      </c>
      <c r="H8759" s="74"/>
      <c r="I8759" s="74">
        <f t="shared" si="1"/>
        <v>60000</v>
      </c>
      <c r="J8759" s="74">
        <f>IF(E8759="SERVICE",I8759-(I8759*50%),Vlookup(E8759,DATABASE!C:Q,10,false)*F8759)</f>
        <v>0</v>
      </c>
      <c r="K8759" s="74">
        <f>VLOOKUP(E8759,DATABASE!C:Q,7,false)</f>
        <v>10000</v>
      </c>
      <c r="L8759" s="74">
        <v>10000.0</v>
      </c>
      <c r="M8759" s="74">
        <f t="shared" si="6"/>
        <v>10000</v>
      </c>
      <c r="N8759" s="74">
        <f t="shared" si="3"/>
        <v>40000</v>
      </c>
      <c r="O8759" s="65" t="str">
        <f>VLOOKUP(E8759,DATABASE!C:Q,8,false)</f>
        <v>BIAN</v>
      </c>
      <c r="P8759" s="65">
        <f>VLOOKUP(E8759,DATABASE!C:Q,9,False)</f>
        <v>0</v>
      </c>
      <c r="Q8759" s="93" t="str">
        <f>VLOOKUP(E8759,DATABASE!C:Q,4,false)</f>
        <v>Balancing</v>
      </c>
      <c r="R8759" s="93" t="str">
        <f>VLOOKUP(E8759,DATABASE!C:Q,11,false)</f>
        <v>COMPLEMENTARY</v>
      </c>
    </row>
    <row r="8760" ht="22.5" customHeight="1">
      <c r="A8760" s="49"/>
      <c r="C8760" s="400">
        <v>46170.0</v>
      </c>
      <c r="D8760" s="524">
        <v>1507.0</v>
      </c>
      <c r="E8760" s="544" t="s">
        <v>256</v>
      </c>
      <c r="F8760" s="387">
        <v>1.0</v>
      </c>
      <c r="G8760" s="140">
        <v>175000.0</v>
      </c>
      <c r="H8760" s="140">
        <v>25000.0</v>
      </c>
      <c r="I8760" s="74">
        <f t="shared" si="1"/>
        <v>150000</v>
      </c>
      <c r="J8760" s="74">
        <f>IF(E8760="SERVICE",I8760-(I8760*50%),Vlookup(E8760,DATABASE!C:Q,10,false)*F8760)</f>
        <v>10000</v>
      </c>
      <c r="K8760" s="74">
        <f>VLOOKUP(E8760,DATABASE!C:Q,7,false)</f>
        <v>0</v>
      </c>
      <c r="L8760" s="74">
        <v>0.0</v>
      </c>
      <c r="M8760" s="74">
        <f t="shared" si="6"/>
        <v>0</v>
      </c>
      <c r="N8760" s="74">
        <f t="shared" si="3"/>
        <v>140000</v>
      </c>
      <c r="O8760" s="65" t="str">
        <f>VLOOKUP(E8760,DATABASE!C:Q,8,false)</f>
        <v>IBU</v>
      </c>
      <c r="P8760" s="65">
        <f>VLOOKUP(E8760,DATABASE!C:Q,9,False)</f>
        <v>0</v>
      </c>
      <c r="Q8760" s="93" t="str">
        <f>VLOOKUP(E8760,DATABASE!C:Q,4,false)</f>
        <v>SPOORING</v>
      </c>
      <c r="R8760" s="93" t="str">
        <f>VLOOKUP(E8760,DATABASE!C:Q,11,false)</f>
        <v>SERVICE</v>
      </c>
    </row>
    <row r="8761" ht="22.5" customHeight="1">
      <c r="A8761" s="49"/>
      <c r="C8761" s="400">
        <v>46170.0</v>
      </c>
      <c r="D8761" s="524">
        <v>1507.0</v>
      </c>
      <c r="E8761" s="544" t="s">
        <v>301</v>
      </c>
      <c r="F8761" s="387">
        <v>1.0</v>
      </c>
      <c r="G8761" s="140">
        <v>250000.0</v>
      </c>
      <c r="H8761" s="74"/>
      <c r="I8761" s="74">
        <f t="shared" si="1"/>
        <v>250000</v>
      </c>
      <c r="J8761" s="74">
        <f>IF(E8761="SERVICE",I8761-(I8761*50%),Vlookup(E8761,DATABASE!C:Q,10,false)*F8761)</f>
        <v>75000</v>
      </c>
      <c r="K8761" s="74">
        <f>VLOOKUP(E8761,DATABASE!C:Q,7,false)</f>
        <v>75000</v>
      </c>
      <c r="L8761" s="74">
        <v>75000.0</v>
      </c>
      <c r="M8761" s="74">
        <f t="shared" si="6"/>
        <v>75000</v>
      </c>
      <c r="N8761" s="74">
        <f t="shared" si="3"/>
        <v>100000</v>
      </c>
      <c r="O8761" s="65" t="str">
        <f>VLOOKUP(E8761,DATABASE!C:Q,8,false)</f>
        <v>BIAN</v>
      </c>
      <c r="P8761" s="65">
        <f>VLOOKUP(E8761,DATABASE!C:Q,9,False)</f>
        <v>0</v>
      </c>
      <c r="Q8761" s="93" t="str">
        <f>VLOOKUP(E8761,DATABASE!C:Q,4,false)</f>
        <v>Baut Camber</v>
      </c>
      <c r="R8761" s="93" t="str">
        <f>VLOOKUP(E8761,DATABASE!C:Q,11,false)</f>
        <v>COMPLEMENTARY</v>
      </c>
    </row>
    <row r="8762" ht="22.5" customHeight="1">
      <c r="A8762" s="49"/>
      <c r="C8762" s="400">
        <v>46170.0</v>
      </c>
      <c r="D8762" s="524">
        <v>1508.0</v>
      </c>
      <c r="E8762" s="544" t="s">
        <v>246</v>
      </c>
      <c r="F8762" s="387">
        <v>4.0</v>
      </c>
      <c r="G8762" s="140">
        <v>35000.0</v>
      </c>
      <c r="H8762" s="140">
        <v>10000.0</v>
      </c>
      <c r="I8762" s="74">
        <f t="shared" si="1"/>
        <v>100000</v>
      </c>
      <c r="J8762" s="74">
        <f>IF(E8762="SERVICE",I8762-(I8762*50%),Vlookup(E8762,DATABASE!C:Q,10,false)*F8762)</f>
        <v>0</v>
      </c>
      <c r="K8762" s="74">
        <f>VLOOKUP(E8762,DATABASE!C:Q,7,false)</f>
        <v>0</v>
      </c>
      <c r="L8762" s="74">
        <v>0.0</v>
      </c>
      <c r="M8762" s="74">
        <f t="shared" si="6"/>
        <v>0</v>
      </c>
      <c r="N8762" s="74">
        <f t="shared" si="3"/>
        <v>100000</v>
      </c>
      <c r="O8762" s="65" t="str">
        <f>VLOOKUP(E8762,DATABASE!C:Q,8,false)</f>
        <v>IBU</v>
      </c>
      <c r="P8762" s="65">
        <f>VLOOKUP(E8762,DATABASE!C:Q,9,False)</f>
        <v>0</v>
      </c>
      <c r="Q8762" s="93" t="str">
        <f>VLOOKUP(E8762,DATABASE!C:Q,4,false)</f>
        <v>Bongkar Pasang</v>
      </c>
      <c r="R8762" s="93" t="str">
        <f>VLOOKUP(E8762,DATABASE!C:Q,11,false)</f>
        <v>SERVICE</v>
      </c>
    </row>
    <row r="8763" ht="22.5" customHeight="1">
      <c r="A8763" s="49"/>
      <c r="C8763" s="400">
        <v>46170.0</v>
      </c>
      <c r="D8763" s="524">
        <v>1508.0</v>
      </c>
      <c r="E8763" s="544" t="s">
        <v>299</v>
      </c>
      <c r="F8763" s="387">
        <v>4.0</v>
      </c>
      <c r="G8763" s="140">
        <v>30000.0</v>
      </c>
      <c r="H8763" s="74"/>
      <c r="I8763" s="74">
        <f t="shared" si="1"/>
        <v>120000</v>
      </c>
      <c r="J8763" s="74">
        <f>IF(E8763="SERVICE",I8763-(I8763*50%),Vlookup(E8763,DATABASE!C:Q,10,false)*F8763)</f>
        <v>0</v>
      </c>
      <c r="K8763" s="74">
        <f>VLOOKUP(E8763,DATABASE!C:Q,7,false)</f>
        <v>10000</v>
      </c>
      <c r="L8763" s="74">
        <v>10000.0</v>
      </c>
      <c r="M8763" s="74">
        <f t="shared" si="6"/>
        <v>10000</v>
      </c>
      <c r="N8763" s="74">
        <f t="shared" si="3"/>
        <v>80000</v>
      </c>
      <c r="O8763" s="65" t="str">
        <f>VLOOKUP(E8763,DATABASE!C:Q,8,false)</f>
        <v>BIAN</v>
      </c>
      <c r="P8763" s="65">
        <f>VLOOKUP(E8763,DATABASE!C:Q,9,False)</f>
        <v>0</v>
      </c>
      <c r="Q8763" s="93" t="str">
        <f>VLOOKUP(E8763,DATABASE!C:Q,4,false)</f>
        <v>Balancing</v>
      </c>
      <c r="R8763" s="93" t="str">
        <f>VLOOKUP(E8763,DATABASE!C:Q,11,false)</f>
        <v>COMPLEMENTARY</v>
      </c>
    </row>
    <row r="8764" ht="22.5" customHeight="1">
      <c r="A8764" s="49"/>
      <c r="C8764" s="400">
        <v>46170.0</v>
      </c>
      <c r="D8764" s="524">
        <v>1509.0</v>
      </c>
      <c r="E8764" s="544" t="s">
        <v>1951</v>
      </c>
      <c r="F8764" s="387">
        <v>1.0</v>
      </c>
      <c r="G8764" s="140">
        <v>860000.0</v>
      </c>
      <c r="H8764" s="74"/>
      <c r="I8764" s="74">
        <f t="shared" si="1"/>
        <v>860000</v>
      </c>
      <c r="J8764" s="74">
        <f>IF(E8764="SERVICE",I8764-(I8764*50%),Vlookup(E8764,DATABASE!C:Q,10,false)*F8764)</f>
        <v>0</v>
      </c>
      <c r="K8764" s="74">
        <f>VLOOKUP(E8764,DATABASE!C:Q,7,false)</f>
        <v>757300</v>
      </c>
      <c r="L8764" s="74">
        <v>757300.0</v>
      </c>
      <c r="M8764" s="74">
        <f t="shared" si="6"/>
        <v>760000</v>
      </c>
      <c r="N8764" s="74">
        <f t="shared" si="3"/>
        <v>100000</v>
      </c>
      <c r="O8764" s="65" t="str">
        <f>VLOOKUP(E8764,DATABASE!C:Q,8,false)</f>
        <v>BIAN</v>
      </c>
      <c r="P8764" s="65">
        <f>VLOOKUP(E8764,DATABASE!C:Q,9,False)</f>
        <v>1</v>
      </c>
      <c r="Q8764" s="93" t="str">
        <f>VLOOKUP(E8764,DATABASE!C:Q,4,false)</f>
        <v>GT</v>
      </c>
      <c r="R8764" s="93" t="str">
        <f>VLOOKUP(E8764,DATABASE!C:Q,11,false)</f>
        <v>Tire</v>
      </c>
    </row>
    <row r="8765" ht="22.5" customHeight="1">
      <c r="A8765" s="49"/>
      <c r="C8765" s="400">
        <v>46170.0</v>
      </c>
      <c r="D8765" s="524">
        <v>1510.0</v>
      </c>
      <c r="E8765" s="544" t="s">
        <v>1597</v>
      </c>
      <c r="F8765" s="387">
        <v>4.0</v>
      </c>
      <c r="G8765" s="140">
        <v>650000.0</v>
      </c>
      <c r="H8765" s="74"/>
      <c r="I8765" s="74">
        <f t="shared" si="1"/>
        <v>2600000</v>
      </c>
      <c r="J8765" s="74">
        <f>IF(E8765="SERVICE",I8765-(I8765*50%),Vlookup(E8765,DATABASE!C:Q,10,false)*F8765)</f>
        <v>0</v>
      </c>
      <c r="K8765" s="74">
        <f>VLOOKUP(E8765,DATABASE!C:Q,7,false)</f>
        <v>560700</v>
      </c>
      <c r="L8765" s="74">
        <v>560700.0</v>
      </c>
      <c r="M8765" s="74">
        <f t="shared" si="6"/>
        <v>565000</v>
      </c>
      <c r="N8765" s="74">
        <f t="shared" si="3"/>
        <v>340000</v>
      </c>
      <c r="O8765" s="65" t="str">
        <f>VLOOKUP(E8765,DATABASE!C:Q,8,false)</f>
        <v>BIAN</v>
      </c>
      <c r="P8765" s="65">
        <f>VLOOKUP(E8765,DATABASE!C:Q,9,False)</f>
        <v>1</v>
      </c>
      <c r="Q8765" s="93" t="str">
        <f>VLOOKUP(E8765,DATABASE!C:Q,4,false)</f>
        <v>GT</v>
      </c>
      <c r="R8765" s="93" t="str">
        <f>VLOOKUP(E8765,DATABASE!C:Q,11,false)</f>
        <v>Tire</v>
      </c>
    </row>
    <row r="8766" ht="22.5" customHeight="1">
      <c r="A8766" s="49"/>
      <c r="C8766" s="400">
        <v>46170.0</v>
      </c>
      <c r="D8766" s="524">
        <v>1510.0</v>
      </c>
      <c r="E8766" s="544" t="s">
        <v>299</v>
      </c>
      <c r="F8766" s="387">
        <v>2.0</v>
      </c>
      <c r="G8766" s="140">
        <v>30000.0</v>
      </c>
      <c r="H8766" s="140">
        <v>5000.0</v>
      </c>
      <c r="I8766" s="74">
        <f t="shared" si="1"/>
        <v>50000</v>
      </c>
      <c r="J8766" s="74">
        <f>IF(E8766="SERVICE",I8766-(I8766*50%),Vlookup(E8766,DATABASE!C:Q,10,false)*F8766)</f>
        <v>0</v>
      </c>
      <c r="K8766" s="74">
        <f>VLOOKUP(E8766,DATABASE!C:Q,7,false)</f>
        <v>10000</v>
      </c>
      <c r="L8766" s="74">
        <v>10000.0</v>
      </c>
      <c r="M8766" s="74">
        <f t="shared" si="6"/>
        <v>10000</v>
      </c>
      <c r="N8766" s="74">
        <f t="shared" si="3"/>
        <v>30000</v>
      </c>
      <c r="O8766" s="65" t="str">
        <f>VLOOKUP(E8766,DATABASE!C:Q,8,false)</f>
        <v>BIAN</v>
      </c>
      <c r="P8766" s="65">
        <f>VLOOKUP(E8766,DATABASE!C:Q,9,False)</f>
        <v>0</v>
      </c>
      <c r="Q8766" s="93" t="str">
        <f>VLOOKUP(E8766,DATABASE!C:Q,4,false)</f>
        <v>Balancing</v>
      </c>
      <c r="R8766" s="93" t="str">
        <f>VLOOKUP(E8766,DATABASE!C:Q,11,false)</f>
        <v>COMPLEMENTARY</v>
      </c>
    </row>
    <row r="8767" ht="22.5" customHeight="1">
      <c r="A8767" s="49"/>
      <c r="C8767" s="400">
        <v>46170.0</v>
      </c>
      <c r="D8767" s="524">
        <v>1511.0</v>
      </c>
      <c r="E8767" s="544" t="s">
        <v>695</v>
      </c>
      <c r="F8767" s="387">
        <v>1.0</v>
      </c>
      <c r="G8767" s="140">
        <v>675000.0</v>
      </c>
      <c r="H8767" s="74"/>
      <c r="I8767" s="74">
        <f t="shared" si="1"/>
        <v>675000</v>
      </c>
      <c r="J8767" s="74">
        <f>IF(E8767="SERVICE",I8767-(I8767*50%),Vlookup(E8767,DATABASE!C:Q,10,false)*F8767)</f>
        <v>0</v>
      </c>
      <c r="K8767" s="74">
        <f>VLOOKUP(E8767,DATABASE!C:Q,7,false)</f>
        <v>582000</v>
      </c>
      <c r="L8767" s="74">
        <v>582000.0</v>
      </c>
      <c r="M8767" s="74">
        <f t="shared" si="6"/>
        <v>585000</v>
      </c>
      <c r="N8767" s="74">
        <f t="shared" si="3"/>
        <v>90000</v>
      </c>
      <c r="O8767" s="65" t="str">
        <f>VLOOKUP(E8767,DATABASE!C:Q,8,false)</f>
        <v>IBU</v>
      </c>
      <c r="P8767" s="65">
        <f>VLOOKUP(E8767,DATABASE!C:Q,9,False)</f>
        <v>1</v>
      </c>
      <c r="Q8767" s="93" t="str">
        <f>VLOOKUP(E8767,DATABASE!C:Q,4,false)</f>
        <v>Dunlop</v>
      </c>
      <c r="R8767" s="93" t="str">
        <f>VLOOKUP(E8767,DATABASE!C:Q,11,false)</f>
        <v>Tire</v>
      </c>
    </row>
    <row r="8768" ht="22.5" customHeight="1">
      <c r="A8768" s="49"/>
      <c r="C8768" s="400">
        <v>46170.0</v>
      </c>
      <c r="D8768" s="524">
        <v>1511.0</v>
      </c>
      <c r="E8768" s="544" t="s">
        <v>256</v>
      </c>
      <c r="F8768" s="387">
        <v>1.0</v>
      </c>
      <c r="G8768" s="140">
        <v>175000.0</v>
      </c>
      <c r="H8768" s="140">
        <v>25000.0</v>
      </c>
      <c r="I8768" s="74">
        <f t="shared" si="1"/>
        <v>150000</v>
      </c>
      <c r="J8768" s="74">
        <f>IF(E8768="SERVICE",I8768-(I8768*50%),Vlookup(E8768,DATABASE!C:Q,10,false)*F8768)</f>
        <v>10000</v>
      </c>
      <c r="K8768" s="74">
        <f>VLOOKUP(E8768,DATABASE!C:Q,7,false)</f>
        <v>0</v>
      </c>
      <c r="L8768" s="74">
        <v>0.0</v>
      </c>
      <c r="M8768" s="74">
        <f t="shared" si="6"/>
        <v>0</v>
      </c>
      <c r="N8768" s="74">
        <f t="shared" si="3"/>
        <v>140000</v>
      </c>
      <c r="O8768" s="65" t="str">
        <f>VLOOKUP(E8768,DATABASE!C:Q,8,false)</f>
        <v>IBU</v>
      </c>
      <c r="P8768" s="65">
        <f>VLOOKUP(E8768,DATABASE!C:Q,9,False)</f>
        <v>0</v>
      </c>
      <c r="Q8768" s="93" t="str">
        <f>VLOOKUP(E8768,DATABASE!C:Q,4,false)</f>
        <v>SPOORING</v>
      </c>
      <c r="R8768" s="93" t="str">
        <f>VLOOKUP(E8768,DATABASE!C:Q,11,false)</f>
        <v>SERVICE</v>
      </c>
    </row>
    <row r="8769" ht="22.5" customHeight="1">
      <c r="A8769" s="49"/>
      <c r="C8769" s="400">
        <v>46170.0</v>
      </c>
      <c r="D8769" s="524">
        <v>1511.0</v>
      </c>
      <c r="E8769" s="544" t="s">
        <v>305</v>
      </c>
      <c r="F8769" s="387">
        <v>1.0</v>
      </c>
      <c r="G8769" s="140">
        <v>240000.0</v>
      </c>
      <c r="H8769" s="74"/>
      <c r="I8769" s="74">
        <f t="shared" si="1"/>
        <v>240000</v>
      </c>
      <c r="J8769" s="74">
        <f>IF(E8769="SERVICE",I8769-(I8769*50%),Vlookup(E8769,DATABASE!C:Q,10,false)*F8769)</f>
        <v>40000</v>
      </c>
      <c r="K8769" s="74">
        <f>VLOOKUP(E8769,DATABASE!C:Q,7,false)</f>
        <v>158530.2</v>
      </c>
      <c r="L8769" s="74">
        <v>158530.2</v>
      </c>
      <c r="M8769" s="74">
        <f t="shared" si="6"/>
        <v>160000</v>
      </c>
      <c r="N8769" s="74">
        <f t="shared" si="3"/>
        <v>40000</v>
      </c>
      <c r="O8769" s="65" t="str">
        <f>VLOOKUP(E8769,DATABASE!C:Q,8,false)</f>
        <v>BIAN</v>
      </c>
      <c r="P8769" s="65">
        <f>VLOOKUP(E8769,DATABASE!C:Q,9,False)</f>
        <v>1</v>
      </c>
      <c r="Q8769" s="93" t="str">
        <f>VLOOKUP(E8769,DATABASE!C:Q,4,false)</f>
        <v>Lower Arm</v>
      </c>
      <c r="R8769" s="93" t="str">
        <f>VLOOKUP(E8769,DATABASE!C:Q,11,false)</f>
        <v>COMPLEMENTARY</v>
      </c>
    </row>
    <row r="8770" ht="22.5" customHeight="1">
      <c r="A8770" s="49"/>
      <c r="C8770" s="400">
        <v>46170.0</v>
      </c>
      <c r="D8770" s="524">
        <v>1513.0</v>
      </c>
      <c r="E8770" s="544" t="s">
        <v>290</v>
      </c>
      <c r="F8770" s="387">
        <v>2.0</v>
      </c>
      <c r="G8770" s="140">
        <v>720000.0</v>
      </c>
      <c r="H8770" s="140">
        <v>5000.0</v>
      </c>
      <c r="I8770" s="74">
        <f t="shared" si="1"/>
        <v>1430000</v>
      </c>
      <c r="J8770" s="74">
        <f>IF(E8770="SERVICE",I8770-(I8770*50%),Vlookup(E8770,DATABASE!C:Q,10,false)*F8770)</f>
        <v>0</v>
      </c>
      <c r="K8770" s="74">
        <f>VLOOKUP(E8770,DATABASE!C:Q,7,false)</f>
        <v>628100</v>
      </c>
      <c r="L8770" s="74">
        <v>628100.0</v>
      </c>
      <c r="M8770" s="74">
        <f t="shared" si="6"/>
        <v>630000</v>
      </c>
      <c r="N8770" s="74">
        <f t="shared" si="3"/>
        <v>170000</v>
      </c>
      <c r="O8770" s="65" t="str">
        <f>VLOOKUP(E8770,DATABASE!C:Q,8,false)</f>
        <v>BIAN</v>
      </c>
      <c r="P8770" s="65">
        <f>VLOOKUP(E8770,DATABASE!C:Q,9,False)</f>
        <v>1</v>
      </c>
      <c r="Q8770" s="93" t="str">
        <f>VLOOKUP(E8770,DATABASE!C:Q,4,false)</f>
        <v>GT</v>
      </c>
      <c r="R8770" s="93" t="str">
        <f>VLOOKUP(E8770,DATABASE!C:Q,11,false)</f>
        <v>Tire</v>
      </c>
    </row>
    <row r="8771" ht="22.5" customHeight="1">
      <c r="A8771" s="49"/>
      <c r="C8771" s="400">
        <v>46170.0</v>
      </c>
      <c r="D8771" s="524">
        <v>1514.0</v>
      </c>
      <c r="E8771" s="544" t="s">
        <v>268</v>
      </c>
      <c r="F8771" s="387">
        <v>1.0</v>
      </c>
      <c r="G8771" s="140">
        <v>720000.0</v>
      </c>
      <c r="H8771" s="74"/>
      <c r="I8771" s="74">
        <f t="shared" si="1"/>
        <v>720000</v>
      </c>
      <c r="J8771" s="74">
        <f>IF(E8771="SERVICE",I8771-(I8771*50%),Vlookup(E8771,DATABASE!C:Q,10,false)*F8771)</f>
        <v>0</v>
      </c>
      <c r="K8771" s="74">
        <f>VLOOKUP(E8771,DATABASE!C:Q,7,false)</f>
        <v>653000</v>
      </c>
      <c r="L8771" s="74">
        <v>634500.0</v>
      </c>
      <c r="M8771" s="74">
        <f t="shared" si="6"/>
        <v>635000</v>
      </c>
      <c r="N8771" s="74">
        <f t="shared" si="3"/>
        <v>85000</v>
      </c>
      <c r="O8771" s="65" t="str">
        <f>VLOOKUP(E8771,DATABASE!C:Q,8,false)</f>
        <v>IBU</v>
      </c>
      <c r="P8771" s="65">
        <f>VLOOKUP(E8771,DATABASE!C:Q,9,False)</f>
        <v>1</v>
      </c>
      <c r="Q8771" s="93" t="str">
        <f>VLOOKUP(E8771,DATABASE!C:Q,4,false)</f>
        <v>Dunlop</v>
      </c>
      <c r="R8771" s="93" t="str">
        <f>VLOOKUP(E8771,DATABASE!C:Q,11,false)</f>
        <v>Tire</v>
      </c>
    </row>
    <row r="8772" ht="22.5" customHeight="1">
      <c r="A8772" s="49"/>
      <c r="C8772" s="400">
        <v>46170.0</v>
      </c>
      <c r="D8772" s="524">
        <v>1515.0</v>
      </c>
      <c r="E8772" s="544" t="s">
        <v>581</v>
      </c>
      <c r="F8772" s="387">
        <v>1.0</v>
      </c>
      <c r="G8772" s="140">
        <v>645000.0</v>
      </c>
      <c r="H8772" s="140">
        <v>15000.0</v>
      </c>
      <c r="I8772" s="74">
        <f t="shared" si="1"/>
        <v>630000</v>
      </c>
      <c r="J8772" s="74">
        <f>IF(E8772="SERVICE",I8772-(I8772*50%),Vlookup(E8772,DATABASE!C:Q,10,false)*F8772)</f>
        <v>0</v>
      </c>
      <c r="K8772" s="74">
        <f>VLOOKUP(E8772,DATABASE!C:Q,7,false)</f>
        <v>542528</v>
      </c>
      <c r="L8772" s="74">
        <v>542528.0</v>
      </c>
      <c r="M8772" s="74">
        <f t="shared" si="6"/>
        <v>545000</v>
      </c>
      <c r="N8772" s="74">
        <f t="shared" si="3"/>
        <v>85000</v>
      </c>
      <c r="O8772" s="65" t="str">
        <f>VLOOKUP(E8772,DATABASE!C:Q,8,false)</f>
        <v>IBU</v>
      </c>
      <c r="P8772" s="65">
        <f>VLOOKUP(E8772,DATABASE!C:Q,9,False)</f>
        <v>1</v>
      </c>
      <c r="Q8772" s="93" t="str">
        <f>VLOOKUP(E8772,DATABASE!C:Q,4,false)</f>
        <v>Bridgestone</v>
      </c>
      <c r="R8772" s="93" t="str">
        <f>VLOOKUP(E8772,DATABASE!C:Q,11,false)</f>
        <v>Tire</v>
      </c>
    </row>
    <row r="8773" ht="22.5" customHeight="1">
      <c r="A8773" s="49"/>
      <c r="C8773" s="400">
        <v>46170.0</v>
      </c>
      <c r="D8773" s="524">
        <v>1516.0</v>
      </c>
      <c r="E8773" s="544" t="s">
        <v>403</v>
      </c>
      <c r="F8773" s="387">
        <v>2.0</v>
      </c>
      <c r="G8773" s="140">
        <v>2260000.0</v>
      </c>
      <c r="H8773" s="140">
        <v>10000.0</v>
      </c>
      <c r="I8773" s="74">
        <f t="shared" si="1"/>
        <v>4500000</v>
      </c>
      <c r="J8773" s="74">
        <f>IF(E8773="SERVICE",I8773-(I8773*50%),Vlookup(E8773,DATABASE!C:Q,10,false)*F8773)</f>
        <v>0</v>
      </c>
      <c r="K8773" s="74">
        <f>VLOOKUP(E8773,DATABASE!C:Q,7,false)</f>
        <v>2160000</v>
      </c>
      <c r="L8773" s="74">
        <v>2160000.0</v>
      </c>
      <c r="M8773" s="74">
        <f t="shared" si="6"/>
        <v>2160000</v>
      </c>
      <c r="N8773" s="74">
        <f t="shared" si="3"/>
        <v>180000</v>
      </c>
      <c r="O8773" s="65" t="str">
        <f>VLOOKUP(E8773,DATABASE!C:Q,8,false)</f>
        <v>BIAN</v>
      </c>
      <c r="P8773" s="65">
        <f>VLOOKUP(E8773,DATABASE!C:Q,9,False)</f>
        <v>1</v>
      </c>
      <c r="Q8773" s="93" t="str">
        <f>VLOOKUP(E8773,DATABASE!C:Q,4,false)</f>
        <v>Advance</v>
      </c>
      <c r="R8773" s="93" t="str">
        <f>VLOOKUP(E8773,DATABASE!C:Q,11,false)</f>
        <v>Tire</v>
      </c>
    </row>
    <row r="8774" ht="22.5" customHeight="1">
      <c r="A8774" s="49"/>
      <c r="C8774" s="400">
        <v>46170.0</v>
      </c>
      <c r="D8774" s="524">
        <v>1517.0</v>
      </c>
      <c r="E8774" s="544" t="s">
        <v>2199</v>
      </c>
      <c r="F8774" s="387">
        <v>1.0</v>
      </c>
      <c r="G8774" s="140">
        <v>20000.0</v>
      </c>
      <c r="H8774" s="74"/>
      <c r="I8774" s="74">
        <f t="shared" si="1"/>
        <v>20000</v>
      </c>
      <c r="J8774" s="74">
        <f>IF(E8774="SERVICE",I8774-(I8774*50%),Vlookup(E8774,DATABASE!C:Q,10,false)*F8774)</f>
        <v>0</v>
      </c>
      <c r="K8774" s="74">
        <f>VLOOKUP(E8774,DATABASE!C:Q,7,false)</f>
        <v>5000</v>
      </c>
      <c r="L8774" s="74">
        <v>5000.0</v>
      </c>
      <c r="M8774" s="74">
        <f t="shared" si="6"/>
        <v>5000</v>
      </c>
      <c r="N8774" s="74">
        <f t="shared" si="3"/>
        <v>15000</v>
      </c>
      <c r="O8774" s="65" t="str">
        <f>VLOOKUP(E8774,DATABASE!C:Q,8,false)</f>
        <v>BIAN</v>
      </c>
      <c r="P8774" s="65">
        <f>VLOOKUP(E8774,DATABASE!C:Q,9,False)</f>
        <v>0</v>
      </c>
      <c r="Q8774" s="93" t="str">
        <f>VLOOKUP(E8774,DATABASE!C:Q,4,false)</f>
        <v>TAMBAL TUBLES</v>
      </c>
      <c r="R8774" s="93" t="str">
        <f>VLOOKUP(E8774,DATABASE!C:Q,11,false)</f>
        <v>COMPLEMENTARY</v>
      </c>
    </row>
    <row r="8775" ht="22.5" customHeight="1">
      <c r="A8775" s="49"/>
      <c r="C8775" s="400">
        <v>46170.0</v>
      </c>
      <c r="D8775" s="69" t="s">
        <v>2822</v>
      </c>
      <c r="E8775" s="544" t="s">
        <v>263</v>
      </c>
      <c r="F8775" s="387">
        <v>1.0</v>
      </c>
      <c r="G8775" s="140">
        <v>360000.0</v>
      </c>
      <c r="H8775" s="140">
        <v>10000.0</v>
      </c>
      <c r="I8775" s="74">
        <f t="shared" si="1"/>
        <v>350000</v>
      </c>
      <c r="J8775" s="74">
        <f>IF(E8775="SERVICE",I8775-(I8775*50%),Vlookup(E8775,DATABASE!C:Q,10,false)*F8775)</f>
        <v>0</v>
      </c>
      <c r="K8775" s="74">
        <f>VLOOKUP(E8775,DATABASE!C:Q,7,false)</f>
        <v>334916</v>
      </c>
      <c r="L8775" s="74">
        <v>307676.0</v>
      </c>
      <c r="M8775" s="74">
        <f t="shared" si="6"/>
        <v>310000</v>
      </c>
      <c r="N8775" s="74">
        <f t="shared" si="3"/>
        <v>40000</v>
      </c>
      <c r="O8775" s="65" t="str">
        <f>VLOOKUP(E8775,DATABASE!C:Q,8,false)</f>
        <v>NON</v>
      </c>
      <c r="P8775" s="65">
        <f>VLOOKUP(E8775,DATABASE!C:Q,9,False)</f>
        <v>0</v>
      </c>
      <c r="Q8775" s="93" t="str">
        <f>VLOOKUP(E8775,DATABASE!C:Q,4,false)</f>
        <v>Shell</v>
      </c>
      <c r="R8775" s="93" t="str">
        <f>VLOOKUP(E8775,DATABASE!C:Q,11,false)</f>
        <v>OIL</v>
      </c>
    </row>
    <row r="8776" ht="22.5" customHeight="1">
      <c r="A8776" s="49"/>
      <c r="C8776" s="400">
        <v>46170.0</v>
      </c>
      <c r="D8776" s="69" t="s">
        <v>2822</v>
      </c>
      <c r="E8776" s="544" t="s">
        <v>298</v>
      </c>
      <c r="F8776" s="387">
        <v>1.0</v>
      </c>
      <c r="G8776" s="140">
        <v>25000.0</v>
      </c>
      <c r="H8776" s="140">
        <v>2000.0</v>
      </c>
      <c r="I8776" s="74">
        <f t="shared" si="1"/>
        <v>23000</v>
      </c>
      <c r="J8776" s="74">
        <f>IF(E8776="SERVICE",I8776-(I8776*50%),Vlookup(E8776,DATABASE!C:Q,10,false)*F8776)</f>
        <v>0</v>
      </c>
      <c r="K8776" s="74">
        <f>VLOOKUP(E8776,DATABASE!C:Q,7,false)</f>
        <v>19200</v>
      </c>
      <c r="L8776" s="74">
        <v>19200.0</v>
      </c>
      <c r="M8776" s="74">
        <f t="shared" si="6"/>
        <v>20000</v>
      </c>
      <c r="N8776" s="74">
        <f t="shared" si="3"/>
        <v>3000</v>
      </c>
      <c r="O8776" s="65" t="str">
        <f>VLOOKUP(E8776,DATABASE!C:Q,8,false)</f>
        <v>BIAN</v>
      </c>
      <c r="P8776" s="65">
        <f>VLOOKUP(E8776,DATABASE!C:Q,9,False)</f>
        <v>0</v>
      </c>
      <c r="Q8776" s="93" t="str">
        <f>VLOOKUP(E8776,DATABASE!C:Q,4,false)</f>
        <v>Aspira</v>
      </c>
      <c r="R8776" s="93" t="str">
        <f>VLOOKUP(E8776,DATABASE!C:Q,11,false)</f>
        <v>COMPLEMENTARY</v>
      </c>
    </row>
    <row r="8777" ht="22.5" customHeight="1">
      <c r="A8777" s="49"/>
      <c r="C8777" s="400">
        <v>46171.0</v>
      </c>
      <c r="D8777" s="524">
        <v>1518.0</v>
      </c>
      <c r="E8777" s="544" t="s">
        <v>288</v>
      </c>
      <c r="F8777" s="387">
        <v>1.0</v>
      </c>
      <c r="G8777" s="140">
        <v>630000.0</v>
      </c>
      <c r="H8777" s="74"/>
      <c r="I8777" s="74">
        <f t="shared" si="1"/>
        <v>630000</v>
      </c>
      <c r="J8777" s="74">
        <f>IF(E8777="SERVICE",I8777-(I8777*50%),Vlookup(E8777,DATABASE!C:Q,10,false)*F8777)</f>
        <v>0</v>
      </c>
      <c r="K8777" s="74">
        <f>VLOOKUP(E8777,DATABASE!C:Q,7,false)</f>
        <v>565760</v>
      </c>
      <c r="L8777" s="74">
        <v>540500.0</v>
      </c>
      <c r="M8777" s="74">
        <f t="shared" si="6"/>
        <v>545000</v>
      </c>
      <c r="N8777" s="74">
        <f t="shared" si="3"/>
        <v>85000</v>
      </c>
      <c r="O8777" s="65" t="str">
        <f>VLOOKUP(E8777,DATABASE!C:Q,8,false)</f>
        <v>BIAN</v>
      </c>
      <c r="P8777" s="65">
        <f>VLOOKUP(E8777,DATABASE!C:Q,9,False)</f>
        <v>1</v>
      </c>
      <c r="Q8777" s="93" t="str">
        <f>VLOOKUP(E8777,DATABASE!C:Q,4,false)</f>
        <v>GT</v>
      </c>
      <c r="R8777" s="93" t="str">
        <f>VLOOKUP(E8777,DATABASE!C:Q,11,false)</f>
        <v>Tire</v>
      </c>
    </row>
    <row r="8778" ht="22.5" customHeight="1">
      <c r="A8778" s="49"/>
      <c r="C8778" s="400">
        <v>46171.0</v>
      </c>
      <c r="D8778" s="524">
        <v>1519.0</v>
      </c>
      <c r="E8778" s="544" t="s">
        <v>955</v>
      </c>
      <c r="F8778" s="387">
        <v>1.0</v>
      </c>
      <c r="G8778" s="140">
        <v>770000.0</v>
      </c>
      <c r="H8778" s="140">
        <v>20000.0</v>
      </c>
      <c r="I8778" s="74">
        <f t="shared" si="1"/>
        <v>750000</v>
      </c>
      <c r="J8778" s="74">
        <f>IF(E8778="SERVICE",I8778-(I8778*50%),Vlookup(E8778,DATABASE!C:Q,10,false)*F8778)</f>
        <v>0</v>
      </c>
      <c r="K8778" s="74">
        <f>VLOOKUP(E8778,DATABASE!C:Q,7,false)</f>
        <v>712000</v>
      </c>
      <c r="L8778" s="74">
        <v>660000.0</v>
      </c>
      <c r="M8778" s="74">
        <f t="shared" si="6"/>
        <v>660000</v>
      </c>
      <c r="N8778" s="74">
        <f t="shared" si="3"/>
        <v>90000</v>
      </c>
      <c r="O8778" s="65" t="str">
        <f>VLOOKUP(E8778,DATABASE!C:Q,8,false)</f>
        <v>IBU</v>
      </c>
      <c r="P8778" s="65">
        <f>VLOOKUP(E8778,DATABASE!C:Q,9,False)</f>
        <v>1</v>
      </c>
      <c r="Q8778" s="93" t="str">
        <f>VLOOKUP(E8778,DATABASE!C:Q,4,false)</f>
        <v>Dunlop</v>
      </c>
      <c r="R8778" s="93" t="str">
        <f>VLOOKUP(E8778,DATABASE!C:Q,11,false)</f>
        <v>Tire</v>
      </c>
    </row>
    <row r="8779" ht="22.5" customHeight="1">
      <c r="A8779" s="49"/>
      <c r="C8779" s="400">
        <v>46171.0</v>
      </c>
      <c r="D8779" s="524">
        <v>1520.0</v>
      </c>
      <c r="E8779" s="544" t="s">
        <v>268</v>
      </c>
      <c r="F8779" s="387">
        <v>1.0</v>
      </c>
      <c r="G8779" s="140">
        <v>720000.0</v>
      </c>
      <c r="H8779" s="74"/>
      <c r="I8779" s="74">
        <f t="shared" si="1"/>
        <v>720000</v>
      </c>
      <c r="J8779" s="74">
        <f>IF(E8779="SERVICE",I8779-(I8779*50%),Vlookup(E8779,DATABASE!C:Q,10,false)*F8779)</f>
        <v>0</v>
      </c>
      <c r="K8779" s="74">
        <f>VLOOKUP(E8779,DATABASE!C:Q,7,false)</f>
        <v>653000</v>
      </c>
      <c r="L8779" s="74">
        <v>634500.0</v>
      </c>
      <c r="M8779" s="74">
        <f t="shared" si="6"/>
        <v>635000</v>
      </c>
      <c r="N8779" s="74">
        <f t="shared" si="3"/>
        <v>85000</v>
      </c>
      <c r="O8779" s="65" t="str">
        <f>VLOOKUP(E8779,DATABASE!C:Q,8,false)</f>
        <v>IBU</v>
      </c>
      <c r="P8779" s="65">
        <f>VLOOKUP(E8779,DATABASE!C:Q,9,False)</f>
        <v>1</v>
      </c>
      <c r="Q8779" s="93" t="str">
        <f>VLOOKUP(E8779,DATABASE!C:Q,4,false)</f>
        <v>Dunlop</v>
      </c>
      <c r="R8779" s="93" t="str">
        <f>VLOOKUP(E8779,DATABASE!C:Q,11,false)</f>
        <v>Tire</v>
      </c>
    </row>
    <row r="8780" ht="22.5" customHeight="1">
      <c r="A8780" s="49"/>
      <c r="C8780" s="400">
        <v>46171.0</v>
      </c>
      <c r="D8780" s="524">
        <v>1521.0</v>
      </c>
      <c r="E8780" s="544" t="s">
        <v>268</v>
      </c>
      <c r="F8780" s="387">
        <v>1.0</v>
      </c>
      <c r="G8780" s="140">
        <v>720000.0</v>
      </c>
      <c r="H8780" s="74"/>
      <c r="I8780" s="74">
        <f t="shared" si="1"/>
        <v>720000</v>
      </c>
      <c r="J8780" s="74">
        <f>IF(E8780="SERVICE",I8780-(I8780*50%),Vlookup(E8780,DATABASE!C:Q,10,false)*F8780)</f>
        <v>0</v>
      </c>
      <c r="K8780" s="74">
        <f>VLOOKUP(E8780,DATABASE!C:Q,7,false)</f>
        <v>653000</v>
      </c>
      <c r="L8780" s="74">
        <v>634500.0</v>
      </c>
      <c r="M8780" s="74">
        <f t="shared" si="6"/>
        <v>635000</v>
      </c>
      <c r="N8780" s="74">
        <f t="shared" si="3"/>
        <v>85000</v>
      </c>
      <c r="O8780" s="65" t="str">
        <f>VLOOKUP(E8780,DATABASE!C:Q,8,false)</f>
        <v>IBU</v>
      </c>
      <c r="P8780" s="65">
        <f>VLOOKUP(E8780,DATABASE!C:Q,9,False)</f>
        <v>1</v>
      </c>
      <c r="Q8780" s="93" t="str">
        <f>VLOOKUP(E8780,DATABASE!C:Q,4,false)</f>
        <v>Dunlop</v>
      </c>
      <c r="R8780" s="93" t="str">
        <f>VLOOKUP(E8780,DATABASE!C:Q,11,false)</f>
        <v>Tire</v>
      </c>
    </row>
    <row r="8781" ht="22.5" customHeight="1">
      <c r="A8781" s="49"/>
      <c r="C8781" s="400">
        <v>46171.0</v>
      </c>
      <c r="D8781" s="524">
        <v>1522.0</v>
      </c>
      <c r="E8781" s="544" t="s">
        <v>569</v>
      </c>
      <c r="F8781" s="387">
        <v>2.0</v>
      </c>
      <c r="G8781" s="140">
        <v>80000.0</v>
      </c>
      <c r="H8781" s="74"/>
      <c r="I8781" s="74">
        <f t="shared" si="1"/>
        <v>160000</v>
      </c>
      <c r="J8781" s="74">
        <f>IF(E8781="SERVICE",I8781-(I8781*50%),Vlookup(E8781,DATABASE!C:Q,10,false)*F8781)</f>
        <v>0</v>
      </c>
      <c r="K8781" s="74">
        <f>VLOOKUP(E8781,DATABASE!C:Q,7,false)</f>
        <v>45439.582</v>
      </c>
      <c r="L8781" s="74">
        <v>45439.582</v>
      </c>
      <c r="M8781" s="74">
        <f t="shared" si="6"/>
        <v>50000</v>
      </c>
      <c r="N8781" s="74">
        <f t="shared" si="3"/>
        <v>60000</v>
      </c>
      <c r="O8781" s="65" t="str">
        <f>VLOOKUP(E8781,DATABASE!C:Q,8,false)</f>
        <v>BIAN</v>
      </c>
      <c r="P8781" s="65">
        <f>VLOOKUP(E8781,DATABASE!C:Q,9,False)</f>
        <v>1</v>
      </c>
      <c r="Q8781" s="93" t="str">
        <f>VLOOKUP(E8781,DATABASE!C:Q,4,false)</f>
        <v>BD</v>
      </c>
      <c r="R8781" s="93" t="str">
        <f>VLOOKUP(E8781,DATABASE!C:Q,11,false)</f>
        <v>Tire</v>
      </c>
    </row>
    <row r="8782" ht="22.5" customHeight="1">
      <c r="A8782" s="49"/>
      <c r="C8782" s="400">
        <v>46171.0</v>
      </c>
      <c r="D8782" s="524">
        <v>1523.0</v>
      </c>
      <c r="E8782" s="544" t="s">
        <v>974</v>
      </c>
      <c r="F8782" s="387">
        <v>1.0</v>
      </c>
      <c r="G8782" s="140">
        <v>590000.0</v>
      </c>
      <c r="H8782" s="74"/>
      <c r="I8782" s="74">
        <f t="shared" si="1"/>
        <v>590000</v>
      </c>
      <c r="J8782" s="74">
        <f>IF(E8782="SERVICE",I8782-(I8782*50%),Vlookup(E8782,DATABASE!C:Q,10,false)*F8782)</f>
        <v>0</v>
      </c>
      <c r="K8782" s="74">
        <f>VLOOKUP(E8782,DATABASE!C:Q,7,false)</f>
        <v>501500</v>
      </c>
      <c r="L8782" s="74">
        <v>501500.0</v>
      </c>
      <c r="M8782" s="74">
        <f t="shared" si="6"/>
        <v>505000</v>
      </c>
      <c r="N8782" s="74">
        <f t="shared" si="3"/>
        <v>85000</v>
      </c>
      <c r="O8782" s="65" t="str">
        <f>VLOOKUP(E8782,DATABASE!C:Q,8,false)</f>
        <v>IBU</v>
      </c>
      <c r="P8782" s="65">
        <f>VLOOKUP(E8782,DATABASE!C:Q,9,False)</f>
        <v>1</v>
      </c>
      <c r="Q8782" s="93" t="str">
        <f>VLOOKUP(E8782,DATABASE!C:Q,4,false)</f>
        <v>Dunlop</v>
      </c>
      <c r="R8782" s="93" t="str">
        <f>VLOOKUP(E8782,DATABASE!C:Q,11,false)</f>
        <v>Tire</v>
      </c>
    </row>
    <row r="8783" ht="22.5" customHeight="1">
      <c r="A8783" s="49"/>
      <c r="C8783" s="400">
        <v>46171.0</v>
      </c>
      <c r="D8783" s="524">
        <v>1523.0</v>
      </c>
      <c r="E8783" s="544" t="s">
        <v>256</v>
      </c>
      <c r="F8783" s="387">
        <v>1.0</v>
      </c>
      <c r="G8783" s="140">
        <v>175000.0</v>
      </c>
      <c r="H8783" s="140">
        <v>25000.0</v>
      </c>
      <c r="I8783" s="74">
        <f t="shared" si="1"/>
        <v>150000</v>
      </c>
      <c r="J8783" s="74">
        <f>IF(E8783="SERVICE",I8783-(I8783*50%),Vlookup(E8783,DATABASE!C:Q,10,false)*F8783)</f>
        <v>10000</v>
      </c>
      <c r="K8783" s="74">
        <f>VLOOKUP(E8783,DATABASE!C:Q,7,false)</f>
        <v>0</v>
      </c>
      <c r="L8783" s="74">
        <v>0.0</v>
      </c>
      <c r="M8783" s="74">
        <f t="shared" si="6"/>
        <v>0</v>
      </c>
      <c r="N8783" s="74">
        <f t="shared" si="3"/>
        <v>140000</v>
      </c>
      <c r="O8783" s="65" t="str">
        <f>VLOOKUP(E8783,DATABASE!C:Q,8,false)</f>
        <v>IBU</v>
      </c>
      <c r="P8783" s="65">
        <f>VLOOKUP(E8783,DATABASE!C:Q,9,False)</f>
        <v>0</v>
      </c>
      <c r="Q8783" s="93" t="str">
        <f>VLOOKUP(E8783,DATABASE!C:Q,4,false)</f>
        <v>SPOORING</v>
      </c>
      <c r="R8783" s="93" t="str">
        <f>VLOOKUP(E8783,DATABASE!C:Q,11,false)</f>
        <v>SERVICE</v>
      </c>
    </row>
    <row r="8784" ht="22.5" customHeight="1">
      <c r="A8784" s="49"/>
      <c r="C8784" s="400">
        <v>46171.0</v>
      </c>
      <c r="D8784" s="524">
        <v>1523.0</v>
      </c>
      <c r="E8784" s="544" t="s">
        <v>301</v>
      </c>
      <c r="F8784" s="387">
        <v>1.0</v>
      </c>
      <c r="G8784" s="140">
        <v>250000.0</v>
      </c>
      <c r="H8784" s="74"/>
      <c r="I8784" s="74">
        <f t="shared" si="1"/>
        <v>250000</v>
      </c>
      <c r="J8784" s="74">
        <f>IF(E8784="SERVICE",I8784-(I8784*50%),Vlookup(E8784,DATABASE!C:Q,10,false)*F8784)</f>
        <v>75000</v>
      </c>
      <c r="K8784" s="74">
        <f>VLOOKUP(E8784,DATABASE!C:Q,7,false)</f>
        <v>75000</v>
      </c>
      <c r="L8784" s="74">
        <v>75000.0</v>
      </c>
      <c r="M8784" s="74">
        <f t="shared" si="6"/>
        <v>75000</v>
      </c>
      <c r="N8784" s="74">
        <f t="shared" si="3"/>
        <v>100000</v>
      </c>
      <c r="O8784" s="65" t="str">
        <f>VLOOKUP(E8784,DATABASE!C:Q,8,false)</f>
        <v>BIAN</v>
      </c>
      <c r="P8784" s="65">
        <f>VLOOKUP(E8784,DATABASE!C:Q,9,False)</f>
        <v>0</v>
      </c>
      <c r="Q8784" s="93" t="str">
        <f>VLOOKUP(E8784,DATABASE!C:Q,4,false)</f>
        <v>Baut Camber</v>
      </c>
      <c r="R8784" s="93" t="str">
        <f>VLOOKUP(E8784,DATABASE!C:Q,11,false)</f>
        <v>COMPLEMENTARY</v>
      </c>
    </row>
    <row r="8785" ht="22.5" customHeight="1">
      <c r="A8785" s="49"/>
      <c r="C8785" s="400">
        <v>46171.0</v>
      </c>
      <c r="D8785" s="524">
        <v>1523.0</v>
      </c>
      <c r="E8785" s="544" t="s">
        <v>478</v>
      </c>
      <c r="F8785" s="387">
        <v>1.0</v>
      </c>
      <c r="G8785" s="140">
        <v>200000.0</v>
      </c>
      <c r="H8785" s="74"/>
      <c r="I8785" s="74">
        <f t="shared" si="1"/>
        <v>200000</v>
      </c>
      <c r="J8785" s="74">
        <f>IF(E8785="SERVICE",I8785-(I8785*50%),Vlookup(E8785,DATABASE!C:Q,10,false)*F8785)</f>
        <v>25000</v>
      </c>
      <c r="K8785" s="74">
        <f>VLOOKUP(E8785,DATABASE!C:Q,7,false)</f>
        <v>75000</v>
      </c>
      <c r="L8785" s="74">
        <v>75000.0</v>
      </c>
      <c r="M8785" s="74">
        <f t="shared" si="6"/>
        <v>75000</v>
      </c>
      <c r="N8785" s="74">
        <f t="shared" si="3"/>
        <v>100000</v>
      </c>
      <c r="O8785" s="65" t="str">
        <f>VLOOKUP(E8785,DATABASE!C:Q,8,false)</f>
        <v>BIAN</v>
      </c>
      <c r="P8785" s="65">
        <f>VLOOKUP(E8785,DATABASE!C:Q,9,False)</f>
        <v>0</v>
      </c>
      <c r="Q8785" s="93" t="str">
        <f>VLOOKUP(E8785,DATABASE!C:Q,4,false)</f>
        <v>Baut Camber ss-carry</v>
      </c>
      <c r="R8785" s="93" t="str">
        <f>VLOOKUP(E8785,DATABASE!C:Q,11,false)</f>
        <v>COMPLEMENTARY</v>
      </c>
    </row>
    <row r="8786" ht="22.5" customHeight="1">
      <c r="A8786" s="49"/>
      <c r="C8786" s="400">
        <v>46171.0</v>
      </c>
      <c r="D8786" s="524">
        <v>1523.0</v>
      </c>
      <c r="E8786" s="544" t="s">
        <v>251</v>
      </c>
      <c r="F8786" s="387">
        <v>1.0</v>
      </c>
      <c r="G8786" s="140">
        <v>350000.0</v>
      </c>
      <c r="H8786" s="140">
        <v>230000.0</v>
      </c>
      <c r="I8786" s="74">
        <f t="shared" si="1"/>
        <v>120000</v>
      </c>
      <c r="J8786" s="74">
        <f>IF(E8786="SERVICE",I8786-(I8786*50%),Vlookup(E8786,DATABASE!C:Q,10,false)*F8786)</f>
        <v>60000</v>
      </c>
      <c r="K8786" s="74">
        <f>VLOOKUP(E8786,DATABASE!C:Q,7,false)</f>
        <v>0</v>
      </c>
      <c r="L8786" s="74">
        <v>0.0</v>
      </c>
      <c r="M8786" s="74">
        <f t="shared" si="6"/>
        <v>0</v>
      </c>
      <c r="N8786" s="74">
        <f t="shared" si="3"/>
        <v>60000</v>
      </c>
      <c r="O8786" s="65" t="str">
        <f>VLOOKUP(E8786,DATABASE!C:Q,8,false)</f>
        <v>IBU</v>
      </c>
      <c r="P8786" s="65">
        <f>VLOOKUP(E8786,DATABASE!C:Q,9,False)</f>
        <v>0</v>
      </c>
      <c r="Q8786" s="93" t="str">
        <f>VLOOKUP(E8786,DATABASE!C:Q,4,false)</f>
        <v>SERVICE</v>
      </c>
      <c r="R8786" s="93" t="str">
        <f>VLOOKUP(E8786,DATABASE!C:Q,11,false)</f>
        <v>SERVICE</v>
      </c>
    </row>
    <row r="8787" ht="22.5" customHeight="1">
      <c r="A8787" s="49"/>
      <c r="C8787" s="400">
        <v>46171.0</v>
      </c>
      <c r="D8787" s="524">
        <v>1525.0</v>
      </c>
      <c r="E8787" s="544" t="s">
        <v>946</v>
      </c>
      <c r="F8787" s="387">
        <v>2.0</v>
      </c>
      <c r="G8787" s="140">
        <v>910000.0</v>
      </c>
      <c r="H8787" s="74"/>
      <c r="I8787" s="74">
        <f t="shared" si="1"/>
        <v>1820000</v>
      </c>
      <c r="J8787" s="74">
        <f>IF(E8787="SERVICE",I8787-(I8787*50%),Vlookup(E8787,DATABASE!C:Q,10,false)*F8787)</f>
        <v>0</v>
      </c>
      <c r="K8787" s="74">
        <f>VLOOKUP(E8787,DATABASE!C:Q,7,false)</f>
        <v>809000</v>
      </c>
      <c r="L8787" s="74">
        <v>809000.0</v>
      </c>
      <c r="M8787" s="74">
        <f t="shared" si="6"/>
        <v>810000</v>
      </c>
      <c r="N8787" s="74">
        <f t="shared" si="3"/>
        <v>200000</v>
      </c>
      <c r="O8787" s="65" t="str">
        <f>VLOOKUP(E8787,DATABASE!C:Q,8,false)</f>
        <v>IBU</v>
      </c>
      <c r="P8787" s="65">
        <f>VLOOKUP(E8787,DATABASE!C:Q,9,False)</f>
        <v>1</v>
      </c>
      <c r="Q8787" s="93" t="str">
        <f>VLOOKUP(E8787,DATABASE!C:Q,4,false)</f>
        <v>Dunlop</v>
      </c>
      <c r="R8787" s="93" t="str">
        <f>VLOOKUP(E8787,DATABASE!C:Q,11,false)</f>
        <v>Tire</v>
      </c>
    </row>
    <row r="8788" ht="22.5" customHeight="1">
      <c r="A8788" s="49"/>
      <c r="C8788" s="400">
        <v>46171.0</v>
      </c>
      <c r="D8788" s="524">
        <v>1526.0</v>
      </c>
      <c r="E8788" s="544" t="s">
        <v>932</v>
      </c>
      <c r="F8788" s="387">
        <v>1.0</v>
      </c>
      <c r="G8788" s="140">
        <v>690000.0</v>
      </c>
      <c r="H8788" s="74"/>
      <c r="I8788" s="74">
        <f t="shared" si="1"/>
        <v>690000</v>
      </c>
      <c r="J8788" s="74">
        <f>IF(E8788="SERVICE",I8788-(I8788*50%),Vlookup(E8788,DATABASE!C:Q,10,false)*F8788)</f>
        <v>0</v>
      </c>
      <c r="K8788" s="74">
        <f>VLOOKUP(E8788,DATABASE!C:Q,7,false)</f>
        <v>601000</v>
      </c>
      <c r="L8788" s="74">
        <v>601000.0</v>
      </c>
      <c r="M8788" s="74">
        <f t="shared" si="6"/>
        <v>605000</v>
      </c>
      <c r="N8788" s="74">
        <f t="shared" si="3"/>
        <v>85000</v>
      </c>
      <c r="O8788" s="65" t="str">
        <f>VLOOKUP(E8788,DATABASE!C:Q,8,false)</f>
        <v>IBU</v>
      </c>
      <c r="P8788" s="65">
        <f>VLOOKUP(E8788,DATABASE!C:Q,9,False)</f>
        <v>1</v>
      </c>
      <c r="Q8788" s="93" t="str">
        <f>VLOOKUP(E8788,DATABASE!C:Q,4,false)</f>
        <v>Dunlop</v>
      </c>
      <c r="R8788" s="93" t="str">
        <f>VLOOKUP(E8788,DATABASE!C:Q,11,false)</f>
        <v>Tire</v>
      </c>
    </row>
    <row r="8789" ht="22.5" customHeight="1">
      <c r="A8789" s="49"/>
      <c r="C8789" s="400">
        <v>46171.0</v>
      </c>
      <c r="D8789" s="524">
        <v>1527.0</v>
      </c>
      <c r="E8789" s="544" t="s">
        <v>256</v>
      </c>
      <c r="F8789" s="387">
        <v>1.0</v>
      </c>
      <c r="G8789" s="140">
        <v>175000.0</v>
      </c>
      <c r="H8789" s="140">
        <v>25000.0</v>
      </c>
      <c r="I8789" s="74">
        <f t="shared" si="1"/>
        <v>150000</v>
      </c>
      <c r="J8789" s="74">
        <f>IF(E8789="SERVICE",I8789-(I8789*50%),Vlookup(E8789,DATABASE!C:Q,10,false)*F8789)</f>
        <v>10000</v>
      </c>
      <c r="K8789" s="74">
        <f>VLOOKUP(E8789,DATABASE!C:Q,7,false)</f>
        <v>0</v>
      </c>
      <c r="L8789" s="74">
        <v>0.0</v>
      </c>
      <c r="M8789" s="74">
        <f t="shared" si="6"/>
        <v>0</v>
      </c>
      <c r="N8789" s="74">
        <f t="shared" si="3"/>
        <v>140000</v>
      </c>
      <c r="O8789" s="65" t="str">
        <f>VLOOKUP(E8789,DATABASE!C:Q,8,false)</f>
        <v>IBU</v>
      </c>
      <c r="P8789" s="65">
        <f>VLOOKUP(E8789,DATABASE!C:Q,9,False)</f>
        <v>0</v>
      </c>
      <c r="Q8789" s="93" t="str">
        <f>VLOOKUP(E8789,DATABASE!C:Q,4,false)</f>
        <v>SPOORING</v>
      </c>
      <c r="R8789" s="93" t="str">
        <f>VLOOKUP(E8789,DATABASE!C:Q,11,false)</f>
        <v>SERVICE</v>
      </c>
    </row>
    <row r="8790" ht="22.5" customHeight="1">
      <c r="A8790" s="49"/>
      <c r="C8790" s="400">
        <v>46171.0</v>
      </c>
      <c r="D8790" s="524">
        <v>1527.0</v>
      </c>
      <c r="E8790" s="544" t="s">
        <v>251</v>
      </c>
      <c r="F8790" s="387">
        <v>1.0</v>
      </c>
      <c r="G8790" s="140">
        <v>350000.0</v>
      </c>
      <c r="H8790" s="140">
        <v>200000.0</v>
      </c>
      <c r="I8790" s="74">
        <f t="shared" si="1"/>
        <v>150000</v>
      </c>
      <c r="J8790" s="74">
        <f>IF(E8790="SERVICE",I8790-(I8790*50%),Vlookup(E8790,DATABASE!C:Q,10,false)*F8790)</f>
        <v>75000</v>
      </c>
      <c r="K8790" s="74">
        <f>VLOOKUP(E8790,DATABASE!C:Q,7,false)</f>
        <v>0</v>
      </c>
      <c r="L8790" s="74">
        <v>0.0</v>
      </c>
      <c r="M8790" s="74">
        <f t="shared" si="6"/>
        <v>0</v>
      </c>
      <c r="N8790" s="74">
        <f t="shared" si="3"/>
        <v>75000</v>
      </c>
      <c r="O8790" s="65" t="str">
        <f>VLOOKUP(E8790,DATABASE!C:Q,8,false)</f>
        <v>IBU</v>
      </c>
      <c r="P8790" s="65">
        <f>VLOOKUP(E8790,DATABASE!C:Q,9,False)</f>
        <v>0</v>
      </c>
      <c r="Q8790" s="93" t="str">
        <f>VLOOKUP(E8790,DATABASE!C:Q,4,false)</f>
        <v>SERVICE</v>
      </c>
      <c r="R8790" s="93" t="str">
        <f>VLOOKUP(E8790,DATABASE!C:Q,11,false)</f>
        <v>SERVICE</v>
      </c>
    </row>
    <row r="8791" ht="22.5" customHeight="1">
      <c r="A8791" s="49"/>
      <c r="C8791" s="400">
        <v>46171.0</v>
      </c>
      <c r="D8791" s="524">
        <v>1531.0</v>
      </c>
      <c r="E8791" s="544" t="s">
        <v>262</v>
      </c>
      <c r="F8791" s="387">
        <v>1.0</v>
      </c>
      <c r="G8791" s="140">
        <v>130000.0</v>
      </c>
      <c r="H8791" s="74"/>
      <c r="I8791" s="74">
        <f t="shared" si="1"/>
        <v>130000</v>
      </c>
      <c r="J8791" s="74">
        <f>IF(E8791="SERVICE",I8791-(I8791*50%),Vlookup(E8791,DATABASE!C:Q,10,false)*F8791)</f>
        <v>5000</v>
      </c>
      <c r="K8791" s="74">
        <f>VLOOKUP(E8791,DATABASE!C:Q,7,false)</f>
        <v>0</v>
      </c>
      <c r="L8791" s="74">
        <v>0.0</v>
      </c>
      <c r="M8791" s="74">
        <f t="shared" si="6"/>
        <v>0</v>
      </c>
      <c r="N8791" s="74">
        <f t="shared" si="3"/>
        <v>125000</v>
      </c>
      <c r="O8791" s="65" t="str">
        <f>VLOOKUP(E8791,DATABASE!C:Q,8,false)</f>
        <v>IBU</v>
      </c>
      <c r="P8791" s="65">
        <f>VLOOKUP(E8791,DATABASE!C:Q,9,False)</f>
        <v>0</v>
      </c>
      <c r="Q8791" s="93" t="str">
        <f>VLOOKUP(E8791,DATABASE!C:Q,4,false)</f>
        <v>SPOORING SS/CARRY LOS BAK</v>
      </c>
      <c r="R8791" s="93" t="str">
        <f>VLOOKUP(E8791,DATABASE!C:Q,11,false)</f>
        <v>SERVICE</v>
      </c>
    </row>
    <row r="8792" ht="22.5" customHeight="1">
      <c r="A8792" s="49"/>
      <c r="C8792" s="400">
        <v>46171.0</v>
      </c>
      <c r="D8792" s="524">
        <v>1531.0</v>
      </c>
      <c r="E8792" s="544" t="s">
        <v>251</v>
      </c>
      <c r="F8792" s="387">
        <v>1.0</v>
      </c>
      <c r="G8792" s="140">
        <v>350000.0</v>
      </c>
      <c r="H8792" s="140">
        <v>200000.0</v>
      </c>
      <c r="I8792" s="74">
        <f t="shared" si="1"/>
        <v>150000</v>
      </c>
      <c r="J8792" s="74">
        <f>IF(E8792="SERVICE",I8792-(I8792*50%),Vlookup(E8792,DATABASE!C:Q,10,false)*F8792)</f>
        <v>75000</v>
      </c>
      <c r="K8792" s="74">
        <f>VLOOKUP(E8792,DATABASE!C:Q,7,false)</f>
        <v>0</v>
      </c>
      <c r="L8792" s="74">
        <v>0.0</v>
      </c>
      <c r="M8792" s="74">
        <f t="shared" si="6"/>
        <v>0</v>
      </c>
      <c r="N8792" s="74">
        <f t="shared" si="3"/>
        <v>75000</v>
      </c>
      <c r="O8792" s="65" t="str">
        <f>VLOOKUP(E8792,DATABASE!C:Q,8,false)</f>
        <v>IBU</v>
      </c>
      <c r="P8792" s="65">
        <f>VLOOKUP(E8792,DATABASE!C:Q,9,False)</f>
        <v>0</v>
      </c>
      <c r="Q8792" s="93" t="str">
        <f>VLOOKUP(E8792,DATABASE!C:Q,4,false)</f>
        <v>SERVICE</v>
      </c>
      <c r="R8792" s="93" t="str">
        <f>VLOOKUP(E8792,DATABASE!C:Q,11,false)</f>
        <v>SERVICE</v>
      </c>
    </row>
    <row r="8793" ht="22.5" customHeight="1">
      <c r="A8793" s="49"/>
      <c r="C8793" s="400">
        <v>46171.0</v>
      </c>
      <c r="D8793" s="524">
        <v>1532.0</v>
      </c>
      <c r="E8793" s="544" t="s">
        <v>256</v>
      </c>
      <c r="F8793" s="387">
        <v>1.0</v>
      </c>
      <c r="G8793" s="140">
        <v>175000.0</v>
      </c>
      <c r="H8793" s="140">
        <v>25000.0</v>
      </c>
      <c r="I8793" s="74">
        <f t="shared" si="1"/>
        <v>150000</v>
      </c>
      <c r="J8793" s="74">
        <f>IF(E8793="SERVICE",I8793-(I8793*50%),Vlookup(E8793,DATABASE!C:Q,10,false)*F8793)</f>
        <v>10000</v>
      </c>
      <c r="K8793" s="74">
        <f>VLOOKUP(E8793,DATABASE!C:Q,7,false)</f>
        <v>0</v>
      </c>
      <c r="L8793" s="74">
        <v>0.0</v>
      </c>
      <c r="M8793" s="74">
        <f t="shared" si="6"/>
        <v>0</v>
      </c>
      <c r="N8793" s="74">
        <f t="shared" si="3"/>
        <v>140000</v>
      </c>
      <c r="O8793" s="65" t="str">
        <f>VLOOKUP(E8793,DATABASE!C:Q,8,false)</f>
        <v>IBU</v>
      </c>
      <c r="P8793" s="65">
        <f>VLOOKUP(E8793,DATABASE!C:Q,9,False)</f>
        <v>0</v>
      </c>
      <c r="Q8793" s="93" t="str">
        <f>VLOOKUP(E8793,DATABASE!C:Q,4,false)</f>
        <v>SPOORING</v>
      </c>
      <c r="R8793" s="93" t="str">
        <f>VLOOKUP(E8793,DATABASE!C:Q,11,false)</f>
        <v>SERVICE</v>
      </c>
    </row>
    <row r="8794" ht="22.5" customHeight="1">
      <c r="A8794" s="49"/>
      <c r="C8794" s="400">
        <v>46171.0</v>
      </c>
      <c r="D8794" s="524">
        <v>1533.0</v>
      </c>
      <c r="E8794" s="544" t="s">
        <v>1076</v>
      </c>
      <c r="F8794" s="387">
        <v>2.0</v>
      </c>
      <c r="G8794" s="140">
        <v>770000.0</v>
      </c>
      <c r="H8794" s="74"/>
      <c r="I8794" s="74">
        <f t="shared" si="1"/>
        <v>1540000</v>
      </c>
      <c r="J8794" s="74">
        <f>IF(E8794="SERVICE",I8794-(I8794*50%),Vlookup(E8794,DATABASE!C:Q,10,false)*F8794)</f>
        <v>0</v>
      </c>
      <c r="K8794" s="74">
        <f>VLOOKUP(E8794,DATABASE!C:Q,7,false)</f>
        <v>666540</v>
      </c>
      <c r="L8794" s="74">
        <v>666540.0</v>
      </c>
      <c r="M8794" s="74">
        <f t="shared" si="6"/>
        <v>670000</v>
      </c>
      <c r="N8794" s="74">
        <f t="shared" si="3"/>
        <v>200000</v>
      </c>
      <c r="O8794" s="65" t="str">
        <f>VLOOKUP(E8794,DATABASE!C:Q,8,false)</f>
        <v>BIAN</v>
      </c>
      <c r="P8794" s="65">
        <f>VLOOKUP(E8794,DATABASE!C:Q,9,False)</f>
        <v>1</v>
      </c>
      <c r="Q8794" s="93" t="str">
        <f>VLOOKUP(E8794,DATABASE!C:Q,4,false)</f>
        <v>GT</v>
      </c>
      <c r="R8794" s="93" t="str">
        <f>VLOOKUP(E8794,DATABASE!C:Q,11,false)</f>
        <v>Tire</v>
      </c>
    </row>
    <row r="8795" ht="22.5" customHeight="1">
      <c r="A8795" s="49"/>
      <c r="C8795" s="400">
        <v>46171.0</v>
      </c>
      <c r="D8795" s="524">
        <v>1533.0</v>
      </c>
      <c r="E8795" s="544" t="s">
        <v>299</v>
      </c>
      <c r="F8795" s="387">
        <v>2.0</v>
      </c>
      <c r="G8795" s="140">
        <v>30000.0</v>
      </c>
      <c r="H8795" s="140">
        <v>5000.0</v>
      </c>
      <c r="I8795" s="74">
        <f t="shared" si="1"/>
        <v>50000</v>
      </c>
      <c r="J8795" s="74">
        <f>IF(E8795="SERVICE",I8795-(I8795*50%),Vlookup(E8795,DATABASE!C:Q,10,false)*F8795)</f>
        <v>0</v>
      </c>
      <c r="K8795" s="74">
        <f>VLOOKUP(E8795,DATABASE!C:Q,7,false)</f>
        <v>10000</v>
      </c>
      <c r="L8795" s="74">
        <v>10000.0</v>
      </c>
      <c r="M8795" s="74">
        <f t="shared" si="6"/>
        <v>10000</v>
      </c>
      <c r="N8795" s="74">
        <f t="shared" si="3"/>
        <v>30000</v>
      </c>
      <c r="O8795" s="65" t="str">
        <f>VLOOKUP(E8795,DATABASE!C:Q,8,false)</f>
        <v>BIAN</v>
      </c>
      <c r="P8795" s="65">
        <f>VLOOKUP(E8795,DATABASE!C:Q,9,False)</f>
        <v>0</v>
      </c>
      <c r="Q8795" s="93" t="str">
        <f>VLOOKUP(E8795,DATABASE!C:Q,4,false)</f>
        <v>Balancing</v>
      </c>
      <c r="R8795" s="93" t="str">
        <f>VLOOKUP(E8795,DATABASE!C:Q,11,false)</f>
        <v>COMPLEMENTARY</v>
      </c>
    </row>
    <row r="8796" ht="22.5" customHeight="1">
      <c r="A8796" s="49"/>
      <c r="C8796" s="400">
        <v>46171.0</v>
      </c>
      <c r="D8796" s="524">
        <v>1534.0</v>
      </c>
      <c r="E8796" s="544" t="s">
        <v>256</v>
      </c>
      <c r="F8796" s="387">
        <v>1.0</v>
      </c>
      <c r="G8796" s="140">
        <v>175000.0</v>
      </c>
      <c r="H8796" s="140">
        <v>25000.0</v>
      </c>
      <c r="I8796" s="74">
        <f t="shared" si="1"/>
        <v>150000</v>
      </c>
      <c r="J8796" s="74">
        <f>IF(E8796="SERVICE",I8796-(I8796*50%),Vlookup(E8796,DATABASE!C:Q,10,false)*F8796)</f>
        <v>10000</v>
      </c>
      <c r="K8796" s="74">
        <f>VLOOKUP(E8796,DATABASE!C:Q,7,false)</f>
        <v>0</v>
      </c>
      <c r="L8796" s="74">
        <v>0.0</v>
      </c>
      <c r="M8796" s="74">
        <f t="shared" si="6"/>
        <v>0</v>
      </c>
      <c r="N8796" s="74">
        <f t="shared" si="3"/>
        <v>140000</v>
      </c>
      <c r="O8796" s="65" t="str">
        <f>VLOOKUP(E8796,DATABASE!C:Q,8,false)</f>
        <v>IBU</v>
      </c>
      <c r="P8796" s="65">
        <f>VLOOKUP(E8796,DATABASE!C:Q,9,False)</f>
        <v>0</v>
      </c>
      <c r="Q8796" s="93" t="str">
        <f>VLOOKUP(E8796,DATABASE!C:Q,4,false)</f>
        <v>SPOORING</v>
      </c>
      <c r="R8796" s="93" t="str">
        <f>VLOOKUP(E8796,DATABASE!C:Q,11,false)</f>
        <v>SERVICE</v>
      </c>
    </row>
    <row r="8797" ht="22.5" customHeight="1">
      <c r="A8797" s="49"/>
      <c r="C8797" s="400">
        <v>46171.0</v>
      </c>
      <c r="D8797" s="69" t="s">
        <v>2823</v>
      </c>
      <c r="E8797" s="544" t="s">
        <v>2174</v>
      </c>
      <c r="F8797" s="387">
        <v>1.0</v>
      </c>
      <c r="G8797" s="140">
        <v>235000.0</v>
      </c>
      <c r="H8797" s="74"/>
      <c r="I8797" s="74">
        <f t="shared" si="1"/>
        <v>235000</v>
      </c>
      <c r="J8797" s="74">
        <f>IF(E8797="SERVICE",I8797-(I8797*50%),Vlookup(E8797,DATABASE!C:Q,10,false)*F8797)</f>
        <v>0</v>
      </c>
      <c r="K8797" s="74">
        <f>VLOOKUP(E8797,DATABASE!C:Q,7,false)</f>
        <v>225314</v>
      </c>
      <c r="L8797" s="74">
        <v>182600.0</v>
      </c>
      <c r="M8797" s="74">
        <f t="shared" si="6"/>
        <v>185000</v>
      </c>
      <c r="N8797" s="74">
        <f t="shared" si="3"/>
        <v>50000</v>
      </c>
      <c r="O8797" s="65" t="str">
        <f>VLOOKUP(E8797,DATABASE!C:Q,8,false)</f>
        <v>NON</v>
      </c>
      <c r="P8797" s="65">
        <f>VLOOKUP(E8797,DATABASE!C:Q,9,False)</f>
        <v>0</v>
      </c>
      <c r="Q8797" s="93" t="str">
        <f>VLOOKUP(E8797,DATABASE!C:Q,4,false)</f>
        <v>Shell</v>
      </c>
      <c r="R8797" s="93" t="str">
        <f>VLOOKUP(E8797,DATABASE!C:Q,11,false)</f>
        <v>OIL</v>
      </c>
    </row>
    <row r="8798" ht="22.5" customHeight="1">
      <c r="A8798" s="49"/>
      <c r="C8798" s="400">
        <v>46172.0</v>
      </c>
      <c r="D8798" s="524">
        <v>1535.0</v>
      </c>
      <c r="E8798" s="544" t="s">
        <v>275</v>
      </c>
      <c r="F8798" s="387">
        <v>2.0</v>
      </c>
      <c r="G8798" s="140">
        <v>850000.0</v>
      </c>
      <c r="H8798" s="74"/>
      <c r="I8798" s="74">
        <f t="shared" si="1"/>
        <v>1700000</v>
      </c>
      <c r="J8798" s="74">
        <f>IF(E8798="SERVICE",I8798-(I8798*50%),Vlookup(E8798,DATABASE!C:Q,10,false)*F8798)</f>
        <v>0</v>
      </c>
      <c r="K8798" s="74">
        <f>VLOOKUP(E8798,DATABASE!C:Q,7,false)</f>
        <v>782000</v>
      </c>
      <c r="L8798" s="74">
        <v>759500.0</v>
      </c>
      <c r="M8798" s="74">
        <f t="shared" si="6"/>
        <v>760000</v>
      </c>
      <c r="N8798" s="74">
        <f t="shared" si="3"/>
        <v>180000</v>
      </c>
      <c r="O8798" s="65" t="str">
        <f>VLOOKUP(E8798,DATABASE!C:Q,8,false)</f>
        <v>IBU</v>
      </c>
      <c r="P8798" s="65">
        <f>VLOOKUP(E8798,DATABASE!C:Q,9,False)</f>
        <v>1</v>
      </c>
      <c r="Q8798" s="93" t="str">
        <f>VLOOKUP(E8798,DATABASE!C:Q,4,false)</f>
        <v>Dunlop</v>
      </c>
      <c r="R8798" s="93" t="str">
        <f>VLOOKUP(E8798,DATABASE!C:Q,11,false)</f>
        <v>Tire</v>
      </c>
    </row>
    <row r="8799" ht="22.5" customHeight="1">
      <c r="A8799" s="49"/>
      <c r="C8799" s="400">
        <v>46172.0</v>
      </c>
      <c r="D8799" s="524">
        <v>1536.0</v>
      </c>
      <c r="E8799" s="544" t="s">
        <v>932</v>
      </c>
      <c r="F8799" s="387">
        <v>1.0</v>
      </c>
      <c r="G8799" s="140">
        <v>690000.0</v>
      </c>
      <c r="H8799" s="74"/>
      <c r="I8799" s="74">
        <f t="shared" si="1"/>
        <v>690000</v>
      </c>
      <c r="J8799" s="74">
        <f>IF(E8799="SERVICE",I8799-(I8799*50%),Vlookup(E8799,DATABASE!C:Q,10,false)*F8799)</f>
        <v>0</v>
      </c>
      <c r="K8799" s="74">
        <f>VLOOKUP(E8799,DATABASE!C:Q,7,false)</f>
        <v>601000</v>
      </c>
      <c r="L8799" s="74">
        <v>601000.0</v>
      </c>
      <c r="M8799" s="74">
        <f t="shared" si="6"/>
        <v>605000</v>
      </c>
      <c r="N8799" s="74">
        <f t="shared" si="3"/>
        <v>85000</v>
      </c>
      <c r="O8799" s="65" t="str">
        <f>VLOOKUP(E8799,DATABASE!C:Q,8,false)</f>
        <v>IBU</v>
      </c>
      <c r="P8799" s="65">
        <f>VLOOKUP(E8799,DATABASE!C:Q,9,False)</f>
        <v>1</v>
      </c>
      <c r="Q8799" s="93" t="str">
        <f>VLOOKUP(E8799,DATABASE!C:Q,4,false)</f>
        <v>Dunlop</v>
      </c>
      <c r="R8799" s="93" t="str">
        <f>VLOOKUP(E8799,DATABASE!C:Q,11,false)</f>
        <v>Tire</v>
      </c>
    </row>
    <row r="8800" ht="22.5" customHeight="1">
      <c r="A8800" s="49"/>
      <c r="C8800" s="400">
        <v>46172.0</v>
      </c>
      <c r="D8800" s="524">
        <v>1537.0</v>
      </c>
      <c r="E8800" s="544" t="s">
        <v>897</v>
      </c>
      <c r="F8800" s="387">
        <v>2.0</v>
      </c>
      <c r="G8800" s="140">
        <v>1625000.0</v>
      </c>
      <c r="H8800" s="74"/>
      <c r="I8800" s="74">
        <f t="shared" si="1"/>
        <v>3250000</v>
      </c>
      <c r="J8800" s="74">
        <f>IF(E8800="SERVICE",I8800-(I8800*50%),Vlookup(E8800,DATABASE!C:Q,10,false)*F8800)</f>
        <v>0</v>
      </c>
      <c r="K8800" s="74">
        <f>VLOOKUP(E8800,DATABASE!C:Q,7,false)</f>
        <v>1560000</v>
      </c>
      <c r="L8800" s="74">
        <v>1525000.0</v>
      </c>
      <c r="M8800" s="74">
        <f t="shared" si="6"/>
        <v>1525000</v>
      </c>
      <c r="N8800" s="74">
        <f t="shared" si="3"/>
        <v>200000</v>
      </c>
      <c r="O8800" s="65" t="str">
        <f>VLOOKUP(E8800,DATABASE!C:Q,8,false)</f>
        <v>BIAN</v>
      </c>
      <c r="P8800" s="65">
        <f>VLOOKUP(E8800,DATABASE!C:Q,9,False)</f>
        <v>1</v>
      </c>
      <c r="Q8800" s="93" t="str">
        <f>VLOOKUP(E8800,DATABASE!C:Q,4,false)</f>
        <v>GT</v>
      </c>
      <c r="R8800" s="93" t="str">
        <f>VLOOKUP(E8800,DATABASE!C:Q,11,false)</f>
        <v>Tire</v>
      </c>
    </row>
    <row r="8801" ht="22.5" customHeight="1">
      <c r="A8801" s="49"/>
      <c r="C8801" s="400">
        <v>46172.0</v>
      </c>
      <c r="D8801" s="524">
        <v>1537.0</v>
      </c>
      <c r="E8801" s="544" t="s">
        <v>744</v>
      </c>
      <c r="F8801" s="387">
        <v>2.0</v>
      </c>
      <c r="G8801" s="140">
        <v>230000.0</v>
      </c>
      <c r="H8801" s="74"/>
      <c r="I8801" s="74">
        <f t="shared" si="1"/>
        <v>460000</v>
      </c>
      <c r="J8801" s="74">
        <f>IF(E8801="SERVICE",I8801-(I8801*50%),Vlookup(E8801,DATABASE!C:Q,10,false)*F8801)</f>
        <v>0</v>
      </c>
      <c r="K8801" s="74">
        <f>VLOOKUP(E8801,DATABASE!C:Q,7,false)</f>
        <v>182200</v>
      </c>
      <c r="L8801" s="74">
        <v>182200.0</v>
      </c>
      <c r="M8801" s="74">
        <f t="shared" si="6"/>
        <v>185000</v>
      </c>
      <c r="N8801" s="74">
        <f t="shared" si="3"/>
        <v>90000</v>
      </c>
      <c r="O8801" s="65" t="str">
        <f>VLOOKUP(E8801,DATABASE!C:Q,8,false)</f>
        <v>BIAN</v>
      </c>
      <c r="P8801" s="65">
        <f>VLOOKUP(E8801,DATABASE!C:Q,9,False)</f>
        <v>1</v>
      </c>
      <c r="Q8801" s="93" t="str">
        <f>VLOOKUP(E8801,DATABASE!C:Q,4,false)</f>
        <v>BD</v>
      </c>
      <c r="R8801" s="93" t="str">
        <f>VLOOKUP(E8801,DATABASE!C:Q,11,false)</f>
        <v>Tire</v>
      </c>
    </row>
    <row r="8802" ht="22.5" customHeight="1">
      <c r="A8802" s="49"/>
      <c r="C8802" s="400">
        <v>46172.0</v>
      </c>
      <c r="D8802" s="524">
        <v>1537.0</v>
      </c>
      <c r="E8802" s="544" t="s">
        <v>821</v>
      </c>
      <c r="F8802" s="387">
        <v>2.0</v>
      </c>
      <c r="G8802" s="140">
        <v>90000.0</v>
      </c>
      <c r="H8802" s="74"/>
      <c r="I8802" s="74">
        <f t="shared" si="1"/>
        <v>180000</v>
      </c>
      <c r="J8802" s="74">
        <f>IF(E8802="SERVICE",I8802-(I8802*50%),Vlookup(E8802,DATABASE!C:Q,10,false)*F8802)</f>
        <v>0</v>
      </c>
      <c r="K8802" s="74">
        <f>VLOOKUP(E8802,DATABASE!C:Q,7,false)</f>
        <v>43500</v>
      </c>
      <c r="L8802" s="74">
        <v>43500.0</v>
      </c>
      <c r="M8802" s="74">
        <f t="shared" si="6"/>
        <v>45000</v>
      </c>
      <c r="N8802" s="74">
        <f t="shared" si="3"/>
        <v>90000</v>
      </c>
      <c r="O8802" s="65" t="str">
        <f>VLOOKUP(E8802,DATABASE!C:Q,8,false)</f>
        <v>BIAN</v>
      </c>
      <c r="P8802" s="65">
        <f>VLOOKUP(E8802,DATABASE!C:Q,9,False)</f>
        <v>1</v>
      </c>
      <c r="Q8802" s="93" t="str">
        <f>VLOOKUP(E8802,DATABASE!C:Q,4,false)</f>
        <v>Flap</v>
      </c>
      <c r="R8802" s="93" t="str">
        <f>VLOOKUP(E8802,DATABASE!C:Q,11,false)</f>
        <v>Tire</v>
      </c>
    </row>
    <row r="8803" ht="22.5" customHeight="1">
      <c r="A8803" s="49"/>
      <c r="C8803" s="400">
        <v>46172.0</v>
      </c>
      <c r="D8803" s="524">
        <v>1540.0</v>
      </c>
      <c r="E8803" s="544" t="s">
        <v>299</v>
      </c>
      <c r="F8803" s="387">
        <v>4.0</v>
      </c>
      <c r="G8803" s="140">
        <v>30000.0</v>
      </c>
      <c r="H8803" s="74"/>
      <c r="I8803" s="74">
        <f t="shared" si="1"/>
        <v>120000</v>
      </c>
      <c r="J8803" s="74">
        <f>IF(E8803="SERVICE",I8803-(I8803*50%),Vlookup(E8803,DATABASE!C:Q,10,false)*F8803)</f>
        <v>0</v>
      </c>
      <c r="K8803" s="74">
        <f>VLOOKUP(E8803,DATABASE!C:Q,7,false)</f>
        <v>10000</v>
      </c>
      <c r="L8803" s="74">
        <v>10000.0</v>
      </c>
      <c r="M8803" s="74">
        <f t="shared" si="6"/>
        <v>10000</v>
      </c>
      <c r="N8803" s="74">
        <f t="shared" si="3"/>
        <v>80000</v>
      </c>
      <c r="O8803" s="65" t="str">
        <f>VLOOKUP(E8803,DATABASE!C:Q,8,false)</f>
        <v>BIAN</v>
      </c>
      <c r="P8803" s="65">
        <f>VLOOKUP(E8803,DATABASE!C:Q,9,False)</f>
        <v>0</v>
      </c>
      <c r="Q8803" s="93" t="str">
        <f>VLOOKUP(E8803,DATABASE!C:Q,4,false)</f>
        <v>Balancing</v>
      </c>
      <c r="R8803" s="93" t="str">
        <f>VLOOKUP(E8803,DATABASE!C:Q,11,false)</f>
        <v>COMPLEMENTARY</v>
      </c>
    </row>
    <row r="8804" ht="22.5" customHeight="1">
      <c r="A8804" s="49"/>
      <c r="C8804" s="400">
        <v>46172.0</v>
      </c>
      <c r="D8804" s="524">
        <v>1541.0</v>
      </c>
      <c r="E8804" s="544" t="s">
        <v>256</v>
      </c>
      <c r="F8804" s="387">
        <v>1.0</v>
      </c>
      <c r="G8804" s="140">
        <v>175000.0</v>
      </c>
      <c r="H8804" s="140">
        <v>25000.0</v>
      </c>
      <c r="I8804" s="74">
        <f t="shared" si="1"/>
        <v>150000</v>
      </c>
      <c r="J8804" s="74">
        <f>IF(E8804="SERVICE",I8804-(I8804*50%),Vlookup(E8804,DATABASE!C:Q,10,false)*F8804)</f>
        <v>10000</v>
      </c>
      <c r="K8804" s="74">
        <f>VLOOKUP(E8804,DATABASE!C:Q,7,false)</f>
        <v>0</v>
      </c>
      <c r="L8804" s="74">
        <v>0.0</v>
      </c>
      <c r="M8804" s="74">
        <f t="shared" si="6"/>
        <v>0</v>
      </c>
      <c r="N8804" s="74">
        <f t="shared" si="3"/>
        <v>140000</v>
      </c>
      <c r="O8804" s="65" t="str">
        <f>VLOOKUP(E8804,DATABASE!C:Q,8,false)</f>
        <v>IBU</v>
      </c>
      <c r="P8804" s="65">
        <f>VLOOKUP(E8804,DATABASE!C:Q,9,False)</f>
        <v>0</v>
      </c>
      <c r="Q8804" s="93" t="str">
        <f>VLOOKUP(E8804,DATABASE!C:Q,4,false)</f>
        <v>SPOORING</v>
      </c>
      <c r="R8804" s="93" t="str">
        <f>VLOOKUP(E8804,DATABASE!C:Q,11,false)</f>
        <v>SERVICE</v>
      </c>
    </row>
    <row r="8805" ht="22.5" customHeight="1">
      <c r="A8805" s="49"/>
      <c r="C8805" s="400">
        <v>46172.0</v>
      </c>
      <c r="D8805" s="524">
        <v>1541.0</v>
      </c>
      <c r="E8805" s="544" t="s">
        <v>301</v>
      </c>
      <c r="F8805" s="387">
        <v>1.0</v>
      </c>
      <c r="G8805" s="140">
        <v>250000.0</v>
      </c>
      <c r="H8805" s="74"/>
      <c r="I8805" s="74">
        <f t="shared" si="1"/>
        <v>250000</v>
      </c>
      <c r="J8805" s="74">
        <f>IF(E8805="SERVICE",I8805-(I8805*50%),Vlookup(E8805,DATABASE!C:Q,10,false)*F8805)</f>
        <v>75000</v>
      </c>
      <c r="K8805" s="74">
        <f>VLOOKUP(E8805,DATABASE!C:Q,7,false)</f>
        <v>75000</v>
      </c>
      <c r="L8805" s="74">
        <v>75000.0</v>
      </c>
      <c r="M8805" s="74">
        <f t="shared" si="6"/>
        <v>75000</v>
      </c>
      <c r="N8805" s="74">
        <f t="shared" si="3"/>
        <v>100000</v>
      </c>
      <c r="O8805" s="65" t="str">
        <f>VLOOKUP(E8805,DATABASE!C:Q,8,false)</f>
        <v>BIAN</v>
      </c>
      <c r="P8805" s="65">
        <f>VLOOKUP(E8805,DATABASE!C:Q,9,False)</f>
        <v>0</v>
      </c>
      <c r="Q8805" s="93" t="str">
        <f>VLOOKUP(E8805,DATABASE!C:Q,4,false)</f>
        <v>Baut Camber</v>
      </c>
      <c r="R8805" s="93" t="str">
        <f>VLOOKUP(E8805,DATABASE!C:Q,11,false)</f>
        <v>COMPLEMENTARY</v>
      </c>
    </row>
    <row r="8806" ht="22.5" customHeight="1">
      <c r="A8806" s="49"/>
      <c r="C8806" s="400">
        <v>46172.0</v>
      </c>
      <c r="D8806" s="524">
        <v>1541.0</v>
      </c>
      <c r="E8806" s="544" t="s">
        <v>932</v>
      </c>
      <c r="F8806" s="387">
        <v>2.0</v>
      </c>
      <c r="G8806" s="140">
        <v>690000.0</v>
      </c>
      <c r="H8806" s="74"/>
      <c r="I8806" s="74">
        <f t="shared" si="1"/>
        <v>1380000</v>
      </c>
      <c r="J8806" s="74">
        <f>IF(E8806="SERVICE",I8806-(I8806*50%),Vlookup(E8806,DATABASE!C:Q,10,false)*F8806)</f>
        <v>0</v>
      </c>
      <c r="K8806" s="74">
        <f>VLOOKUP(E8806,DATABASE!C:Q,7,false)</f>
        <v>601000</v>
      </c>
      <c r="L8806" s="74">
        <v>601000.0</v>
      </c>
      <c r="M8806" s="74">
        <f t="shared" si="6"/>
        <v>605000</v>
      </c>
      <c r="N8806" s="74">
        <f t="shared" si="3"/>
        <v>170000</v>
      </c>
      <c r="O8806" s="65" t="str">
        <f>VLOOKUP(E8806,DATABASE!C:Q,8,false)</f>
        <v>IBU</v>
      </c>
      <c r="P8806" s="65">
        <f>VLOOKUP(E8806,DATABASE!C:Q,9,False)</f>
        <v>1</v>
      </c>
      <c r="Q8806" s="93" t="str">
        <f>VLOOKUP(E8806,DATABASE!C:Q,4,false)</f>
        <v>Dunlop</v>
      </c>
      <c r="R8806" s="93" t="str">
        <f>VLOOKUP(E8806,DATABASE!C:Q,11,false)</f>
        <v>Tire</v>
      </c>
    </row>
    <row r="8807" ht="22.5" customHeight="1">
      <c r="A8807" s="49"/>
      <c r="C8807" s="400">
        <v>46172.0</v>
      </c>
      <c r="D8807" s="524">
        <v>1542.0</v>
      </c>
      <c r="E8807" s="544" t="s">
        <v>275</v>
      </c>
      <c r="F8807" s="387">
        <v>1.0</v>
      </c>
      <c r="G8807" s="140">
        <v>850000.0</v>
      </c>
      <c r="H8807" s="74"/>
      <c r="I8807" s="74">
        <f t="shared" si="1"/>
        <v>850000</v>
      </c>
      <c r="J8807" s="74">
        <f>IF(E8807="SERVICE",I8807-(I8807*50%),Vlookup(E8807,DATABASE!C:Q,10,false)*F8807)</f>
        <v>0</v>
      </c>
      <c r="K8807" s="74">
        <f>VLOOKUP(E8807,DATABASE!C:Q,7,false)</f>
        <v>782000</v>
      </c>
      <c r="L8807" s="74">
        <v>759500.0</v>
      </c>
      <c r="M8807" s="74">
        <f t="shared" si="6"/>
        <v>760000</v>
      </c>
      <c r="N8807" s="74">
        <f t="shared" si="3"/>
        <v>90000</v>
      </c>
      <c r="O8807" s="65" t="str">
        <f>VLOOKUP(E8807,DATABASE!C:Q,8,false)</f>
        <v>IBU</v>
      </c>
      <c r="P8807" s="65">
        <f>VLOOKUP(E8807,DATABASE!C:Q,9,False)</f>
        <v>1</v>
      </c>
      <c r="Q8807" s="93" t="str">
        <f>VLOOKUP(E8807,DATABASE!C:Q,4,false)</f>
        <v>Dunlop</v>
      </c>
      <c r="R8807" s="93" t="str">
        <f>VLOOKUP(E8807,DATABASE!C:Q,11,false)</f>
        <v>Tire</v>
      </c>
    </row>
    <row r="8808" ht="22.5" customHeight="1">
      <c r="A8808" s="49"/>
      <c r="C8808" s="400">
        <v>46172.0</v>
      </c>
      <c r="D8808" s="524">
        <v>1544.0</v>
      </c>
      <c r="E8808" s="544" t="s">
        <v>268</v>
      </c>
      <c r="F8808" s="387">
        <v>1.0</v>
      </c>
      <c r="G8808" s="140">
        <v>720000.0</v>
      </c>
      <c r="H8808" s="74"/>
      <c r="I8808" s="74">
        <f t="shared" si="1"/>
        <v>720000</v>
      </c>
      <c r="J8808" s="74">
        <f>IF(E8808="SERVICE",I8808-(I8808*50%),Vlookup(E8808,DATABASE!C:Q,10,false)*F8808)</f>
        <v>0</v>
      </c>
      <c r="K8808" s="74">
        <f>VLOOKUP(E8808,DATABASE!C:Q,7,false)</f>
        <v>653000</v>
      </c>
      <c r="L8808" s="74">
        <v>634500.0</v>
      </c>
      <c r="M8808" s="74">
        <f t="shared" si="6"/>
        <v>635000</v>
      </c>
      <c r="N8808" s="74">
        <f t="shared" si="3"/>
        <v>85000</v>
      </c>
      <c r="O8808" s="65" t="str">
        <f>VLOOKUP(E8808,DATABASE!C:Q,8,false)</f>
        <v>IBU</v>
      </c>
      <c r="P8808" s="65">
        <f>VLOOKUP(E8808,DATABASE!C:Q,9,False)</f>
        <v>1</v>
      </c>
      <c r="Q8808" s="93" t="str">
        <f>VLOOKUP(E8808,DATABASE!C:Q,4,false)</f>
        <v>Dunlop</v>
      </c>
      <c r="R8808" s="93" t="str">
        <f>VLOOKUP(E8808,DATABASE!C:Q,11,false)</f>
        <v>Tire</v>
      </c>
    </row>
    <row r="8809" ht="22.5" customHeight="1">
      <c r="A8809" s="49"/>
      <c r="C8809" s="400">
        <v>46172.0</v>
      </c>
      <c r="D8809" s="524">
        <v>1545.0</v>
      </c>
      <c r="E8809" s="544" t="s">
        <v>268</v>
      </c>
      <c r="F8809" s="387">
        <v>1.0</v>
      </c>
      <c r="G8809" s="140">
        <v>720000.0</v>
      </c>
      <c r="H8809" s="140">
        <v>5000.0</v>
      </c>
      <c r="I8809" s="74">
        <f t="shared" si="1"/>
        <v>715000</v>
      </c>
      <c r="J8809" s="74">
        <f>IF(E8809="SERVICE",I8809-(I8809*50%),Vlookup(E8809,DATABASE!C:Q,10,false)*F8809)</f>
        <v>0</v>
      </c>
      <c r="K8809" s="74">
        <f>VLOOKUP(E8809,DATABASE!C:Q,7,false)</f>
        <v>653000</v>
      </c>
      <c r="L8809" s="74">
        <v>634500.0</v>
      </c>
      <c r="M8809" s="74">
        <f t="shared" si="6"/>
        <v>635000</v>
      </c>
      <c r="N8809" s="74">
        <f t="shared" si="3"/>
        <v>80000</v>
      </c>
      <c r="O8809" s="65" t="str">
        <f>VLOOKUP(E8809,DATABASE!C:Q,8,false)</f>
        <v>IBU</v>
      </c>
      <c r="P8809" s="65">
        <f>VLOOKUP(E8809,DATABASE!C:Q,9,False)</f>
        <v>1</v>
      </c>
      <c r="Q8809" s="93" t="str">
        <f>VLOOKUP(E8809,DATABASE!C:Q,4,false)</f>
        <v>Dunlop</v>
      </c>
      <c r="R8809" s="93" t="str">
        <f>VLOOKUP(E8809,DATABASE!C:Q,11,false)</f>
        <v>Tire</v>
      </c>
    </row>
    <row r="8810" ht="22.5" customHeight="1">
      <c r="A8810" s="49"/>
      <c r="C8810" s="400">
        <v>46172.0</v>
      </c>
      <c r="D8810" s="524">
        <v>1546.0</v>
      </c>
      <c r="E8810" s="544" t="s">
        <v>955</v>
      </c>
      <c r="F8810" s="387">
        <v>4.0</v>
      </c>
      <c r="G8810" s="140">
        <v>770000.0</v>
      </c>
      <c r="H8810" s="140">
        <v>10000.0</v>
      </c>
      <c r="I8810" s="74">
        <f t="shared" si="1"/>
        <v>3040000</v>
      </c>
      <c r="J8810" s="74">
        <f>IF(E8810="SERVICE",I8810-(I8810*50%),Vlookup(E8810,DATABASE!C:Q,10,false)*F8810)</f>
        <v>0</v>
      </c>
      <c r="K8810" s="74">
        <f>VLOOKUP(E8810,DATABASE!C:Q,7,false)</f>
        <v>712000</v>
      </c>
      <c r="L8810" s="74">
        <v>660000.0</v>
      </c>
      <c r="M8810" s="74">
        <f t="shared" si="6"/>
        <v>660000</v>
      </c>
      <c r="N8810" s="74">
        <f t="shared" si="3"/>
        <v>400000</v>
      </c>
      <c r="O8810" s="65" t="str">
        <f>VLOOKUP(E8810,DATABASE!C:Q,8,false)</f>
        <v>IBU</v>
      </c>
      <c r="P8810" s="65">
        <f>VLOOKUP(E8810,DATABASE!C:Q,9,False)</f>
        <v>1</v>
      </c>
      <c r="Q8810" s="93" t="str">
        <f>VLOOKUP(E8810,DATABASE!C:Q,4,false)</f>
        <v>Dunlop</v>
      </c>
      <c r="R8810" s="93" t="str">
        <f>VLOOKUP(E8810,DATABASE!C:Q,11,false)</f>
        <v>Tire</v>
      </c>
    </row>
    <row r="8811" ht="22.5" customHeight="1">
      <c r="A8811" s="49"/>
      <c r="C8811" s="400">
        <v>46172.0</v>
      </c>
      <c r="D8811" s="524">
        <v>1546.0</v>
      </c>
      <c r="E8811" s="544" t="s">
        <v>299</v>
      </c>
      <c r="F8811" s="387">
        <v>2.0</v>
      </c>
      <c r="G8811" s="140">
        <v>30000.0</v>
      </c>
      <c r="H8811" s="74"/>
      <c r="I8811" s="74">
        <f t="shared" si="1"/>
        <v>60000</v>
      </c>
      <c r="J8811" s="74">
        <f>IF(E8811="SERVICE",I8811-(I8811*50%),Vlookup(E8811,DATABASE!C:Q,10,false)*F8811)</f>
        <v>0</v>
      </c>
      <c r="K8811" s="74">
        <f>VLOOKUP(E8811,DATABASE!C:Q,7,false)</f>
        <v>10000</v>
      </c>
      <c r="L8811" s="74">
        <v>10000.0</v>
      </c>
      <c r="M8811" s="74">
        <f t="shared" si="6"/>
        <v>10000</v>
      </c>
      <c r="N8811" s="74">
        <f t="shared" si="3"/>
        <v>40000</v>
      </c>
      <c r="O8811" s="65" t="str">
        <f>VLOOKUP(E8811,DATABASE!C:Q,8,false)</f>
        <v>BIAN</v>
      </c>
      <c r="P8811" s="65">
        <f>VLOOKUP(E8811,DATABASE!C:Q,9,False)</f>
        <v>0</v>
      </c>
      <c r="Q8811" s="93" t="str">
        <f>VLOOKUP(E8811,DATABASE!C:Q,4,false)</f>
        <v>Balancing</v>
      </c>
      <c r="R8811" s="93" t="str">
        <f>VLOOKUP(E8811,DATABASE!C:Q,11,false)</f>
        <v>COMPLEMENTARY</v>
      </c>
    </row>
    <row r="8812" ht="22.5" customHeight="1">
      <c r="A8812" s="49"/>
      <c r="C8812" s="400">
        <v>46172.0</v>
      </c>
      <c r="D8812" s="524">
        <v>1546.0</v>
      </c>
      <c r="E8812" s="544" t="s">
        <v>262</v>
      </c>
      <c r="F8812" s="387">
        <v>1.0</v>
      </c>
      <c r="G8812" s="140">
        <v>130000.0</v>
      </c>
      <c r="H8812" s="74"/>
      <c r="I8812" s="74">
        <f t="shared" si="1"/>
        <v>130000</v>
      </c>
      <c r="J8812" s="74">
        <f>IF(E8812="SERVICE",I8812-(I8812*50%),Vlookup(E8812,DATABASE!C:Q,10,false)*F8812)</f>
        <v>5000</v>
      </c>
      <c r="K8812" s="74">
        <f>VLOOKUP(E8812,DATABASE!C:Q,7,false)</f>
        <v>0</v>
      </c>
      <c r="L8812" s="74">
        <v>0.0</v>
      </c>
      <c r="M8812" s="74">
        <f t="shared" si="6"/>
        <v>0</v>
      </c>
      <c r="N8812" s="74">
        <f t="shared" si="3"/>
        <v>125000</v>
      </c>
      <c r="O8812" s="65" t="str">
        <f>VLOOKUP(E8812,DATABASE!C:Q,8,false)</f>
        <v>IBU</v>
      </c>
      <c r="P8812" s="65">
        <f>VLOOKUP(E8812,DATABASE!C:Q,9,False)</f>
        <v>0</v>
      </c>
      <c r="Q8812" s="93" t="str">
        <f>VLOOKUP(E8812,DATABASE!C:Q,4,false)</f>
        <v>SPOORING SS/CARRY LOS BAK</v>
      </c>
      <c r="R8812" s="93" t="str">
        <f>VLOOKUP(E8812,DATABASE!C:Q,11,false)</f>
        <v>SERVICE</v>
      </c>
    </row>
    <row r="8813" ht="22.5" customHeight="1">
      <c r="A8813" s="49"/>
      <c r="C8813" s="400">
        <v>46172.0</v>
      </c>
      <c r="D8813" s="524">
        <v>1546.0</v>
      </c>
      <c r="E8813" s="544" t="s">
        <v>301</v>
      </c>
      <c r="F8813" s="387">
        <v>1.0</v>
      </c>
      <c r="G8813" s="140">
        <v>250000.0</v>
      </c>
      <c r="H8813" s="74"/>
      <c r="I8813" s="74">
        <f t="shared" si="1"/>
        <v>250000</v>
      </c>
      <c r="J8813" s="74">
        <f>IF(E8813="SERVICE",I8813-(I8813*50%),Vlookup(E8813,DATABASE!C:Q,10,false)*F8813)</f>
        <v>75000</v>
      </c>
      <c r="K8813" s="74">
        <f>VLOOKUP(E8813,DATABASE!C:Q,7,false)</f>
        <v>75000</v>
      </c>
      <c r="L8813" s="74">
        <v>75000.0</v>
      </c>
      <c r="M8813" s="74">
        <f t="shared" si="6"/>
        <v>75000</v>
      </c>
      <c r="N8813" s="74">
        <f t="shared" si="3"/>
        <v>100000</v>
      </c>
      <c r="O8813" s="65" t="str">
        <f>VLOOKUP(E8813,DATABASE!C:Q,8,false)</f>
        <v>BIAN</v>
      </c>
      <c r="P8813" s="65">
        <f>VLOOKUP(E8813,DATABASE!C:Q,9,False)</f>
        <v>0</v>
      </c>
      <c r="Q8813" s="93" t="str">
        <f>VLOOKUP(E8813,DATABASE!C:Q,4,false)</f>
        <v>Baut Camber</v>
      </c>
      <c r="R8813" s="93" t="str">
        <f>VLOOKUP(E8813,DATABASE!C:Q,11,false)</f>
        <v>COMPLEMENTARY</v>
      </c>
    </row>
    <row r="8814" ht="22.5" customHeight="1">
      <c r="A8814" s="49"/>
      <c r="C8814" s="400">
        <v>46172.0</v>
      </c>
      <c r="D8814" s="524">
        <v>1547.0</v>
      </c>
      <c r="E8814" s="544" t="s">
        <v>932</v>
      </c>
      <c r="F8814" s="387">
        <v>1.0</v>
      </c>
      <c r="G8814" s="140">
        <v>690000.0</v>
      </c>
      <c r="H8814" s="74"/>
      <c r="I8814" s="74">
        <f t="shared" si="1"/>
        <v>690000</v>
      </c>
      <c r="J8814" s="74">
        <f>IF(E8814="SERVICE",I8814-(I8814*50%),Vlookup(E8814,DATABASE!C:Q,10,false)*F8814)</f>
        <v>0</v>
      </c>
      <c r="K8814" s="74">
        <f>VLOOKUP(E8814,DATABASE!C:Q,7,false)</f>
        <v>601000</v>
      </c>
      <c r="L8814" s="74">
        <v>601000.0</v>
      </c>
      <c r="M8814" s="74">
        <f t="shared" si="6"/>
        <v>605000</v>
      </c>
      <c r="N8814" s="74">
        <f t="shared" si="3"/>
        <v>85000</v>
      </c>
      <c r="O8814" s="65" t="str">
        <f>VLOOKUP(E8814,DATABASE!C:Q,8,false)</f>
        <v>IBU</v>
      </c>
      <c r="P8814" s="65">
        <f>VLOOKUP(E8814,DATABASE!C:Q,9,False)</f>
        <v>1</v>
      </c>
      <c r="Q8814" s="93" t="str">
        <f>VLOOKUP(E8814,DATABASE!C:Q,4,false)</f>
        <v>Dunlop</v>
      </c>
      <c r="R8814" s="93" t="str">
        <f>VLOOKUP(E8814,DATABASE!C:Q,11,false)</f>
        <v>Tire</v>
      </c>
    </row>
    <row r="8815" ht="22.5" customHeight="1">
      <c r="A8815" s="49"/>
      <c r="C8815" s="400">
        <v>46172.0</v>
      </c>
      <c r="D8815" s="524">
        <v>1548.0</v>
      </c>
      <c r="E8815" s="544" t="s">
        <v>301</v>
      </c>
      <c r="F8815" s="387">
        <v>1.0</v>
      </c>
      <c r="G8815" s="140">
        <v>250000.0</v>
      </c>
      <c r="H8815" s="74"/>
      <c r="I8815" s="74">
        <f t="shared" si="1"/>
        <v>250000</v>
      </c>
      <c r="J8815" s="74">
        <f>IF(E8815="SERVICE",I8815-(I8815*50%),Vlookup(E8815,DATABASE!C:Q,10,false)*F8815)</f>
        <v>75000</v>
      </c>
      <c r="K8815" s="74">
        <f>VLOOKUP(E8815,DATABASE!C:Q,7,false)</f>
        <v>75000</v>
      </c>
      <c r="L8815" s="74">
        <v>75000.0</v>
      </c>
      <c r="M8815" s="74">
        <f t="shared" si="6"/>
        <v>75000</v>
      </c>
      <c r="N8815" s="74">
        <f t="shared" si="3"/>
        <v>100000</v>
      </c>
      <c r="O8815" s="65" t="str">
        <f>VLOOKUP(E8815,DATABASE!C:Q,8,false)</f>
        <v>BIAN</v>
      </c>
      <c r="P8815" s="65">
        <f>VLOOKUP(E8815,DATABASE!C:Q,9,False)</f>
        <v>0</v>
      </c>
      <c r="Q8815" s="93" t="str">
        <f>VLOOKUP(E8815,DATABASE!C:Q,4,false)</f>
        <v>Baut Camber</v>
      </c>
      <c r="R8815" s="93" t="str">
        <f>VLOOKUP(E8815,DATABASE!C:Q,11,false)</f>
        <v>COMPLEMENTARY</v>
      </c>
    </row>
    <row r="8816" ht="22.5" customHeight="1">
      <c r="A8816" s="49"/>
      <c r="C8816" s="400">
        <v>46172.0</v>
      </c>
      <c r="D8816" s="524">
        <v>1549.0</v>
      </c>
      <c r="E8816" s="544" t="s">
        <v>955</v>
      </c>
      <c r="F8816" s="387">
        <v>1.0</v>
      </c>
      <c r="G8816" s="140">
        <v>770000.0</v>
      </c>
      <c r="H8816" s="140">
        <v>10000.0</v>
      </c>
      <c r="I8816" s="74">
        <f t="shared" si="1"/>
        <v>760000</v>
      </c>
      <c r="J8816" s="74">
        <f>IF(E8816="SERVICE",I8816-(I8816*50%),Vlookup(E8816,DATABASE!C:Q,10,false)*F8816)</f>
        <v>0</v>
      </c>
      <c r="K8816" s="74">
        <f>VLOOKUP(E8816,DATABASE!C:Q,7,false)</f>
        <v>712000</v>
      </c>
      <c r="L8816" s="74">
        <v>660000.0</v>
      </c>
      <c r="M8816" s="74">
        <f t="shared" si="6"/>
        <v>660000</v>
      </c>
      <c r="N8816" s="74">
        <f t="shared" si="3"/>
        <v>100000</v>
      </c>
      <c r="O8816" s="65" t="str">
        <f>VLOOKUP(E8816,DATABASE!C:Q,8,false)</f>
        <v>IBU</v>
      </c>
      <c r="P8816" s="65">
        <f>VLOOKUP(E8816,DATABASE!C:Q,9,False)</f>
        <v>1</v>
      </c>
      <c r="Q8816" s="93" t="str">
        <f>VLOOKUP(E8816,DATABASE!C:Q,4,false)</f>
        <v>Dunlop</v>
      </c>
      <c r="R8816" s="93" t="str">
        <f>VLOOKUP(E8816,DATABASE!C:Q,11,false)</f>
        <v>Tire</v>
      </c>
    </row>
    <row r="8817" ht="22.5" customHeight="1">
      <c r="A8817" s="49"/>
      <c r="C8817" s="400">
        <v>46172.0</v>
      </c>
      <c r="D8817" s="524">
        <v>1549.0</v>
      </c>
      <c r="E8817" s="544" t="s">
        <v>299</v>
      </c>
      <c r="F8817" s="387">
        <v>2.0</v>
      </c>
      <c r="G8817" s="140">
        <v>30000.0</v>
      </c>
      <c r="H8817" s="74"/>
      <c r="I8817" s="74">
        <f t="shared" si="1"/>
        <v>60000</v>
      </c>
      <c r="J8817" s="74">
        <f>IF(E8817="SERVICE",I8817-(I8817*50%),Vlookup(E8817,DATABASE!C:Q,10,false)*F8817)</f>
        <v>0</v>
      </c>
      <c r="K8817" s="74">
        <f>VLOOKUP(E8817,DATABASE!C:Q,7,false)</f>
        <v>10000</v>
      </c>
      <c r="L8817" s="74">
        <v>10000.0</v>
      </c>
      <c r="M8817" s="74">
        <f t="shared" si="6"/>
        <v>10000</v>
      </c>
      <c r="N8817" s="74">
        <f t="shared" si="3"/>
        <v>40000</v>
      </c>
      <c r="O8817" s="65" t="str">
        <f>VLOOKUP(E8817,DATABASE!C:Q,8,false)</f>
        <v>BIAN</v>
      </c>
      <c r="P8817" s="65">
        <f>VLOOKUP(E8817,DATABASE!C:Q,9,False)</f>
        <v>0</v>
      </c>
      <c r="Q8817" s="93" t="str">
        <f>VLOOKUP(E8817,DATABASE!C:Q,4,false)</f>
        <v>Balancing</v>
      </c>
      <c r="R8817" s="93" t="str">
        <f>VLOOKUP(E8817,DATABASE!C:Q,11,false)</f>
        <v>COMPLEMENTARY</v>
      </c>
    </row>
    <row r="8818" ht="22.5" customHeight="1">
      <c r="A8818" s="49"/>
      <c r="C8818" s="400">
        <v>46172.0</v>
      </c>
      <c r="D8818" s="524">
        <v>1550.0</v>
      </c>
      <c r="E8818" s="544" t="s">
        <v>932</v>
      </c>
      <c r="F8818" s="387">
        <v>1.0</v>
      </c>
      <c r="G8818" s="140">
        <v>690000.0</v>
      </c>
      <c r="H8818" s="74"/>
      <c r="I8818" s="74">
        <f t="shared" si="1"/>
        <v>690000</v>
      </c>
      <c r="J8818" s="74">
        <f>IF(E8818="SERVICE",I8818-(I8818*50%),Vlookup(E8818,DATABASE!C:Q,10,false)*F8818)</f>
        <v>0</v>
      </c>
      <c r="K8818" s="74">
        <f>VLOOKUP(E8818,DATABASE!C:Q,7,false)</f>
        <v>601000</v>
      </c>
      <c r="L8818" s="74">
        <v>601000.0</v>
      </c>
      <c r="M8818" s="74">
        <f t="shared" si="6"/>
        <v>605000</v>
      </c>
      <c r="N8818" s="74">
        <f t="shared" si="3"/>
        <v>85000</v>
      </c>
      <c r="O8818" s="65" t="str">
        <f>VLOOKUP(E8818,DATABASE!C:Q,8,false)</f>
        <v>IBU</v>
      </c>
      <c r="P8818" s="65">
        <f>VLOOKUP(E8818,DATABASE!C:Q,9,False)</f>
        <v>1</v>
      </c>
      <c r="Q8818" s="93" t="str">
        <f>VLOOKUP(E8818,DATABASE!C:Q,4,false)</f>
        <v>Dunlop</v>
      </c>
      <c r="R8818" s="93" t="str">
        <f>VLOOKUP(E8818,DATABASE!C:Q,11,false)</f>
        <v>Tire</v>
      </c>
    </row>
    <row r="8819" ht="22.5" customHeight="1">
      <c r="A8819" s="49"/>
      <c r="C8819" s="400">
        <v>46172.0</v>
      </c>
      <c r="D8819" s="524">
        <v>1551.0</v>
      </c>
      <c r="E8819" s="544" t="s">
        <v>839</v>
      </c>
      <c r="F8819" s="387">
        <v>2.0</v>
      </c>
      <c r="G8819" s="140">
        <v>580000.0</v>
      </c>
      <c r="H8819" s="74"/>
      <c r="I8819" s="74">
        <f t="shared" si="1"/>
        <v>1160000</v>
      </c>
      <c r="J8819" s="74">
        <f>IF(E8819="SERVICE",I8819-(I8819*50%),Vlookup(E8819,DATABASE!C:Q,10,false)*F8819)</f>
        <v>0</v>
      </c>
      <c r="K8819" s="74">
        <f>VLOOKUP(E8819,DATABASE!C:Q,7,false)</f>
        <v>512640</v>
      </c>
      <c r="L8819" s="74">
        <v>490000.0</v>
      </c>
      <c r="M8819" s="74">
        <f t="shared" si="6"/>
        <v>490000</v>
      </c>
      <c r="N8819" s="74">
        <f t="shared" si="3"/>
        <v>180000</v>
      </c>
      <c r="O8819" s="65" t="str">
        <f>VLOOKUP(E8819,DATABASE!C:Q,8,false)</f>
        <v>BIAN</v>
      </c>
      <c r="P8819" s="65">
        <f>VLOOKUP(E8819,DATABASE!C:Q,9,False)</f>
        <v>1</v>
      </c>
      <c r="Q8819" s="93" t="str">
        <f>VLOOKUP(E8819,DATABASE!C:Q,4,false)</f>
        <v>GT</v>
      </c>
      <c r="R8819" s="93" t="str">
        <f>VLOOKUP(E8819,DATABASE!C:Q,11,false)</f>
        <v>Tire</v>
      </c>
    </row>
    <row r="8820" ht="22.5" customHeight="1">
      <c r="A8820" s="49"/>
      <c r="C8820" s="400">
        <v>46173.0</v>
      </c>
      <c r="D8820" s="69">
        <v>1552.0</v>
      </c>
      <c r="E8820" s="544" t="s">
        <v>2140</v>
      </c>
      <c r="F8820" s="387">
        <v>1.0</v>
      </c>
      <c r="G8820" s="140">
        <v>35000.0</v>
      </c>
      <c r="H8820" s="74"/>
      <c r="I8820" s="74">
        <f t="shared" si="1"/>
        <v>35000</v>
      </c>
      <c r="J8820" s="74">
        <f>IF(E8820="SERVICE",I8820-(I8820*50%),Vlookup(E8820,DATABASE!C:Q,10,false)*F8820)</f>
        <v>0</v>
      </c>
      <c r="K8820" s="74">
        <f>VLOOKUP(E8820,DATABASE!C:Q,7,false)</f>
        <v>5000</v>
      </c>
      <c r="L8820" s="74">
        <v>0.0</v>
      </c>
      <c r="M8820" s="74">
        <f t="shared" si="6"/>
        <v>0</v>
      </c>
      <c r="N8820" s="74">
        <f t="shared" si="3"/>
        <v>35000</v>
      </c>
      <c r="O8820" s="65" t="str">
        <f>VLOOKUP(E8820,DATABASE!C:Q,8,false)</f>
        <v>IBU</v>
      </c>
      <c r="P8820" s="65">
        <f>VLOOKUP(E8820,DATABASE!C:Q,9,False)</f>
        <v>0</v>
      </c>
      <c r="Q8820" s="93" t="str">
        <f>VLOOKUP(E8820,DATABASE!C:Q,4,false)</f>
        <v>PENTIL + PASANG</v>
      </c>
      <c r="R8820" s="93" t="str">
        <f>VLOOKUP(E8820,DATABASE!C:Q,11,false)</f>
        <v>COMPLEMENTARY</v>
      </c>
    </row>
    <row r="8821" ht="22.5" customHeight="1">
      <c r="A8821" s="49"/>
      <c r="C8821" s="400">
        <v>46173.0</v>
      </c>
      <c r="D8821" s="69" t="s">
        <v>2824</v>
      </c>
      <c r="E8821" s="544" t="s">
        <v>2191</v>
      </c>
      <c r="F8821" s="387">
        <v>1.0</v>
      </c>
      <c r="G8821" s="140">
        <v>450000.0</v>
      </c>
      <c r="H8821" s="74"/>
      <c r="I8821" s="74">
        <f t="shared" si="1"/>
        <v>450000</v>
      </c>
      <c r="J8821" s="74">
        <f>IF(E8821="SERVICE",I8821-(I8821*50%),Vlookup(E8821,DATABASE!C:Q,10,false)*F8821)</f>
        <v>0</v>
      </c>
      <c r="K8821" s="74">
        <f>VLOOKUP(E8821,DATABASE!C:Q,7,false)</f>
        <v>422900</v>
      </c>
      <c r="L8821" s="74">
        <v>380400.0</v>
      </c>
      <c r="M8821" s="74">
        <f t="shared" si="6"/>
        <v>385000</v>
      </c>
      <c r="N8821" s="74">
        <f t="shared" si="3"/>
        <v>65000</v>
      </c>
      <c r="O8821" s="65" t="str">
        <f>VLOOKUP(E8821,DATABASE!C:Q,8,false)</f>
        <v>NON</v>
      </c>
      <c r="P8821" s="65">
        <f>VLOOKUP(E8821,DATABASE!C:Q,9,False)</f>
        <v>0</v>
      </c>
      <c r="Q8821" s="93" t="str">
        <f>VLOOKUP(E8821,DATABASE!C:Q,4,false)</f>
        <v>Shell</v>
      </c>
      <c r="R8821" s="93" t="str">
        <f>VLOOKUP(E8821,DATABASE!C:Q,11,false)</f>
        <v>OIL</v>
      </c>
    </row>
    <row r="8822" ht="22.5" customHeight="1">
      <c r="A8822" s="49"/>
      <c r="C8822" s="400">
        <v>46174.0</v>
      </c>
      <c r="D8822" s="524">
        <v>1553.0</v>
      </c>
      <c r="E8822" s="544" t="s">
        <v>1821</v>
      </c>
      <c r="F8822" s="387">
        <v>2.0</v>
      </c>
      <c r="G8822" s="140">
        <v>820000.0</v>
      </c>
      <c r="H8822" s="140">
        <v>120000.0</v>
      </c>
      <c r="I8822" s="74">
        <f t="shared" si="1"/>
        <v>1400000</v>
      </c>
      <c r="J8822" s="74">
        <f>IF(E8822="SERVICE",I8822-(I8822*50%),Vlookup(E8822,DATABASE!C:Q,10,false)*F8822)</f>
        <v>0</v>
      </c>
      <c r="K8822" s="74">
        <f>VLOOKUP(E8822,DATABASE!C:Q,7,false)</f>
        <v>600000</v>
      </c>
      <c r="L8822" s="74">
        <v>760000.0</v>
      </c>
      <c r="M8822" s="74">
        <f t="shared" si="6"/>
        <v>760000</v>
      </c>
      <c r="N8822" s="74">
        <f t="shared" si="3"/>
        <v>-120000</v>
      </c>
      <c r="O8822" s="65" t="str">
        <f>VLOOKUP(E8822,DATABASE!C:Q,8,false)</f>
        <v>BIAN</v>
      </c>
      <c r="P8822" s="65">
        <f>VLOOKUP(E8822,DATABASE!C:Q,9,False)</f>
        <v>1</v>
      </c>
      <c r="Q8822" s="93" t="str">
        <f>VLOOKUP(E8822,DATABASE!C:Q,4,false)</f>
        <v>G. YEAR</v>
      </c>
      <c r="R8822" s="93" t="str">
        <f>VLOOKUP(E8822,DATABASE!C:Q,11,false)</f>
        <v>Tire</v>
      </c>
    </row>
    <row r="8823" ht="22.5" customHeight="1">
      <c r="A8823" s="49"/>
      <c r="C8823" s="400">
        <v>46174.0</v>
      </c>
      <c r="D8823" s="524">
        <v>1555.0</v>
      </c>
      <c r="E8823" s="544" t="s">
        <v>256</v>
      </c>
      <c r="F8823" s="387">
        <v>1.0</v>
      </c>
      <c r="G8823" s="140">
        <v>175000.0</v>
      </c>
      <c r="H8823" s="140">
        <v>25000.0</v>
      </c>
      <c r="I8823" s="74">
        <f t="shared" si="1"/>
        <v>150000</v>
      </c>
      <c r="J8823" s="74">
        <f>IF(E8823="SERVICE",I8823-(I8823*50%),Vlookup(E8823,DATABASE!C:Q,10,false)*F8823)</f>
        <v>10000</v>
      </c>
      <c r="K8823" s="74">
        <f>VLOOKUP(E8823,DATABASE!C:Q,7,false)</f>
        <v>0</v>
      </c>
      <c r="L8823" s="74">
        <v>0.0</v>
      </c>
      <c r="M8823" s="74">
        <f t="shared" si="6"/>
        <v>0</v>
      </c>
      <c r="N8823" s="74">
        <f t="shared" si="3"/>
        <v>140000</v>
      </c>
      <c r="O8823" s="65" t="str">
        <f>VLOOKUP(E8823,DATABASE!C:Q,8,false)</f>
        <v>IBU</v>
      </c>
      <c r="P8823" s="65">
        <f>VLOOKUP(E8823,DATABASE!C:Q,9,False)</f>
        <v>0</v>
      </c>
      <c r="Q8823" s="93" t="str">
        <f>VLOOKUP(E8823,DATABASE!C:Q,4,false)</f>
        <v>SPOORING</v>
      </c>
      <c r="R8823" s="93" t="str">
        <f>VLOOKUP(E8823,DATABASE!C:Q,11,false)</f>
        <v>SERVICE</v>
      </c>
    </row>
    <row r="8824" ht="22.5" customHeight="1">
      <c r="A8824" s="49"/>
      <c r="C8824" s="400">
        <v>46174.0</v>
      </c>
      <c r="D8824" s="524">
        <v>1555.0</v>
      </c>
      <c r="E8824" s="544" t="s">
        <v>251</v>
      </c>
      <c r="F8824" s="387">
        <v>1.0</v>
      </c>
      <c r="G8824" s="140">
        <v>350000.0</v>
      </c>
      <c r="H8824" s="140">
        <v>250000.0</v>
      </c>
      <c r="I8824" s="74">
        <f t="shared" si="1"/>
        <v>100000</v>
      </c>
      <c r="J8824" s="74">
        <f>IF(E8824="SERVICE",I8824-(I8824*50%),Vlookup(E8824,DATABASE!C:Q,10,false)*F8824)</f>
        <v>50000</v>
      </c>
      <c r="K8824" s="74">
        <f>VLOOKUP(E8824,DATABASE!C:Q,7,false)</f>
        <v>0</v>
      </c>
      <c r="L8824" s="74">
        <v>0.0</v>
      </c>
      <c r="M8824" s="74">
        <f t="shared" si="6"/>
        <v>0</v>
      </c>
      <c r="N8824" s="74">
        <f t="shared" si="3"/>
        <v>50000</v>
      </c>
      <c r="O8824" s="65" t="str">
        <f>VLOOKUP(E8824,DATABASE!C:Q,8,false)</f>
        <v>IBU</v>
      </c>
      <c r="P8824" s="65">
        <f>VLOOKUP(E8824,DATABASE!C:Q,9,False)</f>
        <v>0</v>
      </c>
      <c r="Q8824" s="93" t="str">
        <f>VLOOKUP(E8824,DATABASE!C:Q,4,false)</f>
        <v>SERVICE</v>
      </c>
      <c r="R8824" s="93" t="str">
        <f>VLOOKUP(E8824,DATABASE!C:Q,11,false)</f>
        <v>SERVICE</v>
      </c>
    </row>
    <row r="8825" ht="22.5" customHeight="1">
      <c r="A8825" s="49"/>
      <c r="C8825" s="400">
        <v>46174.0</v>
      </c>
      <c r="D8825" s="524">
        <v>1556.0</v>
      </c>
      <c r="E8825" s="544" t="s">
        <v>1439</v>
      </c>
      <c r="F8825" s="387">
        <v>1.0</v>
      </c>
      <c r="G8825" s="140">
        <v>645000.0</v>
      </c>
      <c r="H8825" s="74"/>
      <c r="I8825" s="74">
        <f t="shared" si="1"/>
        <v>645000</v>
      </c>
      <c r="J8825" s="74">
        <f>IF(E8825="SERVICE",I8825-(I8825*50%),Vlookup(E8825,DATABASE!C:Q,10,false)*F8825)</f>
        <v>0</v>
      </c>
      <c r="K8825" s="74">
        <f>VLOOKUP(E8825,DATABASE!C:Q,7,false)</f>
        <v>556800</v>
      </c>
      <c r="L8825" s="74">
        <v>556800.0</v>
      </c>
      <c r="M8825" s="74">
        <f t="shared" si="6"/>
        <v>560000</v>
      </c>
      <c r="N8825" s="74">
        <f t="shared" si="3"/>
        <v>85000</v>
      </c>
      <c r="O8825" s="65" t="str">
        <f>VLOOKUP(E8825,DATABASE!C:Q,8,false)</f>
        <v>BIAN</v>
      </c>
      <c r="P8825" s="65">
        <f>VLOOKUP(E8825,DATABASE!C:Q,9,False)</f>
        <v>1</v>
      </c>
      <c r="Q8825" s="93" t="str">
        <f>VLOOKUP(E8825,DATABASE!C:Q,4,false)</f>
        <v>GT</v>
      </c>
      <c r="R8825" s="93" t="str">
        <f>VLOOKUP(E8825,DATABASE!C:Q,11,false)</f>
        <v>Tire</v>
      </c>
    </row>
    <row r="8826" ht="22.5" customHeight="1">
      <c r="A8826" s="49"/>
      <c r="C8826" s="400">
        <v>46174.0</v>
      </c>
      <c r="D8826" s="524">
        <v>1556.0</v>
      </c>
      <c r="E8826" s="544" t="s">
        <v>250</v>
      </c>
      <c r="F8826" s="387">
        <v>1.0</v>
      </c>
      <c r="G8826" s="140">
        <v>135000.0</v>
      </c>
      <c r="H8826" s="74"/>
      <c r="I8826" s="74">
        <f t="shared" si="1"/>
        <v>135000</v>
      </c>
      <c r="J8826" s="74">
        <f>IF(E8826="SERVICE",I8826-(I8826*50%),Vlookup(E8826,DATABASE!C:Q,10,false)*F8826)</f>
        <v>0</v>
      </c>
      <c r="K8826" s="74">
        <f>VLOOKUP(E8826,DATABASE!C:Q,7,false)</f>
        <v>102000</v>
      </c>
      <c r="L8826" s="74">
        <v>102000.0</v>
      </c>
      <c r="M8826" s="74">
        <f t="shared" si="6"/>
        <v>105000</v>
      </c>
      <c r="N8826" s="74">
        <f t="shared" si="3"/>
        <v>30000</v>
      </c>
      <c r="O8826" s="65" t="str">
        <f>VLOOKUP(E8826,DATABASE!C:Q,8,false)</f>
        <v>BIAN</v>
      </c>
      <c r="P8826" s="65">
        <f>VLOOKUP(E8826,DATABASE!C:Q,9,False)</f>
        <v>1</v>
      </c>
      <c r="Q8826" s="93" t="str">
        <f>VLOOKUP(E8826,DATABASE!C:Q,4,false)</f>
        <v>BD</v>
      </c>
      <c r="R8826" s="93" t="str">
        <f>VLOOKUP(E8826,DATABASE!C:Q,11,false)</f>
        <v>Tire</v>
      </c>
    </row>
    <row r="8827" ht="22.5" customHeight="1">
      <c r="A8827" s="49"/>
      <c r="C8827" s="400">
        <v>46174.0</v>
      </c>
      <c r="D8827" s="524">
        <v>1557.0</v>
      </c>
      <c r="E8827" s="544" t="s">
        <v>268</v>
      </c>
      <c r="F8827" s="387">
        <v>2.0</v>
      </c>
      <c r="G8827" s="140">
        <v>720000.0</v>
      </c>
      <c r="H8827" s="74"/>
      <c r="I8827" s="74">
        <f t="shared" si="1"/>
        <v>1440000</v>
      </c>
      <c r="J8827" s="74">
        <f>IF(E8827="SERVICE",I8827-(I8827*50%),Vlookup(E8827,DATABASE!C:Q,10,false)*F8827)</f>
        <v>0</v>
      </c>
      <c r="K8827" s="74">
        <f>VLOOKUP(E8827,DATABASE!C:Q,7,false)</f>
        <v>653000</v>
      </c>
      <c r="L8827" s="74">
        <v>634500.0</v>
      </c>
      <c r="M8827" s="74">
        <f t="shared" si="6"/>
        <v>635000</v>
      </c>
      <c r="N8827" s="74">
        <f t="shared" si="3"/>
        <v>170000</v>
      </c>
      <c r="O8827" s="65" t="str">
        <f>VLOOKUP(E8827,DATABASE!C:Q,8,false)</f>
        <v>IBU</v>
      </c>
      <c r="P8827" s="65">
        <f>VLOOKUP(E8827,DATABASE!C:Q,9,False)</f>
        <v>1</v>
      </c>
      <c r="Q8827" s="93" t="str">
        <f>VLOOKUP(E8827,DATABASE!C:Q,4,false)</f>
        <v>Dunlop</v>
      </c>
      <c r="R8827" s="93" t="str">
        <f>VLOOKUP(E8827,DATABASE!C:Q,11,false)</f>
        <v>Tire</v>
      </c>
    </row>
    <row r="8828" ht="22.5" customHeight="1">
      <c r="A8828" s="49"/>
      <c r="C8828" s="400">
        <v>46174.0</v>
      </c>
      <c r="D8828" s="524">
        <v>1558.0</v>
      </c>
      <c r="E8828" s="544" t="s">
        <v>1278</v>
      </c>
      <c r="F8828" s="387">
        <v>1.0</v>
      </c>
      <c r="G8828" s="140">
        <v>1580000.0</v>
      </c>
      <c r="H8828" s="140">
        <v>30000.0</v>
      </c>
      <c r="I8828" s="74">
        <f t="shared" si="1"/>
        <v>1550000</v>
      </c>
      <c r="J8828" s="74">
        <f>IF(E8828="SERVICE",I8828-(I8828*50%),Vlookup(E8828,DATABASE!C:Q,10,false)*F8828)</f>
        <v>0</v>
      </c>
      <c r="K8828" s="74">
        <f>VLOOKUP(E8828,DATABASE!C:Q,7,false)</f>
        <v>1466393.5</v>
      </c>
      <c r="L8828" s="74">
        <v>1466393.5</v>
      </c>
      <c r="M8828" s="74">
        <f t="shared" si="6"/>
        <v>1470000</v>
      </c>
      <c r="N8828" s="74">
        <f t="shared" si="3"/>
        <v>80000</v>
      </c>
      <c r="O8828" s="65" t="str">
        <f>VLOOKUP(E8828,DATABASE!C:Q,8,false)</f>
        <v>IBU</v>
      </c>
      <c r="P8828" s="65">
        <f>VLOOKUP(E8828,DATABASE!C:Q,9,False)</f>
        <v>1</v>
      </c>
      <c r="Q8828" s="93" t="str">
        <f>VLOOKUP(E8828,DATABASE!C:Q,4,false)</f>
        <v>Bridgestone</v>
      </c>
      <c r="R8828" s="93" t="str">
        <f>VLOOKUP(E8828,DATABASE!C:Q,11,false)</f>
        <v>Tire</v>
      </c>
    </row>
    <row r="8829" ht="22.5" customHeight="1">
      <c r="A8829" s="49"/>
      <c r="C8829" s="400">
        <v>46174.0</v>
      </c>
      <c r="D8829" s="524">
        <v>1559.0</v>
      </c>
      <c r="E8829" s="544" t="s">
        <v>2610</v>
      </c>
      <c r="F8829" s="387">
        <v>2.0</v>
      </c>
      <c r="G8829" s="140">
        <v>920000.0</v>
      </c>
      <c r="H8829" s="140">
        <v>20000.0</v>
      </c>
      <c r="I8829" s="74">
        <f t="shared" si="1"/>
        <v>1800000</v>
      </c>
      <c r="J8829" s="74">
        <f>IF(E8829="SERVICE",I8829-(I8829*50%),Vlookup(E8829,DATABASE!C:Q,10,false)*F8829)</f>
        <v>0</v>
      </c>
      <c r="K8829" s="74">
        <f>VLOOKUP(E8829,DATABASE!C:Q,7,false)</f>
        <v>802000</v>
      </c>
      <c r="L8829" s="74">
        <v>802000.0</v>
      </c>
      <c r="M8829" s="74">
        <f t="shared" si="6"/>
        <v>805000</v>
      </c>
      <c r="N8829" s="74">
        <f t="shared" si="3"/>
        <v>190000</v>
      </c>
      <c r="O8829" s="65" t="str">
        <f>VLOOKUP(E8829,DATABASE!C:Q,8,false)</f>
        <v>BIAN</v>
      </c>
      <c r="P8829" s="65">
        <f>VLOOKUP(E8829,DATABASE!C:Q,9,False)</f>
        <v>1</v>
      </c>
      <c r="Q8829" s="93" t="str">
        <f>VLOOKUP(E8829,DATABASE!C:Q,4,false)</f>
        <v>Laufen</v>
      </c>
      <c r="R8829" s="93" t="str">
        <f>VLOOKUP(E8829,DATABASE!C:Q,11,false)</f>
        <v>Tire</v>
      </c>
    </row>
    <row r="8830" ht="22.5" customHeight="1">
      <c r="A8830" s="49"/>
      <c r="C8830" s="400">
        <v>46174.0</v>
      </c>
      <c r="D8830" s="524">
        <v>1560.0</v>
      </c>
      <c r="E8830" s="544" t="s">
        <v>2624</v>
      </c>
      <c r="F8830" s="387">
        <v>2.0</v>
      </c>
      <c r="G8830" s="140">
        <v>610000.0</v>
      </c>
      <c r="H8830" s="74"/>
      <c r="I8830" s="74">
        <f t="shared" si="1"/>
        <v>1220000</v>
      </c>
      <c r="J8830" s="74">
        <f>IF(E8830="SERVICE",I8830-(I8830*50%),Vlookup(E8830,DATABASE!C:Q,10,false)*F8830)</f>
        <v>0</v>
      </c>
      <c r="K8830" s="74">
        <f>VLOOKUP(E8830,DATABASE!C:Q,7,false)</f>
        <v>517000</v>
      </c>
      <c r="L8830" s="74">
        <v>517000.0</v>
      </c>
      <c r="M8830" s="74">
        <f t="shared" si="6"/>
        <v>520000</v>
      </c>
      <c r="N8830" s="74">
        <f t="shared" si="3"/>
        <v>180000</v>
      </c>
      <c r="O8830" s="65" t="str">
        <f>VLOOKUP(E8830,DATABASE!C:Q,8,false)</f>
        <v>BIAN</v>
      </c>
      <c r="P8830" s="65">
        <f>VLOOKUP(E8830,DATABASE!C:Q,9,False)</f>
        <v>1</v>
      </c>
      <c r="Q8830" s="93" t="str">
        <f>VLOOKUP(E8830,DATABASE!C:Q,4,false)</f>
        <v>Sailun</v>
      </c>
      <c r="R8830" s="93" t="str">
        <f>VLOOKUP(E8830,DATABASE!C:Q,11,false)</f>
        <v>Tire</v>
      </c>
    </row>
    <row r="8831" ht="22.5" customHeight="1">
      <c r="A8831" s="49"/>
      <c r="C8831" s="400">
        <v>46174.0</v>
      </c>
      <c r="D8831" s="69">
        <v>1561.0</v>
      </c>
      <c r="E8831" s="544" t="s">
        <v>256</v>
      </c>
      <c r="F8831" s="387">
        <v>1.0</v>
      </c>
      <c r="G8831" s="140">
        <v>175000.0</v>
      </c>
      <c r="H8831" s="140">
        <v>25000.0</v>
      </c>
      <c r="I8831" s="74">
        <f t="shared" si="1"/>
        <v>150000</v>
      </c>
      <c r="J8831" s="74">
        <f>IF(E8831="SERVICE",I8831-(I8831*50%),Vlookup(E8831,DATABASE!C:Q,10,false)*F8831)</f>
        <v>10000</v>
      </c>
      <c r="K8831" s="74">
        <f>VLOOKUP(E8831,DATABASE!C:Q,7,false)</f>
        <v>0</v>
      </c>
      <c r="L8831" s="74">
        <v>0.0</v>
      </c>
      <c r="M8831" s="74">
        <f t="shared" si="6"/>
        <v>0</v>
      </c>
      <c r="N8831" s="74">
        <f t="shared" si="3"/>
        <v>140000</v>
      </c>
      <c r="O8831" s="65" t="str">
        <f>VLOOKUP(E8831,DATABASE!C:Q,8,false)</f>
        <v>IBU</v>
      </c>
      <c r="P8831" s="65">
        <f>VLOOKUP(E8831,DATABASE!C:Q,9,False)</f>
        <v>0</v>
      </c>
      <c r="Q8831" s="93" t="str">
        <f>VLOOKUP(E8831,DATABASE!C:Q,4,false)</f>
        <v>SPOORING</v>
      </c>
      <c r="R8831" s="93" t="str">
        <f>VLOOKUP(E8831,DATABASE!C:Q,11,false)</f>
        <v>SERVICE</v>
      </c>
    </row>
    <row r="8832" ht="22.5" customHeight="1">
      <c r="A8832" s="49"/>
      <c r="C8832" s="400">
        <v>46174.0</v>
      </c>
      <c r="D8832" s="69">
        <v>1561.0</v>
      </c>
      <c r="E8832" s="544" t="s">
        <v>301</v>
      </c>
      <c r="F8832" s="387">
        <v>1.0</v>
      </c>
      <c r="G8832" s="140">
        <v>250000.0</v>
      </c>
      <c r="H8832" s="74"/>
      <c r="I8832" s="74">
        <f t="shared" si="1"/>
        <v>250000</v>
      </c>
      <c r="J8832" s="74">
        <f>IF(E8832="SERVICE",I8832-(I8832*50%),Vlookup(E8832,DATABASE!C:Q,10,false)*F8832)</f>
        <v>75000</v>
      </c>
      <c r="K8832" s="74">
        <f>VLOOKUP(E8832,DATABASE!C:Q,7,false)</f>
        <v>75000</v>
      </c>
      <c r="L8832" s="74">
        <v>75000.0</v>
      </c>
      <c r="M8832" s="74">
        <f t="shared" si="6"/>
        <v>75000</v>
      </c>
      <c r="N8832" s="74">
        <f t="shared" si="3"/>
        <v>100000</v>
      </c>
      <c r="O8832" s="65" t="str">
        <f>VLOOKUP(E8832,DATABASE!C:Q,8,false)</f>
        <v>BIAN</v>
      </c>
      <c r="P8832" s="65">
        <f>VLOOKUP(E8832,DATABASE!C:Q,9,False)</f>
        <v>0</v>
      </c>
      <c r="Q8832" s="93" t="str">
        <f>VLOOKUP(E8832,DATABASE!C:Q,4,false)</f>
        <v>Baut Camber</v>
      </c>
      <c r="R8832" s="93" t="str">
        <f>VLOOKUP(E8832,DATABASE!C:Q,11,false)</f>
        <v>COMPLEMENTARY</v>
      </c>
    </row>
    <row r="8833" ht="22.5" customHeight="1">
      <c r="A8833" s="49"/>
      <c r="C8833" s="400">
        <v>46174.0</v>
      </c>
      <c r="D8833" s="524">
        <v>1563.0</v>
      </c>
      <c r="E8833" s="544" t="s">
        <v>897</v>
      </c>
      <c r="F8833" s="387">
        <v>1.0</v>
      </c>
      <c r="G8833" s="140">
        <v>1625000.0</v>
      </c>
      <c r="H8833" s="74"/>
      <c r="I8833" s="74">
        <f t="shared" si="1"/>
        <v>1625000</v>
      </c>
      <c r="J8833" s="74">
        <f>IF(E8833="SERVICE",I8833-(I8833*50%),Vlookup(E8833,DATABASE!C:Q,10,false)*F8833)</f>
        <v>0</v>
      </c>
      <c r="K8833" s="74">
        <f>VLOOKUP(E8833,DATABASE!C:Q,7,false)</f>
        <v>1560000</v>
      </c>
      <c r="L8833" s="74">
        <v>1525000.0</v>
      </c>
      <c r="M8833" s="74">
        <f t="shared" si="6"/>
        <v>1525000</v>
      </c>
      <c r="N8833" s="74">
        <f t="shared" si="3"/>
        <v>100000</v>
      </c>
      <c r="O8833" s="65" t="str">
        <f>VLOOKUP(E8833,DATABASE!C:Q,8,false)</f>
        <v>BIAN</v>
      </c>
      <c r="P8833" s="65">
        <f>VLOOKUP(E8833,DATABASE!C:Q,9,False)</f>
        <v>1</v>
      </c>
      <c r="Q8833" s="93" t="str">
        <f>VLOOKUP(E8833,DATABASE!C:Q,4,false)</f>
        <v>GT</v>
      </c>
      <c r="R8833" s="93" t="str">
        <f>VLOOKUP(E8833,DATABASE!C:Q,11,false)</f>
        <v>Tire</v>
      </c>
    </row>
    <row r="8834" ht="22.5" customHeight="1">
      <c r="A8834" s="49"/>
      <c r="C8834" s="400">
        <v>46174.0</v>
      </c>
      <c r="D8834" s="524">
        <v>1563.0</v>
      </c>
      <c r="E8834" s="544" t="s">
        <v>744</v>
      </c>
      <c r="F8834" s="387">
        <v>1.0</v>
      </c>
      <c r="G8834" s="140">
        <v>230000.0</v>
      </c>
      <c r="H8834" s="74"/>
      <c r="I8834" s="74">
        <f t="shared" si="1"/>
        <v>230000</v>
      </c>
      <c r="J8834" s="74">
        <f>IF(E8834="SERVICE",I8834-(I8834*50%),Vlookup(E8834,DATABASE!C:Q,10,false)*F8834)</f>
        <v>0</v>
      </c>
      <c r="K8834" s="74">
        <f>VLOOKUP(E8834,DATABASE!C:Q,7,false)</f>
        <v>182200</v>
      </c>
      <c r="L8834" s="74">
        <v>182200.0</v>
      </c>
      <c r="M8834" s="74">
        <f t="shared" si="6"/>
        <v>185000</v>
      </c>
      <c r="N8834" s="74">
        <f t="shared" si="3"/>
        <v>45000</v>
      </c>
      <c r="O8834" s="65" t="str">
        <f>VLOOKUP(E8834,DATABASE!C:Q,8,false)</f>
        <v>BIAN</v>
      </c>
      <c r="P8834" s="65">
        <f>VLOOKUP(E8834,DATABASE!C:Q,9,False)</f>
        <v>1</v>
      </c>
      <c r="Q8834" s="93" t="str">
        <f>VLOOKUP(E8834,DATABASE!C:Q,4,false)</f>
        <v>BD</v>
      </c>
      <c r="R8834" s="93" t="str">
        <f>VLOOKUP(E8834,DATABASE!C:Q,11,false)</f>
        <v>Tire</v>
      </c>
    </row>
    <row r="8835" ht="22.5" customHeight="1">
      <c r="A8835" s="49"/>
      <c r="C8835" s="400">
        <v>46174.0</v>
      </c>
      <c r="D8835" s="524">
        <v>1564.0</v>
      </c>
      <c r="E8835" s="544" t="s">
        <v>2624</v>
      </c>
      <c r="F8835" s="387">
        <v>4.0</v>
      </c>
      <c r="G8835" s="140">
        <v>610000.0</v>
      </c>
      <c r="H8835" s="140">
        <v>5000.0</v>
      </c>
      <c r="I8835" s="74">
        <f t="shared" si="1"/>
        <v>2420000</v>
      </c>
      <c r="J8835" s="74">
        <f>IF(E8835="SERVICE",I8835-(I8835*50%),Vlookup(E8835,DATABASE!C:Q,10,false)*F8835)</f>
        <v>0</v>
      </c>
      <c r="K8835" s="74">
        <f>VLOOKUP(E8835,DATABASE!C:Q,7,false)</f>
        <v>517000</v>
      </c>
      <c r="L8835" s="74">
        <v>517000.0</v>
      </c>
      <c r="M8835" s="74">
        <f t="shared" si="6"/>
        <v>520000</v>
      </c>
      <c r="N8835" s="74">
        <f t="shared" si="3"/>
        <v>340000</v>
      </c>
      <c r="O8835" s="65" t="str">
        <f>VLOOKUP(E8835,DATABASE!C:Q,8,false)</f>
        <v>BIAN</v>
      </c>
      <c r="P8835" s="65">
        <f>VLOOKUP(E8835,DATABASE!C:Q,9,False)</f>
        <v>1</v>
      </c>
      <c r="Q8835" s="93" t="str">
        <f>VLOOKUP(E8835,DATABASE!C:Q,4,false)</f>
        <v>Sailun</v>
      </c>
      <c r="R8835" s="93" t="str">
        <f>VLOOKUP(E8835,DATABASE!C:Q,11,false)</f>
        <v>Tire</v>
      </c>
    </row>
    <row r="8836" ht="22.5" customHeight="1">
      <c r="A8836" s="49"/>
      <c r="C8836" s="400">
        <v>46174.0</v>
      </c>
      <c r="D8836" s="524">
        <v>1566.0</v>
      </c>
      <c r="E8836" s="544" t="s">
        <v>262</v>
      </c>
      <c r="F8836" s="387">
        <v>1.0</v>
      </c>
      <c r="G8836" s="140">
        <v>130000.0</v>
      </c>
      <c r="H8836" s="74"/>
      <c r="I8836" s="74">
        <f t="shared" si="1"/>
        <v>130000</v>
      </c>
      <c r="J8836" s="74">
        <f>IF(E8836="SERVICE",I8836-(I8836*50%),Vlookup(E8836,DATABASE!C:Q,10,false)*F8836)</f>
        <v>5000</v>
      </c>
      <c r="K8836" s="74">
        <f>VLOOKUP(E8836,DATABASE!C:Q,7,false)</f>
        <v>0</v>
      </c>
      <c r="L8836" s="74">
        <v>0.0</v>
      </c>
      <c r="M8836" s="74">
        <f t="shared" si="6"/>
        <v>0</v>
      </c>
      <c r="N8836" s="74">
        <f t="shared" si="3"/>
        <v>125000</v>
      </c>
      <c r="O8836" s="65" t="str">
        <f>VLOOKUP(E8836,DATABASE!C:Q,8,false)</f>
        <v>IBU</v>
      </c>
      <c r="P8836" s="65">
        <f>VLOOKUP(E8836,DATABASE!C:Q,9,False)</f>
        <v>0</v>
      </c>
      <c r="Q8836" s="93" t="str">
        <f>VLOOKUP(E8836,DATABASE!C:Q,4,false)</f>
        <v>SPOORING SS/CARRY LOS BAK</v>
      </c>
      <c r="R8836" s="93" t="str">
        <f>VLOOKUP(E8836,DATABASE!C:Q,11,false)</f>
        <v>SERVICE</v>
      </c>
    </row>
    <row r="8837" ht="22.5" customHeight="1">
      <c r="A8837" s="49"/>
      <c r="C8837" s="400">
        <v>46174.0</v>
      </c>
      <c r="D8837" s="524">
        <v>1566.0</v>
      </c>
      <c r="E8837" s="544" t="s">
        <v>305</v>
      </c>
      <c r="F8837" s="387">
        <v>2.0</v>
      </c>
      <c r="G8837" s="140">
        <v>240000.0</v>
      </c>
      <c r="H8837" s="140">
        <v>10000.0</v>
      </c>
      <c r="I8837" s="74">
        <f t="shared" si="1"/>
        <v>460000</v>
      </c>
      <c r="J8837" s="74">
        <f>IF(E8837="SERVICE",I8837-(I8837*50%),Vlookup(E8837,DATABASE!C:Q,10,false)*F8837)</f>
        <v>80000</v>
      </c>
      <c r="K8837" s="74">
        <f>VLOOKUP(E8837,DATABASE!C:Q,7,false)</f>
        <v>158530.2</v>
      </c>
      <c r="L8837" s="74">
        <v>158530.2</v>
      </c>
      <c r="M8837" s="74">
        <f t="shared" si="6"/>
        <v>160000</v>
      </c>
      <c r="N8837" s="74">
        <f t="shared" si="3"/>
        <v>60000</v>
      </c>
      <c r="O8837" s="65" t="str">
        <f>VLOOKUP(E8837,DATABASE!C:Q,8,false)</f>
        <v>BIAN</v>
      </c>
      <c r="P8837" s="65">
        <f>VLOOKUP(E8837,DATABASE!C:Q,9,False)</f>
        <v>1</v>
      </c>
      <c r="Q8837" s="93" t="str">
        <f>VLOOKUP(E8837,DATABASE!C:Q,4,false)</f>
        <v>Lower Arm</v>
      </c>
      <c r="R8837" s="93" t="str">
        <f>VLOOKUP(E8837,DATABASE!C:Q,11,false)</f>
        <v>COMPLEMENTARY</v>
      </c>
    </row>
    <row r="8838" ht="22.5" customHeight="1">
      <c r="A8838" s="49"/>
      <c r="C8838" s="400">
        <v>46174.0</v>
      </c>
      <c r="D8838" s="524">
        <v>1566.0</v>
      </c>
      <c r="E8838" s="544" t="s">
        <v>251</v>
      </c>
      <c r="F8838" s="387">
        <v>1.0</v>
      </c>
      <c r="G8838" s="140">
        <v>350000.0</v>
      </c>
      <c r="H8838" s="140">
        <v>300000.0</v>
      </c>
      <c r="I8838" s="74">
        <f t="shared" si="1"/>
        <v>50000</v>
      </c>
      <c r="J8838" s="74">
        <f>IF(E8838="SERVICE",I8838-(I8838*50%),Vlookup(E8838,DATABASE!C:Q,10,false)*F8838)</f>
        <v>25000</v>
      </c>
      <c r="K8838" s="74">
        <f>VLOOKUP(E8838,DATABASE!C:Q,7,false)</f>
        <v>0</v>
      </c>
      <c r="L8838" s="74">
        <v>0.0</v>
      </c>
      <c r="M8838" s="74">
        <f t="shared" si="6"/>
        <v>0</v>
      </c>
      <c r="N8838" s="74">
        <f t="shared" si="3"/>
        <v>25000</v>
      </c>
      <c r="O8838" s="65" t="str">
        <f>VLOOKUP(E8838,DATABASE!C:Q,8,false)</f>
        <v>IBU</v>
      </c>
      <c r="P8838" s="65">
        <f>VLOOKUP(E8838,DATABASE!C:Q,9,False)</f>
        <v>0</v>
      </c>
      <c r="Q8838" s="93" t="str">
        <f>VLOOKUP(E8838,DATABASE!C:Q,4,false)</f>
        <v>SERVICE</v>
      </c>
      <c r="R8838" s="93" t="str">
        <f>VLOOKUP(E8838,DATABASE!C:Q,11,false)</f>
        <v>SERVICE</v>
      </c>
    </row>
    <row r="8839" ht="22.5" customHeight="1">
      <c r="A8839" s="49"/>
      <c r="C8839" s="400">
        <v>46174.0</v>
      </c>
      <c r="D8839" s="69" t="s">
        <v>2825</v>
      </c>
      <c r="E8839" s="544" t="s">
        <v>2191</v>
      </c>
      <c r="F8839" s="387">
        <v>1.0</v>
      </c>
      <c r="G8839" s="140">
        <v>430000.0</v>
      </c>
      <c r="H8839" s="74"/>
      <c r="I8839" s="74">
        <f t="shared" si="1"/>
        <v>430000</v>
      </c>
      <c r="J8839" s="74">
        <f>IF(E8839="SERVICE",I8839-(I8839*50%),Vlookup(E8839,DATABASE!C:Q,10,false)*F8839)</f>
        <v>0</v>
      </c>
      <c r="K8839" s="74">
        <f>VLOOKUP(E8839,DATABASE!C:Q,7,false)</f>
        <v>422900</v>
      </c>
      <c r="L8839" s="74">
        <v>380400.0</v>
      </c>
      <c r="M8839" s="74">
        <f t="shared" si="6"/>
        <v>385000</v>
      </c>
      <c r="N8839" s="74">
        <f t="shared" si="3"/>
        <v>45000</v>
      </c>
      <c r="O8839" s="65" t="str">
        <f>VLOOKUP(E8839,DATABASE!C:Q,8,false)</f>
        <v>NON</v>
      </c>
      <c r="P8839" s="65">
        <f>VLOOKUP(E8839,DATABASE!C:Q,9,False)</f>
        <v>0</v>
      </c>
      <c r="Q8839" s="93" t="str">
        <f>VLOOKUP(E8839,DATABASE!C:Q,4,false)</f>
        <v>Shell</v>
      </c>
      <c r="R8839" s="93" t="str">
        <f>VLOOKUP(E8839,DATABASE!C:Q,11,false)</f>
        <v>OIL</v>
      </c>
    </row>
    <row r="8840" ht="22.5" customHeight="1">
      <c r="A8840" s="49"/>
      <c r="C8840" s="400">
        <v>46174.0</v>
      </c>
      <c r="D8840" s="69" t="s">
        <v>2825</v>
      </c>
      <c r="E8840" s="544" t="s">
        <v>298</v>
      </c>
      <c r="F8840" s="387">
        <v>1.0</v>
      </c>
      <c r="G8840" s="140">
        <v>25000.0</v>
      </c>
      <c r="H8840" s="74"/>
      <c r="I8840" s="74">
        <f t="shared" si="1"/>
        <v>25000</v>
      </c>
      <c r="J8840" s="74">
        <f>IF(E8840="SERVICE",I8840-(I8840*50%),Vlookup(E8840,DATABASE!C:Q,10,false)*F8840)</f>
        <v>0</v>
      </c>
      <c r="K8840" s="74">
        <f>VLOOKUP(E8840,DATABASE!C:Q,7,false)</f>
        <v>19200</v>
      </c>
      <c r="L8840" s="74">
        <v>19200.0</v>
      </c>
      <c r="M8840" s="74">
        <f t="shared" si="6"/>
        <v>20000</v>
      </c>
      <c r="N8840" s="74">
        <f t="shared" si="3"/>
        <v>5000</v>
      </c>
      <c r="O8840" s="65" t="str">
        <f>VLOOKUP(E8840,DATABASE!C:Q,8,false)</f>
        <v>BIAN</v>
      </c>
      <c r="P8840" s="65">
        <f>VLOOKUP(E8840,DATABASE!C:Q,9,False)</f>
        <v>0</v>
      </c>
      <c r="Q8840" s="93" t="str">
        <f>VLOOKUP(E8840,DATABASE!C:Q,4,false)</f>
        <v>Aspira</v>
      </c>
      <c r="R8840" s="93" t="str">
        <f>VLOOKUP(E8840,DATABASE!C:Q,11,false)</f>
        <v>COMPLEMENTARY</v>
      </c>
    </row>
    <row r="8841" ht="22.5" customHeight="1">
      <c r="A8841" s="49"/>
      <c r="C8841" s="400">
        <v>46174.0</v>
      </c>
      <c r="D8841" s="69" t="s">
        <v>2826</v>
      </c>
      <c r="E8841" s="544" t="s">
        <v>2178</v>
      </c>
      <c r="F8841" s="387">
        <v>3.0</v>
      </c>
      <c r="G8841" s="140">
        <v>100000.0</v>
      </c>
      <c r="H8841" s="140">
        <v>20000.0</v>
      </c>
      <c r="I8841" s="74">
        <f t="shared" si="1"/>
        <v>240000</v>
      </c>
      <c r="J8841" s="74">
        <f>IF(E8841="SERVICE",I8841-(I8841*50%),Vlookup(E8841,DATABASE!C:Q,10,false)*F8841)</f>
        <v>0</v>
      </c>
      <c r="K8841" s="74">
        <f>VLOOKUP(E8841,DATABASE!C:Q,7,false)</f>
        <v>80931</v>
      </c>
      <c r="L8841" s="74">
        <v>71439.0</v>
      </c>
      <c r="M8841" s="74">
        <f t="shared" si="6"/>
        <v>75000</v>
      </c>
      <c r="N8841" s="74">
        <f t="shared" si="3"/>
        <v>15000</v>
      </c>
      <c r="O8841" s="65" t="str">
        <f>VLOOKUP(E8841,DATABASE!C:Q,8,false)</f>
        <v>NON</v>
      </c>
      <c r="P8841" s="65">
        <f>VLOOKUP(E8841,DATABASE!C:Q,9,False)</f>
        <v>0</v>
      </c>
      <c r="Q8841" s="93" t="str">
        <f>VLOOKUP(E8841,DATABASE!C:Q,4,false)</f>
        <v>Shell</v>
      </c>
      <c r="R8841" s="93" t="str">
        <f>VLOOKUP(E8841,DATABASE!C:Q,11,false)</f>
        <v>OIL</v>
      </c>
    </row>
    <row r="8842" ht="22.5" customHeight="1">
      <c r="A8842" s="49"/>
      <c r="C8842" s="400">
        <v>46174.0</v>
      </c>
      <c r="D8842" s="69" t="s">
        <v>2827</v>
      </c>
      <c r="E8842" s="544" t="s">
        <v>2191</v>
      </c>
      <c r="F8842" s="387">
        <v>1.0</v>
      </c>
      <c r="G8842" s="140">
        <v>430000.0</v>
      </c>
      <c r="H8842" s="74"/>
      <c r="I8842" s="74">
        <f t="shared" si="1"/>
        <v>430000</v>
      </c>
      <c r="J8842" s="74">
        <f>IF(E8842="SERVICE",I8842-(I8842*50%),Vlookup(E8842,DATABASE!C:Q,10,false)*F8842)</f>
        <v>0</v>
      </c>
      <c r="K8842" s="74">
        <f>VLOOKUP(E8842,DATABASE!C:Q,7,false)</f>
        <v>422900</v>
      </c>
      <c r="L8842" s="74">
        <v>380400.0</v>
      </c>
      <c r="M8842" s="74">
        <f t="shared" si="6"/>
        <v>385000</v>
      </c>
      <c r="N8842" s="74">
        <f t="shared" si="3"/>
        <v>45000</v>
      </c>
      <c r="O8842" s="65" t="str">
        <f>VLOOKUP(E8842,DATABASE!C:Q,8,false)</f>
        <v>NON</v>
      </c>
      <c r="P8842" s="65">
        <f>VLOOKUP(E8842,DATABASE!C:Q,9,False)</f>
        <v>0</v>
      </c>
      <c r="Q8842" s="93" t="str">
        <f>VLOOKUP(E8842,DATABASE!C:Q,4,false)</f>
        <v>Shell</v>
      </c>
      <c r="R8842" s="93" t="str">
        <f>VLOOKUP(E8842,DATABASE!C:Q,11,false)</f>
        <v>OIL</v>
      </c>
    </row>
    <row r="8843" ht="22.5" customHeight="1">
      <c r="A8843" s="49"/>
      <c r="C8843" s="400">
        <v>46175.0</v>
      </c>
      <c r="D8843" s="524">
        <v>1567.0</v>
      </c>
      <c r="E8843" s="544" t="s">
        <v>286</v>
      </c>
      <c r="F8843" s="387">
        <v>1.0</v>
      </c>
      <c r="G8843" s="140">
        <v>560000.0</v>
      </c>
      <c r="H8843" s="74"/>
      <c r="I8843" s="74">
        <f t="shared" si="1"/>
        <v>560000</v>
      </c>
      <c r="J8843" s="74">
        <f>IF(E8843="SERVICE",I8843-(I8843*50%),Vlookup(E8843,DATABASE!C:Q,10,false)*F8843)</f>
        <v>0</v>
      </c>
      <c r="K8843" s="74">
        <f>VLOOKUP(E8843,DATABASE!C:Q,7,false)</f>
        <v>488320</v>
      </c>
      <c r="L8843" s="74">
        <v>459420.0</v>
      </c>
      <c r="M8843" s="74">
        <f t="shared" si="6"/>
        <v>460000</v>
      </c>
      <c r="N8843" s="74">
        <f t="shared" si="3"/>
        <v>100000</v>
      </c>
      <c r="O8843" s="65" t="str">
        <f>VLOOKUP(E8843,DATABASE!C:Q,8,false)</f>
        <v>BIAN</v>
      </c>
      <c r="P8843" s="65">
        <f>VLOOKUP(E8843,DATABASE!C:Q,9,False)</f>
        <v>1</v>
      </c>
      <c r="Q8843" s="93" t="str">
        <f>VLOOKUP(E8843,DATABASE!C:Q,4,false)</f>
        <v>GT</v>
      </c>
      <c r="R8843" s="93" t="str">
        <f>VLOOKUP(E8843,DATABASE!C:Q,11,false)</f>
        <v>Tire</v>
      </c>
    </row>
    <row r="8844" ht="22.5" customHeight="1">
      <c r="A8844" s="49"/>
      <c r="C8844" s="400">
        <v>46175.0</v>
      </c>
      <c r="D8844" s="524">
        <v>1568.0</v>
      </c>
      <c r="E8844" s="544" t="s">
        <v>275</v>
      </c>
      <c r="F8844" s="387">
        <v>2.0</v>
      </c>
      <c r="G8844" s="140">
        <v>850000.0</v>
      </c>
      <c r="H8844" s="74"/>
      <c r="I8844" s="74">
        <f t="shared" si="1"/>
        <v>1700000</v>
      </c>
      <c r="J8844" s="74">
        <f>IF(E8844="SERVICE",I8844-(I8844*50%),Vlookup(E8844,DATABASE!C:Q,10,false)*F8844)</f>
        <v>0</v>
      </c>
      <c r="K8844" s="74">
        <f>VLOOKUP(E8844,DATABASE!C:Q,7,false)</f>
        <v>782000</v>
      </c>
      <c r="L8844" s="74">
        <v>759500.0</v>
      </c>
      <c r="M8844" s="74">
        <f t="shared" si="6"/>
        <v>760000</v>
      </c>
      <c r="N8844" s="74">
        <f t="shared" si="3"/>
        <v>180000</v>
      </c>
      <c r="O8844" s="65" t="str">
        <f>VLOOKUP(E8844,DATABASE!C:Q,8,false)</f>
        <v>IBU</v>
      </c>
      <c r="P8844" s="65">
        <f>VLOOKUP(E8844,DATABASE!C:Q,9,False)</f>
        <v>1</v>
      </c>
      <c r="Q8844" s="93" t="str">
        <f>VLOOKUP(E8844,DATABASE!C:Q,4,false)</f>
        <v>Dunlop</v>
      </c>
      <c r="R8844" s="93" t="str">
        <f>VLOOKUP(E8844,DATABASE!C:Q,11,false)</f>
        <v>Tire</v>
      </c>
    </row>
    <row r="8845" ht="22.5" customHeight="1">
      <c r="A8845" s="49"/>
      <c r="C8845" s="400">
        <v>46175.0</v>
      </c>
      <c r="D8845" s="524">
        <v>1568.0</v>
      </c>
      <c r="E8845" s="544" t="s">
        <v>262</v>
      </c>
      <c r="F8845" s="387">
        <v>1.0</v>
      </c>
      <c r="G8845" s="140">
        <v>130000.0</v>
      </c>
      <c r="H8845" s="74"/>
      <c r="I8845" s="74">
        <f t="shared" si="1"/>
        <v>130000</v>
      </c>
      <c r="J8845" s="74">
        <f>IF(E8845="SERVICE",I8845-(I8845*50%),Vlookup(E8845,DATABASE!C:Q,10,false)*F8845)</f>
        <v>5000</v>
      </c>
      <c r="K8845" s="74">
        <f>VLOOKUP(E8845,DATABASE!C:Q,7,false)</f>
        <v>0</v>
      </c>
      <c r="L8845" s="74">
        <v>0.0</v>
      </c>
      <c r="M8845" s="74">
        <f t="shared" si="6"/>
        <v>0</v>
      </c>
      <c r="N8845" s="74">
        <f t="shared" si="3"/>
        <v>125000</v>
      </c>
      <c r="O8845" s="65" t="str">
        <f>VLOOKUP(E8845,DATABASE!C:Q,8,false)</f>
        <v>IBU</v>
      </c>
      <c r="P8845" s="65">
        <f>VLOOKUP(E8845,DATABASE!C:Q,9,False)</f>
        <v>0</v>
      </c>
      <c r="Q8845" s="93" t="str">
        <f>VLOOKUP(E8845,DATABASE!C:Q,4,false)</f>
        <v>SPOORING SS/CARRY LOS BAK</v>
      </c>
      <c r="R8845" s="93" t="str">
        <f>VLOOKUP(E8845,DATABASE!C:Q,11,false)</f>
        <v>SERVICE</v>
      </c>
    </row>
    <row r="8846" ht="22.5" customHeight="1">
      <c r="A8846" s="49"/>
      <c r="C8846" s="400">
        <v>46175.0</v>
      </c>
      <c r="D8846" s="524">
        <v>1569.0</v>
      </c>
      <c r="E8846" s="544" t="s">
        <v>856</v>
      </c>
      <c r="F8846" s="387">
        <v>1.0</v>
      </c>
      <c r="G8846" s="140">
        <v>690000.0</v>
      </c>
      <c r="H8846" s="74"/>
      <c r="I8846" s="74">
        <f t="shared" si="1"/>
        <v>690000</v>
      </c>
      <c r="J8846" s="74">
        <f>IF(E8846="SERVICE",I8846-(I8846*50%),Vlookup(E8846,DATABASE!C:Q,10,false)*F8846)</f>
        <v>0</v>
      </c>
      <c r="K8846" s="74">
        <f>VLOOKUP(E8846,DATABASE!C:Q,7,false)</f>
        <v>615300</v>
      </c>
      <c r="L8846" s="74">
        <v>604200.0</v>
      </c>
      <c r="M8846" s="74">
        <f t="shared" si="6"/>
        <v>605000</v>
      </c>
      <c r="N8846" s="74">
        <f t="shared" si="3"/>
        <v>85000</v>
      </c>
      <c r="O8846" s="65" t="str">
        <f>VLOOKUP(E8846,DATABASE!C:Q,8,false)</f>
        <v>BIAN</v>
      </c>
      <c r="P8846" s="65">
        <f>VLOOKUP(E8846,DATABASE!C:Q,9,False)</f>
        <v>1</v>
      </c>
      <c r="Q8846" s="93" t="str">
        <f>VLOOKUP(E8846,DATABASE!C:Q,4,false)</f>
        <v>GT</v>
      </c>
      <c r="R8846" s="93" t="str">
        <f>VLOOKUP(E8846,DATABASE!C:Q,11,false)</f>
        <v>Tire</v>
      </c>
    </row>
    <row r="8847" ht="22.5" customHeight="1">
      <c r="A8847" s="49"/>
      <c r="C8847" s="400">
        <v>46175.0</v>
      </c>
      <c r="D8847" s="524">
        <v>1570.0</v>
      </c>
      <c r="E8847" s="544" t="s">
        <v>1009</v>
      </c>
      <c r="F8847" s="387">
        <v>2.0</v>
      </c>
      <c r="G8847" s="140">
        <v>700000.0</v>
      </c>
      <c r="H8847" s="74"/>
      <c r="I8847" s="74">
        <f t="shared" si="1"/>
        <v>1400000</v>
      </c>
      <c r="J8847" s="74">
        <f>IF(E8847="SERVICE",I8847-(I8847*50%),Vlookup(E8847,DATABASE!C:Q,10,false)*F8847)</f>
        <v>0</v>
      </c>
      <c r="K8847" s="74">
        <f>VLOOKUP(E8847,DATABASE!C:Q,7,false)</f>
        <v>609800</v>
      </c>
      <c r="L8847" s="74">
        <v>609800.0</v>
      </c>
      <c r="M8847" s="74">
        <f t="shared" si="6"/>
        <v>610000</v>
      </c>
      <c r="N8847" s="74">
        <f t="shared" si="3"/>
        <v>180000</v>
      </c>
      <c r="O8847" s="65" t="str">
        <f>VLOOKUP(E8847,DATABASE!C:Q,8,false)</f>
        <v>BIAN</v>
      </c>
      <c r="P8847" s="65">
        <f>VLOOKUP(E8847,DATABASE!C:Q,9,False)</f>
        <v>1</v>
      </c>
      <c r="Q8847" s="93" t="str">
        <f>VLOOKUP(E8847,DATABASE!C:Q,4,false)</f>
        <v>GT</v>
      </c>
      <c r="R8847" s="93" t="str">
        <f>VLOOKUP(E8847,DATABASE!C:Q,11,false)</f>
        <v>Tire</v>
      </c>
    </row>
    <row r="8848" ht="22.5" customHeight="1">
      <c r="A8848" s="49"/>
      <c r="C8848" s="400">
        <v>46175.0</v>
      </c>
      <c r="D8848" s="524">
        <v>1570.0</v>
      </c>
      <c r="E8848" s="544" t="s">
        <v>299</v>
      </c>
      <c r="F8848" s="387">
        <v>2.0</v>
      </c>
      <c r="G8848" s="140">
        <v>25000.0</v>
      </c>
      <c r="H8848" s="74"/>
      <c r="I8848" s="74">
        <f t="shared" si="1"/>
        <v>50000</v>
      </c>
      <c r="J8848" s="74">
        <f>IF(E8848="SERVICE",I8848-(I8848*50%),Vlookup(E8848,DATABASE!C:Q,10,false)*F8848)</f>
        <v>0</v>
      </c>
      <c r="K8848" s="74">
        <f>VLOOKUP(E8848,DATABASE!C:Q,7,false)</f>
        <v>10000</v>
      </c>
      <c r="L8848" s="74">
        <v>10000.0</v>
      </c>
      <c r="M8848" s="74">
        <f t="shared" si="6"/>
        <v>10000</v>
      </c>
      <c r="N8848" s="74">
        <f t="shared" si="3"/>
        <v>30000</v>
      </c>
      <c r="O8848" s="65" t="str">
        <f>VLOOKUP(E8848,DATABASE!C:Q,8,false)</f>
        <v>BIAN</v>
      </c>
      <c r="P8848" s="65">
        <f>VLOOKUP(E8848,DATABASE!C:Q,9,False)</f>
        <v>0</v>
      </c>
      <c r="Q8848" s="93" t="str">
        <f>VLOOKUP(E8848,DATABASE!C:Q,4,false)</f>
        <v>Balancing</v>
      </c>
      <c r="R8848" s="93" t="str">
        <f>VLOOKUP(E8848,DATABASE!C:Q,11,false)</f>
        <v>COMPLEMENTARY</v>
      </c>
    </row>
    <row r="8849" ht="22.5" customHeight="1">
      <c r="A8849" s="49"/>
      <c r="C8849" s="400">
        <v>46175.0</v>
      </c>
      <c r="D8849" s="524">
        <v>1570.0</v>
      </c>
      <c r="E8849" s="544" t="s">
        <v>256</v>
      </c>
      <c r="F8849" s="387">
        <v>1.0</v>
      </c>
      <c r="G8849" s="140">
        <v>175000.0</v>
      </c>
      <c r="H8849" s="140">
        <v>25000.0</v>
      </c>
      <c r="I8849" s="74">
        <f t="shared" si="1"/>
        <v>150000</v>
      </c>
      <c r="J8849" s="74">
        <f>IF(E8849="SERVICE",I8849-(I8849*50%),Vlookup(E8849,DATABASE!C:Q,10,false)*F8849)</f>
        <v>10000</v>
      </c>
      <c r="K8849" s="74">
        <f>VLOOKUP(E8849,DATABASE!C:Q,7,false)</f>
        <v>0</v>
      </c>
      <c r="L8849" s="74">
        <v>0.0</v>
      </c>
      <c r="M8849" s="74">
        <f t="shared" si="6"/>
        <v>0</v>
      </c>
      <c r="N8849" s="74">
        <f t="shared" si="3"/>
        <v>140000</v>
      </c>
      <c r="O8849" s="65" t="str">
        <f>VLOOKUP(E8849,DATABASE!C:Q,8,false)</f>
        <v>IBU</v>
      </c>
      <c r="P8849" s="65">
        <f>VLOOKUP(E8849,DATABASE!C:Q,9,False)</f>
        <v>0</v>
      </c>
      <c r="Q8849" s="93" t="str">
        <f>VLOOKUP(E8849,DATABASE!C:Q,4,false)</f>
        <v>SPOORING</v>
      </c>
      <c r="R8849" s="93" t="str">
        <f>VLOOKUP(E8849,DATABASE!C:Q,11,false)</f>
        <v>SERVICE</v>
      </c>
    </row>
    <row r="8850" ht="22.5" customHeight="1">
      <c r="A8850" s="49"/>
      <c r="C8850" s="400">
        <v>46175.0</v>
      </c>
      <c r="D8850" s="524">
        <v>1571.0</v>
      </c>
      <c r="E8850" s="544" t="s">
        <v>839</v>
      </c>
      <c r="F8850" s="387">
        <v>2.0</v>
      </c>
      <c r="G8850" s="140">
        <v>580000.0</v>
      </c>
      <c r="H8850" s="74"/>
      <c r="I8850" s="74">
        <f t="shared" si="1"/>
        <v>1160000</v>
      </c>
      <c r="J8850" s="74">
        <f>IF(E8850="SERVICE",I8850-(I8850*50%),Vlookup(E8850,DATABASE!C:Q,10,false)*F8850)</f>
        <v>0</v>
      </c>
      <c r="K8850" s="74">
        <f>VLOOKUP(E8850,DATABASE!C:Q,7,false)</f>
        <v>512640</v>
      </c>
      <c r="L8850" s="74">
        <v>490000.0</v>
      </c>
      <c r="M8850" s="74">
        <f t="shared" si="6"/>
        <v>490000</v>
      </c>
      <c r="N8850" s="74">
        <f t="shared" si="3"/>
        <v>180000</v>
      </c>
      <c r="O8850" s="65" t="str">
        <f>VLOOKUP(E8850,DATABASE!C:Q,8,false)</f>
        <v>BIAN</v>
      </c>
      <c r="P8850" s="65">
        <f>VLOOKUP(E8850,DATABASE!C:Q,9,False)</f>
        <v>1</v>
      </c>
      <c r="Q8850" s="93" t="str">
        <f>VLOOKUP(E8850,DATABASE!C:Q,4,false)</f>
        <v>GT</v>
      </c>
      <c r="R8850" s="93" t="str">
        <f>VLOOKUP(E8850,DATABASE!C:Q,11,false)</f>
        <v>Tire</v>
      </c>
    </row>
    <row r="8851" ht="22.5" customHeight="1">
      <c r="A8851" s="49"/>
      <c r="C8851" s="400">
        <v>46175.0</v>
      </c>
      <c r="D8851" s="524">
        <v>1572.0</v>
      </c>
      <c r="E8851" s="544" t="s">
        <v>246</v>
      </c>
      <c r="F8851" s="387">
        <v>2.0</v>
      </c>
      <c r="G8851" s="140">
        <v>35000.0</v>
      </c>
      <c r="H8851" s="140">
        <v>10000.0</v>
      </c>
      <c r="I8851" s="74">
        <f t="shared" si="1"/>
        <v>50000</v>
      </c>
      <c r="J8851" s="74">
        <f>IF(E8851="SERVICE",I8851-(I8851*50%),Vlookup(E8851,DATABASE!C:Q,10,false)*F8851)</f>
        <v>0</v>
      </c>
      <c r="K8851" s="74">
        <f>VLOOKUP(E8851,DATABASE!C:Q,7,false)</f>
        <v>0</v>
      </c>
      <c r="L8851" s="74">
        <v>0.0</v>
      </c>
      <c r="M8851" s="74">
        <f t="shared" si="6"/>
        <v>0</v>
      </c>
      <c r="N8851" s="74">
        <f t="shared" si="3"/>
        <v>50000</v>
      </c>
      <c r="O8851" s="65" t="str">
        <f>VLOOKUP(E8851,DATABASE!C:Q,8,false)</f>
        <v>IBU</v>
      </c>
      <c r="P8851" s="65">
        <f>VLOOKUP(E8851,DATABASE!C:Q,9,False)</f>
        <v>0</v>
      </c>
      <c r="Q8851" s="93" t="str">
        <f>VLOOKUP(E8851,DATABASE!C:Q,4,false)</f>
        <v>Bongkar Pasang</v>
      </c>
      <c r="R8851" s="93" t="str">
        <f>VLOOKUP(E8851,DATABASE!C:Q,11,false)</f>
        <v>SERVICE</v>
      </c>
    </row>
    <row r="8852" ht="22.5" customHeight="1">
      <c r="A8852" s="49"/>
      <c r="C8852" s="400">
        <v>46175.0</v>
      </c>
      <c r="D8852" s="524">
        <v>1573.0</v>
      </c>
      <c r="E8852" s="544" t="s">
        <v>268</v>
      </c>
      <c r="F8852" s="387">
        <v>2.0</v>
      </c>
      <c r="G8852" s="140">
        <v>720000.0</v>
      </c>
      <c r="H8852" s="74"/>
      <c r="I8852" s="74">
        <f t="shared" si="1"/>
        <v>1440000</v>
      </c>
      <c r="J8852" s="74">
        <f>IF(E8852="SERVICE",I8852-(I8852*50%),Vlookup(E8852,DATABASE!C:Q,10,false)*F8852)</f>
        <v>0</v>
      </c>
      <c r="K8852" s="74">
        <f>VLOOKUP(E8852,DATABASE!C:Q,7,false)</f>
        <v>653000</v>
      </c>
      <c r="L8852" s="74">
        <v>634500.0</v>
      </c>
      <c r="M8852" s="74">
        <f t="shared" si="6"/>
        <v>635000</v>
      </c>
      <c r="N8852" s="74">
        <f t="shared" si="3"/>
        <v>170000</v>
      </c>
      <c r="O8852" s="65" t="str">
        <f>VLOOKUP(E8852,DATABASE!C:Q,8,false)</f>
        <v>IBU</v>
      </c>
      <c r="P8852" s="65">
        <f>VLOOKUP(E8852,DATABASE!C:Q,9,False)</f>
        <v>1</v>
      </c>
      <c r="Q8852" s="93" t="str">
        <f>VLOOKUP(E8852,DATABASE!C:Q,4,false)</f>
        <v>Dunlop</v>
      </c>
      <c r="R8852" s="93" t="str">
        <f>VLOOKUP(E8852,DATABASE!C:Q,11,false)</f>
        <v>Tire</v>
      </c>
    </row>
    <row r="8853" ht="22.5" customHeight="1">
      <c r="A8853" s="49"/>
      <c r="C8853" s="400">
        <v>46175.0</v>
      </c>
      <c r="D8853" s="524">
        <v>1574.0</v>
      </c>
      <c r="E8853" s="544" t="s">
        <v>1009</v>
      </c>
      <c r="F8853" s="387">
        <v>2.0</v>
      </c>
      <c r="G8853" s="140">
        <v>700000.0</v>
      </c>
      <c r="H8853" s="74"/>
      <c r="I8853" s="74">
        <f t="shared" si="1"/>
        <v>1400000</v>
      </c>
      <c r="J8853" s="74">
        <f>IF(E8853="SERVICE",I8853-(I8853*50%),Vlookup(E8853,DATABASE!C:Q,10,false)*F8853)</f>
        <v>0</v>
      </c>
      <c r="K8853" s="74">
        <f>VLOOKUP(E8853,DATABASE!C:Q,7,false)</f>
        <v>609800</v>
      </c>
      <c r="L8853" s="74">
        <v>609800.0</v>
      </c>
      <c r="M8853" s="74">
        <f t="shared" si="6"/>
        <v>610000</v>
      </c>
      <c r="N8853" s="74">
        <f t="shared" si="3"/>
        <v>180000</v>
      </c>
      <c r="O8853" s="65" t="str">
        <f>VLOOKUP(E8853,DATABASE!C:Q,8,false)</f>
        <v>BIAN</v>
      </c>
      <c r="P8853" s="65">
        <f>VLOOKUP(E8853,DATABASE!C:Q,9,False)</f>
        <v>1</v>
      </c>
      <c r="Q8853" s="93" t="str">
        <f>VLOOKUP(E8853,DATABASE!C:Q,4,false)</f>
        <v>GT</v>
      </c>
      <c r="R8853" s="93" t="str">
        <f>VLOOKUP(E8853,DATABASE!C:Q,11,false)</f>
        <v>Tire</v>
      </c>
    </row>
    <row r="8854" ht="22.5" customHeight="1">
      <c r="A8854" s="49"/>
      <c r="C8854" s="400">
        <v>46175.0</v>
      </c>
      <c r="D8854" s="524">
        <v>1575.0</v>
      </c>
      <c r="E8854" s="544" t="s">
        <v>268</v>
      </c>
      <c r="F8854" s="387">
        <v>2.0</v>
      </c>
      <c r="G8854" s="140">
        <v>720000.0</v>
      </c>
      <c r="H8854" s="140"/>
      <c r="I8854" s="74">
        <f t="shared" si="1"/>
        <v>1440000</v>
      </c>
      <c r="J8854" s="74">
        <f>IF(E8854="SERVICE",I8854-(I8854*50%),Vlookup(E8854,DATABASE!C:Q,10,false)*F8854)</f>
        <v>0</v>
      </c>
      <c r="K8854" s="74">
        <f>VLOOKUP(E8854,DATABASE!C:Q,7,false)</f>
        <v>653000</v>
      </c>
      <c r="L8854" s="74">
        <v>634500.0</v>
      </c>
      <c r="M8854" s="74">
        <f t="shared" si="6"/>
        <v>635000</v>
      </c>
      <c r="N8854" s="74">
        <f t="shared" si="3"/>
        <v>170000</v>
      </c>
      <c r="O8854" s="65" t="str">
        <f>VLOOKUP(E8854,DATABASE!C:Q,8,false)</f>
        <v>IBU</v>
      </c>
      <c r="P8854" s="65">
        <f>VLOOKUP(E8854,DATABASE!C:Q,9,False)</f>
        <v>1</v>
      </c>
      <c r="Q8854" s="93" t="str">
        <f>VLOOKUP(E8854,DATABASE!C:Q,4,false)</f>
        <v>Dunlop</v>
      </c>
      <c r="R8854" s="93" t="str">
        <f>VLOOKUP(E8854,DATABASE!C:Q,11,false)</f>
        <v>Tire</v>
      </c>
    </row>
    <row r="8855" ht="22.5" customHeight="1">
      <c r="A8855" s="49"/>
      <c r="C8855" s="400">
        <v>46175.0</v>
      </c>
      <c r="D8855" s="69">
        <v>1576.0</v>
      </c>
      <c r="E8855" s="544" t="s">
        <v>1913</v>
      </c>
      <c r="F8855" s="387">
        <v>2.0</v>
      </c>
      <c r="G8855" s="140">
        <v>680000.0</v>
      </c>
      <c r="H8855" s="74"/>
      <c r="I8855" s="74">
        <f t="shared" si="1"/>
        <v>1360000</v>
      </c>
      <c r="J8855" s="74">
        <f>IF(E8855="SERVICE",I8855-(I8855*50%),Vlookup(E8855,DATABASE!C:Q,10,false)*F8855)</f>
        <v>0</v>
      </c>
      <c r="K8855" s="74">
        <f>VLOOKUP(E8855,DATABASE!C:Q,7,false)</f>
        <v>587200</v>
      </c>
      <c r="L8855" s="74">
        <v>587200.0</v>
      </c>
      <c r="M8855" s="74">
        <f t="shared" si="6"/>
        <v>590000</v>
      </c>
      <c r="N8855" s="74">
        <f t="shared" si="3"/>
        <v>180000</v>
      </c>
      <c r="O8855" s="65" t="str">
        <f>VLOOKUP(E8855,DATABASE!C:Q,8,false)</f>
        <v>BIAN</v>
      </c>
      <c r="P8855" s="65">
        <f>VLOOKUP(E8855,DATABASE!C:Q,9,False)</f>
        <v>1</v>
      </c>
      <c r="Q8855" s="93" t="str">
        <f>VLOOKUP(E8855,DATABASE!C:Q,4,false)</f>
        <v>GT</v>
      </c>
      <c r="R8855" s="93" t="str">
        <f>VLOOKUP(E8855,DATABASE!C:Q,11,false)</f>
        <v>Tire</v>
      </c>
    </row>
    <row r="8856" ht="22.5" customHeight="1">
      <c r="A8856" s="49"/>
      <c r="C8856" s="400">
        <v>46175.0</v>
      </c>
      <c r="D8856" s="69">
        <v>1576.0</v>
      </c>
      <c r="E8856" s="544" t="s">
        <v>299</v>
      </c>
      <c r="F8856" s="387">
        <v>2.0</v>
      </c>
      <c r="G8856" s="140">
        <v>30000.0</v>
      </c>
      <c r="H8856" s="74"/>
      <c r="I8856" s="74">
        <f t="shared" si="1"/>
        <v>60000</v>
      </c>
      <c r="J8856" s="74">
        <f>IF(E8856="SERVICE",I8856-(I8856*50%),Vlookup(E8856,DATABASE!C:Q,10,false)*F8856)</f>
        <v>0</v>
      </c>
      <c r="K8856" s="74">
        <f>VLOOKUP(E8856,DATABASE!C:Q,7,false)</f>
        <v>10000</v>
      </c>
      <c r="L8856" s="74">
        <v>10000.0</v>
      </c>
      <c r="M8856" s="74">
        <f t="shared" si="6"/>
        <v>10000</v>
      </c>
      <c r="N8856" s="74">
        <f t="shared" si="3"/>
        <v>40000</v>
      </c>
      <c r="O8856" s="65" t="str">
        <f>VLOOKUP(E8856,DATABASE!C:Q,8,false)</f>
        <v>BIAN</v>
      </c>
      <c r="P8856" s="65">
        <f>VLOOKUP(E8856,DATABASE!C:Q,9,False)</f>
        <v>0</v>
      </c>
      <c r="Q8856" s="93" t="str">
        <f>VLOOKUP(E8856,DATABASE!C:Q,4,false)</f>
        <v>Balancing</v>
      </c>
      <c r="R8856" s="93" t="str">
        <f>VLOOKUP(E8856,DATABASE!C:Q,11,false)</f>
        <v>COMPLEMENTARY</v>
      </c>
    </row>
    <row r="8857" ht="22.5" customHeight="1">
      <c r="A8857" s="29"/>
      <c r="C8857" s="400">
        <v>46175.0</v>
      </c>
      <c r="D8857" s="524">
        <v>1577.0</v>
      </c>
      <c r="E8857" s="544" t="s">
        <v>268</v>
      </c>
      <c r="F8857" s="387">
        <v>1.0</v>
      </c>
      <c r="G8857" s="140">
        <v>720000.0</v>
      </c>
      <c r="H8857" s="74"/>
      <c r="I8857" s="74">
        <f t="shared" si="1"/>
        <v>720000</v>
      </c>
      <c r="J8857" s="74">
        <f>IF(E8857="SERVICE",I8857-(I8857*50%),Vlookup(E8857,DATABASE!C:Q,10,false)*F8857)</f>
        <v>0</v>
      </c>
      <c r="K8857" s="74">
        <f>VLOOKUP(E8857,DATABASE!C:Q,7,false)</f>
        <v>653000</v>
      </c>
      <c r="L8857" s="74">
        <v>634500.0</v>
      </c>
      <c r="M8857" s="74">
        <f t="shared" si="6"/>
        <v>635000</v>
      </c>
      <c r="N8857" s="74">
        <f t="shared" si="3"/>
        <v>85000</v>
      </c>
      <c r="O8857" s="65" t="str">
        <f>VLOOKUP(E8857,DATABASE!C:Q,8,false)</f>
        <v>IBU</v>
      </c>
      <c r="P8857" s="65">
        <f>VLOOKUP(E8857,DATABASE!C:Q,9,False)</f>
        <v>1</v>
      </c>
      <c r="Q8857" s="93" t="str">
        <f>VLOOKUP(E8857,DATABASE!C:Q,4,false)</f>
        <v>Dunlop</v>
      </c>
      <c r="R8857" s="93" t="str">
        <f>VLOOKUP(E8857,DATABASE!C:Q,11,false)</f>
        <v>Tire</v>
      </c>
    </row>
    <row r="8858" ht="22.5" customHeight="1">
      <c r="A8858" s="49"/>
      <c r="C8858" s="400">
        <v>46175.0</v>
      </c>
      <c r="D8858" s="524">
        <v>1578.0</v>
      </c>
      <c r="E8858" s="544" t="s">
        <v>647</v>
      </c>
      <c r="F8858" s="387">
        <v>2.0</v>
      </c>
      <c r="G8858" s="140">
        <v>1520000.0</v>
      </c>
      <c r="H8858" s="74"/>
      <c r="I8858" s="74">
        <f t="shared" si="1"/>
        <v>3040000</v>
      </c>
      <c r="J8858" s="74">
        <f>IF(E8858="SERVICE",I8858-(I8858*50%),Vlookup(E8858,DATABASE!C:Q,10,false)*F8858)</f>
        <v>0</v>
      </c>
      <c r="K8858" s="74">
        <f>VLOOKUP(E8858,DATABASE!C:Q,7,false)</f>
        <v>1420000</v>
      </c>
      <c r="L8858" s="74">
        <v>1420000.0</v>
      </c>
      <c r="M8858" s="74">
        <f t="shared" si="6"/>
        <v>1420000</v>
      </c>
      <c r="N8858" s="74">
        <f t="shared" si="3"/>
        <v>200000</v>
      </c>
      <c r="O8858" s="65" t="str">
        <f>VLOOKUP(E8858,DATABASE!C:Q,8,false)</f>
        <v>BIAN</v>
      </c>
      <c r="P8858" s="65">
        <f>VLOOKUP(E8858,DATABASE!C:Q,9,False)</f>
        <v>1</v>
      </c>
      <c r="Q8858" s="93" t="str">
        <f>VLOOKUP(E8858,DATABASE!C:Q,4,false)</f>
        <v>G. YEAR</v>
      </c>
      <c r="R8858" s="93" t="str">
        <f>VLOOKUP(E8858,DATABASE!C:Q,11,false)</f>
        <v>Tire</v>
      </c>
    </row>
    <row r="8859" ht="22.5" customHeight="1">
      <c r="A8859" s="49"/>
      <c r="C8859" s="400">
        <v>46175.0</v>
      </c>
      <c r="D8859" s="524">
        <v>1578.0</v>
      </c>
      <c r="E8859" s="544" t="s">
        <v>744</v>
      </c>
      <c r="F8859" s="387">
        <v>2.0</v>
      </c>
      <c r="G8859" s="140">
        <v>230000.0</v>
      </c>
      <c r="H8859" s="140">
        <v>5000.0</v>
      </c>
      <c r="I8859" s="74">
        <f t="shared" si="1"/>
        <v>450000</v>
      </c>
      <c r="J8859" s="74">
        <f>IF(E8859="SERVICE",I8859-(I8859*50%),Vlookup(E8859,DATABASE!C:Q,10,false)*F8859)</f>
        <v>0</v>
      </c>
      <c r="K8859" s="74">
        <f>VLOOKUP(E8859,DATABASE!C:Q,7,false)</f>
        <v>182200</v>
      </c>
      <c r="L8859" s="74">
        <v>182200.0</v>
      </c>
      <c r="M8859" s="74">
        <f t="shared" si="6"/>
        <v>185000</v>
      </c>
      <c r="N8859" s="74">
        <f t="shared" si="3"/>
        <v>80000</v>
      </c>
      <c r="O8859" s="65" t="str">
        <f>VLOOKUP(E8859,DATABASE!C:Q,8,false)</f>
        <v>BIAN</v>
      </c>
      <c r="P8859" s="65">
        <f>VLOOKUP(E8859,DATABASE!C:Q,9,False)</f>
        <v>1</v>
      </c>
      <c r="Q8859" s="93" t="str">
        <f>VLOOKUP(E8859,DATABASE!C:Q,4,false)</f>
        <v>BD</v>
      </c>
      <c r="R8859" s="93" t="str">
        <f>VLOOKUP(E8859,DATABASE!C:Q,11,false)</f>
        <v>Tire</v>
      </c>
    </row>
    <row r="8860" ht="22.5" customHeight="1">
      <c r="A8860" s="49"/>
      <c r="C8860" s="400">
        <v>46175.0</v>
      </c>
      <c r="D8860" s="524">
        <v>1578.0</v>
      </c>
      <c r="E8860" s="544" t="s">
        <v>821</v>
      </c>
      <c r="F8860" s="387">
        <v>2.0</v>
      </c>
      <c r="G8860" s="140">
        <v>90000.0</v>
      </c>
      <c r="H8860" s="140">
        <v>5000.0</v>
      </c>
      <c r="I8860" s="74">
        <f t="shared" si="1"/>
        <v>170000</v>
      </c>
      <c r="J8860" s="74">
        <f>IF(E8860="SERVICE",I8860-(I8860*50%),Vlookup(E8860,DATABASE!C:Q,10,false)*F8860)</f>
        <v>0</v>
      </c>
      <c r="K8860" s="74">
        <f>VLOOKUP(E8860,DATABASE!C:Q,7,false)</f>
        <v>43500</v>
      </c>
      <c r="L8860" s="74">
        <v>43500.0</v>
      </c>
      <c r="M8860" s="74">
        <f t="shared" si="6"/>
        <v>45000</v>
      </c>
      <c r="N8860" s="74">
        <f t="shared" si="3"/>
        <v>80000</v>
      </c>
      <c r="O8860" s="65" t="str">
        <f>VLOOKUP(E8860,DATABASE!C:Q,8,false)</f>
        <v>BIAN</v>
      </c>
      <c r="P8860" s="65">
        <f>VLOOKUP(E8860,DATABASE!C:Q,9,False)</f>
        <v>1</v>
      </c>
      <c r="Q8860" s="93" t="str">
        <f>VLOOKUP(E8860,DATABASE!C:Q,4,false)</f>
        <v>Flap</v>
      </c>
      <c r="R8860" s="93" t="str">
        <f>VLOOKUP(E8860,DATABASE!C:Q,11,false)</f>
        <v>Tire</v>
      </c>
    </row>
    <row r="8861" ht="22.5" customHeight="1">
      <c r="A8861" s="49"/>
      <c r="C8861" s="400">
        <v>46175.0</v>
      </c>
      <c r="D8861" s="524">
        <v>1579.0</v>
      </c>
      <c r="E8861" s="544" t="s">
        <v>1009</v>
      </c>
      <c r="F8861" s="387">
        <v>3.0</v>
      </c>
      <c r="G8861" s="140">
        <v>700000.0</v>
      </c>
      <c r="H8861" s="74"/>
      <c r="I8861" s="74">
        <f t="shared" si="1"/>
        <v>2100000</v>
      </c>
      <c r="J8861" s="74">
        <f>IF(E8861="SERVICE",I8861-(I8861*50%),Vlookup(E8861,DATABASE!C:Q,10,false)*F8861)</f>
        <v>0</v>
      </c>
      <c r="K8861" s="74">
        <f>VLOOKUP(E8861,DATABASE!C:Q,7,false)</f>
        <v>609800</v>
      </c>
      <c r="L8861" s="74">
        <v>609800.0</v>
      </c>
      <c r="M8861" s="74">
        <f t="shared" si="6"/>
        <v>610000</v>
      </c>
      <c r="N8861" s="74">
        <f t="shared" si="3"/>
        <v>270000</v>
      </c>
      <c r="O8861" s="65" t="str">
        <f>VLOOKUP(E8861,DATABASE!C:Q,8,false)</f>
        <v>BIAN</v>
      </c>
      <c r="P8861" s="65">
        <f>VLOOKUP(E8861,DATABASE!C:Q,9,False)</f>
        <v>1</v>
      </c>
      <c r="Q8861" s="93" t="str">
        <f>VLOOKUP(E8861,DATABASE!C:Q,4,false)</f>
        <v>GT</v>
      </c>
      <c r="R8861" s="93" t="str">
        <f>VLOOKUP(E8861,DATABASE!C:Q,11,false)</f>
        <v>Tire</v>
      </c>
    </row>
    <row r="8862" ht="22.5" customHeight="1">
      <c r="A8862" s="29"/>
      <c r="C8862" s="400">
        <v>46175.0</v>
      </c>
      <c r="D8862" s="524">
        <v>1579.0</v>
      </c>
      <c r="E8862" s="544" t="s">
        <v>251</v>
      </c>
      <c r="F8862" s="387">
        <v>1.0</v>
      </c>
      <c r="G8862" s="140">
        <v>350000.0</v>
      </c>
      <c r="H8862" s="140">
        <v>200000.0</v>
      </c>
      <c r="I8862" s="74">
        <f t="shared" si="1"/>
        <v>150000</v>
      </c>
      <c r="J8862" s="74">
        <f>IF(E8862="SERVICE",I8862-(I8862*50%),Vlookup(E8862,DATABASE!C:Q,10,false)*F8862)</f>
        <v>75000</v>
      </c>
      <c r="K8862" s="74">
        <f>VLOOKUP(E8862,DATABASE!C:Q,7,false)</f>
        <v>0</v>
      </c>
      <c r="L8862" s="74">
        <v>0.0</v>
      </c>
      <c r="M8862" s="74">
        <f t="shared" si="6"/>
        <v>0</v>
      </c>
      <c r="N8862" s="74">
        <f t="shared" si="3"/>
        <v>75000</v>
      </c>
      <c r="O8862" s="65" t="str">
        <f>VLOOKUP(E8862,DATABASE!C:Q,8,false)</f>
        <v>IBU</v>
      </c>
      <c r="P8862" s="65">
        <f>VLOOKUP(E8862,DATABASE!C:Q,9,False)</f>
        <v>0</v>
      </c>
      <c r="Q8862" s="93" t="str">
        <f>VLOOKUP(E8862,DATABASE!C:Q,4,false)</f>
        <v>SERVICE</v>
      </c>
      <c r="R8862" s="93" t="str">
        <f>VLOOKUP(E8862,DATABASE!C:Q,11,false)</f>
        <v>SERVICE</v>
      </c>
    </row>
    <row r="8863" ht="22.5" customHeight="1">
      <c r="A8863" s="49"/>
      <c r="C8863" s="400">
        <v>46175.0</v>
      </c>
      <c r="D8863" s="69" t="s">
        <v>2828</v>
      </c>
      <c r="E8863" s="544" t="s">
        <v>248</v>
      </c>
      <c r="F8863" s="387">
        <v>1.0</v>
      </c>
      <c r="G8863" s="140">
        <v>235000.0</v>
      </c>
      <c r="H8863" s="140">
        <v>25000.0</v>
      </c>
      <c r="I8863" s="74">
        <f t="shared" si="1"/>
        <v>210000</v>
      </c>
      <c r="J8863" s="74">
        <f>IF(E8863="SERVICE",I8863-(I8863*50%),Vlookup(E8863,DATABASE!C:Q,10,false)*F8863)</f>
        <v>0</v>
      </c>
      <c r="K8863" s="74">
        <f>VLOOKUP(E8863,DATABASE!C:Q,7,false)</f>
        <v>209816.66</v>
      </c>
      <c r="L8863" s="74">
        <v>185000.0</v>
      </c>
      <c r="M8863" s="74">
        <f t="shared" si="6"/>
        <v>185000</v>
      </c>
      <c r="N8863" s="74">
        <f t="shared" si="3"/>
        <v>25000</v>
      </c>
      <c r="O8863" s="65" t="str">
        <f>VLOOKUP(E8863,DATABASE!C:Q,8,false)</f>
        <v>NON</v>
      </c>
      <c r="P8863" s="65">
        <f>VLOOKUP(E8863,DATABASE!C:Q,9,False)</f>
        <v>0</v>
      </c>
      <c r="Q8863" s="93" t="str">
        <f>VLOOKUP(E8863,DATABASE!C:Q,4,false)</f>
        <v>Pertamina</v>
      </c>
      <c r="R8863" s="93" t="str">
        <f>VLOOKUP(E8863,DATABASE!C:Q,11,false)</f>
        <v>OIL</v>
      </c>
    </row>
    <row r="8864" ht="22.5" customHeight="1">
      <c r="A8864" s="49"/>
      <c r="C8864" s="400">
        <v>46175.0</v>
      </c>
      <c r="D8864" s="69" t="s">
        <v>2829</v>
      </c>
      <c r="E8864" s="544" t="s">
        <v>248</v>
      </c>
      <c r="F8864" s="387">
        <v>1.0</v>
      </c>
      <c r="G8864" s="140">
        <v>235000.0</v>
      </c>
      <c r="H8864" s="74"/>
      <c r="I8864" s="74">
        <f t="shared" si="1"/>
        <v>235000</v>
      </c>
      <c r="J8864" s="74">
        <f>IF(E8864="SERVICE",I8864-(I8864*50%),Vlookup(E8864,DATABASE!C:Q,10,false)*F8864)</f>
        <v>0</v>
      </c>
      <c r="K8864" s="74">
        <f>VLOOKUP(E8864,DATABASE!C:Q,7,false)</f>
        <v>209816.66</v>
      </c>
      <c r="L8864" s="74">
        <v>185000.0</v>
      </c>
      <c r="M8864" s="74">
        <f t="shared" si="6"/>
        <v>185000</v>
      </c>
      <c r="N8864" s="74">
        <f t="shared" si="3"/>
        <v>50000</v>
      </c>
      <c r="O8864" s="65" t="str">
        <f>VLOOKUP(E8864,DATABASE!C:Q,8,false)</f>
        <v>NON</v>
      </c>
      <c r="P8864" s="65">
        <f>VLOOKUP(E8864,DATABASE!C:Q,9,False)</f>
        <v>0</v>
      </c>
      <c r="Q8864" s="93" t="str">
        <f>VLOOKUP(E8864,DATABASE!C:Q,4,false)</f>
        <v>Pertamina</v>
      </c>
      <c r="R8864" s="93" t="str">
        <f>VLOOKUP(E8864,DATABASE!C:Q,11,false)</f>
        <v>OIL</v>
      </c>
    </row>
    <row r="8865" ht="22.5" customHeight="1">
      <c r="A8865" s="49"/>
      <c r="C8865" s="400">
        <v>46175.0</v>
      </c>
      <c r="D8865" s="69" t="s">
        <v>2829</v>
      </c>
      <c r="E8865" s="544" t="s">
        <v>298</v>
      </c>
      <c r="F8865" s="387">
        <v>1.0</v>
      </c>
      <c r="G8865" s="140">
        <v>25000.0</v>
      </c>
      <c r="H8865" s="74"/>
      <c r="I8865" s="74">
        <f t="shared" si="1"/>
        <v>25000</v>
      </c>
      <c r="J8865" s="74">
        <f>IF(E8865="SERVICE",I8865-(I8865*50%),Vlookup(E8865,DATABASE!C:Q,10,false)*F8865)</f>
        <v>0</v>
      </c>
      <c r="K8865" s="74">
        <f>VLOOKUP(E8865,DATABASE!C:Q,7,false)</f>
        <v>19200</v>
      </c>
      <c r="L8865" s="74">
        <v>19200.0</v>
      </c>
      <c r="M8865" s="74">
        <f t="shared" si="6"/>
        <v>20000</v>
      </c>
      <c r="N8865" s="74">
        <f t="shared" si="3"/>
        <v>5000</v>
      </c>
      <c r="O8865" s="65" t="str">
        <f>VLOOKUP(E8865,DATABASE!C:Q,8,false)</f>
        <v>BIAN</v>
      </c>
      <c r="P8865" s="65">
        <f>VLOOKUP(E8865,DATABASE!C:Q,9,False)</f>
        <v>0</v>
      </c>
      <c r="Q8865" s="93" t="str">
        <f>VLOOKUP(E8865,DATABASE!C:Q,4,false)</f>
        <v>Aspira</v>
      </c>
      <c r="R8865" s="93" t="str">
        <f>VLOOKUP(E8865,DATABASE!C:Q,11,false)</f>
        <v>COMPLEMENTARY</v>
      </c>
    </row>
    <row r="8866" ht="22.5" customHeight="1">
      <c r="A8866" s="49"/>
      <c r="C8866" s="400">
        <v>46176.0</v>
      </c>
      <c r="D8866" s="524">
        <v>1581.0</v>
      </c>
      <c r="E8866" s="544" t="s">
        <v>2624</v>
      </c>
      <c r="F8866" s="387">
        <v>1.0</v>
      </c>
      <c r="G8866" s="140">
        <v>610000.0</v>
      </c>
      <c r="H8866" s="74"/>
      <c r="I8866" s="74">
        <f t="shared" si="1"/>
        <v>610000</v>
      </c>
      <c r="J8866" s="74">
        <f>IF(E8866="SERVICE",I8866-(I8866*50%),Vlookup(E8866,DATABASE!C:Q,10,false)*F8866)</f>
        <v>0</v>
      </c>
      <c r="K8866" s="74">
        <f>VLOOKUP(E8866,DATABASE!C:Q,7,false)</f>
        <v>517000</v>
      </c>
      <c r="L8866" s="74">
        <v>517000.0</v>
      </c>
      <c r="M8866" s="74">
        <f t="shared" si="6"/>
        <v>520000</v>
      </c>
      <c r="N8866" s="74">
        <f t="shared" si="3"/>
        <v>90000</v>
      </c>
      <c r="O8866" s="65" t="str">
        <f>VLOOKUP(E8866,DATABASE!C:Q,8,false)</f>
        <v>BIAN</v>
      </c>
      <c r="P8866" s="65">
        <f>VLOOKUP(E8866,DATABASE!C:Q,9,False)</f>
        <v>1</v>
      </c>
      <c r="Q8866" s="93" t="str">
        <f>VLOOKUP(E8866,DATABASE!C:Q,4,false)</f>
        <v>Sailun</v>
      </c>
      <c r="R8866" s="93" t="str">
        <f>VLOOKUP(E8866,DATABASE!C:Q,11,false)</f>
        <v>Tire</v>
      </c>
    </row>
    <row r="8867" ht="22.5" customHeight="1">
      <c r="A8867" s="49"/>
      <c r="C8867" s="400">
        <v>46176.0</v>
      </c>
      <c r="D8867" s="524">
        <v>1582.0</v>
      </c>
      <c r="E8867" s="544" t="s">
        <v>246</v>
      </c>
      <c r="F8867" s="387">
        <v>4.0</v>
      </c>
      <c r="G8867" s="140">
        <v>50000.0</v>
      </c>
      <c r="H8867" s="140"/>
      <c r="I8867" s="74">
        <f t="shared" si="1"/>
        <v>200000</v>
      </c>
      <c r="J8867" s="74">
        <f>IF(E8867="SERVICE",I8867-(I8867*50%),Vlookup(E8867,DATABASE!C:Q,10,false)*F8867)</f>
        <v>0</v>
      </c>
      <c r="K8867" s="74">
        <f>VLOOKUP(E8867,DATABASE!C:Q,7,false)</f>
        <v>0</v>
      </c>
      <c r="L8867" s="74">
        <v>0.0</v>
      </c>
      <c r="M8867" s="74">
        <f t="shared" si="6"/>
        <v>0</v>
      </c>
      <c r="N8867" s="74">
        <f t="shared" si="3"/>
        <v>200000</v>
      </c>
      <c r="O8867" s="65" t="str">
        <f>VLOOKUP(E8867,DATABASE!C:Q,8,false)</f>
        <v>IBU</v>
      </c>
      <c r="P8867" s="65">
        <f>VLOOKUP(E8867,DATABASE!C:Q,9,False)</f>
        <v>0</v>
      </c>
      <c r="Q8867" s="93" t="str">
        <f>VLOOKUP(E8867,DATABASE!C:Q,4,false)</f>
        <v>Bongkar Pasang</v>
      </c>
      <c r="R8867" s="93" t="str">
        <f>VLOOKUP(E8867,DATABASE!C:Q,11,false)</f>
        <v>SERVICE</v>
      </c>
    </row>
    <row r="8868" ht="22.5" customHeight="1">
      <c r="A8868" s="49"/>
      <c r="C8868" s="400">
        <v>46176.0</v>
      </c>
      <c r="D8868" s="524">
        <v>1583.0</v>
      </c>
      <c r="E8868" s="544" t="s">
        <v>256</v>
      </c>
      <c r="F8868" s="387">
        <v>1.0</v>
      </c>
      <c r="G8868" s="140">
        <v>175000.0</v>
      </c>
      <c r="H8868" s="140">
        <v>25000.0</v>
      </c>
      <c r="I8868" s="74">
        <f t="shared" si="1"/>
        <v>150000</v>
      </c>
      <c r="J8868" s="74">
        <f>IF(E8868="SERVICE",I8868-(I8868*50%),Vlookup(E8868,DATABASE!C:Q,10,false)*F8868)</f>
        <v>10000</v>
      </c>
      <c r="K8868" s="74">
        <f>VLOOKUP(E8868,DATABASE!C:Q,7,false)</f>
        <v>0</v>
      </c>
      <c r="L8868" s="74">
        <v>0.0</v>
      </c>
      <c r="M8868" s="74">
        <f t="shared" si="6"/>
        <v>0</v>
      </c>
      <c r="N8868" s="74">
        <f t="shared" si="3"/>
        <v>140000</v>
      </c>
      <c r="O8868" s="65" t="str">
        <f>VLOOKUP(E8868,DATABASE!C:Q,8,false)</f>
        <v>IBU</v>
      </c>
      <c r="P8868" s="65">
        <f>VLOOKUP(E8868,DATABASE!C:Q,9,False)</f>
        <v>0</v>
      </c>
      <c r="Q8868" s="93" t="str">
        <f>VLOOKUP(E8868,DATABASE!C:Q,4,false)</f>
        <v>SPOORING</v>
      </c>
      <c r="R8868" s="93" t="str">
        <f>VLOOKUP(E8868,DATABASE!C:Q,11,false)</f>
        <v>SERVICE</v>
      </c>
    </row>
    <row r="8869" ht="22.5" customHeight="1">
      <c r="A8869" s="49"/>
      <c r="C8869" s="400">
        <v>46176.0</v>
      </c>
      <c r="D8869" s="524">
        <v>1584.0</v>
      </c>
      <c r="E8869" s="544" t="s">
        <v>268</v>
      </c>
      <c r="F8869" s="387">
        <v>2.0</v>
      </c>
      <c r="G8869" s="140">
        <v>720000.0</v>
      </c>
      <c r="H8869" s="74"/>
      <c r="I8869" s="74">
        <f t="shared" si="1"/>
        <v>1440000</v>
      </c>
      <c r="J8869" s="74">
        <f>IF(E8869="SERVICE",I8869-(I8869*50%),Vlookup(E8869,DATABASE!C:Q,10,false)*F8869)</f>
        <v>0</v>
      </c>
      <c r="K8869" s="74">
        <f>VLOOKUP(E8869,DATABASE!C:Q,7,false)</f>
        <v>653000</v>
      </c>
      <c r="L8869" s="74">
        <v>634500.0</v>
      </c>
      <c r="M8869" s="74">
        <f t="shared" si="6"/>
        <v>635000</v>
      </c>
      <c r="N8869" s="74">
        <f t="shared" si="3"/>
        <v>170000</v>
      </c>
      <c r="O8869" s="65" t="str">
        <f>VLOOKUP(E8869,DATABASE!C:Q,8,false)</f>
        <v>IBU</v>
      </c>
      <c r="P8869" s="65">
        <f>VLOOKUP(E8869,DATABASE!C:Q,9,False)</f>
        <v>1</v>
      </c>
      <c r="Q8869" s="93" t="str">
        <f>VLOOKUP(E8869,DATABASE!C:Q,4,false)</f>
        <v>Dunlop</v>
      </c>
      <c r="R8869" s="93" t="str">
        <f>VLOOKUP(E8869,DATABASE!C:Q,11,false)</f>
        <v>Tire</v>
      </c>
    </row>
    <row r="8870" ht="22.5" customHeight="1">
      <c r="A8870" s="49"/>
      <c r="C8870" s="400">
        <v>46176.0</v>
      </c>
      <c r="D8870" s="524">
        <v>1585.0</v>
      </c>
      <c r="E8870" s="544" t="s">
        <v>1429</v>
      </c>
      <c r="F8870" s="387">
        <v>1.0</v>
      </c>
      <c r="G8870" s="140">
        <v>940000.0</v>
      </c>
      <c r="H8870" s="74"/>
      <c r="I8870" s="74">
        <f t="shared" si="1"/>
        <v>940000</v>
      </c>
      <c r="J8870" s="74">
        <f>IF(E8870="SERVICE",I8870-(I8870*50%),Vlookup(E8870,DATABASE!C:Q,10,false)*F8870)</f>
        <v>0</v>
      </c>
      <c r="K8870" s="74">
        <f>VLOOKUP(E8870,DATABASE!C:Q,7,false)</f>
        <v>849000</v>
      </c>
      <c r="L8870" s="74">
        <v>840000.0</v>
      </c>
      <c r="M8870" s="74">
        <f t="shared" si="6"/>
        <v>840000</v>
      </c>
      <c r="N8870" s="74">
        <f t="shared" si="3"/>
        <v>100000</v>
      </c>
      <c r="O8870" s="65" t="str">
        <f>VLOOKUP(E8870,DATABASE!C:Q,8,false)</f>
        <v>IBU</v>
      </c>
      <c r="P8870" s="65">
        <f>VLOOKUP(E8870,DATABASE!C:Q,9,False)</f>
        <v>1</v>
      </c>
      <c r="Q8870" s="93" t="str">
        <f>VLOOKUP(E8870,DATABASE!C:Q,4,false)</f>
        <v>Dunlop</v>
      </c>
      <c r="R8870" s="93" t="str">
        <f>VLOOKUP(E8870,DATABASE!C:Q,11,false)</f>
        <v>Tire</v>
      </c>
    </row>
    <row r="8871" ht="22.5" customHeight="1">
      <c r="A8871" s="49"/>
      <c r="C8871" s="400">
        <v>46176.0</v>
      </c>
      <c r="D8871" s="524">
        <v>1586.0</v>
      </c>
      <c r="E8871" s="544" t="s">
        <v>268</v>
      </c>
      <c r="F8871" s="387">
        <v>2.0</v>
      </c>
      <c r="G8871" s="140">
        <v>720000.0</v>
      </c>
      <c r="H8871" s="74"/>
      <c r="I8871" s="74">
        <f t="shared" si="1"/>
        <v>1440000</v>
      </c>
      <c r="J8871" s="74">
        <f>IF(E8871="SERVICE",I8871-(I8871*50%),Vlookup(E8871,DATABASE!C:Q,10,false)*F8871)</f>
        <v>0</v>
      </c>
      <c r="K8871" s="74">
        <f>VLOOKUP(E8871,DATABASE!C:Q,7,false)</f>
        <v>653000</v>
      </c>
      <c r="L8871" s="74">
        <v>634500.0</v>
      </c>
      <c r="M8871" s="74">
        <f t="shared" si="6"/>
        <v>635000</v>
      </c>
      <c r="N8871" s="74">
        <f t="shared" si="3"/>
        <v>170000</v>
      </c>
      <c r="O8871" s="65" t="str">
        <f>VLOOKUP(E8871,DATABASE!C:Q,8,false)</f>
        <v>IBU</v>
      </c>
      <c r="P8871" s="65">
        <f>VLOOKUP(E8871,DATABASE!C:Q,9,False)</f>
        <v>1</v>
      </c>
      <c r="Q8871" s="93" t="str">
        <f>VLOOKUP(E8871,DATABASE!C:Q,4,false)</f>
        <v>Dunlop</v>
      </c>
      <c r="R8871" s="93" t="str">
        <f>VLOOKUP(E8871,DATABASE!C:Q,11,false)</f>
        <v>Tire</v>
      </c>
    </row>
    <row r="8872" ht="22.5" customHeight="1">
      <c r="A8872" s="49"/>
      <c r="C8872" s="400">
        <v>46176.0</v>
      </c>
      <c r="D8872" s="524">
        <v>1587.0</v>
      </c>
      <c r="E8872" s="544" t="s">
        <v>256</v>
      </c>
      <c r="F8872" s="387">
        <v>1.0</v>
      </c>
      <c r="G8872" s="140">
        <v>175000.0</v>
      </c>
      <c r="H8872" s="140">
        <v>25000.0</v>
      </c>
      <c r="I8872" s="74">
        <f t="shared" si="1"/>
        <v>150000</v>
      </c>
      <c r="J8872" s="74">
        <f>IF(E8872="SERVICE",I8872-(I8872*50%),Vlookup(E8872,DATABASE!C:Q,10,false)*F8872)</f>
        <v>10000</v>
      </c>
      <c r="K8872" s="74">
        <f>VLOOKUP(E8872,DATABASE!C:Q,7,false)</f>
        <v>0</v>
      </c>
      <c r="L8872" s="74">
        <v>0.0</v>
      </c>
      <c r="M8872" s="74">
        <f t="shared" si="6"/>
        <v>0</v>
      </c>
      <c r="N8872" s="74">
        <f t="shared" si="3"/>
        <v>140000</v>
      </c>
      <c r="O8872" s="65" t="str">
        <f>VLOOKUP(E8872,DATABASE!C:Q,8,false)</f>
        <v>IBU</v>
      </c>
      <c r="P8872" s="65">
        <f>VLOOKUP(E8872,DATABASE!C:Q,9,False)</f>
        <v>0</v>
      </c>
      <c r="Q8872" s="93" t="str">
        <f>VLOOKUP(E8872,DATABASE!C:Q,4,false)</f>
        <v>SPOORING</v>
      </c>
      <c r="R8872" s="93" t="str">
        <f>VLOOKUP(E8872,DATABASE!C:Q,11,false)</f>
        <v>SERVICE</v>
      </c>
    </row>
    <row r="8873" ht="22.5" customHeight="1">
      <c r="A8873" s="49"/>
      <c r="C8873" s="400">
        <v>46176.0</v>
      </c>
      <c r="D8873" s="524">
        <v>1587.0</v>
      </c>
      <c r="E8873" s="544" t="s">
        <v>251</v>
      </c>
      <c r="F8873" s="387">
        <v>1.0</v>
      </c>
      <c r="G8873" s="140">
        <v>350000.0</v>
      </c>
      <c r="H8873" s="140">
        <v>100000.0</v>
      </c>
      <c r="I8873" s="74">
        <f t="shared" si="1"/>
        <v>250000</v>
      </c>
      <c r="J8873" s="74">
        <f>IF(E8873="SERVICE",I8873-(I8873*50%),Vlookup(E8873,DATABASE!C:Q,10,false)*F8873)</f>
        <v>125000</v>
      </c>
      <c r="K8873" s="74">
        <f>VLOOKUP(E8873,DATABASE!C:Q,7,false)</f>
        <v>0</v>
      </c>
      <c r="L8873" s="74">
        <v>0.0</v>
      </c>
      <c r="M8873" s="74">
        <f t="shared" si="6"/>
        <v>0</v>
      </c>
      <c r="N8873" s="74">
        <f t="shared" si="3"/>
        <v>125000</v>
      </c>
      <c r="O8873" s="65" t="str">
        <f>VLOOKUP(E8873,DATABASE!C:Q,8,false)</f>
        <v>IBU</v>
      </c>
      <c r="P8873" s="65">
        <f>VLOOKUP(E8873,DATABASE!C:Q,9,False)</f>
        <v>0</v>
      </c>
      <c r="Q8873" s="93" t="str">
        <f>VLOOKUP(E8873,DATABASE!C:Q,4,false)</f>
        <v>SERVICE</v>
      </c>
      <c r="R8873" s="93" t="str">
        <f>VLOOKUP(E8873,DATABASE!C:Q,11,false)</f>
        <v>SERVICE</v>
      </c>
    </row>
    <row r="8874" ht="22.5" customHeight="1">
      <c r="A8874" s="49"/>
      <c r="C8874" s="400">
        <v>46176.0</v>
      </c>
      <c r="D8874" s="524">
        <v>1588.0</v>
      </c>
      <c r="E8874" s="544" t="s">
        <v>839</v>
      </c>
      <c r="F8874" s="387">
        <v>2.0</v>
      </c>
      <c r="G8874" s="140">
        <v>580000.0</v>
      </c>
      <c r="H8874" s="74"/>
      <c r="I8874" s="74">
        <f t="shared" si="1"/>
        <v>1160000</v>
      </c>
      <c r="J8874" s="74">
        <f>IF(E8874="SERVICE",I8874-(I8874*50%),Vlookup(E8874,DATABASE!C:Q,10,false)*F8874)</f>
        <v>0</v>
      </c>
      <c r="K8874" s="74">
        <f>VLOOKUP(E8874,DATABASE!C:Q,7,false)</f>
        <v>512640</v>
      </c>
      <c r="L8874" s="74">
        <v>490000.0</v>
      </c>
      <c r="M8874" s="74">
        <f t="shared" si="6"/>
        <v>490000</v>
      </c>
      <c r="N8874" s="74">
        <f t="shared" si="3"/>
        <v>180000</v>
      </c>
      <c r="O8874" s="65" t="str">
        <f>VLOOKUP(E8874,DATABASE!C:Q,8,false)</f>
        <v>BIAN</v>
      </c>
      <c r="P8874" s="65">
        <f>VLOOKUP(E8874,DATABASE!C:Q,9,False)</f>
        <v>1</v>
      </c>
      <c r="Q8874" s="93" t="str">
        <f>VLOOKUP(E8874,DATABASE!C:Q,4,false)</f>
        <v>GT</v>
      </c>
      <c r="R8874" s="93" t="str">
        <f>VLOOKUP(E8874,DATABASE!C:Q,11,false)</f>
        <v>Tire</v>
      </c>
    </row>
    <row r="8875" ht="22.5" customHeight="1">
      <c r="A8875" s="49"/>
      <c r="C8875" s="400">
        <v>46176.0</v>
      </c>
      <c r="D8875" s="524">
        <v>1588.0</v>
      </c>
      <c r="E8875" s="544" t="s">
        <v>613</v>
      </c>
      <c r="F8875" s="387">
        <v>1.0</v>
      </c>
      <c r="G8875" s="140">
        <v>100000.0</v>
      </c>
      <c r="H8875" s="74"/>
      <c r="I8875" s="74">
        <f t="shared" si="1"/>
        <v>100000</v>
      </c>
      <c r="J8875" s="74">
        <f>IF(E8875="SERVICE",I8875-(I8875*50%),Vlookup(E8875,DATABASE!C:Q,10,false)*F8875)</f>
        <v>0</v>
      </c>
      <c r="K8875" s="74">
        <f>VLOOKUP(E8875,DATABASE!C:Q,7,false)</f>
        <v>58371.2695</v>
      </c>
      <c r="L8875" s="74">
        <v>58371.2695</v>
      </c>
      <c r="M8875" s="74">
        <f t="shared" si="6"/>
        <v>60000</v>
      </c>
      <c r="N8875" s="74">
        <f t="shared" si="3"/>
        <v>40000</v>
      </c>
      <c r="O8875" s="65" t="str">
        <f>VLOOKUP(E8875,DATABASE!C:Q,8,false)</f>
        <v>BIAN</v>
      </c>
      <c r="P8875" s="65">
        <f>VLOOKUP(E8875,DATABASE!C:Q,9,False)</f>
        <v>1</v>
      </c>
      <c r="Q8875" s="93" t="str">
        <f>VLOOKUP(E8875,DATABASE!C:Q,4,false)</f>
        <v>BD</v>
      </c>
      <c r="R8875" s="93" t="str">
        <f>VLOOKUP(E8875,DATABASE!C:Q,11,false)</f>
        <v>Tire</v>
      </c>
    </row>
    <row r="8876" ht="22.5" customHeight="1">
      <c r="A8876" s="49"/>
      <c r="C8876" s="400">
        <v>46176.0</v>
      </c>
      <c r="D8876" s="524">
        <v>1588.0</v>
      </c>
      <c r="E8876" s="544" t="s">
        <v>301</v>
      </c>
      <c r="F8876" s="387">
        <v>1.0</v>
      </c>
      <c r="G8876" s="140">
        <v>250000.0</v>
      </c>
      <c r="H8876" s="74"/>
      <c r="I8876" s="74">
        <f t="shared" si="1"/>
        <v>250000</v>
      </c>
      <c r="J8876" s="74">
        <f>IF(E8876="SERVICE",I8876-(I8876*50%),Vlookup(E8876,DATABASE!C:Q,10,false)*F8876)</f>
        <v>75000</v>
      </c>
      <c r="K8876" s="74">
        <f>VLOOKUP(E8876,DATABASE!C:Q,7,false)</f>
        <v>75000</v>
      </c>
      <c r="L8876" s="74">
        <v>75000.0</v>
      </c>
      <c r="M8876" s="74">
        <f t="shared" si="6"/>
        <v>75000</v>
      </c>
      <c r="N8876" s="74">
        <f t="shared" si="3"/>
        <v>100000</v>
      </c>
      <c r="O8876" s="65" t="str">
        <f>VLOOKUP(E8876,DATABASE!C:Q,8,false)</f>
        <v>BIAN</v>
      </c>
      <c r="P8876" s="65">
        <f>VLOOKUP(E8876,DATABASE!C:Q,9,False)</f>
        <v>0</v>
      </c>
      <c r="Q8876" s="93" t="str">
        <f>VLOOKUP(E8876,DATABASE!C:Q,4,false)</f>
        <v>Baut Camber</v>
      </c>
      <c r="R8876" s="93" t="str">
        <f>VLOOKUP(E8876,DATABASE!C:Q,11,false)</f>
        <v>COMPLEMENTARY</v>
      </c>
    </row>
    <row r="8877" ht="22.5" customHeight="1">
      <c r="A8877" s="49"/>
      <c r="C8877" s="400">
        <v>46176.0</v>
      </c>
      <c r="D8877" s="524">
        <v>1589.0</v>
      </c>
      <c r="E8877" s="544" t="s">
        <v>256</v>
      </c>
      <c r="F8877" s="387">
        <v>1.0</v>
      </c>
      <c r="G8877" s="140">
        <v>175000.0</v>
      </c>
      <c r="H8877" s="140">
        <v>25000.0</v>
      </c>
      <c r="I8877" s="74">
        <f t="shared" si="1"/>
        <v>150000</v>
      </c>
      <c r="J8877" s="74">
        <f>IF(E8877="SERVICE",I8877-(I8877*50%),Vlookup(E8877,DATABASE!C:Q,10,false)*F8877)</f>
        <v>10000</v>
      </c>
      <c r="K8877" s="74">
        <f>VLOOKUP(E8877,DATABASE!C:Q,7,false)</f>
        <v>0</v>
      </c>
      <c r="L8877" s="74">
        <v>0.0</v>
      </c>
      <c r="M8877" s="74">
        <f t="shared" si="6"/>
        <v>0</v>
      </c>
      <c r="N8877" s="74">
        <f t="shared" si="3"/>
        <v>140000</v>
      </c>
      <c r="O8877" s="65" t="str">
        <f>VLOOKUP(E8877,DATABASE!C:Q,8,false)</f>
        <v>IBU</v>
      </c>
      <c r="P8877" s="65">
        <f>VLOOKUP(E8877,DATABASE!C:Q,9,False)</f>
        <v>0</v>
      </c>
      <c r="Q8877" s="93" t="str">
        <f>VLOOKUP(E8877,DATABASE!C:Q,4,false)</f>
        <v>SPOORING</v>
      </c>
      <c r="R8877" s="93" t="str">
        <f>VLOOKUP(E8877,DATABASE!C:Q,11,false)</f>
        <v>SERVICE</v>
      </c>
    </row>
    <row r="8878" ht="22.5" customHeight="1">
      <c r="A8878" s="49"/>
      <c r="C8878" s="400">
        <v>46176.0</v>
      </c>
      <c r="D8878" s="524">
        <v>14590.0</v>
      </c>
      <c r="E8878" s="544" t="s">
        <v>286</v>
      </c>
      <c r="F8878" s="387">
        <v>1.0</v>
      </c>
      <c r="G8878" s="140">
        <v>560000.0</v>
      </c>
      <c r="H8878" s="140">
        <v>10000.0</v>
      </c>
      <c r="I8878" s="74">
        <f t="shared" si="1"/>
        <v>550000</v>
      </c>
      <c r="J8878" s="74">
        <f>IF(E8878="SERVICE",I8878-(I8878*50%),Vlookup(E8878,DATABASE!C:Q,10,false)*F8878)</f>
        <v>0</v>
      </c>
      <c r="K8878" s="74">
        <f>VLOOKUP(E8878,DATABASE!C:Q,7,false)</f>
        <v>488320</v>
      </c>
      <c r="L8878" s="74">
        <v>459420.0</v>
      </c>
      <c r="M8878" s="74">
        <f t="shared" si="6"/>
        <v>460000</v>
      </c>
      <c r="N8878" s="74">
        <f t="shared" si="3"/>
        <v>90000</v>
      </c>
      <c r="O8878" s="65" t="str">
        <f>VLOOKUP(E8878,DATABASE!C:Q,8,false)</f>
        <v>BIAN</v>
      </c>
      <c r="P8878" s="65">
        <f>VLOOKUP(E8878,DATABASE!C:Q,9,False)</f>
        <v>1</v>
      </c>
      <c r="Q8878" s="93" t="str">
        <f>VLOOKUP(E8878,DATABASE!C:Q,4,false)</f>
        <v>GT</v>
      </c>
      <c r="R8878" s="93" t="str">
        <f>VLOOKUP(E8878,DATABASE!C:Q,11,false)</f>
        <v>Tire</v>
      </c>
    </row>
    <row r="8879" ht="22.5" customHeight="1">
      <c r="A8879" s="49"/>
      <c r="C8879" s="400">
        <v>46177.0</v>
      </c>
      <c r="D8879" s="524">
        <v>1591.0</v>
      </c>
      <c r="E8879" s="544" t="s">
        <v>287</v>
      </c>
      <c r="F8879" s="387">
        <v>1.0</v>
      </c>
      <c r="G8879" s="140">
        <v>800000.0</v>
      </c>
      <c r="H8879" s="74"/>
      <c r="I8879" s="74">
        <f t="shared" si="1"/>
        <v>800000</v>
      </c>
      <c r="J8879" s="74">
        <f>IF(E8879="SERVICE",I8879-(I8879*50%),Vlookup(E8879,DATABASE!C:Q,10,false)*F8879)</f>
        <v>0</v>
      </c>
      <c r="K8879" s="74">
        <f>VLOOKUP(E8879,DATABASE!C:Q,7,false)</f>
        <v>711000</v>
      </c>
      <c r="L8879" s="74">
        <v>711000.0</v>
      </c>
      <c r="M8879" s="74">
        <f t="shared" si="6"/>
        <v>715000</v>
      </c>
      <c r="N8879" s="74">
        <f t="shared" si="3"/>
        <v>85000</v>
      </c>
      <c r="O8879" s="65" t="str">
        <f>VLOOKUP(E8879,DATABASE!C:Q,8,false)</f>
        <v>BIAN</v>
      </c>
      <c r="P8879" s="65">
        <f>VLOOKUP(E8879,DATABASE!C:Q,9,False)</f>
        <v>1</v>
      </c>
      <c r="Q8879" s="93" t="str">
        <f>VLOOKUP(E8879,DATABASE!C:Q,4,false)</f>
        <v>GT</v>
      </c>
      <c r="R8879" s="93" t="str">
        <f>VLOOKUP(E8879,DATABASE!C:Q,11,false)</f>
        <v>Tire</v>
      </c>
    </row>
    <row r="8880" ht="22.5" customHeight="1">
      <c r="A8880" s="49"/>
      <c r="C8880" s="400">
        <v>46177.0</v>
      </c>
      <c r="D8880" s="524">
        <v>1592.0</v>
      </c>
      <c r="E8880" s="544" t="s">
        <v>2621</v>
      </c>
      <c r="F8880" s="387">
        <v>10.0</v>
      </c>
      <c r="G8880" s="140">
        <v>185000.0</v>
      </c>
      <c r="H8880" s="140">
        <v>10000.0</v>
      </c>
      <c r="I8880" s="74">
        <f t="shared" si="1"/>
        <v>1750000</v>
      </c>
      <c r="J8880" s="74">
        <f>IF(E8880="SERVICE",I8880-(I8880*50%),Vlookup(E8880,DATABASE!C:Q,10,false)*F8880)</f>
        <v>0</v>
      </c>
      <c r="K8880" s="74">
        <f>VLOOKUP(E8880,DATABASE!C:Q,7,false)</f>
        <v>141160</v>
      </c>
      <c r="L8880" s="74">
        <v>141160.0</v>
      </c>
      <c r="M8880" s="74">
        <f t="shared" si="6"/>
        <v>145000</v>
      </c>
      <c r="N8880" s="74">
        <f t="shared" si="3"/>
        <v>300000</v>
      </c>
      <c r="O8880" s="65" t="str">
        <f>VLOOKUP(E8880,DATABASE!C:Q,8,false)</f>
        <v>BIAN</v>
      </c>
      <c r="P8880" s="65">
        <f>VLOOKUP(E8880,DATABASE!C:Q,9,False)</f>
        <v>1</v>
      </c>
      <c r="Q8880" s="93" t="str">
        <f>VLOOKUP(E8880,DATABASE!C:Q,4,false)</f>
        <v>IBK light</v>
      </c>
      <c r="R8880" s="93" t="str">
        <f>VLOOKUP(E8880,DATABASE!C:Q,11,false)</f>
        <v>Tire</v>
      </c>
    </row>
    <row r="8881" ht="22.5" customHeight="1">
      <c r="A8881" s="49"/>
      <c r="C8881" s="400">
        <v>46177.0</v>
      </c>
      <c r="D8881" s="524">
        <v>1593.0</v>
      </c>
      <c r="E8881" s="544" t="s">
        <v>940</v>
      </c>
      <c r="F8881" s="387">
        <v>4.0</v>
      </c>
      <c r="G8881" s="140">
        <v>820000.0</v>
      </c>
      <c r="H8881" s="74"/>
      <c r="I8881" s="74">
        <f t="shared" si="1"/>
        <v>3280000</v>
      </c>
      <c r="J8881" s="74">
        <f>IF(E8881="SERVICE",I8881-(I8881*50%),Vlookup(E8881,DATABASE!C:Q,10,false)*F8881)</f>
        <v>0</v>
      </c>
      <c r="K8881" s="74">
        <f>VLOOKUP(E8881,DATABASE!C:Q,7,false)</f>
        <v>716500</v>
      </c>
      <c r="L8881" s="74">
        <v>716500.0</v>
      </c>
      <c r="M8881" s="74">
        <f t="shared" si="6"/>
        <v>720000</v>
      </c>
      <c r="N8881" s="74">
        <f t="shared" si="3"/>
        <v>400000</v>
      </c>
      <c r="O8881" s="65" t="str">
        <f>VLOOKUP(E8881,DATABASE!C:Q,8,false)</f>
        <v>IBU</v>
      </c>
      <c r="P8881" s="65">
        <f>VLOOKUP(E8881,DATABASE!C:Q,9,False)</f>
        <v>1</v>
      </c>
      <c r="Q8881" s="93" t="str">
        <f>VLOOKUP(E8881,DATABASE!C:Q,4,false)</f>
        <v>Dunlop</v>
      </c>
      <c r="R8881" s="93" t="str">
        <f>VLOOKUP(E8881,DATABASE!C:Q,11,false)</f>
        <v>Tire</v>
      </c>
    </row>
    <row r="8882" ht="22.5" customHeight="1">
      <c r="A8882" s="49"/>
      <c r="C8882" s="400">
        <v>46177.0</v>
      </c>
      <c r="D8882" s="524">
        <v>1593.0</v>
      </c>
      <c r="E8882" s="544" t="s">
        <v>299</v>
      </c>
      <c r="F8882" s="387">
        <v>2.0</v>
      </c>
      <c r="G8882" s="140">
        <v>30000.0</v>
      </c>
      <c r="H8882" s="74"/>
      <c r="I8882" s="74">
        <f t="shared" si="1"/>
        <v>60000</v>
      </c>
      <c r="J8882" s="74">
        <f>IF(E8882="SERVICE",I8882-(I8882*50%),Vlookup(E8882,DATABASE!C:Q,10,false)*F8882)</f>
        <v>0</v>
      </c>
      <c r="K8882" s="74">
        <f>VLOOKUP(E8882,DATABASE!C:Q,7,false)</f>
        <v>10000</v>
      </c>
      <c r="L8882" s="74">
        <v>10000.0</v>
      </c>
      <c r="M8882" s="74">
        <f t="shared" si="6"/>
        <v>10000</v>
      </c>
      <c r="N8882" s="74">
        <f t="shared" si="3"/>
        <v>40000</v>
      </c>
      <c r="O8882" s="65" t="str">
        <f>VLOOKUP(E8882,DATABASE!C:Q,8,false)</f>
        <v>BIAN</v>
      </c>
      <c r="P8882" s="65">
        <f>VLOOKUP(E8882,DATABASE!C:Q,9,False)</f>
        <v>0</v>
      </c>
      <c r="Q8882" s="93" t="str">
        <f>VLOOKUP(E8882,DATABASE!C:Q,4,false)</f>
        <v>Balancing</v>
      </c>
      <c r="R8882" s="93" t="str">
        <f>VLOOKUP(E8882,DATABASE!C:Q,11,false)</f>
        <v>COMPLEMENTARY</v>
      </c>
    </row>
    <row r="8883" ht="22.5" customHeight="1">
      <c r="A8883" s="49"/>
      <c r="C8883" s="400">
        <v>46177.0</v>
      </c>
      <c r="D8883" s="524">
        <v>1594.0</v>
      </c>
      <c r="E8883" s="544" t="s">
        <v>1305</v>
      </c>
      <c r="F8883" s="387">
        <v>1.0</v>
      </c>
      <c r="G8883" s="140">
        <v>1850000.0</v>
      </c>
      <c r="H8883" s="74"/>
      <c r="I8883" s="74">
        <f t="shared" si="1"/>
        <v>1850000</v>
      </c>
      <c r="J8883" s="74">
        <f>IF(E8883="SERVICE",I8883-(I8883*50%),Vlookup(E8883,DATABASE!C:Q,10,false)*F8883)</f>
        <v>0</v>
      </c>
      <c r="K8883" s="74">
        <f>VLOOKUP(E8883,DATABASE!C:Q,7,false)</f>
        <v>1723000</v>
      </c>
      <c r="L8883" s="74">
        <v>1723000.0</v>
      </c>
      <c r="M8883" s="74">
        <f t="shared" si="6"/>
        <v>1725000</v>
      </c>
      <c r="N8883" s="74">
        <f t="shared" si="3"/>
        <v>125000</v>
      </c>
      <c r="O8883" s="65" t="str">
        <f>VLOOKUP(E8883,DATABASE!C:Q,8,false)</f>
        <v>IBU</v>
      </c>
      <c r="P8883" s="65">
        <f>VLOOKUP(E8883,DATABASE!C:Q,9,False)</f>
        <v>1</v>
      </c>
      <c r="Q8883" s="93" t="str">
        <f>VLOOKUP(E8883,DATABASE!C:Q,4,false)</f>
        <v>Bridgestone</v>
      </c>
      <c r="R8883" s="93" t="str">
        <f>VLOOKUP(E8883,DATABASE!C:Q,11,false)</f>
        <v>Tire</v>
      </c>
    </row>
    <row r="8884" ht="22.5" customHeight="1">
      <c r="A8884" s="49"/>
      <c r="C8884" s="400">
        <v>46177.0</v>
      </c>
      <c r="D8884" s="524">
        <v>1596.0</v>
      </c>
      <c r="E8884" s="544" t="s">
        <v>839</v>
      </c>
      <c r="F8884" s="387">
        <v>2.0</v>
      </c>
      <c r="G8884" s="140">
        <v>580000.0</v>
      </c>
      <c r="H8884" s="74"/>
      <c r="I8884" s="74">
        <f t="shared" si="1"/>
        <v>1160000</v>
      </c>
      <c r="J8884" s="74">
        <f>IF(E8884="SERVICE",I8884-(I8884*50%),Vlookup(E8884,DATABASE!C:Q,10,false)*F8884)</f>
        <v>0</v>
      </c>
      <c r="K8884" s="74">
        <f>VLOOKUP(E8884,DATABASE!C:Q,7,false)</f>
        <v>512640</v>
      </c>
      <c r="L8884" s="74">
        <v>490000.0</v>
      </c>
      <c r="M8884" s="74">
        <f t="shared" si="6"/>
        <v>490000</v>
      </c>
      <c r="N8884" s="74">
        <f t="shared" si="3"/>
        <v>180000</v>
      </c>
      <c r="O8884" s="65" t="str">
        <f>VLOOKUP(E8884,DATABASE!C:Q,8,false)</f>
        <v>BIAN</v>
      </c>
      <c r="P8884" s="65">
        <f>VLOOKUP(E8884,DATABASE!C:Q,9,False)</f>
        <v>1</v>
      </c>
      <c r="Q8884" s="93" t="str">
        <f>VLOOKUP(E8884,DATABASE!C:Q,4,false)</f>
        <v>GT</v>
      </c>
      <c r="R8884" s="93" t="str">
        <f>VLOOKUP(E8884,DATABASE!C:Q,11,false)</f>
        <v>Tire</v>
      </c>
    </row>
    <row r="8885" ht="22.5" customHeight="1">
      <c r="A8885" s="49"/>
      <c r="C8885" s="400">
        <v>46177.0</v>
      </c>
      <c r="D8885" s="524">
        <v>1596.0</v>
      </c>
      <c r="E8885" s="544" t="s">
        <v>299</v>
      </c>
      <c r="F8885" s="387">
        <v>2.0</v>
      </c>
      <c r="G8885" s="140">
        <v>30000.0</v>
      </c>
      <c r="H8885" s="74"/>
      <c r="I8885" s="74">
        <f t="shared" si="1"/>
        <v>60000</v>
      </c>
      <c r="J8885" s="74">
        <f>IF(E8885="SERVICE",I8885-(I8885*50%),Vlookup(E8885,DATABASE!C:Q,10,false)*F8885)</f>
        <v>0</v>
      </c>
      <c r="K8885" s="74">
        <f>VLOOKUP(E8885,DATABASE!C:Q,7,false)</f>
        <v>10000</v>
      </c>
      <c r="L8885" s="74">
        <v>10000.0</v>
      </c>
      <c r="M8885" s="74">
        <f t="shared" si="6"/>
        <v>10000</v>
      </c>
      <c r="N8885" s="74">
        <f t="shared" si="3"/>
        <v>40000</v>
      </c>
      <c r="O8885" s="65" t="str">
        <f>VLOOKUP(E8885,DATABASE!C:Q,8,false)</f>
        <v>BIAN</v>
      </c>
      <c r="P8885" s="65">
        <f>VLOOKUP(E8885,DATABASE!C:Q,9,False)</f>
        <v>0</v>
      </c>
      <c r="Q8885" s="93" t="str">
        <f>VLOOKUP(E8885,DATABASE!C:Q,4,false)</f>
        <v>Balancing</v>
      </c>
      <c r="R8885" s="93" t="str">
        <f>VLOOKUP(E8885,DATABASE!C:Q,11,false)</f>
        <v>COMPLEMENTARY</v>
      </c>
    </row>
    <row r="8886" ht="22.5" customHeight="1">
      <c r="A8886" s="49"/>
      <c r="C8886" s="400">
        <v>46177.0</v>
      </c>
      <c r="D8886" s="524">
        <v>1597.0</v>
      </c>
      <c r="E8886" s="544" t="s">
        <v>250</v>
      </c>
      <c r="F8886" s="387">
        <v>1.0</v>
      </c>
      <c r="G8886" s="140">
        <v>135000.0</v>
      </c>
      <c r="H8886" s="74"/>
      <c r="I8886" s="74">
        <f t="shared" si="1"/>
        <v>135000</v>
      </c>
      <c r="J8886" s="74">
        <f>IF(E8886="SERVICE",I8886-(I8886*50%),Vlookup(E8886,DATABASE!C:Q,10,false)*F8886)</f>
        <v>0</v>
      </c>
      <c r="K8886" s="74">
        <f>VLOOKUP(E8886,DATABASE!C:Q,7,false)</f>
        <v>102000</v>
      </c>
      <c r="L8886" s="74">
        <v>102000.0</v>
      </c>
      <c r="M8886" s="74">
        <f t="shared" si="6"/>
        <v>105000</v>
      </c>
      <c r="N8886" s="74">
        <f t="shared" si="3"/>
        <v>30000</v>
      </c>
      <c r="O8886" s="65" t="str">
        <f>VLOOKUP(E8886,DATABASE!C:Q,8,false)</f>
        <v>BIAN</v>
      </c>
      <c r="P8886" s="65">
        <f>VLOOKUP(E8886,DATABASE!C:Q,9,False)</f>
        <v>1</v>
      </c>
      <c r="Q8886" s="93" t="str">
        <f>VLOOKUP(E8886,DATABASE!C:Q,4,false)</f>
        <v>BD</v>
      </c>
      <c r="R8886" s="93" t="str">
        <f>VLOOKUP(E8886,DATABASE!C:Q,11,false)</f>
        <v>Tire</v>
      </c>
    </row>
    <row r="8887" ht="22.5" customHeight="1">
      <c r="A8887" s="49"/>
      <c r="C8887" s="400">
        <v>46177.0</v>
      </c>
      <c r="D8887" s="524">
        <v>1598.0</v>
      </c>
      <c r="E8887" s="544" t="s">
        <v>275</v>
      </c>
      <c r="F8887" s="387">
        <v>2.0</v>
      </c>
      <c r="G8887" s="140">
        <v>850000.0</v>
      </c>
      <c r="H8887" s="74"/>
      <c r="I8887" s="74">
        <f t="shared" si="1"/>
        <v>1700000</v>
      </c>
      <c r="J8887" s="74">
        <f>IF(E8887="SERVICE",I8887-(I8887*50%),Vlookup(E8887,DATABASE!C:Q,10,false)*F8887)</f>
        <v>0</v>
      </c>
      <c r="K8887" s="74">
        <f>VLOOKUP(E8887,DATABASE!C:Q,7,false)</f>
        <v>782000</v>
      </c>
      <c r="L8887" s="74">
        <v>759500.0</v>
      </c>
      <c r="M8887" s="74">
        <f t="shared" si="6"/>
        <v>760000</v>
      </c>
      <c r="N8887" s="74">
        <f t="shared" si="3"/>
        <v>180000</v>
      </c>
      <c r="O8887" s="65" t="str">
        <f>VLOOKUP(E8887,DATABASE!C:Q,8,false)</f>
        <v>IBU</v>
      </c>
      <c r="P8887" s="65">
        <f>VLOOKUP(E8887,DATABASE!C:Q,9,False)</f>
        <v>1</v>
      </c>
      <c r="Q8887" s="93" t="str">
        <f>VLOOKUP(E8887,DATABASE!C:Q,4,false)</f>
        <v>Dunlop</v>
      </c>
      <c r="R8887" s="93" t="str">
        <f>VLOOKUP(E8887,DATABASE!C:Q,11,false)</f>
        <v>Tire</v>
      </c>
    </row>
    <row r="8888" ht="22.5" customHeight="1">
      <c r="A8888" s="49"/>
      <c r="C8888" s="400">
        <v>46177.0</v>
      </c>
      <c r="D8888" s="524">
        <v>1599.0</v>
      </c>
      <c r="E8888" s="544" t="s">
        <v>262</v>
      </c>
      <c r="F8888" s="387">
        <v>1.0</v>
      </c>
      <c r="G8888" s="140">
        <v>130000.0</v>
      </c>
      <c r="H8888" s="74"/>
      <c r="I8888" s="74">
        <f t="shared" si="1"/>
        <v>130000</v>
      </c>
      <c r="J8888" s="74">
        <f>IF(E8888="SERVICE",I8888-(I8888*50%),Vlookup(E8888,DATABASE!C:Q,10,false)*F8888)</f>
        <v>5000</v>
      </c>
      <c r="K8888" s="74">
        <f>VLOOKUP(E8888,DATABASE!C:Q,7,false)</f>
        <v>0</v>
      </c>
      <c r="L8888" s="74">
        <v>0.0</v>
      </c>
      <c r="M8888" s="74">
        <f t="shared" si="6"/>
        <v>0</v>
      </c>
      <c r="N8888" s="74">
        <f t="shared" si="3"/>
        <v>125000</v>
      </c>
      <c r="O8888" s="65" t="str">
        <f>VLOOKUP(E8888,DATABASE!C:Q,8,false)</f>
        <v>IBU</v>
      </c>
      <c r="P8888" s="65">
        <f>VLOOKUP(E8888,DATABASE!C:Q,9,False)</f>
        <v>0</v>
      </c>
      <c r="Q8888" s="93" t="str">
        <f>VLOOKUP(E8888,DATABASE!C:Q,4,false)</f>
        <v>SPOORING SS/CARRY LOS BAK</v>
      </c>
      <c r="R8888" s="93" t="str">
        <f>VLOOKUP(E8888,DATABASE!C:Q,11,false)</f>
        <v>SERVICE</v>
      </c>
    </row>
    <row r="8889" ht="22.5" customHeight="1">
      <c r="A8889" s="49"/>
      <c r="C8889" s="400">
        <v>46177.0</v>
      </c>
      <c r="D8889" s="69">
        <v>1599.0</v>
      </c>
      <c r="E8889" s="544" t="s">
        <v>301</v>
      </c>
      <c r="F8889" s="387">
        <v>1.0</v>
      </c>
      <c r="G8889" s="140">
        <v>250000.0</v>
      </c>
      <c r="H8889" s="74"/>
      <c r="I8889" s="74">
        <f t="shared" si="1"/>
        <v>250000</v>
      </c>
      <c r="J8889" s="74">
        <f>IF(E8889="SERVICE",I8889-(I8889*50%),Vlookup(E8889,DATABASE!C:Q,10,false)*F8889)</f>
        <v>75000</v>
      </c>
      <c r="K8889" s="74">
        <f>VLOOKUP(E8889,DATABASE!C:Q,7,false)</f>
        <v>75000</v>
      </c>
      <c r="L8889" s="74">
        <v>75000.0</v>
      </c>
      <c r="M8889" s="74">
        <f t="shared" si="6"/>
        <v>75000</v>
      </c>
      <c r="N8889" s="74">
        <f t="shared" si="3"/>
        <v>100000</v>
      </c>
      <c r="O8889" s="65" t="str">
        <f>VLOOKUP(E8889,DATABASE!C:Q,8,false)</f>
        <v>BIAN</v>
      </c>
      <c r="P8889" s="65">
        <f>VLOOKUP(E8889,DATABASE!C:Q,9,False)</f>
        <v>0</v>
      </c>
      <c r="Q8889" s="93" t="str">
        <f>VLOOKUP(E8889,DATABASE!C:Q,4,false)</f>
        <v>Baut Camber</v>
      </c>
      <c r="R8889" s="93" t="str">
        <f>VLOOKUP(E8889,DATABASE!C:Q,11,false)</f>
        <v>COMPLEMENTARY</v>
      </c>
    </row>
    <row r="8890" ht="22.5" customHeight="1">
      <c r="A8890" s="29"/>
      <c r="C8890" s="400">
        <v>46178.0</v>
      </c>
      <c r="D8890" s="524">
        <v>1600.0</v>
      </c>
      <c r="E8890" s="544" t="s">
        <v>2140</v>
      </c>
      <c r="F8890" s="387">
        <v>2.0</v>
      </c>
      <c r="G8890" s="140">
        <v>35000.0</v>
      </c>
      <c r="H8890" s="140">
        <v>15000.0</v>
      </c>
      <c r="I8890" s="74">
        <f t="shared" si="1"/>
        <v>40000</v>
      </c>
      <c r="J8890" s="74">
        <f>IF(E8890="SERVICE",I8890-(I8890*50%),Vlookup(E8890,DATABASE!C:Q,10,false)*F8890)</f>
        <v>0</v>
      </c>
      <c r="K8890" s="74">
        <f>VLOOKUP(E8890,DATABASE!C:Q,7,false)</f>
        <v>5000</v>
      </c>
      <c r="L8890" s="74">
        <v>0.0</v>
      </c>
      <c r="M8890" s="74">
        <f t="shared" si="6"/>
        <v>0</v>
      </c>
      <c r="N8890" s="74">
        <f t="shared" si="3"/>
        <v>40000</v>
      </c>
      <c r="O8890" s="65" t="str">
        <f>VLOOKUP(E8890,DATABASE!C:Q,8,false)</f>
        <v>IBU</v>
      </c>
      <c r="P8890" s="65">
        <f>VLOOKUP(E8890,DATABASE!C:Q,9,False)</f>
        <v>0</v>
      </c>
      <c r="Q8890" s="93" t="str">
        <f>VLOOKUP(E8890,DATABASE!C:Q,4,false)</f>
        <v>PENTIL + PASANG</v>
      </c>
      <c r="R8890" s="93" t="str">
        <f>VLOOKUP(E8890,DATABASE!C:Q,11,false)</f>
        <v>COMPLEMENTARY</v>
      </c>
    </row>
    <row r="8891" ht="22.5" customHeight="1">
      <c r="A8891" s="29"/>
      <c r="C8891" s="400">
        <v>46178.0</v>
      </c>
      <c r="D8891" s="524">
        <v>1602.0</v>
      </c>
      <c r="E8891" s="544" t="s">
        <v>256</v>
      </c>
      <c r="F8891" s="387">
        <v>1.0</v>
      </c>
      <c r="G8891" s="140">
        <v>175000.0</v>
      </c>
      <c r="H8891" s="140">
        <v>25000.0</v>
      </c>
      <c r="I8891" s="74">
        <f t="shared" si="1"/>
        <v>150000</v>
      </c>
      <c r="J8891" s="74">
        <f>IF(E8891="SERVICE",I8891-(I8891*50%),Vlookup(E8891,DATABASE!C:Q,10,false)*F8891)</f>
        <v>10000</v>
      </c>
      <c r="K8891" s="74">
        <f>VLOOKUP(E8891,DATABASE!C:Q,7,false)</f>
        <v>0</v>
      </c>
      <c r="L8891" s="74">
        <v>0.0</v>
      </c>
      <c r="M8891" s="74">
        <f t="shared" si="6"/>
        <v>0</v>
      </c>
      <c r="N8891" s="74">
        <f t="shared" si="3"/>
        <v>140000</v>
      </c>
      <c r="O8891" s="65" t="str">
        <f>VLOOKUP(E8891,DATABASE!C:Q,8,false)</f>
        <v>IBU</v>
      </c>
      <c r="P8891" s="65">
        <f>VLOOKUP(E8891,DATABASE!C:Q,9,False)</f>
        <v>0</v>
      </c>
      <c r="Q8891" s="93" t="str">
        <f>VLOOKUP(E8891,DATABASE!C:Q,4,false)</f>
        <v>SPOORING</v>
      </c>
      <c r="R8891" s="93" t="str">
        <f>VLOOKUP(E8891,DATABASE!C:Q,11,false)</f>
        <v>SERVICE</v>
      </c>
    </row>
    <row r="8892" ht="22.5" customHeight="1">
      <c r="A8892" s="49"/>
      <c r="C8892" s="400">
        <v>46178.0</v>
      </c>
      <c r="D8892" s="524">
        <v>1602.0</v>
      </c>
      <c r="E8892" s="544" t="s">
        <v>569</v>
      </c>
      <c r="F8892" s="387">
        <v>1.0</v>
      </c>
      <c r="G8892" s="140">
        <v>80000.0</v>
      </c>
      <c r="H8892" s="74"/>
      <c r="I8892" s="74">
        <f t="shared" si="1"/>
        <v>80000</v>
      </c>
      <c r="J8892" s="74">
        <f>IF(E8892="SERVICE",I8892-(I8892*50%),Vlookup(E8892,DATABASE!C:Q,10,false)*F8892)</f>
        <v>0</v>
      </c>
      <c r="K8892" s="74">
        <f>VLOOKUP(E8892,DATABASE!C:Q,7,false)</f>
        <v>45439.582</v>
      </c>
      <c r="L8892" s="74">
        <v>45439.582</v>
      </c>
      <c r="M8892" s="74">
        <f t="shared" si="6"/>
        <v>50000</v>
      </c>
      <c r="N8892" s="74">
        <f t="shared" si="3"/>
        <v>30000</v>
      </c>
      <c r="O8892" s="65" t="str">
        <f>VLOOKUP(E8892,DATABASE!C:Q,8,false)</f>
        <v>BIAN</v>
      </c>
      <c r="P8892" s="65">
        <f>VLOOKUP(E8892,DATABASE!C:Q,9,False)</f>
        <v>1</v>
      </c>
      <c r="Q8892" s="93" t="str">
        <f>VLOOKUP(E8892,DATABASE!C:Q,4,false)</f>
        <v>BD</v>
      </c>
      <c r="R8892" s="93" t="str">
        <f>VLOOKUP(E8892,DATABASE!C:Q,11,false)</f>
        <v>Tire</v>
      </c>
    </row>
    <row r="8893" ht="22.5" customHeight="1">
      <c r="A8893" s="29"/>
      <c r="C8893" s="400">
        <v>46178.0</v>
      </c>
      <c r="D8893" s="524">
        <v>1603.0</v>
      </c>
      <c r="E8893" s="544" t="s">
        <v>268</v>
      </c>
      <c r="F8893" s="387">
        <v>2.0</v>
      </c>
      <c r="G8893" s="140">
        <v>720000.0</v>
      </c>
      <c r="H8893" s="74"/>
      <c r="I8893" s="74">
        <f t="shared" si="1"/>
        <v>1440000</v>
      </c>
      <c r="J8893" s="74">
        <f>IF(E8893="SERVICE",I8893-(I8893*50%),Vlookup(E8893,DATABASE!C:Q,10,false)*F8893)</f>
        <v>0</v>
      </c>
      <c r="K8893" s="74">
        <f>VLOOKUP(E8893,DATABASE!C:Q,7,false)</f>
        <v>653000</v>
      </c>
      <c r="L8893" s="74">
        <v>634500.0</v>
      </c>
      <c r="M8893" s="74">
        <f t="shared" si="6"/>
        <v>635000</v>
      </c>
      <c r="N8893" s="74">
        <f t="shared" si="3"/>
        <v>170000</v>
      </c>
      <c r="O8893" s="65" t="str">
        <f>VLOOKUP(E8893,DATABASE!C:Q,8,false)</f>
        <v>IBU</v>
      </c>
      <c r="P8893" s="65">
        <f>VLOOKUP(E8893,DATABASE!C:Q,9,False)</f>
        <v>1</v>
      </c>
      <c r="Q8893" s="93" t="str">
        <f>VLOOKUP(E8893,DATABASE!C:Q,4,false)</f>
        <v>Dunlop</v>
      </c>
      <c r="R8893" s="93" t="str">
        <f>VLOOKUP(E8893,DATABASE!C:Q,11,false)</f>
        <v>Tire</v>
      </c>
    </row>
    <row r="8894" ht="22.5" customHeight="1">
      <c r="A8894" s="49"/>
      <c r="C8894" s="400">
        <v>46178.0</v>
      </c>
      <c r="D8894" s="524">
        <v>1604.0</v>
      </c>
      <c r="E8894" s="544" t="s">
        <v>275</v>
      </c>
      <c r="F8894" s="387">
        <v>2.0</v>
      </c>
      <c r="G8894" s="140">
        <v>850000.0</v>
      </c>
      <c r="H8894" s="74"/>
      <c r="I8894" s="74">
        <f t="shared" si="1"/>
        <v>1700000</v>
      </c>
      <c r="J8894" s="74">
        <f>IF(E8894="SERVICE",I8894-(I8894*50%),Vlookup(E8894,DATABASE!C:Q,10,false)*F8894)</f>
        <v>0</v>
      </c>
      <c r="K8894" s="74">
        <f>VLOOKUP(E8894,DATABASE!C:Q,7,false)</f>
        <v>782000</v>
      </c>
      <c r="L8894" s="74">
        <v>759500.0</v>
      </c>
      <c r="M8894" s="74">
        <f t="shared" si="6"/>
        <v>760000</v>
      </c>
      <c r="N8894" s="74">
        <f t="shared" si="3"/>
        <v>180000</v>
      </c>
      <c r="O8894" s="65" t="str">
        <f>VLOOKUP(E8894,DATABASE!C:Q,8,false)</f>
        <v>IBU</v>
      </c>
      <c r="P8894" s="65">
        <f>VLOOKUP(E8894,DATABASE!C:Q,9,False)</f>
        <v>1</v>
      </c>
      <c r="Q8894" s="93" t="str">
        <f>VLOOKUP(E8894,DATABASE!C:Q,4,false)</f>
        <v>Dunlop</v>
      </c>
      <c r="R8894" s="93" t="str">
        <f>VLOOKUP(E8894,DATABASE!C:Q,11,false)</f>
        <v>Tire</v>
      </c>
    </row>
    <row r="8895" ht="22.5" customHeight="1">
      <c r="A8895" s="49"/>
      <c r="C8895" s="400">
        <v>46178.0</v>
      </c>
      <c r="D8895" s="524">
        <v>1605.0</v>
      </c>
      <c r="E8895" s="544" t="s">
        <v>268</v>
      </c>
      <c r="F8895" s="387">
        <v>4.0</v>
      </c>
      <c r="G8895" s="140">
        <v>720000.0</v>
      </c>
      <c r="H8895" s="74"/>
      <c r="I8895" s="74">
        <f t="shared" si="1"/>
        <v>2880000</v>
      </c>
      <c r="J8895" s="74">
        <f>IF(E8895="SERVICE",I8895-(I8895*50%),Vlookup(E8895,DATABASE!C:Q,10,false)*F8895)</f>
        <v>0</v>
      </c>
      <c r="K8895" s="74">
        <f>VLOOKUP(E8895,DATABASE!C:Q,7,false)</f>
        <v>653000</v>
      </c>
      <c r="L8895" s="74">
        <v>634500.0</v>
      </c>
      <c r="M8895" s="74">
        <f t="shared" si="6"/>
        <v>635000</v>
      </c>
      <c r="N8895" s="74">
        <f t="shared" si="3"/>
        <v>340000</v>
      </c>
      <c r="O8895" s="65" t="str">
        <f>VLOOKUP(E8895,DATABASE!C:Q,8,false)</f>
        <v>IBU</v>
      </c>
      <c r="P8895" s="65">
        <f>VLOOKUP(E8895,DATABASE!C:Q,9,False)</f>
        <v>1</v>
      </c>
      <c r="Q8895" s="93" t="str">
        <f>VLOOKUP(E8895,DATABASE!C:Q,4,false)</f>
        <v>Dunlop</v>
      </c>
      <c r="R8895" s="93" t="str">
        <f>VLOOKUP(E8895,DATABASE!C:Q,11,false)</f>
        <v>Tire</v>
      </c>
    </row>
    <row r="8896" ht="22.5" customHeight="1">
      <c r="A8896" s="49"/>
      <c r="C8896" s="400">
        <v>46178.0</v>
      </c>
      <c r="D8896" s="524">
        <v>1606.0</v>
      </c>
      <c r="E8896" s="544" t="s">
        <v>737</v>
      </c>
      <c r="F8896" s="387">
        <v>1.0</v>
      </c>
      <c r="G8896" s="140">
        <v>270000.0</v>
      </c>
      <c r="H8896" s="74"/>
      <c r="I8896" s="74">
        <f t="shared" si="1"/>
        <v>270000</v>
      </c>
      <c r="J8896" s="74">
        <f>IF(E8896="SERVICE",I8896-(I8896*50%),Vlookup(E8896,DATABASE!C:Q,10,false)*F8896)</f>
        <v>0</v>
      </c>
      <c r="K8896" s="74">
        <f>VLOOKUP(E8896,DATABASE!C:Q,7,false)</f>
        <v>241001.6</v>
      </c>
      <c r="L8896" s="74">
        <v>237440.0</v>
      </c>
      <c r="M8896" s="74">
        <f t="shared" si="6"/>
        <v>240000</v>
      </c>
      <c r="N8896" s="74">
        <f t="shared" si="3"/>
        <v>30000</v>
      </c>
      <c r="O8896" s="65" t="str">
        <f>VLOOKUP(E8896,DATABASE!C:Q,8,false)</f>
        <v>IBU</v>
      </c>
      <c r="P8896" s="65">
        <f>VLOOKUP(E8896,DATABASE!C:Q,9,False)</f>
        <v>1</v>
      </c>
      <c r="Q8896" s="93" t="str">
        <f>VLOOKUP(E8896,DATABASE!C:Q,4,false)</f>
        <v>BD</v>
      </c>
      <c r="R8896" s="93" t="str">
        <f>VLOOKUP(E8896,DATABASE!C:Q,11,false)</f>
        <v>Tire</v>
      </c>
    </row>
    <row r="8897" ht="22.5" customHeight="1">
      <c r="A8897" s="49"/>
      <c r="C8897" s="400">
        <v>46178.0</v>
      </c>
      <c r="D8897" s="524">
        <v>1606.0</v>
      </c>
      <c r="E8897" s="544" t="s">
        <v>821</v>
      </c>
      <c r="F8897" s="387">
        <v>2.0</v>
      </c>
      <c r="G8897" s="140">
        <v>90000.0</v>
      </c>
      <c r="H8897" s="74"/>
      <c r="I8897" s="74">
        <f t="shared" si="1"/>
        <v>180000</v>
      </c>
      <c r="J8897" s="74">
        <f>IF(E8897="SERVICE",I8897-(I8897*50%),Vlookup(E8897,DATABASE!C:Q,10,false)*F8897)</f>
        <v>0</v>
      </c>
      <c r="K8897" s="74">
        <f>VLOOKUP(E8897,DATABASE!C:Q,7,false)</f>
        <v>43500</v>
      </c>
      <c r="L8897" s="74">
        <v>43500.0</v>
      </c>
      <c r="M8897" s="74">
        <f t="shared" si="6"/>
        <v>45000</v>
      </c>
      <c r="N8897" s="74">
        <f t="shared" si="3"/>
        <v>90000</v>
      </c>
      <c r="O8897" s="65" t="str">
        <f>VLOOKUP(E8897,DATABASE!C:Q,8,false)</f>
        <v>BIAN</v>
      </c>
      <c r="P8897" s="65">
        <f>VLOOKUP(E8897,DATABASE!C:Q,9,False)</f>
        <v>1</v>
      </c>
      <c r="Q8897" s="93" t="str">
        <f>VLOOKUP(E8897,DATABASE!C:Q,4,false)</f>
        <v>Flap</v>
      </c>
      <c r="R8897" s="93" t="str">
        <f>VLOOKUP(E8897,DATABASE!C:Q,11,false)</f>
        <v>Tire</v>
      </c>
    </row>
    <row r="8898" ht="22.5" customHeight="1">
      <c r="A8898" s="49"/>
      <c r="C8898" s="400">
        <v>46178.0</v>
      </c>
      <c r="D8898" s="524">
        <v>1606.0</v>
      </c>
      <c r="E8898" s="544" t="s">
        <v>878</v>
      </c>
      <c r="F8898" s="387">
        <v>2.0</v>
      </c>
      <c r="G8898" s="140">
        <v>50000.0</v>
      </c>
      <c r="H8898" s="140">
        <v>10000.0</v>
      </c>
      <c r="I8898" s="74">
        <f t="shared" si="1"/>
        <v>80000</v>
      </c>
      <c r="J8898" s="74">
        <f>IF(E8898="SERVICE",I8898-(I8898*50%),Vlookup(E8898,DATABASE!C:Q,10,false)*F8898)</f>
        <v>0</v>
      </c>
      <c r="K8898" s="74">
        <f>VLOOKUP(E8898,DATABASE!C:Q,7,false)</f>
        <v>0</v>
      </c>
      <c r="L8898" s="74">
        <v>0.0</v>
      </c>
      <c r="M8898" s="74">
        <f t="shared" si="6"/>
        <v>0</v>
      </c>
      <c r="N8898" s="74">
        <f t="shared" si="3"/>
        <v>80000</v>
      </c>
      <c r="O8898" s="65" t="str">
        <f>VLOOKUP(E8898,DATABASE!C:Q,8,false)</f>
        <v>IBU</v>
      </c>
      <c r="P8898" s="65">
        <f>VLOOKUP(E8898,DATABASE!C:Q,9,False)</f>
        <v>0</v>
      </c>
      <c r="Q8898" s="93" t="str">
        <f>VLOOKUP(E8898,DATABASE!C:Q,4,false)</f>
        <v>Bongkar Pasang 17</v>
      </c>
      <c r="R8898" s="93" t="str">
        <f>VLOOKUP(E8898,DATABASE!C:Q,11,false)</f>
        <v>SERVICE</v>
      </c>
    </row>
    <row r="8899" ht="22.5" customHeight="1">
      <c r="A8899" s="49"/>
      <c r="C8899" s="400">
        <v>46178.0</v>
      </c>
      <c r="D8899" s="524">
        <v>1607.0</v>
      </c>
      <c r="E8899" s="544" t="s">
        <v>262</v>
      </c>
      <c r="F8899" s="387">
        <v>1.0</v>
      </c>
      <c r="G8899" s="140">
        <v>130000.0</v>
      </c>
      <c r="H8899" s="74"/>
      <c r="I8899" s="74">
        <f t="shared" si="1"/>
        <v>130000</v>
      </c>
      <c r="J8899" s="74">
        <f>IF(E8899="SERVICE",I8899-(I8899*50%),Vlookup(E8899,DATABASE!C:Q,10,false)*F8899)</f>
        <v>5000</v>
      </c>
      <c r="K8899" s="74">
        <f>VLOOKUP(E8899,DATABASE!C:Q,7,false)</f>
        <v>0</v>
      </c>
      <c r="L8899" s="74">
        <v>0.0</v>
      </c>
      <c r="M8899" s="74">
        <f t="shared" si="6"/>
        <v>0</v>
      </c>
      <c r="N8899" s="74">
        <f t="shared" si="3"/>
        <v>125000</v>
      </c>
      <c r="O8899" s="65" t="str">
        <f>VLOOKUP(E8899,DATABASE!C:Q,8,false)</f>
        <v>IBU</v>
      </c>
      <c r="P8899" s="65">
        <f>VLOOKUP(E8899,DATABASE!C:Q,9,False)</f>
        <v>0</v>
      </c>
      <c r="Q8899" s="93" t="str">
        <f>VLOOKUP(E8899,DATABASE!C:Q,4,false)</f>
        <v>SPOORING SS/CARRY LOS BAK</v>
      </c>
      <c r="R8899" s="93" t="str">
        <f>VLOOKUP(E8899,DATABASE!C:Q,11,false)</f>
        <v>SERVICE</v>
      </c>
    </row>
    <row r="8900" ht="22.5" customHeight="1">
      <c r="A8900" s="49"/>
      <c r="C8900" s="400">
        <v>46178.0</v>
      </c>
      <c r="D8900" s="524">
        <v>1607.0</v>
      </c>
      <c r="E8900" s="544" t="s">
        <v>251</v>
      </c>
      <c r="F8900" s="387">
        <v>1.0</v>
      </c>
      <c r="G8900" s="140">
        <v>350000.0</v>
      </c>
      <c r="H8900" s="140">
        <v>140000.0</v>
      </c>
      <c r="I8900" s="74">
        <f t="shared" si="1"/>
        <v>210000</v>
      </c>
      <c r="J8900" s="74">
        <f>IF(E8900="SERVICE",I8900-(I8900*50%),Vlookup(E8900,DATABASE!C:Q,10,false)*F8900)</f>
        <v>105000</v>
      </c>
      <c r="K8900" s="74">
        <f>VLOOKUP(E8900,DATABASE!C:Q,7,false)</f>
        <v>0</v>
      </c>
      <c r="L8900" s="74">
        <v>0.0</v>
      </c>
      <c r="M8900" s="74">
        <f t="shared" si="6"/>
        <v>0</v>
      </c>
      <c r="N8900" s="74">
        <f t="shared" si="3"/>
        <v>105000</v>
      </c>
      <c r="O8900" s="65" t="str">
        <f>VLOOKUP(E8900,DATABASE!C:Q,8,false)</f>
        <v>IBU</v>
      </c>
      <c r="P8900" s="65">
        <f>VLOOKUP(E8900,DATABASE!C:Q,9,False)</f>
        <v>0</v>
      </c>
      <c r="Q8900" s="93" t="str">
        <f>VLOOKUP(E8900,DATABASE!C:Q,4,false)</f>
        <v>SERVICE</v>
      </c>
      <c r="R8900" s="93" t="str">
        <f>VLOOKUP(E8900,DATABASE!C:Q,11,false)</f>
        <v>SERVICE</v>
      </c>
    </row>
    <row r="8901" ht="22.5" customHeight="1">
      <c r="A8901" s="49"/>
      <c r="C8901" s="400">
        <v>46178.0</v>
      </c>
      <c r="D8901" s="524">
        <v>1608.0</v>
      </c>
      <c r="E8901" s="544" t="s">
        <v>974</v>
      </c>
      <c r="F8901" s="387">
        <v>2.0</v>
      </c>
      <c r="G8901" s="140">
        <v>590000.0</v>
      </c>
      <c r="H8901" s="74"/>
      <c r="I8901" s="74">
        <f t="shared" si="1"/>
        <v>1180000</v>
      </c>
      <c r="J8901" s="74">
        <f>IF(E8901="SERVICE",I8901-(I8901*50%),Vlookup(E8901,DATABASE!C:Q,10,false)*F8901)</f>
        <v>0</v>
      </c>
      <c r="K8901" s="74">
        <f>VLOOKUP(E8901,DATABASE!C:Q,7,false)</f>
        <v>501500</v>
      </c>
      <c r="L8901" s="74">
        <v>501500.0</v>
      </c>
      <c r="M8901" s="74">
        <f t="shared" si="6"/>
        <v>505000</v>
      </c>
      <c r="N8901" s="74">
        <f t="shared" si="3"/>
        <v>170000</v>
      </c>
      <c r="O8901" s="65" t="str">
        <f>VLOOKUP(E8901,DATABASE!C:Q,8,false)</f>
        <v>IBU</v>
      </c>
      <c r="P8901" s="65">
        <f>VLOOKUP(E8901,DATABASE!C:Q,9,False)</f>
        <v>1</v>
      </c>
      <c r="Q8901" s="93" t="str">
        <f>VLOOKUP(E8901,DATABASE!C:Q,4,false)</f>
        <v>Dunlop</v>
      </c>
      <c r="R8901" s="93" t="str">
        <f>VLOOKUP(E8901,DATABASE!C:Q,11,false)</f>
        <v>Tire</v>
      </c>
    </row>
    <row r="8902" ht="22.5" customHeight="1">
      <c r="A8902" s="49"/>
      <c r="C8902" s="400">
        <v>46178.0</v>
      </c>
      <c r="D8902" s="524">
        <v>1609.0</v>
      </c>
      <c r="E8902" s="544" t="s">
        <v>932</v>
      </c>
      <c r="F8902" s="387">
        <v>2.0</v>
      </c>
      <c r="G8902" s="140">
        <v>690000.0</v>
      </c>
      <c r="H8902" s="74"/>
      <c r="I8902" s="74">
        <f t="shared" si="1"/>
        <v>1380000</v>
      </c>
      <c r="J8902" s="74">
        <f>IF(E8902="SERVICE",I8902-(I8902*50%),Vlookup(E8902,DATABASE!C:Q,10,false)*F8902)</f>
        <v>0</v>
      </c>
      <c r="K8902" s="74">
        <f>VLOOKUP(E8902,DATABASE!C:Q,7,false)</f>
        <v>601000</v>
      </c>
      <c r="L8902" s="74">
        <v>601000.0</v>
      </c>
      <c r="M8902" s="74">
        <f t="shared" si="6"/>
        <v>605000</v>
      </c>
      <c r="N8902" s="74">
        <f t="shared" si="3"/>
        <v>170000</v>
      </c>
      <c r="O8902" s="65" t="str">
        <f>VLOOKUP(E8902,DATABASE!C:Q,8,false)</f>
        <v>IBU</v>
      </c>
      <c r="P8902" s="65">
        <f>VLOOKUP(E8902,DATABASE!C:Q,9,False)</f>
        <v>1</v>
      </c>
      <c r="Q8902" s="93" t="str">
        <f>VLOOKUP(E8902,DATABASE!C:Q,4,false)</f>
        <v>Dunlop</v>
      </c>
      <c r="R8902" s="93" t="str">
        <f>VLOOKUP(E8902,DATABASE!C:Q,11,false)</f>
        <v>Tire</v>
      </c>
    </row>
    <row r="8903" ht="22.5" customHeight="1">
      <c r="A8903" s="49"/>
      <c r="C8903" s="400">
        <v>46178.0</v>
      </c>
      <c r="D8903" s="524">
        <v>1610.0</v>
      </c>
      <c r="E8903" s="544" t="s">
        <v>572</v>
      </c>
      <c r="F8903" s="387">
        <v>2.0</v>
      </c>
      <c r="G8903" s="140">
        <v>1370000.0</v>
      </c>
      <c r="H8903" s="140">
        <v>20000.0</v>
      </c>
      <c r="I8903" s="74">
        <f t="shared" si="1"/>
        <v>2700000</v>
      </c>
      <c r="J8903" s="74">
        <f>IF(E8903="SERVICE",I8903-(I8903*50%),Vlookup(E8903,DATABASE!C:Q,10,false)*F8903)</f>
        <v>0</v>
      </c>
      <c r="K8903" s="74">
        <f>VLOOKUP(E8903,DATABASE!C:Q,7,false)</f>
        <v>1265000</v>
      </c>
      <c r="L8903" s="74">
        <v>1245000.0</v>
      </c>
      <c r="M8903" s="74">
        <f t="shared" si="6"/>
        <v>1245000</v>
      </c>
      <c r="N8903" s="74">
        <f t="shared" si="3"/>
        <v>210000</v>
      </c>
      <c r="O8903" s="65" t="str">
        <f>VLOOKUP(E8903,DATABASE!C:Q,8,false)</f>
        <v>IBU</v>
      </c>
      <c r="P8903" s="65">
        <f>VLOOKUP(E8903,DATABASE!C:Q,9,False)</f>
        <v>1</v>
      </c>
      <c r="Q8903" s="93" t="str">
        <f>VLOOKUP(E8903,DATABASE!C:Q,4,false)</f>
        <v>Bridgestone</v>
      </c>
      <c r="R8903" s="93" t="str">
        <f>VLOOKUP(E8903,DATABASE!C:Q,11,false)</f>
        <v>Tire</v>
      </c>
    </row>
    <row r="8904" ht="22.5" customHeight="1">
      <c r="A8904" s="49"/>
      <c r="C8904" s="400">
        <v>46178.0</v>
      </c>
      <c r="D8904" s="524">
        <v>1611.0</v>
      </c>
      <c r="E8904" s="544" t="s">
        <v>299</v>
      </c>
      <c r="F8904" s="387">
        <v>2.0</v>
      </c>
      <c r="G8904" s="140">
        <v>30000.0</v>
      </c>
      <c r="H8904" s="74"/>
      <c r="I8904" s="74">
        <f t="shared" si="1"/>
        <v>60000</v>
      </c>
      <c r="J8904" s="74">
        <f>IF(E8904="SERVICE",I8904-(I8904*50%),Vlookup(E8904,DATABASE!C:Q,10,false)*F8904)</f>
        <v>0</v>
      </c>
      <c r="K8904" s="74">
        <f>VLOOKUP(E8904,DATABASE!C:Q,7,false)</f>
        <v>10000</v>
      </c>
      <c r="L8904" s="74">
        <v>10000.0</v>
      </c>
      <c r="M8904" s="74">
        <f t="shared" si="6"/>
        <v>10000</v>
      </c>
      <c r="N8904" s="74">
        <f t="shared" si="3"/>
        <v>40000</v>
      </c>
      <c r="O8904" s="65" t="str">
        <f>VLOOKUP(E8904,DATABASE!C:Q,8,false)</f>
        <v>BIAN</v>
      </c>
      <c r="P8904" s="65">
        <f>VLOOKUP(E8904,DATABASE!C:Q,9,False)</f>
        <v>0</v>
      </c>
      <c r="Q8904" s="93" t="str">
        <f>VLOOKUP(E8904,DATABASE!C:Q,4,false)</f>
        <v>Balancing</v>
      </c>
      <c r="R8904" s="93" t="str">
        <f>VLOOKUP(E8904,DATABASE!C:Q,11,false)</f>
        <v>COMPLEMENTARY</v>
      </c>
    </row>
    <row r="8905" ht="22.5" customHeight="1">
      <c r="A8905" s="49"/>
      <c r="C8905" s="400">
        <v>46178.0</v>
      </c>
      <c r="D8905" s="524">
        <v>1611.0</v>
      </c>
      <c r="E8905" s="544" t="s">
        <v>256</v>
      </c>
      <c r="F8905" s="387">
        <v>1.0</v>
      </c>
      <c r="G8905" s="140">
        <v>175000.0</v>
      </c>
      <c r="H8905" s="140">
        <v>25000.0</v>
      </c>
      <c r="I8905" s="74">
        <f t="shared" si="1"/>
        <v>150000</v>
      </c>
      <c r="J8905" s="74">
        <f>IF(E8905="SERVICE",I8905-(I8905*50%),Vlookup(E8905,DATABASE!C:Q,10,false)*F8905)</f>
        <v>10000</v>
      </c>
      <c r="K8905" s="74">
        <f>VLOOKUP(E8905,DATABASE!C:Q,7,false)</f>
        <v>0</v>
      </c>
      <c r="L8905" s="74">
        <v>0.0</v>
      </c>
      <c r="M8905" s="74">
        <f t="shared" si="6"/>
        <v>0</v>
      </c>
      <c r="N8905" s="74">
        <f t="shared" si="3"/>
        <v>140000</v>
      </c>
      <c r="O8905" s="65" t="str">
        <f>VLOOKUP(E8905,DATABASE!C:Q,8,false)</f>
        <v>IBU</v>
      </c>
      <c r="P8905" s="65">
        <f>VLOOKUP(E8905,DATABASE!C:Q,9,False)</f>
        <v>0</v>
      </c>
      <c r="Q8905" s="93" t="str">
        <f>VLOOKUP(E8905,DATABASE!C:Q,4,false)</f>
        <v>SPOORING</v>
      </c>
      <c r="R8905" s="93" t="str">
        <f>VLOOKUP(E8905,DATABASE!C:Q,11,false)</f>
        <v>SERVICE</v>
      </c>
    </row>
    <row r="8906" ht="22.5" customHeight="1">
      <c r="A8906" s="49"/>
      <c r="C8906" s="400">
        <v>46178.0</v>
      </c>
      <c r="D8906" s="524">
        <v>1611.0</v>
      </c>
      <c r="E8906" s="544" t="s">
        <v>251</v>
      </c>
      <c r="F8906" s="387">
        <v>1.0</v>
      </c>
      <c r="G8906" s="140">
        <v>350000.0</v>
      </c>
      <c r="H8906" s="140">
        <v>100000.0</v>
      </c>
      <c r="I8906" s="74">
        <f t="shared" si="1"/>
        <v>250000</v>
      </c>
      <c r="J8906" s="74">
        <f>IF(E8906="SERVICE",I8906-(I8906*50%),Vlookup(E8906,DATABASE!C:Q,10,false)*F8906)</f>
        <v>125000</v>
      </c>
      <c r="K8906" s="74">
        <f>VLOOKUP(E8906,DATABASE!C:Q,7,false)</f>
        <v>0</v>
      </c>
      <c r="L8906" s="74">
        <v>0.0</v>
      </c>
      <c r="M8906" s="74">
        <f t="shared" si="6"/>
        <v>0</v>
      </c>
      <c r="N8906" s="74">
        <f t="shared" si="3"/>
        <v>125000</v>
      </c>
      <c r="O8906" s="65" t="str">
        <f>VLOOKUP(E8906,DATABASE!C:Q,8,false)</f>
        <v>IBU</v>
      </c>
      <c r="P8906" s="65">
        <f>VLOOKUP(E8906,DATABASE!C:Q,9,False)</f>
        <v>0</v>
      </c>
      <c r="Q8906" s="93" t="str">
        <f>VLOOKUP(E8906,DATABASE!C:Q,4,false)</f>
        <v>SERVICE</v>
      </c>
      <c r="R8906" s="93" t="str">
        <f>VLOOKUP(E8906,DATABASE!C:Q,11,false)</f>
        <v>SERVICE</v>
      </c>
    </row>
    <row r="8907" ht="22.5" customHeight="1">
      <c r="A8907" s="49"/>
      <c r="C8907" s="400">
        <v>46178.0</v>
      </c>
      <c r="D8907" s="69" t="s">
        <v>2830</v>
      </c>
      <c r="E8907" s="544" t="s">
        <v>2195</v>
      </c>
      <c r="F8907" s="387">
        <v>4.0</v>
      </c>
      <c r="G8907" s="140">
        <v>340000.0</v>
      </c>
      <c r="H8907" s="74"/>
      <c r="I8907" s="74">
        <f t="shared" si="1"/>
        <v>1360000</v>
      </c>
      <c r="J8907" s="74">
        <f>IF(E8907="SERVICE",I8907-(I8907*50%),Vlookup(E8907,DATABASE!C:Q,10,false)*F8907)</f>
        <v>0</v>
      </c>
      <c r="K8907" s="74">
        <f>VLOOKUP(E8907,DATABASE!C:Q,7,false)</f>
        <v>329877</v>
      </c>
      <c r="L8907" s="74">
        <v>289857.0</v>
      </c>
      <c r="M8907" s="74">
        <f t="shared" si="6"/>
        <v>290000</v>
      </c>
      <c r="N8907" s="74">
        <f t="shared" si="3"/>
        <v>200000</v>
      </c>
      <c r="O8907" s="65" t="str">
        <f>VLOOKUP(E8907,DATABASE!C:Q,8,false)</f>
        <v>NON</v>
      </c>
      <c r="P8907" s="65">
        <f>VLOOKUP(E8907,DATABASE!C:Q,9,False)</f>
        <v>0</v>
      </c>
      <c r="Q8907" s="93" t="str">
        <f>VLOOKUP(E8907,DATABASE!C:Q,4,false)</f>
        <v>Shell</v>
      </c>
      <c r="R8907" s="93" t="str">
        <f>VLOOKUP(E8907,DATABASE!C:Q,11,false)</f>
        <v>OIL</v>
      </c>
    </row>
    <row r="8908" ht="22.5" customHeight="1">
      <c r="A8908" s="49"/>
      <c r="C8908" s="400">
        <v>46178.0</v>
      </c>
      <c r="D8908" s="69" t="s">
        <v>2830</v>
      </c>
      <c r="E8908" s="544" t="s">
        <v>252</v>
      </c>
      <c r="F8908" s="387">
        <v>1.0</v>
      </c>
      <c r="G8908" s="140">
        <v>345000.0</v>
      </c>
      <c r="H8908" s="74"/>
      <c r="I8908" s="74">
        <f t="shared" si="1"/>
        <v>345000</v>
      </c>
      <c r="J8908" s="74">
        <f>IF(E8908="SERVICE",I8908-(I8908*50%),Vlookup(E8908,DATABASE!C:Q,10,false)*F8908)</f>
        <v>0</v>
      </c>
      <c r="K8908" s="74">
        <f>VLOOKUP(E8908,DATABASE!C:Q,7,false)</f>
        <v>317518</v>
      </c>
      <c r="L8908" s="74">
        <v>294418.0</v>
      </c>
      <c r="M8908" s="74">
        <f t="shared" si="6"/>
        <v>295000</v>
      </c>
      <c r="N8908" s="74">
        <f t="shared" si="3"/>
        <v>50000</v>
      </c>
      <c r="O8908" s="65" t="str">
        <f>VLOOKUP(E8908,DATABASE!C:Q,8,false)</f>
        <v>NON</v>
      </c>
      <c r="P8908" s="65">
        <f>VLOOKUP(E8908,DATABASE!C:Q,9,False)</f>
        <v>0</v>
      </c>
      <c r="Q8908" s="93" t="str">
        <f>VLOOKUP(E8908,DATABASE!C:Q,4,false)</f>
        <v>Shell</v>
      </c>
      <c r="R8908" s="93" t="str">
        <f>VLOOKUP(E8908,DATABASE!C:Q,11,false)</f>
        <v>OIL</v>
      </c>
    </row>
    <row r="8909" ht="22.5" customHeight="1">
      <c r="A8909" s="49"/>
      <c r="C8909" s="400">
        <v>46178.0</v>
      </c>
      <c r="D8909" s="69" t="s">
        <v>2830</v>
      </c>
      <c r="E8909" s="544" t="s">
        <v>298</v>
      </c>
      <c r="F8909" s="387">
        <v>1.0</v>
      </c>
      <c r="G8909" s="140">
        <v>25000.0</v>
      </c>
      <c r="H8909" s="74"/>
      <c r="I8909" s="74">
        <f t="shared" si="1"/>
        <v>25000</v>
      </c>
      <c r="J8909" s="74">
        <f>IF(E8909="SERVICE",I8909-(I8909*50%),Vlookup(E8909,DATABASE!C:Q,10,false)*F8909)</f>
        <v>0</v>
      </c>
      <c r="K8909" s="74">
        <f>VLOOKUP(E8909,DATABASE!C:Q,7,false)</f>
        <v>19200</v>
      </c>
      <c r="L8909" s="74">
        <v>19200.0</v>
      </c>
      <c r="M8909" s="74">
        <f t="shared" si="6"/>
        <v>20000</v>
      </c>
      <c r="N8909" s="74">
        <f t="shared" si="3"/>
        <v>5000</v>
      </c>
      <c r="O8909" s="65" t="str">
        <f>VLOOKUP(E8909,DATABASE!C:Q,8,false)</f>
        <v>BIAN</v>
      </c>
      <c r="P8909" s="65">
        <f>VLOOKUP(E8909,DATABASE!C:Q,9,False)</f>
        <v>0</v>
      </c>
      <c r="Q8909" s="93" t="str">
        <f>VLOOKUP(E8909,DATABASE!C:Q,4,false)</f>
        <v>Aspira</v>
      </c>
      <c r="R8909" s="93" t="str">
        <f>VLOOKUP(E8909,DATABASE!C:Q,11,false)</f>
        <v>COMPLEMENTARY</v>
      </c>
    </row>
    <row r="8910" ht="22.5" customHeight="1">
      <c r="A8910" s="49"/>
      <c r="C8910" s="400">
        <v>46178.0</v>
      </c>
      <c r="D8910" s="69" t="s">
        <v>2831</v>
      </c>
      <c r="E8910" s="544" t="s">
        <v>252</v>
      </c>
      <c r="F8910" s="387">
        <v>1.0</v>
      </c>
      <c r="G8910" s="140">
        <v>345000.0</v>
      </c>
      <c r="H8910" s="74"/>
      <c r="I8910" s="74">
        <f t="shared" si="1"/>
        <v>345000</v>
      </c>
      <c r="J8910" s="74">
        <f>IF(E8910="SERVICE",I8910-(I8910*50%),Vlookup(E8910,DATABASE!C:Q,10,false)*F8910)</f>
        <v>0</v>
      </c>
      <c r="K8910" s="74">
        <f>VLOOKUP(E8910,DATABASE!C:Q,7,false)</f>
        <v>317518</v>
      </c>
      <c r="L8910" s="74">
        <v>294418.0</v>
      </c>
      <c r="M8910" s="74">
        <f t="shared" si="6"/>
        <v>295000</v>
      </c>
      <c r="N8910" s="74">
        <f t="shared" si="3"/>
        <v>50000</v>
      </c>
      <c r="O8910" s="65" t="str">
        <f>VLOOKUP(E8910,DATABASE!C:Q,8,false)</f>
        <v>NON</v>
      </c>
      <c r="P8910" s="65">
        <f>VLOOKUP(E8910,DATABASE!C:Q,9,False)</f>
        <v>0</v>
      </c>
      <c r="Q8910" s="93" t="str">
        <f>VLOOKUP(E8910,DATABASE!C:Q,4,false)</f>
        <v>Shell</v>
      </c>
      <c r="R8910" s="93" t="str">
        <f>VLOOKUP(E8910,DATABASE!C:Q,11,false)</f>
        <v>OIL</v>
      </c>
    </row>
    <row r="8911" ht="22.5" customHeight="1">
      <c r="A8911" s="29"/>
      <c r="C8911" s="400">
        <v>46179.0</v>
      </c>
      <c r="D8911" s="524">
        <v>1612.0</v>
      </c>
      <c r="E8911" s="544" t="s">
        <v>968</v>
      </c>
      <c r="F8911" s="387">
        <v>2.0</v>
      </c>
      <c r="G8911" s="140">
        <v>675000.0</v>
      </c>
      <c r="H8911" s="74"/>
      <c r="I8911" s="74">
        <f t="shared" si="1"/>
        <v>1350000</v>
      </c>
      <c r="J8911" s="74">
        <f>IF(E8911="SERVICE",I8911-(I8911*50%),Vlookup(E8911,DATABASE!C:Q,10,false)*F8911)</f>
        <v>0</v>
      </c>
      <c r="K8911" s="74">
        <f>VLOOKUP(E8911,DATABASE!C:Q,7,false)</f>
        <v>582500</v>
      </c>
      <c r="L8911" s="74">
        <v>582500.0</v>
      </c>
      <c r="M8911" s="74">
        <f t="shared" si="6"/>
        <v>585000</v>
      </c>
      <c r="N8911" s="74">
        <f t="shared" si="3"/>
        <v>180000</v>
      </c>
      <c r="O8911" s="65" t="str">
        <f>VLOOKUP(E8911,DATABASE!C:Q,8,false)</f>
        <v>IBU</v>
      </c>
      <c r="P8911" s="65">
        <f>VLOOKUP(E8911,DATABASE!C:Q,9,False)</f>
        <v>1</v>
      </c>
      <c r="Q8911" s="93" t="str">
        <f>VLOOKUP(E8911,DATABASE!C:Q,4,false)</f>
        <v>Dunlop</v>
      </c>
      <c r="R8911" s="93" t="str">
        <f>VLOOKUP(E8911,DATABASE!C:Q,11,false)</f>
        <v>Tire</v>
      </c>
    </row>
    <row r="8912" ht="22.5" customHeight="1">
      <c r="A8912" s="49"/>
      <c r="C8912" s="400">
        <v>46179.0</v>
      </c>
      <c r="D8912" s="524">
        <v>1613.0</v>
      </c>
      <c r="E8912" s="544" t="s">
        <v>265</v>
      </c>
      <c r="F8912" s="387">
        <v>1.0</v>
      </c>
      <c r="G8912" s="140">
        <v>700000.0</v>
      </c>
      <c r="H8912" s="74"/>
      <c r="I8912" s="74">
        <f t="shared" si="1"/>
        <v>700000</v>
      </c>
      <c r="J8912" s="74">
        <f>IF(E8912="SERVICE",I8912-(I8912*50%),Vlookup(E8912,DATABASE!C:Q,10,false)*F8912)</f>
        <v>0</v>
      </c>
      <c r="K8912" s="74">
        <f>VLOOKUP(E8912,DATABASE!C:Q,7,false)</f>
        <v>628000</v>
      </c>
      <c r="L8912" s="74">
        <v>610000.0</v>
      </c>
      <c r="M8912" s="74">
        <f t="shared" si="6"/>
        <v>610000</v>
      </c>
      <c r="N8912" s="74">
        <f t="shared" si="3"/>
        <v>90000</v>
      </c>
      <c r="O8912" s="65" t="str">
        <f>VLOOKUP(E8912,DATABASE!C:Q,8,false)</f>
        <v>IBU</v>
      </c>
      <c r="P8912" s="65">
        <f>VLOOKUP(E8912,DATABASE!C:Q,9,False)</f>
        <v>1</v>
      </c>
      <c r="Q8912" s="93" t="str">
        <f>VLOOKUP(E8912,DATABASE!C:Q,4,false)</f>
        <v>Dunlop</v>
      </c>
      <c r="R8912" s="93" t="str">
        <f>VLOOKUP(E8912,DATABASE!C:Q,11,false)</f>
        <v>Tire</v>
      </c>
    </row>
    <row r="8913" ht="22.5" customHeight="1">
      <c r="A8913" s="49"/>
      <c r="C8913" s="400">
        <v>46179.0</v>
      </c>
      <c r="D8913" s="524">
        <v>1614.0</v>
      </c>
      <c r="E8913" s="544" t="s">
        <v>566</v>
      </c>
      <c r="F8913" s="387">
        <v>2.0</v>
      </c>
      <c r="G8913" s="140">
        <v>1670000.0</v>
      </c>
      <c r="H8913" s="140">
        <v>20000.0</v>
      </c>
      <c r="I8913" s="74">
        <f t="shared" si="1"/>
        <v>3300000</v>
      </c>
      <c r="J8913" s="74">
        <f>IF(E8913="SERVICE",I8913-(I8913*50%),Vlookup(E8913,DATABASE!C:Q,10,false)*F8913)</f>
        <v>0</v>
      </c>
      <c r="K8913" s="74">
        <f>VLOOKUP(E8913,DATABASE!C:Q,7,false)</f>
        <v>1565000</v>
      </c>
      <c r="L8913" s="74">
        <v>1545000.0</v>
      </c>
      <c r="M8913" s="74">
        <f t="shared" si="6"/>
        <v>1545000</v>
      </c>
      <c r="N8913" s="74">
        <f t="shared" si="3"/>
        <v>210000</v>
      </c>
      <c r="O8913" s="65" t="str">
        <f>VLOOKUP(E8913,DATABASE!C:Q,8,false)</f>
        <v>IBU</v>
      </c>
      <c r="P8913" s="65">
        <f>VLOOKUP(E8913,DATABASE!C:Q,9,False)</f>
        <v>1</v>
      </c>
      <c r="Q8913" s="93" t="str">
        <f>VLOOKUP(E8913,DATABASE!C:Q,4,false)</f>
        <v>Bridgestone</v>
      </c>
      <c r="R8913" s="93" t="str">
        <f>VLOOKUP(E8913,DATABASE!C:Q,11,false)</f>
        <v>Tire</v>
      </c>
    </row>
    <row r="8914" ht="22.5" customHeight="1">
      <c r="A8914" s="49"/>
      <c r="C8914" s="400">
        <v>46179.0</v>
      </c>
      <c r="D8914" s="524">
        <v>1615.0</v>
      </c>
      <c r="E8914" s="544" t="s">
        <v>554</v>
      </c>
      <c r="F8914" s="387">
        <v>1.0</v>
      </c>
      <c r="G8914" s="140">
        <v>790000.0</v>
      </c>
      <c r="H8914" s="74"/>
      <c r="I8914" s="74">
        <f t="shared" si="1"/>
        <v>790000</v>
      </c>
      <c r="J8914" s="74">
        <f>IF(E8914="SERVICE",I8914-(I8914*50%),Vlookup(E8914,DATABASE!C:Q,10,false)*F8914)</f>
        <v>0</v>
      </c>
      <c r="K8914" s="74">
        <f>VLOOKUP(E8914,DATABASE!C:Q,7,false)</f>
        <v>710000</v>
      </c>
      <c r="L8914" s="74">
        <v>705000.0</v>
      </c>
      <c r="M8914" s="74">
        <f t="shared" si="6"/>
        <v>705000</v>
      </c>
      <c r="N8914" s="74">
        <f t="shared" si="3"/>
        <v>85000</v>
      </c>
      <c r="O8914" s="65" t="str">
        <f>VLOOKUP(E8914,DATABASE!C:Q,8,false)</f>
        <v>IBU</v>
      </c>
      <c r="P8914" s="65">
        <f>VLOOKUP(E8914,DATABASE!C:Q,9,False)</f>
        <v>1</v>
      </c>
      <c r="Q8914" s="93" t="str">
        <f>VLOOKUP(E8914,DATABASE!C:Q,4,false)</f>
        <v>Bridgestone</v>
      </c>
      <c r="R8914" s="93" t="str">
        <f>VLOOKUP(E8914,DATABASE!C:Q,11,false)</f>
        <v>Tire</v>
      </c>
    </row>
    <row r="8915" ht="22.5" customHeight="1">
      <c r="A8915" s="49"/>
      <c r="C8915" s="400">
        <v>46179.0</v>
      </c>
      <c r="D8915" s="524">
        <v>1616.0</v>
      </c>
      <c r="E8915" s="544" t="s">
        <v>256</v>
      </c>
      <c r="F8915" s="387">
        <v>1.0</v>
      </c>
      <c r="G8915" s="140">
        <v>175000.0</v>
      </c>
      <c r="H8915" s="140">
        <v>25000.0</v>
      </c>
      <c r="I8915" s="74">
        <f t="shared" si="1"/>
        <v>150000</v>
      </c>
      <c r="J8915" s="74">
        <f>IF(E8915="SERVICE",I8915-(I8915*50%),Vlookup(E8915,DATABASE!C:Q,10,false)*F8915)</f>
        <v>10000</v>
      </c>
      <c r="K8915" s="74">
        <f>VLOOKUP(E8915,DATABASE!C:Q,7,false)</f>
        <v>0</v>
      </c>
      <c r="L8915" s="74">
        <v>0.0</v>
      </c>
      <c r="M8915" s="74">
        <f t="shared" si="6"/>
        <v>0</v>
      </c>
      <c r="N8915" s="74">
        <f t="shared" si="3"/>
        <v>140000</v>
      </c>
      <c r="O8915" s="65" t="str">
        <f>VLOOKUP(E8915,DATABASE!C:Q,8,false)</f>
        <v>IBU</v>
      </c>
      <c r="P8915" s="65">
        <f>VLOOKUP(E8915,DATABASE!C:Q,9,False)</f>
        <v>0</v>
      </c>
      <c r="Q8915" s="93" t="str">
        <f>VLOOKUP(E8915,DATABASE!C:Q,4,false)</f>
        <v>SPOORING</v>
      </c>
      <c r="R8915" s="93" t="str">
        <f>VLOOKUP(E8915,DATABASE!C:Q,11,false)</f>
        <v>SERVICE</v>
      </c>
    </row>
    <row r="8916" ht="22.5" customHeight="1">
      <c r="A8916" s="49"/>
      <c r="C8916" s="400">
        <v>46179.0</v>
      </c>
      <c r="D8916" s="524">
        <v>1616.0</v>
      </c>
      <c r="E8916" s="544" t="s">
        <v>301</v>
      </c>
      <c r="F8916" s="387">
        <v>1.0</v>
      </c>
      <c r="G8916" s="140">
        <v>250000.0</v>
      </c>
      <c r="H8916" s="74"/>
      <c r="I8916" s="74">
        <f t="shared" si="1"/>
        <v>250000</v>
      </c>
      <c r="J8916" s="74">
        <f>IF(E8916="SERVICE",I8916-(I8916*50%),Vlookup(E8916,DATABASE!C:Q,10,false)*F8916)</f>
        <v>75000</v>
      </c>
      <c r="K8916" s="74">
        <f>VLOOKUP(E8916,DATABASE!C:Q,7,false)</f>
        <v>75000</v>
      </c>
      <c r="L8916" s="74">
        <v>75000.0</v>
      </c>
      <c r="M8916" s="74">
        <f t="shared" si="6"/>
        <v>75000</v>
      </c>
      <c r="N8916" s="74">
        <f t="shared" si="3"/>
        <v>100000</v>
      </c>
      <c r="O8916" s="65" t="str">
        <f>VLOOKUP(E8916,DATABASE!C:Q,8,false)</f>
        <v>BIAN</v>
      </c>
      <c r="P8916" s="65">
        <f>VLOOKUP(E8916,DATABASE!C:Q,9,False)</f>
        <v>0</v>
      </c>
      <c r="Q8916" s="93" t="str">
        <f>VLOOKUP(E8916,DATABASE!C:Q,4,false)</f>
        <v>Baut Camber</v>
      </c>
      <c r="R8916" s="93" t="str">
        <f>VLOOKUP(E8916,DATABASE!C:Q,11,false)</f>
        <v>COMPLEMENTARY</v>
      </c>
    </row>
    <row r="8917" ht="22.5" customHeight="1">
      <c r="A8917" s="49"/>
      <c r="C8917" s="400">
        <v>46179.0</v>
      </c>
      <c r="D8917" s="524">
        <v>1617.0</v>
      </c>
      <c r="E8917" s="544" t="s">
        <v>287</v>
      </c>
      <c r="F8917" s="387">
        <v>1.0</v>
      </c>
      <c r="G8917" s="140">
        <v>800000.0</v>
      </c>
      <c r="H8917" s="74"/>
      <c r="I8917" s="74">
        <f t="shared" si="1"/>
        <v>800000</v>
      </c>
      <c r="J8917" s="74">
        <f>IF(E8917="SERVICE",I8917-(I8917*50%),Vlookup(E8917,DATABASE!C:Q,10,false)*F8917)</f>
        <v>0</v>
      </c>
      <c r="K8917" s="74">
        <f>VLOOKUP(E8917,DATABASE!C:Q,7,false)</f>
        <v>711000</v>
      </c>
      <c r="L8917" s="74">
        <v>711000.0</v>
      </c>
      <c r="M8917" s="74">
        <f t="shared" si="6"/>
        <v>715000</v>
      </c>
      <c r="N8917" s="74">
        <f t="shared" si="3"/>
        <v>85000</v>
      </c>
      <c r="O8917" s="65" t="str">
        <f>VLOOKUP(E8917,DATABASE!C:Q,8,false)</f>
        <v>BIAN</v>
      </c>
      <c r="P8917" s="65">
        <f>VLOOKUP(E8917,DATABASE!C:Q,9,False)</f>
        <v>1</v>
      </c>
      <c r="Q8917" s="93" t="str">
        <f>VLOOKUP(E8917,DATABASE!C:Q,4,false)</f>
        <v>GT</v>
      </c>
      <c r="R8917" s="93" t="str">
        <f>VLOOKUP(E8917,DATABASE!C:Q,11,false)</f>
        <v>Tire</v>
      </c>
    </row>
    <row r="8918" ht="22.5" customHeight="1">
      <c r="A8918" s="49"/>
      <c r="C8918" s="400">
        <v>46179.0</v>
      </c>
      <c r="D8918" s="524">
        <v>1618.0</v>
      </c>
      <c r="E8918" s="544" t="s">
        <v>265</v>
      </c>
      <c r="F8918" s="387">
        <v>2.0</v>
      </c>
      <c r="G8918" s="140">
        <v>700000.0</v>
      </c>
      <c r="H8918" s="74"/>
      <c r="I8918" s="74">
        <f t="shared" si="1"/>
        <v>1400000</v>
      </c>
      <c r="J8918" s="74">
        <f>IF(E8918="SERVICE",I8918-(I8918*50%),Vlookup(E8918,DATABASE!C:Q,10,false)*F8918)</f>
        <v>0</v>
      </c>
      <c r="K8918" s="74">
        <f>VLOOKUP(E8918,DATABASE!C:Q,7,false)</f>
        <v>628000</v>
      </c>
      <c r="L8918" s="74">
        <v>610000.0</v>
      </c>
      <c r="M8918" s="74">
        <f t="shared" si="6"/>
        <v>610000</v>
      </c>
      <c r="N8918" s="74">
        <f t="shared" si="3"/>
        <v>180000</v>
      </c>
      <c r="O8918" s="65" t="str">
        <f>VLOOKUP(E8918,DATABASE!C:Q,8,false)</f>
        <v>IBU</v>
      </c>
      <c r="P8918" s="65">
        <f>VLOOKUP(E8918,DATABASE!C:Q,9,False)</f>
        <v>1</v>
      </c>
      <c r="Q8918" s="93" t="str">
        <f>VLOOKUP(E8918,DATABASE!C:Q,4,false)</f>
        <v>Dunlop</v>
      </c>
      <c r="R8918" s="93" t="str">
        <f>VLOOKUP(E8918,DATABASE!C:Q,11,false)</f>
        <v>Tire</v>
      </c>
    </row>
    <row r="8919" ht="22.5" customHeight="1">
      <c r="A8919" s="49"/>
      <c r="C8919" s="400">
        <v>46179.0</v>
      </c>
      <c r="D8919" s="524">
        <v>1619.0</v>
      </c>
      <c r="E8919" s="544" t="s">
        <v>1970</v>
      </c>
      <c r="F8919" s="387">
        <v>2.0</v>
      </c>
      <c r="G8919" s="140">
        <v>915000.0</v>
      </c>
      <c r="H8919" s="74"/>
      <c r="I8919" s="74">
        <f t="shared" si="1"/>
        <v>1830000</v>
      </c>
      <c r="J8919" s="74">
        <f>IF(E8919="SERVICE",I8919-(I8919*50%),Vlookup(E8919,DATABASE!C:Q,10,false)*F8919)</f>
        <v>0</v>
      </c>
      <c r="K8919" s="74">
        <f>VLOOKUP(E8919,DATABASE!C:Q,7,false)</f>
        <v>813300</v>
      </c>
      <c r="L8919" s="74">
        <v>813300.0</v>
      </c>
      <c r="M8919" s="74">
        <f t="shared" si="6"/>
        <v>815000</v>
      </c>
      <c r="N8919" s="74">
        <f t="shared" si="3"/>
        <v>200000</v>
      </c>
      <c r="O8919" s="65" t="str">
        <f>VLOOKUP(E8919,DATABASE!C:Q,8,false)</f>
        <v>BIAN</v>
      </c>
      <c r="P8919" s="65">
        <f>VLOOKUP(E8919,DATABASE!C:Q,9,False)</f>
        <v>1</v>
      </c>
      <c r="Q8919" s="93" t="str">
        <f>VLOOKUP(E8919,DATABASE!C:Q,4,false)</f>
        <v>GT</v>
      </c>
      <c r="R8919" s="93" t="str">
        <f>VLOOKUP(E8919,DATABASE!C:Q,11,false)</f>
        <v>Tire</v>
      </c>
    </row>
    <row r="8920" ht="22.5" customHeight="1">
      <c r="A8920" s="49"/>
      <c r="C8920" s="400">
        <v>46179.0</v>
      </c>
      <c r="D8920" s="524">
        <v>1620.0</v>
      </c>
      <c r="E8920" s="544" t="s">
        <v>591</v>
      </c>
      <c r="F8920" s="387">
        <v>2.0</v>
      </c>
      <c r="G8920" s="140">
        <v>710000.0</v>
      </c>
      <c r="H8920" s="140">
        <v>10000.0</v>
      </c>
      <c r="I8920" s="74">
        <f t="shared" si="1"/>
        <v>1400000</v>
      </c>
      <c r="J8920" s="74">
        <f>IF(E8920="SERVICE",I8920-(I8920*50%),Vlookup(E8920,DATABASE!C:Q,10,false)*F8920)</f>
        <v>0</v>
      </c>
      <c r="K8920" s="74">
        <f>VLOOKUP(E8920,DATABASE!C:Q,7,false)</f>
        <v>633035.16</v>
      </c>
      <c r="L8920" s="74">
        <v>609844.375</v>
      </c>
      <c r="M8920" s="74">
        <f t="shared" si="6"/>
        <v>610000</v>
      </c>
      <c r="N8920" s="74">
        <f t="shared" si="3"/>
        <v>180000</v>
      </c>
      <c r="O8920" s="65" t="str">
        <f>VLOOKUP(E8920,DATABASE!C:Q,8,false)</f>
        <v>IBU</v>
      </c>
      <c r="P8920" s="65">
        <f>VLOOKUP(E8920,DATABASE!C:Q,9,False)</f>
        <v>1</v>
      </c>
      <c r="Q8920" s="93" t="str">
        <f>VLOOKUP(E8920,DATABASE!C:Q,4,false)</f>
        <v>Bridgestone</v>
      </c>
      <c r="R8920" s="93" t="str">
        <f>VLOOKUP(E8920,DATABASE!C:Q,11,false)</f>
        <v>Tire</v>
      </c>
    </row>
    <row r="8921" ht="22.5" customHeight="1">
      <c r="A8921" s="49"/>
      <c r="C8921" s="400">
        <v>46179.0</v>
      </c>
      <c r="D8921" s="524">
        <v>1621.0</v>
      </c>
      <c r="E8921" s="544" t="s">
        <v>265</v>
      </c>
      <c r="F8921" s="387">
        <v>2.0</v>
      </c>
      <c r="G8921" s="140">
        <v>700000.0</v>
      </c>
      <c r="H8921" s="74"/>
      <c r="I8921" s="74">
        <f t="shared" si="1"/>
        <v>1400000</v>
      </c>
      <c r="J8921" s="74">
        <f>IF(E8921="SERVICE",I8921-(I8921*50%),Vlookup(E8921,DATABASE!C:Q,10,false)*F8921)</f>
        <v>0</v>
      </c>
      <c r="K8921" s="74">
        <f>VLOOKUP(E8921,DATABASE!C:Q,7,false)</f>
        <v>628000</v>
      </c>
      <c r="L8921" s="74">
        <v>610000.0</v>
      </c>
      <c r="M8921" s="74">
        <f t="shared" si="6"/>
        <v>610000</v>
      </c>
      <c r="N8921" s="74">
        <f t="shared" si="3"/>
        <v>180000</v>
      </c>
      <c r="O8921" s="65" t="str">
        <f>VLOOKUP(E8921,DATABASE!C:Q,8,false)</f>
        <v>IBU</v>
      </c>
      <c r="P8921" s="65">
        <f>VLOOKUP(E8921,DATABASE!C:Q,9,False)</f>
        <v>1</v>
      </c>
      <c r="Q8921" s="93" t="str">
        <f>VLOOKUP(E8921,DATABASE!C:Q,4,false)</f>
        <v>Dunlop</v>
      </c>
      <c r="R8921" s="93" t="str">
        <f>VLOOKUP(E8921,DATABASE!C:Q,11,false)</f>
        <v>Tire</v>
      </c>
    </row>
    <row r="8922" ht="22.5" customHeight="1">
      <c r="A8922" s="29"/>
      <c r="C8922" s="400">
        <v>46179.0</v>
      </c>
      <c r="D8922" s="524">
        <v>1622.0</v>
      </c>
      <c r="E8922" s="544" t="s">
        <v>605</v>
      </c>
      <c r="F8922" s="387">
        <v>1.0</v>
      </c>
      <c r="G8922" s="140">
        <v>765000.0</v>
      </c>
      <c r="H8922" s="74"/>
      <c r="I8922" s="74">
        <f t="shared" si="1"/>
        <v>765000</v>
      </c>
      <c r="J8922" s="74">
        <f>IF(E8922="SERVICE",I8922-(I8922*50%),Vlookup(E8922,DATABASE!C:Q,10,false)*F8922)</f>
        <v>0</v>
      </c>
      <c r="K8922" s="74">
        <f>VLOOKUP(E8922,DATABASE!C:Q,7,false)</f>
        <v>675000</v>
      </c>
      <c r="L8922" s="74">
        <v>675000.0</v>
      </c>
      <c r="M8922" s="74">
        <f t="shared" si="6"/>
        <v>675000</v>
      </c>
      <c r="N8922" s="74">
        <f t="shared" si="3"/>
        <v>90000</v>
      </c>
      <c r="O8922" s="65" t="str">
        <f>VLOOKUP(E8922,DATABASE!C:Q,8,false)</f>
        <v>IBU</v>
      </c>
      <c r="P8922" s="65">
        <f>VLOOKUP(E8922,DATABASE!C:Q,9,False)</f>
        <v>1</v>
      </c>
      <c r="Q8922" s="93" t="str">
        <f>VLOOKUP(E8922,DATABASE!C:Q,4,false)</f>
        <v>Bridgestone</v>
      </c>
      <c r="R8922" s="93" t="str">
        <f>VLOOKUP(E8922,DATABASE!C:Q,11,false)</f>
        <v>Tire</v>
      </c>
    </row>
    <row r="8923" ht="22.5" customHeight="1">
      <c r="A8923" s="49"/>
      <c r="C8923" s="400">
        <v>46179.0</v>
      </c>
      <c r="D8923" s="524">
        <v>1623.0</v>
      </c>
      <c r="E8923" s="544" t="s">
        <v>744</v>
      </c>
      <c r="F8923" s="387">
        <v>1.0</v>
      </c>
      <c r="G8923" s="140">
        <v>230000.0</v>
      </c>
      <c r="H8923" s="74"/>
      <c r="I8923" s="74">
        <f t="shared" si="1"/>
        <v>230000</v>
      </c>
      <c r="J8923" s="74">
        <f>IF(E8923="SERVICE",I8923-(I8923*50%),Vlookup(E8923,DATABASE!C:Q,10,false)*F8923)</f>
        <v>0</v>
      </c>
      <c r="K8923" s="74">
        <f>VLOOKUP(E8923,DATABASE!C:Q,7,false)</f>
        <v>182200</v>
      </c>
      <c r="L8923" s="74">
        <v>182200.0</v>
      </c>
      <c r="M8923" s="74">
        <f t="shared" si="6"/>
        <v>185000</v>
      </c>
      <c r="N8923" s="74">
        <f t="shared" si="3"/>
        <v>45000</v>
      </c>
      <c r="O8923" s="65" t="str">
        <f>VLOOKUP(E8923,DATABASE!C:Q,8,false)</f>
        <v>BIAN</v>
      </c>
      <c r="P8923" s="65">
        <f>VLOOKUP(E8923,DATABASE!C:Q,9,False)</f>
        <v>1</v>
      </c>
      <c r="Q8923" s="93" t="str">
        <f>VLOOKUP(E8923,DATABASE!C:Q,4,false)</f>
        <v>BD</v>
      </c>
      <c r="R8923" s="93" t="str">
        <f>VLOOKUP(E8923,DATABASE!C:Q,11,false)</f>
        <v>Tire</v>
      </c>
    </row>
    <row r="8924" ht="22.5" customHeight="1">
      <c r="A8924" s="49"/>
      <c r="C8924" s="400">
        <v>46179.0</v>
      </c>
      <c r="D8924" s="524">
        <v>1623.0</v>
      </c>
      <c r="E8924" s="544" t="s">
        <v>821</v>
      </c>
      <c r="F8924" s="387">
        <v>1.0</v>
      </c>
      <c r="G8924" s="140">
        <v>90000.0</v>
      </c>
      <c r="H8924" s="74"/>
      <c r="I8924" s="74">
        <f t="shared" si="1"/>
        <v>90000</v>
      </c>
      <c r="J8924" s="74">
        <f>IF(E8924="SERVICE",I8924-(I8924*50%),Vlookup(E8924,DATABASE!C:Q,10,false)*F8924)</f>
        <v>0</v>
      </c>
      <c r="K8924" s="74">
        <f>VLOOKUP(E8924,DATABASE!C:Q,7,false)</f>
        <v>43500</v>
      </c>
      <c r="L8924" s="74">
        <v>43500.0</v>
      </c>
      <c r="M8924" s="74">
        <f t="shared" si="6"/>
        <v>45000</v>
      </c>
      <c r="N8924" s="74">
        <f t="shared" si="3"/>
        <v>45000</v>
      </c>
      <c r="O8924" s="65" t="str">
        <f>VLOOKUP(E8924,DATABASE!C:Q,8,false)</f>
        <v>BIAN</v>
      </c>
      <c r="P8924" s="65">
        <f>VLOOKUP(E8924,DATABASE!C:Q,9,False)</f>
        <v>1</v>
      </c>
      <c r="Q8924" s="93" t="str">
        <f>VLOOKUP(E8924,DATABASE!C:Q,4,false)</f>
        <v>Flap</v>
      </c>
      <c r="R8924" s="93" t="str">
        <f>VLOOKUP(E8924,DATABASE!C:Q,11,false)</f>
        <v>Tire</v>
      </c>
    </row>
    <row r="8925" ht="22.5" customHeight="1">
      <c r="A8925" s="49"/>
      <c r="C8925" s="400">
        <v>46179.0</v>
      </c>
      <c r="D8925" s="69" t="s">
        <v>2832</v>
      </c>
      <c r="E8925" s="544" t="s">
        <v>263</v>
      </c>
      <c r="F8925" s="387">
        <v>1.0</v>
      </c>
      <c r="G8925" s="140">
        <v>360000.0</v>
      </c>
      <c r="H8925" s="74"/>
      <c r="I8925" s="74">
        <f t="shared" si="1"/>
        <v>360000</v>
      </c>
      <c r="J8925" s="74">
        <f>IF(E8925="SERVICE",I8925-(I8925*50%),Vlookup(E8925,DATABASE!C:Q,10,false)*F8925)</f>
        <v>0</v>
      </c>
      <c r="K8925" s="74">
        <f>VLOOKUP(E8925,DATABASE!C:Q,7,false)</f>
        <v>334916</v>
      </c>
      <c r="L8925" s="74">
        <v>307676.0</v>
      </c>
      <c r="M8925" s="74">
        <f t="shared" si="6"/>
        <v>310000</v>
      </c>
      <c r="N8925" s="74">
        <f t="shared" si="3"/>
        <v>50000</v>
      </c>
      <c r="O8925" s="65" t="str">
        <f>VLOOKUP(E8925,DATABASE!C:Q,8,false)</f>
        <v>NON</v>
      </c>
      <c r="P8925" s="65">
        <f>VLOOKUP(E8925,DATABASE!C:Q,9,False)</f>
        <v>0</v>
      </c>
      <c r="Q8925" s="93" t="str">
        <f>VLOOKUP(E8925,DATABASE!C:Q,4,false)</f>
        <v>Shell</v>
      </c>
      <c r="R8925" s="93" t="str">
        <f>VLOOKUP(E8925,DATABASE!C:Q,11,false)</f>
        <v>OIL</v>
      </c>
    </row>
    <row r="8926" ht="22.5" customHeight="1">
      <c r="A8926" s="49"/>
      <c r="C8926" s="400">
        <v>46179.0</v>
      </c>
      <c r="D8926" s="69" t="s">
        <v>2833</v>
      </c>
      <c r="E8926" s="544" t="s">
        <v>248</v>
      </c>
      <c r="F8926" s="387">
        <v>1.0</v>
      </c>
      <c r="G8926" s="140">
        <v>235000.0</v>
      </c>
      <c r="H8926" s="74"/>
      <c r="I8926" s="74">
        <f t="shared" si="1"/>
        <v>235000</v>
      </c>
      <c r="J8926" s="74">
        <f>IF(E8926="SERVICE",I8926-(I8926*50%),Vlookup(E8926,DATABASE!C:Q,10,false)*F8926)</f>
        <v>0</v>
      </c>
      <c r="K8926" s="74">
        <f>VLOOKUP(E8926,DATABASE!C:Q,7,false)</f>
        <v>209816.66</v>
      </c>
      <c r="L8926" s="74">
        <v>185000.0</v>
      </c>
      <c r="M8926" s="74">
        <f t="shared" si="6"/>
        <v>185000</v>
      </c>
      <c r="N8926" s="74">
        <f t="shared" si="3"/>
        <v>50000</v>
      </c>
      <c r="O8926" s="65" t="str">
        <f>VLOOKUP(E8926,DATABASE!C:Q,8,false)</f>
        <v>NON</v>
      </c>
      <c r="P8926" s="65">
        <f>VLOOKUP(E8926,DATABASE!C:Q,9,False)</f>
        <v>0</v>
      </c>
      <c r="Q8926" s="93" t="str">
        <f>VLOOKUP(E8926,DATABASE!C:Q,4,false)</f>
        <v>Pertamina</v>
      </c>
      <c r="R8926" s="93" t="str">
        <f>VLOOKUP(E8926,DATABASE!C:Q,11,false)</f>
        <v>OIL</v>
      </c>
    </row>
    <row r="8927" ht="22.5" customHeight="1">
      <c r="A8927" s="29"/>
      <c r="C8927" s="400">
        <v>46180.0</v>
      </c>
      <c r="D8927" s="69">
        <v>1624.0</v>
      </c>
      <c r="E8927" s="544" t="s">
        <v>275</v>
      </c>
      <c r="F8927" s="387">
        <v>1.0</v>
      </c>
      <c r="G8927" s="140">
        <v>850000.0</v>
      </c>
      <c r="H8927" s="74"/>
      <c r="I8927" s="74">
        <f t="shared" si="1"/>
        <v>850000</v>
      </c>
      <c r="J8927" s="74">
        <f>IF(E8927="SERVICE",I8927-(I8927*50%),Vlookup(E8927,DATABASE!C:Q,10,false)*F8927)</f>
        <v>0</v>
      </c>
      <c r="K8927" s="74">
        <f>VLOOKUP(E8927,DATABASE!C:Q,7,false)</f>
        <v>782000</v>
      </c>
      <c r="L8927" s="74">
        <v>759500.0</v>
      </c>
      <c r="M8927" s="74">
        <f t="shared" si="6"/>
        <v>760000</v>
      </c>
      <c r="N8927" s="74">
        <f t="shared" si="3"/>
        <v>90000</v>
      </c>
      <c r="O8927" s="65" t="str">
        <f>VLOOKUP(E8927,DATABASE!C:Q,8,false)</f>
        <v>IBU</v>
      </c>
      <c r="P8927" s="65">
        <f>VLOOKUP(E8927,DATABASE!C:Q,9,False)</f>
        <v>1</v>
      </c>
      <c r="Q8927" s="93" t="str">
        <f>VLOOKUP(E8927,DATABASE!C:Q,4,false)</f>
        <v>Dunlop</v>
      </c>
      <c r="R8927" s="93" t="str">
        <f>VLOOKUP(E8927,DATABASE!C:Q,11,false)</f>
        <v>Tire</v>
      </c>
    </row>
    <row r="8928" ht="22.5" customHeight="1">
      <c r="A8928" s="29"/>
      <c r="C8928" s="400">
        <v>46180.0</v>
      </c>
      <c r="D8928" s="69">
        <v>1625.0</v>
      </c>
      <c r="E8928" s="544" t="s">
        <v>947</v>
      </c>
      <c r="F8928" s="387">
        <v>1.0</v>
      </c>
      <c r="G8928" s="140">
        <v>785000.0</v>
      </c>
      <c r="H8928" s="74"/>
      <c r="I8928" s="74">
        <f t="shared" si="1"/>
        <v>785000</v>
      </c>
      <c r="J8928" s="74">
        <f>IF(E8928="SERVICE",I8928-(I8928*50%),Vlookup(E8928,DATABASE!C:Q,10,false)*F8928)</f>
        <v>0</v>
      </c>
      <c r="K8928" s="74">
        <f>VLOOKUP(E8928,DATABASE!C:Q,7,false)</f>
        <v>704346</v>
      </c>
      <c r="L8928" s="74">
        <v>680512.0</v>
      </c>
      <c r="M8928" s="74">
        <f t="shared" si="6"/>
        <v>685000</v>
      </c>
      <c r="N8928" s="74">
        <f t="shared" si="3"/>
        <v>100000</v>
      </c>
      <c r="O8928" s="65" t="str">
        <f>VLOOKUP(E8928,DATABASE!C:Q,8,false)</f>
        <v>IBU</v>
      </c>
      <c r="P8928" s="65">
        <f>VLOOKUP(E8928,DATABASE!C:Q,9,False)</f>
        <v>1</v>
      </c>
      <c r="Q8928" s="93" t="str">
        <f>VLOOKUP(E8928,DATABASE!C:Q,4,false)</f>
        <v>Bridgestone</v>
      </c>
      <c r="R8928" s="93" t="str">
        <f>VLOOKUP(E8928,DATABASE!C:Q,11,false)</f>
        <v>Tire</v>
      </c>
    </row>
    <row r="8929" ht="22.5" customHeight="1">
      <c r="A8929" s="49"/>
      <c r="C8929" s="400">
        <v>46180.0</v>
      </c>
      <c r="D8929" s="69">
        <v>1626.0</v>
      </c>
      <c r="E8929" s="544" t="s">
        <v>1839</v>
      </c>
      <c r="F8929" s="387">
        <v>1.0</v>
      </c>
      <c r="G8929" s="140">
        <v>800000.0</v>
      </c>
      <c r="H8929" s="74"/>
      <c r="I8929" s="74">
        <f t="shared" si="1"/>
        <v>800000</v>
      </c>
      <c r="J8929" s="74">
        <f>IF(E8929="SERVICE",I8929-(I8929*50%),Vlookup(E8929,DATABASE!C:Q,10,false)*F8929)</f>
        <v>0</v>
      </c>
      <c r="K8929" s="74">
        <f>VLOOKUP(E8929,DATABASE!C:Q,7,false)</f>
        <v>700000</v>
      </c>
      <c r="L8929" s="74">
        <v>700000.0</v>
      </c>
      <c r="M8929" s="74">
        <f t="shared" si="6"/>
        <v>700000</v>
      </c>
      <c r="N8929" s="74">
        <f t="shared" si="3"/>
        <v>100000</v>
      </c>
      <c r="O8929" s="65" t="str">
        <f>VLOOKUP(E8929,DATABASE!C:Q,8,false)</f>
        <v>BIAN</v>
      </c>
      <c r="P8929" s="65">
        <f>VLOOKUP(E8929,DATABASE!C:Q,9,False)</f>
        <v>1</v>
      </c>
      <c r="Q8929" s="93" t="str">
        <f>VLOOKUP(E8929,DATABASE!C:Q,4,false)</f>
        <v>G. YEAR</v>
      </c>
      <c r="R8929" s="93" t="str">
        <f>VLOOKUP(E8929,DATABASE!C:Q,11,false)</f>
        <v>Tire</v>
      </c>
    </row>
    <row r="8930" ht="22.5" customHeight="1">
      <c r="A8930" s="49"/>
      <c r="C8930" s="400">
        <v>46180.0</v>
      </c>
      <c r="D8930" s="69">
        <v>1627.0</v>
      </c>
      <c r="E8930" s="544" t="s">
        <v>268</v>
      </c>
      <c r="F8930" s="387">
        <v>2.0</v>
      </c>
      <c r="G8930" s="140">
        <v>720000.0</v>
      </c>
      <c r="H8930" s="74"/>
      <c r="I8930" s="74">
        <f t="shared" si="1"/>
        <v>1440000</v>
      </c>
      <c r="J8930" s="74">
        <f>IF(E8930="SERVICE",I8930-(I8930*50%),Vlookup(E8930,DATABASE!C:Q,10,false)*F8930)</f>
        <v>0</v>
      </c>
      <c r="K8930" s="74">
        <f>VLOOKUP(E8930,DATABASE!C:Q,7,false)</f>
        <v>653000</v>
      </c>
      <c r="L8930" s="74">
        <v>634500.0</v>
      </c>
      <c r="M8930" s="74">
        <f t="shared" si="6"/>
        <v>635000</v>
      </c>
      <c r="N8930" s="74">
        <f t="shared" si="3"/>
        <v>170000</v>
      </c>
      <c r="O8930" s="65" t="str">
        <f>VLOOKUP(E8930,DATABASE!C:Q,8,false)</f>
        <v>IBU</v>
      </c>
      <c r="P8930" s="65">
        <f>VLOOKUP(E8930,DATABASE!C:Q,9,False)</f>
        <v>1</v>
      </c>
      <c r="Q8930" s="93" t="str">
        <f>VLOOKUP(E8930,DATABASE!C:Q,4,false)</f>
        <v>Dunlop</v>
      </c>
      <c r="R8930" s="93" t="str">
        <f>VLOOKUP(E8930,DATABASE!C:Q,11,false)</f>
        <v>Tire</v>
      </c>
    </row>
    <row r="8931" ht="22.5" customHeight="1">
      <c r="A8931" s="49"/>
      <c r="C8931" s="400">
        <v>46180.0</v>
      </c>
      <c r="D8931" s="69">
        <v>1628.0</v>
      </c>
      <c r="E8931" s="544" t="s">
        <v>275</v>
      </c>
      <c r="F8931" s="387">
        <v>1.0</v>
      </c>
      <c r="G8931" s="140">
        <v>850000.0</v>
      </c>
      <c r="H8931" s="74"/>
      <c r="I8931" s="74">
        <f t="shared" si="1"/>
        <v>850000</v>
      </c>
      <c r="J8931" s="74">
        <f>IF(E8931="SERVICE",I8931-(I8931*50%),Vlookup(E8931,DATABASE!C:Q,10,false)*F8931)</f>
        <v>0</v>
      </c>
      <c r="K8931" s="74">
        <f>VLOOKUP(E8931,DATABASE!C:Q,7,false)</f>
        <v>782000</v>
      </c>
      <c r="L8931" s="74">
        <v>759500.0</v>
      </c>
      <c r="M8931" s="74">
        <f t="shared" si="6"/>
        <v>760000</v>
      </c>
      <c r="N8931" s="74">
        <f t="shared" si="3"/>
        <v>90000</v>
      </c>
      <c r="O8931" s="65" t="str">
        <f>VLOOKUP(E8931,DATABASE!C:Q,8,false)</f>
        <v>IBU</v>
      </c>
      <c r="P8931" s="65">
        <f>VLOOKUP(E8931,DATABASE!C:Q,9,False)</f>
        <v>1</v>
      </c>
      <c r="Q8931" s="93" t="str">
        <f>VLOOKUP(E8931,DATABASE!C:Q,4,false)</f>
        <v>Dunlop</v>
      </c>
      <c r="R8931" s="93" t="str">
        <f>VLOOKUP(E8931,DATABASE!C:Q,11,false)</f>
        <v>Tire</v>
      </c>
    </row>
    <row r="8932" ht="22.5" customHeight="1">
      <c r="A8932" s="49"/>
      <c r="C8932" s="400">
        <v>46180.0</v>
      </c>
      <c r="D8932" s="69">
        <v>1629.0</v>
      </c>
      <c r="E8932" s="544" t="s">
        <v>290</v>
      </c>
      <c r="F8932" s="387">
        <v>2.0</v>
      </c>
      <c r="G8932" s="140">
        <v>720000.0</v>
      </c>
      <c r="H8932" s="74"/>
      <c r="I8932" s="74">
        <f t="shared" si="1"/>
        <v>1440000</v>
      </c>
      <c r="J8932" s="74">
        <f>IF(E8932="SERVICE",I8932-(I8932*50%),Vlookup(E8932,DATABASE!C:Q,10,false)*F8932)</f>
        <v>0</v>
      </c>
      <c r="K8932" s="74">
        <f>VLOOKUP(E8932,DATABASE!C:Q,7,false)</f>
        <v>628100</v>
      </c>
      <c r="L8932" s="74">
        <v>628100.0</v>
      </c>
      <c r="M8932" s="74">
        <f t="shared" si="6"/>
        <v>630000</v>
      </c>
      <c r="N8932" s="74">
        <f t="shared" si="3"/>
        <v>180000</v>
      </c>
      <c r="O8932" s="65" t="str">
        <f>VLOOKUP(E8932,DATABASE!C:Q,8,false)</f>
        <v>BIAN</v>
      </c>
      <c r="P8932" s="65">
        <f>VLOOKUP(E8932,DATABASE!C:Q,9,False)</f>
        <v>1</v>
      </c>
      <c r="Q8932" s="93" t="str">
        <f>VLOOKUP(E8932,DATABASE!C:Q,4,false)</f>
        <v>GT</v>
      </c>
      <c r="R8932" s="93" t="str">
        <f>VLOOKUP(E8932,DATABASE!C:Q,11,false)</f>
        <v>Tire</v>
      </c>
    </row>
    <row r="8933" ht="22.5" customHeight="1">
      <c r="A8933" s="49"/>
      <c r="C8933" s="400">
        <v>46180.0</v>
      </c>
      <c r="D8933" s="69">
        <v>1629.0</v>
      </c>
      <c r="E8933" s="544" t="s">
        <v>256</v>
      </c>
      <c r="F8933" s="387">
        <v>1.0</v>
      </c>
      <c r="G8933" s="140">
        <v>150000.0</v>
      </c>
      <c r="H8933" s="74"/>
      <c r="I8933" s="74">
        <f t="shared" si="1"/>
        <v>150000</v>
      </c>
      <c r="J8933" s="74">
        <f>IF(E8933="SERVICE",I8933-(I8933*50%),Vlookup(E8933,DATABASE!C:Q,10,false)*F8933)</f>
        <v>10000</v>
      </c>
      <c r="K8933" s="74">
        <f>VLOOKUP(E8933,DATABASE!C:Q,7,false)</f>
        <v>0</v>
      </c>
      <c r="L8933" s="74">
        <v>0.0</v>
      </c>
      <c r="M8933" s="74">
        <f t="shared" si="6"/>
        <v>0</v>
      </c>
      <c r="N8933" s="74">
        <f t="shared" si="3"/>
        <v>140000</v>
      </c>
      <c r="O8933" s="65" t="str">
        <f>VLOOKUP(E8933,DATABASE!C:Q,8,false)</f>
        <v>IBU</v>
      </c>
      <c r="P8933" s="65">
        <f>VLOOKUP(E8933,DATABASE!C:Q,9,False)</f>
        <v>0</v>
      </c>
      <c r="Q8933" s="93" t="str">
        <f>VLOOKUP(E8933,DATABASE!C:Q,4,false)</f>
        <v>SPOORING</v>
      </c>
      <c r="R8933" s="93" t="str">
        <f>VLOOKUP(E8933,DATABASE!C:Q,11,false)</f>
        <v>SERVICE</v>
      </c>
    </row>
    <row r="8934" ht="22.5" customHeight="1">
      <c r="A8934" s="49"/>
      <c r="C8934" s="400">
        <v>46180.0</v>
      </c>
      <c r="D8934" s="69">
        <v>1630.0</v>
      </c>
      <c r="E8934" s="544" t="s">
        <v>301</v>
      </c>
      <c r="F8934" s="387">
        <v>1.0</v>
      </c>
      <c r="G8934" s="140">
        <v>250000.0</v>
      </c>
      <c r="H8934" s="74"/>
      <c r="I8934" s="74">
        <f t="shared" si="1"/>
        <v>250000</v>
      </c>
      <c r="J8934" s="74">
        <f>IF(E8934="SERVICE",I8934-(I8934*50%),Vlookup(E8934,DATABASE!C:Q,10,false)*F8934)</f>
        <v>75000</v>
      </c>
      <c r="K8934" s="74">
        <f>VLOOKUP(E8934,DATABASE!C:Q,7,false)</f>
        <v>75000</v>
      </c>
      <c r="L8934" s="74">
        <v>75000.0</v>
      </c>
      <c r="M8934" s="74">
        <f t="shared" si="6"/>
        <v>75000</v>
      </c>
      <c r="N8934" s="74">
        <f t="shared" si="3"/>
        <v>100000</v>
      </c>
      <c r="O8934" s="65" t="str">
        <f>VLOOKUP(E8934,DATABASE!C:Q,8,false)</f>
        <v>BIAN</v>
      </c>
      <c r="P8934" s="65">
        <f>VLOOKUP(E8934,DATABASE!C:Q,9,False)</f>
        <v>0</v>
      </c>
      <c r="Q8934" s="93" t="str">
        <f>VLOOKUP(E8934,DATABASE!C:Q,4,false)</f>
        <v>Baut Camber</v>
      </c>
      <c r="R8934" s="93" t="str">
        <f>VLOOKUP(E8934,DATABASE!C:Q,11,false)</f>
        <v>COMPLEMENTARY</v>
      </c>
    </row>
    <row r="8935" ht="22.5" customHeight="1">
      <c r="A8935" s="49"/>
      <c r="C8935" s="400">
        <v>46180.0</v>
      </c>
      <c r="D8935" s="69">
        <v>1631.0</v>
      </c>
      <c r="E8935" s="544" t="s">
        <v>1960</v>
      </c>
      <c r="F8935" s="387">
        <v>2.0</v>
      </c>
      <c r="G8935" s="140">
        <v>910000.0</v>
      </c>
      <c r="H8935" s="74"/>
      <c r="I8935" s="74">
        <f t="shared" si="1"/>
        <v>1820000</v>
      </c>
      <c r="J8935" s="74">
        <f>IF(E8935="SERVICE",I8935-(I8935*50%),Vlookup(E8935,DATABASE!C:Q,10,false)*F8935)</f>
        <v>0</v>
      </c>
      <c r="K8935" s="74">
        <f>VLOOKUP(E8935,DATABASE!C:Q,7,false)</f>
        <v>808300</v>
      </c>
      <c r="L8935" s="74">
        <v>808300.0</v>
      </c>
      <c r="M8935" s="74">
        <f t="shared" si="6"/>
        <v>810000</v>
      </c>
      <c r="N8935" s="74">
        <f t="shared" si="3"/>
        <v>200000</v>
      </c>
      <c r="O8935" s="65" t="str">
        <f>VLOOKUP(E8935,DATABASE!C:Q,8,false)</f>
        <v>BIAN</v>
      </c>
      <c r="P8935" s="65">
        <f>VLOOKUP(E8935,DATABASE!C:Q,9,False)</f>
        <v>1</v>
      </c>
      <c r="Q8935" s="93" t="str">
        <f>VLOOKUP(E8935,DATABASE!C:Q,4,false)</f>
        <v>GT</v>
      </c>
      <c r="R8935" s="93" t="str">
        <f>VLOOKUP(E8935,DATABASE!C:Q,11,false)</f>
        <v>Tire</v>
      </c>
    </row>
    <row r="8936" ht="22.5" customHeight="1">
      <c r="A8936" s="49"/>
      <c r="C8936" s="400">
        <v>46180.0</v>
      </c>
      <c r="D8936" s="69">
        <v>1632.0</v>
      </c>
      <c r="E8936" s="544" t="s">
        <v>262</v>
      </c>
      <c r="F8936" s="387">
        <v>1.0</v>
      </c>
      <c r="G8936" s="140">
        <v>130000.0</v>
      </c>
      <c r="H8936" s="74"/>
      <c r="I8936" s="74">
        <f t="shared" si="1"/>
        <v>130000</v>
      </c>
      <c r="J8936" s="74">
        <f>IF(E8936="SERVICE",I8936-(I8936*50%),Vlookup(E8936,DATABASE!C:Q,10,false)*F8936)</f>
        <v>5000</v>
      </c>
      <c r="K8936" s="74">
        <f>VLOOKUP(E8936,DATABASE!C:Q,7,false)</f>
        <v>0</v>
      </c>
      <c r="L8936" s="74">
        <v>0.0</v>
      </c>
      <c r="M8936" s="74">
        <f t="shared" si="6"/>
        <v>0</v>
      </c>
      <c r="N8936" s="74">
        <f t="shared" si="3"/>
        <v>125000</v>
      </c>
      <c r="O8936" s="65" t="str">
        <f>VLOOKUP(E8936,DATABASE!C:Q,8,false)</f>
        <v>IBU</v>
      </c>
      <c r="P8936" s="65">
        <f>VLOOKUP(E8936,DATABASE!C:Q,9,False)</f>
        <v>0</v>
      </c>
      <c r="Q8936" s="93" t="str">
        <f>VLOOKUP(E8936,DATABASE!C:Q,4,false)</f>
        <v>SPOORING SS/CARRY LOS BAK</v>
      </c>
      <c r="R8936" s="93" t="str">
        <f>VLOOKUP(E8936,DATABASE!C:Q,11,false)</f>
        <v>SERVICE</v>
      </c>
    </row>
    <row r="8937" ht="22.5" customHeight="1">
      <c r="A8937" s="49"/>
      <c r="C8937" s="400">
        <v>46180.0</v>
      </c>
      <c r="D8937" s="69">
        <v>1632.0</v>
      </c>
      <c r="E8937" s="544" t="s">
        <v>299</v>
      </c>
      <c r="F8937" s="387">
        <v>2.0</v>
      </c>
      <c r="G8937" s="140">
        <v>30000.0</v>
      </c>
      <c r="H8937" s="74"/>
      <c r="I8937" s="74">
        <f t="shared" si="1"/>
        <v>60000</v>
      </c>
      <c r="J8937" s="74">
        <f>IF(E8937="SERVICE",I8937-(I8937*50%),Vlookup(E8937,DATABASE!C:Q,10,false)*F8937)</f>
        <v>0</v>
      </c>
      <c r="K8937" s="74">
        <f>VLOOKUP(E8937,DATABASE!C:Q,7,false)</f>
        <v>10000</v>
      </c>
      <c r="L8937" s="74">
        <v>10000.0</v>
      </c>
      <c r="M8937" s="74">
        <f t="shared" si="6"/>
        <v>10000</v>
      </c>
      <c r="N8937" s="74">
        <f t="shared" si="3"/>
        <v>40000</v>
      </c>
      <c r="O8937" s="65" t="str">
        <f>VLOOKUP(E8937,DATABASE!C:Q,8,false)</f>
        <v>BIAN</v>
      </c>
      <c r="P8937" s="65">
        <f>VLOOKUP(E8937,DATABASE!C:Q,9,False)</f>
        <v>0</v>
      </c>
      <c r="Q8937" s="93" t="str">
        <f>VLOOKUP(E8937,DATABASE!C:Q,4,false)</f>
        <v>Balancing</v>
      </c>
      <c r="R8937" s="93" t="str">
        <f>VLOOKUP(E8937,DATABASE!C:Q,11,false)</f>
        <v>COMPLEMENTARY</v>
      </c>
    </row>
    <row r="8938" ht="22.5" customHeight="1">
      <c r="A8938" s="49"/>
      <c r="C8938" s="400">
        <v>46180.0</v>
      </c>
      <c r="D8938" s="69" t="s">
        <v>2834</v>
      </c>
      <c r="E8938" s="544" t="s">
        <v>248</v>
      </c>
      <c r="F8938" s="387">
        <v>1.0</v>
      </c>
      <c r="G8938" s="140">
        <v>210000.0</v>
      </c>
      <c r="H8938" s="74"/>
      <c r="I8938" s="74">
        <f t="shared" si="1"/>
        <v>210000</v>
      </c>
      <c r="J8938" s="74">
        <f>IF(E8938="SERVICE",I8938-(I8938*50%),Vlookup(E8938,DATABASE!C:Q,10,false)*F8938)</f>
        <v>0</v>
      </c>
      <c r="K8938" s="74">
        <f>VLOOKUP(E8938,DATABASE!C:Q,7,false)</f>
        <v>209816.66</v>
      </c>
      <c r="L8938" s="74">
        <v>185000.0</v>
      </c>
      <c r="M8938" s="74">
        <f t="shared" si="6"/>
        <v>185000</v>
      </c>
      <c r="N8938" s="74">
        <f t="shared" si="3"/>
        <v>25000</v>
      </c>
      <c r="O8938" s="65" t="str">
        <f>VLOOKUP(E8938,DATABASE!C:Q,8,false)</f>
        <v>NON</v>
      </c>
      <c r="P8938" s="65">
        <f>VLOOKUP(E8938,DATABASE!C:Q,9,False)</f>
        <v>0</v>
      </c>
      <c r="Q8938" s="93" t="str">
        <f>VLOOKUP(E8938,DATABASE!C:Q,4,false)</f>
        <v>Pertamina</v>
      </c>
      <c r="R8938" s="93" t="str">
        <f>VLOOKUP(E8938,DATABASE!C:Q,11,false)</f>
        <v>OIL</v>
      </c>
    </row>
    <row r="8939" ht="22.5" customHeight="1">
      <c r="A8939" s="49"/>
      <c r="C8939" s="400">
        <v>46180.0</v>
      </c>
      <c r="D8939" s="69" t="s">
        <v>2835</v>
      </c>
      <c r="E8939" s="544" t="s">
        <v>263</v>
      </c>
      <c r="F8939" s="387">
        <v>1.0</v>
      </c>
      <c r="G8939" s="140">
        <v>360000.0</v>
      </c>
      <c r="H8939" s="74"/>
      <c r="I8939" s="74">
        <f t="shared" si="1"/>
        <v>360000</v>
      </c>
      <c r="J8939" s="74">
        <f>IF(E8939="SERVICE",I8939-(I8939*50%),Vlookup(E8939,DATABASE!C:Q,10,false)*F8939)</f>
        <v>0</v>
      </c>
      <c r="K8939" s="74">
        <f>VLOOKUP(E8939,DATABASE!C:Q,7,false)</f>
        <v>334916</v>
      </c>
      <c r="L8939" s="74">
        <v>307676.0</v>
      </c>
      <c r="M8939" s="74">
        <f t="shared" si="6"/>
        <v>310000</v>
      </c>
      <c r="N8939" s="74">
        <f t="shared" si="3"/>
        <v>50000</v>
      </c>
      <c r="O8939" s="65" t="str">
        <f>VLOOKUP(E8939,DATABASE!C:Q,8,false)</f>
        <v>NON</v>
      </c>
      <c r="P8939" s="65">
        <f>VLOOKUP(E8939,DATABASE!C:Q,9,False)</f>
        <v>0</v>
      </c>
      <c r="Q8939" s="93" t="str">
        <f>VLOOKUP(E8939,DATABASE!C:Q,4,false)</f>
        <v>Shell</v>
      </c>
      <c r="R8939" s="93" t="str">
        <f>VLOOKUP(E8939,DATABASE!C:Q,11,false)</f>
        <v>OIL</v>
      </c>
    </row>
    <row r="8940" ht="22.5" customHeight="1">
      <c r="A8940" s="49"/>
      <c r="C8940" s="400">
        <v>46181.0</v>
      </c>
      <c r="D8940" s="524">
        <v>1633.0</v>
      </c>
      <c r="E8940" s="544" t="s">
        <v>275</v>
      </c>
      <c r="F8940" s="387">
        <v>2.0</v>
      </c>
      <c r="G8940" s="140">
        <v>850000.0</v>
      </c>
      <c r="H8940" s="74"/>
      <c r="I8940" s="74">
        <f t="shared" si="1"/>
        <v>1700000</v>
      </c>
      <c r="J8940" s="74">
        <f>IF(E8940="SERVICE",I8940-(I8940*50%),Vlookup(E8940,DATABASE!C:Q,10,false)*F8940)</f>
        <v>0</v>
      </c>
      <c r="K8940" s="74">
        <f>VLOOKUP(E8940,DATABASE!C:Q,7,false)</f>
        <v>782000</v>
      </c>
      <c r="L8940" s="74">
        <v>759500.0</v>
      </c>
      <c r="M8940" s="74">
        <f t="shared" si="6"/>
        <v>760000</v>
      </c>
      <c r="N8940" s="74">
        <f t="shared" si="3"/>
        <v>180000</v>
      </c>
      <c r="O8940" s="65" t="str">
        <f>VLOOKUP(E8940,DATABASE!C:Q,8,false)</f>
        <v>IBU</v>
      </c>
      <c r="P8940" s="65">
        <f>VLOOKUP(E8940,DATABASE!C:Q,9,False)</f>
        <v>1</v>
      </c>
      <c r="Q8940" s="93" t="str">
        <f>VLOOKUP(E8940,DATABASE!C:Q,4,false)</f>
        <v>Dunlop</v>
      </c>
      <c r="R8940" s="93" t="str">
        <f>VLOOKUP(E8940,DATABASE!C:Q,11,false)</f>
        <v>Tire</v>
      </c>
    </row>
    <row r="8941" ht="22.5" customHeight="1">
      <c r="A8941" s="49"/>
      <c r="C8941" s="400">
        <v>46181.0</v>
      </c>
      <c r="D8941" s="524">
        <v>1634.0</v>
      </c>
      <c r="E8941" s="544" t="s">
        <v>250</v>
      </c>
      <c r="F8941" s="387">
        <v>1.0</v>
      </c>
      <c r="G8941" s="140">
        <v>135000.0</v>
      </c>
      <c r="H8941" s="74"/>
      <c r="I8941" s="74">
        <f t="shared" si="1"/>
        <v>135000</v>
      </c>
      <c r="J8941" s="74">
        <f>IF(E8941="SERVICE",I8941-(I8941*50%),Vlookup(E8941,DATABASE!C:Q,10,false)*F8941)</f>
        <v>0</v>
      </c>
      <c r="K8941" s="74">
        <f>VLOOKUP(E8941,DATABASE!C:Q,7,false)</f>
        <v>102000</v>
      </c>
      <c r="L8941" s="74">
        <v>102000.0</v>
      </c>
      <c r="M8941" s="74">
        <f t="shared" si="6"/>
        <v>105000</v>
      </c>
      <c r="N8941" s="74">
        <f t="shared" si="3"/>
        <v>30000</v>
      </c>
      <c r="O8941" s="65" t="str">
        <f>VLOOKUP(E8941,DATABASE!C:Q,8,false)</f>
        <v>BIAN</v>
      </c>
      <c r="P8941" s="65">
        <f>VLOOKUP(E8941,DATABASE!C:Q,9,False)</f>
        <v>1</v>
      </c>
      <c r="Q8941" s="93" t="str">
        <f>VLOOKUP(E8941,DATABASE!C:Q,4,false)</f>
        <v>BD</v>
      </c>
      <c r="R8941" s="93" t="str">
        <f>VLOOKUP(E8941,DATABASE!C:Q,11,false)</f>
        <v>Tire</v>
      </c>
    </row>
    <row r="8942" ht="22.5" customHeight="1">
      <c r="A8942" s="49"/>
      <c r="C8942" s="400">
        <v>46181.0</v>
      </c>
      <c r="D8942" s="524">
        <v>1636.0</v>
      </c>
      <c r="E8942" s="544" t="s">
        <v>299</v>
      </c>
      <c r="F8942" s="387">
        <v>2.0</v>
      </c>
      <c r="G8942" s="140">
        <v>30000.0</v>
      </c>
      <c r="H8942" s="74"/>
      <c r="I8942" s="74">
        <f t="shared" si="1"/>
        <v>60000</v>
      </c>
      <c r="J8942" s="74">
        <f>IF(E8942="SERVICE",I8942-(I8942*50%),Vlookup(E8942,DATABASE!C:Q,10,false)*F8942)</f>
        <v>0</v>
      </c>
      <c r="K8942" s="74">
        <f>VLOOKUP(E8942,DATABASE!C:Q,7,false)</f>
        <v>10000</v>
      </c>
      <c r="L8942" s="74">
        <v>10000.0</v>
      </c>
      <c r="M8942" s="74">
        <f t="shared" si="6"/>
        <v>10000</v>
      </c>
      <c r="N8942" s="74">
        <f t="shared" si="3"/>
        <v>40000</v>
      </c>
      <c r="O8942" s="65" t="str">
        <f>VLOOKUP(E8942,DATABASE!C:Q,8,false)</f>
        <v>BIAN</v>
      </c>
      <c r="P8942" s="65">
        <f>VLOOKUP(E8942,DATABASE!C:Q,9,False)</f>
        <v>0</v>
      </c>
      <c r="Q8942" s="93" t="str">
        <f>VLOOKUP(E8942,DATABASE!C:Q,4,false)</f>
        <v>Balancing</v>
      </c>
      <c r="R8942" s="93" t="str">
        <f>VLOOKUP(E8942,DATABASE!C:Q,11,false)</f>
        <v>COMPLEMENTARY</v>
      </c>
    </row>
    <row r="8943" ht="22.5" customHeight="1">
      <c r="A8943" s="49"/>
      <c r="C8943" s="400">
        <v>46181.0</v>
      </c>
      <c r="D8943" s="524">
        <v>1637.0</v>
      </c>
      <c r="E8943" s="544" t="s">
        <v>275</v>
      </c>
      <c r="F8943" s="387">
        <v>1.0</v>
      </c>
      <c r="G8943" s="140">
        <v>850000.0</v>
      </c>
      <c r="H8943" s="74"/>
      <c r="I8943" s="74">
        <f t="shared" si="1"/>
        <v>850000</v>
      </c>
      <c r="J8943" s="74">
        <f>IF(E8943="SERVICE",I8943-(I8943*50%),Vlookup(E8943,DATABASE!C:Q,10,false)*F8943)</f>
        <v>0</v>
      </c>
      <c r="K8943" s="74">
        <f>VLOOKUP(E8943,DATABASE!C:Q,7,false)</f>
        <v>782000</v>
      </c>
      <c r="L8943" s="74">
        <v>759500.0</v>
      </c>
      <c r="M8943" s="74">
        <f t="shared" si="6"/>
        <v>760000</v>
      </c>
      <c r="N8943" s="74">
        <f t="shared" si="3"/>
        <v>90000</v>
      </c>
      <c r="O8943" s="65" t="str">
        <f>VLOOKUP(E8943,DATABASE!C:Q,8,false)</f>
        <v>IBU</v>
      </c>
      <c r="P8943" s="65">
        <f>VLOOKUP(E8943,DATABASE!C:Q,9,False)</f>
        <v>1</v>
      </c>
      <c r="Q8943" s="93" t="str">
        <f>VLOOKUP(E8943,DATABASE!C:Q,4,false)</f>
        <v>Dunlop</v>
      </c>
      <c r="R8943" s="93" t="str">
        <f>VLOOKUP(E8943,DATABASE!C:Q,11,false)</f>
        <v>Tire</v>
      </c>
    </row>
    <row r="8944" ht="22.5" customHeight="1">
      <c r="A8944" s="49"/>
      <c r="C8944" s="400">
        <v>46181.0</v>
      </c>
      <c r="D8944" s="524">
        <v>1637.0</v>
      </c>
      <c r="E8944" s="544" t="s">
        <v>262</v>
      </c>
      <c r="F8944" s="387">
        <v>1.0</v>
      </c>
      <c r="G8944" s="140">
        <v>130000.0</v>
      </c>
      <c r="H8944" s="74"/>
      <c r="I8944" s="74">
        <f t="shared" si="1"/>
        <v>130000</v>
      </c>
      <c r="J8944" s="74">
        <f>IF(E8944="SERVICE",I8944-(I8944*50%),Vlookup(E8944,DATABASE!C:Q,10,false)*F8944)</f>
        <v>5000</v>
      </c>
      <c r="K8944" s="74">
        <f>VLOOKUP(E8944,DATABASE!C:Q,7,false)</f>
        <v>0</v>
      </c>
      <c r="L8944" s="74">
        <v>0.0</v>
      </c>
      <c r="M8944" s="74">
        <f t="shared" si="6"/>
        <v>0</v>
      </c>
      <c r="N8944" s="74">
        <f t="shared" si="3"/>
        <v>125000</v>
      </c>
      <c r="O8944" s="65" t="str">
        <f>VLOOKUP(E8944,DATABASE!C:Q,8,false)</f>
        <v>IBU</v>
      </c>
      <c r="P8944" s="65">
        <f>VLOOKUP(E8944,DATABASE!C:Q,9,False)</f>
        <v>0</v>
      </c>
      <c r="Q8944" s="93" t="str">
        <f>VLOOKUP(E8944,DATABASE!C:Q,4,false)</f>
        <v>SPOORING SS/CARRY LOS BAK</v>
      </c>
      <c r="R8944" s="93" t="str">
        <f>VLOOKUP(E8944,DATABASE!C:Q,11,false)</f>
        <v>SERVICE</v>
      </c>
    </row>
    <row r="8945" ht="22.5" customHeight="1">
      <c r="A8945" s="49"/>
      <c r="C8945" s="400">
        <v>46181.0</v>
      </c>
      <c r="D8945" s="524">
        <v>1638.0</v>
      </c>
      <c r="E8945" s="544" t="s">
        <v>275</v>
      </c>
      <c r="F8945" s="387">
        <v>2.0</v>
      </c>
      <c r="G8945" s="140">
        <v>850000.0</v>
      </c>
      <c r="H8945" s="74"/>
      <c r="I8945" s="74">
        <f t="shared" si="1"/>
        <v>1700000</v>
      </c>
      <c r="J8945" s="74">
        <f>IF(E8945="SERVICE",I8945-(I8945*50%),Vlookup(E8945,DATABASE!C:Q,10,false)*F8945)</f>
        <v>0</v>
      </c>
      <c r="K8945" s="74">
        <f>VLOOKUP(E8945,DATABASE!C:Q,7,false)</f>
        <v>782000</v>
      </c>
      <c r="L8945" s="74">
        <v>759500.0</v>
      </c>
      <c r="M8945" s="74">
        <f t="shared" si="6"/>
        <v>760000</v>
      </c>
      <c r="N8945" s="74">
        <f t="shared" si="3"/>
        <v>180000</v>
      </c>
      <c r="O8945" s="65" t="str">
        <f>VLOOKUP(E8945,DATABASE!C:Q,8,false)</f>
        <v>IBU</v>
      </c>
      <c r="P8945" s="65">
        <f>VLOOKUP(E8945,DATABASE!C:Q,9,False)</f>
        <v>1</v>
      </c>
      <c r="Q8945" s="93" t="str">
        <f>VLOOKUP(E8945,DATABASE!C:Q,4,false)</f>
        <v>Dunlop</v>
      </c>
      <c r="R8945" s="93" t="str">
        <f>VLOOKUP(E8945,DATABASE!C:Q,11,false)</f>
        <v>Tire</v>
      </c>
    </row>
    <row r="8946" ht="22.5" customHeight="1">
      <c r="A8946" s="49"/>
      <c r="C8946" s="400">
        <v>46181.0</v>
      </c>
      <c r="D8946" s="524">
        <v>1638.0</v>
      </c>
      <c r="E8946" s="544" t="s">
        <v>262</v>
      </c>
      <c r="F8946" s="387">
        <v>1.0</v>
      </c>
      <c r="G8946" s="140">
        <v>130000.0</v>
      </c>
      <c r="H8946" s="74"/>
      <c r="I8946" s="74">
        <f t="shared" si="1"/>
        <v>130000</v>
      </c>
      <c r="J8946" s="74">
        <f>IF(E8946="SERVICE",I8946-(I8946*50%),Vlookup(E8946,DATABASE!C:Q,10,false)*F8946)</f>
        <v>5000</v>
      </c>
      <c r="K8946" s="74">
        <f>VLOOKUP(E8946,DATABASE!C:Q,7,false)</f>
        <v>0</v>
      </c>
      <c r="L8946" s="74">
        <v>0.0</v>
      </c>
      <c r="M8946" s="74">
        <f t="shared" si="6"/>
        <v>0</v>
      </c>
      <c r="N8946" s="74">
        <f t="shared" si="3"/>
        <v>125000</v>
      </c>
      <c r="O8946" s="65" t="str">
        <f>VLOOKUP(E8946,DATABASE!C:Q,8,false)</f>
        <v>IBU</v>
      </c>
      <c r="P8946" s="65">
        <f>VLOOKUP(E8946,DATABASE!C:Q,9,False)</f>
        <v>0</v>
      </c>
      <c r="Q8946" s="93" t="str">
        <f>VLOOKUP(E8946,DATABASE!C:Q,4,false)</f>
        <v>SPOORING SS/CARRY LOS BAK</v>
      </c>
      <c r="R8946" s="93" t="str">
        <f>VLOOKUP(E8946,DATABASE!C:Q,11,false)</f>
        <v>SERVICE</v>
      </c>
    </row>
    <row r="8947" ht="22.5" customHeight="1">
      <c r="A8947" s="49"/>
      <c r="C8947" s="400">
        <v>46181.0</v>
      </c>
      <c r="D8947" s="524">
        <v>1639.0</v>
      </c>
      <c r="E8947" s="544" t="s">
        <v>687</v>
      </c>
      <c r="F8947" s="387">
        <v>1.0</v>
      </c>
      <c r="G8947" s="140">
        <v>1050000.0</v>
      </c>
      <c r="H8947" s="74"/>
      <c r="I8947" s="74">
        <f t="shared" si="1"/>
        <v>1050000</v>
      </c>
      <c r="J8947" s="74">
        <f>IF(E8947="SERVICE",I8947-(I8947*50%),Vlookup(E8947,DATABASE!C:Q,10,false)*F8947)</f>
        <v>0</v>
      </c>
      <c r="K8947" s="74">
        <f>VLOOKUP(E8947,DATABASE!C:Q,7,false)</f>
        <v>959000</v>
      </c>
      <c r="L8947" s="74">
        <v>949000.0</v>
      </c>
      <c r="M8947" s="74">
        <f t="shared" si="6"/>
        <v>950000</v>
      </c>
      <c r="N8947" s="74">
        <f t="shared" si="3"/>
        <v>100000</v>
      </c>
      <c r="O8947" s="65" t="str">
        <f>VLOOKUP(E8947,DATABASE!C:Q,8,false)</f>
        <v>IBU</v>
      </c>
      <c r="P8947" s="65">
        <f>VLOOKUP(E8947,DATABASE!C:Q,9,False)</f>
        <v>1</v>
      </c>
      <c r="Q8947" s="93" t="str">
        <f>VLOOKUP(E8947,DATABASE!C:Q,4,false)</f>
        <v>Dunlop</v>
      </c>
      <c r="R8947" s="93" t="str">
        <f>VLOOKUP(E8947,DATABASE!C:Q,11,false)</f>
        <v>Tire</v>
      </c>
    </row>
    <row r="8948" ht="22.5" customHeight="1">
      <c r="A8948" s="49"/>
      <c r="C8948" s="400">
        <v>46181.0</v>
      </c>
      <c r="D8948" s="524">
        <v>1640.0</v>
      </c>
      <c r="E8948" s="544" t="s">
        <v>566</v>
      </c>
      <c r="F8948" s="387">
        <v>2.0</v>
      </c>
      <c r="G8948" s="140">
        <v>1670000.0</v>
      </c>
      <c r="H8948" s="140">
        <v>25000.0</v>
      </c>
      <c r="I8948" s="74">
        <f t="shared" si="1"/>
        <v>3290000</v>
      </c>
      <c r="J8948" s="74">
        <f>IF(E8948="SERVICE",I8948-(I8948*50%),Vlookup(E8948,DATABASE!C:Q,10,false)*F8948)</f>
        <v>0</v>
      </c>
      <c r="K8948" s="74">
        <f>VLOOKUP(E8948,DATABASE!C:Q,7,false)</f>
        <v>1565000</v>
      </c>
      <c r="L8948" s="74">
        <v>1545000.0</v>
      </c>
      <c r="M8948" s="74">
        <f t="shared" si="6"/>
        <v>1545000</v>
      </c>
      <c r="N8948" s="74">
        <f t="shared" si="3"/>
        <v>200000</v>
      </c>
      <c r="O8948" s="65" t="str">
        <f>VLOOKUP(E8948,DATABASE!C:Q,8,false)</f>
        <v>IBU</v>
      </c>
      <c r="P8948" s="65">
        <f>VLOOKUP(E8948,DATABASE!C:Q,9,False)</f>
        <v>1</v>
      </c>
      <c r="Q8948" s="93" t="str">
        <f>VLOOKUP(E8948,DATABASE!C:Q,4,false)</f>
        <v>Bridgestone</v>
      </c>
      <c r="R8948" s="93" t="str">
        <f>VLOOKUP(E8948,DATABASE!C:Q,11,false)</f>
        <v>Tire</v>
      </c>
    </row>
    <row r="8949" ht="22.5" customHeight="1">
      <c r="A8949" s="49"/>
      <c r="C8949" s="400">
        <v>46181.0</v>
      </c>
      <c r="D8949" s="524">
        <v>1640.0</v>
      </c>
      <c r="E8949" s="544" t="s">
        <v>2621</v>
      </c>
      <c r="F8949" s="387">
        <v>1.0</v>
      </c>
      <c r="G8949" s="140">
        <v>185000.0</v>
      </c>
      <c r="H8949" s="140">
        <v>10000.0</v>
      </c>
      <c r="I8949" s="74">
        <f t="shared" si="1"/>
        <v>175000</v>
      </c>
      <c r="J8949" s="74">
        <f>IF(E8949="SERVICE",I8949-(I8949*50%),Vlookup(E8949,DATABASE!C:Q,10,false)*F8949)</f>
        <v>0</v>
      </c>
      <c r="K8949" s="74">
        <f>VLOOKUP(E8949,DATABASE!C:Q,7,false)</f>
        <v>141160</v>
      </c>
      <c r="L8949" s="74">
        <v>141160.0</v>
      </c>
      <c r="M8949" s="74">
        <f t="shared" si="6"/>
        <v>145000</v>
      </c>
      <c r="N8949" s="74">
        <f t="shared" si="3"/>
        <v>30000</v>
      </c>
      <c r="O8949" s="65" t="str">
        <f>VLOOKUP(E8949,DATABASE!C:Q,8,false)</f>
        <v>BIAN</v>
      </c>
      <c r="P8949" s="65">
        <f>VLOOKUP(E8949,DATABASE!C:Q,9,False)</f>
        <v>1</v>
      </c>
      <c r="Q8949" s="93" t="str">
        <f>VLOOKUP(E8949,DATABASE!C:Q,4,false)</f>
        <v>IBK light</v>
      </c>
      <c r="R8949" s="93" t="str">
        <f>VLOOKUP(E8949,DATABASE!C:Q,11,false)</f>
        <v>Tire</v>
      </c>
    </row>
    <row r="8950" ht="22.5" customHeight="1">
      <c r="A8950" s="49"/>
      <c r="C8950" s="400">
        <v>46181.0</v>
      </c>
      <c r="D8950" s="524">
        <v>1640.0</v>
      </c>
      <c r="E8950" s="544" t="s">
        <v>821</v>
      </c>
      <c r="F8950" s="387">
        <v>1.0</v>
      </c>
      <c r="G8950" s="140">
        <v>90000.0</v>
      </c>
      <c r="H8950" s="74"/>
      <c r="I8950" s="74">
        <f t="shared" si="1"/>
        <v>90000</v>
      </c>
      <c r="J8950" s="74">
        <f>IF(E8950="SERVICE",I8950-(I8950*50%),Vlookup(E8950,DATABASE!C:Q,10,false)*F8950)</f>
        <v>0</v>
      </c>
      <c r="K8950" s="74">
        <f>VLOOKUP(E8950,DATABASE!C:Q,7,false)</f>
        <v>43500</v>
      </c>
      <c r="L8950" s="74">
        <v>43500.0</v>
      </c>
      <c r="M8950" s="74">
        <f t="shared" si="6"/>
        <v>45000</v>
      </c>
      <c r="N8950" s="74">
        <f t="shared" si="3"/>
        <v>45000</v>
      </c>
      <c r="O8950" s="65" t="str">
        <f>VLOOKUP(E8950,DATABASE!C:Q,8,false)</f>
        <v>BIAN</v>
      </c>
      <c r="P8950" s="65">
        <f>VLOOKUP(E8950,DATABASE!C:Q,9,False)</f>
        <v>1</v>
      </c>
      <c r="Q8950" s="93" t="str">
        <f>VLOOKUP(E8950,DATABASE!C:Q,4,false)</f>
        <v>Flap</v>
      </c>
      <c r="R8950" s="93" t="str">
        <f>VLOOKUP(E8950,DATABASE!C:Q,11,false)</f>
        <v>Tire</v>
      </c>
    </row>
    <row r="8951" ht="22.5" customHeight="1">
      <c r="A8951" s="49"/>
      <c r="C8951" s="400">
        <v>46181.0</v>
      </c>
      <c r="D8951" s="524">
        <v>1641.0</v>
      </c>
      <c r="E8951" s="544" t="s">
        <v>613</v>
      </c>
      <c r="F8951" s="387">
        <v>1.0</v>
      </c>
      <c r="G8951" s="140">
        <v>100000.0</v>
      </c>
      <c r="H8951" s="74"/>
      <c r="I8951" s="74">
        <f t="shared" si="1"/>
        <v>100000</v>
      </c>
      <c r="J8951" s="74">
        <f>IF(E8951="SERVICE",I8951-(I8951*50%),Vlookup(E8951,DATABASE!C:Q,10,false)*F8951)</f>
        <v>0</v>
      </c>
      <c r="K8951" s="74">
        <f>VLOOKUP(E8951,DATABASE!C:Q,7,false)</f>
        <v>58371.2695</v>
      </c>
      <c r="L8951" s="74">
        <v>58371.2695</v>
      </c>
      <c r="M8951" s="74">
        <f t="shared" si="6"/>
        <v>60000</v>
      </c>
      <c r="N8951" s="74">
        <f t="shared" si="3"/>
        <v>40000</v>
      </c>
      <c r="O8951" s="65" t="str">
        <f>VLOOKUP(E8951,DATABASE!C:Q,8,false)</f>
        <v>BIAN</v>
      </c>
      <c r="P8951" s="65">
        <f>VLOOKUP(E8951,DATABASE!C:Q,9,False)</f>
        <v>1</v>
      </c>
      <c r="Q8951" s="93" t="str">
        <f>VLOOKUP(E8951,DATABASE!C:Q,4,false)</f>
        <v>BD</v>
      </c>
      <c r="R8951" s="93" t="str">
        <f>VLOOKUP(E8951,DATABASE!C:Q,11,false)</f>
        <v>Tire</v>
      </c>
    </row>
    <row r="8952" ht="22.5" customHeight="1">
      <c r="A8952" s="49"/>
      <c r="C8952" s="400">
        <v>46181.0</v>
      </c>
      <c r="D8952" s="524">
        <v>1642.0</v>
      </c>
      <c r="E8952" s="544" t="s">
        <v>294</v>
      </c>
      <c r="F8952" s="387">
        <v>1.0</v>
      </c>
      <c r="G8952" s="140">
        <v>590000.0</v>
      </c>
      <c r="H8952" s="74"/>
      <c r="I8952" s="74">
        <f t="shared" si="1"/>
        <v>590000</v>
      </c>
      <c r="J8952" s="74">
        <f>IF(E8952="SERVICE",I8952-(I8952*50%),Vlookup(E8952,DATABASE!C:Q,10,false)*F8952)</f>
        <v>0</v>
      </c>
      <c r="K8952" s="74">
        <f>VLOOKUP(E8952,DATABASE!C:Q,7,false)</f>
        <v>505000</v>
      </c>
      <c r="L8952" s="74">
        <v>505000.0</v>
      </c>
      <c r="M8952" s="74">
        <f t="shared" si="6"/>
        <v>505000</v>
      </c>
      <c r="N8952" s="74">
        <f t="shared" si="3"/>
        <v>85000</v>
      </c>
      <c r="O8952" s="65" t="str">
        <f>VLOOKUP(E8952,DATABASE!C:Q,8,false)</f>
        <v>BIAN</v>
      </c>
      <c r="P8952" s="65">
        <f>VLOOKUP(E8952,DATABASE!C:Q,9,False)</f>
        <v>1</v>
      </c>
      <c r="Q8952" s="93" t="str">
        <f>VLOOKUP(E8952,DATABASE!C:Q,4,false)</f>
        <v>GT</v>
      </c>
      <c r="R8952" s="93" t="str">
        <f>VLOOKUP(E8952,DATABASE!C:Q,11,false)</f>
        <v>Tire</v>
      </c>
    </row>
    <row r="8953" ht="22.5" customHeight="1">
      <c r="A8953" s="49"/>
      <c r="C8953" s="400">
        <v>46181.0</v>
      </c>
      <c r="D8953" s="524">
        <v>1643.0</v>
      </c>
      <c r="E8953" s="544" t="s">
        <v>1009</v>
      </c>
      <c r="F8953" s="387">
        <v>4.0</v>
      </c>
      <c r="G8953" s="140">
        <v>700000.0</v>
      </c>
      <c r="H8953" s="74"/>
      <c r="I8953" s="74">
        <f t="shared" si="1"/>
        <v>2800000</v>
      </c>
      <c r="J8953" s="74">
        <f>IF(E8953="SERVICE",I8953-(I8953*50%),Vlookup(E8953,DATABASE!C:Q,10,false)*F8953)</f>
        <v>0</v>
      </c>
      <c r="K8953" s="74">
        <f>VLOOKUP(E8953,DATABASE!C:Q,7,false)</f>
        <v>609800</v>
      </c>
      <c r="L8953" s="74">
        <v>609800.0</v>
      </c>
      <c r="M8953" s="74">
        <f t="shared" si="6"/>
        <v>610000</v>
      </c>
      <c r="N8953" s="74">
        <f t="shared" si="3"/>
        <v>360000</v>
      </c>
      <c r="O8953" s="65" t="str">
        <f>VLOOKUP(E8953,DATABASE!C:Q,8,false)</f>
        <v>BIAN</v>
      </c>
      <c r="P8953" s="65">
        <f>VLOOKUP(E8953,DATABASE!C:Q,9,False)</f>
        <v>1</v>
      </c>
      <c r="Q8953" s="93" t="str">
        <f>VLOOKUP(E8953,DATABASE!C:Q,4,false)</f>
        <v>GT</v>
      </c>
      <c r="R8953" s="93" t="str">
        <f>VLOOKUP(E8953,DATABASE!C:Q,11,false)</f>
        <v>Tire</v>
      </c>
    </row>
    <row r="8954" ht="22.5" customHeight="1">
      <c r="A8954" s="49"/>
      <c r="C8954" s="400">
        <v>46181.0</v>
      </c>
      <c r="D8954" s="524">
        <v>1643.0</v>
      </c>
      <c r="E8954" s="544" t="s">
        <v>256</v>
      </c>
      <c r="F8954" s="387">
        <v>1.0</v>
      </c>
      <c r="G8954" s="140">
        <v>175000.0</v>
      </c>
      <c r="H8954" s="140">
        <v>25000.0</v>
      </c>
      <c r="I8954" s="74">
        <f t="shared" si="1"/>
        <v>150000</v>
      </c>
      <c r="J8954" s="74">
        <f>IF(E8954="SERVICE",I8954-(I8954*50%),Vlookup(E8954,DATABASE!C:Q,10,false)*F8954)</f>
        <v>10000</v>
      </c>
      <c r="K8954" s="74">
        <f>VLOOKUP(E8954,DATABASE!C:Q,7,false)</f>
        <v>0</v>
      </c>
      <c r="L8954" s="74">
        <v>0.0</v>
      </c>
      <c r="M8954" s="74">
        <f t="shared" si="6"/>
        <v>0</v>
      </c>
      <c r="N8954" s="74">
        <f t="shared" si="3"/>
        <v>140000</v>
      </c>
      <c r="O8954" s="65" t="str">
        <f>VLOOKUP(E8954,DATABASE!C:Q,8,false)</f>
        <v>IBU</v>
      </c>
      <c r="P8954" s="65">
        <f>VLOOKUP(E8954,DATABASE!C:Q,9,False)</f>
        <v>0</v>
      </c>
      <c r="Q8954" s="93" t="str">
        <f>VLOOKUP(E8954,DATABASE!C:Q,4,false)</f>
        <v>SPOORING</v>
      </c>
      <c r="R8954" s="93" t="str">
        <f>VLOOKUP(E8954,DATABASE!C:Q,11,false)</f>
        <v>SERVICE</v>
      </c>
    </row>
    <row r="8955" ht="22.5" customHeight="1">
      <c r="A8955" s="49"/>
      <c r="C8955" s="400">
        <v>46181.0</v>
      </c>
      <c r="D8955" s="524">
        <v>1643.0</v>
      </c>
      <c r="E8955" s="544" t="s">
        <v>299</v>
      </c>
      <c r="F8955" s="387">
        <v>2.0</v>
      </c>
      <c r="G8955" s="140">
        <v>30000.0</v>
      </c>
      <c r="H8955" s="74"/>
      <c r="I8955" s="74">
        <f t="shared" si="1"/>
        <v>60000</v>
      </c>
      <c r="J8955" s="74">
        <f>IF(E8955="SERVICE",I8955-(I8955*50%),Vlookup(E8955,DATABASE!C:Q,10,false)*F8955)</f>
        <v>0</v>
      </c>
      <c r="K8955" s="74">
        <f>VLOOKUP(E8955,DATABASE!C:Q,7,false)</f>
        <v>10000</v>
      </c>
      <c r="L8955" s="74">
        <v>10000.0</v>
      </c>
      <c r="M8955" s="74">
        <f t="shared" si="6"/>
        <v>10000</v>
      </c>
      <c r="N8955" s="74">
        <f t="shared" si="3"/>
        <v>40000</v>
      </c>
      <c r="O8955" s="65" t="str">
        <f>VLOOKUP(E8955,DATABASE!C:Q,8,false)</f>
        <v>BIAN</v>
      </c>
      <c r="P8955" s="65">
        <f>VLOOKUP(E8955,DATABASE!C:Q,9,False)</f>
        <v>0</v>
      </c>
      <c r="Q8955" s="93" t="str">
        <f>VLOOKUP(E8955,DATABASE!C:Q,4,false)</f>
        <v>Balancing</v>
      </c>
      <c r="R8955" s="93" t="str">
        <f>VLOOKUP(E8955,DATABASE!C:Q,11,false)</f>
        <v>COMPLEMENTARY</v>
      </c>
    </row>
    <row r="8956" ht="22.5" customHeight="1">
      <c r="A8956" s="49"/>
      <c r="C8956" s="400">
        <v>46181.0</v>
      </c>
      <c r="D8956" s="524">
        <v>1643.0</v>
      </c>
      <c r="E8956" s="544" t="s">
        <v>301</v>
      </c>
      <c r="F8956" s="387">
        <v>1.0</v>
      </c>
      <c r="G8956" s="140">
        <v>250000.0</v>
      </c>
      <c r="H8956" s="74"/>
      <c r="I8956" s="74">
        <f t="shared" si="1"/>
        <v>250000</v>
      </c>
      <c r="J8956" s="74">
        <f>IF(E8956="SERVICE",I8956-(I8956*50%),Vlookup(E8956,DATABASE!C:Q,10,false)*F8956)</f>
        <v>75000</v>
      </c>
      <c r="K8956" s="74">
        <f>VLOOKUP(E8956,DATABASE!C:Q,7,false)</f>
        <v>75000</v>
      </c>
      <c r="L8956" s="74">
        <v>75000.0</v>
      </c>
      <c r="M8956" s="74">
        <f t="shared" si="6"/>
        <v>75000</v>
      </c>
      <c r="N8956" s="74">
        <f t="shared" si="3"/>
        <v>100000</v>
      </c>
      <c r="O8956" s="65" t="str">
        <f>VLOOKUP(E8956,DATABASE!C:Q,8,false)</f>
        <v>BIAN</v>
      </c>
      <c r="P8956" s="65">
        <f>VLOOKUP(E8956,DATABASE!C:Q,9,False)</f>
        <v>0</v>
      </c>
      <c r="Q8956" s="93" t="str">
        <f>VLOOKUP(E8956,DATABASE!C:Q,4,false)</f>
        <v>Baut Camber</v>
      </c>
      <c r="R8956" s="93" t="str">
        <f>VLOOKUP(E8956,DATABASE!C:Q,11,false)</f>
        <v>COMPLEMENTARY</v>
      </c>
    </row>
    <row r="8957" ht="22.5" customHeight="1">
      <c r="A8957" s="49"/>
      <c r="C8957" s="400">
        <v>46181.0</v>
      </c>
      <c r="D8957" s="524">
        <v>1644.0</v>
      </c>
      <c r="E8957" s="544" t="s">
        <v>262</v>
      </c>
      <c r="F8957" s="387">
        <v>1.0</v>
      </c>
      <c r="G8957" s="140">
        <v>130000.0</v>
      </c>
      <c r="H8957" s="74"/>
      <c r="I8957" s="74">
        <f t="shared" si="1"/>
        <v>130000</v>
      </c>
      <c r="J8957" s="74">
        <f>IF(E8957="SERVICE",I8957-(I8957*50%),Vlookup(E8957,DATABASE!C:Q,10,false)*F8957)</f>
        <v>5000</v>
      </c>
      <c r="K8957" s="74">
        <f>VLOOKUP(E8957,DATABASE!C:Q,7,false)</f>
        <v>0</v>
      </c>
      <c r="L8957" s="74">
        <v>0.0</v>
      </c>
      <c r="M8957" s="74">
        <f t="shared" si="6"/>
        <v>0</v>
      </c>
      <c r="N8957" s="74">
        <f t="shared" si="3"/>
        <v>125000</v>
      </c>
      <c r="O8957" s="65" t="str">
        <f>VLOOKUP(E8957,DATABASE!C:Q,8,false)</f>
        <v>IBU</v>
      </c>
      <c r="P8957" s="65">
        <f>VLOOKUP(E8957,DATABASE!C:Q,9,False)</f>
        <v>0</v>
      </c>
      <c r="Q8957" s="93" t="str">
        <f>VLOOKUP(E8957,DATABASE!C:Q,4,false)</f>
        <v>SPOORING SS/CARRY LOS BAK</v>
      </c>
      <c r="R8957" s="93" t="str">
        <f>VLOOKUP(E8957,DATABASE!C:Q,11,false)</f>
        <v>SERVICE</v>
      </c>
    </row>
    <row r="8958" ht="22.5" customHeight="1">
      <c r="A8958" s="29"/>
      <c r="C8958" s="400">
        <v>46181.0</v>
      </c>
      <c r="D8958" s="524">
        <v>1645.0</v>
      </c>
      <c r="E8958" s="544" t="s">
        <v>777</v>
      </c>
      <c r="F8958" s="387">
        <v>2.0</v>
      </c>
      <c r="G8958" s="140">
        <v>600000.0</v>
      </c>
      <c r="H8958" s="74"/>
      <c r="I8958" s="74">
        <f t="shared" si="1"/>
        <v>1200000</v>
      </c>
      <c r="J8958" s="74">
        <f>IF(E8958="SERVICE",I8958-(I8958*50%),Vlookup(E8958,DATABASE!C:Q,10,false)*F8958)</f>
        <v>0</v>
      </c>
      <c r="K8958" s="74">
        <f>VLOOKUP(E8958,DATABASE!C:Q,7,false)</f>
        <v>540000</v>
      </c>
      <c r="L8958" s="74">
        <v>515000.0</v>
      </c>
      <c r="M8958" s="74">
        <f t="shared" si="6"/>
        <v>515000</v>
      </c>
      <c r="N8958" s="74">
        <f t="shared" si="3"/>
        <v>170000</v>
      </c>
      <c r="O8958" s="65" t="str">
        <f>VLOOKUP(E8958,DATABASE!C:Q,8,false)</f>
        <v>BIAN</v>
      </c>
      <c r="P8958" s="65">
        <f>VLOOKUP(E8958,DATABASE!C:Q,9,False)</f>
        <v>1</v>
      </c>
      <c r="Q8958" s="93" t="str">
        <f>VLOOKUP(E8958,DATABASE!C:Q,4,false)</f>
        <v>GT</v>
      </c>
      <c r="R8958" s="93" t="str">
        <f>VLOOKUP(E8958,DATABASE!C:Q,11,false)</f>
        <v>Tire</v>
      </c>
    </row>
    <row r="8959" ht="22.5" customHeight="1">
      <c r="A8959" s="49"/>
      <c r="C8959" s="400">
        <v>46181.0</v>
      </c>
      <c r="D8959" s="524">
        <v>1646.0</v>
      </c>
      <c r="E8959" s="544" t="s">
        <v>262</v>
      </c>
      <c r="F8959" s="387">
        <v>1.0</v>
      </c>
      <c r="G8959" s="140">
        <v>130000.0</v>
      </c>
      <c r="H8959" s="74"/>
      <c r="I8959" s="74">
        <f t="shared" si="1"/>
        <v>130000</v>
      </c>
      <c r="J8959" s="74">
        <f>IF(E8959="SERVICE",I8959-(I8959*50%),Vlookup(E8959,DATABASE!C:Q,10,false)*F8959)</f>
        <v>5000</v>
      </c>
      <c r="K8959" s="74">
        <f>VLOOKUP(E8959,DATABASE!C:Q,7,false)</f>
        <v>0</v>
      </c>
      <c r="L8959" s="74">
        <v>0.0</v>
      </c>
      <c r="M8959" s="74">
        <f t="shared" si="6"/>
        <v>0</v>
      </c>
      <c r="N8959" s="74">
        <f t="shared" si="3"/>
        <v>125000</v>
      </c>
      <c r="O8959" s="65" t="str">
        <f>VLOOKUP(E8959,DATABASE!C:Q,8,false)</f>
        <v>IBU</v>
      </c>
      <c r="P8959" s="65">
        <f>VLOOKUP(E8959,DATABASE!C:Q,9,False)</f>
        <v>0</v>
      </c>
      <c r="Q8959" s="93" t="str">
        <f>VLOOKUP(E8959,DATABASE!C:Q,4,false)</f>
        <v>SPOORING SS/CARRY LOS BAK</v>
      </c>
      <c r="R8959" s="93" t="str">
        <f>VLOOKUP(E8959,DATABASE!C:Q,11,false)</f>
        <v>SERVICE</v>
      </c>
    </row>
    <row r="8960" ht="22.5" customHeight="1">
      <c r="A8960" s="49"/>
      <c r="C8960" s="400">
        <v>46181.0</v>
      </c>
      <c r="D8960" s="524">
        <v>1646.0</v>
      </c>
      <c r="E8960" s="544" t="s">
        <v>2206</v>
      </c>
      <c r="F8960" s="387">
        <v>2.0</v>
      </c>
      <c r="G8960" s="140">
        <v>200000.0</v>
      </c>
      <c r="H8960" s="74"/>
      <c r="I8960" s="74">
        <f t="shared" si="1"/>
        <v>400000</v>
      </c>
      <c r="J8960" s="74">
        <f>IF(E8960="SERVICE",I8960-(I8960*50%),Vlookup(E8960,DATABASE!C:Q,10,false)*F8960)</f>
        <v>80000</v>
      </c>
      <c r="K8960" s="74">
        <f>VLOOKUP(E8960,DATABASE!C:Q,7,false)</f>
        <v>95450</v>
      </c>
      <c r="L8960" s="74">
        <v>95450.0</v>
      </c>
      <c r="M8960" s="74">
        <f t="shared" si="6"/>
        <v>100000</v>
      </c>
      <c r="N8960" s="74">
        <f t="shared" si="3"/>
        <v>120000</v>
      </c>
      <c r="O8960" s="65" t="str">
        <f>VLOOKUP(E8960,DATABASE!C:Q,8,false)</f>
        <v>IBU</v>
      </c>
      <c r="P8960" s="65">
        <f>VLOOKUP(E8960,DATABASE!C:Q,9,False)</f>
        <v>1</v>
      </c>
      <c r="Q8960" s="93" t="str">
        <f>VLOOKUP(E8960,DATABASE!C:Q,4,false)</f>
        <v>TIEROD</v>
      </c>
      <c r="R8960" s="93" t="str">
        <f>VLOOKUP(E8960,DATABASE!C:Q,11,false)</f>
        <v>COMPLEMENTARY</v>
      </c>
    </row>
    <row r="8961" ht="22.5" customHeight="1">
      <c r="A8961" s="49"/>
      <c r="C8961" s="400">
        <v>46181.0</v>
      </c>
      <c r="D8961" s="524">
        <v>1646.0</v>
      </c>
      <c r="E8961" s="544" t="s">
        <v>305</v>
      </c>
      <c r="F8961" s="387">
        <v>1.0</v>
      </c>
      <c r="G8961" s="140">
        <v>240000.0</v>
      </c>
      <c r="H8961" s="74"/>
      <c r="I8961" s="74">
        <f t="shared" si="1"/>
        <v>240000</v>
      </c>
      <c r="J8961" s="74">
        <f>IF(E8961="SERVICE",I8961-(I8961*50%),Vlookup(E8961,DATABASE!C:Q,10,false)*F8961)</f>
        <v>40000</v>
      </c>
      <c r="K8961" s="74">
        <f>VLOOKUP(E8961,DATABASE!C:Q,7,false)</f>
        <v>158530.2</v>
      </c>
      <c r="L8961" s="74">
        <v>158530.2</v>
      </c>
      <c r="M8961" s="74">
        <f t="shared" si="6"/>
        <v>160000</v>
      </c>
      <c r="N8961" s="74">
        <f t="shared" si="3"/>
        <v>40000</v>
      </c>
      <c r="O8961" s="65" t="str">
        <f>VLOOKUP(E8961,DATABASE!C:Q,8,false)</f>
        <v>BIAN</v>
      </c>
      <c r="P8961" s="65">
        <f>VLOOKUP(E8961,DATABASE!C:Q,9,False)</f>
        <v>1</v>
      </c>
      <c r="Q8961" s="93" t="str">
        <f>VLOOKUP(E8961,DATABASE!C:Q,4,false)</f>
        <v>Lower Arm</v>
      </c>
      <c r="R8961" s="93" t="str">
        <f>VLOOKUP(E8961,DATABASE!C:Q,11,false)</f>
        <v>COMPLEMENTARY</v>
      </c>
    </row>
    <row r="8962" ht="22.5" customHeight="1">
      <c r="A8962" s="49"/>
      <c r="C8962" s="400">
        <v>46181.0</v>
      </c>
      <c r="D8962" s="69" t="s">
        <v>2836</v>
      </c>
      <c r="E8962" s="544" t="s">
        <v>248</v>
      </c>
      <c r="F8962" s="387">
        <v>1.0</v>
      </c>
      <c r="G8962" s="140">
        <v>235000.0</v>
      </c>
      <c r="H8962" s="74"/>
      <c r="I8962" s="74">
        <f t="shared" si="1"/>
        <v>235000</v>
      </c>
      <c r="J8962" s="74">
        <f>IF(E8962="SERVICE",I8962-(I8962*50%),Vlookup(E8962,DATABASE!C:Q,10,false)*F8962)</f>
        <v>0</v>
      </c>
      <c r="K8962" s="74">
        <f>VLOOKUP(E8962,DATABASE!C:Q,7,false)</f>
        <v>209816.66</v>
      </c>
      <c r="L8962" s="74">
        <v>185000.0</v>
      </c>
      <c r="M8962" s="74">
        <f t="shared" si="6"/>
        <v>185000</v>
      </c>
      <c r="N8962" s="74">
        <f t="shared" si="3"/>
        <v>50000</v>
      </c>
      <c r="O8962" s="65" t="str">
        <f>VLOOKUP(E8962,DATABASE!C:Q,8,false)</f>
        <v>NON</v>
      </c>
      <c r="P8962" s="65">
        <f>VLOOKUP(E8962,DATABASE!C:Q,9,False)</f>
        <v>0</v>
      </c>
      <c r="Q8962" s="93" t="str">
        <f>VLOOKUP(E8962,DATABASE!C:Q,4,false)</f>
        <v>Pertamina</v>
      </c>
      <c r="R8962" s="93" t="str">
        <f>VLOOKUP(E8962,DATABASE!C:Q,11,false)</f>
        <v>OIL</v>
      </c>
    </row>
    <row r="8963" ht="22.5" customHeight="1">
      <c r="A8963" s="29"/>
      <c r="C8963" s="400">
        <v>46182.0</v>
      </c>
      <c r="D8963" s="524">
        <v>1648.0</v>
      </c>
      <c r="E8963" s="544" t="s">
        <v>781</v>
      </c>
      <c r="F8963" s="387">
        <v>4.0</v>
      </c>
      <c r="G8963" s="140">
        <v>550000.0</v>
      </c>
      <c r="H8963" s="74"/>
      <c r="I8963" s="74">
        <f t="shared" si="1"/>
        <v>2200000</v>
      </c>
      <c r="J8963" s="74">
        <f>IF(E8963="SERVICE",I8963-(I8963*50%),Vlookup(E8963,DATABASE!C:Q,10,false)*F8963)</f>
        <v>0</v>
      </c>
      <c r="K8963" s="74">
        <f>VLOOKUP(E8963,DATABASE!C:Q,7,false)</f>
        <v>470000</v>
      </c>
      <c r="L8963" s="74">
        <v>460000.0</v>
      </c>
      <c r="M8963" s="74">
        <f t="shared" si="6"/>
        <v>460000</v>
      </c>
      <c r="N8963" s="74">
        <f t="shared" si="3"/>
        <v>360000</v>
      </c>
      <c r="O8963" s="65" t="str">
        <f>VLOOKUP(E8963,DATABASE!C:Q,8,false)</f>
        <v>BIAN</v>
      </c>
      <c r="P8963" s="65">
        <f>VLOOKUP(E8963,DATABASE!C:Q,9,False)</f>
        <v>1</v>
      </c>
      <c r="Q8963" s="93" t="str">
        <f>VLOOKUP(E8963,DATABASE!C:Q,4,false)</f>
        <v>GT</v>
      </c>
      <c r="R8963" s="93" t="str">
        <f>VLOOKUP(E8963,DATABASE!C:Q,11,false)</f>
        <v>Tire</v>
      </c>
    </row>
    <row r="8964" ht="22.5" customHeight="1">
      <c r="A8964" s="49"/>
      <c r="C8964" s="400">
        <v>46182.0</v>
      </c>
      <c r="D8964" s="524">
        <v>1649.0</v>
      </c>
      <c r="E8964" s="544" t="s">
        <v>974</v>
      </c>
      <c r="F8964" s="387">
        <v>2.0</v>
      </c>
      <c r="G8964" s="140">
        <v>590000.0</v>
      </c>
      <c r="H8964" s="74"/>
      <c r="I8964" s="74">
        <f t="shared" si="1"/>
        <v>1180000</v>
      </c>
      <c r="J8964" s="74">
        <f>IF(E8964="SERVICE",I8964-(I8964*50%),Vlookup(E8964,DATABASE!C:Q,10,false)*F8964)</f>
        <v>0</v>
      </c>
      <c r="K8964" s="74">
        <f>VLOOKUP(E8964,DATABASE!C:Q,7,false)</f>
        <v>501500</v>
      </c>
      <c r="L8964" s="74">
        <v>501500.0</v>
      </c>
      <c r="M8964" s="74">
        <f t="shared" si="6"/>
        <v>505000</v>
      </c>
      <c r="N8964" s="74">
        <f t="shared" si="3"/>
        <v>170000</v>
      </c>
      <c r="O8964" s="65" t="str">
        <f>VLOOKUP(E8964,DATABASE!C:Q,8,false)</f>
        <v>IBU</v>
      </c>
      <c r="P8964" s="65">
        <f>VLOOKUP(E8964,DATABASE!C:Q,9,False)</f>
        <v>1</v>
      </c>
      <c r="Q8964" s="93" t="str">
        <f>VLOOKUP(E8964,DATABASE!C:Q,4,false)</f>
        <v>Dunlop</v>
      </c>
      <c r="R8964" s="93" t="str">
        <f>VLOOKUP(E8964,DATABASE!C:Q,11,false)</f>
        <v>Tire</v>
      </c>
    </row>
    <row r="8965" ht="22.5" customHeight="1">
      <c r="A8965" s="49"/>
      <c r="C8965" s="400">
        <v>46182.0</v>
      </c>
      <c r="D8965" s="524">
        <v>1650.0</v>
      </c>
      <c r="E8965" s="544" t="s">
        <v>262</v>
      </c>
      <c r="F8965" s="387">
        <v>1.0</v>
      </c>
      <c r="G8965" s="140">
        <v>130000.0</v>
      </c>
      <c r="H8965" s="140">
        <v>10000.0</v>
      </c>
      <c r="I8965" s="74">
        <f t="shared" si="1"/>
        <v>120000</v>
      </c>
      <c r="J8965" s="74">
        <f>IF(E8965="SERVICE",I8965-(I8965*50%),Vlookup(E8965,DATABASE!C:Q,10,false)*F8965)</f>
        <v>5000</v>
      </c>
      <c r="K8965" s="74">
        <f>VLOOKUP(E8965,DATABASE!C:Q,7,false)</f>
        <v>0</v>
      </c>
      <c r="L8965" s="74">
        <v>0.0</v>
      </c>
      <c r="M8965" s="74">
        <f t="shared" si="6"/>
        <v>0</v>
      </c>
      <c r="N8965" s="74">
        <f t="shared" si="3"/>
        <v>115000</v>
      </c>
      <c r="O8965" s="65" t="str">
        <f>VLOOKUP(E8965,DATABASE!C:Q,8,false)</f>
        <v>IBU</v>
      </c>
      <c r="P8965" s="65">
        <f>VLOOKUP(E8965,DATABASE!C:Q,9,False)</f>
        <v>0</v>
      </c>
      <c r="Q8965" s="93" t="str">
        <f>VLOOKUP(E8965,DATABASE!C:Q,4,false)</f>
        <v>SPOORING SS/CARRY LOS BAK</v>
      </c>
      <c r="R8965" s="93" t="str">
        <f>VLOOKUP(E8965,DATABASE!C:Q,11,false)</f>
        <v>SERVICE</v>
      </c>
    </row>
    <row r="8966" ht="22.5" customHeight="1">
      <c r="A8966" s="49"/>
      <c r="C8966" s="400">
        <v>46182.0</v>
      </c>
      <c r="D8966" s="524">
        <v>1650.0</v>
      </c>
      <c r="E8966" s="544" t="s">
        <v>305</v>
      </c>
      <c r="F8966" s="387">
        <v>2.0</v>
      </c>
      <c r="G8966" s="140">
        <v>240000.0</v>
      </c>
      <c r="H8966" s="74"/>
      <c r="I8966" s="74">
        <f t="shared" si="1"/>
        <v>480000</v>
      </c>
      <c r="J8966" s="74">
        <f>IF(E8966="SERVICE",I8966-(I8966*50%),Vlookup(E8966,DATABASE!C:Q,10,false)*F8966)</f>
        <v>80000</v>
      </c>
      <c r="K8966" s="74">
        <f>VLOOKUP(E8966,DATABASE!C:Q,7,false)</f>
        <v>158530.2</v>
      </c>
      <c r="L8966" s="74">
        <v>158530.2</v>
      </c>
      <c r="M8966" s="74">
        <f t="shared" si="6"/>
        <v>160000</v>
      </c>
      <c r="N8966" s="74">
        <f t="shared" si="3"/>
        <v>80000</v>
      </c>
      <c r="O8966" s="65" t="str">
        <f>VLOOKUP(E8966,DATABASE!C:Q,8,false)</f>
        <v>BIAN</v>
      </c>
      <c r="P8966" s="65">
        <f>VLOOKUP(E8966,DATABASE!C:Q,9,False)</f>
        <v>1</v>
      </c>
      <c r="Q8966" s="93" t="str">
        <f>VLOOKUP(E8966,DATABASE!C:Q,4,false)</f>
        <v>Lower Arm</v>
      </c>
      <c r="R8966" s="93" t="str">
        <f>VLOOKUP(E8966,DATABASE!C:Q,11,false)</f>
        <v>COMPLEMENTARY</v>
      </c>
    </row>
    <row r="8967" ht="22.5" customHeight="1">
      <c r="A8967" s="49"/>
      <c r="C8967" s="400">
        <v>46182.0</v>
      </c>
      <c r="D8967" s="524">
        <v>1650.0</v>
      </c>
      <c r="E8967" s="544" t="s">
        <v>478</v>
      </c>
      <c r="F8967" s="387">
        <v>1.0</v>
      </c>
      <c r="G8967" s="140">
        <v>200000.0</v>
      </c>
      <c r="H8967" s="74"/>
      <c r="I8967" s="74">
        <f t="shared" si="1"/>
        <v>200000</v>
      </c>
      <c r="J8967" s="74">
        <f>IF(E8967="SERVICE",I8967-(I8967*50%),Vlookup(E8967,DATABASE!C:Q,10,false)*F8967)</f>
        <v>25000</v>
      </c>
      <c r="K8967" s="74">
        <f>VLOOKUP(E8967,DATABASE!C:Q,7,false)</f>
        <v>75000</v>
      </c>
      <c r="L8967" s="74">
        <v>75000.0</v>
      </c>
      <c r="M8967" s="74">
        <f t="shared" si="6"/>
        <v>75000</v>
      </c>
      <c r="N8967" s="74">
        <f t="shared" si="3"/>
        <v>100000</v>
      </c>
      <c r="O8967" s="65" t="str">
        <f>VLOOKUP(E8967,DATABASE!C:Q,8,false)</f>
        <v>BIAN</v>
      </c>
      <c r="P8967" s="65">
        <f>VLOOKUP(E8967,DATABASE!C:Q,9,False)</f>
        <v>0</v>
      </c>
      <c r="Q8967" s="93" t="str">
        <f>VLOOKUP(E8967,DATABASE!C:Q,4,false)</f>
        <v>Baut Camber ss-carry</v>
      </c>
      <c r="R8967" s="93" t="str">
        <f>VLOOKUP(E8967,DATABASE!C:Q,11,false)</f>
        <v>COMPLEMENTARY</v>
      </c>
    </row>
    <row r="8968" ht="22.5" customHeight="1">
      <c r="A8968" s="49"/>
      <c r="C8968" s="400">
        <v>46182.0</v>
      </c>
      <c r="D8968" s="524">
        <v>1651.0</v>
      </c>
      <c r="E8968" s="544" t="s">
        <v>288</v>
      </c>
      <c r="F8968" s="387">
        <v>1.0</v>
      </c>
      <c r="G8968" s="140">
        <v>630000.0</v>
      </c>
      <c r="H8968" s="74"/>
      <c r="I8968" s="74">
        <f t="shared" si="1"/>
        <v>630000</v>
      </c>
      <c r="J8968" s="74">
        <f>IF(E8968="SERVICE",I8968-(I8968*50%),Vlookup(E8968,DATABASE!C:Q,10,false)*F8968)</f>
        <v>0</v>
      </c>
      <c r="K8968" s="74">
        <f>VLOOKUP(E8968,DATABASE!C:Q,7,false)</f>
        <v>565760</v>
      </c>
      <c r="L8968" s="74">
        <v>540500.0</v>
      </c>
      <c r="M8968" s="74">
        <f t="shared" si="6"/>
        <v>545000</v>
      </c>
      <c r="N8968" s="74">
        <f t="shared" si="3"/>
        <v>85000</v>
      </c>
      <c r="O8968" s="65" t="str">
        <f>VLOOKUP(E8968,DATABASE!C:Q,8,false)</f>
        <v>BIAN</v>
      </c>
      <c r="P8968" s="65">
        <f>VLOOKUP(E8968,DATABASE!C:Q,9,False)</f>
        <v>1</v>
      </c>
      <c r="Q8968" s="93" t="str">
        <f>VLOOKUP(E8968,DATABASE!C:Q,4,false)</f>
        <v>GT</v>
      </c>
      <c r="R8968" s="93" t="str">
        <f>VLOOKUP(E8968,DATABASE!C:Q,11,false)</f>
        <v>Tire</v>
      </c>
    </row>
    <row r="8969" ht="22.5" customHeight="1">
      <c r="A8969" s="49"/>
      <c r="C8969" s="400">
        <v>46182.0</v>
      </c>
      <c r="D8969" s="524">
        <v>1652.0</v>
      </c>
      <c r="E8969" s="544" t="s">
        <v>294</v>
      </c>
      <c r="F8969" s="387">
        <v>1.0</v>
      </c>
      <c r="G8969" s="140">
        <v>590000.0</v>
      </c>
      <c r="H8969" s="74"/>
      <c r="I8969" s="74">
        <f t="shared" si="1"/>
        <v>590000</v>
      </c>
      <c r="J8969" s="74">
        <f>IF(E8969="SERVICE",I8969-(I8969*50%),Vlookup(E8969,DATABASE!C:Q,10,false)*F8969)</f>
        <v>0</v>
      </c>
      <c r="K8969" s="74">
        <f>VLOOKUP(E8969,DATABASE!C:Q,7,false)</f>
        <v>505000</v>
      </c>
      <c r="L8969" s="74">
        <v>505000.0</v>
      </c>
      <c r="M8969" s="74">
        <f t="shared" si="6"/>
        <v>505000</v>
      </c>
      <c r="N8969" s="74">
        <f t="shared" si="3"/>
        <v>85000</v>
      </c>
      <c r="O8969" s="65" t="str">
        <f>VLOOKUP(E8969,DATABASE!C:Q,8,false)</f>
        <v>BIAN</v>
      </c>
      <c r="P8969" s="65">
        <f>VLOOKUP(E8969,DATABASE!C:Q,9,False)</f>
        <v>1</v>
      </c>
      <c r="Q8969" s="93" t="str">
        <f>VLOOKUP(E8969,DATABASE!C:Q,4,false)</f>
        <v>GT</v>
      </c>
      <c r="R8969" s="93" t="str">
        <f>VLOOKUP(E8969,DATABASE!C:Q,11,false)</f>
        <v>Tire</v>
      </c>
    </row>
    <row r="8970" ht="22.5" customHeight="1">
      <c r="A8970" s="49"/>
      <c r="C8970" s="400">
        <v>46182.0</v>
      </c>
      <c r="D8970" s="524">
        <v>1652.0</v>
      </c>
      <c r="E8970" s="544" t="s">
        <v>569</v>
      </c>
      <c r="F8970" s="387">
        <v>1.0</v>
      </c>
      <c r="G8970" s="140">
        <v>80000.0</v>
      </c>
      <c r="H8970" s="74"/>
      <c r="I8970" s="74">
        <f t="shared" si="1"/>
        <v>80000</v>
      </c>
      <c r="J8970" s="74">
        <f>IF(E8970="SERVICE",I8970-(I8970*50%),Vlookup(E8970,DATABASE!C:Q,10,false)*F8970)</f>
        <v>0</v>
      </c>
      <c r="K8970" s="74">
        <f>VLOOKUP(E8970,DATABASE!C:Q,7,false)</f>
        <v>45439.582</v>
      </c>
      <c r="L8970" s="74">
        <v>45439.582</v>
      </c>
      <c r="M8970" s="74">
        <f t="shared" si="6"/>
        <v>50000</v>
      </c>
      <c r="N8970" s="74">
        <f t="shared" si="3"/>
        <v>30000</v>
      </c>
      <c r="O8970" s="65" t="str">
        <f>VLOOKUP(E8970,DATABASE!C:Q,8,false)</f>
        <v>BIAN</v>
      </c>
      <c r="P8970" s="65">
        <f>VLOOKUP(E8970,DATABASE!C:Q,9,False)</f>
        <v>1</v>
      </c>
      <c r="Q8970" s="93" t="str">
        <f>VLOOKUP(E8970,DATABASE!C:Q,4,false)</f>
        <v>BD</v>
      </c>
      <c r="R8970" s="93" t="str">
        <f>VLOOKUP(E8970,DATABASE!C:Q,11,false)</f>
        <v>Tire</v>
      </c>
    </row>
    <row r="8971" ht="22.5" customHeight="1">
      <c r="A8971" s="49"/>
      <c r="C8971" s="400">
        <v>46182.0</v>
      </c>
      <c r="D8971" s="524">
        <v>1653.0</v>
      </c>
      <c r="E8971" s="544" t="s">
        <v>265</v>
      </c>
      <c r="F8971" s="387">
        <v>1.0</v>
      </c>
      <c r="G8971" s="140">
        <v>700000.0</v>
      </c>
      <c r="H8971" s="74"/>
      <c r="I8971" s="74">
        <f t="shared" si="1"/>
        <v>700000</v>
      </c>
      <c r="J8971" s="74">
        <f>IF(E8971="SERVICE",I8971-(I8971*50%),Vlookup(E8971,DATABASE!C:Q,10,false)*F8971)</f>
        <v>0</v>
      </c>
      <c r="K8971" s="74">
        <f>VLOOKUP(E8971,DATABASE!C:Q,7,false)</f>
        <v>628000</v>
      </c>
      <c r="L8971" s="74">
        <v>610000.0</v>
      </c>
      <c r="M8971" s="74">
        <f t="shared" si="6"/>
        <v>610000</v>
      </c>
      <c r="N8971" s="74">
        <f t="shared" si="3"/>
        <v>90000</v>
      </c>
      <c r="O8971" s="65" t="str">
        <f>VLOOKUP(E8971,DATABASE!C:Q,8,false)</f>
        <v>IBU</v>
      </c>
      <c r="P8971" s="65">
        <f>VLOOKUP(E8971,DATABASE!C:Q,9,False)</f>
        <v>1</v>
      </c>
      <c r="Q8971" s="93" t="str">
        <f>VLOOKUP(E8971,DATABASE!C:Q,4,false)</f>
        <v>Dunlop</v>
      </c>
      <c r="R8971" s="93" t="str">
        <f>VLOOKUP(E8971,DATABASE!C:Q,11,false)</f>
        <v>Tire</v>
      </c>
    </row>
    <row r="8972" ht="22.5" customHeight="1">
      <c r="A8972" s="49"/>
      <c r="C8972" s="400">
        <v>46182.0</v>
      </c>
      <c r="D8972" s="524">
        <v>1653.0</v>
      </c>
      <c r="E8972" s="544" t="s">
        <v>974</v>
      </c>
      <c r="F8972" s="387">
        <v>1.0</v>
      </c>
      <c r="G8972" s="140">
        <v>590000.0</v>
      </c>
      <c r="H8972" s="74"/>
      <c r="I8972" s="74">
        <f t="shared" si="1"/>
        <v>590000</v>
      </c>
      <c r="J8972" s="74">
        <f>IF(E8972="SERVICE",I8972-(I8972*50%),Vlookup(E8972,DATABASE!C:Q,10,false)*F8972)</f>
        <v>0</v>
      </c>
      <c r="K8972" s="74">
        <f>VLOOKUP(E8972,DATABASE!C:Q,7,false)</f>
        <v>501500</v>
      </c>
      <c r="L8972" s="74">
        <v>501500.0</v>
      </c>
      <c r="M8972" s="74">
        <f t="shared" si="6"/>
        <v>505000</v>
      </c>
      <c r="N8972" s="74">
        <f t="shared" si="3"/>
        <v>85000</v>
      </c>
      <c r="O8972" s="65" t="str">
        <f>VLOOKUP(E8972,DATABASE!C:Q,8,false)</f>
        <v>IBU</v>
      </c>
      <c r="P8972" s="65">
        <f>VLOOKUP(E8972,DATABASE!C:Q,9,False)</f>
        <v>1</v>
      </c>
      <c r="Q8972" s="93" t="str">
        <f>VLOOKUP(E8972,DATABASE!C:Q,4,false)</f>
        <v>Dunlop</v>
      </c>
      <c r="R8972" s="93" t="str">
        <f>VLOOKUP(E8972,DATABASE!C:Q,11,false)</f>
        <v>Tire</v>
      </c>
    </row>
    <row r="8973" ht="22.5" customHeight="1">
      <c r="A8973" s="49"/>
      <c r="C8973" s="400">
        <v>46182.0</v>
      </c>
      <c r="D8973" s="69">
        <v>1655.0</v>
      </c>
      <c r="E8973" s="544" t="s">
        <v>897</v>
      </c>
      <c r="F8973" s="387">
        <v>2.0</v>
      </c>
      <c r="G8973" s="140">
        <v>1625000.0</v>
      </c>
      <c r="H8973" s="74"/>
      <c r="I8973" s="74">
        <f t="shared" si="1"/>
        <v>3250000</v>
      </c>
      <c r="J8973" s="74">
        <f>IF(E8973="SERVICE",I8973-(I8973*50%),Vlookup(E8973,DATABASE!C:Q,10,false)*F8973)</f>
        <v>0</v>
      </c>
      <c r="K8973" s="74">
        <f>VLOOKUP(E8973,DATABASE!C:Q,7,false)</f>
        <v>1560000</v>
      </c>
      <c r="L8973" s="74">
        <v>1525000.0</v>
      </c>
      <c r="M8973" s="74">
        <f t="shared" si="6"/>
        <v>1525000</v>
      </c>
      <c r="N8973" s="74">
        <f t="shared" si="3"/>
        <v>200000</v>
      </c>
      <c r="O8973" s="65" t="str">
        <f>VLOOKUP(E8973,DATABASE!C:Q,8,false)</f>
        <v>BIAN</v>
      </c>
      <c r="P8973" s="65">
        <f>VLOOKUP(E8973,DATABASE!C:Q,9,False)</f>
        <v>1</v>
      </c>
      <c r="Q8973" s="93" t="str">
        <f>VLOOKUP(E8973,DATABASE!C:Q,4,false)</f>
        <v>GT</v>
      </c>
      <c r="R8973" s="93" t="str">
        <f>VLOOKUP(E8973,DATABASE!C:Q,11,false)</f>
        <v>Tire</v>
      </c>
    </row>
    <row r="8974" ht="22.5" customHeight="1">
      <c r="A8974" s="49"/>
      <c r="C8974" s="400">
        <v>46182.0</v>
      </c>
      <c r="D8974" s="524">
        <v>1658.0</v>
      </c>
      <c r="E8974" s="544" t="s">
        <v>591</v>
      </c>
      <c r="F8974" s="387">
        <v>2.0</v>
      </c>
      <c r="G8974" s="140">
        <v>710000.0</v>
      </c>
      <c r="H8974" s="140">
        <v>10000.0</v>
      </c>
      <c r="I8974" s="74">
        <f t="shared" si="1"/>
        <v>1400000</v>
      </c>
      <c r="J8974" s="74">
        <f>IF(E8974="SERVICE",I8974-(I8974*50%),Vlookup(E8974,DATABASE!C:Q,10,false)*F8974)</f>
        <v>0</v>
      </c>
      <c r="K8974" s="74">
        <f>VLOOKUP(E8974,DATABASE!C:Q,7,false)</f>
        <v>633035.16</v>
      </c>
      <c r="L8974" s="74">
        <v>609844.375</v>
      </c>
      <c r="M8974" s="74">
        <f t="shared" si="6"/>
        <v>610000</v>
      </c>
      <c r="N8974" s="74">
        <f t="shared" si="3"/>
        <v>180000</v>
      </c>
      <c r="O8974" s="65" t="str">
        <f>VLOOKUP(E8974,DATABASE!C:Q,8,false)</f>
        <v>IBU</v>
      </c>
      <c r="P8974" s="65">
        <f>VLOOKUP(E8974,DATABASE!C:Q,9,False)</f>
        <v>1</v>
      </c>
      <c r="Q8974" s="93" t="str">
        <f>VLOOKUP(E8974,DATABASE!C:Q,4,false)</f>
        <v>Bridgestone</v>
      </c>
      <c r="R8974" s="93" t="str">
        <f>VLOOKUP(E8974,DATABASE!C:Q,11,false)</f>
        <v>Tire</v>
      </c>
    </row>
    <row r="8975" ht="22.5" customHeight="1">
      <c r="A8975" s="49"/>
      <c r="C8975" s="400">
        <v>46182.0</v>
      </c>
      <c r="D8975" s="524">
        <v>1662.0</v>
      </c>
      <c r="E8975" s="544" t="s">
        <v>256</v>
      </c>
      <c r="F8975" s="387">
        <v>1.0</v>
      </c>
      <c r="G8975" s="140">
        <v>175000.0</v>
      </c>
      <c r="H8975" s="140">
        <v>25000.0</v>
      </c>
      <c r="I8975" s="74">
        <f t="shared" si="1"/>
        <v>150000</v>
      </c>
      <c r="J8975" s="74">
        <f>IF(E8975="SERVICE",I8975-(I8975*50%),Vlookup(E8975,DATABASE!C:Q,10,false)*F8975)</f>
        <v>10000</v>
      </c>
      <c r="K8975" s="74">
        <f>VLOOKUP(E8975,DATABASE!C:Q,7,false)</f>
        <v>0</v>
      </c>
      <c r="L8975" s="74">
        <v>0.0</v>
      </c>
      <c r="M8975" s="74">
        <f t="shared" si="6"/>
        <v>0</v>
      </c>
      <c r="N8975" s="74">
        <f t="shared" si="3"/>
        <v>140000</v>
      </c>
      <c r="O8975" s="65" t="str">
        <f>VLOOKUP(E8975,DATABASE!C:Q,8,false)</f>
        <v>IBU</v>
      </c>
      <c r="P8975" s="65">
        <f>VLOOKUP(E8975,DATABASE!C:Q,9,False)</f>
        <v>0</v>
      </c>
      <c r="Q8975" s="93" t="str">
        <f>VLOOKUP(E8975,DATABASE!C:Q,4,false)</f>
        <v>SPOORING</v>
      </c>
      <c r="R8975" s="93" t="str">
        <f>VLOOKUP(E8975,DATABASE!C:Q,11,false)</f>
        <v>SERVICE</v>
      </c>
    </row>
    <row r="8976" ht="22.5" customHeight="1">
      <c r="A8976" s="49"/>
      <c r="C8976" s="400">
        <v>46182.0</v>
      </c>
      <c r="D8976" s="524">
        <v>1662.0</v>
      </c>
      <c r="E8976" s="544" t="s">
        <v>251</v>
      </c>
      <c r="F8976" s="387">
        <v>1.0</v>
      </c>
      <c r="G8976" s="140">
        <v>350000.0</v>
      </c>
      <c r="H8976" s="140">
        <v>200000.0</v>
      </c>
      <c r="I8976" s="74">
        <f t="shared" si="1"/>
        <v>150000</v>
      </c>
      <c r="J8976" s="74">
        <f>IF(E8976="SERVICE",I8976-(I8976*50%),Vlookup(E8976,DATABASE!C:Q,10,false)*F8976)</f>
        <v>75000</v>
      </c>
      <c r="K8976" s="74">
        <f>VLOOKUP(E8976,DATABASE!C:Q,7,false)</f>
        <v>0</v>
      </c>
      <c r="L8976" s="74">
        <v>0.0</v>
      </c>
      <c r="M8976" s="74">
        <f t="shared" si="6"/>
        <v>0</v>
      </c>
      <c r="N8976" s="74">
        <f t="shared" si="3"/>
        <v>75000</v>
      </c>
      <c r="O8976" s="65" t="str">
        <f>VLOOKUP(E8976,DATABASE!C:Q,8,false)</f>
        <v>IBU</v>
      </c>
      <c r="P8976" s="65">
        <f>VLOOKUP(E8976,DATABASE!C:Q,9,False)</f>
        <v>0</v>
      </c>
      <c r="Q8976" s="93" t="str">
        <f>VLOOKUP(E8976,DATABASE!C:Q,4,false)</f>
        <v>SERVICE</v>
      </c>
      <c r="R8976" s="93" t="str">
        <f>VLOOKUP(E8976,DATABASE!C:Q,11,false)</f>
        <v>SERVICE</v>
      </c>
    </row>
    <row r="8977" ht="22.5" customHeight="1">
      <c r="A8977" s="49"/>
      <c r="C8977" s="400">
        <v>46182.0</v>
      </c>
      <c r="D8977" s="524">
        <v>1663.0</v>
      </c>
      <c r="E8977" s="544" t="s">
        <v>2631</v>
      </c>
      <c r="F8977" s="387">
        <v>2.0</v>
      </c>
      <c r="G8977" s="140">
        <v>900000.0</v>
      </c>
      <c r="H8977" s="74"/>
      <c r="I8977" s="74">
        <f t="shared" si="1"/>
        <v>1800000</v>
      </c>
      <c r="J8977" s="74">
        <f>IF(E8977="SERVICE",I8977-(I8977*50%),Vlookup(E8977,DATABASE!C:Q,10,false)*F8977)</f>
        <v>0</v>
      </c>
      <c r="K8977" s="74">
        <f>VLOOKUP(E8977,DATABASE!C:Q,7,false)</f>
        <v>795000</v>
      </c>
      <c r="L8977" s="74">
        <v>795000.0</v>
      </c>
      <c r="M8977" s="74">
        <f t="shared" si="6"/>
        <v>795000</v>
      </c>
      <c r="N8977" s="74">
        <f t="shared" si="3"/>
        <v>210000</v>
      </c>
      <c r="O8977" s="65" t="str">
        <f>VLOOKUP(E8977,DATABASE!C:Q,8,false)</f>
        <v>IBU</v>
      </c>
      <c r="P8977" s="65">
        <f>VLOOKUP(E8977,DATABASE!C:Q,9,False)</f>
        <v>1</v>
      </c>
      <c r="Q8977" s="93" t="str">
        <f>VLOOKUP(E8977,DATABASE!C:Q,4,false)</f>
        <v>DUNLOP</v>
      </c>
      <c r="R8977" s="93" t="str">
        <f>VLOOKUP(E8977,DATABASE!C:Q,11,false)</f>
        <v>Tire</v>
      </c>
    </row>
    <row r="8978" ht="22.5" customHeight="1">
      <c r="A8978" s="49"/>
      <c r="C8978" s="400">
        <v>46182.0</v>
      </c>
      <c r="D8978" s="524">
        <v>1664.0</v>
      </c>
      <c r="E8978" s="544" t="s">
        <v>781</v>
      </c>
      <c r="F8978" s="387">
        <v>1.0</v>
      </c>
      <c r="G8978" s="140">
        <v>550000.0</v>
      </c>
      <c r="H8978" s="74"/>
      <c r="I8978" s="74">
        <f t="shared" si="1"/>
        <v>550000</v>
      </c>
      <c r="J8978" s="74">
        <f>IF(E8978="SERVICE",I8978-(I8978*50%),Vlookup(E8978,DATABASE!C:Q,10,false)*F8978)</f>
        <v>0</v>
      </c>
      <c r="K8978" s="74">
        <f>VLOOKUP(E8978,DATABASE!C:Q,7,false)</f>
        <v>470000</v>
      </c>
      <c r="L8978" s="74">
        <v>460000.0</v>
      </c>
      <c r="M8978" s="74">
        <f t="shared" si="6"/>
        <v>460000</v>
      </c>
      <c r="N8978" s="74">
        <f t="shared" si="3"/>
        <v>90000</v>
      </c>
      <c r="O8978" s="65" t="str">
        <f>VLOOKUP(E8978,DATABASE!C:Q,8,false)</f>
        <v>BIAN</v>
      </c>
      <c r="P8978" s="65">
        <f>VLOOKUP(E8978,DATABASE!C:Q,9,False)</f>
        <v>1</v>
      </c>
      <c r="Q8978" s="93" t="str">
        <f>VLOOKUP(E8978,DATABASE!C:Q,4,false)</f>
        <v>GT</v>
      </c>
      <c r="R8978" s="93" t="str">
        <f>VLOOKUP(E8978,DATABASE!C:Q,11,false)</f>
        <v>Tire</v>
      </c>
    </row>
    <row r="8979" ht="22.5" customHeight="1">
      <c r="A8979" s="49"/>
      <c r="C8979" s="400">
        <v>46182.0</v>
      </c>
      <c r="D8979" s="524">
        <v>1665.0</v>
      </c>
      <c r="E8979" s="544" t="s">
        <v>777</v>
      </c>
      <c r="F8979" s="387">
        <v>2.0</v>
      </c>
      <c r="G8979" s="140">
        <v>600000.0</v>
      </c>
      <c r="H8979" s="74"/>
      <c r="I8979" s="74">
        <f t="shared" si="1"/>
        <v>1200000</v>
      </c>
      <c r="J8979" s="74">
        <f>IF(E8979="SERVICE",I8979-(I8979*50%),Vlookup(E8979,DATABASE!C:Q,10,false)*F8979)</f>
        <v>0</v>
      </c>
      <c r="K8979" s="74">
        <f>VLOOKUP(E8979,DATABASE!C:Q,7,false)</f>
        <v>540000</v>
      </c>
      <c r="L8979" s="74">
        <v>515000.0</v>
      </c>
      <c r="M8979" s="74">
        <f t="shared" si="6"/>
        <v>515000</v>
      </c>
      <c r="N8979" s="74">
        <f t="shared" si="3"/>
        <v>170000</v>
      </c>
      <c r="O8979" s="65" t="str">
        <f>VLOOKUP(E8979,DATABASE!C:Q,8,false)</f>
        <v>BIAN</v>
      </c>
      <c r="P8979" s="65">
        <f>VLOOKUP(E8979,DATABASE!C:Q,9,False)</f>
        <v>1</v>
      </c>
      <c r="Q8979" s="93" t="str">
        <f>VLOOKUP(E8979,DATABASE!C:Q,4,false)</f>
        <v>GT</v>
      </c>
      <c r="R8979" s="93" t="str">
        <f>VLOOKUP(E8979,DATABASE!C:Q,11,false)</f>
        <v>Tire</v>
      </c>
    </row>
    <row r="8980" ht="22.5" customHeight="1">
      <c r="A8980" s="49"/>
      <c r="C8980" s="400">
        <v>46182.0</v>
      </c>
      <c r="D8980" s="524">
        <v>1665.0</v>
      </c>
      <c r="E8980" s="544" t="s">
        <v>250</v>
      </c>
      <c r="F8980" s="387">
        <v>2.0</v>
      </c>
      <c r="G8980" s="140">
        <v>135000.0</v>
      </c>
      <c r="H8980" s="74"/>
      <c r="I8980" s="74">
        <f t="shared" si="1"/>
        <v>270000</v>
      </c>
      <c r="J8980" s="74">
        <f>IF(E8980="SERVICE",I8980-(I8980*50%),Vlookup(E8980,DATABASE!C:Q,10,false)*F8980)</f>
        <v>0</v>
      </c>
      <c r="K8980" s="74">
        <f>VLOOKUP(E8980,DATABASE!C:Q,7,false)</f>
        <v>102000</v>
      </c>
      <c r="L8980" s="74">
        <v>102000.0</v>
      </c>
      <c r="M8980" s="74">
        <f t="shared" si="6"/>
        <v>105000</v>
      </c>
      <c r="N8980" s="74">
        <f t="shared" si="3"/>
        <v>60000</v>
      </c>
      <c r="O8980" s="65" t="str">
        <f>VLOOKUP(E8980,DATABASE!C:Q,8,false)</f>
        <v>BIAN</v>
      </c>
      <c r="P8980" s="65">
        <f>VLOOKUP(E8980,DATABASE!C:Q,9,False)</f>
        <v>1</v>
      </c>
      <c r="Q8980" s="93" t="str">
        <f>VLOOKUP(E8980,DATABASE!C:Q,4,false)</f>
        <v>BD</v>
      </c>
      <c r="R8980" s="93" t="str">
        <f>VLOOKUP(E8980,DATABASE!C:Q,11,false)</f>
        <v>Tire</v>
      </c>
    </row>
    <row r="8981" ht="22.5" customHeight="1">
      <c r="A8981" s="49"/>
      <c r="C8981" s="400">
        <v>46182.0</v>
      </c>
      <c r="D8981" s="524">
        <v>1666.0</v>
      </c>
      <c r="E8981" s="544" t="s">
        <v>897</v>
      </c>
      <c r="F8981" s="387">
        <v>4.0</v>
      </c>
      <c r="G8981" s="140">
        <v>1625000.0</v>
      </c>
      <c r="H8981" s="74"/>
      <c r="I8981" s="74">
        <f t="shared" si="1"/>
        <v>6500000</v>
      </c>
      <c r="J8981" s="74">
        <f>IF(E8981="SERVICE",I8981-(I8981*50%),Vlookup(E8981,DATABASE!C:Q,10,false)*F8981)</f>
        <v>0</v>
      </c>
      <c r="K8981" s="74">
        <f>VLOOKUP(E8981,DATABASE!C:Q,7,false)</f>
        <v>1560000</v>
      </c>
      <c r="L8981" s="74">
        <v>1525000.0</v>
      </c>
      <c r="M8981" s="74">
        <f t="shared" si="6"/>
        <v>1525000</v>
      </c>
      <c r="N8981" s="74">
        <f t="shared" si="3"/>
        <v>400000</v>
      </c>
      <c r="O8981" s="65" t="str">
        <f>VLOOKUP(E8981,DATABASE!C:Q,8,false)</f>
        <v>BIAN</v>
      </c>
      <c r="P8981" s="65">
        <f>VLOOKUP(E8981,DATABASE!C:Q,9,False)</f>
        <v>1</v>
      </c>
      <c r="Q8981" s="93" t="str">
        <f>VLOOKUP(E8981,DATABASE!C:Q,4,false)</f>
        <v>GT</v>
      </c>
      <c r="R8981" s="93" t="str">
        <f>VLOOKUP(E8981,DATABASE!C:Q,11,false)</f>
        <v>Tire</v>
      </c>
    </row>
    <row r="8982" ht="22.5" customHeight="1">
      <c r="A8982" s="49"/>
      <c r="C8982" s="400">
        <v>46182.0</v>
      </c>
      <c r="D8982" s="524">
        <v>1666.0</v>
      </c>
      <c r="E8982" s="544" t="s">
        <v>737</v>
      </c>
      <c r="F8982" s="387">
        <v>4.0</v>
      </c>
      <c r="G8982" s="140">
        <v>270000.0</v>
      </c>
      <c r="H8982" s="74"/>
      <c r="I8982" s="74">
        <f t="shared" si="1"/>
        <v>1080000</v>
      </c>
      <c r="J8982" s="74">
        <f>IF(E8982="SERVICE",I8982-(I8982*50%),Vlookup(E8982,DATABASE!C:Q,10,false)*F8982)</f>
        <v>0</v>
      </c>
      <c r="K8982" s="74">
        <f>VLOOKUP(E8982,DATABASE!C:Q,7,false)</f>
        <v>241001.6</v>
      </c>
      <c r="L8982" s="74">
        <v>237440.0</v>
      </c>
      <c r="M8982" s="74">
        <f t="shared" si="6"/>
        <v>240000</v>
      </c>
      <c r="N8982" s="74">
        <f t="shared" si="3"/>
        <v>120000</v>
      </c>
      <c r="O8982" s="65" t="str">
        <f>VLOOKUP(E8982,DATABASE!C:Q,8,false)</f>
        <v>IBU</v>
      </c>
      <c r="P8982" s="65">
        <f>VLOOKUP(E8982,DATABASE!C:Q,9,False)</f>
        <v>1</v>
      </c>
      <c r="Q8982" s="93" t="str">
        <f>VLOOKUP(E8982,DATABASE!C:Q,4,false)</f>
        <v>BD</v>
      </c>
      <c r="R8982" s="93" t="str">
        <f>VLOOKUP(E8982,DATABASE!C:Q,11,false)</f>
        <v>Tire</v>
      </c>
    </row>
    <row r="8983" ht="22.5" customHeight="1">
      <c r="A8983" s="49"/>
      <c r="C8983" s="400">
        <v>46182.0</v>
      </c>
      <c r="D8983" s="524">
        <v>1666.0</v>
      </c>
      <c r="E8983" s="544" t="s">
        <v>821</v>
      </c>
      <c r="F8983" s="387">
        <v>4.0</v>
      </c>
      <c r="G8983" s="140">
        <v>90000.0</v>
      </c>
      <c r="H8983" s="74"/>
      <c r="I8983" s="74">
        <f t="shared" si="1"/>
        <v>360000</v>
      </c>
      <c r="J8983" s="74">
        <f>IF(E8983="SERVICE",I8983-(I8983*50%),Vlookup(E8983,DATABASE!C:Q,10,false)*F8983)</f>
        <v>0</v>
      </c>
      <c r="K8983" s="74">
        <f>VLOOKUP(E8983,DATABASE!C:Q,7,false)</f>
        <v>43500</v>
      </c>
      <c r="L8983" s="74">
        <v>43500.0</v>
      </c>
      <c r="M8983" s="74">
        <f t="shared" si="6"/>
        <v>45000</v>
      </c>
      <c r="N8983" s="74">
        <f t="shared" si="3"/>
        <v>180000</v>
      </c>
      <c r="O8983" s="65" t="str">
        <f>VLOOKUP(E8983,DATABASE!C:Q,8,false)</f>
        <v>BIAN</v>
      </c>
      <c r="P8983" s="65">
        <f>VLOOKUP(E8983,DATABASE!C:Q,9,False)</f>
        <v>1</v>
      </c>
      <c r="Q8983" s="93" t="str">
        <f>VLOOKUP(E8983,DATABASE!C:Q,4,false)</f>
        <v>Flap</v>
      </c>
      <c r="R8983" s="93" t="str">
        <f>VLOOKUP(E8983,DATABASE!C:Q,11,false)</f>
        <v>Tire</v>
      </c>
    </row>
    <row r="8984" ht="22.5" customHeight="1">
      <c r="A8984" s="49"/>
      <c r="C8984" s="400">
        <v>46182.0</v>
      </c>
      <c r="D8984" s="69" t="s">
        <v>2837</v>
      </c>
      <c r="E8984" s="544" t="s">
        <v>248</v>
      </c>
      <c r="F8984" s="387">
        <v>1.0</v>
      </c>
      <c r="G8984" s="140">
        <v>235000.0</v>
      </c>
      <c r="H8984" s="74"/>
      <c r="I8984" s="74">
        <f t="shared" si="1"/>
        <v>235000</v>
      </c>
      <c r="J8984" s="74">
        <f>IF(E8984="SERVICE",I8984-(I8984*50%),Vlookup(E8984,DATABASE!C:Q,10,false)*F8984)</f>
        <v>0</v>
      </c>
      <c r="K8984" s="74">
        <f>VLOOKUP(E8984,DATABASE!C:Q,7,false)</f>
        <v>209816.66</v>
      </c>
      <c r="L8984" s="74">
        <v>185000.0</v>
      </c>
      <c r="M8984" s="74">
        <f t="shared" si="6"/>
        <v>185000</v>
      </c>
      <c r="N8984" s="74">
        <f t="shared" si="3"/>
        <v>50000</v>
      </c>
      <c r="O8984" s="65" t="str">
        <f>VLOOKUP(E8984,DATABASE!C:Q,8,false)</f>
        <v>NON</v>
      </c>
      <c r="P8984" s="65">
        <f>VLOOKUP(E8984,DATABASE!C:Q,9,False)</f>
        <v>0</v>
      </c>
      <c r="Q8984" s="93" t="str">
        <f>VLOOKUP(E8984,DATABASE!C:Q,4,false)</f>
        <v>Pertamina</v>
      </c>
      <c r="R8984" s="93" t="str">
        <f>VLOOKUP(E8984,DATABASE!C:Q,11,false)</f>
        <v>OIL</v>
      </c>
    </row>
    <row r="8985" ht="22.5" customHeight="1">
      <c r="A8985" s="29"/>
      <c r="C8985" s="400">
        <v>46183.0</v>
      </c>
      <c r="D8985" s="524">
        <v>1667.0</v>
      </c>
      <c r="E8985" s="544" t="s">
        <v>286</v>
      </c>
      <c r="F8985" s="387">
        <v>1.0</v>
      </c>
      <c r="G8985" s="140">
        <v>560000.0</v>
      </c>
      <c r="H8985" s="74"/>
      <c r="I8985" s="74">
        <f t="shared" si="1"/>
        <v>560000</v>
      </c>
      <c r="J8985" s="74">
        <f>IF(E8985="SERVICE",I8985-(I8985*50%),Vlookup(E8985,DATABASE!C:Q,10,false)*F8985)</f>
        <v>0</v>
      </c>
      <c r="K8985" s="74">
        <f>VLOOKUP(E8985,DATABASE!C:Q,7,false)</f>
        <v>488320</v>
      </c>
      <c r="L8985" s="74">
        <v>459420.0</v>
      </c>
      <c r="M8985" s="74">
        <f t="shared" si="6"/>
        <v>460000</v>
      </c>
      <c r="N8985" s="74">
        <f t="shared" si="3"/>
        <v>100000</v>
      </c>
      <c r="O8985" s="65" t="str">
        <f>VLOOKUP(E8985,DATABASE!C:Q,8,false)</f>
        <v>BIAN</v>
      </c>
      <c r="P8985" s="65">
        <f>VLOOKUP(E8985,DATABASE!C:Q,9,False)</f>
        <v>1</v>
      </c>
      <c r="Q8985" s="93" t="str">
        <f>VLOOKUP(E8985,DATABASE!C:Q,4,false)</f>
        <v>GT</v>
      </c>
      <c r="R8985" s="93" t="str">
        <f>VLOOKUP(E8985,DATABASE!C:Q,11,false)</f>
        <v>Tire</v>
      </c>
    </row>
    <row r="8986" ht="22.5" customHeight="1">
      <c r="A8986" s="49"/>
      <c r="C8986" s="400">
        <v>46183.0</v>
      </c>
      <c r="D8986" s="524">
        <v>1668.0</v>
      </c>
      <c r="E8986" s="544" t="s">
        <v>932</v>
      </c>
      <c r="F8986" s="387">
        <v>2.0</v>
      </c>
      <c r="G8986" s="140">
        <v>690000.0</v>
      </c>
      <c r="H8986" s="74"/>
      <c r="I8986" s="74">
        <f t="shared" si="1"/>
        <v>1380000</v>
      </c>
      <c r="J8986" s="74">
        <f>IF(E8986="SERVICE",I8986-(I8986*50%),Vlookup(E8986,DATABASE!C:Q,10,false)*F8986)</f>
        <v>0</v>
      </c>
      <c r="K8986" s="74">
        <f>VLOOKUP(E8986,DATABASE!C:Q,7,false)</f>
        <v>601000</v>
      </c>
      <c r="L8986" s="74">
        <v>601000.0</v>
      </c>
      <c r="M8986" s="74">
        <f t="shared" si="6"/>
        <v>605000</v>
      </c>
      <c r="N8986" s="74">
        <f t="shared" si="3"/>
        <v>170000</v>
      </c>
      <c r="O8986" s="65" t="str">
        <f>VLOOKUP(E8986,DATABASE!C:Q,8,false)</f>
        <v>IBU</v>
      </c>
      <c r="P8986" s="65">
        <f>VLOOKUP(E8986,DATABASE!C:Q,9,False)</f>
        <v>1</v>
      </c>
      <c r="Q8986" s="93" t="str">
        <f>VLOOKUP(E8986,DATABASE!C:Q,4,false)</f>
        <v>Dunlop</v>
      </c>
      <c r="R8986" s="93" t="str">
        <f>VLOOKUP(E8986,DATABASE!C:Q,11,false)</f>
        <v>Tire</v>
      </c>
    </row>
    <row r="8987" ht="22.5" customHeight="1">
      <c r="A8987" s="49"/>
      <c r="C8987" s="400">
        <v>46183.0</v>
      </c>
      <c r="D8987" s="524">
        <v>1669.0</v>
      </c>
      <c r="E8987" s="544" t="s">
        <v>290</v>
      </c>
      <c r="F8987" s="387">
        <v>1.0</v>
      </c>
      <c r="G8987" s="140">
        <v>720000.0</v>
      </c>
      <c r="H8987" s="74"/>
      <c r="I8987" s="74">
        <f t="shared" si="1"/>
        <v>720000</v>
      </c>
      <c r="J8987" s="74">
        <f>IF(E8987="SERVICE",I8987-(I8987*50%),Vlookup(E8987,DATABASE!C:Q,10,false)*F8987)</f>
        <v>0</v>
      </c>
      <c r="K8987" s="74">
        <f>VLOOKUP(E8987,DATABASE!C:Q,7,false)</f>
        <v>628100</v>
      </c>
      <c r="L8987" s="74">
        <v>628100.0</v>
      </c>
      <c r="M8987" s="74">
        <f t="shared" si="6"/>
        <v>630000</v>
      </c>
      <c r="N8987" s="74">
        <f t="shared" si="3"/>
        <v>90000</v>
      </c>
      <c r="O8987" s="65" t="str">
        <f>VLOOKUP(E8987,DATABASE!C:Q,8,false)</f>
        <v>BIAN</v>
      </c>
      <c r="P8987" s="65">
        <f>VLOOKUP(E8987,DATABASE!C:Q,9,False)</f>
        <v>1</v>
      </c>
      <c r="Q8987" s="93" t="str">
        <f>VLOOKUP(E8987,DATABASE!C:Q,4,false)</f>
        <v>GT</v>
      </c>
      <c r="R8987" s="93" t="str">
        <f>VLOOKUP(E8987,DATABASE!C:Q,11,false)</f>
        <v>Tire</v>
      </c>
    </row>
    <row r="8988" ht="22.5" customHeight="1">
      <c r="A8988" s="49"/>
      <c r="C8988" s="400">
        <v>46183.0</v>
      </c>
      <c r="D8988" s="524">
        <v>1669.0</v>
      </c>
      <c r="E8988" s="544" t="s">
        <v>256</v>
      </c>
      <c r="F8988" s="387">
        <v>1.0</v>
      </c>
      <c r="G8988" s="140">
        <v>175000.0</v>
      </c>
      <c r="H8988" s="140">
        <v>25000.0</v>
      </c>
      <c r="I8988" s="74">
        <f t="shared" si="1"/>
        <v>150000</v>
      </c>
      <c r="J8988" s="74">
        <f>IF(E8988="SERVICE",I8988-(I8988*50%),Vlookup(E8988,DATABASE!C:Q,10,false)*F8988)</f>
        <v>10000</v>
      </c>
      <c r="K8988" s="74">
        <f>VLOOKUP(E8988,DATABASE!C:Q,7,false)</f>
        <v>0</v>
      </c>
      <c r="L8988" s="74">
        <v>0.0</v>
      </c>
      <c r="M8988" s="74">
        <f t="shared" si="6"/>
        <v>0</v>
      </c>
      <c r="N8988" s="74">
        <f t="shared" si="3"/>
        <v>140000</v>
      </c>
      <c r="O8988" s="65" t="str">
        <f>VLOOKUP(E8988,DATABASE!C:Q,8,false)</f>
        <v>IBU</v>
      </c>
      <c r="P8988" s="65">
        <f>VLOOKUP(E8988,DATABASE!C:Q,9,False)</f>
        <v>0</v>
      </c>
      <c r="Q8988" s="93" t="str">
        <f>VLOOKUP(E8988,DATABASE!C:Q,4,false)</f>
        <v>SPOORING</v>
      </c>
      <c r="R8988" s="93" t="str">
        <f>VLOOKUP(E8988,DATABASE!C:Q,11,false)</f>
        <v>SERVICE</v>
      </c>
    </row>
    <row r="8989" ht="22.5" customHeight="1">
      <c r="A8989" s="49"/>
      <c r="C8989" s="400">
        <v>46183.0</v>
      </c>
      <c r="D8989" s="524">
        <v>1669.0</v>
      </c>
      <c r="E8989" s="544" t="s">
        <v>251</v>
      </c>
      <c r="F8989" s="387">
        <v>1.0</v>
      </c>
      <c r="G8989" s="140">
        <v>350000.0</v>
      </c>
      <c r="H8989" s="140">
        <v>200000.0</v>
      </c>
      <c r="I8989" s="74">
        <f t="shared" si="1"/>
        <v>150000</v>
      </c>
      <c r="J8989" s="74">
        <f>IF(E8989="SERVICE",I8989-(I8989*50%),Vlookup(E8989,DATABASE!C:Q,10,false)*F8989)</f>
        <v>75000</v>
      </c>
      <c r="K8989" s="74">
        <f>VLOOKUP(E8989,DATABASE!C:Q,7,false)</f>
        <v>0</v>
      </c>
      <c r="L8989" s="74">
        <v>0.0</v>
      </c>
      <c r="M8989" s="74">
        <f t="shared" si="6"/>
        <v>0</v>
      </c>
      <c r="N8989" s="74">
        <f t="shared" si="3"/>
        <v>75000</v>
      </c>
      <c r="O8989" s="65" t="str">
        <f>VLOOKUP(E8989,DATABASE!C:Q,8,false)</f>
        <v>IBU</v>
      </c>
      <c r="P8989" s="65">
        <f>VLOOKUP(E8989,DATABASE!C:Q,9,False)</f>
        <v>0</v>
      </c>
      <c r="Q8989" s="93" t="str">
        <f>VLOOKUP(E8989,DATABASE!C:Q,4,false)</f>
        <v>SERVICE</v>
      </c>
      <c r="R8989" s="93" t="str">
        <f>VLOOKUP(E8989,DATABASE!C:Q,11,false)</f>
        <v>SERVICE</v>
      </c>
    </row>
    <row r="8990" ht="22.5" customHeight="1">
      <c r="A8990" s="49"/>
      <c r="C8990" s="400">
        <v>46183.0</v>
      </c>
      <c r="D8990" s="524">
        <v>1670.0</v>
      </c>
      <c r="E8990" s="544" t="s">
        <v>391</v>
      </c>
      <c r="F8990" s="387">
        <v>1.0</v>
      </c>
      <c r="G8990" s="140">
        <v>1985000.0</v>
      </c>
      <c r="H8990" s="74"/>
      <c r="I8990" s="74">
        <f t="shared" si="1"/>
        <v>1985000</v>
      </c>
      <c r="J8990" s="74">
        <f>IF(E8990="SERVICE",I8990-(I8990*50%),Vlookup(E8990,DATABASE!C:Q,10,false)*F8990)</f>
        <v>0</v>
      </c>
      <c r="K8990" s="74">
        <f>VLOOKUP(E8990,DATABASE!C:Q,7,false)</f>
        <v>1885000</v>
      </c>
      <c r="L8990" s="74">
        <v>1885000.0</v>
      </c>
      <c r="M8990" s="74">
        <f t="shared" si="6"/>
        <v>1885000</v>
      </c>
      <c r="N8990" s="74">
        <f t="shared" si="3"/>
        <v>100000</v>
      </c>
      <c r="O8990" s="65" t="str">
        <f>VLOOKUP(E8990,DATABASE!C:Q,8,false)</f>
        <v>BIAN</v>
      </c>
      <c r="P8990" s="65">
        <f>VLOOKUP(E8990,DATABASE!C:Q,9,False)</f>
        <v>1</v>
      </c>
      <c r="Q8990" s="93" t="str">
        <f>VLOOKUP(E8990,DATABASE!C:Q,4,false)</f>
        <v>Advance</v>
      </c>
      <c r="R8990" s="93" t="str">
        <f>VLOOKUP(E8990,DATABASE!C:Q,11,false)</f>
        <v>Tire</v>
      </c>
    </row>
    <row r="8991" ht="22.5" customHeight="1">
      <c r="A8991" s="49"/>
      <c r="C8991" s="400">
        <v>46183.0</v>
      </c>
      <c r="D8991" s="524">
        <v>1671.0</v>
      </c>
      <c r="E8991" s="544" t="s">
        <v>256</v>
      </c>
      <c r="F8991" s="387">
        <v>1.0</v>
      </c>
      <c r="G8991" s="140">
        <v>175000.0</v>
      </c>
      <c r="H8991" s="140">
        <v>25000.0</v>
      </c>
      <c r="I8991" s="74">
        <f t="shared" si="1"/>
        <v>150000</v>
      </c>
      <c r="J8991" s="74">
        <f>IF(E8991="SERVICE",I8991-(I8991*50%),Vlookup(E8991,DATABASE!C:Q,10,false)*F8991)</f>
        <v>10000</v>
      </c>
      <c r="K8991" s="74">
        <f>VLOOKUP(E8991,DATABASE!C:Q,7,false)</f>
        <v>0</v>
      </c>
      <c r="L8991" s="74">
        <v>0.0</v>
      </c>
      <c r="M8991" s="74">
        <f t="shared" si="6"/>
        <v>0</v>
      </c>
      <c r="N8991" s="74">
        <f t="shared" si="3"/>
        <v>140000</v>
      </c>
      <c r="O8991" s="65" t="str">
        <f>VLOOKUP(E8991,DATABASE!C:Q,8,false)</f>
        <v>IBU</v>
      </c>
      <c r="P8991" s="65">
        <f>VLOOKUP(E8991,DATABASE!C:Q,9,False)</f>
        <v>0</v>
      </c>
      <c r="Q8991" s="93" t="str">
        <f>VLOOKUP(E8991,DATABASE!C:Q,4,false)</f>
        <v>SPOORING</v>
      </c>
      <c r="R8991" s="93" t="str">
        <f>VLOOKUP(E8991,DATABASE!C:Q,11,false)</f>
        <v>SERVICE</v>
      </c>
    </row>
    <row r="8992" ht="22.5" customHeight="1">
      <c r="A8992" s="49"/>
      <c r="C8992" s="400">
        <v>46183.0</v>
      </c>
      <c r="D8992" s="524">
        <v>1671.0</v>
      </c>
      <c r="E8992" s="544" t="s">
        <v>299</v>
      </c>
      <c r="F8992" s="387">
        <v>2.0</v>
      </c>
      <c r="G8992" s="140">
        <v>30000.0</v>
      </c>
      <c r="H8992" s="74"/>
      <c r="I8992" s="74">
        <f t="shared" si="1"/>
        <v>60000</v>
      </c>
      <c r="J8992" s="74">
        <f>IF(E8992="SERVICE",I8992-(I8992*50%),Vlookup(E8992,DATABASE!C:Q,10,false)*F8992)</f>
        <v>0</v>
      </c>
      <c r="K8992" s="74">
        <f>VLOOKUP(E8992,DATABASE!C:Q,7,false)</f>
        <v>10000</v>
      </c>
      <c r="L8992" s="74">
        <v>10000.0</v>
      </c>
      <c r="M8992" s="74">
        <f t="shared" si="6"/>
        <v>10000</v>
      </c>
      <c r="N8992" s="74">
        <f t="shared" si="3"/>
        <v>40000</v>
      </c>
      <c r="O8992" s="65" t="str">
        <f>VLOOKUP(E8992,DATABASE!C:Q,8,false)</f>
        <v>BIAN</v>
      </c>
      <c r="P8992" s="65">
        <f>VLOOKUP(E8992,DATABASE!C:Q,9,False)</f>
        <v>0</v>
      </c>
      <c r="Q8992" s="93" t="str">
        <f>VLOOKUP(E8992,DATABASE!C:Q,4,false)</f>
        <v>Balancing</v>
      </c>
      <c r="R8992" s="93" t="str">
        <f>VLOOKUP(E8992,DATABASE!C:Q,11,false)</f>
        <v>COMPLEMENTARY</v>
      </c>
    </row>
    <row r="8993" ht="22.5" customHeight="1">
      <c r="A8993" s="49"/>
      <c r="C8993" s="400">
        <v>46183.0</v>
      </c>
      <c r="D8993" s="524">
        <v>1671.0</v>
      </c>
      <c r="E8993" s="544" t="s">
        <v>301</v>
      </c>
      <c r="F8993" s="387">
        <v>1.0</v>
      </c>
      <c r="G8993" s="140">
        <v>250000.0</v>
      </c>
      <c r="H8993" s="74"/>
      <c r="I8993" s="74">
        <f t="shared" si="1"/>
        <v>250000</v>
      </c>
      <c r="J8993" s="74">
        <f>IF(E8993="SERVICE",I8993-(I8993*50%),Vlookup(E8993,DATABASE!C:Q,10,false)*F8993)</f>
        <v>75000</v>
      </c>
      <c r="K8993" s="74">
        <f>VLOOKUP(E8993,DATABASE!C:Q,7,false)</f>
        <v>75000</v>
      </c>
      <c r="L8993" s="74">
        <v>75000.0</v>
      </c>
      <c r="M8993" s="74">
        <f t="shared" si="6"/>
        <v>75000</v>
      </c>
      <c r="N8993" s="74">
        <f t="shared" si="3"/>
        <v>100000</v>
      </c>
      <c r="O8993" s="65" t="str">
        <f>VLOOKUP(E8993,DATABASE!C:Q,8,false)</f>
        <v>BIAN</v>
      </c>
      <c r="P8993" s="65">
        <f>VLOOKUP(E8993,DATABASE!C:Q,9,False)</f>
        <v>0</v>
      </c>
      <c r="Q8993" s="93" t="str">
        <f>VLOOKUP(E8993,DATABASE!C:Q,4,false)</f>
        <v>Baut Camber</v>
      </c>
      <c r="R8993" s="93" t="str">
        <f>VLOOKUP(E8993,DATABASE!C:Q,11,false)</f>
        <v>COMPLEMENTARY</v>
      </c>
    </row>
    <row r="8994" ht="22.5" customHeight="1">
      <c r="A8994" s="49"/>
      <c r="C8994" s="400">
        <v>46183.0</v>
      </c>
      <c r="D8994" s="524">
        <v>1672.0</v>
      </c>
      <c r="E8994" s="544" t="s">
        <v>937</v>
      </c>
      <c r="F8994" s="387">
        <v>1.0</v>
      </c>
      <c r="G8994" s="140">
        <v>910000.0</v>
      </c>
      <c r="H8994" s="140">
        <v>10000.0</v>
      </c>
      <c r="I8994" s="74">
        <f t="shared" si="1"/>
        <v>900000</v>
      </c>
      <c r="J8994" s="74">
        <f>IF(E8994="SERVICE",I8994-(I8994*50%),Vlookup(E8994,DATABASE!C:Q,10,false)*F8994)</f>
        <v>0</v>
      </c>
      <c r="K8994" s="74">
        <f>VLOOKUP(E8994,DATABASE!C:Q,7,false)</f>
        <v>825000</v>
      </c>
      <c r="L8994" s="74">
        <v>815000.0</v>
      </c>
      <c r="M8994" s="74">
        <f t="shared" si="6"/>
        <v>815000</v>
      </c>
      <c r="N8994" s="74">
        <f t="shared" si="3"/>
        <v>85000</v>
      </c>
      <c r="O8994" s="65" t="str">
        <f>VLOOKUP(E8994,DATABASE!C:Q,8,false)</f>
        <v>IBU</v>
      </c>
      <c r="P8994" s="65">
        <f>VLOOKUP(E8994,DATABASE!C:Q,9,False)</f>
        <v>1</v>
      </c>
      <c r="Q8994" s="93" t="str">
        <f>VLOOKUP(E8994,DATABASE!C:Q,4,false)</f>
        <v>Bridgestone</v>
      </c>
      <c r="R8994" s="93" t="str">
        <f>VLOOKUP(E8994,DATABASE!C:Q,11,false)</f>
        <v>Tire</v>
      </c>
    </row>
    <row r="8995" ht="22.5" customHeight="1">
      <c r="A8995" s="49"/>
      <c r="C8995" s="400">
        <v>46183.0</v>
      </c>
      <c r="D8995" s="524">
        <v>1673.0</v>
      </c>
      <c r="E8995" s="544" t="s">
        <v>268</v>
      </c>
      <c r="F8995" s="387">
        <v>1.0</v>
      </c>
      <c r="G8995" s="140">
        <v>720000.0</v>
      </c>
      <c r="H8995" s="74"/>
      <c r="I8995" s="74">
        <f t="shared" si="1"/>
        <v>720000</v>
      </c>
      <c r="J8995" s="74">
        <f>IF(E8995="SERVICE",I8995-(I8995*50%),Vlookup(E8995,DATABASE!C:Q,10,false)*F8995)</f>
        <v>0</v>
      </c>
      <c r="K8995" s="74">
        <f>VLOOKUP(E8995,DATABASE!C:Q,7,false)</f>
        <v>653000</v>
      </c>
      <c r="L8995" s="74">
        <v>634500.0</v>
      </c>
      <c r="M8995" s="74">
        <f t="shared" si="6"/>
        <v>635000</v>
      </c>
      <c r="N8995" s="74">
        <f t="shared" si="3"/>
        <v>85000</v>
      </c>
      <c r="O8995" s="65" t="str">
        <f>VLOOKUP(E8995,DATABASE!C:Q,8,false)</f>
        <v>IBU</v>
      </c>
      <c r="P8995" s="65">
        <f>VLOOKUP(E8995,DATABASE!C:Q,9,False)</f>
        <v>1</v>
      </c>
      <c r="Q8995" s="93" t="str">
        <f>VLOOKUP(E8995,DATABASE!C:Q,4,false)</f>
        <v>Dunlop</v>
      </c>
      <c r="R8995" s="93" t="str">
        <f>VLOOKUP(E8995,DATABASE!C:Q,11,false)</f>
        <v>Tire</v>
      </c>
    </row>
    <row r="8996" ht="22.5" customHeight="1">
      <c r="A8996" s="49"/>
      <c r="C8996" s="400">
        <v>46183.0</v>
      </c>
      <c r="D8996" s="524">
        <v>1674.0</v>
      </c>
      <c r="E8996" s="544" t="s">
        <v>614</v>
      </c>
      <c r="F8996" s="387">
        <v>1.0</v>
      </c>
      <c r="G8996" s="140">
        <v>830000.0</v>
      </c>
      <c r="H8996" s="74"/>
      <c r="I8996" s="74">
        <f t="shared" si="1"/>
        <v>830000</v>
      </c>
      <c r="J8996" s="74">
        <f>IF(E8996="SERVICE",I8996-(I8996*50%),Vlookup(E8996,DATABASE!C:Q,10,false)*F8996)</f>
        <v>0</v>
      </c>
      <c r="K8996" s="74">
        <f>VLOOKUP(E8996,DATABASE!C:Q,7,false)</f>
        <v>754660.6</v>
      </c>
      <c r="L8996" s="74">
        <v>727756.0</v>
      </c>
      <c r="M8996" s="74">
        <f t="shared" si="6"/>
        <v>730000</v>
      </c>
      <c r="N8996" s="74">
        <f t="shared" si="3"/>
        <v>100000</v>
      </c>
      <c r="O8996" s="65" t="str">
        <f>VLOOKUP(E8996,DATABASE!C:Q,8,false)</f>
        <v>IBU</v>
      </c>
      <c r="P8996" s="65">
        <f>VLOOKUP(E8996,DATABASE!C:Q,9,False)</f>
        <v>1</v>
      </c>
      <c r="Q8996" s="93" t="str">
        <f>VLOOKUP(E8996,DATABASE!C:Q,4,false)</f>
        <v>Bridgestone</v>
      </c>
      <c r="R8996" s="93" t="str">
        <f>VLOOKUP(E8996,DATABASE!C:Q,11,false)</f>
        <v>Tire</v>
      </c>
    </row>
    <row r="8997" ht="22.5" customHeight="1">
      <c r="A8997" s="49"/>
      <c r="C8997" s="400">
        <v>46183.0</v>
      </c>
      <c r="D8997" s="524">
        <v>1675.0</v>
      </c>
      <c r="E8997" s="544" t="s">
        <v>2624</v>
      </c>
      <c r="F8997" s="387">
        <v>1.0</v>
      </c>
      <c r="G8997" s="140">
        <v>610000.0</v>
      </c>
      <c r="H8997" s="74"/>
      <c r="I8997" s="74">
        <f t="shared" si="1"/>
        <v>610000</v>
      </c>
      <c r="J8997" s="74">
        <f>IF(E8997="SERVICE",I8997-(I8997*50%),Vlookup(E8997,DATABASE!C:Q,10,false)*F8997)</f>
        <v>0</v>
      </c>
      <c r="K8997" s="74">
        <f>VLOOKUP(E8997,DATABASE!C:Q,7,false)</f>
        <v>517000</v>
      </c>
      <c r="L8997" s="74">
        <v>517000.0</v>
      </c>
      <c r="M8997" s="74">
        <f t="shared" si="6"/>
        <v>520000</v>
      </c>
      <c r="N8997" s="74">
        <f t="shared" si="3"/>
        <v>90000</v>
      </c>
      <c r="O8997" s="65" t="str">
        <f>VLOOKUP(E8997,DATABASE!C:Q,8,false)</f>
        <v>BIAN</v>
      </c>
      <c r="P8997" s="65">
        <f>VLOOKUP(E8997,DATABASE!C:Q,9,False)</f>
        <v>1</v>
      </c>
      <c r="Q8997" s="93" t="str">
        <f>VLOOKUP(E8997,DATABASE!C:Q,4,false)</f>
        <v>Sailun</v>
      </c>
      <c r="R8997" s="93" t="str">
        <f>VLOOKUP(E8997,DATABASE!C:Q,11,false)</f>
        <v>Tire</v>
      </c>
    </row>
    <row r="8998" ht="22.5" customHeight="1">
      <c r="A8998" s="49"/>
      <c r="C8998" s="400">
        <v>46183.0</v>
      </c>
      <c r="D8998" s="69" t="s">
        <v>2838</v>
      </c>
      <c r="E8998" s="544" t="s">
        <v>263</v>
      </c>
      <c r="F8998" s="387">
        <v>1.0</v>
      </c>
      <c r="G8998" s="140">
        <v>360000.0</v>
      </c>
      <c r="H8998" s="140">
        <v>10000.0</v>
      </c>
      <c r="I8998" s="74">
        <f t="shared" si="1"/>
        <v>350000</v>
      </c>
      <c r="J8998" s="74">
        <f>IF(E8998="SERVICE",I8998-(I8998*50%),Vlookup(E8998,DATABASE!C:Q,10,false)*F8998)</f>
        <v>0</v>
      </c>
      <c r="K8998" s="74">
        <f>VLOOKUP(E8998,DATABASE!C:Q,7,false)</f>
        <v>334916</v>
      </c>
      <c r="L8998" s="74">
        <v>307676.0</v>
      </c>
      <c r="M8998" s="74">
        <f t="shared" si="6"/>
        <v>310000</v>
      </c>
      <c r="N8998" s="74">
        <f t="shared" si="3"/>
        <v>40000</v>
      </c>
      <c r="O8998" s="65" t="str">
        <f>VLOOKUP(E8998,DATABASE!C:Q,8,false)</f>
        <v>NON</v>
      </c>
      <c r="P8998" s="65">
        <f>VLOOKUP(E8998,DATABASE!C:Q,9,False)</f>
        <v>0</v>
      </c>
      <c r="Q8998" s="93" t="str">
        <f>VLOOKUP(E8998,DATABASE!C:Q,4,false)</f>
        <v>Shell</v>
      </c>
      <c r="R8998" s="93" t="str">
        <f>VLOOKUP(E8998,DATABASE!C:Q,11,false)</f>
        <v>OIL</v>
      </c>
    </row>
    <row r="8999" ht="22.5" customHeight="1">
      <c r="A8999" s="29"/>
      <c r="C8999" s="400">
        <v>46183.0</v>
      </c>
      <c r="D8999" s="69" t="s">
        <v>2839</v>
      </c>
      <c r="E8999" s="544" t="s">
        <v>2191</v>
      </c>
      <c r="F8999" s="387">
        <v>1.0</v>
      </c>
      <c r="G8999" s="140">
        <v>430000.0</v>
      </c>
      <c r="H8999" s="74"/>
      <c r="I8999" s="74">
        <f t="shared" si="1"/>
        <v>430000</v>
      </c>
      <c r="J8999" s="74">
        <f>IF(E8999="SERVICE",I8999-(I8999*50%),Vlookup(E8999,DATABASE!C:Q,10,false)*F8999)</f>
        <v>0</v>
      </c>
      <c r="K8999" s="74">
        <f>VLOOKUP(E8999,DATABASE!C:Q,7,false)</f>
        <v>422900</v>
      </c>
      <c r="L8999" s="74">
        <v>380400.0</v>
      </c>
      <c r="M8999" s="74">
        <f t="shared" si="6"/>
        <v>385000</v>
      </c>
      <c r="N8999" s="74">
        <f t="shared" si="3"/>
        <v>45000</v>
      </c>
      <c r="O8999" s="65" t="str">
        <f>VLOOKUP(E8999,DATABASE!C:Q,8,false)</f>
        <v>NON</v>
      </c>
      <c r="P8999" s="65">
        <f>VLOOKUP(E8999,DATABASE!C:Q,9,False)</f>
        <v>0</v>
      </c>
      <c r="Q8999" s="93" t="str">
        <f>VLOOKUP(E8999,DATABASE!C:Q,4,false)</f>
        <v>Shell</v>
      </c>
      <c r="R8999" s="93" t="str">
        <f>VLOOKUP(E8999,DATABASE!C:Q,11,false)</f>
        <v>OIL</v>
      </c>
    </row>
    <row r="9000" ht="22.5" customHeight="1">
      <c r="A9000" s="29"/>
      <c r="C9000" s="400">
        <v>46184.0</v>
      </c>
      <c r="D9000" s="524">
        <v>0.0</v>
      </c>
      <c r="E9000" s="544" t="s">
        <v>687</v>
      </c>
      <c r="F9000" s="387">
        <v>2.0</v>
      </c>
      <c r="G9000" s="140">
        <v>1060000.0</v>
      </c>
      <c r="H9000" s="74"/>
      <c r="I9000" s="74">
        <f t="shared" si="1"/>
        <v>2120000</v>
      </c>
      <c r="J9000" s="74">
        <f>IF(E9000="SERVICE",I9000-(I9000*50%),Vlookup(E9000,DATABASE!C:Q,10,false)*F9000)</f>
        <v>0</v>
      </c>
      <c r="K9000" s="74">
        <f>VLOOKUP(E9000,DATABASE!C:Q,7,false)</f>
        <v>959000</v>
      </c>
      <c r="L9000" s="74">
        <v>959000.0</v>
      </c>
      <c r="M9000" s="74">
        <f t="shared" si="6"/>
        <v>960000</v>
      </c>
      <c r="N9000" s="74">
        <f t="shared" si="3"/>
        <v>200000</v>
      </c>
      <c r="O9000" s="65" t="str">
        <f>VLOOKUP(E9000,DATABASE!C:Q,8,false)</f>
        <v>IBU</v>
      </c>
      <c r="P9000" s="65">
        <f>VLOOKUP(E9000,DATABASE!C:Q,9,False)</f>
        <v>1</v>
      </c>
      <c r="Q9000" s="93" t="str">
        <f>VLOOKUP(E9000,DATABASE!C:Q,4,false)</f>
        <v>Dunlop</v>
      </c>
      <c r="R9000" s="93" t="str">
        <f>VLOOKUP(E9000,DATABASE!C:Q,11,false)</f>
        <v>Tire</v>
      </c>
    </row>
    <row r="9001" ht="22.5" customHeight="1">
      <c r="A9001" s="49"/>
      <c r="C9001" s="400">
        <v>46184.0</v>
      </c>
      <c r="D9001" s="524">
        <v>1.0</v>
      </c>
      <c r="E9001" s="544" t="s">
        <v>268</v>
      </c>
      <c r="F9001" s="387">
        <v>2.0</v>
      </c>
      <c r="G9001" s="140">
        <v>720000.0</v>
      </c>
      <c r="H9001" s="74"/>
      <c r="I9001" s="74">
        <f t="shared" si="1"/>
        <v>1440000</v>
      </c>
      <c r="J9001" s="74">
        <f>IF(E9001="SERVICE",I9001-(I9001*50%),Vlookup(E9001,DATABASE!C:Q,10,false)*F9001)</f>
        <v>0</v>
      </c>
      <c r="K9001" s="74">
        <f>VLOOKUP(E9001,DATABASE!C:Q,7,false)</f>
        <v>653000</v>
      </c>
      <c r="L9001" s="74">
        <v>634500.0</v>
      </c>
      <c r="M9001" s="74">
        <f t="shared" si="6"/>
        <v>635000</v>
      </c>
      <c r="N9001" s="74">
        <f t="shared" si="3"/>
        <v>170000</v>
      </c>
      <c r="O9001" s="65" t="str">
        <f>VLOOKUP(E9001,DATABASE!C:Q,8,false)</f>
        <v>IBU</v>
      </c>
      <c r="P9001" s="65">
        <f>VLOOKUP(E9001,DATABASE!C:Q,9,False)</f>
        <v>1</v>
      </c>
      <c r="Q9001" s="93" t="str">
        <f>VLOOKUP(E9001,DATABASE!C:Q,4,false)</f>
        <v>Dunlop</v>
      </c>
      <c r="R9001" s="93" t="str">
        <f>VLOOKUP(E9001,DATABASE!C:Q,11,false)</f>
        <v>Tire</v>
      </c>
    </row>
    <row r="9002" ht="22.5" customHeight="1">
      <c r="A9002" s="49"/>
      <c r="C9002" s="400">
        <v>46184.0</v>
      </c>
      <c r="D9002" s="524">
        <v>1.0</v>
      </c>
      <c r="E9002" s="544" t="s">
        <v>262</v>
      </c>
      <c r="F9002" s="387">
        <v>1.0</v>
      </c>
      <c r="G9002" s="140">
        <v>130000.0</v>
      </c>
      <c r="H9002" s="140">
        <v>10000.0</v>
      </c>
      <c r="I9002" s="74">
        <f t="shared" si="1"/>
        <v>120000</v>
      </c>
      <c r="J9002" s="74">
        <f>IF(E9002="SERVICE",I9002-(I9002*50%),Vlookup(E9002,DATABASE!C:Q,10,false)*F9002)</f>
        <v>5000</v>
      </c>
      <c r="K9002" s="74">
        <f>VLOOKUP(E9002,DATABASE!C:Q,7,false)</f>
        <v>0</v>
      </c>
      <c r="L9002" s="74">
        <v>0.0</v>
      </c>
      <c r="M9002" s="74">
        <f t="shared" si="6"/>
        <v>0</v>
      </c>
      <c r="N9002" s="74">
        <f t="shared" si="3"/>
        <v>115000</v>
      </c>
      <c r="O9002" s="65" t="str">
        <f>VLOOKUP(E9002,DATABASE!C:Q,8,false)</f>
        <v>IBU</v>
      </c>
      <c r="P9002" s="65">
        <f>VLOOKUP(E9002,DATABASE!C:Q,9,False)</f>
        <v>0</v>
      </c>
      <c r="Q9002" s="93" t="str">
        <f>VLOOKUP(E9002,DATABASE!C:Q,4,false)</f>
        <v>SPOORING SS/CARRY LOS BAK</v>
      </c>
      <c r="R9002" s="93" t="str">
        <f>VLOOKUP(E9002,DATABASE!C:Q,11,false)</f>
        <v>SERVICE</v>
      </c>
    </row>
    <row r="9003" ht="22.5" customHeight="1">
      <c r="A9003" s="49"/>
      <c r="C9003" s="400">
        <v>46184.0</v>
      </c>
      <c r="D9003" s="524">
        <v>1.0</v>
      </c>
      <c r="E9003" s="544" t="s">
        <v>478</v>
      </c>
      <c r="F9003" s="387">
        <v>1.0</v>
      </c>
      <c r="G9003" s="140">
        <v>200000.0</v>
      </c>
      <c r="H9003" s="74"/>
      <c r="I9003" s="74">
        <f t="shared" si="1"/>
        <v>200000</v>
      </c>
      <c r="J9003" s="74">
        <f>IF(E9003="SERVICE",I9003-(I9003*50%),Vlookup(E9003,DATABASE!C:Q,10,false)*F9003)</f>
        <v>25000</v>
      </c>
      <c r="K9003" s="74">
        <f>VLOOKUP(E9003,DATABASE!C:Q,7,false)</f>
        <v>75000</v>
      </c>
      <c r="L9003" s="74">
        <v>75000.0</v>
      </c>
      <c r="M9003" s="74">
        <f t="shared" si="6"/>
        <v>75000</v>
      </c>
      <c r="N9003" s="74">
        <f t="shared" si="3"/>
        <v>100000</v>
      </c>
      <c r="O9003" s="65" t="str">
        <f>VLOOKUP(E9003,DATABASE!C:Q,8,false)</f>
        <v>BIAN</v>
      </c>
      <c r="P9003" s="65">
        <f>VLOOKUP(E9003,DATABASE!C:Q,9,False)</f>
        <v>0</v>
      </c>
      <c r="Q9003" s="93" t="str">
        <f>VLOOKUP(E9003,DATABASE!C:Q,4,false)</f>
        <v>Baut Camber ss-carry</v>
      </c>
      <c r="R9003" s="93" t="str">
        <f>VLOOKUP(E9003,DATABASE!C:Q,11,false)</f>
        <v>COMPLEMENTARY</v>
      </c>
    </row>
    <row r="9004" ht="22.5" customHeight="1">
      <c r="A9004" s="49"/>
      <c r="C9004" s="400">
        <v>46184.0</v>
      </c>
      <c r="D9004" s="524">
        <v>1.0</v>
      </c>
      <c r="E9004" s="544" t="s">
        <v>305</v>
      </c>
      <c r="F9004" s="387">
        <v>1.0</v>
      </c>
      <c r="G9004" s="140">
        <v>240000.0</v>
      </c>
      <c r="H9004" s="74"/>
      <c r="I9004" s="74">
        <f t="shared" si="1"/>
        <v>240000</v>
      </c>
      <c r="J9004" s="74">
        <f>IF(E9004="SERVICE",I9004-(I9004*50%),Vlookup(E9004,DATABASE!C:Q,10,false)*F9004)</f>
        <v>40000</v>
      </c>
      <c r="K9004" s="74">
        <f>VLOOKUP(E9004,DATABASE!C:Q,7,false)</f>
        <v>158530.2</v>
      </c>
      <c r="L9004" s="74">
        <v>158530.2</v>
      </c>
      <c r="M9004" s="74">
        <f t="shared" si="6"/>
        <v>160000</v>
      </c>
      <c r="N9004" s="74">
        <f t="shared" si="3"/>
        <v>40000</v>
      </c>
      <c r="O9004" s="65" t="str">
        <f>VLOOKUP(E9004,DATABASE!C:Q,8,false)</f>
        <v>BIAN</v>
      </c>
      <c r="P9004" s="65">
        <f>VLOOKUP(E9004,DATABASE!C:Q,9,False)</f>
        <v>1</v>
      </c>
      <c r="Q9004" s="93" t="str">
        <f>VLOOKUP(E9004,DATABASE!C:Q,4,false)</f>
        <v>Lower Arm</v>
      </c>
      <c r="R9004" s="93" t="str">
        <f>VLOOKUP(E9004,DATABASE!C:Q,11,false)</f>
        <v>COMPLEMENTARY</v>
      </c>
    </row>
    <row r="9005" ht="22.5" customHeight="1">
      <c r="A9005" s="49"/>
      <c r="C9005" s="400">
        <v>46184.0</v>
      </c>
      <c r="D9005" s="524">
        <v>2.0</v>
      </c>
      <c r="E9005" s="544" t="s">
        <v>839</v>
      </c>
      <c r="F9005" s="387">
        <v>2.0</v>
      </c>
      <c r="G9005" s="140">
        <v>580000.0</v>
      </c>
      <c r="H9005" s="74"/>
      <c r="I9005" s="74">
        <f t="shared" si="1"/>
        <v>1160000</v>
      </c>
      <c r="J9005" s="74">
        <f>IF(E9005="SERVICE",I9005-(I9005*50%),Vlookup(E9005,DATABASE!C:Q,10,false)*F9005)</f>
        <v>0</v>
      </c>
      <c r="K9005" s="74">
        <f>VLOOKUP(E9005,DATABASE!C:Q,7,false)</f>
        <v>512640</v>
      </c>
      <c r="L9005" s="74">
        <v>490000.0</v>
      </c>
      <c r="M9005" s="74">
        <f t="shared" si="6"/>
        <v>490000</v>
      </c>
      <c r="N9005" s="74">
        <f t="shared" si="3"/>
        <v>180000</v>
      </c>
      <c r="O9005" s="65" t="str">
        <f>VLOOKUP(E9005,DATABASE!C:Q,8,false)</f>
        <v>BIAN</v>
      </c>
      <c r="P9005" s="65">
        <f>VLOOKUP(E9005,DATABASE!C:Q,9,False)</f>
        <v>1</v>
      </c>
      <c r="Q9005" s="93" t="str">
        <f>VLOOKUP(E9005,DATABASE!C:Q,4,false)</f>
        <v>GT</v>
      </c>
      <c r="R9005" s="93" t="str">
        <f>VLOOKUP(E9005,DATABASE!C:Q,11,false)</f>
        <v>Tire</v>
      </c>
    </row>
    <row r="9006" ht="22.5" customHeight="1">
      <c r="A9006" s="49"/>
      <c r="C9006" s="400">
        <v>46184.0</v>
      </c>
      <c r="D9006" s="524">
        <v>1676.0</v>
      </c>
      <c r="E9006" s="544" t="s">
        <v>261</v>
      </c>
      <c r="F9006" s="387">
        <v>2.0</v>
      </c>
      <c r="G9006" s="140">
        <v>515000.0</v>
      </c>
      <c r="H9006" s="140">
        <v>15000.0</v>
      </c>
      <c r="I9006" s="74">
        <f t="shared" si="1"/>
        <v>1000000</v>
      </c>
      <c r="J9006" s="74">
        <f>IF(E9006="SERVICE",I9006-(I9006*50%),Vlookup(E9006,DATABASE!C:Q,10,false)*F9006)</f>
        <v>0</v>
      </c>
      <c r="K9006" s="74">
        <f>VLOOKUP(E9006,DATABASE!C:Q,7,false)</f>
        <v>415000</v>
      </c>
      <c r="L9006" s="74">
        <v>415000.0</v>
      </c>
      <c r="M9006" s="74">
        <f t="shared" si="6"/>
        <v>415000</v>
      </c>
      <c r="N9006" s="74">
        <f t="shared" si="3"/>
        <v>170000</v>
      </c>
      <c r="O9006" s="65" t="str">
        <f>VLOOKUP(E9006,DATABASE!C:Q,8,false)</f>
        <v>IBU</v>
      </c>
      <c r="P9006" s="65">
        <f>VLOOKUP(E9006,DATABASE!C:Q,9,False)</f>
        <v>1</v>
      </c>
      <c r="Q9006" s="93" t="str">
        <f>VLOOKUP(E9006,DATABASE!C:Q,4,false)</f>
        <v>Dunlop</v>
      </c>
      <c r="R9006" s="93" t="str">
        <f>VLOOKUP(E9006,DATABASE!C:Q,11,false)</f>
        <v>Tire</v>
      </c>
    </row>
    <row r="9007" ht="22.5" customHeight="1">
      <c r="A9007" s="29"/>
      <c r="C9007" s="400">
        <v>46184.0</v>
      </c>
      <c r="D9007" s="524">
        <v>1677.0</v>
      </c>
      <c r="E9007" s="544" t="s">
        <v>246</v>
      </c>
      <c r="F9007" s="387">
        <v>4.0</v>
      </c>
      <c r="G9007" s="140">
        <v>35000.0</v>
      </c>
      <c r="H9007" s="140">
        <v>10000.0</v>
      </c>
      <c r="I9007" s="74">
        <f t="shared" si="1"/>
        <v>100000</v>
      </c>
      <c r="J9007" s="74">
        <f>IF(E9007="SERVICE",I9007-(I9007*50%),Vlookup(E9007,DATABASE!C:Q,10,false)*F9007)</f>
        <v>0</v>
      </c>
      <c r="K9007" s="74">
        <f>VLOOKUP(E9007,DATABASE!C:Q,7,false)</f>
        <v>0</v>
      </c>
      <c r="L9007" s="74">
        <v>0.0</v>
      </c>
      <c r="M9007" s="74">
        <f t="shared" si="6"/>
        <v>0</v>
      </c>
      <c r="N9007" s="74">
        <f t="shared" si="3"/>
        <v>100000</v>
      </c>
      <c r="O9007" s="65" t="str">
        <f>VLOOKUP(E9007,DATABASE!C:Q,8,false)</f>
        <v>IBU</v>
      </c>
      <c r="P9007" s="65">
        <f>VLOOKUP(E9007,DATABASE!C:Q,9,False)</f>
        <v>0</v>
      </c>
      <c r="Q9007" s="93" t="str">
        <f>VLOOKUP(E9007,DATABASE!C:Q,4,false)</f>
        <v>Bongkar Pasang</v>
      </c>
      <c r="R9007" s="93" t="str">
        <f>VLOOKUP(E9007,DATABASE!C:Q,11,false)</f>
        <v>SERVICE</v>
      </c>
    </row>
    <row r="9008" ht="22.5" customHeight="1">
      <c r="A9008" s="49"/>
      <c r="C9008" s="400">
        <v>46184.0</v>
      </c>
      <c r="D9008" s="524">
        <v>1678.0</v>
      </c>
      <c r="E9008" s="544" t="s">
        <v>256</v>
      </c>
      <c r="F9008" s="387">
        <v>1.0</v>
      </c>
      <c r="G9008" s="140">
        <v>175000.0</v>
      </c>
      <c r="H9008" s="140">
        <v>25000.0</v>
      </c>
      <c r="I9008" s="74">
        <f t="shared" si="1"/>
        <v>150000</v>
      </c>
      <c r="J9008" s="74">
        <f>IF(E9008="SERVICE",I9008-(I9008*50%),Vlookup(E9008,DATABASE!C:Q,10,false)*F9008)</f>
        <v>10000</v>
      </c>
      <c r="K9008" s="74">
        <f>VLOOKUP(E9008,DATABASE!C:Q,7,false)</f>
        <v>0</v>
      </c>
      <c r="L9008" s="74">
        <v>0.0</v>
      </c>
      <c r="M9008" s="74">
        <f t="shared" si="6"/>
        <v>0</v>
      </c>
      <c r="N9008" s="74">
        <f t="shared" si="3"/>
        <v>140000</v>
      </c>
      <c r="O9008" s="65" t="str">
        <f>VLOOKUP(E9008,DATABASE!C:Q,8,false)</f>
        <v>IBU</v>
      </c>
      <c r="P9008" s="65">
        <f>VLOOKUP(E9008,DATABASE!C:Q,9,False)</f>
        <v>0</v>
      </c>
      <c r="Q9008" s="93" t="str">
        <f>VLOOKUP(E9008,DATABASE!C:Q,4,false)</f>
        <v>SPOORING</v>
      </c>
      <c r="R9008" s="93" t="str">
        <f>VLOOKUP(E9008,DATABASE!C:Q,11,false)</f>
        <v>SERVICE</v>
      </c>
    </row>
    <row r="9009" ht="22.5" customHeight="1">
      <c r="A9009" s="49"/>
      <c r="C9009" s="400">
        <v>46184.0</v>
      </c>
      <c r="D9009" s="524">
        <v>1678.0</v>
      </c>
      <c r="E9009" s="544" t="s">
        <v>299</v>
      </c>
      <c r="F9009" s="387">
        <v>2.0</v>
      </c>
      <c r="G9009" s="140">
        <v>30000.0</v>
      </c>
      <c r="H9009" s="140">
        <v>5000.0</v>
      </c>
      <c r="I9009" s="74">
        <f t="shared" si="1"/>
        <v>50000</v>
      </c>
      <c r="J9009" s="74">
        <f>IF(E9009="SERVICE",I9009-(I9009*50%),Vlookup(E9009,DATABASE!C:Q,10,false)*F9009)</f>
        <v>0</v>
      </c>
      <c r="K9009" s="74">
        <f>VLOOKUP(E9009,DATABASE!C:Q,7,false)</f>
        <v>10000</v>
      </c>
      <c r="L9009" s="74">
        <v>10000.0</v>
      </c>
      <c r="M9009" s="74">
        <f t="shared" si="6"/>
        <v>10000</v>
      </c>
      <c r="N9009" s="74">
        <f t="shared" si="3"/>
        <v>30000</v>
      </c>
      <c r="O9009" s="65" t="str">
        <f>VLOOKUP(E9009,DATABASE!C:Q,8,false)</f>
        <v>BIAN</v>
      </c>
      <c r="P9009" s="65">
        <f>VLOOKUP(E9009,DATABASE!C:Q,9,False)</f>
        <v>0</v>
      </c>
      <c r="Q9009" s="93" t="str">
        <f>VLOOKUP(E9009,DATABASE!C:Q,4,false)</f>
        <v>Balancing</v>
      </c>
      <c r="R9009" s="93" t="str">
        <f>VLOOKUP(E9009,DATABASE!C:Q,11,false)</f>
        <v>COMPLEMENTARY</v>
      </c>
    </row>
    <row r="9010" ht="22.5" customHeight="1">
      <c r="A9010" s="49"/>
      <c r="C9010" s="400">
        <v>46184.0</v>
      </c>
      <c r="D9010" s="524">
        <v>1679.0</v>
      </c>
      <c r="E9010" s="544" t="s">
        <v>1439</v>
      </c>
      <c r="F9010" s="387">
        <v>2.0</v>
      </c>
      <c r="G9010" s="140">
        <v>645000.0</v>
      </c>
      <c r="H9010" s="74"/>
      <c r="I9010" s="74">
        <f t="shared" si="1"/>
        <v>1290000</v>
      </c>
      <c r="J9010" s="74">
        <f>IF(E9010="SERVICE",I9010-(I9010*50%),Vlookup(E9010,DATABASE!C:Q,10,false)*F9010)</f>
        <v>0</v>
      </c>
      <c r="K9010" s="74">
        <f>VLOOKUP(E9010,DATABASE!C:Q,7,false)</f>
        <v>556800</v>
      </c>
      <c r="L9010" s="74">
        <v>556800.0</v>
      </c>
      <c r="M9010" s="74">
        <f t="shared" si="6"/>
        <v>560000</v>
      </c>
      <c r="N9010" s="74">
        <f t="shared" si="3"/>
        <v>170000</v>
      </c>
      <c r="O9010" s="65" t="str">
        <f>VLOOKUP(E9010,DATABASE!C:Q,8,false)</f>
        <v>BIAN</v>
      </c>
      <c r="P9010" s="65">
        <f>VLOOKUP(E9010,DATABASE!C:Q,9,False)</f>
        <v>1</v>
      </c>
      <c r="Q9010" s="93" t="str">
        <f>VLOOKUP(E9010,DATABASE!C:Q,4,false)</f>
        <v>GT</v>
      </c>
      <c r="R9010" s="93" t="str">
        <f>VLOOKUP(E9010,DATABASE!C:Q,11,false)</f>
        <v>Tire</v>
      </c>
    </row>
    <row r="9011" ht="22.5" customHeight="1">
      <c r="A9011" s="49"/>
      <c r="C9011" s="400">
        <v>46184.0</v>
      </c>
      <c r="D9011" s="524">
        <v>1679.0</v>
      </c>
      <c r="E9011" s="544" t="s">
        <v>252</v>
      </c>
      <c r="F9011" s="387">
        <v>1.0</v>
      </c>
      <c r="G9011" s="140">
        <v>345000.0</v>
      </c>
      <c r="H9011" s="140">
        <v>5000.0</v>
      </c>
      <c r="I9011" s="74">
        <f t="shared" si="1"/>
        <v>340000</v>
      </c>
      <c r="J9011" s="74">
        <f>IF(E9011="SERVICE",I9011-(I9011*50%),Vlookup(E9011,DATABASE!C:Q,10,false)*F9011)</f>
        <v>0</v>
      </c>
      <c r="K9011" s="74">
        <f>VLOOKUP(E9011,DATABASE!C:Q,7,false)</f>
        <v>317518</v>
      </c>
      <c r="L9011" s="74">
        <v>294418.0</v>
      </c>
      <c r="M9011" s="74">
        <f t="shared" si="6"/>
        <v>295000</v>
      </c>
      <c r="N9011" s="74">
        <f t="shared" si="3"/>
        <v>45000</v>
      </c>
      <c r="O9011" s="65" t="str">
        <f>VLOOKUP(E9011,DATABASE!C:Q,8,false)</f>
        <v>NON</v>
      </c>
      <c r="P9011" s="65">
        <f>VLOOKUP(E9011,DATABASE!C:Q,9,False)</f>
        <v>0</v>
      </c>
      <c r="Q9011" s="93" t="str">
        <f>VLOOKUP(E9011,DATABASE!C:Q,4,false)</f>
        <v>Shell</v>
      </c>
      <c r="R9011" s="93" t="str">
        <f>VLOOKUP(E9011,DATABASE!C:Q,11,false)</f>
        <v>OIL</v>
      </c>
    </row>
    <row r="9012" ht="22.5" customHeight="1">
      <c r="A9012" s="49"/>
      <c r="C9012" s="400">
        <v>46184.0</v>
      </c>
      <c r="D9012" s="524">
        <v>1680.0</v>
      </c>
      <c r="E9012" s="544" t="s">
        <v>268</v>
      </c>
      <c r="F9012" s="387">
        <v>2.0</v>
      </c>
      <c r="G9012" s="140">
        <v>720000.0</v>
      </c>
      <c r="H9012" s="74"/>
      <c r="I9012" s="74">
        <f t="shared" si="1"/>
        <v>1440000</v>
      </c>
      <c r="J9012" s="74">
        <f>IF(E9012="SERVICE",I9012-(I9012*50%),Vlookup(E9012,DATABASE!C:Q,10,false)*F9012)</f>
        <v>0</v>
      </c>
      <c r="K9012" s="74">
        <f>VLOOKUP(E9012,DATABASE!C:Q,7,false)</f>
        <v>653000</v>
      </c>
      <c r="L9012" s="74">
        <v>634500.0</v>
      </c>
      <c r="M9012" s="74">
        <f t="shared" si="6"/>
        <v>635000</v>
      </c>
      <c r="N9012" s="74">
        <f t="shared" si="3"/>
        <v>170000</v>
      </c>
      <c r="O9012" s="65" t="str">
        <f>VLOOKUP(E9012,DATABASE!C:Q,8,false)</f>
        <v>IBU</v>
      </c>
      <c r="P9012" s="65">
        <f>VLOOKUP(E9012,DATABASE!C:Q,9,False)</f>
        <v>1</v>
      </c>
      <c r="Q9012" s="93" t="str">
        <f>VLOOKUP(E9012,DATABASE!C:Q,4,false)</f>
        <v>Dunlop</v>
      </c>
      <c r="R9012" s="93" t="str">
        <f>VLOOKUP(E9012,DATABASE!C:Q,11,false)</f>
        <v>Tire</v>
      </c>
    </row>
    <row r="9013" ht="22.5" customHeight="1">
      <c r="A9013" s="49"/>
      <c r="C9013" s="400">
        <v>46184.0</v>
      </c>
      <c r="D9013" s="524">
        <v>1681.0</v>
      </c>
      <c r="E9013" s="544" t="s">
        <v>256</v>
      </c>
      <c r="F9013" s="387">
        <v>1.0</v>
      </c>
      <c r="G9013" s="140">
        <v>175000.0</v>
      </c>
      <c r="H9013" s="140">
        <v>25000.0</v>
      </c>
      <c r="I9013" s="74">
        <f t="shared" si="1"/>
        <v>150000</v>
      </c>
      <c r="J9013" s="74">
        <f>IF(E9013="SERVICE",I9013-(I9013*50%),Vlookup(E9013,DATABASE!C:Q,10,false)*F9013)</f>
        <v>10000</v>
      </c>
      <c r="K9013" s="74">
        <f>VLOOKUP(E9013,DATABASE!C:Q,7,false)</f>
        <v>0</v>
      </c>
      <c r="L9013" s="74">
        <v>0.0</v>
      </c>
      <c r="M9013" s="74">
        <f t="shared" si="6"/>
        <v>0</v>
      </c>
      <c r="N9013" s="74">
        <f t="shared" si="3"/>
        <v>140000</v>
      </c>
      <c r="O9013" s="65" t="str">
        <f>VLOOKUP(E9013,DATABASE!C:Q,8,false)</f>
        <v>IBU</v>
      </c>
      <c r="P9013" s="65">
        <f>VLOOKUP(E9013,DATABASE!C:Q,9,False)</f>
        <v>0</v>
      </c>
      <c r="Q9013" s="93" t="str">
        <f>VLOOKUP(E9013,DATABASE!C:Q,4,false)</f>
        <v>SPOORING</v>
      </c>
      <c r="R9013" s="93" t="str">
        <f>VLOOKUP(E9013,DATABASE!C:Q,11,false)</f>
        <v>SERVICE</v>
      </c>
    </row>
    <row r="9014" ht="22.5" customHeight="1">
      <c r="A9014" s="49"/>
      <c r="C9014" s="400">
        <v>46184.0</v>
      </c>
      <c r="D9014" s="524">
        <v>1681.0</v>
      </c>
      <c r="E9014" s="544" t="s">
        <v>299</v>
      </c>
      <c r="F9014" s="387">
        <v>2.0</v>
      </c>
      <c r="G9014" s="140">
        <v>30000.0</v>
      </c>
      <c r="H9014" s="74"/>
      <c r="I9014" s="74">
        <f t="shared" si="1"/>
        <v>60000</v>
      </c>
      <c r="J9014" s="74">
        <f>IF(E9014="SERVICE",I9014-(I9014*50%),Vlookup(E9014,DATABASE!C:Q,10,false)*F9014)</f>
        <v>0</v>
      </c>
      <c r="K9014" s="74">
        <f>VLOOKUP(E9014,DATABASE!C:Q,7,false)</f>
        <v>10000</v>
      </c>
      <c r="L9014" s="74">
        <v>10000.0</v>
      </c>
      <c r="M9014" s="74">
        <f t="shared" si="6"/>
        <v>10000</v>
      </c>
      <c r="N9014" s="74">
        <f t="shared" si="3"/>
        <v>40000</v>
      </c>
      <c r="O9014" s="65" t="str">
        <f>VLOOKUP(E9014,DATABASE!C:Q,8,false)</f>
        <v>BIAN</v>
      </c>
      <c r="P9014" s="65">
        <f>VLOOKUP(E9014,DATABASE!C:Q,9,False)</f>
        <v>0</v>
      </c>
      <c r="Q9014" s="93" t="str">
        <f>VLOOKUP(E9014,DATABASE!C:Q,4,false)</f>
        <v>Balancing</v>
      </c>
      <c r="R9014" s="93" t="str">
        <f>VLOOKUP(E9014,DATABASE!C:Q,11,false)</f>
        <v>COMPLEMENTARY</v>
      </c>
    </row>
    <row r="9015" ht="22.5" customHeight="1">
      <c r="A9015" s="49"/>
      <c r="C9015" s="400">
        <v>46184.0</v>
      </c>
      <c r="D9015" s="524">
        <v>1681.0</v>
      </c>
      <c r="E9015" s="544" t="s">
        <v>301</v>
      </c>
      <c r="F9015" s="387">
        <v>1.0</v>
      </c>
      <c r="G9015" s="140">
        <v>250000.0</v>
      </c>
      <c r="H9015" s="74"/>
      <c r="I9015" s="74">
        <f t="shared" si="1"/>
        <v>250000</v>
      </c>
      <c r="J9015" s="74">
        <f>IF(E9015="SERVICE",I9015-(I9015*50%),Vlookup(E9015,DATABASE!C:Q,10,false)*F9015)</f>
        <v>75000</v>
      </c>
      <c r="K9015" s="74">
        <f>VLOOKUP(E9015,DATABASE!C:Q,7,false)</f>
        <v>75000</v>
      </c>
      <c r="L9015" s="74">
        <v>75000.0</v>
      </c>
      <c r="M9015" s="74">
        <f t="shared" si="6"/>
        <v>75000</v>
      </c>
      <c r="N9015" s="74">
        <f t="shared" si="3"/>
        <v>100000</v>
      </c>
      <c r="O9015" s="65" t="str">
        <f>VLOOKUP(E9015,DATABASE!C:Q,8,false)</f>
        <v>BIAN</v>
      </c>
      <c r="P9015" s="65">
        <f>VLOOKUP(E9015,DATABASE!C:Q,9,False)</f>
        <v>0</v>
      </c>
      <c r="Q9015" s="93" t="str">
        <f>VLOOKUP(E9015,DATABASE!C:Q,4,false)</f>
        <v>Baut Camber</v>
      </c>
      <c r="R9015" s="93" t="str">
        <f>VLOOKUP(E9015,DATABASE!C:Q,11,false)</f>
        <v>COMPLEMENTARY</v>
      </c>
    </row>
    <row r="9016" ht="22.5" customHeight="1">
      <c r="A9016" s="49"/>
      <c r="C9016" s="400">
        <v>46184.0</v>
      </c>
      <c r="D9016" s="69" t="s">
        <v>2840</v>
      </c>
      <c r="E9016" s="544" t="s">
        <v>243</v>
      </c>
      <c r="F9016" s="387">
        <v>1.0</v>
      </c>
      <c r="G9016" s="140">
        <v>500000.0</v>
      </c>
      <c r="H9016" s="74"/>
      <c r="I9016" s="74">
        <f t="shared" si="1"/>
        <v>500000</v>
      </c>
      <c r="J9016" s="74">
        <f>IF(E9016="SERVICE",I9016-(I9016*50%),Vlookup(E9016,DATABASE!C:Q,10,false)*F9016)</f>
        <v>0</v>
      </c>
      <c r="K9016" s="74">
        <f>VLOOKUP(E9016,DATABASE!C:Q,7,false)</f>
        <v>432500</v>
      </c>
      <c r="L9016" s="74">
        <v>432500.0</v>
      </c>
      <c r="M9016" s="74">
        <f t="shared" si="6"/>
        <v>435000</v>
      </c>
      <c r="N9016" s="74">
        <f t="shared" si="3"/>
        <v>65000</v>
      </c>
      <c r="O9016" s="65" t="str">
        <f>VLOOKUP(E9016,DATABASE!C:Q,8,false)</f>
        <v>NON</v>
      </c>
      <c r="P9016" s="65">
        <f>VLOOKUP(E9016,DATABASE!C:Q,9,False)</f>
        <v>0</v>
      </c>
      <c r="Q9016" s="93" t="str">
        <f>VLOOKUP(E9016,DATABASE!C:Q,4,false)</f>
        <v>Pertamina</v>
      </c>
      <c r="R9016" s="93" t="str">
        <f>VLOOKUP(E9016,DATABASE!C:Q,11,false)</f>
        <v>OIL</v>
      </c>
    </row>
    <row r="9017" ht="22.5" customHeight="1">
      <c r="A9017" s="29"/>
      <c r="C9017" s="400">
        <v>46184.0</v>
      </c>
      <c r="D9017" s="69" t="s">
        <v>2840</v>
      </c>
      <c r="E9017" s="544" t="s">
        <v>2542</v>
      </c>
      <c r="F9017" s="387">
        <v>1.0</v>
      </c>
      <c r="G9017" s="140">
        <v>100000.0</v>
      </c>
      <c r="H9017" s="74"/>
      <c r="I9017" s="74">
        <f t="shared" si="1"/>
        <v>100000</v>
      </c>
      <c r="J9017" s="74">
        <f>IF(E9017="SERVICE",I9017-(I9017*50%),Vlookup(E9017,DATABASE!C:Q,10,false)*F9017)</f>
        <v>0</v>
      </c>
      <c r="K9017" s="74">
        <f>VLOOKUP(E9017,DATABASE!C:Q,7,false)</f>
        <v>52000</v>
      </c>
      <c r="L9017" s="74">
        <v>52000.0</v>
      </c>
      <c r="M9017" s="74">
        <f t="shared" si="6"/>
        <v>55000</v>
      </c>
      <c r="N9017" s="74">
        <f t="shared" si="3"/>
        <v>45000</v>
      </c>
      <c r="O9017" s="65" t="str">
        <f>VLOOKUP(E9017,DATABASE!C:Q,8,false)</f>
        <v>BIAN</v>
      </c>
      <c r="P9017" s="65">
        <f>VLOOKUP(E9017,DATABASE!C:Q,9,False)</f>
        <v>0</v>
      </c>
      <c r="Q9017" s="93" t="str">
        <f>VLOOKUP(E9017,DATABASE!C:Q,4,false)</f>
        <v>Filter oli ORI KW</v>
      </c>
      <c r="R9017" s="93" t="str">
        <f>VLOOKUP(E9017,DATABASE!C:Q,11,false)</f>
        <v>COMPLEMENTARY</v>
      </c>
    </row>
    <row r="9018" ht="22.5" customHeight="1">
      <c r="A9018" s="49"/>
      <c r="C9018" s="400">
        <v>46184.0</v>
      </c>
      <c r="D9018" s="69" t="s">
        <v>2841</v>
      </c>
      <c r="E9018" s="544" t="s">
        <v>2191</v>
      </c>
      <c r="F9018" s="387">
        <v>1.0</v>
      </c>
      <c r="G9018" s="140">
        <v>430000.0</v>
      </c>
      <c r="H9018" s="74"/>
      <c r="I9018" s="74">
        <f t="shared" si="1"/>
        <v>430000</v>
      </c>
      <c r="J9018" s="74">
        <f>IF(E9018="SERVICE",I9018-(I9018*50%),Vlookup(E9018,DATABASE!C:Q,10,false)*F9018)</f>
        <v>0</v>
      </c>
      <c r="K9018" s="74">
        <f>VLOOKUP(E9018,DATABASE!C:Q,7,false)</f>
        <v>422900</v>
      </c>
      <c r="L9018" s="74">
        <v>380400.0</v>
      </c>
      <c r="M9018" s="74">
        <f t="shared" si="6"/>
        <v>385000</v>
      </c>
      <c r="N9018" s="74">
        <f t="shared" si="3"/>
        <v>45000</v>
      </c>
      <c r="O9018" s="65" t="str">
        <f>VLOOKUP(E9018,DATABASE!C:Q,8,false)</f>
        <v>NON</v>
      </c>
      <c r="P9018" s="65">
        <f>VLOOKUP(E9018,DATABASE!C:Q,9,False)</f>
        <v>0</v>
      </c>
      <c r="Q9018" s="93" t="str">
        <f>VLOOKUP(E9018,DATABASE!C:Q,4,false)</f>
        <v>Shell</v>
      </c>
      <c r="R9018" s="93" t="str">
        <f>VLOOKUP(E9018,DATABASE!C:Q,11,false)</f>
        <v>OIL</v>
      </c>
    </row>
    <row r="9019" ht="22.5" customHeight="1">
      <c r="A9019" s="29"/>
      <c r="C9019" s="400">
        <v>46185.0</v>
      </c>
      <c r="D9019" s="524">
        <v>3.0</v>
      </c>
      <c r="E9019" s="544" t="s">
        <v>622</v>
      </c>
      <c r="F9019" s="387">
        <v>2.0</v>
      </c>
      <c r="G9019" s="140">
        <v>925000.0</v>
      </c>
      <c r="H9019" s="140">
        <v>10000.0</v>
      </c>
      <c r="I9019" s="74">
        <f t="shared" si="1"/>
        <v>1830000</v>
      </c>
      <c r="J9019" s="74">
        <f>IF(E9019="SERVICE",I9019-(I9019*50%),Vlookup(E9019,DATABASE!C:Q,10,false)*F9019)</f>
        <v>0</v>
      </c>
      <c r="K9019" s="74">
        <f>VLOOKUP(E9019,DATABASE!C:Q,7,false)</f>
        <v>851110.375</v>
      </c>
      <c r="L9019" s="74">
        <v>822259.2</v>
      </c>
      <c r="M9019" s="74">
        <f t="shared" si="6"/>
        <v>825000</v>
      </c>
      <c r="N9019" s="74">
        <f t="shared" si="3"/>
        <v>180000</v>
      </c>
      <c r="O9019" s="65" t="str">
        <f>VLOOKUP(E9019,DATABASE!C:Q,8,false)</f>
        <v>IBU</v>
      </c>
      <c r="P9019" s="65">
        <f>VLOOKUP(E9019,DATABASE!C:Q,9,False)</f>
        <v>1</v>
      </c>
      <c r="Q9019" s="93" t="str">
        <f>VLOOKUP(E9019,DATABASE!C:Q,4,false)</f>
        <v>Bridgestone</v>
      </c>
      <c r="R9019" s="93" t="str">
        <f>VLOOKUP(E9019,DATABASE!C:Q,11,false)</f>
        <v>Tire</v>
      </c>
    </row>
    <row r="9020" ht="22.5" customHeight="1">
      <c r="A9020" s="29"/>
      <c r="C9020" s="400">
        <v>46185.0</v>
      </c>
      <c r="D9020" s="524">
        <v>4.0</v>
      </c>
      <c r="E9020" s="544" t="s">
        <v>268</v>
      </c>
      <c r="F9020" s="387">
        <v>2.0</v>
      </c>
      <c r="G9020" s="140">
        <v>720000.0</v>
      </c>
      <c r="H9020" s="74"/>
      <c r="I9020" s="74">
        <f t="shared" si="1"/>
        <v>1440000</v>
      </c>
      <c r="J9020" s="74">
        <f>IF(E9020="SERVICE",I9020-(I9020*50%),Vlookup(E9020,DATABASE!C:Q,10,false)*F9020)</f>
        <v>0</v>
      </c>
      <c r="K9020" s="74">
        <f>VLOOKUP(E9020,DATABASE!C:Q,7,false)</f>
        <v>653000</v>
      </c>
      <c r="L9020" s="74">
        <v>634500.0</v>
      </c>
      <c r="M9020" s="74">
        <f t="shared" si="6"/>
        <v>635000</v>
      </c>
      <c r="N9020" s="74">
        <f t="shared" si="3"/>
        <v>170000</v>
      </c>
      <c r="O9020" s="65" t="str">
        <f>VLOOKUP(E9020,DATABASE!C:Q,8,false)</f>
        <v>IBU</v>
      </c>
      <c r="P9020" s="65">
        <f>VLOOKUP(E9020,DATABASE!C:Q,9,False)</f>
        <v>1</v>
      </c>
      <c r="Q9020" s="93" t="str">
        <f>VLOOKUP(E9020,DATABASE!C:Q,4,false)</f>
        <v>Dunlop</v>
      </c>
      <c r="R9020" s="93" t="str">
        <f>VLOOKUP(E9020,DATABASE!C:Q,11,false)</f>
        <v>Tire</v>
      </c>
    </row>
    <row r="9021" ht="22.5" customHeight="1">
      <c r="A9021" s="49"/>
      <c r="C9021" s="400">
        <v>46185.0</v>
      </c>
      <c r="D9021" s="524">
        <v>5.0</v>
      </c>
      <c r="E9021" s="544" t="s">
        <v>930</v>
      </c>
      <c r="F9021" s="387">
        <v>1.0</v>
      </c>
      <c r="G9021" s="140">
        <v>750000.0</v>
      </c>
      <c r="H9021" s="140">
        <v>30000.0</v>
      </c>
      <c r="I9021" s="74">
        <f t="shared" si="1"/>
        <v>720000</v>
      </c>
      <c r="J9021" s="74">
        <f>IF(E9021="SERVICE",I9021-(I9021*50%),Vlookup(E9021,DATABASE!C:Q,10,false)*F9021)</f>
        <v>0</v>
      </c>
      <c r="K9021" s="74">
        <f>VLOOKUP(E9021,DATABASE!C:Q,7,false)</f>
        <v>634099.2</v>
      </c>
      <c r="L9021" s="74">
        <v>634099.2</v>
      </c>
      <c r="M9021" s="74">
        <f t="shared" si="6"/>
        <v>635000</v>
      </c>
      <c r="N9021" s="74">
        <f t="shared" si="3"/>
        <v>85000</v>
      </c>
      <c r="O9021" s="65" t="str">
        <f>VLOOKUP(E9021,DATABASE!C:Q,8,false)</f>
        <v>IBU</v>
      </c>
      <c r="P9021" s="65">
        <f>VLOOKUP(E9021,DATABASE!C:Q,9,False)</f>
        <v>1</v>
      </c>
      <c r="Q9021" s="93" t="str">
        <f>VLOOKUP(E9021,DATABASE!C:Q,4,false)</f>
        <v>Bridgestone</v>
      </c>
      <c r="R9021" s="93" t="str">
        <f>VLOOKUP(E9021,DATABASE!C:Q,11,false)</f>
        <v>Tire</v>
      </c>
    </row>
    <row r="9022" ht="22.5" customHeight="1">
      <c r="A9022" s="49"/>
      <c r="C9022" s="400">
        <v>46185.0</v>
      </c>
      <c r="D9022" s="524">
        <v>6.0</v>
      </c>
      <c r="E9022" s="544" t="s">
        <v>288</v>
      </c>
      <c r="F9022" s="387">
        <v>2.0</v>
      </c>
      <c r="G9022" s="140">
        <v>630000.0</v>
      </c>
      <c r="H9022" s="74"/>
      <c r="I9022" s="74">
        <f t="shared" si="1"/>
        <v>1260000</v>
      </c>
      <c r="J9022" s="74">
        <f>IF(E9022="SERVICE",I9022-(I9022*50%),Vlookup(E9022,DATABASE!C:Q,10,false)*F9022)</f>
        <v>0</v>
      </c>
      <c r="K9022" s="74">
        <f>VLOOKUP(E9022,DATABASE!C:Q,7,false)</f>
        <v>565760</v>
      </c>
      <c r="L9022" s="74">
        <v>540500.0</v>
      </c>
      <c r="M9022" s="74">
        <f t="shared" si="6"/>
        <v>545000</v>
      </c>
      <c r="N9022" s="74">
        <f t="shared" si="3"/>
        <v>170000</v>
      </c>
      <c r="O9022" s="65" t="str">
        <f>VLOOKUP(E9022,DATABASE!C:Q,8,false)</f>
        <v>BIAN</v>
      </c>
      <c r="P9022" s="65">
        <f>VLOOKUP(E9022,DATABASE!C:Q,9,False)</f>
        <v>1</v>
      </c>
      <c r="Q9022" s="93" t="str">
        <f>VLOOKUP(E9022,DATABASE!C:Q,4,false)</f>
        <v>GT</v>
      </c>
      <c r="R9022" s="93" t="str">
        <f>VLOOKUP(E9022,DATABASE!C:Q,11,false)</f>
        <v>Tire</v>
      </c>
    </row>
    <row r="9023" ht="22.5" customHeight="1">
      <c r="A9023" s="49"/>
      <c r="C9023" s="400">
        <v>46185.0</v>
      </c>
      <c r="D9023" s="524">
        <v>7.0</v>
      </c>
      <c r="E9023" s="544" t="s">
        <v>301</v>
      </c>
      <c r="F9023" s="387">
        <v>1.0</v>
      </c>
      <c r="G9023" s="140">
        <v>250000.0</v>
      </c>
      <c r="H9023" s="74"/>
      <c r="I9023" s="74">
        <f t="shared" si="1"/>
        <v>250000</v>
      </c>
      <c r="J9023" s="74">
        <f>IF(E9023="SERVICE",I9023-(I9023*50%),Vlookup(E9023,DATABASE!C:Q,10,false)*F9023)</f>
        <v>75000</v>
      </c>
      <c r="K9023" s="74">
        <f>VLOOKUP(E9023,DATABASE!C:Q,7,false)</f>
        <v>75000</v>
      </c>
      <c r="L9023" s="74">
        <v>75000.0</v>
      </c>
      <c r="M9023" s="74">
        <f t="shared" si="6"/>
        <v>75000</v>
      </c>
      <c r="N9023" s="74">
        <f t="shared" si="3"/>
        <v>100000</v>
      </c>
      <c r="O9023" s="65" t="str">
        <f>VLOOKUP(E9023,DATABASE!C:Q,8,false)</f>
        <v>BIAN</v>
      </c>
      <c r="P9023" s="65">
        <f>VLOOKUP(E9023,DATABASE!C:Q,9,False)</f>
        <v>0</v>
      </c>
      <c r="Q9023" s="93" t="str">
        <f>VLOOKUP(E9023,DATABASE!C:Q,4,false)</f>
        <v>Baut Camber</v>
      </c>
      <c r="R9023" s="93" t="str">
        <f>VLOOKUP(E9023,DATABASE!C:Q,11,false)</f>
        <v>COMPLEMENTARY</v>
      </c>
    </row>
    <row r="9024" ht="22.5" customHeight="1">
      <c r="A9024" s="49"/>
      <c r="C9024" s="400">
        <v>46185.0</v>
      </c>
      <c r="D9024" s="524">
        <v>8.0</v>
      </c>
      <c r="E9024" s="544" t="s">
        <v>937</v>
      </c>
      <c r="F9024" s="387">
        <v>2.0</v>
      </c>
      <c r="G9024" s="140">
        <v>910000.0</v>
      </c>
      <c r="H9024" s="140">
        <v>10000.0</v>
      </c>
      <c r="I9024" s="74">
        <f t="shared" si="1"/>
        <v>1800000</v>
      </c>
      <c r="J9024" s="74">
        <f>IF(E9024="SERVICE",I9024-(I9024*50%),Vlookup(E9024,DATABASE!C:Q,10,false)*F9024)</f>
        <v>0</v>
      </c>
      <c r="K9024" s="74">
        <f>VLOOKUP(E9024,DATABASE!C:Q,7,false)</f>
        <v>825000</v>
      </c>
      <c r="L9024" s="74">
        <v>815000.0</v>
      </c>
      <c r="M9024" s="74">
        <f t="shared" si="6"/>
        <v>815000</v>
      </c>
      <c r="N9024" s="74">
        <f t="shared" si="3"/>
        <v>170000</v>
      </c>
      <c r="O9024" s="65" t="str">
        <f>VLOOKUP(E9024,DATABASE!C:Q,8,false)</f>
        <v>IBU</v>
      </c>
      <c r="P9024" s="65">
        <f>VLOOKUP(E9024,DATABASE!C:Q,9,False)</f>
        <v>1</v>
      </c>
      <c r="Q9024" s="93" t="str">
        <f>VLOOKUP(E9024,DATABASE!C:Q,4,false)</f>
        <v>Bridgestone</v>
      </c>
      <c r="R9024" s="93" t="str">
        <f>VLOOKUP(E9024,DATABASE!C:Q,11,false)</f>
        <v>Tire</v>
      </c>
    </row>
    <row r="9025" ht="22.5" customHeight="1">
      <c r="A9025" s="49"/>
      <c r="C9025" s="400">
        <v>46185.0</v>
      </c>
      <c r="D9025" s="524">
        <v>9.0</v>
      </c>
      <c r="E9025" s="544" t="s">
        <v>286</v>
      </c>
      <c r="F9025" s="387">
        <v>1.0</v>
      </c>
      <c r="G9025" s="140">
        <v>560000.0</v>
      </c>
      <c r="H9025" s="140">
        <v>10000.0</v>
      </c>
      <c r="I9025" s="74">
        <f t="shared" si="1"/>
        <v>550000</v>
      </c>
      <c r="J9025" s="74">
        <f>IF(E9025="SERVICE",I9025-(I9025*50%),Vlookup(E9025,DATABASE!C:Q,10,false)*F9025)</f>
        <v>0</v>
      </c>
      <c r="K9025" s="74">
        <f>VLOOKUP(E9025,DATABASE!C:Q,7,false)</f>
        <v>488320</v>
      </c>
      <c r="L9025" s="74">
        <v>459420.0</v>
      </c>
      <c r="M9025" s="74">
        <f t="shared" si="6"/>
        <v>460000</v>
      </c>
      <c r="N9025" s="74">
        <f t="shared" si="3"/>
        <v>90000</v>
      </c>
      <c r="O9025" s="65" t="str">
        <f>VLOOKUP(E9025,DATABASE!C:Q,8,false)</f>
        <v>BIAN</v>
      </c>
      <c r="P9025" s="65">
        <f>VLOOKUP(E9025,DATABASE!C:Q,9,False)</f>
        <v>1</v>
      </c>
      <c r="Q9025" s="93" t="str">
        <f>VLOOKUP(E9025,DATABASE!C:Q,4,false)</f>
        <v>GT</v>
      </c>
      <c r="R9025" s="93" t="str">
        <f>VLOOKUP(E9025,DATABASE!C:Q,11,false)</f>
        <v>Tire</v>
      </c>
    </row>
    <row r="9026" ht="22.5" customHeight="1">
      <c r="A9026" s="49"/>
      <c r="C9026" s="400">
        <v>46185.0</v>
      </c>
      <c r="D9026" s="524">
        <v>10.0</v>
      </c>
      <c r="E9026" s="544" t="s">
        <v>839</v>
      </c>
      <c r="F9026" s="387">
        <v>2.0</v>
      </c>
      <c r="G9026" s="140">
        <v>580000.0</v>
      </c>
      <c r="H9026" s="74"/>
      <c r="I9026" s="74">
        <f t="shared" si="1"/>
        <v>1160000</v>
      </c>
      <c r="J9026" s="74">
        <f>IF(E9026="SERVICE",I9026-(I9026*50%),Vlookup(E9026,DATABASE!C:Q,10,false)*F9026)</f>
        <v>0</v>
      </c>
      <c r="K9026" s="74">
        <f>VLOOKUP(E9026,DATABASE!C:Q,7,false)</f>
        <v>512640</v>
      </c>
      <c r="L9026" s="74">
        <v>490000.0</v>
      </c>
      <c r="M9026" s="74">
        <f t="shared" si="6"/>
        <v>490000</v>
      </c>
      <c r="N9026" s="74">
        <f t="shared" si="3"/>
        <v>180000</v>
      </c>
      <c r="O9026" s="65" t="str">
        <f>VLOOKUP(E9026,DATABASE!C:Q,8,false)</f>
        <v>BIAN</v>
      </c>
      <c r="P9026" s="65">
        <f>VLOOKUP(E9026,DATABASE!C:Q,9,False)</f>
        <v>1</v>
      </c>
      <c r="Q9026" s="93" t="str">
        <f>VLOOKUP(E9026,DATABASE!C:Q,4,false)</f>
        <v>GT</v>
      </c>
      <c r="R9026" s="93" t="str">
        <f>VLOOKUP(E9026,DATABASE!C:Q,11,false)</f>
        <v>Tire</v>
      </c>
    </row>
    <row r="9027" ht="22.5" customHeight="1">
      <c r="A9027" s="49"/>
      <c r="C9027" s="400">
        <v>46185.0</v>
      </c>
      <c r="D9027" s="524">
        <v>11.0</v>
      </c>
      <c r="E9027" s="544" t="s">
        <v>937</v>
      </c>
      <c r="F9027" s="387">
        <v>2.0</v>
      </c>
      <c r="G9027" s="140">
        <v>910000.0</v>
      </c>
      <c r="H9027" s="140">
        <v>10000.0</v>
      </c>
      <c r="I9027" s="74">
        <f t="shared" si="1"/>
        <v>1800000</v>
      </c>
      <c r="J9027" s="74">
        <f>IF(E9027="SERVICE",I9027-(I9027*50%),Vlookup(E9027,DATABASE!C:Q,10,false)*F9027)</f>
        <v>0</v>
      </c>
      <c r="K9027" s="74">
        <f>VLOOKUP(E9027,DATABASE!C:Q,7,false)</f>
        <v>825000</v>
      </c>
      <c r="L9027" s="74">
        <v>815000.0</v>
      </c>
      <c r="M9027" s="74">
        <f t="shared" si="6"/>
        <v>815000</v>
      </c>
      <c r="N9027" s="74">
        <f t="shared" si="3"/>
        <v>170000</v>
      </c>
      <c r="O9027" s="65" t="str">
        <f>VLOOKUP(E9027,DATABASE!C:Q,8,false)</f>
        <v>IBU</v>
      </c>
      <c r="P9027" s="65">
        <f>VLOOKUP(E9027,DATABASE!C:Q,9,False)</f>
        <v>1</v>
      </c>
      <c r="Q9027" s="93" t="str">
        <f>VLOOKUP(E9027,DATABASE!C:Q,4,false)</f>
        <v>Bridgestone</v>
      </c>
      <c r="R9027" s="93" t="str">
        <f>VLOOKUP(E9027,DATABASE!C:Q,11,false)</f>
        <v>Tire</v>
      </c>
    </row>
    <row r="9028" ht="22.5" customHeight="1">
      <c r="A9028" s="49"/>
      <c r="C9028" s="400">
        <v>46185.0</v>
      </c>
      <c r="D9028" s="524">
        <v>11.0</v>
      </c>
      <c r="E9028" s="544" t="s">
        <v>299</v>
      </c>
      <c r="F9028" s="387">
        <v>2.0</v>
      </c>
      <c r="G9028" s="140">
        <v>30000.0</v>
      </c>
      <c r="H9028" s="74"/>
      <c r="I9028" s="74">
        <f t="shared" si="1"/>
        <v>60000</v>
      </c>
      <c r="J9028" s="74">
        <f>IF(E9028="SERVICE",I9028-(I9028*50%),Vlookup(E9028,DATABASE!C:Q,10,false)*F9028)</f>
        <v>0</v>
      </c>
      <c r="K9028" s="74">
        <f>VLOOKUP(E9028,DATABASE!C:Q,7,false)</f>
        <v>10000</v>
      </c>
      <c r="L9028" s="74">
        <v>10000.0</v>
      </c>
      <c r="M9028" s="74">
        <f t="shared" si="6"/>
        <v>10000</v>
      </c>
      <c r="N9028" s="74">
        <f t="shared" si="3"/>
        <v>40000</v>
      </c>
      <c r="O9028" s="65" t="str">
        <f>VLOOKUP(E9028,DATABASE!C:Q,8,false)</f>
        <v>BIAN</v>
      </c>
      <c r="P9028" s="65">
        <f>VLOOKUP(E9028,DATABASE!C:Q,9,False)</f>
        <v>0</v>
      </c>
      <c r="Q9028" s="93" t="str">
        <f>VLOOKUP(E9028,DATABASE!C:Q,4,false)</f>
        <v>Balancing</v>
      </c>
      <c r="R9028" s="93" t="str">
        <f>VLOOKUP(E9028,DATABASE!C:Q,11,false)</f>
        <v>COMPLEMENTARY</v>
      </c>
    </row>
    <row r="9029" ht="22.5" customHeight="1">
      <c r="A9029" s="49"/>
      <c r="C9029" s="400">
        <v>46185.0</v>
      </c>
      <c r="D9029" s="524">
        <v>12.0</v>
      </c>
      <c r="E9029" s="544" t="s">
        <v>937</v>
      </c>
      <c r="F9029" s="387">
        <v>1.0</v>
      </c>
      <c r="G9029" s="140">
        <v>910000.0</v>
      </c>
      <c r="H9029" s="140">
        <v>10000.0</v>
      </c>
      <c r="I9029" s="74">
        <f t="shared" si="1"/>
        <v>900000</v>
      </c>
      <c r="J9029" s="74">
        <f>IF(E9029="SERVICE",I9029-(I9029*50%),Vlookup(E9029,DATABASE!C:Q,10,false)*F9029)</f>
        <v>0</v>
      </c>
      <c r="K9029" s="74">
        <f>VLOOKUP(E9029,DATABASE!C:Q,7,false)</f>
        <v>825000</v>
      </c>
      <c r="L9029" s="74">
        <v>815000.0</v>
      </c>
      <c r="M9029" s="74">
        <f t="shared" si="6"/>
        <v>815000</v>
      </c>
      <c r="N9029" s="74">
        <f t="shared" si="3"/>
        <v>85000</v>
      </c>
      <c r="O9029" s="65" t="str">
        <f>VLOOKUP(E9029,DATABASE!C:Q,8,false)</f>
        <v>IBU</v>
      </c>
      <c r="P9029" s="65">
        <f>VLOOKUP(E9029,DATABASE!C:Q,9,False)</f>
        <v>1</v>
      </c>
      <c r="Q9029" s="93" t="str">
        <f>VLOOKUP(E9029,DATABASE!C:Q,4,false)</f>
        <v>Bridgestone</v>
      </c>
      <c r="R9029" s="93" t="str">
        <f>VLOOKUP(E9029,DATABASE!C:Q,11,false)</f>
        <v>Tire</v>
      </c>
    </row>
    <row r="9030" ht="22.5" customHeight="1">
      <c r="A9030" s="49"/>
      <c r="C9030" s="400">
        <v>46185.0</v>
      </c>
      <c r="D9030" s="524">
        <v>12.0</v>
      </c>
      <c r="E9030" s="544" t="s">
        <v>275</v>
      </c>
      <c r="F9030" s="387">
        <v>1.0</v>
      </c>
      <c r="G9030" s="140">
        <v>850000.0</v>
      </c>
      <c r="H9030" s="74"/>
      <c r="I9030" s="74">
        <f t="shared" si="1"/>
        <v>850000</v>
      </c>
      <c r="J9030" s="74">
        <f>IF(E9030="SERVICE",I9030-(I9030*50%),Vlookup(E9030,DATABASE!C:Q,10,false)*F9030)</f>
        <v>0</v>
      </c>
      <c r="K9030" s="74">
        <f>VLOOKUP(E9030,DATABASE!C:Q,7,false)</f>
        <v>782000</v>
      </c>
      <c r="L9030" s="74">
        <v>759500.0</v>
      </c>
      <c r="M9030" s="74">
        <f t="shared" si="6"/>
        <v>760000</v>
      </c>
      <c r="N9030" s="74">
        <f t="shared" si="3"/>
        <v>90000</v>
      </c>
      <c r="O9030" s="65" t="str">
        <f>VLOOKUP(E9030,DATABASE!C:Q,8,false)</f>
        <v>IBU</v>
      </c>
      <c r="P9030" s="65">
        <f>VLOOKUP(E9030,DATABASE!C:Q,9,False)</f>
        <v>1</v>
      </c>
      <c r="Q9030" s="93" t="str">
        <f>VLOOKUP(E9030,DATABASE!C:Q,4,false)</f>
        <v>Dunlop</v>
      </c>
      <c r="R9030" s="93" t="str">
        <f>VLOOKUP(E9030,DATABASE!C:Q,11,false)</f>
        <v>Tire</v>
      </c>
    </row>
    <row r="9031" ht="22.5" customHeight="1">
      <c r="A9031" s="49"/>
      <c r="C9031" s="400">
        <v>46185.0</v>
      </c>
      <c r="D9031" s="524">
        <v>13.0</v>
      </c>
      <c r="E9031" s="544" t="s">
        <v>647</v>
      </c>
      <c r="F9031" s="387">
        <v>2.0</v>
      </c>
      <c r="G9031" s="140">
        <v>1520000.0</v>
      </c>
      <c r="H9031" s="74"/>
      <c r="I9031" s="74">
        <f t="shared" si="1"/>
        <v>3040000</v>
      </c>
      <c r="J9031" s="74">
        <f>IF(E9031="SERVICE",I9031-(I9031*50%),Vlookup(E9031,DATABASE!C:Q,10,false)*F9031)</f>
        <v>0</v>
      </c>
      <c r="K9031" s="74">
        <f>VLOOKUP(E9031,DATABASE!C:Q,7,false)</f>
        <v>1420000</v>
      </c>
      <c r="L9031" s="74">
        <v>1420000.0</v>
      </c>
      <c r="M9031" s="74">
        <f t="shared" si="6"/>
        <v>1420000</v>
      </c>
      <c r="N9031" s="74">
        <f t="shared" si="3"/>
        <v>200000</v>
      </c>
      <c r="O9031" s="65" t="str">
        <f>VLOOKUP(E9031,DATABASE!C:Q,8,false)</f>
        <v>BIAN</v>
      </c>
      <c r="P9031" s="65">
        <f>VLOOKUP(E9031,DATABASE!C:Q,9,False)</f>
        <v>1</v>
      </c>
      <c r="Q9031" s="93" t="str">
        <f>VLOOKUP(E9031,DATABASE!C:Q,4,false)</f>
        <v>G. YEAR</v>
      </c>
      <c r="R9031" s="93" t="str">
        <f>VLOOKUP(E9031,DATABASE!C:Q,11,false)</f>
        <v>Tire</v>
      </c>
    </row>
    <row r="9032" ht="22.5" customHeight="1">
      <c r="A9032" s="49"/>
      <c r="C9032" s="400">
        <v>46185.0</v>
      </c>
      <c r="D9032" s="524">
        <v>15.0</v>
      </c>
      <c r="E9032" s="544" t="s">
        <v>600</v>
      </c>
      <c r="F9032" s="387">
        <v>1.0</v>
      </c>
      <c r="G9032" s="140">
        <v>680000.0</v>
      </c>
      <c r="H9032" s="140">
        <v>10000.0</v>
      </c>
      <c r="I9032" s="74">
        <f t="shared" si="1"/>
        <v>670000</v>
      </c>
      <c r="J9032" s="74">
        <f>IF(E9032="SERVICE",I9032-(I9032*50%),Vlookup(E9032,DATABASE!C:Q,10,false)*F9032)</f>
        <v>0</v>
      </c>
      <c r="K9032" s="74">
        <f>VLOOKUP(E9032,DATABASE!C:Q,7,false)</f>
        <v>611109.16</v>
      </c>
      <c r="L9032" s="74">
        <v>588505.75</v>
      </c>
      <c r="M9032" s="74">
        <f t="shared" si="6"/>
        <v>590000</v>
      </c>
      <c r="N9032" s="74">
        <f t="shared" si="3"/>
        <v>80000</v>
      </c>
      <c r="O9032" s="65" t="str">
        <f>VLOOKUP(E9032,DATABASE!C:Q,8,false)</f>
        <v>IBU</v>
      </c>
      <c r="P9032" s="65">
        <f>VLOOKUP(E9032,DATABASE!C:Q,9,False)</f>
        <v>1</v>
      </c>
      <c r="Q9032" s="93" t="str">
        <f>VLOOKUP(E9032,DATABASE!C:Q,4,false)</f>
        <v>Bridgestone</v>
      </c>
      <c r="R9032" s="93" t="str">
        <f>VLOOKUP(E9032,DATABASE!C:Q,11,false)</f>
        <v>Tire</v>
      </c>
    </row>
    <row r="9033" ht="22.5" customHeight="1">
      <c r="A9033" s="49"/>
      <c r="C9033" s="400">
        <v>46185.0</v>
      </c>
      <c r="D9033" s="524">
        <v>18.0</v>
      </c>
      <c r="E9033" s="544" t="s">
        <v>262</v>
      </c>
      <c r="F9033" s="387">
        <v>1.0</v>
      </c>
      <c r="G9033" s="140">
        <v>130000.0</v>
      </c>
      <c r="H9033" s="74"/>
      <c r="I9033" s="74">
        <f t="shared" si="1"/>
        <v>130000</v>
      </c>
      <c r="J9033" s="74">
        <f>IF(E9033="SERVICE",I9033-(I9033*50%),Vlookup(E9033,DATABASE!C:Q,10,false)*F9033)</f>
        <v>5000</v>
      </c>
      <c r="K9033" s="74">
        <f>VLOOKUP(E9033,DATABASE!C:Q,7,false)</f>
        <v>0</v>
      </c>
      <c r="L9033" s="74">
        <v>0.0</v>
      </c>
      <c r="M9033" s="74">
        <f t="shared" si="6"/>
        <v>0</v>
      </c>
      <c r="N9033" s="74">
        <f t="shared" si="3"/>
        <v>125000</v>
      </c>
      <c r="O9033" s="65" t="str">
        <f>VLOOKUP(E9033,DATABASE!C:Q,8,false)</f>
        <v>IBU</v>
      </c>
      <c r="P9033" s="65">
        <f>VLOOKUP(E9033,DATABASE!C:Q,9,False)</f>
        <v>0</v>
      </c>
      <c r="Q9033" s="93" t="str">
        <f>VLOOKUP(E9033,DATABASE!C:Q,4,false)</f>
        <v>SPOORING SS/CARRY LOS BAK</v>
      </c>
      <c r="R9033" s="93" t="str">
        <f>VLOOKUP(E9033,DATABASE!C:Q,11,false)</f>
        <v>SERVICE</v>
      </c>
    </row>
    <row r="9034" ht="22.5" customHeight="1">
      <c r="A9034" s="49"/>
      <c r="C9034" s="400">
        <v>46185.0</v>
      </c>
      <c r="D9034" s="524">
        <v>18.0</v>
      </c>
      <c r="E9034" s="544" t="s">
        <v>478</v>
      </c>
      <c r="F9034" s="387">
        <v>1.0</v>
      </c>
      <c r="G9034" s="140">
        <v>200000.0</v>
      </c>
      <c r="H9034" s="74"/>
      <c r="I9034" s="74">
        <f t="shared" si="1"/>
        <v>200000</v>
      </c>
      <c r="J9034" s="74">
        <f>IF(E9034="SERVICE",I9034-(I9034*50%),Vlookup(E9034,DATABASE!C:Q,10,false)*F9034)</f>
        <v>25000</v>
      </c>
      <c r="K9034" s="74">
        <f>VLOOKUP(E9034,DATABASE!C:Q,7,false)</f>
        <v>75000</v>
      </c>
      <c r="L9034" s="74">
        <v>75000.0</v>
      </c>
      <c r="M9034" s="74">
        <f t="shared" si="6"/>
        <v>75000</v>
      </c>
      <c r="N9034" s="74">
        <f t="shared" si="3"/>
        <v>100000</v>
      </c>
      <c r="O9034" s="65" t="str">
        <f>VLOOKUP(E9034,DATABASE!C:Q,8,false)</f>
        <v>BIAN</v>
      </c>
      <c r="P9034" s="65">
        <f>VLOOKUP(E9034,DATABASE!C:Q,9,False)</f>
        <v>0</v>
      </c>
      <c r="Q9034" s="93" t="str">
        <f>VLOOKUP(E9034,DATABASE!C:Q,4,false)</f>
        <v>Baut Camber ss-carry</v>
      </c>
      <c r="R9034" s="93" t="str">
        <f>VLOOKUP(E9034,DATABASE!C:Q,11,false)</f>
        <v>COMPLEMENTARY</v>
      </c>
    </row>
    <row r="9035" ht="22.5" customHeight="1">
      <c r="A9035" s="49"/>
      <c r="C9035" s="400">
        <v>46185.0</v>
      </c>
      <c r="D9035" s="524">
        <v>18.0</v>
      </c>
      <c r="E9035" s="544" t="s">
        <v>305</v>
      </c>
      <c r="F9035" s="387">
        <v>1.0</v>
      </c>
      <c r="G9035" s="140">
        <v>240000.0</v>
      </c>
      <c r="H9035" s="74"/>
      <c r="I9035" s="74">
        <f t="shared" si="1"/>
        <v>240000</v>
      </c>
      <c r="J9035" s="74">
        <f>IF(E9035="SERVICE",I9035-(I9035*50%),Vlookup(E9035,DATABASE!C:Q,10,false)*F9035)</f>
        <v>40000</v>
      </c>
      <c r="K9035" s="74">
        <f>VLOOKUP(E9035,DATABASE!C:Q,7,false)</f>
        <v>158530.2</v>
      </c>
      <c r="L9035" s="74">
        <v>158530.2</v>
      </c>
      <c r="M9035" s="74">
        <f t="shared" si="6"/>
        <v>160000</v>
      </c>
      <c r="N9035" s="74">
        <f t="shared" si="3"/>
        <v>40000</v>
      </c>
      <c r="O9035" s="65" t="str">
        <f>VLOOKUP(E9035,DATABASE!C:Q,8,false)</f>
        <v>BIAN</v>
      </c>
      <c r="P9035" s="65">
        <f>VLOOKUP(E9035,DATABASE!C:Q,9,False)</f>
        <v>1</v>
      </c>
      <c r="Q9035" s="93" t="str">
        <f>VLOOKUP(E9035,DATABASE!C:Q,4,false)</f>
        <v>Lower Arm</v>
      </c>
      <c r="R9035" s="93" t="str">
        <f>VLOOKUP(E9035,DATABASE!C:Q,11,false)</f>
        <v>COMPLEMENTARY</v>
      </c>
    </row>
    <row r="9036" ht="22.5" customHeight="1">
      <c r="A9036" s="49"/>
      <c r="C9036" s="400">
        <v>46185.0</v>
      </c>
      <c r="D9036" s="524">
        <v>18.0</v>
      </c>
      <c r="E9036" s="544" t="s">
        <v>251</v>
      </c>
      <c r="F9036" s="387">
        <v>1.0</v>
      </c>
      <c r="G9036" s="140">
        <v>350000.0</v>
      </c>
      <c r="H9036" s="140">
        <v>230000.0</v>
      </c>
      <c r="I9036" s="74">
        <f t="shared" si="1"/>
        <v>120000</v>
      </c>
      <c r="J9036" s="74">
        <f>IF(E9036="SERVICE",I9036-(I9036*50%),Vlookup(E9036,DATABASE!C:Q,10,false)*F9036)</f>
        <v>60000</v>
      </c>
      <c r="K9036" s="74">
        <f>VLOOKUP(E9036,DATABASE!C:Q,7,false)</f>
        <v>0</v>
      </c>
      <c r="L9036" s="74">
        <v>0.0</v>
      </c>
      <c r="M9036" s="74">
        <f t="shared" si="6"/>
        <v>0</v>
      </c>
      <c r="N9036" s="74">
        <f t="shared" si="3"/>
        <v>60000</v>
      </c>
      <c r="O9036" s="65" t="str">
        <f>VLOOKUP(E9036,DATABASE!C:Q,8,false)</f>
        <v>IBU</v>
      </c>
      <c r="P9036" s="65">
        <f>VLOOKUP(E9036,DATABASE!C:Q,9,False)</f>
        <v>0</v>
      </c>
      <c r="Q9036" s="93" t="str">
        <f>VLOOKUP(E9036,DATABASE!C:Q,4,false)</f>
        <v>SERVICE</v>
      </c>
      <c r="R9036" s="93" t="str">
        <f>VLOOKUP(E9036,DATABASE!C:Q,11,false)</f>
        <v>SERVICE</v>
      </c>
    </row>
    <row r="9037" ht="22.5" customHeight="1">
      <c r="A9037" s="49"/>
      <c r="C9037" s="400">
        <v>46185.0</v>
      </c>
      <c r="D9037" s="524">
        <v>19.0</v>
      </c>
      <c r="E9037" s="544" t="s">
        <v>856</v>
      </c>
      <c r="F9037" s="387">
        <v>1.0</v>
      </c>
      <c r="G9037" s="140">
        <v>690000.0</v>
      </c>
      <c r="H9037" s="74"/>
      <c r="I9037" s="74">
        <f t="shared" si="1"/>
        <v>690000</v>
      </c>
      <c r="J9037" s="74">
        <f>IF(E9037="SERVICE",I9037-(I9037*50%),Vlookup(E9037,DATABASE!C:Q,10,false)*F9037)</f>
        <v>0</v>
      </c>
      <c r="K9037" s="74">
        <f>VLOOKUP(E9037,DATABASE!C:Q,7,false)</f>
        <v>615300</v>
      </c>
      <c r="L9037" s="74">
        <v>604200.0</v>
      </c>
      <c r="M9037" s="74">
        <f t="shared" si="6"/>
        <v>605000</v>
      </c>
      <c r="N9037" s="74">
        <f t="shared" si="3"/>
        <v>85000</v>
      </c>
      <c r="O9037" s="65" t="str">
        <f>VLOOKUP(E9037,DATABASE!C:Q,8,false)</f>
        <v>BIAN</v>
      </c>
      <c r="P9037" s="65">
        <f>VLOOKUP(E9037,DATABASE!C:Q,9,False)</f>
        <v>1</v>
      </c>
      <c r="Q9037" s="93" t="str">
        <f>VLOOKUP(E9037,DATABASE!C:Q,4,false)</f>
        <v>GT</v>
      </c>
      <c r="R9037" s="93" t="str">
        <f>VLOOKUP(E9037,DATABASE!C:Q,11,false)</f>
        <v>Tire</v>
      </c>
    </row>
    <row r="9038" ht="22.5" customHeight="1">
      <c r="A9038" s="49"/>
      <c r="C9038" s="400">
        <v>46185.0</v>
      </c>
      <c r="D9038" s="69" t="s">
        <v>2842</v>
      </c>
      <c r="E9038" s="544" t="s">
        <v>252</v>
      </c>
      <c r="F9038" s="387">
        <v>1.0</v>
      </c>
      <c r="G9038" s="140">
        <v>345000.0</v>
      </c>
      <c r="H9038" s="140">
        <v>5000.0</v>
      </c>
      <c r="I9038" s="74">
        <f t="shared" si="1"/>
        <v>340000</v>
      </c>
      <c r="J9038" s="74">
        <f>IF(E9038="SERVICE",I9038-(I9038*50%),Vlookup(E9038,DATABASE!C:Q,10,false)*F9038)</f>
        <v>0</v>
      </c>
      <c r="K9038" s="74">
        <f>VLOOKUP(E9038,DATABASE!C:Q,7,false)</f>
        <v>317518</v>
      </c>
      <c r="L9038" s="74">
        <v>294418.0</v>
      </c>
      <c r="M9038" s="74">
        <f t="shared" si="6"/>
        <v>295000</v>
      </c>
      <c r="N9038" s="74">
        <f t="shared" si="3"/>
        <v>45000</v>
      </c>
      <c r="O9038" s="65" t="str">
        <f>VLOOKUP(E9038,DATABASE!C:Q,8,false)</f>
        <v>NON</v>
      </c>
      <c r="P9038" s="65">
        <f>VLOOKUP(E9038,DATABASE!C:Q,9,False)</f>
        <v>0</v>
      </c>
      <c r="Q9038" s="93" t="str">
        <f>VLOOKUP(E9038,DATABASE!C:Q,4,false)</f>
        <v>Shell</v>
      </c>
      <c r="R9038" s="93" t="str">
        <f>VLOOKUP(E9038,DATABASE!C:Q,11,false)</f>
        <v>OIL</v>
      </c>
    </row>
    <row r="9039" ht="22.5" customHeight="1">
      <c r="A9039" s="29"/>
      <c r="C9039" s="400">
        <v>46185.0</v>
      </c>
      <c r="D9039" s="69" t="s">
        <v>2843</v>
      </c>
      <c r="E9039" s="544" t="s">
        <v>263</v>
      </c>
      <c r="F9039" s="387">
        <v>1.0</v>
      </c>
      <c r="G9039" s="140">
        <v>360000.0</v>
      </c>
      <c r="H9039" s="140">
        <v>10000.0</v>
      </c>
      <c r="I9039" s="74">
        <f t="shared" si="1"/>
        <v>350000</v>
      </c>
      <c r="J9039" s="74">
        <f>IF(E9039="SERVICE",I9039-(I9039*50%),Vlookup(E9039,DATABASE!C:Q,10,false)*F9039)</f>
        <v>0</v>
      </c>
      <c r="K9039" s="74">
        <f>VLOOKUP(E9039,DATABASE!C:Q,7,false)</f>
        <v>334916</v>
      </c>
      <c r="L9039" s="74">
        <v>307676.0</v>
      </c>
      <c r="M9039" s="74">
        <f t="shared" si="6"/>
        <v>310000</v>
      </c>
      <c r="N9039" s="74">
        <f t="shared" si="3"/>
        <v>40000</v>
      </c>
      <c r="O9039" s="65" t="str">
        <f>VLOOKUP(E9039,DATABASE!C:Q,8,false)</f>
        <v>NON</v>
      </c>
      <c r="P9039" s="65">
        <f>VLOOKUP(E9039,DATABASE!C:Q,9,False)</f>
        <v>0</v>
      </c>
      <c r="Q9039" s="93" t="str">
        <f>VLOOKUP(E9039,DATABASE!C:Q,4,false)</f>
        <v>Shell</v>
      </c>
      <c r="R9039" s="93" t="str">
        <f>VLOOKUP(E9039,DATABASE!C:Q,11,false)</f>
        <v>OIL</v>
      </c>
    </row>
    <row r="9040" ht="22.5" customHeight="1">
      <c r="A9040" s="49"/>
      <c r="C9040" s="400">
        <v>46185.0</v>
      </c>
      <c r="D9040" s="69" t="s">
        <v>2843</v>
      </c>
      <c r="E9040" s="544" t="s">
        <v>252</v>
      </c>
      <c r="F9040" s="387">
        <v>1.0</v>
      </c>
      <c r="G9040" s="140">
        <v>340000.0</v>
      </c>
      <c r="H9040" s="74"/>
      <c r="I9040" s="74">
        <f t="shared" si="1"/>
        <v>340000</v>
      </c>
      <c r="J9040" s="74">
        <f>IF(E9040="SERVICE",I9040-(I9040*50%),Vlookup(E9040,DATABASE!C:Q,10,false)*F9040)</f>
        <v>0</v>
      </c>
      <c r="K9040" s="74">
        <f>VLOOKUP(E9040,DATABASE!C:Q,7,false)</f>
        <v>317518</v>
      </c>
      <c r="L9040" s="74">
        <v>294418.0</v>
      </c>
      <c r="M9040" s="74">
        <f t="shared" si="6"/>
        <v>295000</v>
      </c>
      <c r="N9040" s="74">
        <f t="shared" si="3"/>
        <v>45000</v>
      </c>
      <c r="O9040" s="65" t="str">
        <f>VLOOKUP(E9040,DATABASE!C:Q,8,false)</f>
        <v>NON</v>
      </c>
      <c r="P9040" s="65">
        <f>VLOOKUP(E9040,DATABASE!C:Q,9,False)</f>
        <v>0</v>
      </c>
      <c r="Q9040" s="93" t="str">
        <f>VLOOKUP(E9040,DATABASE!C:Q,4,false)</f>
        <v>Shell</v>
      </c>
      <c r="R9040" s="93" t="str">
        <f>VLOOKUP(E9040,DATABASE!C:Q,11,false)</f>
        <v>OIL</v>
      </c>
    </row>
    <row r="9041" ht="22.5" customHeight="1">
      <c r="A9041" s="29"/>
      <c r="C9041" s="400">
        <v>46186.0</v>
      </c>
      <c r="D9041" s="524">
        <v>20.0</v>
      </c>
      <c r="E9041" s="544" t="s">
        <v>1112</v>
      </c>
      <c r="F9041" s="387">
        <v>2.0</v>
      </c>
      <c r="G9041" s="140">
        <v>1085000.0</v>
      </c>
      <c r="H9041" s="140">
        <v>85000.0</v>
      </c>
      <c r="I9041" s="74">
        <f t="shared" si="1"/>
        <v>2000000</v>
      </c>
      <c r="J9041" s="74">
        <f>IF(E9041="SERVICE",I9041-(I9041*50%),Vlookup(E9041,DATABASE!C:Q,10,false)*F9041)</f>
        <v>0</v>
      </c>
      <c r="K9041" s="74">
        <f>VLOOKUP(E9041,DATABASE!C:Q,7,false)</f>
        <v>980542.4</v>
      </c>
      <c r="L9041" s="74">
        <v>980542.4</v>
      </c>
      <c r="M9041" s="74">
        <f t="shared" si="6"/>
        <v>985000</v>
      </c>
      <c r="N9041" s="74">
        <f t="shared" si="3"/>
        <v>30000</v>
      </c>
      <c r="O9041" s="65" t="str">
        <f>VLOOKUP(E9041,DATABASE!C:Q,8,false)</f>
        <v>IBU</v>
      </c>
      <c r="P9041" s="65">
        <f>VLOOKUP(E9041,DATABASE!C:Q,9,False)</f>
        <v>1</v>
      </c>
      <c r="Q9041" s="93" t="str">
        <f>VLOOKUP(E9041,DATABASE!C:Q,4,false)</f>
        <v>Bridgestone</v>
      </c>
      <c r="R9041" s="93" t="str">
        <f>VLOOKUP(E9041,DATABASE!C:Q,11,false)</f>
        <v>Tire</v>
      </c>
    </row>
    <row r="9042" ht="22.5" customHeight="1">
      <c r="A9042" s="29"/>
      <c r="C9042" s="400">
        <v>46186.0</v>
      </c>
      <c r="D9042" s="524">
        <v>20.0</v>
      </c>
      <c r="E9042" s="544" t="s">
        <v>256</v>
      </c>
      <c r="F9042" s="387">
        <v>1.0</v>
      </c>
      <c r="G9042" s="140">
        <v>175000.0</v>
      </c>
      <c r="H9042" s="140">
        <v>25000.0</v>
      </c>
      <c r="I9042" s="74">
        <f t="shared" si="1"/>
        <v>150000</v>
      </c>
      <c r="J9042" s="74">
        <f>IF(E9042="SERVICE",I9042-(I9042*50%),Vlookup(E9042,DATABASE!C:Q,10,false)*F9042)</f>
        <v>10000</v>
      </c>
      <c r="K9042" s="74">
        <f>VLOOKUP(E9042,DATABASE!C:Q,7,false)</f>
        <v>0</v>
      </c>
      <c r="L9042" s="74">
        <v>0.0</v>
      </c>
      <c r="M9042" s="74">
        <f t="shared" si="6"/>
        <v>0</v>
      </c>
      <c r="N9042" s="74">
        <f t="shared" si="3"/>
        <v>140000</v>
      </c>
      <c r="O9042" s="65" t="str">
        <f>VLOOKUP(E9042,DATABASE!C:Q,8,false)</f>
        <v>IBU</v>
      </c>
      <c r="P9042" s="65">
        <f>VLOOKUP(E9042,DATABASE!C:Q,9,False)</f>
        <v>0</v>
      </c>
      <c r="Q9042" s="93" t="str">
        <f>VLOOKUP(E9042,DATABASE!C:Q,4,false)</f>
        <v>SPOORING</v>
      </c>
      <c r="R9042" s="93" t="str">
        <f>VLOOKUP(E9042,DATABASE!C:Q,11,false)</f>
        <v>SERVICE</v>
      </c>
    </row>
    <row r="9043" ht="22.5" customHeight="1">
      <c r="A9043" s="49"/>
      <c r="C9043" s="400">
        <v>46186.0</v>
      </c>
      <c r="D9043" s="524">
        <v>21.0</v>
      </c>
      <c r="E9043" s="544" t="s">
        <v>305</v>
      </c>
      <c r="F9043" s="387">
        <v>1.0</v>
      </c>
      <c r="G9043" s="140">
        <v>240000.0</v>
      </c>
      <c r="H9043" s="74"/>
      <c r="I9043" s="74">
        <f t="shared" si="1"/>
        <v>240000</v>
      </c>
      <c r="J9043" s="74">
        <f>IF(E9043="SERVICE",I9043-(I9043*50%),Vlookup(E9043,DATABASE!C:Q,10,false)*F9043)</f>
        <v>40000</v>
      </c>
      <c r="K9043" s="74">
        <f>VLOOKUP(E9043,DATABASE!C:Q,7,false)</f>
        <v>158530.2</v>
      </c>
      <c r="L9043" s="74">
        <v>158530.2</v>
      </c>
      <c r="M9043" s="74">
        <f t="shared" si="6"/>
        <v>160000</v>
      </c>
      <c r="N9043" s="74">
        <f t="shared" si="3"/>
        <v>40000</v>
      </c>
      <c r="O9043" s="65" t="str">
        <f>VLOOKUP(E9043,DATABASE!C:Q,8,false)</f>
        <v>BIAN</v>
      </c>
      <c r="P9043" s="65">
        <f>VLOOKUP(E9043,DATABASE!C:Q,9,False)</f>
        <v>1</v>
      </c>
      <c r="Q9043" s="93" t="str">
        <f>VLOOKUP(E9043,DATABASE!C:Q,4,false)</f>
        <v>Lower Arm</v>
      </c>
      <c r="R9043" s="93" t="str">
        <f>VLOOKUP(E9043,DATABASE!C:Q,11,false)</f>
        <v>COMPLEMENTARY</v>
      </c>
    </row>
    <row r="9044" ht="22.5" customHeight="1">
      <c r="A9044" s="49"/>
      <c r="C9044" s="400">
        <v>46186.0</v>
      </c>
      <c r="D9044" s="524">
        <v>21.0</v>
      </c>
      <c r="E9044" s="544" t="s">
        <v>262</v>
      </c>
      <c r="F9044" s="387">
        <v>1.0</v>
      </c>
      <c r="G9044" s="140">
        <v>130000.0</v>
      </c>
      <c r="H9044" s="74"/>
      <c r="I9044" s="74">
        <f t="shared" si="1"/>
        <v>130000</v>
      </c>
      <c r="J9044" s="74">
        <f>IF(E9044="SERVICE",I9044-(I9044*50%),Vlookup(E9044,DATABASE!C:Q,10,false)*F9044)</f>
        <v>5000</v>
      </c>
      <c r="K9044" s="74">
        <f>VLOOKUP(E9044,DATABASE!C:Q,7,false)</f>
        <v>0</v>
      </c>
      <c r="L9044" s="74">
        <v>0.0</v>
      </c>
      <c r="M9044" s="74">
        <f t="shared" si="6"/>
        <v>0</v>
      </c>
      <c r="N9044" s="74">
        <f t="shared" si="3"/>
        <v>125000</v>
      </c>
      <c r="O9044" s="65" t="str">
        <f>VLOOKUP(E9044,DATABASE!C:Q,8,false)</f>
        <v>IBU</v>
      </c>
      <c r="P9044" s="65">
        <f>VLOOKUP(E9044,DATABASE!C:Q,9,False)</f>
        <v>0</v>
      </c>
      <c r="Q9044" s="93" t="str">
        <f>VLOOKUP(E9044,DATABASE!C:Q,4,false)</f>
        <v>SPOORING SS/CARRY LOS BAK</v>
      </c>
      <c r="R9044" s="93" t="str">
        <f>VLOOKUP(E9044,DATABASE!C:Q,11,false)</f>
        <v>SERVICE</v>
      </c>
    </row>
    <row r="9045" ht="22.5" customHeight="1">
      <c r="A9045" s="49"/>
      <c r="C9045" s="400">
        <v>46186.0</v>
      </c>
      <c r="D9045" s="524">
        <v>21.0</v>
      </c>
      <c r="E9045" s="544" t="s">
        <v>251</v>
      </c>
      <c r="F9045" s="387">
        <v>1.0</v>
      </c>
      <c r="G9045" s="140">
        <v>350000.0</v>
      </c>
      <c r="H9045" s="140">
        <v>200000.0</v>
      </c>
      <c r="I9045" s="74">
        <f t="shared" si="1"/>
        <v>150000</v>
      </c>
      <c r="J9045" s="74">
        <f>IF(E9045="SERVICE",I9045-(I9045*50%),Vlookup(E9045,DATABASE!C:Q,10,false)*F9045)</f>
        <v>75000</v>
      </c>
      <c r="K9045" s="74">
        <f>VLOOKUP(E9045,DATABASE!C:Q,7,false)</f>
        <v>0</v>
      </c>
      <c r="L9045" s="74">
        <v>0.0</v>
      </c>
      <c r="M9045" s="74">
        <f t="shared" si="6"/>
        <v>0</v>
      </c>
      <c r="N9045" s="74">
        <f t="shared" si="3"/>
        <v>75000</v>
      </c>
      <c r="O9045" s="65" t="str">
        <f>VLOOKUP(E9045,DATABASE!C:Q,8,false)</f>
        <v>IBU</v>
      </c>
      <c r="P9045" s="65">
        <f>VLOOKUP(E9045,DATABASE!C:Q,9,False)</f>
        <v>0</v>
      </c>
      <c r="Q9045" s="93" t="str">
        <f>VLOOKUP(E9045,DATABASE!C:Q,4,false)</f>
        <v>SERVICE</v>
      </c>
      <c r="R9045" s="93" t="str">
        <f>VLOOKUP(E9045,DATABASE!C:Q,11,false)</f>
        <v>SERVICE</v>
      </c>
    </row>
    <row r="9046" ht="22.5" customHeight="1">
      <c r="A9046" s="49"/>
      <c r="C9046" s="400">
        <v>46186.0</v>
      </c>
      <c r="D9046" s="524">
        <v>22.0</v>
      </c>
      <c r="E9046" s="544" t="s">
        <v>932</v>
      </c>
      <c r="F9046" s="387">
        <v>2.0</v>
      </c>
      <c r="G9046" s="140">
        <v>690000.0</v>
      </c>
      <c r="H9046" s="140"/>
      <c r="I9046" s="74">
        <f t="shared" si="1"/>
        <v>1380000</v>
      </c>
      <c r="J9046" s="74">
        <f>IF(E9046="SERVICE",I9046-(I9046*50%),Vlookup(E9046,DATABASE!C:Q,10,false)*F9046)</f>
        <v>0</v>
      </c>
      <c r="K9046" s="74">
        <f>VLOOKUP(E9046,DATABASE!C:Q,7,false)</f>
        <v>601000</v>
      </c>
      <c r="L9046" s="74">
        <v>601000.0</v>
      </c>
      <c r="M9046" s="74">
        <f t="shared" si="6"/>
        <v>605000</v>
      </c>
      <c r="N9046" s="74">
        <f t="shared" si="3"/>
        <v>170000</v>
      </c>
      <c r="O9046" s="65" t="str">
        <f>VLOOKUP(E9046,DATABASE!C:Q,8,false)</f>
        <v>IBU</v>
      </c>
      <c r="P9046" s="65">
        <f>VLOOKUP(E9046,DATABASE!C:Q,9,False)</f>
        <v>1</v>
      </c>
      <c r="Q9046" s="93" t="str">
        <f>VLOOKUP(E9046,DATABASE!C:Q,4,false)</f>
        <v>Dunlop</v>
      </c>
      <c r="R9046" s="93" t="str">
        <f>VLOOKUP(E9046,DATABASE!C:Q,11,false)</f>
        <v>Tire</v>
      </c>
    </row>
    <row r="9047" ht="22.5" customHeight="1">
      <c r="A9047" s="49"/>
      <c r="C9047" s="400">
        <v>46186.0</v>
      </c>
      <c r="D9047" s="524">
        <v>23.0</v>
      </c>
      <c r="E9047" s="544" t="s">
        <v>301</v>
      </c>
      <c r="F9047" s="387">
        <v>1.0</v>
      </c>
      <c r="G9047" s="140">
        <v>250000.0</v>
      </c>
      <c r="H9047" s="74"/>
      <c r="I9047" s="74">
        <f t="shared" si="1"/>
        <v>250000</v>
      </c>
      <c r="J9047" s="74">
        <f>IF(E9047="SERVICE",I9047-(I9047*50%),Vlookup(E9047,DATABASE!C:Q,10,false)*F9047)</f>
        <v>75000</v>
      </c>
      <c r="K9047" s="74">
        <f>VLOOKUP(E9047,DATABASE!C:Q,7,false)</f>
        <v>75000</v>
      </c>
      <c r="L9047" s="74">
        <v>75000.0</v>
      </c>
      <c r="M9047" s="74">
        <f t="shared" si="6"/>
        <v>75000</v>
      </c>
      <c r="N9047" s="74">
        <f t="shared" si="3"/>
        <v>100000</v>
      </c>
      <c r="O9047" s="65" t="str">
        <f>VLOOKUP(E9047,DATABASE!C:Q,8,false)</f>
        <v>BIAN</v>
      </c>
      <c r="P9047" s="65">
        <f>VLOOKUP(E9047,DATABASE!C:Q,9,False)</f>
        <v>0</v>
      </c>
      <c r="Q9047" s="93" t="str">
        <f>VLOOKUP(E9047,DATABASE!C:Q,4,false)</f>
        <v>Baut Camber</v>
      </c>
      <c r="R9047" s="93" t="str">
        <f>VLOOKUP(E9047,DATABASE!C:Q,11,false)</f>
        <v>COMPLEMENTARY</v>
      </c>
    </row>
    <row r="9048" ht="22.5" customHeight="1">
      <c r="A9048" s="49"/>
      <c r="C9048" s="400">
        <v>46186.0</v>
      </c>
      <c r="D9048" s="524">
        <v>24.0</v>
      </c>
      <c r="E9048" s="544" t="s">
        <v>256</v>
      </c>
      <c r="F9048" s="387">
        <v>1.0</v>
      </c>
      <c r="G9048" s="140">
        <v>175000.0</v>
      </c>
      <c r="H9048" s="140">
        <v>25000.0</v>
      </c>
      <c r="I9048" s="74">
        <f t="shared" si="1"/>
        <v>150000</v>
      </c>
      <c r="J9048" s="74">
        <f>IF(E9048="SERVICE",I9048-(I9048*50%),Vlookup(E9048,DATABASE!C:Q,10,false)*F9048)</f>
        <v>10000</v>
      </c>
      <c r="K9048" s="74">
        <f>VLOOKUP(E9048,DATABASE!C:Q,7,false)</f>
        <v>0</v>
      </c>
      <c r="L9048" s="74">
        <v>0.0</v>
      </c>
      <c r="M9048" s="74">
        <f t="shared" si="6"/>
        <v>0</v>
      </c>
      <c r="N9048" s="74">
        <f t="shared" si="3"/>
        <v>140000</v>
      </c>
      <c r="O9048" s="65" t="str">
        <f>VLOOKUP(E9048,DATABASE!C:Q,8,false)</f>
        <v>IBU</v>
      </c>
      <c r="P9048" s="65">
        <f>VLOOKUP(E9048,DATABASE!C:Q,9,False)</f>
        <v>0</v>
      </c>
      <c r="Q9048" s="93" t="str">
        <f>VLOOKUP(E9048,DATABASE!C:Q,4,false)</f>
        <v>SPOORING</v>
      </c>
      <c r="R9048" s="93" t="str">
        <f>VLOOKUP(E9048,DATABASE!C:Q,11,false)</f>
        <v>SERVICE</v>
      </c>
    </row>
    <row r="9049" ht="22.5" customHeight="1">
      <c r="A9049" s="49"/>
      <c r="C9049" s="400">
        <v>46186.0</v>
      </c>
      <c r="D9049" s="524">
        <v>24.0</v>
      </c>
      <c r="E9049" s="544" t="s">
        <v>301</v>
      </c>
      <c r="F9049" s="387">
        <v>1.0</v>
      </c>
      <c r="G9049" s="140">
        <v>250000.0</v>
      </c>
      <c r="H9049" s="74"/>
      <c r="I9049" s="74">
        <f t="shared" si="1"/>
        <v>250000</v>
      </c>
      <c r="J9049" s="74">
        <f>IF(E9049="SERVICE",I9049-(I9049*50%),Vlookup(E9049,DATABASE!C:Q,10,false)*F9049)</f>
        <v>75000</v>
      </c>
      <c r="K9049" s="74">
        <f>VLOOKUP(E9049,DATABASE!C:Q,7,false)</f>
        <v>75000</v>
      </c>
      <c r="L9049" s="74">
        <v>75000.0</v>
      </c>
      <c r="M9049" s="74">
        <f t="shared" si="6"/>
        <v>75000</v>
      </c>
      <c r="N9049" s="74">
        <f t="shared" si="3"/>
        <v>100000</v>
      </c>
      <c r="O9049" s="65" t="str">
        <f>VLOOKUP(E9049,DATABASE!C:Q,8,false)</f>
        <v>BIAN</v>
      </c>
      <c r="P9049" s="65">
        <f>VLOOKUP(E9049,DATABASE!C:Q,9,False)</f>
        <v>0</v>
      </c>
      <c r="Q9049" s="93" t="str">
        <f>VLOOKUP(E9049,DATABASE!C:Q,4,false)</f>
        <v>Baut Camber</v>
      </c>
      <c r="R9049" s="93" t="str">
        <f>VLOOKUP(E9049,DATABASE!C:Q,11,false)</f>
        <v>COMPLEMENTARY</v>
      </c>
    </row>
    <row r="9050" ht="22.5" customHeight="1">
      <c r="A9050" s="49"/>
      <c r="C9050" s="400">
        <v>46186.0</v>
      </c>
      <c r="D9050" s="524">
        <v>25.0</v>
      </c>
      <c r="E9050" s="544" t="s">
        <v>1009</v>
      </c>
      <c r="F9050" s="387">
        <v>2.0</v>
      </c>
      <c r="G9050" s="140">
        <v>700000.0</v>
      </c>
      <c r="H9050" s="74"/>
      <c r="I9050" s="74">
        <f t="shared" si="1"/>
        <v>1400000</v>
      </c>
      <c r="J9050" s="74">
        <f>IF(E9050="SERVICE",I9050-(I9050*50%),Vlookup(E9050,DATABASE!C:Q,10,false)*F9050)</f>
        <v>0</v>
      </c>
      <c r="K9050" s="74">
        <f>VLOOKUP(E9050,DATABASE!C:Q,7,false)</f>
        <v>609800</v>
      </c>
      <c r="L9050" s="74">
        <v>609800.0</v>
      </c>
      <c r="M9050" s="74">
        <f t="shared" si="6"/>
        <v>610000</v>
      </c>
      <c r="N9050" s="74">
        <f t="shared" si="3"/>
        <v>180000</v>
      </c>
      <c r="O9050" s="65" t="str">
        <f>VLOOKUP(E9050,DATABASE!C:Q,8,false)</f>
        <v>BIAN</v>
      </c>
      <c r="P9050" s="65">
        <f>VLOOKUP(E9050,DATABASE!C:Q,9,False)</f>
        <v>1</v>
      </c>
      <c r="Q9050" s="93" t="str">
        <f>VLOOKUP(E9050,DATABASE!C:Q,4,false)</f>
        <v>GT</v>
      </c>
      <c r="R9050" s="93" t="str">
        <f>VLOOKUP(E9050,DATABASE!C:Q,11,false)</f>
        <v>Tire</v>
      </c>
    </row>
    <row r="9051" ht="22.5" customHeight="1">
      <c r="A9051" s="49"/>
      <c r="C9051" s="400">
        <v>46186.0</v>
      </c>
      <c r="D9051" s="524">
        <v>26.0</v>
      </c>
      <c r="E9051" s="544" t="s">
        <v>591</v>
      </c>
      <c r="F9051" s="387">
        <v>1.0</v>
      </c>
      <c r="G9051" s="140">
        <v>710000.0</v>
      </c>
      <c r="H9051" s="140">
        <v>10000.0</v>
      </c>
      <c r="I9051" s="74">
        <f t="shared" si="1"/>
        <v>700000</v>
      </c>
      <c r="J9051" s="74">
        <f>IF(E9051="SERVICE",I9051-(I9051*50%),Vlookup(E9051,DATABASE!C:Q,10,false)*F9051)</f>
        <v>0</v>
      </c>
      <c r="K9051" s="74">
        <f>VLOOKUP(E9051,DATABASE!C:Q,7,false)</f>
        <v>633035.16</v>
      </c>
      <c r="L9051" s="74">
        <v>609844.375</v>
      </c>
      <c r="M9051" s="74">
        <f t="shared" si="6"/>
        <v>610000</v>
      </c>
      <c r="N9051" s="74">
        <f t="shared" si="3"/>
        <v>90000</v>
      </c>
      <c r="O9051" s="65" t="str">
        <f>VLOOKUP(E9051,DATABASE!C:Q,8,false)</f>
        <v>IBU</v>
      </c>
      <c r="P9051" s="65">
        <f>VLOOKUP(E9051,DATABASE!C:Q,9,False)</f>
        <v>1</v>
      </c>
      <c r="Q9051" s="93" t="str">
        <f>VLOOKUP(E9051,DATABASE!C:Q,4,false)</f>
        <v>Bridgestone</v>
      </c>
      <c r="R9051" s="93" t="str">
        <f>VLOOKUP(E9051,DATABASE!C:Q,11,false)</f>
        <v>Tire</v>
      </c>
    </row>
    <row r="9052" ht="22.5" customHeight="1">
      <c r="A9052" s="49"/>
      <c r="C9052" s="400">
        <v>46186.0</v>
      </c>
      <c r="D9052" s="524">
        <v>27.0</v>
      </c>
      <c r="E9052" s="544" t="s">
        <v>287</v>
      </c>
      <c r="F9052" s="387">
        <v>2.0</v>
      </c>
      <c r="G9052" s="140">
        <v>800000.0</v>
      </c>
      <c r="H9052" s="74"/>
      <c r="I9052" s="74">
        <f t="shared" si="1"/>
        <v>1600000</v>
      </c>
      <c r="J9052" s="74">
        <f>IF(E9052="SERVICE",I9052-(I9052*50%),Vlookup(E9052,DATABASE!C:Q,10,false)*F9052)</f>
        <v>0</v>
      </c>
      <c r="K9052" s="74">
        <f>VLOOKUP(E9052,DATABASE!C:Q,7,false)</f>
        <v>711000</v>
      </c>
      <c r="L9052" s="74">
        <v>711000.0</v>
      </c>
      <c r="M9052" s="74">
        <f t="shared" si="6"/>
        <v>715000</v>
      </c>
      <c r="N9052" s="74">
        <f t="shared" si="3"/>
        <v>170000</v>
      </c>
      <c r="O9052" s="65" t="str">
        <f>VLOOKUP(E9052,DATABASE!C:Q,8,false)</f>
        <v>BIAN</v>
      </c>
      <c r="P9052" s="65">
        <f>VLOOKUP(E9052,DATABASE!C:Q,9,False)</f>
        <v>1</v>
      </c>
      <c r="Q9052" s="93" t="str">
        <f>VLOOKUP(E9052,DATABASE!C:Q,4,false)</f>
        <v>GT</v>
      </c>
      <c r="R9052" s="93" t="str">
        <f>VLOOKUP(E9052,DATABASE!C:Q,11,false)</f>
        <v>Tire</v>
      </c>
    </row>
    <row r="9053" ht="22.5" customHeight="1">
      <c r="A9053" s="49"/>
      <c r="C9053" s="400">
        <v>46186.0</v>
      </c>
      <c r="D9053" s="524">
        <v>27.0</v>
      </c>
      <c r="E9053" s="544" t="s">
        <v>262</v>
      </c>
      <c r="F9053" s="387">
        <v>1.0</v>
      </c>
      <c r="G9053" s="140">
        <v>175000.0</v>
      </c>
      <c r="H9053" s="140">
        <v>25000.0</v>
      </c>
      <c r="I9053" s="74">
        <f t="shared" si="1"/>
        <v>150000</v>
      </c>
      <c r="J9053" s="74">
        <f>IF(E9053="SERVICE",I9053-(I9053*50%),Vlookup(E9053,DATABASE!C:Q,10,false)*F9053)</f>
        <v>5000</v>
      </c>
      <c r="K9053" s="74">
        <f>VLOOKUP(E9053,DATABASE!C:Q,7,false)</f>
        <v>0</v>
      </c>
      <c r="L9053" s="74">
        <v>0.0</v>
      </c>
      <c r="M9053" s="74">
        <f t="shared" si="6"/>
        <v>0</v>
      </c>
      <c r="N9053" s="74">
        <f t="shared" si="3"/>
        <v>145000</v>
      </c>
      <c r="O9053" s="65" t="str">
        <f>VLOOKUP(E9053,DATABASE!C:Q,8,false)</f>
        <v>IBU</v>
      </c>
      <c r="P9053" s="65">
        <f>VLOOKUP(E9053,DATABASE!C:Q,9,False)</f>
        <v>0</v>
      </c>
      <c r="Q9053" s="93" t="str">
        <f>VLOOKUP(E9053,DATABASE!C:Q,4,false)</f>
        <v>SPOORING SS/CARRY LOS BAK</v>
      </c>
      <c r="R9053" s="93" t="str">
        <f>VLOOKUP(E9053,DATABASE!C:Q,11,false)</f>
        <v>SERVICE</v>
      </c>
    </row>
    <row r="9054" ht="22.5" customHeight="1">
      <c r="A9054" s="49"/>
      <c r="C9054" s="400">
        <v>46186.0</v>
      </c>
      <c r="D9054" s="524">
        <v>28.0</v>
      </c>
      <c r="E9054" s="544" t="s">
        <v>299</v>
      </c>
      <c r="F9054" s="387">
        <v>2.0</v>
      </c>
      <c r="G9054" s="140">
        <v>30000.0</v>
      </c>
      <c r="H9054" s="74"/>
      <c r="I9054" s="74">
        <f t="shared" si="1"/>
        <v>60000</v>
      </c>
      <c r="J9054" s="74">
        <f>IF(E9054="SERVICE",I9054-(I9054*50%),Vlookup(E9054,DATABASE!C:Q,10,false)*F9054)</f>
        <v>0</v>
      </c>
      <c r="K9054" s="74">
        <f>VLOOKUP(E9054,DATABASE!C:Q,7,false)</f>
        <v>10000</v>
      </c>
      <c r="L9054" s="74">
        <v>10000.0</v>
      </c>
      <c r="M9054" s="74">
        <f t="shared" si="6"/>
        <v>10000</v>
      </c>
      <c r="N9054" s="74">
        <f t="shared" si="3"/>
        <v>40000</v>
      </c>
      <c r="O9054" s="65" t="str">
        <f>VLOOKUP(E9054,DATABASE!C:Q,8,false)</f>
        <v>BIAN</v>
      </c>
      <c r="P9054" s="65">
        <f>VLOOKUP(E9054,DATABASE!C:Q,9,False)</f>
        <v>0</v>
      </c>
      <c r="Q9054" s="93" t="str">
        <f>VLOOKUP(E9054,DATABASE!C:Q,4,false)</f>
        <v>Balancing</v>
      </c>
      <c r="R9054" s="93" t="str">
        <f>VLOOKUP(E9054,DATABASE!C:Q,11,false)</f>
        <v>COMPLEMENTARY</v>
      </c>
    </row>
    <row r="9055" ht="22.5" customHeight="1">
      <c r="A9055" s="49"/>
      <c r="C9055" s="400">
        <v>46186.0</v>
      </c>
      <c r="D9055" s="69" t="s">
        <v>2844</v>
      </c>
      <c r="E9055" s="544" t="s">
        <v>2191</v>
      </c>
      <c r="F9055" s="387">
        <v>1.0</v>
      </c>
      <c r="G9055" s="140">
        <v>430000.0</v>
      </c>
      <c r="H9055" s="74"/>
      <c r="I9055" s="74">
        <f t="shared" si="1"/>
        <v>430000</v>
      </c>
      <c r="J9055" s="74">
        <f>IF(E9055="SERVICE",I9055-(I9055*50%),Vlookup(E9055,DATABASE!C:Q,10,false)*F9055)</f>
        <v>0</v>
      </c>
      <c r="K9055" s="74">
        <f>VLOOKUP(E9055,DATABASE!C:Q,7,false)</f>
        <v>422900</v>
      </c>
      <c r="L9055" s="74">
        <v>380400.0</v>
      </c>
      <c r="M9055" s="74">
        <f t="shared" si="6"/>
        <v>385000</v>
      </c>
      <c r="N9055" s="74">
        <f t="shared" si="3"/>
        <v>45000</v>
      </c>
      <c r="O9055" s="65" t="str">
        <f>VLOOKUP(E9055,DATABASE!C:Q,8,false)</f>
        <v>NON</v>
      </c>
      <c r="P9055" s="65">
        <f>VLOOKUP(E9055,DATABASE!C:Q,9,False)</f>
        <v>0</v>
      </c>
      <c r="Q9055" s="93" t="str">
        <f>VLOOKUP(E9055,DATABASE!C:Q,4,false)</f>
        <v>Shell</v>
      </c>
      <c r="R9055" s="93" t="str">
        <f>VLOOKUP(E9055,DATABASE!C:Q,11,false)</f>
        <v>OIL</v>
      </c>
    </row>
    <row r="9056" ht="22.5" customHeight="1">
      <c r="A9056" s="49"/>
      <c r="C9056" s="400">
        <v>46186.0</v>
      </c>
      <c r="D9056" s="69" t="s">
        <v>2845</v>
      </c>
      <c r="E9056" s="544" t="s">
        <v>252</v>
      </c>
      <c r="F9056" s="387">
        <v>1.0</v>
      </c>
      <c r="G9056" s="140">
        <v>345000.0</v>
      </c>
      <c r="H9056" s="140">
        <v>5000.0</v>
      </c>
      <c r="I9056" s="74">
        <f t="shared" si="1"/>
        <v>340000</v>
      </c>
      <c r="J9056" s="74">
        <f>IF(E9056="SERVICE",I9056-(I9056*50%),Vlookup(E9056,DATABASE!C:Q,10,false)*F9056)</f>
        <v>0</v>
      </c>
      <c r="K9056" s="74">
        <f>VLOOKUP(E9056,DATABASE!C:Q,7,false)</f>
        <v>317518</v>
      </c>
      <c r="L9056" s="74">
        <v>294418.0</v>
      </c>
      <c r="M9056" s="74">
        <f t="shared" si="6"/>
        <v>295000</v>
      </c>
      <c r="N9056" s="74">
        <f t="shared" si="3"/>
        <v>45000</v>
      </c>
      <c r="O9056" s="65" t="str">
        <f>VLOOKUP(E9056,DATABASE!C:Q,8,false)</f>
        <v>NON</v>
      </c>
      <c r="P9056" s="65">
        <f>VLOOKUP(E9056,DATABASE!C:Q,9,False)</f>
        <v>0</v>
      </c>
      <c r="Q9056" s="93" t="str">
        <f>VLOOKUP(E9056,DATABASE!C:Q,4,false)</f>
        <v>Shell</v>
      </c>
      <c r="R9056" s="93" t="str">
        <f>VLOOKUP(E9056,DATABASE!C:Q,11,false)</f>
        <v>OIL</v>
      </c>
    </row>
    <row r="9057" ht="22.5" customHeight="1">
      <c r="A9057" s="49"/>
      <c r="C9057" s="400">
        <v>46186.0</v>
      </c>
      <c r="D9057" s="69" t="s">
        <v>2845</v>
      </c>
      <c r="E9057" s="544" t="s">
        <v>298</v>
      </c>
      <c r="F9057" s="387">
        <v>1.0</v>
      </c>
      <c r="G9057" s="140">
        <v>25000.0</v>
      </c>
      <c r="H9057" s="74"/>
      <c r="I9057" s="74">
        <f t="shared" si="1"/>
        <v>25000</v>
      </c>
      <c r="J9057" s="74">
        <f>IF(E9057="SERVICE",I9057-(I9057*50%),Vlookup(E9057,DATABASE!C:Q,10,false)*F9057)</f>
        <v>0</v>
      </c>
      <c r="K9057" s="74">
        <f>VLOOKUP(E9057,DATABASE!C:Q,7,false)</f>
        <v>19200</v>
      </c>
      <c r="L9057" s="74">
        <v>19200.0</v>
      </c>
      <c r="M9057" s="74">
        <f t="shared" si="6"/>
        <v>20000</v>
      </c>
      <c r="N9057" s="74">
        <f t="shared" si="3"/>
        <v>5000</v>
      </c>
      <c r="O9057" s="65" t="str">
        <f>VLOOKUP(E9057,DATABASE!C:Q,8,false)</f>
        <v>BIAN</v>
      </c>
      <c r="P9057" s="65">
        <f>VLOOKUP(E9057,DATABASE!C:Q,9,False)</f>
        <v>0</v>
      </c>
      <c r="Q9057" s="93" t="str">
        <f>VLOOKUP(E9057,DATABASE!C:Q,4,false)</f>
        <v>Aspira</v>
      </c>
      <c r="R9057" s="93" t="str">
        <f>VLOOKUP(E9057,DATABASE!C:Q,11,false)</f>
        <v>COMPLEMENTARY</v>
      </c>
    </row>
    <row r="9058" ht="22.5" customHeight="1">
      <c r="A9058" s="49"/>
      <c r="C9058" s="400">
        <v>46188.0</v>
      </c>
      <c r="D9058" s="524">
        <v>29.0</v>
      </c>
      <c r="E9058" s="544" t="s">
        <v>531</v>
      </c>
      <c r="F9058" s="387">
        <v>1.0</v>
      </c>
      <c r="G9058" s="140">
        <v>100000.0</v>
      </c>
      <c r="H9058" s="140">
        <v>30000.0</v>
      </c>
      <c r="I9058" s="74">
        <f t="shared" si="1"/>
        <v>70000</v>
      </c>
      <c r="J9058" s="74">
        <f>IF(E9058="SERVICE",I9058-(I9058*50%),Vlookup(E9058,DATABASE!C:Q,10,false)*F9058)</f>
        <v>0</v>
      </c>
      <c r="K9058" s="74">
        <f>VLOOKUP(E9058,DATABASE!C:Q,7,false)</f>
        <v>47000</v>
      </c>
      <c r="L9058" s="74">
        <v>47000.0</v>
      </c>
      <c r="M9058" s="74">
        <f t="shared" si="6"/>
        <v>50000</v>
      </c>
      <c r="N9058" s="74">
        <f t="shared" si="3"/>
        <v>20000</v>
      </c>
      <c r="O9058" s="65" t="str">
        <f>VLOOKUP(E9058,DATABASE!C:Q,8,false)</f>
        <v>BIAN</v>
      </c>
      <c r="P9058" s="65">
        <f>VLOOKUP(E9058,DATABASE!C:Q,9,False)</f>
        <v>1</v>
      </c>
      <c r="Q9058" s="93" t="str">
        <f>VLOOKUP(E9058,DATABASE!C:Q,4,false)</f>
        <v>BD</v>
      </c>
      <c r="R9058" s="93" t="str">
        <f>VLOOKUP(E9058,DATABASE!C:Q,11,false)</f>
        <v>Tire</v>
      </c>
    </row>
    <row r="9059" ht="22.5" customHeight="1">
      <c r="A9059" s="49"/>
      <c r="C9059" s="400">
        <v>46188.0</v>
      </c>
      <c r="D9059" s="524">
        <v>30.0</v>
      </c>
      <c r="E9059" s="544" t="s">
        <v>294</v>
      </c>
      <c r="F9059" s="387">
        <v>1.0</v>
      </c>
      <c r="G9059" s="140">
        <v>590000.0</v>
      </c>
      <c r="H9059" s="74"/>
      <c r="I9059" s="74">
        <f t="shared" si="1"/>
        <v>590000</v>
      </c>
      <c r="J9059" s="74">
        <f>IF(E9059="SERVICE",I9059-(I9059*50%),Vlookup(E9059,DATABASE!C:Q,10,false)*F9059)</f>
        <v>0</v>
      </c>
      <c r="K9059" s="74">
        <f>VLOOKUP(E9059,DATABASE!C:Q,7,false)</f>
        <v>505000</v>
      </c>
      <c r="L9059" s="74">
        <v>505000.0</v>
      </c>
      <c r="M9059" s="74">
        <f t="shared" si="6"/>
        <v>505000</v>
      </c>
      <c r="N9059" s="74">
        <f t="shared" si="3"/>
        <v>85000</v>
      </c>
      <c r="O9059" s="65" t="str">
        <f>VLOOKUP(E9059,DATABASE!C:Q,8,false)</f>
        <v>BIAN</v>
      </c>
      <c r="P9059" s="65">
        <f>VLOOKUP(E9059,DATABASE!C:Q,9,False)</f>
        <v>1</v>
      </c>
      <c r="Q9059" s="93" t="str">
        <f>VLOOKUP(E9059,DATABASE!C:Q,4,false)</f>
        <v>GT</v>
      </c>
      <c r="R9059" s="93" t="str">
        <f>VLOOKUP(E9059,DATABASE!C:Q,11,false)</f>
        <v>Tire</v>
      </c>
    </row>
    <row r="9060" ht="22.5" customHeight="1">
      <c r="A9060" s="49"/>
      <c r="C9060" s="400">
        <v>46188.0</v>
      </c>
      <c r="D9060" s="524">
        <v>31.0</v>
      </c>
      <c r="E9060" s="544" t="s">
        <v>569</v>
      </c>
      <c r="F9060" s="387">
        <v>1.0</v>
      </c>
      <c r="G9060" s="140">
        <v>80000.0</v>
      </c>
      <c r="H9060" s="74"/>
      <c r="I9060" s="74">
        <f t="shared" si="1"/>
        <v>80000</v>
      </c>
      <c r="J9060" s="74">
        <f>IF(E9060="SERVICE",I9060-(I9060*50%),Vlookup(E9060,DATABASE!C:Q,10,false)*F9060)</f>
        <v>0</v>
      </c>
      <c r="K9060" s="74">
        <f>VLOOKUP(E9060,DATABASE!C:Q,7,false)</f>
        <v>45439.582</v>
      </c>
      <c r="L9060" s="74">
        <v>45439.582</v>
      </c>
      <c r="M9060" s="74">
        <f t="shared" si="6"/>
        <v>50000</v>
      </c>
      <c r="N9060" s="74">
        <f t="shared" si="3"/>
        <v>30000</v>
      </c>
      <c r="O9060" s="65" t="str">
        <f>VLOOKUP(E9060,DATABASE!C:Q,8,false)</f>
        <v>BIAN</v>
      </c>
      <c r="P9060" s="65">
        <f>VLOOKUP(E9060,DATABASE!C:Q,9,False)</f>
        <v>1</v>
      </c>
      <c r="Q9060" s="93" t="str">
        <f>VLOOKUP(E9060,DATABASE!C:Q,4,false)</f>
        <v>BD</v>
      </c>
      <c r="R9060" s="93" t="str">
        <f>VLOOKUP(E9060,DATABASE!C:Q,11,false)</f>
        <v>Tire</v>
      </c>
    </row>
    <row r="9061" ht="22.5" customHeight="1">
      <c r="A9061" s="49"/>
      <c r="C9061" s="400">
        <v>46188.0</v>
      </c>
      <c r="D9061" s="524">
        <v>32.0</v>
      </c>
      <c r="E9061" s="544" t="s">
        <v>262</v>
      </c>
      <c r="F9061" s="387">
        <v>1.0</v>
      </c>
      <c r="G9061" s="140">
        <v>130000.0</v>
      </c>
      <c r="H9061" s="74"/>
      <c r="I9061" s="74">
        <f t="shared" si="1"/>
        <v>130000</v>
      </c>
      <c r="J9061" s="74">
        <f>IF(E9061="SERVICE",I9061-(I9061*50%),Vlookup(E9061,DATABASE!C:Q,10,false)*F9061)</f>
        <v>5000</v>
      </c>
      <c r="K9061" s="74">
        <f>VLOOKUP(E9061,DATABASE!C:Q,7,false)</f>
        <v>0</v>
      </c>
      <c r="L9061" s="74">
        <v>0.0</v>
      </c>
      <c r="M9061" s="74">
        <f t="shared" si="6"/>
        <v>0</v>
      </c>
      <c r="N9061" s="74">
        <f t="shared" si="3"/>
        <v>125000</v>
      </c>
      <c r="O9061" s="65" t="str">
        <f>VLOOKUP(E9061,DATABASE!C:Q,8,false)</f>
        <v>IBU</v>
      </c>
      <c r="P9061" s="65">
        <f>VLOOKUP(E9061,DATABASE!C:Q,9,False)</f>
        <v>0</v>
      </c>
      <c r="Q9061" s="93" t="str">
        <f>VLOOKUP(E9061,DATABASE!C:Q,4,false)</f>
        <v>SPOORING SS/CARRY LOS BAK</v>
      </c>
      <c r="R9061" s="93" t="str">
        <f>VLOOKUP(E9061,DATABASE!C:Q,11,false)</f>
        <v>SERVICE</v>
      </c>
    </row>
    <row r="9062" ht="22.5" customHeight="1">
      <c r="A9062" s="49"/>
      <c r="C9062" s="400">
        <v>46188.0</v>
      </c>
      <c r="D9062" s="69">
        <v>33.0</v>
      </c>
      <c r="E9062" s="544" t="s">
        <v>1009</v>
      </c>
      <c r="F9062" s="387">
        <v>4.0</v>
      </c>
      <c r="G9062" s="140">
        <v>700000.0</v>
      </c>
      <c r="H9062" s="74"/>
      <c r="I9062" s="74">
        <f t="shared" si="1"/>
        <v>2800000</v>
      </c>
      <c r="J9062" s="74">
        <f>IF(E9062="SERVICE",I9062-(I9062*50%),Vlookup(E9062,DATABASE!C:Q,10,false)*F9062)</f>
        <v>0</v>
      </c>
      <c r="K9062" s="74">
        <f>VLOOKUP(E9062,DATABASE!C:Q,7,false)</f>
        <v>609800</v>
      </c>
      <c r="L9062" s="74">
        <v>609800.0</v>
      </c>
      <c r="M9062" s="74">
        <f t="shared" si="6"/>
        <v>610000</v>
      </c>
      <c r="N9062" s="74">
        <f t="shared" si="3"/>
        <v>360000</v>
      </c>
      <c r="O9062" s="65" t="str">
        <f>VLOOKUP(E9062,DATABASE!C:Q,8,false)</f>
        <v>BIAN</v>
      </c>
      <c r="P9062" s="65">
        <f>VLOOKUP(E9062,DATABASE!C:Q,9,False)</f>
        <v>1</v>
      </c>
      <c r="Q9062" s="93" t="str">
        <f>VLOOKUP(E9062,DATABASE!C:Q,4,false)</f>
        <v>GT</v>
      </c>
      <c r="R9062" s="93" t="str">
        <f>VLOOKUP(E9062,DATABASE!C:Q,11,false)</f>
        <v>Tire</v>
      </c>
    </row>
    <row r="9063" ht="22.5" customHeight="1">
      <c r="A9063" s="49"/>
      <c r="C9063" s="400">
        <v>46188.0</v>
      </c>
      <c r="D9063" s="69">
        <v>34.0</v>
      </c>
      <c r="E9063" s="544" t="s">
        <v>262</v>
      </c>
      <c r="F9063" s="387">
        <v>1.0</v>
      </c>
      <c r="G9063" s="140">
        <v>130000.0</v>
      </c>
      <c r="H9063" s="74"/>
      <c r="I9063" s="74">
        <f t="shared" si="1"/>
        <v>130000</v>
      </c>
      <c r="J9063" s="74">
        <f>IF(E9063="SERVICE",I9063-(I9063*50%),Vlookup(E9063,DATABASE!C:Q,10,false)*F9063)</f>
        <v>5000</v>
      </c>
      <c r="K9063" s="74">
        <f>VLOOKUP(E9063,DATABASE!C:Q,7,false)</f>
        <v>0</v>
      </c>
      <c r="L9063" s="74">
        <v>0.0</v>
      </c>
      <c r="M9063" s="74">
        <f t="shared" si="6"/>
        <v>0</v>
      </c>
      <c r="N9063" s="74">
        <f t="shared" si="3"/>
        <v>125000</v>
      </c>
      <c r="O9063" s="65" t="str">
        <f>VLOOKUP(E9063,DATABASE!C:Q,8,false)</f>
        <v>IBU</v>
      </c>
      <c r="P9063" s="65">
        <f>VLOOKUP(E9063,DATABASE!C:Q,9,False)</f>
        <v>0</v>
      </c>
      <c r="Q9063" s="93" t="str">
        <f>VLOOKUP(E9063,DATABASE!C:Q,4,false)</f>
        <v>SPOORING SS/CARRY LOS BAK</v>
      </c>
      <c r="R9063" s="93" t="str">
        <f>VLOOKUP(E9063,DATABASE!C:Q,11,false)</f>
        <v>SERVICE</v>
      </c>
    </row>
    <row r="9064" ht="22.5" customHeight="1">
      <c r="A9064" s="49"/>
      <c r="C9064" s="400">
        <v>46188.0</v>
      </c>
      <c r="D9064" s="69">
        <v>34.0</v>
      </c>
      <c r="E9064" s="544" t="s">
        <v>251</v>
      </c>
      <c r="F9064" s="387">
        <v>1.0</v>
      </c>
      <c r="G9064" s="140">
        <v>150000.0</v>
      </c>
      <c r="H9064" s="74"/>
      <c r="I9064" s="74">
        <f t="shared" si="1"/>
        <v>150000</v>
      </c>
      <c r="J9064" s="74">
        <f>IF(E9064="SERVICE",I9064-(I9064*50%),Vlookup(E9064,DATABASE!C:Q,10,false)*F9064)</f>
        <v>75000</v>
      </c>
      <c r="K9064" s="74">
        <f>VLOOKUP(E9064,DATABASE!C:Q,7,false)</f>
        <v>0</v>
      </c>
      <c r="L9064" s="74">
        <v>0.0</v>
      </c>
      <c r="M9064" s="74">
        <f t="shared" si="6"/>
        <v>0</v>
      </c>
      <c r="N9064" s="74">
        <f t="shared" si="3"/>
        <v>75000</v>
      </c>
      <c r="O9064" s="65" t="str">
        <f>VLOOKUP(E9064,DATABASE!C:Q,8,false)</f>
        <v>IBU</v>
      </c>
      <c r="P9064" s="65">
        <f>VLOOKUP(E9064,DATABASE!C:Q,9,False)</f>
        <v>0</v>
      </c>
      <c r="Q9064" s="93" t="str">
        <f>VLOOKUP(E9064,DATABASE!C:Q,4,false)</f>
        <v>SERVICE</v>
      </c>
      <c r="R9064" s="93" t="str">
        <f>VLOOKUP(E9064,DATABASE!C:Q,11,false)</f>
        <v>SERVICE</v>
      </c>
    </row>
    <row r="9065" ht="22.5" customHeight="1">
      <c r="A9065" s="49"/>
      <c r="C9065" s="400">
        <v>46188.0</v>
      </c>
      <c r="D9065" s="69">
        <v>35.0</v>
      </c>
      <c r="E9065" s="544" t="s">
        <v>265</v>
      </c>
      <c r="F9065" s="387">
        <v>1.0</v>
      </c>
      <c r="G9065" s="140">
        <v>700000.0</v>
      </c>
      <c r="H9065" s="74"/>
      <c r="I9065" s="74">
        <f t="shared" si="1"/>
        <v>700000</v>
      </c>
      <c r="J9065" s="74">
        <f>IF(E9065="SERVICE",I9065-(I9065*50%),Vlookup(E9065,DATABASE!C:Q,10,false)*F9065)</f>
        <v>0</v>
      </c>
      <c r="K9065" s="74">
        <f>VLOOKUP(E9065,DATABASE!C:Q,7,false)</f>
        <v>628000</v>
      </c>
      <c r="L9065" s="74">
        <v>610000.0</v>
      </c>
      <c r="M9065" s="74">
        <f t="shared" si="6"/>
        <v>610000</v>
      </c>
      <c r="N9065" s="74">
        <f t="shared" si="3"/>
        <v>90000</v>
      </c>
      <c r="O9065" s="65" t="str">
        <f>VLOOKUP(E9065,DATABASE!C:Q,8,false)</f>
        <v>IBU</v>
      </c>
      <c r="P9065" s="65">
        <f>VLOOKUP(E9065,DATABASE!C:Q,9,False)</f>
        <v>1</v>
      </c>
      <c r="Q9065" s="93" t="str">
        <f>VLOOKUP(E9065,DATABASE!C:Q,4,false)</f>
        <v>Dunlop</v>
      </c>
      <c r="R9065" s="93" t="str">
        <f>VLOOKUP(E9065,DATABASE!C:Q,11,false)</f>
        <v>Tire</v>
      </c>
    </row>
    <row r="9066" ht="22.5" customHeight="1">
      <c r="A9066" s="49"/>
      <c r="C9066" s="400">
        <v>46188.0</v>
      </c>
      <c r="D9066" s="69">
        <v>35.0</v>
      </c>
      <c r="E9066" s="544" t="s">
        <v>262</v>
      </c>
      <c r="F9066" s="387">
        <v>1.0</v>
      </c>
      <c r="G9066" s="140">
        <v>130000.0</v>
      </c>
      <c r="H9066" s="74"/>
      <c r="I9066" s="74">
        <f t="shared" si="1"/>
        <v>130000</v>
      </c>
      <c r="J9066" s="74">
        <f>IF(E9066="SERVICE",I9066-(I9066*50%),Vlookup(E9066,DATABASE!C:Q,10,false)*F9066)</f>
        <v>5000</v>
      </c>
      <c r="K9066" s="74">
        <f>VLOOKUP(E9066,DATABASE!C:Q,7,false)</f>
        <v>0</v>
      </c>
      <c r="L9066" s="74">
        <v>0.0</v>
      </c>
      <c r="M9066" s="74">
        <f t="shared" si="6"/>
        <v>0</v>
      </c>
      <c r="N9066" s="74">
        <f t="shared" si="3"/>
        <v>125000</v>
      </c>
      <c r="O9066" s="65" t="str">
        <f>VLOOKUP(E9066,DATABASE!C:Q,8,false)</f>
        <v>IBU</v>
      </c>
      <c r="P9066" s="65">
        <f>VLOOKUP(E9066,DATABASE!C:Q,9,False)</f>
        <v>0</v>
      </c>
      <c r="Q9066" s="93" t="str">
        <f>VLOOKUP(E9066,DATABASE!C:Q,4,false)</f>
        <v>SPOORING SS/CARRY LOS BAK</v>
      </c>
      <c r="R9066" s="93" t="str">
        <f>VLOOKUP(E9066,DATABASE!C:Q,11,false)</f>
        <v>SERVICE</v>
      </c>
    </row>
    <row r="9067" ht="22.5" customHeight="1">
      <c r="A9067" s="49"/>
      <c r="C9067" s="400">
        <v>46188.0</v>
      </c>
      <c r="D9067" s="69">
        <v>35.0</v>
      </c>
      <c r="E9067" s="544" t="s">
        <v>251</v>
      </c>
      <c r="F9067" s="387">
        <v>1.0</v>
      </c>
      <c r="G9067" s="140">
        <v>200000.0</v>
      </c>
      <c r="H9067" s="74"/>
      <c r="I9067" s="74">
        <f t="shared" si="1"/>
        <v>200000</v>
      </c>
      <c r="J9067" s="74">
        <f>IF(E9067="SERVICE",I9067-(I9067*50%),Vlookup(E9067,DATABASE!C:Q,10,false)*F9067)</f>
        <v>100000</v>
      </c>
      <c r="K9067" s="74">
        <f>VLOOKUP(E9067,DATABASE!C:Q,7,false)</f>
        <v>0</v>
      </c>
      <c r="L9067" s="74">
        <v>0.0</v>
      </c>
      <c r="M9067" s="74">
        <f t="shared" si="6"/>
        <v>0</v>
      </c>
      <c r="N9067" s="74">
        <f t="shared" si="3"/>
        <v>100000</v>
      </c>
      <c r="O9067" s="65" t="str">
        <f>VLOOKUP(E9067,DATABASE!C:Q,8,false)</f>
        <v>IBU</v>
      </c>
      <c r="P9067" s="65">
        <f>VLOOKUP(E9067,DATABASE!C:Q,9,False)</f>
        <v>0</v>
      </c>
      <c r="Q9067" s="93" t="str">
        <f>VLOOKUP(E9067,DATABASE!C:Q,4,false)</f>
        <v>SERVICE</v>
      </c>
      <c r="R9067" s="93" t="str">
        <f>VLOOKUP(E9067,DATABASE!C:Q,11,false)</f>
        <v>SERVICE</v>
      </c>
    </row>
    <row r="9068" ht="22.5" customHeight="1">
      <c r="A9068" s="49"/>
      <c r="C9068" s="400">
        <v>46188.0</v>
      </c>
      <c r="D9068" s="69">
        <v>37.0</v>
      </c>
      <c r="E9068" s="544" t="s">
        <v>777</v>
      </c>
      <c r="F9068" s="387">
        <v>1.0</v>
      </c>
      <c r="G9068" s="140">
        <v>600000.0</v>
      </c>
      <c r="H9068" s="74"/>
      <c r="I9068" s="74">
        <f t="shared" si="1"/>
        <v>600000</v>
      </c>
      <c r="J9068" s="74">
        <f>IF(E9068="SERVICE",I9068-(I9068*50%),Vlookup(E9068,DATABASE!C:Q,10,false)*F9068)</f>
        <v>0</v>
      </c>
      <c r="K9068" s="74">
        <f>VLOOKUP(E9068,DATABASE!C:Q,7,false)</f>
        <v>540000</v>
      </c>
      <c r="L9068" s="74">
        <v>520000.0</v>
      </c>
      <c r="M9068" s="74">
        <f t="shared" si="6"/>
        <v>520000</v>
      </c>
      <c r="N9068" s="74">
        <f t="shared" si="3"/>
        <v>80000</v>
      </c>
      <c r="O9068" s="65" t="str">
        <f>VLOOKUP(E9068,DATABASE!C:Q,8,false)</f>
        <v>BIAN</v>
      </c>
      <c r="P9068" s="65">
        <f>VLOOKUP(E9068,DATABASE!C:Q,9,False)</f>
        <v>1</v>
      </c>
      <c r="Q9068" s="93" t="str">
        <f>VLOOKUP(E9068,DATABASE!C:Q,4,false)</f>
        <v>GT</v>
      </c>
      <c r="R9068" s="93" t="str">
        <f>VLOOKUP(E9068,DATABASE!C:Q,11,false)</f>
        <v>Tire</v>
      </c>
    </row>
    <row r="9069" ht="22.5" customHeight="1">
      <c r="A9069" s="49"/>
      <c r="C9069" s="400">
        <v>46188.0</v>
      </c>
      <c r="D9069" s="69">
        <v>37.0</v>
      </c>
      <c r="E9069" s="544" t="s">
        <v>250</v>
      </c>
      <c r="F9069" s="387">
        <v>1.0</v>
      </c>
      <c r="G9069" s="140">
        <v>135000.0</v>
      </c>
      <c r="H9069" s="74"/>
      <c r="I9069" s="74">
        <f t="shared" si="1"/>
        <v>135000</v>
      </c>
      <c r="J9069" s="74">
        <f>IF(E9069="SERVICE",I9069-(I9069*50%),Vlookup(E9069,DATABASE!C:Q,10,false)*F9069)</f>
        <v>0</v>
      </c>
      <c r="K9069" s="74">
        <f>VLOOKUP(E9069,DATABASE!C:Q,7,false)</f>
        <v>102000</v>
      </c>
      <c r="L9069" s="74">
        <v>102000.0</v>
      </c>
      <c r="M9069" s="74">
        <f t="shared" si="6"/>
        <v>105000</v>
      </c>
      <c r="N9069" s="74">
        <f t="shared" si="3"/>
        <v>30000</v>
      </c>
      <c r="O9069" s="65" t="str">
        <f>VLOOKUP(E9069,DATABASE!C:Q,8,false)</f>
        <v>BIAN</v>
      </c>
      <c r="P9069" s="65">
        <f>VLOOKUP(E9069,DATABASE!C:Q,9,False)</f>
        <v>1</v>
      </c>
      <c r="Q9069" s="93" t="str">
        <f>VLOOKUP(E9069,DATABASE!C:Q,4,false)</f>
        <v>BD</v>
      </c>
      <c r="R9069" s="93" t="str">
        <f>VLOOKUP(E9069,DATABASE!C:Q,11,false)</f>
        <v>Tire</v>
      </c>
    </row>
    <row r="9070" ht="22.5" customHeight="1">
      <c r="A9070" s="49"/>
      <c r="C9070" s="400">
        <v>46188.0</v>
      </c>
      <c r="D9070" s="69">
        <v>38.0</v>
      </c>
      <c r="E9070" s="544" t="s">
        <v>781</v>
      </c>
      <c r="F9070" s="387">
        <v>2.0</v>
      </c>
      <c r="G9070" s="140">
        <v>535000.0</v>
      </c>
      <c r="H9070" s="74"/>
      <c r="I9070" s="74">
        <f t="shared" si="1"/>
        <v>1070000</v>
      </c>
      <c r="J9070" s="74">
        <f>IF(E9070="SERVICE",I9070-(I9070*50%),Vlookup(E9070,DATABASE!C:Q,10,false)*F9070)</f>
        <v>0</v>
      </c>
      <c r="K9070" s="74">
        <f>VLOOKUP(E9070,DATABASE!C:Q,7,false)</f>
        <v>470000</v>
      </c>
      <c r="L9070" s="140">
        <v>450000.0</v>
      </c>
      <c r="M9070" s="74">
        <f t="shared" si="6"/>
        <v>450000</v>
      </c>
      <c r="N9070" s="74">
        <f t="shared" si="3"/>
        <v>170000</v>
      </c>
      <c r="O9070" s="65" t="str">
        <f>VLOOKUP(E9070,DATABASE!C:Q,8,false)</f>
        <v>BIAN</v>
      </c>
      <c r="P9070" s="65">
        <f>VLOOKUP(E9070,DATABASE!C:Q,9,False)</f>
        <v>1</v>
      </c>
      <c r="Q9070" s="93" t="str">
        <f>VLOOKUP(E9070,DATABASE!C:Q,4,false)</f>
        <v>GT</v>
      </c>
      <c r="R9070" s="93" t="str">
        <f>VLOOKUP(E9070,DATABASE!C:Q,11,false)</f>
        <v>Tire</v>
      </c>
    </row>
    <row r="9071" ht="22.5" customHeight="1">
      <c r="A9071" s="49"/>
      <c r="C9071" s="400">
        <v>46189.0</v>
      </c>
      <c r="D9071" s="524">
        <v>38.0</v>
      </c>
      <c r="E9071" s="544" t="s">
        <v>268</v>
      </c>
      <c r="F9071" s="387">
        <v>1.0</v>
      </c>
      <c r="G9071" s="140">
        <v>720000.0</v>
      </c>
      <c r="H9071" s="74"/>
      <c r="I9071" s="74">
        <f t="shared" si="1"/>
        <v>720000</v>
      </c>
      <c r="J9071" s="74">
        <f>IF(E9071="SERVICE",I9071-(I9071*50%),Vlookup(E9071,DATABASE!C:Q,10,false)*F9071)</f>
        <v>0</v>
      </c>
      <c r="K9071" s="74">
        <f>VLOOKUP(E9071,DATABASE!C:Q,7,false)</f>
        <v>653000</v>
      </c>
      <c r="L9071" s="74">
        <v>634500.0</v>
      </c>
      <c r="M9071" s="74">
        <f t="shared" si="6"/>
        <v>635000</v>
      </c>
      <c r="N9071" s="74">
        <f t="shared" si="3"/>
        <v>85000</v>
      </c>
      <c r="O9071" s="65" t="str">
        <f>VLOOKUP(E9071,DATABASE!C:Q,8,false)</f>
        <v>IBU</v>
      </c>
      <c r="P9071" s="65">
        <f>VLOOKUP(E9071,DATABASE!C:Q,9,False)</f>
        <v>1</v>
      </c>
      <c r="Q9071" s="93" t="str">
        <f>VLOOKUP(E9071,DATABASE!C:Q,4,false)</f>
        <v>Dunlop</v>
      </c>
      <c r="R9071" s="93" t="str">
        <f>VLOOKUP(E9071,DATABASE!C:Q,11,false)</f>
        <v>Tire</v>
      </c>
    </row>
    <row r="9072" ht="22.5" customHeight="1">
      <c r="A9072" s="49"/>
      <c r="C9072" s="400">
        <v>46189.0</v>
      </c>
      <c r="D9072" s="524">
        <v>39.0</v>
      </c>
      <c r="E9072" s="544" t="s">
        <v>614</v>
      </c>
      <c r="F9072" s="387">
        <v>1.0</v>
      </c>
      <c r="G9072" s="140">
        <v>830000.0</v>
      </c>
      <c r="H9072" s="74"/>
      <c r="I9072" s="74">
        <f t="shared" si="1"/>
        <v>830000</v>
      </c>
      <c r="J9072" s="74">
        <f>IF(E9072="SERVICE",I9072-(I9072*50%),Vlookup(E9072,DATABASE!C:Q,10,false)*F9072)</f>
        <v>0</v>
      </c>
      <c r="K9072" s="74">
        <f>VLOOKUP(E9072,DATABASE!C:Q,7,false)</f>
        <v>754660.6</v>
      </c>
      <c r="L9072" s="74">
        <v>727756.0</v>
      </c>
      <c r="M9072" s="74">
        <f t="shared" si="6"/>
        <v>730000</v>
      </c>
      <c r="N9072" s="74">
        <f t="shared" si="3"/>
        <v>100000</v>
      </c>
      <c r="O9072" s="65" t="str">
        <f>VLOOKUP(E9072,DATABASE!C:Q,8,false)</f>
        <v>IBU</v>
      </c>
      <c r="P9072" s="65">
        <f>VLOOKUP(E9072,DATABASE!C:Q,9,False)</f>
        <v>1</v>
      </c>
      <c r="Q9072" s="93" t="str">
        <f>VLOOKUP(E9072,DATABASE!C:Q,4,false)</f>
        <v>Bridgestone</v>
      </c>
      <c r="R9072" s="93" t="str">
        <f>VLOOKUP(E9072,DATABASE!C:Q,11,false)</f>
        <v>Tire</v>
      </c>
    </row>
    <row r="9073" ht="22.5" customHeight="1">
      <c r="A9073" s="49"/>
      <c r="C9073" s="400">
        <v>46189.0</v>
      </c>
      <c r="D9073" s="524">
        <v>40.0</v>
      </c>
      <c r="E9073" s="544" t="s">
        <v>868</v>
      </c>
      <c r="F9073" s="387">
        <v>3.0</v>
      </c>
      <c r="G9073" s="140">
        <v>950000.0</v>
      </c>
      <c r="H9073" s="140">
        <v>10000.0</v>
      </c>
      <c r="I9073" s="74">
        <f t="shared" si="1"/>
        <v>2820000</v>
      </c>
      <c r="J9073" s="74">
        <f>IF(E9073="SERVICE",I9073-(I9073*50%),Vlookup(E9073,DATABASE!C:Q,10,false)*F9073)</f>
        <v>0</v>
      </c>
      <c r="K9073" s="74">
        <f>VLOOKUP(E9073,DATABASE!C:Q,7,false)</f>
        <v>861200</v>
      </c>
      <c r="L9073" s="74">
        <v>836000.0</v>
      </c>
      <c r="M9073" s="74">
        <f t="shared" si="6"/>
        <v>840000</v>
      </c>
      <c r="N9073" s="74">
        <f t="shared" si="3"/>
        <v>300000</v>
      </c>
      <c r="O9073" s="65" t="str">
        <f>VLOOKUP(E9073,DATABASE!C:Q,8,false)</f>
        <v>BIAN</v>
      </c>
      <c r="P9073" s="65">
        <f>VLOOKUP(E9073,DATABASE!C:Q,9,False)</f>
        <v>1</v>
      </c>
      <c r="Q9073" s="93" t="str">
        <f>VLOOKUP(E9073,DATABASE!C:Q,4,false)</f>
        <v>GT</v>
      </c>
      <c r="R9073" s="93" t="str">
        <f>VLOOKUP(E9073,DATABASE!C:Q,11,false)</f>
        <v>Tire</v>
      </c>
    </row>
    <row r="9074" ht="22.5" customHeight="1">
      <c r="A9074" s="49"/>
      <c r="C9074" s="400">
        <v>46189.0</v>
      </c>
      <c r="D9074" s="524">
        <v>40.0</v>
      </c>
      <c r="E9074" s="544" t="s">
        <v>299</v>
      </c>
      <c r="F9074" s="387">
        <v>2.0</v>
      </c>
      <c r="G9074" s="140">
        <v>30000.0</v>
      </c>
      <c r="H9074" s="74"/>
      <c r="I9074" s="74">
        <f t="shared" si="1"/>
        <v>60000</v>
      </c>
      <c r="J9074" s="74">
        <f>IF(E9074="SERVICE",I9074-(I9074*50%),Vlookup(E9074,DATABASE!C:Q,10,false)*F9074)</f>
        <v>0</v>
      </c>
      <c r="K9074" s="74">
        <f>VLOOKUP(E9074,DATABASE!C:Q,7,false)</f>
        <v>10000</v>
      </c>
      <c r="L9074" s="74">
        <v>10000.0</v>
      </c>
      <c r="M9074" s="74">
        <f t="shared" si="6"/>
        <v>10000</v>
      </c>
      <c r="N9074" s="74">
        <f t="shared" si="3"/>
        <v>40000</v>
      </c>
      <c r="O9074" s="65" t="str">
        <f>VLOOKUP(E9074,DATABASE!C:Q,8,false)</f>
        <v>BIAN</v>
      </c>
      <c r="P9074" s="65">
        <f>VLOOKUP(E9074,DATABASE!C:Q,9,False)</f>
        <v>0</v>
      </c>
      <c r="Q9074" s="93" t="str">
        <f>VLOOKUP(E9074,DATABASE!C:Q,4,false)</f>
        <v>Balancing</v>
      </c>
      <c r="R9074" s="93" t="str">
        <f>VLOOKUP(E9074,DATABASE!C:Q,11,false)</f>
        <v>COMPLEMENTARY</v>
      </c>
    </row>
    <row r="9075" ht="22.5" customHeight="1">
      <c r="A9075" s="49"/>
      <c r="C9075" s="400">
        <v>46189.0</v>
      </c>
      <c r="D9075" s="524">
        <v>40.0</v>
      </c>
      <c r="E9075" s="544" t="s">
        <v>256</v>
      </c>
      <c r="F9075" s="387">
        <v>1.0</v>
      </c>
      <c r="G9075" s="140">
        <v>175000.0</v>
      </c>
      <c r="H9075" s="140">
        <v>25000.0</v>
      </c>
      <c r="I9075" s="74">
        <f t="shared" si="1"/>
        <v>150000</v>
      </c>
      <c r="J9075" s="74">
        <f>IF(E9075="SERVICE",I9075-(I9075*50%),Vlookup(E9075,DATABASE!C:Q,10,false)*F9075)</f>
        <v>10000</v>
      </c>
      <c r="K9075" s="74">
        <f>VLOOKUP(E9075,DATABASE!C:Q,7,false)</f>
        <v>0</v>
      </c>
      <c r="L9075" s="74">
        <v>0.0</v>
      </c>
      <c r="M9075" s="74">
        <f t="shared" si="6"/>
        <v>0</v>
      </c>
      <c r="N9075" s="74">
        <f t="shared" si="3"/>
        <v>140000</v>
      </c>
      <c r="O9075" s="65" t="str">
        <f>VLOOKUP(E9075,DATABASE!C:Q,8,false)</f>
        <v>IBU</v>
      </c>
      <c r="P9075" s="65">
        <f>VLOOKUP(E9075,DATABASE!C:Q,9,False)</f>
        <v>0</v>
      </c>
      <c r="Q9075" s="93" t="str">
        <f>VLOOKUP(E9075,DATABASE!C:Q,4,false)</f>
        <v>SPOORING</v>
      </c>
      <c r="R9075" s="93" t="str">
        <f>VLOOKUP(E9075,DATABASE!C:Q,11,false)</f>
        <v>SERVICE</v>
      </c>
    </row>
    <row r="9076" ht="22.5" customHeight="1">
      <c r="A9076" s="49"/>
      <c r="C9076" s="400">
        <v>46189.0</v>
      </c>
      <c r="D9076" s="524">
        <v>40.0</v>
      </c>
      <c r="E9076" s="544" t="s">
        <v>301</v>
      </c>
      <c r="F9076" s="387">
        <v>1.0</v>
      </c>
      <c r="G9076" s="140">
        <v>250000.0</v>
      </c>
      <c r="H9076" s="74"/>
      <c r="I9076" s="74">
        <f t="shared" si="1"/>
        <v>250000</v>
      </c>
      <c r="J9076" s="74">
        <f>IF(E9076="SERVICE",I9076-(I9076*50%),Vlookup(E9076,DATABASE!C:Q,10,false)*F9076)</f>
        <v>75000</v>
      </c>
      <c r="K9076" s="74">
        <f>VLOOKUP(E9076,DATABASE!C:Q,7,false)</f>
        <v>75000</v>
      </c>
      <c r="L9076" s="74">
        <v>75000.0</v>
      </c>
      <c r="M9076" s="74">
        <f t="shared" si="6"/>
        <v>75000</v>
      </c>
      <c r="N9076" s="74">
        <f t="shared" si="3"/>
        <v>100000</v>
      </c>
      <c r="O9076" s="65" t="str">
        <f>VLOOKUP(E9076,DATABASE!C:Q,8,false)</f>
        <v>BIAN</v>
      </c>
      <c r="P9076" s="65">
        <f>VLOOKUP(E9076,DATABASE!C:Q,9,False)</f>
        <v>0</v>
      </c>
      <c r="Q9076" s="93" t="str">
        <f>VLOOKUP(E9076,DATABASE!C:Q,4,false)</f>
        <v>Baut Camber</v>
      </c>
      <c r="R9076" s="93" t="str">
        <f>VLOOKUP(E9076,DATABASE!C:Q,11,false)</f>
        <v>COMPLEMENTARY</v>
      </c>
    </row>
    <row r="9077" ht="22.5" customHeight="1">
      <c r="A9077" s="49"/>
      <c r="C9077" s="400">
        <v>46189.0</v>
      </c>
      <c r="D9077" s="524">
        <v>41.0</v>
      </c>
      <c r="E9077" s="544" t="s">
        <v>613</v>
      </c>
      <c r="F9077" s="387">
        <v>1.0</v>
      </c>
      <c r="G9077" s="140">
        <v>100000.0</v>
      </c>
      <c r="H9077" s="74"/>
      <c r="I9077" s="74">
        <f t="shared" si="1"/>
        <v>100000</v>
      </c>
      <c r="J9077" s="74">
        <f>IF(E9077="SERVICE",I9077-(I9077*50%),Vlookup(E9077,DATABASE!C:Q,10,false)*F9077)</f>
        <v>0</v>
      </c>
      <c r="K9077" s="74">
        <f>VLOOKUP(E9077,DATABASE!C:Q,7,false)</f>
        <v>58371.2695</v>
      </c>
      <c r="L9077" s="74">
        <v>58371.2695</v>
      </c>
      <c r="M9077" s="74">
        <f t="shared" si="6"/>
        <v>60000</v>
      </c>
      <c r="N9077" s="74">
        <f t="shared" si="3"/>
        <v>40000</v>
      </c>
      <c r="O9077" s="65" t="str">
        <f>VLOOKUP(E9077,DATABASE!C:Q,8,false)</f>
        <v>BIAN</v>
      </c>
      <c r="P9077" s="65">
        <f>VLOOKUP(E9077,DATABASE!C:Q,9,False)</f>
        <v>1</v>
      </c>
      <c r="Q9077" s="93" t="str">
        <f>VLOOKUP(E9077,DATABASE!C:Q,4,false)</f>
        <v>BD</v>
      </c>
      <c r="R9077" s="93" t="str">
        <f>VLOOKUP(E9077,DATABASE!C:Q,11,false)</f>
        <v>Tire</v>
      </c>
    </row>
    <row r="9078" ht="22.5" customHeight="1">
      <c r="A9078" s="49"/>
      <c r="C9078" s="400">
        <v>46189.0</v>
      </c>
      <c r="D9078" s="524">
        <v>42.0</v>
      </c>
      <c r="E9078" s="544" t="s">
        <v>932</v>
      </c>
      <c r="F9078" s="387">
        <v>1.0</v>
      </c>
      <c r="G9078" s="140">
        <v>690000.0</v>
      </c>
      <c r="H9078" s="74"/>
      <c r="I9078" s="74">
        <f t="shared" si="1"/>
        <v>690000</v>
      </c>
      <c r="J9078" s="74">
        <f>IF(E9078="SERVICE",I9078-(I9078*50%),Vlookup(E9078,DATABASE!C:Q,10,false)*F9078)</f>
        <v>0</v>
      </c>
      <c r="K9078" s="74">
        <f>VLOOKUP(E9078,DATABASE!C:Q,7,false)</f>
        <v>601000</v>
      </c>
      <c r="L9078" s="74">
        <v>601000.0</v>
      </c>
      <c r="M9078" s="74">
        <f t="shared" si="6"/>
        <v>605000</v>
      </c>
      <c r="N9078" s="74">
        <f t="shared" si="3"/>
        <v>85000</v>
      </c>
      <c r="O9078" s="65" t="str">
        <f>VLOOKUP(E9078,DATABASE!C:Q,8,false)</f>
        <v>IBU</v>
      </c>
      <c r="P9078" s="65">
        <f>VLOOKUP(E9078,DATABASE!C:Q,9,False)</f>
        <v>1</v>
      </c>
      <c r="Q9078" s="93" t="str">
        <f>VLOOKUP(E9078,DATABASE!C:Q,4,false)</f>
        <v>Dunlop</v>
      </c>
      <c r="R9078" s="93" t="str">
        <f>VLOOKUP(E9078,DATABASE!C:Q,11,false)</f>
        <v>Tire</v>
      </c>
    </row>
    <row r="9079" ht="22.5" customHeight="1">
      <c r="A9079" s="49"/>
      <c r="C9079" s="400">
        <v>46189.0</v>
      </c>
      <c r="D9079" s="524">
        <v>42.0</v>
      </c>
      <c r="E9079" s="544" t="s">
        <v>299</v>
      </c>
      <c r="F9079" s="387">
        <v>2.0</v>
      </c>
      <c r="G9079" s="140">
        <v>30000.0</v>
      </c>
      <c r="H9079" s="74"/>
      <c r="I9079" s="74">
        <f t="shared" si="1"/>
        <v>60000</v>
      </c>
      <c r="J9079" s="74">
        <f>IF(E9079="SERVICE",I9079-(I9079*50%),Vlookup(E9079,DATABASE!C:Q,10,false)*F9079)</f>
        <v>0</v>
      </c>
      <c r="K9079" s="74">
        <f>VLOOKUP(E9079,DATABASE!C:Q,7,false)</f>
        <v>10000</v>
      </c>
      <c r="L9079" s="74">
        <v>10000.0</v>
      </c>
      <c r="M9079" s="74">
        <f t="shared" si="6"/>
        <v>10000</v>
      </c>
      <c r="N9079" s="74">
        <f t="shared" si="3"/>
        <v>40000</v>
      </c>
      <c r="O9079" s="65" t="str">
        <f>VLOOKUP(E9079,DATABASE!C:Q,8,false)</f>
        <v>BIAN</v>
      </c>
      <c r="P9079" s="65">
        <f>VLOOKUP(E9079,DATABASE!C:Q,9,False)</f>
        <v>0</v>
      </c>
      <c r="Q9079" s="93" t="str">
        <f>VLOOKUP(E9079,DATABASE!C:Q,4,false)</f>
        <v>Balancing</v>
      </c>
      <c r="R9079" s="93" t="str">
        <f>VLOOKUP(E9079,DATABASE!C:Q,11,false)</f>
        <v>COMPLEMENTARY</v>
      </c>
    </row>
    <row r="9080" ht="22.5" customHeight="1">
      <c r="A9080" s="49"/>
      <c r="C9080" s="400">
        <v>46189.0</v>
      </c>
      <c r="D9080" s="524">
        <v>42.0</v>
      </c>
      <c r="E9080" s="544" t="s">
        <v>256</v>
      </c>
      <c r="F9080" s="387">
        <v>1.0</v>
      </c>
      <c r="G9080" s="140">
        <v>175000.0</v>
      </c>
      <c r="H9080" s="140">
        <v>25000.0</v>
      </c>
      <c r="I9080" s="74">
        <f t="shared" si="1"/>
        <v>150000</v>
      </c>
      <c r="J9080" s="74">
        <f>IF(E9080="SERVICE",I9080-(I9080*50%),Vlookup(E9080,DATABASE!C:Q,10,false)*F9080)</f>
        <v>10000</v>
      </c>
      <c r="K9080" s="74">
        <f>VLOOKUP(E9080,DATABASE!C:Q,7,false)</f>
        <v>0</v>
      </c>
      <c r="L9080" s="74">
        <v>0.0</v>
      </c>
      <c r="M9080" s="74">
        <f t="shared" si="6"/>
        <v>0</v>
      </c>
      <c r="N9080" s="74">
        <f t="shared" si="3"/>
        <v>140000</v>
      </c>
      <c r="O9080" s="65" t="str">
        <f>VLOOKUP(E9080,DATABASE!C:Q,8,false)</f>
        <v>IBU</v>
      </c>
      <c r="P9080" s="65">
        <f>VLOOKUP(E9080,DATABASE!C:Q,9,False)</f>
        <v>0</v>
      </c>
      <c r="Q9080" s="93" t="str">
        <f>VLOOKUP(E9080,DATABASE!C:Q,4,false)</f>
        <v>SPOORING</v>
      </c>
      <c r="R9080" s="93" t="str">
        <f>VLOOKUP(E9080,DATABASE!C:Q,11,false)</f>
        <v>SERVICE</v>
      </c>
    </row>
    <row r="9081" ht="22.5" customHeight="1">
      <c r="A9081" s="49"/>
      <c r="C9081" s="400">
        <v>46189.0</v>
      </c>
      <c r="D9081" s="524">
        <v>42.0</v>
      </c>
      <c r="E9081" s="544" t="s">
        <v>301</v>
      </c>
      <c r="F9081" s="387">
        <v>1.0</v>
      </c>
      <c r="G9081" s="140">
        <v>250000.0</v>
      </c>
      <c r="H9081" s="74"/>
      <c r="I9081" s="74">
        <f t="shared" si="1"/>
        <v>250000</v>
      </c>
      <c r="J9081" s="74">
        <f>IF(E9081="SERVICE",I9081-(I9081*50%),Vlookup(E9081,DATABASE!C:Q,10,false)*F9081)</f>
        <v>75000</v>
      </c>
      <c r="K9081" s="74">
        <f>VLOOKUP(E9081,DATABASE!C:Q,7,false)</f>
        <v>75000</v>
      </c>
      <c r="L9081" s="74">
        <v>75000.0</v>
      </c>
      <c r="M9081" s="74">
        <f t="shared" si="6"/>
        <v>75000</v>
      </c>
      <c r="N9081" s="74">
        <f t="shared" si="3"/>
        <v>100000</v>
      </c>
      <c r="O9081" s="65" t="str">
        <f>VLOOKUP(E9081,DATABASE!C:Q,8,false)</f>
        <v>BIAN</v>
      </c>
      <c r="P9081" s="65">
        <f>VLOOKUP(E9081,DATABASE!C:Q,9,False)</f>
        <v>0</v>
      </c>
      <c r="Q9081" s="93" t="str">
        <f>VLOOKUP(E9081,DATABASE!C:Q,4,false)</f>
        <v>Baut Camber</v>
      </c>
      <c r="R9081" s="93" t="str">
        <f>VLOOKUP(E9081,DATABASE!C:Q,11,false)</f>
        <v>COMPLEMENTARY</v>
      </c>
    </row>
    <row r="9082" ht="22.5" customHeight="1">
      <c r="A9082" s="49"/>
      <c r="C9082" s="400">
        <v>46189.0</v>
      </c>
      <c r="D9082" s="524">
        <v>43.0</v>
      </c>
      <c r="E9082" s="544" t="s">
        <v>777</v>
      </c>
      <c r="F9082" s="387">
        <v>2.0</v>
      </c>
      <c r="G9082" s="140">
        <v>610000.0</v>
      </c>
      <c r="H9082" s="140">
        <v>10000.0</v>
      </c>
      <c r="I9082" s="74">
        <f t="shared" si="1"/>
        <v>1200000</v>
      </c>
      <c r="J9082" s="74">
        <f>IF(E9082="SERVICE",I9082-(I9082*50%),Vlookup(E9082,DATABASE!C:Q,10,false)*F9082)</f>
        <v>0</v>
      </c>
      <c r="K9082" s="74">
        <f>VLOOKUP(E9082,DATABASE!C:Q,7,false)</f>
        <v>540000</v>
      </c>
      <c r="L9082" s="74">
        <v>520000.0</v>
      </c>
      <c r="M9082" s="74">
        <f t="shared" si="6"/>
        <v>520000</v>
      </c>
      <c r="N9082" s="74">
        <f t="shared" si="3"/>
        <v>160000</v>
      </c>
      <c r="O9082" s="65" t="str">
        <f>VLOOKUP(E9082,DATABASE!C:Q,8,false)</f>
        <v>BIAN</v>
      </c>
      <c r="P9082" s="65">
        <f>VLOOKUP(E9082,DATABASE!C:Q,9,False)</f>
        <v>1</v>
      </c>
      <c r="Q9082" s="93" t="str">
        <f>VLOOKUP(E9082,DATABASE!C:Q,4,false)</f>
        <v>GT</v>
      </c>
      <c r="R9082" s="93" t="str">
        <f>VLOOKUP(E9082,DATABASE!C:Q,11,false)</f>
        <v>Tire</v>
      </c>
    </row>
    <row r="9083" ht="22.5" customHeight="1">
      <c r="A9083" s="49"/>
      <c r="C9083" s="400">
        <v>46189.0</v>
      </c>
      <c r="D9083" s="524">
        <v>44.0</v>
      </c>
      <c r="E9083" s="544" t="s">
        <v>286</v>
      </c>
      <c r="F9083" s="387">
        <v>1.0</v>
      </c>
      <c r="G9083" s="140">
        <v>560000.0</v>
      </c>
      <c r="H9083" s="140">
        <v>10000.0</v>
      </c>
      <c r="I9083" s="74">
        <f t="shared" si="1"/>
        <v>550000</v>
      </c>
      <c r="J9083" s="74">
        <f>IF(E9083="SERVICE",I9083-(I9083*50%),Vlookup(E9083,DATABASE!C:Q,10,false)*F9083)</f>
        <v>0</v>
      </c>
      <c r="K9083" s="74">
        <f>VLOOKUP(E9083,DATABASE!C:Q,7,false)</f>
        <v>488320</v>
      </c>
      <c r="L9083" s="74">
        <v>459420.0</v>
      </c>
      <c r="M9083" s="74">
        <f t="shared" si="6"/>
        <v>460000</v>
      </c>
      <c r="N9083" s="74">
        <f t="shared" si="3"/>
        <v>90000</v>
      </c>
      <c r="O9083" s="65" t="str">
        <f>VLOOKUP(E9083,DATABASE!C:Q,8,false)</f>
        <v>BIAN</v>
      </c>
      <c r="P9083" s="65">
        <f>VLOOKUP(E9083,DATABASE!C:Q,9,False)</f>
        <v>1</v>
      </c>
      <c r="Q9083" s="93" t="str">
        <f>VLOOKUP(E9083,DATABASE!C:Q,4,false)</f>
        <v>GT</v>
      </c>
      <c r="R9083" s="93" t="str">
        <f>VLOOKUP(E9083,DATABASE!C:Q,11,false)</f>
        <v>Tire</v>
      </c>
    </row>
    <row r="9084" ht="22.5" customHeight="1">
      <c r="A9084" s="49"/>
      <c r="C9084" s="400">
        <v>46189.0</v>
      </c>
      <c r="D9084" s="69">
        <v>45.0</v>
      </c>
      <c r="E9084" s="544" t="s">
        <v>256</v>
      </c>
      <c r="F9084" s="387">
        <v>1.0</v>
      </c>
      <c r="G9084" s="140">
        <v>150000.0</v>
      </c>
      <c r="H9084" s="74"/>
      <c r="I9084" s="74">
        <f t="shared" si="1"/>
        <v>150000</v>
      </c>
      <c r="J9084" s="74">
        <f>IF(E9084="SERVICE",I9084-(I9084*50%),Vlookup(E9084,DATABASE!C:Q,10,false)*F9084)</f>
        <v>10000</v>
      </c>
      <c r="K9084" s="74">
        <f>VLOOKUP(E9084,DATABASE!C:Q,7,false)</f>
        <v>0</v>
      </c>
      <c r="L9084" s="74">
        <v>0.0</v>
      </c>
      <c r="M9084" s="74">
        <f t="shared" si="6"/>
        <v>0</v>
      </c>
      <c r="N9084" s="74">
        <f t="shared" si="3"/>
        <v>140000</v>
      </c>
      <c r="O9084" s="65" t="str">
        <f>VLOOKUP(E9084,DATABASE!C:Q,8,false)</f>
        <v>IBU</v>
      </c>
      <c r="P9084" s="65">
        <f>VLOOKUP(E9084,DATABASE!C:Q,9,False)</f>
        <v>0</v>
      </c>
      <c r="Q9084" s="93" t="str">
        <f>VLOOKUP(E9084,DATABASE!C:Q,4,false)</f>
        <v>SPOORING</v>
      </c>
      <c r="R9084" s="93" t="str">
        <f>VLOOKUP(E9084,DATABASE!C:Q,11,false)</f>
        <v>SERVICE</v>
      </c>
    </row>
    <row r="9085" ht="22.5" customHeight="1">
      <c r="A9085" s="49"/>
      <c r="C9085" s="400">
        <v>46189.0</v>
      </c>
      <c r="D9085" s="524">
        <v>46.0</v>
      </c>
      <c r="E9085" s="544" t="s">
        <v>268</v>
      </c>
      <c r="F9085" s="387">
        <v>2.0</v>
      </c>
      <c r="G9085" s="140">
        <v>720000.0</v>
      </c>
      <c r="H9085" s="74"/>
      <c r="I9085" s="74">
        <f t="shared" si="1"/>
        <v>1440000</v>
      </c>
      <c r="J9085" s="74">
        <f>IF(E9085="SERVICE",I9085-(I9085*50%),Vlookup(E9085,DATABASE!C:Q,10,false)*F9085)</f>
        <v>0</v>
      </c>
      <c r="K9085" s="74">
        <f>VLOOKUP(E9085,DATABASE!C:Q,7,false)</f>
        <v>653000</v>
      </c>
      <c r="L9085" s="74">
        <v>634500.0</v>
      </c>
      <c r="M9085" s="74">
        <f t="shared" si="6"/>
        <v>635000</v>
      </c>
      <c r="N9085" s="74">
        <f t="shared" si="3"/>
        <v>170000</v>
      </c>
      <c r="O9085" s="65" t="str">
        <f>VLOOKUP(E9085,DATABASE!C:Q,8,false)</f>
        <v>IBU</v>
      </c>
      <c r="P9085" s="65">
        <f>VLOOKUP(E9085,DATABASE!C:Q,9,False)</f>
        <v>1</v>
      </c>
      <c r="Q9085" s="93" t="str">
        <f>VLOOKUP(E9085,DATABASE!C:Q,4,false)</f>
        <v>Dunlop</v>
      </c>
      <c r="R9085" s="93" t="str">
        <f>VLOOKUP(E9085,DATABASE!C:Q,11,false)</f>
        <v>Tire</v>
      </c>
    </row>
    <row r="9086" ht="22.5" customHeight="1">
      <c r="A9086" s="49"/>
      <c r="C9086" s="400">
        <v>46189.0</v>
      </c>
      <c r="D9086" s="524">
        <v>46.0</v>
      </c>
      <c r="E9086" s="544" t="s">
        <v>251</v>
      </c>
      <c r="F9086" s="387">
        <v>1.0</v>
      </c>
      <c r="G9086" s="140">
        <v>350000.0</v>
      </c>
      <c r="H9086" s="140">
        <v>280000.0</v>
      </c>
      <c r="I9086" s="74">
        <f t="shared" si="1"/>
        <v>70000</v>
      </c>
      <c r="J9086" s="74">
        <f>IF(E9086="SERVICE",I9086-(I9086*50%),Vlookup(E9086,DATABASE!C:Q,10,false)*F9086)</f>
        <v>35000</v>
      </c>
      <c r="K9086" s="74">
        <f>VLOOKUP(E9086,DATABASE!C:Q,7,false)</f>
        <v>0</v>
      </c>
      <c r="L9086" s="74">
        <v>0.0</v>
      </c>
      <c r="M9086" s="74">
        <f t="shared" si="6"/>
        <v>0</v>
      </c>
      <c r="N9086" s="74">
        <f t="shared" si="3"/>
        <v>35000</v>
      </c>
      <c r="O9086" s="65" t="str">
        <f>VLOOKUP(E9086,DATABASE!C:Q,8,false)</f>
        <v>IBU</v>
      </c>
      <c r="P9086" s="65">
        <f>VLOOKUP(E9086,DATABASE!C:Q,9,False)</f>
        <v>0</v>
      </c>
      <c r="Q9086" s="93" t="str">
        <f>VLOOKUP(E9086,DATABASE!C:Q,4,false)</f>
        <v>SERVICE</v>
      </c>
      <c r="R9086" s="93" t="str">
        <f>VLOOKUP(E9086,DATABASE!C:Q,11,false)</f>
        <v>SERVICE</v>
      </c>
    </row>
    <row r="9087" ht="22.5" customHeight="1">
      <c r="A9087" s="49"/>
      <c r="C9087" s="400">
        <v>46189.0</v>
      </c>
      <c r="D9087" s="524">
        <v>46.0</v>
      </c>
      <c r="E9087" s="544" t="s">
        <v>262</v>
      </c>
      <c r="F9087" s="387">
        <v>1.0</v>
      </c>
      <c r="G9087" s="140">
        <v>130000.0</v>
      </c>
      <c r="H9087" s="74"/>
      <c r="I9087" s="74">
        <f t="shared" si="1"/>
        <v>130000</v>
      </c>
      <c r="J9087" s="74">
        <f>IF(E9087="SERVICE",I9087-(I9087*50%),Vlookup(E9087,DATABASE!C:Q,10,false)*F9087)</f>
        <v>5000</v>
      </c>
      <c r="K9087" s="74">
        <f>VLOOKUP(E9087,DATABASE!C:Q,7,false)</f>
        <v>0</v>
      </c>
      <c r="L9087" s="74">
        <v>0.0</v>
      </c>
      <c r="M9087" s="74">
        <f t="shared" si="6"/>
        <v>0</v>
      </c>
      <c r="N9087" s="74">
        <f t="shared" si="3"/>
        <v>125000</v>
      </c>
      <c r="O9087" s="65" t="str">
        <f>VLOOKUP(E9087,DATABASE!C:Q,8,false)</f>
        <v>IBU</v>
      </c>
      <c r="P9087" s="65">
        <f>VLOOKUP(E9087,DATABASE!C:Q,9,False)</f>
        <v>0</v>
      </c>
      <c r="Q9087" s="93" t="str">
        <f>VLOOKUP(E9087,DATABASE!C:Q,4,false)</f>
        <v>SPOORING SS/CARRY LOS BAK</v>
      </c>
      <c r="R9087" s="93" t="str">
        <f>VLOOKUP(E9087,DATABASE!C:Q,11,false)</f>
        <v>SERVICE</v>
      </c>
    </row>
    <row r="9088" ht="22.5" customHeight="1">
      <c r="A9088" s="49"/>
      <c r="C9088" s="400">
        <v>46189.0</v>
      </c>
      <c r="D9088" s="524">
        <v>46.0</v>
      </c>
      <c r="E9088" s="544" t="s">
        <v>478</v>
      </c>
      <c r="F9088" s="387">
        <v>1.0</v>
      </c>
      <c r="G9088" s="140">
        <v>200000.0</v>
      </c>
      <c r="H9088" s="74"/>
      <c r="I9088" s="74">
        <f t="shared" si="1"/>
        <v>200000</v>
      </c>
      <c r="J9088" s="74">
        <f>IF(E9088="SERVICE",I9088-(I9088*50%),Vlookup(E9088,DATABASE!C:Q,10,false)*F9088)</f>
        <v>25000</v>
      </c>
      <c r="K9088" s="74">
        <f>VLOOKUP(E9088,DATABASE!C:Q,7,false)</f>
        <v>75000</v>
      </c>
      <c r="L9088" s="74">
        <v>75000.0</v>
      </c>
      <c r="M9088" s="74">
        <f t="shared" si="6"/>
        <v>75000</v>
      </c>
      <c r="N9088" s="74">
        <f t="shared" si="3"/>
        <v>100000</v>
      </c>
      <c r="O9088" s="65" t="str">
        <f>VLOOKUP(E9088,DATABASE!C:Q,8,false)</f>
        <v>BIAN</v>
      </c>
      <c r="P9088" s="65">
        <f>VLOOKUP(E9088,DATABASE!C:Q,9,False)</f>
        <v>0</v>
      </c>
      <c r="Q9088" s="93" t="str">
        <f>VLOOKUP(E9088,DATABASE!C:Q,4,false)</f>
        <v>Baut Camber ss-carry</v>
      </c>
      <c r="R9088" s="93" t="str">
        <f>VLOOKUP(E9088,DATABASE!C:Q,11,false)</f>
        <v>COMPLEMENTARY</v>
      </c>
    </row>
    <row r="9089" ht="22.5" customHeight="1">
      <c r="A9089" s="49"/>
      <c r="C9089" s="400">
        <v>46189.0</v>
      </c>
      <c r="D9089" s="524">
        <v>47.0</v>
      </c>
      <c r="E9089" s="544" t="s">
        <v>591</v>
      </c>
      <c r="F9089" s="387">
        <v>4.0</v>
      </c>
      <c r="G9089" s="140">
        <v>710000.0</v>
      </c>
      <c r="H9089" s="140">
        <v>10000.0</v>
      </c>
      <c r="I9089" s="74">
        <f t="shared" si="1"/>
        <v>2800000</v>
      </c>
      <c r="J9089" s="74">
        <f>IF(E9089="SERVICE",I9089-(I9089*50%),Vlookup(E9089,DATABASE!C:Q,10,false)*F9089)</f>
        <v>0</v>
      </c>
      <c r="K9089" s="74">
        <f>VLOOKUP(E9089,DATABASE!C:Q,7,false)</f>
        <v>633035.16</v>
      </c>
      <c r="L9089" s="74">
        <v>609844.375</v>
      </c>
      <c r="M9089" s="74">
        <f t="shared" si="6"/>
        <v>610000</v>
      </c>
      <c r="N9089" s="74">
        <f t="shared" si="3"/>
        <v>360000</v>
      </c>
      <c r="O9089" s="65" t="str">
        <f>VLOOKUP(E9089,DATABASE!C:Q,8,false)</f>
        <v>IBU</v>
      </c>
      <c r="P9089" s="65">
        <f>VLOOKUP(E9089,DATABASE!C:Q,9,False)</f>
        <v>1</v>
      </c>
      <c r="Q9089" s="93" t="str">
        <f>VLOOKUP(E9089,DATABASE!C:Q,4,false)</f>
        <v>Bridgestone</v>
      </c>
      <c r="R9089" s="93" t="str">
        <f>VLOOKUP(E9089,DATABASE!C:Q,11,false)</f>
        <v>Tire</v>
      </c>
    </row>
    <row r="9090" ht="22.5" customHeight="1">
      <c r="A9090" s="49"/>
      <c r="C9090" s="400">
        <v>46189.0</v>
      </c>
      <c r="D9090" s="69" t="s">
        <v>2846</v>
      </c>
      <c r="E9090" s="544" t="s">
        <v>248</v>
      </c>
      <c r="F9090" s="387">
        <v>1.0</v>
      </c>
      <c r="G9090" s="140">
        <v>250000.0</v>
      </c>
      <c r="H9090" s="74"/>
      <c r="I9090" s="74">
        <f t="shared" si="1"/>
        <v>250000</v>
      </c>
      <c r="J9090" s="74">
        <f>IF(E9090="SERVICE",I9090-(I9090*50%),Vlookup(E9090,DATABASE!C:Q,10,false)*F9090)</f>
        <v>0</v>
      </c>
      <c r="K9090" s="74">
        <f>VLOOKUP(E9090,DATABASE!C:Q,7,false)</f>
        <v>209816.66</v>
      </c>
      <c r="L9090" s="74">
        <v>209816.66</v>
      </c>
      <c r="M9090" s="74">
        <f t="shared" si="6"/>
        <v>210000</v>
      </c>
      <c r="N9090" s="74">
        <f t="shared" si="3"/>
        <v>40000</v>
      </c>
      <c r="O9090" s="65" t="str">
        <f>VLOOKUP(E9090,DATABASE!C:Q,8,false)</f>
        <v>NON</v>
      </c>
      <c r="P9090" s="65">
        <f>VLOOKUP(E9090,DATABASE!C:Q,9,False)</f>
        <v>0</v>
      </c>
      <c r="Q9090" s="93" t="str">
        <f>VLOOKUP(E9090,DATABASE!C:Q,4,false)</f>
        <v>Pertamina</v>
      </c>
      <c r="R9090" s="93" t="str">
        <f>VLOOKUP(E9090,DATABASE!C:Q,11,false)</f>
        <v>OIL</v>
      </c>
    </row>
    <row r="9091" ht="22.5" customHeight="1">
      <c r="A9091" s="49"/>
      <c r="C9091" s="400">
        <v>46190.0</v>
      </c>
      <c r="D9091" s="69">
        <v>48.0</v>
      </c>
      <c r="E9091" s="544" t="s">
        <v>591</v>
      </c>
      <c r="F9091" s="387">
        <v>2.0</v>
      </c>
      <c r="G9091" s="140">
        <v>700000.0</v>
      </c>
      <c r="H9091" s="74"/>
      <c r="I9091" s="74">
        <f t="shared" si="1"/>
        <v>1400000</v>
      </c>
      <c r="J9091" s="74">
        <f>IF(E9091="SERVICE",I9091-(I9091*50%),Vlookup(E9091,DATABASE!C:Q,10,false)*F9091)</f>
        <v>0</v>
      </c>
      <c r="K9091" s="74">
        <f>VLOOKUP(E9091,DATABASE!C:Q,7,false)</f>
        <v>633035.16</v>
      </c>
      <c r="L9091" s="74">
        <v>609844.375</v>
      </c>
      <c r="M9091" s="74">
        <f t="shared" si="6"/>
        <v>610000</v>
      </c>
      <c r="N9091" s="74">
        <f t="shared" si="3"/>
        <v>180000</v>
      </c>
      <c r="O9091" s="65" t="str">
        <f>VLOOKUP(E9091,DATABASE!C:Q,8,false)</f>
        <v>IBU</v>
      </c>
      <c r="P9091" s="65">
        <f>VLOOKUP(E9091,DATABASE!C:Q,9,False)</f>
        <v>1</v>
      </c>
      <c r="Q9091" s="93" t="str">
        <f>VLOOKUP(E9091,DATABASE!C:Q,4,false)</f>
        <v>Bridgestone</v>
      </c>
      <c r="R9091" s="93" t="str">
        <f>VLOOKUP(E9091,DATABASE!C:Q,11,false)</f>
        <v>Tire</v>
      </c>
    </row>
    <row r="9092" ht="22.5" customHeight="1">
      <c r="A9092" s="49"/>
      <c r="C9092" s="400">
        <v>46190.0</v>
      </c>
      <c r="D9092" s="69">
        <v>50.0</v>
      </c>
      <c r="E9092" s="544" t="s">
        <v>2624</v>
      </c>
      <c r="F9092" s="387">
        <v>1.0</v>
      </c>
      <c r="G9092" s="140">
        <v>610000.0</v>
      </c>
      <c r="H9092" s="74"/>
      <c r="I9092" s="74">
        <f t="shared" si="1"/>
        <v>610000</v>
      </c>
      <c r="J9092" s="74">
        <f>IF(E9092="SERVICE",I9092-(I9092*50%),Vlookup(E9092,DATABASE!C:Q,10,false)*F9092)</f>
        <v>0</v>
      </c>
      <c r="K9092" s="74">
        <f>VLOOKUP(E9092,DATABASE!C:Q,7,false)</f>
        <v>517000</v>
      </c>
      <c r="L9092" s="74">
        <v>517000.0</v>
      </c>
      <c r="M9092" s="74">
        <f t="shared" si="6"/>
        <v>520000</v>
      </c>
      <c r="N9092" s="74">
        <f t="shared" si="3"/>
        <v>90000</v>
      </c>
      <c r="O9092" s="65" t="str">
        <f>VLOOKUP(E9092,DATABASE!C:Q,8,false)</f>
        <v>BIAN</v>
      </c>
      <c r="P9092" s="65">
        <f>VLOOKUP(E9092,DATABASE!C:Q,9,False)</f>
        <v>1</v>
      </c>
      <c r="Q9092" s="93" t="str">
        <f>VLOOKUP(E9092,DATABASE!C:Q,4,false)</f>
        <v>Sailun</v>
      </c>
      <c r="R9092" s="93" t="str">
        <f>VLOOKUP(E9092,DATABASE!C:Q,11,false)</f>
        <v>Tire</v>
      </c>
    </row>
    <row r="9093" ht="22.5" customHeight="1">
      <c r="A9093" s="49"/>
      <c r="C9093" s="400">
        <v>46190.0</v>
      </c>
      <c r="D9093" s="69">
        <v>51.0</v>
      </c>
      <c r="E9093" s="544" t="s">
        <v>600</v>
      </c>
      <c r="F9093" s="387">
        <v>4.0</v>
      </c>
      <c r="G9093" s="140">
        <v>675000.0</v>
      </c>
      <c r="H9093" s="74"/>
      <c r="I9093" s="74">
        <f t="shared" si="1"/>
        <v>2700000</v>
      </c>
      <c r="J9093" s="74">
        <f>IF(E9093="SERVICE",I9093-(I9093*50%),Vlookup(E9093,DATABASE!C:Q,10,false)*F9093)</f>
        <v>0</v>
      </c>
      <c r="K9093" s="74">
        <f>VLOOKUP(E9093,DATABASE!C:Q,7,false)</f>
        <v>611109.16</v>
      </c>
      <c r="L9093" s="74">
        <v>588505.75</v>
      </c>
      <c r="M9093" s="74">
        <f t="shared" si="6"/>
        <v>590000</v>
      </c>
      <c r="N9093" s="74">
        <f t="shared" si="3"/>
        <v>340000</v>
      </c>
      <c r="O9093" s="65" t="str">
        <f>VLOOKUP(E9093,DATABASE!C:Q,8,false)</f>
        <v>IBU</v>
      </c>
      <c r="P9093" s="65">
        <f>VLOOKUP(E9093,DATABASE!C:Q,9,False)</f>
        <v>1</v>
      </c>
      <c r="Q9093" s="93" t="str">
        <f>VLOOKUP(E9093,DATABASE!C:Q,4,false)</f>
        <v>Bridgestone</v>
      </c>
      <c r="R9093" s="93" t="str">
        <f>VLOOKUP(E9093,DATABASE!C:Q,11,false)</f>
        <v>Tire</v>
      </c>
    </row>
    <row r="9094" ht="22.5" customHeight="1">
      <c r="A9094" s="49"/>
      <c r="C9094" s="400">
        <v>46190.0</v>
      </c>
      <c r="D9094" s="69">
        <v>52.0</v>
      </c>
      <c r="E9094" s="544" t="s">
        <v>265</v>
      </c>
      <c r="F9094" s="387">
        <v>2.0</v>
      </c>
      <c r="G9094" s="140">
        <v>700000.0</v>
      </c>
      <c r="H9094" s="74"/>
      <c r="I9094" s="74">
        <f t="shared" si="1"/>
        <v>1400000</v>
      </c>
      <c r="J9094" s="74">
        <f>IF(E9094="SERVICE",I9094-(I9094*50%),Vlookup(E9094,DATABASE!C:Q,10,false)*F9094)</f>
        <v>0</v>
      </c>
      <c r="K9094" s="74">
        <f>VLOOKUP(E9094,DATABASE!C:Q,7,false)</f>
        <v>628000</v>
      </c>
      <c r="L9094" s="74">
        <v>610000.0</v>
      </c>
      <c r="M9094" s="74">
        <f t="shared" si="6"/>
        <v>610000</v>
      </c>
      <c r="N9094" s="74">
        <f t="shared" si="3"/>
        <v>180000</v>
      </c>
      <c r="O9094" s="65" t="str">
        <f>VLOOKUP(E9094,DATABASE!C:Q,8,false)</f>
        <v>IBU</v>
      </c>
      <c r="P9094" s="65">
        <f>VLOOKUP(E9094,DATABASE!C:Q,9,False)</f>
        <v>1</v>
      </c>
      <c r="Q9094" s="93" t="str">
        <f>VLOOKUP(E9094,DATABASE!C:Q,4,false)</f>
        <v>Dunlop</v>
      </c>
      <c r="R9094" s="93" t="str">
        <f>VLOOKUP(E9094,DATABASE!C:Q,11,false)</f>
        <v>Tire</v>
      </c>
    </row>
    <row r="9095" ht="22.5" customHeight="1">
      <c r="A9095" s="49"/>
      <c r="C9095" s="400">
        <v>46190.0</v>
      </c>
      <c r="D9095" s="69">
        <v>53.0</v>
      </c>
      <c r="E9095" s="544" t="s">
        <v>262</v>
      </c>
      <c r="F9095" s="387">
        <v>1.0</v>
      </c>
      <c r="G9095" s="140">
        <v>130000.0</v>
      </c>
      <c r="H9095" s="74"/>
      <c r="I9095" s="74">
        <f t="shared" si="1"/>
        <v>130000</v>
      </c>
      <c r="J9095" s="74">
        <f>IF(E9095="SERVICE",I9095-(I9095*50%),Vlookup(E9095,DATABASE!C:Q,10,false)*F9095)</f>
        <v>5000</v>
      </c>
      <c r="K9095" s="74">
        <f>VLOOKUP(E9095,DATABASE!C:Q,7,false)</f>
        <v>0</v>
      </c>
      <c r="L9095" s="74">
        <v>0.0</v>
      </c>
      <c r="M9095" s="74">
        <f t="shared" si="6"/>
        <v>0</v>
      </c>
      <c r="N9095" s="74">
        <f t="shared" si="3"/>
        <v>125000</v>
      </c>
      <c r="O9095" s="65" t="str">
        <f>VLOOKUP(E9095,DATABASE!C:Q,8,false)</f>
        <v>IBU</v>
      </c>
      <c r="P9095" s="65">
        <f>VLOOKUP(E9095,DATABASE!C:Q,9,False)</f>
        <v>0</v>
      </c>
      <c r="Q9095" s="93" t="str">
        <f>VLOOKUP(E9095,DATABASE!C:Q,4,false)</f>
        <v>SPOORING SS/CARRY LOS BAK</v>
      </c>
      <c r="R9095" s="93" t="str">
        <f>VLOOKUP(E9095,DATABASE!C:Q,11,false)</f>
        <v>SERVICE</v>
      </c>
    </row>
    <row r="9096" ht="22.5" customHeight="1">
      <c r="A9096" s="49"/>
      <c r="C9096" s="400">
        <v>46190.0</v>
      </c>
      <c r="D9096" s="69">
        <v>53.0</v>
      </c>
      <c r="E9096" s="544" t="s">
        <v>478</v>
      </c>
      <c r="F9096" s="387">
        <v>1.0</v>
      </c>
      <c r="G9096" s="140">
        <v>200000.0</v>
      </c>
      <c r="H9096" s="74"/>
      <c r="I9096" s="74">
        <f t="shared" si="1"/>
        <v>200000</v>
      </c>
      <c r="J9096" s="74">
        <f>IF(E9096="SERVICE",I9096-(I9096*50%),Vlookup(E9096,DATABASE!C:Q,10,false)*F9096)</f>
        <v>25000</v>
      </c>
      <c r="K9096" s="74">
        <f>VLOOKUP(E9096,DATABASE!C:Q,7,false)</f>
        <v>75000</v>
      </c>
      <c r="L9096" s="74">
        <v>75000.0</v>
      </c>
      <c r="M9096" s="74">
        <f t="shared" si="6"/>
        <v>75000</v>
      </c>
      <c r="N9096" s="74">
        <f t="shared" si="3"/>
        <v>100000</v>
      </c>
      <c r="O9096" s="65" t="str">
        <f>VLOOKUP(E9096,DATABASE!C:Q,8,false)</f>
        <v>BIAN</v>
      </c>
      <c r="P9096" s="65">
        <f>VLOOKUP(E9096,DATABASE!C:Q,9,False)</f>
        <v>0</v>
      </c>
      <c r="Q9096" s="93" t="str">
        <f>VLOOKUP(E9096,DATABASE!C:Q,4,false)</f>
        <v>Baut Camber ss-carry</v>
      </c>
      <c r="R9096" s="93" t="str">
        <f>VLOOKUP(E9096,DATABASE!C:Q,11,false)</f>
        <v>COMPLEMENTARY</v>
      </c>
    </row>
    <row r="9097" ht="22.5" customHeight="1">
      <c r="A9097" s="49"/>
      <c r="C9097" s="400">
        <v>46190.0</v>
      </c>
      <c r="D9097" s="69">
        <v>53.0</v>
      </c>
      <c r="E9097" s="544" t="s">
        <v>299</v>
      </c>
      <c r="F9097" s="387">
        <v>2.0</v>
      </c>
      <c r="G9097" s="140">
        <v>30000.0</v>
      </c>
      <c r="H9097" s="74"/>
      <c r="I9097" s="74">
        <f t="shared" si="1"/>
        <v>60000</v>
      </c>
      <c r="J9097" s="74">
        <f>IF(E9097="SERVICE",I9097-(I9097*50%),Vlookup(E9097,DATABASE!C:Q,10,false)*F9097)</f>
        <v>0</v>
      </c>
      <c r="K9097" s="74">
        <f>VLOOKUP(E9097,DATABASE!C:Q,7,false)</f>
        <v>10000</v>
      </c>
      <c r="L9097" s="74">
        <v>10000.0</v>
      </c>
      <c r="M9097" s="74">
        <f t="shared" si="6"/>
        <v>10000</v>
      </c>
      <c r="N9097" s="74">
        <f t="shared" si="3"/>
        <v>40000</v>
      </c>
      <c r="O9097" s="65" t="str">
        <f>VLOOKUP(E9097,DATABASE!C:Q,8,false)</f>
        <v>BIAN</v>
      </c>
      <c r="P9097" s="65">
        <f>VLOOKUP(E9097,DATABASE!C:Q,9,False)</f>
        <v>0</v>
      </c>
      <c r="Q9097" s="93" t="str">
        <f>VLOOKUP(E9097,DATABASE!C:Q,4,false)</f>
        <v>Balancing</v>
      </c>
      <c r="R9097" s="93" t="str">
        <f>VLOOKUP(E9097,DATABASE!C:Q,11,false)</f>
        <v>COMPLEMENTARY</v>
      </c>
    </row>
    <row r="9098" ht="22.5" customHeight="1">
      <c r="A9098" s="49"/>
      <c r="C9098" s="400">
        <v>46190.0</v>
      </c>
      <c r="D9098" s="69">
        <v>54.0</v>
      </c>
      <c r="E9098" s="544" t="s">
        <v>265</v>
      </c>
      <c r="F9098" s="387">
        <v>1.0</v>
      </c>
      <c r="G9098" s="140">
        <v>700000.0</v>
      </c>
      <c r="H9098" s="74"/>
      <c r="I9098" s="74">
        <f t="shared" si="1"/>
        <v>700000</v>
      </c>
      <c r="J9098" s="74">
        <f>IF(E9098="SERVICE",I9098-(I9098*50%),Vlookup(E9098,DATABASE!C:Q,10,false)*F9098)</f>
        <v>0</v>
      </c>
      <c r="K9098" s="74">
        <f>VLOOKUP(E9098,DATABASE!C:Q,7,false)</f>
        <v>628000</v>
      </c>
      <c r="L9098" s="74">
        <v>610000.0</v>
      </c>
      <c r="M9098" s="74">
        <f t="shared" si="6"/>
        <v>610000</v>
      </c>
      <c r="N9098" s="74">
        <f t="shared" si="3"/>
        <v>90000</v>
      </c>
      <c r="O9098" s="65" t="str">
        <f>VLOOKUP(E9098,DATABASE!C:Q,8,false)</f>
        <v>IBU</v>
      </c>
      <c r="P9098" s="65">
        <f>VLOOKUP(E9098,DATABASE!C:Q,9,False)</f>
        <v>1</v>
      </c>
      <c r="Q9098" s="93" t="str">
        <f>VLOOKUP(E9098,DATABASE!C:Q,4,false)</f>
        <v>Dunlop</v>
      </c>
      <c r="R9098" s="93" t="str">
        <f>VLOOKUP(E9098,DATABASE!C:Q,11,false)</f>
        <v>Tire</v>
      </c>
    </row>
    <row r="9099" ht="22.5" customHeight="1">
      <c r="A9099" s="49"/>
      <c r="C9099" s="400">
        <v>46190.0</v>
      </c>
      <c r="D9099" s="69">
        <v>54.0</v>
      </c>
      <c r="E9099" s="544" t="s">
        <v>262</v>
      </c>
      <c r="F9099" s="387">
        <v>1.0</v>
      </c>
      <c r="G9099" s="140">
        <v>130000.0</v>
      </c>
      <c r="H9099" s="74"/>
      <c r="I9099" s="74">
        <f t="shared" si="1"/>
        <v>130000</v>
      </c>
      <c r="J9099" s="74">
        <f>IF(E9099="SERVICE",I9099-(I9099*50%),Vlookup(E9099,DATABASE!C:Q,10,false)*F9099)</f>
        <v>5000</v>
      </c>
      <c r="K9099" s="74">
        <f>VLOOKUP(E9099,DATABASE!C:Q,7,false)</f>
        <v>0</v>
      </c>
      <c r="L9099" s="74">
        <v>0.0</v>
      </c>
      <c r="M9099" s="74">
        <f t="shared" si="6"/>
        <v>0</v>
      </c>
      <c r="N9099" s="74">
        <f t="shared" si="3"/>
        <v>125000</v>
      </c>
      <c r="O9099" s="65" t="str">
        <f>VLOOKUP(E9099,DATABASE!C:Q,8,false)</f>
        <v>IBU</v>
      </c>
      <c r="P9099" s="65">
        <f>VLOOKUP(E9099,DATABASE!C:Q,9,False)</f>
        <v>0</v>
      </c>
      <c r="Q9099" s="93" t="str">
        <f>VLOOKUP(E9099,DATABASE!C:Q,4,false)</f>
        <v>SPOORING SS/CARRY LOS BAK</v>
      </c>
      <c r="R9099" s="93" t="str">
        <f>VLOOKUP(E9099,DATABASE!C:Q,11,false)</f>
        <v>SERVICE</v>
      </c>
    </row>
    <row r="9100" ht="22.5" customHeight="1">
      <c r="A9100" s="49"/>
      <c r="C9100" s="400">
        <v>46190.0</v>
      </c>
      <c r="D9100" s="69">
        <v>54.0</v>
      </c>
      <c r="E9100" s="544" t="s">
        <v>251</v>
      </c>
      <c r="F9100" s="387">
        <v>1.0</v>
      </c>
      <c r="G9100" s="140">
        <v>150000.0</v>
      </c>
      <c r="H9100" s="74"/>
      <c r="I9100" s="74">
        <f t="shared" si="1"/>
        <v>150000</v>
      </c>
      <c r="J9100" s="74">
        <f>IF(E9100="SERVICE",I9100-(I9100*50%),Vlookup(E9100,DATABASE!C:Q,10,false)*F9100)</f>
        <v>75000</v>
      </c>
      <c r="K9100" s="74">
        <f>VLOOKUP(E9100,DATABASE!C:Q,7,false)</f>
        <v>0</v>
      </c>
      <c r="L9100" s="74">
        <v>0.0</v>
      </c>
      <c r="M9100" s="74">
        <f t="shared" si="6"/>
        <v>0</v>
      </c>
      <c r="N9100" s="74">
        <f t="shared" si="3"/>
        <v>75000</v>
      </c>
      <c r="O9100" s="65" t="str">
        <f>VLOOKUP(E9100,DATABASE!C:Q,8,false)</f>
        <v>IBU</v>
      </c>
      <c r="P9100" s="65">
        <f>VLOOKUP(E9100,DATABASE!C:Q,9,False)</f>
        <v>0</v>
      </c>
      <c r="Q9100" s="93" t="str">
        <f>VLOOKUP(E9100,DATABASE!C:Q,4,false)</f>
        <v>SERVICE</v>
      </c>
      <c r="R9100" s="93" t="str">
        <f>VLOOKUP(E9100,DATABASE!C:Q,11,false)</f>
        <v>SERVICE</v>
      </c>
    </row>
    <row r="9101" ht="22.5" customHeight="1">
      <c r="A9101" s="49"/>
      <c r="C9101" s="400">
        <v>46190.0</v>
      </c>
      <c r="D9101" s="69">
        <v>55.0</v>
      </c>
      <c r="E9101" s="544" t="s">
        <v>246</v>
      </c>
      <c r="F9101" s="387">
        <v>1.0</v>
      </c>
      <c r="G9101" s="140">
        <v>25000.0</v>
      </c>
      <c r="H9101" s="74"/>
      <c r="I9101" s="74">
        <f t="shared" si="1"/>
        <v>25000</v>
      </c>
      <c r="J9101" s="74">
        <f>IF(E9101="SERVICE",I9101-(I9101*50%),Vlookup(E9101,DATABASE!C:Q,10,false)*F9101)</f>
        <v>0</v>
      </c>
      <c r="K9101" s="74">
        <f>VLOOKUP(E9101,DATABASE!C:Q,7,false)</f>
        <v>0</v>
      </c>
      <c r="L9101" s="74">
        <v>0.0</v>
      </c>
      <c r="M9101" s="74">
        <f t="shared" si="6"/>
        <v>0</v>
      </c>
      <c r="N9101" s="74">
        <f t="shared" si="3"/>
        <v>25000</v>
      </c>
      <c r="O9101" s="65" t="str">
        <f>VLOOKUP(E9101,DATABASE!C:Q,8,false)</f>
        <v>IBU</v>
      </c>
      <c r="P9101" s="65">
        <f>VLOOKUP(E9101,DATABASE!C:Q,9,False)</f>
        <v>0</v>
      </c>
      <c r="Q9101" s="93" t="str">
        <f>VLOOKUP(E9101,DATABASE!C:Q,4,false)</f>
        <v>Bongkar Pasang</v>
      </c>
      <c r="R9101" s="93" t="str">
        <f>VLOOKUP(E9101,DATABASE!C:Q,11,false)</f>
        <v>SERVICE</v>
      </c>
    </row>
    <row r="9102" ht="22.5" customHeight="1">
      <c r="A9102" s="49"/>
      <c r="C9102" s="400">
        <v>46190.0</v>
      </c>
      <c r="D9102" s="69">
        <v>57.0</v>
      </c>
      <c r="E9102" s="544" t="s">
        <v>256</v>
      </c>
      <c r="F9102" s="387">
        <v>1.0</v>
      </c>
      <c r="G9102" s="140">
        <v>150000.0</v>
      </c>
      <c r="H9102" s="74"/>
      <c r="I9102" s="74">
        <f t="shared" si="1"/>
        <v>150000</v>
      </c>
      <c r="J9102" s="74">
        <f>IF(E9102="SERVICE",I9102-(I9102*50%),Vlookup(E9102,DATABASE!C:Q,10,false)*F9102)</f>
        <v>10000</v>
      </c>
      <c r="K9102" s="74">
        <f>VLOOKUP(E9102,DATABASE!C:Q,7,false)</f>
        <v>0</v>
      </c>
      <c r="L9102" s="74">
        <v>0.0</v>
      </c>
      <c r="M9102" s="74">
        <f t="shared" si="6"/>
        <v>0</v>
      </c>
      <c r="N9102" s="74">
        <f t="shared" si="3"/>
        <v>140000</v>
      </c>
      <c r="O9102" s="65" t="str">
        <f>VLOOKUP(E9102,DATABASE!C:Q,8,false)</f>
        <v>IBU</v>
      </c>
      <c r="P9102" s="65">
        <f>VLOOKUP(E9102,DATABASE!C:Q,9,False)</f>
        <v>0</v>
      </c>
      <c r="Q9102" s="93" t="str">
        <f>VLOOKUP(E9102,DATABASE!C:Q,4,false)</f>
        <v>SPOORING</v>
      </c>
      <c r="R9102" s="93" t="str">
        <f>VLOOKUP(E9102,DATABASE!C:Q,11,false)</f>
        <v>SERVICE</v>
      </c>
    </row>
    <row r="9103" ht="22.5" customHeight="1">
      <c r="A9103" s="49"/>
      <c r="C9103" s="400">
        <v>46190.0</v>
      </c>
      <c r="D9103" s="69">
        <v>57.0</v>
      </c>
      <c r="E9103" s="544" t="s">
        <v>299</v>
      </c>
      <c r="F9103" s="387">
        <v>2.0</v>
      </c>
      <c r="G9103" s="140">
        <v>30000.0</v>
      </c>
      <c r="H9103" s="74"/>
      <c r="I9103" s="74">
        <f t="shared" si="1"/>
        <v>60000</v>
      </c>
      <c r="J9103" s="74">
        <f>IF(E9103="SERVICE",I9103-(I9103*50%),Vlookup(E9103,DATABASE!C:Q,10,false)*F9103)</f>
        <v>0</v>
      </c>
      <c r="K9103" s="74">
        <f>VLOOKUP(E9103,DATABASE!C:Q,7,false)</f>
        <v>10000</v>
      </c>
      <c r="L9103" s="74">
        <v>10000.0</v>
      </c>
      <c r="M9103" s="74">
        <f t="shared" si="6"/>
        <v>10000</v>
      </c>
      <c r="N9103" s="74">
        <f t="shared" si="3"/>
        <v>40000</v>
      </c>
      <c r="O9103" s="65" t="str">
        <f>VLOOKUP(E9103,DATABASE!C:Q,8,false)</f>
        <v>BIAN</v>
      </c>
      <c r="P9103" s="65">
        <f>VLOOKUP(E9103,DATABASE!C:Q,9,False)</f>
        <v>0</v>
      </c>
      <c r="Q9103" s="93" t="str">
        <f>VLOOKUP(E9103,DATABASE!C:Q,4,false)</f>
        <v>Balancing</v>
      </c>
      <c r="R9103" s="93" t="str">
        <f>VLOOKUP(E9103,DATABASE!C:Q,11,false)</f>
        <v>COMPLEMENTARY</v>
      </c>
    </row>
    <row r="9104" ht="22.5" customHeight="1">
      <c r="A9104" s="49"/>
      <c r="C9104" s="400">
        <v>46190.0</v>
      </c>
      <c r="D9104" s="69">
        <v>58.0</v>
      </c>
      <c r="E9104" s="544" t="s">
        <v>613</v>
      </c>
      <c r="F9104" s="387">
        <v>1.0</v>
      </c>
      <c r="G9104" s="140">
        <v>100000.0</v>
      </c>
      <c r="H9104" s="74"/>
      <c r="I9104" s="74">
        <f t="shared" si="1"/>
        <v>100000</v>
      </c>
      <c r="J9104" s="74">
        <f>IF(E9104="SERVICE",I9104-(I9104*50%),Vlookup(E9104,DATABASE!C:Q,10,false)*F9104)</f>
        <v>0</v>
      </c>
      <c r="K9104" s="74">
        <f>VLOOKUP(E9104,DATABASE!C:Q,7,false)</f>
        <v>58371.2695</v>
      </c>
      <c r="L9104" s="74">
        <v>58371.2695</v>
      </c>
      <c r="M9104" s="74">
        <f t="shared" si="6"/>
        <v>60000</v>
      </c>
      <c r="N9104" s="74">
        <f t="shared" si="3"/>
        <v>40000</v>
      </c>
      <c r="O9104" s="65" t="str">
        <f>VLOOKUP(E9104,DATABASE!C:Q,8,false)</f>
        <v>BIAN</v>
      </c>
      <c r="P9104" s="65">
        <f>VLOOKUP(E9104,DATABASE!C:Q,9,False)</f>
        <v>1</v>
      </c>
      <c r="Q9104" s="93" t="str">
        <f>VLOOKUP(E9104,DATABASE!C:Q,4,false)</f>
        <v>BD</v>
      </c>
      <c r="R9104" s="93" t="str">
        <f>VLOOKUP(E9104,DATABASE!C:Q,11,false)</f>
        <v>Tire</v>
      </c>
    </row>
    <row r="9105" ht="22.5" customHeight="1">
      <c r="A9105" s="49"/>
      <c r="C9105" s="400">
        <v>46190.0</v>
      </c>
      <c r="D9105" s="69">
        <v>59.0</v>
      </c>
      <c r="E9105" s="544" t="s">
        <v>839</v>
      </c>
      <c r="F9105" s="387">
        <v>2.0</v>
      </c>
      <c r="G9105" s="140">
        <v>580000.0</v>
      </c>
      <c r="H9105" s="74"/>
      <c r="I9105" s="74">
        <f t="shared" si="1"/>
        <v>1160000</v>
      </c>
      <c r="J9105" s="74">
        <f>IF(E9105="SERVICE",I9105-(I9105*50%),Vlookup(E9105,DATABASE!C:Q,10,false)*F9105)</f>
        <v>0</v>
      </c>
      <c r="K9105" s="74">
        <f>VLOOKUP(E9105,DATABASE!C:Q,7,false)</f>
        <v>512640</v>
      </c>
      <c r="L9105" s="74">
        <v>490000.0</v>
      </c>
      <c r="M9105" s="74">
        <f t="shared" si="6"/>
        <v>490000</v>
      </c>
      <c r="N9105" s="74">
        <f t="shared" si="3"/>
        <v>180000</v>
      </c>
      <c r="O9105" s="65" t="str">
        <f>VLOOKUP(E9105,DATABASE!C:Q,8,false)</f>
        <v>BIAN</v>
      </c>
      <c r="P9105" s="65">
        <f>VLOOKUP(E9105,DATABASE!C:Q,9,False)</f>
        <v>1</v>
      </c>
      <c r="Q9105" s="93" t="str">
        <f>VLOOKUP(E9105,DATABASE!C:Q,4,false)</f>
        <v>GT</v>
      </c>
      <c r="R9105" s="93" t="str">
        <f>VLOOKUP(E9105,DATABASE!C:Q,11,false)</f>
        <v>Tire</v>
      </c>
    </row>
    <row r="9106" ht="22.5" customHeight="1">
      <c r="A9106" s="49"/>
      <c r="C9106" s="400">
        <v>46191.0</v>
      </c>
      <c r="D9106" s="524">
        <v>60.0</v>
      </c>
      <c r="E9106" s="544" t="s">
        <v>554</v>
      </c>
      <c r="F9106" s="387">
        <v>1.0</v>
      </c>
      <c r="G9106" s="140">
        <v>800000.0</v>
      </c>
      <c r="H9106" s="74"/>
      <c r="I9106" s="74">
        <f t="shared" si="1"/>
        <v>800000</v>
      </c>
      <c r="J9106" s="74">
        <f>IF(E9106="SERVICE",I9106-(I9106*50%),Vlookup(E9106,DATABASE!C:Q,10,false)*F9106)</f>
        <v>0</v>
      </c>
      <c r="K9106" s="74">
        <f>VLOOKUP(E9106,DATABASE!C:Q,7,false)</f>
        <v>710000</v>
      </c>
      <c r="L9106" s="74">
        <v>705000.0</v>
      </c>
      <c r="M9106" s="74">
        <f t="shared" si="6"/>
        <v>705000</v>
      </c>
      <c r="N9106" s="74">
        <f t="shared" si="3"/>
        <v>95000</v>
      </c>
      <c r="O9106" s="65" t="str">
        <f>VLOOKUP(E9106,DATABASE!C:Q,8,false)</f>
        <v>IBU</v>
      </c>
      <c r="P9106" s="65">
        <f>VLOOKUP(E9106,DATABASE!C:Q,9,False)</f>
        <v>1</v>
      </c>
      <c r="Q9106" s="93" t="str">
        <f>VLOOKUP(E9106,DATABASE!C:Q,4,false)</f>
        <v>Bridgestone</v>
      </c>
      <c r="R9106" s="93" t="str">
        <f>VLOOKUP(E9106,DATABASE!C:Q,11,false)</f>
        <v>Tire</v>
      </c>
    </row>
    <row r="9107" ht="22.5" customHeight="1">
      <c r="A9107" s="49"/>
      <c r="C9107" s="400">
        <v>46191.0</v>
      </c>
      <c r="D9107" s="524">
        <v>61.0</v>
      </c>
      <c r="E9107" s="544" t="s">
        <v>391</v>
      </c>
      <c r="F9107" s="387">
        <v>1.0</v>
      </c>
      <c r="G9107" s="140">
        <v>1985000.0</v>
      </c>
      <c r="H9107" s="74"/>
      <c r="I9107" s="74">
        <f t="shared" si="1"/>
        <v>1985000</v>
      </c>
      <c r="J9107" s="74">
        <f>IF(E9107="SERVICE",I9107-(I9107*50%),Vlookup(E9107,DATABASE!C:Q,10,false)*F9107)</f>
        <v>0</v>
      </c>
      <c r="K9107" s="74">
        <f>VLOOKUP(E9107,DATABASE!C:Q,7,false)</f>
        <v>1885000</v>
      </c>
      <c r="L9107" s="74">
        <v>1885000.0</v>
      </c>
      <c r="M9107" s="74">
        <f t="shared" si="6"/>
        <v>1885000</v>
      </c>
      <c r="N9107" s="74">
        <f t="shared" si="3"/>
        <v>100000</v>
      </c>
      <c r="O9107" s="65" t="str">
        <f>VLOOKUP(E9107,DATABASE!C:Q,8,false)</f>
        <v>BIAN</v>
      </c>
      <c r="P9107" s="65">
        <f>VLOOKUP(E9107,DATABASE!C:Q,9,False)</f>
        <v>1</v>
      </c>
      <c r="Q9107" s="93" t="str">
        <f>VLOOKUP(E9107,DATABASE!C:Q,4,false)</f>
        <v>Advance</v>
      </c>
      <c r="R9107" s="93" t="str">
        <f>VLOOKUP(E9107,DATABASE!C:Q,11,false)</f>
        <v>Tire</v>
      </c>
    </row>
    <row r="9108" ht="22.5" customHeight="1">
      <c r="A9108" s="49"/>
      <c r="C9108" s="400">
        <v>46191.0</v>
      </c>
      <c r="D9108" s="524">
        <v>62.0</v>
      </c>
      <c r="E9108" s="544" t="s">
        <v>265</v>
      </c>
      <c r="F9108" s="387">
        <v>1.0</v>
      </c>
      <c r="G9108" s="140">
        <v>700000.0</v>
      </c>
      <c r="H9108" s="74"/>
      <c r="I9108" s="74">
        <f t="shared" si="1"/>
        <v>700000</v>
      </c>
      <c r="J9108" s="74">
        <f>IF(E9108="SERVICE",I9108-(I9108*50%),Vlookup(E9108,DATABASE!C:Q,10,false)*F9108)</f>
        <v>0</v>
      </c>
      <c r="K9108" s="74">
        <f>VLOOKUP(E9108,DATABASE!C:Q,7,false)</f>
        <v>628000</v>
      </c>
      <c r="L9108" s="74">
        <v>610000.0</v>
      </c>
      <c r="M9108" s="74">
        <f t="shared" si="6"/>
        <v>610000</v>
      </c>
      <c r="N9108" s="74">
        <f t="shared" si="3"/>
        <v>90000</v>
      </c>
      <c r="O9108" s="65" t="str">
        <f>VLOOKUP(E9108,DATABASE!C:Q,8,false)</f>
        <v>IBU</v>
      </c>
      <c r="P9108" s="65">
        <f>VLOOKUP(E9108,DATABASE!C:Q,9,False)</f>
        <v>1</v>
      </c>
      <c r="Q9108" s="93" t="str">
        <f>VLOOKUP(E9108,DATABASE!C:Q,4,false)</f>
        <v>Dunlop</v>
      </c>
      <c r="R9108" s="93" t="str">
        <f>VLOOKUP(E9108,DATABASE!C:Q,11,false)</f>
        <v>Tire</v>
      </c>
    </row>
    <row r="9109" ht="22.5" customHeight="1">
      <c r="A9109" s="49"/>
      <c r="C9109" s="400">
        <v>46191.0</v>
      </c>
      <c r="D9109" s="524">
        <v>63.0</v>
      </c>
      <c r="E9109" s="544" t="s">
        <v>256</v>
      </c>
      <c r="F9109" s="387">
        <v>1.0</v>
      </c>
      <c r="G9109" s="140">
        <v>175000.0</v>
      </c>
      <c r="H9109" s="140">
        <v>25000.0</v>
      </c>
      <c r="I9109" s="74">
        <f t="shared" si="1"/>
        <v>150000</v>
      </c>
      <c r="J9109" s="74">
        <f>IF(E9109="SERVICE",I9109-(I9109*50%),Vlookup(E9109,DATABASE!C:Q,10,false)*F9109)</f>
        <v>10000</v>
      </c>
      <c r="K9109" s="74">
        <f>VLOOKUP(E9109,DATABASE!C:Q,7,false)</f>
        <v>0</v>
      </c>
      <c r="L9109" s="74">
        <v>0.0</v>
      </c>
      <c r="M9109" s="74">
        <f t="shared" si="6"/>
        <v>0</v>
      </c>
      <c r="N9109" s="74">
        <f t="shared" si="3"/>
        <v>140000</v>
      </c>
      <c r="O9109" s="65" t="str">
        <f>VLOOKUP(E9109,DATABASE!C:Q,8,false)</f>
        <v>IBU</v>
      </c>
      <c r="P9109" s="65">
        <f>VLOOKUP(E9109,DATABASE!C:Q,9,False)</f>
        <v>0</v>
      </c>
      <c r="Q9109" s="93" t="str">
        <f>VLOOKUP(E9109,DATABASE!C:Q,4,false)</f>
        <v>SPOORING</v>
      </c>
      <c r="R9109" s="93" t="str">
        <f>VLOOKUP(E9109,DATABASE!C:Q,11,false)</f>
        <v>SERVICE</v>
      </c>
    </row>
    <row r="9110" ht="22.5" customHeight="1">
      <c r="A9110" s="49"/>
      <c r="C9110" s="400">
        <v>46191.0</v>
      </c>
      <c r="D9110" s="524">
        <v>63.0</v>
      </c>
      <c r="E9110" s="544" t="s">
        <v>299</v>
      </c>
      <c r="F9110" s="387">
        <v>2.0</v>
      </c>
      <c r="G9110" s="140">
        <v>30000.0</v>
      </c>
      <c r="H9110" s="74"/>
      <c r="I9110" s="74">
        <f t="shared" si="1"/>
        <v>60000</v>
      </c>
      <c r="J9110" s="74">
        <f>IF(E9110="SERVICE",I9110-(I9110*50%),Vlookup(E9110,DATABASE!C:Q,10,false)*F9110)</f>
        <v>0</v>
      </c>
      <c r="K9110" s="74">
        <f>VLOOKUP(E9110,DATABASE!C:Q,7,false)</f>
        <v>10000</v>
      </c>
      <c r="L9110" s="74">
        <v>10000.0</v>
      </c>
      <c r="M9110" s="74">
        <f t="shared" si="6"/>
        <v>10000</v>
      </c>
      <c r="N9110" s="74">
        <f t="shared" si="3"/>
        <v>40000</v>
      </c>
      <c r="O9110" s="65" t="str">
        <f>VLOOKUP(E9110,DATABASE!C:Q,8,false)</f>
        <v>BIAN</v>
      </c>
      <c r="P9110" s="65">
        <f>VLOOKUP(E9110,DATABASE!C:Q,9,False)</f>
        <v>0</v>
      </c>
      <c r="Q9110" s="93" t="str">
        <f>VLOOKUP(E9110,DATABASE!C:Q,4,false)</f>
        <v>Balancing</v>
      </c>
      <c r="R9110" s="93" t="str">
        <f>VLOOKUP(E9110,DATABASE!C:Q,11,false)</f>
        <v>COMPLEMENTARY</v>
      </c>
    </row>
    <row r="9111" ht="22.5" customHeight="1">
      <c r="A9111" s="49"/>
      <c r="C9111" s="400">
        <v>46191.0</v>
      </c>
      <c r="D9111" s="524">
        <v>63.0</v>
      </c>
      <c r="E9111" s="544" t="s">
        <v>251</v>
      </c>
      <c r="F9111" s="387">
        <v>1.0</v>
      </c>
      <c r="G9111" s="140">
        <v>350000.0</v>
      </c>
      <c r="H9111" s="140">
        <v>200000.0</v>
      </c>
      <c r="I9111" s="74">
        <f t="shared" si="1"/>
        <v>150000</v>
      </c>
      <c r="J9111" s="74">
        <f>IF(E9111="SERVICE",I9111-(I9111*50%),Vlookup(E9111,DATABASE!C:Q,10,false)*F9111)</f>
        <v>75000</v>
      </c>
      <c r="K9111" s="74">
        <f>VLOOKUP(E9111,DATABASE!C:Q,7,false)</f>
        <v>0</v>
      </c>
      <c r="L9111" s="74">
        <v>0.0</v>
      </c>
      <c r="M9111" s="74">
        <f t="shared" si="6"/>
        <v>0</v>
      </c>
      <c r="N9111" s="74">
        <f t="shared" si="3"/>
        <v>75000</v>
      </c>
      <c r="O9111" s="65" t="str">
        <f>VLOOKUP(E9111,DATABASE!C:Q,8,false)</f>
        <v>IBU</v>
      </c>
      <c r="P9111" s="65">
        <f>VLOOKUP(E9111,DATABASE!C:Q,9,False)</f>
        <v>0</v>
      </c>
      <c r="Q9111" s="93" t="str">
        <f>VLOOKUP(E9111,DATABASE!C:Q,4,false)</f>
        <v>SERVICE</v>
      </c>
      <c r="R9111" s="93" t="str">
        <f>VLOOKUP(E9111,DATABASE!C:Q,11,false)</f>
        <v>SERVICE</v>
      </c>
    </row>
    <row r="9112" ht="22.5" customHeight="1">
      <c r="A9112" s="49"/>
      <c r="C9112" s="400">
        <v>46191.0</v>
      </c>
      <c r="D9112" s="524">
        <v>66.0</v>
      </c>
      <c r="E9112" s="544" t="s">
        <v>554</v>
      </c>
      <c r="F9112" s="387">
        <v>1.0</v>
      </c>
      <c r="G9112" s="140">
        <v>800000.0</v>
      </c>
      <c r="H9112" s="74"/>
      <c r="I9112" s="74">
        <f t="shared" si="1"/>
        <v>800000</v>
      </c>
      <c r="J9112" s="74">
        <f>IF(E9112="SERVICE",I9112-(I9112*50%),Vlookup(E9112,DATABASE!C:Q,10,false)*F9112)</f>
        <v>0</v>
      </c>
      <c r="K9112" s="74">
        <f>VLOOKUP(E9112,DATABASE!C:Q,7,false)</f>
        <v>710000</v>
      </c>
      <c r="L9112" s="74">
        <v>705000.0</v>
      </c>
      <c r="M9112" s="74">
        <f t="shared" si="6"/>
        <v>705000</v>
      </c>
      <c r="N9112" s="74">
        <f t="shared" si="3"/>
        <v>95000</v>
      </c>
      <c r="O9112" s="65" t="str">
        <f>VLOOKUP(E9112,DATABASE!C:Q,8,false)</f>
        <v>IBU</v>
      </c>
      <c r="P9112" s="65">
        <f>VLOOKUP(E9112,DATABASE!C:Q,9,False)</f>
        <v>1</v>
      </c>
      <c r="Q9112" s="93" t="str">
        <f>VLOOKUP(E9112,DATABASE!C:Q,4,false)</f>
        <v>Bridgestone</v>
      </c>
      <c r="R9112" s="93" t="str">
        <f>VLOOKUP(E9112,DATABASE!C:Q,11,false)</f>
        <v>Tire</v>
      </c>
    </row>
    <row r="9113" ht="22.5" customHeight="1">
      <c r="A9113" s="49"/>
      <c r="C9113" s="400">
        <v>46191.0</v>
      </c>
      <c r="D9113" s="524">
        <v>68.0</v>
      </c>
      <c r="E9113" s="544" t="s">
        <v>290</v>
      </c>
      <c r="F9113" s="387">
        <v>1.0</v>
      </c>
      <c r="G9113" s="140">
        <v>720000.0</v>
      </c>
      <c r="H9113" s="74"/>
      <c r="I9113" s="74">
        <f t="shared" si="1"/>
        <v>720000</v>
      </c>
      <c r="J9113" s="74">
        <f>IF(E9113="SERVICE",I9113-(I9113*50%),Vlookup(E9113,DATABASE!C:Q,10,false)*F9113)</f>
        <v>0</v>
      </c>
      <c r="K9113" s="74">
        <f>VLOOKUP(E9113,DATABASE!C:Q,7,false)</f>
        <v>628100</v>
      </c>
      <c r="L9113" s="74">
        <v>628100.0</v>
      </c>
      <c r="M9113" s="74">
        <f t="shared" si="6"/>
        <v>630000</v>
      </c>
      <c r="N9113" s="74">
        <f t="shared" si="3"/>
        <v>90000</v>
      </c>
      <c r="O9113" s="65" t="str">
        <f>VLOOKUP(E9113,DATABASE!C:Q,8,false)</f>
        <v>BIAN</v>
      </c>
      <c r="P9113" s="65">
        <f>VLOOKUP(E9113,DATABASE!C:Q,9,False)</f>
        <v>1</v>
      </c>
      <c r="Q9113" s="93" t="str">
        <f>VLOOKUP(E9113,DATABASE!C:Q,4,false)</f>
        <v>GT</v>
      </c>
      <c r="R9113" s="93" t="str">
        <f>VLOOKUP(E9113,DATABASE!C:Q,11,false)</f>
        <v>Tire</v>
      </c>
    </row>
    <row r="9114" ht="22.5" customHeight="1">
      <c r="A9114" s="49"/>
      <c r="C9114" s="400">
        <v>46191.0</v>
      </c>
      <c r="D9114" s="524">
        <v>69.0</v>
      </c>
      <c r="E9114" s="544" t="s">
        <v>1439</v>
      </c>
      <c r="F9114" s="387">
        <v>1.0</v>
      </c>
      <c r="G9114" s="140">
        <v>645000.0</v>
      </c>
      <c r="H9114" s="74"/>
      <c r="I9114" s="74">
        <f t="shared" si="1"/>
        <v>645000</v>
      </c>
      <c r="J9114" s="74">
        <f>IF(E9114="SERVICE",I9114-(I9114*50%),Vlookup(E9114,DATABASE!C:Q,10,false)*F9114)</f>
        <v>0</v>
      </c>
      <c r="K9114" s="74">
        <f>VLOOKUP(E9114,DATABASE!C:Q,7,false)</f>
        <v>556800</v>
      </c>
      <c r="L9114" s="74">
        <v>556800.0</v>
      </c>
      <c r="M9114" s="74">
        <f t="shared" si="6"/>
        <v>560000</v>
      </c>
      <c r="N9114" s="74">
        <f t="shared" si="3"/>
        <v>85000</v>
      </c>
      <c r="O9114" s="65" t="str">
        <f>VLOOKUP(E9114,DATABASE!C:Q,8,false)</f>
        <v>BIAN</v>
      </c>
      <c r="P9114" s="65">
        <f>VLOOKUP(E9114,DATABASE!C:Q,9,False)</f>
        <v>1</v>
      </c>
      <c r="Q9114" s="93" t="str">
        <f>VLOOKUP(E9114,DATABASE!C:Q,4,false)</f>
        <v>GT</v>
      </c>
      <c r="R9114" s="93" t="str">
        <f>VLOOKUP(E9114,DATABASE!C:Q,11,false)</f>
        <v>Tire</v>
      </c>
    </row>
    <row r="9115" ht="22.5" customHeight="1">
      <c r="A9115" s="49"/>
      <c r="C9115" s="400">
        <v>46191.0</v>
      </c>
      <c r="D9115" s="524">
        <v>70.0</v>
      </c>
      <c r="E9115" s="544" t="s">
        <v>591</v>
      </c>
      <c r="F9115" s="387">
        <v>2.0</v>
      </c>
      <c r="G9115" s="140">
        <v>710000.0</v>
      </c>
      <c r="H9115" s="140">
        <v>10000.0</v>
      </c>
      <c r="I9115" s="74">
        <f t="shared" si="1"/>
        <v>1400000</v>
      </c>
      <c r="J9115" s="74">
        <f>IF(E9115="SERVICE",I9115-(I9115*50%),Vlookup(E9115,DATABASE!C:Q,10,false)*F9115)</f>
        <v>0</v>
      </c>
      <c r="K9115" s="74">
        <f>VLOOKUP(E9115,DATABASE!C:Q,7,false)</f>
        <v>633035.16</v>
      </c>
      <c r="L9115" s="74">
        <v>609844.375</v>
      </c>
      <c r="M9115" s="74">
        <f t="shared" si="6"/>
        <v>610000</v>
      </c>
      <c r="N9115" s="74">
        <f t="shared" si="3"/>
        <v>180000</v>
      </c>
      <c r="O9115" s="65" t="str">
        <f>VLOOKUP(E9115,DATABASE!C:Q,8,false)</f>
        <v>IBU</v>
      </c>
      <c r="P9115" s="65">
        <f>VLOOKUP(E9115,DATABASE!C:Q,9,False)</f>
        <v>1</v>
      </c>
      <c r="Q9115" s="93" t="str">
        <f>VLOOKUP(E9115,DATABASE!C:Q,4,false)</f>
        <v>Bridgestone</v>
      </c>
      <c r="R9115" s="93" t="str">
        <f>VLOOKUP(E9115,DATABASE!C:Q,11,false)</f>
        <v>Tire</v>
      </c>
    </row>
    <row r="9116" ht="22.5" customHeight="1">
      <c r="A9116" s="49"/>
      <c r="C9116" s="400">
        <v>46191.0</v>
      </c>
      <c r="D9116" s="524">
        <v>71.0</v>
      </c>
      <c r="E9116" s="544" t="s">
        <v>256</v>
      </c>
      <c r="F9116" s="387">
        <v>1.0</v>
      </c>
      <c r="G9116" s="140">
        <v>175000.0</v>
      </c>
      <c r="H9116" s="140">
        <v>25000.0</v>
      </c>
      <c r="I9116" s="74">
        <f t="shared" si="1"/>
        <v>150000</v>
      </c>
      <c r="J9116" s="74">
        <f>IF(E9116="SERVICE",I9116-(I9116*50%),Vlookup(E9116,DATABASE!C:Q,10,false)*F9116)</f>
        <v>10000</v>
      </c>
      <c r="K9116" s="74">
        <f>VLOOKUP(E9116,DATABASE!C:Q,7,false)</f>
        <v>0</v>
      </c>
      <c r="L9116" s="74">
        <v>0.0</v>
      </c>
      <c r="M9116" s="74">
        <f t="shared" si="6"/>
        <v>0</v>
      </c>
      <c r="N9116" s="74">
        <f t="shared" si="3"/>
        <v>140000</v>
      </c>
      <c r="O9116" s="65" t="str">
        <f>VLOOKUP(E9116,DATABASE!C:Q,8,false)</f>
        <v>IBU</v>
      </c>
      <c r="P9116" s="65">
        <f>VLOOKUP(E9116,DATABASE!C:Q,9,False)</f>
        <v>0</v>
      </c>
      <c r="Q9116" s="93" t="str">
        <f>VLOOKUP(E9116,DATABASE!C:Q,4,false)</f>
        <v>SPOORING</v>
      </c>
      <c r="R9116" s="93" t="str">
        <f>VLOOKUP(E9116,DATABASE!C:Q,11,false)</f>
        <v>SERVICE</v>
      </c>
    </row>
    <row r="9117" ht="22.5" customHeight="1">
      <c r="A9117" s="49"/>
      <c r="C9117" s="400">
        <v>46191.0</v>
      </c>
      <c r="D9117" s="524">
        <v>71.0</v>
      </c>
      <c r="E9117" s="544" t="s">
        <v>251</v>
      </c>
      <c r="F9117" s="387">
        <v>1.0</v>
      </c>
      <c r="G9117" s="140">
        <v>350000.0</v>
      </c>
      <c r="H9117" s="140">
        <v>200000.0</v>
      </c>
      <c r="I9117" s="74">
        <f t="shared" si="1"/>
        <v>150000</v>
      </c>
      <c r="J9117" s="74">
        <f>IF(E9117="SERVICE",I9117-(I9117*50%),Vlookup(E9117,DATABASE!C:Q,10,false)*F9117)</f>
        <v>75000</v>
      </c>
      <c r="K9117" s="74">
        <f>VLOOKUP(E9117,DATABASE!C:Q,7,false)</f>
        <v>0</v>
      </c>
      <c r="L9117" s="74">
        <v>0.0</v>
      </c>
      <c r="M9117" s="74">
        <f t="shared" si="6"/>
        <v>0</v>
      </c>
      <c r="N9117" s="74">
        <f t="shared" si="3"/>
        <v>75000</v>
      </c>
      <c r="O9117" s="65" t="str">
        <f>VLOOKUP(E9117,DATABASE!C:Q,8,false)</f>
        <v>IBU</v>
      </c>
      <c r="P9117" s="65">
        <f>VLOOKUP(E9117,DATABASE!C:Q,9,False)</f>
        <v>0</v>
      </c>
      <c r="Q9117" s="93" t="str">
        <f>VLOOKUP(E9117,DATABASE!C:Q,4,false)</f>
        <v>SERVICE</v>
      </c>
      <c r="R9117" s="93" t="str">
        <f>VLOOKUP(E9117,DATABASE!C:Q,11,false)</f>
        <v>SERVICE</v>
      </c>
    </row>
    <row r="9118" ht="22.5" customHeight="1">
      <c r="A9118" s="49"/>
      <c r="C9118" s="400">
        <v>46191.0</v>
      </c>
      <c r="D9118" s="524">
        <v>72.0</v>
      </c>
      <c r="E9118" s="544" t="s">
        <v>262</v>
      </c>
      <c r="F9118" s="387">
        <v>1.0</v>
      </c>
      <c r="G9118" s="140">
        <v>130000.0</v>
      </c>
      <c r="H9118" s="74"/>
      <c r="I9118" s="74">
        <f t="shared" si="1"/>
        <v>130000</v>
      </c>
      <c r="J9118" s="74">
        <f>IF(E9118="SERVICE",I9118-(I9118*50%),Vlookup(E9118,DATABASE!C:Q,10,false)*F9118)</f>
        <v>5000</v>
      </c>
      <c r="K9118" s="74">
        <f>VLOOKUP(E9118,DATABASE!C:Q,7,false)</f>
        <v>0</v>
      </c>
      <c r="L9118" s="74">
        <v>0.0</v>
      </c>
      <c r="M9118" s="74">
        <f t="shared" si="6"/>
        <v>0</v>
      </c>
      <c r="N9118" s="74">
        <f t="shared" si="3"/>
        <v>125000</v>
      </c>
      <c r="O9118" s="65" t="str">
        <f>VLOOKUP(E9118,DATABASE!C:Q,8,false)</f>
        <v>IBU</v>
      </c>
      <c r="P9118" s="65">
        <f>VLOOKUP(E9118,DATABASE!C:Q,9,False)</f>
        <v>0</v>
      </c>
      <c r="Q9118" s="93" t="str">
        <f>VLOOKUP(E9118,DATABASE!C:Q,4,false)</f>
        <v>SPOORING SS/CARRY LOS BAK</v>
      </c>
      <c r="R9118" s="93" t="str">
        <f>VLOOKUP(E9118,DATABASE!C:Q,11,false)</f>
        <v>SERVICE</v>
      </c>
    </row>
    <row r="9119" ht="22.5" customHeight="1">
      <c r="A9119" s="49"/>
      <c r="C9119" s="400">
        <v>46191.0</v>
      </c>
      <c r="D9119" s="524">
        <v>72.0</v>
      </c>
      <c r="E9119" s="544" t="s">
        <v>301</v>
      </c>
      <c r="F9119" s="387">
        <v>1.0</v>
      </c>
      <c r="G9119" s="140">
        <v>250000.0</v>
      </c>
      <c r="H9119" s="74"/>
      <c r="I9119" s="74">
        <f t="shared" si="1"/>
        <v>250000</v>
      </c>
      <c r="J9119" s="74">
        <f>IF(E9119="SERVICE",I9119-(I9119*50%),Vlookup(E9119,DATABASE!C:Q,10,false)*F9119)</f>
        <v>75000</v>
      </c>
      <c r="K9119" s="74">
        <f>VLOOKUP(E9119,DATABASE!C:Q,7,false)</f>
        <v>75000</v>
      </c>
      <c r="L9119" s="74">
        <v>75000.0</v>
      </c>
      <c r="M9119" s="74">
        <f t="shared" si="6"/>
        <v>75000</v>
      </c>
      <c r="N9119" s="74">
        <f t="shared" si="3"/>
        <v>100000</v>
      </c>
      <c r="O9119" s="65" t="str">
        <f>VLOOKUP(E9119,DATABASE!C:Q,8,false)</f>
        <v>BIAN</v>
      </c>
      <c r="P9119" s="65">
        <f>VLOOKUP(E9119,DATABASE!C:Q,9,False)</f>
        <v>0</v>
      </c>
      <c r="Q9119" s="93" t="str">
        <f>VLOOKUP(E9119,DATABASE!C:Q,4,false)</f>
        <v>Baut Camber</v>
      </c>
      <c r="R9119" s="93" t="str">
        <f>VLOOKUP(E9119,DATABASE!C:Q,11,false)</f>
        <v>COMPLEMENTARY</v>
      </c>
    </row>
    <row r="9120" ht="22.5" customHeight="1">
      <c r="A9120" s="49"/>
      <c r="C9120" s="400">
        <v>46191.0</v>
      </c>
      <c r="D9120" s="524">
        <v>73.0</v>
      </c>
      <c r="E9120" s="544" t="s">
        <v>930</v>
      </c>
      <c r="F9120" s="387">
        <v>1.0</v>
      </c>
      <c r="G9120" s="140">
        <v>750000.0</v>
      </c>
      <c r="H9120" s="140">
        <v>150000.0</v>
      </c>
      <c r="I9120" s="74">
        <f t="shared" si="1"/>
        <v>600000</v>
      </c>
      <c r="J9120" s="74">
        <f>IF(E9120="SERVICE",I9120-(I9120*50%),Vlookup(E9120,DATABASE!C:Q,10,false)*F9120)</f>
        <v>0</v>
      </c>
      <c r="K9120" s="74">
        <f>VLOOKUP(E9120,DATABASE!C:Q,7,false)</f>
        <v>634099.2</v>
      </c>
      <c r="L9120" s="140">
        <v>600000.0</v>
      </c>
      <c r="M9120" s="74">
        <f t="shared" si="6"/>
        <v>600000</v>
      </c>
      <c r="N9120" s="74">
        <f t="shared" si="3"/>
        <v>0</v>
      </c>
      <c r="O9120" s="65" t="str">
        <f>VLOOKUP(E9120,DATABASE!C:Q,8,false)</f>
        <v>IBU</v>
      </c>
      <c r="P9120" s="65">
        <f>VLOOKUP(E9120,DATABASE!C:Q,9,False)</f>
        <v>1</v>
      </c>
      <c r="Q9120" s="93" t="str">
        <f>VLOOKUP(E9120,DATABASE!C:Q,4,false)</f>
        <v>Bridgestone</v>
      </c>
      <c r="R9120" s="93" t="str">
        <f>VLOOKUP(E9120,DATABASE!C:Q,11,false)</f>
        <v>Tire</v>
      </c>
    </row>
    <row r="9121" ht="22.5" customHeight="1">
      <c r="A9121" s="49"/>
      <c r="C9121" s="400">
        <v>46191.0</v>
      </c>
      <c r="D9121" s="69" t="s">
        <v>2847</v>
      </c>
      <c r="E9121" s="544" t="s">
        <v>263</v>
      </c>
      <c r="F9121" s="387">
        <v>1.0</v>
      </c>
      <c r="G9121" s="140">
        <v>360000.0</v>
      </c>
      <c r="H9121" s="140">
        <v>10000.0</v>
      </c>
      <c r="I9121" s="74">
        <f t="shared" si="1"/>
        <v>350000</v>
      </c>
      <c r="J9121" s="74">
        <f>IF(E9121="SERVICE",I9121-(I9121*50%),Vlookup(E9121,DATABASE!C:Q,10,false)*F9121)</f>
        <v>0</v>
      </c>
      <c r="K9121" s="74">
        <f>VLOOKUP(E9121,DATABASE!C:Q,7,false)</f>
        <v>334916</v>
      </c>
      <c r="L9121" s="74">
        <v>307676.0</v>
      </c>
      <c r="M9121" s="74">
        <f t="shared" si="6"/>
        <v>310000</v>
      </c>
      <c r="N9121" s="74">
        <f t="shared" si="3"/>
        <v>40000</v>
      </c>
      <c r="O9121" s="65" t="str">
        <f>VLOOKUP(E9121,DATABASE!C:Q,8,false)</f>
        <v>NON</v>
      </c>
      <c r="P9121" s="65">
        <f>VLOOKUP(E9121,DATABASE!C:Q,9,False)</f>
        <v>0</v>
      </c>
      <c r="Q9121" s="93" t="str">
        <f>VLOOKUP(E9121,DATABASE!C:Q,4,false)</f>
        <v>Shell</v>
      </c>
      <c r="R9121" s="93" t="str">
        <f>VLOOKUP(E9121,DATABASE!C:Q,11,false)</f>
        <v>OIL</v>
      </c>
    </row>
    <row r="9122" ht="22.5" customHeight="1">
      <c r="A9122" s="49"/>
      <c r="C9122" s="400">
        <v>46191.0</v>
      </c>
      <c r="D9122" s="69" t="s">
        <v>2847</v>
      </c>
      <c r="E9122" s="544" t="s">
        <v>298</v>
      </c>
      <c r="F9122" s="387">
        <v>1.0</v>
      </c>
      <c r="G9122" s="140">
        <v>25000.0</v>
      </c>
      <c r="H9122" s="74"/>
      <c r="I9122" s="74">
        <f t="shared" si="1"/>
        <v>25000</v>
      </c>
      <c r="J9122" s="74">
        <f>IF(E9122="SERVICE",I9122-(I9122*50%),Vlookup(E9122,DATABASE!C:Q,10,false)*F9122)</f>
        <v>0</v>
      </c>
      <c r="K9122" s="74">
        <f>VLOOKUP(E9122,DATABASE!C:Q,7,false)</f>
        <v>19200</v>
      </c>
      <c r="L9122" s="74">
        <v>19200.0</v>
      </c>
      <c r="M9122" s="74">
        <f t="shared" si="6"/>
        <v>20000</v>
      </c>
      <c r="N9122" s="74">
        <f t="shared" si="3"/>
        <v>5000</v>
      </c>
      <c r="O9122" s="65" t="str">
        <f>VLOOKUP(E9122,DATABASE!C:Q,8,false)</f>
        <v>BIAN</v>
      </c>
      <c r="P9122" s="65">
        <f>VLOOKUP(E9122,DATABASE!C:Q,9,False)</f>
        <v>0</v>
      </c>
      <c r="Q9122" s="93" t="str">
        <f>VLOOKUP(E9122,DATABASE!C:Q,4,false)</f>
        <v>Aspira</v>
      </c>
      <c r="R9122" s="93" t="str">
        <f>VLOOKUP(E9122,DATABASE!C:Q,11,false)</f>
        <v>COMPLEMENTARY</v>
      </c>
    </row>
    <row r="9123" ht="22.5" customHeight="1">
      <c r="A9123" s="49"/>
      <c r="C9123" s="400">
        <v>46191.0</v>
      </c>
      <c r="D9123" s="69" t="s">
        <v>2848</v>
      </c>
      <c r="E9123" s="544" t="s">
        <v>248</v>
      </c>
      <c r="F9123" s="387">
        <v>1.0</v>
      </c>
      <c r="G9123" s="140">
        <v>250000.0</v>
      </c>
      <c r="H9123" s="74"/>
      <c r="I9123" s="74">
        <f t="shared" si="1"/>
        <v>250000</v>
      </c>
      <c r="J9123" s="74">
        <f>IF(E9123="SERVICE",I9123-(I9123*50%),Vlookup(E9123,DATABASE!C:Q,10,false)*F9123)</f>
        <v>0</v>
      </c>
      <c r="K9123" s="74">
        <f>VLOOKUP(E9123,DATABASE!C:Q,7,false)</f>
        <v>209816.66</v>
      </c>
      <c r="L9123" s="74">
        <v>209816.66</v>
      </c>
      <c r="M9123" s="74">
        <f t="shared" si="6"/>
        <v>210000</v>
      </c>
      <c r="N9123" s="74">
        <f t="shared" si="3"/>
        <v>40000</v>
      </c>
      <c r="O9123" s="65" t="str">
        <f>VLOOKUP(E9123,DATABASE!C:Q,8,false)</f>
        <v>NON</v>
      </c>
      <c r="P9123" s="65">
        <f>VLOOKUP(E9123,DATABASE!C:Q,9,False)</f>
        <v>0</v>
      </c>
      <c r="Q9123" s="93" t="str">
        <f>VLOOKUP(E9123,DATABASE!C:Q,4,false)</f>
        <v>Pertamina</v>
      </c>
      <c r="R9123" s="93" t="str">
        <f>VLOOKUP(E9123,DATABASE!C:Q,11,false)</f>
        <v>OIL</v>
      </c>
    </row>
    <row r="9124" ht="22.5" customHeight="1">
      <c r="A9124" s="49"/>
      <c r="C9124" s="400">
        <v>46191.0</v>
      </c>
      <c r="D9124" s="69" t="s">
        <v>2848</v>
      </c>
      <c r="E9124" s="544" t="s">
        <v>298</v>
      </c>
      <c r="F9124" s="387">
        <v>1.0</v>
      </c>
      <c r="G9124" s="140">
        <v>25000.0</v>
      </c>
      <c r="H9124" s="74"/>
      <c r="I9124" s="74">
        <f t="shared" si="1"/>
        <v>25000</v>
      </c>
      <c r="J9124" s="74">
        <f>IF(E9124="SERVICE",I9124-(I9124*50%),Vlookup(E9124,DATABASE!C:Q,10,false)*F9124)</f>
        <v>0</v>
      </c>
      <c r="K9124" s="74">
        <f>VLOOKUP(E9124,DATABASE!C:Q,7,false)</f>
        <v>19200</v>
      </c>
      <c r="L9124" s="74">
        <v>19200.0</v>
      </c>
      <c r="M9124" s="74">
        <f t="shared" si="6"/>
        <v>20000</v>
      </c>
      <c r="N9124" s="74">
        <f t="shared" si="3"/>
        <v>5000</v>
      </c>
      <c r="O9124" s="65" t="str">
        <f>VLOOKUP(E9124,DATABASE!C:Q,8,false)</f>
        <v>BIAN</v>
      </c>
      <c r="P9124" s="65">
        <f>VLOOKUP(E9124,DATABASE!C:Q,9,False)</f>
        <v>0</v>
      </c>
      <c r="Q9124" s="93" t="str">
        <f>VLOOKUP(E9124,DATABASE!C:Q,4,false)</f>
        <v>Aspira</v>
      </c>
      <c r="R9124" s="93" t="str">
        <f>VLOOKUP(E9124,DATABASE!C:Q,11,false)</f>
        <v>COMPLEMENTARY</v>
      </c>
    </row>
    <row r="9125" ht="22.5" customHeight="1">
      <c r="A9125" s="49"/>
      <c r="C9125" s="400">
        <v>46192.0</v>
      </c>
      <c r="D9125" s="524">
        <v>74.0</v>
      </c>
      <c r="E9125" s="544" t="s">
        <v>299</v>
      </c>
      <c r="F9125" s="387">
        <v>2.0</v>
      </c>
      <c r="G9125" s="140">
        <v>30000.0</v>
      </c>
      <c r="H9125" s="74"/>
      <c r="I9125" s="74">
        <f t="shared" si="1"/>
        <v>60000</v>
      </c>
      <c r="J9125" s="74">
        <f>IF(E9125="SERVICE",I9125-(I9125*50%),Vlookup(E9125,DATABASE!C:Q,10,false)*F9125)</f>
        <v>0</v>
      </c>
      <c r="K9125" s="74">
        <f>VLOOKUP(E9125,DATABASE!C:Q,7,false)</f>
        <v>10000</v>
      </c>
      <c r="L9125" s="74">
        <v>10000.0</v>
      </c>
      <c r="M9125" s="74">
        <f t="shared" si="6"/>
        <v>10000</v>
      </c>
      <c r="N9125" s="74">
        <f t="shared" si="3"/>
        <v>40000</v>
      </c>
      <c r="O9125" s="65" t="str">
        <f>VLOOKUP(E9125,DATABASE!C:Q,8,false)</f>
        <v>BIAN</v>
      </c>
      <c r="P9125" s="65">
        <f>VLOOKUP(E9125,DATABASE!C:Q,9,False)</f>
        <v>0</v>
      </c>
      <c r="Q9125" s="93" t="str">
        <f>VLOOKUP(E9125,DATABASE!C:Q,4,false)</f>
        <v>Balancing</v>
      </c>
      <c r="R9125" s="93" t="str">
        <f>VLOOKUP(E9125,DATABASE!C:Q,11,false)</f>
        <v>COMPLEMENTARY</v>
      </c>
    </row>
    <row r="9126" ht="22.5" customHeight="1">
      <c r="A9126" s="49"/>
      <c r="C9126" s="400">
        <v>46192.0</v>
      </c>
      <c r="D9126" s="524">
        <v>75.0</v>
      </c>
      <c r="E9126" s="544" t="s">
        <v>262</v>
      </c>
      <c r="F9126" s="387">
        <v>1.0</v>
      </c>
      <c r="G9126" s="140">
        <v>130000.0</v>
      </c>
      <c r="H9126" s="74"/>
      <c r="I9126" s="74">
        <f t="shared" si="1"/>
        <v>130000</v>
      </c>
      <c r="J9126" s="74">
        <f>IF(E9126="SERVICE",I9126-(I9126*50%),Vlookup(E9126,DATABASE!C:Q,10,false)*F9126)</f>
        <v>5000</v>
      </c>
      <c r="K9126" s="74">
        <f>VLOOKUP(E9126,DATABASE!C:Q,7,false)</f>
        <v>0</v>
      </c>
      <c r="L9126" s="74">
        <v>0.0</v>
      </c>
      <c r="M9126" s="74">
        <f t="shared" si="6"/>
        <v>0</v>
      </c>
      <c r="N9126" s="74">
        <f t="shared" si="3"/>
        <v>125000</v>
      </c>
      <c r="O9126" s="65" t="str">
        <f>VLOOKUP(E9126,DATABASE!C:Q,8,false)</f>
        <v>IBU</v>
      </c>
      <c r="P9126" s="65">
        <f>VLOOKUP(E9126,DATABASE!C:Q,9,False)</f>
        <v>0</v>
      </c>
      <c r="Q9126" s="93" t="str">
        <f>VLOOKUP(E9126,DATABASE!C:Q,4,false)</f>
        <v>SPOORING SS/CARRY LOS BAK</v>
      </c>
      <c r="R9126" s="93" t="str">
        <f>VLOOKUP(E9126,DATABASE!C:Q,11,false)</f>
        <v>SERVICE</v>
      </c>
    </row>
    <row r="9127" ht="22.5" customHeight="1">
      <c r="A9127" s="49"/>
      <c r="C9127" s="400">
        <v>46192.0</v>
      </c>
      <c r="D9127" s="524">
        <v>75.0</v>
      </c>
      <c r="E9127" s="544" t="s">
        <v>299</v>
      </c>
      <c r="F9127" s="387">
        <v>2.0</v>
      </c>
      <c r="G9127" s="140">
        <v>30000.0</v>
      </c>
      <c r="H9127" s="74"/>
      <c r="I9127" s="74">
        <f t="shared" si="1"/>
        <v>60000</v>
      </c>
      <c r="J9127" s="74">
        <f>IF(E9127="SERVICE",I9127-(I9127*50%),Vlookup(E9127,DATABASE!C:Q,10,false)*F9127)</f>
        <v>0</v>
      </c>
      <c r="K9127" s="74">
        <f>VLOOKUP(E9127,DATABASE!C:Q,7,false)</f>
        <v>10000</v>
      </c>
      <c r="L9127" s="74">
        <v>10000.0</v>
      </c>
      <c r="M9127" s="74">
        <f t="shared" si="6"/>
        <v>10000</v>
      </c>
      <c r="N9127" s="74">
        <f t="shared" si="3"/>
        <v>40000</v>
      </c>
      <c r="O9127" s="65" t="str">
        <f>VLOOKUP(E9127,DATABASE!C:Q,8,false)</f>
        <v>BIAN</v>
      </c>
      <c r="P9127" s="65">
        <f>VLOOKUP(E9127,DATABASE!C:Q,9,False)</f>
        <v>0</v>
      </c>
      <c r="Q9127" s="93" t="str">
        <f>VLOOKUP(E9127,DATABASE!C:Q,4,false)</f>
        <v>Balancing</v>
      </c>
      <c r="R9127" s="93" t="str">
        <f>VLOOKUP(E9127,DATABASE!C:Q,11,false)</f>
        <v>COMPLEMENTARY</v>
      </c>
    </row>
    <row r="9128" ht="22.5" customHeight="1">
      <c r="A9128" s="49"/>
      <c r="C9128" s="400">
        <v>46192.0</v>
      </c>
      <c r="D9128" s="524">
        <v>76.0</v>
      </c>
      <c r="E9128" s="544" t="s">
        <v>286</v>
      </c>
      <c r="F9128" s="387">
        <v>14.0</v>
      </c>
      <c r="G9128" s="140">
        <v>560000.0</v>
      </c>
      <c r="H9128" s="140">
        <v>10000.0</v>
      </c>
      <c r="I9128" s="74">
        <f t="shared" si="1"/>
        <v>7700000</v>
      </c>
      <c r="J9128" s="74">
        <f>IF(E9128="SERVICE",I9128-(I9128*50%),Vlookup(E9128,DATABASE!C:Q,10,false)*F9128)</f>
        <v>0</v>
      </c>
      <c r="K9128" s="74">
        <f>VLOOKUP(E9128,DATABASE!C:Q,7,false)</f>
        <v>488320</v>
      </c>
      <c r="L9128" s="74">
        <v>459420.0</v>
      </c>
      <c r="M9128" s="74">
        <f t="shared" si="6"/>
        <v>460000</v>
      </c>
      <c r="N9128" s="74">
        <f t="shared" si="3"/>
        <v>1260000</v>
      </c>
      <c r="O9128" s="65" t="str">
        <f>VLOOKUP(E9128,DATABASE!C:Q,8,false)</f>
        <v>BIAN</v>
      </c>
      <c r="P9128" s="65">
        <f>VLOOKUP(E9128,DATABASE!C:Q,9,False)</f>
        <v>1</v>
      </c>
      <c r="Q9128" s="93" t="str">
        <f>VLOOKUP(E9128,DATABASE!C:Q,4,false)</f>
        <v>GT</v>
      </c>
      <c r="R9128" s="93" t="str">
        <f>VLOOKUP(E9128,DATABASE!C:Q,11,false)</f>
        <v>Tire</v>
      </c>
    </row>
    <row r="9129" ht="22.5" customHeight="1">
      <c r="A9129" s="49"/>
      <c r="C9129" s="400">
        <v>46192.0</v>
      </c>
      <c r="D9129" s="524">
        <v>77.0</v>
      </c>
      <c r="E9129" s="544" t="s">
        <v>856</v>
      </c>
      <c r="F9129" s="387">
        <v>2.0</v>
      </c>
      <c r="G9129" s="140">
        <v>690000.0</v>
      </c>
      <c r="H9129" s="74"/>
      <c r="I9129" s="74">
        <f t="shared" si="1"/>
        <v>1380000</v>
      </c>
      <c r="J9129" s="74">
        <f>IF(E9129="SERVICE",I9129-(I9129*50%),Vlookup(E9129,DATABASE!C:Q,10,false)*F9129)</f>
        <v>0</v>
      </c>
      <c r="K9129" s="74">
        <f>VLOOKUP(E9129,DATABASE!C:Q,7,false)</f>
        <v>615300</v>
      </c>
      <c r="L9129" s="74">
        <v>604200.0</v>
      </c>
      <c r="M9129" s="74">
        <f t="shared" si="6"/>
        <v>605000</v>
      </c>
      <c r="N9129" s="74">
        <f t="shared" si="3"/>
        <v>170000</v>
      </c>
      <c r="O9129" s="65" t="str">
        <f>VLOOKUP(E9129,DATABASE!C:Q,8,false)</f>
        <v>BIAN</v>
      </c>
      <c r="P9129" s="65">
        <f>VLOOKUP(E9129,DATABASE!C:Q,9,False)</f>
        <v>1</v>
      </c>
      <c r="Q9129" s="93" t="str">
        <f>VLOOKUP(E9129,DATABASE!C:Q,4,false)</f>
        <v>GT</v>
      </c>
      <c r="R9129" s="93" t="str">
        <f>VLOOKUP(E9129,DATABASE!C:Q,11,false)</f>
        <v>Tire</v>
      </c>
    </row>
    <row r="9130" ht="22.5" customHeight="1">
      <c r="A9130" s="49"/>
      <c r="C9130" s="400">
        <v>46192.0</v>
      </c>
      <c r="D9130" s="524">
        <v>79.0</v>
      </c>
      <c r="E9130" s="544" t="s">
        <v>256</v>
      </c>
      <c r="F9130" s="387">
        <v>1.0</v>
      </c>
      <c r="G9130" s="140">
        <v>175000.0</v>
      </c>
      <c r="H9130" s="140">
        <v>25000.0</v>
      </c>
      <c r="I9130" s="74">
        <f t="shared" si="1"/>
        <v>150000</v>
      </c>
      <c r="J9130" s="74">
        <f>IF(E9130="SERVICE",I9130-(I9130*50%),Vlookup(E9130,DATABASE!C:Q,10,false)*F9130)</f>
        <v>10000</v>
      </c>
      <c r="K9130" s="74">
        <f>VLOOKUP(E9130,DATABASE!C:Q,7,false)</f>
        <v>0</v>
      </c>
      <c r="L9130" s="74">
        <v>0.0</v>
      </c>
      <c r="M9130" s="74">
        <f t="shared" si="6"/>
        <v>0</v>
      </c>
      <c r="N9130" s="74">
        <f t="shared" si="3"/>
        <v>140000</v>
      </c>
      <c r="O9130" s="65" t="str">
        <f>VLOOKUP(E9130,DATABASE!C:Q,8,false)</f>
        <v>IBU</v>
      </c>
      <c r="P9130" s="65">
        <f>VLOOKUP(E9130,DATABASE!C:Q,9,False)</f>
        <v>0</v>
      </c>
      <c r="Q9130" s="93" t="str">
        <f>VLOOKUP(E9130,DATABASE!C:Q,4,false)</f>
        <v>SPOORING</v>
      </c>
      <c r="R9130" s="93" t="str">
        <f>VLOOKUP(E9130,DATABASE!C:Q,11,false)</f>
        <v>SERVICE</v>
      </c>
    </row>
    <row r="9131" ht="22.5" customHeight="1">
      <c r="A9131" s="49"/>
      <c r="C9131" s="400">
        <v>46192.0</v>
      </c>
      <c r="D9131" s="524">
        <v>80.0</v>
      </c>
      <c r="E9131" s="544" t="s">
        <v>1439</v>
      </c>
      <c r="F9131" s="387">
        <v>2.0</v>
      </c>
      <c r="G9131" s="140">
        <v>645000.0</v>
      </c>
      <c r="H9131" s="74"/>
      <c r="I9131" s="74">
        <f t="shared" si="1"/>
        <v>1290000</v>
      </c>
      <c r="J9131" s="74">
        <f>IF(E9131="SERVICE",I9131-(I9131*50%),Vlookup(E9131,DATABASE!C:Q,10,false)*F9131)</f>
        <v>0</v>
      </c>
      <c r="K9131" s="74">
        <f>VLOOKUP(E9131,DATABASE!C:Q,7,false)</f>
        <v>556800</v>
      </c>
      <c r="L9131" s="74">
        <v>556800.0</v>
      </c>
      <c r="M9131" s="74">
        <f t="shared" si="6"/>
        <v>560000</v>
      </c>
      <c r="N9131" s="74">
        <f t="shared" si="3"/>
        <v>170000</v>
      </c>
      <c r="O9131" s="65" t="str">
        <f>VLOOKUP(E9131,DATABASE!C:Q,8,false)</f>
        <v>BIAN</v>
      </c>
      <c r="P9131" s="65">
        <f>VLOOKUP(E9131,DATABASE!C:Q,9,False)</f>
        <v>1</v>
      </c>
      <c r="Q9131" s="93" t="str">
        <f>VLOOKUP(E9131,DATABASE!C:Q,4,false)</f>
        <v>GT</v>
      </c>
      <c r="R9131" s="93" t="str">
        <f>VLOOKUP(E9131,DATABASE!C:Q,11,false)</f>
        <v>Tire</v>
      </c>
    </row>
    <row r="9132" ht="22.5" customHeight="1">
      <c r="A9132" s="49"/>
      <c r="C9132" s="400">
        <v>46192.0</v>
      </c>
      <c r="D9132" s="524">
        <v>80.0</v>
      </c>
      <c r="E9132" s="544" t="s">
        <v>299</v>
      </c>
      <c r="F9132" s="387">
        <v>2.0</v>
      </c>
      <c r="G9132" s="140">
        <v>30000.0</v>
      </c>
      <c r="H9132" s="74"/>
      <c r="I9132" s="74">
        <f t="shared" si="1"/>
        <v>60000</v>
      </c>
      <c r="J9132" s="74">
        <f>IF(E9132="SERVICE",I9132-(I9132*50%),Vlookup(E9132,DATABASE!C:Q,10,false)*F9132)</f>
        <v>0</v>
      </c>
      <c r="K9132" s="74">
        <f>VLOOKUP(E9132,DATABASE!C:Q,7,false)</f>
        <v>10000</v>
      </c>
      <c r="L9132" s="74">
        <v>10000.0</v>
      </c>
      <c r="M9132" s="74">
        <f t="shared" si="6"/>
        <v>10000</v>
      </c>
      <c r="N9132" s="74">
        <f t="shared" si="3"/>
        <v>40000</v>
      </c>
      <c r="O9132" s="65" t="str">
        <f>VLOOKUP(E9132,DATABASE!C:Q,8,false)</f>
        <v>BIAN</v>
      </c>
      <c r="P9132" s="65">
        <f>VLOOKUP(E9132,DATABASE!C:Q,9,False)</f>
        <v>0</v>
      </c>
      <c r="Q9132" s="93" t="str">
        <f>VLOOKUP(E9132,DATABASE!C:Q,4,false)</f>
        <v>Balancing</v>
      </c>
      <c r="R9132" s="93" t="str">
        <f>VLOOKUP(E9132,DATABASE!C:Q,11,false)</f>
        <v>COMPLEMENTARY</v>
      </c>
    </row>
    <row r="9133" ht="22.5" customHeight="1">
      <c r="A9133" s="49"/>
      <c r="C9133" s="400">
        <v>46192.0</v>
      </c>
      <c r="D9133" s="524">
        <v>81.0</v>
      </c>
      <c r="E9133" s="544" t="s">
        <v>591</v>
      </c>
      <c r="F9133" s="387">
        <v>2.0</v>
      </c>
      <c r="G9133" s="140">
        <v>710000.0</v>
      </c>
      <c r="H9133" s="140">
        <v>10000.0</v>
      </c>
      <c r="I9133" s="74">
        <f t="shared" si="1"/>
        <v>1400000</v>
      </c>
      <c r="J9133" s="74">
        <f>IF(E9133="SERVICE",I9133-(I9133*50%),Vlookup(E9133,DATABASE!C:Q,10,false)*F9133)</f>
        <v>0</v>
      </c>
      <c r="K9133" s="74">
        <f>VLOOKUP(E9133,DATABASE!C:Q,7,false)</f>
        <v>633035.16</v>
      </c>
      <c r="L9133" s="74">
        <v>609844.375</v>
      </c>
      <c r="M9133" s="74">
        <f t="shared" si="6"/>
        <v>610000</v>
      </c>
      <c r="N9133" s="74">
        <f t="shared" si="3"/>
        <v>180000</v>
      </c>
      <c r="O9133" s="65" t="str">
        <f>VLOOKUP(E9133,DATABASE!C:Q,8,false)</f>
        <v>IBU</v>
      </c>
      <c r="P9133" s="65">
        <f>VLOOKUP(E9133,DATABASE!C:Q,9,False)</f>
        <v>1</v>
      </c>
      <c r="Q9133" s="93" t="str">
        <f>VLOOKUP(E9133,DATABASE!C:Q,4,false)</f>
        <v>Bridgestone</v>
      </c>
      <c r="R9133" s="93" t="str">
        <f>VLOOKUP(E9133,DATABASE!C:Q,11,false)</f>
        <v>Tire</v>
      </c>
    </row>
    <row r="9134" ht="22.5" customHeight="1">
      <c r="A9134" s="49"/>
      <c r="C9134" s="400">
        <v>46192.0</v>
      </c>
      <c r="D9134" s="524">
        <v>82.0</v>
      </c>
      <c r="E9134" s="544" t="s">
        <v>265</v>
      </c>
      <c r="F9134" s="387">
        <v>2.0</v>
      </c>
      <c r="G9134" s="140">
        <v>700000.0</v>
      </c>
      <c r="H9134" s="140">
        <v>10000.0</v>
      </c>
      <c r="I9134" s="74">
        <f t="shared" si="1"/>
        <v>1380000</v>
      </c>
      <c r="J9134" s="74">
        <f>IF(E9134="SERVICE",I9134-(I9134*50%),Vlookup(E9134,DATABASE!C:Q,10,false)*F9134)</f>
        <v>0</v>
      </c>
      <c r="K9134" s="74">
        <f>VLOOKUP(E9134,DATABASE!C:Q,7,false)</f>
        <v>628000</v>
      </c>
      <c r="L9134" s="74">
        <v>610000.0</v>
      </c>
      <c r="M9134" s="74">
        <f t="shared" si="6"/>
        <v>610000</v>
      </c>
      <c r="N9134" s="74">
        <f t="shared" si="3"/>
        <v>160000</v>
      </c>
      <c r="O9134" s="65" t="str">
        <f>VLOOKUP(E9134,DATABASE!C:Q,8,false)</f>
        <v>IBU</v>
      </c>
      <c r="P9134" s="65">
        <f>VLOOKUP(E9134,DATABASE!C:Q,9,False)</f>
        <v>1</v>
      </c>
      <c r="Q9134" s="93" t="str">
        <f>VLOOKUP(E9134,DATABASE!C:Q,4,false)</f>
        <v>Dunlop</v>
      </c>
      <c r="R9134" s="93" t="str">
        <f>VLOOKUP(E9134,DATABASE!C:Q,11,false)</f>
        <v>Tire</v>
      </c>
    </row>
    <row r="9135" ht="22.5" customHeight="1">
      <c r="A9135" s="49"/>
      <c r="C9135" s="400">
        <v>46192.0</v>
      </c>
      <c r="D9135" s="524">
        <v>83.0</v>
      </c>
      <c r="E9135" s="544" t="s">
        <v>957</v>
      </c>
      <c r="F9135" s="387">
        <v>2.0</v>
      </c>
      <c r="G9135" s="140">
        <v>875000.0</v>
      </c>
      <c r="H9135" s="74"/>
      <c r="I9135" s="74">
        <f t="shared" si="1"/>
        <v>1750000</v>
      </c>
      <c r="J9135" s="74">
        <f>IF(E9135="SERVICE",I9135-(I9135*50%),Vlookup(E9135,DATABASE!C:Q,10,false)*F9135)</f>
        <v>0</v>
      </c>
      <c r="K9135" s="74">
        <f>VLOOKUP(E9135,DATABASE!C:Q,7,false)</f>
        <v>773337.5</v>
      </c>
      <c r="L9135" s="74">
        <v>773337.5</v>
      </c>
      <c r="M9135" s="74">
        <f t="shared" si="6"/>
        <v>775000</v>
      </c>
      <c r="N9135" s="74">
        <f t="shared" si="3"/>
        <v>200000</v>
      </c>
      <c r="O9135" s="65" t="str">
        <f>VLOOKUP(E9135,DATABASE!C:Q,8,false)</f>
        <v>IBU</v>
      </c>
      <c r="P9135" s="65">
        <f>VLOOKUP(E9135,DATABASE!C:Q,9,False)</f>
        <v>1</v>
      </c>
      <c r="Q9135" s="93" t="str">
        <f>VLOOKUP(E9135,DATABASE!C:Q,4,false)</f>
        <v>Bridgestone</v>
      </c>
      <c r="R9135" s="93" t="str">
        <f>VLOOKUP(E9135,DATABASE!C:Q,11,false)</f>
        <v>Tire</v>
      </c>
    </row>
    <row r="9136" ht="22.5" customHeight="1">
      <c r="A9136" s="49"/>
      <c r="C9136" s="400">
        <v>46192.0</v>
      </c>
      <c r="D9136" s="524">
        <v>83.0</v>
      </c>
      <c r="E9136" s="544" t="s">
        <v>256</v>
      </c>
      <c r="F9136" s="387">
        <v>1.0</v>
      </c>
      <c r="G9136" s="140">
        <v>175000.0</v>
      </c>
      <c r="H9136" s="140">
        <v>25000.0</v>
      </c>
      <c r="I9136" s="74">
        <f t="shared" si="1"/>
        <v>150000</v>
      </c>
      <c r="J9136" s="74">
        <f>IF(E9136="SERVICE",I9136-(I9136*50%),Vlookup(E9136,DATABASE!C:Q,10,false)*F9136)</f>
        <v>10000</v>
      </c>
      <c r="K9136" s="74">
        <f>VLOOKUP(E9136,DATABASE!C:Q,7,false)</f>
        <v>0</v>
      </c>
      <c r="L9136" s="74">
        <v>0.0</v>
      </c>
      <c r="M9136" s="74">
        <f t="shared" si="6"/>
        <v>0</v>
      </c>
      <c r="N9136" s="74">
        <f t="shared" si="3"/>
        <v>140000</v>
      </c>
      <c r="O9136" s="65" t="str">
        <f>VLOOKUP(E9136,DATABASE!C:Q,8,false)</f>
        <v>IBU</v>
      </c>
      <c r="P9136" s="65">
        <f>VLOOKUP(E9136,DATABASE!C:Q,9,False)</f>
        <v>0</v>
      </c>
      <c r="Q9136" s="93" t="str">
        <f>VLOOKUP(E9136,DATABASE!C:Q,4,false)</f>
        <v>SPOORING</v>
      </c>
      <c r="R9136" s="93" t="str">
        <f>VLOOKUP(E9136,DATABASE!C:Q,11,false)</f>
        <v>SERVICE</v>
      </c>
    </row>
    <row r="9137" ht="22.5" customHeight="1">
      <c r="A9137" s="49"/>
      <c r="C9137" s="400">
        <v>46192.0</v>
      </c>
      <c r="D9137" s="524">
        <v>83.0</v>
      </c>
      <c r="E9137" s="544" t="s">
        <v>301</v>
      </c>
      <c r="F9137" s="387">
        <v>1.0</v>
      </c>
      <c r="G9137" s="140">
        <v>250000.0</v>
      </c>
      <c r="H9137" s="74"/>
      <c r="I9137" s="74">
        <f t="shared" si="1"/>
        <v>250000</v>
      </c>
      <c r="J9137" s="74">
        <f>IF(E9137="SERVICE",I9137-(I9137*50%),Vlookup(E9137,DATABASE!C:Q,10,false)*F9137)</f>
        <v>75000</v>
      </c>
      <c r="K9137" s="74">
        <f>VLOOKUP(E9137,DATABASE!C:Q,7,false)</f>
        <v>75000</v>
      </c>
      <c r="L9137" s="74">
        <v>75000.0</v>
      </c>
      <c r="M9137" s="74">
        <f t="shared" si="6"/>
        <v>75000</v>
      </c>
      <c r="N9137" s="74">
        <f t="shared" si="3"/>
        <v>100000</v>
      </c>
      <c r="O9137" s="65" t="str">
        <f>VLOOKUP(E9137,DATABASE!C:Q,8,false)</f>
        <v>BIAN</v>
      </c>
      <c r="P9137" s="65">
        <f>VLOOKUP(E9137,DATABASE!C:Q,9,False)</f>
        <v>0</v>
      </c>
      <c r="Q9137" s="93" t="str">
        <f>VLOOKUP(E9137,DATABASE!C:Q,4,false)</f>
        <v>Baut Camber</v>
      </c>
      <c r="R9137" s="93" t="str">
        <f>VLOOKUP(E9137,DATABASE!C:Q,11,false)</f>
        <v>COMPLEMENTARY</v>
      </c>
    </row>
    <row r="9138" ht="22.5" customHeight="1">
      <c r="A9138" s="49"/>
      <c r="C9138" s="400">
        <v>46192.0</v>
      </c>
      <c r="D9138" s="524">
        <v>83.0</v>
      </c>
      <c r="E9138" s="544" t="s">
        <v>299</v>
      </c>
      <c r="F9138" s="387">
        <v>2.0</v>
      </c>
      <c r="G9138" s="140">
        <v>30000.0</v>
      </c>
      <c r="H9138" s="74"/>
      <c r="I9138" s="74">
        <f t="shared" si="1"/>
        <v>60000</v>
      </c>
      <c r="J9138" s="74">
        <f>IF(E9138="SERVICE",I9138-(I9138*50%),Vlookup(E9138,DATABASE!C:Q,10,false)*F9138)</f>
        <v>0</v>
      </c>
      <c r="K9138" s="74">
        <f>VLOOKUP(E9138,DATABASE!C:Q,7,false)</f>
        <v>10000</v>
      </c>
      <c r="L9138" s="74">
        <v>10000.0</v>
      </c>
      <c r="M9138" s="74">
        <f t="shared" si="6"/>
        <v>10000</v>
      </c>
      <c r="N9138" s="74">
        <f t="shared" si="3"/>
        <v>40000</v>
      </c>
      <c r="O9138" s="65" t="str">
        <f>VLOOKUP(E9138,DATABASE!C:Q,8,false)</f>
        <v>BIAN</v>
      </c>
      <c r="P9138" s="65">
        <f>VLOOKUP(E9138,DATABASE!C:Q,9,False)</f>
        <v>0</v>
      </c>
      <c r="Q9138" s="93" t="str">
        <f>VLOOKUP(E9138,DATABASE!C:Q,4,false)</f>
        <v>Balancing</v>
      </c>
      <c r="R9138" s="93" t="str">
        <f>VLOOKUP(E9138,DATABASE!C:Q,11,false)</f>
        <v>COMPLEMENTARY</v>
      </c>
    </row>
    <row r="9139" ht="22.5" customHeight="1">
      <c r="A9139" s="49"/>
      <c r="C9139" s="400">
        <v>46192.0</v>
      </c>
      <c r="D9139" s="524">
        <v>84.0</v>
      </c>
      <c r="E9139" s="544" t="s">
        <v>262</v>
      </c>
      <c r="F9139" s="387">
        <v>1.0</v>
      </c>
      <c r="G9139" s="140">
        <v>130000.0</v>
      </c>
      <c r="H9139" s="74"/>
      <c r="I9139" s="74">
        <f t="shared" si="1"/>
        <v>130000</v>
      </c>
      <c r="J9139" s="74">
        <f>IF(E9139="SERVICE",I9139-(I9139*50%),Vlookup(E9139,DATABASE!C:Q,10,false)*F9139)</f>
        <v>5000</v>
      </c>
      <c r="K9139" s="74">
        <f>VLOOKUP(E9139,DATABASE!C:Q,7,false)</f>
        <v>0</v>
      </c>
      <c r="L9139" s="74">
        <v>0.0</v>
      </c>
      <c r="M9139" s="74">
        <f t="shared" si="6"/>
        <v>0</v>
      </c>
      <c r="N9139" s="74">
        <f t="shared" si="3"/>
        <v>125000</v>
      </c>
      <c r="O9139" s="65" t="str">
        <f>VLOOKUP(E9139,DATABASE!C:Q,8,false)</f>
        <v>IBU</v>
      </c>
      <c r="P9139" s="65">
        <f>VLOOKUP(E9139,DATABASE!C:Q,9,False)</f>
        <v>0</v>
      </c>
      <c r="Q9139" s="93" t="str">
        <f>VLOOKUP(E9139,DATABASE!C:Q,4,false)</f>
        <v>SPOORING SS/CARRY LOS BAK</v>
      </c>
      <c r="R9139" s="93" t="str">
        <f>VLOOKUP(E9139,DATABASE!C:Q,11,false)</f>
        <v>SERVICE</v>
      </c>
    </row>
    <row r="9140" ht="22.5" customHeight="1">
      <c r="A9140" s="49"/>
      <c r="C9140" s="400">
        <v>46192.0</v>
      </c>
      <c r="D9140" s="524">
        <v>84.0</v>
      </c>
      <c r="E9140" s="544" t="s">
        <v>301</v>
      </c>
      <c r="F9140" s="387">
        <v>1.0</v>
      </c>
      <c r="G9140" s="140">
        <v>250000.0</v>
      </c>
      <c r="H9140" s="74"/>
      <c r="I9140" s="74">
        <f t="shared" si="1"/>
        <v>250000</v>
      </c>
      <c r="J9140" s="74">
        <f>IF(E9140="SERVICE",I9140-(I9140*50%),Vlookup(E9140,DATABASE!C:Q,10,false)*F9140)</f>
        <v>75000</v>
      </c>
      <c r="K9140" s="74">
        <f>VLOOKUP(E9140,DATABASE!C:Q,7,false)</f>
        <v>75000</v>
      </c>
      <c r="L9140" s="74">
        <v>75000.0</v>
      </c>
      <c r="M9140" s="74">
        <f t="shared" si="6"/>
        <v>75000</v>
      </c>
      <c r="N9140" s="74">
        <f t="shared" si="3"/>
        <v>100000</v>
      </c>
      <c r="O9140" s="65" t="str">
        <f>VLOOKUP(E9140,DATABASE!C:Q,8,false)</f>
        <v>BIAN</v>
      </c>
      <c r="P9140" s="65">
        <f>VLOOKUP(E9140,DATABASE!C:Q,9,False)</f>
        <v>0</v>
      </c>
      <c r="Q9140" s="93" t="str">
        <f>VLOOKUP(E9140,DATABASE!C:Q,4,false)</f>
        <v>Baut Camber</v>
      </c>
      <c r="R9140" s="93" t="str">
        <f>VLOOKUP(E9140,DATABASE!C:Q,11,false)</f>
        <v>COMPLEMENTARY</v>
      </c>
    </row>
    <row r="9141" ht="22.5" customHeight="1">
      <c r="A9141" s="49"/>
      <c r="C9141" s="400">
        <v>46193.0</v>
      </c>
      <c r="D9141" s="524">
        <v>86.0</v>
      </c>
      <c r="E9141" s="544" t="s">
        <v>554</v>
      </c>
      <c r="F9141" s="387">
        <v>2.0</v>
      </c>
      <c r="G9141" s="140">
        <v>790000.0</v>
      </c>
      <c r="H9141" s="74"/>
      <c r="I9141" s="74">
        <f t="shared" si="1"/>
        <v>1580000</v>
      </c>
      <c r="J9141" s="74">
        <f>IF(E9141="SERVICE",I9141-(I9141*50%),Vlookup(E9141,DATABASE!C:Q,10,false)*F9141)</f>
        <v>0</v>
      </c>
      <c r="K9141" s="74">
        <f>VLOOKUP(E9141,DATABASE!C:Q,7,false)</f>
        <v>710000</v>
      </c>
      <c r="L9141" s="74">
        <v>705000.0</v>
      </c>
      <c r="M9141" s="74">
        <f t="shared" si="6"/>
        <v>705000</v>
      </c>
      <c r="N9141" s="74">
        <f t="shared" si="3"/>
        <v>170000</v>
      </c>
      <c r="O9141" s="65" t="str">
        <f>VLOOKUP(E9141,DATABASE!C:Q,8,false)</f>
        <v>IBU</v>
      </c>
      <c r="P9141" s="65">
        <f>VLOOKUP(E9141,DATABASE!C:Q,9,False)</f>
        <v>1</v>
      </c>
      <c r="Q9141" s="93" t="str">
        <f>VLOOKUP(E9141,DATABASE!C:Q,4,false)</f>
        <v>Bridgestone</v>
      </c>
      <c r="R9141" s="93" t="str">
        <f>VLOOKUP(E9141,DATABASE!C:Q,11,false)</f>
        <v>Tire</v>
      </c>
    </row>
    <row r="9142" ht="22.5" customHeight="1">
      <c r="A9142" s="49"/>
      <c r="C9142" s="400">
        <v>46193.0</v>
      </c>
      <c r="D9142" s="524">
        <v>86.0</v>
      </c>
      <c r="E9142" s="544" t="s">
        <v>250</v>
      </c>
      <c r="F9142" s="387">
        <v>2.0</v>
      </c>
      <c r="G9142" s="140">
        <v>135000.0</v>
      </c>
      <c r="H9142" s="74"/>
      <c r="I9142" s="74">
        <f t="shared" si="1"/>
        <v>270000</v>
      </c>
      <c r="J9142" s="74">
        <f>IF(E9142="SERVICE",I9142-(I9142*50%),Vlookup(E9142,DATABASE!C:Q,10,false)*F9142)</f>
        <v>0</v>
      </c>
      <c r="K9142" s="74">
        <f>VLOOKUP(E9142,DATABASE!C:Q,7,false)</f>
        <v>102000</v>
      </c>
      <c r="L9142" s="74">
        <v>102000.0</v>
      </c>
      <c r="M9142" s="74">
        <f t="shared" si="6"/>
        <v>105000</v>
      </c>
      <c r="N9142" s="74">
        <f t="shared" si="3"/>
        <v>60000</v>
      </c>
      <c r="O9142" s="65" t="str">
        <f>VLOOKUP(E9142,DATABASE!C:Q,8,false)</f>
        <v>BIAN</v>
      </c>
      <c r="P9142" s="65">
        <f>VLOOKUP(E9142,DATABASE!C:Q,9,False)</f>
        <v>1</v>
      </c>
      <c r="Q9142" s="93" t="str">
        <f>VLOOKUP(E9142,DATABASE!C:Q,4,false)</f>
        <v>BD</v>
      </c>
      <c r="R9142" s="93" t="str">
        <f>VLOOKUP(E9142,DATABASE!C:Q,11,false)</f>
        <v>Tire</v>
      </c>
    </row>
    <row r="9143" ht="22.5" customHeight="1">
      <c r="A9143" s="49"/>
      <c r="C9143" s="400">
        <v>46193.0</v>
      </c>
      <c r="D9143" s="524">
        <v>88.0</v>
      </c>
      <c r="E9143" s="544" t="s">
        <v>613</v>
      </c>
      <c r="F9143" s="387">
        <v>1.0</v>
      </c>
      <c r="G9143" s="140">
        <v>100000.0</v>
      </c>
      <c r="H9143" s="74"/>
      <c r="I9143" s="74">
        <f t="shared" si="1"/>
        <v>100000</v>
      </c>
      <c r="J9143" s="74">
        <f>IF(E9143="SERVICE",I9143-(I9143*50%),Vlookup(E9143,DATABASE!C:Q,10,false)*F9143)</f>
        <v>0</v>
      </c>
      <c r="K9143" s="74">
        <f>VLOOKUP(E9143,DATABASE!C:Q,7,false)</f>
        <v>58371.2695</v>
      </c>
      <c r="L9143" s="74">
        <v>58371.2695</v>
      </c>
      <c r="M9143" s="74">
        <f t="shared" si="6"/>
        <v>60000</v>
      </c>
      <c r="N9143" s="74">
        <f t="shared" si="3"/>
        <v>40000</v>
      </c>
      <c r="O9143" s="65" t="str">
        <f>VLOOKUP(E9143,DATABASE!C:Q,8,false)</f>
        <v>BIAN</v>
      </c>
      <c r="P9143" s="65">
        <f>VLOOKUP(E9143,DATABASE!C:Q,9,False)</f>
        <v>1</v>
      </c>
      <c r="Q9143" s="93" t="str">
        <f>VLOOKUP(E9143,DATABASE!C:Q,4,false)</f>
        <v>BD</v>
      </c>
      <c r="R9143" s="93" t="str">
        <f>VLOOKUP(E9143,DATABASE!C:Q,11,false)</f>
        <v>Tire</v>
      </c>
    </row>
    <row r="9144" ht="22.5" customHeight="1">
      <c r="A9144" s="49"/>
      <c r="C9144" s="400">
        <v>46193.0</v>
      </c>
      <c r="D9144" s="524">
        <v>89.0</v>
      </c>
      <c r="E9144" s="544" t="s">
        <v>287</v>
      </c>
      <c r="F9144" s="387">
        <v>2.0</v>
      </c>
      <c r="G9144" s="140">
        <v>800000.0</v>
      </c>
      <c r="H9144" s="74"/>
      <c r="I9144" s="74">
        <f t="shared" si="1"/>
        <v>1600000</v>
      </c>
      <c r="J9144" s="74">
        <f>IF(E9144="SERVICE",I9144-(I9144*50%),Vlookup(E9144,DATABASE!C:Q,10,false)*F9144)</f>
        <v>0</v>
      </c>
      <c r="K9144" s="74">
        <f>VLOOKUP(E9144,DATABASE!C:Q,7,false)</f>
        <v>711000</v>
      </c>
      <c r="L9144" s="74">
        <v>711000.0</v>
      </c>
      <c r="M9144" s="74">
        <f t="shared" si="6"/>
        <v>715000</v>
      </c>
      <c r="N9144" s="74">
        <f t="shared" si="3"/>
        <v>170000</v>
      </c>
      <c r="O9144" s="65" t="str">
        <f>VLOOKUP(E9144,DATABASE!C:Q,8,false)</f>
        <v>BIAN</v>
      </c>
      <c r="P9144" s="65">
        <f>VLOOKUP(E9144,DATABASE!C:Q,9,False)</f>
        <v>1</v>
      </c>
      <c r="Q9144" s="93" t="str">
        <f>VLOOKUP(E9144,DATABASE!C:Q,4,false)</f>
        <v>GT</v>
      </c>
      <c r="R9144" s="93" t="str">
        <f>VLOOKUP(E9144,DATABASE!C:Q,11,false)</f>
        <v>Tire</v>
      </c>
    </row>
    <row r="9145" ht="22.5" customHeight="1">
      <c r="A9145" s="49"/>
      <c r="C9145" s="400">
        <v>46193.0</v>
      </c>
      <c r="D9145" s="524">
        <v>89.0</v>
      </c>
      <c r="E9145" s="544" t="s">
        <v>299</v>
      </c>
      <c r="F9145" s="387">
        <v>2.0</v>
      </c>
      <c r="G9145" s="140">
        <v>30000.0</v>
      </c>
      <c r="H9145" s="74"/>
      <c r="I9145" s="74">
        <f t="shared" si="1"/>
        <v>60000</v>
      </c>
      <c r="J9145" s="74">
        <f>IF(E9145="SERVICE",I9145-(I9145*50%),Vlookup(E9145,DATABASE!C:Q,10,false)*F9145)</f>
        <v>0</v>
      </c>
      <c r="K9145" s="74">
        <f>VLOOKUP(E9145,DATABASE!C:Q,7,false)</f>
        <v>10000</v>
      </c>
      <c r="L9145" s="74">
        <v>10000.0</v>
      </c>
      <c r="M9145" s="74">
        <f t="shared" si="6"/>
        <v>10000</v>
      </c>
      <c r="N9145" s="74">
        <f t="shared" si="3"/>
        <v>40000</v>
      </c>
      <c r="O9145" s="65" t="str">
        <f>VLOOKUP(E9145,DATABASE!C:Q,8,false)</f>
        <v>BIAN</v>
      </c>
      <c r="P9145" s="65">
        <f>VLOOKUP(E9145,DATABASE!C:Q,9,False)</f>
        <v>0</v>
      </c>
      <c r="Q9145" s="93" t="str">
        <f>VLOOKUP(E9145,DATABASE!C:Q,4,false)</f>
        <v>Balancing</v>
      </c>
      <c r="R9145" s="93" t="str">
        <f>VLOOKUP(E9145,DATABASE!C:Q,11,false)</f>
        <v>COMPLEMENTARY</v>
      </c>
    </row>
    <row r="9146" ht="22.5" customHeight="1">
      <c r="A9146" s="49"/>
      <c r="C9146" s="400">
        <v>46193.0</v>
      </c>
      <c r="D9146" s="524">
        <v>89.0</v>
      </c>
      <c r="E9146" s="544" t="s">
        <v>256</v>
      </c>
      <c r="F9146" s="387">
        <v>1.0</v>
      </c>
      <c r="G9146" s="140">
        <v>175000.0</v>
      </c>
      <c r="H9146" s="140">
        <v>25000.0</v>
      </c>
      <c r="I9146" s="74">
        <f t="shared" si="1"/>
        <v>150000</v>
      </c>
      <c r="J9146" s="74">
        <f>IF(E9146="SERVICE",I9146-(I9146*50%),Vlookup(E9146,DATABASE!C:Q,10,false)*F9146)</f>
        <v>10000</v>
      </c>
      <c r="K9146" s="74">
        <f>VLOOKUP(E9146,DATABASE!C:Q,7,false)</f>
        <v>0</v>
      </c>
      <c r="L9146" s="74">
        <v>0.0</v>
      </c>
      <c r="M9146" s="74">
        <f t="shared" si="6"/>
        <v>0</v>
      </c>
      <c r="N9146" s="74">
        <f t="shared" si="3"/>
        <v>140000</v>
      </c>
      <c r="O9146" s="65" t="str">
        <f>VLOOKUP(E9146,DATABASE!C:Q,8,false)</f>
        <v>IBU</v>
      </c>
      <c r="P9146" s="65">
        <f>VLOOKUP(E9146,DATABASE!C:Q,9,False)</f>
        <v>0</v>
      </c>
      <c r="Q9146" s="93" t="str">
        <f>VLOOKUP(E9146,DATABASE!C:Q,4,false)</f>
        <v>SPOORING</v>
      </c>
      <c r="R9146" s="93" t="str">
        <f>VLOOKUP(E9146,DATABASE!C:Q,11,false)</f>
        <v>SERVICE</v>
      </c>
    </row>
    <row r="9147" ht="22.5" customHeight="1">
      <c r="A9147" s="49"/>
      <c r="C9147" s="400">
        <v>46193.0</v>
      </c>
      <c r="D9147" s="524">
        <v>89.0</v>
      </c>
      <c r="E9147" s="544" t="s">
        <v>251</v>
      </c>
      <c r="F9147" s="387">
        <v>1.0</v>
      </c>
      <c r="G9147" s="140">
        <v>350000.0</v>
      </c>
      <c r="H9147" s="140">
        <v>200000.0</v>
      </c>
      <c r="I9147" s="74">
        <f t="shared" si="1"/>
        <v>150000</v>
      </c>
      <c r="J9147" s="74">
        <f>IF(E9147="SERVICE",I9147-(I9147*50%),Vlookup(E9147,DATABASE!C:Q,10,false)*F9147)</f>
        <v>75000</v>
      </c>
      <c r="K9147" s="74">
        <f>VLOOKUP(E9147,DATABASE!C:Q,7,false)</f>
        <v>0</v>
      </c>
      <c r="L9147" s="74">
        <v>0.0</v>
      </c>
      <c r="M9147" s="74">
        <f t="shared" si="6"/>
        <v>0</v>
      </c>
      <c r="N9147" s="74">
        <f t="shared" si="3"/>
        <v>75000</v>
      </c>
      <c r="O9147" s="65" t="str">
        <f>VLOOKUP(E9147,DATABASE!C:Q,8,false)</f>
        <v>IBU</v>
      </c>
      <c r="P9147" s="65">
        <f>VLOOKUP(E9147,DATABASE!C:Q,9,False)</f>
        <v>0</v>
      </c>
      <c r="Q9147" s="93" t="str">
        <f>VLOOKUP(E9147,DATABASE!C:Q,4,false)</f>
        <v>SERVICE</v>
      </c>
      <c r="R9147" s="93" t="str">
        <f>VLOOKUP(E9147,DATABASE!C:Q,11,false)</f>
        <v>SERVICE</v>
      </c>
    </row>
    <row r="9148" ht="22.5" customHeight="1">
      <c r="A9148" s="49"/>
      <c r="C9148" s="400">
        <v>46193.0</v>
      </c>
      <c r="D9148" s="524">
        <v>90.0</v>
      </c>
      <c r="E9148" s="544" t="s">
        <v>1597</v>
      </c>
      <c r="F9148" s="387">
        <v>2.0</v>
      </c>
      <c r="G9148" s="140">
        <v>650000.0</v>
      </c>
      <c r="H9148" s="74"/>
      <c r="I9148" s="74">
        <f t="shared" si="1"/>
        <v>1300000</v>
      </c>
      <c r="J9148" s="74">
        <f>IF(E9148="SERVICE",I9148-(I9148*50%),Vlookup(E9148,DATABASE!C:Q,10,false)*F9148)</f>
        <v>0</v>
      </c>
      <c r="K9148" s="74">
        <f>VLOOKUP(E9148,DATABASE!C:Q,7,false)</f>
        <v>560700</v>
      </c>
      <c r="L9148" s="74">
        <v>560700.0</v>
      </c>
      <c r="M9148" s="74">
        <f t="shared" si="6"/>
        <v>565000</v>
      </c>
      <c r="N9148" s="74">
        <f t="shared" si="3"/>
        <v>170000</v>
      </c>
      <c r="O9148" s="65" t="str">
        <f>VLOOKUP(E9148,DATABASE!C:Q,8,false)</f>
        <v>BIAN</v>
      </c>
      <c r="P9148" s="65">
        <f>VLOOKUP(E9148,DATABASE!C:Q,9,False)</f>
        <v>1</v>
      </c>
      <c r="Q9148" s="93" t="str">
        <f>VLOOKUP(E9148,DATABASE!C:Q,4,false)</f>
        <v>GT</v>
      </c>
      <c r="R9148" s="93" t="str">
        <f>VLOOKUP(E9148,DATABASE!C:Q,11,false)</f>
        <v>Tire</v>
      </c>
    </row>
    <row r="9149" ht="22.5" customHeight="1">
      <c r="A9149" s="49"/>
      <c r="C9149" s="400">
        <v>46194.0</v>
      </c>
      <c r="D9149" s="69">
        <v>91.0</v>
      </c>
      <c r="E9149" s="544" t="s">
        <v>569</v>
      </c>
      <c r="F9149" s="387">
        <v>1.0</v>
      </c>
      <c r="G9149" s="140">
        <v>80000.0</v>
      </c>
      <c r="H9149" s="74"/>
      <c r="I9149" s="74">
        <f t="shared" si="1"/>
        <v>80000</v>
      </c>
      <c r="J9149" s="74">
        <f>IF(E9149="SERVICE",I9149-(I9149*50%),Vlookup(E9149,DATABASE!C:Q,10,false)*F9149)</f>
        <v>0</v>
      </c>
      <c r="K9149" s="74">
        <f>VLOOKUP(E9149,DATABASE!C:Q,7,false)</f>
        <v>45439.582</v>
      </c>
      <c r="L9149" s="74">
        <v>45439.582</v>
      </c>
      <c r="M9149" s="74">
        <f t="shared" si="6"/>
        <v>50000</v>
      </c>
      <c r="N9149" s="74">
        <f t="shared" si="3"/>
        <v>30000</v>
      </c>
      <c r="O9149" s="65" t="str">
        <f>VLOOKUP(E9149,DATABASE!C:Q,8,false)</f>
        <v>BIAN</v>
      </c>
      <c r="P9149" s="65">
        <f>VLOOKUP(E9149,DATABASE!C:Q,9,False)</f>
        <v>1</v>
      </c>
      <c r="Q9149" s="93" t="str">
        <f>VLOOKUP(E9149,DATABASE!C:Q,4,false)</f>
        <v>BD</v>
      </c>
      <c r="R9149" s="93" t="str">
        <f>VLOOKUP(E9149,DATABASE!C:Q,11,false)</f>
        <v>Tire</v>
      </c>
    </row>
    <row r="9150" ht="22.5" customHeight="1">
      <c r="A9150" s="49"/>
      <c r="C9150" s="400">
        <v>46194.0</v>
      </c>
      <c r="D9150" s="69">
        <v>92.0</v>
      </c>
      <c r="E9150" s="544" t="s">
        <v>1704</v>
      </c>
      <c r="F9150" s="387">
        <v>1.0</v>
      </c>
      <c r="G9150" s="140">
        <v>800000.0</v>
      </c>
      <c r="H9150" s="74"/>
      <c r="I9150" s="74">
        <f t="shared" si="1"/>
        <v>800000</v>
      </c>
      <c r="J9150" s="74">
        <f>IF(E9150="SERVICE",I9150-(I9150*50%),Vlookup(E9150,DATABASE!C:Q,10,false)*F9150)</f>
        <v>0</v>
      </c>
      <c r="K9150" s="74">
        <f>VLOOKUP(E9150,DATABASE!C:Q,7,false)</f>
        <v>787500</v>
      </c>
      <c r="L9150" s="74">
        <v>787500.0</v>
      </c>
      <c r="M9150" s="74">
        <f t="shared" si="6"/>
        <v>790000</v>
      </c>
      <c r="N9150" s="74">
        <f t="shared" si="3"/>
        <v>10000</v>
      </c>
      <c r="O9150" s="65" t="str">
        <f>VLOOKUP(E9150,DATABASE!C:Q,8,false)</f>
        <v>BIAN</v>
      </c>
      <c r="P9150" s="65">
        <f>VLOOKUP(E9150,DATABASE!C:Q,9,False)</f>
        <v>1</v>
      </c>
      <c r="Q9150" s="93" t="str">
        <f>VLOOKUP(E9150,DATABASE!C:Q,4,false)</f>
        <v>GT</v>
      </c>
      <c r="R9150" s="93" t="str">
        <f>VLOOKUP(E9150,DATABASE!C:Q,11,false)</f>
        <v>Tire</v>
      </c>
    </row>
    <row r="9151" ht="22.5" customHeight="1">
      <c r="A9151" s="49"/>
      <c r="C9151" s="400">
        <v>46194.0</v>
      </c>
      <c r="D9151" s="69">
        <v>93.0</v>
      </c>
      <c r="E9151" s="544" t="s">
        <v>299</v>
      </c>
      <c r="F9151" s="387">
        <v>2.0</v>
      </c>
      <c r="G9151" s="140">
        <v>30000.0</v>
      </c>
      <c r="H9151" s="74"/>
      <c r="I9151" s="74">
        <f t="shared" si="1"/>
        <v>60000</v>
      </c>
      <c r="J9151" s="74">
        <f>IF(E9151="SERVICE",I9151-(I9151*50%),Vlookup(E9151,DATABASE!C:Q,10,false)*F9151)</f>
        <v>0</v>
      </c>
      <c r="K9151" s="74">
        <f>VLOOKUP(E9151,DATABASE!C:Q,7,false)</f>
        <v>10000</v>
      </c>
      <c r="L9151" s="74">
        <v>10000.0</v>
      </c>
      <c r="M9151" s="74">
        <f t="shared" si="6"/>
        <v>10000</v>
      </c>
      <c r="N9151" s="74">
        <f t="shared" si="3"/>
        <v>40000</v>
      </c>
      <c r="O9151" s="65" t="str">
        <f>VLOOKUP(E9151,DATABASE!C:Q,8,false)</f>
        <v>BIAN</v>
      </c>
      <c r="P9151" s="65">
        <f>VLOOKUP(E9151,DATABASE!C:Q,9,False)</f>
        <v>0</v>
      </c>
      <c r="Q9151" s="93" t="str">
        <f>VLOOKUP(E9151,DATABASE!C:Q,4,false)</f>
        <v>Balancing</v>
      </c>
      <c r="R9151" s="93" t="str">
        <f>VLOOKUP(E9151,DATABASE!C:Q,11,false)</f>
        <v>COMPLEMENTARY</v>
      </c>
    </row>
    <row r="9152" ht="22.5" customHeight="1">
      <c r="A9152" s="49"/>
      <c r="C9152" s="400">
        <v>46194.0</v>
      </c>
      <c r="D9152" s="69">
        <v>93.0</v>
      </c>
      <c r="E9152" s="544" t="s">
        <v>968</v>
      </c>
      <c r="F9152" s="387">
        <v>2.0</v>
      </c>
      <c r="G9152" s="140">
        <v>670000.0</v>
      </c>
      <c r="H9152" s="74"/>
      <c r="I9152" s="74">
        <f t="shared" si="1"/>
        <v>1340000</v>
      </c>
      <c r="J9152" s="74">
        <f>IF(E9152="SERVICE",I9152-(I9152*50%),Vlookup(E9152,DATABASE!C:Q,10,false)*F9152)</f>
        <v>0</v>
      </c>
      <c r="K9152" s="74">
        <f>VLOOKUP(E9152,DATABASE!C:Q,7,false)</f>
        <v>582500</v>
      </c>
      <c r="L9152" s="74">
        <v>582500.0</v>
      </c>
      <c r="M9152" s="74">
        <f t="shared" si="6"/>
        <v>585000</v>
      </c>
      <c r="N9152" s="74">
        <f t="shared" si="3"/>
        <v>170000</v>
      </c>
      <c r="O9152" s="65" t="str">
        <f>VLOOKUP(E9152,DATABASE!C:Q,8,false)</f>
        <v>IBU</v>
      </c>
      <c r="P9152" s="65">
        <f>VLOOKUP(E9152,DATABASE!C:Q,9,False)</f>
        <v>1</v>
      </c>
      <c r="Q9152" s="93" t="str">
        <f>VLOOKUP(E9152,DATABASE!C:Q,4,false)</f>
        <v>Dunlop</v>
      </c>
      <c r="R9152" s="93" t="str">
        <f>VLOOKUP(E9152,DATABASE!C:Q,11,false)</f>
        <v>Tire</v>
      </c>
    </row>
    <row r="9153" ht="22.5" customHeight="1">
      <c r="A9153" s="49"/>
      <c r="C9153" s="400">
        <v>46194.0</v>
      </c>
      <c r="D9153" s="69">
        <v>94.0</v>
      </c>
      <c r="E9153" s="544" t="s">
        <v>605</v>
      </c>
      <c r="F9153" s="387">
        <v>1.0</v>
      </c>
      <c r="G9153" s="140">
        <v>765000.0</v>
      </c>
      <c r="H9153" s="74"/>
      <c r="I9153" s="74">
        <f t="shared" si="1"/>
        <v>765000</v>
      </c>
      <c r="J9153" s="74">
        <f>IF(E9153="SERVICE",I9153-(I9153*50%),Vlookup(E9153,DATABASE!C:Q,10,false)*F9153)</f>
        <v>0</v>
      </c>
      <c r="K9153" s="74">
        <f>VLOOKUP(E9153,DATABASE!C:Q,7,false)</f>
        <v>675000</v>
      </c>
      <c r="L9153" s="74">
        <v>675000.0</v>
      </c>
      <c r="M9153" s="74">
        <f t="shared" si="6"/>
        <v>675000</v>
      </c>
      <c r="N9153" s="74">
        <f t="shared" si="3"/>
        <v>90000</v>
      </c>
      <c r="O9153" s="65" t="str">
        <f>VLOOKUP(E9153,DATABASE!C:Q,8,false)</f>
        <v>IBU</v>
      </c>
      <c r="P9153" s="65">
        <f>VLOOKUP(E9153,DATABASE!C:Q,9,False)</f>
        <v>1</v>
      </c>
      <c r="Q9153" s="93" t="str">
        <f>VLOOKUP(E9153,DATABASE!C:Q,4,false)</f>
        <v>Bridgestone</v>
      </c>
      <c r="R9153" s="93" t="str">
        <f>VLOOKUP(E9153,DATABASE!C:Q,11,false)</f>
        <v>Tire</v>
      </c>
    </row>
    <row r="9154" ht="22.5" customHeight="1">
      <c r="A9154" s="49"/>
      <c r="C9154" s="400">
        <v>46194.0</v>
      </c>
      <c r="D9154" s="69" t="s">
        <v>2849</v>
      </c>
      <c r="E9154" s="544" t="s">
        <v>263</v>
      </c>
      <c r="F9154" s="387">
        <v>1.0</v>
      </c>
      <c r="G9154" s="140">
        <v>385000.0</v>
      </c>
      <c r="H9154" s="74"/>
      <c r="I9154" s="74">
        <f t="shared" si="1"/>
        <v>385000</v>
      </c>
      <c r="J9154" s="74">
        <f>IF(E9154="SERVICE",I9154-(I9154*50%),Vlookup(E9154,DATABASE!C:Q,10,false)*F9154)</f>
        <v>0</v>
      </c>
      <c r="K9154" s="74">
        <f>VLOOKUP(E9154,DATABASE!C:Q,7,false)</f>
        <v>334916</v>
      </c>
      <c r="L9154" s="74">
        <v>334916.0</v>
      </c>
      <c r="M9154" s="74">
        <f t="shared" si="6"/>
        <v>335000</v>
      </c>
      <c r="N9154" s="74">
        <f t="shared" si="3"/>
        <v>50000</v>
      </c>
      <c r="O9154" s="65" t="str">
        <f>VLOOKUP(E9154,DATABASE!C:Q,8,false)</f>
        <v>NON</v>
      </c>
      <c r="P9154" s="65">
        <f>VLOOKUP(E9154,DATABASE!C:Q,9,False)</f>
        <v>0</v>
      </c>
      <c r="Q9154" s="93" t="str">
        <f>VLOOKUP(E9154,DATABASE!C:Q,4,false)</f>
        <v>Shell</v>
      </c>
      <c r="R9154" s="93" t="str">
        <f>VLOOKUP(E9154,DATABASE!C:Q,11,false)</f>
        <v>OIL</v>
      </c>
    </row>
    <row r="9155" ht="22.5" customHeight="1">
      <c r="A9155" s="49"/>
      <c r="C9155" s="400">
        <v>46194.0</v>
      </c>
      <c r="D9155" s="69" t="s">
        <v>2849</v>
      </c>
      <c r="E9155" s="544" t="s">
        <v>298</v>
      </c>
      <c r="F9155" s="387">
        <v>1.0</v>
      </c>
      <c r="G9155" s="140">
        <v>25000.0</v>
      </c>
      <c r="H9155" s="74"/>
      <c r="I9155" s="74">
        <f t="shared" si="1"/>
        <v>25000</v>
      </c>
      <c r="J9155" s="74">
        <f>IF(E9155="SERVICE",I9155-(I9155*50%),Vlookup(E9155,DATABASE!C:Q,10,false)*F9155)</f>
        <v>0</v>
      </c>
      <c r="K9155" s="74">
        <f>VLOOKUP(E9155,DATABASE!C:Q,7,false)</f>
        <v>19200</v>
      </c>
      <c r="L9155" s="74">
        <v>19200.0</v>
      </c>
      <c r="M9155" s="74">
        <f t="shared" si="6"/>
        <v>20000</v>
      </c>
      <c r="N9155" s="74">
        <f t="shared" si="3"/>
        <v>5000</v>
      </c>
      <c r="O9155" s="65" t="str">
        <f>VLOOKUP(E9155,DATABASE!C:Q,8,false)</f>
        <v>BIAN</v>
      </c>
      <c r="P9155" s="65">
        <f>VLOOKUP(E9155,DATABASE!C:Q,9,False)</f>
        <v>0</v>
      </c>
      <c r="Q9155" s="93" t="str">
        <f>VLOOKUP(E9155,DATABASE!C:Q,4,false)</f>
        <v>Aspira</v>
      </c>
      <c r="R9155" s="93" t="str">
        <f>VLOOKUP(E9155,DATABASE!C:Q,11,false)</f>
        <v>COMPLEMENTARY</v>
      </c>
    </row>
    <row r="9156" ht="22.5" customHeight="1">
      <c r="A9156" s="49"/>
      <c r="C9156" s="400">
        <v>46194.0</v>
      </c>
      <c r="D9156" s="69" t="s">
        <v>2849</v>
      </c>
      <c r="E9156" s="544" t="s">
        <v>299</v>
      </c>
      <c r="F9156" s="387">
        <v>2.0</v>
      </c>
      <c r="G9156" s="140">
        <v>30000.0</v>
      </c>
      <c r="H9156" s="74"/>
      <c r="I9156" s="74">
        <f t="shared" si="1"/>
        <v>60000</v>
      </c>
      <c r="J9156" s="74">
        <f>IF(E9156="SERVICE",I9156-(I9156*50%),Vlookup(E9156,DATABASE!C:Q,10,false)*F9156)</f>
        <v>0</v>
      </c>
      <c r="K9156" s="74">
        <f>VLOOKUP(E9156,DATABASE!C:Q,7,false)</f>
        <v>10000</v>
      </c>
      <c r="L9156" s="74">
        <v>10000.0</v>
      </c>
      <c r="M9156" s="74">
        <f t="shared" si="6"/>
        <v>10000</v>
      </c>
      <c r="N9156" s="74">
        <f t="shared" si="3"/>
        <v>40000</v>
      </c>
      <c r="O9156" s="65" t="str">
        <f>VLOOKUP(E9156,DATABASE!C:Q,8,false)</f>
        <v>BIAN</v>
      </c>
      <c r="P9156" s="65">
        <f>VLOOKUP(E9156,DATABASE!C:Q,9,False)</f>
        <v>0</v>
      </c>
      <c r="Q9156" s="93" t="str">
        <f>VLOOKUP(E9156,DATABASE!C:Q,4,false)</f>
        <v>Balancing</v>
      </c>
      <c r="R9156" s="93" t="str">
        <f>VLOOKUP(E9156,DATABASE!C:Q,11,false)</f>
        <v>COMPLEMENTARY</v>
      </c>
    </row>
    <row r="9157" ht="22.5" customHeight="1">
      <c r="A9157" s="49"/>
      <c r="C9157" s="400">
        <v>46194.0</v>
      </c>
      <c r="D9157" s="69" t="s">
        <v>2850</v>
      </c>
      <c r="E9157" s="544" t="s">
        <v>258</v>
      </c>
      <c r="F9157" s="387">
        <v>1.0</v>
      </c>
      <c r="G9157" s="140">
        <v>105000.0</v>
      </c>
      <c r="H9157" s="74"/>
      <c r="I9157" s="74">
        <f t="shared" si="1"/>
        <v>105000</v>
      </c>
      <c r="J9157" s="74">
        <f>IF(E9157="SERVICE",I9157-(I9157*50%),Vlookup(E9157,DATABASE!C:Q,10,false)*F9157)</f>
        <v>0</v>
      </c>
      <c r="K9157" s="74">
        <f>VLOOKUP(E9157,DATABASE!C:Q,7,false)</f>
        <v>74700</v>
      </c>
      <c r="L9157" s="74">
        <v>74700.0</v>
      </c>
      <c r="M9157" s="74">
        <f t="shared" si="6"/>
        <v>75000</v>
      </c>
      <c r="N9157" s="74">
        <f t="shared" si="3"/>
        <v>30000</v>
      </c>
      <c r="O9157" s="65" t="str">
        <f>VLOOKUP(E9157,DATABASE!C:Q,8,false)</f>
        <v>NON</v>
      </c>
      <c r="P9157" s="65">
        <f>VLOOKUP(E9157,DATABASE!C:Q,9,False)</f>
        <v>0</v>
      </c>
      <c r="Q9157" s="93" t="str">
        <f>VLOOKUP(E9157,DATABASE!C:Q,4,false)</f>
        <v>Shell</v>
      </c>
      <c r="R9157" s="93" t="str">
        <f>VLOOKUP(E9157,DATABASE!C:Q,11,false)</f>
        <v>OIL</v>
      </c>
    </row>
    <row r="9158" ht="22.5" customHeight="1">
      <c r="A9158" s="49"/>
      <c r="C9158" s="400">
        <v>46195.0</v>
      </c>
      <c r="D9158" s="524">
        <v>95.0</v>
      </c>
      <c r="E9158" s="544" t="s">
        <v>554</v>
      </c>
      <c r="F9158" s="387">
        <v>4.0</v>
      </c>
      <c r="G9158" s="140">
        <v>790000.0</v>
      </c>
      <c r="H9158" s="74"/>
      <c r="I9158" s="74">
        <f t="shared" si="1"/>
        <v>3160000</v>
      </c>
      <c r="J9158" s="74">
        <f>IF(E9158="SERVICE",I9158-(I9158*50%),Vlookup(E9158,DATABASE!C:Q,10,false)*F9158)</f>
        <v>0</v>
      </c>
      <c r="K9158" s="74">
        <f>VLOOKUP(E9158,DATABASE!C:Q,7,false)</f>
        <v>710000</v>
      </c>
      <c r="L9158" s="74">
        <v>705000.0</v>
      </c>
      <c r="M9158" s="74">
        <f t="shared" si="6"/>
        <v>705000</v>
      </c>
      <c r="N9158" s="74">
        <f t="shared" si="3"/>
        <v>340000</v>
      </c>
      <c r="O9158" s="65" t="str">
        <f>VLOOKUP(E9158,DATABASE!C:Q,8,false)</f>
        <v>IBU</v>
      </c>
      <c r="P9158" s="65">
        <f>VLOOKUP(E9158,DATABASE!C:Q,9,False)</f>
        <v>1</v>
      </c>
      <c r="Q9158" s="93" t="str">
        <f>VLOOKUP(E9158,DATABASE!C:Q,4,false)</f>
        <v>Bridgestone</v>
      </c>
      <c r="R9158" s="93" t="str">
        <f>VLOOKUP(E9158,DATABASE!C:Q,11,false)</f>
        <v>Tire</v>
      </c>
    </row>
    <row r="9159" ht="22.5" customHeight="1">
      <c r="A9159" s="49"/>
      <c r="C9159" s="400">
        <v>46195.0</v>
      </c>
      <c r="D9159" s="524">
        <v>96.0</v>
      </c>
      <c r="E9159" s="544" t="s">
        <v>932</v>
      </c>
      <c r="F9159" s="387">
        <v>2.0</v>
      </c>
      <c r="G9159" s="140">
        <v>690000.0</v>
      </c>
      <c r="H9159" s="74"/>
      <c r="I9159" s="74">
        <f t="shared" si="1"/>
        <v>1380000</v>
      </c>
      <c r="J9159" s="74">
        <f>IF(E9159="SERVICE",I9159-(I9159*50%),Vlookup(E9159,DATABASE!C:Q,10,false)*F9159)</f>
        <v>0</v>
      </c>
      <c r="K9159" s="74">
        <f>VLOOKUP(E9159,DATABASE!C:Q,7,false)</f>
        <v>601000</v>
      </c>
      <c r="L9159" s="74">
        <v>601000.0</v>
      </c>
      <c r="M9159" s="74">
        <f t="shared" si="6"/>
        <v>605000</v>
      </c>
      <c r="N9159" s="74">
        <f t="shared" si="3"/>
        <v>170000</v>
      </c>
      <c r="O9159" s="65" t="str">
        <f>VLOOKUP(E9159,DATABASE!C:Q,8,false)</f>
        <v>IBU</v>
      </c>
      <c r="P9159" s="65">
        <f>VLOOKUP(E9159,DATABASE!C:Q,9,False)</f>
        <v>1</v>
      </c>
      <c r="Q9159" s="93" t="str">
        <f>VLOOKUP(E9159,DATABASE!C:Q,4,false)</f>
        <v>Dunlop</v>
      </c>
      <c r="R9159" s="93" t="str">
        <f>VLOOKUP(E9159,DATABASE!C:Q,11,false)</f>
        <v>Tire</v>
      </c>
    </row>
    <row r="9160" ht="22.5" customHeight="1">
      <c r="A9160" s="49"/>
      <c r="C9160" s="400">
        <v>46195.0</v>
      </c>
      <c r="D9160" s="524">
        <v>97.0</v>
      </c>
      <c r="E9160" s="544" t="s">
        <v>256</v>
      </c>
      <c r="F9160" s="387">
        <v>1.0</v>
      </c>
      <c r="G9160" s="140">
        <v>175000.0</v>
      </c>
      <c r="H9160" s="140">
        <v>25000.0</v>
      </c>
      <c r="I9160" s="74">
        <f t="shared" si="1"/>
        <v>150000</v>
      </c>
      <c r="J9160" s="74">
        <f>IF(E9160="SERVICE",I9160-(I9160*50%),Vlookup(E9160,DATABASE!C:Q,10,false)*F9160)</f>
        <v>10000</v>
      </c>
      <c r="K9160" s="74">
        <f>VLOOKUP(E9160,DATABASE!C:Q,7,false)</f>
        <v>0</v>
      </c>
      <c r="L9160" s="74">
        <v>0.0</v>
      </c>
      <c r="M9160" s="74">
        <f t="shared" si="6"/>
        <v>0</v>
      </c>
      <c r="N9160" s="74">
        <f t="shared" si="3"/>
        <v>140000</v>
      </c>
      <c r="O9160" s="65" t="str">
        <f>VLOOKUP(E9160,DATABASE!C:Q,8,false)</f>
        <v>IBU</v>
      </c>
      <c r="P9160" s="65">
        <f>VLOOKUP(E9160,DATABASE!C:Q,9,False)</f>
        <v>0</v>
      </c>
      <c r="Q9160" s="93" t="str">
        <f>VLOOKUP(E9160,DATABASE!C:Q,4,false)</f>
        <v>SPOORING</v>
      </c>
      <c r="R9160" s="93" t="str">
        <f>VLOOKUP(E9160,DATABASE!C:Q,11,false)</f>
        <v>SERVICE</v>
      </c>
    </row>
    <row r="9161" ht="22.5" customHeight="1">
      <c r="A9161" s="49"/>
      <c r="C9161" s="400">
        <v>46195.0</v>
      </c>
      <c r="D9161" s="524">
        <v>97.0</v>
      </c>
      <c r="E9161" s="544" t="s">
        <v>251</v>
      </c>
      <c r="F9161" s="387">
        <v>1.0</v>
      </c>
      <c r="G9161" s="140">
        <v>350000.0</v>
      </c>
      <c r="H9161" s="140">
        <v>200000.0</v>
      </c>
      <c r="I9161" s="74">
        <f t="shared" si="1"/>
        <v>150000</v>
      </c>
      <c r="J9161" s="74">
        <f>IF(E9161="SERVICE",I9161-(I9161*50%),Vlookup(E9161,DATABASE!C:Q,10,false)*F9161)</f>
        <v>75000</v>
      </c>
      <c r="K9161" s="74">
        <f>VLOOKUP(E9161,DATABASE!C:Q,7,false)</f>
        <v>0</v>
      </c>
      <c r="L9161" s="74">
        <v>0.0</v>
      </c>
      <c r="M9161" s="74">
        <f t="shared" si="6"/>
        <v>0</v>
      </c>
      <c r="N9161" s="74">
        <f t="shared" si="3"/>
        <v>75000</v>
      </c>
      <c r="O9161" s="65" t="str">
        <f>VLOOKUP(E9161,DATABASE!C:Q,8,false)</f>
        <v>IBU</v>
      </c>
      <c r="P9161" s="65">
        <f>VLOOKUP(E9161,DATABASE!C:Q,9,False)</f>
        <v>0</v>
      </c>
      <c r="Q9161" s="93" t="str">
        <f>VLOOKUP(E9161,DATABASE!C:Q,4,false)</f>
        <v>SERVICE</v>
      </c>
      <c r="R9161" s="93" t="str">
        <f>VLOOKUP(E9161,DATABASE!C:Q,11,false)</f>
        <v>SERVICE</v>
      </c>
    </row>
    <row r="9162" ht="22.5" customHeight="1">
      <c r="A9162" s="49"/>
      <c r="C9162" s="400">
        <v>46195.0</v>
      </c>
      <c r="D9162" s="524">
        <v>98.0</v>
      </c>
      <c r="E9162" s="544" t="s">
        <v>605</v>
      </c>
      <c r="F9162" s="387">
        <v>2.0</v>
      </c>
      <c r="G9162" s="140">
        <v>765000.0</v>
      </c>
      <c r="H9162" s="74"/>
      <c r="I9162" s="74">
        <f t="shared" si="1"/>
        <v>1530000</v>
      </c>
      <c r="J9162" s="74">
        <f>IF(E9162="SERVICE",I9162-(I9162*50%),Vlookup(E9162,DATABASE!C:Q,10,false)*F9162)</f>
        <v>0</v>
      </c>
      <c r="K9162" s="74">
        <f>VLOOKUP(E9162,DATABASE!C:Q,7,false)</f>
        <v>675000</v>
      </c>
      <c r="L9162" s="74">
        <v>675000.0</v>
      </c>
      <c r="M9162" s="74">
        <f t="shared" si="6"/>
        <v>675000</v>
      </c>
      <c r="N9162" s="74">
        <f t="shared" si="3"/>
        <v>180000</v>
      </c>
      <c r="O9162" s="65" t="str">
        <f>VLOOKUP(E9162,DATABASE!C:Q,8,false)</f>
        <v>IBU</v>
      </c>
      <c r="P9162" s="65">
        <f>VLOOKUP(E9162,DATABASE!C:Q,9,False)</f>
        <v>1</v>
      </c>
      <c r="Q9162" s="93" t="str">
        <f>VLOOKUP(E9162,DATABASE!C:Q,4,false)</f>
        <v>Bridgestone</v>
      </c>
      <c r="R9162" s="93" t="str">
        <f>VLOOKUP(E9162,DATABASE!C:Q,11,false)</f>
        <v>Tire</v>
      </c>
    </row>
    <row r="9163" ht="22.5" customHeight="1">
      <c r="A9163" s="49"/>
      <c r="C9163" s="400">
        <v>46195.0</v>
      </c>
      <c r="D9163" s="524">
        <v>99.0</v>
      </c>
      <c r="E9163" s="544" t="s">
        <v>968</v>
      </c>
      <c r="F9163" s="387">
        <v>2.0</v>
      </c>
      <c r="G9163" s="140">
        <v>675000.0</v>
      </c>
      <c r="H9163" s="74"/>
      <c r="I9163" s="74">
        <f t="shared" si="1"/>
        <v>1350000</v>
      </c>
      <c r="J9163" s="74">
        <f>IF(E9163="SERVICE",I9163-(I9163*50%),Vlookup(E9163,DATABASE!C:Q,10,false)*F9163)</f>
        <v>0</v>
      </c>
      <c r="K9163" s="74">
        <f>VLOOKUP(E9163,DATABASE!C:Q,7,false)</f>
        <v>582500</v>
      </c>
      <c r="L9163" s="74">
        <v>582500.0</v>
      </c>
      <c r="M9163" s="74">
        <f t="shared" si="6"/>
        <v>585000</v>
      </c>
      <c r="N9163" s="74">
        <f t="shared" si="3"/>
        <v>180000</v>
      </c>
      <c r="O9163" s="65" t="str">
        <f>VLOOKUP(E9163,DATABASE!C:Q,8,false)</f>
        <v>IBU</v>
      </c>
      <c r="P9163" s="65">
        <f>VLOOKUP(E9163,DATABASE!C:Q,9,False)</f>
        <v>1</v>
      </c>
      <c r="Q9163" s="93" t="str">
        <f>VLOOKUP(E9163,DATABASE!C:Q,4,false)</f>
        <v>Dunlop</v>
      </c>
      <c r="R9163" s="93" t="str">
        <f>VLOOKUP(E9163,DATABASE!C:Q,11,false)</f>
        <v>Tire</v>
      </c>
    </row>
    <row r="9164" ht="22.5" customHeight="1">
      <c r="A9164" s="49"/>
      <c r="C9164" s="400">
        <v>46195.0</v>
      </c>
      <c r="D9164" s="524">
        <v>100.0</v>
      </c>
      <c r="E9164" s="544" t="s">
        <v>262</v>
      </c>
      <c r="F9164" s="387">
        <v>1.0</v>
      </c>
      <c r="G9164" s="140">
        <v>130000.0</v>
      </c>
      <c r="H9164" s="74"/>
      <c r="I9164" s="74">
        <f t="shared" si="1"/>
        <v>130000</v>
      </c>
      <c r="J9164" s="74">
        <f>IF(E9164="SERVICE",I9164-(I9164*50%),Vlookup(E9164,DATABASE!C:Q,10,false)*F9164)</f>
        <v>5000</v>
      </c>
      <c r="K9164" s="74">
        <f>VLOOKUP(E9164,DATABASE!C:Q,7,false)</f>
        <v>0</v>
      </c>
      <c r="L9164" s="74">
        <v>0.0</v>
      </c>
      <c r="M9164" s="74">
        <f t="shared" si="6"/>
        <v>0</v>
      </c>
      <c r="N9164" s="74">
        <f t="shared" si="3"/>
        <v>125000</v>
      </c>
      <c r="O9164" s="65" t="str">
        <f>VLOOKUP(E9164,DATABASE!C:Q,8,false)</f>
        <v>IBU</v>
      </c>
      <c r="P9164" s="65">
        <f>VLOOKUP(E9164,DATABASE!C:Q,9,False)</f>
        <v>0</v>
      </c>
      <c r="Q9164" s="93" t="str">
        <f>VLOOKUP(E9164,DATABASE!C:Q,4,false)</f>
        <v>SPOORING SS/CARRY LOS BAK</v>
      </c>
      <c r="R9164" s="93" t="str">
        <f>VLOOKUP(E9164,DATABASE!C:Q,11,false)</f>
        <v>SERVICE</v>
      </c>
    </row>
    <row r="9165" ht="22.5" customHeight="1">
      <c r="A9165" s="49"/>
      <c r="C9165" s="400">
        <v>46195.0</v>
      </c>
      <c r="D9165" s="524">
        <v>100.0</v>
      </c>
      <c r="E9165" s="544" t="s">
        <v>251</v>
      </c>
      <c r="F9165" s="387">
        <v>1.0</v>
      </c>
      <c r="G9165" s="140">
        <v>350000.0</v>
      </c>
      <c r="H9165" s="140">
        <v>200000.0</v>
      </c>
      <c r="I9165" s="74">
        <f t="shared" si="1"/>
        <v>150000</v>
      </c>
      <c r="J9165" s="74">
        <f>IF(E9165="SERVICE",I9165-(I9165*50%),Vlookup(E9165,DATABASE!C:Q,10,false)*F9165)</f>
        <v>75000</v>
      </c>
      <c r="K9165" s="74">
        <f>VLOOKUP(E9165,DATABASE!C:Q,7,false)</f>
        <v>0</v>
      </c>
      <c r="L9165" s="74">
        <v>0.0</v>
      </c>
      <c r="M9165" s="74">
        <f t="shared" si="6"/>
        <v>0</v>
      </c>
      <c r="N9165" s="74">
        <f t="shared" si="3"/>
        <v>75000</v>
      </c>
      <c r="O9165" s="65" t="str">
        <f>VLOOKUP(E9165,DATABASE!C:Q,8,false)</f>
        <v>IBU</v>
      </c>
      <c r="P9165" s="65">
        <f>VLOOKUP(E9165,DATABASE!C:Q,9,False)</f>
        <v>0</v>
      </c>
      <c r="Q9165" s="93" t="str">
        <f>VLOOKUP(E9165,DATABASE!C:Q,4,false)</f>
        <v>SERVICE</v>
      </c>
      <c r="R9165" s="93" t="str">
        <f>VLOOKUP(E9165,DATABASE!C:Q,11,false)</f>
        <v>SERVICE</v>
      </c>
    </row>
    <row r="9166" ht="22.5" customHeight="1">
      <c r="A9166" s="49"/>
      <c r="C9166" s="400">
        <v>46195.0</v>
      </c>
      <c r="D9166" s="524">
        <v>101.0</v>
      </c>
      <c r="E9166" s="544" t="s">
        <v>839</v>
      </c>
      <c r="F9166" s="387">
        <v>2.0</v>
      </c>
      <c r="G9166" s="140">
        <v>580000.0</v>
      </c>
      <c r="H9166" s="140">
        <v>5000.0</v>
      </c>
      <c r="I9166" s="74">
        <f t="shared" si="1"/>
        <v>1150000</v>
      </c>
      <c r="J9166" s="74">
        <f>IF(E9166="SERVICE",I9166-(I9166*50%),Vlookup(E9166,DATABASE!C:Q,10,false)*F9166)</f>
        <v>0</v>
      </c>
      <c r="K9166" s="74">
        <f>VLOOKUP(E9166,DATABASE!C:Q,7,false)</f>
        <v>512640</v>
      </c>
      <c r="L9166" s="74">
        <v>490000.0</v>
      </c>
      <c r="M9166" s="74">
        <f t="shared" si="6"/>
        <v>490000</v>
      </c>
      <c r="N9166" s="74">
        <f t="shared" si="3"/>
        <v>170000</v>
      </c>
      <c r="O9166" s="65" t="str">
        <f>VLOOKUP(E9166,DATABASE!C:Q,8,false)</f>
        <v>BIAN</v>
      </c>
      <c r="P9166" s="65">
        <f>VLOOKUP(E9166,DATABASE!C:Q,9,False)</f>
        <v>1</v>
      </c>
      <c r="Q9166" s="93" t="str">
        <f>VLOOKUP(E9166,DATABASE!C:Q,4,false)</f>
        <v>GT</v>
      </c>
      <c r="R9166" s="93" t="str">
        <f>VLOOKUP(E9166,DATABASE!C:Q,11,false)</f>
        <v>Tire</v>
      </c>
    </row>
    <row r="9167" ht="22.5" customHeight="1">
      <c r="A9167" s="49"/>
      <c r="C9167" s="400">
        <v>46195.0</v>
      </c>
      <c r="D9167" s="524">
        <v>102.0</v>
      </c>
      <c r="E9167" s="544" t="s">
        <v>256</v>
      </c>
      <c r="F9167" s="387">
        <v>1.0</v>
      </c>
      <c r="G9167" s="140">
        <v>175000.0</v>
      </c>
      <c r="H9167" s="140">
        <v>25000.0</v>
      </c>
      <c r="I9167" s="74">
        <f t="shared" si="1"/>
        <v>150000</v>
      </c>
      <c r="J9167" s="74">
        <f>IF(E9167="SERVICE",I9167-(I9167*50%),Vlookup(E9167,DATABASE!C:Q,10,false)*F9167)</f>
        <v>10000</v>
      </c>
      <c r="K9167" s="74">
        <f>VLOOKUP(E9167,DATABASE!C:Q,7,false)</f>
        <v>0</v>
      </c>
      <c r="L9167" s="74">
        <v>0.0</v>
      </c>
      <c r="M9167" s="74">
        <f t="shared" si="6"/>
        <v>0</v>
      </c>
      <c r="N9167" s="74">
        <f t="shared" si="3"/>
        <v>140000</v>
      </c>
      <c r="O9167" s="65" t="str">
        <f>VLOOKUP(E9167,DATABASE!C:Q,8,false)</f>
        <v>IBU</v>
      </c>
      <c r="P9167" s="65">
        <f>VLOOKUP(E9167,DATABASE!C:Q,9,False)</f>
        <v>0</v>
      </c>
      <c r="Q9167" s="93" t="str">
        <f>VLOOKUP(E9167,DATABASE!C:Q,4,false)</f>
        <v>SPOORING</v>
      </c>
      <c r="R9167" s="93" t="str">
        <f>VLOOKUP(E9167,DATABASE!C:Q,11,false)</f>
        <v>SERVICE</v>
      </c>
    </row>
    <row r="9168" ht="22.5" customHeight="1">
      <c r="A9168" s="49"/>
      <c r="C9168" s="400">
        <v>46195.0</v>
      </c>
      <c r="D9168" s="524">
        <v>102.0</v>
      </c>
      <c r="E9168" s="544" t="s">
        <v>251</v>
      </c>
      <c r="F9168" s="387">
        <v>1.0</v>
      </c>
      <c r="G9168" s="140">
        <v>350000.0</v>
      </c>
      <c r="H9168" s="140">
        <v>200000.0</v>
      </c>
      <c r="I9168" s="74">
        <f t="shared" si="1"/>
        <v>150000</v>
      </c>
      <c r="J9168" s="74">
        <f>IF(E9168="SERVICE",I9168-(I9168*50%),Vlookup(E9168,DATABASE!C:Q,10,false)*F9168)</f>
        <v>75000</v>
      </c>
      <c r="K9168" s="74">
        <f>VLOOKUP(E9168,DATABASE!C:Q,7,false)</f>
        <v>0</v>
      </c>
      <c r="L9168" s="74">
        <v>0.0</v>
      </c>
      <c r="M9168" s="74">
        <f t="shared" si="6"/>
        <v>0</v>
      </c>
      <c r="N9168" s="74">
        <f t="shared" si="3"/>
        <v>75000</v>
      </c>
      <c r="O9168" s="65" t="str">
        <f>VLOOKUP(E9168,DATABASE!C:Q,8,false)</f>
        <v>IBU</v>
      </c>
      <c r="P9168" s="65">
        <f>VLOOKUP(E9168,DATABASE!C:Q,9,False)</f>
        <v>0</v>
      </c>
      <c r="Q9168" s="93" t="str">
        <f>VLOOKUP(E9168,DATABASE!C:Q,4,false)</f>
        <v>SERVICE</v>
      </c>
      <c r="R9168" s="93" t="str">
        <f>VLOOKUP(E9168,DATABASE!C:Q,11,false)</f>
        <v>SERVICE</v>
      </c>
    </row>
    <row r="9169" ht="22.5" customHeight="1">
      <c r="A9169" s="49"/>
      <c r="C9169" s="400">
        <v>46195.0</v>
      </c>
      <c r="D9169" s="524">
        <v>103.0</v>
      </c>
      <c r="E9169" s="544" t="s">
        <v>268</v>
      </c>
      <c r="F9169" s="387">
        <v>2.0</v>
      </c>
      <c r="G9169" s="140">
        <v>720000.0</v>
      </c>
      <c r="H9169" s="74"/>
      <c r="I9169" s="74">
        <f t="shared" si="1"/>
        <v>1440000</v>
      </c>
      <c r="J9169" s="74">
        <f>IF(E9169="SERVICE",I9169-(I9169*50%),Vlookup(E9169,DATABASE!C:Q,10,false)*F9169)</f>
        <v>0</v>
      </c>
      <c r="K9169" s="74">
        <f>VLOOKUP(E9169,DATABASE!C:Q,7,false)</f>
        <v>653000</v>
      </c>
      <c r="L9169" s="74">
        <v>634500.0</v>
      </c>
      <c r="M9169" s="74">
        <f t="shared" si="6"/>
        <v>635000</v>
      </c>
      <c r="N9169" s="74">
        <f t="shared" si="3"/>
        <v>170000</v>
      </c>
      <c r="O9169" s="65" t="str">
        <f>VLOOKUP(E9169,DATABASE!C:Q,8,false)</f>
        <v>IBU</v>
      </c>
      <c r="P9169" s="65">
        <f>VLOOKUP(E9169,DATABASE!C:Q,9,False)</f>
        <v>1</v>
      </c>
      <c r="Q9169" s="93" t="str">
        <f>VLOOKUP(E9169,DATABASE!C:Q,4,false)</f>
        <v>Dunlop</v>
      </c>
      <c r="R9169" s="93" t="str">
        <f>VLOOKUP(E9169,DATABASE!C:Q,11,false)</f>
        <v>Tire</v>
      </c>
    </row>
    <row r="9170" ht="22.5" customHeight="1">
      <c r="A9170" s="49"/>
      <c r="C9170" s="400">
        <v>46195.0</v>
      </c>
      <c r="D9170" s="524">
        <v>104.0</v>
      </c>
      <c r="E9170" s="544" t="s">
        <v>275</v>
      </c>
      <c r="F9170" s="387">
        <v>2.0</v>
      </c>
      <c r="G9170" s="140">
        <v>850000.0</v>
      </c>
      <c r="H9170" s="74"/>
      <c r="I9170" s="74">
        <f t="shared" si="1"/>
        <v>1700000</v>
      </c>
      <c r="J9170" s="74">
        <f>IF(E9170="SERVICE",I9170-(I9170*50%),Vlookup(E9170,DATABASE!C:Q,10,false)*F9170)</f>
        <v>0</v>
      </c>
      <c r="K9170" s="74">
        <f>VLOOKUP(E9170,DATABASE!C:Q,7,false)</f>
        <v>782000</v>
      </c>
      <c r="L9170" s="74">
        <v>759500.0</v>
      </c>
      <c r="M9170" s="74">
        <f t="shared" si="6"/>
        <v>760000</v>
      </c>
      <c r="N9170" s="74">
        <f t="shared" si="3"/>
        <v>180000</v>
      </c>
      <c r="O9170" s="65" t="str">
        <f>VLOOKUP(E9170,DATABASE!C:Q,8,false)</f>
        <v>IBU</v>
      </c>
      <c r="P9170" s="65">
        <f>VLOOKUP(E9170,DATABASE!C:Q,9,False)</f>
        <v>1</v>
      </c>
      <c r="Q9170" s="93" t="str">
        <f>VLOOKUP(E9170,DATABASE!C:Q,4,false)</f>
        <v>Dunlop</v>
      </c>
      <c r="R9170" s="93" t="str">
        <f>VLOOKUP(E9170,DATABASE!C:Q,11,false)</f>
        <v>Tire</v>
      </c>
    </row>
    <row r="9171" ht="22.5" customHeight="1">
      <c r="A9171" s="49"/>
      <c r="C9171" s="400">
        <v>46195.0</v>
      </c>
      <c r="D9171" s="524">
        <v>105.0</v>
      </c>
      <c r="E9171" s="544" t="s">
        <v>262</v>
      </c>
      <c r="F9171" s="387">
        <v>1.0</v>
      </c>
      <c r="G9171" s="140">
        <v>130000.0</v>
      </c>
      <c r="H9171" s="74"/>
      <c r="I9171" s="74">
        <f t="shared" si="1"/>
        <v>130000</v>
      </c>
      <c r="J9171" s="74">
        <f>IF(E9171="SERVICE",I9171-(I9171*50%),Vlookup(E9171,DATABASE!C:Q,10,false)*F9171)</f>
        <v>5000</v>
      </c>
      <c r="K9171" s="74">
        <f>VLOOKUP(E9171,DATABASE!C:Q,7,false)</f>
        <v>0</v>
      </c>
      <c r="L9171" s="74">
        <v>0.0</v>
      </c>
      <c r="M9171" s="74">
        <f t="shared" si="6"/>
        <v>0</v>
      </c>
      <c r="N9171" s="74">
        <f t="shared" si="3"/>
        <v>125000</v>
      </c>
      <c r="O9171" s="65" t="str">
        <f>VLOOKUP(E9171,DATABASE!C:Q,8,false)</f>
        <v>IBU</v>
      </c>
      <c r="P9171" s="65">
        <f>VLOOKUP(E9171,DATABASE!C:Q,9,False)</f>
        <v>0</v>
      </c>
      <c r="Q9171" s="93" t="str">
        <f>VLOOKUP(E9171,DATABASE!C:Q,4,false)</f>
        <v>SPOORING SS/CARRY LOS BAK</v>
      </c>
      <c r="R9171" s="93" t="str">
        <f>VLOOKUP(E9171,DATABASE!C:Q,11,false)</f>
        <v>SERVICE</v>
      </c>
    </row>
    <row r="9172" ht="22.5" customHeight="1">
      <c r="A9172" s="49"/>
      <c r="C9172" s="400">
        <v>46195.0</v>
      </c>
      <c r="D9172" s="524">
        <v>105.0</v>
      </c>
      <c r="E9172" s="544" t="s">
        <v>301</v>
      </c>
      <c r="F9172" s="387">
        <v>1.0</v>
      </c>
      <c r="G9172" s="140">
        <v>250000.0</v>
      </c>
      <c r="H9172" s="74"/>
      <c r="I9172" s="74">
        <f t="shared" si="1"/>
        <v>250000</v>
      </c>
      <c r="J9172" s="74">
        <f>IF(E9172="SERVICE",I9172-(I9172*50%),Vlookup(E9172,DATABASE!C:Q,10,false)*F9172)</f>
        <v>75000</v>
      </c>
      <c r="K9172" s="74">
        <f>VLOOKUP(E9172,DATABASE!C:Q,7,false)</f>
        <v>75000</v>
      </c>
      <c r="L9172" s="74">
        <v>75000.0</v>
      </c>
      <c r="M9172" s="74">
        <f t="shared" si="6"/>
        <v>75000</v>
      </c>
      <c r="N9172" s="74">
        <f t="shared" si="3"/>
        <v>100000</v>
      </c>
      <c r="O9172" s="65" t="str">
        <f>VLOOKUP(E9172,DATABASE!C:Q,8,false)</f>
        <v>BIAN</v>
      </c>
      <c r="P9172" s="65">
        <f>VLOOKUP(E9172,DATABASE!C:Q,9,False)</f>
        <v>0</v>
      </c>
      <c r="Q9172" s="93" t="str">
        <f>VLOOKUP(E9172,DATABASE!C:Q,4,false)</f>
        <v>Baut Camber</v>
      </c>
      <c r="R9172" s="93" t="str">
        <f>VLOOKUP(E9172,DATABASE!C:Q,11,false)</f>
        <v>COMPLEMENTARY</v>
      </c>
    </row>
    <row r="9173" ht="22.5" customHeight="1">
      <c r="A9173" s="49"/>
      <c r="C9173" s="400">
        <v>46195.0</v>
      </c>
      <c r="D9173" s="524">
        <v>106.0</v>
      </c>
      <c r="E9173" s="544" t="s">
        <v>268</v>
      </c>
      <c r="F9173" s="387">
        <v>1.0</v>
      </c>
      <c r="G9173" s="140">
        <v>720000.0</v>
      </c>
      <c r="H9173" s="74"/>
      <c r="I9173" s="74">
        <f t="shared" si="1"/>
        <v>720000</v>
      </c>
      <c r="J9173" s="74">
        <f>IF(E9173="SERVICE",I9173-(I9173*50%),Vlookup(E9173,DATABASE!C:Q,10,false)*F9173)</f>
        <v>0</v>
      </c>
      <c r="K9173" s="74">
        <f>VLOOKUP(E9173,DATABASE!C:Q,7,false)</f>
        <v>653000</v>
      </c>
      <c r="L9173" s="74">
        <v>634500.0</v>
      </c>
      <c r="M9173" s="74">
        <f t="shared" si="6"/>
        <v>635000</v>
      </c>
      <c r="N9173" s="74">
        <f t="shared" si="3"/>
        <v>85000</v>
      </c>
      <c r="O9173" s="65" t="str">
        <f>VLOOKUP(E9173,DATABASE!C:Q,8,false)</f>
        <v>IBU</v>
      </c>
      <c r="P9173" s="65">
        <f>VLOOKUP(E9173,DATABASE!C:Q,9,False)</f>
        <v>1</v>
      </c>
      <c r="Q9173" s="93" t="str">
        <f>VLOOKUP(E9173,DATABASE!C:Q,4,false)</f>
        <v>Dunlop</v>
      </c>
      <c r="R9173" s="93" t="str">
        <f>VLOOKUP(E9173,DATABASE!C:Q,11,false)</f>
        <v>Tire</v>
      </c>
    </row>
    <row r="9174" ht="22.5" customHeight="1">
      <c r="A9174" s="49"/>
      <c r="C9174" s="400">
        <v>46195.0</v>
      </c>
      <c r="D9174" s="524">
        <v>107.0</v>
      </c>
      <c r="E9174" s="544" t="s">
        <v>932</v>
      </c>
      <c r="F9174" s="387">
        <v>2.0</v>
      </c>
      <c r="G9174" s="140">
        <v>690000.0</v>
      </c>
      <c r="H9174" s="74"/>
      <c r="I9174" s="74">
        <f t="shared" si="1"/>
        <v>1380000</v>
      </c>
      <c r="J9174" s="74">
        <f>IF(E9174="SERVICE",I9174-(I9174*50%),Vlookup(E9174,DATABASE!C:Q,10,false)*F9174)</f>
        <v>0</v>
      </c>
      <c r="K9174" s="74">
        <f>VLOOKUP(E9174,DATABASE!C:Q,7,false)</f>
        <v>601000</v>
      </c>
      <c r="L9174" s="74">
        <v>601000.0</v>
      </c>
      <c r="M9174" s="74">
        <f t="shared" si="6"/>
        <v>605000</v>
      </c>
      <c r="N9174" s="74">
        <f t="shared" si="3"/>
        <v>170000</v>
      </c>
      <c r="O9174" s="65" t="str">
        <f>VLOOKUP(E9174,DATABASE!C:Q,8,false)</f>
        <v>IBU</v>
      </c>
      <c r="P9174" s="65">
        <f>VLOOKUP(E9174,DATABASE!C:Q,9,False)</f>
        <v>1</v>
      </c>
      <c r="Q9174" s="93" t="str">
        <f>VLOOKUP(E9174,DATABASE!C:Q,4,false)</f>
        <v>Dunlop</v>
      </c>
      <c r="R9174" s="93" t="str">
        <f>VLOOKUP(E9174,DATABASE!C:Q,11,false)</f>
        <v>Tire</v>
      </c>
    </row>
    <row r="9175" ht="22.5" customHeight="1">
      <c r="A9175" s="49"/>
      <c r="C9175" s="400">
        <v>46195.0</v>
      </c>
      <c r="D9175" s="524">
        <v>107.0</v>
      </c>
      <c r="E9175" s="544" t="s">
        <v>299</v>
      </c>
      <c r="F9175" s="387">
        <v>2.0</v>
      </c>
      <c r="G9175" s="140">
        <v>30000.0</v>
      </c>
      <c r="H9175" s="74"/>
      <c r="I9175" s="74">
        <f t="shared" si="1"/>
        <v>60000</v>
      </c>
      <c r="J9175" s="74">
        <f>IF(E9175="SERVICE",I9175-(I9175*50%),Vlookup(E9175,DATABASE!C:Q,10,false)*F9175)</f>
        <v>0</v>
      </c>
      <c r="K9175" s="74">
        <f>VLOOKUP(E9175,DATABASE!C:Q,7,false)</f>
        <v>10000</v>
      </c>
      <c r="L9175" s="74">
        <v>10000.0</v>
      </c>
      <c r="M9175" s="74">
        <f t="shared" si="6"/>
        <v>10000</v>
      </c>
      <c r="N9175" s="74">
        <f t="shared" si="3"/>
        <v>40000</v>
      </c>
      <c r="O9175" s="65" t="str">
        <f>VLOOKUP(E9175,DATABASE!C:Q,8,false)</f>
        <v>BIAN</v>
      </c>
      <c r="P9175" s="65">
        <f>VLOOKUP(E9175,DATABASE!C:Q,9,False)</f>
        <v>0</v>
      </c>
      <c r="Q9175" s="93" t="str">
        <f>VLOOKUP(E9175,DATABASE!C:Q,4,false)</f>
        <v>Balancing</v>
      </c>
      <c r="R9175" s="93" t="str">
        <f>VLOOKUP(E9175,DATABASE!C:Q,11,false)</f>
        <v>COMPLEMENTARY</v>
      </c>
    </row>
    <row r="9176" ht="22.5" customHeight="1">
      <c r="A9176" s="49"/>
      <c r="C9176" s="400">
        <v>46195.0</v>
      </c>
      <c r="D9176" s="524">
        <v>107.0</v>
      </c>
      <c r="E9176" s="544" t="s">
        <v>256</v>
      </c>
      <c r="F9176" s="387">
        <v>1.0</v>
      </c>
      <c r="G9176" s="140">
        <v>175000.0</v>
      </c>
      <c r="H9176" s="140">
        <v>25000.0</v>
      </c>
      <c r="I9176" s="74">
        <f t="shared" si="1"/>
        <v>150000</v>
      </c>
      <c r="J9176" s="74">
        <f>IF(E9176="SERVICE",I9176-(I9176*50%),Vlookup(E9176,DATABASE!C:Q,10,false)*F9176)</f>
        <v>10000</v>
      </c>
      <c r="K9176" s="74">
        <f>VLOOKUP(E9176,DATABASE!C:Q,7,false)</f>
        <v>0</v>
      </c>
      <c r="L9176" s="74">
        <v>0.0</v>
      </c>
      <c r="M9176" s="74">
        <f t="shared" si="6"/>
        <v>0</v>
      </c>
      <c r="N9176" s="74">
        <f t="shared" si="3"/>
        <v>140000</v>
      </c>
      <c r="O9176" s="65" t="str">
        <f>VLOOKUP(E9176,DATABASE!C:Q,8,false)</f>
        <v>IBU</v>
      </c>
      <c r="P9176" s="65">
        <f>VLOOKUP(E9176,DATABASE!C:Q,9,False)</f>
        <v>0</v>
      </c>
      <c r="Q9176" s="93" t="str">
        <f>VLOOKUP(E9176,DATABASE!C:Q,4,false)</f>
        <v>SPOORING</v>
      </c>
      <c r="R9176" s="93" t="str">
        <f>VLOOKUP(E9176,DATABASE!C:Q,11,false)</f>
        <v>SERVICE</v>
      </c>
    </row>
    <row r="9177" ht="22.5" customHeight="1">
      <c r="A9177" s="49"/>
      <c r="C9177" s="400">
        <v>46195.0</v>
      </c>
      <c r="D9177" s="524">
        <v>107.0</v>
      </c>
      <c r="E9177" s="544" t="s">
        <v>301</v>
      </c>
      <c r="F9177" s="387">
        <v>1.0</v>
      </c>
      <c r="G9177" s="140">
        <v>250000.0</v>
      </c>
      <c r="H9177" s="74"/>
      <c r="I9177" s="74">
        <f t="shared" si="1"/>
        <v>250000</v>
      </c>
      <c r="J9177" s="74">
        <f>IF(E9177="SERVICE",I9177-(I9177*50%),Vlookup(E9177,DATABASE!C:Q,10,false)*F9177)</f>
        <v>75000</v>
      </c>
      <c r="K9177" s="74">
        <f>VLOOKUP(E9177,DATABASE!C:Q,7,false)</f>
        <v>75000</v>
      </c>
      <c r="L9177" s="74">
        <v>75000.0</v>
      </c>
      <c r="M9177" s="74">
        <f t="shared" si="6"/>
        <v>75000</v>
      </c>
      <c r="N9177" s="74">
        <f t="shared" si="3"/>
        <v>100000</v>
      </c>
      <c r="O9177" s="65" t="str">
        <f>VLOOKUP(E9177,DATABASE!C:Q,8,false)</f>
        <v>BIAN</v>
      </c>
      <c r="P9177" s="65">
        <f>VLOOKUP(E9177,DATABASE!C:Q,9,False)</f>
        <v>0</v>
      </c>
      <c r="Q9177" s="93" t="str">
        <f>VLOOKUP(E9177,DATABASE!C:Q,4,false)</f>
        <v>Baut Camber</v>
      </c>
      <c r="R9177" s="93" t="str">
        <f>VLOOKUP(E9177,DATABASE!C:Q,11,false)</f>
        <v>COMPLEMENTARY</v>
      </c>
    </row>
    <row r="9178" ht="22.5" customHeight="1">
      <c r="A9178" s="49"/>
      <c r="C9178" s="400">
        <v>46195.0</v>
      </c>
      <c r="D9178" s="524">
        <v>108.0</v>
      </c>
      <c r="E9178" s="544" t="s">
        <v>275</v>
      </c>
      <c r="F9178" s="387">
        <v>1.0</v>
      </c>
      <c r="G9178" s="140">
        <v>850000.0</v>
      </c>
      <c r="H9178" s="74"/>
      <c r="I9178" s="74">
        <f t="shared" si="1"/>
        <v>850000</v>
      </c>
      <c r="J9178" s="74">
        <f>IF(E9178="SERVICE",I9178-(I9178*50%),Vlookup(E9178,DATABASE!C:Q,10,false)*F9178)</f>
        <v>0</v>
      </c>
      <c r="K9178" s="74">
        <f>VLOOKUP(E9178,DATABASE!C:Q,7,false)</f>
        <v>782000</v>
      </c>
      <c r="L9178" s="74">
        <v>759500.0</v>
      </c>
      <c r="M9178" s="74">
        <f t="shared" si="6"/>
        <v>760000</v>
      </c>
      <c r="N9178" s="74">
        <f t="shared" si="3"/>
        <v>90000</v>
      </c>
      <c r="O9178" s="65" t="str">
        <f>VLOOKUP(E9178,DATABASE!C:Q,8,false)</f>
        <v>IBU</v>
      </c>
      <c r="P9178" s="65">
        <f>VLOOKUP(E9178,DATABASE!C:Q,9,False)</f>
        <v>1</v>
      </c>
      <c r="Q9178" s="93" t="str">
        <f>VLOOKUP(E9178,DATABASE!C:Q,4,false)</f>
        <v>Dunlop</v>
      </c>
      <c r="R9178" s="93" t="str">
        <f>VLOOKUP(E9178,DATABASE!C:Q,11,false)</f>
        <v>Tire</v>
      </c>
    </row>
    <row r="9179" ht="22.5" customHeight="1">
      <c r="A9179" s="49"/>
      <c r="C9179" s="400">
        <v>46195.0</v>
      </c>
      <c r="D9179" s="524">
        <v>109.0</v>
      </c>
      <c r="E9179" s="544" t="s">
        <v>256</v>
      </c>
      <c r="F9179" s="387">
        <v>1.0</v>
      </c>
      <c r="G9179" s="140">
        <v>175000.0</v>
      </c>
      <c r="H9179" s="140">
        <v>25000.0</v>
      </c>
      <c r="I9179" s="74">
        <f t="shared" si="1"/>
        <v>150000</v>
      </c>
      <c r="J9179" s="74">
        <f>IF(E9179="SERVICE",I9179-(I9179*50%),Vlookup(E9179,DATABASE!C:Q,10,false)*F9179)</f>
        <v>10000</v>
      </c>
      <c r="K9179" s="74">
        <f>VLOOKUP(E9179,DATABASE!C:Q,7,false)</f>
        <v>0</v>
      </c>
      <c r="L9179" s="74">
        <v>0.0</v>
      </c>
      <c r="M9179" s="74">
        <f t="shared" si="6"/>
        <v>0</v>
      </c>
      <c r="N9179" s="74">
        <f t="shared" si="3"/>
        <v>140000</v>
      </c>
      <c r="O9179" s="65" t="str">
        <f>VLOOKUP(E9179,DATABASE!C:Q,8,false)</f>
        <v>IBU</v>
      </c>
      <c r="P9179" s="65">
        <f>VLOOKUP(E9179,DATABASE!C:Q,9,False)</f>
        <v>0</v>
      </c>
      <c r="Q9179" s="93" t="str">
        <f>VLOOKUP(E9179,DATABASE!C:Q,4,false)</f>
        <v>SPOORING</v>
      </c>
      <c r="R9179" s="93" t="str">
        <f>VLOOKUP(E9179,DATABASE!C:Q,11,false)</f>
        <v>SERVICE</v>
      </c>
    </row>
    <row r="9180" ht="22.5" customHeight="1">
      <c r="A9180" s="49"/>
      <c r="C9180" s="400">
        <v>46195.0</v>
      </c>
      <c r="D9180" s="524">
        <v>109.0</v>
      </c>
      <c r="E9180" s="544" t="s">
        <v>301</v>
      </c>
      <c r="F9180" s="387">
        <v>1.0</v>
      </c>
      <c r="G9180" s="140">
        <v>250000.0</v>
      </c>
      <c r="H9180" s="74"/>
      <c r="I9180" s="74">
        <f t="shared" si="1"/>
        <v>250000</v>
      </c>
      <c r="J9180" s="74">
        <f>IF(E9180="SERVICE",I9180-(I9180*50%),Vlookup(E9180,DATABASE!C:Q,10,false)*F9180)</f>
        <v>75000</v>
      </c>
      <c r="K9180" s="74">
        <f>VLOOKUP(E9180,DATABASE!C:Q,7,false)</f>
        <v>75000</v>
      </c>
      <c r="L9180" s="74">
        <v>75000.0</v>
      </c>
      <c r="M9180" s="74">
        <f t="shared" si="6"/>
        <v>75000</v>
      </c>
      <c r="N9180" s="74">
        <f t="shared" si="3"/>
        <v>100000</v>
      </c>
      <c r="O9180" s="65" t="str">
        <f>VLOOKUP(E9180,DATABASE!C:Q,8,false)</f>
        <v>BIAN</v>
      </c>
      <c r="P9180" s="65">
        <f>VLOOKUP(E9180,DATABASE!C:Q,9,False)</f>
        <v>0</v>
      </c>
      <c r="Q9180" s="93" t="str">
        <f>VLOOKUP(E9180,DATABASE!C:Q,4,false)</f>
        <v>Baut Camber</v>
      </c>
      <c r="R9180" s="93" t="str">
        <f>VLOOKUP(E9180,DATABASE!C:Q,11,false)</f>
        <v>COMPLEMENTARY</v>
      </c>
    </row>
    <row r="9181" ht="22.5" customHeight="1">
      <c r="A9181" s="49"/>
      <c r="C9181" s="400">
        <v>46196.0</v>
      </c>
      <c r="D9181" s="524">
        <v>110.0</v>
      </c>
      <c r="E9181" s="544" t="s">
        <v>268</v>
      </c>
      <c r="F9181" s="387">
        <v>2.0</v>
      </c>
      <c r="G9181" s="140">
        <v>720000.0</v>
      </c>
      <c r="H9181" s="74"/>
      <c r="I9181" s="74">
        <f t="shared" si="1"/>
        <v>1440000</v>
      </c>
      <c r="J9181" s="74">
        <f>IF(E9181="SERVICE",I9181-(I9181*50%),Vlookup(E9181,DATABASE!C:Q,10,false)*F9181)</f>
        <v>0</v>
      </c>
      <c r="K9181" s="74">
        <f>VLOOKUP(E9181,DATABASE!C:Q,7,false)</f>
        <v>653000</v>
      </c>
      <c r="L9181" s="74">
        <v>634500.0</v>
      </c>
      <c r="M9181" s="74">
        <f t="shared" si="6"/>
        <v>635000</v>
      </c>
      <c r="N9181" s="74">
        <f t="shared" si="3"/>
        <v>170000</v>
      </c>
      <c r="O9181" s="65" t="str">
        <f>VLOOKUP(E9181,DATABASE!C:Q,8,false)</f>
        <v>IBU</v>
      </c>
      <c r="P9181" s="65">
        <f>VLOOKUP(E9181,DATABASE!C:Q,9,False)</f>
        <v>1</v>
      </c>
      <c r="Q9181" s="93" t="str">
        <f>VLOOKUP(E9181,DATABASE!C:Q,4,false)</f>
        <v>Dunlop</v>
      </c>
      <c r="R9181" s="93" t="str">
        <f>VLOOKUP(E9181,DATABASE!C:Q,11,false)</f>
        <v>Tire</v>
      </c>
    </row>
    <row r="9182" ht="22.5" customHeight="1">
      <c r="A9182" s="49"/>
      <c r="C9182" s="400">
        <v>46196.0</v>
      </c>
      <c r="D9182" s="524">
        <v>111.0</v>
      </c>
      <c r="E9182" s="544" t="s">
        <v>924</v>
      </c>
      <c r="F9182" s="387">
        <v>4.0</v>
      </c>
      <c r="G9182" s="140">
        <v>1660000.0</v>
      </c>
      <c r="H9182" s="140">
        <v>20000.0</v>
      </c>
      <c r="I9182" s="74">
        <f t="shared" si="1"/>
        <v>6560000</v>
      </c>
      <c r="J9182" s="74">
        <f>IF(E9182="SERVICE",I9182-(I9182*50%),Vlookup(E9182,DATABASE!C:Q,10,false)*F9182)</f>
        <v>0</v>
      </c>
      <c r="K9182" s="74">
        <f>VLOOKUP(E9182,DATABASE!C:Q,7,false)</f>
        <v>1560000</v>
      </c>
      <c r="L9182" s="74">
        <v>1555000.0</v>
      </c>
      <c r="M9182" s="74">
        <f t="shared" si="6"/>
        <v>1555000</v>
      </c>
      <c r="N9182" s="74">
        <f t="shared" si="3"/>
        <v>340000</v>
      </c>
      <c r="O9182" s="65" t="str">
        <f>VLOOKUP(E9182,DATABASE!C:Q,8,false)</f>
        <v>BIAN</v>
      </c>
      <c r="P9182" s="65">
        <f>VLOOKUP(E9182,DATABASE!C:Q,9,False)</f>
        <v>1</v>
      </c>
      <c r="Q9182" s="93" t="str">
        <f>VLOOKUP(E9182,DATABASE!C:Q,4,false)</f>
        <v>TIRON</v>
      </c>
      <c r="R9182" s="93" t="str">
        <f>VLOOKUP(E9182,DATABASE!C:Q,11,false)</f>
        <v>Tire</v>
      </c>
    </row>
    <row r="9183" ht="22.5" customHeight="1">
      <c r="A9183" s="49"/>
      <c r="C9183" s="400">
        <v>46196.0</v>
      </c>
      <c r="D9183" s="524">
        <v>112.0</v>
      </c>
      <c r="E9183" s="544" t="s">
        <v>932</v>
      </c>
      <c r="F9183" s="387">
        <v>2.0</v>
      </c>
      <c r="G9183" s="140">
        <v>690000.0</v>
      </c>
      <c r="H9183" s="74"/>
      <c r="I9183" s="74">
        <f t="shared" si="1"/>
        <v>1380000</v>
      </c>
      <c r="J9183" s="74">
        <f>IF(E9183="SERVICE",I9183-(I9183*50%),Vlookup(E9183,DATABASE!C:Q,10,false)*F9183)</f>
        <v>0</v>
      </c>
      <c r="K9183" s="74">
        <f>VLOOKUP(E9183,DATABASE!C:Q,7,false)</f>
        <v>601000</v>
      </c>
      <c r="L9183" s="74">
        <v>601000.0</v>
      </c>
      <c r="M9183" s="74">
        <f t="shared" si="6"/>
        <v>605000</v>
      </c>
      <c r="N9183" s="74">
        <f t="shared" si="3"/>
        <v>170000</v>
      </c>
      <c r="O9183" s="65" t="str">
        <f>VLOOKUP(E9183,DATABASE!C:Q,8,false)</f>
        <v>IBU</v>
      </c>
      <c r="P9183" s="65">
        <f>VLOOKUP(E9183,DATABASE!C:Q,9,False)</f>
        <v>1</v>
      </c>
      <c r="Q9183" s="93" t="str">
        <f>VLOOKUP(E9183,DATABASE!C:Q,4,false)</f>
        <v>Dunlop</v>
      </c>
      <c r="R9183" s="93" t="str">
        <f>VLOOKUP(E9183,DATABASE!C:Q,11,false)</f>
        <v>Tire</v>
      </c>
    </row>
    <row r="9184" ht="22.5" customHeight="1">
      <c r="A9184" s="49"/>
      <c r="C9184" s="400">
        <v>46196.0</v>
      </c>
      <c r="D9184" s="524">
        <v>112.0</v>
      </c>
      <c r="E9184" s="544" t="s">
        <v>299</v>
      </c>
      <c r="F9184" s="387">
        <v>2.0</v>
      </c>
      <c r="G9184" s="140">
        <v>30000.0</v>
      </c>
      <c r="H9184" s="74"/>
      <c r="I9184" s="74">
        <f t="shared" si="1"/>
        <v>60000</v>
      </c>
      <c r="J9184" s="74">
        <f>IF(E9184="SERVICE",I9184-(I9184*50%),Vlookup(E9184,DATABASE!C:Q,10,false)*F9184)</f>
        <v>0</v>
      </c>
      <c r="K9184" s="74">
        <f>VLOOKUP(E9184,DATABASE!C:Q,7,false)</f>
        <v>10000</v>
      </c>
      <c r="L9184" s="74">
        <v>10000.0</v>
      </c>
      <c r="M9184" s="74">
        <f t="shared" si="6"/>
        <v>10000</v>
      </c>
      <c r="N9184" s="74">
        <f t="shared" si="3"/>
        <v>40000</v>
      </c>
      <c r="O9184" s="65" t="str">
        <f>VLOOKUP(E9184,DATABASE!C:Q,8,false)</f>
        <v>BIAN</v>
      </c>
      <c r="P9184" s="65">
        <f>VLOOKUP(E9184,DATABASE!C:Q,9,False)</f>
        <v>0</v>
      </c>
      <c r="Q9184" s="93" t="str">
        <f>VLOOKUP(E9184,DATABASE!C:Q,4,false)</f>
        <v>Balancing</v>
      </c>
      <c r="R9184" s="93" t="str">
        <f>VLOOKUP(E9184,DATABASE!C:Q,11,false)</f>
        <v>COMPLEMENTARY</v>
      </c>
    </row>
    <row r="9185" ht="22.5" customHeight="1">
      <c r="A9185" s="49"/>
      <c r="C9185" s="400">
        <v>46196.0</v>
      </c>
      <c r="D9185" s="524">
        <v>113.0</v>
      </c>
      <c r="E9185" s="544" t="s">
        <v>268</v>
      </c>
      <c r="F9185" s="387">
        <v>2.0</v>
      </c>
      <c r="G9185" s="140">
        <v>720000.0</v>
      </c>
      <c r="H9185" s="140">
        <v>10000.0</v>
      </c>
      <c r="I9185" s="74">
        <f t="shared" si="1"/>
        <v>1420000</v>
      </c>
      <c r="J9185" s="74">
        <f>IF(E9185="SERVICE",I9185-(I9185*50%),Vlookup(E9185,DATABASE!C:Q,10,false)*F9185)</f>
        <v>0</v>
      </c>
      <c r="K9185" s="74">
        <f>VLOOKUP(E9185,DATABASE!C:Q,7,false)</f>
        <v>653000</v>
      </c>
      <c r="L9185" s="74">
        <v>634500.0</v>
      </c>
      <c r="M9185" s="74">
        <f t="shared" si="6"/>
        <v>635000</v>
      </c>
      <c r="N9185" s="74">
        <f t="shared" si="3"/>
        <v>150000</v>
      </c>
      <c r="O9185" s="65" t="str">
        <f>VLOOKUP(E9185,DATABASE!C:Q,8,false)</f>
        <v>IBU</v>
      </c>
      <c r="P9185" s="65">
        <f>VLOOKUP(E9185,DATABASE!C:Q,9,False)</f>
        <v>1</v>
      </c>
      <c r="Q9185" s="93" t="str">
        <f>VLOOKUP(E9185,DATABASE!C:Q,4,false)</f>
        <v>Dunlop</v>
      </c>
      <c r="R9185" s="93" t="str">
        <f>VLOOKUP(E9185,DATABASE!C:Q,11,false)</f>
        <v>Tire</v>
      </c>
    </row>
    <row r="9186" ht="22.5" customHeight="1">
      <c r="A9186" s="49"/>
      <c r="C9186" s="400">
        <v>46196.0</v>
      </c>
      <c r="D9186" s="524">
        <v>114.0</v>
      </c>
      <c r="E9186" s="544" t="s">
        <v>932</v>
      </c>
      <c r="F9186" s="387">
        <v>2.0</v>
      </c>
      <c r="G9186" s="140">
        <v>690000.0</v>
      </c>
      <c r="H9186" s="140">
        <v>10000.0</v>
      </c>
      <c r="I9186" s="74">
        <f t="shared" si="1"/>
        <v>1360000</v>
      </c>
      <c r="J9186" s="74">
        <f>IF(E9186="SERVICE",I9186-(I9186*50%),Vlookup(E9186,DATABASE!C:Q,10,false)*F9186)</f>
        <v>0</v>
      </c>
      <c r="K9186" s="74">
        <f>VLOOKUP(E9186,DATABASE!C:Q,7,false)</f>
        <v>601000</v>
      </c>
      <c r="L9186" s="74">
        <v>601000.0</v>
      </c>
      <c r="M9186" s="74">
        <f t="shared" si="6"/>
        <v>605000</v>
      </c>
      <c r="N9186" s="74">
        <f t="shared" si="3"/>
        <v>150000</v>
      </c>
      <c r="O9186" s="65" t="str">
        <f>VLOOKUP(E9186,DATABASE!C:Q,8,false)</f>
        <v>IBU</v>
      </c>
      <c r="P9186" s="65">
        <f>VLOOKUP(E9186,DATABASE!C:Q,9,False)</f>
        <v>1</v>
      </c>
      <c r="Q9186" s="93" t="str">
        <f>VLOOKUP(E9186,DATABASE!C:Q,4,false)</f>
        <v>Dunlop</v>
      </c>
      <c r="R9186" s="93" t="str">
        <f>VLOOKUP(E9186,DATABASE!C:Q,11,false)</f>
        <v>Tire</v>
      </c>
    </row>
    <row r="9187" ht="22.5" customHeight="1">
      <c r="A9187" s="49"/>
      <c r="C9187" s="400">
        <v>46196.0</v>
      </c>
      <c r="D9187" s="524">
        <v>115.0</v>
      </c>
      <c r="E9187" s="544" t="s">
        <v>2019</v>
      </c>
      <c r="F9187" s="387">
        <v>1.0</v>
      </c>
      <c r="G9187" s="140">
        <v>710000.0</v>
      </c>
      <c r="H9187" s="140">
        <v>10000.0</v>
      </c>
      <c r="I9187" s="74">
        <f t="shared" si="1"/>
        <v>700000</v>
      </c>
      <c r="J9187" s="74">
        <f>IF(E9187="SERVICE",I9187-(I9187*50%),Vlookup(E9187,DATABASE!C:Q,10,false)*F9187)</f>
        <v>0</v>
      </c>
      <c r="K9187" s="74">
        <f>VLOOKUP(E9187,DATABASE!C:Q,7,false)</f>
        <v>620000</v>
      </c>
      <c r="L9187" s="74">
        <v>620000.0</v>
      </c>
      <c r="M9187" s="74">
        <f t="shared" si="6"/>
        <v>620000</v>
      </c>
      <c r="N9187" s="74">
        <f t="shared" si="3"/>
        <v>80000</v>
      </c>
      <c r="O9187" s="65" t="str">
        <f>VLOOKUP(E9187,DATABASE!C:Q,8,false)</f>
        <v>BIAN</v>
      </c>
      <c r="P9187" s="65">
        <f>VLOOKUP(E9187,DATABASE!C:Q,9,False)</f>
        <v>1</v>
      </c>
      <c r="Q9187" s="93" t="str">
        <f>VLOOKUP(E9187,DATABASE!C:Q,4,false)</f>
        <v>GT</v>
      </c>
      <c r="R9187" s="93" t="str">
        <f>VLOOKUP(E9187,DATABASE!C:Q,11,false)</f>
        <v>Tire</v>
      </c>
    </row>
    <row r="9188" ht="22.5" customHeight="1">
      <c r="A9188" s="49"/>
      <c r="C9188" s="400">
        <v>46196.0</v>
      </c>
      <c r="D9188" s="524">
        <v>116.0</v>
      </c>
      <c r="E9188" s="544" t="s">
        <v>271</v>
      </c>
      <c r="F9188" s="387">
        <v>2.0</v>
      </c>
      <c r="G9188" s="140">
        <v>640000.0</v>
      </c>
      <c r="H9188" s="74"/>
      <c r="I9188" s="74">
        <f t="shared" si="1"/>
        <v>1280000</v>
      </c>
      <c r="J9188" s="74">
        <f>IF(E9188="SERVICE",I9188-(I9188*50%),Vlookup(E9188,DATABASE!C:Q,10,false)*F9188)</f>
        <v>0</v>
      </c>
      <c r="K9188" s="74">
        <f>VLOOKUP(E9188,DATABASE!C:Q,7,false)</f>
        <v>570000</v>
      </c>
      <c r="L9188" s="74">
        <v>550000.0</v>
      </c>
      <c r="M9188" s="74">
        <f t="shared" si="6"/>
        <v>550000</v>
      </c>
      <c r="N9188" s="74">
        <f t="shared" si="3"/>
        <v>180000</v>
      </c>
      <c r="O9188" s="65" t="str">
        <f>VLOOKUP(E9188,DATABASE!C:Q,8,false)</f>
        <v>IBU</v>
      </c>
      <c r="P9188" s="65">
        <f>VLOOKUP(E9188,DATABASE!C:Q,9,False)</f>
        <v>1</v>
      </c>
      <c r="Q9188" s="93" t="str">
        <f>VLOOKUP(E9188,DATABASE!C:Q,4,false)</f>
        <v>Dunlop</v>
      </c>
      <c r="R9188" s="93" t="str">
        <f>VLOOKUP(E9188,DATABASE!C:Q,11,false)</f>
        <v>Tire</v>
      </c>
    </row>
    <row r="9189" ht="22.5" customHeight="1">
      <c r="A9189" s="49"/>
      <c r="C9189" s="400">
        <v>46196.0</v>
      </c>
      <c r="D9189" s="524">
        <v>117.0</v>
      </c>
      <c r="E9189" s="544" t="s">
        <v>262</v>
      </c>
      <c r="F9189" s="387">
        <v>1.0</v>
      </c>
      <c r="G9189" s="140">
        <v>130000.0</v>
      </c>
      <c r="H9189" s="74"/>
      <c r="I9189" s="74">
        <f t="shared" si="1"/>
        <v>130000</v>
      </c>
      <c r="J9189" s="74">
        <f>IF(E9189="SERVICE",I9189-(I9189*50%),Vlookup(E9189,DATABASE!C:Q,10,false)*F9189)</f>
        <v>5000</v>
      </c>
      <c r="K9189" s="74">
        <f>VLOOKUP(E9189,DATABASE!C:Q,7,false)</f>
        <v>0</v>
      </c>
      <c r="L9189" s="74">
        <v>0.0</v>
      </c>
      <c r="M9189" s="74">
        <f t="shared" si="6"/>
        <v>0</v>
      </c>
      <c r="N9189" s="74">
        <f t="shared" si="3"/>
        <v>125000</v>
      </c>
      <c r="O9189" s="65" t="str">
        <f>VLOOKUP(E9189,DATABASE!C:Q,8,false)</f>
        <v>IBU</v>
      </c>
      <c r="P9189" s="65">
        <f>VLOOKUP(E9189,DATABASE!C:Q,9,False)</f>
        <v>0</v>
      </c>
      <c r="Q9189" s="93" t="str">
        <f>VLOOKUP(E9189,DATABASE!C:Q,4,false)</f>
        <v>SPOORING SS/CARRY LOS BAK</v>
      </c>
      <c r="R9189" s="93" t="str">
        <f>VLOOKUP(E9189,DATABASE!C:Q,11,false)</f>
        <v>SERVICE</v>
      </c>
    </row>
    <row r="9190" ht="22.5" customHeight="1">
      <c r="A9190" s="49"/>
      <c r="C9190" s="400">
        <v>46196.0</v>
      </c>
      <c r="D9190" s="524">
        <v>117.0</v>
      </c>
      <c r="E9190" s="544" t="s">
        <v>251</v>
      </c>
      <c r="F9190" s="387">
        <v>1.0</v>
      </c>
      <c r="G9190" s="140">
        <v>350000.0</v>
      </c>
      <c r="H9190" s="140">
        <v>200000.0</v>
      </c>
      <c r="I9190" s="74">
        <f t="shared" si="1"/>
        <v>150000</v>
      </c>
      <c r="J9190" s="74">
        <f>IF(E9190="SERVICE",I9190-(I9190*50%),Vlookup(E9190,DATABASE!C:Q,10,false)*F9190)</f>
        <v>75000</v>
      </c>
      <c r="K9190" s="74">
        <f>VLOOKUP(E9190,DATABASE!C:Q,7,false)</f>
        <v>0</v>
      </c>
      <c r="L9190" s="74">
        <v>0.0</v>
      </c>
      <c r="M9190" s="74">
        <f t="shared" si="6"/>
        <v>0</v>
      </c>
      <c r="N9190" s="74">
        <f t="shared" si="3"/>
        <v>75000</v>
      </c>
      <c r="O9190" s="65" t="str">
        <f>VLOOKUP(E9190,DATABASE!C:Q,8,false)</f>
        <v>IBU</v>
      </c>
      <c r="P9190" s="65">
        <f>VLOOKUP(E9190,DATABASE!C:Q,9,False)</f>
        <v>0</v>
      </c>
      <c r="Q9190" s="93" t="str">
        <f>VLOOKUP(E9190,DATABASE!C:Q,4,false)</f>
        <v>SERVICE</v>
      </c>
      <c r="R9190" s="93" t="str">
        <f>VLOOKUP(E9190,DATABASE!C:Q,11,false)</f>
        <v>SERVICE</v>
      </c>
    </row>
    <row r="9191" ht="22.5" customHeight="1">
      <c r="A9191" s="49"/>
      <c r="C9191" s="400">
        <v>46196.0</v>
      </c>
      <c r="D9191" s="524">
        <v>118.0</v>
      </c>
      <c r="E9191" s="544" t="s">
        <v>604</v>
      </c>
      <c r="F9191" s="387">
        <v>1.0</v>
      </c>
      <c r="G9191" s="140">
        <v>170000.0</v>
      </c>
      <c r="H9191" s="140">
        <v>10000.0</v>
      </c>
      <c r="I9191" s="74">
        <f t="shared" si="1"/>
        <v>160000</v>
      </c>
      <c r="J9191" s="74">
        <f>IF(E9191="SERVICE",I9191-(I9191*50%),Vlookup(E9191,DATABASE!C:Q,10,false)*F9191)</f>
        <v>0</v>
      </c>
      <c r="K9191" s="74">
        <f>VLOOKUP(E9191,DATABASE!C:Q,7,false)</f>
        <v>124000</v>
      </c>
      <c r="L9191" s="74">
        <v>124000.0</v>
      </c>
      <c r="M9191" s="74">
        <f t="shared" si="6"/>
        <v>125000</v>
      </c>
      <c r="N9191" s="74">
        <f t="shared" si="3"/>
        <v>35000</v>
      </c>
      <c r="O9191" s="65" t="str">
        <f>VLOOKUP(E9191,DATABASE!C:Q,8,false)</f>
        <v>BIAN</v>
      </c>
      <c r="P9191" s="65">
        <f>VLOOKUP(E9191,DATABASE!C:Q,9,False)</f>
        <v>1</v>
      </c>
      <c r="Q9191" s="93" t="str">
        <f>VLOOKUP(E9191,DATABASE!C:Q,4,false)</f>
        <v>BD</v>
      </c>
      <c r="R9191" s="93" t="str">
        <f>VLOOKUP(E9191,DATABASE!C:Q,11,false)</f>
        <v>Tire</v>
      </c>
    </row>
    <row r="9192" ht="22.5" customHeight="1">
      <c r="A9192" s="49"/>
      <c r="C9192" s="400">
        <v>46196.0</v>
      </c>
      <c r="D9192" s="524">
        <v>119.0</v>
      </c>
      <c r="E9192" s="544" t="s">
        <v>268</v>
      </c>
      <c r="F9192" s="387">
        <v>2.0</v>
      </c>
      <c r="G9192" s="140">
        <v>720000.0</v>
      </c>
      <c r="H9192" s="140">
        <v>10000.0</v>
      </c>
      <c r="I9192" s="74">
        <f t="shared" si="1"/>
        <v>1420000</v>
      </c>
      <c r="J9192" s="74">
        <f>IF(E9192="SERVICE",I9192-(I9192*50%),Vlookup(E9192,DATABASE!C:Q,10,false)*F9192)</f>
        <v>0</v>
      </c>
      <c r="K9192" s="74">
        <f>VLOOKUP(E9192,DATABASE!C:Q,7,false)</f>
        <v>653000</v>
      </c>
      <c r="L9192" s="74">
        <v>634500.0</v>
      </c>
      <c r="M9192" s="74">
        <f t="shared" si="6"/>
        <v>635000</v>
      </c>
      <c r="N9192" s="74">
        <f t="shared" si="3"/>
        <v>150000</v>
      </c>
      <c r="O9192" s="65" t="str">
        <f>VLOOKUP(E9192,DATABASE!C:Q,8,false)</f>
        <v>IBU</v>
      </c>
      <c r="P9192" s="65">
        <f>VLOOKUP(E9192,DATABASE!C:Q,9,False)</f>
        <v>1</v>
      </c>
      <c r="Q9192" s="93" t="str">
        <f>VLOOKUP(E9192,DATABASE!C:Q,4,false)</f>
        <v>Dunlop</v>
      </c>
      <c r="R9192" s="93" t="str">
        <f>VLOOKUP(E9192,DATABASE!C:Q,11,false)</f>
        <v>Tire</v>
      </c>
    </row>
    <row r="9193" ht="22.5" customHeight="1">
      <c r="A9193" s="49"/>
      <c r="C9193" s="400">
        <v>46196.0</v>
      </c>
      <c r="D9193" s="524">
        <v>120.0</v>
      </c>
      <c r="E9193" s="544" t="s">
        <v>262</v>
      </c>
      <c r="F9193" s="387">
        <v>1.0</v>
      </c>
      <c r="G9193" s="140">
        <v>130000.0</v>
      </c>
      <c r="H9193" s="74"/>
      <c r="I9193" s="74">
        <f t="shared" si="1"/>
        <v>130000</v>
      </c>
      <c r="J9193" s="74">
        <f>IF(E9193="SERVICE",I9193-(I9193*50%),Vlookup(E9193,DATABASE!C:Q,10,false)*F9193)</f>
        <v>5000</v>
      </c>
      <c r="K9193" s="74">
        <f>VLOOKUP(E9193,DATABASE!C:Q,7,false)</f>
        <v>0</v>
      </c>
      <c r="L9193" s="74">
        <v>0.0</v>
      </c>
      <c r="M9193" s="74">
        <f t="shared" si="6"/>
        <v>0</v>
      </c>
      <c r="N9193" s="74">
        <f t="shared" si="3"/>
        <v>125000</v>
      </c>
      <c r="O9193" s="65" t="str">
        <f>VLOOKUP(E9193,DATABASE!C:Q,8,false)</f>
        <v>IBU</v>
      </c>
      <c r="P9193" s="65">
        <f>VLOOKUP(E9193,DATABASE!C:Q,9,False)</f>
        <v>0</v>
      </c>
      <c r="Q9193" s="93" t="str">
        <f>VLOOKUP(E9193,DATABASE!C:Q,4,false)</f>
        <v>SPOORING SS/CARRY LOS BAK</v>
      </c>
      <c r="R9193" s="93" t="str">
        <f>VLOOKUP(E9193,DATABASE!C:Q,11,false)</f>
        <v>SERVICE</v>
      </c>
    </row>
    <row r="9194" ht="22.5" customHeight="1">
      <c r="A9194" s="49"/>
      <c r="C9194" s="400">
        <v>46196.0</v>
      </c>
      <c r="D9194" s="524">
        <v>120.0</v>
      </c>
      <c r="E9194" s="544" t="s">
        <v>251</v>
      </c>
      <c r="F9194" s="387">
        <v>1.0</v>
      </c>
      <c r="G9194" s="140">
        <v>350000.0</v>
      </c>
      <c r="H9194" s="140">
        <v>200000.0</v>
      </c>
      <c r="I9194" s="74">
        <f t="shared" si="1"/>
        <v>150000</v>
      </c>
      <c r="J9194" s="74">
        <f>IF(E9194="SERVICE",I9194-(I9194*50%),Vlookup(E9194,DATABASE!C:Q,10,false)*F9194)</f>
        <v>75000</v>
      </c>
      <c r="K9194" s="74">
        <f>VLOOKUP(E9194,DATABASE!C:Q,7,false)</f>
        <v>0</v>
      </c>
      <c r="L9194" s="74">
        <v>0.0</v>
      </c>
      <c r="M9194" s="74">
        <f t="shared" si="6"/>
        <v>0</v>
      </c>
      <c r="N9194" s="74">
        <f t="shared" si="3"/>
        <v>75000</v>
      </c>
      <c r="O9194" s="65" t="str">
        <f>VLOOKUP(E9194,DATABASE!C:Q,8,false)</f>
        <v>IBU</v>
      </c>
      <c r="P9194" s="65">
        <f>VLOOKUP(E9194,DATABASE!C:Q,9,False)</f>
        <v>0</v>
      </c>
      <c r="Q9194" s="93" t="str">
        <f>VLOOKUP(E9194,DATABASE!C:Q,4,false)</f>
        <v>SERVICE</v>
      </c>
      <c r="R9194" s="93" t="str">
        <f>VLOOKUP(E9194,DATABASE!C:Q,11,false)</f>
        <v>SERVICE</v>
      </c>
    </row>
    <row r="9195" ht="22.5" customHeight="1">
      <c r="A9195" s="49"/>
      <c r="C9195" s="400">
        <v>46196.0</v>
      </c>
      <c r="D9195" s="524">
        <v>121.0</v>
      </c>
      <c r="E9195" s="544" t="s">
        <v>1439</v>
      </c>
      <c r="F9195" s="387">
        <v>2.0</v>
      </c>
      <c r="G9195" s="140">
        <v>645000.0</v>
      </c>
      <c r="H9195" s="74"/>
      <c r="I9195" s="74">
        <f t="shared" si="1"/>
        <v>1290000</v>
      </c>
      <c r="J9195" s="74">
        <f>IF(E9195="SERVICE",I9195-(I9195*50%),Vlookup(E9195,DATABASE!C:Q,10,false)*F9195)</f>
        <v>0</v>
      </c>
      <c r="K9195" s="74">
        <f>VLOOKUP(E9195,DATABASE!C:Q,7,false)</f>
        <v>556800</v>
      </c>
      <c r="L9195" s="74">
        <v>556800.0</v>
      </c>
      <c r="M9195" s="74">
        <f t="shared" si="6"/>
        <v>560000</v>
      </c>
      <c r="N9195" s="74">
        <f t="shared" si="3"/>
        <v>170000</v>
      </c>
      <c r="O9195" s="65" t="str">
        <f>VLOOKUP(E9195,DATABASE!C:Q,8,false)</f>
        <v>BIAN</v>
      </c>
      <c r="P9195" s="65">
        <f>VLOOKUP(E9195,DATABASE!C:Q,9,False)</f>
        <v>1</v>
      </c>
      <c r="Q9195" s="93" t="str">
        <f>VLOOKUP(E9195,DATABASE!C:Q,4,false)</f>
        <v>GT</v>
      </c>
      <c r="R9195" s="93" t="str">
        <f>VLOOKUP(E9195,DATABASE!C:Q,11,false)</f>
        <v>Tire</v>
      </c>
    </row>
    <row r="9196" ht="22.5" customHeight="1">
      <c r="A9196" s="49"/>
      <c r="C9196" s="400">
        <v>46196.0</v>
      </c>
      <c r="D9196" s="524">
        <v>122.0</v>
      </c>
      <c r="E9196" s="544" t="s">
        <v>932</v>
      </c>
      <c r="F9196" s="387">
        <v>2.0</v>
      </c>
      <c r="G9196" s="140">
        <v>690000.0</v>
      </c>
      <c r="H9196" s="74"/>
      <c r="I9196" s="74">
        <f t="shared" si="1"/>
        <v>1380000</v>
      </c>
      <c r="J9196" s="74">
        <f>IF(E9196="SERVICE",I9196-(I9196*50%),Vlookup(E9196,DATABASE!C:Q,10,false)*F9196)</f>
        <v>0</v>
      </c>
      <c r="K9196" s="74">
        <f>VLOOKUP(E9196,DATABASE!C:Q,7,false)</f>
        <v>601000</v>
      </c>
      <c r="L9196" s="74">
        <v>601000.0</v>
      </c>
      <c r="M9196" s="74">
        <f t="shared" si="6"/>
        <v>605000</v>
      </c>
      <c r="N9196" s="74">
        <f t="shared" si="3"/>
        <v>170000</v>
      </c>
      <c r="O9196" s="65" t="str">
        <f>VLOOKUP(E9196,DATABASE!C:Q,8,false)</f>
        <v>IBU</v>
      </c>
      <c r="P9196" s="65">
        <f>VLOOKUP(E9196,DATABASE!C:Q,9,False)</f>
        <v>1</v>
      </c>
      <c r="Q9196" s="93" t="str">
        <f>VLOOKUP(E9196,DATABASE!C:Q,4,false)</f>
        <v>Dunlop</v>
      </c>
      <c r="R9196" s="93" t="str">
        <f>VLOOKUP(E9196,DATABASE!C:Q,11,false)</f>
        <v>Tire</v>
      </c>
    </row>
    <row r="9197" ht="22.5" customHeight="1">
      <c r="A9197" s="49"/>
      <c r="C9197" s="400">
        <v>46196.0</v>
      </c>
      <c r="D9197" s="524">
        <v>122.0</v>
      </c>
      <c r="E9197" s="544" t="s">
        <v>256</v>
      </c>
      <c r="F9197" s="387">
        <v>1.0</v>
      </c>
      <c r="G9197" s="140">
        <v>175000.0</v>
      </c>
      <c r="H9197" s="140">
        <v>25000.0</v>
      </c>
      <c r="I9197" s="74">
        <f t="shared" si="1"/>
        <v>150000</v>
      </c>
      <c r="J9197" s="74">
        <f>IF(E9197="SERVICE",I9197-(I9197*50%),Vlookup(E9197,DATABASE!C:Q,10,false)*F9197)</f>
        <v>10000</v>
      </c>
      <c r="K9197" s="74">
        <f>VLOOKUP(E9197,DATABASE!C:Q,7,false)</f>
        <v>0</v>
      </c>
      <c r="L9197" s="74">
        <v>0.0</v>
      </c>
      <c r="M9197" s="74">
        <f t="shared" si="6"/>
        <v>0</v>
      </c>
      <c r="N9197" s="74">
        <f t="shared" si="3"/>
        <v>140000</v>
      </c>
      <c r="O9197" s="65" t="str">
        <f>VLOOKUP(E9197,DATABASE!C:Q,8,false)</f>
        <v>IBU</v>
      </c>
      <c r="P9197" s="65">
        <f>VLOOKUP(E9197,DATABASE!C:Q,9,False)</f>
        <v>0</v>
      </c>
      <c r="Q9197" s="93" t="str">
        <f>VLOOKUP(E9197,DATABASE!C:Q,4,false)</f>
        <v>SPOORING</v>
      </c>
      <c r="R9197" s="93" t="str">
        <f>VLOOKUP(E9197,DATABASE!C:Q,11,false)</f>
        <v>SERVICE</v>
      </c>
    </row>
    <row r="9198" ht="22.5" customHeight="1">
      <c r="A9198" s="49"/>
      <c r="C9198" s="400">
        <v>46196.0</v>
      </c>
      <c r="D9198" s="524">
        <v>122.0</v>
      </c>
      <c r="E9198" s="544" t="s">
        <v>251</v>
      </c>
      <c r="F9198" s="387">
        <v>1.0</v>
      </c>
      <c r="G9198" s="140">
        <v>350000.0</v>
      </c>
      <c r="H9198" s="140">
        <v>200000.0</v>
      </c>
      <c r="I9198" s="74">
        <f t="shared" si="1"/>
        <v>150000</v>
      </c>
      <c r="J9198" s="74">
        <f>IF(E9198="SERVICE",I9198-(I9198*50%),Vlookup(E9198,DATABASE!C:Q,10,false)*F9198)</f>
        <v>75000</v>
      </c>
      <c r="K9198" s="74">
        <f>VLOOKUP(E9198,DATABASE!C:Q,7,false)</f>
        <v>0</v>
      </c>
      <c r="L9198" s="74">
        <v>0.0</v>
      </c>
      <c r="M9198" s="74">
        <f t="shared" si="6"/>
        <v>0</v>
      </c>
      <c r="N9198" s="74">
        <f t="shared" si="3"/>
        <v>75000</v>
      </c>
      <c r="O9198" s="65" t="str">
        <f>VLOOKUP(E9198,DATABASE!C:Q,8,false)</f>
        <v>IBU</v>
      </c>
      <c r="P9198" s="65">
        <f>VLOOKUP(E9198,DATABASE!C:Q,9,False)</f>
        <v>0</v>
      </c>
      <c r="Q9198" s="93" t="str">
        <f>VLOOKUP(E9198,DATABASE!C:Q,4,false)</f>
        <v>SERVICE</v>
      </c>
      <c r="R9198" s="93" t="str">
        <f>VLOOKUP(E9198,DATABASE!C:Q,11,false)</f>
        <v>SERVICE</v>
      </c>
    </row>
    <row r="9199" ht="22.5" customHeight="1">
      <c r="A9199" s="49"/>
      <c r="C9199" s="400">
        <v>46196.0</v>
      </c>
      <c r="D9199" s="524">
        <v>123.0</v>
      </c>
      <c r="E9199" s="544" t="s">
        <v>275</v>
      </c>
      <c r="F9199" s="387">
        <v>1.0</v>
      </c>
      <c r="G9199" s="140">
        <v>850000.0</v>
      </c>
      <c r="H9199" s="74"/>
      <c r="I9199" s="74">
        <f t="shared" si="1"/>
        <v>850000</v>
      </c>
      <c r="J9199" s="74">
        <f>IF(E9199="SERVICE",I9199-(I9199*50%),Vlookup(E9199,DATABASE!C:Q,10,false)*F9199)</f>
        <v>0</v>
      </c>
      <c r="K9199" s="74">
        <f>VLOOKUP(E9199,DATABASE!C:Q,7,false)</f>
        <v>782000</v>
      </c>
      <c r="L9199" s="74">
        <v>759500.0</v>
      </c>
      <c r="M9199" s="74">
        <f t="shared" si="6"/>
        <v>760000</v>
      </c>
      <c r="N9199" s="74">
        <f t="shared" si="3"/>
        <v>90000</v>
      </c>
      <c r="O9199" s="65" t="str">
        <f>VLOOKUP(E9199,DATABASE!C:Q,8,false)</f>
        <v>IBU</v>
      </c>
      <c r="P9199" s="65">
        <f>VLOOKUP(E9199,DATABASE!C:Q,9,False)</f>
        <v>1</v>
      </c>
      <c r="Q9199" s="93" t="str">
        <f>VLOOKUP(E9199,DATABASE!C:Q,4,false)</f>
        <v>Dunlop</v>
      </c>
      <c r="R9199" s="93" t="str">
        <f>VLOOKUP(E9199,DATABASE!C:Q,11,false)</f>
        <v>Tire</v>
      </c>
    </row>
    <row r="9200" ht="22.5" customHeight="1">
      <c r="A9200" s="49"/>
      <c r="C9200" s="400">
        <v>46196.0</v>
      </c>
      <c r="D9200" s="524">
        <v>124.0</v>
      </c>
      <c r="E9200" s="544" t="s">
        <v>265</v>
      </c>
      <c r="F9200" s="387">
        <v>1.0</v>
      </c>
      <c r="G9200" s="140">
        <v>700000.0</v>
      </c>
      <c r="H9200" s="74"/>
      <c r="I9200" s="74">
        <f t="shared" si="1"/>
        <v>700000</v>
      </c>
      <c r="J9200" s="74">
        <f>IF(E9200="SERVICE",I9200-(I9200*50%),Vlookup(E9200,DATABASE!C:Q,10,false)*F9200)</f>
        <v>0</v>
      </c>
      <c r="K9200" s="74">
        <f>VLOOKUP(E9200,DATABASE!C:Q,7,false)</f>
        <v>628000</v>
      </c>
      <c r="L9200" s="74">
        <v>610000.0</v>
      </c>
      <c r="M9200" s="74">
        <f t="shared" si="6"/>
        <v>610000</v>
      </c>
      <c r="N9200" s="74">
        <f t="shared" si="3"/>
        <v>90000</v>
      </c>
      <c r="O9200" s="65" t="str">
        <f>VLOOKUP(E9200,DATABASE!C:Q,8,false)</f>
        <v>IBU</v>
      </c>
      <c r="P9200" s="65">
        <f>VLOOKUP(E9200,DATABASE!C:Q,9,False)</f>
        <v>1</v>
      </c>
      <c r="Q9200" s="93" t="str">
        <f>VLOOKUP(E9200,DATABASE!C:Q,4,false)</f>
        <v>Dunlop</v>
      </c>
      <c r="R9200" s="93" t="str">
        <f>VLOOKUP(E9200,DATABASE!C:Q,11,false)</f>
        <v>Tire</v>
      </c>
    </row>
    <row r="9201" ht="22.5" customHeight="1">
      <c r="A9201" s="49"/>
      <c r="C9201" s="400">
        <v>46196.0</v>
      </c>
      <c r="D9201" s="524">
        <v>125.0</v>
      </c>
      <c r="E9201" s="544" t="s">
        <v>256</v>
      </c>
      <c r="F9201" s="387">
        <v>1.0</v>
      </c>
      <c r="G9201" s="140">
        <v>175000.0</v>
      </c>
      <c r="H9201" s="140">
        <v>25000.0</v>
      </c>
      <c r="I9201" s="74">
        <f t="shared" si="1"/>
        <v>150000</v>
      </c>
      <c r="J9201" s="74">
        <f>IF(E9201="SERVICE",I9201-(I9201*50%),Vlookup(E9201,DATABASE!C:Q,10,false)*F9201)</f>
        <v>10000</v>
      </c>
      <c r="K9201" s="74">
        <f>VLOOKUP(E9201,DATABASE!C:Q,7,false)</f>
        <v>0</v>
      </c>
      <c r="L9201" s="74">
        <v>0.0</v>
      </c>
      <c r="M9201" s="74">
        <f t="shared" si="6"/>
        <v>0</v>
      </c>
      <c r="N9201" s="74">
        <f t="shared" si="3"/>
        <v>140000</v>
      </c>
      <c r="O9201" s="65" t="str">
        <f>VLOOKUP(E9201,DATABASE!C:Q,8,false)</f>
        <v>IBU</v>
      </c>
      <c r="P9201" s="65">
        <f>VLOOKUP(E9201,DATABASE!C:Q,9,False)</f>
        <v>0</v>
      </c>
      <c r="Q9201" s="93" t="str">
        <f>VLOOKUP(E9201,DATABASE!C:Q,4,false)</f>
        <v>SPOORING</v>
      </c>
      <c r="R9201" s="93" t="str">
        <f>VLOOKUP(E9201,DATABASE!C:Q,11,false)</f>
        <v>SERVICE</v>
      </c>
    </row>
    <row r="9202" ht="22.5" customHeight="1">
      <c r="A9202" s="49"/>
      <c r="C9202" s="400">
        <v>46196.0</v>
      </c>
      <c r="D9202" s="524">
        <v>125.0</v>
      </c>
      <c r="E9202" s="544" t="s">
        <v>301</v>
      </c>
      <c r="F9202" s="387">
        <v>1.0</v>
      </c>
      <c r="G9202" s="140">
        <v>250000.0</v>
      </c>
      <c r="H9202" s="74"/>
      <c r="I9202" s="74">
        <f t="shared" si="1"/>
        <v>250000</v>
      </c>
      <c r="J9202" s="74">
        <f>IF(E9202="SERVICE",I9202-(I9202*50%),Vlookup(E9202,DATABASE!C:Q,10,false)*F9202)</f>
        <v>75000</v>
      </c>
      <c r="K9202" s="74">
        <f>VLOOKUP(E9202,DATABASE!C:Q,7,false)</f>
        <v>75000</v>
      </c>
      <c r="L9202" s="74">
        <v>75000.0</v>
      </c>
      <c r="M9202" s="74">
        <f t="shared" si="6"/>
        <v>75000</v>
      </c>
      <c r="N9202" s="74">
        <f t="shared" si="3"/>
        <v>100000</v>
      </c>
      <c r="O9202" s="65" t="str">
        <f>VLOOKUP(E9202,DATABASE!C:Q,8,false)</f>
        <v>BIAN</v>
      </c>
      <c r="P9202" s="65">
        <f>VLOOKUP(E9202,DATABASE!C:Q,9,False)</f>
        <v>0</v>
      </c>
      <c r="Q9202" s="93" t="str">
        <f>VLOOKUP(E9202,DATABASE!C:Q,4,false)</f>
        <v>Baut Camber</v>
      </c>
      <c r="R9202" s="93" t="str">
        <f>VLOOKUP(E9202,DATABASE!C:Q,11,false)</f>
        <v>COMPLEMENTARY</v>
      </c>
    </row>
    <row r="9203" ht="22.5" customHeight="1">
      <c r="A9203" s="49"/>
      <c r="C9203" s="400">
        <v>46196.0</v>
      </c>
      <c r="D9203" s="524">
        <v>126.0</v>
      </c>
      <c r="E9203" s="544" t="s">
        <v>256</v>
      </c>
      <c r="F9203" s="387">
        <v>1.0</v>
      </c>
      <c r="G9203" s="140">
        <v>175000.0</v>
      </c>
      <c r="H9203" s="140">
        <v>25000.0</v>
      </c>
      <c r="I9203" s="74">
        <f t="shared" si="1"/>
        <v>150000</v>
      </c>
      <c r="J9203" s="74">
        <f>IF(E9203="SERVICE",I9203-(I9203*50%),Vlookup(E9203,DATABASE!C:Q,10,false)*F9203)</f>
        <v>10000</v>
      </c>
      <c r="K9203" s="74">
        <f>VLOOKUP(E9203,DATABASE!C:Q,7,false)</f>
        <v>0</v>
      </c>
      <c r="L9203" s="74">
        <v>0.0</v>
      </c>
      <c r="M9203" s="74">
        <f t="shared" si="6"/>
        <v>0</v>
      </c>
      <c r="N9203" s="74">
        <f t="shared" si="3"/>
        <v>140000</v>
      </c>
      <c r="O9203" s="65" t="str">
        <f>VLOOKUP(E9203,DATABASE!C:Q,8,false)</f>
        <v>IBU</v>
      </c>
      <c r="P9203" s="65">
        <f>VLOOKUP(E9203,DATABASE!C:Q,9,False)</f>
        <v>0</v>
      </c>
      <c r="Q9203" s="93" t="str">
        <f>VLOOKUP(E9203,DATABASE!C:Q,4,false)</f>
        <v>SPOORING</v>
      </c>
      <c r="R9203" s="93" t="str">
        <f>VLOOKUP(E9203,DATABASE!C:Q,11,false)</f>
        <v>SERVICE</v>
      </c>
    </row>
    <row r="9204" ht="22.5" customHeight="1">
      <c r="A9204" s="49"/>
      <c r="C9204" s="400">
        <v>46196.0</v>
      </c>
      <c r="D9204" s="524">
        <v>127.0</v>
      </c>
      <c r="E9204" s="544" t="s">
        <v>600</v>
      </c>
      <c r="F9204" s="387">
        <v>4.0</v>
      </c>
      <c r="G9204" s="140">
        <v>680000.0</v>
      </c>
      <c r="H9204" s="74"/>
      <c r="I9204" s="74">
        <f t="shared" si="1"/>
        <v>2720000</v>
      </c>
      <c r="J9204" s="74">
        <f>IF(E9204="SERVICE",I9204-(I9204*50%),Vlookup(E9204,DATABASE!C:Q,10,false)*F9204)</f>
        <v>0</v>
      </c>
      <c r="K9204" s="74">
        <f>VLOOKUP(E9204,DATABASE!C:Q,7,false)</f>
        <v>611109.16</v>
      </c>
      <c r="L9204" s="74">
        <v>588505.75</v>
      </c>
      <c r="M9204" s="74">
        <f t="shared" si="6"/>
        <v>590000</v>
      </c>
      <c r="N9204" s="74">
        <f t="shared" si="3"/>
        <v>360000</v>
      </c>
      <c r="O9204" s="65" t="str">
        <f>VLOOKUP(E9204,DATABASE!C:Q,8,false)</f>
        <v>IBU</v>
      </c>
      <c r="P9204" s="65">
        <f>VLOOKUP(E9204,DATABASE!C:Q,9,False)</f>
        <v>1</v>
      </c>
      <c r="Q9204" s="93" t="str">
        <f>VLOOKUP(E9204,DATABASE!C:Q,4,false)</f>
        <v>Bridgestone</v>
      </c>
      <c r="R9204" s="93" t="str">
        <f>VLOOKUP(E9204,DATABASE!C:Q,11,false)</f>
        <v>Tire</v>
      </c>
    </row>
    <row r="9205" ht="22.5" customHeight="1">
      <c r="A9205" s="49"/>
      <c r="C9205" s="400">
        <v>46197.0</v>
      </c>
      <c r="D9205" s="524">
        <v>128.0</v>
      </c>
      <c r="E9205" s="544" t="s">
        <v>940</v>
      </c>
      <c r="F9205" s="387">
        <v>1.0</v>
      </c>
      <c r="G9205" s="140">
        <v>820000.0</v>
      </c>
      <c r="H9205" s="74"/>
      <c r="I9205" s="74">
        <f t="shared" si="1"/>
        <v>820000</v>
      </c>
      <c r="J9205" s="74">
        <f>IF(E9205="SERVICE",I9205-(I9205*50%),Vlookup(E9205,DATABASE!C:Q,10,false)*F9205)</f>
        <v>0</v>
      </c>
      <c r="K9205" s="74">
        <f>VLOOKUP(E9205,DATABASE!C:Q,7,false)</f>
        <v>716500</v>
      </c>
      <c r="L9205" s="74">
        <v>716500.0</v>
      </c>
      <c r="M9205" s="74">
        <f t="shared" si="6"/>
        <v>720000</v>
      </c>
      <c r="N9205" s="74">
        <f t="shared" si="3"/>
        <v>100000</v>
      </c>
      <c r="O9205" s="65" t="str">
        <f>VLOOKUP(E9205,DATABASE!C:Q,8,false)</f>
        <v>IBU</v>
      </c>
      <c r="P9205" s="65">
        <f>VLOOKUP(E9205,DATABASE!C:Q,9,False)</f>
        <v>1</v>
      </c>
      <c r="Q9205" s="93" t="str">
        <f>VLOOKUP(E9205,DATABASE!C:Q,4,false)</f>
        <v>Dunlop</v>
      </c>
      <c r="R9205" s="93" t="str">
        <f>VLOOKUP(E9205,DATABASE!C:Q,11,false)</f>
        <v>Tire</v>
      </c>
    </row>
    <row r="9206" ht="22.5" customHeight="1">
      <c r="A9206" s="49"/>
      <c r="C9206" s="400">
        <v>46197.0</v>
      </c>
      <c r="D9206" s="524">
        <v>130.0</v>
      </c>
      <c r="E9206" s="544" t="s">
        <v>777</v>
      </c>
      <c r="F9206" s="387">
        <v>1.0</v>
      </c>
      <c r="G9206" s="140">
        <v>610000.0</v>
      </c>
      <c r="H9206" s="140">
        <v>5000.0</v>
      </c>
      <c r="I9206" s="74">
        <f t="shared" si="1"/>
        <v>605000</v>
      </c>
      <c r="J9206" s="74">
        <f>IF(E9206="SERVICE",I9206-(I9206*50%),Vlookup(E9206,DATABASE!C:Q,10,false)*F9206)</f>
        <v>0</v>
      </c>
      <c r="K9206" s="74">
        <f>VLOOKUP(E9206,DATABASE!C:Q,7,false)</f>
        <v>540000</v>
      </c>
      <c r="L9206" s="74">
        <v>520000.0</v>
      </c>
      <c r="M9206" s="74">
        <f t="shared" si="6"/>
        <v>520000</v>
      </c>
      <c r="N9206" s="74">
        <f t="shared" si="3"/>
        <v>85000</v>
      </c>
      <c r="O9206" s="65" t="str">
        <f>VLOOKUP(E9206,DATABASE!C:Q,8,false)</f>
        <v>BIAN</v>
      </c>
      <c r="P9206" s="65">
        <f>VLOOKUP(E9206,DATABASE!C:Q,9,False)</f>
        <v>1</v>
      </c>
      <c r="Q9206" s="93" t="str">
        <f>VLOOKUP(E9206,DATABASE!C:Q,4,false)</f>
        <v>GT</v>
      </c>
      <c r="R9206" s="93" t="str">
        <f>VLOOKUP(E9206,DATABASE!C:Q,11,false)</f>
        <v>Tire</v>
      </c>
    </row>
    <row r="9207" ht="22.5" customHeight="1">
      <c r="A9207" s="49"/>
      <c r="C9207" s="400">
        <v>46197.0</v>
      </c>
      <c r="D9207" s="524">
        <v>130.0</v>
      </c>
      <c r="E9207" s="544" t="s">
        <v>250</v>
      </c>
      <c r="F9207" s="387">
        <v>1.0</v>
      </c>
      <c r="G9207" s="140">
        <v>135000.0</v>
      </c>
      <c r="H9207" s="74"/>
      <c r="I9207" s="74">
        <f t="shared" si="1"/>
        <v>135000</v>
      </c>
      <c r="J9207" s="74">
        <f>IF(E9207="SERVICE",I9207-(I9207*50%),Vlookup(E9207,DATABASE!C:Q,10,false)*F9207)</f>
        <v>0</v>
      </c>
      <c r="K9207" s="74">
        <f>VLOOKUP(E9207,DATABASE!C:Q,7,false)</f>
        <v>102000</v>
      </c>
      <c r="L9207" s="74">
        <v>102000.0</v>
      </c>
      <c r="M9207" s="74">
        <f t="shared" si="6"/>
        <v>105000</v>
      </c>
      <c r="N9207" s="74">
        <f t="shared" si="3"/>
        <v>30000</v>
      </c>
      <c r="O9207" s="65" t="str">
        <f>VLOOKUP(E9207,DATABASE!C:Q,8,false)</f>
        <v>BIAN</v>
      </c>
      <c r="P9207" s="65">
        <f>VLOOKUP(E9207,DATABASE!C:Q,9,False)</f>
        <v>1</v>
      </c>
      <c r="Q9207" s="93" t="str">
        <f>VLOOKUP(E9207,DATABASE!C:Q,4,false)</f>
        <v>BD</v>
      </c>
      <c r="R9207" s="93" t="str">
        <f>VLOOKUP(E9207,DATABASE!C:Q,11,false)</f>
        <v>Tire</v>
      </c>
    </row>
    <row r="9208" ht="22.5" customHeight="1">
      <c r="A9208" s="49"/>
      <c r="C9208" s="400">
        <v>46197.0</v>
      </c>
      <c r="D9208" s="524">
        <v>131.0</v>
      </c>
      <c r="E9208" s="544" t="s">
        <v>275</v>
      </c>
      <c r="F9208" s="387">
        <v>1.0</v>
      </c>
      <c r="G9208" s="140">
        <v>850000.0</v>
      </c>
      <c r="H9208" s="74"/>
      <c r="I9208" s="74">
        <f t="shared" si="1"/>
        <v>850000</v>
      </c>
      <c r="J9208" s="74">
        <f>IF(E9208="SERVICE",I9208-(I9208*50%),Vlookup(E9208,DATABASE!C:Q,10,false)*F9208)</f>
        <v>0</v>
      </c>
      <c r="K9208" s="74">
        <f>VLOOKUP(E9208,DATABASE!C:Q,7,false)</f>
        <v>782000</v>
      </c>
      <c r="L9208" s="74">
        <v>759500.0</v>
      </c>
      <c r="M9208" s="74">
        <f t="shared" si="6"/>
        <v>760000</v>
      </c>
      <c r="N9208" s="74">
        <f t="shared" si="3"/>
        <v>90000</v>
      </c>
      <c r="O9208" s="65" t="str">
        <f>VLOOKUP(E9208,DATABASE!C:Q,8,false)</f>
        <v>IBU</v>
      </c>
      <c r="P9208" s="65">
        <f>VLOOKUP(E9208,DATABASE!C:Q,9,False)</f>
        <v>1</v>
      </c>
      <c r="Q9208" s="93" t="str">
        <f>VLOOKUP(E9208,DATABASE!C:Q,4,false)</f>
        <v>Dunlop</v>
      </c>
      <c r="R9208" s="93" t="str">
        <f>VLOOKUP(E9208,DATABASE!C:Q,11,false)</f>
        <v>Tire</v>
      </c>
    </row>
    <row r="9209" ht="22.5" customHeight="1">
      <c r="A9209" s="49"/>
      <c r="C9209" s="400">
        <v>46197.0</v>
      </c>
      <c r="D9209" s="524">
        <v>133.0</v>
      </c>
      <c r="E9209" s="544" t="s">
        <v>275</v>
      </c>
      <c r="F9209" s="387">
        <v>2.0</v>
      </c>
      <c r="G9209" s="140">
        <v>850000.0</v>
      </c>
      <c r="H9209" s="74"/>
      <c r="I9209" s="74">
        <f t="shared" si="1"/>
        <v>1700000</v>
      </c>
      <c r="J9209" s="74">
        <f>IF(E9209="SERVICE",I9209-(I9209*50%),Vlookup(E9209,DATABASE!C:Q,10,false)*F9209)</f>
        <v>0</v>
      </c>
      <c r="K9209" s="74">
        <f>VLOOKUP(E9209,DATABASE!C:Q,7,false)</f>
        <v>782000</v>
      </c>
      <c r="L9209" s="74">
        <v>759500.0</v>
      </c>
      <c r="M9209" s="74">
        <f t="shared" si="6"/>
        <v>760000</v>
      </c>
      <c r="N9209" s="74">
        <f t="shared" si="3"/>
        <v>180000</v>
      </c>
      <c r="O9209" s="65" t="str">
        <f>VLOOKUP(E9209,DATABASE!C:Q,8,false)</f>
        <v>IBU</v>
      </c>
      <c r="P9209" s="65">
        <f>VLOOKUP(E9209,DATABASE!C:Q,9,False)</f>
        <v>1</v>
      </c>
      <c r="Q9209" s="93" t="str">
        <f>VLOOKUP(E9209,DATABASE!C:Q,4,false)</f>
        <v>Dunlop</v>
      </c>
      <c r="R9209" s="93" t="str">
        <f>VLOOKUP(E9209,DATABASE!C:Q,11,false)</f>
        <v>Tire</v>
      </c>
    </row>
    <row r="9210" ht="22.5" customHeight="1">
      <c r="A9210" s="49"/>
      <c r="C9210" s="400">
        <v>46197.0</v>
      </c>
      <c r="D9210" s="524">
        <v>134.0</v>
      </c>
      <c r="E9210" s="544" t="s">
        <v>781</v>
      </c>
      <c r="F9210" s="387">
        <v>1.0</v>
      </c>
      <c r="G9210" s="140">
        <v>550000.0</v>
      </c>
      <c r="H9210" s="140">
        <v>20000.0</v>
      </c>
      <c r="I9210" s="74">
        <f t="shared" si="1"/>
        <v>530000</v>
      </c>
      <c r="J9210" s="74">
        <f>IF(E9210="SERVICE",I9210-(I9210*50%),Vlookup(E9210,DATABASE!C:Q,10,false)*F9210)</f>
        <v>0</v>
      </c>
      <c r="K9210" s="74">
        <f>VLOOKUP(E9210,DATABASE!C:Q,7,false)</f>
        <v>470000</v>
      </c>
      <c r="L9210" s="140">
        <v>450000.0</v>
      </c>
      <c r="M9210" s="74">
        <f t="shared" si="6"/>
        <v>450000</v>
      </c>
      <c r="N9210" s="74">
        <f t="shared" si="3"/>
        <v>80000</v>
      </c>
      <c r="O9210" s="65" t="str">
        <f>VLOOKUP(E9210,DATABASE!C:Q,8,false)</f>
        <v>BIAN</v>
      </c>
      <c r="P9210" s="65">
        <f>VLOOKUP(E9210,DATABASE!C:Q,9,False)</f>
        <v>1</v>
      </c>
      <c r="Q9210" s="93" t="str">
        <f>VLOOKUP(E9210,DATABASE!C:Q,4,false)</f>
        <v>GT</v>
      </c>
      <c r="R9210" s="93" t="str">
        <f>VLOOKUP(E9210,DATABASE!C:Q,11,false)</f>
        <v>Tire</v>
      </c>
    </row>
    <row r="9211" ht="22.5" customHeight="1">
      <c r="A9211" s="49"/>
      <c r="C9211" s="400">
        <v>46197.0</v>
      </c>
      <c r="D9211" s="524">
        <v>135.0</v>
      </c>
      <c r="E9211" s="544" t="s">
        <v>290</v>
      </c>
      <c r="F9211" s="387">
        <v>1.0</v>
      </c>
      <c r="G9211" s="140">
        <v>720000.0</v>
      </c>
      <c r="H9211" s="74"/>
      <c r="I9211" s="74">
        <f t="shared" si="1"/>
        <v>720000</v>
      </c>
      <c r="J9211" s="74">
        <f>IF(E9211="SERVICE",I9211-(I9211*50%),Vlookup(E9211,DATABASE!C:Q,10,false)*F9211)</f>
        <v>0</v>
      </c>
      <c r="K9211" s="74">
        <f>VLOOKUP(E9211,DATABASE!C:Q,7,false)</f>
        <v>628100</v>
      </c>
      <c r="L9211" s="74">
        <v>628100.0</v>
      </c>
      <c r="M9211" s="74">
        <f t="shared" si="6"/>
        <v>630000</v>
      </c>
      <c r="N9211" s="74">
        <f t="shared" si="3"/>
        <v>90000</v>
      </c>
      <c r="O9211" s="65" t="str">
        <f>VLOOKUP(E9211,DATABASE!C:Q,8,false)</f>
        <v>BIAN</v>
      </c>
      <c r="P9211" s="65">
        <f>VLOOKUP(E9211,DATABASE!C:Q,9,False)</f>
        <v>1</v>
      </c>
      <c r="Q9211" s="93" t="str">
        <f>VLOOKUP(E9211,DATABASE!C:Q,4,false)</f>
        <v>GT</v>
      </c>
      <c r="R9211" s="93" t="str">
        <f>VLOOKUP(E9211,DATABASE!C:Q,11,false)</f>
        <v>Tire</v>
      </c>
    </row>
    <row r="9212" ht="22.5" customHeight="1">
      <c r="A9212" s="49"/>
      <c r="C9212" s="400">
        <v>46197.0</v>
      </c>
      <c r="D9212" s="524">
        <v>136.0</v>
      </c>
      <c r="E9212" s="544" t="s">
        <v>275</v>
      </c>
      <c r="F9212" s="387">
        <v>2.0</v>
      </c>
      <c r="G9212" s="140">
        <v>850000.0</v>
      </c>
      <c r="H9212" s="74"/>
      <c r="I9212" s="74">
        <f t="shared" si="1"/>
        <v>1700000</v>
      </c>
      <c r="J9212" s="74">
        <f>IF(E9212="SERVICE",I9212-(I9212*50%),Vlookup(E9212,DATABASE!C:Q,10,false)*F9212)</f>
        <v>0</v>
      </c>
      <c r="K9212" s="74">
        <f>VLOOKUP(E9212,DATABASE!C:Q,7,false)</f>
        <v>782000</v>
      </c>
      <c r="L9212" s="74">
        <v>759500.0</v>
      </c>
      <c r="M9212" s="74">
        <f t="shared" si="6"/>
        <v>760000</v>
      </c>
      <c r="N9212" s="74">
        <f t="shared" si="3"/>
        <v>180000</v>
      </c>
      <c r="O9212" s="65" t="str">
        <f>VLOOKUP(E9212,DATABASE!C:Q,8,false)</f>
        <v>IBU</v>
      </c>
      <c r="P9212" s="65">
        <f>VLOOKUP(E9212,DATABASE!C:Q,9,False)</f>
        <v>1</v>
      </c>
      <c r="Q9212" s="93" t="str">
        <f>VLOOKUP(E9212,DATABASE!C:Q,4,false)</f>
        <v>Dunlop</v>
      </c>
      <c r="R9212" s="93" t="str">
        <f>VLOOKUP(E9212,DATABASE!C:Q,11,false)</f>
        <v>Tire</v>
      </c>
    </row>
    <row r="9213" ht="22.5" customHeight="1">
      <c r="A9213" s="49"/>
      <c r="C9213" s="400">
        <v>46197.0</v>
      </c>
      <c r="D9213" s="524">
        <v>136.0</v>
      </c>
      <c r="E9213" s="544" t="s">
        <v>604</v>
      </c>
      <c r="F9213" s="387">
        <v>2.0</v>
      </c>
      <c r="G9213" s="140">
        <v>170000.0</v>
      </c>
      <c r="H9213" s="140">
        <v>20000.0</v>
      </c>
      <c r="I9213" s="74">
        <f t="shared" si="1"/>
        <v>300000</v>
      </c>
      <c r="J9213" s="74">
        <f>IF(E9213="SERVICE",I9213-(I9213*50%),Vlookup(E9213,DATABASE!C:Q,10,false)*F9213)</f>
        <v>0</v>
      </c>
      <c r="K9213" s="74">
        <f>VLOOKUP(E9213,DATABASE!C:Q,7,false)</f>
        <v>124000</v>
      </c>
      <c r="L9213" s="74">
        <v>124000.0</v>
      </c>
      <c r="M9213" s="74">
        <f t="shared" si="6"/>
        <v>125000</v>
      </c>
      <c r="N9213" s="74">
        <f t="shared" si="3"/>
        <v>50000</v>
      </c>
      <c r="O9213" s="65" t="str">
        <f>VLOOKUP(E9213,DATABASE!C:Q,8,false)</f>
        <v>BIAN</v>
      </c>
      <c r="P9213" s="65">
        <f>VLOOKUP(E9213,DATABASE!C:Q,9,False)</f>
        <v>1</v>
      </c>
      <c r="Q9213" s="93" t="str">
        <f>VLOOKUP(E9213,DATABASE!C:Q,4,false)</f>
        <v>BD</v>
      </c>
      <c r="R9213" s="93" t="str">
        <f>VLOOKUP(E9213,DATABASE!C:Q,11,false)</f>
        <v>Tire</v>
      </c>
    </row>
    <row r="9214" ht="22.5" customHeight="1">
      <c r="A9214" s="49"/>
      <c r="C9214" s="400">
        <v>46197.0</v>
      </c>
      <c r="D9214" s="524">
        <v>136.0</v>
      </c>
      <c r="E9214" s="544" t="s">
        <v>262</v>
      </c>
      <c r="F9214" s="387">
        <v>1.0</v>
      </c>
      <c r="G9214" s="140">
        <v>130000.0</v>
      </c>
      <c r="H9214" s="74"/>
      <c r="I9214" s="74">
        <f t="shared" si="1"/>
        <v>130000</v>
      </c>
      <c r="J9214" s="74">
        <f>IF(E9214="SERVICE",I9214-(I9214*50%),Vlookup(E9214,DATABASE!C:Q,10,false)*F9214)</f>
        <v>5000</v>
      </c>
      <c r="K9214" s="74">
        <f>VLOOKUP(E9214,DATABASE!C:Q,7,false)</f>
        <v>0</v>
      </c>
      <c r="L9214" s="74">
        <v>0.0</v>
      </c>
      <c r="M9214" s="74">
        <f t="shared" si="6"/>
        <v>0</v>
      </c>
      <c r="N9214" s="74">
        <f t="shared" si="3"/>
        <v>125000</v>
      </c>
      <c r="O9214" s="65" t="str">
        <f>VLOOKUP(E9214,DATABASE!C:Q,8,false)</f>
        <v>IBU</v>
      </c>
      <c r="P9214" s="65">
        <f>VLOOKUP(E9214,DATABASE!C:Q,9,False)</f>
        <v>0</v>
      </c>
      <c r="Q9214" s="93" t="str">
        <f>VLOOKUP(E9214,DATABASE!C:Q,4,false)</f>
        <v>SPOORING SS/CARRY LOS BAK</v>
      </c>
      <c r="R9214" s="93" t="str">
        <f>VLOOKUP(E9214,DATABASE!C:Q,11,false)</f>
        <v>SERVICE</v>
      </c>
    </row>
    <row r="9215" ht="22.5" customHeight="1">
      <c r="A9215" s="49"/>
      <c r="C9215" s="400">
        <v>46197.0</v>
      </c>
      <c r="D9215" s="524">
        <v>136.0</v>
      </c>
      <c r="E9215" s="544" t="s">
        <v>299</v>
      </c>
      <c r="F9215" s="387">
        <v>2.0</v>
      </c>
      <c r="G9215" s="140">
        <v>30000.0</v>
      </c>
      <c r="H9215" s="140">
        <v>2500.0</v>
      </c>
      <c r="I9215" s="74">
        <f t="shared" si="1"/>
        <v>55000</v>
      </c>
      <c r="J9215" s="74">
        <f>IF(E9215="SERVICE",I9215-(I9215*50%),Vlookup(E9215,DATABASE!C:Q,10,false)*F9215)</f>
        <v>0</v>
      </c>
      <c r="K9215" s="74">
        <f>VLOOKUP(E9215,DATABASE!C:Q,7,false)</f>
        <v>10000</v>
      </c>
      <c r="L9215" s="74">
        <v>10000.0</v>
      </c>
      <c r="M9215" s="74">
        <f t="shared" si="6"/>
        <v>10000</v>
      </c>
      <c r="N9215" s="74">
        <f t="shared" si="3"/>
        <v>35000</v>
      </c>
      <c r="O9215" s="65" t="str">
        <f>VLOOKUP(E9215,DATABASE!C:Q,8,false)</f>
        <v>BIAN</v>
      </c>
      <c r="P9215" s="65">
        <f>VLOOKUP(E9215,DATABASE!C:Q,9,False)</f>
        <v>0</v>
      </c>
      <c r="Q9215" s="93" t="str">
        <f>VLOOKUP(E9215,DATABASE!C:Q,4,false)</f>
        <v>Balancing</v>
      </c>
      <c r="R9215" s="93" t="str">
        <f>VLOOKUP(E9215,DATABASE!C:Q,11,false)</f>
        <v>COMPLEMENTARY</v>
      </c>
    </row>
    <row r="9216" ht="22.5" customHeight="1">
      <c r="A9216" s="49"/>
      <c r="C9216" s="400">
        <v>46197.0</v>
      </c>
      <c r="D9216" s="524">
        <v>137.0</v>
      </c>
      <c r="E9216" s="544" t="s">
        <v>256</v>
      </c>
      <c r="F9216" s="387">
        <v>1.0</v>
      </c>
      <c r="G9216" s="140">
        <v>175000.0</v>
      </c>
      <c r="H9216" s="140">
        <v>25000.0</v>
      </c>
      <c r="I9216" s="74">
        <f t="shared" si="1"/>
        <v>150000</v>
      </c>
      <c r="J9216" s="74">
        <f>IF(E9216="SERVICE",I9216-(I9216*50%),Vlookup(E9216,DATABASE!C:Q,10,false)*F9216)</f>
        <v>10000</v>
      </c>
      <c r="K9216" s="74">
        <f>VLOOKUP(E9216,DATABASE!C:Q,7,false)</f>
        <v>0</v>
      </c>
      <c r="L9216" s="74">
        <v>0.0</v>
      </c>
      <c r="M9216" s="74">
        <f t="shared" si="6"/>
        <v>0</v>
      </c>
      <c r="N9216" s="74">
        <f t="shared" si="3"/>
        <v>140000</v>
      </c>
      <c r="O9216" s="65" t="str">
        <f>VLOOKUP(E9216,DATABASE!C:Q,8,false)</f>
        <v>IBU</v>
      </c>
      <c r="P9216" s="65">
        <f>VLOOKUP(E9216,DATABASE!C:Q,9,False)</f>
        <v>0</v>
      </c>
      <c r="Q9216" s="93" t="str">
        <f>VLOOKUP(E9216,DATABASE!C:Q,4,false)</f>
        <v>SPOORING</v>
      </c>
      <c r="R9216" s="93" t="str">
        <f>VLOOKUP(E9216,DATABASE!C:Q,11,false)</f>
        <v>SERVICE</v>
      </c>
    </row>
    <row r="9217" ht="22.5" customHeight="1">
      <c r="A9217" s="49"/>
      <c r="C9217" s="400">
        <v>46197.0</v>
      </c>
      <c r="D9217" s="524">
        <v>137.0</v>
      </c>
      <c r="E9217" s="544" t="s">
        <v>251</v>
      </c>
      <c r="F9217" s="387">
        <v>1.0</v>
      </c>
      <c r="G9217" s="140">
        <v>350000.0</v>
      </c>
      <c r="H9217" s="140">
        <v>200000.0</v>
      </c>
      <c r="I9217" s="74">
        <f t="shared" si="1"/>
        <v>150000</v>
      </c>
      <c r="J9217" s="74">
        <f>IF(E9217="SERVICE",I9217-(I9217*50%),Vlookup(E9217,DATABASE!C:Q,10,false)*F9217)</f>
        <v>75000</v>
      </c>
      <c r="K9217" s="74">
        <f>VLOOKUP(E9217,DATABASE!C:Q,7,false)</f>
        <v>0</v>
      </c>
      <c r="L9217" s="74">
        <v>0.0</v>
      </c>
      <c r="M9217" s="74">
        <f t="shared" si="6"/>
        <v>0</v>
      </c>
      <c r="N9217" s="74">
        <f t="shared" si="3"/>
        <v>75000</v>
      </c>
      <c r="O9217" s="65" t="str">
        <f>VLOOKUP(E9217,DATABASE!C:Q,8,false)</f>
        <v>IBU</v>
      </c>
      <c r="P9217" s="65">
        <f>VLOOKUP(E9217,DATABASE!C:Q,9,False)</f>
        <v>0</v>
      </c>
      <c r="Q9217" s="93" t="str">
        <f>VLOOKUP(E9217,DATABASE!C:Q,4,false)</f>
        <v>SERVICE</v>
      </c>
      <c r="R9217" s="93" t="str">
        <f>VLOOKUP(E9217,DATABASE!C:Q,11,false)</f>
        <v>SERVICE</v>
      </c>
    </row>
    <row r="9218" ht="22.5" customHeight="1">
      <c r="A9218" s="49"/>
      <c r="C9218" s="400">
        <v>46197.0</v>
      </c>
      <c r="D9218" s="524">
        <v>138.0</v>
      </c>
      <c r="E9218" s="544" t="s">
        <v>2037</v>
      </c>
      <c r="F9218" s="387">
        <v>4.0</v>
      </c>
      <c r="G9218" s="140">
        <v>2625000.0</v>
      </c>
      <c r="H9218" s="140">
        <v>20000.0</v>
      </c>
      <c r="I9218" s="74">
        <f t="shared" si="1"/>
        <v>10420000</v>
      </c>
      <c r="J9218" s="74">
        <f>IF(E9218="SERVICE",I9218-(I9218*50%),Vlookup(E9218,DATABASE!C:Q,10,false)*F9218)</f>
        <v>0</v>
      </c>
      <c r="K9218" s="74">
        <f>VLOOKUP(E9218,DATABASE!C:Q,7,false)</f>
        <v>2575000</v>
      </c>
      <c r="L9218" s="140">
        <v>2450000.0</v>
      </c>
      <c r="M9218" s="74">
        <f t="shared" si="6"/>
        <v>2450000</v>
      </c>
      <c r="N9218" s="74">
        <f t="shared" si="3"/>
        <v>620000</v>
      </c>
      <c r="O9218" s="65" t="str">
        <f>VLOOKUP(E9218,DATABASE!C:Q,8,false)</f>
        <v>BIAN</v>
      </c>
      <c r="P9218" s="65">
        <f>VLOOKUP(E9218,DATABASE!C:Q,9,False)</f>
        <v>1</v>
      </c>
      <c r="Q9218" s="93" t="str">
        <f>VLOOKUP(E9218,DATABASE!C:Q,4,false)</f>
        <v>GT</v>
      </c>
      <c r="R9218" s="93" t="str">
        <f>VLOOKUP(E9218,DATABASE!C:Q,11,false)</f>
        <v>Tire</v>
      </c>
    </row>
    <row r="9219" ht="22.5" customHeight="1">
      <c r="A9219" s="49"/>
      <c r="C9219" s="400">
        <v>46197.0</v>
      </c>
      <c r="D9219" s="524">
        <v>139.0</v>
      </c>
      <c r="E9219" s="544" t="s">
        <v>282</v>
      </c>
      <c r="F9219" s="387">
        <v>2.0</v>
      </c>
      <c r="G9219" s="140">
        <v>880000.0</v>
      </c>
      <c r="H9219" s="74"/>
      <c r="I9219" s="74">
        <f t="shared" si="1"/>
        <v>1760000</v>
      </c>
      <c r="J9219" s="74">
        <f>IF(E9219="SERVICE",I9219-(I9219*50%),Vlookup(E9219,DATABASE!C:Q,10,false)*F9219)</f>
        <v>0</v>
      </c>
      <c r="K9219" s="74">
        <f>VLOOKUP(E9219,DATABASE!C:Q,7,false)</f>
        <v>779500</v>
      </c>
      <c r="L9219" s="74">
        <v>779500.0</v>
      </c>
      <c r="M9219" s="74">
        <f t="shared" si="6"/>
        <v>780000</v>
      </c>
      <c r="N9219" s="74">
        <f t="shared" si="3"/>
        <v>200000</v>
      </c>
      <c r="O9219" s="65" t="str">
        <f>VLOOKUP(E9219,DATABASE!C:Q,8,false)</f>
        <v>IBU</v>
      </c>
      <c r="P9219" s="65">
        <f>VLOOKUP(E9219,DATABASE!C:Q,9,False)</f>
        <v>1</v>
      </c>
      <c r="Q9219" s="93" t="str">
        <f>VLOOKUP(E9219,DATABASE!C:Q,4,false)</f>
        <v>Dunlop</v>
      </c>
      <c r="R9219" s="93" t="str">
        <f>VLOOKUP(E9219,DATABASE!C:Q,11,false)</f>
        <v>Tire</v>
      </c>
    </row>
    <row r="9220" ht="22.5" customHeight="1">
      <c r="A9220" s="49"/>
      <c r="C9220" s="400">
        <v>46197.0</v>
      </c>
      <c r="D9220" s="524">
        <v>139.0</v>
      </c>
      <c r="E9220" s="544" t="s">
        <v>299</v>
      </c>
      <c r="F9220" s="387">
        <v>2.0</v>
      </c>
      <c r="G9220" s="140">
        <v>30000.0</v>
      </c>
      <c r="H9220" s="74"/>
      <c r="I9220" s="74">
        <f t="shared" si="1"/>
        <v>60000</v>
      </c>
      <c r="J9220" s="74">
        <f>IF(E9220="SERVICE",I9220-(I9220*50%),Vlookup(E9220,DATABASE!C:Q,10,false)*F9220)</f>
        <v>0</v>
      </c>
      <c r="K9220" s="74">
        <f>VLOOKUP(E9220,DATABASE!C:Q,7,false)</f>
        <v>10000</v>
      </c>
      <c r="L9220" s="74">
        <v>10000.0</v>
      </c>
      <c r="M9220" s="74">
        <f t="shared" si="6"/>
        <v>10000</v>
      </c>
      <c r="N9220" s="74">
        <f t="shared" si="3"/>
        <v>40000</v>
      </c>
      <c r="O9220" s="65" t="str">
        <f>VLOOKUP(E9220,DATABASE!C:Q,8,false)</f>
        <v>BIAN</v>
      </c>
      <c r="P9220" s="65">
        <f>VLOOKUP(E9220,DATABASE!C:Q,9,False)</f>
        <v>0</v>
      </c>
      <c r="Q9220" s="93" t="str">
        <f>VLOOKUP(E9220,DATABASE!C:Q,4,false)</f>
        <v>Balancing</v>
      </c>
      <c r="R9220" s="93" t="str">
        <f>VLOOKUP(E9220,DATABASE!C:Q,11,false)</f>
        <v>COMPLEMENTARY</v>
      </c>
    </row>
    <row r="9221" ht="22.5" customHeight="1">
      <c r="A9221" s="49"/>
      <c r="C9221" s="400">
        <v>46197.0</v>
      </c>
      <c r="D9221" s="524">
        <v>139.0</v>
      </c>
      <c r="E9221" s="544" t="s">
        <v>256</v>
      </c>
      <c r="F9221" s="387">
        <v>1.0</v>
      </c>
      <c r="G9221" s="140">
        <v>175000.0</v>
      </c>
      <c r="H9221" s="140">
        <v>25000.0</v>
      </c>
      <c r="I9221" s="74">
        <f t="shared" si="1"/>
        <v>150000</v>
      </c>
      <c r="J9221" s="74">
        <f>IF(E9221="SERVICE",I9221-(I9221*50%),Vlookup(E9221,DATABASE!C:Q,10,false)*F9221)</f>
        <v>10000</v>
      </c>
      <c r="K9221" s="74">
        <f>VLOOKUP(E9221,DATABASE!C:Q,7,false)</f>
        <v>0</v>
      </c>
      <c r="L9221" s="74">
        <v>0.0</v>
      </c>
      <c r="M9221" s="74">
        <f t="shared" si="6"/>
        <v>0</v>
      </c>
      <c r="N9221" s="74">
        <f t="shared" si="3"/>
        <v>140000</v>
      </c>
      <c r="O9221" s="65" t="str">
        <f>VLOOKUP(E9221,DATABASE!C:Q,8,false)</f>
        <v>IBU</v>
      </c>
      <c r="P9221" s="65">
        <f>VLOOKUP(E9221,DATABASE!C:Q,9,False)</f>
        <v>0</v>
      </c>
      <c r="Q9221" s="93" t="str">
        <f>VLOOKUP(E9221,DATABASE!C:Q,4,false)</f>
        <v>SPOORING</v>
      </c>
      <c r="R9221" s="93" t="str">
        <f>VLOOKUP(E9221,DATABASE!C:Q,11,false)</f>
        <v>SERVICE</v>
      </c>
    </row>
    <row r="9222" ht="22.5" customHeight="1">
      <c r="A9222" s="49"/>
      <c r="C9222" s="400">
        <v>46197.0</v>
      </c>
      <c r="D9222" s="524">
        <v>139.0</v>
      </c>
      <c r="E9222" s="544" t="s">
        <v>251</v>
      </c>
      <c r="F9222" s="387">
        <v>1.0</v>
      </c>
      <c r="G9222" s="140">
        <v>350000.0</v>
      </c>
      <c r="H9222" s="140">
        <v>200000.0</v>
      </c>
      <c r="I9222" s="74">
        <f t="shared" si="1"/>
        <v>150000</v>
      </c>
      <c r="J9222" s="74">
        <f>IF(E9222="SERVICE",I9222-(I9222*50%),Vlookup(E9222,DATABASE!C:Q,10,false)*F9222)</f>
        <v>75000</v>
      </c>
      <c r="K9222" s="74">
        <f>VLOOKUP(E9222,DATABASE!C:Q,7,false)</f>
        <v>0</v>
      </c>
      <c r="L9222" s="74">
        <v>0.0</v>
      </c>
      <c r="M9222" s="74">
        <f t="shared" si="6"/>
        <v>0</v>
      </c>
      <c r="N9222" s="74">
        <f t="shared" si="3"/>
        <v>75000</v>
      </c>
      <c r="O9222" s="65" t="str">
        <f>VLOOKUP(E9222,DATABASE!C:Q,8,false)</f>
        <v>IBU</v>
      </c>
      <c r="P9222" s="65">
        <f>VLOOKUP(E9222,DATABASE!C:Q,9,False)</f>
        <v>0</v>
      </c>
      <c r="Q9222" s="93" t="str">
        <f>VLOOKUP(E9222,DATABASE!C:Q,4,false)</f>
        <v>SERVICE</v>
      </c>
      <c r="R9222" s="93" t="str">
        <f>VLOOKUP(E9222,DATABASE!C:Q,11,false)</f>
        <v>SERVICE</v>
      </c>
    </row>
    <row r="9223" ht="22.5" customHeight="1">
      <c r="A9223" s="49"/>
      <c r="C9223" s="400">
        <v>46197.0</v>
      </c>
      <c r="D9223" s="524">
        <v>139.0</v>
      </c>
      <c r="E9223" s="544" t="s">
        <v>2191</v>
      </c>
      <c r="F9223" s="387">
        <v>1.0</v>
      </c>
      <c r="G9223" s="140">
        <v>475000.0</v>
      </c>
      <c r="H9223" s="74"/>
      <c r="I9223" s="74">
        <f t="shared" si="1"/>
        <v>475000</v>
      </c>
      <c r="J9223" s="74">
        <f>IF(E9223="SERVICE",I9223-(I9223*50%),Vlookup(E9223,DATABASE!C:Q,10,false)*F9223)</f>
        <v>0</v>
      </c>
      <c r="K9223" s="74">
        <f>VLOOKUP(E9223,DATABASE!C:Q,7,false)</f>
        <v>422900</v>
      </c>
      <c r="L9223" s="74">
        <v>422900.0</v>
      </c>
      <c r="M9223" s="74">
        <f t="shared" si="6"/>
        <v>425000</v>
      </c>
      <c r="N9223" s="74">
        <f t="shared" si="3"/>
        <v>50000</v>
      </c>
      <c r="O9223" s="65" t="str">
        <f>VLOOKUP(E9223,DATABASE!C:Q,8,false)</f>
        <v>NON</v>
      </c>
      <c r="P9223" s="65">
        <f>VLOOKUP(E9223,DATABASE!C:Q,9,False)</f>
        <v>0</v>
      </c>
      <c r="Q9223" s="93" t="str">
        <f>VLOOKUP(E9223,DATABASE!C:Q,4,false)</f>
        <v>Shell</v>
      </c>
      <c r="R9223" s="93" t="str">
        <f>VLOOKUP(E9223,DATABASE!C:Q,11,false)</f>
        <v>OIL</v>
      </c>
    </row>
    <row r="9224" ht="22.5" customHeight="1">
      <c r="A9224" s="49"/>
      <c r="C9224" s="400">
        <v>46197.0</v>
      </c>
      <c r="D9224" s="524">
        <v>139.0</v>
      </c>
      <c r="E9224" s="544" t="s">
        <v>2186</v>
      </c>
      <c r="F9224" s="387">
        <v>2.0</v>
      </c>
      <c r="G9224" s="140">
        <v>125000.0</v>
      </c>
      <c r="H9224" s="74"/>
      <c r="I9224" s="74">
        <f t="shared" si="1"/>
        <v>250000</v>
      </c>
      <c r="J9224" s="74">
        <f>IF(E9224="SERVICE",I9224-(I9224*50%),Vlookup(E9224,DATABASE!C:Q,10,false)*F9224)</f>
        <v>0</v>
      </c>
      <c r="K9224" s="74">
        <f>VLOOKUP(E9224,DATABASE!C:Q,7,false)</f>
        <v>96400</v>
      </c>
      <c r="L9224" s="74">
        <v>96400.0</v>
      </c>
      <c r="M9224" s="74">
        <f t="shared" si="6"/>
        <v>100000</v>
      </c>
      <c r="N9224" s="74">
        <f t="shared" si="3"/>
        <v>50000</v>
      </c>
      <c r="O9224" s="65" t="str">
        <f>VLOOKUP(E9224,DATABASE!C:Q,8,false)</f>
        <v>NON</v>
      </c>
      <c r="P9224" s="65">
        <f>VLOOKUP(E9224,DATABASE!C:Q,9,False)</f>
        <v>0</v>
      </c>
      <c r="Q9224" s="93" t="str">
        <f>VLOOKUP(E9224,DATABASE!C:Q,4,false)</f>
        <v>Shell</v>
      </c>
      <c r="R9224" s="93" t="str">
        <f>VLOOKUP(E9224,DATABASE!C:Q,11,false)</f>
        <v>OIL</v>
      </c>
    </row>
    <row r="9225" ht="22.5" customHeight="1">
      <c r="A9225" s="49"/>
      <c r="C9225" s="400">
        <v>46197.0</v>
      </c>
      <c r="D9225" s="524">
        <v>139.0</v>
      </c>
      <c r="E9225" s="544" t="s">
        <v>2191</v>
      </c>
      <c r="F9225" s="387">
        <v>1.0</v>
      </c>
      <c r="G9225" s="140">
        <v>475000.0</v>
      </c>
      <c r="H9225" s="140"/>
      <c r="I9225" s="74">
        <f t="shared" si="1"/>
        <v>475000</v>
      </c>
      <c r="J9225" s="74">
        <f>IF(E9225="SERVICE",I9225-(I9225*50%),Vlookup(E9225,DATABASE!C:Q,10,false)*F9225)</f>
        <v>0</v>
      </c>
      <c r="K9225" s="74">
        <f>VLOOKUP(E9225,DATABASE!C:Q,7,false)</f>
        <v>422900</v>
      </c>
      <c r="L9225" s="74">
        <v>0.0</v>
      </c>
      <c r="M9225" s="74">
        <f t="shared" si="6"/>
        <v>0</v>
      </c>
      <c r="N9225" s="74">
        <f t="shared" si="3"/>
        <v>475000</v>
      </c>
      <c r="O9225" s="65" t="str">
        <f>VLOOKUP(E9225,DATABASE!C:Q,8,false)</f>
        <v>NON</v>
      </c>
      <c r="P9225" s="65">
        <f>VLOOKUP(E9225,DATABASE!C:Q,9,False)</f>
        <v>0</v>
      </c>
      <c r="Q9225" s="93" t="str">
        <f>VLOOKUP(E9225,DATABASE!C:Q,4,false)</f>
        <v>Shell</v>
      </c>
      <c r="R9225" s="93" t="str">
        <f>VLOOKUP(E9225,DATABASE!C:Q,11,false)</f>
        <v>OIL</v>
      </c>
    </row>
    <row r="9226" ht="22.5" customHeight="1">
      <c r="A9226" s="49"/>
      <c r="C9226" s="400">
        <v>46197.0</v>
      </c>
      <c r="D9226" s="524">
        <v>140.0</v>
      </c>
      <c r="E9226" s="544" t="s">
        <v>268</v>
      </c>
      <c r="F9226" s="387">
        <v>2.0</v>
      </c>
      <c r="G9226" s="140">
        <v>720000.0</v>
      </c>
      <c r="H9226" s="74"/>
      <c r="I9226" s="74">
        <f t="shared" si="1"/>
        <v>1440000</v>
      </c>
      <c r="J9226" s="74">
        <f>IF(E9226="SERVICE",I9226-(I9226*50%),Vlookup(E9226,DATABASE!C:Q,10,false)*F9226)</f>
        <v>0</v>
      </c>
      <c r="K9226" s="74">
        <f>VLOOKUP(E9226,DATABASE!C:Q,7,false)</f>
        <v>653000</v>
      </c>
      <c r="L9226" s="74">
        <v>634500.0</v>
      </c>
      <c r="M9226" s="74">
        <f t="shared" si="6"/>
        <v>635000</v>
      </c>
      <c r="N9226" s="74">
        <f t="shared" si="3"/>
        <v>170000</v>
      </c>
      <c r="O9226" s="65" t="str">
        <f>VLOOKUP(E9226,DATABASE!C:Q,8,false)</f>
        <v>IBU</v>
      </c>
      <c r="P9226" s="65">
        <f>VLOOKUP(E9226,DATABASE!C:Q,9,False)</f>
        <v>1</v>
      </c>
      <c r="Q9226" s="93" t="str">
        <f>VLOOKUP(E9226,DATABASE!C:Q,4,false)</f>
        <v>Dunlop</v>
      </c>
      <c r="R9226" s="93" t="str">
        <f>VLOOKUP(E9226,DATABASE!C:Q,11,false)</f>
        <v>Tire</v>
      </c>
    </row>
    <row r="9227" ht="22.5" customHeight="1">
      <c r="A9227" s="49"/>
      <c r="C9227" s="400">
        <v>46197.0</v>
      </c>
      <c r="D9227" s="69" t="s">
        <v>2851</v>
      </c>
      <c r="E9227" s="544" t="s">
        <v>258</v>
      </c>
      <c r="F9227" s="387">
        <v>3.0</v>
      </c>
      <c r="G9227" s="140">
        <v>105000.0</v>
      </c>
      <c r="H9227" s="140">
        <v>5000.0</v>
      </c>
      <c r="I9227" s="74">
        <f t="shared" si="1"/>
        <v>300000</v>
      </c>
      <c r="J9227" s="74">
        <f>IF(E9227="SERVICE",I9227-(I9227*50%),Vlookup(E9227,DATABASE!C:Q,10,false)*F9227)</f>
        <v>0</v>
      </c>
      <c r="K9227" s="74">
        <f>VLOOKUP(E9227,DATABASE!C:Q,7,false)</f>
        <v>74700</v>
      </c>
      <c r="L9227" s="74">
        <v>74700.0</v>
      </c>
      <c r="M9227" s="74">
        <f t="shared" si="6"/>
        <v>75000</v>
      </c>
      <c r="N9227" s="74">
        <f t="shared" si="3"/>
        <v>75000</v>
      </c>
      <c r="O9227" s="65" t="str">
        <f>VLOOKUP(E9227,DATABASE!C:Q,8,false)</f>
        <v>NON</v>
      </c>
      <c r="P9227" s="65">
        <f>VLOOKUP(E9227,DATABASE!C:Q,9,False)</f>
        <v>0</v>
      </c>
      <c r="Q9227" s="93" t="str">
        <f>VLOOKUP(E9227,DATABASE!C:Q,4,false)</f>
        <v>Shell</v>
      </c>
      <c r="R9227" s="93" t="str">
        <f>VLOOKUP(E9227,DATABASE!C:Q,11,false)</f>
        <v>OIL</v>
      </c>
    </row>
    <row r="9228" ht="22.5" customHeight="1">
      <c r="A9228" s="49"/>
      <c r="C9228" s="400">
        <v>46197.0</v>
      </c>
      <c r="D9228" s="69" t="s">
        <v>2851</v>
      </c>
      <c r="E9228" s="544" t="s">
        <v>298</v>
      </c>
      <c r="F9228" s="387">
        <v>1.0</v>
      </c>
      <c r="G9228" s="140">
        <v>25000.0</v>
      </c>
      <c r="H9228" s="74"/>
      <c r="I9228" s="74">
        <f t="shared" si="1"/>
        <v>25000</v>
      </c>
      <c r="J9228" s="74">
        <f>IF(E9228="SERVICE",I9228-(I9228*50%),Vlookup(E9228,DATABASE!C:Q,10,false)*F9228)</f>
        <v>0</v>
      </c>
      <c r="K9228" s="74">
        <f>VLOOKUP(E9228,DATABASE!C:Q,7,false)</f>
        <v>19200</v>
      </c>
      <c r="L9228" s="74">
        <v>19200.0</v>
      </c>
      <c r="M9228" s="74">
        <f t="shared" si="6"/>
        <v>20000</v>
      </c>
      <c r="N9228" s="74">
        <f t="shared" si="3"/>
        <v>5000</v>
      </c>
      <c r="O9228" s="65" t="str">
        <f>VLOOKUP(E9228,DATABASE!C:Q,8,false)</f>
        <v>BIAN</v>
      </c>
      <c r="P9228" s="65">
        <f>VLOOKUP(E9228,DATABASE!C:Q,9,False)</f>
        <v>0</v>
      </c>
      <c r="Q9228" s="93" t="str">
        <f>VLOOKUP(E9228,DATABASE!C:Q,4,false)</f>
        <v>Aspira</v>
      </c>
      <c r="R9228" s="93" t="str">
        <f>VLOOKUP(E9228,DATABASE!C:Q,11,false)</f>
        <v>COMPLEMENTARY</v>
      </c>
    </row>
    <row r="9229" ht="22.5" customHeight="1">
      <c r="A9229" s="49"/>
      <c r="C9229" s="400">
        <v>46198.0</v>
      </c>
      <c r="D9229" s="524">
        <v>141.0</v>
      </c>
      <c r="E9229" s="544" t="s">
        <v>856</v>
      </c>
      <c r="F9229" s="387">
        <v>2.0</v>
      </c>
      <c r="G9229" s="140">
        <v>690000.0</v>
      </c>
      <c r="H9229" s="140">
        <v>10000.0</v>
      </c>
      <c r="I9229" s="74">
        <f t="shared" si="1"/>
        <v>1360000</v>
      </c>
      <c r="J9229" s="74">
        <f>IF(E9229="SERVICE",I9229-(I9229*50%),Vlookup(E9229,DATABASE!C:Q,10,false)*F9229)</f>
        <v>0</v>
      </c>
      <c r="K9229" s="74">
        <f>VLOOKUP(E9229,DATABASE!C:Q,7,false)</f>
        <v>615300</v>
      </c>
      <c r="L9229" s="74">
        <v>604200.0</v>
      </c>
      <c r="M9229" s="74">
        <f t="shared" si="6"/>
        <v>605000</v>
      </c>
      <c r="N9229" s="74">
        <f t="shared" si="3"/>
        <v>150000</v>
      </c>
      <c r="O9229" s="65" t="str">
        <f>VLOOKUP(E9229,DATABASE!C:Q,8,false)</f>
        <v>BIAN</v>
      </c>
      <c r="P9229" s="65">
        <f>VLOOKUP(E9229,DATABASE!C:Q,9,False)</f>
        <v>1</v>
      </c>
      <c r="Q9229" s="93" t="str">
        <f>VLOOKUP(E9229,DATABASE!C:Q,4,false)</f>
        <v>GT</v>
      </c>
      <c r="R9229" s="93" t="str">
        <f>VLOOKUP(E9229,DATABASE!C:Q,11,false)</f>
        <v>Tire</v>
      </c>
    </row>
    <row r="9230" ht="22.5" customHeight="1">
      <c r="A9230" s="49"/>
      <c r="C9230" s="400">
        <v>46198.0</v>
      </c>
      <c r="D9230" s="524">
        <v>143.0</v>
      </c>
      <c r="E9230" s="544" t="s">
        <v>246</v>
      </c>
      <c r="F9230" s="387">
        <v>4.0</v>
      </c>
      <c r="G9230" s="140">
        <v>35000.0</v>
      </c>
      <c r="H9230" s="140">
        <v>5000.0</v>
      </c>
      <c r="I9230" s="74">
        <f t="shared" si="1"/>
        <v>120000</v>
      </c>
      <c r="J9230" s="74">
        <f>IF(E9230="SERVICE",I9230-(I9230*50%),Vlookup(E9230,DATABASE!C:Q,10,false)*F9230)</f>
        <v>0</v>
      </c>
      <c r="K9230" s="74">
        <f>VLOOKUP(E9230,DATABASE!C:Q,7,false)</f>
        <v>0</v>
      </c>
      <c r="L9230" s="74">
        <v>0.0</v>
      </c>
      <c r="M9230" s="74">
        <f t="shared" si="6"/>
        <v>0</v>
      </c>
      <c r="N9230" s="74">
        <f t="shared" si="3"/>
        <v>120000</v>
      </c>
      <c r="O9230" s="65" t="str">
        <f>VLOOKUP(E9230,DATABASE!C:Q,8,false)</f>
        <v>IBU</v>
      </c>
      <c r="P9230" s="65">
        <f>VLOOKUP(E9230,DATABASE!C:Q,9,False)</f>
        <v>0</v>
      </c>
      <c r="Q9230" s="93" t="str">
        <f>VLOOKUP(E9230,DATABASE!C:Q,4,false)</f>
        <v>Bongkar Pasang</v>
      </c>
      <c r="R9230" s="93" t="str">
        <f>VLOOKUP(E9230,DATABASE!C:Q,11,false)</f>
        <v>SERVICE</v>
      </c>
    </row>
    <row r="9231" ht="22.5" customHeight="1">
      <c r="A9231" s="49"/>
      <c r="C9231" s="400">
        <v>46198.0</v>
      </c>
      <c r="D9231" s="524">
        <v>143.0</v>
      </c>
      <c r="E9231" s="544" t="s">
        <v>299</v>
      </c>
      <c r="F9231" s="387">
        <v>4.0</v>
      </c>
      <c r="G9231" s="140">
        <v>30000.0</v>
      </c>
      <c r="H9231" s="74"/>
      <c r="I9231" s="74">
        <f t="shared" si="1"/>
        <v>120000</v>
      </c>
      <c r="J9231" s="74">
        <f>IF(E9231="SERVICE",I9231-(I9231*50%),Vlookup(E9231,DATABASE!C:Q,10,false)*F9231)</f>
        <v>0</v>
      </c>
      <c r="K9231" s="74">
        <f>VLOOKUP(E9231,DATABASE!C:Q,7,false)</f>
        <v>10000</v>
      </c>
      <c r="L9231" s="74">
        <v>10000.0</v>
      </c>
      <c r="M9231" s="74">
        <f t="shared" si="6"/>
        <v>10000</v>
      </c>
      <c r="N9231" s="74">
        <f t="shared" si="3"/>
        <v>80000</v>
      </c>
      <c r="O9231" s="65" t="str">
        <f>VLOOKUP(E9231,DATABASE!C:Q,8,false)</f>
        <v>BIAN</v>
      </c>
      <c r="P9231" s="65">
        <f>VLOOKUP(E9231,DATABASE!C:Q,9,False)</f>
        <v>0</v>
      </c>
      <c r="Q9231" s="93" t="str">
        <f>VLOOKUP(E9231,DATABASE!C:Q,4,false)</f>
        <v>Balancing</v>
      </c>
      <c r="R9231" s="93" t="str">
        <f>VLOOKUP(E9231,DATABASE!C:Q,11,false)</f>
        <v>COMPLEMENTARY</v>
      </c>
    </row>
    <row r="9232" ht="22.5" customHeight="1">
      <c r="A9232" s="49"/>
      <c r="C9232" s="400">
        <v>46198.0</v>
      </c>
      <c r="D9232" s="524">
        <v>143.0</v>
      </c>
      <c r="E9232" s="544" t="s">
        <v>256</v>
      </c>
      <c r="F9232" s="387">
        <v>1.0</v>
      </c>
      <c r="G9232" s="140">
        <v>175000.0</v>
      </c>
      <c r="H9232" s="140">
        <v>25000.0</v>
      </c>
      <c r="I9232" s="74">
        <f t="shared" si="1"/>
        <v>150000</v>
      </c>
      <c r="J9232" s="74">
        <f>IF(E9232="SERVICE",I9232-(I9232*50%),Vlookup(E9232,DATABASE!C:Q,10,false)*F9232)</f>
        <v>10000</v>
      </c>
      <c r="K9232" s="74">
        <f>VLOOKUP(E9232,DATABASE!C:Q,7,false)</f>
        <v>0</v>
      </c>
      <c r="L9232" s="74">
        <v>0.0</v>
      </c>
      <c r="M9232" s="74">
        <f t="shared" si="6"/>
        <v>0</v>
      </c>
      <c r="N9232" s="74">
        <f t="shared" si="3"/>
        <v>140000</v>
      </c>
      <c r="O9232" s="65" t="str">
        <f>VLOOKUP(E9232,DATABASE!C:Q,8,false)</f>
        <v>IBU</v>
      </c>
      <c r="P9232" s="65">
        <f>VLOOKUP(E9232,DATABASE!C:Q,9,False)</f>
        <v>0</v>
      </c>
      <c r="Q9232" s="93" t="str">
        <f>VLOOKUP(E9232,DATABASE!C:Q,4,false)</f>
        <v>SPOORING</v>
      </c>
      <c r="R9232" s="93" t="str">
        <f>VLOOKUP(E9232,DATABASE!C:Q,11,false)</f>
        <v>SERVICE</v>
      </c>
    </row>
    <row r="9233" ht="22.5" customHeight="1">
      <c r="A9233" s="49"/>
      <c r="C9233" s="400">
        <v>46198.0</v>
      </c>
      <c r="D9233" s="524">
        <v>144.0</v>
      </c>
      <c r="E9233" s="544" t="s">
        <v>256</v>
      </c>
      <c r="F9233" s="387">
        <v>1.0</v>
      </c>
      <c r="G9233" s="140">
        <v>175000.0</v>
      </c>
      <c r="H9233" s="140">
        <v>25000.0</v>
      </c>
      <c r="I9233" s="74">
        <f t="shared" si="1"/>
        <v>150000</v>
      </c>
      <c r="J9233" s="74">
        <f>IF(E9233="SERVICE",I9233-(I9233*50%),Vlookup(E9233,DATABASE!C:Q,10,false)*F9233)</f>
        <v>10000</v>
      </c>
      <c r="K9233" s="74">
        <f>VLOOKUP(E9233,DATABASE!C:Q,7,false)</f>
        <v>0</v>
      </c>
      <c r="L9233" s="74">
        <v>0.0</v>
      </c>
      <c r="M9233" s="74">
        <f t="shared" si="6"/>
        <v>0</v>
      </c>
      <c r="N9233" s="74">
        <f t="shared" si="3"/>
        <v>140000</v>
      </c>
      <c r="O9233" s="65" t="str">
        <f>VLOOKUP(E9233,DATABASE!C:Q,8,false)</f>
        <v>IBU</v>
      </c>
      <c r="P9233" s="65">
        <f>VLOOKUP(E9233,DATABASE!C:Q,9,False)</f>
        <v>0</v>
      </c>
      <c r="Q9233" s="93" t="str">
        <f>VLOOKUP(E9233,DATABASE!C:Q,4,false)</f>
        <v>SPOORING</v>
      </c>
      <c r="R9233" s="93" t="str">
        <f>VLOOKUP(E9233,DATABASE!C:Q,11,false)</f>
        <v>SERVICE</v>
      </c>
    </row>
    <row r="9234" ht="22.5" customHeight="1">
      <c r="A9234" s="49"/>
      <c r="C9234" s="400">
        <v>46198.0</v>
      </c>
      <c r="D9234" s="524">
        <v>145.0</v>
      </c>
      <c r="E9234" s="544" t="s">
        <v>572</v>
      </c>
      <c r="F9234" s="387">
        <v>2.0</v>
      </c>
      <c r="G9234" s="140">
        <v>1370000.0</v>
      </c>
      <c r="H9234" s="140">
        <v>20000.0</v>
      </c>
      <c r="I9234" s="74">
        <f t="shared" si="1"/>
        <v>2700000</v>
      </c>
      <c r="J9234" s="74">
        <f>IF(E9234="SERVICE",I9234-(I9234*50%),Vlookup(E9234,DATABASE!C:Q,10,false)*F9234)</f>
        <v>0</v>
      </c>
      <c r="K9234" s="74">
        <f>VLOOKUP(E9234,DATABASE!C:Q,7,false)</f>
        <v>1265000</v>
      </c>
      <c r="L9234" s="74">
        <v>1245000.0</v>
      </c>
      <c r="M9234" s="74">
        <f t="shared" si="6"/>
        <v>1245000</v>
      </c>
      <c r="N9234" s="74">
        <f t="shared" si="3"/>
        <v>210000</v>
      </c>
      <c r="O9234" s="65" t="str">
        <f>VLOOKUP(E9234,DATABASE!C:Q,8,false)</f>
        <v>IBU</v>
      </c>
      <c r="P9234" s="65">
        <f>VLOOKUP(E9234,DATABASE!C:Q,9,False)</f>
        <v>1</v>
      </c>
      <c r="Q9234" s="93" t="str">
        <f>VLOOKUP(E9234,DATABASE!C:Q,4,false)</f>
        <v>Bridgestone</v>
      </c>
      <c r="R9234" s="93" t="str">
        <f>VLOOKUP(E9234,DATABASE!C:Q,11,false)</f>
        <v>Tire</v>
      </c>
    </row>
    <row r="9235" ht="22.5" customHeight="1">
      <c r="A9235" s="49"/>
      <c r="C9235" s="400">
        <v>46198.0</v>
      </c>
      <c r="D9235" s="524">
        <v>145.0</v>
      </c>
      <c r="E9235" s="544" t="s">
        <v>255</v>
      </c>
      <c r="F9235" s="387">
        <v>1.0</v>
      </c>
      <c r="G9235" s="140">
        <v>200000.0</v>
      </c>
      <c r="H9235" s="74"/>
      <c r="I9235" s="74">
        <f t="shared" si="1"/>
        <v>200000</v>
      </c>
      <c r="J9235" s="74">
        <f>IF(E9235="SERVICE",I9235-(I9235*50%),Vlookup(E9235,DATABASE!C:Q,10,false)*F9235)</f>
        <v>0</v>
      </c>
      <c r="K9235" s="74">
        <f>VLOOKUP(E9235,DATABASE!C:Q,7,false)</f>
        <v>161840</v>
      </c>
      <c r="L9235" s="74">
        <v>161840.0</v>
      </c>
      <c r="M9235" s="74">
        <f t="shared" si="6"/>
        <v>165000</v>
      </c>
      <c r="N9235" s="74">
        <f t="shared" si="3"/>
        <v>35000</v>
      </c>
      <c r="O9235" s="65" t="str">
        <f>VLOOKUP(E9235,DATABASE!C:Q,8,false)</f>
        <v>BIAN</v>
      </c>
      <c r="P9235" s="65">
        <f>VLOOKUP(E9235,DATABASE!C:Q,9,False)</f>
        <v>1</v>
      </c>
      <c r="Q9235" s="93" t="str">
        <f>VLOOKUP(E9235,DATABASE!C:Q,4,false)</f>
        <v>BD</v>
      </c>
      <c r="R9235" s="93" t="str">
        <f>VLOOKUP(E9235,DATABASE!C:Q,11,false)</f>
        <v>Tire</v>
      </c>
    </row>
    <row r="9236" ht="22.5" customHeight="1">
      <c r="A9236" s="49"/>
      <c r="C9236" s="400">
        <v>46198.0</v>
      </c>
      <c r="D9236" s="524">
        <v>145.0</v>
      </c>
      <c r="E9236" s="544" t="s">
        <v>814</v>
      </c>
      <c r="F9236" s="387">
        <v>1.0</v>
      </c>
      <c r="G9236" s="140">
        <v>70000.0</v>
      </c>
      <c r="H9236" s="74"/>
      <c r="I9236" s="74">
        <f t="shared" si="1"/>
        <v>70000</v>
      </c>
      <c r="J9236" s="74">
        <f>IF(E9236="SERVICE",I9236-(I9236*50%),Vlookup(E9236,DATABASE!C:Q,10,false)*F9236)</f>
        <v>0</v>
      </c>
      <c r="K9236" s="74">
        <f>VLOOKUP(E9236,DATABASE!C:Q,7,false)</f>
        <v>39440</v>
      </c>
      <c r="L9236" s="74">
        <v>39440.0</v>
      </c>
      <c r="M9236" s="74">
        <f t="shared" si="6"/>
        <v>40000</v>
      </c>
      <c r="N9236" s="74">
        <f t="shared" si="3"/>
        <v>30000</v>
      </c>
      <c r="O9236" s="65" t="str">
        <f>VLOOKUP(E9236,DATABASE!C:Q,8,false)</f>
        <v>BIAN</v>
      </c>
      <c r="P9236" s="65">
        <f>VLOOKUP(E9236,DATABASE!C:Q,9,False)</f>
        <v>1</v>
      </c>
      <c r="Q9236" s="93" t="str">
        <f>VLOOKUP(E9236,DATABASE!C:Q,4,false)</f>
        <v>Flap</v>
      </c>
      <c r="R9236" s="93" t="str">
        <f>VLOOKUP(E9236,DATABASE!C:Q,11,false)</f>
        <v>Tire</v>
      </c>
    </row>
    <row r="9237" ht="22.5" customHeight="1">
      <c r="A9237" s="49"/>
      <c r="C9237" s="400">
        <v>46198.0</v>
      </c>
      <c r="D9237" s="524">
        <v>146.0</v>
      </c>
      <c r="E9237" s="544" t="s">
        <v>275</v>
      </c>
      <c r="F9237" s="387">
        <v>3.0</v>
      </c>
      <c r="G9237" s="140">
        <v>850000.0</v>
      </c>
      <c r="H9237" s="74"/>
      <c r="I9237" s="74">
        <f t="shared" si="1"/>
        <v>2550000</v>
      </c>
      <c r="J9237" s="74">
        <f>IF(E9237="SERVICE",I9237-(I9237*50%),Vlookup(E9237,DATABASE!C:Q,10,false)*F9237)</f>
        <v>0</v>
      </c>
      <c r="K9237" s="74">
        <f>VLOOKUP(E9237,DATABASE!C:Q,7,false)</f>
        <v>782000</v>
      </c>
      <c r="L9237" s="74">
        <v>759500.0</v>
      </c>
      <c r="M9237" s="74">
        <f t="shared" si="6"/>
        <v>760000</v>
      </c>
      <c r="N9237" s="74">
        <f t="shared" si="3"/>
        <v>270000</v>
      </c>
      <c r="O9237" s="65" t="str">
        <f>VLOOKUP(E9237,DATABASE!C:Q,8,false)</f>
        <v>IBU</v>
      </c>
      <c r="P9237" s="65">
        <f>VLOOKUP(E9237,DATABASE!C:Q,9,False)</f>
        <v>1</v>
      </c>
      <c r="Q9237" s="93" t="str">
        <f>VLOOKUP(E9237,DATABASE!C:Q,4,false)</f>
        <v>Dunlop</v>
      </c>
      <c r="R9237" s="93" t="str">
        <f>VLOOKUP(E9237,DATABASE!C:Q,11,false)</f>
        <v>Tire</v>
      </c>
    </row>
    <row r="9238" ht="22.5" customHeight="1">
      <c r="A9238" s="49"/>
      <c r="C9238" s="400">
        <v>46198.0</v>
      </c>
      <c r="D9238" s="524">
        <v>147.0</v>
      </c>
      <c r="E9238" s="544" t="s">
        <v>268</v>
      </c>
      <c r="F9238" s="387">
        <v>2.0</v>
      </c>
      <c r="G9238" s="140">
        <v>720000.0</v>
      </c>
      <c r="H9238" s="140">
        <v>10000.0</v>
      </c>
      <c r="I9238" s="74">
        <f t="shared" si="1"/>
        <v>1420000</v>
      </c>
      <c r="J9238" s="74">
        <f>IF(E9238="SERVICE",I9238-(I9238*50%),Vlookup(E9238,DATABASE!C:Q,10,false)*F9238)</f>
        <v>0</v>
      </c>
      <c r="K9238" s="74">
        <f>VLOOKUP(E9238,DATABASE!C:Q,7,false)</f>
        <v>653000</v>
      </c>
      <c r="L9238" s="74">
        <v>634500.0</v>
      </c>
      <c r="M9238" s="74">
        <f t="shared" si="6"/>
        <v>635000</v>
      </c>
      <c r="N9238" s="74">
        <f t="shared" si="3"/>
        <v>150000</v>
      </c>
      <c r="O9238" s="65" t="str">
        <f>VLOOKUP(E9238,DATABASE!C:Q,8,false)</f>
        <v>IBU</v>
      </c>
      <c r="P9238" s="65">
        <f>VLOOKUP(E9238,DATABASE!C:Q,9,False)</f>
        <v>1</v>
      </c>
      <c r="Q9238" s="93" t="str">
        <f>VLOOKUP(E9238,DATABASE!C:Q,4,false)</f>
        <v>Dunlop</v>
      </c>
      <c r="R9238" s="93" t="str">
        <f>VLOOKUP(E9238,DATABASE!C:Q,11,false)</f>
        <v>Tire</v>
      </c>
    </row>
    <row r="9239" ht="22.5" customHeight="1">
      <c r="A9239" s="49"/>
      <c r="C9239" s="400">
        <v>46198.0</v>
      </c>
      <c r="D9239" s="69">
        <v>149.0</v>
      </c>
      <c r="E9239" s="544" t="s">
        <v>271</v>
      </c>
      <c r="F9239" s="387">
        <v>2.0</v>
      </c>
      <c r="G9239" s="140">
        <v>660000.0</v>
      </c>
      <c r="H9239" s="74"/>
      <c r="I9239" s="74">
        <f t="shared" si="1"/>
        <v>1320000</v>
      </c>
      <c r="J9239" s="74">
        <f>IF(E9239="SERVICE",I9239-(I9239*50%),Vlookup(E9239,DATABASE!C:Q,10,false)*F9239)</f>
        <v>0</v>
      </c>
      <c r="K9239" s="74">
        <f>VLOOKUP(E9239,DATABASE!C:Q,7,false)</f>
        <v>570000</v>
      </c>
      <c r="L9239" s="74">
        <v>588505.75</v>
      </c>
      <c r="M9239" s="74">
        <f t="shared" si="6"/>
        <v>590000</v>
      </c>
      <c r="N9239" s="74">
        <f t="shared" si="3"/>
        <v>140000</v>
      </c>
      <c r="O9239" s="65" t="str">
        <f>VLOOKUP(E9239,DATABASE!C:Q,8,false)</f>
        <v>IBU</v>
      </c>
      <c r="P9239" s="65">
        <f>VLOOKUP(E9239,DATABASE!C:Q,9,False)</f>
        <v>1</v>
      </c>
      <c r="Q9239" s="93" t="str">
        <f>VLOOKUP(E9239,DATABASE!C:Q,4,false)</f>
        <v>Dunlop</v>
      </c>
      <c r="R9239" s="93" t="str">
        <f>VLOOKUP(E9239,DATABASE!C:Q,11,false)</f>
        <v>Tire</v>
      </c>
    </row>
    <row r="9240" ht="22.5" customHeight="1">
      <c r="A9240" s="49"/>
      <c r="C9240" s="400">
        <v>46198.0</v>
      </c>
      <c r="D9240" s="524">
        <v>150.0</v>
      </c>
      <c r="E9240" s="544" t="s">
        <v>256</v>
      </c>
      <c r="F9240" s="387">
        <v>1.0</v>
      </c>
      <c r="G9240" s="140">
        <v>175000.0</v>
      </c>
      <c r="H9240" s="140">
        <v>25000.0</v>
      </c>
      <c r="I9240" s="74">
        <f t="shared" si="1"/>
        <v>150000</v>
      </c>
      <c r="J9240" s="74">
        <f>IF(E9240="SERVICE",I9240-(I9240*50%),Vlookup(E9240,DATABASE!C:Q,10,false)*F9240)</f>
        <v>10000</v>
      </c>
      <c r="K9240" s="74">
        <f>VLOOKUP(E9240,DATABASE!C:Q,7,false)</f>
        <v>0</v>
      </c>
      <c r="L9240" s="74">
        <v>0.0</v>
      </c>
      <c r="M9240" s="74">
        <f t="shared" si="6"/>
        <v>0</v>
      </c>
      <c r="N9240" s="74">
        <f t="shared" si="3"/>
        <v>140000</v>
      </c>
      <c r="O9240" s="65" t="str">
        <f>VLOOKUP(E9240,DATABASE!C:Q,8,false)</f>
        <v>IBU</v>
      </c>
      <c r="P9240" s="65">
        <f>VLOOKUP(E9240,DATABASE!C:Q,9,False)</f>
        <v>0</v>
      </c>
      <c r="Q9240" s="93" t="str">
        <f>VLOOKUP(E9240,DATABASE!C:Q,4,false)</f>
        <v>SPOORING</v>
      </c>
      <c r="R9240" s="93" t="str">
        <f>VLOOKUP(E9240,DATABASE!C:Q,11,false)</f>
        <v>SERVICE</v>
      </c>
    </row>
    <row r="9241" ht="22.5" customHeight="1">
      <c r="A9241" s="49"/>
      <c r="C9241" s="400">
        <v>46198.0</v>
      </c>
      <c r="D9241" s="69" t="s">
        <v>2852</v>
      </c>
      <c r="E9241" s="544" t="s">
        <v>263</v>
      </c>
      <c r="F9241" s="387">
        <v>1.0</v>
      </c>
      <c r="G9241" s="140">
        <v>385000.0</v>
      </c>
      <c r="H9241" s="140"/>
      <c r="I9241" s="74">
        <f t="shared" si="1"/>
        <v>385000</v>
      </c>
      <c r="J9241" s="74">
        <f>IF(E9241="SERVICE",I9241-(I9241*50%),Vlookup(E9241,DATABASE!C:Q,10,false)*F9241)</f>
        <v>0</v>
      </c>
      <c r="K9241" s="74">
        <f>VLOOKUP(E9241,DATABASE!C:Q,7,false)</f>
        <v>334916</v>
      </c>
      <c r="L9241" s="74">
        <v>0.0</v>
      </c>
      <c r="M9241" s="74">
        <f t="shared" si="6"/>
        <v>0</v>
      </c>
      <c r="N9241" s="74">
        <f t="shared" si="3"/>
        <v>385000</v>
      </c>
      <c r="O9241" s="65" t="str">
        <f>VLOOKUP(E9241,DATABASE!C:Q,8,false)</f>
        <v>NON</v>
      </c>
      <c r="P9241" s="65">
        <f>VLOOKUP(E9241,DATABASE!C:Q,9,False)</f>
        <v>0</v>
      </c>
      <c r="Q9241" s="93" t="str">
        <f>VLOOKUP(E9241,DATABASE!C:Q,4,false)</f>
        <v>Shell</v>
      </c>
      <c r="R9241" s="93" t="str">
        <f>VLOOKUP(E9241,DATABASE!C:Q,11,false)</f>
        <v>OIL</v>
      </c>
    </row>
    <row r="9242" ht="22.5" customHeight="1">
      <c r="A9242" s="49"/>
      <c r="C9242" s="400">
        <v>46199.0</v>
      </c>
      <c r="D9242" s="524">
        <v>151.0</v>
      </c>
      <c r="E9242" s="544" t="s">
        <v>255</v>
      </c>
      <c r="F9242" s="387">
        <v>1.0</v>
      </c>
      <c r="G9242" s="140">
        <v>200000.0</v>
      </c>
      <c r="H9242" s="74"/>
      <c r="I9242" s="74">
        <f t="shared" si="1"/>
        <v>200000</v>
      </c>
      <c r="J9242" s="74">
        <f>IF(E9242="SERVICE",I9242-(I9242*50%),Vlookup(E9242,DATABASE!C:Q,10,false)*F9242)</f>
        <v>0</v>
      </c>
      <c r="K9242" s="74">
        <f>VLOOKUP(E9242,DATABASE!C:Q,7,false)</f>
        <v>161840</v>
      </c>
      <c r="L9242" s="74">
        <v>161840.0</v>
      </c>
      <c r="M9242" s="74">
        <f t="shared" si="6"/>
        <v>165000</v>
      </c>
      <c r="N9242" s="74">
        <f t="shared" si="3"/>
        <v>35000</v>
      </c>
      <c r="O9242" s="65" t="str">
        <f>VLOOKUP(E9242,DATABASE!C:Q,8,false)</f>
        <v>BIAN</v>
      </c>
      <c r="P9242" s="65">
        <f>VLOOKUP(E9242,DATABASE!C:Q,9,False)</f>
        <v>1</v>
      </c>
      <c r="Q9242" s="93" t="str">
        <f>VLOOKUP(E9242,DATABASE!C:Q,4,false)</f>
        <v>BD</v>
      </c>
      <c r="R9242" s="93" t="str">
        <f>VLOOKUP(E9242,DATABASE!C:Q,11,false)</f>
        <v>Tire</v>
      </c>
    </row>
    <row r="9243" ht="22.5" customHeight="1">
      <c r="A9243" s="49"/>
      <c r="C9243" s="400">
        <v>46199.0</v>
      </c>
      <c r="D9243" s="524">
        <v>151.0</v>
      </c>
      <c r="E9243" s="544" t="s">
        <v>814</v>
      </c>
      <c r="F9243" s="387">
        <v>1.0</v>
      </c>
      <c r="G9243" s="140">
        <v>70000.0</v>
      </c>
      <c r="H9243" s="74"/>
      <c r="I9243" s="74">
        <f t="shared" si="1"/>
        <v>70000</v>
      </c>
      <c r="J9243" s="74">
        <f>IF(E9243="SERVICE",I9243-(I9243*50%),Vlookup(E9243,DATABASE!C:Q,10,false)*F9243)</f>
        <v>0</v>
      </c>
      <c r="K9243" s="74">
        <f>VLOOKUP(E9243,DATABASE!C:Q,7,false)</f>
        <v>39440</v>
      </c>
      <c r="L9243" s="74">
        <v>39440.0</v>
      </c>
      <c r="M9243" s="74">
        <f t="shared" si="6"/>
        <v>40000</v>
      </c>
      <c r="N9243" s="74">
        <f t="shared" si="3"/>
        <v>30000</v>
      </c>
      <c r="O9243" s="65" t="str">
        <f>VLOOKUP(E9243,DATABASE!C:Q,8,false)</f>
        <v>BIAN</v>
      </c>
      <c r="P9243" s="65">
        <f>VLOOKUP(E9243,DATABASE!C:Q,9,False)</f>
        <v>1</v>
      </c>
      <c r="Q9243" s="93" t="str">
        <f>VLOOKUP(E9243,DATABASE!C:Q,4,false)</f>
        <v>Flap</v>
      </c>
      <c r="R9243" s="93" t="str">
        <f>VLOOKUP(E9243,DATABASE!C:Q,11,false)</f>
        <v>Tire</v>
      </c>
    </row>
    <row r="9244" ht="22.5" customHeight="1">
      <c r="A9244" s="49"/>
      <c r="C9244" s="400">
        <v>46199.0</v>
      </c>
      <c r="D9244" s="524">
        <v>152.0</v>
      </c>
      <c r="E9244" s="544" t="s">
        <v>403</v>
      </c>
      <c r="F9244" s="387">
        <v>2.0</v>
      </c>
      <c r="G9244" s="140">
        <v>2260000.0</v>
      </c>
      <c r="H9244" s="140">
        <v>60000.0</v>
      </c>
      <c r="I9244" s="74">
        <f t="shared" si="1"/>
        <v>4400000</v>
      </c>
      <c r="J9244" s="74">
        <f>IF(E9244="SERVICE",I9244-(I9244*50%),Vlookup(E9244,DATABASE!C:Q,10,false)*F9244)</f>
        <v>0</v>
      </c>
      <c r="K9244" s="74">
        <f>VLOOKUP(E9244,DATABASE!C:Q,7,false)</f>
        <v>2160000</v>
      </c>
      <c r="L9244" s="140">
        <v>2100000.0</v>
      </c>
      <c r="M9244" s="74">
        <f t="shared" si="6"/>
        <v>2100000</v>
      </c>
      <c r="N9244" s="74">
        <f t="shared" si="3"/>
        <v>200000</v>
      </c>
      <c r="O9244" s="65" t="str">
        <f>VLOOKUP(E9244,DATABASE!C:Q,8,false)</f>
        <v>BIAN</v>
      </c>
      <c r="P9244" s="65">
        <f>VLOOKUP(E9244,DATABASE!C:Q,9,False)</f>
        <v>1</v>
      </c>
      <c r="Q9244" s="93" t="str">
        <f>VLOOKUP(E9244,DATABASE!C:Q,4,false)</f>
        <v>Advance</v>
      </c>
      <c r="R9244" s="93" t="str">
        <f>VLOOKUP(E9244,DATABASE!C:Q,11,false)</f>
        <v>Tire</v>
      </c>
    </row>
    <row r="9245" ht="22.5" customHeight="1">
      <c r="A9245" s="49"/>
      <c r="C9245" s="400">
        <v>46199.0</v>
      </c>
      <c r="D9245" s="524">
        <v>153.0</v>
      </c>
      <c r="E9245" s="544" t="s">
        <v>268</v>
      </c>
      <c r="F9245" s="387">
        <v>2.0</v>
      </c>
      <c r="G9245" s="140">
        <v>720000.0</v>
      </c>
      <c r="H9245" s="74"/>
      <c r="I9245" s="74">
        <f t="shared" si="1"/>
        <v>1440000</v>
      </c>
      <c r="J9245" s="74">
        <f>IF(E9245="SERVICE",I9245-(I9245*50%),Vlookup(E9245,DATABASE!C:Q,10,false)*F9245)</f>
        <v>0</v>
      </c>
      <c r="K9245" s="74">
        <f>VLOOKUP(E9245,DATABASE!C:Q,7,false)</f>
        <v>653000</v>
      </c>
      <c r="L9245" s="74">
        <v>634500.0</v>
      </c>
      <c r="M9245" s="74">
        <f t="shared" si="6"/>
        <v>635000</v>
      </c>
      <c r="N9245" s="74">
        <f t="shared" si="3"/>
        <v>170000</v>
      </c>
      <c r="O9245" s="65" t="str">
        <f>VLOOKUP(E9245,DATABASE!C:Q,8,false)</f>
        <v>IBU</v>
      </c>
      <c r="P9245" s="65">
        <f>VLOOKUP(E9245,DATABASE!C:Q,9,False)</f>
        <v>1</v>
      </c>
      <c r="Q9245" s="93" t="str">
        <f>VLOOKUP(E9245,DATABASE!C:Q,4,false)</f>
        <v>Dunlop</v>
      </c>
      <c r="R9245" s="93" t="str">
        <f>VLOOKUP(E9245,DATABASE!C:Q,11,false)</f>
        <v>Tire</v>
      </c>
    </row>
    <row r="9246" ht="22.5" customHeight="1">
      <c r="A9246" s="49"/>
      <c r="C9246" s="400">
        <v>46199.0</v>
      </c>
      <c r="D9246" s="524">
        <v>154.0</v>
      </c>
      <c r="E9246" s="544" t="s">
        <v>932</v>
      </c>
      <c r="F9246" s="387">
        <v>2.0</v>
      </c>
      <c r="G9246" s="140">
        <v>690000.0</v>
      </c>
      <c r="H9246" s="74"/>
      <c r="I9246" s="74">
        <f t="shared" si="1"/>
        <v>1380000</v>
      </c>
      <c r="J9246" s="74">
        <f>IF(E9246="SERVICE",I9246-(I9246*50%),Vlookup(E9246,DATABASE!C:Q,10,false)*F9246)</f>
        <v>0</v>
      </c>
      <c r="K9246" s="74">
        <f>VLOOKUP(E9246,DATABASE!C:Q,7,false)</f>
        <v>601000</v>
      </c>
      <c r="L9246" s="74">
        <v>601000.0</v>
      </c>
      <c r="M9246" s="74">
        <f t="shared" si="6"/>
        <v>605000</v>
      </c>
      <c r="N9246" s="74">
        <f t="shared" si="3"/>
        <v>170000</v>
      </c>
      <c r="O9246" s="65" t="str">
        <f>VLOOKUP(E9246,DATABASE!C:Q,8,false)</f>
        <v>IBU</v>
      </c>
      <c r="P9246" s="65">
        <f>VLOOKUP(E9246,DATABASE!C:Q,9,False)</f>
        <v>1</v>
      </c>
      <c r="Q9246" s="93" t="str">
        <f>VLOOKUP(E9246,DATABASE!C:Q,4,false)</f>
        <v>Dunlop</v>
      </c>
      <c r="R9246" s="93" t="str">
        <f>VLOOKUP(E9246,DATABASE!C:Q,11,false)</f>
        <v>Tire</v>
      </c>
    </row>
    <row r="9247" ht="22.5" customHeight="1">
      <c r="A9247" s="49"/>
      <c r="C9247" s="400">
        <v>46199.0</v>
      </c>
      <c r="D9247" s="524">
        <v>154.0</v>
      </c>
      <c r="E9247" s="544" t="s">
        <v>256</v>
      </c>
      <c r="F9247" s="387">
        <v>1.0</v>
      </c>
      <c r="G9247" s="140">
        <v>175000.0</v>
      </c>
      <c r="H9247" s="140">
        <v>25000.0</v>
      </c>
      <c r="I9247" s="74">
        <f t="shared" si="1"/>
        <v>150000</v>
      </c>
      <c r="J9247" s="74">
        <f>IF(E9247="SERVICE",I9247-(I9247*50%),Vlookup(E9247,DATABASE!C:Q,10,false)*F9247)</f>
        <v>10000</v>
      </c>
      <c r="K9247" s="74">
        <f>VLOOKUP(E9247,DATABASE!C:Q,7,false)</f>
        <v>0</v>
      </c>
      <c r="L9247" s="74">
        <v>0.0</v>
      </c>
      <c r="M9247" s="74">
        <f t="shared" si="6"/>
        <v>0</v>
      </c>
      <c r="N9247" s="74">
        <f t="shared" si="3"/>
        <v>140000</v>
      </c>
      <c r="O9247" s="65" t="str">
        <f>VLOOKUP(E9247,DATABASE!C:Q,8,false)</f>
        <v>IBU</v>
      </c>
      <c r="P9247" s="65">
        <f>VLOOKUP(E9247,DATABASE!C:Q,9,False)</f>
        <v>0</v>
      </c>
      <c r="Q9247" s="93" t="str">
        <f>VLOOKUP(E9247,DATABASE!C:Q,4,false)</f>
        <v>SPOORING</v>
      </c>
      <c r="R9247" s="93" t="str">
        <f>VLOOKUP(E9247,DATABASE!C:Q,11,false)</f>
        <v>SERVICE</v>
      </c>
    </row>
    <row r="9248" ht="22.5" customHeight="1">
      <c r="A9248" s="49"/>
      <c r="C9248" s="400">
        <v>46199.0</v>
      </c>
      <c r="D9248" s="524">
        <v>154.0</v>
      </c>
      <c r="E9248" s="544" t="s">
        <v>299</v>
      </c>
      <c r="F9248" s="387">
        <v>2.0</v>
      </c>
      <c r="G9248" s="140">
        <v>30000.0</v>
      </c>
      <c r="H9248" s="74"/>
      <c r="I9248" s="74">
        <f t="shared" si="1"/>
        <v>60000</v>
      </c>
      <c r="J9248" s="74">
        <f>IF(E9248="SERVICE",I9248-(I9248*50%),Vlookup(E9248,DATABASE!C:Q,10,false)*F9248)</f>
        <v>0</v>
      </c>
      <c r="K9248" s="74">
        <f>VLOOKUP(E9248,DATABASE!C:Q,7,false)</f>
        <v>10000</v>
      </c>
      <c r="L9248" s="74">
        <v>10000.0</v>
      </c>
      <c r="M9248" s="74">
        <f t="shared" si="6"/>
        <v>10000</v>
      </c>
      <c r="N9248" s="74">
        <f t="shared" si="3"/>
        <v>40000</v>
      </c>
      <c r="O9248" s="65" t="str">
        <f>VLOOKUP(E9248,DATABASE!C:Q,8,false)</f>
        <v>BIAN</v>
      </c>
      <c r="P9248" s="65">
        <f>VLOOKUP(E9248,DATABASE!C:Q,9,False)</f>
        <v>0</v>
      </c>
      <c r="Q9248" s="93" t="str">
        <f>VLOOKUP(E9248,DATABASE!C:Q,4,false)</f>
        <v>Balancing</v>
      </c>
      <c r="R9248" s="93" t="str">
        <f>VLOOKUP(E9248,DATABASE!C:Q,11,false)</f>
        <v>COMPLEMENTARY</v>
      </c>
    </row>
    <row r="9249" ht="22.5" customHeight="1">
      <c r="A9249" s="49"/>
      <c r="C9249" s="400">
        <v>46199.0</v>
      </c>
      <c r="D9249" s="524">
        <v>154.0</v>
      </c>
      <c r="E9249" s="544" t="s">
        <v>287</v>
      </c>
      <c r="F9249" s="387">
        <v>2.0</v>
      </c>
      <c r="G9249" s="140">
        <v>800000.0</v>
      </c>
      <c r="H9249" s="74"/>
      <c r="I9249" s="74">
        <f t="shared" si="1"/>
        <v>1600000</v>
      </c>
      <c r="J9249" s="74">
        <f>IF(E9249="SERVICE",I9249-(I9249*50%),Vlookup(E9249,DATABASE!C:Q,10,false)*F9249)</f>
        <v>0</v>
      </c>
      <c r="K9249" s="74">
        <f>VLOOKUP(E9249,DATABASE!C:Q,7,false)</f>
        <v>711000</v>
      </c>
      <c r="L9249" s="74">
        <v>711000.0</v>
      </c>
      <c r="M9249" s="74">
        <f t="shared" si="6"/>
        <v>715000</v>
      </c>
      <c r="N9249" s="74">
        <f t="shared" si="3"/>
        <v>170000</v>
      </c>
      <c r="O9249" s="65" t="str">
        <f>VLOOKUP(E9249,DATABASE!C:Q,8,false)</f>
        <v>BIAN</v>
      </c>
      <c r="P9249" s="65">
        <f>VLOOKUP(E9249,DATABASE!C:Q,9,False)</f>
        <v>1</v>
      </c>
      <c r="Q9249" s="93" t="str">
        <f>VLOOKUP(E9249,DATABASE!C:Q,4,false)</f>
        <v>GT</v>
      </c>
      <c r="R9249" s="93" t="str">
        <f>VLOOKUP(E9249,DATABASE!C:Q,11,false)</f>
        <v>Tire</v>
      </c>
    </row>
    <row r="9250" ht="22.5" customHeight="1">
      <c r="A9250" s="49"/>
      <c r="C9250" s="400">
        <v>46199.0</v>
      </c>
      <c r="D9250" s="524">
        <v>156.0</v>
      </c>
      <c r="E9250" s="544" t="s">
        <v>932</v>
      </c>
      <c r="F9250" s="387">
        <v>2.0</v>
      </c>
      <c r="G9250" s="140">
        <v>690000.0</v>
      </c>
      <c r="H9250" s="74"/>
      <c r="I9250" s="74">
        <f t="shared" si="1"/>
        <v>1380000</v>
      </c>
      <c r="J9250" s="74">
        <f>IF(E9250="SERVICE",I9250-(I9250*50%),Vlookup(E9250,DATABASE!C:Q,10,false)*F9250)</f>
        <v>0</v>
      </c>
      <c r="K9250" s="74">
        <f>VLOOKUP(E9250,DATABASE!C:Q,7,false)</f>
        <v>601000</v>
      </c>
      <c r="L9250" s="74">
        <v>601000.0</v>
      </c>
      <c r="M9250" s="74">
        <f t="shared" si="6"/>
        <v>605000</v>
      </c>
      <c r="N9250" s="74">
        <f t="shared" si="3"/>
        <v>170000</v>
      </c>
      <c r="O9250" s="65" t="str">
        <f>VLOOKUP(E9250,DATABASE!C:Q,8,false)</f>
        <v>IBU</v>
      </c>
      <c r="P9250" s="65">
        <f>VLOOKUP(E9250,DATABASE!C:Q,9,False)</f>
        <v>1</v>
      </c>
      <c r="Q9250" s="93" t="str">
        <f>VLOOKUP(E9250,DATABASE!C:Q,4,false)</f>
        <v>Dunlop</v>
      </c>
      <c r="R9250" s="93" t="str">
        <f>VLOOKUP(E9250,DATABASE!C:Q,11,false)</f>
        <v>Tire</v>
      </c>
    </row>
    <row r="9251" ht="22.5" customHeight="1">
      <c r="A9251" s="49"/>
      <c r="C9251" s="400">
        <v>46199.0</v>
      </c>
      <c r="D9251" s="524">
        <v>157.0</v>
      </c>
      <c r="E9251" s="544" t="s">
        <v>932</v>
      </c>
      <c r="F9251" s="387">
        <v>1.0</v>
      </c>
      <c r="G9251" s="140">
        <v>690000.0</v>
      </c>
      <c r="H9251" s="74"/>
      <c r="I9251" s="74">
        <f t="shared" si="1"/>
        <v>690000</v>
      </c>
      <c r="J9251" s="74">
        <f>IF(E9251="SERVICE",I9251-(I9251*50%),Vlookup(E9251,DATABASE!C:Q,10,false)*F9251)</f>
        <v>0</v>
      </c>
      <c r="K9251" s="74">
        <f>VLOOKUP(E9251,DATABASE!C:Q,7,false)</f>
        <v>601000</v>
      </c>
      <c r="L9251" s="74">
        <v>601000.0</v>
      </c>
      <c r="M9251" s="74">
        <f t="shared" si="6"/>
        <v>605000</v>
      </c>
      <c r="N9251" s="74">
        <f t="shared" si="3"/>
        <v>85000</v>
      </c>
      <c r="O9251" s="65" t="str">
        <f>VLOOKUP(E9251,DATABASE!C:Q,8,false)</f>
        <v>IBU</v>
      </c>
      <c r="P9251" s="65">
        <f>VLOOKUP(E9251,DATABASE!C:Q,9,False)</f>
        <v>1</v>
      </c>
      <c r="Q9251" s="93" t="str">
        <f>VLOOKUP(E9251,DATABASE!C:Q,4,false)</f>
        <v>Dunlop</v>
      </c>
      <c r="R9251" s="93" t="str">
        <f>VLOOKUP(E9251,DATABASE!C:Q,11,false)</f>
        <v>Tire</v>
      </c>
    </row>
    <row r="9252" ht="22.5" customHeight="1">
      <c r="A9252" s="49"/>
      <c r="C9252" s="400">
        <v>46199.0</v>
      </c>
      <c r="D9252" s="524">
        <v>158.0</v>
      </c>
      <c r="E9252" s="544" t="s">
        <v>391</v>
      </c>
      <c r="F9252" s="387">
        <v>2.0</v>
      </c>
      <c r="G9252" s="140">
        <v>1985000.0</v>
      </c>
      <c r="H9252" s="74"/>
      <c r="I9252" s="74">
        <f t="shared" si="1"/>
        <v>3970000</v>
      </c>
      <c r="J9252" s="74">
        <f>IF(E9252="SERVICE",I9252-(I9252*50%),Vlookup(E9252,DATABASE!C:Q,10,false)*F9252)</f>
        <v>0</v>
      </c>
      <c r="K9252" s="74">
        <f>VLOOKUP(E9252,DATABASE!C:Q,7,false)</f>
        <v>1885000</v>
      </c>
      <c r="L9252" s="74">
        <v>1885000.0</v>
      </c>
      <c r="M9252" s="74">
        <f t="shared" si="6"/>
        <v>1885000</v>
      </c>
      <c r="N9252" s="74">
        <f t="shared" si="3"/>
        <v>200000</v>
      </c>
      <c r="O9252" s="65" t="str">
        <f>VLOOKUP(E9252,DATABASE!C:Q,8,false)</f>
        <v>BIAN</v>
      </c>
      <c r="P9252" s="65">
        <f>VLOOKUP(E9252,DATABASE!C:Q,9,False)</f>
        <v>1</v>
      </c>
      <c r="Q9252" s="93" t="str">
        <f>VLOOKUP(E9252,DATABASE!C:Q,4,false)</f>
        <v>Advance</v>
      </c>
      <c r="R9252" s="93" t="str">
        <f>VLOOKUP(E9252,DATABASE!C:Q,11,false)</f>
        <v>Tire</v>
      </c>
    </row>
    <row r="9253" ht="22.5" customHeight="1">
      <c r="A9253" s="49"/>
      <c r="C9253" s="400">
        <v>46199.0</v>
      </c>
      <c r="D9253" s="524">
        <v>159.0</v>
      </c>
      <c r="E9253" s="544" t="s">
        <v>262</v>
      </c>
      <c r="F9253" s="387">
        <v>1.0</v>
      </c>
      <c r="G9253" s="140">
        <v>130000.0</v>
      </c>
      <c r="H9253" s="74"/>
      <c r="I9253" s="74">
        <f t="shared" si="1"/>
        <v>130000</v>
      </c>
      <c r="J9253" s="74">
        <f>IF(E9253="SERVICE",I9253-(I9253*50%),Vlookup(E9253,DATABASE!C:Q,10,false)*F9253)</f>
        <v>5000</v>
      </c>
      <c r="K9253" s="74">
        <f>VLOOKUP(E9253,DATABASE!C:Q,7,false)</f>
        <v>0</v>
      </c>
      <c r="L9253" s="74">
        <v>0.0</v>
      </c>
      <c r="M9253" s="74">
        <f t="shared" si="6"/>
        <v>0</v>
      </c>
      <c r="N9253" s="74">
        <f t="shared" si="3"/>
        <v>125000</v>
      </c>
      <c r="O9253" s="65" t="str">
        <f>VLOOKUP(E9253,DATABASE!C:Q,8,false)</f>
        <v>IBU</v>
      </c>
      <c r="P9253" s="65">
        <f>VLOOKUP(E9253,DATABASE!C:Q,9,False)</f>
        <v>0</v>
      </c>
      <c r="Q9253" s="93" t="str">
        <f>VLOOKUP(E9253,DATABASE!C:Q,4,false)</f>
        <v>SPOORING SS/CARRY LOS BAK</v>
      </c>
      <c r="R9253" s="93" t="str">
        <f>VLOOKUP(E9253,DATABASE!C:Q,11,false)</f>
        <v>SERVICE</v>
      </c>
    </row>
    <row r="9254" ht="22.5" customHeight="1">
      <c r="A9254" s="49"/>
      <c r="C9254" s="400">
        <v>46199.0</v>
      </c>
      <c r="D9254" s="524">
        <v>159.0</v>
      </c>
      <c r="E9254" s="544" t="s">
        <v>2206</v>
      </c>
      <c r="F9254" s="387">
        <v>1.0</v>
      </c>
      <c r="G9254" s="140">
        <v>200000.0</v>
      </c>
      <c r="H9254" s="74"/>
      <c r="I9254" s="74">
        <f t="shared" si="1"/>
        <v>200000</v>
      </c>
      <c r="J9254" s="74">
        <f>IF(E9254="SERVICE",I9254-(I9254*50%),Vlookup(E9254,DATABASE!C:Q,10,false)*F9254)</f>
        <v>40000</v>
      </c>
      <c r="K9254" s="74">
        <f>VLOOKUP(E9254,DATABASE!C:Q,7,false)</f>
        <v>95450</v>
      </c>
      <c r="L9254" s="74">
        <v>95450.0</v>
      </c>
      <c r="M9254" s="74">
        <f t="shared" si="6"/>
        <v>100000</v>
      </c>
      <c r="N9254" s="74">
        <f t="shared" si="3"/>
        <v>60000</v>
      </c>
      <c r="O9254" s="65" t="str">
        <f>VLOOKUP(E9254,DATABASE!C:Q,8,false)</f>
        <v>IBU</v>
      </c>
      <c r="P9254" s="65">
        <f>VLOOKUP(E9254,DATABASE!C:Q,9,False)</f>
        <v>1</v>
      </c>
      <c r="Q9254" s="93" t="str">
        <f>VLOOKUP(E9254,DATABASE!C:Q,4,false)</f>
        <v>TIEROD</v>
      </c>
      <c r="R9254" s="93" t="str">
        <f>VLOOKUP(E9254,DATABASE!C:Q,11,false)</f>
        <v>COMPLEMENTARY</v>
      </c>
    </row>
    <row r="9255" ht="22.5" customHeight="1">
      <c r="A9255" s="49"/>
      <c r="C9255" s="400">
        <v>46199.0</v>
      </c>
      <c r="D9255" s="69" t="s">
        <v>2853</v>
      </c>
      <c r="E9255" s="544" t="s">
        <v>248</v>
      </c>
      <c r="F9255" s="387">
        <v>1.0</v>
      </c>
      <c r="G9255" s="140">
        <v>250000.0</v>
      </c>
      <c r="H9255" s="74"/>
      <c r="I9255" s="74">
        <f t="shared" si="1"/>
        <v>250000</v>
      </c>
      <c r="J9255" s="74">
        <f>IF(E9255="SERVICE",I9255-(I9255*50%),Vlookup(E9255,DATABASE!C:Q,10,false)*F9255)</f>
        <v>0</v>
      </c>
      <c r="K9255" s="74">
        <f>VLOOKUP(E9255,DATABASE!C:Q,7,false)</f>
        <v>209816.66</v>
      </c>
      <c r="L9255" s="74">
        <v>209816.66</v>
      </c>
      <c r="M9255" s="74">
        <f t="shared" si="6"/>
        <v>210000</v>
      </c>
      <c r="N9255" s="74">
        <f t="shared" si="3"/>
        <v>40000</v>
      </c>
      <c r="O9255" s="65" t="str">
        <f>VLOOKUP(E9255,DATABASE!C:Q,8,false)</f>
        <v>NON</v>
      </c>
      <c r="P9255" s="65">
        <f>VLOOKUP(E9255,DATABASE!C:Q,9,False)</f>
        <v>0</v>
      </c>
      <c r="Q9255" s="93" t="str">
        <f>VLOOKUP(E9255,DATABASE!C:Q,4,false)</f>
        <v>Pertamina</v>
      </c>
      <c r="R9255" s="93" t="str">
        <f>VLOOKUP(E9255,DATABASE!C:Q,11,false)</f>
        <v>OIL</v>
      </c>
    </row>
    <row r="9256" ht="22.5" customHeight="1">
      <c r="A9256" s="29"/>
      <c r="C9256" s="400">
        <v>46200.0</v>
      </c>
      <c r="D9256" s="524">
        <v>160.0</v>
      </c>
      <c r="E9256" s="544" t="s">
        <v>695</v>
      </c>
      <c r="F9256" s="387">
        <v>1.0</v>
      </c>
      <c r="G9256" s="140">
        <v>675000.0</v>
      </c>
      <c r="H9256" s="74"/>
      <c r="I9256" s="74">
        <f t="shared" si="1"/>
        <v>675000</v>
      </c>
      <c r="J9256" s="74">
        <f>IF(E9256="SERVICE",I9256-(I9256*50%),Vlookup(E9256,DATABASE!C:Q,10,false)*F9256)</f>
        <v>0</v>
      </c>
      <c r="K9256" s="74">
        <f>VLOOKUP(E9256,DATABASE!C:Q,7,false)</f>
        <v>582000</v>
      </c>
      <c r="L9256" s="74">
        <v>582000.0</v>
      </c>
      <c r="M9256" s="74">
        <f t="shared" si="6"/>
        <v>585000</v>
      </c>
      <c r="N9256" s="74">
        <f t="shared" si="3"/>
        <v>90000</v>
      </c>
      <c r="O9256" s="65" t="str">
        <f>VLOOKUP(E9256,DATABASE!C:Q,8,false)</f>
        <v>IBU</v>
      </c>
      <c r="P9256" s="65">
        <f>VLOOKUP(E9256,DATABASE!C:Q,9,False)</f>
        <v>1</v>
      </c>
      <c r="Q9256" s="93" t="str">
        <f>VLOOKUP(E9256,DATABASE!C:Q,4,false)</f>
        <v>Dunlop</v>
      </c>
      <c r="R9256" s="93" t="str">
        <f>VLOOKUP(E9256,DATABASE!C:Q,11,false)</f>
        <v>Tire</v>
      </c>
    </row>
    <row r="9257" ht="22.5" customHeight="1">
      <c r="A9257" s="29"/>
      <c r="C9257" s="400">
        <v>46200.0</v>
      </c>
      <c r="D9257" s="524">
        <v>161.0</v>
      </c>
      <c r="E9257" s="544" t="s">
        <v>569</v>
      </c>
      <c r="F9257" s="387">
        <v>1.0</v>
      </c>
      <c r="G9257" s="140">
        <v>80000.0</v>
      </c>
      <c r="H9257" s="74"/>
      <c r="I9257" s="74">
        <f t="shared" si="1"/>
        <v>80000</v>
      </c>
      <c r="J9257" s="74">
        <f>IF(E9257="SERVICE",I9257-(I9257*50%),Vlookup(E9257,DATABASE!C:Q,10,false)*F9257)</f>
        <v>0</v>
      </c>
      <c r="K9257" s="74">
        <f>VLOOKUP(E9257,DATABASE!C:Q,7,false)</f>
        <v>45439.582</v>
      </c>
      <c r="L9257" s="74">
        <v>45439.582</v>
      </c>
      <c r="M9257" s="74">
        <f t="shared" si="6"/>
        <v>50000</v>
      </c>
      <c r="N9257" s="74">
        <f t="shared" si="3"/>
        <v>30000</v>
      </c>
      <c r="O9257" s="65" t="str">
        <f>VLOOKUP(E9257,DATABASE!C:Q,8,false)</f>
        <v>BIAN</v>
      </c>
      <c r="P9257" s="65">
        <f>VLOOKUP(E9257,DATABASE!C:Q,9,False)</f>
        <v>1</v>
      </c>
      <c r="Q9257" s="93" t="str">
        <f>VLOOKUP(E9257,DATABASE!C:Q,4,false)</f>
        <v>BD</v>
      </c>
      <c r="R9257" s="93" t="str">
        <f>VLOOKUP(E9257,DATABASE!C:Q,11,false)</f>
        <v>Tire</v>
      </c>
    </row>
    <row r="9258" ht="22.5" customHeight="1">
      <c r="A9258" s="49"/>
      <c r="C9258" s="400">
        <v>46200.0</v>
      </c>
      <c r="D9258" s="524">
        <v>162.0</v>
      </c>
      <c r="E9258" s="544" t="s">
        <v>268</v>
      </c>
      <c r="F9258" s="387">
        <v>2.0</v>
      </c>
      <c r="G9258" s="140">
        <v>720000.0</v>
      </c>
      <c r="H9258" s="74"/>
      <c r="I9258" s="74">
        <f t="shared" si="1"/>
        <v>1440000</v>
      </c>
      <c r="J9258" s="74">
        <f>IF(E9258="SERVICE",I9258-(I9258*50%),Vlookup(E9258,DATABASE!C:Q,10,false)*F9258)</f>
        <v>0</v>
      </c>
      <c r="K9258" s="74">
        <f>VLOOKUP(E9258,DATABASE!C:Q,7,false)</f>
        <v>653000</v>
      </c>
      <c r="L9258" s="74">
        <v>634500.0</v>
      </c>
      <c r="M9258" s="74">
        <f t="shared" si="6"/>
        <v>635000</v>
      </c>
      <c r="N9258" s="74">
        <f t="shared" si="3"/>
        <v>170000</v>
      </c>
      <c r="O9258" s="65" t="str">
        <f>VLOOKUP(E9258,DATABASE!C:Q,8,false)</f>
        <v>IBU</v>
      </c>
      <c r="P9258" s="65">
        <f>VLOOKUP(E9258,DATABASE!C:Q,9,False)</f>
        <v>1</v>
      </c>
      <c r="Q9258" s="93" t="str">
        <f>VLOOKUP(E9258,DATABASE!C:Q,4,false)</f>
        <v>Dunlop</v>
      </c>
      <c r="R9258" s="93" t="str">
        <f>VLOOKUP(E9258,DATABASE!C:Q,11,false)</f>
        <v>Tire</v>
      </c>
    </row>
    <row r="9259" ht="22.5" customHeight="1">
      <c r="A9259" s="49"/>
      <c r="C9259" s="400">
        <v>46200.0</v>
      </c>
      <c r="D9259" s="524">
        <v>163.0</v>
      </c>
      <c r="E9259" s="544" t="s">
        <v>295</v>
      </c>
      <c r="F9259" s="387">
        <v>4.0</v>
      </c>
      <c r="G9259" s="140">
        <v>1575000.0</v>
      </c>
      <c r="H9259" s="140">
        <v>15000.0</v>
      </c>
      <c r="I9259" s="74">
        <f t="shared" si="1"/>
        <v>6240000</v>
      </c>
      <c r="J9259" s="74">
        <f>IF(E9259="SERVICE",I9259-(I9259*50%),Vlookup(E9259,DATABASE!C:Q,10,false)*F9259)</f>
        <v>0</v>
      </c>
      <c r="K9259" s="74">
        <f>VLOOKUP(E9259,DATABASE!C:Q,7,false)</f>
        <v>1475000</v>
      </c>
      <c r="L9259" s="74">
        <v>1475000.0</v>
      </c>
      <c r="M9259" s="74">
        <f t="shared" si="6"/>
        <v>1475000</v>
      </c>
      <c r="N9259" s="74">
        <f t="shared" si="3"/>
        <v>340000</v>
      </c>
      <c r="O9259" s="65" t="str">
        <f>VLOOKUP(E9259,DATABASE!C:Q,8,false)</f>
        <v>BIAN</v>
      </c>
      <c r="P9259" s="65">
        <f>VLOOKUP(E9259,DATABASE!C:Q,9,False)</f>
        <v>1</v>
      </c>
      <c r="Q9259" s="93" t="str">
        <f>VLOOKUP(E9259,DATABASE!C:Q,4,false)</f>
        <v>TIRON</v>
      </c>
      <c r="R9259" s="93" t="str">
        <f>VLOOKUP(E9259,DATABASE!C:Q,11,false)</f>
        <v>Tire</v>
      </c>
    </row>
    <row r="9260" ht="22.5" customHeight="1">
      <c r="A9260" s="49"/>
      <c r="C9260" s="400">
        <v>46200.0</v>
      </c>
      <c r="D9260" s="524">
        <v>165.0</v>
      </c>
      <c r="E9260" s="544" t="s">
        <v>256</v>
      </c>
      <c r="F9260" s="387">
        <v>1.0</v>
      </c>
      <c r="G9260" s="140">
        <v>175000.0</v>
      </c>
      <c r="H9260" s="140">
        <v>25000.0</v>
      </c>
      <c r="I9260" s="74">
        <f t="shared" si="1"/>
        <v>150000</v>
      </c>
      <c r="J9260" s="74">
        <f>IF(E9260="SERVICE",I9260-(I9260*50%),Vlookup(E9260,DATABASE!C:Q,10,false)*F9260)</f>
        <v>10000</v>
      </c>
      <c r="K9260" s="74">
        <f>VLOOKUP(E9260,DATABASE!C:Q,7,false)</f>
        <v>0</v>
      </c>
      <c r="L9260" s="74">
        <v>0.0</v>
      </c>
      <c r="M9260" s="74">
        <f t="shared" si="6"/>
        <v>0</v>
      </c>
      <c r="N9260" s="74">
        <f t="shared" si="3"/>
        <v>140000</v>
      </c>
      <c r="O9260" s="65" t="str">
        <f>VLOOKUP(E9260,DATABASE!C:Q,8,false)</f>
        <v>IBU</v>
      </c>
      <c r="P9260" s="65">
        <f>VLOOKUP(E9260,DATABASE!C:Q,9,False)</f>
        <v>0</v>
      </c>
      <c r="Q9260" s="93" t="str">
        <f>VLOOKUP(E9260,DATABASE!C:Q,4,false)</f>
        <v>SPOORING</v>
      </c>
      <c r="R9260" s="93" t="str">
        <f>VLOOKUP(E9260,DATABASE!C:Q,11,false)</f>
        <v>SERVICE</v>
      </c>
    </row>
    <row r="9261" ht="22.5" customHeight="1">
      <c r="A9261" s="49"/>
      <c r="C9261" s="400">
        <v>46200.0</v>
      </c>
      <c r="D9261" s="524">
        <v>165.0</v>
      </c>
      <c r="E9261" s="544" t="s">
        <v>251</v>
      </c>
      <c r="F9261" s="387">
        <v>1.0</v>
      </c>
      <c r="G9261" s="140">
        <v>350000.0</v>
      </c>
      <c r="H9261" s="140">
        <v>200000.0</v>
      </c>
      <c r="I9261" s="74">
        <f t="shared" si="1"/>
        <v>150000</v>
      </c>
      <c r="J9261" s="74">
        <f>IF(E9261="SERVICE",I9261-(I9261*50%),Vlookup(E9261,DATABASE!C:Q,10,false)*F9261)</f>
        <v>75000</v>
      </c>
      <c r="K9261" s="74">
        <f>VLOOKUP(E9261,DATABASE!C:Q,7,false)</f>
        <v>0</v>
      </c>
      <c r="L9261" s="74">
        <v>0.0</v>
      </c>
      <c r="M9261" s="74">
        <f t="shared" si="6"/>
        <v>0</v>
      </c>
      <c r="N9261" s="74">
        <f t="shared" si="3"/>
        <v>75000</v>
      </c>
      <c r="O9261" s="65" t="str">
        <f>VLOOKUP(E9261,DATABASE!C:Q,8,false)</f>
        <v>IBU</v>
      </c>
      <c r="P9261" s="65">
        <f>VLOOKUP(E9261,DATABASE!C:Q,9,False)</f>
        <v>0</v>
      </c>
      <c r="Q9261" s="93" t="str">
        <f>VLOOKUP(E9261,DATABASE!C:Q,4,false)</f>
        <v>SERVICE</v>
      </c>
      <c r="R9261" s="93" t="str">
        <f>VLOOKUP(E9261,DATABASE!C:Q,11,false)</f>
        <v>SERVICE</v>
      </c>
    </row>
    <row r="9262" ht="22.5" customHeight="1">
      <c r="A9262" s="49"/>
      <c r="C9262" s="400">
        <v>46200.0</v>
      </c>
      <c r="D9262" s="524">
        <v>166.0</v>
      </c>
      <c r="E9262" s="544" t="s">
        <v>940</v>
      </c>
      <c r="F9262" s="387">
        <v>1.0</v>
      </c>
      <c r="G9262" s="140">
        <v>820000.0</v>
      </c>
      <c r="H9262" s="74"/>
      <c r="I9262" s="74">
        <f t="shared" si="1"/>
        <v>820000</v>
      </c>
      <c r="J9262" s="74">
        <f>IF(E9262="SERVICE",I9262-(I9262*50%),Vlookup(E9262,DATABASE!C:Q,10,false)*F9262)</f>
        <v>0</v>
      </c>
      <c r="K9262" s="74">
        <f>VLOOKUP(E9262,DATABASE!C:Q,7,false)</f>
        <v>716500</v>
      </c>
      <c r="L9262" s="74">
        <v>716500.0</v>
      </c>
      <c r="M9262" s="74">
        <f t="shared" si="6"/>
        <v>720000</v>
      </c>
      <c r="N9262" s="74">
        <f t="shared" si="3"/>
        <v>100000</v>
      </c>
      <c r="O9262" s="65" t="str">
        <f>VLOOKUP(E9262,DATABASE!C:Q,8,false)</f>
        <v>IBU</v>
      </c>
      <c r="P9262" s="65">
        <f>VLOOKUP(E9262,DATABASE!C:Q,9,False)</f>
        <v>1</v>
      </c>
      <c r="Q9262" s="93" t="str">
        <f>VLOOKUP(E9262,DATABASE!C:Q,4,false)</f>
        <v>Dunlop</v>
      </c>
      <c r="R9262" s="93" t="str">
        <f>VLOOKUP(E9262,DATABASE!C:Q,11,false)</f>
        <v>Tire</v>
      </c>
    </row>
    <row r="9263" ht="22.5" customHeight="1">
      <c r="A9263" s="49"/>
      <c r="C9263" s="400">
        <v>46200.0</v>
      </c>
      <c r="D9263" s="524">
        <v>166.0</v>
      </c>
      <c r="E9263" s="544" t="s">
        <v>299</v>
      </c>
      <c r="F9263" s="387">
        <v>2.0</v>
      </c>
      <c r="G9263" s="140">
        <v>30000.0</v>
      </c>
      <c r="H9263" s="74"/>
      <c r="I9263" s="74">
        <f t="shared" si="1"/>
        <v>60000</v>
      </c>
      <c r="J9263" s="74">
        <f>IF(E9263="SERVICE",I9263-(I9263*50%),Vlookup(E9263,DATABASE!C:Q,10,false)*F9263)</f>
        <v>0</v>
      </c>
      <c r="K9263" s="74">
        <f>VLOOKUP(E9263,DATABASE!C:Q,7,false)</f>
        <v>10000</v>
      </c>
      <c r="L9263" s="74">
        <v>10000.0</v>
      </c>
      <c r="M9263" s="74">
        <f t="shared" si="6"/>
        <v>10000</v>
      </c>
      <c r="N9263" s="74">
        <f t="shared" si="3"/>
        <v>40000</v>
      </c>
      <c r="O9263" s="65" t="str">
        <f>VLOOKUP(E9263,DATABASE!C:Q,8,false)</f>
        <v>BIAN</v>
      </c>
      <c r="P9263" s="65">
        <f>VLOOKUP(E9263,DATABASE!C:Q,9,False)</f>
        <v>0</v>
      </c>
      <c r="Q9263" s="93" t="str">
        <f>VLOOKUP(E9263,DATABASE!C:Q,4,false)</f>
        <v>Balancing</v>
      </c>
      <c r="R9263" s="93" t="str">
        <f>VLOOKUP(E9263,DATABASE!C:Q,11,false)</f>
        <v>COMPLEMENTARY</v>
      </c>
    </row>
    <row r="9264" ht="22.5" customHeight="1">
      <c r="A9264" s="49"/>
      <c r="C9264" s="400">
        <v>46200.0</v>
      </c>
      <c r="D9264" s="524">
        <v>167.0</v>
      </c>
      <c r="E9264" s="544" t="s">
        <v>288</v>
      </c>
      <c r="F9264" s="387">
        <v>1.0</v>
      </c>
      <c r="G9264" s="140">
        <v>630000.0</v>
      </c>
      <c r="H9264" s="74"/>
      <c r="I9264" s="74">
        <f t="shared" si="1"/>
        <v>630000</v>
      </c>
      <c r="J9264" s="74">
        <f>IF(E9264="SERVICE",I9264-(I9264*50%),Vlookup(E9264,DATABASE!C:Q,10,false)*F9264)</f>
        <v>0</v>
      </c>
      <c r="K9264" s="74">
        <f>VLOOKUP(E9264,DATABASE!C:Q,7,false)</f>
        <v>565760</v>
      </c>
      <c r="L9264" s="74">
        <v>540500.0</v>
      </c>
      <c r="M9264" s="74">
        <f t="shared" si="6"/>
        <v>545000</v>
      </c>
      <c r="N9264" s="74">
        <f t="shared" si="3"/>
        <v>85000</v>
      </c>
      <c r="O9264" s="65" t="str">
        <f>VLOOKUP(E9264,DATABASE!C:Q,8,false)</f>
        <v>BIAN</v>
      </c>
      <c r="P9264" s="65">
        <f>VLOOKUP(E9264,DATABASE!C:Q,9,False)</f>
        <v>1</v>
      </c>
      <c r="Q9264" s="93" t="str">
        <f>VLOOKUP(E9264,DATABASE!C:Q,4,false)</f>
        <v>GT</v>
      </c>
      <c r="R9264" s="93" t="str">
        <f>VLOOKUP(E9264,DATABASE!C:Q,11,false)</f>
        <v>Tire</v>
      </c>
    </row>
    <row r="9265" ht="22.5" customHeight="1">
      <c r="A9265" s="49"/>
      <c r="C9265" s="400">
        <v>46200.0</v>
      </c>
      <c r="D9265" s="524">
        <v>168.0</v>
      </c>
      <c r="E9265" s="544" t="s">
        <v>2140</v>
      </c>
      <c r="F9265" s="387">
        <v>1.0</v>
      </c>
      <c r="G9265" s="140">
        <v>35000.0</v>
      </c>
      <c r="H9265" s="140">
        <v>5000.0</v>
      </c>
      <c r="I9265" s="74">
        <f t="shared" si="1"/>
        <v>30000</v>
      </c>
      <c r="J9265" s="74">
        <f>IF(E9265="SERVICE",I9265-(I9265*50%),Vlookup(E9265,DATABASE!C:Q,10,false)*F9265)</f>
        <v>0</v>
      </c>
      <c r="K9265" s="74">
        <f>VLOOKUP(E9265,DATABASE!C:Q,7,false)</f>
        <v>5000</v>
      </c>
      <c r="L9265" s="74">
        <v>0.0</v>
      </c>
      <c r="M9265" s="74">
        <f t="shared" si="6"/>
        <v>0</v>
      </c>
      <c r="N9265" s="74">
        <f t="shared" si="3"/>
        <v>30000</v>
      </c>
      <c r="O9265" s="65" t="str">
        <f>VLOOKUP(E9265,DATABASE!C:Q,8,false)</f>
        <v>IBU</v>
      </c>
      <c r="P9265" s="65">
        <f>VLOOKUP(E9265,DATABASE!C:Q,9,False)</f>
        <v>0</v>
      </c>
      <c r="Q9265" s="93" t="str">
        <f>VLOOKUP(E9265,DATABASE!C:Q,4,false)</f>
        <v>PENTIL + PASANG</v>
      </c>
      <c r="R9265" s="93" t="str">
        <f>VLOOKUP(E9265,DATABASE!C:Q,11,false)</f>
        <v>COMPLEMENTARY</v>
      </c>
    </row>
    <row r="9266" ht="22.5" customHeight="1">
      <c r="A9266" s="49"/>
      <c r="C9266" s="400">
        <v>46200.0</v>
      </c>
      <c r="D9266" s="524">
        <v>169.0</v>
      </c>
      <c r="E9266" s="544" t="s">
        <v>275</v>
      </c>
      <c r="F9266" s="387">
        <v>2.0</v>
      </c>
      <c r="G9266" s="140">
        <v>850000.0</v>
      </c>
      <c r="H9266" s="74"/>
      <c r="I9266" s="74">
        <f t="shared" si="1"/>
        <v>1700000</v>
      </c>
      <c r="J9266" s="74">
        <f>IF(E9266="SERVICE",I9266-(I9266*50%),Vlookup(E9266,DATABASE!C:Q,10,false)*F9266)</f>
        <v>0</v>
      </c>
      <c r="K9266" s="74">
        <f>VLOOKUP(E9266,DATABASE!C:Q,7,false)</f>
        <v>782000</v>
      </c>
      <c r="L9266" s="74">
        <v>759500.0</v>
      </c>
      <c r="M9266" s="74">
        <f t="shared" si="6"/>
        <v>760000</v>
      </c>
      <c r="N9266" s="74">
        <f t="shared" si="3"/>
        <v>180000</v>
      </c>
      <c r="O9266" s="65" t="str">
        <f>VLOOKUP(E9266,DATABASE!C:Q,8,false)</f>
        <v>IBU</v>
      </c>
      <c r="P9266" s="65">
        <f>VLOOKUP(E9266,DATABASE!C:Q,9,False)</f>
        <v>1</v>
      </c>
      <c r="Q9266" s="93" t="str">
        <f>VLOOKUP(E9266,DATABASE!C:Q,4,false)</f>
        <v>Dunlop</v>
      </c>
      <c r="R9266" s="93" t="str">
        <f>VLOOKUP(E9266,DATABASE!C:Q,11,false)</f>
        <v>Tire</v>
      </c>
    </row>
    <row r="9267" ht="22.5" customHeight="1">
      <c r="A9267" s="49"/>
      <c r="C9267" s="400">
        <v>46200.0</v>
      </c>
      <c r="D9267" s="524">
        <v>170.0</v>
      </c>
      <c r="E9267" s="544" t="s">
        <v>256</v>
      </c>
      <c r="F9267" s="387">
        <v>1.0</v>
      </c>
      <c r="G9267" s="140">
        <v>175000.0</v>
      </c>
      <c r="H9267" s="140">
        <v>25000.0</v>
      </c>
      <c r="I9267" s="74">
        <f t="shared" si="1"/>
        <v>150000</v>
      </c>
      <c r="J9267" s="74">
        <f>IF(E9267="SERVICE",I9267-(I9267*50%),Vlookup(E9267,DATABASE!C:Q,10,false)*F9267)</f>
        <v>10000</v>
      </c>
      <c r="K9267" s="74">
        <f>VLOOKUP(E9267,DATABASE!C:Q,7,false)</f>
        <v>0</v>
      </c>
      <c r="L9267" s="74">
        <v>0.0</v>
      </c>
      <c r="M9267" s="74">
        <f t="shared" si="6"/>
        <v>0</v>
      </c>
      <c r="N9267" s="74">
        <f t="shared" si="3"/>
        <v>140000</v>
      </c>
      <c r="O9267" s="65" t="str">
        <f>VLOOKUP(E9267,DATABASE!C:Q,8,false)</f>
        <v>IBU</v>
      </c>
      <c r="P9267" s="65">
        <f>VLOOKUP(E9267,DATABASE!C:Q,9,False)</f>
        <v>0</v>
      </c>
      <c r="Q9267" s="93" t="str">
        <f>VLOOKUP(E9267,DATABASE!C:Q,4,false)</f>
        <v>SPOORING</v>
      </c>
      <c r="R9267" s="93" t="str">
        <f>VLOOKUP(E9267,DATABASE!C:Q,11,false)</f>
        <v>SERVICE</v>
      </c>
    </row>
    <row r="9268" ht="22.5" customHeight="1">
      <c r="A9268" s="49"/>
      <c r="C9268" s="400">
        <v>46200.0</v>
      </c>
      <c r="D9268" s="524">
        <v>170.0</v>
      </c>
      <c r="E9268" s="544" t="s">
        <v>251</v>
      </c>
      <c r="F9268" s="387">
        <v>1.0</v>
      </c>
      <c r="G9268" s="140">
        <v>350000.0</v>
      </c>
      <c r="H9268" s="140">
        <v>200000.0</v>
      </c>
      <c r="I9268" s="74">
        <f t="shared" si="1"/>
        <v>150000</v>
      </c>
      <c r="J9268" s="74">
        <f>IF(E9268="SERVICE",I9268-(I9268*50%),Vlookup(E9268,DATABASE!C:Q,10,false)*F9268)</f>
        <v>75000</v>
      </c>
      <c r="K9268" s="74">
        <f>VLOOKUP(E9268,DATABASE!C:Q,7,false)</f>
        <v>0</v>
      </c>
      <c r="L9268" s="74">
        <v>0.0</v>
      </c>
      <c r="M9268" s="74">
        <f t="shared" si="6"/>
        <v>0</v>
      </c>
      <c r="N9268" s="74">
        <f t="shared" si="3"/>
        <v>75000</v>
      </c>
      <c r="O9268" s="65" t="str">
        <f>VLOOKUP(E9268,DATABASE!C:Q,8,false)</f>
        <v>IBU</v>
      </c>
      <c r="P9268" s="65">
        <f>VLOOKUP(E9268,DATABASE!C:Q,9,False)</f>
        <v>0</v>
      </c>
      <c r="Q9268" s="93" t="str">
        <f>VLOOKUP(E9268,DATABASE!C:Q,4,false)</f>
        <v>SERVICE</v>
      </c>
      <c r="R9268" s="93" t="str">
        <f>VLOOKUP(E9268,DATABASE!C:Q,11,false)</f>
        <v>SERVICE</v>
      </c>
    </row>
    <row r="9269" ht="22.5" customHeight="1">
      <c r="A9269" s="49"/>
      <c r="C9269" s="400">
        <v>46200.0</v>
      </c>
      <c r="D9269" s="524">
        <v>171.0</v>
      </c>
      <c r="E9269" s="544" t="s">
        <v>299</v>
      </c>
      <c r="F9269" s="387">
        <v>2.0</v>
      </c>
      <c r="G9269" s="140">
        <v>30000.0</v>
      </c>
      <c r="H9269" s="74"/>
      <c r="I9269" s="74">
        <f t="shared" si="1"/>
        <v>60000</v>
      </c>
      <c r="J9269" s="74">
        <f>IF(E9269="SERVICE",I9269-(I9269*50%),Vlookup(E9269,DATABASE!C:Q,10,false)*F9269)</f>
        <v>0</v>
      </c>
      <c r="K9269" s="74">
        <f>VLOOKUP(E9269,DATABASE!C:Q,7,false)</f>
        <v>10000</v>
      </c>
      <c r="L9269" s="74">
        <v>10000.0</v>
      </c>
      <c r="M9269" s="74">
        <f t="shared" si="6"/>
        <v>10000</v>
      </c>
      <c r="N9269" s="74">
        <f t="shared" si="3"/>
        <v>40000</v>
      </c>
      <c r="O9269" s="65" t="str">
        <f>VLOOKUP(E9269,DATABASE!C:Q,8,false)</f>
        <v>BIAN</v>
      </c>
      <c r="P9269" s="65">
        <f>VLOOKUP(E9269,DATABASE!C:Q,9,False)</f>
        <v>0</v>
      </c>
      <c r="Q9269" s="93" t="str">
        <f>VLOOKUP(E9269,DATABASE!C:Q,4,false)</f>
        <v>Balancing</v>
      </c>
      <c r="R9269" s="93" t="str">
        <f>VLOOKUP(E9269,DATABASE!C:Q,11,false)</f>
        <v>COMPLEMENTARY</v>
      </c>
    </row>
    <row r="9270" ht="22.5" customHeight="1">
      <c r="A9270" s="49"/>
      <c r="C9270" s="400">
        <v>46200.0</v>
      </c>
      <c r="D9270" s="524">
        <v>172.0</v>
      </c>
      <c r="E9270" s="544" t="s">
        <v>968</v>
      </c>
      <c r="F9270" s="387">
        <v>1.0</v>
      </c>
      <c r="G9270" s="140">
        <v>675000.0</v>
      </c>
      <c r="H9270" s="74"/>
      <c r="I9270" s="74">
        <f t="shared" si="1"/>
        <v>675000</v>
      </c>
      <c r="J9270" s="74">
        <f>IF(E9270="SERVICE",I9270-(I9270*50%),Vlookup(E9270,DATABASE!C:Q,10,false)*F9270)</f>
        <v>0</v>
      </c>
      <c r="K9270" s="74">
        <f>VLOOKUP(E9270,DATABASE!C:Q,7,false)</f>
        <v>582500</v>
      </c>
      <c r="L9270" s="74">
        <v>582500.0</v>
      </c>
      <c r="M9270" s="74">
        <f t="shared" si="6"/>
        <v>585000</v>
      </c>
      <c r="N9270" s="74">
        <f t="shared" si="3"/>
        <v>90000</v>
      </c>
      <c r="O9270" s="65" t="str">
        <f>VLOOKUP(E9270,DATABASE!C:Q,8,false)</f>
        <v>IBU</v>
      </c>
      <c r="P9270" s="65">
        <f>VLOOKUP(E9270,DATABASE!C:Q,9,False)</f>
        <v>1</v>
      </c>
      <c r="Q9270" s="93" t="str">
        <f>VLOOKUP(E9270,DATABASE!C:Q,4,false)</f>
        <v>Dunlop</v>
      </c>
      <c r="R9270" s="93" t="str">
        <f>VLOOKUP(E9270,DATABASE!C:Q,11,false)</f>
        <v>Tire</v>
      </c>
    </row>
    <row r="9271" ht="22.5" customHeight="1">
      <c r="A9271" s="49"/>
      <c r="C9271" s="400">
        <v>46200.0</v>
      </c>
      <c r="D9271" s="524">
        <v>173.0</v>
      </c>
      <c r="E9271" s="544" t="s">
        <v>246</v>
      </c>
      <c r="F9271" s="387">
        <v>2.0</v>
      </c>
      <c r="G9271" s="140">
        <v>35000.0</v>
      </c>
      <c r="H9271" s="140">
        <v>10000.0</v>
      </c>
      <c r="I9271" s="74">
        <f t="shared" si="1"/>
        <v>50000</v>
      </c>
      <c r="J9271" s="74">
        <f>IF(E9271="SERVICE",I9271-(I9271*50%),Vlookup(E9271,DATABASE!C:Q,10,false)*F9271)</f>
        <v>0</v>
      </c>
      <c r="K9271" s="74">
        <f>VLOOKUP(E9271,DATABASE!C:Q,7,false)</f>
        <v>0</v>
      </c>
      <c r="L9271" s="74">
        <v>0.0</v>
      </c>
      <c r="M9271" s="74">
        <f t="shared" si="6"/>
        <v>0</v>
      </c>
      <c r="N9271" s="74">
        <f t="shared" si="3"/>
        <v>50000</v>
      </c>
      <c r="O9271" s="65" t="str">
        <f>VLOOKUP(E9271,DATABASE!C:Q,8,false)</f>
        <v>IBU</v>
      </c>
      <c r="P9271" s="65">
        <f>VLOOKUP(E9271,DATABASE!C:Q,9,False)</f>
        <v>0</v>
      </c>
      <c r="Q9271" s="93" t="str">
        <f>VLOOKUP(E9271,DATABASE!C:Q,4,false)</f>
        <v>Bongkar Pasang</v>
      </c>
      <c r="R9271" s="93" t="str">
        <f>VLOOKUP(E9271,DATABASE!C:Q,11,false)</f>
        <v>SERVICE</v>
      </c>
    </row>
    <row r="9272" ht="22.5" customHeight="1">
      <c r="A9272" s="49"/>
      <c r="C9272" s="400">
        <v>46200.0</v>
      </c>
      <c r="D9272" s="524">
        <v>173.0</v>
      </c>
      <c r="E9272" s="544" t="s">
        <v>299</v>
      </c>
      <c r="F9272" s="387">
        <v>2.0</v>
      </c>
      <c r="G9272" s="140">
        <v>30000.0</v>
      </c>
      <c r="H9272" s="140">
        <v>5000.0</v>
      </c>
      <c r="I9272" s="74">
        <f t="shared" si="1"/>
        <v>50000</v>
      </c>
      <c r="J9272" s="74">
        <f>IF(E9272="SERVICE",I9272-(I9272*50%),Vlookup(E9272,DATABASE!C:Q,10,false)*F9272)</f>
        <v>0</v>
      </c>
      <c r="K9272" s="74">
        <f>VLOOKUP(E9272,DATABASE!C:Q,7,false)</f>
        <v>10000</v>
      </c>
      <c r="L9272" s="74">
        <v>10000.0</v>
      </c>
      <c r="M9272" s="74">
        <f t="shared" si="6"/>
        <v>10000</v>
      </c>
      <c r="N9272" s="74">
        <f t="shared" si="3"/>
        <v>30000</v>
      </c>
      <c r="O9272" s="65" t="str">
        <f>VLOOKUP(E9272,DATABASE!C:Q,8,false)</f>
        <v>BIAN</v>
      </c>
      <c r="P9272" s="65">
        <f>VLOOKUP(E9272,DATABASE!C:Q,9,False)</f>
        <v>0</v>
      </c>
      <c r="Q9272" s="93" t="str">
        <f>VLOOKUP(E9272,DATABASE!C:Q,4,false)</f>
        <v>Balancing</v>
      </c>
      <c r="R9272" s="93" t="str">
        <f>VLOOKUP(E9272,DATABASE!C:Q,11,false)</f>
        <v>COMPLEMENTARY</v>
      </c>
    </row>
    <row r="9273" ht="22.5" customHeight="1">
      <c r="A9273" s="49"/>
      <c r="C9273" s="400">
        <v>46200.0</v>
      </c>
      <c r="D9273" s="524">
        <v>174.0</v>
      </c>
      <c r="E9273" s="544" t="s">
        <v>932</v>
      </c>
      <c r="F9273" s="387">
        <v>4.0</v>
      </c>
      <c r="G9273" s="140">
        <v>690000.0</v>
      </c>
      <c r="H9273" s="140">
        <v>2500.0</v>
      </c>
      <c r="I9273" s="74">
        <f t="shared" si="1"/>
        <v>2750000</v>
      </c>
      <c r="J9273" s="74">
        <f>IF(E9273="SERVICE",I9273-(I9273*50%),Vlookup(E9273,DATABASE!C:Q,10,false)*F9273)</f>
        <v>0</v>
      </c>
      <c r="K9273" s="74">
        <f>VLOOKUP(E9273,DATABASE!C:Q,7,false)</f>
        <v>601000</v>
      </c>
      <c r="L9273" s="74">
        <v>601000.0</v>
      </c>
      <c r="M9273" s="74">
        <f t="shared" si="6"/>
        <v>605000</v>
      </c>
      <c r="N9273" s="74">
        <f t="shared" si="3"/>
        <v>330000</v>
      </c>
      <c r="O9273" s="65" t="str">
        <f>VLOOKUP(E9273,DATABASE!C:Q,8,false)</f>
        <v>IBU</v>
      </c>
      <c r="P9273" s="65">
        <f>VLOOKUP(E9273,DATABASE!C:Q,9,False)</f>
        <v>1</v>
      </c>
      <c r="Q9273" s="93" t="str">
        <f>VLOOKUP(E9273,DATABASE!C:Q,4,false)</f>
        <v>Dunlop</v>
      </c>
      <c r="R9273" s="93" t="str">
        <f>VLOOKUP(E9273,DATABASE!C:Q,11,false)</f>
        <v>Tire</v>
      </c>
    </row>
    <row r="9274" ht="22.5" customHeight="1">
      <c r="A9274" s="49"/>
      <c r="C9274" s="400">
        <v>46200.0</v>
      </c>
      <c r="D9274" s="524">
        <v>175.0</v>
      </c>
      <c r="E9274" s="544" t="s">
        <v>1112</v>
      </c>
      <c r="F9274" s="387">
        <v>1.0</v>
      </c>
      <c r="G9274" s="140">
        <v>1085000.0</v>
      </c>
      <c r="H9274" s="140">
        <v>0.0</v>
      </c>
      <c r="I9274" s="74">
        <f t="shared" si="1"/>
        <v>1085000</v>
      </c>
      <c r="J9274" s="74">
        <f>IF(E9274="SERVICE",I9274-(I9274*50%),Vlookup(E9274,DATABASE!C:Q,10,false)*F9274)</f>
        <v>0</v>
      </c>
      <c r="K9274" s="74">
        <f>VLOOKUP(E9274,DATABASE!C:Q,7,false)</f>
        <v>980542.4</v>
      </c>
      <c r="L9274" s="74">
        <v>980542.4</v>
      </c>
      <c r="M9274" s="74">
        <f t="shared" si="6"/>
        <v>985000</v>
      </c>
      <c r="N9274" s="74">
        <f t="shared" si="3"/>
        <v>100000</v>
      </c>
      <c r="O9274" s="65" t="str">
        <f>VLOOKUP(E9274,DATABASE!C:Q,8,false)</f>
        <v>IBU</v>
      </c>
      <c r="P9274" s="65">
        <f>VLOOKUP(E9274,DATABASE!C:Q,9,False)</f>
        <v>1</v>
      </c>
      <c r="Q9274" s="93" t="str">
        <f>VLOOKUP(E9274,DATABASE!C:Q,4,false)</f>
        <v>Bridgestone</v>
      </c>
      <c r="R9274" s="93" t="str">
        <f>VLOOKUP(E9274,DATABASE!C:Q,11,false)</f>
        <v>Tire</v>
      </c>
    </row>
    <row r="9275" ht="22.5" customHeight="1">
      <c r="A9275" s="49"/>
      <c r="C9275" s="400">
        <v>46200.0</v>
      </c>
      <c r="D9275" s="69" t="s">
        <v>2854</v>
      </c>
      <c r="E9275" s="544" t="s">
        <v>248</v>
      </c>
      <c r="F9275" s="387">
        <v>1.0</v>
      </c>
      <c r="G9275" s="140">
        <v>250000.0</v>
      </c>
      <c r="H9275" s="74"/>
      <c r="I9275" s="74">
        <f t="shared" si="1"/>
        <v>250000</v>
      </c>
      <c r="J9275" s="74">
        <f>IF(E9275="SERVICE",I9275-(I9275*50%),Vlookup(E9275,DATABASE!C:Q,10,false)*F9275)</f>
        <v>0</v>
      </c>
      <c r="K9275" s="74">
        <f>VLOOKUP(E9275,DATABASE!C:Q,7,false)</f>
        <v>209816.66</v>
      </c>
      <c r="L9275" s="74">
        <v>209816.66</v>
      </c>
      <c r="M9275" s="74">
        <f t="shared" si="6"/>
        <v>210000</v>
      </c>
      <c r="N9275" s="74">
        <f t="shared" si="3"/>
        <v>40000</v>
      </c>
      <c r="O9275" s="65" t="str">
        <f>VLOOKUP(E9275,DATABASE!C:Q,8,false)</f>
        <v>NON</v>
      </c>
      <c r="P9275" s="65">
        <f>VLOOKUP(E9275,DATABASE!C:Q,9,False)</f>
        <v>0</v>
      </c>
      <c r="Q9275" s="93" t="str">
        <f>VLOOKUP(E9275,DATABASE!C:Q,4,false)</f>
        <v>Pertamina</v>
      </c>
      <c r="R9275" s="93" t="str">
        <f>VLOOKUP(E9275,DATABASE!C:Q,11,false)</f>
        <v>OIL</v>
      </c>
    </row>
    <row r="9276" ht="22.5" customHeight="1">
      <c r="A9276" s="49"/>
      <c r="C9276" s="400">
        <v>46200.0</v>
      </c>
      <c r="D9276" s="69" t="s">
        <v>2855</v>
      </c>
      <c r="E9276" s="544" t="s">
        <v>252</v>
      </c>
      <c r="F9276" s="387">
        <v>1.0</v>
      </c>
      <c r="G9276" s="140">
        <v>370000.0</v>
      </c>
      <c r="H9276" s="74"/>
      <c r="I9276" s="74">
        <f t="shared" si="1"/>
        <v>370000</v>
      </c>
      <c r="J9276" s="74">
        <f>IF(E9276="SERVICE",I9276-(I9276*50%),Vlookup(E9276,DATABASE!C:Q,10,false)*F9276)</f>
        <v>0</v>
      </c>
      <c r="K9276" s="74">
        <f>VLOOKUP(E9276,DATABASE!C:Q,7,false)</f>
        <v>317518</v>
      </c>
      <c r="L9276" s="74">
        <v>317518.0</v>
      </c>
      <c r="M9276" s="74">
        <f t="shared" si="6"/>
        <v>320000</v>
      </c>
      <c r="N9276" s="74">
        <f t="shared" si="3"/>
        <v>50000</v>
      </c>
      <c r="O9276" s="65" t="str">
        <f>VLOOKUP(E9276,DATABASE!C:Q,8,false)</f>
        <v>NON</v>
      </c>
      <c r="P9276" s="65">
        <f>VLOOKUP(E9276,DATABASE!C:Q,9,False)</f>
        <v>0</v>
      </c>
      <c r="Q9276" s="93" t="str">
        <f>VLOOKUP(E9276,DATABASE!C:Q,4,false)</f>
        <v>Shell</v>
      </c>
      <c r="R9276" s="93" t="str">
        <f>VLOOKUP(E9276,DATABASE!C:Q,11,false)</f>
        <v>OIL</v>
      </c>
    </row>
    <row r="9277" ht="22.5" customHeight="1">
      <c r="A9277" s="49"/>
      <c r="C9277" s="400">
        <v>46200.0</v>
      </c>
      <c r="D9277" s="69" t="s">
        <v>2855</v>
      </c>
      <c r="E9277" s="544" t="s">
        <v>298</v>
      </c>
      <c r="F9277" s="387">
        <v>1.0</v>
      </c>
      <c r="G9277" s="140">
        <v>25000.0</v>
      </c>
      <c r="H9277" s="74"/>
      <c r="I9277" s="74">
        <f t="shared" si="1"/>
        <v>25000</v>
      </c>
      <c r="J9277" s="74">
        <f>IF(E9277="SERVICE",I9277-(I9277*50%),Vlookup(E9277,DATABASE!C:Q,10,false)*F9277)</f>
        <v>0</v>
      </c>
      <c r="K9277" s="74">
        <f>VLOOKUP(E9277,DATABASE!C:Q,7,false)</f>
        <v>19200</v>
      </c>
      <c r="L9277" s="74">
        <v>19200.0</v>
      </c>
      <c r="M9277" s="74">
        <f t="shared" si="6"/>
        <v>20000</v>
      </c>
      <c r="N9277" s="74">
        <f t="shared" si="3"/>
        <v>5000</v>
      </c>
      <c r="O9277" s="65" t="str">
        <f>VLOOKUP(E9277,DATABASE!C:Q,8,false)</f>
        <v>BIAN</v>
      </c>
      <c r="P9277" s="65">
        <f>VLOOKUP(E9277,DATABASE!C:Q,9,False)</f>
        <v>0</v>
      </c>
      <c r="Q9277" s="93" t="str">
        <f>VLOOKUP(E9277,DATABASE!C:Q,4,false)</f>
        <v>Aspira</v>
      </c>
      <c r="R9277" s="93" t="str">
        <f>VLOOKUP(E9277,DATABASE!C:Q,11,false)</f>
        <v>COMPLEMENTARY</v>
      </c>
    </row>
    <row r="9278" ht="22.5" customHeight="1">
      <c r="A9278" s="29"/>
      <c r="C9278" s="400">
        <v>46201.0</v>
      </c>
      <c r="D9278" s="69">
        <v>178.0</v>
      </c>
      <c r="E9278" s="544" t="s">
        <v>268</v>
      </c>
      <c r="F9278" s="387">
        <v>2.0</v>
      </c>
      <c r="G9278" s="140">
        <v>720000.0</v>
      </c>
      <c r="H9278" s="74"/>
      <c r="I9278" s="74">
        <f t="shared" si="1"/>
        <v>1440000</v>
      </c>
      <c r="J9278" s="74">
        <f>IF(E9278="SERVICE",I9278-(I9278*50%),Vlookup(E9278,DATABASE!C:Q,10,false)*F9278)</f>
        <v>0</v>
      </c>
      <c r="K9278" s="74">
        <f>VLOOKUP(E9278,DATABASE!C:Q,7,false)</f>
        <v>653000</v>
      </c>
      <c r="L9278" s="74">
        <v>634500.0</v>
      </c>
      <c r="M9278" s="74">
        <f t="shared" si="6"/>
        <v>635000</v>
      </c>
      <c r="N9278" s="74">
        <f t="shared" si="3"/>
        <v>170000</v>
      </c>
      <c r="O9278" s="65" t="str">
        <f>VLOOKUP(E9278,DATABASE!C:Q,8,false)</f>
        <v>IBU</v>
      </c>
      <c r="P9278" s="65">
        <f>VLOOKUP(E9278,DATABASE!C:Q,9,False)</f>
        <v>1</v>
      </c>
      <c r="Q9278" s="93" t="str">
        <f>VLOOKUP(E9278,DATABASE!C:Q,4,false)</f>
        <v>Dunlop</v>
      </c>
      <c r="R9278" s="93" t="str">
        <f>VLOOKUP(E9278,DATABASE!C:Q,11,false)</f>
        <v>Tire</v>
      </c>
    </row>
    <row r="9279" ht="22.5" customHeight="1">
      <c r="A9279" s="29"/>
      <c r="C9279" s="400">
        <v>46201.0</v>
      </c>
      <c r="D9279" s="69">
        <v>179.0</v>
      </c>
      <c r="E9279" s="544" t="s">
        <v>932</v>
      </c>
      <c r="F9279" s="387">
        <v>1.0</v>
      </c>
      <c r="G9279" s="140">
        <v>690000.0</v>
      </c>
      <c r="H9279" s="74"/>
      <c r="I9279" s="74">
        <f t="shared" si="1"/>
        <v>690000</v>
      </c>
      <c r="J9279" s="74">
        <f>IF(E9279="SERVICE",I9279-(I9279*50%),Vlookup(E9279,DATABASE!C:Q,10,false)*F9279)</f>
        <v>0</v>
      </c>
      <c r="K9279" s="74">
        <f>VLOOKUP(E9279,DATABASE!C:Q,7,false)</f>
        <v>601000</v>
      </c>
      <c r="L9279" s="74">
        <v>601000.0</v>
      </c>
      <c r="M9279" s="74">
        <f t="shared" si="6"/>
        <v>605000</v>
      </c>
      <c r="N9279" s="74">
        <f t="shared" si="3"/>
        <v>85000</v>
      </c>
      <c r="O9279" s="65" t="str">
        <f>VLOOKUP(E9279,DATABASE!C:Q,8,false)</f>
        <v>IBU</v>
      </c>
      <c r="P9279" s="65">
        <f>VLOOKUP(E9279,DATABASE!C:Q,9,False)</f>
        <v>1</v>
      </c>
      <c r="Q9279" s="93" t="str">
        <f>VLOOKUP(E9279,DATABASE!C:Q,4,false)</f>
        <v>Dunlop</v>
      </c>
      <c r="R9279" s="93" t="str">
        <f>VLOOKUP(E9279,DATABASE!C:Q,11,false)</f>
        <v>Tire</v>
      </c>
    </row>
    <row r="9280" ht="22.5" customHeight="1">
      <c r="A9280" s="49"/>
      <c r="C9280" s="400">
        <v>46201.0</v>
      </c>
      <c r="D9280" s="69">
        <v>180.0</v>
      </c>
      <c r="E9280" s="544" t="s">
        <v>569</v>
      </c>
      <c r="F9280" s="387">
        <v>1.0</v>
      </c>
      <c r="G9280" s="140">
        <v>80000.0</v>
      </c>
      <c r="H9280" s="74"/>
      <c r="I9280" s="74">
        <f t="shared" si="1"/>
        <v>80000</v>
      </c>
      <c r="J9280" s="74">
        <f>IF(E9280="SERVICE",I9280-(I9280*50%),Vlookup(E9280,DATABASE!C:Q,10,false)*F9280)</f>
        <v>0</v>
      </c>
      <c r="K9280" s="74">
        <f>VLOOKUP(E9280,DATABASE!C:Q,7,false)</f>
        <v>45439.582</v>
      </c>
      <c r="L9280" s="74">
        <v>45439.582</v>
      </c>
      <c r="M9280" s="74">
        <f t="shared" si="6"/>
        <v>50000</v>
      </c>
      <c r="N9280" s="74">
        <f t="shared" si="3"/>
        <v>30000</v>
      </c>
      <c r="O9280" s="65" t="str">
        <f>VLOOKUP(E9280,DATABASE!C:Q,8,false)</f>
        <v>BIAN</v>
      </c>
      <c r="P9280" s="65">
        <f>VLOOKUP(E9280,DATABASE!C:Q,9,False)</f>
        <v>1</v>
      </c>
      <c r="Q9280" s="93" t="str">
        <f>VLOOKUP(E9280,DATABASE!C:Q,4,false)</f>
        <v>BD</v>
      </c>
      <c r="R9280" s="93" t="str">
        <f>VLOOKUP(E9280,DATABASE!C:Q,11,false)</f>
        <v>Tire</v>
      </c>
    </row>
    <row r="9281" ht="22.5" customHeight="1">
      <c r="A9281" s="49"/>
      <c r="C9281" s="400">
        <v>46201.0</v>
      </c>
      <c r="D9281" s="69" t="s">
        <v>2856</v>
      </c>
      <c r="E9281" s="544" t="s">
        <v>2191</v>
      </c>
      <c r="F9281" s="387">
        <v>1.0</v>
      </c>
      <c r="G9281" s="140">
        <v>475000.0</v>
      </c>
      <c r="H9281" s="74"/>
      <c r="I9281" s="74">
        <f t="shared" si="1"/>
        <v>475000</v>
      </c>
      <c r="J9281" s="74">
        <f>IF(E9281="SERVICE",I9281-(I9281*50%),Vlookup(E9281,DATABASE!C:Q,10,false)*F9281)</f>
        <v>0</v>
      </c>
      <c r="K9281" s="74">
        <f>VLOOKUP(E9281,DATABASE!C:Q,7,false)</f>
        <v>422900</v>
      </c>
      <c r="L9281" s="74">
        <v>422900.0</v>
      </c>
      <c r="M9281" s="74">
        <f t="shared" si="6"/>
        <v>425000</v>
      </c>
      <c r="N9281" s="74">
        <f t="shared" si="3"/>
        <v>50000</v>
      </c>
      <c r="O9281" s="65" t="str">
        <f>VLOOKUP(E9281,DATABASE!C:Q,8,false)</f>
        <v>NON</v>
      </c>
      <c r="P9281" s="65">
        <f>VLOOKUP(E9281,DATABASE!C:Q,9,False)</f>
        <v>0</v>
      </c>
      <c r="Q9281" s="93" t="str">
        <f>VLOOKUP(E9281,DATABASE!C:Q,4,false)</f>
        <v>Shell</v>
      </c>
      <c r="R9281" s="93" t="str">
        <f>VLOOKUP(E9281,DATABASE!C:Q,11,false)</f>
        <v>OIL</v>
      </c>
    </row>
    <row r="9282" ht="22.5" customHeight="1">
      <c r="A9282" s="49"/>
      <c r="C9282" s="400">
        <v>46201.0</v>
      </c>
      <c r="D9282" s="69" t="s">
        <v>2857</v>
      </c>
      <c r="E9282" s="544" t="s">
        <v>263</v>
      </c>
      <c r="F9282" s="387">
        <v>1.0</v>
      </c>
      <c r="G9282" s="140">
        <v>385000.0</v>
      </c>
      <c r="H9282" s="74"/>
      <c r="I9282" s="74">
        <f t="shared" si="1"/>
        <v>385000</v>
      </c>
      <c r="J9282" s="74">
        <f>IF(E9282="SERVICE",I9282-(I9282*50%),Vlookup(E9282,DATABASE!C:Q,10,false)*F9282)</f>
        <v>0</v>
      </c>
      <c r="K9282" s="74">
        <f>VLOOKUP(E9282,DATABASE!C:Q,7,false)</f>
        <v>334916</v>
      </c>
      <c r="L9282" s="74">
        <v>334916.0</v>
      </c>
      <c r="M9282" s="74">
        <f t="shared" si="6"/>
        <v>335000</v>
      </c>
      <c r="N9282" s="74">
        <f t="shared" si="3"/>
        <v>50000</v>
      </c>
      <c r="O9282" s="65" t="str">
        <f>VLOOKUP(E9282,DATABASE!C:Q,8,false)</f>
        <v>NON</v>
      </c>
      <c r="P9282" s="65">
        <f>VLOOKUP(E9282,DATABASE!C:Q,9,False)</f>
        <v>0</v>
      </c>
      <c r="Q9282" s="93" t="str">
        <f>VLOOKUP(E9282,DATABASE!C:Q,4,false)</f>
        <v>Shell</v>
      </c>
      <c r="R9282" s="93" t="str">
        <f>VLOOKUP(E9282,DATABASE!C:Q,11,false)</f>
        <v>OIL</v>
      </c>
    </row>
    <row r="9283" ht="22.5" customHeight="1">
      <c r="A9283" s="29"/>
      <c r="C9283" s="400">
        <v>46202.0</v>
      </c>
      <c r="D9283" s="524">
        <v>182.0</v>
      </c>
      <c r="E9283" s="544" t="s">
        <v>299</v>
      </c>
      <c r="F9283" s="387">
        <v>2.0</v>
      </c>
      <c r="G9283" s="140">
        <v>30000.0</v>
      </c>
      <c r="H9283" s="74"/>
      <c r="I9283" s="74">
        <f t="shared" si="1"/>
        <v>60000</v>
      </c>
      <c r="J9283" s="74">
        <f>IF(E9283="SERVICE",I9283-(I9283*50%),Vlookup(E9283,DATABASE!C:Q,10,false)*F9283)</f>
        <v>0</v>
      </c>
      <c r="K9283" s="74">
        <f>VLOOKUP(E9283,DATABASE!C:Q,7,false)</f>
        <v>10000</v>
      </c>
      <c r="L9283" s="74">
        <v>10000.0</v>
      </c>
      <c r="M9283" s="74">
        <f t="shared" si="6"/>
        <v>10000</v>
      </c>
      <c r="N9283" s="74">
        <f t="shared" si="3"/>
        <v>40000</v>
      </c>
      <c r="O9283" s="65" t="str">
        <f>VLOOKUP(E9283,DATABASE!C:Q,8,false)</f>
        <v>BIAN</v>
      </c>
      <c r="P9283" s="65">
        <f>VLOOKUP(E9283,DATABASE!C:Q,9,False)</f>
        <v>0</v>
      </c>
      <c r="Q9283" s="93" t="str">
        <f>VLOOKUP(E9283,DATABASE!C:Q,4,false)</f>
        <v>Balancing</v>
      </c>
      <c r="R9283" s="93" t="str">
        <f>VLOOKUP(E9283,DATABASE!C:Q,11,false)</f>
        <v>COMPLEMENTARY</v>
      </c>
    </row>
    <row r="9284" ht="22.5" customHeight="1">
      <c r="A9284" s="49"/>
      <c r="C9284" s="400">
        <v>46202.0</v>
      </c>
      <c r="D9284" s="524">
        <v>183.0</v>
      </c>
      <c r="E9284" s="544" t="s">
        <v>268</v>
      </c>
      <c r="F9284" s="387">
        <v>1.0</v>
      </c>
      <c r="G9284" s="140">
        <v>720000.0</v>
      </c>
      <c r="H9284" s="74"/>
      <c r="I9284" s="74">
        <f t="shared" si="1"/>
        <v>720000</v>
      </c>
      <c r="J9284" s="74">
        <f>IF(E9284="SERVICE",I9284-(I9284*50%),Vlookup(E9284,DATABASE!C:Q,10,false)*F9284)</f>
        <v>0</v>
      </c>
      <c r="K9284" s="74">
        <f>VLOOKUP(E9284,DATABASE!C:Q,7,false)</f>
        <v>653000</v>
      </c>
      <c r="L9284" s="74">
        <v>634500.0</v>
      </c>
      <c r="M9284" s="74">
        <f t="shared" si="6"/>
        <v>635000</v>
      </c>
      <c r="N9284" s="74">
        <f t="shared" si="3"/>
        <v>85000</v>
      </c>
      <c r="O9284" s="65" t="str">
        <f>VLOOKUP(E9284,DATABASE!C:Q,8,false)</f>
        <v>IBU</v>
      </c>
      <c r="P9284" s="65">
        <f>VLOOKUP(E9284,DATABASE!C:Q,9,False)</f>
        <v>1</v>
      </c>
      <c r="Q9284" s="93" t="str">
        <f>VLOOKUP(E9284,DATABASE!C:Q,4,false)</f>
        <v>Dunlop</v>
      </c>
      <c r="R9284" s="93" t="str">
        <f>VLOOKUP(E9284,DATABASE!C:Q,11,false)</f>
        <v>Tire</v>
      </c>
    </row>
    <row r="9285" ht="22.5" customHeight="1">
      <c r="A9285" s="49"/>
      <c r="C9285" s="400">
        <v>46202.0</v>
      </c>
      <c r="D9285" s="524">
        <v>184.0</v>
      </c>
      <c r="E9285" s="544" t="s">
        <v>268</v>
      </c>
      <c r="F9285" s="387">
        <v>2.0</v>
      </c>
      <c r="G9285" s="140">
        <v>720000.0</v>
      </c>
      <c r="H9285" s="74"/>
      <c r="I9285" s="74">
        <f t="shared" si="1"/>
        <v>1440000</v>
      </c>
      <c r="J9285" s="74">
        <f>IF(E9285="SERVICE",I9285-(I9285*50%),Vlookup(E9285,DATABASE!C:Q,10,false)*F9285)</f>
        <v>0</v>
      </c>
      <c r="K9285" s="74">
        <f>VLOOKUP(E9285,DATABASE!C:Q,7,false)</f>
        <v>653000</v>
      </c>
      <c r="L9285" s="74">
        <v>634500.0</v>
      </c>
      <c r="M9285" s="74">
        <f t="shared" si="6"/>
        <v>635000</v>
      </c>
      <c r="N9285" s="74">
        <f t="shared" si="3"/>
        <v>170000</v>
      </c>
      <c r="O9285" s="65" t="str">
        <f>VLOOKUP(E9285,DATABASE!C:Q,8,false)</f>
        <v>IBU</v>
      </c>
      <c r="P9285" s="65">
        <f>VLOOKUP(E9285,DATABASE!C:Q,9,False)</f>
        <v>1</v>
      </c>
      <c r="Q9285" s="93" t="str">
        <f>VLOOKUP(E9285,DATABASE!C:Q,4,false)</f>
        <v>Dunlop</v>
      </c>
      <c r="R9285" s="93" t="str">
        <f>VLOOKUP(E9285,DATABASE!C:Q,11,false)</f>
        <v>Tire</v>
      </c>
    </row>
    <row r="9286" ht="22.5" customHeight="1">
      <c r="A9286" s="49"/>
      <c r="C9286" s="400">
        <v>46202.0</v>
      </c>
      <c r="D9286" s="524">
        <v>185.0</v>
      </c>
      <c r="E9286" s="544" t="s">
        <v>1133</v>
      </c>
      <c r="F9286" s="387">
        <v>1.0</v>
      </c>
      <c r="G9286" s="140">
        <v>835000.0</v>
      </c>
      <c r="H9286" s="74"/>
      <c r="I9286" s="74">
        <f t="shared" si="1"/>
        <v>835000</v>
      </c>
      <c r="J9286" s="74">
        <f>IF(E9286="SERVICE",I9286-(I9286*50%),Vlookup(E9286,DATABASE!C:Q,10,false)*F9286)</f>
        <v>0</v>
      </c>
      <c r="K9286" s="74">
        <f>VLOOKUP(E9286,DATABASE!C:Q,7,false)</f>
        <v>759539.2</v>
      </c>
      <c r="L9286" s="74">
        <v>733824.0</v>
      </c>
      <c r="M9286" s="74">
        <f t="shared" si="6"/>
        <v>735000</v>
      </c>
      <c r="N9286" s="74">
        <f t="shared" si="3"/>
        <v>100000</v>
      </c>
      <c r="O9286" s="65" t="str">
        <f>VLOOKUP(E9286,DATABASE!C:Q,8,false)</f>
        <v>IBU</v>
      </c>
      <c r="P9286" s="65">
        <f>VLOOKUP(E9286,DATABASE!C:Q,9,False)</f>
        <v>1</v>
      </c>
      <c r="Q9286" s="93" t="str">
        <f>VLOOKUP(E9286,DATABASE!C:Q,4,false)</f>
        <v>Bridgestone</v>
      </c>
      <c r="R9286" s="93" t="str">
        <f>VLOOKUP(E9286,DATABASE!C:Q,11,false)</f>
        <v>Tire</v>
      </c>
    </row>
    <row r="9287" ht="22.5" customHeight="1">
      <c r="A9287" s="49"/>
      <c r="C9287" s="400">
        <v>46202.0</v>
      </c>
      <c r="D9287" s="524">
        <v>186.0</v>
      </c>
      <c r="E9287" s="544" t="s">
        <v>940</v>
      </c>
      <c r="F9287" s="387">
        <v>1.0</v>
      </c>
      <c r="G9287" s="140">
        <v>820000.0</v>
      </c>
      <c r="H9287" s="74"/>
      <c r="I9287" s="74">
        <f t="shared" si="1"/>
        <v>820000</v>
      </c>
      <c r="J9287" s="74">
        <f>IF(E9287="SERVICE",I9287-(I9287*50%),Vlookup(E9287,DATABASE!C:Q,10,false)*F9287)</f>
        <v>0</v>
      </c>
      <c r="K9287" s="74">
        <f>VLOOKUP(E9287,DATABASE!C:Q,7,false)</f>
        <v>716500</v>
      </c>
      <c r="L9287" s="74">
        <v>716500.0</v>
      </c>
      <c r="M9287" s="74">
        <f t="shared" si="6"/>
        <v>720000</v>
      </c>
      <c r="N9287" s="74">
        <f t="shared" si="3"/>
        <v>100000</v>
      </c>
      <c r="O9287" s="65" t="str">
        <f>VLOOKUP(E9287,DATABASE!C:Q,8,false)</f>
        <v>IBU</v>
      </c>
      <c r="P9287" s="65">
        <f>VLOOKUP(E9287,DATABASE!C:Q,9,False)</f>
        <v>1</v>
      </c>
      <c r="Q9287" s="93" t="str">
        <f>VLOOKUP(E9287,DATABASE!C:Q,4,false)</f>
        <v>Dunlop</v>
      </c>
      <c r="R9287" s="93" t="str">
        <f>VLOOKUP(E9287,DATABASE!C:Q,11,false)</f>
        <v>Tire</v>
      </c>
    </row>
    <row r="9288" ht="22.5" customHeight="1">
      <c r="A9288" s="49"/>
      <c r="C9288" s="400">
        <v>46202.0</v>
      </c>
      <c r="D9288" s="524">
        <v>187.0</v>
      </c>
      <c r="E9288" s="544" t="s">
        <v>932</v>
      </c>
      <c r="F9288" s="387">
        <v>1.0</v>
      </c>
      <c r="G9288" s="140">
        <v>690000.0</v>
      </c>
      <c r="H9288" s="74"/>
      <c r="I9288" s="74">
        <f t="shared" si="1"/>
        <v>690000</v>
      </c>
      <c r="J9288" s="74">
        <f>IF(E9288="SERVICE",I9288-(I9288*50%),Vlookup(E9288,DATABASE!C:Q,10,false)*F9288)</f>
        <v>0</v>
      </c>
      <c r="K9288" s="74">
        <f>VLOOKUP(E9288,DATABASE!C:Q,7,false)</f>
        <v>601000</v>
      </c>
      <c r="L9288" s="74">
        <v>601000.0</v>
      </c>
      <c r="M9288" s="74">
        <f t="shared" si="6"/>
        <v>605000</v>
      </c>
      <c r="N9288" s="74">
        <f t="shared" si="3"/>
        <v>85000</v>
      </c>
      <c r="O9288" s="65" t="str">
        <f>VLOOKUP(E9288,DATABASE!C:Q,8,false)</f>
        <v>IBU</v>
      </c>
      <c r="P9288" s="65">
        <f>VLOOKUP(E9288,DATABASE!C:Q,9,False)</f>
        <v>1</v>
      </c>
      <c r="Q9288" s="93" t="str">
        <f>VLOOKUP(E9288,DATABASE!C:Q,4,false)</f>
        <v>Dunlop</v>
      </c>
      <c r="R9288" s="93" t="str">
        <f>VLOOKUP(E9288,DATABASE!C:Q,11,false)</f>
        <v>Tire</v>
      </c>
    </row>
    <row r="9289" ht="22.5" customHeight="1">
      <c r="A9289" s="49"/>
      <c r="C9289" s="400">
        <v>46202.0</v>
      </c>
      <c r="D9289" s="524">
        <v>187.0</v>
      </c>
      <c r="E9289" s="544" t="s">
        <v>256</v>
      </c>
      <c r="F9289" s="387">
        <v>1.0</v>
      </c>
      <c r="G9289" s="140">
        <v>175000.0</v>
      </c>
      <c r="H9289" s="140">
        <v>25000.0</v>
      </c>
      <c r="I9289" s="74">
        <f t="shared" si="1"/>
        <v>150000</v>
      </c>
      <c r="J9289" s="74">
        <f>IF(E9289="SERVICE",I9289-(I9289*50%),Vlookup(E9289,DATABASE!C:Q,10,false)*F9289)</f>
        <v>10000</v>
      </c>
      <c r="K9289" s="74">
        <f>VLOOKUP(E9289,DATABASE!C:Q,7,false)</f>
        <v>0</v>
      </c>
      <c r="L9289" s="74">
        <v>0.0</v>
      </c>
      <c r="M9289" s="74">
        <f t="shared" si="6"/>
        <v>0</v>
      </c>
      <c r="N9289" s="74">
        <f t="shared" si="3"/>
        <v>140000</v>
      </c>
      <c r="O9289" s="65" t="str">
        <f>VLOOKUP(E9289,DATABASE!C:Q,8,false)</f>
        <v>IBU</v>
      </c>
      <c r="P9289" s="65">
        <f>VLOOKUP(E9289,DATABASE!C:Q,9,False)</f>
        <v>0</v>
      </c>
      <c r="Q9289" s="93" t="str">
        <f>VLOOKUP(E9289,DATABASE!C:Q,4,false)</f>
        <v>SPOORING</v>
      </c>
      <c r="R9289" s="93" t="str">
        <f>VLOOKUP(E9289,DATABASE!C:Q,11,false)</f>
        <v>SERVICE</v>
      </c>
    </row>
    <row r="9290" ht="22.5" customHeight="1">
      <c r="A9290" s="49"/>
      <c r="C9290" s="400">
        <v>46202.0</v>
      </c>
      <c r="D9290" s="524">
        <v>187.0</v>
      </c>
      <c r="E9290" s="544" t="s">
        <v>251</v>
      </c>
      <c r="F9290" s="387">
        <v>1.0</v>
      </c>
      <c r="G9290" s="140">
        <v>350000.0</v>
      </c>
      <c r="H9290" s="140">
        <v>200000.0</v>
      </c>
      <c r="I9290" s="74">
        <f t="shared" si="1"/>
        <v>150000</v>
      </c>
      <c r="J9290" s="74">
        <f>IF(E9290="SERVICE",I9290-(I9290*50%),Vlookup(E9290,DATABASE!C:Q,10,false)*F9290)</f>
        <v>75000</v>
      </c>
      <c r="K9290" s="74">
        <f>VLOOKUP(E9290,DATABASE!C:Q,7,false)</f>
        <v>0</v>
      </c>
      <c r="L9290" s="74">
        <v>0.0</v>
      </c>
      <c r="M9290" s="74">
        <f t="shared" si="6"/>
        <v>0</v>
      </c>
      <c r="N9290" s="74">
        <f t="shared" si="3"/>
        <v>75000</v>
      </c>
      <c r="O9290" s="65" t="str">
        <f>VLOOKUP(E9290,DATABASE!C:Q,8,false)</f>
        <v>IBU</v>
      </c>
      <c r="P9290" s="65">
        <f>VLOOKUP(E9290,DATABASE!C:Q,9,False)</f>
        <v>0</v>
      </c>
      <c r="Q9290" s="93" t="str">
        <f>VLOOKUP(E9290,DATABASE!C:Q,4,false)</f>
        <v>SERVICE</v>
      </c>
      <c r="R9290" s="93" t="str">
        <f>VLOOKUP(E9290,DATABASE!C:Q,11,false)</f>
        <v>SERVICE</v>
      </c>
    </row>
    <row r="9291" ht="22.5" customHeight="1">
      <c r="A9291" s="49"/>
      <c r="C9291" s="400">
        <v>46202.0</v>
      </c>
      <c r="D9291" s="524">
        <v>187.0</v>
      </c>
      <c r="E9291" s="544" t="s">
        <v>301</v>
      </c>
      <c r="F9291" s="387">
        <v>1.0</v>
      </c>
      <c r="G9291" s="140">
        <v>250000.0</v>
      </c>
      <c r="H9291" s="74"/>
      <c r="I9291" s="74">
        <f t="shared" si="1"/>
        <v>250000</v>
      </c>
      <c r="J9291" s="74">
        <f>IF(E9291="SERVICE",I9291-(I9291*50%),Vlookup(E9291,DATABASE!C:Q,10,false)*F9291)</f>
        <v>75000</v>
      </c>
      <c r="K9291" s="74">
        <f>VLOOKUP(E9291,DATABASE!C:Q,7,false)</f>
        <v>75000</v>
      </c>
      <c r="L9291" s="74">
        <v>75000.0</v>
      </c>
      <c r="M9291" s="74">
        <f t="shared" si="6"/>
        <v>75000</v>
      </c>
      <c r="N9291" s="74">
        <f t="shared" si="3"/>
        <v>100000</v>
      </c>
      <c r="O9291" s="65" t="str">
        <f>VLOOKUP(E9291,DATABASE!C:Q,8,false)</f>
        <v>BIAN</v>
      </c>
      <c r="P9291" s="65">
        <f>VLOOKUP(E9291,DATABASE!C:Q,9,False)</f>
        <v>0</v>
      </c>
      <c r="Q9291" s="93" t="str">
        <f>VLOOKUP(E9291,DATABASE!C:Q,4,false)</f>
        <v>Baut Camber</v>
      </c>
      <c r="R9291" s="93" t="str">
        <f>VLOOKUP(E9291,DATABASE!C:Q,11,false)</f>
        <v>COMPLEMENTARY</v>
      </c>
    </row>
    <row r="9292" ht="22.5" customHeight="1">
      <c r="A9292" s="49"/>
      <c r="C9292" s="400">
        <v>46202.0</v>
      </c>
      <c r="D9292" s="524">
        <v>188.0</v>
      </c>
      <c r="E9292" s="544" t="s">
        <v>262</v>
      </c>
      <c r="F9292" s="387">
        <v>1.0</v>
      </c>
      <c r="G9292" s="140">
        <v>130000.0</v>
      </c>
      <c r="H9292" s="74"/>
      <c r="I9292" s="74">
        <f t="shared" si="1"/>
        <v>130000</v>
      </c>
      <c r="J9292" s="74">
        <f>IF(E9292="SERVICE",I9292-(I9292*50%),Vlookup(E9292,DATABASE!C:Q,10,false)*F9292)</f>
        <v>5000</v>
      </c>
      <c r="K9292" s="74">
        <f>VLOOKUP(E9292,DATABASE!C:Q,7,false)</f>
        <v>0</v>
      </c>
      <c r="L9292" s="74">
        <v>0.0</v>
      </c>
      <c r="M9292" s="74">
        <f t="shared" si="6"/>
        <v>0</v>
      </c>
      <c r="N9292" s="74">
        <f t="shared" si="3"/>
        <v>125000</v>
      </c>
      <c r="O9292" s="65" t="str">
        <f>VLOOKUP(E9292,DATABASE!C:Q,8,false)</f>
        <v>IBU</v>
      </c>
      <c r="P9292" s="65">
        <f>VLOOKUP(E9292,DATABASE!C:Q,9,False)</f>
        <v>0</v>
      </c>
      <c r="Q9292" s="93" t="str">
        <f>VLOOKUP(E9292,DATABASE!C:Q,4,false)</f>
        <v>SPOORING SS/CARRY LOS BAK</v>
      </c>
      <c r="R9292" s="93" t="str">
        <f>VLOOKUP(E9292,DATABASE!C:Q,11,false)</f>
        <v>SERVICE</v>
      </c>
    </row>
    <row r="9293" ht="22.5" customHeight="1">
      <c r="A9293" s="49"/>
      <c r="C9293" s="400">
        <v>46202.0</v>
      </c>
      <c r="D9293" s="524">
        <v>188.0</v>
      </c>
      <c r="E9293" s="544" t="s">
        <v>301</v>
      </c>
      <c r="F9293" s="387">
        <v>1.0</v>
      </c>
      <c r="G9293" s="140">
        <v>250000.0</v>
      </c>
      <c r="H9293" s="74"/>
      <c r="I9293" s="74">
        <f t="shared" si="1"/>
        <v>250000</v>
      </c>
      <c r="J9293" s="74">
        <f>IF(E9293="SERVICE",I9293-(I9293*50%),Vlookup(E9293,DATABASE!C:Q,10,false)*F9293)</f>
        <v>75000</v>
      </c>
      <c r="K9293" s="74">
        <f>VLOOKUP(E9293,DATABASE!C:Q,7,false)</f>
        <v>75000</v>
      </c>
      <c r="L9293" s="74">
        <v>75000.0</v>
      </c>
      <c r="M9293" s="74">
        <f t="shared" si="6"/>
        <v>75000</v>
      </c>
      <c r="N9293" s="74">
        <f t="shared" si="3"/>
        <v>100000</v>
      </c>
      <c r="O9293" s="65" t="str">
        <f>VLOOKUP(E9293,DATABASE!C:Q,8,false)</f>
        <v>BIAN</v>
      </c>
      <c r="P9293" s="65">
        <f>VLOOKUP(E9293,DATABASE!C:Q,9,False)</f>
        <v>0</v>
      </c>
      <c r="Q9293" s="93" t="str">
        <f>VLOOKUP(E9293,DATABASE!C:Q,4,false)</f>
        <v>Baut Camber</v>
      </c>
      <c r="R9293" s="93" t="str">
        <f>VLOOKUP(E9293,DATABASE!C:Q,11,false)</f>
        <v>COMPLEMENTARY</v>
      </c>
    </row>
    <row r="9294" ht="22.5" customHeight="1">
      <c r="A9294" s="49"/>
      <c r="C9294" s="400">
        <v>46202.0</v>
      </c>
      <c r="D9294" s="524">
        <v>189.0</v>
      </c>
      <c r="E9294" s="544" t="s">
        <v>275</v>
      </c>
      <c r="F9294" s="387">
        <v>2.0</v>
      </c>
      <c r="G9294" s="140">
        <v>850000.0</v>
      </c>
      <c r="H9294" s="74"/>
      <c r="I9294" s="74">
        <f t="shared" si="1"/>
        <v>1700000</v>
      </c>
      <c r="J9294" s="74">
        <f>IF(E9294="SERVICE",I9294-(I9294*50%),Vlookup(E9294,DATABASE!C:Q,10,false)*F9294)</f>
        <v>0</v>
      </c>
      <c r="K9294" s="74">
        <f>VLOOKUP(E9294,DATABASE!C:Q,7,false)</f>
        <v>782000</v>
      </c>
      <c r="L9294" s="74">
        <v>759500.0</v>
      </c>
      <c r="M9294" s="74">
        <f t="shared" si="6"/>
        <v>760000</v>
      </c>
      <c r="N9294" s="74">
        <f t="shared" si="3"/>
        <v>180000</v>
      </c>
      <c r="O9294" s="65" t="str">
        <f>VLOOKUP(E9294,DATABASE!C:Q,8,false)</f>
        <v>IBU</v>
      </c>
      <c r="P9294" s="65">
        <f>VLOOKUP(E9294,DATABASE!C:Q,9,False)</f>
        <v>1</v>
      </c>
      <c r="Q9294" s="93" t="str">
        <f>VLOOKUP(E9294,DATABASE!C:Q,4,false)</f>
        <v>Dunlop</v>
      </c>
      <c r="R9294" s="93" t="str">
        <f>VLOOKUP(E9294,DATABASE!C:Q,11,false)</f>
        <v>Tire</v>
      </c>
    </row>
    <row r="9295" ht="22.5" customHeight="1">
      <c r="A9295" s="49"/>
      <c r="C9295" s="400">
        <v>46202.0</v>
      </c>
      <c r="D9295" s="524">
        <v>190.0</v>
      </c>
      <c r="E9295" s="544" t="s">
        <v>572</v>
      </c>
      <c r="F9295" s="387">
        <v>1.0</v>
      </c>
      <c r="G9295" s="140">
        <v>1370000.0</v>
      </c>
      <c r="H9295" s="140">
        <v>20000.0</v>
      </c>
      <c r="I9295" s="74">
        <f t="shared" si="1"/>
        <v>1350000</v>
      </c>
      <c r="J9295" s="74">
        <f>IF(E9295="SERVICE",I9295-(I9295*50%),Vlookup(E9295,DATABASE!C:Q,10,false)*F9295)</f>
        <v>0</v>
      </c>
      <c r="K9295" s="74">
        <f>VLOOKUP(E9295,DATABASE!C:Q,7,false)</f>
        <v>1265000</v>
      </c>
      <c r="L9295" s="74">
        <v>1245000.0</v>
      </c>
      <c r="M9295" s="74">
        <f t="shared" si="6"/>
        <v>1245000</v>
      </c>
      <c r="N9295" s="74">
        <f t="shared" si="3"/>
        <v>105000</v>
      </c>
      <c r="O9295" s="65" t="str">
        <f>VLOOKUP(E9295,DATABASE!C:Q,8,false)</f>
        <v>IBU</v>
      </c>
      <c r="P9295" s="65">
        <f>VLOOKUP(E9295,DATABASE!C:Q,9,False)</f>
        <v>1</v>
      </c>
      <c r="Q9295" s="93" t="str">
        <f>VLOOKUP(E9295,DATABASE!C:Q,4,false)</f>
        <v>Bridgestone</v>
      </c>
      <c r="R9295" s="93" t="str">
        <f>VLOOKUP(E9295,DATABASE!C:Q,11,false)</f>
        <v>Tire</v>
      </c>
    </row>
    <row r="9296" ht="22.5" customHeight="1">
      <c r="A9296" s="49"/>
      <c r="C9296" s="400">
        <v>46202.0</v>
      </c>
      <c r="D9296" s="524">
        <v>190.0</v>
      </c>
      <c r="E9296" s="544" t="s">
        <v>255</v>
      </c>
      <c r="F9296" s="387">
        <v>1.0</v>
      </c>
      <c r="G9296" s="140">
        <v>200000.0</v>
      </c>
      <c r="H9296" s="74"/>
      <c r="I9296" s="74">
        <f t="shared" si="1"/>
        <v>200000</v>
      </c>
      <c r="J9296" s="74">
        <f>IF(E9296="SERVICE",I9296-(I9296*50%),Vlookup(E9296,DATABASE!C:Q,10,false)*F9296)</f>
        <v>0</v>
      </c>
      <c r="K9296" s="74">
        <f>VLOOKUP(E9296,DATABASE!C:Q,7,false)</f>
        <v>161840</v>
      </c>
      <c r="L9296" s="74">
        <v>161840.0</v>
      </c>
      <c r="M9296" s="74">
        <f t="shared" si="6"/>
        <v>165000</v>
      </c>
      <c r="N9296" s="74">
        <f t="shared" si="3"/>
        <v>35000</v>
      </c>
      <c r="O9296" s="65" t="str">
        <f>VLOOKUP(E9296,DATABASE!C:Q,8,false)</f>
        <v>BIAN</v>
      </c>
      <c r="P9296" s="65">
        <f>VLOOKUP(E9296,DATABASE!C:Q,9,False)</f>
        <v>1</v>
      </c>
      <c r="Q9296" s="93" t="str">
        <f>VLOOKUP(E9296,DATABASE!C:Q,4,false)</f>
        <v>BD</v>
      </c>
      <c r="R9296" s="93" t="str">
        <f>VLOOKUP(E9296,DATABASE!C:Q,11,false)</f>
        <v>Tire</v>
      </c>
    </row>
    <row r="9297" ht="22.5" customHeight="1">
      <c r="A9297" s="49"/>
      <c r="C9297" s="400">
        <v>46202.0</v>
      </c>
      <c r="D9297" s="524">
        <v>191.0</v>
      </c>
      <c r="E9297" s="544" t="s">
        <v>268</v>
      </c>
      <c r="F9297" s="387">
        <v>1.0</v>
      </c>
      <c r="G9297" s="140">
        <v>720000.0</v>
      </c>
      <c r="H9297" s="74"/>
      <c r="I9297" s="74">
        <f t="shared" si="1"/>
        <v>720000</v>
      </c>
      <c r="J9297" s="74">
        <f>IF(E9297="SERVICE",I9297-(I9297*50%),Vlookup(E9297,DATABASE!C:Q,10,false)*F9297)</f>
        <v>0</v>
      </c>
      <c r="K9297" s="74">
        <f>VLOOKUP(E9297,DATABASE!C:Q,7,false)</f>
        <v>653000</v>
      </c>
      <c r="L9297" s="74">
        <v>634500.0</v>
      </c>
      <c r="M9297" s="74">
        <f t="shared" si="6"/>
        <v>635000</v>
      </c>
      <c r="N9297" s="74">
        <f t="shared" si="3"/>
        <v>85000</v>
      </c>
      <c r="O9297" s="65" t="str">
        <f>VLOOKUP(E9297,DATABASE!C:Q,8,false)</f>
        <v>IBU</v>
      </c>
      <c r="P9297" s="65">
        <f>VLOOKUP(E9297,DATABASE!C:Q,9,False)</f>
        <v>1</v>
      </c>
      <c r="Q9297" s="93" t="str">
        <f>VLOOKUP(E9297,DATABASE!C:Q,4,false)</f>
        <v>Dunlop</v>
      </c>
      <c r="R9297" s="93" t="str">
        <f>VLOOKUP(E9297,DATABASE!C:Q,11,false)</f>
        <v>Tire</v>
      </c>
    </row>
    <row r="9298" ht="22.5" customHeight="1">
      <c r="A9298" s="49"/>
      <c r="C9298" s="400">
        <v>46202.0</v>
      </c>
      <c r="D9298" s="524">
        <v>192.0</v>
      </c>
      <c r="E9298" s="544" t="s">
        <v>256</v>
      </c>
      <c r="F9298" s="387">
        <v>1.0</v>
      </c>
      <c r="G9298" s="140">
        <v>175000.0</v>
      </c>
      <c r="H9298" s="140">
        <v>25000.0</v>
      </c>
      <c r="I9298" s="74">
        <f t="shared" si="1"/>
        <v>150000</v>
      </c>
      <c r="J9298" s="74">
        <f>IF(E9298="SERVICE",I9298-(I9298*50%),Vlookup(E9298,DATABASE!C:Q,10,false)*F9298)</f>
        <v>10000</v>
      </c>
      <c r="K9298" s="74">
        <f>VLOOKUP(E9298,DATABASE!C:Q,7,false)</f>
        <v>0</v>
      </c>
      <c r="L9298" s="74">
        <v>0.0</v>
      </c>
      <c r="M9298" s="74">
        <f t="shared" si="6"/>
        <v>0</v>
      </c>
      <c r="N9298" s="74">
        <f t="shared" si="3"/>
        <v>140000</v>
      </c>
      <c r="O9298" s="65" t="str">
        <f>VLOOKUP(E9298,DATABASE!C:Q,8,false)</f>
        <v>IBU</v>
      </c>
      <c r="P9298" s="65">
        <f>VLOOKUP(E9298,DATABASE!C:Q,9,False)</f>
        <v>0</v>
      </c>
      <c r="Q9298" s="93" t="str">
        <f>VLOOKUP(E9298,DATABASE!C:Q,4,false)</f>
        <v>SPOORING</v>
      </c>
      <c r="R9298" s="93" t="str">
        <f>VLOOKUP(E9298,DATABASE!C:Q,11,false)</f>
        <v>SERVICE</v>
      </c>
    </row>
    <row r="9299" ht="22.5" customHeight="1">
      <c r="A9299" s="49"/>
      <c r="C9299" s="400">
        <v>46202.0</v>
      </c>
      <c r="D9299" s="524">
        <v>192.0</v>
      </c>
      <c r="E9299" s="544" t="s">
        <v>301</v>
      </c>
      <c r="F9299" s="387">
        <v>1.0</v>
      </c>
      <c r="G9299" s="140">
        <v>250000.0</v>
      </c>
      <c r="H9299" s="74"/>
      <c r="I9299" s="74">
        <f t="shared" si="1"/>
        <v>250000</v>
      </c>
      <c r="J9299" s="74">
        <f>IF(E9299="SERVICE",I9299-(I9299*50%),Vlookup(E9299,DATABASE!C:Q,10,false)*F9299)</f>
        <v>75000</v>
      </c>
      <c r="K9299" s="74">
        <f>VLOOKUP(E9299,DATABASE!C:Q,7,false)</f>
        <v>75000</v>
      </c>
      <c r="L9299" s="74">
        <v>75000.0</v>
      </c>
      <c r="M9299" s="74">
        <f t="shared" si="6"/>
        <v>75000</v>
      </c>
      <c r="N9299" s="74">
        <f t="shared" si="3"/>
        <v>100000</v>
      </c>
      <c r="O9299" s="65" t="str">
        <f>VLOOKUP(E9299,DATABASE!C:Q,8,false)</f>
        <v>BIAN</v>
      </c>
      <c r="P9299" s="65">
        <f>VLOOKUP(E9299,DATABASE!C:Q,9,False)</f>
        <v>0</v>
      </c>
      <c r="Q9299" s="93" t="str">
        <f>VLOOKUP(E9299,DATABASE!C:Q,4,false)</f>
        <v>Baut Camber</v>
      </c>
      <c r="R9299" s="93" t="str">
        <f>VLOOKUP(E9299,DATABASE!C:Q,11,false)</f>
        <v>COMPLEMENTARY</v>
      </c>
    </row>
    <row r="9300" ht="22.5" customHeight="1">
      <c r="A9300" s="49"/>
      <c r="C9300" s="400">
        <v>46202.0</v>
      </c>
      <c r="D9300" s="524">
        <v>193.0</v>
      </c>
      <c r="E9300" s="544" t="s">
        <v>932</v>
      </c>
      <c r="F9300" s="387">
        <v>2.0</v>
      </c>
      <c r="G9300" s="140">
        <v>690000.0</v>
      </c>
      <c r="H9300" s="74"/>
      <c r="I9300" s="74">
        <f t="shared" si="1"/>
        <v>1380000</v>
      </c>
      <c r="J9300" s="74">
        <f>IF(E9300="SERVICE",I9300-(I9300*50%),Vlookup(E9300,DATABASE!C:Q,10,false)*F9300)</f>
        <v>0</v>
      </c>
      <c r="K9300" s="74">
        <f>VLOOKUP(E9300,DATABASE!C:Q,7,false)</f>
        <v>601000</v>
      </c>
      <c r="L9300" s="74">
        <v>601000.0</v>
      </c>
      <c r="M9300" s="74">
        <f t="shared" si="6"/>
        <v>605000</v>
      </c>
      <c r="N9300" s="74">
        <f t="shared" si="3"/>
        <v>170000</v>
      </c>
      <c r="O9300" s="65" t="str">
        <f>VLOOKUP(E9300,DATABASE!C:Q,8,false)</f>
        <v>IBU</v>
      </c>
      <c r="P9300" s="65">
        <f>VLOOKUP(E9300,DATABASE!C:Q,9,False)</f>
        <v>1</v>
      </c>
      <c r="Q9300" s="93" t="str">
        <f>VLOOKUP(E9300,DATABASE!C:Q,4,false)</f>
        <v>Dunlop</v>
      </c>
      <c r="R9300" s="93" t="str">
        <f>VLOOKUP(E9300,DATABASE!C:Q,11,false)</f>
        <v>Tire</v>
      </c>
    </row>
    <row r="9301" ht="22.5" customHeight="1">
      <c r="A9301" s="49"/>
      <c r="C9301" s="400">
        <v>46202.0</v>
      </c>
      <c r="D9301" s="524">
        <v>194.0</v>
      </c>
      <c r="E9301" s="544" t="s">
        <v>262</v>
      </c>
      <c r="F9301" s="387">
        <v>1.0</v>
      </c>
      <c r="G9301" s="140">
        <v>130000.0</v>
      </c>
      <c r="H9301" s="74"/>
      <c r="I9301" s="74">
        <f t="shared" si="1"/>
        <v>130000</v>
      </c>
      <c r="J9301" s="74">
        <f>IF(E9301="SERVICE",I9301-(I9301*50%),Vlookup(E9301,DATABASE!C:Q,10,false)*F9301)</f>
        <v>5000</v>
      </c>
      <c r="K9301" s="74">
        <f>VLOOKUP(E9301,DATABASE!C:Q,7,false)</f>
        <v>0</v>
      </c>
      <c r="L9301" s="74">
        <v>0.0</v>
      </c>
      <c r="M9301" s="74">
        <f t="shared" si="6"/>
        <v>0</v>
      </c>
      <c r="N9301" s="74">
        <f t="shared" si="3"/>
        <v>125000</v>
      </c>
      <c r="O9301" s="65" t="str">
        <f>VLOOKUP(E9301,DATABASE!C:Q,8,false)</f>
        <v>IBU</v>
      </c>
      <c r="P9301" s="65">
        <f>VLOOKUP(E9301,DATABASE!C:Q,9,False)</f>
        <v>0</v>
      </c>
      <c r="Q9301" s="93" t="str">
        <f>VLOOKUP(E9301,DATABASE!C:Q,4,false)</f>
        <v>SPOORING SS/CARRY LOS BAK</v>
      </c>
      <c r="R9301" s="93" t="str">
        <f>VLOOKUP(E9301,DATABASE!C:Q,11,false)</f>
        <v>SERVICE</v>
      </c>
    </row>
    <row r="9302" ht="22.5" customHeight="1">
      <c r="A9302" s="49"/>
      <c r="C9302" s="400">
        <v>46202.0</v>
      </c>
      <c r="D9302" s="524">
        <v>194.0</v>
      </c>
      <c r="E9302" s="544" t="s">
        <v>478</v>
      </c>
      <c r="F9302" s="387">
        <v>1.0</v>
      </c>
      <c r="G9302" s="140">
        <v>200000.0</v>
      </c>
      <c r="H9302" s="74"/>
      <c r="I9302" s="74">
        <f t="shared" si="1"/>
        <v>200000</v>
      </c>
      <c r="J9302" s="74">
        <f>IF(E9302="SERVICE",I9302-(I9302*50%),Vlookup(E9302,DATABASE!C:Q,10,false)*F9302)</f>
        <v>25000</v>
      </c>
      <c r="K9302" s="74">
        <f>VLOOKUP(E9302,DATABASE!C:Q,7,false)</f>
        <v>75000</v>
      </c>
      <c r="L9302" s="74">
        <v>75000.0</v>
      </c>
      <c r="M9302" s="74">
        <f t="shared" si="6"/>
        <v>75000</v>
      </c>
      <c r="N9302" s="74">
        <f t="shared" si="3"/>
        <v>100000</v>
      </c>
      <c r="O9302" s="65" t="str">
        <f>VLOOKUP(E9302,DATABASE!C:Q,8,false)</f>
        <v>BIAN</v>
      </c>
      <c r="P9302" s="65">
        <f>VLOOKUP(E9302,DATABASE!C:Q,9,False)</f>
        <v>0</v>
      </c>
      <c r="Q9302" s="93" t="str">
        <f>VLOOKUP(E9302,DATABASE!C:Q,4,false)</f>
        <v>Baut Camber ss-carry</v>
      </c>
      <c r="R9302" s="93" t="str">
        <f>VLOOKUP(E9302,DATABASE!C:Q,11,false)</f>
        <v>COMPLEMENTARY</v>
      </c>
    </row>
    <row r="9303" ht="22.5" customHeight="1">
      <c r="A9303" s="49"/>
      <c r="C9303" s="400">
        <v>46202.0</v>
      </c>
      <c r="D9303" s="69" t="s">
        <v>2856</v>
      </c>
      <c r="E9303" s="544" t="s">
        <v>248</v>
      </c>
      <c r="F9303" s="387">
        <v>1.0</v>
      </c>
      <c r="G9303" s="140">
        <v>250000.0</v>
      </c>
      <c r="H9303" s="74"/>
      <c r="I9303" s="74">
        <f t="shared" si="1"/>
        <v>250000</v>
      </c>
      <c r="J9303" s="74">
        <f>IF(E9303="SERVICE",I9303-(I9303*50%),Vlookup(E9303,DATABASE!C:Q,10,false)*F9303)</f>
        <v>0</v>
      </c>
      <c r="K9303" s="74">
        <f>VLOOKUP(E9303,DATABASE!C:Q,7,false)</f>
        <v>209816.66</v>
      </c>
      <c r="L9303" s="74">
        <v>209816.66</v>
      </c>
      <c r="M9303" s="74">
        <f t="shared" si="6"/>
        <v>210000</v>
      </c>
      <c r="N9303" s="74">
        <f t="shared" si="3"/>
        <v>40000</v>
      </c>
      <c r="O9303" s="65" t="str">
        <f>VLOOKUP(E9303,DATABASE!C:Q,8,false)</f>
        <v>NON</v>
      </c>
      <c r="P9303" s="65">
        <f>VLOOKUP(E9303,DATABASE!C:Q,9,False)</f>
        <v>0</v>
      </c>
      <c r="Q9303" s="93" t="str">
        <f>VLOOKUP(E9303,DATABASE!C:Q,4,false)</f>
        <v>Pertamina</v>
      </c>
      <c r="R9303" s="93" t="str">
        <f>VLOOKUP(E9303,DATABASE!C:Q,11,false)</f>
        <v>OIL</v>
      </c>
    </row>
    <row r="9304" ht="22.5" customHeight="1">
      <c r="A9304" s="49"/>
      <c r="C9304" s="400">
        <v>46203.0</v>
      </c>
      <c r="D9304" s="524">
        <v>195.0</v>
      </c>
      <c r="E9304" s="544" t="s">
        <v>1928</v>
      </c>
      <c r="F9304" s="387">
        <v>2.0</v>
      </c>
      <c r="G9304" s="140">
        <v>680000.0</v>
      </c>
      <c r="H9304" s="74"/>
      <c r="I9304" s="74">
        <f t="shared" si="1"/>
        <v>1360000</v>
      </c>
      <c r="J9304" s="74">
        <f>IF(E9304="SERVICE",I9304-(I9304*50%),Vlookup(E9304,DATABASE!C:Q,10,false)*F9304)</f>
        <v>0</v>
      </c>
      <c r="K9304" s="74">
        <f>VLOOKUP(E9304,DATABASE!C:Q,7,false)</f>
        <v>589700</v>
      </c>
      <c r="L9304" s="74">
        <v>589700.0</v>
      </c>
      <c r="M9304" s="74">
        <f t="shared" si="6"/>
        <v>590000</v>
      </c>
      <c r="N9304" s="74">
        <f t="shared" si="3"/>
        <v>180000</v>
      </c>
      <c r="O9304" s="65" t="str">
        <f>VLOOKUP(E9304,DATABASE!C:Q,8,false)</f>
        <v>BIAN</v>
      </c>
      <c r="P9304" s="65">
        <f>VLOOKUP(E9304,DATABASE!C:Q,9,False)</f>
        <v>1</v>
      </c>
      <c r="Q9304" s="93" t="str">
        <f>VLOOKUP(E9304,DATABASE!C:Q,4,false)</f>
        <v>GT</v>
      </c>
      <c r="R9304" s="93" t="str">
        <f>VLOOKUP(E9304,DATABASE!C:Q,11,false)</f>
        <v>Tire</v>
      </c>
    </row>
    <row r="9305" ht="22.5" customHeight="1">
      <c r="A9305" s="49"/>
      <c r="C9305" s="400">
        <v>46203.0</v>
      </c>
      <c r="D9305" s="524">
        <v>196.0</v>
      </c>
      <c r="E9305" s="544" t="s">
        <v>286</v>
      </c>
      <c r="F9305" s="387">
        <v>1.0</v>
      </c>
      <c r="G9305" s="140">
        <v>560000.0</v>
      </c>
      <c r="H9305" s="140">
        <v>10000.0</v>
      </c>
      <c r="I9305" s="74">
        <f t="shared" si="1"/>
        <v>550000</v>
      </c>
      <c r="J9305" s="74">
        <f>IF(E9305="SERVICE",I9305-(I9305*50%),Vlookup(E9305,DATABASE!C:Q,10,false)*F9305)</f>
        <v>0</v>
      </c>
      <c r="K9305" s="74">
        <f>VLOOKUP(E9305,DATABASE!C:Q,7,false)</f>
        <v>488320</v>
      </c>
      <c r="L9305" s="74">
        <v>459420.0</v>
      </c>
      <c r="M9305" s="74">
        <f t="shared" si="6"/>
        <v>460000</v>
      </c>
      <c r="N9305" s="74">
        <f t="shared" si="3"/>
        <v>90000</v>
      </c>
      <c r="O9305" s="65" t="str">
        <f>VLOOKUP(E9305,DATABASE!C:Q,8,false)</f>
        <v>BIAN</v>
      </c>
      <c r="P9305" s="65">
        <f>VLOOKUP(E9305,DATABASE!C:Q,9,False)</f>
        <v>1</v>
      </c>
      <c r="Q9305" s="93" t="str">
        <f>VLOOKUP(E9305,DATABASE!C:Q,4,false)</f>
        <v>GT</v>
      </c>
      <c r="R9305" s="93" t="str">
        <f>VLOOKUP(E9305,DATABASE!C:Q,11,false)</f>
        <v>Tire</v>
      </c>
    </row>
    <row r="9306" ht="22.5" customHeight="1">
      <c r="A9306" s="49"/>
      <c r="C9306" s="400">
        <v>46203.0</v>
      </c>
      <c r="D9306" s="524">
        <v>196.0</v>
      </c>
      <c r="E9306" s="544" t="s">
        <v>569</v>
      </c>
      <c r="F9306" s="387">
        <v>1.0</v>
      </c>
      <c r="G9306" s="140">
        <v>80000.0</v>
      </c>
      <c r="H9306" s="74"/>
      <c r="I9306" s="74">
        <f t="shared" si="1"/>
        <v>80000</v>
      </c>
      <c r="J9306" s="74">
        <f>IF(E9306="SERVICE",I9306-(I9306*50%),Vlookup(E9306,DATABASE!C:Q,10,false)*F9306)</f>
        <v>0</v>
      </c>
      <c r="K9306" s="74">
        <f>VLOOKUP(E9306,DATABASE!C:Q,7,false)</f>
        <v>45439.582</v>
      </c>
      <c r="L9306" s="74">
        <v>45439.582</v>
      </c>
      <c r="M9306" s="74">
        <f t="shared" si="6"/>
        <v>50000</v>
      </c>
      <c r="N9306" s="74">
        <f t="shared" si="3"/>
        <v>30000</v>
      </c>
      <c r="O9306" s="65" t="str">
        <f>VLOOKUP(E9306,DATABASE!C:Q,8,false)</f>
        <v>BIAN</v>
      </c>
      <c r="P9306" s="65">
        <f>VLOOKUP(E9306,DATABASE!C:Q,9,False)</f>
        <v>1</v>
      </c>
      <c r="Q9306" s="93" t="str">
        <f>VLOOKUP(E9306,DATABASE!C:Q,4,false)</f>
        <v>BD</v>
      </c>
      <c r="R9306" s="93" t="str">
        <f>VLOOKUP(E9306,DATABASE!C:Q,11,false)</f>
        <v>Tire</v>
      </c>
    </row>
    <row r="9307" ht="22.5" customHeight="1">
      <c r="A9307" s="49"/>
      <c r="C9307" s="400">
        <v>46203.0</v>
      </c>
      <c r="D9307" s="524">
        <v>197.0</v>
      </c>
      <c r="E9307" s="544" t="s">
        <v>781</v>
      </c>
      <c r="F9307" s="387">
        <v>1.0</v>
      </c>
      <c r="G9307" s="140">
        <v>550000.0</v>
      </c>
      <c r="H9307" s="140">
        <v>15000.0</v>
      </c>
      <c r="I9307" s="74">
        <f t="shared" si="1"/>
        <v>535000</v>
      </c>
      <c r="J9307" s="74">
        <f>IF(E9307="SERVICE",I9307-(I9307*50%),Vlookup(E9307,DATABASE!C:Q,10,false)*F9307)</f>
        <v>0</v>
      </c>
      <c r="K9307" s="74">
        <f>VLOOKUP(E9307,DATABASE!C:Q,7,false)</f>
        <v>470000</v>
      </c>
      <c r="L9307" s="140">
        <v>450000.0</v>
      </c>
      <c r="M9307" s="74">
        <f t="shared" si="6"/>
        <v>450000</v>
      </c>
      <c r="N9307" s="74">
        <f t="shared" si="3"/>
        <v>85000</v>
      </c>
      <c r="O9307" s="65" t="str">
        <f>VLOOKUP(E9307,DATABASE!C:Q,8,false)</f>
        <v>BIAN</v>
      </c>
      <c r="P9307" s="65">
        <f>VLOOKUP(E9307,DATABASE!C:Q,9,False)</f>
        <v>1</v>
      </c>
      <c r="Q9307" s="93" t="str">
        <f>VLOOKUP(E9307,DATABASE!C:Q,4,false)</f>
        <v>GT</v>
      </c>
      <c r="R9307" s="93" t="str">
        <f>VLOOKUP(E9307,DATABASE!C:Q,11,false)</f>
        <v>Tire</v>
      </c>
    </row>
    <row r="9308" ht="22.5" customHeight="1">
      <c r="A9308" s="49"/>
      <c r="C9308" s="400">
        <v>46203.0</v>
      </c>
      <c r="D9308" s="524">
        <v>198.0</v>
      </c>
      <c r="E9308" s="544" t="s">
        <v>305</v>
      </c>
      <c r="F9308" s="387">
        <v>2.0</v>
      </c>
      <c r="G9308" s="140">
        <v>240000.0</v>
      </c>
      <c r="H9308" s="74"/>
      <c r="I9308" s="74">
        <f t="shared" si="1"/>
        <v>480000</v>
      </c>
      <c r="J9308" s="74">
        <f>IF(E9308="SERVICE",I9308-(I9308*50%),Vlookup(E9308,DATABASE!C:Q,10,false)*F9308)</f>
        <v>80000</v>
      </c>
      <c r="K9308" s="74">
        <f>VLOOKUP(E9308,DATABASE!C:Q,7,false)</f>
        <v>158530.2</v>
      </c>
      <c r="L9308" s="74">
        <v>158530.2</v>
      </c>
      <c r="M9308" s="74">
        <f t="shared" si="6"/>
        <v>160000</v>
      </c>
      <c r="N9308" s="74">
        <f t="shared" si="3"/>
        <v>80000</v>
      </c>
      <c r="O9308" s="65" t="str">
        <f>VLOOKUP(E9308,DATABASE!C:Q,8,false)</f>
        <v>BIAN</v>
      </c>
      <c r="P9308" s="65">
        <f>VLOOKUP(E9308,DATABASE!C:Q,9,False)</f>
        <v>1</v>
      </c>
      <c r="Q9308" s="93" t="str">
        <f>VLOOKUP(E9308,DATABASE!C:Q,4,false)</f>
        <v>Lower Arm</v>
      </c>
      <c r="R9308" s="93" t="str">
        <f>VLOOKUP(E9308,DATABASE!C:Q,11,false)</f>
        <v>COMPLEMENTARY</v>
      </c>
    </row>
    <row r="9309" ht="22.5" customHeight="1">
      <c r="A9309" s="49"/>
      <c r="C9309" s="400">
        <v>46203.0</v>
      </c>
      <c r="D9309" s="524">
        <v>198.0</v>
      </c>
      <c r="E9309" s="544" t="s">
        <v>2206</v>
      </c>
      <c r="F9309" s="387">
        <v>2.0</v>
      </c>
      <c r="G9309" s="140">
        <v>200000.0</v>
      </c>
      <c r="H9309" s="74"/>
      <c r="I9309" s="74">
        <f t="shared" si="1"/>
        <v>400000</v>
      </c>
      <c r="J9309" s="74">
        <f>IF(E9309="SERVICE",I9309-(I9309*50%),Vlookup(E9309,DATABASE!C:Q,10,false)*F9309)</f>
        <v>80000</v>
      </c>
      <c r="K9309" s="74">
        <f>VLOOKUP(E9309,DATABASE!C:Q,7,false)</f>
        <v>95450</v>
      </c>
      <c r="L9309" s="74">
        <v>95450.0</v>
      </c>
      <c r="M9309" s="74">
        <f t="shared" si="6"/>
        <v>100000</v>
      </c>
      <c r="N9309" s="74">
        <f t="shared" si="3"/>
        <v>120000</v>
      </c>
      <c r="O9309" s="65" t="str">
        <f>VLOOKUP(E9309,DATABASE!C:Q,8,false)</f>
        <v>IBU</v>
      </c>
      <c r="P9309" s="65">
        <f>VLOOKUP(E9309,DATABASE!C:Q,9,False)</f>
        <v>1</v>
      </c>
      <c r="Q9309" s="93" t="str">
        <f>VLOOKUP(E9309,DATABASE!C:Q,4,false)</f>
        <v>TIEROD</v>
      </c>
      <c r="R9309" s="93" t="str">
        <f>VLOOKUP(E9309,DATABASE!C:Q,11,false)</f>
        <v>COMPLEMENTARY</v>
      </c>
    </row>
    <row r="9310" ht="22.5" customHeight="1">
      <c r="A9310" s="49"/>
      <c r="C9310" s="400">
        <v>46203.0</v>
      </c>
      <c r="D9310" s="524">
        <v>198.0</v>
      </c>
      <c r="E9310" s="544" t="s">
        <v>262</v>
      </c>
      <c r="F9310" s="387">
        <v>1.0</v>
      </c>
      <c r="G9310" s="140">
        <v>130000.0</v>
      </c>
      <c r="H9310" s="140">
        <v>10000.0</v>
      </c>
      <c r="I9310" s="74">
        <f t="shared" si="1"/>
        <v>120000</v>
      </c>
      <c r="J9310" s="74">
        <f>IF(E9310="SERVICE",I9310-(I9310*50%),Vlookup(E9310,DATABASE!C:Q,10,false)*F9310)</f>
        <v>5000</v>
      </c>
      <c r="K9310" s="74">
        <f>VLOOKUP(E9310,DATABASE!C:Q,7,false)</f>
        <v>0</v>
      </c>
      <c r="L9310" s="74">
        <v>0.0</v>
      </c>
      <c r="M9310" s="74">
        <f t="shared" si="6"/>
        <v>0</v>
      </c>
      <c r="N9310" s="74">
        <f t="shared" si="3"/>
        <v>115000</v>
      </c>
      <c r="O9310" s="65" t="str">
        <f>VLOOKUP(E9310,DATABASE!C:Q,8,false)</f>
        <v>IBU</v>
      </c>
      <c r="P9310" s="65">
        <f>VLOOKUP(E9310,DATABASE!C:Q,9,False)</f>
        <v>0</v>
      </c>
      <c r="Q9310" s="93" t="str">
        <f>VLOOKUP(E9310,DATABASE!C:Q,4,false)</f>
        <v>SPOORING SS/CARRY LOS BAK</v>
      </c>
      <c r="R9310" s="93" t="str">
        <f>VLOOKUP(E9310,DATABASE!C:Q,11,false)</f>
        <v>SERVICE</v>
      </c>
    </row>
    <row r="9311" ht="22.5" customHeight="1">
      <c r="A9311" s="49"/>
      <c r="C9311" s="400">
        <v>46203.0</v>
      </c>
      <c r="D9311" s="524">
        <v>198.0</v>
      </c>
      <c r="E9311" s="544" t="s">
        <v>478</v>
      </c>
      <c r="F9311" s="387">
        <v>1.0</v>
      </c>
      <c r="G9311" s="140">
        <v>200000.0</v>
      </c>
      <c r="H9311" s="74"/>
      <c r="I9311" s="74">
        <f t="shared" si="1"/>
        <v>200000</v>
      </c>
      <c r="J9311" s="74">
        <f>IF(E9311="SERVICE",I9311-(I9311*50%),Vlookup(E9311,DATABASE!C:Q,10,false)*F9311)</f>
        <v>25000</v>
      </c>
      <c r="K9311" s="74">
        <f>VLOOKUP(E9311,DATABASE!C:Q,7,false)</f>
        <v>75000</v>
      </c>
      <c r="L9311" s="74">
        <v>75000.0</v>
      </c>
      <c r="M9311" s="74">
        <f t="shared" si="6"/>
        <v>75000</v>
      </c>
      <c r="N9311" s="74">
        <f t="shared" si="3"/>
        <v>100000</v>
      </c>
      <c r="O9311" s="65" t="str">
        <f>VLOOKUP(E9311,DATABASE!C:Q,8,false)</f>
        <v>BIAN</v>
      </c>
      <c r="P9311" s="65">
        <f>VLOOKUP(E9311,DATABASE!C:Q,9,False)</f>
        <v>0</v>
      </c>
      <c r="Q9311" s="93" t="str">
        <f>VLOOKUP(E9311,DATABASE!C:Q,4,false)</f>
        <v>Baut Camber ss-carry</v>
      </c>
      <c r="R9311" s="93" t="str">
        <f>VLOOKUP(E9311,DATABASE!C:Q,11,false)</f>
        <v>COMPLEMENTARY</v>
      </c>
    </row>
    <row r="9312" ht="22.5" customHeight="1">
      <c r="A9312" s="49"/>
      <c r="C9312" s="400">
        <v>46203.0</v>
      </c>
      <c r="D9312" s="524">
        <v>199.0</v>
      </c>
      <c r="E9312" s="544" t="s">
        <v>262</v>
      </c>
      <c r="F9312" s="387">
        <v>1.0</v>
      </c>
      <c r="G9312" s="140">
        <v>130000.0</v>
      </c>
      <c r="H9312" s="74"/>
      <c r="I9312" s="74">
        <f t="shared" si="1"/>
        <v>130000</v>
      </c>
      <c r="J9312" s="74">
        <f>IF(E9312="SERVICE",I9312-(I9312*50%),Vlookup(E9312,DATABASE!C:Q,10,false)*F9312)</f>
        <v>5000</v>
      </c>
      <c r="K9312" s="74">
        <f>VLOOKUP(E9312,DATABASE!C:Q,7,false)</f>
        <v>0</v>
      </c>
      <c r="L9312" s="74">
        <v>0.0</v>
      </c>
      <c r="M9312" s="74">
        <f t="shared" si="6"/>
        <v>0</v>
      </c>
      <c r="N9312" s="74">
        <f t="shared" si="3"/>
        <v>125000</v>
      </c>
      <c r="O9312" s="65" t="str">
        <f>VLOOKUP(E9312,DATABASE!C:Q,8,false)</f>
        <v>IBU</v>
      </c>
      <c r="P9312" s="65">
        <f>VLOOKUP(E9312,DATABASE!C:Q,9,False)</f>
        <v>0</v>
      </c>
      <c r="Q9312" s="93" t="str">
        <f>VLOOKUP(E9312,DATABASE!C:Q,4,false)</f>
        <v>SPOORING SS/CARRY LOS BAK</v>
      </c>
      <c r="R9312" s="93" t="str">
        <f>VLOOKUP(E9312,DATABASE!C:Q,11,false)</f>
        <v>SERVICE</v>
      </c>
    </row>
    <row r="9313" ht="22.5" customHeight="1">
      <c r="A9313" s="49"/>
      <c r="C9313" s="400">
        <v>46203.0</v>
      </c>
      <c r="D9313" s="524">
        <v>199.0</v>
      </c>
      <c r="E9313" s="544" t="s">
        <v>251</v>
      </c>
      <c r="F9313" s="387">
        <v>1.0</v>
      </c>
      <c r="G9313" s="140">
        <v>350000.0</v>
      </c>
      <c r="H9313" s="140">
        <v>200000.0</v>
      </c>
      <c r="I9313" s="74">
        <f t="shared" si="1"/>
        <v>150000</v>
      </c>
      <c r="J9313" s="74">
        <f>IF(E9313="SERVICE",I9313-(I9313*50%),Vlookup(E9313,DATABASE!C:Q,10,false)*F9313)</f>
        <v>75000</v>
      </c>
      <c r="K9313" s="74">
        <f>VLOOKUP(E9313,DATABASE!C:Q,7,false)</f>
        <v>0</v>
      </c>
      <c r="L9313" s="74">
        <v>0.0</v>
      </c>
      <c r="M9313" s="74">
        <f t="shared" si="6"/>
        <v>0</v>
      </c>
      <c r="N9313" s="74">
        <f t="shared" si="3"/>
        <v>75000</v>
      </c>
      <c r="O9313" s="65" t="str">
        <f>VLOOKUP(E9313,DATABASE!C:Q,8,false)</f>
        <v>IBU</v>
      </c>
      <c r="P9313" s="65">
        <f>VLOOKUP(E9313,DATABASE!C:Q,9,False)</f>
        <v>0</v>
      </c>
      <c r="Q9313" s="93" t="str">
        <f>VLOOKUP(E9313,DATABASE!C:Q,4,false)</f>
        <v>SERVICE</v>
      </c>
      <c r="R9313" s="93" t="str">
        <f>VLOOKUP(E9313,DATABASE!C:Q,11,false)</f>
        <v>SERVICE</v>
      </c>
    </row>
    <row r="9314" ht="22.5" customHeight="1">
      <c r="A9314" s="49"/>
      <c r="C9314" s="400">
        <v>46203.0</v>
      </c>
      <c r="D9314" s="524">
        <v>200.0</v>
      </c>
      <c r="E9314" s="544" t="s">
        <v>1913</v>
      </c>
      <c r="F9314" s="387">
        <v>2.0</v>
      </c>
      <c r="G9314" s="140">
        <v>680000.0</v>
      </c>
      <c r="H9314" s="74"/>
      <c r="I9314" s="74">
        <f t="shared" si="1"/>
        <v>1360000</v>
      </c>
      <c r="J9314" s="74">
        <f>IF(E9314="SERVICE",I9314-(I9314*50%),Vlookup(E9314,DATABASE!C:Q,10,false)*F9314)</f>
        <v>0</v>
      </c>
      <c r="K9314" s="74">
        <f>VLOOKUP(E9314,DATABASE!C:Q,7,false)</f>
        <v>587200</v>
      </c>
      <c r="L9314" s="74">
        <v>587200.0</v>
      </c>
      <c r="M9314" s="74">
        <f t="shared" si="6"/>
        <v>590000</v>
      </c>
      <c r="N9314" s="74">
        <f t="shared" si="3"/>
        <v>180000</v>
      </c>
      <c r="O9314" s="65" t="str">
        <f>VLOOKUP(E9314,DATABASE!C:Q,8,false)</f>
        <v>BIAN</v>
      </c>
      <c r="P9314" s="65">
        <f>VLOOKUP(E9314,DATABASE!C:Q,9,False)</f>
        <v>1</v>
      </c>
      <c r="Q9314" s="93" t="str">
        <f>VLOOKUP(E9314,DATABASE!C:Q,4,false)</f>
        <v>GT</v>
      </c>
      <c r="R9314" s="93" t="str">
        <f>VLOOKUP(E9314,DATABASE!C:Q,11,false)</f>
        <v>Tire</v>
      </c>
    </row>
    <row r="9315" ht="22.5" customHeight="1">
      <c r="A9315" s="49"/>
      <c r="C9315" s="400">
        <v>46203.0</v>
      </c>
      <c r="D9315" s="524">
        <v>201.0</v>
      </c>
      <c r="E9315" s="544" t="s">
        <v>781</v>
      </c>
      <c r="F9315" s="387">
        <v>1.0</v>
      </c>
      <c r="G9315" s="140">
        <v>550000.0</v>
      </c>
      <c r="H9315" s="140">
        <v>15000.0</v>
      </c>
      <c r="I9315" s="74">
        <f t="shared" si="1"/>
        <v>535000</v>
      </c>
      <c r="J9315" s="74">
        <f>IF(E9315="SERVICE",I9315-(I9315*50%),Vlookup(E9315,DATABASE!C:Q,10,false)*F9315)</f>
        <v>0</v>
      </c>
      <c r="K9315" s="74">
        <f>VLOOKUP(E9315,DATABASE!C:Q,7,false)</f>
        <v>470000</v>
      </c>
      <c r="L9315" s="140">
        <v>450000.0</v>
      </c>
      <c r="M9315" s="74">
        <f t="shared" si="6"/>
        <v>450000</v>
      </c>
      <c r="N9315" s="74">
        <f t="shared" si="3"/>
        <v>85000</v>
      </c>
      <c r="O9315" s="65" t="str">
        <f>VLOOKUP(E9315,DATABASE!C:Q,8,false)</f>
        <v>BIAN</v>
      </c>
      <c r="P9315" s="65">
        <f>VLOOKUP(E9315,DATABASE!C:Q,9,False)</f>
        <v>1</v>
      </c>
      <c r="Q9315" s="93" t="str">
        <f>VLOOKUP(E9315,DATABASE!C:Q,4,false)</f>
        <v>GT</v>
      </c>
      <c r="R9315" s="93" t="str">
        <f>VLOOKUP(E9315,DATABASE!C:Q,11,false)</f>
        <v>Tire</v>
      </c>
    </row>
    <row r="9316" ht="22.5" customHeight="1">
      <c r="A9316" s="49"/>
      <c r="C9316" s="400">
        <v>46203.0</v>
      </c>
      <c r="D9316" s="524">
        <v>201.0</v>
      </c>
      <c r="E9316" s="544" t="s">
        <v>250</v>
      </c>
      <c r="F9316" s="387">
        <v>1.0</v>
      </c>
      <c r="G9316" s="140">
        <v>135000.0</v>
      </c>
      <c r="H9316" s="74"/>
      <c r="I9316" s="74">
        <f t="shared" si="1"/>
        <v>135000</v>
      </c>
      <c r="J9316" s="74">
        <f>IF(E9316="SERVICE",I9316-(I9316*50%),Vlookup(E9316,DATABASE!C:Q,10,false)*F9316)</f>
        <v>0</v>
      </c>
      <c r="K9316" s="74">
        <f>VLOOKUP(E9316,DATABASE!C:Q,7,false)</f>
        <v>102000</v>
      </c>
      <c r="L9316" s="74">
        <v>102000.0</v>
      </c>
      <c r="M9316" s="74">
        <f t="shared" si="6"/>
        <v>105000</v>
      </c>
      <c r="N9316" s="74">
        <f t="shared" si="3"/>
        <v>30000</v>
      </c>
      <c r="O9316" s="65" t="str">
        <f>VLOOKUP(E9316,DATABASE!C:Q,8,false)</f>
        <v>BIAN</v>
      </c>
      <c r="P9316" s="65">
        <f>VLOOKUP(E9316,DATABASE!C:Q,9,False)</f>
        <v>1</v>
      </c>
      <c r="Q9316" s="93" t="str">
        <f>VLOOKUP(E9316,DATABASE!C:Q,4,false)</f>
        <v>BD</v>
      </c>
      <c r="R9316" s="93" t="str">
        <f>VLOOKUP(E9316,DATABASE!C:Q,11,false)</f>
        <v>Tire</v>
      </c>
    </row>
    <row r="9317" ht="22.5" customHeight="1">
      <c r="A9317" s="29"/>
      <c r="C9317" s="400">
        <v>46203.0</v>
      </c>
      <c r="D9317" s="524">
        <v>202.0</v>
      </c>
      <c r="E9317" s="544" t="s">
        <v>262</v>
      </c>
      <c r="F9317" s="387">
        <v>1.0</v>
      </c>
      <c r="G9317" s="140">
        <v>130000.0</v>
      </c>
      <c r="H9317" s="74"/>
      <c r="I9317" s="74">
        <f t="shared" si="1"/>
        <v>130000</v>
      </c>
      <c r="J9317" s="74">
        <f>IF(E9317="SERVICE",I9317-(I9317*50%),Vlookup(E9317,DATABASE!C:Q,10,false)*F9317)</f>
        <v>5000</v>
      </c>
      <c r="K9317" s="74">
        <f>VLOOKUP(E9317,DATABASE!C:Q,7,false)</f>
        <v>0</v>
      </c>
      <c r="L9317" s="140">
        <v>0.0</v>
      </c>
      <c r="M9317" s="74">
        <f t="shared" si="6"/>
        <v>0</v>
      </c>
      <c r="N9317" s="74">
        <f t="shared" si="3"/>
        <v>125000</v>
      </c>
      <c r="O9317" s="65" t="str">
        <f>VLOOKUP(E9317,DATABASE!C:Q,8,false)</f>
        <v>IBU</v>
      </c>
      <c r="P9317" s="65">
        <f>VLOOKUP(E9317,DATABASE!C:Q,9,False)</f>
        <v>0</v>
      </c>
      <c r="Q9317" s="93" t="str">
        <f>VLOOKUP(E9317,DATABASE!C:Q,4,false)</f>
        <v>SPOORING SS/CARRY LOS BAK</v>
      </c>
      <c r="R9317" s="93" t="str">
        <f>VLOOKUP(E9317,DATABASE!C:Q,11,false)</f>
        <v>SERVICE</v>
      </c>
    </row>
    <row r="9318" ht="22.5" customHeight="1">
      <c r="A9318" s="49"/>
      <c r="C9318" s="400">
        <v>46203.0</v>
      </c>
      <c r="D9318" s="524">
        <v>203.0</v>
      </c>
      <c r="E9318" s="544" t="s">
        <v>781</v>
      </c>
      <c r="F9318" s="387">
        <v>2.0</v>
      </c>
      <c r="G9318" s="140">
        <v>550000.0</v>
      </c>
      <c r="H9318" s="140">
        <v>15000.0</v>
      </c>
      <c r="I9318" s="74">
        <f t="shared" si="1"/>
        <v>1070000</v>
      </c>
      <c r="J9318" s="74">
        <f>IF(E9318="SERVICE",I9318-(I9318*50%),Vlookup(E9318,DATABASE!C:Q,10,false)*F9318)</f>
        <v>0</v>
      </c>
      <c r="K9318" s="74">
        <f>VLOOKUP(E9318,DATABASE!C:Q,7,false)</f>
        <v>470000</v>
      </c>
      <c r="L9318" s="140">
        <v>450000.0</v>
      </c>
      <c r="M9318" s="74">
        <f t="shared" si="6"/>
        <v>450000</v>
      </c>
      <c r="N9318" s="74">
        <f t="shared" si="3"/>
        <v>170000</v>
      </c>
      <c r="O9318" s="65" t="str">
        <f>VLOOKUP(E9318,DATABASE!C:Q,8,false)</f>
        <v>BIAN</v>
      </c>
      <c r="P9318" s="65">
        <f>VLOOKUP(E9318,DATABASE!C:Q,9,False)</f>
        <v>1</v>
      </c>
      <c r="Q9318" s="93" t="str">
        <f>VLOOKUP(E9318,DATABASE!C:Q,4,false)</f>
        <v>GT</v>
      </c>
      <c r="R9318" s="93" t="str">
        <f>VLOOKUP(E9318,DATABASE!C:Q,11,false)</f>
        <v>Tire</v>
      </c>
    </row>
    <row r="9319" ht="22.5" customHeight="1">
      <c r="A9319" s="49"/>
      <c r="C9319" s="400">
        <v>46203.0</v>
      </c>
      <c r="D9319" s="69" t="s">
        <v>2858</v>
      </c>
      <c r="E9319" s="544" t="s">
        <v>263</v>
      </c>
      <c r="F9319" s="387">
        <v>1.0</v>
      </c>
      <c r="G9319" s="140">
        <v>385000.0</v>
      </c>
      <c r="H9319" s="74"/>
      <c r="I9319" s="74">
        <f t="shared" si="1"/>
        <v>385000</v>
      </c>
      <c r="J9319" s="74">
        <f>IF(E9319="SERVICE",I9319-(I9319*50%),Vlookup(E9319,DATABASE!C:Q,10,false)*F9319)</f>
        <v>0</v>
      </c>
      <c r="K9319" s="74">
        <f>VLOOKUP(E9319,DATABASE!C:Q,7,false)</f>
        <v>334916</v>
      </c>
      <c r="L9319" s="74">
        <v>334916.0</v>
      </c>
      <c r="M9319" s="74">
        <f t="shared" si="6"/>
        <v>335000</v>
      </c>
      <c r="N9319" s="74">
        <f t="shared" si="3"/>
        <v>50000</v>
      </c>
      <c r="O9319" s="65" t="str">
        <f>VLOOKUP(E9319,DATABASE!C:Q,8,false)</f>
        <v>NON</v>
      </c>
      <c r="P9319" s="65">
        <f>VLOOKUP(E9319,DATABASE!C:Q,9,False)</f>
        <v>0</v>
      </c>
      <c r="Q9319" s="93" t="str">
        <f>VLOOKUP(E9319,DATABASE!C:Q,4,false)</f>
        <v>Shell</v>
      </c>
      <c r="R9319" s="93" t="str">
        <f>VLOOKUP(E9319,DATABASE!C:Q,11,false)</f>
        <v>OIL</v>
      </c>
    </row>
    <row r="9320" ht="22.5" customHeight="1">
      <c r="A9320" s="49"/>
      <c r="C9320" s="400">
        <v>46204.0</v>
      </c>
      <c r="D9320" s="524">
        <v>204.0</v>
      </c>
      <c r="E9320" s="544" t="s">
        <v>856</v>
      </c>
      <c r="F9320" s="387">
        <v>1.0</v>
      </c>
      <c r="G9320" s="140">
        <v>690000.0</v>
      </c>
      <c r="H9320" s="74"/>
      <c r="I9320" s="74">
        <f t="shared" si="1"/>
        <v>690000</v>
      </c>
      <c r="J9320" s="74">
        <f>IF(E9320="SERVICE",I9320-(I9320*50%),Vlookup(E9320,DATABASE!C:Q,10,false)*F9320)</f>
        <v>0</v>
      </c>
      <c r="K9320" s="74">
        <f>VLOOKUP(E9320,DATABASE!C:Q,7,false)</f>
        <v>615300</v>
      </c>
      <c r="L9320" s="74">
        <v>604200.0</v>
      </c>
      <c r="M9320" s="74">
        <f t="shared" si="6"/>
        <v>605000</v>
      </c>
      <c r="N9320" s="74">
        <f t="shared" si="3"/>
        <v>85000</v>
      </c>
      <c r="O9320" s="65" t="str">
        <f>VLOOKUP(E9320,DATABASE!C:Q,8,false)</f>
        <v>BIAN</v>
      </c>
      <c r="P9320" s="65">
        <f>VLOOKUP(E9320,DATABASE!C:Q,9,False)</f>
        <v>1</v>
      </c>
      <c r="Q9320" s="93" t="str">
        <f>VLOOKUP(E9320,DATABASE!C:Q,4,false)</f>
        <v>GT</v>
      </c>
      <c r="R9320" s="93" t="str">
        <f>VLOOKUP(E9320,DATABASE!C:Q,11,false)</f>
        <v>Tire</v>
      </c>
    </row>
    <row r="9321" ht="22.5" customHeight="1">
      <c r="A9321" s="49"/>
      <c r="C9321" s="400">
        <v>46204.0</v>
      </c>
      <c r="D9321" s="524">
        <v>205.0</v>
      </c>
      <c r="E9321" s="544" t="s">
        <v>268</v>
      </c>
      <c r="F9321" s="387">
        <v>2.0</v>
      </c>
      <c r="G9321" s="140">
        <v>720000.0</v>
      </c>
      <c r="H9321" s="74"/>
      <c r="I9321" s="74">
        <f t="shared" si="1"/>
        <v>1440000</v>
      </c>
      <c r="J9321" s="74">
        <f>IF(E9321="SERVICE",I9321-(I9321*50%),Vlookup(E9321,DATABASE!C:Q,10,false)*F9321)</f>
        <v>0</v>
      </c>
      <c r="K9321" s="74">
        <f>VLOOKUP(E9321,DATABASE!C:Q,7,false)</f>
        <v>653000</v>
      </c>
      <c r="L9321" s="74">
        <v>634500.0</v>
      </c>
      <c r="M9321" s="74">
        <f t="shared" si="6"/>
        <v>635000</v>
      </c>
      <c r="N9321" s="74">
        <f t="shared" si="3"/>
        <v>170000</v>
      </c>
      <c r="O9321" s="65" t="str">
        <f>VLOOKUP(E9321,DATABASE!C:Q,8,false)</f>
        <v>IBU</v>
      </c>
      <c r="P9321" s="65">
        <f>VLOOKUP(E9321,DATABASE!C:Q,9,False)</f>
        <v>1</v>
      </c>
      <c r="Q9321" s="93" t="str">
        <f>VLOOKUP(E9321,DATABASE!C:Q,4,false)</f>
        <v>Dunlop</v>
      </c>
      <c r="R9321" s="93" t="str">
        <f>VLOOKUP(E9321,DATABASE!C:Q,11,false)</f>
        <v>Tire</v>
      </c>
    </row>
    <row r="9322" ht="22.5" customHeight="1">
      <c r="A9322" s="49"/>
      <c r="C9322" s="400">
        <v>46204.0</v>
      </c>
      <c r="D9322" s="524">
        <v>206.0</v>
      </c>
      <c r="E9322" s="544" t="s">
        <v>275</v>
      </c>
      <c r="F9322" s="387">
        <v>2.0</v>
      </c>
      <c r="G9322" s="140">
        <v>850000.0</v>
      </c>
      <c r="H9322" s="74"/>
      <c r="I9322" s="74">
        <f t="shared" si="1"/>
        <v>1700000</v>
      </c>
      <c r="J9322" s="74">
        <f>IF(E9322="SERVICE",I9322-(I9322*50%),Vlookup(E9322,DATABASE!C:Q,10,false)*F9322)</f>
        <v>0</v>
      </c>
      <c r="K9322" s="74">
        <f>VLOOKUP(E9322,DATABASE!C:Q,7,false)</f>
        <v>782000</v>
      </c>
      <c r="L9322" s="74">
        <v>759500.0</v>
      </c>
      <c r="M9322" s="74">
        <f t="shared" si="6"/>
        <v>760000</v>
      </c>
      <c r="N9322" s="74">
        <f t="shared" si="3"/>
        <v>180000</v>
      </c>
      <c r="O9322" s="65" t="str">
        <f>VLOOKUP(E9322,DATABASE!C:Q,8,false)</f>
        <v>IBU</v>
      </c>
      <c r="P9322" s="65">
        <f>VLOOKUP(E9322,DATABASE!C:Q,9,False)</f>
        <v>1</v>
      </c>
      <c r="Q9322" s="93" t="str">
        <f>VLOOKUP(E9322,DATABASE!C:Q,4,false)</f>
        <v>Dunlop</v>
      </c>
      <c r="R9322" s="93" t="str">
        <f>VLOOKUP(E9322,DATABASE!C:Q,11,false)</f>
        <v>Tire</v>
      </c>
    </row>
    <row r="9323" ht="22.5" customHeight="1">
      <c r="A9323" s="49"/>
      <c r="C9323" s="400">
        <v>46204.0</v>
      </c>
      <c r="D9323" s="524">
        <v>208.0</v>
      </c>
      <c r="E9323" s="544" t="s">
        <v>256</v>
      </c>
      <c r="F9323" s="387">
        <v>1.0</v>
      </c>
      <c r="G9323" s="140">
        <v>175000.0</v>
      </c>
      <c r="H9323" s="140">
        <v>25000.0</v>
      </c>
      <c r="I9323" s="74">
        <f t="shared" si="1"/>
        <v>150000</v>
      </c>
      <c r="J9323" s="74">
        <f>IF(E9323="SERVICE",I9323-(I9323*50%),Vlookup(E9323,DATABASE!C:Q,10,false)*F9323)</f>
        <v>10000</v>
      </c>
      <c r="K9323" s="74">
        <f>VLOOKUP(E9323,DATABASE!C:Q,7,false)</f>
        <v>0</v>
      </c>
      <c r="L9323" s="74">
        <v>0.0</v>
      </c>
      <c r="M9323" s="74">
        <f t="shared" si="6"/>
        <v>0</v>
      </c>
      <c r="N9323" s="74">
        <f t="shared" si="3"/>
        <v>140000</v>
      </c>
      <c r="O9323" s="65" t="str">
        <f>VLOOKUP(E9323,DATABASE!C:Q,8,false)</f>
        <v>IBU</v>
      </c>
      <c r="P9323" s="65">
        <f>VLOOKUP(E9323,DATABASE!C:Q,9,False)</f>
        <v>0</v>
      </c>
      <c r="Q9323" s="93" t="str">
        <f>VLOOKUP(E9323,DATABASE!C:Q,4,false)</f>
        <v>SPOORING</v>
      </c>
      <c r="R9323" s="93" t="str">
        <f>VLOOKUP(E9323,DATABASE!C:Q,11,false)</f>
        <v>SERVICE</v>
      </c>
    </row>
    <row r="9324" ht="22.5" customHeight="1">
      <c r="A9324" s="49"/>
      <c r="C9324" s="400">
        <v>46204.0</v>
      </c>
      <c r="D9324" s="524">
        <v>208.0</v>
      </c>
      <c r="E9324" s="544" t="s">
        <v>251</v>
      </c>
      <c r="F9324" s="387">
        <v>1.0</v>
      </c>
      <c r="G9324" s="140">
        <v>350000.0</v>
      </c>
      <c r="H9324" s="140">
        <v>100000.0</v>
      </c>
      <c r="I9324" s="74">
        <f t="shared" si="1"/>
        <v>250000</v>
      </c>
      <c r="J9324" s="74">
        <f>IF(E9324="SERVICE",I9324-(I9324*50%),Vlookup(E9324,DATABASE!C:Q,10,false)*F9324)</f>
        <v>125000</v>
      </c>
      <c r="K9324" s="74">
        <f>VLOOKUP(E9324,DATABASE!C:Q,7,false)</f>
        <v>0</v>
      </c>
      <c r="L9324" s="74">
        <v>0.0</v>
      </c>
      <c r="M9324" s="74">
        <f t="shared" si="6"/>
        <v>0</v>
      </c>
      <c r="N9324" s="74">
        <f t="shared" si="3"/>
        <v>125000</v>
      </c>
      <c r="O9324" s="65" t="str">
        <f>VLOOKUP(E9324,DATABASE!C:Q,8,false)</f>
        <v>IBU</v>
      </c>
      <c r="P9324" s="65">
        <f>VLOOKUP(E9324,DATABASE!C:Q,9,False)</f>
        <v>0</v>
      </c>
      <c r="Q9324" s="93" t="str">
        <f>VLOOKUP(E9324,DATABASE!C:Q,4,false)</f>
        <v>SERVICE</v>
      </c>
      <c r="R9324" s="93" t="str">
        <f>VLOOKUP(E9324,DATABASE!C:Q,11,false)</f>
        <v>SERVICE</v>
      </c>
    </row>
    <row r="9325" ht="22.5" customHeight="1">
      <c r="A9325" s="49"/>
      <c r="C9325" s="400">
        <v>46204.0</v>
      </c>
      <c r="D9325" s="524">
        <v>210.0</v>
      </c>
      <c r="E9325" s="544" t="s">
        <v>2624</v>
      </c>
      <c r="F9325" s="387">
        <v>1.0</v>
      </c>
      <c r="G9325" s="140">
        <v>610000.0</v>
      </c>
      <c r="H9325" s="74"/>
      <c r="I9325" s="74">
        <f t="shared" si="1"/>
        <v>610000</v>
      </c>
      <c r="J9325" s="74">
        <f>IF(E9325="SERVICE",I9325-(I9325*50%),Vlookup(E9325,DATABASE!C:Q,10,false)*F9325)</f>
        <v>0</v>
      </c>
      <c r="K9325" s="74">
        <f>VLOOKUP(E9325,DATABASE!C:Q,7,false)</f>
        <v>517000</v>
      </c>
      <c r="L9325" s="74">
        <v>517000.0</v>
      </c>
      <c r="M9325" s="74">
        <f t="shared" si="6"/>
        <v>520000</v>
      </c>
      <c r="N9325" s="74">
        <f t="shared" si="3"/>
        <v>90000</v>
      </c>
      <c r="O9325" s="65" t="str">
        <f>VLOOKUP(E9325,DATABASE!C:Q,8,false)</f>
        <v>BIAN</v>
      </c>
      <c r="P9325" s="65">
        <f>VLOOKUP(E9325,DATABASE!C:Q,9,False)</f>
        <v>1</v>
      </c>
      <c r="Q9325" s="93" t="str">
        <f>VLOOKUP(E9325,DATABASE!C:Q,4,false)</f>
        <v>Sailun</v>
      </c>
      <c r="R9325" s="93" t="str">
        <f>VLOOKUP(E9325,DATABASE!C:Q,11,false)</f>
        <v>Tire</v>
      </c>
    </row>
    <row r="9326" ht="22.5" customHeight="1">
      <c r="A9326" s="49"/>
      <c r="C9326" s="400">
        <v>46205.0</v>
      </c>
      <c r="D9326" s="524">
        <v>211.0</v>
      </c>
      <c r="E9326" s="544" t="s">
        <v>282</v>
      </c>
      <c r="F9326" s="387">
        <v>4.0</v>
      </c>
      <c r="G9326" s="140">
        <v>880000.0</v>
      </c>
      <c r="H9326" s="140">
        <v>5000.0</v>
      </c>
      <c r="I9326" s="74">
        <f t="shared" si="1"/>
        <v>3500000</v>
      </c>
      <c r="J9326" s="74">
        <f>IF(E9326="SERVICE",I9326-(I9326*50%),Vlookup(E9326,DATABASE!C:Q,10,false)*F9326)</f>
        <v>0</v>
      </c>
      <c r="K9326" s="74">
        <f>VLOOKUP(E9326,DATABASE!C:Q,7,false)</f>
        <v>779500</v>
      </c>
      <c r="L9326" s="74">
        <v>779500.0</v>
      </c>
      <c r="M9326" s="74">
        <f t="shared" si="6"/>
        <v>780000</v>
      </c>
      <c r="N9326" s="74">
        <f t="shared" si="3"/>
        <v>380000</v>
      </c>
      <c r="O9326" s="65" t="str">
        <f>VLOOKUP(E9326,DATABASE!C:Q,8,false)</f>
        <v>IBU</v>
      </c>
      <c r="P9326" s="65">
        <f>VLOOKUP(E9326,DATABASE!C:Q,9,False)</f>
        <v>1</v>
      </c>
      <c r="Q9326" s="93" t="str">
        <f>VLOOKUP(E9326,DATABASE!C:Q,4,false)</f>
        <v>Dunlop</v>
      </c>
      <c r="R9326" s="93" t="str">
        <f>VLOOKUP(E9326,DATABASE!C:Q,11,false)</f>
        <v>Tire</v>
      </c>
    </row>
    <row r="9327" ht="22.5" customHeight="1">
      <c r="A9327" s="49"/>
      <c r="C9327" s="400">
        <v>46205.0</v>
      </c>
      <c r="D9327" s="524">
        <v>212.0</v>
      </c>
      <c r="E9327" s="544" t="s">
        <v>2090</v>
      </c>
      <c r="F9327" s="387">
        <v>1.0</v>
      </c>
      <c r="G9327" s="140">
        <v>690000.0</v>
      </c>
      <c r="H9327" s="140">
        <v>30000.0</v>
      </c>
      <c r="I9327" s="74">
        <f t="shared" si="1"/>
        <v>660000</v>
      </c>
      <c r="J9327" s="74">
        <f>IF(E9327="SERVICE",I9327-(I9327*50%),Vlookup(E9327,DATABASE!C:Q,10,false)*F9327)</f>
        <v>0</v>
      </c>
      <c r="K9327" s="74">
        <f>VLOOKUP(E9327,DATABASE!C:Q,7,false)</f>
        <v>605000</v>
      </c>
      <c r="L9327" s="74">
        <v>605000.0</v>
      </c>
      <c r="M9327" s="74">
        <f t="shared" si="6"/>
        <v>605000</v>
      </c>
      <c r="N9327" s="74">
        <f t="shared" si="3"/>
        <v>55000</v>
      </c>
      <c r="O9327" s="65" t="str">
        <f>VLOOKUP(E9327,DATABASE!C:Q,8,false)</f>
        <v>BIAN</v>
      </c>
      <c r="P9327" s="65">
        <f>VLOOKUP(E9327,DATABASE!C:Q,9,False)</f>
        <v>1</v>
      </c>
      <c r="Q9327" s="93" t="str">
        <f>VLOOKUP(E9327,DATABASE!C:Q,4,false)</f>
        <v>Laufen</v>
      </c>
      <c r="R9327" s="93" t="str">
        <f>VLOOKUP(E9327,DATABASE!C:Q,11,false)</f>
        <v>Tire</v>
      </c>
    </row>
    <row r="9328" ht="22.5" customHeight="1">
      <c r="A9328" s="49"/>
      <c r="C9328" s="400">
        <v>46205.0</v>
      </c>
      <c r="D9328" s="69">
        <v>213.0</v>
      </c>
      <c r="E9328" s="544" t="s">
        <v>256</v>
      </c>
      <c r="F9328" s="387">
        <v>1.0</v>
      </c>
      <c r="G9328" s="140">
        <v>150000.0</v>
      </c>
      <c r="H9328" s="74"/>
      <c r="I9328" s="74">
        <f t="shared" si="1"/>
        <v>150000</v>
      </c>
      <c r="J9328" s="74">
        <f>IF(E9328="SERVICE",I9328-(I9328*50%),Vlookup(E9328,DATABASE!C:Q,10,false)*F9328)</f>
        <v>10000</v>
      </c>
      <c r="K9328" s="74">
        <f>VLOOKUP(E9328,DATABASE!C:Q,7,false)</f>
        <v>0</v>
      </c>
      <c r="L9328" s="74">
        <v>0.0</v>
      </c>
      <c r="M9328" s="74">
        <f t="shared" si="6"/>
        <v>0</v>
      </c>
      <c r="N9328" s="74">
        <f t="shared" si="3"/>
        <v>140000</v>
      </c>
      <c r="O9328" s="65" t="str">
        <f>VLOOKUP(E9328,DATABASE!C:Q,8,false)</f>
        <v>IBU</v>
      </c>
      <c r="P9328" s="65">
        <f>VLOOKUP(E9328,DATABASE!C:Q,9,False)</f>
        <v>0</v>
      </c>
      <c r="Q9328" s="93" t="str">
        <f>VLOOKUP(E9328,DATABASE!C:Q,4,false)</f>
        <v>SPOORING</v>
      </c>
      <c r="R9328" s="93" t="str">
        <f>VLOOKUP(E9328,DATABASE!C:Q,11,false)</f>
        <v>SERVICE</v>
      </c>
    </row>
    <row r="9329" ht="22.5" customHeight="1">
      <c r="A9329" s="49"/>
      <c r="C9329" s="400">
        <v>46205.0</v>
      </c>
      <c r="D9329" s="69">
        <v>214.0</v>
      </c>
      <c r="E9329" s="544" t="s">
        <v>256</v>
      </c>
      <c r="F9329" s="387">
        <v>1.0</v>
      </c>
      <c r="G9329" s="140">
        <v>150000.0</v>
      </c>
      <c r="H9329" s="74"/>
      <c r="I9329" s="74">
        <f t="shared" si="1"/>
        <v>150000</v>
      </c>
      <c r="J9329" s="74">
        <f>IF(E9329="SERVICE",I9329-(I9329*50%),Vlookup(E9329,DATABASE!C:Q,10,false)*F9329)</f>
        <v>10000</v>
      </c>
      <c r="K9329" s="74">
        <f>VLOOKUP(E9329,DATABASE!C:Q,7,false)</f>
        <v>0</v>
      </c>
      <c r="L9329" s="74">
        <v>0.0</v>
      </c>
      <c r="M9329" s="74">
        <f t="shared" si="6"/>
        <v>0</v>
      </c>
      <c r="N9329" s="74">
        <f t="shared" si="3"/>
        <v>140000</v>
      </c>
      <c r="O9329" s="65" t="str">
        <f>VLOOKUP(E9329,DATABASE!C:Q,8,false)</f>
        <v>IBU</v>
      </c>
      <c r="P9329" s="65">
        <f>VLOOKUP(E9329,DATABASE!C:Q,9,False)</f>
        <v>0</v>
      </c>
      <c r="Q9329" s="93" t="str">
        <f>VLOOKUP(E9329,DATABASE!C:Q,4,false)</f>
        <v>SPOORING</v>
      </c>
      <c r="R9329" s="93" t="str">
        <f>VLOOKUP(E9329,DATABASE!C:Q,11,false)</f>
        <v>SERVICE</v>
      </c>
    </row>
    <row r="9330" ht="22.5" customHeight="1">
      <c r="A9330" s="49"/>
      <c r="C9330" s="400">
        <v>46205.0</v>
      </c>
      <c r="D9330" s="69">
        <v>215.0</v>
      </c>
      <c r="E9330" s="544" t="s">
        <v>256</v>
      </c>
      <c r="F9330" s="387">
        <v>1.0</v>
      </c>
      <c r="G9330" s="140">
        <v>150000.0</v>
      </c>
      <c r="H9330" s="74"/>
      <c r="I9330" s="74">
        <f t="shared" si="1"/>
        <v>150000</v>
      </c>
      <c r="J9330" s="74">
        <f>IF(E9330="SERVICE",I9330-(I9330*50%),Vlookup(E9330,DATABASE!C:Q,10,false)*F9330)</f>
        <v>10000</v>
      </c>
      <c r="K9330" s="74">
        <f>VLOOKUP(E9330,DATABASE!C:Q,7,false)</f>
        <v>0</v>
      </c>
      <c r="L9330" s="74">
        <v>0.0</v>
      </c>
      <c r="M9330" s="74">
        <f t="shared" si="6"/>
        <v>0</v>
      </c>
      <c r="N9330" s="74">
        <f t="shared" si="3"/>
        <v>140000</v>
      </c>
      <c r="O9330" s="65" t="str">
        <f>VLOOKUP(E9330,DATABASE!C:Q,8,false)</f>
        <v>IBU</v>
      </c>
      <c r="P9330" s="65">
        <f>VLOOKUP(E9330,DATABASE!C:Q,9,False)</f>
        <v>0</v>
      </c>
      <c r="Q9330" s="93" t="str">
        <f>VLOOKUP(E9330,DATABASE!C:Q,4,false)</f>
        <v>SPOORING</v>
      </c>
      <c r="R9330" s="93" t="str">
        <f>VLOOKUP(E9330,DATABASE!C:Q,11,false)</f>
        <v>SERVICE</v>
      </c>
    </row>
    <row r="9331" ht="22.5" customHeight="1">
      <c r="A9331" s="49"/>
      <c r="C9331" s="400">
        <v>46205.0</v>
      </c>
      <c r="D9331" s="524">
        <v>216.0</v>
      </c>
      <c r="E9331" s="544" t="s">
        <v>256</v>
      </c>
      <c r="F9331" s="387">
        <v>1.0</v>
      </c>
      <c r="G9331" s="140">
        <v>175000.0</v>
      </c>
      <c r="H9331" s="140">
        <v>25000.0</v>
      </c>
      <c r="I9331" s="74">
        <f t="shared" si="1"/>
        <v>150000</v>
      </c>
      <c r="J9331" s="74">
        <f>IF(E9331="SERVICE",I9331-(I9331*50%),Vlookup(E9331,DATABASE!C:Q,10,false)*F9331)</f>
        <v>10000</v>
      </c>
      <c r="K9331" s="74">
        <f>VLOOKUP(E9331,DATABASE!C:Q,7,false)</f>
        <v>0</v>
      </c>
      <c r="L9331" s="74">
        <v>0.0</v>
      </c>
      <c r="M9331" s="74">
        <f t="shared" si="6"/>
        <v>0</v>
      </c>
      <c r="N9331" s="74">
        <f t="shared" si="3"/>
        <v>140000</v>
      </c>
      <c r="O9331" s="65" t="str">
        <f>VLOOKUP(E9331,DATABASE!C:Q,8,false)</f>
        <v>IBU</v>
      </c>
      <c r="P9331" s="65">
        <f>VLOOKUP(E9331,DATABASE!C:Q,9,False)</f>
        <v>0</v>
      </c>
      <c r="Q9331" s="93" t="str">
        <f>VLOOKUP(E9331,DATABASE!C:Q,4,false)</f>
        <v>SPOORING</v>
      </c>
      <c r="R9331" s="93" t="str">
        <f>VLOOKUP(E9331,DATABASE!C:Q,11,false)</f>
        <v>SERVICE</v>
      </c>
    </row>
    <row r="9332" ht="22.5" customHeight="1">
      <c r="A9332" s="49"/>
      <c r="C9332" s="400">
        <v>46205.0</v>
      </c>
      <c r="D9332" s="69">
        <v>216.0</v>
      </c>
      <c r="E9332" s="544" t="s">
        <v>301</v>
      </c>
      <c r="F9332" s="387">
        <v>1.0</v>
      </c>
      <c r="G9332" s="140">
        <v>250000.0</v>
      </c>
      <c r="H9332" s="74"/>
      <c r="I9332" s="74">
        <f t="shared" si="1"/>
        <v>250000</v>
      </c>
      <c r="J9332" s="74">
        <f>IF(E9332="SERVICE",I9332-(I9332*50%),Vlookup(E9332,DATABASE!C:Q,10,false)*F9332)</f>
        <v>75000</v>
      </c>
      <c r="K9332" s="74">
        <f>VLOOKUP(E9332,DATABASE!C:Q,7,false)</f>
        <v>75000</v>
      </c>
      <c r="L9332" s="74">
        <v>75000.0</v>
      </c>
      <c r="M9332" s="74">
        <f t="shared" si="6"/>
        <v>75000</v>
      </c>
      <c r="N9332" s="74">
        <f t="shared" si="3"/>
        <v>100000</v>
      </c>
      <c r="O9332" s="65" t="str">
        <f>VLOOKUP(E9332,DATABASE!C:Q,8,false)</f>
        <v>BIAN</v>
      </c>
      <c r="P9332" s="65">
        <f>VLOOKUP(E9332,DATABASE!C:Q,9,False)</f>
        <v>0</v>
      </c>
      <c r="Q9332" s="93" t="str">
        <f>VLOOKUP(E9332,DATABASE!C:Q,4,false)</f>
        <v>Baut Camber</v>
      </c>
      <c r="R9332" s="93" t="str">
        <f>VLOOKUP(E9332,DATABASE!C:Q,11,false)</f>
        <v>COMPLEMENTARY</v>
      </c>
    </row>
    <row r="9333" ht="22.5" customHeight="1">
      <c r="A9333" s="49"/>
      <c r="C9333" s="400">
        <v>46206.0</v>
      </c>
      <c r="D9333" s="524">
        <v>217.0</v>
      </c>
      <c r="E9333" s="544" t="s">
        <v>695</v>
      </c>
      <c r="F9333" s="387">
        <v>4.0</v>
      </c>
      <c r="G9333" s="140">
        <v>675000.0</v>
      </c>
      <c r="H9333" s="140">
        <v>10000.0</v>
      </c>
      <c r="I9333" s="74">
        <f t="shared" si="1"/>
        <v>2660000</v>
      </c>
      <c r="J9333" s="74">
        <f>IF(E9333="SERVICE",I9333-(I9333*50%),Vlookup(E9333,DATABASE!C:Q,10,false)*F9333)</f>
        <v>0</v>
      </c>
      <c r="K9333" s="74">
        <f>VLOOKUP(E9333,DATABASE!C:Q,7,false)</f>
        <v>582000</v>
      </c>
      <c r="L9333" s="74">
        <v>582000.0</v>
      </c>
      <c r="M9333" s="74">
        <f t="shared" si="6"/>
        <v>585000</v>
      </c>
      <c r="N9333" s="74">
        <f t="shared" si="3"/>
        <v>320000</v>
      </c>
      <c r="O9333" s="65" t="str">
        <f>VLOOKUP(E9333,DATABASE!C:Q,8,false)</f>
        <v>IBU</v>
      </c>
      <c r="P9333" s="65">
        <f>VLOOKUP(E9333,DATABASE!C:Q,9,False)</f>
        <v>1</v>
      </c>
      <c r="Q9333" s="93" t="str">
        <f>VLOOKUP(E9333,DATABASE!C:Q,4,false)</f>
        <v>Dunlop</v>
      </c>
      <c r="R9333" s="93" t="str">
        <f>VLOOKUP(E9333,DATABASE!C:Q,11,false)</f>
        <v>Tire</v>
      </c>
    </row>
    <row r="9334" ht="22.5" customHeight="1">
      <c r="A9334" s="49"/>
      <c r="C9334" s="400">
        <v>46206.0</v>
      </c>
      <c r="D9334" s="524">
        <v>217.0</v>
      </c>
      <c r="E9334" s="544" t="s">
        <v>286</v>
      </c>
      <c r="F9334" s="387">
        <v>5.0</v>
      </c>
      <c r="G9334" s="140">
        <v>560000.0</v>
      </c>
      <c r="H9334" s="140">
        <v>10000.0</v>
      </c>
      <c r="I9334" s="74">
        <f t="shared" si="1"/>
        <v>2750000</v>
      </c>
      <c r="J9334" s="74">
        <f>IF(E9334="SERVICE",I9334-(I9334*50%),Vlookup(E9334,DATABASE!C:Q,10,false)*F9334)</f>
        <v>0</v>
      </c>
      <c r="K9334" s="74">
        <f>VLOOKUP(E9334,DATABASE!C:Q,7,false)</f>
        <v>488320</v>
      </c>
      <c r="L9334" s="140">
        <v>459420.0</v>
      </c>
      <c r="M9334" s="74">
        <f t="shared" si="6"/>
        <v>460000</v>
      </c>
      <c r="N9334" s="74">
        <f t="shared" si="3"/>
        <v>450000</v>
      </c>
      <c r="O9334" s="65" t="str">
        <f>VLOOKUP(E9334,DATABASE!C:Q,8,false)</f>
        <v>BIAN</v>
      </c>
      <c r="P9334" s="65">
        <f>VLOOKUP(E9334,DATABASE!C:Q,9,False)</f>
        <v>1</v>
      </c>
      <c r="Q9334" s="93" t="str">
        <f>VLOOKUP(E9334,DATABASE!C:Q,4,false)</f>
        <v>GT</v>
      </c>
      <c r="R9334" s="93" t="str">
        <f>VLOOKUP(E9334,DATABASE!C:Q,11,false)</f>
        <v>Tire</v>
      </c>
    </row>
    <row r="9335" ht="22.5" customHeight="1">
      <c r="A9335" s="49"/>
      <c r="C9335" s="400">
        <v>46206.0</v>
      </c>
      <c r="D9335" s="524">
        <v>219.0</v>
      </c>
      <c r="E9335" s="544" t="s">
        <v>932</v>
      </c>
      <c r="F9335" s="387">
        <v>1.0</v>
      </c>
      <c r="G9335" s="140">
        <v>690000.0</v>
      </c>
      <c r="H9335" s="74"/>
      <c r="I9335" s="74">
        <f t="shared" si="1"/>
        <v>690000</v>
      </c>
      <c r="J9335" s="74">
        <f>IF(E9335="SERVICE",I9335-(I9335*50%),Vlookup(E9335,DATABASE!C:Q,10,false)*F9335)</f>
        <v>0</v>
      </c>
      <c r="K9335" s="74">
        <f>VLOOKUP(E9335,DATABASE!C:Q,7,false)</f>
        <v>601000</v>
      </c>
      <c r="L9335" s="74">
        <v>601000.0</v>
      </c>
      <c r="M9335" s="74">
        <f t="shared" si="6"/>
        <v>605000</v>
      </c>
      <c r="N9335" s="74">
        <f t="shared" si="3"/>
        <v>85000</v>
      </c>
      <c r="O9335" s="65" t="str">
        <f>VLOOKUP(E9335,DATABASE!C:Q,8,false)</f>
        <v>IBU</v>
      </c>
      <c r="P9335" s="65">
        <f>VLOOKUP(E9335,DATABASE!C:Q,9,False)</f>
        <v>1</v>
      </c>
      <c r="Q9335" s="93" t="str">
        <f>VLOOKUP(E9335,DATABASE!C:Q,4,false)</f>
        <v>Dunlop</v>
      </c>
      <c r="R9335" s="93" t="str">
        <f>VLOOKUP(E9335,DATABASE!C:Q,11,false)</f>
        <v>Tire</v>
      </c>
    </row>
    <row r="9336" ht="22.5" customHeight="1">
      <c r="A9336" s="49"/>
      <c r="C9336" s="400">
        <v>46206.0</v>
      </c>
      <c r="D9336" s="524">
        <v>220.0</v>
      </c>
      <c r="E9336" s="544" t="s">
        <v>275</v>
      </c>
      <c r="F9336" s="387">
        <v>2.0</v>
      </c>
      <c r="G9336" s="140">
        <v>850000.0</v>
      </c>
      <c r="H9336" s="74"/>
      <c r="I9336" s="74">
        <f t="shared" si="1"/>
        <v>1700000</v>
      </c>
      <c r="J9336" s="74">
        <f>IF(E9336="SERVICE",I9336-(I9336*50%),Vlookup(E9336,DATABASE!C:Q,10,false)*F9336)</f>
        <v>0</v>
      </c>
      <c r="K9336" s="74">
        <f>VLOOKUP(E9336,DATABASE!C:Q,7,false)</f>
        <v>782000</v>
      </c>
      <c r="L9336" s="74">
        <v>759500.0</v>
      </c>
      <c r="M9336" s="74">
        <f t="shared" si="6"/>
        <v>760000</v>
      </c>
      <c r="N9336" s="74">
        <f t="shared" si="3"/>
        <v>180000</v>
      </c>
      <c r="O9336" s="65" t="str">
        <f>VLOOKUP(E9336,DATABASE!C:Q,8,false)</f>
        <v>IBU</v>
      </c>
      <c r="P9336" s="65">
        <f>VLOOKUP(E9336,DATABASE!C:Q,9,False)</f>
        <v>1</v>
      </c>
      <c r="Q9336" s="93" t="str">
        <f>VLOOKUP(E9336,DATABASE!C:Q,4,false)</f>
        <v>Dunlop</v>
      </c>
      <c r="R9336" s="93" t="str">
        <f>VLOOKUP(E9336,DATABASE!C:Q,11,false)</f>
        <v>Tire</v>
      </c>
    </row>
    <row r="9337" ht="22.5" customHeight="1">
      <c r="A9337" s="49"/>
      <c r="C9337" s="400">
        <v>46206.0</v>
      </c>
      <c r="D9337" s="524">
        <v>221.0</v>
      </c>
      <c r="E9337" s="544" t="s">
        <v>305</v>
      </c>
      <c r="F9337" s="387">
        <v>1.0</v>
      </c>
      <c r="G9337" s="140">
        <v>240000.0</v>
      </c>
      <c r="H9337" s="74"/>
      <c r="I9337" s="74">
        <f t="shared" si="1"/>
        <v>240000</v>
      </c>
      <c r="J9337" s="74">
        <f>IF(E9337="SERVICE",I9337-(I9337*50%),Vlookup(E9337,DATABASE!C:Q,10,false)*F9337)</f>
        <v>40000</v>
      </c>
      <c r="K9337" s="74">
        <f>VLOOKUP(E9337,DATABASE!C:Q,7,false)</f>
        <v>158530.2</v>
      </c>
      <c r="L9337" s="74">
        <v>158530.2</v>
      </c>
      <c r="M9337" s="74">
        <f t="shared" si="6"/>
        <v>160000</v>
      </c>
      <c r="N9337" s="74">
        <f t="shared" si="3"/>
        <v>40000</v>
      </c>
      <c r="O9337" s="65" t="str">
        <f>VLOOKUP(E9337,DATABASE!C:Q,8,false)</f>
        <v>BIAN</v>
      </c>
      <c r="P9337" s="65">
        <f>VLOOKUP(E9337,DATABASE!C:Q,9,False)</f>
        <v>1</v>
      </c>
      <c r="Q9337" s="93" t="str">
        <f>VLOOKUP(E9337,DATABASE!C:Q,4,false)</f>
        <v>Lower Arm</v>
      </c>
      <c r="R9337" s="93" t="str">
        <f>VLOOKUP(E9337,DATABASE!C:Q,11,false)</f>
        <v>COMPLEMENTARY</v>
      </c>
    </row>
    <row r="9338" ht="22.5" customHeight="1">
      <c r="A9338" s="49"/>
      <c r="C9338" s="400">
        <v>46206.0</v>
      </c>
      <c r="D9338" s="69">
        <v>221.0</v>
      </c>
      <c r="E9338" s="544" t="s">
        <v>2206</v>
      </c>
      <c r="F9338" s="387">
        <v>1.0</v>
      </c>
      <c r="G9338" s="140">
        <v>200000.0</v>
      </c>
      <c r="H9338" s="74"/>
      <c r="I9338" s="74">
        <f t="shared" si="1"/>
        <v>200000</v>
      </c>
      <c r="J9338" s="74">
        <f>IF(E9338="SERVICE",I9338-(I9338*50%),Vlookup(E9338,DATABASE!C:Q,10,false)*F9338)</f>
        <v>40000</v>
      </c>
      <c r="K9338" s="74">
        <f>VLOOKUP(E9338,DATABASE!C:Q,7,false)</f>
        <v>95450</v>
      </c>
      <c r="L9338" s="74">
        <v>95450.0</v>
      </c>
      <c r="M9338" s="74">
        <f t="shared" si="6"/>
        <v>100000</v>
      </c>
      <c r="N9338" s="74">
        <f t="shared" si="3"/>
        <v>60000</v>
      </c>
      <c r="O9338" s="65" t="str">
        <f>VLOOKUP(E9338,DATABASE!C:Q,8,false)</f>
        <v>IBU</v>
      </c>
      <c r="P9338" s="69">
        <v>1.0</v>
      </c>
      <c r="Q9338" s="93" t="str">
        <f>VLOOKUP(E9338,DATABASE!C:Q,4,false)</f>
        <v>TIEROD</v>
      </c>
      <c r="R9338" s="93" t="str">
        <f>VLOOKUP(E9338,DATABASE!C:Q,11,false)</f>
        <v>COMPLEMENTARY</v>
      </c>
    </row>
    <row r="9339" ht="22.5" customHeight="1">
      <c r="A9339" s="49"/>
      <c r="C9339" s="400">
        <v>46206.0</v>
      </c>
      <c r="D9339" s="69">
        <v>221.0</v>
      </c>
      <c r="E9339" s="544" t="s">
        <v>251</v>
      </c>
      <c r="F9339" s="387">
        <v>1.0</v>
      </c>
      <c r="G9339" s="140">
        <v>120000.0</v>
      </c>
      <c r="H9339" s="74"/>
      <c r="I9339" s="74">
        <f t="shared" si="1"/>
        <v>120000</v>
      </c>
      <c r="J9339" s="74">
        <f>IF(E9339="SERVICE",I9339-(I9339*50%),Vlookup(E9339,DATABASE!C:Q,10,false)*F9339)</f>
        <v>60000</v>
      </c>
      <c r="K9339" s="74">
        <f>VLOOKUP(E9339,DATABASE!C:Q,7,false)</f>
        <v>0</v>
      </c>
      <c r="L9339" s="74">
        <v>0.0</v>
      </c>
      <c r="M9339" s="74">
        <f t="shared" si="6"/>
        <v>0</v>
      </c>
      <c r="N9339" s="74">
        <f t="shared" si="3"/>
        <v>60000</v>
      </c>
      <c r="O9339" s="65" t="str">
        <f>VLOOKUP(E9339,DATABASE!C:Q,8,false)</f>
        <v>IBU</v>
      </c>
      <c r="P9339" s="65">
        <f>VLOOKUP(E9339,DATABASE!C:Q,9,False)</f>
        <v>0</v>
      </c>
      <c r="Q9339" s="93" t="str">
        <f>VLOOKUP(E9339,DATABASE!C:Q,4,false)</f>
        <v>SERVICE</v>
      </c>
      <c r="R9339" s="93" t="str">
        <f>VLOOKUP(E9339,DATABASE!C:Q,11,false)</f>
        <v>SERVICE</v>
      </c>
    </row>
    <row r="9340" ht="22.5" customHeight="1">
      <c r="A9340" s="49"/>
      <c r="C9340" s="400">
        <v>46206.0</v>
      </c>
      <c r="D9340" s="69">
        <v>221.0</v>
      </c>
      <c r="E9340" s="544" t="s">
        <v>478</v>
      </c>
      <c r="F9340" s="387">
        <v>1.0</v>
      </c>
      <c r="G9340" s="140">
        <v>200000.0</v>
      </c>
      <c r="H9340" s="74"/>
      <c r="I9340" s="74">
        <f t="shared" si="1"/>
        <v>200000</v>
      </c>
      <c r="J9340" s="74">
        <f>IF(E9340="SERVICE",I9340-(I9340*50%),Vlookup(E9340,DATABASE!C:Q,10,false)*F9340)</f>
        <v>25000</v>
      </c>
      <c r="K9340" s="74">
        <f>VLOOKUP(E9340,DATABASE!C:Q,7,false)</f>
        <v>75000</v>
      </c>
      <c r="L9340" s="74">
        <v>75000.0</v>
      </c>
      <c r="M9340" s="74">
        <f t="shared" si="6"/>
        <v>75000</v>
      </c>
      <c r="N9340" s="74">
        <f t="shared" si="3"/>
        <v>100000</v>
      </c>
      <c r="O9340" s="65" t="str">
        <f>VLOOKUP(E9340,DATABASE!C:Q,8,false)</f>
        <v>BIAN</v>
      </c>
      <c r="P9340" s="65">
        <f>VLOOKUP(E9340,DATABASE!C:Q,9,False)</f>
        <v>0</v>
      </c>
      <c r="Q9340" s="93" t="str">
        <f>VLOOKUP(E9340,DATABASE!C:Q,4,false)</f>
        <v>Baut Camber ss-carry</v>
      </c>
      <c r="R9340" s="93" t="str">
        <f>VLOOKUP(E9340,DATABASE!C:Q,11,false)</f>
        <v>COMPLEMENTARY</v>
      </c>
    </row>
    <row r="9341" ht="22.5" customHeight="1">
      <c r="A9341" s="49"/>
      <c r="C9341" s="400">
        <v>46206.0</v>
      </c>
      <c r="D9341" s="69">
        <v>221.0</v>
      </c>
      <c r="E9341" s="544" t="s">
        <v>262</v>
      </c>
      <c r="F9341" s="387">
        <v>1.0</v>
      </c>
      <c r="G9341" s="140">
        <v>130000.0</v>
      </c>
      <c r="H9341" s="74"/>
      <c r="I9341" s="74">
        <f t="shared" si="1"/>
        <v>130000</v>
      </c>
      <c r="J9341" s="74">
        <f>IF(E9341="SERVICE",I9341-(I9341*50%),Vlookup(E9341,DATABASE!C:Q,10,false)*F9341)</f>
        <v>5000</v>
      </c>
      <c r="K9341" s="74">
        <f>VLOOKUP(E9341,DATABASE!C:Q,7,false)</f>
        <v>0</v>
      </c>
      <c r="L9341" s="74">
        <v>0.0</v>
      </c>
      <c r="M9341" s="74">
        <f t="shared" si="6"/>
        <v>0</v>
      </c>
      <c r="N9341" s="74">
        <f t="shared" si="3"/>
        <v>125000</v>
      </c>
      <c r="O9341" s="65" t="str">
        <f>VLOOKUP(E9341,DATABASE!C:Q,8,false)</f>
        <v>IBU</v>
      </c>
      <c r="P9341" s="65">
        <f>VLOOKUP(E9341,DATABASE!C:Q,9,False)</f>
        <v>0</v>
      </c>
      <c r="Q9341" s="93" t="str">
        <f>VLOOKUP(E9341,DATABASE!C:Q,4,false)</f>
        <v>SPOORING SS/CARRY LOS BAK</v>
      </c>
      <c r="R9341" s="93" t="str">
        <f>VLOOKUP(E9341,DATABASE!C:Q,11,false)</f>
        <v>SERVICE</v>
      </c>
    </row>
    <row r="9342" ht="22.5" customHeight="1">
      <c r="A9342" s="49"/>
      <c r="C9342" s="400">
        <v>46206.0</v>
      </c>
      <c r="D9342" s="69">
        <v>222.0</v>
      </c>
      <c r="E9342" s="544" t="s">
        <v>261</v>
      </c>
      <c r="F9342" s="387">
        <v>2.0</v>
      </c>
      <c r="G9342" s="140">
        <v>500000.0</v>
      </c>
      <c r="H9342" s="74"/>
      <c r="I9342" s="74">
        <f t="shared" si="1"/>
        <v>1000000</v>
      </c>
      <c r="J9342" s="74">
        <f>IF(E9342="SERVICE",I9342-(I9342*50%),Vlookup(E9342,DATABASE!C:Q,10,false)*F9342)</f>
        <v>0</v>
      </c>
      <c r="K9342" s="74">
        <f>VLOOKUP(E9342,DATABASE!C:Q,7,false)</f>
        <v>415000</v>
      </c>
      <c r="L9342" s="74">
        <v>415000.0</v>
      </c>
      <c r="M9342" s="74">
        <f t="shared" si="6"/>
        <v>415000</v>
      </c>
      <c r="N9342" s="74">
        <f t="shared" si="3"/>
        <v>170000</v>
      </c>
      <c r="O9342" s="65" t="str">
        <f>VLOOKUP(E9342,DATABASE!C:Q,8,false)</f>
        <v>IBU</v>
      </c>
      <c r="P9342" s="65">
        <f>VLOOKUP(E9342,DATABASE!C:Q,9,False)</f>
        <v>1</v>
      </c>
      <c r="Q9342" s="93" t="str">
        <f>VLOOKUP(E9342,DATABASE!C:Q,4,false)</f>
        <v>Dunlop</v>
      </c>
      <c r="R9342" s="93" t="str">
        <f>VLOOKUP(E9342,DATABASE!C:Q,11,false)</f>
        <v>Tire</v>
      </c>
    </row>
    <row r="9343" ht="22.5" customHeight="1">
      <c r="A9343" s="49"/>
      <c r="C9343" s="400">
        <v>46206.0</v>
      </c>
      <c r="D9343" s="69">
        <v>223.0</v>
      </c>
      <c r="E9343" s="544" t="s">
        <v>955</v>
      </c>
      <c r="F9343" s="387">
        <v>2.0</v>
      </c>
      <c r="G9343" s="140">
        <v>775000.0</v>
      </c>
      <c r="H9343" s="74"/>
      <c r="I9343" s="74">
        <f t="shared" si="1"/>
        <v>1550000</v>
      </c>
      <c r="J9343" s="74">
        <f>IF(E9343="SERVICE",I9343-(I9343*50%),Vlookup(E9343,DATABASE!C:Q,10,false)*F9343)</f>
        <v>0</v>
      </c>
      <c r="K9343" s="74">
        <f>VLOOKUP(E9343,DATABASE!C:Q,7,false)</f>
        <v>712000</v>
      </c>
      <c r="L9343" s="74">
        <v>688000.0</v>
      </c>
      <c r="M9343" s="74">
        <f t="shared" si="6"/>
        <v>690000</v>
      </c>
      <c r="N9343" s="74">
        <f t="shared" si="3"/>
        <v>170000</v>
      </c>
      <c r="O9343" s="65" t="str">
        <f>VLOOKUP(E9343,DATABASE!C:Q,8,false)</f>
        <v>IBU</v>
      </c>
      <c r="P9343" s="65">
        <f>VLOOKUP(E9343,DATABASE!C:Q,9,False)</f>
        <v>1</v>
      </c>
      <c r="Q9343" s="93" t="str">
        <f>VLOOKUP(E9343,DATABASE!C:Q,4,false)</f>
        <v>Dunlop</v>
      </c>
      <c r="R9343" s="93" t="str">
        <f>VLOOKUP(E9343,DATABASE!C:Q,11,false)</f>
        <v>Tire</v>
      </c>
    </row>
    <row r="9344" ht="22.5" customHeight="1">
      <c r="A9344" s="49"/>
      <c r="C9344" s="400">
        <v>46206.0</v>
      </c>
      <c r="D9344" s="69">
        <v>224.0</v>
      </c>
      <c r="E9344" s="544" t="s">
        <v>290</v>
      </c>
      <c r="F9344" s="387">
        <v>1.0</v>
      </c>
      <c r="G9344" s="140">
        <v>720000.0</v>
      </c>
      <c r="H9344" s="74"/>
      <c r="I9344" s="74">
        <f t="shared" si="1"/>
        <v>720000</v>
      </c>
      <c r="J9344" s="74">
        <f>IF(E9344="SERVICE",I9344-(I9344*50%),Vlookup(E9344,DATABASE!C:Q,10,false)*F9344)</f>
        <v>0</v>
      </c>
      <c r="K9344" s="74">
        <f>VLOOKUP(E9344,DATABASE!C:Q,7,false)</f>
        <v>628100</v>
      </c>
      <c r="L9344" s="74">
        <v>628100.0</v>
      </c>
      <c r="M9344" s="74">
        <f t="shared" si="6"/>
        <v>630000</v>
      </c>
      <c r="N9344" s="74">
        <f t="shared" si="3"/>
        <v>90000</v>
      </c>
      <c r="O9344" s="65" t="str">
        <f>VLOOKUP(E9344,DATABASE!C:Q,8,false)</f>
        <v>BIAN</v>
      </c>
      <c r="P9344" s="65">
        <f>VLOOKUP(E9344,DATABASE!C:Q,9,False)</f>
        <v>1</v>
      </c>
      <c r="Q9344" s="93" t="str">
        <f>VLOOKUP(E9344,DATABASE!C:Q,4,false)</f>
        <v>GT</v>
      </c>
      <c r="R9344" s="93" t="str">
        <f>VLOOKUP(E9344,DATABASE!C:Q,11,false)</f>
        <v>Tire</v>
      </c>
    </row>
    <row r="9345" ht="22.5" customHeight="1">
      <c r="A9345" s="49"/>
      <c r="C9345" s="400">
        <v>46206.0</v>
      </c>
      <c r="D9345" s="69">
        <v>225.0</v>
      </c>
      <c r="E9345" s="544" t="s">
        <v>924</v>
      </c>
      <c r="F9345" s="387">
        <v>1.0</v>
      </c>
      <c r="G9345" s="140">
        <v>1660000.0</v>
      </c>
      <c r="H9345" s="74"/>
      <c r="I9345" s="74">
        <f t="shared" si="1"/>
        <v>1660000</v>
      </c>
      <c r="J9345" s="74">
        <f>IF(E9345="SERVICE",I9345-(I9345*50%),Vlookup(E9345,DATABASE!C:Q,10,false)*F9345)</f>
        <v>0</v>
      </c>
      <c r="K9345" s="74">
        <f>VLOOKUP(E9345,DATABASE!C:Q,7,false)</f>
        <v>1560000</v>
      </c>
      <c r="L9345" s="74">
        <v>1555000.0</v>
      </c>
      <c r="M9345" s="74">
        <f t="shared" si="6"/>
        <v>1555000</v>
      </c>
      <c r="N9345" s="74">
        <f t="shared" si="3"/>
        <v>105000</v>
      </c>
      <c r="O9345" s="65" t="str">
        <f>VLOOKUP(E9345,DATABASE!C:Q,8,false)</f>
        <v>BIAN</v>
      </c>
      <c r="P9345" s="65">
        <f>VLOOKUP(E9345,DATABASE!C:Q,9,False)</f>
        <v>1</v>
      </c>
      <c r="Q9345" s="93" t="str">
        <f>VLOOKUP(E9345,DATABASE!C:Q,4,false)</f>
        <v>TIRON</v>
      </c>
      <c r="R9345" s="93" t="str">
        <f>VLOOKUP(E9345,DATABASE!C:Q,11,false)</f>
        <v>Tire</v>
      </c>
    </row>
    <row r="9346" ht="22.5" customHeight="1">
      <c r="A9346" s="49"/>
      <c r="C9346" s="400">
        <v>46206.0</v>
      </c>
      <c r="D9346" s="524">
        <v>227.0</v>
      </c>
      <c r="E9346" s="544" t="s">
        <v>275</v>
      </c>
      <c r="F9346" s="387">
        <v>1.0</v>
      </c>
      <c r="G9346" s="140">
        <v>840000.0</v>
      </c>
      <c r="H9346" s="74"/>
      <c r="I9346" s="74">
        <f t="shared" si="1"/>
        <v>840000</v>
      </c>
      <c r="J9346" s="74">
        <f>IF(E9346="SERVICE",I9346-(I9346*50%),Vlookup(E9346,DATABASE!C:Q,10,false)*F9346)</f>
        <v>0</v>
      </c>
      <c r="K9346" s="74">
        <f>VLOOKUP(E9346,DATABASE!C:Q,7,false)</f>
        <v>782000</v>
      </c>
      <c r="L9346" s="74">
        <v>759500.0</v>
      </c>
      <c r="M9346" s="74">
        <f t="shared" si="6"/>
        <v>760000</v>
      </c>
      <c r="N9346" s="74">
        <f t="shared" si="3"/>
        <v>80000</v>
      </c>
      <c r="O9346" s="65" t="str">
        <f>VLOOKUP(E9346,DATABASE!C:Q,8,false)</f>
        <v>IBU</v>
      </c>
      <c r="P9346" s="65">
        <f>VLOOKUP(E9346,DATABASE!C:Q,9,False)</f>
        <v>1</v>
      </c>
      <c r="Q9346" s="93" t="str">
        <f>VLOOKUP(E9346,DATABASE!C:Q,4,false)</f>
        <v>Dunlop</v>
      </c>
      <c r="R9346" s="93" t="str">
        <f>VLOOKUP(E9346,DATABASE!C:Q,11,false)</f>
        <v>Tire</v>
      </c>
    </row>
    <row r="9347" ht="22.5" customHeight="1">
      <c r="A9347" s="49"/>
      <c r="C9347" s="400">
        <v>46206.0</v>
      </c>
      <c r="D9347" s="69">
        <v>228.0</v>
      </c>
      <c r="E9347" s="544" t="s">
        <v>839</v>
      </c>
      <c r="F9347" s="387">
        <v>1.0</v>
      </c>
      <c r="G9347" s="140">
        <v>580000.0</v>
      </c>
      <c r="H9347" s="74"/>
      <c r="I9347" s="74">
        <f t="shared" si="1"/>
        <v>580000</v>
      </c>
      <c r="J9347" s="74">
        <f>IF(E9347="SERVICE",I9347-(I9347*50%),Vlookup(E9347,DATABASE!C:Q,10,false)*F9347)</f>
        <v>0</v>
      </c>
      <c r="K9347" s="74">
        <f>VLOOKUP(E9347,DATABASE!C:Q,7,false)</f>
        <v>512640</v>
      </c>
      <c r="L9347" s="74">
        <v>490000.0</v>
      </c>
      <c r="M9347" s="74">
        <f t="shared" si="6"/>
        <v>490000</v>
      </c>
      <c r="N9347" s="74">
        <f t="shared" si="3"/>
        <v>90000</v>
      </c>
      <c r="O9347" s="65" t="str">
        <f>VLOOKUP(E9347,DATABASE!C:Q,8,false)</f>
        <v>BIAN</v>
      </c>
      <c r="P9347" s="65">
        <f>VLOOKUP(E9347,DATABASE!C:Q,9,False)</f>
        <v>1</v>
      </c>
      <c r="Q9347" s="93" t="str">
        <f>VLOOKUP(E9347,DATABASE!C:Q,4,false)</f>
        <v>GT</v>
      </c>
      <c r="R9347" s="93" t="str">
        <f>VLOOKUP(E9347,DATABASE!C:Q,11,false)</f>
        <v>Tire</v>
      </c>
    </row>
    <row r="9348" ht="22.5" customHeight="1">
      <c r="A9348" s="49"/>
      <c r="C9348" s="400">
        <v>46206.0</v>
      </c>
      <c r="D9348" s="524">
        <v>229.0</v>
      </c>
      <c r="E9348" s="544" t="s">
        <v>932</v>
      </c>
      <c r="F9348" s="387">
        <v>2.0</v>
      </c>
      <c r="G9348" s="140">
        <v>690000.0</v>
      </c>
      <c r="H9348" s="74"/>
      <c r="I9348" s="74">
        <f t="shared" si="1"/>
        <v>1380000</v>
      </c>
      <c r="J9348" s="74">
        <f>IF(E9348="SERVICE",I9348-(I9348*50%),Vlookup(E9348,DATABASE!C:Q,10,false)*F9348)</f>
        <v>0</v>
      </c>
      <c r="K9348" s="74">
        <f>VLOOKUP(E9348,DATABASE!C:Q,7,false)</f>
        <v>601000</v>
      </c>
      <c r="L9348" s="74">
        <v>601000.0</v>
      </c>
      <c r="M9348" s="74">
        <f t="shared" si="6"/>
        <v>605000</v>
      </c>
      <c r="N9348" s="74">
        <f t="shared" si="3"/>
        <v>170000</v>
      </c>
      <c r="O9348" s="65" t="str">
        <f>VLOOKUP(E9348,DATABASE!C:Q,8,false)</f>
        <v>IBU</v>
      </c>
      <c r="P9348" s="65">
        <f>VLOOKUP(E9348,DATABASE!C:Q,9,False)</f>
        <v>1</v>
      </c>
      <c r="Q9348" s="93" t="str">
        <f>VLOOKUP(E9348,DATABASE!C:Q,4,false)</f>
        <v>Dunlop</v>
      </c>
      <c r="R9348" s="93" t="str">
        <f>VLOOKUP(E9348,DATABASE!C:Q,11,false)</f>
        <v>Tire</v>
      </c>
    </row>
    <row r="9349" ht="22.5" customHeight="1">
      <c r="A9349" s="49"/>
      <c r="C9349" s="400">
        <v>46206.0</v>
      </c>
      <c r="D9349" s="524">
        <v>230.0</v>
      </c>
      <c r="E9349" s="544" t="s">
        <v>299</v>
      </c>
      <c r="F9349" s="387">
        <v>1.0</v>
      </c>
      <c r="G9349" s="140">
        <v>30000.0</v>
      </c>
      <c r="H9349" s="74"/>
      <c r="I9349" s="74">
        <f t="shared" si="1"/>
        <v>30000</v>
      </c>
      <c r="J9349" s="74">
        <f>IF(E9349="SERVICE",I9349-(I9349*50%),Vlookup(E9349,DATABASE!C:Q,10,false)*F9349)</f>
        <v>0</v>
      </c>
      <c r="K9349" s="74">
        <f>VLOOKUP(E9349,DATABASE!C:Q,7,false)</f>
        <v>10000</v>
      </c>
      <c r="L9349" s="74">
        <v>10000.0</v>
      </c>
      <c r="M9349" s="74">
        <f t="shared" si="6"/>
        <v>10000</v>
      </c>
      <c r="N9349" s="74">
        <f t="shared" si="3"/>
        <v>20000</v>
      </c>
      <c r="O9349" s="65" t="str">
        <f>VLOOKUP(E9349,DATABASE!C:Q,8,false)</f>
        <v>BIAN</v>
      </c>
      <c r="P9349" s="65">
        <f>VLOOKUP(E9349,DATABASE!C:Q,9,False)</f>
        <v>0</v>
      </c>
      <c r="Q9349" s="93" t="str">
        <f>VLOOKUP(E9349,DATABASE!C:Q,4,false)</f>
        <v>Balancing</v>
      </c>
      <c r="R9349" s="93" t="str">
        <f>VLOOKUP(E9349,DATABASE!C:Q,11,false)</f>
        <v>COMPLEMENTARY</v>
      </c>
    </row>
    <row r="9350" ht="22.5" customHeight="1">
      <c r="A9350" s="49"/>
      <c r="C9350" s="400">
        <v>46206.0</v>
      </c>
      <c r="D9350" s="69">
        <v>231.0</v>
      </c>
      <c r="E9350" s="544" t="s">
        <v>256</v>
      </c>
      <c r="F9350" s="387">
        <v>1.0</v>
      </c>
      <c r="G9350" s="140">
        <v>150000.0</v>
      </c>
      <c r="H9350" s="74"/>
      <c r="I9350" s="74">
        <f t="shared" si="1"/>
        <v>150000</v>
      </c>
      <c r="J9350" s="74">
        <f>IF(E9350="SERVICE",I9350-(I9350*50%),Vlookup(E9350,DATABASE!C:Q,10,false)*F9350)</f>
        <v>10000</v>
      </c>
      <c r="K9350" s="74">
        <f>VLOOKUP(E9350,DATABASE!C:Q,7,false)</f>
        <v>0</v>
      </c>
      <c r="L9350" s="74">
        <v>0.0</v>
      </c>
      <c r="M9350" s="74">
        <f t="shared" si="6"/>
        <v>0</v>
      </c>
      <c r="N9350" s="74">
        <f t="shared" si="3"/>
        <v>140000</v>
      </c>
      <c r="O9350" s="65" t="str">
        <f>VLOOKUP(E9350,DATABASE!C:Q,8,false)</f>
        <v>IBU</v>
      </c>
      <c r="P9350" s="65">
        <f>VLOOKUP(E9350,DATABASE!C:Q,9,False)</f>
        <v>0</v>
      </c>
      <c r="Q9350" s="93" t="str">
        <f>VLOOKUP(E9350,DATABASE!C:Q,4,false)</f>
        <v>SPOORING</v>
      </c>
      <c r="R9350" s="93" t="str">
        <f>VLOOKUP(E9350,DATABASE!C:Q,11,false)</f>
        <v>SERVICE</v>
      </c>
    </row>
    <row r="9351" ht="22.5" customHeight="1">
      <c r="A9351" s="49"/>
      <c r="C9351" s="400">
        <v>46206.0</v>
      </c>
      <c r="D9351" s="69">
        <v>231.0</v>
      </c>
      <c r="E9351" s="544" t="s">
        <v>301</v>
      </c>
      <c r="F9351" s="387">
        <v>1.0</v>
      </c>
      <c r="G9351" s="140">
        <v>250000.0</v>
      </c>
      <c r="H9351" s="74"/>
      <c r="I9351" s="74">
        <f t="shared" si="1"/>
        <v>250000</v>
      </c>
      <c r="J9351" s="74">
        <f>IF(E9351="SERVICE",I9351-(I9351*50%),Vlookup(E9351,DATABASE!C:Q,10,false)*F9351)</f>
        <v>75000</v>
      </c>
      <c r="K9351" s="74">
        <f>VLOOKUP(E9351,DATABASE!C:Q,7,false)</f>
        <v>75000</v>
      </c>
      <c r="L9351" s="74">
        <v>75000.0</v>
      </c>
      <c r="M9351" s="74">
        <f t="shared" si="6"/>
        <v>75000</v>
      </c>
      <c r="N9351" s="74">
        <f t="shared" si="3"/>
        <v>100000</v>
      </c>
      <c r="O9351" s="65" t="str">
        <f>VLOOKUP(E9351,DATABASE!C:Q,8,false)</f>
        <v>BIAN</v>
      </c>
      <c r="P9351" s="65">
        <f>VLOOKUP(E9351,DATABASE!C:Q,9,False)</f>
        <v>0</v>
      </c>
      <c r="Q9351" s="93" t="str">
        <f>VLOOKUP(E9351,DATABASE!C:Q,4,false)</f>
        <v>Baut Camber</v>
      </c>
      <c r="R9351" s="93" t="str">
        <f>VLOOKUP(E9351,DATABASE!C:Q,11,false)</f>
        <v>COMPLEMENTARY</v>
      </c>
    </row>
    <row r="9352" ht="22.5" customHeight="1">
      <c r="A9352" s="49"/>
      <c r="C9352" s="400">
        <v>46207.0</v>
      </c>
      <c r="D9352" s="524">
        <v>232.0</v>
      </c>
      <c r="E9352" s="544" t="s">
        <v>2037</v>
      </c>
      <c r="F9352" s="387">
        <v>2.0</v>
      </c>
      <c r="G9352" s="140">
        <v>2650000.0</v>
      </c>
      <c r="H9352" s="140">
        <v>20000.0</v>
      </c>
      <c r="I9352" s="74">
        <f t="shared" si="1"/>
        <v>5260000</v>
      </c>
      <c r="J9352" s="74">
        <f>IF(E9352="SERVICE",I9352-(I9352*50%),Vlookup(E9352,DATABASE!C:Q,10,false)*F9352)</f>
        <v>0</v>
      </c>
      <c r="K9352" s="74">
        <f>VLOOKUP(E9352,DATABASE!C:Q,7,false)</f>
        <v>2575000</v>
      </c>
      <c r="L9352" s="74">
        <v>2475000.0</v>
      </c>
      <c r="M9352" s="74">
        <f t="shared" si="6"/>
        <v>2475000</v>
      </c>
      <c r="N9352" s="74">
        <f t="shared" si="3"/>
        <v>310000</v>
      </c>
      <c r="O9352" s="65" t="str">
        <f>VLOOKUP(E9352,DATABASE!C:Q,8,false)</f>
        <v>BIAN</v>
      </c>
      <c r="P9352" s="65">
        <f>VLOOKUP(E9352,DATABASE!C:Q,9,False)</f>
        <v>1</v>
      </c>
      <c r="Q9352" s="93" t="str">
        <f>VLOOKUP(E9352,DATABASE!C:Q,4,false)</f>
        <v>GT</v>
      </c>
      <c r="R9352" s="93" t="str">
        <f>VLOOKUP(E9352,DATABASE!C:Q,11,false)</f>
        <v>Tire</v>
      </c>
    </row>
    <row r="9353" ht="22.5" customHeight="1">
      <c r="A9353" s="49"/>
      <c r="C9353" s="400">
        <v>46207.0</v>
      </c>
      <c r="D9353" s="524">
        <v>232.0</v>
      </c>
      <c r="E9353" s="544" t="s">
        <v>295</v>
      </c>
      <c r="F9353" s="387">
        <v>2.0</v>
      </c>
      <c r="G9353" s="140">
        <v>1580000.0</v>
      </c>
      <c r="H9353" s="140">
        <v>20000.0</v>
      </c>
      <c r="I9353" s="74">
        <f t="shared" si="1"/>
        <v>3120000</v>
      </c>
      <c r="J9353" s="74">
        <f>IF(E9353="SERVICE",I9353-(I9353*50%),Vlookup(E9353,DATABASE!C:Q,10,false)*F9353)</f>
        <v>0</v>
      </c>
      <c r="K9353" s="74">
        <f>VLOOKUP(E9353,DATABASE!C:Q,7,false)</f>
        <v>1475000</v>
      </c>
      <c r="L9353" s="74">
        <v>1475000.0</v>
      </c>
      <c r="M9353" s="74">
        <f t="shared" si="6"/>
        <v>1475000</v>
      </c>
      <c r="N9353" s="74">
        <f t="shared" si="3"/>
        <v>170000</v>
      </c>
      <c r="O9353" s="65" t="str">
        <f>VLOOKUP(E9353,DATABASE!C:Q,8,false)</f>
        <v>BIAN</v>
      </c>
      <c r="P9353" s="65">
        <f>VLOOKUP(E9353,DATABASE!C:Q,9,False)</f>
        <v>1</v>
      </c>
      <c r="Q9353" s="93" t="str">
        <f>VLOOKUP(E9353,DATABASE!C:Q,4,false)</f>
        <v>TIRON</v>
      </c>
      <c r="R9353" s="93" t="str">
        <f>VLOOKUP(E9353,DATABASE!C:Q,11,false)</f>
        <v>Tire</v>
      </c>
    </row>
    <row r="9354" ht="22.5" customHeight="1">
      <c r="A9354" s="49"/>
      <c r="C9354" s="400">
        <v>46207.0</v>
      </c>
      <c r="D9354" s="524">
        <v>233.0</v>
      </c>
      <c r="E9354" s="544" t="s">
        <v>284</v>
      </c>
      <c r="F9354" s="387">
        <v>1.0</v>
      </c>
      <c r="G9354" s="140">
        <v>65000.0</v>
      </c>
      <c r="H9354" s="140">
        <v>5000.0</v>
      </c>
      <c r="I9354" s="74">
        <f t="shared" si="1"/>
        <v>60000</v>
      </c>
      <c r="J9354" s="74">
        <f>IF(E9354="SERVICE",I9354-(I9354*50%),Vlookup(E9354,DATABASE!C:Q,10,false)*F9354)</f>
        <v>0</v>
      </c>
      <c r="K9354" s="74">
        <f>VLOOKUP(E9354,DATABASE!C:Q,7,false)</f>
        <v>36630</v>
      </c>
      <c r="L9354" s="74">
        <v>36630.0</v>
      </c>
      <c r="M9354" s="74">
        <f t="shared" si="6"/>
        <v>40000</v>
      </c>
      <c r="N9354" s="74">
        <f t="shared" si="3"/>
        <v>20000</v>
      </c>
      <c r="O9354" s="65" t="str">
        <f>VLOOKUP(E9354,DATABASE!C:Q,8,false)</f>
        <v>BIAN</v>
      </c>
      <c r="P9354" s="65">
        <f>VLOOKUP(E9354,DATABASE!C:Q,9,False)</f>
        <v>1</v>
      </c>
      <c r="Q9354" s="93" t="str">
        <f>VLOOKUP(E9354,DATABASE!C:Q,4,false)</f>
        <v>Flap</v>
      </c>
      <c r="R9354" s="93" t="str">
        <f>VLOOKUP(E9354,DATABASE!C:Q,11,false)</f>
        <v>Tire</v>
      </c>
    </row>
    <row r="9355" ht="22.5" customHeight="1">
      <c r="A9355" s="29"/>
      <c r="C9355" s="400">
        <v>46207.0</v>
      </c>
      <c r="D9355" s="69">
        <v>234.0</v>
      </c>
      <c r="E9355" s="544" t="s">
        <v>256</v>
      </c>
      <c r="F9355" s="387">
        <v>1.0</v>
      </c>
      <c r="G9355" s="140">
        <v>120000.0</v>
      </c>
      <c r="H9355" s="74"/>
      <c r="I9355" s="74">
        <f t="shared" si="1"/>
        <v>120000</v>
      </c>
      <c r="J9355" s="74">
        <f>IF(E9355="SERVICE",I9355-(I9355*50%),Vlookup(E9355,DATABASE!C:Q,10,false)*F9355)</f>
        <v>10000</v>
      </c>
      <c r="K9355" s="74">
        <f>VLOOKUP(E9355,DATABASE!C:Q,7,false)</f>
        <v>0</v>
      </c>
      <c r="L9355" s="74">
        <v>0.0</v>
      </c>
      <c r="M9355" s="74">
        <f t="shared" si="6"/>
        <v>0</v>
      </c>
      <c r="N9355" s="74">
        <f t="shared" si="3"/>
        <v>110000</v>
      </c>
      <c r="O9355" s="65" t="str">
        <f>VLOOKUP(E9355,DATABASE!C:Q,8,false)</f>
        <v>IBU</v>
      </c>
      <c r="P9355" s="65">
        <f>VLOOKUP(E9355,DATABASE!C:Q,9,False)</f>
        <v>0</v>
      </c>
      <c r="Q9355" s="93" t="str">
        <f>VLOOKUP(E9355,DATABASE!C:Q,4,false)</f>
        <v>SPOORING</v>
      </c>
      <c r="R9355" s="93" t="str">
        <f>VLOOKUP(E9355,DATABASE!C:Q,11,false)</f>
        <v>SERVICE</v>
      </c>
    </row>
    <row r="9356" ht="22.5" customHeight="1">
      <c r="A9356" s="49"/>
      <c r="C9356" s="400">
        <v>46207.0</v>
      </c>
      <c r="D9356" s="69">
        <v>234.0</v>
      </c>
      <c r="E9356" s="544" t="s">
        <v>301</v>
      </c>
      <c r="F9356" s="387">
        <v>1.0</v>
      </c>
      <c r="G9356" s="140">
        <v>250000.0</v>
      </c>
      <c r="H9356" s="74"/>
      <c r="I9356" s="74">
        <f t="shared" si="1"/>
        <v>250000</v>
      </c>
      <c r="J9356" s="74">
        <f>IF(E9356="SERVICE",I9356-(I9356*50%),Vlookup(E9356,DATABASE!C:Q,10,false)*F9356)</f>
        <v>75000</v>
      </c>
      <c r="K9356" s="74">
        <f>VLOOKUP(E9356,DATABASE!C:Q,7,false)</f>
        <v>75000</v>
      </c>
      <c r="L9356" s="74">
        <v>75000.0</v>
      </c>
      <c r="M9356" s="74">
        <f t="shared" si="6"/>
        <v>75000</v>
      </c>
      <c r="N9356" s="74">
        <f t="shared" si="3"/>
        <v>100000</v>
      </c>
      <c r="O9356" s="65" t="str">
        <f>VLOOKUP(E9356,DATABASE!C:Q,8,false)</f>
        <v>BIAN</v>
      </c>
      <c r="P9356" s="65">
        <f>VLOOKUP(E9356,DATABASE!C:Q,9,False)</f>
        <v>0</v>
      </c>
      <c r="Q9356" s="93" t="str">
        <f>VLOOKUP(E9356,DATABASE!C:Q,4,false)</f>
        <v>Baut Camber</v>
      </c>
      <c r="R9356" s="93" t="str">
        <f>VLOOKUP(E9356,DATABASE!C:Q,11,false)</f>
        <v>COMPLEMENTARY</v>
      </c>
    </row>
    <row r="9357" ht="22.5" customHeight="1">
      <c r="A9357" s="49"/>
      <c r="C9357" s="400">
        <v>46207.0</v>
      </c>
      <c r="D9357" s="524">
        <v>235.0</v>
      </c>
      <c r="E9357" s="544" t="s">
        <v>932</v>
      </c>
      <c r="F9357" s="387">
        <v>2.0</v>
      </c>
      <c r="G9357" s="140">
        <v>690000.0</v>
      </c>
      <c r="H9357" s="74"/>
      <c r="I9357" s="74">
        <f t="shared" si="1"/>
        <v>1380000</v>
      </c>
      <c r="J9357" s="74">
        <f>IF(E9357="SERVICE",I9357-(I9357*50%),Vlookup(E9357,DATABASE!C:Q,10,false)*F9357)</f>
        <v>0</v>
      </c>
      <c r="K9357" s="74">
        <f>VLOOKUP(E9357,DATABASE!C:Q,7,false)</f>
        <v>601000</v>
      </c>
      <c r="L9357" s="74">
        <v>601000.0</v>
      </c>
      <c r="M9357" s="74">
        <f t="shared" si="6"/>
        <v>605000</v>
      </c>
      <c r="N9357" s="74">
        <f t="shared" si="3"/>
        <v>170000</v>
      </c>
      <c r="O9357" s="65" t="str">
        <f>VLOOKUP(E9357,DATABASE!C:Q,8,false)</f>
        <v>IBU</v>
      </c>
      <c r="P9357" s="65">
        <f>VLOOKUP(E9357,DATABASE!C:Q,9,False)</f>
        <v>1</v>
      </c>
      <c r="Q9357" s="93" t="str">
        <f>VLOOKUP(E9357,DATABASE!C:Q,4,false)</f>
        <v>Dunlop</v>
      </c>
      <c r="R9357" s="93" t="str">
        <f>VLOOKUP(E9357,DATABASE!C:Q,11,false)</f>
        <v>Tire</v>
      </c>
    </row>
    <row r="9358" ht="22.5" customHeight="1">
      <c r="A9358" s="49"/>
      <c r="C9358" s="400">
        <v>46207.0</v>
      </c>
      <c r="D9358" s="524">
        <v>236.0</v>
      </c>
      <c r="E9358" s="544" t="s">
        <v>932</v>
      </c>
      <c r="F9358" s="387">
        <v>2.0</v>
      </c>
      <c r="G9358" s="140">
        <v>690000.0</v>
      </c>
      <c r="H9358" s="74"/>
      <c r="I9358" s="74">
        <f t="shared" si="1"/>
        <v>1380000</v>
      </c>
      <c r="J9358" s="74">
        <f>IF(E9358="SERVICE",I9358-(I9358*50%),Vlookup(E9358,DATABASE!C:Q,10,false)*F9358)</f>
        <v>0</v>
      </c>
      <c r="K9358" s="74">
        <f>VLOOKUP(E9358,DATABASE!C:Q,7,false)</f>
        <v>601000</v>
      </c>
      <c r="L9358" s="74">
        <v>601000.0</v>
      </c>
      <c r="M9358" s="74">
        <f t="shared" si="6"/>
        <v>605000</v>
      </c>
      <c r="N9358" s="74">
        <f t="shared" si="3"/>
        <v>170000</v>
      </c>
      <c r="O9358" s="65" t="str">
        <f>VLOOKUP(E9358,DATABASE!C:Q,8,false)</f>
        <v>IBU</v>
      </c>
      <c r="P9358" s="65">
        <f>VLOOKUP(E9358,DATABASE!C:Q,9,False)</f>
        <v>1</v>
      </c>
      <c r="Q9358" s="93" t="str">
        <f>VLOOKUP(E9358,DATABASE!C:Q,4,false)</f>
        <v>Dunlop</v>
      </c>
      <c r="R9358" s="93" t="str">
        <f>VLOOKUP(E9358,DATABASE!C:Q,11,false)</f>
        <v>Tire</v>
      </c>
    </row>
    <row r="9359" ht="22.5" customHeight="1">
      <c r="A9359" s="49"/>
      <c r="C9359" s="400">
        <v>46207.0</v>
      </c>
      <c r="D9359" s="524">
        <v>237.0</v>
      </c>
      <c r="E9359" s="544" t="s">
        <v>256</v>
      </c>
      <c r="F9359" s="387">
        <v>1.0</v>
      </c>
      <c r="G9359" s="140">
        <v>175000.0</v>
      </c>
      <c r="H9359" s="140">
        <v>25000.0</v>
      </c>
      <c r="I9359" s="74">
        <f t="shared" si="1"/>
        <v>150000</v>
      </c>
      <c r="J9359" s="74">
        <f>IF(E9359="SERVICE",I9359-(I9359*50%),Vlookup(E9359,DATABASE!C:Q,10,false)*F9359)</f>
        <v>10000</v>
      </c>
      <c r="K9359" s="74">
        <f>VLOOKUP(E9359,DATABASE!C:Q,7,false)</f>
        <v>0</v>
      </c>
      <c r="L9359" s="74">
        <v>0.0</v>
      </c>
      <c r="M9359" s="74">
        <f t="shared" si="6"/>
        <v>0</v>
      </c>
      <c r="N9359" s="74">
        <f t="shared" si="3"/>
        <v>140000</v>
      </c>
      <c r="O9359" s="65" t="str">
        <f>VLOOKUP(E9359,DATABASE!C:Q,8,false)</f>
        <v>IBU</v>
      </c>
      <c r="P9359" s="65">
        <f>VLOOKUP(E9359,DATABASE!C:Q,9,False)</f>
        <v>0</v>
      </c>
      <c r="Q9359" s="93" t="str">
        <f>VLOOKUP(E9359,DATABASE!C:Q,4,false)</f>
        <v>SPOORING</v>
      </c>
      <c r="R9359" s="93" t="str">
        <f>VLOOKUP(E9359,DATABASE!C:Q,11,false)</f>
        <v>SERVICE</v>
      </c>
    </row>
    <row r="9360" ht="22.5" customHeight="1">
      <c r="A9360" s="49"/>
      <c r="C9360" s="400">
        <v>46207.0</v>
      </c>
      <c r="D9360" s="524">
        <v>237.0</v>
      </c>
      <c r="E9360" s="544" t="s">
        <v>251</v>
      </c>
      <c r="F9360" s="387">
        <v>1.0</v>
      </c>
      <c r="G9360" s="140">
        <v>350000.0</v>
      </c>
      <c r="H9360" s="140">
        <v>200000.0</v>
      </c>
      <c r="I9360" s="74">
        <f t="shared" si="1"/>
        <v>150000</v>
      </c>
      <c r="J9360" s="74">
        <f>IF(E9360="SERVICE",I9360-(I9360*50%),Vlookup(E9360,DATABASE!C:Q,10,false)*F9360)</f>
        <v>75000</v>
      </c>
      <c r="K9360" s="74">
        <f>VLOOKUP(E9360,DATABASE!C:Q,7,false)</f>
        <v>0</v>
      </c>
      <c r="L9360" s="74">
        <v>0.0</v>
      </c>
      <c r="M9360" s="74">
        <f t="shared" si="6"/>
        <v>0</v>
      </c>
      <c r="N9360" s="74">
        <f t="shared" si="3"/>
        <v>75000</v>
      </c>
      <c r="O9360" s="65" t="str">
        <f>VLOOKUP(E9360,DATABASE!C:Q,8,false)</f>
        <v>IBU</v>
      </c>
      <c r="P9360" s="65">
        <f>VLOOKUP(E9360,DATABASE!C:Q,9,False)</f>
        <v>0</v>
      </c>
      <c r="Q9360" s="93" t="str">
        <f>VLOOKUP(E9360,DATABASE!C:Q,4,false)</f>
        <v>SERVICE</v>
      </c>
      <c r="R9360" s="93" t="str">
        <f>VLOOKUP(E9360,DATABASE!C:Q,11,false)</f>
        <v>SERVICE</v>
      </c>
    </row>
    <row r="9361" ht="22.5" customHeight="1">
      <c r="A9361" s="49"/>
      <c r="C9361" s="400">
        <v>46207.0</v>
      </c>
      <c r="D9361" s="524">
        <v>238.0</v>
      </c>
      <c r="E9361" s="544" t="s">
        <v>262</v>
      </c>
      <c r="F9361" s="387">
        <v>1.0</v>
      </c>
      <c r="G9361" s="140">
        <v>130000.0</v>
      </c>
      <c r="H9361" s="74"/>
      <c r="I9361" s="74">
        <f t="shared" si="1"/>
        <v>130000</v>
      </c>
      <c r="J9361" s="74">
        <f>IF(E9361="SERVICE",I9361-(I9361*50%),Vlookup(E9361,DATABASE!C:Q,10,false)*F9361)</f>
        <v>5000</v>
      </c>
      <c r="K9361" s="74">
        <f>VLOOKUP(E9361,DATABASE!C:Q,7,false)</f>
        <v>0</v>
      </c>
      <c r="L9361" s="74">
        <v>0.0</v>
      </c>
      <c r="M9361" s="74">
        <f t="shared" si="6"/>
        <v>0</v>
      </c>
      <c r="N9361" s="74">
        <f t="shared" si="3"/>
        <v>125000</v>
      </c>
      <c r="O9361" s="65" t="str">
        <f>VLOOKUP(E9361,DATABASE!C:Q,8,false)</f>
        <v>IBU</v>
      </c>
      <c r="P9361" s="65">
        <f>VLOOKUP(E9361,DATABASE!C:Q,9,False)</f>
        <v>0</v>
      </c>
      <c r="Q9361" s="93" t="str">
        <f>VLOOKUP(E9361,DATABASE!C:Q,4,false)</f>
        <v>SPOORING SS/CARRY LOS BAK</v>
      </c>
      <c r="R9361" s="93" t="str">
        <f>VLOOKUP(E9361,DATABASE!C:Q,11,false)</f>
        <v>SERVICE</v>
      </c>
    </row>
    <row r="9362" ht="22.5" customHeight="1">
      <c r="A9362" s="49"/>
      <c r="C9362" s="400">
        <v>46207.0</v>
      </c>
      <c r="D9362" s="524">
        <v>238.0</v>
      </c>
      <c r="E9362" s="544" t="s">
        <v>251</v>
      </c>
      <c r="F9362" s="387">
        <v>1.0</v>
      </c>
      <c r="G9362" s="140">
        <v>350000.0</v>
      </c>
      <c r="H9362" s="140">
        <v>200000.0</v>
      </c>
      <c r="I9362" s="74">
        <f t="shared" si="1"/>
        <v>150000</v>
      </c>
      <c r="J9362" s="74">
        <f>IF(E9362="SERVICE",I9362-(I9362*50%),Vlookup(E9362,DATABASE!C:Q,10,false)*F9362)</f>
        <v>75000</v>
      </c>
      <c r="K9362" s="74">
        <f>VLOOKUP(E9362,DATABASE!C:Q,7,false)</f>
        <v>0</v>
      </c>
      <c r="L9362" s="74">
        <v>0.0</v>
      </c>
      <c r="M9362" s="74">
        <f t="shared" si="6"/>
        <v>0</v>
      </c>
      <c r="N9362" s="74">
        <f t="shared" si="3"/>
        <v>75000</v>
      </c>
      <c r="O9362" s="65" t="str">
        <f>VLOOKUP(E9362,DATABASE!C:Q,8,false)</f>
        <v>IBU</v>
      </c>
      <c r="P9362" s="65">
        <f>VLOOKUP(E9362,DATABASE!C:Q,9,False)</f>
        <v>0</v>
      </c>
      <c r="Q9362" s="93" t="str">
        <f>VLOOKUP(E9362,DATABASE!C:Q,4,false)</f>
        <v>SERVICE</v>
      </c>
      <c r="R9362" s="93" t="str">
        <f>VLOOKUP(E9362,DATABASE!C:Q,11,false)</f>
        <v>SERVICE</v>
      </c>
    </row>
    <row r="9363" ht="22.5" customHeight="1">
      <c r="A9363" s="49"/>
      <c r="C9363" s="400">
        <v>46207.0</v>
      </c>
      <c r="D9363" s="524">
        <v>239.0</v>
      </c>
      <c r="E9363" s="544" t="s">
        <v>268</v>
      </c>
      <c r="F9363" s="387">
        <v>2.0</v>
      </c>
      <c r="G9363" s="140">
        <v>720000.0</v>
      </c>
      <c r="H9363" s="74"/>
      <c r="I9363" s="74">
        <f t="shared" si="1"/>
        <v>1440000</v>
      </c>
      <c r="J9363" s="74">
        <f>IF(E9363="SERVICE",I9363-(I9363*50%),Vlookup(E9363,DATABASE!C:Q,10,false)*F9363)</f>
        <v>0</v>
      </c>
      <c r="K9363" s="74">
        <f>VLOOKUP(E9363,DATABASE!C:Q,7,false)</f>
        <v>653000</v>
      </c>
      <c r="L9363" s="74">
        <v>634500.0</v>
      </c>
      <c r="M9363" s="74">
        <f t="shared" si="6"/>
        <v>635000</v>
      </c>
      <c r="N9363" s="74">
        <f t="shared" si="3"/>
        <v>170000</v>
      </c>
      <c r="O9363" s="65" t="str">
        <f>VLOOKUP(E9363,DATABASE!C:Q,8,false)</f>
        <v>IBU</v>
      </c>
      <c r="P9363" s="65">
        <f>VLOOKUP(E9363,DATABASE!C:Q,9,False)</f>
        <v>1</v>
      </c>
      <c r="Q9363" s="93" t="str">
        <f>VLOOKUP(E9363,DATABASE!C:Q,4,false)</f>
        <v>Dunlop</v>
      </c>
      <c r="R9363" s="93" t="str">
        <f>VLOOKUP(E9363,DATABASE!C:Q,11,false)</f>
        <v>Tire</v>
      </c>
    </row>
    <row r="9364" ht="22.5" customHeight="1">
      <c r="A9364" s="49"/>
      <c r="C9364" s="400">
        <v>46207.0</v>
      </c>
      <c r="D9364" s="69" t="s">
        <v>2859</v>
      </c>
      <c r="E9364" s="544" t="s">
        <v>243</v>
      </c>
      <c r="F9364" s="387">
        <v>1.0</v>
      </c>
      <c r="G9364" s="140">
        <v>500000.0</v>
      </c>
      <c r="H9364" s="74"/>
      <c r="I9364" s="74">
        <f t="shared" si="1"/>
        <v>500000</v>
      </c>
      <c r="J9364" s="74">
        <f>IF(E9364="SERVICE",I9364-(I9364*50%),Vlookup(E9364,DATABASE!C:Q,10,false)*F9364)</f>
        <v>0</v>
      </c>
      <c r="K9364" s="74">
        <f>VLOOKUP(E9364,DATABASE!C:Q,7,false)</f>
        <v>432500</v>
      </c>
      <c r="L9364" s="74">
        <v>432500.0</v>
      </c>
      <c r="M9364" s="74">
        <f t="shared" si="6"/>
        <v>435000</v>
      </c>
      <c r="N9364" s="74">
        <f t="shared" si="3"/>
        <v>65000</v>
      </c>
      <c r="O9364" s="65" t="str">
        <f>VLOOKUP(E9364,DATABASE!C:Q,8,false)</f>
        <v>NON</v>
      </c>
      <c r="P9364" s="65">
        <f>VLOOKUP(E9364,DATABASE!C:Q,9,False)</f>
        <v>0</v>
      </c>
      <c r="Q9364" s="93" t="str">
        <f>VLOOKUP(E9364,DATABASE!C:Q,4,false)</f>
        <v>Pertamina</v>
      </c>
      <c r="R9364" s="93" t="str">
        <f>VLOOKUP(E9364,DATABASE!C:Q,11,false)</f>
        <v>OIL</v>
      </c>
    </row>
    <row r="9365" ht="22.5" customHeight="1">
      <c r="A9365" s="49"/>
      <c r="C9365" s="400">
        <v>46208.0</v>
      </c>
      <c r="D9365" s="69">
        <v>240.0</v>
      </c>
      <c r="E9365" s="544" t="s">
        <v>2624</v>
      </c>
      <c r="F9365" s="387">
        <v>2.0</v>
      </c>
      <c r="G9365" s="140">
        <v>610000.0</v>
      </c>
      <c r="H9365" s="74"/>
      <c r="I9365" s="74">
        <f t="shared" si="1"/>
        <v>1220000</v>
      </c>
      <c r="J9365" s="74">
        <f>IF(E9365="SERVICE",I9365-(I9365*50%),Vlookup(E9365,DATABASE!C:Q,10,false)*F9365)</f>
        <v>0</v>
      </c>
      <c r="K9365" s="74">
        <f>VLOOKUP(E9365,DATABASE!C:Q,7,false)</f>
        <v>517000</v>
      </c>
      <c r="L9365" s="74">
        <v>517000.0</v>
      </c>
      <c r="M9365" s="74">
        <f t="shared" si="6"/>
        <v>520000</v>
      </c>
      <c r="N9365" s="74">
        <f t="shared" si="3"/>
        <v>180000</v>
      </c>
      <c r="O9365" s="65" t="str">
        <f>VLOOKUP(E9365,DATABASE!C:Q,8,false)</f>
        <v>BIAN</v>
      </c>
      <c r="P9365" s="65">
        <f>VLOOKUP(E9365,DATABASE!C:Q,9,False)</f>
        <v>1</v>
      </c>
      <c r="Q9365" s="93" t="str">
        <f>VLOOKUP(E9365,DATABASE!C:Q,4,false)</f>
        <v>Sailun</v>
      </c>
      <c r="R9365" s="93" t="str">
        <f>VLOOKUP(E9365,DATABASE!C:Q,11,false)</f>
        <v>Tire</v>
      </c>
    </row>
    <row r="9366" ht="22.5" customHeight="1">
      <c r="A9366" s="49"/>
      <c r="C9366" s="400">
        <v>46208.0</v>
      </c>
      <c r="D9366" s="69">
        <v>241.0</v>
      </c>
      <c r="E9366" s="544" t="s">
        <v>246</v>
      </c>
      <c r="F9366" s="387">
        <v>2.0</v>
      </c>
      <c r="G9366" s="140">
        <v>35000.0</v>
      </c>
      <c r="H9366" s="74"/>
      <c r="I9366" s="74">
        <f t="shared" si="1"/>
        <v>70000</v>
      </c>
      <c r="J9366" s="74">
        <f>IF(E9366="SERVICE",I9366-(I9366*50%),Vlookup(E9366,DATABASE!C:Q,10,false)*F9366)</f>
        <v>0</v>
      </c>
      <c r="K9366" s="74">
        <f>VLOOKUP(E9366,DATABASE!C:Q,7,false)</f>
        <v>0</v>
      </c>
      <c r="L9366" s="74">
        <v>0.0</v>
      </c>
      <c r="M9366" s="74">
        <f t="shared" si="6"/>
        <v>0</v>
      </c>
      <c r="N9366" s="74">
        <f t="shared" si="3"/>
        <v>70000</v>
      </c>
      <c r="O9366" s="65" t="str">
        <f>VLOOKUP(E9366,DATABASE!C:Q,8,false)</f>
        <v>IBU</v>
      </c>
      <c r="P9366" s="65">
        <f>VLOOKUP(E9366,DATABASE!C:Q,9,False)</f>
        <v>0</v>
      </c>
      <c r="Q9366" s="93" t="str">
        <f>VLOOKUP(E9366,DATABASE!C:Q,4,false)</f>
        <v>Bongkar Pasang</v>
      </c>
      <c r="R9366" s="93" t="str">
        <f>VLOOKUP(E9366,DATABASE!C:Q,11,false)</f>
        <v>SERVICE</v>
      </c>
    </row>
    <row r="9367" ht="22.5" customHeight="1">
      <c r="A9367" s="49"/>
      <c r="C9367" s="400">
        <v>46208.0</v>
      </c>
      <c r="D9367" s="69">
        <v>242.0</v>
      </c>
      <c r="E9367" s="544" t="s">
        <v>1301</v>
      </c>
      <c r="F9367" s="387">
        <v>1.0</v>
      </c>
      <c r="G9367" s="140">
        <v>1300000.0</v>
      </c>
      <c r="H9367" s="74"/>
      <c r="I9367" s="74">
        <f t="shared" si="1"/>
        <v>1300000</v>
      </c>
      <c r="J9367" s="74">
        <f>IF(E9367="SERVICE",I9367-(I9367*50%),Vlookup(E9367,DATABASE!C:Q,10,false)*F9367)</f>
        <v>0</v>
      </c>
      <c r="K9367" s="74">
        <f>VLOOKUP(E9367,DATABASE!C:Q,7,false)</f>
        <v>1194000</v>
      </c>
      <c r="L9367" s="74">
        <v>1194000.0</v>
      </c>
      <c r="M9367" s="74">
        <f t="shared" si="6"/>
        <v>1195000</v>
      </c>
      <c r="N9367" s="74">
        <f t="shared" si="3"/>
        <v>105000</v>
      </c>
      <c r="O9367" s="65" t="str">
        <f>VLOOKUP(E9367,DATABASE!C:Q,8,false)</f>
        <v>IBU</v>
      </c>
      <c r="P9367" s="65">
        <f>VLOOKUP(E9367,DATABASE!C:Q,9,False)</f>
        <v>1</v>
      </c>
      <c r="Q9367" s="93" t="str">
        <f>VLOOKUP(E9367,DATABASE!C:Q,4,false)</f>
        <v>Dunlop</v>
      </c>
      <c r="R9367" s="93" t="str">
        <f>VLOOKUP(E9367,DATABASE!C:Q,11,false)</f>
        <v>Tire</v>
      </c>
    </row>
    <row r="9368" ht="22.5" customHeight="1">
      <c r="A9368" s="49"/>
      <c r="C9368" s="400">
        <v>46208.0</v>
      </c>
      <c r="D9368" s="69">
        <v>243.0</v>
      </c>
      <c r="E9368" s="544" t="s">
        <v>268</v>
      </c>
      <c r="F9368" s="387">
        <v>2.0</v>
      </c>
      <c r="G9368" s="140">
        <v>720000.0</v>
      </c>
      <c r="H9368" s="74"/>
      <c r="I9368" s="74">
        <f t="shared" si="1"/>
        <v>1440000</v>
      </c>
      <c r="J9368" s="74">
        <f>IF(E9368="SERVICE",I9368-(I9368*50%),Vlookup(E9368,DATABASE!C:Q,10,false)*F9368)</f>
        <v>0</v>
      </c>
      <c r="K9368" s="74">
        <f>VLOOKUP(E9368,DATABASE!C:Q,7,false)</f>
        <v>653000</v>
      </c>
      <c r="L9368" s="74">
        <v>634500.0</v>
      </c>
      <c r="M9368" s="74">
        <f t="shared" si="6"/>
        <v>635000</v>
      </c>
      <c r="N9368" s="74">
        <f t="shared" si="3"/>
        <v>170000</v>
      </c>
      <c r="O9368" s="65" t="str">
        <f>VLOOKUP(E9368,DATABASE!C:Q,8,false)</f>
        <v>IBU</v>
      </c>
      <c r="P9368" s="65">
        <f>VLOOKUP(E9368,DATABASE!C:Q,9,False)</f>
        <v>1</v>
      </c>
      <c r="Q9368" s="93" t="str">
        <f>VLOOKUP(E9368,DATABASE!C:Q,4,false)</f>
        <v>Dunlop</v>
      </c>
      <c r="R9368" s="93" t="str">
        <f>VLOOKUP(E9368,DATABASE!C:Q,11,false)</f>
        <v>Tire</v>
      </c>
    </row>
    <row r="9369" ht="22.5" customHeight="1">
      <c r="A9369" s="29"/>
      <c r="C9369" s="400">
        <v>46209.0</v>
      </c>
      <c r="D9369" s="69">
        <v>244.0</v>
      </c>
      <c r="E9369" s="544" t="s">
        <v>268</v>
      </c>
      <c r="F9369" s="387">
        <v>2.0</v>
      </c>
      <c r="G9369" s="140">
        <v>720000.0</v>
      </c>
      <c r="H9369" s="74"/>
      <c r="I9369" s="74">
        <f t="shared" si="1"/>
        <v>1440000</v>
      </c>
      <c r="J9369" s="74">
        <f>IF(E9369="SERVICE",I9369-(I9369*50%),Vlookup(E9369,DATABASE!C:Q,10,false)*F9369)</f>
        <v>0</v>
      </c>
      <c r="K9369" s="74">
        <f>VLOOKUP(E9369,DATABASE!C:Q,7,false)</f>
        <v>653000</v>
      </c>
      <c r="L9369" s="74">
        <v>634500.0</v>
      </c>
      <c r="M9369" s="74">
        <f t="shared" si="6"/>
        <v>635000</v>
      </c>
      <c r="N9369" s="74">
        <f t="shared" si="3"/>
        <v>170000</v>
      </c>
      <c r="O9369" s="65" t="str">
        <f>VLOOKUP(E9369,DATABASE!C:Q,8,false)</f>
        <v>IBU</v>
      </c>
      <c r="P9369" s="65">
        <f>VLOOKUP(E9369,DATABASE!C:Q,9,False)</f>
        <v>1</v>
      </c>
      <c r="Q9369" s="93" t="str">
        <f>VLOOKUP(E9369,DATABASE!C:Q,4,false)</f>
        <v>Dunlop</v>
      </c>
      <c r="R9369" s="93" t="str">
        <f>VLOOKUP(E9369,DATABASE!C:Q,11,false)</f>
        <v>Tire</v>
      </c>
    </row>
    <row r="9370" ht="22.5" customHeight="1">
      <c r="A9370" s="29"/>
      <c r="C9370" s="400">
        <v>46209.0</v>
      </c>
      <c r="D9370" s="524">
        <v>245.0</v>
      </c>
      <c r="E9370" s="544" t="s">
        <v>932</v>
      </c>
      <c r="F9370" s="387">
        <v>2.0</v>
      </c>
      <c r="G9370" s="140">
        <v>690000.0</v>
      </c>
      <c r="H9370" s="74"/>
      <c r="I9370" s="74">
        <f t="shared" si="1"/>
        <v>1380000</v>
      </c>
      <c r="J9370" s="74">
        <f>IF(E9370="SERVICE",I9370-(I9370*50%),Vlookup(E9370,DATABASE!C:Q,10,false)*F9370)</f>
        <v>0</v>
      </c>
      <c r="K9370" s="74">
        <f>VLOOKUP(E9370,DATABASE!C:Q,7,false)</f>
        <v>601000</v>
      </c>
      <c r="L9370" s="74">
        <v>601000.0</v>
      </c>
      <c r="M9370" s="74">
        <f t="shared" si="6"/>
        <v>605000</v>
      </c>
      <c r="N9370" s="74">
        <f t="shared" si="3"/>
        <v>170000</v>
      </c>
      <c r="O9370" s="65" t="str">
        <f>VLOOKUP(E9370,DATABASE!C:Q,8,false)</f>
        <v>IBU</v>
      </c>
      <c r="P9370" s="65">
        <f>VLOOKUP(E9370,DATABASE!C:Q,9,False)</f>
        <v>1</v>
      </c>
      <c r="Q9370" s="93" t="str">
        <f>VLOOKUP(E9370,DATABASE!C:Q,4,false)</f>
        <v>Dunlop</v>
      </c>
      <c r="R9370" s="93" t="str">
        <f>VLOOKUP(E9370,DATABASE!C:Q,11,false)</f>
        <v>Tire</v>
      </c>
    </row>
    <row r="9371" ht="22.5" customHeight="1">
      <c r="A9371" s="49"/>
      <c r="C9371" s="400">
        <v>46209.0</v>
      </c>
      <c r="D9371" s="524">
        <v>246.0</v>
      </c>
      <c r="E9371" s="544" t="s">
        <v>932</v>
      </c>
      <c r="F9371" s="387">
        <v>2.0</v>
      </c>
      <c r="G9371" s="140">
        <v>690000.0</v>
      </c>
      <c r="H9371" s="74"/>
      <c r="I9371" s="74">
        <f t="shared" si="1"/>
        <v>1380000</v>
      </c>
      <c r="J9371" s="74">
        <f>IF(E9371="SERVICE",I9371-(I9371*50%),Vlookup(E9371,DATABASE!C:Q,10,false)*F9371)</f>
        <v>0</v>
      </c>
      <c r="K9371" s="74">
        <f>VLOOKUP(E9371,DATABASE!C:Q,7,false)</f>
        <v>601000</v>
      </c>
      <c r="L9371" s="74">
        <v>601000.0</v>
      </c>
      <c r="M9371" s="74">
        <f t="shared" si="6"/>
        <v>605000</v>
      </c>
      <c r="N9371" s="74">
        <f t="shared" si="3"/>
        <v>170000</v>
      </c>
      <c r="O9371" s="65" t="str">
        <f>VLOOKUP(E9371,DATABASE!C:Q,8,false)</f>
        <v>IBU</v>
      </c>
      <c r="P9371" s="65">
        <f>VLOOKUP(E9371,DATABASE!C:Q,9,False)</f>
        <v>1</v>
      </c>
      <c r="Q9371" s="93" t="str">
        <f>VLOOKUP(E9371,DATABASE!C:Q,4,false)</f>
        <v>Dunlop</v>
      </c>
      <c r="R9371" s="93" t="str">
        <f>VLOOKUP(E9371,DATABASE!C:Q,11,false)</f>
        <v>Tire</v>
      </c>
    </row>
    <row r="9372" ht="22.5" customHeight="1">
      <c r="A9372" s="49"/>
      <c r="C9372" s="400">
        <v>46209.0</v>
      </c>
      <c r="D9372" s="524">
        <v>246.0</v>
      </c>
      <c r="E9372" s="544" t="s">
        <v>262</v>
      </c>
      <c r="F9372" s="387">
        <v>1.0</v>
      </c>
      <c r="G9372" s="140">
        <v>130000.0</v>
      </c>
      <c r="H9372" s="74"/>
      <c r="I9372" s="74">
        <f t="shared" si="1"/>
        <v>130000</v>
      </c>
      <c r="J9372" s="74">
        <f>IF(E9372="SERVICE",I9372-(I9372*50%),Vlookup(E9372,DATABASE!C:Q,10,false)*F9372)</f>
        <v>5000</v>
      </c>
      <c r="K9372" s="74">
        <f>VLOOKUP(E9372,DATABASE!C:Q,7,false)</f>
        <v>0</v>
      </c>
      <c r="L9372" s="74">
        <v>0.0</v>
      </c>
      <c r="M9372" s="74">
        <f t="shared" si="6"/>
        <v>0</v>
      </c>
      <c r="N9372" s="74">
        <f t="shared" si="3"/>
        <v>125000</v>
      </c>
      <c r="O9372" s="65" t="str">
        <f>VLOOKUP(E9372,DATABASE!C:Q,8,false)</f>
        <v>IBU</v>
      </c>
      <c r="P9372" s="65">
        <f>VLOOKUP(E9372,DATABASE!C:Q,9,False)</f>
        <v>0</v>
      </c>
      <c r="Q9372" s="93" t="str">
        <f>VLOOKUP(E9372,DATABASE!C:Q,4,false)</f>
        <v>SPOORING SS/CARRY LOS BAK</v>
      </c>
      <c r="R9372" s="93" t="str">
        <f>VLOOKUP(E9372,DATABASE!C:Q,11,false)</f>
        <v>SERVICE</v>
      </c>
    </row>
    <row r="9373" ht="22.5" customHeight="1">
      <c r="A9373" s="49"/>
      <c r="C9373" s="400">
        <v>46209.0</v>
      </c>
      <c r="D9373" s="524">
        <v>246.0</v>
      </c>
      <c r="E9373" s="544" t="s">
        <v>305</v>
      </c>
      <c r="F9373" s="387">
        <v>1.0</v>
      </c>
      <c r="G9373" s="140">
        <v>240000.0</v>
      </c>
      <c r="H9373" s="74"/>
      <c r="I9373" s="74">
        <f t="shared" si="1"/>
        <v>240000</v>
      </c>
      <c r="J9373" s="74">
        <f>IF(E9373="SERVICE",I9373-(I9373*50%),Vlookup(E9373,DATABASE!C:Q,10,false)*F9373)</f>
        <v>40000</v>
      </c>
      <c r="K9373" s="74">
        <f>VLOOKUP(E9373,DATABASE!C:Q,7,false)</f>
        <v>158530.2</v>
      </c>
      <c r="L9373" s="74">
        <v>158530.2</v>
      </c>
      <c r="M9373" s="74">
        <f t="shared" si="6"/>
        <v>160000</v>
      </c>
      <c r="N9373" s="74">
        <f t="shared" si="3"/>
        <v>40000</v>
      </c>
      <c r="O9373" s="65" t="str">
        <f>VLOOKUP(E9373,DATABASE!C:Q,8,false)</f>
        <v>BIAN</v>
      </c>
      <c r="P9373" s="65">
        <f>VLOOKUP(E9373,DATABASE!C:Q,9,False)</f>
        <v>1</v>
      </c>
      <c r="Q9373" s="93" t="str">
        <f>VLOOKUP(E9373,DATABASE!C:Q,4,false)</f>
        <v>Lower Arm</v>
      </c>
      <c r="R9373" s="93" t="str">
        <f>VLOOKUP(E9373,DATABASE!C:Q,11,false)</f>
        <v>COMPLEMENTARY</v>
      </c>
    </row>
    <row r="9374" ht="22.5" customHeight="1">
      <c r="A9374" s="49"/>
      <c r="C9374" s="400">
        <v>46209.0</v>
      </c>
      <c r="D9374" s="524">
        <v>246.0</v>
      </c>
      <c r="E9374" s="544" t="s">
        <v>478</v>
      </c>
      <c r="F9374" s="387">
        <v>1.0</v>
      </c>
      <c r="G9374" s="140">
        <v>200000.0</v>
      </c>
      <c r="H9374" s="74"/>
      <c r="I9374" s="74">
        <f t="shared" si="1"/>
        <v>200000</v>
      </c>
      <c r="J9374" s="74">
        <f>IF(E9374="SERVICE",I9374-(I9374*50%),Vlookup(E9374,DATABASE!C:Q,10,false)*F9374)</f>
        <v>25000</v>
      </c>
      <c r="K9374" s="74">
        <f>VLOOKUP(E9374,DATABASE!C:Q,7,false)</f>
        <v>75000</v>
      </c>
      <c r="L9374" s="74">
        <v>75000.0</v>
      </c>
      <c r="M9374" s="74">
        <f t="shared" si="6"/>
        <v>75000</v>
      </c>
      <c r="N9374" s="74">
        <f t="shared" si="3"/>
        <v>100000</v>
      </c>
      <c r="O9374" s="65" t="str">
        <f>VLOOKUP(E9374,DATABASE!C:Q,8,false)</f>
        <v>BIAN</v>
      </c>
      <c r="P9374" s="65">
        <f>VLOOKUP(E9374,DATABASE!C:Q,9,False)</f>
        <v>0</v>
      </c>
      <c r="Q9374" s="93" t="str">
        <f>VLOOKUP(E9374,DATABASE!C:Q,4,false)</f>
        <v>Baut Camber ss-carry</v>
      </c>
      <c r="R9374" s="93" t="str">
        <f>VLOOKUP(E9374,DATABASE!C:Q,11,false)</f>
        <v>COMPLEMENTARY</v>
      </c>
    </row>
    <row r="9375" ht="22.5" customHeight="1">
      <c r="A9375" s="49"/>
      <c r="C9375" s="400">
        <v>46209.0</v>
      </c>
      <c r="D9375" s="524">
        <v>246.0</v>
      </c>
      <c r="E9375" s="544" t="s">
        <v>251</v>
      </c>
      <c r="F9375" s="387">
        <v>1.0</v>
      </c>
      <c r="G9375" s="140">
        <v>350000.0</v>
      </c>
      <c r="H9375" s="140">
        <v>270000.0</v>
      </c>
      <c r="I9375" s="74">
        <f t="shared" si="1"/>
        <v>80000</v>
      </c>
      <c r="J9375" s="74">
        <f>IF(E9375="SERVICE",I9375-(I9375*50%),Vlookup(E9375,DATABASE!C:Q,10,false)*F9375)</f>
        <v>40000</v>
      </c>
      <c r="K9375" s="74">
        <f>VLOOKUP(E9375,DATABASE!C:Q,7,false)</f>
        <v>0</v>
      </c>
      <c r="L9375" s="74">
        <v>0.0</v>
      </c>
      <c r="M9375" s="74">
        <f t="shared" si="6"/>
        <v>0</v>
      </c>
      <c r="N9375" s="74">
        <f t="shared" si="3"/>
        <v>40000</v>
      </c>
      <c r="O9375" s="65" t="str">
        <f>VLOOKUP(E9375,DATABASE!C:Q,8,false)</f>
        <v>IBU</v>
      </c>
      <c r="P9375" s="65">
        <f>VLOOKUP(E9375,DATABASE!C:Q,9,False)</f>
        <v>0</v>
      </c>
      <c r="Q9375" s="93" t="str">
        <f>VLOOKUP(E9375,DATABASE!C:Q,4,false)</f>
        <v>SERVICE</v>
      </c>
      <c r="R9375" s="93" t="str">
        <f>VLOOKUP(E9375,DATABASE!C:Q,11,false)</f>
        <v>SERVICE</v>
      </c>
    </row>
    <row r="9376" ht="22.5" customHeight="1">
      <c r="A9376" s="49"/>
      <c r="C9376" s="400">
        <v>46209.0</v>
      </c>
      <c r="D9376" s="524">
        <v>247.0</v>
      </c>
      <c r="E9376" s="544" t="s">
        <v>275</v>
      </c>
      <c r="F9376" s="387">
        <v>2.0</v>
      </c>
      <c r="G9376" s="140">
        <v>850000.0</v>
      </c>
      <c r="H9376" s="74"/>
      <c r="I9376" s="74">
        <f t="shared" si="1"/>
        <v>1700000</v>
      </c>
      <c r="J9376" s="74">
        <f>IF(E9376="SERVICE",I9376-(I9376*50%),Vlookup(E9376,DATABASE!C:Q,10,false)*F9376)</f>
        <v>0</v>
      </c>
      <c r="K9376" s="74">
        <f>VLOOKUP(E9376,DATABASE!C:Q,7,false)</f>
        <v>782000</v>
      </c>
      <c r="L9376" s="74">
        <v>759500.0</v>
      </c>
      <c r="M9376" s="74">
        <f t="shared" si="6"/>
        <v>760000</v>
      </c>
      <c r="N9376" s="74">
        <f t="shared" si="3"/>
        <v>180000</v>
      </c>
      <c r="O9376" s="65" t="str">
        <f>VLOOKUP(E9376,DATABASE!C:Q,8,false)</f>
        <v>IBU</v>
      </c>
      <c r="P9376" s="65">
        <f>VLOOKUP(E9376,DATABASE!C:Q,9,False)</f>
        <v>1</v>
      </c>
      <c r="Q9376" s="93" t="str">
        <f>VLOOKUP(E9376,DATABASE!C:Q,4,false)</f>
        <v>Dunlop</v>
      </c>
      <c r="R9376" s="93" t="str">
        <f>VLOOKUP(E9376,DATABASE!C:Q,11,false)</f>
        <v>Tire</v>
      </c>
    </row>
    <row r="9377" ht="22.5" customHeight="1">
      <c r="A9377" s="49"/>
      <c r="C9377" s="400">
        <v>46209.0</v>
      </c>
      <c r="D9377" s="524">
        <v>248.0</v>
      </c>
      <c r="E9377" s="544" t="s">
        <v>268</v>
      </c>
      <c r="F9377" s="387">
        <v>1.0</v>
      </c>
      <c r="G9377" s="140">
        <v>720000.0</v>
      </c>
      <c r="H9377" s="74"/>
      <c r="I9377" s="74">
        <f t="shared" si="1"/>
        <v>720000</v>
      </c>
      <c r="J9377" s="74">
        <f>IF(E9377="SERVICE",I9377-(I9377*50%),Vlookup(E9377,DATABASE!C:Q,10,false)*F9377)</f>
        <v>0</v>
      </c>
      <c r="K9377" s="74">
        <f>VLOOKUP(E9377,DATABASE!C:Q,7,false)</f>
        <v>653000</v>
      </c>
      <c r="L9377" s="74">
        <v>634500.0</v>
      </c>
      <c r="M9377" s="74">
        <f t="shared" si="6"/>
        <v>635000</v>
      </c>
      <c r="N9377" s="74">
        <f t="shared" si="3"/>
        <v>85000</v>
      </c>
      <c r="O9377" s="65" t="str">
        <f>VLOOKUP(E9377,DATABASE!C:Q,8,false)</f>
        <v>IBU</v>
      </c>
      <c r="P9377" s="65">
        <f>VLOOKUP(E9377,DATABASE!C:Q,9,False)</f>
        <v>1</v>
      </c>
      <c r="Q9377" s="93" t="str">
        <f>VLOOKUP(E9377,DATABASE!C:Q,4,false)</f>
        <v>Dunlop</v>
      </c>
      <c r="R9377" s="93" t="str">
        <f>VLOOKUP(E9377,DATABASE!C:Q,11,false)</f>
        <v>Tire</v>
      </c>
    </row>
    <row r="9378" ht="22.5" customHeight="1">
      <c r="A9378" s="49"/>
      <c r="C9378" s="400">
        <v>46209.0</v>
      </c>
      <c r="D9378" s="524">
        <v>249.0</v>
      </c>
      <c r="E9378" s="544" t="s">
        <v>251</v>
      </c>
      <c r="F9378" s="387">
        <v>1.0</v>
      </c>
      <c r="G9378" s="140">
        <v>350000.0</v>
      </c>
      <c r="H9378" s="140">
        <v>230000.0</v>
      </c>
      <c r="I9378" s="74">
        <f t="shared" si="1"/>
        <v>120000</v>
      </c>
      <c r="J9378" s="74">
        <f>IF(E9378="SERVICE",I9378-(I9378*50%),Vlookup(E9378,DATABASE!C:Q,10,false)*F9378)</f>
        <v>60000</v>
      </c>
      <c r="K9378" s="74">
        <f>VLOOKUP(E9378,DATABASE!C:Q,7,false)</f>
        <v>0</v>
      </c>
      <c r="L9378" s="74">
        <v>0.0</v>
      </c>
      <c r="M9378" s="74">
        <f t="shared" si="6"/>
        <v>0</v>
      </c>
      <c r="N9378" s="74">
        <f t="shared" si="3"/>
        <v>60000</v>
      </c>
      <c r="O9378" s="65" t="str">
        <f>VLOOKUP(E9378,DATABASE!C:Q,8,false)</f>
        <v>IBU</v>
      </c>
      <c r="P9378" s="65">
        <f>VLOOKUP(E9378,DATABASE!C:Q,9,False)</f>
        <v>0</v>
      </c>
      <c r="Q9378" s="93" t="str">
        <f>VLOOKUP(E9378,DATABASE!C:Q,4,false)</f>
        <v>SERVICE</v>
      </c>
      <c r="R9378" s="93" t="str">
        <f>VLOOKUP(E9378,DATABASE!C:Q,11,false)</f>
        <v>SERVICE</v>
      </c>
    </row>
    <row r="9379" ht="22.5" customHeight="1">
      <c r="A9379" s="49"/>
      <c r="C9379" s="400">
        <v>46209.0</v>
      </c>
      <c r="D9379" s="524">
        <v>250.0</v>
      </c>
      <c r="E9379" s="544" t="s">
        <v>268</v>
      </c>
      <c r="F9379" s="387">
        <v>2.0</v>
      </c>
      <c r="G9379" s="140">
        <v>720000.0</v>
      </c>
      <c r="H9379" s="74"/>
      <c r="I9379" s="74">
        <f t="shared" si="1"/>
        <v>1440000</v>
      </c>
      <c r="J9379" s="74">
        <f>IF(E9379="SERVICE",I9379-(I9379*50%),Vlookup(E9379,DATABASE!C:Q,10,false)*F9379)</f>
        <v>0</v>
      </c>
      <c r="K9379" s="74">
        <f>VLOOKUP(E9379,DATABASE!C:Q,7,false)</f>
        <v>653000</v>
      </c>
      <c r="L9379" s="74">
        <v>634500.0</v>
      </c>
      <c r="M9379" s="74">
        <f t="shared" si="6"/>
        <v>635000</v>
      </c>
      <c r="N9379" s="74">
        <f t="shared" si="3"/>
        <v>170000</v>
      </c>
      <c r="O9379" s="65" t="str">
        <f>VLOOKUP(E9379,DATABASE!C:Q,8,false)</f>
        <v>IBU</v>
      </c>
      <c r="P9379" s="65">
        <f>VLOOKUP(E9379,DATABASE!C:Q,9,False)</f>
        <v>1</v>
      </c>
      <c r="Q9379" s="93" t="str">
        <f>VLOOKUP(E9379,DATABASE!C:Q,4,false)</f>
        <v>Dunlop</v>
      </c>
      <c r="R9379" s="93" t="str">
        <f>VLOOKUP(E9379,DATABASE!C:Q,11,false)</f>
        <v>Tire</v>
      </c>
    </row>
    <row r="9380" ht="22.5" customHeight="1">
      <c r="A9380" s="49"/>
      <c r="C9380" s="400">
        <v>46209.0</v>
      </c>
      <c r="D9380" s="524">
        <v>251.0</v>
      </c>
      <c r="E9380" s="544" t="s">
        <v>391</v>
      </c>
      <c r="F9380" s="387">
        <v>1.0</v>
      </c>
      <c r="G9380" s="140">
        <v>1985000.0</v>
      </c>
      <c r="H9380" s="74"/>
      <c r="I9380" s="74">
        <f t="shared" si="1"/>
        <v>1985000</v>
      </c>
      <c r="J9380" s="74">
        <f>IF(E9380="SERVICE",I9380-(I9380*50%),Vlookup(E9380,DATABASE!C:Q,10,false)*F9380)</f>
        <v>0</v>
      </c>
      <c r="K9380" s="74">
        <f>VLOOKUP(E9380,DATABASE!C:Q,7,false)</f>
        <v>1885000</v>
      </c>
      <c r="L9380" s="74">
        <v>1885000.0</v>
      </c>
      <c r="M9380" s="74">
        <f t="shared" si="6"/>
        <v>1885000</v>
      </c>
      <c r="N9380" s="74">
        <f t="shared" si="3"/>
        <v>100000</v>
      </c>
      <c r="O9380" s="65" t="str">
        <f>VLOOKUP(E9380,DATABASE!C:Q,8,false)</f>
        <v>BIAN</v>
      </c>
      <c r="P9380" s="65">
        <f>VLOOKUP(E9380,DATABASE!C:Q,9,False)</f>
        <v>1</v>
      </c>
      <c r="Q9380" s="93" t="str">
        <f>VLOOKUP(E9380,DATABASE!C:Q,4,false)</f>
        <v>Advance</v>
      </c>
      <c r="R9380" s="93" t="str">
        <f>VLOOKUP(E9380,DATABASE!C:Q,11,false)</f>
        <v>Tire</v>
      </c>
    </row>
    <row r="9381" ht="22.5" customHeight="1">
      <c r="A9381" s="29"/>
      <c r="C9381" s="400">
        <v>46209.0</v>
      </c>
      <c r="D9381" s="524">
        <v>252.0</v>
      </c>
      <c r="E9381" s="544" t="s">
        <v>2610</v>
      </c>
      <c r="F9381" s="387">
        <v>1.0</v>
      </c>
      <c r="G9381" s="140">
        <v>920000.0</v>
      </c>
      <c r="H9381" s="140">
        <v>20000.0</v>
      </c>
      <c r="I9381" s="74">
        <f t="shared" si="1"/>
        <v>900000</v>
      </c>
      <c r="J9381" s="74">
        <f>IF(E9381="SERVICE",I9381-(I9381*50%),Vlookup(E9381,DATABASE!C:Q,10,false)*F9381)</f>
        <v>0</v>
      </c>
      <c r="K9381" s="74">
        <f>VLOOKUP(E9381,DATABASE!C:Q,7,false)</f>
        <v>802000</v>
      </c>
      <c r="L9381" s="74">
        <v>802000.0</v>
      </c>
      <c r="M9381" s="74">
        <f t="shared" si="6"/>
        <v>805000</v>
      </c>
      <c r="N9381" s="74">
        <f t="shared" si="3"/>
        <v>95000</v>
      </c>
      <c r="O9381" s="65" t="str">
        <f>VLOOKUP(E9381,DATABASE!C:Q,8,false)</f>
        <v>BIAN</v>
      </c>
      <c r="P9381" s="65">
        <f>VLOOKUP(E9381,DATABASE!C:Q,9,False)</f>
        <v>1</v>
      </c>
      <c r="Q9381" s="93" t="str">
        <f>VLOOKUP(E9381,DATABASE!C:Q,4,false)</f>
        <v>Laufen</v>
      </c>
      <c r="R9381" s="93" t="str">
        <f>VLOOKUP(E9381,DATABASE!C:Q,11,false)</f>
        <v>Tire</v>
      </c>
    </row>
    <row r="9382" ht="22.5" customHeight="1">
      <c r="A9382" s="29"/>
      <c r="C9382" s="400">
        <v>46209.0</v>
      </c>
      <c r="D9382" s="524">
        <v>253.0</v>
      </c>
      <c r="E9382" s="544" t="s">
        <v>695</v>
      </c>
      <c r="F9382" s="387">
        <v>2.0</v>
      </c>
      <c r="G9382" s="140">
        <v>675000.0</v>
      </c>
      <c r="H9382" s="74"/>
      <c r="I9382" s="74">
        <f t="shared" si="1"/>
        <v>1350000</v>
      </c>
      <c r="J9382" s="74">
        <f>IF(E9382="SERVICE",I9382-(I9382*50%),Vlookup(E9382,DATABASE!C:Q,10,false)*F9382)</f>
        <v>0</v>
      </c>
      <c r="K9382" s="74">
        <f>VLOOKUP(E9382,DATABASE!C:Q,7,false)</f>
        <v>582000</v>
      </c>
      <c r="L9382" s="74">
        <v>582000.0</v>
      </c>
      <c r="M9382" s="74">
        <f t="shared" si="6"/>
        <v>585000</v>
      </c>
      <c r="N9382" s="74">
        <f t="shared" si="3"/>
        <v>180000</v>
      </c>
      <c r="O9382" s="65" t="str">
        <f>VLOOKUP(E9382,DATABASE!C:Q,8,false)</f>
        <v>IBU</v>
      </c>
      <c r="P9382" s="65">
        <f>VLOOKUP(E9382,DATABASE!C:Q,9,False)</f>
        <v>1</v>
      </c>
      <c r="Q9382" s="93" t="str">
        <f>VLOOKUP(E9382,DATABASE!C:Q,4,false)</f>
        <v>Dunlop</v>
      </c>
      <c r="R9382" s="93" t="str">
        <f>VLOOKUP(E9382,DATABASE!C:Q,11,false)</f>
        <v>Tire</v>
      </c>
    </row>
    <row r="9383" ht="22.5" customHeight="1">
      <c r="A9383" s="49"/>
      <c r="C9383" s="400">
        <v>46209.0</v>
      </c>
      <c r="D9383" s="69">
        <v>254.0</v>
      </c>
      <c r="E9383" s="544" t="s">
        <v>2611</v>
      </c>
      <c r="F9383" s="387">
        <v>1.0</v>
      </c>
      <c r="G9383" s="140">
        <v>115000.0</v>
      </c>
      <c r="H9383" s="74"/>
      <c r="I9383" s="74">
        <f t="shared" si="1"/>
        <v>115000</v>
      </c>
      <c r="J9383" s="74">
        <f>IF(E9383="SERVICE",I9383-(I9383*50%),Vlookup(E9383,DATABASE!C:Q,10,false)*F9383)</f>
        <v>0</v>
      </c>
      <c r="K9383" s="74">
        <f>VLOOKUP(E9383,DATABASE!C:Q,7,false)</f>
        <v>81000</v>
      </c>
      <c r="L9383" s="74">
        <v>81000.0</v>
      </c>
      <c r="M9383" s="74">
        <f t="shared" si="6"/>
        <v>85000</v>
      </c>
      <c r="N9383" s="74">
        <f t="shared" si="3"/>
        <v>30000</v>
      </c>
      <c r="O9383" s="65" t="str">
        <f>VLOOKUP(E9383,DATABASE!C:Q,8,false)</f>
        <v>BIAN</v>
      </c>
      <c r="P9383" s="65">
        <f>VLOOKUP(E9383,DATABASE!C:Q,9,False)</f>
        <v>1</v>
      </c>
      <c r="Q9383" s="93" t="str">
        <f>VLOOKUP(E9383,DATABASE!C:Q,4,false)</f>
        <v>BD IBK</v>
      </c>
      <c r="R9383" s="93" t="str">
        <f>VLOOKUP(E9383,DATABASE!C:Q,11,false)</f>
        <v>Tire</v>
      </c>
    </row>
    <row r="9384" ht="22.5" customHeight="1">
      <c r="A9384" s="49"/>
      <c r="C9384" s="400">
        <v>46209.0</v>
      </c>
      <c r="D9384" s="524">
        <v>255.0</v>
      </c>
      <c r="E9384" s="544" t="s">
        <v>256</v>
      </c>
      <c r="F9384" s="387">
        <v>1.0</v>
      </c>
      <c r="G9384" s="140">
        <v>175000.0</v>
      </c>
      <c r="H9384" s="140">
        <v>25000.0</v>
      </c>
      <c r="I9384" s="74">
        <f t="shared" si="1"/>
        <v>150000</v>
      </c>
      <c r="J9384" s="74">
        <f>IF(E9384="SERVICE",I9384-(I9384*50%),Vlookup(E9384,DATABASE!C:Q,10,false)*F9384)</f>
        <v>10000</v>
      </c>
      <c r="K9384" s="74">
        <f>VLOOKUP(E9384,DATABASE!C:Q,7,false)</f>
        <v>0</v>
      </c>
      <c r="L9384" s="74">
        <v>0.0</v>
      </c>
      <c r="M9384" s="74">
        <f t="shared" si="6"/>
        <v>0</v>
      </c>
      <c r="N9384" s="74">
        <f t="shared" si="3"/>
        <v>140000</v>
      </c>
      <c r="O9384" s="65" t="str">
        <f>VLOOKUP(E9384,DATABASE!C:Q,8,false)</f>
        <v>IBU</v>
      </c>
      <c r="P9384" s="65">
        <f>VLOOKUP(E9384,DATABASE!C:Q,9,False)</f>
        <v>0</v>
      </c>
      <c r="Q9384" s="93" t="str">
        <f>VLOOKUP(E9384,DATABASE!C:Q,4,false)</f>
        <v>SPOORING</v>
      </c>
      <c r="R9384" s="93" t="str">
        <f>VLOOKUP(E9384,DATABASE!C:Q,11,false)</f>
        <v>SERVICE</v>
      </c>
    </row>
    <row r="9385" ht="22.5" customHeight="1">
      <c r="A9385" s="49"/>
      <c r="C9385" s="400">
        <v>46209.0</v>
      </c>
      <c r="D9385" s="524">
        <v>255.0</v>
      </c>
      <c r="E9385" s="544" t="s">
        <v>299</v>
      </c>
      <c r="F9385" s="387">
        <v>2.0</v>
      </c>
      <c r="G9385" s="140">
        <v>30000.0</v>
      </c>
      <c r="H9385" s="74"/>
      <c r="I9385" s="74">
        <f t="shared" si="1"/>
        <v>60000</v>
      </c>
      <c r="J9385" s="74">
        <f>IF(E9385="SERVICE",I9385-(I9385*50%),Vlookup(E9385,DATABASE!C:Q,10,false)*F9385)</f>
        <v>0</v>
      </c>
      <c r="K9385" s="74">
        <f>VLOOKUP(E9385,DATABASE!C:Q,7,false)</f>
        <v>10000</v>
      </c>
      <c r="L9385" s="74">
        <v>10000.0</v>
      </c>
      <c r="M9385" s="74">
        <f t="shared" si="6"/>
        <v>10000</v>
      </c>
      <c r="N9385" s="74">
        <f t="shared" si="3"/>
        <v>40000</v>
      </c>
      <c r="O9385" s="65" t="str">
        <f>VLOOKUP(E9385,DATABASE!C:Q,8,false)</f>
        <v>BIAN</v>
      </c>
      <c r="P9385" s="65">
        <f>VLOOKUP(E9385,DATABASE!C:Q,9,False)</f>
        <v>0</v>
      </c>
      <c r="Q9385" s="93" t="str">
        <f>VLOOKUP(E9385,DATABASE!C:Q,4,false)</f>
        <v>Balancing</v>
      </c>
      <c r="R9385" s="93" t="str">
        <f>VLOOKUP(E9385,DATABASE!C:Q,11,false)</f>
        <v>COMPLEMENTARY</v>
      </c>
    </row>
    <row r="9386" ht="22.5" customHeight="1">
      <c r="A9386" s="49"/>
      <c r="C9386" s="400">
        <v>46209.0</v>
      </c>
      <c r="D9386" s="69" t="s">
        <v>2860</v>
      </c>
      <c r="E9386" s="544" t="s">
        <v>2195</v>
      </c>
      <c r="F9386" s="387">
        <v>3.0</v>
      </c>
      <c r="G9386" s="140">
        <v>340000.0</v>
      </c>
      <c r="H9386" s="74"/>
      <c r="I9386" s="74">
        <f t="shared" si="1"/>
        <v>1020000</v>
      </c>
      <c r="J9386" s="74">
        <f>IF(E9386="SERVICE",I9386-(I9386*50%),Vlookup(E9386,DATABASE!C:Q,10,false)*F9386)</f>
        <v>0</v>
      </c>
      <c r="K9386" s="74">
        <f>VLOOKUP(E9386,DATABASE!C:Q,7,false)</f>
        <v>329877</v>
      </c>
      <c r="L9386" s="74">
        <v>329877.0</v>
      </c>
      <c r="M9386" s="74">
        <f t="shared" si="6"/>
        <v>330000</v>
      </c>
      <c r="N9386" s="74">
        <f t="shared" si="3"/>
        <v>30000</v>
      </c>
      <c r="O9386" s="65" t="str">
        <f>VLOOKUP(E9386,DATABASE!C:Q,8,false)</f>
        <v>NON</v>
      </c>
      <c r="P9386" s="65">
        <f>VLOOKUP(E9386,DATABASE!C:Q,9,False)</f>
        <v>0</v>
      </c>
      <c r="Q9386" s="93" t="str">
        <f>VLOOKUP(E9386,DATABASE!C:Q,4,false)</f>
        <v>Shell</v>
      </c>
      <c r="R9386" s="93" t="str">
        <f>VLOOKUP(E9386,DATABASE!C:Q,11,false)</f>
        <v>OIL</v>
      </c>
    </row>
    <row r="9387" ht="22.5" customHeight="1">
      <c r="A9387" s="49"/>
      <c r="C9387" s="400">
        <v>46209.0</v>
      </c>
      <c r="D9387" s="69" t="s">
        <v>2860</v>
      </c>
      <c r="E9387" s="544" t="s">
        <v>252</v>
      </c>
      <c r="F9387" s="387">
        <v>1.0</v>
      </c>
      <c r="G9387" s="140">
        <v>345000.0</v>
      </c>
      <c r="H9387" s="74"/>
      <c r="I9387" s="74">
        <f t="shared" si="1"/>
        <v>345000</v>
      </c>
      <c r="J9387" s="74">
        <f>IF(E9387="SERVICE",I9387-(I9387*50%),Vlookup(E9387,DATABASE!C:Q,10,false)*F9387)</f>
        <v>0</v>
      </c>
      <c r="K9387" s="74">
        <f>VLOOKUP(E9387,DATABASE!C:Q,7,false)</f>
        <v>317518</v>
      </c>
      <c r="L9387" s="74">
        <v>317518.0</v>
      </c>
      <c r="M9387" s="74">
        <f t="shared" si="6"/>
        <v>320000</v>
      </c>
      <c r="N9387" s="74">
        <f t="shared" si="3"/>
        <v>25000</v>
      </c>
      <c r="O9387" s="65" t="str">
        <f>VLOOKUP(E9387,DATABASE!C:Q,8,false)</f>
        <v>NON</v>
      </c>
      <c r="P9387" s="65">
        <f>VLOOKUP(E9387,DATABASE!C:Q,9,False)</f>
        <v>0</v>
      </c>
      <c r="Q9387" s="93" t="str">
        <f>VLOOKUP(E9387,DATABASE!C:Q,4,false)</f>
        <v>Shell</v>
      </c>
      <c r="R9387" s="93" t="str">
        <f>VLOOKUP(E9387,DATABASE!C:Q,11,false)</f>
        <v>OIL</v>
      </c>
    </row>
    <row r="9388" ht="22.5" customHeight="1">
      <c r="A9388" s="29"/>
      <c r="C9388" s="400">
        <v>46209.0</v>
      </c>
      <c r="D9388" s="69" t="s">
        <v>2861</v>
      </c>
      <c r="E9388" s="544" t="s">
        <v>263</v>
      </c>
      <c r="F9388" s="387">
        <v>1.0</v>
      </c>
      <c r="G9388" s="140">
        <v>385000.0</v>
      </c>
      <c r="H9388" s="74"/>
      <c r="I9388" s="74">
        <f t="shared" si="1"/>
        <v>385000</v>
      </c>
      <c r="J9388" s="74">
        <f>IF(E9388="SERVICE",I9388-(I9388*50%),Vlookup(E9388,DATABASE!C:Q,10,false)*F9388)</f>
        <v>0</v>
      </c>
      <c r="K9388" s="74">
        <f>VLOOKUP(E9388,DATABASE!C:Q,7,false)</f>
        <v>334916</v>
      </c>
      <c r="L9388" s="74">
        <v>334916.0</v>
      </c>
      <c r="M9388" s="74">
        <f t="shared" si="6"/>
        <v>335000</v>
      </c>
      <c r="N9388" s="74">
        <f t="shared" si="3"/>
        <v>50000</v>
      </c>
      <c r="O9388" s="65" t="str">
        <f>VLOOKUP(E9388,DATABASE!C:Q,8,false)</f>
        <v>NON</v>
      </c>
      <c r="P9388" s="65">
        <f>VLOOKUP(E9388,DATABASE!C:Q,9,False)</f>
        <v>0</v>
      </c>
      <c r="Q9388" s="93" t="str">
        <f>VLOOKUP(E9388,DATABASE!C:Q,4,false)</f>
        <v>Shell</v>
      </c>
      <c r="R9388" s="93" t="str">
        <f>VLOOKUP(E9388,DATABASE!C:Q,11,false)</f>
        <v>OIL</v>
      </c>
    </row>
    <row r="9389" ht="22.5" customHeight="1">
      <c r="A9389" s="49"/>
      <c r="C9389" s="400">
        <v>46209.0</v>
      </c>
      <c r="D9389" s="69" t="s">
        <v>2862</v>
      </c>
      <c r="E9389" s="544" t="s">
        <v>248</v>
      </c>
      <c r="F9389" s="387">
        <v>1.0</v>
      </c>
      <c r="G9389" s="140">
        <v>250000.0</v>
      </c>
      <c r="H9389" s="74"/>
      <c r="I9389" s="74">
        <f t="shared" si="1"/>
        <v>250000</v>
      </c>
      <c r="J9389" s="74">
        <f>IF(E9389="SERVICE",I9389-(I9389*50%),Vlookup(E9389,DATABASE!C:Q,10,false)*F9389)</f>
        <v>0</v>
      </c>
      <c r="K9389" s="74">
        <f>VLOOKUP(E9389,DATABASE!C:Q,7,false)</f>
        <v>209816.66</v>
      </c>
      <c r="L9389" s="74">
        <v>209816.66</v>
      </c>
      <c r="M9389" s="74">
        <f t="shared" si="6"/>
        <v>210000</v>
      </c>
      <c r="N9389" s="74">
        <f t="shared" si="3"/>
        <v>40000</v>
      </c>
      <c r="O9389" s="65" t="str">
        <f>VLOOKUP(E9389,DATABASE!C:Q,8,false)</f>
        <v>NON</v>
      </c>
      <c r="P9389" s="65">
        <f>VLOOKUP(E9389,DATABASE!C:Q,9,False)</f>
        <v>0</v>
      </c>
      <c r="Q9389" s="93" t="str">
        <f>VLOOKUP(E9389,DATABASE!C:Q,4,false)</f>
        <v>Pertamina</v>
      </c>
      <c r="R9389" s="93" t="str">
        <f>VLOOKUP(E9389,DATABASE!C:Q,11,false)</f>
        <v>OIL</v>
      </c>
    </row>
    <row r="9390" ht="22.5" customHeight="1">
      <c r="A9390" s="49"/>
      <c r="C9390" s="400">
        <v>46209.0</v>
      </c>
      <c r="D9390" s="69" t="s">
        <v>2863</v>
      </c>
      <c r="E9390" s="544" t="s">
        <v>248</v>
      </c>
      <c r="F9390" s="387">
        <v>1.0</v>
      </c>
      <c r="G9390" s="140">
        <v>250000.0</v>
      </c>
      <c r="H9390" s="74"/>
      <c r="I9390" s="74">
        <f t="shared" si="1"/>
        <v>250000</v>
      </c>
      <c r="J9390" s="74">
        <f>IF(E9390="SERVICE",I9390-(I9390*50%),Vlookup(E9390,DATABASE!C:Q,10,false)*F9390)</f>
        <v>0</v>
      </c>
      <c r="K9390" s="74">
        <f>VLOOKUP(E9390,DATABASE!C:Q,7,false)</f>
        <v>209816.66</v>
      </c>
      <c r="L9390" s="74">
        <v>209816.66</v>
      </c>
      <c r="M9390" s="74">
        <f t="shared" si="6"/>
        <v>210000</v>
      </c>
      <c r="N9390" s="74">
        <f t="shared" si="3"/>
        <v>40000</v>
      </c>
      <c r="O9390" s="65" t="str">
        <f>VLOOKUP(E9390,DATABASE!C:Q,8,false)</f>
        <v>NON</v>
      </c>
      <c r="P9390" s="65">
        <f>VLOOKUP(E9390,DATABASE!C:Q,9,False)</f>
        <v>0</v>
      </c>
      <c r="Q9390" s="93" t="str">
        <f>VLOOKUP(E9390,DATABASE!C:Q,4,false)</f>
        <v>Pertamina</v>
      </c>
      <c r="R9390" s="93" t="str">
        <f>VLOOKUP(E9390,DATABASE!C:Q,11,false)</f>
        <v>OIL</v>
      </c>
    </row>
    <row r="9391" ht="22.5" customHeight="1">
      <c r="A9391" s="49"/>
      <c r="C9391" s="400">
        <v>46210.0</v>
      </c>
      <c r="D9391" s="524">
        <v>256.0</v>
      </c>
      <c r="E9391" s="544" t="s">
        <v>924</v>
      </c>
      <c r="F9391" s="387">
        <v>4.0</v>
      </c>
      <c r="G9391" s="140">
        <v>1660000.0</v>
      </c>
      <c r="H9391" s="140">
        <v>20000.0</v>
      </c>
      <c r="I9391" s="74">
        <f t="shared" si="1"/>
        <v>6560000</v>
      </c>
      <c r="J9391" s="74">
        <f>IF(E9391="SERVICE",I9391-(I9391*50%),Vlookup(E9391,DATABASE!C:Q,10,false)*F9391)</f>
        <v>0</v>
      </c>
      <c r="K9391" s="74">
        <f>VLOOKUP(E9391,DATABASE!C:Q,7,false)</f>
        <v>1560000</v>
      </c>
      <c r="L9391" s="74">
        <v>1555000.0</v>
      </c>
      <c r="M9391" s="74">
        <f t="shared" si="6"/>
        <v>1555000</v>
      </c>
      <c r="N9391" s="74">
        <f t="shared" si="3"/>
        <v>340000</v>
      </c>
      <c r="O9391" s="65" t="str">
        <f>VLOOKUP(E9391,DATABASE!C:Q,8,false)</f>
        <v>BIAN</v>
      </c>
      <c r="P9391" s="65">
        <f>VLOOKUP(E9391,DATABASE!C:Q,9,False)</f>
        <v>1</v>
      </c>
      <c r="Q9391" s="93" t="str">
        <f>VLOOKUP(E9391,DATABASE!C:Q,4,false)</f>
        <v>TIRON</v>
      </c>
      <c r="R9391" s="93" t="str">
        <f>VLOOKUP(E9391,DATABASE!C:Q,11,false)</f>
        <v>Tire</v>
      </c>
    </row>
    <row r="9392" ht="22.5" customHeight="1">
      <c r="A9392" s="49"/>
      <c r="C9392" s="400">
        <v>46210.0</v>
      </c>
      <c r="D9392" s="524">
        <v>257.0</v>
      </c>
      <c r="E9392" s="544" t="s">
        <v>256</v>
      </c>
      <c r="F9392" s="387">
        <v>1.0</v>
      </c>
      <c r="G9392" s="140">
        <v>175000.0</v>
      </c>
      <c r="H9392" s="140">
        <v>25000.0</v>
      </c>
      <c r="I9392" s="74">
        <f t="shared" si="1"/>
        <v>150000</v>
      </c>
      <c r="J9392" s="74">
        <f>IF(E9392="SERVICE",I9392-(I9392*50%),Vlookup(E9392,DATABASE!C:Q,10,false)*F9392)</f>
        <v>10000</v>
      </c>
      <c r="K9392" s="74">
        <f>VLOOKUP(E9392,DATABASE!C:Q,7,false)</f>
        <v>0</v>
      </c>
      <c r="L9392" s="74">
        <v>0.0</v>
      </c>
      <c r="M9392" s="74">
        <f t="shared" si="6"/>
        <v>0</v>
      </c>
      <c r="N9392" s="74">
        <f t="shared" si="3"/>
        <v>140000</v>
      </c>
      <c r="O9392" s="65" t="str">
        <f>VLOOKUP(E9392,DATABASE!C:Q,8,false)</f>
        <v>IBU</v>
      </c>
      <c r="P9392" s="65">
        <f>VLOOKUP(E9392,DATABASE!C:Q,9,False)</f>
        <v>0</v>
      </c>
      <c r="Q9392" s="93" t="str">
        <f>VLOOKUP(E9392,DATABASE!C:Q,4,false)</f>
        <v>SPOORING</v>
      </c>
      <c r="R9392" s="93" t="str">
        <f>VLOOKUP(E9392,DATABASE!C:Q,11,false)</f>
        <v>SERVICE</v>
      </c>
    </row>
    <row r="9393" ht="22.5" customHeight="1">
      <c r="A9393" s="49"/>
      <c r="C9393" s="400">
        <v>46210.0</v>
      </c>
      <c r="D9393" s="524">
        <v>257.0</v>
      </c>
      <c r="E9393" s="544" t="s">
        <v>301</v>
      </c>
      <c r="F9393" s="387">
        <v>1.0</v>
      </c>
      <c r="G9393" s="140">
        <v>250000.0</v>
      </c>
      <c r="H9393" s="74"/>
      <c r="I9393" s="74">
        <f t="shared" si="1"/>
        <v>250000</v>
      </c>
      <c r="J9393" s="74">
        <f>IF(E9393="SERVICE",I9393-(I9393*50%),Vlookup(E9393,DATABASE!C:Q,10,false)*F9393)</f>
        <v>75000</v>
      </c>
      <c r="K9393" s="74">
        <f>VLOOKUP(E9393,DATABASE!C:Q,7,false)</f>
        <v>75000</v>
      </c>
      <c r="L9393" s="74">
        <v>75000.0</v>
      </c>
      <c r="M9393" s="74">
        <f t="shared" si="6"/>
        <v>75000</v>
      </c>
      <c r="N9393" s="74">
        <f t="shared" si="3"/>
        <v>100000</v>
      </c>
      <c r="O9393" s="65" t="str">
        <f>VLOOKUP(E9393,DATABASE!C:Q,8,false)</f>
        <v>BIAN</v>
      </c>
      <c r="P9393" s="65">
        <f>VLOOKUP(E9393,DATABASE!C:Q,9,False)</f>
        <v>0</v>
      </c>
      <c r="Q9393" s="93" t="str">
        <f>VLOOKUP(E9393,DATABASE!C:Q,4,false)</f>
        <v>Baut Camber</v>
      </c>
      <c r="R9393" s="93" t="str">
        <f>VLOOKUP(E9393,DATABASE!C:Q,11,false)</f>
        <v>COMPLEMENTARY</v>
      </c>
    </row>
    <row r="9394" ht="22.5" customHeight="1">
      <c r="A9394" s="49"/>
      <c r="C9394" s="400">
        <v>46210.0</v>
      </c>
      <c r="D9394" s="524">
        <v>257.0</v>
      </c>
      <c r="E9394" s="544" t="s">
        <v>299</v>
      </c>
      <c r="F9394" s="387">
        <v>2.0</v>
      </c>
      <c r="G9394" s="140">
        <v>30000.0</v>
      </c>
      <c r="H9394" s="74"/>
      <c r="I9394" s="74">
        <f t="shared" si="1"/>
        <v>60000</v>
      </c>
      <c r="J9394" s="74">
        <f>IF(E9394="SERVICE",I9394-(I9394*50%),Vlookup(E9394,DATABASE!C:Q,10,false)*F9394)</f>
        <v>0</v>
      </c>
      <c r="K9394" s="74">
        <f>VLOOKUP(E9394,DATABASE!C:Q,7,false)</f>
        <v>10000</v>
      </c>
      <c r="L9394" s="74">
        <v>10000.0</v>
      </c>
      <c r="M9394" s="74">
        <f t="shared" si="6"/>
        <v>10000</v>
      </c>
      <c r="N9394" s="74">
        <f t="shared" si="3"/>
        <v>40000</v>
      </c>
      <c r="O9394" s="65" t="str">
        <f>VLOOKUP(E9394,DATABASE!C:Q,8,false)</f>
        <v>BIAN</v>
      </c>
      <c r="P9394" s="65">
        <f>VLOOKUP(E9394,DATABASE!C:Q,9,False)</f>
        <v>0</v>
      </c>
      <c r="Q9394" s="93" t="str">
        <f>VLOOKUP(E9394,DATABASE!C:Q,4,false)</f>
        <v>Balancing</v>
      </c>
      <c r="R9394" s="93" t="str">
        <f>VLOOKUP(E9394,DATABASE!C:Q,11,false)</f>
        <v>COMPLEMENTARY</v>
      </c>
    </row>
    <row r="9395" ht="22.5" customHeight="1">
      <c r="A9395" s="49"/>
      <c r="C9395" s="400">
        <v>46210.0</v>
      </c>
      <c r="D9395" s="524">
        <v>258.0</v>
      </c>
      <c r="E9395" s="544" t="s">
        <v>246</v>
      </c>
      <c r="F9395" s="387">
        <v>1.0</v>
      </c>
      <c r="G9395" s="140">
        <v>35000.0</v>
      </c>
      <c r="H9395" s="140">
        <v>10000.0</v>
      </c>
      <c r="I9395" s="74">
        <f t="shared" si="1"/>
        <v>25000</v>
      </c>
      <c r="J9395" s="74">
        <f>IF(E9395="SERVICE",I9395-(I9395*50%),Vlookup(E9395,DATABASE!C:Q,10,false)*F9395)</f>
        <v>0</v>
      </c>
      <c r="K9395" s="74">
        <f>VLOOKUP(E9395,DATABASE!C:Q,7,false)</f>
        <v>0</v>
      </c>
      <c r="L9395" s="74">
        <v>0.0</v>
      </c>
      <c r="M9395" s="74">
        <f t="shared" si="6"/>
        <v>0</v>
      </c>
      <c r="N9395" s="74">
        <f t="shared" si="3"/>
        <v>25000</v>
      </c>
      <c r="O9395" s="65" t="str">
        <f>VLOOKUP(E9395,DATABASE!C:Q,8,false)</f>
        <v>IBU</v>
      </c>
      <c r="P9395" s="65">
        <f>VLOOKUP(E9395,DATABASE!C:Q,9,False)</f>
        <v>0</v>
      </c>
      <c r="Q9395" s="93" t="str">
        <f>VLOOKUP(E9395,DATABASE!C:Q,4,false)</f>
        <v>Bongkar Pasang</v>
      </c>
      <c r="R9395" s="93" t="str">
        <f>VLOOKUP(E9395,DATABASE!C:Q,11,false)</f>
        <v>SERVICE</v>
      </c>
    </row>
    <row r="9396" ht="22.5" customHeight="1">
      <c r="A9396" s="49"/>
      <c r="C9396" s="400">
        <v>46210.0</v>
      </c>
      <c r="D9396" s="524">
        <v>258.0</v>
      </c>
      <c r="E9396" s="544" t="s">
        <v>299</v>
      </c>
      <c r="F9396" s="387">
        <v>1.0</v>
      </c>
      <c r="G9396" s="140">
        <v>30000.0</v>
      </c>
      <c r="H9396" s="140">
        <v>5000.0</v>
      </c>
      <c r="I9396" s="74">
        <f t="shared" si="1"/>
        <v>25000</v>
      </c>
      <c r="J9396" s="74">
        <f>IF(E9396="SERVICE",I9396-(I9396*50%),Vlookup(E9396,DATABASE!C:Q,10,false)*F9396)</f>
        <v>0</v>
      </c>
      <c r="K9396" s="74">
        <f>VLOOKUP(E9396,DATABASE!C:Q,7,false)</f>
        <v>10000</v>
      </c>
      <c r="L9396" s="74">
        <v>10000.0</v>
      </c>
      <c r="M9396" s="74">
        <f t="shared" si="6"/>
        <v>10000</v>
      </c>
      <c r="N9396" s="74">
        <f t="shared" si="3"/>
        <v>15000</v>
      </c>
      <c r="O9396" s="65" t="str">
        <f>VLOOKUP(E9396,DATABASE!C:Q,8,false)</f>
        <v>BIAN</v>
      </c>
      <c r="P9396" s="65">
        <f>VLOOKUP(E9396,DATABASE!C:Q,9,False)</f>
        <v>0</v>
      </c>
      <c r="Q9396" s="93" t="str">
        <f>VLOOKUP(E9396,DATABASE!C:Q,4,false)</f>
        <v>Balancing</v>
      </c>
      <c r="R9396" s="93" t="str">
        <f>VLOOKUP(E9396,DATABASE!C:Q,11,false)</f>
        <v>COMPLEMENTARY</v>
      </c>
    </row>
    <row r="9397" ht="22.5" customHeight="1">
      <c r="A9397" s="29"/>
      <c r="C9397" s="400">
        <v>46210.0</v>
      </c>
      <c r="D9397" s="69">
        <v>261.0</v>
      </c>
      <c r="E9397" s="544" t="s">
        <v>288</v>
      </c>
      <c r="F9397" s="387">
        <v>1.0</v>
      </c>
      <c r="G9397" s="140">
        <v>630000.0</v>
      </c>
      <c r="H9397" s="74"/>
      <c r="I9397" s="74">
        <f t="shared" si="1"/>
        <v>630000</v>
      </c>
      <c r="J9397" s="74">
        <f>IF(E9397="SERVICE",I9397-(I9397*50%),Vlookup(E9397,DATABASE!C:Q,10,false)*F9397)</f>
        <v>0</v>
      </c>
      <c r="K9397" s="74">
        <f>VLOOKUP(E9397,DATABASE!C:Q,7,false)</f>
        <v>565760</v>
      </c>
      <c r="L9397" s="74">
        <v>540500.0</v>
      </c>
      <c r="M9397" s="74">
        <f t="shared" si="6"/>
        <v>545000</v>
      </c>
      <c r="N9397" s="74">
        <f t="shared" si="3"/>
        <v>85000</v>
      </c>
      <c r="O9397" s="65" t="str">
        <f>VLOOKUP(E9397,DATABASE!C:Q,8,false)</f>
        <v>BIAN</v>
      </c>
      <c r="P9397" s="65">
        <f>VLOOKUP(E9397,DATABASE!C:Q,9,False)</f>
        <v>1</v>
      </c>
      <c r="Q9397" s="93" t="str">
        <f>VLOOKUP(E9397,DATABASE!C:Q,4,false)</f>
        <v>GT</v>
      </c>
      <c r="R9397" s="93" t="str">
        <f>VLOOKUP(E9397,DATABASE!C:Q,11,false)</f>
        <v>Tire</v>
      </c>
    </row>
    <row r="9398" ht="22.5" customHeight="1">
      <c r="A9398" s="49"/>
      <c r="C9398" s="400">
        <v>46210.0</v>
      </c>
      <c r="D9398" s="524">
        <v>262.0</v>
      </c>
      <c r="E9398" s="544" t="s">
        <v>256</v>
      </c>
      <c r="F9398" s="387">
        <v>1.0</v>
      </c>
      <c r="G9398" s="140">
        <v>175000.0</v>
      </c>
      <c r="H9398" s="140">
        <v>25000.0</v>
      </c>
      <c r="I9398" s="74">
        <f t="shared" si="1"/>
        <v>150000</v>
      </c>
      <c r="J9398" s="74">
        <f>IF(E9398="SERVICE",I9398-(I9398*50%),Vlookup(E9398,DATABASE!C:Q,10,false)*F9398)</f>
        <v>10000</v>
      </c>
      <c r="K9398" s="74">
        <f>VLOOKUP(E9398,DATABASE!C:Q,7,false)</f>
        <v>0</v>
      </c>
      <c r="L9398" s="74">
        <v>0.0</v>
      </c>
      <c r="M9398" s="74">
        <f t="shared" si="6"/>
        <v>0</v>
      </c>
      <c r="N9398" s="74">
        <f t="shared" si="3"/>
        <v>140000</v>
      </c>
      <c r="O9398" s="65" t="str">
        <f>VLOOKUP(E9398,DATABASE!C:Q,8,false)</f>
        <v>IBU</v>
      </c>
      <c r="P9398" s="65">
        <f>VLOOKUP(E9398,DATABASE!C:Q,9,False)</f>
        <v>0</v>
      </c>
      <c r="Q9398" s="93" t="str">
        <f>VLOOKUP(E9398,DATABASE!C:Q,4,false)</f>
        <v>SPOORING</v>
      </c>
      <c r="R9398" s="93" t="str">
        <f>VLOOKUP(E9398,DATABASE!C:Q,11,false)</f>
        <v>SERVICE</v>
      </c>
    </row>
    <row r="9399" ht="22.5" customHeight="1">
      <c r="A9399" s="49"/>
      <c r="C9399" s="400">
        <v>46210.0</v>
      </c>
      <c r="D9399" s="524">
        <v>262.0</v>
      </c>
      <c r="E9399" s="544" t="s">
        <v>301</v>
      </c>
      <c r="F9399" s="387">
        <v>1.0</v>
      </c>
      <c r="G9399" s="140">
        <v>250000.0</v>
      </c>
      <c r="H9399" s="74"/>
      <c r="I9399" s="74">
        <f t="shared" si="1"/>
        <v>250000</v>
      </c>
      <c r="J9399" s="74">
        <f>IF(E9399="SERVICE",I9399-(I9399*50%),Vlookup(E9399,DATABASE!C:Q,10,false)*F9399)</f>
        <v>75000</v>
      </c>
      <c r="K9399" s="74">
        <f>VLOOKUP(E9399,DATABASE!C:Q,7,false)</f>
        <v>75000</v>
      </c>
      <c r="L9399" s="74">
        <v>75000.0</v>
      </c>
      <c r="M9399" s="74">
        <f t="shared" si="6"/>
        <v>75000</v>
      </c>
      <c r="N9399" s="74">
        <f t="shared" si="3"/>
        <v>100000</v>
      </c>
      <c r="O9399" s="65" t="str">
        <f>VLOOKUP(E9399,DATABASE!C:Q,8,false)</f>
        <v>BIAN</v>
      </c>
      <c r="P9399" s="65">
        <f>VLOOKUP(E9399,DATABASE!C:Q,9,False)</f>
        <v>0</v>
      </c>
      <c r="Q9399" s="93" t="str">
        <f>VLOOKUP(E9399,DATABASE!C:Q,4,false)</f>
        <v>Baut Camber</v>
      </c>
      <c r="R9399" s="93" t="str">
        <f>VLOOKUP(E9399,DATABASE!C:Q,11,false)</f>
        <v>COMPLEMENTARY</v>
      </c>
    </row>
    <row r="9400" ht="22.5" customHeight="1">
      <c r="A9400" s="49"/>
      <c r="C9400" s="400">
        <v>46210.0</v>
      </c>
      <c r="D9400" s="524">
        <v>264.0</v>
      </c>
      <c r="E9400" s="544" t="s">
        <v>604</v>
      </c>
      <c r="F9400" s="387">
        <v>1.0</v>
      </c>
      <c r="G9400" s="140">
        <v>170000.0</v>
      </c>
      <c r="H9400" s="140">
        <v>10000.0</v>
      </c>
      <c r="I9400" s="74">
        <f t="shared" si="1"/>
        <v>160000</v>
      </c>
      <c r="J9400" s="74">
        <f>IF(E9400="SERVICE",I9400-(I9400*50%),Vlookup(E9400,DATABASE!C:Q,10,false)*F9400)</f>
        <v>0</v>
      </c>
      <c r="K9400" s="74">
        <f>VLOOKUP(E9400,DATABASE!C:Q,7,false)</f>
        <v>124000</v>
      </c>
      <c r="L9400" s="74">
        <v>124000.0</v>
      </c>
      <c r="M9400" s="74">
        <f t="shared" si="6"/>
        <v>125000</v>
      </c>
      <c r="N9400" s="74">
        <f t="shared" si="3"/>
        <v>35000</v>
      </c>
      <c r="O9400" s="65" t="str">
        <f>VLOOKUP(E9400,DATABASE!C:Q,8,false)</f>
        <v>BIAN</v>
      </c>
      <c r="P9400" s="65">
        <f>VLOOKUP(E9400,DATABASE!C:Q,9,False)</f>
        <v>1</v>
      </c>
      <c r="Q9400" s="93" t="str">
        <f>VLOOKUP(E9400,DATABASE!C:Q,4,false)</f>
        <v>BD</v>
      </c>
      <c r="R9400" s="93" t="str">
        <f>VLOOKUP(E9400,DATABASE!C:Q,11,false)</f>
        <v>Tire</v>
      </c>
    </row>
    <row r="9401" ht="22.5" customHeight="1">
      <c r="A9401" s="29"/>
      <c r="C9401" s="400">
        <v>46210.0</v>
      </c>
      <c r="D9401" s="524">
        <v>265.0</v>
      </c>
      <c r="E9401" s="544" t="s">
        <v>1160</v>
      </c>
      <c r="F9401" s="387">
        <v>2.0</v>
      </c>
      <c r="G9401" s="140">
        <v>1000000.0</v>
      </c>
      <c r="H9401" s="140">
        <v>50000.0</v>
      </c>
      <c r="I9401" s="74">
        <f t="shared" si="1"/>
        <v>1900000</v>
      </c>
      <c r="J9401" s="74">
        <f>IF(E9401="SERVICE",I9401-(I9401*50%),Vlookup(E9401,DATABASE!C:Q,10,false)*F9401)</f>
        <v>0</v>
      </c>
      <c r="K9401" s="74">
        <f>VLOOKUP(E9401,DATABASE!C:Q,7,false)</f>
        <v>799425</v>
      </c>
      <c r="L9401" s="140">
        <v>890000.0</v>
      </c>
      <c r="M9401" s="74">
        <f t="shared" si="6"/>
        <v>890000</v>
      </c>
      <c r="N9401" s="74">
        <f t="shared" si="3"/>
        <v>120000</v>
      </c>
      <c r="O9401" s="65" t="str">
        <f>VLOOKUP(E9401,DATABASE!C:Q,8,false)</f>
        <v>IBU</v>
      </c>
      <c r="P9401" s="65">
        <f>VLOOKUP(E9401,DATABASE!C:Q,9,False)</f>
        <v>1</v>
      </c>
      <c r="Q9401" s="93" t="str">
        <f>VLOOKUP(E9401,DATABASE!C:Q,4,false)</f>
        <v>Bridgestone</v>
      </c>
      <c r="R9401" s="93" t="str">
        <f>VLOOKUP(E9401,DATABASE!C:Q,11,false)</f>
        <v>Tire</v>
      </c>
    </row>
    <row r="9402" ht="22.5" customHeight="1">
      <c r="A9402" s="49"/>
      <c r="C9402" s="400">
        <v>46210.0</v>
      </c>
      <c r="D9402" s="524">
        <v>265.0</v>
      </c>
      <c r="E9402" s="544" t="s">
        <v>1206</v>
      </c>
      <c r="F9402" s="387">
        <v>2.0</v>
      </c>
      <c r="G9402" s="140">
        <v>1120000.0</v>
      </c>
      <c r="H9402" s="140">
        <v>20000.0</v>
      </c>
      <c r="I9402" s="74">
        <f t="shared" si="1"/>
        <v>2200000</v>
      </c>
      <c r="J9402" s="74">
        <f>IF(E9402="SERVICE",I9402-(I9402*50%),Vlookup(E9402,DATABASE!C:Q,10,false)*F9402)</f>
        <v>0</v>
      </c>
      <c r="K9402" s="74">
        <f>VLOOKUP(E9402,DATABASE!C:Q,7,false)</f>
        <v>1004147</v>
      </c>
      <c r="L9402" s="74">
        <v>1004147.0</v>
      </c>
      <c r="M9402" s="74">
        <f t="shared" si="6"/>
        <v>1005000</v>
      </c>
      <c r="N9402" s="74">
        <f t="shared" si="3"/>
        <v>190000</v>
      </c>
      <c r="O9402" s="65" t="str">
        <f>VLOOKUP(E9402,DATABASE!C:Q,8,false)</f>
        <v>IBU</v>
      </c>
      <c r="P9402" s="65">
        <f>VLOOKUP(E9402,DATABASE!C:Q,9,False)</f>
        <v>1</v>
      </c>
      <c r="Q9402" s="93" t="str">
        <f>VLOOKUP(E9402,DATABASE!C:Q,4,false)</f>
        <v>Bridgestone</v>
      </c>
      <c r="R9402" s="93" t="str">
        <f>VLOOKUP(E9402,DATABASE!C:Q,11,false)</f>
        <v>Tire</v>
      </c>
    </row>
    <row r="9403" ht="22.5" customHeight="1">
      <c r="A9403" s="49"/>
      <c r="C9403" s="400">
        <v>46210.0</v>
      </c>
      <c r="D9403" s="524">
        <v>265.0</v>
      </c>
      <c r="E9403" s="544" t="s">
        <v>299</v>
      </c>
      <c r="F9403" s="387">
        <v>2.0</v>
      </c>
      <c r="G9403" s="140">
        <v>30000.0</v>
      </c>
      <c r="H9403" s="140">
        <v>5000.0</v>
      </c>
      <c r="I9403" s="74">
        <f t="shared" si="1"/>
        <v>50000</v>
      </c>
      <c r="J9403" s="74">
        <f>IF(E9403="SERVICE",I9403-(I9403*50%),Vlookup(E9403,DATABASE!C:Q,10,false)*F9403)</f>
        <v>0</v>
      </c>
      <c r="K9403" s="74">
        <f>VLOOKUP(E9403,DATABASE!C:Q,7,false)</f>
        <v>10000</v>
      </c>
      <c r="L9403" s="74">
        <v>10000.0</v>
      </c>
      <c r="M9403" s="74">
        <f t="shared" si="6"/>
        <v>10000</v>
      </c>
      <c r="N9403" s="74">
        <f t="shared" si="3"/>
        <v>30000</v>
      </c>
      <c r="O9403" s="65" t="str">
        <f>VLOOKUP(E9403,DATABASE!C:Q,8,false)</f>
        <v>BIAN</v>
      </c>
      <c r="P9403" s="65">
        <f>VLOOKUP(E9403,DATABASE!C:Q,9,False)</f>
        <v>0</v>
      </c>
      <c r="Q9403" s="93" t="str">
        <f>VLOOKUP(E9403,DATABASE!C:Q,4,false)</f>
        <v>Balancing</v>
      </c>
      <c r="R9403" s="93" t="str">
        <f>VLOOKUP(E9403,DATABASE!C:Q,11,false)</f>
        <v>COMPLEMENTARY</v>
      </c>
    </row>
    <row r="9404" ht="22.5" customHeight="1">
      <c r="A9404" s="49"/>
      <c r="C9404" s="400">
        <v>46210.0</v>
      </c>
      <c r="D9404" s="524">
        <v>267.0</v>
      </c>
      <c r="E9404" s="544" t="s">
        <v>403</v>
      </c>
      <c r="F9404" s="387">
        <v>2.0</v>
      </c>
      <c r="G9404" s="140">
        <v>2260000.0</v>
      </c>
      <c r="H9404" s="140">
        <v>60000.0</v>
      </c>
      <c r="I9404" s="74">
        <f t="shared" si="1"/>
        <v>4400000</v>
      </c>
      <c r="J9404" s="74">
        <f>IF(E9404="SERVICE",I9404-(I9404*50%),Vlookup(E9404,DATABASE!C:Q,10,false)*F9404)</f>
        <v>0</v>
      </c>
      <c r="K9404" s="74">
        <f>VLOOKUP(E9404,DATABASE!C:Q,7,false)</f>
        <v>2160000</v>
      </c>
      <c r="L9404" s="140">
        <v>2100000.0</v>
      </c>
      <c r="M9404" s="74">
        <f t="shared" si="6"/>
        <v>2100000</v>
      </c>
      <c r="N9404" s="74">
        <f t="shared" si="3"/>
        <v>200000</v>
      </c>
      <c r="O9404" s="65" t="str">
        <f>VLOOKUP(E9404,DATABASE!C:Q,8,false)</f>
        <v>BIAN</v>
      </c>
      <c r="P9404" s="65">
        <f>VLOOKUP(E9404,DATABASE!C:Q,9,False)</f>
        <v>1</v>
      </c>
      <c r="Q9404" s="93" t="str">
        <f>VLOOKUP(E9404,DATABASE!C:Q,4,false)</f>
        <v>Advance</v>
      </c>
      <c r="R9404" s="93" t="str">
        <f>VLOOKUP(E9404,DATABASE!C:Q,11,false)</f>
        <v>Tire</v>
      </c>
    </row>
    <row r="9405" ht="22.5" customHeight="1">
      <c r="A9405" s="49"/>
      <c r="C9405" s="400">
        <v>46210.0</v>
      </c>
      <c r="D9405" s="524">
        <v>269.0</v>
      </c>
      <c r="E9405" s="544" t="s">
        <v>271</v>
      </c>
      <c r="F9405" s="387">
        <v>2.0</v>
      </c>
      <c r="G9405" s="140">
        <v>640000.0</v>
      </c>
      <c r="H9405" s="74"/>
      <c r="I9405" s="74">
        <f t="shared" si="1"/>
        <v>1280000</v>
      </c>
      <c r="J9405" s="74">
        <f>IF(E9405="SERVICE",I9405-(I9405*50%),Vlookup(E9405,DATABASE!C:Q,10,false)*F9405)</f>
        <v>0</v>
      </c>
      <c r="K9405" s="74">
        <f>VLOOKUP(E9405,DATABASE!C:Q,7,false)</f>
        <v>570000</v>
      </c>
      <c r="L9405" s="74">
        <v>550000.0</v>
      </c>
      <c r="M9405" s="74">
        <f t="shared" si="6"/>
        <v>550000</v>
      </c>
      <c r="N9405" s="74">
        <f t="shared" si="3"/>
        <v>180000</v>
      </c>
      <c r="O9405" s="65" t="str">
        <f>VLOOKUP(E9405,DATABASE!C:Q,8,false)</f>
        <v>IBU</v>
      </c>
      <c r="P9405" s="65">
        <f>VLOOKUP(E9405,DATABASE!C:Q,9,False)</f>
        <v>1</v>
      </c>
      <c r="Q9405" s="93" t="str">
        <f>VLOOKUP(E9405,DATABASE!C:Q,4,false)</f>
        <v>Dunlop</v>
      </c>
      <c r="R9405" s="93" t="str">
        <f>VLOOKUP(E9405,DATABASE!C:Q,11,false)</f>
        <v>Tire</v>
      </c>
    </row>
    <row r="9406" ht="22.5" customHeight="1">
      <c r="A9406" s="49"/>
      <c r="C9406" s="400">
        <v>46210.0</v>
      </c>
      <c r="D9406" s="524">
        <v>271.0</v>
      </c>
      <c r="E9406" s="544" t="s">
        <v>566</v>
      </c>
      <c r="F9406" s="387">
        <v>1.0</v>
      </c>
      <c r="G9406" s="140">
        <v>1670000.0</v>
      </c>
      <c r="H9406" s="140">
        <v>20000.0</v>
      </c>
      <c r="I9406" s="74">
        <f t="shared" si="1"/>
        <v>1650000</v>
      </c>
      <c r="J9406" s="74">
        <f>IF(E9406="SERVICE",I9406-(I9406*50%),Vlookup(E9406,DATABASE!C:Q,10,false)*F9406)</f>
        <v>0</v>
      </c>
      <c r="K9406" s="74">
        <f>VLOOKUP(E9406,DATABASE!C:Q,7,false)</f>
        <v>1565000</v>
      </c>
      <c r="L9406" s="74">
        <v>1545000.0</v>
      </c>
      <c r="M9406" s="74">
        <f t="shared" si="6"/>
        <v>1545000</v>
      </c>
      <c r="N9406" s="74">
        <f t="shared" si="3"/>
        <v>105000</v>
      </c>
      <c r="O9406" s="65" t="str">
        <f>VLOOKUP(E9406,DATABASE!C:Q,8,false)</f>
        <v>IBU</v>
      </c>
      <c r="P9406" s="65">
        <f>VLOOKUP(E9406,DATABASE!C:Q,9,False)</f>
        <v>1</v>
      </c>
      <c r="Q9406" s="93" t="str">
        <f>VLOOKUP(E9406,DATABASE!C:Q,4,false)</f>
        <v>Bridgestone</v>
      </c>
      <c r="R9406" s="93" t="str">
        <f>VLOOKUP(E9406,DATABASE!C:Q,11,false)</f>
        <v>Tire</v>
      </c>
    </row>
    <row r="9407" ht="22.5" customHeight="1">
      <c r="A9407" s="49"/>
      <c r="C9407" s="400">
        <v>46210.0</v>
      </c>
      <c r="D9407" s="69" t="s">
        <v>2864</v>
      </c>
      <c r="E9407" s="544" t="s">
        <v>2191</v>
      </c>
      <c r="F9407" s="387">
        <v>1.0</v>
      </c>
      <c r="G9407" s="140">
        <v>475000.0</v>
      </c>
      <c r="H9407" s="74"/>
      <c r="I9407" s="74">
        <f t="shared" si="1"/>
        <v>475000</v>
      </c>
      <c r="J9407" s="74">
        <f>IF(E9407="SERVICE",I9407-(I9407*50%),Vlookup(E9407,DATABASE!C:Q,10,false)*F9407)</f>
        <v>0</v>
      </c>
      <c r="K9407" s="74">
        <f>VLOOKUP(E9407,DATABASE!C:Q,7,false)</f>
        <v>422900</v>
      </c>
      <c r="L9407" s="74">
        <v>422900.0</v>
      </c>
      <c r="M9407" s="74">
        <f t="shared" si="6"/>
        <v>425000</v>
      </c>
      <c r="N9407" s="74">
        <f t="shared" si="3"/>
        <v>50000</v>
      </c>
      <c r="O9407" s="65" t="str">
        <f>VLOOKUP(E9407,DATABASE!C:Q,8,false)</f>
        <v>NON</v>
      </c>
      <c r="P9407" s="65">
        <f>VLOOKUP(E9407,DATABASE!C:Q,9,False)</f>
        <v>0</v>
      </c>
      <c r="Q9407" s="93" t="str">
        <f>VLOOKUP(E9407,DATABASE!C:Q,4,false)</f>
        <v>Shell</v>
      </c>
      <c r="R9407" s="93" t="str">
        <f>VLOOKUP(E9407,DATABASE!C:Q,11,false)</f>
        <v>OIL</v>
      </c>
    </row>
    <row r="9408" ht="22.5" customHeight="1">
      <c r="A9408" s="49"/>
      <c r="C9408" s="400">
        <v>46210.0</v>
      </c>
      <c r="D9408" s="69" t="s">
        <v>2864</v>
      </c>
      <c r="E9408" s="544" t="s">
        <v>298</v>
      </c>
      <c r="F9408" s="387">
        <v>1.0</v>
      </c>
      <c r="G9408" s="140">
        <v>25000.0</v>
      </c>
      <c r="H9408" s="74"/>
      <c r="I9408" s="74">
        <f t="shared" si="1"/>
        <v>25000</v>
      </c>
      <c r="J9408" s="74">
        <f>IF(E9408="SERVICE",I9408-(I9408*50%),Vlookup(E9408,DATABASE!C:Q,10,false)*F9408)</f>
        <v>0</v>
      </c>
      <c r="K9408" s="74">
        <f>VLOOKUP(E9408,DATABASE!C:Q,7,false)</f>
        <v>19200</v>
      </c>
      <c r="L9408" s="74">
        <v>19200.0</v>
      </c>
      <c r="M9408" s="74">
        <f t="shared" si="6"/>
        <v>20000</v>
      </c>
      <c r="N9408" s="74">
        <f t="shared" si="3"/>
        <v>5000</v>
      </c>
      <c r="O9408" s="65" t="str">
        <f>VLOOKUP(E9408,DATABASE!C:Q,8,false)</f>
        <v>BIAN</v>
      </c>
      <c r="P9408" s="65">
        <f>VLOOKUP(E9408,DATABASE!C:Q,9,False)</f>
        <v>0</v>
      </c>
      <c r="Q9408" s="93" t="str">
        <f>VLOOKUP(E9408,DATABASE!C:Q,4,false)</f>
        <v>Aspira</v>
      </c>
      <c r="R9408" s="93" t="str">
        <f>VLOOKUP(E9408,DATABASE!C:Q,11,false)</f>
        <v>COMPLEMENTARY</v>
      </c>
    </row>
    <row r="9409" ht="22.5" customHeight="1">
      <c r="A9409" s="49"/>
      <c r="C9409" s="400">
        <v>46210.0</v>
      </c>
      <c r="D9409" s="69" t="s">
        <v>2865</v>
      </c>
      <c r="E9409" s="544" t="s">
        <v>2195</v>
      </c>
      <c r="F9409" s="387">
        <v>1.0</v>
      </c>
      <c r="G9409" s="140">
        <v>380000.0</v>
      </c>
      <c r="H9409" s="74"/>
      <c r="I9409" s="74">
        <f t="shared" si="1"/>
        <v>380000</v>
      </c>
      <c r="J9409" s="74">
        <f>IF(E9409="SERVICE",I9409-(I9409*50%),Vlookup(E9409,DATABASE!C:Q,10,false)*F9409)</f>
        <v>0</v>
      </c>
      <c r="K9409" s="74">
        <f>VLOOKUP(E9409,DATABASE!C:Q,7,false)</f>
        <v>329877</v>
      </c>
      <c r="L9409" s="74">
        <v>329877.0</v>
      </c>
      <c r="M9409" s="74">
        <f t="shared" si="6"/>
        <v>330000</v>
      </c>
      <c r="N9409" s="74">
        <f t="shared" si="3"/>
        <v>50000</v>
      </c>
      <c r="O9409" s="65" t="str">
        <f>VLOOKUP(E9409,DATABASE!C:Q,8,false)</f>
        <v>NON</v>
      </c>
      <c r="P9409" s="65">
        <f>VLOOKUP(E9409,DATABASE!C:Q,9,False)</f>
        <v>0</v>
      </c>
      <c r="Q9409" s="93" t="str">
        <f>VLOOKUP(E9409,DATABASE!C:Q,4,false)</f>
        <v>Shell</v>
      </c>
      <c r="R9409" s="93" t="str">
        <f>VLOOKUP(E9409,DATABASE!C:Q,11,false)</f>
        <v>OIL</v>
      </c>
    </row>
    <row r="9410" ht="22.5" customHeight="1">
      <c r="A9410" s="49"/>
      <c r="C9410" s="400">
        <v>46211.0</v>
      </c>
      <c r="D9410" s="524">
        <v>273.0</v>
      </c>
      <c r="E9410" s="544" t="s">
        <v>275</v>
      </c>
      <c r="F9410" s="387">
        <v>3.0</v>
      </c>
      <c r="G9410" s="140">
        <v>850000.0</v>
      </c>
      <c r="H9410" s="74"/>
      <c r="I9410" s="74">
        <f t="shared" si="1"/>
        <v>2550000</v>
      </c>
      <c r="J9410" s="74">
        <f>IF(E9410="SERVICE",I9410-(I9410*50%),Vlookup(E9410,DATABASE!C:Q,10,false)*F9410)</f>
        <v>0</v>
      </c>
      <c r="K9410" s="74">
        <f>VLOOKUP(E9410,DATABASE!C:Q,7,false)</f>
        <v>782000</v>
      </c>
      <c r="L9410" s="74">
        <v>759500.0</v>
      </c>
      <c r="M9410" s="74">
        <f t="shared" si="6"/>
        <v>760000</v>
      </c>
      <c r="N9410" s="74">
        <f t="shared" si="3"/>
        <v>270000</v>
      </c>
      <c r="O9410" s="65" t="str">
        <f>VLOOKUP(E9410,DATABASE!C:Q,8,false)</f>
        <v>IBU</v>
      </c>
      <c r="P9410" s="65">
        <f>VLOOKUP(E9410,DATABASE!C:Q,9,False)</f>
        <v>1</v>
      </c>
      <c r="Q9410" s="93" t="str">
        <f>VLOOKUP(E9410,DATABASE!C:Q,4,false)</f>
        <v>Dunlop</v>
      </c>
      <c r="R9410" s="93" t="str">
        <f>VLOOKUP(E9410,DATABASE!C:Q,11,false)</f>
        <v>Tire</v>
      </c>
    </row>
    <row r="9411" ht="22.5" customHeight="1">
      <c r="A9411" s="49"/>
      <c r="C9411" s="400">
        <v>46211.0</v>
      </c>
      <c r="D9411" s="524">
        <v>274.0</v>
      </c>
      <c r="E9411" s="544" t="s">
        <v>287</v>
      </c>
      <c r="F9411" s="387">
        <v>1.0</v>
      </c>
      <c r="G9411" s="140">
        <v>800000.0</v>
      </c>
      <c r="H9411" s="74"/>
      <c r="I9411" s="74">
        <f t="shared" si="1"/>
        <v>800000</v>
      </c>
      <c r="J9411" s="74">
        <f>IF(E9411="SERVICE",I9411-(I9411*50%),Vlookup(E9411,DATABASE!C:Q,10,false)*F9411)</f>
        <v>0</v>
      </c>
      <c r="K9411" s="74">
        <f>VLOOKUP(E9411,DATABASE!C:Q,7,false)</f>
        <v>711000</v>
      </c>
      <c r="L9411" s="74">
        <v>711000.0</v>
      </c>
      <c r="M9411" s="74">
        <f t="shared" si="6"/>
        <v>715000</v>
      </c>
      <c r="N9411" s="74">
        <f t="shared" si="3"/>
        <v>85000</v>
      </c>
      <c r="O9411" s="65" t="str">
        <f>VLOOKUP(E9411,DATABASE!C:Q,8,false)</f>
        <v>BIAN</v>
      </c>
      <c r="P9411" s="65">
        <f>VLOOKUP(E9411,DATABASE!C:Q,9,False)</f>
        <v>1</v>
      </c>
      <c r="Q9411" s="93" t="str">
        <f>VLOOKUP(E9411,DATABASE!C:Q,4,false)</f>
        <v>GT</v>
      </c>
      <c r="R9411" s="93" t="str">
        <f>VLOOKUP(E9411,DATABASE!C:Q,11,false)</f>
        <v>Tire</v>
      </c>
    </row>
    <row r="9412" ht="22.5" customHeight="1">
      <c r="A9412" s="49"/>
      <c r="C9412" s="400">
        <v>46211.0</v>
      </c>
      <c r="D9412" s="524">
        <v>275.0</v>
      </c>
      <c r="E9412" s="544" t="s">
        <v>955</v>
      </c>
      <c r="F9412" s="387">
        <v>1.0</v>
      </c>
      <c r="G9412" s="140">
        <v>780000.0</v>
      </c>
      <c r="H9412" s="74"/>
      <c r="I9412" s="74">
        <f t="shared" si="1"/>
        <v>780000</v>
      </c>
      <c r="J9412" s="74">
        <f>IF(E9412="SERVICE",I9412-(I9412*50%),Vlookup(E9412,DATABASE!C:Q,10,false)*F9412)</f>
        <v>0</v>
      </c>
      <c r="K9412" s="74">
        <f>VLOOKUP(E9412,DATABASE!C:Q,7,false)</f>
        <v>712000</v>
      </c>
      <c r="L9412" s="74">
        <v>688000.0</v>
      </c>
      <c r="M9412" s="74">
        <f t="shared" si="6"/>
        <v>690000</v>
      </c>
      <c r="N9412" s="74">
        <f t="shared" si="3"/>
        <v>90000</v>
      </c>
      <c r="O9412" s="65" t="str">
        <f>VLOOKUP(E9412,DATABASE!C:Q,8,false)</f>
        <v>IBU</v>
      </c>
      <c r="P9412" s="65">
        <f>VLOOKUP(E9412,DATABASE!C:Q,9,False)</f>
        <v>1</v>
      </c>
      <c r="Q9412" s="93" t="str">
        <f>VLOOKUP(E9412,DATABASE!C:Q,4,false)</f>
        <v>Dunlop</v>
      </c>
      <c r="R9412" s="93" t="str">
        <f>VLOOKUP(E9412,DATABASE!C:Q,11,false)</f>
        <v>Tire</v>
      </c>
    </row>
    <row r="9413" ht="22.5" customHeight="1">
      <c r="A9413" s="49"/>
      <c r="C9413" s="400">
        <v>46211.0</v>
      </c>
      <c r="D9413" s="524">
        <v>276.0</v>
      </c>
      <c r="E9413" s="544" t="s">
        <v>572</v>
      </c>
      <c r="F9413" s="387">
        <v>2.0</v>
      </c>
      <c r="G9413" s="140">
        <v>1370000.0</v>
      </c>
      <c r="H9413" s="140">
        <v>20000.0</v>
      </c>
      <c r="I9413" s="74">
        <f t="shared" si="1"/>
        <v>2700000</v>
      </c>
      <c r="J9413" s="74">
        <f>IF(E9413="SERVICE",I9413-(I9413*50%),Vlookup(E9413,DATABASE!C:Q,10,false)*F9413)</f>
        <v>0</v>
      </c>
      <c r="K9413" s="74">
        <f>VLOOKUP(E9413,DATABASE!C:Q,7,false)</f>
        <v>1265000</v>
      </c>
      <c r="L9413" s="74">
        <v>1245000.0</v>
      </c>
      <c r="M9413" s="74">
        <f t="shared" si="6"/>
        <v>1245000</v>
      </c>
      <c r="N9413" s="74">
        <f t="shared" si="3"/>
        <v>210000</v>
      </c>
      <c r="O9413" s="65" t="str">
        <f>VLOOKUP(E9413,DATABASE!C:Q,8,false)</f>
        <v>IBU</v>
      </c>
      <c r="P9413" s="65">
        <f>VLOOKUP(E9413,DATABASE!C:Q,9,False)</f>
        <v>1</v>
      </c>
      <c r="Q9413" s="93" t="str">
        <f>VLOOKUP(E9413,DATABASE!C:Q,4,false)</f>
        <v>Bridgestone</v>
      </c>
      <c r="R9413" s="93" t="str">
        <f>VLOOKUP(E9413,DATABASE!C:Q,11,false)</f>
        <v>Tire</v>
      </c>
    </row>
    <row r="9414" ht="22.5" customHeight="1">
      <c r="A9414" s="49"/>
      <c r="C9414" s="400">
        <v>46211.0</v>
      </c>
      <c r="D9414" s="524">
        <v>276.0</v>
      </c>
      <c r="E9414" s="544" t="s">
        <v>255</v>
      </c>
      <c r="F9414" s="387">
        <v>2.0</v>
      </c>
      <c r="G9414" s="140">
        <v>200000.0</v>
      </c>
      <c r="H9414" s="74"/>
      <c r="I9414" s="74">
        <f t="shared" si="1"/>
        <v>400000</v>
      </c>
      <c r="J9414" s="74">
        <f>IF(E9414="SERVICE",I9414-(I9414*50%),Vlookup(E9414,DATABASE!C:Q,10,false)*F9414)</f>
        <v>0</v>
      </c>
      <c r="K9414" s="74">
        <f>VLOOKUP(E9414,DATABASE!C:Q,7,false)</f>
        <v>161840</v>
      </c>
      <c r="L9414" s="74">
        <v>161840.0</v>
      </c>
      <c r="M9414" s="74">
        <f t="shared" si="6"/>
        <v>165000</v>
      </c>
      <c r="N9414" s="74">
        <f t="shared" si="3"/>
        <v>70000</v>
      </c>
      <c r="O9414" s="65" t="str">
        <f>VLOOKUP(E9414,DATABASE!C:Q,8,false)</f>
        <v>BIAN</v>
      </c>
      <c r="P9414" s="65">
        <f>VLOOKUP(E9414,DATABASE!C:Q,9,False)</f>
        <v>1</v>
      </c>
      <c r="Q9414" s="93" t="str">
        <f>VLOOKUP(E9414,DATABASE!C:Q,4,false)</f>
        <v>BD</v>
      </c>
      <c r="R9414" s="93" t="str">
        <f>VLOOKUP(E9414,DATABASE!C:Q,11,false)</f>
        <v>Tire</v>
      </c>
    </row>
    <row r="9415" ht="22.5" customHeight="1">
      <c r="A9415" s="29"/>
      <c r="C9415" s="400">
        <v>46211.0</v>
      </c>
      <c r="D9415" s="524">
        <v>277.0</v>
      </c>
      <c r="E9415" s="544" t="s">
        <v>600</v>
      </c>
      <c r="F9415" s="387">
        <v>1.0</v>
      </c>
      <c r="G9415" s="140">
        <v>680000.0</v>
      </c>
      <c r="H9415" s="74"/>
      <c r="I9415" s="74">
        <f t="shared" si="1"/>
        <v>680000</v>
      </c>
      <c r="J9415" s="74">
        <f>IF(E9415="SERVICE",I9415-(I9415*50%),Vlookup(E9415,DATABASE!C:Q,10,false)*F9415)</f>
        <v>0</v>
      </c>
      <c r="K9415" s="74">
        <f>VLOOKUP(E9415,DATABASE!C:Q,7,false)</f>
        <v>611109.16</v>
      </c>
      <c r="L9415" s="74">
        <v>588505.75</v>
      </c>
      <c r="M9415" s="74">
        <f t="shared" si="6"/>
        <v>590000</v>
      </c>
      <c r="N9415" s="74">
        <f t="shared" si="3"/>
        <v>90000</v>
      </c>
      <c r="O9415" s="65" t="str">
        <f>VLOOKUP(E9415,DATABASE!C:Q,8,false)</f>
        <v>IBU</v>
      </c>
      <c r="P9415" s="65">
        <f>VLOOKUP(E9415,DATABASE!C:Q,9,False)</f>
        <v>1</v>
      </c>
      <c r="Q9415" s="93" t="str">
        <f>VLOOKUP(E9415,DATABASE!C:Q,4,false)</f>
        <v>Bridgestone</v>
      </c>
      <c r="R9415" s="93" t="str">
        <f>VLOOKUP(E9415,DATABASE!C:Q,11,false)</f>
        <v>Tire</v>
      </c>
    </row>
    <row r="9416" ht="22.5" customHeight="1">
      <c r="A9416" s="49"/>
      <c r="C9416" s="400">
        <v>46211.0</v>
      </c>
      <c r="D9416" s="524">
        <v>278.0</v>
      </c>
      <c r="E9416" s="544" t="s">
        <v>275</v>
      </c>
      <c r="F9416" s="387">
        <v>1.0</v>
      </c>
      <c r="G9416" s="140">
        <v>850000.0</v>
      </c>
      <c r="H9416" s="74"/>
      <c r="I9416" s="74">
        <f t="shared" si="1"/>
        <v>850000</v>
      </c>
      <c r="J9416" s="74">
        <f>IF(E9416="SERVICE",I9416-(I9416*50%),Vlookup(E9416,DATABASE!C:Q,10,false)*F9416)</f>
        <v>0</v>
      </c>
      <c r="K9416" s="74">
        <f>VLOOKUP(E9416,DATABASE!C:Q,7,false)</f>
        <v>782000</v>
      </c>
      <c r="L9416" s="74">
        <v>759500.0</v>
      </c>
      <c r="M9416" s="74">
        <f t="shared" si="6"/>
        <v>760000</v>
      </c>
      <c r="N9416" s="74">
        <f t="shared" si="3"/>
        <v>90000</v>
      </c>
      <c r="O9416" s="65" t="str">
        <f>VLOOKUP(E9416,DATABASE!C:Q,8,false)</f>
        <v>IBU</v>
      </c>
      <c r="P9416" s="65">
        <f>VLOOKUP(E9416,DATABASE!C:Q,9,False)</f>
        <v>1</v>
      </c>
      <c r="Q9416" s="93" t="str">
        <f>VLOOKUP(E9416,DATABASE!C:Q,4,false)</f>
        <v>Dunlop</v>
      </c>
      <c r="R9416" s="93" t="str">
        <f>VLOOKUP(E9416,DATABASE!C:Q,11,false)</f>
        <v>Tire</v>
      </c>
    </row>
    <row r="9417" ht="22.5" customHeight="1">
      <c r="A9417" s="49"/>
      <c r="C9417" s="400">
        <v>46211.0</v>
      </c>
      <c r="D9417" s="524">
        <v>280.0</v>
      </c>
      <c r="E9417" s="544" t="s">
        <v>554</v>
      </c>
      <c r="F9417" s="387">
        <v>1.0</v>
      </c>
      <c r="G9417" s="140">
        <v>800000.0</v>
      </c>
      <c r="H9417" s="74"/>
      <c r="I9417" s="74">
        <f t="shared" si="1"/>
        <v>800000</v>
      </c>
      <c r="J9417" s="74">
        <f>IF(E9417="SERVICE",I9417-(I9417*50%),Vlookup(E9417,DATABASE!C:Q,10,false)*F9417)</f>
        <v>0</v>
      </c>
      <c r="K9417" s="74">
        <f>VLOOKUP(E9417,DATABASE!C:Q,7,false)</f>
        <v>710000</v>
      </c>
      <c r="L9417" s="74">
        <v>705000.0</v>
      </c>
      <c r="M9417" s="74">
        <f t="shared" si="6"/>
        <v>705000</v>
      </c>
      <c r="N9417" s="74">
        <f t="shared" si="3"/>
        <v>95000</v>
      </c>
      <c r="O9417" s="65" t="str">
        <f>VLOOKUP(E9417,DATABASE!C:Q,8,false)</f>
        <v>IBU</v>
      </c>
      <c r="P9417" s="65">
        <f>VLOOKUP(E9417,DATABASE!C:Q,9,False)</f>
        <v>1</v>
      </c>
      <c r="Q9417" s="93" t="str">
        <f>VLOOKUP(E9417,DATABASE!C:Q,4,false)</f>
        <v>Bridgestone</v>
      </c>
      <c r="R9417" s="93" t="str">
        <f>VLOOKUP(E9417,DATABASE!C:Q,11,false)</f>
        <v>Tire</v>
      </c>
    </row>
    <row r="9418" ht="22.5" customHeight="1">
      <c r="A9418" s="29"/>
      <c r="C9418" s="400">
        <v>46211.0</v>
      </c>
      <c r="D9418" s="524">
        <v>779.0</v>
      </c>
      <c r="E9418" s="544" t="s">
        <v>275</v>
      </c>
      <c r="F9418" s="387">
        <v>4.0</v>
      </c>
      <c r="G9418" s="140">
        <v>850000.0</v>
      </c>
      <c r="H9418" s="74"/>
      <c r="I9418" s="74">
        <f t="shared" si="1"/>
        <v>3400000</v>
      </c>
      <c r="J9418" s="74">
        <f>IF(E9418="SERVICE",I9418-(I9418*50%),Vlookup(E9418,DATABASE!C:Q,10,false)*F9418)</f>
        <v>0</v>
      </c>
      <c r="K9418" s="74">
        <f>VLOOKUP(E9418,DATABASE!C:Q,7,false)</f>
        <v>782000</v>
      </c>
      <c r="L9418" s="74">
        <v>759500.0</v>
      </c>
      <c r="M9418" s="74">
        <f t="shared" si="6"/>
        <v>760000</v>
      </c>
      <c r="N9418" s="74">
        <f t="shared" si="3"/>
        <v>360000</v>
      </c>
      <c r="O9418" s="65" t="str">
        <f>VLOOKUP(E9418,DATABASE!C:Q,8,false)</f>
        <v>IBU</v>
      </c>
      <c r="P9418" s="65">
        <f>VLOOKUP(E9418,DATABASE!C:Q,9,False)</f>
        <v>1</v>
      </c>
      <c r="Q9418" s="93" t="str">
        <f>VLOOKUP(E9418,DATABASE!C:Q,4,false)</f>
        <v>Dunlop</v>
      </c>
      <c r="R9418" s="93" t="str">
        <f>VLOOKUP(E9418,DATABASE!C:Q,11,false)</f>
        <v>Tire</v>
      </c>
    </row>
    <row r="9419" ht="22.5" customHeight="1">
      <c r="A9419" s="49"/>
      <c r="C9419" s="400">
        <v>46211.0</v>
      </c>
      <c r="D9419" s="69" t="s">
        <v>2866</v>
      </c>
      <c r="E9419" s="544" t="s">
        <v>252</v>
      </c>
      <c r="F9419" s="387">
        <v>1.0</v>
      </c>
      <c r="G9419" s="140">
        <v>370000.0</v>
      </c>
      <c r="H9419" s="74"/>
      <c r="I9419" s="74">
        <f t="shared" si="1"/>
        <v>370000</v>
      </c>
      <c r="J9419" s="74">
        <f>IF(E9419="SERVICE",I9419-(I9419*50%),Vlookup(E9419,DATABASE!C:Q,10,false)*F9419)</f>
        <v>0</v>
      </c>
      <c r="K9419" s="74">
        <f>VLOOKUP(E9419,DATABASE!C:Q,7,false)</f>
        <v>317518</v>
      </c>
      <c r="L9419" s="74">
        <v>317518.0</v>
      </c>
      <c r="M9419" s="74">
        <f t="shared" si="6"/>
        <v>320000</v>
      </c>
      <c r="N9419" s="74">
        <f t="shared" si="3"/>
        <v>50000</v>
      </c>
      <c r="O9419" s="65" t="str">
        <f>VLOOKUP(E9419,DATABASE!C:Q,8,false)</f>
        <v>NON</v>
      </c>
      <c r="P9419" s="65">
        <f>VLOOKUP(E9419,DATABASE!C:Q,9,False)</f>
        <v>0</v>
      </c>
      <c r="Q9419" s="93" t="str">
        <f>VLOOKUP(E9419,DATABASE!C:Q,4,false)</f>
        <v>Shell</v>
      </c>
      <c r="R9419" s="93" t="str">
        <f>VLOOKUP(E9419,DATABASE!C:Q,11,false)</f>
        <v>OIL</v>
      </c>
    </row>
    <row r="9420" ht="22.5" customHeight="1">
      <c r="A9420" s="49"/>
      <c r="C9420" s="400">
        <v>46211.0</v>
      </c>
      <c r="D9420" s="69" t="s">
        <v>2867</v>
      </c>
      <c r="E9420" s="544" t="s">
        <v>2191</v>
      </c>
      <c r="F9420" s="387">
        <v>1.0</v>
      </c>
      <c r="G9420" s="140">
        <v>475000.0</v>
      </c>
      <c r="H9420" s="140">
        <v>5000.0</v>
      </c>
      <c r="I9420" s="74">
        <f t="shared" si="1"/>
        <v>470000</v>
      </c>
      <c r="J9420" s="74">
        <f>IF(E9420="SERVICE",I9420-(I9420*50%),Vlookup(E9420,DATABASE!C:Q,10,false)*F9420)</f>
        <v>0</v>
      </c>
      <c r="K9420" s="74">
        <f>VLOOKUP(E9420,DATABASE!C:Q,7,false)</f>
        <v>422900</v>
      </c>
      <c r="L9420" s="74">
        <v>422900.0</v>
      </c>
      <c r="M9420" s="74">
        <f t="shared" si="6"/>
        <v>425000</v>
      </c>
      <c r="N9420" s="74">
        <f t="shared" si="3"/>
        <v>45000</v>
      </c>
      <c r="O9420" s="65" t="str">
        <f>VLOOKUP(E9420,DATABASE!C:Q,8,false)</f>
        <v>NON</v>
      </c>
      <c r="P9420" s="65">
        <f>VLOOKUP(E9420,DATABASE!C:Q,9,False)</f>
        <v>0</v>
      </c>
      <c r="Q9420" s="93" t="str">
        <f>VLOOKUP(E9420,DATABASE!C:Q,4,false)</f>
        <v>Shell</v>
      </c>
      <c r="R9420" s="93" t="str">
        <f>VLOOKUP(E9420,DATABASE!C:Q,11,false)</f>
        <v>OIL</v>
      </c>
    </row>
    <row r="9421" ht="22.5" customHeight="1">
      <c r="A9421" s="49"/>
      <c r="C9421" s="400">
        <v>46212.0</v>
      </c>
      <c r="D9421" s="69">
        <v>281.0</v>
      </c>
      <c r="E9421" s="544" t="s">
        <v>605</v>
      </c>
      <c r="F9421" s="387">
        <v>1.0</v>
      </c>
      <c r="G9421" s="140">
        <v>765000.0</v>
      </c>
      <c r="H9421" s="74"/>
      <c r="I9421" s="74">
        <f t="shared" si="1"/>
        <v>765000</v>
      </c>
      <c r="J9421" s="74">
        <f>IF(E9421="SERVICE",I9421-(I9421*50%),Vlookup(E9421,DATABASE!C:Q,10,false)*F9421)</f>
        <v>0</v>
      </c>
      <c r="K9421" s="74">
        <f>VLOOKUP(E9421,DATABASE!C:Q,7,false)</f>
        <v>675000</v>
      </c>
      <c r="L9421" s="74">
        <v>711000.0</v>
      </c>
      <c r="M9421" s="74">
        <f t="shared" si="6"/>
        <v>715000</v>
      </c>
      <c r="N9421" s="74">
        <f t="shared" si="3"/>
        <v>50000</v>
      </c>
      <c r="O9421" s="65" t="str">
        <f>VLOOKUP(E9421,DATABASE!C:Q,8,false)</f>
        <v>IBU</v>
      </c>
      <c r="P9421" s="65">
        <f>VLOOKUP(E9421,DATABASE!C:Q,9,False)</f>
        <v>1</v>
      </c>
      <c r="Q9421" s="93" t="str">
        <f>VLOOKUP(E9421,DATABASE!C:Q,4,false)</f>
        <v>Bridgestone</v>
      </c>
      <c r="R9421" s="93" t="str">
        <f>VLOOKUP(E9421,DATABASE!C:Q,11,false)</f>
        <v>Tire</v>
      </c>
    </row>
    <row r="9422" ht="22.5" customHeight="1">
      <c r="A9422" s="49"/>
      <c r="C9422" s="400">
        <v>46212.0</v>
      </c>
      <c r="D9422" s="69">
        <v>282.0</v>
      </c>
      <c r="E9422" s="544" t="s">
        <v>268</v>
      </c>
      <c r="F9422" s="387">
        <v>2.0</v>
      </c>
      <c r="G9422" s="140">
        <v>720000.0</v>
      </c>
      <c r="H9422" s="74"/>
      <c r="I9422" s="74">
        <f t="shared" si="1"/>
        <v>1440000</v>
      </c>
      <c r="J9422" s="74">
        <f>IF(E9422="SERVICE",I9422-(I9422*50%),Vlookup(E9422,DATABASE!C:Q,10,false)*F9422)</f>
        <v>0</v>
      </c>
      <c r="K9422" s="74">
        <f>VLOOKUP(E9422,DATABASE!C:Q,7,false)</f>
        <v>653000</v>
      </c>
      <c r="L9422" s="74">
        <v>634500.0</v>
      </c>
      <c r="M9422" s="74">
        <f t="shared" si="6"/>
        <v>635000</v>
      </c>
      <c r="N9422" s="74">
        <f t="shared" si="3"/>
        <v>170000</v>
      </c>
      <c r="O9422" s="65" t="str">
        <f>VLOOKUP(E9422,DATABASE!C:Q,8,false)</f>
        <v>IBU</v>
      </c>
      <c r="P9422" s="65">
        <f>VLOOKUP(E9422,DATABASE!C:Q,9,False)</f>
        <v>1</v>
      </c>
      <c r="Q9422" s="93" t="str">
        <f>VLOOKUP(E9422,DATABASE!C:Q,4,false)</f>
        <v>Dunlop</v>
      </c>
      <c r="R9422" s="93" t="str">
        <f>VLOOKUP(E9422,DATABASE!C:Q,11,false)</f>
        <v>Tire</v>
      </c>
    </row>
    <row r="9423" ht="22.5" customHeight="1">
      <c r="A9423" s="49"/>
      <c r="C9423" s="400">
        <v>46212.0</v>
      </c>
      <c r="D9423" s="524">
        <v>283.0</v>
      </c>
      <c r="E9423" s="544" t="s">
        <v>262</v>
      </c>
      <c r="F9423" s="387">
        <v>1.0</v>
      </c>
      <c r="G9423" s="140">
        <v>130000.0</v>
      </c>
      <c r="H9423" s="74"/>
      <c r="I9423" s="74">
        <f t="shared" si="1"/>
        <v>130000</v>
      </c>
      <c r="J9423" s="74">
        <f>IF(E9423="SERVICE",I9423-(I9423*50%),Vlookup(E9423,DATABASE!C:Q,10,false)*F9423)</f>
        <v>5000</v>
      </c>
      <c r="K9423" s="74">
        <f>VLOOKUP(E9423,DATABASE!C:Q,7,false)</f>
        <v>0</v>
      </c>
      <c r="L9423" s="74">
        <v>0.0</v>
      </c>
      <c r="M9423" s="74">
        <f t="shared" si="6"/>
        <v>0</v>
      </c>
      <c r="N9423" s="74">
        <f t="shared" si="3"/>
        <v>125000</v>
      </c>
      <c r="O9423" s="65" t="str">
        <f>VLOOKUP(E9423,DATABASE!C:Q,8,false)</f>
        <v>IBU</v>
      </c>
      <c r="P9423" s="65">
        <f>VLOOKUP(E9423,DATABASE!C:Q,9,False)</f>
        <v>0</v>
      </c>
      <c r="Q9423" s="93" t="str">
        <f>VLOOKUP(E9423,DATABASE!C:Q,4,false)</f>
        <v>SPOORING SS/CARRY LOS BAK</v>
      </c>
      <c r="R9423" s="93" t="str">
        <f>VLOOKUP(E9423,DATABASE!C:Q,11,false)</f>
        <v>SERVICE</v>
      </c>
    </row>
    <row r="9424" ht="22.5" customHeight="1">
      <c r="A9424" s="49"/>
      <c r="C9424" s="400">
        <v>46212.0</v>
      </c>
      <c r="D9424" s="524">
        <v>283.0</v>
      </c>
      <c r="E9424" s="544" t="s">
        <v>251</v>
      </c>
      <c r="F9424" s="387">
        <v>1.0</v>
      </c>
      <c r="G9424" s="140">
        <v>350000.0</v>
      </c>
      <c r="H9424" s="140">
        <v>230000.0</v>
      </c>
      <c r="I9424" s="74">
        <f t="shared" si="1"/>
        <v>120000</v>
      </c>
      <c r="J9424" s="74">
        <f>IF(E9424="SERVICE",I9424-(I9424*50%),Vlookup(E9424,DATABASE!C:Q,10,false)*F9424)</f>
        <v>60000</v>
      </c>
      <c r="K9424" s="74">
        <f>VLOOKUP(E9424,DATABASE!C:Q,7,false)</f>
        <v>0</v>
      </c>
      <c r="L9424" s="74">
        <v>0.0</v>
      </c>
      <c r="M9424" s="74">
        <f t="shared" si="6"/>
        <v>0</v>
      </c>
      <c r="N9424" s="74">
        <f t="shared" si="3"/>
        <v>60000</v>
      </c>
      <c r="O9424" s="65" t="str">
        <f>VLOOKUP(E9424,DATABASE!C:Q,8,false)</f>
        <v>IBU</v>
      </c>
      <c r="P9424" s="65">
        <f>VLOOKUP(E9424,DATABASE!C:Q,9,False)</f>
        <v>0</v>
      </c>
      <c r="Q9424" s="93" t="str">
        <f>VLOOKUP(E9424,DATABASE!C:Q,4,false)</f>
        <v>SERVICE</v>
      </c>
      <c r="R9424" s="93" t="str">
        <f>VLOOKUP(E9424,DATABASE!C:Q,11,false)</f>
        <v>SERVICE</v>
      </c>
    </row>
    <row r="9425" ht="22.5" customHeight="1">
      <c r="A9425" s="49"/>
      <c r="C9425" s="400">
        <v>46212.0</v>
      </c>
      <c r="D9425" s="524">
        <v>284.0</v>
      </c>
      <c r="E9425" s="544" t="s">
        <v>604</v>
      </c>
      <c r="F9425" s="387">
        <v>1.0</v>
      </c>
      <c r="G9425" s="140">
        <v>170000.0</v>
      </c>
      <c r="H9425" s="140">
        <v>10000.0</v>
      </c>
      <c r="I9425" s="74">
        <f t="shared" si="1"/>
        <v>160000</v>
      </c>
      <c r="J9425" s="74">
        <f>IF(E9425="SERVICE",I9425-(I9425*50%),Vlookup(E9425,DATABASE!C:Q,10,false)*F9425)</f>
        <v>0</v>
      </c>
      <c r="K9425" s="74">
        <f>VLOOKUP(E9425,DATABASE!C:Q,7,false)</f>
        <v>124000</v>
      </c>
      <c r="L9425" s="74">
        <v>124000.0</v>
      </c>
      <c r="M9425" s="74">
        <f t="shared" si="6"/>
        <v>125000</v>
      </c>
      <c r="N9425" s="74">
        <f t="shared" si="3"/>
        <v>35000</v>
      </c>
      <c r="O9425" s="65" t="str">
        <f>VLOOKUP(E9425,DATABASE!C:Q,8,false)</f>
        <v>BIAN</v>
      </c>
      <c r="P9425" s="65">
        <f>VLOOKUP(E9425,DATABASE!C:Q,9,False)</f>
        <v>1</v>
      </c>
      <c r="Q9425" s="93" t="str">
        <f>VLOOKUP(E9425,DATABASE!C:Q,4,false)</f>
        <v>BD</v>
      </c>
      <c r="R9425" s="93" t="str">
        <f>VLOOKUP(E9425,DATABASE!C:Q,11,false)</f>
        <v>Tire</v>
      </c>
    </row>
    <row r="9426" ht="22.5" customHeight="1">
      <c r="A9426" s="49"/>
      <c r="C9426" s="400">
        <v>46212.0</v>
      </c>
      <c r="D9426" s="69">
        <v>285.0</v>
      </c>
      <c r="E9426" s="544" t="s">
        <v>256</v>
      </c>
      <c r="F9426" s="387">
        <v>1.0</v>
      </c>
      <c r="G9426" s="140">
        <v>150000.0</v>
      </c>
      <c r="H9426" s="74"/>
      <c r="I9426" s="74">
        <f t="shared" si="1"/>
        <v>150000</v>
      </c>
      <c r="J9426" s="74">
        <f>IF(E9426="SERVICE",I9426-(I9426*50%),Vlookup(E9426,DATABASE!C:Q,10,false)*F9426)</f>
        <v>10000</v>
      </c>
      <c r="K9426" s="74">
        <f>VLOOKUP(E9426,DATABASE!C:Q,7,false)</f>
        <v>0</v>
      </c>
      <c r="L9426" s="74">
        <v>0.0</v>
      </c>
      <c r="M9426" s="74">
        <f t="shared" si="6"/>
        <v>0</v>
      </c>
      <c r="N9426" s="74">
        <f t="shared" si="3"/>
        <v>140000</v>
      </c>
      <c r="O9426" s="65" t="str">
        <f>VLOOKUP(E9426,DATABASE!C:Q,8,false)</f>
        <v>IBU</v>
      </c>
      <c r="P9426" s="65">
        <f>VLOOKUP(E9426,DATABASE!C:Q,9,False)</f>
        <v>0</v>
      </c>
      <c r="Q9426" s="93" t="str">
        <f>VLOOKUP(E9426,DATABASE!C:Q,4,false)</f>
        <v>SPOORING</v>
      </c>
      <c r="R9426" s="93" t="str">
        <f>VLOOKUP(E9426,DATABASE!C:Q,11,false)</f>
        <v>SERVICE</v>
      </c>
    </row>
    <row r="9427" ht="22.5" customHeight="1">
      <c r="A9427" s="49"/>
      <c r="C9427" s="400">
        <v>46212.0</v>
      </c>
      <c r="D9427" s="69">
        <v>285.0</v>
      </c>
      <c r="E9427" s="544" t="s">
        <v>251</v>
      </c>
      <c r="F9427" s="387">
        <v>1.0</v>
      </c>
      <c r="G9427" s="140">
        <v>130000.0</v>
      </c>
      <c r="H9427" s="74"/>
      <c r="I9427" s="74">
        <f t="shared" si="1"/>
        <v>130000</v>
      </c>
      <c r="J9427" s="74">
        <f>IF(E9427="SERVICE",I9427-(I9427*50%),Vlookup(E9427,DATABASE!C:Q,10,false)*F9427)</f>
        <v>65000</v>
      </c>
      <c r="K9427" s="74">
        <f>VLOOKUP(E9427,DATABASE!C:Q,7,false)</f>
        <v>0</v>
      </c>
      <c r="L9427" s="74">
        <v>0.0</v>
      </c>
      <c r="M9427" s="74">
        <f t="shared" si="6"/>
        <v>0</v>
      </c>
      <c r="N9427" s="74">
        <f t="shared" si="3"/>
        <v>65000</v>
      </c>
      <c r="O9427" s="65" t="str">
        <f>VLOOKUP(E9427,DATABASE!C:Q,8,false)</f>
        <v>IBU</v>
      </c>
      <c r="P9427" s="65">
        <f>VLOOKUP(E9427,DATABASE!C:Q,9,False)</f>
        <v>0</v>
      </c>
      <c r="Q9427" s="93" t="str">
        <f>VLOOKUP(E9427,DATABASE!C:Q,4,false)</f>
        <v>SERVICE</v>
      </c>
      <c r="R9427" s="93" t="str">
        <f>VLOOKUP(E9427,DATABASE!C:Q,11,false)</f>
        <v>SERVICE</v>
      </c>
    </row>
    <row r="9428" ht="22.5" customHeight="1">
      <c r="A9428" s="49"/>
      <c r="C9428" s="400">
        <v>46212.0</v>
      </c>
      <c r="D9428" s="524">
        <v>286.0</v>
      </c>
      <c r="E9428" s="544" t="s">
        <v>271</v>
      </c>
      <c r="F9428" s="387">
        <v>2.0</v>
      </c>
      <c r="G9428" s="140">
        <v>640000.0</v>
      </c>
      <c r="H9428" s="74"/>
      <c r="I9428" s="74">
        <f t="shared" si="1"/>
        <v>1280000</v>
      </c>
      <c r="J9428" s="74">
        <f>IF(E9428="SERVICE",I9428-(I9428*50%),Vlookup(E9428,DATABASE!C:Q,10,false)*F9428)</f>
        <v>0</v>
      </c>
      <c r="K9428" s="74">
        <f>VLOOKUP(E9428,DATABASE!C:Q,7,false)</f>
        <v>570000</v>
      </c>
      <c r="L9428" s="74">
        <v>550000.0</v>
      </c>
      <c r="M9428" s="74">
        <f t="shared" si="6"/>
        <v>550000</v>
      </c>
      <c r="N9428" s="74">
        <f t="shared" si="3"/>
        <v>180000</v>
      </c>
      <c r="O9428" s="65" t="str">
        <f>VLOOKUP(E9428,DATABASE!C:Q,8,false)</f>
        <v>IBU</v>
      </c>
      <c r="P9428" s="65">
        <f>VLOOKUP(E9428,DATABASE!C:Q,9,False)</f>
        <v>1</v>
      </c>
      <c r="Q9428" s="93" t="str">
        <f>VLOOKUP(E9428,DATABASE!C:Q,4,false)</f>
        <v>Dunlop</v>
      </c>
      <c r="R9428" s="93" t="str">
        <f>VLOOKUP(E9428,DATABASE!C:Q,11,false)</f>
        <v>Tire</v>
      </c>
    </row>
    <row r="9429" ht="22.5" customHeight="1">
      <c r="A9429" s="49"/>
      <c r="C9429" s="400">
        <v>46212.0</v>
      </c>
      <c r="D9429" s="524">
        <v>287.0</v>
      </c>
      <c r="E9429" s="544" t="s">
        <v>299</v>
      </c>
      <c r="F9429" s="387">
        <v>2.0</v>
      </c>
      <c r="G9429" s="140">
        <v>30000.0</v>
      </c>
      <c r="H9429" s="74"/>
      <c r="I9429" s="74">
        <f t="shared" si="1"/>
        <v>60000</v>
      </c>
      <c r="J9429" s="74">
        <f>IF(E9429="SERVICE",I9429-(I9429*50%),Vlookup(E9429,DATABASE!C:Q,10,false)*F9429)</f>
        <v>0</v>
      </c>
      <c r="K9429" s="74">
        <f>VLOOKUP(E9429,DATABASE!C:Q,7,false)</f>
        <v>10000</v>
      </c>
      <c r="L9429" s="74">
        <v>10000.0</v>
      </c>
      <c r="M9429" s="74">
        <f t="shared" si="6"/>
        <v>10000</v>
      </c>
      <c r="N9429" s="74">
        <f t="shared" si="3"/>
        <v>40000</v>
      </c>
      <c r="O9429" s="65" t="str">
        <f>VLOOKUP(E9429,DATABASE!C:Q,8,false)</f>
        <v>BIAN</v>
      </c>
      <c r="P9429" s="65">
        <f>VLOOKUP(E9429,DATABASE!C:Q,9,False)</f>
        <v>0</v>
      </c>
      <c r="Q9429" s="93" t="str">
        <f>VLOOKUP(E9429,DATABASE!C:Q,4,false)</f>
        <v>Balancing</v>
      </c>
      <c r="R9429" s="93" t="str">
        <f>VLOOKUP(E9429,DATABASE!C:Q,11,false)</f>
        <v>COMPLEMENTARY</v>
      </c>
    </row>
    <row r="9430" ht="22.5" customHeight="1">
      <c r="A9430" s="49"/>
      <c r="C9430" s="400">
        <v>46212.0</v>
      </c>
      <c r="D9430" s="524">
        <v>288.0</v>
      </c>
      <c r="E9430" s="544" t="s">
        <v>246</v>
      </c>
      <c r="F9430" s="387">
        <v>2.0</v>
      </c>
      <c r="G9430" s="140">
        <v>35000.0</v>
      </c>
      <c r="H9430" s="140">
        <v>10000.0</v>
      </c>
      <c r="I9430" s="74">
        <f t="shared" si="1"/>
        <v>50000</v>
      </c>
      <c r="J9430" s="74">
        <f>IF(E9430="SERVICE",I9430-(I9430*50%),Vlookup(E9430,DATABASE!C:Q,10,false)*F9430)</f>
        <v>0</v>
      </c>
      <c r="K9430" s="74">
        <f>VLOOKUP(E9430,DATABASE!C:Q,7,false)</f>
        <v>0</v>
      </c>
      <c r="L9430" s="140">
        <v>0.0</v>
      </c>
      <c r="M9430" s="74">
        <f t="shared" si="6"/>
        <v>0</v>
      </c>
      <c r="N9430" s="74">
        <f t="shared" si="3"/>
        <v>50000</v>
      </c>
      <c r="O9430" s="65" t="str">
        <f>VLOOKUP(E9430,DATABASE!C:Q,8,false)</f>
        <v>IBU</v>
      </c>
      <c r="P9430" s="65">
        <f>VLOOKUP(E9430,DATABASE!C:Q,9,False)</f>
        <v>0</v>
      </c>
      <c r="Q9430" s="93" t="str">
        <f>VLOOKUP(E9430,DATABASE!C:Q,4,false)</f>
        <v>Bongkar Pasang</v>
      </c>
      <c r="R9430" s="93" t="str">
        <f>VLOOKUP(E9430,DATABASE!C:Q,11,false)</f>
        <v>SERVICE</v>
      </c>
    </row>
    <row r="9431" ht="22.5" customHeight="1">
      <c r="A9431" s="49"/>
      <c r="C9431" s="400">
        <v>46212.0</v>
      </c>
      <c r="D9431" s="524">
        <v>289.0</v>
      </c>
      <c r="E9431" s="544" t="s">
        <v>2015</v>
      </c>
      <c r="F9431" s="387">
        <v>2.0</v>
      </c>
      <c r="G9431" s="140">
        <v>900000.0</v>
      </c>
      <c r="H9431" s="74"/>
      <c r="I9431" s="74">
        <f t="shared" si="1"/>
        <v>1800000</v>
      </c>
      <c r="J9431" s="74">
        <f>IF(E9431="SERVICE",I9431-(I9431*50%),Vlookup(E9431,DATABASE!C:Q,10,false)*F9431)</f>
        <v>0</v>
      </c>
      <c r="K9431" s="74">
        <f>VLOOKUP(E9431,DATABASE!C:Q,7,false)</f>
        <v>774000</v>
      </c>
      <c r="L9431" s="74">
        <v>750700.0</v>
      </c>
      <c r="M9431" s="74">
        <f t="shared" si="6"/>
        <v>755000</v>
      </c>
      <c r="N9431" s="74">
        <f t="shared" si="3"/>
        <v>290000</v>
      </c>
      <c r="O9431" s="65" t="str">
        <f>VLOOKUP(E9431,DATABASE!C:Q,8,false)</f>
        <v>BIAN</v>
      </c>
      <c r="P9431" s="65">
        <f>VLOOKUP(E9431,DATABASE!C:Q,9,False)</f>
        <v>1</v>
      </c>
      <c r="Q9431" s="93" t="str">
        <f>VLOOKUP(E9431,DATABASE!C:Q,4,false)</f>
        <v>GT</v>
      </c>
      <c r="R9431" s="93" t="str">
        <f>VLOOKUP(E9431,DATABASE!C:Q,11,false)</f>
        <v>Tire</v>
      </c>
    </row>
    <row r="9432" ht="22.5" customHeight="1">
      <c r="A9432" s="49"/>
      <c r="C9432" s="400">
        <v>46212.0</v>
      </c>
      <c r="D9432" s="524">
        <v>289.0</v>
      </c>
      <c r="E9432" s="544" t="s">
        <v>795</v>
      </c>
      <c r="F9432" s="387">
        <v>1.0</v>
      </c>
      <c r="G9432" s="140">
        <v>170000.0</v>
      </c>
      <c r="H9432" s="74"/>
      <c r="I9432" s="74">
        <f t="shared" si="1"/>
        <v>170000</v>
      </c>
      <c r="J9432" s="74">
        <f>IF(E9432="SERVICE",I9432-(I9432*50%),Vlookup(E9432,DATABASE!C:Q,10,false)*F9432)</f>
        <v>0</v>
      </c>
      <c r="K9432" s="74">
        <f>VLOOKUP(E9432,DATABASE!C:Q,7,false)</f>
        <v>123000</v>
      </c>
      <c r="L9432" s="74">
        <v>120000.0</v>
      </c>
      <c r="M9432" s="74">
        <f t="shared" si="6"/>
        <v>120000</v>
      </c>
      <c r="N9432" s="74">
        <f t="shared" si="3"/>
        <v>50000</v>
      </c>
      <c r="O9432" s="65" t="str">
        <f>VLOOKUP(E9432,DATABASE!C:Q,8,false)</f>
        <v>BIAN</v>
      </c>
      <c r="P9432" s="65">
        <f>VLOOKUP(E9432,DATABASE!C:Q,9,False)</f>
        <v>1</v>
      </c>
      <c r="Q9432" s="93" t="str">
        <f>VLOOKUP(E9432,DATABASE!C:Q,4,false)</f>
        <v>BD</v>
      </c>
      <c r="R9432" s="93" t="str">
        <f>VLOOKUP(E9432,DATABASE!C:Q,11,false)</f>
        <v>Tire</v>
      </c>
    </row>
    <row r="9433" ht="22.5" customHeight="1">
      <c r="A9433" s="49"/>
      <c r="C9433" s="400">
        <v>46212.0</v>
      </c>
      <c r="D9433" s="524">
        <v>290.0</v>
      </c>
      <c r="E9433" s="544" t="s">
        <v>268</v>
      </c>
      <c r="F9433" s="387">
        <v>2.0</v>
      </c>
      <c r="G9433" s="140">
        <v>720000.0</v>
      </c>
      <c r="H9433" s="74"/>
      <c r="I9433" s="74">
        <f t="shared" si="1"/>
        <v>1440000</v>
      </c>
      <c r="J9433" s="74">
        <f>IF(E9433="SERVICE",I9433-(I9433*50%),Vlookup(E9433,DATABASE!C:Q,10,false)*F9433)</f>
        <v>0</v>
      </c>
      <c r="K9433" s="74">
        <f>VLOOKUP(E9433,DATABASE!C:Q,7,false)</f>
        <v>653000</v>
      </c>
      <c r="L9433" s="74">
        <v>634500.0</v>
      </c>
      <c r="M9433" s="74">
        <f t="shared" si="6"/>
        <v>635000</v>
      </c>
      <c r="N9433" s="74">
        <f t="shared" si="3"/>
        <v>170000</v>
      </c>
      <c r="O9433" s="65" t="str">
        <f>VLOOKUP(E9433,DATABASE!C:Q,8,false)</f>
        <v>IBU</v>
      </c>
      <c r="P9433" s="65">
        <f>VLOOKUP(E9433,DATABASE!C:Q,9,False)</f>
        <v>1</v>
      </c>
      <c r="Q9433" s="93" t="str">
        <f>VLOOKUP(E9433,DATABASE!C:Q,4,false)</f>
        <v>Dunlop</v>
      </c>
      <c r="R9433" s="93" t="str">
        <f>VLOOKUP(E9433,DATABASE!C:Q,11,false)</f>
        <v>Tire</v>
      </c>
    </row>
    <row r="9434" ht="22.5" customHeight="1">
      <c r="A9434" s="49"/>
      <c r="C9434" s="400">
        <v>46212.0</v>
      </c>
      <c r="D9434" s="524">
        <v>291.0</v>
      </c>
      <c r="E9434" s="544" t="s">
        <v>268</v>
      </c>
      <c r="F9434" s="387">
        <v>1.0</v>
      </c>
      <c r="G9434" s="140">
        <v>720000.0</v>
      </c>
      <c r="H9434" s="74"/>
      <c r="I9434" s="74">
        <f t="shared" si="1"/>
        <v>720000</v>
      </c>
      <c r="J9434" s="74">
        <f>IF(E9434="SERVICE",I9434-(I9434*50%),Vlookup(E9434,DATABASE!C:Q,10,false)*F9434)</f>
        <v>0</v>
      </c>
      <c r="K9434" s="74">
        <f>VLOOKUP(E9434,DATABASE!C:Q,7,false)</f>
        <v>653000</v>
      </c>
      <c r="L9434" s="74">
        <v>634500.0</v>
      </c>
      <c r="M9434" s="74">
        <f t="shared" si="6"/>
        <v>635000</v>
      </c>
      <c r="N9434" s="74">
        <f t="shared" si="3"/>
        <v>85000</v>
      </c>
      <c r="O9434" s="65" t="str">
        <f>VLOOKUP(E9434,DATABASE!C:Q,8,false)</f>
        <v>IBU</v>
      </c>
      <c r="P9434" s="65">
        <f>VLOOKUP(E9434,DATABASE!C:Q,9,False)</f>
        <v>1</v>
      </c>
      <c r="Q9434" s="93" t="str">
        <f>VLOOKUP(E9434,DATABASE!C:Q,4,false)</f>
        <v>Dunlop</v>
      </c>
      <c r="R9434" s="93" t="str">
        <f>VLOOKUP(E9434,DATABASE!C:Q,11,false)</f>
        <v>Tire</v>
      </c>
    </row>
    <row r="9435" ht="22.5" customHeight="1">
      <c r="A9435" s="49"/>
      <c r="C9435" s="400">
        <v>46212.0</v>
      </c>
      <c r="D9435" s="524">
        <v>292.0</v>
      </c>
      <c r="E9435" s="544" t="s">
        <v>250</v>
      </c>
      <c r="F9435" s="387">
        <v>1.0</v>
      </c>
      <c r="G9435" s="140">
        <v>135000.0</v>
      </c>
      <c r="H9435" s="74"/>
      <c r="I9435" s="74">
        <f t="shared" si="1"/>
        <v>135000</v>
      </c>
      <c r="J9435" s="74">
        <f>IF(E9435="SERVICE",I9435-(I9435*50%),Vlookup(E9435,DATABASE!C:Q,10,false)*F9435)</f>
        <v>0</v>
      </c>
      <c r="K9435" s="74">
        <f>VLOOKUP(E9435,DATABASE!C:Q,7,false)</f>
        <v>102000</v>
      </c>
      <c r="L9435" s="74">
        <v>102000.0</v>
      </c>
      <c r="M9435" s="74">
        <f t="shared" si="6"/>
        <v>105000</v>
      </c>
      <c r="N9435" s="74">
        <f t="shared" si="3"/>
        <v>30000</v>
      </c>
      <c r="O9435" s="65" t="str">
        <f>VLOOKUP(E9435,DATABASE!C:Q,8,false)</f>
        <v>BIAN</v>
      </c>
      <c r="P9435" s="65">
        <f>VLOOKUP(E9435,DATABASE!C:Q,9,False)</f>
        <v>1</v>
      </c>
      <c r="Q9435" s="93" t="str">
        <f>VLOOKUP(E9435,DATABASE!C:Q,4,false)</f>
        <v>BD</v>
      </c>
      <c r="R9435" s="93" t="str">
        <f>VLOOKUP(E9435,DATABASE!C:Q,11,false)</f>
        <v>Tire</v>
      </c>
    </row>
    <row r="9436" ht="22.5" customHeight="1">
      <c r="A9436" s="49"/>
      <c r="C9436" s="400">
        <v>46212.0</v>
      </c>
      <c r="D9436" s="524">
        <v>293.0</v>
      </c>
      <c r="E9436" s="544" t="s">
        <v>256</v>
      </c>
      <c r="F9436" s="387">
        <v>1.0</v>
      </c>
      <c r="G9436" s="140">
        <v>175000.0</v>
      </c>
      <c r="H9436" s="140">
        <v>25000.0</v>
      </c>
      <c r="I9436" s="74">
        <f t="shared" si="1"/>
        <v>150000</v>
      </c>
      <c r="J9436" s="74">
        <f>IF(E9436="SERVICE",I9436-(I9436*50%),Vlookup(E9436,DATABASE!C:Q,10,false)*F9436)</f>
        <v>10000</v>
      </c>
      <c r="K9436" s="74">
        <f>VLOOKUP(E9436,DATABASE!C:Q,7,false)</f>
        <v>0</v>
      </c>
      <c r="L9436" s="74">
        <v>0.0</v>
      </c>
      <c r="M9436" s="74">
        <f t="shared" si="6"/>
        <v>0</v>
      </c>
      <c r="N9436" s="74">
        <f t="shared" si="3"/>
        <v>140000</v>
      </c>
      <c r="O9436" s="65" t="str">
        <f>VLOOKUP(E9436,DATABASE!C:Q,8,false)</f>
        <v>IBU</v>
      </c>
      <c r="P9436" s="65">
        <f>VLOOKUP(E9436,DATABASE!C:Q,9,False)</f>
        <v>0</v>
      </c>
      <c r="Q9436" s="93" t="str">
        <f>VLOOKUP(E9436,DATABASE!C:Q,4,false)</f>
        <v>SPOORING</v>
      </c>
      <c r="R9436" s="93" t="str">
        <f>VLOOKUP(E9436,DATABASE!C:Q,11,false)</f>
        <v>SERVICE</v>
      </c>
    </row>
    <row r="9437" ht="22.5" customHeight="1">
      <c r="A9437" s="49"/>
      <c r="C9437" s="400">
        <v>46212.0</v>
      </c>
      <c r="D9437" s="524">
        <v>293.0</v>
      </c>
      <c r="E9437" s="544" t="s">
        <v>251</v>
      </c>
      <c r="F9437" s="387">
        <v>1.0</v>
      </c>
      <c r="G9437" s="140">
        <v>350000.0</v>
      </c>
      <c r="H9437" s="140">
        <v>200000.0</v>
      </c>
      <c r="I9437" s="74">
        <f t="shared" si="1"/>
        <v>150000</v>
      </c>
      <c r="J9437" s="74">
        <f>IF(E9437="SERVICE",I9437-(I9437*50%),Vlookup(E9437,DATABASE!C:Q,10,false)*F9437)</f>
        <v>75000</v>
      </c>
      <c r="K9437" s="74">
        <f>VLOOKUP(E9437,DATABASE!C:Q,7,false)</f>
        <v>0</v>
      </c>
      <c r="L9437" s="74">
        <v>0.0</v>
      </c>
      <c r="M9437" s="74">
        <f t="shared" si="6"/>
        <v>0</v>
      </c>
      <c r="N9437" s="74">
        <f t="shared" si="3"/>
        <v>75000</v>
      </c>
      <c r="O9437" s="65" t="str">
        <f>VLOOKUP(E9437,DATABASE!C:Q,8,false)</f>
        <v>IBU</v>
      </c>
      <c r="P9437" s="65">
        <f>VLOOKUP(E9437,DATABASE!C:Q,9,False)</f>
        <v>0</v>
      </c>
      <c r="Q9437" s="93" t="str">
        <f>VLOOKUP(E9437,DATABASE!C:Q,4,false)</f>
        <v>SERVICE</v>
      </c>
      <c r="R9437" s="93" t="str">
        <f>VLOOKUP(E9437,DATABASE!C:Q,11,false)</f>
        <v>SERVICE</v>
      </c>
    </row>
    <row r="9438" ht="22.5" customHeight="1">
      <c r="A9438" s="49"/>
      <c r="C9438" s="400">
        <v>46212.0</v>
      </c>
      <c r="D9438" s="524">
        <v>293.0</v>
      </c>
      <c r="E9438" s="544" t="s">
        <v>299</v>
      </c>
      <c r="F9438" s="387">
        <v>2.0</v>
      </c>
      <c r="G9438" s="140">
        <v>30000.0</v>
      </c>
      <c r="H9438" s="74"/>
      <c r="I9438" s="74">
        <f t="shared" si="1"/>
        <v>60000</v>
      </c>
      <c r="J9438" s="74">
        <f>IF(E9438="SERVICE",I9438-(I9438*50%),Vlookup(E9438,DATABASE!C:Q,10,false)*F9438)</f>
        <v>0</v>
      </c>
      <c r="K9438" s="74">
        <f>VLOOKUP(E9438,DATABASE!C:Q,7,false)</f>
        <v>10000</v>
      </c>
      <c r="L9438" s="74">
        <v>10000.0</v>
      </c>
      <c r="M9438" s="74">
        <f t="shared" si="6"/>
        <v>10000</v>
      </c>
      <c r="N9438" s="74">
        <f t="shared" si="3"/>
        <v>40000</v>
      </c>
      <c r="O9438" s="65" t="str">
        <f>VLOOKUP(E9438,DATABASE!C:Q,8,false)</f>
        <v>BIAN</v>
      </c>
      <c r="P9438" s="65">
        <f>VLOOKUP(E9438,DATABASE!C:Q,9,False)</f>
        <v>0</v>
      </c>
      <c r="Q9438" s="93" t="str">
        <f>VLOOKUP(E9438,DATABASE!C:Q,4,false)</f>
        <v>Balancing</v>
      </c>
      <c r="R9438" s="93" t="str">
        <f>VLOOKUP(E9438,DATABASE!C:Q,11,false)</f>
        <v>COMPLEMENTARY</v>
      </c>
    </row>
    <row r="9439" ht="22.5" customHeight="1">
      <c r="A9439" s="49"/>
      <c r="C9439" s="400">
        <v>46212.0</v>
      </c>
      <c r="D9439" s="524">
        <v>293.0</v>
      </c>
      <c r="E9439" s="544" t="s">
        <v>2199</v>
      </c>
      <c r="F9439" s="387">
        <v>1.0</v>
      </c>
      <c r="G9439" s="140">
        <v>20000.0</v>
      </c>
      <c r="H9439" s="74"/>
      <c r="I9439" s="74">
        <f t="shared" si="1"/>
        <v>20000</v>
      </c>
      <c r="J9439" s="74">
        <f>IF(E9439="SERVICE",I9439-(I9439*50%),Vlookup(E9439,DATABASE!C:Q,10,false)*F9439)</f>
        <v>0</v>
      </c>
      <c r="K9439" s="74">
        <f>VLOOKUP(E9439,DATABASE!C:Q,7,false)</f>
        <v>5000</v>
      </c>
      <c r="L9439" s="74">
        <v>5000.0</v>
      </c>
      <c r="M9439" s="74">
        <f t="shared" si="6"/>
        <v>5000</v>
      </c>
      <c r="N9439" s="74">
        <f t="shared" si="3"/>
        <v>15000</v>
      </c>
      <c r="O9439" s="65" t="str">
        <f>VLOOKUP(E9439,DATABASE!C:Q,8,false)</f>
        <v>BIAN</v>
      </c>
      <c r="P9439" s="65">
        <f>VLOOKUP(E9439,DATABASE!C:Q,9,False)</f>
        <v>0</v>
      </c>
      <c r="Q9439" s="93" t="str">
        <f>VLOOKUP(E9439,DATABASE!C:Q,4,false)</f>
        <v>TAMBAL TUBLES</v>
      </c>
      <c r="R9439" s="93" t="str">
        <f>VLOOKUP(E9439,DATABASE!C:Q,11,false)</f>
        <v>COMPLEMENTARY</v>
      </c>
    </row>
    <row r="9440" ht="22.5" customHeight="1">
      <c r="A9440" s="49"/>
      <c r="C9440" s="400">
        <v>46213.0</v>
      </c>
      <c r="D9440" s="524">
        <v>294.0</v>
      </c>
      <c r="E9440" s="544" t="s">
        <v>2037</v>
      </c>
      <c r="F9440" s="387">
        <v>2.0</v>
      </c>
      <c r="G9440" s="140">
        <v>2650000.0</v>
      </c>
      <c r="H9440" s="140">
        <v>20000.0</v>
      </c>
      <c r="I9440" s="74">
        <f t="shared" si="1"/>
        <v>5260000</v>
      </c>
      <c r="J9440" s="74">
        <f>IF(E9440="SERVICE",I9440-(I9440*50%),Vlookup(E9440,DATABASE!C:Q,10,false)*F9440)</f>
        <v>0</v>
      </c>
      <c r="K9440" s="74">
        <f>VLOOKUP(E9440,DATABASE!C:Q,7,false)</f>
        <v>2575000</v>
      </c>
      <c r="L9440" s="140">
        <v>2475000.0</v>
      </c>
      <c r="M9440" s="74">
        <f t="shared" si="6"/>
        <v>2475000</v>
      </c>
      <c r="N9440" s="74">
        <f t="shared" si="3"/>
        <v>310000</v>
      </c>
      <c r="O9440" s="65" t="str">
        <f>VLOOKUP(E9440,DATABASE!C:Q,8,false)</f>
        <v>BIAN</v>
      </c>
      <c r="P9440" s="65">
        <f>VLOOKUP(E9440,DATABASE!C:Q,9,False)</f>
        <v>1</v>
      </c>
      <c r="Q9440" s="93" t="str">
        <f>VLOOKUP(E9440,DATABASE!C:Q,4,false)</f>
        <v>GT</v>
      </c>
      <c r="R9440" s="93" t="str">
        <f>VLOOKUP(E9440,DATABASE!C:Q,11,false)</f>
        <v>Tire</v>
      </c>
    </row>
    <row r="9441" ht="22.5" customHeight="1">
      <c r="A9441" s="49"/>
      <c r="C9441" s="400">
        <v>46213.0</v>
      </c>
      <c r="D9441" s="524">
        <v>294.0</v>
      </c>
      <c r="E9441" s="544" t="s">
        <v>295</v>
      </c>
      <c r="F9441" s="387">
        <v>2.0</v>
      </c>
      <c r="G9441" s="140">
        <v>1580000.0</v>
      </c>
      <c r="H9441" s="140">
        <v>20000.0</v>
      </c>
      <c r="I9441" s="74">
        <f t="shared" si="1"/>
        <v>3120000</v>
      </c>
      <c r="J9441" s="74">
        <f>IF(E9441="SERVICE",I9441-(I9441*50%),Vlookup(E9441,DATABASE!C:Q,10,false)*F9441)</f>
        <v>0</v>
      </c>
      <c r="K9441" s="74">
        <f>VLOOKUP(E9441,DATABASE!C:Q,7,false)</f>
        <v>1475000</v>
      </c>
      <c r="L9441" s="140">
        <v>1475000.0</v>
      </c>
      <c r="M9441" s="74">
        <f t="shared" si="6"/>
        <v>1475000</v>
      </c>
      <c r="N9441" s="74">
        <f t="shared" si="3"/>
        <v>170000</v>
      </c>
      <c r="O9441" s="65" t="str">
        <f>VLOOKUP(E9441,DATABASE!C:Q,8,false)</f>
        <v>BIAN</v>
      </c>
      <c r="P9441" s="65">
        <f>VLOOKUP(E9441,DATABASE!C:Q,9,False)</f>
        <v>1</v>
      </c>
      <c r="Q9441" s="93" t="str">
        <f>VLOOKUP(E9441,DATABASE!C:Q,4,false)</f>
        <v>TIRON</v>
      </c>
      <c r="R9441" s="93" t="str">
        <f>VLOOKUP(E9441,DATABASE!C:Q,11,false)</f>
        <v>Tire</v>
      </c>
    </row>
    <row r="9442" ht="22.5" customHeight="1">
      <c r="A9442" s="49"/>
      <c r="C9442" s="400">
        <v>46213.0</v>
      </c>
      <c r="D9442" s="524">
        <v>295.0</v>
      </c>
      <c r="E9442" s="544" t="s">
        <v>262</v>
      </c>
      <c r="F9442" s="387">
        <v>1.0</v>
      </c>
      <c r="G9442" s="140">
        <v>130000.0</v>
      </c>
      <c r="H9442" s="74"/>
      <c r="I9442" s="74">
        <f t="shared" si="1"/>
        <v>130000</v>
      </c>
      <c r="J9442" s="74">
        <f>IF(E9442="SERVICE",I9442-(I9442*50%),Vlookup(E9442,DATABASE!C:Q,10,false)*F9442)</f>
        <v>5000</v>
      </c>
      <c r="K9442" s="74">
        <f>VLOOKUP(E9442,DATABASE!C:Q,7,false)</f>
        <v>0</v>
      </c>
      <c r="L9442" s="74">
        <v>0.0</v>
      </c>
      <c r="M9442" s="74">
        <f t="shared" si="6"/>
        <v>0</v>
      </c>
      <c r="N9442" s="74">
        <f t="shared" si="3"/>
        <v>125000</v>
      </c>
      <c r="O9442" s="65" t="str">
        <f>VLOOKUP(E9442,DATABASE!C:Q,8,false)</f>
        <v>IBU</v>
      </c>
      <c r="P9442" s="65">
        <f>VLOOKUP(E9442,DATABASE!C:Q,9,False)</f>
        <v>0</v>
      </c>
      <c r="Q9442" s="93" t="str">
        <f>VLOOKUP(E9442,DATABASE!C:Q,4,false)</f>
        <v>SPOORING SS/CARRY LOS BAK</v>
      </c>
      <c r="R9442" s="93" t="str">
        <f>VLOOKUP(E9442,DATABASE!C:Q,11,false)</f>
        <v>SERVICE</v>
      </c>
    </row>
    <row r="9443" ht="22.5" customHeight="1">
      <c r="A9443" s="49"/>
      <c r="C9443" s="400">
        <v>46213.0</v>
      </c>
      <c r="D9443" s="69">
        <v>296.0</v>
      </c>
      <c r="E9443" s="544" t="s">
        <v>605</v>
      </c>
      <c r="F9443" s="387">
        <v>2.0</v>
      </c>
      <c r="G9443" s="140">
        <v>765000.0</v>
      </c>
      <c r="H9443" s="74"/>
      <c r="I9443" s="74">
        <f t="shared" si="1"/>
        <v>1530000</v>
      </c>
      <c r="J9443" s="74">
        <f>IF(E9443="SERVICE",I9443-(I9443*50%),Vlookup(E9443,DATABASE!C:Q,10,false)*F9443)</f>
        <v>0</v>
      </c>
      <c r="K9443" s="74">
        <f>VLOOKUP(E9443,DATABASE!C:Q,7,false)</f>
        <v>675000</v>
      </c>
      <c r="L9443" s="74">
        <v>675000.0</v>
      </c>
      <c r="M9443" s="74">
        <f t="shared" si="6"/>
        <v>675000</v>
      </c>
      <c r="N9443" s="74">
        <f t="shared" si="3"/>
        <v>180000</v>
      </c>
      <c r="O9443" s="65" t="str">
        <f>VLOOKUP(E9443,DATABASE!C:Q,8,false)</f>
        <v>IBU</v>
      </c>
      <c r="P9443" s="65">
        <f>VLOOKUP(E9443,DATABASE!C:Q,9,False)</f>
        <v>1</v>
      </c>
      <c r="Q9443" s="93" t="str">
        <f>VLOOKUP(E9443,DATABASE!C:Q,4,false)</f>
        <v>Bridgestone</v>
      </c>
      <c r="R9443" s="93" t="str">
        <f>VLOOKUP(E9443,DATABASE!C:Q,11,false)</f>
        <v>Tire</v>
      </c>
    </row>
    <row r="9444" ht="22.5" customHeight="1">
      <c r="A9444" s="49"/>
      <c r="C9444" s="400">
        <v>46213.0</v>
      </c>
      <c r="D9444" s="524">
        <v>297.0</v>
      </c>
      <c r="E9444" s="544" t="s">
        <v>268</v>
      </c>
      <c r="F9444" s="387">
        <v>2.0</v>
      </c>
      <c r="G9444" s="140">
        <v>720000.0</v>
      </c>
      <c r="H9444" s="140">
        <v>5000.0</v>
      </c>
      <c r="I9444" s="74">
        <f t="shared" si="1"/>
        <v>1430000</v>
      </c>
      <c r="J9444" s="74">
        <f>IF(E9444="SERVICE",I9444-(I9444*50%),Vlookup(E9444,DATABASE!C:Q,10,false)*F9444)</f>
        <v>0</v>
      </c>
      <c r="K9444" s="74">
        <f>VLOOKUP(E9444,DATABASE!C:Q,7,false)</f>
        <v>653000</v>
      </c>
      <c r="L9444" s="74">
        <v>634500.0</v>
      </c>
      <c r="M9444" s="74">
        <f t="shared" si="6"/>
        <v>635000</v>
      </c>
      <c r="N9444" s="74">
        <f t="shared" si="3"/>
        <v>160000</v>
      </c>
      <c r="O9444" s="65" t="str">
        <f>VLOOKUP(E9444,DATABASE!C:Q,8,false)</f>
        <v>IBU</v>
      </c>
      <c r="P9444" s="65">
        <f>VLOOKUP(E9444,DATABASE!C:Q,9,False)</f>
        <v>1</v>
      </c>
      <c r="Q9444" s="93" t="str">
        <f>VLOOKUP(E9444,DATABASE!C:Q,4,false)</f>
        <v>Dunlop</v>
      </c>
      <c r="R9444" s="93" t="str">
        <f>VLOOKUP(E9444,DATABASE!C:Q,11,false)</f>
        <v>Tire</v>
      </c>
    </row>
    <row r="9445" ht="22.5" customHeight="1">
      <c r="A9445" s="49"/>
      <c r="C9445" s="400">
        <v>46213.0</v>
      </c>
      <c r="D9445" s="524">
        <v>298.0</v>
      </c>
      <c r="E9445" s="544" t="s">
        <v>1940</v>
      </c>
      <c r="F9445" s="387">
        <v>4.0</v>
      </c>
      <c r="G9445" s="140">
        <v>875000.0</v>
      </c>
      <c r="H9445" s="74"/>
      <c r="I9445" s="74">
        <f t="shared" si="1"/>
        <v>3500000</v>
      </c>
      <c r="J9445" s="74">
        <f>IF(E9445="SERVICE",I9445-(I9445*50%),Vlookup(E9445,DATABASE!C:Q,10,false)*F9445)</f>
        <v>0</v>
      </c>
      <c r="K9445" s="74">
        <f>VLOOKUP(E9445,DATABASE!C:Q,7,false)</f>
        <v>775500</v>
      </c>
      <c r="L9445" s="74">
        <v>775500.0</v>
      </c>
      <c r="M9445" s="74">
        <f t="shared" si="6"/>
        <v>780000</v>
      </c>
      <c r="N9445" s="74">
        <f t="shared" si="3"/>
        <v>380000</v>
      </c>
      <c r="O9445" s="65" t="str">
        <f>VLOOKUP(E9445,DATABASE!C:Q,8,false)</f>
        <v>BIAN</v>
      </c>
      <c r="P9445" s="65">
        <f>VLOOKUP(E9445,DATABASE!C:Q,9,False)</f>
        <v>1</v>
      </c>
      <c r="Q9445" s="93" t="str">
        <f>VLOOKUP(E9445,DATABASE!C:Q,4,false)</f>
        <v>GT</v>
      </c>
      <c r="R9445" s="93" t="str">
        <f>VLOOKUP(E9445,DATABASE!C:Q,11,false)</f>
        <v>Tire</v>
      </c>
    </row>
    <row r="9446" ht="22.5" customHeight="1">
      <c r="A9446" s="49"/>
      <c r="C9446" s="400">
        <v>46213.0</v>
      </c>
      <c r="D9446" s="524">
        <v>298.0</v>
      </c>
      <c r="E9446" s="544" t="s">
        <v>299</v>
      </c>
      <c r="F9446" s="387">
        <v>2.0</v>
      </c>
      <c r="G9446" s="140">
        <v>30000.0</v>
      </c>
      <c r="H9446" s="140"/>
      <c r="I9446" s="74">
        <f t="shared" si="1"/>
        <v>60000</v>
      </c>
      <c r="J9446" s="74">
        <f>IF(E9446="SERVICE",I9446-(I9446*50%),Vlookup(E9446,DATABASE!C:Q,10,false)*F9446)</f>
        <v>0</v>
      </c>
      <c r="K9446" s="74">
        <f>VLOOKUP(E9446,DATABASE!C:Q,7,false)</f>
        <v>10000</v>
      </c>
      <c r="L9446" s="74">
        <v>10000.0</v>
      </c>
      <c r="M9446" s="74">
        <f t="shared" si="6"/>
        <v>10000</v>
      </c>
      <c r="N9446" s="74">
        <f t="shared" si="3"/>
        <v>40000</v>
      </c>
      <c r="O9446" s="65" t="str">
        <f>VLOOKUP(E9446,DATABASE!C:Q,8,false)</f>
        <v>BIAN</v>
      </c>
      <c r="P9446" s="65">
        <f>VLOOKUP(E9446,DATABASE!C:Q,9,False)</f>
        <v>0</v>
      </c>
      <c r="Q9446" s="93" t="str">
        <f>VLOOKUP(E9446,DATABASE!C:Q,4,false)</f>
        <v>Balancing</v>
      </c>
      <c r="R9446" s="93" t="str">
        <f>VLOOKUP(E9446,DATABASE!C:Q,11,false)</f>
        <v>COMPLEMENTARY</v>
      </c>
    </row>
    <row r="9447" ht="22.5" customHeight="1">
      <c r="A9447" s="49"/>
      <c r="C9447" s="400">
        <v>46213.0</v>
      </c>
      <c r="D9447" s="524">
        <v>298.0</v>
      </c>
      <c r="E9447" s="544" t="s">
        <v>256</v>
      </c>
      <c r="F9447" s="387">
        <v>1.0</v>
      </c>
      <c r="G9447" s="140">
        <v>175000.0</v>
      </c>
      <c r="H9447" s="140">
        <v>25000.0</v>
      </c>
      <c r="I9447" s="74">
        <f t="shared" si="1"/>
        <v>150000</v>
      </c>
      <c r="J9447" s="74">
        <f>IF(E9447="SERVICE",I9447-(I9447*50%),Vlookup(E9447,DATABASE!C:Q,10,false)*F9447)</f>
        <v>10000</v>
      </c>
      <c r="K9447" s="74">
        <f>VLOOKUP(E9447,DATABASE!C:Q,7,false)</f>
        <v>0</v>
      </c>
      <c r="L9447" s="74">
        <v>0.0</v>
      </c>
      <c r="M9447" s="74">
        <f t="shared" si="6"/>
        <v>0</v>
      </c>
      <c r="N9447" s="74">
        <f t="shared" si="3"/>
        <v>140000</v>
      </c>
      <c r="O9447" s="65" t="str">
        <f>VLOOKUP(E9447,DATABASE!C:Q,8,false)</f>
        <v>IBU</v>
      </c>
      <c r="P9447" s="65">
        <f>VLOOKUP(E9447,DATABASE!C:Q,9,False)</f>
        <v>0</v>
      </c>
      <c r="Q9447" s="93" t="str">
        <f>VLOOKUP(E9447,DATABASE!C:Q,4,false)</f>
        <v>SPOORING</v>
      </c>
      <c r="R9447" s="93" t="str">
        <f>VLOOKUP(E9447,DATABASE!C:Q,11,false)</f>
        <v>SERVICE</v>
      </c>
    </row>
    <row r="9448" ht="22.5" customHeight="1">
      <c r="A9448" s="49"/>
      <c r="C9448" s="400">
        <v>46213.0</v>
      </c>
      <c r="D9448" s="524">
        <v>298.0</v>
      </c>
      <c r="E9448" s="544" t="s">
        <v>301</v>
      </c>
      <c r="F9448" s="387">
        <v>1.0</v>
      </c>
      <c r="G9448" s="140">
        <v>250000.0</v>
      </c>
      <c r="H9448" s="74"/>
      <c r="I9448" s="74">
        <f t="shared" si="1"/>
        <v>250000</v>
      </c>
      <c r="J9448" s="74">
        <f>IF(E9448="SERVICE",I9448-(I9448*50%),Vlookup(E9448,DATABASE!C:Q,10,false)*F9448)</f>
        <v>75000</v>
      </c>
      <c r="K9448" s="74">
        <f>VLOOKUP(E9448,DATABASE!C:Q,7,false)</f>
        <v>75000</v>
      </c>
      <c r="L9448" s="74">
        <v>75000.0</v>
      </c>
      <c r="M9448" s="74">
        <f t="shared" si="6"/>
        <v>75000</v>
      </c>
      <c r="N9448" s="74">
        <f t="shared" si="3"/>
        <v>100000</v>
      </c>
      <c r="O9448" s="65" t="str">
        <f>VLOOKUP(E9448,DATABASE!C:Q,8,false)</f>
        <v>BIAN</v>
      </c>
      <c r="P9448" s="65">
        <f>VLOOKUP(E9448,DATABASE!C:Q,9,False)</f>
        <v>0</v>
      </c>
      <c r="Q9448" s="93" t="str">
        <f>VLOOKUP(E9448,DATABASE!C:Q,4,false)</f>
        <v>Baut Camber</v>
      </c>
      <c r="R9448" s="93" t="str">
        <f>VLOOKUP(E9448,DATABASE!C:Q,11,false)</f>
        <v>COMPLEMENTARY</v>
      </c>
    </row>
    <row r="9449" ht="22.5" customHeight="1">
      <c r="A9449" s="49"/>
      <c r="C9449" s="400">
        <v>46213.0</v>
      </c>
      <c r="D9449" s="524">
        <v>299.0</v>
      </c>
      <c r="E9449" s="544" t="s">
        <v>268</v>
      </c>
      <c r="F9449" s="387">
        <v>2.0</v>
      </c>
      <c r="G9449" s="140">
        <v>720000.0</v>
      </c>
      <c r="H9449" s="74"/>
      <c r="I9449" s="74">
        <f t="shared" si="1"/>
        <v>1440000</v>
      </c>
      <c r="J9449" s="74">
        <f>IF(E9449="SERVICE",I9449-(I9449*50%),Vlookup(E9449,DATABASE!C:Q,10,false)*F9449)</f>
        <v>0</v>
      </c>
      <c r="K9449" s="74">
        <f>VLOOKUP(E9449,DATABASE!C:Q,7,false)</f>
        <v>653000</v>
      </c>
      <c r="L9449" s="74">
        <v>634500.0</v>
      </c>
      <c r="M9449" s="74">
        <f t="shared" si="6"/>
        <v>635000</v>
      </c>
      <c r="N9449" s="74">
        <f t="shared" si="3"/>
        <v>170000</v>
      </c>
      <c r="O9449" s="65" t="str">
        <f>VLOOKUP(E9449,DATABASE!C:Q,8,false)</f>
        <v>IBU</v>
      </c>
      <c r="P9449" s="65">
        <f>VLOOKUP(E9449,DATABASE!C:Q,9,False)</f>
        <v>1</v>
      </c>
      <c r="Q9449" s="93" t="str">
        <f>VLOOKUP(E9449,DATABASE!C:Q,4,false)</f>
        <v>Dunlop</v>
      </c>
      <c r="R9449" s="93" t="str">
        <f>VLOOKUP(E9449,DATABASE!C:Q,11,false)</f>
        <v>Tire</v>
      </c>
    </row>
    <row r="9450" ht="22.5" customHeight="1">
      <c r="A9450" s="49"/>
      <c r="C9450" s="400">
        <v>46213.0</v>
      </c>
      <c r="D9450" s="524">
        <v>299.0</v>
      </c>
      <c r="E9450" s="544" t="s">
        <v>256</v>
      </c>
      <c r="F9450" s="387">
        <v>1.0</v>
      </c>
      <c r="G9450" s="140">
        <v>175000.0</v>
      </c>
      <c r="H9450" s="140">
        <v>25000.0</v>
      </c>
      <c r="I9450" s="74">
        <f t="shared" si="1"/>
        <v>150000</v>
      </c>
      <c r="J9450" s="74">
        <f>IF(E9450="SERVICE",I9450-(I9450*50%),Vlookup(E9450,DATABASE!C:Q,10,false)*F9450)</f>
        <v>10000</v>
      </c>
      <c r="K9450" s="74">
        <f>VLOOKUP(E9450,DATABASE!C:Q,7,false)</f>
        <v>0</v>
      </c>
      <c r="L9450" s="74">
        <v>0.0</v>
      </c>
      <c r="M9450" s="74">
        <f t="shared" si="6"/>
        <v>0</v>
      </c>
      <c r="N9450" s="74">
        <f t="shared" si="3"/>
        <v>140000</v>
      </c>
      <c r="O9450" s="65" t="str">
        <f>VLOOKUP(E9450,DATABASE!C:Q,8,false)</f>
        <v>IBU</v>
      </c>
      <c r="P9450" s="65">
        <f>VLOOKUP(E9450,DATABASE!C:Q,9,False)</f>
        <v>0</v>
      </c>
      <c r="Q9450" s="93" t="str">
        <f>VLOOKUP(E9450,DATABASE!C:Q,4,false)</f>
        <v>SPOORING</v>
      </c>
      <c r="R9450" s="93" t="str">
        <f>VLOOKUP(E9450,DATABASE!C:Q,11,false)</f>
        <v>SERVICE</v>
      </c>
    </row>
    <row r="9451" ht="22.5" customHeight="1">
      <c r="A9451" s="29"/>
      <c r="C9451" s="400">
        <v>46213.0</v>
      </c>
      <c r="D9451" s="524">
        <v>300.0</v>
      </c>
      <c r="E9451" s="544" t="s">
        <v>275</v>
      </c>
      <c r="F9451" s="387">
        <v>2.0</v>
      </c>
      <c r="G9451" s="140">
        <v>850000.0</v>
      </c>
      <c r="H9451" s="74"/>
      <c r="I9451" s="74">
        <f t="shared" si="1"/>
        <v>1700000</v>
      </c>
      <c r="J9451" s="74">
        <f>IF(E9451="SERVICE",I9451-(I9451*50%),Vlookup(E9451,DATABASE!C:Q,10,false)*F9451)</f>
        <v>0</v>
      </c>
      <c r="K9451" s="74">
        <f>VLOOKUP(E9451,DATABASE!C:Q,7,false)</f>
        <v>782000</v>
      </c>
      <c r="L9451" s="74">
        <v>759500.0</v>
      </c>
      <c r="M9451" s="74">
        <f t="shared" si="6"/>
        <v>760000</v>
      </c>
      <c r="N9451" s="74">
        <f t="shared" si="3"/>
        <v>180000</v>
      </c>
      <c r="O9451" s="65" t="str">
        <f>VLOOKUP(E9451,DATABASE!C:Q,8,false)</f>
        <v>IBU</v>
      </c>
      <c r="P9451" s="65">
        <f>VLOOKUP(E9451,DATABASE!C:Q,9,False)</f>
        <v>1</v>
      </c>
      <c r="Q9451" s="93" t="str">
        <f>VLOOKUP(E9451,DATABASE!C:Q,4,false)</f>
        <v>Dunlop</v>
      </c>
      <c r="R9451" s="93" t="str">
        <f>VLOOKUP(E9451,DATABASE!C:Q,11,false)</f>
        <v>Tire</v>
      </c>
    </row>
    <row r="9452" ht="22.5" customHeight="1">
      <c r="A9452" s="49"/>
      <c r="C9452" s="400">
        <v>46213.0</v>
      </c>
      <c r="D9452" s="69">
        <v>301.0</v>
      </c>
      <c r="E9452" s="544" t="s">
        <v>268</v>
      </c>
      <c r="F9452" s="387">
        <v>1.0</v>
      </c>
      <c r="G9452" s="140">
        <v>720000.0</v>
      </c>
      <c r="H9452" s="74"/>
      <c r="I9452" s="74">
        <f t="shared" si="1"/>
        <v>720000</v>
      </c>
      <c r="J9452" s="74">
        <f>IF(E9452="SERVICE",I9452-(I9452*50%),Vlookup(E9452,DATABASE!C:Q,10,false)*F9452)</f>
        <v>0</v>
      </c>
      <c r="K9452" s="74">
        <f>VLOOKUP(E9452,DATABASE!C:Q,7,false)</f>
        <v>653000</v>
      </c>
      <c r="L9452" s="74">
        <v>634500.0</v>
      </c>
      <c r="M9452" s="74">
        <f t="shared" si="6"/>
        <v>635000</v>
      </c>
      <c r="N9452" s="74">
        <f t="shared" si="3"/>
        <v>85000</v>
      </c>
      <c r="O9452" s="65" t="str">
        <f>VLOOKUP(E9452,DATABASE!C:Q,8,false)</f>
        <v>IBU</v>
      </c>
      <c r="P9452" s="65">
        <f>VLOOKUP(E9452,DATABASE!C:Q,9,False)</f>
        <v>1</v>
      </c>
      <c r="Q9452" s="93" t="str">
        <f>VLOOKUP(E9452,DATABASE!C:Q,4,false)</f>
        <v>Dunlop</v>
      </c>
      <c r="R9452" s="93" t="str">
        <f>VLOOKUP(E9452,DATABASE!C:Q,11,false)</f>
        <v>Tire</v>
      </c>
    </row>
    <row r="9453" ht="22.5" customHeight="1">
      <c r="A9453" s="29"/>
      <c r="C9453" s="400">
        <v>46213.0</v>
      </c>
      <c r="D9453" s="524">
        <v>302.0</v>
      </c>
      <c r="E9453" s="544" t="s">
        <v>1913</v>
      </c>
      <c r="F9453" s="387">
        <v>2.0</v>
      </c>
      <c r="G9453" s="140">
        <v>680000.0</v>
      </c>
      <c r="H9453" s="74"/>
      <c r="I9453" s="74">
        <f t="shared" si="1"/>
        <v>1360000</v>
      </c>
      <c r="J9453" s="74">
        <f>IF(E9453="SERVICE",I9453-(I9453*50%),Vlookup(E9453,DATABASE!C:Q,10,false)*F9453)</f>
        <v>0</v>
      </c>
      <c r="K9453" s="74">
        <f>VLOOKUP(E9453,DATABASE!C:Q,7,false)</f>
        <v>587200</v>
      </c>
      <c r="L9453" s="74">
        <v>587200.0</v>
      </c>
      <c r="M9453" s="74">
        <f t="shared" si="6"/>
        <v>590000</v>
      </c>
      <c r="N9453" s="74">
        <f t="shared" si="3"/>
        <v>180000</v>
      </c>
      <c r="O9453" s="65" t="str">
        <f>VLOOKUP(E9453,DATABASE!C:Q,8,false)</f>
        <v>BIAN</v>
      </c>
      <c r="P9453" s="65">
        <f>VLOOKUP(E9453,DATABASE!C:Q,9,False)</f>
        <v>1</v>
      </c>
      <c r="Q9453" s="93" t="str">
        <f>VLOOKUP(E9453,DATABASE!C:Q,4,false)</f>
        <v>GT</v>
      </c>
      <c r="R9453" s="93" t="str">
        <f>VLOOKUP(E9453,DATABASE!C:Q,11,false)</f>
        <v>Tire</v>
      </c>
    </row>
    <row r="9454" ht="22.5" customHeight="1">
      <c r="A9454" s="49"/>
      <c r="C9454" s="400">
        <v>46213.0</v>
      </c>
      <c r="D9454" s="524">
        <v>303.0</v>
      </c>
      <c r="E9454" s="544" t="s">
        <v>290</v>
      </c>
      <c r="F9454" s="387">
        <v>2.0</v>
      </c>
      <c r="G9454" s="140">
        <v>720000.0</v>
      </c>
      <c r="H9454" s="74"/>
      <c r="I9454" s="74">
        <f t="shared" si="1"/>
        <v>1440000</v>
      </c>
      <c r="J9454" s="74">
        <f>IF(E9454="SERVICE",I9454-(I9454*50%),Vlookup(E9454,DATABASE!C:Q,10,false)*F9454)</f>
        <v>0</v>
      </c>
      <c r="K9454" s="74">
        <f>VLOOKUP(E9454,DATABASE!C:Q,7,false)</f>
        <v>628100</v>
      </c>
      <c r="L9454" s="74">
        <v>628100.0</v>
      </c>
      <c r="M9454" s="74">
        <f t="shared" si="6"/>
        <v>630000</v>
      </c>
      <c r="N9454" s="74">
        <f t="shared" si="3"/>
        <v>180000</v>
      </c>
      <c r="O9454" s="65" t="str">
        <f>VLOOKUP(E9454,DATABASE!C:Q,8,false)</f>
        <v>BIAN</v>
      </c>
      <c r="P9454" s="65">
        <f>VLOOKUP(E9454,DATABASE!C:Q,9,False)</f>
        <v>1</v>
      </c>
      <c r="Q9454" s="93" t="str">
        <f>VLOOKUP(E9454,DATABASE!C:Q,4,false)</f>
        <v>GT</v>
      </c>
      <c r="R9454" s="93" t="str">
        <f>VLOOKUP(E9454,DATABASE!C:Q,11,false)</f>
        <v>Tire</v>
      </c>
    </row>
    <row r="9455" ht="22.5" customHeight="1">
      <c r="A9455" s="49"/>
      <c r="C9455" s="400">
        <v>46213.0</v>
      </c>
      <c r="D9455" s="524">
        <v>304.0</v>
      </c>
      <c r="E9455" s="544" t="s">
        <v>955</v>
      </c>
      <c r="F9455" s="387">
        <v>2.0</v>
      </c>
      <c r="G9455" s="140">
        <v>780000.0</v>
      </c>
      <c r="H9455" s="140">
        <v>5000.0</v>
      </c>
      <c r="I9455" s="74">
        <f t="shared" si="1"/>
        <v>1550000</v>
      </c>
      <c r="J9455" s="74">
        <f>IF(E9455="SERVICE",I9455-(I9455*50%),Vlookup(E9455,DATABASE!C:Q,10,false)*F9455)</f>
        <v>0</v>
      </c>
      <c r="K9455" s="74">
        <f>VLOOKUP(E9455,DATABASE!C:Q,7,false)</f>
        <v>712000</v>
      </c>
      <c r="L9455" s="74">
        <v>688000.0</v>
      </c>
      <c r="M9455" s="74">
        <f t="shared" si="6"/>
        <v>690000</v>
      </c>
      <c r="N9455" s="74">
        <f t="shared" si="3"/>
        <v>170000</v>
      </c>
      <c r="O9455" s="65" t="str">
        <f>VLOOKUP(E9455,DATABASE!C:Q,8,false)</f>
        <v>IBU</v>
      </c>
      <c r="P9455" s="65">
        <f>VLOOKUP(E9455,DATABASE!C:Q,9,False)</f>
        <v>1</v>
      </c>
      <c r="Q9455" s="93" t="str">
        <f>VLOOKUP(E9455,DATABASE!C:Q,4,false)</f>
        <v>Dunlop</v>
      </c>
      <c r="R9455" s="93" t="str">
        <f>VLOOKUP(E9455,DATABASE!C:Q,11,false)</f>
        <v>Tire</v>
      </c>
    </row>
    <row r="9456" ht="22.5" customHeight="1">
      <c r="A9456" s="49"/>
      <c r="C9456" s="400">
        <v>46213.0</v>
      </c>
      <c r="D9456" s="524">
        <v>304.0</v>
      </c>
      <c r="E9456" s="544" t="s">
        <v>299</v>
      </c>
      <c r="F9456" s="387">
        <v>2.0</v>
      </c>
      <c r="G9456" s="140">
        <v>30000.0</v>
      </c>
      <c r="H9456" s="140">
        <v>5000.0</v>
      </c>
      <c r="I9456" s="74">
        <f t="shared" si="1"/>
        <v>50000</v>
      </c>
      <c r="J9456" s="74">
        <f>IF(E9456="SERVICE",I9456-(I9456*50%),Vlookup(E9456,DATABASE!C:Q,10,false)*F9456)</f>
        <v>0</v>
      </c>
      <c r="K9456" s="74">
        <f>VLOOKUP(E9456,DATABASE!C:Q,7,false)</f>
        <v>10000</v>
      </c>
      <c r="L9456" s="74">
        <v>10000.0</v>
      </c>
      <c r="M9456" s="74">
        <f t="shared" si="6"/>
        <v>10000</v>
      </c>
      <c r="N9456" s="74">
        <f t="shared" si="3"/>
        <v>30000</v>
      </c>
      <c r="O9456" s="65" t="str">
        <f>VLOOKUP(E9456,DATABASE!C:Q,8,false)</f>
        <v>BIAN</v>
      </c>
      <c r="P9456" s="65">
        <f>VLOOKUP(E9456,DATABASE!C:Q,9,False)</f>
        <v>0</v>
      </c>
      <c r="Q9456" s="93" t="str">
        <f>VLOOKUP(E9456,DATABASE!C:Q,4,false)</f>
        <v>Balancing</v>
      </c>
      <c r="R9456" s="93" t="str">
        <f>VLOOKUP(E9456,DATABASE!C:Q,11,false)</f>
        <v>COMPLEMENTARY</v>
      </c>
    </row>
    <row r="9457" ht="22.5" customHeight="1">
      <c r="A9457" s="49"/>
      <c r="C9457" s="400">
        <v>46213.0</v>
      </c>
      <c r="D9457" s="524">
        <v>305.0</v>
      </c>
      <c r="E9457" s="544" t="s">
        <v>290</v>
      </c>
      <c r="F9457" s="387">
        <v>2.0</v>
      </c>
      <c r="G9457" s="140">
        <v>720000.0</v>
      </c>
      <c r="H9457" s="74"/>
      <c r="I9457" s="74">
        <f t="shared" si="1"/>
        <v>1440000</v>
      </c>
      <c r="J9457" s="74">
        <f>IF(E9457="SERVICE",I9457-(I9457*50%),Vlookup(E9457,DATABASE!C:Q,10,false)*F9457)</f>
        <v>0</v>
      </c>
      <c r="K9457" s="74">
        <f>VLOOKUP(E9457,DATABASE!C:Q,7,false)</f>
        <v>628100</v>
      </c>
      <c r="L9457" s="74">
        <v>628100.0</v>
      </c>
      <c r="M9457" s="74">
        <f t="shared" si="6"/>
        <v>630000</v>
      </c>
      <c r="N9457" s="74">
        <f t="shared" si="3"/>
        <v>180000</v>
      </c>
      <c r="O9457" s="65" t="str">
        <f>VLOOKUP(E9457,DATABASE!C:Q,8,false)</f>
        <v>BIAN</v>
      </c>
      <c r="P9457" s="65">
        <f>VLOOKUP(E9457,DATABASE!C:Q,9,False)</f>
        <v>1</v>
      </c>
      <c r="Q9457" s="93" t="str">
        <f>VLOOKUP(E9457,DATABASE!C:Q,4,false)</f>
        <v>GT</v>
      </c>
      <c r="R9457" s="93" t="str">
        <f>VLOOKUP(E9457,DATABASE!C:Q,11,false)</f>
        <v>Tire</v>
      </c>
    </row>
    <row r="9458" ht="22.5" customHeight="1">
      <c r="A9458" s="49"/>
      <c r="C9458" s="400">
        <v>46213.0</v>
      </c>
      <c r="D9458" s="524">
        <v>305.0</v>
      </c>
      <c r="E9458" s="544" t="s">
        <v>251</v>
      </c>
      <c r="F9458" s="387">
        <v>1.0</v>
      </c>
      <c r="G9458" s="140">
        <v>350000.0</v>
      </c>
      <c r="H9458" s="140">
        <v>230000.0</v>
      </c>
      <c r="I9458" s="74">
        <f t="shared" si="1"/>
        <v>120000</v>
      </c>
      <c r="J9458" s="74">
        <f>IF(E9458="SERVICE",I9458-(I9458*50%),Vlookup(E9458,DATABASE!C:Q,10,false)*F9458)</f>
        <v>60000</v>
      </c>
      <c r="K9458" s="74">
        <f>VLOOKUP(E9458,DATABASE!C:Q,7,false)</f>
        <v>0</v>
      </c>
      <c r="L9458" s="74">
        <v>0.0</v>
      </c>
      <c r="M9458" s="74">
        <f t="shared" si="6"/>
        <v>0</v>
      </c>
      <c r="N9458" s="74">
        <f t="shared" si="3"/>
        <v>60000</v>
      </c>
      <c r="O9458" s="65" t="str">
        <f>VLOOKUP(E9458,DATABASE!C:Q,8,false)</f>
        <v>IBU</v>
      </c>
      <c r="P9458" s="65">
        <f>VLOOKUP(E9458,DATABASE!C:Q,9,False)</f>
        <v>0</v>
      </c>
      <c r="Q9458" s="93" t="str">
        <f>VLOOKUP(E9458,DATABASE!C:Q,4,false)</f>
        <v>SERVICE</v>
      </c>
      <c r="R9458" s="93" t="str">
        <f>VLOOKUP(E9458,DATABASE!C:Q,11,false)</f>
        <v>SERVICE</v>
      </c>
    </row>
    <row r="9459" ht="22.5" customHeight="1">
      <c r="A9459" s="49"/>
      <c r="C9459" s="400">
        <v>46213.0</v>
      </c>
      <c r="D9459" s="524">
        <v>305.0</v>
      </c>
      <c r="E9459" s="544" t="s">
        <v>2652</v>
      </c>
      <c r="F9459" s="387">
        <v>1.0</v>
      </c>
      <c r="G9459" s="140">
        <v>300000.0</v>
      </c>
      <c r="H9459" s="140">
        <v>250000.0</v>
      </c>
      <c r="I9459" s="74">
        <f t="shared" si="1"/>
        <v>50000</v>
      </c>
      <c r="J9459" s="140">
        <v>0.0</v>
      </c>
      <c r="K9459" s="140">
        <v>50000.0</v>
      </c>
      <c r="L9459" s="140">
        <v>50000.0</v>
      </c>
      <c r="M9459" s="74">
        <f t="shared" si="6"/>
        <v>50000</v>
      </c>
      <c r="N9459" s="74">
        <f t="shared" si="3"/>
        <v>0</v>
      </c>
      <c r="O9459" s="65" t="str">
        <f>VLOOKUP(E9459,DATABASE!C:Q,8,false)</f>
        <v>BIAN</v>
      </c>
      <c r="P9459" s="65">
        <f>VLOOKUP(E9459,DATABASE!C:Q,9,False)</f>
        <v>0</v>
      </c>
      <c r="Q9459" s="93" t="str">
        <f>VLOOKUP(E9459,DATABASE!C:Q,4,false)</f>
        <v>Karet Support + Pasang</v>
      </c>
      <c r="R9459" s="93" t="str">
        <f>VLOOKUP(E9459,DATABASE!C:Q,11,false)</f>
        <v>COMPLEMENTARY</v>
      </c>
    </row>
    <row r="9460" ht="22.5" customHeight="1">
      <c r="A9460" s="49"/>
      <c r="C9460" s="400">
        <v>46213.0</v>
      </c>
      <c r="D9460" s="524">
        <v>306.0</v>
      </c>
      <c r="E9460" s="544" t="s">
        <v>256</v>
      </c>
      <c r="F9460" s="387">
        <v>1.0</v>
      </c>
      <c r="G9460" s="140">
        <v>175000.0</v>
      </c>
      <c r="H9460" s="140">
        <v>25000.0</v>
      </c>
      <c r="I9460" s="74">
        <f t="shared" si="1"/>
        <v>150000</v>
      </c>
      <c r="J9460" s="74">
        <f>IF(E9460="SERVICE",I9460-(I9460*50%),Vlookup(E9460,DATABASE!C:Q,10,false)*F9460)</f>
        <v>10000</v>
      </c>
      <c r="K9460" s="74">
        <f>VLOOKUP(E9460,DATABASE!C:Q,7,false)</f>
        <v>0</v>
      </c>
      <c r="L9460" s="140">
        <v>0.0</v>
      </c>
      <c r="M9460" s="74">
        <f t="shared" si="6"/>
        <v>0</v>
      </c>
      <c r="N9460" s="74">
        <f t="shared" si="3"/>
        <v>140000</v>
      </c>
      <c r="O9460" s="65" t="str">
        <f>VLOOKUP(E9460,DATABASE!C:Q,8,false)</f>
        <v>IBU</v>
      </c>
      <c r="P9460" s="65">
        <f>VLOOKUP(E9460,DATABASE!C:Q,9,False)</f>
        <v>0</v>
      </c>
      <c r="Q9460" s="93" t="str">
        <f>VLOOKUP(E9460,DATABASE!C:Q,4,false)</f>
        <v>SPOORING</v>
      </c>
      <c r="R9460" s="93" t="str">
        <f>VLOOKUP(E9460,DATABASE!C:Q,11,false)</f>
        <v>SERVICE</v>
      </c>
    </row>
    <row r="9461" ht="22.5" customHeight="1">
      <c r="A9461" s="49"/>
      <c r="C9461" s="400">
        <v>46213.0</v>
      </c>
      <c r="D9461" s="524">
        <v>306.0</v>
      </c>
      <c r="E9461" s="544" t="s">
        <v>251</v>
      </c>
      <c r="F9461" s="387">
        <v>1.0</v>
      </c>
      <c r="G9461" s="140">
        <v>350000.0</v>
      </c>
      <c r="H9461" s="140">
        <v>200000.0</v>
      </c>
      <c r="I9461" s="74">
        <f t="shared" si="1"/>
        <v>150000</v>
      </c>
      <c r="J9461" s="74">
        <f>IF(E9461="SERVICE",I9461-(I9461*50%),Vlookup(E9461,DATABASE!C:Q,10,false)*F9461)</f>
        <v>75000</v>
      </c>
      <c r="K9461" s="74">
        <f>VLOOKUP(E9461,DATABASE!C:Q,7,false)</f>
        <v>0</v>
      </c>
      <c r="L9461" s="140">
        <v>0.0</v>
      </c>
      <c r="M9461" s="74">
        <f t="shared" si="6"/>
        <v>0</v>
      </c>
      <c r="N9461" s="74">
        <f t="shared" si="3"/>
        <v>75000</v>
      </c>
      <c r="O9461" s="65" t="str">
        <f>VLOOKUP(E9461,DATABASE!C:Q,8,false)</f>
        <v>IBU</v>
      </c>
      <c r="P9461" s="65">
        <f>VLOOKUP(E9461,DATABASE!C:Q,9,False)</f>
        <v>0</v>
      </c>
      <c r="Q9461" s="93" t="str">
        <f>VLOOKUP(E9461,DATABASE!C:Q,4,false)</f>
        <v>SERVICE</v>
      </c>
      <c r="R9461" s="93" t="str">
        <f>VLOOKUP(E9461,DATABASE!C:Q,11,false)</f>
        <v>SERVICE</v>
      </c>
    </row>
    <row r="9462" ht="22.5" customHeight="1">
      <c r="A9462" s="49"/>
      <c r="C9462" s="400">
        <v>46213.0</v>
      </c>
      <c r="D9462" s="524">
        <v>307.0</v>
      </c>
      <c r="E9462" s="544" t="s">
        <v>2610</v>
      </c>
      <c r="F9462" s="387">
        <v>1.0</v>
      </c>
      <c r="G9462" s="140">
        <v>920000.0</v>
      </c>
      <c r="H9462" s="140">
        <v>40000.0</v>
      </c>
      <c r="I9462" s="74">
        <f t="shared" si="1"/>
        <v>880000</v>
      </c>
      <c r="J9462" s="74">
        <f>IF(E9462="SERVICE",I9462-(I9462*50%),Vlookup(E9462,DATABASE!C:Q,10,false)*F9462)</f>
        <v>0</v>
      </c>
      <c r="K9462" s="74">
        <f>VLOOKUP(E9462,DATABASE!C:Q,7,false)</f>
        <v>802000</v>
      </c>
      <c r="L9462" s="74">
        <v>802000.0</v>
      </c>
      <c r="M9462" s="74">
        <f t="shared" si="6"/>
        <v>805000</v>
      </c>
      <c r="N9462" s="74">
        <f t="shared" si="3"/>
        <v>75000</v>
      </c>
      <c r="O9462" s="65" t="str">
        <f>VLOOKUP(E9462,DATABASE!C:Q,8,false)</f>
        <v>BIAN</v>
      </c>
      <c r="P9462" s="65">
        <f>VLOOKUP(E9462,DATABASE!C:Q,9,False)</f>
        <v>1</v>
      </c>
      <c r="Q9462" s="93" t="str">
        <f>VLOOKUP(E9462,DATABASE!C:Q,4,false)</f>
        <v>Laufen</v>
      </c>
      <c r="R9462" s="93" t="str">
        <f>VLOOKUP(E9462,DATABASE!C:Q,11,false)</f>
        <v>Tire</v>
      </c>
    </row>
    <row r="9463" ht="22.5" customHeight="1">
      <c r="A9463" s="49"/>
      <c r="C9463" s="400">
        <v>46213.0</v>
      </c>
      <c r="D9463" s="69" t="s">
        <v>2868</v>
      </c>
      <c r="E9463" s="544" t="s">
        <v>263</v>
      </c>
      <c r="F9463" s="387">
        <v>1.0</v>
      </c>
      <c r="G9463" s="140">
        <v>385000.0</v>
      </c>
      <c r="H9463" s="74"/>
      <c r="I9463" s="74">
        <f t="shared" si="1"/>
        <v>385000</v>
      </c>
      <c r="J9463" s="74">
        <f>IF(E9463="SERVICE",I9463-(I9463*50%),Vlookup(E9463,DATABASE!C:Q,10,false)*F9463)</f>
        <v>0</v>
      </c>
      <c r="K9463" s="74">
        <f>VLOOKUP(E9463,DATABASE!C:Q,7,false)</f>
        <v>334916</v>
      </c>
      <c r="L9463" s="74">
        <v>334916.0</v>
      </c>
      <c r="M9463" s="74">
        <f t="shared" si="6"/>
        <v>335000</v>
      </c>
      <c r="N9463" s="74">
        <f t="shared" si="3"/>
        <v>50000</v>
      </c>
      <c r="O9463" s="65" t="str">
        <f>VLOOKUP(E9463,DATABASE!C:Q,8,false)</f>
        <v>NON</v>
      </c>
      <c r="P9463" s="65">
        <f>VLOOKUP(E9463,DATABASE!C:Q,9,False)</f>
        <v>0</v>
      </c>
      <c r="Q9463" s="93" t="str">
        <f>VLOOKUP(E9463,DATABASE!C:Q,4,false)</f>
        <v>Shell</v>
      </c>
      <c r="R9463" s="93" t="str">
        <f>VLOOKUP(E9463,DATABASE!C:Q,11,false)</f>
        <v>OIL</v>
      </c>
    </row>
    <row r="9464" ht="22.5" customHeight="1">
      <c r="A9464" s="49"/>
      <c r="C9464" s="400">
        <v>46213.0</v>
      </c>
      <c r="D9464" s="69" t="s">
        <v>2869</v>
      </c>
      <c r="E9464" s="544" t="s">
        <v>248</v>
      </c>
      <c r="F9464" s="387">
        <v>1.0</v>
      </c>
      <c r="G9464" s="140">
        <v>250000.0</v>
      </c>
      <c r="H9464" s="74"/>
      <c r="I9464" s="74">
        <f t="shared" si="1"/>
        <v>250000</v>
      </c>
      <c r="J9464" s="74">
        <f>IF(E9464="SERVICE",I9464-(I9464*50%),Vlookup(E9464,DATABASE!C:Q,10,false)*F9464)</f>
        <v>0</v>
      </c>
      <c r="K9464" s="74">
        <f>VLOOKUP(E9464,DATABASE!C:Q,7,false)</f>
        <v>209816.66</v>
      </c>
      <c r="L9464" s="74">
        <v>209816.66</v>
      </c>
      <c r="M9464" s="74">
        <f t="shared" si="6"/>
        <v>210000</v>
      </c>
      <c r="N9464" s="74">
        <f t="shared" si="3"/>
        <v>40000</v>
      </c>
      <c r="O9464" s="65" t="str">
        <f>VLOOKUP(E9464,DATABASE!C:Q,8,false)</f>
        <v>NON</v>
      </c>
      <c r="P9464" s="65">
        <f>VLOOKUP(E9464,DATABASE!C:Q,9,False)</f>
        <v>0</v>
      </c>
      <c r="Q9464" s="93" t="str">
        <f>VLOOKUP(E9464,DATABASE!C:Q,4,false)</f>
        <v>Pertamina</v>
      </c>
      <c r="R9464" s="93" t="str">
        <f>VLOOKUP(E9464,DATABASE!C:Q,11,false)</f>
        <v>OIL</v>
      </c>
    </row>
    <row r="9465" ht="22.5" customHeight="1">
      <c r="A9465" s="29"/>
      <c r="C9465" s="400">
        <v>46214.0</v>
      </c>
      <c r="D9465" s="524">
        <v>308.0</v>
      </c>
      <c r="E9465" s="544" t="s">
        <v>262</v>
      </c>
      <c r="F9465" s="387">
        <v>1.0</v>
      </c>
      <c r="G9465" s="140">
        <v>130000.0</v>
      </c>
      <c r="H9465" s="74"/>
      <c r="I9465" s="74">
        <f t="shared" si="1"/>
        <v>130000</v>
      </c>
      <c r="J9465" s="74">
        <f>IF(E9465="SERVICE",I9465-(I9465*50%),Vlookup(E9465,DATABASE!C:Q,10,false)*F9465)</f>
        <v>5000</v>
      </c>
      <c r="K9465" s="74">
        <f>VLOOKUP(E9465,DATABASE!C:Q,7,false)</f>
        <v>0</v>
      </c>
      <c r="L9465" s="74">
        <v>0.0</v>
      </c>
      <c r="M9465" s="74">
        <f t="shared" si="6"/>
        <v>0</v>
      </c>
      <c r="N9465" s="74">
        <f t="shared" si="3"/>
        <v>125000</v>
      </c>
      <c r="O9465" s="65" t="str">
        <f>VLOOKUP(E9465,DATABASE!C:Q,8,false)</f>
        <v>IBU</v>
      </c>
      <c r="P9465" s="65">
        <f>VLOOKUP(E9465,DATABASE!C:Q,9,False)</f>
        <v>0</v>
      </c>
      <c r="Q9465" s="93" t="str">
        <f>VLOOKUP(E9465,DATABASE!C:Q,4,false)</f>
        <v>SPOORING SS/CARRY LOS BAK</v>
      </c>
      <c r="R9465" s="93" t="str">
        <f>VLOOKUP(E9465,DATABASE!C:Q,11,false)</f>
        <v>SERVICE</v>
      </c>
    </row>
    <row r="9466" ht="22.5" customHeight="1">
      <c r="A9466" s="49"/>
      <c r="C9466" s="400">
        <v>46214.0</v>
      </c>
      <c r="D9466" s="524">
        <v>308.0</v>
      </c>
      <c r="E9466" s="544" t="s">
        <v>478</v>
      </c>
      <c r="F9466" s="387">
        <v>1.0</v>
      </c>
      <c r="G9466" s="140">
        <v>200000.0</v>
      </c>
      <c r="H9466" s="74"/>
      <c r="I9466" s="74">
        <f t="shared" si="1"/>
        <v>200000</v>
      </c>
      <c r="J9466" s="74">
        <f>IF(E9466="SERVICE",I9466-(I9466*50%),Vlookup(E9466,DATABASE!C:Q,10,false)*F9466)</f>
        <v>25000</v>
      </c>
      <c r="K9466" s="74">
        <f>VLOOKUP(E9466,DATABASE!C:Q,7,false)</f>
        <v>75000</v>
      </c>
      <c r="L9466" s="74">
        <v>75000.0</v>
      </c>
      <c r="M9466" s="74">
        <f t="shared" si="6"/>
        <v>75000</v>
      </c>
      <c r="N9466" s="74">
        <f t="shared" si="3"/>
        <v>100000</v>
      </c>
      <c r="O9466" s="65" t="str">
        <f>VLOOKUP(E9466,DATABASE!C:Q,8,false)</f>
        <v>BIAN</v>
      </c>
      <c r="P9466" s="65">
        <f>VLOOKUP(E9466,DATABASE!C:Q,9,False)</f>
        <v>0</v>
      </c>
      <c r="Q9466" s="93" t="str">
        <f>VLOOKUP(E9466,DATABASE!C:Q,4,false)</f>
        <v>Baut Camber ss-carry</v>
      </c>
      <c r="R9466" s="93" t="str">
        <f>VLOOKUP(E9466,DATABASE!C:Q,11,false)</f>
        <v>COMPLEMENTARY</v>
      </c>
    </row>
    <row r="9467" ht="22.5" customHeight="1">
      <c r="A9467" s="29"/>
      <c r="C9467" s="400">
        <v>46214.0</v>
      </c>
      <c r="D9467" s="524">
        <v>308.0</v>
      </c>
      <c r="E9467" s="544" t="s">
        <v>2154</v>
      </c>
      <c r="F9467" s="387">
        <v>1.0</v>
      </c>
      <c r="G9467" s="140">
        <v>250000.0</v>
      </c>
      <c r="H9467" s="140">
        <v>20000.0</v>
      </c>
      <c r="I9467" s="74">
        <f t="shared" si="1"/>
        <v>230000</v>
      </c>
      <c r="J9467" s="74">
        <f>IF(E9467="SERVICE",I9467-(I9467*50%),Vlookup(E9467,DATABASE!C:Q,10,false)*F9467)</f>
        <v>80000</v>
      </c>
      <c r="K9467" s="74">
        <f>VLOOKUP(E9467,DATABASE!C:Q,7,false)</f>
        <v>90000</v>
      </c>
      <c r="L9467" s="74">
        <v>90000.0</v>
      </c>
      <c r="M9467" s="74">
        <f t="shared" si="6"/>
        <v>90000</v>
      </c>
      <c r="N9467" s="74">
        <f t="shared" si="3"/>
        <v>60000</v>
      </c>
      <c r="O9467" s="65" t="str">
        <f>VLOOKUP(E9467,DATABASE!C:Q,8,false)</f>
        <v>IBU</v>
      </c>
      <c r="P9467" s="65">
        <f>VLOOKUP(E9467,DATABASE!C:Q,9,False)</f>
        <v>0</v>
      </c>
      <c r="Q9467" s="93" t="str">
        <f>VLOOKUP(E9467,DATABASE!C:Q,4,false)</f>
        <v>SERVICE</v>
      </c>
      <c r="R9467" s="93" t="str">
        <f>VLOOKUP(E9467,DATABASE!C:Q,11,false)</f>
        <v>COMPLEMENTARY</v>
      </c>
    </row>
    <row r="9468" ht="22.5" customHeight="1">
      <c r="A9468" s="49"/>
      <c r="C9468" s="400">
        <v>46214.0</v>
      </c>
      <c r="D9468" s="524">
        <v>309.0</v>
      </c>
      <c r="E9468" s="544" t="s">
        <v>256</v>
      </c>
      <c r="F9468" s="387">
        <v>1.0</v>
      </c>
      <c r="G9468" s="140">
        <v>175000.0</v>
      </c>
      <c r="H9468" s="140">
        <v>25000.0</v>
      </c>
      <c r="I9468" s="74">
        <f t="shared" si="1"/>
        <v>150000</v>
      </c>
      <c r="J9468" s="74">
        <f>IF(E9468="SERVICE",I9468-(I9468*50%),Vlookup(E9468,DATABASE!C:Q,10,false)*F9468)</f>
        <v>10000</v>
      </c>
      <c r="K9468" s="74">
        <f>VLOOKUP(E9468,DATABASE!C:Q,7,false)</f>
        <v>0</v>
      </c>
      <c r="L9468" s="74">
        <v>0.0</v>
      </c>
      <c r="M9468" s="74">
        <f t="shared" si="6"/>
        <v>0</v>
      </c>
      <c r="N9468" s="74">
        <f t="shared" si="3"/>
        <v>140000</v>
      </c>
      <c r="O9468" s="65" t="str">
        <f>VLOOKUP(E9468,DATABASE!C:Q,8,false)</f>
        <v>IBU</v>
      </c>
      <c r="P9468" s="65">
        <f>VLOOKUP(E9468,DATABASE!C:Q,9,False)</f>
        <v>0</v>
      </c>
      <c r="Q9468" s="93" t="str">
        <f>VLOOKUP(E9468,DATABASE!C:Q,4,false)</f>
        <v>SPOORING</v>
      </c>
      <c r="R9468" s="93" t="str">
        <f>VLOOKUP(E9468,DATABASE!C:Q,11,false)</f>
        <v>SERVICE</v>
      </c>
    </row>
    <row r="9469" ht="22.5" customHeight="1">
      <c r="A9469" s="49"/>
      <c r="C9469" s="400">
        <v>46214.0</v>
      </c>
      <c r="D9469" s="524">
        <v>309.0</v>
      </c>
      <c r="E9469" s="544" t="s">
        <v>251</v>
      </c>
      <c r="F9469" s="387">
        <v>1.0</v>
      </c>
      <c r="G9469" s="140">
        <v>350000.0</v>
      </c>
      <c r="H9469" s="140">
        <v>200000.0</v>
      </c>
      <c r="I9469" s="74">
        <f t="shared" si="1"/>
        <v>150000</v>
      </c>
      <c r="J9469" s="74">
        <f>IF(E9469="SERVICE",I9469-(I9469*50%),Vlookup(E9469,DATABASE!C:Q,10,false)*F9469)</f>
        <v>75000</v>
      </c>
      <c r="K9469" s="74">
        <f>VLOOKUP(E9469,DATABASE!C:Q,7,false)</f>
        <v>0</v>
      </c>
      <c r="L9469" s="74">
        <v>0.0</v>
      </c>
      <c r="M9469" s="74">
        <f t="shared" si="6"/>
        <v>0</v>
      </c>
      <c r="N9469" s="74">
        <f t="shared" si="3"/>
        <v>75000</v>
      </c>
      <c r="O9469" s="65" t="str">
        <f>VLOOKUP(E9469,DATABASE!C:Q,8,false)</f>
        <v>IBU</v>
      </c>
      <c r="P9469" s="65">
        <f>VLOOKUP(E9469,DATABASE!C:Q,9,False)</f>
        <v>0</v>
      </c>
      <c r="Q9469" s="93" t="str">
        <f>VLOOKUP(E9469,DATABASE!C:Q,4,false)</f>
        <v>SERVICE</v>
      </c>
      <c r="R9469" s="93" t="str">
        <f>VLOOKUP(E9469,DATABASE!C:Q,11,false)</f>
        <v>SERVICE</v>
      </c>
    </row>
    <row r="9470" ht="22.5" customHeight="1">
      <c r="A9470" s="49"/>
      <c r="C9470" s="400">
        <v>46214.0</v>
      </c>
      <c r="D9470" s="524">
        <v>310.0</v>
      </c>
      <c r="E9470" s="544" t="s">
        <v>295</v>
      </c>
      <c r="F9470" s="387">
        <v>2.0</v>
      </c>
      <c r="G9470" s="140">
        <v>1580000.0</v>
      </c>
      <c r="H9470" s="74"/>
      <c r="I9470" s="74">
        <f t="shared" si="1"/>
        <v>3160000</v>
      </c>
      <c r="J9470" s="74">
        <f>IF(E9470="SERVICE",I9470-(I9470*50%),Vlookup(E9470,DATABASE!C:Q,10,false)*F9470)</f>
        <v>0</v>
      </c>
      <c r="K9470" s="74">
        <f>VLOOKUP(E9470,DATABASE!C:Q,7,false)</f>
        <v>1475000</v>
      </c>
      <c r="L9470" s="74">
        <v>1475000.0</v>
      </c>
      <c r="M9470" s="74">
        <f t="shared" si="6"/>
        <v>1475000</v>
      </c>
      <c r="N9470" s="74">
        <f t="shared" si="3"/>
        <v>210000</v>
      </c>
      <c r="O9470" s="65" t="str">
        <f>VLOOKUP(E9470,DATABASE!C:Q,8,false)</f>
        <v>BIAN</v>
      </c>
      <c r="P9470" s="65">
        <f>VLOOKUP(E9470,DATABASE!C:Q,9,False)</f>
        <v>1</v>
      </c>
      <c r="Q9470" s="93" t="str">
        <f>VLOOKUP(E9470,DATABASE!C:Q,4,false)</f>
        <v>TIRON</v>
      </c>
      <c r="R9470" s="93" t="str">
        <f>VLOOKUP(E9470,DATABASE!C:Q,11,false)</f>
        <v>Tire</v>
      </c>
    </row>
    <row r="9471" ht="22.5" customHeight="1">
      <c r="A9471" s="49"/>
      <c r="C9471" s="400">
        <v>46214.0</v>
      </c>
      <c r="D9471" s="524">
        <v>311.0</v>
      </c>
      <c r="E9471" s="544" t="s">
        <v>924</v>
      </c>
      <c r="F9471" s="387">
        <v>2.0</v>
      </c>
      <c r="G9471" s="140">
        <v>1660000.0</v>
      </c>
      <c r="H9471" s="74"/>
      <c r="I9471" s="74">
        <f t="shared" si="1"/>
        <v>3320000</v>
      </c>
      <c r="J9471" s="74">
        <f>IF(E9471="SERVICE",I9471-(I9471*50%),Vlookup(E9471,DATABASE!C:Q,10,false)*F9471)</f>
        <v>0</v>
      </c>
      <c r="K9471" s="74">
        <f>VLOOKUP(E9471,DATABASE!C:Q,7,false)</f>
        <v>1560000</v>
      </c>
      <c r="L9471" s="74">
        <v>1560000.0</v>
      </c>
      <c r="M9471" s="74">
        <f t="shared" si="6"/>
        <v>1560000</v>
      </c>
      <c r="N9471" s="74">
        <f t="shared" si="3"/>
        <v>200000</v>
      </c>
      <c r="O9471" s="65" t="str">
        <f>VLOOKUP(E9471,DATABASE!C:Q,8,false)</f>
        <v>BIAN</v>
      </c>
      <c r="P9471" s="65">
        <f>VLOOKUP(E9471,DATABASE!C:Q,9,False)</f>
        <v>1</v>
      </c>
      <c r="Q9471" s="93" t="str">
        <f>VLOOKUP(E9471,DATABASE!C:Q,4,false)</f>
        <v>TIRON</v>
      </c>
      <c r="R9471" s="93" t="str">
        <f>VLOOKUP(E9471,DATABASE!C:Q,11,false)</f>
        <v>Tire</v>
      </c>
    </row>
    <row r="9472" ht="22.5" customHeight="1">
      <c r="A9472" s="49"/>
      <c r="C9472" s="400">
        <v>46214.0</v>
      </c>
      <c r="D9472" s="524">
        <v>312.0</v>
      </c>
      <c r="E9472" s="544" t="s">
        <v>614</v>
      </c>
      <c r="F9472" s="387">
        <v>2.0</v>
      </c>
      <c r="G9472" s="140">
        <v>830000.0</v>
      </c>
      <c r="H9472" s="74"/>
      <c r="I9472" s="74">
        <f t="shared" si="1"/>
        <v>1660000</v>
      </c>
      <c r="J9472" s="74">
        <f>IF(E9472="SERVICE",I9472-(I9472*50%),Vlookup(E9472,DATABASE!C:Q,10,false)*F9472)</f>
        <v>0</v>
      </c>
      <c r="K9472" s="74">
        <f>VLOOKUP(E9472,DATABASE!C:Q,7,false)</f>
        <v>754660.6</v>
      </c>
      <c r="L9472" s="74">
        <v>727756.0</v>
      </c>
      <c r="M9472" s="74">
        <f t="shared" si="6"/>
        <v>730000</v>
      </c>
      <c r="N9472" s="74">
        <f t="shared" si="3"/>
        <v>200000</v>
      </c>
      <c r="O9472" s="65" t="str">
        <f>VLOOKUP(E9472,DATABASE!C:Q,8,false)</f>
        <v>IBU</v>
      </c>
      <c r="P9472" s="65">
        <f>VLOOKUP(E9472,DATABASE!C:Q,9,False)</f>
        <v>1</v>
      </c>
      <c r="Q9472" s="93" t="str">
        <f>VLOOKUP(E9472,DATABASE!C:Q,4,false)</f>
        <v>Bridgestone</v>
      </c>
      <c r="R9472" s="93" t="str">
        <f>VLOOKUP(E9472,DATABASE!C:Q,11,false)</f>
        <v>Tire</v>
      </c>
    </row>
    <row r="9473" ht="22.5" customHeight="1">
      <c r="A9473" s="49"/>
      <c r="C9473" s="400">
        <v>46214.0</v>
      </c>
      <c r="D9473" s="524">
        <v>312.0</v>
      </c>
      <c r="E9473" s="544" t="s">
        <v>299</v>
      </c>
      <c r="F9473" s="387">
        <v>2.0</v>
      </c>
      <c r="G9473" s="140">
        <v>30000.0</v>
      </c>
      <c r="H9473" s="74"/>
      <c r="I9473" s="74">
        <f t="shared" si="1"/>
        <v>60000</v>
      </c>
      <c r="J9473" s="74">
        <f>IF(E9473="SERVICE",I9473-(I9473*50%),Vlookup(E9473,DATABASE!C:Q,10,false)*F9473)</f>
        <v>0</v>
      </c>
      <c r="K9473" s="74">
        <f>VLOOKUP(E9473,DATABASE!C:Q,7,false)</f>
        <v>10000</v>
      </c>
      <c r="L9473" s="74">
        <v>10000.0</v>
      </c>
      <c r="M9473" s="74">
        <f t="shared" si="6"/>
        <v>10000</v>
      </c>
      <c r="N9473" s="74">
        <f t="shared" si="3"/>
        <v>40000</v>
      </c>
      <c r="O9473" s="65" t="str">
        <f>VLOOKUP(E9473,DATABASE!C:Q,8,false)</f>
        <v>BIAN</v>
      </c>
      <c r="P9473" s="65">
        <f>VLOOKUP(E9473,DATABASE!C:Q,9,False)</f>
        <v>0</v>
      </c>
      <c r="Q9473" s="93" t="str">
        <f>VLOOKUP(E9473,DATABASE!C:Q,4,false)</f>
        <v>Balancing</v>
      </c>
      <c r="R9473" s="93" t="str">
        <f>VLOOKUP(E9473,DATABASE!C:Q,11,false)</f>
        <v>COMPLEMENTARY</v>
      </c>
    </row>
    <row r="9474" ht="22.5" customHeight="1">
      <c r="A9474" s="49"/>
      <c r="C9474" s="400">
        <v>46214.0</v>
      </c>
      <c r="D9474" s="524">
        <v>312.0</v>
      </c>
      <c r="E9474" s="544" t="s">
        <v>256</v>
      </c>
      <c r="F9474" s="387">
        <v>1.0</v>
      </c>
      <c r="G9474" s="140">
        <v>175000.0</v>
      </c>
      <c r="H9474" s="140">
        <v>25000.0</v>
      </c>
      <c r="I9474" s="74">
        <f t="shared" si="1"/>
        <v>150000</v>
      </c>
      <c r="J9474" s="74">
        <f>IF(E9474="SERVICE",I9474-(I9474*50%),Vlookup(E9474,DATABASE!C:Q,10,false)*F9474)</f>
        <v>10000</v>
      </c>
      <c r="K9474" s="74">
        <f>VLOOKUP(E9474,DATABASE!C:Q,7,false)</f>
        <v>0</v>
      </c>
      <c r="L9474" s="74">
        <v>0.0</v>
      </c>
      <c r="M9474" s="74">
        <f t="shared" si="6"/>
        <v>0</v>
      </c>
      <c r="N9474" s="74">
        <f t="shared" si="3"/>
        <v>140000</v>
      </c>
      <c r="O9474" s="65" t="str">
        <f>VLOOKUP(E9474,DATABASE!C:Q,8,false)</f>
        <v>IBU</v>
      </c>
      <c r="P9474" s="65">
        <f>VLOOKUP(E9474,DATABASE!C:Q,9,False)</f>
        <v>0</v>
      </c>
      <c r="Q9474" s="93" t="str">
        <f>VLOOKUP(E9474,DATABASE!C:Q,4,false)</f>
        <v>SPOORING</v>
      </c>
      <c r="R9474" s="93" t="str">
        <f>VLOOKUP(E9474,DATABASE!C:Q,11,false)</f>
        <v>SERVICE</v>
      </c>
    </row>
    <row r="9475" ht="22.5" customHeight="1">
      <c r="A9475" s="49"/>
      <c r="C9475" s="400">
        <v>46214.0</v>
      </c>
      <c r="D9475" s="524">
        <v>312.0</v>
      </c>
      <c r="E9475" s="544" t="s">
        <v>301</v>
      </c>
      <c r="F9475" s="387">
        <v>1.0</v>
      </c>
      <c r="G9475" s="140">
        <v>250000.0</v>
      </c>
      <c r="H9475" s="74"/>
      <c r="I9475" s="74">
        <f t="shared" si="1"/>
        <v>250000</v>
      </c>
      <c r="J9475" s="74">
        <f>IF(E9475="SERVICE",I9475-(I9475*50%),Vlookup(E9475,DATABASE!C:Q,10,false)*F9475)</f>
        <v>75000</v>
      </c>
      <c r="K9475" s="74">
        <f>VLOOKUP(E9475,DATABASE!C:Q,7,false)</f>
        <v>75000</v>
      </c>
      <c r="L9475" s="74">
        <v>75000.0</v>
      </c>
      <c r="M9475" s="74">
        <f t="shared" si="6"/>
        <v>75000</v>
      </c>
      <c r="N9475" s="74">
        <f t="shared" si="3"/>
        <v>100000</v>
      </c>
      <c r="O9475" s="65" t="str">
        <f>VLOOKUP(E9475,DATABASE!C:Q,8,false)</f>
        <v>BIAN</v>
      </c>
      <c r="P9475" s="65">
        <f>VLOOKUP(E9475,DATABASE!C:Q,9,False)</f>
        <v>0</v>
      </c>
      <c r="Q9475" s="93" t="str">
        <f>VLOOKUP(E9475,DATABASE!C:Q,4,false)</f>
        <v>Baut Camber</v>
      </c>
      <c r="R9475" s="93" t="str">
        <f>VLOOKUP(E9475,DATABASE!C:Q,11,false)</f>
        <v>COMPLEMENTARY</v>
      </c>
    </row>
    <row r="9476" ht="22.5" customHeight="1">
      <c r="A9476" s="49"/>
      <c r="C9476" s="400">
        <v>46214.0</v>
      </c>
      <c r="D9476" s="524">
        <v>313.0</v>
      </c>
      <c r="E9476" s="544" t="s">
        <v>275</v>
      </c>
      <c r="F9476" s="387">
        <v>2.0</v>
      </c>
      <c r="G9476" s="140">
        <v>850000.0</v>
      </c>
      <c r="H9476" s="74"/>
      <c r="I9476" s="74">
        <f t="shared" si="1"/>
        <v>1700000</v>
      </c>
      <c r="J9476" s="74">
        <f>IF(E9476="SERVICE",I9476-(I9476*50%),Vlookup(E9476,DATABASE!C:Q,10,false)*F9476)</f>
        <v>0</v>
      </c>
      <c r="K9476" s="74">
        <f>VLOOKUP(E9476,DATABASE!C:Q,7,false)</f>
        <v>782000</v>
      </c>
      <c r="L9476" s="74">
        <v>759500.0</v>
      </c>
      <c r="M9476" s="74">
        <f t="shared" si="6"/>
        <v>760000</v>
      </c>
      <c r="N9476" s="74">
        <f t="shared" si="3"/>
        <v>180000</v>
      </c>
      <c r="O9476" s="65" t="str">
        <f>VLOOKUP(E9476,DATABASE!C:Q,8,false)</f>
        <v>IBU</v>
      </c>
      <c r="P9476" s="65">
        <f>VLOOKUP(E9476,DATABASE!C:Q,9,False)</f>
        <v>1</v>
      </c>
      <c r="Q9476" s="93" t="str">
        <f>VLOOKUP(E9476,DATABASE!C:Q,4,false)</f>
        <v>Dunlop</v>
      </c>
      <c r="R9476" s="93" t="str">
        <f>VLOOKUP(E9476,DATABASE!C:Q,11,false)</f>
        <v>Tire</v>
      </c>
    </row>
    <row r="9477" ht="22.5" customHeight="1">
      <c r="A9477" s="49"/>
      <c r="C9477" s="400">
        <v>46214.0</v>
      </c>
      <c r="D9477" s="524">
        <v>314.0</v>
      </c>
      <c r="E9477" s="544" t="s">
        <v>957</v>
      </c>
      <c r="F9477" s="387">
        <v>1.0</v>
      </c>
      <c r="G9477" s="140">
        <v>875000.0</v>
      </c>
      <c r="H9477" s="74"/>
      <c r="I9477" s="74">
        <f t="shared" si="1"/>
        <v>875000</v>
      </c>
      <c r="J9477" s="74">
        <f>IF(E9477="SERVICE",I9477-(I9477*50%),Vlookup(E9477,DATABASE!C:Q,10,false)*F9477)</f>
        <v>0</v>
      </c>
      <c r="K9477" s="74">
        <f>VLOOKUP(E9477,DATABASE!C:Q,7,false)</f>
        <v>773337.5</v>
      </c>
      <c r="L9477" s="74">
        <v>773337.5</v>
      </c>
      <c r="M9477" s="74">
        <f t="shared" si="6"/>
        <v>775000</v>
      </c>
      <c r="N9477" s="74">
        <f t="shared" si="3"/>
        <v>100000</v>
      </c>
      <c r="O9477" s="65" t="str">
        <f>VLOOKUP(E9477,DATABASE!C:Q,8,false)</f>
        <v>IBU</v>
      </c>
      <c r="P9477" s="65">
        <f>VLOOKUP(E9477,DATABASE!C:Q,9,False)</f>
        <v>1</v>
      </c>
      <c r="Q9477" s="93" t="str">
        <f>VLOOKUP(E9477,DATABASE!C:Q,4,false)</f>
        <v>Bridgestone</v>
      </c>
      <c r="R9477" s="93" t="str">
        <f>VLOOKUP(E9477,DATABASE!C:Q,11,false)</f>
        <v>Tire</v>
      </c>
    </row>
    <row r="9478" ht="22.5" customHeight="1">
      <c r="A9478" s="49"/>
      <c r="C9478" s="400">
        <v>46214.0</v>
      </c>
      <c r="D9478" s="524">
        <v>315.0</v>
      </c>
      <c r="E9478" s="544" t="s">
        <v>581</v>
      </c>
      <c r="F9478" s="387">
        <v>1.0</v>
      </c>
      <c r="G9478" s="140">
        <v>645000.0</v>
      </c>
      <c r="H9478" s="140">
        <v>5000.0</v>
      </c>
      <c r="I9478" s="74">
        <f t="shared" si="1"/>
        <v>640000</v>
      </c>
      <c r="J9478" s="74">
        <f>IF(E9478="SERVICE",I9478-(I9478*50%),Vlookup(E9478,DATABASE!C:Q,10,false)*F9478)</f>
        <v>0</v>
      </c>
      <c r="K9478" s="74">
        <f>VLOOKUP(E9478,DATABASE!C:Q,7,false)</f>
        <v>542528</v>
      </c>
      <c r="L9478" s="74">
        <v>542528.0</v>
      </c>
      <c r="M9478" s="74">
        <f t="shared" si="6"/>
        <v>545000</v>
      </c>
      <c r="N9478" s="74">
        <f t="shared" si="3"/>
        <v>95000</v>
      </c>
      <c r="O9478" s="65" t="str">
        <f>VLOOKUP(E9478,DATABASE!C:Q,8,false)</f>
        <v>IBU</v>
      </c>
      <c r="P9478" s="65">
        <f>VLOOKUP(E9478,DATABASE!C:Q,9,False)</f>
        <v>1</v>
      </c>
      <c r="Q9478" s="93" t="str">
        <f>VLOOKUP(E9478,DATABASE!C:Q,4,false)</f>
        <v>Bridgestone</v>
      </c>
      <c r="R9478" s="93" t="str">
        <f>VLOOKUP(E9478,DATABASE!C:Q,11,false)</f>
        <v>Tire</v>
      </c>
    </row>
    <row r="9479" ht="22.5" customHeight="1">
      <c r="A9479" s="49"/>
      <c r="C9479" s="400">
        <v>46214.0</v>
      </c>
      <c r="D9479" s="524">
        <v>316.0</v>
      </c>
      <c r="E9479" s="544" t="s">
        <v>268</v>
      </c>
      <c r="F9479" s="387">
        <v>2.0</v>
      </c>
      <c r="G9479" s="140">
        <v>720000.0</v>
      </c>
      <c r="H9479" s="74"/>
      <c r="I9479" s="74">
        <f t="shared" si="1"/>
        <v>1440000</v>
      </c>
      <c r="J9479" s="74">
        <f>IF(E9479="SERVICE",I9479-(I9479*50%),Vlookup(E9479,DATABASE!C:Q,10,false)*F9479)</f>
        <v>0</v>
      </c>
      <c r="K9479" s="74">
        <f>VLOOKUP(E9479,DATABASE!C:Q,7,false)</f>
        <v>653000</v>
      </c>
      <c r="L9479" s="74">
        <v>634500.0</v>
      </c>
      <c r="M9479" s="74">
        <f t="shared" si="6"/>
        <v>635000</v>
      </c>
      <c r="N9479" s="74">
        <f t="shared" si="3"/>
        <v>170000</v>
      </c>
      <c r="O9479" s="65" t="str">
        <f>VLOOKUP(E9479,DATABASE!C:Q,8,false)</f>
        <v>IBU</v>
      </c>
      <c r="P9479" s="65">
        <f>VLOOKUP(E9479,DATABASE!C:Q,9,False)</f>
        <v>1</v>
      </c>
      <c r="Q9479" s="93" t="str">
        <f>VLOOKUP(E9479,DATABASE!C:Q,4,false)</f>
        <v>Dunlop</v>
      </c>
      <c r="R9479" s="93" t="str">
        <f>VLOOKUP(E9479,DATABASE!C:Q,11,false)</f>
        <v>Tire</v>
      </c>
    </row>
    <row r="9480" ht="22.5" customHeight="1">
      <c r="A9480" s="49"/>
      <c r="C9480" s="400">
        <v>46214.0</v>
      </c>
      <c r="D9480" s="524">
        <v>317.0</v>
      </c>
      <c r="E9480" s="544" t="s">
        <v>271</v>
      </c>
      <c r="F9480" s="387">
        <v>2.0</v>
      </c>
      <c r="G9480" s="140">
        <v>640000.0</v>
      </c>
      <c r="H9480" s="74"/>
      <c r="I9480" s="74">
        <f t="shared" si="1"/>
        <v>1280000</v>
      </c>
      <c r="J9480" s="74">
        <f>IF(E9480="SERVICE",I9480-(I9480*50%),Vlookup(E9480,DATABASE!C:Q,10,false)*F9480)</f>
        <v>0</v>
      </c>
      <c r="K9480" s="74">
        <f>VLOOKUP(E9480,DATABASE!C:Q,7,false)</f>
        <v>570000</v>
      </c>
      <c r="L9480" s="74">
        <v>550000.0</v>
      </c>
      <c r="M9480" s="74">
        <f t="shared" si="6"/>
        <v>550000</v>
      </c>
      <c r="N9480" s="74">
        <f t="shared" si="3"/>
        <v>180000</v>
      </c>
      <c r="O9480" s="65" t="str">
        <f>VLOOKUP(E9480,DATABASE!C:Q,8,false)</f>
        <v>IBU</v>
      </c>
      <c r="P9480" s="65">
        <f>VLOOKUP(E9480,DATABASE!C:Q,9,False)</f>
        <v>1</v>
      </c>
      <c r="Q9480" s="93" t="str">
        <f>VLOOKUP(E9480,DATABASE!C:Q,4,false)</f>
        <v>Dunlop</v>
      </c>
      <c r="R9480" s="93" t="str">
        <f>VLOOKUP(E9480,DATABASE!C:Q,11,false)</f>
        <v>Tire</v>
      </c>
    </row>
    <row r="9481" ht="22.5" customHeight="1">
      <c r="A9481" s="49"/>
      <c r="C9481" s="400">
        <v>46214.0</v>
      </c>
      <c r="D9481" s="524">
        <v>318.0</v>
      </c>
      <c r="E9481" s="544" t="s">
        <v>262</v>
      </c>
      <c r="F9481" s="387">
        <v>1.0</v>
      </c>
      <c r="G9481" s="140">
        <v>130000.0</v>
      </c>
      <c r="H9481" s="74"/>
      <c r="I9481" s="74">
        <f t="shared" si="1"/>
        <v>130000</v>
      </c>
      <c r="J9481" s="74">
        <f>IF(E9481="SERVICE",I9481-(I9481*50%),Vlookup(E9481,DATABASE!C:Q,10,false)*F9481)</f>
        <v>5000</v>
      </c>
      <c r="K9481" s="74">
        <f>VLOOKUP(E9481,DATABASE!C:Q,7,false)</f>
        <v>0</v>
      </c>
      <c r="L9481" s="74">
        <v>0.0</v>
      </c>
      <c r="M9481" s="74">
        <f t="shared" si="6"/>
        <v>0</v>
      </c>
      <c r="N9481" s="74">
        <f t="shared" si="3"/>
        <v>125000</v>
      </c>
      <c r="O9481" s="65" t="str">
        <f>VLOOKUP(E9481,DATABASE!C:Q,8,false)</f>
        <v>IBU</v>
      </c>
      <c r="P9481" s="65">
        <f>VLOOKUP(E9481,DATABASE!C:Q,9,False)</f>
        <v>0</v>
      </c>
      <c r="Q9481" s="93" t="str">
        <f>VLOOKUP(E9481,DATABASE!C:Q,4,false)</f>
        <v>SPOORING SS/CARRY LOS BAK</v>
      </c>
      <c r="R9481" s="93" t="str">
        <f>VLOOKUP(E9481,DATABASE!C:Q,11,false)</f>
        <v>SERVICE</v>
      </c>
    </row>
    <row r="9482" ht="22.5" customHeight="1">
      <c r="A9482" s="49"/>
      <c r="C9482" s="400">
        <v>46214.0</v>
      </c>
      <c r="D9482" s="524">
        <v>318.0</v>
      </c>
      <c r="E9482" s="544" t="s">
        <v>251</v>
      </c>
      <c r="F9482" s="387">
        <v>1.0</v>
      </c>
      <c r="G9482" s="140">
        <v>350000.0</v>
      </c>
      <c r="H9482" s="140">
        <v>230000.0</v>
      </c>
      <c r="I9482" s="74">
        <f t="shared" si="1"/>
        <v>120000</v>
      </c>
      <c r="J9482" s="74">
        <f>IF(E9482="SERVICE",I9482-(I9482*50%),Vlookup(E9482,DATABASE!C:Q,10,false)*F9482)</f>
        <v>60000</v>
      </c>
      <c r="K9482" s="74">
        <f>VLOOKUP(E9482,DATABASE!C:Q,7,false)</f>
        <v>0</v>
      </c>
      <c r="L9482" s="74">
        <v>0.0</v>
      </c>
      <c r="M9482" s="74">
        <f t="shared" si="6"/>
        <v>0</v>
      </c>
      <c r="N9482" s="74">
        <f t="shared" si="3"/>
        <v>60000</v>
      </c>
      <c r="O9482" s="65" t="str">
        <f>VLOOKUP(E9482,DATABASE!C:Q,8,false)</f>
        <v>IBU</v>
      </c>
      <c r="P9482" s="65">
        <f>VLOOKUP(E9482,DATABASE!C:Q,9,False)</f>
        <v>0</v>
      </c>
      <c r="Q9482" s="93" t="str">
        <f>VLOOKUP(E9482,DATABASE!C:Q,4,false)</f>
        <v>SERVICE</v>
      </c>
      <c r="R9482" s="93" t="str">
        <f>VLOOKUP(E9482,DATABASE!C:Q,11,false)</f>
        <v>SERVICE</v>
      </c>
    </row>
    <row r="9483" ht="22.5" customHeight="1">
      <c r="A9483" s="49"/>
      <c r="C9483" s="400">
        <v>46214.0</v>
      </c>
      <c r="D9483" s="524">
        <v>319.0</v>
      </c>
      <c r="E9483" s="544" t="s">
        <v>839</v>
      </c>
      <c r="F9483" s="387">
        <v>1.0</v>
      </c>
      <c r="G9483" s="140">
        <v>580000.0</v>
      </c>
      <c r="H9483" s="74"/>
      <c r="I9483" s="74">
        <f t="shared" si="1"/>
        <v>580000</v>
      </c>
      <c r="J9483" s="74">
        <f>IF(E9483="SERVICE",I9483-(I9483*50%),Vlookup(E9483,DATABASE!C:Q,10,false)*F9483)</f>
        <v>0</v>
      </c>
      <c r="K9483" s="74">
        <f>VLOOKUP(E9483,DATABASE!C:Q,7,false)</f>
        <v>512640</v>
      </c>
      <c r="L9483" s="74">
        <v>490000.0</v>
      </c>
      <c r="M9483" s="74">
        <f t="shared" si="6"/>
        <v>490000</v>
      </c>
      <c r="N9483" s="74">
        <f t="shared" si="3"/>
        <v>90000</v>
      </c>
      <c r="O9483" s="65" t="str">
        <f>VLOOKUP(E9483,DATABASE!C:Q,8,false)</f>
        <v>BIAN</v>
      </c>
      <c r="P9483" s="65">
        <f>VLOOKUP(E9483,DATABASE!C:Q,9,False)</f>
        <v>1</v>
      </c>
      <c r="Q9483" s="93" t="str">
        <f>VLOOKUP(E9483,DATABASE!C:Q,4,false)</f>
        <v>GT</v>
      </c>
      <c r="R9483" s="93" t="str">
        <f>VLOOKUP(E9483,DATABASE!C:Q,11,false)</f>
        <v>Tire</v>
      </c>
    </row>
    <row r="9484" ht="22.5" customHeight="1">
      <c r="A9484" s="49"/>
      <c r="C9484" s="400">
        <v>46214.0</v>
      </c>
      <c r="D9484" s="69" t="s">
        <v>2870</v>
      </c>
      <c r="E9484" s="544" t="s">
        <v>248</v>
      </c>
      <c r="F9484" s="387">
        <v>1.0</v>
      </c>
      <c r="G9484" s="140">
        <v>250000.0</v>
      </c>
      <c r="H9484" s="74"/>
      <c r="I9484" s="74">
        <f t="shared" si="1"/>
        <v>250000</v>
      </c>
      <c r="J9484" s="74">
        <f>IF(E9484="SERVICE",I9484-(I9484*50%),Vlookup(E9484,DATABASE!C:Q,10,false)*F9484)</f>
        <v>0</v>
      </c>
      <c r="K9484" s="74">
        <f>VLOOKUP(E9484,DATABASE!C:Q,7,false)</f>
        <v>209816.66</v>
      </c>
      <c r="L9484" s="74">
        <v>209816.66</v>
      </c>
      <c r="M9484" s="74">
        <f t="shared" si="6"/>
        <v>210000</v>
      </c>
      <c r="N9484" s="74">
        <f t="shared" si="3"/>
        <v>40000</v>
      </c>
      <c r="O9484" s="65" t="str">
        <f>VLOOKUP(E9484,DATABASE!C:Q,8,false)</f>
        <v>NON</v>
      </c>
      <c r="P9484" s="65">
        <f>VLOOKUP(E9484,DATABASE!C:Q,9,False)</f>
        <v>0</v>
      </c>
      <c r="Q9484" s="93" t="str">
        <f>VLOOKUP(E9484,DATABASE!C:Q,4,false)</f>
        <v>Pertamina</v>
      </c>
      <c r="R9484" s="93" t="str">
        <f>VLOOKUP(E9484,DATABASE!C:Q,11,false)</f>
        <v>OIL</v>
      </c>
    </row>
    <row r="9485" ht="22.5" customHeight="1">
      <c r="A9485" s="49"/>
      <c r="C9485" s="400">
        <v>46214.0</v>
      </c>
      <c r="D9485" s="69" t="s">
        <v>2870</v>
      </c>
      <c r="E9485" s="544" t="s">
        <v>298</v>
      </c>
      <c r="F9485" s="387">
        <v>1.0</v>
      </c>
      <c r="G9485" s="140">
        <v>25000.0</v>
      </c>
      <c r="H9485" s="74"/>
      <c r="I9485" s="74">
        <f t="shared" si="1"/>
        <v>25000</v>
      </c>
      <c r="J9485" s="74">
        <f>IF(E9485="SERVICE",I9485-(I9485*50%),Vlookup(E9485,DATABASE!C:Q,10,false)*F9485)</f>
        <v>0</v>
      </c>
      <c r="K9485" s="74">
        <f>VLOOKUP(E9485,DATABASE!C:Q,7,false)</f>
        <v>19200</v>
      </c>
      <c r="L9485" s="74">
        <v>19200.0</v>
      </c>
      <c r="M9485" s="74">
        <f t="shared" si="6"/>
        <v>20000</v>
      </c>
      <c r="N9485" s="74">
        <f t="shared" si="3"/>
        <v>5000</v>
      </c>
      <c r="O9485" s="65" t="str">
        <f>VLOOKUP(E9485,DATABASE!C:Q,8,false)</f>
        <v>BIAN</v>
      </c>
      <c r="P9485" s="65">
        <f>VLOOKUP(E9485,DATABASE!C:Q,9,False)</f>
        <v>0</v>
      </c>
      <c r="Q9485" s="93" t="str">
        <f>VLOOKUP(E9485,DATABASE!C:Q,4,false)</f>
        <v>Aspira</v>
      </c>
      <c r="R9485" s="93" t="str">
        <f>VLOOKUP(E9485,DATABASE!C:Q,11,false)</f>
        <v>COMPLEMENTARY</v>
      </c>
    </row>
    <row r="9486" ht="22.5" customHeight="1">
      <c r="A9486" s="49"/>
      <c r="C9486" s="400">
        <v>46214.0</v>
      </c>
      <c r="D9486" s="69" t="s">
        <v>2871</v>
      </c>
      <c r="E9486" s="544" t="s">
        <v>2191</v>
      </c>
      <c r="F9486" s="387">
        <v>1.0</v>
      </c>
      <c r="G9486" s="140">
        <v>475000.0</v>
      </c>
      <c r="H9486" s="74"/>
      <c r="I9486" s="74">
        <f t="shared" si="1"/>
        <v>475000</v>
      </c>
      <c r="J9486" s="74">
        <f>IF(E9486="SERVICE",I9486-(I9486*50%),Vlookup(E9486,DATABASE!C:Q,10,false)*F9486)</f>
        <v>0</v>
      </c>
      <c r="K9486" s="74">
        <f>VLOOKUP(E9486,DATABASE!C:Q,7,false)</f>
        <v>422900</v>
      </c>
      <c r="L9486" s="74">
        <v>422900.0</v>
      </c>
      <c r="M9486" s="74">
        <f t="shared" si="6"/>
        <v>425000</v>
      </c>
      <c r="N9486" s="74">
        <f t="shared" si="3"/>
        <v>50000</v>
      </c>
      <c r="O9486" s="65" t="str">
        <f>VLOOKUP(E9486,DATABASE!C:Q,8,false)</f>
        <v>NON</v>
      </c>
      <c r="P9486" s="65">
        <f>VLOOKUP(E9486,DATABASE!C:Q,9,False)</f>
        <v>0</v>
      </c>
      <c r="Q9486" s="93" t="str">
        <f>VLOOKUP(E9486,DATABASE!C:Q,4,false)</f>
        <v>Shell</v>
      </c>
      <c r="R9486" s="93" t="str">
        <f>VLOOKUP(E9486,DATABASE!C:Q,11,false)</f>
        <v>OIL</v>
      </c>
    </row>
    <row r="9487" ht="22.5" customHeight="1">
      <c r="A9487" s="49"/>
      <c r="C9487" s="400">
        <v>46215.0</v>
      </c>
      <c r="D9487" s="524">
        <v>320.0</v>
      </c>
      <c r="E9487" s="544" t="s">
        <v>256</v>
      </c>
      <c r="F9487" s="387">
        <v>1.0</v>
      </c>
      <c r="G9487" s="140">
        <v>175000.0</v>
      </c>
      <c r="H9487" s="140">
        <v>25000.0</v>
      </c>
      <c r="I9487" s="74">
        <f t="shared" si="1"/>
        <v>150000</v>
      </c>
      <c r="J9487" s="74">
        <f>IF(E9487="SERVICE",I9487-(I9487*50%),Vlookup(E9487,DATABASE!C:Q,10,false)*F9487)</f>
        <v>10000</v>
      </c>
      <c r="K9487" s="74">
        <f>VLOOKUP(E9487,DATABASE!C:Q,7,false)</f>
        <v>0</v>
      </c>
      <c r="L9487" s="74">
        <v>0.0</v>
      </c>
      <c r="M9487" s="74">
        <f t="shared" si="6"/>
        <v>0</v>
      </c>
      <c r="N9487" s="74">
        <f t="shared" si="3"/>
        <v>140000</v>
      </c>
      <c r="O9487" s="65" t="str">
        <f>VLOOKUP(E9487,DATABASE!C:Q,8,false)</f>
        <v>IBU</v>
      </c>
      <c r="P9487" s="65">
        <f>VLOOKUP(E9487,DATABASE!C:Q,9,False)</f>
        <v>0</v>
      </c>
      <c r="Q9487" s="93" t="str">
        <f>VLOOKUP(E9487,DATABASE!C:Q,4,false)</f>
        <v>SPOORING</v>
      </c>
      <c r="R9487" s="93" t="str">
        <f>VLOOKUP(E9487,DATABASE!C:Q,11,false)</f>
        <v>SERVICE</v>
      </c>
    </row>
    <row r="9488" ht="22.5" customHeight="1">
      <c r="A9488" s="49"/>
      <c r="C9488" s="400">
        <v>46215.0</v>
      </c>
      <c r="D9488" s="524">
        <v>320.0</v>
      </c>
      <c r="E9488" s="544" t="s">
        <v>301</v>
      </c>
      <c r="F9488" s="387">
        <v>1.0</v>
      </c>
      <c r="G9488" s="140">
        <v>250000.0</v>
      </c>
      <c r="H9488" s="74"/>
      <c r="I9488" s="74">
        <f t="shared" si="1"/>
        <v>250000</v>
      </c>
      <c r="J9488" s="74">
        <f>IF(E9488="SERVICE",I9488-(I9488*50%),Vlookup(E9488,DATABASE!C:Q,10,false)*F9488)</f>
        <v>75000</v>
      </c>
      <c r="K9488" s="74">
        <f>VLOOKUP(E9488,DATABASE!C:Q,7,false)</f>
        <v>75000</v>
      </c>
      <c r="L9488" s="74">
        <v>75000.0</v>
      </c>
      <c r="M9488" s="74">
        <f t="shared" si="6"/>
        <v>75000</v>
      </c>
      <c r="N9488" s="74">
        <f t="shared" si="3"/>
        <v>100000</v>
      </c>
      <c r="O9488" s="65" t="str">
        <f>VLOOKUP(E9488,DATABASE!C:Q,8,false)</f>
        <v>BIAN</v>
      </c>
      <c r="P9488" s="65">
        <f>VLOOKUP(E9488,DATABASE!C:Q,9,False)</f>
        <v>0</v>
      </c>
      <c r="Q9488" s="93" t="str">
        <f>VLOOKUP(E9488,DATABASE!C:Q,4,false)</f>
        <v>Baut Camber</v>
      </c>
      <c r="R9488" s="93" t="str">
        <f>VLOOKUP(E9488,DATABASE!C:Q,11,false)</f>
        <v>COMPLEMENTARY</v>
      </c>
    </row>
    <row r="9489" ht="22.5" customHeight="1">
      <c r="A9489" s="49"/>
      <c r="C9489" s="400">
        <v>46215.0</v>
      </c>
      <c r="D9489" s="524">
        <v>320.0</v>
      </c>
      <c r="E9489" s="544" t="s">
        <v>299</v>
      </c>
      <c r="F9489" s="387">
        <v>2.0</v>
      </c>
      <c r="G9489" s="140">
        <v>30000.0</v>
      </c>
      <c r="H9489" s="74"/>
      <c r="I9489" s="74">
        <f t="shared" si="1"/>
        <v>60000</v>
      </c>
      <c r="J9489" s="74">
        <f>IF(E9489="SERVICE",I9489-(I9489*50%),Vlookup(E9489,DATABASE!C:Q,10,false)*F9489)</f>
        <v>0</v>
      </c>
      <c r="K9489" s="74">
        <f>VLOOKUP(E9489,DATABASE!C:Q,7,false)</f>
        <v>10000</v>
      </c>
      <c r="L9489" s="74">
        <v>10000.0</v>
      </c>
      <c r="M9489" s="74">
        <f t="shared" si="6"/>
        <v>10000</v>
      </c>
      <c r="N9489" s="74">
        <f t="shared" si="3"/>
        <v>40000</v>
      </c>
      <c r="O9489" s="65" t="str">
        <f>VLOOKUP(E9489,DATABASE!C:Q,8,false)</f>
        <v>BIAN</v>
      </c>
      <c r="P9489" s="65">
        <f>VLOOKUP(E9489,DATABASE!C:Q,9,False)</f>
        <v>0</v>
      </c>
      <c r="Q9489" s="93" t="str">
        <f>VLOOKUP(E9489,DATABASE!C:Q,4,false)</f>
        <v>Balancing</v>
      </c>
      <c r="R9489" s="93" t="str">
        <f>VLOOKUP(E9489,DATABASE!C:Q,11,false)</f>
        <v>COMPLEMENTARY</v>
      </c>
    </row>
    <row r="9490" ht="22.5" customHeight="1">
      <c r="A9490" s="49"/>
      <c r="C9490" s="400">
        <v>46215.0</v>
      </c>
      <c r="D9490" s="524">
        <v>321.0</v>
      </c>
      <c r="E9490" s="544" t="s">
        <v>256</v>
      </c>
      <c r="F9490" s="387">
        <v>1.0</v>
      </c>
      <c r="G9490" s="140">
        <v>175000.0</v>
      </c>
      <c r="H9490" s="140">
        <v>25000.0</v>
      </c>
      <c r="I9490" s="74">
        <f t="shared" si="1"/>
        <v>150000</v>
      </c>
      <c r="J9490" s="74">
        <f>IF(E9490="SERVICE",I9490-(I9490*50%),Vlookup(E9490,DATABASE!C:Q,10,false)*F9490)</f>
        <v>10000</v>
      </c>
      <c r="K9490" s="74">
        <f>VLOOKUP(E9490,DATABASE!C:Q,7,false)</f>
        <v>0</v>
      </c>
      <c r="L9490" s="74">
        <v>0.0</v>
      </c>
      <c r="M9490" s="74">
        <f t="shared" si="6"/>
        <v>0</v>
      </c>
      <c r="N9490" s="74">
        <f t="shared" si="3"/>
        <v>140000</v>
      </c>
      <c r="O9490" s="65" t="str">
        <f>VLOOKUP(E9490,DATABASE!C:Q,8,false)</f>
        <v>IBU</v>
      </c>
      <c r="P9490" s="65">
        <f>VLOOKUP(E9490,DATABASE!C:Q,9,False)</f>
        <v>0</v>
      </c>
      <c r="Q9490" s="93" t="str">
        <f>VLOOKUP(E9490,DATABASE!C:Q,4,false)</f>
        <v>SPOORING</v>
      </c>
      <c r="R9490" s="93" t="str">
        <f>VLOOKUP(E9490,DATABASE!C:Q,11,false)</f>
        <v>SERVICE</v>
      </c>
    </row>
    <row r="9491" ht="22.5" customHeight="1">
      <c r="A9491" s="49"/>
      <c r="C9491" s="400">
        <v>46215.0</v>
      </c>
      <c r="D9491" s="524">
        <v>322.0</v>
      </c>
      <c r="E9491" s="544" t="s">
        <v>268</v>
      </c>
      <c r="F9491" s="387">
        <v>2.0</v>
      </c>
      <c r="G9491" s="140">
        <v>720000.0</v>
      </c>
      <c r="H9491" s="74"/>
      <c r="I9491" s="74">
        <f t="shared" si="1"/>
        <v>1440000</v>
      </c>
      <c r="J9491" s="74">
        <f>IF(E9491="SERVICE",I9491-(I9491*50%),Vlookup(E9491,DATABASE!C:Q,10,false)*F9491)</f>
        <v>0</v>
      </c>
      <c r="K9491" s="74">
        <f>VLOOKUP(E9491,DATABASE!C:Q,7,false)</f>
        <v>653000</v>
      </c>
      <c r="L9491" s="74">
        <v>634500.0</v>
      </c>
      <c r="M9491" s="74">
        <f t="shared" si="6"/>
        <v>635000</v>
      </c>
      <c r="N9491" s="74">
        <f t="shared" si="3"/>
        <v>170000</v>
      </c>
      <c r="O9491" s="65" t="str">
        <f>VLOOKUP(E9491,DATABASE!C:Q,8,false)</f>
        <v>IBU</v>
      </c>
      <c r="P9491" s="65">
        <f>VLOOKUP(E9491,DATABASE!C:Q,9,False)</f>
        <v>1</v>
      </c>
      <c r="Q9491" s="93" t="str">
        <f>VLOOKUP(E9491,DATABASE!C:Q,4,false)</f>
        <v>Dunlop</v>
      </c>
      <c r="R9491" s="93" t="str">
        <f>VLOOKUP(E9491,DATABASE!C:Q,11,false)</f>
        <v>Tire</v>
      </c>
    </row>
    <row r="9492" ht="22.5" customHeight="1">
      <c r="A9492" s="29"/>
      <c r="C9492" s="400">
        <v>46215.0</v>
      </c>
      <c r="D9492" s="524">
        <v>323.0</v>
      </c>
      <c r="E9492" s="544" t="s">
        <v>262</v>
      </c>
      <c r="F9492" s="387">
        <v>1.0</v>
      </c>
      <c r="G9492" s="140">
        <v>130000.0</v>
      </c>
      <c r="H9492" s="74"/>
      <c r="I9492" s="74">
        <f t="shared" si="1"/>
        <v>130000</v>
      </c>
      <c r="J9492" s="74">
        <f>IF(E9492="SERVICE",I9492-(I9492*50%),Vlookup(E9492,DATABASE!C:Q,10,false)*F9492)</f>
        <v>5000</v>
      </c>
      <c r="K9492" s="140">
        <v>0.0</v>
      </c>
      <c r="L9492" s="140">
        <v>0.0</v>
      </c>
      <c r="M9492" s="74">
        <f t="shared" si="6"/>
        <v>0</v>
      </c>
      <c r="N9492" s="74">
        <f t="shared" si="3"/>
        <v>125000</v>
      </c>
      <c r="O9492" s="65" t="str">
        <f>VLOOKUP(E9492,DATABASE!C:Q,8,false)</f>
        <v>IBU</v>
      </c>
      <c r="P9492" s="65">
        <f>VLOOKUP(E9492,DATABASE!C:Q,9,False)</f>
        <v>0</v>
      </c>
      <c r="Q9492" s="93" t="str">
        <f>VLOOKUP(E9492,DATABASE!C:Q,4,false)</f>
        <v>SPOORING SS/CARRY LOS BAK</v>
      </c>
      <c r="R9492" s="93" t="str">
        <f>VLOOKUP(E9492,DATABASE!C:Q,11,false)</f>
        <v>SERVICE</v>
      </c>
    </row>
    <row r="9493" ht="22.5" customHeight="1">
      <c r="A9493" s="49"/>
      <c r="C9493" s="400">
        <v>46215.0</v>
      </c>
      <c r="D9493" s="524">
        <v>323.0</v>
      </c>
      <c r="E9493" s="544" t="s">
        <v>251</v>
      </c>
      <c r="F9493" s="387">
        <v>1.0</v>
      </c>
      <c r="G9493" s="140">
        <v>350000.0</v>
      </c>
      <c r="H9493" s="140">
        <v>230000.0</v>
      </c>
      <c r="I9493" s="74">
        <f t="shared" si="1"/>
        <v>120000</v>
      </c>
      <c r="J9493" s="74">
        <f>IF(E9493="SERVICE",I9493-(I9493*50%),Vlookup(E9493,DATABASE!C:Q,10,false)*F9493)</f>
        <v>60000</v>
      </c>
      <c r="K9493" s="74">
        <f>VLOOKUP(E9493,DATABASE!C:Q,7,false)</f>
        <v>0</v>
      </c>
      <c r="L9493" s="74">
        <v>0.0</v>
      </c>
      <c r="M9493" s="74">
        <f t="shared" si="6"/>
        <v>0</v>
      </c>
      <c r="N9493" s="74">
        <f t="shared" si="3"/>
        <v>60000</v>
      </c>
      <c r="O9493" s="65" t="str">
        <f>VLOOKUP(E9493,DATABASE!C:Q,8,false)</f>
        <v>IBU</v>
      </c>
      <c r="P9493" s="65">
        <f>VLOOKUP(E9493,DATABASE!C:Q,9,False)</f>
        <v>0</v>
      </c>
      <c r="Q9493" s="93" t="str">
        <f>VLOOKUP(E9493,DATABASE!C:Q,4,false)</f>
        <v>SERVICE</v>
      </c>
      <c r="R9493" s="93" t="str">
        <f>VLOOKUP(E9493,DATABASE!C:Q,11,false)</f>
        <v>SERVICE</v>
      </c>
    </row>
    <row r="9494" ht="22.5" customHeight="1">
      <c r="A9494" s="49"/>
      <c r="C9494" s="400">
        <v>46215.0</v>
      </c>
      <c r="D9494" s="69" t="s">
        <v>2872</v>
      </c>
      <c r="E9494" s="544" t="s">
        <v>263</v>
      </c>
      <c r="F9494" s="387">
        <v>1.0</v>
      </c>
      <c r="G9494" s="140">
        <v>385000.0</v>
      </c>
      <c r="H9494" s="74"/>
      <c r="I9494" s="74">
        <f t="shared" si="1"/>
        <v>385000</v>
      </c>
      <c r="J9494" s="74">
        <f>IF(E9494="SERVICE",I9494-(I9494*50%),Vlookup(E9494,DATABASE!C:Q,10,false)*F9494)</f>
        <v>0</v>
      </c>
      <c r="K9494" s="74">
        <f>VLOOKUP(E9494,DATABASE!C:Q,7,false)</f>
        <v>334916</v>
      </c>
      <c r="L9494" s="74">
        <v>334916.0</v>
      </c>
      <c r="M9494" s="74">
        <f t="shared" si="6"/>
        <v>335000</v>
      </c>
      <c r="N9494" s="74">
        <f t="shared" si="3"/>
        <v>50000</v>
      </c>
      <c r="O9494" s="65" t="str">
        <f>VLOOKUP(E9494,DATABASE!C:Q,8,false)</f>
        <v>NON</v>
      </c>
      <c r="P9494" s="65">
        <f>VLOOKUP(E9494,DATABASE!C:Q,9,False)</f>
        <v>0</v>
      </c>
      <c r="Q9494" s="93" t="str">
        <f>VLOOKUP(E9494,DATABASE!C:Q,4,false)</f>
        <v>Shell</v>
      </c>
      <c r="R9494" s="93" t="str">
        <f>VLOOKUP(E9494,DATABASE!C:Q,11,false)</f>
        <v>OIL</v>
      </c>
    </row>
    <row r="9495" ht="22.5" customHeight="1">
      <c r="A9495" s="49"/>
      <c r="C9495" s="400">
        <v>46216.0</v>
      </c>
      <c r="D9495" s="524">
        <v>324.0</v>
      </c>
      <c r="E9495" s="544" t="s">
        <v>295</v>
      </c>
      <c r="F9495" s="387">
        <v>3.0</v>
      </c>
      <c r="G9495" s="140">
        <v>1580000.0</v>
      </c>
      <c r="H9495" s="140">
        <v>20000.0</v>
      </c>
      <c r="I9495" s="74">
        <f t="shared" si="1"/>
        <v>4680000</v>
      </c>
      <c r="J9495" s="74">
        <f>IF(E9495="SERVICE",I9495-(I9495*50%),Vlookup(E9495,DATABASE!C:Q,10,false)*F9495)</f>
        <v>0</v>
      </c>
      <c r="K9495" s="74">
        <f>VLOOKUP(E9495,DATABASE!C:Q,7,false)</f>
        <v>1475000</v>
      </c>
      <c r="L9495" s="74">
        <v>1475000.0</v>
      </c>
      <c r="M9495" s="74">
        <f t="shared" si="6"/>
        <v>1475000</v>
      </c>
      <c r="N9495" s="74">
        <f t="shared" si="3"/>
        <v>255000</v>
      </c>
      <c r="O9495" s="65" t="str">
        <f>VLOOKUP(E9495,DATABASE!C:Q,8,false)</f>
        <v>BIAN</v>
      </c>
      <c r="P9495" s="65">
        <f>VLOOKUP(E9495,DATABASE!C:Q,9,False)</f>
        <v>1</v>
      </c>
      <c r="Q9495" s="93" t="str">
        <f>VLOOKUP(E9495,DATABASE!C:Q,4,false)</f>
        <v>TIRON</v>
      </c>
      <c r="R9495" s="93" t="str">
        <f>VLOOKUP(E9495,DATABASE!C:Q,11,false)</f>
        <v>Tire</v>
      </c>
    </row>
    <row r="9496" ht="22.5" customHeight="1">
      <c r="A9496" s="49"/>
      <c r="C9496" s="400">
        <v>46216.0</v>
      </c>
      <c r="D9496" s="524">
        <v>324.0</v>
      </c>
      <c r="E9496" s="544" t="s">
        <v>695</v>
      </c>
      <c r="F9496" s="387">
        <v>2.0</v>
      </c>
      <c r="G9496" s="140">
        <v>675000.0</v>
      </c>
      <c r="H9496" s="140">
        <v>10000.0</v>
      </c>
      <c r="I9496" s="74">
        <f t="shared" si="1"/>
        <v>1330000</v>
      </c>
      <c r="J9496" s="74">
        <f>IF(E9496="SERVICE",I9496-(I9496*50%),Vlookup(E9496,DATABASE!C:Q,10,false)*F9496)</f>
        <v>0</v>
      </c>
      <c r="K9496" s="74">
        <f>VLOOKUP(E9496,DATABASE!C:Q,7,false)</f>
        <v>582000</v>
      </c>
      <c r="L9496" s="74">
        <v>582000.0</v>
      </c>
      <c r="M9496" s="74">
        <f t="shared" si="6"/>
        <v>585000</v>
      </c>
      <c r="N9496" s="74">
        <f t="shared" si="3"/>
        <v>160000</v>
      </c>
      <c r="O9496" s="65" t="str">
        <f>VLOOKUP(E9496,DATABASE!C:Q,8,false)</f>
        <v>IBU</v>
      </c>
      <c r="P9496" s="65">
        <f>VLOOKUP(E9496,DATABASE!C:Q,9,False)</f>
        <v>1</v>
      </c>
      <c r="Q9496" s="93" t="str">
        <f>VLOOKUP(E9496,DATABASE!C:Q,4,false)</f>
        <v>Dunlop</v>
      </c>
      <c r="R9496" s="93" t="str">
        <f>VLOOKUP(E9496,DATABASE!C:Q,11,false)</f>
        <v>Tire</v>
      </c>
    </row>
    <row r="9497" ht="22.5" customHeight="1">
      <c r="A9497" s="49"/>
      <c r="C9497" s="400">
        <v>46216.0</v>
      </c>
      <c r="D9497" s="524">
        <v>324.0</v>
      </c>
      <c r="E9497" s="544" t="s">
        <v>1033</v>
      </c>
      <c r="F9497" s="387">
        <v>1.0</v>
      </c>
      <c r="G9497" s="140">
        <v>750000.0</v>
      </c>
      <c r="H9497" s="140">
        <v>10000.0</v>
      </c>
      <c r="I9497" s="74">
        <f t="shared" si="1"/>
        <v>740000</v>
      </c>
      <c r="J9497" s="74">
        <f>IF(E9497="SERVICE",I9497-(I9497*50%),Vlookup(E9497,DATABASE!C:Q,10,false)*F9497)</f>
        <v>0</v>
      </c>
      <c r="K9497" s="74">
        <f>VLOOKUP(E9497,DATABASE!C:Q,7,false)</f>
        <v>680512</v>
      </c>
      <c r="L9497" s="74">
        <v>657305.6</v>
      </c>
      <c r="M9497" s="74">
        <f t="shared" si="6"/>
        <v>660000</v>
      </c>
      <c r="N9497" s="74">
        <f t="shared" si="3"/>
        <v>80000</v>
      </c>
      <c r="O9497" s="65" t="str">
        <f>VLOOKUP(E9497,DATABASE!C:Q,8,false)</f>
        <v>IBU</v>
      </c>
      <c r="P9497" s="65">
        <f>VLOOKUP(E9497,DATABASE!C:Q,9,False)</f>
        <v>1</v>
      </c>
      <c r="Q9497" s="93" t="str">
        <f>VLOOKUP(E9497,DATABASE!C:Q,4,false)</f>
        <v>Bridgestone</v>
      </c>
      <c r="R9497" s="93" t="str">
        <f>VLOOKUP(E9497,DATABASE!C:Q,11,false)</f>
        <v>Tire</v>
      </c>
    </row>
    <row r="9498" ht="22.5" customHeight="1">
      <c r="A9498" s="49"/>
      <c r="C9498" s="400">
        <v>46216.0</v>
      </c>
      <c r="D9498" s="524">
        <v>324.0</v>
      </c>
      <c r="E9498" s="544" t="s">
        <v>286</v>
      </c>
      <c r="F9498" s="387">
        <v>1.0</v>
      </c>
      <c r="G9498" s="140">
        <v>580000.0</v>
      </c>
      <c r="H9498" s="140">
        <v>10000.0</v>
      </c>
      <c r="I9498" s="74">
        <f t="shared" si="1"/>
        <v>570000</v>
      </c>
      <c r="J9498" s="74">
        <f>IF(E9498="SERVICE",I9498-(I9498*50%),Vlookup(E9498,DATABASE!C:Q,10,false)*F9498)</f>
        <v>0</v>
      </c>
      <c r="K9498" s="74">
        <f>VLOOKUP(E9498,DATABASE!C:Q,7,false)</f>
        <v>488320</v>
      </c>
      <c r="L9498" s="74">
        <v>474240.0</v>
      </c>
      <c r="M9498" s="74">
        <f t="shared" si="6"/>
        <v>475000</v>
      </c>
      <c r="N9498" s="74">
        <f t="shared" si="3"/>
        <v>95000</v>
      </c>
      <c r="O9498" s="65" t="str">
        <f>VLOOKUP(E9498,DATABASE!C:Q,8,false)</f>
        <v>BIAN</v>
      </c>
      <c r="P9498" s="65">
        <f>VLOOKUP(E9498,DATABASE!C:Q,9,False)</f>
        <v>1</v>
      </c>
      <c r="Q9498" s="93" t="str">
        <f>VLOOKUP(E9498,DATABASE!C:Q,4,false)</f>
        <v>GT</v>
      </c>
      <c r="R9498" s="93" t="str">
        <f>VLOOKUP(E9498,DATABASE!C:Q,11,false)</f>
        <v>Tire</v>
      </c>
    </row>
    <row r="9499" ht="22.5" customHeight="1">
      <c r="A9499" s="49"/>
      <c r="C9499" s="400">
        <v>46216.0</v>
      </c>
      <c r="D9499" s="524">
        <v>326.0</v>
      </c>
      <c r="E9499" s="544" t="s">
        <v>940</v>
      </c>
      <c r="F9499" s="387">
        <v>1.0</v>
      </c>
      <c r="G9499" s="140">
        <v>820000.0</v>
      </c>
      <c r="H9499" s="74"/>
      <c r="I9499" s="74">
        <f t="shared" si="1"/>
        <v>820000</v>
      </c>
      <c r="J9499" s="74">
        <f>IF(E9499="SERVICE",I9499-(I9499*50%),Vlookup(E9499,DATABASE!C:Q,10,false)*F9499)</f>
        <v>0</v>
      </c>
      <c r="K9499" s="74">
        <f>VLOOKUP(E9499,DATABASE!C:Q,7,false)</f>
        <v>716500</v>
      </c>
      <c r="L9499" s="74">
        <v>716500.0</v>
      </c>
      <c r="M9499" s="74">
        <f t="shared" si="6"/>
        <v>720000</v>
      </c>
      <c r="N9499" s="74">
        <f t="shared" si="3"/>
        <v>100000</v>
      </c>
      <c r="O9499" s="65" t="str">
        <f>VLOOKUP(E9499,DATABASE!C:Q,8,false)</f>
        <v>IBU</v>
      </c>
      <c r="P9499" s="65">
        <f>VLOOKUP(E9499,DATABASE!C:Q,9,False)</f>
        <v>1</v>
      </c>
      <c r="Q9499" s="93" t="str">
        <f>VLOOKUP(E9499,DATABASE!C:Q,4,false)</f>
        <v>Dunlop</v>
      </c>
      <c r="R9499" s="93" t="str">
        <f>VLOOKUP(E9499,DATABASE!C:Q,11,false)</f>
        <v>Tire</v>
      </c>
    </row>
    <row r="9500" ht="22.5" customHeight="1">
      <c r="A9500" s="49"/>
      <c r="C9500" s="400">
        <v>46216.0</v>
      </c>
      <c r="D9500" s="524">
        <v>327.0</v>
      </c>
      <c r="E9500" s="544" t="s">
        <v>781</v>
      </c>
      <c r="F9500" s="387">
        <v>2.0</v>
      </c>
      <c r="G9500" s="140">
        <v>550000.0</v>
      </c>
      <c r="H9500" s="140">
        <v>20000.0</v>
      </c>
      <c r="I9500" s="74">
        <f t="shared" si="1"/>
        <v>1060000</v>
      </c>
      <c r="J9500" s="74">
        <f>IF(E9500="SERVICE",I9500-(I9500*50%),Vlookup(E9500,DATABASE!C:Q,10,false)*F9500)</f>
        <v>0</v>
      </c>
      <c r="K9500" s="74">
        <f>VLOOKUP(E9500,DATABASE!C:Q,7,false)</f>
        <v>470000</v>
      </c>
      <c r="L9500" s="140">
        <v>450000.0</v>
      </c>
      <c r="M9500" s="74">
        <f t="shared" si="6"/>
        <v>450000</v>
      </c>
      <c r="N9500" s="74">
        <f t="shared" si="3"/>
        <v>160000</v>
      </c>
      <c r="O9500" s="65" t="str">
        <f>VLOOKUP(E9500,DATABASE!C:Q,8,false)</f>
        <v>BIAN</v>
      </c>
      <c r="P9500" s="65">
        <f>VLOOKUP(E9500,DATABASE!C:Q,9,False)</f>
        <v>1</v>
      </c>
      <c r="Q9500" s="93" t="str">
        <f>VLOOKUP(E9500,DATABASE!C:Q,4,false)</f>
        <v>GT</v>
      </c>
      <c r="R9500" s="93" t="str">
        <f>VLOOKUP(E9500,DATABASE!C:Q,11,false)</f>
        <v>Tire</v>
      </c>
    </row>
    <row r="9501" ht="22.5" customHeight="1">
      <c r="A9501" s="49"/>
      <c r="C9501" s="400">
        <v>46216.0</v>
      </c>
      <c r="D9501" s="69" t="s">
        <v>2873</v>
      </c>
      <c r="E9501" s="544" t="s">
        <v>248</v>
      </c>
      <c r="F9501" s="387">
        <v>1.0</v>
      </c>
      <c r="G9501" s="140">
        <v>250000.0</v>
      </c>
      <c r="H9501" s="74"/>
      <c r="I9501" s="74">
        <f t="shared" si="1"/>
        <v>250000</v>
      </c>
      <c r="J9501" s="74">
        <f>IF(E9501="SERVICE",I9501-(I9501*50%),Vlookup(E9501,DATABASE!C:Q,10,false)*F9501)</f>
        <v>0</v>
      </c>
      <c r="K9501" s="74">
        <f>VLOOKUP(E9501,DATABASE!C:Q,7,false)</f>
        <v>209816.66</v>
      </c>
      <c r="L9501" s="74">
        <v>209816.66</v>
      </c>
      <c r="M9501" s="74">
        <f t="shared" si="6"/>
        <v>210000</v>
      </c>
      <c r="N9501" s="74">
        <f t="shared" si="3"/>
        <v>40000</v>
      </c>
      <c r="O9501" s="65" t="str">
        <f>VLOOKUP(E9501,DATABASE!C:Q,8,false)</f>
        <v>NON</v>
      </c>
      <c r="P9501" s="65">
        <f>VLOOKUP(E9501,DATABASE!C:Q,9,False)</f>
        <v>0</v>
      </c>
      <c r="Q9501" s="93" t="str">
        <f>VLOOKUP(E9501,DATABASE!C:Q,4,false)</f>
        <v>Pertamina</v>
      </c>
      <c r="R9501" s="93" t="str">
        <f>VLOOKUP(E9501,DATABASE!C:Q,11,false)</f>
        <v>OIL</v>
      </c>
    </row>
    <row r="9502" ht="22.5" customHeight="1">
      <c r="A9502" s="49"/>
      <c r="C9502" s="400">
        <v>46217.0</v>
      </c>
      <c r="D9502" s="524">
        <v>328.0</v>
      </c>
      <c r="E9502" s="544" t="s">
        <v>268</v>
      </c>
      <c r="F9502" s="387">
        <v>2.0</v>
      </c>
      <c r="G9502" s="140">
        <v>720000.0</v>
      </c>
      <c r="H9502" s="74"/>
      <c r="I9502" s="74">
        <f t="shared" si="1"/>
        <v>1440000</v>
      </c>
      <c r="J9502" s="74">
        <f>IF(E9502="SERVICE",I9502-(I9502*50%),Vlookup(E9502,DATABASE!C:Q,10,false)*F9502)</f>
        <v>0</v>
      </c>
      <c r="K9502" s="74">
        <f>VLOOKUP(E9502,DATABASE!C:Q,7,false)</f>
        <v>653000</v>
      </c>
      <c r="L9502" s="74">
        <v>634500.0</v>
      </c>
      <c r="M9502" s="74">
        <f t="shared" si="6"/>
        <v>635000</v>
      </c>
      <c r="N9502" s="74">
        <f t="shared" si="3"/>
        <v>170000</v>
      </c>
      <c r="O9502" s="65" t="str">
        <f>VLOOKUP(E9502,DATABASE!C:Q,8,false)</f>
        <v>IBU</v>
      </c>
      <c r="P9502" s="65">
        <f>VLOOKUP(E9502,DATABASE!C:Q,9,False)</f>
        <v>1</v>
      </c>
      <c r="Q9502" s="93" t="str">
        <f>VLOOKUP(E9502,DATABASE!C:Q,4,false)</f>
        <v>Dunlop</v>
      </c>
      <c r="R9502" s="93" t="str">
        <f>VLOOKUP(E9502,DATABASE!C:Q,11,false)</f>
        <v>Tire</v>
      </c>
    </row>
    <row r="9503" ht="22.5" customHeight="1">
      <c r="A9503" s="49"/>
      <c r="C9503" s="400">
        <v>46217.0</v>
      </c>
      <c r="D9503" s="524">
        <v>330.0</v>
      </c>
      <c r="E9503" s="544" t="s">
        <v>1192</v>
      </c>
      <c r="F9503" s="387">
        <v>2.0</v>
      </c>
      <c r="G9503" s="140">
        <v>1150000.0</v>
      </c>
      <c r="H9503" s="140">
        <v>50000.0</v>
      </c>
      <c r="I9503" s="74">
        <f t="shared" si="1"/>
        <v>2200000</v>
      </c>
      <c r="J9503" s="74">
        <f>IF(E9503="SERVICE",I9503-(I9503*50%),Vlookup(E9503,DATABASE!C:Q,10,false)*F9503)</f>
        <v>0</v>
      </c>
      <c r="K9503" s="74">
        <f>VLOOKUP(E9503,DATABASE!C:Q,7,false)</f>
        <v>1027000</v>
      </c>
      <c r="L9503" s="140">
        <v>1035000.0</v>
      </c>
      <c r="M9503" s="74">
        <f t="shared" si="6"/>
        <v>1035000</v>
      </c>
      <c r="N9503" s="74">
        <f t="shared" si="3"/>
        <v>130000</v>
      </c>
      <c r="O9503" s="65" t="str">
        <f>VLOOKUP(E9503,DATABASE!C:Q,8,false)</f>
        <v>IBU</v>
      </c>
      <c r="P9503" s="65">
        <f>VLOOKUP(E9503,DATABASE!C:Q,9,False)</f>
        <v>1</v>
      </c>
      <c r="Q9503" s="93" t="str">
        <f>VLOOKUP(E9503,DATABASE!C:Q,4,false)</f>
        <v>Bridgestone</v>
      </c>
      <c r="R9503" s="93" t="str">
        <f>VLOOKUP(E9503,DATABASE!C:Q,11,false)</f>
        <v>Tire</v>
      </c>
    </row>
    <row r="9504" ht="22.5" customHeight="1">
      <c r="A9504" s="49"/>
      <c r="C9504" s="400">
        <v>46217.0</v>
      </c>
      <c r="D9504" s="524">
        <v>330.0</v>
      </c>
      <c r="E9504" s="544" t="s">
        <v>299</v>
      </c>
      <c r="F9504" s="387">
        <v>2.0</v>
      </c>
      <c r="G9504" s="140">
        <v>30000.0</v>
      </c>
      <c r="H9504" s="140">
        <v>5000.0</v>
      </c>
      <c r="I9504" s="74">
        <f t="shared" si="1"/>
        <v>50000</v>
      </c>
      <c r="J9504" s="74">
        <f>IF(E9504="SERVICE",I9504-(I9504*50%),Vlookup(E9504,DATABASE!C:Q,10,false)*F9504)</f>
        <v>0</v>
      </c>
      <c r="K9504" s="74">
        <f>VLOOKUP(E9504,DATABASE!C:Q,7,false)</f>
        <v>10000</v>
      </c>
      <c r="L9504" s="74">
        <v>10000.0</v>
      </c>
      <c r="M9504" s="74">
        <f t="shared" si="6"/>
        <v>10000</v>
      </c>
      <c r="N9504" s="74">
        <f t="shared" si="3"/>
        <v>30000</v>
      </c>
      <c r="O9504" s="65" t="str">
        <f>VLOOKUP(E9504,DATABASE!C:Q,8,false)</f>
        <v>BIAN</v>
      </c>
      <c r="P9504" s="65">
        <f>VLOOKUP(E9504,DATABASE!C:Q,9,False)</f>
        <v>0</v>
      </c>
      <c r="Q9504" s="93" t="str">
        <f>VLOOKUP(E9504,DATABASE!C:Q,4,false)</f>
        <v>Balancing</v>
      </c>
      <c r="R9504" s="93" t="str">
        <f>VLOOKUP(E9504,DATABASE!C:Q,11,false)</f>
        <v>COMPLEMENTARY</v>
      </c>
    </row>
    <row r="9505" ht="22.5" customHeight="1">
      <c r="A9505" s="49"/>
      <c r="C9505" s="400">
        <v>46217.0</v>
      </c>
      <c r="D9505" s="524">
        <v>330.0</v>
      </c>
      <c r="E9505" s="544" t="s">
        <v>256</v>
      </c>
      <c r="F9505" s="387">
        <v>1.0</v>
      </c>
      <c r="G9505" s="140">
        <v>175000.0</v>
      </c>
      <c r="H9505" s="140">
        <v>25000.0</v>
      </c>
      <c r="I9505" s="74">
        <f t="shared" si="1"/>
        <v>150000</v>
      </c>
      <c r="J9505" s="74">
        <f>IF(E9505="SERVICE",I9505-(I9505*50%),Vlookup(E9505,DATABASE!C:Q,10,false)*F9505)</f>
        <v>10000</v>
      </c>
      <c r="K9505" s="74">
        <f>VLOOKUP(E9505,DATABASE!C:Q,7,false)</f>
        <v>0</v>
      </c>
      <c r="L9505" s="74">
        <v>0.0</v>
      </c>
      <c r="M9505" s="74">
        <f t="shared" si="6"/>
        <v>0</v>
      </c>
      <c r="N9505" s="74">
        <f t="shared" si="3"/>
        <v>140000</v>
      </c>
      <c r="O9505" s="65" t="str">
        <f>VLOOKUP(E9505,DATABASE!C:Q,8,false)</f>
        <v>IBU</v>
      </c>
      <c r="P9505" s="65">
        <f>VLOOKUP(E9505,DATABASE!C:Q,9,False)</f>
        <v>0</v>
      </c>
      <c r="Q9505" s="93" t="str">
        <f>VLOOKUP(E9505,DATABASE!C:Q,4,false)</f>
        <v>SPOORING</v>
      </c>
      <c r="R9505" s="93" t="str">
        <f>VLOOKUP(E9505,DATABASE!C:Q,11,false)</f>
        <v>SERVICE</v>
      </c>
    </row>
    <row r="9506" ht="22.5" customHeight="1">
      <c r="A9506" s="49"/>
      <c r="C9506" s="400">
        <v>46217.0</v>
      </c>
      <c r="D9506" s="524">
        <v>332.0</v>
      </c>
      <c r="E9506" s="544" t="s">
        <v>256</v>
      </c>
      <c r="F9506" s="387">
        <v>1.0</v>
      </c>
      <c r="G9506" s="140">
        <v>175000.0</v>
      </c>
      <c r="H9506" s="140">
        <v>25000.0</v>
      </c>
      <c r="I9506" s="74">
        <f t="shared" si="1"/>
        <v>150000</v>
      </c>
      <c r="J9506" s="74">
        <f>IF(E9506="SERVICE",I9506-(I9506*50%),Vlookup(E9506,DATABASE!C:Q,10,false)*F9506)</f>
        <v>10000</v>
      </c>
      <c r="K9506" s="74">
        <f>VLOOKUP(E9506,DATABASE!C:Q,7,false)</f>
        <v>0</v>
      </c>
      <c r="L9506" s="74">
        <v>0.0</v>
      </c>
      <c r="M9506" s="74">
        <f t="shared" si="6"/>
        <v>0</v>
      </c>
      <c r="N9506" s="74">
        <f t="shared" si="3"/>
        <v>140000</v>
      </c>
      <c r="O9506" s="65" t="str">
        <f>VLOOKUP(E9506,DATABASE!C:Q,8,false)</f>
        <v>IBU</v>
      </c>
      <c r="P9506" s="65">
        <f>VLOOKUP(E9506,DATABASE!C:Q,9,False)</f>
        <v>0</v>
      </c>
      <c r="Q9506" s="93" t="str">
        <f>VLOOKUP(E9506,DATABASE!C:Q,4,false)</f>
        <v>SPOORING</v>
      </c>
      <c r="R9506" s="93" t="str">
        <f>VLOOKUP(E9506,DATABASE!C:Q,11,false)</f>
        <v>SERVICE</v>
      </c>
    </row>
    <row r="9507" ht="22.5" customHeight="1">
      <c r="A9507" s="49"/>
      <c r="C9507" s="400">
        <v>46217.0</v>
      </c>
      <c r="D9507" s="524">
        <v>332.0</v>
      </c>
      <c r="E9507" s="544" t="s">
        <v>301</v>
      </c>
      <c r="F9507" s="387">
        <v>1.0</v>
      </c>
      <c r="G9507" s="140">
        <v>250000.0</v>
      </c>
      <c r="H9507" s="74"/>
      <c r="I9507" s="74">
        <f t="shared" si="1"/>
        <v>250000</v>
      </c>
      <c r="J9507" s="74">
        <f>IF(E9507="SERVICE",I9507-(I9507*50%),Vlookup(E9507,DATABASE!C:Q,10,false)*F9507)</f>
        <v>75000</v>
      </c>
      <c r="K9507" s="74">
        <f>VLOOKUP(E9507,DATABASE!C:Q,7,false)</f>
        <v>75000</v>
      </c>
      <c r="L9507" s="74">
        <v>75000.0</v>
      </c>
      <c r="M9507" s="74">
        <f t="shared" si="6"/>
        <v>75000</v>
      </c>
      <c r="N9507" s="74">
        <f t="shared" si="3"/>
        <v>100000</v>
      </c>
      <c r="O9507" s="65" t="str">
        <f>VLOOKUP(E9507,DATABASE!C:Q,8,false)</f>
        <v>BIAN</v>
      </c>
      <c r="P9507" s="65">
        <f>VLOOKUP(E9507,DATABASE!C:Q,9,False)</f>
        <v>0</v>
      </c>
      <c r="Q9507" s="93" t="str">
        <f>VLOOKUP(E9507,DATABASE!C:Q,4,false)</f>
        <v>Baut Camber</v>
      </c>
      <c r="R9507" s="93" t="str">
        <f>VLOOKUP(E9507,DATABASE!C:Q,11,false)</f>
        <v>COMPLEMENTARY</v>
      </c>
    </row>
    <row r="9508" ht="22.5" customHeight="1">
      <c r="A9508" s="49"/>
      <c r="C9508" s="400">
        <v>46217.0</v>
      </c>
      <c r="D9508" s="69">
        <v>333.0</v>
      </c>
      <c r="E9508" s="544" t="s">
        <v>777</v>
      </c>
      <c r="F9508" s="387">
        <v>2.0</v>
      </c>
      <c r="G9508" s="140">
        <v>600000.0</v>
      </c>
      <c r="H9508" s="74"/>
      <c r="I9508" s="74">
        <f t="shared" si="1"/>
        <v>1200000</v>
      </c>
      <c r="J9508" s="74">
        <f>IF(E9508="SERVICE",I9508-(I9508*50%),Vlookup(E9508,DATABASE!C:Q,10,false)*F9508)</f>
        <v>0</v>
      </c>
      <c r="K9508" s="74">
        <f>VLOOKUP(E9508,DATABASE!C:Q,7,false)</f>
        <v>540000</v>
      </c>
      <c r="L9508" s="74">
        <v>520000.0</v>
      </c>
      <c r="M9508" s="74">
        <f t="shared" si="6"/>
        <v>520000</v>
      </c>
      <c r="N9508" s="74">
        <f t="shared" si="3"/>
        <v>160000</v>
      </c>
      <c r="O9508" s="65" t="str">
        <f>VLOOKUP(E9508,DATABASE!C:Q,8,false)</f>
        <v>BIAN</v>
      </c>
      <c r="P9508" s="65">
        <f>VLOOKUP(E9508,DATABASE!C:Q,9,False)</f>
        <v>1</v>
      </c>
      <c r="Q9508" s="93" t="str">
        <f>VLOOKUP(E9508,DATABASE!C:Q,4,false)</f>
        <v>GT</v>
      </c>
      <c r="R9508" s="93" t="str">
        <f>VLOOKUP(E9508,DATABASE!C:Q,11,false)</f>
        <v>Tire</v>
      </c>
    </row>
    <row r="9509" ht="22.5" customHeight="1">
      <c r="A9509" s="49"/>
      <c r="C9509" s="400">
        <v>46217.0</v>
      </c>
      <c r="D9509" s="524">
        <v>334.0</v>
      </c>
      <c r="E9509" s="544" t="s">
        <v>940</v>
      </c>
      <c r="F9509" s="387">
        <v>1.0</v>
      </c>
      <c r="G9509" s="140">
        <v>820000.0</v>
      </c>
      <c r="H9509" s="74"/>
      <c r="I9509" s="74">
        <f t="shared" si="1"/>
        <v>820000</v>
      </c>
      <c r="J9509" s="74">
        <f>IF(E9509="SERVICE",I9509-(I9509*50%),Vlookup(E9509,DATABASE!C:Q,10,false)*F9509)</f>
        <v>0</v>
      </c>
      <c r="K9509" s="74">
        <f>VLOOKUP(E9509,DATABASE!C:Q,7,false)</f>
        <v>716500</v>
      </c>
      <c r="L9509" s="74">
        <v>716500.0</v>
      </c>
      <c r="M9509" s="74">
        <f t="shared" si="6"/>
        <v>720000</v>
      </c>
      <c r="N9509" s="74">
        <f t="shared" si="3"/>
        <v>100000</v>
      </c>
      <c r="O9509" s="65" t="str">
        <f>VLOOKUP(E9509,DATABASE!C:Q,8,false)</f>
        <v>IBU</v>
      </c>
      <c r="P9509" s="65">
        <f>VLOOKUP(E9509,DATABASE!C:Q,9,False)</f>
        <v>1</v>
      </c>
      <c r="Q9509" s="93" t="str">
        <f>VLOOKUP(E9509,DATABASE!C:Q,4,false)</f>
        <v>Dunlop</v>
      </c>
      <c r="R9509" s="93" t="str">
        <f>VLOOKUP(E9509,DATABASE!C:Q,11,false)</f>
        <v>Tire</v>
      </c>
    </row>
    <row r="9510" ht="22.5" customHeight="1">
      <c r="A9510" s="49"/>
      <c r="C9510" s="400">
        <v>46217.0</v>
      </c>
      <c r="D9510" s="524">
        <v>336.0</v>
      </c>
      <c r="E9510" s="544" t="s">
        <v>256</v>
      </c>
      <c r="F9510" s="387">
        <v>1.0</v>
      </c>
      <c r="G9510" s="140">
        <v>175000.0</v>
      </c>
      <c r="H9510" s="140">
        <v>25000.0</v>
      </c>
      <c r="I9510" s="74">
        <f t="shared" si="1"/>
        <v>150000</v>
      </c>
      <c r="J9510" s="74">
        <f>IF(E9510="SERVICE",I9510-(I9510*50%),Vlookup(E9510,DATABASE!C:Q,10,false)*F9510)</f>
        <v>10000</v>
      </c>
      <c r="K9510" s="74">
        <f>VLOOKUP(E9510,DATABASE!C:Q,7,false)</f>
        <v>0</v>
      </c>
      <c r="L9510" s="74">
        <v>0.0</v>
      </c>
      <c r="M9510" s="74">
        <f t="shared" si="6"/>
        <v>0</v>
      </c>
      <c r="N9510" s="74">
        <f t="shared" si="3"/>
        <v>140000</v>
      </c>
      <c r="O9510" s="65" t="str">
        <f>VLOOKUP(E9510,DATABASE!C:Q,8,false)</f>
        <v>IBU</v>
      </c>
      <c r="P9510" s="65">
        <f>VLOOKUP(E9510,DATABASE!C:Q,9,False)</f>
        <v>0</v>
      </c>
      <c r="Q9510" s="93" t="str">
        <f>VLOOKUP(E9510,DATABASE!C:Q,4,false)</f>
        <v>SPOORING</v>
      </c>
      <c r="R9510" s="93" t="str">
        <f>VLOOKUP(E9510,DATABASE!C:Q,11,false)</f>
        <v>SERVICE</v>
      </c>
    </row>
    <row r="9511" ht="22.5" customHeight="1">
      <c r="A9511" s="49"/>
      <c r="C9511" s="400">
        <v>46217.0</v>
      </c>
      <c r="D9511" s="524">
        <v>336.0</v>
      </c>
      <c r="E9511" s="544" t="s">
        <v>251</v>
      </c>
      <c r="F9511" s="387">
        <v>1.0</v>
      </c>
      <c r="G9511" s="140">
        <v>350000.0</v>
      </c>
      <c r="H9511" s="140">
        <v>200000.0</v>
      </c>
      <c r="I9511" s="74">
        <f t="shared" si="1"/>
        <v>150000</v>
      </c>
      <c r="J9511" s="74">
        <f>IF(E9511="SERVICE",I9511-(I9511*50%),Vlookup(E9511,DATABASE!C:Q,10,false)*F9511)</f>
        <v>75000</v>
      </c>
      <c r="K9511" s="74">
        <f>VLOOKUP(E9511,DATABASE!C:Q,7,false)</f>
        <v>0</v>
      </c>
      <c r="L9511" s="74">
        <v>0.0</v>
      </c>
      <c r="M9511" s="74">
        <f t="shared" si="6"/>
        <v>0</v>
      </c>
      <c r="N9511" s="74">
        <f t="shared" si="3"/>
        <v>75000</v>
      </c>
      <c r="O9511" s="65" t="str">
        <f>VLOOKUP(E9511,DATABASE!C:Q,8,false)</f>
        <v>IBU</v>
      </c>
      <c r="P9511" s="65">
        <f>VLOOKUP(E9511,DATABASE!C:Q,9,False)</f>
        <v>0</v>
      </c>
      <c r="Q9511" s="93" t="str">
        <f>VLOOKUP(E9511,DATABASE!C:Q,4,false)</f>
        <v>SERVICE</v>
      </c>
      <c r="R9511" s="93" t="str">
        <f>VLOOKUP(E9511,DATABASE!C:Q,11,false)</f>
        <v>SERVICE</v>
      </c>
    </row>
    <row r="9512" ht="22.5" customHeight="1">
      <c r="A9512" s="49"/>
      <c r="C9512" s="400">
        <v>46217.0</v>
      </c>
      <c r="D9512" s="69" t="s">
        <v>2874</v>
      </c>
      <c r="E9512" s="544" t="s">
        <v>2191</v>
      </c>
      <c r="F9512" s="387">
        <v>1.0</v>
      </c>
      <c r="G9512" s="140">
        <v>475000.0</v>
      </c>
      <c r="H9512" s="74"/>
      <c r="I9512" s="74">
        <f t="shared" si="1"/>
        <v>475000</v>
      </c>
      <c r="J9512" s="74">
        <f>IF(E9512="SERVICE",I9512-(I9512*50%),Vlookup(E9512,DATABASE!C:Q,10,false)*F9512)</f>
        <v>0</v>
      </c>
      <c r="K9512" s="74">
        <f>VLOOKUP(E9512,DATABASE!C:Q,7,false)</f>
        <v>422900</v>
      </c>
      <c r="L9512" s="74">
        <v>422900.0</v>
      </c>
      <c r="M9512" s="74">
        <f t="shared" si="6"/>
        <v>425000</v>
      </c>
      <c r="N9512" s="74">
        <f t="shared" si="3"/>
        <v>50000</v>
      </c>
      <c r="O9512" s="65" t="str">
        <f>VLOOKUP(E9512,DATABASE!C:Q,8,false)</f>
        <v>NON</v>
      </c>
      <c r="P9512" s="65">
        <f>VLOOKUP(E9512,DATABASE!C:Q,9,False)</f>
        <v>0</v>
      </c>
      <c r="Q9512" s="93" t="str">
        <f>VLOOKUP(E9512,DATABASE!C:Q,4,false)</f>
        <v>Shell</v>
      </c>
      <c r="R9512" s="93" t="str">
        <f>VLOOKUP(E9512,DATABASE!C:Q,11,false)</f>
        <v>OIL</v>
      </c>
    </row>
    <row r="9513" ht="22.5" customHeight="1">
      <c r="A9513" s="49"/>
      <c r="C9513" s="400">
        <v>46217.0</v>
      </c>
      <c r="D9513" s="69" t="s">
        <v>2875</v>
      </c>
      <c r="E9513" s="544" t="s">
        <v>298</v>
      </c>
      <c r="F9513" s="387">
        <v>1.0</v>
      </c>
      <c r="G9513" s="140">
        <v>25000.0</v>
      </c>
      <c r="H9513" s="74"/>
      <c r="I9513" s="74">
        <f t="shared" si="1"/>
        <v>25000</v>
      </c>
      <c r="J9513" s="74">
        <f>IF(E9513="SERVICE",I9513-(I9513*50%),Vlookup(E9513,DATABASE!C:Q,10,false)*F9513)</f>
        <v>0</v>
      </c>
      <c r="K9513" s="74">
        <f>VLOOKUP(E9513,DATABASE!C:Q,7,false)</f>
        <v>19200</v>
      </c>
      <c r="L9513" s="74">
        <v>19200.0</v>
      </c>
      <c r="M9513" s="74">
        <f t="shared" si="6"/>
        <v>20000</v>
      </c>
      <c r="N9513" s="74">
        <f t="shared" si="3"/>
        <v>5000</v>
      </c>
      <c r="O9513" s="65" t="str">
        <f>VLOOKUP(E9513,DATABASE!C:Q,8,false)</f>
        <v>BIAN</v>
      </c>
      <c r="P9513" s="65">
        <f>VLOOKUP(E9513,DATABASE!C:Q,9,False)</f>
        <v>0</v>
      </c>
      <c r="Q9513" s="93" t="str">
        <f>VLOOKUP(E9513,DATABASE!C:Q,4,false)</f>
        <v>Aspira</v>
      </c>
      <c r="R9513" s="93" t="str">
        <f>VLOOKUP(E9513,DATABASE!C:Q,11,false)</f>
        <v>COMPLEMENTARY</v>
      </c>
    </row>
    <row r="9514" ht="22.5" customHeight="1">
      <c r="A9514" s="49"/>
      <c r="C9514" s="400">
        <v>46217.0</v>
      </c>
      <c r="D9514" s="69" t="s">
        <v>2876</v>
      </c>
      <c r="E9514" s="544" t="s">
        <v>263</v>
      </c>
      <c r="F9514" s="387">
        <v>1.0</v>
      </c>
      <c r="G9514" s="140">
        <v>385000.0</v>
      </c>
      <c r="H9514" s="74"/>
      <c r="I9514" s="74">
        <f t="shared" si="1"/>
        <v>385000</v>
      </c>
      <c r="J9514" s="74">
        <f>IF(E9514="SERVICE",I9514-(I9514*50%),Vlookup(E9514,DATABASE!C:Q,10,false)*F9514)</f>
        <v>0</v>
      </c>
      <c r="K9514" s="74">
        <f>VLOOKUP(E9514,DATABASE!C:Q,7,false)</f>
        <v>334916</v>
      </c>
      <c r="L9514" s="74">
        <v>334916.0</v>
      </c>
      <c r="M9514" s="74">
        <f t="shared" si="6"/>
        <v>335000</v>
      </c>
      <c r="N9514" s="74">
        <f t="shared" si="3"/>
        <v>50000</v>
      </c>
      <c r="O9514" s="65" t="str">
        <f>VLOOKUP(E9514,DATABASE!C:Q,8,false)</f>
        <v>NON</v>
      </c>
      <c r="P9514" s="65">
        <f>VLOOKUP(E9514,DATABASE!C:Q,9,False)</f>
        <v>0</v>
      </c>
      <c r="Q9514" s="93" t="str">
        <f>VLOOKUP(E9514,DATABASE!C:Q,4,false)</f>
        <v>Shell</v>
      </c>
      <c r="R9514" s="93" t="str">
        <f>VLOOKUP(E9514,DATABASE!C:Q,11,false)</f>
        <v>OIL</v>
      </c>
    </row>
    <row r="9515" ht="22.5" customHeight="1">
      <c r="A9515" s="49"/>
      <c r="C9515" s="400">
        <v>46217.0</v>
      </c>
      <c r="D9515" s="69" t="s">
        <v>2876</v>
      </c>
      <c r="E9515" s="544" t="s">
        <v>298</v>
      </c>
      <c r="F9515" s="387">
        <v>1.0</v>
      </c>
      <c r="G9515" s="140">
        <v>25000.0</v>
      </c>
      <c r="H9515" s="140">
        <v>5000.0</v>
      </c>
      <c r="I9515" s="74">
        <f t="shared" si="1"/>
        <v>20000</v>
      </c>
      <c r="J9515" s="74">
        <f>IF(E9515="SERVICE",I9515-(I9515*50%),Vlookup(E9515,DATABASE!C:Q,10,false)*F9515)</f>
        <v>0</v>
      </c>
      <c r="K9515" s="74">
        <f>VLOOKUP(E9515,DATABASE!C:Q,7,false)</f>
        <v>19200</v>
      </c>
      <c r="L9515" s="74">
        <v>19200.0</v>
      </c>
      <c r="M9515" s="74">
        <f t="shared" si="6"/>
        <v>20000</v>
      </c>
      <c r="N9515" s="74">
        <f t="shared" si="3"/>
        <v>0</v>
      </c>
      <c r="O9515" s="65" t="str">
        <f>VLOOKUP(E9515,DATABASE!C:Q,8,false)</f>
        <v>BIAN</v>
      </c>
      <c r="P9515" s="65">
        <f>VLOOKUP(E9515,DATABASE!C:Q,9,False)</f>
        <v>0</v>
      </c>
      <c r="Q9515" s="93" t="str">
        <f>VLOOKUP(E9515,DATABASE!C:Q,4,false)</f>
        <v>Aspira</v>
      </c>
      <c r="R9515" s="93" t="str">
        <f>VLOOKUP(E9515,DATABASE!C:Q,11,false)</f>
        <v>COMPLEMENTARY</v>
      </c>
    </row>
    <row r="9516" ht="22.5" customHeight="1">
      <c r="A9516" s="49"/>
      <c r="C9516" s="400">
        <v>46218.0</v>
      </c>
      <c r="D9516" s="524">
        <v>337.0</v>
      </c>
      <c r="E9516" s="544" t="s">
        <v>246</v>
      </c>
      <c r="F9516" s="387">
        <v>2.0</v>
      </c>
      <c r="G9516" s="140">
        <v>35000.0</v>
      </c>
      <c r="H9516" s="140">
        <v>10000.0</v>
      </c>
      <c r="I9516" s="74">
        <f t="shared" si="1"/>
        <v>50000</v>
      </c>
      <c r="J9516" s="74">
        <f>IF(E9516="SERVICE",I9516-(I9516*50%),Vlookup(E9516,DATABASE!C:Q,10,false)*F9516)</f>
        <v>0</v>
      </c>
      <c r="K9516" s="74">
        <f>VLOOKUP(E9516,DATABASE!C:Q,7,false)</f>
        <v>0</v>
      </c>
      <c r="L9516" s="74">
        <v>0.0</v>
      </c>
      <c r="M9516" s="74">
        <f t="shared" si="6"/>
        <v>0</v>
      </c>
      <c r="N9516" s="74">
        <f t="shared" si="3"/>
        <v>50000</v>
      </c>
      <c r="O9516" s="65" t="str">
        <f>VLOOKUP(E9516,DATABASE!C:Q,8,false)</f>
        <v>IBU</v>
      </c>
      <c r="P9516" s="65">
        <f>VLOOKUP(E9516,DATABASE!C:Q,9,False)</f>
        <v>0</v>
      </c>
      <c r="Q9516" s="93" t="str">
        <f>VLOOKUP(E9516,DATABASE!C:Q,4,false)</f>
        <v>Bongkar Pasang</v>
      </c>
      <c r="R9516" s="93" t="str">
        <f>VLOOKUP(E9516,DATABASE!C:Q,11,false)</f>
        <v>SERVICE</v>
      </c>
    </row>
    <row r="9517" ht="22.5" customHeight="1">
      <c r="A9517" s="49"/>
      <c r="C9517" s="400">
        <v>46218.0</v>
      </c>
      <c r="D9517" s="69">
        <v>338.0</v>
      </c>
      <c r="E9517" s="544" t="s">
        <v>614</v>
      </c>
      <c r="F9517" s="387">
        <v>2.0</v>
      </c>
      <c r="G9517" s="140">
        <v>830000.0</v>
      </c>
      <c r="H9517" s="74"/>
      <c r="I9517" s="74">
        <f t="shared" si="1"/>
        <v>1660000</v>
      </c>
      <c r="J9517" s="74">
        <f>IF(E9517="SERVICE",I9517-(I9517*50%),Vlookup(E9517,DATABASE!C:Q,10,false)*F9517)</f>
        <v>0</v>
      </c>
      <c r="K9517" s="74">
        <f>VLOOKUP(E9517,DATABASE!C:Q,7,false)</f>
        <v>754660.6</v>
      </c>
      <c r="L9517" s="74">
        <v>727756.0</v>
      </c>
      <c r="M9517" s="74">
        <f t="shared" si="6"/>
        <v>730000</v>
      </c>
      <c r="N9517" s="74">
        <f t="shared" si="3"/>
        <v>200000</v>
      </c>
      <c r="O9517" s="65" t="str">
        <f>VLOOKUP(E9517,DATABASE!C:Q,8,false)</f>
        <v>IBU</v>
      </c>
      <c r="P9517" s="65">
        <f>VLOOKUP(E9517,DATABASE!C:Q,9,False)</f>
        <v>1</v>
      </c>
      <c r="Q9517" s="93" t="str">
        <f>VLOOKUP(E9517,DATABASE!C:Q,4,false)</f>
        <v>Bridgestone</v>
      </c>
      <c r="R9517" s="93" t="str">
        <f>VLOOKUP(E9517,DATABASE!C:Q,11,false)</f>
        <v>Tire</v>
      </c>
    </row>
    <row r="9518" ht="22.5" customHeight="1">
      <c r="A9518" s="49"/>
      <c r="C9518" s="400">
        <v>46218.0</v>
      </c>
      <c r="D9518" s="69">
        <v>339.0</v>
      </c>
      <c r="E9518" s="544" t="s">
        <v>2345</v>
      </c>
      <c r="F9518" s="387">
        <v>1.0</v>
      </c>
      <c r="G9518" s="140">
        <v>780000.0</v>
      </c>
      <c r="H9518" s="74"/>
      <c r="I9518" s="74">
        <f t="shared" si="1"/>
        <v>780000</v>
      </c>
      <c r="J9518" s="74">
        <f>IF(E9518="SERVICE",I9518-(I9518*50%),Vlookup(E9518,DATABASE!C:Q,10,false)*F9518)</f>
        <v>0</v>
      </c>
      <c r="K9518" s="74">
        <f>VLOOKUP(E9518,DATABASE!C:Q,7,false)</f>
        <v>680000</v>
      </c>
      <c r="L9518" s="74">
        <v>680000.0</v>
      </c>
      <c r="M9518" s="74">
        <f t="shared" si="6"/>
        <v>680000</v>
      </c>
      <c r="N9518" s="74">
        <f t="shared" si="3"/>
        <v>100000</v>
      </c>
      <c r="O9518" s="65" t="str">
        <f>VLOOKUP(E9518,DATABASE!C:Q,8,false)</f>
        <v>BIAN</v>
      </c>
      <c r="P9518" s="65">
        <f>VLOOKUP(E9518,DATABASE!C:Q,9,False)</f>
        <v>1</v>
      </c>
      <c r="Q9518" s="93" t="str">
        <f>VLOOKUP(E9518,DATABASE!C:Q,4,false)</f>
        <v>Velg</v>
      </c>
      <c r="R9518" s="93" t="str">
        <f>VLOOKUP(E9518,DATABASE!C:Q,11,false)</f>
        <v>Tire</v>
      </c>
    </row>
    <row r="9519" ht="22.5" customHeight="1">
      <c r="A9519" s="49"/>
      <c r="C9519" s="400">
        <v>46218.0</v>
      </c>
      <c r="D9519" s="69">
        <v>340.0</v>
      </c>
      <c r="E9519" s="544" t="s">
        <v>275</v>
      </c>
      <c r="F9519" s="387">
        <v>2.0</v>
      </c>
      <c r="G9519" s="140">
        <v>850000.0</v>
      </c>
      <c r="H9519" s="74"/>
      <c r="I9519" s="74">
        <f t="shared" si="1"/>
        <v>1700000</v>
      </c>
      <c r="J9519" s="74">
        <f>IF(E9519="SERVICE",I9519-(I9519*50%),Vlookup(E9519,DATABASE!C:Q,10,false)*F9519)</f>
        <v>0</v>
      </c>
      <c r="K9519" s="74">
        <f>VLOOKUP(E9519,DATABASE!C:Q,7,false)</f>
        <v>782000</v>
      </c>
      <c r="L9519" s="74">
        <v>759500.0</v>
      </c>
      <c r="M9519" s="74">
        <f t="shared" si="6"/>
        <v>760000</v>
      </c>
      <c r="N9519" s="74">
        <f t="shared" si="3"/>
        <v>180000</v>
      </c>
      <c r="O9519" s="65" t="str">
        <f>VLOOKUP(E9519,DATABASE!C:Q,8,false)</f>
        <v>IBU</v>
      </c>
      <c r="P9519" s="65">
        <f>VLOOKUP(E9519,DATABASE!C:Q,9,False)</f>
        <v>1</v>
      </c>
      <c r="Q9519" s="93" t="str">
        <f>VLOOKUP(E9519,DATABASE!C:Q,4,false)</f>
        <v>Dunlop</v>
      </c>
      <c r="R9519" s="93" t="str">
        <f>VLOOKUP(E9519,DATABASE!C:Q,11,false)</f>
        <v>Tire</v>
      </c>
    </row>
    <row r="9520" ht="22.5" customHeight="1">
      <c r="A9520" s="49"/>
      <c r="C9520" s="400">
        <v>46218.0</v>
      </c>
      <c r="D9520" s="69">
        <v>341.0</v>
      </c>
      <c r="E9520" s="544" t="s">
        <v>256</v>
      </c>
      <c r="F9520" s="387">
        <v>1.0</v>
      </c>
      <c r="G9520" s="140">
        <v>150000.0</v>
      </c>
      <c r="H9520" s="74"/>
      <c r="I9520" s="74">
        <f t="shared" si="1"/>
        <v>150000</v>
      </c>
      <c r="J9520" s="74">
        <f>IF(E9520="SERVICE",I9520-(I9520*50%),Vlookup(E9520,DATABASE!C:Q,10,false)*F9520)</f>
        <v>10000</v>
      </c>
      <c r="K9520" s="74">
        <f>VLOOKUP(E9520,DATABASE!C:Q,7,false)</f>
        <v>0</v>
      </c>
      <c r="L9520" s="74">
        <v>0.0</v>
      </c>
      <c r="M9520" s="74">
        <f t="shared" si="6"/>
        <v>0</v>
      </c>
      <c r="N9520" s="74">
        <f t="shared" si="3"/>
        <v>140000</v>
      </c>
      <c r="O9520" s="65" t="str">
        <f>VLOOKUP(E9520,DATABASE!C:Q,8,false)</f>
        <v>IBU</v>
      </c>
      <c r="P9520" s="65">
        <f>VLOOKUP(E9520,DATABASE!C:Q,9,False)</f>
        <v>0</v>
      </c>
      <c r="Q9520" s="93" t="str">
        <f>VLOOKUP(E9520,DATABASE!C:Q,4,false)</f>
        <v>SPOORING</v>
      </c>
      <c r="R9520" s="93" t="str">
        <f>VLOOKUP(E9520,DATABASE!C:Q,11,false)</f>
        <v>SERVICE</v>
      </c>
    </row>
    <row r="9521" ht="22.5" customHeight="1">
      <c r="A9521" s="49"/>
      <c r="C9521" s="400">
        <v>46218.0</v>
      </c>
      <c r="D9521" s="69">
        <v>342.0</v>
      </c>
      <c r="E9521" s="544" t="s">
        <v>777</v>
      </c>
      <c r="F9521" s="387">
        <v>1.0</v>
      </c>
      <c r="G9521" s="140">
        <v>610000.0</v>
      </c>
      <c r="H9521" s="74"/>
      <c r="I9521" s="74">
        <f t="shared" si="1"/>
        <v>610000</v>
      </c>
      <c r="J9521" s="74">
        <f>IF(E9521="SERVICE",I9521-(I9521*50%),Vlookup(E9521,DATABASE!C:Q,10,false)*F9521)</f>
        <v>0</v>
      </c>
      <c r="K9521" s="74">
        <f>VLOOKUP(E9521,DATABASE!C:Q,7,false)</f>
        <v>540000</v>
      </c>
      <c r="L9521" s="74">
        <v>520000.0</v>
      </c>
      <c r="M9521" s="74">
        <f t="shared" si="6"/>
        <v>520000</v>
      </c>
      <c r="N9521" s="74">
        <f t="shared" si="3"/>
        <v>90000</v>
      </c>
      <c r="O9521" s="65" t="str">
        <f>VLOOKUP(E9521,DATABASE!C:Q,8,false)</f>
        <v>BIAN</v>
      </c>
      <c r="P9521" s="65">
        <f>VLOOKUP(E9521,DATABASE!C:Q,9,False)</f>
        <v>1</v>
      </c>
      <c r="Q9521" s="93" t="str">
        <f>VLOOKUP(E9521,DATABASE!C:Q,4,false)</f>
        <v>GT</v>
      </c>
      <c r="R9521" s="93" t="str">
        <f>VLOOKUP(E9521,DATABASE!C:Q,11,false)</f>
        <v>Tire</v>
      </c>
    </row>
    <row r="9522" ht="22.5" customHeight="1">
      <c r="A9522" s="49"/>
      <c r="C9522" s="400">
        <v>46218.0</v>
      </c>
      <c r="D9522" s="69">
        <v>343.0</v>
      </c>
      <c r="E9522" s="544" t="s">
        <v>256</v>
      </c>
      <c r="F9522" s="387">
        <v>1.0</v>
      </c>
      <c r="G9522" s="140">
        <v>150000.0</v>
      </c>
      <c r="H9522" s="74"/>
      <c r="I9522" s="74">
        <f t="shared" si="1"/>
        <v>150000</v>
      </c>
      <c r="J9522" s="74">
        <f>IF(E9522="SERVICE",I9522-(I9522*50%),Vlookup(E9522,DATABASE!C:Q,10,false)*F9522)</f>
        <v>10000</v>
      </c>
      <c r="K9522" s="74">
        <f>VLOOKUP(E9522,DATABASE!C:Q,7,false)</f>
        <v>0</v>
      </c>
      <c r="L9522" s="74">
        <v>0.0</v>
      </c>
      <c r="M9522" s="74">
        <f t="shared" si="6"/>
        <v>0</v>
      </c>
      <c r="N9522" s="74">
        <f t="shared" si="3"/>
        <v>140000</v>
      </c>
      <c r="O9522" s="65" t="str">
        <f>VLOOKUP(E9522,DATABASE!C:Q,8,false)</f>
        <v>IBU</v>
      </c>
      <c r="P9522" s="65">
        <f>VLOOKUP(E9522,DATABASE!C:Q,9,False)</f>
        <v>0</v>
      </c>
      <c r="Q9522" s="93" t="str">
        <f>VLOOKUP(E9522,DATABASE!C:Q,4,false)</f>
        <v>SPOORING</v>
      </c>
      <c r="R9522" s="93" t="str">
        <f>VLOOKUP(E9522,DATABASE!C:Q,11,false)</f>
        <v>SERVICE</v>
      </c>
    </row>
    <row r="9523" ht="22.5" customHeight="1">
      <c r="A9523" s="49"/>
      <c r="C9523" s="400">
        <v>46218.0</v>
      </c>
      <c r="D9523" s="69">
        <v>343.0</v>
      </c>
      <c r="E9523" s="544" t="s">
        <v>301</v>
      </c>
      <c r="F9523" s="387">
        <v>1.0</v>
      </c>
      <c r="G9523" s="140">
        <v>250000.0</v>
      </c>
      <c r="H9523" s="74"/>
      <c r="I9523" s="74">
        <f t="shared" si="1"/>
        <v>250000</v>
      </c>
      <c r="J9523" s="74">
        <f>IF(E9523="SERVICE",I9523-(I9523*50%),Vlookup(E9523,DATABASE!C:Q,10,false)*F9523)</f>
        <v>75000</v>
      </c>
      <c r="K9523" s="74">
        <f>VLOOKUP(E9523,DATABASE!C:Q,7,false)</f>
        <v>75000</v>
      </c>
      <c r="L9523" s="74">
        <v>75000.0</v>
      </c>
      <c r="M9523" s="74">
        <f t="shared" si="6"/>
        <v>75000</v>
      </c>
      <c r="N9523" s="74">
        <f t="shared" si="3"/>
        <v>100000</v>
      </c>
      <c r="O9523" s="65" t="str">
        <f>VLOOKUP(E9523,DATABASE!C:Q,8,false)</f>
        <v>BIAN</v>
      </c>
      <c r="P9523" s="65">
        <f>VLOOKUP(E9523,DATABASE!C:Q,9,False)</f>
        <v>0</v>
      </c>
      <c r="Q9523" s="93" t="str">
        <f>VLOOKUP(E9523,DATABASE!C:Q,4,false)</f>
        <v>Baut Camber</v>
      </c>
      <c r="R9523" s="93" t="str">
        <f>VLOOKUP(E9523,DATABASE!C:Q,11,false)</f>
        <v>COMPLEMENTARY</v>
      </c>
    </row>
    <row r="9524" ht="22.5" customHeight="1">
      <c r="A9524" s="49"/>
      <c r="C9524" s="400">
        <v>46218.0</v>
      </c>
      <c r="D9524" s="524">
        <v>344.0</v>
      </c>
      <c r="E9524" s="544" t="s">
        <v>1524</v>
      </c>
      <c r="F9524" s="387">
        <v>1.0</v>
      </c>
      <c r="G9524" s="140">
        <v>1135000.0</v>
      </c>
      <c r="H9524" s="140">
        <v>5000.0</v>
      </c>
      <c r="I9524" s="74">
        <f t="shared" si="1"/>
        <v>1130000</v>
      </c>
      <c r="J9524" s="74">
        <f>IF(E9524="SERVICE",I9524-(I9524*50%),Vlookup(E9524,DATABASE!C:Q,10,false)*F9524)</f>
        <v>0</v>
      </c>
      <c r="K9524" s="74">
        <f>VLOOKUP(E9524,DATABASE!C:Q,7,false)</f>
        <v>1028000</v>
      </c>
      <c r="L9524" s="140">
        <v>1028000.0</v>
      </c>
      <c r="M9524" s="74">
        <f t="shared" si="6"/>
        <v>1030000</v>
      </c>
      <c r="N9524" s="74">
        <f t="shared" si="3"/>
        <v>100000</v>
      </c>
      <c r="O9524" s="65" t="str">
        <f>VLOOKUP(E9524,DATABASE!C:Q,8,false)</f>
        <v>IBU</v>
      </c>
      <c r="P9524" s="65">
        <f>VLOOKUP(E9524,DATABASE!C:Q,9,False)</f>
        <v>1</v>
      </c>
      <c r="Q9524" s="93" t="str">
        <f>VLOOKUP(E9524,DATABASE!C:Q,4,false)</f>
        <v>Dunlop</v>
      </c>
      <c r="R9524" s="93" t="str">
        <f>VLOOKUP(E9524,DATABASE!C:Q,11,false)</f>
        <v>Tire</v>
      </c>
    </row>
    <row r="9525" ht="22.5" customHeight="1">
      <c r="A9525" s="49"/>
      <c r="C9525" s="400">
        <v>46219.0</v>
      </c>
      <c r="D9525" s="524">
        <v>345.0</v>
      </c>
      <c r="E9525" s="544" t="s">
        <v>295</v>
      </c>
      <c r="F9525" s="387">
        <v>2.0</v>
      </c>
      <c r="G9525" s="140">
        <v>1580000.0</v>
      </c>
      <c r="H9525" s="140">
        <v>20000.0</v>
      </c>
      <c r="I9525" s="74">
        <f t="shared" si="1"/>
        <v>3120000</v>
      </c>
      <c r="J9525" s="74">
        <f>IF(E9525="SERVICE",I9525-(I9525*50%),Vlookup(E9525,DATABASE!C:Q,10,false)*F9525)</f>
        <v>0</v>
      </c>
      <c r="K9525" s="74">
        <f>VLOOKUP(E9525,DATABASE!C:Q,7,false)</f>
        <v>1475000</v>
      </c>
      <c r="L9525" s="74">
        <v>1475000.0</v>
      </c>
      <c r="M9525" s="74">
        <f t="shared" si="6"/>
        <v>1475000</v>
      </c>
      <c r="N9525" s="74">
        <f t="shared" si="3"/>
        <v>170000</v>
      </c>
      <c r="O9525" s="65" t="str">
        <f>VLOOKUP(E9525,DATABASE!C:Q,8,false)</f>
        <v>BIAN</v>
      </c>
      <c r="P9525" s="65">
        <f>VLOOKUP(E9525,DATABASE!C:Q,9,False)</f>
        <v>1</v>
      </c>
      <c r="Q9525" s="93" t="str">
        <f>VLOOKUP(E9525,DATABASE!C:Q,4,false)</f>
        <v>TIRON</v>
      </c>
      <c r="R9525" s="93" t="str">
        <f>VLOOKUP(E9525,DATABASE!C:Q,11,false)</f>
        <v>Tire</v>
      </c>
    </row>
    <row r="9526" ht="22.5" customHeight="1">
      <c r="A9526" s="49"/>
      <c r="C9526" s="400">
        <v>46219.0</v>
      </c>
      <c r="D9526" s="524">
        <v>345.0</v>
      </c>
      <c r="E9526" s="544" t="s">
        <v>286</v>
      </c>
      <c r="F9526" s="387">
        <v>7.0</v>
      </c>
      <c r="G9526" s="140">
        <v>580000.0</v>
      </c>
      <c r="H9526" s="140">
        <v>10000.0</v>
      </c>
      <c r="I9526" s="74">
        <f>((G9526-H9526)*F9526)-50000</f>
        <v>3940000</v>
      </c>
      <c r="J9526" s="74">
        <f>IF(E9526="SERVICE",I9526-(I9526*50%),Vlookup(E9526,DATABASE!C:Q,10,false)*F9526)</f>
        <v>0</v>
      </c>
      <c r="K9526" s="74">
        <f>VLOOKUP(E9526,DATABASE!C:Q,7,false)</f>
        <v>488320</v>
      </c>
      <c r="L9526" s="74">
        <v>474240.0</v>
      </c>
      <c r="M9526" s="74">
        <f t="shared" si="6"/>
        <v>475000</v>
      </c>
      <c r="N9526" s="74">
        <f t="shared" si="3"/>
        <v>615000</v>
      </c>
      <c r="O9526" s="65" t="str">
        <f>VLOOKUP(E9526,DATABASE!C:Q,8,false)</f>
        <v>BIAN</v>
      </c>
      <c r="P9526" s="65">
        <f>VLOOKUP(E9526,DATABASE!C:Q,9,False)</f>
        <v>1</v>
      </c>
      <c r="Q9526" s="93" t="str">
        <f>VLOOKUP(E9526,DATABASE!C:Q,4,false)</f>
        <v>GT</v>
      </c>
      <c r="R9526" s="93" t="str">
        <f>VLOOKUP(E9526,DATABASE!C:Q,11,false)</f>
        <v>Tire</v>
      </c>
    </row>
    <row r="9527" ht="22.5" customHeight="1">
      <c r="A9527" s="49"/>
      <c r="C9527" s="400">
        <v>46219.0</v>
      </c>
      <c r="D9527" s="524">
        <v>346.0</v>
      </c>
      <c r="E9527" s="544" t="s">
        <v>275</v>
      </c>
      <c r="F9527" s="387">
        <v>1.0</v>
      </c>
      <c r="G9527" s="140">
        <v>850000.0</v>
      </c>
      <c r="H9527" s="74"/>
      <c r="I9527" s="74">
        <f t="shared" ref="I9527:I11236" si="7">(G9527-H9527)*F9527</f>
        <v>850000</v>
      </c>
      <c r="J9527" s="74">
        <f>IF(E9527="SERVICE",I9527-(I9527*50%),Vlookup(E9527,DATABASE!C:Q,10,false)*F9527)</f>
        <v>0</v>
      </c>
      <c r="K9527" s="74">
        <f>VLOOKUP(E9527,DATABASE!C:Q,7,false)</f>
        <v>782000</v>
      </c>
      <c r="L9527" s="74">
        <v>759500.0</v>
      </c>
      <c r="M9527" s="74">
        <f t="shared" si="6"/>
        <v>760000</v>
      </c>
      <c r="N9527" s="74">
        <f t="shared" si="3"/>
        <v>90000</v>
      </c>
      <c r="O9527" s="65" t="str">
        <f>VLOOKUP(E9527,DATABASE!C:Q,8,false)</f>
        <v>IBU</v>
      </c>
      <c r="P9527" s="65">
        <f>VLOOKUP(E9527,DATABASE!C:Q,9,False)</f>
        <v>1</v>
      </c>
      <c r="Q9527" s="93" t="str">
        <f>VLOOKUP(E9527,DATABASE!C:Q,4,false)</f>
        <v>Dunlop</v>
      </c>
      <c r="R9527" s="93" t="str">
        <f>VLOOKUP(E9527,DATABASE!C:Q,11,false)</f>
        <v>Tire</v>
      </c>
    </row>
    <row r="9528" ht="22.5" customHeight="1">
      <c r="A9528" s="49"/>
      <c r="C9528" s="400">
        <v>46219.0</v>
      </c>
      <c r="D9528" s="524">
        <v>346.0</v>
      </c>
      <c r="E9528" s="544" t="s">
        <v>250</v>
      </c>
      <c r="F9528" s="387">
        <v>1.0</v>
      </c>
      <c r="G9528" s="140">
        <v>135000.0</v>
      </c>
      <c r="H9528" s="74"/>
      <c r="I9528" s="74">
        <f t="shared" si="7"/>
        <v>135000</v>
      </c>
      <c r="J9528" s="74">
        <f>IF(E9528="SERVICE",I9528-(I9528*50%),Vlookup(E9528,DATABASE!C:Q,10,false)*F9528)</f>
        <v>0</v>
      </c>
      <c r="K9528" s="74">
        <f>VLOOKUP(E9528,DATABASE!C:Q,7,false)</f>
        <v>102000</v>
      </c>
      <c r="L9528" s="74">
        <v>102000.0</v>
      </c>
      <c r="M9528" s="74">
        <f t="shared" si="6"/>
        <v>105000</v>
      </c>
      <c r="N9528" s="74">
        <f t="shared" si="3"/>
        <v>30000</v>
      </c>
      <c r="O9528" s="65" t="str">
        <f>VLOOKUP(E9528,DATABASE!C:Q,8,false)</f>
        <v>BIAN</v>
      </c>
      <c r="P9528" s="65">
        <f>VLOOKUP(E9528,DATABASE!C:Q,9,False)</f>
        <v>1</v>
      </c>
      <c r="Q9528" s="93" t="str">
        <f>VLOOKUP(E9528,DATABASE!C:Q,4,false)</f>
        <v>BD</v>
      </c>
      <c r="R9528" s="93" t="str">
        <f>VLOOKUP(E9528,DATABASE!C:Q,11,false)</f>
        <v>Tire</v>
      </c>
    </row>
    <row r="9529" ht="22.5" customHeight="1">
      <c r="A9529" s="49"/>
      <c r="C9529" s="400">
        <v>46219.0</v>
      </c>
      <c r="D9529" s="524">
        <v>347.0</v>
      </c>
      <c r="E9529" s="544" t="s">
        <v>374</v>
      </c>
      <c r="F9529" s="387">
        <v>2.0</v>
      </c>
      <c r="G9529" s="140">
        <v>2080000.0</v>
      </c>
      <c r="H9529" s="74"/>
      <c r="I9529" s="74">
        <f t="shared" si="7"/>
        <v>4160000</v>
      </c>
      <c r="J9529" s="74">
        <f>IF(E9529="SERVICE",I9529-(I9529*50%),Vlookup(E9529,DATABASE!C:Q,10,false)*F9529)</f>
        <v>0</v>
      </c>
      <c r="K9529" s="74">
        <f>VLOOKUP(E9529,DATABASE!C:Q,7,false)</f>
        <v>1980000</v>
      </c>
      <c r="L9529" s="74">
        <v>1980000.0</v>
      </c>
      <c r="M9529" s="74">
        <f t="shared" si="6"/>
        <v>1980000</v>
      </c>
      <c r="N9529" s="74">
        <f t="shared" si="3"/>
        <v>200000</v>
      </c>
      <c r="O9529" s="65" t="str">
        <f>VLOOKUP(E9529,DATABASE!C:Q,8,false)</f>
        <v>BIAN</v>
      </c>
      <c r="P9529" s="65">
        <f>VLOOKUP(E9529,DATABASE!C:Q,9,False)</f>
        <v>1</v>
      </c>
      <c r="Q9529" s="93" t="str">
        <f>VLOOKUP(E9529,DATABASE!C:Q,4,false)</f>
        <v>Advance</v>
      </c>
      <c r="R9529" s="93" t="str">
        <f>VLOOKUP(E9529,DATABASE!C:Q,11,false)</f>
        <v>Tire</v>
      </c>
    </row>
    <row r="9530" ht="22.5" customHeight="1">
      <c r="A9530" s="49"/>
      <c r="C9530" s="400">
        <v>46219.0</v>
      </c>
      <c r="D9530" s="524">
        <v>348.0</v>
      </c>
      <c r="E9530" s="544" t="s">
        <v>262</v>
      </c>
      <c r="F9530" s="387">
        <v>1.0</v>
      </c>
      <c r="G9530" s="140">
        <v>130000.0</v>
      </c>
      <c r="H9530" s="74"/>
      <c r="I9530" s="74">
        <f t="shared" si="7"/>
        <v>130000</v>
      </c>
      <c r="J9530" s="74">
        <f>IF(E9530="SERVICE",I9530-(I9530*50%),Vlookup(E9530,DATABASE!C:Q,10,false)*F9530)</f>
        <v>5000</v>
      </c>
      <c r="K9530" s="74">
        <f>VLOOKUP(E9530,DATABASE!C:Q,7,false)</f>
        <v>0</v>
      </c>
      <c r="L9530" s="74">
        <v>0.0</v>
      </c>
      <c r="M9530" s="74">
        <f t="shared" si="6"/>
        <v>0</v>
      </c>
      <c r="N9530" s="74">
        <f t="shared" si="3"/>
        <v>125000</v>
      </c>
      <c r="O9530" s="65" t="str">
        <f>VLOOKUP(E9530,DATABASE!C:Q,8,false)</f>
        <v>IBU</v>
      </c>
      <c r="P9530" s="65">
        <f>VLOOKUP(E9530,DATABASE!C:Q,9,False)</f>
        <v>0</v>
      </c>
      <c r="Q9530" s="93" t="str">
        <f>VLOOKUP(E9530,DATABASE!C:Q,4,false)</f>
        <v>SPOORING SS/CARRY LOS BAK</v>
      </c>
      <c r="R9530" s="93" t="str">
        <f>VLOOKUP(E9530,DATABASE!C:Q,11,false)</f>
        <v>SERVICE</v>
      </c>
    </row>
    <row r="9531" ht="22.5" customHeight="1">
      <c r="A9531" s="49"/>
      <c r="C9531" s="400">
        <v>46219.0</v>
      </c>
      <c r="D9531" s="524">
        <v>348.0</v>
      </c>
      <c r="E9531" s="544" t="s">
        <v>251</v>
      </c>
      <c r="F9531" s="387">
        <v>1.0</v>
      </c>
      <c r="G9531" s="140">
        <v>350000.0</v>
      </c>
      <c r="H9531" s="140">
        <v>200000.0</v>
      </c>
      <c r="I9531" s="74">
        <f t="shared" si="7"/>
        <v>150000</v>
      </c>
      <c r="J9531" s="74">
        <f>IF(E9531="SERVICE",I9531-(I9531*50%),Vlookup(E9531,DATABASE!C:Q,10,false)*F9531)</f>
        <v>75000</v>
      </c>
      <c r="K9531" s="74">
        <f>VLOOKUP(E9531,DATABASE!C:Q,7,false)</f>
        <v>0</v>
      </c>
      <c r="L9531" s="74">
        <v>0.0</v>
      </c>
      <c r="M9531" s="74">
        <f t="shared" si="6"/>
        <v>0</v>
      </c>
      <c r="N9531" s="74">
        <f t="shared" si="3"/>
        <v>75000</v>
      </c>
      <c r="O9531" s="65" t="str">
        <f>VLOOKUP(E9531,DATABASE!C:Q,8,false)</f>
        <v>IBU</v>
      </c>
      <c r="P9531" s="65">
        <f>VLOOKUP(E9531,DATABASE!C:Q,9,False)</f>
        <v>0</v>
      </c>
      <c r="Q9531" s="93" t="str">
        <f>VLOOKUP(E9531,DATABASE!C:Q,4,false)</f>
        <v>SERVICE</v>
      </c>
      <c r="R9531" s="93" t="str">
        <f>VLOOKUP(E9531,DATABASE!C:Q,11,false)</f>
        <v>SERVICE</v>
      </c>
    </row>
    <row r="9532" ht="22.5" customHeight="1">
      <c r="A9532" s="49"/>
      <c r="C9532" s="400">
        <v>46219.0</v>
      </c>
      <c r="D9532" s="69">
        <v>349.0</v>
      </c>
      <c r="E9532" s="544" t="s">
        <v>839</v>
      </c>
      <c r="F9532" s="387">
        <v>1.0</v>
      </c>
      <c r="G9532" s="140">
        <v>585000.0</v>
      </c>
      <c r="H9532" s="74"/>
      <c r="I9532" s="74">
        <f t="shared" si="7"/>
        <v>585000</v>
      </c>
      <c r="J9532" s="74">
        <f>IF(E9532="SERVICE",I9532-(I9532*50%),Vlookup(E9532,DATABASE!C:Q,10,false)*F9532)</f>
        <v>0</v>
      </c>
      <c r="K9532" s="74">
        <f>VLOOKUP(E9532,DATABASE!C:Q,7,false)</f>
        <v>512640</v>
      </c>
      <c r="L9532" s="140">
        <v>482300.0</v>
      </c>
      <c r="M9532" s="74">
        <f t="shared" si="6"/>
        <v>485000</v>
      </c>
      <c r="N9532" s="74">
        <f t="shared" si="3"/>
        <v>100000</v>
      </c>
      <c r="O9532" s="65" t="str">
        <f>VLOOKUP(E9532,DATABASE!C:Q,8,false)</f>
        <v>BIAN</v>
      </c>
      <c r="P9532" s="65">
        <f>VLOOKUP(E9532,DATABASE!C:Q,9,False)</f>
        <v>1</v>
      </c>
      <c r="Q9532" s="93" t="str">
        <f>VLOOKUP(E9532,DATABASE!C:Q,4,false)</f>
        <v>GT</v>
      </c>
      <c r="R9532" s="93" t="str">
        <f>VLOOKUP(E9532,DATABASE!C:Q,11,false)</f>
        <v>Tire</v>
      </c>
    </row>
    <row r="9533" ht="22.5" customHeight="1">
      <c r="A9533" s="49"/>
      <c r="C9533" s="400">
        <v>46219.0</v>
      </c>
      <c r="D9533" s="524">
        <v>350.0</v>
      </c>
      <c r="E9533" s="544" t="s">
        <v>605</v>
      </c>
      <c r="F9533" s="387">
        <v>2.0</v>
      </c>
      <c r="G9533" s="140">
        <v>765000.0</v>
      </c>
      <c r="H9533" s="74"/>
      <c r="I9533" s="74">
        <f t="shared" si="7"/>
        <v>1530000</v>
      </c>
      <c r="J9533" s="74">
        <f>IF(E9533="SERVICE",I9533-(I9533*50%),Vlookup(E9533,DATABASE!C:Q,10,false)*F9533)</f>
        <v>0</v>
      </c>
      <c r="K9533" s="74">
        <f>VLOOKUP(E9533,DATABASE!C:Q,7,false)</f>
        <v>675000</v>
      </c>
      <c r="L9533" s="74">
        <v>675000.0</v>
      </c>
      <c r="M9533" s="74">
        <f t="shared" si="6"/>
        <v>675000</v>
      </c>
      <c r="N9533" s="74">
        <f t="shared" si="3"/>
        <v>180000</v>
      </c>
      <c r="O9533" s="65" t="str">
        <f>VLOOKUP(E9533,DATABASE!C:Q,8,false)</f>
        <v>IBU</v>
      </c>
      <c r="P9533" s="65">
        <f>VLOOKUP(E9533,DATABASE!C:Q,9,False)</f>
        <v>1</v>
      </c>
      <c r="Q9533" s="93" t="str">
        <f>VLOOKUP(E9533,DATABASE!C:Q,4,false)</f>
        <v>Bridgestone</v>
      </c>
      <c r="R9533" s="93" t="str">
        <f>VLOOKUP(E9533,DATABASE!C:Q,11,false)</f>
        <v>Tire</v>
      </c>
    </row>
    <row r="9534" ht="22.5" customHeight="1">
      <c r="A9534" s="49"/>
      <c r="C9534" s="400">
        <v>46219.0</v>
      </c>
      <c r="D9534" s="524">
        <v>350.0</v>
      </c>
      <c r="E9534" s="544" t="s">
        <v>478</v>
      </c>
      <c r="F9534" s="387">
        <v>1.0</v>
      </c>
      <c r="G9534" s="140">
        <v>200000.0</v>
      </c>
      <c r="H9534" s="74"/>
      <c r="I9534" s="74">
        <f t="shared" si="7"/>
        <v>200000</v>
      </c>
      <c r="J9534" s="74">
        <f>IF(E9534="SERVICE",I9534-(I9534*50%),Vlookup(E9534,DATABASE!C:Q,10,false)*F9534)</f>
        <v>25000</v>
      </c>
      <c r="K9534" s="74">
        <f>VLOOKUP(E9534,DATABASE!C:Q,7,false)</f>
        <v>75000</v>
      </c>
      <c r="L9534" s="74">
        <v>75000.0</v>
      </c>
      <c r="M9534" s="74">
        <f t="shared" si="6"/>
        <v>75000</v>
      </c>
      <c r="N9534" s="74">
        <f t="shared" si="3"/>
        <v>100000</v>
      </c>
      <c r="O9534" s="65" t="str">
        <f>VLOOKUP(E9534,DATABASE!C:Q,8,false)</f>
        <v>BIAN</v>
      </c>
      <c r="P9534" s="65">
        <f>VLOOKUP(E9534,DATABASE!C:Q,9,False)</f>
        <v>0</v>
      </c>
      <c r="Q9534" s="93" t="str">
        <f>VLOOKUP(E9534,DATABASE!C:Q,4,false)</f>
        <v>Baut Camber ss-carry</v>
      </c>
      <c r="R9534" s="93" t="str">
        <f>VLOOKUP(E9534,DATABASE!C:Q,11,false)</f>
        <v>COMPLEMENTARY</v>
      </c>
    </row>
    <row r="9535" ht="22.5" customHeight="1">
      <c r="A9535" s="49"/>
      <c r="C9535" s="400">
        <v>46219.0</v>
      </c>
      <c r="D9535" s="524">
        <v>350.0</v>
      </c>
      <c r="E9535" s="544" t="s">
        <v>262</v>
      </c>
      <c r="F9535" s="387">
        <v>1.0</v>
      </c>
      <c r="G9535" s="140">
        <v>130000.0</v>
      </c>
      <c r="H9535" s="74"/>
      <c r="I9535" s="74">
        <f t="shared" si="7"/>
        <v>130000</v>
      </c>
      <c r="J9535" s="74">
        <f>IF(E9535="SERVICE",I9535-(I9535*50%),Vlookup(E9535,DATABASE!C:Q,10,false)*F9535)</f>
        <v>5000</v>
      </c>
      <c r="K9535" s="74">
        <f>VLOOKUP(E9535,DATABASE!C:Q,7,false)</f>
        <v>0</v>
      </c>
      <c r="L9535" s="74">
        <v>0.0</v>
      </c>
      <c r="M9535" s="74">
        <f t="shared" si="6"/>
        <v>0</v>
      </c>
      <c r="N9535" s="74">
        <f t="shared" si="3"/>
        <v>125000</v>
      </c>
      <c r="O9535" s="65" t="str">
        <f>VLOOKUP(E9535,DATABASE!C:Q,8,false)</f>
        <v>IBU</v>
      </c>
      <c r="P9535" s="65">
        <f>VLOOKUP(E9535,DATABASE!C:Q,9,False)</f>
        <v>0</v>
      </c>
      <c r="Q9535" s="93" t="str">
        <f>VLOOKUP(E9535,DATABASE!C:Q,4,false)</f>
        <v>SPOORING SS/CARRY LOS BAK</v>
      </c>
      <c r="R9535" s="93" t="str">
        <f>VLOOKUP(E9535,DATABASE!C:Q,11,false)</f>
        <v>SERVICE</v>
      </c>
    </row>
    <row r="9536" ht="22.5" customHeight="1">
      <c r="A9536" s="49"/>
      <c r="C9536" s="400">
        <v>46219.0</v>
      </c>
      <c r="D9536" s="524">
        <v>350.0</v>
      </c>
      <c r="E9536" s="544" t="s">
        <v>251</v>
      </c>
      <c r="F9536" s="387">
        <v>1.0</v>
      </c>
      <c r="G9536" s="140">
        <v>350000.0</v>
      </c>
      <c r="H9536" s="140">
        <v>230000.0</v>
      </c>
      <c r="I9536" s="74">
        <f t="shared" si="7"/>
        <v>120000</v>
      </c>
      <c r="J9536" s="74">
        <f>IF(E9536="SERVICE",I9536-(I9536*50%),Vlookup(E9536,DATABASE!C:Q,10,false)*F9536)</f>
        <v>60000</v>
      </c>
      <c r="K9536" s="74">
        <f>VLOOKUP(E9536,DATABASE!C:Q,7,false)</f>
        <v>0</v>
      </c>
      <c r="L9536" s="74">
        <v>0.0</v>
      </c>
      <c r="M9536" s="74">
        <f t="shared" si="6"/>
        <v>0</v>
      </c>
      <c r="N9536" s="74">
        <f t="shared" si="3"/>
        <v>60000</v>
      </c>
      <c r="O9536" s="65" t="str">
        <f>VLOOKUP(E9536,DATABASE!C:Q,8,false)</f>
        <v>IBU</v>
      </c>
      <c r="P9536" s="65">
        <f>VLOOKUP(E9536,DATABASE!C:Q,9,False)</f>
        <v>0</v>
      </c>
      <c r="Q9536" s="93" t="str">
        <f>VLOOKUP(E9536,DATABASE!C:Q,4,false)</f>
        <v>SERVICE</v>
      </c>
      <c r="R9536" s="93" t="str">
        <f>VLOOKUP(E9536,DATABASE!C:Q,11,false)</f>
        <v>SERVICE</v>
      </c>
    </row>
    <row r="9537" ht="22.5" customHeight="1">
      <c r="A9537" s="49"/>
      <c r="C9537" s="400">
        <v>46219.0</v>
      </c>
      <c r="D9537" s="524">
        <v>351.0</v>
      </c>
      <c r="E9537" s="544" t="s">
        <v>268</v>
      </c>
      <c r="F9537" s="387">
        <v>2.0</v>
      </c>
      <c r="G9537" s="140">
        <v>720000.0</v>
      </c>
      <c r="H9537" s="74"/>
      <c r="I9537" s="74">
        <f t="shared" si="7"/>
        <v>1440000</v>
      </c>
      <c r="J9537" s="74">
        <f>IF(E9537="SERVICE",I9537-(I9537*50%),Vlookup(E9537,DATABASE!C:Q,10,false)*F9537)</f>
        <v>0</v>
      </c>
      <c r="K9537" s="74">
        <f>VLOOKUP(E9537,DATABASE!C:Q,7,false)</f>
        <v>653000</v>
      </c>
      <c r="L9537" s="74">
        <v>634500.0</v>
      </c>
      <c r="M9537" s="74">
        <f t="shared" si="6"/>
        <v>635000</v>
      </c>
      <c r="N9537" s="74">
        <f t="shared" si="3"/>
        <v>170000</v>
      </c>
      <c r="O9537" s="65" t="str">
        <f>VLOOKUP(E9537,DATABASE!C:Q,8,false)</f>
        <v>IBU</v>
      </c>
      <c r="P9537" s="65">
        <f>VLOOKUP(E9537,DATABASE!C:Q,9,False)</f>
        <v>1</v>
      </c>
      <c r="Q9537" s="93" t="str">
        <f>VLOOKUP(E9537,DATABASE!C:Q,4,false)</f>
        <v>Dunlop</v>
      </c>
      <c r="R9537" s="93" t="str">
        <f>VLOOKUP(E9537,DATABASE!C:Q,11,false)</f>
        <v>Tire</v>
      </c>
    </row>
    <row r="9538" ht="22.5" customHeight="1">
      <c r="A9538" s="49"/>
      <c r="C9538" s="400">
        <v>46219.0</v>
      </c>
      <c r="D9538" s="69">
        <v>352.0</v>
      </c>
      <c r="E9538" s="544" t="s">
        <v>932</v>
      </c>
      <c r="F9538" s="387">
        <v>2.0</v>
      </c>
      <c r="G9538" s="140">
        <v>690000.0</v>
      </c>
      <c r="H9538" s="74"/>
      <c r="I9538" s="74">
        <f t="shared" si="7"/>
        <v>1380000</v>
      </c>
      <c r="J9538" s="74">
        <f>IF(E9538="SERVICE",I9538-(I9538*50%),Vlookup(E9538,DATABASE!C:Q,10,false)*F9538)</f>
        <v>0</v>
      </c>
      <c r="K9538" s="74">
        <f>VLOOKUP(E9538,DATABASE!C:Q,7,false)</f>
        <v>601000</v>
      </c>
      <c r="L9538" s="74">
        <v>601000.0</v>
      </c>
      <c r="M9538" s="74">
        <f t="shared" si="6"/>
        <v>605000</v>
      </c>
      <c r="N9538" s="74">
        <f t="shared" si="3"/>
        <v>170000</v>
      </c>
      <c r="O9538" s="65" t="str">
        <f>VLOOKUP(E9538,DATABASE!C:Q,8,false)</f>
        <v>IBU</v>
      </c>
      <c r="P9538" s="65">
        <f>VLOOKUP(E9538,DATABASE!C:Q,9,False)</f>
        <v>1</v>
      </c>
      <c r="Q9538" s="93" t="str">
        <f>VLOOKUP(E9538,DATABASE!C:Q,4,false)</f>
        <v>Dunlop</v>
      </c>
      <c r="R9538" s="93" t="str">
        <f>VLOOKUP(E9538,DATABASE!C:Q,11,false)</f>
        <v>Tire</v>
      </c>
    </row>
    <row r="9539" ht="22.5" customHeight="1">
      <c r="A9539" s="49"/>
      <c r="C9539" s="400">
        <v>46219.0</v>
      </c>
      <c r="D9539" s="524">
        <v>353.0</v>
      </c>
      <c r="E9539" s="544" t="s">
        <v>744</v>
      </c>
      <c r="F9539" s="387">
        <v>1.0</v>
      </c>
      <c r="G9539" s="140">
        <v>230000.0</v>
      </c>
      <c r="H9539" s="74"/>
      <c r="I9539" s="74">
        <f t="shared" si="7"/>
        <v>230000</v>
      </c>
      <c r="J9539" s="74">
        <f>IF(E9539="SERVICE",I9539-(I9539*50%),Vlookup(E9539,DATABASE!C:Q,10,false)*F9539)</f>
        <v>0</v>
      </c>
      <c r="K9539" s="74">
        <f>VLOOKUP(E9539,DATABASE!C:Q,7,false)</f>
        <v>182200</v>
      </c>
      <c r="L9539" s="74">
        <v>182200.0</v>
      </c>
      <c r="M9539" s="74">
        <f t="shared" si="6"/>
        <v>185000</v>
      </c>
      <c r="N9539" s="74">
        <f t="shared" si="3"/>
        <v>45000</v>
      </c>
      <c r="O9539" s="65" t="str">
        <f>VLOOKUP(E9539,DATABASE!C:Q,8,false)</f>
        <v>BIAN</v>
      </c>
      <c r="P9539" s="65">
        <f>VLOOKUP(E9539,DATABASE!C:Q,9,False)</f>
        <v>1</v>
      </c>
      <c r="Q9539" s="93" t="str">
        <f>VLOOKUP(E9539,DATABASE!C:Q,4,false)</f>
        <v>BD</v>
      </c>
      <c r="R9539" s="93" t="str">
        <f>VLOOKUP(E9539,DATABASE!C:Q,11,false)</f>
        <v>Tire</v>
      </c>
    </row>
    <row r="9540" ht="22.5" customHeight="1">
      <c r="A9540" s="49"/>
      <c r="C9540" s="400">
        <v>46219.0</v>
      </c>
      <c r="D9540" s="524">
        <v>353.0</v>
      </c>
      <c r="E9540" s="544" t="s">
        <v>821</v>
      </c>
      <c r="F9540" s="387">
        <v>1.0</v>
      </c>
      <c r="G9540" s="140">
        <v>90000.0</v>
      </c>
      <c r="H9540" s="74"/>
      <c r="I9540" s="74">
        <f t="shared" si="7"/>
        <v>90000</v>
      </c>
      <c r="J9540" s="74">
        <f>IF(E9540="SERVICE",I9540-(I9540*50%),Vlookup(E9540,DATABASE!C:Q,10,false)*F9540)</f>
        <v>0</v>
      </c>
      <c r="K9540" s="74">
        <f>VLOOKUP(E9540,DATABASE!C:Q,7,false)</f>
        <v>43500</v>
      </c>
      <c r="L9540" s="74">
        <v>43500.0</v>
      </c>
      <c r="M9540" s="74">
        <f t="shared" si="6"/>
        <v>45000</v>
      </c>
      <c r="N9540" s="74">
        <f t="shared" si="3"/>
        <v>45000</v>
      </c>
      <c r="O9540" s="65" t="str">
        <f>VLOOKUP(E9540,DATABASE!C:Q,8,false)</f>
        <v>BIAN</v>
      </c>
      <c r="P9540" s="65">
        <f>VLOOKUP(E9540,DATABASE!C:Q,9,False)</f>
        <v>1</v>
      </c>
      <c r="Q9540" s="93" t="str">
        <f>VLOOKUP(E9540,DATABASE!C:Q,4,false)</f>
        <v>Flap</v>
      </c>
      <c r="R9540" s="93" t="str">
        <f>VLOOKUP(E9540,DATABASE!C:Q,11,false)</f>
        <v>Tire</v>
      </c>
    </row>
    <row r="9541" ht="22.5" customHeight="1">
      <c r="A9541" s="49"/>
      <c r="C9541" s="400">
        <v>46219.0</v>
      </c>
      <c r="D9541" s="524">
        <v>354.0</v>
      </c>
      <c r="E9541" s="544" t="s">
        <v>947</v>
      </c>
      <c r="F9541" s="387">
        <v>1.0</v>
      </c>
      <c r="G9541" s="140">
        <v>785000.0</v>
      </c>
      <c r="H9541" s="140">
        <v>5000.0</v>
      </c>
      <c r="I9541" s="74">
        <f t="shared" si="7"/>
        <v>780000</v>
      </c>
      <c r="J9541" s="74">
        <f>IF(E9541="SERVICE",I9541-(I9541*50%),Vlookup(E9541,DATABASE!C:Q,10,false)*F9541)</f>
        <v>0</v>
      </c>
      <c r="K9541" s="74">
        <f>VLOOKUP(E9541,DATABASE!C:Q,7,false)</f>
        <v>704346</v>
      </c>
      <c r="L9541" s="74">
        <v>680512.0</v>
      </c>
      <c r="M9541" s="74">
        <f t="shared" si="6"/>
        <v>685000</v>
      </c>
      <c r="N9541" s="74">
        <f t="shared" si="3"/>
        <v>95000</v>
      </c>
      <c r="O9541" s="65" t="str">
        <f>VLOOKUP(E9541,DATABASE!C:Q,8,false)</f>
        <v>IBU</v>
      </c>
      <c r="P9541" s="65">
        <f>VLOOKUP(E9541,DATABASE!C:Q,9,False)</f>
        <v>1</v>
      </c>
      <c r="Q9541" s="93" t="str">
        <f>VLOOKUP(E9541,DATABASE!C:Q,4,false)</f>
        <v>Bridgestone</v>
      </c>
      <c r="R9541" s="93" t="str">
        <f>VLOOKUP(E9541,DATABASE!C:Q,11,false)</f>
        <v>Tire</v>
      </c>
    </row>
    <row r="9542" ht="22.5" customHeight="1">
      <c r="A9542" s="49"/>
      <c r="C9542" s="400">
        <v>46219.0</v>
      </c>
      <c r="D9542" s="524">
        <v>355.0</v>
      </c>
      <c r="E9542" s="544" t="s">
        <v>262</v>
      </c>
      <c r="F9542" s="387">
        <v>1.0</v>
      </c>
      <c r="G9542" s="140">
        <v>130000.0</v>
      </c>
      <c r="H9542" s="74"/>
      <c r="I9542" s="74">
        <f t="shared" si="7"/>
        <v>130000</v>
      </c>
      <c r="J9542" s="74">
        <f>IF(E9542="SERVICE",I9542-(I9542*50%),Vlookup(E9542,DATABASE!C:Q,10,false)*F9542)</f>
        <v>5000</v>
      </c>
      <c r="K9542" s="74">
        <f>VLOOKUP(E9542,DATABASE!C:Q,7,false)</f>
        <v>0</v>
      </c>
      <c r="L9542" s="74">
        <v>0.0</v>
      </c>
      <c r="M9542" s="74">
        <f t="shared" si="6"/>
        <v>0</v>
      </c>
      <c r="N9542" s="74">
        <f t="shared" si="3"/>
        <v>125000</v>
      </c>
      <c r="O9542" s="65" t="str">
        <f>VLOOKUP(E9542,DATABASE!C:Q,8,false)</f>
        <v>IBU</v>
      </c>
      <c r="P9542" s="65">
        <f>VLOOKUP(E9542,DATABASE!C:Q,9,False)</f>
        <v>0</v>
      </c>
      <c r="Q9542" s="93" t="str">
        <f>VLOOKUP(E9542,DATABASE!C:Q,4,false)</f>
        <v>SPOORING SS/CARRY LOS BAK</v>
      </c>
      <c r="R9542" s="93" t="str">
        <f>VLOOKUP(E9542,DATABASE!C:Q,11,false)</f>
        <v>SERVICE</v>
      </c>
    </row>
    <row r="9543" ht="22.5" customHeight="1">
      <c r="A9543" s="49"/>
      <c r="C9543" s="400">
        <v>46219.0</v>
      </c>
      <c r="D9543" s="69">
        <v>356.0</v>
      </c>
      <c r="E9543" s="544" t="s">
        <v>1524</v>
      </c>
      <c r="F9543" s="387">
        <v>1.0</v>
      </c>
      <c r="G9543" s="140">
        <v>1130000.0</v>
      </c>
      <c r="H9543" s="74"/>
      <c r="I9543" s="74">
        <f t="shared" si="7"/>
        <v>1130000</v>
      </c>
      <c r="J9543" s="74">
        <f>IF(E9543="SERVICE",I9543-(I9543*50%),Vlookup(E9543,DATABASE!C:Q,10,false)*F9543)</f>
        <v>0</v>
      </c>
      <c r="K9543" s="74">
        <f>VLOOKUP(E9543,DATABASE!C:Q,7,false)</f>
        <v>1028000</v>
      </c>
      <c r="L9543" s="74">
        <v>1028000.0</v>
      </c>
      <c r="M9543" s="74">
        <f t="shared" si="6"/>
        <v>1030000</v>
      </c>
      <c r="N9543" s="74">
        <f t="shared" si="3"/>
        <v>100000</v>
      </c>
      <c r="O9543" s="65" t="str">
        <f>VLOOKUP(E9543,DATABASE!C:Q,8,false)</f>
        <v>IBU</v>
      </c>
      <c r="P9543" s="65">
        <f>VLOOKUP(E9543,DATABASE!C:Q,9,False)</f>
        <v>1</v>
      </c>
      <c r="Q9543" s="93" t="str">
        <f>VLOOKUP(E9543,DATABASE!C:Q,4,false)</f>
        <v>Dunlop</v>
      </c>
      <c r="R9543" s="93" t="str">
        <f>VLOOKUP(E9543,DATABASE!C:Q,11,false)</f>
        <v>Tire</v>
      </c>
    </row>
    <row r="9544" ht="22.5" customHeight="1">
      <c r="A9544" s="49"/>
      <c r="C9544" s="400">
        <v>46219.0</v>
      </c>
      <c r="D9544" s="69" t="s">
        <v>2877</v>
      </c>
      <c r="E9544" s="544" t="s">
        <v>248</v>
      </c>
      <c r="F9544" s="387">
        <v>1.0</v>
      </c>
      <c r="G9544" s="140">
        <v>250000.0</v>
      </c>
      <c r="H9544" s="74"/>
      <c r="I9544" s="74">
        <f t="shared" si="7"/>
        <v>250000</v>
      </c>
      <c r="J9544" s="74">
        <f>IF(E9544="SERVICE",I9544-(I9544*50%),Vlookup(E9544,DATABASE!C:Q,10,false)*F9544)</f>
        <v>0</v>
      </c>
      <c r="K9544" s="74">
        <f>VLOOKUP(E9544,DATABASE!C:Q,7,false)</f>
        <v>209816.66</v>
      </c>
      <c r="L9544" s="74">
        <v>209816.66</v>
      </c>
      <c r="M9544" s="74">
        <f t="shared" si="6"/>
        <v>210000</v>
      </c>
      <c r="N9544" s="74">
        <f t="shared" si="3"/>
        <v>40000</v>
      </c>
      <c r="O9544" s="65" t="str">
        <f>VLOOKUP(E9544,DATABASE!C:Q,8,false)</f>
        <v>NON</v>
      </c>
      <c r="P9544" s="65">
        <f>VLOOKUP(E9544,DATABASE!C:Q,9,False)</f>
        <v>0</v>
      </c>
      <c r="Q9544" s="93" t="str">
        <f>VLOOKUP(E9544,DATABASE!C:Q,4,false)</f>
        <v>Pertamina</v>
      </c>
      <c r="R9544" s="93" t="str">
        <f>VLOOKUP(E9544,DATABASE!C:Q,11,false)</f>
        <v>OIL</v>
      </c>
    </row>
    <row r="9545" ht="22.5" customHeight="1">
      <c r="A9545" s="49"/>
      <c r="C9545" s="400">
        <v>46220.0</v>
      </c>
      <c r="D9545" s="69">
        <v>358.0</v>
      </c>
      <c r="E9545" s="544" t="s">
        <v>275</v>
      </c>
      <c r="F9545" s="387">
        <v>1.0</v>
      </c>
      <c r="G9545" s="140">
        <v>850000.0</v>
      </c>
      <c r="H9545" s="74"/>
      <c r="I9545" s="74">
        <f t="shared" si="7"/>
        <v>850000</v>
      </c>
      <c r="J9545" s="74">
        <f>IF(E9545="SERVICE",I9545-(I9545*50%),Vlookup(E9545,DATABASE!C:Q,10,false)*F9545)</f>
        <v>0</v>
      </c>
      <c r="K9545" s="74">
        <f>VLOOKUP(E9545,DATABASE!C:Q,7,false)</f>
        <v>782000</v>
      </c>
      <c r="L9545" s="74">
        <v>759500.0</v>
      </c>
      <c r="M9545" s="74">
        <f t="shared" si="6"/>
        <v>760000</v>
      </c>
      <c r="N9545" s="74">
        <f t="shared" si="3"/>
        <v>90000</v>
      </c>
      <c r="O9545" s="65" t="str">
        <f>VLOOKUP(E9545,DATABASE!C:Q,8,false)</f>
        <v>IBU</v>
      </c>
      <c r="P9545" s="65">
        <f>VLOOKUP(E9545,DATABASE!C:Q,9,False)</f>
        <v>1</v>
      </c>
      <c r="Q9545" s="93" t="str">
        <f>VLOOKUP(E9545,DATABASE!C:Q,4,false)</f>
        <v>Dunlop</v>
      </c>
      <c r="R9545" s="93" t="str">
        <f>VLOOKUP(E9545,DATABASE!C:Q,11,false)</f>
        <v>Tire</v>
      </c>
    </row>
    <row r="9546" ht="22.5" customHeight="1">
      <c r="A9546" s="49"/>
      <c r="C9546" s="400">
        <v>46220.0</v>
      </c>
      <c r="D9546" s="524">
        <v>359.0</v>
      </c>
      <c r="E9546" s="544" t="s">
        <v>605</v>
      </c>
      <c r="F9546" s="387">
        <v>1.0</v>
      </c>
      <c r="G9546" s="140">
        <v>765000.0</v>
      </c>
      <c r="H9546" s="74"/>
      <c r="I9546" s="74">
        <f t="shared" si="7"/>
        <v>765000</v>
      </c>
      <c r="J9546" s="74">
        <f>IF(E9546="SERVICE",I9546-(I9546*50%),Vlookup(E9546,DATABASE!C:Q,10,false)*F9546)</f>
        <v>0</v>
      </c>
      <c r="K9546" s="74">
        <f>VLOOKUP(E9546,DATABASE!C:Q,7,false)</f>
        <v>675000</v>
      </c>
      <c r="L9546" s="74">
        <v>675000.0</v>
      </c>
      <c r="M9546" s="74">
        <f t="shared" si="6"/>
        <v>675000</v>
      </c>
      <c r="N9546" s="74">
        <f t="shared" si="3"/>
        <v>90000</v>
      </c>
      <c r="O9546" s="65" t="str">
        <f>VLOOKUP(E9546,DATABASE!C:Q,8,false)</f>
        <v>IBU</v>
      </c>
      <c r="P9546" s="65">
        <f>VLOOKUP(E9546,DATABASE!C:Q,9,False)</f>
        <v>1</v>
      </c>
      <c r="Q9546" s="93" t="str">
        <f>VLOOKUP(E9546,DATABASE!C:Q,4,false)</f>
        <v>Bridgestone</v>
      </c>
      <c r="R9546" s="93" t="str">
        <f>VLOOKUP(E9546,DATABASE!C:Q,11,false)</f>
        <v>Tire</v>
      </c>
    </row>
    <row r="9547" ht="22.5" customHeight="1">
      <c r="A9547" s="49"/>
      <c r="C9547" s="400">
        <v>46220.0</v>
      </c>
      <c r="D9547" s="524">
        <v>359.0</v>
      </c>
      <c r="E9547" s="544" t="s">
        <v>1439</v>
      </c>
      <c r="F9547" s="387">
        <v>1.0</v>
      </c>
      <c r="G9547" s="140">
        <v>645000.0</v>
      </c>
      <c r="H9547" s="74"/>
      <c r="I9547" s="74">
        <f t="shared" si="7"/>
        <v>645000</v>
      </c>
      <c r="J9547" s="74">
        <f>IF(E9547="SERVICE",I9547-(I9547*50%),Vlookup(E9547,DATABASE!C:Q,10,false)*F9547)</f>
        <v>0</v>
      </c>
      <c r="K9547" s="74">
        <f>VLOOKUP(E9547,DATABASE!C:Q,7,false)</f>
        <v>556800</v>
      </c>
      <c r="L9547" s="74">
        <v>556800.0</v>
      </c>
      <c r="M9547" s="74">
        <f t="shared" si="6"/>
        <v>560000</v>
      </c>
      <c r="N9547" s="74">
        <f t="shared" si="3"/>
        <v>85000</v>
      </c>
      <c r="O9547" s="65" t="str">
        <f>VLOOKUP(E9547,DATABASE!C:Q,8,false)</f>
        <v>BIAN</v>
      </c>
      <c r="P9547" s="65">
        <f>VLOOKUP(E9547,DATABASE!C:Q,9,False)</f>
        <v>1</v>
      </c>
      <c r="Q9547" s="93" t="str">
        <f>VLOOKUP(E9547,DATABASE!C:Q,4,false)</f>
        <v>GT</v>
      </c>
      <c r="R9547" s="93" t="str">
        <f>VLOOKUP(E9547,DATABASE!C:Q,11,false)</f>
        <v>Tire</v>
      </c>
    </row>
    <row r="9548" ht="22.5" customHeight="1">
      <c r="A9548" s="49"/>
      <c r="C9548" s="400">
        <v>46220.0</v>
      </c>
      <c r="D9548" s="524">
        <v>360.0</v>
      </c>
      <c r="E9548" s="544" t="s">
        <v>262</v>
      </c>
      <c r="F9548" s="387">
        <v>1.0</v>
      </c>
      <c r="G9548" s="140">
        <v>130000.0</v>
      </c>
      <c r="H9548" s="74"/>
      <c r="I9548" s="74">
        <f t="shared" si="7"/>
        <v>130000</v>
      </c>
      <c r="J9548" s="74">
        <f>IF(E9548="SERVICE",I9548-(I9548*50%),Vlookup(E9548,DATABASE!C:Q,10,false)*F9548)</f>
        <v>5000</v>
      </c>
      <c r="K9548" s="74">
        <f>VLOOKUP(E9548,DATABASE!C:Q,7,false)</f>
        <v>0</v>
      </c>
      <c r="L9548" s="74">
        <v>0.0</v>
      </c>
      <c r="M9548" s="74">
        <f t="shared" si="6"/>
        <v>0</v>
      </c>
      <c r="N9548" s="74">
        <f t="shared" si="3"/>
        <v>125000</v>
      </c>
      <c r="O9548" s="65" t="str">
        <f>VLOOKUP(E9548,DATABASE!C:Q,8,false)</f>
        <v>IBU</v>
      </c>
      <c r="P9548" s="65">
        <f>VLOOKUP(E9548,DATABASE!C:Q,9,False)</f>
        <v>0</v>
      </c>
      <c r="Q9548" s="93" t="str">
        <f>VLOOKUP(E9548,DATABASE!C:Q,4,false)</f>
        <v>SPOORING SS/CARRY LOS BAK</v>
      </c>
      <c r="R9548" s="93" t="str">
        <f>VLOOKUP(E9548,DATABASE!C:Q,11,false)</f>
        <v>SERVICE</v>
      </c>
    </row>
    <row r="9549" ht="22.5" customHeight="1">
      <c r="A9549" s="49"/>
      <c r="C9549" s="400">
        <v>46220.0</v>
      </c>
      <c r="D9549" s="524">
        <v>360.0</v>
      </c>
      <c r="E9549" s="544" t="s">
        <v>251</v>
      </c>
      <c r="F9549" s="387">
        <v>1.0</v>
      </c>
      <c r="G9549" s="140">
        <v>350000.0</v>
      </c>
      <c r="H9549" s="140">
        <v>230000.0</v>
      </c>
      <c r="I9549" s="74">
        <f t="shared" si="7"/>
        <v>120000</v>
      </c>
      <c r="J9549" s="74">
        <f>IF(E9549="SERVICE",I9549-(I9549*50%),Vlookup(E9549,DATABASE!C:Q,10,false)*F9549)</f>
        <v>60000</v>
      </c>
      <c r="K9549" s="74">
        <f>VLOOKUP(E9549,DATABASE!C:Q,7,false)</f>
        <v>0</v>
      </c>
      <c r="L9549" s="74">
        <v>0.0</v>
      </c>
      <c r="M9549" s="74">
        <f t="shared" si="6"/>
        <v>0</v>
      </c>
      <c r="N9549" s="74">
        <f t="shared" si="3"/>
        <v>60000</v>
      </c>
      <c r="O9549" s="65" t="str">
        <f>VLOOKUP(E9549,DATABASE!C:Q,8,false)</f>
        <v>IBU</v>
      </c>
      <c r="P9549" s="65">
        <f>VLOOKUP(E9549,DATABASE!C:Q,9,False)</f>
        <v>0</v>
      </c>
      <c r="Q9549" s="93" t="str">
        <f>VLOOKUP(E9549,DATABASE!C:Q,4,false)</f>
        <v>SERVICE</v>
      </c>
      <c r="R9549" s="93" t="str">
        <f>VLOOKUP(E9549,DATABASE!C:Q,11,false)</f>
        <v>SERVICE</v>
      </c>
    </row>
    <row r="9550" ht="22.5" customHeight="1">
      <c r="A9550" s="49"/>
      <c r="C9550" s="400">
        <v>46220.0</v>
      </c>
      <c r="D9550" s="524">
        <v>362.0</v>
      </c>
      <c r="E9550" s="544" t="s">
        <v>251</v>
      </c>
      <c r="F9550" s="387">
        <v>1.0</v>
      </c>
      <c r="G9550" s="140">
        <v>350000.0</v>
      </c>
      <c r="H9550" s="140">
        <v>100000.0</v>
      </c>
      <c r="I9550" s="74">
        <f t="shared" si="7"/>
        <v>250000</v>
      </c>
      <c r="J9550" s="74">
        <f>IF(E9550="SERVICE",I9550-(I9550*50%),Vlookup(E9550,DATABASE!C:Q,10,false)*F9550)</f>
        <v>125000</v>
      </c>
      <c r="K9550" s="74">
        <f>VLOOKUP(E9550,DATABASE!C:Q,7,false)</f>
        <v>0</v>
      </c>
      <c r="L9550" s="74">
        <v>0.0</v>
      </c>
      <c r="M9550" s="74">
        <f t="shared" si="6"/>
        <v>0</v>
      </c>
      <c r="N9550" s="74">
        <f t="shared" si="3"/>
        <v>125000</v>
      </c>
      <c r="O9550" s="65" t="str">
        <f>VLOOKUP(E9550,DATABASE!C:Q,8,false)</f>
        <v>IBU</v>
      </c>
      <c r="P9550" s="65">
        <f>VLOOKUP(E9550,DATABASE!C:Q,9,False)</f>
        <v>0</v>
      </c>
      <c r="Q9550" s="93" t="str">
        <f>VLOOKUP(E9550,DATABASE!C:Q,4,false)</f>
        <v>SERVICE</v>
      </c>
      <c r="R9550" s="93" t="str">
        <f>VLOOKUP(E9550,DATABASE!C:Q,11,false)</f>
        <v>SERVICE</v>
      </c>
    </row>
    <row r="9551" ht="22.5" customHeight="1">
      <c r="A9551" s="49"/>
      <c r="C9551" s="400">
        <v>46220.0</v>
      </c>
      <c r="D9551" s="69" t="s">
        <v>2878</v>
      </c>
      <c r="E9551" s="544" t="s">
        <v>248</v>
      </c>
      <c r="F9551" s="387">
        <v>1.0</v>
      </c>
      <c r="G9551" s="140">
        <v>250000.0</v>
      </c>
      <c r="H9551" s="74"/>
      <c r="I9551" s="74">
        <f t="shared" si="7"/>
        <v>250000</v>
      </c>
      <c r="J9551" s="74">
        <f>IF(E9551="SERVICE",I9551-(I9551*50%),Vlookup(E9551,DATABASE!C:Q,10,false)*F9551)</f>
        <v>0</v>
      </c>
      <c r="K9551" s="74">
        <f>VLOOKUP(E9551,DATABASE!C:Q,7,false)</f>
        <v>209816.66</v>
      </c>
      <c r="L9551" s="74">
        <v>209816.66</v>
      </c>
      <c r="M9551" s="74">
        <f t="shared" si="6"/>
        <v>210000</v>
      </c>
      <c r="N9551" s="74">
        <f t="shared" si="3"/>
        <v>40000</v>
      </c>
      <c r="O9551" s="65" t="str">
        <f>VLOOKUP(E9551,DATABASE!C:Q,8,false)</f>
        <v>NON</v>
      </c>
      <c r="P9551" s="65">
        <f>VLOOKUP(E9551,DATABASE!C:Q,9,False)</f>
        <v>0</v>
      </c>
      <c r="Q9551" s="93" t="str">
        <f>VLOOKUP(E9551,DATABASE!C:Q,4,false)</f>
        <v>Pertamina</v>
      </c>
      <c r="R9551" s="93" t="str">
        <f>VLOOKUP(E9551,DATABASE!C:Q,11,false)</f>
        <v>OIL</v>
      </c>
    </row>
    <row r="9552" ht="22.5" customHeight="1">
      <c r="A9552" s="49"/>
      <c r="C9552" s="400">
        <v>46220.0</v>
      </c>
      <c r="D9552" s="69" t="s">
        <v>2878</v>
      </c>
      <c r="E9552" s="544" t="s">
        <v>298</v>
      </c>
      <c r="F9552" s="387">
        <v>1.0</v>
      </c>
      <c r="G9552" s="140">
        <v>25000.0</v>
      </c>
      <c r="H9552" s="74"/>
      <c r="I9552" s="74">
        <f t="shared" si="7"/>
        <v>25000</v>
      </c>
      <c r="J9552" s="74">
        <f>IF(E9552="SERVICE",I9552-(I9552*50%),Vlookup(E9552,DATABASE!C:Q,10,false)*F9552)</f>
        <v>0</v>
      </c>
      <c r="K9552" s="74">
        <f>VLOOKUP(E9552,DATABASE!C:Q,7,false)</f>
        <v>19200</v>
      </c>
      <c r="L9552" s="74">
        <v>19200.0</v>
      </c>
      <c r="M9552" s="74">
        <f t="shared" si="6"/>
        <v>20000</v>
      </c>
      <c r="N9552" s="74">
        <f t="shared" si="3"/>
        <v>5000</v>
      </c>
      <c r="O9552" s="65" t="str">
        <f>VLOOKUP(E9552,DATABASE!C:Q,8,false)</f>
        <v>BIAN</v>
      </c>
      <c r="P9552" s="65">
        <f>VLOOKUP(E9552,DATABASE!C:Q,9,False)</f>
        <v>0</v>
      </c>
      <c r="Q9552" s="93" t="str">
        <f>VLOOKUP(E9552,DATABASE!C:Q,4,false)</f>
        <v>Aspira</v>
      </c>
      <c r="R9552" s="93" t="str">
        <f>VLOOKUP(E9552,DATABASE!C:Q,11,false)</f>
        <v>COMPLEMENTARY</v>
      </c>
    </row>
    <row r="9553" ht="22.5" customHeight="1">
      <c r="A9553" s="49"/>
      <c r="C9553" s="400">
        <v>46221.0</v>
      </c>
      <c r="D9553" s="524">
        <v>365.0</v>
      </c>
      <c r="E9553" s="544" t="s">
        <v>275</v>
      </c>
      <c r="F9553" s="387">
        <v>1.0</v>
      </c>
      <c r="G9553" s="140">
        <v>850000.0</v>
      </c>
      <c r="H9553" s="74"/>
      <c r="I9553" s="74">
        <f t="shared" si="7"/>
        <v>850000</v>
      </c>
      <c r="J9553" s="74">
        <f>IF(E9553="SERVICE",I9553-(I9553*50%),Vlookup(E9553,DATABASE!C:Q,10,false)*F9553)</f>
        <v>0</v>
      </c>
      <c r="K9553" s="74">
        <f>VLOOKUP(E9553,DATABASE!C:Q,7,false)</f>
        <v>782000</v>
      </c>
      <c r="L9553" s="74">
        <v>759500.0</v>
      </c>
      <c r="M9553" s="74">
        <f t="shared" si="6"/>
        <v>760000</v>
      </c>
      <c r="N9553" s="74">
        <f t="shared" si="3"/>
        <v>90000</v>
      </c>
      <c r="O9553" s="65" t="str">
        <f>VLOOKUP(E9553,DATABASE!C:Q,8,false)</f>
        <v>IBU</v>
      </c>
      <c r="P9553" s="65">
        <f>VLOOKUP(E9553,DATABASE!C:Q,9,False)</f>
        <v>1</v>
      </c>
      <c r="Q9553" s="93" t="str">
        <f>VLOOKUP(E9553,DATABASE!C:Q,4,false)</f>
        <v>Dunlop</v>
      </c>
      <c r="R9553" s="93" t="str">
        <f>VLOOKUP(E9553,DATABASE!C:Q,11,false)</f>
        <v>Tire</v>
      </c>
    </row>
    <row r="9554" ht="22.5" customHeight="1">
      <c r="A9554" s="49"/>
      <c r="C9554" s="400">
        <v>46221.0</v>
      </c>
      <c r="D9554" s="524">
        <v>366.0</v>
      </c>
      <c r="E9554" s="544" t="s">
        <v>275</v>
      </c>
      <c r="F9554" s="387">
        <v>1.0</v>
      </c>
      <c r="G9554" s="140">
        <v>850000.0</v>
      </c>
      <c r="H9554" s="74"/>
      <c r="I9554" s="74">
        <f t="shared" si="7"/>
        <v>850000</v>
      </c>
      <c r="J9554" s="74">
        <f>IF(E9554="SERVICE",I9554-(I9554*50%),Vlookup(E9554,DATABASE!C:Q,10,false)*F9554)</f>
        <v>0</v>
      </c>
      <c r="K9554" s="74">
        <f>VLOOKUP(E9554,DATABASE!C:Q,7,false)</f>
        <v>782000</v>
      </c>
      <c r="L9554" s="74">
        <v>759500.0</v>
      </c>
      <c r="M9554" s="74">
        <f t="shared" si="6"/>
        <v>760000</v>
      </c>
      <c r="N9554" s="74">
        <f t="shared" si="3"/>
        <v>90000</v>
      </c>
      <c r="O9554" s="65" t="str">
        <f>VLOOKUP(E9554,DATABASE!C:Q,8,false)</f>
        <v>IBU</v>
      </c>
      <c r="P9554" s="65">
        <f>VLOOKUP(E9554,DATABASE!C:Q,9,False)</f>
        <v>1</v>
      </c>
      <c r="Q9554" s="93" t="str">
        <f>VLOOKUP(E9554,DATABASE!C:Q,4,false)</f>
        <v>Dunlop</v>
      </c>
      <c r="R9554" s="93" t="str">
        <f>VLOOKUP(E9554,DATABASE!C:Q,11,false)</f>
        <v>Tire</v>
      </c>
    </row>
    <row r="9555" ht="22.5" customHeight="1">
      <c r="A9555" s="49"/>
      <c r="C9555" s="400">
        <v>46221.0</v>
      </c>
      <c r="D9555" s="524">
        <v>367.0</v>
      </c>
      <c r="E9555" s="544" t="s">
        <v>256</v>
      </c>
      <c r="F9555" s="387">
        <v>1.0</v>
      </c>
      <c r="G9555" s="140">
        <v>175000.0</v>
      </c>
      <c r="H9555" s="140">
        <v>25000.0</v>
      </c>
      <c r="I9555" s="74">
        <f t="shared" si="7"/>
        <v>150000</v>
      </c>
      <c r="J9555" s="74">
        <f>IF(E9555="SERVICE",I9555-(I9555*50%),Vlookup(E9555,DATABASE!C:Q,10,false)*F9555)</f>
        <v>10000</v>
      </c>
      <c r="K9555" s="74">
        <f>VLOOKUP(E9555,DATABASE!C:Q,7,false)</f>
        <v>0</v>
      </c>
      <c r="L9555" s="74">
        <v>0.0</v>
      </c>
      <c r="M9555" s="74">
        <f t="shared" si="6"/>
        <v>0</v>
      </c>
      <c r="N9555" s="74">
        <f t="shared" si="3"/>
        <v>140000</v>
      </c>
      <c r="O9555" s="65" t="str">
        <f>VLOOKUP(E9555,DATABASE!C:Q,8,false)</f>
        <v>IBU</v>
      </c>
      <c r="P9555" s="65">
        <f>VLOOKUP(E9555,DATABASE!C:Q,9,False)</f>
        <v>0</v>
      </c>
      <c r="Q9555" s="93" t="str">
        <f>VLOOKUP(E9555,DATABASE!C:Q,4,false)</f>
        <v>SPOORING</v>
      </c>
      <c r="R9555" s="93" t="str">
        <f>VLOOKUP(E9555,DATABASE!C:Q,11,false)</f>
        <v>SERVICE</v>
      </c>
    </row>
    <row r="9556" ht="22.5" customHeight="1">
      <c r="A9556" s="49"/>
      <c r="C9556" s="400">
        <v>46221.0</v>
      </c>
      <c r="D9556" s="524">
        <v>367.0</v>
      </c>
      <c r="E9556" s="544" t="s">
        <v>301</v>
      </c>
      <c r="F9556" s="387">
        <v>1.0</v>
      </c>
      <c r="G9556" s="140">
        <v>250000.0</v>
      </c>
      <c r="H9556" s="74"/>
      <c r="I9556" s="74">
        <f t="shared" si="7"/>
        <v>250000</v>
      </c>
      <c r="J9556" s="74">
        <f>IF(E9556="SERVICE",I9556-(I9556*50%),Vlookup(E9556,DATABASE!C:Q,10,false)*F9556)</f>
        <v>75000</v>
      </c>
      <c r="K9556" s="74">
        <f>VLOOKUP(E9556,DATABASE!C:Q,7,false)</f>
        <v>75000</v>
      </c>
      <c r="L9556" s="74">
        <v>75000.0</v>
      </c>
      <c r="M9556" s="74">
        <f t="shared" si="6"/>
        <v>75000</v>
      </c>
      <c r="N9556" s="74">
        <f t="shared" si="3"/>
        <v>100000</v>
      </c>
      <c r="O9556" s="65" t="str">
        <f>VLOOKUP(E9556,DATABASE!C:Q,8,false)</f>
        <v>BIAN</v>
      </c>
      <c r="P9556" s="65">
        <f>VLOOKUP(E9556,DATABASE!C:Q,9,False)</f>
        <v>0</v>
      </c>
      <c r="Q9556" s="93" t="str">
        <f>VLOOKUP(E9556,DATABASE!C:Q,4,false)</f>
        <v>Baut Camber</v>
      </c>
      <c r="R9556" s="93" t="str">
        <f>VLOOKUP(E9556,DATABASE!C:Q,11,false)</f>
        <v>COMPLEMENTARY</v>
      </c>
    </row>
    <row r="9557" ht="22.5" customHeight="1">
      <c r="A9557" s="49"/>
      <c r="C9557" s="400">
        <v>46221.0</v>
      </c>
      <c r="D9557" s="524">
        <v>367.0</v>
      </c>
      <c r="E9557" s="544" t="s">
        <v>299</v>
      </c>
      <c r="F9557" s="387">
        <v>2.0</v>
      </c>
      <c r="G9557" s="140">
        <v>30000.0</v>
      </c>
      <c r="H9557" s="74"/>
      <c r="I9557" s="74">
        <f t="shared" si="7"/>
        <v>60000</v>
      </c>
      <c r="J9557" s="74">
        <f>IF(E9557="SERVICE",I9557-(I9557*50%),Vlookup(E9557,DATABASE!C:Q,10,false)*F9557)</f>
        <v>0</v>
      </c>
      <c r="K9557" s="74">
        <f>VLOOKUP(E9557,DATABASE!C:Q,7,false)</f>
        <v>10000</v>
      </c>
      <c r="L9557" s="74">
        <v>10000.0</v>
      </c>
      <c r="M9557" s="74">
        <f t="shared" si="6"/>
        <v>10000</v>
      </c>
      <c r="N9557" s="74">
        <f t="shared" si="3"/>
        <v>40000</v>
      </c>
      <c r="O9557" s="65" t="str">
        <f>VLOOKUP(E9557,DATABASE!C:Q,8,false)</f>
        <v>BIAN</v>
      </c>
      <c r="P9557" s="65">
        <f>VLOOKUP(E9557,DATABASE!C:Q,9,False)</f>
        <v>0</v>
      </c>
      <c r="Q9557" s="93" t="str">
        <f>VLOOKUP(E9557,DATABASE!C:Q,4,false)</f>
        <v>Balancing</v>
      </c>
      <c r="R9557" s="93" t="str">
        <f>VLOOKUP(E9557,DATABASE!C:Q,11,false)</f>
        <v>COMPLEMENTARY</v>
      </c>
    </row>
    <row r="9558" ht="22.5" customHeight="1">
      <c r="A9558" s="49"/>
      <c r="C9558" s="400">
        <v>46221.0</v>
      </c>
      <c r="D9558" s="524">
        <v>369.0</v>
      </c>
      <c r="E9558" s="544" t="s">
        <v>262</v>
      </c>
      <c r="F9558" s="387">
        <v>1.0</v>
      </c>
      <c r="G9558" s="140">
        <v>130000.0</v>
      </c>
      <c r="H9558" s="74"/>
      <c r="I9558" s="74">
        <f t="shared" si="7"/>
        <v>130000</v>
      </c>
      <c r="J9558" s="74">
        <f>IF(E9558="SERVICE",I9558-(I9558*50%),Vlookup(E9558,DATABASE!C:Q,10,false)*F9558)</f>
        <v>5000</v>
      </c>
      <c r="K9558" s="74">
        <f>VLOOKUP(E9558,DATABASE!C:Q,7,false)</f>
        <v>0</v>
      </c>
      <c r="L9558" s="74">
        <v>0.0</v>
      </c>
      <c r="M9558" s="74">
        <f t="shared" si="6"/>
        <v>0</v>
      </c>
      <c r="N9558" s="74">
        <f t="shared" si="3"/>
        <v>125000</v>
      </c>
      <c r="O9558" s="65" t="str">
        <f>VLOOKUP(E9558,DATABASE!C:Q,8,false)</f>
        <v>IBU</v>
      </c>
      <c r="P9558" s="65">
        <f>VLOOKUP(E9558,DATABASE!C:Q,9,False)</f>
        <v>0</v>
      </c>
      <c r="Q9558" s="93" t="str">
        <f>VLOOKUP(E9558,DATABASE!C:Q,4,false)</f>
        <v>SPOORING SS/CARRY LOS BAK</v>
      </c>
      <c r="R9558" s="93" t="str">
        <f>VLOOKUP(E9558,DATABASE!C:Q,11,false)</f>
        <v>SERVICE</v>
      </c>
    </row>
    <row r="9559" ht="22.5" customHeight="1">
      <c r="A9559" s="49"/>
      <c r="C9559" s="400">
        <v>46221.0</v>
      </c>
      <c r="D9559" s="524">
        <v>369.0</v>
      </c>
      <c r="E9559" s="544" t="s">
        <v>251</v>
      </c>
      <c r="F9559" s="387">
        <v>1.0</v>
      </c>
      <c r="G9559" s="140">
        <v>350000.0</v>
      </c>
      <c r="H9559" s="140">
        <v>230000.0</v>
      </c>
      <c r="I9559" s="74">
        <f t="shared" si="7"/>
        <v>120000</v>
      </c>
      <c r="J9559" s="74">
        <f>IF(E9559="SERVICE",I9559-(I9559*50%),Vlookup(E9559,DATABASE!C:Q,10,false)*F9559)</f>
        <v>60000</v>
      </c>
      <c r="K9559" s="74">
        <f>VLOOKUP(E9559,DATABASE!C:Q,7,false)</f>
        <v>0</v>
      </c>
      <c r="L9559" s="74">
        <v>0.0</v>
      </c>
      <c r="M9559" s="74">
        <f t="shared" si="6"/>
        <v>0</v>
      </c>
      <c r="N9559" s="74">
        <f t="shared" si="3"/>
        <v>60000</v>
      </c>
      <c r="O9559" s="65" t="str">
        <f>VLOOKUP(E9559,DATABASE!C:Q,8,false)</f>
        <v>IBU</v>
      </c>
      <c r="P9559" s="65">
        <f>VLOOKUP(E9559,DATABASE!C:Q,9,False)</f>
        <v>0</v>
      </c>
      <c r="Q9559" s="93" t="str">
        <f>VLOOKUP(E9559,DATABASE!C:Q,4,false)</f>
        <v>SERVICE</v>
      </c>
      <c r="R9559" s="93" t="str">
        <f>VLOOKUP(E9559,DATABASE!C:Q,11,false)</f>
        <v>SERVICE</v>
      </c>
    </row>
    <row r="9560" ht="22.5" customHeight="1">
      <c r="A9560" s="49"/>
      <c r="C9560" s="400">
        <v>46221.0</v>
      </c>
      <c r="D9560" s="524">
        <v>369.0</v>
      </c>
      <c r="E9560" s="544" t="s">
        <v>305</v>
      </c>
      <c r="F9560" s="387">
        <v>1.0</v>
      </c>
      <c r="G9560" s="140">
        <v>240000.0</v>
      </c>
      <c r="H9560" s="74"/>
      <c r="I9560" s="74">
        <f t="shared" si="7"/>
        <v>240000</v>
      </c>
      <c r="J9560" s="74">
        <f>IF(E9560="SERVICE",I9560-(I9560*50%),Vlookup(E9560,DATABASE!C:Q,10,false)*F9560)</f>
        <v>40000</v>
      </c>
      <c r="K9560" s="74">
        <f>VLOOKUP(E9560,DATABASE!C:Q,7,false)</f>
        <v>158530.2</v>
      </c>
      <c r="L9560" s="74">
        <v>158530.2</v>
      </c>
      <c r="M9560" s="74">
        <f t="shared" si="6"/>
        <v>160000</v>
      </c>
      <c r="N9560" s="74">
        <f t="shared" si="3"/>
        <v>40000</v>
      </c>
      <c r="O9560" s="65" t="str">
        <f>VLOOKUP(E9560,DATABASE!C:Q,8,false)</f>
        <v>BIAN</v>
      </c>
      <c r="P9560" s="65">
        <f>VLOOKUP(E9560,DATABASE!C:Q,9,False)</f>
        <v>1</v>
      </c>
      <c r="Q9560" s="93" t="str">
        <f>VLOOKUP(E9560,DATABASE!C:Q,4,false)</f>
        <v>Lower Arm</v>
      </c>
      <c r="R9560" s="93" t="str">
        <f>VLOOKUP(E9560,DATABASE!C:Q,11,false)</f>
        <v>COMPLEMENTARY</v>
      </c>
    </row>
    <row r="9561" ht="22.5" customHeight="1">
      <c r="A9561" s="49"/>
      <c r="C9561" s="400">
        <v>46221.0</v>
      </c>
      <c r="D9561" s="524">
        <v>369.0</v>
      </c>
      <c r="E9561" s="544" t="s">
        <v>478</v>
      </c>
      <c r="F9561" s="387">
        <v>1.0</v>
      </c>
      <c r="G9561" s="140">
        <v>200000.0</v>
      </c>
      <c r="H9561" s="74"/>
      <c r="I9561" s="74">
        <f t="shared" si="7"/>
        <v>200000</v>
      </c>
      <c r="J9561" s="74">
        <f>IF(E9561="SERVICE",I9561-(I9561*50%),Vlookup(E9561,DATABASE!C:Q,10,false)*F9561)</f>
        <v>25000</v>
      </c>
      <c r="K9561" s="74">
        <f>VLOOKUP(E9561,DATABASE!C:Q,7,false)</f>
        <v>75000</v>
      </c>
      <c r="L9561" s="74">
        <v>75000.0</v>
      </c>
      <c r="M9561" s="74">
        <f t="shared" si="6"/>
        <v>75000</v>
      </c>
      <c r="N9561" s="74">
        <f t="shared" si="3"/>
        <v>100000</v>
      </c>
      <c r="O9561" s="65" t="str">
        <f>VLOOKUP(E9561,DATABASE!C:Q,8,false)</f>
        <v>BIAN</v>
      </c>
      <c r="P9561" s="65">
        <f>VLOOKUP(E9561,DATABASE!C:Q,9,False)</f>
        <v>0</v>
      </c>
      <c r="Q9561" s="93" t="str">
        <f>VLOOKUP(E9561,DATABASE!C:Q,4,false)</f>
        <v>Baut Camber ss-carry</v>
      </c>
      <c r="R9561" s="93" t="str">
        <f>VLOOKUP(E9561,DATABASE!C:Q,11,false)</f>
        <v>COMPLEMENTARY</v>
      </c>
    </row>
    <row r="9562" ht="22.5" customHeight="1">
      <c r="A9562" s="49"/>
      <c r="C9562" s="400">
        <v>46221.0</v>
      </c>
      <c r="D9562" s="524">
        <v>371.0</v>
      </c>
      <c r="E9562" s="544" t="s">
        <v>1867</v>
      </c>
      <c r="F9562" s="387">
        <v>1.0</v>
      </c>
      <c r="G9562" s="140">
        <v>665000.0</v>
      </c>
      <c r="H9562" s="74"/>
      <c r="I9562" s="74">
        <f t="shared" si="7"/>
        <v>665000</v>
      </c>
      <c r="J9562" s="74">
        <f>IF(E9562="SERVICE",I9562-(I9562*50%),Vlookup(E9562,DATABASE!C:Q,10,false)*F9562)</f>
        <v>0</v>
      </c>
      <c r="K9562" s="74">
        <f>VLOOKUP(E9562,DATABASE!C:Q,7,false)</f>
        <v>575200</v>
      </c>
      <c r="L9562" s="74">
        <v>575200.0</v>
      </c>
      <c r="M9562" s="74">
        <f t="shared" si="6"/>
        <v>580000</v>
      </c>
      <c r="N9562" s="74">
        <f t="shared" si="3"/>
        <v>85000</v>
      </c>
      <c r="O9562" s="65" t="str">
        <f>VLOOKUP(E9562,DATABASE!C:Q,8,false)</f>
        <v>BIAN</v>
      </c>
      <c r="P9562" s="65">
        <f>VLOOKUP(E9562,DATABASE!C:Q,9,False)</f>
        <v>1</v>
      </c>
      <c r="Q9562" s="93" t="str">
        <f>VLOOKUP(E9562,DATABASE!C:Q,4,false)</f>
        <v>GT</v>
      </c>
      <c r="R9562" s="93" t="str">
        <f>VLOOKUP(E9562,DATABASE!C:Q,11,false)</f>
        <v>Tire</v>
      </c>
    </row>
    <row r="9563" ht="22.5" customHeight="1">
      <c r="A9563" s="49"/>
      <c r="C9563" s="400">
        <v>46221.0</v>
      </c>
      <c r="D9563" s="524">
        <v>372.0</v>
      </c>
      <c r="E9563" s="544" t="s">
        <v>246</v>
      </c>
      <c r="F9563" s="387">
        <v>4.0</v>
      </c>
      <c r="G9563" s="140">
        <v>35000.0</v>
      </c>
      <c r="H9563" s="74"/>
      <c r="I9563" s="74">
        <f t="shared" si="7"/>
        <v>140000</v>
      </c>
      <c r="J9563" s="74">
        <f>IF(E9563="SERVICE",I9563-(I9563*50%),Vlookup(E9563,DATABASE!C:Q,10,false)*F9563)</f>
        <v>0</v>
      </c>
      <c r="K9563" s="74">
        <f>VLOOKUP(E9563,DATABASE!C:Q,7,false)</f>
        <v>0</v>
      </c>
      <c r="L9563" s="74">
        <v>0.0</v>
      </c>
      <c r="M9563" s="74">
        <f t="shared" si="6"/>
        <v>0</v>
      </c>
      <c r="N9563" s="74">
        <f t="shared" si="3"/>
        <v>140000</v>
      </c>
      <c r="O9563" s="65" t="str">
        <f>VLOOKUP(E9563,DATABASE!C:Q,8,false)</f>
        <v>IBU</v>
      </c>
      <c r="P9563" s="65">
        <f>VLOOKUP(E9563,DATABASE!C:Q,9,False)</f>
        <v>0</v>
      </c>
      <c r="Q9563" s="93" t="str">
        <f>VLOOKUP(E9563,DATABASE!C:Q,4,false)</f>
        <v>Bongkar Pasang</v>
      </c>
      <c r="R9563" s="93" t="str">
        <f>VLOOKUP(E9563,DATABASE!C:Q,11,false)</f>
        <v>SERVICE</v>
      </c>
    </row>
    <row r="9564" ht="22.5" customHeight="1">
      <c r="A9564" s="49"/>
      <c r="C9564" s="400">
        <v>46221.0</v>
      </c>
      <c r="D9564" s="524">
        <v>372.0</v>
      </c>
      <c r="E9564" s="544" t="s">
        <v>878</v>
      </c>
      <c r="F9564" s="387">
        <v>4.0</v>
      </c>
      <c r="G9564" s="140">
        <v>50000.0</v>
      </c>
      <c r="H9564" s="140">
        <v>10000.0</v>
      </c>
      <c r="I9564" s="74">
        <f t="shared" si="7"/>
        <v>160000</v>
      </c>
      <c r="J9564" s="74">
        <f>IF(E9564="SERVICE",I9564-(I9564*50%),Vlookup(E9564,DATABASE!C:Q,10,false)*F9564)</f>
        <v>0</v>
      </c>
      <c r="K9564" s="74">
        <f>VLOOKUP(E9564,DATABASE!C:Q,7,false)</f>
        <v>0</v>
      </c>
      <c r="L9564" s="74">
        <v>0.0</v>
      </c>
      <c r="M9564" s="74">
        <f t="shared" si="6"/>
        <v>0</v>
      </c>
      <c r="N9564" s="74">
        <f t="shared" si="3"/>
        <v>160000</v>
      </c>
      <c r="O9564" s="65" t="str">
        <f>VLOOKUP(E9564,DATABASE!C:Q,8,false)</f>
        <v>IBU</v>
      </c>
      <c r="P9564" s="65">
        <f>VLOOKUP(E9564,DATABASE!C:Q,9,False)</f>
        <v>0</v>
      </c>
      <c r="Q9564" s="93" t="str">
        <f>VLOOKUP(E9564,DATABASE!C:Q,4,false)</f>
        <v>Bongkar Pasang 17</v>
      </c>
      <c r="R9564" s="93" t="str">
        <f>VLOOKUP(E9564,DATABASE!C:Q,11,false)</f>
        <v>SERVICE</v>
      </c>
    </row>
    <row r="9565" ht="22.5" customHeight="1">
      <c r="A9565" s="49"/>
      <c r="C9565" s="400">
        <v>46221.0</v>
      </c>
      <c r="D9565" s="524">
        <v>373.0</v>
      </c>
      <c r="E9565" s="544" t="s">
        <v>1097</v>
      </c>
      <c r="F9565" s="387">
        <v>2.0</v>
      </c>
      <c r="G9565" s="140">
        <v>920000.0</v>
      </c>
      <c r="H9565" s="74"/>
      <c r="I9565" s="74">
        <f t="shared" si="7"/>
        <v>1840000</v>
      </c>
      <c r="J9565" s="74">
        <f>IF(E9565="SERVICE",I9565-(I9565*50%),Vlookup(E9565,DATABASE!C:Q,10,false)*F9565)</f>
        <v>0</v>
      </c>
      <c r="K9565" s="74">
        <f>VLOOKUP(E9565,DATABASE!C:Q,7,false)</f>
        <v>844838.5</v>
      </c>
      <c r="L9565" s="74">
        <v>815987.25</v>
      </c>
      <c r="M9565" s="74">
        <f t="shared" si="6"/>
        <v>820000</v>
      </c>
      <c r="N9565" s="74">
        <f t="shared" si="3"/>
        <v>200000</v>
      </c>
      <c r="O9565" s="65" t="str">
        <f>VLOOKUP(E9565,DATABASE!C:Q,8,false)</f>
        <v>IBU</v>
      </c>
      <c r="P9565" s="65">
        <f>VLOOKUP(E9565,DATABASE!C:Q,9,False)</f>
        <v>1</v>
      </c>
      <c r="Q9565" s="93" t="str">
        <f>VLOOKUP(E9565,DATABASE!C:Q,4,false)</f>
        <v>Bridgestone</v>
      </c>
      <c r="R9565" s="93" t="str">
        <f>VLOOKUP(E9565,DATABASE!C:Q,11,false)</f>
        <v>Tire</v>
      </c>
    </row>
    <row r="9566" ht="22.5" customHeight="1">
      <c r="A9566" s="49"/>
      <c r="C9566" s="400">
        <v>46221.0</v>
      </c>
      <c r="D9566" s="524">
        <v>374.0</v>
      </c>
      <c r="E9566" s="544" t="s">
        <v>275</v>
      </c>
      <c r="F9566" s="387">
        <v>4.0</v>
      </c>
      <c r="G9566" s="140">
        <v>850000.0</v>
      </c>
      <c r="H9566" s="74"/>
      <c r="I9566" s="74">
        <f t="shared" si="7"/>
        <v>3400000</v>
      </c>
      <c r="J9566" s="74">
        <f>IF(E9566="SERVICE",I9566-(I9566*50%),Vlookup(E9566,DATABASE!C:Q,10,false)*F9566)</f>
        <v>0</v>
      </c>
      <c r="K9566" s="74">
        <f>VLOOKUP(E9566,DATABASE!C:Q,7,false)</f>
        <v>782000</v>
      </c>
      <c r="L9566" s="74">
        <v>759500.0</v>
      </c>
      <c r="M9566" s="74">
        <f t="shared" si="6"/>
        <v>760000</v>
      </c>
      <c r="N9566" s="74">
        <f t="shared" si="3"/>
        <v>360000</v>
      </c>
      <c r="O9566" s="65" t="str">
        <f>VLOOKUP(E9566,DATABASE!C:Q,8,false)</f>
        <v>IBU</v>
      </c>
      <c r="P9566" s="65">
        <f>VLOOKUP(E9566,DATABASE!C:Q,9,False)</f>
        <v>1</v>
      </c>
      <c r="Q9566" s="93" t="str">
        <f>VLOOKUP(E9566,DATABASE!C:Q,4,false)</f>
        <v>Dunlop</v>
      </c>
      <c r="R9566" s="93" t="str">
        <f>VLOOKUP(E9566,DATABASE!C:Q,11,false)</f>
        <v>Tire</v>
      </c>
    </row>
    <row r="9567" ht="22.5" customHeight="1">
      <c r="A9567" s="49"/>
      <c r="C9567" s="400">
        <v>46221.0</v>
      </c>
      <c r="D9567" s="69">
        <v>374.0</v>
      </c>
      <c r="E9567" s="544" t="s">
        <v>839</v>
      </c>
      <c r="F9567" s="387">
        <v>2.0</v>
      </c>
      <c r="G9567" s="140">
        <v>580000.0</v>
      </c>
      <c r="H9567" s="74"/>
      <c r="I9567" s="74">
        <f t="shared" si="7"/>
        <v>1160000</v>
      </c>
      <c r="J9567" s="74">
        <f>IF(E9567="SERVICE",I9567-(I9567*50%),Vlookup(E9567,DATABASE!C:Q,10,false)*F9567)</f>
        <v>0</v>
      </c>
      <c r="K9567" s="74">
        <f>VLOOKUP(E9567,DATABASE!C:Q,7,false)</f>
        <v>512640</v>
      </c>
      <c r="L9567" s="140">
        <v>485000.0</v>
      </c>
      <c r="M9567" s="74">
        <f t="shared" si="6"/>
        <v>485000</v>
      </c>
      <c r="N9567" s="74">
        <f t="shared" si="3"/>
        <v>190000</v>
      </c>
      <c r="O9567" s="65" t="str">
        <f>VLOOKUP(E9567,DATABASE!C:Q,8,false)</f>
        <v>BIAN</v>
      </c>
      <c r="P9567" s="65">
        <f>VLOOKUP(E9567,DATABASE!C:Q,9,False)</f>
        <v>1</v>
      </c>
      <c r="Q9567" s="93" t="str">
        <f>VLOOKUP(E9567,DATABASE!C:Q,4,false)</f>
        <v>GT</v>
      </c>
      <c r="R9567" s="93" t="str">
        <f>VLOOKUP(E9567,DATABASE!C:Q,11,false)</f>
        <v>Tire</v>
      </c>
    </row>
    <row r="9568" ht="22.5" customHeight="1">
      <c r="A9568" s="49"/>
      <c r="C9568" s="400">
        <v>46221.0</v>
      </c>
      <c r="D9568" s="524">
        <v>377.0</v>
      </c>
      <c r="E9568" s="544" t="s">
        <v>256</v>
      </c>
      <c r="F9568" s="387">
        <v>1.0</v>
      </c>
      <c r="G9568" s="140">
        <v>175000.0</v>
      </c>
      <c r="H9568" s="140">
        <v>25000.0</v>
      </c>
      <c r="I9568" s="74">
        <f t="shared" si="7"/>
        <v>150000</v>
      </c>
      <c r="J9568" s="74">
        <f>IF(E9568="SERVICE",I9568-(I9568*50%),Vlookup(E9568,DATABASE!C:Q,10,false)*F9568)</f>
        <v>10000</v>
      </c>
      <c r="K9568" s="74">
        <f>VLOOKUP(E9568,DATABASE!C:Q,7,false)</f>
        <v>0</v>
      </c>
      <c r="L9568" s="74">
        <v>0.0</v>
      </c>
      <c r="M9568" s="74">
        <f t="shared" si="6"/>
        <v>0</v>
      </c>
      <c r="N9568" s="74">
        <f t="shared" si="3"/>
        <v>140000</v>
      </c>
      <c r="O9568" s="65" t="str">
        <f>VLOOKUP(E9568,DATABASE!C:Q,8,false)</f>
        <v>IBU</v>
      </c>
      <c r="P9568" s="65">
        <f>VLOOKUP(E9568,DATABASE!C:Q,9,False)</f>
        <v>0</v>
      </c>
      <c r="Q9568" s="93" t="str">
        <f>VLOOKUP(E9568,DATABASE!C:Q,4,false)</f>
        <v>SPOORING</v>
      </c>
      <c r="R9568" s="93" t="str">
        <f>VLOOKUP(E9568,DATABASE!C:Q,11,false)</f>
        <v>SERVICE</v>
      </c>
    </row>
    <row r="9569" ht="22.5" customHeight="1">
      <c r="A9569" s="49"/>
      <c r="C9569" s="400">
        <v>46221.0</v>
      </c>
      <c r="D9569" s="524">
        <v>377.0</v>
      </c>
      <c r="E9569" s="544" t="s">
        <v>299</v>
      </c>
      <c r="F9569" s="387">
        <v>2.0</v>
      </c>
      <c r="G9569" s="140">
        <v>30000.0</v>
      </c>
      <c r="H9569" s="74"/>
      <c r="I9569" s="74">
        <f t="shared" si="7"/>
        <v>60000</v>
      </c>
      <c r="J9569" s="74">
        <f>IF(E9569="SERVICE",I9569-(I9569*50%),Vlookup(E9569,DATABASE!C:Q,10,false)*F9569)</f>
        <v>0</v>
      </c>
      <c r="K9569" s="74">
        <f>VLOOKUP(E9569,DATABASE!C:Q,7,false)</f>
        <v>10000</v>
      </c>
      <c r="L9569" s="74">
        <v>10000.0</v>
      </c>
      <c r="M9569" s="74">
        <f t="shared" si="6"/>
        <v>10000</v>
      </c>
      <c r="N9569" s="74">
        <f t="shared" si="3"/>
        <v>40000</v>
      </c>
      <c r="O9569" s="65" t="str">
        <f>VLOOKUP(E9569,DATABASE!C:Q,8,false)</f>
        <v>BIAN</v>
      </c>
      <c r="P9569" s="65">
        <f>VLOOKUP(E9569,DATABASE!C:Q,9,False)</f>
        <v>0</v>
      </c>
      <c r="Q9569" s="93" t="str">
        <f>VLOOKUP(E9569,DATABASE!C:Q,4,false)</f>
        <v>Balancing</v>
      </c>
      <c r="R9569" s="93" t="str">
        <f>VLOOKUP(E9569,DATABASE!C:Q,11,false)</f>
        <v>COMPLEMENTARY</v>
      </c>
    </row>
    <row r="9570" ht="22.5" customHeight="1">
      <c r="A9570" s="49"/>
      <c r="C9570" s="400">
        <v>46221.0</v>
      </c>
      <c r="D9570" s="69" t="s">
        <v>2879</v>
      </c>
      <c r="E9570" s="544" t="s">
        <v>252</v>
      </c>
      <c r="F9570" s="387">
        <v>1.0</v>
      </c>
      <c r="G9570" s="140">
        <v>370000.0</v>
      </c>
      <c r="H9570" s="74"/>
      <c r="I9570" s="74">
        <f t="shared" si="7"/>
        <v>370000</v>
      </c>
      <c r="J9570" s="74">
        <f>IF(E9570="SERVICE",I9570-(I9570*50%),Vlookup(E9570,DATABASE!C:Q,10,false)*F9570)</f>
        <v>0</v>
      </c>
      <c r="K9570" s="74">
        <f>VLOOKUP(E9570,DATABASE!C:Q,7,false)</f>
        <v>317518</v>
      </c>
      <c r="L9570" s="74">
        <v>317518.0</v>
      </c>
      <c r="M9570" s="74">
        <f t="shared" si="6"/>
        <v>320000</v>
      </c>
      <c r="N9570" s="74">
        <f t="shared" si="3"/>
        <v>50000</v>
      </c>
      <c r="O9570" s="65" t="str">
        <f>VLOOKUP(E9570,DATABASE!C:Q,8,false)</f>
        <v>NON</v>
      </c>
      <c r="P9570" s="65">
        <f>VLOOKUP(E9570,DATABASE!C:Q,9,False)</f>
        <v>0</v>
      </c>
      <c r="Q9570" s="93" t="str">
        <f>VLOOKUP(E9570,DATABASE!C:Q,4,false)</f>
        <v>Shell</v>
      </c>
      <c r="R9570" s="93" t="str">
        <f>VLOOKUP(E9570,DATABASE!C:Q,11,false)</f>
        <v>OIL</v>
      </c>
    </row>
    <row r="9571" ht="22.5" customHeight="1">
      <c r="A9571" s="49"/>
      <c r="C9571" s="400">
        <v>46221.0</v>
      </c>
      <c r="D9571" s="69" t="s">
        <v>2880</v>
      </c>
      <c r="E9571" s="544" t="s">
        <v>263</v>
      </c>
      <c r="F9571" s="387">
        <v>1.0</v>
      </c>
      <c r="G9571" s="140">
        <v>385000.0</v>
      </c>
      <c r="H9571" s="74"/>
      <c r="I9571" s="74">
        <f t="shared" si="7"/>
        <v>385000</v>
      </c>
      <c r="J9571" s="74">
        <f>IF(E9571="SERVICE",I9571-(I9571*50%),Vlookup(E9571,DATABASE!C:Q,10,false)*F9571)</f>
        <v>0</v>
      </c>
      <c r="K9571" s="74">
        <f>VLOOKUP(E9571,DATABASE!C:Q,7,false)</f>
        <v>334916</v>
      </c>
      <c r="L9571" s="74">
        <v>334916.0</v>
      </c>
      <c r="M9571" s="74">
        <f t="shared" si="6"/>
        <v>335000</v>
      </c>
      <c r="N9571" s="74">
        <f t="shared" si="3"/>
        <v>50000</v>
      </c>
      <c r="O9571" s="65" t="str">
        <f>VLOOKUP(E9571,DATABASE!C:Q,8,false)</f>
        <v>NON</v>
      </c>
      <c r="P9571" s="65">
        <f>VLOOKUP(E9571,DATABASE!C:Q,9,False)</f>
        <v>0</v>
      </c>
      <c r="Q9571" s="93" t="str">
        <f>VLOOKUP(E9571,DATABASE!C:Q,4,false)</f>
        <v>Shell</v>
      </c>
      <c r="R9571" s="93" t="str">
        <f>VLOOKUP(E9571,DATABASE!C:Q,11,false)</f>
        <v>OIL</v>
      </c>
    </row>
    <row r="9572" ht="22.5" customHeight="1">
      <c r="A9572" s="49"/>
      <c r="C9572" s="400">
        <v>46221.0</v>
      </c>
      <c r="D9572" s="69" t="s">
        <v>2880</v>
      </c>
      <c r="E9572" s="544" t="s">
        <v>298</v>
      </c>
      <c r="F9572" s="387">
        <v>1.0</v>
      </c>
      <c r="G9572" s="140">
        <v>25000.0</v>
      </c>
      <c r="H9572" s="74"/>
      <c r="I9572" s="74">
        <f t="shared" si="7"/>
        <v>25000</v>
      </c>
      <c r="J9572" s="74">
        <f>IF(E9572="SERVICE",I9572-(I9572*50%),Vlookup(E9572,DATABASE!C:Q,10,false)*F9572)</f>
        <v>0</v>
      </c>
      <c r="K9572" s="74">
        <f>VLOOKUP(E9572,DATABASE!C:Q,7,false)</f>
        <v>19200</v>
      </c>
      <c r="L9572" s="74">
        <v>19200.0</v>
      </c>
      <c r="M9572" s="74">
        <f t="shared" si="6"/>
        <v>20000</v>
      </c>
      <c r="N9572" s="74">
        <f t="shared" si="3"/>
        <v>5000</v>
      </c>
      <c r="O9572" s="65" t="str">
        <f>VLOOKUP(E9572,DATABASE!C:Q,8,false)</f>
        <v>BIAN</v>
      </c>
      <c r="P9572" s="65">
        <f>VLOOKUP(E9572,DATABASE!C:Q,9,False)</f>
        <v>0</v>
      </c>
      <c r="Q9572" s="93" t="str">
        <f>VLOOKUP(E9572,DATABASE!C:Q,4,false)</f>
        <v>Aspira</v>
      </c>
      <c r="R9572" s="93" t="str">
        <f>VLOOKUP(E9572,DATABASE!C:Q,11,false)</f>
        <v>COMPLEMENTARY</v>
      </c>
    </row>
    <row r="9573" ht="22.5" customHeight="1">
      <c r="A9573" s="49"/>
      <c r="C9573" s="400">
        <v>46221.0</v>
      </c>
      <c r="D9573" s="69" t="s">
        <v>2881</v>
      </c>
      <c r="E9573" s="544" t="s">
        <v>263</v>
      </c>
      <c r="F9573" s="387">
        <v>1.0</v>
      </c>
      <c r="G9573" s="140">
        <v>385000.0</v>
      </c>
      <c r="H9573" s="74"/>
      <c r="I9573" s="74">
        <f t="shared" si="7"/>
        <v>385000</v>
      </c>
      <c r="J9573" s="74">
        <f>IF(E9573="SERVICE",I9573-(I9573*50%),Vlookup(E9573,DATABASE!C:Q,10,false)*F9573)</f>
        <v>0</v>
      </c>
      <c r="K9573" s="74">
        <f>VLOOKUP(E9573,DATABASE!C:Q,7,false)</f>
        <v>334916</v>
      </c>
      <c r="L9573" s="74">
        <v>334916.0</v>
      </c>
      <c r="M9573" s="74">
        <f t="shared" si="6"/>
        <v>335000</v>
      </c>
      <c r="N9573" s="74">
        <f t="shared" si="3"/>
        <v>50000</v>
      </c>
      <c r="O9573" s="65" t="str">
        <f>VLOOKUP(E9573,DATABASE!C:Q,8,false)</f>
        <v>NON</v>
      </c>
      <c r="P9573" s="65">
        <f>VLOOKUP(E9573,DATABASE!C:Q,9,False)</f>
        <v>0</v>
      </c>
      <c r="Q9573" s="93" t="str">
        <f>VLOOKUP(E9573,DATABASE!C:Q,4,false)</f>
        <v>Shell</v>
      </c>
      <c r="R9573" s="93" t="str">
        <f>VLOOKUP(E9573,DATABASE!C:Q,11,false)</f>
        <v>OIL</v>
      </c>
    </row>
    <row r="9574" ht="22.5" customHeight="1">
      <c r="A9574" s="49"/>
      <c r="C9574" s="400">
        <v>46221.0</v>
      </c>
      <c r="D9574" s="69" t="s">
        <v>2882</v>
      </c>
      <c r="E9574" s="544" t="s">
        <v>248</v>
      </c>
      <c r="F9574" s="387">
        <v>1.0</v>
      </c>
      <c r="G9574" s="140">
        <v>250000.0</v>
      </c>
      <c r="H9574" s="74"/>
      <c r="I9574" s="74">
        <f t="shared" si="7"/>
        <v>250000</v>
      </c>
      <c r="J9574" s="74">
        <f>IF(E9574="SERVICE",I9574-(I9574*50%),Vlookup(E9574,DATABASE!C:Q,10,false)*F9574)</f>
        <v>0</v>
      </c>
      <c r="K9574" s="74">
        <f>VLOOKUP(E9574,DATABASE!C:Q,7,false)</f>
        <v>209816.66</v>
      </c>
      <c r="L9574" s="74">
        <v>209816.66</v>
      </c>
      <c r="M9574" s="74">
        <f t="shared" si="6"/>
        <v>210000</v>
      </c>
      <c r="N9574" s="74">
        <f t="shared" si="3"/>
        <v>40000</v>
      </c>
      <c r="O9574" s="65" t="str">
        <f>VLOOKUP(E9574,DATABASE!C:Q,8,false)</f>
        <v>NON</v>
      </c>
      <c r="P9574" s="65">
        <f>VLOOKUP(E9574,DATABASE!C:Q,9,False)</f>
        <v>0</v>
      </c>
      <c r="Q9574" s="93" t="str">
        <f>VLOOKUP(E9574,DATABASE!C:Q,4,false)</f>
        <v>Pertamina</v>
      </c>
      <c r="R9574" s="93" t="str">
        <f>VLOOKUP(E9574,DATABASE!C:Q,11,false)</f>
        <v>OIL</v>
      </c>
    </row>
    <row r="9575" ht="22.5" customHeight="1">
      <c r="A9575" s="49"/>
      <c r="C9575" s="400">
        <v>46225.0</v>
      </c>
      <c r="D9575" s="524">
        <v>378.0</v>
      </c>
      <c r="E9575" s="544" t="s">
        <v>286</v>
      </c>
      <c r="F9575" s="387">
        <v>8.0</v>
      </c>
      <c r="G9575" s="140">
        <v>580000.0</v>
      </c>
      <c r="H9575" s="140">
        <v>10000.0</v>
      </c>
      <c r="I9575" s="74">
        <f t="shared" si="7"/>
        <v>4560000</v>
      </c>
      <c r="J9575" s="74">
        <f>IF(E9575="SERVICE",I9575-(I9575*50%),Vlookup(E9575,DATABASE!C:Q,10,false)*F9575)</f>
        <v>0</v>
      </c>
      <c r="K9575" s="74">
        <f>VLOOKUP(E9575,DATABASE!C:Q,7,false)</f>
        <v>488320</v>
      </c>
      <c r="L9575" s="74">
        <v>474240.0</v>
      </c>
      <c r="M9575" s="74">
        <f t="shared" si="6"/>
        <v>475000</v>
      </c>
      <c r="N9575" s="74">
        <f t="shared" si="3"/>
        <v>760000</v>
      </c>
      <c r="O9575" s="65" t="str">
        <f>VLOOKUP(E9575,DATABASE!C:Q,8,false)</f>
        <v>BIAN</v>
      </c>
      <c r="P9575" s="65">
        <f>VLOOKUP(E9575,DATABASE!C:Q,9,False)</f>
        <v>1</v>
      </c>
      <c r="Q9575" s="93" t="str">
        <f>VLOOKUP(E9575,DATABASE!C:Q,4,false)</f>
        <v>GT</v>
      </c>
      <c r="R9575" s="93" t="str">
        <f>VLOOKUP(E9575,DATABASE!C:Q,11,false)</f>
        <v>Tire</v>
      </c>
    </row>
    <row r="9576" ht="22.5" customHeight="1">
      <c r="A9576" s="49"/>
      <c r="C9576" s="400">
        <v>46225.0</v>
      </c>
      <c r="D9576" s="524">
        <v>381.0</v>
      </c>
      <c r="E9576" s="544" t="s">
        <v>974</v>
      </c>
      <c r="F9576" s="387">
        <v>1.0</v>
      </c>
      <c r="G9576" s="140">
        <v>590000.0</v>
      </c>
      <c r="H9576" s="74"/>
      <c r="I9576" s="74">
        <f t="shared" si="7"/>
        <v>590000</v>
      </c>
      <c r="J9576" s="74">
        <f>IF(E9576="SERVICE",I9576-(I9576*50%),Vlookup(E9576,DATABASE!C:Q,10,false)*F9576)</f>
        <v>0</v>
      </c>
      <c r="K9576" s="74">
        <f>VLOOKUP(E9576,DATABASE!C:Q,7,false)</f>
        <v>501500</v>
      </c>
      <c r="L9576" s="74">
        <v>501500.0</v>
      </c>
      <c r="M9576" s="74">
        <f t="shared" si="6"/>
        <v>505000</v>
      </c>
      <c r="N9576" s="74">
        <f t="shared" si="3"/>
        <v>85000</v>
      </c>
      <c r="O9576" s="65" t="str">
        <f>VLOOKUP(E9576,DATABASE!C:Q,8,false)</f>
        <v>IBU</v>
      </c>
      <c r="P9576" s="65">
        <f>VLOOKUP(E9576,DATABASE!C:Q,9,False)</f>
        <v>1</v>
      </c>
      <c r="Q9576" s="93" t="str">
        <f>VLOOKUP(E9576,DATABASE!C:Q,4,false)</f>
        <v>Dunlop</v>
      </c>
      <c r="R9576" s="93" t="str">
        <f>VLOOKUP(E9576,DATABASE!C:Q,11,false)</f>
        <v>Tire</v>
      </c>
    </row>
    <row r="9577" ht="22.5" customHeight="1">
      <c r="A9577" s="49"/>
      <c r="C9577" s="400">
        <v>46225.0</v>
      </c>
      <c r="D9577" s="524">
        <v>382.0</v>
      </c>
      <c r="E9577" s="544" t="s">
        <v>2140</v>
      </c>
      <c r="F9577" s="387">
        <v>1.0</v>
      </c>
      <c r="G9577" s="140">
        <v>35000.0</v>
      </c>
      <c r="H9577" s="140">
        <v>5000.0</v>
      </c>
      <c r="I9577" s="74">
        <f t="shared" si="7"/>
        <v>30000</v>
      </c>
      <c r="J9577" s="74">
        <f>IF(E9577="SERVICE",I9577-(I9577*50%),Vlookup(E9577,DATABASE!C:Q,10,false)*F9577)</f>
        <v>0</v>
      </c>
      <c r="K9577" s="74">
        <f>VLOOKUP(E9577,DATABASE!C:Q,7,false)</f>
        <v>5000</v>
      </c>
      <c r="L9577" s="74">
        <v>0.0</v>
      </c>
      <c r="M9577" s="74">
        <f t="shared" si="6"/>
        <v>0</v>
      </c>
      <c r="N9577" s="74">
        <f t="shared" si="3"/>
        <v>30000</v>
      </c>
      <c r="O9577" s="65" t="str">
        <f>VLOOKUP(E9577,DATABASE!C:Q,8,false)</f>
        <v>IBU</v>
      </c>
      <c r="P9577" s="65">
        <f>VLOOKUP(E9577,DATABASE!C:Q,9,False)</f>
        <v>0</v>
      </c>
      <c r="Q9577" s="93" t="str">
        <f>VLOOKUP(E9577,DATABASE!C:Q,4,false)</f>
        <v>PENTIL + PASANG</v>
      </c>
      <c r="R9577" s="93" t="str">
        <f>VLOOKUP(E9577,DATABASE!C:Q,11,false)</f>
        <v>COMPLEMENTARY</v>
      </c>
    </row>
    <row r="9578" ht="22.5" customHeight="1">
      <c r="A9578" s="49"/>
      <c r="C9578" s="400">
        <v>46225.0</v>
      </c>
      <c r="D9578" s="524">
        <v>383.0</v>
      </c>
      <c r="E9578" s="544" t="s">
        <v>974</v>
      </c>
      <c r="F9578" s="387">
        <v>1.0</v>
      </c>
      <c r="G9578" s="140">
        <v>590000.0</v>
      </c>
      <c r="H9578" s="74"/>
      <c r="I9578" s="74">
        <f t="shared" si="7"/>
        <v>590000</v>
      </c>
      <c r="J9578" s="74">
        <f>IF(E9578="SERVICE",I9578-(I9578*50%),Vlookup(E9578,DATABASE!C:Q,10,false)*F9578)</f>
        <v>0</v>
      </c>
      <c r="K9578" s="74">
        <f>VLOOKUP(E9578,DATABASE!C:Q,7,false)</f>
        <v>501500</v>
      </c>
      <c r="L9578" s="74">
        <v>501500.0</v>
      </c>
      <c r="M9578" s="74">
        <f t="shared" si="6"/>
        <v>505000</v>
      </c>
      <c r="N9578" s="74">
        <f t="shared" si="3"/>
        <v>85000</v>
      </c>
      <c r="O9578" s="65" t="str">
        <f>VLOOKUP(E9578,DATABASE!C:Q,8,false)</f>
        <v>IBU</v>
      </c>
      <c r="P9578" s="65">
        <f>VLOOKUP(E9578,DATABASE!C:Q,9,False)</f>
        <v>1</v>
      </c>
      <c r="Q9578" s="93" t="str">
        <f>VLOOKUP(E9578,DATABASE!C:Q,4,false)</f>
        <v>Dunlop</v>
      </c>
      <c r="R9578" s="93" t="str">
        <f>VLOOKUP(E9578,DATABASE!C:Q,11,false)</f>
        <v>Tire</v>
      </c>
    </row>
    <row r="9579" ht="22.5" customHeight="1">
      <c r="A9579" s="49"/>
      <c r="C9579" s="400">
        <v>46225.0</v>
      </c>
      <c r="D9579" s="524">
        <v>385.0</v>
      </c>
      <c r="E9579" s="544" t="s">
        <v>268</v>
      </c>
      <c r="F9579" s="387">
        <v>1.0</v>
      </c>
      <c r="G9579" s="140">
        <v>720000.0</v>
      </c>
      <c r="H9579" s="74"/>
      <c r="I9579" s="74">
        <f t="shared" si="7"/>
        <v>720000</v>
      </c>
      <c r="J9579" s="74">
        <f>IF(E9579="SERVICE",I9579-(I9579*50%),Vlookup(E9579,DATABASE!C:Q,10,false)*F9579)</f>
        <v>0</v>
      </c>
      <c r="K9579" s="74">
        <f>VLOOKUP(E9579,DATABASE!C:Q,7,false)</f>
        <v>653000</v>
      </c>
      <c r="L9579" s="74">
        <v>634500.0</v>
      </c>
      <c r="M9579" s="74">
        <f t="shared" si="6"/>
        <v>635000</v>
      </c>
      <c r="N9579" s="74">
        <f t="shared" si="3"/>
        <v>85000</v>
      </c>
      <c r="O9579" s="65" t="str">
        <f>VLOOKUP(E9579,DATABASE!C:Q,8,false)</f>
        <v>IBU</v>
      </c>
      <c r="P9579" s="65">
        <f>VLOOKUP(E9579,DATABASE!C:Q,9,False)</f>
        <v>1</v>
      </c>
      <c r="Q9579" s="93" t="str">
        <f>VLOOKUP(E9579,DATABASE!C:Q,4,false)</f>
        <v>Dunlop</v>
      </c>
      <c r="R9579" s="93" t="str">
        <f>VLOOKUP(E9579,DATABASE!C:Q,11,false)</f>
        <v>Tire</v>
      </c>
    </row>
    <row r="9580" ht="22.5" customHeight="1">
      <c r="A9580" s="49"/>
      <c r="C9580" s="400">
        <v>46225.0</v>
      </c>
      <c r="D9580" s="524">
        <v>385.0</v>
      </c>
      <c r="E9580" s="544" t="s">
        <v>246</v>
      </c>
      <c r="F9580" s="387">
        <v>1.0</v>
      </c>
      <c r="G9580" s="140">
        <v>35000.0</v>
      </c>
      <c r="H9580" s="140">
        <v>15000.0</v>
      </c>
      <c r="I9580" s="74">
        <f t="shared" si="7"/>
        <v>20000</v>
      </c>
      <c r="J9580" s="74">
        <f>IF(E9580="SERVICE",I9580-(I9580*50%),Vlookup(E9580,DATABASE!C:Q,10,false)*F9580)</f>
        <v>0</v>
      </c>
      <c r="K9580" s="74">
        <f>VLOOKUP(E9580,DATABASE!C:Q,7,false)</f>
        <v>0</v>
      </c>
      <c r="L9580" s="74">
        <v>0.0</v>
      </c>
      <c r="M9580" s="74">
        <f t="shared" si="6"/>
        <v>0</v>
      </c>
      <c r="N9580" s="74">
        <f t="shared" si="3"/>
        <v>20000</v>
      </c>
      <c r="O9580" s="65" t="str">
        <f>VLOOKUP(E9580,DATABASE!C:Q,8,false)</f>
        <v>IBU</v>
      </c>
      <c r="P9580" s="65">
        <f>VLOOKUP(E9580,DATABASE!C:Q,9,False)</f>
        <v>0</v>
      </c>
      <c r="Q9580" s="93" t="str">
        <f>VLOOKUP(E9580,DATABASE!C:Q,4,false)</f>
        <v>Bongkar Pasang</v>
      </c>
      <c r="R9580" s="93" t="str">
        <f>VLOOKUP(E9580,DATABASE!C:Q,11,false)</f>
        <v>SERVICE</v>
      </c>
    </row>
    <row r="9581" ht="22.5" customHeight="1">
      <c r="A9581" s="49"/>
      <c r="C9581" s="400">
        <v>46225.0</v>
      </c>
      <c r="D9581" s="524">
        <v>386.0</v>
      </c>
      <c r="E9581" s="544" t="s">
        <v>2611</v>
      </c>
      <c r="F9581" s="387">
        <v>1.0</v>
      </c>
      <c r="G9581" s="140">
        <v>115000.0</v>
      </c>
      <c r="H9581" s="74"/>
      <c r="I9581" s="74">
        <f t="shared" si="7"/>
        <v>115000</v>
      </c>
      <c r="J9581" s="74">
        <f>IF(E9581="SERVICE",I9581-(I9581*50%),Vlookup(E9581,DATABASE!C:Q,10,false)*F9581)</f>
        <v>0</v>
      </c>
      <c r="K9581" s="74">
        <f>VLOOKUP(E9581,DATABASE!C:Q,7,false)</f>
        <v>81000</v>
      </c>
      <c r="L9581" s="74">
        <v>81000.0</v>
      </c>
      <c r="M9581" s="74">
        <f t="shared" si="6"/>
        <v>85000</v>
      </c>
      <c r="N9581" s="74">
        <f t="shared" si="3"/>
        <v>30000</v>
      </c>
      <c r="O9581" s="65" t="str">
        <f>VLOOKUP(E9581,DATABASE!C:Q,8,false)</f>
        <v>BIAN</v>
      </c>
      <c r="P9581" s="65">
        <f>VLOOKUP(E9581,DATABASE!C:Q,9,False)</f>
        <v>1</v>
      </c>
      <c r="Q9581" s="93" t="str">
        <f>VLOOKUP(E9581,DATABASE!C:Q,4,false)</f>
        <v>BD IBK</v>
      </c>
      <c r="R9581" s="93" t="str">
        <f>VLOOKUP(E9581,DATABASE!C:Q,11,false)</f>
        <v>Tire</v>
      </c>
    </row>
    <row r="9582" ht="22.5" customHeight="1">
      <c r="A9582" s="49"/>
      <c r="C9582" s="400">
        <v>46225.0</v>
      </c>
      <c r="D9582" s="524">
        <v>387.0</v>
      </c>
      <c r="E9582" s="544" t="s">
        <v>1486</v>
      </c>
      <c r="F9582" s="387">
        <v>2.0</v>
      </c>
      <c r="G9582" s="140">
        <v>980000.0</v>
      </c>
      <c r="H9582" s="140">
        <v>5000.0</v>
      </c>
      <c r="I9582" s="74">
        <f t="shared" si="7"/>
        <v>1950000</v>
      </c>
      <c r="J9582" s="74">
        <f>IF(E9582="SERVICE",I9582-(I9582*50%),Vlookup(E9582,DATABASE!C:Q,10,false)*F9582)</f>
        <v>0</v>
      </c>
      <c r="K9582" s="74">
        <f>VLOOKUP(E9582,DATABASE!C:Q,7,false)</f>
        <v>888000</v>
      </c>
      <c r="L9582" s="74">
        <v>888000.0</v>
      </c>
      <c r="M9582" s="74">
        <f t="shared" si="6"/>
        <v>890000</v>
      </c>
      <c r="N9582" s="74">
        <f t="shared" si="3"/>
        <v>170000</v>
      </c>
      <c r="O9582" s="65" t="str">
        <f>VLOOKUP(E9582,DATABASE!C:Q,8,false)</f>
        <v>IBU</v>
      </c>
      <c r="P9582" s="65">
        <f>VLOOKUP(E9582,DATABASE!C:Q,9,False)</f>
        <v>1</v>
      </c>
      <c r="Q9582" s="93" t="str">
        <f>VLOOKUP(E9582,DATABASE!C:Q,4,false)</f>
        <v>Dunlop</v>
      </c>
      <c r="R9582" s="93" t="str">
        <f>VLOOKUP(E9582,DATABASE!C:Q,11,false)</f>
        <v>Tire</v>
      </c>
    </row>
    <row r="9583" ht="22.5" customHeight="1">
      <c r="A9583" s="49"/>
      <c r="C9583" s="400">
        <v>46225.0</v>
      </c>
      <c r="D9583" s="524">
        <v>388.0</v>
      </c>
      <c r="E9583" s="544" t="s">
        <v>275</v>
      </c>
      <c r="F9583" s="387">
        <v>2.0</v>
      </c>
      <c r="G9583" s="140">
        <v>850000.0</v>
      </c>
      <c r="H9583" s="74"/>
      <c r="I9583" s="74">
        <f t="shared" si="7"/>
        <v>1700000</v>
      </c>
      <c r="J9583" s="74">
        <f>IF(E9583="SERVICE",I9583-(I9583*50%),Vlookup(E9583,DATABASE!C:Q,10,false)*F9583)</f>
        <v>0</v>
      </c>
      <c r="K9583" s="74">
        <f>VLOOKUP(E9583,DATABASE!C:Q,7,false)</f>
        <v>782000</v>
      </c>
      <c r="L9583" s="74">
        <v>759500.0</v>
      </c>
      <c r="M9583" s="74">
        <f t="shared" si="6"/>
        <v>760000</v>
      </c>
      <c r="N9583" s="74">
        <f t="shared" si="3"/>
        <v>180000</v>
      </c>
      <c r="O9583" s="65" t="str">
        <f>VLOOKUP(E9583,DATABASE!C:Q,8,false)</f>
        <v>IBU</v>
      </c>
      <c r="P9583" s="65">
        <f>VLOOKUP(E9583,DATABASE!C:Q,9,False)</f>
        <v>1</v>
      </c>
      <c r="Q9583" s="93" t="str">
        <f>VLOOKUP(E9583,DATABASE!C:Q,4,false)</f>
        <v>Dunlop</v>
      </c>
      <c r="R9583" s="93" t="str">
        <f>VLOOKUP(E9583,DATABASE!C:Q,11,false)</f>
        <v>Tire</v>
      </c>
    </row>
    <row r="9584" ht="22.5" customHeight="1">
      <c r="A9584" s="49"/>
      <c r="C9584" s="400">
        <v>46225.0</v>
      </c>
      <c r="D9584" s="524">
        <v>389.0</v>
      </c>
      <c r="E9584" s="544" t="s">
        <v>262</v>
      </c>
      <c r="F9584" s="387">
        <v>1.0</v>
      </c>
      <c r="G9584" s="140">
        <v>130000.0</v>
      </c>
      <c r="H9584" s="74"/>
      <c r="I9584" s="74">
        <f t="shared" si="7"/>
        <v>130000</v>
      </c>
      <c r="J9584" s="74">
        <f>IF(E9584="SERVICE",I9584-(I9584*50%),Vlookup(E9584,DATABASE!C:Q,10,false)*F9584)</f>
        <v>5000</v>
      </c>
      <c r="K9584" s="74">
        <f>VLOOKUP(E9584,DATABASE!C:Q,7,false)</f>
        <v>0</v>
      </c>
      <c r="L9584" s="74">
        <v>0.0</v>
      </c>
      <c r="M9584" s="74">
        <f t="shared" si="6"/>
        <v>0</v>
      </c>
      <c r="N9584" s="74">
        <f t="shared" si="3"/>
        <v>125000</v>
      </c>
      <c r="O9584" s="65" t="str">
        <f>VLOOKUP(E9584,DATABASE!C:Q,8,false)</f>
        <v>IBU</v>
      </c>
      <c r="P9584" s="65">
        <f>VLOOKUP(E9584,DATABASE!C:Q,9,False)</f>
        <v>0</v>
      </c>
      <c r="Q9584" s="93" t="str">
        <f>VLOOKUP(E9584,DATABASE!C:Q,4,false)</f>
        <v>SPOORING SS/CARRY LOS BAK</v>
      </c>
      <c r="R9584" s="93" t="str">
        <f>VLOOKUP(E9584,DATABASE!C:Q,11,false)</f>
        <v>SERVICE</v>
      </c>
    </row>
    <row r="9585" ht="22.5" customHeight="1">
      <c r="A9585" s="49"/>
      <c r="C9585" s="400">
        <v>46225.0</v>
      </c>
      <c r="D9585" s="524">
        <v>389.0</v>
      </c>
      <c r="E9585" s="544" t="s">
        <v>251</v>
      </c>
      <c r="F9585" s="387">
        <v>1.0</v>
      </c>
      <c r="G9585" s="140">
        <v>350000.0</v>
      </c>
      <c r="H9585" s="140">
        <v>200000.0</v>
      </c>
      <c r="I9585" s="74">
        <f t="shared" si="7"/>
        <v>150000</v>
      </c>
      <c r="J9585" s="74">
        <f>IF(E9585="SERVICE",I9585-(I9585*50%),Vlookup(E9585,DATABASE!C:Q,10,false)*F9585)</f>
        <v>75000</v>
      </c>
      <c r="K9585" s="74">
        <f>VLOOKUP(E9585,DATABASE!C:Q,7,false)</f>
        <v>0</v>
      </c>
      <c r="L9585" s="74">
        <v>0.0</v>
      </c>
      <c r="M9585" s="74">
        <f t="shared" si="6"/>
        <v>0</v>
      </c>
      <c r="N9585" s="74">
        <f t="shared" si="3"/>
        <v>75000</v>
      </c>
      <c r="O9585" s="65" t="str">
        <f>VLOOKUP(E9585,DATABASE!C:Q,8,false)</f>
        <v>IBU</v>
      </c>
      <c r="P9585" s="65">
        <f>VLOOKUP(E9585,DATABASE!C:Q,9,False)</f>
        <v>0</v>
      </c>
      <c r="Q9585" s="93" t="str">
        <f>VLOOKUP(E9585,DATABASE!C:Q,4,false)</f>
        <v>SERVICE</v>
      </c>
      <c r="R9585" s="93" t="str">
        <f>VLOOKUP(E9585,DATABASE!C:Q,11,false)</f>
        <v>SERVICE</v>
      </c>
    </row>
    <row r="9586" ht="22.5" customHeight="1">
      <c r="A9586" s="49"/>
      <c r="C9586" s="400">
        <v>46225.0</v>
      </c>
      <c r="D9586" s="524">
        <v>390.0</v>
      </c>
      <c r="E9586" s="544" t="s">
        <v>256</v>
      </c>
      <c r="F9586" s="387">
        <v>1.0</v>
      </c>
      <c r="G9586" s="140">
        <v>175000.0</v>
      </c>
      <c r="H9586" s="140">
        <v>25000.0</v>
      </c>
      <c r="I9586" s="74">
        <f t="shared" si="7"/>
        <v>150000</v>
      </c>
      <c r="J9586" s="74">
        <f>IF(E9586="SERVICE",I9586-(I9586*50%),Vlookup(E9586,DATABASE!C:Q,10,false)*F9586)</f>
        <v>10000</v>
      </c>
      <c r="K9586" s="74">
        <f>VLOOKUP(E9586,DATABASE!C:Q,7,false)</f>
        <v>0</v>
      </c>
      <c r="L9586" s="74">
        <v>0.0</v>
      </c>
      <c r="M9586" s="74">
        <f t="shared" si="6"/>
        <v>0</v>
      </c>
      <c r="N9586" s="74">
        <f t="shared" si="3"/>
        <v>140000</v>
      </c>
      <c r="O9586" s="65" t="str">
        <f>VLOOKUP(E9586,DATABASE!C:Q,8,false)</f>
        <v>IBU</v>
      </c>
      <c r="P9586" s="65">
        <f>VLOOKUP(E9586,DATABASE!C:Q,9,False)</f>
        <v>0</v>
      </c>
      <c r="Q9586" s="93" t="str">
        <f>VLOOKUP(E9586,DATABASE!C:Q,4,false)</f>
        <v>SPOORING</v>
      </c>
      <c r="R9586" s="93" t="str">
        <f>VLOOKUP(E9586,DATABASE!C:Q,11,false)</f>
        <v>SERVICE</v>
      </c>
    </row>
    <row r="9587" ht="22.5" customHeight="1">
      <c r="A9587" s="49"/>
      <c r="C9587" s="400">
        <v>46225.0</v>
      </c>
      <c r="D9587" s="69" t="s">
        <v>2883</v>
      </c>
      <c r="E9587" s="544" t="s">
        <v>263</v>
      </c>
      <c r="F9587" s="387">
        <v>1.0</v>
      </c>
      <c r="G9587" s="140">
        <v>385000.0</v>
      </c>
      <c r="H9587" s="74"/>
      <c r="I9587" s="74">
        <f t="shared" si="7"/>
        <v>385000</v>
      </c>
      <c r="J9587" s="74">
        <f>IF(E9587="SERVICE",I9587-(I9587*50%),Vlookup(E9587,DATABASE!C:Q,10,false)*F9587)</f>
        <v>0</v>
      </c>
      <c r="K9587" s="74">
        <f>VLOOKUP(E9587,DATABASE!C:Q,7,false)</f>
        <v>334916</v>
      </c>
      <c r="L9587" s="74">
        <v>334916.0</v>
      </c>
      <c r="M9587" s="74">
        <f t="shared" si="6"/>
        <v>335000</v>
      </c>
      <c r="N9587" s="74">
        <f t="shared" si="3"/>
        <v>50000</v>
      </c>
      <c r="O9587" s="65" t="str">
        <f>VLOOKUP(E9587,DATABASE!C:Q,8,false)</f>
        <v>NON</v>
      </c>
      <c r="P9587" s="65">
        <f>VLOOKUP(E9587,DATABASE!C:Q,9,False)</f>
        <v>0</v>
      </c>
      <c r="Q9587" s="93" t="str">
        <f>VLOOKUP(E9587,DATABASE!C:Q,4,false)</f>
        <v>Shell</v>
      </c>
      <c r="R9587" s="93" t="str">
        <f>VLOOKUP(E9587,DATABASE!C:Q,11,false)</f>
        <v>OIL</v>
      </c>
    </row>
    <row r="9588" ht="22.5" customHeight="1">
      <c r="A9588" s="49"/>
      <c r="C9588" s="400">
        <v>46226.0</v>
      </c>
      <c r="D9588" s="524">
        <v>392.0</v>
      </c>
      <c r="E9588" s="544" t="s">
        <v>294</v>
      </c>
      <c r="F9588" s="387">
        <v>1.0</v>
      </c>
      <c r="G9588" s="140">
        <v>590000.0</v>
      </c>
      <c r="H9588" s="74"/>
      <c r="I9588" s="74">
        <f t="shared" si="7"/>
        <v>590000</v>
      </c>
      <c r="J9588" s="74">
        <f>IF(E9588="SERVICE",I9588-(I9588*50%),Vlookup(E9588,DATABASE!C:Q,10,false)*F9588)</f>
        <v>0</v>
      </c>
      <c r="K9588" s="74">
        <f>VLOOKUP(E9588,DATABASE!C:Q,7,false)</f>
        <v>505000</v>
      </c>
      <c r="L9588" s="74">
        <v>505000.0</v>
      </c>
      <c r="M9588" s="74">
        <f t="shared" si="6"/>
        <v>505000</v>
      </c>
      <c r="N9588" s="74">
        <f t="shared" si="3"/>
        <v>85000</v>
      </c>
      <c r="O9588" s="65" t="str">
        <f>VLOOKUP(E9588,DATABASE!C:Q,8,false)</f>
        <v>BIAN</v>
      </c>
      <c r="P9588" s="65">
        <f>VLOOKUP(E9588,DATABASE!C:Q,9,False)</f>
        <v>1</v>
      </c>
      <c r="Q9588" s="93" t="str">
        <f>VLOOKUP(E9588,DATABASE!C:Q,4,false)</f>
        <v>GT</v>
      </c>
      <c r="R9588" s="93" t="str">
        <f>VLOOKUP(E9588,DATABASE!C:Q,11,false)</f>
        <v>Tire</v>
      </c>
    </row>
    <row r="9589" ht="22.5" customHeight="1">
      <c r="A9589" s="49"/>
      <c r="C9589" s="400">
        <v>46226.0</v>
      </c>
      <c r="D9589" s="524">
        <v>394.0</v>
      </c>
      <c r="E9589" s="544" t="s">
        <v>275</v>
      </c>
      <c r="F9589" s="387">
        <v>2.0</v>
      </c>
      <c r="G9589" s="140">
        <v>850000.0</v>
      </c>
      <c r="H9589" s="74"/>
      <c r="I9589" s="74">
        <f t="shared" si="7"/>
        <v>1700000</v>
      </c>
      <c r="J9589" s="74">
        <f>IF(E9589="SERVICE",I9589-(I9589*50%),Vlookup(E9589,DATABASE!C:Q,10,false)*F9589)</f>
        <v>0</v>
      </c>
      <c r="K9589" s="74">
        <f>VLOOKUP(E9589,DATABASE!C:Q,7,false)</f>
        <v>782000</v>
      </c>
      <c r="L9589" s="74">
        <v>759500.0</v>
      </c>
      <c r="M9589" s="74">
        <f t="shared" si="6"/>
        <v>760000</v>
      </c>
      <c r="N9589" s="74">
        <f t="shared" si="3"/>
        <v>180000</v>
      </c>
      <c r="O9589" s="65" t="str">
        <f>VLOOKUP(E9589,DATABASE!C:Q,8,false)</f>
        <v>IBU</v>
      </c>
      <c r="P9589" s="65">
        <f>VLOOKUP(E9589,DATABASE!C:Q,9,False)</f>
        <v>1</v>
      </c>
      <c r="Q9589" s="93" t="str">
        <f>VLOOKUP(E9589,DATABASE!C:Q,4,false)</f>
        <v>Dunlop</v>
      </c>
      <c r="R9589" s="93" t="str">
        <f>VLOOKUP(E9589,DATABASE!C:Q,11,false)</f>
        <v>Tire</v>
      </c>
    </row>
    <row r="9590" ht="22.5" customHeight="1">
      <c r="A9590" s="49"/>
      <c r="C9590" s="400">
        <v>46226.0</v>
      </c>
      <c r="D9590" s="524">
        <v>395.0</v>
      </c>
      <c r="E9590" s="544" t="s">
        <v>947</v>
      </c>
      <c r="F9590" s="387">
        <v>2.0</v>
      </c>
      <c r="G9590" s="140">
        <v>785000.0</v>
      </c>
      <c r="H9590" s="140">
        <v>10000.0</v>
      </c>
      <c r="I9590" s="74">
        <f t="shared" si="7"/>
        <v>1550000</v>
      </c>
      <c r="J9590" s="74">
        <f>IF(E9590="SERVICE",I9590-(I9590*50%),Vlookup(E9590,DATABASE!C:Q,10,false)*F9590)</f>
        <v>0</v>
      </c>
      <c r="K9590" s="74">
        <f>VLOOKUP(E9590,DATABASE!C:Q,7,false)</f>
        <v>704346</v>
      </c>
      <c r="L9590" s="74">
        <v>680512.0</v>
      </c>
      <c r="M9590" s="74">
        <f t="shared" si="6"/>
        <v>685000</v>
      </c>
      <c r="N9590" s="74">
        <f t="shared" si="3"/>
        <v>180000</v>
      </c>
      <c r="O9590" s="65" t="str">
        <f>VLOOKUP(E9590,DATABASE!C:Q,8,false)</f>
        <v>IBU</v>
      </c>
      <c r="P9590" s="65">
        <f>VLOOKUP(E9590,DATABASE!C:Q,9,False)</f>
        <v>1</v>
      </c>
      <c r="Q9590" s="93" t="str">
        <f>VLOOKUP(E9590,DATABASE!C:Q,4,false)</f>
        <v>Bridgestone</v>
      </c>
      <c r="R9590" s="93" t="str">
        <f>VLOOKUP(E9590,DATABASE!C:Q,11,false)</f>
        <v>Tire</v>
      </c>
    </row>
    <row r="9591" ht="22.5" customHeight="1">
      <c r="A9591" s="49"/>
      <c r="C9591" s="400">
        <v>46226.0</v>
      </c>
      <c r="D9591" s="524">
        <v>396.0</v>
      </c>
      <c r="E9591" s="544" t="s">
        <v>262</v>
      </c>
      <c r="F9591" s="387">
        <v>1.0</v>
      </c>
      <c r="G9591" s="140">
        <v>130000.0</v>
      </c>
      <c r="H9591" s="74"/>
      <c r="I9591" s="74">
        <f t="shared" si="7"/>
        <v>130000</v>
      </c>
      <c r="J9591" s="74">
        <f>IF(E9591="SERVICE",I9591-(I9591*50%),Vlookup(E9591,DATABASE!C:Q,10,false)*F9591)</f>
        <v>5000</v>
      </c>
      <c r="K9591" s="74">
        <f>VLOOKUP(E9591,DATABASE!C:Q,7,false)</f>
        <v>0</v>
      </c>
      <c r="L9591" s="74">
        <v>0.0</v>
      </c>
      <c r="M9591" s="74">
        <f t="shared" si="6"/>
        <v>0</v>
      </c>
      <c r="N9591" s="74">
        <f t="shared" si="3"/>
        <v>125000</v>
      </c>
      <c r="O9591" s="65" t="str">
        <f>VLOOKUP(E9591,DATABASE!C:Q,8,false)</f>
        <v>IBU</v>
      </c>
      <c r="P9591" s="65">
        <f>VLOOKUP(E9591,DATABASE!C:Q,9,False)</f>
        <v>0</v>
      </c>
      <c r="Q9591" s="93" t="str">
        <f>VLOOKUP(E9591,DATABASE!C:Q,4,false)</f>
        <v>SPOORING SS/CARRY LOS BAK</v>
      </c>
      <c r="R9591" s="93" t="str">
        <f>VLOOKUP(E9591,DATABASE!C:Q,11,false)</f>
        <v>SERVICE</v>
      </c>
    </row>
    <row r="9592" ht="22.5" customHeight="1">
      <c r="A9592" s="49"/>
      <c r="C9592" s="400">
        <v>46226.0</v>
      </c>
      <c r="D9592" s="524">
        <v>396.0</v>
      </c>
      <c r="E9592" s="544" t="s">
        <v>251</v>
      </c>
      <c r="F9592" s="387">
        <v>1.0</v>
      </c>
      <c r="G9592" s="140">
        <v>350000.0</v>
      </c>
      <c r="H9592" s="140">
        <v>230000.0</v>
      </c>
      <c r="I9592" s="74">
        <f t="shared" si="7"/>
        <v>120000</v>
      </c>
      <c r="J9592" s="74">
        <f>IF(E9592="SERVICE",I9592-(I9592*50%),Vlookup(E9592,DATABASE!C:Q,10,false)*F9592)</f>
        <v>60000</v>
      </c>
      <c r="K9592" s="74">
        <f>VLOOKUP(E9592,DATABASE!C:Q,7,false)</f>
        <v>0</v>
      </c>
      <c r="L9592" s="74">
        <v>0.0</v>
      </c>
      <c r="M9592" s="74">
        <f t="shared" si="6"/>
        <v>0</v>
      </c>
      <c r="N9592" s="74">
        <f t="shared" si="3"/>
        <v>60000</v>
      </c>
      <c r="O9592" s="65" t="str">
        <f>VLOOKUP(E9592,DATABASE!C:Q,8,false)</f>
        <v>IBU</v>
      </c>
      <c r="P9592" s="65">
        <f>VLOOKUP(E9592,DATABASE!C:Q,9,False)</f>
        <v>0</v>
      </c>
      <c r="Q9592" s="93" t="str">
        <f>VLOOKUP(E9592,DATABASE!C:Q,4,false)</f>
        <v>SERVICE</v>
      </c>
      <c r="R9592" s="93" t="str">
        <f>VLOOKUP(E9592,DATABASE!C:Q,11,false)</f>
        <v>SERVICE</v>
      </c>
    </row>
    <row r="9593" ht="22.5" customHeight="1">
      <c r="A9593" s="49"/>
      <c r="C9593" s="400">
        <v>46226.0</v>
      </c>
      <c r="D9593" s="524">
        <v>397.0</v>
      </c>
      <c r="E9593" s="544" t="s">
        <v>781</v>
      </c>
      <c r="F9593" s="387">
        <v>2.0</v>
      </c>
      <c r="G9593" s="140">
        <v>550000.0</v>
      </c>
      <c r="H9593" s="140">
        <v>15000.0</v>
      </c>
      <c r="I9593" s="74">
        <f t="shared" si="7"/>
        <v>1070000</v>
      </c>
      <c r="J9593" s="74">
        <f>IF(E9593="SERVICE",I9593-(I9593*50%),Vlookup(E9593,DATABASE!C:Q,10,false)*F9593)</f>
        <v>0</v>
      </c>
      <c r="K9593" s="74">
        <f>VLOOKUP(E9593,DATABASE!C:Q,7,false)</f>
        <v>470000</v>
      </c>
      <c r="L9593" s="140">
        <v>450000.0</v>
      </c>
      <c r="M9593" s="74">
        <f t="shared" si="6"/>
        <v>450000</v>
      </c>
      <c r="N9593" s="74">
        <f t="shared" si="3"/>
        <v>170000</v>
      </c>
      <c r="O9593" s="65" t="str">
        <f>VLOOKUP(E9593,DATABASE!C:Q,8,false)</f>
        <v>BIAN</v>
      </c>
      <c r="P9593" s="65">
        <f>VLOOKUP(E9593,DATABASE!C:Q,9,False)</f>
        <v>1</v>
      </c>
      <c r="Q9593" s="93" t="str">
        <f>VLOOKUP(E9593,DATABASE!C:Q,4,false)</f>
        <v>GT</v>
      </c>
      <c r="R9593" s="93" t="str">
        <f>VLOOKUP(E9593,DATABASE!C:Q,11,false)</f>
        <v>Tire</v>
      </c>
    </row>
    <row r="9594" ht="22.5" customHeight="1">
      <c r="A9594" s="49"/>
      <c r="C9594" s="400">
        <v>46226.0</v>
      </c>
      <c r="D9594" s="524">
        <v>398.0</v>
      </c>
      <c r="E9594" s="544" t="s">
        <v>275</v>
      </c>
      <c r="F9594" s="387">
        <v>1.0</v>
      </c>
      <c r="G9594" s="140">
        <v>850000.0</v>
      </c>
      <c r="H9594" s="74"/>
      <c r="I9594" s="74">
        <f t="shared" si="7"/>
        <v>850000</v>
      </c>
      <c r="J9594" s="74">
        <f>IF(E9594="SERVICE",I9594-(I9594*50%),Vlookup(E9594,DATABASE!C:Q,10,false)*F9594)</f>
        <v>0</v>
      </c>
      <c r="K9594" s="74">
        <f>VLOOKUP(E9594,DATABASE!C:Q,7,false)</f>
        <v>782000</v>
      </c>
      <c r="L9594" s="74">
        <v>759500.0</v>
      </c>
      <c r="M9594" s="74">
        <f t="shared" si="6"/>
        <v>760000</v>
      </c>
      <c r="N9594" s="74">
        <f t="shared" si="3"/>
        <v>90000</v>
      </c>
      <c r="O9594" s="65" t="str">
        <f>VLOOKUP(E9594,DATABASE!C:Q,8,false)</f>
        <v>IBU</v>
      </c>
      <c r="P9594" s="65">
        <f>VLOOKUP(E9594,DATABASE!C:Q,9,False)</f>
        <v>1</v>
      </c>
      <c r="Q9594" s="93" t="str">
        <f>VLOOKUP(E9594,DATABASE!C:Q,4,false)</f>
        <v>Dunlop</v>
      </c>
      <c r="R9594" s="93" t="str">
        <f>VLOOKUP(E9594,DATABASE!C:Q,11,false)</f>
        <v>Tire</v>
      </c>
    </row>
    <row r="9595" ht="22.5" customHeight="1">
      <c r="A9595" s="49"/>
      <c r="C9595" s="400">
        <v>46226.0</v>
      </c>
      <c r="D9595" s="524">
        <v>399.0</v>
      </c>
      <c r="E9595" s="544" t="s">
        <v>940</v>
      </c>
      <c r="F9595" s="387">
        <v>2.0</v>
      </c>
      <c r="G9595" s="140">
        <v>820000.0</v>
      </c>
      <c r="H9595" s="74"/>
      <c r="I9595" s="74">
        <f t="shared" si="7"/>
        <v>1640000</v>
      </c>
      <c r="J9595" s="74">
        <f>IF(E9595="SERVICE",I9595-(I9595*50%),Vlookup(E9595,DATABASE!C:Q,10,false)*F9595)</f>
        <v>0</v>
      </c>
      <c r="K9595" s="74">
        <f>VLOOKUP(E9595,DATABASE!C:Q,7,false)</f>
        <v>716500</v>
      </c>
      <c r="L9595" s="74">
        <v>716500.0</v>
      </c>
      <c r="M9595" s="74">
        <f t="shared" si="6"/>
        <v>720000</v>
      </c>
      <c r="N9595" s="74">
        <f t="shared" si="3"/>
        <v>200000</v>
      </c>
      <c r="O9595" s="65" t="str">
        <f>VLOOKUP(E9595,DATABASE!C:Q,8,false)</f>
        <v>IBU</v>
      </c>
      <c r="P9595" s="65">
        <f>VLOOKUP(E9595,DATABASE!C:Q,9,False)</f>
        <v>1</v>
      </c>
      <c r="Q9595" s="93" t="str">
        <f>VLOOKUP(E9595,DATABASE!C:Q,4,false)</f>
        <v>Dunlop</v>
      </c>
      <c r="R9595" s="93" t="str">
        <f>VLOOKUP(E9595,DATABASE!C:Q,11,false)</f>
        <v>Tire</v>
      </c>
    </row>
    <row r="9596" ht="22.5" customHeight="1">
      <c r="A9596" s="49"/>
      <c r="C9596" s="400">
        <v>46226.0</v>
      </c>
      <c r="D9596" s="524">
        <v>402.0</v>
      </c>
      <c r="E9596" s="544" t="s">
        <v>262</v>
      </c>
      <c r="F9596" s="387">
        <v>1.0</v>
      </c>
      <c r="G9596" s="140">
        <v>130000.0</v>
      </c>
      <c r="H9596" s="74"/>
      <c r="I9596" s="74">
        <f t="shared" si="7"/>
        <v>130000</v>
      </c>
      <c r="J9596" s="74">
        <f>IF(E9596="SERVICE",I9596-(I9596*50%),Vlookup(E9596,DATABASE!C:Q,10,false)*F9596)</f>
        <v>5000</v>
      </c>
      <c r="K9596" s="74">
        <f>VLOOKUP(E9596,DATABASE!C:Q,7,false)</f>
        <v>0</v>
      </c>
      <c r="L9596" s="74">
        <v>0.0</v>
      </c>
      <c r="M9596" s="74">
        <f t="shared" si="6"/>
        <v>0</v>
      </c>
      <c r="N9596" s="74">
        <f t="shared" si="3"/>
        <v>125000</v>
      </c>
      <c r="O9596" s="65" t="str">
        <f>VLOOKUP(E9596,DATABASE!C:Q,8,false)</f>
        <v>IBU</v>
      </c>
      <c r="P9596" s="65">
        <f>VLOOKUP(E9596,DATABASE!C:Q,9,False)</f>
        <v>0</v>
      </c>
      <c r="Q9596" s="93" t="str">
        <f>VLOOKUP(E9596,DATABASE!C:Q,4,false)</f>
        <v>SPOORING SS/CARRY LOS BAK</v>
      </c>
      <c r="R9596" s="93" t="str">
        <f>VLOOKUP(E9596,DATABASE!C:Q,11,false)</f>
        <v>SERVICE</v>
      </c>
    </row>
    <row r="9597" ht="22.5" customHeight="1">
      <c r="A9597" s="49"/>
      <c r="C9597" s="400">
        <v>46226.0</v>
      </c>
      <c r="D9597" s="524">
        <v>402.0</v>
      </c>
      <c r="E9597" s="544" t="s">
        <v>251</v>
      </c>
      <c r="F9597" s="387">
        <v>1.0</v>
      </c>
      <c r="G9597" s="140">
        <v>350000.0</v>
      </c>
      <c r="H9597" s="140">
        <v>230000.0</v>
      </c>
      <c r="I9597" s="74">
        <f t="shared" si="7"/>
        <v>120000</v>
      </c>
      <c r="J9597" s="74">
        <f>IF(E9597="SERVICE",I9597-(I9597*50%),Vlookup(E9597,DATABASE!C:Q,10,false)*F9597)</f>
        <v>60000</v>
      </c>
      <c r="K9597" s="74">
        <f>VLOOKUP(E9597,DATABASE!C:Q,7,false)</f>
        <v>0</v>
      </c>
      <c r="L9597" s="74">
        <v>0.0</v>
      </c>
      <c r="M9597" s="74">
        <f t="shared" si="6"/>
        <v>0</v>
      </c>
      <c r="N9597" s="74">
        <f t="shared" si="3"/>
        <v>60000</v>
      </c>
      <c r="O9597" s="65" t="str">
        <f>VLOOKUP(E9597,DATABASE!C:Q,8,false)</f>
        <v>IBU</v>
      </c>
      <c r="P9597" s="65">
        <f>VLOOKUP(E9597,DATABASE!C:Q,9,False)</f>
        <v>0</v>
      </c>
      <c r="Q9597" s="93" t="str">
        <f>VLOOKUP(E9597,DATABASE!C:Q,4,false)</f>
        <v>SERVICE</v>
      </c>
      <c r="R9597" s="93" t="str">
        <f>VLOOKUP(E9597,DATABASE!C:Q,11,false)</f>
        <v>SERVICE</v>
      </c>
    </row>
    <row r="9598" ht="22.5" customHeight="1">
      <c r="A9598" s="49"/>
      <c r="C9598" s="400">
        <v>46226.0</v>
      </c>
      <c r="D9598" s="69">
        <v>403.0</v>
      </c>
      <c r="E9598" s="544" t="s">
        <v>262</v>
      </c>
      <c r="F9598" s="387">
        <v>1.0</v>
      </c>
      <c r="G9598" s="140">
        <v>130000.0</v>
      </c>
      <c r="H9598" s="74"/>
      <c r="I9598" s="74">
        <f t="shared" si="7"/>
        <v>130000</v>
      </c>
      <c r="J9598" s="74">
        <f>IF(E9598="SERVICE",I9598-(I9598*50%),Vlookup(E9598,DATABASE!C:Q,10,false)*F9598)</f>
        <v>5000</v>
      </c>
      <c r="K9598" s="74">
        <f>VLOOKUP(E9598,DATABASE!C:Q,7,false)</f>
        <v>0</v>
      </c>
      <c r="L9598" s="74">
        <v>0.0</v>
      </c>
      <c r="M9598" s="74">
        <f t="shared" si="6"/>
        <v>0</v>
      </c>
      <c r="N9598" s="74">
        <f t="shared" si="3"/>
        <v>125000</v>
      </c>
      <c r="O9598" s="65" t="str">
        <f>VLOOKUP(E9598,DATABASE!C:Q,8,false)</f>
        <v>IBU</v>
      </c>
      <c r="P9598" s="65">
        <f>VLOOKUP(E9598,DATABASE!C:Q,9,False)</f>
        <v>0</v>
      </c>
      <c r="Q9598" s="93" t="str">
        <f>VLOOKUP(E9598,DATABASE!C:Q,4,false)</f>
        <v>SPOORING SS/CARRY LOS BAK</v>
      </c>
      <c r="R9598" s="93" t="str">
        <f>VLOOKUP(E9598,DATABASE!C:Q,11,false)</f>
        <v>SERVICE</v>
      </c>
    </row>
    <row r="9599" ht="22.5" customHeight="1">
      <c r="A9599" s="49"/>
      <c r="C9599" s="400">
        <v>46226.0</v>
      </c>
      <c r="D9599" s="69">
        <v>403.0</v>
      </c>
      <c r="E9599" s="544" t="s">
        <v>251</v>
      </c>
      <c r="F9599" s="387">
        <v>1.0</v>
      </c>
      <c r="G9599" s="140">
        <v>350000.0</v>
      </c>
      <c r="H9599" s="140">
        <v>230000.0</v>
      </c>
      <c r="I9599" s="74">
        <f t="shared" si="7"/>
        <v>120000</v>
      </c>
      <c r="J9599" s="74">
        <f>IF(E9599="SERVICE",I9599-(I9599*50%),Vlookup(E9599,DATABASE!C:Q,10,false)*F9599)</f>
        <v>60000</v>
      </c>
      <c r="K9599" s="74">
        <f>VLOOKUP(E9599,DATABASE!C:Q,7,false)</f>
        <v>0</v>
      </c>
      <c r="L9599" s="74">
        <v>0.0</v>
      </c>
      <c r="M9599" s="74">
        <f t="shared" si="6"/>
        <v>0</v>
      </c>
      <c r="N9599" s="74">
        <f t="shared" si="3"/>
        <v>60000</v>
      </c>
      <c r="O9599" s="65" t="str">
        <f>VLOOKUP(E9599,DATABASE!C:Q,8,false)</f>
        <v>IBU</v>
      </c>
      <c r="P9599" s="65">
        <f>VLOOKUP(E9599,DATABASE!C:Q,9,False)</f>
        <v>0</v>
      </c>
      <c r="Q9599" s="93" t="str">
        <f>VLOOKUP(E9599,DATABASE!C:Q,4,false)</f>
        <v>SERVICE</v>
      </c>
      <c r="R9599" s="93" t="str">
        <f>VLOOKUP(E9599,DATABASE!C:Q,11,false)</f>
        <v>SERVICE</v>
      </c>
    </row>
    <row r="9600" ht="22.5" customHeight="1">
      <c r="A9600" s="49"/>
      <c r="C9600" s="400">
        <v>46226.0</v>
      </c>
      <c r="D9600" s="524">
        <v>490.0</v>
      </c>
      <c r="E9600" s="544" t="s">
        <v>262</v>
      </c>
      <c r="F9600" s="387">
        <v>1.0</v>
      </c>
      <c r="G9600" s="140">
        <v>130000.0</v>
      </c>
      <c r="H9600" s="74"/>
      <c r="I9600" s="74">
        <f t="shared" si="7"/>
        <v>130000</v>
      </c>
      <c r="J9600" s="74">
        <f>IF(E9600="SERVICE",I9600-(I9600*50%),Vlookup(E9600,DATABASE!C:Q,10,false)*F9600)</f>
        <v>5000</v>
      </c>
      <c r="K9600" s="74">
        <f>VLOOKUP(E9600,DATABASE!C:Q,7,false)</f>
        <v>0</v>
      </c>
      <c r="L9600" s="140">
        <v>0.0</v>
      </c>
      <c r="M9600" s="74">
        <f t="shared" si="6"/>
        <v>0</v>
      </c>
      <c r="N9600" s="74">
        <f t="shared" si="3"/>
        <v>125000</v>
      </c>
      <c r="O9600" s="65" t="str">
        <f>VLOOKUP(E9600,DATABASE!C:Q,8,false)</f>
        <v>IBU</v>
      </c>
      <c r="P9600" s="65">
        <f>VLOOKUP(E9600,DATABASE!C:Q,9,False)</f>
        <v>0</v>
      </c>
      <c r="Q9600" s="93" t="str">
        <f>VLOOKUP(E9600,DATABASE!C:Q,4,false)</f>
        <v>SPOORING SS/CARRY LOS BAK</v>
      </c>
      <c r="R9600" s="93" t="str">
        <f>VLOOKUP(E9600,DATABASE!C:Q,11,false)</f>
        <v>SERVICE</v>
      </c>
    </row>
    <row r="9601" ht="22.5" customHeight="1">
      <c r="A9601" s="49"/>
      <c r="C9601" s="400">
        <v>46226.0</v>
      </c>
      <c r="D9601" s="524">
        <v>490.0</v>
      </c>
      <c r="E9601" s="544" t="s">
        <v>251</v>
      </c>
      <c r="F9601" s="387">
        <v>1.0</v>
      </c>
      <c r="G9601" s="140">
        <v>350000.0</v>
      </c>
      <c r="H9601" s="140">
        <v>200000.0</v>
      </c>
      <c r="I9601" s="74">
        <f t="shared" si="7"/>
        <v>150000</v>
      </c>
      <c r="J9601" s="74">
        <f>IF(E9601="SERVICE",I9601-(I9601*50%),Vlookup(E9601,DATABASE!C:Q,10,false)*F9601)</f>
        <v>75000</v>
      </c>
      <c r="K9601" s="74">
        <f>VLOOKUP(E9601,DATABASE!C:Q,7,false)</f>
        <v>0</v>
      </c>
      <c r="L9601" s="140">
        <v>0.0</v>
      </c>
      <c r="M9601" s="74">
        <f t="shared" si="6"/>
        <v>0</v>
      </c>
      <c r="N9601" s="74">
        <f t="shared" si="3"/>
        <v>75000</v>
      </c>
      <c r="O9601" s="65" t="str">
        <f>VLOOKUP(E9601,DATABASE!C:Q,8,false)</f>
        <v>IBU</v>
      </c>
      <c r="P9601" s="65">
        <f>VLOOKUP(E9601,DATABASE!C:Q,9,False)</f>
        <v>0</v>
      </c>
      <c r="Q9601" s="93" t="str">
        <f>VLOOKUP(E9601,DATABASE!C:Q,4,false)</f>
        <v>SERVICE</v>
      </c>
      <c r="R9601" s="93" t="str">
        <f>VLOOKUP(E9601,DATABASE!C:Q,11,false)</f>
        <v>SERVICE</v>
      </c>
    </row>
    <row r="9602" ht="22.5" customHeight="1">
      <c r="A9602" s="49"/>
      <c r="C9602" s="400">
        <v>46226.0</v>
      </c>
      <c r="D9602" s="69" t="s">
        <v>2884</v>
      </c>
      <c r="E9602" s="544" t="s">
        <v>252</v>
      </c>
      <c r="F9602" s="387">
        <v>1.0</v>
      </c>
      <c r="G9602" s="140">
        <v>370000.0</v>
      </c>
      <c r="H9602" s="140">
        <v>5000.0</v>
      </c>
      <c r="I9602" s="74">
        <f t="shared" si="7"/>
        <v>365000</v>
      </c>
      <c r="J9602" s="74">
        <f>IF(E9602="SERVICE",I9602-(I9602*50%),Vlookup(E9602,DATABASE!C:Q,10,false)*F9602)</f>
        <v>0</v>
      </c>
      <c r="K9602" s="74">
        <f>VLOOKUP(E9602,DATABASE!C:Q,7,false)</f>
        <v>317518</v>
      </c>
      <c r="L9602" s="74">
        <v>317518.0</v>
      </c>
      <c r="M9602" s="74">
        <f t="shared" si="6"/>
        <v>320000</v>
      </c>
      <c r="N9602" s="74">
        <f t="shared" si="3"/>
        <v>45000</v>
      </c>
      <c r="O9602" s="65" t="str">
        <f>VLOOKUP(E9602,DATABASE!C:Q,8,false)</f>
        <v>NON</v>
      </c>
      <c r="P9602" s="65">
        <f>VLOOKUP(E9602,DATABASE!C:Q,9,False)</f>
        <v>0</v>
      </c>
      <c r="Q9602" s="93" t="str">
        <f>VLOOKUP(E9602,DATABASE!C:Q,4,false)</f>
        <v>Shell</v>
      </c>
      <c r="R9602" s="93" t="str">
        <f>VLOOKUP(E9602,DATABASE!C:Q,11,false)</f>
        <v>OIL</v>
      </c>
    </row>
    <row r="9603" ht="22.5" customHeight="1">
      <c r="A9603" s="49"/>
      <c r="C9603" s="400">
        <v>46226.0</v>
      </c>
      <c r="D9603" s="69" t="s">
        <v>2885</v>
      </c>
      <c r="E9603" s="544" t="s">
        <v>263</v>
      </c>
      <c r="F9603" s="387">
        <v>1.0</v>
      </c>
      <c r="G9603" s="140">
        <v>385000.0</v>
      </c>
      <c r="H9603" s="74"/>
      <c r="I9603" s="74">
        <f t="shared" si="7"/>
        <v>385000</v>
      </c>
      <c r="J9603" s="74">
        <f>IF(E9603="SERVICE",I9603-(I9603*50%),Vlookup(E9603,DATABASE!C:Q,10,false)*F9603)</f>
        <v>0</v>
      </c>
      <c r="K9603" s="74">
        <f>VLOOKUP(E9603,DATABASE!C:Q,7,false)</f>
        <v>334916</v>
      </c>
      <c r="L9603" s="74">
        <v>334916.0</v>
      </c>
      <c r="M9603" s="74">
        <f t="shared" si="6"/>
        <v>335000</v>
      </c>
      <c r="N9603" s="74">
        <f t="shared" si="3"/>
        <v>50000</v>
      </c>
      <c r="O9603" s="65" t="str">
        <f>VLOOKUP(E9603,DATABASE!C:Q,8,false)</f>
        <v>NON</v>
      </c>
      <c r="P9603" s="65">
        <f>VLOOKUP(E9603,DATABASE!C:Q,9,False)</f>
        <v>0</v>
      </c>
      <c r="Q9603" s="93" t="str">
        <f>VLOOKUP(E9603,DATABASE!C:Q,4,false)</f>
        <v>Shell</v>
      </c>
      <c r="R9603" s="93" t="str">
        <f>VLOOKUP(E9603,DATABASE!C:Q,11,false)</f>
        <v>OIL</v>
      </c>
    </row>
    <row r="9604" ht="22.5" customHeight="1">
      <c r="A9604" s="49"/>
      <c r="C9604" s="400">
        <v>46226.0</v>
      </c>
      <c r="D9604" s="69" t="s">
        <v>2886</v>
      </c>
      <c r="E9604" s="544" t="s">
        <v>252</v>
      </c>
      <c r="F9604" s="387">
        <v>1.0</v>
      </c>
      <c r="G9604" s="140">
        <v>370000.0</v>
      </c>
      <c r="H9604" s="74"/>
      <c r="I9604" s="74">
        <f t="shared" si="7"/>
        <v>370000</v>
      </c>
      <c r="J9604" s="74">
        <f>IF(E9604="SERVICE",I9604-(I9604*50%),Vlookup(E9604,DATABASE!C:Q,10,false)*F9604)</f>
        <v>0</v>
      </c>
      <c r="K9604" s="74">
        <f>VLOOKUP(E9604,DATABASE!C:Q,7,false)</f>
        <v>317518</v>
      </c>
      <c r="L9604" s="74">
        <v>317518.0</v>
      </c>
      <c r="M9604" s="74">
        <f t="shared" si="6"/>
        <v>320000</v>
      </c>
      <c r="N9604" s="74">
        <f t="shared" si="3"/>
        <v>50000</v>
      </c>
      <c r="O9604" s="65" t="str">
        <f>VLOOKUP(E9604,DATABASE!C:Q,8,false)</f>
        <v>NON</v>
      </c>
      <c r="P9604" s="65">
        <f>VLOOKUP(E9604,DATABASE!C:Q,9,False)</f>
        <v>0</v>
      </c>
      <c r="Q9604" s="93" t="str">
        <f>VLOOKUP(E9604,DATABASE!C:Q,4,false)</f>
        <v>Shell</v>
      </c>
      <c r="R9604" s="93" t="str">
        <f>VLOOKUP(E9604,DATABASE!C:Q,11,false)</f>
        <v>OIL</v>
      </c>
    </row>
    <row r="9605" ht="22.5" customHeight="1">
      <c r="A9605" s="49"/>
      <c r="C9605" s="400">
        <v>46226.0</v>
      </c>
      <c r="D9605" s="69" t="s">
        <v>2886</v>
      </c>
      <c r="E9605" s="544" t="s">
        <v>298</v>
      </c>
      <c r="F9605" s="387">
        <v>1.0</v>
      </c>
      <c r="G9605" s="140">
        <v>25000.0</v>
      </c>
      <c r="H9605" s="74"/>
      <c r="I9605" s="74">
        <f t="shared" si="7"/>
        <v>25000</v>
      </c>
      <c r="J9605" s="74">
        <f>IF(E9605="SERVICE",I9605-(I9605*50%),Vlookup(E9605,DATABASE!C:Q,10,false)*F9605)</f>
        <v>0</v>
      </c>
      <c r="K9605" s="74">
        <f>VLOOKUP(E9605,DATABASE!C:Q,7,false)</f>
        <v>19200</v>
      </c>
      <c r="L9605" s="74">
        <v>19200.0</v>
      </c>
      <c r="M9605" s="74">
        <f t="shared" si="6"/>
        <v>20000</v>
      </c>
      <c r="N9605" s="74">
        <f t="shared" si="3"/>
        <v>5000</v>
      </c>
      <c r="O9605" s="65" t="str">
        <f>VLOOKUP(E9605,DATABASE!C:Q,8,false)</f>
        <v>BIAN</v>
      </c>
      <c r="P9605" s="65">
        <f>VLOOKUP(E9605,DATABASE!C:Q,9,False)</f>
        <v>0</v>
      </c>
      <c r="Q9605" s="93" t="str">
        <f>VLOOKUP(E9605,DATABASE!C:Q,4,false)</f>
        <v>Aspira</v>
      </c>
      <c r="R9605" s="93" t="str">
        <f>VLOOKUP(E9605,DATABASE!C:Q,11,false)</f>
        <v>COMPLEMENTARY</v>
      </c>
    </row>
    <row r="9606" ht="22.5" customHeight="1">
      <c r="A9606" s="49"/>
      <c r="C9606" s="400">
        <v>46227.0</v>
      </c>
      <c r="D9606" s="524">
        <v>404.0</v>
      </c>
      <c r="E9606" s="544" t="s">
        <v>1928</v>
      </c>
      <c r="F9606" s="387">
        <v>2.0</v>
      </c>
      <c r="G9606" s="140">
        <v>680000.0</v>
      </c>
      <c r="H9606" s="74"/>
      <c r="I9606" s="74">
        <f t="shared" si="7"/>
        <v>1360000</v>
      </c>
      <c r="J9606" s="74">
        <f>IF(E9606="SERVICE",I9606-(I9606*50%),Vlookup(E9606,DATABASE!C:Q,10,false)*F9606)</f>
        <v>0</v>
      </c>
      <c r="K9606" s="74">
        <f>VLOOKUP(E9606,DATABASE!C:Q,7,false)</f>
        <v>589700</v>
      </c>
      <c r="L9606" s="74">
        <v>589700.0</v>
      </c>
      <c r="M9606" s="74">
        <f t="shared" si="6"/>
        <v>590000</v>
      </c>
      <c r="N9606" s="74">
        <f t="shared" si="3"/>
        <v>180000</v>
      </c>
      <c r="O9606" s="65" t="str">
        <f>VLOOKUP(E9606,DATABASE!C:Q,8,false)</f>
        <v>BIAN</v>
      </c>
      <c r="P9606" s="65">
        <f>VLOOKUP(E9606,DATABASE!C:Q,9,False)</f>
        <v>1</v>
      </c>
      <c r="Q9606" s="93" t="str">
        <f>VLOOKUP(E9606,DATABASE!C:Q,4,false)</f>
        <v>GT</v>
      </c>
      <c r="R9606" s="93" t="str">
        <f>VLOOKUP(E9606,DATABASE!C:Q,11,false)</f>
        <v>Tire</v>
      </c>
    </row>
    <row r="9607" ht="22.5" customHeight="1">
      <c r="A9607" s="49"/>
      <c r="C9607" s="400">
        <v>46227.0</v>
      </c>
      <c r="D9607" s="524">
        <v>405.0</v>
      </c>
      <c r="E9607" s="544" t="s">
        <v>268</v>
      </c>
      <c r="F9607" s="387">
        <v>4.0</v>
      </c>
      <c r="G9607" s="140">
        <v>720000.0</v>
      </c>
      <c r="H9607" s="74"/>
      <c r="I9607" s="74">
        <f t="shared" si="7"/>
        <v>2880000</v>
      </c>
      <c r="J9607" s="74">
        <f>IF(E9607="SERVICE",I9607-(I9607*50%),Vlookup(E9607,DATABASE!C:Q,10,false)*F9607)</f>
        <v>0</v>
      </c>
      <c r="K9607" s="74">
        <f>VLOOKUP(E9607,DATABASE!C:Q,7,false)</f>
        <v>653000</v>
      </c>
      <c r="L9607" s="74">
        <v>634500.0</v>
      </c>
      <c r="M9607" s="74">
        <f t="shared" si="6"/>
        <v>635000</v>
      </c>
      <c r="N9607" s="74">
        <f t="shared" si="3"/>
        <v>340000</v>
      </c>
      <c r="O9607" s="65" t="str">
        <f>VLOOKUP(E9607,DATABASE!C:Q,8,false)</f>
        <v>IBU</v>
      </c>
      <c r="P9607" s="65">
        <f>VLOOKUP(E9607,DATABASE!C:Q,9,False)</f>
        <v>1</v>
      </c>
      <c r="Q9607" s="93" t="str">
        <f>VLOOKUP(E9607,DATABASE!C:Q,4,false)</f>
        <v>Dunlop</v>
      </c>
      <c r="R9607" s="93" t="str">
        <f>VLOOKUP(E9607,DATABASE!C:Q,11,false)</f>
        <v>Tire</v>
      </c>
    </row>
    <row r="9608" ht="22.5" customHeight="1">
      <c r="A9608" s="49"/>
      <c r="C9608" s="400">
        <v>46227.0</v>
      </c>
      <c r="D9608" s="524">
        <v>405.0</v>
      </c>
      <c r="E9608" s="544" t="s">
        <v>262</v>
      </c>
      <c r="F9608" s="387">
        <v>1.0</v>
      </c>
      <c r="G9608" s="140">
        <v>130000.0</v>
      </c>
      <c r="H9608" s="140">
        <v>10000.0</v>
      </c>
      <c r="I9608" s="74">
        <f t="shared" si="7"/>
        <v>120000</v>
      </c>
      <c r="J9608" s="74">
        <f>IF(E9608="SERVICE",I9608-(I9608*50%),Vlookup(E9608,DATABASE!C:Q,10,false)*F9608)</f>
        <v>5000</v>
      </c>
      <c r="K9608" s="74">
        <f>VLOOKUP(E9608,DATABASE!C:Q,7,false)</f>
        <v>0</v>
      </c>
      <c r="L9608" s="74">
        <v>0.0</v>
      </c>
      <c r="M9608" s="74">
        <f t="shared" si="6"/>
        <v>0</v>
      </c>
      <c r="N9608" s="74">
        <f t="shared" si="3"/>
        <v>115000</v>
      </c>
      <c r="O9608" s="65" t="str">
        <f>VLOOKUP(E9608,DATABASE!C:Q,8,false)</f>
        <v>IBU</v>
      </c>
      <c r="P9608" s="65">
        <f>VLOOKUP(E9608,DATABASE!C:Q,9,False)</f>
        <v>0</v>
      </c>
      <c r="Q9608" s="93" t="str">
        <f>VLOOKUP(E9608,DATABASE!C:Q,4,false)</f>
        <v>SPOORING SS/CARRY LOS BAK</v>
      </c>
      <c r="R9608" s="93" t="str">
        <f>VLOOKUP(E9608,DATABASE!C:Q,11,false)</f>
        <v>SERVICE</v>
      </c>
    </row>
    <row r="9609" ht="22.5" customHeight="1">
      <c r="A9609" s="49"/>
      <c r="C9609" s="400">
        <v>46227.0</v>
      </c>
      <c r="D9609" s="524">
        <v>405.0</v>
      </c>
      <c r="E9609" s="544" t="s">
        <v>299</v>
      </c>
      <c r="F9609" s="387">
        <v>2.0</v>
      </c>
      <c r="G9609" s="140">
        <v>30000.0</v>
      </c>
      <c r="H9609" s="140">
        <v>5000.0</v>
      </c>
      <c r="I9609" s="74">
        <f t="shared" si="7"/>
        <v>50000</v>
      </c>
      <c r="J9609" s="74">
        <f>IF(E9609="SERVICE",I9609-(I9609*50%),Vlookup(E9609,DATABASE!C:Q,10,false)*F9609)</f>
        <v>0</v>
      </c>
      <c r="K9609" s="74">
        <f>VLOOKUP(E9609,DATABASE!C:Q,7,false)</f>
        <v>10000</v>
      </c>
      <c r="L9609" s="74">
        <v>10000.0</v>
      </c>
      <c r="M9609" s="74">
        <f t="shared" si="6"/>
        <v>10000</v>
      </c>
      <c r="N9609" s="74">
        <f t="shared" si="3"/>
        <v>30000</v>
      </c>
      <c r="O9609" s="65" t="str">
        <f>VLOOKUP(E9609,DATABASE!C:Q,8,false)</f>
        <v>BIAN</v>
      </c>
      <c r="P9609" s="65">
        <f>VLOOKUP(E9609,DATABASE!C:Q,9,False)</f>
        <v>0</v>
      </c>
      <c r="Q9609" s="93" t="str">
        <f>VLOOKUP(E9609,DATABASE!C:Q,4,false)</f>
        <v>Balancing</v>
      </c>
      <c r="R9609" s="93" t="str">
        <f>VLOOKUP(E9609,DATABASE!C:Q,11,false)</f>
        <v>COMPLEMENTARY</v>
      </c>
    </row>
    <row r="9610" ht="22.5" customHeight="1">
      <c r="A9610" s="49"/>
      <c r="C9610" s="400">
        <v>46227.0</v>
      </c>
      <c r="D9610" s="524">
        <v>405.0</v>
      </c>
      <c r="E9610" s="544" t="s">
        <v>301</v>
      </c>
      <c r="F9610" s="387">
        <v>1.0</v>
      </c>
      <c r="G9610" s="140">
        <v>250000.0</v>
      </c>
      <c r="H9610" s="74"/>
      <c r="I9610" s="74">
        <f t="shared" si="7"/>
        <v>250000</v>
      </c>
      <c r="J9610" s="74">
        <f>IF(E9610="SERVICE",I9610-(I9610*50%),Vlookup(E9610,DATABASE!C:Q,10,false)*F9610)</f>
        <v>75000</v>
      </c>
      <c r="K9610" s="74">
        <f>VLOOKUP(E9610,DATABASE!C:Q,7,false)</f>
        <v>75000</v>
      </c>
      <c r="L9610" s="74">
        <v>75000.0</v>
      </c>
      <c r="M9610" s="74">
        <f t="shared" si="6"/>
        <v>75000</v>
      </c>
      <c r="N9610" s="74">
        <f t="shared" si="3"/>
        <v>100000</v>
      </c>
      <c r="O9610" s="65" t="str">
        <f>VLOOKUP(E9610,DATABASE!C:Q,8,false)</f>
        <v>BIAN</v>
      </c>
      <c r="P9610" s="65">
        <f>VLOOKUP(E9610,DATABASE!C:Q,9,False)</f>
        <v>0</v>
      </c>
      <c r="Q9610" s="93" t="str">
        <f>VLOOKUP(E9610,DATABASE!C:Q,4,false)</f>
        <v>Baut Camber</v>
      </c>
      <c r="R9610" s="93" t="str">
        <f>VLOOKUP(E9610,DATABASE!C:Q,11,false)</f>
        <v>COMPLEMENTARY</v>
      </c>
    </row>
    <row r="9611" ht="22.5" customHeight="1">
      <c r="A9611" s="49"/>
      <c r="C9611" s="400">
        <v>46227.0</v>
      </c>
      <c r="D9611" s="524">
        <v>406.0</v>
      </c>
      <c r="E9611" s="544" t="s">
        <v>839</v>
      </c>
      <c r="F9611" s="387">
        <v>2.0</v>
      </c>
      <c r="G9611" s="140">
        <v>580000.0</v>
      </c>
      <c r="H9611" s="74"/>
      <c r="I9611" s="74">
        <f t="shared" si="7"/>
        <v>1160000</v>
      </c>
      <c r="J9611" s="74">
        <f>IF(E9611="SERVICE",I9611-(I9611*50%),Vlookup(E9611,DATABASE!C:Q,10,false)*F9611)</f>
        <v>0</v>
      </c>
      <c r="K9611" s="74">
        <f>VLOOKUP(E9611,DATABASE!C:Q,7,false)</f>
        <v>512640</v>
      </c>
      <c r="L9611" s="74">
        <v>490100.0</v>
      </c>
      <c r="M9611" s="74">
        <f t="shared" si="6"/>
        <v>495000</v>
      </c>
      <c r="N9611" s="74">
        <f t="shared" si="3"/>
        <v>170000</v>
      </c>
      <c r="O9611" s="65" t="str">
        <f>VLOOKUP(E9611,DATABASE!C:Q,8,false)</f>
        <v>BIAN</v>
      </c>
      <c r="P9611" s="65">
        <f>VLOOKUP(E9611,DATABASE!C:Q,9,False)</f>
        <v>1</v>
      </c>
      <c r="Q9611" s="93" t="str">
        <f>VLOOKUP(E9611,DATABASE!C:Q,4,false)</f>
        <v>GT</v>
      </c>
      <c r="R9611" s="93" t="str">
        <f>VLOOKUP(E9611,DATABASE!C:Q,11,false)</f>
        <v>Tire</v>
      </c>
    </row>
    <row r="9612" ht="22.5" customHeight="1">
      <c r="A9612" s="49"/>
      <c r="C9612" s="400">
        <v>46227.0</v>
      </c>
      <c r="D9612" s="524">
        <v>407.0</v>
      </c>
      <c r="E9612" s="544" t="s">
        <v>839</v>
      </c>
      <c r="F9612" s="387">
        <v>2.0</v>
      </c>
      <c r="G9612" s="140">
        <v>580000.0</v>
      </c>
      <c r="H9612" s="74"/>
      <c r="I9612" s="74">
        <f t="shared" si="7"/>
        <v>1160000</v>
      </c>
      <c r="J9612" s="74">
        <f>IF(E9612="SERVICE",I9612-(I9612*50%),Vlookup(E9612,DATABASE!C:Q,10,false)*F9612)</f>
        <v>0</v>
      </c>
      <c r="K9612" s="74">
        <f>VLOOKUP(E9612,DATABASE!C:Q,7,false)</f>
        <v>512640</v>
      </c>
      <c r="L9612" s="74">
        <v>490100.0</v>
      </c>
      <c r="M9612" s="74">
        <f t="shared" si="6"/>
        <v>495000</v>
      </c>
      <c r="N9612" s="74">
        <f t="shared" si="3"/>
        <v>170000</v>
      </c>
      <c r="O9612" s="65" t="str">
        <f>VLOOKUP(E9612,DATABASE!C:Q,8,false)</f>
        <v>BIAN</v>
      </c>
      <c r="P9612" s="65">
        <f>VLOOKUP(E9612,DATABASE!C:Q,9,False)</f>
        <v>1</v>
      </c>
      <c r="Q9612" s="93" t="str">
        <f>VLOOKUP(E9612,DATABASE!C:Q,4,false)</f>
        <v>GT</v>
      </c>
      <c r="R9612" s="93" t="str">
        <f>VLOOKUP(E9612,DATABASE!C:Q,11,false)</f>
        <v>Tire</v>
      </c>
    </row>
    <row r="9613" ht="22.5" customHeight="1">
      <c r="A9613" s="49"/>
      <c r="C9613" s="400">
        <v>46227.0</v>
      </c>
      <c r="D9613" s="524">
        <v>408.0</v>
      </c>
      <c r="E9613" s="544" t="s">
        <v>268</v>
      </c>
      <c r="F9613" s="387">
        <v>1.0</v>
      </c>
      <c r="G9613" s="140">
        <v>720000.0</v>
      </c>
      <c r="H9613" s="74"/>
      <c r="I9613" s="74">
        <f t="shared" si="7"/>
        <v>720000</v>
      </c>
      <c r="J9613" s="74">
        <f>IF(E9613="SERVICE",I9613-(I9613*50%),Vlookup(E9613,DATABASE!C:Q,10,false)*F9613)</f>
        <v>0</v>
      </c>
      <c r="K9613" s="74">
        <f>VLOOKUP(E9613,DATABASE!C:Q,7,false)</f>
        <v>653000</v>
      </c>
      <c r="L9613" s="74">
        <v>634500.0</v>
      </c>
      <c r="M9613" s="74">
        <f t="shared" si="6"/>
        <v>635000</v>
      </c>
      <c r="N9613" s="74">
        <f t="shared" si="3"/>
        <v>85000</v>
      </c>
      <c r="O9613" s="65" t="str">
        <f>VLOOKUP(E9613,DATABASE!C:Q,8,false)</f>
        <v>IBU</v>
      </c>
      <c r="P9613" s="65">
        <f>VLOOKUP(E9613,DATABASE!C:Q,9,False)</f>
        <v>1</v>
      </c>
      <c r="Q9613" s="93" t="str">
        <f>VLOOKUP(E9613,DATABASE!C:Q,4,false)</f>
        <v>Dunlop</v>
      </c>
      <c r="R9613" s="93" t="str">
        <f>VLOOKUP(E9613,DATABASE!C:Q,11,false)</f>
        <v>Tire</v>
      </c>
    </row>
    <row r="9614" ht="22.5" customHeight="1">
      <c r="A9614" s="49"/>
      <c r="C9614" s="400">
        <v>46227.0</v>
      </c>
      <c r="D9614" s="524">
        <v>409.0</v>
      </c>
      <c r="E9614" s="544" t="s">
        <v>839</v>
      </c>
      <c r="F9614" s="387">
        <v>1.0</v>
      </c>
      <c r="G9614" s="140">
        <v>585000.0</v>
      </c>
      <c r="H9614" s="74"/>
      <c r="I9614" s="74">
        <f t="shared" si="7"/>
        <v>585000</v>
      </c>
      <c r="J9614" s="74">
        <f>IF(E9614="SERVICE",I9614-(I9614*50%),Vlookup(E9614,DATABASE!C:Q,10,false)*F9614)</f>
        <v>0</v>
      </c>
      <c r="K9614" s="74">
        <f>VLOOKUP(E9614,DATABASE!C:Q,7,false)</f>
        <v>512640</v>
      </c>
      <c r="L9614" s="140">
        <v>490100.0</v>
      </c>
      <c r="M9614" s="74">
        <f t="shared" si="6"/>
        <v>495000</v>
      </c>
      <c r="N9614" s="74">
        <f t="shared" si="3"/>
        <v>90000</v>
      </c>
      <c r="O9614" s="65" t="str">
        <f>VLOOKUP(E9614,DATABASE!C:Q,8,false)</f>
        <v>BIAN</v>
      </c>
      <c r="P9614" s="65">
        <f>VLOOKUP(E9614,DATABASE!C:Q,9,False)</f>
        <v>1</v>
      </c>
      <c r="Q9614" s="93" t="str">
        <f>VLOOKUP(E9614,DATABASE!C:Q,4,false)</f>
        <v>GT</v>
      </c>
      <c r="R9614" s="93" t="str">
        <f>VLOOKUP(E9614,DATABASE!C:Q,11,false)</f>
        <v>Tire</v>
      </c>
    </row>
    <row r="9615" ht="22.5" customHeight="1">
      <c r="A9615" s="49"/>
      <c r="C9615" s="400">
        <v>46227.0</v>
      </c>
      <c r="D9615" s="524">
        <v>411.0</v>
      </c>
      <c r="E9615" s="544" t="s">
        <v>924</v>
      </c>
      <c r="F9615" s="387">
        <v>5.0</v>
      </c>
      <c r="G9615" s="140">
        <v>1660000.0</v>
      </c>
      <c r="H9615" s="140">
        <v>20000.0</v>
      </c>
      <c r="I9615" s="74">
        <f t="shared" si="7"/>
        <v>8200000</v>
      </c>
      <c r="J9615" s="74">
        <f>IF(E9615="SERVICE",I9615-(I9615*50%),Vlookup(E9615,DATABASE!C:Q,10,false)*F9615)</f>
        <v>0</v>
      </c>
      <c r="K9615" s="74">
        <f>VLOOKUP(E9615,DATABASE!C:Q,7,false)</f>
        <v>1560000</v>
      </c>
      <c r="L9615" s="74">
        <v>1560000.0</v>
      </c>
      <c r="M9615" s="74">
        <f t="shared" si="6"/>
        <v>1560000</v>
      </c>
      <c r="N9615" s="74">
        <f t="shared" si="3"/>
        <v>400000</v>
      </c>
      <c r="O9615" s="65" t="str">
        <f>VLOOKUP(E9615,DATABASE!C:Q,8,false)</f>
        <v>BIAN</v>
      </c>
      <c r="P9615" s="65">
        <f>VLOOKUP(E9615,DATABASE!C:Q,9,False)</f>
        <v>1</v>
      </c>
      <c r="Q9615" s="93" t="str">
        <f>VLOOKUP(E9615,DATABASE!C:Q,4,false)</f>
        <v>TIRON</v>
      </c>
      <c r="R9615" s="93" t="str">
        <f>VLOOKUP(E9615,DATABASE!C:Q,11,false)</f>
        <v>Tire</v>
      </c>
    </row>
    <row r="9616" ht="22.5" customHeight="1">
      <c r="A9616" s="49"/>
      <c r="C9616" s="400">
        <v>46227.0</v>
      </c>
      <c r="D9616" s="524">
        <v>412.0</v>
      </c>
      <c r="E9616" s="544" t="s">
        <v>256</v>
      </c>
      <c r="F9616" s="387">
        <v>1.0</v>
      </c>
      <c r="G9616" s="140">
        <v>175000.0</v>
      </c>
      <c r="H9616" s="140">
        <v>25000.0</v>
      </c>
      <c r="I9616" s="74">
        <f t="shared" si="7"/>
        <v>150000</v>
      </c>
      <c r="J9616" s="74">
        <f>IF(E9616="SERVICE",I9616-(I9616*50%),Vlookup(E9616,DATABASE!C:Q,10,false)*F9616)</f>
        <v>10000</v>
      </c>
      <c r="K9616" s="74">
        <f>VLOOKUP(E9616,DATABASE!C:Q,7,false)</f>
        <v>0</v>
      </c>
      <c r="L9616" s="74">
        <v>0.0</v>
      </c>
      <c r="M9616" s="74">
        <f t="shared" si="6"/>
        <v>0</v>
      </c>
      <c r="N9616" s="74">
        <f t="shared" si="3"/>
        <v>140000</v>
      </c>
      <c r="O9616" s="65" t="str">
        <f>VLOOKUP(E9616,DATABASE!C:Q,8,false)</f>
        <v>IBU</v>
      </c>
      <c r="P9616" s="65">
        <f>VLOOKUP(E9616,DATABASE!C:Q,9,False)</f>
        <v>0</v>
      </c>
      <c r="Q9616" s="93" t="str">
        <f>VLOOKUP(E9616,DATABASE!C:Q,4,false)</f>
        <v>SPOORING</v>
      </c>
      <c r="R9616" s="93" t="str">
        <f>VLOOKUP(E9616,DATABASE!C:Q,11,false)</f>
        <v>SERVICE</v>
      </c>
    </row>
    <row r="9617" ht="22.5" customHeight="1">
      <c r="A9617" s="49"/>
      <c r="C9617" s="400">
        <v>46227.0</v>
      </c>
      <c r="D9617" s="524">
        <v>412.0</v>
      </c>
      <c r="E9617" s="544" t="s">
        <v>301</v>
      </c>
      <c r="F9617" s="387">
        <v>1.0</v>
      </c>
      <c r="G9617" s="140">
        <v>250000.0</v>
      </c>
      <c r="H9617" s="74"/>
      <c r="I9617" s="74">
        <f t="shared" si="7"/>
        <v>250000</v>
      </c>
      <c r="J9617" s="74">
        <f>IF(E9617="SERVICE",I9617-(I9617*50%),Vlookup(E9617,DATABASE!C:Q,10,false)*F9617)</f>
        <v>75000</v>
      </c>
      <c r="K9617" s="74">
        <f>VLOOKUP(E9617,DATABASE!C:Q,7,false)</f>
        <v>75000</v>
      </c>
      <c r="L9617" s="74">
        <v>75000.0</v>
      </c>
      <c r="M9617" s="74">
        <f t="shared" si="6"/>
        <v>75000</v>
      </c>
      <c r="N9617" s="74">
        <f t="shared" si="3"/>
        <v>100000</v>
      </c>
      <c r="O9617" s="65" t="str">
        <f>VLOOKUP(E9617,DATABASE!C:Q,8,false)</f>
        <v>BIAN</v>
      </c>
      <c r="P9617" s="65">
        <f>VLOOKUP(E9617,DATABASE!C:Q,9,False)</f>
        <v>0</v>
      </c>
      <c r="Q9617" s="93" t="str">
        <f>VLOOKUP(E9617,DATABASE!C:Q,4,false)</f>
        <v>Baut Camber</v>
      </c>
      <c r="R9617" s="93" t="str">
        <f>VLOOKUP(E9617,DATABASE!C:Q,11,false)</f>
        <v>COMPLEMENTARY</v>
      </c>
    </row>
    <row r="9618" ht="22.5" customHeight="1">
      <c r="A9618" s="49"/>
      <c r="C9618" s="400">
        <v>46228.0</v>
      </c>
      <c r="D9618" s="524">
        <v>415.0</v>
      </c>
      <c r="E9618" s="544" t="s">
        <v>1867</v>
      </c>
      <c r="F9618" s="387">
        <v>2.0</v>
      </c>
      <c r="G9618" s="140">
        <v>665000.0</v>
      </c>
      <c r="H9618" s="140">
        <v>5000.0</v>
      </c>
      <c r="I9618" s="74">
        <f t="shared" si="7"/>
        <v>1320000</v>
      </c>
      <c r="J9618" s="74">
        <f>IF(E9618="SERVICE",I9618-(I9618*50%),Vlookup(E9618,DATABASE!C:Q,10,false)*F9618)</f>
        <v>0</v>
      </c>
      <c r="K9618" s="74">
        <f>VLOOKUP(E9618,DATABASE!C:Q,7,false)</f>
        <v>575200</v>
      </c>
      <c r="L9618" s="74">
        <v>575200.0</v>
      </c>
      <c r="M9618" s="74">
        <f t="shared" si="6"/>
        <v>580000</v>
      </c>
      <c r="N9618" s="74">
        <f t="shared" si="3"/>
        <v>160000</v>
      </c>
      <c r="O9618" s="65" t="str">
        <f>VLOOKUP(E9618,DATABASE!C:Q,8,false)</f>
        <v>BIAN</v>
      </c>
      <c r="P9618" s="65">
        <f>VLOOKUP(E9618,DATABASE!C:Q,9,False)</f>
        <v>1</v>
      </c>
      <c r="Q9618" s="93" t="str">
        <f>VLOOKUP(E9618,DATABASE!C:Q,4,false)</f>
        <v>GT</v>
      </c>
      <c r="R9618" s="93" t="str">
        <f>VLOOKUP(E9618,DATABASE!C:Q,11,false)</f>
        <v>Tire</v>
      </c>
    </row>
    <row r="9619" ht="22.5" customHeight="1">
      <c r="A9619" s="49"/>
      <c r="C9619" s="400">
        <v>46228.0</v>
      </c>
      <c r="D9619" s="524">
        <v>416.0</v>
      </c>
      <c r="E9619" s="544" t="s">
        <v>246</v>
      </c>
      <c r="F9619" s="387">
        <v>1.0</v>
      </c>
      <c r="G9619" s="140">
        <v>35000.0</v>
      </c>
      <c r="H9619" s="140">
        <v>10000.0</v>
      </c>
      <c r="I9619" s="74">
        <f t="shared" si="7"/>
        <v>25000</v>
      </c>
      <c r="J9619" s="74">
        <f>IF(E9619="SERVICE",I9619-(I9619*50%),Vlookup(E9619,DATABASE!C:Q,10,false)*F9619)</f>
        <v>0</v>
      </c>
      <c r="K9619" s="74">
        <f>VLOOKUP(E9619,DATABASE!C:Q,7,false)</f>
        <v>0</v>
      </c>
      <c r="L9619" s="74">
        <v>0.0</v>
      </c>
      <c r="M9619" s="74">
        <f t="shared" si="6"/>
        <v>0</v>
      </c>
      <c r="N9619" s="74">
        <f t="shared" si="3"/>
        <v>25000</v>
      </c>
      <c r="O9619" s="65" t="str">
        <f>VLOOKUP(E9619,DATABASE!C:Q,8,false)</f>
        <v>IBU</v>
      </c>
      <c r="P9619" s="65">
        <f>VLOOKUP(E9619,DATABASE!C:Q,9,False)</f>
        <v>0</v>
      </c>
      <c r="Q9619" s="93" t="str">
        <f>VLOOKUP(E9619,DATABASE!C:Q,4,false)</f>
        <v>Bongkar Pasang</v>
      </c>
      <c r="R9619" s="93" t="str">
        <f>VLOOKUP(E9619,DATABASE!C:Q,11,false)</f>
        <v>SERVICE</v>
      </c>
    </row>
    <row r="9620" ht="22.5" customHeight="1">
      <c r="A9620" s="49"/>
      <c r="C9620" s="400">
        <v>46228.0</v>
      </c>
      <c r="D9620" s="524">
        <v>417.0</v>
      </c>
      <c r="E9620" s="544" t="s">
        <v>1439</v>
      </c>
      <c r="F9620" s="387">
        <v>2.0</v>
      </c>
      <c r="G9620" s="140">
        <v>645000.0</v>
      </c>
      <c r="H9620" s="74"/>
      <c r="I9620" s="74">
        <f t="shared" si="7"/>
        <v>1290000</v>
      </c>
      <c r="J9620" s="74">
        <f>IF(E9620="SERVICE",I9620-(I9620*50%),Vlookup(E9620,DATABASE!C:Q,10,false)*F9620)</f>
        <v>0</v>
      </c>
      <c r="K9620" s="74">
        <f>VLOOKUP(E9620,DATABASE!C:Q,7,false)</f>
        <v>556800</v>
      </c>
      <c r="L9620" s="74">
        <v>556800.0</v>
      </c>
      <c r="M9620" s="74">
        <f t="shared" si="6"/>
        <v>560000</v>
      </c>
      <c r="N9620" s="74">
        <f t="shared" si="3"/>
        <v>170000</v>
      </c>
      <c r="O9620" s="65" t="str">
        <f>VLOOKUP(E9620,DATABASE!C:Q,8,false)</f>
        <v>BIAN</v>
      </c>
      <c r="P9620" s="65">
        <f>VLOOKUP(E9620,DATABASE!C:Q,9,False)</f>
        <v>1</v>
      </c>
      <c r="Q9620" s="93" t="str">
        <f>VLOOKUP(E9620,DATABASE!C:Q,4,false)</f>
        <v>GT</v>
      </c>
      <c r="R9620" s="93" t="str">
        <f>VLOOKUP(E9620,DATABASE!C:Q,11,false)</f>
        <v>Tire</v>
      </c>
    </row>
    <row r="9621" ht="22.5" customHeight="1">
      <c r="A9621" s="49"/>
      <c r="C9621" s="400">
        <v>46228.0</v>
      </c>
      <c r="D9621" s="524">
        <v>418.0</v>
      </c>
      <c r="E9621" s="544" t="s">
        <v>299</v>
      </c>
      <c r="F9621" s="387">
        <v>2.0</v>
      </c>
      <c r="G9621" s="140">
        <v>30000.0</v>
      </c>
      <c r="H9621" s="74"/>
      <c r="I9621" s="74">
        <f t="shared" si="7"/>
        <v>60000</v>
      </c>
      <c r="J9621" s="74">
        <f>IF(E9621="SERVICE",I9621-(I9621*50%),Vlookup(E9621,DATABASE!C:Q,10,false)*F9621)</f>
        <v>0</v>
      </c>
      <c r="K9621" s="74">
        <f>VLOOKUP(E9621,DATABASE!C:Q,7,false)</f>
        <v>10000</v>
      </c>
      <c r="L9621" s="74">
        <v>10000.0</v>
      </c>
      <c r="M9621" s="74">
        <f t="shared" si="6"/>
        <v>10000</v>
      </c>
      <c r="N9621" s="74">
        <f t="shared" si="3"/>
        <v>40000</v>
      </c>
      <c r="O9621" s="65" t="str">
        <f>VLOOKUP(E9621,DATABASE!C:Q,8,false)</f>
        <v>BIAN</v>
      </c>
      <c r="P9621" s="65">
        <f>VLOOKUP(E9621,DATABASE!C:Q,9,False)</f>
        <v>0</v>
      </c>
      <c r="Q9621" s="93" t="str">
        <f>VLOOKUP(E9621,DATABASE!C:Q,4,false)</f>
        <v>Balancing</v>
      </c>
      <c r="R9621" s="93" t="str">
        <f>VLOOKUP(E9621,DATABASE!C:Q,11,false)</f>
        <v>COMPLEMENTARY</v>
      </c>
    </row>
    <row r="9622" ht="22.5" customHeight="1">
      <c r="A9622" s="49"/>
      <c r="C9622" s="400">
        <v>46228.0</v>
      </c>
      <c r="D9622" s="524">
        <v>420.0</v>
      </c>
      <c r="E9622" s="544" t="s">
        <v>251</v>
      </c>
      <c r="F9622" s="387">
        <v>1.0</v>
      </c>
      <c r="G9622" s="140">
        <v>350000.0</v>
      </c>
      <c r="H9622" s="140">
        <v>200000.0</v>
      </c>
      <c r="I9622" s="74">
        <f t="shared" si="7"/>
        <v>150000</v>
      </c>
      <c r="J9622" s="74">
        <f>IF(E9622="SERVICE",I9622-(I9622*50%),Vlookup(E9622,DATABASE!C:Q,10,false)*F9622)</f>
        <v>75000</v>
      </c>
      <c r="K9622" s="140">
        <v>0.0</v>
      </c>
      <c r="L9622" s="140">
        <v>0.0</v>
      </c>
      <c r="M9622" s="74">
        <f t="shared" si="6"/>
        <v>0</v>
      </c>
      <c r="N9622" s="74">
        <f t="shared" si="3"/>
        <v>75000</v>
      </c>
      <c r="O9622" s="65" t="str">
        <f>VLOOKUP(E9622,DATABASE!C:Q,8,false)</f>
        <v>IBU</v>
      </c>
      <c r="P9622" s="65">
        <f>VLOOKUP(E9622,DATABASE!C:Q,9,False)</f>
        <v>0</v>
      </c>
      <c r="Q9622" s="93" t="str">
        <f>VLOOKUP(E9622,DATABASE!C:Q,4,false)</f>
        <v>SERVICE</v>
      </c>
      <c r="R9622" s="93" t="str">
        <f>VLOOKUP(E9622,DATABASE!C:Q,11,false)</f>
        <v>SERVICE</v>
      </c>
    </row>
    <row r="9623" ht="22.5" customHeight="1">
      <c r="A9623" s="49"/>
      <c r="C9623" s="400">
        <v>46228.0</v>
      </c>
      <c r="D9623" s="524">
        <v>421.0</v>
      </c>
      <c r="E9623" s="544" t="s">
        <v>268</v>
      </c>
      <c r="F9623" s="387">
        <v>4.0</v>
      </c>
      <c r="G9623" s="140">
        <v>720000.0</v>
      </c>
      <c r="H9623" s="74"/>
      <c r="I9623" s="74">
        <f t="shared" si="7"/>
        <v>2880000</v>
      </c>
      <c r="J9623" s="74">
        <f>IF(E9623="SERVICE",I9623-(I9623*50%),Vlookup(E9623,DATABASE!C:Q,10,false)*F9623)</f>
        <v>0</v>
      </c>
      <c r="K9623" s="74">
        <f>VLOOKUP(E9623,DATABASE!C:Q,7,false)</f>
        <v>653000</v>
      </c>
      <c r="L9623" s="74">
        <v>634500.0</v>
      </c>
      <c r="M9623" s="74">
        <f t="shared" si="6"/>
        <v>635000</v>
      </c>
      <c r="N9623" s="74">
        <f t="shared" si="3"/>
        <v>340000</v>
      </c>
      <c r="O9623" s="65" t="str">
        <f>VLOOKUP(E9623,DATABASE!C:Q,8,false)</f>
        <v>IBU</v>
      </c>
      <c r="P9623" s="65">
        <f>VLOOKUP(E9623,DATABASE!C:Q,9,False)</f>
        <v>1</v>
      </c>
      <c r="Q9623" s="93" t="str">
        <f>VLOOKUP(E9623,DATABASE!C:Q,4,false)</f>
        <v>Dunlop</v>
      </c>
      <c r="R9623" s="93" t="str">
        <f>VLOOKUP(E9623,DATABASE!C:Q,11,false)</f>
        <v>Tire</v>
      </c>
    </row>
    <row r="9624" ht="22.5" customHeight="1">
      <c r="A9624" s="49"/>
      <c r="C9624" s="400">
        <v>46228.0</v>
      </c>
      <c r="D9624" s="524">
        <v>421.0</v>
      </c>
      <c r="E9624" s="544" t="s">
        <v>262</v>
      </c>
      <c r="F9624" s="387">
        <v>1.0</v>
      </c>
      <c r="G9624" s="140">
        <v>130000.0</v>
      </c>
      <c r="H9624" s="140">
        <v>10000.0</v>
      </c>
      <c r="I9624" s="74">
        <f t="shared" si="7"/>
        <v>120000</v>
      </c>
      <c r="J9624" s="74">
        <f>IF(E9624="SERVICE",I9624-(I9624*50%),Vlookup(E9624,DATABASE!C:Q,10,false)*F9624)</f>
        <v>5000</v>
      </c>
      <c r="K9624" s="74">
        <f>VLOOKUP(E9624,DATABASE!C:Q,7,false)</f>
        <v>0</v>
      </c>
      <c r="L9624" s="74">
        <v>0.0</v>
      </c>
      <c r="M9624" s="74">
        <f t="shared" si="6"/>
        <v>0</v>
      </c>
      <c r="N9624" s="74">
        <f t="shared" si="3"/>
        <v>115000</v>
      </c>
      <c r="O9624" s="65" t="str">
        <f>VLOOKUP(E9624,DATABASE!C:Q,8,false)</f>
        <v>IBU</v>
      </c>
      <c r="P9624" s="65">
        <f>VLOOKUP(E9624,DATABASE!C:Q,9,False)</f>
        <v>0</v>
      </c>
      <c r="Q9624" s="93" t="str">
        <f>VLOOKUP(E9624,DATABASE!C:Q,4,false)</f>
        <v>SPOORING SS/CARRY LOS BAK</v>
      </c>
      <c r="R9624" s="93" t="str">
        <f>VLOOKUP(E9624,DATABASE!C:Q,11,false)</f>
        <v>SERVICE</v>
      </c>
    </row>
    <row r="9625" ht="22.5" customHeight="1">
      <c r="A9625" s="49"/>
      <c r="C9625" s="400">
        <v>46228.0</v>
      </c>
      <c r="D9625" s="524">
        <v>421.0</v>
      </c>
      <c r="E9625" s="544" t="s">
        <v>478</v>
      </c>
      <c r="F9625" s="387">
        <v>1.0</v>
      </c>
      <c r="G9625" s="140">
        <v>200000.0</v>
      </c>
      <c r="H9625" s="74"/>
      <c r="I9625" s="74">
        <f t="shared" si="7"/>
        <v>200000</v>
      </c>
      <c r="J9625" s="74">
        <f>IF(E9625="SERVICE",I9625-(I9625*50%),Vlookup(E9625,DATABASE!C:Q,10,false)*F9625)</f>
        <v>25000</v>
      </c>
      <c r="K9625" s="74">
        <f>VLOOKUP(E9625,DATABASE!C:Q,7,false)</f>
        <v>75000</v>
      </c>
      <c r="L9625" s="74">
        <v>75000.0</v>
      </c>
      <c r="M9625" s="74">
        <f t="shared" si="6"/>
        <v>75000</v>
      </c>
      <c r="N9625" s="74">
        <f t="shared" si="3"/>
        <v>100000</v>
      </c>
      <c r="O9625" s="65" t="str">
        <f>VLOOKUP(E9625,DATABASE!C:Q,8,false)</f>
        <v>BIAN</v>
      </c>
      <c r="P9625" s="65">
        <f>VLOOKUP(E9625,DATABASE!C:Q,9,False)</f>
        <v>0</v>
      </c>
      <c r="Q9625" s="93" t="str">
        <f>VLOOKUP(E9625,DATABASE!C:Q,4,false)</f>
        <v>Baut Camber ss-carry</v>
      </c>
      <c r="R9625" s="93" t="str">
        <f>VLOOKUP(E9625,DATABASE!C:Q,11,false)</f>
        <v>COMPLEMENTARY</v>
      </c>
    </row>
    <row r="9626" ht="22.5" customHeight="1">
      <c r="A9626" s="49"/>
      <c r="C9626" s="400">
        <v>46228.0</v>
      </c>
      <c r="D9626" s="524">
        <v>422.0</v>
      </c>
      <c r="E9626" s="544" t="s">
        <v>974</v>
      </c>
      <c r="F9626" s="387">
        <v>2.0</v>
      </c>
      <c r="G9626" s="140">
        <v>590000.0</v>
      </c>
      <c r="H9626" s="74"/>
      <c r="I9626" s="74">
        <f t="shared" si="7"/>
        <v>1180000</v>
      </c>
      <c r="J9626" s="74">
        <f>IF(E9626="SERVICE",I9626-(I9626*50%),Vlookup(E9626,DATABASE!C:Q,10,false)*F9626)</f>
        <v>0</v>
      </c>
      <c r="K9626" s="74">
        <f>VLOOKUP(E9626,DATABASE!C:Q,7,false)</f>
        <v>501500</v>
      </c>
      <c r="L9626" s="74">
        <v>501500.0</v>
      </c>
      <c r="M9626" s="74">
        <f t="shared" si="6"/>
        <v>505000</v>
      </c>
      <c r="N9626" s="74">
        <f t="shared" si="3"/>
        <v>170000</v>
      </c>
      <c r="O9626" s="65" t="str">
        <f>VLOOKUP(E9626,DATABASE!C:Q,8,false)</f>
        <v>IBU</v>
      </c>
      <c r="P9626" s="65">
        <f>VLOOKUP(E9626,DATABASE!C:Q,9,False)</f>
        <v>1</v>
      </c>
      <c r="Q9626" s="93" t="str">
        <f>VLOOKUP(E9626,DATABASE!C:Q,4,false)</f>
        <v>Dunlop</v>
      </c>
      <c r="R9626" s="93" t="str">
        <f>VLOOKUP(E9626,DATABASE!C:Q,11,false)</f>
        <v>Tire</v>
      </c>
    </row>
    <row r="9627" ht="22.5" customHeight="1">
      <c r="A9627" s="49"/>
      <c r="C9627" s="400">
        <v>46228.0</v>
      </c>
      <c r="D9627" s="69" t="s">
        <v>2887</v>
      </c>
      <c r="E9627" s="544" t="s">
        <v>248</v>
      </c>
      <c r="F9627" s="387">
        <v>1.0</v>
      </c>
      <c r="G9627" s="140">
        <v>250000.0</v>
      </c>
      <c r="H9627" s="74"/>
      <c r="I9627" s="74">
        <f t="shared" si="7"/>
        <v>250000</v>
      </c>
      <c r="J9627" s="74">
        <f>IF(E9627="SERVICE",I9627-(I9627*50%),Vlookup(E9627,DATABASE!C:Q,10,false)*F9627)</f>
        <v>0</v>
      </c>
      <c r="K9627" s="74">
        <f>VLOOKUP(E9627,DATABASE!C:Q,7,false)</f>
        <v>209816.66</v>
      </c>
      <c r="L9627" s="74">
        <v>209816.66</v>
      </c>
      <c r="M9627" s="74">
        <f t="shared" si="6"/>
        <v>210000</v>
      </c>
      <c r="N9627" s="74">
        <f t="shared" si="3"/>
        <v>40000</v>
      </c>
      <c r="O9627" s="65" t="str">
        <f>VLOOKUP(E9627,DATABASE!C:Q,8,false)</f>
        <v>NON</v>
      </c>
      <c r="P9627" s="65">
        <f>VLOOKUP(E9627,DATABASE!C:Q,9,False)</f>
        <v>0</v>
      </c>
      <c r="Q9627" s="93" t="str">
        <f>VLOOKUP(E9627,DATABASE!C:Q,4,false)</f>
        <v>Pertamina</v>
      </c>
      <c r="R9627" s="93" t="str">
        <f>VLOOKUP(E9627,DATABASE!C:Q,11,false)</f>
        <v>OIL</v>
      </c>
    </row>
    <row r="9628" ht="22.5" customHeight="1">
      <c r="A9628" s="49"/>
      <c r="C9628" s="400">
        <v>46229.0</v>
      </c>
      <c r="D9628" s="69">
        <v>424.0</v>
      </c>
      <c r="E9628" s="544" t="s">
        <v>287</v>
      </c>
      <c r="F9628" s="387">
        <v>2.0</v>
      </c>
      <c r="G9628" s="140">
        <v>800000.0</v>
      </c>
      <c r="H9628" s="74"/>
      <c r="I9628" s="74">
        <f t="shared" si="7"/>
        <v>1600000</v>
      </c>
      <c r="J9628" s="74">
        <f>IF(E9628="SERVICE",I9628-(I9628*50%),Vlookup(E9628,DATABASE!C:Q,10,false)*F9628)</f>
        <v>0</v>
      </c>
      <c r="K9628" s="74">
        <f>VLOOKUP(E9628,DATABASE!C:Q,7,false)</f>
        <v>711000</v>
      </c>
      <c r="L9628" s="74">
        <v>711000.0</v>
      </c>
      <c r="M9628" s="74">
        <f t="shared" si="6"/>
        <v>715000</v>
      </c>
      <c r="N9628" s="74">
        <f t="shared" si="3"/>
        <v>170000</v>
      </c>
      <c r="O9628" s="65" t="str">
        <f>VLOOKUP(E9628,DATABASE!C:Q,8,false)</f>
        <v>BIAN</v>
      </c>
      <c r="P9628" s="65">
        <f>VLOOKUP(E9628,DATABASE!C:Q,9,False)</f>
        <v>1</v>
      </c>
      <c r="Q9628" s="93" t="str">
        <f>VLOOKUP(E9628,DATABASE!C:Q,4,false)</f>
        <v>GT</v>
      </c>
      <c r="R9628" s="93" t="str">
        <f>VLOOKUP(E9628,DATABASE!C:Q,11,false)</f>
        <v>Tire</v>
      </c>
    </row>
    <row r="9629" ht="22.5" customHeight="1">
      <c r="A9629" s="49"/>
      <c r="C9629" s="400">
        <v>46229.0</v>
      </c>
      <c r="D9629" s="69">
        <v>425.0</v>
      </c>
      <c r="E9629" s="544" t="s">
        <v>932</v>
      </c>
      <c r="F9629" s="387">
        <v>1.0</v>
      </c>
      <c r="G9629" s="140">
        <v>690000.0</v>
      </c>
      <c r="H9629" s="74"/>
      <c r="I9629" s="74">
        <f t="shared" si="7"/>
        <v>690000</v>
      </c>
      <c r="J9629" s="74">
        <f>IF(E9629="SERVICE",I9629-(I9629*50%),Vlookup(E9629,DATABASE!C:Q,10,false)*F9629)</f>
        <v>0</v>
      </c>
      <c r="K9629" s="74">
        <f>VLOOKUP(E9629,DATABASE!C:Q,7,false)</f>
        <v>601000</v>
      </c>
      <c r="L9629" s="74">
        <v>601000.0</v>
      </c>
      <c r="M9629" s="74">
        <f t="shared" si="6"/>
        <v>605000</v>
      </c>
      <c r="N9629" s="74">
        <f t="shared" si="3"/>
        <v>85000</v>
      </c>
      <c r="O9629" s="65" t="str">
        <f>VLOOKUP(E9629,DATABASE!C:Q,8,false)</f>
        <v>IBU</v>
      </c>
      <c r="P9629" s="65">
        <f>VLOOKUP(E9629,DATABASE!C:Q,9,False)</f>
        <v>1</v>
      </c>
      <c r="Q9629" s="93" t="str">
        <f>VLOOKUP(E9629,DATABASE!C:Q,4,false)</f>
        <v>Dunlop</v>
      </c>
      <c r="R9629" s="93" t="str">
        <f>VLOOKUP(E9629,DATABASE!C:Q,11,false)</f>
        <v>Tire</v>
      </c>
    </row>
    <row r="9630" ht="22.5" customHeight="1">
      <c r="A9630" s="49"/>
      <c r="C9630" s="400">
        <v>46229.0</v>
      </c>
      <c r="D9630" s="69">
        <v>426.0</v>
      </c>
      <c r="E9630" s="544" t="s">
        <v>256</v>
      </c>
      <c r="F9630" s="387">
        <v>1.0</v>
      </c>
      <c r="G9630" s="140">
        <v>150000.0</v>
      </c>
      <c r="H9630" s="74"/>
      <c r="I9630" s="74">
        <f t="shared" si="7"/>
        <v>150000</v>
      </c>
      <c r="J9630" s="74">
        <f>IF(E9630="SERVICE",I9630-(I9630*50%),Vlookup(E9630,DATABASE!C:Q,10,false)*F9630)</f>
        <v>10000</v>
      </c>
      <c r="K9630" s="74">
        <f>VLOOKUP(E9630,DATABASE!C:Q,7,false)</f>
        <v>0</v>
      </c>
      <c r="L9630" s="74">
        <v>0.0</v>
      </c>
      <c r="M9630" s="74">
        <f t="shared" si="6"/>
        <v>0</v>
      </c>
      <c r="N9630" s="74">
        <f t="shared" si="3"/>
        <v>140000</v>
      </c>
      <c r="O9630" s="65" t="str">
        <f>VLOOKUP(E9630,DATABASE!C:Q,8,false)</f>
        <v>IBU</v>
      </c>
      <c r="P9630" s="65">
        <f>VLOOKUP(E9630,DATABASE!C:Q,9,False)</f>
        <v>0</v>
      </c>
      <c r="Q9630" s="93" t="str">
        <f>VLOOKUP(E9630,DATABASE!C:Q,4,false)</f>
        <v>SPOORING</v>
      </c>
      <c r="R9630" s="93" t="str">
        <f>VLOOKUP(E9630,DATABASE!C:Q,11,false)</f>
        <v>SERVICE</v>
      </c>
    </row>
    <row r="9631" ht="22.5" customHeight="1">
      <c r="A9631" s="49"/>
      <c r="C9631" s="400">
        <v>46229.0</v>
      </c>
      <c r="D9631" s="69">
        <v>426.0</v>
      </c>
      <c r="E9631" s="544" t="s">
        <v>251</v>
      </c>
      <c r="F9631" s="387">
        <v>1.0</v>
      </c>
      <c r="G9631" s="140">
        <v>120000.0</v>
      </c>
      <c r="H9631" s="74"/>
      <c r="I9631" s="74">
        <f t="shared" si="7"/>
        <v>120000</v>
      </c>
      <c r="J9631" s="74">
        <f>IF(E9631="SERVICE",I9631-(I9631*50%),Vlookup(E9631,DATABASE!C:Q,10,false)*F9631)</f>
        <v>60000</v>
      </c>
      <c r="K9631" s="74">
        <f>VLOOKUP(E9631,DATABASE!C:Q,7,false)</f>
        <v>0</v>
      </c>
      <c r="L9631" s="74">
        <v>0.0</v>
      </c>
      <c r="M9631" s="74">
        <f t="shared" si="6"/>
        <v>0</v>
      </c>
      <c r="N9631" s="74">
        <f t="shared" si="3"/>
        <v>60000</v>
      </c>
      <c r="O9631" s="65" t="str">
        <f>VLOOKUP(E9631,DATABASE!C:Q,8,false)</f>
        <v>IBU</v>
      </c>
      <c r="P9631" s="65">
        <f>VLOOKUP(E9631,DATABASE!C:Q,9,False)</f>
        <v>0</v>
      </c>
      <c r="Q9631" s="93" t="str">
        <f>VLOOKUP(E9631,DATABASE!C:Q,4,false)</f>
        <v>SERVICE</v>
      </c>
      <c r="R9631" s="93" t="str">
        <f>VLOOKUP(E9631,DATABASE!C:Q,11,false)</f>
        <v>SERVICE</v>
      </c>
    </row>
    <row r="9632" ht="22.5" customHeight="1">
      <c r="A9632" s="49"/>
      <c r="C9632" s="400">
        <v>46229.0</v>
      </c>
      <c r="D9632" s="69">
        <v>428.0</v>
      </c>
      <c r="E9632" s="544" t="s">
        <v>301</v>
      </c>
      <c r="F9632" s="387">
        <v>1.0</v>
      </c>
      <c r="G9632" s="140">
        <v>250000.0</v>
      </c>
      <c r="H9632" s="74"/>
      <c r="I9632" s="74">
        <f t="shared" si="7"/>
        <v>250000</v>
      </c>
      <c r="J9632" s="74">
        <f>IF(E9632="SERVICE",I9632-(I9632*50%),Vlookup(E9632,DATABASE!C:Q,10,false)*F9632)</f>
        <v>75000</v>
      </c>
      <c r="K9632" s="74">
        <f>VLOOKUP(E9632,DATABASE!C:Q,7,false)</f>
        <v>75000</v>
      </c>
      <c r="L9632" s="74">
        <v>75000.0</v>
      </c>
      <c r="M9632" s="74">
        <f t="shared" si="6"/>
        <v>75000</v>
      </c>
      <c r="N9632" s="74">
        <f t="shared" si="3"/>
        <v>100000</v>
      </c>
      <c r="O9632" s="65" t="str">
        <f>VLOOKUP(E9632,DATABASE!C:Q,8,false)</f>
        <v>BIAN</v>
      </c>
      <c r="P9632" s="65">
        <f>VLOOKUP(E9632,DATABASE!C:Q,9,False)</f>
        <v>0</v>
      </c>
      <c r="Q9632" s="93" t="str">
        <f>VLOOKUP(E9632,DATABASE!C:Q,4,false)</f>
        <v>Baut Camber</v>
      </c>
      <c r="R9632" s="93" t="str">
        <f>VLOOKUP(E9632,DATABASE!C:Q,11,false)</f>
        <v>COMPLEMENTARY</v>
      </c>
    </row>
    <row r="9633" ht="22.5" customHeight="1">
      <c r="A9633" s="49"/>
      <c r="C9633" s="400">
        <v>46229.0</v>
      </c>
      <c r="D9633" s="69">
        <v>428.0</v>
      </c>
      <c r="E9633" s="544" t="s">
        <v>256</v>
      </c>
      <c r="F9633" s="387">
        <v>1.0</v>
      </c>
      <c r="G9633" s="140">
        <v>150000.0</v>
      </c>
      <c r="H9633" s="74"/>
      <c r="I9633" s="74">
        <f t="shared" si="7"/>
        <v>150000</v>
      </c>
      <c r="J9633" s="74">
        <f>IF(E9633="SERVICE",I9633-(I9633*50%),Vlookup(E9633,DATABASE!C:Q,10,false)*F9633)</f>
        <v>10000</v>
      </c>
      <c r="K9633" s="74">
        <f>VLOOKUP(E9633,DATABASE!C:Q,7,false)</f>
        <v>0</v>
      </c>
      <c r="L9633" s="74">
        <v>0.0</v>
      </c>
      <c r="M9633" s="74">
        <f t="shared" si="6"/>
        <v>0</v>
      </c>
      <c r="N9633" s="74">
        <f t="shared" si="3"/>
        <v>140000</v>
      </c>
      <c r="O9633" s="65" t="str">
        <f>VLOOKUP(E9633,DATABASE!C:Q,8,false)</f>
        <v>IBU</v>
      </c>
      <c r="P9633" s="65">
        <f>VLOOKUP(E9633,DATABASE!C:Q,9,False)</f>
        <v>0</v>
      </c>
      <c r="Q9633" s="93" t="str">
        <f>VLOOKUP(E9633,DATABASE!C:Q,4,false)</f>
        <v>SPOORING</v>
      </c>
      <c r="R9633" s="93" t="str">
        <f>VLOOKUP(E9633,DATABASE!C:Q,11,false)</f>
        <v>SERVICE</v>
      </c>
    </row>
    <row r="9634" ht="22.5" customHeight="1">
      <c r="A9634" s="49"/>
      <c r="C9634" s="400">
        <v>46229.0</v>
      </c>
      <c r="D9634" s="69">
        <v>428.0</v>
      </c>
      <c r="E9634" s="544" t="s">
        <v>1872</v>
      </c>
      <c r="F9634" s="387">
        <v>2.0</v>
      </c>
      <c r="G9634" s="140">
        <v>740000.0</v>
      </c>
      <c r="H9634" s="140">
        <v>15000.0</v>
      </c>
      <c r="I9634" s="74">
        <f t="shared" si="7"/>
        <v>1450000</v>
      </c>
      <c r="J9634" s="74">
        <f>IF(E9634="SERVICE",I9634-(I9634*50%),Vlookup(E9634,DATABASE!C:Q,10,false)*F9634)</f>
        <v>0</v>
      </c>
      <c r="K9634" s="74">
        <f>VLOOKUP(E9634,DATABASE!C:Q,7,false)</f>
        <v>648900</v>
      </c>
      <c r="L9634" s="74">
        <v>648900.0</v>
      </c>
      <c r="M9634" s="74">
        <f t="shared" si="6"/>
        <v>650000</v>
      </c>
      <c r="N9634" s="74">
        <f t="shared" si="3"/>
        <v>150000</v>
      </c>
      <c r="O9634" s="65" t="str">
        <f>VLOOKUP(E9634,DATABASE!C:Q,8,false)</f>
        <v>BIAN</v>
      </c>
      <c r="P9634" s="65">
        <f>VLOOKUP(E9634,DATABASE!C:Q,9,False)</f>
        <v>1</v>
      </c>
      <c r="Q9634" s="93" t="str">
        <f>VLOOKUP(E9634,DATABASE!C:Q,4,false)</f>
        <v>GT</v>
      </c>
      <c r="R9634" s="93" t="str">
        <f>VLOOKUP(E9634,DATABASE!C:Q,11,false)</f>
        <v>Tire</v>
      </c>
    </row>
    <row r="9635" ht="22.5" customHeight="1">
      <c r="A9635" s="49"/>
      <c r="C9635" s="400">
        <v>46229.0</v>
      </c>
      <c r="D9635" s="69">
        <v>429.0</v>
      </c>
      <c r="E9635" s="544" t="s">
        <v>299</v>
      </c>
      <c r="F9635" s="387">
        <v>2.0</v>
      </c>
      <c r="G9635" s="140">
        <v>30000.0</v>
      </c>
      <c r="H9635" s="74"/>
      <c r="I9635" s="74">
        <f t="shared" si="7"/>
        <v>60000</v>
      </c>
      <c r="J9635" s="74">
        <f>IF(E9635="SERVICE",I9635-(I9635*50%),Vlookup(E9635,DATABASE!C:Q,10,false)*F9635)</f>
        <v>0</v>
      </c>
      <c r="K9635" s="74">
        <f>VLOOKUP(E9635,DATABASE!C:Q,7,false)</f>
        <v>10000</v>
      </c>
      <c r="L9635" s="74">
        <v>10000.0</v>
      </c>
      <c r="M9635" s="74">
        <f t="shared" si="6"/>
        <v>10000</v>
      </c>
      <c r="N9635" s="74">
        <f t="shared" si="3"/>
        <v>40000</v>
      </c>
      <c r="O9635" s="65" t="str">
        <f>VLOOKUP(E9635,DATABASE!C:Q,8,false)</f>
        <v>BIAN</v>
      </c>
      <c r="P9635" s="65">
        <f>VLOOKUP(E9635,DATABASE!C:Q,9,False)</f>
        <v>0</v>
      </c>
      <c r="Q9635" s="93" t="str">
        <f>VLOOKUP(E9635,DATABASE!C:Q,4,false)</f>
        <v>Balancing</v>
      </c>
      <c r="R9635" s="93" t="str">
        <f>VLOOKUP(E9635,DATABASE!C:Q,11,false)</f>
        <v>COMPLEMENTARY</v>
      </c>
    </row>
    <row r="9636" ht="22.5" customHeight="1">
      <c r="A9636" s="49"/>
      <c r="C9636" s="400">
        <v>46229.0</v>
      </c>
      <c r="D9636" s="69">
        <v>429.0</v>
      </c>
      <c r="E9636" s="544" t="s">
        <v>2199</v>
      </c>
      <c r="F9636" s="387">
        <v>1.0</v>
      </c>
      <c r="G9636" s="140">
        <v>15000.0</v>
      </c>
      <c r="H9636" s="74"/>
      <c r="I9636" s="74">
        <f t="shared" si="7"/>
        <v>15000</v>
      </c>
      <c r="J9636" s="74">
        <f>IF(E9636="SERVICE",I9636-(I9636*50%),Vlookup(E9636,DATABASE!C:Q,10,false)*F9636)</f>
        <v>0</v>
      </c>
      <c r="K9636" s="74">
        <f>VLOOKUP(E9636,DATABASE!C:Q,7,false)</f>
        <v>5000</v>
      </c>
      <c r="L9636" s="74">
        <v>5000.0</v>
      </c>
      <c r="M9636" s="74">
        <f t="shared" si="6"/>
        <v>5000</v>
      </c>
      <c r="N9636" s="74">
        <f t="shared" si="3"/>
        <v>10000</v>
      </c>
      <c r="O9636" s="65" t="str">
        <f>VLOOKUP(E9636,DATABASE!C:Q,8,false)</f>
        <v>BIAN</v>
      </c>
      <c r="P9636" s="65">
        <f>VLOOKUP(E9636,DATABASE!C:Q,9,False)</f>
        <v>0</v>
      </c>
      <c r="Q9636" s="93" t="str">
        <f>VLOOKUP(E9636,DATABASE!C:Q,4,false)</f>
        <v>TAMBAL TUBLES</v>
      </c>
      <c r="R9636" s="93" t="str">
        <f>VLOOKUP(E9636,DATABASE!C:Q,11,false)</f>
        <v>COMPLEMENTARY</v>
      </c>
    </row>
    <row r="9637" ht="22.5" customHeight="1">
      <c r="A9637" s="49"/>
      <c r="C9637" s="400">
        <v>46229.0</v>
      </c>
      <c r="D9637" s="69">
        <v>430.0</v>
      </c>
      <c r="E9637" s="544" t="s">
        <v>256</v>
      </c>
      <c r="F9637" s="387">
        <v>1.0</v>
      </c>
      <c r="G9637" s="140">
        <v>130000.0</v>
      </c>
      <c r="H9637" s="74"/>
      <c r="I9637" s="74">
        <f t="shared" si="7"/>
        <v>130000</v>
      </c>
      <c r="J9637" s="74">
        <f>IF(E9637="SERVICE",I9637-(I9637*50%),Vlookup(E9637,DATABASE!C:Q,10,false)*F9637)</f>
        <v>10000</v>
      </c>
      <c r="K9637" s="74">
        <f>VLOOKUP(E9637,DATABASE!C:Q,7,false)</f>
        <v>0</v>
      </c>
      <c r="L9637" s="74">
        <v>0.0</v>
      </c>
      <c r="M9637" s="74">
        <f t="shared" si="6"/>
        <v>0</v>
      </c>
      <c r="N9637" s="74">
        <f t="shared" si="3"/>
        <v>120000</v>
      </c>
      <c r="O9637" s="65" t="str">
        <f>VLOOKUP(E9637,DATABASE!C:Q,8,false)</f>
        <v>IBU</v>
      </c>
      <c r="P9637" s="65">
        <f>VLOOKUP(E9637,DATABASE!C:Q,9,False)</f>
        <v>0</v>
      </c>
      <c r="Q9637" s="93" t="str">
        <f>VLOOKUP(E9637,DATABASE!C:Q,4,false)</f>
        <v>SPOORING</v>
      </c>
      <c r="R9637" s="93" t="str">
        <f>VLOOKUP(E9637,DATABASE!C:Q,11,false)</f>
        <v>SERVICE</v>
      </c>
    </row>
    <row r="9638" ht="22.5" customHeight="1">
      <c r="A9638" s="49"/>
      <c r="C9638" s="400">
        <v>46229.0</v>
      </c>
      <c r="D9638" s="69">
        <v>431.0</v>
      </c>
      <c r="E9638" s="544" t="s">
        <v>391</v>
      </c>
      <c r="F9638" s="387">
        <v>1.0</v>
      </c>
      <c r="G9638" s="140">
        <v>1985000.0</v>
      </c>
      <c r="H9638" s="74"/>
      <c r="I9638" s="74">
        <f t="shared" si="7"/>
        <v>1985000</v>
      </c>
      <c r="J9638" s="74">
        <f>IF(E9638="SERVICE",I9638-(I9638*50%),Vlookup(E9638,DATABASE!C:Q,10,false)*F9638)</f>
        <v>0</v>
      </c>
      <c r="K9638" s="74">
        <f>VLOOKUP(E9638,DATABASE!C:Q,7,false)</f>
        <v>1885000</v>
      </c>
      <c r="L9638" s="74">
        <v>1885000.0</v>
      </c>
      <c r="M9638" s="74">
        <f t="shared" si="6"/>
        <v>1885000</v>
      </c>
      <c r="N9638" s="74">
        <f t="shared" si="3"/>
        <v>100000</v>
      </c>
      <c r="O9638" s="65" t="str">
        <f>VLOOKUP(E9638,DATABASE!C:Q,8,false)</f>
        <v>BIAN</v>
      </c>
      <c r="P9638" s="65">
        <f>VLOOKUP(E9638,DATABASE!C:Q,9,False)</f>
        <v>1</v>
      </c>
      <c r="Q9638" s="93" t="str">
        <f>VLOOKUP(E9638,DATABASE!C:Q,4,false)</f>
        <v>Advance</v>
      </c>
      <c r="R9638" s="93" t="str">
        <f>VLOOKUP(E9638,DATABASE!C:Q,11,false)</f>
        <v>Tire</v>
      </c>
    </row>
    <row r="9639" ht="22.5" customHeight="1">
      <c r="A9639" s="49"/>
      <c r="C9639" s="400">
        <v>46229.0</v>
      </c>
      <c r="D9639" s="69">
        <v>431.0</v>
      </c>
      <c r="E9639" s="544" t="s">
        <v>897</v>
      </c>
      <c r="F9639" s="387">
        <v>2.0</v>
      </c>
      <c r="G9639" s="140">
        <v>1625000.0</v>
      </c>
      <c r="H9639" s="74"/>
      <c r="I9639" s="74">
        <f t="shared" si="7"/>
        <v>3250000</v>
      </c>
      <c r="J9639" s="74">
        <f>IF(E9639="SERVICE",I9639-(I9639*50%),Vlookup(E9639,DATABASE!C:Q,10,false)*F9639)</f>
        <v>0</v>
      </c>
      <c r="K9639" s="74">
        <f>VLOOKUP(E9639,DATABASE!C:Q,7,false)</f>
        <v>1560000</v>
      </c>
      <c r="L9639" s="74">
        <v>1525000.0</v>
      </c>
      <c r="M9639" s="74">
        <f t="shared" si="6"/>
        <v>1525000</v>
      </c>
      <c r="N9639" s="74">
        <f t="shared" si="3"/>
        <v>200000</v>
      </c>
      <c r="O9639" s="65" t="str">
        <f>VLOOKUP(E9639,DATABASE!C:Q,8,false)</f>
        <v>BIAN</v>
      </c>
      <c r="P9639" s="65">
        <f>VLOOKUP(E9639,DATABASE!C:Q,9,False)</f>
        <v>1</v>
      </c>
      <c r="Q9639" s="93" t="str">
        <f>VLOOKUP(E9639,DATABASE!C:Q,4,false)</f>
        <v>GT</v>
      </c>
      <c r="R9639" s="93" t="str">
        <f>VLOOKUP(E9639,DATABASE!C:Q,11,false)</f>
        <v>Tire</v>
      </c>
    </row>
    <row r="9640" ht="22.5" customHeight="1">
      <c r="A9640" s="49"/>
      <c r="C9640" s="400">
        <v>46229.0</v>
      </c>
      <c r="D9640" s="69" t="s">
        <v>2888</v>
      </c>
      <c r="E9640" s="544" t="s">
        <v>248</v>
      </c>
      <c r="F9640" s="387">
        <v>1.0</v>
      </c>
      <c r="G9640" s="140">
        <v>250000.0</v>
      </c>
      <c r="H9640" s="74"/>
      <c r="I9640" s="74">
        <f t="shared" si="7"/>
        <v>250000</v>
      </c>
      <c r="J9640" s="74">
        <f>IF(E9640="SERVICE",I9640-(I9640*50%),Vlookup(E9640,DATABASE!C:Q,10,false)*F9640)</f>
        <v>0</v>
      </c>
      <c r="K9640" s="74">
        <f>VLOOKUP(E9640,DATABASE!C:Q,7,false)</f>
        <v>209816.66</v>
      </c>
      <c r="L9640" s="74">
        <v>209816.66</v>
      </c>
      <c r="M9640" s="74">
        <f t="shared" si="6"/>
        <v>210000</v>
      </c>
      <c r="N9640" s="74">
        <f t="shared" si="3"/>
        <v>40000</v>
      </c>
      <c r="O9640" s="65" t="str">
        <f>VLOOKUP(E9640,DATABASE!C:Q,8,false)</f>
        <v>NON</v>
      </c>
      <c r="P9640" s="65">
        <f>VLOOKUP(E9640,DATABASE!C:Q,9,False)</f>
        <v>0</v>
      </c>
      <c r="Q9640" s="93" t="str">
        <f>VLOOKUP(E9640,DATABASE!C:Q,4,false)</f>
        <v>Pertamina</v>
      </c>
      <c r="R9640" s="93" t="str">
        <f>VLOOKUP(E9640,DATABASE!C:Q,11,false)</f>
        <v>OIL</v>
      </c>
    </row>
    <row r="9641" ht="22.5" customHeight="1">
      <c r="A9641" s="49"/>
      <c r="C9641" s="400">
        <v>46230.0</v>
      </c>
      <c r="D9641" s="524">
        <v>433.0</v>
      </c>
      <c r="E9641" s="544" t="s">
        <v>268</v>
      </c>
      <c r="F9641" s="387">
        <v>4.0</v>
      </c>
      <c r="G9641" s="140">
        <v>720000.0</v>
      </c>
      <c r="H9641" s="74"/>
      <c r="I9641" s="74">
        <f t="shared" si="7"/>
        <v>2880000</v>
      </c>
      <c r="J9641" s="74">
        <f>IF(E9641="SERVICE",I9641-(I9641*50%),Vlookup(E9641,DATABASE!C:Q,10,false)*F9641)</f>
        <v>0</v>
      </c>
      <c r="K9641" s="74">
        <f>VLOOKUP(E9641,DATABASE!C:Q,7,false)</f>
        <v>653000</v>
      </c>
      <c r="L9641" s="74">
        <v>634500.0</v>
      </c>
      <c r="M9641" s="74">
        <f t="shared" si="6"/>
        <v>635000</v>
      </c>
      <c r="N9641" s="74">
        <f t="shared" si="3"/>
        <v>340000</v>
      </c>
      <c r="O9641" s="65" t="str">
        <f>VLOOKUP(E9641,DATABASE!C:Q,8,false)</f>
        <v>IBU</v>
      </c>
      <c r="P9641" s="65">
        <f>VLOOKUP(E9641,DATABASE!C:Q,9,False)</f>
        <v>1</v>
      </c>
      <c r="Q9641" s="93" t="str">
        <f>VLOOKUP(E9641,DATABASE!C:Q,4,false)</f>
        <v>Dunlop</v>
      </c>
      <c r="R9641" s="93" t="str">
        <f>VLOOKUP(E9641,DATABASE!C:Q,11,false)</f>
        <v>Tire</v>
      </c>
    </row>
    <row r="9642" ht="22.5" customHeight="1">
      <c r="A9642" s="49"/>
      <c r="C9642" s="400">
        <v>46230.0</v>
      </c>
      <c r="D9642" s="69">
        <v>433.0</v>
      </c>
      <c r="E9642" s="544" t="s">
        <v>299</v>
      </c>
      <c r="F9642" s="387">
        <v>2.0</v>
      </c>
      <c r="G9642" s="140">
        <v>30000.0</v>
      </c>
      <c r="H9642" s="74"/>
      <c r="I9642" s="74">
        <f t="shared" si="7"/>
        <v>60000</v>
      </c>
      <c r="J9642" s="74">
        <f>IF(E9642="SERVICE",I9642-(I9642*50%),Vlookup(E9642,DATABASE!C:Q,10,false)*F9642)</f>
        <v>0</v>
      </c>
      <c r="K9642" s="74">
        <f>VLOOKUP(E9642,DATABASE!C:Q,7,false)</f>
        <v>10000</v>
      </c>
      <c r="L9642" s="74">
        <v>10000.0</v>
      </c>
      <c r="M9642" s="74">
        <f t="shared" si="6"/>
        <v>10000</v>
      </c>
      <c r="N9642" s="74">
        <f t="shared" si="3"/>
        <v>40000</v>
      </c>
      <c r="O9642" s="65" t="str">
        <f>VLOOKUP(E9642,DATABASE!C:Q,8,false)</f>
        <v>BIAN</v>
      </c>
      <c r="P9642" s="65">
        <f>VLOOKUP(E9642,DATABASE!C:Q,9,False)</f>
        <v>0</v>
      </c>
      <c r="Q9642" s="93" t="str">
        <f>VLOOKUP(E9642,DATABASE!C:Q,4,false)</f>
        <v>Balancing</v>
      </c>
      <c r="R9642" s="93" t="str">
        <f>VLOOKUP(E9642,DATABASE!C:Q,11,false)</f>
        <v>COMPLEMENTARY</v>
      </c>
    </row>
    <row r="9643" ht="22.5" customHeight="1">
      <c r="A9643" s="49"/>
      <c r="C9643" s="400">
        <v>46230.0</v>
      </c>
      <c r="D9643" s="524">
        <v>434.0</v>
      </c>
      <c r="E9643" s="544" t="s">
        <v>268</v>
      </c>
      <c r="F9643" s="387">
        <v>2.0</v>
      </c>
      <c r="G9643" s="140">
        <v>720000.0</v>
      </c>
      <c r="H9643" s="74"/>
      <c r="I9643" s="74">
        <f t="shared" si="7"/>
        <v>1440000</v>
      </c>
      <c r="J9643" s="74">
        <f>IF(E9643="SERVICE",I9643-(I9643*50%),Vlookup(E9643,DATABASE!C:Q,10,false)*F9643)</f>
        <v>0</v>
      </c>
      <c r="K9643" s="74">
        <f>VLOOKUP(E9643,DATABASE!C:Q,7,false)</f>
        <v>653000</v>
      </c>
      <c r="L9643" s="74">
        <v>634500.0</v>
      </c>
      <c r="M9643" s="74">
        <f t="shared" si="6"/>
        <v>635000</v>
      </c>
      <c r="N9643" s="74">
        <f t="shared" si="3"/>
        <v>170000</v>
      </c>
      <c r="O9643" s="65" t="str">
        <f>VLOOKUP(E9643,DATABASE!C:Q,8,false)</f>
        <v>IBU</v>
      </c>
      <c r="P9643" s="65">
        <f>VLOOKUP(E9643,DATABASE!C:Q,9,False)</f>
        <v>1</v>
      </c>
      <c r="Q9643" s="93" t="str">
        <f>VLOOKUP(E9643,DATABASE!C:Q,4,false)</f>
        <v>Dunlop</v>
      </c>
      <c r="R9643" s="93" t="str">
        <f>VLOOKUP(E9643,DATABASE!C:Q,11,false)</f>
        <v>Tire</v>
      </c>
    </row>
    <row r="9644" ht="22.5" customHeight="1">
      <c r="A9644" s="49"/>
      <c r="C9644" s="400">
        <v>46230.0</v>
      </c>
      <c r="D9644" s="524">
        <v>436.0</v>
      </c>
      <c r="E9644" s="544" t="s">
        <v>932</v>
      </c>
      <c r="F9644" s="387">
        <v>2.0</v>
      </c>
      <c r="G9644" s="140">
        <v>690000.0</v>
      </c>
      <c r="H9644" s="74"/>
      <c r="I9644" s="74">
        <f t="shared" si="7"/>
        <v>1380000</v>
      </c>
      <c r="J9644" s="74">
        <f>IF(E9644="SERVICE",I9644-(I9644*50%),Vlookup(E9644,DATABASE!C:Q,10,false)*F9644)</f>
        <v>0</v>
      </c>
      <c r="K9644" s="74">
        <f>VLOOKUP(E9644,DATABASE!C:Q,7,false)</f>
        <v>601000</v>
      </c>
      <c r="L9644" s="74">
        <v>601000.0</v>
      </c>
      <c r="M9644" s="74">
        <f t="shared" si="6"/>
        <v>605000</v>
      </c>
      <c r="N9644" s="74">
        <f t="shared" si="3"/>
        <v>170000</v>
      </c>
      <c r="O9644" s="65" t="str">
        <f>VLOOKUP(E9644,DATABASE!C:Q,8,false)</f>
        <v>IBU</v>
      </c>
      <c r="P9644" s="65">
        <f>VLOOKUP(E9644,DATABASE!C:Q,9,False)</f>
        <v>1</v>
      </c>
      <c r="Q9644" s="93" t="str">
        <f>VLOOKUP(E9644,DATABASE!C:Q,4,false)</f>
        <v>Dunlop</v>
      </c>
      <c r="R9644" s="93" t="str">
        <f>VLOOKUP(E9644,DATABASE!C:Q,11,false)</f>
        <v>Tire</v>
      </c>
    </row>
    <row r="9645" ht="22.5" customHeight="1">
      <c r="A9645" s="49"/>
      <c r="C9645" s="400">
        <v>46230.0</v>
      </c>
      <c r="D9645" s="524">
        <v>438.0</v>
      </c>
      <c r="E9645" s="544" t="s">
        <v>777</v>
      </c>
      <c r="F9645" s="387">
        <v>2.0</v>
      </c>
      <c r="G9645" s="140">
        <v>610000.0</v>
      </c>
      <c r="H9645" s="74"/>
      <c r="I9645" s="74">
        <f t="shared" si="7"/>
        <v>1220000</v>
      </c>
      <c r="J9645" s="74">
        <f>IF(E9645="SERVICE",I9645-(I9645*50%),Vlookup(E9645,DATABASE!C:Q,10,false)*F9645)</f>
        <v>0</v>
      </c>
      <c r="K9645" s="74">
        <f>VLOOKUP(E9645,DATABASE!C:Q,7,false)</f>
        <v>540000</v>
      </c>
      <c r="L9645" s="140">
        <v>520000.0</v>
      </c>
      <c r="M9645" s="74">
        <f t="shared" si="6"/>
        <v>520000</v>
      </c>
      <c r="N9645" s="74">
        <f t="shared" si="3"/>
        <v>180000</v>
      </c>
      <c r="O9645" s="65" t="str">
        <f>VLOOKUP(E9645,DATABASE!C:Q,8,false)</f>
        <v>BIAN</v>
      </c>
      <c r="P9645" s="65">
        <f>VLOOKUP(E9645,DATABASE!C:Q,9,False)</f>
        <v>1</v>
      </c>
      <c r="Q9645" s="93" t="str">
        <f>VLOOKUP(E9645,DATABASE!C:Q,4,false)</f>
        <v>GT</v>
      </c>
      <c r="R9645" s="93" t="str">
        <f>VLOOKUP(E9645,DATABASE!C:Q,11,false)</f>
        <v>Tire</v>
      </c>
    </row>
    <row r="9646" ht="22.5" customHeight="1">
      <c r="A9646" s="49"/>
      <c r="C9646" s="400">
        <v>46230.0</v>
      </c>
      <c r="D9646" s="524">
        <v>439.0</v>
      </c>
      <c r="E9646" s="544" t="s">
        <v>2019</v>
      </c>
      <c r="F9646" s="387">
        <v>2.0</v>
      </c>
      <c r="G9646" s="140">
        <v>710000.0</v>
      </c>
      <c r="H9646" s="74"/>
      <c r="I9646" s="74">
        <f t="shared" si="7"/>
        <v>1420000</v>
      </c>
      <c r="J9646" s="74">
        <f>IF(E9646="SERVICE",I9646-(I9646*50%),Vlookup(E9646,DATABASE!C:Q,10,false)*F9646)</f>
        <v>0</v>
      </c>
      <c r="K9646" s="74">
        <f>VLOOKUP(E9646,DATABASE!C:Q,7,false)</f>
        <v>620000</v>
      </c>
      <c r="L9646" s="140">
        <v>620000.0</v>
      </c>
      <c r="M9646" s="74">
        <f t="shared" si="6"/>
        <v>620000</v>
      </c>
      <c r="N9646" s="74">
        <f t="shared" si="3"/>
        <v>180000</v>
      </c>
      <c r="O9646" s="65" t="str">
        <f>VLOOKUP(E9646,DATABASE!C:Q,8,false)</f>
        <v>BIAN</v>
      </c>
      <c r="P9646" s="65">
        <f>VLOOKUP(E9646,DATABASE!C:Q,9,False)</f>
        <v>1</v>
      </c>
      <c r="Q9646" s="93" t="str">
        <f>VLOOKUP(E9646,DATABASE!C:Q,4,false)</f>
        <v>GT</v>
      </c>
      <c r="R9646" s="93" t="str">
        <f>VLOOKUP(E9646,DATABASE!C:Q,11,false)</f>
        <v>Tire</v>
      </c>
    </row>
    <row r="9647" ht="22.5" customHeight="1">
      <c r="A9647" s="49"/>
      <c r="C9647" s="400">
        <v>46230.0</v>
      </c>
      <c r="D9647" s="524">
        <v>440.0</v>
      </c>
      <c r="E9647" s="544" t="s">
        <v>268</v>
      </c>
      <c r="F9647" s="387">
        <v>2.0</v>
      </c>
      <c r="G9647" s="140">
        <v>720000.0</v>
      </c>
      <c r="H9647" s="74"/>
      <c r="I9647" s="74">
        <f t="shared" si="7"/>
        <v>1440000</v>
      </c>
      <c r="J9647" s="74">
        <f>IF(E9647="SERVICE",I9647-(I9647*50%),Vlookup(E9647,DATABASE!C:Q,10,false)*F9647)</f>
        <v>0</v>
      </c>
      <c r="K9647" s="74">
        <f>VLOOKUP(E9647,DATABASE!C:Q,7,false)</f>
        <v>653000</v>
      </c>
      <c r="L9647" s="74">
        <v>634500.0</v>
      </c>
      <c r="M9647" s="74">
        <f t="shared" si="6"/>
        <v>635000</v>
      </c>
      <c r="N9647" s="74">
        <f t="shared" si="3"/>
        <v>170000</v>
      </c>
      <c r="O9647" s="65" t="str">
        <f>VLOOKUP(E9647,DATABASE!C:Q,8,false)</f>
        <v>IBU</v>
      </c>
      <c r="P9647" s="65">
        <f>VLOOKUP(E9647,DATABASE!C:Q,9,False)</f>
        <v>1</v>
      </c>
      <c r="Q9647" s="93" t="str">
        <f>VLOOKUP(E9647,DATABASE!C:Q,4,false)</f>
        <v>Dunlop</v>
      </c>
      <c r="R9647" s="93" t="str">
        <f>VLOOKUP(E9647,DATABASE!C:Q,11,false)</f>
        <v>Tire</v>
      </c>
    </row>
    <row r="9648" ht="22.5" customHeight="1">
      <c r="A9648" s="49"/>
      <c r="C9648" s="400">
        <v>46230.0</v>
      </c>
      <c r="D9648" s="524">
        <v>443.0</v>
      </c>
      <c r="E9648" s="544" t="s">
        <v>2611</v>
      </c>
      <c r="F9648" s="387">
        <v>1.0</v>
      </c>
      <c r="G9648" s="140">
        <v>115000.0</v>
      </c>
      <c r="H9648" s="74"/>
      <c r="I9648" s="74">
        <f t="shared" si="7"/>
        <v>115000</v>
      </c>
      <c r="J9648" s="74">
        <f>IF(E9648="SERVICE",I9648-(I9648*50%),Vlookup(E9648,DATABASE!C:Q,10,false)*F9648)</f>
        <v>0</v>
      </c>
      <c r="K9648" s="74">
        <f>VLOOKUP(E9648,DATABASE!C:Q,7,false)</f>
        <v>81000</v>
      </c>
      <c r="L9648" s="74">
        <v>81000.0</v>
      </c>
      <c r="M9648" s="74">
        <f t="shared" si="6"/>
        <v>85000</v>
      </c>
      <c r="N9648" s="74">
        <f t="shared" si="3"/>
        <v>30000</v>
      </c>
      <c r="O9648" s="65" t="str">
        <f>VLOOKUP(E9648,DATABASE!C:Q,8,false)</f>
        <v>BIAN</v>
      </c>
      <c r="P9648" s="65">
        <f>VLOOKUP(E9648,DATABASE!C:Q,9,False)</f>
        <v>1</v>
      </c>
      <c r="Q9648" s="93" t="str">
        <f>VLOOKUP(E9648,DATABASE!C:Q,4,false)</f>
        <v>BD IBK</v>
      </c>
      <c r="R9648" s="93" t="str">
        <f>VLOOKUP(E9648,DATABASE!C:Q,11,false)</f>
        <v>Tire</v>
      </c>
    </row>
    <row r="9649" ht="22.5" customHeight="1">
      <c r="A9649" s="49"/>
      <c r="C9649" s="400">
        <v>46230.0</v>
      </c>
      <c r="D9649" s="524">
        <v>444.0</v>
      </c>
      <c r="E9649" s="544" t="s">
        <v>1076</v>
      </c>
      <c r="F9649" s="387">
        <v>1.0</v>
      </c>
      <c r="G9649" s="140">
        <v>770000.0</v>
      </c>
      <c r="H9649" s="74"/>
      <c r="I9649" s="74">
        <f t="shared" si="7"/>
        <v>770000</v>
      </c>
      <c r="J9649" s="74">
        <f>IF(E9649="SERVICE",I9649-(I9649*50%),Vlookup(E9649,DATABASE!C:Q,10,false)*F9649)</f>
        <v>0</v>
      </c>
      <c r="K9649" s="74">
        <f>VLOOKUP(E9649,DATABASE!C:Q,7,false)</f>
        <v>666540</v>
      </c>
      <c r="L9649" s="74">
        <v>666540.0</v>
      </c>
      <c r="M9649" s="74">
        <f t="shared" si="6"/>
        <v>670000</v>
      </c>
      <c r="N9649" s="74">
        <f t="shared" si="3"/>
        <v>100000</v>
      </c>
      <c r="O9649" s="65" t="str">
        <f>VLOOKUP(E9649,DATABASE!C:Q,8,false)</f>
        <v>BIAN</v>
      </c>
      <c r="P9649" s="65">
        <f>VLOOKUP(E9649,DATABASE!C:Q,9,False)</f>
        <v>1</v>
      </c>
      <c r="Q9649" s="93" t="str">
        <f>VLOOKUP(E9649,DATABASE!C:Q,4,false)</f>
        <v>GT</v>
      </c>
      <c r="R9649" s="93" t="str">
        <f>VLOOKUP(E9649,DATABASE!C:Q,11,false)</f>
        <v>Tire</v>
      </c>
    </row>
    <row r="9650" ht="22.5" customHeight="1">
      <c r="A9650" s="49"/>
      <c r="C9650" s="400">
        <v>46230.0</v>
      </c>
      <c r="D9650" s="524">
        <v>445.0</v>
      </c>
      <c r="E9650" s="544" t="s">
        <v>1439</v>
      </c>
      <c r="F9650" s="387">
        <v>2.0</v>
      </c>
      <c r="G9650" s="140">
        <v>645000.0</v>
      </c>
      <c r="H9650" s="74"/>
      <c r="I9650" s="74">
        <f t="shared" si="7"/>
        <v>1290000</v>
      </c>
      <c r="J9650" s="74">
        <f>IF(E9650="SERVICE",I9650-(I9650*50%),Vlookup(E9650,DATABASE!C:Q,10,false)*F9650)</f>
        <v>0</v>
      </c>
      <c r="K9650" s="74">
        <f>VLOOKUP(E9650,DATABASE!C:Q,7,false)</f>
        <v>556800</v>
      </c>
      <c r="L9650" s="74">
        <v>556800.0</v>
      </c>
      <c r="M9650" s="74">
        <f t="shared" si="6"/>
        <v>560000</v>
      </c>
      <c r="N9650" s="74">
        <f t="shared" si="3"/>
        <v>170000</v>
      </c>
      <c r="O9650" s="65" t="str">
        <f>VLOOKUP(E9650,DATABASE!C:Q,8,false)</f>
        <v>BIAN</v>
      </c>
      <c r="P9650" s="65">
        <f>VLOOKUP(E9650,DATABASE!C:Q,9,False)</f>
        <v>1</v>
      </c>
      <c r="Q9650" s="93" t="str">
        <f>VLOOKUP(E9650,DATABASE!C:Q,4,false)</f>
        <v>GT</v>
      </c>
      <c r="R9650" s="93" t="str">
        <f>VLOOKUP(E9650,DATABASE!C:Q,11,false)</f>
        <v>Tire</v>
      </c>
    </row>
    <row r="9651" ht="22.5" customHeight="1">
      <c r="A9651" s="49"/>
      <c r="C9651" s="400">
        <v>46230.0</v>
      </c>
      <c r="D9651" s="524">
        <v>446.0</v>
      </c>
      <c r="E9651" s="544" t="s">
        <v>256</v>
      </c>
      <c r="F9651" s="387">
        <v>1.0</v>
      </c>
      <c r="G9651" s="140">
        <v>175000.0</v>
      </c>
      <c r="H9651" s="140">
        <v>25000.0</v>
      </c>
      <c r="I9651" s="74">
        <f t="shared" si="7"/>
        <v>150000</v>
      </c>
      <c r="J9651" s="74">
        <f>IF(E9651="SERVICE",I9651-(I9651*50%),Vlookup(E9651,DATABASE!C:Q,10,false)*F9651)</f>
        <v>10000</v>
      </c>
      <c r="K9651" s="74">
        <f>VLOOKUP(E9651,DATABASE!C:Q,7,false)</f>
        <v>0</v>
      </c>
      <c r="L9651" s="74">
        <v>0.0</v>
      </c>
      <c r="M9651" s="74">
        <f t="shared" si="6"/>
        <v>0</v>
      </c>
      <c r="N9651" s="74">
        <f t="shared" si="3"/>
        <v>140000</v>
      </c>
      <c r="O9651" s="65" t="str">
        <f>VLOOKUP(E9651,DATABASE!C:Q,8,false)</f>
        <v>IBU</v>
      </c>
      <c r="P9651" s="65">
        <f>VLOOKUP(E9651,DATABASE!C:Q,9,False)</f>
        <v>0</v>
      </c>
      <c r="Q9651" s="93" t="str">
        <f>VLOOKUP(E9651,DATABASE!C:Q,4,false)</f>
        <v>SPOORING</v>
      </c>
      <c r="R9651" s="93" t="str">
        <f>VLOOKUP(E9651,DATABASE!C:Q,11,false)</f>
        <v>SERVICE</v>
      </c>
    </row>
    <row r="9652" ht="22.5" customHeight="1">
      <c r="A9652" s="49"/>
      <c r="C9652" s="400">
        <v>46230.0</v>
      </c>
      <c r="D9652" s="524">
        <v>446.0</v>
      </c>
      <c r="E9652" s="544" t="s">
        <v>301</v>
      </c>
      <c r="F9652" s="387">
        <v>1.0</v>
      </c>
      <c r="G9652" s="140">
        <v>250000.0</v>
      </c>
      <c r="H9652" s="74"/>
      <c r="I9652" s="74">
        <f t="shared" si="7"/>
        <v>250000</v>
      </c>
      <c r="J9652" s="74">
        <f>IF(E9652="SERVICE",I9652-(I9652*50%),Vlookup(E9652,DATABASE!C:Q,10,false)*F9652)</f>
        <v>75000</v>
      </c>
      <c r="K9652" s="74">
        <f>VLOOKUP(E9652,DATABASE!C:Q,7,false)</f>
        <v>75000</v>
      </c>
      <c r="L9652" s="74">
        <v>75000.0</v>
      </c>
      <c r="M9652" s="74">
        <f t="shared" si="6"/>
        <v>75000</v>
      </c>
      <c r="N9652" s="74">
        <f t="shared" si="3"/>
        <v>100000</v>
      </c>
      <c r="O9652" s="65" t="str">
        <f>VLOOKUP(E9652,DATABASE!C:Q,8,false)</f>
        <v>BIAN</v>
      </c>
      <c r="P9652" s="65">
        <f>VLOOKUP(E9652,DATABASE!C:Q,9,False)</f>
        <v>0</v>
      </c>
      <c r="Q9652" s="93" t="str">
        <f>VLOOKUP(E9652,DATABASE!C:Q,4,false)</f>
        <v>Baut Camber</v>
      </c>
      <c r="R9652" s="93" t="str">
        <f>VLOOKUP(E9652,DATABASE!C:Q,11,false)</f>
        <v>COMPLEMENTARY</v>
      </c>
    </row>
    <row r="9653" ht="22.5" customHeight="1">
      <c r="A9653" s="49"/>
      <c r="C9653" s="400">
        <v>46230.0</v>
      </c>
      <c r="D9653" s="524">
        <v>446.0</v>
      </c>
      <c r="E9653" s="544" t="s">
        <v>299</v>
      </c>
      <c r="F9653" s="387">
        <v>2.0</v>
      </c>
      <c r="G9653" s="140">
        <v>30000.0</v>
      </c>
      <c r="H9653" s="74"/>
      <c r="I9653" s="74">
        <f t="shared" si="7"/>
        <v>60000</v>
      </c>
      <c r="J9653" s="74">
        <f>IF(E9653="SERVICE",I9653-(I9653*50%),Vlookup(E9653,DATABASE!C:Q,10,false)*F9653)</f>
        <v>0</v>
      </c>
      <c r="K9653" s="74">
        <f>VLOOKUP(E9653,DATABASE!C:Q,7,false)</f>
        <v>10000</v>
      </c>
      <c r="L9653" s="74">
        <v>10000.0</v>
      </c>
      <c r="M9653" s="74">
        <f t="shared" si="6"/>
        <v>10000</v>
      </c>
      <c r="N9653" s="74">
        <f t="shared" si="3"/>
        <v>40000</v>
      </c>
      <c r="O9653" s="65" t="str">
        <f>VLOOKUP(E9653,DATABASE!C:Q,8,false)</f>
        <v>BIAN</v>
      </c>
      <c r="P9653" s="65">
        <f>VLOOKUP(E9653,DATABASE!C:Q,9,False)</f>
        <v>0</v>
      </c>
      <c r="Q9653" s="93" t="str">
        <f>VLOOKUP(E9653,DATABASE!C:Q,4,false)</f>
        <v>Balancing</v>
      </c>
      <c r="R9653" s="93" t="str">
        <f>VLOOKUP(E9653,DATABASE!C:Q,11,false)</f>
        <v>COMPLEMENTARY</v>
      </c>
    </row>
    <row r="9654" ht="22.5" customHeight="1">
      <c r="A9654" s="49"/>
      <c r="C9654" s="400">
        <v>46230.0</v>
      </c>
      <c r="D9654" s="524">
        <v>447.0</v>
      </c>
      <c r="E9654" s="544" t="s">
        <v>268</v>
      </c>
      <c r="F9654" s="387">
        <v>2.0</v>
      </c>
      <c r="G9654" s="140">
        <v>720000.0</v>
      </c>
      <c r="H9654" s="74"/>
      <c r="I9654" s="74">
        <f t="shared" si="7"/>
        <v>1440000</v>
      </c>
      <c r="J9654" s="74">
        <f>IF(E9654="SERVICE",I9654-(I9654*50%),Vlookup(E9654,DATABASE!C:Q,10,false)*F9654)</f>
        <v>0</v>
      </c>
      <c r="K9654" s="74">
        <f>VLOOKUP(E9654,DATABASE!C:Q,7,false)</f>
        <v>653000</v>
      </c>
      <c r="L9654" s="74">
        <v>634500.0</v>
      </c>
      <c r="M9654" s="74">
        <f t="shared" si="6"/>
        <v>635000</v>
      </c>
      <c r="N9654" s="74">
        <f t="shared" si="3"/>
        <v>170000</v>
      </c>
      <c r="O9654" s="65" t="str">
        <f>VLOOKUP(E9654,DATABASE!C:Q,8,false)</f>
        <v>IBU</v>
      </c>
      <c r="P9654" s="65">
        <f>VLOOKUP(E9654,DATABASE!C:Q,9,False)</f>
        <v>1</v>
      </c>
      <c r="Q9654" s="93" t="str">
        <f>VLOOKUP(E9654,DATABASE!C:Q,4,false)</f>
        <v>Dunlop</v>
      </c>
      <c r="R9654" s="93" t="str">
        <f>VLOOKUP(E9654,DATABASE!C:Q,11,false)</f>
        <v>Tire</v>
      </c>
    </row>
    <row r="9655" ht="22.5" customHeight="1">
      <c r="A9655" s="49"/>
      <c r="C9655" s="400">
        <v>46231.0</v>
      </c>
      <c r="D9655" s="524">
        <v>448.0</v>
      </c>
      <c r="E9655" s="544" t="s">
        <v>1439</v>
      </c>
      <c r="F9655" s="387">
        <v>2.0</v>
      </c>
      <c r="G9655" s="140">
        <v>645000.0</v>
      </c>
      <c r="H9655" s="140">
        <v>5000.0</v>
      </c>
      <c r="I9655" s="74">
        <f t="shared" si="7"/>
        <v>1280000</v>
      </c>
      <c r="J9655" s="74">
        <f>IF(E9655="SERVICE",I9655-(I9655*50%),Vlookup(E9655,DATABASE!C:Q,10,false)*F9655)</f>
        <v>0</v>
      </c>
      <c r="K9655" s="74">
        <f>VLOOKUP(E9655,DATABASE!C:Q,7,false)</f>
        <v>556800</v>
      </c>
      <c r="L9655" s="74">
        <v>556800.0</v>
      </c>
      <c r="M9655" s="74">
        <f t="shared" si="6"/>
        <v>560000</v>
      </c>
      <c r="N9655" s="74">
        <f t="shared" si="3"/>
        <v>160000</v>
      </c>
      <c r="O9655" s="65" t="str">
        <f>VLOOKUP(E9655,DATABASE!C:Q,8,false)</f>
        <v>BIAN</v>
      </c>
      <c r="P9655" s="65">
        <f>VLOOKUP(E9655,DATABASE!C:Q,9,False)</f>
        <v>1</v>
      </c>
      <c r="Q9655" s="93" t="str">
        <f>VLOOKUP(E9655,DATABASE!C:Q,4,false)</f>
        <v>GT</v>
      </c>
      <c r="R9655" s="93" t="str">
        <f>VLOOKUP(E9655,DATABASE!C:Q,11,false)</f>
        <v>Tire</v>
      </c>
    </row>
    <row r="9656" ht="22.5" customHeight="1">
      <c r="A9656" s="49"/>
      <c r="C9656" s="400">
        <v>46231.0</v>
      </c>
      <c r="D9656" s="524">
        <v>449.0</v>
      </c>
      <c r="E9656" s="544" t="s">
        <v>262</v>
      </c>
      <c r="F9656" s="387">
        <v>1.0</v>
      </c>
      <c r="G9656" s="140">
        <v>130000.0</v>
      </c>
      <c r="H9656" s="74"/>
      <c r="I9656" s="74">
        <f t="shared" si="7"/>
        <v>130000</v>
      </c>
      <c r="J9656" s="74">
        <f>IF(E9656="SERVICE",I9656-(I9656*50%),Vlookup(E9656,DATABASE!C:Q,10,false)*F9656)</f>
        <v>5000</v>
      </c>
      <c r="K9656" s="74">
        <f>VLOOKUP(E9656,DATABASE!C:Q,7,false)</f>
        <v>0</v>
      </c>
      <c r="L9656" s="74">
        <v>0.0</v>
      </c>
      <c r="M9656" s="74">
        <f t="shared" si="6"/>
        <v>0</v>
      </c>
      <c r="N9656" s="74">
        <f t="shared" si="3"/>
        <v>125000</v>
      </c>
      <c r="O9656" s="65" t="str">
        <f>VLOOKUP(E9656,DATABASE!C:Q,8,false)</f>
        <v>IBU</v>
      </c>
      <c r="P9656" s="65">
        <f>VLOOKUP(E9656,DATABASE!C:Q,9,False)</f>
        <v>0</v>
      </c>
      <c r="Q9656" s="93" t="str">
        <f>VLOOKUP(E9656,DATABASE!C:Q,4,false)</f>
        <v>SPOORING SS/CARRY LOS BAK</v>
      </c>
      <c r="R9656" s="93" t="str">
        <f>VLOOKUP(E9656,DATABASE!C:Q,11,false)</f>
        <v>SERVICE</v>
      </c>
    </row>
    <row r="9657" ht="22.5" customHeight="1">
      <c r="A9657" s="49"/>
      <c r="C9657" s="400">
        <v>46231.0</v>
      </c>
      <c r="D9657" s="524">
        <v>449.0</v>
      </c>
      <c r="E9657" s="544" t="s">
        <v>2206</v>
      </c>
      <c r="F9657" s="387">
        <v>1.0</v>
      </c>
      <c r="G9657" s="140">
        <v>200000.0</v>
      </c>
      <c r="H9657" s="74"/>
      <c r="I9657" s="74">
        <f t="shared" si="7"/>
        <v>200000</v>
      </c>
      <c r="J9657" s="74">
        <f>IF(E9657="SERVICE",I9657-(I9657*50%),Vlookup(E9657,DATABASE!C:Q,10,false)*F9657)</f>
        <v>40000</v>
      </c>
      <c r="K9657" s="74">
        <f>VLOOKUP(E9657,DATABASE!C:Q,7,false)</f>
        <v>95450</v>
      </c>
      <c r="L9657" s="74">
        <v>95450.0</v>
      </c>
      <c r="M9657" s="74">
        <f t="shared" si="6"/>
        <v>100000</v>
      </c>
      <c r="N9657" s="74">
        <f t="shared" si="3"/>
        <v>60000</v>
      </c>
      <c r="O9657" s="65" t="str">
        <f>VLOOKUP(E9657,DATABASE!C:Q,8,false)</f>
        <v>IBU</v>
      </c>
      <c r="P9657" s="69">
        <v>1.0</v>
      </c>
      <c r="Q9657" s="93" t="str">
        <f>VLOOKUP(E9657,DATABASE!C:Q,4,false)</f>
        <v>TIEROD</v>
      </c>
      <c r="R9657" s="93" t="str">
        <f>VLOOKUP(E9657,DATABASE!C:Q,11,false)</f>
        <v>COMPLEMENTARY</v>
      </c>
    </row>
    <row r="9658" ht="22.5" customHeight="1">
      <c r="A9658" s="49"/>
      <c r="C9658" s="400">
        <v>46231.0</v>
      </c>
      <c r="D9658" s="524">
        <v>449.0</v>
      </c>
      <c r="E9658" s="544" t="s">
        <v>2636</v>
      </c>
      <c r="F9658" s="387">
        <v>2.0</v>
      </c>
      <c r="G9658" s="140">
        <v>50000.0</v>
      </c>
      <c r="H9658" s="74"/>
      <c r="I9658" s="74">
        <f t="shared" si="7"/>
        <v>100000</v>
      </c>
      <c r="J9658" s="74">
        <f>IF(E9658="SERVICE",I9658-(I9658*50%),Vlookup(E9658,DATABASE!C:Q,10,false)*F9658)</f>
        <v>0</v>
      </c>
      <c r="K9658" s="74">
        <f>VLOOKUP(E9658,DATABASE!C:Q,7,false)</f>
        <v>27375</v>
      </c>
      <c r="L9658" s="74">
        <v>27375.0</v>
      </c>
      <c r="M9658" s="74">
        <f t="shared" si="6"/>
        <v>30000</v>
      </c>
      <c r="N9658" s="74">
        <f t="shared" si="3"/>
        <v>40000</v>
      </c>
      <c r="O9658" s="65" t="str">
        <f>VLOOKUP(E9658,DATABASE!C:Q,8,false)</f>
        <v>NON VPT</v>
      </c>
      <c r="P9658" s="65">
        <f>VLOOKUP(E9658,DATABASE!C:Q,9,False)</f>
        <v>0</v>
      </c>
      <c r="Q9658" s="93" t="str">
        <f>VLOOKUP(E9658,DATABASE!C:Q,4,false)</f>
        <v>JF</v>
      </c>
      <c r="R9658" s="93" t="str">
        <f>VLOOKUP(E9658,DATABASE!C:Q,11,false)</f>
        <v>COMPLEMENTARY</v>
      </c>
    </row>
    <row r="9659" ht="22.5" customHeight="1">
      <c r="A9659" s="49"/>
      <c r="C9659" s="400">
        <v>46231.0</v>
      </c>
      <c r="D9659" s="524">
        <v>449.0</v>
      </c>
      <c r="E9659" s="544" t="s">
        <v>251</v>
      </c>
      <c r="F9659" s="387">
        <v>1.0</v>
      </c>
      <c r="G9659" s="140">
        <v>350000.0</v>
      </c>
      <c r="H9659" s="140">
        <v>230000.0</v>
      </c>
      <c r="I9659" s="74">
        <f t="shared" si="7"/>
        <v>120000</v>
      </c>
      <c r="J9659" s="74">
        <f>IF(E9659="SERVICE",I9659-(I9659*50%),Vlookup(E9659,DATABASE!C:Q,10,false)*F9659)</f>
        <v>60000</v>
      </c>
      <c r="K9659" s="74">
        <f>VLOOKUP(E9659,DATABASE!C:Q,7,false)</f>
        <v>0</v>
      </c>
      <c r="L9659" s="74">
        <v>0.0</v>
      </c>
      <c r="M9659" s="74">
        <f t="shared" si="6"/>
        <v>0</v>
      </c>
      <c r="N9659" s="74">
        <f t="shared" si="3"/>
        <v>60000</v>
      </c>
      <c r="O9659" s="65" t="str">
        <f>VLOOKUP(E9659,DATABASE!C:Q,8,false)</f>
        <v>IBU</v>
      </c>
      <c r="P9659" s="65">
        <f>VLOOKUP(E9659,DATABASE!C:Q,9,False)</f>
        <v>0</v>
      </c>
      <c r="Q9659" s="93" t="str">
        <f>VLOOKUP(E9659,DATABASE!C:Q,4,false)</f>
        <v>SERVICE</v>
      </c>
      <c r="R9659" s="93" t="str">
        <f>VLOOKUP(E9659,DATABASE!C:Q,11,false)</f>
        <v>SERVICE</v>
      </c>
    </row>
    <row r="9660" ht="22.5" customHeight="1">
      <c r="A9660" s="49"/>
      <c r="C9660" s="400">
        <v>46231.0</v>
      </c>
      <c r="D9660" s="524">
        <v>449.0</v>
      </c>
      <c r="E9660" s="544" t="s">
        <v>299</v>
      </c>
      <c r="F9660" s="387">
        <v>2.0</v>
      </c>
      <c r="G9660" s="140">
        <v>30000.0</v>
      </c>
      <c r="H9660" s="74"/>
      <c r="I9660" s="74">
        <f t="shared" si="7"/>
        <v>60000</v>
      </c>
      <c r="J9660" s="74">
        <f>IF(E9660="SERVICE",I9660-(I9660*50%),Vlookup(E9660,DATABASE!C:Q,10,false)*F9660)</f>
        <v>0</v>
      </c>
      <c r="K9660" s="74">
        <f>VLOOKUP(E9660,DATABASE!C:Q,7,false)</f>
        <v>10000</v>
      </c>
      <c r="L9660" s="74">
        <v>10000.0</v>
      </c>
      <c r="M9660" s="74">
        <f t="shared" si="6"/>
        <v>10000</v>
      </c>
      <c r="N9660" s="74">
        <f t="shared" si="3"/>
        <v>40000</v>
      </c>
      <c r="O9660" s="65" t="str">
        <f>VLOOKUP(E9660,DATABASE!C:Q,8,false)</f>
        <v>BIAN</v>
      </c>
      <c r="P9660" s="65">
        <f>VLOOKUP(E9660,DATABASE!C:Q,9,False)</f>
        <v>0</v>
      </c>
      <c r="Q9660" s="93" t="str">
        <f>VLOOKUP(E9660,DATABASE!C:Q,4,false)</f>
        <v>Balancing</v>
      </c>
      <c r="R9660" s="93" t="str">
        <f>VLOOKUP(E9660,DATABASE!C:Q,11,false)</f>
        <v>COMPLEMENTARY</v>
      </c>
    </row>
    <row r="9661" ht="22.5" customHeight="1">
      <c r="A9661" s="49"/>
      <c r="C9661" s="400">
        <v>46231.0</v>
      </c>
      <c r="D9661" s="524">
        <v>450.0</v>
      </c>
      <c r="E9661" s="544" t="s">
        <v>288</v>
      </c>
      <c r="F9661" s="387">
        <v>2.0</v>
      </c>
      <c r="G9661" s="140">
        <v>630000.0</v>
      </c>
      <c r="H9661" s="74"/>
      <c r="I9661" s="74">
        <f t="shared" si="7"/>
        <v>1260000</v>
      </c>
      <c r="J9661" s="74">
        <f>IF(E9661="SERVICE",I9661-(I9661*50%),Vlookup(E9661,DATABASE!C:Q,10,false)*F9661)</f>
        <v>0</v>
      </c>
      <c r="K9661" s="74">
        <f>VLOOKUP(E9661,DATABASE!C:Q,7,false)</f>
        <v>565760</v>
      </c>
      <c r="L9661" s="74">
        <v>540500.0</v>
      </c>
      <c r="M9661" s="74">
        <f t="shared" si="6"/>
        <v>545000</v>
      </c>
      <c r="N9661" s="74">
        <f t="shared" si="3"/>
        <v>170000</v>
      </c>
      <c r="O9661" s="65" t="str">
        <f>VLOOKUP(E9661,DATABASE!C:Q,8,false)</f>
        <v>BIAN</v>
      </c>
      <c r="P9661" s="65">
        <f>VLOOKUP(E9661,DATABASE!C:Q,9,False)</f>
        <v>1</v>
      </c>
      <c r="Q9661" s="93" t="str">
        <f>VLOOKUP(E9661,DATABASE!C:Q,4,false)</f>
        <v>GT</v>
      </c>
      <c r="R9661" s="93" t="str">
        <f>VLOOKUP(E9661,DATABASE!C:Q,11,false)</f>
        <v>Tire</v>
      </c>
    </row>
    <row r="9662" ht="22.5" customHeight="1">
      <c r="A9662" s="49"/>
      <c r="C9662" s="400">
        <v>46231.0</v>
      </c>
      <c r="D9662" s="524">
        <v>450.0</v>
      </c>
      <c r="E9662" s="544" t="s">
        <v>299</v>
      </c>
      <c r="F9662" s="387">
        <v>2.0</v>
      </c>
      <c r="G9662" s="140">
        <v>30000.0</v>
      </c>
      <c r="H9662" s="74"/>
      <c r="I9662" s="74">
        <f t="shared" si="7"/>
        <v>60000</v>
      </c>
      <c r="J9662" s="74">
        <f>IF(E9662="SERVICE",I9662-(I9662*50%),Vlookup(E9662,DATABASE!C:Q,10,false)*F9662)</f>
        <v>0</v>
      </c>
      <c r="K9662" s="74">
        <f>VLOOKUP(E9662,DATABASE!C:Q,7,false)</f>
        <v>10000</v>
      </c>
      <c r="L9662" s="74">
        <v>10000.0</v>
      </c>
      <c r="M9662" s="74">
        <f t="shared" si="6"/>
        <v>10000</v>
      </c>
      <c r="N9662" s="74">
        <f t="shared" si="3"/>
        <v>40000</v>
      </c>
      <c r="O9662" s="65" t="str">
        <f>VLOOKUP(E9662,DATABASE!C:Q,8,false)</f>
        <v>BIAN</v>
      </c>
      <c r="P9662" s="65">
        <f>VLOOKUP(E9662,DATABASE!C:Q,9,False)</f>
        <v>0</v>
      </c>
      <c r="Q9662" s="93" t="str">
        <f>VLOOKUP(E9662,DATABASE!C:Q,4,false)</f>
        <v>Balancing</v>
      </c>
      <c r="R9662" s="93" t="str">
        <f>VLOOKUP(E9662,DATABASE!C:Q,11,false)</f>
        <v>COMPLEMENTARY</v>
      </c>
    </row>
    <row r="9663" ht="22.5" customHeight="1">
      <c r="A9663" s="49"/>
      <c r="C9663" s="400">
        <v>46231.0</v>
      </c>
      <c r="D9663" s="524">
        <v>451.0</v>
      </c>
      <c r="E9663" s="544" t="s">
        <v>839</v>
      </c>
      <c r="F9663" s="387">
        <v>2.0</v>
      </c>
      <c r="G9663" s="140">
        <v>585000.0</v>
      </c>
      <c r="H9663" s="74"/>
      <c r="I9663" s="74">
        <f t="shared" si="7"/>
        <v>1170000</v>
      </c>
      <c r="J9663" s="74">
        <f>IF(E9663="SERVICE",I9663-(I9663*50%),Vlookup(E9663,DATABASE!C:Q,10,false)*F9663)</f>
        <v>0</v>
      </c>
      <c r="K9663" s="74">
        <f>VLOOKUP(E9663,DATABASE!C:Q,7,false)</f>
        <v>512640</v>
      </c>
      <c r="L9663" s="74">
        <v>490100.0</v>
      </c>
      <c r="M9663" s="74">
        <f t="shared" si="6"/>
        <v>495000</v>
      </c>
      <c r="N9663" s="74">
        <f t="shared" si="3"/>
        <v>180000</v>
      </c>
      <c r="O9663" s="65" t="str">
        <f>VLOOKUP(E9663,DATABASE!C:Q,8,false)</f>
        <v>BIAN</v>
      </c>
      <c r="P9663" s="65">
        <f>VLOOKUP(E9663,DATABASE!C:Q,9,False)</f>
        <v>1</v>
      </c>
      <c r="Q9663" s="93" t="str">
        <f>VLOOKUP(E9663,DATABASE!C:Q,4,false)</f>
        <v>GT</v>
      </c>
      <c r="R9663" s="93" t="str">
        <f>VLOOKUP(E9663,DATABASE!C:Q,11,false)</f>
        <v>Tire</v>
      </c>
    </row>
    <row r="9664" ht="22.5" customHeight="1">
      <c r="A9664" s="49"/>
      <c r="C9664" s="400">
        <v>46231.0</v>
      </c>
      <c r="D9664" s="524">
        <v>452.0</v>
      </c>
      <c r="E9664" s="544" t="s">
        <v>256</v>
      </c>
      <c r="F9664" s="387">
        <v>1.0</v>
      </c>
      <c r="G9664" s="140">
        <v>175000.0</v>
      </c>
      <c r="H9664" s="140">
        <v>125000.0</v>
      </c>
      <c r="I9664" s="74">
        <f t="shared" si="7"/>
        <v>50000</v>
      </c>
      <c r="J9664" s="74">
        <f>IF(E9664="SERVICE",I9664-(I9664*50%),Vlookup(E9664,DATABASE!C:Q,10,false)*F9664)</f>
        <v>10000</v>
      </c>
      <c r="K9664" s="74">
        <f>VLOOKUP(E9664,DATABASE!C:Q,7,false)</f>
        <v>0</v>
      </c>
      <c r="L9664" s="74">
        <v>0.0</v>
      </c>
      <c r="M9664" s="74">
        <f t="shared" si="6"/>
        <v>0</v>
      </c>
      <c r="N9664" s="74">
        <f t="shared" si="3"/>
        <v>40000</v>
      </c>
      <c r="O9664" s="65" t="str">
        <f>VLOOKUP(E9664,DATABASE!C:Q,8,false)</f>
        <v>IBU</v>
      </c>
      <c r="P9664" s="65">
        <f>VLOOKUP(E9664,DATABASE!C:Q,9,False)</f>
        <v>0</v>
      </c>
      <c r="Q9664" s="93" t="str">
        <f>VLOOKUP(E9664,DATABASE!C:Q,4,false)</f>
        <v>SPOORING</v>
      </c>
      <c r="R9664" s="93" t="str">
        <f>VLOOKUP(E9664,DATABASE!C:Q,11,false)</f>
        <v>SERVICE</v>
      </c>
    </row>
    <row r="9665" ht="22.5" customHeight="1">
      <c r="A9665" s="49"/>
      <c r="C9665" s="400">
        <v>46231.0</v>
      </c>
      <c r="D9665" s="524">
        <v>452.0</v>
      </c>
      <c r="E9665" s="544" t="s">
        <v>251</v>
      </c>
      <c r="F9665" s="387">
        <v>1.0</v>
      </c>
      <c r="G9665" s="140">
        <v>350000.0</v>
      </c>
      <c r="H9665" s="140">
        <v>270000.0</v>
      </c>
      <c r="I9665" s="74">
        <f t="shared" si="7"/>
        <v>80000</v>
      </c>
      <c r="J9665" s="74">
        <f>IF(E9665="SERVICE",I9665-(I9665*50%),Vlookup(E9665,DATABASE!C:Q,10,false)*F9665)</f>
        <v>40000</v>
      </c>
      <c r="K9665" s="74">
        <f>VLOOKUP(E9665,DATABASE!C:Q,7,false)</f>
        <v>0</v>
      </c>
      <c r="L9665" s="74">
        <v>0.0</v>
      </c>
      <c r="M9665" s="74">
        <f t="shared" si="6"/>
        <v>0</v>
      </c>
      <c r="N9665" s="74">
        <f t="shared" si="3"/>
        <v>40000</v>
      </c>
      <c r="O9665" s="65" t="str">
        <f>VLOOKUP(E9665,DATABASE!C:Q,8,false)</f>
        <v>IBU</v>
      </c>
      <c r="P9665" s="65">
        <f>VLOOKUP(E9665,DATABASE!C:Q,9,False)</f>
        <v>0</v>
      </c>
      <c r="Q9665" s="93" t="str">
        <f>VLOOKUP(E9665,DATABASE!C:Q,4,false)</f>
        <v>SERVICE</v>
      </c>
      <c r="R9665" s="93" t="str">
        <f>VLOOKUP(E9665,DATABASE!C:Q,11,false)</f>
        <v>SERVICE</v>
      </c>
    </row>
    <row r="9666" ht="22.5" customHeight="1">
      <c r="A9666" s="49"/>
      <c r="C9666" s="400">
        <v>46231.0</v>
      </c>
      <c r="D9666" s="524">
        <v>452.0</v>
      </c>
      <c r="E9666" s="544" t="s">
        <v>301</v>
      </c>
      <c r="F9666" s="387">
        <v>1.0</v>
      </c>
      <c r="G9666" s="140">
        <v>250000.0</v>
      </c>
      <c r="H9666" s="74"/>
      <c r="I9666" s="74">
        <f t="shared" si="7"/>
        <v>250000</v>
      </c>
      <c r="J9666" s="74">
        <f>IF(E9666="SERVICE",I9666-(I9666*50%),Vlookup(E9666,DATABASE!C:Q,10,false)*F9666)</f>
        <v>75000</v>
      </c>
      <c r="K9666" s="74">
        <f>VLOOKUP(E9666,DATABASE!C:Q,7,false)</f>
        <v>75000</v>
      </c>
      <c r="L9666" s="74">
        <v>75000.0</v>
      </c>
      <c r="M9666" s="74">
        <f t="shared" si="6"/>
        <v>75000</v>
      </c>
      <c r="N9666" s="74">
        <f t="shared" si="3"/>
        <v>100000</v>
      </c>
      <c r="O9666" s="65" t="str">
        <f>VLOOKUP(E9666,DATABASE!C:Q,8,false)</f>
        <v>BIAN</v>
      </c>
      <c r="P9666" s="65">
        <f>VLOOKUP(E9666,DATABASE!C:Q,9,False)</f>
        <v>0</v>
      </c>
      <c r="Q9666" s="93" t="str">
        <f>VLOOKUP(E9666,DATABASE!C:Q,4,false)</f>
        <v>Baut Camber</v>
      </c>
      <c r="R9666" s="93" t="str">
        <f>VLOOKUP(E9666,DATABASE!C:Q,11,false)</f>
        <v>COMPLEMENTARY</v>
      </c>
    </row>
    <row r="9667" ht="22.5" customHeight="1">
      <c r="A9667" s="49"/>
      <c r="C9667" s="400">
        <v>46231.0</v>
      </c>
      <c r="D9667" s="524">
        <v>453.0</v>
      </c>
      <c r="E9667" s="544" t="s">
        <v>2199</v>
      </c>
      <c r="F9667" s="387">
        <v>1.0</v>
      </c>
      <c r="G9667" s="140">
        <v>20000.0</v>
      </c>
      <c r="H9667" s="140">
        <v>5000.0</v>
      </c>
      <c r="I9667" s="74">
        <f t="shared" si="7"/>
        <v>15000</v>
      </c>
      <c r="J9667" s="74">
        <f>IF(E9667="SERVICE",I9667-(I9667*50%),Vlookup(E9667,DATABASE!C:Q,10,false)*F9667)</f>
        <v>0</v>
      </c>
      <c r="K9667" s="74">
        <f>VLOOKUP(E9667,DATABASE!C:Q,7,false)</f>
        <v>5000</v>
      </c>
      <c r="L9667" s="74">
        <v>5000.0</v>
      </c>
      <c r="M9667" s="74">
        <f t="shared" si="6"/>
        <v>5000</v>
      </c>
      <c r="N9667" s="74">
        <f t="shared" si="3"/>
        <v>10000</v>
      </c>
      <c r="O9667" s="65" t="str">
        <f>VLOOKUP(E9667,DATABASE!C:Q,8,false)</f>
        <v>BIAN</v>
      </c>
      <c r="P9667" s="65">
        <f>VLOOKUP(E9667,DATABASE!C:Q,9,False)</f>
        <v>0</v>
      </c>
      <c r="Q9667" s="93" t="str">
        <f>VLOOKUP(E9667,DATABASE!C:Q,4,false)</f>
        <v>TAMBAL TUBLES</v>
      </c>
      <c r="R9667" s="93" t="str">
        <f>VLOOKUP(E9667,DATABASE!C:Q,11,false)</f>
        <v>COMPLEMENTARY</v>
      </c>
    </row>
    <row r="9668" ht="22.5" customHeight="1">
      <c r="A9668" s="49"/>
      <c r="C9668" s="400">
        <v>46232.0</v>
      </c>
      <c r="D9668" s="524">
        <v>455.0</v>
      </c>
      <c r="E9668" s="544" t="s">
        <v>878</v>
      </c>
      <c r="F9668" s="387">
        <v>4.0</v>
      </c>
      <c r="G9668" s="140">
        <v>50000.0</v>
      </c>
      <c r="H9668" s="140">
        <v>5000.0</v>
      </c>
      <c r="I9668" s="74">
        <f t="shared" si="7"/>
        <v>180000</v>
      </c>
      <c r="J9668" s="74">
        <f>IF(E9668="SERVICE",I9668-(I9668*50%),Vlookup(E9668,DATABASE!C:Q,10,false)*F9668)</f>
        <v>0</v>
      </c>
      <c r="K9668" s="74">
        <f>VLOOKUP(E9668,DATABASE!C:Q,7,false)</f>
        <v>0</v>
      </c>
      <c r="L9668" s="74">
        <v>0.0</v>
      </c>
      <c r="M9668" s="74">
        <f t="shared" si="6"/>
        <v>0</v>
      </c>
      <c r="N9668" s="74">
        <f t="shared" si="3"/>
        <v>180000</v>
      </c>
      <c r="O9668" s="65" t="str">
        <f>VLOOKUP(E9668,DATABASE!C:Q,8,false)</f>
        <v>IBU</v>
      </c>
      <c r="P9668" s="65">
        <f>VLOOKUP(E9668,DATABASE!C:Q,9,False)</f>
        <v>0</v>
      </c>
      <c r="Q9668" s="93" t="str">
        <f>VLOOKUP(E9668,DATABASE!C:Q,4,false)</f>
        <v>Bongkar Pasang 17</v>
      </c>
      <c r="R9668" s="93" t="str">
        <f>VLOOKUP(E9668,DATABASE!C:Q,11,false)</f>
        <v>SERVICE</v>
      </c>
    </row>
    <row r="9669" ht="22.5" customHeight="1">
      <c r="A9669" s="49"/>
      <c r="C9669" s="400">
        <v>46232.0</v>
      </c>
      <c r="D9669" s="524">
        <v>456.0</v>
      </c>
      <c r="E9669" s="544" t="s">
        <v>566</v>
      </c>
      <c r="F9669" s="387">
        <v>2.0</v>
      </c>
      <c r="G9669" s="140">
        <v>1670000.0</v>
      </c>
      <c r="H9669" s="140">
        <v>20000.0</v>
      </c>
      <c r="I9669" s="74">
        <f t="shared" si="7"/>
        <v>3300000</v>
      </c>
      <c r="J9669" s="74">
        <f>IF(E9669="SERVICE",I9669-(I9669*50%),Vlookup(E9669,DATABASE!C:Q,10,false)*F9669)</f>
        <v>0</v>
      </c>
      <c r="K9669" s="74">
        <f>VLOOKUP(E9669,DATABASE!C:Q,7,false)</f>
        <v>1565000</v>
      </c>
      <c r="L9669" s="74">
        <v>1545000.0</v>
      </c>
      <c r="M9669" s="74">
        <f t="shared" si="6"/>
        <v>1545000</v>
      </c>
      <c r="N9669" s="74">
        <f t="shared" si="3"/>
        <v>210000</v>
      </c>
      <c r="O9669" s="65" t="str">
        <f>VLOOKUP(E9669,DATABASE!C:Q,8,false)</f>
        <v>IBU</v>
      </c>
      <c r="P9669" s="65">
        <f>VLOOKUP(E9669,DATABASE!C:Q,9,False)</f>
        <v>1</v>
      </c>
      <c r="Q9669" s="93" t="str">
        <f>VLOOKUP(E9669,DATABASE!C:Q,4,false)</f>
        <v>Bridgestone</v>
      </c>
      <c r="R9669" s="93" t="str">
        <f>VLOOKUP(E9669,DATABASE!C:Q,11,false)</f>
        <v>Tire</v>
      </c>
    </row>
    <row r="9670" ht="22.5" customHeight="1">
      <c r="A9670" s="49"/>
      <c r="C9670" s="400">
        <v>46232.0</v>
      </c>
      <c r="D9670" s="524">
        <v>456.0</v>
      </c>
      <c r="E9670" s="544" t="s">
        <v>821</v>
      </c>
      <c r="F9670" s="387">
        <v>1.0</v>
      </c>
      <c r="G9670" s="140">
        <v>90000.0</v>
      </c>
      <c r="H9670" s="74"/>
      <c r="I9670" s="74">
        <f t="shared" si="7"/>
        <v>90000</v>
      </c>
      <c r="J9670" s="74">
        <f>IF(E9670="SERVICE",I9670-(I9670*50%),Vlookup(E9670,DATABASE!C:Q,10,false)*F9670)</f>
        <v>0</v>
      </c>
      <c r="K9670" s="74">
        <f>VLOOKUP(E9670,DATABASE!C:Q,7,false)</f>
        <v>43500</v>
      </c>
      <c r="L9670" s="74">
        <v>43500.0</v>
      </c>
      <c r="M9670" s="74">
        <f t="shared" si="6"/>
        <v>45000</v>
      </c>
      <c r="N9670" s="74">
        <f t="shared" si="3"/>
        <v>45000</v>
      </c>
      <c r="O9670" s="65" t="str">
        <f>VLOOKUP(E9670,DATABASE!C:Q,8,false)</f>
        <v>BIAN</v>
      </c>
      <c r="P9670" s="65">
        <f>VLOOKUP(E9670,DATABASE!C:Q,9,False)</f>
        <v>1</v>
      </c>
      <c r="Q9670" s="93" t="str">
        <f>VLOOKUP(E9670,DATABASE!C:Q,4,false)</f>
        <v>Flap</v>
      </c>
      <c r="R9670" s="93" t="str">
        <f>VLOOKUP(E9670,DATABASE!C:Q,11,false)</f>
        <v>Tire</v>
      </c>
    </row>
    <row r="9671" ht="22.5" customHeight="1">
      <c r="A9671" s="49"/>
      <c r="C9671" s="400">
        <v>46232.0</v>
      </c>
      <c r="D9671" s="524">
        <v>457.0</v>
      </c>
      <c r="E9671" s="544" t="s">
        <v>286</v>
      </c>
      <c r="F9671" s="387">
        <v>10.0</v>
      </c>
      <c r="G9671" s="140">
        <v>580000.0</v>
      </c>
      <c r="H9671" s="140">
        <v>10000.0</v>
      </c>
      <c r="I9671" s="74">
        <f t="shared" si="7"/>
        <v>5700000</v>
      </c>
      <c r="J9671" s="74">
        <f>IF(E9671="SERVICE",I9671-(I9671*50%),Vlookup(E9671,DATABASE!C:Q,10,false)*F9671)</f>
        <v>0</v>
      </c>
      <c r="K9671" s="74">
        <f>VLOOKUP(E9671,DATABASE!C:Q,7,false)</f>
        <v>488320</v>
      </c>
      <c r="L9671" s="74">
        <v>474240.0</v>
      </c>
      <c r="M9671" s="74">
        <f t="shared" si="6"/>
        <v>475000</v>
      </c>
      <c r="N9671" s="74">
        <f t="shared" si="3"/>
        <v>950000</v>
      </c>
      <c r="O9671" s="65" t="str">
        <f>VLOOKUP(E9671,DATABASE!C:Q,8,false)</f>
        <v>BIAN</v>
      </c>
      <c r="P9671" s="65">
        <f>VLOOKUP(E9671,DATABASE!C:Q,9,False)</f>
        <v>1</v>
      </c>
      <c r="Q9671" s="93" t="str">
        <f>VLOOKUP(E9671,DATABASE!C:Q,4,false)</f>
        <v>GT</v>
      </c>
      <c r="R9671" s="93" t="str">
        <f>VLOOKUP(E9671,DATABASE!C:Q,11,false)</f>
        <v>Tire</v>
      </c>
    </row>
    <row r="9672" ht="22.5" customHeight="1">
      <c r="A9672" s="49"/>
      <c r="C9672" s="400">
        <v>46232.0</v>
      </c>
      <c r="D9672" s="524">
        <v>458.0</v>
      </c>
      <c r="E9672" s="544" t="s">
        <v>262</v>
      </c>
      <c r="F9672" s="387">
        <v>1.0</v>
      </c>
      <c r="G9672" s="140">
        <v>130000.0</v>
      </c>
      <c r="H9672" s="74"/>
      <c r="I9672" s="74">
        <f t="shared" si="7"/>
        <v>130000</v>
      </c>
      <c r="J9672" s="74">
        <f>IF(E9672="SERVICE",I9672-(I9672*50%),Vlookup(E9672,DATABASE!C:Q,10,false)*F9672)</f>
        <v>5000</v>
      </c>
      <c r="K9672" s="74">
        <f>VLOOKUP(E9672,DATABASE!C:Q,7,false)</f>
        <v>0</v>
      </c>
      <c r="L9672" s="74">
        <v>0.0</v>
      </c>
      <c r="M9672" s="74">
        <f t="shared" si="6"/>
        <v>0</v>
      </c>
      <c r="N9672" s="74">
        <f t="shared" si="3"/>
        <v>125000</v>
      </c>
      <c r="O9672" s="65" t="str">
        <f>VLOOKUP(E9672,DATABASE!C:Q,8,false)</f>
        <v>IBU</v>
      </c>
      <c r="P9672" s="65">
        <f>VLOOKUP(E9672,DATABASE!C:Q,9,False)</f>
        <v>0</v>
      </c>
      <c r="Q9672" s="93" t="str">
        <f>VLOOKUP(E9672,DATABASE!C:Q,4,false)</f>
        <v>SPOORING SS/CARRY LOS BAK</v>
      </c>
      <c r="R9672" s="93" t="str">
        <f>VLOOKUP(E9672,DATABASE!C:Q,11,false)</f>
        <v>SERVICE</v>
      </c>
    </row>
    <row r="9673" ht="22.5" customHeight="1">
      <c r="A9673" s="49"/>
      <c r="C9673" s="400">
        <v>46232.0</v>
      </c>
      <c r="D9673" s="524">
        <v>458.0</v>
      </c>
      <c r="E9673" s="544" t="s">
        <v>251</v>
      </c>
      <c r="F9673" s="387">
        <v>1.0</v>
      </c>
      <c r="G9673" s="140">
        <v>350000.0</v>
      </c>
      <c r="H9673" s="140">
        <v>230000.0</v>
      </c>
      <c r="I9673" s="74">
        <f t="shared" si="7"/>
        <v>120000</v>
      </c>
      <c r="J9673" s="74">
        <f>IF(E9673="SERVICE",I9673-(I9673*50%),Vlookup(E9673,DATABASE!C:Q,10,false)*F9673)</f>
        <v>60000</v>
      </c>
      <c r="K9673" s="74">
        <f>VLOOKUP(E9673,DATABASE!C:Q,7,false)</f>
        <v>0</v>
      </c>
      <c r="L9673" s="74">
        <v>0.0</v>
      </c>
      <c r="M9673" s="74">
        <f t="shared" si="6"/>
        <v>0</v>
      </c>
      <c r="N9673" s="74">
        <f t="shared" si="3"/>
        <v>60000</v>
      </c>
      <c r="O9673" s="65" t="str">
        <f>VLOOKUP(E9673,DATABASE!C:Q,8,false)</f>
        <v>IBU</v>
      </c>
      <c r="P9673" s="65">
        <f>VLOOKUP(E9673,DATABASE!C:Q,9,False)</f>
        <v>0</v>
      </c>
      <c r="Q9673" s="93" t="str">
        <f>VLOOKUP(E9673,DATABASE!C:Q,4,false)</f>
        <v>SERVICE</v>
      </c>
      <c r="R9673" s="93" t="str">
        <f>VLOOKUP(E9673,DATABASE!C:Q,11,false)</f>
        <v>SERVICE</v>
      </c>
    </row>
    <row r="9674" ht="22.5" customHeight="1">
      <c r="A9674" s="49"/>
      <c r="C9674" s="400">
        <v>46232.0</v>
      </c>
      <c r="D9674" s="524">
        <v>459.0</v>
      </c>
      <c r="E9674" s="544" t="s">
        <v>1009</v>
      </c>
      <c r="F9674" s="387">
        <v>1.0</v>
      </c>
      <c r="G9674" s="140">
        <v>700000.0</v>
      </c>
      <c r="H9674" s="74"/>
      <c r="I9674" s="74">
        <f t="shared" si="7"/>
        <v>700000</v>
      </c>
      <c r="J9674" s="74">
        <f>IF(E9674="SERVICE",I9674-(I9674*50%),Vlookup(E9674,DATABASE!C:Q,10,false)*F9674)</f>
        <v>0</v>
      </c>
      <c r="K9674" s="74">
        <f>VLOOKUP(E9674,DATABASE!C:Q,7,false)</f>
        <v>609800</v>
      </c>
      <c r="L9674" s="74">
        <v>609800.0</v>
      </c>
      <c r="M9674" s="74">
        <f t="shared" si="6"/>
        <v>610000</v>
      </c>
      <c r="N9674" s="74">
        <f t="shared" si="3"/>
        <v>90000</v>
      </c>
      <c r="O9674" s="65" t="str">
        <f>VLOOKUP(E9674,DATABASE!C:Q,8,false)</f>
        <v>BIAN</v>
      </c>
      <c r="P9674" s="65">
        <f>VLOOKUP(E9674,DATABASE!C:Q,9,False)</f>
        <v>1</v>
      </c>
      <c r="Q9674" s="93" t="str">
        <f>VLOOKUP(E9674,DATABASE!C:Q,4,false)</f>
        <v>GT</v>
      </c>
      <c r="R9674" s="93" t="str">
        <f>VLOOKUP(E9674,DATABASE!C:Q,11,false)</f>
        <v>Tire</v>
      </c>
    </row>
    <row r="9675" ht="22.5" customHeight="1">
      <c r="A9675" s="49"/>
      <c r="C9675" s="400">
        <v>46232.0</v>
      </c>
      <c r="D9675" s="524">
        <v>460.0</v>
      </c>
      <c r="E9675" s="544" t="s">
        <v>957</v>
      </c>
      <c r="F9675" s="387">
        <v>1.0</v>
      </c>
      <c r="G9675" s="140">
        <v>875000.0</v>
      </c>
      <c r="H9675" s="74"/>
      <c r="I9675" s="74">
        <f t="shared" si="7"/>
        <v>875000</v>
      </c>
      <c r="J9675" s="74">
        <f>IF(E9675="SERVICE",I9675-(I9675*50%),Vlookup(E9675,DATABASE!C:Q,10,false)*F9675)</f>
        <v>0</v>
      </c>
      <c r="K9675" s="74">
        <f>VLOOKUP(E9675,DATABASE!C:Q,7,false)</f>
        <v>773337.5</v>
      </c>
      <c r="L9675" s="74">
        <v>773337.5</v>
      </c>
      <c r="M9675" s="74">
        <f t="shared" si="6"/>
        <v>775000</v>
      </c>
      <c r="N9675" s="74">
        <f t="shared" si="3"/>
        <v>100000</v>
      </c>
      <c r="O9675" s="65" t="str">
        <f>VLOOKUP(E9675,DATABASE!C:Q,8,false)</f>
        <v>IBU</v>
      </c>
      <c r="P9675" s="65">
        <f>VLOOKUP(E9675,DATABASE!C:Q,9,False)</f>
        <v>1</v>
      </c>
      <c r="Q9675" s="93" t="str">
        <f>VLOOKUP(E9675,DATABASE!C:Q,4,false)</f>
        <v>Bridgestone</v>
      </c>
      <c r="R9675" s="93" t="str">
        <f>VLOOKUP(E9675,DATABASE!C:Q,11,false)</f>
        <v>Tire</v>
      </c>
    </row>
    <row r="9676" ht="22.5" customHeight="1">
      <c r="A9676" s="49"/>
      <c r="C9676" s="400">
        <v>46233.0</v>
      </c>
      <c r="D9676" s="524">
        <v>461.0</v>
      </c>
      <c r="E9676" s="544" t="s">
        <v>932</v>
      </c>
      <c r="F9676" s="387">
        <v>2.0</v>
      </c>
      <c r="G9676" s="140">
        <v>690000.0</v>
      </c>
      <c r="H9676" s="74"/>
      <c r="I9676" s="74">
        <f t="shared" si="7"/>
        <v>1380000</v>
      </c>
      <c r="J9676" s="74">
        <f>IF(E9676="SERVICE",I9676-(I9676*50%),Vlookup(E9676,DATABASE!C:Q,10,false)*F9676)</f>
        <v>0</v>
      </c>
      <c r="K9676" s="74">
        <f>VLOOKUP(E9676,DATABASE!C:Q,7,false)</f>
        <v>601000</v>
      </c>
      <c r="L9676" s="74">
        <v>601000.0</v>
      </c>
      <c r="M9676" s="74">
        <f t="shared" si="6"/>
        <v>605000</v>
      </c>
      <c r="N9676" s="74">
        <f t="shared" si="3"/>
        <v>170000</v>
      </c>
      <c r="O9676" s="65" t="str">
        <f>VLOOKUP(E9676,DATABASE!C:Q,8,false)</f>
        <v>IBU</v>
      </c>
      <c r="P9676" s="65">
        <f>VLOOKUP(E9676,DATABASE!C:Q,9,False)</f>
        <v>1</v>
      </c>
      <c r="Q9676" s="93" t="str">
        <f>VLOOKUP(E9676,DATABASE!C:Q,4,false)</f>
        <v>Dunlop</v>
      </c>
      <c r="R9676" s="93" t="str">
        <f>VLOOKUP(E9676,DATABASE!C:Q,11,false)</f>
        <v>Tire</v>
      </c>
    </row>
    <row r="9677" ht="22.5" customHeight="1">
      <c r="A9677" s="49"/>
      <c r="C9677" s="400">
        <v>46233.0</v>
      </c>
      <c r="D9677" s="524">
        <v>462.0</v>
      </c>
      <c r="E9677" s="544" t="s">
        <v>299</v>
      </c>
      <c r="F9677" s="387">
        <v>2.0</v>
      </c>
      <c r="G9677" s="140">
        <v>30000.0</v>
      </c>
      <c r="H9677" s="74"/>
      <c r="I9677" s="74">
        <f t="shared" si="7"/>
        <v>60000</v>
      </c>
      <c r="J9677" s="74">
        <f>IF(E9677="SERVICE",I9677-(I9677*50%),Vlookup(E9677,DATABASE!C:Q,10,false)*F9677)</f>
        <v>0</v>
      </c>
      <c r="K9677" s="74">
        <f>VLOOKUP(E9677,DATABASE!C:Q,7,false)</f>
        <v>10000</v>
      </c>
      <c r="L9677" s="74">
        <v>10000.0</v>
      </c>
      <c r="M9677" s="74">
        <f t="shared" si="6"/>
        <v>10000</v>
      </c>
      <c r="N9677" s="74">
        <f t="shared" si="3"/>
        <v>40000</v>
      </c>
      <c r="O9677" s="65" t="str">
        <f>VLOOKUP(E9677,DATABASE!C:Q,8,false)</f>
        <v>BIAN</v>
      </c>
      <c r="P9677" s="65">
        <f>VLOOKUP(E9677,DATABASE!C:Q,9,False)</f>
        <v>0</v>
      </c>
      <c r="Q9677" s="93" t="str">
        <f>VLOOKUP(E9677,DATABASE!C:Q,4,false)</f>
        <v>Balancing</v>
      </c>
      <c r="R9677" s="93" t="str">
        <f>VLOOKUP(E9677,DATABASE!C:Q,11,false)</f>
        <v>COMPLEMENTARY</v>
      </c>
    </row>
    <row r="9678" ht="22.5" customHeight="1">
      <c r="A9678" s="49"/>
      <c r="C9678" s="400">
        <v>46233.0</v>
      </c>
      <c r="D9678" s="524">
        <v>463.0</v>
      </c>
      <c r="E9678" s="544" t="s">
        <v>299</v>
      </c>
      <c r="F9678" s="387">
        <v>2.0</v>
      </c>
      <c r="G9678" s="140">
        <v>30000.0</v>
      </c>
      <c r="H9678" s="74"/>
      <c r="I9678" s="74">
        <f t="shared" si="7"/>
        <v>60000</v>
      </c>
      <c r="J9678" s="74">
        <f>IF(E9678="SERVICE",I9678-(I9678*50%),Vlookup(E9678,DATABASE!C:Q,10,false)*F9678)</f>
        <v>0</v>
      </c>
      <c r="K9678" s="74">
        <f>VLOOKUP(E9678,DATABASE!C:Q,7,false)</f>
        <v>10000</v>
      </c>
      <c r="L9678" s="74">
        <v>10000.0</v>
      </c>
      <c r="M9678" s="74">
        <f t="shared" si="6"/>
        <v>10000</v>
      </c>
      <c r="N9678" s="74">
        <f t="shared" si="3"/>
        <v>40000</v>
      </c>
      <c r="O9678" s="65" t="str">
        <f>VLOOKUP(E9678,DATABASE!C:Q,8,false)</f>
        <v>BIAN</v>
      </c>
      <c r="P9678" s="65">
        <f>VLOOKUP(E9678,DATABASE!C:Q,9,False)</f>
        <v>0</v>
      </c>
      <c r="Q9678" s="93" t="str">
        <f>VLOOKUP(E9678,DATABASE!C:Q,4,false)</f>
        <v>Balancing</v>
      </c>
      <c r="R9678" s="93" t="str">
        <f>VLOOKUP(E9678,DATABASE!C:Q,11,false)</f>
        <v>COMPLEMENTARY</v>
      </c>
    </row>
    <row r="9679" ht="22.5" customHeight="1">
      <c r="A9679" s="49"/>
      <c r="C9679" s="400">
        <v>46233.0</v>
      </c>
      <c r="D9679" s="524">
        <v>463.0</v>
      </c>
      <c r="E9679" s="544" t="s">
        <v>262</v>
      </c>
      <c r="F9679" s="387">
        <v>1.0</v>
      </c>
      <c r="G9679" s="140">
        <v>130000.0</v>
      </c>
      <c r="H9679" s="74"/>
      <c r="I9679" s="74">
        <f t="shared" si="7"/>
        <v>130000</v>
      </c>
      <c r="J9679" s="74">
        <f>IF(E9679="SERVICE",I9679-(I9679*50%),Vlookup(E9679,DATABASE!C:Q,10,false)*F9679)</f>
        <v>5000</v>
      </c>
      <c r="K9679" s="74">
        <f>VLOOKUP(E9679,DATABASE!C:Q,7,false)</f>
        <v>0</v>
      </c>
      <c r="L9679" s="74">
        <v>0.0</v>
      </c>
      <c r="M9679" s="74">
        <f t="shared" si="6"/>
        <v>0</v>
      </c>
      <c r="N9679" s="74">
        <f t="shared" si="3"/>
        <v>125000</v>
      </c>
      <c r="O9679" s="65" t="str">
        <f>VLOOKUP(E9679,DATABASE!C:Q,8,false)</f>
        <v>IBU</v>
      </c>
      <c r="P9679" s="65">
        <f>VLOOKUP(E9679,DATABASE!C:Q,9,False)</f>
        <v>0</v>
      </c>
      <c r="Q9679" s="93" t="str">
        <f>VLOOKUP(E9679,DATABASE!C:Q,4,false)</f>
        <v>SPOORING SS/CARRY LOS BAK</v>
      </c>
      <c r="R9679" s="93" t="str">
        <f>VLOOKUP(E9679,DATABASE!C:Q,11,false)</f>
        <v>SERVICE</v>
      </c>
    </row>
    <row r="9680" ht="22.5" customHeight="1">
      <c r="A9680" s="49"/>
      <c r="C9680" s="400">
        <v>46233.0</v>
      </c>
      <c r="D9680" s="524">
        <v>464.0</v>
      </c>
      <c r="E9680" s="544" t="s">
        <v>2140</v>
      </c>
      <c r="F9680" s="387">
        <v>1.0</v>
      </c>
      <c r="G9680" s="140">
        <v>35000.0</v>
      </c>
      <c r="H9680" s="140">
        <v>15000.0</v>
      </c>
      <c r="I9680" s="74">
        <f t="shared" si="7"/>
        <v>20000</v>
      </c>
      <c r="J9680" s="74">
        <f>IF(E9680="SERVICE",I9680-(I9680*50%),Vlookup(E9680,DATABASE!C:Q,10,false)*F9680)</f>
        <v>0</v>
      </c>
      <c r="K9680" s="74">
        <f>VLOOKUP(E9680,DATABASE!C:Q,7,false)</f>
        <v>5000</v>
      </c>
      <c r="L9680" s="74">
        <v>0.0</v>
      </c>
      <c r="M9680" s="74">
        <f t="shared" si="6"/>
        <v>0</v>
      </c>
      <c r="N9680" s="74">
        <f t="shared" si="3"/>
        <v>20000</v>
      </c>
      <c r="O9680" s="65" t="str">
        <f>VLOOKUP(E9680,DATABASE!C:Q,8,false)</f>
        <v>IBU</v>
      </c>
      <c r="P9680" s="65">
        <f>VLOOKUP(E9680,DATABASE!C:Q,9,False)</f>
        <v>0</v>
      </c>
      <c r="Q9680" s="93" t="str">
        <f>VLOOKUP(E9680,DATABASE!C:Q,4,false)</f>
        <v>PENTIL + PASANG</v>
      </c>
      <c r="R9680" s="93" t="str">
        <f>VLOOKUP(E9680,DATABASE!C:Q,11,false)</f>
        <v>COMPLEMENTARY</v>
      </c>
    </row>
    <row r="9681" ht="22.5" customHeight="1">
      <c r="A9681" s="49"/>
      <c r="C9681" s="400">
        <v>46233.0</v>
      </c>
      <c r="D9681" s="524">
        <v>465.0</v>
      </c>
      <c r="E9681" s="544" t="s">
        <v>262</v>
      </c>
      <c r="F9681" s="387">
        <v>1.0</v>
      </c>
      <c r="G9681" s="140">
        <v>130000.0</v>
      </c>
      <c r="H9681" s="74"/>
      <c r="I9681" s="74">
        <f t="shared" si="7"/>
        <v>130000</v>
      </c>
      <c r="J9681" s="140">
        <v>10000.0</v>
      </c>
      <c r="K9681" s="74">
        <f>VLOOKUP(E9681,DATABASE!C:Q,7,false)</f>
        <v>0</v>
      </c>
      <c r="L9681" s="74">
        <v>0.0</v>
      </c>
      <c r="M9681" s="74">
        <f t="shared" si="6"/>
        <v>0</v>
      </c>
      <c r="N9681" s="74">
        <f t="shared" si="3"/>
        <v>120000</v>
      </c>
      <c r="O9681" s="65" t="str">
        <f>VLOOKUP(E9681,DATABASE!C:Q,8,false)</f>
        <v>IBU</v>
      </c>
      <c r="P9681" s="65">
        <f>VLOOKUP(E9681,DATABASE!C:Q,9,False)</f>
        <v>0</v>
      </c>
      <c r="Q9681" s="93" t="str">
        <f>VLOOKUP(E9681,DATABASE!C:Q,4,false)</f>
        <v>SPOORING SS/CARRY LOS BAK</v>
      </c>
      <c r="R9681" s="93" t="str">
        <f>VLOOKUP(E9681,DATABASE!C:Q,11,false)</f>
        <v>SERVICE</v>
      </c>
    </row>
    <row r="9682" ht="22.5" customHeight="1">
      <c r="A9682" s="49"/>
      <c r="C9682" s="400">
        <v>46233.0</v>
      </c>
      <c r="D9682" s="524">
        <v>465.0</v>
      </c>
      <c r="E9682" s="544" t="s">
        <v>251</v>
      </c>
      <c r="F9682" s="387">
        <v>1.0</v>
      </c>
      <c r="G9682" s="140">
        <v>350000.0</v>
      </c>
      <c r="H9682" s="140">
        <v>230000.0</v>
      </c>
      <c r="I9682" s="74">
        <f t="shared" si="7"/>
        <v>120000</v>
      </c>
      <c r="J9682" s="74">
        <f>IF(E9682="SERVICE",I9682-(I9682*50%),Vlookup(E9682,DATABASE!C:Q,10,false)*F9682)</f>
        <v>60000</v>
      </c>
      <c r="K9682" s="74">
        <f>VLOOKUP(E9682,DATABASE!C:Q,7,false)</f>
        <v>0</v>
      </c>
      <c r="L9682" s="74">
        <v>0.0</v>
      </c>
      <c r="M9682" s="74">
        <f t="shared" si="6"/>
        <v>0</v>
      </c>
      <c r="N9682" s="74">
        <f t="shared" si="3"/>
        <v>60000</v>
      </c>
      <c r="O9682" s="65" t="str">
        <f>VLOOKUP(E9682,DATABASE!C:Q,8,false)</f>
        <v>IBU</v>
      </c>
      <c r="P9682" s="65">
        <f>VLOOKUP(E9682,DATABASE!C:Q,9,False)</f>
        <v>0</v>
      </c>
      <c r="Q9682" s="93" t="str">
        <f>VLOOKUP(E9682,DATABASE!C:Q,4,false)</f>
        <v>SERVICE</v>
      </c>
      <c r="R9682" s="93" t="str">
        <f>VLOOKUP(E9682,DATABASE!C:Q,11,false)</f>
        <v>SERVICE</v>
      </c>
    </row>
    <row r="9683" ht="22.5" customHeight="1">
      <c r="A9683" s="49"/>
      <c r="C9683" s="400">
        <v>46233.0</v>
      </c>
      <c r="D9683" s="524">
        <v>466.0</v>
      </c>
      <c r="E9683" s="544" t="s">
        <v>391</v>
      </c>
      <c r="F9683" s="387">
        <v>1.0</v>
      </c>
      <c r="G9683" s="140">
        <v>1985000.0</v>
      </c>
      <c r="H9683" s="74"/>
      <c r="I9683" s="74">
        <f t="shared" si="7"/>
        <v>1985000</v>
      </c>
      <c r="J9683" s="74">
        <f>IF(E9683="SERVICE",I9683-(I9683*50%),Vlookup(E9683,DATABASE!C:Q,10,false)*F9683)</f>
        <v>0</v>
      </c>
      <c r="K9683" s="74">
        <f>VLOOKUP(E9683,DATABASE!C:Q,7,false)</f>
        <v>1885000</v>
      </c>
      <c r="L9683" s="74">
        <v>1885000.0</v>
      </c>
      <c r="M9683" s="74">
        <f t="shared" si="6"/>
        <v>1885000</v>
      </c>
      <c r="N9683" s="74">
        <f t="shared" si="3"/>
        <v>100000</v>
      </c>
      <c r="O9683" s="65" t="str">
        <f>VLOOKUP(E9683,DATABASE!C:Q,8,false)</f>
        <v>BIAN</v>
      </c>
      <c r="P9683" s="65">
        <f>VLOOKUP(E9683,DATABASE!C:Q,9,False)</f>
        <v>1</v>
      </c>
      <c r="Q9683" s="93" t="str">
        <f>VLOOKUP(E9683,DATABASE!C:Q,4,false)</f>
        <v>Advance</v>
      </c>
      <c r="R9683" s="93" t="str">
        <f>VLOOKUP(E9683,DATABASE!C:Q,11,false)</f>
        <v>Tire</v>
      </c>
    </row>
    <row r="9684" ht="22.5" customHeight="1">
      <c r="A9684" s="49"/>
      <c r="C9684" s="400">
        <v>46233.0</v>
      </c>
      <c r="D9684" s="524">
        <v>467.0</v>
      </c>
      <c r="E9684" s="544" t="s">
        <v>256</v>
      </c>
      <c r="F9684" s="387">
        <v>1.0</v>
      </c>
      <c r="G9684" s="140">
        <v>175000.0</v>
      </c>
      <c r="H9684" s="140">
        <v>25000.0</v>
      </c>
      <c r="I9684" s="74">
        <f t="shared" si="7"/>
        <v>150000</v>
      </c>
      <c r="J9684" s="74">
        <f>IF(E9684="SERVICE",I9684-(I9684*50%),Vlookup(E9684,DATABASE!C:Q,10,false)*F9684)</f>
        <v>10000</v>
      </c>
      <c r="K9684" s="74">
        <f>VLOOKUP(E9684,DATABASE!C:Q,7,false)</f>
        <v>0</v>
      </c>
      <c r="L9684" s="74">
        <v>0.0</v>
      </c>
      <c r="M9684" s="74">
        <f t="shared" si="6"/>
        <v>0</v>
      </c>
      <c r="N9684" s="74">
        <f t="shared" si="3"/>
        <v>140000</v>
      </c>
      <c r="O9684" s="65" t="str">
        <f>VLOOKUP(E9684,DATABASE!C:Q,8,false)</f>
        <v>IBU</v>
      </c>
      <c r="P9684" s="65">
        <f>VLOOKUP(E9684,DATABASE!C:Q,9,False)</f>
        <v>0</v>
      </c>
      <c r="Q9684" s="93" t="str">
        <f>VLOOKUP(E9684,DATABASE!C:Q,4,false)</f>
        <v>SPOORING</v>
      </c>
      <c r="R9684" s="93" t="str">
        <f>VLOOKUP(E9684,DATABASE!C:Q,11,false)</f>
        <v>SERVICE</v>
      </c>
    </row>
    <row r="9685" ht="22.5" customHeight="1">
      <c r="A9685" s="49"/>
      <c r="C9685" s="400">
        <v>46233.0</v>
      </c>
      <c r="D9685" s="524">
        <v>467.0</v>
      </c>
      <c r="E9685" s="544" t="s">
        <v>251</v>
      </c>
      <c r="F9685" s="387">
        <v>1.0</v>
      </c>
      <c r="G9685" s="140">
        <v>350000.0</v>
      </c>
      <c r="H9685" s="140">
        <v>200000.0</v>
      </c>
      <c r="I9685" s="74">
        <f t="shared" si="7"/>
        <v>150000</v>
      </c>
      <c r="J9685" s="74">
        <f>IF(E9685="SERVICE",I9685-(I9685*50%),Vlookup(E9685,DATABASE!C:Q,10,false)*F9685)</f>
        <v>75000</v>
      </c>
      <c r="K9685" s="74">
        <f>VLOOKUP(E9685,DATABASE!C:Q,7,false)</f>
        <v>0</v>
      </c>
      <c r="L9685" s="74">
        <v>0.0</v>
      </c>
      <c r="M9685" s="74">
        <f t="shared" si="6"/>
        <v>0</v>
      </c>
      <c r="N9685" s="74">
        <f t="shared" si="3"/>
        <v>75000</v>
      </c>
      <c r="O9685" s="65" t="str">
        <f>VLOOKUP(E9685,DATABASE!C:Q,8,false)</f>
        <v>IBU</v>
      </c>
      <c r="P9685" s="65">
        <f>VLOOKUP(E9685,DATABASE!C:Q,9,False)</f>
        <v>0</v>
      </c>
      <c r="Q9685" s="93" t="str">
        <f>VLOOKUP(E9685,DATABASE!C:Q,4,false)</f>
        <v>SERVICE</v>
      </c>
      <c r="R9685" s="93" t="str">
        <f>VLOOKUP(E9685,DATABASE!C:Q,11,false)</f>
        <v>SERVICE</v>
      </c>
    </row>
    <row r="9686" ht="22.5" customHeight="1">
      <c r="A9686" s="49"/>
      <c r="C9686" s="400">
        <v>46233.0</v>
      </c>
      <c r="D9686" s="69" t="s">
        <v>2889</v>
      </c>
      <c r="E9686" s="544" t="s">
        <v>252</v>
      </c>
      <c r="F9686" s="387">
        <v>1.0</v>
      </c>
      <c r="G9686" s="140">
        <v>370000.0</v>
      </c>
      <c r="H9686" s="74"/>
      <c r="I9686" s="74">
        <f t="shared" si="7"/>
        <v>370000</v>
      </c>
      <c r="J9686" s="74">
        <f>IF(E9686="SERVICE",I9686-(I9686*50%),Vlookup(E9686,DATABASE!C:Q,10,false)*F9686)</f>
        <v>0</v>
      </c>
      <c r="K9686" s="74">
        <f>VLOOKUP(E9686,DATABASE!C:Q,7,false)</f>
        <v>317518</v>
      </c>
      <c r="L9686" s="74">
        <v>317518.0</v>
      </c>
      <c r="M9686" s="74">
        <f t="shared" si="6"/>
        <v>320000</v>
      </c>
      <c r="N9686" s="74">
        <f t="shared" si="3"/>
        <v>50000</v>
      </c>
      <c r="O9686" s="65" t="str">
        <f>VLOOKUP(E9686,DATABASE!C:Q,8,false)</f>
        <v>NON</v>
      </c>
      <c r="P9686" s="65">
        <f>VLOOKUP(E9686,DATABASE!C:Q,9,False)</f>
        <v>0</v>
      </c>
      <c r="Q9686" s="93" t="str">
        <f>VLOOKUP(E9686,DATABASE!C:Q,4,false)</f>
        <v>Shell</v>
      </c>
      <c r="R9686" s="93" t="str">
        <f>VLOOKUP(E9686,DATABASE!C:Q,11,false)</f>
        <v>OIL</v>
      </c>
    </row>
    <row r="9687" ht="22.5" customHeight="1">
      <c r="A9687" s="49"/>
      <c r="C9687" s="400">
        <v>46233.0</v>
      </c>
      <c r="D9687" s="69" t="s">
        <v>2890</v>
      </c>
      <c r="E9687" s="544" t="s">
        <v>263</v>
      </c>
      <c r="F9687" s="387">
        <v>1.0</v>
      </c>
      <c r="G9687" s="140">
        <v>385000.0</v>
      </c>
      <c r="H9687" s="74"/>
      <c r="I9687" s="74">
        <f t="shared" si="7"/>
        <v>385000</v>
      </c>
      <c r="J9687" s="74">
        <f>IF(E9687="SERVICE",I9687-(I9687*50%),Vlookup(E9687,DATABASE!C:Q,10,false)*F9687)</f>
        <v>0</v>
      </c>
      <c r="K9687" s="74">
        <f>VLOOKUP(E9687,DATABASE!C:Q,7,false)</f>
        <v>334916</v>
      </c>
      <c r="L9687" s="74">
        <v>334916.0</v>
      </c>
      <c r="M9687" s="74">
        <f t="shared" si="6"/>
        <v>335000</v>
      </c>
      <c r="N9687" s="74">
        <f t="shared" si="3"/>
        <v>50000</v>
      </c>
      <c r="O9687" s="65" t="str">
        <f>VLOOKUP(E9687,DATABASE!C:Q,8,false)</f>
        <v>NON</v>
      </c>
      <c r="P9687" s="65">
        <f>VLOOKUP(E9687,DATABASE!C:Q,9,False)</f>
        <v>0</v>
      </c>
      <c r="Q9687" s="93" t="str">
        <f>VLOOKUP(E9687,DATABASE!C:Q,4,false)</f>
        <v>Shell</v>
      </c>
      <c r="R9687" s="93" t="str">
        <f>VLOOKUP(E9687,DATABASE!C:Q,11,false)</f>
        <v>OIL</v>
      </c>
    </row>
    <row r="9688" ht="22.5" customHeight="1">
      <c r="A9688" s="49"/>
      <c r="C9688" s="400">
        <v>46234.0</v>
      </c>
      <c r="D9688" s="524">
        <v>468.0</v>
      </c>
      <c r="E9688" s="544" t="s">
        <v>268</v>
      </c>
      <c r="F9688" s="387">
        <v>2.0</v>
      </c>
      <c r="G9688" s="140">
        <v>720000.0</v>
      </c>
      <c r="H9688" s="74"/>
      <c r="I9688" s="74">
        <f t="shared" si="7"/>
        <v>1440000</v>
      </c>
      <c r="J9688" s="74">
        <f>IF(E9688="SERVICE",I9688-(I9688*50%),Vlookup(E9688,DATABASE!C:Q,10,false)*F9688)</f>
        <v>0</v>
      </c>
      <c r="K9688" s="74">
        <f>VLOOKUP(E9688,DATABASE!C:Q,7,false)</f>
        <v>653000</v>
      </c>
      <c r="L9688" s="74">
        <v>634500.0</v>
      </c>
      <c r="M9688" s="74">
        <f t="shared" si="6"/>
        <v>635000</v>
      </c>
      <c r="N9688" s="74">
        <f t="shared" si="3"/>
        <v>170000</v>
      </c>
      <c r="O9688" s="65" t="str">
        <f>VLOOKUP(E9688,DATABASE!C:Q,8,false)</f>
        <v>IBU</v>
      </c>
      <c r="P9688" s="65">
        <f>VLOOKUP(E9688,DATABASE!C:Q,9,False)</f>
        <v>1</v>
      </c>
      <c r="Q9688" s="93" t="str">
        <f>VLOOKUP(E9688,DATABASE!C:Q,4,false)</f>
        <v>Dunlop</v>
      </c>
      <c r="R9688" s="93" t="str">
        <f>VLOOKUP(E9688,DATABASE!C:Q,11,false)</f>
        <v>Tire</v>
      </c>
    </row>
    <row r="9689" ht="22.5" customHeight="1">
      <c r="A9689" s="49"/>
      <c r="C9689" s="400">
        <v>46234.0</v>
      </c>
      <c r="D9689" s="69">
        <v>469.0</v>
      </c>
      <c r="E9689" s="544" t="s">
        <v>246</v>
      </c>
      <c r="F9689" s="387">
        <v>1.0</v>
      </c>
      <c r="G9689" s="140">
        <v>35000.0</v>
      </c>
      <c r="H9689" s="140">
        <v>10000.0</v>
      </c>
      <c r="I9689" s="74">
        <f t="shared" si="7"/>
        <v>25000</v>
      </c>
      <c r="J9689" s="74">
        <f>IF(E9689="SERVICE",I9689-(I9689*50%),Vlookup(E9689,DATABASE!C:Q,10,false)*F9689)</f>
        <v>0</v>
      </c>
      <c r="K9689" s="74">
        <f>VLOOKUP(E9689,DATABASE!C:Q,7,false)</f>
        <v>0</v>
      </c>
      <c r="L9689" s="74">
        <v>0.0</v>
      </c>
      <c r="M9689" s="74">
        <f t="shared" si="6"/>
        <v>0</v>
      </c>
      <c r="N9689" s="74">
        <f t="shared" si="3"/>
        <v>25000</v>
      </c>
      <c r="O9689" s="65" t="str">
        <f>VLOOKUP(E9689,DATABASE!C:Q,8,false)</f>
        <v>IBU</v>
      </c>
      <c r="P9689" s="65">
        <f>VLOOKUP(E9689,DATABASE!C:Q,9,False)</f>
        <v>0</v>
      </c>
      <c r="Q9689" s="93" t="str">
        <f>VLOOKUP(E9689,DATABASE!C:Q,4,false)</f>
        <v>Bongkar Pasang</v>
      </c>
      <c r="R9689" s="93" t="str">
        <f>VLOOKUP(E9689,DATABASE!C:Q,11,false)</f>
        <v>SERVICE</v>
      </c>
    </row>
    <row r="9690" ht="22.5" customHeight="1">
      <c r="A9690" s="49"/>
      <c r="C9690" s="400">
        <v>46234.0</v>
      </c>
      <c r="D9690" s="524">
        <v>470.0</v>
      </c>
      <c r="E9690" s="544" t="s">
        <v>262</v>
      </c>
      <c r="F9690" s="387">
        <v>1.0</v>
      </c>
      <c r="G9690" s="140">
        <v>130000.0</v>
      </c>
      <c r="H9690" s="74"/>
      <c r="I9690" s="74">
        <f t="shared" si="7"/>
        <v>130000</v>
      </c>
      <c r="J9690" s="74">
        <f>IF(E9690="SERVICE",I9690-(I9690*50%),Vlookup(E9690,DATABASE!C:Q,10,false)*F9690)</f>
        <v>5000</v>
      </c>
      <c r="K9690" s="74">
        <f>VLOOKUP(E9690,DATABASE!C:Q,7,false)</f>
        <v>0</v>
      </c>
      <c r="L9690" s="74">
        <v>0.0</v>
      </c>
      <c r="M9690" s="74">
        <f t="shared" si="6"/>
        <v>0</v>
      </c>
      <c r="N9690" s="74">
        <f t="shared" si="3"/>
        <v>125000</v>
      </c>
      <c r="O9690" s="65" t="str">
        <f>VLOOKUP(E9690,DATABASE!C:Q,8,false)</f>
        <v>IBU</v>
      </c>
      <c r="P9690" s="65">
        <f>VLOOKUP(E9690,DATABASE!C:Q,9,False)</f>
        <v>0</v>
      </c>
      <c r="Q9690" s="93" t="str">
        <f>VLOOKUP(E9690,DATABASE!C:Q,4,false)</f>
        <v>SPOORING SS/CARRY LOS BAK</v>
      </c>
      <c r="R9690" s="93" t="str">
        <f>VLOOKUP(E9690,DATABASE!C:Q,11,false)</f>
        <v>SERVICE</v>
      </c>
    </row>
    <row r="9691" ht="22.5" customHeight="1">
      <c r="A9691" s="49"/>
      <c r="C9691" s="400">
        <v>46234.0</v>
      </c>
      <c r="D9691" s="524">
        <v>470.0</v>
      </c>
      <c r="E9691" s="544" t="s">
        <v>2206</v>
      </c>
      <c r="F9691" s="387">
        <v>1.0</v>
      </c>
      <c r="G9691" s="140">
        <v>200000.0</v>
      </c>
      <c r="H9691" s="74"/>
      <c r="I9691" s="74">
        <f t="shared" si="7"/>
        <v>200000</v>
      </c>
      <c r="J9691" s="74">
        <f>IF(E9691="SERVICE",I9691-(I9691*50%),Vlookup(E9691,DATABASE!C:Q,10,false)*F9691)</f>
        <v>40000</v>
      </c>
      <c r="K9691" s="74">
        <f>VLOOKUP(E9691,DATABASE!C:Q,7,false)</f>
        <v>95450</v>
      </c>
      <c r="L9691" s="74">
        <v>95450.0</v>
      </c>
      <c r="M9691" s="74">
        <f t="shared" si="6"/>
        <v>100000</v>
      </c>
      <c r="N9691" s="74">
        <f t="shared" si="3"/>
        <v>60000</v>
      </c>
      <c r="O9691" s="65" t="str">
        <f>VLOOKUP(E9691,DATABASE!C:Q,8,false)</f>
        <v>IBU</v>
      </c>
      <c r="P9691" s="69">
        <v>1.0</v>
      </c>
      <c r="Q9691" s="93" t="str">
        <f>VLOOKUP(E9691,DATABASE!C:Q,4,false)</f>
        <v>TIEROD</v>
      </c>
      <c r="R9691" s="93" t="str">
        <f>VLOOKUP(E9691,DATABASE!C:Q,11,false)</f>
        <v>COMPLEMENTARY</v>
      </c>
    </row>
    <row r="9692" ht="22.5" customHeight="1">
      <c r="A9692" s="49"/>
      <c r="C9692" s="400">
        <v>46234.0</v>
      </c>
      <c r="D9692" s="524">
        <v>470.0</v>
      </c>
      <c r="E9692" s="544" t="s">
        <v>2652</v>
      </c>
      <c r="F9692" s="387">
        <v>1.0</v>
      </c>
      <c r="G9692" s="140">
        <v>300000.0</v>
      </c>
      <c r="H9692" s="140">
        <v>30000.0</v>
      </c>
      <c r="I9692" s="74">
        <f t="shared" si="7"/>
        <v>270000</v>
      </c>
      <c r="J9692" s="140">
        <v>60000.0</v>
      </c>
      <c r="K9692" s="74">
        <f>VLOOKUP(E9692,DATABASE!C:Q,7,false)</f>
        <v>150000</v>
      </c>
      <c r="L9692" s="74">
        <v>150000.0</v>
      </c>
      <c r="M9692" s="74">
        <f t="shared" si="6"/>
        <v>150000</v>
      </c>
      <c r="N9692" s="74">
        <f t="shared" si="3"/>
        <v>60000</v>
      </c>
      <c r="O9692" s="65" t="str">
        <f>VLOOKUP(E9692,DATABASE!C:Q,8,false)</f>
        <v>BIAN</v>
      </c>
      <c r="P9692" s="65">
        <f>VLOOKUP(E9692,DATABASE!C:Q,9,False)</f>
        <v>0</v>
      </c>
      <c r="Q9692" s="93" t="str">
        <f>VLOOKUP(E9692,DATABASE!C:Q,4,false)</f>
        <v>Karet Support + Pasang</v>
      </c>
      <c r="R9692" s="93" t="str">
        <f>VLOOKUP(E9692,DATABASE!C:Q,11,false)</f>
        <v>COMPLEMENTARY</v>
      </c>
    </row>
    <row r="9693" ht="22.5" customHeight="1">
      <c r="A9693" s="49"/>
      <c r="C9693" s="400">
        <v>46234.0</v>
      </c>
      <c r="D9693" s="524">
        <v>471.0</v>
      </c>
      <c r="E9693" s="544" t="s">
        <v>275</v>
      </c>
      <c r="F9693" s="387">
        <v>1.0</v>
      </c>
      <c r="G9693" s="140">
        <v>850000.0</v>
      </c>
      <c r="H9693" s="74"/>
      <c r="I9693" s="74">
        <f t="shared" si="7"/>
        <v>850000</v>
      </c>
      <c r="J9693" s="74">
        <f>IF(E9693="SERVICE",I9693-(I9693*50%),Vlookup(E9693,DATABASE!C:Q,10,false)*F9693)</f>
        <v>0</v>
      </c>
      <c r="K9693" s="74">
        <f>VLOOKUP(E9693,DATABASE!C:Q,7,false)</f>
        <v>782000</v>
      </c>
      <c r="L9693" s="74">
        <v>759500.0</v>
      </c>
      <c r="M9693" s="74">
        <f t="shared" si="6"/>
        <v>760000</v>
      </c>
      <c r="N9693" s="74">
        <f t="shared" si="3"/>
        <v>90000</v>
      </c>
      <c r="O9693" s="65" t="str">
        <f>VLOOKUP(E9693,DATABASE!C:Q,8,false)</f>
        <v>IBU</v>
      </c>
      <c r="P9693" s="65">
        <f>VLOOKUP(E9693,DATABASE!C:Q,9,False)</f>
        <v>1</v>
      </c>
      <c r="Q9693" s="93" t="str">
        <f>VLOOKUP(E9693,DATABASE!C:Q,4,false)</f>
        <v>Dunlop</v>
      </c>
      <c r="R9693" s="93" t="str">
        <f>VLOOKUP(E9693,DATABASE!C:Q,11,false)</f>
        <v>Tire</v>
      </c>
    </row>
    <row r="9694" ht="22.5" customHeight="1">
      <c r="A9694" s="49"/>
      <c r="C9694" s="400">
        <v>46234.0</v>
      </c>
      <c r="D9694" s="524">
        <v>472.0</v>
      </c>
      <c r="E9694" s="544" t="s">
        <v>591</v>
      </c>
      <c r="F9694" s="387">
        <v>1.0</v>
      </c>
      <c r="G9694" s="140">
        <v>710000.0</v>
      </c>
      <c r="H9694" s="140">
        <v>10000.0</v>
      </c>
      <c r="I9694" s="74">
        <f t="shared" si="7"/>
        <v>700000</v>
      </c>
      <c r="J9694" s="74">
        <f>IF(E9694="SERVICE",I9694-(I9694*50%),Vlookup(E9694,DATABASE!C:Q,10,false)*F9694)</f>
        <v>0</v>
      </c>
      <c r="K9694" s="74">
        <f>VLOOKUP(E9694,DATABASE!C:Q,7,false)</f>
        <v>633035.16</v>
      </c>
      <c r="L9694" s="74">
        <v>609844.375</v>
      </c>
      <c r="M9694" s="74">
        <f t="shared" si="6"/>
        <v>610000</v>
      </c>
      <c r="N9694" s="74">
        <f t="shared" si="3"/>
        <v>90000</v>
      </c>
      <c r="O9694" s="65" t="str">
        <f>VLOOKUP(E9694,DATABASE!C:Q,8,false)</f>
        <v>IBU</v>
      </c>
      <c r="P9694" s="65">
        <f>VLOOKUP(E9694,DATABASE!C:Q,9,False)</f>
        <v>1</v>
      </c>
      <c r="Q9694" s="93" t="str">
        <f>VLOOKUP(E9694,DATABASE!C:Q,4,false)</f>
        <v>Bridgestone</v>
      </c>
      <c r="R9694" s="93" t="str">
        <f>VLOOKUP(E9694,DATABASE!C:Q,11,false)</f>
        <v>Tire</v>
      </c>
    </row>
    <row r="9695" ht="22.5" customHeight="1">
      <c r="A9695" s="49"/>
      <c r="C9695" s="400">
        <v>46234.0</v>
      </c>
      <c r="D9695" s="524">
        <v>473.0</v>
      </c>
      <c r="E9695" s="544" t="s">
        <v>604</v>
      </c>
      <c r="F9695" s="387">
        <v>1.0</v>
      </c>
      <c r="G9695" s="140">
        <v>170000.0</v>
      </c>
      <c r="H9695" s="140">
        <v>10000.0</v>
      </c>
      <c r="I9695" s="74">
        <f t="shared" si="7"/>
        <v>160000</v>
      </c>
      <c r="J9695" s="74">
        <f>IF(E9695="SERVICE",I9695-(I9695*50%),Vlookup(E9695,DATABASE!C:Q,10,false)*F9695)</f>
        <v>0</v>
      </c>
      <c r="K9695" s="74">
        <f>VLOOKUP(E9695,DATABASE!C:Q,7,false)</f>
        <v>124000</v>
      </c>
      <c r="L9695" s="74">
        <v>124000.0</v>
      </c>
      <c r="M9695" s="74">
        <f t="shared" si="6"/>
        <v>125000</v>
      </c>
      <c r="N9695" s="74">
        <f t="shared" si="3"/>
        <v>35000</v>
      </c>
      <c r="O9695" s="65" t="str">
        <f>VLOOKUP(E9695,DATABASE!C:Q,8,false)</f>
        <v>BIAN</v>
      </c>
      <c r="P9695" s="65">
        <f>VLOOKUP(E9695,DATABASE!C:Q,9,False)</f>
        <v>1</v>
      </c>
      <c r="Q9695" s="93" t="str">
        <f>VLOOKUP(E9695,DATABASE!C:Q,4,false)</f>
        <v>BD</v>
      </c>
      <c r="R9695" s="93" t="str">
        <f>VLOOKUP(E9695,DATABASE!C:Q,11,false)</f>
        <v>Tire</v>
      </c>
    </row>
    <row r="9696" ht="22.5" customHeight="1">
      <c r="A9696" s="49"/>
      <c r="C9696" s="400">
        <v>46234.0</v>
      </c>
      <c r="D9696" s="69" t="s">
        <v>2891</v>
      </c>
      <c r="E9696" s="544" t="s">
        <v>248</v>
      </c>
      <c r="F9696" s="387">
        <v>1.0</v>
      </c>
      <c r="G9696" s="140">
        <v>250000.0</v>
      </c>
      <c r="H9696" s="74"/>
      <c r="I9696" s="74">
        <f t="shared" si="7"/>
        <v>250000</v>
      </c>
      <c r="J9696" s="74">
        <f>IF(E9696="SERVICE",I9696-(I9696*50%),Vlookup(E9696,DATABASE!C:Q,10,false)*F9696)</f>
        <v>0</v>
      </c>
      <c r="K9696" s="74">
        <f>VLOOKUP(E9696,DATABASE!C:Q,7,false)</f>
        <v>209816.66</v>
      </c>
      <c r="L9696" s="74">
        <v>209816.66</v>
      </c>
      <c r="M9696" s="74">
        <f t="shared" si="6"/>
        <v>210000</v>
      </c>
      <c r="N9696" s="74">
        <f t="shared" si="3"/>
        <v>40000</v>
      </c>
      <c r="O9696" s="65" t="str">
        <f>VLOOKUP(E9696,DATABASE!C:Q,8,false)</f>
        <v>NON</v>
      </c>
      <c r="P9696" s="65">
        <f>VLOOKUP(E9696,DATABASE!C:Q,9,False)</f>
        <v>0</v>
      </c>
      <c r="Q9696" s="93" t="str">
        <f>VLOOKUP(E9696,DATABASE!C:Q,4,false)</f>
        <v>Pertamina</v>
      </c>
      <c r="R9696" s="93" t="str">
        <f>VLOOKUP(E9696,DATABASE!C:Q,11,false)</f>
        <v>OIL</v>
      </c>
    </row>
    <row r="9697" ht="22.5" customHeight="1">
      <c r="A9697" s="49"/>
      <c r="C9697" s="400">
        <v>46234.0</v>
      </c>
      <c r="D9697" s="69" t="s">
        <v>2891</v>
      </c>
      <c r="E9697" s="544" t="s">
        <v>298</v>
      </c>
      <c r="F9697" s="387">
        <v>1.0</v>
      </c>
      <c r="G9697" s="140">
        <v>25000.0</v>
      </c>
      <c r="H9697" s="74"/>
      <c r="I9697" s="74">
        <f t="shared" si="7"/>
        <v>25000</v>
      </c>
      <c r="J9697" s="74">
        <f>IF(E9697="SERVICE",I9697-(I9697*50%),Vlookup(E9697,DATABASE!C:Q,10,false)*F9697)</f>
        <v>0</v>
      </c>
      <c r="K9697" s="74">
        <f>VLOOKUP(E9697,DATABASE!C:Q,7,false)</f>
        <v>19200</v>
      </c>
      <c r="L9697" s="74">
        <v>19200.0</v>
      </c>
      <c r="M9697" s="74">
        <f t="shared" si="6"/>
        <v>20000</v>
      </c>
      <c r="N9697" s="74">
        <f t="shared" si="3"/>
        <v>5000</v>
      </c>
      <c r="O9697" s="65" t="str">
        <f>VLOOKUP(E9697,DATABASE!C:Q,8,false)</f>
        <v>BIAN</v>
      </c>
      <c r="P9697" s="65">
        <f>VLOOKUP(E9697,DATABASE!C:Q,9,False)</f>
        <v>0</v>
      </c>
      <c r="Q9697" s="93" t="str">
        <f>VLOOKUP(E9697,DATABASE!C:Q,4,false)</f>
        <v>Aspira</v>
      </c>
      <c r="R9697" s="93" t="str">
        <f>VLOOKUP(E9697,DATABASE!C:Q,11,false)</f>
        <v>COMPLEMENTARY</v>
      </c>
    </row>
    <row r="9698" ht="22.5" customHeight="1">
      <c r="A9698" s="49"/>
      <c r="C9698" s="400">
        <v>46234.0</v>
      </c>
      <c r="D9698" s="69" t="s">
        <v>2892</v>
      </c>
      <c r="E9698" s="544" t="s">
        <v>263</v>
      </c>
      <c r="F9698" s="387">
        <v>1.0</v>
      </c>
      <c r="G9698" s="140">
        <v>385000.0</v>
      </c>
      <c r="H9698" s="74"/>
      <c r="I9698" s="74">
        <f t="shared" si="7"/>
        <v>385000</v>
      </c>
      <c r="J9698" s="74">
        <f>IF(E9698="SERVICE",I9698-(I9698*50%),Vlookup(E9698,DATABASE!C:Q,10,false)*F9698)</f>
        <v>0</v>
      </c>
      <c r="K9698" s="74">
        <f>VLOOKUP(E9698,DATABASE!C:Q,7,false)</f>
        <v>334916</v>
      </c>
      <c r="L9698" s="74">
        <v>334916.0</v>
      </c>
      <c r="M9698" s="74">
        <f t="shared" si="6"/>
        <v>335000</v>
      </c>
      <c r="N9698" s="74">
        <f t="shared" si="3"/>
        <v>50000</v>
      </c>
      <c r="O9698" s="65" t="str">
        <f>VLOOKUP(E9698,DATABASE!C:Q,8,false)</f>
        <v>NON</v>
      </c>
      <c r="P9698" s="65">
        <f>VLOOKUP(E9698,DATABASE!C:Q,9,False)</f>
        <v>0</v>
      </c>
      <c r="Q9698" s="93" t="str">
        <f>VLOOKUP(E9698,DATABASE!C:Q,4,false)</f>
        <v>Shell</v>
      </c>
      <c r="R9698" s="93" t="str">
        <f>VLOOKUP(E9698,DATABASE!C:Q,11,false)</f>
        <v>OIL</v>
      </c>
    </row>
    <row r="9699" ht="22.5" customHeight="1">
      <c r="A9699" s="49"/>
      <c r="C9699" s="400">
        <v>46235.0</v>
      </c>
      <c r="D9699" s="524">
        <v>474.0</v>
      </c>
      <c r="E9699" s="544" t="s">
        <v>262</v>
      </c>
      <c r="F9699" s="387">
        <v>1.0</v>
      </c>
      <c r="G9699" s="140">
        <v>130000.0</v>
      </c>
      <c r="H9699" s="74"/>
      <c r="I9699" s="74">
        <f t="shared" si="7"/>
        <v>130000</v>
      </c>
      <c r="J9699" s="74">
        <f>IF(E9699="SERVICE",I9699-(I9699*50%),Vlookup(E9699,DATABASE!C:Q,10,false)*F9699)</f>
        <v>5000</v>
      </c>
      <c r="K9699" s="74">
        <f>VLOOKUP(E9699,DATABASE!C:Q,7,false)</f>
        <v>0</v>
      </c>
      <c r="L9699" s="74">
        <v>0.0</v>
      </c>
      <c r="M9699" s="74">
        <f t="shared" si="6"/>
        <v>0</v>
      </c>
      <c r="N9699" s="74">
        <f t="shared" si="3"/>
        <v>125000</v>
      </c>
      <c r="O9699" s="65" t="str">
        <f>VLOOKUP(E9699,DATABASE!C:Q,8,false)</f>
        <v>IBU</v>
      </c>
      <c r="P9699" s="65">
        <f>VLOOKUP(E9699,DATABASE!C:Q,9,False)</f>
        <v>0</v>
      </c>
      <c r="Q9699" s="93" t="str">
        <f>VLOOKUP(E9699,DATABASE!C:Q,4,false)</f>
        <v>SPOORING SS/CARRY LOS BAK</v>
      </c>
      <c r="R9699" s="93" t="str">
        <f>VLOOKUP(E9699,DATABASE!C:Q,11,false)</f>
        <v>SERVICE</v>
      </c>
    </row>
    <row r="9700" ht="22.5" customHeight="1">
      <c r="A9700" s="49"/>
      <c r="C9700" s="400">
        <v>46235.0</v>
      </c>
      <c r="D9700" s="69">
        <v>476.0</v>
      </c>
      <c r="E9700" s="544" t="s">
        <v>288</v>
      </c>
      <c r="F9700" s="387">
        <v>1.0</v>
      </c>
      <c r="G9700" s="140">
        <v>630000.0</v>
      </c>
      <c r="H9700" s="74"/>
      <c r="I9700" s="74">
        <f t="shared" si="7"/>
        <v>630000</v>
      </c>
      <c r="J9700" s="74">
        <f>IF(E9700="SERVICE",I9700-(I9700*50%),Vlookup(E9700,DATABASE!C:Q,10,false)*F9700)</f>
        <v>0</v>
      </c>
      <c r="K9700" s="74">
        <f>VLOOKUP(E9700,DATABASE!C:Q,7,false)</f>
        <v>565760</v>
      </c>
      <c r="L9700" s="74">
        <v>540500.0</v>
      </c>
      <c r="M9700" s="74">
        <f t="shared" si="6"/>
        <v>545000</v>
      </c>
      <c r="N9700" s="74">
        <f t="shared" si="3"/>
        <v>85000</v>
      </c>
      <c r="O9700" s="65" t="str">
        <f>VLOOKUP(E9700,DATABASE!C:Q,8,false)</f>
        <v>BIAN</v>
      </c>
      <c r="P9700" s="65">
        <f>VLOOKUP(E9700,DATABASE!C:Q,9,False)</f>
        <v>1</v>
      </c>
      <c r="Q9700" s="93" t="str">
        <f>VLOOKUP(E9700,DATABASE!C:Q,4,false)</f>
        <v>GT</v>
      </c>
      <c r="R9700" s="93" t="str">
        <f>VLOOKUP(E9700,DATABASE!C:Q,11,false)</f>
        <v>Tire</v>
      </c>
    </row>
    <row r="9701" ht="22.5" customHeight="1">
      <c r="A9701" s="49"/>
      <c r="C9701" s="400">
        <v>46235.0</v>
      </c>
      <c r="D9701" s="69">
        <v>477.0</v>
      </c>
      <c r="E9701" s="544" t="s">
        <v>1383</v>
      </c>
      <c r="F9701" s="387">
        <v>1.0</v>
      </c>
      <c r="G9701" s="140">
        <v>865000.0</v>
      </c>
      <c r="H9701" s="74"/>
      <c r="I9701" s="74">
        <f t="shared" si="7"/>
        <v>865000</v>
      </c>
      <c r="J9701" s="74">
        <f>IF(E9701="SERVICE",I9701-(I9701*50%),Vlookup(E9701,DATABASE!C:Q,10,false)*F9701)</f>
        <v>0</v>
      </c>
      <c r="K9701" s="74">
        <f>VLOOKUP(E9701,DATABASE!C:Q,7,false)</f>
        <v>812000</v>
      </c>
      <c r="L9701" s="74">
        <v>812000.0</v>
      </c>
      <c r="M9701" s="74">
        <f t="shared" si="6"/>
        <v>815000</v>
      </c>
      <c r="N9701" s="74">
        <f t="shared" si="3"/>
        <v>50000</v>
      </c>
      <c r="O9701" s="65" t="str">
        <f>VLOOKUP(E9701,DATABASE!C:Q,8,false)</f>
        <v>IBU</v>
      </c>
      <c r="P9701" s="65">
        <f>VLOOKUP(E9701,DATABASE!C:Q,9,False)</f>
        <v>1</v>
      </c>
      <c r="Q9701" s="93" t="str">
        <f>VLOOKUP(E9701,DATABASE!C:Q,4,false)</f>
        <v>Dunlop</v>
      </c>
      <c r="R9701" s="93" t="str">
        <f>VLOOKUP(E9701,DATABASE!C:Q,11,false)</f>
        <v>Tire</v>
      </c>
    </row>
    <row r="9702" ht="22.5" customHeight="1">
      <c r="A9702" s="49"/>
      <c r="C9702" s="400">
        <v>46235.0</v>
      </c>
      <c r="D9702" s="69">
        <v>478.0</v>
      </c>
      <c r="E9702" s="544" t="s">
        <v>256</v>
      </c>
      <c r="F9702" s="387">
        <v>1.0</v>
      </c>
      <c r="G9702" s="140">
        <v>150000.0</v>
      </c>
      <c r="H9702" s="74"/>
      <c r="I9702" s="74">
        <f t="shared" si="7"/>
        <v>150000</v>
      </c>
      <c r="J9702" s="74">
        <f>IF(E9702="SERVICE",I9702-(I9702*50%),Vlookup(E9702,DATABASE!C:Q,10,false)*F9702)</f>
        <v>10000</v>
      </c>
      <c r="K9702" s="74">
        <f>VLOOKUP(E9702,DATABASE!C:Q,7,false)</f>
        <v>0</v>
      </c>
      <c r="L9702" s="74">
        <v>0.0</v>
      </c>
      <c r="M9702" s="74">
        <f t="shared" si="6"/>
        <v>0</v>
      </c>
      <c r="N9702" s="74">
        <f t="shared" si="3"/>
        <v>140000</v>
      </c>
      <c r="O9702" s="65" t="str">
        <f>VLOOKUP(E9702,DATABASE!C:Q,8,false)</f>
        <v>IBU</v>
      </c>
      <c r="P9702" s="65">
        <f>VLOOKUP(E9702,DATABASE!C:Q,9,False)</f>
        <v>0</v>
      </c>
      <c r="Q9702" s="93" t="str">
        <f>VLOOKUP(E9702,DATABASE!C:Q,4,false)</f>
        <v>SPOORING</v>
      </c>
      <c r="R9702" s="93" t="str">
        <f>VLOOKUP(E9702,DATABASE!C:Q,11,false)</f>
        <v>SERVICE</v>
      </c>
    </row>
    <row r="9703" ht="22.5" customHeight="1">
      <c r="A9703" s="49"/>
      <c r="C9703" s="400">
        <v>46235.0</v>
      </c>
      <c r="D9703" s="69">
        <v>478.0</v>
      </c>
      <c r="E9703" s="544" t="s">
        <v>301</v>
      </c>
      <c r="F9703" s="387">
        <v>1.0</v>
      </c>
      <c r="G9703" s="140">
        <v>250000.0</v>
      </c>
      <c r="H9703" s="74"/>
      <c r="I9703" s="74">
        <f t="shared" si="7"/>
        <v>250000</v>
      </c>
      <c r="J9703" s="74">
        <f>IF(E9703="SERVICE",I9703-(I9703*50%),Vlookup(E9703,DATABASE!C:Q,10,false)*F9703)</f>
        <v>75000</v>
      </c>
      <c r="K9703" s="74">
        <f>VLOOKUP(E9703,DATABASE!C:Q,7,false)</f>
        <v>75000</v>
      </c>
      <c r="L9703" s="74">
        <v>75000.0</v>
      </c>
      <c r="M9703" s="74">
        <f t="shared" si="6"/>
        <v>75000</v>
      </c>
      <c r="N9703" s="74">
        <f t="shared" si="3"/>
        <v>100000</v>
      </c>
      <c r="O9703" s="65" t="str">
        <f>VLOOKUP(E9703,DATABASE!C:Q,8,false)</f>
        <v>BIAN</v>
      </c>
      <c r="P9703" s="65">
        <f>VLOOKUP(E9703,DATABASE!C:Q,9,False)</f>
        <v>0</v>
      </c>
      <c r="Q9703" s="93" t="str">
        <f>VLOOKUP(E9703,DATABASE!C:Q,4,false)</f>
        <v>Baut Camber</v>
      </c>
      <c r="R9703" s="93" t="str">
        <f>VLOOKUP(E9703,DATABASE!C:Q,11,false)</f>
        <v>COMPLEMENTARY</v>
      </c>
    </row>
    <row r="9704" ht="22.5" customHeight="1">
      <c r="A9704" s="49"/>
      <c r="C9704" s="400">
        <v>46235.0</v>
      </c>
      <c r="D9704" s="69" t="s">
        <v>2893</v>
      </c>
      <c r="E9704" s="544" t="s">
        <v>1364</v>
      </c>
      <c r="F9704" s="387">
        <v>4.0</v>
      </c>
      <c r="G9704" s="140">
        <v>140000.0</v>
      </c>
      <c r="H9704" s="140">
        <v>2500.0</v>
      </c>
      <c r="I9704" s="74">
        <f t="shared" si="7"/>
        <v>550000</v>
      </c>
      <c r="J9704" s="74">
        <f>IF(E9704="SERVICE",I9704-(I9704*50%),Vlookup(E9704,DATABASE!C:Q,10,false)*F9704)</f>
        <v>0</v>
      </c>
      <c r="K9704" s="74">
        <f>VLOOKUP(E9704,DATABASE!C:Q,7,false)</f>
        <v>130000</v>
      </c>
      <c r="L9704" s="74">
        <v>130000.0</v>
      </c>
      <c r="M9704" s="74">
        <f t="shared" si="6"/>
        <v>130000</v>
      </c>
      <c r="N9704" s="74">
        <f t="shared" si="3"/>
        <v>30000</v>
      </c>
      <c r="O9704" s="65" t="str">
        <f>VLOOKUP(E9704,DATABASE!C:Q,8,false)</f>
        <v>NON</v>
      </c>
      <c r="P9704" s="65">
        <f>VLOOKUP(E9704,DATABASE!C:Q,9,False)</f>
        <v>0</v>
      </c>
      <c r="Q9704" s="93" t="str">
        <f>VLOOKUP(E9704,DATABASE!C:Q,4,false)</f>
        <v>Castrol</v>
      </c>
      <c r="R9704" s="93" t="str">
        <f>VLOOKUP(E9704,DATABASE!C:Q,11,false)</f>
        <v>OIL</v>
      </c>
    </row>
    <row r="9705" ht="22.5" customHeight="1">
      <c r="A9705" s="49"/>
      <c r="C9705" s="400">
        <v>46235.0</v>
      </c>
      <c r="D9705" s="69" t="s">
        <v>2894</v>
      </c>
      <c r="E9705" s="544" t="s">
        <v>252</v>
      </c>
      <c r="F9705" s="387">
        <v>1.0</v>
      </c>
      <c r="G9705" s="140">
        <v>370000.0</v>
      </c>
      <c r="H9705" s="74"/>
      <c r="I9705" s="74">
        <f t="shared" si="7"/>
        <v>370000</v>
      </c>
      <c r="J9705" s="74">
        <f>IF(E9705="SERVICE",I9705-(I9705*50%),Vlookup(E9705,DATABASE!C:Q,10,false)*F9705)</f>
        <v>0</v>
      </c>
      <c r="K9705" s="74">
        <f>VLOOKUP(E9705,DATABASE!C:Q,7,false)</f>
        <v>317518</v>
      </c>
      <c r="L9705" s="74">
        <v>317518.0</v>
      </c>
      <c r="M9705" s="74">
        <f t="shared" si="6"/>
        <v>320000</v>
      </c>
      <c r="N9705" s="74">
        <f t="shared" si="3"/>
        <v>50000</v>
      </c>
      <c r="O9705" s="65" t="str">
        <f>VLOOKUP(E9705,DATABASE!C:Q,8,false)</f>
        <v>NON</v>
      </c>
      <c r="P9705" s="65">
        <f>VLOOKUP(E9705,DATABASE!C:Q,9,False)</f>
        <v>0</v>
      </c>
      <c r="Q9705" s="93" t="str">
        <f>VLOOKUP(E9705,DATABASE!C:Q,4,false)</f>
        <v>Shell</v>
      </c>
      <c r="R9705" s="93" t="str">
        <f>VLOOKUP(E9705,DATABASE!C:Q,11,false)</f>
        <v>OIL</v>
      </c>
    </row>
    <row r="9706" ht="22.5" customHeight="1">
      <c r="A9706" s="49"/>
      <c r="C9706" s="400">
        <v>46236.0</v>
      </c>
      <c r="D9706" s="69">
        <v>479.0</v>
      </c>
      <c r="E9706" s="544" t="s">
        <v>839</v>
      </c>
      <c r="F9706" s="387">
        <v>1.0</v>
      </c>
      <c r="G9706" s="140">
        <v>580000.0</v>
      </c>
      <c r="H9706" s="74"/>
      <c r="I9706" s="74">
        <f t="shared" si="7"/>
        <v>580000</v>
      </c>
      <c r="J9706" s="74">
        <f>IF(E9706="SERVICE",I9706-(I9706*50%),Vlookup(E9706,DATABASE!C:Q,10,false)*F9706)</f>
        <v>0</v>
      </c>
      <c r="K9706" s="74">
        <f>VLOOKUP(E9706,DATABASE!C:Q,7,false)</f>
        <v>512640</v>
      </c>
      <c r="L9706" s="74">
        <v>490100.0</v>
      </c>
      <c r="M9706" s="74">
        <f t="shared" si="6"/>
        <v>495000</v>
      </c>
      <c r="N9706" s="74">
        <f t="shared" si="3"/>
        <v>85000</v>
      </c>
      <c r="O9706" s="65" t="str">
        <f>VLOOKUP(E9706,DATABASE!C:Q,8,false)</f>
        <v>BIAN</v>
      </c>
      <c r="P9706" s="65">
        <f>VLOOKUP(E9706,DATABASE!C:Q,9,False)</f>
        <v>1</v>
      </c>
      <c r="Q9706" s="93" t="str">
        <f>VLOOKUP(E9706,DATABASE!C:Q,4,false)</f>
        <v>GT</v>
      </c>
      <c r="R9706" s="93" t="str">
        <f>VLOOKUP(E9706,DATABASE!C:Q,11,false)</f>
        <v>Tire</v>
      </c>
    </row>
    <row r="9707" ht="22.5" customHeight="1">
      <c r="A9707" s="49"/>
      <c r="C9707" s="400">
        <v>46236.0</v>
      </c>
      <c r="D9707" s="69">
        <v>480.0</v>
      </c>
      <c r="E9707" s="544" t="s">
        <v>256</v>
      </c>
      <c r="F9707" s="387">
        <v>1.0</v>
      </c>
      <c r="G9707" s="140">
        <v>150000.0</v>
      </c>
      <c r="H9707" s="74"/>
      <c r="I9707" s="74">
        <f t="shared" si="7"/>
        <v>150000</v>
      </c>
      <c r="J9707" s="74">
        <f>IF(E9707="SERVICE",I9707-(I9707*50%),Vlookup(E9707,DATABASE!C:Q,10,false)*F9707)</f>
        <v>10000</v>
      </c>
      <c r="K9707" s="74">
        <f>VLOOKUP(E9707,DATABASE!C:Q,7,false)</f>
        <v>0</v>
      </c>
      <c r="L9707" s="74">
        <v>0.0</v>
      </c>
      <c r="M9707" s="74">
        <f t="shared" si="6"/>
        <v>0</v>
      </c>
      <c r="N9707" s="74">
        <f t="shared" si="3"/>
        <v>140000</v>
      </c>
      <c r="O9707" s="65" t="str">
        <f>VLOOKUP(E9707,DATABASE!C:Q,8,false)</f>
        <v>IBU</v>
      </c>
      <c r="P9707" s="65">
        <f>VLOOKUP(E9707,DATABASE!C:Q,9,False)</f>
        <v>0</v>
      </c>
      <c r="Q9707" s="93" t="str">
        <f>VLOOKUP(E9707,DATABASE!C:Q,4,false)</f>
        <v>SPOORING</v>
      </c>
      <c r="R9707" s="93" t="str">
        <f>VLOOKUP(E9707,DATABASE!C:Q,11,false)</f>
        <v>SERVICE</v>
      </c>
    </row>
    <row r="9708" ht="22.5" customHeight="1">
      <c r="A9708" s="49"/>
      <c r="C9708" s="400">
        <v>46236.0</v>
      </c>
      <c r="D9708" s="69">
        <v>481.0</v>
      </c>
      <c r="E9708" s="544" t="s">
        <v>1704</v>
      </c>
      <c r="F9708" s="387">
        <v>1.0</v>
      </c>
      <c r="G9708" s="140">
        <v>880000.0</v>
      </c>
      <c r="H9708" s="74"/>
      <c r="I9708" s="74">
        <f t="shared" si="7"/>
        <v>880000</v>
      </c>
      <c r="J9708" s="74">
        <f>IF(E9708="SERVICE",I9708-(I9708*50%),Vlookup(E9708,DATABASE!C:Q,10,false)*F9708)</f>
        <v>0</v>
      </c>
      <c r="K9708" s="74">
        <f>VLOOKUP(E9708,DATABASE!C:Q,7,false)</f>
        <v>787500</v>
      </c>
      <c r="L9708" s="74">
        <v>787500.0</v>
      </c>
      <c r="M9708" s="74">
        <f t="shared" si="6"/>
        <v>790000</v>
      </c>
      <c r="N9708" s="74">
        <f t="shared" si="3"/>
        <v>90000</v>
      </c>
      <c r="O9708" s="65" t="str">
        <f>VLOOKUP(E9708,DATABASE!C:Q,8,false)</f>
        <v>BIAN</v>
      </c>
      <c r="P9708" s="65">
        <f>VLOOKUP(E9708,DATABASE!C:Q,9,False)</f>
        <v>1</v>
      </c>
      <c r="Q9708" s="93" t="str">
        <f>VLOOKUP(E9708,DATABASE!C:Q,4,false)</f>
        <v>GT</v>
      </c>
      <c r="R9708" s="93" t="str">
        <f>VLOOKUP(E9708,DATABASE!C:Q,11,false)</f>
        <v>Tire</v>
      </c>
    </row>
    <row r="9709" ht="22.5" customHeight="1">
      <c r="A9709" s="49"/>
      <c r="C9709" s="400">
        <v>46236.0</v>
      </c>
      <c r="D9709" s="69">
        <v>482.0</v>
      </c>
      <c r="E9709" s="544" t="s">
        <v>290</v>
      </c>
      <c r="F9709" s="387">
        <v>2.0</v>
      </c>
      <c r="G9709" s="140">
        <v>720000.0</v>
      </c>
      <c r="H9709" s="74"/>
      <c r="I9709" s="74">
        <f t="shared" si="7"/>
        <v>1440000</v>
      </c>
      <c r="J9709" s="74">
        <f>IF(E9709="SERVICE",I9709-(I9709*50%),Vlookup(E9709,DATABASE!C:Q,10,false)*F9709)</f>
        <v>0</v>
      </c>
      <c r="K9709" s="74">
        <f>VLOOKUP(E9709,DATABASE!C:Q,7,false)</f>
        <v>628100</v>
      </c>
      <c r="L9709" s="74">
        <v>628100.0</v>
      </c>
      <c r="M9709" s="74">
        <f t="shared" si="6"/>
        <v>630000</v>
      </c>
      <c r="N9709" s="74">
        <f t="shared" si="3"/>
        <v>180000</v>
      </c>
      <c r="O9709" s="65" t="str">
        <f>VLOOKUP(E9709,DATABASE!C:Q,8,false)</f>
        <v>BIAN</v>
      </c>
      <c r="P9709" s="65">
        <f>VLOOKUP(E9709,DATABASE!C:Q,9,False)</f>
        <v>1</v>
      </c>
      <c r="Q9709" s="93" t="str">
        <f>VLOOKUP(E9709,DATABASE!C:Q,4,false)</f>
        <v>GT</v>
      </c>
      <c r="R9709" s="93" t="str">
        <f>VLOOKUP(E9709,DATABASE!C:Q,11,false)</f>
        <v>Tire</v>
      </c>
    </row>
    <row r="9710" ht="22.5" customHeight="1">
      <c r="A9710" s="49"/>
      <c r="C9710" s="400">
        <v>46236.0</v>
      </c>
      <c r="D9710" s="69">
        <v>483.0</v>
      </c>
      <c r="E9710" s="544" t="s">
        <v>613</v>
      </c>
      <c r="F9710" s="387">
        <v>2.0</v>
      </c>
      <c r="G9710" s="140">
        <v>100000.0</v>
      </c>
      <c r="H9710" s="74"/>
      <c r="I9710" s="74">
        <f t="shared" si="7"/>
        <v>200000</v>
      </c>
      <c r="J9710" s="74">
        <f>IF(E9710="SERVICE",I9710-(I9710*50%),Vlookup(E9710,DATABASE!C:Q,10,false)*F9710)</f>
        <v>0</v>
      </c>
      <c r="K9710" s="74">
        <f>VLOOKUP(E9710,DATABASE!C:Q,7,false)</f>
        <v>58371.2695</v>
      </c>
      <c r="L9710" s="74">
        <v>58371.2695</v>
      </c>
      <c r="M9710" s="74">
        <f t="shared" si="6"/>
        <v>60000</v>
      </c>
      <c r="N9710" s="74">
        <f t="shared" si="3"/>
        <v>80000</v>
      </c>
      <c r="O9710" s="65" t="str">
        <f>VLOOKUP(E9710,DATABASE!C:Q,8,false)</f>
        <v>BIAN</v>
      </c>
      <c r="P9710" s="65">
        <f>VLOOKUP(E9710,DATABASE!C:Q,9,False)</f>
        <v>1</v>
      </c>
      <c r="Q9710" s="93" t="str">
        <f>VLOOKUP(E9710,DATABASE!C:Q,4,false)</f>
        <v>BD</v>
      </c>
      <c r="R9710" s="93" t="str">
        <f>VLOOKUP(E9710,DATABASE!C:Q,11,false)</f>
        <v>Tire</v>
      </c>
    </row>
    <row r="9711" ht="22.5" customHeight="1">
      <c r="A9711" s="49"/>
      <c r="C9711" s="400">
        <v>46236.0</v>
      </c>
      <c r="D9711" s="69">
        <v>485.0</v>
      </c>
      <c r="E9711" s="544" t="s">
        <v>1940</v>
      </c>
      <c r="F9711" s="387">
        <v>2.0</v>
      </c>
      <c r="G9711" s="140">
        <v>880000.0</v>
      </c>
      <c r="H9711" s="74"/>
      <c r="I9711" s="74">
        <f t="shared" si="7"/>
        <v>1760000</v>
      </c>
      <c r="J9711" s="74">
        <f>IF(E9711="SERVICE",I9711-(I9711*50%),Vlookup(E9711,DATABASE!C:Q,10,false)*F9711)</f>
        <v>0</v>
      </c>
      <c r="K9711" s="74">
        <f>VLOOKUP(E9711,DATABASE!C:Q,7,false)</f>
        <v>775500</v>
      </c>
      <c r="L9711" s="74">
        <v>775500.0</v>
      </c>
      <c r="M9711" s="74">
        <f t="shared" si="6"/>
        <v>780000</v>
      </c>
      <c r="N9711" s="74">
        <f t="shared" si="3"/>
        <v>200000</v>
      </c>
      <c r="O9711" s="65" t="str">
        <f>VLOOKUP(E9711,DATABASE!C:Q,8,false)</f>
        <v>BIAN</v>
      </c>
      <c r="P9711" s="65">
        <f>VLOOKUP(E9711,DATABASE!C:Q,9,False)</f>
        <v>1</v>
      </c>
      <c r="Q9711" s="93" t="str">
        <f>VLOOKUP(E9711,DATABASE!C:Q,4,false)</f>
        <v>GT</v>
      </c>
      <c r="R9711" s="93" t="str">
        <f>VLOOKUP(E9711,DATABASE!C:Q,11,false)</f>
        <v>Tire</v>
      </c>
    </row>
    <row r="9712" ht="22.5" customHeight="1">
      <c r="A9712" s="49"/>
      <c r="C9712" s="400">
        <v>46236.0</v>
      </c>
      <c r="D9712" s="69">
        <v>485.0</v>
      </c>
      <c r="E9712" s="544" t="s">
        <v>2199</v>
      </c>
      <c r="F9712" s="387">
        <v>1.0</v>
      </c>
      <c r="G9712" s="140">
        <v>20000.0</v>
      </c>
      <c r="H9712" s="74"/>
      <c r="I9712" s="74">
        <f t="shared" si="7"/>
        <v>20000</v>
      </c>
      <c r="J9712" s="74">
        <f>IF(E9712="SERVICE",I9712-(I9712*50%),Vlookup(E9712,DATABASE!C:Q,10,false)*F9712)</f>
        <v>0</v>
      </c>
      <c r="K9712" s="74">
        <f>VLOOKUP(E9712,DATABASE!C:Q,7,false)</f>
        <v>5000</v>
      </c>
      <c r="L9712" s="74">
        <v>5000.0</v>
      </c>
      <c r="M9712" s="74">
        <f t="shared" si="6"/>
        <v>5000</v>
      </c>
      <c r="N9712" s="74">
        <f t="shared" si="3"/>
        <v>15000</v>
      </c>
      <c r="O9712" s="65" t="str">
        <f>VLOOKUP(E9712,DATABASE!C:Q,8,false)</f>
        <v>BIAN</v>
      </c>
      <c r="P9712" s="65">
        <f>VLOOKUP(E9712,DATABASE!C:Q,9,False)</f>
        <v>0</v>
      </c>
      <c r="Q9712" s="93" t="str">
        <f>VLOOKUP(E9712,DATABASE!C:Q,4,false)</f>
        <v>TAMBAL TUBLES</v>
      </c>
      <c r="R9712" s="93" t="str">
        <f>VLOOKUP(E9712,DATABASE!C:Q,11,false)</f>
        <v>COMPLEMENTARY</v>
      </c>
    </row>
    <row r="9713" ht="22.5" customHeight="1">
      <c r="A9713" s="49"/>
      <c r="C9713" s="400">
        <v>46236.0</v>
      </c>
      <c r="D9713" s="69">
        <v>486.0</v>
      </c>
      <c r="E9713" s="544" t="s">
        <v>1430</v>
      </c>
      <c r="F9713" s="387">
        <v>2.0</v>
      </c>
      <c r="G9713" s="140">
        <v>775000.0</v>
      </c>
      <c r="H9713" s="74"/>
      <c r="I9713" s="74">
        <f t="shared" si="7"/>
        <v>1550000</v>
      </c>
      <c r="J9713" s="74">
        <f>IF(E9713="SERVICE",I9713-(I9713*50%),Vlookup(E9713,DATABASE!C:Q,10,false)*F9713)</f>
        <v>0</v>
      </c>
      <c r="K9713" s="74">
        <f>VLOOKUP(E9713,DATABASE!C:Q,7,false)</f>
        <v>672800</v>
      </c>
      <c r="L9713" s="74">
        <v>672800.0</v>
      </c>
      <c r="M9713" s="74">
        <f t="shared" si="6"/>
        <v>675000</v>
      </c>
      <c r="N9713" s="74">
        <f t="shared" si="3"/>
        <v>200000</v>
      </c>
      <c r="O9713" s="65" t="str">
        <f>VLOOKUP(E9713,DATABASE!C:Q,8,false)</f>
        <v>BIAN</v>
      </c>
      <c r="P9713" s="65">
        <f>VLOOKUP(E9713,DATABASE!C:Q,9,False)</f>
        <v>1</v>
      </c>
      <c r="Q9713" s="93" t="str">
        <f>VLOOKUP(E9713,DATABASE!C:Q,4,false)</f>
        <v>GT</v>
      </c>
      <c r="R9713" s="93" t="str">
        <f>VLOOKUP(E9713,DATABASE!C:Q,11,false)</f>
        <v>Tire</v>
      </c>
    </row>
    <row r="9714" ht="22.5" customHeight="1">
      <c r="A9714" s="49"/>
      <c r="C9714" s="400">
        <v>46236.0</v>
      </c>
      <c r="D9714" s="69">
        <v>486.0</v>
      </c>
      <c r="E9714" s="544" t="s">
        <v>256</v>
      </c>
      <c r="F9714" s="387">
        <v>1.0</v>
      </c>
      <c r="G9714" s="140">
        <v>150000.0</v>
      </c>
      <c r="H9714" s="74"/>
      <c r="I9714" s="74">
        <f t="shared" si="7"/>
        <v>150000</v>
      </c>
      <c r="J9714" s="74">
        <f>IF(E9714="SERVICE",I9714-(I9714*50%),Vlookup(E9714,DATABASE!C:Q,10,false)*F9714)</f>
        <v>10000</v>
      </c>
      <c r="K9714" s="74">
        <f>VLOOKUP(E9714,DATABASE!C:Q,7,false)</f>
        <v>0</v>
      </c>
      <c r="L9714" s="74">
        <v>0.0</v>
      </c>
      <c r="M9714" s="74">
        <f t="shared" si="6"/>
        <v>0</v>
      </c>
      <c r="N9714" s="74">
        <f t="shared" si="3"/>
        <v>140000</v>
      </c>
      <c r="O9714" s="65" t="str">
        <f>VLOOKUP(E9714,DATABASE!C:Q,8,false)</f>
        <v>IBU</v>
      </c>
      <c r="P9714" s="65">
        <f>VLOOKUP(E9714,DATABASE!C:Q,9,False)</f>
        <v>0</v>
      </c>
      <c r="Q9714" s="93" t="str">
        <f>VLOOKUP(E9714,DATABASE!C:Q,4,false)</f>
        <v>SPOORING</v>
      </c>
      <c r="R9714" s="93" t="str">
        <f>VLOOKUP(E9714,DATABASE!C:Q,11,false)</f>
        <v>SERVICE</v>
      </c>
    </row>
    <row r="9715" ht="22.5" customHeight="1">
      <c r="A9715" s="49"/>
      <c r="C9715" s="400">
        <v>46236.0</v>
      </c>
      <c r="D9715" s="69">
        <v>486.0</v>
      </c>
      <c r="E9715" s="544" t="s">
        <v>262</v>
      </c>
      <c r="F9715" s="387">
        <v>1.0</v>
      </c>
      <c r="G9715" s="140">
        <v>130000.0</v>
      </c>
      <c r="H9715" s="74"/>
      <c r="I9715" s="74">
        <f t="shared" si="7"/>
        <v>130000</v>
      </c>
      <c r="J9715" s="74">
        <f>IF(E9715="SERVICE",I9715-(I9715*50%),Vlookup(E9715,DATABASE!C:Q,10,false)*F9715)</f>
        <v>5000</v>
      </c>
      <c r="K9715" s="74">
        <f>VLOOKUP(E9715,DATABASE!C:Q,7,false)</f>
        <v>0</v>
      </c>
      <c r="L9715" s="74">
        <v>0.0</v>
      </c>
      <c r="M9715" s="74">
        <f t="shared" si="6"/>
        <v>0</v>
      </c>
      <c r="N9715" s="74">
        <f t="shared" si="3"/>
        <v>125000</v>
      </c>
      <c r="O9715" s="65" t="str">
        <f>VLOOKUP(E9715,DATABASE!C:Q,8,false)</f>
        <v>IBU</v>
      </c>
      <c r="P9715" s="65">
        <f>VLOOKUP(E9715,DATABASE!C:Q,9,False)</f>
        <v>0</v>
      </c>
      <c r="Q9715" s="93" t="str">
        <f>VLOOKUP(E9715,DATABASE!C:Q,4,false)</f>
        <v>SPOORING SS/CARRY LOS BAK</v>
      </c>
      <c r="R9715" s="93" t="str">
        <f>VLOOKUP(E9715,DATABASE!C:Q,11,false)</f>
        <v>SERVICE</v>
      </c>
    </row>
    <row r="9716" ht="22.5" customHeight="1">
      <c r="A9716" s="49"/>
      <c r="C9716" s="400">
        <v>46236.0</v>
      </c>
      <c r="D9716" s="69">
        <v>486.0</v>
      </c>
      <c r="E9716" s="544" t="s">
        <v>301</v>
      </c>
      <c r="F9716" s="387">
        <v>1.0</v>
      </c>
      <c r="G9716" s="140">
        <v>250000.0</v>
      </c>
      <c r="H9716" s="74"/>
      <c r="I9716" s="74">
        <f t="shared" si="7"/>
        <v>250000</v>
      </c>
      <c r="J9716" s="74">
        <f>IF(E9716="SERVICE",I9716-(I9716*50%),Vlookup(E9716,DATABASE!C:Q,10,false)*F9716)</f>
        <v>75000</v>
      </c>
      <c r="K9716" s="74">
        <f>VLOOKUP(E9716,DATABASE!C:Q,7,false)</f>
        <v>75000</v>
      </c>
      <c r="L9716" s="74">
        <v>75000.0</v>
      </c>
      <c r="M9716" s="74">
        <f t="shared" si="6"/>
        <v>75000</v>
      </c>
      <c r="N9716" s="74">
        <f t="shared" si="3"/>
        <v>100000</v>
      </c>
      <c r="O9716" s="65" t="str">
        <f>VLOOKUP(E9716,DATABASE!C:Q,8,false)</f>
        <v>BIAN</v>
      </c>
      <c r="P9716" s="65">
        <f>VLOOKUP(E9716,DATABASE!C:Q,9,False)</f>
        <v>0</v>
      </c>
      <c r="Q9716" s="93" t="str">
        <f>VLOOKUP(E9716,DATABASE!C:Q,4,false)</f>
        <v>Baut Camber</v>
      </c>
      <c r="R9716" s="93" t="str">
        <f>VLOOKUP(E9716,DATABASE!C:Q,11,false)</f>
        <v>COMPLEMENTARY</v>
      </c>
    </row>
    <row r="9717" ht="22.5" customHeight="1">
      <c r="A9717" s="49"/>
      <c r="C9717" s="400">
        <v>46236.0</v>
      </c>
      <c r="D9717" s="69">
        <v>486.0</v>
      </c>
      <c r="E9717" s="544" t="s">
        <v>478</v>
      </c>
      <c r="F9717" s="387">
        <v>1.0</v>
      </c>
      <c r="G9717" s="140">
        <v>200000.0</v>
      </c>
      <c r="H9717" s="74"/>
      <c r="I9717" s="74">
        <f t="shared" si="7"/>
        <v>200000</v>
      </c>
      <c r="J9717" s="74">
        <f>IF(E9717="SERVICE",I9717-(I9717*50%),Vlookup(E9717,DATABASE!C:Q,10,false)*F9717)</f>
        <v>25000</v>
      </c>
      <c r="K9717" s="74">
        <f>VLOOKUP(E9717,DATABASE!C:Q,7,false)</f>
        <v>75000</v>
      </c>
      <c r="L9717" s="74">
        <v>75000.0</v>
      </c>
      <c r="M9717" s="74">
        <f t="shared" si="6"/>
        <v>75000</v>
      </c>
      <c r="N9717" s="74">
        <f t="shared" si="3"/>
        <v>100000</v>
      </c>
      <c r="O9717" s="65" t="str">
        <f>VLOOKUP(E9717,DATABASE!C:Q,8,false)</f>
        <v>BIAN</v>
      </c>
      <c r="P9717" s="65">
        <f>VLOOKUP(E9717,DATABASE!C:Q,9,False)</f>
        <v>0</v>
      </c>
      <c r="Q9717" s="93" t="str">
        <f>VLOOKUP(E9717,DATABASE!C:Q,4,false)</f>
        <v>Baut Camber ss-carry</v>
      </c>
      <c r="R9717" s="93" t="str">
        <f>VLOOKUP(E9717,DATABASE!C:Q,11,false)</f>
        <v>COMPLEMENTARY</v>
      </c>
    </row>
    <row r="9718" ht="22.5" customHeight="1">
      <c r="A9718" s="49"/>
      <c r="C9718" s="400">
        <v>46236.0</v>
      </c>
      <c r="D9718" s="69">
        <v>486.0</v>
      </c>
      <c r="E9718" s="544" t="s">
        <v>2206</v>
      </c>
      <c r="F9718" s="387">
        <v>1.0</v>
      </c>
      <c r="G9718" s="140">
        <v>200000.0</v>
      </c>
      <c r="H9718" s="74"/>
      <c r="I9718" s="74">
        <f t="shared" si="7"/>
        <v>200000</v>
      </c>
      <c r="J9718" s="74">
        <f>IF(E9718="SERVICE",I9718-(I9718*50%),Vlookup(E9718,DATABASE!C:Q,10,false)*F9718)</f>
        <v>40000</v>
      </c>
      <c r="K9718" s="74">
        <f>VLOOKUP(E9718,DATABASE!C:Q,7,false)</f>
        <v>95450</v>
      </c>
      <c r="L9718" s="74">
        <v>95450.0</v>
      </c>
      <c r="M9718" s="74">
        <f t="shared" si="6"/>
        <v>100000</v>
      </c>
      <c r="N9718" s="74">
        <f t="shared" si="3"/>
        <v>60000</v>
      </c>
      <c r="O9718" s="65" t="str">
        <f>VLOOKUP(E9718,DATABASE!C:Q,8,false)</f>
        <v>IBU</v>
      </c>
      <c r="P9718" s="65">
        <f>VLOOKUP(E9718,DATABASE!C:Q,9,False)</f>
        <v>1</v>
      </c>
      <c r="Q9718" s="93" t="str">
        <f>VLOOKUP(E9718,DATABASE!C:Q,4,false)</f>
        <v>TIEROD</v>
      </c>
      <c r="R9718" s="93" t="str">
        <f>VLOOKUP(E9718,DATABASE!C:Q,11,false)</f>
        <v>COMPLEMENTARY</v>
      </c>
    </row>
    <row r="9719" ht="22.5" customHeight="1">
      <c r="A9719" s="49"/>
      <c r="C9719" s="400">
        <v>46236.0</v>
      </c>
      <c r="D9719" s="69">
        <v>486.0</v>
      </c>
      <c r="E9719" s="544" t="s">
        <v>299</v>
      </c>
      <c r="F9719" s="387">
        <v>1.0</v>
      </c>
      <c r="G9719" s="140">
        <v>30000.0</v>
      </c>
      <c r="H9719" s="74"/>
      <c r="I9719" s="74">
        <f t="shared" si="7"/>
        <v>30000</v>
      </c>
      <c r="J9719" s="74">
        <f>IF(E9719="SERVICE",I9719-(I9719*50%),Vlookup(E9719,DATABASE!C:Q,10,false)*F9719)</f>
        <v>0</v>
      </c>
      <c r="K9719" s="74">
        <f>VLOOKUP(E9719,DATABASE!C:Q,7,false)</f>
        <v>10000</v>
      </c>
      <c r="L9719" s="74">
        <v>10000.0</v>
      </c>
      <c r="M9719" s="74">
        <f t="shared" si="6"/>
        <v>10000</v>
      </c>
      <c r="N9719" s="74">
        <f t="shared" si="3"/>
        <v>20000</v>
      </c>
      <c r="O9719" s="65" t="str">
        <f>VLOOKUP(E9719,DATABASE!C:Q,8,false)</f>
        <v>BIAN</v>
      </c>
      <c r="P9719" s="65">
        <f>VLOOKUP(E9719,DATABASE!C:Q,9,False)</f>
        <v>0</v>
      </c>
      <c r="Q9719" s="93" t="str">
        <f>VLOOKUP(E9719,DATABASE!C:Q,4,false)</f>
        <v>Balancing</v>
      </c>
      <c r="R9719" s="93" t="str">
        <f>VLOOKUP(E9719,DATABASE!C:Q,11,false)</f>
        <v>COMPLEMENTARY</v>
      </c>
    </row>
    <row r="9720" ht="22.5" customHeight="1">
      <c r="A9720" s="49"/>
      <c r="C9720" s="400">
        <v>46237.0</v>
      </c>
      <c r="D9720" s="524">
        <v>487.0</v>
      </c>
      <c r="E9720" s="544" t="s">
        <v>403</v>
      </c>
      <c r="F9720" s="387">
        <v>2.0</v>
      </c>
      <c r="G9720" s="140">
        <v>2260000.0</v>
      </c>
      <c r="H9720" s="74"/>
      <c r="I9720" s="74">
        <f t="shared" si="7"/>
        <v>4520000</v>
      </c>
      <c r="J9720" s="74">
        <f>IF(E9720="SERVICE",I9720-(I9720*50%),Vlookup(E9720,DATABASE!C:Q,10,false)*F9720)</f>
        <v>0</v>
      </c>
      <c r="K9720" s="74">
        <f>VLOOKUP(E9720,DATABASE!C:Q,7,false)</f>
        <v>2160000</v>
      </c>
      <c r="L9720" s="74">
        <v>2160000.0</v>
      </c>
      <c r="M9720" s="74">
        <f t="shared" si="6"/>
        <v>2160000</v>
      </c>
      <c r="N9720" s="74">
        <f t="shared" si="3"/>
        <v>200000</v>
      </c>
      <c r="O9720" s="65" t="str">
        <f>VLOOKUP(E9720,DATABASE!C:Q,8,false)</f>
        <v>BIAN</v>
      </c>
      <c r="P9720" s="65">
        <f>VLOOKUP(E9720,DATABASE!C:Q,9,False)</f>
        <v>1</v>
      </c>
      <c r="Q9720" s="93" t="str">
        <f>VLOOKUP(E9720,DATABASE!C:Q,4,false)</f>
        <v>Advance</v>
      </c>
      <c r="R9720" s="93" t="str">
        <f>VLOOKUP(E9720,DATABASE!C:Q,11,false)</f>
        <v>Tire</v>
      </c>
    </row>
    <row r="9721" ht="22.5" customHeight="1">
      <c r="A9721" s="49"/>
      <c r="C9721" s="400">
        <v>46237.0</v>
      </c>
      <c r="D9721" s="524">
        <v>488.0</v>
      </c>
      <c r="E9721" s="544" t="s">
        <v>856</v>
      </c>
      <c r="F9721" s="387">
        <v>1.0</v>
      </c>
      <c r="G9721" s="140">
        <v>700000.0</v>
      </c>
      <c r="H9721" s="74"/>
      <c r="I9721" s="74">
        <f t="shared" si="7"/>
        <v>700000</v>
      </c>
      <c r="J9721" s="74">
        <f>IF(E9721="SERVICE",I9721-(I9721*50%),Vlookup(E9721,DATABASE!C:Q,10,false)*F9721)</f>
        <v>0</v>
      </c>
      <c r="K9721" s="74">
        <f>VLOOKUP(E9721,DATABASE!C:Q,7,false)</f>
        <v>615300</v>
      </c>
      <c r="L9721" s="74">
        <v>615300.0</v>
      </c>
      <c r="M9721" s="74">
        <f t="shared" si="6"/>
        <v>620000</v>
      </c>
      <c r="N9721" s="74">
        <f t="shared" si="3"/>
        <v>80000</v>
      </c>
      <c r="O9721" s="65" t="str">
        <f>VLOOKUP(E9721,DATABASE!C:Q,8,false)</f>
        <v>BIAN</v>
      </c>
      <c r="P9721" s="65">
        <f>VLOOKUP(E9721,DATABASE!C:Q,9,False)</f>
        <v>1</v>
      </c>
      <c r="Q9721" s="93" t="str">
        <f>VLOOKUP(E9721,DATABASE!C:Q,4,false)</f>
        <v>GT</v>
      </c>
      <c r="R9721" s="93" t="str">
        <f>VLOOKUP(E9721,DATABASE!C:Q,11,false)</f>
        <v>Tire</v>
      </c>
    </row>
    <row r="9722" ht="22.5" customHeight="1">
      <c r="A9722" s="49"/>
      <c r="C9722" s="400">
        <v>46237.0</v>
      </c>
      <c r="D9722" s="524">
        <v>489.0</v>
      </c>
      <c r="E9722" s="544" t="s">
        <v>974</v>
      </c>
      <c r="F9722" s="387">
        <v>1.0</v>
      </c>
      <c r="G9722" s="140">
        <v>590000.0</v>
      </c>
      <c r="H9722" s="74"/>
      <c r="I9722" s="74">
        <f t="shared" si="7"/>
        <v>590000</v>
      </c>
      <c r="J9722" s="74">
        <f>IF(E9722="SERVICE",I9722-(I9722*50%),Vlookup(E9722,DATABASE!C:Q,10,false)*F9722)</f>
        <v>0</v>
      </c>
      <c r="K9722" s="74">
        <f>VLOOKUP(E9722,DATABASE!C:Q,7,false)</f>
        <v>501500</v>
      </c>
      <c r="L9722" s="74">
        <v>501500.0</v>
      </c>
      <c r="M9722" s="74">
        <f t="shared" si="6"/>
        <v>505000</v>
      </c>
      <c r="N9722" s="74">
        <f t="shared" si="3"/>
        <v>85000</v>
      </c>
      <c r="O9722" s="65" t="str">
        <f>VLOOKUP(E9722,DATABASE!C:Q,8,false)</f>
        <v>IBU</v>
      </c>
      <c r="P9722" s="65">
        <f>VLOOKUP(E9722,DATABASE!C:Q,9,False)</f>
        <v>1</v>
      </c>
      <c r="Q9722" s="93" t="str">
        <f>VLOOKUP(E9722,DATABASE!C:Q,4,false)</f>
        <v>Dunlop</v>
      </c>
      <c r="R9722" s="93" t="str">
        <f>VLOOKUP(E9722,DATABASE!C:Q,11,false)</f>
        <v>Tire</v>
      </c>
    </row>
    <row r="9723" ht="22.5" customHeight="1">
      <c r="A9723" s="49"/>
      <c r="C9723" s="400">
        <v>46237.0</v>
      </c>
      <c r="D9723" s="524">
        <v>491.0</v>
      </c>
      <c r="E9723" s="544" t="s">
        <v>275</v>
      </c>
      <c r="F9723" s="387">
        <v>1.0</v>
      </c>
      <c r="G9723" s="140">
        <v>850000.0</v>
      </c>
      <c r="H9723" s="74"/>
      <c r="I9723" s="74">
        <f t="shared" si="7"/>
        <v>850000</v>
      </c>
      <c r="J9723" s="74">
        <f>IF(E9723="SERVICE",I9723-(I9723*50%),Vlookup(E9723,DATABASE!C:Q,10,false)*F9723)</f>
        <v>0</v>
      </c>
      <c r="K9723" s="74">
        <f>VLOOKUP(E9723,DATABASE!C:Q,7,false)</f>
        <v>782000</v>
      </c>
      <c r="L9723" s="74">
        <v>759500.0</v>
      </c>
      <c r="M9723" s="74">
        <f t="shared" si="6"/>
        <v>760000</v>
      </c>
      <c r="N9723" s="74">
        <f t="shared" si="3"/>
        <v>90000</v>
      </c>
      <c r="O9723" s="65" t="str">
        <f>VLOOKUP(E9723,DATABASE!C:Q,8,false)</f>
        <v>IBU</v>
      </c>
      <c r="P9723" s="65">
        <f>VLOOKUP(E9723,DATABASE!C:Q,9,False)</f>
        <v>1</v>
      </c>
      <c r="Q9723" s="93" t="str">
        <f>VLOOKUP(E9723,DATABASE!C:Q,4,false)</f>
        <v>Dunlop</v>
      </c>
      <c r="R9723" s="93" t="str">
        <f>VLOOKUP(E9723,DATABASE!C:Q,11,false)</f>
        <v>Tire</v>
      </c>
    </row>
    <row r="9724" ht="22.5" customHeight="1">
      <c r="A9724" s="49"/>
      <c r="C9724" s="400">
        <v>46237.0</v>
      </c>
      <c r="D9724" s="524">
        <v>492.0</v>
      </c>
      <c r="E9724" s="544" t="s">
        <v>374</v>
      </c>
      <c r="F9724" s="387">
        <v>2.0</v>
      </c>
      <c r="G9724" s="140">
        <v>2080000.0</v>
      </c>
      <c r="H9724" s="74"/>
      <c r="I9724" s="74">
        <f t="shared" si="7"/>
        <v>4160000</v>
      </c>
      <c r="J9724" s="74">
        <f>IF(E9724="SERVICE",I9724-(I9724*50%),Vlookup(E9724,DATABASE!C:Q,10,false)*F9724)</f>
        <v>0</v>
      </c>
      <c r="K9724" s="74">
        <f>VLOOKUP(E9724,DATABASE!C:Q,7,false)</f>
        <v>1980000</v>
      </c>
      <c r="L9724" s="74">
        <v>1980000.0</v>
      </c>
      <c r="M9724" s="74">
        <f t="shared" si="6"/>
        <v>1980000</v>
      </c>
      <c r="N9724" s="74">
        <f t="shared" si="3"/>
        <v>200000</v>
      </c>
      <c r="O9724" s="65" t="str">
        <f>VLOOKUP(E9724,DATABASE!C:Q,8,false)</f>
        <v>BIAN</v>
      </c>
      <c r="P9724" s="65">
        <f>VLOOKUP(E9724,DATABASE!C:Q,9,False)</f>
        <v>1</v>
      </c>
      <c r="Q9724" s="93" t="str">
        <f>VLOOKUP(E9724,DATABASE!C:Q,4,false)</f>
        <v>Advance</v>
      </c>
      <c r="R9724" s="93" t="str">
        <f>VLOOKUP(E9724,DATABASE!C:Q,11,false)</f>
        <v>Tire</v>
      </c>
    </row>
    <row r="9725" ht="22.5" customHeight="1">
      <c r="A9725" s="49"/>
      <c r="C9725" s="400">
        <v>46237.0</v>
      </c>
      <c r="D9725" s="69">
        <v>494.0</v>
      </c>
      <c r="E9725" s="544" t="s">
        <v>1867</v>
      </c>
      <c r="F9725" s="387">
        <v>2.0</v>
      </c>
      <c r="G9725" s="140">
        <v>665000.0</v>
      </c>
      <c r="H9725" s="74"/>
      <c r="I9725" s="74">
        <f t="shared" si="7"/>
        <v>1330000</v>
      </c>
      <c r="J9725" s="74">
        <f>IF(E9725="SERVICE",I9725-(I9725*50%),Vlookup(E9725,DATABASE!C:Q,10,false)*F9725)</f>
        <v>0</v>
      </c>
      <c r="K9725" s="74">
        <f>VLOOKUP(E9725,DATABASE!C:Q,7,false)</f>
        <v>575200</v>
      </c>
      <c r="L9725" s="74">
        <v>575200.0</v>
      </c>
      <c r="M9725" s="74">
        <f t="shared" si="6"/>
        <v>580000</v>
      </c>
      <c r="N9725" s="74">
        <f t="shared" si="3"/>
        <v>170000</v>
      </c>
      <c r="O9725" s="65" t="str">
        <f>VLOOKUP(E9725,DATABASE!C:Q,8,false)</f>
        <v>BIAN</v>
      </c>
      <c r="P9725" s="65">
        <f>VLOOKUP(E9725,DATABASE!C:Q,9,False)</f>
        <v>1</v>
      </c>
      <c r="Q9725" s="93" t="str">
        <f>VLOOKUP(E9725,DATABASE!C:Q,4,false)</f>
        <v>GT</v>
      </c>
      <c r="R9725" s="93" t="str">
        <f>VLOOKUP(E9725,DATABASE!C:Q,11,false)</f>
        <v>Tire</v>
      </c>
    </row>
    <row r="9726" ht="22.5" customHeight="1">
      <c r="A9726" s="49"/>
      <c r="C9726" s="400">
        <v>46237.0</v>
      </c>
      <c r="D9726" s="69">
        <v>495.0</v>
      </c>
      <c r="E9726" s="544" t="s">
        <v>968</v>
      </c>
      <c r="F9726" s="387">
        <v>1.0</v>
      </c>
      <c r="G9726" s="140">
        <v>675000.0</v>
      </c>
      <c r="H9726" s="74"/>
      <c r="I9726" s="74">
        <f t="shared" si="7"/>
        <v>675000</v>
      </c>
      <c r="J9726" s="74">
        <f>IF(E9726="SERVICE",I9726-(I9726*50%),Vlookup(E9726,DATABASE!C:Q,10,false)*F9726)</f>
        <v>0</v>
      </c>
      <c r="K9726" s="74">
        <f>VLOOKUP(E9726,DATABASE!C:Q,7,false)</f>
        <v>582500</v>
      </c>
      <c r="L9726" s="74">
        <v>582500.0</v>
      </c>
      <c r="M9726" s="74">
        <f t="shared" si="6"/>
        <v>585000</v>
      </c>
      <c r="N9726" s="74">
        <f t="shared" si="3"/>
        <v>90000</v>
      </c>
      <c r="O9726" s="65" t="str">
        <f>VLOOKUP(E9726,DATABASE!C:Q,8,false)</f>
        <v>IBU</v>
      </c>
      <c r="P9726" s="65">
        <f>VLOOKUP(E9726,DATABASE!C:Q,9,False)</f>
        <v>1</v>
      </c>
      <c r="Q9726" s="93" t="str">
        <f>VLOOKUP(E9726,DATABASE!C:Q,4,false)</f>
        <v>Dunlop</v>
      </c>
      <c r="R9726" s="93" t="str">
        <f>VLOOKUP(E9726,DATABASE!C:Q,11,false)</f>
        <v>Tire</v>
      </c>
    </row>
    <row r="9727" ht="22.5" customHeight="1">
      <c r="A9727" s="49"/>
      <c r="C9727" s="400">
        <v>46237.0</v>
      </c>
      <c r="D9727" s="69">
        <v>496.0</v>
      </c>
      <c r="E9727" s="544" t="s">
        <v>2624</v>
      </c>
      <c r="F9727" s="387">
        <v>4.0</v>
      </c>
      <c r="G9727" s="140">
        <v>600000.0</v>
      </c>
      <c r="H9727" s="74"/>
      <c r="I9727" s="74">
        <f t="shared" si="7"/>
        <v>2400000</v>
      </c>
      <c r="J9727" s="74">
        <f>IF(E9727="SERVICE",I9727-(I9727*50%),Vlookup(E9727,DATABASE!C:Q,10,false)*F9727)</f>
        <v>0</v>
      </c>
      <c r="K9727" s="74">
        <f>VLOOKUP(E9727,DATABASE!C:Q,7,false)</f>
        <v>517000</v>
      </c>
      <c r="L9727" s="74">
        <v>517000.0</v>
      </c>
      <c r="M9727" s="74">
        <f t="shared" si="6"/>
        <v>520000</v>
      </c>
      <c r="N9727" s="74">
        <f t="shared" si="3"/>
        <v>320000</v>
      </c>
      <c r="O9727" s="65" t="str">
        <f>VLOOKUP(E9727,DATABASE!C:Q,8,false)</f>
        <v>BIAN</v>
      </c>
      <c r="P9727" s="65">
        <f>VLOOKUP(E9727,DATABASE!C:Q,9,False)</f>
        <v>1</v>
      </c>
      <c r="Q9727" s="93" t="str">
        <f>VLOOKUP(E9727,DATABASE!C:Q,4,false)</f>
        <v>Sailun</v>
      </c>
      <c r="R9727" s="93" t="str">
        <f>VLOOKUP(E9727,DATABASE!C:Q,11,false)</f>
        <v>Tire</v>
      </c>
    </row>
    <row r="9728" ht="22.5" customHeight="1">
      <c r="A9728" s="49"/>
      <c r="C9728" s="400">
        <v>46237.0</v>
      </c>
      <c r="D9728" s="69">
        <v>496.0</v>
      </c>
      <c r="E9728" s="544" t="s">
        <v>256</v>
      </c>
      <c r="F9728" s="387">
        <v>1.0</v>
      </c>
      <c r="G9728" s="140">
        <v>150000.0</v>
      </c>
      <c r="H9728" s="74"/>
      <c r="I9728" s="74">
        <f t="shared" si="7"/>
        <v>150000</v>
      </c>
      <c r="J9728" s="74">
        <f>IF(E9728="SERVICE",I9728-(I9728*50%),Vlookup(E9728,DATABASE!C:Q,10,false)*F9728)</f>
        <v>10000</v>
      </c>
      <c r="K9728" s="74">
        <f>VLOOKUP(E9728,DATABASE!C:Q,7,false)</f>
        <v>0</v>
      </c>
      <c r="L9728" s="74">
        <v>0.0</v>
      </c>
      <c r="M9728" s="74">
        <f t="shared" si="6"/>
        <v>0</v>
      </c>
      <c r="N9728" s="74">
        <f t="shared" si="3"/>
        <v>140000</v>
      </c>
      <c r="O9728" s="65" t="str">
        <f>VLOOKUP(E9728,DATABASE!C:Q,8,false)</f>
        <v>IBU</v>
      </c>
      <c r="P9728" s="65">
        <f>VLOOKUP(E9728,DATABASE!C:Q,9,False)</f>
        <v>0</v>
      </c>
      <c r="Q9728" s="93" t="str">
        <f>VLOOKUP(E9728,DATABASE!C:Q,4,false)</f>
        <v>SPOORING</v>
      </c>
      <c r="R9728" s="93" t="str">
        <f>VLOOKUP(E9728,DATABASE!C:Q,11,false)</f>
        <v>SERVICE</v>
      </c>
    </row>
    <row r="9729" ht="22.5" customHeight="1">
      <c r="A9729" s="49"/>
      <c r="C9729" s="400">
        <v>46237.0</v>
      </c>
      <c r="D9729" s="69">
        <v>496.0</v>
      </c>
      <c r="E9729" s="544" t="s">
        <v>299</v>
      </c>
      <c r="F9729" s="387">
        <v>2.0</v>
      </c>
      <c r="G9729" s="140">
        <v>25000.0</v>
      </c>
      <c r="H9729" s="74"/>
      <c r="I9729" s="74">
        <f t="shared" si="7"/>
        <v>50000</v>
      </c>
      <c r="J9729" s="74">
        <f>IF(E9729="SERVICE",I9729-(I9729*50%),Vlookup(E9729,DATABASE!C:Q,10,false)*F9729)</f>
        <v>0</v>
      </c>
      <c r="K9729" s="74">
        <f>VLOOKUP(E9729,DATABASE!C:Q,7,false)</f>
        <v>10000</v>
      </c>
      <c r="L9729" s="74">
        <v>10000.0</v>
      </c>
      <c r="M9729" s="74">
        <f t="shared" si="6"/>
        <v>10000</v>
      </c>
      <c r="N9729" s="74">
        <f t="shared" si="3"/>
        <v>30000</v>
      </c>
      <c r="O9729" s="65" t="str">
        <f>VLOOKUP(E9729,DATABASE!C:Q,8,false)</f>
        <v>BIAN</v>
      </c>
      <c r="P9729" s="65">
        <f>VLOOKUP(E9729,DATABASE!C:Q,9,False)</f>
        <v>0</v>
      </c>
      <c r="Q9729" s="93" t="str">
        <f>VLOOKUP(E9729,DATABASE!C:Q,4,false)</f>
        <v>Balancing</v>
      </c>
      <c r="R9729" s="93" t="str">
        <f>VLOOKUP(E9729,DATABASE!C:Q,11,false)</f>
        <v>COMPLEMENTARY</v>
      </c>
    </row>
    <row r="9730" ht="22.5" customHeight="1">
      <c r="A9730" s="49"/>
      <c r="C9730" s="400">
        <v>46237.0</v>
      </c>
      <c r="D9730" s="524">
        <v>497.0</v>
      </c>
      <c r="E9730" s="544" t="s">
        <v>2605</v>
      </c>
      <c r="F9730" s="387">
        <v>1.0</v>
      </c>
      <c r="G9730" s="140">
        <v>750000.0</v>
      </c>
      <c r="H9730" s="74"/>
      <c r="I9730" s="74">
        <f t="shared" si="7"/>
        <v>750000</v>
      </c>
      <c r="J9730" s="74">
        <f>IF(E9730="SERVICE",I9730-(I9730*50%),Vlookup(E9730,DATABASE!C:Q,10,false)*F9730)</f>
        <v>0</v>
      </c>
      <c r="K9730" s="74">
        <f>VLOOKUP(E9730,DATABASE!C:Q,7,false)</f>
        <v>650000</v>
      </c>
      <c r="L9730" s="74">
        <v>650000.0</v>
      </c>
      <c r="M9730" s="74">
        <f t="shared" si="6"/>
        <v>650000</v>
      </c>
      <c r="N9730" s="74">
        <f t="shared" si="3"/>
        <v>100000</v>
      </c>
      <c r="O9730" s="65" t="str">
        <f>VLOOKUP(E9730,DATABASE!C:Q,8,false)</f>
        <v>BIAN</v>
      </c>
      <c r="P9730" s="65">
        <f>VLOOKUP(E9730,DATABASE!C:Q,9,False)</f>
        <v>1</v>
      </c>
      <c r="Q9730" s="93" t="str">
        <f>VLOOKUP(E9730,DATABASE!C:Q,4,false)</f>
        <v>Velg</v>
      </c>
      <c r="R9730" s="93" t="str">
        <f>VLOOKUP(E9730,DATABASE!C:Q,11,false)</f>
        <v>Tire</v>
      </c>
    </row>
    <row r="9731" ht="22.5" customHeight="1">
      <c r="A9731" s="49"/>
      <c r="C9731" s="400">
        <v>46237.0</v>
      </c>
      <c r="D9731" s="524">
        <v>497.0</v>
      </c>
      <c r="E9731" s="544" t="s">
        <v>2345</v>
      </c>
      <c r="F9731" s="387">
        <v>1.0</v>
      </c>
      <c r="G9731" s="140">
        <v>780000.0</v>
      </c>
      <c r="H9731" s="74"/>
      <c r="I9731" s="74">
        <f t="shared" si="7"/>
        <v>780000</v>
      </c>
      <c r="J9731" s="74">
        <f>IF(E9731="SERVICE",I9731-(I9731*50%),Vlookup(E9731,DATABASE!C:Q,10,false)*F9731)</f>
        <v>0</v>
      </c>
      <c r="K9731" s="74">
        <f>VLOOKUP(E9731,DATABASE!C:Q,7,false)</f>
        <v>680000</v>
      </c>
      <c r="L9731" s="74">
        <v>680000.0</v>
      </c>
      <c r="M9731" s="74">
        <f t="shared" si="6"/>
        <v>680000</v>
      </c>
      <c r="N9731" s="74">
        <f t="shared" si="3"/>
        <v>100000</v>
      </c>
      <c r="O9731" s="65" t="str">
        <f>VLOOKUP(E9731,DATABASE!C:Q,8,false)</f>
        <v>BIAN</v>
      </c>
      <c r="P9731" s="65">
        <f>VLOOKUP(E9731,DATABASE!C:Q,9,False)</f>
        <v>1</v>
      </c>
      <c r="Q9731" s="93" t="str">
        <f>VLOOKUP(E9731,DATABASE!C:Q,4,false)</f>
        <v>Velg</v>
      </c>
      <c r="R9731" s="93" t="str">
        <f>VLOOKUP(E9731,DATABASE!C:Q,11,false)</f>
        <v>Tire</v>
      </c>
    </row>
    <row r="9732" ht="22.5" customHeight="1">
      <c r="A9732" s="49"/>
      <c r="C9732" s="400">
        <v>46237.0</v>
      </c>
      <c r="D9732" s="524">
        <v>498.0</v>
      </c>
      <c r="E9732" s="544" t="s">
        <v>256</v>
      </c>
      <c r="F9732" s="387">
        <v>1.0</v>
      </c>
      <c r="G9732" s="140">
        <v>175000.0</v>
      </c>
      <c r="H9732" s="140">
        <v>25000.0</v>
      </c>
      <c r="I9732" s="74">
        <f t="shared" si="7"/>
        <v>150000</v>
      </c>
      <c r="J9732" s="74">
        <f>IF(E9732="SERVICE",I9732-(I9732*50%),Vlookup(E9732,DATABASE!C:Q,10,false)*F9732)</f>
        <v>10000</v>
      </c>
      <c r="K9732" s="74">
        <f>VLOOKUP(E9732,DATABASE!C:Q,7,false)</f>
        <v>0</v>
      </c>
      <c r="L9732" s="74">
        <v>0.0</v>
      </c>
      <c r="M9732" s="74">
        <f t="shared" si="6"/>
        <v>0</v>
      </c>
      <c r="N9732" s="74">
        <f t="shared" si="3"/>
        <v>140000</v>
      </c>
      <c r="O9732" s="65" t="str">
        <f>VLOOKUP(E9732,DATABASE!C:Q,8,false)</f>
        <v>IBU</v>
      </c>
      <c r="P9732" s="65">
        <f>VLOOKUP(E9732,DATABASE!C:Q,9,False)</f>
        <v>0</v>
      </c>
      <c r="Q9732" s="93" t="str">
        <f>VLOOKUP(E9732,DATABASE!C:Q,4,false)</f>
        <v>SPOORING</v>
      </c>
      <c r="R9732" s="93" t="str">
        <f>VLOOKUP(E9732,DATABASE!C:Q,11,false)</f>
        <v>SERVICE</v>
      </c>
    </row>
    <row r="9733" ht="22.5" customHeight="1">
      <c r="A9733" s="49"/>
      <c r="C9733" s="400">
        <v>46237.0</v>
      </c>
      <c r="D9733" s="524">
        <v>498.0</v>
      </c>
      <c r="E9733" s="544" t="s">
        <v>251</v>
      </c>
      <c r="F9733" s="387">
        <v>1.0</v>
      </c>
      <c r="G9733" s="140">
        <v>350000.0</v>
      </c>
      <c r="H9733" s="140">
        <v>200000.0</v>
      </c>
      <c r="I9733" s="74">
        <f t="shared" si="7"/>
        <v>150000</v>
      </c>
      <c r="J9733" s="74">
        <f>IF(E9733="SERVICE",I9733-(I9733*50%),Vlookup(E9733,DATABASE!C:Q,10,false)*F9733)</f>
        <v>75000</v>
      </c>
      <c r="K9733" s="74">
        <f>VLOOKUP(E9733,DATABASE!C:Q,7,false)</f>
        <v>0</v>
      </c>
      <c r="L9733" s="74">
        <v>0.0</v>
      </c>
      <c r="M9733" s="74">
        <f t="shared" si="6"/>
        <v>0</v>
      </c>
      <c r="N9733" s="74">
        <f t="shared" si="3"/>
        <v>75000</v>
      </c>
      <c r="O9733" s="65" t="str">
        <f>VLOOKUP(E9733,DATABASE!C:Q,8,false)</f>
        <v>IBU</v>
      </c>
      <c r="P9733" s="65">
        <f>VLOOKUP(E9733,DATABASE!C:Q,9,False)</f>
        <v>0</v>
      </c>
      <c r="Q9733" s="93" t="str">
        <f>VLOOKUP(E9733,DATABASE!C:Q,4,false)</f>
        <v>SERVICE</v>
      </c>
      <c r="R9733" s="93" t="str">
        <f>VLOOKUP(E9733,DATABASE!C:Q,11,false)</f>
        <v>SERVICE</v>
      </c>
    </row>
    <row r="9734" ht="22.5" customHeight="1">
      <c r="A9734" s="49"/>
      <c r="C9734" s="400">
        <v>46237.0</v>
      </c>
      <c r="D9734" s="524">
        <v>499.0</v>
      </c>
      <c r="E9734" s="544" t="s">
        <v>1858</v>
      </c>
      <c r="F9734" s="387">
        <v>1.0</v>
      </c>
      <c r="G9734" s="140">
        <v>2130000.0</v>
      </c>
      <c r="H9734" s="74"/>
      <c r="I9734" s="74">
        <f t="shared" si="7"/>
        <v>2130000</v>
      </c>
      <c r="J9734" s="74">
        <f>IF(E9734="SERVICE",I9734-(I9734*50%),Vlookup(E9734,DATABASE!C:Q,10,false)*F9734)</f>
        <v>0</v>
      </c>
      <c r="K9734" s="74">
        <f>VLOOKUP(E9734,DATABASE!C:Q,7,false)</f>
        <v>2030000</v>
      </c>
      <c r="L9734" s="74">
        <v>2030000.0</v>
      </c>
      <c r="M9734" s="74">
        <f t="shared" si="6"/>
        <v>2030000</v>
      </c>
      <c r="N9734" s="74">
        <f t="shared" si="3"/>
        <v>100000</v>
      </c>
      <c r="O9734" s="65" t="str">
        <f>VLOOKUP(E9734,DATABASE!C:Q,8,false)</f>
        <v>BIAN</v>
      </c>
      <c r="P9734" s="65">
        <f>VLOOKUP(E9734,DATABASE!C:Q,9,False)</f>
        <v>1</v>
      </c>
      <c r="Q9734" s="93" t="str">
        <f>VLOOKUP(E9734,DATABASE!C:Q,4,false)</f>
        <v>GiTi</v>
      </c>
      <c r="R9734" s="93" t="str">
        <f>VLOOKUP(E9734,DATABASE!C:Q,11,false)</f>
        <v>Tire</v>
      </c>
    </row>
    <row r="9735" ht="22.5" customHeight="1">
      <c r="A9735" s="49"/>
      <c r="C9735" s="400">
        <v>46237.0</v>
      </c>
      <c r="D9735" s="524">
        <v>500.0</v>
      </c>
      <c r="E9735" s="544" t="s">
        <v>256</v>
      </c>
      <c r="F9735" s="387">
        <v>1.0</v>
      </c>
      <c r="G9735" s="140">
        <v>175000.0</v>
      </c>
      <c r="H9735" s="140">
        <v>25000.0</v>
      </c>
      <c r="I9735" s="74">
        <f t="shared" si="7"/>
        <v>150000</v>
      </c>
      <c r="J9735" s="74">
        <f>IF(E9735="SERVICE",I9735-(I9735*50%),Vlookup(E9735,DATABASE!C:Q,10,false)*F9735)</f>
        <v>10000</v>
      </c>
      <c r="K9735" s="74">
        <f>VLOOKUP(E9735,DATABASE!C:Q,7,false)</f>
        <v>0</v>
      </c>
      <c r="L9735" s="74">
        <v>0.0</v>
      </c>
      <c r="M9735" s="74">
        <f t="shared" si="6"/>
        <v>0</v>
      </c>
      <c r="N9735" s="74">
        <f t="shared" si="3"/>
        <v>140000</v>
      </c>
      <c r="O9735" s="65" t="str">
        <f>VLOOKUP(E9735,DATABASE!C:Q,8,false)</f>
        <v>IBU</v>
      </c>
      <c r="P9735" s="65">
        <f>VLOOKUP(E9735,DATABASE!C:Q,9,False)</f>
        <v>0</v>
      </c>
      <c r="Q9735" s="93" t="str">
        <f>VLOOKUP(E9735,DATABASE!C:Q,4,false)</f>
        <v>SPOORING</v>
      </c>
      <c r="R9735" s="93" t="str">
        <f>VLOOKUP(E9735,DATABASE!C:Q,11,false)</f>
        <v>SERVICE</v>
      </c>
    </row>
    <row r="9736" ht="22.5" customHeight="1">
      <c r="A9736" s="49"/>
      <c r="C9736" s="400">
        <v>46237.0</v>
      </c>
      <c r="D9736" s="524">
        <v>500.0</v>
      </c>
      <c r="E9736" s="544" t="s">
        <v>251</v>
      </c>
      <c r="F9736" s="387">
        <v>1.0</v>
      </c>
      <c r="G9736" s="140">
        <v>350000.0</v>
      </c>
      <c r="H9736" s="140">
        <v>200000.0</v>
      </c>
      <c r="I9736" s="74">
        <f t="shared" si="7"/>
        <v>150000</v>
      </c>
      <c r="J9736" s="74">
        <f>IF(E9736="SERVICE",I9736-(I9736*50%),Vlookup(E9736,DATABASE!C:Q,10,false)*F9736)</f>
        <v>75000</v>
      </c>
      <c r="K9736" s="74">
        <f>VLOOKUP(E9736,DATABASE!C:Q,7,false)</f>
        <v>0</v>
      </c>
      <c r="L9736" s="74">
        <v>0.0</v>
      </c>
      <c r="M9736" s="74">
        <f t="shared" si="6"/>
        <v>0</v>
      </c>
      <c r="N9736" s="74">
        <f t="shared" si="3"/>
        <v>75000</v>
      </c>
      <c r="O9736" s="65" t="str">
        <f>VLOOKUP(E9736,DATABASE!C:Q,8,false)</f>
        <v>IBU</v>
      </c>
      <c r="P9736" s="65">
        <f>VLOOKUP(E9736,DATABASE!C:Q,9,False)</f>
        <v>0</v>
      </c>
      <c r="Q9736" s="93" t="str">
        <f>VLOOKUP(E9736,DATABASE!C:Q,4,false)</f>
        <v>SERVICE</v>
      </c>
      <c r="R9736" s="93" t="str">
        <f>VLOOKUP(E9736,DATABASE!C:Q,11,false)</f>
        <v>SERVICE</v>
      </c>
    </row>
    <row r="9737" ht="22.5" customHeight="1">
      <c r="A9737" s="49"/>
      <c r="C9737" s="400">
        <v>46237.0</v>
      </c>
      <c r="D9737" s="69" t="s">
        <v>2895</v>
      </c>
      <c r="E9737" s="544" t="s">
        <v>252</v>
      </c>
      <c r="F9737" s="387">
        <v>1.0</v>
      </c>
      <c r="G9737" s="140">
        <v>370000.0</v>
      </c>
      <c r="H9737" s="74"/>
      <c r="I9737" s="74">
        <f t="shared" si="7"/>
        <v>370000</v>
      </c>
      <c r="J9737" s="74">
        <f>IF(E9737="SERVICE",I9737-(I9737*50%),Vlookup(E9737,DATABASE!C:Q,10,false)*F9737)</f>
        <v>0</v>
      </c>
      <c r="K9737" s="74">
        <f>VLOOKUP(E9737,DATABASE!C:Q,7,false)</f>
        <v>317518</v>
      </c>
      <c r="L9737" s="74">
        <v>317518.0</v>
      </c>
      <c r="M9737" s="74">
        <f t="shared" si="6"/>
        <v>320000</v>
      </c>
      <c r="N9737" s="74">
        <f t="shared" si="3"/>
        <v>50000</v>
      </c>
      <c r="O9737" s="65" t="str">
        <f>VLOOKUP(E9737,DATABASE!C:Q,8,false)</f>
        <v>NON</v>
      </c>
      <c r="P9737" s="65">
        <f>VLOOKUP(E9737,DATABASE!C:Q,9,False)</f>
        <v>0</v>
      </c>
      <c r="Q9737" s="93" t="str">
        <f>VLOOKUP(E9737,DATABASE!C:Q,4,false)</f>
        <v>Shell</v>
      </c>
      <c r="R9737" s="93" t="str">
        <f>VLOOKUP(E9737,DATABASE!C:Q,11,false)</f>
        <v>OIL</v>
      </c>
    </row>
    <row r="9738" ht="22.5" customHeight="1">
      <c r="A9738" s="49"/>
      <c r="C9738" s="400">
        <v>46237.0</v>
      </c>
      <c r="D9738" s="69" t="s">
        <v>2896</v>
      </c>
      <c r="E9738" s="544" t="s">
        <v>252</v>
      </c>
      <c r="F9738" s="387">
        <v>1.0</v>
      </c>
      <c r="G9738" s="140">
        <v>370000.0</v>
      </c>
      <c r="H9738" s="74"/>
      <c r="I9738" s="74">
        <f t="shared" si="7"/>
        <v>370000</v>
      </c>
      <c r="J9738" s="74">
        <f>IF(E9738="SERVICE",I9738-(I9738*50%),Vlookup(E9738,DATABASE!C:Q,10,false)*F9738)</f>
        <v>0</v>
      </c>
      <c r="K9738" s="74">
        <f>VLOOKUP(E9738,DATABASE!C:Q,7,false)</f>
        <v>317518</v>
      </c>
      <c r="L9738" s="74">
        <v>317518.0</v>
      </c>
      <c r="M9738" s="74">
        <f t="shared" si="6"/>
        <v>320000</v>
      </c>
      <c r="N9738" s="74">
        <f t="shared" si="3"/>
        <v>50000</v>
      </c>
      <c r="O9738" s="65" t="str">
        <f>VLOOKUP(E9738,DATABASE!C:Q,8,false)</f>
        <v>NON</v>
      </c>
      <c r="P9738" s="65">
        <f>VLOOKUP(E9738,DATABASE!C:Q,9,False)</f>
        <v>0</v>
      </c>
      <c r="Q9738" s="93" t="str">
        <f>VLOOKUP(E9738,DATABASE!C:Q,4,false)</f>
        <v>Shell</v>
      </c>
      <c r="R9738" s="93" t="str">
        <f>VLOOKUP(E9738,DATABASE!C:Q,11,false)</f>
        <v>OIL</v>
      </c>
    </row>
    <row r="9739" ht="22.5" customHeight="1">
      <c r="A9739" s="49"/>
      <c r="C9739" s="400">
        <v>46237.0</v>
      </c>
      <c r="D9739" s="69" t="s">
        <v>2897</v>
      </c>
      <c r="E9739" s="544" t="s">
        <v>252</v>
      </c>
      <c r="F9739" s="387">
        <v>1.0</v>
      </c>
      <c r="G9739" s="140">
        <v>370000.0</v>
      </c>
      <c r="H9739" s="74"/>
      <c r="I9739" s="74">
        <f t="shared" si="7"/>
        <v>370000</v>
      </c>
      <c r="J9739" s="74">
        <f>IF(E9739="SERVICE",I9739-(I9739*50%),Vlookup(E9739,DATABASE!C:Q,10,false)*F9739)</f>
        <v>0</v>
      </c>
      <c r="K9739" s="74">
        <f>VLOOKUP(E9739,DATABASE!C:Q,7,false)</f>
        <v>317518</v>
      </c>
      <c r="L9739" s="74">
        <v>317518.0</v>
      </c>
      <c r="M9739" s="74">
        <f t="shared" si="6"/>
        <v>320000</v>
      </c>
      <c r="N9739" s="74">
        <f t="shared" si="3"/>
        <v>50000</v>
      </c>
      <c r="O9739" s="65" t="str">
        <f>VLOOKUP(E9739,DATABASE!C:Q,8,false)</f>
        <v>NON</v>
      </c>
      <c r="P9739" s="65">
        <f>VLOOKUP(E9739,DATABASE!C:Q,9,False)</f>
        <v>0</v>
      </c>
      <c r="Q9739" s="93" t="str">
        <f>VLOOKUP(E9739,DATABASE!C:Q,4,false)</f>
        <v>Shell</v>
      </c>
      <c r="R9739" s="93" t="str">
        <f>VLOOKUP(E9739,DATABASE!C:Q,11,false)</f>
        <v>OIL</v>
      </c>
    </row>
    <row r="9740" ht="22.5" customHeight="1">
      <c r="A9740" s="49"/>
      <c r="C9740" s="400">
        <v>46237.0</v>
      </c>
      <c r="D9740" s="69" t="s">
        <v>2897</v>
      </c>
      <c r="E9740" s="544" t="s">
        <v>298</v>
      </c>
      <c r="F9740" s="387">
        <v>1.0</v>
      </c>
      <c r="G9740" s="140">
        <v>23000.0</v>
      </c>
      <c r="H9740" s="74"/>
      <c r="I9740" s="74">
        <f t="shared" si="7"/>
        <v>23000</v>
      </c>
      <c r="J9740" s="74">
        <f>IF(E9740="SERVICE",I9740-(I9740*50%),Vlookup(E9740,DATABASE!C:Q,10,false)*F9740)</f>
        <v>0</v>
      </c>
      <c r="K9740" s="74">
        <f>VLOOKUP(E9740,DATABASE!C:Q,7,false)</f>
        <v>19200</v>
      </c>
      <c r="L9740" s="74">
        <v>19200.0</v>
      </c>
      <c r="M9740" s="74">
        <f t="shared" si="6"/>
        <v>20000</v>
      </c>
      <c r="N9740" s="74">
        <f t="shared" si="3"/>
        <v>3000</v>
      </c>
      <c r="O9740" s="65" t="str">
        <f>VLOOKUP(E9740,DATABASE!C:Q,8,false)</f>
        <v>BIAN</v>
      </c>
      <c r="P9740" s="65">
        <f>VLOOKUP(E9740,DATABASE!C:Q,9,False)</f>
        <v>0</v>
      </c>
      <c r="Q9740" s="93" t="str">
        <f>VLOOKUP(E9740,DATABASE!C:Q,4,false)</f>
        <v>Aspira</v>
      </c>
      <c r="R9740" s="93" t="str">
        <f>VLOOKUP(E9740,DATABASE!C:Q,11,false)</f>
        <v>COMPLEMENTARY</v>
      </c>
    </row>
    <row r="9741" ht="22.5" customHeight="1">
      <c r="A9741" s="49"/>
      <c r="C9741" s="400">
        <v>46237.0</v>
      </c>
      <c r="D9741" s="69" t="s">
        <v>2898</v>
      </c>
      <c r="E9741" s="544" t="s">
        <v>263</v>
      </c>
      <c r="F9741" s="387">
        <v>1.0</v>
      </c>
      <c r="G9741" s="140">
        <v>385000.0</v>
      </c>
      <c r="H9741" s="74"/>
      <c r="I9741" s="74">
        <f t="shared" si="7"/>
        <v>385000</v>
      </c>
      <c r="J9741" s="74">
        <f>IF(E9741="SERVICE",I9741-(I9741*50%),Vlookup(E9741,DATABASE!C:Q,10,false)*F9741)</f>
        <v>0</v>
      </c>
      <c r="K9741" s="74">
        <f>VLOOKUP(E9741,DATABASE!C:Q,7,false)</f>
        <v>334916</v>
      </c>
      <c r="L9741" s="74">
        <v>334916.0</v>
      </c>
      <c r="M9741" s="74">
        <f t="shared" si="6"/>
        <v>335000</v>
      </c>
      <c r="N9741" s="74">
        <f t="shared" si="3"/>
        <v>50000</v>
      </c>
      <c r="O9741" s="65" t="str">
        <f>VLOOKUP(E9741,DATABASE!C:Q,8,false)</f>
        <v>NON</v>
      </c>
      <c r="P9741" s="65">
        <f>VLOOKUP(E9741,DATABASE!C:Q,9,False)</f>
        <v>0</v>
      </c>
      <c r="Q9741" s="93" t="str">
        <f>VLOOKUP(E9741,DATABASE!C:Q,4,false)</f>
        <v>Shell</v>
      </c>
      <c r="R9741" s="93" t="str">
        <f>VLOOKUP(E9741,DATABASE!C:Q,11,false)</f>
        <v>OIL</v>
      </c>
    </row>
    <row r="9742" ht="22.5" customHeight="1">
      <c r="A9742" s="49"/>
      <c r="C9742" s="400">
        <v>46237.0</v>
      </c>
      <c r="D9742" s="69" t="s">
        <v>2898</v>
      </c>
      <c r="E9742" s="544" t="s">
        <v>2191</v>
      </c>
      <c r="F9742" s="387">
        <v>1.0</v>
      </c>
      <c r="G9742" s="140">
        <v>475000.0</v>
      </c>
      <c r="H9742" s="74"/>
      <c r="I9742" s="74">
        <f t="shared" si="7"/>
        <v>475000</v>
      </c>
      <c r="J9742" s="74">
        <f>IF(E9742="SERVICE",I9742-(I9742*50%),Vlookup(E9742,DATABASE!C:Q,10,false)*F9742)</f>
        <v>0</v>
      </c>
      <c r="K9742" s="74">
        <f>VLOOKUP(E9742,DATABASE!C:Q,7,false)</f>
        <v>422900</v>
      </c>
      <c r="L9742" s="74">
        <v>422900.0</v>
      </c>
      <c r="M9742" s="74">
        <f t="shared" si="6"/>
        <v>425000</v>
      </c>
      <c r="N9742" s="74">
        <f t="shared" si="3"/>
        <v>50000</v>
      </c>
      <c r="O9742" s="65" t="str">
        <f>VLOOKUP(E9742,DATABASE!C:Q,8,false)</f>
        <v>NON</v>
      </c>
      <c r="P9742" s="65">
        <f>VLOOKUP(E9742,DATABASE!C:Q,9,False)</f>
        <v>0</v>
      </c>
      <c r="Q9742" s="93" t="str">
        <f>VLOOKUP(E9742,DATABASE!C:Q,4,false)</f>
        <v>Shell</v>
      </c>
      <c r="R9742" s="93" t="str">
        <f>VLOOKUP(E9742,DATABASE!C:Q,11,false)</f>
        <v>OIL</v>
      </c>
    </row>
    <row r="9743" ht="22.5" customHeight="1">
      <c r="A9743" s="49"/>
      <c r="C9743" s="400">
        <v>46238.0</v>
      </c>
      <c r="D9743" s="524">
        <v>501.0</v>
      </c>
      <c r="E9743" s="544" t="s">
        <v>924</v>
      </c>
      <c r="F9743" s="387">
        <v>1.0</v>
      </c>
      <c r="G9743" s="140">
        <v>1660000.0</v>
      </c>
      <c r="H9743" s="140">
        <v>20000.0</v>
      </c>
      <c r="I9743" s="74">
        <f t="shared" si="7"/>
        <v>1640000</v>
      </c>
      <c r="J9743" s="74">
        <f>IF(E9743="SERVICE",I9743-(I9743*50%),Vlookup(E9743,DATABASE!C:Q,10,false)*F9743)</f>
        <v>0</v>
      </c>
      <c r="K9743" s="74">
        <f>VLOOKUP(E9743,DATABASE!C:Q,7,false)</f>
        <v>1560000</v>
      </c>
      <c r="L9743" s="74">
        <v>1560000.0</v>
      </c>
      <c r="M9743" s="74">
        <f t="shared" si="6"/>
        <v>1560000</v>
      </c>
      <c r="N9743" s="74">
        <f t="shared" si="3"/>
        <v>80000</v>
      </c>
      <c r="O9743" s="65" t="str">
        <f>VLOOKUP(E9743,DATABASE!C:Q,8,false)</f>
        <v>BIAN</v>
      </c>
      <c r="P9743" s="65">
        <f>VLOOKUP(E9743,DATABASE!C:Q,9,False)</f>
        <v>1</v>
      </c>
      <c r="Q9743" s="93" t="str">
        <f>VLOOKUP(E9743,DATABASE!C:Q,4,false)</f>
        <v>TIRON</v>
      </c>
      <c r="R9743" s="93" t="str">
        <f>VLOOKUP(E9743,DATABASE!C:Q,11,false)</f>
        <v>Tire</v>
      </c>
    </row>
    <row r="9744" ht="22.5" customHeight="1">
      <c r="A9744" s="49"/>
      <c r="C9744" s="400">
        <v>46238.0</v>
      </c>
      <c r="D9744" s="524">
        <v>501.0</v>
      </c>
      <c r="E9744" s="544" t="s">
        <v>295</v>
      </c>
      <c r="F9744" s="387">
        <v>2.0</v>
      </c>
      <c r="G9744" s="140">
        <v>1580000.0</v>
      </c>
      <c r="H9744" s="140">
        <v>20000.0</v>
      </c>
      <c r="I9744" s="74">
        <f t="shared" si="7"/>
        <v>3120000</v>
      </c>
      <c r="J9744" s="74">
        <f>IF(E9744="SERVICE",I9744-(I9744*50%),Vlookup(E9744,DATABASE!C:Q,10,false)*F9744)</f>
        <v>0</v>
      </c>
      <c r="K9744" s="74">
        <f>VLOOKUP(E9744,DATABASE!C:Q,7,false)</f>
        <v>1475000</v>
      </c>
      <c r="L9744" s="74">
        <v>1475000.0</v>
      </c>
      <c r="M9744" s="74">
        <f t="shared" si="6"/>
        <v>1475000</v>
      </c>
      <c r="N9744" s="74">
        <f t="shared" si="3"/>
        <v>170000</v>
      </c>
      <c r="O9744" s="65" t="str">
        <f>VLOOKUP(E9744,DATABASE!C:Q,8,false)</f>
        <v>BIAN</v>
      </c>
      <c r="P9744" s="65">
        <f>VLOOKUP(E9744,DATABASE!C:Q,9,False)</f>
        <v>1</v>
      </c>
      <c r="Q9744" s="93" t="str">
        <f>VLOOKUP(E9744,DATABASE!C:Q,4,false)</f>
        <v>TIRON</v>
      </c>
      <c r="R9744" s="93" t="str">
        <f>VLOOKUP(E9744,DATABASE!C:Q,11,false)</f>
        <v>Tire</v>
      </c>
    </row>
    <row r="9745" ht="22.5" customHeight="1">
      <c r="A9745" s="49"/>
      <c r="C9745" s="400">
        <v>46238.0</v>
      </c>
      <c r="D9745" s="524">
        <v>501.0</v>
      </c>
      <c r="E9745" s="544" t="s">
        <v>2037</v>
      </c>
      <c r="F9745" s="387">
        <v>1.0</v>
      </c>
      <c r="G9745" s="140">
        <v>2750000.0</v>
      </c>
      <c r="H9745" s="140">
        <v>20000.0</v>
      </c>
      <c r="I9745" s="74">
        <f t="shared" si="7"/>
        <v>2730000</v>
      </c>
      <c r="J9745" s="74">
        <f>IF(E9745="SERVICE",I9745-(I9745*50%),Vlookup(E9745,DATABASE!C:Q,10,false)*F9745)</f>
        <v>0</v>
      </c>
      <c r="K9745" s="74">
        <f>VLOOKUP(E9745,DATABASE!C:Q,7,false)</f>
        <v>2575000</v>
      </c>
      <c r="L9745" s="74">
        <v>2575000.0</v>
      </c>
      <c r="M9745" s="74">
        <f t="shared" si="6"/>
        <v>2575000</v>
      </c>
      <c r="N9745" s="74">
        <f t="shared" si="3"/>
        <v>155000</v>
      </c>
      <c r="O9745" s="65" t="str">
        <f>VLOOKUP(E9745,DATABASE!C:Q,8,false)</f>
        <v>BIAN</v>
      </c>
      <c r="P9745" s="65">
        <f>VLOOKUP(E9745,DATABASE!C:Q,9,False)</f>
        <v>1</v>
      </c>
      <c r="Q9745" s="93" t="str">
        <f>VLOOKUP(E9745,DATABASE!C:Q,4,false)</f>
        <v>GT</v>
      </c>
      <c r="R9745" s="93" t="str">
        <f>VLOOKUP(E9745,DATABASE!C:Q,11,false)</f>
        <v>Tire</v>
      </c>
    </row>
    <row r="9746" ht="22.5" customHeight="1">
      <c r="A9746" s="49"/>
      <c r="C9746" s="400">
        <v>46238.0</v>
      </c>
      <c r="D9746" s="524">
        <v>503.0</v>
      </c>
      <c r="E9746" s="544" t="s">
        <v>839</v>
      </c>
      <c r="F9746" s="387">
        <v>1.0</v>
      </c>
      <c r="G9746" s="140">
        <v>585000.0</v>
      </c>
      <c r="H9746" s="74"/>
      <c r="I9746" s="74">
        <f t="shared" si="7"/>
        <v>585000</v>
      </c>
      <c r="J9746" s="74">
        <f>IF(E9746="SERVICE",I9746-(I9746*50%),Vlookup(E9746,DATABASE!C:Q,10,false)*F9746)</f>
        <v>0</v>
      </c>
      <c r="K9746" s="74">
        <f>VLOOKUP(E9746,DATABASE!C:Q,7,false)</f>
        <v>512640</v>
      </c>
      <c r="L9746" s="74">
        <v>490100.0</v>
      </c>
      <c r="M9746" s="74">
        <f t="shared" si="6"/>
        <v>495000</v>
      </c>
      <c r="N9746" s="74">
        <f t="shared" si="3"/>
        <v>90000</v>
      </c>
      <c r="O9746" s="65" t="str">
        <f>VLOOKUP(E9746,DATABASE!C:Q,8,false)</f>
        <v>BIAN</v>
      </c>
      <c r="P9746" s="65">
        <f>VLOOKUP(E9746,DATABASE!C:Q,9,False)</f>
        <v>1</v>
      </c>
      <c r="Q9746" s="93" t="str">
        <f>VLOOKUP(E9746,DATABASE!C:Q,4,false)</f>
        <v>GT</v>
      </c>
      <c r="R9746" s="93" t="str">
        <f>VLOOKUP(E9746,DATABASE!C:Q,11,false)</f>
        <v>Tire</v>
      </c>
    </row>
    <row r="9747" ht="22.5" customHeight="1">
      <c r="A9747" s="49"/>
      <c r="C9747" s="400">
        <v>46238.0</v>
      </c>
      <c r="D9747" s="524">
        <v>504.0</v>
      </c>
      <c r="E9747" s="544" t="s">
        <v>868</v>
      </c>
      <c r="F9747" s="387">
        <v>2.0</v>
      </c>
      <c r="G9747" s="140">
        <v>965000.0</v>
      </c>
      <c r="H9747" s="74"/>
      <c r="I9747" s="74">
        <f t="shared" si="7"/>
        <v>1930000</v>
      </c>
      <c r="J9747" s="74">
        <f>IF(E9747="SERVICE",I9747-(I9747*50%),Vlookup(E9747,DATABASE!C:Q,10,false)*F9747)</f>
        <v>0</v>
      </c>
      <c r="K9747" s="74">
        <f>VLOOKUP(E9747,DATABASE!C:Q,7,false)</f>
        <v>861200</v>
      </c>
      <c r="L9747" s="74">
        <v>861200.0</v>
      </c>
      <c r="M9747" s="74">
        <f t="shared" si="6"/>
        <v>865000</v>
      </c>
      <c r="N9747" s="74">
        <f t="shared" si="3"/>
        <v>200000</v>
      </c>
      <c r="O9747" s="65" t="str">
        <f>VLOOKUP(E9747,DATABASE!C:Q,8,false)</f>
        <v>BIAN</v>
      </c>
      <c r="P9747" s="65">
        <f>VLOOKUP(E9747,DATABASE!C:Q,9,False)</f>
        <v>1</v>
      </c>
      <c r="Q9747" s="93" t="str">
        <f>VLOOKUP(E9747,DATABASE!C:Q,4,false)</f>
        <v>GT</v>
      </c>
      <c r="R9747" s="93" t="str">
        <f>VLOOKUP(E9747,DATABASE!C:Q,11,false)</f>
        <v>Tire</v>
      </c>
    </row>
    <row r="9748" ht="22.5" customHeight="1">
      <c r="A9748" s="49"/>
      <c r="C9748" s="400">
        <v>46238.0</v>
      </c>
      <c r="D9748" s="524">
        <v>504.0</v>
      </c>
      <c r="E9748" s="544" t="s">
        <v>299</v>
      </c>
      <c r="F9748" s="387">
        <v>2.0</v>
      </c>
      <c r="G9748" s="140">
        <v>30000.0</v>
      </c>
      <c r="H9748" s="74"/>
      <c r="I9748" s="74">
        <f t="shared" si="7"/>
        <v>60000</v>
      </c>
      <c r="J9748" s="74">
        <f>IF(E9748="SERVICE",I9748-(I9748*50%),Vlookup(E9748,DATABASE!C:Q,10,false)*F9748)</f>
        <v>0</v>
      </c>
      <c r="K9748" s="74">
        <f>VLOOKUP(E9748,DATABASE!C:Q,7,false)</f>
        <v>10000</v>
      </c>
      <c r="L9748" s="74">
        <v>10000.0</v>
      </c>
      <c r="M9748" s="74">
        <f t="shared" si="6"/>
        <v>10000</v>
      </c>
      <c r="N9748" s="74">
        <f t="shared" si="3"/>
        <v>40000</v>
      </c>
      <c r="O9748" s="65" t="str">
        <f>VLOOKUP(E9748,DATABASE!C:Q,8,false)</f>
        <v>BIAN</v>
      </c>
      <c r="P9748" s="65">
        <f>VLOOKUP(E9748,DATABASE!C:Q,9,False)</f>
        <v>0</v>
      </c>
      <c r="Q9748" s="93" t="str">
        <f>VLOOKUP(E9748,DATABASE!C:Q,4,false)</f>
        <v>Balancing</v>
      </c>
      <c r="R9748" s="93" t="str">
        <f>VLOOKUP(E9748,DATABASE!C:Q,11,false)</f>
        <v>COMPLEMENTARY</v>
      </c>
    </row>
    <row r="9749" ht="22.5" customHeight="1">
      <c r="A9749" s="49"/>
      <c r="C9749" s="400">
        <v>46238.0</v>
      </c>
      <c r="D9749" s="524">
        <v>505.0</v>
      </c>
      <c r="E9749" s="544" t="s">
        <v>2019</v>
      </c>
      <c r="F9749" s="387">
        <v>1.0</v>
      </c>
      <c r="G9749" s="140">
        <v>710000.0</v>
      </c>
      <c r="H9749" s="74"/>
      <c r="I9749" s="74">
        <f t="shared" si="7"/>
        <v>710000</v>
      </c>
      <c r="J9749" s="74">
        <f>IF(E9749="SERVICE",I9749-(I9749*50%),Vlookup(E9749,DATABASE!C:Q,10,false)*F9749)</f>
        <v>0</v>
      </c>
      <c r="K9749" s="74">
        <f>VLOOKUP(E9749,DATABASE!C:Q,7,false)</f>
        <v>620000</v>
      </c>
      <c r="L9749" s="74">
        <v>620000.0</v>
      </c>
      <c r="M9749" s="74">
        <f t="shared" si="6"/>
        <v>620000</v>
      </c>
      <c r="N9749" s="74">
        <f t="shared" si="3"/>
        <v>90000</v>
      </c>
      <c r="O9749" s="65" t="str">
        <f>VLOOKUP(E9749,DATABASE!C:Q,8,false)</f>
        <v>BIAN</v>
      </c>
      <c r="P9749" s="65">
        <f>VLOOKUP(E9749,DATABASE!C:Q,9,False)</f>
        <v>1</v>
      </c>
      <c r="Q9749" s="93" t="str">
        <f>VLOOKUP(E9749,DATABASE!C:Q,4,false)</f>
        <v>GT</v>
      </c>
      <c r="R9749" s="93" t="str">
        <f>VLOOKUP(E9749,DATABASE!C:Q,11,false)</f>
        <v>Tire</v>
      </c>
    </row>
    <row r="9750" ht="22.5" customHeight="1">
      <c r="A9750" s="49"/>
      <c r="C9750" s="400">
        <v>46238.0</v>
      </c>
      <c r="D9750" s="524">
        <v>506.0</v>
      </c>
      <c r="E9750" s="544" t="s">
        <v>744</v>
      </c>
      <c r="F9750" s="387">
        <v>1.0</v>
      </c>
      <c r="G9750" s="140">
        <v>230000.0</v>
      </c>
      <c r="H9750" s="74"/>
      <c r="I9750" s="74">
        <f t="shared" si="7"/>
        <v>230000</v>
      </c>
      <c r="J9750" s="74">
        <f>IF(E9750="SERVICE",I9750-(I9750*50%),Vlookup(E9750,DATABASE!C:Q,10,false)*F9750)</f>
        <v>0</v>
      </c>
      <c r="K9750" s="74">
        <f>VLOOKUP(E9750,DATABASE!C:Q,7,false)</f>
        <v>182200</v>
      </c>
      <c r="L9750" s="74">
        <v>182200.0</v>
      </c>
      <c r="M9750" s="74">
        <f t="shared" si="6"/>
        <v>185000</v>
      </c>
      <c r="N9750" s="74">
        <f t="shared" si="3"/>
        <v>45000</v>
      </c>
      <c r="O9750" s="65" t="str">
        <f>VLOOKUP(E9750,DATABASE!C:Q,8,false)</f>
        <v>BIAN</v>
      </c>
      <c r="P9750" s="65">
        <f>VLOOKUP(E9750,DATABASE!C:Q,9,False)</f>
        <v>1</v>
      </c>
      <c r="Q9750" s="93" t="str">
        <f>VLOOKUP(E9750,DATABASE!C:Q,4,false)</f>
        <v>BD</v>
      </c>
      <c r="R9750" s="93" t="str">
        <f>VLOOKUP(E9750,DATABASE!C:Q,11,false)</f>
        <v>Tire</v>
      </c>
    </row>
    <row r="9751" ht="22.5" customHeight="1">
      <c r="A9751" s="49"/>
      <c r="C9751" s="400">
        <v>46238.0</v>
      </c>
      <c r="D9751" s="524">
        <v>507.0</v>
      </c>
      <c r="E9751" s="544" t="s">
        <v>268</v>
      </c>
      <c r="F9751" s="387">
        <v>1.0</v>
      </c>
      <c r="G9751" s="140">
        <v>720000.0</v>
      </c>
      <c r="H9751" s="74"/>
      <c r="I9751" s="74">
        <f t="shared" si="7"/>
        <v>720000</v>
      </c>
      <c r="J9751" s="74">
        <f>IF(E9751="SERVICE",I9751-(I9751*50%),Vlookup(E9751,DATABASE!C:Q,10,false)*F9751)</f>
        <v>0</v>
      </c>
      <c r="K9751" s="74">
        <f>VLOOKUP(E9751,DATABASE!C:Q,7,false)</f>
        <v>653000</v>
      </c>
      <c r="L9751" s="74">
        <v>634500.0</v>
      </c>
      <c r="M9751" s="74">
        <f t="shared" si="6"/>
        <v>635000</v>
      </c>
      <c r="N9751" s="74">
        <f t="shared" si="3"/>
        <v>85000</v>
      </c>
      <c r="O9751" s="65" t="str">
        <f>VLOOKUP(E9751,DATABASE!C:Q,8,false)</f>
        <v>IBU</v>
      </c>
      <c r="P9751" s="65">
        <f>VLOOKUP(E9751,DATABASE!C:Q,9,False)</f>
        <v>1</v>
      </c>
      <c r="Q9751" s="93" t="str">
        <f>VLOOKUP(E9751,DATABASE!C:Q,4,false)</f>
        <v>Dunlop</v>
      </c>
      <c r="R9751" s="93" t="str">
        <f>VLOOKUP(E9751,DATABASE!C:Q,11,false)</f>
        <v>Tire</v>
      </c>
    </row>
    <row r="9752" ht="22.5" customHeight="1">
      <c r="A9752" s="49"/>
      <c r="C9752" s="400">
        <v>46238.0</v>
      </c>
      <c r="D9752" s="524">
        <v>508.0</v>
      </c>
      <c r="E9752" s="544" t="s">
        <v>279</v>
      </c>
      <c r="F9752" s="387">
        <v>2.0</v>
      </c>
      <c r="G9752" s="140">
        <v>702000.0</v>
      </c>
      <c r="H9752" s="140">
        <v>12000.0</v>
      </c>
      <c r="I9752" s="74">
        <f t="shared" si="7"/>
        <v>1380000</v>
      </c>
      <c r="J9752" s="74">
        <f>IF(E9752="SERVICE",I9752-(I9752*50%),Vlookup(E9752,DATABASE!C:Q,10,false)*F9752)</f>
        <v>0</v>
      </c>
      <c r="K9752" s="74">
        <f>VLOOKUP(E9752,DATABASE!C:Q,7,false)</f>
        <v>623000</v>
      </c>
      <c r="L9752" s="74">
        <v>602000.0</v>
      </c>
      <c r="M9752" s="74">
        <f t="shared" si="6"/>
        <v>605000</v>
      </c>
      <c r="N9752" s="74">
        <f t="shared" si="3"/>
        <v>170000</v>
      </c>
      <c r="O9752" s="65" t="str">
        <f>VLOOKUP(E9752,DATABASE!C:Q,8,false)</f>
        <v>IBU</v>
      </c>
      <c r="P9752" s="65">
        <f>VLOOKUP(E9752,DATABASE!C:Q,9,False)</f>
        <v>1</v>
      </c>
      <c r="Q9752" s="93" t="str">
        <f>VLOOKUP(E9752,DATABASE!C:Q,4,false)</f>
        <v>Dunlop</v>
      </c>
      <c r="R9752" s="93" t="str">
        <f>VLOOKUP(E9752,DATABASE!C:Q,11,false)</f>
        <v>Tire</v>
      </c>
    </row>
    <row r="9753" ht="22.5" customHeight="1">
      <c r="A9753" s="49"/>
      <c r="C9753" s="400">
        <v>46238.0</v>
      </c>
      <c r="D9753" s="524">
        <v>509.0</v>
      </c>
      <c r="E9753" s="544" t="s">
        <v>268</v>
      </c>
      <c r="F9753" s="387">
        <v>2.0</v>
      </c>
      <c r="G9753" s="140">
        <v>720000.0</v>
      </c>
      <c r="H9753" s="74"/>
      <c r="I9753" s="74">
        <f t="shared" si="7"/>
        <v>1440000</v>
      </c>
      <c r="J9753" s="74">
        <f>IF(E9753="SERVICE",I9753-(I9753*50%),Vlookup(E9753,DATABASE!C:Q,10,false)*F9753)</f>
        <v>0</v>
      </c>
      <c r="K9753" s="74">
        <f>VLOOKUP(E9753,DATABASE!C:Q,7,false)</f>
        <v>653000</v>
      </c>
      <c r="L9753" s="74">
        <v>634500.0</v>
      </c>
      <c r="M9753" s="74">
        <f t="shared" si="6"/>
        <v>635000</v>
      </c>
      <c r="N9753" s="74">
        <f t="shared" si="3"/>
        <v>170000</v>
      </c>
      <c r="O9753" s="65" t="str">
        <f>VLOOKUP(E9753,DATABASE!C:Q,8,false)</f>
        <v>IBU</v>
      </c>
      <c r="P9753" s="65">
        <f>VLOOKUP(E9753,DATABASE!C:Q,9,False)</f>
        <v>1</v>
      </c>
      <c r="Q9753" s="93" t="str">
        <f>VLOOKUP(E9753,DATABASE!C:Q,4,false)</f>
        <v>Dunlop</v>
      </c>
      <c r="R9753" s="93" t="str">
        <f>VLOOKUP(E9753,DATABASE!C:Q,11,false)</f>
        <v>Tire</v>
      </c>
    </row>
    <row r="9754" ht="22.5" customHeight="1">
      <c r="A9754" s="49"/>
      <c r="C9754" s="400">
        <v>46238.0</v>
      </c>
      <c r="D9754" s="524">
        <v>510.0</v>
      </c>
      <c r="E9754" s="544" t="s">
        <v>282</v>
      </c>
      <c r="F9754" s="387">
        <v>1.0</v>
      </c>
      <c r="G9754" s="140">
        <v>880000.0</v>
      </c>
      <c r="H9754" s="74"/>
      <c r="I9754" s="74">
        <f t="shared" si="7"/>
        <v>880000</v>
      </c>
      <c r="J9754" s="74">
        <f>IF(E9754="SERVICE",I9754-(I9754*50%),Vlookup(E9754,DATABASE!C:Q,10,false)*F9754)</f>
        <v>0</v>
      </c>
      <c r="K9754" s="74">
        <f>VLOOKUP(E9754,DATABASE!C:Q,7,false)</f>
        <v>779500</v>
      </c>
      <c r="L9754" s="74">
        <v>779500.0</v>
      </c>
      <c r="M9754" s="74">
        <f t="shared" si="6"/>
        <v>780000</v>
      </c>
      <c r="N9754" s="74">
        <f t="shared" si="3"/>
        <v>100000</v>
      </c>
      <c r="O9754" s="65" t="str">
        <f>VLOOKUP(E9754,DATABASE!C:Q,8,false)</f>
        <v>IBU</v>
      </c>
      <c r="P9754" s="65">
        <f>VLOOKUP(E9754,DATABASE!C:Q,9,False)</f>
        <v>1</v>
      </c>
      <c r="Q9754" s="93" t="str">
        <f>VLOOKUP(E9754,DATABASE!C:Q,4,false)</f>
        <v>Dunlop</v>
      </c>
      <c r="R9754" s="93" t="str">
        <f>VLOOKUP(E9754,DATABASE!C:Q,11,false)</f>
        <v>Tire</v>
      </c>
    </row>
    <row r="9755" ht="22.5" customHeight="1">
      <c r="A9755" s="49"/>
      <c r="C9755" s="400">
        <v>46239.0</v>
      </c>
      <c r="D9755" s="524">
        <v>511.0</v>
      </c>
      <c r="E9755" s="544" t="s">
        <v>569</v>
      </c>
      <c r="F9755" s="387">
        <v>3.0</v>
      </c>
      <c r="G9755" s="140">
        <v>80000.0</v>
      </c>
      <c r="H9755" s="74"/>
      <c r="I9755" s="74">
        <f t="shared" si="7"/>
        <v>240000</v>
      </c>
      <c r="J9755" s="74">
        <f>IF(E9755="SERVICE",I9755-(I9755*50%),Vlookup(E9755,DATABASE!C:Q,10,false)*F9755)</f>
        <v>0</v>
      </c>
      <c r="K9755" s="74">
        <f>VLOOKUP(E9755,DATABASE!C:Q,7,false)</f>
        <v>45439.582</v>
      </c>
      <c r="L9755" s="74">
        <v>45439.582</v>
      </c>
      <c r="M9755" s="74">
        <f t="shared" si="6"/>
        <v>50000</v>
      </c>
      <c r="N9755" s="74">
        <f t="shared" si="3"/>
        <v>90000</v>
      </c>
      <c r="O9755" s="65" t="str">
        <f>VLOOKUP(E9755,DATABASE!C:Q,8,false)</f>
        <v>BIAN</v>
      </c>
      <c r="P9755" s="65">
        <f>VLOOKUP(E9755,DATABASE!C:Q,9,False)</f>
        <v>1</v>
      </c>
      <c r="Q9755" s="93" t="str">
        <f>VLOOKUP(E9755,DATABASE!C:Q,4,false)</f>
        <v>BD</v>
      </c>
      <c r="R9755" s="93" t="str">
        <f>VLOOKUP(E9755,DATABASE!C:Q,11,false)</f>
        <v>Tire</v>
      </c>
    </row>
    <row r="9756" ht="22.5" customHeight="1">
      <c r="A9756" s="49"/>
      <c r="C9756" s="400">
        <v>46239.0</v>
      </c>
      <c r="D9756" s="524">
        <v>511.0</v>
      </c>
      <c r="E9756" s="544" t="s">
        <v>613</v>
      </c>
      <c r="F9756" s="387">
        <v>1.0</v>
      </c>
      <c r="G9756" s="140">
        <v>100000.0</v>
      </c>
      <c r="H9756" s="74"/>
      <c r="I9756" s="74">
        <f t="shared" si="7"/>
        <v>100000</v>
      </c>
      <c r="J9756" s="74">
        <f>IF(E9756="SERVICE",I9756-(I9756*50%),Vlookup(E9756,DATABASE!C:Q,10,false)*F9756)</f>
        <v>0</v>
      </c>
      <c r="K9756" s="74">
        <f>VLOOKUP(E9756,DATABASE!C:Q,7,false)</f>
        <v>58371.2695</v>
      </c>
      <c r="L9756" s="74">
        <v>58371.2695</v>
      </c>
      <c r="M9756" s="74">
        <f t="shared" si="6"/>
        <v>60000</v>
      </c>
      <c r="N9756" s="74">
        <f t="shared" si="3"/>
        <v>40000</v>
      </c>
      <c r="O9756" s="65" t="str">
        <f>VLOOKUP(E9756,DATABASE!C:Q,8,false)</f>
        <v>BIAN</v>
      </c>
      <c r="P9756" s="65">
        <f>VLOOKUP(E9756,DATABASE!C:Q,9,False)</f>
        <v>1</v>
      </c>
      <c r="Q9756" s="93" t="str">
        <f>VLOOKUP(E9756,DATABASE!C:Q,4,false)</f>
        <v>BD</v>
      </c>
      <c r="R9756" s="93" t="str">
        <f>VLOOKUP(E9756,DATABASE!C:Q,11,false)</f>
        <v>Tire</v>
      </c>
    </row>
    <row r="9757" ht="22.5" customHeight="1">
      <c r="A9757" s="49"/>
      <c r="C9757" s="400">
        <v>46239.0</v>
      </c>
      <c r="D9757" s="524">
        <v>512.0</v>
      </c>
      <c r="E9757" s="544" t="s">
        <v>262</v>
      </c>
      <c r="F9757" s="387">
        <v>1.0</v>
      </c>
      <c r="G9757" s="140">
        <v>130000.0</v>
      </c>
      <c r="H9757" s="74"/>
      <c r="I9757" s="74">
        <f t="shared" si="7"/>
        <v>130000</v>
      </c>
      <c r="J9757" s="74">
        <f>IF(E9757="SERVICE",I9757-(I9757*50%),Vlookup(E9757,DATABASE!C:Q,10,false)*F9757)</f>
        <v>5000</v>
      </c>
      <c r="K9757" s="74">
        <f>VLOOKUP(E9757,DATABASE!C:Q,7,false)</f>
        <v>0</v>
      </c>
      <c r="L9757" s="74">
        <v>0.0</v>
      </c>
      <c r="M9757" s="74">
        <f t="shared" si="6"/>
        <v>0</v>
      </c>
      <c r="N9757" s="74">
        <f t="shared" si="3"/>
        <v>125000</v>
      </c>
      <c r="O9757" s="65" t="str">
        <f>VLOOKUP(E9757,DATABASE!C:Q,8,false)</f>
        <v>IBU</v>
      </c>
      <c r="P9757" s="65">
        <f>VLOOKUP(E9757,DATABASE!C:Q,9,False)</f>
        <v>0</v>
      </c>
      <c r="Q9757" s="93" t="str">
        <f>VLOOKUP(E9757,DATABASE!C:Q,4,false)</f>
        <v>SPOORING SS/CARRY LOS BAK</v>
      </c>
      <c r="R9757" s="93" t="str">
        <f>VLOOKUP(E9757,DATABASE!C:Q,11,false)</f>
        <v>SERVICE</v>
      </c>
    </row>
    <row r="9758" ht="22.5" customHeight="1">
      <c r="A9758" s="49"/>
      <c r="C9758" s="400">
        <v>46239.0</v>
      </c>
      <c r="D9758" s="524">
        <v>513.0</v>
      </c>
      <c r="E9758" s="544" t="s">
        <v>569</v>
      </c>
      <c r="F9758" s="387">
        <v>20.0</v>
      </c>
      <c r="G9758" s="140">
        <v>80000.0</v>
      </c>
      <c r="H9758" s="140">
        <v>10000.0</v>
      </c>
      <c r="I9758" s="74">
        <f t="shared" si="7"/>
        <v>1400000</v>
      </c>
      <c r="J9758" s="74">
        <f>IF(E9758="SERVICE",I9758-(I9758*50%),Vlookup(E9758,DATABASE!C:Q,10,false)*F9758)</f>
        <v>0</v>
      </c>
      <c r="K9758" s="74">
        <f>VLOOKUP(E9758,DATABASE!C:Q,7,false)</f>
        <v>45439.582</v>
      </c>
      <c r="L9758" s="74">
        <v>45439.582</v>
      </c>
      <c r="M9758" s="74">
        <f t="shared" si="6"/>
        <v>50000</v>
      </c>
      <c r="N9758" s="74">
        <f t="shared" si="3"/>
        <v>400000</v>
      </c>
      <c r="O9758" s="65" t="str">
        <f>VLOOKUP(E9758,DATABASE!C:Q,8,false)</f>
        <v>BIAN</v>
      </c>
      <c r="P9758" s="65">
        <f>VLOOKUP(E9758,DATABASE!C:Q,9,False)</f>
        <v>1</v>
      </c>
      <c r="Q9758" s="93" t="str">
        <f>VLOOKUP(E9758,DATABASE!C:Q,4,false)</f>
        <v>BD</v>
      </c>
      <c r="R9758" s="93" t="str">
        <f>VLOOKUP(E9758,DATABASE!C:Q,11,false)</f>
        <v>Tire</v>
      </c>
    </row>
    <row r="9759" ht="22.5" customHeight="1">
      <c r="A9759" s="49"/>
      <c r="C9759" s="400">
        <v>46239.0</v>
      </c>
      <c r="D9759" s="524">
        <v>514.0</v>
      </c>
      <c r="E9759" s="544" t="s">
        <v>268</v>
      </c>
      <c r="F9759" s="387">
        <v>1.0</v>
      </c>
      <c r="G9759" s="140">
        <v>720000.0</v>
      </c>
      <c r="H9759" s="74"/>
      <c r="I9759" s="74">
        <f t="shared" si="7"/>
        <v>720000</v>
      </c>
      <c r="J9759" s="74">
        <f>IF(E9759="SERVICE",I9759-(I9759*50%),Vlookup(E9759,DATABASE!C:Q,10,false)*F9759)</f>
        <v>0</v>
      </c>
      <c r="K9759" s="74">
        <f>VLOOKUP(E9759,DATABASE!C:Q,7,false)</f>
        <v>653000</v>
      </c>
      <c r="L9759" s="74">
        <v>634500.0</v>
      </c>
      <c r="M9759" s="74">
        <f t="shared" si="6"/>
        <v>635000</v>
      </c>
      <c r="N9759" s="74">
        <f t="shared" si="3"/>
        <v>85000</v>
      </c>
      <c r="O9759" s="65" t="str">
        <f>VLOOKUP(E9759,DATABASE!C:Q,8,false)</f>
        <v>IBU</v>
      </c>
      <c r="P9759" s="65">
        <f>VLOOKUP(E9759,DATABASE!C:Q,9,False)</f>
        <v>1</v>
      </c>
      <c r="Q9759" s="93" t="str">
        <f>VLOOKUP(E9759,DATABASE!C:Q,4,false)</f>
        <v>Dunlop</v>
      </c>
      <c r="R9759" s="93" t="str">
        <f>VLOOKUP(E9759,DATABASE!C:Q,11,false)</f>
        <v>Tire</v>
      </c>
    </row>
    <row r="9760" ht="22.5" customHeight="1">
      <c r="A9760" s="49"/>
      <c r="C9760" s="400">
        <v>46239.0</v>
      </c>
      <c r="D9760" s="524">
        <v>515.0</v>
      </c>
      <c r="E9760" s="544" t="s">
        <v>687</v>
      </c>
      <c r="F9760" s="387">
        <v>2.0</v>
      </c>
      <c r="G9760" s="140">
        <v>1060000.0</v>
      </c>
      <c r="H9760" s="140">
        <v>40000.0</v>
      </c>
      <c r="I9760" s="74">
        <f t="shared" si="7"/>
        <v>2040000</v>
      </c>
      <c r="J9760" s="74">
        <f>IF(E9760="SERVICE",I9760-(I9760*50%),Vlookup(E9760,DATABASE!C:Q,10,false)*F9760)</f>
        <v>0</v>
      </c>
      <c r="K9760" s="74">
        <f>VLOOKUP(E9760,DATABASE!C:Q,7,false)</f>
        <v>959000</v>
      </c>
      <c r="L9760" s="74">
        <v>959000.0</v>
      </c>
      <c r="M9760" s="74">
        <f t="shared" si="6"/>
        <v>960000</v>
      </c>
      <c r="N9760" s="74">
        <f t="shared" si="3"/>
        <v>120000</v>
      </c>
      <c r="O9760" s="65" t="str">
        <f>VLOOKUP(E9760,DATABASE!C:Q,8,false)</f>
        <v>IBU</v>
      </c>
      <c r="P9760" s="65">
        <f>VLOOKUP(E9760,DATABASE!C:Q,9,False)</f>
        <v>1</v>
      </c>
      <c r="Q9760" s="93" t="str">
        <f>VLOOKUP(E9760,DATABASE!C:Q,4,false)</f>
        <v>Dunlop</v>
      </c>
      <c r="R9760" s="93" t="str">
        <f>VLOOKUP(E9760,DATABASE!C:Q,11,false)</f>
        <v>Tire</v>
      </c>
    </row>
    <row r="9761" ht="22.5" customHeight="1">
      <c r="A9761" s="49"/>
      <c r="C9761" s="400">
        <v>46239.0</v>
      </c>
      <c r="D9761" s="524">
        <v>516.0</v>
      </c>
      <c r="E9761" s="544" t="s">
        <v>1389</v>
      </c>
      <c r="F9761" s="387">
        <v>3.0</v>
      </c>
      <c r="G9761" s="140">
        <v>1020000.0</v>
      </c>
      <c r="H9761" s="140">
        <v>35000.0</v>
      </c>
      <c r="I9761" s="74">
        <f t="shared" si="7"/>
        <v>2955000</v>
      </c>
      <c r="J9761" s="74">
        <f>IF(E9761="SERVICE",I9761-(I9761*50%),Vlookup(E9761,DATABASE!C:Q,10,false)*F9761)</f>
        <v>0</v>
      </c>
      <c r="K9761" s="74">
        <f>VLOOKUP(E9761,DATABASE!C:Q,7,false)</f>
        <v>908000</v>
      </c>
      <c r="L9761" s="74">
        <v>908000.0</v>
      </c>
      <c r="M9761" s="74">
        <f t="shared" si="6"/>
        <v>910000</v>
      </c>
      <c r="N9761" s="74">
        <f t="shared" si="3"/>
        <v>225000</v>
      </c>
      <c r="O9761" s="69" t="s">
        <v>2266</v>
      </c>
      <c r="P9761" s="69">
        <v>0.0</v>
      </c>
      <c r="Q9761" s="93" t="str">
        <f>VLOOKUP(E9761,DATABASE!C:Q,4,false)</f>
        <v>Dunlop</v>
      </c>
      <c r="R9761" s="93" t="str">
        <f>VLOOKUP(E9761,DATABASE!C:Q,11,false)</f>
        <v>Tire</v>
      </c>
    </row>
    <row r="9762" ht="22.5" customHeight="1">
      <c r="A9762" s="49"/>
      <c r="C9762" s="400">
        <v>46239.0</v>
      </c>
      <c r="D9762" s="524">
        <v>516.0</v>
      </c>
      <c r="E9762" s="544" t="s">
        <v>1389</v>
      </c>
      <c r="F9762" s="387">
        <v>1.0</v>
      </c>
      <c r="G9762" s="140">
        <v>985000.0</v>
      </c>
      <c r="H9762" s="74"/>
      <c r="I9762" s="74">
        <f t="shared" si="7"/>
        <v>985000</v>
      </c>
      <c r="J9762" s="74">
        <f>IF(E9762="SERVICE",I9762-(I9762*50%),Vlookup(E9762,DATABASE!C:Q,10,false)*F9762)</f>
        <v>0</v>
      </c>
      <c r="K9762" s="74">
        <f>VLOOKUP(E9762,DATABASE!C:Q,7,false)</f>
        <v>908000</v>
      </c>
      <c r="L9762" s="74">
        <v>908000.0</v>
      </c>
      <c r="M9762" s="74">
        <f t="shared" si="6"/>
        <v>910000</v>
      </c>
      <c r="N9762" s="74">
        <f t="shared" si="3"/>
        <v>75000</v>
      </c>
      <c r="O9762" s="65" t="str">
        <f>VLOOKUP(E9762,DATABASE!C:Q,8,false)</f>
        <v>IBU</v>
      </c>
      <c r="P9762" s="65">
        <f>VLOOKUP(E9762,DATABASE!C:Q,9,False)</f>
        <v>1</v>
      </c>
      <c r="Q9762" s="93" t="str">
        <f>VLOOKUP(E9762,DATABASE!C:Q,4,false)</f>
        <v>Dunlop</v>
      </c>
      <c r="R9762" s="93" t="str">
        <f>VLOOKUP(E9762,DATABASE!C:Q,11,false)</f>
        <v>Tire</v>
      </c>
    </row>
    <row r="9763" ht="22.5" customHeight="1">
      <c r="A9763" s="49"/>
      <c r="C9763" s="400">
        <v>46239.0</v>
      </c>
      <c r="D9763" s="524">
        <v>517.0</v>
      </c>
      <c r="E9763" s="544" t="s">
        <v>256</v>
      </c>
      <c r="F9763" s="387">
        <v>1.0</v>
      </c>
      <c r="G9763" s="140">
        <v>175000.0</v>
      </c>
      <c r="H9763" s="140">
        <v>25000.0</v>
      </c>
      <c r="I9763" s="74">
        <f t="shared" si="7"/>
        <v>150000</v>
      </c>
      <c r="J9763" s="74">
        <f>IF(E9763="SERVICE",I9763-(I9763*50%),Vlookup(E9763,DATABASE!C:Q,10,false)*F9763)</f>
        <v>10000</v>
      </c>
      <c r="K9763" s="74">
        <f>VLOOKUP(E9763,DATABASE!C:Q,7,false)</f>
        <v>0</v>
      </c>
      <c r="L9763" s="74">
        <v>0.0</v>
      </c>
      <c r="M9763" s="74">
        <f t="shared" si="6"/>
        <v>0</v>
      </c>
      <c r="N9763" s="74">
        <f t="shared" si="3"/>
        <v>140000</v>
      </c>
      <c r="O9763" s="65" t="str">
        <f>VLOOKUP(E9763,DATABASE!C:Q,8,false)</f>
        <v>IBU</v>
      </c>
      <c r="P9763" s="65">
        <f>VLOOKUP(E9763,DATABASE!C:Q,9,False)</f>
        <v>0</v>
      </c>
      <c r="Q9763" s="93" t="str">
        <f>VLOOKUP(E9763,DATABASE!C:Q,4,false)</f>
        <v>SPOORING</v>
      </c>
      <c r="R9763" s="93" t="str">
        <f>VLOOKUP(E9763,DATABASE!C:Q,11,false)</f>
        <v>SERVICE</v>
      </c>
    </row>
    <row r="9764" ht="22.5" customHeight="1">
      <c r="A9764" s="49"/>
      <c r="C9764" s="400">
        <v>46239.0</v>
      </c>
      <c r="D9764" s="524">
        <v>517.0</v>
      </c>
      <c r="E9764" s="544" t="s">
        <v>301</v>
      </c>
      <c r="F9764" s="387">
        <v>1.0</v>
      </c>
      <c r="G9764" s="140">
        <v>250000.0</v>
      </c>
      <c r="H9764" s="74"/>
      <c r="I9764" s="74">
        <f t="shared" si="7"/>
        <v>250000</v>
      </c>
      <c r="J9764" s="74">
        <f>IF(E9764="SERVICE",I9764-(I9764*50%),Vlookup(E9764,DATABASE!C:Q,10,false)*F9764)</f>
        <v>75000</v>
      </c>
      <c r="K9764" s="74">
        <f>VLOOKUP(E9764,DATABASE!C:Q,7,false)</f>
        <v>75000</v>
      </c>
      <c r="L9764" s="74">
        <v>75000.0</v>
      </c>
      <c r="M9764" s="74">
        <f t="shared" si="6"/>
        <v>75000</v>
      </c>
      <c r="N9764" s="74">
        <f t="shared" si="3"/>
        <v>100000</v>
      </c>
      <c r="O9764" s="65" t="str">
        <f>VLOOKUP(E9764,DATABASE!C:Q,8,false)</f>
        <v>BIAN</v>
      </c>
      <c r="P9764" s="65">
        <f>VLOOKUP(E9764,DATABASE!C:Q,9,False)</f>
        <v>0</v>
      </c>
      <c r="Q9764" s="93" t="str">
        <f>VLOOKUP(E9764,DATABASE!C:Q,4,false)</f>
        <v>Baut Camber</v>
      </c>
      <c r="R9764" s="93" t="str">
        <f>VLOOKUP(E9764,DATABASE!C:Q,11,false)</f>
        <v>COMPLEMENTARY</v>
      </c>
    </row>
    <row r="9765" ht="22.5" customHeight="1">
      <c r="A9765" s="49"/>
      <c r="C9765" s="400">
        <v>46239.0</v>
      </c>
      <c r="D9765" s="524">
        <v>517.0</v>
      </c>
      <c r="E9765" s="544" t="s">
        <v>251</v>
      </c>
      <c r="F9765" s="387">
        <v>1.0</v>
      </c>
      <c r="G9765" s="140">
        <v>350000.0</v>
      </c>
      <c r="H9765" s="140">
        <v>250000.0</v>
      </c>
      <c r="I9765" s="74">
        <f t="shared" si="7"/>
        <v>100000</v>
      </c>
      <c r="J9765" s="74">
        <f>IF(E9765="SERVICE",I9765-(I9765*50%),Vlookup(E9765,DATABASE!C:Q,10,false)*F9765)</f>
        <v>50000</v>
      </c>
      <c r="K9765" s="74">
        <f>VLOOKUP(E9765,DATABASE!C:Q,7,false)</f>
        <v>0</v>
      </c>
      <c r="L9765" s="74">
        <v>0.0</v>
      </c>
      <c r="M9765" s="74">
        <f t="shared" si="6"/>
        <v>0</v>
      </c>
      <c r="N9765" s="74">
        <f t="shared" si="3"/>
        <v>50000</v>
      </c>
      <c r="O9765" s="65" t="str">
        <f>VLOOKUP(E9765,DATABASE!C:Q,8,false)</f>
        <v>IBU</v>
      </c>
      <c r="P9765" s="65">
        <f>VLOOKUP(E9765,DATABASE!C:Q,9,False)</f>
        <v>0</v>
      </c>
      <c r="Q9765" s="93" t="str">
        <f>VLOOKUP(E9765,DATABASE!C:Q,4,false)</f>
        <v>SERVICE</v>
      </c>
      <c r="R9765" s="93" t="str">
        <f>VLOOKUP(E9765,DATABASE!C:Q,11,false)</f>
        <v>SERVICE</v>
      </c>
    </row>
    <row r="9766" ht="22.5" customHeight="1">
      <c r="A9766" s="49"/>
      <c r="C9766" s="400">
        <v>46239.0</v>
      </c>
      <c r="D9766" s="524">
        <v>519.0</v>
      </c>
      <c r="E9766" s="544" t="s">
        <v>299</v>
      </c>
      <c r="F9766" s="387">
        <v>2.0</v>
      </c>
      <c r="G9766" s="140">
        <v>30000.0</v>
      </c>
      <c r="H9766" s="74"/>
      <c r="I9766" s="74">
        <f t="shared" si="7"/>
        <v>60000</v>
      </c>
      <c r="J9766" s="74">
        <f>IF(E9766="SERVICE",I9766-(I9766*50%),Vlookup(E9766,DATABASE!C:Q,10,false)*F9766)</f>
        <v>0</v>
      </c>
      <c r="K9766" s="74">
        <f>VLOOKUP(E9766,DATABASE!C:Q,7,false)</f>
        <v>10000</v>
      </c>
      <c r="L9766" s="74">
        <v>10000.0</v>
      </c>
      <c r="M9766" s="74">
        <f t="shared" si="6"/>
        <v>10000</v>
      </c>
      <c r="N9766" s="74">
        <f t="shared" si="3"/>
        <v>40000</v>
      </c>
      <c r="O9766" s="65" t="str">
        <f>VLOOKUP(E9766,DATABASE!C:Q,8,false)</f>
        <v>BIAN</v>
      </c>
      <c r="P9766" s="65">
        <f>VLOOKUP(E9766,DATABASE!C:Q,9,False)</f>
        <v>0</v>
      </c>
      <c r="Q9766" s="93" t="str">
        <f>VLOOKUP(E9766,DATABASE!C:Q,4,false)</f>
        <v>Balancing</v>
      </c>
      <c r="R9766" s="93" t="str">
        <f>VLOOKUP(E9766,DATABASE!C:Q,11,false)</f>
        <v>COMPLEMENTARY</v>
      </c>
    </row>
    <row r="9767" ht="22.5" customHeight="1">
      <c r="A9767" s="49"/>
      <c r="C9767" s="400">
        <v>46239.0</v>
      </c>
      <c r="D9767" s="524">
        <v>520.0</v>
      </c>
      <c r="E9767" s="544" t="s">
        <v>1112</v>
      </c>
      <c r="F9767" s="387">
        <v>2.0</v>
      </c>
      <c r="G9767" s="140">
        <v>1085000.0</v>
      </c>
      <c r="H9767" s="74"/>
      <c r="I9767" s="74">
        <f t="shared" si="7"/>
        <v>2170000</v>
      </c>
      <c r="J9767" s="74">
        <f>IF(E9767="SERVICE",I9767-(I9767*50%),Vlookup(E9767,DATABASE!C:Q,10,false)*F9767)</f>
        <v>0</v>
      </c>
      <c r="K9767" s="74">
        <f>VLOOKUP(E9767,DATABASE!C:Q,7,false)</f>
        <v>980542.4</v>
      </c>
      <c r="L9767" s="74">
        <v>980542.4</v>
      </c>
      <c r="M9767" s="74">
        <f t="shared" si="6"/>
        <v>985000</v>
      </c>
      <c r="N9767" s="74">
        <f t="shared" si="3"/>
        <v>200000</v>
      </c>
      <c r="O9767" s="65" t="str">
        <f>VLOOKUP(E9767,DATABASE!C:Q,8,false)</f>
        <v>IBU</v>
      </c>
      <c r="P9767" s="65">
        <f>VLOOKUP(E9767,DATABASE!C:Q,9,False)</f>
        <v>1</v>
      </c>
      <c r="Q9767" s="93" t="str">
        <f>VLOOKUP(E9767,DATABASE!C:Q,4,false)</f>
        <v>Bridgestone</v>
      </c>
      <c r="R9767" s="93" t="str">
        <f>VLOOKUP(E9767,DATABASE!C:Q,11,false)</f>
        <v>Tire</v>
      </c>
    </row>
    <row r="9768" ht="22.5" customHeight="1">
      <c r="A9768" s="49"/>
      <c r="C9768" s="400">
        <v>46239.0</v>
      </c>
      <c r="D9768" s="524">
        <v>520.0</v>
      </c>
      <c r="E9768" s="544" t="s">
        <v>262</v>
      </c>
      <c r="F9768" s="387">
        <v>1.0</v>
      </c>
      <c r="G9768" s="140">
        <v>130000.0</v>
      </c>
      <c r="H9768" s="74"/>
      <c r="I9768" s="74">
        <f t="shared" si="7"/>
        <v>130000</v>
      </c>
      <c r="J9768" s="74">
        <f>IF(E9768="SERVICE",I9768-(I9768*50%),Vlookup(E9768,DATABASE!C:Q,10,false)*F9768)</f>
        <v>5000</v>
      </c>
      <c r="K9768" s="74">
        <f>VLOOKUP(E9768,DATABASE!C:Q,7,false)</f>
        <v>0</v>
      </c>
      <c r="L9768" s="74">
        <v>0.0</v>
      </c>
      <c r="M9768" s="74">
        <f t="shared" si="6"/>
        <v>0</v>
      </c>
      <c r="N9768" s="74">
        <f t="shared" si="3"/>
        <v>125000</v>
      </c>
      <c r="O9768" s="65" t="str">
        <f>VLOOKUP(E9768,DATABASE!C:Q,8,false)</f>
        <v>IBU</v>
      </c>
      <c r="P9768" s="65">
        <f>VLOOKUP(E9768,DATABASE!C:Q,9,False)</f>
        <v>0</v>
      </c>
      <c r="Q9768" s="93" t="str">
        <f>VLOOKUP(E9768,DATABASE!C:Q,4,false)</f>
        <v>SPOORING SS/CARRY LOS BAK</v>
      </c>
      <c r="R9768" s="93" t="str">
        <f>VLOOKUP(E9768,DATABASE!C:Q,11,false)</f>
        <v>SERVICE</v>
      </c>
    </row>
    <row r="9769" ht="22.5" customHeight="1">
      <c r="A9769" s="49"/>
      <c r="C9769" s="400">
        <v>46239.0</v>
      </c>
      <c r="D9769" s="524">
        <v>521.0</v>
      </c>
      <c r="E9769" s="544" t="s">
        <v>295</v>
      </c>
      <c r="F9769" s="387">
        <v>4.0</v>
      </c>
      <c r="G9769" s="140">
        <v>1580000.0</v>
      </c>
      <c r="H9769" s="140">
        <v>20000.0</v>
      </c>
      <c r="I9769" s="74">
        <f t="shared" si="7"/>
        <v>6240000</v>
      </c>
      <c r="J9769" s="74">
        <f>IF(E9769="SERVICE",I9769-(I9769*50%),Vlookup(E9769,DATABASE!C:Q,10,false)*F9769)</f>
        <v>0</v>
      </c>
      <c r="K9769" s="74">
        <f>VLOOKUP(E9769,DATABASE!C:Q,7,false)</f>
        <v>1475000</v>
      </c>
      <c r="L9769" s="74">
        <v>1475000.0</v>
      </c>
      <c r="M9769" s="74">
        <f t="shared" si="6"/>
        <v>1475000</v>
      </c>
      <c r="N9769" s="74">
        <f t="shared" si="3"/>
        <v>340000</v>
      </c>
      <c r="O9769" s="65" t="str">
        <f>VLOOKUP(E9769,DATABASE!C:Q,8,false)</f>
        <v>BIAN</v>
      </c>
      <c r="P9769" s="65">
        <f>VLOOKUP(E9769,DATABASE!C:Q,9,False)</f>
        <v>1</v>
      </c>
      <c r="Q9769" s="93" t="str">
        <f>VLOOKUP(E9769,DATABASE!C:Q,4,false)</f>
        <v>TIRON</v>
      </c>
      <c r="R9769" s="93" t="str">
        <f>VLOOKUP(E9769,DATABASE!C:Q,11,false)</f>
        <v>Tire</v>
      </c>
    </row>
    <row r="9770" ht="22.5" customHeight="1">
      <c r="A9770" s="49"/>
      <c r="C9770" s="400">
        <v>46239.0</v>
      </c>
      <c r="D9770" s="524">
        <v>522.0</v>
      </c>
      <c r="E9770" s="544" t="s">
        <v>262</v>
      </c>
      <c r="F9770" s="387">
        <v>1.0</v>
      </c>
      <c r="G9770" s="140">
        <v>130000.0</v>
      </c>
      <c r="H9770" s="74"/>
      <c r="I9770" s="74">
        <f t="shared" si="7"/>
        <v>130000</v>
      </c>
      <c r="J9770" s="74">
        <f>IF(E9770="SERVICE",I9770-(I9770*50%),Vlookup(E9770,DATABASE!C:Q,10,false)*F9770)</f>
        <v>5000</v>
      </c>
      <c r="K9770" s="74">
        <f>VLOOKUP(E9770,DATABASE!C:Q,7,false)</f>
        <v>0</v>
      </c>
      <c r="L9770" s="74">
        <v>0.0</v>
      </c>
      <c r="M9770" s="74">
        <f t="shared" si="6"/>
        <v>0</v>
      </c>
      <c r="N9770" s="74">
        <f t="shared" si="3"/>
        <v>125000</v>
      </c>
      <c r="O9770" s="65" t="str">
        <f>VLOOKUP(E9770,DATABASE!C:Q,8,false)</f>
        <v>IBU</v>
      </c>
      <c r="P9770" s="65">
        <f>VLOOKUP(E9770,DATABASE!C:Q,9,False)</f>
        <v>0</v>
      </c>
      <c r="Q9770" s="93" t="str">
        <f>VLOOKUP(E9770,DATABASE!C:Q,4,false)</f>
        <v>SPOORING SS/CARRY LOS BAK</v>
      </c>
      <c r="R9770" s="93" t="str">
        <f>VLOOKUP(E9770,DATABASE!C:Q,11,false)</f>
        <v>SERVICE</v>
      </c>
    </row>
    <row r="9771" ht="22.5" customHeight="1">
      <c r="A9771" s="49"/>
      <c r="C9771" s="400">
        <v>46239.0</v>
      </c>
      <c r="D9771" s="69">
        <v>523.0</v>
      </c>
      <c r="E9771" s="544" t="s">
        <v>262</v>
      </c>
      <c r="F9771" s="387">
        <v>1.0</v>
      </c>
      <c r="G9771" s="140">
        <v>130000.0</v>
      </c>
      <c r="H9771" s="74"/>
      <c r="I9771" s="74">
        <f t="shared" si="7"/>
        <v>130000</v>
      </c>
      <c r="J9771" s="74">
        <f>IF(E9771="SERVICE",I9771-(I9771*50%),Vlookup(E9771,DATABASE!C:Q,10,false)*F9771)</f>
        <v>5000</v>
      </c>
      <c r="K9771" s="74">
        <f>VLOOKUP(E9771,DATABASE!C:Q,7,false)</f>
        <v>0</v>
      </c>
      <c r="L9771" s="74">
        <v>0.0</v>
      </c>
      <c r="M9771" s="74">
        <f t="shared" si="6"/>
        <v>0</v>
      </c>
      <c r="N9771" s="74">
        <f t="shared" si="3"/>
        <v>125000</v>
      </c>
      <c r="O9771" s="65" t="str">
        <f>VLOOKUP(E9771,DATABASE!C:Q,8,false)</f>
        <v>IBU</v>
      </c>
      <c r="P9771" s="65">
        <f>VLOOKUP(E9771,DATABASE!C:Q,9,False)</f>
        <v>0</v>
      </c>
      <c r="Q9771" s="93" t="str">
        <f>VLOOKUP(E9771,DATABASE!C:Q,4,false)</f>
        <v>SPOORING SS/CARRY LOS BAK</v>
      </c>
      <c r="R9771" s="93" t="str">
        <f>VLOOKUP(E9771,DATABASE!C:Q,11,false)</f>
        <v>SERVICE</v>
      </c>
    </row>
    <row r="9772" ht="22.5" customHeight="1">
      <c r="A9772" s="49"/>
      <c r="C9772" s="400">
        <v>46239.0</v>
      </c>
      <c r="D9772" s="69" t="s">
        <v>2899</v>
      </c>
      <c r="E9772" s="544" t="s">
        <v>248</v>
      </c>
      <c r="F9772" s="387">
        <v>1.0</v>
      </c>
      <c r="G9772" s="140">
        <v>250000.0</v>
      </c>
      <c r="H9772" s="74"/>
      <c r="I9772" s="74">
        <f t="shared" si="7"/>
        <v>250000</v>
      </c>
      <c r="J9772" s="74">
        <f>IF(E9772="SERVICE",I9772-(I9772*50%),Vlookup(E9772,DATABASE!C:Q,10,false)*F9772)</f>
        <v>0</v>
      </c>
      <c r="K9772" s="74">
        <f>VLOOKUP(E9772,DATABASE!C:Q,7,false)</f>
        <v>209816.66</v>
      </c>
      <c r="L9772" s="74">
        <v>209816.66</v>
      </c>
      <c r="M9772" s="74">
        <f t="shared" si="6"/>
        <v>210000</v>
      </c>
      <c r="N9772" s="74">
        <f t="shared" si="3"/>
        <v>40000</v>
      </c>
      <c r="O9772" s="65" t="str">
        <f>VLOOKUP(E9772,DATABASE!C:Q,8,false)</f>
        <v>NON</v>
      </c>
      <c r="P9772" s="65">
        <f>VLOOKUP(E9772,DATABASE!C:Q,9,False)</f>
        <v>0</v>
      </c>
      <c r="Q9772" s="93" t="str">
        <f>VLOOKUP(E9772,DATABASE!C:Q,4,false)</f>
        <v>Pertamina</v>
      </c>
      <c r="R9772" s="93" t="str">
        <f>VLOOKUP(E9772,DATABASE!C:Q,11,false)</f>
        <v>OIL</v>
      </c>
    </row>
    <row r="9773" ht="22.5" customHeight="1">
      <c r="A9773" s="49"/>
      <c r="C9773" s="400">
        <v>46239.0</v>
      </c>
      <c r="D9773" s="524"/>
      <c r="E9773" s="544" t="s">
        <v>298</v>
      </c>
      <c r="F9773" s="387">
        <v>1.0</v>
      </c>
      <c r="G9773" s="140">
        <v>23000.0</v>
      </c>
      <c r="H9773" s="74"/>
      <c r="I9773" s="74">
        <f t="shared" si="7"/>
        <v>23000</v>
      </c>
      <c r="J9773" s="74">
        <f>IF(E9773="SERVICE",I9773-(I9773*50%),Vlookup(E9773,DATABASE!C:Q,10,false)*F9773)</f>
        <v>0</v>
      </c>
      <c r="K9773" s="74">
        <f>VLOOKUP(E9773,DATABASE!C:Q,7,false)</f>
        <v>19200</v>
      </c>
      <c r="L9773" s="74">
        <v>19200.0</v>
      </c>
      <c r="M9773" s="74">
        <f t="shared" si="6"/>
        <v>20000</v>
      </c>
      <c r="N9773" s="74">
        <f t="shared" si="3"/>
        <v>3000</v>
      </c>
      <c r="O9773" s="65" t="str">
        <f>VLOOKUP(E9773,DATABASE!C:Q,8,false)</f>
        <v>BIAN</v>
      </c>
      <c r="P9773" s="65">
        <f>VLOOKUP(E9773,DATABASE!C:Q,9,False)</f>
        <v>0</v>
      </c>
      <c r="Q9773" s="93" t="str">
        <f>VLOOKUP(E9773,DATABASE!C:Q,4,false)</f>
        <v>Aspira</v>
      </c>
      <c r="R9773" s="93" t="str">
        <f>VLOOKUP(E9773,DATABASE!C:Q,11,false)</f>
        <v>COMPLEMENTARY</v>
      </c>
    </row>
    <row r="9774" ht="22.5" customHeight="1">
      <c r="A9774" s="49"/>
      <c r="C9774" s="400">
        <v>46240.0</v>
      </c>
      <c r="D9774" s="524">
        <v>524.0</v>
      </c>
      <c r="E9774" s="544" t="s">
        <v>287</v>
      </c>
      <c r="F9774" s="387">
        <v>2.0</v>
      </c>
      <c r="G9774" s="140">
        <v>800000.0</v>
      </c>
      <c r="H9774" s="74"/>
      <c r="I9774" s="74">
        <f t="shared" si="7"/>
        <v>1600000</v>
      </c>
      <c r="J9774" s="74">
        <f>IF(E9774="SERVICE",I9774-(I9774*50%),Vlookup(E9774,DATABASE!C:Q,10,false)*F9774)</f>
        <v>0</v>
      </c>
      <c r="K9774" s="74">
        <f>VLOOKUP(E9774,DATABASE!C:Q,7,false)</f>
        <v>711000</v>
      </c>
      <c r="L9774" s="74">
        <v>711000.0</v>
      </c>
      <c r="M9774" s="74">
        <f t="shared" si="6"/>
        <v>715000</v>
      </c>
      <c r="N9774" s="74">
        <f t="shared" si="3"/>
        <v>170000</v>
      </c>
      <c r="O9774" s="65" t="str">
        <f>VLOOKUP(E9774,DATABASE!C:Q,8,false)</f>
        <v>BIAN</v>
      </c>
      <c r="P9774" s="65">
        <f>VLOOKUP(E9774,DATABASE!C:Q,9,False)</f>
        <v>1</v>
      </c>
      <c r="Q9774" s="93" t="str">
        <f>VLOOKUP(E9774,DATABASE!C:Q,4,false)</f>
        <v>GT</v>
      </c>
      <c r="R9774" s="93" t="str">
        <f>VLOOKUP(E9774,DATABASE!C:Q,11,false)</f>
        <v>Tire</v>
      </c>
    </row>
    <row r="9775" ht="22.5" customHeight="1">
      <c r="A9775" s="49"/>
      <c r="C9775" s="400">
        <v>46240.0</v>
      </c>
      <c r="D9775" s="524">
        <v>525.0</v>
      </c>
      <c r="E9775" s="544" t="s">
        <v>1427</v>
      </c>
      <c r="F9775" s="387">
        <v>3.0</v>
      </c>
      <c r="G9775" s="140">
        <v>780000.0</v>
      </c>
      <c r="H9775" s="74"/>
      <c r="I9775" s="74">
        <f t="shared" si="7"/>
        <v>2340000</v>
      </c>
      <c r="J9775" s="74">
        <f>IF(E9775="SERVICE",I9775-(I9775*50%),Vlookup(E9775,DATABASE!C:Q,10,false)*F9775)</f>
        <v>0</v>
      </c>
      <c r="K9775" s="74">
        <f>VLOOKUP(E9775,DATABASE!C:Q,7,false)</f>
        <v>696500</v>
      </c>
      <c r="L9775" s="74">
        <v>696500.0</v>
      </c>
      <c r="M9775" s="74">
        <f t="shared" si="6"/>
        <v>700000</v>
      </c>
      <c r="N9775" s="74">
        <f t="shared" si="3"/>
        <v>240000</v>
      </c>
      <c r="O9775" s="65" t="str">
        <f>VLOOKUP(E9775,DATABASE!C:Q,8,false)</f>
        <v>IBU</v>
      </c>
      <c r="P9775" s="65">
        <f>VLOOKUP(E9775,DATABASE!C:Q,9,False)</f>
        <v>1</v>
      </c>
      <c r="Q9775" s="93" t="str">
        <f>VLOOKUP(E9775,DATABASE!C:Q,4,false)</f>
        <v>Dunlop</v>
      </c>
      <c r="R9775" s="93" t="str">
        <f>VLOOKUP(E9775,DATABASE!C:Q,11,false)</f>
        <v>Tire</v>
      </c>
    </row>
    <row r="9776" ht="22.5" customHeight="1">
      <c r="A9776" s="49"/>
      <c r="C9776" s="400">
        <v>46240.0</v>
      </c>
      <c r="D9776" s="524">
        <v>525.0</v>
      </c>
      <c r="E9776" s="544" t="s">
        <v>299</v>
      </c>
      <c r="F9776" s="387">
        <v>2.0</v>
      </c>
      <c r="G9776" s="140">
        <v>30000.0</v>
      </c>
      <c r="H9776" s="74"/>
      <c r="I9776" s="74">
        <f t="shared" si="7"/>
        <v>60000</v>
      </c>
      <c r="J9776" s="74">
        <f>IF(E9776="SERVICE",I9776-(I9776*50%),Vlookup(E9776,DATABASE!C:Q,10,false)*F9776)</f>
        <v>0</v>
      </c>
      <c r="K9776" s="74">
        <f>VLOOKUP(E9776,DATABASE!C:Q,7,false)</f>
        <v>10000</v>
      </c>
      <c r="L9776" s="74">
        <v>10000.0</v>
      </c>
      <c r="M9776" s="74">
        <f t="shared" si="6"/>
        <v>10000</v>
      </c>
      <c r="N9776" s="74">
        <f t="shared" si="3"/>
        <v>40000</v>
      </c>
      <c r="O9776" s="65" t="str">
        <f>VLOOKUP(E9776,DATABASE!C:Q,8,false)</f>
        <v>BIAN</v>
      </c>
      <c r="P9776" s="65">
        <f>VLOOKUP(E9776,DATABASE!C:Q,9,False)</f>
        <v>0</v>
      </c>
      <c r="Q9776" s="93" t="str">
        <f>VLOOKUP(E9776,DATABASE!C:Q,4,false)</f>
        <v>Balancing</v>
      </c>
      <c r="R9776" s="93" t="str">
        <f>VLOOKUP(E9776,DATABASE!C:Q,11,false)</f>
        <v>COMPLEMENTARY</v>
      </c>
    </row>
    <row r="9777" ht="22.5" customHeight="1">
      <c r="A9777" s="49"/>
      <c r="C9777" s="400">
        <v>46240.0</v>
      </c>
      <c r="D9777" s="524">
        <v>526.0</v>
      </c>
      <c r="E9777" s="544" t="s">
        <v>777</v>
      </c>
      <c r="F9777" s="387">
        <v>1.0</v>
      </c>
      <c r="G9777" s="140">
        <v>610000.0</v>
      </c>
      <c r="H9777" s="74"/>
      <c r="I9777" s="74">
        <f t="shared" si="7"/>
        <v>610000</v>
      </c>
      <c r="J9777" s="74">
        <f>IF(E9777="SERVICE",I9777-(I9777*50%),Vlookup(E9777,DATABASE!C:Q,10,false)*F9777)</f>
        <v>0</v>
      </c>
      <c r="K9777" s="74">
        <f>VLOOKUP(E9777,DATABASE!C:Q,7,false)</f>
        <v>540000</v>
      </c>
      <c r="L9777" s="74">
        <v>520000.0</v>
      </c>
      <c r="M9777" s="74">
        <f t="shared" si="6"/>
        <v>520000</v>
      </c>
      <c r="N9777" s="74">
        <f t="shared" si="3"/>
        <v>90000</v>
      </c>
      <c r="O9777" s="65" t="str">
        <f>VLOOKUP(E9777,DATABASE!C:Q,8,false)</f>
        <v>BIAN</v>
      </c>
      <c r="P9777" s="65">
        <f>VLOOKUP(E9777,DATABASE!C:Q,9,False)</f>
        <v>1</v>
      </c>
      <c r="Q9777" s="93" t="str">
        <f>VLOOKUP(E9777,DATABASE!C:Q,4,false)</f>
        <v>GT</v>
      </c>
      <c r="R9777" s="93" t="str">
        <f>VLOOKUP(E9777,DATABASE!C:Q,11,false)</f>
        <v>Tire</v>
      </c>
    </row>
    <row r="9778" ht="22.5" customHeight="1">
      <c r="A9778" s="49"/>
      <c r="C9778" s="400">
        <v>46240.0</v>
      </c>
      <c r="D9778" s="524">
        <v>528.0</v>
      </c>
      <c r="E9778" s="544" t="s">
        <v>275</v>
      </c>
      <c r="F9778" s="387">
        <v>2.0</v>
      </c>
      <c r="G9778" s="140">
        <v>850000.0</v>
      </c>
      <c r="H9778" s="74"/>
      <c r="I9778" s="74">
        <f t="shared" si="7"/>
        <v>1700000</v>
      </c>
      <c r="J9778" s="74">
        <f>IF(E9778="SERVICE",I9778-(I9778*50%),Vlookup(E9778,DATABASE!C:Q,10,false)*F9778)</f>
        <v>0</v>
      </c>
      <c r="K9778" s="74">
        <f>VLOOKUP(E9778,DATABASE!C:Q,7,false)</f>
        <v>782000</v>
      </c>
      <c r="L9778" s="74">
        <v>759500.0</v>
      </c>
      <c r="M9778" s="74">
        <f t="shared" si="6"/>
        <v>760000</v>
      </c>
      <c r="N9778" s="74">
        <f t="shared" si="3"/>
        <v>180000</v>
      </c>
      <c r="O9778" s="65" t="str">
        <f>VLOOKUP(E9778,DATABASE!C:Q,8,false)</f>
        <v>IBU</v>
      </c>
      <c r="P9778" s="65">
        <f>VLOOKUP(E9778,DATABASE!C:Q,9,False)</f>
        <v>1</v>
      </c>
      <c r="Q9778" s="93" t="str">
        <f>VLOOKUP(E9778,DATABASE!C:Q,4,false)</f>
        <v>Dunlop</v>
      </c>
      <c r="R9778" s="93" t="str">
        <f>VLOOKUP(E9778,DATABASE!C:Q,11,false)</f>
        <v>Tire</v>
      </c>
    </row>
    <row r="9779" ht="22.5" customHeight="1">
      <c r="A9779" s="49"/>
      <c r="C9779" s="400">
        <v>46240.0</v>
      </c>
      <c r="D9779" s="524">
        <v>529.0</v>
      </c>
      <c r="E9779" s="544" t="s">
        <v>282</v>
      </c>
      <c r="F9779" s="387">
        <v>1.0</v>
      </c>
      <c r="G9779" s="140">
        <v>880000.0</v>
      </c>
      <c r="H9779" s="74"/>
      <c r="I9779" s="74">
        <f t="shared" si="7"/>
        <v>880000</v>
      </c>
      <c r="J9779" s="74">
        <f>IF(E9779="SERVICE",I9779-(I9779*50%),Vlookup(E9779,DATABASE!C:Q,10,false)*F9779)</f>
        <v>0</v>
      </c>
      <c r="K9779" s="74">
        <f>VLOOKUP(E9779,DATABASE!C:Q,7,false)</f>
        <v>779500</v>
      </c>
      <c r="L9779" s="74">
        <v>779500.0</v>
      </c>
      <c r="M9779" s="74">
        <f t="shared" si="6"/>
        <v>780000</v>
      </c>
      <c r="N9779" s="74">
        <f t="shared" si="3"/>
        <v>100000</v>
      </c>
      <c r="O9779" s="65" t="str">
        <f>VLOOKUP(E9779,DATABASE!C:Q,8,false)</f>
        <v>IBU</v>
      </c>
      <c r="P9779" s="65">
        <f>VLOOKUP(E9779,DATABASE!C:Q,9,False)</f>
        <v>1</v>
      </c>
      <c r="Q9779" s="93" t="str">
        <f>VLOOKUP(E9779,DATABASE!C:Q,4,false)</f>
        <v>Dunlop</v>
      </c>
      <c r="R9779" s="93" t="str">
        <f>VLOOKUP(E9779,DATABASE!C:Q,11,false)</f>
        <v>Tire</v>
      </c>
    </row>
    <row r="9780" ht="22.5" customHeight="1">
      <c r="A9780" s="49"/>
      <c r="C9780" s="400">
        <v>46240.0</v>
      </c>
      <c r="D9780" s="524">
        <v>530.0</v>
      </c>
      <c r="E9780" s="544" t="s">
        <v>262</v>
      </c>
      <c r="F9780" s="387">
        <v>1.0</v>
      </c>
      <c r="G9780" s="140">
        <v>130000.0</v>
      </c>
      <c r="H9780" s="74"/>
      <c r="I9780" s="74">
        <f t="shared" si="7"/>
        <v>130000</v>
      </c>
      <c r="J9780" s="74">
        <f>IF(E9780="SERVICE",I9780-(I9780*50%),Vlookup(E9780,DATABASE!C:Q,10,false)*F9780)</f>
        <v>5000</v>
      </c>
      <c r="K9780" s="74">
        <f>VLOOKUP(E9780,DATABASE!C:Q,7,false)</f>
        <v>0</v>
      </c>
      <c r="L9780" s="74">
        <v>0.0</v>
      </c>
      <c r="M9780" s="74">
        <f t="shared" si="6"/>
        <v>0</v>
      </c>
      <c r="N9780" s="74">
        <f t="shared" si="3"/>
        <v>125000</v>
      </c>
      <c r="O9780" s="65" t="str">
        <f>VLOOKUP(E9780,DATABASE!C:Q,8,false)</f>
        <v>IBU</v>
      </c>
      <c r="P9780" s="65">
        <f>VLOOKUP(E9780,DATABASE!C:Q,9,False)</f>
        <v>0</v>
      </c>
      <c r="Q9780" s="93" t="str">
        <f>VLOOKUP(E9780,DATABASE!C:Q,4,false)</f>
        <v>SPOORING SS/CARRY LOS BAK</v>
      </c>
      <c r="R9780" s="93" t="str">
        <f>VLOOKUP(E9780,DATABASE!C:Q,11,false)</f>
        <v>SERVICE</v>
      </c>
    </row>
    <row r="9781" ht="22.5" customHeight="1">
      <c r="A9781" s="49"/>
      <c r="C9781" s="400">
        <v>46240.0</v>
      </c>
      <c r="D9781" s="524">
        <v>531.0</v>
      </c>
      <c r="E9781" s="544" t="s">
        <v>295</v>
      </c>
      <c r="F9781" s="387">
        <v>2.0</v>
      </c>
      <c r="G9781" s="140">
        <v>1580000.0</v>
      </c>
      <c r="H9781" s="140">
        <v>20000.0</v>
      </c>
      <c r="I9781" s="74">
        <f t="shared" si="7"/>
        <v>3120000</v>
      </c>
      <c r="J9781" s="74">
        <f>IF(E9781="SERVICE",I9781-(I9781*50%),Vlookup(E9781,DATABASE!C:Q,10,false)*F9781)</f>
        <v>0</v>
      </c>
      <c r="K9781" s="74">
        <f>VLOOKUP(E9781,DATABASE!C:Q,7,false)</f>
        <v>1475000</v>
      </c>
      <c r="L9781" s="74">
        <v>1475000.0</v>
      </c>
      <c r="M9781" s="74">
        <f t="shared" si="6"/>
        <v>1475000</v>
      </c>
      <c r="N9781" s="74">
        <f t="shared" si="3"/>
        <v>170000</v>
      </c>
      <c r="O9781" s="65" t="str">
        <f>VLOOKUP(E9781,DATABASE!C:Q,8,false)</f>
        <v>BIAN</v>
      </c>
      <c r="P9781" s="65">
        <f>VLOOKUP(E9781,DATABASE!C:Q,9,False)</f>
        <v>1</v>
      </c>
      <c r="Q9781" s="93" t="str">
        <f>VLOOKUP(E9781,DATABASE!C:Q,4,false)</f>
        <v>TIRON</v>
      </c>
      <c r="R9781" s="93" t="str">
        <f>VLOOKUP(E9781,DATABASE!C:Q,11,false)</f>
        <v>Tire</v>
      </c>
    </row>
    <row r="9782" ht="22.5" customHeight="1">
      <c r="A9782" s="49"/>
      <c r="C9782" s="400">
        <v>46240.0</v>
      </c>
      <c r="D9782" s="524">
        <v>531.0</v>
      </c>
      <c r="E9782" s="544" t="s">
        <v>924</v>
      </c>
      <c r="F9782" s="387">
        <v>2.0</v>
      </c>
      <c r="G9782" s="140">
        <v>1660000.0</v>
      </c>
      <c r="H9782" s="140">
        <v>20000.0</v>
      </c>
      <c r="I9782" s="74">
        <f t="shared" si="7"/>
        <v>3280000</v>
      </c>
      <c r="J9782" s="74">
        <f>IF(E9782="SERVICE",I9782-(I9782*50%),Vlookup(E9782,DATABASE!C:Q,10,false)*F9782)</f>
        <v>0</v>
      </c>
      <c r="K9782" s="74">
        <f>VLOOKUP(E9782,DATABASE!C:Q,7,false)</f>
        <v>1560000</v>
      </c>
      <c r="L9782" s="74">
        <v>1560000.0</v>
      </c>
      <c r="M9782" s="74">
        <f t="shared" si="6"/>
        <v>1560000</v>
      </c>
      <c r="N9782" s="74">
        <f t="shared" si="3"/>
        <v>160000</v>
      </c>
      <c r="O9782" s="65" t="str">
        <f>VLOOKUP(E9782,DATABASE!C:Q,8,false)</f>
        <v>BIAN</v>
      </c>
      <c r="P9782" s="65">
        <f>VLOOKUP(E9782,DATABASE!C:Q,9,False)</f>
        <v>1</v>
      </c>
      <c r="Q9782" s="93" t="str">
        <f>VLOOKUP(E9782,DATABASE!C:Q,4,false)</f>
        <v>TIRON</v>
      </c>
      <c r="R9782" s="93" t="str">
        <f>VLOOKUP(E9782,DATABASE!C:Q,11,false)</f>
        <v>Tire</v>
      </c>
    </row>
    <row r="9783" ht="22.5" customHeight="1">
      <c r="A9783" s="49"/>
      <c r="C9783" s="400">
        <v>46240.0</v>
      </c>
      <c r="D9783" s="524">
        <v>532.0</v>
      </c>
      <c r="E9783" s="544" t="s">
        <v>250</v>
      </c>
      <c r="F9783" s="387">
        <v>1.0</v>
      </c>
      <c r="G9783" s="140">
        <v>135000.0</v>
      </c>
      <c r="H9783" s="74"/>
      <c r="I9783" s="74">
        <f t="shared" si="7"/>
        <v>135000</v>
      </c>
      <c r="J9783" s="74">
        <f>IF(E9783="SERVICE",I9783-(I9783*50%),Vlookup(E9783,DATABASE!C:Q,10,false)*F9783)</f>
        <v>0</v>
      </c>
      <c r="K9783" s="74">
        <f>VLOOKUP(E9783,DATABASE!C:Q,7,false)</f>
        <v>102000</v>
      </c>
      <c r="L9783" s="74">
        <v>102000.0</v>
      </c>
      <c r="M9783" s="74">
        <f t="shared" si="6"/>
        <v>105000</v>
      </c>
      <c r="N9783" s="74">
        <f t="shared" si="3"/>
        <v>30000</v>
      </c>
      <c r="O9783" s="65" t="str">
        <f>VLOOKUP(E9783,DATABASE!C:Q,8,false)</f>
        <v>BIAN</v>
      </c>
      <c r="P9783" s="65">
        <f>VLOOKUP(E9783,DATABASE!C:Q,9,False)</f>
        <v>1</v>
      </c>
      <c r="Q9783" s="93" t="str">
        <f>VLOOKUP(E9783,DATABASE!C:Q,4,false)</f>
        <v>BD</v>
      </c>
      <c r="R9783" s="93" t="str">
        <f>VLOOKUP(E9783,DATABASE!C:Q,11,false)</f>
        <v>Tire</v>
      </c>
    </row>
    <row r="9784" ht="22.5" customHeight="1">
      <c r="A9784" s="49"/>
      <c r="C9784" s="400">
        <v>46241.0</v>
      </c>
      <c r="D9784" s="69">
        <v>533.0</v>
      </c>
      <c r="E9784" s="544" t="s">
        <v>781</v>
      </c>
      <c r="F9784" s="387">
        <v>4.0</v>
      </c>
      <c r="G9784" s="140">
        <v>540000.0</v>
      </c>
      <c r="H9784" s="74"/>
      <c r="I9784" s="74">
        <f t="shared" si="7"/>
        <v>2160000</v>
      </c>
      <c r="J9784" s="74">
        <f>IF(E9784="SERVICE",I9784-(I9784*50%),Vlookup(E9784,DATABASE!C:Q,10,false)*F9784)</f>
        <v>0</v>
      </c>
      <c r="K9784" s="74">
        <f>VLOOKUP(E9784,DATABASE!C:Q,7,false)</f>
        <v>470000</v>
      </c>
      <c r="L9784" s="74">
        <v>460000.0</v>
      </c>
      <c r="M9784" s="74">
        <f t="shared" si="6"/>
        <v>460000</v>
      </c>
      <c r="N9784" s="74">
        <f t="shared" si="3"/>
        <v>320000</v>
      </c>
      <c r="O9784" s="65" t="str">
        <f>VLOOKUP(E9784,DATABASE!C:Q,8,false)</f>
        <v>BIAN</v>
      </c>
      <c r="P9784" s="65">
        <f>VLOOKUP(E9784,DATABASE!C:Q,9,False)</f>
        <v>1</v>
      </c>
      <c r="Q9784" s="93" t="str">
        <f>VLOOKUP(E9784,DATABASE!C:Q,4,false)</f>
        <v>GT</v>
      </c>
      <c r="R9784" s="93" t="str">
        <f>VLOOKUP(E9784,DATABASE!C:Q,11,false)</f>
        <v>Tire</v>
      </c>
    </row>
    <row r="9785" ht="22.5" customHeight="1">
      <c r="A9785" s="49"/>
      <c r="C9785" s="400">
        <v>46241.0</v>
      </c>
      <c r="D9785" s="69">
        <v>534.0</v>
      </c>
      <c r="E9785" s="544" t="s">
        <v>299</v>
      </c>
      <c r="F9785" s="387">
        <v>2.0</v>
      </c>
      <c r="G9785" s="140">
        <v>30000.0</v>
      </c>
      <c r="H9785" s="74"/>
      <c r="I9785" s="74">
        <f t="shared" si="7"/>
        <v>60000</v>
      </c>
      <c r="J9785" s="74">
        <f>IF(E9785="SERVICE",I9785-(I9785*50%),Vlookup(E9785,DATABASE!C:Q,10,false)*F9785)</f>
        <v>0</v>
      </c>
      <c r="K9785" s="74">
        <f>VLOOKUP(E9785,DATABASE!C:Q,7,false)</f>
        <v>10000</v>
      </c>
      <c r="L9785" s="74">
        <v>10000.0</v>
      </c>
      <c r="M9785" s="74">
        <f t="shared" si="6"/>
        <v>10000</v>
      </c>
      <c r="N9785" s="74">
        <f t="shared" si="3"/>
        <v>40000</v>
      </c>
      <c r="O9785" s="65" t="str">
        <f>VLOOKUP(E9785,DATABASE!C:Q,8,false)</f>
        <v>BIAN</v>
      </c>
      <c r="P9785" s="65">
        <f>VLOOKUP(E9785,DATABASE!C:Q,9,False)</f>
        <v>0</v>
      </c>
      <c r="Q9785" s="93" t="str">
        <f>VLOOKUP(E9785,DATABASE!C:Q,4,false)</f>
        <v>Balancing</v>
      </c>
      <c r="R9785" s="93" t="str">
        <f>VLOOKUP(E9785,DATABASE!C:Q,11,false)</f>
        <v>COMPLEMENTARY</v>
      </c>
    </row>
    <row r="9786" ht="22.5" customHeight="1">
      <c r="A9786" s="49"/>
      <c r="C9786" s="400">
        <v>46241.0</v>
      </c>
      <c r="D9786" s="69">
        <v>535.0</v>
      </c>
      <c r="E9786" s="544" t="s">
        <v>279</v>
      </c>
      <c r="F9786" s="387">
        <v>2.0</v>
      </c>
      <c r="G9786" s="140">
        <v>690000.0</v>
      </c>
      <c r="H9786" s="74"/>
      <c r="I9786" s="74">
        <f t="shared" si="7"/>
        <v>1380000</v>
      </c>
      <c r="J9786" s="74">
        <f>IF(E9786="SERVICE",I9786-(I9786*50%),Vlookup(E9786,DATABASE!C:Q,10,false)*F9786)</f>
        <v>0</v>
      </c>
      <c r="K9786" s="74">
        <f>VLOOKUP(E9786,DATABASE!C:Q,7,false)</f>
        <v>623000</v>
      </c>
      <c r="L9786" s="74">
        <v>602000.0</v>
      </c>
      <c r="M9786" s="74">
        <f t="shared" si="6"/>
        <v>605000</v>
      </c>
      <c r="N9786" s="74">
        <f t="shared" si="3"/>
        <v>170000</v>
      </c>
      <c r="O9786" s="65" t="str">
        <f>VLOOKUP(E9786,DATABASE!C:Q,8,false)</f>
        <v>IBU</v>
      </c>
      <c r="P9786" s="65">
        <f>VLOOKUP(E9786,DATABASE!C:Q,9,False)</f>
        <v>1</v>
      </c>
      <c r="Q9786" s="93" t="str">
        <f>VLOOKUP(E9786,DATABASE!C:Q,4,false)</f>
        <v>Dunlop</v>
      </c>
      <c r="R9786" s="93" t="str">
        <f>VLOOKUP(E9786,DATABASE!C:Q,11,false)</f>
        <v>Tire</v>
      </c>
    </row>
    <row r="9787" ht="22.5" customHeight="1">
      <c r="A9787" s="49"/>
      <c r="C9787" s="400">
        <v>46241.0</v>
      </c>
      <c r="D9787" s="69">
        <v>537.0</v>
      </c>
      <c r="E9787" s="544" t="s">
        <v>268</v>
      </c>
      <c r="F9787" s="387">
        <v>1.0</v>
      </c>
      <c r="G9787" s="140">
        <v>720000.0</v>
      </c>
      <c r="H9787" s="74"/>
      <c r="I9787" s="74">
        <f t="shared" si="7"/>
        <v>720000</v>
      </c>
      <c r="J9787" s="74">
        <f>IF(E9787="SERVICE",I9787-(I9787*50%),Vlookup(E9787,DATABASE!C:Q,10,false)*F9787)</f>
        <v>0</v>
      </c>
      <c r="K9787" s="74">
        <f>VLOOKUP(E9787,DATABASE!C:Q,7,false)</f>
        <v>653000</v>
      </c>
      <c r="L9787" s="74">
        <v>634500.0</v>
      </c>
      <c r="M9787" s="74">
        <f t="shared" si="6"/>
        <v>635000</v>
      </c>
      <c r="N9787" s="74">
        <f t="shared" si="3"/>
        <v>85000</v>
      </c>
      <c r="O9787" s="65" t="str">
        <f>VLOOKUP(E9787,DATABASE!C:Q,8,false)</f>
        <v>IBU</v>
      </c>
      <c r="P9787" s="65">
        <f>VLOOKUP(E9787,DATABASE!C:Q,9,False)</f>
        <v>1</v>
      </c>
      <c r="Q9787" s="93" t="str">
        <f>VLOOKUP(E9787,DATABASE!C:Q,4,false)</f>
        <v>Dunlop</v>
      </c>
      <c r="R9787" s="93" t="str">
        <f>VLOOKUP(E9787,DATABASE!C:Q,11,false)</f>
        <v>Tire</v>
      </c>
    </row>
    <row r="9788" ht="22.5" customHeight="1">
      <c r="A9788" s="49"/>
      <c r="C9788" s="400">
        <v>46241.0</v>
      </c>
      <c r="D9788" s="69">
        <v>538.0</v>
      </c>
      <c r="E9788" s="544" t="s">
        <v>478</v>
      </c>
      <c r="F9788" s="387">
        <v>1.0</v>
      </c>
      <c r="G9788" s="140">
        <v>175000.0</v>
      </c>
      <c r="H9788" s="74"/>
      <c r="I9788" s="74">
        <f t="shared" si="7"/>
        <v>175000</v>
      </c>
      <c r="J9788" s="140">
        <v>0.0</v>
      </c>
      <c r="K9788" s="74">
        <f>VLOOKUP(E9788,DATABASE!C:Q,7,false)</f>
        <v>75000</v>
      </c>
      <c r="L9788" s="74">
        <v>75000.0</v>
      </c>
      <c r="M9788" s="74">
        <f t="shared" si="6"/>
        <v>75000</v>
      </c>
      <c r="N9788" s="74">
        <f t="shared" si="3"/>
        <v>100000</v>
      </c>
      <c r="O9788" s="65" t="str">
        <f>VLOOKUP(E9788,DATABASE!C:Q,8,false)</f>
        <v>BIAN</v>
      </c>
      <c r="P9788" s="65">
        <f>VLOOKUP(E9788,DATABASE!C:Q,9,False)</f>
        <v>0</v>
      </c>
      <c r="Q9788" s="93" t="str">
        <f>VLOOKUP(E9788,DATABASE!C:Q,4,false)</f>
        <v>Baut Camber ss-carry</v>
      </c>
      <c r="R9788" s="93" t="str">
        <f>VLOOKUP(E9788,DATABASE!C:Q,11,false)</f>
        <v>COMPLEMENTARY</v>
      </c>
    </row>
    <row r="9789" ht="22.5" customHeight="1">
      <c r="A9789" s="49"/>
      <c r="C9789" s="400">
        <v>46241.0</v>
      </c>
      <c r="D9789" s="69">
        <v>539.0</v>
      </c>
      <c r="E9789" s="544" t="s">
        <v>275</v>
      </c>
      <c r="F9789" s="387">
        <v>1.0</v>
      </c>
      <c r="G9789" s="140">
        <v>850000.0</v>
      </c>
      <c r="H9789" s="74"/>
      <c r="I9789" s="74">
        <f t="shared" si="7"/>
        <v>850000</v>
      </c>
      <c r="J9789" s="74">
        <f>IF(E9789="SERVICE",I9789-(I9789*50%),Vlookup(E9789,DATABASE!C:Q,10,false)*F9789)</f>
        <v>0</v>
      </c>
      <c r="K9789" s="74">
        <f>VLOOKUP(E9789,DATABASE!C:Q,7,false)</f>
        <v>782000</v>
      </c>
      <c r="L9789" s="74">
        <v>759500.0</v>
      </c>
      <c r="M9789" s="74">
        <f t="shared" si="6"/>
        <v>760000</v>
      </c>
      <c r="N9789" s="74">
        <f t="shared" si="3"/>
        <v>90000</v>
      </c>
      <c r="O9789" s="65" t="str">
        <f>VLOOKUP(E9789,DATABASE!C:Q,8,false)</f>
        <v>IBU</v>
      </c>
      <c r="P9789" s="65">
        <f>VLOOKUP(E9789,DATABASE!C:Q,9,False)</f>
        <v>1</v>
      </c>
      <c r="Q9789" s="93" t="str">
        <f>VLOOKUP(E9789,DATABASE!C:Q,4,false)</f>
        <v>Dunlop</v>
      </c>
      <c r="R9789" s="93" t="str">
        <f>VLOOKUP(E9789,DATABASE!C:Q,11,false)</f>
        <v>Tire</v>
      </c>
    </row>
    <row r="9790" ht="22.5" customHeight="1">
      <c r="A9790" s="49"/>
      <c r="C9790" s="400">
        <v>46241.0</v>
      </c>
      <c r="D9790" s="69">
        <v>539.0</v>
      </c>
      <c r="E9790" s="544" t="s">
        <v>604</v>
      </c>
      <c r="F9790" s="387">
        <v>1.0</v>
      </c>
      <c r="G9790" s="140">
        <v>150000.0</v>
      </c>
      <c r="H9790" s="74"/>
      <c r="I9790" s="74">
        <f t="shared" si="7"/>
        <v>150000</v>
      </c>
      <c r="J9790" s="74">
        <f>IF(E9790="SERVICE",I9790-(I9790*50%),Vlookup(E9790,DATABASE!C:Q,10,false)*F9790)</f>
        <v>0</v>
      </c>
      <c r="K9790" s="74">
        <f>VLOOKUP(E9790,DATABASE!C:Q,7,false)</f>
        <v>124000</v>
      </c>
      <c r="L9790" s="74">
        <v>124000.0</v>
      </c>
      <c r="M9790" s="74">
        <f t="shared" si="6"/>
        <v>125000</v>
      </c>
      <c r="N9790" s="74">
        <f t="shared" si="3"/>
        <v>25000</v>
      </c>
      <c r="O9790" s="65" t="str">
        <f>VLOOKUP(E9790,DATABASE!C:Q,8,false)</f>
        <v>BIAN</v>
      </c>
      <c r="P9790" s="65">
        <f>VLOOKUP(E9790,DATABASE!C:Q,9,False)</f>
        <v>1</v>
      </c>
      <c r="Q9790" s="93" t="str">
        <f>VLOOKUP(E9790,DATABASE!C:Q,4,false)</f>
        <v>BD</v>
      </c>
      <c r="R9790" s="93" t="str">
        <f>VLOOKUP(E9790,DATABASE!C:Q,11,false)</f>
        <v>Tire</v>
      </c>
    </row>
    <row r="9791" ht="22.5" customHeight="1">
      <c r="A9791" s="49"/>
      <c r="C9791" s="400">
        <v>46241.0</v>
      </c>
      <c r="D9791" s="69">
        <v>540.0</v>
      </c>
      <c r="E9791" s="544" t="s">
        <v>281</v>
      </c>
      <c r="F9791" s="387">
        <v>1.0</v>
      </c>
      <c r="G9791" s="140">
        <v>880000.0</v>
      </c>
      <c r="H9791" s="74"/>
      <c r="I9791" s="74">
        <f t="shared" si="7"/>
        <v>880000</v>
      </c>
      <c r="J9791" s="74">
        <f>IF(E9791="SERVICE",I9791-(I9791*50%),Vlookup(E9791,DATABASE!C:Q,10,false)*F9791)</f>
        <v>0</v>
      </c>
      <c r="K9791" s="74">
        <f>VLOOKUP(E9791,DATABASE!C:Q,7,false)</f>
        <v>814000</v>
      </c>
      <c r="L9791" s="74">
        <v>780000.0</v>
      </c>
      <c r="M9791" s="74">
        <f t="shared" si="6"/>
        <v>780000</v>
      </c>
      <c r="N9791" s="74">
        <f t="shared" si="3"/>
        <v>100000</v>
      </c>
      <c r="O9791" s="65" t="str">
        <f>VLOOKUP(E9791,DATABASE!C:Q,8,false)</f>
        <v>IBU</v>
      </c>
      <c r="P9791" s="65">
        <f>VLOOKUP(E9791,DATABASE!C:Q,9,False)</f>
        <v>1</v>
      </c>
      <c r="Q9791" s="93" t="str">
        <f>VLOOKUP(E9791,DATABASE!C:Q,4,false)</f>
        <v>Dunlop</v>
      </c>
      <c r="R9791" s="93" t="str">
        <f>VLOOKUP(E9791,DATABASE!C:Q,11,false)</f>
        <v>Tire</v>
      </c>
    </row>
    <row r="9792" ht="22.5" customHeight="1">
      <c r="A9792" s="49"/>
      <c r="C9792" s="400">
        <v>46241.0</v>
      </c>
      <c r="D9792" s="69">
        <v>541.0</v>
      </c>
      <c r="E9792" s="544" t="s">
        <v>262</v>
      </c>
      <c r="F9792" s="387">
        <v>1.0</v>
      </c>
      <c r="G9792" s="140">
        <v>130000.0</v>
      </c>
      <c r="H9792" s="74"/>
      <c r="I9792" s="74">
        <f t="shared" si="7"/>
        <v>130000</v>
      </c>
      <c r="J9792" s="74">
        <f>IF(E9792="SERVICE",I9792-(I9792*50%),Vlookup(E9792,DATABASE!C:Q,10,false)*F9792)</f>
        <v>5000</v>
      </c>
      <c r="K9792" s="74">
        <f>VLOOKUP(E9792,DATABASE!C:Q,7,false)</f>
        <v>0</v>
      </c>
      <c r="L9792" s="74">
        <v>0.0</v>
      </c>
      <c r="M9792" s="74">
        <f t="shared" si="6"/>
        <v>0</v>
      </c>
      <c r="N9792" s="74">
        <f t="shared" si="3"/>
        <v>125000</v>
      </c>
      <c r="O9792" s="65" t="str">
        <f>VLOOKUP(E9792,DATABASE!C:Q,8,false)</f>
        <v>IBU</v>
      </c>
      <c r="P9792" s="65">
        <f>VLOOKUP(E9792,DATABASE!C:Q,9,False)</f>
        <v>0</v>
      </c>
      <c r="Q9792" s="93" t="str">
        <f>VLOOKUP(E9792,DATABASE!C:Q,4,false)</f>
        <v>SPOORING SS/CARRY LOS BAK</v>
      </c>
      <c r="R9792" s="93" t="str">
        <f>VLOOKUP(E9792,DATABASE!C:Q,11,false)</f>
        <v>SERVICE</v>
      </c>
    </row>
    <row r="9793" ht="22.5" customHeight="1">
      <c r="A9793" s="49"/>
      <c r="C9793" s="400">
        <v>46241.0</v>
      </c>
      <c r="D9793" s="69">
        <v>541.0</v>
      </c>
      <c r="E9793" s="544" t="s">
        <v>251</v>
      </c>
      <c r="F9793" s="387">
        <v>1.0</v>
      </c>
      <c r="G9793" s="140">
        <v>120000.0</v>
      </c>
      <c r="H9793" s="74"/>
      <c r="I9793" s="74">
        <f t="shared" si="7"/>
        <v>120000</v>
      </c>
      <c r="J9793" s="74">
        <f>IF(E9793="SERVICE",I9793-(I9793*50%),Vlookup(E9793,DATABASE!C:Q,10,false)*F9793)</f>
        <v>60000</v>
      </c>
      <c r="K9793" s="74">
        <f>VLOOKUP(E9793,DATABASE!C:Q,7,false)</f>
        <v>0</v>
      </c>
      <c r="L9793" s="74">
        <v>0.0</v>
      </c>
      <c r="M9793" s="74">
        <f t="shared" si="6"/>
        <v>0</v>
      </c>
      <c r="N9793" s="74">
        <f t="shared" si="3"/>
        <v>60000</v>
      </c>
      <c r="O9793" s="65" t="str">
        <f>VLOOKUP(E9793,DATABASE!C:Q,8,false)</f>
        <v>IBU</v>
      </c>
      <c r="P9793" s="65">
        <f>VLOOKUP(E9793,DATABASE!C:Q,9,False)</f>
        <v>0</v>
      </c>
      <c r="Q9793" s="93" t="str">
        <f>VLOOKUP(E9793,DATABASE!C:Q,4,false)</f>
        <v>SERVICE</v>
      </c>
      <c r="R9793" s="93" t="str">
        <f>VLOOKUP(E9793,DATABASE!C:Q,11,false)</f>
        <v>SERVICE</v>
      </c>
    </row>
    <row r="9794" ht="22.5" customHeight="1">
      <c r="A9794" s="49"/>
      <c r="C9794" s="400">
        <v>46241.0</v>
      </c>
      <c r="D9794" s="69">
        <v>542.0</v>
      </c>
      <c r="E9794" s="544" t="s">
        <v>287</v>
      </c>
      <c r="F9794" s="387">
        <v>1.0</v>
      </c>
      <c r="G9794" s="140">
        <v>800000.0</v>
      </c>
      <c r="H9794" s="74"/>
      <c r="I9794" s="74">
        <f t="shared" si="7"/>
        <v>800000</v>
      </c>
      <c r="J9794" s="74">
        <f>IF(E9794="SERVICE",I9794-(I9794*50%),Vlookup(E9794,DATABASE!C:Q,10,false)*F9794)</f>
        <v>0</v>
      </c>
      <c r="K9794" s="74">
        <f>VLOOKUP(E9794,DATABASE!C:Q,7,false)</f>
        <v>711000</v>
      </c>
      <c r="L9794" s="74">
        <v>711000.0</v>
      </c>
      <c r="M9794" s="74">
        <f t="shared" si="6"/>
        <v>715000</v>
      </c>
      <c r="N9794" s="74">
        <f t="shared" si="3"/>
        <v>85000</v>
      </c>
      <c r="O9794" s="65" t="str">
        <f>VLOOKUP(E9794,DATABASE!C:Q,8,false)</f>
        <v>BIAN</v>
      </c>
      <c r="P9794" s="65">
        <f>VLOOKUP(E9794,DATABASE!C:Q,9,False)</f>
        <v>1</v>
      </c>
      <c r="Q9794" s="93" t="str">
        <f>VLOOKUP(E9794,DATABASE!C:Q,4,false)</f>
        <v>GT</v>
      </c>
      <c r="R9794" s="93" t="str">
        <f>VLOOKUP(E9794,DATABASE!C:Q,11,false)</f>
        <v>Tire</v>
      </c>
    </row>
    <row r="9795" ht="22.5" customHeight="1">
      <c r="A9795" s="49"/>
      <c r="C9795" s="400">
        <v>46241.0</v>
      </c>
      <c r="D9795" s="524">
        <v>543.0</v>
      </c>
      <c r="E9795" s="544" t="s">
        <v>268</v>
      </c>
      <c r="F9795" s="387">
        <v>1.0</v>
      </c>
      <c r="G9795" s="140">
        <v>720000.0</v>
      </c>
      <c r="H9795" s="74"/>
      <c r="I9795" s="74">
        <f t="shared" si="7"/>
        <v>720000</v>
      </c>
      <c r="J9795" s="74">
        <f>IF(E9795="SERVICE",I9795-(I9795*50%),Vlookup(E9795,DATABASE!C:Q,10,false)*F9795)</f>
        <v>0</v>
      </c>
      <c r="K9795" s="74">
        <f>VLOOKUP(E9795,DATABASE!C:Q,7,false)</f>
        <v>653000</v>
      </c>
      <c r="L9795" s="74">
        <v>634500.0</v>
      </c>
      <c r="M9795" s="74">
        <f t="shared" si="6"/>
        <v>635000</v>
      </c>
      <c r="N9795" s="74">
        <f t="shared" si="3"/>
        <v>85000</v>
      </c>
      <c r="O9795" s="65" t="str">
        <f>VLOOKUP(E9795,DATABASE!C:Q,8,false)</f>
        <v>IBU</v>
      </c>
      <c r="P9795" s="65">
        <f>VLOOKUP(E9795,DATABASE!C:Q,9,False)</f>
        <v>1</v>
      </c>
      <c r="Q9795" s="93" t="str">
        <f>VLOOKUP(E9795,DATABASE!C:Q,4,false)</f>
        <v>Dunlop</v>
      </c>
      <c r="R9795" s="93" t="str">
        <f>VLOOKUP(E9795,DATABASE!C:Q,11,false)</f>
        <v>Tire</v>
      </c>
    </row>
    <row r="9796" ht="22.5" customHeight="1">
      <c r="A9796" s="49"/>
      <c r="C9796" s="400">
        <v>46241.0</v>
      </c>
      <c r="D9796" s="524">
        <v>544.0</v>
      </c>
      <c r="E9796" s="544" t="s">
        <v>251</v>
      </c>
      <c r="F9796" s="387">
        <v>1.0</v>
      </c>
      <c r="G9796" s="140">
        <v>350000.0</v>
      </c>
      <c r="H9796" s="140">
        <v>200000.0</v>
      </c>
      <c r="I9796" s="74">
        <f t="shared" si="7"/>
        <v>150000</v>
      </c>
      <c r="J9796" s="74">
        <f>IF(E9796="SERVICE",I9796-(I9796*50%),Vlookup(E9796,DATABASE!C:Q,10,false)*F9796)</f>
        <v>75000</v>
      </c>
      <c r="K9796" s="74">
        <f>VLOOKUP(E9796,DATABASE!C:Q,7,false)</f>
        <v>0</v>
      </c>
      <c r="L9796" s="74">
        <v>0.0</v>
      </c>
      <c r="M9796" s="74">
        <f t="shared" si="6"/>
        <v>0</v>
      </c>
      <c r="N9796" s="74">
        <f t="shared" si="3"/>
        <v>75000</v>
      </c>
      <c r="O9796" s="65" t="str">
        <f>VLOOKUP(E9796,DATABASE!C:Q,8,false)</f>
        <v>IBU</v>
      </c>
      <c r="P9796" s="65">
        <f>VLOOKUP(E9796,DATABASE!C:Q,9,False)</f>
        <v>0</v>
      </c>
      <c r="Q9796" s="93" t="str">
        <f>VLOOKUP(E9796,DATABASE!C:Q,4,false)</f>
        <v>SERVICE</v>
      </c>
      <c r="R9796" s="93" t="str">
        <f>VLOOKUP(E9796,DATABASE!C:Q,11,false)</f>
        <v>SERVICE</v>
      </c>
    </row>
    <row r="9797" ht="22.5" customHeight="1">
      <c r="A9797" s="49"/>
      <c r="C9797" s="400">
        <v>46241.0</v>
      </c>
      <c r="D9797" s="69" t="s">
        <v>2900</v>
      </c>
      <c r="E9797" s="544" t="s">
        <v>252</v>
      </c>
      <c r="F9797" s="387">
        <v>1.0</v>
      </c>
      <c r="G9797" s="140">
        <v>370000.0</v>
      </c>
      <c r="H9797" s="74"/>
      <c r="I9797" s="74">
        <f t="shared" si="7"/>
        <v>370000</v>
      </c>
      <c r="J9797" s="74">
        <f>IF(E9797="SERVICE",I9797-(I9797*50%),Vlookup(E9797,DATABASE!C:Q,10,false)*F9797)</f>
        <v>0</v>
      </c>
      <c r="K9797" s="74">
        <f>VLOOKUP(E9797,DATABASE!C:Q,7,false)</f>
        <v>317518</v>
      </c>
      <c r="L9797" s="74">
        <v>317518.0</v>
      </c>
      <c r="M9797" s="74">
        <f t="shared" si="6"/>
        <v>320000</v>
      </c>
      <c r="N9797" s="74">
        <f t="shared" si="3"/>
        <v>50000</v>
      </c>
      <c r="O9797" s="65" t="str">
        <f>VLOOKUP(E9797,DATABASE!C:Q,8,false)</f>
        <v>NON</v>
      </c>
      <c r="P9797" s="65">
        <f>VLOOKUP(E9797,DATABASE!C:Q,9,False)</f>
        <v>0</v>
      </c>
      <c r="Q9797" s="93" t="str">
        <f>VLOOKUP(E9797,DATABASE!C:Q,4,false)</f>
        <v>Shell</v>
      </c>
      <c r="R9797" s="93" t="str">
        <f>VLOOKUP(E9797,DATABASE!C:Q,11,false)</f>
        <v>OIL</v>
      </c>
    </row>
    <row r="9798" ht="22.5" customHeight="1">
      <c r="A9798" s="49"/>
      <c r="C9798" s="400">
        <v>46242.0</v>
      </c>
      <c r="D9798" s="69">
        <v>545.0</v>
      </c>
      <c r="E9798" s="544" t="s">
        <v>268</v>
      </c>
      <c r="F9798" s="387">
        <v>4.0</v>
      </c>
      <c r="G9798" s="140">
        <v>720000.0</v>
      </c>
      <c r="H9798" s="74"/>
      <c r="I9798" s="74">
        <f t="shared" si="7"/>
        <v>2880000</v>
      </c>
      <c r="J9798" s="74">
        <f>IF(E9798="SERVICE",I9798-(I9798*50%),Vlookup(E9798,DATABASE!C:Q,10,false)*F9798)</f>
        <v>0</v>
      </c>
      <c r="K9798" s="74">
        <f>VLOOKUP(E9798,DATABASE!C:Q,7,false)</f>
        <v>653000</v>
      </c>
      <c r="L9798" s="74">
        <v>634500.0</v>
      </c>
      <c r="M9798" s="74">
        <f t="shared" si="6"/>
        <v>635000</v>
      </c>
      <c r="N9798" s="74">
        <f t="shared" si="3"/>
        <v>340000</v>
      </c>
      <c r="O9798" s="65" t="str">
        <f>VLOOKUP(E9798,DATABASE!C:Q,8,false)</f>
        <v>IBU</v>
      </c>
      <c r="P9798" s="65">
        <f>VLOOKUP(E9798,DATABASE!C:Q,9,False)</f>
        <v>1</v>
      </c>
      <c r="Q9798" s="93" t="str">
        <f>VLOOKUP(E9798,DATABASE!C:Q,4,false)</f>
        <v>Dunlop</v>
      </c>
      <c r="R9798" s="93" t="str">
        <f>VLOOKUP(E9798,DATABASE!C:Q,11,false)</f>
        <v>Tire</v>
      </c>
    </row>
    <row r="9799" ht="22.5" customHeight="1">
      <c r="A9799" s="49"/>
      <c r="C9799" s="400">
        <v>46242.0</v>
      </c>
      <c r="D9799" s="524">
        <v>546.0</v>
      </c>
      <c r="E9799" s="544" t="s">
        <v>286</v>
      </c>
      <c r="F9799" s="387">
        <v>13.0</v>
      </c>
      <c r="G9799" s="140">
        <v>580000.0</v>
      </c>
      <c r="H9799" s="140">
        <v>10000.0</v>
      </c>
      <c r="I9799" s="74">
        <f t="shared" si="7"/>
        <v>7410000</v>
      </c>
      <c r="J9799" s="74">
        <f>IF(E9799="SERVICE",I9799-(I9799*50%),Vlookup(E9799,DATABASE!C:Q,10,false)*F9799)</f>
        <v>0</v>
      </c>
      <c r="K9799" s="74">
        <f>VLOOKUP(E9799,DATABASE!C:Q,7,false)</f>
        <v>488320</v>
      </c>
      <c r="L9799" s="74">
        <v>480700.0</v>
      </c>
      <c r="M9799" s="74">
        <f t="shared" si="6"/>
        <v>485000</v>
      </c>
      <c r="N9799" s="74">
        <f t="shared" si="3"/>
        <v>1105000</v>
      </c>
      <c r="O9799" s="65" t="str">
        <f>VLOOKUP(E9799,DATABASE!C:Q,8,false)</f>
        <v>BIAN</v>
      </c>
      <c r="P9799" s="65">
        <f>VLOOKUP(E9799,DATABASE!C:Q,9,False)</f>
        <v>1</v>
      </c>
      <c r="Q9799" s="93" t="str">
        <f>VLOOKUP(E9799,DATABASE!C:Q,4,false)</f>
        <v>GT</v>
      </c>
      <c r="R9799" s="93" t="str">
        <f>VLOOKUP(E9799,DATABASE!C:Q,11,false)</f>
        <v>Tire</v>
      </c>
    </row>
    <row r="9800" ht="22.5" customHeight="1">
      <c r="A9800" s="49"/>
      <c r="C9800" s="400">
        <v>46242.0</v>
      </c>
      <c r="D9800" s="524">
        <v>547.0</v>
      </c>
      <c r="E9800" s="544" t="s">
        <v>695</v>
      </c>
      <c r="F9800" s="387">
        <v>2.0</v>
      </c>
      <c r="G9800" s="140">
        <v>675000.0</v>
      </c>
      <c r="H9800" s="74"/>
      <c r="I9800" s="74">
        <f t="shared" si="7"/>
        <v>1350000</v>
      </c>
      <c r="J9800" s="74">
        <f>IF(E9800="SERVICE",I9800-(I9800*50%),Vlookup(E9800,DATABASE!C:Q,10,false)*F9800)</f>
        <v>0</v>
      </c>
      <c r="K9800" s="74">
        <f>VLOOKUP(E9800,DATABASE!C:Q,7,false)</f>
        <v>582000</v>
      </c>
      <c r="L9800" s="74">
        <v>582000.0</v>
      </c>
      <c r="M9800" s="74">
        <f t="shared" si="6"/>
        <v>585000</v>
      </c>
      <c r="N9800" s="74">
        <f t="shared" si="3"/>
        <v>180000</v>
      </c>
      <c r="O9800" s="65" t="str">
        <f>VLOOKUP(E9800,DATABASE!C:Q,8,false)</f>
        <v>IBU</v>
      </c>
      <c r="P9800" s="65">
        <f>VLOOKUP(E9800,DATABASE!C:Q,9,False)</f>
        <v>1</v>
      </c>
      <c r="Q9800" s="93" t="str">
        <f>VLOOKUP(E9800,DATABASE!C:Q,4,false)</f>
        <v>Dunlop</v>
      </c>
      <c r="R9800" s="93" t="str">
        <f>VLOOKUP(E9800,DATABASE!C:Q,11,false)</f>
        <v>Tire</v>
      </c>
    </row>
    <row r="9801" ht="22.5" customHeight="1">
      <c r="A9801" s="49"/>
      <c r="C9801" s="400">
        <v>46242.0</v>
      </c>
      <c r="D9801" s="524">
        <v>547.0</v>
      </c>
      <c r="E9801" s="544" t="s">
        <v>299</v>
      </c>
      <c r="F9801" s="387">
        <v>2.0</v>
      </c>
      <c r="G9801" s="140">
        <v>25000.0</v>
      </c>
      <c r="H9801" s="74"/>
      <c r="I9801" s="74">
        <f t="shared" si="7"/>
        <v>50000</v>
      </c>
      <c r="J9801" s="74">
        <f>IF(E9801="SERVICE",I9801-(I9801*50%),Vlookup(E9801,DATABASE!C:Q,10,false)*F9801)</f>
        <v>0</v>
      </c>
      <c r="K9801" s="74">
        <f>VLOOKUP(E9801,DATABASE!C:Q,7,false)</f>
        <v>10000</v>
      </c>
      <c r="L9801" s="74">
        <v>10000.0</v>
      </c>
      <c r="M9801" s="74">
        <f t="shared" si="6"/>
        <v>10000</v>
      </c>
      <c r="N9801" s="74">
        <f t="shared" si="3"/>
        <v>30000</v>
      </c>
      <c r="O9801" s="65" t="str">
        <f>VLOOKUP(E9801,DATABASE!C:Q,8,false)</f>
        <v>BIAN</v>
      </c>
      <c r="P9801" s="65">
        <f>VLOOKUP(E9801,DATABASE!C:Q,9,False)</f>
        <v>0</v>
      </c>
      <c r="Q9801" s="93" t="str">
        <f>VLOOKUP(E9801,DATABASE!C:Q,4,false)</f>
        <v>Balancing</v>
      </c>
      <c r="R9801" s="93" t="str">
        <f>VLOOKUP(E9801,DATABASE!C:Q,11,false)</f>
        <v>COMPLEMENTARY</v>
      </c>
    </row>
    <row r="9802" ht="22.5" customHeight="1">
      <c r="A9802" s="49"/>
      <c r="C9802" s="400">
        <v>46242.0</v>
      </c>
      <c r="D9802" s="524">
        <v>548.0</v>
      </c>
      <c r="E9802" s="544" t="s">
        <v>290</v>
      </c>
      <c r="F9802" s="387">
        <v>1.0</v>
      </c>
      <c r="G9802" s="140">
        <v>720000.0</v>
      </c>
      <c r="H9802" s="74"/>
      <c r="I9802" s="74">
        <f t="shared" si="7"/>
        <v>720000</v>
      </c>
      <c r="J9802" s="74">
        <f>IF(E9802="SERVICE",I9802-(I9802*50%),Vlookup(E9802,DATABASE!C:Q,10,false)*F9802)</f>
        <v>0</v>
      </c>
      <c r="K9802" s="74">
        <f>VLOOKUP(E9802,DATABASE!C:Q,7,false)</f>
        <v>628100</v>
      </c>
      <c r="L9802" s="74">
        <v>628100.0</v>
      </c>
      <c r="M9802" s="74">
        <f t="shared" si="6"/>
        <v>630000</v>
      </c>
      <c r="N9802" s="74">
        <f t="shared" si="3"/>
        <v>90000</v>
      </c>
      <c r="O9802" s="65" t="str">
        <f>VLOOKUP(E9802,DATABASE!C:Q,8,false)</f>
        <v>BIAN</v>
      </c>
      <c r="P9802" s="65">
        <f>VLOOKUP(E9802,DATABASE!C:Q,9,False)</f>
        <v>1</v>
      </c>
      <c r="Q9802" s="93" t="str">
        <f>VLOOKUP(E9802,DATABASE!C:Q,4,false)</f>
        <v>GT</v>
      </c>
      <c r="R9802" s="93" t="str">
        <f>VLOOKUP(E9802,DATABASE!C:Q,11,false)</f>
        <v>Tire</v>
      </c>
    </row>
    <row r="9803" ht="22.5" customHeight="1">
      <c r="A9803" s="49"/>
      <c r="C9803" s="400">
        <v>46242.0</v>
      </c>
      <c r="D9803" s="524">
        <v>549.0</v>
      </c>
      <c r="E9803" s="544" t="s">
        <v>268</v>
      </c>
      <c r="F9803" s="387">
        <v>2.0</v>
      </c>
      <c r="G9803" s="140">
        <v>720000.0</v>
      </c>
      <c r="H9803" s="74"/>
      <c r="I9803" s="74">
        <f t="shared" si="7"/>
        <v>1440000</v>
      </c>
      <c r="J9803" s="74">
        <f>IF(E9803="SERVICE",I9803-(I9803*50%),Vlookup(E9803,DATABASE!C:Q,10,false)*F9803)</f>
        <v>0</v>
      </c>
      <c r="K9803" s="74">
        <f>VLOOKUP(E9803,DATABASE!C:Q,7,false)</f>
        <v>653000</v>
      </c>
      <c r="L9803" s="74">
        <v>634500.0</v>
      </c>
      <c r="M9803" s="74">
        <f t="shared" si="6"/>
        <v>635000</v>
      </c>
      <c r="N9803" s="74">
        <f t="shared" si="3"/>
        <v>170000</v>
      </c>
      <c r="O9803" s="65" t="str">
        <f>VLOOKUP(E9803,DATABASE!C:Q,8,false)</f>
        <v>IBU</v>
      </c>
      <c r="P9803" s="65">
        <f>VLOOKUP(E9803,DATABASE!C:Q,9,False)</f>
        <v>1</v>
      </c>
      <c r="Q9803" s="93" t="str">
        <f>VLOOKUP(E9803,DATABASE!C:Q,4,false)</f>
        <v>Dunlop</v>
      </c>
      <c r="R9803" s="93" t="str">
        <f>VLOOKUP(E9803,DATABASE!C:Q,11,false)</f>
        <v>Tire</v>
      </c>
    </row>
    <row r="9804" ht="22.5" customHeight="1">
      <c r="A9804" s="49"/>
      <c r="C9804" s="400">
        <v>46242.0</v>
      </c>
      <c r="D9804" s="524">
        <v>550.0</v>
      </c>
      <c r="E9804" s="544" t="s">
        <v>262</v>
      </c>
      <c r="F9804" s="387">
        <v>1.0</v>
      </c>
      <c r="G9804" s="140">
        <v>100000.0</v>
      </c>
      <c r="H9804" s="74"/>
      <c r="I9804" s="74">
        <f t="shared" si="7"/>
        <v>100000</v>
      </c>
      <c r="J9804" s="74">
        <f>IF(E9804="SERVICE",I9804-(I9804*50%),Vlookup(E9804,DATABASE!C:Q,10,false)*F9804)</f>
        <v>5000</v>
      </c>
      <c r="K9804" s="74">
        <f>VLOOKUP(E9804,DATABASE!C:Q,7,false)</f>
        <v>0</v>
      </c>
      <c r="L9804" s="74">
        <v>0.0</v>
      </c>
      <c r="M9804" s="74">
        <f t="shared" si="6"/>
        <v>0</v>
      </c>
      <c r="N9804" s="74">
        <f t="shared" si="3"/>
        <v>95000</v>
      </c>
      <c r="O9804" s="65" t="str">
        <f>VLOOKUP(E9804,DATABASE!C:Q,8,false)</f>
        <v>IBU</v>
      </c>
      <c r="P9804" s="65">
        <f>VLOOKUP(E9804,DATABASE!C:Q,9,False)</f>
        <v>0</v>
      </c>
      <c r="Q9804" s="93" t="str">
        <f>VLOOKUP(E9804,DATABASE!C:Q,4,false)</f>
        <v>SPOORING SS/CARRY LOS BAK</v>
      </c>
      <c r="R9804" s="93" t="str">
        <f>VLOOKUP(E9804,DATABASE!C:Q,11,false)</f>
        <v>SERVICE</v>
      </c>
    </row>
    <row r="9805" ht="22.5" customHeight="1">
      <c r="A9805" s="49"/>
      <c r="C9805" s="400">
        <v>46242.0</v>
      </c>
      <c r="D9805" s="524">
        <v>550.0</v>
      </c>
      <c r="E9805" s="544" t="s">
        <v>251</v>
      </c>
      <c r="F9805" s="387">
        <v>1.0</v>
      </c>
      <c r="G9805" s="140">
        <v>350000.0</v>
      </c>
      <c r="H9805" s="140">
        <v>230000.0</v>
      </c>
      <c r="I9805" s="74">
        <f t="shared" si="7"/>
        <v>120000</v>
      </c>
      <c r="J9805" s="74">
        <f>IF(E9805="SERVICE",I9805-(I9805*50%),Vlookup(E9805,DATABASE!C:Q,10,false)*F9805)</f>
        <v>60000</v>
      </c>
      <c r="K9805" s="74">
        <f>VLOOKUP(E9805,DATABASE!C:Q,7,false)</f>
        <v>0</v>
      </c>
      <c r="L9805" s="74">
        <v>0.0</v>
      </c>
      <c r="M9805" s="74">
        <f t="shared" si="6"/>
        <v>0</v>
      </c>
      <c r="N9805" s="74">
        <f t="shared" si="3"/>
        <v>60000</v>
      </c>
      <c r="O9805" s="65" t="str">
        <f>VLOOKUP(E9805,DATABASE!C:Q,8,false)</f>
        <v>IBU</v>
      </c>
      <c r="P9805" s="65">
        <f>VLOOKUP(E9805,DATABASE!C:Q,9,False)</f>
        <v>0</v>
      </c>
      <c r="Q9805" s="93" t="str">
        <f>VLOOKUP(E9805,DATABASE!C:Q,4,false)</f>
        <v>SERVICE</v>
      </c>
      <c r="R9805" s="93" t="str">
        <f>VLOOKUP(E9805,DATABASE!C:Q,11,false)</f>
        <v>SERVICE</v>
      </c>
    </row>
    <row r="9806" ht="22.5" customHeight="1">
      <c r="A9806" s="49"/>
      <c r="C9806" s="400">
        <v>46242.0</v>
      </c>
      <c r="D9806" s="524">
        <v>550.0</v>
      </c>
      <c r="E9806" s="544" t="s">
        <v>299</v>
      </c>
      <c r="F9806" s="387">
        <v>2.0</v>
      </c>
      <c r="G9806" s="140">
        <v>30000.0</v>
      </c>
      <c r="H9806" s="74"/>
      <c r="I9806" s="74">
        <f t="shared" si="7"/>
        <v>60000</v>
      </c>
      <c r="J9806" s="74">
        <f>IF(E9806="SERVICE",I9806-(I9806*50%),Vlookup(E9806,DATABASE!C:Q,10,false)*F9806)</f>
        <v>0</v>
      </c>
      <c r="K9806" s="74">
        <f>VLOOKUP(E9806,DATABASE!C:Q,7,false)</f>
        <v>10000</v>
      </c>
      <c r="L9806" s="74">
        <v>10000.0</v>
      </c>
      <c r="M9806" s="74">
        <f t="shared" si="6"/>
        <v>10000</v>
      </c>
      <c r="N9806" s="74">
        <f t="shared" si="3"/>
        <v>40000</v>
      </c>
      <c r="O9806" s="65" t="str">
        <f>VLOOKUP(E9806,DATABASE!C:Q,8,false)</f>
        <v>BIAN</v>
      </c>
      <c r="P9806" s="65">
        <f>VLOOKUP(E9806,DATABASE!C:Q,9,False)</f>
        <v>0</v>
      </c>
      <c r="Q9806" s="93" t="str">
        <f>VLOOKUP(E9806,DATABASE!C:Q,4,false)</f>
        <v>Balancing</v>
      </c>
      <c r="R9806" s="93" t="str">
        <f>VLOOKUP(E9806,DATABASE!C:Q,11,false)</f>
        <v>COMPLEMENTARY</v>
      </c>
    </row>
    <row r="9807" ht="22.5" customHeight="1">
      <c r="A9807" s="49"/>
      <c r="C9807" s="400">
        <v>46242.0</v>
      </c>
      <c r="D9807" s="524">
        <v>551.0</v>
      </c>
      <c r="E9807" s="544" t="s">
        <v>1524</v>
      </c>
      <c r="F9807" s="387">
        <v>2.0</v>
      </c>
      <c r="G9807" s="140">
        <v>1135000.0</v>
      </c>
      <c r="H9807" s="140">
        <v>10000.0</v>
      </c>
      <c r="I9807" s="74">
        <f t="shared" si="7"/>
        <v>2250000</v>
      </c>
      <c r="J9807" s="74">
        <f>IF(E9807="SERVICE",I9807-(I9807*50%),Vlookup(E9807,DATABASE!C:Q,10,false)*F9807)</f>
        <v>0</v>
      </c>
      <c r="K9807" s="74">
        <f>VLOOKUP(E9807,DATABASE!C:Q,7,false)</f>
        <v>1028000</v>
      </c>
      <c r="L9807" s="74">
        <v>1028000.0</v>
      </c>
      <c r="M9807" s="74">
        <f t="shared" si="6"/>
        <v>1030000</v>
      </c>
      <c r="N9807" s="74">
        <f t="shared" si="3"/>
        <v>190000</v>
      </c>
      <c r="O9807" s="65" t="str">
        <f>VLOOKUP(E9807,DATABASE!C:Q,8,false)</f>
        <v>IBU</v>
      </c>
      <c r="P9807" s="65">
        <f>VLOOKUP(E9807,DATABASE!C:Q,9,False)</f>
        <v>1</v>
      </c>
      <c r="Q9807" s="93" t="str">
        <f>VLOOKUP(E9807,DATABASE!C:Q,4,false)</f>
        <v>Dunlop</v>
      </c>
      <c r="R9807" s="93" t="str">
        <f>VLOOKUP(E9807,DATABASE!C:Q,11,false)</f>
        <v>Tire</v>
      </c>
    </row>
    <row r="9808" ht="22.5" customHeight="1">
      <c r="A9808" s="49"/>
      <c r="C9808" s="400">
        <v>46242.0</v>
      </c>
      <c r="D9808" s="524">
        <v>552.0</v>
      </c>
      <c r="E9808" s="544" t="s">
        <v>299</v>
      </c>
      <c r="F9808" s="387">
        <v>2.0</v>
      </c>
      <c r="G9808" s="140">
        <v>30000.0</v>
      </c>
      <c r="H9808" s="74"/>
      <c r="I9808" s="74">
        <f t="shared" si="7"/>
        <v>60000</v>
      </c>
      <c r="J9808" s="74">
        <f>IF(E9808="SERVICE",I9808-(I9808*50%),Vlookup(E9808,DATABASE!C:Q,10,false)*F9808)</f>
        <v>0</v>
      </c>
      <c r="K9808" s="74">
        <f>VLOOKUP(E9808,DATABASE!C:Q,7,false)</f>
        <v>10000</v>
      </c>
      <c r="L9808" s="74">
        <v>10000.0</v>
      </c>
      <c r="M9808" s="74">
        <f t="shared" si="6"/>
        <v>10000</v>
      </c>
      <c r="N9808" s="74">
        <f t="shared" si="3"/>
        <v>40000</v>
      </c>
      <c r="O9808" s="65" t="str">
        <f>VLOOKUP(E9808,DATABASE!C:Q,8,false)</f>
        <v>BIAN</v>
      </c>
      <c r="P9808" s="65">
        <f>VLOOKUP(E9808,DATABASE!C:Q,9,False)</f>
        <v>0</v>
      </c>
      <c r="Q9808" s="93" t="str">
        <f>VLOOKUP(E9808,DATABASE!C:Q,4,false)</f>
        <v>Balancing</v>
      </c>
      <c r="R9808" s="93" t="str">
        <f>VLOOKUP(E9808,DATABASE!C:Q,11,false)</f>
        <v>COMPLEMENTARY</v>
      </c>
    </row>
    <row r="9809" ht="22.5" customHeight="1">
      <c r="A9809" s="49"/>
      <c r="C9809" s="400">
        <v>46242.0</v>
      </c>
      <c r="D9809" s="69">
        <v>553.0</v>
      </c>
      <c r="E9809" s="544" t="s">
        <v>299</v>
      </c>
      <c r="F9809" s="387">
        <v>2.0</v>
      </c>
      <c r="G9809" s="140">
        <v>30000.0</v>
      </c>
      <c r="H9809" s="74"/>
      <c r="I9809" s="74">
        <f t="shared" si="7"/>
        <v>60000</v>
      </c>
      <c r="J9809" s="74">
        <f>IF(E9809="SERVICE",I9809-(I9809*50%),Vlookup(E9809,DATABASE!C:Q,10,false)*F9809)</f>
        <v>0</v>
      </c>
      <c r="K9809" s="74">
        <f>VLOOKUP(E9809,DATABASE!C:Q,7,false)</f>
        <v>10000</v>
      </c>
      <c r="L9809" s="74">
        <v>10000.0</v>
      </c>
      <c r="M9809" s="74">
        <f t="shared" si="6"/>
        <v>10000</v>
      </c>
      <c r="N9809" s="74">
        <f t="shared" si="3"/>
        <v>40000</v>
      </c>
      <c r="O9809" s="65" t="str">
        <f>VLOOKUP(E9809,DATABASE!C:Q,8,false)</f>
        <v>BIAN</v>
      </c>
      <c r="P9809" s="65">
        <f>VLOOKUP(E9809,DATABASE!C:Q,9,False)</f>
        <v>0</v>
      </c>
      <c r="Q9809" s="93" t="str">
        <f>VLOOKUP(E9809,DATABASE!C:Q,4,false)</f>
        <v>Balancing</v>
      </c>
      <c r="R9809" s="93" t="str">
        <f>VLOOKUP(E9809,DATABASE!C:Q,11,false)</f>
        <v>COMPLEMENTARY</v>
      </c>
    </row>
    <row r="9810" ht="22.5" customHeight="1">
      <c r="A9810" s="49"/>
      <c r="C9810" s="400">
        <v>46242.0</v>
      </c>
      <c r="D9810" s="69">
        <v>554.0</v>
      </c>
      <c r="E9810" s="544" t="s">
        <v>1928</v>
      </c>
      <c r="F9810" s="387">
        <v>2.0</v>
      </c>
      <c r="G9810" s="140">
        <v>680000.0</v>
      </c>
      <c r="H9810" s="74"/>
      <c r="I9810" s="74">
        <f t="shared" si="7"/>
        <v>1360000</v>
      </c>
      <c r="J9810" s="74">
        <f>IF(E9810="SERVICE",I9810-(I9810*50%),Vlookup(E9810,DATABASE!C:Q,10,false)*F9810)</f>
        <v>0</v>
      </c>
      <c r="K9810" s="74">
        <f>VLOOKUP(E9810,DATABASE!C:Q,7,false)</f>
        <v>589700</v>
      </c>
      <c r="L9810" s="74">
        <v>589700.0</v>
      </c>
      <c r="M9810" s="74">
        <f t="shared" si="6"/>
        <v>590000</v>
      </c>
      <c r="N9810" s="74">
        <f t="shared" si="3"/>
        <v>180000</v>
      </c>
      <c r="O9810" s="65" t="str">
        <f>VLOOKUP(E9810,DATABASE!C:Q,8,false)</f>
        <v>BIAN</v>
      </c>
      <c r="P9810" s="65">
        <f>VLOOKUP(E9810,DATABASE!C:Q,9,False)</f>
        <v>1</v>
      </c>
      <c r="Q9810" s="93" t="str">
        <f>VLOOKUP(E9810,DATABASE!C:Q,4,false)</f>
        <v>GT</v>
      </c>
      <c r="R9810" s="93" t="str">
        <f>VLOOKUP(E9810,DATABASE!C:Q,11,false)</f>
        <v>Tire</v>
      </c>
    </row>
    <row r="9811" ht="22.5" customHeight="1">
      <c r="A9811" s="49"/>
      <c r="C9811" s="400">
        <v>46242.0</v>
      </c>
      <c r="D9811" s="69" t="s">
        <v>2901</v>
      </c>
      <c r="E9811" s="544" t="s">
        <v>263</v>
      </c>
      <c r="F9811" s="387">
        <v>1.0</v>
      </c>
      <c r="G9811" s="140">
        <v>385000.0</v>
      </c>
      <c r="H9811" s="74"/>
      <c r="I9811" s="74">
        <f t="shared" si="7"/>
        <v>385000</v>
      </c>
      <c r="J9811" s="74">
        <f>IF(E9811="SERVICE",I9811-(I9811*50%),Vlookup(E9811,DATABASE!C:Q,10,false)*F9811)</f>
        <v>0</v>
      </c>
      <c r="K9811" s="74">
        <f>VLOOKUP(E9811,DATABASE!C:Q,7,false)</f>
        <v>334916</v>
      </c>
      <c r="L9811" s="74">
        <v>334916.0</v>
      </c>
      <c r="M9811" s="74">
        <f t="shared" si="6"/>
        <v>335000</v>
      </c>
      <c r="N9811" s="74">
        <f t="shared" si="3"/>
        <v>50000</v>
      </c>
      <c r="O9811" s="65" t="str">
        <f>VLOOKUP(E9811,DATABASE!C:Q,8,false)</f>
        <v>NON</v>
      </c>
      <c r="P9811" s="65">
        <f>VLOOKUP(E9811,DATABASE!C:Q,9,False)</f>
        <v>0</v>
      </c>
      <c r="Q9811" s="93" t="str">
        <f>VLOOKUP(E9811,DATABASE!C:Q,4,false)</f>
        <v>Shell</v>
      </c>
      <c r="R9811" s="93" t="str">
        <f>VLOOKUP(E9811,DATABASE!C:Q,11,false)</f>
        <v>OIL</v>
      </c>
    </row>
    <row r="9812" ht="22.5" customHeight="1">
      <c r="A9812" s="49"/>
      <c r="C9812" s="400">
        <v>46242.0</v>
      </c>
      <c r="D9812" s="69" t="s">
        <v>2901</v>
      </c>
      <c r="E9812" s="544" t="s">
        <v>298</v>
      </c>
      <c r="F9812" s="387">
        <v>1.0</v>
      </c>
      <c r="G9812" s="140">
        <v>25000.0</v>
      </c>
      <c r="H9812" s="74"/>
      <c r="I9812" s="74">
        <f t="shared" si="7"/>
        <v>25000</v>
      </c>
      <c r="J9812" s="74">
        <f>IF(E9812="SERVICE",I9812-(I9812*50%),Vlookup(E9812,DATABASE!C:Q,10,false)*F9812)</f>
        <v>0</v>
      </c>
      <c r="K9812" s="74">
        <f>VLOOKUP(E9812,DATABASE!C:Q,7,false)</f>
        <v>19200</v>
      </c>
      <c r="L9812" s="74">
        <v>19200.0</v>
      </c>
      <c r="M9812" s="74">
        <f t="shared" si="6"/>
        <v>20000</v>
      </c>
      <c r="N9812" s="74">
        <f t="shared" si="3"/>
        <v>5000</v>
      </c>
      <c r="O9812" s="65" t="str">
        <f>VLOOKUP(E9812,DATABASE!C:Q,8,false)</f>
        <v>BIAN</v>
      </c>
      <c r="P9812" s="65">
        <f>VLOOKUP(E9812,DATABASE!C:Q,9,False)</f>
        <v>0</v>
      </c>
      <c r="Q9812" s="93" t="str">
        <f>VLOOKUP(E9812,DATABASE!C:Q,4,false)</f>
        <v>Aspira</v>
      </c>
      <c r="R9812" s="93" t="str">
        <f>VLOOKUP(E9812,DATABASE!C:Q,11,false)</f>
        <v>COMPLEMENTARY</v>
      </c>
    </row>
    <row r="9813" ht="22.5" customHeight="1">
      <c r="A9813" s="49"/>
      <c r="C9813" s="400">
        <v>46242.0</v>
      </c>
      <c r="D9813" s="69" t="s">
        <v>2902</v>
      </c>
      <c r="E9813" s="544" t="s">
        <v>2195</v>
      </c>
      <c r="F9813" s="387">
        <v>4.0</v>
      </c>
      <c r="G9813" s="140">
        <v>380000.0</v>
      </c>
      <c r="H9813" s="74"/>
      <c r="I9813" s="74">
        <f t="shared" si="7"/>
        <v>1520000</v>
      </c>
      <c r="J9813" s="74">
        <f>IF(E9813="SERVICE",I9813-(I9813*50%),Vlookup(E9813,DATABASE!C:Q,10,false)*F9813)</f>
        <v>0</v>
      </c>
      <c r="K9813" s="74">
        <f>VLOOKUP(E9813,DATABASE!C:Q,7,false)</f>
        <v>329877</v>
      </c>
      <c r="L9813" s="74">
        <v>329877.0</v>
      </c>
      <c r="M9813" s="74">
        <f t="shared" si="6"/>
        <v>330000</v>
      </c>
      <c r="N9813" s="74">
        <f t="shared" si="3"/>
        <v>200000</v>
      </c>
      <c r="O9813" s="65" t="str">
        <f>VLOOKUP(E9813,DATABASE!C:Q,8,false)</f>
        <v>NON</v>
      </c>
      <c r="P9813" s="65">
        <f>VLOOKUP(E9813,DATABASE!C:Q,9,False)</f>
        <v>0</v>
      </c>
      <c r="Q9813" s="93" t="str">
        <f>VLOOKUP(E9813,DATABASE!C:Q,4,false)</f>
        <v>Shell</v>
      </c>
      <c r="R9813" s="93" t="str">
        <f>VLOOKUP(E9813,DATABASE!C:Q,11,false)</f>
        <v>OIL</v>
      </c>
    </row>
    <row r="9814" ht="22.5" customHeight="1">
      <c r="A9814" s="49"/>
      <c r="C9814" s="400">
        <v>46242.0</v>
      </c>
      <c r="D9814" s="69" t="s">
        <v>2903</v>
      </c>
      <c r="E9814" s="544" t="s">
        <v>252</v>
      </c>
      <c r="F9814" s="387">
        <v>1.0</v>
      </c>
      <c r="G9814" s="140">
        <v>370000.0</v>
      </c>
      <c r="H9814" s="74"/>
      <c r="I9814" s="74">
        <f t="shared" si="7"/>
        <v>370000</v>
      </c>
      <c r="J9814" s="74">
        <f>IF(E9814="SERVICE",I9814-(I9814*50%),Vlookup(E9814,DATABASE!C:Q,10,false)*F9814)</f>
        <v>0</v>
      </c>
      <c r="K9814" s="74">
        <f>VLOOKUP(E9814,DATABASE!C:Q,7,false)</f>
        <v>317518</v>
      </c>
      <c r="L9814" s="74">
        <v>317518.0</v>
      </c>
      <c r="M9814" s="74">
        <f t="shared" si="6"/>
        <v>320000</v>
      </c>
      <c r="N9814" s="74">
        <f t="shared" si="3"/>
        <v>50000</v>
      </c>
      <c r="O9814" s="65" t="str">
        <f>VLOOKUP(E9814,DATABASE!C:Q,8,false)</f>
        <v>NON</v>
      </c>
      <c r="P9814" s="65">
        <f>VLOOKUP(E9814,DATABASE!C:Q,9,False)</f>
        <v>0</v>
      </c>
      <c r="Q9814" s="93" t="str">
        <f>VLOOKUP(E9814,DATABASE!C:Q,4,false)</f>
        <v>Shell</v>
      </c>
      <c r="R9814" s="93" t="str">
        <f>VLOOKUP(E9814,DATABASE!C:Q,11,false)</f>
        <v>OIL</v>
      </c>
    </row>
    <row r="9815" ht="22.5" customHeight="1">
      <c r="A9815" s="49"/>
      <c r="C9815" s="400">
        <v>46242.0</v>
      </c>
      <c r="D9815" s="69" t="s">
        <v>2903</v>
      </c>
      <c r="E9815" s="544" t="s">
        <v>298</v>
      </c>
      <c r="F9815" s="387">
        <v>1.0</v>
      </c>
      <c r="G9815" s="140">
        <v>23000.0</v>
      </c>
      <c r="H9815" s="74"/>
      <c r="I9815" s="74">
        <f t="shared" si="7"/>
        <v>23000</v>
      </c>
      <c r="J9815" s="74">
        <f>IF(E9815="SERVICE",I9815-(I9815*50%),Vlookup(E9815,DATABASE!C:Q,10,false)*F9815)</f>
        <v>0</v>
      </c>
      <c r="K9815" s="74">
        <f>VLOOKUP(E9815,DATABASE!C:Q,7,false)</f>
        <v>19200</v>
      </c>
      <c r="L9815" s="74">
        <v>19200.0</v>
      </c>
      <c r="M9815" s="74">
        <f t="shared" si="6"/>
        <v>20000</v>
      </c>
      <c r="N9815" s="74">
        <f t="shared" si="3"/>
        <v>3000</v>
      </c>
      <c r="O9815" s="65" t="str">
        <f>VLOOKUP(E9815,DATABASE!C:Q,8,false)</f>
        <v>BIAN</v>
      </c>
      <c r="P9815" s="65">
        <f>VLOOKUP(E9815,DATABASE!C:Q,9,False)</f>
        <v>0</v>
      </c>
      <c r="Q9815" s="93" t="str">
        <f>VLOOKUP(E9815,DATABASE!C:Q,4,false)</f>
        <v>Aspira</v>
      </c>
      <c r="R9815" s="93" t="str">
        <f>VLOOKUP(E9815,DATABASE!C:Q,11,false)</f>
        <v>COMPLEMENTARY</v>
      </c>
    </row>
    <row r="9816" ht="22.5" customHeight="1">
      <c r="A9816" s="49"/>
      <c r="C9816" s="400">
        <v>46243.0</v>
      </c>
      <c r="D9816" s="69">
        <v>555.0</v>
      </c>
      <c r="E9816" s="544" t="s">
        <v>268</v>
      </c>
      <c r="F9816" s="387">
        <v>2.0</v>
      </c>
      <c r="G9816" s="140">
        <v>720000.0</v>
      </c>
      <c r="H9816" s="74"/>
      <c r="I9816" s="74">
        <f t="shared" si="7"/>
        <v>1440000</v>
      </c>
      <c r="J9816" s="74">
        <f>IF(E9816="SERVICE",I9816-(I9816*50%),Vlookup(E9816,DATABASE!C:Q,10,false)*F9816)</f>
        <v>0</v>
      </c>
      <c r="K9816" s="74">
        <f>VLOOKUP(E9816,DATABASE!C:Q,7,false)</f>
        <v>653000</v>
      </c>
      <c r="L9816" s="74">
        <v>634500.0</v>
      </c>
      <c r="M9816" s="74">
        <f t="shared" si="6"/>
        <v>635000</v>
      </c>
      <c r="N9816" s="74">
        <f t="shared" si="3"/>
        <v>170000</v>
      </c>
      <c r="O9816" s="65" t="str">
        <f>VLOOKUP(E9816,DATABASE!C:Q,8,false)</f>
        <v>IBU</v>
      </c>
      <c r="P9816" s="65">
        <f>VLOOKUP(E9816,DATABASE!C:Q,9,False)</f>
        <v>1</v>
      </c>
      <c r="Q9816" s="93" t="str">
        <f>VLOOKUP(E9816,DATABASE!C:Q,4,false)</f>
        <v>Dunlop</v>
      </c>
      <c r="R9816" s="93" t="str">
        <f>VLOOKUP(E9816,DATABASE!C:Q,11,false)</f>
        <v>Tire</v>
      </c>
    </row>
    <row r="9817" ht="22.5" customHeight="1">
      <c r="A9817" s="49"/>
      <c r="C9817" s="400">
        <v>46243.0</v>
      </c>
      <c r="D9817" s="69">
        <v>556.0</v>
      </c>
      <c r="E9817" s="544" t="s">
        <v>246</v>
      </c>
      <c r="F9817" s="387">
        <v>2.0</v>
      </c>
      <c r="G9817" s="140">
        <v>30000.0</v>
      </c>
      <c r="H9817" s="74"/>
      <c r="I9817" s="74">
        <f t="shared" si="7"/>
        <v>60000</v>
      </c>
      <c r="J9817" s="74">
        <f>IF(E9817="SERVICE",I9817-(I9817*50%),Vlookup(E9817,DATABASE!C:Q,10,false)*F9817)</f>
        <v>0</v>
      </c>
      <c r="K9817" s="74">
        <f>VLOOKUP(E9817,DATABASE!C:Q,7,false)</f>
        <v>0</v>
      </c>
      <c r="L9817" s="74">
        <v>0.0</v>
      </c>
      <c r="M9817" s="74">
        <f t="shared" si="6"/>
        <v>0</v>
      </c>
      <c r="N9817" s="74">
        <f t="shared" si="3"/>
        <v>60000</v>
      </c>
      <c r="O9817" s="65" t="str">
        <f>VLOOKUP(E9817,DATABASE!C:Q,8,false)</f>
        <v>IBU</v>
      </c>
      <c r="P9817" s="65">
        <f>VLOOKUP(E9817,DATABASE!C:Q,9,False)</f>
        <v>0</v>
      </c>
      <c r="Q9817" s="93" t="str">
        <f>VLOOKUP(E9817,DATABASE!C:Q,4,false)</f>
        <v>Bongkar Pasang</v>
      </c>
      <c r="R9817" s="93" t="str">
        <f>VLOOKUP(E9817,DATABASE!C:Q,11,false)</f>
        <v>SERVICE</v>
      </c>
    </row>
    <row r="9818" ht="22.5" customHeight="1">
      <c r="A9818" s="49"/>
      <c r="C9818" s="400">
        <v>46243.0</v>
      </c>
      <c r="D9818" s="69">
        <v>557.0</v>
      </c>
      <c r="E9818" s="544" t="s">
        <v>262</v>
      </c>
      <c r="F9818" s="387">
        <v>1.0</v>
      </c>
      <c r="G9818" s="140">
        <v>130000.0</v>
      </c>
      <c r="H9818" s="74"/>
      <c r="I9818" s="74">
        <f t="shared" si="7"/>
        <v>130000</v>
      </c>
      <c r="J9818" s="74">
        <f>IF(E9818="SERVICE",I9818-(I9818*50%),Vlookup(E9818,DATABASE!C:Q,10,false)*F9818)</f>
        <v>5000</v>
      </c>
      <c r="K9818" s="74">
        <f>VLOOKUP(E9818,DATABASE!C:Q,7,false)</f>
        <v>0</v>
      </c>
      <c r="L9818" s="74">
        <v>0.0</v>
      </c>
      <c r="M9818" s="74">
        <f t="shared" si="6"/>
        <v>0</v>
      </c>
      <c r="N9818" s="74">
        <f t="shared" si="3"/>
        <v>125000</v>
      </c>
      <c r="O9818" s="65" t="str">
        <f>VLOOKUP(E9818,DATABASE!C:Q,8,false)</f>
        <v>IBU</v>
      </c>
      <c r="P9818" s="65">
        <f>VLOOKUP(E9818,DATABASE!C:Q,9,False)</f>
        <v>0</v>
      </c>
      <c r="Q9818" s="93" t="str">
        <f>VLOOKUP(E9818,DATABASE!C:Q,4,false)</f>
        <v>SPOORING SS/CARRY LOS BAK</v>
      </c>
      <c r="R9818" s="93" t="str">
        <f>VLOOKUP(E9818,DATABASE!C:Q,11,false)</f>
        <v>SERVICE</v>
      </c>
    </row>
    <row r="9819" ht="22.5" customHeight="1">
      <c r="A9819" s="49"/>
      <c r="C9819" s="400">
        <v>46243.0</v>
      </c>
      <c r="D9819" s="69">
        <v>558.0</v>
      </c>
      <c r="E9819" s="544" t="s">
        <v>288</v>
      </c>
      <c r="F9819" s="387">
        <v>2.0</v>
      </c>
      <c r="G9819" s="140">
        <v>630000.0</v>
      </c>
      <c r="H9819" s="74"/>
      <c r="I9819" s="74">
        <f t="shared" si="7"/>
        <v>1260000</v>
      </c>
      <c r="J9819" s="74">
        <f>IF(E9819="SERVICE",I9819-(I9819*50%),Vlookup(E9819,DATABASE!C:Q,10,false)*F9819)</f>
        <v>0</v>
      </c>
      <c r="K9819" s="74">
        <f>VLOOKUP(E9819,DATABASE!C:Q,7,false)</f>
        <v>565760</v>
      </c>
      <c r="L9819" s="74">
        <v>540500.0</v>
      </c>
      <c r="M9819" s="74">
        <f t="shared" si="6"/>
        <v>545000</v>
      </c>
      <c r="N9819" s="74">
        <f t="shared" si="3"/>
        <v>170000</v>
      </c>
      <c r="O9819" s="65" t="str">
        <f>VLOOKUP(E9819,DATABASE!C:Q,8,false)</f>
        <v>BIAN</v>
      </c>
      <c r="P9819" s="65">
        <f>VLOOKUP(E9819,DATABASE!C:Q,9,False)</f>
        <v>1</v>
      </c>
      <c r="Q9819" s="93" t="str">
        <f>VLOOKUP(E9819,DATABASE!C:Q,4,false)</f>
        <v>GT</v>
      </c>
      <c r="R9819" s="93" t="str">
        <f>VLOOKUP(E9819,DATABASE!C:Q,11,false)</f>
        <v>Tire</v>
      </c>
    </row>
    <row r="9820" ht="22.5" customHeight="1">
      <c r="A9820" s="49"/>
      <c r="C9820" s="400">
        <v>46243.0</v>
      </c>
      <c r="D9820" s="69">
        <v>559.0</v>
      </c>
      <c r="E9820" s="544" t="s">
        <v>246</v>
      </c>
      <c r="F9820" s="387">
        <v>2.0</v>
      </c>
      <c r="G9820" s="140">
        <v>50000.0</v>
      </c>
      <c r="H9820" s="74"/>
      <c r="I9820" s="74">
        <f t="shared" si="7"/>
        <v>100000</v>
      </c>
      <c r="J9820" s="74">
        <f>IF(E9820="SERVICE",I9820-(I9820*50%),Vlookup(E9820,DATABASE!C:Q,10,false)*F9820)</f>
        <v>0</v>
      </c>
      <c r="K9820" s="74">
        <f>VLOOKUP(E9820,DATABASE!C:Q,7,false)</f>
        <v>0</v>
      </c>
      <c r="L9820" s="74">
        <v>0.0</v>
      </c>
      <c r="M9820" s="74">
        <f t="shared" si="6"/>
        <v>0</v>
      </c>
      <c r="N9820" s="74">
        <f t="shared" si="3"/>
        <v>100000</v>
      </c>
      <c r="O9820" s="65" t="str">
        <f>VLOOKUP(E9820,DATABASE!C:Q,8,false)</f>
        <v>IBU</v>
      </c>
      <c r="P9820" s="65">
        <f>VLOOKUP(E9820,DATABASE!C:Q,9,False)</f>
        <v>0</v>
      </c>
      <c r="Q9820" s="93" t="str">
        <f>VLOOKUP(E9820,DATABASE!C:Q,4,false)</f>
        <v>Bongkar Pasang</v>
      </c>
      <c r="R9820" s="93" t="str">
        <f>VLOOKUP(E9820,DATABASE!C:Q,11,false)</f>
        <v>SERVICE</v>
      </c>
    </row>
    <row r="9821" ht="22.5" customHeight="1">
      <c r="A9821" s="49"/>
      <c r="C9821" s="400">
        <v>46243.0</v>
      </c>
      <c r="D9821" s="69">
        <v>560.0</v>
      </c>
      <c r="E9821" s="544" t="s">
        <v>246</v>
      </c>
      <c r="F9821" s="387">
        <v>2.0</v>
      </c>
      <c r="G9821" s="140">
        <v>50000.0</v>
      </c>
      <c r="H9821" s="74"/>
      <c r="I9821" s="74">
        <f t="shared" si="7"/>
        <v>100000</v>
      </c>
      <c r="J9821" s="74">
        <f>IF(E9821="SERVICE",I9821-(I9821*50%),Vlookup(E9821,DATABASE!C:Q,10,false)*F9821)</f>
        <v>0</v>
      </c>
      <c r="K9821" s="74">
        <f>VLOOKUP(E9821,DATABASE!C:Q,7,false)</f>
        <v>0</v>
      </c>
      <c r="L9821" s="74">
        <v>0.0</v>
      </c>
      <c r="M9821" s="74">
        <f t="shared" si="6"/>
        <v>0</v>
      </c>
      <c r="N9821" s="74">
        <f t="shared" si="3"/>
        <v>100000</v>
      </c>
      <c r="O9821" s="65" t="str">
        <f>VLOOKUP(E9821,DATABASE!C:Q,8,false)</f>
        <v>IBU</v>
      </c>
      <c r="P9821" s="65">
        <f>VLOOKUP(E9821,DATABASE!C:Q,9,False)</f>
        <v>0</v>
      </c>
      <c r="Q9821" s="93" t="str">
        <f>VLOOKUP(E9821,DATABASE!C:Q,4,false)</f>
        <v>Bongkar Pasang</v>
      </c>
      <c r="R9821" s="93" t="str">
        <f>VLOOKUP(E9821,DATABASE!C:Q,11,false)</f>
        <v>SERVICE</v>
      </c>
    </row>
    <row r="9822" ht="22.5" customHeight="1">
      <c r="A9822" s="49"/>
      <c r="C9822" s="400">
        <v>46243.0</v>
      </c>
      <c r="D9822" s="69">
        <v>561.0</v>
      </c>
      <c r="E9822" s="544" t="s">
        <v>878</v>
      </c>
      <c r="F9822" s="387">
        <v>4.0</v>
      </c>
      <c r="G9822" s="140">
        <v>50000.0</v>
      </c>
      <c r="H9822" s="74"/>
      <c r="I9822" s="74">
        <f t="shared" si="7"/>
        <v>200000</v>
      </c>
      <c r="J9822" s="74">
        <f>IF(E9822="SERVICE",I9822-(I9822*50%),Vlookup(E9822,DATABASE!C:Q,10,false)*F9822)</f>
        <v>0</v>
      </c>
      <c r="K9822" s="74">
        <f>VLOOKUP(E9822,DATABASE!C:Q,7,false)</f>
        <v>0</v>
      </c>
      <c r="L9822" s="74">
        <v>0.0</v>
      </c>
      <c r="M9822" s="74">
        <f t="shared" si="6"/>
        <v>0</v>
      </c>
      <c r="N9822" s="74">
        <f t="shared" si="3"/>
        <v>200000</v>
      </c>
      <c r="O9822" s="65" t="str">
        <f>VLOOKUP(E9822,DATABASE!C:Q,8,false)</f>
        <v>IBU</v>
      </c>
      <c r="P9822" s="65">
        <f>VLOOKUP(E9822,DATABASE!C:Q,9,False)</f>
        <v>0</v>
      </c>
      <c r="Q9822" s="93" t="str">
        <f>VLOOKUP(E9822,DATABASE!C:Q,4,false)</f>
        <v>Bongkar Pasang 17</v>
      </c>
      <c r="R9822" s="93" t="str">
        <f>VLOOKUP(E9822,DATABASE!C:Q,11,false)</f>
        <v>SERVICE</v>
      </c>
    </row>
    <row r="9823" ht="22.5" customHeight="1">
      <c r="A9823" s="49"/>
      <c r="C9823" s="400">
        <v>46243.0</v>
      </c>
      <c r="D9823" s="69">
        <v>562.0</v>
      </c>
      <c r="E9823" s="544" t="s">
        <v>461</v>
      </c>
      <c r="F9823" s="387">
        <v>2.0</v>
      </c>
      <c r="G9823" s="140">
        <v>60000.0</v>
      </c>
      <c r="H9823" s="74"/>
      <c r="I9823" s="74">
        <f t="shared" si="7"/>
        <v>120000</v>
      </c>
      <c r="J9823" s="74">
        <f>IF(E9823="SERVICE",I9823-(I9823*50%),Vlookup(E9823,DATABASE!C:Q,10,false)*F9823)</f>
        <v>0</v>
      </c>
      <c r="K9823" s="74">
        <f>VLOOKUP(E9823,DATABASE!C:Q,7,false)</f>
        <v>15000</v>
      </c>
      <c r="L9823" s="74">
        <v>15000.0</v>
      </c>
      <c r="M9823" s="74">
        <f t="shared" si="6"/>
        <v>15000</v>
      </c>
      <c r="N9823" s="74">
        <f t="shared" si="3"/>
        <v>90000</v>
      </c>
      <c r="O9823" s="65" t="str">
        <f>VLOOKUP(E9823,DATABASE!C:Q,8,false)</f>
        <v>BIAN</v>
      </c>
      <c r="P9823" s="65">
        <f>VLOOKUP(E9823,DATABASE!C:Q,9,False)</f>
        <v>0</v>
      </c>
      <c r="Q9823" s="93" t="str">
        <f>VLOOKUP(E9823,DATABASE!C:Q,4,false)</f>
        <v>Balancing</v>
      </c>
      <c r="R9823" s="93" t="str">
        <f>VLOOKUP(E9823,DATABASE!C:Q,11,false)</f>
        <v>COMPLEMENTARY</v>
      </c>
    </row>
    <row r="9824" ht="22.5" customHeight="1">
      <c r="A9824" s="49"/>
      <c r="C9824" s="400">
        <v>46243.0</v>
      </c>
      <c r="D9824" s="69">
        <v>564.0</v>
      </c>
      <c r="E9824" s="544" t="s">
        <v>2019</v>
      </c>
      <c r="F9824" s="387">
        <v>1.0</v>
      </c>
      <c r="G9824" s="140">
        <v>710000.0</v>
      </c>
      <c r="H9824" s="74"/>
      <c r="I9824" s="74">
        <f t="shared" si="7"/>
        <v>710000</v>
      </c>
      <c r="J9824" s="74">
        <f>IF(E9824="SERVICE",I9824-(I9824*50%),Vlookup(E9824,DATABASE!C:Q,10,false)*F9824)</f>
        <v>0</v>
      </c>
      <c r="K9824" s="74">
        <f>VLOOKUP(E9824,DATABASE!C:Q,7,false)</f>
        <v>620000</v>
      </c>
      <c r="L9824" s="74">
        <v>620000.0</v>
      </c>
      <c r="M9824" s="74">
        <f t="shared" si="6"/>
        <v>620000</v>
      </c>
      <c r="N9824" s="74">
        <f t="shared" si="3"/>
        <v>90000</v>
      </c>
      <c r="O9824" s="65" t="str">
        <f>VLOOKUP(E9824,DATABASE!C:Q,8,false)</f>
        <v>BIAN</v>
      </c>
      <c r="P9824" s="65">
        <f>VLOOKUP(E9824,DATABASE!C:Q,9,False)</f>
        <v>1</v>
      </c>
      <c r="Q9824" s="93" t="str">
        <f>VLOOKUP(E9824,DATABASE!C:Q,4,false)</f>
        <v>GT</v>
      </c>
      <c r="R9824" s="93" t="str">
        <f>VLOOKUP(E9824,DATABASE!C:Q,11,false)</f>
        <v>Tire</v>
      </c>
    </row>
    <row r="9825" ht="22.5" customHeight="1">
      <c r="A9825" s="49"/>
      <c r="C9825" s="400">
        <v>46243.0</v>
      </c>
      <c r="D9825" s="69">
        <v>564.0</v>
      </c>
      <c r="E9825" s="544" t="s">
        <v>2019</v>
      </c>
      <c r="F9825" s="387">
        <v>1.0</v>
      </c>
      <c r="G9825" s="140">
        <v>710000.0</v>
      </c>
      <c r="H9825" s="74"/>
      <c r="I9825" s="74">
        <f t="shared" si="7"/>
        <v>710000</v>
      </c>
      <c r="J9825" s="74">
        <f>IF(E9825="SERVICE",I9825-(I9825*50%),Vlookup(E9825,DATABASE!C:Q,10,false)*F9825)</f>
        <v>0</v>
      </c>
      <c r="K9825" s="74">
        <f>VLOOKUP(E9825,DATABASE!C:Q,7,false)</f>
        <v>620000</v>
      </c>
      <c r="L9825" s="74">
        <v>620000.0</v>
      </c>
      <c r="M9825" s="74">
        <f t="shared" si="6"/>
        <v>620000</v>
      </c>
      <c r="N9825" s="74">
        <f t="shared" si="3"/>
        <v>90000</v>
      </c>
      <c r="O9825" s="65" t="str">
        <f>VLOOKUP(E9825,DATABASE!C:Q,8,false)</f>
        <v>BIAN</v>
      </c>
      <c r="P9825" s="65">
        <f>VLOOKUP(E9825,DATABASE!C:Q,9,False)</f>
        <v>1</v>
      </c>
      <c r="Q9825" s="93" t="str">
        <f>VLOOKUP(E9825,DATABASE!C:Q,4,false)</f>
        <v>GT</v>
      </c>
      <c r="R9825" s="93" t="str">
        <f>VLOOKUP(E9825,DATABASE!C:Q,11,false)</f>
        <v>Tire</v>
      </c>
    </row>
    <row r="9826" ht="22.5" customHeight="1">
      <c r="A9826" s="49"/>
      <c r="C9826" s="400">
        <v>46244.0</v>
      </c>
      <c r="D9826" s="69">
        <v>565.0</v>
      </c>
      <c r="E9826" s="544" t="s">
        <v>1112</v>
      </c>
      <c r="F9826" s="387">
        <v>2.0</v>
      </c>
      <c r="G9826" s="140">
        <v>1085000.0</v>
      </c>
      <c r="H9826" s="74"/>
      <c r="I9826" s="74">
        <f t="shared" si="7"/>
        <v>2170000</v>
      </c>
      <c r="J9826" s="74">
        <f>IF(E9826="SERVICE",I9826-(I9826*50%),Vlookup(E9826,DATABASE!C:Q,10,false)*F9826)</f>
        <v>0</v>
      </c>
      <c r="K9826" s="74">
        <f>VLOOKUP(E9826,DATABASE!C:Q,7,false)</f>
        <v>980542.4</v>
      </c>
      <c r="L9826" s="74">
        <v>980542.4</v>
      </c>
      <c r="M9826" s="74">
        <f t="shared" si="6"/>
        <v>985000</v>
      </c>
      <c r="N9826" s="74">
        <f t="shared" si="3"/>
        <v>200000</v>
      </c>
      <c r="O9826" s="65" t="str">
        <f>VLOOKUP(E9826,DATABASE!C:Q,8,false)</f>
        <v>IBU</v>
      </c>
      <c r="P9826" s="65">
        <f>VLOOKUP(E9826,DATABASE!C:Q,9,False)</f>
        <v>1</v>
      </c>
      <c r="Q9826" s="93" t="str">
        <f>VLOOKUP(E9826,DATABASE!C:Q,4,false)</f>
        <v>Bridgestone</v>
      </c>
      <c r="R9826" s="93" t="str">
        <f>VLOOKUP(E9826,DATABASE!C:Q,11,false)</f>
        <v>Tire</v>
      </c>
    </row>
    <row r="9827" ht="22.5" customHeight="1">
      <c r="A9827" s="49"/>
      <c r="C9827" s="400">
        <v>46244.0</v>
      </c>
      <c r="D9827" s="69">
        <v>566.0</v>
      </c>
      <c r="E9827" s="544" t="s">
        <v>1009</v>
      </c>
      <c r="F9827" s="387">
        <v>2.0</v>
      </c>
      <c r="G9827" s="140">
        <v>700000.0</v>
      </c>
      <c r="H9827" s="74"/>
      <c r="I9827" s="74">
        <f t="shared" si="7"/>
        <v>1400000</v>
      </c>
      <c r="J9827" s="74">
        <f>IF(E9827="SERVICE",I9827-(I9827*50%),Vlookup(E9827,DATABASE!C:Q,10,false)*F9827)</f>
        <v>0</v>
      </c>
      <c r="K9827" s="74">
        <f>VLOOKUP(E9827,DATABASE!C:Q,7,false)</f>
        <v>609800</v>
      </c>
      <c r="L9827" s="74">
        <v>609800.0</v>
      </c>
      <c r="M9827" s="74">
        <f t="shared" si="6"/>
        <v>610000</v>
      </c>
      <c r="N9827" s="74">
        <f t="shared" si="3"/>
        <v>180000</v>
      </c>
      <c r="O9827" s="65" t="str">
        <f>VLOOKUP(E9827,DATABASE!C:Q,8,false)</f>
        <v>BIAN</v>
      </c>
      <c r="P9827" s="65">
        <f>VLOOKUP(E9827,DATABASE!C:Q,9,False)</f>
        <v>1</v>
      </c>
      <c r="Q9827" s="93" t="str">
        <f>VLOOKUP(E9827,DATABASE!C:Q,4,false)</f>
        <v>GT</v>
      </c>
      <c r="R9827" s="93" t="str">
        <f>VLOOKUP(E9827,DATABASE!C:Q,11,false)</f>
        <v>Tire</v>
      </c>
    </row>
    <row r="9828" ht="22.5" customHeight="1">
      <c r="A9828" s="49"/>
      <c r="C9828" s="400">
        <v>46244.0</v>
      </c>
      <c r="D9828" s="69">
        <v>567.0</v>
      </c>
      <c r="E9828" s="544" t="s">
        <v>262</v>
      </c>
      <c r="F9828" s="387">
        <v>1.0</v>
      </c>
      <c r="G9828" s="140">
        <v>130000.0</v>
      </c>
      <c r="H9828" s="74"/>
      <c r="I9828" s="74">
        <f t="shared" si="7"/>
        <v>130000</v>
      </c>
      <c r="J9828" s="74">
        <f>IF(E9828="SERVICE",I9828-(I9828*50%),Vlookup(E9828,DATABASE!C:Q,10,false)*F9828)</f>
        <v>5000</v>
      </c>
      <c r="K9828" s="74">
        <f>VLOOKUP(E9828,DATABASE!C:Q,7,false)</f>
        <v>0</v>
      </c>
      <c r="L9828" s="74">
        <v>0.0</v>
      </c>
      <c r="M9828" s="74">
        <f t="shared" si="6"/>
        <v>0</v>
      </c>
      <c r="N9828" s="74">
        <f t="shared" si="3"/>
        <v>125000</v>
      </c>
      <c r="O9828" s="65" t="str">
        <f>VLOOKUP(E9828,DATABASE!C:Q,8,false)</f>
        <v>IBU</v>
      </c>
      <c r="P9828" s="65">
        <f>VLOOKUP(E9828,DATABASE!C:Q,9,False)</f>
        <v>0</v>
      </c>
      <c r="Q9828" s="93" t="str">
        <f>VLOOKUP(E9828,DATABASE!C:Q,4,false)</f>
        <v>SPOORING SS/CARRY LOS BAK</v>
      </c>
      <c r="R9828" s="93" t="str">
        <f>VLOOKUP(E9828,DATABASE!C:Q,11,false)</f>
        <v>SERVICE</v>
      </c>
    </row>
    <row r="9829" ht="22.5" customHeight="1">
      <c r="A9829" s="49"/>
      <c r="C9829" s="400">
        <v>46244.0</v>
      </c>
      <c r="D9829" s="69">
        <v>567.0</v>
      </c>
      <c r="E9829" s="544" t="s">
        <v>251</v>
      </c>
      <c r="F9829" s="387">
        <v>1.0</v>
      </c>
      <c r="G9829" s="140">
        <v>150000.0</v>
      </c>
      <c r="H9829" s="74"/>
      <c r="I9829" s="74">
        <f t="shared" si="7"/>
        <v>150000</v>
      </c>
      <c r="J9829" s="74">
        <f>IF(E9829="SERVICE",I9829-(I9829*50%),Vlookup(E9829,DATABASE!C:Q,10,false)*F9829)</f>
        <v>75000</v>
      </c>
      <c r="K9829" s="74">
        <f>VLOOKUP(E9829,DATABASE!C:Q,7,false)</f>
        <v>0</v>
      </c>
      <c r="L9829" s="74">
        <v>0.0</v>
      </c>
      <c r="M9829" s="74">
        <f t="shared" si="6"/>
        <v>0</v>
      </c>
      <c r="N9829" s="74">
        <f t="shared" si="3"/>
        <v>75000</v>
      </c>
      <c r="O9829" s="65" t="str">
        <f>VLOOKUP(E9829,DATABASE!C:Q,8,false)</f>
        <v>IBU</v>
      </c>
      <c r="P9829" s="65">
        <f>VLOOKUP(E9829,DATABASE!C:Q,9,False)</f>
        <v>0</v>
      </c>
      <c r="Q9829" s="93" t="str">
        <f>VLOOKUP(E9829,DATABASE!C:Q,4,false)</f>
        <v>SERVICE</v>
      </c>
      <c r="R9829" s="93" t="str">
        <f>VLOOKUP(E9829,DATABASE!C:Q,11,false)</f>
        <v>SERVICE</v>
      </c>
    </row>
    <row r="9830" ht="22.5" customHeight="1">
      <c r="A9830" s="49"/>
      <c r="C9830" s="400">
        <v>46244.0</v>
      </c>
      <c r="D9830" s="69">
        <v>568.0</v>
      </c>
      <c r="E9830" s="544" t="s">
        <v>744</v>
      </c>
      <c r="F9830" s="387">
        <v>2.0</v>
      </c>
      <c r="G9830" s="140">
        <v>230000.0</v>
      </c>
      <c r="H9830" s="74"/>
      <c r="I9830" s="74">
        <f t="shared" si="7"/>
        <v>460000</v>
      </c>
      <c r="J9830" s="74">
        <f>IF(E9830="SERVICE",I9830-(I9830*50%),Vlookup(E9830,DATABASE!C:Q,10,false)*F9830)</f>
        <v>0</v>
      </c>
      <c r="K9830" s="74">
        <f>VLOOKUP(E9830,DATABASE!C:Q,7,false)</f>
        <v>182200</v>
      </c>
      <c r="L9830" s="74">
        <v>182200.0</v>
      </c>
      <c r="M9830" s="74">
        <f t="shared" si="6"/>
        <v>185000</v>
      </c>
      <c r="N9830" s="74">
        <f t="shared" si="3"/>
        <v>90000</v>
      </c>
      <c r="O9830" s="65" t="str">
        <f>VLOOKUP(E9830,DATABASE!C:Q,8,false)</f>
        <v>BIAN</v>
      </c>
      <c r="P9830" s="65">
        <f>VLOOKUP(E9830,DATABASE!C:Q,9,False)</f>
        <v>1</v>
      </c>
      <c r="Q9830" s="93" t="str">
        <f>VLOOKUP(E9830,DATABASE!C:Q,4,false)</f>
        <v>BD</v>
      </c>
      <c r="R9830" s="93" t="str">
        <f>VLOOKUP(E9830,DATABASE!C:Q,11,false)</f>
        <v>Tire</v>
      </c>
    </row>
    <row r="9831" ht="22.5" customHeight="1">
      <c r="A9831" s="49"/>
      <c r="C9831" s="400">
        <v>46244.0</v>
      </c>
      <c r="D9831" s="69">
        <v>568.0</v>
      </c>
      <c r="E9831" s="544" t="s">
        <v>821</v>
      </c>
      <c r="F9831" s="387">
        <v>2.0</v>
      </c>
      <c r="G9831" s="140">
        <v>90000.0</v>
      </c>
      <c r="H9831" s="74"/>
      <c r="I9831" s="74">
        <f t="shared" si="7"/>
        <v>180000</v>
      </c>
      <c r="J9831" s="74">
        <f>IF(E9831="SERVICE",I9831-(I9831*50%),Vlookup(E9831,DATABASE!C:Q,10,false)*F9831)</f>
        <v>0</v>
      </c>
      <c r="K9831" s="74">
        <f>VLOOKUP(E9831,DATABASE!C:Q,7,false)</f>
        <v>43500</v>
      </c>
      <c r="L9831" s="74">
        <v>43500.0</v>
      </c>
      <c r="M9831" s="74">
        <f t="shared" si="6"/>
        <v>45000</v>
      </c>
      <c r="N9831" s="74">
        <f t="shared" si="3"/>
        <v>90000</v>
      </c>
      <c r="O9831" s="65" t="str">
        <f>VLOOKUP(E9831,DATABASE!C:Q,8,false)</f>
        <v>BIAN</v>
      </c>
      <c r="P9831" s="65">
        <f>VLOOKUP(E9831,DATABASE!C:Q,9,False)</f>
        <v>1</v>
      </c>
      <c r="Q9831" s="93" t="str">
        <f>VLOOKUP(E9831,DATABASE!C:Q,4,false)</f>
        <v>Flap</v>
      </c>
      <c r="R9831" s="93" t="str">
        <f>VLOOKUP(E9831,DATABASE!C:Q,11,false)</f>
        <v>Tire</v>
      </c>
    </row>
    <row r="9832" ht="22.5" customHeight="1">
      <c r="A9832" s="49"/>
      <c r="C9832" s="400">
        <v>46244.0</v>
      </c>
      <c r="D9832" s="69">
        <v>569.0</v>
      </c>
      <c r="E9832" s="544" t="s">
        <v>288</v>
      </c>
      <c r="F9832" s="387">
        <v>2.0</v>
      </c>
      <c r="G9832" s="140">
        <v>630000.0</v>
      </c>
      <c r="H9832" s="140">
        <v>5000.0</v>
      </c>
      <c r="I9832" s="74">
        <f t="shared" si="7"/>
        <v>1250000</v>
      </c>
      <c r="J9832" s="74">
        <f>IF(E9832="SERVICE",I9832-(I9832*50%),Vlookup(E9832,DATABASE!C:Q,10,false)*F9832)</f>
        <v>0</v>
      </c>
      <c r="K9832" s="74">
        <f>VLOOKUP(E9832,DATABASE!C:Q,7,false)</f>
        <v>565760</v>
      </c>
      <c r="L9832" s="74">
        <v>540500.0</v>
      </c>
      <c r="M9832" s="74">
        <f t="shared" si="6"/>
        <v>545000</v>
      </c>
      <c r="N9832" s="74">
        <f t="shared" si="3"/>
        <v>160000</v>
      </c>
      <c r="O9832" s="65" t="str">
        <f>VLOOKUP(E9832,DATABASE!C:Q,8,false)</f>
        <v>BIAN</v>
      </c>
      <c r="P9832" s="65">
        <f>VLOOKUP(E9832,DATABASE!C:Q,9,False)</f>
        <v>1</v>
      </c>
      <c r="Q9832" s="93" t="str">
        <f>VLOOKUP(E9832,DATABASE!C:Q,4,false)</f>
        <v>GT</v>
      </c>
      <c r="R9832" s="93" t="str">
        <f>VLOOKUP(E9832,DATABASE!C:Q,11,false)</f>
        <v>Tire</v>
      </c>
    </row>
    <row r="9833" ht="22.5" customHeight="1">
      <c r="A9833" s="49"/>
      <c r="C9833" s="400">
        <v>46244.0</v>
      </c>
      <c r="D9833" s="69">
        <v>569.0</v>
      </c>
      <c r="E9833" s="544" t="s">
        <v>299</v>
      </c>
      <c r="F9833" s="387">
        <v>2.0</v>
      </c>
      <c r="G9833" s="140">
        <v>30000.0</v>
      </c>
      <c r="H9833" s="140">
        <v>5000.0</v>
      </c>
      <c r="I9833" s="74">
        <f t="shared" si="7"/>
        <v>50000</v>
      </c>
      <c r="J9833" s="74">
        <f>IF(E9833="SERVICE",I9833-(I9833*50%),Vlookup(E9833,DATABASE!C:Q,10,false)*F9833)</f>
        <v>0</v>
      </c>
      <c r="K9833" s="74">
        <f>VLOOKUP(E9833,DATABASE!C:Q,7,false)</f>
        <v>10000</v>
      </c>
      <c r="L9833" s="74">
        <v>10000.0</v>
      </c>
      <c r="M9833" s="74">
        <f t="shared" si="6"/>
        <v>10000</v>
      </c>
      <c r="N9833" s="74">
        <f t="shared" si="3"/>
        <v>30000</v>
      </c>
      <c r="O9833" s="65" t="str">
        <f>VLOOKUP(E9833,DATABASE!C:Q,8,false)</f>
        <v>BIAN</v>
      </c>
      <c r="P9833" s="65">
        <f>VLOOKUP(E9833,DATABASE!C:Q,9,False)</f>
        <v>0</v>
      </c>
      <c r="Q9833" s="93" t="str">
        <f>VLOOKUP(E9833,DATABASE!C:Q,4,false)</f>
        <v>Balancing</v>
      </c>
      <c r="R9833" s="93" t="str">
        <f>VLOOKUP(E9833,DATABASE!C:Q,11,false)</f>
        <v>COMPLEMENTARY</v>
      </c>
    </row>
    <row r="9834" ht="22.5" customHeight="1">
      <c r="A9834" s="49"/>
      <c r="C9834" s="400">
        <v>46244.0</v>
      </c>
      <c r="D9834" s="69">
        <v>570.0</v>
      </c>
      <c r="E9834" s="544" t="s">
        <v>268</v>
      </c>
      <c r="F9834" s="387">
        <v>1.0</v>
      </c>
      <c r="G9834" s="140">
        <v>720000.0</v>
      </c>
      <c r="H9834" s="74"/>
      <c r="I9834" s="74">
        <f t="shared" si="7"/>
        <v>720000</v>
      </c>
      <c r="J9834" s="74">
        <f>IF(E9834="SERVICE",I9834-(I9834*50%),Vlookup(E9834,DATABASE!C:Q,10,false)*F9834)</f>
        <v>0</v>
      </c>
      <c r="K9834" s="74">
        <f>VLOOKUP(E9834,DATABASE!C:Q,7,false)</f>
        <v>653000</v>
      </c>
      <c r="L9834" s="74">
        <v>634500.0</v>
      </c>
      <c r="M9834" s="74">
        <f t="shared" si="6"/>
        <v>635000</v>
      </c>
      <c r="N9834" s="74">
        <f t="shared" si="3"/>
        <v>85000</v>
      </c>
      <c r="O9834" s="65" t="str">
        <f>VLOOKUP(E9834,DATABASE!C:Q,8,false)</f>
        <v>IBU</v>
      </c>
      <c r="P9834" s="65">
        <f>VLOOKUP(E9834,DATABASE!C:Q,9,False)</f>
        <v>1</v>
      </c>
      <c r="Q9834" s="93" t="str">
        <f>VLOOKUP(E9834,DATABASE!C:Q,4,false)</f>
        <v>Dunlop</v>
      </c>
      <c r="R9834" s="93" t="str">
        <f>VLOOKUP(E9834,DATABASE!C:Q,11,false)</f>
        <v>Tire</v>
      </c>
    </row>
    <row r="9835" ht="22.5" customHeight="1">
      <c r="A9835" s="49"/>
      <c r="C9835" s="400">
        <v>46245.0</v>
      </c>
      <c r="D9835" s="69">
        <v>572.0</v>
      </c>
      <c r="E9835" s="544" t="s">
        <v>781</v>
      </c>
      <c r="F9835" s="387">
        <v>3.0</v>
      </c>
      <c r="G9835" s="140">
        <v>545000.0</v>
      </c>
      <c r="H9835" s="74"/>
      <c r="I9835" s="74">
        <f t="shared" si="7"/>
        <v>1635000</v>
      </c>
      <c r="J9835" s="74">
        <f>IF(E9835="SERVICE",I9835-(I9835*50%),Vlookup(E9835,DATABASE!C:Q,10,false)*F9835)</f>
        <v>0</v>
      </c>
      <c r="K9835" s="74">
        <f>VLOOKUP(E9835,DATABASE!C:Q,7,false)</f>
        <v>470000</v>
      </c>
      <c r="L9835" s="74">
        <v>460000.0</v>
      </c>
      <c r="M9835" s="74">
        <f t="shared" si="6"/>
        <v>460000</v>
      </c>
      <c r="N9835" s="74">
        <f t="shared" si="3"/>
        <v>255000</v>
      </c>
      <c r="O9835" s="65" t="str">
        <f>VLOOKUP(E9835,DATABASE!C:Q,8,false)</f>
        <v>BIAN</v>
      </c>
      <c r="P9835" s="65">
        <f>VLOOKUP(E9835,DATABASE!C:Q,9,False)</f>
        <v>1</v>
      </c>
      <c r="Q9835" s="93" t="str">
        <f>VLOOKUP(E9835,DATABASE!C:Q,4,false)</f>
        <v>GT</v>
      </c>
      <c r="R9835" s="93" t="str">
        <f>VLOOKUP(E9835,DATABASE!C:Q,11,false)</f>
        <v>Tire</v>
      </c>
    </row>
    <row r="9836" ht="22.5" customHeight="1">
      <c r="A9836" s="49"/>
      <c r="C9836" s="400">
        <v>46245.0</v>
      </c>
      <c r="D9836" s="69">
        <v>573.0</v>
      </c>
      <c r="E9836" s="544" t="s">
        <v>279</v>
      </c>
      <c r="F9836" s="387">
        <v>4.0</v>
      </c>
      <c r="G9836" s="140">
        <v>695000.0</v>
      </c>
      <c r="H9836" s="74"/>
      <c r="I9836" s="74">
        <f t="shared" si="7"/>
        <v>2780000</v>
      </c>
      <c r="J9836" s="74">
        <f>IF(E9836="SERVICE",I9836-(I9836*50%),Vlookup(E9836,DATABASE!C:Q,10,false)*F9836)</f>
        <v>0</v>
      </c>
      <c r="K9836" s="74">
        <f>VLOOKUP(E9836,DATABASE!C:Q,7,false)</f>
        <v>623000</v>
      </c>
      <c r="L9836" s="74">
        <v>602000.0</v>
      </c>
      <c r="M9836" s="74">
        <f t="shared" si="6"/>
        <v>605000</v>
      </c>
      <c r="N9836" s="74">
        <f t="shared" si="3"/>
        <v>360000</v>
      </c>
      <c r="O9836" s="65" t="str">
        <f>VLOOKUP(E9836,DATABASE!C:Q,8,false)</f>
        <v>IBU</v>
      </c>
      <c r="P9836" s="65">
        <f>VLOOKUP(E9836,DATABASE!C:Q,9,False)</f>
        <v>1</v>
      </c>
      <c r="Q9836" s="93" t="str">
        <f>VLOOKUP(E9836,DATABASE!C:Q,4,false)</f>
        <v>Dunlop</v>
      </c>
      <c r="R9836" s="93" t="str">
        <f>VLOOKUP(E9836,DATABASE!C:Q,11,false)</f>
        <v>Tire</v>
      </c>
    </row>
    <row r="9837" ht="22.5" customHeight="1">
      <c r="A9837" s="49"/>
      <c r="C9837" s="400">
        <v>46245.0</v>
      </c>
      <c r="D9837" s="69">
        <v>573.0</v>
      </c>
      <c r="E9837" s="544" t="s">
        <v>299</v>
      </c>
      <c r="F9837" s="387">
        <v>2.0</v>
      </c>
      <c r="G9837" s="140">
        <v>25000.0</v>
      </c>
      <c r="H9837" s="74"/>
      <c r="I9837" s="74">
        <f t="shared" si="7"/>
        <v>50000</v>
      </c>
      <c r="J9837" s="74">
        <f>IF(E9837="SERVICE",I9837-(I9837*50%),Vlookup(E9837,DATABASE!C:Q,10,false)*F9837)</f>
        <v>0</v>
      </c>
      <c r="K9837" s="74">
        <f>VLOOKUP(E9837,DATABASE!C:Q,7,false)</f>
        <v>10000</v>
      </c>
      <c r="L9837" s="74">
        <v>10000.0</v>
      </c>
      <c r="M9837" s="74">
        <f t="shared" si="6"/>
        <v>10000</v>
      </c>
      <c r="N9837" s="74">
        <f t="shared" si="3"/>
        <v>30000</v>
      </c>
      <c r="O9837" s="65" t="str">
        <f>VLOOKUP(E9837,DATABASE!C:Q,8,false)</f>
        <v>BIAN</v>
      </c>
      <c r="P9837" s="65">
        <f>VLOOKUP(E9837,DATABASE!C:Q,9,False)</f>
        <v>0</v>
      </c>
      <c r="Q9837" s="93" t="str">
        <f>VLOOKUP(E9837,DATABASE!C:Q,4,false)</f>
        <v>Balancing</v>
      </c>
      <c r="R9837" s="93" t="str">
        <f>VLOOKUP(E9837,DATABASE!C:Q,11,false)</f>
        <v>COMPLEMENTARY</v>
      </c>
    </row>
    <row r="9838" ht="22.5" customHeight="1">
      <c r="A9838" s="49"/>
      <c r="C9838" s="400">
        <v>46245.0</v>
      </c>
      <c r="D9838" s="69">
        <v>573.0</v>
      </c>
      <c r="E9838" s="544" t="s">
        <v>301</v>
      </c>
      <c r="F9838" s="387">
        <v>1.0</v>
      </c>
      <c r="G9838" s="140">
        <v>250000.0</v>
      </c>
      <c r="H9838" s="74"/>
      <c r="I9838" s="74">
        <f t="shared" si="7"/>
        <v>250000</v>
      </c>
      <c r="J9838" s="74">
        <f>IF(E9838="SERVICE",I9838-(I9838*50%),Vlookup(E9838,DATABASE!C:Q,10,false)*F9838)</f>
        <v>75000</v>
      </c>
      <c r="K9838" s="74">
        <f>VLOOKUP(E9838,DATABASE!C:Q,7,false)</f>
        <v>75000</v>
      </c>
      <c r="L9838" s="74">
        <v>75000.0</v>
      </c>
      <c r="M9838" s="74">
        <f t="shared" si="6"/>
        <v>75000</v>
      </c>
      <c r="N9838" s="74">
        <f t="shared" si="3"/>
        <v>100000</v>
      </c>
      <c r="O9838" s="65" t="str">
        <f>VLOOKUP(E9838,DATABASE!C:Q,8,false)</f>
        <v>BIAN</v>
      </c>
      <c r="P9838" s="65">
        <f>VLOOKUP(E9838,DATABASE!C:Q,9,False)</f>
        <v>0</v>
      </c>
      <c r="Q9838" s="93" t="str">
        <f>VLOOKUP(E9838,DATABASE!C:Q,4,false)</f>
        <v>Baut Camber</v>
      </c>
      <c r="R9838" s="93" t="str">
        <f>VLOOKUP(E9838,DATABASE!C:Q,11,false)</f>
        <v>COMPLEMENTARY</v>
      </c>
    </row>
    <row r="9839" ht="22.5" customHeight="1">
      <c r="A9839" s="49"/>
      <c r="C9839" s="400">
        <v>46245.0</v>
      </c>
      <c r="D9839" s="69">
        <v>573.0</v>
      </c>
      <c r="E9839" s="544" t="s">
        <v>256</v>
      </c>
      <c r="F9839" s="387">
        <v>1.0</v>
      </c>
      <c r="G9839" s="140">
        <v>150000.0</v>
      </c>
      <c r="H9839" s="74"/>
      <c r="I9839" s="74">
        <f t="shared" si="7"/>
        <v>150000</v>
      </c>
      <c r="J9839" s="74">
        <f>IF(E9839="SERVICE",I9839-(I9839*50%),Vlookup(E9839,DATABASE!C:Q,10,false)*F9839)</f>
        <v>10000</v>
      </c>
      <c r="K9839" s="74">
        <f>VLOOKUP(E9839,DATABASE!C:Q,7,false)</f>
        <v>0</v>
      </c>
      <c r="L9839" s="74">
        <v>0.0</v>
      </c>
      <c r="M9839" s="74">
        <f t="shared" si="6"/>
        <v>0</v>
      </c>
      <c r="N9839" s="74">
        <f t="shared" si="3"/>
        <v>140000</v>
      </c>
      <c r="O9839" s="65" t="str">
        <f>VLOOKUP(E9839,DATABASE!C:Q,8,false)</f>
        <v>IBU</v>
      </c>
      <c r="P9839" s="65">
        <f>VLOOKUP(E9839,DATABASE!C:Q,9,False)</f>
        <v>0</v>
      </c>
      <c r="Q9839" s="93" t="str">
        <f>VLOOKUP(E9839,DATABASE!C:Q,4,false)</f>
        <v>SPOORING</v>
      </c>
      <c r="R9839" s="93" t="str">
        <f>VLOOKUP(E9839,DATABASE!C:Q,11,false)</f>
        <v>SERVICE</v>
      </c>
    </row>
    <row r="9840" ht="22.5" customHeight="1">
      <c r="A9840" s="49"/>
      <c r="C9840" s="400">
        <v>46245.0</v>
      </c>
      <c r="D9840" s="69">
        <v>574.0</v>
      </c>
      <c r="E9840" s="544" t="s">
        <v>569</v>
      </c>
      <c r="F9840" s="387">
        <v>1.0</v>
      </c>
      <c r="G9840" s="140">
        <v>80000.0</v>
      </c>
      <c r="H9840" s="74"/>
      <c r="I9840" s="74">
        <f t="shared" si="7"/>
        <v>80000</v>
      </c>
      <c r="J9840" s="74">
        <f>IF(E9840="SERVICE",I9840-(I9840*50%),Vlookup(E9840,DATABASE!C:Q,10,false)*F9840)</f>
        <v>0</v>
      </c>
      <c r="K9840" s="74">
        <f>VLOOKUP(E9840,DATABASE!C:Q,7,false)</f>
        <v>45439.582</v>
      </c>
      <c r="L9840" s="74">
        <v>45439.582</v>
      </c>
      <c r="M9840" s="74">
        <f t="shared" si="6"/>
        <v>50000</v>
      </c>
      <c r="N9840" s="74">
        <f t="shared" si="3"/>
        <v>30000</v>
      </c>
      <c r="O9840" s="65" t="str">
        <f>VLOOKUP(E9840,DATABASE!C:Q,8,false)</f>
        <v>BIAN</v>
      </c>
      <c r="P9840" s="65">
        <f>VLOOKUP(E9840,DATABASE!C:Q,9,False)</f>
        <v>1</v>
      </c>
      <c r="Q9840" s="93" t="str">
        <f>VLOOKUP(E9840,DATABASE!C:Q,4,false)</f>
        <v>BD</v>
      </c>
      <c r="R9840" s="93" t="str">
        <f>VLOOKUP(E9840,DATABASE!C:Q,11,false)</f>
        <v>Tire</v>
      </c>
    </row>
    <row r="9841" ht="22.5" customHeight="1">
      <c r="A9841" s="49"/>
      <c r="C9841" s="400">
        <v>46245.0</v>
      </c>
      <c r="D9841" s="69">
        <v>575.0</v>
      </c>
      <c r="E9841" s="544" t="s">
        <v>268</v>
      </c>
      <c r="F9841" s="387">
        <v>2.0</v>
      </c>
      <c r="G9841" s="140">
        <v>720000.0</v>
      </c>
      <c r="H9841" s="74"/>
      <c r="I9841" s="74">
        <f t="shared" si="7"/>
        <v>1440000</v>
      </c>
      <c r="J9841" s="74">
        <f>IF(E9841="SERVICE",I9841-(I9841*50%),Vlookup(E9841,DATABASE!C:Q,10,false)*F9841)</f>
        <v>0</v>
      </c>
      <c r="K9841" s="74">
        <f>VLOOKUP(E9841,DATABASE!C:Q,7,false)</f>
        <v>653000</v>
      </c>
      <c r="L9841" s="74">
        <v>634500.0</v>
      </c>
      <c r="M9841" s="74">
        <f t="shared" si="6"/>
        <v>635000</v>
      </c>
      <c r="N9841" s="74">
        <f t="shared" si="3"/>
        <v>170000</v>
      </c>
      <c r="O9841" s="65" t="str">
        <f>VLOOKUP(E9841,DATABASE!C:Q,8,false)</f>
        <v>IBU</v>
      </c>
      <c r="P9841" s="65">
        <f>VLOOKUP(E9841,DATABASE!C:Q,9,False)</f>
        <v>1</v>
      </c>
      <c r="Q9841" s="93" t="str">
        <f>VLOOKUP(E9841,DATABASE!C:Q,4,false)</f>
        <v>Dunlop</v>
      </c>
      <c r="R9841" s="93" t="str">
        <f>VLOOKUP(E9841,DATABASE!C:Q,11,false)</f>
        <v>Tire</v>
      </c>
    </row>
    <row r="9842" ht="22.5" customHeight="1">
      <c r="A9842" s="49"/>
      <c r="C9842" s="400">
        <v>46245.0</v>
      </c>
      <c r="D9842" s="69">
        <v>576.0</v>
      </c>
      <c r="E9842" s="544" t="s">
        <v>268</v>
      </c>
      <c r="F9842" s="387">
        <v>2.0</v>
      </c>
      <c r="G9842" s="140">
        <v>720000.0</v>
      </c>
      <c r="H9842" s="74"/>
      <c r="I9842" s="74">
        <f t="shared" si="7"/>
        <v>1440000</v>
      </c>
      <c r="J9842" s="74">
        <f>IF(E9842="SERVICE",I9842-(I9842*50%),Vlookup(E9842,DATABASE!C:Q,10,false)*F9842)</f>
        <v>0</v>
      </c>
      <c r="K9842" s="74">
        <f>VLOOKUP(E9842,DATABASE!C:Q,7,false)</f>
        <v>653000</v>
      </c>
      <c r="L9842" s="74">
        <v>634500.0</v>
      </c>
      <c r="M9842" s="74">
        <f t="shared" si="6"/>
        <v>635000</v>
      </c>
      <c r="N9842" s="74">
        <f t="shared" si="3"/>
        <v>170000</v>
      </c>
      <c r="O9842" s="65" t="str">
        <f>VLOOKUP(E9842,DATABASE!C:Q,8,false)</f>
        <v>IBU</v>
      </c>
      <c r="P9842" s="65">
        <f>VLOOKUP(E9842,DATABASE!C:Q,9,False)</f>
        <v>1</v>
      </c>
      <c r="Q9842" s="93" t="str">
        <f>VLOOKUP(E9842,DATABASE!C:Q,4,false)</f>
        <v>Dunlop</v>
      </c>
      <c r="R9842" s="93" t="str">
        <f>VLOOKUP(E9842,DATABASE!C:Q,11,false)</f>
        <v>Tire</v>
      </c>
    </row>
    <row r="9843" ht="22.5" customHeight="1">
      <c r="A9843" s="49"/>
      <c r="C9843" s="400">
        <v>46245.0</v>
      </c>
      <c r="D9843" s="69">
        <v>576.0</v>
      </c>
      <c r="E9843" s="544" t="s">
        <v>569</v>
      </c>
      <c r="F9843" s="387">
        <v>2.0</v>
      </c>
      <c r="G9843" s="140">
        <v>80000.0</v>
      </c>
      <c r="H9843" s="74"/>
      <c r="I9843" s="74">
        <f t="shared" si="7"/>
        <v>160000</v>
      </c>
      <c r="J9843" s="74">
        <f>IF(E9843="SERVICE",I9843-(I9843*50%),Vlookup(E9843,DATABASE!C:Q,10,false)*F9843)</f>
        <v>0</v>
      </c>
      <c r="K9843" s="74">
        <f>VLOOKUP(E9843,DATABASE!C:Q,7,false)</f>
        <v>45439.582</v>
      </c>
      <c r="L9843" s="74">
        <v>45439.582</v>
      </c>
      <c r="M9843" s="74">
        <f t="shared" si="6"/>
        <v>50000</v>
      </c>
      <c r="N9843" s="74">
        <f t="shared" si="3"/>
        <v>60000</v>
      </c>
      <c r="O9843" s="65" t="str">
        <f>VLOOKUP(E9843,DATABASE!C:Q,8,false)</f>
        <v>BIAN</v>
      </c>
      <c r="P9843" s="65">
        <f>VLOOKUP(E9843,DATABASE!C:Q,9,False)</f>
        <v>1</v>
      </c>
      <c r="Q9843" s="93" t="str">
        <f>VLOOKUP(E9843,DATABASE!C:Q,4,false)</f>
        <v>BD</v>
      </c>
      <c r="R9843" s="93" t="str">
        <f>VLOOKUP(E9843,DATABASE!C:Q,11,false)</f>
        <v>Tire</v>
      </c>
    </row>
    <row r="9844" ht="22.5" customHeight="1">
      <c r="A9844" s="49"/>
      <c r="C9844" s="400">
        <v>46245.0</v>
      </c>
      <c r="D9844" s="69">
        <v>577.0</v>
      </c>
      <c r="E9844" s="544" t="s">
        <v>286</v>
      </c>
      <c r="F9844" s="387">
        <v>15.0</v>
      </c>
      <c r="G9844" s="140">
        <v>580000.0</v>
      </c>
      <c r="H9844" s="140">
        <v>10000.0</v>
      </c>
      <c r="I9844" s="74">
        <f t="shared" si="7"/>
        <v>8550000</v>
      </c>
      <c r="J9844" s="74">
        <f>IF(E9844="SERVICE",I9844-(I9844*50%),Vlookup(E9844,DATABASE!C:Q,10,false)*F9844)</f>
        <v>0</v>
      </c>
      <c r="K9844" s="74">
        <f>VLOOKUP(E9844,DATABASE!C:Q,7,false)</f>
        <v>488320</v>
      </c>
      <c r="L9844" s="140">
        <v>488320.0</v>
      </c>
      <c r="M9844" s="74">
        <f t="shared" si="6"/>
        <v>490000</v>
      </c>
      <c r="N9844" s="74">
        <f t="shared" si="3"/>
        <v>1200000</v>
      </c>
      <c r="O9844" s="65" t="str">
        <f>VLOOKUP(E9844,DATABASE!C:Q,8,false)</f>
        <v>BIAN</v>
      </c>
      <c r="P9844" s="65">
        <f>VLOOKUP(E9844,DATABASE!C:Q,9,False)</f>
        <v>1</v>
      </c>
      <c r="Q9844" s="93" t="str">
        <f>VLOOKUP(E9844,DATABASE!C:Q,4,false)</f>
        <v>GT</v>
      </c>
      <c r="R9844" s="93" t="str">
        <f>VLOOKUP(E9844,DATABASE!C:Q,11,false)</f>
        <v>Tire</v>
      </c>
    </row>
    <row r="9845" ht="22.5" customHeight="1">
      <c r="A9845" s="49"/>
      <c r="C9845" s="400">
        <v>46245.0</v>
      </c>
      <c r="D9845" s="69">
        <v>578.0</v>
      </c>
      <c r="E9845" s="544" t="s">
        <v>897</v>
      </c>
      <c r="F9845" s="387">
        <v>4.0</v>
      </c>
      <c r="G9845" s="140">
        <v>1625000.0</v>
      </c>
      <c r="H9845" s="74"/>
      <c r="I9845" s="74">
        <f t="shared" si="7"/>
        <v>6500000</v>
      </c>
      <c r="J9845" s="74">
        <f>IF(E9845="SERVICE",I9845-(I9845*50%),Vlookup(E9845,DATABASE!C:Q,10,false)*F9845)</f>
        <v>0</v>
      </c>
      <c r="K9845" s="74">
        <f>VLOOKUP(E9845,DATABASE!C:Q,7,false)</f>
        <v>1560000</v>
      </c>
      <c r="L9845" s="74">
        <v>1525000.0</v>
      </c>
      <c r="M9845" s="74">
        <f t="shared" si="6"/>
        <v>1525000</v>
      </c>
      <c r="N9845" s="74">
        <f t="shared" si="3"/>
        <v>400000</v>
      </c>
      <c r="O9845" s="65" t="str">
        <f>VLOOKUP(E9845,DATABASE!C:Q,8,false)</f>
        <v>BIAN</v>
      </c>
      <c r="P9845" s="65">
        <f>VLOOKUP(E9845,DATABASE!C:Q,9,False)</f>
        <v>1</v>
      </c>
      <c r="Q9845" s="93" t="str">
        <f>VLOOKUP(E9845,DATABASE!C:Q,4,false)</f>
        <v>GT</v>
      </c>
      <c r="R9845" s="93" t="str">
        <f>VLOOKUP(E9845,DATABASE!C:Q,11,false)</f>
        <v>Tire</v>
      </c>
    </row>
    <row r="9846" ht="22.5" customHeight="1">
      <c r="A9846" s="49"/>
      <c r="C9846" s="400">
        <v>46245.0</v>
      </c>
      <c r="D9846" s="69">
        <v>578.0</v>
      </c>
      <c r="E9846" s="544" t="s">
        <v>737</v>
      </c>
      <c r="F9846" s="387">
        <v>4.0</v>
      </c>
      <c r="G9846" s="140">
        <v>270000.0</v>
      </c>
      <c r="H9846" s="74"/>
      <c r="I9846" s="74">
        <f t="shared" si="7"/>
        <v>1080000</v>
      </c>
      <c r="J9846" s="74">
        <f>IF(E9846="SERVICE",I9846-(I9846*50%),Vlookup(E9846,DATABASE!C:Q,10,false)*F9846)</f>
        <v>0</v>
      </c>
      <c r="K9846" s="74">
        <f>VLOOKUP(E9846,DATABASE!C:Q,7,false)</f>
        <v>241001.6</v>
      </c>
      <c r="L9846" s="74">
        <v>237440.0</v>
      </c>
      <c r="M9846" s="74">
        <f t="shared" si="6"/>
        <v>240000</v>
      </c>
      <c r="N9846" s="74">
        <f t="shared" si="3"/>
        <v>120000</v>
      </c>
      <c r="O9846" s="65" t="str">
        <f>VLOOKUP(E9846,DATABASE!C:Q,8,false)</f>
        <v>IBU</v>
      </c>
      <c r="P9846" s="65">
        <f>VLOOKUP(E9846,DATABASE!C:Q,9,False)</f>
        <v>1</v>
      </c>
      <c r="Q9846" s="93" t="str">
        <f>VLOOKUP(E9846,DATABASE!C:Q,4,false)</f>
        <v>BD</v>
      </c>
      <c r="R9846" s="93" t="str">
        <f>VLOOKUP(E9846,DATABASE!C:Q,11,false)</f>
        <v>Tire</v>
      </c>
    </row>
    <row r="9847" ht="22.5" customHeight="1">
      <c r="A9847" s="49"/>
      <c r="C9847" s="400">
        <v>46245.0</v>
      </c>
      <c r="D9847" s="69">
        <v>578.0</v>
      </c>
      <c r="E9847" s="544" t="s">
        <v>821</v>
      </c>
      <c r="F9847" s="387">
        <v>4.0</v>
      </c>
      <c r="G9847" s="140">
        <v>90000.0</v>
      </c>
      <c r="H9847" s="74"/>
      <c r="I9847" s="74">
        <f t="shared" si="7"/>
        <v>360000</v>
      </c>
      <c r="J9847" s="74">
        <f>IF(E9847="SERVICE",I9847-(I9847*50%),Vlookup(E9847,DATABASE!C:Q,10,false)*F9847)</f>
        <v>0</v>
      </c>
      <c r="K9847" s="74">
        <f>VLOOKUP(E9847,DATABASE!C:Q,7,false)</f>
        <v>43500</v>
      </c>
      <c r="L9847" s="74">
        <v>43500.0</v>
      </c>
      <c r="M9847" s="74">
        <f t="shared" si="6"/>
        <v>45000</v>
      </c>
      <c r="N9847" s="74">
        <f t="shared" si="3"/>
        <v>180000</v>
      </c>
      <c r="O9847" s="65" t="str">
        <f>VLOOKUP(E9847,DATABASE!C:Q,8,false)</f>
        <v>BIAN</v>
      </c>
      <c r="P9847" s="65">
        <f>VLOOKUP(E9847,DATABASE!C:Q,9,False)</f>
        <v>1</v>
      </c>
      <c r="Q9847" s="93" t="str">
        <f>VLOOKUP(E9847,DATABASE!C:Q,4,false)</f>
        <v>Flap</v>
      </c>
      <c r="R9847" s="93" t="str">
        <f>VLOOKUP(E9847,DATABASE!C:Q,11,false)</f>
        <v>Tire</v>
      </c>
    </row>
    <row r="9848" ht="22.5" customHeight="1">
      <c r="A9848" s="49"/>
      <c r="C9848" s="400">
        <v>46245.0</v>
      </c>
      <c r="D9848" s="69">
        <v>579.0</v>
      </c>
      <c r="E9848" s="544" t="s">
        <v>1898</v>
      </c>
      <c r="F9848" s="387">
        <v>2.0</v>
      </c>
      <c r="G9848" s="140">
        <v>735000.0</v>
      </c>
      <c r="H9848" s="74"/>
      <c r="I9848" s="74">
        <f t="shared" si="7"/>
        <v>1470000</v>
      </c>
      <c r="J9848" s="74">
        <f>IF(E9848="SERVICE",I9848-(I9848*50%),Vlookup(E9848,DATABASE!C:Q,10,false)*F9848)</f>
        <v>0</v>
      </c>
      <c r="K9848" s="74">
        <f>VLOOKUP(E9848,DATABASE!C:Q,7,false)</f>
        <v>640700</v>
      </c>
      <c r="L9848" s="74">
        <v>640700.0</v>
      </c>
      <c r="M9848" s="74">
        <f t="shared" si="6"/>
        <v>645000</v>
      </c>
      <c r="N9848" s="74">
        <f t="shared" si="3"/>
        <v>180000</v>
      </c>
      <c r="O9848" s="65" t="str">
        <f>VLOOKUP(E9848,DATABASE!C:Q,8,false)</f>
        <v>BIAN</v>
      </c>
      <c r="P9848" s="65">
        <f>VLOOKUP(E9848,DATABASE!C:Q,9,False)</f>
        <v>1</v>
      </c>
      <c r="Q9848" s="93" t="str">
        <f>VLOOKUP(E9848,DATABASE!C:Q,4,false)</f>
        <v>GT</v>
      </c>
      <c r="R9848" s="93" t="str">
        <f>VLOOKUP(E9848,DATABASE!C:Q,11,false)</f>
        <v>Tire</v>
      </c>
    </row>
    <row r="9849" ht="22.5" customHeight="1">
      <c r="A9849" s="49"/>
      <c r="C9849" s="400">
        <v>46245.0</v>
      </c>
      <c r="D9849" s="69">
        <v>580.0</v>
      </c>
      <c r="E9849" s="544" t="s">
        <v>2140</v>
      </c>
      <c r="F9849" s="387">
        <v>1.0</v>
      </c>
      <c r="G9849" s="140">
        <v>30000.0</v>
      </c>
      <c r="H9849" s="74"/>
      <c r="I9849" s="74">
        <f t="shared" si="7"/>
        <v>30000</v>
      </c>
      <c r="J9849" s="74">
        <f>IF(E9849="SERVICE",I9849-(I9849*50%),Vlookup(E9849,DATABASE!C:Q,10,false)*F9849)</f>
        <v>0</v>
      </c>
      <c r="K9849" s="74">
        <f>VLOOKUP(E9849,DATABASE!C:Q,7,false)</f>
        <v>5000</v>
      </c>
      <c r="L9849" s="74">
        <v>0.0</v>
      </c>
      <c r="M9849" s="74">
        <f t="shared" si="6"/>
        <v>0</v>
      </c>
      <c r="N9849" s="74">
        <f t="shared" si="3"/>
        <v>30000</v>
      </c>
      <c r="O9849" s="65" t="str">
        <f>VLOOKUP(E9849,DATABASE!C:Q,8,false)</f>
        <v>IBU</v>
      </c>
      <c r="P9849" s="65">
        <f>VLOOKUP(E9849,DATABASE!C:Q,9,False)</f>
        <v>0</v>
      </c>
      <c r="Q9849" s="93" t="str">
        <f>VLOOKUP(E9849,DATABASE!C:Q,4,false)</f>
        <v>PENTIL + PASANG</v>
      </c>
      <c r="R9849" s="93" t="str">
        <f>VLOOKUP(E9849,DATABASE!C:Q,11,false)</f>
        <v>COMPLEMENTARY</v>
      </c>
    </row>
    <row r="9850" ht="22.5" customHeight="1">
      <c r="A9850" s="49"/>
      <c r="C9850" s="400">
        <v>46245.0</v>
      </c>
      <c r="D9850" s="69">
        <v>581.0</v>
      </c>
      <c r="E9850" s="544" t="s">
        <v>271</v>
      </c>
      <c r="F9850" s="387">
        <v>1.0</v>
      </c>
      <c r="G9850" s="140">
        <v>640000.0</v>
      </c>
      <c r="H9850" s="74"/>
      <c r="I9850" s="74">
        <f t="shared" si="7"/>
        <v>640000</v>
      </c>
      <c r="J9850" s="74">
        <f>IF(E9850="SERVICE",I9850-(I9850*50%),Vlookup(E9850,DATABASE!C:Q,10,false)*F9850)</f>
        <v>0</v>
      </c>
      <c r="K9850" s="74">
        <f>VLOOKUP(E9850,DATABASE!C:Q,7,false)</f>
        <v>570000</v>
      </c>
      <c r="L9850" s="74">
        <v>550000.0</v>
      </c>
      <c r="M9850" s="74">
        <f t="shared" si="6"/>
        <v>550000</v>
      </c>
      <c r="N9850" s="74">
        <f t="shared" si="3"/>
        <v>90000</v>
      </c>
      <c r="O9850" s="65" t="str">
        <f>VLOOKUP(E9850,DATABASE!C:Q,8,false)</f>
        <v>IBU</v>
      </c>
      <c r="P9850" s="65">
        <f>VLOOKUP(E9850,DATABASE!C:Q,9,False)</f>
        <v>1</v>
      </c>
      <c r="Q9850" s="93" t="str">
        <f>VLOOKUP(E9850,DATABASE!C:Q,4,false)</f>
        <v>Dunlop</v>
      </c>
      <c r="R9850" s="93" t="str">
        <f>VLOOKUP(E9850,DATABASE!C:Q,11,false)</f>
        <v>Tire</v>
      </c>
    </row>
    <row r="9851" ht="22.5" customHeight="1">
      <c r="A9851" s="49"/>
      <c r="C9851" s="400">
        <v>46245.0</v>
      </c>
      <c r="D9851" s="524">
        <v>583.0</v>
      </c>
      <c r="E9851" s="544" t="s">
        <v>737</v>
      </c>
      <c r="F9851" s="387">
        <v>2.0</v>
      </c>
      <c r="G9851" s="140">
        <v>270000.0</v>
      </c>
      <c r="H9851" s="74"/>
      <c r="I9851" s="74">
        <f t="shared" si="7"/>
        <v>540000</v>
      </c>
      <c r="J9851" s="74">
        <f>IF(E9851="SERVICE",I9851-(I9851*50%),Vlookup(E9851,DATABASE!C:Q,10,false)*F9851)</f>
        <v>0</v>
      </c>
      <c r="K9851" s="74">
        <f>VLOOKUP(E9851,DATABASE!C:Q,7,false)</f>
        <v>241001.6</v>
      </c>
      <c r="L9851" s="74">
        <v>237440.0</v>
      </c>
      <c r="M9851" s="74">
        <f t="shared" si="6"/>
        <v>240000</v>
      </c>
      <c r="N9851" s="74">
        <f t="shared" si="3"/>
        <v>60000</v>
      </c>
      <c r="O9851" s="65" t="str">
        <f>VLOOKUP(E9851,DATABASE!C:Q,8,false)</f>
        <v>IBU</v>
      </c>
      <c r="P9851" s="65">
        <f>VLOOKUP(E9851,DATABASE!C:Q,9,False)</f>
        <v>1</v>
      </c>
      <c r="Q9851" s="93" t="str">
        <f>VLOOKUP(E9851,DATABASE!C:Q,4,false)</f>
        <v>BD</v>
      </c>
      <c r="R9851" s="93" t="str">
        <f>VLOOKUP(E9851,DATABASE!C:Q,11,false)</f>
        <v>Tire</v>
      </c>
    </row>
    <row r="9852" ht="22.5" customHeight="1">
      <c r="A9852" s="49"/>
      <c r="C9852" s="400">
        <v>46245.0</v>
      </c>
      <c r="D9852" s="524">
        <v>583.0</v>
      </c>
      <c r="E9852" s="544" t="s">
        <v>821</v>
      </c>
      <c r="F9852" s="387">
        <v>2.0</v>
      </c>
      <c r="G9852" s="140">
        <v>90000.0</v>
      </c>
      <c r="H9852" s="74"/>
      <c r="I9852" s="74">
        <f t="shared" si="7"/>
        <v>180000</v>
      </c>
      <c r="J9852" s="74">
        <f>IF(E9852="SERVICE",I9852-(I9852*50%),Vlookup(E9852,DATABASE!C:Q,10,false)*F9852)</f>
        <v>0</v>
      </c>
      <c r="K9852" s="74">
        <f>VLOOKUP(E9852,DATABASE!C:Q,7,false)</f>
        <v>43500</v>
      </c>
      <c r="L9852" s="74">
        <v>43500.0</v>
      </c>
      <c r="M9852" s="74">
        <f t="shared" si="6"/>
        <v>45000</v>
      </c>
      <c r="N9852" s="74">
        <f t="shared" si="3"/>
        <v>90000</v>
      </c>
      <c r="O9852" s="65" t="str">
        <f>VLOOKUP(E9852,DATABASE!C:Q,8,false)</f>
        <v>BIAN</v>
      </c>
      <c r="P9852" s="65">
        <f>VLOOKUP(E9852,DATABASE!C:Q,9,False)</f>
        <v>1</v>
      </c>
      <c r="Q9852" s="93" t="str">
        <f>VLOOKUP(E9852,DATABASE!C:Q,4,false)</f>
        <v>Flap</v>
      </c>
      <c r="R9852" s="93" t="str">
        <f>VLOOKUP(E9852,DATABASE!C:Q,11,false)</f>
        <v>Tire</v>
      </c>
    </row>
    <row r="9853" ht="22.5" customHeight="1">
      <c r="A9853" s="49"/>
      <c r="C9853" s="400">
        <v>46245.0</v>
      </c>
      <c r="D9853" s="524">
        <v>584.0</v>
      </c>
      <c r="E9853" s="544" t="s">
        <v>1133</v>
      </c>
      <c r="F9853" s="387">
        <v>4.0</v>
      </c>
      <c r="G9853" s="140">
        <v>835000.0</v>
      </c>
      <c r="H9853" s="140">
        <v>10000.0</v>
      </c>
      <c r="I9853" s="74">
        <f t="shared" si="7"/>
        <v>3300000</v>
      </c>
      <c r="J9853" s="74">
        <f>IF(E9853="SERVICE",I9853-(I9853*50%),Vlookup(E9853,DATABASE!C:Q,10,false)*F9853)</f>
        <v>0</v>
      </c>
      <c r="K9853" s="74">
        <f>VLOOKUP(E9853,DATABASE!C:Q,7,false)</f>
        <v>759539.2</v>
      </c>
      <c r="L9853" s="74">
        <v>733824.0</v>
      </c>
      <c r="M9853" s="74">
        <f t="shared" si="6"/>
        <v>735000</v>
      </c>
      <c r="N9853" s="74">
        <f t="shared" si="3"/>
        <v>360000</v>
      </c>
      <c r="O9853" s="65" t="str">
        <f>VLOOKUP(E9853,DATABASE!C:Q,8,false)</f>
        <v>IBU</v>
      </c>
      <c r="P9853" s="65">
        <f>VLOOKUP(E9853,DATABASE!C:Q,9,False)</f>
        <v>1</v>
      </c>
      <c r="Q9853" s="93" t="str">
        <f>VLOOKUP(E9853,DATABASE!C:Q,4,false)</f>
        <v>Bridgestone</v>
      </c>
      <c r="R9853" s="93" t="str">
        <f>VLOOKUP(E9853,DATABASE!C:Q,11,false)</f>
        <v>Tire</v>
      </c>
    </row>
    <row r="9854" ht="22.5" customHeight="1">
      <c r="A9854" s="49"/>
      <c r="C9854" s="400">
        <v>46245.0</v>
      </c>
      <c r="D9854" s="524">
        <v>584.0</v>
      </c>
      <c r="E9854" s="544" t="s">
        <v>246</v>
      </c>
      <c r="F9854" s="387">
        <v>4.0</v>
      </c>
      <c r="G9854" s="140">
        <v>35000.0</v>
      </c>
      <c r="H9854" s="140">
        <v>10000.0</v>
      </c>
      <c r="I9854" s="74">
        <f t="shared" si="7"/>
        <v>100000</v>
      </c>
      <c r="J9854" s="74">
        <f>IF(E9854="SERVICE",I9854-(I9854*50%),Vlookup(E9854,DATABASE!C:Q,10,false)*F9854)</f>
        <v>0</v>
      </c>
      <c r="K9854" s="74">
        <f>VLOOKUP(E9854,DATABASE!C:Q,7,false)</f>
        <v>0</v>
      </c>
      <c r="L9854" s="74">
        <v>0.0</v>
      </c>
      <c r="M9854" s="74">
        <f t="shared" si="6"/>
        <v>0</v>
      </c>
      <c r="N9854" s="74">
        <f t="shared" si="3"/>
        <v>100000</v>
      </c>
      <c r="O9854" s="65" t="str">
        <f>VLOOKUP(E9854,DATABASE!C:Q,8,false)</f>
        <v>IBU</v>
      </c>
      <c r="P9854" s="65">
        <f>VLOOKUP(E9854,DATABASE!C:Q,9,False)</f>
        <v>0</v>
      </c>
      <c r="Q9854" s="93" t="str">
        <f>VLOOKUP(E9854,DATABASE!C:Q,4,false)</f>
        <v>Bongkar Pasang</v>
      </c>
      <c r="R9854" s="93" t="str">
        <f>VLOOKUP(E9854,DATABASE!C:Q,11,false)</f>
        <v>SERVICE</v>
      </c>
    </row>
    <row r="9855" ht="22.5" customHeight="1">
      <c r="A9855" s="49"/>
      <c r="C9855" s="400">
        <v>46245.0</v>
      </c>
      <c r="D9855" s="69">
        <v>586.0</v>
      </c>
      <c r="E9855" s="544" t="s">
        <v>288</v>
      </c>
      <c r="F9855" s="387">
        <v>2.0</v>
      </c>
      <c r="G9855" s="140">
        <v>630000.0</v>
      </c>
      <c r="H9855" s="74"/>
      <c r="I9855" s="74">
        <f t="shared" si="7"/>
        <v>1260000</v>
      </c>
      <c r="J9855" s="74">
        <f>IF(E9855="SERVICE",I9855-(I9855*50%),Vlookup(E9855,DATABASE!C:Q,10,false)*F9855)</f>
        <v>0</v>
      </c>
      <c r="K9855" s="74">
        <f>VLOOKUP(E9855,DATABASE!C:Q,7,false)</f>
        <v>565760</v>
      </c>
      <c r="L9855" s="74">
        <v>540500.0</v>
      </c>
      <c r="M9855" s="74">
        <f t="shared" si="6"/>
        <v>545000</v>
      </c>
      <c r="N9855" s="74">
        <f t="shared" si="3"/>
        <v>170000</v>
      </c>
      <c r="O9855" s="65" t="str">
        <f>VLOOKUP(E9855,DATABASE!C:Q,8,false)</f>
        <v>BIAN</v>
      </c>
      <c r="P9855" s="65">
        <f>VLOOKUP(E9855,DATABASE!C:Q,9,False)</f>
        <v>1</v>
      </c>
      <c r="Q9855" s="93" t="str">
        <f>VLOOKUP(E9855,DATABASE!C:Q,4,false)</f>
        <v>GT</v>
      </c>
      <c r="R9855" s="93" t="str">
        <f>VLOOKUP(E9855,DATABASE!C:Q,11,false)</f>
        <v>Tire</v>
      </c>
    </row>
    <row r="9856" ht="22.5" customHeight="1">
      <c r="A9856" s="49"/>
      <c r="C9856" s="400">
        <v>46245.0</v>
      </c>
      <c r="D9856" s="524">
        <v>587.0</v>
      </c>
      <c r="E9856" s="544" t="s">
        <v>256</v>
      </c>
      <c r="F9856" s="387">
        <v>1.0</v>
      </c>
      <c r="G9856" s="140">
        <v>175000.0</v>
      </c>
      <c r="H9856" s="140">
        <v>25000.0</v>
      </c>
      <c r="I9856" s="74">
        <f t="shared" si="7"/>
        <v>150000</v>
      </c>
      <c r="J9856" s="74">
        <f>IF(E9856="SERVICE",I9856-(I9856*50%),Vlookup(E9856,DATABASE!C:Q,10,false)*F9856)</f>
        <v>10000</v>
      </c>
      <c r="K9856" s="74">
        <f>VLOOKUP(E9856,DATABASE!C:Q,7,false)</f>
        <v>0</v>
      </c>
      <c r="L9856" s="74">
        <v>0.0</v>
      </c>
      <c r="M9856" s="74">
        <f t="shared" si="6"/>
        <v>0</v>
      </c>
      <c r="N9856" s="74">
        <f t="shared" si="3"/>
        <v>140000</v>
      </c>
      <c r="O9856" s="65" t="str">
        <f>VLOOKUP(E9856,DATABASE!C:Q,8,false)</f>
        <v>IBU</v>
      </c>
      <c r="P9856" s="65">
        <f>VLOOKUP(E9856,DATABASE!C:Q,9,False)</f>
        <v>0</v>
      </c>
      <c r="Q9856" s="93" t="str">
        <f>VLOOKUP(E9856,DATABASE!C:Q,4,false)</f>
        <v>SPOORING</v>
      </c>
      <c r="R9856" s="93" t="str">
        <f>VLOOKUP(E9856,DATABASE!C:Q,11,false)</f>
        <v>SERVICE</v>
      </c>
    </row>
    <row r="9857" ht="22.5" customHeight="1">
      <c r="A9857" s="49"/>
      <c r="C9857" s="400">
        <v>46245.0</v>
      </c>
      <c r="D9857" s="524">
        <v>587.0</v>
      </c>
      <c r="E9857" s="544" t="s">
        <v>299</v>
      </c>
      <c r="F9857" s="387">
        <v>2.0</v>
      </c>
      <c r="G9857" s="140">
        <v>30000.0</v>
      </c>
      <c r="H9857" s="74"/>
      <c r="I9857" s="74">
        <f t="shared" si="7"/>
        <v>60000</v>
      </c>
      <c r="J9857" s="74">
        <f>IF(E9857="SERVICE",I9857-(I9857*50%),Vlookup(E9857,DATABASE!C:Q,10,false)*F9857)</f>
        <v>0</v>
      </c>
      <c r="K9857" s="74">
        <f>VLOOKUP(E9857,DATABASE!C:Q,7,false)</f>
        <v>10000</v>
      </c>
      <c r="L9857" s="74">
        <v>10000.0</v>
      </c>
      <c r="M9857" s="74">
        <f t="shared" si="6"/>
        <v>10000</v>
      </c>
      <c r="N9857" s="74">
        <f t="shared" si="3"/>
        <v>40000</v>
      </c>
      <c r="O9857" s="65" t="str">
        <f>VLOOKUP(E9857,DATABASE!C:Q,8,false)</f>
        <v>BIAN</v>
      </c>
      <c r="P9857" s="65">
        <f>VLOOKUP(E9857,DATABASE!C:Q,9,False)</f>
        <v>0</v>
      </c>
      <c r="Q9857" s="93" t="str">
        <f>VLOOKUP(E9857,DATABASE!C:Q,4,false)</f>
        <v>Balancing</v>
      </c>
      <c r="R9857" s="93" t="str">
        <f>VLOOKUP(E9857,DATABASE!C:Q,11,false)</f>
        <v>COMPLEMENTARY</v>
      </c>
    </row>
    <row r="9858" ht="22.5" customHeight="1">
      <c r="A9858" s="49"/>
      <c r="C9858" s="400">
        <v>46245.0</v>
      </c>
      <c r="D9858" s="524">
        <v>587.0</v>
      </c>
      <c r="E9858" s="544" t="s">
        <v>251</v>
      </c>
      <c r="F9858" s="387">
        <v>1.0</v>
      </c>
      <c r="G9858" s="140">
        <v>350000.0</v>
      </c>
      <c r="H9858" s="140">
        <v>270000.0</v>
      </c>
      <c r="I9858" s="74">
        <f t="shared" si="7"/>
        <v>80000</v>
      </c>
      <c r="J9858" s="74">
        <f>IF(E9858="SERVICE",I9858-(I9858*50%),Vlookup(E9858,DATABASE!C:Q,10,false)*F9858)</f>
        <v>40000</v>
      </c>
      <c r="K9858" s="74">
        <f>VLOOKUP(E9858,DATABASE!C:Q,7,false)</f>
        <v>0</v>
      </c>
      <c r="L9858" s="74">
        <v>0.0</v>
      </c>
      <c r="M9858" s="74">
        <f t="shared" si="6"/>
        <v>0</v>
      </c>
      <c r="N9858" s="74">
        <f t="shared" si="3"/>
        <v>40000</v>
      </c>
      <c r="O9858" s="65" t="str">
        <f>VLOOKUP(E9858,DATABASE!C:Q,8,false)</f>
        <v>IBU</v>
      </c>
      <c r="P9858" s="65">
        <f>VLOOKUP(E9858,DATABASE!C:Q,9,False)</f>
        <v>0</v>
      </c>
      <c r="Q9858" s="93" t="str">
        <f>VLOOKUP(E9858,DATABASE!C:Q,4,false)</f>
        <v>SERVICE</v>
      </c>
      <c r="R9858" s="93" t="str">
        <f>VLOOKUP(E9858,DATABASE!C:Q,11,false)</f>
        <v>SERVICE</v>
      </c>
    </row>
    <row r="9859" ht="22.5" customHeight="1">
      <c r="A9859" s="49"/>
      <c r="C9859" s="400">
        <v>46245.0</v>
      </c>
      <c r="D9859" s="69" t="s">
        <v>2904</v>
      </c>
      <c r="E9859" s="544" t="s">
        <v>263</v>
      </c>
      <c r="F9859" s="387">
        <v>1.0</v>
      </c>
      <c r="G9859" s="140">
        <v>385000.0</v>
      </c>
      <c r="H9859" s="74"/>
      <c r="I9859" s="74">
        <f t="shared" si="7"/>
        <v>385000</v>
      </c>
      <c r="J9859" s="74">
        <f>IF(E9859="SERVICE",I9859-(I9859*50%),Vlookup(E9859,DATABASE!C:Q,10,false)*F9859)</f>
        <v>0</v>
      </c>
      <c r="K9859" s="74">
        <f>VLOOKUP(E9859,DATABASE!C:Q,7,false)</f>
        <v>334916</v>
      </c>
      <c r="L9859" s="74">
        <v>334916.0</v>
      </c>
      <c r="M9859" s="74">
        <f t="shared" si="6"/>
        <v>335000</v>
      </c>
      <c r="N9859" s="74">
        <f t="shared" si="3"/>
        <v>50000</v>
      </c>
      <c r="O9859" s="65" t="str">
        <f>VLOOKUP(E9859,DATABASE!C:Q,8,false)</f>
        <v>NON</v>
      </c>
      <c r="P9859" s="65">
        <f>VLOOKUP(E9859,DATABASE!C:Q,9,False)</f>
        <v>0</v>
      </c>
      <c r="Q9859" s="93" t="str">
        <f>VLOOKUP(E9859,DATABASE!C:Q,4,false)</f>
        <v>Shell</v>
      </c>
      <c r="R9859" s="93" t="str">
        <f>VLOOKUP(E9859,DATABASE!C:Q,11,false)</f>
        <v>OIL</v>
      </c>
    </row>
    <row r="9860" ht="22.5" customHeight="1">
      <c r="A9860" s="49"/>
      <c r="C9860" s="400">
        <v>46246.0</v>
      </c>
      <c r="D9860" s="524">
        <v>589.0</v>
      </c>
      <c r="E9860" s="544" t="s">
        <v>1097</v>
      </c>
      <c r="F9860" s="387">
        <v>2.0</v>
      </c>
      <c r="G9860" s="140">
        <v>920000.0</v>
      </c>
      <c r="H9860" s="74"/>
      <c r="I9860" s="74">
        <f t="shared" si="7"/>
        <v>1840000</v>
      </c>
      <c r="J9860" s="74">
        <f>IF(E9860="SERVICE",I9860-(I9860*50%),Vlookup(E9860,DATABASE!C:Q,10,false)*F9860)</f>
        <v>0</v>
      </c>
      <c r="K9860" s="74">
        <f>VLOOKUP(E9860,DATABASE!C:Q,7,false)</f>
        <v>844838.5</v>
      </c>
      <c r="L9860" s="74">
        <v>815987.25</v>
      </c>
      <c r="M9860" s="74">
        <f t="shared" si="6"/>
        <v>820000</v>
      </c>
      <c r="N9860" s="74">
        <f t="shared" si="3"/>
        <v>200000</v>
      </c>
      <c r="O9860" s="65" t="str">
        <f>VLOOKUP(E9860,DATABASE!C:Q,8,false)</f>
        <v>IBU</v>
      </c>
      <c r="P9860" s="65">
        <f>VLOOKUP(E9860,DATABASE!C:Q,9,False)</f>
        <v>1</v>
      </c>
      <c r="Q9860" s="93" t="str">
        <f>VLOOKUP(E9860,DATABASE!C:Q,4,false)</f>
        <v>Bridgestone</v>
      </c>
      <c r="R9860" s="93" t="str">
        <f>VLOOKUP(E9860,DATABASE!C:Q,11,false)</f>
        <v>Tire</v>
      </c>
    </row>
    <row r="9861" ht="22.5" customHeight="1">
      <c r="A9861" s="49"/>
      <c r="C9861" s="400">
        <v>46246.0</v>
      </c>
      <c r="D9861" s="524">
        <v>590.0</v>
      </c>
      <c r="E9861" s="544" t="s">
        <v>268</v>
      </c>
      <c r="F9861" s="387">
        <v>2.0</v>
      </c>
      <c r="G9861" s="140">
        <v>720000.0</v>
      </c>
      <c r="H9861" s="74"/>
      <c r="I9861" s="74">
        <f t="shared" si="7"/>
        <v>1440000</v>
      </c>
      <c r="J9861" s="74">
        <f>IF(E9861="SERVICE",I9861-(I9861*50%),Vlookup(E9861,DATABASE!C:Q,10,false)*F9861)</f>
        <v>0</v>
      </c>
      <c r="K9861" s="74">
        <f>VLOOKUP(E9861,DATABASE!C:Q,7,false)</f>
        <v>653000</v>
      </c>
      <c r="L9861" s="74">
        <v>634500.0</v>
      </c>
      <c r="M9861" s="74">
        <f t="shared" si="6"/>
        <v>635000</v>
      </c>
      <c r="N9861" s="74">
        <f t="shared" si="3"/>
        <v>170000</v>
      </c>
      <c r="O9861" s="65" t="str">
        <f>VLOOKUP(E9861,DATABASE!C:Q,8,false)</f>
        <v>IBU</v>
      </c>
      <c r="P9861" s="65">
        <f>VLOOKUP(E9861,DATABASE!C:Q,9,False)</f>
        <v>1</v>
      </c>
      <c r="Q9861" s="93" t="str">
        <f>VLOOKUP(E9861,DATABASE!C:Q,4,false)</f>
        <v>Dunlop</v>
      </c>
      <c r="R9861" s="93" t="str">
        <f>VLOOKUP(E9861,DATABASE!C:Q,11,false)</f>
        <v>Tire</v>
      </c>
    </row>
    <row r="9862" ht="22.5" customHeight="1">
      <c r="A9862" s="49"/>
      <c r="C9862" s="400">
        <v>46246.0</v>
      </c>
      <c r="D9862" s="524">
        <v>591.0</v>
      </c>
      <c r="E9862" s="544" t="s">
        <v>262</v>
      </c>
      <c r="F9862" s="387">
        <v>1.0</v>
      </c>
      <c r="G9862" s="140">
        <v>120000.0</v>
      </c>
      <c r="H9862" s="74"/>
      <c r="I9862" s="74">
        <f t="shared" si="7"/>
        <v>120000</v>
      </c>
      <c r="J9862" s="74">
        <f>IF(E9862="SERVICE",I9862-(I9862*50%),Vlookup(E9862,DATABASE!C:Q,10,false)*F9862)</f>
        <v>5000</v>
      </c>
      <c r="K9862" s="74">
        <f>VLOOKUP(E9862,DATABASE!C:Q,7,false)</f>
        <v>0</v>
      </c>
      <c r="L9862" s="74">
        <v>0.0</v>
      </c>
      <c r="M9862" s="74">
        <f t="shared" si="6"/>
        <v>0</v>
      </c>
      <c r="N9862" s="74">
        <f t="shared" si="3"/>
        <v>115000</v>
      </c>
      <c r="O9862" s="65" t="str">
        <f>VLOOKUP(E9862,DATABASE!C:Q,8,false)</f>
        <v>IBU</v>
      </c>
      <c r="P9862" s="65">
        <f>VLOOKUP(E9862,DATABASE!C:Q,9,False)</f>
        <v>0</v>
      </c>
      <c r="Q9862" s="93" t="str">
        <f>VLOOKUP(E9862,DATABASE!C:Q,4,false)</f>
        <v>SPOORING SS/CARRY LOS BAK</v>
      </c>
      <c r="R9862" s="93" t="str">
        <f>VLOOKUP(E9862,DATABASE!C:Q,11,false)</f>
        <v>SERVICE</v>
      </c>
    </row>
    <row r="9863" ht="22.5" customHeight="1">
      <c r="A9863" s="49"/>
      <c r="C9863" s="400">
        <v>46246.0</v>
      </c>
      <c r="D9863" s="524">
        <v>591.0</v>
      </c>
      <c r="E9863" s="544" t="s">
        <v>2636</v>
      </c>
      <c r="F9863" s="387">
        <v>2.0</v>
      </c>
      <c r="G9863" s="140">
        <v>50000.0</v>
      </c>
      <c r="H9863" s="74"/>
      <c r="I9863" s="74">
        <f t="shared" si="7"/>
        <v>100000</v>
      </c>
      <c r="J9863" s="74">
        <f>IF(E9863="SERVICE",I9863-(I9863*50%),Vlookup(E9863,DATABASE!C:Q,10,false)*F9863)</f>
        <v>0</v>
      </c>
      <c r="K9863" s="74">
        <f>VLOOKUP(E9863,DATABASE!C:Q,7,false)</f>
        <v>27375</v>
      </c>
      <c r="L9863" s="74">
        <v>27375.0</v>
      </c>
      <c r="M9863" s="74">
        <f t="shared" si="6"/>
        <v>30000</v>
      </c>
      <c r="N9863" s="74">
        <f t="shared" si="3"/>
        <v>40000</v>
      </c>
      <c r="O9863" s="65" t="str">
        <f>VLOOKUP(E9863,DATABASE!C:Q,8,false)</f>
        <v>NON VPT</v>
      </c>
      <c r="P9863" s="65">
        <f>VLOOKUP(E9863,DATABASE!C:Q,9,False)</f>
        <v>0</v>
      </c>
      <c r="Q9863" s="93" t="str">
        <f>VLOOKUP(E9863,DATABASE!C:Q,4,false)</f>
        <v>JF</v>
      </c>
      <c r="R9863" s="93" t="str">
        <f>VLOOKUP(E9863,DATABASE!C:Q,11,false)</f>
        <v>COMPLEMENTARY</v>
      </c>
    </row>
    <row r="9864" ht="22.5" customHeight="1">
      <c r="A9864" s="49"/>
      <c r="C9864" s="400">
        <v>46246.0</v>
      </c>
      <c r="D9864" s="524">
        <v>591.0</v>
      </c>
      <c r="E9864" s="544" t="s">
        <v>251</v>
      </c>
      <c r="F9864" s="387">
        <v>1.0</v>
      </c>
      <c r="G9864" s="140">
        <v>350000.0</v>
      </c>
      <c r="H9864" s="140">
        <v>230000.0</v>
      </c>
      <c r="I9864" s="74">
        <f t="shared" si="7"/>
        <v>120000</v>
      </c>
      <c r="J9864" s="74">
        <f>IF(E9864="SERVICE",I9864-(I9864*50%),Vlookup(E9864,DATABASE!C:Q,10,false)*F9864)</f>
        <v>60000</v>
      </c>
      <c r="K9864" s="74">
        <f>VLOOKUP(E9864,DATABASE!C:Q,7,false)</f>
        <v>0</v>
      </c>
      <c r="L9864" s="74">
        <v>0.0</v>
      </c>
      <c r="M9864" s="74">
        <f t="shared" si="6"/>
        <v>0</v>
      </c>
      <c r="N9864" s="74">
        <f t="shared" si="3"/>
        <v>60000</v>
      </c>
      <c r="O9864" s="65" t="str">
        <f>VLOOKUP(E9864,DATABASE!C:Q,8,false)</f>
        <v>IBU</v>
      </c>
      <c r="P9864" s="65">
        <f>VLOOKUP(E9864,DATABASE!C:Q,9,False)</f>
        <v>0</v>
      </c>
      <c r="Q9864" s="93" t="str">
        <f>VLOOKUP(E9864,DATABASE!C:Q,4,false)</f>
        <v>SERVICE</v>
      </c>
      <c r="R9864" s="93" t="str">
        <f>VLOOKUP(E9864,DATABASE!C:Q,11,false)</f>
        <v>SERVICE</v>
      </c>
    </row>
    <row r="9865" ht="22.5" customHeight="1">
      <c r="A9865" s="49"/>
      <c r="C9865" s="400">
        <v>46246.0</v>
      </c>
      <c r="D9865" s="524">
        <v>591.0</v>
      </c>
      <c r="E9865" s="544" t="s">
        <v>251</v>
      </c>
      <c r="F9865" s="387">
        <v>1.0</v>
      </c>
      <c r="G9865" s="140">
        <v>350000.0</v>
      </c>
      <c r="H9865" s="140">
        <v>270000.0</v>
      </c>
      <c r="I9865" s="74">
        <f t="shared" si="7"/>
        <v>80000</v>
      </c>
      <c r="J9865" s="74">
        <f>IF(E9865="SERVICE",I9865-(I9865*50%),Vlookup(E9865,DATABASE!C:Q,10,false)*F9865)</f>
        <v>40000</v>
      </c>
      <c r="K9865" s="74">
        <f>VLOOKUP(E9865,DATABASE!C:Q,7,false)</f>
        <v>0</v>
      </c>
      <c r="L9865" s="74">
        <v>0.0</v>
      </c>
      <c r="M9865" s="74">
        <f t="shared" si="6"/>
        <v>0</v>
      </c>
      <c r="N9865" s="74">
        <f t="shared" si="3"/>
        <v>40000</v>
      </c>
      <c r="O9865" s="65" t="str">
        <f>VLOOKUP(E9865,DATABASE!C:Q,8,false)</f>
        <v>IBU</v>
      </c>
      <c r="P9865" s="65">
        <f>VLOOKUP(E9865,DATABASE!C:Q,9,False)</f>
        <v>0</v>
      </c>
      <c r="Q9865" s="93" t="str">
        <f>VLOOKUP(E9865,DATABASE!C:Q,4,false)</f>
        <v>SERVICE</v>
      </c>
      <c r="R9865" s="93" t="str">
        <f>VLOOKUP(E9865,DATABASE!C:Q,11,false)</f>
        <v>SERVICE</v>
      </c>
    </row>
    <row r="9866" ht="22.5" customHeight="1">
      <c r="A9866" s="49"/>
      <c r="C9866" s="400">
        <v>46246.0</v>
      </c>
      <c r="D9866" s="524">
        <v>592.0</v>
      </c>
      <c r="E9866" s="544" t="s">
        <v>276</v>
      </c>
      <c r="F9866" s="387">
        <v>1.0</v>
      </c>
      <c r="G9866" s="140">
        <v>720000.0</v>
      </c>
      <c r="H9866" s="140">
        <v>10000.0</v>
      </c>
      <c r="I9866" s="74">
        <f t="shared" si="7"/>
        <v>710000</v>
      </c>
      <c r="J9866" s="74">
        <f>IF(E9866="SERVICE",I9866-(I9866*50%),Vlookup(E9866,DATABASE!C:Q,10,false)*F9866)</f>
        <v>0</v>
      </c>
      <c r="K9866" s="74">
        <f>VLOOKUP(E9866,DATABASE!C:Q,7,false)</f>
        <v>620000</v>
      </c>
      <c r="L9866" s="74">
        <v>620000.0</v>
      </c>
      <c r="M9866" s="74">
        <f t="shared" si="6"/>
        <v>620000</v>
      </c>
      <c r="N9866" s="74">
        <f t="shared" si="3"/>
        <v>90000</v>
      </c>
      <c r="O9866" s="65" t="str">
        <f>VLOOKUP(E9866,DATABASE!C:Q,8,false)</f>
        <v>IBU</v>
      </c>
      <c r="P9866" s="65">
        <f>VLOOKUP(E9866,DATABASE!C:Q,9,False)</f>
        <v>1</v>
      </c>
      <c r="Q9866" s="93" t="str">
        <f>VLOOKUP(E9866,DATABASE!C:Q,4,false)</f>
        <v>Dunlop</v>
      </c>
      <c r="R9866" s="93" t="str">
        <f>VLOOKUP(E9866,DATABASE!C:Q,11,false)</f>
        <v>Tire</v>
      </c>
    </row>
    <row r="9867" ht="22.5" customHeight="1">
      <c r="A9867" s="49"/>
      <c r="C9867" s="400">
        <v>46246.0</v>
      </c>
      <c r="D9867" s="524">
        <v>593.0</v>
      </c>
      <c r="E9867" s="544" t="s">
        <v>262</v>
      </c>
      <c r="F9867" s="387">
        <v>1.0</v>
      </c>
      <c r="G9867" s="140">
        <v>100000.0</v>
      </c>
      <c r="H9867" s="74"/>
      <c r="I9867" s="74">
        <f t="shared" si="7"/>
        <v>100000</v>
      </c>
      <c r="J9867" s="74">
        <f>IF(E9867="SERVICE",I9867-(I9867*50%),Vlookup(E9867,DATABASE!C:Q,10,false)*F9867)</f>
        <v>5000</v>
      </c>
      <c r="K9867" s="74">
        <f>VLOOKUP(E9867,DATABASE!C:Q,7,false)</f>
        <v>0</v>
      </c>
      <c r="L9867" s="74">
        <v>0.0</v>
      </c>
      <c r="M9867" s="74">
        <f t="shared" si="6"/>
        <v>0</v>
      </c>
      <c r="N9867" s="74">
        <f t="shared" si="3"/>
        <v>95000</v>
      </c>
      <c r="O9867" s="65" t="str">
        <f>VLOOKUP(E9867,DATABASE!C:Q,8,false)</f>
        <v>IBU</v>
      </c>
      <c r="P9867" s="65">
        <f>VLOOKUP(E9867,DATABASE!C:Q,9,False)</f>
        <v>0</v>
      </c>
      <c r="Q9867" s="93" t="str">
        <f>VLOOKUP(E9867,DATABASE!C:Q,4,false)</f>
        <v>SPOORING SS/CARRY LOS BAK</v>
      </c>
      <c r="R9867" s="93" t="str">
        <f>VLOOKUP(E9867,DATABASE!C:Q,11,false)</f>
        <v>SERVICE</v>
      </c>
    </row>
    <row r="9868" ht="22.5" customHeight="1">
      <c r="A9868" s="49"/>
      <c r="C9868" s="400">
        <v>46246.0</v>
      </c>
      <c r="D9868" s="524">
        <v>593.0</v>
      </c>
      <c r="E9868" s="544" t="s">
        <v>251</v>
      </c>
      <c r="F9868" s="387">
        <v>1.0</v>
      </c>
      <c r="G9868" s="140">
        <v>350000.0</v>
      </c>
      <c r="H9868" s="140">
        <v>200000.0</v>
      </c>
      <c r="I9868" s="74">
        <f t="shared" si="7"/>
        <v>150000</v>
      </c>
      <c r="J9868" s="74">
        <f>IF(E9868="SERVICE",I9868-(I9868*50%),Vlookup(E9868,DATABASE!C:Q,10,false)*F9868)</f>
        <v>75000</v>
      </c>
      <c r="K9868" s="74">
        <f>VLOOKUP(E9868,DATABASE!C:Q,7,false)</f>
        <v>0</v>
      </c>
      <c r="L9868" s="74">
        <v>0.0</v>
      </c>
      <c r="M9868" s="74">
        <f t="shared" si="6"/>
        <v>0</v>
      </c>
      <c r="N9868" s="74">
        <f t="shared" si="3"/>
        <v>75000</v>
      </c>
      <c r="O9868" s="65" t="str">
        <f>VLOOKUP(E9868,DATABASE!C:Q,8,false)</f>
        <v>IBU</v>
      </c>
      <c r="P9868" s="65">
        <f>VLOOKUP(E9868,DATABASE!C:Q,9,False)</f>
        <v>0</v>
      </c>
      <c r="Q9868" s="93" t="str">
        <f>VLOOKUP(E9868,DATABASE!C:Q,4,false)</f>
        <v>SERVICE</v>
      </c>
      <c r="R9868" s="93" t="str">
        <f>VLOOKUP(E9868,DATABASE!C:Q,11,false)</f>
        <v>SERVICE</v>
      </c>
    </row>
    <row r="9869" ht="22.5" customHeight="1">
      <c r="A9869" s="49"/>
      <c r="C9869" s="400">
        <v>46246.0</v>
      </c>
      <c r="D9869" s="524">
        <v>596.0</v>
      </c>
      <c r="E9869" s="544" t="s">
        <v>268</v>
      </c>
      <c r="F9869" s="387">
        <v>2.0</v>
      </c>
      <c r="G9869" s="140">
        <v>720000.0</v>
      </c>
      <c r="H9869" s="74"/>
      <c r="I9869" s="74">
        <f t="shared" si="7"/>
        <v>1440000</v>
      </c>
      <c r="J9869" s="74">
        <f>IF(E9869="SERVICE",I9869-(I9869*50%),Vlookup(E9869,DATABASE!C:Q,10,false)*F9869)</f>
        <v>0</v>
      </c>
      <c r="K9869" s="74">
        <f>VLOOKUP(E9869,DATABASE!C:Q,7,false)</f>
        <v>653000</v>
      </c>
      <c r="L9869" s="74">
        <v>634500.0</v>
      </c>
      <c r="M9869" s="74">
        <f t="shared" si="6"/>
        <v>635000</v>
      </c>
      <c r="N9869" s="74">
        <f t="shared" si="3"/>
        <v>170000</v>
      </c>
      <c r="O9869" s="65" t="str">
        <f>VLOOKUP(E9869,DATABASE!C:Q,8,false)</f>
        <v>IBU</v>
      </c>
      <c r="P9869" s="65">
        <f>VLOOKUP(E9869,DATABASE!C:Q,9,False)</f>
        <v>1</v>
      </c>
      <c r="Q9869" s="93" t="str">
        <f>VLOOKUP(E9869,DATABASE!C:Q,4,false)</f>
        <v>Dunlop</v>
      </c>
      <c r="R9869" s="93" t="str">
        <f>VLOOKUP(E9869,DATABASE!C:Q,11,false)</f>
        <v>Tire</v>
      </c>
    </row>
    <row r="9870" ht="22.5" customHeight="1">
      <c r="A9870" s="49"/>
      <c r="C9870" s="400">
        <v>46246.0</v>
      </c>
      <c r="D9870" s="524">
        <v>597.0</v>
      </c>
      <c r="E9870" s="544" t="s">
        <v>695</v>
      </c>
      <c r="F9870" s="387">
        <v>2.0</v>
      </c>
      <c r="G9870" s="140">
        <v>675000.0</v>
      </c>
      <c r="H9870" s="74"/>
      <c r="I9870" s="74">
        <f t="shared" si="7"/>
        <v>1350000</v>
      </c>
      <c r="J9870" s="74">
        <f>IF(E9870="SERVICE",I9870-(I9870*50%),Vlookup(E9870,DATABASE!C:Q,10,false)*F9870)</f>
        <v>0</v>
      </c>
      <c r="K9870" s="74">
        <f>VLOOKUP(E9870,DATABASE!C:Q,7,false)</f>
        <v>582000</v>
      </c>
      <c r="L9870" s="74">
        <v>582000.0</v>
      </c>
      <c r="M9870" s="74">
        <f t="shared" si="6"/>
        <v>585000</v>
      </c>
      <c r="N9870" s="74">
        <f t="shared" si="3"/>
        <v>180000</v>
      </c>
      <c r="O9870" s="65" t="str">
        <f>VLOOKUP(E9870,DATABASE!C:Q,8,false)</f>
        <v>IBU</v>
      </c>
      <c r="P9870" s="65">
        <f>VLOOKUP(E9870,DATABASE!C:Q,9,False)</f>
        <v>1</v>
      </c>
      <c r="Q9870" s="93" t="str">
        <f>VLOOKUP(E9870,DATABASE!C:Q,4,false)</f>
        <v>Dunlop</v>
      </c>
      <c r="R9870" s="93" t="str">
        <f>VLOOKUP(E9870,DATABASE!C:Q,11,false)</f>
        <v>Tire</v>
      </c>
    </row>
    <row r="9871" ht="22.5" customHeight="1">
      <c r="A9871" s="49"/>
      <c r="C9871" s="400">
        <v>46246.0</v>
      </c>
      <c r="D9871" s="69">
        <v>600.0</v>
      </c>
      <c r="E9871" s="544" t="s">
        <v>268</v>
      </c>
      <c r="F9871" s="387">
        <v>2.0</v>
      </c>
      <c r="G9871" s="140">
        <v>720000.0</v>
      </c>
      <c r="H9871" s="74"/>
      <c r="I9871" s="74">
        <f t="shared" si="7"/>
        <v>1440000</v>
      </c>
      <c r="J9871" s="74">
        <f>IF(E9871="SERVICE",I9871-(I9871*50%),Vlookup(E9871,DATABASE!C:Q,10,false)*F9871)</f>
        <v>0</v>
      </c>
      <c r="K9871" s="74">
        <f>VLOOKUP(E9871,DATABASE!C:Q,7,false)</f>
        <v>653000</v>
      </c>
      <c r="L9871" s="74">
        <v>634500.0</v>
      </c>
      <c r="M9871" s="74">
        <f t="shared" si="6"/>
        <v>635000</v>
      </c>
      <c r="N9871" s="74">
        <f t="shared" si="3"/>
        <v>170000</v>
      </c>
      <c r="O9871" s="65" t="str">
        <f>VLOOKUP(E9871,DATABASE!C:Q,8,false)</f>
        <v>IBU</v>
      </c>
      <c r="P9871" s="65">
        <f>VLOOKUP(E9871,DATABASE!C:Q,9,False)</f>
        <v>1</v>
      </c>
      <c r="Q9871" s="93" t="str">
        <f>VLOOKUP(E9871,DATABASE!C:Q,4,false)</f>
        <v>Dunlop</v>
      </c>
      <c r="R9871" s="93" t="str">
        <f>VLOOKUP(E9871,DATABASE!C:Q,11,false)</f>
        <v>Tire</v>
      </c>
    </row>
    <row r="9872" ht="22.5" customHeight="1">
      <c r="A9872" s="49"/>
      <c r="C9872" s="400">
        <v>46246.0</v>
      </c>
      <c r="D9872" s="69">
        <v>601.0</v>
      </c>
      <c r="E9872" s="544" t="s">
        <v>268</v>
      </c>
      <c r="F9872" s="387">
        <v>4.0</v>
      </c>
      <c r="G9872" s="140">
        <v>720000.0</v>
      </c>
      <c r="H9872" s="74"/>
      <c r="I9872" s="74">
        <f t="shared" si="7"/>
        <v>2880000</v>
      </c>
      <c r="J9872" s="74">
        <f>IF(E9872="SERVICE",I9872-(I9872*50%),Vlookup(E9872,DATABASE!C:Q,10,false)*F9872)</f>
        <v>0</v>
      </c>
      <c r="K9872" s="74">
        <f>VLOOKUP(E9872,DATABASE!C:Q,7,false)</f>
        <v>653000</v>
      </c>
      <c r="L9872" s="74">
        <v>634500.0</v>
      </c>
      <c r="M9872" s="74">
        <f t="shared" si="6"/>
        <v>635000</v>
      </c>
      <c r="N9872" s="74">
        <f t="shared" si="3"/>
        <v>340000</v>
      </c>
      <c r="O9872" s="65" t="str">
        <f>VLOOKUP(E9872,DATABASE!C:Q,8,false)</f>
        <v>IBU</v>
      </c>
      <c r="P9872" s="65">
        <f>VLOOKUP(E9872,DATABASE!C:Q,9,False)</f>
        <v>1</v>
      </c>
      <c r="Q9872" s="93" t="str">
        <f>VLOOKUP(E9872,DATABASE!C:Q,4,false)</f>
        <v>Dunlop</v>
      </c>
      <c r="R9872" s="93" t="str">
        <f>VLOOKUP(E9872,DATABASE!C:Q,11,false)</f>
        <v>Tire</v>
      </c>
    </row>
    <row r="9873" ht="22.5" customHeight="1">
      <c r="A9873" s="49"/>
      <c r="C9873" s="400">
        <v>46246.0</v>
      </c>
      <c r="D9873" s="69">
        <v>601.0</v>
      </c>
      <c r="E9873" s="544" t="s">
        <v>262</v>
      </c>
      <c r="F9873" s="387">
        <v>1.0</v>
      </c>
      <c r="G9873" s="140">
        <v>100000.0</v>
      </c>
      <c r="H9873" s="140">
        <v>0.0</v>
      </c>
      <c r="I9873" s="74">
        <f t="shared" si="7"/>
        <v>100000</v>
      </c>
      <c r="J9873" s="74">
        <f>IF(E9873="SERVICE",I9873-(I9873*50%),Vlookup(E9873,DATABASE!C:Q,10,false)*F9873)</f>
        <v>5000</v>
      </c>
      <c r="K9873" s="74">
        <f>VLOOKUP(E9873,DATABASE!C:Q,7,false)</f>
        <v>0</v>
      </c>
      <c r="L9873" s="74">
        <v>0.0</v>
      </c>
      <c r="M9873" s="74">
        <f t="shared" si="6"/>
        <v>0</v>
      </c>
      <c r="N9873" s="74">
        <f t="shared" si="3"/>
        <v>95000</v>
      </c>
      <c r="O9873" s="65" t="str">
        <f>VLOOKUP(E9873,DATABASE!C:Q,8,false)</f>
        <v>IBU</v>
      </c>
      <c r="P9873" s="65">
        <f>VLOOKUP(E9873,DATABASE!C:Q,9,False)</f>
        <v>0</v>
      </c>
      <c r="Q9873" s="93" t="str">
        <f>VLOOKUP(E9873,DATABASE!C:Q,4,false)</f>
        <v>SPOORING SS/CARRY LOS BAK</v>
      </c>
      <c r="R9873" s="93" t="str">
        <f>VLOOKUP(E9873,DATABASE!C:Q,11,false)</f>
        <v>SERVICE</v>
      </c>
    </row>
    <row r="9874" ht="22.5" customHeight="1">
      <c r="A9874" s="49"/>
      <c r="C9874" s="400">
        <v>46247.0</v>
      </c>
      <c r="D9874" s="524">
        <v>602.0</v>
      </c>
      <c r="E9874" s="544" t="s">
        <v>695</v>
      </c>
      <c r="F9874" s="387">
        <v>2.0</v>
      </c>
      <c r="G9874" s="140">
        <v>675000.0</v>
      </c>
      <c r="H9874" s="74"/>
      <c r="I9874" s="74">
        <f t="shared" si="7"/>
        <v>1350000</v>
      </c>
      <c r="J9874" s="74">
        <f>IF(E9874="SERVICE",I9874-(I9874*50%),Vlookup(E9874,DATABASE!C:Q,10,false)*F9874)</f>
        <v>0</v>
      </c>
      <c r="K9874" s="74">
        <f>VLOOKUP(E9874,DATABASE!C:Q,7,false)</f>
        <v>582000</v>
      </c>
      <c r="L9874" s="74">
        <v>582000.0</v>
      </c>
      <c r="M9874" s="74">
        <f t="shared" si="6"/>
        <v>585000</v>
      </c>
      <c r="N9874" s="74">
        <f t="shared" si="3"/>
        <v>180000</v>
      </c>
      <c r="O9874" s="65" t="str">
        <f>VLOOKUP(E9874,DATABASE!C:Q,8,false)</f>
        <v>IBU</v>
      </c>
      <c r="P9874" s="65">
        <f>VLOOKUP(E9874,DATABASE!C:Q,9,False)</f>
        <v>1</v>
      </c>
      <c r="Q9874" s="93" t="str">
        <f>VLOOKUP(E9874,DATABASE!C:Q,4,false)</f>
        <v>Dunlop</v>
      </c>
      <c r="R9874" s="93" t="str">
        <f>VLOOKUP(E9874,DATABASE!C:Q,11,false)</f>
        <v>Tire</v>
      </c>
    </row>
    <row r="9875" ht="22.5" customHeight="1">
      <c r="A9875" s="49"/>
      <c r="C9875" s="400">
        <v>46247.0</v>
      </c>
      <c r="D9875" s="524">
        <v>603.0</v>
      </c>
      <c r="E9875" s="544" t="s">
        <v>275</v>
      </c>
      <c r="F9875" s="387">
        <v>1.0</v>
      </c>
      <c r="G9875" s="140">
        <v>850000.0</v>
      </c>
      <c r="H9875" s="74"/>
      <c r="I9875" s="74">
        <f t="shared" si="7"/>
        <v>850000</v>
      </c>
      <c r="J9875" s="74">
        <f>IF(E9875="SERVICE",I9875-(I9875*50%),Vlookup(E9875,DATABASE!C:Q,10,false)*F9875)</f>
        <v>0</v>
      </c>
      <c r="K9875" s="74">
        <f>VLOOKUP(E9875,DATABASE!C:Q,7,false)</f>
        <v>782000</v>
      </c>
      <c r="L9875" s="74">
        <v>759500.0</v>
      </c>
      <c r="M9875" s="74">
        <f t="shared" si="6"/>
        <v>760000</v>
      </c>
      <c r="N9875" s="74">
        <f t="shared" si="3"/>
        <v>90000</v>
      </c>
      <c r="O9875" s="65" t="str">
        <f>VLOOKUP(E9875,DATABASE!C:Q,8,false)</f>
        <v>IBU</v>
      </c>
      <c r="P9875" s="65">
        <f>VLOOKUP(E9875,DATABASE!C:Q,9,False)</f>
        <v>1</v>
      </c>
      <c r="Q9875" s="93" t="str">
        <f>VLOOKUP(E9875,DATABASE!C:Q,4,false)</f>
        <v>Dunlop</v>
      </c>
      <c r="R9875" s="93" t="str">
        <f>VLOOKUP(E9875,DATABASE!C:Q,11,false)</f>
        <v>Tire</v>
      </c>
    </row>
    <row r="9876" ht="22.5" customHeight="1">
      <c r="A9876" s="49"/>
      <c r="C9876" s="400">
        <v>46247.0</v>
      </c>
      <c r="D9876" s="524">
        <v>604.0</v>
      </c>
      <c r="E9876" s="544" t="s">
        <v>940</v>
      </c>
      <c r="F9876" s="387">
        <v>4.0</v>
      </c>
      <c r="G9876" s="140">
        <v>820000.0</v>
      </c>
      <c r="H9876" s="140"/>
      <c r="I9876" s="74">
        <f t="shared" si="7"/>
        <v>3280000</v>
      </c>
      <c r="J9876" s="74">
        <f>IF(E9876="SERVICE",I9876-(I9876*50%),Vlookup(E9876,DATABASE!C:Q,10,false)*F9876)</f>
        <v>0</v>
      </c>
      <c r="K9876" s="74">
        <f>VLOOKUP(E9876,DATABASE!C:Q,7,false)</f>
        <v>716500</v>
      </c>
      <c r="L9876" s="74">
        <v>716500.0</v>
      </c>
      <c r="M9876" s="74">
        <f t="shared" si="6"/>
        <v>720000</v>
      </c>
      <c r="N9876" s="74">
        <f t="shared" si="3"/>
        <v>400000</v>
      </c>
      <c r="O9876" s="65" t="str">
        <f>VLOOKUP(E9876,DATABASE!C:Q,8,false)</f>
        <v>IBU</v>
      </c>
      <c r="P9876" s="65">
        <f>VLOOKUP(E9876,DATABASE!C:Q,9,False)</f>
        <v>1</v>
      </c>
      <c r="Q9876" s="93" t="str">
        <f>VLOOKUP(E9876,DATABASE!C:Q,4,false)</f>
        <v>Dunlop</v>
      </c>
      <c r="R9876" s="93" t="str">
        <f>VLOOKUP(E9876,DATABASE!C:Q,11,false)</f>
        <v>Tire</v>
      </c>
    </row>
    <row r="9877" ht="22.5" customHeight="1">
      <c r="A9877" s="49"/>
      <c r="C9877" s="400">
        <v>46247.0</v>
      </c>
      <c r="D9877" s="524">
        <v>604.0</v>
      </c>
      <c r="E9877" s="544" t="s">
        <v>299</v>
      </c>
      <c r="F9877" s="387">
        <v>2.0</v>
      </c>
      <c r="G9877" s="140">
        <v>30000.0</v>
      </c>
      <c r="H9877" s="74"/>
      <c r="I9877" s="74">
        <f t="shared" si="7"/>
        <v>60000</v>
      </c>
      <c r="J9877" s="74">
        <f>IF(E9877="SERVICE",I9877-(I9877*50%),Vlookup(E9877,DATABASE!C:Q,10,false)*F9877)</f>
        <v>0</v>
      </c>
      <c r="K9877" s="74">
        <f>VLOOKUP(E9877,DATABASE!C:Q,7,false)</f>
        <v>10000</v>
      </c>
      <c r="L9877" s="74">
        <v>10000.0</v>
      </c>
      <c r="M9877" s="74">
        <f t="shared" si="6"/>
        <v>10000</v>
      </c>
      <c r="N9877" s="74">
        <f t="shared" si="3"/>
        <v>40000</v>
      </c>
      <c r="O9877" s="65" t="str">
        <f>VLOOKUP(E9877,DATABASE!C:Q,8,false)</f>
        <v>BIAN</v>
      </c>
      <c r="P9877" s="65">
        <f>VLOOKUP(E9877,DATABASE!C:Q,9,False)</f>
        <v>0</v>
      </c>
      <c r="Q9877" s="93" t="str">
        <f>VLOOKUP(E9877,DATABASE!C:Q,4,false)</f>
        <v>Balancing</v>
      </c>
      <c r="R9877" s="93" t="str">
        <f>VLOOKUP(E9877,DATABASE!C:Q,11,false)</f>
        <v>COMPLEMENTARY</v>
      </c>
    </row>
    <row r="9878" ht="22.5" customHeight="1">
      <c r="A9878" s="49"/>
      <c r="C9878" s="400">
        <v>46247.0</v>
      </c>
      <c r="D9878" s="524">
        <v>604.0</v>
      </c>
      <c r="E9878" s="544" t="s">
        <v>256</v>
      </c>
      <c r="F9878" s="387">
        <v>1.0</v>
      </c>
      <c r="G9878" s="140">
        <v>175000.0</v>
      </c>
      <c r="H9878" s="140">
        <v>55000.0</v>
      </c>
      <c r="I9878" s="74">
        <f t="shared" si="7"/>
        <v>120000</v>
      </c>
      <c r="J9878" s="74">
        <f>IF(E9878="SERVICE",I9878-(I9878*50%),Vlookup(E9878,DATABASE!C:Q,10,false)*F9878)</f>
        <v>10000</v>
      </c>
      <c r="K9878" s="74">
        <f>VLOOKUP(E9878,DATABASE!C:Q,7,false)</f>
        <v>0</v>
      </c>
      <c r="L9878" s="74">
        <v>0.0</v>
      </c>
      <c r="M9878" s="74">
        <f t="shared" si="6"/>
        <v>0</v>
      </c>
      <c r="N9878" s="74">
        <f t="shared" si="3"/>
        <v>110000</v>
      </c>
      <c r="O9878" s="65" t="str">
        <f>VLOOKUP(E9878,DATABASE!C:Q,8,false)</f>
        <v>IBU</v>
      </c>
      <c r="P9878" s="65">
        <f>VLOOKUP(E9878,DATABASE!C:Q,9,False)</f>
        <v>0</v>
      </c>
      <c r="Q9878" s="93" t="str">
        <f>VLOOKUP(E9878,DATABASE!C:Q,4,false)</f>
        <v>SPOORING</v>
      </c>
      <c r="R9878" s="93" t="str">
        <f>VLOOKUP(E9878,DATABASE!C:Q,11,false)</f>
        <v>SERVICE</v>
      </c>
    </row>
    <row r="9879" ht="22.5" customHeight="1">
      <c r="A9879" s="49"/>
      <c r="C9879" s="400">
        <v>46247.0</v>
      </c>
      <c r="D9879" s="524">
        <v>604.0</v>
      </c>
      <c r="E9879" s="544" t="s">
        <v>251</v>
      </c>
      <c r="F9879" s="387">
        <v>1.0</v>
      </c>
      <c r="G9879" s="140">
        <v>350000.0</v>
      </c>
      <c r="H9879" s="140">
        <v>200000.0</v>
      </c>
      <c r="I9879" s="74">
        <f t="shared" si="7"/>
        <v>150000</v>
      </c>
      <c r="J9879" s="74">
        <f>IF(E9879="SERVICE",I9879-(I9879*50%),Vlookup(E9879,DATABASE!C:Q,10,false)*F9879)</f>
        <v>75000</v>
      </c>
      <c r="K9879" s="74">
        <f>VLOOKUP(E9879,DATABASE!C:Q,7,false)</f>
        <v>0</v>
      </c>
      <c r="L9879" s="74">
        <v>0.0</v>
      </c>
      <c r="M9879" s="74">
        <f t="shared" si="6"/>
        <v>0</v>
      </c>
      <c r="N9879" s="74">
        <f t="shared" si="3"/>
        <v>75000</v>
      </c>
      <c r="O9879" s="65" t="str">
        <f>VLOOKUP(E9879,DATABASE!C:Q,8,false)</f>
        <v>IBU</v>
      </c>
      <c r="P9879" s="65">
        <f>VLOOKUP(E9879,DATABASE!C:Q,9,False)</f>
        <v>0</v>
      </c>
      <c r="Q9879" s="93" t="str">
        <f>VLOOKUP(E9879,DATABASE!C:Q,4,false)</f>
        <v>SERVICE</v>
      </c>
      <c r="R9879" s="93" t="str">
        <f>VLOOKUP(E9879,DATABASE!C:Q,11,false)</f>
        <v>SERVICE</v>
      </c>
    </row>
    <row r="9880" ht="22.5" customHeight="1">
      <c r="A9880" s="49"/>
      <c r="C9880" s="400">
        <v>46247.0</v>
      </c>
      <c r="D9880" s="524">
        <v>605.0</v>
      </c>
      <c r="E9880" s="544" t="s">
        <v>268</v>
      </c>
      <c r="F9880" s="387">
        <v>1.0</v>
      </c>
      <c r="G9880" s="140">
        <v>720000.0</v>
      </c>
      <c r="H9880" s="74"/>
      <c r="I9880" s="74">
        <f t="shared" si="7"/>
        <v>720000</v>
      </c>
      <c r="J9880" s="74">
        <f>IF(E9880="SERVICE",I9880-(I9880*50%),Vlookup(E9880,DATABASE!C:Q,10,false)*F9880)</f>
        <v>0</v>
      </c>
      <c r="K9880" s="74">
        <f>VLOOKUP(E9880,DATABASE!C:Q,7,false)</f>
        <v>653000</v>
      </c>
      <c r="L9880" s="74">
        <v>634500.0</v>
      </c>
      <c r="M9880" s="74">
        <f t="shared" si="6"/>
        <v>635000</v>
      </c>
      <c r="N9880" s="74">
        <f t="shared" si="3"/>
        <v>85000</v>
      </c>
      <c r="O9880" s="65" t="str">
        <f>VLOOKUP(E9880,DATABASE!C:Q,8,false)</f>
        <v>IBU</v>
      </c>
      <c r="P9880" s="65">
        <f>VLOOKUP(E9880,DATABASE!C:Q,9,False)</f>
        <v>1</v>
      </c>
      <c r="Q9880" s="93" t="str">
        <f>VLOOKUP(E9880,DATABASE!C:Q,4,false)</f>
        <v>Dunlop</v>
      </c>
      <c r="R9880" s="93" t="str">
        <f>VLOOKUP(E9880,DATABASE!C:Q,11,false)</f>
        <v>Tire</v>
      </c>
    </row>
    <row r="9881" ht="22.5" customHeight="1">
      <c r="A9881" s="49"/>
      <c r="C9881" s="400">
        <v>46247.0</v>
      </c>
      <c r="D9881" s="524">
        <v>606.0</v>
      </c>
      <c r="E9881" s="544" t="s">
        <v>271</v>
      </c>
      <c r="F9881" s="387">
        <v>1.0</v>
      </c>
      <c r="G9881" s="140">
        <v>640000.0</v>
      </c>
      <c r="H9881" s="74"/>
      <c r="I9881" s="74">
        <f t="shared" si="7"/>
        <v>640000</v>
      </c>
      <c r="J9881" s="74">
        <f>IF(E9881="SERVICE",I9881-(I9881*50%),Vlookup(E9881,DATABASE!C:Q,10,false)*F9881)</f>
        <v>0</v>
      </c>
      <c r="K9881" s="74">
        <f>VLOOKUP(E9881,DATABASE!C:Q,7,false)</f>
        <v>570000</v>
      </c>
      <c r="L9881" s="74">
        <v>550000.0</v>
      </c>
      <c r="M9881" s="74">
        <f t="shared" si="6"/>
        <v>550000</v>
      </c>
      <c r="N9881" s="74">
        <f t="shared" si="3"/>
        <v>90000</v>
      </c>
      <c r="O9881" s="65" t="str">
        <f>VLOOKUP(E9881,DATABASE!C:Q,8,false)</f>
        <v>IBU</v>
      </c>
      <c r="P9881" s="65">
        <f>VLOOKUP(E9881,DATABASE!C:Q,9,False)</f>
        <v>1</v>
      </c>
      <c r="Q9881" s="93" t="str">
        <f>VLOOKUP(E9881,DATABASE!C:Q,4,false)</f>
        <v>Dunlop</v>
      </c>
      <c r="R9881" s="93" t="str">
        <f>VLOOKUP(E9881,DATABASE!C:Q,11,false)</f>
        <v>Tire</v>
      </c>
    </row>
    <row r="9882" ht="22.5" customHeight="1">
      <c r="A9882" s="49"/>
      <c r="C9882" s="400">
        <v>46247.0</v>
      </c>
      <c r="D9882" s="524">
        <v>607.0</v>
      </c>
      <c r="E9882" s="544" t="s">
        <v>262</v>
      </c>
      <c r="F9882" s="387">
        <v>1.0</v>
      </c>
      <c r="G9882" s="140">
        <v>100000.0</v>
      </c>
      <c r="H9882" s="74"/>
      <c r="I9882" s="74">
        <f t="shared" si="7"/>
        <v>100000</v>
      </c>
      <c r="J9882" s="74">
        <f>IF(E9882="SERVICE",I9882-(I9882*50%),Vlookup(E9882,DATABASE!C:Q,10,false)*F9882)</f>
        <v>5000</v>
      </c>
      <c r="K9882" s="74">
        <f>VLOOKUP(E9882,DATABASE!C:Q,7,false)</f>
        <v>0</v>
      </c>
      <c r="L9882" s="74">
        <v>0.0</v>
      </c>
      <c r="M9882" s="74">
        <f t="shared" si="6"/>
        <v>0</v>
      </c>
      <c r="N9882" s="74">
        <f t="shared" si="3"/>
        <v>95000</v>
      </c>
      <c r="O9882" s="65" t="str">
        <f>VLOOKUP(E9882,DATABASE!C:Q,8,false)</f>
        <v>IBU</v>
      </c>
      <c r="P9882" s="65">
        <f>VLOOKUP(E9882,DATABASE!C:Q,9,False)</f>
        <v>0</v>
      </c>
      <c r="Q9882" s="93" t="str">
        <f>VLOOKUP(E9882,DATABASE!C:Q,4,false)</f>
        <v>SPOORING SS/CARRY LOS BAK</v>
      </c>
      <c r="R9882" s="93" t="str">
        <f>VLOOKUP(E9882,DATABASE!C:Q,11,false)</f>
        <v>SERVICE</v>
      </c>
    </row>
    <row r="9883" ht="22.5" customHeight="1">
      <c r="A9883" s="49"/>
      <c r="C9883" s="400">
        <v>46247.0</v>
      </c>
      <c r="D9883" s="524">
        <v>607.0</v>
      </c>
      <c r="E9883" s="544" t="s">
        <v>2636</v>
      </c>
      <c r="F9883" s="387">
        <v>2.0</v>
      </c>
      <c r="G9883" s="140">
        <v>50000.0</v>
      </c>
      <c r="H9883" s="74"/>
      <c r="I9883" s="74">
        <f t="shared" si="7"/>
        <v>100000</v>
      </c>
      <c r="J9883" s="74">
        <f>IF(E9883="SERVICE",I9883-(I9883*50%),Vlookup(E9883,DATABASE!C:Q,10,false)*F9883)</f>
        <v>0</v>
      </c>
      <c r="K9883" s="74">
        <f>VLOOKUP(E9883,DATABASE!C:Q,7,false)</f>
        <v>27375</v>
      </c>
      <c r="L9883" s="74">
        <v>27375.0</v>
      </c>
      <c r="M9883" s="74">
        <f t="shared" si="6"/>
        <v>30000</v>
      </c>
      <c r="N9883" s="74">
        <f t="shared" si="3"/>
        <v>40000</v>
      </c>
      <c r="O9883" s="65" t="str">
        <f>VLOOKUP(E9883,DATABASE!C:Q,8,false)</f>
        <v>NON VPT</v>
      </c>
      <c r="P9883" s="65">
        <f>VLOOKUP(E9883,DATABASE!C:Q,9,False)</f>
        <v>0</v>
      </c>
      <c r="Q9883" s="93" t="str">
        <f>VLOOKUP(E9883,DATABASE!C:Q,4,false)</f>
        <v>JF</v>
      </c>
      <c r="R9883" s="93" t="str">
        <f>VLOOKUP(E9883,DATABASE!C:Q,11,false)</f>
        <v>COMPLEMENTARY</v>
      </c>
    </row>
    <row r="9884" ht="22.5" customHeight="1">
      <c r="A9884" s="49"/>
      <c r="C9884" s="400">
        <v>46247.0</v>
      </c>
      <c r="D9884" s="524">
        <v>607.0</v>
      </c>
      <c r="E9884" s="544" t="s">
        <v>251</v>
      </c>
      <c r="F9884" s="387">
        <v>1.0</v>
      </c>
      <c r="G9884" s="140">
        <v>350000.0</v>
      </c>
      <c r="H9884" s="140">
        <v>200000.0</v>
      </c>
      <c r="I9884" s="74">
        <f t="shared" si="7"/>
        <v>150000</v>
      </c>
      <c r="J9884" s="74">
        <f>IF(E9884="SERVICE",I9884-(I9884*50%),Vlookup(E9884,DATABASE!C:Q,10,false)*F9884)</f>
        <v>75000</v>
      </c>
      <c r="K9884" s="74">
        <f>VLOOKUP(E9884,DATABASE!C:Q,7,false)</f>
        <v>0</v>
      </c>
      <c r="L9884" s="74">
        <v>0.0</v>
      </c>
      <c r="M9884" s="74">
        <f t="shared" si="6"/>
        <v>0</v>
      </c>
      <c r="N9884" s="74">
        <f t="shared" si="3"/>
        <v>75000</v>
      </c>
      <c r="O9884" s="65" t="str">
        <f>VLOOKUP(E9884,DATABASE!C:Q,8,false)</f>
        <v>IBU</v>
      </c>
      <c r="P9884" s="65">
        <f>VLOOKUP(E9884,DATABASE!C:Q,9,False)</f>
        <v>0</v>
      </c>
      <c r="Q9884" s="93" t="str">
        <f>VLOOKUP(E9884,DATABASE!C:Q,4,false)</f>
        <v>SERVICE</v>
      </c>
      <c r="R9884" s="93" t="str">
        <f>VLOOKUP(E9884,DATABASE!C:Q,11,false)</f>
        <v>SERVICE</v>
      </c>
    </row>
    <row r="9885" ht="22.5" customHeight="1">
      <c r="A9885" s="49"/>
      <c r="C9885" s="400">
        <v>46247.0</v>
      </c>
      <c r="D9885" s="524">
        <v>608.0</v>
      </c>
      <c r="E9885" s="544" t="s">
        <v>262</v>
      </c>
      <c r="F9885" s="387">
        <v>1.0</v>
      </c>
      <c r="G9885" s="140">
        <v>130000.0</v>
      </c>
      <c r="H9885" s="74"/>
      <c r="I9885" s="74">
        <f t="shared" si="7"/>
        <v>130000</v>
      </c>
      <c r="J9885" s="74">
        <f>IF(E9885="SERVICE",I9885-(I9885*50%),Vlookup(E9885,DATABASE!C:Q,10,false)*F9885)</f>
        <v>5000</v>
      </c>
      <c r="K9885" s="74">
        <f>VLOOKUP(E9885,DATABASE!C:Q,7,false)</f>
        <v>0</v>
      </c>
      <c r="L9885" s="74">
        <v>0.0</v>
      </c>
      <c r="M9885" s="74">
        <f t="shared" si="6"/>
        <v>0</v>
      </c>
      <c r="N9885" s="74">
        <f t="shared" si="3"/>
        <v>125000</v>
      </c>
      <c r="O9885" s="65" t="str">
        <f>VLOOKUP(E9885,DATABASE!C:Q,8,false)</f>
        <v>IBU</v>
      </c>
      <c r="P9885" s="65">
        <f>VLOOKUP(E9885,DATABASE!C:Q,9,False)</f>
        <v>0</v>
      </c>
      <c r="Q9885" s="93" t="str">
        <f>VLOOKUP(E9885,DATABASE!C:Q,4,false)</f>
        <v>SPOORING SS/CARRY LOS BAK</v>
      </c>
      <c r="R9885" s="93" t="str">
        <f>VLOOKUP(E9885,DATABASE!C:Q,11,false)</f>
        <v>SERVICE</v>
      </c>
    </row>
    <row r="9886" ht="22.5" customHeight="1">
      <c r="A9886" s="49"/>
      <c r="C9886" s="400">
        <v>46247.0</v>
      </c>
      <c r="D9886" s="524">
        <v>610.0</v>
      </c>
      <c r="E9886" s="544" t="s">
        <v>256</v>
      </c>
      <c r="F9886" s="387">
        <v>1.0</v>
      </c>
      <c r="G9886" s="140">
        <v>175000.0</v>
      </c>
      <c r="H9886" s="140">
        <v>25000.0</v>
      </c>
      <c r="I9886" s="74">
        <f t="shared" si="7"/>
        <v>150000</v>
      </c>
      <c r="J9886" s="74">
        <f>IF(E9886="SERVICE",I9886-(I9886*50%),Vlookup(E9886,DATABASE!C:Q,10,false)*F9886)</f>
        <v>10000</v>
      </c>
      <c r="K9886" s="74">
        <f>VLOOKUP(E9886,DATABASE!C:Q,7,false)</f>
        <v>0</v>
      </c>
      <c r="L9886" s="74">
        <v>0.0</v>
      </c>
      <c r="M9886" s="74">
        <f t="shared" si="6"/>
        <v>0</v>
      </c>
      <c r="N9886" s="74">
        <f t="shared" si="3"/>
        <v>140000</v>
      </c>
      <c r="O9886" s="65" t="str">
        <f>VLOOKUP(E9886,DATABASE!C:Q,8,false)</f>
        <v>IBU</v>
      </c>
      <c r="P9886" s="65">
        <f>VLOOKUP(E9886,DATABASE!C:Q,9,False)</f>
        <v>0</v>
      </c>
      <c r="Q9886" s="93" t="str">
        <f>VLOOKUP(E9886,DATABASE!C:Q,4,false)</f>
        <v>SPOORING</v>
      </c>
      <c r="R9886" s="93" t="str">
        <f>VLOOKUP(E9886,DATABASE!C:Q,11,false)</f>
        <v>SERVICE</v>
      </c>
    </row>
    <row r="9887" ht="22.5" customHeight="1">
      <c r="A9887" s="49"/>
      <c r="C9887" s="400">
        <v>46247.0</v>
      </c>
      <c r="D9887" s="524">
        <v>610.0</v>
      </c>
      <c r="E9887" s="544" t="s">
        <v>299</v>
      </c>
      <c r="F9887" s="387">
        <v>2.0</v>
      </c>
      <c r="G9887" s="140">
        <v>30000.0</v>
      </c>
      <c r="H9887" s="74"/>
      <c r="I9887" s="74">
        <f t="shared" si="7"/>
        <v>60000</v>
      </c>
      <c r="J9887" s="74">
        <f>IF(E9887="SERVICE",I9887-(I9887*50%),Vlookup(E9887,DATABASE!C:Q,10,false)*F9887)</f>
        <v>0</v>
      </c>
      <c r="K9887" s="74">
        <f>VLOOKUP(E9887,DATABASE!C:Q,7,false)</f>
        <v>10000</v>
      </c>
      <c r="L9887" s="74">
        <v>10000.0</v>
      </c>
      <c r="M9887" s="74">
        <f t="shared" si="6"/>
        <v>10000</v>
      </c>
      <c r="N9887" s="74">
        <f t="shared" si="3"/>
        <v>40000</v>
      </c>
      <c r="O9887" s="65" t="str">
        <f>VLOOKUP(E9887,DATABASE!C:Q,8,false)</f>
        <v>BIAN</v>
      </c>
      <c r="P9887" s="65">
        <f>VLOOKUP(E9887,DATABASE!C:Q,9,False)</f>
        <v>0</v>
      </c>
      <c r="Q9887" s="93" t="str">
        <f>VLOOKUP(E9887,DATABASE!C:Q,4,false)</f>
        <v>Balancing</v>
      </c>
      <c r="R9887" s="93" t="str">
        <f>VLOOKUP(E9887,DATABASE!C:Q,11,false)</f>
        <v>COMPLEMENTARY</v>
      </c>
    </row>
    <row r="9888" ht="22.5" customHeight="1">
      <c r="A9888" s="49"/>
      <c r="C9888" s="400">
        <v>46247.0</v>
      </c>
      <c r="D9888" s="524">
        <v>610.0</v>
      </c>
      <c r="E9888" s="544" t="s">
        <v>301</v>
      </c>
      <c r="F9888" s="387">
        <v>1.0</v>
      </c>
      <c r="G9888" s="140">
        <v>250000.0</v>
      </c>
      <c r="H9888" s="74"/>
      <c r="I9888" s="74">
        <f t="shared" si="7"/>
        <v>250000</v>
      </c>
      <c r="J9888" s="74">
        <f>IF(E9888="SERVICE",I9888-(I9888*50%),Vlookup(E9888,DATABASE!C:Q,10,false)*F9888)</f>
        <v>75000</v>
      </c>
      <c r="K9888" s="74">
        <f>VLOOKUP(E9888,DATABASE!C:Q,7,false)</f>
        <v>75000</v>
      </c>
      <c r="L9888" s="74">
        <v>75000.0</v>
      </c>
      <c r="M9888" s="74">
        <f t="shared" si="6"/>
        <v>75000</v>
      </c>
      <c r="N9888" s="74">
        <f t="shared" si="3"/>
        <v>100000</v>
      </c>
      <c r="O9888" s="65" t="str">
        <f>VLOOKUP(E9888,DATABASE!C:Q,8,false)</f>
        <v>BIAN</v>
      </c>
      <c r="P9888" s="65">
        <f>VLOOKUP(E9888,DATABASE!C:Q,9,False)</f>
        <v>0</v>
      </c>
      <c r="Q9888" s="93" t="str">
        <f>VLOOKUP(E9888,DATABASE!C:Q,4,false)</f>
        <v>Baut Camber</v>
      </c>
      <c r="R9888" s="93" t="str">
        <f>VLOOKUP(E9888,DATABASE!C:Q,11,false)</f>
        <v>COMPLEMENTARY</v>
      </c>
    </row>
    <row r="9889" ht="22.5" customHeight="1">
      <c r="A9889" s="49"/>
      <c r="C9889" s="400">
        <v>46247.0</v>
      </c>
      <c r="D9889" s="69">
        <v>611.0</v>
      </c>
      <c r="E9889" s="544" t="s">
        <v>968</v>
      </c>
      <c r="F9889" s="387">
        <v>1.0</v>
      </c>
      <c r="G9889" s="140">
        <v>675000.0</v>
      </c>
      <c r="H9889" s="74"/>
      <c r="I9889" s="74">
        <f t="shared" si="7"/>
        <v>675000</v>
      </c>
      <c r="J9889" s="74">
        <f>IF(E9889="SERVICE",I9889-(I9889*50%),Vlookup(E9889,DATABASE!C:Q,10,false)*F9889)</f>
        <v>0</v>
      </c>
      <c r="K9889" s="74">
        <f>VLOOKUP(E9889,DATABASE!C:Q,7,false)</f>
        <v>582500</v>
      </c>
      <c r="L9889" s="74">
        <v>582500.0</v>
      </c>
      <c r="M9889" s="74">
        <f t="shared" si="6"/>
        <v>585000</v>
      </c>
      <c r="N9889" s="74">
        <f t="shared" si="3"/>
        <v>90000</v>
      </c>
      <c r="O9889" s="65" t="str">
        <f>VLOOKUP(E9889,DATABASE!C:Q,8,false)</f>
        <v>IBU</v>
      </c>
      <c r="P9889" s="65">
        <f>VLOOKUP(E9889,DATABASE!C:Q,9,False)</f>
        <v>1</v>
      </c>
      <c r="Q9889" s="93" t="str">
        <f>VLOOKUP(E9889,DATABASE!C:Q,4,false)</f>
        <v>Dunlop</v>
      </c>
      <c r="R9889" s="93" t="str">
        <f>VLOOKUP(E9889,DATABASE!C:Q,11,false)</f>
        <v>Tire</v>
      </c>
    </row>
    <row r="9890" ht="22.5" customHeight="1">
      <c r="A9890" s="49"/>
      <c r="C9890" s="400">
        <v>46247.0</v>
      </c>
      <c r="D9890" s="69">
        <v>612.0</v>
      </c>
      <c r="E9890" s="544" t="s">
        <v>275</v>
      </c>
      <c r="F9890" s="387">
        <v>2.0</v>
      </c>
      <c r="G9890" s="140">
        <v>850000.0</v>
      </c>
      <c r="H9890" s="74"/>
      <c r="I9890" s="74">
        <f t="shared" si="7"/>
        <v>1700000</v>
      </c>
      <c r="J9890" s="74">
        <f>IF(E9890="SERVICE",I9890-(I9890*50%),Vlookup(E9890,DATABASE!C:Q,10,false)*F9890)</f>
        <v>0</v>
      </c>
      <c r="K9890" s="74">
        <f>VLOOKUP(E9890,DATABASE!C:Q,7,false)</f>
        <v>782000</v>
      </c>
      <c r="L9890" s="74">
        <v>759500.0</v>
      </c>
      <c r="M9890" s="74">
        <f t="shared" si="6"/>
        <v>760000</v>
      </c>
      <c r="N9890" s="74">
        <f t="shared" si="3"/>
        <v>180000</v>
      </c>
      <c r="O9890" s="65" t="str">
        <f>VLOOKUP(E9890,DATABASE!C:Q,8,false)</f>
        <v>IBU</v>
      </c>
      <c r="P9890" s="65">
        <f>VLOOKUP(E9890,DATABASE!C:Q,9,False)</f>
        <v>1</v>
      </c>
      <c r="Q9890" s="93" t="str">
        <f>VLOOKUP(E9890,DATABASE!C:Q,4,false)</f>
        <v>Dunlop</v>
      </c>
      <c r="R9890" s="93" t="str">
        <f>VLOOKUP(E9890,DATABASE!C:Q,11,false)</f>
        <v>Tire</v>
      </c>
    </row>
    <row r="9891" ht="22.5" customHeight="1">
      <c r="A9891" s="49"/>
      <c r="C9891" s="400">
        <v>46248.0</v>
      </c>
      <c r="D9891" s="524">
        <v>613.0</v>
      </c>
      <c r="E9891" s="544" t="s">
        <v>924</v>
      </c>
      <c r="F9891" s="387">
        <v>4.0</v>
      </c>
      <c r="G9891" s="140">
        <v>1660000.0</v>
      </c>
      <c r="H9891" s="140">
        <v>25000.0</v>
      </c>
      <c r="I9891" s="74">
        <f t="shared" si="7"/>
        <v>6540000</v>
      </c>
      <c r="J9891" s="74">
        <f>IF(E9891="SERVICE",I9891-(I9891*50%),Vlookup(E9891,DATABASE!C:Q,10,false)*F9891)</f>
        <v>0</v>
      </c>
      <c r="K9891" s="74">
        <f>VLOOKUP(E9891,DATABASE!C:Q,7,false)</f>
        <v>1560000</v>
      </c>
      <c r="L9891" s="74">
        <v>1560000.0</v>
      </c>
      <c r="M9891" s="74">
        <f t="shared" si="6"/>
        <v>1560000</v>
      </c>
      <c r="N9891" s="74">
        <f t="shared" si="3"/>
        <v>300000</v>
      </c>
      <c r="O9891" s="65" t="str">
        <f>VLOOKUP(E9891,DATABASE!C:Q,8,false)</f>
        <v>BIAN</v>
      </c>
      <c r="P9891" s="65">
        <f>VLOOKUP(E9891,DATABASE!C:Q,9,False)</f>
        <v>1</v>
      </c>
      <c r="Q9891" s="93" t="str">
        <f>VLOOKUP(E9891,DATABASE!C:Q,4,false)</f>
        <v>TIRON</v>
      </c>
      <c r="R9891" s="93" t="str">
        <f>VLOOKUP(E9891,DATABASE!C:Q,11,false)</f>
        <v>Tire</v>
      </c>
    </row>
    <row r="9892" ht="22.5" customHeight="1">
      <c r="A9892" s="49"/>
      <c r="C9892" s="400">
        <v>46248.0</v>
      </c>
      <c r="D9892" s="524">
        <v>614.0</v>
      </c>
      <c r="E9892" s="544" t="s">
        <v>279</v>
      </c>
      <c r="F9892" s="387">
        <v>2.0</v>
      </c>
      <c r="G9892" s="140">
        <v>690000.0</v>
      </c>
      <c r="H9892" s="74"/>
      <c r="I9892" s="74">
        <f t="shared" si="7"/>
        <v>1380000</v>
      </c>
      <c r="J9892" s="74">
        <f>IF(E9892="SERVICE",I9892-(I9892*50%),Vlookup(E9892,DATABASE!C:Q,10,false)*F9892)</f>
        <v>0</v>
      </c>
      <c r="K9892" s="74">
        <f>VLOOKUP(E9892,DATABASE!C:Q,7,false)</f>
        <v>623000</v>
      </c>
      <c r="L9892" s="74">
        <v>602000.0</v>
      </c>
      <c r="M9892" s="74">
        <f t="shared" si="6"/>
        <v>605000</v>
      </c>
      <c r="N9892" s="74">
        <f t="shared" si="3"/>
        <v>170000</v>
      </c>
      <c r="O9892" s="65" t="str">
        <f>VLOOKUP(E9892,DATABASE!C:Q,8,false)</f>
        <v>IBU</v>
      </c>
      <c r="P9892" s="65">
        <f>VLOOKUP(E9892,DATABASE!C:Q,9,False)</f>
        <v>1</v>
      </c>
      <c r="Q9892" s="93" t="str">
        <f>VLOOKUP(E9892,DATABASE!C:Q,4,false)</f>
        <v>Dunlop</v>
      </c>
      <c r="R9892" s="93" t="str">
        <f>VLOOKUP(E9892,DATABASE!C:Q,11,false)</f>
        <v>Tire</v>
      </c>
    </row>
    <row r="9893" ht="22.5" customHeight="1">
      <c r="A9893" s="49"/>
      <c r="C9893" s="400">
        <v>46248.0</v>
      </c>
      <c r="D9893" s="524">
        <v>615.0</v>
      </c>
      <c r="E9893" s="544" t="s">
        <v>288</v>
      </c>
      <c r="F9893" s="387">
        <v>1.0</v>
      </c>
      <c r="G9893" s="140">
        <v>630000.0</v>
      </c>
      <c r="H9893" s="74"/>
      <c r="I9893" s="74">
        <f t="shared" si="7"/>
        <v>630000</v>
      </c>
      <c r="J9893" s="74">
        <f>IF(E9893="SERVICE",I9893-(I9893*50%),Vlookup(E9893,DATABASE!C:Q,10,false)*F9893)</f>
        <v>0</v>
      </c>
      <c r="K9893" s="74">
        <f>VLOOKUP(E9893,DATABASE!C:Q,7,false)</f>
        <v>565760</v>
      </c>
      <c r="L9893" s="74">
        <v>540500.0</v>
      </c>
      <c r="M9893" s="74">
        <f t="shared" si="6"/>
        <v>545000</v>
      </c>
      <c r="N9893" s="74">
        <f t="shared" si="3"/>
        <v>85000</v>
      </c>
      <c r="O9893" s="65" t="str">
        <f>VLOOKUP(E9893,DATABASE!C:Q,8,false)</f>
        <v>BIAN</v>
      </c>
      <c r="P9893" s="65">
        <f>VLOOKUP(E9893,DATABASE!C:Q,9,False)</f>
        <v>1</v>
      </c>
      <c r="Q9893" s="93" t="str">
        <f>VLOOKUP(E9893,DATABASE!C:Q,4,false)</f>
        <v>GT</v>
      </c>
      <c r="R9893" s="93" t="str">
        <f>VLOOKUP(E9893,DATABASE!C:Q,11,false)</f>
        <v>Tire</v>
      </c>
    </row>
    <row r="9894" ht="22.5" customHeight="1">
      <c r="A9894" s="49"/>
      <c r="C9894" s="400">
        <v>46248.0</v>
      </c>
      <c r="D9894" s="524">
        <v>616.0</v>
      </c>
      <c r="E9894" s="544" t="s">
        <v>262</v>
      </c>
      <c r="F9894" s="387">
        <v>1.0</v>
      </c>
      <c r="G9894" s="140">
        <v>130000.0</v>
      </c>
      <c r="H9894" s="74"/>
      <c r="I9894" s="74">
        <f t="shared" si="7"/>
        <v>130000</v>
      </c>
      <c r="J9894" s="74">
        <f>IF(E9894="SERVICE",I9894-(I9894*50%),Vlookup(E9894,DATABASE!C:Q,10,false)*F9894)</f>
        <v>5000</v>
      </c>
      <c r="K9894" s="74">
        <f>VLOOKUP(E9894,DATABASE!C:Q,7,false)</f>
        <v>0</v>
      </c>
      <c r="L9894" s="74">
        <v>0.0</v>
      </c>
      <c r="M9894" s="74">
        <f t="shared" si="6"/>
        <v>0</v>
      </c>
      <c r="N9894" s="74">
        <f t="shared" si="3"/>
        <v>125000</v>
      </c>
      <c r="O9894" s="65" t="str">
        <f>VLOOKUP(E9894,DATABASE!C:Q,8,false)</f>
        <v>IBU</v>
      </c>
      <c r="P9894" s="65">
        <f>VLOOKUP(E9894,DATABASE!C:Q,9,False)</f>
        <v>0</v>
      </c>
      <c r="Q9894" s="93" t="str">
        <f>VLOOKUP(E9894,DATABASE!C:Q,4,false)</f>
        <v>SPOORING SS/CARRY LOS BAK</v>
      </c>
      <c r="R9894" s="93" t="str">
        <f>VLOOKUP(E9894,DATABASE!C:Q,11,false)</f>
        <v>SERVICE</v>
      </c>
    </row>
    <row r="9895" ht="22.5" customHeight="1">
      <c r="A9895" s="49"/>
      <c r="C9895" s="400">
        <v>46248.0</v>
      </c>
      <c r="D9895" s="524">
        <v>616.0</v>
      </c>
      <c r="E9895" s="544" t="s">
        <v>251</v>
      </c>
      <c r="F9895" s="387">
        <v>1.0</v>
      </c>
      <c r="G9895" s="140">
        <v>350000.0</v>
      </c>
      <c r="H9895" s="140">
        <v>230000.0</v>
      </c>
      <c r="I9895" s="74">
        <f t="shared" si="7"/>
        <v>120000</v>
      </c>
      <c r="J9895" s="74">
        <f>IF(E9895="SERVICE",I9895-(I9895*50%),Vlookup(E9895,DATABASE!C:Q,10,false)*F9895)</f>
        <v>60000</v>
      </c>
      <c r="K9895" s="74">
        <f>VLOOKUP(E9895,DATABASE!C:Q,7,false)</f>
        <v>0</v>
      </c>
      <c r="L9895" s="74">
        <v>0.0</v>
      </c>
      <c r="M9895" s="74">
        <f t="shared" si="6"/>
        <v>0</v>
      </c>
      <c r="N9895" s="74">
        <f t="shared" si="3"/>
        <v>60000</v>
      </c>
      <c r="O9895" s="65" t="str">
        <f>VLOOKUP(E9895,DATABASE!C:Q,8,false)</f>
        <v>IBU</v>
      </c>
      <c r="P9895" s="65">
        <f>VLOOKUP(E9895,DATABASE!C:Q,9,False)</f>
        <v>0</v>
      </c>
      <c r="Q9895" s="93" t="str">
        <f>VLOOKUP(E9895,DATABASE!C:Q,4,false)</f>
        <v>SERVICE</v>
      </c>
      <c r="R9895" s="93" t="str">
        <f>VLOOKUP(E9895,DATABASE!C:Q,11,false)</f>
        <v>SERVICE</v>
      </c>
    </row>
    <row r="9896" ht="22.5" customHeight="1">
      <c r="A9896" s="49"/>
      <c r="C9896" s="400">
        <v>46248.0</v>
      </c>
      <c r="D9896" s="524">
        <v>617.0</v>
      </c>
      <c r="E9896" s="544" t="s">
        <v>268</v>
      </c>
      <c r="F9896" s="387">
        <v>1.0</v>
      </c>
      <c r="G9896" s="140">
        <v>720000.0</v>
      </c>
      <c r="H9896" s="74"/>
      <c r="I9896" s="74">
        <f t="shared" si="7"/>
        <v>720000</v>
      </c>
      <c r="J9896" s="74">
        <f>IF(E9896="SERVICE",I9896-(I9896*50%),Vlookup(E9896,DATABASE!C:Q,10,false)*F9896)</f>
        <v>0</v>
      </c>
      <c r="K9896" s="74">
        <f>VLOOKUP(E9896,DATABASE!C:Q,7,false)</f>
        <v>653000</v>
      </c>
      <c r="L9896" s="74">
        <v>634500.0</v>
      </c>
      <c r="M9896" s="74">
        <f t="shared" si="6"/>
        <v>635000</v>
      </c>
      <c r="N9896" s="74">
        <f t="shared" si="3"/>
        <v>85000</v>
      </c>
      <c r="O9896" s="65" t="str">
        <f>VLOOKUP(E9896,DATABASE!C:Q,8,false)</f>
        <v>IBU</v>
      </c>
      <c r="P9896" s="65">
        <f>VLOOKUP(E9896,DATABASE!C:Q,9,False)</f>
        <v>1</v>
      </c>
      <c r="Q9896" s="93" t="str">
        <f>VLOOKUP(E9896,DATABASE!C:Q,4,false)</f>
        <v>Dunlop</v>
      </c>
      <c r="R9896" s="93" t="str">
        <f>VLOOKUP(E9896,DATABASE!C:Q,11,false)</f>
        <v>Tire</v>
      </c>
    </row>
    <row r="9897" ht="22.5" customHeight="1">
      <c r="A9897" s="49"/>
      <c r="C9897" s="400">
        <v>46248.0</v>
      </c>
      <c r="D9897" s="524">
        <v>618.0</v>
      </c>
      <c r="E9897" s="544" t="s">
        <v>271</v>
      </c>
      <c r="F9897" s="387">
        <v>1.0</v>
      </c>
      <c r="G9897" s="140">
        <v>640000.0</v>
      </c>
      <c r="H9897" s="74"/>
      <c r="I9897" s="74">
        <f t="shared" si="7"/>
        <v>640000</v>
      </c>
      <c r="J9897" s="74">
        <f>IF(E9897="SERVICE",I9897-(I9897*50%),Vlookup(E9897,DATABASE!C:Q,10,false)*F9897)</f>
        <v>0</v>
      </c>
      <c r="K9897" s="74">
        <f>VLOOKUP(E9897,DATABASE!C:Q,7,false)</f>
        <v>570000</v>
      </c>
      <c r="L9897" s="74">
        <v>550000.0</v>
      </c>
      <c r="M9897" s="74">
        <f t="shared" si="6"/>
        <v>550000</v>
      </c>
      <c r="N9897" s="74">
        <f t="shared" si="3"/>
        <v>90000</v>
      </c>
      <c r="O9897" s="65" t="str">
        <f>VLOOKUP(E9897,DATABASE!C:Q,8,false)</f>
        <v>IBU</v>
      </c>
      <c r="P9897" s="65">
        <f>VLOOKUP(E9897,DATABASE!C:Q,9,False)</f>
        <v>1</v>
      </c>
      <c r="Q9897" s="93" t="str">
        <f>VLOOKUP(E9897,DATABASE!C:Q,4,false)</f>
        <v>Dunlop</v>
      </c>
      <c r="R9897" s="93" t="str">
        <f>VLOOKUP(E9897,DATABASE!C:Q,11,false)</f>
        <v>Tire</v>
      </c>
    </row>
    <row r="9898" ht="22.5" customHeight="1">
      <c r="A9898" s="49"/>
      <c r="C9898" s="400">
        <v>46248.0</v>
      </c>
      <c r="D9898" s="524">
        <v>619.0</v>
      </c>
      <c r="E9898" s="544" t="s">
        <v>256</v>
      </c>
      <c r="F9898" s="387">
        <v>1.0</v>
      </c>
      <c r="G9898" s="140">
        <v>175000.0</v>
      </c>
      <c r="H9898" s="140">
        <v>25000.0</v>
      </c>
      <c r="I9898" s="74">
        <f t="shared" si="7"/>
        <v>150000</v>
      </c>
      <c r="J9898" s="74">
        <f>IF(E9898="SERVICE",I9898-(I9898*50%),Vlookup(E9898,DATABASE!C:Q,10,false)*F9898)</f>
        <v>10000</v>
      </c>
      <c r="K9898" s="74">
        <f>VLOOKUP(E9898,DATABASE!C:Q,7,false)</f>
        <v>0</v>
      </c>
      <c r="L9898" s="74">
        <v>0.0</v>
      </c>
      <c r="M9898" s="74">
        <f t="shared" si="6"/>
        <v>0</v>
      </c>
      <c r="N9898" s="74">
        <f t="shared" si="3"/>
        <v>140000</v>
      </c>
      <c r="O9898" s="65" t="str">
        <f>VLOOKUP(E9898,DATABASE!C:Q,8,false)</f>
        <v>IBU</v>
      </c>
      <c r="P9898" s="65">
        <f>VLOOKUP(E9898,DATABASE!C:Q,9,False)</f>
        <v>0</v>
      </c>
      <c r="Q9898" s="93" t="str">
        <f>VLOOKUP(E9898,DATABASE!C:Q,4,false)</f>
        <v>SPOORING</v>
      </c>
      <c r="R9898" s="93" t="str">
        <f>VLOOKUP(E9898,DATABASE!C:Q,11,false)</f>
        <v>SERVICE</v>
      </c>
    </row>
    <row r="9899" ht="22.5" customHeight="1">
      <c r="A9899" s="49"/>
      <c r="C9899" s="400">
        <v>46248.0</v>
      </c>
      <c r="D9899" s="524">
        <v>620.0</v>
      </c>
      <c r="E9899" s="544" t="s">
        <v>268</v>
      </c>
      <c r="F9899" s="387">
        <v>4.0</v>
      </c>
      <c r="G9899" s="140">
        <v>720000.0</v>
      </c>
      <c r="H9899" s="74"/>
      <c r="I9899" s="74">
        <f t="shared" si="7"/>
        <v>2880000</v>
      </c>
      <c r="J9899" s="74">
        <f>IF(E9899="SERVICE",I9899-(I9899*50%),Vlookup(E9899,DATABASE!C:Q,10,false)*F9899)</f>
        <v>0</v>
      </c>
      <c r="K9899" s="74">
        <f>VLOOKUP(E9899,DATABASE!C:Q,7,false)</f>
        <v>653000</v>
      </c>
      <c r="L9899" s="74">
        <v>634500.0</v>
      </c>
      <c r="M9899" s="74">
        <f t="shared" si="6"/>
        <v>635000</v>
      </c>
      <c r="N9899" s="74">
        <f t="shared" si="3"/>
        <v>340000</v>
      </c>
      <c r="O9899" s="65" t="str">
        <f>VLOOKUP(E9899,DATABASE!C:Q,8,false)</f>
        <v>IBU</v>
      </c>
      <c r="P9899" s="65">
        <f>VLOOKUP(E9899,DATABASE!C:Q,9,False)</f>
        <v>1</v>
      </c>
      <c r="Q9899" s="93" t="str">
        <f>VLOOKUP(E9899,DATABASE!C:Q,4,false)</f>
        <v>Dunlop</v>
      </c>
      <c r="R9899" s="93" t="str">
        <f>VLOOKUP(E9899,DATABASE!C:Q,11,false)</f>
        <v>Tire</v>
      </c>
    </row>
    <row r="9900" ht="22.5" customHeight="1">
      <c r="A9900" s="49"/>
      <c r="C9900" s="400">
        <v>46248.0</v>
      </c>
      <c r="D9900" s="524">
        <v>620.0</v>
      </c>
      <c r="E9900" s="544" t="s">
        <v>262</v>
      </c>
      <c r="F9900" s="387">
        <v>1.0</v>
      </c>
      <c r="G9900" s="140">
        <v>130000.0</v>
      </c>
      <c r="H9900" s="74"/>
      <c r="I9900" s="74">
        <f t="shared" si="7"/>
        <v>130000</v>
      </c>
      <c r="J9900" s="74">
        <f>IF(E9900="SERVICE",I9900-(I9900*50%),Vlookup(E9900,DATABASE!C:Q,10,false)*F9900)</f>
        <v>5000</v>
      </c>
      <c r="K9900" s="74">
        <f>VLOOKUP(E9900,DATABASE!C:Q,7,false)</f>
        <v>0</v>
      </c>
      <c r="L9900" s="74">
        <v>0.0</v>
      </c>
      <c r="M9900" s="74">
        <f t="shared" si="6"/>
        <v>0</v>
      </c>
      <c r="N9900" s="74">
        <f t="shared" si="3"/>
        <v>125000</v>
      </c>
      <c r="O9900" s="65" t="str">
        <f>VLOOKUP(E9900,DATABASE!C:Q,8,false)</f>
        <v>IBU</v>
      </c>
      <c r="P9900" s="65">
        <f>VLOOKUP(E9900,DATABASE!C:Q,9,False)</f>
        <v>0</v>
      </c>
      <c r="Q9900" s="93" t="str">
        <f>VLOOKUP(E9900,DATABASE!C:Q,4,false)</f>
        <v>SPOORING SS/CARRY LOS BAK</v>
      </c>
      <c r="R9900" s="93" t="str">
        <f>VLOOKUP(E9900,DATABASE!C:Q,11,false)</f>
        <v>SERVICE</v>
      </c>
    </row>
    <row r="9901" ht="22.5" customHeight="1">
      <c r="A9901" s="49"/>
      <c r="C9901" s="400">
        <v>46248.0</v>
      </c>
      <c r="D9901" s="524">
        <v>620.0</v>
      </c>
      <c r="E9901" s="544" t="s">
        <v>478</v>
      </c>
      <c r="F9901" s="387">
        <v>1.0</v>
      </c>
      <c r="G9901" s="140">
        <v>200000.0</v>
      </c>
      <c r="H9901" s="74"/>
      <c r="I9901" s="74">
        <f t="shared" si="7"/>
        <v>200000</v>
      </c>
      <c r="J9901" s="74">
        <f>IF(E9901="SERVICE",I9901-(I9901*50%),Vlookup(E9901,DATABASE!C:Q,10,false)*F9901)</f>
        <v>25000</v>
      </c>
      <c r="K9901" s="74">
        <f>VLOOKUP(E9901,DATABASE!C:Q,7,false)</f>
        <v>75000</v>
      </c>
      <c r="L9901" s="74">
        <v>75000.0</v>
      </c>
      <c r="M9901" s="74">
        <f t="shared" si="6"/>
        <v>75000</v>
      </c>
      <c r="N9901" s="74">
        <f t="shared" si="3"/>
        <v>100000</v>
      </c>
      <c r="O9901" s="65" t="str">
        <f>VLOOKUP(E9901,DATABASE!C:Q,8,false)</f>
        <v>BIAN</v>
      </c>
      <c r="P9901" s="65">
        <f>VLOOKUP(E9901,DATABASE!C:Q,9,False)</f>
        <v>0</v>
      </c>
      <c r="Q9901" s="93" t="str">
        <f>VLOOKUP(E9901,DATABASE!C:Q,4,false)</f>
        <v>Baut Camber ss-carry</v>
      </c>
      <c r="R9901" s="93" t="str">
        <f>VLOOKUP(E9901,DATABASE!C:Q,11,false)</f>
        <v>COMPLEMENTARY</v>
      </c>
    </row>
    <row r="9902" ht="22.5" customHeight="1">
      <c r="A9902" s="49"/>
      <c r="C9902" s="400">
        <v>46248.0</v>
      </c>
      <c r="D9902" s="524">
        <v>621.0</v>
      </c>
      <c r="E9902" s="544" t="s">
        <v>255</v>
      </c>
      <c r="F9902" s="387">
        <v>1.0</v>
      </c>
      <c r="G9902" s="140">
        <v>200000.0</v>
      </c>
      <c r="H9902" s="74"/>
      <c r="I9902" s="74">
        <f t="shared" si="7"/>
        <v>200000</v>
      </c>
      <c r="J9902" s="74">
        <f>IF(E9902="SERVICE",I9902-(I9902*50%),Vlookup(E9902,DATABASE!C:Q,10,false)*F9902)</f>
        <v>0</v>
      </c>
      <c r="K9902" s="74">
        <f>VLOOKUP(E9902,DATABASE!C:Q,7,false)</f>
        <v>161840</v>
      </c>
      <c r="L9902" s="74">
        <v>161840.0</v>
      </c>
      <c r="M9902" s="74">
        <f t="shared" si="6"/>
        <v>165000</v>
      </c>
      <c r="N9902" s="74">
        <f t="shared" si="3"/>
        <v>35000</v>
      </c>
      <c r="O9902" s="65" t="str">
        <f>VLOOKUP(E9902,DATABASE!C:Q,8,false)</f>
        <v>BIAN</v>
      </c>
      <c r="P9902" s="65">
        <f>VLOOKUP(E9902,DATABASE!C:Q,9,False)</f>
        <v>1</v>
      </c>
      <c r="Q9902" s="93" t="str">
        <f>VLOOKUP(E9902,DATABASE!C:Q,4,false)</f>
        <v>BD</v>
      </c>
      <c r="R9902" s="93" t="str">
        <f>VLOOKUP(E9902,DATABASE!C:Q,11,false)</f>
        <v>Tire</v>
      </c>
    </row>
    <row r="9903" ht="22.5" customHeight="1">
      <c r="A9903" s="49"/>
      <c r="C9903" s="400">
        <v>46248.0</v>
      </c>
      <c r="D9903" s="524">
        <v>622.0</v>
      </c>
      <c r="E9903" s="544" t="s">
        <v>268</v>
      </c>
      <c r="F9903" s="387">
        <v>2.0</v>
      </c>
      <c r="G9903" s="140">
        <v>720000.0</v>
      </c>
      <c r="H9903" s="74"/>
      <c r="I9903" s="74">
        <f t="shared" si="7"/>
        <v>1440000</v>
      </c>
      <c r="J9903" s="74">
        <f>IF(E9903="SERVICE",I9903-(I9903*50%),Vlookup(E9903,DATABASE!C:Q,10,false)*F9903)</f>
        <v>0</v>
      </c>
      <c r="K9903" s="74">
        <f>VLOOKUP(E9903,DATABASE!C:Q,7,false)</f>
        <v>653000</v>
      </c>
      <c r="L9903" s="74">
        <v>634500.0</v>
      </c>
      <c r="M9903" s="74">
        <f t="shared" si="6"/>
        <v>635000</v>
      </c>
      <c r="N9903" s="74">
        <f t="shared" si="3"/>
        <v>170000</v>
      </c>
      <c r="O9903" s="65" t="str">
        <f>VLOOKUP(E9903,DATABASE!C:Q,8,false)</f>
        <v>IBU</v>
      </c>
      <c r="P9903" s="65">
        <f>VLOOKUP(E9903,DATABASE!C:Q,9,False)</f>
        <v>1</v>
      </c>
      <c r="Q9903" s="93" t="str">
        <f>VLOOKUP(E9903,DATABASE!C:Q,4,false)</f>
        <v>Dunlop</v>
      </c>
      <c r="R9903" s="93" t="str">
        <f>VLOOKUP(E9903,DATABASE!C:Q,11,false)</f>
        <v>Tire</v>
      </c>
    </row>
    <row r="9904" ht="22.5" customHeight="1">
      <c r="A9904" s="49"/>
      <c r="C9904" s="400">
        <v>46248.0</v>
      </c>
      <c r="D9904" s="69">
        <v>623.0</v>
      </c>
      <c r="E9904" s="544" t="s">
        <v>246</v>
      </c>
      <c r="F9904" s="387">
        <v>2.0</v>
      </c>
      <c r="G9904" s="140">
        <v>35000.0</v>
      </c>
      <c r="H9904" s="74"/>
      <c r="I9904" s="74">
        <f t="shared" si="7"/>
        <v>70000</v>
      </c>
      <c r="J9904" s="74">
        <f>IF(E9904="SERVICE",I9904-(I9904*50%),Vlookup(E9904,DATABASE!C:Q,10,false)*F9904)</f>
        <v>0</v>
      </c>
      <c r="K9904" s="74">
        <f>VLOOKUP(E9904,DATABASE!C:Q,7,false)</f>
        <v>0</v>
      </c>
      <c r="L9904" s="74">
        <v>0.0</v>
      </c>
      <c r="M9904" s="74">
        <f t="shared" si="6"/>
        <v>0</v>
      </c>
      <c r="N9904" s="74">
        <f t="shared" si="3"/>
        <v>70000</v>
      </c>
      <c r="O9904" s="65" t="str">
        <f>VLOOKUP(E9904,DATABASE!C:Q,8,false)</f>
        <v>IBU</v>
      </c>
      <c r="P9904" s="65">
        <f>VLOOKUP(E9904,DATABASE!C:Q,9,False)</f>
        <v>0</v>
      </c>
      <c r="Q9904" s="93" t="str">
        <f>VLOOKUP(E9904,DATABASE!C:Q,4,false)</f>
        <v>Bongkar Pasang</v>
      </c>
      <c r="R9904" s="93" t="str">
        <f>VLOOKUP(E9904,DATABASE!C:Q,11,false)</f>
        <v>SERVICE</v>
      </c>
    </row>
    <row r="9905" ht="22.5" customHeight="1">
      <c r="A9905" s="49"/>
      <c r="C9905" s="400">
        <v>46248.0</v>
      </c>
      <c r="D9905" s="69">
        <v>624.0</v>
      </c>
      <c r="E9905" s="544" t="s">
        <v>256</v>
      </c>
      <c r="F9905" s="387">
        <v>1.0</v>
      </c>
      <c r="G9905" s="140">
        <v>150000.0</v>
      </c>
      <c r="H9905" s="74"/>
      <c r="I9905" s="74">
        <f t="shared" si="7"/>
        <v>150000</v>
      </c>
      <c r="J9905" s="74">
        <f>IF(E9905="SERVICE",I9905-(I9905*50%),Vlookup(E9905,DATABASE!C:Q,10,false)*F9905)</f>
        <v>10000</v>
      </c>
      <c r="K9905" s="74">
        <f>VLOOKUP(E9905,DATABASE!C:Q,7,false)</f>
        <v>0</v>
      </c>
      <c r="L9905" s="74">
        <v>0.0</v>
      </c>
      <c r="M9905" s="74">
        <f t="shared" si="6"/>
        <v>0</v>
      </c>
      <c r="N9905" s="74">
        <f t="shared" si="3"/>
        <v>140000</v>
      </c>
      <c r="O9905" s="65" t="str">
        <f>VLOOKUP(E9905,DATABASE!C:Q,8,false)</f>
        <v>IBU</v>
      </c>
      <c r="P9905" s="65">
        <f>VLOOKUP(E9905,DATABASE!C:Q,9,False)</f>
        <v>0</v>
      </c>
      <c r="Q9905" s="93" t="str">
        <f>VLOOKUP(E9905,DATABASE!C:Q,4,false)</f>
        <v>SPOORING</v>
      </c>
      <c r="R9905" s="93" t="str">
        <f>VLOOKUP(E9905,DATABASE!C:Q,11,false)</f>
        <v>SERVICE</v>
      </c>
    </row>
    <row r="9906" ht="22.5" customHeight="1">
      <c r="A9906" s="49"/>
      <c r="C9906" s="400">
        <v>46248.0</v>
      </c>
      <c r="D9906" s="69">
        <v>624.0</v>
      </c>
      <c r="E9906" s="544" t="s">
        <v>299</v>
      </c>
      <c r="F9906" s="387">
        <v>2.0</v>
      </c>
      <c r="G9906" s="140">
        <v>35000.0</v>
      </c>
      <c r="H9906" s="74"/>
      <c r="I9906" s="74">
        <f t="shared" si="7"/>
        <v>70000</v>
      </c>
      <c r="J9906" s="74">
        <f>IF(E9906="SERVICE",I9906-(I9906*50%),Vlookup(E9906,DATABASE!C:Q,10,false)*F9906)</f>
        <v>0</v>
      </c>
      <c r="K9906" s="74">
        <f>VLOOKUP(E9906,DATABASE!C:Q,7,false)</f>
        <v>10000</v>
      </c>
      <c r="L9906" s="74">
        <v>10000.0</v>
      </c>
      <c r="M9906" s="74">
        <f t="shared" si="6"/>
        <v>10000</v>
      </c>
      <c r="N9906" s="74">
        <f t="shared" si="3"/>
        <v>50000</v>
      </c>
      <c r="O9906" s="65" t="str">
        <f>VLOOKUP(E9906,DATABASE!C:Q,8,false)</f>
        <v>BIAN</v>
      </c>
      <c r="P9906" s="65">
        <f>VLOOKUP(E9906,DATABASE!C:Q,9,False)</f>
        <v>0</v>
      </c>
      <c r="Q9906" s="93" t="str">
        <f>VLOOKUP(E9906,DATABASE!C:Q,4,false)</f>
        <v>Balancing</v>
      </c>
      <c r="R9906" s="93" t="str">
        <f>VLOOKUP(E9906,DATABASE!C:Q,11,false)</f>
        <v>COMPLEMENTARY</v>
      </c>
    </row>
    <row r="9907" ht="22.5" customHeight="1">
      <c r="A9907" s="49"/>
      <c r="C9907" s="400">
        <v>46248.0</v>
      </c>
      <c r="D9907" s="69">
        <v>625.0</v>
      </c>
      <c r="E9907" s="544" t="s">
        <v>268</v>
      </c>
      <c r="F9907" s="387">
        <v>1.0</v>
      </c>
      <c r="G9907" s="140">
        <v>720000.0</v>
      </c>
      <c r="H9907" s="74"/>
      <c r="I9907" s="74">
        <f t="shared" si="7"/>
        <v>720000</v>
      </c>
      <c r="J9907" s="74">
        <f>IF(E9907="SERVICE",I9907-(I9907*50%),Vlookup(E9907,DATABASE!C:Q,10,false)*F9907)</f>
        <v>0</v>
      </c>
      <c r="K9907" s="74">
        <f>VLOOKUP(E9907,DATABASE!C:Q,7,false)</f>
        <v>653000</v>
      </c>
      <c r="L9907" s="74">
        <v>634500.0</v>
      </c>
      <c r="M9907" s="74">
        <f t="shared" si="6"/>
        <v>635000</v>
      </c>
      <c r="N9907" s="74">
        <f t="shared" si="3"/>
        <v>85000</v>
      </c>
      <c r="O9907" s="65" t="str">
        <f>VLOOKUP(E9907,DATABASE!C:Q,8,false)</f>
        <v>IBU</v>
      </c>
      <c r="P9907" s="65">
        <f>VLOOKUP(E9907,DATABASE!C:Q,9,False)</f>
        <v>1</v>
      </c>
      <c r="Q9907" s="93" t="str">
        <f>VLOOKUP(E9907,DATABASE!C:Q,4,false)</f>
        <v>Dunlop</v>
      </c>
      <c r="R9907" s="93" t="str">
        <f>VLOOKUP(E9907,DATABASE!C:Q,11,false)</f>
        <v>Tire</v>
      </c>
    </row>
    <row r="9908" ht="22.5" customHeight="1">
      <c r="A9908" s="49"/>
      <c r="C9908" s="400">
        <v>46248.0</v>
      </c>
      <c r="D9908" s="69">
        <v>625.0</v>
      </c>
      <c r="E9908" s="544" t="s">
        <v>461</v>
      </c>
      <c r="F9908" s="387">
        <v>2.0</v>
      </c>
      <c r="G9908" s="140">
        <v>30000.0</v>
      </c>
      <c r="H9908" s="74"/>
      <c r="I9908" s="74">
        <f t="shared" si="7"/>
        <v>60000</v>
      </c>
      <c r="J9908" s="74">
        <f>IF(E9908="SERVICE",I9908-(I9908*50%),Vlookup(E9908,DATABASE!C:Q,10,false)*F9908)</f>
        <v>0</v>
      </c>
      <c r="K9908" s="74">
        <f>VLOOKUP(E9908,DATABASE!C:Q,7,false)</f>
        <v>15000</v>
      </c>
      <c r="L9908" s="74">
        <v>15000.0</v>
      </c>
      <c r="M9908" s="74">
        <f t="shared" si="6"/>
        <v>15000</v>
      </c>
      <c r="N9908" s="74">
        <f t="shared" si="3"/>
        <v>30000</v>
      </c>
      <c r="O9908" s="65" t="str">
        <f>VLOOKUP(E9908,DATABASE!C:Q,8,false)</f>
        <v>BIAN</v>
      </c>
      <c r="P9908" s="65">
        <f>VLOOKUP(E9908,DATABASE!C:Q,9,False)</f>
        <v>0</v>
      </c>
      <c r="Q9908" s="93" t="str">
        <f>VLOOKUP(E9908,DATABASE!C:Q,4,false)</f>
        <v>Balancing</v>
      </c>
      <c r="R9908" s="93" t="str">
        <f>VLOOKUP(E9908,DATABASE!C:Q,11,false)</f>
        <v>COMPLEMENTARY</v>
      </c>
    </row>
    <row r="9909" ht="22.5" customHeight="1">
      <c r="A9909" s="49"/>
      <c r="C9909" s="400">
        <v>46248.0</v>
      </c>
      <c r="D9909" s="524">
        <v>626.0</v>
      </c>
      <c r="E9909" s="544" t="s">
        <v>301</v>
      </c>
      <c r="F9909" s="387">
        <v>1.0</v>
      </c>
      <c r="G9909" s="140">
        <v>250000.0</v>
      </c>
      <c r="H9909" s="74"/>
      <c r="I9909" s="74">
        <f t="shared" si="7"/>
        <v>250000</v>
      </c>
      <c r="J9909" s="74">
        <f>IF(E9909="SERVICE",I9909-(I9909*50%),Vlookup(E9909,DATABASE!C:Q,10,false)*F9909)</f>
        <v>75000</v>
      </c>
      <c r="K9909" s="74">
        <f>VLOOKUP(E9909,DATABASE!C:Q,7,false)</f>
        <v>75000</v>
      </c>
      <c r="L9909" s="140">
        <v>75000.0</v>
      </c>
      <c r="M9909" s="74">
        <f t="shared" si="6"/>
        <v>75000</v>
      </c>
      <c r="N9909" s="74">
        <f t="shared" si="3"/>
        <v>100000</v>
      </c>
      <c r="O9909" s="65" t="str">
        <f>VLOOKUP(E9909,DATABASE!C:Q,8,false)</f>
        <v>BIAN</v>
      </c>
      <c r="P9909" s="65">
        <f>VLOOKUP(E9909,DATABASE!C:Q,9,False)</f>
        <v>0</v>
      </c>
      <c r="Q9909" s="93" t="str">
        <f>VLOOKUP(E9909,DATABASE!C:Q,4,false)</f>
        <v>Baut Camber</v>
      </c>
      <c r="R9909" s="93" t="str">
        <f>VLOOKUP(E9909,DATABASE!C:Q,11,false)</f>
        <v>COMPLEMENTARY</v>
      </c>
    </row>
    <row r="9910" ht="22.5" customHeight="1">
      <c r="A9910" s="49"/>
      <c r="C9910" s="400">
        <v>46248.0</v>
      </c>
      <c r="D9910" s="524">
        <v>627.0</v>
      </c>
      <c r="E9910" s="544" t="s">
        <v>2624</v>
      </c>
      <c r="F9910" s="387">
        <v>1.0</v>
      </c>
      <c r="G9910" s="140">
        <v>610000.0</v>
      </c>
      <c r="H9910" s="74"/>
      <c r="I9910" s="74">
        <f t="shared" si="7"/>
        <v>610000</v>
      </c>
      <c r="J9910" s="74">
        <f>IF(E9910="SERVICE",I9910-(I9910*50%),Vlookup(E9910,DATABASE!C:Q,10,false)*F9910)</f>
        <v>0</v>
      </c>
      <c r="K9910" s="74">
        <f>VLOOKUP(E9910,DATABASE!C:Q,7,false)</f>
        <v>517000</v>
      </c>
      <c r="L9910" s="74">
        <v>517000.0</v>
      </c>
      <c r="M9910" s="74">
        <f t="shared" si="6"/>
        <v>520000</v>
      </c>
      <c r="N9910" s="74">
        <f t="shared" si="3"/>
        <v>90000</v>
      </c>
      <c r="O9910" s="65" t="str">
        <f>VLOOKUP(E9910,DATABASE!C:Q,8,false)</f>
        <v>BIAN</v>
      </c>
      <c r="P9910" s="65">
        <f>VLOOKUP(E9910,DATABASE!C:Q,9,False)</f>
        <v>1</v>
      </c>
      <c r="Q9910" s="93" t="str">
        <f>VLOOKUP(E9910,DATABASE!C:Q,4,false)</f>
        <v>Sailun</v>
      </c>
      <c r="R9910" s="93" t="str">
        <f>VLOOKUP(E9910,DATABASE!C:Q,11,false)</f>
        <v>Tire</v>
      </c>
    </row>
    <row r="9911" ht="22.5" customHeight="1">
      <c r="A9911" s="49"/>
      <c r="C9911" s="400">
        <v>46248.0</v>
      </c>
      <c r="D9911" s="69" t="s">
        <v>2905</v>
      </c>
      <c r="E9911" s="544" t="s">
        <v>252</v>
      </c>
      <c r="F9911" s="387">
        <v>1.0</v>
      </c>
      <c r="G9911" s="140">
        <v>370000.0</v>
      </c>
      <c r="H9911" s="140">
        <v>10000.0</v>
      </c>
      <c r="I9911" s="74">
        <f t="shared" si="7"/>
        <v>360000</v>
      </c>
      <c r="J9911" s="74">
        <f>IF(E9911="SERVICE",I9911-(I9911*50%),Vlookup(E9911,DATABASE!C:Q,10,false)*F9911)</f>
        <v>0</v>
      </c>
      <c r="K9911" s="74">
        <f>VLOOKUP(E9911,DATABASE!C:Q,7,false)</f>
        <v>317518</v>
      </c>
      <c r="L9911" s="74">
        <v>317518.0</v>
      </c>
      <c r="M9911" s="74">
        <f t="shared" si="6"/>
        <v>320000</v>
      </c>
      <c r="N9911" s="74">
        <f t="shared" si="3"/>
        <v>40000</v>
      </c>
      <c r="O9911" s="65" t="str">
        <f>VLOOKUP(E9911,DATABASE!C:Q,8,false)</f>
        <v>NON</v>
      </c>
      <c r="P9911" s="65">
        <f>VLOOKUP(E9911,DATABASE!C:Q,9,False)</f>
        <v>0</v>
      </c>
      <c r="Q9911" s="93" t="str">
        <f>VLOOKUP(E9911,DATABASE!C:Q,4,false)</f>
        <v>Shell</v>
      </c>
      <c r="R9911" s="93" t="str">
        <f>VLOOKUP(E9911,DATABASE!C:Q,11,false)</f>
        <v>OIL</v>
      </c>
    </row>
    <row r="9912" ht="22.5" customHeight="1">
      <c r="A9912" s="49"/>
      <c r="C9912" s="400">
        <v>46248.0</v>
      </c>
      <c r="D9912" s="69" t="s">
        <v>2905</v>
      </c>
      <c r="E9912" s="544" t="s">
        <v>298</v>
      </c>
      <c r="F9912" s="387">
        <v>1.0</v>
      </c>
      <c r="G9912" s="140">
        <v>25000.0</v>
      </c>
      <c r="H9912" s="140">
        <v>2000.0</v>
      </c>
      <c r="I9912" s="74">
        <f t="shared" si="7"/>
        <v>23000</v>
      </c>
      <c r="J9912" s="74">
        <f>IF(E9912="SERVICE",I9912-(I9912*50%),Vlookup(E9912,DATABASE!C:Q,10,false)*F9912)</f>
        <v>0</v>
      </c>
      <c r="K9912" s="74">
        <f>VLOOKUP(E9912,DATABASE!C:Q,7,false)</f>
        <v>19200</v>
      </c>
      <c r="L9912" s="74">
        <v>19200.0</v>
      </c>
      <c r="M9912" s="74">
        <f t="shared" si="6"/>
        <v>20000</v>
      </c>
      <c r="N9912" s="74">
        <f t="shared" si="3"/>
        <v>3000</v>
      </c>
      <c r="O9912" s="65" t="str">
        <f>VLOOKUP(E9912,DATABASE!C:Q,8,false)</f>
        <v>BIAN</v>
      </c>
      <c r="P9912" s="65">
        <f>VLOOKUP(E9912,DATABASE!C:Q,9,False)</f>
        <v>0</v>
      </c>
      <c r="Q9912" s="93" t="str">
        <f>VLOOKUP(E9912,DATABASE!C:Q,4,false)</f>
        <v>Aspira</v>
      </c>
      <c r="R9912" s="93" t="str">
        <f>VLOOKUP(E9912,DATABASE!C:Q,11,false)</f>
        <v>COMPLEMENTARY</v>
      </c>
    </row>
    <row r="9913" ht="22.5" customHeight="1">
      <c r="A9913" s="49"/>
      <c r="C9913" s="400">
        <v>46248.0</v>
      </c>
      <c r="D9913" s="69" t="s">
        <v>2906</v>
      </c>
      <c r="E9913" s="544" t="s">
        <v>252</v>
      </c>
      <c r="F9913" s="387">
        <v>1.0</v>
      </c>
      <c r="G9913" s="140">
        <v>360000.0</v>
      </c>
      <c r="H9913" s="74"/>
      <c r="I9913" s="74">
        <f t="shared" si="7"/>
        <v>360000</v>
      </c>
      <c r="J9913" s="74">
        <f>IF(E9913="SERVICE",I9913-(I9913*50%),Vlookup(E9913,DATABASE!C:Q,10,false)*F9913)</f>
        <v>0</v>
      </c>
      <c r="K9913" s="74">
        <f>VLOOKUP(E9913,DATABASE!C:Q,7,false)</f>
        <v>317518</v>
      </c>
      <c r="L9913" s="74">
        <v>317518.0</v>
      </c>
      <c r="M9913" s="74">
        <f t="shared" si="6"/>
        <v>320000</v>
      </c>
      <c r="N9913" s="74">
        <f t="shared" si="3"/>
        <v>40000</v>
      </c>
      <c r="O9913" s="65" t="str">
        <f>VLOOKUP(E9913,DATABASE!C:Q,8,false)</f>
        <v>NON</v>
      </c>
      <c r="P9913" s="65">
        <f>VLOOKUP(E9913,DATABASE!C:Q,9,False)</f>
        <v>0</v>
      </c>
      <c r="Q9913" s="93" t="str">
        <f>VLOOKUP(E9913,DATABASE!C:Q,4,false)</f>
        <v>Shell</v>
      </c>
      <c r="R9913" s="93" t="str">
        <f>VLOOKUP(E9913,DATABASE!C:Q,11,false)</f>
        <v>OIL</v>
      </c>
    </row>
    <row r="9914" ht="22.5" customHeight="1">
      <c r="A9914" s="49"/>
      <c r="C9914" s="400">
        <v>46249.0</v>
      </c>
      <c r="D9914" s="69">
        <v>628.0</v>
      </c>
      <c r="E9914" s="544" t="s">
        <v>288</v>
      </c>
      <c r="F9914" s="387">
        <v>2.0</v>
      </c>
      <c r="G9914" s="140">
        <v>625000.0</v>
      </c>
      <c r="H9914" s="74"/>
      <c r="I9914" s="74">
        <f t="shared" si="7"/>
        <v>1250000</v>
      </c>
      <c r="J9914" s="74">
        <f>IF(E9914="SERVICE",I9914-(I9914*50%),Vlookup(E9914,DATABASE!C:Q,10,false)*F9914)</f>
        <v>0</v>
      </c>
      <c r="K9914" s="74">
        <f>VLOOKUP(E9914,DATABASE!C:Q,7,false)</f>
        <v>565760</v>
      </c>
      <c r="L9914" s="74">
        <v>540500.0</v>
      </c>
      <c r="M9914" s="74">
        <f t="shared" si="6"/>
        <v>545000</v>
      </c>
      <c r="N9914" s="74">
        <f t="shared" si="3"/>
        <v>160000</v>
      </c>
      <c r="O9914" s="65" t="str">
        <f>VLOOKUP(E9914,DATABASE!C:Q,8,false)</f>
        <v>BIAN</v>
      </c>
      <c r="P9914" s="65">
        <f>VLOOKUP(E9914,DATABASE!C:Q,9,False)</f>
        <v>1</v>
      </c>
      <c r="Q9914" s="93" t="str">
        <f>VLOOKUP(E9914,DATABASE!C:Q,4,false)</f>
        <v>GT</v>
      </c>
      <c r="R9914" s="93" t="str">
        <f>VLOOKUP(E9914,DATABASE!C:Q,11,false)</f>
        <v>Tire</v>
      </c>
    </row>
    <row r="9915" ht="22.5" customHeight="1">
      <c r="A9915" s="49"/>
      <c r="C9915" s="400">
        <v>46249.0</v>
      </c>
      <c r="D9915" s="69">
        <v>629.0</v>
      </c>
      <c r="E9915" s="544" t="s">
        <v>737</v>
      </c>
      <c r="F9915" s="387">
        <v>1.0</v>
      </c>
      <c r="G9915" s="140">
        <v>260000.0</v>
      </c>
      <c r="H9915" s="74"/>
      <c r="I9915" s="74">
        <f t="shared" si="7"/>
        <v>260000</v>
      </c>
      <c r="J9915" s="74">
        <f>IF(E9915="SERVICE",I9915-(I9915*50%),Vlookup(E9915,DATABASE!C:Q,10,false)*F9915)</f>
        <v>0</v>
      </c>
      <c r="K9915" s="74">
        <f>VLOOKUP(E9915,DATABASE!C:Q,7,false)</f>
        <v>241001.6</v>
      </c>
      <c r="L9915" s="74">
        <v>237440.0</v>
      </c>
      <c r="M9915" s="74">
        <f t="shared" si="6"/>
        <v>240000</v>
      </c>
      <c r="N9915" s="74">
        <f t="shared" si="3"/>
        <v>20000</v>
      </c>
      <c r="O9915" s="65" t="str">
        <f>VLOOKUP(E9915,DATABASE!C:Q,8,false)</f>
        <v>IBU</v>
      </c>
      <c r="P9915" s="65">
        <f>VLOOKUP(E9915,DATABASE!C:Q,9,False)</f>
        <v>1</v>
      </c>
      <c r="Q9915" s="93" t="str">
        <f>VLOOKUP(E9915,DATABASE!C:Q,4,false)</f>
        <v>BD</v>
      </c>
      <c r="R9915" s="93" t="str">
        <f>VLOOKUP(E9915,DATABASE!C:Q,11,false)</f>
        <v>Tire</v>
      </c>
    </row>
    <row r="9916" ht="22.5" customHeight="1">
      <c r="A9916" s="49"/>
      <c r="C9916" s="400">
        <v>46249.0</v>
      </c>
      <c r="D9916" s="69">
        <v>630.0</v>
      </c>
      <c r="E9916" s="544" t="s">
        <v>256</v>
      </c>
      <c r="F9916" s="387">
        <v>1.0</v>
      </c>
      <c r="G9916" s="140">
        <v>150000.0</v>
      </c>
      <c r="H9916" s="74"/>
      <c r="I9916" s="74">
        <f t="shared" si="7"/>
        <v>150000</v>
      </c>
      <c r="J9916" s="74">
        <f>IF(E9916="SERVICE",I9916-(I9916*50%),Vlookup(E9916,DATABASE!C:Q,10,false)*F9916)</f>
        <v>10000</v>
      </c>
      <c r="K9916" s="74">
        <f>VLOOKUP(E9916,DATABASE!C:Q,7,false)</f>
        <v>0</v>
      </c>
      <c r="L9916" s="74">
        <v>0.0</v>
      </c>
      <c r="M9916" s="74">
        <f t="shared" si="6"/>
        <v>0</v>
      </c>
      <c r="N9916" s="74">
        <f t="shared" si="3"/>
        <v>140000</v>
      </c>
      <c r="O9916" s="65" t="str">
        <f>VLOOKUP(E9916,DATABASE!C:Q,8,false)</f>
        <v>IBU</v>
      </c>
      <c r="P9916" s="65">
        <f>VLOOKUP(E9916,DATABASE!C:Q,9,False)</f>
        <v>0</v>
      </c>
      <c r="Q9916" s="93" t="str">
        <f>VLOOKUP(E9916,DATABASE!C:Q,4,false)</f>
        <v>SPOORING</v>
      </c>
      <c r="R9916" s="93" t="str">
        <f>VLOOKUP(E9916,DATABASE!C:Q,11,false)</f>
        <v>SERVICE</v>
      </c>
    </row>
    <row r="9917" ht="22.5" customHeight="1">
      <c r="A9917" s="49"/>
      <c r="C9917" s="400">
        <v>46249.0</v>
      </c>
      <c r="D9917" s="69">
        <v>630.0</v>
      </c>
      <c r="E9917" s="544" t="s">
        <v>301</v>
      </c>
      <c r="F9917" s="387">
        <v>1.0</v>
      </c>
      <c r="G9917" s="140">
        <v>250000.0</v>
      </c>
      <c r="H9917" s="74"/>
      <c r="I9917" s="74">
        <f t="shared" si="7"/>
        <v>250000</v>
      </c>
      <c r="J9917" s="74">
        <f>IF(E9917="SERVICE",I9917-(I9917*50%),Vlookup(E9917,DATABASE!C:Q,10,false)*F9917)</f>
        <v>75000</v>
      </c>
      <c r="K9917" s="74">
        <f>VLOOKUP(E9917,DATABASE!C:Q,7,false)</f>
        <v>75000</v>
      </c>
      <c r="L9917" s="74">
        <v>75000.0</v>
      </c>
      <c r="M9917" s="74">
        <f t="shared" si="6"/>
        <v>75000</v>
      </c>
      <c r="N9917" s="74">
        <f t="shared" si="3"/>
        <v>100000</v>
      </c>
      <c r="O9917" s="65" t="str">
        <f>VLOOKUP(E9917,DATABASE!C:Q,8,false)</f>
        <v>BIAN</v>
      </c>
      <c r="P9917" s="65">
        <f>VLOOKUP(E9917,DATABASE!C:Q,9,False)</f>
        <v>0</v>
      </c>
      <c r="Q9917" s="93" t="str">
        <f>VLOOKUP(E9917,DATABASE!C:Q,4,false)</f>
        <v>Baut Camber</v>
      </c>
      <c r="R9917" s="93" t="str">
        <f>VLOOKUP(E9917,DATABASE!C:Q,11,false)</f>
        <v>COMPLEMENTARY</v>
      </c>
    </row>
    <row r="9918" ht="22.5" customHeight="1">
      <c r="A9918" s="49"/>
      <c r="C9918" s="400">
        <v>46249.0</v>
      </c>
      <c r="D9918" s="69">
        <v>631.0</v>
      </c>
      <c r="E9918" s="544" t="s">
        <v>250</v>
      </c>
      <c r="F9918" s="387">
        <v>1.0</v>
      </c>
      <c r="G9918" s="140">
        <v>135000.0</v>
      </c>
      <c r="H9918" s="74"/>
      <c r="I9918" s="74">
        <f t="shared" si="7"/>
        <v>135000</v>
      </c>
      <c r="J9918" s="74">
        <f>IF(E9918="SERVICE",I9918-(I9918*50%),Vlookup(E9918,DATABASE!C:Q,10,false)*F9918)</f>
        <v>0</v>
      </c>
      <c r="K9918" s="74">
        <f>VLOOKUP(E9918,DATABASE!C:Q,7,false)</f>
        <v>102000</v>
      </c>
      <c r="L9918" s="74">
        <v>102000.0</v>
      </c>
      <c r="M9918" s="74">
        <f t="shared" si="6"/>
        <v>105000</v>
      </c>
      <c r="N9918" s="74">
        <f t="shared" si="3"/>
        <v>30000</v>
      </c>
      <c r="O9918" s="65" t="str">
        <f>VLOOKUP(E9918,DATABASE!C:Q,8,false)</f>
        <v>BIAN</v>
      </c>
      <c r="P9918" s="65">
        <f>VLOOKUP(E9918,DATABASE!C:Q,9,False)</f>
        <v>1</v>
      </c>
      <c r="Q9918" s="93" t="str">
        <f>VLOOKUP(E9918,DATABASE!C:Q,4,false)</f>
        <v>BD</v>
      </c>
      <c r="R9918" s="93" t="str">
        <f>VLOOKUP(E9918,DATABASE!C:Q,11,false)</f>
        <v>Tire</v>
      </c>
    </row>
    <row r="9919" ht="22.5" customHeight="1">
      <c r="A9919" s="49"/>
      <c r="C9919" s="400">
        <v>46249.0</v>
      </c>
      <c r="D9919" s="69">
        <v>632.0</v>
      </c>
      <c r="E9919" s="544" t="s">
        <v>256</v>
      </c>
      <c r="F9919" s="387">
        <v>1.0</v>
      </c>
      <c r="G9919" s="140">
        <v>150000.0</v>
      </c>
      <c r="H9919" s="74"/>
      <c r="I9919" s="74">
        <f t="shared" si="7"/>
        <v>150000</v>
      </c>
      <c r="J9919" s="74">
        <f>IF(E9919="SERVICE",I9919-(I9919*50%),Vlookup(E9919,DATABASE!C:Q,10,false)*F9919)</f>
        <v>10000</v>
      </c>
      <c r="K9919" s="74">
        <f>VLOOKUP(E9919,DATABASE!C:Q,7,false)</f>
        <v>0</v>
      </c>
      <c r="L9919" s="74">
        <v>0.0</v>
      </c>
      <c r="M9919" s="74">
        <f t="shared" si="6"/>
        <v>0</v>
      </c>
      <c r="N9919" s="74">
        <f t="shared" si="3"/>
        <v>140000</v>
      </c>
      <c r="O9919" s="65" t="str">
        <f>VLOOKUP(E9919,DATABASE!C:Q,8,false)</f>
        <v>IBU</v>
      </c>
      <c r="P9919" s="65">
        <f>VLOOKUP(E9919,DATABASE!C:Q,9,False)</f>
        <v>0</v>
      </c>
      <c r="Q9919" s="93" t="str">
        <f>VLOOKUP(E9919,DATABASE!C:Q,4,false)</f>
        <v>SPOORING</v>
      </c>
      <c r="R9919" s="93" t="str">
        <f>VLOOKUP(E9919,DATABASE!C:Q,11,false)</f>
        <v>SERVICE</v>
      </c>
    </row>
    <row r="9920" ht="22.5" customHeight="1">
      <c r="A9920" s="49"/>
      <c r="C9920" s="400">
        <v>46249.0</v>
      </c>
      <c r="D9920" s="69">
        <v>632.0</v>
      </c>
      <c r="E9920" s="544" t="s">
        <v>301</v>
      </c>
      <c r="F9920" s="387">
        <v>1.0</v>
      </c>
      <c r="G9920" s="140">
        <v>250000.0</v>
      </c>
      <c r="H9920" s="74"/>
      <c r="I9920" s="74">
        <f t="shared" si="7"/>
        <v>250000</v>
      </c>
      <c r="J9920" s="74">
        <f>IF(E9920="SERVICE",I9920-(I9920*50%),Vlookup(E9920,DATABASE!C:Q,10,false)*F9920)</f>
        <v>75000</v>
      </c>
      <c r="K9920" s="74">
        <f>VLOOKUP(E9920,DATABASE!C:Q,7,false)</f>
        <v>75000</v>
      </c>
      <c r="L9920" s="74">
        <v>75000.0</v>
      </c>
      <c r="M9920" s="74">
        <f t="shared" si="6"/>
        <v>75000</v>
      </c>
      <c r="N9920" s="74">
        <f t="shared" si="3"/>
        <v>100000</v>
      </c>
      <c r="O9920" s="65" t="str">
        <f>VLOOKUP(E9920,DATABASE!C:Q,8,false)</f>
        <v>BIAN</v>
      </c>
      <c r="P9920" s="65">
        <f>VLOOKUP(E9920,DATABASE!C:Q,9,False)</f>
        <v>0</v>
      </c>
      <c r="Q9920" s="93" t="str">
        <f>VLOOKUP(E9920,DATABASE!C:Q,4,false)</f>
        <v>Baut Camber</v>
      </c>
      <c r="R9920" s="93" t="str">
        <f>VLOOKUP(E9920,DATABASE!C:Q,11,false)</f>
        <v>COMPLEMENTARY</v>
      </c>
    </row>
    <row r="9921" ht="22.5" customHeight="1">
      <c r="A9921" s="49"/>
      <c r="C9921" s="400">
        <v>46249.0</v>
      </c>
      <c r="D9921" s="69">
        <v>632.0</v>
      </c>
      <c r="E9921" s="544" t="s">
        <v>299</v>
      </c>
      <c r="F9921" s="387">
        <v>2.0</v>
      </c>
      <c r="G9921" s="140">
        <v>30000.0</v>
      </c>
      <c r="H9921" s="74"/>
      <c r="I9921" s="74">
        <f t="shared" si="7"/>
        <v>60000</v>
      </c>
      <c r="J9921" s="74">
        <f>IF(E9921="SERVICE",I9921-(I9921*50%),Vlookup(E9921,DATABASE!C:Q,10,false)*F9921)</f>
        <v>0</v>
      </c>
      <c r="K9921" s="74">
        <f>VLOOKUP(E9921,DATABASE!C:Q,7,false)</f>
        <v>10000</v>
      </c>
      <c r="L9921" s="74">
        <v>10000.0</v>
      </c>
      <c r="M9921" s="74">
        <f t="shared" si="6"/>
        <v>10000</v>
      </c>
      <c r="N9921" s="74">
        <f t="shared" si="3"/>
        <v>40000</v>
      </c>
      <c r="O9921" s="65" t="str">
        <f>VLOOKUP(E9921,DATABASE!C:Q,8,false)</f>
        <v>BIAN</v>
      </c>
      <c r="P9921" s="65">
        <f>VLOOKUP(E9921,DATABASE!C:Q,9,False)</f>
        <v>0</v>
      </c>
      <c r="Q9921" s="93" t="str">
        <f>VLOOKUP(E9921,DATABASE!C:Q,4,false)</f>
        <v>Balancing</v>
      </c>
      <c r="R9921" s="93" t="str">
        <f>VLOOKUP(E9921,DATABASE!C:Q,11,false)</f>
        <v>COMPLEMENTARY</v>
      </c>
    </row>
    <row r="9922" ht="22.5" customHeight="1">
      <c r="A9922" s="49"/>
      <c r="C9922" s="400">
        <v>46249.0</v>
      </c>
      <c r="D9922" s="69">
        <v>633.0</v>
      </c>
      <c r="E9922" s="544" t="s">
        <v>256</v>
      </c>
      <c r="F9922" s="387">
        <v>1.0</v>
      </c>
      <c r="G9922" s="140">
        <v>150000.0</v>
      </c>
      <c r="H9922" s="74"/>
      <c r="I9922" s="74">
        <f t="shared" si="7"/>
        <v>150000</v>
      </c>
      <c r="J9922" s="74">
        <f>IF(E9922="SERVICE",I9922-(I9922*50%),Vlookup(E9922,DATABASE!C:Q,10,false)*F9922)</f>
        <v>10000</v>
      </c>
      <c r="K9922" s="74">
        <f>VLOOKUP(E9922,DATABASE!C:Q,7,false)</f>
        <v>0</v>
      </c>
      <c r="L9922" s="74">
        <v>0.0</v>
      </c>
      <c r="M9922" s="74">
        <f t="shared" si="6"/>
        <v>0</v>
      </c>
      <c r="N9922" s="74">
        <f t="shared" si="3"/>
        <v>140000</v>
      </c>
      <c r="O9922" s="65" t="str">
        <f>VLOOKUP(E9922,DATABASE!C:Q,8,false)</f>
        <v>IBU</v>
      </c>
      <c r="P9922" s="65">
        <f>VLOOKUP(E9922,DATABASE!C:Q,9,False)</f>
        <v>0</v>
      </c>
      <c r="Q9922" s="93" t="str">
        <f>VLOOKUP(E9922,DATABASE!C:Q,4,false)</f>
        <v>SPOORING</v>
      </c>
      <c r="R9922" s="93" t="str">
        <f>VLOOKUP(E9922,DATABASE!C:Q,11,false)</f>
        <v>SERVICE</v>
      </c>
    </row>
    <row r="9923" ht="22.5" customHeight="1">
      <c r="A9923" s="49"/>
      <c r="C9923" s="400">
        <v>46249.0</v>
      </c>
      <c r="D9923" s="69">
        <v>633.0</v>
      </c>
      <c r="E9923" s="544" t="s">
        <v>301</v>
      </c>
      <c r="F9923" s="387">
        <v>1.0</v>
      </c>
      <c r="G9923" s="140">
        <v>250000.0</v>
      </c>
      <c r="H9923" s="74"/>
      <c r="I9923" s="74">
        <f t="shared" si="7"/>
        <v>250000</v>
      </c>
      <c r="J9923" s="74">
        <f>IF(E9923="SERVICE",I9923-(I9923*50%),Vlookup(E9923,DATABASE!C:Q,10,false)*F9923)</f>
        <v>75000</v>
      </c>
      <c r="K9923" s="74">
        <f>VLOOKUP(E9923,DATABASE!C:Q,7,false)</f>
        <v>75000</v>
      </c>
      <c r="L9923" s="74">
        <v>75000.0</v>
      </c>
      <c r="M9923" s="74">
        <f t="shared" si="6"/>
        <v>75000</v>
      </c>
      <c r="N9923" s="74">
        <f t="shared" si="3"/>
        <v>100000</v>
      </c>
      <c r="O9923" s="65" t="str">
        <f>VLOOKUP(E9923,DATABASE!C:Q,8,false)</f>
        <v>BIAN</v>
      </c>
      <c r="P9923" s="65">
        <f>VLOOKUP(E9923,DATABASE!C:Q,9,False)</f>
        <v>0</v>
      </c>
      <c r="Q9923" s="93" t="str">
        <f>VLOOKUP(E9923,DATABASE!C:Q,4,false)</f>
        <v>Baut Camber</v>
      </c>
      <c r="R9923" s="93" t="str">
        <f>VLOOKUP(E9923,DATABASE!C:Q,11,false)</f>
        <v>COMPLEMENTARY</v>
      </c>
    </row>
    <row r="9924" ht="22.5" customHeight="1">
      <c r="A9924" s="49"/>
      <c r="C9924" s="400">
        <v>46249.0</v>
      </c>
      <c r="D9924" s="69">
        <v>633.0</v>
      </c>
      <c r="E9924" s="544" t="s">
        <v>299</v>
      </c>
      <c r="F9924" s="387">
        <v>2.0</v>
      </c>
      <c r="G9924" s="140">
        <v>30000.0</v>
      </c>
      <c r="H9924" s="74"/>
      <c r="I9924" s="74">
        <f t="shared" si="7"/>
        <v>60000</v>
      </c>
      <c r="J9924" s="74">
        <f>IF(E9924="SERVICE",I9924-(I9924*50%),Vlookup(E9924,DATABASE!C:Q,10,false)*F9924)</f>
        <v>0</v>
      </c>
      <c r="K9924" s="74">
        <f>VLOOKUP(E9924,DATABASE!C:Q,7,false)</f>
        <v>10000</v>
      </c>
      <c r="L9924" s="74">
        <v>10000.0</v>
      </c>
      <c r="M9924" s="74">
        <f t="shared" si="6"/>
        <v>10000</v>
      </c>
      <c r="N9924" s="74">
        <f t="shared" si="3"/>
        <v>40000</v>
      </c>
      <c r="O9924" s="65" t="str">
        <f>VLOOKUP(E9924,DATABASE!C:Q,8,false)</f>
        <v>BIAN</v>
      </c>
      <c r="P9924" s="65">
        <f>VLOOKUP(E9924,DATABASE!C:Q,9,False)</f>
        <v>0</v>
      </c>
      <c r="Q9924" s="93" t="str">
        <f>VLOOKUP(E9924,DATABASE!C:Q,4,false)</f>
        <v>Balancing</v>
      </c>
      <c r="R9924" s="93" t="str">
        <f>VLOOKUP(E9924,DATABASE!C:Q,11,false)</f>
        <v>COMPLEMENTARY</v>
      </c>
    </row>
    <row r="9925" ht="22.5" customHeight="1">
      <c r="A9925" s="49"/>
      <c r="C9925" s="400">
        <v>46249.0</v>
      </c>
      <c r="D9925" s="69" t="s">
        <v>2907</v>
      </c>
      <c r="E9925" s="544" t="s">
        <v>263</v>
      </c>
      <c r="F9925" s="387">
        <v>1.0</v>
      </c>
      <c r="G9925" s="140">
        <v>385000.0</v>
      </c>
      <c r="H9925" s="74"/>
      <c r="I9925" s="74">
        <f t="shared" si="7"/>
        <v>385000</v>
      </c>
      <c r="J9925" s="74">
        <f>IF(E9925="SERVICE",I9925-(I9925*50%),Vlookup(E9925,DATABASE!C:Q,10,false)*F9925)</f>
        <v>0</v>
      </c>
      <c r="K9925" s="74">
        <f>VLOOKUP(E9925,DATABASE!C:Q,7,false)</f>
        <v>334916</v>
      </c>
      <c r="L9925" s="74">
        <v>334916.0</v>
      </c>
      <c r="M9925" s="74">
        <f t="shared" si="6"/>
        <v>335000</v>
      </c>
      <c r="N9925" s="74">
        <f t="shared" si="3"/>
        <v>50000</v>
      </c>
      <c r="O9925" s="65" t="str">
        <f>VLOOKUP(E9925,DATABASE!C:Q,8,false)</f>
        <v>NON</v>
      </c>
      <c r="P9925" s="65">
        <f>VLOOKUP(E9925,DATABASE!C:Q,9,False)</f>
        <v>0</v>
      </c>
      <c r="Q9925" s="93" t="str">
        <f>VLOOKUP(E9925,DATABASE!C:Q,4,false)</f>
        <v>Shell</v>
      </c>
      <c r="R9925" s="93" t="str">
        <f>VLOOKUP(E9925,DATABASE!C:Q,11,false)</f>
        <v>OIL</v>
      </c>
    </row>
    <row r="9926" ht="22.5" customHeight="1">
      <c r="A9926" s="49"/>
      <c r="C9926" s="400">
        <v>46249.0</v>
      </c>
      <c r="D9926" s="69" t="s">
        <v>2907</v>
      </c>
      <c r="E9926" s="544" t="s">
        <v>298</v>
      </c>
      <c r="F9926" s="387">
        <v>1.0</v>
      </c>
      <c r="G9926" s="140">
        <v>25000.0</v>
      </c>
      <c r="H9926" s="74"/>
      <c r="I9926" s="74">
        <f t="shared" si="7"/>
        <v>25000</v>
      </c>
      <c r="J9926" s="74">
        <f>IF(E9926="SERVICE",I9926-(I9926*50%),Vlookup(E9926,DATABASE!C:Q,10,false)*F9926)</f>
        <v>0</v>
      </c>
      <c r="K9926" s="74">
        <f>VLOOKUP(E9926,DATABASE!C:Q,7,false)</f>
        <v>19200</v>
      </c>
      <c r="L9926" s="74">
        <v>19200.0</v>
      </c>
      <c r="M9926" s="74">
        <f t="shared" si="6"/>
        <v>20000</v>
      </c>
      <c r="N9926" s="74">
        <f t="shared" si="3"/>
        <v>5000</v>
      </c>
      <c r="O9926" s="65" t="str">
        <f>VLOOKUP(E9926,DATABASE!C:Q,8,false)</f>
        <v>BIAN</v>
      </c>
      <c r="P9926" s="65">
        <f>VLOOKUP(E9926,DATABASE!C:Q,9,False)</f>
        <v>0</v>
      </c>
      <c r="Q9926" s="93" t="str">
        <f>VLOOKUP(E9926,DATABASE!C:Q,4,false)</f>
        <v>Aspira</v>
      </c>
      <c r="R9926" s="93" t="str">
        <f>VLOOKUP(E9926,DATABASE!C:Q,11,false)</f>
        <v>COMPLEMENTARY</v>
      </c>
    </row>
    <row r="9927" ht="22.5" customHeight="1">
      <c r="A9927" s="49"/>
      <c r="C9927" s="400">
        <v>46252.0</v>
      </c>
      <c r="D9927" s="524">
        <v>634.0</v>
      </c>
      <c r="E9927" s="544" t="s">
        <v>781</v>
      </c>
      <c r="F9927" s="387">
        <v>2.0</v>
      </c>
      <c r="G9927" s="140">
        <v>560000.0</v>
      </c>
      <c r="H9927" s="140">
        <v>10000.0</v>
      </c>
      <c r="I9927" s="74">
        <f t="shared" si="7"/>
        <v>1100000</v>
      </c>
      <c r="J9927" s="74">
        <f>IF(E9927="SERVICE",I9927-(I9927*50%),Vlookup(E9927,DATABASE!C:Q,10,false)*F9927)</f>
        <v>0</v>
      </c>
      <c r="K9927" s="74">
        <f>VLOOKUP(E9927,DATABASE!C:Q,7,false)</f>
        <v>470000</v>
      </c>
      <c r="L9927" s="74">
        <v>470000.0</v>
      </c>
      <c r="M9927" s="74">
        <f t="shared" si="6"/>
        <v>470000</v>
      </c>
      <c r="N9927" s="74">
        <f t="shared" si="3"/>
        <v>160000</v>
      </c>
      <c r="O9927" s="65" t="str">
        <f>VLOOKUP(E9927,DATABASE!C:Q,8,false)</f>
        <v>BIAN</v>
      </c>
      <c r="P9927" s="65">
        <f>VLOOKUP(E9927,DATABASE!C:Q,9,False)</f>
        <v>1</v>
      </c>
      <c r="Q9927" s="93" t="str">
        <f>VLOOKUP(E9927,DATABASE!C:Q,4,false)</f>
        <v>GT</v>
      </c>
      <c r="R9927" s="93" t="str">
        <f>VLOOKUP(E9927,DATABASE!C:Q,11,false)</f>
        <v>Tire</v>
      </c>
    </row>
    <row r="9928" ht="22.5" customHeight="1">
      <c r="A9928" s="49"/>
      <c r="C9928" s="400">
        <v>46252.0</v>
      </c>
      <c r="D9928" s="524">
        <v>635.0</v>
      </c>
      <c r="E9928" s="544" t="s">
        <v>531</v>
      </c>
      <c r="F9928" s="387">
        <v>1.0</v>
      </c>
      <c r="G9928" s="140">
        <v>100000.0</v>
      </c>
      <c r="H9928" s="140">
        <v>30000.0</v>
      </c>
      <c r="I9928" s="74">
        <f t="shared" si="7"/>
        <v>70000</v>
      </c>
      <c r="J9928" s="74">
        <f>IF(E9928="SERVICE",I9928-(I9928*50%),Vlookup(E9928,DATABASE!C:Q,10,false)*F9928)</f>
        <v>0</v>
      </c>
      <c r="K9928" s="74">
        <f>VLOOKUP(E9928,DATABASE!C:Q,7,false)</f>
        <v>47000</v>
      </c>
      <c r="L9928" s="74">
        <v>47000.0</v>
      </c>
      <c r="M9928" s="74">
        <f t="shared" si="6"/>
        <v>50000</v>
      </c>
      <c r="N9928" s="74">
        <f t="shared" si="3"/>
        <v>20000</v>
      </c>
      <c r="O9928" s="65" t="str">
        <f>VLOOKUP(E9928,DATABASE!C:Q,8,false)</f>
        <v>BIAN</v>
      </c>
      <c r="P9928" s="65">
        <f>VLOOKUP(E9928,DATABASE!C:Q,9,False)</f>
        <v>1</v>
      </c>
      <c r="Q9928" s="93" t="str">
        <f>VLOOKUP(E9928,DATABASE!C:Q,4,false)</f>
        <v>BD</v>
      </c>
      <c r="R9928" s="93" t="str">
        <f>VLOOKUP(E9928,DATABASE!C:Q,11,false)</f>
        <v>Tire</v>
      </c>
    </row>
    <row r="9929" ht="22.5" customHeight="1">
      <c r="A9929" s="49"/>
      <c r="C9929" s="400">
        <v>46252.0</v>
      </c>
      <c r="D9929" s="524">
        <v>638.0</v>
      </c>
      <c r="E9929" s="544" t="s">
        <v>2140</v>
      </c>
      <c r="F9929" s="387">
        <v>4.0</v>
      </c>
      <c r="G9929" s="140">
        <v>35000.0</v>
      </c>
      <c r="H9929" s="140">
        <v>5000.0</v>
      </c>
      <c r="I9929" s="74">
        <f t="shared" si="7"/>
        <v>120000</v>
      </c>
      <c r="J9929" s="74">
        <f>IF(E9929="SERVICE",I9929-(I9929*50%),Vlookup(E9929,DATABASE!C:Q,10,false)*F9929)</f>
        <v>0</v>
      </c>
      <c r="K9929" s="74">
        <f>VLOOKUP(E9929,DATABASE!C:Q,7,false)</f>
        <v>5000</v>
      </c>
      <c r="L9929" s="74">
        <v>0.0</v>
      </c>
      <c r="M9929" s="74">
        <f t="shared" si="6"/>
        <v>0</v>
      </c>
      <c r="N9929" s="74">
        <f t="shared" si="3"/>
        <v>120000</v>
      </c>
      <c r="O9929" s="65" t="str">
        <f>VLOOKUP(E9929,DATABASE!C:Q,8,false)</f>
        <v>IBU</v>
      </c>
      <c r="P9929" s="65">
        <f>VLOOKUP(E9929,DATABASE!C:Q,9,False)</f>
        <v>0</v>
      </c>
      <c r="Q9929" s="93" t="str">
        <f>VLOOKUP(E9929,DATABASE!C:Q,4,false)</f>
        <v>PENTIL + PASANG</v>
      </c>
      <c r="R9929" s="93" t="str">
        <f>VLOOKUP(E9929,DATABASE!C:Q,11,false)</f>
        <v>COMPLEMENTARY</v>
      </c>
    </row>
    <row r="9930" ht="22.5" customHeight="1">
      <c r="A9930" s="49"/>
      <c r="C9930" s="400">
        <v>46252.0</v>
      </c>
      <c r="D9930" s="524">
        <v>638.0</v>
      </c>
      <c r="E9930" s="544" t="s">
        <v>299</v>
      </c>
      <c r="F9930" s="387">
        <v>2.0</v>
      </c>
      <c r="G9930" s="140">
        <v>30000.0</v>
      </c>
      <c r="H9930" s="74"/>
      <c r="I9930" s="74">
        <f t="shared" si="7"/>
        <v>60000</v>
      </c>
      <c r="J9930" s="74">
        <f>IF(E9930="SERVICE",I9930-(I9930*50%),Vlookup(E9930,DATABASE!C:Q,10,false)*F9930)</f>
        <v>0</v>
      </c>
      <c r="K9930" s="74">
        <f>VLOOKUP(E9930,DATABASE!C:Q,7,false)</f>
        <v>10000</v>
      </c>
      <c r="L9930" s="74">
        <v>10000.0</v>
      </c>
      <c r="M9930" s="74">
        <f t="shared" si="6"/>
        <v>10000</v>
      </c>
      <c r="N9930" s="74">
        <f t="shared" si="3"/>
        <v>40000</v>
      </c>
      <c r="O9930" s="65" t="str">
        <f>VLOOKUP(E9930,DATABASE!C:Q,8,false)</f>
        <v>BIAN</v>
      </c>
      <c r="P9930" s="65">
        <f>VLOOKUP(E9930,DATABASE!C:Q,9,False)</f>
        <v>0</v>
      </c>
      <c r="Q9930" s="93" t="str">
        <f>VLOOKUP(E9930,DATABASE!C:Q,4,false)</f>
        <v>Balancing</v>
      </c>
      <c r="R9930" s="93" t="str">
        <f>VLOOKUP(E9930,DATABASE!C:Q,11,false)</f>
        <v>COMPLEMENTARY</v>
      </c>
    </row>
    <row r="9931" ht="22.5" customHeight="1">
      <c r="A9931" s="49"/>
      <c r="C9931" s="400">
        <v>46252.0</v>
      </c>
      <c r="D9931" s="524">
        <v>638.0</v>
      </c>
      <c r="E9931" s="544" t="s">
        <v>262</v>
      </c>
      <c r="F9931" s="387">
        <v>1.0</v>
      </c>
      <c r="G9931" s="140">
        <v>130000.0</v>
      </c>
      <c r="H9931" s="74"/>
      <c r="I9931" s="74">
        <f t="shared" si="7"/>
        <v>130000</v>
      </c>
      <c r="J9931" s="74">
        <f>IF(E9931="SERVICE",I9931-(I9931*50%),Vlookup(E9931,DATABASE!C:Q,10,false)*F9931)</f>
        <v>5000</v>
      </c>
      <c r="K9931" s="74">
        <f>VLOOKUP(E9931,DATABASE!C:Q,7,false)</f>
        <v>0</v>
      </c>
      <c r="L9931" s="74">
        <v>0.0</v>
      </c>
      <c r="M9931" s="74">
        <f t="shared" si="6"/>
        <v>0</v>
      </c>
      <c r="N9931" s="74">
        <f t="shared" si="3"/>
        <v>125000</v>
      </c>
      <c r="O9931" s="65" t="str">
        <f>VLOOKUP(E9931,DATABASE!C:Q,8,false)</f>
        <v>IBU</v>
      </c>
      <c r="P9931" s="65">
        <f>VLOOKUP(E9931,DATABASE!C:Q,9,False)</f>
        <v>0</v>
      </c>
      <c r="Q9931" s="93" t="str">
        <f>VLOOKUP(E9931,DATABASE!C:Q,4,false)</f>
        <v>SPOORING SS/CARRY LOS BAK</v>
      </c>
      <c r="R9931" s="93" t="str">
        <f>VLOOKUP(E9931,DATABASE!C:Q,11,false)</f>
        <v>SERVICE</v>
      </c>
    </row>
    <row r="9932" ht="22.5" customHeight="1">
      <c r="A9932" s="49"/>
      <c r="C9932" s="400">
        <v>46252.0</v>
      </c>
      <c r="D9932" s="524">
        <v>638.0</v>
      </c>
      <c r="E9932" s="544" t="s">
        <v>301</v>
      </c>
      <c r="F9932" s="387">
        <v>1.0</v>
      </c>
      <c r="G9932" s="140">
        <v>250000.0</v>
      </c>
      <c r="H9932" s="74"/>
      <c r="I9932" s="74">
        <f t="shared" si="7"/>
        <v>250000</v>
      </c>
      <c r="J9932" s="74">
        <f>IF(E9932="SERVICE",I9932-(I9932*50%),Vlookup(E9932,DATABASE!C:Q,10,false)*F9932)</f>
        <v>75000</v>
      </c>
      <c r="K9932" s="74">
        <f>VLOOKUP(E9932,DATABASE!C:Q,7,false)</f>
        <v>75000</v>
      </c>
      <c r="L9932" s="74">
        <v>75000.0</v>
      </c>
      <c r="M9932" s="74">
        <f t="shared" si="6"/>
        <v>75000</v>
      </c>
      <c r="N9932" s="74">
        <f t="shared" si="3"/>
        <v>100000</v>
      </c>
      <c r="O9932" s="65" t="str">
        <f>VLOOKUP(E9932,DATABASE!C:Q,8,false)</f>
        <v>BIAN</v>
      </c>
      <c r="P9932" s="65">
        <f>VLOOKUP(E9932,DATABASE!C:Q,9,False)</f>
        <v>0</v>
      </c>
      <c r="Q9932" s="93" t="str">
        <f>VLOOKUP(E9932,DATABASE!C:Q,4,false)</f>
        <v>Baut Camber</v>
      </c>
      <c r="R9932" s="93" t="str">
        <f>VLOOKUP(E9932,DATABASE!C:Q,11,false)</f>
        <v>COMPLEMENTARY</v>
      </c>
    </row>
    <row r="9933" ht="22.5" customHeight="1">
      <c r="A9933" s="49"/>
      <c r="C9933" s="400">
        <v>46252.0</v>
      </c>
      <c r="D9933" s="524">
        <v>639.0</v>
      </c>
      <c r="E9933" s="544" t="s">
        <v>256</v>
      </c>
      <c r="F9933" s="387">
        <v>1.0</v>
      </c>
      <c r="G9933" s="140">
        <v>175000.0</v>
      </c>
      <c r="H9933" s="140">
        <v>25000.0</v>
      </c>
      <c r="I9933" s="74">
        <f t="shared" si="7"/>
        <v>150000</v>
      </c>
      <c r="J9933" s="74">
        <f>IF(E9933="SERVICE",I9933-(I9933*50%),Vlookup(E9933,DATABASE!C:Q,10,false)*F9933)</f>
        <v>10000</v>
      </c>
      <c r="K9933" s="74">
        <f>VLOOKUP(E9933,DATABASE!C:Q,7,false)</f>
        <v>0</v>
      </c>
      <c r="L9933" s="74">
        <v>0.0</v>
      </c>
      <c r="M9933" s="74">
        <f t="shared" si="6"/>
        <v>0</v>
      </c>
      <c r="N9933" s="74">
        <f t="shared" si="3"/>
        <v>140000</v>
      </c>
      <c r="O9933" s="65" t="str">
        <f>VLOOKUP(E9933,DATABASE!C:Q,8,false)</f>
        <v>IBU</v>
      </c>
      <c r="P9933" s="65">
        <f>VLOOKUP(E9933,DATABASE!C:Q,9,False)</f>
        <v>0</v>
      </c>
      <c r="Q9933" s="93" t="str">
        <f>VLOOKUP(E9933,DATABASE!C:Q,4,false)</f>
        <v>SPOORING</v>
      </c>
      <c r="R9933" s="93" t="str">
        <f>VLOOKUP(E9933,DATABASE!C:Q,11,false)</f>
        <v>SERVICE</v>
      </c>
    </row>
    <row r="9934" ht="22.5" customHeight="1">
      <c r="A9934" s="49"/>
      <c r="C9934" s="400">
        <v>46252.0</v>
      </c>
      <c r="D9934" s="524">
        <v>640.0</v>
      </c>
      <c r="E9934" s="544" t="s">
        <v>1439</v>
      </c>
      <c r="F9934" s="387">
        <v>2.0</v>
      </c>
      <c r="G9934" s="140">
        <v>645000.0</v>
      </c>
      <c r="H9934" s="140">
        <v>10000.0</v>
      </c>
      <c r="I9934" s="74">
        <f t="shared" si="7"/>
        <v>1270000</v>
      </c>
      <c r="J9934" s="74">
        <f>IF(E9934="SERVICE",I9934-(I9934*50%),Vlookup(E9934,DATABASE!C:Q,10,false)*F9934)</f>
        <v>0</v>
      </c>
      <c r="K9934" s="74">
        <f>VLOOKUP(E9934,DATABASE!C:Q,7,false)</f>
        <v>556800</v>
      </c>
      <c r="L9934" s="74">
        <v>556800.0</v>
      </c>
      <c r="M9934" s="74">
        <f t="shared" si="6"/>
        <v>560000</v>
      </c>
      <c r="N9934" s="74">
        <f t="shared" si="3"/>
        <v>150000</v>
      </c>
      <c r="O9934" s="65" t="str">
        <f>VLOOKUP(E9934,DATABASE!C:Q,8,false)</f>
        <v>BIAN</v>
      </c>
      <c r="P9934" s="65">
        <f>VLOOKUP(E9934,DATABASE!C:Q,9,False)</f>
        <v>1</v>
      </c>
      <c r="Q9934" s="93" t="str">
        <f>VLOOKUP(E9934,DATABASE!C:Q,4,false)</f>
        <v>GT</v>
      </c>
      <c r="R9934" s="93" t="str">
        <f>VLOOKUP(E9934,DATABASE!C:Q,11,false)</f>
        <v>Tire</v>
      </c>
    </row>
    <row r="9935" ht="22.5" customHeight="1">
      <c r="A9935" s="49"/>
      <c r="C9935" s="400">
        <v>46252.0</v>
      </c>
      <c r="D9935" s="524">
        <v>640.0</v>
      </c>
      <c r="E9935" s="544" t="s">
        <v>2636</v>
      </c>
      <c r="F9935" s="387">
        <v>2.0</v>
      </c>
      <c r="G9935" s="140">
        <v>50000.0</v>
      </c>
      <c r="H9935" s="74"/>
      <c r="I9935" s="74">
        <f t="shared" si="7"/>
        <v>100000</v>
      </c>
      <c r="J9935" s="74">
        <f>IF(E9935="SERVICE",I9935-(I9935*50%),Vlookup(E9935,DATABASE!C:Q,10,false)*F9935)</f>
        <v>0</v>
      </c>
      <c r="K9935" s="74">
        <f>VLOOKUP(E9935,DATABASE!C:Q,7,false)</f>
        <v>27375</v>
      </c>
      <c r="L9935" s="74">
        <v>27375.0</v>
      </c>
      <c r="M9935" s="74">
        <f t="shared" si="6"/>
        <v>30000</v>
      </c>
      <c r="N9935" s="74">
        <f t="shared" si="3"/>
        <v>40000</v>
      </c>
      <c r="O9935" s="65" t="str">
        <f>VLOOKUP(E9935,DATABASE!C:Q,8,false)</f>
        <v>NON VPT</v>
      </c>
      <c r="P9935" s="65">
        <f>VLOOKUP(E9935,DATABASE!C:Q,9,False)</f>
        <v>0</v>
      </c>
      <c r="Q9935" s="93" t="str">
        <f>VLOOKUP(E9935,DATABASE!C:Q,4,false)</f>
        <v>JF</v>
      </c>
      <c r="R9935" s="93" t="str">
        <f>VLOOKUP(E9935,DATABASE!C:Q,11,false)</f>
        <v>COMPLEMENTARY</v>
      </c>
    </row>
    <row r="9936" ht="22.5" customHeight="1">
      <c r="A9936" s="49"/>
      <c r="C9936" s="400">
        <v>46252.0</v>
      </c>
      <c r="D9936" s="524">
        <v>640.0</v>
      </c>
      <c r="E9936" s="544" t="s">
        <v>262</v>
      </c>
      <c r="F9936" s="387">
        <v>1.0</v>
      </c>
      <c r="G9936" s="140">
        <v>130000.0</v>
      </c>
      <c r="H9936" s="140">
        <v>30000.0</v>
      </c>
      <c r="I9936" s="74">
        <f t="shared" si="7"/>
        <v>100000</v>
      </c>
      <c r="J9936" s="74">
        <f>IF(E9936="SERVICE",I9936-(I9936*50%),Vlookup(E9936,DATABASE!C:Q,10,false)*F9936)</f>
        <v>5000</v>
      </c>
      <c r="K9936" s="74">
        <f>VLOOKUP(E9936,DATABASE!C:Q,7,false)</f>
        <v>0</v>
      </c>
      <c r="L9936" s="74">
        <v>0.0</v>
      </c>
      <c r="M9936" s="74">
        <f t="shared" si="6"/>
        <v>0</v>
      </c>
      <c r="N9936" s="74">
        <f t="shared" si="3"/>
        <v>95000</v>
      </c>
      <c r="O9936" s="65" t="str">
        <f>VLOOKUP(E9936,DATABASE!C:Q,8,false)</f>
        <v>IBU</v>
      </c>
      <c r="P9936" s="65">
        <f>VLOOKUP(E9936,DATABASE!C:Q,9,False)</f>
        <v>0</v>
      </c>
      <c r="Q9936" s="93" t="str">
        <f>VLOOKUP(E9936,DATABASE!C:Q,4,false)</f>
        <v>SPOORING SS/CARRY LOS BAK</v>
      </c>
      <c r="R9936" s="93" t="str">
        <f>VLOOKUP(E9936,DATABASE!C:Q,11,false)</f>
        <v>SERVICE</v>
      </c>
    </row>
    <row r="9937" ht="22.5" customHeight="1">
      <c r="A9937" s="49"/>
      <c r="C9937" s="400">
        <v>46252.0</v>
      </c>
      <c r="D9937" s="524">
        <v>640.0</v>
      </c>
      <c r="E9937" s="544" t="s">
        <v>251</v>
      </c>
      <c r="F9937" s="387">
        <v>1.0</v>
      </c>
      <c r="G9937" s="140">
        <v>350000.0</v>
      </c>
      <c r="H9937" s="140">
        <v>230000.0</v>
      </c>
      <c r="I9937" s="74">
        <f t="shared" si="7"/>
        <v>120000</v>
      </c>
      <c r="J9937" s="74">
        <f>IF(E9937="SERVICE",I9937-(I9937*50%),Vlookup(E9937,DATABASE!C:Q,10,false)*F9937)</f>
        <v>60000</v>
      </c>
      <c r="K9937" s="74">
        <f>VLOOKUP(E9937,DATABASE!C:Q,7,false)</f>
        <v>0</v>
      </c>
      <c r="L9937" s="74">
        <v>0.0</v>
      </c>
      <c r="M9937" s="74">
        <f t="shared" si="6"/>
        <v>0</v>
      </c>
      <c r="N9937" s="74">
        <f t="shared" si="3"/>
        <v>60000</v>
      </c>
      <c r="O9937" s="65" t="str">
        <f>VLOOKUP(E9937,DATABASE!C:Q,8,false)</f>
        <v>IBU</v>
      </c>
      <c r="P9937" s="65">
        <f>VLOOKUP(E9937,DATABASE!C:Q,9,False)</f>
        <v>0</v>
      </c>
      <c r="Q9937" s="93" t="str">
        <f>VLOOKUP(E9937,DATABASE!C:Q,4,false)</f>
        <v>SERVICE</v>
      </c>
      <c r="R9937" s="93" t="str">
        <f>VLOOKUP(E9937,DATABASE!C:Q,11,false)</f>
        <v>SERVICE</v>
      </c>
    </row>
    <row r="9938" ht="22.5" customHeight="1">
      <c r="A9938" s="49"/>
      <c r="C9938" s="400">
        <v>46252.0</v>
      </c>
      <c r="D9938" s="524">
        <v>640.0</v>
      </c>
      <c r="E9938" s="544" t="s">
        <v>305</v>
      </c>
      <c r="F9938" s="387">
        <v>2.0</v>
      </c>
      <c r="G9938" s="140">
        <v>240000.0</v>
      </c>
      <c r="H9938" s="74"/>
      <c r="I9938" s="74">
        <f t="shared" si="7"/>
        <v>480000</v>
      </c>
      <c r="J9938" s="74">
        <f>IF(E9938="SERVICE",I9938-(I9938*50%),Vlookup(E9938,DATABASE!C:Q,10,false)*F9938)</f>
        <v>80000</v>
      </c>
      <c r="K9938" s="74">
        <f>VLOOKUP(E9938,DATABASE!C:Q,7,false)</f>
        <v>158530.2</v>
      </c>
      <c r="L9938" s="74">
        <v>158530.2</v>
      </c>
      <c r="M9938" s="74">
        <f t="shared" si="6"/>
        <v>160000</v>
      </c>
      <c r="N9938" s="74">
        <f t="shared" si="3"/>
        <v>80000</v>
      </c>
      <c r="O9938" s="65" t="str">
        <f>VLOOKUP(E9938,DATABASE!C:Q,8,false)</f>
        <v>BIAN</v>
      </c>
      <c r="P9938" s="65">
        <f>VLOOKUP(E9938,DATABASE!C:Q,9,False)</f>
        <v>1</v>
      </c>
      <c r="Q9938" s="93" t="str">
        <f>VLOOKUP(E9938,DATABASE!C:Q,4,false)</f>
        <v>Lower Arm</v>
      </c>
      <c r="R9938" s="93" t="str">
        <f>VLOOKUP(E9938,DATABASE!C:Q,11,false)</f>
        <v>COMPLEMENTARY</v>
      </c>
    </row>
    <row r="9939" ht="22.5" customHeight="1">
      <c r="A9939" s="49"/>
      <c r="C9939" s="400">
        <v>46252.0</v>
      </c>
      <c r="D9939" s="524">
        <v>640.0</v>
      </c>
      <c r="E9939" s="544" t="s">
        <v>478</v>
      </c>
      <c r="F9939" s="387">
        <v>1.0</v>
      </c>
      <c r="G9939" s="140">
        <v>200000.0</v>
      </c>
      <c r="H9939" s="74"/>
      <c r="I9939" s="74">
        <f t="shared" si="7"/>
        <v>200000</v>
      </c>
      <c r="J9939" s="74">
        <f>IF(E9939="SERVICE",I9939-(I9939*50%),Vlookup(E9939,DATABASE!C:Q,10,false)*F9939)</f>
        <v>25000</v>
      </c>
      <c r="K9939" s="74">
        <f>VLOOKUP(E9939,DATABASE!C:Q,7,false)</f>
        <v>75000</v>
      </c>
      <c r="L9939" s="74">
        <v>75000.0</v>
      </c>
      <c r="M9939" s="74">
        <f t="shared" si="6"/>
        <v>75000</v>
      </c>
      <c r="N9939" s="74">
        <f t="shared" si="3"/>
        <v>100000</v>
      </c>
      <c r="O9939" s="65" t="str">
        <f>VLOOKUP(E9939,DATABASE!C:Q,8,false)</f>
        <v>BIAN</v>
      </c>
      <c r="P9939" s="65">
        <f>VLOOKUP(E9939,DATABASE!C:Q,9,False)</f>
        <v>0</v>
      </c>
      <c r="Q9939" s="93" t="str">
        <f>VLOOKUP(E9939,DATABASE!C:Q,4,false)</f>
        <v>Baut Camber ss-carry</v>
      </c>
      <c r="R9939" s="93" t="str">
        <f>VLOOKUP(E9939,DATABASE!C:Q,11,false)</f>
        <v>COMPLEMENTARY</v>
      </c>
    </row>
    <row r="9940" ht="22.5" customHeight="1">
      <c r="A9940" s="49"/>
      <c r="C9940" s="400">
        <v>46252.0</v>
      </c>
      <c r="D9940" s="524">
        <v>642.0</v>
      </c>
      <c r="E9940" s="544" t="s">
        <v>604</v>
      </c>
      <c r="F9940" s="387">
        <v>1.0</v>
      </c>
      <c r="G9940" s="140">
        <v>170000.0</v>
      </c>
      <c r="H9940" s="140">
        <v>20000.0</v>
      </c>
      <c r="I9940" s="74">
        <f t="shared" si="7"/>
        <v>150000</v>
      </c>
      <c r="J9940" s="74">
        <f>IF(E9940="SERVICE",I9940-(I9940*50%),Vlookup(E9940,DATABASE!C:Q,10,false)*F9940)</f>
        <v>0</v>
      </c>
      <c r="K9940" s="74">
        <f>VLOOKUP(E9940,DATABASE!C:Q,7,false)</f>
        <v>124000</v>
      </c>
      <c r="L9940" s="74">
        <v>124000.0</v>
      </c>
      <c r="M9940" s="74">
        <f t="shared" si="6"/>
        <v>125000</v>
      </c>
      <c r="N9940" s="74">
        <f t="shared" si="3"/>
        <v>25000</v>
      </c>
      <c r="O9940" s="65" t="str">
        <f>VLOOKUP(E9940,DATABASE!C:Q,8,false)</f>
        <v>BIAN</v>
      </c>
      <c r="P9940" s="65">
        <f>VLOOKUP(E9940,DATABASE!C:Q,9,False)</f>
        <v>1</v>
      </c>
      <c r="Q9940" s="93" t="str">
        <f>VLOOKUP(E9940,DATABASE!C:Q,4,false)</f>
        <v>BD</v>
      </c>
      <c r="R9940" s="93" t="str">
        <f>VLOOKUP(E9940,DATABASE!C:Q,11,false)</f>
        <v>Tire</v>
      </c>
    </row>
    <row r="9941" ht="22.5" customHeight="1">
      <c r="A9941" s="49"/>
      <c r="C9941" s="400">
        <v>46252.0</v>
      </c>
      <c r="D9941" s="69">
        <v>643.0</v>
      </c>
      <c r="E9941" s="544" t="s">
        <v>1383</v>
      </c>
      <c r="F9941" s="387">
        <v>2.0</v>
      </c>
      <c r="G9941" s="140">
        <v>865000.0</v>
      </c>
      <c r="H9941" s="74"/>
      <c r="I9941" s="74">
        <f t="shared" si="7"/>
        <v>1730000</v>
      </c>
      <c r="J9941" s="74">
        <f>IF(E9941="SERVICE",I9941-(I9941*50%),Vlookup(E9941,DATABASE!C:Q,10,false)*F9941)</f>
        <v>0</v>
      </c>
      <c r="K9941" s="74">
        <f>VLOOKUP(E9941,DATABASE!C:Q,7,false)</f>
        <v>812000</v>
      </c>
      <c r="L9941" s="74">
        <v>812000.0</v>
      </c>
      <c r="M9941" s="74">
        <f t="shared" si="6"/>
        <v>815000</v>
      </c>
      <c r="N9941" s="74">
        <f t="shared" si="3"/>
        <v>100000</v>
      </c>
      <c r="O9941" s="65" t="str">
        <f>VLOOKUP(E9941,DATABASE!C:Q,8,false)</f>
        <v>IBU</v>
      </c>
      <c r="P9941" s="65">
        <f>VLOOKUP(E9941,DATABASE!C:Q,9,False)</f>
        <v>1</v>
      </c>
      <c r="Q9941" s="93" t="str">
        <f>VLOOKUP(E9941,DATABASE!C:Q,4,false)</f>
        <v>Dunlop</v>
      </c>
      <c r="R9941" s="93" t="str">
        <f>VLOOKUP(E9941,DATABASE!C:Q,11,false)</f>
        <v>Tire</v>
      </c>
    </row>
    <row r="9942" ht="22.5" customHeight="1">
      <c r="A9942" s="49"/>
      <c r="C9942" s="400">
        <v>46252.0</v>
      </c>
      <c r="D9942" s="69">
        <v>643.0</v>
      </c>
      <c r="E9942" s="544" t="s">
        <v>299</v>
      </c>
      <c r="F9942" s="387">
        <v>2.0</v>
      </c>
      <c r="G9942" s="140">
        <v>30000.0</v>
      </c>
      <c r="H9942" s="74"/>
      <c r="I9942" s="74">
        <f t="shared" si="7"/>
        <v>60000</v>
      </c>
      <c r="J9942" s="74">
        <f>IF(E9942="SERVICE",I9942-(I9942*50%),Vlookup(E9942,DATABASE!C:Q,10,false)*F9942)</f>
        <v>0</v>
      </c>
      <c r="K9942" s="74">
        <f>VLOOKUP(E9942,DATABASE!C:Q,7,false)</f>
        <v>10000</v>
      </c>
      <c r="L9942" s="74">
        <v>10000.0</v>
      </c>
      <c r="M9942" s="74">
        <f t="shared" si="6"/>
        <v>10000</v>
      </c>
      <c r="N9942" s="74">
        <f t="shared" si="3"/>
        <v>40000</v>
      </c>
      <c r="O9942" s="65" t="str">
        <f>VLOOKUP(E9942,DATABASE!C:Q,8,false)</f>
        <v>BIAN</v>
      </c>
      <c r="P9942" s="65">
        <f>VLOOKUP(E9942,DATABASE!C:Q,9,False)</f>
        <v>0</v>
      </c>
      <c r="Q9942" s="93" t="str">
        <f>VLOOKUP(E9942,DATABASE!C:Q,4,false)</f>
        <v>Balancing</v>
      </c>
      <c r="R9942" s="93" t="str">
        <f>VLOOKUP(E9942,DATABASE!C:Q,11,false)</f>
        <v>COMPLEMENTARY</v>
      </c>
    </row>
    <row r="9943" ht="22.5" customHeight="1">
      <c r="A9943" s="49"/>
      <c r="C9943" s="400">
        <v>46252.0</v>
      </c>
      <c r="D9943" s="69">
        <v>643.0</v>
      </c>
      <c r="E9943" s="544" t="s">
        <v>301</v>
      </c>
      <c r="F9943" s="387">
        <v>1.0</v>
      </c>
      <c r="G9943" s="140">
        <v>250000.0</v>
      </c>
      <c r="H9943" s="74"/>
      <c r="I9943" s="74">
        <f t="shared" si="7"/>
        <v>250000</v>
      </c>
      <c r="J9943" s="74">
        <f>IF(E9943="SERVICE",I9943-(I9943*50%),Vlookup(E9943,DATABASE!C:Q,10,false)*F9943)</f>
        <v>75000</v>
      </c>
      <c r="K9943" s="74">
        <f>VLOOKUP(E9943,DATABASE!C:Q,7,false)</f>
        <v>75000</v>
      </c>
      <c r="L9943" s="74">
        <v>75000.0</v>
      </c>
      <c r="M9943" s="74">
        <f t="shared" si="6"/>
        <v>75000</v>
      </c>
      <c r="N9943" s="74">
        <f t="shared" si="3"/>
        <v>100000</v>
      </c>
      <c r="O9943" s="65" t="str">
        <f>VLOOKUP(E9943,DATABASE!C:Q,8,false)</f>
        <v>BIAN</v>
      </c>
      <c r="P9943" s="65">
        <f>VLOOKUP(E9943,DATABASE!C:Q,9,False)</f>
        <v>0</v>
      </c>
      <c r="Q9943" s="93" t="str">
        <f>VLOOKUP(E9943,DATABASE!C:Q,4,false)</f>
        <v>Baut Camber</v>
      </c>
      <c r="R9943" s="93" t="str">
        <f>VLOOKUP(E9943,DATABASE!C:Q,11,false)</f>
        <v>COMPLEMENTARY</v>
      </c>
    </row>
    <row r="9944" ht="22.5" customHeight="1">
      <c r="A9944" s="49"/>
      <c r="C9944" s="400">
        <v>46252.0</v>
      </c>
      <c r="D9944" s="69">
        <v>643.0</v>
      </c>
      <c r="E9944" s="544" t="s">
        <v>256</v>
      </c>
      <c r="F9944" s="387">
        <v>1.0</v>
      </c>
      <c r="G9944" s="140">
        <v>150000.0</v>
      </c>
      <c r="H9944" s="74"/>
      <c r="I9944" s="74">
        <f t="shared" si="7"/>
        <v>150000</v>
      </c>
      <c r="J9944" s="74">
        <f>IF(E9944="SERVICE",I9944-(I9944*50%),Vlookup(E9944,DATABASE!C:Q,10,false)*F9944)</f>
        <v>10000</v>
      </c>
      <c r="K9944" s="74">
        <f>VLOOKUP(E9944,DATABASE!C:Q,7,false)</f>
        <v>0</v>
      </c>
      <c r="L9944" s="74">
        <v>0.0</v>
      </c>
      <c r="M9944" s="74">
        <f t="shared" si="6"/>
        <v>0</v>
      </c>
      <c r="N9944" s="74">
        <f t="shared" si="3"/>
        <v>140000</v>
      </c>
      <c r="O9944" s="65" t="str">
        <f>VLOOKUP(E9944,DATABASE!C:Q,8,false)</f>
        <v>IBU</v>
      </c>
      <c r="P9944" s="65">
        <f>VLOOKUP(E9944,DATABASE!C:Q,9,False)</f>
        <v>0</v>
      </c>
      <c r="Q9944" s="93" t="str">
        <f>VLOOKUP(E9944,DATABASE!C:Q,4,false)</f>
        <v>SPOORING</v>
      </c>
      <c r="R9944" s="93" t="str">
        <f>VLOOKUP(E9944,DATABASE!C:Q,11,false)</f>
        <v>SERVICE</v>
      </c>
    </row>
    <row r="9945" ht="22.5" customHeight="1">
      <c r="A9945" s="49"/>
      <c r="C9945" s="400">
        <v>46253.0</v>
      </c>
      <c r="D9945" s="69">
        <v>644.0</v>
      </c>
      <c r="E9945" s="544" t="s">
        <v>275</v>
      </c>
      <c r="F9945" s="387">
        <v>1.0</v>
      </c>
      <c r="G9945" s="140">
        <v>850000.0</v>
      </c>
      <c r="H9945" s="74"/>
      <c r="I9945" s="74">
        <f t="shared" si="7"/>
        <v>850000</v>
      </c>
      <c r="J9945" s="74">
        <f>IF(E9945="SERVICE",I9945-(I9945*50%),Vlookup(E9945,DATABASE!C:Q,10,false)*F9945)</f>
        <v>0</v>
      </c>
      <c r="K9945" s="74">
        <f>VLOOKUP(E9945,DATABASE!C:Q,7,false)</f>
        <v>782000</v>
      </c>
      <c r="L9945" s="74">
        <v>759500.0</v>
      </c>
      <c r="M9945" s="74">
        <f t="shared" si="6"/>
        <v>760000</v>
      </c>
      <c r="N9945" s="74">
        <f t="shared" si="3"/>
        <v>90000</v>
      </c>
      <c r="O9945" s="65" t="str">
        <f>VLOOKUP(E9945,DATABASE!C:Q,8,false)</f>
        <v>IBU</v>
      </c>
      <c r="P9945" s="65">
        <f>VLOOKUP(E9945,DATABASE!C:Q,9,False)</f>
        <v>1</v>
      </c>
      <c r="Q9945" s="93" t="str">
        <f>VLOOKUP(E9945,DATABASE!C:Q,4,false)</f>
        <v>Dunlop</v>
      </c>
      <c r="R9945" s="93" t="str">
        <f>VLOOKUP(E9945,DATABASE!C:Q,11,false)</f>
        <v>Tire</v>
      </c>
    </row>
    <row r="9946" ht="22.5" customHeight="1">
      <c r="A9946" s="49"/>
      <c r="C9946" s="400">
        <v>46253.0</v>
      </c>
      <c r="D9946" s="69">
        <v>644.0</v>
      </c>
      <c r="E9946" s="544" t="s">
        <v>262</v>
      </c>
      <c r="F9946" s="387">
        <v>1.0</v>
      </c>
      <c r="G9946" s="140">
        <v>130000.0</v>
      </c>
      <c r="H9946" s="74"/>
      <c r="I9946" s="74">
        <f t="shared" si="7"/>
        <v>130000</v>
      </c>
      <c r="J9946" s="74">
        <f>IF(E9946="SERVICE",I9946-(I9946*50%),Vlookup(E9946,DATABASE!C:Q,10,false)*F9946)</f>
        <v>5000</v>
      </c>
      <c r="K9946" s="74">
        <f>VLOOKUP(E9946,DATABASE!C:Q,7,false)</f>
        <v>0</v>
      </c>
      <c r="L9946" s="74">
        <v>0.0</v>
      </c>
      <c r="M9946" s="74">
        <f t="shared" si="6"/>
        <v>0</v>
      </c>
      <c r="N9946" s="74">
        <f t="shared" si="3"/>
        <v>125000</v>
      </c>
      <c r="O9946" s="65" t="str">
        <f>VLOOKUP(E9946,DATABASE!C:Q,8,false)</f>
        <v>IBU</v>
      </c>
      <c r="P9946" s="65">
        <f>VLOOKUP(E9946,DATABASE!C:Q,9,False)</f>
        <v>0</v>
      </c>
      <c r="Q9946" s="93" t="str">
        <f>VLOOKUP(E9946,DATABASE!C:Q,4,false)</f>
        <v>SPOORING SS/CARRY LOS BAK</v>
      </c>
      <c r="R9946" s="93" t="str">
        <f>VLOOKUP(E9946,DATABASE!C:Q,11,false)</f>
        <v>SERVICE</v>
      </c>
    </row>
    <row r="9947" ht="22.5" customHeight="1">
      <c r="A9947" s="49"/>
      <c r="C9947" s="400">
        <v>46253.0</v>
      </c>
      <c r="D9947" s="69">
        <v>644.0</v>
      </c>
      <c r="E9947" s="544" t="s">
        <v>251</v>
      </c>
      <c r="F9947" s="387">
        <v>1.0</v>
      </c>
      <c r="G9947" s="140">
        <v>150000.0</v>
      </c>
      <c r="H9947" s="74"/>
      <c r="I9947" s="74">
        <f t="shared" si="7"/>
        <v>150000</v>
      </c>
      <c r="J9947" s="74">
        <f>IF(E9947="SERVICE",I9947-(I9947*50%),Vlookup(E9947,DATABASE!C:Q,10,false)*F9947)</f>
        <v>75000</v>
      </c>
      <c r="K9947" s="74">
        <f>VLOOKUP(E9947,DATABASE!C:Q,7,false)</f>
        <v>0</v>
      </c>
      <c r="L9947" s="74">
        <v>0.0</v>
      </c>
      <c r="M9947" s="74">
        <f t="shared" si="6"/>
        <v>0</v>
      </c>
      <c r="N9947" s="74">
        <f t="shared" si="3"/>
        <v>75000</v>
      </c>
      <c r="O9947" s="65" t="str">
        <f>VLOOKUP(E9947,DATABASE!C:Q,8,false)</f>
        <v>IBU</v>
      </c>
      <c r="P9947" s="65">
        <f>VLOOKUP(E9947,DATABASE!C:Q,9,False)</f>
        <v>0</v>
      </c>
      <c r="Q9947" s="93" t="str">
        <f>VLOOKUP(E9947,DATABASE!C:Q,4,false)</f>
        <v>SERVICE</v>
      </c>
      <c r="R9947" s="93" t="str">
        <f>VLOOKUP(E9947,DATABASE!C:Q,11,false)</f>
        <v>SERVICE</v>
      </c>
    </row>
    <row r="9948" ht="22.5" customHeight="1">
      <c r="A9948" s="49"/>
      <c r="C9948" s="400">
        <v>46253.0</v>
      </c>
      <c r="D9948" s="69">
        <v>645.0</v>
      </c>
      <c r="E9948" s="544" t="s">
        <v>403</v>
      </c>
      <c r="F9948" s="387">
        <v>2.0</v>
      </c>
      <c r="G9948" s="140">
        <v>2260000.0</v>
      </c>
      <c r="H9948" s="74"/>
      <c r="I9948" s="74">
        <f t="shared" si="7"/>
        <v>4520000</v>
      </c>
      <c r="J9948" s="74">
        <f>IF(E9948="SERVICE",I9948-(I9948*50%),Vlookup(E9948,DATABASE!C:Q,10,false)*F9948)</f>
        <v>0</v>
      </c>
      <c r="K9948" s="74">
        <f>VLOOKUP(E9948,DATABASE!C:Q,7,false)</f>
        <v>2160000</v>
      </c>
      <c r="L9948" s="74">
        <v>2160000.0</v>
      </c>
      <c r="M9948" s="74">
        <f t="shared" si="6"/>
        <v>2160000</v>
      </c>
      <c r="N9948" s="74">
        <f t="shared" si="3"/>
        <v>200000</v>
      </c>
      <c r="O9948" s="65" t="str">
        <f>VLOOKUP(E9948,DATABASE!C:Q,8,false)</f>
        <v>BIAN</v>
      </c>
      <c r="P9948" s="65">
        <f>VLOOKUP(E9948,DATABASE!C:Q,9,False)</f>
        <v>1</v>
      </c>
      <c r="Q9948" s="93" t="str">
        <f>VLOOKUP(E9948,DATABASE!C:Q,4,false)</f>
        <v>Advance</v>
      </c>
      <c r="R9948" s="93" t="str">
        <f>VLOOKUP(E9948,DATABASE!C:Q,11,false)</f>
        <v>Tire</v>
      </c>
    </row>
    <row r="9949" ht="22.5" customHeight="1">
      <c r="A9949" s="49"/>
      <c r="C9949" s="400">
        <v>46253.0</v>
      </c>
      <c r="D9949" s="69">
        <v>646.0</v>
      </c>
      <c r="E9949" s="544" t="s">
        <v>1890</v>
      </c>
      <c r="F9949" s="387">
        <v>1.0</v>
      </c>
      <c r="G9949" s="140">
        <v>840000.0</v>
      </c>
      <c r="H9949" s="74"/>
      <c r="I9949" s="74">
        <f t="shared" si="7"/>
        <v>840000</v>
      </c>
      <c r="J9949" s="74">
        <f>IF(E9949="SERVICE",I9949-(I9949*50%),Vlookup(E9949,DATABASE!C:Q,10,false)*F9949)</f>
        <v>0</v>
      </c>
      <c r="K9949" s="74">
        <f>VLOOKUP(E9949,DATABASE!C:Q,7,false)</f>
        <v>739600</v>
      </c>
      <c r="L9949" s="74">
        <v>739600.0</v>
      </c>
      <c r="M9949" s="74">
        <f t="shared" si="6"/>
        <v>740000</v>
      </c>
      <c r="N9949" s="74">
        <f t="shared" si="3"/>
        <v>100000</v>
      </c>
      <c r="O9949" s="65" t="str">
        <f>VLOOKUP(E9949,DATABASE!C:Q,8,false)</f>
        <v>BIAN</v>
      </c>
      <c r="P9949" s="65">
        <f>VLOOKUP(E9949,DATABASE!C:Q,9,False)</f>
        <v>1</v>
      </c>
      <c r="Q9949" s="93" t="str">
        <f>VLOOKUP(E9949,DATABASE!C:Q,4,false)</f>
        <v>GT</v>
      </c>
      <c r="R9949" s="93" t="str">
        <f>VLOOKUP(E9949,DATABASE!C:Q,11,false)</f>
        <v>Tire</v>
      </c>
    </row>
    <row r="9950" ht="22.5" customHeight="1">
      <c r="A9950" s="49"/>
      <c r="C9950" s="400">
        <v>46253.0</v>
      </c>
      <c r="D9950" s="69">
        <v>647.0</v>
      </c>
      <c r="E9950" s="544" t="s">
        <v>604</v>
      </c>
      <c r="F9950" s="387">
        <v>1.0</v>
      </c>
      <c r="G9950" s="140">
        <v>160000.0</v>
      </c>
      <c r="H9950" s="74"/>
      <c r="I9950" s="74">
        <f t="shared" si="7"/>
        <v>160000</v>
      </c>
      <c r="J9950" s="74">
        <f>IF(E9950="SERVICE",I9950-(I9950*50%),Vlookup(E9950,DATABASE!C:Q,10,false)*F9950)</f>
        <v>0</v>
      </c>
      <c r="K9950" s="74">
        <f>VLOOKUP(E9950,DATABASE!C:Q,7,false)</f>
        <v>124000</v>
      </c>
      <c r="L9950" s="74">
        <v>124000.0</v>
      </c>
      <c r="M9950" s="74">
        <f t="shared" si="6"/>
        <v>125000</v>
      </c>
      <c r="N9950" s="74">
        <f t="shared" si="3"/>
        <v>35000</v>
      </c>
      <c r="O9950" s="65" t="str">
        <f>VLOOKUP(E9950,DATABASE!C:Q,8,false)</f>
        <v>BIAN</v>
      </c>
      <c r="P9950" s="65">
        <f>VLOOKUP(E9950,DATABASE!C:Q,9,False)</f>
        <v>1</v>
      </c>
      <c r="Q9950" s="93" t="str">
        <f>VLOOKUP(E9950,DATABASE!C:Q,4,false)</f>
        <v>BD</v>
      </c>
      <c r="R9950" s="93" t="str">
        <f>VLOOKUP(E9950,DATABASE!C:Q,11,false)</f>
        <v>Tire</v>
      </c>
    </row>
    <row r="9951" ht="22.5" customHeight="1">
      <c r="A9951" s="49"/>
      <c r="C9951" s="400">
        <v>46253.0</v>
      </c>
      <c r="D9951" s="69">
        <v>648.0</v>
      </c>
      <c r="E9951" s="544" t="s">
        <v>1009</v>
      </c>
      <c r="F9951" s="387">
        <v>2.0</v>
      </c>
      <c r="G9951" s="140">
        <v>700000.0</v>
      </c>
      <c r="H9951" s="74"/>
      <c r="I9951" s="74">
        <f t="shared" si="7"/>
        <v>1400000</v>
      </c>
      <c r="J9951" s="74">
        <f>IF(E9951="SERVICE",I9951-(I9951*50%),Vlookup(E9951,DATABASE!C:Q,10,false)*F9951)</f>
        <v>0</v>
      </c>
      <c r="K9951" s="74">
        <f>VLOOKUP(E9951,DATABASE!C:Q,7,false)</f>
        <v>609800</v>
      </c>
      <c r="L9951" s="74">
        <v>609800.0</v>
      </c>
      <c r="M9951" s="74">
        <f t="shared" si="6"/>
        <v>610000</v>
      </c>
      <c r="N9951" s="74">
        <f t="shared" si="3"/>
        <v>180000</v>
      </c>
      <c r="O9951" s="65" t="str">
        <f>VLOOKUP(E9951,DATABASE!C:Q,8,false)</f>
        <v>BIAN</v>
      </c>
      <c r="P9951" s="65">
        <f>VLOOKUP(E9951,DATABASE!C:Q,9,False)</f>
        <v>1</v>
      </c>
      <c r="Q9951" s="93" t="str">
        <f>VLOOKUP(E9951,DATABASE!C:Q,4,false)</f>
        <v>GT</v>
      </c>
      <c r="R9951" s="93" t="str">
        <f>VLOOKUP(E9951,DATABASE!C:Q,11,false)</f>
        <v>Tire</v>
      </c>
    </row>
    <row r="9952" ht="22.5" customHeight="1">
      <c r="A9952" s="49"/>
      <c r="C9952" s="400">
        <v>46253.0</v>
      </c>
      <c r="D9952" s="69">
        <v>649.0</v>
      </c>
      <c r="E9952" s="544" t="s">
        <v>256</v>
      </c>
      <c r="F9952" s="387">
        <v>1.0</v>
      </c>
      <c r="G9952" s="140">
        <v>150000.0</v>
      </c>
      <c r="H9952" s="74"/>
      <c r="I9952" s="74">
        <f t="shared" si="7"/>
        <v>150000</v>
      </c>
      <c r="J9952" s="74">
        <f>IF(E9952="SERVICE",I9952-(I9952*50%),Vlookup(E9952,DATABASE!C:Q,10,false)*F9952)</f>
        <v>10000</v>
      </c>
      <c r="K9952" s="74">
        <f>VLOOKUP(E9952,DATABASE!C:Q,7,false)</f>
        <v>0</v>
      </c>
      <c r="L9952" s="74">
        <v>0.0</v>
      </c>
      <c r="M9952" s="74">
        <f t="shared" si="6"/>
        <v>0</v>
      </c>
      <c r="N9952" s="74">
        <f t="shared" si="3"/>
        <v>140000</v>
      </c>
      <c r="O9952" s="65" t="str">
        <f>VLOOKUP(E9952,DATABASE!C:Q,8,false)</f>
        <v>IBU</v>
      </c>
      <c r="P9952" s="65">
        <f>VLOOKUP(E9952,DATABASE!C:Q,9,False)</f>
        <v>0</v>
      </c>
      <c r="Q9952" s="93" t="str">
        <f>VLOOKUP(E9952,DATABASE!C:Q,4,false)</f>
        <v>SPOORING</v>
      </c>
      <c r="R9952" s="93" t="str">
        <f>VLOOKUP(E9952,DATABASE!C:Q,11,false)</f>
        <v>SERVICE</v>
      </c>
    </row>
    <row r="9953" ht="22.5" customHeight="1">
      <c r="A9953" s="49"/>
      <c r="C9953" s="400">
        <v>46253.0</v>
      </c>
      <c r="D9953" s="69">
        <v>649.0</v>
      </c>
      <c r="E9953" s="544" t="s">
        <v>301</v>
      </c>
      <c r="F9953" s="387">
        <v>1.0</v>
      </c>
      <c r="G9953" s="140">
        <v>250000.0</v>
      </c>
      <c r="H9953" s="74"/>
      <c r="I9953" s="74">
        <f t="shared" si="7"/>
        <v>250000</v>
      </c>
      <c r="J9953" s="74">
        <f>IF(E9953="SERVICE",I9953-(I9953*50%),Vlookup(E9953,DATABASE!C:Q,10,false)*F9953)</f>
        <v>75000</v>
      </c>
      <c r="K9953" s="74">
        <f>VLOOKUP(E9953,DATABASE!C:Q,7,false)</f>
        <v>75000</v>
      </c>
      <c r="L9953" s="74">
        <v>75000.0</v>
      </c>
      <c r="M9953" s="74">
        <f t="shared" si="6"/>
        <v>75000</v>
      </c>
      <c r="N9953" s="74">
        <f t="shared" si="3"/>
        <v>100000</v>
      </c>
      <c r="O9953" s="65" t="str">
        <f>VLOOKUP(E9953,DATABASE!C:Q,8,false)</f>
        <v>BIAN</v>
      </c>
      <c r="P9953" s="65">
        <f>VLOOKUP(E9953,DATABASE!C:Q,9,False)</f>
        <v>0</v>
      </c>
      <c r="Q9953" s="93" t="str">
        <f>VLOOKUP(E9953,DATABASE!C:Q,4,false)</f>
        <v>Baut Camber</v>
      </c>
      <c r="R9953" s="93" t="str">
        <f>VLOOKUP(E9953,DATABASE!C:Q,11,false)</f>
        <v>COMPLEMENTARY</v>
      </c>
    </row>
    <row r="9954" ht="22.5" customHeight="1">
      <c r="A9954" s="49"/>
      <c r="C9954" s="400">
        <v>46253.0</v>
      </c>
      <c r="D9954" s="69">
        <v>649.0</v>
      </c>
      <c r="E9954" s="544" t="s">
        <v>613</v>
      </c>
      <c r="F9954" s="387">
        <v>1.0</v>
      </c>
      <c r="G9954" s="140">
        <v>100000.0</v>
      </c>
      <c r="H9954" s="74"/>
      <c r="I9954" s="74">
        <f t="shared" si="7"/>
        <v>100000</v>
      </c>
      <c r="J9954" s="74">
        <f>IF(E9954="SERVICE",I9954-(I9954*50%),Vlookup(E9954,DATABASE!C:Q,10,false)*F9954)</f>
        <v>0</v>
      </c>
      <c r="K9954" s="74">
        <f>VLOOKUP(E9954,DATABASE!C:Q,7,false)</f>
        <v>58371.2695</v>
      </c>
      <c r="L9954" s="74">
        <v>58371.2695</v>
      </c>
      <c r="M9954" s="74">
        <f t="shared" si="6"/>
        <v>60000</v>
      </c>
      <c r="N9954" s="74">
        <f t="shared" si="3"/>
        <v>40000</v>
      </c>
      <c r="O9954" s="65" t="str">
        <f>VLOOKUP(E9954,DATABASE!C:Q,8,false)</f>
        <v>BIAN</v>
      </c>
      <c r="P9954" s="65">
        <f>VLOOKUP(E9954,DATABASE!C:Q,9,False)</f>
        <v>1</v>
      </c>
      <c r="Q9954" s="93" t="str">
        <f>VLOOKUP(E9954,DATABASE!C:Q,4,false)</f>
        <v>BD</v>
      </c>
      <c r="R9954" s="93" t="str">
        <f>VLOOKUP(E9954,DATABASE!C:Q,11,false)</f>
        <v>Tire</v>
      </c>
    </row>
    <row r="9955" ht="22.5" customHeight="1">
      <c r="A9955" s="49"/>
      <c r="C9955" s="400">
        <v>46253.0</v>
      </c>
      <c r="D9955" s="69" t="s">
        <v>2908</v>
      </c>
      <c r="E9955" s="544" t="s">
        <v>252</v>
      </c>
      <c r="F9955" s="387">
        <v>1.0</v>
      </c>
      <c r="G9955" s="140">
        <v>370000.0</v>
      </c>
      <c r="H9955" s="74"/>
      <c r="I9955" s="74">
        <f t="shared" si="7"/>
        <v>370000</v>
      </c>
      <c r="J9955" s="74">
        <f>IF(E9955="SERVICE",I9955-(I9955*50%),Vlookup(E9955,DATABASE!C:Q,10,false)*F9955)</f>
        <v>0</v>
      </c>
      <c r="K9955" s="74">
        <f>VLOOKUP(E9955,DATABASE!C:Q,7,false)</f>
        <v>317518</v>
      </c>
      <c r="L9955" s="74">
        <v>317518.0</v>
      </c>
      <c r="M9955" s="74">
        <f t="shared" si="6"/>
        <v>320000</v>
      </c>
      <c r="N9955" s="74">
        <f t="shared" si="3"/>
        <v>50000</v>
      </c>
      <c r="O9955" s="65" t="str">
        <f>VLOOKUP(E9955,DATABASE!C:Q,8,false)</f>
        <v>NON</v>
      </c>
      <c r="P9955" s="65">
        <f>VLOOKUP(E9955,DATABASE!C:Q,9,False)</f>
        <v>0</v>
      </c>
      <c r="Q9955" s="93" t="str">
        <f>VLOOKUP(E9955,DATABASE!C:Q,4,false)</f>
        <v>Shell</v>
      </c>
      <c r="R9955" s="93" t="str">
        <f>VLOOKUP(E9955,DATABASE!C:Q,11,false)</f>
        <v>OIL</v>
      </c>
    </row>
    <row r="9956" ht="22.5" customHeight="1">
      <c r="A9956" s="49"/>
      <c r="C9956" s="400">
        <v>46254.0</v>
      </c>
      <c r="D9956" s="69">
        <v>650.0</v>
      </c>
      <c r="E9956" s="544" t="s">
        <v>268</v>
      </c>
      <c r="F9956" s="387">
        <v>1.0</v>
      </c>
      <c r="G9956" s="140">
        <v>720000.0</v>
      </c>
      <c r="H9956" s="74"/>
      <c r="I9956" s="74">
        <f t="shared" si="7"/>
        <v>720000</v>
      </c>
      <c r="J9956" s="74">
        <f>IF(E9956="SERVICE",I9956-(I9956*50%),Vlookup(E9956,DATABASE!C:Q,10,false)*F9956)</f>
        <v>0</v>
      </c>
      <c r="K9956" s="74">
        <f>VLOOKUP(E9956,DATABASE!C:Q,7,false)</f>
        <v>653000</v>
      </c>
      <c r="L9956" s="74">
        <v>634500.0</v>
      </c>
      <c r="M9956" s="74">
        <f t="shared" si="6"/>
        <v>635000</v>
      </c>
      <c r="N9956" s="74">
        <f t="shared" si="3"/>
        <v>85000</v>
      </c>
      <c r="O9956" s="65" t="str">
        <f>VLOOKUP(E9956,DATABASE!C:Q,8,false)</f>
        <v>IBU</v>
      </c>
      <c r="P9956" s="65">
        <f>VLOOKUP(E9956,DATABASE!C:Q,9,False)</f>
        <v>1</v>
      </c>
      <c r="Q9956" s="93" t="str">
        <f>VLOOKUP(E9956,DATABASE!C:Q,4,false)</f>
        <v>Dunlop</v>
      </c>
      <c r="R9956" s="93" t="str">
        <f>VLOOKUP(E9956,DATABASE!C:Q,11,false)</f>
        <v>Tire</v>
      </c>
    </row>
    <row r="9957" ht="22.5" customHeight="1">
      <c r="A9957" s="49"/>
      <c r="C9957" s="400">
        <v>46254.0</v>
      </c>
      <c r="D9957" s="69">
        <v>652.0</v>
      </c>
      <c r="E9957" s="544" t="s">
        <v>299</v>
      </c>
      <c r="F9957" s="387">
        <v>2.0</v>
      </c>
      <c r="G9957" s="140">
        <v>30000.0</v>
      </c>
      <c r="H9957" s="74"/>
      <c r="I9957" s="74">
        <f t="shared" si="7"/>
        <v>60000</v>
      </c>
      <c r="J9957" s="74">
        <f>IF(E9957="SERVICE",I9957-(I9957*50%),Vlookup(E9957,DATABASE!C:Q,10,false)*F9957)</f>
        <v>0</v>
      </c>
      <c r="K9957" s="74">
        <f>VLOOKUP(E9957,DATABASE!C:Q,7,false)</f>
        <v>10000</v>
      </c>
      <c r="L9957" s="74">
        <v>10000.0</v>
      </c>
      <c r="M9957" s="74">
        <f t="shared" si="6"/>
        <v>10000</v>
      </c>
      <c r="N9957" s="74">
        <f t="shared" si="3"/>
        <v>40000</v>
      </c>
      <c r="O9957" s="65" t="str">
        <f>VLOOKUP(E9957,DATABASE!C:Q,8,false)</f>
        <v>BIAN</v>
      </c>
      <c r="P9957" s="65">
        <f>VLOOKUP(E9957,DATABASE!C:Q,9,False)</f>
        <v>0</v>
      </c>
      <c r="Q9957" s="93" t="str">
        <f>VLOOKUP(E9957,DATABASE!C:Q,4,false)</f>
        <v>Balancing</v>
      </c>
      <c r="R9957" s="93" t="str">
        <f>VLOOKUP(E9957,DATABASE!C:Q,11,false)</f>
        <v>COMPLEMENTARY</v>
      </c>
    </row>
    <row r="9958" ht="22.5" customHeight="1">
      <c r="A9958" s="49"/>
      <c r="C9958" s="400">
        <v>46254.0</v>
      </c>
      <c r="D9958" s="69">
        <v>653.0</v>
      </c>
      <c r="E9958" s="544" t="s">
        <v>281</v>
      </c>
      <c r="F9958" s="387">
        <v>1.0</v>
      </c>
      <c r="G9958" s="140">
        <v>880000.0</v>
      </c>
      <c r="H9958" s="74"/>
      <c r="I9958" s="74">
        <f t="shared" si="7"/>
        <v>880000</v>
      </c>
      <c r="J9958" s="74">
        <f>IF(E9958="SERVICE",I9958-(I9958*50%),Vlookup(E9958,DATABASE!C:Q,10,false)*F9958)</f>
        <v>0</v>
      </c>
      <c r="K9958" s="74">
        <f>VLOOKUP(E9958,DATABASE!C:Q,7,false)</f>
        <v>814000</v>
      </c>
      <c r="L9958" s="74">
        <v>780000.0</v>
      </c>
      <c r="M9958" s="74">
        <f t="shared" si="6"/>
        <v>780000</v>
      </c>
      <c r="N9958" s="74">
        <f t="shared" si="3"/>
        <v>100000</v>
      </c>
      <c r="O9958" s="65" t="str">
        <f>VLOOKUP(E9958,DATABASE!C:Q,8,false)</f>
        <v>IBU</v>
      </c>
      <c r="P9958" s="65">
        <f>VLOOKUP(E9958,DATABASE!C:Q,9,False)</f>
        <v>1</v>
      </c>
      <c r="Q9958" s="93" t="str">
        <f>VLOOKUP(E9958,DATABASE!C:Q,4,false)</f>
        <v>Dunlop</v>
      </c>
      <c r="R9958" s="93" t="str">
        <f>VLOOKUP(E9958,DATABASE!C:Q,11,false)</f>
        <v>Tire</v>
      </c>
    </row>
    <row r="9959" ht="22.5" customHeight="1">
      <c r="A9959" s="49"/>
      <c r="C9959" s="400">
        <v>46254.0</v>
      </c>
      <c r="D9959" s="69">
        <v>654.0</v>
      </c>
      <c r="E9959" s="544" t="s">
        <v>604</v>
      </c>
      <c r="F9959" s="387">
        <v>1.0</v>
      </c>
      <c r="G9959" s="140">
        <v>150000.0</v>
      </c>
      <c r="H9959" s="74"/>
      <c r="I9959" s="74">
        <f t="shared" si="7"/>
        <v>150000</v>
      </c>
      <c r="J9959" s="74">
        <f>IF(E9959="SERVICE",I9959-(I9959*50%),Vlookup(E9959,DATABASE!C:Q,10,false)*F9959)</f>
        <v>0</v>
      </c>
      <c r="K9959" s="74">
        <f>VLOOKUP(E9959,DATABASE!C:Q,7,false)</f>
        <v>124000</v>
      </c>
      <c r="L9959" s="74">
        <v>124000.0</v>
      </c>
      <c r="M9959" s="74">
        <f t="shared" si="6"/>
        <v>125000</v>
      </c>
      <c r="N9959" s="74">
        <f t="shared" si="3"/>
        <v>25000</v>
      </c>
      <c r="O9959" s="65" t="str">
        <f>VLOOKUP(E9959,DATABASE!C:Q,8,false)</f>
        <v>BIAN</v>
      </c>
      <c r="P9959" s="65">
        <f>VLOOKUP(E9959,DATABASE!C:Q,9,False)</f>
        <v>1</v>
      </c>
      <c r="Q9959" s="93" t="str">
        <f>VLOOKUP(E9959,DATABASE!C:Q,4,false)</f>
        <v>BD</v>
      </c>
      <c r="R9959" s="93" t="str">
        <f>VLOOKUP(E9959,DATABASE!C:Q,11,false)</f>
        <v>Tire</v>
      </c>
    </row>
    <row r="9960" ht="22.5" customHeight="1">
      <c r="A9960" s="49"/>
      <c r="C9960" s="400">
        <v>46254.0</v>
      </c>
      <c r="D9960" s="69">
        <v>655.0</v>
      </c>
      <c r="E9960" s="544" t="s">
        <v>614</v>
      </c>
      <c r="F9960" s="387">
        <v>4.0</v>
      </c>
      <c r="G9960" s="140">
        <v>780000.0</v>
      </c>
      <c r="H9960" s="74"/>
      <c r="I9960" s="74">
        <f t="shared" si="7"/>
        <v>3120000</v>
      </c>
      <c r="J9960" s="74">
        <f>IF(E9960="SERVICE",I9960-(I9960*50%),Vlookup(E9960,DATABASE!C:Q,10,false)*F9960)</f>
        <v>0</v>
      </c>
      <c r="K9960" s="74">
        <f>VLOOKUP(E9960,DATABASE!C:Q,7,false)</f>
        <v>754660.6</v>
      </c>
      <c r="L9960" s="74">
        <v>727756.0</v>
      </c>
      <c r="M9960" s="74">
        <f t="shared" si="6"/>
        <v>730000</v>
      </c>
      <c r="N9960" s="74">
        <f t="shared" si="3"/>
        <v>200000</v>
      </c>
      <c r="O9960" s="65" t="str">
        <f>VLOOKUP(E9960,DATABASE!C:Q,8,false)</f>
        <v>IBU</v>
      </c>
      <c r="P9960" s="65">
        <f>VLOOKUP(E9960,DATABASE!C:Q,9,False)</f>
        <v>1</v>
      </c>
      <c r="Q9960" s="93" t="str">
        <f>VLOOKUP(E9960,DATABASE!C:Q,4,false)</f>
        <v>Bridgestone</v>
      </c>
      <c r="R9960" s="93" t="str">
        <f>VLOOKUP(E9960,DATABASE!C:Q,11,false)</f>
        <v>Tire</v>
      </c>
    </row>
    <row r="9961" ht="22.5" customHeight="1">
      <c r="A9961" s="49"/>
      <c r="C9961" s="400">
        <v>46254.0</v>
      </c>
      <c r="D9961" s="69">
        <v>655.0</v>
      </c>
      <c r="E9961" s="544" t="s">
        <v>256</v>
      </c>
      <c r="F9961" s="387">
        <v>1.0</v>
      </c>
      <c r="G9961" s="140">
        <v>150000.0</v>
      </c>
      <c r="H9961" s="74"/>
      <c r="I9961" s="74">
        <f t="shared" si="7"/>
        <v>150000</v>
      </c>
      <c r="J9961" s="74">
        <f>IF(E9961="SERVICE",I9961-(I9961*50%),Vlookup(E9961,DATABASE!C:Q,10,false)*F9961)</f>
        <v>10000</v>
      </c>
      <c r="K9961" s="74">
        <f>VLOOKUP(E9961,DATABASE!C:Q,7,false)</f>
        <v>0</v>
      </c>
      <c r="L9961" s="74">
        <v>0.0</v>
      </c>
      <c r="M9961" s="74">
        <f t="shared" si="6"/>
        <v>0</v>
      </c>
      <c r="N9961" s="74">
        <f t="shared" si="3"/>
        <v>140000</v>
      </c>
      <c r="O9961" s="65" t="str">
        <f>VLOOKUP(E9961,DATABASE!C:Q,8,false)</f>
        <v>IBU</v>
      </c>
      <c r="P9961" s="65">
        <f>VLOOKUP(E9961,DATABASE!C:Q,9,False)</f>
        <v>0</v>
      </c>
      <c r="Q9961" s="93" t="str">
        <f>VLOOKUP(E9961,DATABASE!C:Q,4,false)</f>
        <v>SPOORING</v>
      </c>
      <c r="R9961" s="93" t="str">
        <f>VLOOKUP(E9961,DATABASE!C:Q,11,false)</f>
        <v>SERVICE</v>
      </c>
    </row>
    <row r="9962" ht="22.5" customHeight="1">
      <c r="A9962" s="49"/>
      <c r="C9962" s="400">
        <v>46254.0</v>
      </c>
      <c r="D9962" s="69">
        <v>655.0</v>
      </c>
      <c r="E9962" s="544" t="s">
        <v>301</v>
      </c>
      <c r="F9962" s="387">
        <v>1.0</v>
      </c>
      <c r="G9962" s="140">
        <v>250000.0</v>
      </c>
      <c r="H9962" s="74"/>
      <c r="I9962" s="74">
        <f t="shared" si="7"/>
        <v>250000</v>
      </c>
      <c r="J9962" s="74">
        <f>IF(E9962="SERVICE",I9962-(I9962*50%),Vlookup(E9962,DATABASE!C:Q,10,false)*F9962)</f>
        <v>75000</v>
      </c>
      <c r="K9962" s="74">
        <f>VLOOKUP(E9962,DATABASE!C:Q,7,false)</f>
        <v>75000</v>
      </c>
      <c r="L9962" s="74">
        <v>75000.0</v>
      </c>
      <c r="M9962" s="74">
        <f t="shared" si="6"/>
        <v>75000</v>
      </c>
      <c r="N9962" s="74">
        <f t="shared" si="3"/>
        <v>100000</v>
      </c>
      <c r="O9962" s="65" t="str">
        <f>VLOOKUP(E9962,DATABASE!C:Q,8,false)</f>
        <v>BIAN</v>
      </c>
      <c r="P9962" s="65">
        <f>VLOOKUP(E9962,DATABASE!C:Q,9,False)</f>
        <v>0</v>
      </c>
      <c r="Q9962" s="93" t="str">
        <f>VLOOKUP(E9962,DATABASE!C:Q,4,false)</f>
        <v>Baut Camber</v>
      </c>
      <c r="R9962" s="93" t="str">
        <f>VLOOKUP(E9962,DATABASE!C:Q,11,false)</f>
        <v>COMPLEMENTARY</v>
      </c>
    </row>
    <row r="9963" ht="22.5" customHeight="1">
      <c r="A9963" s="49"/>
      <c r="C9963" s="400">
        <v>46254.0</v>
      </c>
      <c r="D9963" s="69">
        <v>656.0</v>
      </c>
      <c r="E9963" s="544" t="s">
        <v>250</v>
      </c>
      <c r="F9963" s="387">
        <v>2.0</v>
      </c>
      <c r="G9963" s="140">
        <v>135000.0</v>
      </c>
      <c r="H9963" s="74"/>
      <c r="I9963" s="74">
        <f t="shared" si="7"/>
        <v>270000</v>
      </c>
      <c r="J9963" s="74">
        <f>IF(E9963="SERVICE",I9963-(I9963*50%),Vlookup(E9963,DATABASE!C:Q,10,false)*F9963)</f>
        <v>0</v>
      </c>
      <c r="K9963" s="74">
        <f>VLOOKUP(E9963,DATABASE!C:Q,7,false)</f>
        <v>102000</v>
      </c>
      <c r="L9963" s="74">
        <v>102000.0</v>
      </c>
      <c r="M9963" s="74">
        <f t="shared" si="6"/>
        <v>105000</v>
      </c>
      <c r="N9963" s="74">
        <f t="shared" si="3"/>
        <v>60000</v>
      </c>
      <c r="O9963" s="65" t="str">
        <f>VLOOKUP(E9963,DATABASE!C:Q,8,false)</f>
        <v>BIAN</v>
      </c>
      <c r="P9963" s="65">
        <f>VLOOKUP(E9963,DATABASE!C:Q,9,False)</f>
        <v>1</v>
      </c>
      <c r="Q9963" s="93" t="str">
        <f>VLOOKUP(E9963,DATABASE!C:Q,4,false)</f>
        <v>BD</v>
      </c>
      <c r="R9963" s="93" t="str">
        <f>VLOOKUP(E9963,DATABASE!C:Q,11,false)</f>
        <v>Tire</v>
      </c>
    </row>
    <row r="9964" ht="22.5" customHeight="1">
      <c r="A9964" s="49"/>
      <c r="C9964" s="400">
        <v>46254.0</v>
      </c>
      <c r="D9964" s="69">
        <v>657.0</v>
      </c>
      <c r="E9964" s="544" t="s">
        <v>614</v>
      </c>
      <c r="F9964" s="387">
        <v>4.0</v>
      </c>
      <c r="G9964" s="140">
        <v>830000.0</v>
      </c>
      <c r="H9964" s="74"/>
      <c r="I9964" s="74">
        <f t="shared" si="7"/>
        <v>3320000</v>
      </c>
      <c r="J9964" s="74">
        <f>IF(E9964="SERVICE",I9964-(I9964*50%),Vlookup(E9964,DATABASE!C:Q,10,false)*F9964)</f>
        <v>0</v>
      </c>
      <c r="K9964" s="74">
        <f>VLOOKUP(E9964,DATABASE!C:Q,7,false)</f>
        <v>754660.6</v>
      </c>
      <c r="L9964" s="74">
        <v>727756.0</v>
      </c>
      <c r="M9964" s="74">
        <f t="shared" si="6"/>
        <v>730000</v>
      </c>
      <c r="N9964" s="74">
        <f t="shared" si="3"/>
        <v>400000</v>
      </c>
      <c r="O9964" s="65" t="str">
        <f>VLOOKUP(E9964,DATABASE!C:Q,8,false)</f>
        <v>IBU</v>
      </c>
      <c r="P9964" s="65">
        <f>VLOOKUP(E9964,DATABASE!C:Q,9,False)</f>
        <v>1</v>
      </c>
      <c r="Q9964" s="93" t="str">
        <f>VLOOKUP(E9964,DATABASE!C:Q,4,false)</f>
        <v>Bridgestone</v>
      </c>
      <c r="R9964" s="93" t="str">
        <f>VLOOKUP(E9964,DATABASE!C:Q,11,false)</f>
        <v>Tire</v>
      </c>
    </row>
    <row r="9965" ht="22.5" customHeight="1">
      <c r="A9965" s="49"/>
      <c r="C9965" s="400">
        <v>46254.0</v>
      </c>
      <c r="D9965" s="69">
        <v>658.0</v>
      </c>
      <c r="E9965" s="544" t="s">
        <v>301</v>
      </c>
      <c r="F9965" s="387">
        <v>1.0</v>
      </c>
      <c r="G9965" s="140">
        <v>250000.0</v>
      </c>
      <c r="H9965" s="74"/>
      <c r="I9965" s="74">
        <f t="shared" si="7"/>
        <v>250000</v>
      </c>
      <c r="J9965" s="74">
        <f>IF(E9965="SERVICE",I9965-(I9965*50%),Vlookup(E9965,DATABASE!C:Q,10,false)*F9965)</f>
        <v>75000</v>
      </c>
      <c r="K9965" s="74">
        <f>VLOOKUP(E9965,DATABASE!C:Q,7,false)</f>
        <v>75000</v>
      </c>
      <c r="L9965" s="74">
        <v>75000.0</v>
      </c>
      <c r="M9965" s="74">
        <f t="shared" si="6"/>
        <v>75000</v>
      </c>
      <c r="N9965" s="74">
        <f t="shared" si="3"/>
        <v>100000</v>
      </c>
      <c r="O9965" s="65" t="str">
        <f>VLOOKUP(E9965,DATABASE!C:Q,8,false)</f>
        <v>BIAN</v>
      </c>
      <c r="P9965" s="65">
        <f>VLOOKUP(E9965,DATABASE!C:Q,9,False)</f>
        <v>0</v>
      </c>
      <c r="Q9965" s="93" t="str">
        <f>VLOOKUP(E9965,DATABASE!C:Q,4,false)</f>
        <v>Baut Camber</v>
      </c>
      <c r="R9965" s="93" t="str">
        <f>VLOOKUP(E9965,DATABASE!C:Q,11,false)</f>
        <v>COMPLEMENTARY</v>
      </c>
    </row>
    <row r="9966" ht="22.5" customHeight="1">
      <c r="A9966" s="49"/>
      <c r="C9966" s="400">
        <v>46254.0</v>
      </c>
      <c r="D9966" s="69">
        <v>658.0</v>
      </c>
      <c r="E9966" s="544" t="s">
        <v>483</v>
      </c>
      <c r="F9966" s="387">
        <v>12.0</v>
      </c>
      <c r="G9966" s="140">
        <v>10000.0</v>
      </c>
      <c r="H9966" s="74"/>
      <c r="I9966" s="74">
        <f t="shared" si="7"/>
        <v>120000</v>
      </c>
      <c r="J9966" s="74">
        <f>IF(E9966="SERVICE",I9966-(I9966*50%),Vlookup(E9966,DATABASE!C:Q,10,false)*F9966)</f>
        <v>0</v>
      </c>
      <c r="K9966" s="74">
        <f>VLOOKUP(E9966,DATABASE!C:Q,7,false)</f>
        <v>10000</v>
      </c>
      <c r="L9966" s="74">
        <v>10000.0</v>
      </c>
      <c r="M9966" s="74">
        <f t="shared" si="6"/>
        <v>10000</v>
      </c>
      <c r="N9966" s="74">
        <f t="shared" si="3"/>
        <v>0</v>
      </c>
      <c r="O9966" s="65" t="str">
        <f>VLOOKUP(E9966,DATABASE!C:Q,8,false)</f>
        <v>IBU</v>
      </c>
      <c r="P9966" s="65">
        <f>VLOOKUP(E9966,DATABASE!C:Q,9,False)</f>
        <v>0</v>
      </c>
      <c r="Q9966" s="93" t="str">
        <f>VLOOKUP(E9966,DATABASE!C:Q,4,false)</f>
        <v>Baut</v>
      </c>
      <c r="R9966" s="93" t="str">
        <f>VLOOKUP(E9966,DATABASE!C:Q,11,false)</f>
        <v>COMPLEMENTARY</v>
      </c>
    </row>
    <row r="9967" ht="22.5" customHeight="1">
      <c r="A9967" s="49"/>
      <c r="C9967" s="400">
        <v>46254.0</v>
      </c>
      <c r="D9967" s="69">
        <v>659.0</v>
      </c>
      <c r="E9967" s="544" t="s">
        <v>282</v>
      </c>
      <c r="F9967" s="387">
        <v>2.0</v>
      </c>
      <c r="G9967" s="140">
        <v>880000.0</v>
      </c>
      <c r="H9967" s="140">
        <v>10000.0</v>
      </c>
      <c r="I9967" s="74">
        <f t="shared" si="7"/>
        <v>1740000</v>
      </c>
      <c r="J9967" s="74">
        <f>IF(E9967="SERVICE",I9967-(I9967*50%),Vlookup(E9967,DATABASE!C:Q,10,false)*F9967)</f>
        <v>0</v>
      </c>
      <c r="K9967" s="74">
        <f>VLOOKUP(E9967,DATABASE!C:Q,7,false)</f>
        <v>779500</v>
      </c>
      <c r="L9967" s="74">
        <v>779500.0</v>
      </c>
      <c r="M9967" s="74">
        <f t="shared" si="6"/>
        <v>780000</v>
      </c>
      <c r="N9967" s="74">
        <f t="shared" si="3"/>
        <v>180000</v>
      </c>
      <c r="O9967" s="65" t="str">
        <f>VLOOKUP(E9967,DATABASE!C:Q,8,false)</f>
        <v>IBU</v>
      </c>
      <c r="P9967" s="65">
        <f>VLOOKUP(E9967,DATABASE!C:Q,9,False)</f>
        <v>1</v>
      </c>
      <c r="Q9967" s="93" t="str">
        <f>VLOOKUP(E9967,DATABASE!C:Q,4,false)</f>
        <v>Dunlop</v>
      </c>
      <c r="R9967" s="93" t="str">
        <f>VLOOKUP(E9967,DATABASE!C:Q,11,false)</f>
        <v>Tire</v>
      </c>
    </row>
    <row r="9968" ht="22.5" customHeight="1">
      <c r="A9968" s="49"/>
      <c r="C9968" s="400">
        <v>46254.0</v>
      </c>
      <c r="D9968" s="69">
        <v>660.0</v>
      </c>
      <c r="E9968" s="544" t="s">
        <v>256</v>
      </c>
      <c r="F9968" s="387">
        <v>1.0</v>
      </c>
      <c r="G9968" s="140">
        <v>150000.0</v>
      </c>
      <c r="H9968" s="74"/>
      <c r="I9968" s="74">
        <f t="shared" si="7"/>
        <v>150000</v>
      </c>
      <c r="J9968" s="74">
        <f>IF(E9968="SERVICE",I9968-(I9968*50%),Vlookup(E9968,DATABASE!C:Q,10,false)*F9968)</f>
        <v>10000</v>
      </c>
      <c r="K9968" s="74">
        <f>VLOOKUP(E9968,DATABASE!C:Q,7,false)</f>
        <v>0</v>
      </c>
      <c r="L9968" s="74">
        <v>0.0</v>
      </c>
      <c r="M9968" s="74">
        <f t="shared" si="6"/>
        <v>0</v>
      </c>
      <c r="N9968" s="74">
        <f t="shared" si="3"/>
        <v>140000</v>
      </c>
      <c r="O9968" s="65" t="str">
        <f>VLOOKUP(E9968,DATABASE!C:Q,8,false)</f>
        <v>IBU</v>
      </c>
      <c r="P9968" s="65">
        <f>VLOOKUP(E9968,DATABASE!C:Q,9,False)</f>
        <v>0</v>
      </c>
      <c r="Q9968" s="93" t="str">
        <f>VLOOKUP(E9968,DATABASE!C:Q,4,false)</f>
        <v>SPOORING</v>
      </c>
      <c r="R9968" s="93" t="str">
        <f>VLOOKUP(E9968,DATABASE!C:Q,11,false)</f>
        <v>SERVICE</v>
      </c>
    </row>
    <row r="9969" ht="22.5" customHeight="1">
      <c r="A9969" s="49"/>
      <c r="C9969" s="400">
        <v>46254.0</v>
      </c>
      <c r="D9969" s="69">
        <v>661.0</v>
      </c>
      <c r="E9969" s="544" t="s">
        <v>275</v>
      </c>
      <c r="F9969" s="387">
        <v>2.0</v>
      </c>
      <c r="G9969" s="140">
        <v>850000.0</v>
      </c>
      <c r="H9969" s="74"/>
      <c r="I9969" s="74">
        <f t="shared" si="7"/>
        <v>1700000</v>
      </c>
      <c r="J9969" s="74">
        <f>IF(E9969="SERVICE",I9969-(I9969*50%),Vlookup(E9969,DATABASE!C:Q,10,false)*F9969)</f>
        <v>0</v>
      </c>
      <c r="K9969" s="74">
        <f>VLOOKUP(E9969,DATABASE!C:Q,7,false)</f>
        <v>782000</v>
      </c>
      <c r="L9969" s="74">
        <v>759500.0</v>
      </c>
      <c r="M9969" s="74">
        <f t="shared" si="6"/>
        <v>760000</v>
      </c>
      <c r="N9969" s="74">
        <f t="shared" si="3"/>
        <v>180000</v>
      </c>
      <c r="O9969" s="65" t="str">
        <f>VLOOKUP(E9969,DATABASE!C:Q,8,false)</f>
        <v>IBU</v>
      </c>
      <c r="P9969" s="65">
        <f>VLOOKUP(E9969,DATABASE!C:Q,9,False)</f>
        <v>1</v>
      </c>
      <c r="Q9969" s="93" t="str">
        <f>VLOOKUP(E9969,DATABASE!C:Q,4,false)</f>
        <v>Dunlop</v>
      </c>
      <c r="R9969" s="93" t="str">
        <f>VLOOKUP(E9969,DATABASE!C:Q,11,false)</f>
        <v>Tire</v>
      </c>
    </row>
    <row r="9970" ht="22.5" customHeight="1">
      <c r="A9970" s="49"/>
      <c r="C9970" s="400">
        <v>46254.0</v>
      </c>
      <c r="D9970" s="69">
        <v>661.0</v>
      </c>
      <c r="E9970" s="544" t="s">
        <v>299</v>
      </c>
      <c r="F9970" s="387">
        <v>2.0</v>
      </c>
      <c r="G9970" s="140">
        <v>30000.0</v>
      </c>
      <c r="H9970" s="74"/>
      <c r="I9970" s="74">
        <f t="shared" si="7"/>
        <v>60000</v>
      </c>
      <c r="J9970" s="74">
        <f>IF(E9970="SERVICE",I9970-(I9970*50%),Vlookup(E9970,DATABASE!C:Q,10,false)*F9970)</f>
        <v>0</v>
      </c>
      <c r="K9970" s="74">
        <f>VLOOKUP(E9970,DATABASE!C:Q,7,false)</f>
        <v>10000</v>
      </c>
      <c r="L9970" s="74">
        <v>10000.0</v>
      </c>
      <c r="M9970" s="74">
        <f t="shared" si="6"/>
        <v>10000</v>
      </c>
      <c r="N9970" s="74">
        <f t="shared" si="3"/>
        <v>40000</v>
      </c>
      <c r="O9970" s="65" t="str">
        <f>VLOOKUP(E9970,DATABASE!C:Q,8,false)</f>
        <v>BIAN</v>
      </c>
      <c r="P9970" s="65">
        <f>VLOOKUP(E9970,DATABASE!C:Q,9,False)</f>
        <v>0</v>
      </c>
      <c r="Q9970" s="93" t="str">
        <f>VLOOKUP(E9970,DATABASE!C:Q,4,false)</f>
        <v>Balancing</v>
      </c>
      <c r="R9970" s="93" t="str">
        <f>VLOOKUP(E9970,DATABASE!C:Q,11,false)</f>
        <v>COMPLEMENTARY</v>
      </c>
    </row>
    <row r="9971" ht="22.5" customHeight="1">
      <c r="A9971" s="49"/>
      <c r="C9971" s="400">
        <v>46254.0</v>
      </c>
      <c r="D9971" s="69">
        <v>661.0</v>
      </c>
      <c r="E9971" s="544" t="s">
        <v>262</v>
      </c>
      <c r="F9971" s="387">
        <v>1.0</v>
      </c>
      <c r="G9971" s="140">
        <v>130000.0</v>
      </c>
      <c r="H9971" s="74"/>
      <c r="I9971" s="74">
        <f t="shared" si="7"/>
        <v>130000</v>
      </c>
      <c r="J9971" s="74">
        <f>IF(E9971="SERVICE",I9971-(I9971*50%),Vlookup(E9971,DATABASE!C:Q,10,false)*F9971)</f>
        <v>5000</v>
      </c>
      <c r="K9971" s="74">
        <f>VLOOKUP(E9971,DATABASE!C:Q,7,false)</f>
        <v>0</v>
      </c>
      <c r="L9971" s="74">
        <v>0.0</v>
      </c>
      <c r="M9971" s="74">
        <f t="shared" si="6"/>
        <v>0</v>
      </c>
      <c r="N9971" s="74">
        <f t="shared" si="3"/>
        <v>125000</v>
      </c>
      <c r="O9971" s="65" t="str">
        <f>VLOOKUP(E9971,DATABASE!C:Q,8,false)</f>
        <v>IBU</v>
      </c>
      <c r="P9971" s="65">
        <f>VLOOKUP(E9971,DATABASE!C:Q,9,False)</f>
        <v>0</v>
      </c>
      <c r="Q9971" s="93" t="str">
        <f>VLOOKUP(E9971,DATABASE!C:Q,4,false)</f>
        <v>SPOORING SS/CARRY LOS BAK</v>
      </c>
      <c r="R9971" s="93" t="str">
        <f>VLOOKUP(E9971,DATABASE!C:Q,11,false)</f>
        <v>SERVICE</v>
      </c>
    </row>
    <row r="9972" ht="22.5" customHeight="1">
      <c r="A9972" s="49"/>
      <c r="C9972" s="400">
        <v>46254.0</v>
      </c>
      <c r="D9972" s="69">
        <v>662.0</v>
      </c>
      <c r="E9972" s="544" t="s">
        <v>268</v>
      </c>
      <c r="F9972" s="387">
        <v>1.0</v>
      </c>
      <c r="G9972" s="140">
        <v>720000.0</v>
      </c>
      <c r="H9972" s="74"/>
      <c r="I9972" s="74">
        <f t="shared" si="7"/>
        <v>720000</v>
      </c>
      <c r="J9972" s="74">
        <f>IF(E9972="SERVICE",I9972-(I9972*50%),Vlookup(E9972,DATABASE!C:Q,10,false)*F9972)</f>
        <v>0</v>
      </c>
      <c r="K9972" s="74">
        <f>VLOOKUP(E9972,DATABASE!C:Q,7,false)</f>
        <v>653000</v>
      </c>
      <c r="L9972" s="74">
        <v>634500.0</v>
      </c>
      <c r="M9972" s="74">
        <f t="shared" si="6"/>
        <v>635000</v>
      </c>
      <c r="N9972" s="74">
        <f t="shared" si="3"/>
        <v>85000</v>
      </c>
      <c r="O9972" s="65" t="str">
        <f>VLOOKUP(E9972,DATABASE!C:Q,8,false)</f>
        <v>IBU</v>
      </c>
      <c r="P9972" s="65">
        <f>VLOOKUP(E9972,DATABASE!C:Q,9,False)</f>
        <v>1</v>
      </c>
      <c r="Q9972" s="93" t="str">
        <f>VLOOKUP(E9972,DATABASE!C:Q,4,false)</f>
        <v>Dunlop</v>
      </c>
      <c r="R9972" s="93" t="str">
        <f>VLOOKUP(E9972,DATABASE!C:Q,11,false)</f>
        <v>Tire</v>
      </c>
    </row>
    <row r="9973" ht="22.5" customHeight="1">
      <c r="A9973" s="49"/>
      <c r="C9973" s="400">
        <v>46254.0</v>
      </c>
      <c r="D9973" s="69">
        <v>663.0</v>
      </c>
      <c r="E9973" s="544" t="s">
        <v>256</v>
      </c>
      <c r="F9973" s="387">
        <v>1.0</v>
      </c>
      <c r="G9973" s="140">
        <v>150000.0</v>
      </c>
      <c r="H9973" s="74"/>
      <c r="I9973" s="74">
        <f t="shared" si="7"/>
        <v>150000</v>
      </c>
      <c r="J9973" s="74">
        <f>IF(E9973="SERVICE",I9973-(I9973*50%),Vlookup(E9973,DATABASE!C:Q,10,false)*F9973)</f>
        <v>10000</v>
      </c>
      <c r="K9973" s="74">
        <f>VLOOKUP(E9973,DATABASE!C:Q,7,false)</f>
        <v>0</v>
      </c>
      <c r="L9973" s="74">
        <v>0.0</v>
      </c>
      <c r="M9973" s="74">
        <f t="shared" si="6"/>
        <v>0</v>
      </c>
      <c r="N9973" s="74">
        <f t="shared" si="3"/>
        <v>140000</v>
      </c>
      <c r="O9973" s="65" t="str">
        <f>VLOOKUP(E9973,DATABASE!C:Q,8,false)</f>
        <v>IBU</v>
      </c>
      <c r="P9973" s="65">
        <f>VLOOKUP(E9973,DATABASE!C:Q,9,False)</f>
        <v>0</v>
      </c>
      <c r="Q9973" s="93" t="str">
        <f>VLOOKUP(E9973,DATABASE!C:Q,4,false)</f>
        <v>SPOORING</v>
      </c>
      <c r="R9973" s="93" t="str">
        <f>VLOOKUP(E9973,DATABASE!C:Q,11,false)</f>
        <v>SERVICE</v>
      </c>
    </row>
    <row r="9974" ht="22.5" customHeight="1">
      <c r="A9974" s="49"/>
      <c r="C9974" s="400">
        <v>46254.0</v>
      </c>
      <c r="D9974" s="69">
        <v>663.0</v>
      </c>
      <c r="E9974" s="544" t="s">
        <v>251</v>
      </c>
      <c r="F9974" s="387">
        <v>1.0</v>
      </c>
      <c r="G9974" s="140">
        <v>150000.0</v>
      </c>
      <c r="H9974" s="74"/>
      <c r="I9974" s="74">
        <f t="shared" si="7"/>
        <v>150000</v>
      </c>
      <c r="J9974" s="74">
        <f>IF(E9974="SERVICE",I9974-(I9974*50%),Vlookup(E9974,DATABASE!C:Q,10,false)*F9974)</f>
        <v>75000</v>
      </c>
      <c r="K9974" s="74">
        <f>VLOOKUP(E9974,DATABASE!C:Q,7,false)</f>
        <v>0</v>
      </c>
      <c r="L9974" s="74">
        <v>0.0</v>
      </c>
      <c r="M9974" s="74">
        <f t="shared" si="6"/>
        <v>0</v>
      </c>
      <c r="N9974" s="74">
        <f t="shared" si="3"/>
        <v>75000</v>
      </c>
      <c r="O9974" s="65" t="str">
        <f>VLOOKUP(E9974,DATABASE!C:Q,8,false)</f>
        <v>IBU</v>
      </c>
      <c r="P9974" s="65">
        <f>VLOOKUP(E9974,DATABASE!C:Q,9,False)</f>
        <v>0</v>
      </c>
      <c r="Q9974" s="93" t="str">
        <f>VLOOKUP(E9974,DATABASE!C:Q,4,false)</f>
        <v>SERVICE</v>
      </c>
      <c r="R9974" s="93" t="str">
        <f>VLOOKUP(E9974,DATABASE!C:Q,11,false)</f>
        <v>SERVICE</v>
      </c>
    </row>
    <row r="9975" ht="22.5" customHeight="1">
      <c r="A9975" s="49"/>
      <c r="C9975" s="400">
        <v>46254.0</v>
      </c>
      <c r="D9975" s="69" t="s">
        <v>2909</v>
      </c>
      <c r="E9975" s="544" t="s">
        <v>252</v>
      </c>
      <c r="F9975" s="387">
        <v>1.0</v>
      </c>
      <c r="G9975" s="140">
        <v>370000.0</v>
      </c>
      <c r="H9975" s="74"/>
      <c r="I9975" s="74">
        <f t="shared" si="7"/>
        <v>370000</v>
      </c>
      <c r="J9975" s="74">
        <f>IF(E9975="SERVICE",I9975-(I9975*50%),Vlookup(E9975,DATABASE!C:Q,10,false)*F9975)</f>
        <v>0</v>
      </c>
      <c r="K9975" s="74">
        <f>VLOOKUP(E9975,DATABASE!C:Q,7,false)</f>
        <v>317518</v>
      </c>
      <c r="L9975" s="74">
        <v>317518.0</v>
      </c>
      <c r="M9975" s="74">
        <f t="shared" si="6"/>
        <v>320000</v>
      </c>
      <c r="N9975" s="74">
        <f t="shared" si="3"/>
        <v>50000</v>
      </c>
      <c r="O9975" s="65" t="str">
        <f>VLOOKUP(E9975,DATABASE!C:Q,8,false)</f>
        <v>NON</v>
      </c>
      <c r="P9975" s="65">
        <f>VLOOKUP(E9975,DATABASE!C:Q,9,False)</f>
        <v>0</v>
      </c>
      <c r="Q9975" s="93" t="str">
        <f>VLOOKUP(E9975,DATABASE!C:Q,4,false)</f>
        <v>Shell</v>
      </c>
      <c r="R9975" s="93" t="str">
        <f>VLOOKUP(E9975,DATABASE!C:Q,11,false)</f>
        <v>OIL</v>
      </c>
    </row>
    <row r="9976" ht="22.5" customHeight="1">
      <c r="A9976" s="49"/>
      <c r="C9976" s="400">
        <v>46254.0</v>
      </c>
      <c r="D9976" s="69" t="s">
        <v>2909</v>
      </c>
      <c r="E9976" s="544" t="s">
        <v>298</v>
      </c>
      <c r="F9976" s="387">
        <v>1.0</v>
      </c>
      <c r="G9976" s="140">
        <v>25000.0</v>
      </c>
      <c r="H9976" s="74"/>
      <c r="I9976" s="74">
        <f t="shared" si="7"/>
        <v>25000</v>
      </c>
      <c r="J9976" s="74">
        <f>IF(E9976="SERVICE",I9976-(I9976*50%),Vlookup(E9976,DATABASE!C:Q,10,false)*F9976)</f>
        <v>0</v>
      </c>
      <c r="K9976" s="74">
        <f>VLOOKUP(E9976,DATABASE!C:Q,7,false)</f>
        <v>19200</v>
      </c>
      <c r="L9976" s="74">
        <v>19200.0</v>
      </c>
      <c r="M9976" s="74">
        <f t="shared" si="6"/>
        <v>20000</v>
      </c>
      <c r="N9976" s="74">
        <f t="shared" si="3"/>
        <v>5000</v>
      </c>
      <c r="O9976" s="65" t="str">
        <f>VLOOKUP(E9976,DATABASE!C:Q,8,false)</f>
        <v>BIAN</v>
      </c>
      <c r="P9976" s="65">
        <f>VLOOKUP(E9976,DATABASE!C:Q,9,False)</f>
        <v>0</v>
      </c>
      <c r="Q9976" s="93" t="str">
        <f>VLOOKUP(E9976,DATABASE!C:Q,4,false)</f>
        <v>Aspira</v>
      </c>
      <c r="R9976" s="93" t="str">
        <f>VLOOKUP(E9976,DATABASE!C:Q,11,false)</f>
        <v>COMPLEMENTARY</v>
      </c>
    </row>
    <row r="9977" ht="22.5" customHeight="1">
      <c r="A9977" s="49"/>
      <c r="C9977" s="400">
        <v>46254.0</v>
      </c>
      <c r="D9977" s="69" t="s">
        <v>2910</v>
      </c>
      <c r="E9977" s="544" t="s">
        <v>263</v>
      </c>
      <c r="F9977" s="387">
        <v>1.0</v>
      </c>
      <c r="G9977" s="140">
        <v>385000.0</v>
      </c>
      <c r="H9977" s="74"/>
      <c r="I9977" s="74">
        <f t="shared" si="7"/>
        <v>385000</v>
      </c>
      <c r="J9977" s="74">
        <f>IF(E9977="SERVICE",I9977-(I9977*50%),Vlookup(E9977,DATABASE!C:Q,10,false)*F9977)</f>
        <v>0</v>
      </c>
      <c r="K9977" s="74">
        <f>VLOOKUP(E9977,DATABASE!C:Q,7,false)</f>
        <v>334916</v>
      </c>
      <c r="L9977" s="74">
        <v>334916.0</v>
      </c>
      <c r="M9977" s="74">
        <f t="shared" si="6"/>
        <v>335000</v>
      </c>
      <c r="N9977" s="74">
        <f t="shared" si="3"/>
        <v>50000</v>
      </c>
      <c r="O9977" s="65" t="str">
        <f>VLOOKUP(E9977,DATABASE!C:Q,8,false)</f>
        <v>NON</v>
      </c>
      <c r="P9977" s="65">
        <f>VLOOKUP(E9977,DATABASE!C:Q,9,False)</f>
        <v>0</v>
      </c>
      <c r="Q9977" s="93" t="str">
        <f>VLOOKUP(E9977,DATABASE!C:Q,4,false)</f>
        <v>Shell</v>
      </c>
      <c r="R9977" s="93" t="str">
        <f>VLOOKUP(E9977,DATABASE!C:Q,11,false)</f>
        <v>OIL</v>
      </c>
    </row>
    <row r="9978" ht="22.5" customHeight="1">
      <c r="A9978" s="49"/>
      <c r="C9978" s="400">
        <v>46255.0</v>
      </c>
      <c r="D9978" s="69">
        <v>664.0</v>
      </c>
      <c r="E9978" s="544" t="s">
        <v>791</v>
      </c>
      <c r="F9978" s="387">
        <v>1.0</v>
      </c>
      <c r="G9978" s="140">
        <v>1320000.0</v>
      </c>
      <c r="H9978" s="74"/>
      <c r="I9978" s="74">
        <f t="shared" si="7"/>
        <v>1320000</v>
      </c>
      <c r="J9978" s="74">
        <f>IF(E9978="SERVICE",I9978-(I9978*50%),Vlookup(E9978,DATABASE!C:Q,10,false)*F9978)</f>
        <v>0</v>
      </c>
      <c r="K9978" s="74">
        <f>VLOOKUP(E9978,DATABASE!C:Q,7,false)</f>
        <v>1210000</v>
      </c>
      <c r="L9978" s="74">
        <v>1210000.0</v>
      </c>
      <c r="M9978" s="74">
        <f t="shared" si="6"/>
        <v>1210000</v>
      </c>
      <c r="N9978" s="74">
        <f t="shared" si="3"/>
        <v>110000</v>
      </c>
      <c r="O9978" s="65" t="str">
        <f>VLOOKUP(E9978,DATABASE!C:Q,8,false)</f>
        <v>BIAN</v>
      </c>
      <c r="P9978" s="65">
        <f>VLOOKUP(E9978,DATABASE!C:Q,9,False)</f>
        <v>1</v>
      </c>
      <c r="Q9978" s="93" t="str">
        <f>VLOOKUP(E9978,DATABASE!C:Q,4,false)</f>
        <v>GT</v>
      </c>
      <c r="R9978" s="93" t="str">
        <f>VLOOKUP(E9978,DATABASE!C:Q,11,false)</f>
        <v>Tire</v>
      </c>
    </row>
    <row r="9979" ht="22.5" customHeight="1">
      <c r="A9979" s="49"/>
      <c r="C9979" s="400">
        <v>46255.0</v>
      </c>
      <c r="D9979" s="69">
        <v>665.0</v>
      </c>
      <c r="E9979" s="544" t="s">
        <v>2199</v>
      </c>
      <c r="F9979" s="387">
        <v>1.0</v>
      </c>
      <c r="G9979" s="140">
        <v>15000.0</v>
      </c>
      <c r="H9979" s="74"/>
      <c r="I9979" s="74">
        <f t="shared" si="7"/>
        <v>15000</v>
      </c>
      <c r="J9979" s="74">
        <f>IF(E9979="SERVICE",I9979-(I9979*50%),Vlookup(E9979,DATABASE!C:Q,10,false)*F9979)</f>
        <v>0</v>
      </c>
      <c r="K9979" s="74">
        <f>VLOOKUP(E9979,DATABASE!C:Q,7,false)</f>
        <v>5000</v>
      </c>
      <c r="L9979" s="74">
        <v>5000.0</v>
      </c>
      <c r="M9979" s="74">
        <f t="shared" si="6"/>
        <v>5000</v>
      </c>
      <c r="N9979" s="74">
        <f t="shared" si="3"/>
        <v>10000</v>
      </c>
      <c r="O9979" s="65" t="str">
        <f>VLOOKUP(E9979,DATABASE!C:Q,8,false)</f>
        <v>BIAN</v>
      </c>
      <c r="P9979" s="65">
        <f>VLOOKUP(E9979,DATABASE!C:Q,9,False)</f>
        <v>0</v>
      </c>
      <c r="Q9979" s="93" t="str">
        <f>VLOOKUP(E9979,DATABASE!C:Q,4,false)</f>
        <v>TAMBAL TUBLES</v>
      </c>
      <c r="R9979" s="93" t="str">
        <f>VLOOKUP(E9979,DATABASE!C:Q,11,false)</f>
        <v>COMPLEMENTARY</v>
      </c>
    </row>
    <row r="9980" ht="22.5" customHeight="1">
      <c r="A9980" s="49"/>
      <c r="C9980" s="400">
        <v>46255.0</v>
      </c>
      <c r="D9980" s="69">
        <v>666.0</v>
      </c>
      <c r="E9980" s="544" t="s">
        <v>1196</v>
      </c>
      <c r="F9980" s="387">
        <v>1.0</v>
      </c>
      <c r="G9980" s="140">
        <v>1020000.0</v>
      </c>
      <c r="H9980" s="74"/>
      <c r="I9980" s="74">
        <f t="shared" si="7"/>
        <v>1020000</v>
      </c>
      <c r="J9980" s="74">
        <f>IF(E9980="SERVICE",I9980-(I9980*50%),Vlookup(E9980,DATABASE!C:Q,10,false)*F9980)</f>
        <v>0</v>
      </c>
      <c r="K9980" s="74">
        <f>VLOOKUP(E9980,DATABASE!C:Q,7,false)</f>
        <v>943430.5</v>
      </c>
      <c r="L9980" s="74">
        <v>909585.0</v>
      </c>
      <c r="M9980" s="74">
        <f t="shared" si="6"/>
        <v>910000</v>
      </c>
      <c r="N9980" s="74">
        <f t="shared" si="3"/>
        <v>110000</v>
      </c>
      <c r="O9980" s="65" t="str">
        <f>VLOOKUP(E9980,DATABASE!C:Q,8,false)</f>
        <v>IBU</v>
      </c>
      <c r="P9980" s="65">
        <f>VLOOKUP(E9980,DATABASE!C:Q,9,False)</f>
        <v>1</v>
      </c>
      <c r="Q9980" s="93" t="str">
        <f>VLOOKUP(E9980,DATABASE!C:Q,4,false)</f>
        <v>Bridgestone</v>
      </c>
      <c r="R9980" s="93" t="str">
        <f>VLOOKUP(E9980,DATABASE!C:Q,11,false)</f>
        <v>Tire</v>
      </c>
    </row>
    <row r="9981" ht="22.5" customHeight="1">
      <c r="A9981" s="49"/>
      <c r="C9981" s="400">
        <v>46255.0</v>
      </c>
      <c r="D9981" s="69">
        <v>667.0</v>
      </c>
      <c r="E9981" s="544" t="s">
        <v>286</v>
      </c>
      <c r="F9981" s="387">
        <v>12.0</v>
      </c>
      <c r="G9981" s="140">
        <v>580000.0</v>
      </c>
      <c r="H9981" s="140">
        <v>10000.0</v>
      </c>
      <c r="I9981" s="74">
        <f t="shared" si="7"/>
        <v>6840000</v>
      </c>
      <c r="J9981" s="74">
        <f>IF(E9981="SERVICE",I9981-(I9981*50%),Vlookup(E9981,DATABASE!C:Q,10,false)*F9981)</f>
        <v>0</v>
      </c>
      <c r="K9981" s="74">
        <f>VLOOKUP(E9981,DATABASE!C:Q,7,false)</f>
        <v>488320</v>
      </c>
      <c r="L9981" s="74">
        <v>488320.0</v>
      </c>
      <c r="M9981" s="74">
        <f t="shared" si="6"/>
        <v>490000</v>
      </c>
      <c r="N9981" s="74">
        <f t="shared" si="3"/>
        <v>960000</v>
      </c>
      <c r="O9981" s="65" t="str">
        <f>VLOOKUP(E9981,DATABASE!C:Q,8,false)</f>
        <v>BIAN</v>
      </c>
      <c r="P9981" s="65">
        <f>VLOOKUP(E9981,DATABASE!C:Q,9,False)</f>
        <v>1</v>
      </c>
      <c r="Q9981" s="93" t="str">
        <f>VLOOKUP(E9981,DATABASE!C:Q,4,false)</f>
        <v>GT</v>
      </c>
      <c r="R9981" s="93" t="str">
        <f>VLOOKUP(E9981,DATABASE!C:Q,11,false)</f>
        <v>Tire</v>
      </c>
    </row>
    <row r="9982" ht="22.5" customHeight="1">
      <c r="A9982" s="49"/>
      <c r="C9982" s="400">
        <v>46255.0</v>
      </c>
      <c r="D9982" s="69">
        <v>667.0</v>
      </c>
      <c r="E9982" s="544" t="s">
        <v>271</v>
      </c>
      <c r="F9982" s="387">
        <v>2.0</v>
      </c>
      <c r="G9982" s="140">
        <v>640000.0</v>
      </c>
      <c r="H9982" s="140">
        <v>10000.0</v>
      </c>
      <c r="I9982" s="74">
        <f t="shared" si="7"/>
        <v>1260000</v>
      </c>
      <c r="J9982" s="74">
        <f>IF(E9982="SERVICE",I9982-(I9982*50%),Vlookup(E9982,DATABASE!C:Q,10,false)*F9982)</f>
        <v>0</v>
      </c>
      <c r="K9982" s="74">
        <f>VLOOKUP(E9982,DATABASE!C:Q,7,false)</f>
        <v>570000</v>
      </c>
      <c r="L9982" s="74">
        <v>550000.0</v>
      </c>
      <c r="M9982" s="74">
        <f t="shared" si="6"/>
        <v>550000</v>
      </c>
      <c r="N9982" s="74">
        <f t="shared" si="3"/>
        <v>160000</v>
      </c>
      <c r="O9982" s="65" t="str">
        <f>VLOOKUP(E9982,DATABASE!C:Q,8,false)</f>
        <v>IBU</v>
      </c>
      <c r="P9982" s="65">
        <f>VLOOKUP(E9982,DATABASE!C:Q,9,False)</f>
        <v>1</v>
      </c>
      <c r="Q9982" s="93" t="str">
        <f>VLOOKUP(E9982,DATABASE!C:Q,4,false)</f>
        <v>Dunlop</v>
      </c>
      <c r="R9982" s="93" t="str">
        <f>VLOOKUP(E9982,DATABASE!C:Q,11,false)</f>
        <v>Tire</v>
      </c>
    </row>
    <row r="9983" ht="22.5" customHeight="1">
      <c r="A9983" s="49"/>
      <c r="C9983" s="400">
        <v>46255.0</v>
      </c>
      <c r="D9983" s="69">
        <v>668.0</v>
      </c>
      <c r="E9983" s="544" t="s">
        <v>856</v>
      </c>
      <c r="F9983" s="387">
        <v>2.0</v>
      </c>
      <c r="G9983" s="140">
        <v>700000.0</v>
      </c>
      <c r="H9983" s="74"/>
      <c r="I9983" s="74">
        <f t="shared" si="7"/>
        <v>1400000</v>
      </c>
      <c r="J9983" s="74">
        <f>IF(E9983="SERVICE",I9983-(I9983*50%),Vlookup(E9983,DATABASE!C:Q,10,false)*F9983)</f>
        <v>0</v>
      </c>
      <c r="K9983" s="74">
        <f>VLOOKUP(E9983,DATABASE!C:Q,7,false)</f>
        <v>615300</v>
      </c>
      <c r="L9983" s="74">
        <v>615300.0</v>
      </c>
      <c r="M9983" s="74">
        <f t="shared" si="6"/>
        <v>620000</v>
      </c>
      <c r="N9983" s="74">
        <f t="shared" si="3"/>
        <v>160000</v>
      </c>
      <c r="O9983" s="65" t="str">
        <f>VLOOKUP(E9983,DATABASE!C:Q,8,false)</f>
        <v>BIAN</v>
      </c>
      <c r="P9983" s="65">
        <f>VLOOKUP(E9983,DATABASE!C:Q,9,False)</f>
        <v>1</v>
      </c>
      <c r="Q9983" s="93" t="str">
        <f>VLOOKUP(E9983,DATABASE!C:Q,4,false)</f>
        <v>GT</v>
      </c>
      <c r="R9983" s="93" t="str">
        <f>VLOOKUP(E9983,DATABASE!C:Q,11,false)</f>
        <v>Tire</v>
      </c>
    </row>
    <row r="9984" ht="22.5" customHeight="1">
      <c r="A9984" s="49"/>
      <c r="C9984" s="400">
        <v>46255.0</v>
      </c>
      <c r="D9984" s="69">
        <v>669.0</v>
      </c>
      <c r="E9984" s="544" t="s">
        <v>255</v>
      </c>
      <c r="F9984" s="387">
        <v>1.0</v>
      </c>
      <c r="G9984" s="140">
        <v>200000.0</v>
      </c>
      <c r="H9984" s="74"/>
      <c r="I9984" s="74">
        <f t="shared" si="7"/>
        <v>200000</v>
      </c>
      <c r="J9984" s="74">
        <f>IF(E9984="SERVICE",I9984-(I9984*50%),Vlookup(E9984,DATABASE!C:Q,10,false)*F9984)</f>
        <v>0</v>
      </c>
      <c r="K9984" s="74">
        <f>VLOOKUP(E9984,DATABASE!C:Q,7,false)</f>
        <v>161840</v>
      </c>
      <c r="L9984" s="74">
        <v>161840.0</v>
      </c>
      <c r="M9984" s="74">
        <f t="shared" si="6"/>
        <v>165000</v>
      </c>
      <c r="N9984" s="74">
        <f t="shared" si="3"/>
        <v>35000</v>
      </c>
      <c r="O9984" s="65" t="str">
        <f>VLOOKUP(E9984,DATABASE!C:Q,8,false)</f>
        <v>BIAN</v>
      </c>
      <c r="P9984" s="65">
        <f>VLOOKUP(E9984,DATABASE!C:Q,9,False)</f>
        <v>1</v>
      </c>
      <c r="Q9984" s="93" t="str">
        <f>VLOOKUP(E9984,DATABASE!C:Q,4,false)</f>
        <v>BD</v>
      </c>
      <c r="R9984" s="93" t="str">
        <f>VLOOKUP(E9984,DATABASE!C:Q,11,false)</f>
        <v>Tire</v>
      </c>
    </row>
    <row r="9985" ht="22.5" customHeight="1">
      <c r="A9985" s="49"/>
      <c r="C9985" s="400">
        <v>46255.0</v>
      </c>
      <c r="D9985" s="69">
        <v>670.0</v>
      </c>
      <c r="E9985" s="544" t="s">
        <v>1439</v>
      </c>
      <c r="F9985" s="387">
        <v>2.0</v>
      </c>
      <c r="G9985" s="140">
        <v>645000.0</v>
      </c>
      <c r="H9985" s="74"/>
      <c r="I9985" s="74">
        <f t="shared" si="7"/>
        <v>1290000</v>
      </c>
      <c r="J9985" s="74">
        <f>IF(E9985="SERVICE",I9985-(I9985*50%),Vlookup(E9985,DATABASE!C:Q,10,false)*F9985)</f>
        <v>0</v>
      </c>
      <c r="K9985" s="74">
        <f>VLOOKUP(E9985,DATABASE!C:Q,7,false)</f>
        <v>556800</v>
      </c>
      <c r="L9985" s="74">
        <v>556800.0</v>
      </c>
      <c r="M9985" s="74">
        <f t="shared" si="6"/>
        <v>560000</v>
      </c>
      <c r="N9985" s="74">
        <f t="shared" si="3"/>
        <v>170000</v>
      </c>
      <c r="O9985" s="65" t="str">
        <f>VLOOKUP(E9985,DATABASE!C:Q,8,false)</f>
        <v>BIAN</v>
      </c>
      <c r="P9985" s="65">
        <f>VLOOKUP(E9985,DATABASE!C:Q,9,False)</f>
        <v>1</v>
      </c>
      <c r="Q9985" s="93" t="str">
        <f>VLOOKUP(E9985,DATABASE!C:Q,4,false)</f>
        <v>GT</v>
      </c>
      <c r="R9985" s="93" t="str">
        <f>VLOOKUP(E9985,DATABASE!C:Q,11,false)</f>
        <v>Tire</v>
      </c>
    </row>
    <row r="9986" ht="22.5" customHeight="1">
      <c r="A9986" s="49"/>
      <c r="C9986" s="400">
        <v>46255.0</v>
      </c>
      <c r="D9986" s="69">
        <v>670.0</v>
      </c>
      <c r="E9986" s="544" t="s">
        <v>299</v>
      </c>
      <c r="F9986" s="387">
        <v>2.0</v>
      </c>
      <c r="G9986" s="140">
        <v>30000.0</v>
      </c>
      <c r="H9986" s="74"/>
      <c r="I9986" s="74">
        <f t="shared" si="7"/>
        <v>60000</v>
      </c>
      <c r="J9986" s="74">
        <f>IF(E9986="SERVICE",I9986-(I9986*50%),Vlookup(E9986,DATABASE!C:Q,10,false)*F9986)</f>
        <v>0</v>
      </c>
      <c r="K9986" s="74">
        <f>VLOOKUP(E9986,DATABASE!C:Q,7,false)</f>
        <v>10000</v>
      </c>
      <c r="L9986" s="74">
        <v>10000.0</v>
      </c>
      <c r="M9986" s="74">
        <f t="shared" si="6"/>
        <v>10000</v>
      </c>
      <c r="N9986" s="74">
        <f t="shared" si="3"/>
        <v>40000</v>
      </c>
      <c r="O9986" s="65" t="str">
        <f>VLOOKUP(E9986,DATABASE!C:Q,8,false)</f>
        <v>BIAN</v>
      </c>
      <c r="P9986" s="65">
        <f>VLOOKUP(E9986,DATABASE!C:Q,9,False)</f>
        <v>0</v>
      </c>
      <c r="Q9986" s="93" t="str">
        <f>VLOOKUP(E9986,DATABASE!C:Q,4,false)</f>
        <v>Balancing</v>
      </c>
      <c r="R9986" s="93" t="str">
        <f>VLOOKUP(E9986,DATABASE!C:Q,11,false)</f>
        <v>COMPLEMENTARY</v>
      </c>
    </row>
    <row r="9987" ht="22.5" customHeight="1">
      <c r="A9987" s="49"/>
      <c r="C9987" s="400">
        <v>46255.0</v>
      </c>
      <c r="D9987" s="69">
        <v>670.0</v>
      </c>
      <c r="E9987" s="544" t="s">
        <v>262</v>
      </c>
      <c r="F9987" s="387">
        <v>1.0</v>
      </c>
      <c r="G9987" s="140">
        <v>130000.0</v>
      </c>
      <c r="H9987" s="74"/>
      <c r="I9987" s="74">
        <f t="shared" si="7"/>
        <v>130000</v>
      </c>
      <c r="J9987" s="74">
        <f>IF(E9987="SERVICE",I9987-(I9987*50%),Vlookup(E9987,DATABASE!C:Q,10,false)*F9987)</f>
        <v>5000</v>
      </c>
      <c r="K9987" s="74">
        <f>VLOOKUP(E9987,DATABASE!C:Q,7,false)</f>
        <v>0</v>
      </c>
      <c r="L9987" s="74">
        <v>0.0</v>
      </c>
      <c r="M9987" s="74">
        <f t="shared" si="6"/>
        <v>0</v>
      </c>
      <c r="N9987" s="74">
        <f t="shared" si="3"/>
        <v>125000</v>
      </c>
      <c r="O9987" s="65" t="str">
        <f>VLOOKUP(E9987,DATABASE!C:Q,8,false)</f>
        <v>IBU</v>
      </c>
      <c r="P9987" s="65">
        <f>VLOOKUP(E9987,DATABASE!C:Q,9,False)</f>
        <v>0</v>
      </c>
      <c r="Q9987" s="93" t="str">
        <f>VLOOKUP(E9987,DATABASE!C:Q,4,false)</f>
        <v>SPOORING SS/CARRY LOS BAK</v>
      </c>
      <c r="R9987" s="93" t="str">
        <f>VLOOKUP(E9987,DATABASE!C:Q,11,false)</f>
        <v>SERVICE</v>
      </c>
    </row>
    <row r="9988" ht="22.5" customHeight="1">
      <c r="A9988" s="49"/>
      <c r="C9988" s="400">
        <v>46255.0</v>
      </c>
      <c r="D9988" s="69">
        <v>670.0</v>
      </c>
      <c r="E9988" s="544" t="s">
        <v>478</v>
      </c>
      <c r="F9988" s="387">
        <v>1.0</v>
      </c>
      <c r="G9988" s="140">
        <v>200000.0</v>
      </c>
      <c r="H9988" s="74"/>
      <c r="I9988" s="74">
        <f t="shared" si="7"/>
        <v>200000</v>
      </c>
      <c r="J9988" s="74">
        <f>IF(E9988="SERVICE",I9988-(I9988*50%),Vlookup(E9988,DATABASE!C:Q,10,false)*F9988)</f>
        <v>25000</v>
      </c>
      <c r="K9988" s="74">
        <f>VLOOKUP(E9988,DATABASE!C:Q,7,false)</f>
        <v>75000</v>
      </c>
      <c r="L9988" s="74">
        <v>75000.0</v>
      </c>
      <c r="M9988" s="74">
        <f t="shared" si="6"/>
        <v>75000</v>
      </c>
      <c r="N9988" s="74">
        <f t="shared" si="3"/>
        <v>100000</v>
      </c>
      <c r="O9988" s="65" t="str">
        <f>VLOOKUP(E9988,DATABASE!C:Q,8,false)</f>
        <v>BIAN</v>
      </c>
      <c r="P9988" s="65">
        <f>VLOOKUP(E9988,DATABASE!C:Q,9,False)</f>
        <v>0</v>
      </c>
      <c r="Q9988" s="93" t="str">
        <f>VLOOKUP(E9988,DATABASE!C:Q,4,false)</f>
        <v>Baut Camber ss-carry</v>
      </c>
      <c r="R9988" s="93" t="str">
        <f>VLOOKUP(E9988,DATABASE!C:Q,11,false)</f>
        <v>COMPLEMENTARY</v>
      </c>
    </row>
    <row r="9989" ht="22.5" customHeight="1">
      <c r="A9989" s="49"/>
      <c r="C9989" s="400">
        <v>46255.0</v>
      </c>
      <c r="D9989" s="69">
        <v>670.0</v>
      </c>
      <c r="E9989" s="544" t="s">
        <v>2636</v>
      </c>
      <c r="F9989" s="387">
        <v>2.0</v>
      </c>
      <c r="G9989" s="140">
        <v>50000.0</v>
      </c>
      <c r="H9989" s="74"/>
      <c r="I9989" s="74">
        <f t="shared" si="7"/>
        <v>100000</v>
      </c>
      <c r="J9989" s="74">
        <f>IF(E9989="SERVICE",I9989-(I9989*50%),Vlookup(E9989,DATABASE!C:Q,10,false)*F9989)</f>
        <v>0</v>
      </c>
      <c r="K9989" s="74">
        <f>VLOOKUP(E9989,DATABASE!C:Q,7,false)</f>
        <v>27375</v>
      </c>
      <c r="L9989" s="74">
        <v>27375.0</v>
      </c>
      <c r="M9989" s="74">
        <f t="shared" si="6"/>
        <v>30000</v>
      </c>
      <c r="N9989" s="74">
        <f t="shared" si="3"/>
        <v>40000</v>
      </c>
      <c r="O9989" s="65" t="str">
        <f>VLOOKUP(E9989,DATABASE!C:Q,8,false)</f>
        <v>NON VPT</v>
      </c>
      <c r="P9989" s="65">
        <f>VLOOKUP(E9989,DATABASE!C:Q,9,False)</f>
        <v>0</v>
      </c>
      <c r="Q9989" s="93" t="str">
        <f>VLOOKUP(E9989,DATABASE!C:Q,4,false)</f>
        <v>JF</v>
      </c>
      <c r="R9989" s="93" t="str">
        <f>VLOOKUP(E9989,DATABASE!C:Q,11,false)</f>
        <v>COMPLEMENTARY</v>
      </c>
    </row>
    <row r="9990" ht="22.5" customHeight="1">
      <c r="A9990" s="49"/>
      <c r="C9990" s="400">
        <v>46255.0</v>
      </c>
      <c r="D9990" s="69">
        <v>670.0</v>
      </c>
      <c r="E9990" s="544" t="s">
        <v>251</v>
      </c>
      <c r="F9990" s="387">
        <v>1.0</v>
      </c>
      <c r="G9990" s="140">
        <v>120000.0</v>
      </c>
      <c r="H9990" s="74"/>
      <c r="I9990" s="74">
        <f t="shared" si="7"/>
        <v>120000</v>
      </c>
      <c r="J9990" s="74">
        <f>IF(E9990="SERVICE",I9990-(I9990*50%),Vlookup(E9990,DATABASE!C:Q,10,false)*F9990)</f>
        <v>60000</v>
      </c>
      <c r="K9990" s="74">
        <f>VLOOKUP(E9990,DATABASE!C:Q,7,false)</f>
        <v>0</v>
      </c>
      <c r="L9990" s="74">
        <v>0.0</v>
      </c>
      <c r="M9990" s="74">
        <f t="shared" si="6"/>
        <v>0</v>
      </c>
      <c r="N9990" s="74">
        <f t="shared" si="3"/>
        <v>60000</v>
      </c>
      <c r="O9990" s="65" t="str">
        <f>VLOOKUP(E9990,DATABASE!C:Q,8,false)</f>
        <v>IBU</v>
      </c>
      <c r="P9990" s="65">
        <f>VLOOKUP(E9990,DATABASE!C:Q,9,False)</f>
        <v>0</v>
      </c>
      <c r="Q9990" s="93" t="str">
        <f>VLOOKUP(E9990,DATABASE!C:Q,4,false)</f>
        <v>SERVICE</v>
      </c>
      <c r="R9990" s="93" t="str">
        <f>VLOOKUP(E9990,DATABASE!C:Q,11,false)</f>
        <v>SERVICE</v>
      </c>
    </row>
    <row r="9991" ht="22.5" customHeight="1">
      <c r="A9991" s="49"/>
      <c r="C9991" s="400">
        <v>46256.0</v>
      </c>
      <c r="D9991" s="69">
        <v>671.0</v>
      </c>
      <c r="E9991" s="544" t="s">
        <v>1858</v>
      </c>
      <c r="F9991" s="387">
        <v>2.0</v>
      </c>
      <c r="G9991" s="140">
        <v>2130000.0</v>
      </c>
      <c r="H9991" s="74"/>
      <c r="I9991" s="74">
        <f t="shared" si="7"/>
        <v>4260000</v>
      </c>
      <c r="J9991" s="74">
        <f>IF(E9991="SERVICE",I9991-(I9991*50%),Vlookup(E9991,DATABASE!C:Q,10,false)*F9991)</f>
        <v>0</v>
      </c>
      <c r="K9991" s="74">
        <f>VLOOKUP(E9991,DATABASE!C:Q,7,false)</f>
        <v>2030000</v>
      </c>
      <c r="L9991" s="74">
        <v>2030000.0</v>
      </c>
      <c r="M9991" s="74">
        <f t="shared" si="6"/>
        <v>2030000</v>
      </c>
      <c r="N9991" s="74">
        <f t="shared" si="3"/>
        <v>200000</v>
      </c>
      <c r="O9991" s="65" t="str">
        <f>VLOOKUP(E9991,DATABASE!C:Q,8,false)</f>
        <v>BIAN</v>
      </c>
      <c r="P9991" s="65">
        <f>VLOOKUP(E9991,DATABASE!C:Q,9,False)</f>
        <v>1</v>
      </c>
      <c r="Q9991" s="93" t="str">
        <f>VLOOKUP(E9991,DATABASE!C:Q,4,false)</f>
        <v>GiTi</v>
      </c>
      <c r="R9991" s="93" t="str">
        <f>VLOOKUP(E9991,DATABASE!C:Q,11,false)</f>
        <v>Tire</v>
      </c>
    </row>
    <row r="9992" ht="22.5" customHeight="1">
      <c r="A9992" s="49"/>
      <c r="C9992" s="400">
        <v>46256.0</v>
      </c>
      <c r="D9992" s="69">
        <v>672.0</v>
      </c>
      <c r="E9992" s="544" t="s">
        <v>2140</v>
      </c>
      <c r="F9992" s="387">
        <v>1.0</v>
      </c>
      <c r="G9992" s="140">
        <v>30000.0</v>
      </c>
      <c r="H9992" s="74"/>
      <c r="I9992" s="74">
        <f t="shared" si="7"/>
        <v>30000</v>
      </c>
      <c r="J9992" s="74">
        <f>IF(E9992="SERVICE",I9992-(I9992*50%),Vlookup(E9992,DATABASE!C:Q,10,false)*F9992)</f>
        <v>0</v>
      </c>
      <c r="K9992" s="140">
        <v>5000.0</v>
      </c>
      <c r="L9992" s="140">
        <v>5000.0</v>
      </c>
      <c r="M9992" s="74">
        <f t="shared" si="6"/>
        <v>5000</v>
      </c>
      <c r="N9992" s="74">
        <f t="shared" si="3"/>
        <v>25000</v>
      </c>
      <c r="O9992" s="65" t="str">
        <f>VLOOKUP(E9992,DATABASE!C:Q,8,false)</f>
        <v>IBU</v>
      </c>
      <c r="P9992" s="65">
        <f>VLOOKUP(E9992,DATABASE!C:Q,9,False)</f>
        <v>0</v>
      </c>
      <c r="Q9992" s="93" t="str">
        <f>VLOOKUP(E9992,DATABASE!C:Q,4,false)</f>
        <v>PENTIL + PASANG</v>
      </c>
      <c r="R9992" s="93" t="str">
        <f>VLOOKUP(E9992,DATABASE!C:Q,11,false)</f>
        <v>COMPLEMENTARY</v>
      </c>
    </row>
    <row r="9993" ht="22.5" customHeight="1">
      <c r="A9993" s="49"/>
      <c r="C9993" s="400">
        <v>46256.0</v>
      </c>
      <c r="D9993" s="69">
        <v>673.0</v>
      </c>
      <c r="E9993" s="544" t="s">
        <v>286</v>
      </c>
      <c r="F9993" s="387">
        <v>1.0</v>
      </c>
      <c r="G9993" s="140">
        <v>580000.0</v>
      </c>
      <c r="H9993" s="74"/>
      <c r="I9993" s="74">
        <f t="shared" si="7"/>
        <v>580000</v>
      </c>
      <c r="J9993" s="74">
        <f>IF(E9993="SERVICE",I9993-(I9993*50%),Vlookup(E9993,DATABASE!C:Q,10,false)*F9993)</f>
        <v>0</v>
      </c>
      <c r="K9993" s="74">
        <f>VLOOKUP(E9993,DATABASE!C:Q,7,false)</f>
        <v>488320</v>
      </c>
      <c r="L9993" s="74">
        <v>488320.0</v>
      </c>
      <c r="M9993" s="74">
        <f t="shared" si="6"/>
        <v>490000</v>
      </c>
      <c r="N9993" s="74">
        <f t="shared" si="3"/>
        <v>90000</v>
      </c>
      <c r="O9993" s="65" t="str">
        <f>VLOOKUP(E9993,DATABASE!C:Q,8,false)</f>
        <v>BIAN</v>
      </c>
      <c r="P9993" s="65">
        <f>VLOOKUP(E9993,DATABASE!C:Q,9,False)</f>
        <v>1</v>
      </c>
      <c r="Q9993" s="93" t="str">
        <f>VLOOKUP(E9993,DATABASE!C:Q,4,false)</f>
        <v>GT</v>
      </c>
      <c r="R9993" s="93" t="str">
        <f>VLOOKUP(E9993,DATABASE!C:Q,11,false)</f>
        <v>Tire</v>
      </c>
    </row>
    <row r="9994" ht="22.5" customHeight="1">
      <c r="A9994" s="49"/>
      <c r="C9994" s="400">
        <v>46256.0</v>
      </c>
      <c r="D9994" s="69">
        <v>673.0</v>
      </c>
      <c r="E9994" s="544" t="s">
        <v>299</v>
      </c>
      <c r="F9994" s="387">
        <v>2.0</v>
      </c>
      <c r="G9994" s="140">
        <v>30000.0</v>
      </c>
      <c r="H9994" s="74"/>
      <c r="I9994" s="74">
        <f t="shared" si="7"/>
        <v>60000</v>
      </c>
      <c r="J9994" s="74">
        <f>IF(E9994="SERVICE",I9994-(I9994*50%),Vlookup(E9994,DATABASE!C:Q,10,false)*F9994)</f>
        <v>0</v>
      </c>
      <c r="K9994" s="74">
        <f>VLOOKUP(E9994,DATABASE!C:Q,7,false)</f>
        <v>10000</v>
      </c>
      <c r="L9994" s="74">
        <v>10000.0</v>
      </c>
      <c r="M9994" s="74">
        <f t="shared" si="6"/>
        <v>10000</v>
      </c>
      <c r="N9994" s="74">
        <f t="shared" si="3"/>
        <v>40000</v>
      </c>
      <c r="O9994" s="65" t="str">
        <f>VLOOKUP(E9994,DATABASE!C:Q,8,false)</f>
        <v>BIAN</v>
      </c>
      <c r="P9994" s="65">
        <f>VLOOKUP(E9994,DATABASE!C:Q,9,False)</f>
        <v>0</v>
      </c>
      <c r="Q9994" s="93" t="str">
        <f>VLOOKUP(E9994,DATABASE!C:Q,4,false)</f>
        <v>Balancing</v>
      </c>
      <c r="R9994" s="93" t="str">
        <f>VLOOKUP(E9994,DATABASE!C:Q,11,false)</f>
        <v>COMPLEMENTARY</v>
      </c>
    </row>
    <row r="9995" ht="22.5" customHeight="1">
      <c r="A9995" s="49"/>
      <c r="C9995" s="400">
        <v>46256.0</v>
      </c>
      <c r="D9995" s="69">
        <v>673.0</v>
      </c>
      <c r="E9995" s="544" t="s">
        <v>262</v>
      </c>
      <c r="F9995" s="387">
        <v>1.0</v>
      </c>
      <c r="G9995" s="140">
        <v>130000.0</v>
      </c>
      <c r="H9995" s="74"/>
      <c r="I9995" s="74">
        <f t="shared" si="7"/>
        <v>130000</v>
      </c>
      <c r="J9995" s="74">
        <f>IF(E9995="SERVICE",I9995-(I9995*50%),Vlookup(E9995,DATABASE!C:Q,10,false)*F9995)</f>
        <v>5000</v>
      </c>
      <c r="K9995" s="74">
        <f>VLOOKUP(E9995,DATABASE!C:Q,7,false)</f>
        <v>0</v>
      </c>
      <c r="L9995" s="74">
        <v>0.0</v>
      </c>
      <c r="M9995" s="74">
        <f t="shared" si="6"/>
        <v>0</v>
      </c>
      <c r="N9995" s="74">
        <f t="shared" si="3"/>
        <v>125000</v>
      </c>
      <c r="O9995" s="65" t="str">
        <f>VLOOKUP(E9995,DATABASE!C:Q,8,false)</f>
        <v>IBU</v>
      </c>
      <c r="P9995" s="65">
        <f>VLOOKUP(E9995,DATABASE!C:Q,9,False)</f>
        <v>0</v>
      </c>
      <c r="Q9995" s="93" t="str">
        <f>VLOOKUP(E9995,DATABASE!C:Q,4,false)</f>
        <v>SPOORING SS/CARRY LOS BAK</v>
      </c>
      <c r="R9995" s="93" t="str">
        <f>VLOOKUP(E9995,DATABASE!C:Q,11,false)</f>
        <v>SERVICE</v>
      </c>
    </row>
    <row r="9996" ht="22.5" customHeight="1">
      <c r="A9996" s="49"/>
      <c r="C9996" s="400">
        <v>46256.0</v>
      </c>
      <c r="D9996" s="69">
        <v>673.0</v>
      </c>
      <c r="E9996" s="544" t="s">
        <v>251</v>
      </c>
      <c r="F9996" s="387">
        <v>1.0</v>
      </c>
      <c r="G9996" s="140">
        <v>120000.0</v>
      </c>
      <c r="H9996" s="74"/>
      <c r="I9996" s="74">
        <f t="shared" si="7"/>
        <v>120000</v>
      </c>
      <c r="J9996" s="74">
        <f>IF(E9996="SERVICE",I9996-(I9996*50%),Vlookup(E9996,DATABASE!C:Q,10,false)*F9996)</f>
        <v>60000</v>
      </c>
      <c r="K9996" s="74">
        <f>VLOOKUP(E9996,DATABASE!C:Q,7,false)</f>
        <v>0</v>
      </c>
      <c r="L9996" s="74">
        <v>0.0</v>
      </c>
      <c r="M9996" s="74">
        <f t="shared" si="6"/>
        <v>0</v>
      </c>
      <c r="N9996" s="74">
        <f t="shared" si="3"/>
        <v>60000</v>
      </c>
      <c r="O9996" s="65" t="str">
        <f>VLOOKUP(E9996,DATABASE!C:Q,8,false)</f>
        <v>IBU</v>
      </c>
      <c r="P9996" s="65">
        <f>VLOOKUP(E9996,DATABASE!C:Q,9,False)</f>
        <v>0</v>
      </c>
      <c r="Q9996" s="93" t="str">
        <f>VLOOKUP(E9996,DATABASE!C:Q,4,false)</f>
        <v>SERVICE</v>
      </c>
      <c r="R9996" s="93" t="str">
        <f>VLOOKUP(E9996,DATABASE!C:Q,11,false)</f>
        <v>SERVICE</v>
      </c>
    </row>
    <row r="9997" ht="22.5" customHeight="1">
      <c r="A9997" s="49"/>
      <c r="C9997" s="400">
        <v>46256.0</v>
      </c>
      <c r="D9997" s="69">
        <v>674.0</v>
      </c>
      <c r="E9997" s="544" t="s">
        <v>275</v>
      </c>
      <c r="F9997" s="387">
        <v>2.0</v>
      </c>
      <c r="G9997" s="140">
        <v>850000.0</v>
      </c>
      <c r="H9997" s="74"/>
      <c r="I9997" s="74">
        <f t="shared" si="7"/>
        <v>1700000</v>
      </c>
      <c r="J9997" s="74">
        <f>IF(E9997="SERVICE",I9997-(I9997*50%),Vlookup(E9997,DATABASE!C:Q,10,false)*F9997)</f>
        <v>0</v>
      </c>
      <c r="K9997" s="74">
        <f>VLOOKUP(E9997,DATABASE!C:Q,7,false)</f>
        <v>782000</v>
      </c>
      <c r="L9997" s="74">
        <v>759500.0</v>
      </c>
      <c r="M9997" s="74">
        <f t="shared" si="6"/>
        <v>760000</v>
      </c>
      <c r="N9997" s="74">
        <f t="shared" si="3"/>
        <v>180000</v>
      </c>
      <c r="O9997" s="65" t="str">
        <f>VLOOKUP(E9997,DATABASE!C:Q,8,false)</f>
        <v>IBU</v>
      </c>
      <c r="P9997" s="65">
        <f>VLOOKUP(E9997,DATABASE!C:Q,9,False)</f>
        <v>1</v>
      </c>
      <c r="Q9997" s="93" t="str">
        <f>VLOOKUP(E9997,DATABASE!C:Q,4,false)</f>
        <v>Dunlop</v>
      </c>
      <c r="R9997" s="93" t="str">
        <f>VLOOKUP(E9997,DATABASE!C:Q,11,false)</f>
        <v>Tire</v>
      </c>
    </row>
    <row r="9998" ht="22.5" customHeight="1">
      <c r="A9998" s="49"/>
      <c r="C9998" s="400">
        <v>46256.0</v>
      </c>
      <c r="D9998" s="69">
        <v>674.0</v>
      </c>
      <c r="E9998" s="544" t="s">
        <v>299</v>
      </c>
      <c r="F9998" s="387">
        <v>2.0</v>
      </c>
      <c r="G9998" s="140">
        <v>30000.0</v>
      </c>
      <c r="H9998" s="74"/>
      <c r="I9998" s="74">
        <f t="shared" si="7"/>
        <v>60000</v>
      </c>
      <c r="J9998" s="74">
        <f>IF(E9998="SERVICE",I9998-(I9998*50%),Vlookup(E9998,DATABASE!C:Q,10,false)*F9998)</f>
        <v>0</v>
      </c>
      <c r="K9998" s="74">
        <f>VLOOKUP(E9998,DATABASE!C:Q,7,false)</f>
        <v>10000</v>
      </c>
      <c r="L9998" s="74">
        <v>10000.0</v>
      </c>
      <c r="M9998" s="74">
        <f t="shared" si="6"/>
        <v>10000</v>
      </c>
      <c r="N9998" s="74">
        <f t="shared" si="3"/>
        <v>40000</v>
      </c>
      <c r="O9998" s="65" t="str">
        <f>VLOOKUP(E9998,DATABASE!C:Q,8,false)</f>
        <v>BIAN</v>
      </c>
      <c r="P9998" s="65">
        <f>VLOOKUP(E9998,DATABASE!C:Q,9,False)</f>
        <v>0</v>
      </c>
      <c r="Q9998" s="93" t="str">
        <f>VLOOKUP(E9998,DATABASE!C:Q,4,false)</f>
        <v>Balancing</v>
      </c>
      <c r="R9998" s="93" t="str">
        <f>VLOOKUP(E9998,DATABASE!C:Q,11,false)</f>
        <v>COMPLEMENTARY</v>
      </c>
    </row>
    <row r="9999" ht="22.5" customHeight="1">
      <c r="A9999" s="49"/>
      <c r="C9999" s="400">
        <v>46256.0</v>
      </c>
      <c r="D9999" s="69">
        <v>675.0</v>
      </c>
      <c r="E9999" s="544" t="s">
        <v>2122</v>
      </c>
      <c r="F9999" s="387">
        <v>2.0</v>
      </c>
      <c r="G9999" s="140">
        <v>1450000.0</v>
      </c>
      <c r="H9999" s="74"/>
      <c r="I9999" s="74">
        <f t="shared" si="7"/>
        <v>2900000</v>
      </c>
      <c r="J9999" s="74">
        <f>IF(E9999="SERVICE",I9999-(I9999*50%),Vlookup(E9999,DATABASE!C:Q,10,false)*F9999)</f>
        <v>0</v>
      </c>
      <c r="K9999" s="74">
        <f>VLOOKUP(E9999,DATABASE!C:Q,7,false)</f>
        <v>1325000</v>
      </c>
      <c r="L9999" s="74">
        <v>1325000.0</v>
      </c>
      <c r="M9999" s="74">
        <f t="shared" si="6"/>
        <v>1325000</v>
      </c>
      <c r="N9999" s="74">
        <f t="shared" si="3"/>
        <v>250000</v>
      </c>
      <c r="O9999" s="65" t="str">
        <f>VLOOKUP(E9999,DATABASE!C:Q,8,false)</f>
        <v>BIAN</v>
      </c>
      <c r="P9999" s="65">
        <f>VLOOKUP(E9999,DATABASE!C:Q,9,False)</f>
        <v>1</v>
      </c>
      <c r="Q9999" s="93" t="str">
        <f>VLOOKUP(E9999,DATABASE!C:Q,4,false)</f>
        <v>Michelin</v>
      </c>
      <c r="R9999" s="93" t="str">
        <f>VLOOKUP(E9999,DATABASE!C:Q,11,false)</f>
        <v>Tire</v>
      </c>
    </row>
    <row r="10000" ht="22.5" customHeight="1">
      <c r="A10000" s="49"/>
      <c r="C10000" s="400">
        <v>46256.0</v>
      </c>
      <c r="D10000" s="69">
        <v>676.0</v>
      </c>
      <c r="E10000" s="544" t="s">
        <v>256</v>
      </c>
      <c r="F10000" s="387">
        <v>1.0</v>
      </c>
      <c r="G10000" s="140">
        <v>150000.0</v>
      </c>
      <c r="H10000" s="74"/>
      <c r="I10000" s="74">
        <f t="shared" si="7"/>
        <v>150000</v>
      </c>
      <c r="J10000" s="74">
        <f>IF(E10000="SERVICE",I10000-(I10000*50%),Vlookup(E10000,DATABASE!C:Q,10,false)*F10000)</f>
        <v>10000</v>
      </c>
      <c r="K10000" s="74">
        <f>VLOOKUP(E10000,DATABASE!C:Q,7,false)</f>
        <v>0</v>
      </c>
      <c r="L10000" s="74">
        <v>0.0</v>
      </c>
      <c r="M10000" s="74">
        <f t="shared" si="6"/>
        <v>0</v>
      </c>
      <c r="N10000" s="74">
        <f t="shared" si="3"/>
        <v>140000</v>
      </c>
      <c r="O10000" s="65" t="str">
        <f>VLOOKUP(E10000,DATABASE!C:Q,8,false)</f>
        <v>IBU</v>
      </c>
      <c r="P10000" s="65">
        <f>VLOOKUP(E10000,DATABASE!C:Q,9,False)</f>
        <v>0</v>
      </c>
      <c r="Q10000" s="93" t="str">
        <f>VLOOKUP(E10000,DATABASE!C:Q,4,false)</f>
        <v>SPOORING</v>
      </c>
      <c r="R10000" s="93" t="str">
        <f>VLOOKUP(E10000,DATABASE!C:Q,11,false)</f>
        <v>SERVICE</v>
      </c>
    </row>
    <row r="10001" ht="22.5" customHeight="1">
      <c r="A10001" s="49"/>
      <c r="C10001" s="400">
        <v>46256.0</v>
      </c>
      <c r="D10001" s="69">
        <v>676.0</v>
      </c>
      <c r="E10001" s="544" t="s">
        <v>251</v>
      </c>
      <c r="F10001" s="387">
        <v>1.0</v>
      </c>
      <c r="G10001" s="140">
        <v>250000.0</v>
      </c>
      <c r="H10001" s="74"/>
      <c r="I10001" s="74">
        <f t="shared" si="7"/>
        <v>250000</v>
      </c>
      <c r="J10001" s="74">
        <f>IF(E10001="SERVICE",I10001-(I10001*50%),Vlookup(E10001,DATABASE!C:Q,10,false)*F10001)</f>
        <v>125000</v>
      </c>
      <c r="K10001" s="74">
        <f>VLOOKUP(E10001,DATABASE!C:Q,7,false)</f>
        <v>0</v>
      </c>
      <c r="L10001" s="74">
        <v>0.0</v>
      </c>
      <c r="M10001" s="74">
        <f t="shared" si="6"/>
        <v>0</v>
      </c>
      <c r="N10001" s="74">
        <f t="shared" si="3"/>
        <v>125000</v>
      </c>
      <c r="O10001" s="65" t="str">
        <f>VLOOKUP(E10001,DATABASE!C:Q,8,false)</f>
        <v>IBU</v>
      </c>
      <c r="P10001" s="65">
        <f>VLOOKUP(E10001,DATABASE!C:Q,9,False)</f>
        <v>0</v>
      </c>
      <c r="Q10001" s="93" t="str">
        <f>VLOOKUP(E10001,DATABASE!C:Q,4,false)</f>
        <v>SERVICE</v>
      </c>
      <c r="R10001" s="93" t="str">
        <f>VLOOKUP(E10001,DATABASE!C:Q,11,false)</f>
        <v>SERVICE</v>
      </c>
    </row>
    <row r="10002" ht="22.5" customHeight="1">
      <c r="A10002" s="49"/>
      <c r="C10002" s="400">
        <v>46256.0</v>
      </c>
      <c r="D10002" s="138">
        <v>46228.0</v>
      </c>
      <c r="E10002" s="544" t="s">
        <v>839</v>
      </c>
      <c r="F10002" s="387">
        <v>1.0</v>
      </c>
      <c r="G10002" s="140">
        <v>665000.0</v>
      </c>
      <c r="H10002" s="74"/>
      <c r="I10002" s="74">
        <f t="shared" si="7"/>
        <v>665000</v>
      </c>
      <c r="J10002" s="74">
        <f>IF(E10002="SERVICE",I10002-(I10002*50%),Vlookup(E10002,DATABASE!C:Q,10,false)*F10002)</f>
        <v>0</v>
      </c>
      <c r="K10002" s="74">
        <f>VLOOKUP(E10002,DATABASE!C:Q,7,false)</f>
        <v>512640</v>
      </c>
      <c r="L10002" s="74">
        <v>490100.0</v>
      </c>
      <c r="M10002" s="74">
        <f t="shared" si="6"/>
        <v>495000</v>
      </c>
      <c r="N10002" s="74">
        <f t="shared" si="3"/>
        <v>170000</v>
      </c>
      <c r="O10002" s="65" t="str">
        <f>VLOOKUP(E10002,DATABASE!C:Q,8,false)</f>
        <v>BIAN</v>
      </c>
      <c r="P10002" s="65">
        <f>VLOOKUP(E10002,DATABASE!C:Q,9,False)</f>
        <v>1</v>
      </c>
      <c r="Q10002" s="93" t="str">
        <f>VLOOKUP(E10002,DATABASE!C:Q,4,false)</f>
        <v>GT</v>
      </c>
      <c r="R10002" s="93" t="str">
        <f>VLOOKUP(E10002,DATABASE!C:Q,11,false)</f>
        <v>Tire</v>
      </c>
    </row>
    <row r="10003" ht="22.5" customHeight="1">
      <c r="A10003" s="49"/>
      <c r="C10003" s="400">
        <v>46256.0</v>
      </c>
      <c r="D10003" s="69" t="s">
        <v>2911</v>
      </c>
      <c r="E10003" s="544" t="s">
        <v>248</v>
      </c>
      <c r="F10003" s="387">
        <v>1.0</v>
      </c>
      <c r="G10003" s="140">
        <v>250000.0</v>
      </c>
      <c r="H10003" s="74"/>
      <c r="I10003" s="74">
        <f t="shared" si="7"/>
        <v>250000</v>
      </c>
      <c r="J10003" s="74">
        <f>IF(E10003="SERVICE",I10003-(I10003*50%),Vlookup(E10003,DATABASE!C:Q,10,false)*F10003)</f>
        <v>0</v>
      </c>
      <c r="K10003" s="74">
        <f>VLOOKUP(E10003,DATABASE!C:Q,7,false)</f>
        <v>209816.66</v>
      </c>
      <c r="L10003" s="74">
        <v>209816.66</v>
      </c>
      <c r="M10003" s="74">
        <f t="shared" si="6"/>
        <v>210000</v>
      </c>
      <c r="N10003" s="74">
        <f t="shared" si="3"/>
        <v>40000</v>
      </c>
      <c r="O10003" s="65" t="str">
        <f>VLOOKUP(E10003,DATABASE!C:Q,8,false)</f>
        <v>NON</v>
      </c>
      <c r="P10003" s="65">
        <f>VLOOKUP(E10003,DATABASE!C:Q,9,False)</f>
        <v>0</v>
      </c>
      <c r="Q10003" s="93" t="str">
        <f>VLOOKUP(E10003,DATABASE!C:Q,4,false)</f>
        <v>Pertamina</v>
      </c>
      <c r="R10003" s="93" t="str">
        <f>VLOOKUP(E10003,DATABASE!C:Q,11,false)</f>
        <v>OIL</v>
      </c>
    </row>
    <row r="10004" ht="22.5" customHeight="1">
      <c r="A10004" s="49"/>
      <c r="C10004" s="400">
        <v>46257.0</v>
      </c>
      <c r="D10004" s="69" t="s">
        <v>2912</v>
      </c>
      <c r="E10004" s="544" t="s">
        <v>252</v>
      </c>
      <c r="F10004" s="387">
        <v>1.0</v>
      </c>
      <c r="G10004" s="140">
        <v>370000.0</v>
      </c>
      <c r="H10004" s="74"/>
      <c r="I10004" s="74">
        <f t="shared" si="7"/>
        <v>370000</v>
      </c>
      <c r="J10004" s="74">
        <f>IF(E10004="SERVICE",I10004-(I10004*50%),Vlookup(E10004,DATABASE!C:Q,10,false)*F10004)</f>
        <v>0</v>
      </c>
      <c r="K10004" s="74">
        <f>VLOOKUP(E10004,DATABASE!C:Q,7,false)</f>
        <v>317518</v>
      </c>
      <c r="L10004" s="74">
        <v>317518.0</v>
      </c>
      <c r="M10004" s="74">
        <f t="shared" si="6"/>
        <v>320000</v>
      </c>
      <c r="N10004" s="74">
        <f t="shared" si="3"/>
        <v>50000</v>
      </c>
      <c r="O10004" s="65" t="str">
        <f>VLOOKUP(E10004,DATABASE!C:Q,8,false)</f>
        <v>NON</v>
      </c>
      <c r="P10004" s="65">
        <f>VLOOKUP(E10004,DATABASE!C:Q,9,False)</f>
        <v>0</v>
      </c>
      <c r="Q10004" s="93" t="str">
        <f>VLOOKUP(E10004,DATABASE!C:Q,4,false)</f>
        <v>Shell</v>
      </c>
      <c r="R10004" s="93" t="str">
        <f>VLOOKUP(E10004,DATABASE!C:Q,11,false)</f>
        <v>OIL</v>
      </c>
    </row>
    <row r="10005" ht="22.5" customHeight="1">
      <c r="A10005" s="49"/>
      <c r="C10005" s="400">
        <v>46257.0</v>
      </c>
      <c r="D10005" s="69" t="s">
        <v>2912</v>
      </c>
      <c r="E10005" s="544" t="s">
        <v>258</v>
      </c>
      <c r="F10005" s="387">
        <v>1.0</v>
      </c>
      <c r="G10005" s="140">
        <v>385000.0</v>
      </c>
      <c r="H10005" s="74"/>
      <c r="I10005" s="74">
        <f t="shared" si="7"/>
        <v>385000</v>
      </c>
      <c r="J10005" s="74">
        <f>IF(E10005="SERVICE",I10005-(I10005*50%),Vlookup(E10005,DATABASE!C:Q,10,false)*F10005)</f>
        <v>0</v>
      </c>
      <c r="K10005" s="74">
        <f>VLOOKUP(E10005,DATABASE!C:Q,7,false)</f>
        <v>74700</v>
      </c>
      <c r="L10005" s="74">
        <v>74700.0</v>
      </c>
      <c r="M10005" s="74">
        <f t="shared" si="6"/>
        <v>75000</v>
      </c>
      <c r="N10005" s="74">
        <f t="shared" si="3"/>
        <v>310000</v>
      </c>
      <c r="O10005" s="65" t="str">
        <f>VLOOKUP(E10005,DATABASE!C:Q,8,false)</f>
        <v>NON</v>
      </c>
      <c r="P10005" s="65">
        <f>VLOOKUP(E10005,DATABASE!C:Q,9,False)</f>
        <v>0</v>
      </c>
      <c r="Q10005" s="93" t="str">
        <f>VLOOKUP(E10005,DATABASE!C:Q,4,false)</f>
        <v>Shell</v>
      </c>
      <c r="R10005" s="93" t="str">
        <f>VLOOKUP(E10005,DATABASE!C:Q,11,false)</f>
        <v>OIL</v>
      </c>
    </row>
    <row r="10006" ht="22.5" customHeight="1">
      <c r="A10006" s="49"/>
      <c r="C10006" s="400">
        <v>46258.0</v>
      </c>
      <c r="D10006" s="69">
        <v>678.0</v>
      </c>
      <c r="E10006" s="544" t="s">
        <v>2128</v>
      </c>
      <c r="F10006" s="387">
        <v>1.0</v>
      </c>
      <c r="G10006" s="140">
        <v>1725000.0</v>
      </c>
      <c r="H10006" s="74"/>
      <c r="I10006" s="74">
        <f t="shared" si="7"/>
        <v>1725000</v>
      </c>
      <c r="J10006" s="74">
        <f>IF(E10006="SERVICE",I10006-(I10006*50%),Vlookup(E10006,DATABASE!C:Q,10,false)*F10006)</f>
        <v>0</v>
      </c>
      <c r="K10006" s="74">
        <f>VLOOKUP(E10006,DATABASE!C:Q,7,false)</f>
        <v>1600000</v>
      </c>
      <c r="L10006" s="74">
        <v>1600000.0</v>
      </c>
      <c r="M10006" s="74">
        <f t="shared" si="6"/>
        <v>1600000</v>
      </c>
      <c r="N10006" s="74">
        <f t="shared" si="3"/>
        <v>125000</v>
      </c>
      <c r="O10006" s="65" t="str">
        <f>VLOOKUP(E10006,DATABASE!C:Q,8,false)</f>
        <v>BIAN</v>
      </c>
      <c r="P10006" s="65">
        <f>VLOOKUP(E10006,DATABASE!C:Q,9,False)</f>
        <v>1</v>
      </c>
      <c r="Q10006" s="93" t="str">
        <f>VLOOKUP(E10006,DATABASE!C:Q,4,false)</f>
        <v>Michellin</v>
      </c>
      <c r="R10006" s="93" t="str">
        <f>VLOOKUP(E10006,DATABASE!C:Q,11,false)</f>
        <v>Tire</v>
      </c>
    </row>
    <row r="10007" ht="22.5" customHeight="1">
      <c r="A10007" s="49"/>
      <c r="C10007" s="400">
        <v>46258.0</v>
      </c>
      <c r="D10007" s="69">
        <v>678.0</v>
      </c>
      <c r="E10007" s="544" t="s">
        <v>299</v>
      </c>
      <c r="F10007" s="387">
        <v>1.0</v>
      </c>
      <c r="G10007" s="140">
        <v>30000.0</v>
      </c>
      <c r="H10007" s="74"/>
      <c r="I10007" s="74">
        <f t="shared" si="7"/>
        <v>30000</v>
      </c>
      <c r="J10007" s="74">
        <f>IF(E10007="SERVICE",I10007-(I10007*50%),Vlookup(E10007,DATABASE!C:Q,10,false)*F10007)</f>
        <v>0</v>
      </c>
      <c r="K10007" s="74">
        <f>VLOOKUP(E10007,DATABASE!C:Q,7,false)</f>
        <v>10000</v>
      </c>
      <c r="L10007" s="74">
        <v>10000.0</v>
      </c>
      <c r="M10007" s="74">
        <f t="shared" si="6"/>
        <v>10000</v>
      </c>
      <c r="N10007" s="74">
        <f t="shared" si="3"/>
        <v>20000</v>
      </c>
      <c r="O10007" s="65" t="str">
        <f>VLOOKUP(E10007,DATABASE!C:Q,8,false)</f>
        <v>BIAN</v>
      </c>
      <c r="P10007" s="65">
        <f>VLOOKUP(E10007,DATABASE!C:Q,9,False)</f>
        <v>0</v>
      </c>
      <c r="Q10007" s="93" t="str">
        <f>VLOOKUP(E10007,DATABASE!C:Q,4,false)</f>
        <v>Balancing</v>
      </c>
      <c r="R10007" s="93" t="str">
        <f>VLOOKUP(E10007,DATABASE!C:Q,11,false)</f>
        <v>COMPLEMENTARY</v>
      </c>
    </row>
    <row r="10008" ht="22.5" customHeight="1">
      <c r="A10008" s="49"/>
      <c r="C10008" s="400">
        <v>46258.0</v>
      </c>
      <c r="D10008" s="69">
        <v>679.0</v>
      </c>
      <c r="E10008" s="544" t="s">
        <v>856</v>
      </c>
      <c r="F10008" s="387">
        <v>4.0</v>
      </c>
      <c r="G10008" s="140">
        <v>700000.0</v>
      </c>
      <c r="H10008" s="74"/>
      <c r="I10008" s="74">
        <f t="shared" si="7"/>
        <v>2800000</v>
      </c>
      <c r="J10008" s="74">
        <f>IF(E10008="SERVICE",I10008-(I10008*50%),Vlookup(E10008,DATABASE!C:Q,10,false)*F10008)</f>
        <v>0</v>
      </c>
      <c r="K10008" s="74">
        <f>VLOOKUP(E10008,DATABASE!C:Q,7,false)</f>
        <v>615300</v>
      </c>
      <c r="L10008" s="74">
        <v>615300.0</v>
      </c>
      <c r="M10008" s="74">
        <f t="shared" si="6"/>
        <v>620000</v>
      </c>
      <c r="N10008" s="74">
        <f t="shared" si="3"/>
        <v>320000</v>
      </c>
      <c r="O10008" s="65" t="str">
        <f>VLOOKUP(E10008,DATABASE!C:Q,8,false)</f>
        <v>BIAN</v>
      </c>
      <c r="P10008" s="65">
        <f>VLOOKUP(E10008,DATABASE!C:Q,9,False)</f>
        <v>1</v>
      </c>
      <c r="Q10008" s="93" t="str">
        <f>VLOOKUP(E10008,DATABASE!C:Q,4,false)</f>
        <v>GT</v>
      </c>
      <c r="R10008" s="93" t="str">
        <f>VLOOKUP(E10008,DATABASE!C:Q,11,false)</f>
        <v>Tire</v>
      </c>
    </row>
    <row r="10009" ht="22.5" customHeight="1">
      <c r="A10009" s="49"/>
      <c r="C10009" s="400">
        <v>46258.0</v>
      </c>
      <c r="D10009" s="69">
        <v>683.0</v>
      </c>
      <c r="E10009" s="544" t="s">
        <v>856</v>
      </c>
      <c r="F10009" s="387">
        <v>1.0</v>
      </c>
      <c r="G10009" s="140">
        <v>700000.0</v>
      </c>
      <c r="H10009" s="74"/>
      <c r="I10009" s="74">
        <f t="shared" si="7"/>
        <v>700000</v>
      </c>
      <c r="J10009" s="74">
        <f>IF(E10009="SERVICE",I10009-(I10009*50%),Vlookup(E10009,DATABASE!C:Q,10,false)*F10009)</f>
        <v>0</v>
      </c>
      <c r="K10009" s="74">
        <f>VLOOKUP(E10009,DATABASE!C:Q,7,false)</f>
        <v>615300</v>
      </c>
      <c r="L10009" s="74">
        <v>615300.0</v>
      </c>
      <c r="M10009" s="74">
        <f t="shared" si="6"/>
        <v>620000</v>
      </c>
      <c r="N10009" s="74">
        <f t="shared" si="3"/>
        <v>80000</v>
      </c>
      <c r="O10009" s="65" t="str">
        <f>VLOOKUP(E10009,DATABASE!C:Q,8,false)</f>
        <v>BIAN</v>
      </c>
      <c r="P10009" s="65">
        <f>VLOOKUP(E10009,DATABASE!C:Q,9,False)</f>
        <v>1</v>
      </c>
      <c r="Q10009" s="93" t="str">
        <f>VLOOKUP(E10009,DATABASE!C:Q,4,false)</f>
        <v>GT</v>
      </c>
      <c r="R10009" s="93" t="str">
        <f>VLOOKUP(E10009,DATABASE!C:Q,11,false)</f>
        <v>Tire</v>
      </c>
    </row>
    <row r="10010" ht="22.5" customHeight="1">
      <c r="A10010" s="49"/>
      <c r="C10010" s="400">
        <v>46258.0</v>
      </c>
      <c r="D10010" s="69">
        <v>684.0</v>
      </c>
      <c r="E10010" s="544" t="s">
        <v>791</v>
      </c>
      <c r="F10010" s="387">
        <v>2.0</v>
      </c>
      <c r="G10010" s="140">
        <v>1320000.0</v>
      </c>
      <c r="H10010" s="74"/>
      <c r="I10010" s="74">
        <f t="shared" si="7"/>
        <v>2640000</v>
      </c>
      <c r="J10010" s="74">
        <f>IF(E10010="SERVICE",I10010-(I10010*50%),Vlookup(E10010,DATABASE!C:Q,10,false)*F10010)</f>
        <v>0</v>
      </c>
      <c r="K10010" s="74">
        <f>VLOOKUP(E10010,DATABASE!C:Q,7,false)</f>
        <v>1210000</v>
      </c>
      <c r="L10010" s="74">
        <v>1210000.0</v>
      </c>
      <c r="M10010" s="74">
        <f t="shared" si="6"/>
        <v>1210000</v>
      </c>
      <c r="N10010" s="74">
        <f t="shared" si="3"/>
        <v>220000</v>
      </c>
      <c r="O10010" s="65" t="str">
        <f>VLOOKUP(E10010,DATABASE!C:Q,8,false)</f>
        <v>BIAN</v>
      </c>
      <c r="P10010" s="65">
        <f>VLOOKUP(E10010,DATABASE!C:Q,9,False)</f>
        <v>1</v>
      </c>
      <c r="Q10010" s="93" t="str">
        <f>VLOOKUP(E10010,DATABASE!C:Q,4,false)</f>
        <v>GT</v>
      </c>
      <c r="R10010" s="93" t="str">
        <f>VLOOKUP(E10010,DATABASE!C:Q,11,false)</f>
        <v>Tire</v>
      </c>
    </row>
    <row r="10011" ht="22.5" customHeight="1">
      <c r="A10011" s="49"/>
      <c r="C10011" s="400">
        <v>46258.0</v>
      </c>
      <c r="D10011" s="69">
        <v>684.0</v>
      </c>
      <c r="E10011" s="544" t="s">
        <v>255</v>
      </c>
      <c r="F10011" s="387">
        <v>2.0</v>
      </c>
      <c r="G10011" s="140">
        <v>200000.0</v>
      </c>
      <c r="H10011" s="74"/>
      <c r="I10011" s="74">
        <f t="shared" si="7"/>
        <v>400000</v>
      </c>
      <c r="J10011" s="74">
        <f>IF(E10011="SERVICE",I10011-(I10011*50%),Vlookup(E10011,DATABASE!C:Q,10,false)*F10011)</f>
        <v>0</v>
      </c>
      <c r="K10011" s="74">
        <f>VLOOKUP(E10011,DATABASE!C:Q,7,false)</f>
        <v>161840</v>
      </c>
      <c r="L10011" s="74">
        <v>161840.0</v>
      </c>
      <c r="M10011" s="74">
        <f t="shared" si="6"/>
        <v>165000</v>
      </c>
      <c r="N10011" s="74">
        <f t="shared" si="3"/>
        <v>70000</v>
      </c>
      <c r="O10011" s="65" t="str">
        <f>VLOOKUP(E10011,DATABASE!C:Q,8,false)</f>
        <v>BIAN</v>
      </c>
      <c r="P10011" s="65">
        <f>VLOOKUP(E10011,DATABASE!C:Q,9,False)</f>
        <v>1</v>
      </c>
      <c r="Q10011" s="93" t="str">
        <f>VLOOKUP(E10011,DATABASE!C:Q,4,false)</f>
        <v>BD</v>
      </c>
      <c r="R10011" s="93" t="str">
        <f>VLOOKUP(E10011,DATABASE!C:Q,11,false)</f>
        <v>Tire</v>
      </c>
    </row>
    <row r="10012" ht="22.5" customHeight="1">
      <c r="A10012" s="49"/>
      <c r="C10012" s="400">
        <v>46258.0</v>
      </c>
      <c r="D10012" s="69">
        <v>684.0</v>
      </c>
      <c r="E10012" s="544" t="s">
        <v>814</v>
      </c>
      <c r="F10012" s="387">
        <v>2.0</v>
      </c>
      <c r="G10012" s="140">
        <v>70000.0</v>
      </c>
      <c r="H10012" s="74"/>
      <c r="I10012" s="74">
        <f t="shared" si="7"/>
        <v>140000</v>
      </c>
      <c r="J10012" s="74">
        <f>IF(E10012="SERVICE",I10012-(I10012*50%),Vlookup(E10012,DATABASE!C:Q,10,false)*F10012)</f>
        <v>0</v>
      </c>
      <c r="K10012" s="74">
        <f>VLOOKUP(E10012,DATABASE!C:Q,7,false)</f>
        <v>39440</v>
      </c>
      <c r="L10012" s="74">
        <v>39440.0</v>
      </c>
      <c r="M10012" s="74">
        <f t="shared" si="6"/>
        <v>40000</v>
      </c>
      <c r="N10012" s="74">
        <f t="shared" si="3"/>
        <v>60000</v>
      </c>
      <c r="O10012" s="65" t="str">
        <f>VLOOKUP(E10012,DATABASE!C:Q,8,false)</f>
        <v>BIAN</v>
      </c>
      <c r="P10012" s="65">
        <f>VLOOKUP(E10012,DATABASE!C:Q,9,False)</f>
        <v>1</v>
      </c>
      <c r="Q10012" s="93" t="str">
        <f>VLOOKUP(E10012,DATABASE!C:Q,4,false)</f>
        <v>Flap</v>
      </c>
      <c r="R10012" s="93" t="str">
        <f>VLOOKUP(E10012,DATABASE!C:Q,11,false)</f>
        <v>Tire</v>
      </c>
    </row>
    <row r="10013" ht="22.5" customHeight="1">
      <c r="A10013" s="49"/>
      <c r="C10013" s="400">
        <v>46258.0</v>
      </c>
      <c r="D10013" s="69" t="s">
        <v>2913</v>
      </c>
      <c r="E10013" s="544" t="s">
        <v>258</v>
      </c>
      <c r="F10013" s="387">
        <v>1.0</v>
      </c>
      <c r="G10013" s="140">
        <v>385000.0</v>
      </c>
      <c r="H10013" s="74"/>
      <c r="I10013" s="74">
        <f t="shared" si="7"/>
        <v>385000</v>
      </c>
      <c r="J10013" s="74">
        <f>IF(E10013="SERVICE",I10013-(I10013*50%),Vlookup(E10013,DATABASE!C:Q,10,false)*F10013)</f>
        <v>0</v>
      </c>
      <c r="K10013" s="74">
        <f>VLOOKUP(E10013,DATABASE!C:Q,7,false)</f>
        <v>74700</v>
      </c>
      <c r="L10013" s="74">
        <v>74700.0</v>
      </c>
      <c r="M10013" s="74">
        <f t="shared" si="6"/>
        <v>75000</v>
      </c>
      <c r="N10013" s="74">
        <f t="shared" si="3"/>
        <v>310000</v>
      </c>
      <c r="O10013" s="65" t="str">
        <f>VLOOKUP(E10013,DATABASE!C:Q,8,false)</f>
        <v>NON</v>
      </c>
      <c r="P10013" s="65">
        <f>VLOOKUP(E10013,DATABASE!C:Q,9,False)</f>
        <v>0</v>
      </c>
      <c r="Q10013" s="93" t="str">
        <f>VLOOKUP(E10013,DATABASE!C:Q,4,false)</f>
        <v>Shell</v>
      </c>
      <c r="R10013" s="93" t="str">
        <f>VLOOKUP(E10013,DATABASE!C:Q,11,false)</f>
        <v>OIL</v>
      </c>
    </row>
    <row r="10014" ht="22.5" customHeight="1">
      <c r="A10014" s="49"/>
      <c r="C10014" s="400">
        <v>46259.0</v>
      </c>
      <c r="D10014" s="69">
        <v>686.0</v>
      </c>
      <c r="E10014" s="544" t="s">
        <v>403</v>
      </c>
      <c r="F10014" s="387">
        <v>1.0</v>
      </c>
      <c r="G10014" s="140">
        <v>2200000.0</v>
      </c>
      <c r="H10014" s="74"/>
      <c r="I10014" s="74">
        <f t="shared" si="7"/>
        <v>2200000</v>
      </c>
      <c r="J10014" s="74">
        <f>IF(E10014="SERVICE",I10014-(I10014*50%),Vlookup(E10014,DATABASE!C:Q,10,false)*F10014)</f>
        <v>0</v>
      </c>
      <c r="K10014" s="74">
        <f>VLOOKUP(E10014,DATABASE!C:Q,7,false)</f>
        <v>2160000</v>
      </c>
      <c r="L10014" s="140">
        <v>2100000.0</v>
      </c>
      <c r="M10014" s="74">
        <f t="shared" si="6"/>
        <v>2100000</v>
      </c>
      <c r="N10014" s="74">
        <f t="shared" si="3"/>
        <v>100000</v>
      </c>
      <c r="O10014" s="65" t="str">
        <f>VLOOKUP(E10014,DATABASE!C:Q,8,false)</f>
        <v>BIAN</v>
      </c>
      <c r="P10014" s="65">
        <f>VLOOKUP(E10014,DATABASE!C:Q,9,False)</f>
        <v>1</v>
      </c>
      <c r="Q10014" s="93" t="str">
        <f>VLOOKUP(E10014,DATABASE!C:Q,4,false)</f>
        <v>Advance</v>
      </c>
      <c r="R10014" s="93" t="str">
        <f>VLOOKUP(E10014,DATABASE!C:Q,11,false)</f>
        <v>Tire</v>
      </c>
    </row>
    <row r="10015" ht="22.5" customHeight="1">
      <c r="A10015" s="49"/>
      <c r="C10015" s="400">
        <v>46259.0</v>
      </c>
      <c r="D10015" s="69">
        <v>688.0</v>
      </c>
      <c r="E10015" s="544" t="s">
        <v>294</v>
      </c>
      <c r="F10015" s="387">
        <v>2.0</v>
      </c>
      <c r="G10015" s="140">
        <v>590000.0</v>
      </c>
      <c r="H10015" s="74"/>
      <c r="I10015" s="74">
        <f t="shared" si="7"/>
        <v>1180000</v>
      </c>
      <c r="J10015" s="74">
        <f>IF(E10015="SERVICE",I10015-(I10015*50%),Vlookup(E10015,DATABASE!C:Q,10,false)*F10015)</f>
        <v>0</v>
      </c>
      <c r="K10015" s="74">
        <f>VLOOKUP(E10015,DATABASE!C:Q,7,false)</f>
        <v>505000</v>
      </c>
      <c r="L10015" s="74">
        <v>505000.0</v>
      </c>
      <c r="M10015" s="74">
        <f t="shared" si="6"/>
        <v>505000</v>
      </c>
      <c r="N10015" s="74">
        <f t="shared" si="3"/>
        <v>170000</v>
      </c>
      <c r="O10015" s="65" t="str">
        <f>VLOOKUP(E10015,DATABASE!C:Q,8,false)</f>
        <v>BIAN</v>
      </c>
      <c r="P10015" s="65">
        <f>VLOOKUP(E10015,DATABASE!C:Q,9,False)</f>
        <v>1</v>
      </c>
      <c r="Q10015" s="93" t="str">
        <f>VLOOKUP(E10015,DATABASE!C:Q,4,false)</f>
        <v>GT</v>
      </c>
      <c r="R10015" s="93" t="str">
        <f>VLOOKUP(E10015,DATABASE!C:Q,11,false)</f>
        <v>Tire</v>
      </c>
    </row>
    <row r="10016" ht="22.5" customHeight="1">
      <c r="A10016" s="49"/>
      <c r="C10016" s="400">
        <v>46259.0</v>
      </c>
      <c r="D10016" s="69">
        <v>688.0</v>
      </c>
      <c r="E10016" s="544" t="s">
        <v>250</v>
      </c>
      <c r="F10016" s="387">
        <v>1.0</v>
      </c>
      <c r="G10016" s="140">
        <v>135000.0</v>
      </c>
      <c r="H10016" s="74"/>
      <c r="I10016" s="74">
        <f t="shared" si="7"/>
        <v>135000</v>
      </c>
      <c r="J10016" s="74">
        <f>IF(E10016="SERVICE",I10016-(I10016*50%),Vlookup(E10016,DATABASE!C:Q,10,false)*F10016)</f>
        <v>0</v>
      </c>
      <c r="K10016" s="74">
        <f>VLOOKUP(E10016,DATABASE!C:Q,7,false)</f>
        <v>102000</v>
      </c>
      <c r="L10016" s="74">
        <v>102000.0</v>
      </c>
      <c r="M10016" s="74">
        <f t="shared" si="6"/>
        <v>105000</v>
      </c>
      <c r="N10016" s="74">
        <f t="shared" si="3"/>
        <v>30000</v>
      </c>
      <c r="O10016" s="65" t="str">
        <f>VLOOKUP(E10016,DATABASE!C:Q,8,false)</f>
        <v>BIAN</v>
      </c>
      <c r="P10016" s="65">
        <f>VLOOKUP(E10016,DATABASE!C:Q,9,False)</f>
        <v>1</v>
      </c>
      <c r="Q10016" s="93" t="str">
        <f>VLOOKUP(E10016,DATABASE!C:Q,4,false)</f>
        <v>BD</v>
      </c>
      <c r="R10016" s="93" t="str">
        <f>VLOOKUP(E10016,DATABASE!C:Q,11,false)</f>
        <v>Tire</v>
      </c>
    </row>
    <row r="10017" ht="22.5" customHeight="1">
      <c r="A10017" s="49"/>
      <c r="C10017" s="400">
        <v>46259.0</v>
      </c>
      <c r="D10017" s="69">
        <v>689.0</v>
      </c>
      <c r="E10017" s="544" t="s">
        <v>2139</v>
      </c>
      <c r="F10017" s="387">
        <v>1.0</v>
      </c>
      <c r="G10017" s="140">
        <v>10000.0</v>
      </c>
      <c r="H10017" s="74"/>
      <c r="I10017" s="74">
        <f t="shared" si="7"/>
        <v>10000</v>
      </c>
      <c r="J10017" s="74">
        <f>IF(E10017="SERVICE",I10017-(I10017*50%),Vlookup(E10017,DATABASE!C:Q,10,false)*F10017)</f>
        <v>0</v>
      </c>
      <c r="K10017" s="74">
        <f>VLOOKUP(E10017,DATABASE!C:Q,7,false)</f>
        <v>0</v>
      </c>
      <c r="L10017" s="74">
        <v>0.0</v>
      </c>
      <c r="M10017" s="74">
        <f t="shared" si="6"/>
        <v>0</v>
      </c>
      <c r="N10017" s="74">
        <f t="shared" si="3"/>
        <v>10000</v>
      </c>
      <c r="O10017" s="65" t="str">
        <f>VLOOKUP(E10017,DATABASE!C:Q,8,false)</f>
        <v>IBU</v>
      </c>
      <c r="P10017" s="65">
        <f>VLOOKUP(E10017,DATABASE!C:Q,9,False)</f>
        <v>0</v>
      </c>
      <c r="Q10017" s="93" t="str">
        <f>VLOOKUP(E10017,DATABASE!C:Q,4,false)</f>
        <v>PENTIL</v>
      </c>
      <c r="R10017" s="93" t="str">
        <f>VLOOKUP(E10017,DATABASE!C:Q,11,false)</f>
        <v>COMPLEMENTARY</v>
      </c>
    </row>
    <row r="10018" ht="22.5" customHeight="1">
      <c r="A10018" s="49"/>
      <c r="C10018" s="400">
        <v>46259.0</v>
      </c>
      <c r="D10018" s="69">
        <v>691.0</v>
      </c>
      <c r="E10018" s="544" t="s">
        <v>275</v>
      </c>
      <c r="F10018" s="387">
        <v>2.0</v>
      </c>
      <c r="G10018" s="140">
        <v>850000.0</v>
      </c>
      <c r="H10018" s="74"/>
      <c r="I10018" s="74">
        <f t="shared" si="7"/>
        <v>1700000</v>
      </c>
      <c r="J10018" s="74">
        <f>IF(E10018="SERVICE",I10018-(I10018*50%),Vlookup(E10018,DATABASE!C:Q,10,false)*F10018)</f>
        <v>0</v>
      </c>
      <c r="K10018" s="74">
        <f>VLOOKUP(E10018,DATABASE!C:Q,7,false)</f>
        <v>782000</v>
      </c>
      <c r="L10018" s="74">
        <v>759500.0</v>
      </c>
      <c r="M10018" s="74">
        <f t="shared" si="6"/>
        <v>760000</v>
      </c>
      <c r="N10018" s="74">
        <f t="shared" si="3"/>
        <v>180000</v>
      </c>
      <c r="O10018" s="65" t="str">
        <f>VLOOKUP(E10018,DATABASE!C:Q,8,false)</f>
        <v>IBU</v>
      </c>
      <c r="P10018" s="65">
        <f>VLOOKUP(E10018,DATABASE!C:Q,9,False)</f>
        <v>1</v>
      </c>
      <c r="Q10018" s="93" t="str">
        <f>VLOOKUP(E10018,DATABASE!C:Q,4,false)</f>
        <v>Dunlop</v>
      </c>
      <c r="R10018" s="93" t="str">
        <f>VLOOKUP(E10018,DATABASE!C:Q,11,false)</f>
        <v>Tire</v>
      </c>
    </row>
    <row r="10019" ht="22.5" customHeight="1">
      <c r="A10019" s="49"/>
      <c r="C10019" s="400">
        <v>46259.0</v>
      </c>
      <c r="D10019" s="69" t="s">
        <v>2914</v>
      </c>
      <c r="E10019" s="544" t="s">
        <v>263</v>
      </c>
      <c r="F10019" s="387">
        <v>1.0</v>
      </c>
      <c r="G10019" s="140">
        <v>385000.0</v>
      </c>
      <c r="H10019" s="74"/>
      <c r="I10019" s="74">
        <f t="shared" si="7"/>
        <v>385000</v>
      </c>
      <c r="J10019" s="74">
        <f>IF(E10019="SERVICE",I10019-(I10019*50%),Vlookup(E10019,DATABASE!C:Q,10,false)*F10019)</f>
        <v>0</v>
      </c>
      <c r="K10019" s="74">
        <f>VLOOKUP(E10019,DATABASE!C:Q,7,false)</f>
        <v>334916</v>
      </c>
      <c r="L10019" s="74">
        <v>334916.0</v>
      </c>
      <c r="M10019" s="74">
        <f t="shared" si="6"/>
        <v>335000</v>
      </c>
      <c r="N10019" s="74">
        <f t="shared" si="3"/>
        <v>50000</v>
      </c>
      <c r="O10019" s="65" t="str">
        <f>VLOOKUP(E10019,DATABASE!C:Q,8,false)</f>
        <v>NON</v>
      </c>
      <c r="P10019" s="65">
        <f>VLOOKUP(E10019,DATABASE!C:Q,9,False)</f>
        <v>0</v>
      </c>
      <c r="Q10019" s="93" t="str">
        <f>VLOOKUP(E10019,DATABASE!C:Q,4,false)</f>
        <v>Shell</v>
      </c>
      <c r="R10019" s="93" t="str">
        <f>VLOOKUP(E10019,DATABASE!C:Q,11,false)</f>
        <v>OIL</v>
      </c>
    </row>
    <row r="10020" ht="22.5" customHeight="1">
      <c r="A10020" s="49"/>
      <c r="C10020" s="400">
        <v>46259.0</v>
      </c>
      <c r="D10020" s="69" t="s">
        <v>2915</v>
      </c>
      <c r="E10020" s="544" t="s">
        <v>243</v>
      </c>
      <c r="F10020" s="387">
        <v>1.0</v>
      </c>
      <c r="G10020" s="140">
        <v>500000.0</v>
      </c>
      <c r="H10020" s="74"/>
      <c r="I10020" s="74">
        <f t="shared" si="7"/>
        <v>500000</v>
      </c>
      <c r="J10020" s="74">
        <f>IF(E10020="SERVICE",I10020-(I10020*50%),Vlookup(E10020,DATABASE!C:Q,10,false)*F10020)</f>
        <v>0</v>
      </c>
      <c r="K10020" s="74">
        <f>VLOOKUP(E10020,DATABASE!C:Q,7,false)</f>
        <v>432500</v>
      </c>
      <c r="L10020" s="74">
        <v>432500.0</v>
      </c>
      <c r="M10020" s="74">
        <f t="shared" si="6"/>
        <v>435000</v>
      </c>
      <c r="N10020" s="74">
        <f t="shared" si="3"/>
        <v>65000</v>
      </c>
      <c r="O10020" s="65" t="str">
        <f>VLOOKUP(E10020,DATABASE!C:Q,8,false)</f>
        <v>NON</v>
      </c>
      <c r="P10020" s="65">
        <f>VLOOKUP(E10020,DATABASE!C:Q,9,False)</f>
        <v>0</v>
      </c>
      <c r="Q10020" s="93" t="str">
        <f>VLOOKUP(E10020,DATABASE!C:Q,4,false)</f>
        <v>Pertamina</v>
      </c>
      <c r="R10020" s="93" t="str">
        <f>VLOOKUP(E10020,DATABASE!C:Q,11,false)</f>
        <v>OIL</v>
      </c>
    </row>
    <row r="10021" ht="22.5" customHeight="1">
      <c r="A10021" s="49"/>
      <c r="C10021" s="400">
        <v>46259.0</v>
      </c>
      <c r="D10021" s="69" t="s">
        <v>2915</v>
      </c>
      <c r="E10021" s="544" t="s">
        <v>2916</v>
      </c>
      <c r="F10021" s="387">
        <v>1.0</v>
      </c>
      <c r="G10021" s="140">
        <v>100000.0</v>
      </c>
      <c r="H10021" s="74"/>
      <c r="I10021" s="74">
        <f t="shared" si="7"/>
        <v>100000</v>
      </c>
      <c r="J10021" s="74">
        <f>IF(E10021="SERVICE",I10021-(I10021*50%),Vlookup(E10021,DATABASE!C:Q,10,false)*F10021)</f>
        <v>0</v>
      </c>
      <c r="K10021" s="74">
        <f>VLOOKUP(E10021,DATABASE!C:Q,7,false)</f>
        <v>85000</v>
      </c>
      <c r="L10021" s="74">
        <v>85000.0</v>
      </c>
      <c r="M10021" s="74">
        <f t="shared" si="6"/>
        <v>85000</v>
      </c>
      <c r="N10021" s="74">
        <f t="shared" si="3"/>
        <v>15000</v>
      </c>
      <c r="O10021" s="65" t="str">
        <f>VLOOKUP(E10021,DATABASE!C:Q,8,false)</f>
        <v>BIAN</v>
      </c>
      <c r="P10021" s="65">
        <f>VLOOKUP(E10021,DATABASE!C:Q,9,False)</f>
        <v>0</v>
      </c>
      <c r="Q10021" s="93" t="str">
        <f>VLOOKUP(E10021,DATABASE!C:Q,4,false)</f>
        <v>Aspira</v>
      </c>
      <c r="R10021" s="93" t="str">
        <f>VLOOKUP(E10021,DATABASE!C:Q,11,false)</f>
        <v>COMPLEMENTARY</v>
      </c>
    </row>
    <row r="10022" ht="22.5" customHeight="1">
      <c r="A10022" s="49"/>
      <c r="C10022" s="400">
        <v>46259.0</v>
      </c>
      <c r="D10022" s="69" t="s">
        <v>2917</v>
      </c>
      <c r="E10022" s="544" t="s">
        <v>263</v>
      </c>
      <c r="F10022" s="387">
        <v>1.0</v>
      </c>
      <c r="G10022" s="140">
        <v>385000.0</v>
      </c>
      <c r="H10022" s="74"/>
      <c r="I10022" s="74">
        <f t="shared" si="7"/>
        <v>385000</v>
      </c>
      <c r="J10022" s="74">
        <f>IF(E10022="SERVICE",I10022-(I10022*50%),Vlookup(E10022,DATABASE!C:Q,10,false)*F10022)</f>
        <v>0</v>
      </c>
      <c r="K10022" s="74">
        <f>VLOOKUP(E10022,DATABASE!C:Q,7,false)</f>
        <v>334916</v>
      </c>
      <c r="L10022" s="74">
        <v>334916.0</v>
      </c>
      <c r="M10022" s="74">
        <f t="shared" si="6"/>
        <v>335000</v>
      </c>
      <c r="N10022" s="74">
        <f t="shared" si="3"/>
        <v>50000</v>
      </c>
      <c r="O10022" s="65" t="str">
        <f>VLOOKUP(E10022,DATABASE!C:Q,8,false)</f>
        <v>NON</v>
      </c>
      <c r="P10022" s="65">
        <f>VLOOKUP(E10022,DATABASE!C:Q,9,False)</f>
        <v>0</v>
      </c>
      <c r="Q10022" s="93" t="str">
        <f>VLOOKUP(E10022,DATABASE!C:Q,4,false)</f>
        <v>Shell</v>
      </c>
      <c r="R10022" s="93" t="str">
        <f>VLOOKUP(E10022,DATABASE!C:Q,11,false)</f>
        <v>OIL</v>
      </c>
    </row>
    <row r="10023" ht="22.5" customHeight="1">
      <c r="A10023" s="49"/>
      <c r="C10023" s="400">
        <v>46259.0</v>
      </c>
      <c r="D10023" s="524"/>
      <c r="E10023" s="544" t="s">
        <v>256</v>
      </c>
      <c r="F10023" s="387">
        <v>1.0</v>
      </c>
      <c r="G10023" s="140">
        <v>150000.0</v>
      </c>
      <c r="H10023" s="74"/>
      <c r="I10023" s="74">
        <f t="shared" si="7"/>
        <v>150000</v>
      </c>
      <c r="J10023" s="74">
        <f>IF(E10023="SERVICE",I10023-(I10023*50%),Vlookup(E10023,DATABASE!C:Q,10,false)*F10023)</f>
        <v>10000</v>
      </c>
      <c r="K10023" s="74">
        <f>VLOOKUP(E10023,DATABASE!C:Q,7,false)</f>
        <v>0</v>
      </c>
      <c r="L10023" s="74">
        <v>0.0</v>
      </c>
      <c r="M10023" s="74">
        <f t="shared" si="6"/>
        <v>0</v>
      </c>
      <c r="N10023" s="74">
        <f t="shared" si="3"/>
        <v>140000</v>
      </c>
      <c r="O10023" s="65" t="str">
        <f>VLOOKUP(E10023,DATABASE!C:Q,8,false)</f>
        <v>IBU</v>
      </c>
      <c r="P10023" s="65">
        <f>VLOOKUP(E10023,DATABASE!C:Q,9,False)</f>
        <v>0</v>
      </c>
      <c r="Q10023" s="93" t="str">
        <f>VLOOKUP(E10023,DATABASE!C:Q,4,false)</f>
        <v>SPOORING</v>
      </c>
      <c r="R10023" s="93" t="str">
        <f>VLOOKUP(E10023,DATABASE!C:Q,11,false)</f>
        <v>SERVICE</v>
      </c>
    </row>
    <row r="10024" ht="22.5" customHeight="1">
      <c r="A10024" s="49"/>
      <c r="C10024" s="400">
        <v>46259.0</v>
      </c>
      <c r="D10024" s="524"/>
      <c r="E10024" s="544" t="s">
        <v>301</v>
      </c>
      <c r="F10024" s="387">
        <v>1.0</v>
      </c>
      <c r="G10024" s="140">
        <v>250000.0</v>
      </c>
      <c r="H10024" s="74"/>
      <c r="I10024" s="74">
        <f t="shared" si="7"/>
        <v>250000</v>
      </c>
      <c r="J10024" s="74">
        <f>IF(E10024="SERVICE",I10024-(I10024*50%),Vlookup(E10024,DATABASE!C:Q,10,false)*F10024)</f>
        <v>75000</v>
      </c>
      <c r="K10024" s="74">
        <f>VLOOKUP(E10024,DATABASE!C:Q,7,false)</f>
        <v>75000</v>
      </c>
      <c r="L10024" s="74">
        <v>75000.0</v>
      </c>
      <c r="M10024" s="74">
        <f t="shared" si="6"/>
        <v>75000</v>
      </c>
      <c r="N10024" s="74">
        <f t="shared" si="3"/>
        <v>100000</v>
      </c>
      <c r="O10024" s="65" t="str">
        <f>VLOOKUP(E10024,DATABASE!C:Q,8,false)</f>
        <v>BIAN</v>
      </c>
      <c r="P10024" s="65">
        <f>VLOOKUP(E10024,DATABASE!C:Q,9,False)</f>
        <v>0</v>
      </c>
      <c r="Q10024" s="93" t="str">
        <f>VLOOKUP(E10024,DATABASE!C:Q,4,false)</f>
        <v>Baut Camber</v>
      </c>
      <c r="R10024" s="93" t="str">
        <f>VLOOKUP(E10024,DATABASE!C:Q,11,false)</f>
        <v>COMPLEMENTARY</v>
      </c>
    </row>
    <row r="10025" ht="22.5" customHeight="1">
      <c r="A10025" s="49"/>
      <c r="C10025" s="400">
        <v>46260.0</v>
      </c>
      <c r="D10025" s="69">
        <v>206.0</v>
      </c>
      <c r="E10025" s="544" t="s">
        <v>275</v>
      </c>
      <c r="F10025" s="387">
        <v>1.0</v>
      </c>
      <c r="G10025" s="140">
        <v>850000.0</v>
      </c>
      <c r="H10025" s="74"/>
      <c r="I10025" s="74">
        <f t="shared" si="7"/>
        <v>850000</v>
      </c>
      <c r="J10025" s="74">
        <f>IF(E10025="SERVICE",I10025-(I10025*50%),Vlookup(E10025,DATABASE!C:Q,10,false)*F10025)</f>
        <v>0</v>
      </c>
      <c r="K10025" s="74">
        <f>VLOOKUP(E10025,DATABASE!C:Q,7,false)</f>
        <v>782000</v>
      </c>
      <c r="L10025" s="74">
        <v>759500.0</v>
      </c>
      <c r="M10025" s="74">
        <f t="shared" si="6"/>
        <v>760000</v>
      </c>
      <c r="N10025" s="74">
        <f t="shared" si="3"/>
        <v>90000</v>
      </c>
      <c r="O10025" s="65" t="str">
        <f>VLOOKUP(E10025,DATABASE!C:Q,8,false)</f>
        <v>IBU</v>
      </c>
      <c r="P10025" s="65">
        <f>VLOOKUP(E10025,DATABASE!C:Q,9,False)</f>
        <v>1</v>
      </c>
      <c r="Q10025" s="93" t="str">
        <f>VLOOKUP(E10025,DATABASE!C:Q,4,false)</f>
        <v>Dunlop</v>
      </c>
      <c r="R10025" s="93" t="str">
        <f>VLOOKUP(E10025,DATABASE!C:Q,11,false)</f>
        <v>Tire</v>
      </c>
    </row>
    <row r="10026" ht="22.5" customHeight="1">
      <c r="A10026" s="49"/>
      <c r="C10026" s="400">
        <v>46260.0</v>
      </c>
      <c r="D10026" s="69">
        <v>693.0</v>
      </c>
      <c r="E10026" s="544" t="s">
        <v>262</v>
      </c>
      <c r="F10026" s="387">
        <v>1.0</v>
      </c>
      <c r="G10026" s="140">
        <v>130000.0</v>
      </c>
      <c r="H10026" s="74"/>
      <c r="I10026" s="74">
        <f t="shared" si="7"/>
        <v>130000</v>
      </c>
      <c r="J10026" s="74">
        <f>IF(E10026="SERVICE",I10026-(I10026*50%),Vlookup(E10026,DATABASE!C:Q,10,false)*F10026)</f>
        <v>5000</v>
      </c>
      <c r="K10026" s="74">
        <f>VLOOKUP(E10026,DATABASE!C:Q,7,false)</f>
        <v>0</v>
      </c>
      <c r="L10026" s="74">
        <v>0.0</v>
      </c>
      <c r="M10026" s="74">
        <f t="shared" si="6"/>
        <v>0</v>
      </c>
      <c r="N10026" s="74">
        <f t="shared" si="3"/>
        <v>125000</v>
      </c>
      <c r="O10026" s="65" t="str">
        <f>VLOOKUP(E10026,DATABASE!C:Q,8,false)</f>
        <v>IBU</v>
      </c>
      <c r="P10026" s="65">
        <f>VLOOKUP(E10026,DATABASE!C:Q,9,False)</f>
        <v>0</v>
      </c>
      <c r="Q10026" s="93" t="str">
        <f>VLOOKUP(E10026,DATABASE!C:Q,4,false)</f>
        <v>SPOORING SS/CARRY LOS BAK</v>
      </c>
      <c r="R10026" s="93" t="str">
        <f>VLOOKUP(E10026,DATABASE!C:Q,11,false)</f>
        <v>SERVICE</v>
      </c>
    </row>
    <row r="10027" ht="22.5" customHeight="1">
      <c r="A10027" s="49"/>
      <c r="C10027" s="400">
        <v>46260.0</v>
      </c>
      <c r="D10027" s="69">
        <v>694.0</v>
      </c>
      <c r="E10027" s="544" t="s">
        <v>1890</v>
      </c>
      <c r="F10027" s="387">
        <v>2.0</v>
      </c>
      <c r="G10027" s="140">
        <v>840000.0</v>
      </c>
      <c r="H10027" s="74"/>
      <c r="I10027" s="74">
        <f t="shared" si="7"/>
        <v>1680000</v>
      </c>
      <c r="J10027" s="74">
        <f>IF(E10027="SERVICE",I10027-(I10027*50%),Vlookup(E10027,DATABASE!C:Q,10,false)*F10027)</f>
        <v>0</v>
      </c>
      <c r="K10027" s="74">
        <f>VLOOKUP(E10027,DATABASE!C:Q,7,false)</f>
        <v>739600</v>
      </c>
      <c r="L10027" s="74">
        <v>739600.0</v>
      </c>
      <c r="M10027" s="74">
        <f t="shared" si="6"/>
        <v>740000</v>
      </c>
      <c r="N10027" s="74">
        <f t="shared" si="3"/>
        <v>200000</v>
      </c>
      <c r="O10027" s="65" t="str">
        <f>VLOOKUP(E10027,DATABASE!C:Q,8,false)</f>
        <v>BIAN</v>
      </c>
      <c r="P10027" s="65">
        <f>VLOOKUP(E10027,DATABASE!C:Q,9,False)</f>
        <v>1</v>
      </c>
      <c r="Q10027" s="93" t="str">
        <f>VLOOKUP(E10027,DATABASE!C:Q,4,false)</f>
        <v>GT</v>
      </c>
      <c r="R10027" s="93" t="str">
        <f>VLOOKUP(E10027,DATABASE!C:Q,11,false)</f>
        <v>Tire</v>
      </c>
    </row>
    <row r="10028" ht="22.5" customHeight="1">
      <c r="A10028" s="49"/>
      <c r="C10028" s="400">
        <v>46260.0</v>
      </c>
      <c r="D10028" s="69">
        <v>695.0</v>
      </c>
      <c r="E10028" s="544" t="s">
        <v>262</v>
      </c>
      <c r="F10028" s="387">
        <v>1.0</v>
      </c>
      <c r="G10028" s="140">
        <v>130000.0</v>
      </c>
      <c r="H10028" s="74"/>
      <c r="I10028" s="74">
        <f t="shared" si="7"/>
        <v>130000</v>
      </c>
      <c r="J10028" s="74">
        <f>IF(E10028="SERVICE",I10028-(I10028*50%),Vlookup(E10028,DATABASE!C:Q,10,false)*F10028)</f>
        <v>5000</v>
      </c>
      <c r="K10028" s="74">
        <f>VLOOKUP(E10028,DATABASE!C:Q,7,false)</f>
        <v>0</v>
      </c>
      <c r="L10028" s="74">
        <v>0.0</v>
      </c>
      <c r="M10028" s="74">
        <f t="shared" si="6"/>
        <v>0</v>
      </c>
      <c r="N10028" s="74">
        <f t="shared" si="3"/>
        <v>125000</v>
      </c>
      <c r="O10028" s="65" t="str">
        <f>VLOOKUP(E10028,DATABASE!C:Q,8,false)</f>
        <v>IBU</v>
      </c>
      <c r="P10028" s="65">
        <f>VLOOKUP(E10028,DATABASE!C:Q,9,False)</f>
        <v>0</v>
      </c>
      <c r="Q10028" s="93" t="str">
        <f>VLOOKUP(E10028,DATABASE!C:Q,4,false)</f>
        <v>SPOORING SS/CARRY LOS BAK</v>
      </c>
      <c r="R10028" s="93" t="str">
        <f>VLOOKUP(E10028,DATABASE!C:Q,11,false)</f>
        <v>SERVICE</v>
      </c>
    </row>
    <row r="10029" ht="22.5" customHeight="1">
      <c r="A10029" s="49"/>
      <c r="C10029" s="400">
        <v>46260.0</v>
      </c>
      <c r="D10029" s="69">
        <v>696.0</v>
      </c>
      <c r="E10029" s="544" t="s">
        <v>246</v>
      </c>
      <c r="F10029" s="387">
        <v>1.0</v>
      </c>
      <c r="G10029" s="140">
        <v>40000.0</v>
      </c>
      <c r="H10029" s="74"/>
      <c r="I10029" s="74">
        <f t="shared" si="7"/>
        <v>40000</v>
      </c>
      <c r="J10029" s="74">
        <f>IF(E10029="SERVICE",I10029-(I10029*50%),Vlookup(E10029,DATABASE!C:Q,10,false)*F10029)</f>
        <v>0</v>
      </c>
      <c r="K10029" s="74">
        <f>VLOOKUP(E10029,DATABASE!C:Q,7,false)</f>
        <v>0</v>
      </c>
      <c r="L10029" s="74">
        <v>0.0</v>
      </c>
      <c r="M10029" s="74">
        <f t="shared" si="6"/>
        <v>0</v>
      </c>
      <c r="N10029" s="74">
        <f t="shared" si="3"/>
        <v>40000</v>
      </c>
      <c r="O10029" s="65" t="str">
        <f>VLOOKUP(E10029,DATABASE!C:Q,8,false)</f>
        <v>IBU</v>
      </c>
      <c r="P10029" s="65">
        <f>VLOOKUP(E10029,DATABASE!C:Q,9,False)</f>
        <v>0</v>
      </c>
      <c r="Q10029" s="93" t="str">
        <f>VLOOKUP(E10029,DATABASE!C:Q,4,false)</f>
        <v>Bongkar Pasang</v>
      </c>
      <c r="R10029" s="93" t="str">
        <f>VLOOKUP(E10029,DATABASE!C:Q,11,false)</f>
        <v>SERVICE</v>
      </c>
    </row>
    <row r="10030" ht="22.5" customHeight="1">
      <c r="A10030" s="49"/>
      <c r="C10030" s="400">
        <v>46260.0</v>
      </c>
      <c r="D10030" s="69">
        <v>697.0</v>
      </c>
      <c r="E10030" s="544" t="s">
        <v>284</v>
      </c>
      <c r="F10030" s="387">
        <v>1.0</v>
      </c>
      <c r="G10030" s="140">
        <v>60000.0</v>
      </c>
      <c r="H10030" s="74"/>
      <c r="I10030" s="74">
        <f t="shared" si="7"/>
        <v>60000</v>
      </c>
      <c r="J10030" s="74">
        <f>IF(E10030="SERVICE",I10030-(I10030*50%),Vlookup(E10030,DATABASE!C:Q,10,false)*F10030)</f>
        <v>0</v>
      </c>
      <c r="K10030" s="74">
        <f>VLOOKUP(E10030,DATABASE!C:Q,7,false)</f>
        <v>36630</v>
      </c>
      <c r="L10030" s="74">
        <v>36630.0</v>
      </c>
      <c r="M10030" s="74">
        <f t="shared" si="6"/>
        <v>40000</v>
      </c>
      <c r="N10030" s="74">
        <f t="shared" si="3"/>
        <v>20000</v>
      </c>
      <c r="O10030" s="65" t="str">
        <f>VLOOKUP(E10030,DATABASE!C:Q,8,false)</f>
        <v>BIAN</v>
      </c>
      <c r="P10030" s="65">
        <f>VLOOKUP(E10030,DATABASE!C:Q,9,False)</f>
        <v>1</v>
      </c>
      <c r="Q10030" s="93" t="str">
        <f>VLOOKUP(E10030,DATABASE!C:Q,4,false)</f>
        <v>Flap</v>
      </c>
      <c r="R10030" s="93" t="str">
        <f>VLOOKUP(E10030,DATABASE!C:Q,11,false)</f>
        <v>Tire</v>
      </c>
    </row>
    <row r="10031" ht="22.5" customHeight="1">
      <c r="A10031" s="49"/>
      <c r="C10031" s="400">
        <v>46260.0</v>
      </c>
      <c r="D10031" s="69">
        <v>698.0</v>
      </c>
      <c r="E10031" s="544" t="s">
        <v>1486</v>
      </c>
      <c r="F10031" s="387">
        <v>2.0</v>
      </c>
      <c r="G10031" s="140">
        <v>990000.0</v>
      </c>
      <c r="H10031" s="74"/>
      <c r="I10031" s="74">
        <f t="shared" si="7"/>
        <v>1980000</v>
      </c>
      <c r="J10031" s="74">
        <f>IF(E10031="SERVICE",I10031-(I10031*50%),Vlookup(E10031,DATABASE!C:Q,10,false)*F10031)</f>
        <v>0</v>
      </c>
      <c r="K10031" s="74">
        <f>VLOOKUP(E10031,DATABASE!C:Q,7,false)</f>
        <v>888000</v>
      </c>
      <c r="L10031" s="74">
        <v>888000.0</v>
      </c>
      <c r="M10031" s="74">
        <f t="shared" si="6"/>
        <v>890000</v>
      </c>
      <c r="N10031" s="74">
        <f t="shared" si="3"/>
        <v>200000</v>
      </c>
      <c r="O10031" s="65" t="str">
        <f>VLOOKUP(E10031,DATABASE!C:Q,8,false)</f>
        <v>IBU</v>
      </c>
      <c r="P10031" s="65">
        <f>VLOOKUP(E10031,DATABASE!C:Q,9,False)</f>
        <v>1</v>
      </c>
      <c r="Q10031" s="93" t="str">
        <f>VLOOKUP(E10031,DATABASE!C:Q,4,false)</f>
        <v>Dunlop</v>
      </c>
      <c r="R10031" s="93" t="str">
        <f>VLOOKUP(E10031,DATABASE!C:Q,11,false)</f>
        <v>Tire</v>
      </c>
    </row>
    <row r="10032" ht="22.5" customHeight="1">
      <c r="A10032" s="49"/>
      <c r="C10032" s="400">
        <v>46260.0</v>
      </c>
      <c r="D10032" s="69">
        <v>699.0</v>
      </c>
      <c r="E10032" s="544" t="s">
        <v>897</v>
      </c>
      <c r="F10032" s="387">
        <v>1.0</v>
      </c>
      <c r="G10032" s="140">
        <v>1625000.0</v>
      </c>
      <c r="H10032" s="74"/>
      <c r="I10032" s="74">
        <f t="shared" si="7"/>
        <v>1625000</v>
      </c>
      <c r="J10032" s="74">
        <f>IF(E10032="SERVICE",I10032-(I10032*50%),Vlookup(E10032,DATABASE!C:Q,10,false)*F10032)</f>
        <v>0</v>
      </c>
      <c r="K10032" s="74">
        <f>VLOOKUP(E10032,DATABASE!C:Q,7,false)</f>
        <v>1560000</v>
      </c>
      <c r="L10032" s="74">
        <v>1525000.0</v>
      </c>
      <c r="M10032" s="74">
        <f t="shared" si="6"/>
        <v>1525000</v>
      </c>
      <c r="N10032" s="74">
        <f t="shared" si="3"/>
        <v>100000</v>
      </c>
      <c r="O10032" s="65" t="str">
        <f>VLOOKUP(E10032,DATABASE!C:Q,8,false)</f>
        <v>BIAN</v>
      </c>
      <c r="P10032" s="65">
        <f>VLOOKUP(E10032,DATABASE!C:Q,9,False)</f>
        <v>1</v>
      </c>
      <c r="Q10032" s="93" t="str">
        <f>VLOOKUP(E10032,DATABASE!C:Q,4,false)</f>
        <v>GT</v>
      </c>
      <c r="R10032" s="93" t="str">
        <f>VLOOKUP(E10032,DATABASE!C:Q,11,false)</f>
        <v>Tire</v>
      </c>
    </row>
    <row r="10033" ht="22.5" customHeight="1">
      <c r="A10033" s="49"/>
      <c r="C10033" s="400">
        <v>46260.0</v>
      </c>
      <c r="D10033" s="69">
        <v>700.0</v>
      </c>
      <c r="E10033" s="544" t="s">
        <v>262</v>
      </c>
      <c r="F10033" s="387">
        <v>1.0</v>
      </c>
      <c r="G10033" s="140">
        <v>130000.0</v>
      </c>
      <c r="H10033" s="74"/>
      <c r="I10033" s="74">
        <f t="shared" si="7"/>
        <v>130000</v>
      </c>
      <c r="J10033" s="74">
        <f>IF(E10033="SERVICE",I10033-(I10033*50%),Vlookup(E10033,DATABASE!C:Q,10,false)*F10033)</f>
        <v>5000</v>
      </c>
      <c r="K10033" s="74">
        <f>VLOOKUP(E10033,DATABASE!C:Q,7,false)</f>
        <v>0</v>
      </c>
      <c r="L10033" s="74">
        <v>0.0</v>
      </c>
      <c r="M10033" s="74">
        <f t="shared" si="6"/>
        <v>0</v>
      </c>
      <c r="N10033" s="74">
        <f t="shared" si="3"/>
        <v>125000</v>
      </c>
      <c r="O10033" s="65" t="str">
        <f>VLOOKUP(E10033,DATABASE!C:Q,8,false)</f>
        <v>IBU</v>
      </c>
      <c r="P10033" s="65">
        <f>VLOOKUP(E10033,DATABASE!C:Q,9,False)</f>
        <v>0</v>
      </c>
      <c r="Q10033" s="93" t="str">
        <f>VLOOKUP(E10033,DATABASE!C:Q,4,false)</f>
        <v>SPOORING SS/CARRY LOS BAK</v>
      </c>
      <c r="R10033" s="93" t="str">
        <f>VLOOKUP(E10033,DATABASE!C:Q,11,false)</f>
        <v>SERVICE</v>
      </c>
    </row>
    <row r="10034" ht="22.5" customHeight="1">
      <c r="A10034" s="49"/>
      <c r="C10034" s="400">
        <v>46260.0</v>
      </c>
      <c r="D10034" s="69">
        <v>700.0</v>
      </c>
      <c r="E10034" s="544" t="s">
        <v>301</v>
      </c>
      <c r="F10034" s="387">
        <v>1.0</v>
      </c>
      <c r="G10034" s="140">
        <v>250000.0</v>
      </c>
      <c r="H10034" s="74"/>
      <c r="I10034" s="74">
        <f t="shared" si="7"/>
        <v>250000</v>
      </c>
      <c r="J10034" s="74">
        <f>IF(E10034="SERVICE",I10034-(I10034*50%),Vlookup(E10034,DATABASE!C:Q,10,false)*F10034)</f>
        <v>75000</v>
      </c>
      <c r="K10034" s="74">
        <f>VLOOKUP(E10034,DATABASE!C:Q,7,false)</f>
        <v>75000</v>
      </c>
      <c r="L10034" s="74">
        <v>75000.0</v>
      </c>
      <c r="M10034" s="74">
        <f t="shared" si="6"/>
        <v>75000</v>
      </c>
      <c r="N10034" s="74">
        <f t="shared" si="3"/>
        <v>100000</v>
      </c>
      <c r="O10034" s="65" t="str">
        <f>VLOOKUP(E10034,DATABASE!C:Q,8,false)</f>
        <v>BIAN</v>
      </c>
      <c r="P10034" s="65">
        <f>VLOOKUP(E10034,DATABASE!C:Q,9,False)</f>
        <v>0</v>
      </c>
      <c r="Q10034" s="93" t="str">
        <f>VLOOKUP(E10034,DATABASE!C:Q,4,false)</f>
        <v>Baut Camber</v>
      </c>
      <c r="R10034" s="93" t="str">
        <f>VLOOKUP(E10034,DATABASE!C:Q,11,false)</f>
        <v>COMPLEMENTARY</v>
      </c>
    </row>
    <row r="10035" ht="22.5" customHeight="1">
      <c r="A10035" s="49"/>
      <c r="C10035" s="400">
        <v>46260.0</v>
      </c>
      <c r="D10035" s="69">
        <v>701.0</v>
      </c>
      <c r="E10035" s="544" t="s">
        <v>781</v>
      </c>
      <c r="F10035" s="387">
        <v>2.0</v>
      </c>
      <c r="G10035" s="140">
        <v>555000.0</v>
      </c>
      <c r="H10035" s="74"/>
      <c r="I10035" s="74">
        <f t="shared" si="7"/>
        <v>1110000</v>
      </c>
      <c r="J10035" s="74">
        <f>IF(E10035="SERVICE",I10035-(I10035*50%),Vlookup(E10035,DATABASE!C:Q,10,false)*F10035)</f>
        <v>0</v>
      </c>
      <c r="K10035" s="74">
        <f>VLOOKUP(E10035,DATABASE!C:Q,7,false)</f>
        <v>470000</v>
      </c>
      <c r="L10035" s="74">
        <v>470000.0</v>
      </c>
      <c r="M10035" s="74">
        <f t="shared" si="6"/>
        <v>470000</v>
      </c>
      <c r="N10035" s="74">
        <f t="shared" si="3"/>
        <v>170000</v>
      </c>
      <c r="O10035" s="65" t="str">
        <f>VLOOKUP(E10035,DATABASE!C:Q,8,false)</f>
        <v>BIAN</v>
      </c>
      <c r="P10035" s="65">
        <f>VLOOKUP(E10035,DATABASE!C:Q,9,False)</f>
        <v>1</v>
      </c>
      <c r="Q10035" s="93" t="str">
        <f>VLOOKUP(E10035,DATABASE!C:Q,4,false)</f>
        <v>GT</v>
      </c>
      <c r="R10035" s="93" t="str">
        <f>VLOOKUP(E10035,DATABASE!C:Q,11,false)</f>
        <v>Tire</v>
      </c>
    </row>
    <row r="10036" ht="22.5" customHeight="1">
      <c r="A10036" s="49"/>
      <c r="C10036" s="400">
        <v>46260.0</v>
      </c>
      <c r="D10036" s="69">
        <v>701.0</v>
      </c>
      <c r="E10036" s="544" t="s">
        <v>299</v>
      </c>
      <c r="F10036" s="387">
        <v>1.0</v>
      </c>
      <c r="G10036" s="140">
        <v>30000.0</v>
      </c>
      <c r="H10036" s="74"/>
      <c r="I10036" s="74">
        <f t="shared" si="7"/>
        <v>30000</v>
      </c>
      <c r="J10036" s="74">
        <f>IF(E10036="SERVICE",I10036-(I10036*50%),Vlookup(E10036,DATABASE!C:Q,10,false)*F10036)</f>
        <v>0</v>
      </c>
      <c r="K10036" s="74">
        <f>VLOOKUP(E10036,DATABASE!C:Q,7,false)</f>
        <v>10000</v>
      </c>
      <c r="L10036" s="74">
        <v>10000.0</v>
      </c>
      <c r="M10036" s="74">
        <f t="shared" si="6"/>
        <v>10000</v>
      </c>
      <c r="N10036" s="74">
        <f t="shared" si="3"/>
        <v>20000</v>
      </c>
      <c r="O10036" s="65" t="str">
        <f>VLOOKUP(E10036,DATABASE!C:Q,8,false)</f>
        <v>BIAN</v>
      </c>
      <c r="P10036" s="65">
        <f>VLOOKUP(E10036,DATABASE!C:Q,9,False)</f>
        <v>0</v>
      </c>
      <c r="Q10036" s="93" t="str">
        <f>VLOOKUP(E10036,DATABASE!C:Q,4,false)</f>
        <v>Balancing</v>
      </c>
      <c r="R10036" s="93" t="str">
        <f>VLOOKUP(E10036,DATABASE!C:Q,11,false)</f>
        <v>COMPLEMENTARY</v>
      </c>
    </row>
    <row r="10037" ht="22.5" customHeight="1">
      <c r="A10037" s="49"/>
      <c r="C10037" s="400">
        <v>46260.0</v>
      </c>
      <c r="D10037" s="69">
        <v>701.0</v>
      </c>
      <c r="E10037" s="544" t="s">
        <v>262</v>
      </c>
      <c r="F10037" s="387">
        <v>1.0</v>
      </c>
      <c r="G10037" s="140">
        <v>130000.0</v>
      </c>
      <c r="H10037" s="74"/>
      <c r="I10037" s="74">
        <f t="shared" si="7"/>
        <v>130000</v>
      </c>
      <c r="J10037" s="74">
        <f>IF(E10037="SERVICE",I10037-(I10037*50%),Vlookup(E10037,DATABASE!C:Q,10,false)*F10037)</f>
        <v>5000</v>
      </c>
      <c r="K10037" s="74">
        <f>VLOOKUP(E10037,DATABASE!C:Q,7,false)</f>
        <v>0</v>
      </c>
      <c r="L10037" s="74">
        <v>0.0</v>
      </c>
      <c r="M10037" s="74">
        <f t="shared" si="6"/>
        <v>0</v>
      </c>
      <c r="N10037" s="74">
        <f t="shared" si="3"/>
        <v>125000</v>
      </c>
      <c r="O10037" s="65" t="str">
        <f>VLOOKUP(E10037,DATABASE!C:Q,8,false)</f>
        <v>IBU</v>
      </c>
      <c r="P10037" s="65">
        <f>VLOOKUP(E10037,DATABASE!C:Q,9,False)</f>
        <v>0</v>
      </c>
      <c r="Q10037" s="93" t="str">
        <f>VLOOKUP(E10037,DATABASE!C:Q,4,false)</f>
        <v>SPOORING SS/CARRY LOS BAK</v>
      </c>
      <c r="R10037" s="93" t="str">
        <f>VLOOKUP(E10037,DATABASE!C:Q,11,false)</f>
        <v>SERVICE</v>
      </c>
    </row>
    <row r="10038" ht="22.5" customHeight="1">
      <c r="A10038" s="49"/>
      <c r="C10038" s="400">
        <v>46260.0</v>
      </c>
      <c r="D10038" s="69">
        <v>701.0</v>
      </c>
      <c r="E10038" s="544" t="s">
        <v>251</v>
      </c>
      <c r="F10038" s="387">
        <v>1.0</v>
      </c>
      <c r="G10038" s="140">
        <v>120000.0</v>
      </c>
      <c r="H10038" s="74"/>
      <c r="I10038" s="74">
        <f t="shared" si="7"/>
        <v>120000</v>
      </c>
      <c r="J10038" s="74">
        <f>IF(E10038="SERVICE",I10038-(I10038*50%),Vlookup(E10038,DATABASE!C:Q,10,false)*F10038)</f>
        <v>60000</v>
      </c>
      <c r="K10038" s="74">
        <f>VLOOKUP(E10038,DATABASE!C:Q,7,false)</f>
        <v>0</v>
      </c>
      <c r="L10038" s="74">
        <v>0.0</v>
      </c>
      <c r="M10038" s="74">
        <f t="shared" si="6"/>
        <v>0</v>
      </c>
      <c r="N10038" s="74">
        <f t="shared" si="3"/>
        <v>60000</v>
      </c>
      <c r="O10038" s="65" t="str">
        <f>VLOOKUP(E10038,DATABASE!C:Q,8,false)</f>
        <v>IBU</v>
      </c>
      <c r="P10038" s="65">
        <f>VLOOKUP(E10038,DATABASE!C:Q,9,False)</f>
        <v>0</v>
      </c>
      <c r="Q10038" s="93" t="str">
        <f>VLOOKUP(E10038,DATABASE!C:Q,4,false)</f>
        <v>SERVICE</v>
      </c>
      <c r="R10038" s="93" t="str">
        <f>VLOOKUP(E10038,DATABASE!C:Q,11,false)</f>
        <v>SERVICE</v>
      </c>
    </row>
    <row r="10039" ht="22.5" customHeight="1">
      <c r="A10039" s="49"/>
      <c r="C10039" s="400">
        <v>46260.0</v>
      </c>
      <c r="D10039" s="69">
        <v>702.0</v>
      </c>
      <c r="E10039" s="544" t="s">
        <v>2631</v>
      </c>
      <c r="F10039" s="387">
        <v>1.0</v>
      </c>
      <c r="G10039" s="140">
        <v>900000.0</v>
      </c>
      <c r="H10039" s="74"/>
      <c r="I10039" s="74">
        <f t="shared" si="7"/>
        <v>900000</v>
      </c>
      <c r="J10039" s="74">
        <f>IF(E10039="SERVICE",I10039-(I10039*50%),Vlookup(E10039,DATABASE!C:Q,10,false)*F10039)</f>
        <v>0</v>
      </c>
      <c r="K10039" s="74">
        <f>VLOOKUP(E10039,DATABASE!C:Q,7,false)</f>
        <v>795000</v>
      </c>
      <c r="L10039" s="74">
        <v>795000.0</v>
      </c>
      <c r="M10039" s="74">
        <f t="shared" si="6"/>
        <v>795000</v>
      </c>
      <c r="N10039" s="74">
        <f t="shared" si="3"/>
        <v>105000</v>
      </c>
      <c r="O10039" s="65" t="str">
        <f>VLOOKUP(E10039,DATABASE!C:Q,8,false)</f>
        <v>IBU</v>
      </c>
      <c r="P10039" s="65">
        <f>VLOOKUP(E10039,DATABASE!C:Q,9,False)</f>
        <v>1</v>
      </c>
      <c r="Q10039" s="93" t="str">
        <f>VLOOKUP(E10039,DATABASE!C:Q,4,false)</f>
        <v>DUNLOP</v>
      </c>
      <c r="R10039" s="93" t="str">
        <f>VLOOKUP(E10039,DATABASE!C:Q,11,false)</f>
        <v>Tire</v>
      </c>
    </row>
    <row r="10040" ht="22.5" customHeight="1">
      <c r="A10040" s="49"/>
      <c r="C10040" s="400">
        <v>46260.0</v>
      </c>
      <c r="D10040" s="69">
        <v>703.0</v>
      </c>
      <c r="E10040" s="544" t="s">
        <v>246</v>
      </c>
      <c r="F10040" s="387">
        <v>2.0</v>
      </c>
      <c r="G10040" s="140">
        <v>25000.0</v>
      </c>
      <c r="H10040" s="74"/>
      <c r="I10040" s="74">
        <f t="shared" si="7"/>
        <v>50000</v>
      </c>
      <c r="J10040" s="74">
        <f>IF(E10040="SERVICE",I10040-(I10040*50%),Vlookup(E10040,DATABASE!C:Q,10,false)*F10040)</f>
        <v>0</v>
      </c>
      <c r="K10040" s="74">
        <f>VLOOKUP(E10040,DATABASE!C:Q,7,false)</f>
        <v>0</v>
      </c>
      <c r="L10040" s="74">
        <v>0.0</v>
      </c>
      <c r="M10040" s="74">
        <f t="shared" si="6"/>
        <v>0</v>
      </c>
      <c r="N10040" s="74">
        <f t="shared" si="3"/>
        <v>50000</v>
      </c>
      <c r="O10040" s="65" t="str">
        <f>VLOOKUP(E10040,DATABASE!C:Q,8,false)</f>
        <v>IBU</v>
      </c>
      <c r="P10040" s="65">
        <f>VLOOKUP(E10040,DATABASE!C:Q,9,False)</f>
        <v>0</v>
      </c>
      <c r="Q10040" s="93" t="str">
        <f>VLOOKUP(E10040,DATABASE!C:Q,4,false)</f>
        <v>Bongkar Pasang</v>
      </c>
      <c r="R10040" s="93" t="str">
        <f>VLOOKUP(E10040,DATABASE!C:Q,11,false)</f>
        <v>SERVICE</v>
      </c>
    </row>
    <row r="10041" ht="22.5" customHeight="1">
      <c r="A10041" s="49"/>
      <c r="C10041" s="400">
        <v>46260.0</v>
      </c>
      <c r="D10041" s="69">
        <v>704.0</v>
      </c>
      <c r="E10041" s="544" t="s">
        <v>924</v>
      </c>
      <c r="F10041" s="387">
        <v>1.0</v>
      </c>
      <c r="G10041" s="140">
        <v>1660000.0</v>
      </c>
      <c r="H10041" s="74"/>
      <c r="I10041" s="74">
        <f t="shared" si="7"/>
        <v>1660000</v>
      </c>
      <c r="J10041" s="74">
        <f>IF(E10041="SERVICE",I10041-(I10041*50%),Vlookup(E10041,DATABASE!C:Q,10,false)*F10041)</f>
        <v>0</v>
      </c>
      <c r="K10041" s="74">
        <f>VLOOKUP(E10041,DATABASE!C:Q,7,false)</f>
        <v>1560000</v>
      </c>
      <c r="L10041" s="74">
        <v>1560000.0</v>
      </c>
      <c r="M10041" s="74">
        <f t="shared" si="6"/>
        <v>1560000</v>
      </c>
      <c r="N10041" s="74">
        <f t="shared" si="3"/>
        <v>100000</v>
      </c>
      <c r="O10041" s="65" t="str">
        <f>VLOOKUP(E10041,DATABASE!C:Q,8,false)</f>
        <v>BIAN</v>
      </c>
      <c r="P10041" s="65">
        <f>VLOOKUP(E10041,DATABASE!C:Q,9,False)</f>
        <v>1</v>
      </c>
      <c r="Q10041" s="93" t="str">
        <f>VLOOKUP(E10041,DATABASE!C:Q,4,false)</f>
        <v>TIRON</v>
      </c>
      <c r="R10041" s="93" t="str">
        <f>VLOOKUP(E10041,DATABASE!C:Q,11,false)</f>
        <v>Tire</v>
      </c>
    </row>
    <row r="10042" ht="22.5" customHeight="1">
      <c r="A10042" s="49"/>
      <c r="C10042" s="400">
        <v>46260.0</v>
      </c>
      <c r="D10042" s="69" t="s">
        <v>2918</v>
      </c>
      <c r="E10042" s="544" t="s">
        <v>252</v>
      </c>
      <c r="F10042" s="387">
        <v>1.0</v>
      </c>
      <c r="G10042" s="140">
        <v>370000.0</v>
      </c>
      <c r="H10042" s="74"/>
      <c r="I10042" s="74">
        <f t="shared" si="7"/>
        <v>370000</v>
      </c>
      <c r="J10042" s="74">
        <f>IF(E10042="SERVICE",I10042-(I10042*50%),Vlookup(E10042,DATABASE!C:Q,10,false)*F10042)</f>
        <v>0</v>
      </c>
      <c r="K10042" s="74">
        <f>VLOOKUP(E10042,DATABASE!C:Q,7,false)</f>
        <v>317518</v>
      </c>
      <c r="L10042" s="74">
        <v>317518.0</v>
      </c>
      <c r="M10042" s="74">
        <f t="shared" si="6"/>
        <v>320000</v>
      </c>
      <c r="N10042" s="74">
        <f t="shared" si="3"/>
        <v>50000</v>
      </c>
      <c r="O10042" s="65" t="str">
        <f>VLOOKUP(E10042,DATABASE!C:Q,8,false)</f>
        <v>NON</v>
      </c>
      <c r="P10042" s="65">
        <f>VLOOKUP(E10042,DATABASE!C:Q,9,False)</f>
        <v>0</v>
      </c>
      <c r="Q10042" s="93" t="str">
        <f>VLOOKUP(E10042,DATABASE!C:Q,4,false)</f>
        <v>Shell</v>
      </c>
      <c r="R10042" s="93" t="str">
        <f>VLOOKUP(E10042,DATABASE!C:Q,11,false)</f>
        <v>OIL</v>
      </c>
    </row>
    <row r="10043" ht="22.5" customHeight="1">
      <c r="A10043" s="49"/>
      <c r="C10043" s="400">
        <v>46260.0</v>
      </c>
      <c r="D10043" s="69" t="s">
        <v>2918</v>
      </c>
      <c r="E10043" s="544" t="s">
        <v>298</v>
      </c>
      <c r="F10043" s="387">
        <v>1.0</v>
      </c>
      <c r="G10043" s="140">
        <v>25000.0</v>
      </c>
      <c r="H10043" s="74"/>
      <c r="I10043" s="74">
        <f t="shared" si="7"/>
        <v>25000</v>
      </c>
      <c r="J10043" s="74">
        <f>IF(E10043="SERVICE",I10043-(I10043*50%),Vlookup(E10043,DATABASE!C:Q,10,false)*F10043)</f>
        <v>0</v>
      </c>
      <c r="K10043" s="74">
        <f>VLOOKUP(E10043,DATABASE!C:Q,7,false)</f>
        <v>19200</v>
      </c>
      <c r="L10043" s="74">
        <v>19200.0</v>
      </c>
      <c r="M10043" s="74">
        <f t="shared" si="6"/>
        <v>20000</v>
      </c>
      <c r="N10043" s="74">
        <f t="shared" si="3"/>
        <v>5000</v>
      </c>
      <c r="O10043" s="65" t="str">
        <f>VLOOKUP(E10043,DATABASE!C:Q,8,false)</f>
        <v>BIAN</v>
      </c>
      <c r="P10043" s="65">
        <f>VLOOKUP(E10043,DATABASE!C:Q,9,False)</f>
        <v>0</v>
      </c>
      <c r="Q10043" s="93" t="str">
        <f>VLOOKUP(E10043,DATABASE!C:Q,4,false)</f>
        <v>Aspira</v>
      </c>
      <c r="R10043" s="93" t="str">
        <f>VLOOKUP(E10043,DATABASE!C:Q,11,false)</f>
        <v>COMPLEMENTARY</v>
      </c>
    </row>
    <row r="10044" ht="22.5" customHeight="1">
      <c r="A10044" s="49"/>
      <c r="C10044" s="400">
        <v>46261.0</v>
      </c>
      <c r="D10044" s="69">
        <v>709.0</v>
      </c>
      <c r="E10044" s="544" t="s">
        <v>271</v>
      </c>
      <c r="F10044" s="387">
        <v>1.0</v>
      </c>
      <c r="G10044" s="140">
        <v>640000.0</v>
      </c>
      <c r="H10044" s="74"/>
      <c r="I10044" s="74">
        <f t="shared" si="7"/>
        <v>640000</v>
      </c>
      <c r="J10044" s="74">
        <f>IF(E10044="SERVICE",I10044-(I10044*50%),Vlookup(E10044,DATABASE!C:Q,10,false)*F10044)</f>
        <v>0</v>
      </c>
      <c r="K10044" s="74">
        <f>VLOOKUP(E10044,DATABASE!C:Q,7,false)</f>
        <v>570000</v>
      </c>
      <c r="L10044" s="74">
        <v>550000.0</v>
      </c>
      <c r="M10044" s="74">
        <f t="shared" si="6"/>
        <v>550000</v>
      </c>
      <c r="N10044" s="74">
        <f t="shared" si="3"/>
        <v>90000</v>
      </c>
      <c r="O10044" s="65" t="str">
        <f>VLOOKUP(E10044,DATABASE!C:Q,8,false)</f>
        <v>IBU</v>
      </c>
      <c r="P10044" s="65">
        <f>VLOOKUP(E10044,DATABASE!C:Q,9,False)</f>
        <v>1</v>
      </c>
      <c r="Q10044" s="93" t="str">
        <f>VLOOKUP(E10044,DATABASE!C:Q,4,false)</f>
        <v>Dunlop</v>
      </c>
      <c r="R10044" s="93" t="str">
        <f>VLOOKUP(E10044,DATABASE!C:Q,11,false)</f>
        <v>Tire</v>
      </c>
    </row>
    <row r="10045" ht="22.5" customHeight="1">
      <c r="A10045" s="49"/>
      <c r="C10045" s="400">
        <v>46261.0</v>
      </c>
      <c r="D10045" s="69">
        <v>710.0</v>
      </c>
      <c r="E10045" s="544" t="s">
        <v>299</v>
      </c>
      <c r="F10045" s="387">
        <v>2.0</v>
      </c>
      <c r="G10045" s="140">
        <v>30000.0</v>
      </c>
      <c r="H10045" s="74"/>
      <c r="I10045" s="74">
        <f t="shared" si="7"/>
        <v>60000</v>
      </c>
      <c r="J10045" s="74">
        <f>IF(E10045="SERVICE",I10045-(I10045*50%),Vlookup(E10045,DATABASE!C:Q,10,false)*F10045)</f>
        <v>0</v>
      </c>
      <c r="K10045" s="74">
        <f>VLOOKUP(E10045,DATABASE!C:Q,7,false)</f>
        <v>10000</v>
      </c>
      <c r="L10045" s="74">
        <v>10000.0</v>
      </c>
      <c r="M10045" s="74">
        <f t="shared" si="6"/>
        <v>10000</v>
      </c>
      <c r="N10045" s="74">
        <f t="shared" si="3"/>
        <v>40000</v>
      </c>
      <c r="O10045" s="65" t="str">
        <f>VLOOKUP(E10045,DATABASE!C:Q,8,false)</f>
        <v>BIAN</v>
      </c>
      <c r="P10045" s="65">
        <f>VLOOKUP(E10045,DATABASE!C:Q,9,False)</f>
        <v>0</v>
      </c>
      <c r="Q10045" s="93" t="str">
        <f>VLOOKUP(E10045,DATABASE!C:Q,4,false)</f>
        <v>Balancing</v>
      </c>
      <c r="R10045" s="93" t="str">
        <f>VLOOKUP(E10045,DATABASE!C:Q,11,false)</f>
        <v>COMPLEMENTARY</v>
      </c>
    </row>
    <row r="10046" ht="22.5" customHeight="1">
      <c r="A10046" s="49"/>
      <c r="C10046" s="400">
        <v>46261.0</v>
      </c>
      <c r="D10046" s="69">
        <v>712.0</v>
      </c>
      <c r="E10046" s="544" t="s">
        <v>821</v>
      </c>
      <c r="F10046" s="387">
        <v>1.0</v>
      </c>
      <c r="G10046" s="140">
        <v>90000.0</v>
      </c>
      <c r="H10046" s="74"/>
      <c r="I10046" s="74">
        <f t="shared" si="7"/>
        <v>90000</v>
      </c>
      <c r="J10046" s="74">
        <f>IF(E10046="SERVICE",I10046-(I10046*50%),Vlookup(E10046,DATABASE!C:Q,10,false)*F10046)</f>
        <v>0</v>
      </c>
      <c r="K10046" s="74">
        <f>VLOOKUP(E10046,DATABASE!C:Q,7,false)</f>
        <v>43500</v>
      </c>
      <c r="L10046" s="74">
        <v>43500.0</v>
      </c>
      <c r="M10046" s="74">
        <f t="shared" si="6"/>
        <v>45000</v>
      </c>
      <c r="N10046" s="74">
        <f t="shared" si="3"/>
        <v>45000</v>
      </c>
      <c r="O10046" s="65" t="str">
        <f>VLOOKUP(E10046,DATABASE!C:Q,8,false)</f>
        <v>BIAN</v>
      </c>
      <c r="P10046" s="65">
        <f>VLOOKUP(E10046,DATABASE!C:Q,9,False)</f>
        <v>1</v>
      </c>
      <c r="Q10046" s="93" t="str">
        <f>VLOOKUP(E10046,DATABASE!C:Q,4,false)</f>
        <v>Flap</v>
      </c>
      <c r="R10046" s="93" t="str">
        <f>VLOOKUP(E10046,DATABASE!C:Q,11,false)</f>
        <v>Tire</v>
      </c>
    </row>
    <row r="10047" ht="22.5" customHeight="1">
      <c r="A10047" s="49"/>
      <c r="C10047" s="400">
        <v>46261.0</v>
      </c>
      <c r="D10047" s="69">
        <v>713.0</v>
      </c>
      <c r="E10047" s="544" t="s">
        <v>246</v>
      </c>
      <c r="F10047" s="387">
        <v>1.0</v>
      </c>
      <c r="G10047" s="140">
        <v>25000.0</v>
      </c>
      <c r="H10047" s="74"/>
      <c r="I10047" s="74">
        <f t="shared" si="7"/>
        <v>25000</v>
      </c>
      <c r="J10047" s="74">
        <f>IF(E10047="SERVICE",I10047-(I10047*50%),Vlookup(E10047,DATABASE!C:Q,10,false)*F10047)</f>
        <v>0</v>
      </c>
      <c r="K10047" s="74">
        <f>VLOOKUP(E10047,DATABASE!C:Q,7,false)</f>
        <v>0</v>
      </c>
      <c r="L10047" s="74">
        <v>0.0</v>
      </c>
      <c r="M10047" s="74">
        <f t="shared" si="6"/>
        <v>0</v>
      </c>
      <c r="N10047" s="74">
        <f t="shared" si="3"/>
        <v>25000</v>
      </c>
      <c r="O10047" s="65" t="str">
        <f>VLOOKUP(E10047,DATABASE!C:Q,8,false)</f>
        <v>IBU</v>
      </c>
      <c r="P10047" s="65">
        <f>VLOOKUP(E10047,DATABASE!C:Q,9,False)</f>
        <v>0</v>
      </c>
      <c r="Q10047" s="93" t="str">
        <f>VLOOKUP(E10047,DATABASE!C:Q,4,false)</f>
        <v>Bongkar Pasang</v>
      </c>
      <c r="R10047" s="93" t="str">
        <f>VLOOKUP(E10047,DATABASE!C:Q,11,false)</f>
        <v>SERVICE</v>
      </c>
    </row>
    <row r="10048" ht="22.5" customHeight="1">
      <c r="A10048" s="49"/>
      <c r="C10048" s="400">
        <v>46261.0</v>
      </c>
      <c r="D10048" s="69">
        <v>715.0</v>
      </c>
      <c r="E10048" s="544" t="s">
        <v>256</v>
      </c>
      <c r="F10048" s="387">
        <v>1.0</v>
      </c>
      <c r="G10048" s="140">
        <v>150000.0</v>
      </c>
      <c r="H10048" s="74"/>
      <c r="I10048" s="74">
        <f t="shared" si="7"/>
        <v>150000</v>
      </c>
      <c r="J10048" s="74">
        <f>IF(E10048="SERVICE",I10048-(I10048*50%),Vlookup(E10048,DATABASE!C:Q,10,false)*F10048)</f>
        <v>10000</v>
      </c>
      <c r="K10048" s="74">
        <f>VLOOKUP(E10048,DATABASE!C:Q,7,false)</f>
        <v>0</v>
      </c>
      <c r="L10048" s="74">
        <v>0.0</v>
      </c>
      <c r="M10048" s="74">
        <f t="shared" si="6"/>
        <v>0</v>
      </c>
      <c r="N10048" s="74">
        <f t="shared" si="3"/>
        <v>140000</v>
      </c>
      <c r="O10048" s="65" t="str">
        <f>VLOOKUP(E10048,DATABASE!C:Q,8,false)</f>
        <v>IBU</v>
      </c>
      <c r="P10048" s="65">
        <f>VLOOKUP(E10048,DATABASE!C:Q,9,False)</f>
        <v>0</v>
      </c>
      <c r="Q10048" s="93" t="str">
        <f>VLOOKUP(E10048,DATABASE!C:Q,4,false)</f>
        <v>SPOORING</v>
      </c>
      <c r="R10048" s="93" t="str">
        <f>VLOOKUP(E10048,DATABASE!C:Q,11,false)</f>
        <v>SERVICE</v>
      </c>
    </row>
    <row r="10049" ht="22.5" customHeight="1">
      <c r="A10049" s="49"/>
      <c r="C10049" s="400">
        <v>46261.0</v>
      </c>
      <c r="D10049" s="69">
        <v>715.0</v>
      </c>
      <c r="E10049" s="544" t="s">
        <v>301</v>
      </c>
      <c r="F10049" s="387">
        <v>1.0</v>
      </c>
      <c r="G10049" s="140">
        <v>250000.0</v>
      </c>
      <c r="H10049" s="74"/>
      <c r="I10049" s="74">
        <f t="shared" si="7"/>
        <v>250000</v>
      </c>
      <c r="J10049" s="74">
        <f>IF(E10049="SERVICE",I10049-(I10049*50%),Vlookup(E10049,DATABASE!C:Q,10,false)*F10049)</f>
        <v>75000</v>
      </c>
      <c r="K10049" s="74">
        <f>VLOOKUP(E10049,DATABASE!C:Q,7,false)</f>
        <v>75000</v>
      </c>
      <c r="L10049" s="74">
        <v>75000.0</v>
      </c>
      <c r="M10049" s="74">
        <f t="shared" si="6"/>
        <v>75000</v>
      </c>
      <c r="N10049" s="74">
        <f t="shared" si="3"/>
        <v>100000</v>
      </c>
      <c r="O10049" s="65" t="str">
        <f>VLOOKUP(E10049,DATABASE!C:Q,8,false)</f>
        <v>BIAN</v>
      </c>
      <c r="P10049" s="65">
        <f>VLOOKUP(E10049,DATABASE!C:Q,9,False)</f>
        <v>0</v>
      </c>
      <c r="Q10049" s="93" t="str">
        <f>VLOOKUP(E10049,DATABASE!C:Q,4,false)</f>
        <v>Baut Camber</v>
      </c>
      <c r="R10049" s="93" t="str">
        <f>VLOOKUP(E10049,DATABASE!C:Q,11,false)</f>
        <v>COMPLEMENTARY</v>
      </c>
    </row>
    <row r="10050" ht="22.5" customHeight="1">
      <c r="A10050" s="49"/>
      <c r="C10050" s="400">
        <v>46261.0</v>
      </c>
      <c r="D10050" s="69">
        <v>716.0</v>
      </c>
      <c r="E10050" s="544" t="s">
        <v>246</v>
      </c>
      <c r="F10050" s="387">
        <v>4.0</v>
      </c>
      <c r="G10050" s="140">
        <v>25000.0</v>
      </c>
      <c r="H10050" s="74"/>
      <c r="I10050" s="74">
        <f t="shared" si="7"/>
        <v>100000</v>
      </c>
      <c r="J10050" s="74">
        <f>IF(E10050="SERVICE",I10050-(I10050*50%),Vlookup(E10050,DATABASE!C:Q,10,false)*F10050)</f>
        <v>0</v>
      </c>
      <c r="K10050" s="74">
        <f>VLOOKUP(E10050,DATABASE!C:Q,7,false)</f>
        <v>0</v>
      </c>
      <c r="L10050" s="74">
        <v>0.0</v>
      </c>
      <c r="M10050" s="74">
        <f t="shared" si="6"/>
        <v>0</v>
      </c>
      <c r="N10050" s="74">
        <f t="shared" si="3"/>
        <v>100000</v>
      </c>
      <c r="O10050" s="65" t="str">
        <f>VLOOKUP(E10050,DATABASE!C:Q,8,false)</f>
        <v>IBU</v>
      </c>
      <c r="P10050" s="65">
        <f>VLOOKUP(E10050,DATABASE!C:Q,9,False)</f>
        <v>0</v>
      </c>
      <c r="Q10050" s="93" t="str">
        <f>VLOOKUP(E10050,DATABASE!C:Q,4,false)</f>
        <v>Bongkar Pasang</v>
      </c>
      <c r="R10050" s="93" t="str">
        <f>VLOOKUP(E10050,DATABASE!C:Q,11,false)</f>
        <v>SERVICE</v>
      </c>
    </row>
    <row r="10051" ht="22.5" customHeight="1">
      <c r="A10051" s="49"/>
      <c r="C10051" s="400">
        <v>46262.0</v>
      </c>
      <c r="D10051" s="69">
        <v>717.0</v>
      </c>
      <c r="E10051" s="544" t="s">
        <v>256</v>
      </c>
      <c r="F10051" s="387">
        <v>1.0</v>
      </c>
      <c r="G10051" s="140">
        <v>150000.0</v>
      </c>
      <c r="H10051" s="74"/>
      <c r="I10051" s="74">
        <f t="shared" si="7"/>
        <v>150000</v>
      </c>
      <c r="J10051" s="74">
        <f>IF(E10051="SERVICE",I10051-(I10051*50%),Vlookup(E10051,DATABASE!C:Q,10,false)*F10051)</f>
        <v>10000</v>
      </c>
      <c r="K10051" s="74">
        <f>VLOOKUP(E10051,DATABASE!C:Q,7,false)</f>
        <v>0</v>
      </c>
      <c r="L10051" s="74">
        <v>0.0</v>
      </c>
      <c r="M10051" s="74">
        <f t="shared" si="6"/>
        <v>0</v>
      </c>
      <c r="N10051" s="74">
        <f t="shared" si="3"/>
        <v>140000</v>
      </c>
      <c r="O10051" s="65" t="str">
        <f>VLOOKUP(E10051,DATABASE!C:Q,8,false)</f>
        <v>IBU</v>
      </c>
      <c r="P10051" s="65">
        <f>VLOOKUP(E10051,DATABASE!C:Q,9,False)</f>
        <v>0</v>
      </c>
      <c r="Q10051" s="93" t="str">
        <f>VLOOKUP(E10051,DATABASE!C:Q,4,false)</f>
        <v>SPOORING</v>
      </c>
      <c r="R10051" s="93" t="str">
        <f>VLOOKUP(E10051,DATABASE!C:Q,11,false)</f>
        <v>SERVICE</v>
      </c>
    </row>
    <row r="10052" ht="22.5" customHeight="1">
      <c r="A10052" s="49"/>
      <c r="C10052" s="400">
        <v>46262.0</v>
      </c>
      <c r="D10052" s="69">
        <v>717.0</v>
      </c>
      <c r="E10052" s="544" t="s">
        <v>301</v>
      </c>
      <c r="F10052" s="387">
        <v>1.0</v>
      </c>
      <c r="G10052" s="140">
        <v>250000.0</v>
      </c>
      <c r="H10052" s="74"/>
      <c r="I10052" s="74">
        <f t="shared" si="7"/>
        <v>250000</v>
      </c>
      <c r="J10052" s="74">
        <f>IF(E10052="SERVICE",I10052-(I10052*50%),Vlookup(E10052,DATABASE!C:Q,10,false)*F10052)</f>
        <v>75000</v>
      </c>
      <c r="K10052" s="74">
        <f>VLOOKUP(E10052,DATABASE!C:Q,7,false)</f>
        <v>75000</v>
      </c>
      <c r="L10052" s="74">
        <v>75000.0</v>
      </c>
      <c r="M10052" s="74">
        <f t="shared" si="6"/>
        <v>75000</v>
      </c>
      <c r="N10052" s="74">
        <f t="shared" si="3"/>
        <v>100000</v>
      </c>
      <c r="O10052" s="65" t="str">
        <f>VLOOKUP(E10052,DATABASE!C:Q,8,false)</f>
        <v>BIAN</v>
      </c>
      <c r="P10052" s="65">
        <f>VLOOKUP(E10052,DATABASE!C:Q,9,False)</f>
        <v>0</v>
      </c>
      <c r="Q10052" s="93" t="str">
        <f>VLOOKUP(E10052,DATABASE!C:Q,4,false)</f>
        <v>Baut Camber</v>
      </c>
      <c r="R10052" s="93" t="str">
        <f>VLOOKUP(E10052,DATABASE!C:Q,11,false)</f>
        <v>COMPLEMENTARY</v>
      </c>
    </row>
    <row r="10053" ht="22.5" customHeight="1">
      <c r="A10053" s="49"/>
      <c r="C10053" s="400">
        <v>46262.0</v>
      </c>
      <c r="D10053" s="69">
        <v>731.0</v>
      </c>
      <c r="E10053" s="544" t="s">
        <v>262</v>
      </c>
      <c r="F10053" s="387">
        <v>1.0</v>
      </c>
      <c r="G10053" s="140">
        <v>130000.0</v>
      </c>
      <c r="H10053" s="74"/>
      <c r="I10053" s="74">
        <f t="shared" si="7"/>
        <v>130000</v>
      </c>
      <c r="J10053" s="74">
        <f>IF(E10053="SERVICE",I10053-(I10053*50%),Vlookup(E10053,DATABASE!C:Q,10,false)*F10053)</f>
        <v>5000</v>
      </c>
      <c r="K10053" s="74">
        <f>VLOOKUP(E10053,DATABASE!C:Q,7,false)</f>
        <v>0</v>
      </c>
      <c r="L10053" s="74">
        <v>0.0</v>
      </c>
      <c r="M10053" s="74">
        <f t="shared" si="6"/>
        <v>0</v>
      </c>
      <c r="N10053" s="74">
        <f t="shared" si="3"/>
        <v>125000</v>
      </c>
      <c r="O10053" s="65" t="str">
        <f>VLOOKUP(E10053,DATABASE!C:Q,8,false)</f>
        <v>IBU</v>
      </c>
      <c r="P10053" s="65">
        <f>VLOOKUP(E10053,DATABASE!C:Q,9,False)</f>
        <v>0</v>
      </c>
      <c r="Q10053" s="93" t="str">
        <f>VLOOKUP(E10053,DATABASE!C:Q,4,false)</f>
        <v>SPOORING SS/CARRY LOS BAK</v>
      </c>
      <c r="R10053" s="93" t="str">
        <f>VLOOKUP(E10053,DATABASE!C:Q,11,false)</f>
        <v>SERVICE</v>
      </c>
    </row>
    <row r="10054" ht="22.5" customHeight="1">
      <c r="A10054" s="49"/>
      <c r="C10054" s="400">
        <v>46262.0</v>
      </c>
      <c r="D10054" s="69">
        <v>731.0</v>
      </c>
      <c r="E10054" s="544" t="s">
        <v>478</v>
      </c>
      <c r="F10054" s="387">
        <v>1.0</v>
      </c>
      <c r="G10054" s="140">
        <v>200000.0</v>
      </c>
      <c r="H10054" s="74"/>
      <c r="I10054" s="74">
        <f t="shared" si="7"/>
        <v>200000</v>
      </c>
      <c r="J10054" s="74">
        <f>IF(E10054="SERVICE",I10054-(I10054*50%),Vlookup(E10054,DATABASE!C:Q,10,false)*F10054)</f>
        <v>25000</v>
      </c>
      <c r="K10054" s="74">
        <f>VLOOKUP(E10054,DATABASE!C:Q,7,false)</f>
        <v>75000</v>
      </c>
      <c r="L10054" s="74">
        <v>75000.0</v>
      </c>
      <c r="M10054" s="74">
        <f t="shared" si="6"/>
        <v>75000</v>
      </c>
      <c r="N10054" s="74">
        <f t="shared" si="3"/>
        <v>100000</v>
      </c>
      <c r="O10054" s="65" t="str">
        <f>VLOOKUP(E10054,DATABASE!C:Q,8,false)</f>
        <v>BIAN</v>
      </c>
      <c r="P10054" s="65">
        <f>VLOOKUP(E10054,DATABASE!C:Q,9,False)</f>
        <v>0</v>
      </c>
      <c r="Q10054" s="93" t="str">
        <f>VLOOKUP(E10054,DATABASE!C:Q,4,false)</f>
        <v>Baut Camber ss-carry</v>
      </c>
      <c r="R10054" s="93" t="str">
        <f>VLOOKUP(E10054,DATABASE!C:Q,11,false)</f>
        <v>COMPLEMENTARY</v>
      </c>
    </row>
    <row r="10055" ht="22.5" customHeight="1">
      <c r="A10055" s="49"/>
      <c r="C10055" s="400">
        <v>46262.0</v>
      </c>
      <c r="D10055" s="69">
        <v>731.0</v>
      </c>
      <c r="E10055" s="544" t="s">
        <v>251</v>
      </c>
      <c r="F10055" s="387">
        <v>1.0</v>
      </c>
      <c r="G10055" s="140">
        <v>120000.0</v>
      </c>
      <c r="H10055" s="74"/>
      <c r="I10055" s="74">
        <f t="shared" si="7"/>
        <v>120000</v>
      </c>
      <c r="J10055" s="74">
        <f>IF(E10055="SERVICE",I10055-(I10055*50%),Vlookup(E10055,DATABASE!C:Q,10,false)*F10055)</f>
        <v>60000</v>
      </c>
      <c r="K10055" s="74">
        <f>VLOOKUP(E10055,DATABASE!C:Q,7,false)</f>
        <v>0</v>
      </c>
      <c r="L10055" s="74">
        <v>0.0</v>
      </c>
      <c r="M10055" s="74">
        <f t="shared" si="6"/>
        <v>0</v>
      </c>
      <c r="N10055" s="74">
        <f t="shared" si="3"/>
        <v>60000</v>
      </c>
      <c r="O10055" s="65" t="str">
        <f>VLOOKUP(E10055,DATABASE!C:Q,8,false)</f>
        <v>IBU</v>
      </c>
      <c r="P10055" s="65">
        <f>VLOOKUP(E10055,DATABASE!C:Q,9,False)</f>
        <v>0</v>
      </c>
      <c r="Q10055" s="93" t="str">
        <f>VLOOKUP(E10055,DATABASE!C:Q,4,false)</f>
        <v>SERVICE</v>
      </c>
      <c r="R10055" s="93" t="str">
        <f>VLOOKUP(E10055,DATABASE!C:Q,11,false)</f>
        <v>SERVICE</v>
      </c>
    </row>
    <row r="10056" ht="22.5" customHeight="1">
      <c r="A10056" s="49"/>
      <c r="C10056" s="400">
        <v>46262.0</v>
      </c>
      <c r="D10056" s="69">
        <v>732.0</v>
      </c>
      <c r="E10056" s="544" t="s">
        <v>777</v>
      </c>
      <c r="F10056" s="387">
        <v>2.0</v>
      </c>
      <c r="G10056" s="140">
        <v>625000.0</v>
      </c>
      <c r="H10056" s="74"/>
      <c r="I10056" s="74">
        <f t="shared" si="7"/>
        <v>1250000</v>
      </c>
      <c r="J10056" s="74">
        <f>IF(E10056="SERVICE",I10056-(I10056*50%),Vlookup(E10056,DATABASE!C:Q,10,false)*F10056)</f>
        <v>0</v>
      </c>
      <c r="K10056" s="74">
        <f>VLOOKUP(E10056,DATABASE!C:Q,7,false)</f>
        <v>540000</v>
      </c>
      <c r="L10056" s="74">
        <v>540000.0</v>
      </c>
      <c r="M10056" s="74">
        <f t="shared" si="6"/>
        <v>540000</v>
      </c>
      <c r="N10056" s="74">
        <f t="shared" si="3"/>
        <v>170000</v>
      </c>
      <c r="O10056" s="65" t="str">
        <f>VLOOKUP(E10056,DATABASE!C:Q,8,false)</f>
        <v>BIAN</v>
      </c>
      <c r="P10056" s="65">
        <f>VLOOKUP(E10056,DATABASE!C:Q,9,False)</f>
        <v>1</v>
      </c>
      <c r="Q10056" s="93" t="str">
        <f>VLOOKUP(E10056,DATABASE!C:Q,4,false)</f>
        <v>GT</v>
      </c>
      <c r="R10056" s="93" t="str">
        <f>VLOOKUP(E10056,DATABASE!C:Q,11,false)</f>
        <v>Tire</v>
      </c>
    </row>
    <row r="10057" ht="22.5" customHeight="1">
      <c r="A10057" s="49"/>
      <c r="C10057" s="400">
        <v>46263.0</v>
      </c>
      <c r="D10057" s="69">
        <v>741.0</v>
      </c>
      <c r="E10057" s="544" t="s">
        <v>262</v>
      </c>
      <c r="F10057" s="387">
        <v>1.0</v>
      </c>
      <c r="G10057" s="140">
        <v>130000.0</v>
      </c>
      <c r="H10057" s="74"/>
      <c r="I10057" s="74">
        <f t="shared" si="7"/>
        <v>130000</v>
      </c>
      <c r="J10057" s="74">
        <f>IF(E10057="SERVICE",I10057-(I10057*50%),Vlookup(E10057,DATABASE!C:Q,10,false)*F10057)</f>
        <v>5000</v>
      </c>
      <c r="K10057" s="74">
        <f>VLOOKUP(E10057,DATABASE!C:Q,7,false)</f>
        <v>0</v>
      </c>
      <c r="L10057" s="74">
        <v>0.0</v>
      </c>
      <c r="M10057" s="74">
        <f t="shared" si="6"/>
        <v>0</v>
      </c>
      <c r="N10057" s="74">
        <f t="shared" si="3"/>
        <v>125000</v>
      </c>
      <c r="O10057" s="65" t="str">
        <f>VLOOKUP(E10057,DATABASE!C:Q,8,false)</f>
        <v>IBU</v>
      </c>
      <c r="P10057" s="65">
        <f>VLOOKUP(E10057,DATABASE!C:Q,9,False)</f>
        <v>0</v>
      </c>
      <c r="Q10057" s="93" t="str">
        <f>VLOOKUP(E10057,DATABASE!C:Q,4,false)</f>
        <v>SPOORING SS/CARRY LOS BAK</v>
      </c>
      <c r="R10057" s="93" t="str">
        <f>VLOOKUP(E10057,DATABASE!C:Q,11,false)</f>
        <v>SERVICE</v>
      </c>
    </row>
    <row r="10058" ht="22.5" customHeight="1">
      <c r="A10058" s="49"/>
      <c r="C10058" s="400">
        <v>46263.0</v>
      </c>
      <c r="D10058" s="69">
        <v>741.0</v>
      </c>
      <c r="E10058" s="544" t="s">
        <v>251</v>
      </c>
      <c r="F10058" s="387">
        <v>1.0</v>
      </c>
      <c r="G10058" s="140">
        <v>120000.0</v>
      </c>
      <c r="H10058" s="74"/>
      <c r="I10058" s="74">
        <f t="shared" si="7"/>
        <v>120000</v>
      </c>
      <c r="J10058" s="74">
        <f>IF(E10058="SERVICE",I10058-(I10058*50%),Vlookup(E10058,DATABASE!C:Q,10,false)*F10058)</f>
        <v>60000</v>
      </c>
      <c r="K10058" s="74">
        <f>VLOOKUP(E10058,DATABASE!C:Q,7,false)</f>
        <v>0</v>
      </c>
      <c r="L10058" s="74">
        <v>0.0</v>
      </c>
      <c r="M10058" s="74">
        <f t="shared" si="6"/>
        <v>0</v>
      </c>
      <c r="N10058" s="74">
        <f t="shared" si="3"/>
        <v>60000</v>
      </c>
      <c r="O10058" s="65" t="str">
        <f>VLOOKUP(E10058,DATABASE!C:Q,8,false)</f>
        <v>IBU</v>
      </c>
      <c r="P10058" s="65">
        <f>VLOOKUP(E10058,DATABASE!C:Q,9,False)</f>
        <v>0</v>
      </c>
      <c r="Q10058" s="93" t="str">
        <f>VLOOKUP(E10058,DATABASE!C:Q,4,false)</f>
        <v>SERVICE</v>
      </c>
      <c r="R10058" s="93" t="str">
        <f>VLOOKUP(E10058,DATABASE!C:Q,11,false)</f>
        <v>SERVICE</v>
      </c>
    </row>
    <row r="10059" ht="22.5" customHeight="1">
      <c r="A10059" s="49"/>
      <c r="C10059" s="400">
        <v>46263.0</v>
      </c>
      <c r="D10059" s="69">
        <v>743.0</v>
      </c>
      <c r="E10059" s="544" t="s">
        <v>478</v>
      </c>
      <c r="F10059" s="387">
        <v>1.0</v>
      </c>
      <c r="G10059" s="140">
        <v>200000.0</v>
      </c>
      <c r="H10059" s="74"/>
      <c r="I10059" s="74">
        <f t="shared" si="7"/>
        <v>200000</v>
      </c>
      <c r="J10059" s="74">
        <f>IF(E10059="SERVICE",I10059-(I10059*50%),Vlookup(E10059,DATABASE!C:Q,10,false)*F10059)</f>
        <v>25000</v>
      </c>
      <c r="K10059" s="74">
        <f>VLOOKUP(E10059,DATABASE!C:Q,7,false)</f>
        <v>75000</v>
      </c>
      <c r="L10059" s="74">
        <v>75000.0</v>
      </c>
      <c r="M10059" s="74">
        <f t="shared" si="6"/>
        <v>75000</v>
      </c>
      <c r="N10059" s="74">
        <f t="shared" si="3"/>
        <v>100000</v>
      </c>
      <c r="O10059" s="65" t="str">
        <f>VLOOKUP(E10059,DATABASE!C:Q,8,false)</f>
        <v>BIAN</v>
      </c>
      <c r="P10059" s="65">
        <f>VLOOKUP(E10059,DATABASE!C:Q,9,False)</f>
        <v>0</v>
      </c>
      <c r="Q10059" s="93" t="str">
        <f>VLOOKUP(E10059,DATABASE!C:Q,4,false)</f>
        <v>Baut Camber ss-carry</v>
      </c>
      <c r="R10059" s="93" t="str">
        <f>VLOOKUP(E10059,DATABASE!C:Q,11,false)</f>
        <v>COMPLEMENTARY</v>
      </c>
    </row>
    <row r="10060" ht="22.5" customHeight="1">
      <c r="A10060" s="49"/>
      <c r="C10060" s="400">
        <v>46263.0</v>
      </c>
      <c r="D10060" s="69">
        <v>744.0</v>
      </c>
      <c r="E10060" s="544" t="s">
        <v>856</v>
      </c>
      <c r="F10060" s="387">
        <v>2.0</v>
      </c>
      <c r="G10060" s="140">
        <v>700000.0</v>
      </c>
      <c r="H10060" s="74"/>
      <c r="I10060" s="74">
        <f t="shared" si="7"/>
        <v>1400000</v>
      </c>
      <c r="J10060" s="74">
        <f>IF(E10060="SERVICE",I10060-(I10060*50%),Vlookup(E10060,DATABASE!C:Q,10,false)*F10060)</f>
        <v>0</v>
      </c>
      <c r="K10060" s="74">
        <f>VLOOKUP(E10060,DATABASE!C:Q,7,false)</f>
        <v>615300</v>
      </c>
      <c r="L10060" s="74">
        <v>615300.0</v>
      </c>
      <c r="M10060" s="74">
        <f t="shared" si="6"/>
        <v>620000</v>
      </c>
      <c r="N10060" s="74">
        <f t="shared" si="3"/>
        <v>160000</v>
      </c>
      <c r="O10060" s="65" t="str">
        <f>VLOOKUP(E10060,DATABASE!C:Q,8,false)</f>
        <v>BIAN</v>
      </c>
      <c r="P10060" s="65">
        <f>VLOOKUP(E10060,DATABASE!C:Q,9,False)</f>
        <v>1</v>
      </c>
      <c r="Q10060" s="93" t="str">
        <f>VLOOKUP(E10060,DATABASE!C:Q,4,false)</f>
        <v>GT</v>
      </c>
      <c r="R10060" s="93" t="str">
        <f>VLOOKUP(E10060,DATABASE!C:Q,11,false)</f>
        <v>Tire</v>
      </c>
    </row>
    <row r="10061" ht="22.5" customHeight="1">
      <c r="A10061" s="49"/>
      <c r="C10061" s="400">
        <v>46263.0</v>
      </c>
      <c r="D10061" s="69">
        <v>745.0</v>
      </c>
      <c r="E10061" s="544" t="s">
        <v>1196</v>
      </c>
      <c r="F10061" s="387">
        <v>2.0</v>
      </c>
      <c r="G10061" s="140">
        <v>1000000.0</v>
      </c>
      <c r="H10061" s="74"/>
      <c r="I10061" s="74">
        <f t="shared" si="7"/>
        <v>2000000</v>
      </c>
      <c r="J10061" s="74">
        <f>IF(E10061="SERVICE",I10061-(I10061*50%),Vlookup(E10061,DATABASE!C:Q,10,false)*F10061)</f>
        <v>0</v>
      </c>
      <c r="K10061" s="74">
        <f>VLOOKUP(E10061,DATABASE!C:Q,7,false)</f>
        <v>943430.5</v>
      </c>
      <c r="L10061" s="74">
        <v>909585.0</v>
      </c>
      <c r="M10061" s="74">
        <f t="shared" si="6"/>
        <v>910000</v>
      </c>
      <c r="N10061" s="74">
        <f t="shared" si="3"/>
        <v>180000</v>
      </c>
      <c r="O10061" s="65" t="str">
        <f>VLOOKUP(E10061,DATABASE!C:Q,8,false)</f>
        <v>IBU</v>
      </c>
      <c r="P10061" s="65">
        <f>VLOOKUP(E10061,DATABASE!C:Q,9,False)</f>
        <v>1</v>
      </c>
      <c r="Q10061" s="93" t="str">
        <f>VLOOKUP(E10061,DATABASE!C:Q,4,false)</f>
        <v>Bridgestone</v>
      </c>
      <c r="R10061" s="93" t="str">
        <f>VLOOKUP(E10061,DATABASE!C:Q,11,false)</f>
        <v>Tire</v>
      </c>
    </row>
    <row r="10062" ht="22.5" customHeight="1">
      <c r="A10062" s="49"/>
      <c r="C10062" s="400">
        <v>46263.0</v>
      </c>
      <c r="D10062" s="69">
        <v>746.0</v>
      </c>
      <c r="E10062" s="544" t="s">
        <v>275</v>
      </c>
      <c r="F10062" s="387">
        <v>4.0</v>
      </c>
      <c r="G10062" s="140">
        <v>850000.0</v>
      </c>
      <c r="H10062" s="74"/>
      <c r="I10062" s="74">
        <f t="shared" si="7"/>
        <v>3400000</v>
      </c>
      <c r="J10062" s="74">
        <f>IF(E10062="SERVICE",I10062-(I10062*50%),Vlookup(E10062,DATABASE!C:Q,10,false)*F10062)</f>
        <v>0</v>
      </c>
      <c r="K10062" s="74">
        <f>VLOOKUP(E10062,DATABASE!C:Q,7,false)</f>
        <v>782000</v>
      </c>
      <c r="L10062" s="74">
        <v>759500.0</v>
      </c>
      <c r="M10062" s="74">
        <f t="shared" si="6"/>
        <v>760000</v>
      </c>
      <c r="N10062" s="74">
        <f t="shared" si="3"/>
        <v>360000</v>
      </c>
      <c r="O10062" s="65" t="str">
        <f>VLOOKUP(E10062,DATABASE!C:Q,8,false)</f>
        <v>IBU</v>
      </c>
      <c r="P10062" s="65">
        <f>VLOOKUP(E10062,DATABASE!C:Q,9,False)</f>
        <v>1</v>
      </c>
      <c r="Q10062" s="93" t="str">
        <f>VLOOKUP(E10062,DATABASE!C:Q,4,false)</f>
        <v>Dunlop</v>
      </c>
      <c r="R10062" s="93" t="str">
        <f>VLOOKUP(E10062,DATABASE!C:Q,11,false)</f>
        <v>Tire</v>
      </c>
    </row>
    <row r="10063" ht="22.5" customHeight="1">
      <c r="A10063" s="49"/>
      <c r="C10063" s="400">
        <v>46263.0</v>
      </c>
      <c r="D10063" s="69">
        <v>746.0</v>
      </c>
      <c r="E10063" s="544" t="s">
        <v>299</v>
      </c>
      <c r="F10063" s="387">
        <v>2.0</v>
      </c>
      <c r="G10063" s="140">
        <v>30000.0</v>
      </c>
      <c r="H10063" s="74"/>
      <c r="I10063" s="74">
        <f t="shared" si="7"/>
        <v>60000</v>
      </c>
      <c r="J10063" s="74">
        <f>IF(E10063="SERVICE",I10063-(I10063*50%),Vlookup(E10063,DATABASE!C:Q,10,false)*F10063)</f>
        <v>0</v>
      </c>
      <c r="K10063" s="74">
        <f>VLOOKUP(E10063,DATABASE!C:Q,7,false)</f>
        <v>10000</v>
      </c>
      <c r="L10063" s="74">
        <v>10000.0</v>
      </c>
      <c r="M10063" s="74">
        <f t="shared" si="6"/>
        <v>10000</v>
      </c>
      <c r="N10063" s="74">
        <f t="shared" si="3"/>
        <v>40000</v>
      </c>
      <c r="O10063" s="65" t="str">
        <f>VLOOKUP(E10063,DATABASE!C:Q,8,false)</f>
        <v>BIAN</v>
      </c>
      <c r="P10063" s="65">
        <f>VLOOKUP(E10063,DATABASE!C:Q,9,False)</f>
        <v>0</v>
      </c>
      <c r="Q10063" s="93" t="str">
        <f>VLOOKUP(E10063,DATABASE!C:Q,4,false)</f>
        <v>Balancing</v>
      </c>
      <c r="R10063" s="93" t="str">
        <f>VLOOKUP(E10063,DATABASE!C:Q,11,false)</f>
        <v>COMPLEMENTARY</v>
      </c>
    </row>
    <row r="10064" ht="22.5" customHeight="1">
      <c r="A10064" s="49"/>
      <c r="C10064" s="400">
        <v>46263.0</v>
      </c>
      <c r="D10064" s="69">
        <v>746.0</v>
      </c>
      <c r="E10064" s="544" t="s">
        <v>262</v>
      </c>
      <c r="F10064" s="387">
        <v>1.0</v>
      </c>
      <c r="G10064" s="140">
        <v>130000.0</v>
      </c>
      <c r="H10064" s="74"/>
      <c r="I10064" s="74">
        <f t="shared" si="7"/>
        <v>130000</v>
      </c>
      <c r="J10064" s="74">
        <f>IF(E10064="SERVICE",I10064-(I10064*50%),Vlookup(E10064,DATABASE!C:Q,10,false)*F10064)</f>
        <v>5000</v>
      </c>
      <c r="K10064" s="74">
        <f>VLOOKUP(E10064,DATABASE!C:Q,7,false)</f>
        <v>0</v>
      </c>
      <c r="L10064" s="74">
        <v>0.0</v>
      </c>
      <c r="M10064" s="74">
        <f t="shared" si="6"/>
        <v>0</v>
      </c>
      <c r="N10064" s="74">
        <f t="shared" si="3"/>
        <v>125000</v>
      </c>
      <c r="O10064" s="65" t="str">
        <f>VLOOKUP(E10064,DATABASE!C:Q,8,false)</f>
        <v>IBU</v>
      </c>
      <c r="P10064" s="65">
        <f>VLOOKUP(E10064,DATABASE!C:Q,9,False)</f>
        <v>0</v>
      </c>
      <c r="Q10064" s="93" t="str">
        <f>VLOOKUP(E10064,DATABASE!C:Q,4,false)</f>
        <v>SPOORING SS/CARRY LOS BAK</v>
      </c>
      <c r="R10064" s="93" t="str">
        <f>VLOOKUP(E10064,DATABASE!C:Q,11,false)</f>
        <v>SERVICE</v>
      </c>
    </row>
    <row r="10065" ht="22.5" customHeight="1">
      <c r="A10065" s="49"/>
      <c r="C10065" s="400">
        <v>46263.0</v>
      </c>
      <c r="D10065" s="69">
        <v>746.0</v>
      </c>
      <c r="E10065" s="544" t="s">
        <v>478</v>
      </c>
      <c r="F10065" s="387">
        <v>1.0</v>
      </c>
      <c r="G10065" s="140">
        <v>200000.0</v>
      </c>
      <c r="H10065" s="74"/>
      <c r="I10065" s="74">
        <f t="shared" si="7"/>
        <v>200000</v>
      </c>
      <c r="J10065" s="74">
        <f>IF(E10065="SERVICE",I10065-(I10065*50%),Vlookup(E10065,DATABASE!C:Q,10,false)*F10065)</f>
        <v>25000</v>
      </c>
      <c r="K10065" s="74">
        <f>VLOOKUP(E10065,DATABASE!C:Q,7,false)</f>
        <v>75000</v>
      </c>
      <c r="L10065" s="74">
        <v>75000.0</v>
      </c>
      <c r="M10065" s="74">
        <f t="shared" si="6"/>
        <v>75000</v>
      </c>
      <c r="N10065" s="74">
        <f t="shared" si="3"/>
        <v>100000</v>
      </c>
      <c r="O10065" s="65" t="str">
        <f>VLOOKUP(E10065,DATABASE!C:Q,8,false)</f>
        <v>BIAN</v>
      </c>
      <c r="P10065" s="65">
        <f>VLOOKUP(E10065,DATABASE!C:Q,9,False)</f>
        <v>0</v>
      </c>
      <c r="Q10065" s="93" t="str">
        <f>VLOOKUP(E10065,DATABASE!C:Q,4,false)</f>
        <v>Baut Camber ss-carry</v>
      </c>
      <c r="R10065" s="93" t="str">
        <f>VLOOKUP(E10065,DATABASE!C:Q,11,false)</f>
        <v>COMPLEMENTARY</v>
      </c>
    </row>
    <row r="10066" ht="22.5" customHeight="1">
      <c r="A10066" s="49"/>
      <c r="C10066" s="400">
        <v>46263.0</v>
      </c>
      <c r="D10066" s="69">
        <v>747.0</v>
      </c>
      <c r="E10066" s="544" t="s">
        <v>256</v>
      </c>
      <c r="F10066" s="387">
        <v>1.0</v>
      </c>
      <c r="G10066" s="140">
        <v>150000.0</v>
      </c>
      <c r="H10066" s="74"/>
      <c r="I10066" s="74">
        <f t="shared" si="7"/>
        <v>150000</v>
      </c>
      <c r="J10066" s="74">
        <f>IF(E10066="SERVICE",I10066-(I10066*50%),Vlookup(E10066,DATABASE!C:Q,10,false)*F10066)</f>
        <v>10000</v>
      </c>
      <c r="K10066" s="74">
        <f>VLOOKUP(E10066,DATABASE!C:Q,7,false)</f>
        <v>0</v>
      </c>
      <c r="L10066" s="74">
        <v>0.0</v>
      </c>
      <c r="M10066" s="74">
        <f t="shared" si="6"/>
        <v>0</v>
      </c>
      <c r="N10066" s="74">
        <f t="shared" si="3"/>
        <v>140000</v>
      </c>
      <c r="O10066" s="65" t="str">
        <f>VLOOKUP(E10066,DATABASE!C:Q,8,false)</f>
        <v>IBU</v>
      </c>
      <c r="P10066" s="65">
        <f>VLOOKUP(E10066,DATABASE!C:Q,9,False)</f>
        <v>0</v>
      </c>
      <c r="Q10066" s="93" t="str">
        <f>VLOOKUP(E10066,DATABASE!C:Q,4,false)</f>
        <v>SPOORING</v>
      </c>
      <c r="R10066" s="93" t="str">
        <f>VLOOKUP(E10066,DATABASE!C:Q,11,false)</f>
        <v>SERVICE</v>
      </c>
    </row>
    <row r="10067" ht="22.5" customHeight="1">
      <c r="A10067" s="49"/>
      <c r="C10067" s="400">
        <v>46263.0</v>
      </c>
      <c r="D10067" s="69">
        <v>748.0</v>
      </c>
      <c r="E10067" s="544" t="s">
        <v>271</v>
      </c>
      <c r="F10067" s="387">
        <v>2.0</v>
      </c>
      <c r="G10067" s="140">
        <v>640000.0</v>
      </c>
      <c r="H10067" s="74"/>
      <c r="I10067" s="74">
        <f t="shared" si="7"/>
        <v>1280000</v>
      </c>
      <c r="J10067" s="74">
        <f>IF(E10067="SERVICE",I10067-(I10067*50%),Vlookup(E10067,DATABASE!C:Q,10,false)*F10067)</f>
        <v>0</v>
      </c>
      <c r="K10067" s="74">
        <f>VLOOKUP(E10067,DATABASE!C:Q,7,false)</f>
        <v>570000</v>
      </c>
      <c r="L10067" s="74">
        <v>550000.0</v>
      </c>
      <c r="M10067" s="74">
        <f t="shared" si="6"/>
        <v>550000</v>
      </c>
      <c r="N10067" s="74">
        <f t="shared" si="3"/>
        <v>180000</v>
      </c>
      <c r="O10067" s="65" t="str">
        <f>VLOOKUP(E10067,DATABASE!C:Q,8,false)</f>
        <v>IBU</v>
      </c>
      <c r="P10067" s="65">
        <f>VLOOKUP(E10067,DATABASE!C:Q,9,False)</f>
        <v>1</v>
      </c>
      <c r="Q10067" s="93" t="str">
        <f>VLOOKUP(E10067,DATABASE!C:Q,4,false)</f>
        <v>Dunlop</v>
      </c>
      <c r="R10067" s="93" t="str">
        <f>VLOOKUP(E10067,DATABASE!C:Q,11,false)</f>
        <v>Tire</v>
      </c>
    </row>
    <row r="10068" ht="22.5" customHeight="1">
      <c r="A10068" s="49"/>
      <c r="C10068" s="400">
        <v>46263.0</v>
      </c>
      <c r="D10068" s="69">
        <v>748.0</v>
      </c>
      <c r="E10068" s="544" t="s">
        <v>299</v>
      </c>
      <c r="F10068" s="387">
        <v>2.0</v>
      </c>
      <c r="G10068" s="140">
        <v>30000.0</v>
      </c>
      <c r="H10068" s="74"/>
      <c r="I10068" s="74">
        <f t="shared" si="7"/>
        <v>60000</v>
      </c>
      <c r="J10068" s="74">
        <f>IF(E10068="SERVICE",I10068-(I10068*50%),Vlookup(E10068,DATABASE!C:Q,10,false)*F10068)</f>
        <v>0</v>
      </c>
      <c r="K10068" s="74">
        <f>VLOOKUP(E10068,DATABASE!C:Q,7,false)</f>
        <v>10000</v>
      </c>
      <c r="L10068" s="74">
        <v>10000.0</v>
      </c>
      <c r="M10068" s="74">
        <f t="shared" si="6"/>
        <v>10000</v>
      </c>
      <c r="N10068" s="74">
        <f t="shared" si="3"/>
        <v>40000</v>
      </c>
      <c r="O10068" s="65" t="str">
        <f>VLOOKUP(E10068,DATABASE!C:Q,8,false)</f>
        <v>BIAN</v>
      </c>
      <c r="P10068" s="65">
        <f>VLOOKUP(E10068,DATABASE!C:Q,9,False)</f>
        <v>0</v>
      </c>
      <c r="Q10068" s="93" t="str">
        <f>VLOOKUP(E10068,DATABASE!C:Q,4,false)</f>
        <v>Balancing</v>
      </c>
      <c r="R10068" s="93" t="str">
        <f>VLOOKUP(E10068,DATABASE!C:Q,11,false)</f>
        <v>COMPLEMENTARY</v>
      </c>
    </row>
    <row r="10069" ht="22.5" customHeight="1">
      <c r="A10069" s="49"/>
      <c r="C10069" s="400">
        <v>46263.0</v>
      </c>
      <c r="D10069" s="69">
        <v>748.0</v>
      </c>
      <c r="E10069" s="544" t="s">
        <v>256</v>
      </c>
      <c r="F10069" s="387">
        <v>1.0</v>
      </c>
      <c r="G10069" s="140">
        <v>150000.0</v>
      </c>
      <c r="H10069" s="74"/>
      <c r="I10069" s="74">
        <f t="shared" si="7"/>
        <v>150000</v>
      </c>
      <c r="J10069" s="74">
        <f>IF(E10069="SERVICE",I10069-(I10069*50%),Vlookup(E10069,DATABASE!C:Q,10,false)*F10069)</f>
        <v>10000</v>
      </c>
      <c r="K10069" s="74">
        <f>VLOOKUP(E10069,DATABASE!C:Q,7,false)</f>
        <v>0</v>
      </c>
      <c r="L10069" s="74">
        <v>0.0</v>
      </c>
      <c r="M10069" s="74">
        <f t="shared" si="6"/>
        <v>0</v>
      </c>
      <c r="N10069" s="74">
        <f t="shared" si="3"/>
        <v>140000</v>
      </c>
      <c r="O10069" s="65" t="str">
        <f>VLOOKUP(E10069,DATABASE!C:Q,8,false)</f>
        <v>IBU</v>
      </c>
      <c r="P10069" s="65">
        <f>VLOOKUP(E10069,DATABASE!C:Q,9,False)</f>
        <v>0</v>
      </c>
      <c r="Q10069" s="93" t="str">
        <f>VLOOKUP(E10069,DATABASE!C:Q,4,false)</f>
        <v>SPOORING</v>
      </c>
      <c r="R10069" s="93" t="str">
        <f>VLOOKUP(E10069,DATABASE!C:Q,11,false)</f>
        <v>SERVICE</v>
      </c>
    </row>
    <row r="10070" ht="22.5" customHeight="1">
      <c r="A10070" s="49"/>
      <c r="C10070" s="400">
        <v>46263.0</v>
      </c>
      <c r="D10070" s="69">
        <v>748.0</v>
      </c>
      <c r="E10070" s="544" t="s">
        <v>301</v>
      </c>
      <c r="F10070" s="387">
        <v>1.0</v>
      </c>
      <c r="G10070" s="140">
        <v>250000.0</v>
      </c>
      <c r="H10070" s="74"/>
      <c r="I10070" s="74">
        <f t="shared" si="7"/>
        <v>250000</v>
      </c>
      <c r="J10070" s="74">
        <f>IF(E10070="SERVICE",I10070-(I10070*50%),Vlookup(E10070,DATABASE!C:Q,10,false)*F10070)</f>
        <v>75000</v>
      </c>
      <c r="K10070" s="74">
        <f>VLOOKUP(E10070,DATABASE!C:Q,7,false)</f>
        <v>75000</v>
      </c>
      <c r="L10070" s="74">
        <v>75000.0</v>
      </c>
      <c r="M10070" s="74">
        <f t="shared" si="6"/>
        <v>75000</v>
      </c>
      <c r="N10070" s="74">
        <f t="shared" si="3"/>
        <v>100000</v>
      </c>
      <c r="O10070" s="65" t="str">
        <f>VLOOKUP(E10070,DATABASE!C:Q,8,false)</f>
        <v>BIAN</v>
      </c>
      <c r="P10070" s="65">
        <f>VLOOKUP(E10070,DATABASE!C:Q,9,False)</f>
        <v>0</v>
      </c>
      <c r="Q10070" s="93" t="str">
        <f>VLOOKUP(E10070,DATABASE!C:Q,4,false)</f>
        <v>Baut Camber</v>
      </c>
      <c r="R10070" s="93" t="str">
        <f>VLOOKUP(E10070,DATABASE!C:Q,11,false)</f>
        <v>COMPLEMENTARY</v>
      </c>
    </row>
    <row r="10071" ht="22.5" customHeight="1">
      <c r="A10071" s="49"/>
      <c r="C10071" s="400">
        <v>46263.0</v>
      </c>
      <c r="D10071" s="69" t="s">
        <v>2919</v>
      </c>
      <c r="E10071" s="544" t="s">
        <v>2178</v>
      </c>
      <c r="F10071" s="387">
        <v>1.0</v>
      </c>
      <c r="G10071" s="140">
        <v>370000.0</v>
      </c>
      <c r="H10071" s="74"/>
      <c r="I10071" s="74">
        <f t="shared" si="7"/>
        <v>370000</v>
      </c>
      <c r="J10071" s="74">
        <f>IF(E10071="SERVICE",I10071-(I10071*50%),Vlookup(E10071,DATABASE!C:Q,10,false)*F10071)</f>
        <v>0</v>
      </c>
      <c r="K10071" s="74">
        <f>VLOOKUP(E10071,DATABASE!C:Q,7,false)</f>
        <v>80931</v>
      </c>
      <c r="L10071" s="74">
        <v>80931.0</v>
      </c>
      <c r="M10071" s="74">
        <f t="shared" si="6"/>
        <v>85000</v>
      </c>
      <c r="N10071" s="74">
        <f t="shared" si="3"/>
        <v>285000</v>
      </c>
      <c r="O10071" s="65" t="str">
        <f>VLOOKUP(E10071,DATABASE!C:Q,8,false)</f>
        <v>NON</v>
      </c>
      <c r="P10071" s="65">
        <f>VLOOKUP(E10071,DATABASE!C:Q,9,False)</f>
        <v>0</v>
      </c>
      <c r="Q10071" s="93" t="str">
        <f>VLOOKUP(E10071,DATABASE!C:Q,4,false)</f>
        <v>Shell</v>
      </c>
      <c r="R10071" s="93" t="str">
        <f>VLOOKUP(E10071,DATABASE!C:Q,11,false)</f>
        <v>OIL</v>
      </c>
    </row>
    <row r="10072" ht="22.5" customHeight="1">
      <c r="A10072" s="49"/>
      <c r="C10072" s="400">
        <v>46263.0</v>
      </c>
      <c r="D10072" s="524"/>
      <c r="E10072" s="544" t="s">
        <v>2637</v>
      </c>
      <c r="F10072" s="387">
        <v>1.0</v>
      </c>
      <c r="G10072" s="140">
        <v>25000.0</v>
      </c>
      <c r="H10072" s="74"/>
      <c r="I10072" s="74">
        <f t="shared" si="7"/>
        <v>25000</v>
      </c>
      <c r="J10072" s="74">
        <f>IF(E10072="SERVICE",I10072-(I10072*50%),Vlookup(E10072,DATABASE!C:Q,10,false)*F10072)</f>
        <v>0</v>
      </c>
      <c r="K10072" s="74">
        <f>VLOOKUP(E10072,DATABASE!C:Q,7,false)</f>
        <v>18900</v>
      </c>
      <c r="L10072" s="74">
        <v>18900.0</v>
      </c>
      <c r="M10072" s="74">
        <f t="shared" si="6"/>
        <v>20000</v>
      </c>
      <c r="N10072" s="74">
        <f t="shared" si="3"/>
        <v>5000</v>
      </c>
      <c r="O10072" s="65" t="str">
        <f>VLOOKUP(E10072,DATABASE!C:Q,8,false)</f>
        <v>NON VPT</v>
      </c>
      <c r="P10072" s="65">
        <f>VLOOKUP(E10072,DATABASE!C:Q,9,False)</f>
        <v>0</v>
      </c>
      <c r="Q10072" s="93" t="str">
        <f>VLOOKUP(E10072,DATABASE!C:Q,4,false)</f>
        <v>ICOSON</v>
      </c>
      <c r="R10072" s="93" t="str">
        <f>VLOOKUP(E10072,DATABASE!C:Q,11,false)</f>
        <v>COMPLEMENTARY</v>
      </c>
    </row>
    <row r="10073" ht="22.5" customHeight="1">
      <c r="A10073" s="49"/>
      <c r="C10073" s="400">
        <v>46263.0</v>
      </c>
      <c r="D10073" s="524"/>
      <c r="E10073" s="544" t="s">
        <v>271</v>
      </c>
      <c r="F10073" s="387">
        <v>2.0</v>
      </c>
      <c r="G10073" s="140">
        <v>640000.0</v>
      </c>
      <c r="H10073" s="74"/>
      <c r="I10073" s="74">
        <f t="shared" si="7"/>
        <v>1280000</v>
      </c>
      <c r="J10073" s="74">
        <f>IF(E10073="SERVICE",I10073-(I10073*50%),Vlookup(E10073,DATABASE!C:Q,10,false)*F10073)</f>
        <v>0</v>
      </c>
      <c r="K10073" s="74">
        <f>VLOOKUP(E10073,DATABASE!C:Q,7,false)</f>
        <v>570000</v>
      </c>
      <c r="L10073" s="74">
        <v>550000.0</v>
      </c>
      <c r="M10073" s="74">
        <f t="shared" si="6"/>
        <v>550000</v>
      </c>
      <c r="N10073" s="74">
        <f t="shared" si="3"/>
        <v>180000</v>
      </c>
      <c r="O10073" s="65" t="str">
        <f>VLOOKUP(E10073,DATABASE!C:Q,8,false)</f>
        <v>IBU</v>
      </c>
      <c r="P10073" s="65">
        <f>VLOOKUP(E10073,DATABASE!C:Q,9,False)</f>
        <v>1</v>
      </c>
      <c r="Q10073" s="93" t="str">
        <f>VLOOKUP(E10073,DATABASE!C:Q,4,false)</f>
        <v>Dunlop</v>
      </c>
      <c r="R10073" s="93" t="str">
        <f>VLOOKUP(E10073,DATABASE!C:Q,11,false)</f>
        <v>Tire</v>
      </c>
    </row>
    <row r="10074" ht="22.5" customHeight="1">
      <c r="A10074" s="49"/>
      <c r="C10074" s="400">
        <v>46263.0</v>
      </c>
      <c r="D10074" s="524"/>
      <c r="E10074" s="544" t="s">
        <v>275</v>
      </c>
      <c r="F10074" s="387">
        <v>2.0</v>
      </c>
      <c r="G10074" s="140">
        <v>850000.0</v>
      </c>
      <c r="H10074" s="74"/>
      <c r="I10074" s="74">
        <f t="shared" si="7"/>
        <v>1700000</v>
      </c>
      <c r="J10074" s="74">
        <f>IF(E10074="SERVICE",I10074-(I10074*50%),Vlookup(E10074,DATABASE!C:Q,10,false)*F10074)</f>
        <v>0</v>
      </c>
      <c r="K10074" s="74">
        <f>VLOOKUP(E10074,DATABASE!C:Q,7,false)</f>
        <v>782000</v>
      </c>
      <c r="L10074" s="74">
        <v>759500.0</v>
      </c>
      <c r="M10074" s="74">
        <f t="shared" si="6"/>
        <v>760000</v>
      </c>
      <c r="N10074" s="74">
        <f t="shared" si="3"/>
        <v>180000</v>
      </c>
      <c r="O10074" s="65" t="str">
        <f>VLOOKUP(E10074,DATABASE!C:Q,8,false)</f>
        <v>IBU</v>
      </c>
      <c r="P10074" s="65">
        <f>VLOOKUP(E10074,DATABASE!C:Q,9,False)</f>
        <v>1</v>
      </c>
      <c r="Q10074" s="93" t="str">
        <f>VLOOKUP(E10074,DATABASE!C:Q,4,false)</f>
        <v>Dunlop</v>
      </c>
      <c r="R10074" s="93" t="str">
        <f>VLOOKUP(E10074,DATABASE!C:Q,11,false)</f>
        <v>Tire</v>
      </c>
    </row>
    <row r="10075" ht="22.5" customHeight="1">
      <c r="A10075" s="49"/>
      <c r="C10075" s="400">
        <v>46264.0</v>
      </c>
      <c r="D10075" s="69">
        <v>749.0</v>
      </c>
      <c r="E10075" s="544" t="s">
        <v>268</v>
      </c>
      <c r="F10075" s="387">
        <v>1.0</v>
      </c>
      <c r="G10075" s="140">
        <v>720000.0</v>
      </c>
      <c r="H10075" s="74"/>
      <c r="I10075" s="74">
        <f t="shared" si="7"/>
        <v>720000</v>
      </c>
      <c r="J10075" s="74">
        <f>IF(E10075="SERVICE",I10075-(I10075*50%),Vlookup(E10075,DATABASE!C:Q,10,false)*F10075)</f>
        <v>0</v>
      </c>
      <c r="K10075" s="74">
        <f>VLOOKUP(E10075,DATABASE!C:Q,7,false)</f>
        <v>653000</v>
      </c>
      <c r="L10075" s="74">
        <v>634500.0</v>
      </c>
      <c r="M10075" s="74">
        <f t="shared" si="6"/>
        <v>635000</v>
      </c>
      <c r="N10075" s="74">
        <f t="shared" si="3"/>
        <v>85000</v>
      </c>
      <c r="O10075" s="65" t="str">
        <f>VLOOKUP(E10075,DATABASE!C:Q,8,false)</f>
        <v>IBU</v>
      </c>
      <c r="P10075" s="65">
        <f>VLOOKUP(E10075,DATABASE!C:Q,9,False)</f>
        <v>1</v>
      </c>
      <c r="Q10075" s="93" t="str">
        <f>VLOOKUP(E10075,DATABASE!C:Q,4,false)</f>
        <v>Dunlop</v>
      </c>
      <c r="R10075" s="93" t="str">
        <f>VLOOKUP(E10075,DATABASE!C:Q,11,false)</f>
        <v>Tire</v>
      </c>
    </row>
    <row r="10076" ht="22.5" customHeight="1">
      <c r="A10076" s="49"/>
      <c r="C10076" s="400">
        <v>46264.0</v>
      </c>
      <c r="D10076" s="69">
        <v>750.0</v>
      </c>
      <c r="E10076" s="544" t="s">
        <v>781</v>
      </c>
      <c r="F10076" s="387">
        <v>2.0</v>
      </c>
      <c r="G10076" s="140">
        <v>560000.0</v>
      </c>
      <c r="H10076" s="140">
        <v>15000.0</v>
      </c>
      <c r="I10076" s="74">
        <f t="shared" si="7"/>
        <v>1090000</v>
      </c>
      <c r="J10076" s="74">
        <f>IF(E10076="SERVICE",I10076-(I10076*50%),Vlookup(E10076,DATABASE!C:Q,10,false)*F10076)</f>
        <v>0</v>
      </c>
      <c r="K10076" s="74">
        <f>VLOOKUP(E10076,DATABASE!C:Q,7,false)</f>
        <v>470000</v>
      </c>
      <c r="L10076" s="74">
        <v>470000.0</v>
      </c>
      <c r="M10076" s="74">
        <f t="shared" si="6"/>
        <v>470000</v>
      </c>
      <c r="N10076" s="74">
        <f t="shared" si="3"/>
        <v>150000</v>
      </c>
      <c r="O10076" s="65" t="str">
        <f>VLOOKUP(E10076,DATABASE!C:Q,8,false)</f>
        <v>BIAN</v>
      </c>
      <c r="P10076" s="65">
        <f>VLOOKUP(E10076,DATABASE!C:Q,9,False)</f>
        <v>1</v>
      </c>
      <c r="Q10076" s="93" t="str">
        <f>VLOOKUP(E10076,DATABASE!C:Q,4,false)</f>
        <v>GT</v>
      </c>
      <c r="R10076" s="93" t="str">
        <f>VLOOKUP(E10076,DATABASE!C:Q,11,false)</f>
        <v>Tire</v>
      </c>
    </row>
    <row r="10077" ht="22.5" customHeight="1">
      <c r="A10077" s="49"/>
      <c r="C10077" s="400">
        <v>46264.0</v>
      </c>
      <c r="D10077" s="69" t="s">
        <v>2920</v>
      </c>
      <c r="E10077" s="544" t="s">
        <v>252</v>
      </c>
      <c r="F10077" s="387">
        <v>1.0</v>
      </c>
      <c r="G10077" s="140">
        <v>370000.0</v>
      </c>
      <c r="H10077" s="74"/>
      <c r="I10077" s="74">
        <f t="shared" si="7"/>
        <v>370000</v>
      </c>
      <c r="J10077" s="74">
        <f>IF(E10077="SERVICE",I10077-(I10077*50%),Vlookup(E10077,DATABASE!C:Q,10,false)*F10077)</f>
        <v>0</v>
      </c>
      <c r="K10077" s="74">
        <f>VLOOKUP(E10077,DATABASE!C:Q,7,false)</f>
        <v>317518</v>
      </c>
      <c r="L10077" s="74">
        <v>317518.0</v>
      </c>
      <c r="M10077" s="74">
        <f t="shared" si="6"/>
        <v>320000</v>
      </c>
      <c r="N10077" s="74">
        <f t="shared" si="3"/>
        <v>50000</v>
      </c>
      <c r="O10077" s="65" t="str">
        <f>VLOOKUP(E10077,DATABASE!C:Q,8,false)</f>
        <v>NON</v>
      </c>
      <c r="P10077" s="65">
        <f>VLOOKUP(E10077,DATABASE!C:Q,9,False)</f>
        <v>0</v>
      </c>
      <c r="Q10077" s="93" t="str">
        <f>VLOOKUP(E10077,DATABASE!C:Q,4,false)</f>
        <v>Shell</v>
      </c>
      <c r="R10077" s="93" t="str">
        <f>VLOOKUP(E10077,DATABASE!C:Q,11,false)</f>
        <v>OIL</v>
      </c>
    </row>
    <row r="10078" ht="22.5" customHeight="1">
      <c r="A10078" s="49"/>
      <c r="C10078" s="400">
        <v>46264.0</v>
      </c>
      <c r="D10078" s="69" t="s">
        <v>2920</v>
      </c>
      <c r="E10078" s="544" t="s">
        <v>304</v>
      </c>
      <c r="F10078" s="387">
        <v>1.0</v>
      </c>
      <c r="G10078" s="140">
        <v>25000.0</v>
      </c>
      <c r="H10078" s="74"/>
      <c r="I10078" s="74">
        <f t="shared" si="7"/>
        <v>25000</v>
      </c>
      <c r="J10078" s="74">
        <f>IF(E10078="SERVICE",I10078-(I10078*50%),Vlookup(E10078,DATABASE!C:Q,10,false)*F10078)</f>
        <v>0</v>
      </c>
      <c r="K10078" s="74">
        <f>VLOOKUP(E10078,DATABASE!C:Q,7,false)</f>
        <v>18900</v>
      </c>
      <c r="L10078" s="74">
        <v>18900.0</v>
      </c>
      <c r="M10078" s="74">
        <f t="shared" si="6"/>
        <v>20000</v>
      </c>
      <c r="N10078" s="74">
        <f t="shared" si="3"/>
        <v>5000</v>
      </c>
      <c r="O10078" s="65" t="str">
        <f>VLOOKUP(E10078,DATABASE!C:Q,8,false)</f>
        <v>NON VPT</v>
      </c>
      <c r="P10078" s="65">
        <f>VLOOKUP(E10078,DATABASE!C:Q,9,False)</f>
        <v>0</v>
      </c>
      <c r="Q10078" s="93" t="str">
        <f>VLOOKUP(E10078,DATABASE!C:Q,4,false)</f>
        <v>ICOSON</v>
      </c>
      <c r="R10078" s="93" t="str">
        <f>VLOOKUP(E10078,DATABASE!C:Q,11,false)</f>
        <v>COMPLEMENTARY</v>
      </c>
    </row>
    <row r="10079" ht="22.5" customHeight="1">
      <c r="A10079" s="49"/>
      <c r="C10079" s="400">
        <v>46265.0</v>
      </c>
      <c r="D10079" s="69">
        <v>708.0</v>
      </c>
      <c r="E10079" s="544" t="s">
        <v>245</v>
      </c>
      <c r="F10079" s="387">
        <v>1.0</v>
      </c>
      <c r="G10079" s="140">
        <v>4450000.0</v>
      </c>
      <c r="H10079" s="74"/>
      <c r="I10079" s="74">
        <f t="shared" si="7"/>
        <v>4450000</v>
      </c>
      <c r="J10079" s="74">
        <f>IF(E10079="SERVICE",I10079-(I10079*50%),Vlookup(E10079,DATABASE!C:Q,10,false)*F10079)</f>
        <v>0</v>
      </c>
      <c r="K10079" s="74">
        <f>VLOOKUP(E10079,DATABASE!C:Q,7,false)</f>
        <v>4200000</v>
      </c>
      <c r="L10079" s="74">
        <v>4200000.0</v>
      </c>
      <c r="M10079" s="74">
        <f t="shared" si="6"/>
        <v>4200000</v>
      </c>
      <c r="N10079" s="74">
        <f t="shared" si="3"/>
        <v>250000</v>
      </c>
      <c r="O10079" s="65" t="str">
        <f>VLOOKUP(E10079,DATABASE!C:Q,8,false)</f>
        <v>BIAN</v>
      </c>
      <c r="P10079" s="65">
        <f>VLOOKUP(E10079,DATABASE!C:Q,9,False)</f>
        <v>1</v>
      </c>
      <c r="Q10079" s="93" t="str">
        <f>VLOOKUP(E10079,DATABASE!C:Q,4,false)</f>
        <v>Advance</v>
      </c>
      <c r="R10079" s="93" t="str">
        <f>VLOOKUP(E10079,DATABASE!C:Q,11,false)</f>
        <v>Tire</v>
      </c>
    </row>
    <row r="10080" ht="22.5" customHeight="1">
      <c r="A10080" s="49"/>
      <c r="C10080" s="400">
        <v>46265.0</v>
      </c>
      <c r="D10080" s="69">
        <v>708.0</v>
      </c>
      <c r="E10080" s="544" t="s">
        <v>297</v>
      </c>
      <c r="F10080" s="387">
        <v>1.0</v>
      </c>
      <c r="G10080" s="140">
        <v>1270000.0</v>
      </c>
      <c r="H10080" s="74"/>
      <c r="I10080" s="74">
        <f t="shared" si="7"/>
        <v>1270000</v>
      </c>
      <c r="J10080" s="74">
        <f>IF(E10080="SERVICE",I10080-(I10080*50%),Vlookup(E10080,DATABASE!C:Q,10,false)*F10080)</f>
        <v>0</v>
      </c>
      <c r="K10080" s="74">
        <f>VLOOKUP(E10080,DATABASE!C:Q,7,false)</f>
        <v>1170000</v>
      </c>
      <c r="L10080" s="74">
        <v>1170000.0</v>
      </c>
      <c r="M10080" s="74">
        <f t="shared" si="6"/>
        <v>1170000</v>
      </c>
      <c r="N10080" s="74">
        <f t="shared" si="3"/>
        <v>100000</v>
      </c>
      <c r="O10080" s="65" t="str">
        <f>VLOOKUP(E10080,DATABASE!C:Q,8,false)</f>
        <v>BIAN</v>
      </c>
      <c r="P10080" s="65">
        <f>VLOOKUP(E10080,DATABASE!C:Q,9,False)</f>
        <v>1</v>
      </c>
      <c r="Q10080" s="93" t="str">
        <f>VLOOKUP(E10080,DATABASE!C:Q,4,false)</f>
        <v>Velg</v>
      </c>
      <c r="R10080" s="93" t="str">
        <f>VLOOKUP(E10080,DATABASE!C:Q,11,false)</f>
        <v>Tire</v>
      </c>
    </row>
    <row r="10081" ht="22.5" customHeight="1">
      <c r="A10081" s="49"/>
      <c r="C10081" s="400">
        <v>46265.0</v>
      </c>
      <c r="D10081" s="69">
        <v>751.0</v>
      </c>
      <c r="E10081" s="544" t="s">
        <v>268</v>
      </c>
      <c r="F10081" s="387">
        <v>4.0</v>
      </c>
      <c r="G10081" s="140">
        <v>720000.0</v>
      </c>
      <c r="H10081" s="74"/>
      <c r="I10081" s="74">
        <f t="shared" si="7"/>
        <v>2880000</v>
      </c>
      <c r="J10081" s="74">
        <f>IF(E10081="SERVICE",I10081-(I10081*50%),Vlookup(E10081,DATABASE!C:Q,10,false)*F10081)</f>
        <v>0</v>
      </c>
      <c r="K10081" s="74">
        <f>VLOOKUP(E10081,DATABASE!C:Q,7,false)</f>
        <v>653000</v>
      </c>
      <c r="L10081" s="74">
        <v>634500.0</v>
      </c>
      <c r="M10081" s="74">
        <f t="shared" si="6"/>
        <v>635000</v>
      </c>
      <c r="N10081" s="74">
        <f t="shared" si="3"/>
        <v>340000</v>
      </c>
      <c r="O10081" s="65" t="str">
        <f>VLOOKUP(E10081,DATABASE!C:Q,8,false)</f>
        <v>IBU</v>
      </c>
      <c r="P10081" s="65">
        <f>VLOOKUP(E10081,DATABASE!C:Q,9,False)</f>
        <v>1</v>
      </c>
      <c r="Q10081" s="93" t="str">
        <f>VLOOKUP(E10081,DATABASE!C:Q,4,false)</f>
        <v>Dunlop</v>
      </c>
      <c r="R10081" s="93" t="str">
        <f>VLOOKUP(E10081,DATABASE!C:Q,11,false)</f>
        <v>Tire</v>
      </c>
    </row>
    <row r="10082" ht="22.5" customHeight="1">
      <c r="A10082" s="49"/>
      <c r="C10082" s="400">
        <v>46265.0</v>
      </c>
      <c r="D10082" s="69">
        <v>752.0</v>
      </c>
      <c r="E10082" s="544" t="s">
        <v>287</v>
      </c>
      <c r="F10082" s="387">
        <v>1.0</v>
      </c>
      <c r="G10082" s="140">
        <v>800000.0</v>
      </c>
      <c r="H10082" s="74"/>
      <c r="I10082" s="74">
        <f t="shared" si="7"/>
        <v>800000</v>
      </c>
      <c r="J10082" s="74">
        <f>IF(E10082="SERVICE",I10082-(I10082*50%),Vlookup(E10082,DATABASE!C:Q,10,false)*F10082)</f>
        <v>0</v>
      </c>
      <c r="K10082" s="74">
        <f>VLOOKUP(E10082,DATABASE!C:Q,7,false)</f>
        <v>711000</v>
      </c>
      <c r="L10082" s="74">
        <v>711000.0</v>
      </c>
      <c r="M10082" s="74">
        <f t="shared" si="6"/>
        <v>715000</v>
      </c>
      <c r="N10082" s="74">
        <f t="shared" si="3"/>
        <v>85000</v>
      </c>
      <c r="O10082" s="65" t="str">
        <f>VLOOKUP(E10082,DATABASE!C:Q,8,false)</f>
        <v>BIAN</v>
      </c>
      <c r="P10082" s="65">
        <f>VLOOKUP(E10082,DATABASE!C:Q,9,False)</f>
        <v>1</v>
      </c>
      <c r="Q10082" s="93" t="str">
        <f>VLOOKUP(E10082,DATABASE!C:Q,4,false)</f>
        <v>GT</v>
      </c>
      <c r="R10082" s="93" t="str">
        <f>VLOOKUP(E10082,DATABASE!C:Q,11,false)</f>
        <v>Tire</v>
      </c>
    </row>
    <row r="10083" ht="22.5" customHeight="1">
      <c r="A10083" s="49"/>
      <c r="C10083" s="400">
        <v>46265.0</v>
      </c>
      <c r="D10083" s="69">
        <v>754.0</v>
      </c>
      <c r="E10083" s="544" t="s">
        <v>246</v>
      </c>
      <c r="F10083" s="387">
        <v>1.0</v>
      </c>
      <c r="G10083" s="140">
        <v>25000.0</v>
      </c>
      <c r="H10083" s="74"/>
      <c r="I10083" s="74">
        <f t="shared" si="7"/>
        <v>25000</v>
      </c>
      <c r="J10083" s="74">
        <f>IF(E10083="SERVICE",I10083-(I10083*50%),Vlookup(E10083,DATABASE!C:Q,10,false)*F10083)</f>
        <v>0</v>
      </c>
      <c r="K10083" s="74">
        <f>VLOOKUP(E10083,DATABASE!C:Q,7,false)</f>
        <v>0</v>
      </c>
      <c r="L10083" s="74">
        <v>0.0</v>
      </c>
      <c r="M10083" s="74">
        <f t="shared" si="6"/>
        <v>0</v>
      </c>
      <c r="N10083" s="74">
        <f t="shared" si="3"/>
        <v>25000</v>
      </c>
      <c r="O10083" s="65" t="str">
        <f>VLOOKUP(E10083,DATABASE!C:Q,8,false)</f>
        <v>IBU</v>
      </c>
      <c r="P10083" s="65">
        <f>VLOOKUP(E10083,DATABASE!C:Q,9,False)</f>
        <v>0</v>
      </c>
      <c r="Q10083" s="93" t="str">
        <f>VLOOKUP(E10083,DATABASE!C:Q,4,false)</f>
        <v>Bongkar Pasang</v>
      </c>
      <c r="R10083" s="93" t="str">
        <f>VLOOKUP(E10083,DATABASE!C:Q,11,false)</f>
        <v>SERVICE</v>
      </c>
    </row>
    <row r="10084" ht="22.5" customHeight="1">
      <c r="A10084" s="49"/>
      <c r="C10084" s="400">
        <v>46265.0</v>
      </c>
      <c r="D10084" s="69">
        <v>755.0</v>
      </c>
      <c r="E10084" s="544" t="s">
        <v>256</v>
      </c>
      <c r="F10084" s="387">
        <v>1.0</v>
      </c>
      <c r="G10084" s="140">
        <v>150000.0</v>
      </c>
      <c r="H10084" s="74"/>
      <c r="I10084" s="74">
        <f t="shared" si="7"/>
        <v>150000</v>
      </c>
      <c r="J10084" s="74">
        <f>IF(E10084="SERVICE",I10084-(I10084*50%),Vlookup(E10084,DATABASE!C:Q,10,false)*F10084)</f>
        <v>10000</v>
      </c>
      <c r="K10084" s="74">
        <f>VLOOKUP(E10084,DATABASE!C:Q,7,false)</f>
        <v>0</v>
      </c>
      <c r="L10084" s="74">
        <v>0.0</v>
      </c>
      <c r="M10084" s="74">
        <f t="shared" si="6"/>
        <v>0</v>
      </c>
      <c r="N10084" s="74">
        <f t="shared" si="3"/>
        <v>140000</v>
      </c>
      <c r="O10084" s="65" t="str">
        <f>VLOOKUP(E10084,DATABASE!C:Q,8,false)</f>
        <v>IBU</v>
      </c>
      <c r="P10084" s="65">
        <f>VLOOKUP(E10084,DATABASE!C:Q,9,False)</f>
        <v>0</v>
      </c>
      <c r="Q10084" s="93" t="str">
        <f>VLOOKUP(E10084,DATABASE!C:Q,4,false)</f>
        <v>SPOORING</v>
      </c>
      <c r="R10084" s="93" t="str">
        <f>VLOOKUP(E10084,DATABASE!C:Q,11,false)</f>
        <v>SERVICE</v>
      </c>
    </row>
    <row r="10085" ht="22.5" customHeight="1">
      <c r="A10085" s="49"/>
      <c r="C10085" s="400">
        <v>46265.0</v>
      </c>
      <c r="D10085" s="69">
        <v>755.0</v>
      </c>
      <c r="E10085" s="544" t="s">
        <v>301</v>
      </c>
      <c r="F10085" s="387">
        <v>1.0</v>
      </c>
      <c r="G10085" s="140">
        <v>250000.0</v>
      </c>
      <c r="H10085" s="74"/>
      <c r="I10085" s="74">
        <f t="shared" si="7"/>
        <v>250000</v>
      </c>
      <c r="J10085" s="74">
        <f>IF(E10085="SERVICE",I10085-(I10085*50%),Vlookup(E10085,DATABASE!C:Q,10,false)*F10085)</f>
        <v>75000</v>
      </c>
      <c r="K10085" s="74">
        <f>VLOOKUP(E10085,DATABASE!C:Q,7,false)</f>
        <v>75000</v>
      </c>
      <c r="L10085" s="74">
        <v>75000.0</v>
      </c>
      <c r="M10085" s="74">
        <f t="shared" si="6"/>
        <v>75000</v>
      </c>
      <c r="N10085" s="74">
        <f t="shared" si="3"/>
        <v>100000</v>
      </c>
      <c r="O10085" s="65" t="str">
        <f>VLOOKUP(E10085,DATABASE!C:Q,8,false)</f>
        <v>BIAN</v>
      </c>
      <c r="P10085" s="65">
        <f>VLOOKUP(E10085,DATABASE!C:Q,9,False)</f>
        <v>0</v>
      </c>
      <c r="Q10085" s="93" t="str">
        <f>VLOOKUP(E10085,DATABASE!C:Q,4,false)</f>
        <v>Baut Camber</v>
      </c>
      <c r="R10085" s="93" t="str">
        <f>VLOOKUP(E10085,DATABASE!C:Q,11,false)</f>
        <v>COMPLEMENTARY</v>
      </c>
    </row>
    <row r="10086" ht="22.5" customHeight="1">
      <c r="A10086" s="49"/>
      <c r="C10086" s="400">
        <v>46265.0</v>
      </c>
      <c r="D10086" s="69">
        <v>756.0</v>
      </c>
      <c r="E10086" s="544" t="s">
        <v>268</v>
      </c>
      <c r="F10086" s="387">
        <v>2.0</v>
      </c>
      <c r="G10086" s="140">
        <v>720000.0</v>
      </c>
      <c r="H10086" s="74"/>
      <c r="I10086" s="74">
        <f t="shared" si="7"/>
        <v>1440000</v>
      </c>
      <c r="J10086" s="74">
        <f>IF(E10086="SERVICE",I10086-(I10086*50%),Vlookup(E10086,DATABASE!C:Q,10,false)*F10086)</f>
        <v>0</v>
      </c>
      <c r="K10086" s="74">
        <f>VLOOKUP(E10086,DATABASE!C:Q,7,false)</f>
        <v>653000</v>
      </c>
      <c r="L10086" s="74">
        <v>634500.0</v>
      </c>
      <c r="M10086" s="74">
        <f t="shared" si="6"/>
        <v>635000</v>
      </c>
      <c r="N10086" s="74">
        <f t="shared" si="3"/>
        <v>170000</v>
      </c>
      <c r="O10086" s="65" t="str">
        <f>VLOOKUP(E10086,DATABASE!C:Q,8,false)</f>
        <v>IBU</v>
      </c>
      <c r="P10086" s="65">
        <f>VLOOKUP(E10086,DATABASE!C:Q,9,False)</f>
        <v>1</v>
      </c>
      <c r="Q10086" s="93" t="str">
        <f>VLOOKUP(E10086,DATABASE!C:Q,4,false)</f>
        <v>Dunlop</v>
      </c>
      <c r="R10086" s="93" t="str">
        <f>VLOOKUP(E10086,DATABASE!C:Q,11,false)</f>
        <v>Tire</v>
      </c>
    </row>
    <row r="10087" ht="22.5" customHeight="1">
      <c r="A10087" s="49"/>
      <c r="C10087" s="400">
        <v>46265.0</v>
      </c>
      <c r="D10087" s="69">
        <v>757.0</v>
      </c>
      <c r="E10087" s="544" t="s">
        <v>271</v>
      </c>
      <c r="F10087" s="387">
        <v>2.0</v>
      </c>
      <c r="G10087" s="140">
        <v>640000.0</v>
      </c>
      <c r="H10087" s="74"/>
      <c r="I10087" s="74">
        <f t="shared" si="7"/>
        <v>1280000</v>
      </c>
      <c r="J10087" s="74">
        <f>IF(E10087="SERVICE",I10087-(I10087*50%),Vlookup(E10087,DATABASE!C:Q,10,false)*F10087)</f>
        <v>0</v>
      </c>
      <c r="K10087" s="74">
        <f>VLOOKUP(E10087,DATABASE!C:Q,7,false)</f>
        <v>570000</v>
      </c>
      <c r="L10087" s="74">
        <v>550000.0</v>
      </c>
      <c r="M10087" s="74">
        <f t="shared" si="6"/>
        <v>550000</v>
      </c>
      <c r="N10087" s="74">
        <f t="shared" si="3"/>
        <v>180000</v>
      </c>
      <c r="O10087" s="65" t="str">
        <f>VLOOKUP(E10087,DATABASE!C:Q,8,false)</f>
        <v>IBU</v>
      </c>
      <c r="P10087" s="65">
        <f>VLOOKUP(E10087,DATABASE!C:Q,9,False)</f>
        <v>1</v>
      </c>
      <c r="Q10087" s="93" t="str">
        <f>VLOOKUP(E10087,DATABASE!C:Q,4,false)</f>
        <v>Dunlop</v>
      </c>
      <c r="R10087" s="93" t="str">
        <f>VLOOKUP(E10087,DATABASE!C:Q,11,false)</f>
        <v>Tire</v>
      </c>
    </row>
    <row r="10088" ht="22.5" customHeight="1">
      <c r="A10088" s="49"/>
      <c r="C10088" s="400">
        <v>46265.0</v>
      </c>
      <c r="D10088" s="69">
        <v>758.0</v>
      </c>
      <c r="E10088" s="544" t="s">
        <v>290</v>
      </c>
      <c r="F10088" s="387">
        <v>1.0</v>
      </c>
      <c r="G10088" s="140">
        <v>720000.0</v>
      </c>
      <c r="H10088" s="74"/>
      <c r="I10088" s="74">
        <f t="shared" si="7"/>
        <v>720000</v>
      </c>
      <c r="J10088" s="74">
        <f>IF(E10088="SERVICE",I10088-(I10088*50%),Vlookup(E10088,DATABASE!C:Q,10,false)*F10088)</f>
        <v>0</v>
      </c>
      <c r="K10088" s="74">
        <f>VLOOKUP(E10088,DATABASE!C:Q,7,false)</f>
        <v>628100</v>
      </c>
      <c r="L10088" s="74">
        <v>628100.0</v>
      </c>
      <c r="M10088" s="74">
        <f t="shared" si="6"/>
        <v>630000</v>
      </c>
      <c r="N10088" s="74">
        <f t="shared" si="3"/>
        <v>90000</v>
      </c>
      <c r="O10088" s="65" t="str">
        <f>VLOOKUP(E10088,DATABASE!C:Q,8,false)</f>
        <v>BIAN</v>
      </c>
      <c r="P10088" s="65">
        <f>VLOOKUP(E10088,DATABASE!C:Q,9,False)</f>
        <v>1</v>
      </c>
      <c r="Q10088" s="93" t="str">
        <f>VLOOKUP(E10088,DATABASE!C:Q,4,false)</f>
        <v>GT</v>
      </c>
      <c r="R10088" s="93" t="str">
        <f>VLOOKUP(E10088,DATABASE!C:Q,11,false)</f>
        <v>Tire</v>
      </c>
    </row>
    <row r="10089" ht="22.5" customHeight="1">
      <c r="A10089" s="49"/>
      <c r="C10089" s="400">
        <v>46265.0</v>
      </c>
      <c r="D10089" s="69">
        <v>759.0</v>
      </c>
      <c r="E10089" s="544" t="s">
        <v>292</v>
      </c>
      <c r="F10089" s="387">
        <v>1.0</v>
      </c>
      <c r="G10089" s="140">
        <v>390000.0</v>
      </c>
      <c r="H10089" s="74"/>
      <c r="I10089" s="74">
        <f t="shared" si="7"/>
        <v>390000</v>
      </c>
      <c r="J10089" s="74">
        <f>IF(E10089="SERVICE",I10089-(I10089*50%),Vlookup(E10089,DATABASE!C:Q,10,false)*F10089)</f>
        <v>0</v>
      </c>
      <c r="K10089" s="74">
        <f>VLOOKUP(E10089,DATABASE!C:Q,7,false)</f>
        <v>326700</v>
      </c>
      <c r="L10089" s="74">
        <v>326700.0</v>
      </c>
      <c r="M10089" s="74">
        <f t="shared" si="6"/>
        <v>330000</v>
      </c>
      <c r="N10089" s="74">
        <f t="shared" si="3"/>
        <v>60000</v>
      </c>
      <c r="O10089" s="65" t="str">
        <f>VLOOKUP(E10089,DATABASE!C:Q,8,false)</f>
        <v>BIAN</v>
      </c>
      <c r="P10089" s="65">
        <f>VLOOKUP(E10089,DATABASE!C:Q,9,False)</f>
        <v>1</v>
      </c>
      <c r="Q10089" s="93" t="str">
        <f>VLOOKUP(E10089,DATABASE!C:Q,4,false)</f>
        <v>GT</v>
      </c>
      <c r="R10089" s="93" t="str">
        <f>VLOOKUP(E10089,DATABASE!C:Q,11,false)</f>
        <v>Tire</v>
      </c>
    </row>
    <row r="10090" ht="22.5" customHeight="1">
      <c r="A10090" s="49"/>
      <c r="C10090" s="400">
        <v>46265.0</v>
      </c>
      <c r="D10090" s="69">
        <v>759.0</v>
      </c>
      <c r="E10090" s="544" t="s">
        <v>261</v>
      </c>
      <c r="F10090" s="387">
        <v>1.0</v>
      </c>
      <c r="G10090" s="140">
        <v>470000.0</v>
      </c>
      <c r="H10090" s="74"/>
      <c r="I10090" s="74">
        <f t="shared" si="7"/>
        <v>470000</v>
      </c>
      <c r="J10090" s="74">
        <f>IF(E10090="SERVICE",I10090-(I10090*50%),Vlookup(E10090,DATABASE!C:Q,10,false)*F10090)</f>
        <v>0</v>
      </c>
      <c r="K10090" s="74">
        <f>VLOOKUP(E10090,DATABASE!C:Q,7,false)</f>
        <v>415000</v>
      </c>
      <c r="L10090" s="74">
        <v>415000.0</v>
      </c>
      <c r="M10090" s="74">
        <f t="shared" si="6"/>
        <v>415000</v>
      </c>
      <c r="N10090" s="74">
        <f t="shared" si="3"/>
        <v>55000</v>
      </c>
      <c r="O10090" s="65" t="str">
        <f>VLOOKUP(E10090,DATABASE!C:Q,8,false)</f>
        <v>IBU</v>
      </c>
      <c r="P10090" s="65">
        <f>VLOOKUP(E10090,DATABASE!C:Q,9,False)</f>
        <v>1</v>
      </c>
      <c r="Q10090" s="93" t="str">
        <f>VLOOKUP(E10090,DATABASE!C:Q,4,false)</f>
        <v>Dunlop</v>
      </c>
      <c r="R10090" s="93" t="str">
        <f>VLOOKUP(E10090,DATABASE!C:Q,11,false)</f>
        <v>Tire</v>
      </c>
    </row>
    <row r="10091" ht="22.5" customHeight="1">
      <c r="A10091" s="49"/>
      <c r="C10091" s="400">
        <v>46265.0</v>
      </c>
      <c r="D10091" s="69">
        <v>760.0</v>
      </c>
      <c r="E10091" s="544" t="s">
        <v>292</v>
      </c>
      <c r="F10091" s="387">
        <v>1.0</v>
      </c>
      <c r="G10091" s="140">
        <v>370000.0</v>
      </c>
      <c r="H10091" s="74"/>
      <c r="I10091" s="74">
        <f t="shared" si="7"/>
        <v>370000</v>
      </c>
      <c r="J10091" s="74">
        <f>IF(E10091="SERVICE",I10091-(I10091*50%),Vlookup(E10091,DATABASE!C:Q,10,false)*F10091)</f>
        <v>0</v>
      </c>
      <c r="K10091" s="74">
        <f>VLOOKUP(E10091,DATABASE!C:Q,7,false)</f>
        <v>326700</v>
      </c>
      <c r="L10091" s="74">
        <v>326700.0</v>
      </c>
      <c r="M10091" s="74">
        <f t="shared" si="6"/>
        <v>330000</v>
      </c>
      <c r="N10091" s="74">
        <f t="shared" si="3"/>
        <v>40000</v>
      </c>
      <c r="O10091" s="65" t="str">
        <f>VLOOKUP(E10091,DATABASE!C:Q,8,false)</f>
        <v>BIAN</v>
      </c>
      <c r="P10091" s="65">
        <f>VLOOKUP(E10091,DATABASE!C:Q,9,False)</f>
        <v>1</v>
      </c>
      <c r="Q10091" s="93" t="str">
        <f>VLOOKUP(E10091,DATABASE!C:Q,4,false)</f>
        <v>GT</v>
      </c>
      <c r="R10091" s="93" t="str">
        <f>VLOOKUP(E10091,DATABASE!C:Q,11,false)</f>
        <v>Tire</v>
      </c>
    </row>
    <row r="10092" ht="22.5" customHeight="1">
      <c r="A10092" s="49"/>
      <c r="C10092" s="400">
        <v>46265.0</v>
      </c>
      <c r="D10092" s="69">
        <v>761.0</v>
      </c>
      <c r="E10092" s="544" t="s">
        <v>256</v>
      </c>
      <c r="F10092" s="387">
        <v>1.0</v>
      </c>
      <c r="G10092" s="140">
        <v>150000.0</v>
      </c>
      <c r="H10092" s="74"/>
      <c r="I10092" s="74">
        <f t="shared" si="7"/>
        <v>150000</v>
      </c>
      <c r="J10092" s="74">
        <f>IF(E10092="SERVICE",I10092-(I10092*50%),Vlookup(E10092,DATABASE!C:Q,10,false)*F10092)</f>
        <v>10000</v>
      </c>
      <c r="K10092" s="74">
        <f>VLOOKUP(E10092,DATABASE!C:Q,7,false)</f>
        <v>0</v>
      </c>
      <c r="L10092" s="74">
        <v>0.0</v>
      </c>
      <c r="M10092" s="74">
        <f t="shared" si="6"/>
        <v>0</v>
      </c>
      <c r="N10092" s="74">
        <f t="shared" si="3"/>
        <v>140000</v>
      </c>
      <c r="O10092" s="65" t="str">
        <f>VLOOKUP(E10092,DATABASE!C:Q,8,false)</f>
        <v>IBU</v>
      </c>
      <c r="P10092" s="65">
        <f>VLOOKUP(E10092,DATABASE!C:Q,9,False)</f>
        <v>0</v>
      </c>
      <c r="Q10092" s="93" t="str">
        <f>VLOOKUP(E10092,DATABASE!C:Q,4,false)</f>
        <v>SPOORING</v>
      </c>
      <c r="R10092" s="93" t="str">
        <f>VLOOKUP(E10092,DATABASE!C:Q,11,false)</f>
        <v>SERVICE</v>
      </c>
    </row>
    <row r="10093" ht="22.5" customHeight="1">
      <c r="A10093" s="49"/>
      <c r="C10093" s="400">
        <v>46265.0</v>
      </c>
      <c r="D10093" s="69">
        <v>762.0</v>
      </c>
      <c r="E10093" s="544" t="s">
        <v>251</v>
      </c>
      <c r="F10093" s="387">
        <v>1.0</v>
      </c>
      <c r="G10093" s="140">
        <v>40000.0</v>
      </c>
      <c r="H10093" s="74"/>
      <c r="I10093" s="74">
        <f t="shared" si="7"/>
        <v>40000</v>
      </c>
      <c r="J10093" s="74">
        <f>IF(E10093="SERVICE",I10093-(I10093*50%),Vlookup(E10093,DATABASE!C:Q,10,false)*F10093)</f>
        <v>20000</v>
      </c>
      <c r="K10093" s="74">
        <f>VLOOKUP(E10093,DATABASE!C:Q,7,false)</f>
        <v>0</v>
      </c>
      <c r="L10093" s="74">
        <v>0.0</v>
      </c>
      <c r="M10093" s="74">
        <f t="shared" si="6"/>
        <v>0</v>
      </c>
      <c r="N10093" s="74">
        <f t="shared" si="3"/>
        <v>20000</v>
      </c>
      <c r="O10093" s="65" t="str">
        <f>VLOOKUP(E10093,DATABASE!C:Q,8,false)</f>
        <v>IBU</v>
      </c>
      <c r="P10093" s="65">
        <f>VLOOKUP(E10093,DATABASE!C:Q,9,False)</f>
        <v>0</v>
      </c>
      <c r="Q10093" s="93" t="str">
        <f>VLOOKUP(E10093,DATABASE!C:Q,4,false)</f>
        <v>SERVICE</v>
      </c>
      <c r="R10093" s="93" t="str">
        <f>VLOOKUP(E10093,DATABASE!C:Q,11,false)</f>
        <v>SERVICE</v>
      </c>
    </row>
    <row r="10094" ht="22.5" customHeight="1">
      <c r="A10094" s="49"/>
      <c r="C10094" s="400">
        <v>46265.0</v>
      </c>
      <c r="D10094" s="69">
        <v>762.0</v>
      </c>
      <c r="E10094" s="544" t="s">
        <v>299</v>
      </c>
      <c r="F10094" s="387">
        <v>2.0</v>
      </c>
      <c r="G10094" s="140">
        <v>30000.0</v>
      </c>
      <c r="H10094" s="74"/>
      <c r="I10094" s="74">
        <f t="shared" si="7"/>
        <v>60000</v>
      </c>
      <c r="J10094" s="74">
        <f>IF(E10094="SERVICE",I10094-(I10094*50%),Vlookup(E10094,DATABASE!C:Q,10,false)*F10094)</f>
        <v>0</v>
      </c>
      <c r="K10094" s="74">
        <f>VLOOKUP(E10094,DATABASE!C:Q,7,false)</f>
        <v>10000</v>
      </c>
      <c r="L10094" s="74">
        <v>10000.0</v>
      </c>
      <c r="M10094" s="74">
        <f t="shared" si="6"/>
        <v>10000</v>
      </c>
      <c r="N10094" s="74">
        <f t="shared" si="3"/>
        <v>40000</v>
      </c>
      <c r="O10094" s="65" t="str">
        <f>VLOOKUP(E10094,DATABASE!C:Q,8,false)</f>
        <v>BIAN</v>
      </c>
      <c r="P10094" s="65">
        <f>VLOOKUP(E10094,DATABASE!C:Q,9,False)</f>
        <v>0</v>
      </c>
      <c r="Q10094" s="93" t="str">
        <f>VLOOKUP(E10094,DATABASE!C:Q,4,false)</f>
        <v>Balancing</v>
      </c>
      <c r="R10094" s="93" t="str">
        <f>VLOOKUP(E10094,DATABASE!C:Q,11,false)</f>
        <v>COMPLEMENTARY</v>
      </c>
    </row>
    <row r="10095" ht="22.5" customHeight="1">
      <c r="A10095" s="49"/>
      <c r="C10095" s="400">
        <v>46265.0</v>
      </c>
      <c r="D10095" s="524">
        <v>763.0</v>
      </c>
      <c r="E10095" s="544" t="s">
        <v>265</v>
      </c>
      <c r="F10095" s="387">
        <v>2.0</v>
      </c>
      <c r="G10095" s="140">
        <v>700000.0</v>
      </c>
      <c r="H10095" s="74"/>
      <c r="I10095" s="74">
        <f t="shared" si="7"/>
        <v>1400000</v>
      </c>
      <c r="J10095" s="74">
        <f>IF(E10095="SERVICE",I10095-(I10095*50%),Vlookup(E10095,DATABASE!C:Q,10,false)*F10095)</f>
        <v>0</v>
      </c>
      <c r="K10095" s="74">
        <f>VLOOKUP(E10095,DATABASE!C:Q,7,false)</f>
        <v>628000</v>
      </c>
      <c r="L10095" s="74">
        <v>610000.0</v>
      </c>
      <c r="M10095" s="74">
        <f t="shared" si="6"/>
        <v>610000</v>
      </c>
      <c r="N10095" s="74">
        <f t="shared" si="3"/>
        <v>180000</v>
      </c>
      <c r="O10095" s="65" t="str">
        <f>VLOOKUP(E10095,DATABASE!C:Q,8,false)</f>
        <v>IBU</v>
      </c>
      <c r="P10095" s="65">
        <f>VLOOKUP(E10095,DATABASE!C:Q,9,False)</f>
        <v>1</v>
      </c>
      <c r="Q10095" s="93" t="str">
        <f>VLOOKUP(E10095,DATABASE!C:Q,4,false)</f>
        <v>Dunlop</v>
      </c>
      <c r="R10095" s="93" t="str">
        <f>VLOOKUP(E10095,DATABASE!C:Q,11,false)</f>
        <v>Tire</v>
      </c>
    </row>
    <row r="10096" ht="22.5" customHeight="1">
      <c r="A10096" s="49"/>
      <c r="C10096" s="400">
        <v>46265.0</v>
      </c>
      <c r="D10096" s="69">
        <v>764.0</v>
      </c>
      <c r="E10096" s="544" t="s">
        <v>256</v>
      </c>
      <c r="F10096" s="387">
        <v>1.0</v>
      </c>
      <c r="G10096" s="140">
        <v>150000.0</v>
      </c>
      <c r="H10096" s="74"/>
      <c r="I10096" s="74">
        <f t="shared" si="7"/>
        <v>150000</v>
      </c>
      <c r="J10096" s="74">
        <f>IF(E10096="SERVICE",I10096-(I10096*50%),Vlookup(E10096,DATABASE!C:Q,10,false)*F10096)</f>
        <v>10000</v>
      </c>
      <c r="K10096" s="74">
        <f>VLOOKUP(E10096,DATABASE!C:Q,7,false)</f>
        <v>0</v>
      </c>
      <c r="L10096" s="74">
        <v>0.0</v>
      </c>
      <c r="M10096" s="74">
        <f t="shared" si="6"/>
        <v>0</v>
      </c>
      <c r="N10096" s="74">
        <f t="shared" si="3"/>
        <v>140000</v>
      </c>
      <c r="O10096" s="65" t="str">
        <f>VLOOKUP(E10096,DATABASE!C:Q,8,false)</f>
        <v>IBU</v>
      </c>
      <c r="P10096" s="65">
        <f>VLOOKUP(E10096,DATABASE!C:Q,9,False)</f>
        <v>0</v>
      </c>
      <c r="Q10096" s="93" t="str">
        <f>VLOOKUP(E10096,DATABASE!C:Q,4,false)</f>
        <v>SPOORING</v>
      </c>
      <c r="R10096" s="93" t="str">
        <f>VLOOKUP(E10096,DATABASE!C:Q,11,false)</f>
        <v>SERVICE</v>
      </c>
    </row>
    <row r="10097" ht="22.5" customHeight="1">
      <c r="A10097" s="49"/>
      <c r="C10097" s="400">
        <v>46266.0</v>
      </c>
      <c r="D10097" s="69">
        <v>765.0</v>
      </c>
      <c r="E10097" s="544" t="s">
        <v>295</v>
      </c>
      <c r="F10097" s="387">
        <v>4.0</v>
      </c>
      <c r="G10097" s="140">
        <v>1580000.0</v>
      </c>
      <c r="H10097" s="140">
        <v>20000.0</v>
      </c>
      <c r="I10097" s="74">
        <f t="shared" si="7"/>
        <v>6240000</v>
      </c>
      <c r="J10097" s="74">
        <f>IF(E10097="SERVICE",I10097-(I10097*50%),Vlookup(E10097,DATABASE!C:Q,10,false)*F10097)</f>
        <v>0</v>
      </c>
      <c r="K10097" s="74">
        <f>VLOOKUP(E10097,DATABASE!C:Q,7,false)</f>
        <v>1475000</v>
      </c>
      <c r="L10097" s="74">
        <v>1475000.0</v>
      </c>
      <c r="M10097" s="74">
        <f t="shared" si="6"/>
        <v>1475000</v>
      </c>
      <c r="N10097" s="74">
        <f t="shared" si="3"/>
        <v>340000</v>
      </c>
      <c r="O10097" s="65" t="str">
        <f>VLOOKUP(E10097,DATABASE!C:Q,8,false)</f>
        <v>BIAN</v>
      </c>
      <c r="P10097" s="65">
        <f>VLOOKUP(E10097,DATABASE!C:Q,9,False)</f>
        <v>1</v>
      </c>
      <c r="Q10097" s="93" t="str">
        <f>VLOOKUP(E10097,DATABASE!C:Q,4,false)</f>
        <v>TIRON</v>
      </c>
      <c r="R10097" s="93" t="str">
        <f>VLOOKUP(E10097,DATABASE!C:Q,11,false)</f>
        <v>Tire</v>
      </c>
    </row>
    <row r="10098" ht="22.5" customHeight="1">
      <c r="A10098" s="49"/>
      <c r="C10098" s="400">
        <v>46266.0</v>
      </c>
      <c r="D10098" s="69">
        <v>766.0</v>
      </c>
      <c r="E10098" s="544" t="s">
        <v>286</v>
      </c>
      <c r="F10098" s="387">
        <v>2.0</v>
      </c>
      <c r="G10098" s="140">
        <v>580000.0</v>
      </c>
      <c r="H10098" s="74"/>
      <c r="I10098" s="74">
        <f t="shared" si="7"/>
        <v>1160000</v>
      </c>
      <c r="J10098" s="74">
        <f>IF(E10098="SERVICE",I10098-(I10098*50%),Vlookup(E10098,DATABASE!C:Q,10,false)*F10098)</f>
        <v>0</v>
      </c>
      <c r="K10098" s="74">
        <f>VLOOKUP(E10098,DATABASE!C:Q,7,false)</f>
        <v>488320</v>
      </c>
      <c r="L10098" s="74">
        <v>488320.0</v>
      </c>
      <c r="M10098" s="74">
        <f t="shared" si="6"/>
        <v>490000</v>
      </c>
      <c r="N10098" s="74">
        <f t="shared" si="3"/>
        <v>180000</v>
      </c>
      <c r="O10098" s="65" t="str">
        <f>VLOOKUP(E10098,DATABASE!C:Q,8,false)</f>
        <v>BIAN</v>
      </c>
      <c r="P10098" s="65">
        <f>VLOOKUP(E10098,DATABASE!C:Q,9,False)</f>
        <v>1</v>
      </c>
      <c r="Q10098" s="93" t="str">
        <f>VLOOKUP(E10098,DATABASE!C:Q,4,false)</f>
        <v>GT</v>
      </c>
      <c r="R10098" s="93" t="str">
        <f>VLOOKUP(E10098,DATABASE!C:Q,11,false)</f>
        <v>Tire</v>
      </c>
    </row>
    <row r="10099" ht="22.5" customHeight="1">
      <c r="A10099" s="49"/>
      <c r="C10099" s="400">
        <v>46266.0</v>
      </c>
      <c r="D10099" s="69">
        <v>768.0</v>
      </c>
      <c r="E10099" s="544" t="s">
        <v>282</v>
      </c>
      <c r="F10099" s="387">
        <v>1.0</v>
      </c>
      <c r="G10099" s="140">
        <v>880000.0</v>
      </c>
      <c r="H10099" s="74"/>
      <c r="I10099" s="74">
        <f t="shared" si="7"/>
        <v>880000</v>
      </c>
      <c r="J10099" s="74">
        <f>IF(E10099="SERVICE",I10099-(I10099*50%),Vlookup(E10099,DATABASE!C:Q,10,false)*F10099)</f>
        <v>0</v>
      </c>
      <c r="K10099" s="74">
        <f>VLOOKUP(E10099,DATABASE!C:Q,7,false)</f>
        <v>779500</v>
      </c>
      <c r="L10099" s="74">
        <v>779500.0</v>
      </c>
      <c r="M10099" s="74">
        <f t="shared" si="6"/>
        <v>780000</v>
      </c>
      <c r="N10099" s="74">
        <f t="shared" si="3"/>
        <v>100000</v>
      </c>
      <c r="O10099" s="65" t="str">
        <f>VLOOKUP(E10099,DATABASE!C:Q,8,false)</f>
        <v>IBU</v>
      </c>
      <c r="P10099" s="65">
        <f>VLOOKUP(E10099,DATABASE!C:Q,9,False)</f>
        <v>1</v>
      </c>
      <c r="Q10099" s="93" t="str">
        <f>VLOOKUP(E10099,DATABASE!C:Q,4,false)</f>
        <v>Dunlop</v>
      </c>
      <c r="R10099" s="93" t="str">
        <f>VLOOKUP(E10099,DATABASE!C:Q,11,false)</f>
        <v>Tire</v>
      </c>
    </row>
    <row r="10100" ht="22.5" customHeight="1">
      <c r="A10100" s="49"/>
      <c r="C10100" s="400">
        <v>46266.0</v>
      </c>
      <c r="D10100" s="69">
        <v>769.0</v>
      </c>
      <c r="E10100" s="544" t="s">
        <v>279</v>
      </c>
      <c r="F10100" s="387">
        <v>2.0</v>
      </c>
      <c r="G10100" s="140">
        <v>700000.0</v>
      </c>
      <c r="H10100" s="74"/>
      <c r="I10100" s="74">
        <f t="shared" si="7"/>
        <v>1400000</v>
      </c>
      <c r="J10100" s="74">
        <f>IF(E10100="SERVICE",I10100-(I10100*50%),Vlookup(E10100,DATABASE!C:Q,10,false)*F10100)</f>
        <v>0</v>
      </c>
      <c r="K10100" s="74">
        <f>VLOOKUP(E10100,DATABASE!C:Q,7,false)</f>
        <v>623000</v>
      </c>
      <c r="L10100" s="74">
        <v>602000.0</v>
      </c>
      <c r="M10100" s="74">
        <f t="shared" si="6"/>
        <v>605000</v>
      </c>
      <c r="N10100" s="74">
        <f t="shared" si="3"/>
        <v>190000</v>
      </c>
      <c r="O10100" s="65" t="str">
        <f>VLOOKUP(E10100,DATABASE!C:Q,8,false)</f>
        <v>IBU</v>
      </c>
      <c r="P10100" s="65">
        <f>VLOOKUP(E10100,DATABASE!C:Q,9,False)</f>
        <v>1</v>
      </c>
      <c r="Q10100" s="93" t="str">
        <f>VLOOKUP(E10100,DATABASE!C:Q,4,false)</f>
        <v>Dunlop</v>
      </c>
      <c r="R10100" s="93" t="str">
        <f>VLOOKUP(E10100,DATABASE!C:Q,11,false)</f>
        <v>Tire</v>
      </c>
    </row>
    <row r="10101" ht="22.5" customHeight="1">
      <c r="A10101" s="49"/>
      <c r="C10101" s="400">
        <v>46266.0</v>
      </c>
      <c r="D10101" s="69">
        <v>771.0</v>
      </c>
      <c r="E10101" s="544" t="s">
        <v>275</v>
      </c>
      <c r="F10101" s="387">
        <v>2.0</v>
      </c>
      <c r="G10101" s="140">
        <v>850000.0</v>
      </c>
      <c r="H10101" s="74"/>
      <c r="I10101" s="74">
        <f t="shared" si="7"/>
        <v>1700000</v>
      </c>
      <c r="J10101" s="74">
        <f>IF(E10101="SERVICE",I10101-(I10101*50%),Vlookup(E10101,DATABASE!C:Q,10,false)*F10101)</f>
        <v>0</v>
      </c>
      <c r="K10101" s="74">
        <f>VLOOKUP(E10101,DATABASE!C:Q,7,false)</f>
        <v>782000</v>
      </c>
      <c r="L10101" s="74">
        <v>759500.0</v>
      </c>
      <c r="M10101" s="74">
        <f t="shared" si="6"/>
        <v>760000</v>
      </c>
      <c r="N10101" s="74">
        <f t="shared" si="3"/>
        <v>180000</v>
      </c>
      <c r="O10101" s="65" t="str">
        <f>VLOOKUP(E10101,DATABASE!C:Q,8,false)</f>
        <v>IBU</v>
      </c>
      <c r="P10101" s="65">
        <f>VLOOKUP(E10101,DATABASE!C:Q,9,False)</f>
        <v>1</v>
      </c>
      <c r="Q10101" s="93" t="str">
        <f>VLOOKUP(E10101,DATABASE!C:Q,4,false)</f>
        <v>Dunlop</v>
      </c>
      <c r="R10101" s="93" t="str">
        <f>VLOOKUP(E10101,DATABASE!C:Q,11,false)</f>
        <v>Tire</v>
      </c>
    </row>
    <row r="10102" ht="22.5" customHeight="1">
      <c r="A10102" s="49"/>
      <c r="C10102" s="400">
        <v>46266.0</v>
      </c>
      <c r="D10102" s="69">
        <v>771.0</v>
      </c>
      <c r="E10102" s="544" t="s">
        <v>262</v>
      </c>
      <c r="F10102" s="387">
        <v>1.0</v>
      </c>
      <c r="G10102" s="140">
        <v>130000.0</v>
      </c>
      <c r="H10102" s="74"/>
      <c r="I10102" s="74">
        <f t="shared" si="7"/>
        <v>130000</v>
      </c>
      <c r="J10102" s="74">
        <f>IF(E10102="SERVICE",I10102-(I10102*50%),Vlookup(E10102,DATABASE!C:Q,10,false)*F10102)</f>
        <v>5000</v>
      </c>
      <c r="K10102" s="74">
        <f>VLOOKUP(E10102,DATABASE!C:Q,7,false)</f>
        <v>0</v>
      </c>
      <c r="L10102" s="74">
        <v>0.0</v>
      </c>
      <c r="M10102" s="74">
        <f t="shared" si="6"/>
        <v>0</v>
      </c>
      <c r="N10102" s="74">
        <f t="shared" si="3"/>
        <v>125000</v>
      </c>
      <c r="O10102" s="65" t="str">
        <f>VLOOKUP(E10102,DATABASE!C:Q,8,false)</f>
        <v>IBU</v>
      </c>
      <c r="P10102" s="65">
        <f>VLOOKUP(E10102,DATABASE!C:Q,9,False)</f>
        <v>0</v>
      </c>
      <c r="Q10102" s="93" t="str">
        <f>VLOOKUP(E10102,DATABASE!C:Q,4,false)</f>
        <v>SPOORING SS/CARRY LOS BAK</v>
      </c>
      <c r="R10102" s="93" t="str">
        <f>VLOOKUP(E10102,DATABASE!C:Q,11,false)</f>
        <v>SERVICE</v>
      </c>
    </row>
    <row r="10103" ht="22.5" customHeight="1">
      <c r="A10103" s="49"/>
      <c r="C10103" s="400">
        <v>46266.0</v>
      </c>
      <c r="D10103" s="69">
        <v>771.0</v>
      </c>
      <c r="E10103" s="544" t="s">
        <v>301</v>
      </c>
      <c r="F10103" s="387">
        <v>1.0</v>
      </c>
      <c r="G10103" s="140">
        <v>250000.0</v>
      </c>
      <c r="H10103" s="74"/>
      <c r="I10103" s="74">
        <f t="shared" si="7"/>
        <v>250000</v>
      </c>
      <c r="J10103" s="74">
        <f>IF(E10103="SERVICE",I10103-(I10103*50%),Vlookup(E10103,DATABASE!C:Q,10,false)*F10103)</f>
        <v>75000</v>
      </c>
      <c r="K10103" s="74">
        <f>VLOOKUP(E10103,DATABASE!C:Q,7,false)</f>
        <v>75000</v>
      </c>
      <c r="L10103" s="74">
        <v>75000.0</v>
      </c>
      <c r="M10103" s="74">
        <f t="shared" si="6"/>
        <v>75000</v>
      </c>
      <c r="N10103" s="74">
        <f t="shared" si="3"/>
        <v>100000</v>
      </c>
      <c r="O10103" s="65" t="str">
        <f>VLOOKUP(E10103,DATABASE!C:Q,8,false)</f>
        <v>BIAN</v>
      </c>
      <c r="P10103" s="65">
        <f>VLOOKUP(E10103,DATABASE!C:Q,9,False)</f>
        <v>0</v>
      </c>
      <c r="Q10103" s="93" t="str">
        <f>VLOOKUP(E10103,DATABASE!C:Q,4,false)</f>
        <v>Baut Camber</v>
      </c>
      <c r="R10103" s="93" t="str">
        <f>VLOOKUP(E10103,DATABASE!C:Q,11,false)</f>
        <v>COMPLEMENTARY</v>
      </c>
    </row>
    <row r="10104" ht="22.5" customHeight="1">
      <c r="A10104" s="49"/>
      <c r="C10104" s="400">
        <v>46266.0</v>
      </c>
      <c r="D10104" s="69">
        <v>772.0</v>
      </c>
      <c r="E10104" s="544" t="s">
        <v>271</v>
      </c>
      <c r="F10104" s="387">
        <v>1.0</v>
      </c>
      <c r="G10104" s="140">
        <v>635000.0</v>
      </c>
      <c r="H10104" s="74"/>
      <c r="I10104" s="74">
        <f t="shared" si="7"/>
        <v>635000</v>
      </c>
      <c r="J10104" s="74">
        <f>IF(E10104="SERVICE",I10104-(I10104*50%),Vlookup(E10104,DATABASE!C:Q,10,false)*F10104)</f>
        <v>0</v>
      </c>
      <c r="K10104" s="74">
        <f>VLOOKUP(E10104,DATABASE!C:Q,7,false)</f>
        <v>570000</v>
      </c>
      <c r="L10104" s="74">
        <v>550000.0</v>
      </c>
      <c r="M10104" s="74">
        <f t="shared" si="6"/>
        <v>550000</v>
      </c>
      <c r="N10104" s="74">
        <f t="shared" si="3"/>
        <v>85000</v>
      </c>
      <c r="O10104" s="65" t="str">
        <f>VLOOKUP(E10104,DATABASE!C:Q,8,false)</f>
        <v>IBU</v>
      </c>
      <c r="P10104" s="65">
        <f>VLOOKUP(E10104,DATABASE!C:Q,9,False)</f>
        <v>1</v>
      </c>
      <c r="Q10104" s="93" t="str">
        <f>VLOOKUP(E10104,DATABASE!C:Q,4,false)</f>
        <v>Dunlop</v>
      </c>
      <c r="R10104" s="93" t="str">
        <f>VLOOKUP(E10104,DATABASE!C:Q,11,false)</f>
        <v>Tire</v>
      </c>
    </row>
    <row r="10105" ht="22.5" customHeight="1">
      <c r="A10105" s="49"/>
      <c r="C10105" s="400">
        <v>46266.0</v>
      </c>
      <c r="D10105" s="69">
        <v>774.0</v>
      </c>
      <c r="E10105" s="544" t="s">
        <v>268</v>
      </c>
      <c r="F10105" s="387">
        <v>2.0</v>
      </c>
      <c r="G10105" s="140">
        <v>720000.0</v>
      </c>
      <c r="H10105" s="74"/>
      <c r="I10105" s="74">
        <f t="shared" si="7"/>
        <v>1440000</v>
      </c>
      <c r="J10105" s="74">
        <f>IF(E10105="SERVICE",I10105-(I10105*50%),Vlookup(E10105,DATABASE!C:Q,10,false)*F10105)</f>
        <v>0</v>
      </c>
      <c r="K10105" s="74">
        <f>VLOOKUP(E10105,DATABASE!C:Q,7,false)</f>
        <v>653000</v>
      </c>
      <c r="L10105" s="74">
        <v>634500.0</v>
      </c>
      <c r="M10105" s="74">
        <f t="shared" si="6"/>
        <v>635000</v>
      </c>
      <c r="N10105" s="74">
        <f t="shared" si="3"/>
        <v>170000</v>
      </c>
      <c r="O10105" s="65" t="str">
        <f>VLOOKUP(E10105,DATABASE!C:Q,8,false)</f>
        <v>IBU</v>
      </c>
      <c r="P10105" s="65">
        <f>VLOOKUP(E10105,DATABASE!C:Q,9,False)</f>
        <v>1</v>
      </c>
      <c r="Q10105" s="93" t="str">
        <f>VLOOKUP(E10105,DATABASE!C:Q,4,false)</f>
        <v>Dunlop</v>
      </c>
      <c r="R10105" s="93" t="str">
        <f>VLOOKUP(E10105,DATABASE!C:Q,11,false)</f>
        <v>Tire</v>
      </c>
    </row>
    <row r="10106" ht="22.5" customHeight="1">
      <c r="A10106" s="49"/>
      <c r="C10106" s="400">
        <v>46266.0</v>
      </c>
      <c r="D10106" s="69">
        <v>774.0</v>
      </c>
      <c r="E10106" s="544" t="s">
        <v>250</v>
      </c>
      <c r="F10106" s="387">
        <v>2.0</v>
      </c>
      <c r="G10106" s="140">
        <v>135000.0</v>
      </c>
      <c r="H10106" s="74"/>
      <c r="I10106" s="74">
        <f t="shared" si="7"/>
        <v>270000</v>
      </c>
      <c r="J10106" s="74">
        <f>IF(E10106="SERVICE",I10106-(I10106*50%),Vlookup(E10106,DATABASE!C:Q,10,false)*F10106)</f>
        <v>0</v>
      </c>
      <c r="K10106" s="74">
        <f>VLOOKUP(E10106,DATABASE!C:Q,7,false)</f>
        <v>102000</v>
      </c>
      <c r="L10106" s="74">
        <v>102000.0</v>
      </c>
      <c r="M10106" s="74">
        <f t="shared" si="6"/>
        <v>105000</v>
      </c>
      <c r="N10106" s="74">
        <f t="shared" si="3"/>
        <v>60000</v>
      </c>
      <c r="O10106" s="65" t="str">
        <f>VLOOKUP(E10106,DATABASE!C:Q,8,false)</f>
        <v>BIAN</v>
      </c>
      <c r="P10106" s="65">
        <f>VLOOKUP(E10106,DATABASE!C:Q,9,False)</f>
        <v>1</v>
      </c>
      <c r="Q10106" s="93" t="str">
        <f>VLOOKUP(E10106,DATABASE!C:Q,4,false)</f>
        <v>BD</v>
      </c>
      <c r="R10106" s="93" t="str">
        <f>VLOOKUP(E10106,DATABASE!C:Q,11,false)</f>
        <v>Tire</v>
      </c>
    </row>
    <row r="10107" ht="22.5" customHeight="1">
      <c r="A10107" s="49"/>
      <c r="C10107" s="400">
        <v>46266.0</v>
      </c>
      <c r="D10107" s="69">
        <v>775.0</v>
      </c>
      <c r="E10107" s="544" t="s">
        <v>262</v>
      </c>
      <c r="F10107" s="387">
        <v>1.0</v>
      </c>
      <c r="G10107" s="140">
        <v>130000.0</v>
      </c>
      <c r="H10107" s="74"/>
      <c r="I10107" s="74">
        <f t="shared" si="7"/>
        <v>130000</v>
      </c>
      <c r="J10107" s="74">
        <f>IF(E10107="SERVICE",I10107-(I10107*50%),Vlookup(E10107,DATABASE!C:Q,10,false)*F10107)</f>
        <v>5000</v>
      </c>
      <c r="K10107" s="74">
        <f>VLOOKUP(E10107,DATABASE!C:Q,7,false)</f>
        <v>0</v>
      </c>
      <c r="L10107" s="74">
        <v>0.0</v>
      </c>
      <c r="M10107" s="74">
        <f t="shared" si="6"/>
        <v>0</v>
      </c>
      <c r="N10107" s="74">
        <f t="shared" si="3"/>
        <v>125000</v>
      </c>
      <c r="O10107" s="65" t="str">
        <f>VLOOKUP(E10107,DATABASE!C:Q,8,false)</f>
        <v>IBU</v>
      </c>
      <c r="P10107" s="65">
        <f>VLOOKUP(E10107,DATABASE!C:Q,9,False)</f>
        <v>0</v>
      </c>
      <c r="Q10107" s="93" t="str">
        <f>VLOOKUP(E10107,DATABASE!C:Q,4,false)</f>
        <v>SPOORING SS/CARRY LOS BAK</v>
      </c>
      <c r="R10107" s="93" t="str">
        <f>VLOOKUP(E10107,DATABASE!C:Q,11,false)</f>
        <v>SERVICE</v>
      </c>
    </row>
    <row r="10108" ht="22.5" customHeight="1">
      <c r="A10108" s="49"/>
      <c r="C10108" s="400">
        <v>46266.0</v>
      </c>
      <c r="D10108" s="69">
        <v>776.0</v>
      </c>
      <c r="E10108" s="544" t="s">
        <v>256</v>
      </c>
      <c r="F10108" s="387">
        <v>1.0</v>
      </c>
      <c r="G10108" s="140">
        <v>150000.0</v>
      </c>
      <c r="H10108" s="74"/>
      <c r="I10108" s="74">
        <f t="shared" si="7"/>
        <v>150000</v>
      </c>
      <c r="J10108" s="74">
        <f>IF(E10108="SERVICE",I10108-(I10108*50%),Vlookup(E10108,DATABASE!C:Q,10,false)*F10108)</f>
        <v>10000</v>
      </c>
      <c r="K10108" s="74">
        <f>VLOOKUP(E10108,DATABASE!C:Q,7,false)</f>
        <v>0</v>
      </c>
      <c r="L10108" s="74">
        <v>0.0</v>
      </c>
      <c r="M10108" s="74">
        <f t="shared" si="6"/>
        <v>0</v>
      </c>
      <c r="N10108" s="74">
        <f t="shared" si="3"/>
        <v>140000</v>
      </c>
      <c r="O10108" s="65" t="str">
        <f>VLOOKUP(E10108,DATABASE!C:Q,8,false)</f>
        <v>IBU</v>
      </c>
      <c r="P10108" s="65">
        <f>VLOOKUP(E10108,DATABASE!C:Q,9,False)</f>
        <v>0</v>
      </c>
      <c r="Q10108" s="93" t="str">
        <f>VLOOKUP(E10108,DATABASE!C:Q,4,false)</f>
        <v>SPOORING</v>
      </c>
      <c r="R10108" s="93" t="str">
        <f>VLOOKUP(E10108,DATABASE!C:Q,11,false)</f>
        <v>SERVICE</v>
      </c>
    </row>
    <row r="10109" ht="22.5" customHeight="1">
      <c r="A10109" s="49"/>
      <c r="C10109" s="400">
        <v>46266.0</v>
      </c>
      <c r="D10109" s="69">
        <v>776.0</v>
      </c>
      <c r="E10109" s="544" t="s">
        <v>299</v>
      </c>
      <c r="F10109" s="387">
        <v>2.0</v>
      </c>
      <c r="G10109" s="140">
        <v>25000.0</v>
      </c>
      <c r="H10109" s="74"/>
      <c r="I10109" s="74">
        <f t="shared" si="7"/>
        <v>50000</v>
      </c>
      <c r="J10109" s="74">
        <f>IF(E10109="SERVICE",I10109-(I10109*50%),Vlookup(E10109,DATABASE!C:Q,10,false)*F10109)</f>
        <v>0</v>
      </c>
      <c r="K10109" s="74">
        <f>VLOOKUP(E10109,DATABASE!C:Q,7,false)</f>
        <v>10000</v>
      </c>
      <c r="L10109" s="74">
        <v>10000.0</v>
      </c>
      <c r="M10109" s="74">
        <f t="shared" si="6"/>
        <v>10000</v>
      </c>
      <c r="N10109" s="74">
        <f t="shared" si="3"/>
        <v>30000</v>
      </c>
      <c r="O10109" s="65" t="str">
        <f>VLOOKUP(E10109,DATABASE!C:Q,8,false)</f>
        <v>BIAN</v>
      </c>
      <c r="P10109" s="65">
        <f>VLOOKUP(E10109,DATABASE!C:Q,9,False)</f>
        <v>0</v>
      </c>
      <c r="Q10109" s="93" t="str">
        <f>VLOOKUP(E10109,DATABASE!C:Q,4,false)</f>
        <v>Balancing</v>
      </c>
      <c r="R10109" s="93" t="str">
        <f>VLOOKUP(E10109,DATABASE!C:Q,11,false)</f>
        <v>COMPLEMENTARY</v>
      </c>
    </row>
    <row r="10110" ht="22.5" customHeight="1">
      <c r="A10110" s="49"/>
      <c r="C10110" s="400">
        <v>46266.0</v>
      </c>
      <c r="D10110" s="524">
        <v>778.0</v>
      </c>
      <c r="E10110" s="544" t="s">
        <v>246</v>
      </c>
      <c r="F10110" s="387">
        <v>4.0</v>
      </c>
      <c r="G10110" s="140">
        <v>25000.0</v>
      </c>
      <c r="H10110" s="74"/>
      <c r="I10110" s="74">
        <f t="shared" si="7"/>
        <v>100000</v>
      </c>
      <c r="J10110" s="74">
        <f>IF(E10110="SERVICE",I10110-(I10110*50%),Vlookup(E10110,DATABASE!C:Q,10,false)*F10110)</f>
        <v>0</v>
      </c>
      <c r="K10110" s="74">
        <f>VLOOKUP(E10110,DATABASE!C:Q,7,false)</f>
        <v>0</v>
      </c>
      <c r="L10110" s="140">
        <v>0.0</v>
      </c>
      <c r="M10110" s="74">
        <f t="shared" si="6"/>
        <v>0</v>
      </c>
      <c r="N10110" s="74">
        <f t="shared" si="3"/>
        <v>100000</v>
      </c>
      <c r="O10110" s="65" t="str">
        <f>VLOOKUP(E10110,DATABASE!C:Q,8,false)</f>
        <v>IBU</v>
      </c>
      <c r="P10110" s="65">
        <f>VLOOKUP(E10110,DATABASE!C:Q,9,False)</f>
        <v>0</v>
      </c>
      <c r="Q10110" s="93" t="str">
        <f>VLOOKUP(E10110,DATABASE!C:Q,4,false)</f>
        <v>Bongkar Pasang</v>
      </c>
      <c r="R10110" s="93" t="str">
        <f>VLOOKUP(E10110,DATABASE!C:Q,11,false)</f>
        <v>SERVICE</v>
      </c>
    </row>
    <row r="10111" ht="22.5" customHeight="1">
      <c r="A10111" s="49"/>
      <c r="C10111" s="400">
        <v>46266.0</v>
      </c>
      <c r="D10111" s="69" t="s">
        <v>2921</v>
      </c>
      <c r="E10111" s="544" t="s">
        <v>248</v>
      </c>
      <c r="F10111" s="387">
        <v>1.0</v>
      </c>
      <c r="G10111" s="140">
        <v>250000.0</v>
      </c>
      <c r="H10111" s="74"/>
      <c r="I10111" s="74">
        <f t="shared" si="7"/>
        <v>250000</v>
      </c>
      <c r="J10111" s="74">
        <f>IF(E10111="SERVICE",I10111-(I10111*50%),Vlookup(E10111,DATABASE!C:Q,10,false)*F10111)</f>
        <v>0</v>
      </c>
      <c r="K10111" s="74">
        <f>VLOOKUP(E10111,DATABASE!C:Q,7,false)</f>
        <v>209816.66</v>
      </c>
      <c r="L10111" s="74">
        <v>209816.66</v>
      </c>
      <c r="M10111" s="74">
        <f t="shared" si="6"/>
        <v>210000</v>
      </c>
      <c r="N10111" s="74">
        <f t="shared" si="3"/>
        <v>40000</v>
      </c>
      <c r="O10111" s="65" t="str">
        <f>VLOOKUP(E10111,DATABASE!C:Q,8,false)</f>
        <v>NON</v>
      </c>
      <c r="P10111" s="65">
        <f>VLOOKUP(E10111,DATABASE!C:Q,9,False)</f>
        <v>0</v>
      </c>
      <c r="Q10111" s="93" t="str">
        <f>VLOOKUP(E10111,DATABASE!C:Q,4,false)</f>
        <v>Pertamina</v>
      </c>
      <c r="R10111" s="93" t="str">
        <f>VLOOKUP(E10111,DATABASE!C:Q,11,false)</f>
        <v>OIL</v>
      </c>
    </row>
    <row r="10112" ht="22.5" customHeight="1">
      <c r="A10112" s="49"/>
      <c r="C10112" s="400">
        <v>46266.0</v>
      </c>
      <c r="D10112" s="69" t="s">
        <v>2921</v>
      </c>
      <c r="E10112" s="544" t="s">
        <v>304</v>
      </c>
      <c r="F10112" s="387">
        <v>1.0</v>
      </c>
      <c r="G10112" s="140">
        <v>25000.0</v>
      </c>
      <c r="H10112" s="74"/>
      <c r="I10112" s="74">
        <f t="shared" si="7"/>
        <v>25000</v>
      </c>
      <c r="J10112" s="74">
        <f>IF(E10112="SERVICE",I10112-(I10112*50%),Vlookup(E10112,DATABASE!C:Q,10,false)*F10112)</f>
        <v>0</v>
      </c>
      <c r="K10112" s="74">
        <f>VLOOKUP(E10112,DATABASE!C:Q,7,false)</f>
        <v>18900</v>
      </c>
      <c r="L10112" s="74">
        <v>18900.0</v>
      </c>
      <c r="M10112" s="74">
        <f t="shared" si="6"/>
        <v>20000</v>
      </c>
      <c r="N10112" s="74">
        <f t="shared" si="3"/>
        <v>5000</v>
      </c>
      <c r="O10112" s="65" t="str">
        <f>VLOOKUP(E10112,DATABASE!C:Q,8,false)</f>
        <v>NON VPT</v>
      </c>
      <c r="P10112" s="65">
        <f>VLOOKUP(E10112,DATABASE!C:Q,9,False)</f>
        <v>0</v>
      </c>
      <c r="Q10112" s="93" t="str">
        <f>VLOOKUP(E10112,DATABASE!C:Q,4,false)</f>
        <v>ICOSON</v>
      </c>
      <c r="R10112" s="93" t="str">
        <f>VLOOKUP(E10112,DATABASE!C:Q,11,false)</f>
        <v>COMPLEMENTARY</v>
      </c>
    </row>
    <row r="10113" ht="22.5" customHeight="1">
      <c r="A10113" s="49"/>
      <c r="C10113" s="400">
        <v>46266.0</v>
      </c>
      <c r="D10113" s="69" t="s">
        <v>2922</v>
      </c>
      <c r="E10113" s="544" t="s">
        <v>248</v>
      </c>
      <c r="F10113" s="387">
        <v>1.0</v>
      </c>
      <c r="G10113" s="140">
        <v>250000.0</v>
      </c>
      <c r="H10113" s="74"/>
      <c r="I10113" s="74">
        <f t="shared" si="7"/>
        <v>250000</v>
      </c>
      <c r="J10113" s="74">
        <f>IF(E10113="SERVICE",I10113-(I10113*50%),Vlookup(E10113,DATABASE!C:Q,10,false)*F10113)</f>
        <v>0</v>
      </c>
      <c r="K10113" s="74">
        <f>VLOOKUP(E10113,DATABASE!C:Q,7,false)</f>
        <v>209816.66</v>
      </c>
      <c r="L10113" s="74">
        <v>209816.66</v>
      </c>
      <c r="M10113" s="74">
        <f t="shared" si="6"/>
        <v>210000</v>
      </c>
      <c r="N10113" s="74">
        <f t="shared" si="3"/>
        <v>40000</v>
      </c>
      <c r="O10113" s="65" t="str">
        <f>VLOOKUP(E10113,DATABASE!C:Q,8,false)</f>
        <v>NON</v>
      </c>
      <c r="P10113" s="65">
        <f>VLOOKUP(E10113,DATABASE!C:Q,9,False)</f>
        <v>0</v>
      </c>
      <c r="Q10113" s="93" t="str">
        <f>VLOOKUP(E10113,DATABASE!C:Q,4,false)</f>
        <v>Pertamina</v>
      </c>
      <c r="R10113" s="93" t="str">
        <f>VLOOKUP(E10113,DATABASE!C:Q,11,false)</f>
        <v>OIL</v>
      </c>
    </row>
    <row r="10114" ht="22.5" customHeight="1">
      <c r="A10114" s="49"/>
      <c r="C10114" s="400">
        <v>46266.0</v>
      </c>
      <c r="D10114" s="69" t="s">
        <v>2923</v>
      </c>
      <c r="E10114" s="544" t="s">
        <v>258</v>
      </c>
      <c r="F10114" s="387">
        <v>1.0</v>
      </c>
      <c r="G10114" s="140">
        <v>385000.0</v>
      </c>
      <c r="H10114" s="74"/>
      <c r="I10114" s="74">
        <f t="shared" si="7"/>
        <v>385000</v>
      </c>
      <c r="J10114" s="74">
        <f>IF(E10114="SERVICE",I10114-(I10114*50%),Vlookup(E10114,DATABASE!C:Q,10,false)*F10114)</f>
        <v>0</v>
      </c>
      <c r="K10114" s="74">
        <f>VLOOKUP(E10114,DATABASE!C:Q,7,false)</f>
        <v>74700</v>
      </c>
      <c r="L10114" s="74">
        <v>74700.0</v>
      </c>
      <c r="M10114" s="74">
        <f t="shared" si="6"/>
        <v>75000</v>
      </c>
      <c r="N10114" s="74">
        <f t="shared" si="3"/>
        <v>310000</v>
      </c>
      <c r="O10114" s="65" t="str">
        <f>VLOOKUP(E10114,DATABASE!C:Q,8,false)</f>
        <v>NON</v>
      </c>
      <c r="P10114" s="65">
        <f>VLOOKUP(E10114,DATABASE!C:Q,9,False)</f>
        <v>0</v>
      </c>
      <c r="Q10114" s="93" t="str">
        <f>VLOOKUP(E10114,DATABASE!C:Q,4,false)</f>
        <v>Shell</v>
      </c>
      <c r="R10114" s="93" t="str">
        <f>VLOOKUP(E10114,DATABASE!C:Q,11,false)</f>
        <v>OIL</v>
      </c>
    </row>
    <row r="10115" ht="22.5" customHeight="1">
      <c r="A10115" s="49"/>
      <c r="C10115" s="400">
        <v>46266.0</v>
      </c>
      <c r="D10115" s="69" t="s">
        <v>2923</v>
      </c>
      <c r="E10115" s="544" t="s">
        <v>298</v>
      </c>
      <c r="F10115" s="387">
        <v>1.0</v>
      </c>
      <c r="G10115" s="140">
        <v>25000.0</v>
      </c>
      <c r="H10115" s="74"/>
      <c r="I10115" s="74">
        <f t="shared" si="7"/>
        <v>25000</v>
      </c>
      <c r="J10115" s="74">
        <f>IF(E10115="SERVICE",I10115-(I10115*50%),Vlookup(E10115,DATABASE!C:Q,10,false)*F10115)</f>
        <v>0</v>
      </c>
      <c r="K10115" s="74">
        <f>VLOOKUP(E10115,DATABASE!C:Q,7,false)</f>
        <v>19200</v>
      </c>
      <c r="L10115" s="74">
        <v>19200.0</v>
      </c>
      <c r="M10115" s="74">
        <f t="shared" si="6"/>
        <v>20000</v>
      </c>
      <c r="N10115" s="74">
        <f t="shared" si="3"/>
        <v>5000</v>
      </c>
      <c r="O10115" s="65" t="str">
        <f>VLOOKUP(E10115,DATABASE!C:Q,8,false)</f>
        <v>BIAN</v>
      </c>
      <c r="P10115" s="65">
        <f>VLOOKUP(E10115,DATABASE!C:Q,9,False)</f>
        <v>0</v>
      </c>
      <c r="Q10115" s="93" t="str">
        <f>VLOOKUP(E10115,DATABASE!C:Q,4,false)</f>
        <v>Aspira</v>
      </c>
      <c r="R10115" s="93" t="str">
        <f>VLOOKUP(E10115,DATABASE!C:Q,11,false)</f>
        <v>COMPLEMENTARY</v>
      </c>
    </row>
    <row r="10116" ht="22.5" customHeight="1">
      <c r="A10116" s="49"/>
      <c r="C10116" s="400">
        <v>46267.0</v>
      </c>
      <c r="D10116" s="69">
        <v>779.0</v>
      </c>
      <c r="E10116" s="544" t="s">
        <v>279</v>
      </c>
      <c r="F10116" s="387">
        <v>1.0</v>
      </c>
      <c r="G10116" s="140">
        <v>700000.0</v>
      </c>
      <c r="H10116" s="74"/>
      <c r="I10116" s="74">
        <f t="shared" si="7"/>
        <v>700000</v>
      </c>
      <c r="J10116" s="74">
        <f>IF(E10116="SERVICE",I10116-(I10116*50%),Vlookup(E10116,DATABASE!C:Q,10,false)*F10116)</f>
        <v>0</v>
      </c>
      <c r="K10116" s="74">
        <f>VLOOKUP(E10116,DATABASE!C:Q,7,false)</f>
        <v>623000</v>
      </c>
      <c r="L10116" s="74">
        <v>602000.0</v>
      </c>
      <c r="M10116" s="74">
        <f t="shared" si="6"/>
        <v>605000</v>
      </c>
      <c r="N10116" s="74">
        <f t="shared" si="3"/>
        <v>95000</v>
      </c>
      <c r="O10116" s="65" t="str">
        <f>VLOOKUP(E10116,DATABASE!C:Q,8,false)</f>
        <v>IBU</v>
      </c>
      <c r="P10116" s="65">
        <f>VLOOKUP(E10116,DATABASE!C:Q,9,False)</f>
        <v>1</v>
      </c>
      <c r="Q10116" s="93" t="str">
        <f>VLOOKUP(E10116,DATABASE!C:Q,4,false)</f>
        <v>Dunlop</v>
      </c>
      <c r="R10116" s="93" t="str">
        <f>VLOOKUP(E10116,DATABASE!C:Q,11,false)</f>
        <v>Tire</v>
      </c>
    </row>
    <row r="10117" ht="22.5" customHeight="1">
      <c r="A10117" s="49"/>
      <c r="C10117" s="400">
        <v>46267.0</v>
      </c>
      <c r="D10117" s="69">
        <v>780.0</v>
      </c>
      <c r="E10117" s="544" t="s">
        <v>299</v>
      </c>
      <c r="F10117" s="387">
        <v>2.0</v>
      </c>
      <c r="G10117" s="140">
        <v>25000.0</v>
      </c>
      <c r="H10117" s="74"/>
      <c r="I10117" s="74">
        <f t="shared" si="7"/>
        <v>50000</v>
      </c>
      <c r="J10117" s="74">
        <f>IF(E10117="SERVICE",I10117-(I10117*50%),Vlookup(E10117,DATABASE!C:Q,10,false)*F10117)</f>
        <v>0</v>
      </c>
      <c r="K10117" s="74">
        <f>VLOOKUP(E10117,DATABASE!C:Q,7,false)</f>
        <v>10000</v>
      </c>
      <c r="L10117" s="74">
        <v>10000.0</v>
      </c>
      <c r="M10117" s="74">
        <f t="shared" si="6"/>
        <v>10000</v>
      </c>
      <c r="N10117" s="74">
        <f t="shared" si="3"/>
        <v>30000</v>
      </c>
      <c r="O10117" s="65" t="str">
        <f>VLOOKUP(E10117,DATABASE!C:Q,8,false)</f>
        <v>BIAN</v>
      </c>
      <c r="P10117" s="65">
        <f>VLOOKUP(E10117,DATABASE!C:Q,9,False)</f>
        <v>0</v>
      </c>
      <c r="Q10117" s="93" t="str">
        <f>VLOOKUP(E10117,DATABASE!C:Q,4,false)</f>
        <v>Balancing</v>
      </c>
      <c r="R10117" s="93" t="str">
        <f>VLOOKUP(E10117,DATABASE!C:Q,11,false)</f>
        <v>COMPLEMENTARY</v>
      </c>
    </row>
    <row r="10118" ht="22.5" customHeight="1">
      <c r="A10118" s="49"/>
      <c r="C10118" s="400">
        <v>46267.0</v>
      </c>
      <c r="D10118" s="69">
        <v>780.0</v>
      </c>
      <c r="E10118" s="544" t="s">
        <v>256</v>
      </c>
      <c r="F10118" s="387">
        <v>1.0</v>
      </c>
      <c r="G10118" s="140">
        <v>150000.0</v>
      </c>
      <c r="H10118" s="74"/>
      <c r="I10118" s="74">
        <f t="shared" si="7"/>
        <v>150000</v>
      </c>
      <c r="J10118" s="74">
        <f>IF(E10118="SERVICE",I10118-(I10118*50%),Vlookup(E10118,DATABASE!C:Q,10,false)*F10118)</f>
        <v>10000</v>
      </c>
      <c r="K10118" s="74">
        <f>VLOOKUP(E10118,DATABASE!C:Q,7,false)</f>
        <v>0</v>
      </c>
      <c r="L10118" s="74">
        <v>0.0</v>
      </c>
      <c r="M10118" s="74">
        <f t="shared" si="6"/>
        <v>0</v>
      </c>
      <c r="N10118" s="74">
        <f t="shared" si="3"/>
        <v>140000</v>
      </c>
      <c r="O10118" s="65" t="str">
        <f>VLOOKUP(E10118,DATABASE!C:Q,8,false)</f>
        <v>IBU</v>
      </c>
      <c r="P10118" s="65">
        <f>VLOOKUP(E10118,DATABASE!C:Q,9,False)</f>
        <v>0</v>
      </c>
      <c r="Q10118" s="93" t="str">
        <f>VLOOKUP(E10118,DATABASE!C:Q,4,false)</f>
        <v>SPOORING</v>
      </c>
      <c r="R10118" s="93" t="str">
        <f>VLOOKUP(E10118,DATABASE!C:Q,11,false)</f>
        <v>SERVICE</v>
      </c>
    </row>
    <row r="10119" ht="22.5" customHeight="1">
      <c r="A10119" s="49"/>
      <c r="C10119" s="400">
        <v>46267.0</v>
      </c>
      <c r="D10119" s="69">
        <v>781.0</v>
      </c>
      <c r="E10119" s="544" t="s">
        <v>299</v>
      </c>
      <c r="F10119" s="387">
        <v>4.0</v>
      </c>
      <c r="G10119" s="140">
        <v>30000.0</v>
      </c>
      <c r="H10119" s="74"/>
      <c r="I10119" s="74">
        <f t="shared" si="7"/>
        <v>120000</v>
      </c>
      <c r="J10119" s="74">
        <f>IF(E10119="SERVICE",I10119-(I10119*50%),Vlookup(E10119,DATABASE!C:Q,10,false)*F10119)</f>
        <v>0</v>
      </c>
      <c r="K10119" s="74">
        <f>VLOOKUP(E10119,DATABASE!C:Q,7,false)</f>
        <v>10000</v>
      </c>
      <c r="L10119" s="74">
        <v>10000.0</v>
      </c>
      <c r="M10119" s="74">
        <f t="shared" si="6"/>
        <v>10000</v>
      </c>
      <c r="N10119" s="74">
        <f t="shared" si="3"/>
        <v>80000</v>
      </c>
      <c r="O10119" s="65" t="str">
        <f>VLOOKUP(E10119,DATABASE!C:Q,8,false)</f>
        <v>BIAN</v>
      </c>
      <c r="P10119" s="65">
        <f>VLOOKUP(E10119,DATABASE!C:Q,9,False)</f>
        <v>0</v>
      </c>
      <c r="Q10119" s="93" t="str">
        <f>VLOOKUP(E10119,DATABASE!C:Q,4,false)</f>
        <v>Balancing</v>
      </c>
      <c r="R10119" s="93" t="str">
        <f>VLOOKUP(E10119,DATABASE!C:Q,11,false)</f>
        <v>COMPLEMENTARY</v>
      </c>
    </row>
    <row r="10120" ht="22.5" customHeight="1">
      <c r="A10120" s="49"/>
      <c r="C10120" s="400">
        <v>46267.0</v>
      </c>
      <c r="D10120" s="69">
        <v>782.0</v>
      </c>
      <c r="E10120" s="544" t="s">
        <v>279</v>
      </c>
      <c r="F10120" s="387">
        <v>2.0</v>
      </c>
      <c r="G10120" s="140">
        <v>700000.0</v>
      </c>
      <c r="H10120" s="74"/>
      <c r="I10120" s="74">
        <f t="shared" si="7"/>
        <v>1400000</v>
      </c>
      <c r="J10120" s="74">
        <f>IF(E10120="SERVICE",I10120-(I10120*50%),Vlookup(E10120,DATABASE!C:Q,10,false)*F10120)</f>
        <v>0</v>
      </c>
      <c r="K10120" s="74">
        <f>VLOOKUP(E10120,DATABASE!C:Q,7,false)</f>
        <v>623000</v>
      </c>
      <c r="L10120" s="74">
        <v>602000.0</v>
      </c>
      <c r="M10120" s="74">
        <f t="shared" si="6"/>
        <v>605000</v>
      </c>
      <c r="N10120" s="74">
        <f t="shared" si="3"/>
        <v>190000</v>
      </c>
      <c r="O10120" s="65" t="str">
        <f>VLOOKUP(E10120,DATABASE!C:Q,8,false)</f>
        <v>IBU</v>
      </c>
      <c r="P10120" s="65">
        <f>VLOOKUP(E10120,DATABASE!C:Q,9,False)</f>
        <v>1</v>
      </c>
      <c r="Q10120" s="93" t="str">
        <f>VLOOKUP(E10120,DATABASE!C:Q,4,false)</f>
        <v>Dunlop</v>
      </c>
      <c r="R10120" s="93" t="str">
        <f>VLOOKUP(E10120,DATABASE!C:Q,11,false)</f>
        <v>Tire</v>
      </c>
    </row>
    <row r="10121" ht="22.5" customHeight="1">
      <c r="A10121" s="49"/>
      <c r="C10121" s="400">
        <v>46267.0</v>
      </c>
      <c r="D10121" s="69">
        <v>783.0</v>
      </c>
      <c r="E10121" s="544" t="s">
        <v>288</v>
      </c>
      <c r="F10121" s="387">
        <v>2.0</v>
      </c>
      <c r="G10121" s="140">
        <v>640000.0</v>
      </c>
      <c r="H10121" s="74"/>
      <c r="I10121" s="74">
        <f t="shared" si="7"/>
        <v>1280000</v>
      </c>
      <c r="J10121" s="74">
        <f>IF(E10121="SERVICE",I10121-(I10121*50%),Vlookup(E10121,DATABASE!C:Q,10,false)*F10121)</f>
        <v>0</v>
      </c>
      <c r="K10121" s="74">
        <f>VLOOKUP(E10121,DATABASE!C:Q,7,false)</f>
        <v>565760</v>
      </c>
      <c r="L10121" s="74">
        <v>548100.0</v>
      </c>
      <c r="M10121" s="74">
        <f t="shared" si="6"/>
        <v>550000</v>
      </c>
      <c r="N10121" s="74">
        <f t="shared" si="3"/>
        <v>180000</v>
      </c>
      <c r="O10121" s="65" t="str">
        <f>VLOOKUP(E10121,DATABASE!C:Q,8,false)</f>
        <v>BIAN</v>
      </c>
      <c r="P10121" s="65">
        <f>VLOOKUP(E10121,DATABASE!C:Q,9,False)</f>
        <v>1</v>
      </c>
      <c r="Q10121" s="93" t="str">
        <f>VLOOKUP(E10121,DATABASE!C:Q,4,false)</f>
        <v>GT</v>
      </c>
      <c r="R10121" s="93" t="str">
        <f>VLOOKUP(E10121,DATABASE!C:Q,11,false)</f>
        <v>Tire</v>
      </c>
    </row>
    <row r="10122" ht="22.5" customHeight="1">
      <c r="A10122" s="49"/>
      <c r="C10122" s="400">
        <v>46267.0</v>
      </c>
      <c r="D10122" s="69">
        <v>784.0</v>
      </c>
      <c r="E10122" s="544" t="s">
        <v>294</v>
      </c>
      <c r="F10122" s="387">
        <v>4.0</v>
      </c>
      <c r="G10122" s="140">
        <v>590000.0</v>
      </c>
      <c r="H10122" s="74"/>
      <c r="I10122" s="74">
        <f t="shared" si="7"/>
        <v>2360000</v>
      </c>
      <c r="J10122" s="74">
        <f>IF(E10122="SERVICE",I10122-(I10122*50%),Vlookup(E10122,DATABASE!C:Q,10,false)*F10122)</f>
        <v>0</v>
      </c>
      <c r="K10122" s="74">
        <f>VLOOKUP(E10122,DATABASE!C:Q,7,false)</f>
        <v>505000</v>
      </c>
      <c r="L10122" s="74">
        <v>505000.0</v>
      </c>
      <c r="M10122" s="74">
        <f t="shared" si="6"/>
        <v>505000</v>
      </c>
      <c r="N10122" s="74">
        <f t="shared" si="3"/>
        <v>340000</v>
      </c>
      <c r="O10122" s="65" t="str">
        <f>VLOOKUP(E10122,DATABASE!C:Q,8,false)</f>
        <v>BIAN</v>
      </c>
      <c r="P10122" s="65">
        <f>VLOOKUP(E10122,DATABASE!C:Q,9,False)</f>
        <v>1</v>
      </c>
      <c r="Q10122" s="93" t="str">
        <f>VLOOKUP(E10122,DATABASE!C:Q,4,false)</f>
        <v>GT</v>
      </c>
      <c r="R10122" s="93" t="str">
        <f>VLOOKUP(E10122,DATABASE!C:Q,11,false)</f>
        <v>Tire</v>
      </c>
    </row>
    <row r="10123" ht="22.5" customHeight="1">
      <c r="A10123" s="49"/>
      <c r="C10123" s="400">
        <v>46267.0</v>
      </c>
      <c r="D10123" s="69">
        <v>785.0</v>
      </c>
      <c r="E10123" s="544" t="s">
        <v>255</v>
      </c>
      <c r="F10123" s="387">
        <v>1.0</v>
      </c>
      <c r="G10123" s="140">
        <v>200000.0</v>
      </c>
      <c r="H10123" s="74"/>
      <c r="I10123" s="74">
        <f t="shared" si="7"/>
        <v>200000</v>
      </c>
      <c r="J10123" s="74">
        <f>IF(E10123="SERVICE",I10123-(I10123*50%),Vlookup(E10123,DATABASE!C:Q,10,false)*F10123)</f>
        <v>0</v>
      </c>
      <c r="K10123" s="74">
        <f>VLOOKUP(E10123,DATABASE!C:Q,7,false)</f>
        <v>161840</v>
      </c>
      <c r="L10123" s="74">
        <v>161840.0</v>
      </c>
      <c r="M10123" s="74">
        <f t="shared" si="6"/>
        <v>165000</v>
      </c>
      <c r="N10123" s="74">
        <f t="shared" si="3"/>
        <v>35000</v>
      </c>
      <c r="O10123" s="65" t="str">
        <f>VLOOKUP(E10123,DATABASE!C:Q,8,false)</f>
        <v>BIAN</v>
      </c>
      <c r="P10123" s="65">
        <f>VLOOKUP(E10123,DATABASE!C:Q,9,False)</f>
        <v>1</v>
      </c>
      <c r="Q10123" s="93" t="str">
        <f>VLOOKUP(E10123,DATABASE!C:Q,4,false)</f>
        <v>BD</v>
      </c>
      <c r="R10123" s="93" t="str">
        <f>VLOOKUP(E10123,DATABASE!C:Q,11,false)</f>
        <v>Tire</v>
      </c>
    </row>
    <row r="10124" ht="22.5" customHeight="1">
      <c r="A10124" s="49"/>
      <c r="C10124" s="400">
        <v>46267.0</v>
      </c>
      <c r="D10124" s="69">
        <v>785.0</v>
      </c>
      <c r="E10124" s="544" t="s">
        <v>284</v>
      </c>
      <c r="F10124" s="387">
        <v>1.0</v>
      </c>
      <c r="G10124" s="140">
        <v>70000.0</v>
      </c>
      <c r="H10124" s="74"/>
      <c r="I10124" s="74">
        <f t="shared" si="7"/>
        <v>70000</v>
      </c>
      <c r="J10124" s="74">
        <f>IF(E10124="SERVICE",I10124-(I10124*50%),Vlookup(E10124,DATABASE!C:Q,10,false)*F10124)</f>
        <v>0</v>
      </c>
      <c r="K10124" s="74">
        <f>VLOOKUP(E10124,DATABASE!C:Q,7,false)</f>
        <v>36630</v>
      </c>
      <c r="L10124" s="74">
        <v>36630.0</v>
      </c>
      <c r="M10124" s="74">
        <f t="shared" si="6"/>
        <v>40000</v>
      </c>
      <c r="N10124" s="74">
        <f t="shared" si="3"/>
        <v>30000</v>
      </c>
      <c r="O10124" s="65" t="str">
        <f>VLOOKUP(E10124,DATABASE!C:Q,8,false)</f>
        <v>BIAN</v>
      </c>
      <c r="P10124" s="65">
        <f>VLOOKUP(E10124,DATABASE!C:Q,9,False)</f>
        <v>1</v>
      </c>
      <c r="Q10124" s="93" t="str">
        <f>VLOOKUP(E10124,DATABASE!C:Q,4,false)</f>
        <v>Flap</v>
      </c>
      <c r="R10124" s="93" t="str">
        <f>VLOOKUP(E10124,DATABASE!C:Q,11,false)</f>
        <v>Tire</v>
      </c>
    </row>
    <row r="10125" ht="22.5" customHeight="1">
      <c r="A10125" s="49"/>
      <c r="C10125" s="400">
        <v>46267.0</v>
      </c>
      <c r="D10125" s="69">
        <v>786.0</v>
      </c>
      <c r="E10125" s="544" t="s">
        <v>268</v>
      </c>
      <c r="F10125" s="387">
        <v>2.0</v>
      </c>
      <c r="G10125" s="140">
        <v>720000.0</v>
      </c>
      <c r="H10125" s="74"/>
      <c r="I10125" s="74">
        <f t="shared" si="7"/>
        <v>1440000</v>
      </c>
      <c r="J10125" s="74">
        <f>IF(E10125="SERVICE",I10125-(I10125*50%),Vlookup(E10125,DATABASE!C:Q,10,false)*F10125)</f>
        <v>0</v>
      </c>
      <c r="K10125" s="74">
        <f>VLOOKUP(E10125,DATABASE!C:Q,7,false)</f>
        <v>653000</v>
      </c>
      <c r="L10125" s="74">
        <v>634500.0</v>
      </c>
      <c r="M10125" s="74">
        <f t="shared" si="6"/>
        <v>635000</v>
      </c>
      <c r="N10125" s="74">
        <f t="shared" si="3"/>
        <v>170000</v>
      </c>
      <c r="O10125" s="65" t="str">
        <f>VLOOKUP(E10125,DATABASE!C:Q,8,false)</f>
        <v>IBU</v>
      </c>
      <c r="P10125" s="65">
        <f>VLOOKUP(E10125,DATABASE!C:Q,9,False)</f>
        <v>1</v>
      </c>
      <c r="Q10125" s="93" t="str">
        <f>VLOOKUP(E10125,DATABASE!C:Q,4,false)</f>
        <v>Dunlop</v>
      </c>
      <c r="R10125" s="93" t="str">
        <f>VLOOKUP(E10125,DATABASE!C:Q,11,false)</f>
        <v>Tire</v>
      </c>
    </row>
    <row r="10126" ht="22.5" customHeight="1">
      <c r="A10126" s="49"/>
      <c r="C10126" s="400">
        <v>46267.0</v>
      </c>
      <c r="D10126" s="69">
        <v>787.0</v>
      </c>
      <c r="E10126" s="544" t="s">
        <v>268</v>
      </c>
      <c r="F10126" s="387">
        <v>2.0</v>
      </c>
      <c r="G10126" s="140">
        <v>710000.0</v>
      </c>
      <c r="H10126" s="74"/>
      <c r="I10126" s="74">
        <f t="shared" si="7"/>
        <v>1420000</v>
      </c>
      <c r="J10126" s="74">
        <f>IF(E10126="SERVICE",I10126-(I10126*50%),Vlookup(E10126,DATABASE!C:Q,10,false)*F10126)</f>
        <v>0</v>
      </c>
      <c r="K10126" s="74">
        <f>VLOOKUP(E10126,DATABASE!C:Q,7,false)</f>
        <v>653000</v>
      </c>
      <c r="L10126" s="140">
        <v>622000.0</v>
      </c>
      <c r="M10126" s="74">
        <f t="shared" si="6"/>
        <v>625000</v>
      </c>
      <c r="N10126" s="74">
        <f t="shared" si="3"/>
        <v>170000</v>
      </c>
      <c r="O10126" s="65" t="str">
        <f>VLOOKUP(E10126,DATABASE!C:Q,8,false)</f>
        <v>IBU</v>
      </c>
      <c r="P10126" s="65">
        <f>VLOOKUP(E10126,DATABASE!C:Q,9,False)</f>
        <v>1</v>
      </c>
      <c r="Q10126" s="93" t="str">
        <f>VLOOKUP(E10126,DATABASE!C:Q,4,false)</f>
        <v>Dunlop</v>
      </c>
      <c r="R10126" s="93" t="str">
        <f>VLOOKUP(E10126,DATABASE!C:Q,11,false)</f>
        <v>Tire</v>
      </c>
    </row>
    <row r="10127" ht="22.5" customHeight="1">
      <c r="A10127" s="49"/>
      <c r="C10127" s="400">
        <v>46267.0</v>
      </c>
      <c r="D10127" s="69">
        <v>788.0</v>
      </c>
      <c r="E10127" s="544" t="s">
        <v>256</v>
      </c>
      <c r="F10127" s="387">
        <v>1.0</v>
      </c>
      <c r="G10127" s="140">
        <v>150000.0</v>
      </c>
      <c r="H10127" s="74"/>
      <c r="I10127" s="74">
        <f t="shared" si="7"/>
        <v>150000</v>
      </c>
      <c r="J10127" s="74">
        <f>IF(E10127="SERVICE",I10127-(I10127*50%),Vlookup(E10127,DATABASE!C:Q,10,false)*F10127)</f>
        <v>10000</v>
      </c>
      <c r="K10127" s="74">
        <f>VLOOKUP(E10127,DATABASE!C:Q,7,false)</f>
        <v>0</v>
      </c>
      <c r="L10127" s="74">
        <v>0.0</v>
      </c>
      <c r="M10127" s="74">
        <f t="shared" si="6"/>
        <v>0</v>
      </c>
      <c r="N10127" s="74">
        <f t="shared" si="3"/>
        <v>140000</v>
      </c>
      <c r="O10127" s="65" t="str">
        <f>VLOOKUP(E10127,DATABASE!C:Q,8,false)</f>
        <v>IBU</v>
      </c>
      <c r="P10127" s="65">
        <f>VLOOKUP(E10127,DATABASE!C:Q,9,False)</f>
        <v>0</v>
      </c>
      <c r="Q10127" s="93" t="str">
        <f>VLOOKUP(E10127,DATABASE!C:Q,4,false)</f>
        <v>SPOORING</v>
      </c>
      <c r="R10127" s="93" t="str">
        <f>VLOOKUP(E10127,DATABASE!C:Q,11,false)</f>
        <v>SERVICE</v>
      </c>
    </row>
    <row r="10128" ht="22.5" customHeight="1">
      <c r="A10128" s="49"/>
      <c r="C10128" s="400">
        <v>46267.0</v>
      </c>
      <c r="D10128" s="69">
        <v>788.0</v>
      </c>
      <c r="E10128" s="544" t="s">
        <v>251</v>
      </c>
      <c r="F10128" s="387">
        <v>1.0</v>
      </c>
      <c r="G10128" s="140">
        <v>150000.0</v>
      </c>
      <c r="H10128" s="74"/>
      <c r="I10128" s="74">
        <f t="shared" si="7"/>
        <v>150000</v>
      </c>
      <c r="J10128" s="74">
        <f>IF(E10128="SERVICE",I10128-(I10128*50%),Vlookup(E10128,DATABASE!C:Q,10,false)*F10128)</f>
        <v>75000</v>
      </c>
      <c r="K10128" s="74">
        <f>VLOOKUP(E10128,DATABASE!C:Q,7,false)</f>
        <v>0</v>
      </c>
      <c r="L10128" s="74">
        <v>0.0</v>
      </c>
      <c r="M10128" s="74">
        <f t="shared" si="6"/>
        <v>0</v>
      </c>
      <c r="N10128" s="74">
        <f t="shared" si="3"/>
        <v>75000</v>
      </c>
      <c r="O10128" s="65" t="str">
        <f>VLOOKUP(E10128,DATABASE!C:Q,8,false)</f>
        <v>IBU</v>
      </c>
      <c r="P10128" s="65">
        <f>VLOOKUP(E10128,DATABASE!C:Q,9,False)</f>
        <v>0</v>
      </c>
      <c r="Q10128" s="93" t="str">
        <f>VLOOKUP(E10128,DATABASE!C:Q,4,false)</f>
        <v>SERVICE</v>
      </c>
      <c r="R10128" s="93" t="str">
        <f>VLOOKUP(E10128,DATABASE!C:Q,11,false)</f>
        <v>SERVICE</v>
      </c>
    </row>
    <row r="10129" ht="22.5" customHeight="1">
      <c r="A10129" s="49"/>
      <c r="C10129" s="400">
        <v>46267.0</v>
      </c>
      <c r="D10129" s="69">
        <v>788.0</v>
      </c>
      <c r="E10129" s="544" t="s">
        <v>299</v>
      </c>
      <c r="F10129" s="387">
        <v>2.0</v>
      </c>
      <c r="G10129" s="140">
        <v>30000.0</v>
      </c>
      <c r="H10129" s="74"/>
      <c r="I10129" s="74">
        <f t="shared" si="7"/>
        <v>60000</v>
      </c>
      <c r="J10129" s="74">
        <f>IF(E10129="SERVICE",I10129-(I10129*50%),Vlookup(E10129,DATABASE!C:Q,10,false)*F10129)</f>
        <v>0</v>
      </c>
      <c r="K10129" s="74">
        <f>VLOOKUP(E10129,DATABASE!C:Q,7,false)</f>
        <v>10000</v>
      </c>
      <c r="L10129" s="74">
        <v>10000.0</v>
      </c>
      <c r="M10129" s="74">
        <f t="shared" si="6"/>
        <v>10000</v>
      </c>
      <c r="N10129" s="74">
        <f t="shared" si="3"/>
        <v>40000</v>
      </c>
      <c r="O10129" s="65" t="str">
        <f>VLOOKUP(E10129,DATABASE!C:Q,8,false)</f>
        <v>BIAN</v>
      </c>
      <c r="P10129" s="65">
        <f>VLOOKUP(E10129,DATABASE!C:Q,9,False)</f>
        <v>0</v>
      </c>
      <c r="Q10129" s="93" t="str">
        <f>VLOOKUP(E10129,DATABASE!C:Q,4,false)</f>
        <v>Balancing</v>
      </c>
      <c r="R10129" s="93" t="str">
        <f>VLOOKUP(E10129,DATABASE!C:Q,11,false)</f>
        <v>COMPLEMENTARY</v>
      </c>
    </row>
    <row r="10130" ht="22.5" customHeight="1">
      <c r="A10130" s="49"/>
      <c r="C10130" s="400">
        <v>46267.0</v>
      </c>
      <c r="D10130" s="69" t="s">
        <v>2924</v>
      </c>
      <c r="E10130" s="544" t="s">
        <v>263</v>
      </c>
      <c r="F10130" s="387">
        <v>1.0</v>
      </c>
      <c r="G10130" s="140">
        <v>385000.0</v>
      </c>
      <c r="H10130" s="74"/>
      <c r="I10130" s="74">
        <f t="shared" si="7"/>
        <v>385000</v>
      </c>
      <c r="J10130" s="74">
        <f>IF(E10130="SERVICE",I10130-(I10130*50%),Vlookup(E10130,DATABASE!C:Q,10,false)*F10130)</f>
        <v>0</v>
      </c>
      <c r="K10130" s="74">
        <f>VLOOKUP(E10130,DATABASE!C:Q,7,false)</f>
        <v>334916</v>
      </c>
      <c r="L10130" s="74">
        <v>334916.0</v>
      </c>
      <c r="M10130" s="74">
        <f t="shared" si="6"/>
        <v>335000</v>
      </c>
      <c r="N10130" s="74">
        <f t="shared" si="3"/>
        <v>50000</v>
      </c>
      <c r="O10130" s="65" t="str">
        <f>VLOOKUP(E10130,DATABASE!C:Q,8,false)</f>
        <v>NON</v>
      </c>
      <c r="P10130" s="65">
        <f>VLOOKUP(E10130,DATABASE!C:Q,9,False)</f>
        <v>0</v>
      </c>
      <c r="Q10130" s="93" t="str">
        <f>VLOOKUP(E10130,DATABASE!C:Q,4,false)</f>
        <v>Shell</v>
      </c>
      <c r="R10130" s="93" t="str">
        <f>VLOOKUP(E10130,DATABASE!C:Q,11,false)</f>
        <v>OIL</v>
      </c>
    </row>
    <row r="10131" ht="22.5" customHeight="1">
      <c r="A10131" s="49"/>
      <c r="C10131" s="400">
        <v>46267.0</v>
      </c>
      <c r="D10131" s="69" t="s">
        <v>2924</v>
      </c>
      <c r="E10131" s="544" t="s">
        <v>304</v>
      </c>
      <c r="F10131" s="387">
        <v>1.0</v>
      </c>
      <c r="G10131" s="140">
        <v>25000.0</v>
      </c>
      <c r="H10131" s="74"/>
      <c r="I10131" s="74">
        <f t="shared" si="7"/>
        <v>25000</v>
      </c>
      <c r="J10131" s="74">
        <f>IF(E10131="SERVICE",I10131-(I10131*50%),Vlookup(E10131,DATABASE!C:Q,10,false)*F10131)</f>
        <v>0</v>
      </c>
      <c r="K10131" s="74">
        <f>VLOOKUP(E10131,DATABASE!C:Q,7,false)</f>
        <v>18900</v>
      </c>
      <c r="L10131" s="74">
        <v>18900.0</v>
      </c>
      <c r="M10131" s="74">
        <f t="shared" si="6"/>
        <v>20000</v>
      </c>
      <c r="N10131" s="74">
        <f t="shared" si="3"/>
        <v>5000</v>
      </c>
      <c r="O10131" s="65" t="str">
        <f>VLOOKUP(E10131,DATABASE!C:Q,8,false)</f>
        <v>NON VPT</v>
      </c>
      <c r="P10131" s="65">
        <f>VLOOKUP(E10131,DATABASE!C:Q,9,False)</f>
        <v>0</v>
      </c>
      <c r="Q10131" s="93" t="str">
        <f>VLOOKUP(E10131,DATABASE!C:Q,4,false)</f>
        <v>ICOSON</v>
      </c>
      <c r="R10131" s="93" t="str">
        <f>VLOOKUP(E10131,DATABASE!C:Q,11,false)</f>
        <v>COMPLEMENTARY</v>
      </c>
    </row>
    <row r="10132" ht="22.5" customHeight="1">
      <c r="A10132" s="49"/>
      <c r="C10132" s="400">
        <v>46268.0</v>
      </c>
      <c r="D10132" s="69">
        <v>789.0</v>
      </c>
      <c r="E10132" s="544" t="s">
        <v>281</v>
      </c>
      <c r="F10132" s="387">
        <v>1.0</v>
      </c>
      <c r="G10132" s="140">
        <v>920000.0</v>
      </c>
      <c r="H10132" s="74"/>
      <c r="I10132" s="74">
        <f t="shared" si="7"/>
        <v>920000</v>
      </c>
      <c r="J10132" s="74">
        <f>IF(E10132="SERVICE",I10132-(I10132*50%),Vlookup(E10132,DATABASE!C:Q,10,false)*F10132)</f>
        <v>0</v>
      </c>
      <c r="K10132" s="74">
        <f>VLOOKUP(E10132,DATABASE!C:Q,7,false)</f>
        <v>814000</v>
      </c>
      <c r="L10132" s="74">
        <v>814000.0</v>
      </c>
      <c r="M10132" s="74">
        <f t="shared" si="6"/>
        <v>815000</v>
      </c>
      <c r="N10132" s="74">
        <f t="shared" si="3"/>
        <v>105000</v>
      </c>
      <c r="O10132" s="65" t="str">
        <f>VLOOKUP(E10132,DATABASE!C:Q,8,false)</f>
        <v>IBU</v>
      </c>
      <c r="P10132" s="65">
        <f>VLOOKUP(E10132,DATABASE!C:Q,9,False)</f>
        <v>1</v>
      </c>
      <c r="Q10132" s="93" t="str">
        <f>VLOOKUP(E10132,DATABASE!C:Q,4,false)</f>
        <v>Dunlop</v>
      </c>
      <c r="R10132" s="93" t="str">
        <f>VLOOKUP(E10132,DATABASE!C:Q,11,false)</f>
        <v>Tire</v>
      </c>
    </row>
    <row r="10133" ht="22.5" customHeight="1">
      <c r="A10133" s="49"/>
      <c r="C10133" s="400">
        <v>46268.0</v>
      </c>
      <c r="D10133" s="69">
        <v>790.0</v>
      </c>
      <c r="E10133" s="544" t="s">
        <v>275</v>
      </c>
      <c r="F10133" s="387">
        <v>1.0</v>
      </c>
      <c r="G10133" s="140">
        <v>850000.0</v>
      </c>
      <c r="H10133" s="74"/>
      <c r="I10133" s="74">
        <f t="shared" si="7"/>
        <v>850000</v>
      </c>
      <c r="J10133" s="74">
        <f>IF(E10133="SERVICE",I10133-(I10133*50%),Vlookup(E10133,DATABASE!C:Q,10,false)*F10133)</f>
        <v>0</v>
      </c>
      <c r="K10133" s="74">
        <f>VLOOKUP(E10133,DATABASE!C:Q,7,false)</f>
        <v>782000</v>
      </c>
      <c r="L10133" s="74">
        <v>759500.0</v>
      </c>
      <c r="M10133" s="74">
        <f t="shared" si="6"/>
        <v>760000</v>
      </c>
      <c r="N10133" s="74">
        <f t="shared" si="3"/>
        <v>90000</v>
      </c>
      <c r="O10133" s="65" t="str">
        <f>VLOOKUP(E10133,DATABASE!C:Q,8,false)</f>
        <v>IBU</v>
      </c>
      <c r="P10133" s="65">
        <f>VLOOKUP(E10133,DATABASE!C:Q,9,False)</f>
        <v>1</v>
      </c>
      <c r="Q10133" s="93" t="str">
        <f>VLOOKUP(E10133,DATABASE!C:Q,4,false)</f>
        <v>Dunlop</v>
      </c>
      <c r="R10133" s="93" t="str">
        <f>VLOOKUP(E10133,DATABASE!C:Q,11,false)</f>
        <v>Tire</v>
      </c>
    </row>
    <row r="10134" ht="22.5" customHeight="1">
      <c r="A10134" s="49"/>
      <c r="C10134" s="400">
        <v>46268.0</v>
      </c>
      <c r="D10134" s="69">
        <v>790.0</v>
      </c>
      <c r="E10134" s="544" t="s">
        <v>262</v>
      </c>
      <c r="F10134" s="387">
        <v>1.0</v>
      </c>
      <c r="G10134" s="140">
        <v>130000.0</v>
      </c>
      <c r="H10134" s="74"/>
      <c r="I10134" s="74">
        <f t="shared" si="7"/>
        <v>130000</v>
      </c>
      <c r="J10134" s="74">
        <f>IF(E10134="SERVICE",I10134-(I10134*50%),Vlookup(E10134,DATABASE!C:Q,10,false)*F10134)</f>
        <v>5000</v>
      </c>
      <c r="K10134" s="74">
        <f>VLOOKUP(E10134,DATABASE!C:Q,7,false)</f>
        <v>0</v>
      </c>
      <c r="L10134" s="74">
        <v>0.0</v>
      </c>
      <c r="M10134" s="74">
        <f t="shared" si="6"/>
        <v>0</v>
      </c>
      <c r="N10134" s="74">
        <f t="shared" si="3"/>
        <v>125000</v>
      </c>
      <c r="O10134" s="65" t="str">
        <f>VLOOKUP(E10134,DATABASE!C:Q,8,false)</f>
        <v>IBU</v>
      </c>
      <c r="P10134" s="65">
        <f>VLOOKUP(E10134,DATABASE!C:Q,9,False)</f>
        <v>0</v>
      </c>
      <c r="Q10134" s="93" t="str">
        <f>VLOOKUP(E10134,DATABASE!C:Q,4,false)</f>
        <v>SPOORING SS/CARRY LOS BAK</v>
      </c>
      <c r="R10134" s="93" t="str">
        <f>VLOOKUP(E10134,DATABASE!C:Q,11,false)</f>
        <v>SERVICE</v>
      </c>
    </row>
    <row r="10135" ht="22.5" customHeight="1">
      <c r="A10135" s="49"/>
      <c r="C10135" s="400">
        <v>46268.0</v>
      </c>
      <c r="D10135" s="69">
        <v>790.0</v>
      </c>
      <c r="E10135" s="544" t="s">
        <v>305</v>
      </c>
      <c r="F10135" s="387">
        <v>1.0</v>
      </c>
      <c r="G10135" s="140">
        <v>240000.0</v>
      </c>
      <c r="H10135" s="74"/>
      <c r="I10135" s="74">
        <f t="shared" si="7"/>
        <v>240000</v>
      </c>
      <c r="J10135" s="74">
        <f>IF(E10135="SERVICE",I10135-(I10135*50%),Vlookup(E10135,DATABASE!C:Q,10,false)*F10135)</f>
        <v>40000</v>
      </c>
      <c r="K10135" s="74">
        <f>VLOOKUP(E10135,DATABASE!C:Q,7,false)</f>
        <v>158530.2</v>
      </c>
      <c r="L10135" s="74">
        <v>158530.2</v>
      </c>
      <c r="M10135" s="74">
        <f t="shared" si="6"/>
        <v>160000</v>
      </c>
      <c r="N10135" s="74">
        <f t="shared" si="3"/>
        <v>40000</v>
      </c>
      <c r="O10135" s="65" t="str">
        <f>VLOOKUP(E10135,DATABASE!C:Q,8,false)</f>
        <v>BIAN</v>
      </c>
      <c r="P10135" s="65">
        <f>VLOOKUP(E10135,DATABASE!C:Q,9,False)</f>
        <v>1</v>
      </c>
      <c r="Q10135" s="93" t="str">
        <f>VLOOKUP(E10135,DATABASE!C:Q,4,false)</f>
        <v>Lower Arm</v>
      </c>
      <c r="R10135" s="93" t="str">
        <f>VLOOKUP(E10135,DATABASE!C:Q,11,false)</f>
        <v>COMPLEMENTARY</v>
      </c>
    </row>
    <row r="10136" ht="22.5" customHeight="1">
      <c r="A10136" s="49"/>
      <c r="C10136" s="400">
        <v>46268.0</v>
      </c>
      <c r="D10136" s="69">
        <v>791.0</v>
      </c>
      <c r="E10136" s="544" t="s">
        <v>246</v>
      </c>
      <c r="F10136" s="387">
        <v>1.0</v>
      </c>
      <c r="G10136" s="140">
        <v>25000.0</v>
      </c>
      <c r="H10136" s="74"/>
      <c r="I10136" s="74">
        <f t="shared" si="7"/>
        <v>25000</v>
      </c>
      <c r="J10136" s="74">
        <f>IF(E10136="SERVICE",I10136-(I10136*50%),Vlookup(E10136,DATABASE!C:Q,10,false)*F10136)</f>
        <v>0</v>
      </c>
      <c r="K10136" s="74">
        <f>VLOOKUP(E10136,DATABASE!C:Q,7,false)</f>
        <v>0</v>
      </c>
      <c r="L10136" s="74">
        <v>0.0</v>
      </c>
      <c r="M10136" s="74">
        <f t="shared" si="6"/>
        <v>0</v>
      </c>
      <c r="N10136" s="74">
        <f t="shared" si="3"/>
        <v>25000</v>
      </c>
      <c r="O10136" s="65" t="str">
        <f>VLOOKUP(E10136,DATABASE!C:Q,8,false)</f>
        <v>IBU</v>
      </c>
      <c r="P10136" s="65">
        <f>VLOOKUP(E10136,DATABASE!C:Q,9,False)</f>
        <v>0</v>
      </c>
      <c r="Q10136" s="93" t="str">
        <f>VLOOKUP(E10136,DATABASE!C:Q,4,false)</f>
        <v>Bongkar Pasang</v>
      </c>
      <c r="R10136" s="93" t="str">
        <f>VLOOKUP(E10136,DATABASE!C:Q,11,false)</f>
        <v>SERVICE</v>
      </c>
    </row>
    <row r="10137" ht="22.5" customHeight="1">
      <c r="A10137" s="49"/>
      <c r="C10137" s="400">
        <v>46268.0</v>
      </c>
      <c r="D10137" s="69">
        <v>791.0</v>
      </c>
      <c r="E10137" s="544" t="s">
        <v>299</v>
      </c>
      <c r="F10137" s="387">
        <v>1.0</v>
      </c>
      <c r="G10137" s="140">
        <v>25000.0</v>
      </c>
      <c r="H10137" s="74"/>
      <c r="I10137" s="74">
        <f t="shared" si="7"/>
        <v>25000</v>
      </c>
      <c r="J10137" s="74">
        <f>IF(E10137="SERVICE",I10137-(I10137*50%),Vlookup(E10137,DATABASE!C:Q,10,false)*F10137)</f>
        <v>0</v>
      </c>
      <c r="K10137" s="74">
        <f>VLOOKUP(E10137,DATABASE!C:Q,7,false)</f>
        <v>10000</v>
      </c>
      <c r="L10137" s="74">
        <v>10000.0</v>
      </c>
      <c r="M10137" s="74">
        <f t="shared" si="6"/>
        <v>10000</v>
      </c>
      <c r="N10137" s="74">
        <f t="shared" si="3"/>
        <v>15000</v>
      </c>
      <c r="O10137" s="65" t="str">
        <f>VLOOKUP(E10137,DATABASE!C:Q,8,false)</f>
        <v>BIAN</v>
      </c>
      <c r="P10137" s="65">
        <f>VLOOKUP(E10137,DATABASE!C:Q,9,False)</f>
        <v>0</v>
      </c>
      <c r="Q10137" s="93" t="str">
        <f>VLOOKUP(E10137,DATABASE!C:Q,4,false)</f>
        <v>Balancing</v>
      </c>
      <c r="R10137" s="93" t="str">
        <f>VLOOKUP(E10137,DATABASE!C:Q,11,false)</f>
        <v>COMPLEMENTARY</v>
      </c>
    </row>
    <row r="10138" ht="22.5" customHeight="1">
      <c r="A10138" s="49"/>
      <c r="C10138" s="400">
        <v>46268.0</v>
      </c>
      <c r="D10138" s="69">
        <v>792.0</v>
      </c>
      <c r="E10138" s="544" t="s">
        <v>279</v>
      </c>
      <c r="F10138" s="387">
        <v>2.0</v>
      </c>
      <c r="G10138" s="140">
        <v>700000.0</v>
      </c>
      <c r="H10138" s="74"/>
      <c r="I10138" s="74">
        <f t="shared" si="7"/>
        <v>1400000</v>
      </c>
      <c r="J10138" s="74">
        <f>IF(E10138="SERVICE",I10138-(I10138*50%),Vlookup(E10138,DATABASE!C:Q,10,false)*F10138)</f>
        <v>0</v>
      </c>
      <c r="K10138" s="74">
        <f>VLOOKUP(E10138,DATABASE!C:Q,7,false)</f>
        <v>623000</v>
      </c>
      <c r="L10138" s="74">
        <v>602000.0</v>
      </c>
      <c r="M10138" s="74">
        <f t="shared" si="6"/>
        <v>605000</v>
      </c>
      <c r="N10138" s="74">
        <f t="shared" si="3"/>
        <v>190000</v>
      </c>
      <c r="O10138" s="65" t="str">
        <f>VLOOKUP(E10138,DATABASE!C:Q,8,false)</f>
        <v>IBU</v>
      </c>
      <c r="P10138" s="65">
        <f>VLOOKUP(E10138,DATABASE!C:Q,9,False)</f>
        <v>1</v>
      </c>
      <c r="Q10138" s="93" t="str">
        <f>VLOOKUP(E10138,DATABASE!C:Q,4,false)</f>
        <v>Dunlop</v>
      </c>
      <c r="R10138" s="93" t="str">
        <f>VLOOKUP(E10138,DATABASE!C:Q,11,false)</f>
        <v>Tire</v>
      </c>
    </row>
    <row r="10139" ht="22.5" customHeight="1">
      <c r="A10139" s="49"/>
      <c r="C10139" s="400">
        <v>46268.0</v>
      </c>
      <c r="D10139" s="69">
        <v>793.0</v>
      </c>
      <c r="E10139" s="544" t="s">
        <v>256</v>
      </c>
      <c r="F10139" s="387">
        <v>1.0</v>
      </c>
      <c r="G10139" s="140">
        <v>150000.0</v>
      </c>
      <c r="H10139" s="74"/>
      <c r="I10139" s="74">
        <f t="shared" si="7"/>
        <v>150000</v>
      </c>
      <c r="J10139" s="74">
        <f>IF(E10139="SERVICE",I10139-(I10139*50%),Vlookup(E10139,DATABASE!C:Q,10,false)*F10139)</f>
        <v>10000</v>
      </c>
      <c r="K10139" s="74">
        <f>VLOOKUP(E10139,DATABASE!C:Q,7,false)</f>
        <v>0</v>
      </c>
      <c r="L10139" s="74">
        <v>0.0</v>
      </c>
      <c r="M10139" s="74">
        <f t="shared" si="6"/>
        <v>0</v>
      </c>
      <c r="N10139" s="74">
        <f t="shared" si="3"/>
        <v>140000</v>
      </c>
      <c r="O10139" s="65" t="str">
        <f>VLOOKUP(E10139,DATABASE!C:Q,8,false)</f>
        <v>IBU</v>
      </c>
      <c r="P10139" s="65">
        <f>VLOOKUP(E10139,DATABASE!C:Q,9,False)</f>
        <v>0</v>
      </c>
      <c r="Q10139" s="93" t="str">
        <f>VLOOKUP(E10139,DATABASE!C:Q,4,false)</f>
        <v>SPOORING</v>
      </c>
      <c r="R10139" s="93" t="str">
        <f>VLOOKUP(E10139,DATABASE!C:Q,11,false)</f>
        <v>SERVICE</v>
      </c>
    </row>
    <row r="10140" ht="22.5" customHeight="1">
      <c r="A10140" s="49"/>
      <c r="C10140" s="400">
        <v>46268.0</v>
      </c>
      <c r="D10140" s="69">
        <v>793.0</v>
      </c>
      <c r="E10140" s="544" t="s">
        <v>251</v>
      </c>
      <c r="F10140" s="387">
        <v>1.0</v>
      </c>
      <c r="G10140" s="140">
        <v>150000.0</v>
      </c>
      <c r="H10140" s="74"/>
      <c r="I10140" s="74">
        <f t="shared" si="7"/>
        <v>150000</v>
      </c>
      <c r="J10140" s="74">
        <f>IF(E10140="SERVICE",I10140-(I10140*50%),Vlookup(E10140,DATABASE!C:Q,10,false)*F10140)</f>
        <v>75000</v>
      </c>
      <c r="K10140" s="74">
        <f>VLOOKUP(E10140,DATABASE!C:Q,7,false)</f>
        <v>0</v>
      </c>
      <c r="L10140" s="74">
        <v>0.0</v>
      </c>
      <c r="M10140" s="74">
        <f t="shared" si="6"/>
        <v>0</v>
      </c>
      <c r="N10140" s="74">
        <f t="shared" si="3"/>
        <v>75000</v>
      </c>
      <c r="O10140" s="65" t="str">
        <f>VLOOKUP(E10140,DATABASE!C:Q,8,false)</f>
        <v>IBU</v>
      </c>
      <c r="P10140" s="65">
        <f>VLOOKUP(E10140,DATABASE!C:Q,9,False)</f>
        <v>0</v>
      </c>
      <c r="Q10140" s="93" t="str">
        <f>VLOOKUP(E10140,DATABASE!C:Q,4,false)</f>
        <v>SERVICE</v>
      </c>
      <c r="R10140" s="93" t="str">
        <f>VLOOKUP(E10140,DATABASE!C:Q,11,false)</f>
        <v>SERVICE</v>
      </c>
    </row>
    <row r="10141" ht="22.5" customHeight="1">
      <c r="A10141" s="49"/>
      <c r="C10141" s="400">
        <v>46268.0</v>
      </c>
      <c r="D10141" s="69">
        <v>793.0</v>
      </c>
      <c r="E10141" s="544" t="s">
        <v>299</v>
      </c>
      <c r="F10141" s="387">
        <v>2.0</v>
      </c>
      <c r="G10141" s="140">
        <v>30000.0</v>
      </c>
      <c r="H10141" s="74"/>
      <c r="I10141" s="74">
        <f t="shared" si="7"/>
        <v>60000</v>
      </c>
      <c r="J10141" s="74">
        <f>IF(E10141="SERVICE",I10141-(I10141*50%),Vlookup(E10141,DATABASE!C:Q,10,false)*F10141)</f>
        <v>0</v>
      </c>
      <c r="K10141" s="74">
        <f>VLOOKUP(E10141,DATABASE!C:Q,7,false)</f>
        <v>10000</v>
      </c>
      <c r="L10141" s="74">
        <v>10000.0</v>
      </c>
      <c r="M10141" s="74">
        <f t="shared" si="6"/>
        <v>10000</v>
      </c>
      <c r="N10141" s="74">
        <f t="shared" si="3"/>
        <v>40000</v>
      </c>
      <c r="O10141" s="65" t="str">
        <f>VLOOKUP(E10141,DATABASE!C:Q,8,false)</f>
        <v>BIAN</v>
      </c>
      <c r="P10141" s="65">
        <f>VLOOKUP(E10141,DATABASE!C:Q,9,False)</f>
        <v>0</v>
      </c>
      <c r="Q10141" s="93" t="str">
        <f>VLOOKUP(E10141,DATABASE!C:Q,4,false)</f>
        <v>Balancing</v>
      </c>
      <c r="R10141" s="93" t="str">
        <f>VLOOKUP(E10141,DATABASE!C:Q,11,false)</f>
        <v>COMPLEMENTARY</v>
      </c>
    </row>
    <row r="10142" ht="22.5" customHeight="1">
      <c r="A10142" s="49"/>
      <c r="C10142" s="400">
        <v>46268.0</v>
      </c>
      <c r="D10142" s="69">
        <v>794.0</v>
      </c>
      <c r="E10142" s="544" t="s">
        <v>276</v>
      </c>
      <c r="F10142" s="387">
        <v>2.0</v>
      </c>
      <c r="G10142" s="140">
        <v>710000.0</v>
      </c>
      <c r="H10142" s="74"/>
      <c r="I10142" s="74">
        <f t="shared" si="7"/>
        <v>1420000</v>
      </c>
      <c r="J10142" s="74">
        <f>IF(E10142="SERVICE",I10142-(I10142*50%),Vlookup(E10142,DATABASE!C:Q,10,false)*F10142)</f>
        <v>0</v>
      </c>
      <c r="K10142" s="74">
        <f>VLOOKUP(E10142,DATABASE!C:Q,7,false)</f>
        <v>620000</v>
      </c>
      <c r="L10142" s="74">
        <v>620000.0</v>
      </c>
      <c r="M10142" s="74">
        <f t="shared" si="6"/>
        <v>620000</v>
      </c>
      <c r="N10142" s="74">
        <f t="shared" si="3"/>
        <v>180000</v>
      </c>
      <c r="O10142" s="65" t="str">
        <f>VLOOKUP(E10142,DATABASE!C:Q,8,false)</f>
        <v>IBU</v>
      </c>
      <c r="P10142" s="65">
        <f>VLOOKUP(E10142,DATABASE!C:Q,9,False)</f>
        <v>1</v>
      </c>
      <c r="Q10142" s="93" t="str">
        <f>VLOOKUP(E10142,DATABASE!C:Q,4,false)</f>
        <v>Dunlop</v>
      </c>
      <c r="R10142" s="93" t="str">
        <f>VLOOKUP(E10142,DATABASE!C:Q,11,false)</f>
        <v>Tire</v>
      </c>
    </row>
    <row r="10143" ht="22.5" customHeight="1">
      <c r="A10143" s="49"/>
      <c r="C10143" s="400">
        <v>46268.0</v>
      </c>
      <c r="D10143" s="69">
        <v>795.0</v>
      </c>
      <c r="E10143" s="544" t="s">
        <v>268</v>
      </c>
      <c r="F10143" s="387">
        <v>2.0</v>
      </c>
      <c r="G10143" s="140">
        <v>710000.0</v>
      </c>
      <c r="H10143" s="74"/>
      <c r="I10143" s="74">
        <f t="shared" si="7"/>
        <v>1420000</v>
      </c>
      <c r="J10143" s="74">
        <f>IF(E10143="SERVICE",I10143-(I10143*50%),Vlookup(E10143,DATABASE!C:Q,10,false)*F10143)</f>
        <v>0</v>
      </c>
      <c r="K10143" s="74">
        <f>VLOOKUP(E10143,DATABASE!C:Q,7,false)</f>
        <v>653000</v>
      </c>
      <c r="L10143" s="140">
        <v>622000.0</v>
      </c>
      <c r="M10143" s="74">
        <f t="shared" si="6"/>
        <v>625000</v>
      </c>
      <c r="N10143" s="74">
        <f t="shared" si="3"/>
        <v>170000</v>
      </c>
      <c r="O10143" s="65" t="str">
        <f>VLOOKUP(E10143,DATABASE!C:Q,8,false)</f>
        <v>IBU</v>
      </c>
      <c r="P10143" s="65">
        <f>VLOOKUP(E10143,DATABASE!C:Q,9,False)</f>
        <v>1</v>
      </c>
      <c r="Q10143" s="93" t="str">
        <f>VLOOKUP(E10143,DATABASE!C:Q,4,false)</f>
        <v>Dunlop</v>
      </c>
      <c r="R10143" s="93" t="str">
        <f>VLOOKUP(E10143,DATABASE!C:Q,11,false)</f>
        <v>Tire</v>
      </c>
    </row>
    <row r="10144" ht="22.5" customHeight="1">
      <c r="A10144" s="49"/>
      <c r="C10144" s="400">
        <v>46268.0</v>
      </c>
      <c r="D10144" s="69" t="s">
        <v>2925</v>
      </c>
      <c r="E10144" s="544" t="s">
        <v>243</v>
      </c>
      <c r="F10144" s="387">
        <v>1.0</v>
      </c>
      <c r="G10144" s="140">
        <v>500000.0</v>
      </c>
      <c r="H10144" s="74"/>
      <c r="I10144" s="74">
        <f t="shared" si="7"/>
        <v>500000</v>
      </c>
      <c r="J10144" s="74">
        <f>IF(E10144="SERVICE",I10144-(I10144*50%),Vlookup(E10144,DATABASE!C:Q,10,false)*F10144)</f>
        <v>0</v>
      </c>
      <c r="K10144" s="74">
        <f>VLOOKUP(E10144,DATABASE!C:Q,7,false)</f>
        <v>432500</v>
      </c>
      <c r="L10144" s="74">
        <v>432500.0</v>
      </c>
      <c r="M10144" s="74">
        <f t="shared" si="6"/>
        <v>435000</v>
      </c>
      <c r="N10144" s="74">
        <f t="shared" si="3"/>
        <v>65000</v>
      </c>
      <c r="O10144" s="65" t="str">
        <f>VLOOKUP(E10144,DATABASE!C:Q,8,false)</f>
        <v>NON</v>
      </c>
      <c r="P10144" s="65">
        <f>VLOOKUP(E10144,DATABASE!C:Q,9,False)</f>
        <v>0</v>
      </c>
      <c r="Q10144" s="93" t="str">
        <f>VLOOKUP(E10144,DATABASE!C:Q,4,false)</f>
        <v>Pertamina</v>
      </c>
      <c r="R10144" s="93" t="str">
        <f>VLOOKUP(E10144,DATABASE!C:Q,11,false)</f>
        <v>OIL</v>
      </c>
    </row>
    <row r="10145" ht="22.5" customHeight="1">
      <c r="A10145" s="49"/>
      <c r="C10145" s="400">
        <v>46268.0</v>
      </c>
      <c r="D10145" s="69" t="s">
        <v>2926</v>
      </c>
      <c r="E10145" s="544" t="s">
        <v>248</v>
      </c>
      <c r="F10145" s="387">
        <v>1.0</v>
      </c>
      <c r="G10145" s="140">
        <v>250000.0</v>
      </c>
      <c r="H10145" s="74"/>
      <c r="I10145" s="74">
        <f t="shared" si="7"/>
        <v>250000</v>
      </c>
      <c r="J10145" s="74">
        <f>IF(E10145="SERVICE",I10145-(I10145*50%),Vlookup(E10145,DATABASE!C:Q,10,false)*F10145)</f>
        <v>0</v>
      </c>
      <c r="K10145" s="74">
        <f>VLOOKUP(E10145,DATABASE!C:Q,7,false)</f>
        <v>209816.66</v>
      </c>
      <c r="L10145" s="74">
        <v>209816.66</v>
      </c>
      <c r="M10145" s="74">
        <f t="shared" si="6"/>
        <v>210000</v>
      </c>
      <c r="N10145" s="74">
        <f t="shared" si="3"/>
        <v>40000</v>
      </c>
      <c r="O10145" s="65" t="str">
        <f>VLOOKUP(E10145,DATABASE!C:Q,8,false)</f>
        <v>NON</v>
      </c>
      <c r="P10145" s="65">
        <f>VLOOKUP(E10145,DATABASE!C:Q,9,False)</f>
        <v>0</v>
      </c>
      <c r="Q10145" s="93" t="str">
        <f>VLOOKUP(E10145,DATABASE!C:Q,4,false)</f>
        <v>Pertamina</v>
      </c>
      <c r="R10145" s="93" t="str">
        <f>VLOOKUP(E10145,DATABASE!C:Q,11,false)</f>
        <v>OIL</v>
      </c>
    </row>
    <row r="10146" ht="22.5" customHeight="1">
      <c r="A10146" s="49"/>
      <c r="C10146" s="400">
        <v>46269.0</v>
      </c>
      <c r="D10146" s="524">
        <v>796.0</v>
      </c>
      <c r="E10146" s="544" t="s">
        <v>268</v>
      </c>
      <c r="F10146" s="387">
        <v>2.0</v>
      </c>
      <c r="G10146" s="140">
        <v>720000.0</v>
      </c>
      <c r="H10146" s="74"/>
      <c r="I10146" s="74">
        <f t="shared" si="7"/>
        <v>1440000</v>
      </c>
      <c r="J10146" s="74">
        <f>IF(E10146="SERVICE",I10146-(I10146*50%),Vlookup(E10146,DATABASE!C:Q,10,false)*F10146)</f>
        <v>0</v>
      </c>
      <c r="K10146" s="74">
        <f>VLOOKUP(E10146,DATABASE!C:Q,7,false)</f>
        <v>653000</v>
      </c>
      <c r="L10146" s="74">
        <v>634500.0</v>
      </c>
      <c r="M10146" s="74">
        <f t="shared" si="6"/>
        <v>635000</v>
      </c>
      <c r="N10146" s="74">
        <f t="shared" si="3"/>
        <v>170000</v>
      </c>
      <c r="O10146" s="65" t="str">
        <f>VLOOKUP(E10146,DATABASE!C:Q,8,false)</f>
        <v>IBU</v>
      </c>
      <c r="P10146" s="65">
        <f>VLOOKUP(E10146,DATABASE!C:Q,9,False)</f>
        <v>1</v>
      </c>
      <c r="Q10146" s="93" t="str">
        <f>VLOOKUP(E10146,DATABASE!C:Q,4,false)</f>
        <v>Dunlop</v>
      </c>
      <c r="R10146" s="93" t="str">
        <f>VLOOKUP(E10146,DATABASE!C:Q,11,false)</f>
        <v>Tire</v>
      </c>
    </row>
    <row r="10147" ht="22.5" customHeight="1">
      <c r="A10147" s="49"/>
      <c r="C10147" s="400">
        <v>46269.0</v>
      </c>
      <c r="D10147" s="524">
        <v>797.0</v>
      </c>
      <c r="E10147" s="544" t="s">
        <v>286</v>
      </c>
      <c r="F10147" s="387">
        <v>14.0</v>
      </c>
      <c r="G10147" s="140">
        <v>580000.0</v>
      </c>
      <c r="H10147" s="140">
        <v>10000.0</v>
      </c>
      <c r="I10147" s="74">
        <f t="shared" si="7"/>
        <v>7980000</v>
      </c>
      <c r="J10147" s="74">
        <f>IF(E10147="SERVICE",I10147-(I10147*50%),Vlookup(E10147,DATABASE!C:Q,10,false)*F10147)</f>
        <v>0</v>
      </c>
      <c r="K10147" s="74">
        <f>VLOOKUP(E10147,DATABASE!C:Q,7,false)</f>
        <v>488320</v>
      </c>
      <c r="L10147" s="74">
        <v>488320.0</v>
      </c>
      <c r="M10147" s="74">
        <f t="shared" si="6"/>
        <v>490000</v>
      </c>
      <c r="N10147" s="74">
        <f t="shared" si="3"/>
        <v>1120000</v>
      </c>
      <c r="O10147" s="65" t="str">
        <f>VLOOKUP(E10147,DATABASE!C:Q,8,false)</f>
        <v>BIAN</v>
      </c>
      <c r="P10147" s="65">
        <f>VLOOKUP(E10147,DATABASE!C:Q,9,False)</f>
        <v>1</v>
      </c>
      <c r="Q10147" s="93" t="str">
        <f>VLOOKUP(E10147,DATABASE!C:Q,4,false)</f>
        <v>GT</v>
      </c>
      <c r="R10147" s="93" t="str">
        <f>VLOOKUP(E10147,DATABASE!C:Q,11,false)</f>
        <v>Tire</v>
      </c>
    </row>
    <row r="10148" ht="22.5" customHeight="1">
      <c r="A10148" s="49"/>
      <c r="C10148" s="400">
        <v>46269.0</v>
      </c>
      <c r="D10148" s="524">
        <v>798.0</v>
      </c>
      <c r="E10148" s="544" t="s">
        <v>275</v>
      </c>
      <c r="F10148" s="387">
        <v>2.0</v>
      </c>
      <c r="G10148" s="140">
        <v>850000.0</v>
      </c>
      <c r="H10148" s="74"/>
      <c r="I10148" s="74">
        <f t="shared" si="7"/>
        <v>1700000</v>
      </c>
      <c r="J10148" s="74">
        <f>IF(E10148="SERVICE",I10148-(I10148*50%),Vlookup(E10148,DATABASE!C:Q,10,false)*F10148)</f>
        <v>0</v>
      </c>
      <c r="K10148" s="74">
        <f>VLOOKUP(E10148,DATABASE!C:Q,7,false)</f>
        <v>782000</v>
      </c>
      <c r="L10148" s="74">
        <v>759500.0</v>
      </c>
      <c r="M10148" s="74">
        <f t="shared" si="6"/>
        <v>760000</v>
      </c>
      <c r="N10148" s="74">
        <f t="shared" si="3"/>
        <v>180000</v>
      </c>
      <c r="O10148" s="65" t="str">
        <f>VLOOKUP(E10148,DATABASE!C:Q,8,false)</f>
        <v>IBU</v>
      </c>
      <c r="P10148" s="65">
        <f>VLOOKUP(E10148,DATABASE!C:Q,9,False)</f>
        <v>1</v>
      </c>
      <c r="Q10148" s="93" t="str">
        <f>VLOOKUP(E10148,DATABASE!C:Q,4,false)</f>
        <v>Dunlop</v>
      </c>
      <c r="R10148" s="93" t="str">
        <f>VLOOKUP(E10148,DATABASE!C:Q,11,false)</f>
        <v>Tire</v>
      </c>
    </row>
    <row r="10149" ht="22.5" customHeight="1">
      <c r="A10149" s="49"/>
      <c r="C10149" s="400">
        <v>46269.0</v>
      </c>
      <c r="D10149" s="524">
        <v>799.0</v>
      </c>
      <c r="E10149" s="544" t="s">
        <v>291</v>
      </c>
      <c r="F10149" s="387">
        <v>2.0</v>
      </c>
      <c r="G10149" s="140">
        <v>800000.0</v>
      </c>
      <c r="H10149" s="140">
        <v>50000.0</v>
      </c>
      <c r="I10149" s="74">
        <f t="shared" si="7"/>
        <v>1500000</v>
      </c>
      <c r="J10149" s="74">
        <f>IF(E10149="SERVICE",I10149-(I10149*50%),Vlookup(E10149,DATABASE!C:Q,10,false)*F10149)</f>
        <v>0</v>
      </c>
      <c r="K10149" s="74">
        <f>VLOOKUP(E10149,DATABASE!C:Q,7,false)</f>
        <v>689900</v>
      </c>
      <c r="L10149" s="74">
        <v>689900.0</v>
      </c>
      <c r="M10149" s="74">
        <f t="shared" si="6"/>
        <v>690000</v>
      </c>
      <c r="N10149" s="74">
        <f t="shared" si="3"/>
        <v>120000</v>
      </c>
      <c r="O10149" s="65" t="str">
        <f>VLOOKUP(E10149,DATABASE!C:Q,8,false)</f>
        <v>BIAN</v>
      </c>
      <c r="P10149" s="65">
        <f>VLOOKUP(E10149,DATABASE!C:Q,9,False)</f>
        <v>1</v>
      </c>
      <c r="Q10149" s="93" t="str">
        <f>VLOOKUP(E10149,DATABASE!C:Q,4,false)</f>
        <v>GT</v>
      </c>
      <c r="R10149" s="93" t="str">
        <f>VLOOKUP(E10149,DATABASE!C:Q,11,false)</f>
        <v>Tire</v>
      </c>
    </row>
    <row r="10150" ht="22.5" customHeight="1">
      <c r="A10150" s="49"/>
      <c r="C10150" s="400">
        <v>46269.0</v>
      </c>
      <c r="D10150" s="524">
        <v>799.0</v>
      </c>
      <c r="E10150" s="544" t="s">
        <v>256</v>
      </c>
      <c r="F10150" s="387">
        <v>1.0</v>
      </c>
      <c r="G10150" s="140">
        <v>150000.0</v>
      </c>
      <c r="H10150" s="74"/>
      <c r="I10150" s="74">
        <f t="shared" si="7"/>
        <v>150000</v>
      </c>
      <c r="J10150" s="74">
        <f>IF(E10150="SERVICE",I10150-(I10150*50%),Vlookup(E10150,DATABASE!C:Q,10,false)*F10150)</f>
        <v>10000</v>
      </c>
      <c r="K10150" s="74">
        <f>VLOOKUP(E10150,DATABASE!C:Q,7,false)</f>
        <v>0</v>
      </c>
      <c r="L10150" s="74">
        <v>0.0</v>
      </c>
      <c r="M10150" s="74">
        <f t="shared" si="6"/>
        <v>0</v>
      </c>
      <c r="N10150" s="74">
        <f t="shared" si="3"/>
        <v>140000</v>
      </c>
      <c r="O10150" s="65" t="str">
        <f>VLOOKUP(E10150,DATABASE!C:Q,8,false)</f>
        <v>IBU</v>
      </c>
      <c r="P10150" s="65">
        <f>VLOOKUP(E10150,DATABASE!C:Q,9,False)</f>
        <v>0</v>
      </c>
      <c r="Q10150" s="93" t="str">
        <f>VLOOKUP(E10150,DATABASE!C:Q,4,false)</f>
        <v>SPOORING</v>
      </c>
      <c r="R10150" s="93" t="str">
        <f>VLOOKUP(E10150,DATABASE!C:Q,11,false)</f>
        <v>SERVICE</v>
      </c>
    </row>
    <row r="10151" ht="22.5" customHeight="1">
      <c r="A10151" s="49"/>
      <c r="C10151" s="400">
        <v>46269.0</v>
      </c>
      <c r="D10151" s="524">
        <v>799.0</v>
      </c>
      <c r="E10151" s="544" t="s">
        <v>299</v>
      </c>
      <c r="F10151" s="387">
        <v>2.0</v>
      </c>
      <c r="G10151" s="140">
        <v>25000.0</v>
      </c>
      <c r="H10151" s="74"/>
      <c r="I10151" s="74">
        <f t="shared" si="7"/>
        <v>50000</v>
      </c>
      <c r="J10151" s="74">
        <f>IF(E10151="SERVICE",I10151-(I10151*50%),Vlookup(E10151,DATABASE!C:Q,10,false)*F10151)</f>
        <v>0</v>
      </c>
      <c r="K10151" s="74">
        <f>VLOOKUP(E10151,DATABASE!C:Q,7,false)</f>
        <v>10000</v>
      </c>
      <c r="L10151" s="74">
        <v>10000.0</v>
      </c>
      <c r="M10151" s="74">
        <f t="shared" si="6"/>
        <v>10000</v>
      </c>
      <c r="N10151" s="74">
        <f t="shared" si="3"/>
        <v>30000</v>
      </c>
      <c r="O10151" s="65" t="str">
        <f>VLOOKUP(E10151,DATABASE!C:Q,8,false)</f>
        <v>BIAN</v>
      </c>
      <c r="P10151" s="65">
        <f>VLOOKUP(E10151,DATABASE!C:Q,9,False)</f>
        <v>0</v>
      </c>
      <c r="Q10151" s="93" t="str">
        <f>VLOOKUP(E10151,DATABASE!C:Q,4,false)</f>
        <v>Balancing</v>
      </c>
      <c r="R10151" s="93" t="str">
        <f>VLOOKUP(E10151,DATABASE!C:Q,11,false)</f>
        <v>COMPLEMENTARY</v>
      </c>
    </row>
    <row r="10152" ht="22.5" customHeight="1">
      <c r="A10152" s="49"/>
      <c r="C10152" s="400">
        <v>46269.0</v>
      </c>
      <c r="D10152" s="524">
        <v>800.0</v>
      </c>
      <c r="E10152" s="544" t="s">
        <v>256</v>
      </c>
      <c r="F10152" s="387">
        <v>1.0</v>
      </c>
      <c r="G10152" s="140">
        <v>150000.0</v>
      </c>
      <c r="H10152" s="74"/>
      <c r="I10152" s="74">
        <f t="shared" si="7"/>
        <v>150000</v>
      </c>
      <c r="J10152" s="74">
        <f>IF(E10152="SERVICE",I10152-(I10152*50%),Vlookup(E10152,DATABASE!C:Q,10,false)*F10152)</f>
        <v>10000</v>
      </c>
      <c r="K10152" s="140">
        <v>0.0</v>
      </c>
      <c r="L10152" s="140">
        <v>0.0</v>
      </c>
      <c r="M10152" s="74">
        <f t="shared" si="6"/>
        <v>0</v>
      </c>
      <c r="N10152" s="74">
        <f t="shared" si="3"/>
        <v>140000</v>
      </c>
      <c r="O10152" s="65" t="str">
        <f>VLOOKUP(E10152,DATABASE!C:Q,8,false)</f>
        <v>IBU</v>
      </c>
      <c r="P10152" s="65">
        <f>VLOOKUP(E10152,DATABASE!C:Q,9,False)</f>
        <v>0</v>
      </c>
      <c r="Q10152" s="93" t="str">
        <f>VLOOKUP(E10152,DATABASE!C:Q,4,false)</f>
        <v>SPOORING</v>
      </c>
      <c r="R10152" s="93" t="str">
        <f>VLOOKUP(E10152,DATABASE!C:Q,11,false)</f>
        <v>SERVICE</v>
      </c>
    </row>
    <row r="10153" ht="22.5" customHeight="1">
      <c r="A10153" s="49"/>
      <c r="C10153" s="400">
        <v>46269.0</v>
      </c>
      <c r="D10153" s="524">
        <v>800.0</v>
      </c>
      <c r="E10153" s="544" t="s">
        <v>299</v>
      </c>
      <c r="F10153" s="387">
        <v>2.0</v>
      </c>
      <c r="G10153" s="140">
        <v>30000.0</v>
      </c>
      <c r="H10153" s="74"/>
      <c r="I10153" s="74">
        <f t="shared" si="7"/>
        <v>60000</v>
      </c>
      <c r="J10153" s="74">
        <f>IF(E10153="SERVICE",I10153-(I10153*50%),Vlookup(E10153,DATABASE!C:Q,10,false)*F10153)</f>
        <v>0</v>
      </c>
      <c r="K10153" s="74">
        <f>VLOOKUP(E10153,DATABASE!C:Q,7,false)</f>
        <v>10000</v>
      </c>
      <c r="L10153" s="74">
        <v>10000.0</v>
      </c>
      <c r="M10153" s="74">
        <f t="shared" si="6"/>
        <v>10000</v>
      </c>
      <c r="N10153" s="74">
        <f t="shared" si="3"/>
        <v>40000</v>
      </c>
      <c r="O10153" s="65" t="str">
        <f>VLOOKUP(E10153,DATABASE!C:Q,8,false)</f>
        <v>BIAN</v>
      </c>
      <c r="P10153" s="65">
        <f>VLOOKUP(E10153,DATABASE!C:Q,9,False)</f>
        <v>0</v>
      </c>
      <c r="Q10153" s="93" t="str">
        <f>VLOOKUP(E10153,DATABASE!C:Q,4,false)</f>
        <v>Balancing</v>
      </c>
      <c r="R10153" s="93" t="str">
        <f>VLOOKUP(E10153,DATABASE!C:Q,11,false)</f>
        <v>COMPLEMENTARY</v>
      </c>
    </row>
    <row r="10154" ht="22.5" customHeight="1">
      <c r="A10154" s="49"/>
      <c r="C10154" s="400">
        <v>46269.0</v>
      </c>
      <c r="D10154" s="69">
        <v>801.0</v>
      </c>
      <c r="E10154" s="544" t="s">
        <v>268</v>
      </c>
      <c r="F10154" s="387">
        <v>1.0</v>
      </c>
      <c r="G10154" s="140">
        <v>720000.0</v>
      </c>
      <c r="H10154" s="74"/>
      <c r="I10154" s="74">
        <f t="shared" si="7"/>
        <v>720000</v>
      </c>
      <c r="J10154" s="74">
        <f>IF(E10154="SERVICE",I10154-(I10154*50%),Vlookup(E10154,DATABASE!C:Q,10,false)*F10154)</f>
        <v>0</v>
      </c>
      <c r="K10154" s="74">
        <f>VLOOKUP(E10154,DATABASE!C:Q,7,false)</f>
        <v>653000</v>
      </c>
      <c r="L10154" s="74">
        <v>634500.0</v>
      </c>
      <c r="M10154" s="74">
        <f t="shared" si="6"/>
        <v>635000</v>
      </c>
      <c r="N10154" s="74">
        <f t="shared" si="3"/>
        <v>85000</v>
      </c>
      <c r="O10154" s="65" t="str">
        <f>VLOOKUP(E10154,DATABASE!C:Q,8,false)</f>
        <v>IBU</v>
      </c>
      <c r="P10154" s="65">
        <f>VLOOKUP(E10154,DATABASE!C:Q,9,False)</f>
        <v>1</v>
      </c>
      <c r="Q10154" s="93" t="str">
        <f>VLOOKUP(E10154,DATABASE!C:Q,4,false)</f>
        <v>Dunlop</v>
      </c>
      <c r="R10154" s="93" t="str">
        <f>VLOOKUP(E10154,DATABASE!C:Q,11,false)</f>
        <v>Tire</v>
      </c>
    </row>
    <row r="10155" ht="22.5" customHeight="1">
      <c r="A10155" s="49"/>
      <c r="C10155" s="400">
        <v>46269.0</v>
      </c>
      <c r="D10155" s="69" t="s">
        <v>2927</v>
      </c>
      <c r="E10155" s="544" t="s">
        <v>252</v>
      </c>
      <c r="F10155" s="387">
        <v>1.0</v>
      </c>
      <c r="G10155" s="140">
        <v>370000.0</v>
      </c>
      <c r="H10155" s="74"/>
      <c r="I10155" s="74">
        <f t="shared" si="7"/>
        <v>370000</v>
      </c>
      <c r="J10155" s="74">
        <f>IF(E10155="SERVICE",I10155-(I10155*50%),Vlookup(E10155,DATABASE!C:Q,10,false)*F10155)</f>
        <v>0</v>
      </c>
      <c r="K10155" s="74">
        <f>VLOOKUP(E10155,DATABASE!C:Q,7,false)</f>
        <v>317518</v>
      </c>
      <c r="L10155" s="74">
        <v>317518.0</v>
      </c>
      <c r="M10155" s="74">
        <f t="shared" si="6"/>
        <v>320000</v>
      </c>
      <c r="N10155" s="74">
        <f t="shared" si="3"/>
        <v>50000</v>
      </c>
      <c r="O10155" s="65" t="str">
        <f>VLOOKUP(E10155,DATABASE!C:Q,8,false)</f>
        <v>NON</v>
      </c>
      <c r="P10155" s="65">
        <f>VLOOKUP(E10155,DATABASE!C:Q,9,False)</f>
        <v>0</v>
      </c>
      <c r="Q10155" s="93" t="str">
        <f>VLOOKUP(E10155,DATABASE!C:Q,4,false)</f>
        <v>Shell</v>
      </c>
      <c r="R10155" s="93" t="str">
        <f>VLOOKUP(E10155,DATABASE!C:Q,11,false)</f>
        <v>OIL</v>
      </c>
    </row>
    <row r="10156" ht="22.5" customHeight="1">
      <c r="A10156" s="49"/>
      <c r="C10156" s="400">
        <v>46269.0</v>
      </c>
      <c r="D10156" s="69" t="s">
        <v>2927</v>
      </c>
      <c r="E10156" s="544" t="s">
        <v>304</v>
      </c>
      <c r="F10156" s="387">
        <v>1.0</v>
      </c>
      <c r="G10156" s="140">
        <v>25000.0</v>
      </c>
      <c r="H10156" s="74"/>
      <c r="I10156" s="74">
        <f t="shared" si="7"/>
        <v>25000</v>
      </c>
      <c r="J10156" s="74">
        <f>IF(E10156="SERVICE",I10156-(I10156*50%),Vlookup(E10156,DATABASE!C:Q,10,false)*F10156)</f>
        <v>0</v>
      </c>
      <c r="K10156" s="74">
        <f>VLOOKUP(E10156,DATABASE!C:Q,7,false)</f>
        <v>18900</v>
      </c>
      <c r="L10156" s="74">
        <v>18900.0</v>
      </c>
      <c r="M10156" s="74">
        <f t="shared" si="6"/>
        <v>20000</v>
      </c>
      <c r="N10156" s="74">
        <f t="shared" si="3"/>
        <v>5000</v>
      </c>
      <c r="O10156" s="65" t="str">
        <f>VLOOKUP(E10156,DATABASE!C:Q,8,false)</f>
        <v>NON VPT</v>
      </c>
      <c r="P10156" s="65">
        <f>VLOOKUP(E10156,DATABASE!C:Q,9,False)</f>
        <v>0</v>
      </c>
      <c r="Q10156" s="93" t="str">
        <f>VLOOKUP(E10156,DATABASE!C:Q,4,false)</f>
        <v>ICOSON</v>
      </c>
      <c r="R10156" s="93" t="str">
        <f>VLOOKUP(E10156,DATABASE!C:Q,11,false)</f>
        <v>COMPLEMENTARY</v>
      </c>
    </row>
    <row r="10157" ht="22.5" customHeight="1">
      <c r="A10157" s="49"/>
      <c r="C10157" s="400">
        <v>46270.0</v>
      </c>
      <c r="D10157" s="524">
        <v>802.0</v>
      </c>
      <c r="E10157" s="544" t="s">
        <v>566</v>
      </c>
      <c r="F10157" s="387">
        <v>2.0</v>
      </c>
      <c r="G10157" s="140">
        <v>1670000.0</v>
      </c>
      <c r="H10157" s="74"/>
      <c r="I10157" s="74">
        <f t="shared" si="7"/>
        <v>3340000</v>
      </c>
      <c r="J10157" s="74">
        <f>IF(E10157="SERVICE",I10157-(I10157*50%),Vlookup(E10157,DATABASE!C:Q,10,false)*F10157)</f>
        <v>0</v>
      </c>
      <c r="K10157" s="74">
        <f>VLOOKUP(E10157,DATABASE!C:Q,7,false)</f>
        <v>1565000</v>
      </c>
      <c r="L10157" s="74">
        <v>1565000.0</v>
      </c>
      <c r="M10157" s="74">
        <f t="shared" si="6"/>
        <v>1565000</v>
      </c>
      <c r="N10157" s="74">
        <f t="shared" si="3"/>
        <v>210000</v>
      </c>
      <c r="O10157" s="65" t="str">
        <f>VLOOKUP(E10157,DATABASE!C:Q,8,false)</f>
        <v>IBU</v>
      </c>
      <c r="P10157" s="65">
        <f>VLOOKUP(E10157,DATABASE!C:Q,9,False)</f>
        <v>1</v>
      </c>
      <c r="Q10157" s="93" t="str">
        <f>VLOOKUP(E10157,DATABASE!C:Q,4,false)</f>
        <v>Bridgestone</v>
      </c>
      <c r="R10157" s="93" t="str">
        <f>VLOOKUP(E10157,DATABASE!C:Q,11,false)</f>
        <v>Tire</v>
      </c>
    </row>
    <row r="10158" ht="22.5" customHeight="1">
      <c r="A10158" s="49"/>
      <c r="C10158" s="400">
        <v>46270.0</v>
      </c>
      <c r="D10158" s="524">
        <v>803.0</v>
      </c>
      <c r="E10158" s="544" t="s">
        <v>737</v>
      </c>
      <c r="F10158" s="387">
        <v>1.0</v>
      </c>
      <c r="G10158" s="140">
        <v>280000.0</v>
      </c>
      <c r="H10158" s="74"/>
      <c r="I10158" s="74">
        <f t="shared" si="7"/>
        <v>280000</v>
      </c>
      <c r="J10158" s="74">
        <f>IF(E10158="SERVICE",I10158-(I10158*50%),Vlookup(E10158,DATABASE!C:Q,10,false)*F10158)</f>
        <v>0</v>
      </c>
      <c r="K10158" s="74">
        <f>VLOOKUP(E10158,DATABASE!C:Q,7,false)</f>
        <v>241001.6</v>
      </c>
      <c r="L10158" s="74">
        <v>241001.6</v>
      </c>
      <c r="M10158" s="74">
        <f t="shared" si="6"/>
        <v>245000</v>
      </c>
      <c r="N10158" s="74">
        <f t="shared" si="3"/>
        <v>35000</v>
      </c>
      <c r="O10158" s="65" t="str">
        <f>VLOOKUP(E10158,DATABASE!C:Q,8,false)</f>
        <v>IBU</v>
      </c>
      <c r="P10158" s="65">
        <f>VLOOKUP(E10158,DATABASE!C:Q,9,False)</f>
        <v>1</v>
      </c>
      <c r="Q10158" s="93" t="str">
        <f>VLOOKUP(E10158,DATABASE!C:Q,4,false)</f>
        <v>BD</v>
      </c>
      <c r="R10158" s="93" t="str">
        <f>VLOOKUP(E10158,DATABASE!C:Q,11,false)</f>
        <v>Tire</v>
      </c>
    </row>
    <row r="10159" ht="22.5" customHeight="1">
      <c r="A10159" s="49"/>
      <c r="C10159" s="400">
        <v>46270.0</v>
      </c>
      <c r="D10159" s="524">
        <v>803.0</v>
      </c>
      <c r="E10159" s="544" t="s">
        <v>821</v>
      </c>
      <c r="F10159" s="387">
        <v>2.0</v>
      </c>
      <c r="G10159" s="140">
        <v>90000.0</v>
      </c>
      <c r="H10159" s="74"/>
      <c r="I10159" s="74">
        <f t="shared" si="7"/>
        <v>180000</v>
      </c>
      <c r="J10159" s="74">
        <f>IF(E10159="SERVICE",I10159-(I10159*50%),Vlookup(E10159,DATABASE!C:Q,10,false)*F10159)</f>
        <v>0</v>
      </c>
      <c r="K10159" s="74">
        <f>VLOOKUP(E10159,DATABASE!C:Q,7,false)</f>
        <v>43500</v>
      </c>
      <c r="L10159" s="74">
        <v>43500.0</v>
      </c>
      <c r="M10159" s="74">
        <f t="shared" si="6"/>
        <v>45000</v>
      </c>
      <c r="N10159" s="74">
        <f t="shared" si="3"/>
        <v>90000</v>
      </c>
      <c r="O10159" s="65" t="str">
        <f>VLOOKUP(E10159,DATABASE!C:Q,8,false)</f>
        <v>BIAN</v>
      </c>
      <c r="P10159" s="65">
        <f>VLOOKUP(E10159,DATABASE!C:Q,9,False)</f>
        <v>1</v>
      </c>
      <c r="Q10159" s="93" t="str">
        <f>VLOOKUP(E10159,DATABASE!C:Q,4,false)</f>
        <v>Flap</v>
      </c>
      <c r="R10159" s="93" t="str">
        <f>VLOOKUP(E10159,DATABASE!C:Q,11,false)</f>
        <v>Tire</v>
      </c>
    </row>
    <row r="10160" ht="22.5" customHeight="1">
      <c r="A10160" s="49"/>
      <c r="C10160" s="400">
        <v>46270.0</v>
      </c>
      <c r="D10160" s="524">
        <v>805.0</v>
      </c>
      <c r="E10160" s="544" t="s">
        <v>940</v>
      </c>
      <c r="F10160" s="387">
        <v>1.0</v>
      </c>
      <c r="G10160" s="140">
        <v>820000.0</v>
      </c>
      <c r="H10160" s="74"/>
      <c r="I10160" s="74">
        <f t="shared" si="7"/>
        <v>820000</v>
      </c>
      <c r="J10160" s="74">
        <f>IF(E10160="SERVICE",I10160-(I10160*50%),Vlookup(E10160,DATABASE!C:Q,10,false)*F10160)</f>
        <v>0</v>
      </c>
      <c r="K10160" s="74">
        <f>VLOOKUP(E10160,DATABASE!C:Q,7,false)</f>
        <v>716500</v>
      </c>
      <c r="L10160" s="74">
        <v>716500.0</v>
      </c>
      <c r="M10160" s="74">
        <f t="shared" si="6"/>
        <v>720000</v>
      </c>
      <c r="N10160" s="74">
        <f t="shared" si="3"/>
        <v>100000</v>
      </c>
      <c r="O10160" s="65" t="str">
        <f>VLOOKUP(E10160,DATABASE!C:Q,8,false)</f>
        <v>IBU</v>
      </c>
      <c r="P10160" s="65">
        <f>VLOOKUP(E10160,DATABASE!C:Q,9,False)</f>
        <v>1</v>
      </c>
      <c r="Q10160" s="93" t="str">
        <f>VLOOKUP(E10160,DATABASE!C:Q,4,false)</f>
        <v>Dunlop</v>
      </c>
      <c r="R10160" s="93" t="str">
        <f>VLOOKUP(E10160,DATABASE!C:Q,11,false)</f>
        <v>Tire</v>
      </c>
    </row>
    <row r="10161" ht="22.5" customHeight="1">
      <c r="A10161" s="49"/>
      <c r="C10161" s="400">
        <v>46270.0</v>
      </c>
      <c r="D10161" s="524">
        <v>807.0</v>
      </c>
      <c r="E10161" s="544" t="s">
        <v>614</v>
      </c>
      <c r="F10161" s="387">
        <v>2.0</v>
      </c>
      <c r="G10161" s="140">
        <v>845000.0</v>
      </c>
      <c r="H10161" s="74"/>
      <c r="I10161" s="74">
        <f t="shared" si="7"/>
        <v>1690000</v>
      </c>
      <c r="J10161" s="74">
        <f>IF(E10161="SERVICE",I10161-(I10161*50%),Vlookup(E10161,DATABASE!C:Q,10,false)*F10161)</f>
        <v>0</v>
      </c>
      <c r="K10161" s="74">
        <f>VLOOKUP(E10161,DATABASE!C:Q,7,false)</f>
        <v>754660.6</v>
      </c>
      <c r="L10161" s="74">
        <v>754660.6</v>
      </c>
      <c r="M10161" s="74">
        <f t="shared" si="6"/>
        <v>755000</v>
      </c>
      <c r="N10161" s="74">
        <f t="shared" si="3"/>
        <v>180000</v>
      </c>
      <c r="O10161" s="65" t="str">
        <f>VLOOKUP(E10161,DATABASE!C:Q,8,false)</f>
        <v>IBU</v>
      </c>
      <c r="P10161" s="65">
        <f>VLOOKUP(E10161,DATABASE!C:Q,9,False)</f>
        <v>1</v>
      </c>
      <c r="Q10161" s="93" t="str">
        <f>VLOOKUP(E10161,DATABASE!C:Q,4,false)</f>
        <v>Bridgestone</v>
      </c>
      <c r="R10161" s="93" t="str">
        <f>VLOOKUP(E10161,DATABASE!C:Q,11,false)</f>
        <v>Tire</v>
      </c>
    </row>
    <row r="10162" ht="22.5" customHeight="1">
      <c r="A10162" s="49"/>
      <c r="C10162" s="400">
        <v>46270.0</v>
      </c>
      <c r="D10162" s="524">
        <v>807.0</v>
      </c>
      <c r="E10162" s="544" t="s">
        <v>299</v>
      </c>
      <c r="F10162" s="387">
        <v>2.0</v>
      </c>
      <c r="G10162" s="140">
        <v>30000.0</v>
      </c>
      <c r="H10162" s="74"/>
      <c r="I10162" s="74">
        <f t="shared" si="7"/>
        <v>60000</v>
      </c>
      <c r="J10162" s="74">
        <f>IF(E10162="SERVICE",I10162-(I10162*50%),Vlookup(E10162,DATABASE!C:Q,10,false)*F10162)</f>
        <v>0</v>
      </c>
      <c r="K10162" s="74">
        <f>VLOOKUP(E10162,DATABASE!C:Q,7,false)</f>
        <v>10000</v>
      </c>
      <c r="L10162" s="74">
        <v>10000.0</v>
      </c>
      <c r="M10162" s="74">
        <f t="shared" si="6"/>
        <v>10000</v>
      </c>
      <c r="N10162" s="74">
        <f t="shared" si="3"/>
        <v>40000</v>
      </c>
      <c r="O10162" s="65" t="str">
        <f>VLOOKUP(E10162,DATABASE!C:Q,8,false)</f>
        <v>BIAN</v>
      </c>
      <c r="P10162" s="65">
        <f>VLOOKUP(E10162,DATABASE!C:Q,9,False)</f>
        <v>0</v>
      </c>
      <c r="Q10162" s="93" t="str">
        <f>VLOOKUP(E10162,DATABASE!C:Q,4,false)</f>
        <v>Balancing</v>
      </c>
      <c r="R10162" s="93" t="str">
        <f>VLOOKUP(E10162,DATABASE!C:Q,11,false)</f>
        <v>COMPLEMENTARY</v>
      </c>
    </row>
    <row r="10163" ht="22.5" customHeight="1">
      <c r="A10163" s="49"/>
      <c r="C10163" s="400">
        <v>46270.0</v>
      </c>
      <c r="D10163" s="524">
        <v>808.0</v>
      </c>
      <c r="E10163" s="544" t="s">
        <v>572</v>
      </c>
      <c r="F10163" s="387">
        <v>2.0</v>
      </c>
      <c r="G10163" s="140">
        <v>1270000.0</v>
      </c>
      <c r="H10163" s="74"/>
      <c r="I10163" s="74">
        <f t="shared" si="7"/>
        <v>2540000</v>
      </c>
      <c r="J10163" s="74">
        <f>IF(E10163="SERVICE",I10163-(I10163*50%),Vlookup(E10163,DATABASE!C:Q,10,false)*F10163)</f>
        <v>0</v>
      </c>
      <c r="K10163" s="74">
        <f>VLOOKUP(E10163,DATABASE!C:Q,7,false)</f>
        <v>1265000</v>
      </c>
      <c r="L10163" s="74">
        <v>1265000.0</v>
      </c>
      <c r="M10163" s="74">
        <f t="shared" si="6"/>
        <v>1265000</v>
      </c>
      <c r="N10163" s="74">
        <f t="shared" si="3"/>
        <v>10000</v>
      </c>
      <c r="O10163" s="65" t="str">
        <f>VLOOKUP(E10163,DATABASE!C:Q,8,false)</f>
        <v>IBU</v>
      </c>
      <c r="P10163" s="65">
        <f>VLOOKUP(E10163,DATABASE!C:Q,9,False)</f>
        <v>1</v>
      </c>
      <c r="Q10163" s="93" t="str">
        <f>VLOOKUP(E10163,DATABASE!C:Q,4,false)</f>
        <v>Bridgestone</v>
      </c>
      <c r="R10163" s="93" t="str">
        <f>VLOOKUP(E10163,DATABASE!C:Q,11,false)</f>
        <v>Tire</v>
      </c>
    </row>
    <row r="10164" ht="22.5" customHeight="1">
      <c r="A10164" s="49"/>
      <c r="C10164" s="400">
        <v>46270.0</v>
      </c>
      <c r="D10164" s="524">
        <v>808.0</v>
      </c>
      <c r="E10164" s="544" t="s">
        <v>255</v>
      </c>
      <c r="F10164" s="387">
        <v>1.0</v>
      </c>
      <c r="G10164" s="140">
        <v>200000.0</v>
      </c>
      <c r="H10164" s="74"/>
      <c r="I10164" s="74">
        <f t="shared" si="7"/>
        <v>200000</v>
      </c>
      <c r="J10164" s="74">
        <f>IF(E10164="SERVICE",I10164-(I10164*50%),Vlookup(E10164,DATABASE!C:Q,10,false)*F10164)</f>
        <v>0</v>
      </c>
      <c r="K10164" s="74">
        <f>VLOOKUP(E10164,DATABASE!C:Q,7,false)</f>
        <v>161840</v>
      </c>
      <c r="L10164" s="74">
        <v>161840.0</v>
      </c>
      <c r="M10164" s="74">
        <f t="shared" si="6"/>
        <v>165000</v>
      </c>
      <c r="N10164" s="74">
        <f t="shared" si="3"/>
        <v>35000</v>
      </c>
      <c r="O10164" s="65" t="str">
        <f>VLOOKUP(E10164,DATABASE!C:Q,8,false)</f>
        <v>BIAN</v>
      </c>
      <c r="P10164" s="65">
        <f>VLOOKUP(E10164,DATABASE!C:Q,9,False)</f>
        <v>1</v>
      </c>
      <c r="Q10164" s="93" t="str">
        <f>VLOOKUP(E10164,DATABASE!C:Q,4,false)</f>
        <v>BD</v>
      </c>
      <c r="R10164" s="93" t="str">
        <f>VLOOKUP(E10164,DATABASE!C:Q,11,false)</f>
        <v>Tire</v>
      </c>
    </row>
    <row r="10165" ht="22.5" customHeight="1">
      <c r="A10165" s="49"/>
      <c r="C10165" s="400">
        <v>46270.0</v>
      </c>
      <c r="D10165" s="524">
        <v>808.0</v>
      </c>
      <c r="E10165" s="544" t="s">
        <v>814</v>
      </c>
      <c r="F10165" s="387">
        <v>1.0</v>
      </c>
      <c r="G10165" s="140">
        <v>70000.0</v>
      </c>
      <c r="H10165" s="140">
        <v>0.0</v>
      </c>
      <c r="I10165" s="74">
        <f t="shared" si="7"/>
        <v>70000</v>
      </c>
      <c r="J10165" s="74">
        <f>IF(E10165="SERVICE",I10165-(I10165*50%),Vlookup(E10165,DATABASE!C:Q,10,false)*F10165)</f>
        <v>0</v>
      </c>
      <c r="K10165" s="74">
        <f>VLOOKUP(E10165,DATABASE!C:Q,7,false)</f>
        <v>39440</v>
      </c>
      <c r="L10165" s="74">
        <v>39440.0</v>
      </c>
      <c r="M10165" s="74">
        <f t="shared" si="6"/>
        <v>40000</v>
      </c>
      <c r="N10165" s="74">
        <f t="shared" si="3"/>
        <v>30000</v>
      </c>
      <c r="O10165" s="65" t="str">
        <f>VLOOKUP(E10165,DATABASE!C:Q,8,false)</f>
        <v>BIAN</v>
      </c>
      <c r="P10165" s="65">
        <f>VLOOKUP(E10165,DATABASE!C:Q,9,False)</f>
        <v>1</v>
      </c>
      <c r="Q10165" s="93" t="str">
        <f>VLOOKUP(E10165,DATABASE!C:Q,4,false)</f>
        <v>Flap</v>
      </c>
      <c r="R10165" s="93" t="str">
        <f>VLOOKUP(E10165,DATABASE!C:Q,11,false)</f>
        <v>Tire</v>
      </c>
    </row>
    <row r="10166" ht="22.5" customHeight="1">
      <c r="A10166" s="49"/>
      <c r="C10166" s="400">
        <v>46270.0</v>
      </c>
      <c r="D10166" s="524">
        <v>808.0</v>
      </c>
      <c r="E10166" s="544" t="s">
        <v>1686</v>
      </c>
      <c r="F10166" s="387">
        <v>1.0</v>
      </c>
      <c r="G10166" s="140">
        <v>65000.0</v>
      </c>
      <c r="H10166" s="74"/>
      <c r="I10166" s="74">
        <f t="shared" si="7"/>
        <v>65000</v>
      </c>
      <c r="J10166" s="74">
        <f>IF(E10166="SERVICE",I10166-(I10166*50%),Vlookup(E10166,DATABASE!C:Q,10,false)*F10166)</f>
        <v>0</v>
      </c>
      <c r="K10166" s="74">
        <f>VLOOKUP(E10166,DATABASE!C:Q,7,false)</f>
        <v>50000</v>
      </c>
      <c r="L10166" s="74">
        <v>50000.0</v>
      </c>
      <c r="M10166" s="74">
        <f t="shared" si="6"/>
        <v>50000</v>
      </c>
      <c r="N10166" s="74">
        <f t="shared" si="3"/>
        <v>15000</v>
      </c>
      <c r="O10166" s="65" t="str">
        <f>VLOOKUP(E10166,DATABASE!C:Q,8,false)</f>
        <v>BIAN</v>
      </c>
      <c r="P10166" s="65">
        <f>VLOOKUP(E10166,DATABASE!C:Q,9,False)</f>
        <v>1</v>
      </c>
      <c r="Q10166" s="93" t="str">
        <f>VLOOKUP(E10166,DATABASE!C:Q,4,false)</f>
        <v>Flap</v>
      </c>
      <c r="R10166" s="93" t="str">
        <f>VLOOKUP(E10166,DATABASE!C:Q,11,false)</f>
        <v>Tire</v>
      </c>
    </row>
    <row r="10167" ht="22.5" customHeight="1">
      <c r="A10167" s="49"/>
      <c r="C10167" s="400">
        <v>46270.0</v>
      </c>
      <c r="D10167" s="524">
        <v>809.0</v>
      </c>
      <c r="E10167" s="544" t="s">
        <v>591</v>
      </c>
      <c r="F10167" s="387">
        <v>1.0</v>
      </c>
      <c r="G10167" s="140">
        <v>725000.0</v>
      </c>
      <c r="H10167" s="74"/>
      <c r="I10167" s="74">
        <f t="shared" si="7"/>
        <v>725000</v>
      </c>
      <c r="J10167" s="74">
        <f>IF(E10167="SERVICE",I10167-(I10167*50%),Vlookup(E10167,DATABASE!C:Q,10,false)*F10167)</f>
        <v>0</v>
      </c>
      <c r="K10167" s="74">
        <f>VLOOKUP(E10167,DATABASE!C:Q,7,false)</f>
        <v>633035.16</v>
      </c>
      <c r="L10167" s="74">
        <v>633035.16</v>
      </c>
      <c r="M10167" s="74">
        <f t="shared" si="6"/>
        <v>635000</v>
      </c>
      <c r="N10167" s="74">
        <f t="shared" si="3"/>
        <v>90000</v>
      </c>
      <c r="O10167" s="65" t="str">
        <f>VLOOKUP(E10167,DATABASE!C:Q,8,false)</f>
        <v>IBU</v>
      </c>
      <c r="P10167" s="65">
        <f>VLOOKUP(E10167,DATABASE!C:Q,9,False)</f>
        <v>1</v>
      </c>
      <c r="Q10167" s="93" t="str">
        <f>VLOOKUP(E10167,DATABASE!C:Q,4,false)</f>
        <v>Bridgestone</v>
      </c>
      <c r="R10167" s="93" t="str">
        <f>VLOOKUP(E10167,DATABASE!C:Q,11,false)</f>
        <v>Tire</v>
      </c>
    </row>
    <row r="10168" ht="22.5" customHeight="1">
      <c r="A10168" s="49"/>
      <c r="C10168" s="400">
        <v>46271.0</v>
      </c>
      <c r="D10168" s="69">
        <v>812.0</v>
      </c>
      <c r="E10168" s="544" t="s">
        <v>294</v>
      </c>
      <c r="F10168" s="387">
        <v>2.0</v>
      </c>
      <c r="G10168" s="140">
        <v>590000.0</v>
      </c>
      <c r="H10168" s="74"/>
      <c r="I10168" s="74">
        <f t="shared" si="7"/>
        <v>1180000</v>
      </c>
      <c r="J10168" s="74">
        <f>IF(E10168="SERVICE",I10168-(I10168*50%),Vlookup(E10168,DATABASE!C:Q,10,false)*F10168)</f>
        <v>0</v>
      </c>
      <c r="K10168" s="74">
        <f>VLOOKUP(E10168,DATABASE!C:Q,7,false)</f>
        <v>505000</v>
      </c>
      <c r="L10168" s="74">
        <v>505000.0</v>
      </c>
      <c r="M10168" s="74">
        <f t="shared" si="6"/>
        <v>505000</v>
      </c>
      <c r="N10168" s="74">
        <f t="shared" si="3"/>
        <v>170000</v>
      </c>
      <c r="O10168" s="65" t="str">
        <f>VLOOKUP(E10168,DATABASE!C:Q,8,false)</f>
        <v>BIAN</v>
      </c>
      <c r="P10168" s="65">
        <f>VLOOKUP(E10168,DATABASE!C:Q,9,False)</f>
        <v>1</v>
      </c>
      <c r="Q10168" s="93" t="str">
        <f>VLOOKUP(E10168,DATABASE!C:Q,4,false)</f>
        <v>GT</v>
      </c>
      <c r="R10168" s="93" t="str">
        <f>VLOOKUP(E10168,DATABASE!C:Q,11,false)</f>
        <v>Tire</v>
      </c>
    </row>
    <row r="10169" ht="22.5" customHeight="1">
      <c r="A10169" s="49"/>
      <c r="C10169" s="400">
        <v>46271.0</v>
      </c>
      <c r="D10169" s="69">
        <v>813.0</v>
      </c>
      <c r="E10169" s="544" t="s">
        <v>781</v>
      </c>
      <c r="F10169" s="387">
        <v>2.0</v>
      </c>
      <c r="G10169" s="140">
        <v>560000.0</v>
      </c>
      <c r="H10169" s="74"/>
      <c r="I10169" s="74">
        <f t="shared" si="7"/>
        <v>1120000</v>
      </c>
      <c r="J10169" s="74">
        <f>IF(E10169="SERVICE",I10169-(I10169*50%),Vlookup(E10169,DATABASE!C:Q,10,false)*F10169)</f>
        <v>0</v>
      </c>
      <c r="K10169" s="74">
        <f>VLOOKUP(E10169,DATABASE!C:Q,7,false)</f>
        <v>470000</v>
      </c>
      <c r="L10169" s="74">
        <v>470000.0</v>
      </c>
      <c r="M10169" s="74">
        <f t="shared" si="6"/>
        <v>470000</v>
      </c>
      <c r="N10169" s="74">
        <f t="shared" si="3"/>
        <v>180000</v>
      </c>
      <c r="O10169" s="65" t="str">
        <f>VLOOKUP(E10169,DATABASE!C:Q,8,false)</f>
        <v>BIAN</v>
      </c>
      <c r="P10169" s="65">
        <f>VLOOKUP(E10169,DATABASE!C:Q,9,False)</f>
        <v>1</v>
      </c>
      <c r="Q10169" s="93" t="str">
        <f>VLOOKUP(E10169,DATABASE!C:Q,4,false)</f>
        <v>GT</v>
      </c>
      <c r="R10169" s="93" t="str">
        <f>VLOOKUP(E10169,DATABASE!C:Q,11,false)</f>
        <v>Tire</v>
      </c>
    </row>
    <row r="10170" ht="22.5" customHeight="1">
      <c r="A10170" s="49"/>
      <c r="C10170" s="400">
        <v>46271.0</v>
      </c>
      <c r="D10170" s="69">
        <v>813.0</v>
      </c>
      <c r="E10170" s="544" t="s">
        <v>250</v>
      </c>
      <c r="F10170" s="387">
        <v>1.0</v>
      </c>
      <c r="G10170" s="140">
        <v>135000.0</v>
      </c>
      <c r="H10170" s="74"/>
      <c r="I10170" s="74">
        <f t="shared" si="7"/>
        <v>135000</v>
      </c>
      <c r="J10170" s="74">
        <f>IF(E10170="SERVICE",I10170-(I10170*50%),Vlookup(E10170,DATABASE!C:Q,10,false)*F10170)</f>
        <v>0</v>
      </c>
      <c r="K10170" s="74">
        <f>VLOOKUP(E10170,DATABASE!C:Q,7,false)</f>
        <v>102000</v>
      </c>
      <c r="L10170" s="74">
        <v>102000.0</v>
      </c>
      <c r="M10170" s="74">
        <f t="shared" si="6"/>
        <v>105000</v>
      </c>
      <c r="N10170" s="74">
        <f t="shared" si="3"/>
        <v>30000</v>
      </c>
      <c r="O10170" s="65" t="str">
        <f>VLOOKUP(E10170,DATABASE!C:Q,8,false)</f>
        <v>BIAN</v>
      </c>
      <c r="P10170" s="65">
        <f>VLOOKUP(E10170,DATABASE!C:Q,9,False)</f>
        <v>1</v>
      </c>
      <c r="Q10170" s="93" t="str">
        <f>VLOOKUP(E10170,DATABASE!C:Q,4,false)</f>
        <v>BD</v>
      </c>
      <c r="R10170" s="93" t="str">
        <f>VLOOKUP(E10170,DATABASE!C:Q,11,false)</f>
        <v>Tire</v>
      </c>
    </row>
    <row r="10171" ht="22.5" customHeight="1">
      <c r="A10171" s="49"/>
      <c r="C10171" s="400">
        <v>46271.0</v>
      </c>
      <c r="D10171" s="69">
        <v>814.0</v>
      </c>
      <c r="E10171" s="544" t="s">
        <v>275</v>
      </c>
      <c r="F10171" s="387">
        <v>4.0</v>
      </c>
      <c r="G10171" s="140">
        <v>850000.0</v>
      </c>
      <c r="H10171" s="74"/>
      <c r="I10171" s="74">
        <f t="shared" si="7"/>
        <v>3400000</v>
      </c>
      <c r="J10171" s="74">
        <f>IF(E10171="SERVICE",I10171-(I10171*50%),Vlookup(E10171,DATABASE!C:Q,10,false)*F10171)</f>
        <v>0</v>
      </c>
      <c r="K10171" s="74">
        <f>VLOOKUP(E10171,DATABASE!C:Q,7,false)</f>
        <v>782000</v>
      </c>
      <c r="L10171" s="74">
        <v>759500.0</v>
      </c>
      <c r="M10171" s="74">
        <f t="shared" si="6"/>
        <v>760000</v>
      </c>
      <c r="N10171" s="74">
        <f t="shared" si="3"/>
        <v>360000</v>
      </c>
      <c r="O10171" s="65" t="str">
        <f>VLOOKUP(E10171,DATABASE!C:Q,8,false)</f>
        <v>IBU</v>
      </c>
      <c r="P10171" s="65">
        <f>VLOOKUP(E10171,DATABASE!C:Q,9,False)</f>
        <v>1</v>
      </c>
      <c r="Q10171" s="93" t="str">
        <f>VLOOKUP(E10171,DATABASE!C:Q,4,false)</f>
        <v>Dunlop</v>
      </c>
      <c r="R10171" s="93" t="str">
        <f>VLOOKUP(E10171,DATABASE!C:Q,11,false)</f>
        <v>Tire</v>
      </c>
    </row>
    <row r="10172" ht="22.5" customHeight="1">
      <c r="A10172" s="49"/>
      <c r="C10172" s="400">
        <v>46271.0</v>
      </c>
      <c r="D10172" s="69">
        <v>815.0</v>
      </c>
      <c r="E10172" s="544" t="s">
        <v>569</v>
      </c>
      <c r="F10172" s="387">
        <v>1.0</v>
      </c>
      <c r="G10172" s="140">
        <v>80000.0</v>
      </c>
      <c r="H10172" s="74"/>
      <c r="I10172" s="74">
        <f t="shared" si="7"/>
        <v>80000</v>
      </c>
      <c r="J10172" s="74">
        <f>IF(E10172="SERVICE",I10172-(I10172*50%),Vlookup(E10172,DATABASE!C:Q,10,false)*F10172)</f>
        <v>0</v>
      </c>
      <c r="K10172" s="74">
        <f>VLOOKUP(E10172,DATABASE!C:Q,7,false)</f>
        <v>45439.582</v>
      </c>
      <c r="L10172" s="74">
        <v>45439.582</v>
      </c>
      <c r="M10172" s="74">
        <f t="shared" si="6"/>
        <v>50000</v>
      </c>
      <c r="N10172" s="74">
        <f t="shared" si="3"/>
        <v>30000</v>
      </c>
      <c r="O10172" s="65" t="str">
        <f>VLOOKUP(E10172,DATABASE!C:Q,8,false)</f>
        <v>BIAN</v>
      </c>
      <c r="P10172" s="65">
        <f>VLOOKUP(E10172,DATABASE!C:Q,9,False)</f>
        <v>1</v>
      </c>
      <c r="Q10172" s="93" t="str">
        <f>VLOOKUP(E10172,DATABASE!C:Q,4,false)</f>
        <v>BD</v>
      </c>
      <c r="R10172" s="93" t="str">
        <f>VLOOKUP(E10172,DATABASE!C:Q,11,false)</f>
        <v>Tire</v>
      </c>
    </row>
    <row r="10173" ht="22.5" customHeight="1">
      <c r="A10173" s="49"/>
      <c r="C10173" s="400">
        <v>46271.0</v>
      </c>
      <c r="D10173" s="69">
        <v>816.0</v>
      </c>
      <c r="E10173" s="544" t="s">
        <v>256</v>
      </c>
      <c r="F10173" s="387">
        <v>1.0</v>
      </c>
      <c r="G10173" s="140">
        <v>150000.0</v>
      </c>
      <c r="H10173" s="74"/>
      <c r="I10173" s="74">
        <f t="shared" si="7"/>
        <v>150000</v>
      </c>
      <c r="J10173" s="74">
        <f>IF(E10173="SERVICE",I10173-(I10173*50%),Vlookup(E10173,DATABASE!C:Q,10,false)*F10173)</f>
        <v>10000</v>
      </c>
      <c r="K10173" s="74">
        <f>VLOOKUP(E10173,DATABASE!C:Q,7,false)</f>
        <v>0</v>
      </c>
      <c r="L10173" s="74">
        <v>0.0</v>
      </c>
      <c r="M10173" s="74">
        <f t="shared" si="6"/>
        <v>0</v>
      </c>
      <c r="N10173" s="74">
        <f t="shared" si="3"/>
        <v>140000</v>
      </c>
      <c r="O10173" s="65" t="str">
        <f>VLOOKUP(E10173,DATABASE!C:Q,8,false)</f>
        <v>IBU</v>
      </c>
      <c r="P10173" s="65">
        <f>VLOOKUP(E10173,DATABASE!C:Q,9,False)</f>
        <v>0</v>
      </c>
      <c r="Q10173" s="93" t="str">
        <f>VLOOKUP(E10173,DATABASE!C:Q,4,false)</f>
        <v>SPOORING</v>
      </c>
      <c r="R10173" s="93" t="str">
        <f>VLOOKUP(E10173,DATABASE!C:Q,11,false)</f>
        <v>SERVICE</v>
      </c>
    </row>
    <row r="10174" ht="22.5" customHeight="1">
      <c r="A10174" s="49"/>
      <c r="C10174" s="400">
        <v>46271.0</v>
      </c>
      <c r="D10174" s="69">
        <v>817.0</v>
      </c>
      <c r="E10174" s="544" t="s">
        <v>627</v>
      </c>
      <c r="F10174" s="387">
        <v>2.0</v>
      </c>
      <c r="G10174" s="140">
        <v>980000.0</v>
      </c>
      <c r="H10174" s="74"/>
      <c r="I10174" s="74">
        <f t="shared" si="7"/>
        <v>1960000</v>
      </c>
      <c r="J10174" s="74">
        <f>IF(E10174="SERVICE",I10174-(I10174*50%),Vlookup(E10174,DATABASE!C:Q,10,false)*F10174)</f>
        <v>0</v>
      </c>
      <c r="K10174" s="74">
        <f>VLOOKUP(E10174,DATABASE!C:Q,7,false)</f>
        <v>879567</v>
      </c>
      <c r="L10174" s="74">
        <v>879567.0</v>
      </c>
      <c r="M10174" s="74">
        <f t="shared" si="6"/>
        <v>880000</v>
      </c>
      <c r="N10174" s="74">
        <f t="shared" si="3"/>
        <v>200000</v>
      </c>
      <c r="O10174" s="65" t="str">
        <f>VLOOKUP(E10174,DATABASE!C:Q,8,false)</f>
        <v>IBU</v>
      </c>
      <c r="P10174" s="65">
        <f>VLOOKUP(E10174,DATABASE!C:Q,9,False)</f>
        <v>1</v>
      </c>
      <c r="Q10174" s="93" t="str">
        <f>VLOOKUP(E10174,DATABASE!C:Q,4,false)</f>
        <v>Bridgestone</v>
      </c>
      <c r="R10174" s="93" t="str">
        <f>VLOOKUP(E10174,DATABASE!C:Q,11,false)</f>
        <v>Tire</v>
      </c>
    </row>
    <row r="10175" ht="22.5" customHeight="1">
      <c r="A10175" s="49"/>
      <c r="C10175" s="400">
        <v>46271.0</v>
      </c>
      <c r="D10175" s="69">
        <v>818.0</v>
      </c>
      <c r="E10175" s="544" t="s">
        <v>256</v>
      </c>
      <c r="F10175" s="387">
        <v>1.0</v>
      </c>
      <c r="G10175" s="140">
        <v>150000.0</v>
      </c>
      <c r="H10175" s="74"/>
      <c r="I10175" s="74">
        <f t="shared" si="7"/>
        <v>150000</v>
      </c>
      <c r="J10175" s="74">
        <f>IF(E10175="SERVICE",I10175-(I10175*50%),Vlookup(E10175,DATABASE!C:Q,10,false)*F10175)</f>
        <v>10000</v>
      </c>
      <c r="K10175" s="74">
        <f>VLOOKUP(E10175,DATABASE!C:Q,7,false)</f>
        <v>0</v>
      </c>
      <c r="L10175" s="74">
        <v>0.0</v>
      </c>
      <c r="M10175" s="74">
        <f t="shared" si="6"/>
        <v>0</v>
      </c>
      <c r="N10175" s="74">
        <f t="shared" si="3"/>
        <v>140000</v>
      </c>
      <c r="O10175" s="65" t="str">
        <f>VLOOKUP(E10175,DATABASE!C:Q,8,false)</f>
        <v>IBU</v>
      </c>
      <c r="P10175" s="65">
        <f>VLOOKUP(E10175,DATABASE!C:Q,9,False)</f>
        <v>0</v>
      </c>
      <c r="Q10175" s="93" t="str">
        <f>VLOOKUP(E10175,DATABASE!C:Q,4,false)</f>
        <v>SPOORING</v>
      </c>
      <c r="R10175" s="93" t="str">
        <f>VLOOKUP(E10175,DATABASE!C:Q,11,false)</f>
        <v>SERVICE</v>
      </c>
    </row>
    <row r="10176" ht="22.5" customHeight="1">
      <c r="A10176" s="49"/>
      <c r="C10176" s="400">
        <v>46271.0</v>
      </c>
      <c r="D10176" s="69">
        <v>818.0</v>
      </c>
      <c r="E10176" s="544" t="s">
        <v>299</v>
      </c>
      <c r="F10176" s="387">
        <v>2.0</v>
      </c>
      <c r="G10176" s="140">
        <v>30000.0</v>
      </c>
      <c r="H10176" s="74"/>
      <c r="I10176" s="74">
        <f t="shared" si="7"/>
        <v>60000</v>
      </c>
      <c r="J10176" s="74">
        <f>IF(E10176="SERVICE",I10176-(I10176*50%),Vlookup(E10176,DATABASE!C:Q,10,false)*F10176)</f>
        <v>0</v>
      </c>
      <c r="K10176" s="74">
        <f>VLOOKUP(E10176,DATABASE!C:Q,7,false)</f>
        <v>10000</v>
      </c>
      <c r="L10176" s="74">
        <v>10000.0</v>
      </c>
      <c r="M10176" s="74">
        <f t="shared" si="6"/>
        <v>10000</v>
      </c>
      <c r="N10176" s="74">
        <f t="shared" si="3"/>
        <v>40000</v>
      </c>
      <c r="O10176" s="65" t="str">
        <f>VLOOKUP(E10176,DATABASE!C:Q,8,false)</f>
        <v>BIAN</v>
      </c>
      <c r="P10176" s="65">
        <f>VLOOKUP(E10176,DATABASE!C:Q,9,False)</f>
        <v>0</v>
      </c>
      <c r="Q10176" s="93" t="str">
        <f>VLOOKUP(E10176,DATABASE!C:Q,4,false)</f>
        <v>Balancing</v>
      </c>
      <c r="R10176" s="93" t="str">
        <f>VLOOKUP(E10176,DATABASE!C:Q,11,false)</f>
        <v>COMPLEMENTARY</v>
      </c>
    </row>
    <row r="10177" ht="22.5" customHeight="1">
      <c r="A10177" s="49"/>
      <c r="C10177" s="400">
        <v>46271.0</v>
      </c>
      <c r="D10177" s="69">
        <v>818.0</v>
      </c>
      <c r="E10177" s="544" t="s">
        <v>251</v>
      </c>
      <c r="F10177" s="387">
        <v>1.0</v>
      </c>
      <c r="G10177" s="140">
        <v>150000.0</v>
      </c>
      <c r="H10177" s="74"/>
      <c r="I10177" s="74">
        <f t="shared" si="7"/>
        <v>150000</v>
      </c>
      <c r="J10177" s="74">
        <f>IF(E10177="SERVICE",I10177-(I10177*50%),Vlookup(E10177,DATABASE!C:Q,10,false)*F10177)</f>
        <v>75000</v>
      </c>
      <c r="K10177" s="74">
        <f>VLOOKUP(E10177,DATABASE!C:Q,7,false)</f>
        <v>0</v>
      </c>
      <c r="L10177" s="74">
        <v>0.0</v>
      </c>
      <c r="M10177" s="74">
        <f t="shared" si="6"/>
        <v>0</v>
      </c>
      <c r="N10177" s="74">
        <f t="shared" si="3"/>
        <v>75000</v>
      </c>
      <c r="O10177" s="65" t="str">
        <f>VLOOKUP(E10177,DATABASE!C:Q,8,false)</f>
        <v>IBU</v>
      </c>
      <c r="P10177" s="65">
        <f>VLOOKUP(E10177,DATABASE!C:Q,9,False)</f>
        <v>0</v>
      </c>
      <c r="Q10177" s="93" t="str">
        <f>VLOOKUP(E10177,DATABASE!C:Q,4,false)</f>
        <v>SERVICE</v>
      </c>
      <c r="R10177" s="93" t="str">
        <f>VLOOKUP(E10177,DATABASE!C:Q,11,false)</f>
        <v>SERVICE</v>
      </c>
    </row>
    <row r="10178" ht="22.5" customHeight="1">
      <c r="A10178" s="49"/>
      <c r="C10178" s="400">
        <v>46271.0</v>
      </c>
      <c r="D10178" s="69">
        <v>819.0</v>
      </c>
      <c r="E10178" s="544" t="s">
        <v>268</v>
      </c>
      <c r="F10178" s="387">
        <v>2.0</v>
      </c>
      <c r="G10178" s="140">
        <v>720000.0</v>
      </c>
      <c r="H10178" s="74"/>
      <c r="I10178" s="74">
        <f t="shared" si="7"/>
        <v>1440000</v>
      </c>
      <c r="J10178" s="74">
        <f>IF(E10178="SERVICE",I10178-(I10178*50%),Vlookup(E10178,DATABASE!C:Q,10,false)*F10178)</f>
        <v>0</v>
      </c>
      <c r="K10178" s="74">
        <f>VLOOKUP(E10178,DATABASE!C:Q,7,false)</f>
        <v>653000</v>
      </c>
      <c r="L10178" s="74">
        <v>634500.0</v>
      </c>
      <c r="M10178" s="74">
        <f t="shared" si="6"/>
        <v>635000</v>
      </c>
      <c r="N10178" s="74">
        <f t="shared" si="3"/>
        <v>170000</v>
      </c>
      <c r="O10178" s="65" t="str">
        <f>VLOOKUP(E10178,DATABASE!C:Q,8,false)</f>
        <v>IBU</v>
      </c>
      <c r="P10178" s="65">
        <f>VLOOKUP(E10178,DATABASE!C:Q,9,False)</f>
        <v>1</v>
      </c>
      <c r="Q10178" s="93" t="str">
        <f>VLOOKUP(E10178,DATABASE!C:Q,4,false)</f>
        <v>Dunlop</v>
      </c>
      <c r="R10178" s="93" t="str">
        <f>VLOOKUP(E10178,DATABASE!C:Q,11,false)</f>
        <v>Tire</v>
      </c>
    </row>
    <row r="10179" ht="22.5" customHeight="1">
      <c r="A10179" s="49"/>
      <c r="C10179" s="400">
        <v>46271.0</v>
      </c>
      <c r="D10179" s="69">
        <v>819.0</v>
      </c>
      <c r="E10179" s="544" t="s">
        <v>250</v>
      </c>
      <c r="F10179" s="387">
        <v>2.0</v>
      </c>
      <c r="G10179" s="140">
        <v>135000.0</v>
      </c>
      <c r="H10179" s="74"/>
      <c r="I10179" s="74">
        <f t="shared" si="7"/>
        <v>270000</v>
      </c>
      <c r="J10179" s="74">
        <f>IF(E10179="SERVICE",I10179-(I10179*50%),Vlookup(E10179,DATABASE!C:Q,10,false)*F10179)</f>
        <v>0</v>
      </c>
      <c r="K10179" s="74">
        <f>VLOOKUP(E10179,DATABASE!C:Q,7,false)</f>
        <v>102000</v>
      </c>
      <c r="L10179" s="74">
        <v>102000.0</v>
      </c>
      <c r="M10179" s="74">
        <f t="shared" si="6"/>
        <v>105000</v>
      </c>
      <c r="N10179" s="74">
        <f t="shared" si="3"/>
        <v>60000</v>
      </c>
      <c r="O10179" s="65" t="str">
        <f>VLOOKUP(E10179,DATABASE!C:Q,8,false)</f>
        <v>BIAN</v>
      </c>
      <c r="P10179" s="65">
        <f>VLOOKUP(E10179,DATABASE!C:Q,9,False)</f>
        <v>1</v>
      </c>
      <c r="Q10179" s="93" t="str">
        <f>VLOOKUP(E10179,DATABASE!C:Q,4,false)</f>
        <v>BD</v>
      </c>
      <c r="R10179" s="93" t="str">
        <f>VLOOKUP(E10179,DATABASE!C:Q,11,false)</f>
        <v>Tire</v>
      </c>
    </row>
    <row r="10180" ht="22.5" customHeight="1">
      <c r="A10180" s="49"/>
      <c r="C10180" s="400">
        <v>46271.0</v>
      </c>
      <c r="D10180" s="69">
        <v>819.0</v>
      </c>
      <c r="E10180" s="544" t="s">
        <v>262</v>
      </c>
      <c r="F10180" s="387">
        <v>1.0</v>
      </c>
      <c r="G10180" s="140">
        <v>130000.0</v>
      </c>
      <c r="H10180" s="74"/>
      <c r="I10180" s="74">
        <f t="shared" si="7"/>
        <v>130000</v>
      </c>
      <c r="J10180" s="74">
        <f>IF(E10180="SERVICE",I10180-(I10180*50%),Vlookup(E10180,DATABASE!C:Q,10,false)*F10180)</f>
        <v>5000</v>
      </c>
      <c r="K10180" s="74">
        <f>VLOOKUP(E10180,DATABASE!C:Q,7,false)</f>
        <v>0</v>
      </c>
      <c r="L10180" s="74">
        <v>0.0</v>
      </c>
      <c r="M10180" s="74">
        <f t="shared" si="6"/>
        <v>0</v>
      </c>
      <c r="N10180" s="74">
        <f t="shared" si="3"/>
        <v>125000</v>
      </c>
      <c r="O10180" s="65" t="str">
        <f>VLOOKUP(E10180,DATABASE!C:Q,8,false)</f>
        <v>IBU</v>
      </c>
      <c r="P10180" s="65">
        <f>VLOOKUP(E10180,DATABASE!C:Q,9,False)</f>
        <v>0</v>
      </c>
      <c r="Q10180" s="93" t="str">
        <f>VLOOKUP(E10180,DATABASE!C:Q,4,false)</f>
        <v>SPOORING SS/CARRY LOS BAK</v>
      </c>
      <c r="R10180" s="93" t="str">
        <f>VLOOKUP(E10180,DATABASE!C:Q,11,false)</f>
        <v>SERVICE</v>
      </c>
    </row>
    <row r="10181" ht="22.5" customHeight="1">
      <c r="A10181" s="49"/>
      <c r="C10181" s="400">
        <v>46271.0</v>
      </c>
      <c r="D10181" s="69">
        <v>819.0</v>
      </c>
      <c r="E10181" s="544" t="s">
        <v>299</v>
      </c>
      <c r="F10181" s="387">
        <v>4.0</v>
      </c>
      <c r="G10181" s="140">
        <v>30000.0</v>
      </c>
      <c r="H10181" s="74"/>
      <c r="I10181" s="74">
        <f t="shared" si="7"/>
        <v>120000</v>
      </c>
      <c r="J10181" s="74">
        <f>IF(E10181="SERVICE",I10181-(I10181*50%),Vlookup(E10181,DATABASE!C:Q,10,false)*F10181)</f>
        <v>0</v>
      </c>
      <c r="K10181" s="74">
        <f>VLOOKUP(E10181,DATABASE!C:Q,7,false)</f>
        <v>10000</v>
      </c>
      <c r="L10181" s="74">
        <v>10000.0</v>
      </c>
      <c r="M10181" s="74">
        <f t="shared" si="6"/>
        <v>10000</v>
      </c>
      <c r="N10181" s="74">
        <f t="shared" si="3"/>
        <v>80000</v>
      </c>
      <c r="O10181" s="65" t="str">
        <f>VLOOKUP(E10181,DATABASE!C:Q,8,false)</f>
        <v>BIAN</v>
      </c>
      <c r="P10181" s="65">
        <f>VLOOKUP(E10181,DATABASE!C:Q,9,False)</f>
        <v>0</v>
      </c>
      <c r="Q10181" s="93" t="str">
        <f>VLOOKUP(E10181,DATABASE!C:Q,4,false)</f>
        <v>Balancing</v>
      </c>
      <c r="R10181" s="93" t="str">
        <f>VLOOKUP(E10181,DATABASE!C:Q,11,false)</f>
        <v>COMPLEMENTARY</v>
      </c>
    </row>
    <row r="10182" ht="22.5" customHeight="1">
      <c r="A10182" s="49"/>
      <c r="C10182" s="400">
        <v>46271.0</v>
      </c>
      <c r="D10182" s="69">
        <v>819.0</v>
      </c>
      <c r="E10182" s="544" t="s">
        <v>478</v>
      </c>
      <c r="F10182" s="387">
        <v>1.0</v>
      </c>
      <c r="G10182" s="140">
        <v>200000.0</v>
      </c>
      <c r="H10182" s="74"/>
      <c r="I10182" s="74">
        <f t="shared" si="7"/>
        <v>200000</v>
      </c>
      <c r="J10182" s="74">
        <f>IF(E10182="SERVICE",I10182-(I10182*50%),Vlookup(E10182,DATABASE!C:Q,10,false)*F10182)</f>
        <v>25000</v>
      </c>
      <c r="K10182" s="74">
        <f>VLOOKUP(E10182,DATABASE!C:Q,7,false)</f>
        <v>75000</v>
      </c>
      <c r="L10182" s="74">
        <v>75000.0</v>
      </c>
      <c r="M10182" s="74">
        <f t="shared" si="6"/>
        <v>75000</v>
      </c>
      <c r="N10182" s="74">
        <f t="shared" si="3"/>
        <v>100000</v>
      </c>
      <c r="O10182" s="65" t="str">
        <f>VLOOKUP(E10182,DATABASE!C:Q,8,false)</f>
        <v>BIAN</v>
      </c>
      <c r="P10182" s="65">
        <f>VLOOKUP(E10182,DATABASE!C:Q,9,False)</f>
        <v>0</v>
      </c>
      <c r="Q10182" s="93" t="str">
        <f>VLOOKUP(E10182,DATABASE!C:Q,4,false)</f>
        <v>Baut Camber ss-carry</v>
      </c>
      <c r="R10182" s="93" t="str">
        <f>VLOOKUP(E10182,DATABASE!C:Q,11,false)</f>
        <v>COMPLEMENTARY</v>
      </c>
    </row>
    <row r="10183" ht="22.5" customHeight="1">
      <c r="A10183" s="49"/>
      <c r="C10183" s="400">
        <v>46271.0</v>
      </c>
      <c r="D10183" s="69" t="s">
        <v>2928</v>
      </c>
      <c r="E10183" s="544" t="s">
        <v>263</v>
      </c>
      <c r="F10183" s="387">
        <v>1.0</v>
      </c>
      <c r="G10183" s="140">
        <v>385000.0</v>
      </c>
      <c r="H10183" s="74"/>
      <c r="I10183" s="74">
        <f t="shared" si="7"/>
        <v>385000</v>
      </c>
      <c r="J10183" s="74">
        <f>IF(E10183="SERVICE",I10183-(I10183*50%),Vlookup(E10183,DATABASE!C:Q,10,false)*F10183)</f>
        <v>0</v>
      </c>
      <c r="K10183" s="74">
        <f>VLOOKUP(E10183,DATABASE!C:Q,7,false)</f>
        <v>334916</v>
      </c>
      <c r="L10183" s="74">
        <v>334916.0</v>
      </c>
      <c r="M10183" s="74">
        <f t="shared" si="6"/>
        <v>335000</v>
      </c>
      <c r="N10183" s="74">
        <f t="shared" si="3"/>
        <v>50000</v>
      </c>
      <c r="O10183" s="65" t="str">
        <f>VLOOKUP(E10183,DATABASE!C:Q,8,false)</f>
        <v>NON</v>
      </c>
      <c r="P10183" s="65">
        <f>VLOOKUP(E10183,DATABASE!C:Q,9,False)</f>
        <v>0</v>
      </c>
      <c r="Q10183" s="93" t="str">
        <f>VLOOKUP(E10183,DATABASE!C:Q,4,false)</f>
        <v>Shell</v>
      </c>
      <c r="R10183" s="93" t="str">
        <f>VLOOKUP(E10183,DATABASE!C:Q,11,false)</f>
        <v>OIL</v>
      </c>
    </row>
    <row r="10184" ht="22.5" customHeight="1">
      <c r="A10184" s="49"/>
      <c r="C10184" s="400">
        <v>46271.0</v>
      </c>
      <c r="D10184" s="69" t="s">
        <v>2929</v>
      </c>
      <c r="E10184" s="544" t="s">
        <v>2930</v>
      </c>
      <c r="F10184" s="387">
        <v>1.0</v>
      </c>
      <c r="G10184" s="140">
        <v>640000.0</v>
      </c>
      <c r="H10184" s="74"/>
      <c r="I10184" s="74">
        <f t="shared" si="7"/>
        <v>640000</v>
      </c>
      <c r="J10184" s="74">
        <f>IF(E10184="SERVICE",I10184-(I10184*50%),Vlookup(E10184,DATABASE!C:Q,10,false)*F10184)</f>
        <v>0</v>
      </c>
      <c r="K10184" s="74">
        <f>VLOOKUP(E10184,DATABASE!C:Q,7,false)</f>
        <v>587850.5</v>
      </c>
      <c r="L10184" s="74">
        <v>587850.5</v>
      </c>
      <c r="M10184" s="74">
        <f t="shared" si="6"/>
        <v>590000</v>
      </c>
      <c r="N10184" s="74">
        <f t="shared" si="3"/>
        <v>50000</v>
      </c>
      <c r="O10184" s="65" t="str">
        <f>VLOOKUP(E10184,DATABASE!C:Q,8,false)</f>
        <v>NON VPT</v>
      </c>
      <c r="P10184" s="65">
        <f>VLOOKUP(E10184,DATABASE!C:Q,9,False)</f>
        <v>0</v>
      </c>
      <c r="Q10184" s="93" t="str">
        <f>VLOOKUP(E10184,DATABASE!C:Q,4,false)</f>
        <v>Pertamina</v>
      </c>
      <c r="R10184" s="93" t="str">
        <f>VLOOKUP(E10184,DATABASE!C:Q,11,false)</f>
        <v>OIL</v>
      </c>
    </row>
    <row r="10185" ht="22.5" customHeight="1">
      <c r="A10185" s="49"/>
      <c r="C10185" s="400">
        <v>46271.0</v>
      </c>
      <c r="D10185" s="69" t="s">
        <v>2929</v>
      </c>
      <c r="E10185" s="544" t="s">
        <v>2186</v>
      </c>
      <c r="F10185" s="387">
        <v>1.0</v>
      </c>
      <c r="G10185" s="140">
        <v>125000.0</v>
      </c>
      <c r="H10185" s="74"/>
      <c r="I10185" s="74">
        <f t="shared" si="7"/>
        <v>125000</v>
      </c>
      <c r="J10185" s="74">
        <f>IF(E10185="SERVICE",I10185-(I10185*50%),Vlookup(E10185,DATABASE!C:Q,10,false)*F10185)</f>
        <v>0</v>
      </c>
      <c r="K10185" s="74">
        <f>VLOOKUP(E10185,DATABASE!C:Q,7,false)</f>
        <v>96400</v>
      </c>
      <c r="L10185" s="74">
        <v>96400.0</v>
      </c>
      <c r="M10185" s="74">
        <f t="shared" si="6"/>
        <v>100000</v>
      </c>
      <c r="N10185" s="74">
        <f t="shared" si="3"/>
        <v>25000</v>
      </c>
      <c r="O10185" s="65" t="str">
        <f>VLOOKUP(E10185,DATABASE!C:Q,8,false)</f>
        <v>NON</v>
      </c>
      <c r="P10185" s="65">
        <f>VLOOKUP(E10185,DATABASE!C:Q,9,False)</f>
        <v>0</v>
      </c>
      <c r="Q10185" s="93" t="str">
        <f>VLOOKUP(E10185,DATABASE!C:Q,4,false)</f>
        <v>Shell</v>
      </c>
      <c r="R10185" s="93" t="str">
        <f>VLOOKUP(E10185,DATABASE!C:Q,11,false)</f>
        <v>OIL</v>
      </c>
    </row>
    <row r="10186" ht="22.5" customHeight="1">
      <c r="A10186" s="49"/>
      <c r="C10186" s="400">
        <v>46272.0</v>
      </c>
      <c r="D10186" s="69">
        <v>820.0</v>
      </c>
      <c r="E10186" s="544" t="s">
        <v>275</v>
      </c>
      <c r="F10186" s="387">
        <v>1.0</v>
      </c>
      <c r="G10186" s="140">
        <v>850000.0</v>
      </c>
      <c r="H10186" s="74"/>
      <c r="I10186" s="74">
        <f t="shared" si="7"/>
        <v>850000</v>
      </c>
      <c r="J10186" s="74">
        <f>IF(E10186="SERVICE",I10186-(I10186*50%),Vlookup(E10186,DATABASE!C:Q,10,false)*F10186)</f>
        <v>0</v>
      </c>
      <c r="K10186" s="74">
        <f>VLOOKUP(E10186,DATABASE!C:Q,7,false)</f>
        <v>782000</v>
      </c>
      <c r="L10186" s="74">
        <v>759500.0</v>
      </c>
      <c r="M10186" s="74">
        <f t="shared" si="6"/>
        <v>760000</v>
      </c>
      <c r="N10186" s="74">
        <f t="shared" si="3"/>
        <v>90000</v>
      </c>
      <c r="O10186" s="65" t="str">
        <f>VLOOKUP(E10186,DATABASE!C:Q,8,false)</f>
        <v>IBU</v>
      </c>
      <c r="P10186" s="65">
        <f>VLOOKUP(E10186,DATABASE!C:Q,9,False)</f>
        <v>1</v>
      </c>
      <c r="Q10186" s="93" t="str">
        <f>VLOOKUP(E10186,DATABASE!C:Q,4,false)</f>
        <v>Dunlop</v>
      </c>
      <c r="R10186" s="93" t="str">
        <f>VLOOKUP(E10186,DATABASE!C:Q,11,false)</f>
        <v>Tire</v>
      </c>
    </row>
    <row r="10187" ht="22.5" customHeight="1">
      <c r="A10187" s="49"/>
      <c r="C10187" s="400">
        <v>46272.0</v>
      </c>
      <c r="D10187" s="69">
        <v>821.0</v>
      </c>
      <c r="E10187" s="544" t="s">
        <v>1894</v>
      </c>
      <c r="F10187" s="387">
        <v>2.0</v>
      </c>
      <c r="G10187" s="140">
        <v>545000.0</v>
      </c>
      <c r="H10187" s="74"/>
      <c r="I10187" s="74">
        <f t="shared" si="7"/>
        <v>1090000</v>
      </c>
      <c r="J10187" s="74">
        <f>IF(E10187="SERVICE",I10187-(I10187*50%),Vlookup(E10187,DATABASE!C:Q,10,false)*F10187)</f>
        <v>0</v>
      </c>
      <c r="K10187" s="74">
        <f>VLOOKUP(E10187,DATABASE!C:Q,7,false)</f>
        <v>458600</v>
      </c>
      <c r="L10187" s="74">
        <v>458600.0</v>
      </c>
      <c r="M10187" s="74">
        <f t="shared" si="6"/>
        <v>460000</v>
      </c>
      <c r="N10187" s="74">
        <f t="shared" si="3"/>
        <v>170000</v>
      </c>
      <c r="O10187" s="65" t="str">
        <f>VLOOKUP(E10187,DATABASE!C:Q,8,false)</f>
        <v>BIAN</v>
      </c>
      <c r="P10187" s="65">
        <f>VLOOKUP(E10187,DATABASE!C:Q,9,False)</f>
        <v>1</v>
      </c>
      <c r="Q10187" s="93" t="str">
        <f>VLOOKUP(E10187,DATABASE!C:Q,4,false)</f>
        <v>GT</v>
      </c>
      <c r="R10187" s="93" t="str">
        <f>VLOOKUP(E10187,DATABASE!C:Q,11,false)</f>
        <v>Tire</v>
      </c>
    </row>
    <row r="10188" ht="22.5" customHeight="1">
      <c r="A10188" s="49"/>
      <c r="C10188" s="400">
        <v>46272.0</v>
      </c>
      <c r="D10188" s="69">
        <v>822.0</v>
      </c>
      <c r="E10188" s="544" t="s">
        <v>627</v>
      </c>
      <c r="F10188" s="387">
        <v>2.0</v>
      </c>
      <c r="G10188" s="140">
        <v>980000.0</v>
      </c>
      <c r="H10188" s="74"/>
      <c r="I10188" s="74">
        <f t="shared" si="7"/>
        <v>1960000</v>
      </c>
      <c r="J10188" s="74">
        <f>IF(E10188="SERVICE",I10188-(I10188*50%),Vlookup(E10188,DATABASE!C:Q,10,false)*F10188)</f>
        <v>0</v>
      </c>
      <c r="K10188" s="74">
        <f>VLOOKUP(E10188,DATABASE!C:Q,7,false)</f>
        <v>879567</v>
      </c>
      <c r="L10188" s="74">
        <v>879567.0</v>
      </c>
      <c r="M10188" s="74">
        <f t="shared" si="6"/>
        <v>880000</v>
      </c>
      <c r="N10188" s="74">
        <f t="shared" si="3"/>
        <v>200000</v>
      </c>
      <c r="O10188" s="65" t="str">
        <f>VLOOKUP(E10188,DATABASE!C:Q,8,false)</f>
        <v>IBU</v>
      </c>
      <c r="P10188" s="65">
        <f>VLOOKUP(E10188,DATABASE!C:Q,9,False)</f>
        <v>1</v>
      </c>
      <c r="Q10188" s="93" t="str">
        <f>VLOOKUP(E10188,DATABASE!C:Q,4,false)</f>
        <v>Bridgestone</v>
      </c>
      <c r="R10188" s="93" t="str">
        <f>VLOOKUP(E10188,DATABASE!C:Q,11,false)</f>
        <v>Tire</v>
      </c>
    </row>
    <row r="10189" ht="22.5" customHeight="1">
      <c r="A10189" s="49"/>
      <c r="C10189" s="400">
        <v>46272.0</v>
      </c>
      <c r="D10189" s="69">
        <v>822.0</v>
      </c>
      <c r="E10189" s="544" t="s">
        <v>299</v>
      </c>
      <c r="F10189" s="387">
        <v>2.0</v>
      </c>
      <c r="G10189" s="140">
        <v>30000.0</v>
      </c>
      <c r="H10189" s="74"/>
      <c r="I10189" s="74">
        <f t="shared" si="7"/>
        <v>60000</v>
      </c>
      <c r="J10189" s="74">
        <f>IF(E10189="SERVICE",I10189-(I10189*50%),Vlookup(E10189,DATABASE!C:Q,10,false)*F10189)</f>
        <v>0</v>
      </c>
      <c r="K10189" s="74">
        <f>VLOOKUP(E10189,DATABASE!C:Q,7,false)</f>
        <v>10000</v>
      </c>
      <c r="L10189" s="74">
        <v>10000.0</v>
      </c>
      <c r="M10189" s="74">
        <f t="shared" si="6"/>
        <v>10000</v>
      </c>
      <c r="N10189" s="74">
        <f t="shared" si="3"/>
        <v>40000</v>
      </c>
      <c r="O10189" s="65" t="str">
        <f>VLOOKUP(E10189,DATABASE!C:Q,8,false)</f>
        <v>BIAN</v>
      </c>
      <c r="P10189" s="65">
        <f>VLOOKUP(E10189,DATABASE!C:Q,9,False)</f>
        <v>0</v>
      </c>
      <c r="Q10189" s="93" t="str">
        <f>VLOOKUP(E10189,DATABASE!C:Q,4,false)</f>
        <v>Balancing</v>
      </c>
      <c r="R10189" s="93" t="str">
        <f>VLOOKUP(E10189,DATABASE!C:Q,11,false)</f>
        <v>COMPLEMENTARY</v>
      </c>
    </row>
    <row r="10190" ht="22.5" customHeight="1">
      <c r="A10190" s="49"/>
      <c r="C10190" s="400">
        <v>46272.0</v>
      </c>
      <c r="D10190" s="69">
        <v>823.0</v>
      </c>
      <c r="E10190" s="544" t="s">
        <v>955</v>
      </c>
      <c r="F10190" s="387">
        <v>2.0</v>
      </c>
      <c r="G10190" s="140">
        <v>780000.0</v>
      </c>
      <c r="H10190" s="74"/>
      <c r="I10190" s="74">
        <f t="shared" si="7"/>
        <v>1560000</v>
      </c>
      <c r="J10190" s="74">
        <f>IF(E10190="SERVICE",I10190-(I10190*50%),Vlookup(E10190,DATABASE!C:Q,10,false)*F10190)</f>
        <v>0</v>
      </c>
      <c r="K10190" s="74">
        <f>VLOOKUP(E10190,DATABASE!C:Q,7,false)</f>
        <v>712000</v>
      </c>
      <c r="L10190" s="74">
        <v>688000.0</v>
      </c>
      <c r="M10190" s="74">
        <f t="shared" si="6"/>
        <v>690000</v>
      </c>
      <c r="N10190" s="74">
        <f t="shared" si="3"/>
        <v>180000</v>
      </c>
      <c r="O10190" s="65" t="str">
        <f>VLOOKUP(E10190,DATABASE!C:Q,8,false)</f>
        <v>IBU</v>
      </c>
      <c r="P10190" s="65">
        <f>VLOOKUP(E10190,DATABASE!C:Q,9,False)</f>
        <v>1</v>
      </c>
      <c r="Q10190" s="93" t="str">
        <f>VLOOKUP(E10190,DATABASE!C:Q,4,false)</f>
        <v>Dunlop</v>
      </c>
      <c r="R10190" s="93" t="str">
        <f>VLOOKUP(E10190,DATABASE!C:Q,11,false)</f>
        <v>Tire</v>
      </c>
    </row>
    <row r="10191" ht="22.5" customHeight="1">
      <c r="A10191" s="49"/>
      <c r="C10191" s="400">
        <v>46272.0</v>
      </c>
      <c r="D10191" s="69">
        <v>823.0</v>
      </c>
      <c r="E10191" s="544" t="s">
        <v>299</v>
      </c>
      <c r="F10191" s="387">
        <v>4.0</v>
      </c>
      <c r="G10191" s="140">
        <v>30000.0</v>
      </c>
      <c r="H10191" s="74"/>
      <c r="I10191" s="74">
        <f t="shared" si="7"/>
        <v>120000</v>
      </c>
      <c r="J10191" s="74">
        <f>IF(E10191="SERVICE",I10191-(I10191*50%),Vlookup(E10191,DATABASE!C:Q,10,false)*F10191)</f>
        <v>0</v>
      </c>
      <c r="K10191" s="74">
        <f>VLOOKUP(E10191,DATABASE!C:Q,7,false)</f>
        <v>10000</v>
      </c>
      <c r="L10191" s="74">
        <v>10000.0</v>
      </c>
      <c r="M10191" s="74">
        <f t="shared" si="6"/>
        <v>10000</v>
      </c>
      <c r="N10191" s="74">
        <f t="shared" si="3"/>
        <v>80000</v>
      </c>
      <c r="O10191" s="65" t="str">
        <f>VLOOKUP(E10191,DATABASE!C:Q,8,false)</f>
        <v>BIAN</v>
      </c>
      <c r="P10191" s="65">
        <f>VLOOKUP(E10191,DATABASE!C:Q,9,False)</f>
        <v>0</v>
      </c>
      <c r="Q10191" s="93" t="str">
        <f>VLOOKUP(E10191,DATABASE!C:Q,4,false)</f>
        <v>Balancing</v>
      </c>
      <c r="R10191" s="93" t="str">
        <f>VLOOKUP(E10191,DATABASE!C:Q,11,false)</f>
        <v>COMPLEMENTARY</v>
      </c>
    </row>
    <row r="10192" ht="22.5" customHeight="1">
      <c r="A10192" s="49"/>
      <c r="C10192" s="400">
        <v>46272.0</v>
      </c>
      <c r="D10192" s="69">
        <v>824.0</v>
      </c>
      <c r="E10192" s="544" t="s">
        <v>271</v>
      </c>
      <c r="F10192" s="387">
        <v>1.0</v>
      </c>
      <c r="G10192" s="140">
        <v>640000.0</v>
      </c>
      <c r="H10192" s="74"/>
      <c r="I10192" s="74">
        <f t="shared" si="7"/>
        <v>640000</v>
      </c>
      <c r="J10192" s="74">
        <f>IF(E10192="SERVICE",I10192-(I10192*50%),Vlookup(E10192,DATABASE!C:Q,10,false)*F10192)</f>
        <v>0</v>
      </c>
      <c r="K10192" s="74">
        <f>VLOOKUP(E10192,DATABASE!C:Q,7,false)</f>
        <v>570000</v>
      </c>
      <c r="L10192" s="74">
        <v>550000.0</v>
      </c>
      <c r="M10192" s="74">
        <f t="shared" si="6"/>
        <v>550000</v>
      </c>
      <c r="N10192" s="74">
        <f t="shared" si="3"/>
        <v>90000</v>
      </c>
      <c r="O10192" s="65" t="str">
        <f>VLOOKUP(E10192,DATABASE!C:Q,8,false)</f>
        <v>IBU</v>
      </c>
      <c r="P10192" s="65">
        <f>VLOOKUP(E10192,DATABASE!C:Q,9,False)</f>
        <v>1</v>
      </c>
      <c r="Q10192" s="93" t="str">
        <f>VLOOKUP(E10192,DATABASE!C:Q,4,false)</f>
        <v>Dunlop</v>
      </c>
      <c r="R10192" s="93" t="str">
        <f>VLOOKUP(E10192,DATABASE!C:Q,11,false)</f>
        <v>Tire</v>
      </c>
    </row>
    <row r="10193" ht="22.5" customHeight="1">
      <c r="A10193" s="49"/>
      <c r="C10193" s="400">
        <v>46272.0</v>
      </c>
      <c r="D10193" s="69">
        <v>825.0</v>
      </c>
      <c r="E10193" s="544" t="s">
        <v>1301</v>
      </c>
      <c r="F10193" s="387">
        <v>2.0</v>
      </c>
      <c r="G10193" s="140">
        <v>1300000.0</v>
      </c>
      <c r="H10193" s="74"/>
      <c r="I10193" s="74">
        <f t="shared" si="7"/>
        <v>2600000</v>
      </c>
      <c r="J10193" s="74">
        <f>IF(E10193="SERVICE",I10193-(I10193*50%),Vlookup(E10193,DATABASE!C:Q,10,false)*F10193)</f>
        <v>0</v>
      </c>
      <c r="K10193" s="74">
        <f>VLOOKUP(E10193,DATABASE!C:Q,7,false)</f>
        <v>1194000</v>
      </c>
      <c r="L10193" s="74">
        <v>1194000.0</v>
      </c>
      <c r="M10193" s="74">
        <f t="shared" si="6"/>
        <v>1195000</v>
      </c>
      <c r="N10193" s="74">
        <f t="shared" si="3"/>
        <v>210000</v>
      </c>
      <c r="O10193" s="65" t="str">
        <f>VLOOKUP(E10193,DATABASE!C:Q,8,false)</f>
        <v>IBU</v>
      </c>
      <c r="P10193" s="65">
        <f>VLOOKUP(E10193,DATABASE!C:Q,9,False)</f>
        <v>1</v>
      </c>
      <c r="Q10193" s="93" t="str">
        <f>VLOOKUP(E10193,DATABASE!C:Q,4,false)</f>
        <v>Dunlop</v>
      </c>
      <c r="R10193" s="93" t="str">
        <f>VLOOKUP(E10193,DATABASE!C:Q,11,false)</f>
        <v>Tire</v>
      </c>
    </row>
    <row r="10194" ht="22.5" customHeight="1">
      <c r="A10194" s="49"/>
      <c r="C10194" s="400">
        <v>46272.0</v>
      </c>
      <c r="D10194" s="69">
        <v>826.0</v>
      </c>
      <c r="E10194" s="544" t="s">
        <v>299</v>
      </c>
      <c r="F10194" s="387">
        <v>2.0</v>
      </c>
      <c r="G10194" s="140">
        <v>30000.0</v>
      </c>
      <c r="H10194" s="140">
        <v>5000.0</v>
      </c>
      <c r="I10194" s="74">
        <f t="shared" si="7"/>
        <v>50000</v>
      </c>
      <c r="J10194" s="74">
        <f>IF(E10194="SERVICE",I10194-(I10194*50%),Vlookup(E10194,DATABASE!C:Q,10,false)*F10194)</f>
        <v>0</v>
      </c>
      <c r="K10194" s="74">
        <f>VLOOKUP(E10194,DATABASE!C:Q,7,false)</f>
        <v>10000</v>
      </c>
      <c r="L10194" s="74">
        <v>10000.0</v>
      </c>
      <c r="M10194" s="74">
        <f t="shared" si="6"/>
        <v>10000</v>
      </c>
      <c r="N10194" s="74">
        <f t="shared" si="3"/>
        <v>30000</v>
      </c>
      <c r="O10194" s="65" t="str">
        <f>VLOOKUP(E10194,DATABASE!C:Q,8,false)</f>
        <v>BIAN</v>
      </c>
      <c r="P10194" s="65">
        <f>VLOOKUP(E10194,DATABASE!C:Q,9,False)</f>
        <v>0</v>
      </c>
      <c r="Q10194" s="93" t="str">
        <f>VLOOKUP(E10194,DATABASE!C:Q,4,false)</f>
        <v>Balancing</v>
      </c>
      <c r="R10194" s="93" t="str">
        <f>VLOOKUP(E10194,DATABASE!C:Q,11,false)</f>
        <v>COMPLEMENTARY</v>
      </c>
    </row>
    <row r="10195" ht="22.5" customHeight="1">
      <c r="A10195" s="49"/>
      <c r="C10195" s="400">
        <v>46272.0</v>
      </c>
      <c r="D10195" s="69">
        <v>828.0</v>
      </c>
      <c r="E10195" s="544" t="s">
        <v>955</v>
      </c>
      <c r="F10195" s="387">
        <v>2.0</v>
      </c>
      <c r="G10195" s="140">
        <v>780000.0</v>
      </c>
      <c r="H10195" s="74"/>
      <c r="I10195" s="74">
        <f t="shared" si="7"/>
        <v>1560000</v>
      </c>
      <c r="J10195" s="74">
        <f>IF(E10195="SERVICE",I10195-(I10195*50%),Vlookup(E10195,DATABASE!C:Q,10,false)*F10195)</f>
        <v>0</v>
      </c>
      <c r="K10195" s="74">
        <f>VLOOKUP(E10195,DATABASE!C:Q,7,false)</f>
        <v>712000</v>
      </c>
      <c r="L10195" s="74">
        <v>688000.0</v>
      </c>
      <c r="M10195" s="74">
        <f t="shared" si="6"/>
        <v>690000</v>
      </c>
      <c r="N10195" s="74">
        <f t="shared" si="3"/>
        <v>180000</v>
      </c>
      <c r="O10195" s="65" t="str">
        <f>VLOOKUP(E10195,DATABASE!C:Q,8,false)</f>
        <v>IBU</v>
      </c>
      <c r="P10195" s="65">
        <f>VLOOKUP(E10195,DATABASE!C:Q,9,False)</f>
        <v>1</v>
      </c>
      <c r="Q10195" s="93" t="str">
        <f>VLOOKUP(E10195,DATABASE!C:Q,4,false)</f>
        <v>Dunlop</v>
      </c>
      <c r="R10195" s="93" t="str">
        <f>VLOOKUP(E10195,DATABASE!C:Q,11,false)</f>
        <v>Tire</v>
      </c>
    </row>
    <row r="10196" ht="22.5" customHeight="1">
      <c r="A10196" s="49"/>
      <c r="C10196" s="400">
        <v>46272.0</v>
      </c>
      <c r="D10196" s="69">
        <v>829.0</v>
      </c>
      <c r="E10196" s="544" t="s">
        <v>572</v>
      </c>
      <c r="F10196" s="387">
        <v>2.0</v>
      </c>
      <c r="G10196" s="140">
        <v>1270000.0</v>
      </c>
      <c r="H10196" s="74"/>
      <c r="I10196" s="74">
        <f t="shared" si="7"/>
        <v>2540000</v>
      </c>
      <c r="J10196" s="74">
        <f>IF(E10196="SERVICE",I10196-(I10196*50%),Vlookup(E10196,DATABASE!C:Q,10,false)*F10196)</f>
        <v>0</v>
      </c>
      <c r="K10196" s="74">
        <f>VLOOKUP(E10196,DATABASE!C:Q,7,false)</f>
        <v>1265000</v>
      </c>
      <c r="L10196" s="74">
        <v>1265000.0</v>
      </c>
      <c r="M10196" s="74">
        <f t="shared" si="6"/>
        <v>1265000</v>
      </c>
      <c r="N10196" s="74">
        <f t="shared" si="3"/>
        <v>10000</v>
      </c>
      <c r="O10196" s="65" t="str">
        <f>VLOOKUP(E10196,DATABASE!C:Q,8,false)</f>
        <v>IBU</v>
      </c>
      <c r="P10196" s="65">
        <f>VLOOKUP(E10196,DATABASE!C:Q,9,False)</f>
        <v>1</v>
      </c>
      <c r="Q10196" s="93" t="str">
        <f>VLOOKUP(E10196,DATABASE!C:Q,4,false)</f>
        <v>Bridgestone</v>
      </c>
      <c r="R10196" s="93" t="str">
        <f>VLOOKUP(E10196,DATABASE!C:Q,11,false)</f>
        <v>Tire</v>
      </c>
    </row>
    <row r="10197" ht="22.5" customHeight="1">
      <c r="A10197" s="49"/>
      <c r="C10197" s="400">
        <v>46272.0</v>
      </c>
      <c r="D10197" s="69">
        <v>829.0</v>
      </c>
      <c r="E10197" s="544" t="s">
        <v>652</v>
      </c>
      <c r="F10197" s="387">
        <v>1.0</v>
      </c>
      <c r="G10197" s="140">
        <v>270000.0</v>
      </c>
      <c r="H10197" s="74"/>
      <c r="I10197" s="74">
        <f t="shared" si="7"/>
        <v>270000</v>
      </c>
      <c r="J10197" s="74">
        <f>IF(E10197="SERVICE",I10197-(I10197*50%),Vlookup(E10197,DATABASE!C:Q,10,false)*F10197)</f>
        <v>0</v>
      </c>
      <c r="K10197" s="74">
        <f>VLOOKUP(E10197,DATABASE!C:Q,7,false)</f>
        <v>231268</v>
      </c>
      <c r="L10197" s="74">
        <v>231268.0</v>
      </c>
      <c r="M10197" s="74">
        <f t="shared" si="6"/>
        <v>235000</v>
      </c>
      <c r="N10197" s="74">
        <f t="shared" si="3"/>
        <v>35000</v>
      </c>
      <c r="O10197" s="65" t="str">
        <f>VLOOKUP(E10197,DATABASE!C:Q,8,false)</f>
        <v>IBU</v>
      </c>
      <c r="P10197" s="65">
        <f>VLOOKUP(E10197,DATABASE!C:Q,9,False)</f>
        <v>1</v>
      </c>
      <c r="Q10197" s="93" t="str">
        <f>VLOOKUP(E10197,DATABASE!C:Q,4,false)</f>
        <v>BD</v>
      </c>
      <c r="R10197" s="93" t="str">
        <f>VLOOKUP(E10197,DATABASE!C:Q,11,false)</f>
        <v>Tire</v>
      </c>
    </row>
    <row r="10198" ht="22.5" customHeight="1">
      <c r="A10198" s="49"/>
      <c r="C10198" s="400">
        <v>46272.0</v>
      </c>
      <c r="D10198" s="69">
        <v>829.0</v>
      </c>
      <c r="E10198" s="544" t="s">
        <v>284</v>
      </c>
      <c r="F10198" s="387">
        <v>1.0</v>
      </c>
      <c r="G10198" s="140">
        <v>70000.0</v>
      </c>
      <c r="H10198" s="74"/>
      <c r="I10198" s="74">
        <f t="shared" si="7"/>
        <v>70000</v>
      </c>
      <c r="J10198" s="74">
        <f>IF(E10198="SERVICE",I10198-(I10198*50%),Vlookup(E10198,DATABASE!C:Q,10,false)*F10198)</f>
        <v>0</v>
      </c>
      <c r="K10198" s="74">
        <f>VLOOKUP(E10198,DATABASE!C:Q,7,false)</f>
        <v>36630</v>
      </c>
      <c r="L10198" s="74">
        <v>36630.0</v>
      </c>
      <c r="M10198" s="74">
        <f t="shared" si="6"/>
        <v>40000</v>
      </c>
      <c r="N10198" s="74">
        <f t="shared" si="3"/>
        <v>30000</v>
      </c>
      <c r="O10198" s="65" t="str">
        <f>VLOOKUP(E10198,DATABASE!C:Q,8,false)</f>
        <v>BIAN</v>
      </c>
      <c r="P10198" s="65">
        <f>VLOOKUP(E10198,DATABASE!C:Q,9,False)</f>
        <v>1</v>
      </c>
      <c r="Q10198" s="93" t="str">
        <f>VLOOKUP(E10198,DATABASE!C:Q,4,false)</f>
        <v>Flap</v>
      </c>
      <c r="R10198" s="93" t="str">
        <f>VLOOKUP(E10198,DATABASE!C:Q,11,false)</f>
        <v>Tire</v>
      </c>
    </row>
    <row r="10199" ht="22.5" customHeight="1">
      <c r="A10199" s="49"/>
      <c r="C10199" s="400">
        <v>46272.0</v>
      </c>
      <c r="D10199" s="69">
        <v>830.0</v>
      </c>
      <c r="E10199" s="544" t="s">
        <v>295</v>
      </c>
      <c r="F10199" s="387">
        <v>6.0</v>
      </c>
      <c r="G10199" s="140">
        <v>1580000.0</v>
      </c>
      <c r="H10199" s="140">
        <v>20000.0</v>
      </c>
      <c r="I10199" s="74">
        <f t="shared" si="7"/>
        <v>9360000</v>
      </c>
      <c r="J10199" s="74">
        <f>IF(E10199="SERVICE",I10199-(I10199*50%),Vlookup(E10199,DATABASE!C:Q,10,false)*F10199)</f>
        <v>0</v>
      </c>
      <c r="K10199" s="74">
        <f>VLOOKUP(E10199,DATABASE!C:Q,7,false)</f>
        <v>1475000</v>
      </c>
      <c r="L10199" s="74">
        <v>1475000.0</v>
      </c>
      <c r="M10199" s="74">
        <f t="shared" si="6"/>
        <v>1475000</v>
      </c>
      <c r="N10199" s="74">
        <f t="shared" si="3"/>
        <v>510000</v>
      </c>
      <c r="O10199" s="65" t="str">
        <f>VLOOKUP(E10199,DATABASE!C:Q,8,false)</f>
        <v>BIAN</v>
      </c>
      <c r="P10199" s="65">
        <f>VLOOKUP(E10199,DATABASE!C:Q,9,False)</f>
        <v>1</v>
      </c>
      <c r="Q10199" s="93" t="str">
        <f>VLOOKUP(E10199,DATABASE!C:Q,4,false)</f>
        <v>TIRON</v>
      </c>
      <c r="R10199" s="93" t="str">
        <f>VLOOKUP(E10199,DATABASE!C:Q,11,false)</f>
        <v>Tire</v>
      </c>
    </row>
    <row r="10200" ht="22.5" customHeight="1">
      <c r="A10200" s="49"/>
      <c r="C10200" s="400">
        <v>46272.0</v>
      </c>
      <c r="D10200" s="69">
        <v>831.0</v>
      </c>
      <c r="E10200" s="544" t="s">
        <v>613</v>
      </c>
      <c r="F10200" s="387">
        <v>1.0</v>
      </c>
      <c r="G10200" s="140">
        <v>100000.0</v>
      </c>
      <c r="H10200" s="74"/>
      <c r="I10200" s="74">
        <f t="shared" si="7"/>
        <v>100000</v>
      </c>
      <c r="J10200" s="74">
        <f>IF(E10200="SERVICE",I10200-(I10200*50%),Vlookup(E10200,DATABASE!C:Q,10,false)*F10200)</f>
        <v>0</v>
      </c>
      <c r="K10200" s="74">
        <f>VLOOKUP(E10200,DATABASE!C:Q,7,false)</f>
        <v>58371.2695</v>
      </c>
      <c r="L10200" s="74">
        <v>58371.2695</v>
      </c>
      <c r="M10200" s="74">
        <f t="shared" si="6"/>
        <v>60000</v>
      </c>
      <c r="N10200" s="74">
        <f t="shared" si="3"/>
        <v>40000</v>
      </c>
      <c r="O10200" s="65" t="str">
        <f>VLOOKUP(E10200,DATABASE!C:Q,8,false)</f>
        <v>BIAN</v>
      </c>
      <c r="P10200" s="65">
        <f>VLOOKUP(E10200,DATABASE!C:Q,9,False)</f>
        <v>1</v>
      </c>
      <c r="Q10200" s="93" t="str">
        <f>VLOOKUP(E10200,DATABASE!C:Q,4,false)</f>
        <v>BD</v>
      </c>
      <c r="R10200" s="93" t="str">
        <f>VLOOKUP(E10200,DATABASE!C:Q,11,false)</f>
        <v>Tire</v>
      </c>
    </row>
    <row r="10201" ht="22.5" customHeight="1">
      <c r="A10201" s="49"/>
      <c r="C10201" s="400">
        <v>46272.0</v>
      </c>
      <c r="D10201" s="69">
        <v>832.0</v>
      </c>
      <c r="E10201" s="544" t="s">
        <v>695</v>
      </c>
      <c r="F10201" s="387">
        <v>1.0</v>
      </c>
      <c r="G10201" s="140">
        <v>675000.0</v>
      </c>
      <c r="H10201" s="74"/>
      <c r="I10201" s="74">
        <f t="shared" si="7"/>
        <v>675000</v>
      </c>
      <c r="J10201" s="74">
        <f>IF(E10201="SERVICE",I10201-(I10201*50%),Vlookup(E10201,DATABASE!C:Q,10,false)*F10201)</f>
        <v>0</v>
      </c>
      <c r="K10201" s="74">
        <f>VLOOKUP(E10201,DATABASE!C:Q,7,false)</f>
        <v>582000</v>
      </c>
      <c r="L10201" s="74">
        <v>582000.0</v>
      </c>
      <c r="M10201" s="74">
        <f t="shared" si="6"/>
        <v>585000</v>
      </c>
      <c r="N10201" s="74">
        <f t="shared" si="3"/>
        <v>90000</v>
      </c>
      <c r="O10201" s="65" t="str">
        <f>VLOOKUP(E10201,DATABASE!C:Q,8,false)</f>
        <v>IBU</v>
      </c>
      <c r="P10201" s="65">
        <f>VLOOKUP(E10201,DATABASE!C:Q,9,False)</f>
        <v>1</v>
      </c>
      <c r="Q10201" s="93" t="str">
        <f>VLOOKUP(E10201,DATABASE!C:Q,4,false)</f>
        <v>Dunlop</v>
      </c>
      <c r="R10201" s="93" t="str">
        <f>VLOOKUP(E10201,DATABASE!C:Q,11,false)</f>
        <v>Tire</v>
      </c>
    </row>
    <row r="10202" ht="22.5" customHeight="1">
      <c r="A10202" s="49"/>
      <c r="C10202" s="400">
        <v>46273.0</v>
      </c>
      <c r="D10202" s="524">
        <v>833.0</v>
      </c>
      <c r="E10202" s="544" t="s">
        <v>265</v>
      </c>
      <c r="F10202" s="387">
        <v>2.0</v>
      </c>
      <c r="G10202" s="140">
        <v>700000.0</v>
      </c>
      <c r="H10202" s="74"/>
      <c r="I10202" s="74">
        <f t="shared" si="7"/>
        <v>1400000</v>
      </c>
      <c r="J10202" s="74">
        <f>IF(E10202="SERVICE",I10202-(I10202*50%),Vlookup(E10202,DATABASE!C:Q,10,false)*F10202)</f>
        <v>0</v>
      </c>
      <c r="K10202" s="74">
        <f>VLOOKUP(E10202,DATABASE!C:Q,7,false)</f>
        <v>628000</v>
      </c>
      <c r="L10202" s="74">
        <v>610000.0</v>
      </c>
      <c r="M10202" s="74">
        <f t="shared" si="6"/>
        <v>610000</v>
      </c>
      <c r="N10202" s="74">
        <f t="shared" si="3"/>
        <v>180000</v>
      </c>
      <c r="O10202" s="65" t="str">
        <f>VLOOKUP(E10202,DATABASE!C:Q,8,false)</f>
        <v>IBU</v>
      </c>
      <c r="P10202" s="65">
        <f>VLOOKUP(E10202,DATABASE!C:Q,9,False)</f>
        <v>1</v>
      </c>
      <c r="Q10202" s="93" t="str">
        <f>VLOOKUP(E10202,DATABASE!C:Q,4,false)</f>
        <v>Dunlop</v>
      </c>
      <c r="R10202" s="93" t="str">
        <f>VLOOKUP(E10202,DATABASE!C:Q,11,false)</f>
        <v>Tire</v>
      </c>
    </row>
    <row r="10203" ht="22.5" customHeight="1">
      <c r="A10203" s="49"/>
      <c r="C10203" s="400">
        <v>46273.0</v>
      </c>
      <c r="D10203" s="524">
        <v>833.0</v>
      </c>
      <c r="E10203" s="544" t="s">
        <v>246</v>
      </c>
      <c r="F10203" s="387">
        <v>2.0</v>
      </c>
      <c r="G10203" s="140">
        <v>35000.0</v>
      </c>
      <c r="H10203" s="140">
        <v>15000.0</v>
      </c>
      <c r="I10203" s="74">
        <f t="shared" si="7"/>
        <v>40000</v>
      </c>
      <c r="J10203" s="74">
        <f>IF(E10203="SERVICE",I10203-(I10203*50%),Vlookup(E10203,DATABASE!C:Q,10,false)*F10203)</f>
        <v>0</v>
      </c>
      <c r="K10203" s="74">
        <f>VLOOKUP(E10203,DATABASE!C:Q,7,false)</f>
        <v>0</v>
      </c>
      <c r="L10203" s="74">
        <v>0.0</v>
      </c>
      <c r="M10203" s="74">
        <f t="shared" si="6"/>
        <v>0</v>
      </c>
      <c r="N10203" s="74">
        <f t="shared" si="3"/>
        <v>40000</v>
      </c>
      <c r="O10203" s="65" t="str">
        <f>VLOOKUP(E10203,DATABASE!C:Q,8,false)</f>
        <v>IBU</v>
      </c>
      <c r="P10203" s="65">
        <f>VLOOKUP(E10203,DATABASE!C:Q,9,False)</f>
        <v>0</v>
      </c>
      <c r="Q10203" s="93" t="str">
        <f>VLOOKUP(E10203,DATABASE!C:Q,4,false)</f>
        <v>Bongkar Pasang</v>
      </c>
      <c r="R10203" s="93" t="str">
        <f>VLOOKUP(E10203,DATABASE!C:Q,11,false)</f>
        <v>SERVICE</v>
      </c>
    </row>
    <row r="10204" ht="22.5" customHeight="1">
      <c r="A10204" s="49"/>
      <c r="C10204" s="400">
        <v>46273.0</v>
      </c>
      <c r="D10204" s="69">
        <v>834.0</v>
      </c>
      <c r="E10204" s="544" t="s">
        <v>256</v>
      </c>
      <c r="F10204" s="387">
        <v>1.0</v>
      </c>
      <c r="G10204" s="140">
        <v>175000.0</v>
      </c>
      <c r="H10204" s="140">
        <v>25000.0</v>
      </c>
      <c r="I10204" s="74">
        <f t="shared" si="7"/>
        <v>150000</v>
      </c>
      <c r="J10204" s="74">
        <f>IF(E10204="SERVICE",I10204-(I10204*50%),Vlookup(E10204,DATABASE!C:Q,10,false)*F10204)</f>
        <v>10000</v>
      </c>
      <c r="K10204" s="74">
        <f>VLOOKUP(E10204,DATABASE!C:Q,7,false)</f>
        <v>0</v>
      </c>
      <c r="L10204" s="74">
        <v>0.0</v>
      </c>
      <c r="M10204" s="74">
        <f t="shared" si="6"/>
        <v>0</v>
      </c>
      <c r="N10204" s="74">
        <f t="shared" si="3"/>
        <v>140000</v>
      </c>
      <c r="O10204" s="65" t="str">
        <f>VLOOKUP(E10204,DATABASE!C:Q,8,false)</f>
        <v>IBU</v>
      </c>
      <c r="P10204" s="65">
        <f>VLOOKUP(E10204,DATABASE!C:Q,9,False)</f>
        <v>0</v>
      </c>
      <c r="Q10204" s="93" t="str">
        <f>VLOOKUP(E10204,DATABASE!C:Q,4,false)</f>
        <v>SPOORING</v>
      </c>
      <c r="R10204" s="93" t="str">
        <f>VLOOKUP(E10204,DATABASE!C:Q,11,false)</f>
        <v>SERVICE</v>
      </c>
    </row>
    <row r="10205" ht="22.5" customHeight="1">
      <c r="A10205" s="49"/>
      <c r="C10205" s="400">
        <v>46273.0</v>
      </c>
      <c r="D10205" s="69">
        <v>835.0</v>
      </c>
      <c r="E10205" s="544" t="s">
        <v>268</v>
      </c>
      <c r="F10205" s="387">
        <v>1.0</v>
      </c>
      <c r="G10205" s="140">
        <v>720000.0</v>
      </c>
      <c r="H10205" s="74"/>
      <c r="I10205" s="74">
        <f t="shared" si="7"/>
        <v>720000</v>
      </c>
      <c r="J10205" s="74">
        <f>IF(E10205="SERVICE",I10205-(I10205*50%),Vlookup(E10205,DATABASE!C:Q,10,false)*F10205)</f>
        <v>0</v>
      </c>
      <c r="K10205" s="74">
        <f>VLOOKUP(E10205,DATABASE!C:Q,7,false)</f>
        <v>653000</v>
      </c>
      <c r="L10205" s="74">
        <v>634500.0</v>
      </c>
      <c r="M10205" s="74">
        <f t="shared" si="6"/>
        <v>635000</v>
      </c>
      <c r="N10205" s="74">
        <f t="shared" si="3"/>
        <v>85000</v>
      </c>
      <c r="O10205" s="65" t="str">
        <f>VLOOKUP(E10205,DATABASE!C:Q,8,false)</f>
        <v>IBU</v>
      </c>
      <c r="P10205" s="65">
        <f>VLOOKUP(E10205,DATABASE!C:Q,9,False)</f>
        <v>1</v>
      </c>
      <c r="Q10205" s="93" t="str">
        <f>VLOOKUP(E10205,DATABASE!C:Q,4,false)</f>
        <v>Dunlop</v>
      </c>
      <c r="R10205" s="93" t="str">
        <f>VLOOKUP(E10205,DATABASE!C:Q,11,false)</f>
        <v>Tire</v>
      </c>
    </row>
    <row r="10206" ht="22.5" customHeight="1">
      <c r="A10206" s="49"/>
      <c r="C10206" s="400">
        <v>46273.0</v>
      </c>
      <c r="D10206" s="524">
        <v>836.0</v>
      </c>
      <c r="E10206" s="544" t="s">
        <v>286</v>
      </c>
      <c r="F10206" s="387">
        <v>2.0</v>
      </c>
      <c r="G10206" s="140">
        <v>580000.0</v>
      </c>
      <c r="H10206" s="74"/>
      <c r="I10206" s="74">
        <f t="shared" si="7"/>
        <v>1160000</v>
      </c>
      <c r="J10206" s="74">
        <f>IF(E10206="SERVICE",I10206-(I10206*50%),Vlookup(E10206,DATABASE!C:Q,10,false)*F10206)</f>
        <v>0</v>
      </c>
      <c r="K10206" s="74">
        <f>VLOOKUP(E10206,DATABASE!C:Q,7,false)</f>
        <v>488320</v>
      </c>
      <c r="L10206" s="74">
        <v>488320.0</v>
      </c>
      <c r="M10206" s="74">
        <f t="shared" si="6"/>
        <v>490000</v>
      </c>
      <c r="N10206" s="74">
        <f t="shared" si="3"/>
        <v>180000</v>
      </c>
      <c r="O10206" s="65" t="str">
        <f>VLOOKUP(E10206,DATABASE!C:Q,8,false)</f>
        <v>BIAN</v>
      </c>
      <c r="P10206" s="65">
        <f>VLOOKUP(E10206,DATABASE!C:Q,9,False)</f>
        <v>1</v>
      </c>
      <c r="Q10206" s="93" t="str">
        <f>VLOOKUP(E10206,DATABASE!C:Q,4,false)</f>
        <v>GT</v>
      </c>
      <c r="R10206" s="93" t="str">
        <f>VLOOKUP(E10206,DATABASE!C:Q,11,false)</f>
        <v>Tire</v>
      </c>
    </row>
    <row r="10207" ht="22.5" customHeight="1">
      <c r="A10207" s="49"/>
      <c r="C10207" s="400">
        <v>46273.0</v>
      </c>
      <c r="D10207" s="524">
        <v>837.0</v>
      </c>
      <c r="E10207" s="544" t="s">
        <v>279</v>
      </c>
      <c r="F10207" s="387">
        <v>1.0</v>
      </c>
      <c r="G10207" s="140">
        <v>690000.0</v>
      </c>
      <c r="H10207" s="74"/>
      <c r="I10207" s="74">
        <f t="shared" si="7"/>
        <v>690000</v>
      </c>
      <c r="J10207" s="74">
        <f>IF(E10207="SERVICE",I10207-(I10207*50%),Vlookup(E10207,DATABASE!C:Q,10,false)*F10207)</f>
        <v>0</v>
      </c>
      <c r="K10207" s="74">
        <f>VLOOKUP(E10207,DATABASE!C:Q,7,false)</f>
        <v>623000</v>
      </c>
      <c r="L10207" s="74">
        <v>602000.0</v>
      </c>
      <c r="M10207" s="74">
        <f t="shared" si="6"/>
        <v>605000</v>
      </c>
      <c r="N10207" s="74">
        <f t="shared" si="3"/>
        <v>85000</v>
      </c>
      <c r="O10207" s="65" t="str">
        <f>VLOOKUP(E10207,DATABASE!C:Q,8,false)</f>
        <v>IBU</v>
      </c>
      <c r="P10207" s="65">
        <f>VLOOKUP(E10207,DATABASE!C:Q,9,False)</f>
        <v>1</v>
      </c>
      <c r="Q10207" s="93" t="str">
        <f>VLOOKUP(E10207,DATABASE!C:Q,4,false)</f>
        <v>Dunlop</v>
      </c>
      <c r="R10207" s="93" t="str">
        <f>VLOOKUP(E10207,DATABASE!C:Q,11,false)</f>
        <v>Tire</v>
      </c>
    </row>
    <row r="10208" ht="22.5" customHeight="1">
      <c r="A10208" s="49"/>
      <c r="C10208" s="400">
        <v>46273.0</v>
      </c>
      <c r="D10208" s="524">
        <v>838.0</v>
      </c>
      <c r="E10208" s="544" t="s">
        <v>374</v>
      </c>
      <c r="F10208" s="387">
        <v>2.0</v>
      </c>
      <c r="G10208" s="140">
        <v>2080000.0</v>
      </c>
      <c r="H10208" s="74"/>
      <c r="I10208" s="74">
        <f t="shared" si="7"/>
        <v>4160000</v>
      </c>
      <c r="J10208" s="74">
        <f>IF(E10208="SERVICE",I10208-(I10208*50%),Vlookup(E10208,DATABASE!C:Q,10,false)*F10208)</f>
        <v>0</v>
      </c>
      <c r="K10208" s="74">
        <f>VLOOKUP(E10208,DATABASE!C:Q,7,false)</f>
        <v>1980000</v>
      </c>
      <c r="L10208" s="74">
        <v>1980000.0</v>
      </c>
      <c r="M10208" s="74">
        <f t="shared" si="6"/>
        <v>1980000</v>
      </c>
      <c r="N10208" s="74">
        <f t="shared" si="3"/>
        <v>200000</v>
      </c>
      <c r="O10208" s="65" t="str">
        <f>VLOOKUP(E10208,DATABASE!C:Q,8,false)</f>
        <v>BIAN</v>
      </c>
      <c r="P10208" s="65">
        <f>VLOOKUP(E10208,DATABASE!C:Q,9,False)</f>
        <v>1</v>
      </c>
      <c r="Q10208" s="93" t="str">
        <f>VLOOKUP(E10208,DATABASE!C:Q,4,false)</f>
        <v>Advance</v>
      </c>
      <c r="R10208" s="93" t="str">
        <f>VLOOKUP(E10208,DATABASE!C:Q,11,false)</f>
        <v>Tire</v>
      </c>
    </row>
    <row r="10209" ht="22.5" customHeight="1">
      <c r="A10209" s="49"/>
      <c r="C10209" s="400">
        <v>46273.0</v>
      </c>
      <c r="D10209" s="524">
        <v>839.0</v>
      </c>
      <c r="E10209" s="544" t="s">
        <v>256</v>
      </c>
      <c r="F10209" s="387">
        <v>1.0</v>
      </c>
      <c r="G10209" s="140">
        <v>175000.0</v>
      </c>
      <c r="H10209" s="140">
        <v>25000.0</v>
      </c>
      <c r="I10209" s="74">
        <f t="shared" si="7"/>
        <v>150000</v>
      </c>
      <c r="J10209" s="74">
        <f>IF(E10209="SERVICE",I10209-(I10209*50%),Vlookup(E10209,DATABASE!C:Q,10,false)*F10209)</f>
        <v>10000</v>
      </c>
      <c r="K10209" s="74">
        <f>VLOOKUP(E10209,DATABASE!C:Q,7,false)</f>
        <v>0</v>
      </c>
      <c r="L10209" s="74">
        <v>0.0</v>
      </c>
      <c r="M10209" s="74">
        <f t="shared" si="6"/>
        <v>0</v>
      </c>
      <c r="N10209" s="74">
        <f t="shared" si="3"/>
        <v>140000</v>
      </c>
      <c r="O10209" s="65" t="str">
        <f>VLOOKUP(E10209,DATABASE!C:Q,8,false)</f>
        <v>IBU</v>
      </c>
      <c r="P10209" s="65">
        <f>VLOOKUP(E10209,DATABASE!C:Q,9,False)</f>
        <v>0</v>
      </c>
      <c r="Q10209" s="93" t="str">
        <f>VLOOKUP(E10209,DATABASE!C:Q,4,false)</f>
        <v>SPOORING</v>
      </c>
      <c r="R10209" s="93" t="str">
        <f>VLOOKUP(E10209,DATABASE!C:Q,11,false)</f>
        <v>SERVICE</v>
      </c>
    </row>
    <row r="10210" ht="22.5" customHeight="1">
      <c r="A10210" s="49"/>
      <c r="C10210" s="400">
        <v>46273.0</v>
      </c>
      <c r="D10210" s="524">
        <v>839.0</v>
      </c>
      <c r="E10210" s="544" t="s">
        <v>299</v>
      </c>
      <c r="F10210" s="387">
        <v>2.0</v>
      </c>
      <c r="G10210" s="140">
        <v>30000.0</v>
      </c>
      <c r="H10210" s="74"/>
      <c r="I10210" s="74">
        <f t="shared" si="7"/>
        <v>60000</v>
      </c>
      <c r="J10210" s="74">
        <f>IF(E10210="SERVICE",I10210-(I10210*50%),Vlookup(E10210,DATABASE!C:Q,10,false)*F10210)</f>
        <v>0</v>
      </c>
      <c r="K10210" s="74">
        <f>VLOOKUP(E10210,DATABASE!C:Q,7,false)</f>
        <v>10000</v>
      </c>
      <c r="L10210" s="74">
        <v>10000.0</v>
      </c>
      <c r="M10210" s="74">
        <f t="shared" si="6"/>
        <v>10000</v>
      </c>
      <c r="N10210" s="74">
        <f t="shared" si="3"/>
        <v>40000</v>
      </c>
      <c r="O10210" s="65" t="str">
        <f>VLOOKUP(E10210,DATABASE!C:Q,8,false)</f>
        <v>BIAN</v>
      </c>
      <c r="P10210" s="65">
        <f>VLOOKUP(E10210,DATABASE!C:Q,9,False)</f>
        <v>0</v>
      </c>
      <c r="Q10210" s="93" t="str">
        <f>VLOOKUP(E10210,DATABASE!C:Q,4,false)</f>
        <v>Balancing</v>
      </c>
      <c r="R10210" s="93" t="str">
        <f>VLOOKUP(E10210,DATABASE!C:Q,11,false)</f>
        <v>COMPLEMENTARY</v>
      </c>
    </row>
    <row r="10211" ht="22.5" customHeight="1">
      <c r="A10211" s="49"/>
      <c r="C10211" s="400">
        <v>46273.0</v>
      </c>
      <c r="D10211" s="524">
        <v>840.0</v>
      </c>
      <c r="E10211" s="544" t="s">
        <v>256</v>
      </c>
      <c r="F10211" s="387">
        <v>1.0</v>
      </c>
      <c r="G10211" s="140">
        <v>175000.0</v>
      </c>
      <c r="H10211" s="140">
        <v>25000.0</v>
      </c>
      <c r="I10211" s="74">
        <f t="shared" si="7"/>
        <v>150000</v>
      </c>
      <c r="J10211" s="74">
        <f>IF(E10211="SERVICE",I10211-(I10211*50%),Vlookup(E10211,DATABASE!C:Q,10,false)*F10211)</f>
        <v>10000</v>
      </c>
      <c r="K10211" s="74">
        <f>VLOOKUP(E10211,DATABASE!C:Q,7,false)</f>
        <v>0</v>
      </c>
      <c r="L10211" s="74">
        <v>0.0</v>
      </c>
      <c r="M10211" s="74">
        <f t="shared" si="6"/>
        <v>0</v>
      </c>
      <c r="N10211" s="74">
        <f t="shared" si="3"/>
        <v>140000</v>
      </c>
      <c r="O10211" s="65" t="str">
        <f>VLOOKUP(E10211,DATABASE!C:Q,8,false)</f>
        <v>IBU</v>
      </c>
      <c r="P10211" s="65">
        <f>VLOOKUP(E10211,DATABASE!C:Q,9,False)</f>
        <v>0</v>
      </c>
      <c r="Q10211" s="93" t="str">
        <f>VLOOKUP(E10211,DATABASE!C:Q,4,false)</f>
        <v>SPOORING</v>
      </c>
      <c r="R10211" s="93" t="str">
        <f>VLOOKUP(E10211,DATABASE!C:Q,11,false)</f>
        <v>SERVICE</v>
      </c>
    </row>
    <row r="10212" ht="22.5" customHeight="1">
      <c r="A10212" s="49"/>
      <c r="C10212" s="400">
        <v>46273.0</v>
      </c>
      <c r="D10212" s="524">
        <v>840.0</v>
      </c>
      <c r="E10212" s="544" t="s">
        <v>251</v>
      </c>
      <c r="F10212" s="387">
        <v>1.0</v>
      </c>
      <c r="G10212" s="140">
        <v>350000.0</v>
      </c>
      <c r="H10212" s="140">
        <v>230000.0</v>
      </c>
      <c r="I10212" s="74">
        <f t="shared" si="7"/>
        <v>120000</v>
      </c>
      <c r="J10212" s="74">
        <f>IF(E10212="SERVICE",I10212-(I10212*50%),Vlookup(E10212,DATABASE!C:Q,10,false)*F10212)</f>
        <v>60000</v>
      </c>
      <c r="K10212" s="74">
        <f>VLOOKUP(E10212,DATABASE!C:Q,7,false)</f>
        <v>0</v>
      </c>
      <c r="L10212" s="74">
        <v>0.0</v>
      </c>
      <c r="M10212" s="74">
        <f t="shared" si="6"/>
        <v>0</v>
      </c>
      <c r="N10212" s="74">
        <f t="shared" si="3"/>
        <v>60000</v>
      </c>
      <c r="O10212" s="65" t="str">
        <f>VLOOKUP(E10212,DATABASE!C:Q,8,false)</f>
        <v>IBU</v>
      </c>
      <c r="P10212" s="65">
        <f>VLOOKUP(E10212,DATABASE!C:Q,9,False)</f>
        <v>0</v>
      </c>
      <c r="Q10212" s="93" t="str">
        <f>VLOOKUP(E10212,DATABASE!C:Q,4,false)</f>
        <v>SERVICE</v>
      </c>
      <c r="R10212" s="93" t="str">
        <f>VLOOKUP(E10212,DATABASE!C:Q,11,false)</f>
        <v>SERVICE</v>
      </c>
    </row>
    <row r="10213" ht="22.5" customHeight="1">
      <c r="A10213" s="49"/>
      <c r="C10213" s="400">
        <v>46273.0</v>
      </c>
      <c r="D10213" s="524">
        <v>840.0</v>
      </c>
      <c r="E10213" s="544" t="s">
        <v>301</v>
      </c>
      <c r="F10213" s="387">
        <v>1.0</v>
      </c>
      <c r="G10213" s="140">
        <v>250000.0</v>
      </c>
      <c r="H10213" s="74"/>
      <c r="I10213" s="74">
        <f t="shared" si="7"/>
        <v>250000</v>
      </c>
      <c r="J10213" s="74">
        <f>IF(E10213="SERVICE",I10213-(I10213*50%),Vlookup(E10213,DATABASE!C:Q,10,false)*F10213)</f>
        <v>75000</v>
      </c>
      <c r="K10213" s="74">
        <f>VLOOKUP(E10213,DATABASE!C:Q,7,false)</f>
        <v>75000</v>
      </c>
      <c r="L10213" s="74">
        <v>75000.0</v>
      </c>
      <c r="M10213" s="74">
        <f t="shared" si="6"/>
        <v>75000</v>
      </c>
      <c r="N10213" s="74">
        <f t="shared" si="3"/>
        <v>100000</v>
      </c>
      <c r="O10213" s="65" t="str">
        <f>VLOOKUP(E10213,DATABASE!C:Q,8,false)</f>
        <v>BIAN</v>
      </c>
      <c r="P10213" s="65">
        <f>VLOOKUP(E10213,DATABASE!C:Q,9,False)</f>
        <v>0</v>
      </c>
      <c r="Q10213" s="93" t="str">
        <f>VLOOKUP(E10213,DATABASE!C:Q,4,false)</f>
        <v>Baut Camber</v>
      </c>
      <c r="R10213" s="93" t="str">
        <f>VLOOKUP(E10213,DATABASE!C:Q,11,false)</f>
        <v>COMPLEMENTARY</v>
      </c>
    </row>
    <row r="10214" ht="22.5" customHeight="1">
      <c r="A10214" s="49"/>
      <c r="C10214" s="400">
        <v>46273.0</v>
      </c>
      <c r="D10214" s="524">
        <v>841.0</v>
      </c>
      <c r="E10214" s="544" t="s">
        <v>268</v>
      </c>
      <c r="F10214" s="387">
        <v>2.0</v>
      </c>
      <c r="G10214" s="140">
        <v>720000.0</v>
      </c>
      <c r="H10214" s="74"/>
      <c r="I10214" s="74">
        <f t="shared" si="7"/>
        <v>1440000</v>
      </c>
      <c r="J10214" s="74">
        <f>IF(E10214="SERVICE",I10214-(I10214*50%),Vlookup(E10214,DATABASE!C:Q,10,false)*F10214)</f>
        <v>0</v>
      </c>
      <c r="K10214" s="74">
        <f>VLOOKUP(E10214,DATABASE!C:Q,7,false)</f>
        <v>653000</v>
      </c>
      <c r="L10214" s="74">
        <v>634500.0</v>
      </c>
      <c r="M10214" s="74">
        <f t="shared" si="6"/>
        <v>635000</v>
      </c>
      <c r="N10214" s="74">
        <f t="shared" si="3"/>
        <v>170000</v>
      </c>
      <c r="O10214" s="65" t="str">
        <f>VLOOKUP(E10214,DATABASE!C:Q,8,false)</f>
        <v>IBU</v>
      </c>
      <c r="P10214" s="65">
        <f>VLOOKUP(E10214,DATABASE!C:Q,9,False)</f>
        <v>1</v>
      </c>
      <c r="Q10214" s="93" t="str">
        <f>VLOOKUP(E10214,DATABASE!C:Q,4,false)</f>
        <v>Dunlop</v>
      </c>
      <c r="R10214" s="93" t="str">
        <f>VLOOKUP(E10214,DATABASE!C:Q,11,false)</f>
        <v>Tire</v>
      </c>
    </row>
    <row r="10215" ht="22.5" customHeight="1">
      <c r="A10215" s="49"/>
      <c r="C10215" s="400">
        <v>46273.0</v>
      </c>
      <c r="D10215" s="524">
        <v>842.0</v>
      </c>
      <c r="E10215" s="544" t="s">
        <v>295</v>
      </c>
      <c r="F10215" s="387">
        <v>2.0</v>
      </c>
      <c r="G10215" s="140">
        <v>1580000.0</v>
      </c>
      <c r="H10215" s="140">
        <v>20000.0</v>
      </c>
      <c r="I10215" s="74">
        <f t="shared" si="7"/>
        <v>3120000</v>
      </c>
      <c r="J10215" s="74">
        <f>IF(E10215="SERVICE",I10215-(I10215*50%),Vlookup(E10215,DATABASE!C:Q,10,false)*F10215)</f>
        <v>0</v>
      </c>
      <c r="K10215" s="74">
        <f>VLOOKUP(E10215,DATABASE!C:Q,7,false)</f>
        <v>1475000</v>
      </c>
      <c r="L10215" s="74">
        <v>1475000.0</v>
      </c>
      <c r="M10215" s="74">
        <f t="shared" si="6"/>
        <v>1475000</v>
      </c>
      <c r="N10215" s="74">
        <f t="shared" si="3"/>
        <v>170000</v>
      </c>
      <c r="O10215" s="65" t="str">
        <f>VLOOKUP(E10215,DATABASE!C:Q,8,false)</f>
        <v>BIAN</v>
      </c>
      <c r="P10215" s="65">
        <f>VLOOKUP(E10215,DATABASE!C:Q,9,False)</f>
        <v>1</v>
      </c>
      <c r="Q10215" s="93" t="str">
        <f>VLOOKUP(E10215,DATABASE!C:Q,4,false)</f>
        <v>TIRON</v>
      </c>
      <c r="R10215" s="93" t="str">
        <f>VLOOKUP(E10215,DATABASE!C:Q,11,false)</f>
        <v>Tire</v>
      </c>
    </row>
    <row r="10216" ht="22.5" customHeight="1">
      <c r="A10216" s="49"/>
      <c r="C10216" s="400">
        <v>46273.0</v>
      </c>
      <c r="D10216" s="524">
        <v>842.0</v>
      </c>
      <c r="E10216" s="544" t="s">
        <v>924</v>
      </c>
      <c r="F10216" s="387">
        <v>2.0</v>
      </c>
      <c r="G10216" s="140">
        <v>1660000.0</v>
      </c>
      <c r="H10216" s="140">
        <v>20000.0</v>
      </c>
      <c r="I10216" s="74">
        <f t="shared" si="7"/>
        <v>3280000</v>
      </c>
      <c r="J10216" s="74">
        <f>IF(E10216="SERVICE",I10216-(I10216*50%),Vlookup(E10216,DATABASE!C:Q,10,false)*F10216)</f>
        <v>0</v>
      </c>
      <c r="K10216" s="74">
        <f>VLOOKUP(E10216,DATABASE!C:Q,7,false)</f>
        <v>1560000</v>
      </c>
      <c r="L10216" s="74">
        <v>1560000.0</v>
      </c>
      <c r="M10216" s="74">
        <f t="shared" si="6"/>
        <v>1560000</v>
      </c>
      <c r="N10216" s="74">
        <f t="shared" si="3"/>
        <v>160000</v>
      </c>
      <c r="O10216" s="65" t="str">
        <f>VLOOKUP(E10216,DATABASE!C:Q,8,false)</f>
        <v>BIAN</v>
      </c>
      <c r="P10216" s="65">
        <f>VLOOKUP(E10216,DATABASE!C:Q,9,False)</f>
        <v>1</v>
      </c>
      <c r="Q10216" s="93" t="str">
        <f>VLOOKUP(E10216,DATABASE!C:Q,4,false)</f>
        <v>TIRON</v>
      </c>
      <c r="R10216" s="93" t="str">
        <f>VLOOKUP(E10216,DATABASE!C:Q,11,false)</f>
        <v>Tire</v>
      </c>
    </row>
    <row r="10217" ht="22.5" customHeight="1">
      <c r="A10217" s="49"/>
      <c r="C10217" s="400">
        <v>46273.0</v>
      </c>
      <c r="D10217" s="69" t="s">
        <v>2931</v>
      </c>
      <c r="E10217" s="544" t="s">
        <v>248</v>
      </c>
      <c r="F10217" s="387">
        <v>1.0</v>
      </c>
      <c r="G10217" s="140">
        <v>250000.0</v>
      </c>
      <c r="H10217" s="74"/>
      <c r="I10217" s="74">
        <f t="shared" si="7"/>
        <v>250000</v>
      </c>
      <c r="J10217" s="74">
        <f>IF(E10217="SERVICE",I10217-(I10217*50%),Vlookup(E10217,DATABASE!C:Q,10,false)*F10217)</f>
        <v>0</v>
      </c>
      <c r="K10217" s="74">
        <f>VLOOKUP(E10217,DATABASE!C:Q,7,false)</f>
        <v>209816.66</v>
      </c>
      <c r="L10217" s="74">
        <v>209816.66</v>
      </c>
      <c r="M10217" s="74">
        <f t="shared" si="6"/>
        <v>210000</v>
      </c>
      <c r="N10217" s="74">
        <f t="shared" si="3"/>
        <v>40000</v>
      </c>
      <c r="O10217" s="65" t="str">
        <f>VLOOKUP(E10217,DATABASE!C:Q,8,false)</f>
        <v>NON</v>
      </c>
      <c r="P10217" s="65">
        <f>VLOOKUP(E10217,DATABASE!C:Q,9,False)</f>
        <v>0</v>
      </c>
      <c r="Q10217" s="93" t="str">
        <f>VLOOKUP(E10217,DATABASE!C:Q,4,false)</f>
        <v>Pertamina</v>
      </c>
      <c r="R10217" s="93" t="str">
        <f>VLOOKUP(E10217,DATABASE!C:Q,11,false)</f>
        <v>OIL</v>
      </c>
    </row>
    <row r="10218" ht="22.5" customHeight="1">
      <c r="A10218" s="49"/>
      <c r="C10218" s="400">
        <v>46274.0</v>
      </c>
      <c r="D10218" s="524">
        <v>843.0</v>
      </c>
      <c r="E10218" s="544" t="s">
        <v>1009</v>
      </c>
      <c r="F10218" s="387">
        <v>1.0</v>
      </c>
      <c r="G10218" s="140">
        <v>700000.0</v>
      </c>
      <c r="H10218" s="74"/>
      <c r="I10218" s="74">
        <f t="shared" si="7"/>
        <v>700000</v>
      </c>
      <c r="J10218" s="74">
        <f>IF(E10218="SERVICE",I10218-(I10218*50%),Vlookup(E10218,DATABASE!C:Q,10,false)*F10218)</f>
        <v>0</v>
      </c>
      <c r="K10218" s="74">
        <f>VLOOKUP(E10218,DATABASE!C:Q,7,false)</f>
        <v>609800</v>
      </c>
      <c r="L10218" s="74">
        <v>609800.0</v>
      </c>
      <c r="M10218" s="74">
        <f t="shared" si="6"/>
        <v>610000</v>
      </c>
      <c r="N10218" s="74">
        <f t="shared" si="3"/>
        <v>90000</v>
      </c>
      <c r="O10218" s="65" t="str">
        <f>VLOOKUP(E10218,DATABASE!C:Q,8,false)</f>
        <v>BIAN</v>
      </c>
      <c r="P10218" s="65">
        <f>VLOOKUP(E10218,DATABASE!C:Q,9,False)</f>
        <v>1</v>
      </c>
      <c r="Q10218" s="93" t="str">
        <f>VLOOKUP(E10218,DATABASE!C:Q,4,false)</f>
        <v>GT</v>
      </c>
      <c r="R10218" s="93" t="str">
        <f>VLOOKUP(E10218,DATABASE!C:Q,11,false)</f>
        <v>Tire</v>
      </c>
    </row>
    <row r="10219" ht="22.5" customHeight="1">
      <c r="A10219" s="49"/>
      <c r="C10219" s="400">
        <v>46274.0</v>
      </c>
      <c r="D10219" s="524">
        <v>844.0</v>
      </c>
      <c r="E10219" s="544" t="s">
        <v>2015</v>
      </c>
      <c r="F10219" s="387">
        <v>2.0</v>
      </c>
      <c r="G10219" s="140">
        <v>900000.0</v>
      </c>
      <c r="H10219" s="74"/>
      <c r="I10219" s="74">
        <f t="shared" si="7"/>
        <v>1800000</v>
      </c>
      <c r="J10219" s="74">
        <f>IF(E10219="SERVICE",I10219-(I10219*50%),Vlookup(E10219,DATABASE!C:Q,10,false)*F10219)</f>
        <v>0</v>
      </c>
      <c r="K10219" s="74">
        <f>VLOOKUP(E10219,DATABASE!C:Q,7,false)</f>
        <v>774000</v>
      </c>
      <c r="L10219" s="74">
        <v>750700.0</v>
      </c>
      <c r="M10219" s="74">
        <f t="shared" si="6"/>
        <v>755000</v>
      </c>
      <c r="N10219" s="74">
        <f t="shared" si="3"/>
        <v>290000</v>
      </c>
      <c r="O10219" s="65" t="str">
        <f>VLOOKUP(E10219,DATABASE!C:Q,8,false)</f>
        <v>BIAN</v>
      </c>
      <c r="P10219" s="65">
        <f>VLOOKUP(E10219,DATABASE!C:Q,9,False)</f>
        <v>1</v>
      </c>
      <c r="Q10219" s="93" t="str">
        <f>VLOOKUP(E10219,DATABASE!C:Q,4,false)</f>
        <v>GT</v>
      </c>
      <c r="R10219" s="93" t="str">
        <f>VLOOKUP(E10219,DATABASE!C:Q,11,false)</f>
        <v>Tire</v>
      </c>
    </row>
    <row r="10220" ht="22.5" customHeight="1">
      <c r="A10220" s="49"/>
      <c r="C10220" s="400">
        <v>46274.0</v>
      </c>
      <c r="D10220" s="524">
        <v>845.0</v>
      </c>
      <c r="E10220" s="544" t="s">
        <v>2019</v>
      </c>
      <c r="F10220" s="387">
        <v>1.0</v>
      </c>
      <c r="G10220" s="140">
        <v>710000.0</v>
      </c>
      <c r="H10220" s="74"/>
      <c r="I10220" s="74">
        <f t="shared" si="7"/>
        <v>710000</v>
      </c>
      <c r="J10220" s="74">
        <f>IF(E10220="SERVICE",I10220-(I10220*50%),Vlookup(E10220,DATABASE!C:Q,10,false)*F10220)</f>
        <v>0</v>
      </c>
      <c r="K10220" s="74">
        <f>VLOOKUP(E10220,DATABASE!C:Q,7,false)</f>
        <v>620000</v>
      </c>
      <c r="L10220" s="74">
        <v>620000.0</v>
      </c>
      <c r="M10220" s="74">
        <f t="shared" si="6"/>
        <v>620000</v>
      </c>
      <c r="N10220" s="74">
        <f t="shared" si="3"/>
        <v>90000</v>
      </c>
      <c r="O10220" s="65" t="str">
        <f>VLOOKUP(E10220,DATABASE!C:Q,8,false)</f>
        <v>BIAN</v>
      </c>
      <c r="P10220" s="65">
        <f>VLOOKUP(E10220,DATABASE!C:Q,9,False)</f>
        <v>1</v>
      </c>
      <c r="Q10220" s="93" t="str">
        <f>VLOOKUP(E10220,DATABASE!C:Q,4,false)</f>
        <v>GT</v>
      </c>
      <c r="R10220" s="93" t="str">
        <f>VLOOKUP(E10220,DATABASE!C:Q,11,false)</f>
        <v>Tire</v>
      </c>
    </row>
    <row r="10221" ht="22.5" customHeight="1">
      <c r="A10221" s="49"/>
      <c r="C10221" s="400">
        <v>46274.0</v>
      </c>
      <c r="D10221" s="524">
        <v>845.0</v>
      </c>
      <c r="E10221" s="544" t="s">
        <v>613</v>
      </c>
      <c r="F10221" s="387">
        <v>1.0</v>
      </c>
      <c r="G10221" s="140">
        <v>100000.0</v>
      </c>
      <c r="H10221" s="74"/>
      <c r="I10221" s="74">
        <f t="shared" si="7"/>
        <v>100000</v>
      </c>
      <c r="J10221" s="74">
        <f>IF(E10221="SERVICE",I10221-(I10221*50%),Vlookup(E10221,DATABASE!C:Q,10,false)*F10221)</f>
        <v>0</v>
      </c>
      <c r="K10221" s="74">
        <f>VLOOKUP(E10221,DATABASE!C:Q,7,false)</f>
        <v>58371.2695</v>
      </c>
      <c r="L10221" s="74">
        <v>58371.2695</v>
      </c>
      <c r="M10221" s="74">
        <f t="shared" si="6"/>
        <v>60000</v>
      </c>
      <c r="N10221" s="74">
        <f t="shared" si="3"/>
        <v>40000</v>
      </c>
      <c r="O10221" s="65" t="str">
        <f>VLOOKUP(E10221,DATABASE!C:Q,8,false)</f>
        <v>BIAN</v>
      </c>
      <c r="P10221" s="65">
        <f>VLOOKUP(E10221,DATABASE!C:Q,9,False)</f>
        <v>1</v>
      </c>
      <c r="Q10221" s="93" t="str">
        <f>VLOOKUP(E10221,DATABASE!C:Q,4,false)</f>
        <v>BD</v>
      </c>
      <c r="R10221" s="93" t="str">
        <f>VLOOKUP(E10221,DATABASE!C:Q,11,false)</f>
        <v>Tire</v>
      </c>
    </row>
    <row r="10222" ht="22.5" customHeight="1">
      <c r="A10222" s="49"/>
      <c r="C10222" s="400">
        <v>46274.0</v>
      </c>
      <c r="D10222" s="524">
        <v>846.0</v>
      </c>
      <c r="E10222" s="544" t="s">
        <v>1097</v>
      </c>
      <c r="F10222" s="387">
        <v>2.0</v>
      </c>
      <c r="G10222" s="140">
        <v>940000.0</v>
      </c>
      <c r="H10222" s="74"/>
      <c r="I10222" s="74">
        <f t="shared" si="7"/>
        <v>1880000</v>
      </c>
      <c r="J10222" s="74">
        <f>IF(E10222="SERVICE",I10222-(I10222*50%),Vlookup(E10222,DATABASE!C:Q,10,false)*F10222)</f>
        <v>0</v>
      </c>
      <c r="K10222" s="74">
        <f>VLOOKUP(E10222,DATABASE!C:Q,7,false)</f>
        <v>844838.5</v>
      </c>
      <c r="L10222" s="74">
        <v>844838.5</v>
      </c>
      <c r="M10222" s="74">
        <f t="shared" si="6"/>
        <v>845000</v>
      </c>
      <c r="N10222" s="74">
        <f t="shared" si="3"/>
        <v>190000</v>
      </c>
      <c r="O10222" s="65" t="str">
        <f>VLOOKUP(E10222,DATABASE!C:Q,8,false)</f>
        <v>IBU</v>
      </c>
      <c r="P10222" s="65">
        <f>VLOOKUP(E10222,DATABASE!C:Q,9,False)</f>
        <v>1</v>
      </c>
      <c r="Q10222" s="93" t="str">
        <f>VLOOKUP(E10222,DATABASE!C:Q,4,false)</f>
        <v>Bridgestone</v>
      </c>
      <c r="R10222" s="93" t="str">
        <f>VLOOKUP(E10222,DATABASE!C:Q,11,false)</f>
        <v>Tire</v>
      </c>
    </row>
    <row r="10223" ht="22.5" customHeight="1">
      <c r="A10223" s="49"/>
      <c r="C10223" s="400">
        <v>46274.0</v>
      </c>
      <c r="D10223" s="524">
        <v>847.0</v>
      </c>
      <c r="E10223" s="544" t="s">
        <v>1009</v>
      </c>
      <c r="F10223" s="387">
        <v>2.0</v>
      </c>
      <c r="G10223" s="140">
        <v>700000.0</v>
      </c>
      <c r="H10223" s="74"/>
      <c r="I10223" s="74">
        <f t="shared" si="7"/>
        <v>1400000</v>
      </c>
      <c r="J10223" s="74">
        <f>IF(E10223="SERVICE",I10223-(I10223*50%),Vlookup(E10223,DATABASE!C:Q,10,false)*F10223)</f>
        <v>0</v>
      </c>
      <c r="K10223" s="74">
        <f>VLOOKUP(E10223,DATABASE!C:Q,7,false)</f>
        <v>609800</v>
      </c>
      <c r="L10223" s="74">
        <v>609800.0</v>
      </c>
      <c r="M10223" s="74">
        <f t="shared" si="6"/>
        <v>610000</v>
      </c>
      <c r="N10223" s="74">
        <f t="shared" si="3"/>
        <v>180000</v>
      </c>
      <c r="O10223" s="65" t="str">
        <f>VLOOKUP(E10223,DATABASE!C:Q,8,false)</f>
        <v>BIAN</v>
      </c>
      <c r="P10223" s="65">
        <f>VLOOKUP(E10223,DATABASE!C:Q,9,False)</f>
        <v>1</v>
      </c>
      <c r="Q10223" s="93" t="str">
        <f>VLOOKUP(E10223,DATABASE!C:Q,4,false)</f>
        <v>GT</v>
      </c>
      <c r="R10223" s="93" t="str">
        <f>VLOOKUP(E10223,DATABASE!C:Q,11,false)</f>
        <v>Tire</v>
      </c>
    </row>
    <row r="10224" ht="22.5" customHeight="1">
      <c r="A10224" s="49"/>
      <c r="C10224" s="400">
        <v>46274.0</v>
      </c>
      <c r="D10224" s="524">
        <v>848.0</v>
      </c>
      <c r="E10224" s="544" t="s">
        <v>275</v>
      </c>
      <c r="F10224" s="387">
        <v>2.0</v>
      </c>
      <c r="G10224" s="140">
        <v>850000.0</v>
      </c>
      <c r="H10224" s="74"/>
      <c r="I10224" s="74">
        <f t="shared" si="7"/>
        <v>1700000</v>
      </c>
      <c r="J10224" s="74">
        <f>IF(E10224="SERVICE",I10224-(I10224*50%),Vlookup(E10224,DATABASE!C:Q,10,false)*F10224)</f>
        <v>0</v>
      </c>
      <c r="K10224" s="74">
        <f>VLOOKUP(E10224,DATABASE!C:Q,7,false)</f>
        <v>782000</v>
      </c>
      <c r="L10224" s="74">
        <v>759500.0</v>
      </c>
      <c r="M10224" s="74">
        <f t="shared" si="6"/>
        <v>760000</v>
      </c>
      <c r="N10224" s="74">
        <f t="shared" si="3"/>
        <v>180000</v>
      </c>
      <c r="O10224" s="65" t="str">
        <f>VLOOKUP(E10224,DATABASE!C:Q,8,false)</f>
        <v>IBU</v>
      </c>
      <c r="P10224" s="65">
        <f>VLOOKUP(E10224,DATABASE!C:Q,9,False)</f>
        <v>1</v>
      </c>
      <c r="Q10224" s="93" t="str">
        <f>VLOOKUP(E10224,DATABASE!C:Q,4,false)</f>
        <v>Dunlop</v>
      </c>
      <c r="R10224" s="93" t="str">
        <f>VLOOKUP(E10224,DATABASE!C:Q,11,false)</f>
        <v>Tire</v>
      </c>
    </row>
    <row r="10225" ht="22.5" customHeight="1">
      <c r="A10225" s="49"/>
      <c r="C10225" s="400">
        <v>46274.0</v>
      </c>
      <c r="D10225" s="524">
        <v>849.0</v>
      </c>
      <c r="E10225" s="544" t="s">
        <v>1862</v>
      </c>
      <c r="F10225" s="387">
        <v>2.0</v>
      </c>
      <c r="G10225" s="140">
        <v>2180000.0</v>
      </c>
      <c r="H10225" s="74"/>
      <c r="I10225" s="74">
        <f t="shared" si="7"/>
        <v>4360000</v>
      </c>
      <c r="J10225" s="74">
        <f>IF(E10225="SERVICE",I10225-(I10225*50%),Vlookup(E10225,DATABASE!C:Q,10,false)*F10225)</f>
        <v>0</v>
      </c>
      <c r="K10225" s="74">
        <f>VLOOKUP(E10225,DATABASE!C:Q,7,false)</f>
        <v>2080000</v>
      </c>
      <c r="L10225" s="74">
        <v>2080000.0</v>
      </c>
      <c r="M10225" s="74">
        <f t="shared" si="6"/>
        <v>2080000</v>
      </c>
      <c r="N10225" s="74">
        <f t="shared" si="3"/>
        <v>200000</v>
      </c>
      <c r="O10225" s="65" t="str">
        <f>VLOOKUP(E10225,DATABASE!C:Q,8,false)</f>
        <v>BIAN</v>
      </c>
      <c r="P10225" s="65">
        <f>VLOOKUP(E10225,DATABASE!C:Q,9,False)</f>
        <v>1</v>
      </c>
      <c r="Q10225" s="93" t="str">
        <f>VLOOKUP(E10225,DATABASE!C:Q,4,false)</f>
        <v>GiTi</v>
      </c>
      <c r="R10225" s="93" t="str">
        <f>VLOOKUP(E10225,DATABASE!C:Q,11,false)</f>
        <v>Tire</v>
      </c>
    </row>
    <row r="10226" ht="22.5" customHeight="1">
      <c r="A10226" s="49"/>
      <c r="C10226" s="400">
        <v>46274.0</v>
      </c>
      <c r="D10226" s="524">
        <v>850.0</v>
      </c>
      <c r="E10226" s="544" t="s">
        <v>256</v>
      </c>
      <c r="F10226" s="387">
        <v>1.0</v>
      </c>
      <c r="G10226" s="140">
        <v>175000.0</v>
      </c>
      <c r="H10226" s="140">
        <v>25000.0</v>
      </c>
      <c r="I10226" s="74">
        <f t="shared" si="7"/>
        <v>150000</v>
      </c>
      <c r="J10226" s="74">
        <f>IF(E10226="SERVICE",I10226-(I10226*50%),Vlookup(E10226,DATABASE!C:Q,10,false)*F10226)</f>
        <v>10000</v>
      </c>
      <c r="K10226" s="74">
        <f>VLOOKUP(E10226,DATABASE!C:Q,7,false)</f>
        <v>0</v>
      </c>
      <c r="L10226" s="74">
        <v>0.0</v>
      </c>
      <c r="M10226" s="74">
        <f t="shared" si="6"/>
        <v>0</v>
      </c>
      <c r="N10226" s="74">
        <f t="shared" si="3"/>
        <v>140000</v>
      </c>
      <c r="O10226" s="65" t="str">
        <f>VLOOKUP(E10226,DATABASE!C:Q,8,false)</f>
        <v>IBU</v>
      </c>
      <c r="P10226" s="65">
        <f>VLOOKUP(E10226,DATABASE!C:Q,9,False)</f>
        <v>0</v>
      </c>
      <c r="Q10226" s="93" t="str">
        <f>VLOOKUP(E10226,DATABASE!C:Q,4,false)</f>
        <v>SPOORING</v>
      </c>
      <c r="R10226" s="93" t="str">
        <f>VLOOKUP(E10226,DATABASE!C:Q,11,false)</f>
        <v>SERVICE</v>
      </c>
    </row>
    <row r="10227" ht="22.5" customHeight="1">
      <c r="A10227" s="49"/>
      <c r="C10227" s="400">
        <v>46274.0</v>
      </c>
      <c r="D10227" s="524">
        <v>850.0</v>
      </c>
      <c r="E10227" s="544" t="s">
        <v>301</v>
      </c>
      <c r="F10227" s="387">
        <v>1.0</v>
      </c>
      <c r="G10227" s="140">
        <v>250000.0</v>
      </c>
      <c r="H10227" s="74"/>
      <c r="I10227" s="74">
        <f t="shared" si="7"/>
        <v>250000</v>
      </c>
      <c r="J10227" s="74">
        <f>IF(E10227="SERVICE",I10227-(I10227*50%),Vlookup(E10227,DATABASE!C:Q,10,false)*F10227)</f>
        <v>75000</v>
      </c>
      <c r="K10227" s="74">
        <f>VLOOKUP(E10227,DATABASE!C:Q,7,false)</f>
        <v>75000</v>
      </c>
      <c r="L10227" s="74">
        <v>75000.0</v>
      </c>
      <c r="M10227" s="74">
        <f t="shared" si="6"/>
        <v>75000</v>
      </c>
      <c r="N10227" s="74">
        <f t="shared" si="3"/>
        <v>100000</v>
      </c>
      <c r="O10227" s="65" t="str">
        <f>VLOOKUP(E10227,DATABASE!C:Q,8,false)</f>
        <v>BIAN</v>
      </c>
      <c r="P10227" s="65">
        <f>VLOOKUP(E10227,DATABASE!C:Q,9,False)</f>
        <v>0</v>
      </c>
      <c r="Q10227" s="93" t="str">
        <f>VLOOKUP(E10227,DATABASE!C:Q,4,false)</f>
        <v>Baut Camber</v>
      </c>
      <c r="R10227" s="93" t="str">
        <f>VLOOKUP(E10227,DATABASE!C:Q,11,false)</f>
        <v>COMPLEMENTARY</v>
      </c>
    </row>
    <row r="10228" ht="22.5" customHeight="1">
      <c r="A10228" s="49"/>
      <c r="C10228" s="400">
        <v>46274.0</v>
      </c>
      <c r="D10228" s="524">
        <v>850.0</v>
      </c>
      <c r="E10228" s="544" t="s">
        <v>299</v>
      </c>
      <c r="F10228" s="387">
        <v>2.0</v>
      </c>
      <c r="G10228" s="140">
        <v>30000.0</v>
      </c>
      <c r="H10228" s="74"/>
      <c r="I10228" s="74">
        <f t="shared" si="7"/>
        <v>60000</v>
      </c>
      <c r="J10228" s="74">
        <f>IF(E10228="SERVICE",I10228-(I10228*50%),Vlookup(E10228,DATABASE!C:Q,10,false)*F10228)</f>
        <v>0</v>
      </c>
      <c r="K10228" s="74">
        <f>VLOOKUP(E10228,DATABASE!C:Q,7,false)</f>
        <v>10000</v>
      </c>
      <c r="L10228" s="74">
        <v>10000.0</v>
      </c>
      <c r="M10228" s="74">
        <f t="shared" si="6"/>
        <v>10000</v>
      </c>
      <c r="N10228" s="74">
        <f t="shared" si="3"/>
        <v>40000</v>
      </c>
      <c r="O10228" s="65" t="str">
        <f>VLOOKUP(E10228,DATABASE!C:Q,8,false)</f>
        <v>BIAN</v>
      </c>
      <c r="P10228" s="65">
        <f>VLOOKUP(E10228,DATABASE!C:Q,9,False)</f>
        <v>0</v>
      </c>
      <c r="Q10228" s="93" t="str">
        <f>VLOOKUP(E10228,DATABASE!C:Q,4,false)</f>
        <v>Balancing</v>
      </c>
      <c r="R10228" s="93" t="str">
        <f>VLOOKUP(E10228,DATABASE!C:Q,11,false)</f>
        <v>COMPLEMENTARY</v>
      </c>
    </row>
    <row r="10229" ht="22.5" customHeight="1">
      <c r="A10229" s="49"/>
      <c r="C10229" s="400">
        <v>46274.0</v>
      </c>
      <c r="D10229" s="524">
        <v>851.0</v>
      </c>
      <c r="E10229" s="544" t="s">
        <v>265</v>
      </c>
      <c r="F10229" s="387">
        <v>1.0</v>
      </c>
      <c r="G10229" s="140">
        <v>700000.0</v>
      </c>
      <c r="H10229" s="74"/>
      <c r="I10229" s="74">
        <f t="shared" si="7"/>
        <v>700000</v>
      </c>
      <c r="J10229" s="74">
        <f>IF(E10229="SERVICE",I10229-(I10229*50%),Vlookup(E10229,DATABASE!C:Q,10,false)*F10229)</f>
        <v>0</v>
      </c>
      <c r="K10229" s="74">
        <f>VLOOKUP(E10229,DATABASE!C:Q,7,false)</f>
        <v>628000</v>
      </c>
      <c r="L10229" s="74">
        <v>610000.0</v>
      </c>
      <c r="M10229" s="74">
        <f t="shared" si="6"/>
        <v>610000</v>
      </c>
      <c r="N10229" s="74">
        <f t="shared" si="3"/>
        <v>90000</v>
      </c>
      <c r="O10229" s="65" t="str">
        <f>VLOOKUP(E10229,DATABASE!C:Q,8,false)</f>
        <v>IBU</v>
      </c>
      <c r="P10229" s="65">
        <f>VLOOKUP(E10229,DATABASE!C:Q,9,False)</f>
        <v>1</v>
      </c>
      <c r="Q10229" s="93" t="str">
        <f>VLOOKUP(E10229,DATABASE!C:Q,4,false)</f>
        <v>Dunlop</v>
      </c>
      <c r="R10229" s="93" t="str">
        <f>VLOOKUP(E10229,DATABASE!C:Q,11,false)</f>
        <v>Tire</v>
      </c>
    </row>
    <row r="10230" ht="22.5" customHeight="1">
      <c r="A10230" s="49"/>
      <c r="C10230" s="400">
        <v>46274.0</v>
      </c>
      <c r="D10230" s="524">
        <v>851.0</v>
      </c>
      <c r="E10230" s="544" t="s">
        <v>262</v>
      </c>
      <c r="F10230" s="387">
        <v>1.0</v>
      </c>
      <c r="G10230" s="140">
        <v>130000.0</v>
      </c>
      <c r="H10230" s="140">
        <v>0.0</v>
      </c>
      <c r="I10230" s="74">
        <f t="shared" si="7"/>
        <v>130000</v>
      </c>
      <c r="J10230" s="74">
        <f>IF(E10230="SERVICE",I10230-(I10230*50%),Vlookup(E10230,DATABASE!C:Q,10,false)*F10230)</f>
        <v>5000</v>
      </c>
      <c r="K10230" s="74">
        <f>VLOOKUP(E10230,DATABASE!C:Q,7,false)</f>
        <v>0</v>
      </c>
      <c r="L10230" s="74">
        <v>0.0</v>
      </c>
      <c r="M10230" s="74">
        <f t="shared" si="6"/>
        <v>0</v>
      </c>
      <c r="N10230" s="74">
        <f t="shared" si="3"/>
        <v>125000</v>
      </c>
      <c r="O10230" s="65" t="str">
        <f>VLOOKUP(E10230,DATABASE!C:Q,8,false)</f>
        <v>IBU</v>
      </c>
      <c r="P10230" s="65">
        <f>VLOOKUP(E10230,DATABASE!C:Q,9,False)</f>
        <v>0</v>
      </c>
      <c r="Q10230" s="93" t="str">
        <f>VLOOKUP(E10230,DATABASE!C:Q,4,false)</f>
        <v>SPOORING SS/CARRY LOS BAK</v>
      </c>
      <c r="R10230" s="93" t="str">
        <f>VLOOKUP(E10230,DATABASE!C:Q,11,false)</f>
        <v>SERVICE</v>
      </c>
    </row>
    <row r="10231" ht="22.5" customHeight="1">
      <c r="A10231" s="49"/>
      <c r="C10231" s="400">
        <v>46274.0</v>
      </c>
      <c r="D10231" s="524">
        <v>851.0</v>
      </c>
      <c r="E10231" s="544" t="s">
        <v>251</v>
      </c>
      <c r="F10231" s="387">
        <v>1.0</v>
      </c>
      <c r="G10231" s="140">
        <v>350000.0</v>
      </c>
      <c r="H10231" s="140">
        <v>200000.0</v>
      </c>
      <c r="I10231" s="74">
        <f t="shared" si="7"/>
        <v>150000</v>
      </c>
      <c r="J10231" s="74">
        <f>IF(E10231="SERVICE",I10231-(I10231*50%),Vlookup(E10231,DATABASE!C:Q,10,false)*F10231)</f>
        <v>75000</v>
      </c>
      <c r="K10231" s="74">
        <f>VLOOKUP(E10231,DATABASE!C:Q,7,false)</f>
        <v>0</v>
      </c>
      <c r="L10231" s="74">
        <v>0.0</v>
      </c>
      <c r="M10231" s="74">
        <f t="shared" si="6"/>
        <v>0</v>
      </c>
      <c r="N10231" s="74">
        <f t="shared" si="3"/>
        <v>75000</v>
      </c>
      <c r="O10231" s="65" t="str">
        <f>VLOOKUP(E10231,DATABASE!C:Q,8,false)</f>
        <v>IBU</v>
      </c>
      <c r="P10231" s="65">
        <f>VLOOKUP(E10231,DATABASE!C:Q,9,False)</f>
        <v>0</v>
      </c>
      <c r="Q10231" s="93" t="str">
        <f>VLOOKUP(E10231,DATABASE!C:Q,4,false)</f>
        <v>SERVICE</v>
      </c>
      <c r="R10231" s="93" t="str">
        <f>VLOOKUP(E10231,DATABASE!C:Q,11,false)</f>
        <v>SERVICE</v>
      </c>
    </row>
    <row r="10232" ht="22.5" customHeight="1">
      <c r="A10232" s="49"/>
      <c r="C10232" s="400">
        <v>46274.0</v>
      </c>
      <c r="D10232" s="524">
        <v>852.0</v>
      </c>
      <c r="E10232" s="544" t="s">
        <v>1104</v>
      </c>
      <c r="F10232" s="387">
        <v>1.0</v>
      </c>
      <c r="G10232" s="140">
        <v>835000.0</v>
      </c>
      <c r="H10232" s="74"/>
      <c r="I10232" s="74">
        <f t="shared" si="7"/>
        <v>835000</v>
      </c>
      <c r="J10232" s="74">
        <f>IF(E10232="SERVICE",I10232-(I10232*50%),Vlookup(E10232,DATABASE!C:Q,10,false)*F10232)</f>
        <v>0</v>
      </c>
      <c r="K10232" s="74">
        <f>VLOOKUP(E10232,DATABASE!C:Q,7,false)</f>
        <v>715000</v>
      </c>
      <c r="L10232" s="74">
        <v>715000.0</v>
      </c>
      <c r="M10232" s="74">
        <f t="shared" si="6"/>
        <v>715000</v>
      </c>
      <c r="N10232" s="74">
        <f t="shared" si="3"/>
        <v>120000</v>
      </c>
      <c r="O10232" s="65" t="str">
        <f>VLOOKUP(E10232,DATABASE!C:Q,8,false)</f>
        <v>IBU</v>
      </c>
      <c r="P10232" s="65">
        <f>VLOOKUP(E10232,DATABASE!C:Q,9,False)</f>
        <v>0</v>
      </c>
      <c r="Q10232" s="93" t="str">
        <f>VLOOKUP(E10232,DATABASE!C:Q,4,false)</f>
        <v>Bridgestone</v>
      </c>
      <c r="R10232" s="93" t="str">
        <f>VLOOKUP(E10232,DATABASE!C:Q,11,false)</f>
        <v>Tire</v>
      </c>
    </row>
    <row r="10233" ht="22.5" customHeight="1">
      <c r="A10233" s="49"/>
      <c r="C10233" s="400">
        <v>46274.0</v>
      </c>
      <c r="D10233" s="524">
        <v>853.0</v>
      </c>
      <c r="E10233" s="544" t="s">
        <v>265</v>
      </c>
      <c r="F10233" s="387">
        <v>2.0</v>
      </c>
      <c r="G10233" s="140">
        <v>700000.0</v>
      </c>
      <c r="H10233" s="74"/>
      <c r="I10233" s="74">
        <f t="shared" si="7"/>
        <v>1400000</v>
      </c>
      <c r="J10233" s="74">
        <f>IF(E10233="SERVICE",I10233-(I10233*50%),Vlookup(E10233,DATABASE!C:Q,10,false)*F10233)</f>
        <v>0</v>
      </c>
      <c r="K10233" s="74">
        <f>VLOOKUP(E10233,DATABASE!C:Q,7,false)</f>
        <v>628000</v>
      </c>
      <c r="L10233" s="74">
        <v>610000.0</v>
      </c>
      <c r="M10233" s="74">
        <f t="shared" si="6"/>
        <v>610000</v>
      </c>
      <c r="N10233" s="74">
        <f t="shared" si="3"/>
        <v>180000</v>
      </c>
      <c r="O10233" s="65" t="str">
        <f>VLOOKUP(E10233,DATABASE!C:Q,8,false)</f>
        <v>IBU</v>
      </c>
      <c r="P10233" s="65">
        <f>VLOOKUP(E10233,DATABASE!C:Q,9,False)</f>
        <v>1</v>
      </c>
      <c r="Q10233" s="93" t="str">
        <f>VLOOKUP(E10233,DATABASE!C:Q,4,false)</f>
        <v>Dunlop</v>
      </c>
      <c r="R10233" s="93" t="str">
        <f>VLOOKUP(E10233,DATABASE!C:Q,11,false)</f>
        <v>Tire</v>
      </c>
    </row>
    <row r="10234" ht="22.5" customHeight="1">
      <c r="A10234" s="49"/>
      <c r="C10234" s="400">
        <v>46274.0</v>
      </c>
      <c r="D10234" s="524">
        <v>854.0</v>
      </c>
      <c r="E10234" s="544" t="s">
        <v>256</v>
      </c>
      <c r="F10234" s="387">
        <v>1.0</v>
      </c>
      <c r="G10234" s="140">
        <v>175000.0</v>
      </c>
      <c r="H10234" s="140">
        <v>25000.0</v>
      </c>
      <c r="I10234" s="74">
        <f t="shared" si="7"/>
        <v>150000</v>
      </c>
      <c r="J10234" s="74">
        <f>IF(E10234="SERVICE",I10234-(I10234*50%),Vlookup(E10234,DATABASE!C:Q,10,false)*F10234)</f>
        <v>10000</v>
      </c>
      <c r="K10234" s="74">
        <f>VLOOKUP(E10234,DATABASE!C:Q,7,false)</f>
        <v>0</v>
      </c>
      <c r="L10234" s="74">
        <v>0.0</v>
      </c>
      <c r="M10234" s="74">
        <f t="shared" si="6"/>
        <v>0</v>
      </c>
      <c r="N10234" s="74">
        <f t="shared" si="3"/>
        <v>140000</v>
      </c>
      <c r="O10234" s="65" t="str">
        <f>VLOOKUP(E10234,DATABASE!C:Q,8,false)</f>
        <v>IBU</v>
      </c>
      <c r="P10234" s="65">
        <f>VLOOKUP(E10234,DATABASE!C:Q,9,False)</f>
        <v>0</v>
      </c>
      <c r="Q10234" s="93" t="str">
        <f>VLOOKUP(E10234,DATABASE!C:Q,4,false)</f>
        <v>SPOORING</v>
      </c>
      <c r="R10234" s="93" t="str">
        <f>VLOOKUP(E10234,DATABASE!C:Q,11,false)</f>
        <v>SERVICE</v>
      </c>
    </row>
    <row r="10235" ht="22.5" customHeight="1">
      <c r="A10235" s="49"/>
      <c r="C10235" s="400">
        <v>46274.0</v>
      </c>
      <c r="D10235" s="524">
        <v>854.0</v>
      </c>
      <c r="E10235" s="544" t="s">
        <v>251</v>
      </c>
      <c r="F10235" s="387">
        <v>1.0</v>
      </c>
      <c r="G10235" s="140">
        <v>350000.0</v>
      </c>
      <c r="H10235" s="140">
        <v>200000.0</v>
      </c>
      <c r="I10235" s="74">
        <f t="shared" si="7"/>
        <v>150000</v>
      </c>
      <c r="J10235" s="74">
        <f>IF(E10235="SERVICE",I10235-(I10235*50%),Vlookup(E10235,DATABASE!C:Q,10,false)*F10235)</f>
        <v>75000</v>
      </c>
      <c r="K10235" s="74">
        <f>VLOOKUP(E10235,DATABASE!C:Q,7,false)</f>
        <v>0</v>
      </c>
      <c r="L10235" s="74">
        <v>0.0</v>
      </c>
      <c r="M10235" s="74">
        <f t="shared" si="6"/>
        <v>0</v>
      </c>
      <c r="N10235" s="74">
        <f t="shared" si="3"/>
        <v>75000</v>
      </c>
      <c r="O10235" s="65" t="str">
        <f>VLOOKUP(E10235,DATABASE!C:Q,8,false)</f>
        <v>IBU</v>
      </c>
      <c r="P10235" s="65">
        <f>VLOOKUP(E10235,DATABASE!C:Q,9,False)</f>
        <v>0</v>
      </c>
      <c r="Q10235" s="93" t="str">
        <f>VLOOKUP(E10235,DATABASE!C:Q,4,false)</f>
        <v>SERVICE</v>
      </c>
      <c r="R10235" s="93" t="str">
        <f>VLOOKUP(E10235,DATABASE!C:Q,11,false)</f>
        <v>SERVICE</v>
      </c>
    </row>
    <row r="10236" ht="22.5" customHeight="1">
      <c r="A10236" s="49"/>
      <c r="C10236" s="400">
        <v>46274.0</v>
      </c>
      <c r="D10236" s="69" t="s">
        <v>2932</v>
      </c>
      <c r="E10236" s="544" t="s">
        <v>263</v>
      </c>
      <c r="F10236" s="387">
        <v>1.0</v>
      </c>
      <c r="G10236" s="140">
        <v>385000.0</v>
      </c>
      <c r="H10236" s="74"/>
      <c r="I10236" s="74">
        <f t="shared" si="7"/>
        <v>385000</v>
      </c>
      <c r="J10236" s="74">
        <f>IF(E10236="SERVICE",I10236-(I10236*50%),Vlookup(E10236,DATABASE!C:Q,10,false)*F10236)</f>
        <v>0</v>
      </c>
      <c r="K10236" s="74">
        <f>VLOOKUP(E10236,DATABASE!C:Q,7,false)</f>
        <v>334916</v>
      </c>
      <c r="L10236" s="74">
        <v>334916.0</v>
      </c>
      <c r="M10236" s="74">
        <f t="shared" si="6"/>
        <v>335000</v>
      </c>
      <c r="N10236" s="74">
        <f t="shared" si="3"/>
        <v>50000</v>
      </c>
      <c r="O10236" s="65" t="str">
        <f>VLOOKUP(E10236,DATABASE!C:Q,8,false)</f>
        <v>NON</v>
      </c>
      <c r="P10236" s="65">
        <f>VLOOKUP(E10236,DATABASE!C:Q,9,False)</f>
        <v>0</v>
      </c>
      <c r="Q10236" s="93" t="str">
        <f>VLOOKUP(E10236,DATABASE!C:Q,4,false)</f>
        <v>Shell</v>
      </c>
      <c r="R10236" s="93" t="str">
        <f>VLOOKUP(E10236,DATABASE!C:Q,11,false)</f>
        <v>OIL</v>
      </c>
    </row>
    <row r="10237" ht="22.5" customHeight="1">
      <c r="A10237" s="49"/>
      <c r="C10237" s="400">
        <v>46274.0</v>
      </c>
      <c r="D10237" s="69" t="s">
        <v>2932</v>
      </c>
      <c r="E10237" s="544" t="s">
        <v>258</v>
      </c>
      <c r="F10237" s="387">
        <v>1.0</v>
      </c>
      <c r="G10237" s="140">
        <v>105000.0</v>
      </c>
      <c r="H10237" s="74"/>
      <c r="I10237" s="74">
        <f t="shared" si="7"/>
        <v>105000</v>
      </c>
      <c r="J10237" s="74">
        <f>IF(E10237="SERVICE",I10237-(I10237*50%),Vlookup(E10237,DATABASE!C:Q,10,false)*F10237)</f>
        <v>0</v>
      </c>
      <c r="K10237" s="74">
        <f>VLOOKUP(E10237,DATABASE!C:Q,7,false)</f>
        <v>74700</v>
      </c>
      <c r="L10237" s="74">
        <v>74700.0</v>
      </c>
      <c r="M10237" s="74">
        <f t="shared" si="6"/>
        <v>75000</v>
      </c>
      <c r="N10237" s="74">
        <f t="shared" si="3"/>
        <v>30000</v>
      </c>
      <c r="O10237" s="65" t="str">
        <f>VLOOKUP(E10237,DATABASE!C:Q,8,false)</f>
        <v>NON</v>
      </c>
      <c r="P10237" s="65">
        <f>VLOOKUP(E10237,DATABASE!C:Q,9,False)</f>
        <v>0</v>
      </c>
      <c r="Q10237" s="93" t="str">
        <f>VLOOKUP(E10237,DATABASE!C:Q,4,false)</f>
        <v>Shell</v>
      </c>
      <c r="R10237" s="93" t="str">
        <f>VLOOKUP(E10237,DATABASE!C:Q,11,false)</f>
        <v>OIL</v>
      </c>
    </row>
    <row r="10238" ht="22.5" customHeight="1">
      <c r="A10238" s="49"/>
      <c r="C10238" s="400">
        <v>46275.0</v>
      </c>
      <c r="D10238" s="524">
        <v>855.0</v>
      </c>
      <c r="E10238" s="544" t="s">
        <v>569</v>
      </c>
      <c r="F10238" s="387">
        <v>5.0</v>
      </c>
      <c r="G10238" s="140">
        <v>80000.0</v>
      </c>
      <c r="H10238" s="74"/>
      <c r="I10238" s="74">
        <f t="shared" si="7"/>
        <v>400000</v>
      </c>
      <c r="J10238" s="74">
        <f>IF(E10238="SERVICE",I10238-(I10238*50%),Vlookup(E10238,DATABASE!C:Q,10,false)*F10238)</f>
        <v>0</v>
      </c>
      <c r="K10238" s="74">
        <f>VLOOKUP(E10238,DATABASE!C:Q,7,false)</f>
        <v>45439.582</v>
      </c>
      <c r="L10238" s="74">
        <v>45439.582</v>
      </c>
      <c r="M10238" s="74">
        <f t="shared" si="6"/>
        <v>50000</v>
      </c>
      <c r="N10238" s="74">
        <f t="shared" si="3"/>
        <v>150000</v>
      </c>
      <c r="O10238" s="65" t="str">
        <f>VLOOKUP(E10238,DATABASE!C:Q,8,false)</f>
        <v>BIAN</v>
      </c>
      <c r="P10238" s="65">
        <f>VLOOKUP(E10238,DATABASE!C:Q,9,False)</f>
        <v>1</v>
      </c>
      <c r="Q10238" s="93" t="str">
        <f>VLOOKUP(E10238,DATABASE!C:Q,4,false)</f>
        <v>BD</v>
      </c>
      <c r="R10238" s="93" t="str">
        <f>VLOOKUP(E10238,DATABASE!C:Q,11,false)</f>
        <v>Tire</v>
      </c>
    </row>
    <row r="10239" ht="22.5" customHeight="1">
      <c r="A10239" s="49"/>
      <c r="C10239" s="400">
        <v>46275.0</v>
      </c>
      <c r="D10239" s="524">
        <v>855.0</v>
      </c>
      <c r="E10239" s="544" t="s">
        <v>688</v>
      </c>
      <c r="F10239" s="387">
        <v>9.0</v>
      </c>
      <c r="G10239" s="140">
        <v>150000.0</v>
      </c>
      <c r="H10239" s="140"/>
      <c r="I10239" s="74">
        <f t="shared" si="7"/>
        <v>1350000</v>
      </c>
      <c r="J10239" s="74">
        <f>IF(E10239="SERVICE",I10239-(I10239*50%),Vlookup(E10239,DATABASE!C:Q,10,false)*F10239)</f>
        <v>0</v>
      </c>
      <c r="K10239" s="74">
        <f>VLOOKUP(E10239,DATABASE!C:Q,7,false)</f>
        <v>100000</v>
      </c>
      <c r="L10239" s="74">
        <v>100000.0</v>
      </c>
      <c r="M10239" s="74">
        <f t="shared" si="6"/>
        <v>100000</v>
      </c>
      <c r="N10239" s="74">
        <f t="shared" si="3"/>
        <v>450000</v>
      </c>
      <c r="O10239" s="65" t="str">
        <f>VLOOKUP(E10239,DATABASE!C:Q,8,false)</f>
        <v>BIAN</v>
      </c>
      <c r="P10239" s="65">
        <f>VLOOKUP(E10239,DATABASE!C:Q,9,False)</f>
        <v>1</v>
      </c>
      <c r="Q10239" s="93" t="str">
        <f>VLOOKUP(E10239,DATABASE!C:Q,4,false)</f>
        <v>BD</v>
      </c>
      <c r="R10239" s="93" t="str">
        <f>VLOOKUP(E10239,DATABASE!C:Q,11,false)</f>
        <v>Tire</v>
      </c>
    </row>
    <row r="10240" ht="22.5" customHeight="1">
      <c r="A10240" s="49"/>
      <c r="C10240" s="400">
        <v>46275.0</v>
      </c>
      <c r="D10240" s="524">
        <v>855.0</v>
      </c>
      <c r="E10240" s="544" t="s">
        <v>2622</v>
      </c>
      <c r="F10240" s="387">
        <v>1.0</v>
      </c>
      <c r="G10240" s="140">
        <v>150000.0</v>
      </c>
      <c r="H10240" s="140"/>
      <c r="I10240" s="74">
        <f t="shared" si="7"/>
        <v>150000</v>
      </c>
      <c r="J10240" s="74">
        <f>IF(E10240="SERVICE",I10240-(I10240*50%),Vlookup(E10240,DATABASE!C:Q,10,false)*F10240)</f>
        <v>0</v>
      </c>
      <c r="K10240" s="74">
        <f>VLOOKUP(E10240,DATABASE!C:Q,7,false)</f>
        <v>85695</v>
      </c>
      <c r="L10240" s="74">
        <v>85695.0</v>
      </c>
      <c r="M10240" s="74">
        <f t="shared" si="6"/>
        <v>90000</v>
      </c>
      <c r="N10240" s="74">
        <f t="shared" si="3"/>
        <v>60000</v>
      </c>
      <c r="O10240" s="65" t="str">
        <f>VLOOKUP(E10240,DATABASE!C:Q,8,false)</f>
        <v>BIAN</v>
      </c>
      <c r="P10240" s="65">
        <f>VLOOKUP(E10240,DATABASE!C:Q,9,False)</f>
        <v>1</v>
      </c>
      <c r="Q10240" s="93" t="str">
        <f>VLOOKUP(E10240,DATABASE!C:Q,4,false)</f>
        <v>IBK</v>
      </c>
      <c r="R10240" s="93" t="str">
        <f>VLOOKUP(E10240,DATABASE!C:Q,11,false)</f>
        <v>Tire</v>
      </c>
    </row>
    <row r="10241" ht="22.5" customHeight="1">
      <c r="A10241" s="49"/>
      <c r="C10241" s="400">
        <v>46275.0</v>
      </c>
      <c r="D10241" s="524">
        <v>855.0</v>
      </c>
      <c r="E10241" s="544" t="s">
        <v>2621</v>
      </c>
      <c r="F10241" s="387">
        <v>10.0</v>
      </c>
      <c r="G10241" s="140">
        <v>185000.0</v>
      </c>
      <c r="H10241" s="140"/>
      <c r="I10241" s="74">
        <f t="shared" si="7"/>
        <v>1850000</v>
      </c>
      <c r="J10241" s="74">
        <f>IF(E10241="SERVICE",I10241-(I10241*50%),Vlookup(E10241,DATABASE!C:Q,10,false)*F10241)</f>
        <v>0</v>
      </c>
      <c r="K10241" s="74">
        <f>VLOOKUP(E10241,DATABASE!C:Q,7,false)</f>
        <v>141160</v>
      </c>
      <c r="L10241" s="74">
        <v>141160.0</v>
      </c>
      <c r="M10241" s="74">
        <f t="shared" si="6"/>
        <v>145000</v>
      </c>
      <c r="N10241" s="74">
        <f t="shared" si="3"/>
        <v>400000</v>
      </c>
      <c r="O10241" s="65" t="str">
        <f>VLOOKUP(E10241,DATABASE!C:Q,8,false)</f>
        <v>BIAN</v>
      </c>
      <c r="P10241" s="65">
        <f>VLOOKUP(E10241,DATABASE!C:Q,9,False)</f>
        <v>1</v>
      </c>
      <c r="Q10241" s="93" t="str">
        <f>VLOOKUP(E10241,DATABASE!C:Q,4,false)</f>
        <v>IBK light</v>
      </c>
      <c r="R10241" s="93" t="str">
        <f>VLOOKUP(E10241,DATABASE!C:Q,11,false)</f>
        <v>Tire</v>
      </c>
    </row>
    <row r="10242" ht="22.5" customHeight="1">
      <c r="A10242" s="49"/>
      <c r="C10242" s="400">
        <v>46275.0</v>
      </c>
      <c r="D10242" s="524">
        <v>855.0</v>
      </c>
      <c r="E10242" s="544" t="s">
        <v>284</v>
      </c>
      <c r="F10242" s="387">
        <v>10.0</v>
      </c>
      <c r="G10242" s="140">
        <v>70000.0</v>
      </c>
      <c r="H10242" s="140">
        <v>10000.0</v>
      </c>
      <c r="I10242" s="74">
        <f t="shared" si="7"/>
        <v>600000</v>
      </c>
      <c r="J10242" s="74">
        <f>IF(E10242="SERVICE",I10242-(I10242*50%),Vlookup(E10242,DATABASE!C:Q,10,false)*F10242)</f>
        <v>0</v>
      </c>
      <c r="K10242" s="74">
        <f>VLOOKUP(E10242,DATABASE!C:Q,7,false)</f>
        <v>36630</v>
      </c>
      <c r="L10242" s="74">
        <v>36630.0</v>
      </c>
      <c r="M10242" s="74">
        <f t="shared" si="6"/>
        <v>40000</v>
      </c>
      <c r="N10242" s="74">
        <f t="shared" si="3"/>
        <v>200000</v>
      </c>
      <c r="O10242" s="65" t="str">
        <f>VLOOKUP(E10242,DATABASE!C:Q,8,false)</f>
        <v>BIAN</v>
      </c>
      <c r="P10242" s="65">
        <f>VLOOKUP(E10242,DATABASE!C:Q,9,False)</f>
        <v>1</v>
      </c>
      <c r="Q10242" s="93" t="str">
        <f>VLOOKUP(E10242,DATABASE!C:Q,4,false)</f>
        <v>Flap</v>
      </c>
      <c r="R10242" s="93" t="str">
        <f>VLOOKUP(E10242,DATABASE!C:Q,11,false)</f>
        <v>Tire</v>
      </c>
    </row>
    <row r="10243" ht="22.5" customHeight="1">
      <c r="A10243" s="49"/>
      <c r="C10243" s="400">
        <v>46275.0</v>
      </c>
      <c r="D10243" s="524">
        <v>855.0</v>
      </c>
      <c r="E10243" s="544" t="s">
        <v>821</v>
      </c>
      <c r="F10243" s="387">
        <v>10.0</v>
      </c>
      <c r="G10243" s="140">
        <v>90000.0</v>
      </c>
      <c r="H10243" s="140">
        <v>10000.0</v>
      </c>
      <c r="I10243" s="74">
        <f t="shared" si="7"/>
        <v>800000</v>
      </c>
      <c r="J10243" s="74">
        <f>IF(E10243="SERVICE",I10243-(I10243*50%),Vlookup(E10243,DATABASE!C:Q,10,false)*F10243)</f>
        <v>0</v>
      </c>
      <c r="K10243" s="74">
        <f>VLOOKUP(E10243,DATABASE!C:Q,7,false)</f>
        <v>43500</v>
      </c>
      <c r="L10243" s="74">
        <v>43500.0</v>
      </c>
      <c r="M10243" s="74">
        <f t="shared" si="6"/>
        <v>45000</v>
      </c>
      <c r="N10243" s="74">
        <f t="shared" si="3"/>
        <v>350000</v>
      </c>
      <c r="O10243" s="65" t="str">
        <f>VLOOKUP(E10243,DATABASE!C:Q,8,false)</f>
        <v>BIAN</v>
      </c>
      <c r="P10243" s="65">
        <f>VLOOKUP(E10243,DATABASE!C:Q,9,False)</f>
        <v>1</v>
      </c>
      <c r="Q10243" s="93" t="str">
        <f>VLOOKUP(E10243,DATABASE!C:Q,4,false)</f>
        <v>Flap</v>
      </c>
      <c r="R10243" s="93" t="str">
        <f>VLOOKUP(E10243,DATABASE!C:Q,11,false)</f>
        <v>Tire</v>
      </c>
    </row>
    <row r="10244" ht="22.5" customHeight="1">
      <c r="A10244" s="49"/>
      <c r="C10244" s="400">
        <v>46275.0</v>
      </c>
      <c r="D10244" s="524">
        <v>856.0</v>
      </c>
      <c r="E10244" s="544" t="s">
        <v>566</v>
      </c>
      <c r="F10244" s="387">
        <v>2.0</v>
      </c>
      <c r="G10244" s="140">
        <v>1670000.0</v>
      </c>
      <c r="H10244" s="74"/>
      <c r="I10244" s="74">
        <f t="shared" si="7"/>
        <v>3340000</v>
      </c>
      <c r="J10244" s="74">
        <f>IF(E10244="SERVICE",I10244-(I10244*50%),Vlookup(E10244,DATABASE!C:Q,10,false)*F10244)</f>
        <v>0</v>
      </c>
      <c r="K10244" s="74">
        <f>VLOOKUP(E10244,DATABASE!C:Q,7,false)</f>
        <v>1565000</v>
      </c>
      <c r="L10244" s="74">
        <v>1565000.0</v>
      </c>
      <c r="M10244" s="74">
        <f t="shared" si="6"/>
        <v>1565000</v>
      </c>
      <c r="N10244" s="74">
        <f t="shared" si="3"/>
        <v>210000</v>
      </c>
      <c r="O10244" s="65" t="str">
        <f>VLOOKUP(E10244,DATABASE!C:Q,8,false)</f>
        <v>IBU</v>
      </c>
      <c r="P10244" s="65">
        <f>VLOOKUP(E10244,DATABASE!C:Q,9,False)</f>
        <v>1</v>
      </c>
      <c r="Q10244" s="93" t="str">
        <f>VLOOKUP(E10244,DATABASE!C:Q,4,false)</f>
        <v>Bridgestone</v>
      </c>
      <c r="R10244" s="93" t="str">
        <f>VLOOKUP(E10244,DATABASE!C:Q,11,false)</f>
        <v>Tire</v>
      </c>
    </row>
    <row r="10245" ht="22.5" customHeight="1">
      <c r="A10245" s="49"/>
      <c r="C10245" s="400">
        <v>46275.0</v>
      </c>
      <c r="D10245" s="524">
        <v>856.0</v>
      </c>
      <c r="E10245" s="544" t="s">
        <v>737</v>
      </c>
      <c r="F10245" s="387">
        <v>1.0</v>
      </c>
      <c r="G10245" s="140">
        <v>280000.0</v>
      </c>
      <c r="H10245" s="140">
        <v>10000.0</v>
      </c>
      <c r="I10245" s="74">
        <f t="shared" si="7"/>
        <v>270000</v>
      </c>
      <c r="J10245" s="74">
        <f>IF(E10245="SERVICE",I10245-(I10245*50%),Vlookup(E10245,DATABASE!C:Q,10,false)*F10245)</f>
        <v>0</v>
      </c>
      <c r="K10245" s="74">
        <f>VLOOKUP(E10245,DATABASE!C:Q,7,false)</f>
        <v>241001.6</v>
      </c>
      <c r="L10245" s="74">
        <v>241001.6</v>
      </c>
      <c r="M10245" s="74">
        <f t="shared" si="6"/>
        <v>245000</v>
      </c>
      <c r="N10245" s="74">
        <f t="shared" si="3"/>
        <v>25000</v>
      </c>
      <c r="O10245" s="65" t="str">
        <f>VLOOKUP(E10245,DATABASE!C:Q,8,false)</f>
        <v>IBU</v>
      </c>
      <c r="P10245" s="65">
        <f>VLOOKUP(E10245,DATABASE!C:Q,9,False)</f>
        <v>1</v>
      </c>
      <c r="Q10245" s="93" t="str">
        <f>VLOOKUP(E10245,DATABASE!C:Q,4,false)</f>
        <v>BD</v>
      </c>
      <c r="R10245" s="93" t="str">
        <f>VLOOKUP(E10245,DATABASE!C:Q,11,false)</f>
        <v>Tire</v>
      </c>
    </row>
    <row r="10246" ht="22.5" customHeight="1">
      <c r="A10246" s="49"/>
      <c r="C10246" s="400">
        <v>46275.0</v>
      </c>
      <c r="D10246" s="524">
        <v>856.0</v>
      </c>
      <c r="E10246" s="544" t="s">
        <v>821</v>
      </c>
      <c r="F10246" s="387">
        <v>1.0</v>
      </c>
      <c r="G10246" s="140">
        <v>90000.0</v>
      </c>
      <c r="H10246" s="74"/>
      <c r="I10246" s="74">
        <f t="shared" si="7"/>
        <v>90000</v>
      </c>
      <c r="J10246" s="74">
        <f>IF(E10246="SERVICE",I10246-(I10246*50%),Vlookup(E10246,DATABASE!C:Q,10,false)*F10246)</f>
        <v>0</v>
      </c>
      <c r="K10246" s="74">
        <f>VLOOKUP(E10246,DATABASE!C:Q,7,false)</f>
        <v>43500</v>
      </c>
      <c r="L10246" s="74">
        <v>43500.0</v>
      </c>
      <c r="M10246" s="74">
        <f t="shared" si="6"/>
        <v>45000</v>
      </c>
      <c r="N10246" s="74">
        <f t="shared" si="3"/>
        <v>45000</v>
      </c>
      <c r="O10246" s="65" t="str">
        <f>VLOOKUP(E10246,DATABASE!C:Q,8,false)</f>
        <v>BIAN</v>
      </c>
      <c r="P10246" s="65">
        <f>VLOOKUP(E10246,DATABASE!C:Q,9,False)</f>
        <v>1</v>
      </c>
      <c r="Q10246" s="93" t="str">
        <f>VLOOKUP(E10246,DATABASE!C:Q,4,false)</f>
        <v>Flap</v>
      </c>
      <c r="R10246" s="93" t="str">
        <f>VLOOKUP(E10246,DATABASE!C:Q,11,false)</f>
        <v>Tire</v>
      </c>
    </row>
    <row r="10247" ht="22.5" customHeight="1">
      <c r="A10247" s="49"/>
      <c r="C10247" s="400">
        <v>46275.0</v>
      </c>
      <c r="D10247" s="524">
        <v>857.0</v>
      </c>
      <c r="E10247" s="544" t="s">
        <v>250</v>
      </c>
      <c r="F10247" s="387">
        <v>1.0</v>
      </c>
      <c r="G10247" s="140">
        <v>135000.0</v>
      </c>
      <c r="H10247" s="74"/>
      <c r="I10247" s="74">
        <f t="shared" si="7"/>
        <v>135000</v>
      </c>
      <c r="J10247" s="74">
        <f>IF(E10247="SERVICE",I10247-(I10247*50%),Vlookup(E10247,DATABASE!C:Q,10,false)*F10247)</f>
        <v>0</v>
      </c>
      <c r="K10247" s="74">
        <f>VLOOKUP(E10247,DATABASE!C:Q,7,false)</f>
        <v>102000</v>
      </c>
      <c r="L10247" s="74">
        <v>102000.0</v>
      </c>
      <c r="M10247" s="74">
        <f t="shared" si="6"/>
        <v>105000</v>
      </c>
      <c r="N10247" s="74">
        <f t="shared" si="3"/>
        <v>30000</v>
      </c>
      <c r="O10247" s="65" t="str">
        <f>VLOOKUP(E10247,DATABASE!C:Q,8,false)</f>
        <v>BIAN</v>
      </c>
      <c r="P10247" s="65">
        <f>VLOOKUP(E10247,DATABASE!C:Q,9,False)</f>
        <v>1</v>
      </c>
      <c r="Q10247" s="93" t="str">
        <f>VLOOKUP(E10247,DATABASE!C:Q,4,false)</f>
        <v>BD</v>
      </c>
      <c r="R10247" s="93" t="str">
        <f>VLOOKUP(E10247,DATABASE!C:Q,11,false)</f>
        <v>Tire</v>
      </c>
    </row>
    <row r="10248" ht="22.5" customHeight="1">
      <c r="A10248" s="49"/>
      <c r="C10248" s="400">
        <v>46275.0</v>
      </c>
      <c r="D10248" s="524">
        <v>858.0</v>
      </c>
      <c r="E10248" s="544" t="s">
        <v>605</v>
      </c>
      <c r="F10248" s="387">
        <v>4.0</v>
      </c>
      <c r="G10248" s="140">
        <v>765000.0</v>
      </c>
      <c r="H10248" s="74"/>
      <c r="I10248" s="74">
        <f t="shared" si="7"/>
        <v>3060000</v>
      </c>
      <c r="J10248" s="74">
        <f>IF(E10248="SERVICE",I10248-(I10248*50%),Vlookup(E10248,DATABASE!C:Q,10,false)*F10248)</f>
        <v>0</v>
      </c>
      <c r="K10248" s="74">
        <f>VLOOKUP(E10248,DATABASE!C:Q,7,false)</f>
        <v>675000</v>
      </c>
      <c r="L10248" s="74">
        <v>675000.0</v>
      </c>
      <c r="M10248" s="74">
        <f t="shared" si="6"/>
        <v>675000</v>
      </c>
      <c r="N10248" s="74">
        <f t="shared" si="3"/>
        <v>360000</v>
      </c>
      <c r="O10248" s="65" t="str">
        <f>VLOOKUP(E10248,DATABASE!C:Q,8,false)</f>
        <v>IBU</v>
      </c>
      <c r="P10248" s="65">
        <f>VLOOKUP(E10248,DATABASE!C:Q,9,False)</f>
        <v>1</v>
      </c>
      <c r="Q10248" s="93" t="str">
        <f>VLOOKUP(E10248,DATABASE!C:Q,4,false)</f>
        <v>Bridgestone</v>
      </c>
      <c r="R10248" s="93" t="str">
        <f>VLOOKUP(E10248,DATABASE!C:Q,11,false)</f>
        <v>Tire</v>
      </c>
    </row>
    <row r="10249" ht="22.5" customHeight="1">
      <c r="A10249" s="49"/>
      <c r="C10249" s="400">
        <v>46275.0</v>
      </c>
      <c r="D10249" s="524">
        <v>859.0</v>
      </c>
      <c r="E10249" s="544" t="s">
        <v>268</v>
      </c>
      <c r="F10249" s="387">
        <v>2.0</v>
      </c>
      <c r="G10249" s="140">
        <v>720000.0</v>
      </c>
      <c r="H10249" s="74"/>
      <c r="I10249" s="74">
        <f t="shared" si="7"/>
        <v>1440000</v>
      </c>
      <c r="J10249" s="74">
        <f>IF(E10249="SERVICE",I10249-(I10249*50%),Vlookup(E10249,DATABASE!C:Q,10,false)*F10249)</f>
        <v>0</v>
      </c>
      <c r="K10249" s="74">
        <f>VLOOKUP(E10249,DATABASE!C:Q,7,false)</f>
        <v>653000</v>
      </c>
      <c r="L10249" s="74">
        <v>634500.0</v>
      </c>
      <c r="M10249" s="74">
        <f t="shared" si="6"/>
        <v>635000</v>
      </c>
      <c r="N10249" s="74">
        <f t="shared" si="3"/>
        <v>170000</v>
      </c>
      <c r="O10249" s="65" t="str">
        <f>VLOOKUP(E10249,DATABASE!C:Q,8,false)</f>
        <v>IBU</v>
      </c>
      <c r="P10249" s="65">
        <f>VLOOKUP(E10249,DATABASE!C:Q,9,False)</f>
        <v>1</v>
      </c>
      <c r="Q10249" s="93" t="str">
        <f>VLOOKUP(E10249,DATABASE!C:Q,4,false)</f>
        <v>Dunlop</v>
      </c>
      <c r="R10249" s="93" t="str">
        <f>VLOOKUP(E10249,DATABASE!C:Q,11,false)</f>
        <v>Tire</v>
      </c>
    </row>
    <row r="10250" ht="22.5" customHeight="1">
      <c r="A10250" s="49"/>
      <c r="C10250" s="400">
        <v>46275.0</v>
      </c>
      <c r="D10250" s="524">
        <v>859.0</v>
      </c>
      <c r="E10250" s="544" t="s">
        <v>262</v>
      </c>
      <c r="F10250" s="387">
        <v>1.0</v>
      </c>
      <c r="G10250" s="140">
        <v>130000.0</v>
      </c>
      <c r="H10250" s="74"/>
      <c r="I10250" s="74">
        <f t="shared" si="7"/>
        <v>130000</v>
      </c>
      <c r="J10250" s="74">
        <f>IF(E10250="SERVICE",I10250-(I10250*50%),Vlookup(E10250,DATABASE!C:Q,10,false)*F10250)</f>
        <v>5000</v>
      </c>
      <c r="K10250" s="74">
        <f>VLOOKUP(E10250,DATABASE!C:Q,7,false)</f>
        <v>0</v>
      </c>
      <c r="L10250" s="74">
        <v>0.0</v>
      </c>
      <c r="M10250" s="74">
        <f t="shared" si="6"/>
        <v>0</v>
      </c>
      <c r="N10250" s="74">
        <f t="shared" si="3"/>
        <v>125000</v>
      </c>
      <c r="O10250" s="65" t="str">
        <f>VLOOKUP(E10250,DATABASE!C:Q,8,false)</f>
        <v>IBU</v>
      </c>
      <c r="P10250" s="65">
        <f>VLOOKUP(E10250,DATABASE!C:Q,9,False)</f>
        <v>0</v>
      </c>
      <c r="Q10250" s="93" t="str">
        <f>VLOOKUP(E10250,DATABASE!C:Q,4,false)</f>
        <v>SPOORING SS/CARRY LOS BAK</v>
      </c>
      <c r="R10250" s="93" t="str">
        <f>VLOOKUP(E10250,DATABASE!C:Q,11,false)</f>
        <v>SERVICE</v>
      </c>
    </row>
    <row r="10251" ht="22.5" customHeight="1">
      <c r="A10251" s="49"/>
      <c r="C10251" s="400">
        <v>46275.0</v>
      </c>
      <c r="D10251" s="524">
        <v>859.0</v>
      </c>
      <c r="E10251" s="544" t="s">
        <v>305</v>
      </c>
      <c r="F10251" s="387">
        <v>1.0</v>
      </c>
      <c r="G10251" s="140">
        <v>240000.0</v>
      </c>
      <c r="H10251" s="74"/>
      <c r="I10251" s="74">
        <f t="shared" si="7"/>
        <v>240000</v>
      </c>
      <c r="J10251" s="74">
        <f>IF(E10251="SERVICE",I10251-(I10251*50%),Vlookup(E10251,DATABASE!C:Q,10,false)*F10251)</f>
        <v>40000</v>
      </c>
      <c r="K10251" s="74">
        <f>VLOOKUP(E10251,DATABASE!C:Q,7,false)</f>
        <v>158530.2</v>
      </c>
      <c r="L10251" s="74">
        <v>158530.2</v>
      </c>
      <c r="M10251" s="74">
        <f t="shared" si="6"/>
        <v>160000</v>
      </c>
      <c r="N10251" s="74">
        <f t="shared" si="3"/>
        <v>40000</v>
      </c>
      <c r="O10251" s="65" t="str">
        <f>VLOOKUP(E10251,DATABASE!C:Q,8,false)</f>
        <v>BIAN</v>
      </c>
      <c r="P10251" s="65">
        <f>VLOOKUP(E10251,DATABASE!C:Q,9,False)</f>
        <v>1</v>
      </c>
      <c r="Q10251" s="93" t="str">
        <f>VLOOKUP(E10251,DATABASE!C:Q,4,false)</f>
        <v>Lower Arm</v>
      </c>
      <c r="R10251" s="93" t="str">
        <f>VLOOKUP(E10251,DATABASE!C:Q,11,false)</f>
        <v>COMPLEMENTARY</v>
      </c>
    </row>
    <row r="10252" ht="22.5" customHeight="1">
      <c r="A10252" s="49"/>
      <c r="C10252" s="400">
        <v>46275.0</v>
      </c>
      <c r="D10252" s="524">
        <v>859.0</v>
      </c>
      <c r="E10252" s="544" t="s">
        <v>251</v>
      </c>
      <c r="F10252" s="387">
        <v>1.0</v>
      </c>
      <c r="G10252" s="140">
        <v>350000.0</v>
      </c>
      <c r="H10252" s="140">
        <v>270000.0</v>
      </c>
      <c r="I10252" s="74">
        <f t="shared" si="7"/>
        <v>80000</v>
      </c>
      <c r="J10252" s="74">
        <f>IF(E10252="SERVICE",I10252-(I10252*50%),Vlookup(E10252,DATABASE!C:Q,10,false)*F10252)</f>
        <v>40000</v>
      </c>
      <c r="K10252" s="74">
        <f>VLOOKUP(E10252,DATABASE!C:Q,7,false)</f>
        <v>0</v>
      </c>
      <c r="L10252" s="74">
        <v>0.0</v>
      </c>
      <c r="M10252" s="74">
        <f t="shared" si="6"/>
        <v>0</v>
      </c>
      <c r="N10252" s="74">
        <f t="shared" si="3"/>
        <v>40000</v>
      </c>
      <c r="O10252" s="65" t="str">
        <f>VLOOKUP(E10252,DATABASE!C:Q,8,false)</f>
        <v>IBU</v>
      </c>
      <c r="P10252" s="65">
        <f>VLOOKUP(E10252,DATABASE!C:Q,9,False)</f>
        <v>0</v>
      </c>
      <c r="Q10252" s="93" t="str">
        <f>VLOOKUP(E10252,DATABASE!C:Q,4,false)</f>
        <v>SERVICE</v>
      </c>
      <c r="R10252" s="93" t="str">
        <f>VLOOKUP(E10252,DATABASE!C:Q,11,false)</f>
        <v>SERVICE</v>
      </c>
    </row>
    <row r="10253" ht="22.5" customHeight="1">
      <c r="A10253" s="49"/>
      <c r="C10253" s="400">
        <v>46275.0</v>
      </c>
      <c r="D10253" s="524">
        <v>860.0</v>
      </c>
      <c r="E10253" s="544" t="s">
        <v>1104</v>
      </c>
      <c r="F10253" s="387">
        <v>2.0</v>
      </c>
      <c r="G10253" s="140">
        <v>810000.0</v>
      </c>
      <c r="H10253" s="74"/>
      <c r="I10253" s="74">
        <f t="shared" si="7"/>
        <v>1620000</v>
      </c>
      <c r="J10253" s="74">
        <f>IF(E10253="SERVICE",I10253-(I10253*50%),Vlookup(E10253,DATABASE!C:Q,10,false)*F10253)</f>
        <v>0</v>
      </c>
      <c r="K10253" s="74">
        <f>VLOOKUP(E10253,DATABASE!C:Q,7,false)</f>
        <v>715000</v>
      </c>
      <c r="L10253" s="74">
        <v>715000.0</v>
      </c>
      <c r="M10253" s="74">
        <f t="shared" si="6"/>
        <v>715000</v>
      </c>
      <c r="N10253" s="74">
        <f t="shared" si="3"/>
        <v>190000</v>
      </c>
      <c r="O10253" s="65" t="str">
        <f>VLOOKUP(E10253,DATABASE!C:Q,8,false)</f>
        <v>IBU</v>
      </c>
      <c r="P10253" s="65">
        <f>VLOOKUP(E10253,DATABASE!C:Q,9,False)</f>
        <v>0</v>
      </c>
      <c r="Q10253" s="93" t="str">
        <f>VLOOKUP(E10253,DATABASE!C:Q,4,false)</f>
        <v>Bridgestone</v>
      </c>
      <c r="R10253" s="93" t="str">
        <f>VLOOKUP(E10253,DATABASE!C:Q,11,false)</f>
        <v>Tire</v>
      </c>
    </row>
    <row r="10254" ht="22.5" customHeight="1">
      <c r="A10254" s="49"/>
      <c r="C10254" s="400">
        <v>46275.0</v>
      </c>
      <c r="D10254" s="524">
        <v>861.0</v>
      </c>
      <c r="E10254" s="544" t="s">
        <v>856</v>
      </c>
      <c r="F10254" s="387">
        <v>1.0</v>
      </c>
      <c r="G10254" s="140">
        <v>700000.0</v>
      </c>
      <c r="H10254" s="74"/>
      <c r="I10254" s="74">
        <f t="shared" si="7"/>
        <v>700000</v>
      </c>
      <c r="J10254" s="74">
        <f>IF(E10254="SERVICE",I10254-(I10254*50%),Vlookup(E10254,DATABASE!C:Q,10,false)*F10254)</f>
        <v>0</v>
      </c>
      <c r="K10254" s="74">
        <f>VLOOKUP(E10254,DATABASE!C:Q,7,false)</f>
        <v>615300</v>
      </c>
      <c r="L10254" s="74">
        <v>615300.0</v>
      </c>
      <c r="M10254" s="74">
        <f t="shared" si="6"/>
        <v>620000</v>
      </c>
      <c r="N10254" s="74">
        <f t="shared" si="3"/>
        <v>80000</v>
      </c>
      <c r="O10254" s="65" t="str">
        <f>VLOOKUP(E10254,DATABASE!C:Q,8,false)</f>
        <v>BIAN</v>
      </c>
      <c r="P10254" s="65">
        <f>VLOOKUP(E10254,DATABASE!C:Q,9,False)</f>
        <v>1</v>
      </c>
      <c r="Q10254" s="93" t="str">
        <f>VLOOKUP(E10254,DATABASE!C:Q,4,false)</f>
        <v>GT</v>
      </c>
      <c r="R10254" s="93" t="str">
        <f>VLOOKUP(E10254,DATABASE!C:Q,11,false)</f>
        <v>Tire</v>
      </c>
    </row>
    <row r="10255" ht="22.5" customHeight="1">
      <c r="A10255" s="49"/>
      <c r="C10255" s="400">
        <v>46275.0</v>
      </c>
      <c r="D10255" s="524">
        <v>862.0</v>
      </c>
      <c r="E10255" s="544" t="s">
        <v>1009</v>
      </c>
      <c r="F10255" s="387">
        <v>1.0</v>
      </c>
      <c r="G10255" s="140">
        <v>700000.0</v>
      </c>
      <c r="H10255" s="74"/>
      <c r="I10255" s="74">
        <f t="shared" si="7"/>
        <v>700000</v>
      </c>
      <c r="J10255" s="74">
        <f>IF(E10255="SERVICE",I10255-(I10255*50%),Vlookup(E10255,DATABASE!C:Q,10,false)*F10255)</f>
        <v>0</v>
      </c>
      <c r="K10255" s="74">
        <f>VLOOKUP(E10255,DATABASE!C:Q,7,false)</f>
        <v>609800</v>
      </c>
      <c r="L10255" s="74">
        <v>609800.0</v>
      </c>
      <c r="M10255" s="74">
        <f t="shared" si="6"/>
        <v>610000</v>
      </c>
      <c r="N10255" s="74">
        <f t="shared" si="3"/>
        <v>90000</v>
      </c>
      <c r="O10255" s="65" t="str">
        <f>VLOOKUP(E10255,DATABASE!C:Q,8,false)</f>
        <v>BIAN</v>
      </c>
      <c r="P10255" s="65">
        <f>VLOOKUP(E10255,DATABASE!C:Q,9,False)</f>
        <v>1</v>
      </c>
      <c r="Q10255" s="93" t="str">
        <f>VLOOKUP(E10255,DATABASE!C:Q,4,false)</f>
        <v>GT</v>
      </c>
      <c r="R10255" s="93" t="str">
        <f>VLOOKUP(E10255,DATABASE!C:Q,11,false)</f>
        <v>Tire</v>
      </c>
    </row>
    <row r="10256" ht="22.5" customHeight="1">
      <c r="A10256" s="49"/>
      <c r="C10256" s="400">
        <v>46275.0</v>
      </c>
      <c r="D10256" s="524">
        <v>863.0</v>
      </c>
      <c r="E10256" s="544" t="s">
        <v>856</v>
      </c>
      <c r="F10256" s="387">
        <v>1.0</v>
      </c>
      <c r="G10256" s="140">
        <v>700000.0</v>
      </c>
      <c r="H10256" s="74"/>
      <c r="I10256" s="74">
        <f t="shared" si="7"/>
        <v>700000</v>
      </c>
      <c r="J10256" s="74">
        <f>IF(E10256="SERVICE",I10256-(I10256*50%),Vlookup(E10256,DATABASE!C:Q,10,false)*F10256)</f>
        <v>0</v>
      </c>
      <c r="K10256" s="74">
        <f>VLOOKUP(E10256,DATABASE!C:Q,7,false)</f>
        <v>615300</v>
      </c>
      <c r="L10256" s="74">
        <v>615300.0</v>
      </c>
      <c r="M10256" s="74">
        <f t="shared" si="6"/>
        <v>620000</v>
      </c>
      <c r="N10256" s="74">
        <f t="shared" si="3"/>
        <v>80000</v>
      </c>
      <c r="O10256" s="65" t="str">
        <f>VLOOKUP(E10256,DATABASE!C:Q,8,false)</f>
        <v>BIAN</v>
      </c>
      <c r="P10256" s="65">
        <f>VLOOKUP(E10256,DATABASE!C:Q,9,False)</f>
        <v>1</v>
      </c>
      <c r="Q10256" s="93" t="str">
        <f>VLOOKUP(E10256,DATABASE!C:Q,4,false)</f>
        <v>GT</v>
      </c>
      <c r="R10256" s="93" t="str">
        <f>VLOOKUP(E10256,DATABASE!C:Q,11,false)</f>
        <v>Tire</v>
      </c>
    </row>
    <row r="10257" ht="22.5" customHeight="1">
      <c r="A10257" s="49"/>
      <c r="C10257" s="400">
        <v>46275.0</v>
      </c>
      <c r="D10257" s="524">
        <v>864.0</v>
      </c>
      <c r="E10257" s="544" t="s">
        <v>591</v>
      </c>
      <c r="F10257" s="387">
        <v>2.0</v>
      </c>
      <c r="G10257" s="140">
        <v>725000.0</v>
      </c>
      <c r="H10257" s="74"/>
      <c r="I10257" s="74">
        <f t="shared" si="7"/>
        <v>1450000</v>
      </c>
      <c r="J10257" s="74">
        <f>IF(E10257="SERVICE",I10257-(I10257*50%),Vlookup(E10257,DATABASE!C:Q,10,false)*F10257)</f>
        <v>0</v>
      </c>
      <c r="K10257" s="74">
        <f>VLOOKUP(E10257,DATABASE!C:Q,7,false)</f>
        <v>633035.16</v>
      </c>
      <c r="L10257" s="74">
        <v>633035.16</v>
      </c>
      <c r="M10257" s="74">
        <f t="shared" si="6"/>
        <v>635000</v>
      </c>
      <c r="N10257" s="74">
        <f t="shared" si="3"/>
        <v>180000</v>
      </c>
      <c r="O10257" s="65" t="str">
        <f>VLOOKUP(E10257,DATABASE!C:Q,8,false)</f>
        <v>IBU</v>
      </c>
      <c r="P10257" s="65">
        <f>VLOOKUP(E10257,DATABASE!C:Q,9,False)</f>
        <v>1</v>
      </c>
      <c r="Q10257" s="93" t="str">
        <f>VLOOKUP(E10257,DATABASE!C:Q,4,false)</f>
        <v>Bridgestone</v>
      </c>
      <c r="R10257" s="93" t="str">
        <f>VLOOKUP(E10257,DATABASE!C:Q,11,false)</f>
        <v>Tire</v>
      </c>
    </row>
    <row r="10258" ht="22.5" customHeight="1">
      <c r="A10258" s="49"/>
      <c r="C10258" s="400">
        <v>46275.0</v>
      </c>
      <c r="D10258" s="524">
        <v>864.0</v>
      </c>
      <c r="E10258" s="544" t="s">
        <v>299</v>
      </c>
      <c r="F10258" s="387">
        <v>2.0</v>
      </c>
      <c r="G10258" s="140">
        <v>30000.0</v>
      </c>
      <c r="H10258" s="140">
        <v>5000.0</v>
      </c>
      <c r="I10258" s="74">
        <f t="shared" si="7"/>
        <v>50000</v>
      </c>
      <c r="J10258" s="74">
        <f>IF(E10258="SERVICE",I10258-(I10258*50%),Vlookup(E10258,DATABASE!C:Q,10,false)*F10258)</f>
        <v>0</v>
      </c>
      <c r="K10258" s="74">
        <f>VLOOKUP(E10258,DATABASE!C:Q,7,false)</f>
        <v>10000</v>
      </c>
      <c r="L10258" s="74">
        <v>10000.0</v>
      </c>
      <c r="M10258" s="74">
        <f t="shared" si="6"/>
        <v>10000</v>
      </c>
      <c r="N10258" s="74">
        <f t="shared" si="3"/>
        <v>30000</v>
      </c>
      <c r="O10258" s="65" t="str">
        <f>VLOOKUP(E10258,DATABASE!C:Q,8,false)</f>
        <v>BIAN</v>
      </c>
      <c r="P10258" s="65">
        <f>VLOOKUP(E10258,DATABASE!C:Q,9,False)</f>
        <v>0</v>
      </c>
      <c r="Q10258" s="93" t="str">
        <f>VLOOKUP(E10258,DATABASE!C:Q,4,false)</f>
        <v>Balancing</v>
      </c>
      <c r="R10258" s="93" t="str">
        <f>VLOOKUP(E10258,DATABASE!C:Q,11,false)</f>
        <v>COMPLEMENTARY</v>
      </c>
    </row>
    <row r="10259" ht="22.5" customHeight="1">
      <c r="A10259" s="49"/>
      <c r="C10259" s="400">
        <v>46275.0</v>
      </c>
      <c r="D10259" s="524">
        <v>864.0</v>
      </c>
      <c r="E10259" s="544" t="s">
        <v>256</v>
      </c>
      <c r="F10259" s="387">
        <v>1.0</v>
      </c>
      <c r="G10259" s="140">
        <v>175000.0</v>
      </c>
      <c r="H10259" s="140">
        <v>25000.0</v>
      </c>
      <c r="I10259" s="74">
        <f t="shared" si="7"/>
        <v>150000</v>
      </c>
      <c r="J10259" s="74">
        <f>IF(E10259="SERVICE",I10259-(I10259*50%),Vlookup(E10259,DATABASE!C:Q,10,false)*F10259)</f>
        <v>10000</v>
      </c>
      <c r="K10259" s="74">
        <f>VLOOKUP(E10259,DATABASE!C:Q,7,false)</f>
        <v>0</v>
      </c>
      <c r="L10259" s="74">
        <v>0.0</v>
      </c>
      <c r="M10259" s="74">
        <f t="shared" si="6"/>
        <v>0</v>
      </c>
      <c r="N10259" s="74">
        <f t="shared" si="3"/>
        <v>140000</v>
      </c>
      <c r="O10259" s="65" t="str">
        <f>VLOOKUP(E10259,DATABASE!C:Q,8,false)</f>
        <v>IBU</v>
      </c>
      <c r="P10259" s="65">
        <f>VLOOKUP(E10259,DATABASE!C:Q,9,False)</f>
        <v>0</v>
      </c>
      <c r="Q10259" s="93" t="str">
        <f>VLOOKUP(E10259,DATABASE!C:Q,4,false)</f>
        <v>SPOORING</v>
      </c>
      <c r="R10259" s="93" t="str">
        <f>VLOOKUP(E10259,DATABASE!C:Q,11,false)</f>
        <v>SERVICE</v>
      </c>
    </row>
    <row r="10260" ht="22.5" customHeight="1">
      <c r="A10260" s="49"/>
      <c r="C10260" s="400">
        <v>46275.0</v>
      </c>
      <c r="D10260" s="524">
        <v>864.0</v>
      </c>
      <c r="E10260" s="544" t="s">
        <v>251</v>
      </c>
      <c r="F10260" s="387">
        <v>1.0</v>
      </c>
      <c r="G10260" s="140">
        <v>350000.0</v>
      </c>
      <c r="H10260" s="140">
        <v>200000.0</v>
      </c>
      <c r="I10260" s="74">
        <f t="shared" si="7"/>
        <v>150000</v>
      </c>
      <c r="J10260" s="74">
        <f>IF(E10260="SERVICE",I10260-(I10260*50%),Vlookup(E10260,DATABASE!C:Q,10,false)*F10260)</f>
        <v>75000</v>
      </c>
      <c r="K10260" s="74">
        <f>VLOOKUP(E10260,DATABASE!C:Q,7,false)</f>
        <v>0</v>
      </c>
      <c r="L10260" s="74">
        <v>0.0</v>
      </c>
      <c r="M10260" s="74">
        <f t="shared" si="6"/>
        <v>0</v>
      </c>
      <c r="N10260" s="74">
        <f t="shared" si="3"/>
        <v>75000</v>
      </c>
      <c r="O10260" s="65" t="str">
        <f>VLOOKUP(E10260,DATABASE!C:Q,8,false)</f>
        <v>IBU</v>
      </c>
      <c r="P10260" s="65">
        <f>VLOOKUP(E10260,DATABASE!C:Q,9,False)</f>
        <v>0</v>
      </c>
      <c r="Q10260" s="93" t="str">
        <f>VLOOKUP(E10260,DATABASE!C:Q,4,false)</f>
        <v>SERVICE</v>
      </c>
      <c r="R10260" s="93" t="str">
        <f>VLOOKUP(E10260,DATABASE!C:Q,11,false)</f>
        <v>SERVICE</v>
      </c>
    </row>
    <row r="10261" ht="22.5" customHeight="1">
      <c r="A10261" s="49"/>
      <c r="C10261" s="400">
        <v>46275.0</v>
      </c>
      <c r="D10261" s="524">
        <v>865.0</v>
      </c>
      <c r="E10261" s="544" t="s">
        <v>1858</v>
      </c>
      <c r="F10261" s="387">
        <v>2.0</v>
      </c>
      <c r="G10261" s="140">
        <v>2130000.0</v>
      </c>
      <c r="H10261" s="74"/>
      <c r="I10261" s="74">
        <f t="shared" si="7"/>
        <v>4260000</v>
      </c>
      <c r="J10261" s="74">
        <f>IF(E10261="SERVICE",I10261-(I10261*50%),Vlookup(E10261,DATABASE!C:Q,10,false)*F10261)</f>
        <v>0</v>
      </c>
      <c r="K10261" s="74">
        <f>VLOOKUP(E10261,DATABASE!C:Q,7,false)</f>
        <v>2030000</v>
      </c>
      <c r="L10261" s="74">
        <v>2030000.0</v>
      </c>
      <c r="M10261" s="74">
        <f t="shared" si="6"/>
        <v>2030000</v>
      </c>
      <c r="N10261" s="74">
        <f t="shared" si="3"/>
        <v>200000</v>
      </c>
      <c r="O10261" s="65" t="str">
        <f>VLOOKUP(E10261,DATABASE!C:Q,8,false)</f>
        <v>BIAN</v>
      </c>
      <c r="P10261" s="65">
        <f>VLOOKUP(E10261,DATABASE!C:Q,9,False)</f>
        <v>1</v>
      </c>
      <c r="Q10261" s="93" t="str">
        <f>VLOOKUP(E10261,DATABASE!C:Q,4,false)</f>
        <v>GiTi</v>
      </c>
      <c r="R10261" s="93" t="str">
        <f>VLOOKUP(E10261,DATABASE!C:Q,11,false)</f>
        <v>Tire</v>
      </c>
    </row>
    <row r="10262" ht="22.5" customHeight="1">
      <c r="A10262" s="49"/>
      <c r="C10262" s="400">
        <v>46275.0</v>
      </c>
      <c r="D10262" s="524">
        <v>866.0</v>
      </c>
      <c r="E10262" s="544" t="s">
        <v>878</v>
      </c>
      <c r="F10262" s="387">
        <v>1.0</v>
      </c>
      <c r="G10262" s="140">
        <v>50000.0</v>
      </c>
      <c r="H10262" s="74"/>
      <c r="I10262" s="74">
        <f t="shared" si="7"/>
        <v>50000</v>
      </c>
      <c r="J10262" s="74">
        <f>IF(E10262="SERVICE",I10262-(I10262*50%),Vlookup(E10262,DATABASE!C:Q,10,false)*F10262)</f>
        <v>0</v>
      </c>
      <c r="K10262" s="74">
        <f>VLOOKUP(E10262,DATABASE!C:Q,7,false)</f>
        <v>0</v>
      </c>
      <c r="L10262" s="74">
        <v>0.0</v>
      </c>
      <c r="M10262" s="74">
        <f t="shared" si="6"/>
        <v>0</v>
      </c>
      <c r="N10262" s="74">
        <f t="shared" si="3"/>
        <v>50000</v>
      </c>
      <c r="O10262" s="65" t="str">
        <f>VLOOKUP(E10262,DATABASE!C:Q,8,false)</f>
        <v>IBU</v>
      </c>
      <c r="P10262" s="65">
        <f>VLOOKUP(E10262,DATABASE!C:Q,9,False)</f>
        <v>0</v>
      </c>
      <c r="Q10262" s="93" t="str">
        <f>VLOOKUP(E10262,DATABASE!C:Q,4,false)</f>
        <v>Bongkar Pasang 17</v>
      </c>
      <c r="R10262" s="93" t="str">
        <f>VLOOKUP(E10262,DATABASE!C:Q,11,false)</f>
        <v>SERVICE</v>
      </c>
    </row>
    <row r="10263" ht="22.5" customHeight="1">
      <c r="A10263" s="49"/>
      <c r="C10263" s="400">
        <v>46275.0</v>
      </c>
      <c r="D10263" s="524">
        <v>867.0</v>
      </c>
      <c r="E10263" s="544" t="s">
        <v>256</v>
      </c>
      <c r="F10263" s="387">
        <v>2.0</v>
      </c>
      <c r="G10263" s="140">
        <v>175000.0</v>
      </c>
      <c r="H10263" s="140">
        <v>25000.0</v>
      </c>
      <c r="I10263" s="74">
        <f t="shared" si="7"/>
        <v>300000</v>
      </c>
      <c r="J10263" s="74">
        <f>IF(E10263="SERVICE",I10263-(I10263*50%),Vlookup(E10263,DATABASE!C:Q,10,false)*F10263)</f>
        <v>20000</v>
      </c>
      <c r="K10263" s="74">
        <f>VLOOKUP(E10263,DATABASE!C:Q,7,false)</f>
        <v>0</v>
      </c>
      <c r="L10263" s="74">
        <v>0.0</v>
      </c>
      <c r="M10263" s="74">
        <f t="shared" si="6"/>
        <v>0</v>
      </c>
      <c r="N10263" s="74">
        <f t="shared" si="3"/>
        <v>280000</v>
      </c>
      <c r="O10263" s="65" t="str">
        <f>VLOOKUP(E10263,DATABASE!C:Q,8,false)</f>
        <v>IBU</v>
      </c>
      <c r="P10263" s="65">
        <f>VLOOKUP(E10263,DATABASE!C:Q,9,False)</f>
        <v>0</v>
      </c>
      <c r="Q10263" s="93" t="str">
        <f>VLOOKUP(E10263,DATABASE!C:Q,4,false)</f>
        <v>SPOORING</v>
      </c>
      <c r="R10263" s="93" t="str">
        <f>VLOOKUP(E10263,DATABASE!C:Q,11,false)</f>
        <v>SERVICE</v>
      </c>
    </row>
    <row r="10264" ht="22.5" customHeight="1">
      <c r="A10264" s="49"/>
      <c r="C10264" s="400">
        <v>46275.0</v>
      </c>
      <c r="D10264" s="524">
        <v>867.0</v>
      </c>
      <c r="E10264" s="544" t="s">
        <v>251</v>
      </c>
      <c r="F10264" s="387">
        <v>1.0</v>
      </c>
      <c r="G10264" s="140">
        <v>350000.0</v>
      </c>
      <c r="H10264" s="140">
        <v>230000.0</v>
      </c>
      <c r="I10264" s="74">
        <f t="shared" si="7"/>
        <v>120000</v>
      </c>
      <c r="J10264" s="74">
        <f>IF(E10264="SERVICE",I10264-(I10264*50%),Vlookup(E10264,DATABASE!C:Q,10,false)*F10264)</f>
        <v>60000</v>
      </c>
      <c r="K10264" s="74">
        <f>VLOOKUP(E10264,DATABASE!C:Q,7,false)</f>
        <v>0</v>
      </c>
      <c r="L10264" s="74">
        <v>0.0</v>
      </c>
      <c r="M10264" s="74">
        <f t="shared" si="6"/>
        <v>0</v>
      </c>
      <c r="N10264" s="74">
        <f t="shared" si="3"/>
        <v>60000</v>
      </c>
      <c r="O10264" s="65" t="str">
        <f>VLOOKUP(E10264,DATABASE!C:Q,8,false)</f>
        <v>IBU</v>
      </c>
      <c r="P10264" s="65">
        <f>VLOOKUP(E10264,DATABASE!C:Q,9,False)</f>
        <v>0</v>
      </c>
      <c r="Q10264" s="93" t="str">
        <f>VLOOKUP(E10264,DATABASE!C:Q,4,false)</f>
        <v>SERVICE</v>
      </c>
      <c r="R10264" s="93" t="str">
        <f>VLOOKUP(E10264,DATABASE!C:Q,11,false)</f>
        <v>SERVICE</v>
      </c>
    </row>
    <row r="10265" ht="22.5" customHeight="1">
      <c r="A10265" s="49"/>
      <c r="C10265" s="400">
        <v>46275.0</v>
      </c>
      <c r="D10265" s="524">
        <v>867.0</v>
      </c>
      <c r="E10265" s="544" t="s">
        <v>301</v>
      </c>
      <c r="F10265" s="387">
        <v>1.0</v>
      </c>
      <c r="G10265" s="140">
        <v>250000.0</v>
      </c>
      <c r="H10265" s="74"/>
      <c r="I10265" s="74">
        <f t="shared" si="7"/>
        <v>250000</v>
      </c>
      <c r="J10265" s="74">
        <f>IF(E10265="SERVICE",I10265-(I10265*50%),Vlookup(E10265,DATABASE!C:Q,10,false)*F10265)</f>
        <v>75000</v>
      </c>
      <c r="K10265" s="74">
        <f>VLOOKUP(E10265,DATABASE!C:Q,7,false)</f>
        <v>75000</v>
      </c>
      <c r="L10265" s="74">
        <v>75000.0</v>
      </c>
      <c r="M10265" s="74">
        <f t="shared" si="6"/>
        <v>75000</v>
      </c>
      <c r="N10265" s="74">
        <f t="shared" si="3"/>
        <v>100000</v>
      </c>
      <c r="O10265" s="65" t="str">
        <f>VLOOKUP(E10265,DATABASE!C:Q,8,false)</f>
        <v>BIAN</v>
      </c>
      <c r="P10265" s="65">
        <f>VLOOKUP(E10265,DATABASE!C:Q,9,False)</f>
        <v>0</v>
      </c>
      <c r="Q10265" s="93" t="str">
        <f>VLOOKUP(E10265,DATABASE!C:Q,4,false)</f>
        <v>Baut Camber</v>
      </c>
      <c r="R10265" s="93" t="str">
        <f>VLOOKUP(E10265,DATABASE!C:Q,11,false)</f>
        <v>COMPLEMENTARY</v>
      </c>
    </row>
    <row r="10266" ht="22.5" customHeight="1">
      <c r="A10266" s="49"/>
      <c r="C10266" s="400">
        <v>46275.0</v>
      </c>
      <c r="D10266" s="524">
        <v>868.0</v>
      </c>
      <c r="E10266" s="544" t="s">
        <v>791</v>
      </c>
      <c r="F10266" s="387">
        <v>1.0</v>
      </c>
      <c r="G10266" s="140">
        <v>1320000.0</v>
      </c>
      <c r="H10266" s="74"/>
      <c r="I10266" s="74">
        <f t="shared" si="7"/>
        <v>1320000</v>
      </c>
      <c r="J10266" s="74">
        <f>IF(E10266="SERVICE",I10266-(I10266*50%),Vlookup(E10266,DATABASE!C:Q,10,false)*F10266)</f>
        <v>0</v>
      </c>
      <c r="K10266" s="74">
        <f>VLOOKUP(E10266,DATABASE!C:Q,7,false)</f>
        <v>1210000</v>
      </c>
      <c r="L10266" s="74">
        <v>1210000.0</v>
      </c>
      <c r="M10266" s="74">
        <f t="shared" si="6"/>
        <v>1210000</v>
      </c>
      <c r="N10266" s="74">
        <f t="shared" si="3"/>
        <v>110000</v>
      </c>
      <c r="O10266" s="65" t="str">
        <f>VLOOKUP(E10266,DATABASE!C:Q,8,false)</f>
        <v>BIAN</v>
      </c>
      <c r="P10266" s="65">
        <f>VLOOKUP(E10266,DATABASE!C:Q,9,False)</f>
        <v>1</v>
      </c>
      <c r="Q10266" s="93" t="str">
        <f>VLOOKUP(E10266,DATABASE!C:Q,4,false)</f>
        <v>GT</v>
      </c>
      <c r="R10266" s="93" t="str">
        <f>VLOOKUP(E10266,DATABASE!C:Q,11,false)</f>
        <v>Tire</v>
      </c>
    </row>
    <row r="10267" ht="22.5" customHeight="1">
      <c r="A10267" s="49"/>
      <c r="C10267" s="400">
        <v>46275.0</v>
      </c>
      <c r="D10267" s="524">
        <v>868.0</v>
      </c>
      <c r="E10267" s="544" t="s">
        <v>255</v>
      </c>
      <c r="F10267" s="387">
        <v>1.0</v>
      </c>
      <c r="G10267" s="140">
        <v>200000.0</v>
      </c>
      <c r="H10267" s="74"/>
      <c r="I10267" s="74">
        <f t="shared" si="7"/>
        <v>200000</v>
      </c>
      <c r="J10267" s="74">
        <f>IF(E10267="SERVICE",I10267-(I10267*50%),Vlookup(E10267,DATABASE!C:Q,10,false)*F10267)</f>
        <v>0</v>
      </c>
      <c r="K10267" s="74">
        <f>VLOOKUP(E10267,DATABASE!C:Q,7,false)</f>
        <v>161840</v>
      </c>
      <c r="L10267" s="74">
        <v>161840.0</v>
      </c>
      <c r="M10267" s="74">
        <f t="shared" si="6"/>
        <v>165000</v>
      </c>
      <c r="N10267" s="74">
        <f t="shared" si="3"/>
        <v>35000</v>
      </c>
      <c r="O10267" s="65" t="str">
        <f>VLOOKUP(E10267,DATABASE!C:Q,8,false)</f>
        <v>BIAN</v>
      </c>
      <c r="P10267" s="65">
        <f>VLOOKUP(E10267,DATABASE!C:Q,9,False)</f>
        <v>1</v>
      </c>
      <c r="Q10267" s="93" t="str">
        <f>VLOOKUP(E10267,DATABASE!C:Q,4,false)</f>
        <v>BD</v>
      </c>
      <c r="R10267" s="93" t="str">
        <f>VLOOKUP(E10267,DATABASE!C:Q,11,false)</f>
        <v>Tire</v>
      </c>
    </row>
    <row r="10268" ht="22.5" customHeight="1">
      <c r="A10268" s="49"/>
      <c r="C10268" s="400">
        <v>46275.0</v>
      </c>
      <c r="D10268" s="524">
        <v>868.0</v>
      </c>
      <c r="E10268" s="544" t="s">
        <v>284</v>
      </c>
      <c r="F10268" s="387">
        <v>1.0</v>
      </c>
      <c r="G10268" s="140">
        <v>70000.0</v>
      </c>
      <c r="H10268" s="74"/>
      <c r="I10268" s="74">
        <f t="shared" si="7"/>
        <v>70000</v>
      </c>
      <c r="J10268" s="74">
        <f>IF(E10268="SERVICE",I10268-(I10268*50%),Vlookup(E10268,DATABASE!C:Q,10,false)*F10268)</f>
        <v>0</v>
      </c>
      <c r="K10268" s="74">
        <f>VLOOKUP(E10268,DATABASE!C:Q,7,false)</f>
        <v>36630</v>
      </c>
      <c r="L10268" s="74">
        <v>36630.0</v>
      </c>
      <c r="M10268" s="74">
        <f t="shared" si="6"/>
        <v>40000</v>
      </c>
      <c r="N10268" s="74">
        <f t="shared" si="3"/>
        <v>30000</v>
      </c>
      <c r="O10268" s="65" t="str">
        <f>VLOOKUP(E10268,DATABASE!C:Q,8,false)</f>
        <v>BIAN</v>
      </c>
      <c r="P10268" s="65">
        <f>VLOOKUP(E10268,DATABASE!C:Q,9,False)</f>
        <v>1</v>
      </c>
      <c r="Q10268" s="93" t="str">
        <f>VLOOKUP(E10268,DATABASE!C:Q,4,false)</f>
        <v>Flap</v>
      </c>
      <c r="R10268" s="93" t="str">
        <f>VLOOKUP(E10268,DATABASE!C:Q,11,false)</f>
        <v>Tire</v>
      </c>
    </row>
    <row r="10269" ht="22.5" customHeight="1">
      <c r="A10269" s="49"/>
      <c r="C10269" s="400">
        <v>46275.0</v>
      </c>
      <c r="D10269" s="524">
        <v>869.0</v>
      </c>
      <c r="E10269" s="544" t="s">
        <v>299</v>
      </c>
      <c r="F10269" s="387">
        <v>2.0</v>
      </c>
      <c r="G10269" s="140">
        <v>30000.0</v>
      </c>
      <c r="H10269" s="74"/>
      <c r="I10269" s="74">
        <f t="shared" si="7"/>
        <v>60000</v>
      </c>
      <c r="J10269" s="74">
        <f>IF(E10269="SERVICE",I10269-(I10269*50%),Vlookup(E10269,DATABASE!C:Q,10,false)*F10269)</f>
        <v>0</v>
      </c>
      <c r="K10269" s="74">
        <f>VLOOKUP(E10269,DATABASE!C:Q,7,false)</f>
        <v>10000</v>
      </c>
      <c r="L10269" s="74">
        <v>10000.0</v>
      </c>
      <c r="M10269" s="74">
        <f t="shared" si="6"/>
        <v>10000</v>
      </c>
      <c r="N10269" s="74">
        <f t="shared" si="3"/>
        <v>40000</v>
      </c>
      <c r="O10269" s="65" t="str">
        <f>VLOOKUP(E10269,DATABASE!C:Q,8,false)</f>
        <v>BIAN</v>
      </c>
      <c r="P10269" s="65">
        <f>VLOOKUP(E10269,DATABASE!C:Q,9,False)</f>
        <v>0</v>
      </c>
      <c r="Q10269" s="93" t="str">
        <f>VLOOKUP(E10269,DATABASE!C:Q,4,false)</f>
        <v>Balancing</v>
      </c>
      <c r="R10269" s="93" t="str">
        <f>VLOOKUP(E10269,DATABASE!C:Q,11,false)</f>
        <v>COMPLEMENTARY</v>
      </c>
    </row>
    <row r="10270" ht="22.5" customHeight="1">
      <c r="A10270" s="49"/>
      <c r="C10270" s="400">
        <v>46275.0</v>
      </c>
      <c r="D10270" s="524">
        <v>869.0</v>
      </c>
      <c r="E10270" s="544" t="s">
        <v>301</v>
      </c>
      <c r="F10270" s="387">
        <v>1.0</v>
      </c>
      <c r="G10270" s="140">
        <v>250000.0</v>
      </c>
      <c r="H10270" s="74"/>
      <c r="I10270" s="74">
        <f t="shared" si="7"/>
        <v>250000</v>
      </c>
      <c r="J10270" s="74">
        <f>IF(E10270="SERVICE",I10270-(I10270*50%),Vlookup(E10270,DATABASE!C:Q,10,false)*F10270)</f>
        <v>75000</v>
      </c>
      <c r="K10270" s="74">
        <f>VLOOKUP(E10270,DATABASE!C:Q,7,false)</f>
        <v>75000</v>
      </c>
      <c r="L10270" s="74">
        <v>75000.0</v>
      </c>
      <c r="M10270" s="74">
        <f t="shared" si="6"/>
        <v>75000</v>
      </c>
      <c r="N10270" s="74">
        <f t="shared" si="3"/>
        <v>100000</v>
      </c>
      <c r="O10270" s="65" t="str">
        <f>VLOOKUP(E10270,DATABASE!C:Q,8,false)</f>
        <v>BIAN</v>
      </c>
      <c r="P10270" s="65">
        <f>VLOOKUP(E10270,DATABASE!C:Q,9,False)</f>
        <v>0</v>
      </c>
      <c r="Q10270" s="93" t="str">
        <f>VLOOKUP(E10270,DATABASE!C:Q,4,false)</f>
        <v>Baut Camber</v>
      </c>
      <c r="R10270" s="93" t="str">
        <f>VLOOKUP(E10270,DATABASE!C:Q,11,false)</f>
        <v>COMPLEMENTARY</v>
      </c>
    </row>
    <row r="10271" ht="22.5" customHeight="1">
      <c r="A10271" s="49"/>
      <c r="C10271" s="400">
        <v>46275.0</v>
      </c>
      <c r="D10271" s="524">
        <v>869.0</v>
      </c>
      <c r="E10271" s="544" t="s">
        <v>262</v>
      </c>
      <c r="F10271" s="387">
        <v>1.0</v>
      </c>
      <c r="G10271" s="140">
        <v>130000.0</v>
      </c>
      <c r="H10271" s="74"/>
      <c r="I10271" s="74">
        <f t="shared" si="7"/>
        <v>130000</v>
      </c>
      <c r="J10271" s="74">
        <f>IF(E10271="SERVICE",I10271-(I10271*50%),Vlookup(E10271,DATABASE!C:Q,10,false)*F10271)</f>
        <v>5000</v>
      </c>
      <c r="K10271" s="74">
        <f>VLOOKUP(E10271,DATABASE!C:Q,7,false)</f>
        <v>0</v>
      </c>
      <c r="L10271" s="74">
        <v>0.0</v>
      </c>
      <c r="M10271" s="74">
        <f t="shared" si="6"/>
        <v>0</v>
      </c>
      <c r="N10271" s="74">
        <f t="shared" si="3"/>
        <v>125000</v>
      </c>
      <c r="O10271" s="65" t="str">
        <f>VLOOKUP(E10271,DATABASE!C:Q,8,false)</f>
        <v>IBU</v>
      </c>
      <c r="P10271" s="65">
        <f>VLOOKUP(E10271,DATABASE!C:Q,9,False)</f>
        <v>0</v>
      </c>
      <c r="Q10271" s="93" t="str">
        <f>VLOOKUP(E10271,DATABASE!C:Q,4,false)</f>
        <v>SPOORING SS/CARRY LOS BAK</v>
      </c>
      <c r="R10271" s="93" t="str">
        <f>VLOOKUP(E10271,DATABASE!C:Q,11,false)</f>
        <v>SERVICE</v>
      </c>
    </row>
    <row r="10272" ht="22.5" customHeight="1">
      <c r="A10272" s="49"/>
      <c r="C10272" s="400">
        <v>46276.0</v>
      </c>
      <c r="D10272" s="524">
        <v>870.0</v>
      </c>
      <c r="E10272" s="544" t="s">
        <v>1862</v>
      </c>
      <c r="F10272" s="387">
        <v>1.0</v>
      </c>
      <c r="G10272" s="140">
        <v>2180000.0</v>
      </c>
      <c r="H10272" s="74"/>
      <c r="I10272" s="74">
        <f t="shared" si="7"/>
        <v>2180000</v>
      </c>
      <c r="J10272" s="74">
        <f>IF(E10272="SERVICE",I10272-(I10272*50%),Vlookup(E10272,DATABASE!C:Q,10,false)*F10272)</f>
        <v>0</v>
      </c>
      <c r="K10272" s="74">
        <f>VLOOKUP(E10272,DATABASE!C:Q,7,false)</f>
        <v>2080000</v>
      </c>
      <c r="L10272" s="74">
        <v>2080000.0</v>
      </c>
      <c r="M10272" s="74">
        <f t="shared" si="6"/>
        <v>2080000</v>
      </c>
      <c r="N10272" s="74">
        <f t="shared" si="3"/>
        <v>100000</v>
      </c>
      <c r="O10272" s="65" t="str">
        <f>VLOOKUP(E10272,DATABASE!C:Q,8,false)</f>
        <v>BIAN</v>
      </c>
      <c r="P10272" s="65">
        <f>VLOOKUP(E10272,DATABASE!C:Q,9,False)</f>
        <v>1</v>
      </c>
      <c r="Q10272" s="93" t="str">
        <f>VLOOKUP(E10272,DATABASE!C:Q,4,false)</f>
        <v>GiTi</v>
      </c>
      <c r="R10272" s="93" t="str">
        <f>VLOOKUP(E10272,DATABASE!C:Q,11,false)</f>
        <v>Tire</v>
      </c>
    </row>
    <row r="10273" ht="22.5" customHeight="1">
      <c r="A10273" s="49"/>
      <c r="C10273" s="400">
        <v>46276.0</v>
      </c>
      <c r="D10273" s="524">
        <v>872.0</v>
      </c>
      <c r="E10273" s="544" t="s">
        <v>256</v>
      </c>
      <c r="F10273" s="387">
        <v>1.0</v>
      </c>
      <c r="G10273" s="140">
        <v>175000.0</v>
      </c>
      <c r="H10273" s="140">
        <v>25000.0</v>
      </c>
      <c r="I10273" s="74">
        <f t="shared" si="7"/>
        <v>150000</v>
      </c>
      <c r="J10273" s="74">
        <f>IF(E10273="SERVICE",I10273-(I10273*50%),Vlookup(E10273,DATABASE!C:Q,10,false)*F10273)</f>
        <v>10000</v>
      </c>
      <c r="K10273" s="74">
        <f>VLOOKUP(E10273,DATABASE!C:Q,7,false)</f>
        <v>0</v>
      </c>
      <c r="L10273" s="74">
        <v>0.0</v>
      </c>
      <c r="M10273" s="74">
        <f t="shared" si="6"/>
        <v>0</v>
      </c>
      <c r="N10273" s="74">
        <f t="shared" si="3"/>
        <v>140000</v>
      </c>
      <c r="O10273" s="65" t="str">
        <f>VLOOKUP(E10273,DATABASE!C:Q,8,false)</f>
        <v>IBU</v>
      </c>
      <c r="P10273" s="65">
        <f>VLOOKUP(E10273,DATABASE!C:Q,9,False)</f>
        <v>0</v>
      </c>
      <c r="Q10273" s="93" t="str">
        <f>VLOOKUP(E10273,DATABASE!C:Q,4,false)</f>
        <v>SPOORING</v>
      </c>
      <c r="R10273" s="93" t="str">
        <f>VLOOKUP(E10273,DATABASE!C:Q,11,false)</f>
        <v>SERVICE</v>
      </c>
    </row>
    <row r="10274" ht="22.5" customHeight="1">
      <c r="A10274" s="49"/>
      <c r="C10274" s="400">
        <v>46276.0</v>
      </c>
      <c r="D10274" s="524">
        <v>872.0</v>
      </c>
      <c r="E10274" s="544" t="s">
        <v>246</v>
      </c>
      <c r="F10274" s="387">
        <v>2.0</v>
      </c>
      <c r="G10274" s="140">
        <v>35000.0</v>
      </c>
      <c r="H10274" s="140">
        <v>10000.0</v>
      </c>
      <c r="I10274" s="74">
        <f t="shared" si="7"/>
        <v>50000</v>
      </c>
      <c r="J10274" s="74">
        <f>IF(E10274="SERVICE",I10274-(I10274*50%),Vlookup(E10274,DATABASE!C:Q,10,false)*F10274)</f>
        <v>0</v>
      </c>
      <c r="K10274" s="74">
        <f>VLOOKUP(E10274,DATABASE!C:Q,7,false)</f>
        <v>0</v>
      </c>
      <c r="L10274" s="74">
        <v>0.0</v>
      </c>
      <c r="M10274" s="74">
        <f t="shared" si="6"/>
        <v>0</v>
      </c>
      <c r="N10274" s="74">
        <f t="shared" si="3"/>
        <v>50000</v>
      </c>
      <c r="O10274" s="65" t="str">
        <f>VLOOKUP(E10274,DATABASE!C:Q,8,false)</f>
        <v>IBU</v>
      </c>
      <c r="P10274" s="65">
        <f>VLOOKUP(E10274,DATABASE!C:Q,9,False)</f>
        <v>0</v>
      </c>
      <c r="Q10274" s="93" t="str">
        <f>VLOOKUP(E10274,DATABASE!C:Q,4,false)</f>
        <v>Bongkar Pasang</v>
      </c>
      <c r="R10274" s="93" t="str">
        <f>VLOOKUP(E10274,DATABASE!C:Q,11,false)</f>
        <v>SERVICE</v>
      </c>
    </row>
    <row r="10275" ht="22.5" customHeight="1">
      <c r="A10275" s="49"/>
      <c r="C10275" s="400">
        <v>46276.0</v>
      </c>
      <c r="D10275" s="524">
        <v>872.0</v>
      </c>
      <c r="E10275" s="544" t="s">
        <v>279</v>
      </c>
      <c r="F10275" s="387">
        <v>2.0</v>
      </c>
      <c r="G10275" s="140">
        <v>690000.0</v>
      </c>
      <c r="H10275" s="74"/>
      <c r="I10275" s="74">
        <f t="shared" si="7"/>
        <v>1380000</v>
      </c>
      <c r="J10275" s="74">
        <f>IF(E10275="SERVICE",I10275-(I10275*50%),Vlookup(E10275,DATABASE!C:Q,10,false)*F10275)</f>
        <v>0</v>
      </c>
      <c r="K10275" s="74">
        <f>VLOOKUP(E10275,DATABASE!C:Q,7,false)</f>
        <v>623000</v>
      </c>
      <c r="L10275" s="74">
        <v>602000.0</v>
      </c>
      <c r="M10275" s="74">
        <f t="shared" si="6"/>
        <v>605000</v>
      </c>
      <c r="N10275" s="74">
        <f t="shared" si="3"/>
        <v>170000</v>
      </c>
      <c r="O10275" s="65" t="str">
        <f>VLOOKUP(E10275,DATABASE!C:Q,8,false)</f>
        <v>IBU</v>
      </c>
      <c r="P10275" s="65">
        <f>VLOOKUP(E10275,DATABASE!C:Q,9,False)</f>
        <v>1</v>
      </c>
      <c r="Q10275" s="93" t="str">
        <f>VLOOKUP(E10275,DATABASE!C:Q,4,false)</f>
        <v>Dunlop</v>
      </c>
      <c r="R10275" s="93" t="str">
        <f>VLOOKUP(E10275,DATABASE!C:Q,11,false)</f>
        <v>Tire</v>
      </c>
    </row>
    <row r="10276" ht="22.5" customHeight="1">
      <c r="A10276" s="49"/>
      <c r="C10276" s="400">
        <v>46276.0</v>
      </c>
      <c r="D10276" s="524">
        <v>872.0</v>
      </c>
      <c r="E10276" s="544" t="s">
        <v>301</v>
      </c>
      <c r="F10276" s="387">
        <v>1.0</v>
      </c>
      <c r="G10276" s="140">
        <v>250000.0</v>
      </c>
      <c r="H10276" s="74"/>
      <c r="I10276" s="74">
        <f t="shared" si="7"/>
        <v>250000</v>
      </c>
      <c r="J10276" s="74">
        <f>IF(E10276="SERVICE",I10276-(I10276*50%),Vlookup(E10276,DATABASE!C:Q,10,false)*F10276)</f>
        <v>75000</v>
      </c>
      <c r="K10276" s="74">
        <f>VLOOKUP(E10276,DATABASE!C:Q,7,false)</f>
        <v>75000</v>
      </c>
      <c r="L10276" s="74">
        <v>75000.0</v>
      </c>
      <c r="M10276" s="74">
        <f t="shared" si="6"/>
        <v>75000</v>
      </c>
      <c r="N10276" s="74">
        <f t="shared" si="3"/>
        <v>100000</v>
      </c>
      <c r="O10276" s="65" t="str">
        <f>VLOOKUP(E10276,DATABASE!C:Q,8,false)</f>
        <v>BIAN</v>
      </c>
      <c r="P10276" s="65">
        <f>VLOOKUP(E10276,DATABASE!C:Q,9,False)</f>
        <v>0</v>
      </c>
      <c r="Q10276" s="93" t="str">
        <f>VLOOKUP(E10276,DATABASE!C:Q,4,false)</f>
        <v>Baut Camber</v>
      </c>
      <c r="R10276" s="93" t="str">
        <f>VLOOKUP(E10276,DATABASE!C:Q,11,false)</f>
        <v>COMPLEMENTARY</v>
      </c>
    </row>
    <row r="10277" ht="22.5" customHeight="1">
      <c r="A10277" s="49"/>
      <c r="C10277" s="400">
        <v>46276.0</v>
      </c>
      <c r="D10277" s="524">
        <v>873.0</v>
      </c>
      <c r="E10277" s="544" t="s">
        <v>279</v>
      </c>
      <c r="F10277" s="387"/>
      <c r="G10277" s="140">
        <v>700000.0</v>
      </c>
      <c r="H10277" s="74"/>
      <c r="I10277" s="74">
        <f t="shared" si="7"/>
        <v>0</v>
      </c>
      <c r="J10277" s="74">
        <f>IF(E10277="SERVICE",I10277-(I10277*50%),Vlookup(E10277,DATABASE!C:Q,10,false)*F10277)</f>
        <v>0</v>
      </c>
      <c r="K10277" s="74">
        <f>VLOOKUP(E10277,DATABASE!C:Q,7,false)</f>
        <v>623000</v>
      </c>
      <c r="L10277" s="74">
        <v>602000.0</v>
      </c>
      <c r="M10277" s="74">
        <f t="shared" si="6"/>
        <v>605000</v>
      </c>
      <c r="N10277" s="74">
        <f t="shared" si="3"/>
        <v>0</v>
      </c>
      <c r="O10277" s="65" t="str">
        <f>VLOOKUP(E10277,DATABASE!C:Q,8,false)</f>
        <v>IBU</v>
      </c>
      <c r="P10277" s="65">
        <f>VLOOKUP(E10277,DATABASE!C:Q,9,False)</f>
        <v>1</v>
      </c>
      <c r="Q10277" s="93" t="str">
        <f>VLOOKUP(E10277,DATABASE!C:Q,4,false)</f>
        <v>Dunlop</v>
      </c>
      <c r="R10277" s="93" t="str">
        <f>VLOOKUP(E10277,DATABASE!C:Q,11,false)</f>
        <v>Tire</v>
      </c>
    </row>
    <row r="10278" ht="22.5" customHeight="1">
      <c r="A10278" s="49"/>
      <c r="C10278" s="400">
        <v>46276.0</v>
      </c>
      <c r="D10278" s="524">
        <v>873.0</v>
      </c>
      <c r="E10278" s="544" t="s">
        <v>279</v>
      </c>
      <c r="F10278" s="387">
        <v>1.0</v>
      </c>
      <c r="G10278" s="140">
        <v>700000.0</v>
      </c>
      <c r="H10278" s="74"/>
      <c r="I10278" s="74">
        <f t="shared" si="7"/>
        <v>700000</v>
      </c>
      <c r="J10278" s="74">
        <f>IF(E10278="SERVICE",I10278-(I10278*50%),Vlookup(E10278,DATABASE!C:Q,10,false)*F10278)</f>
        <v>0</v>
      </c>
      <c r="K10278" s="74">
        <f>VLOOKUP(E10278,DATABASE!C:Q,7,false)</f>
        <v>623000</v>
      </c>
      <c r="L10278" s="74">
        <v>602000.0</v>
      </c>
      <c r="M10278" s="74">
        <f t="shared" si="6"/>
        <v>605000</v>
      </c>
      <c r="N10278" s="74">
        <f t="shared" si="3"/>
        <v>95000</v>
      </c>
      <c r="O10278" s="65" t="str">
        <f>VLOOKUP(E10278,DATABASE!C:Q,8,false)</f>
        <v>IBU</v>
      </c>
      <c r="P10278" s="65">
        <f>VLOOKUP(E10278,DATABASE!C:Q,9,False)</f>
        <v>1</v>
      </c>
      <c r="Q10278" s="93" t="str">
        <f>VLOOKUP(E10278,DATABASE!C:Q,4,false)</f>
        <v>Dunlop</v>
      </c>
      <c r="R10278" s="93" t="str">
        <f>VLOOKUP(E10278,DATABASE!C:Q,11,false)</f>
        <v>Tire</v>
      </c>
    </row>
    <row r="10279" ht="22.5" customHeight="1">
      <c r="A10279" s="49"/>
      <c r="C10279" s="400">
        <v>46276.0</v>
      </c>
      <c r="D10279" s="524">
        <v>874.0</v>
      </c>
      <c r="E10279" s="544" t="s">
        <v>791</v>
      </c>
      <c r="F10279" s="387">
        <v>2.0</v>
      </c>
      <c r="G10279" s="140">
        <v>1320000.0</v>
      </c>
      <c r="H10279" s="74"/>
      <c r="I10279" s="74">
        <f t="shared" si="7"/>
        <v>2640000</v>
      </c>
      <c r="J10279" s="74">
        <f>IF(E10279="SERVICE",I10279-(I10279*50%),Vlookup(E10279,DATABASE!C:Q,10,false)*F10279)</f>
        <v>0</v>
      </c>
      <c r="K10279" s="74">
        <f>VLOOKUP(E10279,DATABASE!C:Q,7,false)</f>
        <v>1210000</v>
      </c>
      <c r="L10279" s="74">
        <v>1210000.0</v>
      </c>
      <c r="M10279" s="74">
        <f t="shared" si="6"/>
        <v>1210000</v>
      </c>
      <c r="N10279" s="74">
        <f t="shared" si="3"/>
        <v>220000</v>
      </c>
      <c r="O10279" s="65" t="str">
        <f>VLOOKUP(E10279,DATABASE!C:Q,8,false)</f>
        <v>BIAN</v>
      </c>
      <c r="P10279" s="65">
        <f>VLOOKUP(E10279,DATABASE!C:Q,9,False)</f>
        <v>1</v>
      </c>
      <c r="Q10279" s="93" t="str">
        <f>VLOOKUP(E10279,DATABASE!C:Q,4,false)</f>
        <v>GT</v>
      </c>
      <c r="R10279" s="93" t="str">
        <f>VLOOKUP(E10279,DATABASE!C:Q,11,false)</f>
        <v>Tire</v>
      </c>
    </row>
    <row r="10280" ht="22.5" customHeight="1">
      <c r="A10280" s="49"/>
      <c r="C10280" s="400">
        <v>46276.0</v>
      </c>
      <c r="D10280" s="524">
        <v>875.0</v>
      </c>
      <c r="E10280" s="544" t="s">
        <v>271</v>
      </c>
      <c r="F10280" s="387">
        <v>1.0</v>
      </c>
      <c r="G10280" s="140">
        <v>640000.0</v>
      </c>
      <c r="H10280" s="74"/>
      <c r="I10280" s="74">
        <f t="shared" si="7"/>
        <v>640000</v>
      </c>
      <c r="J10280" s="74">
        <f>IF(E10280="SERVICE",I10280-(I10280*50%),Vlookup(E10280,DATABASE!C:Q,10,false)*F10280)</f>
        <v>0</v>
      </c>
      <c r="K10280" s="74">
        <f>VLOOKUP(E10280,DATABASE!C:Q,7,false)</f>
        <v>570000</v>
      </c>
      <c r="L10280" s="74">
        <v>550000.0</v>
      </c>
      <c r="M10280" s="74">
        <f t="shared" si="6"/>
        <v>550000</v>
      </c>
      <c r="N10280" s="74">
        <f t="shared" si="3"/>
        <v>90000</v>
      </c>
      <c r="O10280" s="65" t="str">
        <f>VLOOKUP(E10280,DATABASE!C:Q,8,false)</f>
        <v>IBU</v>
      </c>
      <c r="P10280" s="65">
        <f>VLOOKUP(E10280,DATABASE!C:Q,9,False)</f>
        <v>1</v>
      </c>
      <c r="Q10280" s="93" t="str">
        <f>VLOOKUP(E10280,DATABASE!C:Q,4,false)</f>
        <v>Dunlop</v>
      </c>
      <c r="R10280" s="93" t="str">
        <f>VLOOKUP(E10280,DATABASE!C:Q,11,false)</f>
        <v>Tire</v>
      </c>
    </row>
    <row r="10281" ht="22.5" customHeight="1">
      <c r="A10281" s="49"/>
      <c r="C10281" s="400">
        <v>46276.0</v>
      </c>
      <c r="D10281" s="524">
        <v>875.0</v>
      </c>
      <c r="E10281" s="544" t="s">
        <v>279</v>
      </c>
      <c r="F10281" s="387">
        <v>1.0</v>
      </c>
      <c r="G10281" s="140">
        <v>700000.0</v>
      </c>
      <c r="H10281" s="74"/>
      <c r="I10281" s="74">
        <f t="shared" si="7"/>
        <v>700000</v>
      </c>
      <c r="J10281" s="74">
        <f>IF(E10281="SERVICE",I10281-(I10281*50%),Vlookup(E10281,DATABASE!C:Q,10,false)*F10281)</f>
        <v>0</v>
      </c>
      <c r="K10281" s="74">
        <f>VLOOKUP(E10281,DATABASE!C:Q,7,false)</f>
        <v>623000</v>
      </c>
      <c r="L10281" s="74">
        <v>602000.0</v>
      </c>
      <c r="M10281" s="74">
        <f t="shared" si="6"/>
        <v>605000</v>
      </c>
      <c r="N10281" s="74">
        <f t="shared" si="3"/>
        <v>95000</v>
      </c>
      <c r="O10281" s="65" t="str">
        <f>VLOOKUP(E10281,DATABASE!C:Q,8,false)</f>
        <v>IBU</v>
      </c>
      <c r="P10281" s="65">
        <f>VLOOKUP(E10281,DATABASE!C:Q,9,False)</f>
        <v>1</v>
      </c>
      <c r="Q10281" s="93" t="str">
        <f>VLOOKUP(E10281,DATABASE!C:Q,4,false)</f>
        <v>Dunlop</v>
      </c>
      <c r="R10281" s="93" t="str">
        <f>VLOOKUP(E10281,DATABASE!C:Q,11,false)</f>
        <v>Tire</v>
      </c>
    </row>
    <row r="10282" ht="22.5" customHeight="1">
      <c r="A10282" s="49"/>
      <c r="C10282" s="400">
        <v>46276.0</v>
      </c>
      <c r="D10282" s="524">
        <v>876.0</v>
      </c>
      <c r="E10282" s="544" t="s">
        <v>781</v>
      </c>
      <c r="F10282" s="387">
        <v>2.0</v>
      </c>
      <c r="G10282" s="140">
        <v>560000.0</v>
      </c>
      <c r="H10282" s="74"/>
      <c r="I10282" s="74">
        <f t="shared" si="7"/>
        <v>1120000</v>
      </c>
      <c r="J10282" s="74">
        <f>IF(E10282="SERVICE",I10282-(I10282*50%),Vlookup(E10282,DATABASE!C:Q,10,false)*F10282)</f>
        <v>0</v>
      </c>
      <c r="K10282" s="74">
        <f>VLOOKUP(E10282,DATABASE!C:Q,7,false)</f>
        <v>470000</v>
      </c>
      <c r="L10282" s="74">
        <v>470000.0</v>
      </c>
      <c r="M10282" s="74">
        <f t="shared" si="6"/>
        <v>470000</v>
      </c>
      <c r="N10282" s="74">
        <f t="shared" si="3"/>
        <v>180000</v>
      </c>
      <c r="O10282" s="65" t="str">
        <f>VLOOKUP(E10282,DATABASE!C:Q,8,false)</f>
        <v>BIAN</v>
      </c>
      <c r="P10282" s="65">
        <f>VLOOKUP(E10282,DATABASE!C:Q,9,False)</f>
        <v>1</v>
      </c>
      <c r="Q10282" s="93" t="str">
        <f>VLOOKUP(E10282,DATABASE!C:Q,4,false)</f>
        <v>GT</v>
      </c>
      <c r="R10282" s="93" t="str">
        <f>VLOOKUP(E10282,DATABASE!C:Q,11,false)</f>
        <v>Tire</v>
      </c>
    </row>
    <row r="10283" ht="22.5" customHeight="1">
      <c r="A10283" s="49"/>
      <c r="C10283" s="400">
        <v>46276.0</v>
      </c>
      <c r="D10283" s="524">
        <v>877.0</v>
      </c>
      <c r="E10283" s="544" t="s">
        <v>1974</v>
      </c>
      <c r="F10283" s="387">
        <v>1.0</v>
      </c>
      <c r="G10283" s="140">
        <v>1325000.0</v>
      </c>
      <c r="H10283" s="74"/>
      <c r="I10283" s="74">
        <f t="shared" si="7"/>
        <v>1325000</v>
      </c>
      <c r="J10283" s="74">
        <f>IF(E10283="SERVICE",I10283-(I10283*50%),Vlookup(E10283,DATABASE!C:Q,10,false)*F10283)</f>
        <v>0</v>
      </c>
      <c r="K10283" s="74">
        <f>VLOOKUP(E10283,DATABASE!C:Q,7,false)</f>
        <v>1221100</v>
      </c>
      <c r="L10283" s="74">
        <v>1221100.0</v>
      </c>
      <c r="M10283" s="74">
        <f t="shared" si="6"/>
        <v>1225000</v>
      </c>
      <c r="N10283" s="74">
        <f t="shared" si="3"/>
        <v>100000</v>
      </c>
      <c r="O10283" s="65" t="str">
        <f>VLOOKUP(E10283,DATABASE!C:Q,8,false)</f>
        <v>BIAN</v>
      </c>
      <c r="P10283" s="65">
        <f>VLOOKUP(E10283,DATABASE!C:Q,9,False)</f>
        <v>1</v>
      </c>
      <c r="Q10283" s="93" t="str">
        <f>VLOOKUP(E10283,DATABASE!C:Q,4,false)</f>
        <v>GT</v>
      </c>
      <c r="R10283" s="93" t="str">
        <f>VLOOKUP(E10283,DATABASE!C:Q,11,false)</f>
        <v>Tire</v>
      </c>
    </row>
    <row r="10284" ht="22.5" customHeight="1">
      <c r="A10284" s="49"/>
      <c r="C10284" s="400">
        <v>46276.0</v>
      </c>
      <c r="D10284" s="524">
        <v>878.0</v>
      </c>
      <c r="E10284" s="544" t="s">
        <v>1175</v>
      </c>
      <c r="F10284" s="387">
        <v>1.0</v>
      </c>
      <c r="G10284" s="140">
        <v>980000.0</v>
      </c>
      <c r="H10284" s="74"/>
      <c r="I10284" s="74">
        <f t="shared" si="7"/>
        <v>980000</v>
      </c>
      <c r="J10284" s="74">
        <f>IF(E10284="SERVICE",I10284-(I10284*50%),Vlookup(E10284,DATABASE!C:Q,10,false)*F10284)</f>
        <v>0</v>
      </c>
      <c r="K10284" s="74">
        <f>VLOOKUP(E10284,DATABASE!C:Q,7,false)</f>
        <v>889369.5</v>
      </c>
      <c r="L10284" s="74">
        <v>889369.5</v>
      </c>
      <c r="M10284" s="74">
        <f t="shared" si="6"/>
        <v>890000</v>
      </c>
      <c r="N10284" s="74">
        <f t="shared" si="3"/>
        <v>90000</v>
      </c>
      <c r="O10284" s="65" t="str">
        <f>VLOOKUP(E10284,DATABASE!C:Q,8,false)</f>
        <v>IBU</v>
      </c>
      <c r="P10284" s="65">
        <f>VLOOKUP(E10284,DATABASE!C:Q,9,False)</f>
        <v>1</v>
      </c>
      <c r="Q10284" s="93" t="str">
        <f>VLOOKUP(E10284,DATABASE!C:Q,4,false)</f>
        <v>Bridgestone</v>
      </c>
      <c r="R10284" s="93" t="str">
        <f>VLOOKUP(E10284,DATABASE!C:Q,11,false)</f>
        <v>Tire</v>
      </c>
    </row>
    <row r="10285" ht="22.5" customHeight="1">
      <c r="A10285" s="49"/>
      <c r="C10285" s="400">
        <v>46277.0</v>
      </c>
      <c r="D10285" s="524">
        <v>879.0</v>
      </c>
      <c r="E10285" s="544" t="s">
        <v>554</v>
      </c>
      <c r="F10285" s="387">
        <v>1.0</v>
      </c>
      <c r="G10285" s="140">
        <v>800000.0</v>
      </c>
      <c r="H10285" s="74"/>
      <c r="I10285" s="74">
        <f t="shared" si="7"/>
        <v>800000</v>
      </c>
      <c r="J10285" s="74">
        <f>IF(E10285="SERVICE",I10285-(I10285*50%),Vlookup(E10285,DATABASE!C:Q,10,false)*F10285)</f>
        <v>0</v>
      </c>
      <c r="K10285" s="74">
        <f>VLOOKUP(E10285,DATABASE!C:Q,7,false)</f>
        <v>710000</v>
      </c>
      <c r="L10285" s="74">
        <v>710000.0</v>
      </c>
      <c r="M10285" s="74">
        <f t="shared" si="6"/>
        <v>710000</v>
      </c>
      <c r="N10285" s="74">
        <f t="shared" si="3"/>
        <v>90000</v>
      </c>
      <c r="O10285" s="65" t="str">
        <f>VLOOKUP(E10285,DATABASE!C:Q,8,false)</f>
        <v>IBU</v>
      </c>
      <c r="P10285" s="65">
        <f>VLOOKUP(E10285,DATABASE!C:Q,9,False)</f>
        <v>1</v>
      </c>
      <c r="Q10285" s="93" t="str">
        <f>VLOOKUP(E10285,DATABASE!C:Q,4,false)</f>
        <v>Bridgestone</v>
      </c>
      <c r="R10285" s="93" t="str">
        <f>VLOOKUP(E10285,DATABASE!C:Q,11,false)</f>
        <v>Tire</v>
      </c>
    </row>
    <row r="10286" ht="22.5" customHeight="1">
      <c r="A10286" s="49"/>
      <c r="C10286" s="400">
        <v>46277.0</v>
      </c>
      <c r="D10286" s="524">
        <v>881.0</v>
      </c>
      <c r="E10286" s="544" t="s">
        <v>256</v>
      </c>
      <c r="F10286" s="387">
        <v>1.0</v>
      </c>
      <c r="G10286" s="140">
        <v>175000.0</v>
      </c>
      <c r="H10286" s="140">
        <v>25000.0</v>
      </c>
      <c r="I10286" s="74">
        <f t="shared" si="7"/>
        <v>150000</v>
      </c>
      <c r="J10286" s="74">
        <f>IF(E10286="SERVICE",I10286-(I10286*50%),Vlookup(E10286,DATABASE!C:Q,10,false)*F10286)</f>
        <v>10000</v>
      </c>
      <c r="K10286" s="74">
        <f>VLOOKUP(E10286,DATABASE!C:Q,7,false)</f>
        <v>0</v>
      </c>
      <c r="L10286" s="74">
        <v>0.0</v>
      </c>
      <c r="M10286" s="74">
        <f t="shared" si="6"/>
        <v>0</v>
      </c>
      <c r="N10286" s="74">
        <f t="shared" si="3"/>
        <v>140000</v>
      </c>
      <c r="O10286" s="65" t="str">
        <f>VLOOKUP(E10286,DATABASE!C:Q,8,false)</f>
        <v>IBU</v>
      </c>
      <c r="P10286" s="65">
        <f>VLOOKUP(E10286,DATABASE!C:Q,9,False)</f>
        <v>0</v>
      </c>
      <c r="Q10286" s="93" t="str">
        <f>VLOOKUP(E10286,DATABASE!C:Q,4,false)</f>
        <v>SPOORING</v>
      </c>
      <c r="R10286" s="93" t="str">
        <f>VLOOKUP(E10286,DATABASE!C:Q,11,false)</f>
        <v>SERVICE</v>
      </c>
    </row>
    <row r="10287" ht="22.5" customHeight="1">
      <c r="A10287" s="49"/>
      <c r="C10287" s="400">
        <v>46277.0</v>
      </c>
      <c r="D10287" s="524">
        <v>882.0</v>
      </c>
      <c r="E10287" s="544" t="s">
        <v>572</v>
      </c>
      <c r="F10287" s="387">
        <v>2.0</v>
      </c>
      <c r="G10287" s="140">
        <v>1370000.0</v>
      </c>
      <c r="H10287" s="74"/>
      <c r="I10287" s="74">
        <f t="shared" si="7"/>
        <v>2740000</v>
      </c>
      <c r="J10287" s="74">
        <f>IF(E10287="SERVICE",I10287-(I10287*50%),Vlookup(E10287,DATABASE!C:Q,10,false)*F10287)</f>
        <v>0</v>
      </c>
      <c r="K10287" s="74">
        <f>VLOOKUP(E10287,DATABASE!C:Q,7,false)</f>
        <v>1265000</v>
      </c>
      <c r="L10287" s="74">
        <v>1265000.0</v>
      </c>
      <c r="M10287" s="74">
        <f t="shared" si="6"/>
        <v>1265000</v>
      </c>
      <c r="N10287" s="74">
        <f t="shared" si="3"/>
        <v>210000</v>
      </c>
      <c r="O10287" s="65" t="str">
        <f>VLOOKUP(E10287,DATABASE!C:Q,8,false)</f>
        <v>IBU</v>
      </c>
      <c r="P10287" s="65">
        <f>VLOOKUP(E10287,DATABASE!C:Q,9,False)</f>
        <v>1</v>
      </c>
      <c r="Q10287" s="93" t="str">
        <f>VLOOKUP(E10287,DATABASE!C:Q,4,false)</f>
        <v>Bridgestone</v>
      </c>
      <c r="R10287" s="93" t="str">
        <f>VLOOKUP(E10287,DATABASE!C:Q,11,false)</f>
        <v>Tire</v>
      </c>
    </row>
    <row r="10288" ht="22.5" customHeight="1">
      <c r="A10288" s="49"/>
      <c r="C10288" s="400">
        <v>46277.0</v>
      </c>
      <c r="D10288" s="524">
        <v>883.0</v>
      </c>
      <c r="E10288" s="544" t="s">
        <v>600</v>
      </c>
      <c r="F10288" s="387">
        <v>1.0</v>
      </c>
      <c r="G10288" s="140">
        <v>700000.0</v>
      </c>
      <c r="H10288" s="74"/>
      <c r="I10288" s="74">
        <f t="shared" si="7"/>
        <v>700000</v>
      </c>
      <c r="J10288" s="74">
        <f>IF(E10288="SERVICE",I10288-(I10288*50%),Vlookup(E10288,DATABASE!C:Q,10,false)*F10288)</f>
        <v>0</v>
      </c>
      <c r="K10288" s="74">
        <f>VLOOKUP(E10288,DATABASE!C:Q,7,false)</f>
        <v>611109.16</v>
      </c>
      <c r="L10288" s="74">
        <v>611109.16</v>
      </c>
      <c r="M10288" s="74">
        <f t="shared" si="6"/>
        <v>615000</v>
      </c>
      <c r="N10288" s="74">
        <f t="shared" si="3"/>
        <v>85000</v>
      </c>
      <c r="O10288" s="65" t="str">
        <f>VLOOKUP(E10288,DATABASE!C:Q,8,false)</f>
        <v>IBU</v>
      </c>
      <c r="P10288" s="65">
        <f>VLOOKUP(E10288,DATABASE!C:Q,9,False)</f>
        <v>1</v>
      </c>
      <c r="Q10288" s="93" t="str">
        <f>VLOOKUP(E10288,DATABASE!C:Q,4,false)</f>
        <v>Bridgestone</v>
      </c>
      <c r="R10288" s="93" t="str">
        <f>VLOOKUP(E10288,DATABASE!C:Q,11,false)</f>
        <v>Tire</v>
      </c>
    </row>
    <row r="10289" ht="22.5" customHeight="1">
      <c r="A10289" s="49"/>
      <c r="C10289" s="400">
        <v>46277.0</v>
      </c>
      <c r="D10289" s="524">
        <v>884.0</v>
      </c>
      <c r="E10289" s="544" t="s">
        <v>2015</v>
      </c>
      <c r="F10289" s="387">
        <v>2.0</v>
      </c>
      <c r="G10289" s="140">
        <v>925000.0</v>
      </c>
      <c r="H10289" s="74"/>
      <c r="I10289" s="74">
        <f t="shared" si="7"/>
        <v>1850000</v>
      </c>
      <c r="J10289" s="74">
        <f>IF(E10289="SERVICE",I10289-(I10289*50%),Vlookup(E10289,DATABASE!C:Q,10,false)*F10289)</f>
        <v>0</v>
      </c>
      <c r="K10289" s="74">
        <f>VLOOKUP(E10289,DATABASE!C:Q,7,false)</f>
        <v>774000</v>
      </c>
      <c r="L10289" s="74">
        <v>774000.0</v>
      </c>
      <c r="M10289" s="74">
        <f t="shared" si="6"/>
        <v>775000</v>
      </c>
      <c r="N10289" s="74">
        <f t="shared" si="3"/>
        <v>300000</v>
      </c>
      <c r="O10289" s="65" t="str">
        <f>VLOOKUP(E10289,DATABASE!C:Q,8,false)</f>
        <v>BIAN</v>
      </c>
      <c r="P10289" s="65">
        <f>VLOOKUP(E10289,DATABASE!C:Q,9,False)</f>
        <v>1</v>
      </c>
      <c r="Q10289" s="93" t="str">
        <f>VLOOKUP(E10289,DATABASE!C:Q,4,false)</f>
        <v>GT</v>
      </c>
      <c r="R10289" s="93" t="str">
        <f>VLOOKUP(E10289,DATABASE!C:Q,11,false)</f>
        <v>Tire</v>
      </c>
    </row>
    <row r="10290" ht="22.5" customHeight="1">
      <c r="A10290" s="49"/>
      <c r="C10290" s="400">
        <v>46277.0</v>
      </c>
      <c r="D10290" s="524">
        <v>884.0</v>
      </c>
      <c r="E10290" s="544" t="s">
        <v>795</v>
      </c>
      <c r="F10290" s="387">
        <v>1.0</v>
      </c>
      <c r="G10290" s="140">
        <v>175000.0</v>
      </c>
      <c r="H10290" s="74"/>
      <c r="I10290" s="74">
        <f t="shared" si="7"/>
        <v>175000</v>
      </c>
      <c r="J10290" s="74">
        <f>IF(E10290="SERVICE",I10290-(I10290*50%),Vlookup(E10290,DATABASE!C:Q,10,false)*F10290)</f>
        <v>0</v>
      </c>
      <c r="K10290" s="74">
        <f>VLOOKUP(E10290,DATABASE!C:Q,7,false)</f>
        <v>123000</v>
      </c>
      <c r="L10290" s="74">
        <v>123000.0</v>
      </c>
      <c r="M10290" s="74">
        <f t="shared" si="6"/>
        <v>125000</v>
      </c>
      <c r="N10290" s="74">
        <f t="shared" si="3"/>
        <v>50000</v>
      </c>
      <c r="O10290" s="65" t="str">
        <f>VLOOKUP(E10290,DATABASE!C:Q,8,false)</f>
        <v>BIAN</v>
      </c>
      <c r="P10290" s="65">
        <f>VLOOKUP(E10290,DATABASE!C:Q,9,False)</f>
        <v>1</v>
      </c>
      <c r="Q10290" s="93" t="str">
        <f>VLOOKUP(E10290,DATABASE!C:Q,4,false)</f>
        <v>BD</v>
      </c>
      <c r="R10290" s="93" t="str">
        <f>VLOOKUP(E10290,DATABASE!C:Q,11,false)</f>
        <v>Tire</v>
      </c>
    </row>
    <row r="10291" ht="22.5" customHeight="1">
      <c r="A10291" s="49"/>
      <c r="C10291" s="400">
        <v>46277.0</v>
      </c>
      <c r="D10291" s="69" t="s">
        <v>2933</v>
      </c>
      <c r="E10291" s="544" t="s">
        <v>2186</v>
      </c>
      <c r="F10291" s="387">
        <v>4.0</v>
      </c>
      <c r="G10291" s="140">
        <v>125000.0</v>
      </c>
      <c r="H10291" s="74"/>
      <c r="I10291" s="74">
        <f t="shared" si="7"/>
        <v>500000</v>
      </c>
      <c r="J10291" s="74">
        <f>IF(E10291="SERVICE",I10291-(I10291*50%),Vlookup(E10291,DATABASE!C:Q,10,false)*F10291)</f>
        <v>0</v>
      </c>
      <c r="K10291" s="74">
        <f>VLOOKUP(E10291,DATABASE!C:Q,7,false)</f>
        <v>96400</v>
      </c>
      <c r="L10291" s="74">
        <v>96400.0</v>
      </c>
      <c r="M10291" s="74">
        <f t="shared" si="6"/>
        <v>100000</v>
      </c>
      <c r="N10291" s="74">
        <f t="shared" si="3"/>
        <v>100000</v>
      </c>
      <c r="O10291" s="65" t="str">
        <f>VLOOKUP(E10291,DATABASE!C:Q,8,false)</f>
        <v>NON</v>
      </c>
      <c r="P10291" s="65">
        <f>VLOOKUP(E10291,DATABASE!C:Q,9,False)</f>
        <v>0</v>
      </c>
      <c r="Q10291" s="93" t="str">
        <f>VLOOKUP(E10291,DATABASE!C:Q,4,false)</f>
        <v>Shell</v>
      </c>
      <c r="R10291" s="93" t="str">
        <f>VLOOKUP(E10291,DATABASE!C:Q,11,false)</f>
        <v>OIL</v>
      </c>
    </row>
    <row r="10292" ht="22.5" customHeight="1">
      <c r="A10292" s="49"/>
      <c r="C10292" s="400">
        <v>46277.0</v>
      </c>
      <c r="D10292" s="69" t="s">
        <v>2934</v>
      </c>
      <c r="E10292" s="544" t="s">
        <v>263</v>
      </c>
      <c r="F10292" s="387">
        <v>1.0</v>
      </c>
      <c r="G10292" s="140">
        <v>385000.0</v>
      </c>
      <c r="H10292" s="74"/>
      <c r="I10292" s="74">
        <f t="shared" si="7"/>
        <v>385000</v>
      </c>
      <c r="J10292" s="74">
        <f>IF(E10292="SERVICE",I10292-(I10292*50%),Vlookup(E10292,DATABASE!C:Q,10,false)*F10292)</f>
        <v>0</v>
      </c>
      <c r="K10292" s="74">
        <f>VLOOKUP(E10292,DATABASE!C:Q,7,false)</f>
        <v>334916</v>
      </c>
      <c r="L10292" s="74">
        <v>334916.0</v>
      </c>
      <c r="M10292" s="74">
        <f t="shared" si="6"/>
        <v>335000</v>
      </c>
      <c r="N10292" s="74">
        <f t="shared" si="3"/>
        <v>50000</v>
      </c>
      <c r="O10292" s="65" t="str">
        <f>VLOOKUP(E10292,DATABASE!C:Q,8,false)</f>
        <v>NON</v>
      </c>
      <c r="P10292" s="65">
        <f>VLOOKUP(E10292,DATABASE!C:Q,9,False)</f>
        <v>0</v>
      </c>
      <c r="Q10292" s="93" t="str">
        <f>VLOOKUP(E10292,DATABASE!C:Q,4,false)</f>
        <v>Shell</v>
      </c>
      <c r="R10292" s="93" t="str">
        <f>VLOOKUP(E10292,DATABASE!C:Q,11,false)</f>
        <v>OIL</v>
      </c>
    </row>
    <row r="10293" ht="22.5" customHeight="1">
      <c r="A10293" s="49"/>
      <c r="C10293" s="400">
        <v>46279.0</v>
      </c>
      <c r="D10293" s="524">
        <v>885.0</v>
      </c>
      <c r="E10293" s="544" t="s">
        <v>1821</v>
      </c>
      <c r="F10293" s="387">
        <v>2.0</v>
      </c>
      <c r="G10293" s="140">
        <v>820000.0</v>
      </c>
      <c r="H10293" s="140">
        <v>220000.0</v>
      </c>
      <c r="I10293" s="74">
        <f t="shared" si="7"/>
        <v>1200000</v>
      </c>
      <c r="J10293" s="74">
        <f>IF(E10293="SERVICE",I10293-(I10293*50%),Vlookup(E10293,DATABASE!C:Q,10,false)*F10293)</f>
        <v>0</v>
      </c>
      <c r="K10293" s="74">
        <f>VLOOKUP(E10293,DATABASE!C:Q,7,false)</f>
        <v>600000</v>
      </c>
      <c r="L10293" s="74">
        <v>600000.0</v>
      </c>
      <c r="M10293" s="74">
        <f t="shared" si="6"/>
        <v>600000</v>
      </c>
      <c r="N10293" s="74">
        <f t="shared" si="3"/>
        <v>0</v>
      </c>
      <c r="O10293" s="65" t="str">
        <f>VLOOKUP(E10293,DATABASE!C:Q,8,false)</f>
        <v>BIAN</v>
      </c>
      <c r="P10293" s="65">
        <f>VLOOKUP(E10293,DATABASE!C:Q,9,False)</f>
        <v>1</v>
      </c>
      <c r="Q10293" s="93" t="str">
        <f>VLOOKUP(E10293,DATABASE!C:Q,4,false)</f>
        <v>G. YEAR</v>
      </c>
      <c r="R10293" s="93" t="str">
        <f>VLOOKUP(E10293,DATABASE!C:Q,11,false)</f>
        <v>Tire</v>
      </c>
    </row>
    <row r="10294" ht="22.5" customHeight="1">
      <c r="A10294" s="49"/>
      <c r="C10294" s="400">
        <v>46279.0</v>
      </c>
      <c r="D10294" s="69">
        <v>887.0</v>
      </c>
      <c r="E10294" s="544" t="s">
        <v>265</v>
      </c>
      <c r="F10294" s="387">
        <v>2.0</v>
      </c>
      <c r="G10294" s="140">
        <v>700000.0</v>
      </c>
      <c r="H10294" s="74"/>
      <c r="I10294" s="74">
        <f t="shared" si="7"/>
        <v>1400000</v>
      </c>
      <c r="J10294" s="74">
        <f>IF(E10294="SERVICE",I10294-(I10294*50%),Vlookup(E10294,DATABASE!C:Q,10,false)*F10294)</f>
        <v>0</v>
      </c>
      <c r="K10294" s="74">
        <f>VLOOKUP(E10294,DATABASE!C:Q,7,false)</f>
        <v>628000</v>
      </c>
      <c r="L10294" s="74">
        <v>610000.0</v>
      </c>
      <c r="M10294" s="74">
        <f t="shared" si="6"/>
        <v>610000</v>
      </c>
      <c r="N10294" s="74">
        <f t="shared" si="3"/>
        <v>180000</v>
      </c>
      <c r="O10294" s="65" t="str">
        <f>VLOOKUP(E10294,DATABASE!C:Q,8,false)</f>
        <v>IBU</v>
      </c>
      <c r="P10294" s="65">
        <f>VLOOKUP(E10294,DATABASE!C:Q,9,False)</f>
        <v>1</v>
      </c>
      <c r="Q10294" s="93" t="str">
        <f>VLOOKUP(E10294,DATABASE!C:Q,4,false)</f>
        <v>Dunlop</v>
      </c>
      <c r="R10294" s="93" t="str">
        <f>VLOOKUP(E10294,DATABASE!C:Q,11,false)</f>
        <v>Tire</v>
      </c>
    </row>
    <row r="10295" ht="22.5" customHeight="1">
      <c r="A10295" s="49"/>
      <c r="C10295" s="400">
        <v>46279.0</v>
      </c>
      <c r="D10295" s="524">
        <v>888.0</v>
      </c>
      <c r="E10295" s="544" t="s">
        <v>256</v>
      </c>
      <c r="F10295" s="387">
        <v>1.0</v>
      </c>
      <c r="G10295" s="140">
        <v>175000.0</v>
      </c>
      <c r="H10295" s="140">
        <v>25000.0</v>
      </c>
      <c r="I10295" s="74">
        <f t="shared" si="7"/>
        <v>150000</v>
      </c>
      <c r="J10295" s="74">
        <f>IF(E10295="SERVICE",I10295-(I10295*50%),Vlookup(E10295,DATABASE!C:Q,10,false)*F10295)</f>
        <v>10000</v>
      </c>
      <c r="K10295" s="74">
        <f>VLOOKUP(E10295,DATABASE!C:Q,7,false)</f>
        <v>0</v>
      </c>
      <c r="L10295" s="74">
        <v>0.0</v>
      </c>
      <c r="M10295" s="74">
        <f t="shared" si="6"/>
        <v>0</v>
      </c>
      <c r="N10295" s="74">
        <f t="shared" si="3"/>
        <v>140000</v>
      </c>
      <c r="O10295" s="65" t="str">
        <f>VLOOKUP(E10295,DATABASE!C:Q,8,false)</f>
        <v>IBU</v>
      </c>
      <c r="P10295" s="65">
        <f>VLOOKUP(E10295,DATABASE!C:Q,9,False)</f>
        <v>0</v>
      </c>
      <c r="Q10295" s="93" t="str">
        <f>VLOOKUP(E10295,DATABASE!C:Q,4,false)</f>
        <v>SPOORING</v>
      </c>
      <c r="R10295" s="93" t="str">
        <f>VLOOKUP(E10295,DATABASE!C:Q,11,false)</f>
        <v>SERVICE</v>
      </c>
    </row>
    <row r="10296" ht="22.5" customHeight="1">
      <c r="A10296" s="49"/>
      <c r="C10296" s="400">
        <v>46279.0</v>
      </c>
      <c r="D10296" s="524">
        <v>888.0</v>
      </c>
      <c r="E10296" s="544" t="s">
        <v>301</v>
      </c>
      <c r="F10296" s="387">
        <v>1.0</v>
      </c>
      <c r="G10296" s="140">
        <v>250000.0</v>
      </c>
      <c r="H10296" s="74"/>
      <c r="I10296" s="74">
        <f t="shared" si="7"/>
        <v>250000</v>
      </c>
      <c r="J10296" s="74">
        <f>IF(E10296="SERVICE",I10296-(I10296*50%),Vlookup(E10296,DATABASE!C:Q,10,false)*F10296)</f>
        <v>75000</v>
      </c>
      <c r="K10296" s="74">
        <f>VLOOKUP(E10296,DATABASE!C:Q,7,false)</f>
        <v>75000</v>
      </c>
      <c r="L10296" s="74">
        <v>75000.0</v>
      </c>
      <c r="M10296" s="74">
        <f t="shared" si="6"/>
        <v>75000</v>
      </c>
      <c r="N10296" s="74">
        <f t="shared" si="3"/>
        <v>100000</v>
      </c>
      <c r="O10296" s="65" t="str">
        <f>VLOOKUP(E10296,DATABASE!C:Q,8,false)</f>
        <v>BIAN</v>
      </c>
      <c r="P10296" s="65">
        <f>VLOOKUP(E10296,DATABASE!C:Q,9,False)</f>
        <v>0</v>
      </c>
      <c r="Q10296" s="93" t="str">
        <f>VLOOKUP(E10296,DATABASE!C:Q,4,false)</f>
        <v>Baut Camber</v>
      </c>
      <c r="R10296" s="93" t="str">
        <f>VLOOKUP(E10296,DATABASE!C:Q,11,false)</f>
        <v>COMPLEMENTARY</v>
      </c>
    </row>
    <row r="10297" ht="22.5" customHeight="1">
      <c r="A10297" s="49"/>
      <c r="C10297" s="400">
        <v>46279.0</v>
      </c>
      <c r="D10297" s="524">
        <v>888.0</v>
      </c>
      <c r="E10297" s="544" t="s">
        <v>2645</v>
      </c>
      <c r="F10297" s="387">
        <v>1.0</v>
      </c>
      <c r="G10297" s="140">
        <v>300000.0</v>
      </c>
      <c r="H10297" s="74"/>
      <c r="I10297" s="74">
        <f t="shared" si="7"/>
        <v>300000</v>
      </c>
      <c r="J10297" s="74">
        <f>IF(E10297="SERVICE",I10297-(I10297*50%),Vlookup(E10297,DATABASE!C:Q,10,false)*F10297)</f>
        <v>60000</v>
      </c>
      <c r="K10297" s="74">
        <f>VLOOKUP(E10297,DATABASE!C:Q,7,false)</f>
        <v>174000</v>
      </c>
      <c r="L10297" s="74">
        <v>174000.0</v>
      </c>
      <c r="M10297" s="74">
        <f t="shared" si="6"/>
        <v>175000</v>
      </c>
      <c r="N10297" s="74">
        <f t="shared" si="3"/>
        <v>65000</v>
      </c>
      <c r="O10297" s="65" t="str">
        <f>VLOOKUP(E10297,DATABASE!C:Q,8,false)</f>
        <v>BIAN</v>
      </c>
      <c r="P10297" s="65">
        <f>VLOOKUP(E10297,DATABASE!C:Q,9,False)</f>
        <v>0</v>
      </c>
      <c r="Q10297" s="93" t="str">
        <f>VLOOKUP(E10297,DATABASE!C:Q,4,false)</f>
        <v>Stabil link avanza</v>
      </c>
      <c r="R10297" s="93" t="str">
        <f>VLOOKUP(E10297,DATABASE!C:Q,11,false)</f>
        <v>COMPLEMENTARY</v>
      </c>
    </row>
    <row r="10298" ht="22.5" customHeight="1">
      <c r="A10298" s="49"/>
      <c r="C10298" s="400">
        <v>46279.0</v>
      </c>
      <c r="D10298" s="524">
        <v>889.0</v>
      </c>
      <c r="E10298" s="544" t="s">
        <v>256</v>
      </c>
      <c r="F10298" s="387">
        <v>1.0</v>
      </c>
      <c r="G10298" s="140">
        <v>175000.0</v>
      </c>
      <c r="H10298" s="140">
        <v>25000.0</v>
      </c>
      <c r="I10298" s="74">
        <f t="shared" si="7"/>
        <v>150000</v>
      </c>
      <c r="J10298" s="74">
        <f>IF(E10298="SERVICE",I10298-(I10298*50%),Vlookup(E10298,DATABASE!C:Q,10,false)*F10298)</f>
        <v>10000</v>
      </c>
      <c r="K10298" s="74">
        <f>VLOOKUP(E10298,DATABASE!C:Q,7,false)</f>
        <v>0</v>
      </c>
      <c r="L10298" s="74">
        <v>0.0</v>
      </c>
      <c r="M10298" s="74">
        <f t="shared" si="6"/>
        <v>0</v>
      </c>
      <c r="N10298" s="74">
        <f t="shared" si="3"/>
        <v>140000</v>
      </c>
      <c r="O10298" s="65" t="str">
        <f>VLOOKUP(E10298,DATABASE!C:Q,8,false)</f>
        <v>IBU</v>
      </c>
      <c r="P10298" s="65">
        <f>VLOOKUP(E10298,DATABASE!C:Q,9,False)</f>
        <v>0</v>
      </c>
      <c r="Q10298" s="93" t="str">
        <f>VLOOKUP(E10298,DATABASE!C:Q,4,false)</f>
        <v>SPOORING</v>
      </c>
      <c r="R10298" s="93" t="str">
        <f>VLOOKUP(E10298,DATABASE!C:Q,11,false)</f>
        <v>SERVICE</v>
      </c>
    </row>
    <row r="10299" ht="22.5" customHeight="1">
      <c r="A10299" s="49"/>
      <c r="C10299" s="400">
        <v>46279.0</v>
      </c>
      <c r="D10299" s="524">
        <v>889.0</v>
      </c>
      <c r="E10299" s="544" t="s">
        <v>301</v>
      </c>
      <c r="F10299" s="387">
        <v>1.0</v>
      </c>
      <c r="G10299" s="140">
        <v>250000.0</v>
      </c>
      <c r="H10299" s="74"/>
      <c r="I10299" s="74">
        <f t="shared" si="7"/>
        <v>250000</v>
      </c>
      <c r="J10299" s="74">
        <f>IF(E10299="SERVICE",I10299-(I10299*50%),Vlookup(E10299,DATABASE!C:Q,10,false)*F10299)</f>
        <v>75000</v>
      </c>
      <c r="K10299" s="74">
        <f>VLOOKUP(E10299,DATABASE!C:Q,7,false)</f>
        <v>75000</v>
      </c>
      <c r="L10299" s="74">
        <v>75000.0</v>
      </c>
      <c r="M10299" s="74">
        <f t="shared" si="6"/>
        <v>75000</v>
      </c>
      <c r="N10299" s="74">
        <f t="shared" si="3"/>
        <v>100000</v>
      </c>
      <c r="O10299" s="65" t="str">
        <f>VLOOKUP(E10299,DATABASE!C:Q,8,false)</f>
        <v>BIAN</v>
      </c>
      <c r="P10299" s="65">
        <f>VLOOKUP(E10299,DATABASE!C:Q,9,False)</f>
        <v>0</v>
      </c>
      <c r="Q10299" s="93" t="str">
        <f>VLOOKUP(E10299,DATABASE!C:Q,4,false)</f>
        <v>Baut Camber</v>
      </c>
      <c r="R10299" s="93" t="str">
        <f>VLOOKUP(E10299,DATABASE!C:Q,11,false)</f>
        <v>COMPLEMENTARY</v>
      </c>
    </row>
    <row r="10300" ht="22.5" customHeight="1">
      <c r="A10300" s="49"/>
      <c r="C10300" s="400">
        <v>46279.0</v>
      </c>
      <c r="D10300" s="524">
        <v>890.0</v>
      </c>
      <c r="E10300" s="544" t="s">
        <v>275</v>
      </c>
      <c r="F10300" s="387">
        <v>1.0</v>
      </c>
      <c r="G10300" s="140">
        <v>850000.0</v>
      </c>
      <c r="H10300" s="74"/>
      <c r="I10300" s="74">
        <f t="shared" si="7"/>
        <v>850000</v>
      </c>
      <c r="J10300" s="74">
        <f>IF(E10300="SERVICE",I10300-(I10300*50%),Vlookup(E10300,DATABASE!C:Q,10,false)*F10300)</f>
        <v>0</v>
      </c>
      <c r="K10300" s="74">
        <f>VLOOKUP(E10300,DATABASE!C:Q,7,false)</f>
        <v>782000</v>
      </c>
      <c r="L10300" s="74">
        <v>759500.0</v>
      </c>
      <c r="M10300" s="74">
        <f t="shared" si="6"/>
        <v>760000</v>
      </c>
      <c r="N10300" s="74">
        <f t="shared" si="3"/>
        <v>90000</v>
      </c>
      <c r="O10300" s="65" t="str">
        <f>VLOOKUP(E10300,DATABASE!C:Q,8,false)</f>
        <v>IBU</v>
      </c>
      <c r="P10300" s="65">
        <f>VLOOKUP(E10300,DATABASE!C:Q,9,False)</f>
        <v>1</v>
      </c>
      <c r="Q10300" s="93" t="str">
        <f>VLOOKUP(E10300,DATABASE!C:Q,4,false)</f>
        <v>Dunlop</v>
      </c>
      <c r="R10300" s="93" t="str">
        <f>VLOOKUP(E10300,DATABASE!C:Q,11,false)</f>
        <v>Tire</v>
      </c>
    </row>
    <row r="10301" ht="22.5" customHeight="1">
      <c r="A10301" s="49"/>
      <c r="C10301" s="400">
        <v>46279.0</v>
      </c>
      <c r="D10301" s="524">
        <v>890.0</v>
      </c>
      <c r="E10301" s="544" t="s">
        <v>2199</v>
      </c>
      <c r="F10301" s="387">
        <v>2.0</v>
      </c>
      <c r="G10301" s="140">
        <v>20000.0</v>
      </c>
      <c r="H10301" s="74"/>
      <c r="I10301" s="74">
        <f t="shared" si="7"/>
        <v>40000</v>
      </c>
      <c r="J10301" s="74">
        <f>IF(E10301="SERVICE",I10301-(I10301*50%),Vlookup(E10301,DATABASE!C:Q,10,false)*F10301)</f>
        <v>0</v>
      </c>
      <c r="K10301" s="74">
        <f>VLOOKUP(E10301,DATABASE!C:Q,7,false)</f>
        <v>5000</v>
      </c>
      <c r="L10301" s="74">
        <v>5000.0</v>
      </c>
      <c r="M10301" s="74">
        <f t="shared" si="6"/>
        <v>5000</v>
      </c>
      <c r="N10301" s="74">
        <f t="shared" si="3"/>
        <v>30000</v>
      </c>
      <c r="O10301" s="65" t="str">
        <f>VLOOKUP(E10301,DATABASE!C:Q,8,false)</f>
        <v>BIAN</v>
      </c>
      <c r="P10301" s="65">
        <f>VLOOKUP(E10301,DATABASE!C:Q,9,False)</f>
        <v>0</v>
      </c>
      <c r="Q10301" s="93" t="str">
        <f>VLOOKUP(E10301,DATABASE!C:Q,4,false)</f>
        <v>TAMBAL TUBLES</v>
      </c>
      <c r="R10301" s="93" t="str">
        <f>VLOOKUP(E10301,DATABASE!C:Q,11,false)</f>
        <v>COMPLEMENTARY</v>
      </c>
    </row>
    <row r="10302" ht="22.5" customHeight="1">
      <c r="A10302" s="49"/>
      <c r="C10302" s="400">
        <v>46279.0</v>
      </c>
      <c r="D10302" s="524">
        <v>890.0</v>
      </c>
      <c r="E10302" s="544" t="s">
        <v>246</v>
      </c>
      <c r="F10302" s="387">
        <v>2.0</v>
      </c>
      <c r="G10302" s="140">
        <v>35000.0</v>
      </c>
      <c r="H10302" s="140">
        <v>10000.0</v>
      </c>
      <c r="I10302" s="74">
        <f t="shared" si="7"/>
        <v>50000</v>
      </c>
      <c r="J10302" s="74">
        <f>IF(E10302="SERVICE",I10302-(I10302*50%),Vlookup(E10302,DATABASE!C:Q,10,false)*F10302)</f>
        <v>0</v>
      </c>
      <c r="K10302" s="74">
        <f>VLOOKUP(E10302,DATABASE!C:Q,7,false)</f>
        <v>0</v>
      </c>
      <c r="L10302" s="74">
        <v>0.0</v>
      </c>
      <c r="M10302" s="74">
        <f t="shared" si="6"/>
        <v>0</v>
      </c>
      <c r="N10302" s="74">
        <f t="shared" si="3"/>
        <v>50000</v>
      </c>
      <c r="O10302" s="65" t="str">
        <f>VLOOKUP(E10302,DATABASE!C:Q,8,false)</f>
        <v>IBU</v>
      </c>
      <c r="P10302" s="65">
        <f>VLOOKUP(E10302,DATABASE!C:Q,9,False)</f>
        <v>0</v>
      </c>
      <c r="Q10302" s="93" t="str">
        <f>VLOOKUP(E10302,DATABASE!C:Q,4,false)</f>
        <v>Bongkar Pasang</v>
      </c>
      <c r="R10302" s="93" t="str">
        <f>VLOOKUP(E10302,DATABASE!C:Q,11,false)</f>
        <v>SERVICE</v>
      </c>
    </row>
    <row r="10303" ht="22.5" customHeight="1">
      <c r="A10303" s="49"/>
      <c r="C10303" s="400">
        <v>46279.0</v>
      </c>
      <c r="D10303" s="524">
        <v>890.0</v>
      </c>
      <c r="E10303" s="544" t="s">
        <v>256</v>
      </c>
      <c r="F10303" s="387">
        <v>1.0</v>
      </c>
      <c r="G10303" s="140">
        <v>175000.0</v>
      </c>
      <c r="H10303" s="140">
        <v>25000.0</v>
      </c>
      <c r="I10303" s="74">
        <f t="shared" si="7"/>
        <v>150000</v>
      </c>
      <c r="J10303" s="74">
        <f>IF(E10303="SERVICE",I10303-(I10303*50%),Vlookup(E10303,DATABASE!C:Q,10,false)*F10303)</f>
        <v>10000</v>
      </c>
      <c r="K10303" s="74">
        <f>VLOOKUP(E10303,DATABASE!C:Q,7,false)</f>
        <v>0</v>
      </c>
      <c r="L10303" s="74">
        <v>0.0</v>
      </c>
      <c r="M10303" s="74">
        <f t="shared" si="6"/>
        <v>0</v>
      </c>
      <c r="N10303" s="74">
        <f t="shared" si="3"/>
        <v>140000</v>
      </c>
      <c r="O10303" s="65" t="str">
        <f>VLOOKUP(E10303,DATABASE!C:Q,8,false)</f>
        <v>IBU</v>
      </c>
      <c r="P10303" s="65">
        <f>VLOOKUP(E10303,DATABASE!C:Q,9,False)</f>
        <v>0</v>
      </c>
      <c r="Q10303" s="93" t="str">
        <f>VLOOKUP(E10303,DATABASE!C:Q,4,false)</f>
        <v>SPOORING</v>
      </c>
      <c r="R10303" s="93" t="str">
        <f>VLOOKUP(E10303,DATABASE!C:Q,11,false)</f>
        <v>SERVICE</v>
      </c>
    </row>
    <row r="10304" ht="22.5" customHeight="1">
      <c r="A10304" s="49"/>
      <c r="C10304" s="400">
        <v>46279.0</v>
      </c>
      <c r="D10304" s="524">
        <v>890.0</v>
      </c>
      <c r="E10304" s="544" t="s">
        <v>299</v>
      </c>
      <c r="F10304" s="387">
        <v>1.0</v>
      </c>
      <c r="G10304" s="140">
        <v>30000.0</v>
      </c>
      <c r="H10304" s="74"/>
      <c r="I10304" s="74">
        <f t="shared" si="7"/>
        <v>30000</v>
      </c>
      <c r="J10304" s="74">
        <f>IF(E10304="SERVICE",I10304-(I10304*50%),Vlookup(E10304,DATABASE!C:Q,10,false)*F10304)</f>
        <v>0</v>
      </c>
      <c r="K10304" s="74">
        <f>VLOOKUP(E10304,DATABASE!C:Q,7,false)</f>
        <v>10000</v>
      </c>
      <c r="L10304" s="74">
        <v>10000.0</v>
      </c>
      <c r="M10304" s="74">
        <f t="shared" si="6"/>
        <v>10000</v>
      </c>
      <c r="N10304" s="74">
        <f t="shared" si="3"/>
        <v>20000</v>
      </c>
      <c r="O10304" s="65" t="str">
        <f>VLOOKUP(E10304,DATABASE!C:Q,8,false)</f>
        <v>BIAN</v>
      </c>
      <c r="P10304" s="65">
        <f>VLOOKUP(E10304,DATABASE!C:Q,9,False)</f>
        <v>0</v>
      </c>
      <c r="Q10304" s="93" t="str">
        <f>VLOOKUP(E10304,DATABASE!C:Q,4,false)</f>
        <v>Balancing</v>
      </c>
      <c r="R10304" s="93" t="str">
        <f>VLOOKUP(E10304,DATABASE!C:Q,11,false)</f>
        <v>COMPLEMENTARY</v>
      </c>
    </row>
    <row r="10305" ht="22.5" customHeight="1">
      <c r="A10305" s="49"/>
      <c r="C10305" s="400">
        <v>46279.0</v>
      </c>
      <c r="D10305" s="524">
        <v>890.0</v>
      </c>
      <c r="E10305" s="544" t="s">
        <v>301</v>
      </c>
      <c r="F10305" s="387">
        <v>1.0</v>
      </c>
      <c r="G10305" s="140">
        <v>250000.0</v>
      </c>
      <c r="H10305" s="74"/>
      <c r="I10305" s="74">
        <f t="shared" si="7"/>
        <v>250000</v>
      </c>
      <c r="J10305" s="74">
        <f>IF(E10305="SERVICE",I10305-(I10305*50%),Vlookup(E10305,DATABASE!C:Q,10,false)*F10305)</f>
        <v>75000</v>
      </c>
      <c r="K10305" s="74">
        <f>VLOOKUP(E10305,DATABASE!C:Q,7,false)</f>
        <v>75000</v>
      </c>
      <c r="L10305" s="74">
        <v>75000.0</v>
      </c>
      <c r="M10305" s="74">
        <f t="shared" si="6"/>
        <v>75000</v>
      </c>
      <c r="N10305" s="74">
        <f t="shared" si="3"/>
        <v>100000</v>
      </c>
      <c r="O10305" s="65" t="str">
        <f>VLOOKUP(E10305,DATABASE!C:Q,8,false)</f>
        <v>BIAN</v>
      </c>
      <c r="P10305" s="65">
        <f>VLOOKUP(E10305,DATABASE!C:Q,9,False)</f>
        <v>0</v>
      </c>
      <c r="Q10305" s="93" t="str">
        <f>VLOOKUP(E10305,DATABASE!C:Q,4,false)</f>
        <v>Baut Camber</v>
      </c>
      <c r="R10305" s="93" t="str">
        <f>VLOOKUP(E10305,DATABASE!C:Q,11,false)</f>
        <v>COMPLEMENTARY</v>
      </c>
    </row>
    <row r="10306" ht="22.5" customHeight="1">
      <c r="A10306" s="49"/>
      <c r="C10306" s="400">
        <v>46279.0</v>
      </c>
      <c r="D10306" s="69" t="s">
        <v>2935</v>
      </c>
      <c r="E10306" s="544" t="s">
        <v>263</v>
      </c>
      <c r="F10306" s="387">
        <v>1.0</v>
      </c>
      <c r="G10306" s="140">
        <v>385000.0</v>
      </c>
      <c r="H10306" s="74"/>
      <c r="I10306" s="74">
        <f t="shared" si="7"/>
        <v>385000</v>
      </c>
      <c r="J10306" s="74">
        <f>IF(E10306="SERVICE",I10306-(I10306*50%),Vlookup(E10306,DATABASE!C:Q,10,false)*F10306)</f>
        <v>0</v>
      </c>
      <c r="K10306" s="74">
        <f>VLOOKUP(E10306,DATABASE!C:Q,7,false)</f>
        <v>334916</v>
      </c>
      <c r="L10306" s="74">
        <v>334916.0</v>
      </c>
      <c r="M10306" s="74">
        <f t="shared" si="6"/>
        <v>335000</v>
      </c>
      <c r="N10306" s="74">
        <f t="shared" si="3"/>
        <v>50000</v>
      </c>
      <c r="O10306" s="65" t="str">
        <f>VLOOKUP(E10306,DATABASE!C:Q,8,false)</f>
        <v>NON</v>
      </c>
      <c r="P10306" s="65">
        <f>VLOOKUP(E10306,DATABASE!C:Q,9,False)</f>
        <v>0</v>
      </c>
      <c r="Q10306" s="93" t="str">
        <f>VLOOKUP(E10306,DATABASE!C:Q,4,false)</f>
        <v>Shell</v>
      </c>
      <c r="R10306" s="93" t="str">
        <f>VLOOKUP(E10306,DATABASE!C:Q,11,false)</f>
        <v>OIL</v>
      </c>
    </row>
    <row r="10307" ht="22.5" customHeight="1">
      <c r="A10307" s="49"/>
      <c r="C10307" s="400">
        <v>46279.0</v>
      </c>
      <c r="D10307" s="69" t="s">
        <v>2935</v>
      </c>
      <c r="E10307" s="544" t="s">
        <v>258</v>
      </c>
      <c r="F10307" s="387">
        <v>1.0</v>
      </c>
      <c r="G10307" s="140">
        <v>105000.0</v>
      </c>
      <c r="H10307" s="74"/>
      <c r="I10307" s="74">
        <f t="shared" si="7"/>
        <v>105000</v>
      </c>
      <c r="J10307" s="74">
        <f>IF(E10307="SERVICE",I10307-(I10307*50%),Vlookup(E10307,DATABASE!C:Q,10,false)*F10307)</f>
        <v>0</v>
      </c>
      <c r="K10307" s="74">
        <f>VLOOKUP(E10307,DATABASE!C:Q,7,false)</f>
        <v>74700</v>
      </c>
      <c r="L10307" s="74">
        <v>74700.0</v>
      </c>
      <c r="M10307" s="74">
        <f t="shared" si="6"/>
        <v>75000</v>
      </c>
      <c r="N10307" s="74">
        <f t="shared" si="3"/>
        <v>30000</v>
      </c>
      <c r="O10307" s="65" t="str">
        <f>VLOOKUP(E10307,DATABASE!C:Q,8,false)</f>
        <v>NON</v>
      </c>
      <c r="P10307" s="65">
        <f>VLOOKUP(E10307,DATABASE!C:Q,9,False)</f>
        <v>0</v>
      </c>
      <c r="Q10307" s="93" t="str">
        <f>VLOOKUP(E10307,DATABASE!C:Q,4,false)</f>
        <v>Shell</v>
      </c>
      <c r="R10307" s="93" t="str">
        <f>VLOOKUP(E10307,DATABASE!C:Q,11,false)</f>
        <v>OIL</v>
      </c>
    </row>
    <row r="10308" ht="22.5" customHeight="1">
      <c r="A10308" s="49"/>
      <c r="C10308" s="400">
        <v>46279.0</v>
      </c>
      <c r="D10308" s="69" t="s">
        <v>2936</v>
      </c>
      <c r="E10308" s="544" t="s">
        <v>263</v>
      </c>
      <c r="F10308" s="387">
        <v>1.0</v>
      </c>
      <c r="G10308" s="140">
        <v>385000.0</v>
      </c>
      <c r="H10308" s="74"/>
      <c r="I10308" s="74">
        <f t="shared" si="7"/>
        <v>385000</v>
      </c>
      <c r="J10308" s="74">
        <f>IF(E10308="SERVICE",I10308-(I10308*50%),Vlookup(E10308,DATABASE!C:Q,10,false)*F10308)</f>
        <v>0</v>
      </c>
      <c r="K10308" s="74">
        <f>VLOOKUP(E10308,DATABASE!C:Q,7,false)</f>
        <v>334916</v>
      </c>
      <c r="L10308" s="74">
        <v>334916.0</v>
      </c>
      <c r="M10308" s="74">
        <f t="shared" si="6"/>
        <v>335000</v>
      </c>
      <c r="N10308" s="74">
        <f t="shared" si="3"/>
        <v>50000</v>
      </c>
      <c r="O10308" s="65" t="str">
        <f>VLOOKUP(E10308,DATABASE!C:Q,8,false)</f>
        <v>NON</v>
      </c>
      <c r="P10308" s="65">
        <f>VLOOKUP(E10308,DATABASE!C:Q,9,False)</f>
        <v>0</v>
      </c>
      <c r="Q10308" s="93" t="str">
        <f>VLOOKUP(E10308,DATABASE!C:Q,4,false)</f>
        <v>Shell</v>
      </c>
      <c r="R10308" s="93" t="str">
        <f>VLOOKUP(E10308,DATABASE!C:Q,11,false)</f>
        <v>OIL</v>
      </c>
    </row>
    <row r="10309" ht="22.5" customHeight="1">
      <c r="A10309" s="49"/>
      <c r="C10309" s="400">
        <v>46279.0</v>
      </c>
      <c r="D10309" s="69" t="s">
        <v>2936</v>
      </c>
      <c r="E10309" s="544" t="s">
        <v>2637</v>
      </c>
      <c r="F10309" s="387">
        <v>1.0</v>
      </c>
      <c r="G10309" s="140">
        <v>25000.0</v>
      </c>
      <c r="H10309" s="74"/>
      <c r="I10309" s="74">
        <f t="shared" si="7"/>
        <v>25000</v>
      </c>
      <c r="J10309" s="74">
        <f>IF(E10309="SERVICE",I10309-(I10309*50%),Vlookup(E10309,DATABASE!C:Q,10,false)*F10309)</f>
        <v>0</v>
      </c>
      <c r="K10309" s="74">
        <f>VLOOKUP(E10309,DATABASE!C:Q,7,false)</f>
        <v>18900</v>
      </c>
      <c r="L10309" s="74">
        <v>18900.0</v>
      </c>
      <c r="M10309" s="74">
        <f t="shared" si="6"/>
        <v>20000</v>
      </c>
      <c r="N10309" s="74">
        <f t="shared" si="3"/>
        <v>5000</v>
      </c>
      <c r="O10309" s="65" t="str">
        <f>VLOOKUP(E10309,DATABASE!C:Q,8,false)</f>
        <v>NON VPT</v>
      </c>
      <c r="P10309" s="65">
        <f>VLOOKUP(E10309,DATABASE!C:Q,9,False)</f>
        <v>0</v>
      </c>
      <c r="Q10309" s="93" t="str">
        <f>VLOOKUP(E10309,DATABASE!C:Q,4,false)</f>
        <v>ICOSON</v>
      </c>
      <c r="R10309" s="93" t="str">
        <f>VLOOKUP(E10309,DATABASE!C:Q,11,false)</f>
        <v>COMPLEMENTARY</v>
      </c>
    </row>
    <row r="10310" ht="22.5" customHeight="1">
      <c r="A10310" s="49"/>
      <c r="C10310" s="684">
        <v>46280.0</v>
      </c>
      <c r="D10310" s="685">
        <v>892.0</v>
      </c>
      <c r="E10310" s="686" t="s">
        <v>1009</v>
      </c>
      <c r="F10310" s="610">
        <v>1.0</v>
      </c>
      <c r="G10310" s="606">
        <v>700000.0</v>
      </c>
      <c r="H10310" s="687"/>
      <c r="I10310" s="74">
        <f t="shared" si="7"/>
        <v>700000</v>
      </c>
      <c r="J10310" s="74">
        <f>IF(E10310="SERVICE",I10310-(I10310*50%),Vlookup(E10310,DATABASE!C:Q,10,false)*F10310)</f>
        <v>0</v>
      </c>
      <c r="K10310" s="74">
        <f>VLOOKUP(E10310,DATABASE!C:Q,7,false)</f>
        <v>609800</v>
      </c>
      <c r="L10310" s="74">
        <v>609800.0</v>
      </c>
      <c r="M10310" s="74">
        <f t="shared" si="6"/>
        <v>610000</v>
      </c>
      <c r="N10310" s="74">
        <f t="shared" si="3"/>
        <v>90000</v>
      </c>
      <c r="O10310" s="65" t="str">
        <f>VLOOKUP(E10310,DATABASE!C:Q,8,false)</f>
        <v>BIAN</v>
      </c>
      <c r="P10310" s="65">
        <f>VLOOKUP(E10310,DATABASE!C:Q,9,False)</f>
        <v>1</v>
      </c>
      <c r="Q10310" s="93" t="str">
        <f>VLOOKUP(E10310,DATABASE!C:Q,4,false)</f>
        <v>GT</v>
      </c>
      <c r="R10310" s="93" t="str">
        <f>VLOOKUP(E10310,DATABASE!C:Q,11,false)</f>
        <v>Tire</v>
      </c>
    </row>
    <row r="10311" ht="22.5" customHeight="1">
      <c r="A10311" s="49"/>
      <c r="C10311" s="688">
        <v>46280.0</v>
      </c>
      <c r="D10311" s="689">
        <v>893.0</v>
      </c>
      <c r="E10311" s="690" t="s">
        <v>2199</v>
      </c>
      <c r="F10311" s="691">
        <v>1.0</v>
      </c>
      <c r="G10311" s="609">
        <v>20000.0</v>
      </c>
      <c r="H10311" s="692"/>
      <c r="I10311" s="74">
        <f t="shared" si="7"/>
        <v>20000</v>
      </c>
      <c r="J10311" s="74">
        <f>IF(E10311="SERVICE",I10311-(I10311*50%),Vlookup(E10311,DATABASE!C:Q,10,false)*F10311)</f>
        <v>0</v>
      </c>
      <c r="K10311" s="74">
        <f>VLOOKUP(E10311,DATABASE!C:Q,7,false)</f>
        <v>5000</v>
      </c>
      <c r="L10311" s="74">
        <v>5000.0</v>
      </c>
      <c r="M10311" s="74">
        <f t="shared" si="6"/>
        <v>5000</v>
      </c>
      <c r="N10311" s="74">
        <f t="shared" si="3"/>
        <v>15000</v>
      </c>
      <c r="O10311" s="65" t="str">
        <f>VLOOKUP(E10311,DATABASE!C:Q,8,false)</f>
        <v>BIAN</v>
      </c>
      <c r="P10311" s="65">
        <f>VLOOKUP(E10311,DATABASE!C:Q,9,False)</f>
        <v>0</v>
      </c>
      <c r="Q10311" s="93" t="str">
        <f>VLOOKUP(E10311,DATABASE!C:Q,4,false)</f>
        <v>TAMBAL TUBLES</v>
      </c>
      <c r="R10311" s="93" t="str">
        <f>VLOOKUP(E10311,DATABASE!C:Q,11,false)</f>
        <v>COMPLEMENTARY</v>
      </c>
    </row>
    <row r="10312" ht="22.5" customHeight="1">
      <c r="A10312" s="49"/>
      <c r="C10312" s="684">
        <v>46280.0</v>
      </c>
      <c r="D10312" s="685">
        <v>894.0</v>
      </c>
      <c r="E10312" s="686" t="s">
        <v>974</v>
      </c>
      <c r="F10312" s="610">
        <v>1.0</v>
      </c>
      <c r="G10312" s="606">
        <v>590000.0</v>
      </c>
      <c r="H10312" s="687"/>
      <c r="I10312" s="74">
        <f t="shared" si="7"/>
        <v>590000</v>
      </c>
      <c r="J10312" s="74">
        <f>IF(E10312="SERVICE",I10312-(I10312*50%),Vlookup(E10312,DATABASE!C:Q,10,false)*F10312)</f>
        <v>0</v>
      </c>
      <c r="K10312" s="74">
        <f>VLOOKUP(E10312,DATABASE!C:Q,7,false)</f>
        <v>501500</v>
      </c>
      <c r="L10312" s="74">
        <v>501500.0</v>
      </c>
      <c r="M10312" s="74">
        <f t="shared" si="6"/>
        <v>505000</v>
      </c>
      <c r="N10312" s="74">
        <f t="shared" si="3"/>
        <v>85000</v>
      </c>
      <c r="O10312" s="65" t="str">
        <f>VLOOKUP(E10312,DATABASE!C:Q,8,false)</f>
        <v>IBU</v>
      </c>
      <c r="P10312" s="65">
        <f>VLOOKUP(E10312,DATABASE!C:Q,9,False)</f>
        <v>1</v>
      </c>
      <c r="Q10312" s="93" t="str">
        <f>VLOOKUP(E10312,DATABASE!C:Q,4,false)</f>
        <v>Dunlop</v>
      </c>
      <c r="R10312" s="93" t="str">
        <f>VLOOKUP(E10312,DATABASE!C:Q,11,false)</f>
        <v>Tire</v>
      </c>
    </row>
    <row r="10313" ht="22.5" customHeight="1">
      <c r="A10313" s="49"/>
      <c r="C10313" s="688">
        <v>46280.0</v>
      </c>
      <c r="D10313" s="689">
        <v>895.0</v>
      </c>
      <c r="E10313" s="690" t="s">
        <v>265</v>
      </c>
      <c r="F10313" s="691">
        <v>1.0</v>
      </c>
      <c r="G10313" s="609">
        <v>700000.0</v>
      </c>
      <c r="H10313" s="692"/>
      <c r="I10313" s="74">
        <f t="shared" si="7"/>
        <v>700000</v>
      </c>
      <c r="J10313" s="74">
        <f>IF(E10313="SERVICE",I10313-(I10313*50%),Vlookup(E10313,DATABASE!C:Q,10,false)*F10313)</f>
        <v>0</v>
      </c>
      <c r="K10313" s="74">
        <f>VLOOKUP(E10313,DATABASE!C:Q,7,false)</f>
        <v>628000</v>
      </c>
      <c r="L10313" s="74">
        <v>610000.0</v>
      </c>
      <c r="M10313" s="74">
        <f t="shared" si="6"/>
        <v>610000</v>
      </c>
      <c r="N10313" s="74">
        <f t="shared" si="3"/>
        <v>90000</v>
      </c>
      <c r="O10313" s="65" t="str">
        <f>VLOOKUP(E10313,DATABASE!C:Q,8,false)</f>
        <v>IBU</v>
      </c>
      <c r="P10313" s="65">
        <f>VLOOKUP(E10313,DATABASE!C:Q,9,False)</f>
        <v>1</v>
      </c>
      <c r="Q10313" s="93" t="str">
        <f>VLOOKUP(E10313,DATABASE!C:Q,4,false)</f>
        <v>Dunlop</v>
      </c>
      <c r="R10313" s="93" t="str">
        <f>VLOOKUP(E10313,DATABASE!C:Q,11,false)</f>
        <v>Tire</v>
      </c>
    </row>
    <row r="10314" ht="22.5" customHeight="1">
      <c r="A10314" s="49"/>
      <c r="C10314" s="684">
        <v>46280.0</v>
      </c>
      <c r="D10314" s="685">
        <v>896.0</v>
      </c>
      <c r="E10314" s="686" t="s">
        <v>937</v>
      </c>
      <c r="F10314" s="610">
        <v>1.0</v>
      </c>
      <c r="G10314" s="606">
        <v>920000.0</v>
      </c>
      <c r="H10314" s="687"/>
      <c r="I10314" s="74">
        <f t="shared" si="7"/>
        <v>920000</v>
      </c>
      <c r="J10314" s="74">
        <f>IF(E10314="SERVICE",I10314-(I10314*50%),Vlookup(E10314,DATABASE!C:Q,10,false)*F10314)</f>
        <v>0</v>
      </c>
      <c r="K10314" s="74">
        <f>VLOOKUP(E10314,DATABASE!C:Q,7,false)</f>
        <v>825000</v>
      </c>
      <c r="L10314" s="74">
        <v>825000.0</v>
      </c>
      <c r="M10314" s="74">
        <f t="shared" si="6"/>
        <v>825000</v>
      </c>
      <c r="N10314" s="74">
        <f t="shared" si="3"/>
        <v>95000</v>
      </c>
      <c r="O10314" s="65" t="str">
        <f>VLOOKUP(E10314,DATABASE!C:Q,8,false)</f>
        <v>IBU</v>
      </c>
      <c r="P10314" s="65">
        <f>VLOOKUP(E10314,DATABASE!C:Q,9,False)</f>
        <v>1</v>
      </c>
      <c r="Q10314" s="93" t="str">
        <f>VLOOKUP(E10314,DATABASE!C:Q,4,false)</f>
        <v>Bridgestone</v>
      </c>
      <c r="R10314" s="93" t="str">
        <f>VLOOKUP(E10314,DATABASE!C:Q,11,false)</f>
        <v>Tire</v>
      </c>
    </row>
    <row r="10315" ht="22.5" customHeight="1">
      <c r="A10315" s="49"/>
      <c r="C10315" s="688">
        <v>46280.0</v>
      </c>
      <c r="D10315" s="689">
        <v>897.0</v>
      </c>
      <c r="E10315" s="690" t="s">
        <v>268</v>
      </c>
      <c r="F10315" s="691">
        <v>1.0</v>
      </c>
      <c r="G10315" s="609">
        <v>720000.0</v>
      </c>
      <c r="H10315" s="692"/>
      <c r="I10315" s="74">
        <f t="shared" si="7"/>
        <v>720000</v>
      </c>
      <c r="J10315" s="74">
        <f>IF(E10315="SERVICE",I10315-(I10315*50%),Vlookup(E10315,DATABASE!C:Q,10,false)*F10315)</f>
        <v>0</v>
      </c>
      <c r="K10315" s="74">
        <f>VLOOKUP(E10315,DATABASE!C:Q,7,false)</f>
        <v>653000</v>
      </c>
      <c r="L10315" s="74">
        <v>634500.0</v>
      </c>
      <c r="M10315" s="74">
        <f t="shared" si="6"/>
        <v>635000</v>
      </c>
      <c r="N10315" s="74">
        <f t="shared" si="3"/>
        <v>85000</v>
      </c>
      <c r="O10315" s="65" t="str">
        <f>VLOOKUP(E10315,DATABASE!C:Q,8,false)</f>
        <v>IBU</v>
      </c>
      <c r="P10315" s="65">
        <f>VLOOKUP(E10315,DATABASE!C:Q,9,False)</f>
        <v>1</v>
      </c>
      <c r="Q10315" s="93" t="str">
        <f>VLOOKUP(E10315,DATABASE!C:Q,4,false)</f>
        <v>Dunlop</v>
      </c>
      <c r="R10315" s="93" t="str">
        <f>VLOOKUP(E10315,DATABASE!C:Q,11,false)</f>
        <v>Tire</v>
      </c>
    </row>
    <row r="10316" ht="22.5" customHeight="1">
      <c r="A10316" s="49"/>
      <c r="C10316" s="400">
        <v>46280.0</v>
      </c>
      <c r="D10316" s="524">
        <v>898.0</v>
      </c>
      <c r="E10316" s="544" t="s">
        <v>286</v>
      </c>
      <c r="F10316" s="387">
        <v>12.0</v>
      </c>
      <c r="G10316" s="140">
        <v>580000.0</v>
      </c>
      <c r="H10316" s="140">
        <v>10000.0</v>
      </c>
      <c r="I10316" s="74">
        <f t="shared" si="7"/>
        <v>6840000</v>
      </c>
      <c r="J10316" s="74">
        <f>IF(E10316="SERVICE",I10316-(I10316*50%),Vlookup(E10316,DATABASE!C:Q,10,false)*F10316)</f>
        <v>0</v>
      </c>
      <c r="K10316" s="74">
        <f>VLOOKUP(E10316,DATABASE!C:Q,7,false)</f>
        <v>488320</v>
      </c>
      <c r="L10316" s="74">
        <v>488320.0</v>
      </c>
      <c r="M10316" s="74">
        <f t="shared" si="6"/>
        <v>490000</v>
      </c>
      <c r="N10316" s="74">
        <f t="shared" si="3"/>
        <v>960000</v>
      </c>
      <c r="O10316" s="65" t="str">
        <f>VLOOKUP(E10316,DATABASE!C:Q,8,false)</f>
        <v>BIAN</v>
      </c>
      <c r="P10316" s="65">
        <f>VLOOKUP(E10316,DATABASE!C:Q,9,False)</f>
        <v>1</v>
      </c>
      <c r="Q10316" s="93" t="str">
        <f>VLOOKUP(E10316,DATABASE!C:Q,4,false)</f>
        <v>GT</v>
      </c>
      <c r="R10316" s="93" t="str">
        <f>VLOOKUP(E10316,DATABASE!C:Q,11,false)</f>
        <v>Tire</v>
      </c>
    </row>
    <row r="10317" ht="22.5" customHeight="1">
      <c r="A10317" s="49"/>
      <c r="C10317" s="400">
        <v>46280.0</v>
      </c>
      <c r="D10317" s="524">
        <v>898.0</v>
      </c>
      <c r="E10317" s="544" t="s">
        <v>271</v>
      </c>
      <c r="F10317" s="387">
        <v>1.0</v>
      </c>
      <c r="G10317" s="140">
        <v>640000.0</v>
      </c>
      <c r="H10317" s="140">
        <v>10000.0</v>
      </c>
      <c r="I10317" s="74">
        <f t="shared" si="7"/>
        <v>630000</v>
      </c>
      <c r="J10317" s="74">
        <f>IF(E10317="SERVICE",I10317-(I10317*50%),Vlookup(E10317,DATABASE!C:Q,10,false)*F10317)</f>
        <v>0</v>
      </c>
      <c r="K10317" s="74">
        <f>VLOOKUP(E10317,DATABASE!C:Q,7,false)</f>
        <v>570000</v>
      </c>
      <c r="L10317" s="74">
        <v>550000.0</v>
      </c>
      <c r="M10317" s="74">
        <f t="shared" si="6"/>
        <v>550000</v>
      </c>
      <c r="N10317" s="74">
        <f t="shared" si="3"/>
        <v>80000</v>
      </c>
      <c r="O10317" s="65" t="str">
        <f>VLOOKUP(E10317,DATABASE!C:Q,8,false)</f>
        <v>IBU</v>
      </c>
      <c r="P10317" s="65">
        <f>VLOOKUP(E10317,DATABASE!C:Q,9,False)</f>
        <v>1</v>
      </c>
      <c r="Q10317" s="93" t="str">
        <f>VLOOKUP(E10317,DATABASE!C:Q,4,false)</f>
        <v>Dunlop</v>
      </c>
      <c r="R10317" s="93" t="str">
        <f>VLOOKUP(E10317,DATABASE!C:Q,11,false)</f>
        <v>Tire</v>
      </c>
    </row>
    <row r="10318" ht="22.5" customHeight="1">
      <c r="A10318" s="49"/>
      <c r="C10318" s="400">
        <v>46280.0</v>
      </c>
      <c r="D10318" s="524">
        <v>899.0</v>
      </c>
      <c r="E10318" s="544" t="s">
        <v>262</v>
      </c>
      <c r="F10318" s="387">
        <v>1.0</v>
      </c>
      <c r="G10318" s="140">
        <v>130000.0</v>
      </c>
      <c r="H10318" s="74"/>
      <c r="I10318" s="74">
        <f t="shared" si="7"/>
        <v>130000</v>
      </c>
      <c r="J10318" s="74">
        <f>IF(E10318="SERVICE",I10318-(I10318*50%),Vlookup(E10318,DATABASE!C:Q,10,false)*F10318)</f>
        <v>5000</v>
      </c>
      <c r="K10318" s="74">
        <f>VLOOKUP(E10318,DATABASE!C:Q,7,false)</f>
        <v>0</v>
      </c>
      <c r="L10318" s="74">
        <v>0.0</v>
      </c>
      <c r="M10318" s="74">
        <f t="shared" si="6"/>
        <v>0</v>
      </c>
      <c r="N10318" s="74">
        <f t="shared" si="3"/>
        <v>125000</v>
      </c>
      <c r="O10318" s="65" t="str">
        <f>VLOOKUP(E10318,DATABASE!C:Q,8,false)</f>
        <v>IBU</v>
      </c>
      <c r="P10318" s="65">
        <f>VLOOKUP(E10318,DATABASE!C:Q,9,False)</f>
        <v>0</v>
      </c>
      <c r="Q10318" s="93" t="str">
        <f>VLOOKUP(E10318,DATABASE!C:Q,4,false)</f>
        <v>SPOORING SS/CARRY LOS BAK</v>
      </c>
      <c r="R10318" s="93" t="str">
        <f>VLOOKUP(E10318,DATABASE!C:Q,11,false)</f>
        <v>SERVICE</v>
      </c>
    </row>
    <row r="10319" ht="22.5" customHeight="1">
      <c r="A10319" s="49"/>
      <c r="C10319" s="400">
        <v>46280.0</v>
      </c>
      <c r="D10319" s="524">
        <v>899.0</v>
      </c>
      <c r="E10319" s="544" t="s">
        <v>301</v>
      </c>
      <c r="F10319" s="387">
        <v>1.0</v>
      </c>
      <c r="G10319" s="140">
        <v>250000.0</v>
      </c>
      <c r="H10319" s="74"/>
      <c r="I10319" s="74">
        <f t="shared" si="7"/>
        <v>250000</v>
      </c>
      <c r="J10319" s="74">
        <f>IF(E10319="SERVICE",I10319-(I10319*50%),Vlookup(E10319,DATABASE!C:Q,10,false)*F10319)</f>
        <v>75000</v>
      </c>
      <c r="K10319" s="74">
        <f>VLOOKUP(E10319,DATABASE!C:Q,7,false)</f>
        <v>75000</v>
      </c>
      <c r="L10319" s="74">
        <v>75000.0</v>
      </c>
      <c r="M10319" s="74">
        <f t="shared" si="6"/>
        <v>75000</v>
      </c>
      <c r="N10319" s="74">
        <f t="shared" si="3"/>
        <v>100000</v>
      </c>
      <c r="O10319" s="65" t="str">
        <f>VLOOKUP(E10319,DATABASE!C:Q,8,false)</f>
        <v>BIAN</v>
      </c>
      <c r="P10319" s="65">
        <f>VLOOKUP(E10319,DATABASE!C:Q,9,False)</f>
        <v>0</v>
      </c>
      <c r="Q10319" s="93" t="str">
        <f>VLOOKUP(E10319,DATABASE!C:Q,4,false)</f>
        <v>Baut Camber</v>
      </c>
      <c r="R10319" s="93" t="str">
        <f>VLOOKUP(E10319,DATABASE!C:Q,11,false)</f>
        <v>COMPLEMENTARY</v>
      </c>
    </row>
    <row r="10320" ht="22.5" customHeight="1">
      <c r="A10320" s="49"/>
      <c r="C10320" s="400">
        <v>46280.0</v>
      </c>
      <c r="D10320" s="524">
        <v>900.0</v>
      </c>
      <c r="E10320" s="544" t="s">
        <v>955</v>
      </c>
      <c r="F10320" s="387">
        <v>1.0</v>
      </c>
      <c r="G10320" s="140">
        <v>780000.0</v>
      </c>
      <c r="H10320" s="74"/>
      <c r="I10320" s="74">
        <f t="shared" si="7"/>
        <v>780000</v>
      </c>
      <c r="J10320" s="74">
        <f>IF(E10320="SERVICE",I10320-(I10320*50%),Vlookup(E10320,DATABASE!C:Q,10,false)*F10320)</f>
        <v>0</v>
      </c>
      <c r="K10320" s="74">
        <f>VLOOKUP(E10320,DATABASE!C:Q,7,false)</f>
        <v>712000</v>
      </c>
      <c r="L10320" s="74">
        <v>688000.0</v>
      </c>
      <c r="M10320" s="74">
        <f t="shared" si="6"/>
        <v>690000</v>
      </c>
      <c r="N10320" s="74">
        <f t="shared" si="3"/>
        <v>90000</v>
      </c>
      <c r="O10320" s="65" t="str">
        <f>VLOOKUP(E10320,DATABASE!C:Q,8,false)</f>
        <v>IBU</v>
      </c>
      <c r="P10320" s="65">
        <f>VLOOKUP(E10320,DATABASE!C:Q,9,False)</f>
        <v>1</v>
      </c>
      <c r="Q10320" s="93" t="str">
        <f>VLOOKUP(E10320,DATABASE!C:Q,4,false)</f>
        <v>Dunlop</v>
      </c>
      <c r="R10320" s="93" t="str">
        <f>VLOOKUP(E10320,DATABASE!C:Q,11,false)</f>
        <v>Tire</v>
      </c>
    </row>
    <row r="10321" ht="22.5" customHeight="1">
      <c r="A10321" s="49"/>
      <c r="C10321" s="400">
        <v>46280.0</v>
      </c>
      <c r="D10321" s="524">
        <v>901.0</v>
      </c>
      <c r="E10321" s="544" t="s">
        <v>572</v>
      </c>
      <c r="F10321" s="387">
        <v>4.0</v>
      </c>
      <c r="G10321" s="140">
        <v>1370000.0</v>
      </c>
      <c r="H10321" s="140">
        <v>5000.0</v>
      </c>
      <c r="I10321" s="74">
        <f t="shared" si="7"/>
        <v>5460000</v>
      </c>
      <c r="J10321" s="74">
        <f>IF(E10321="SERVICE",I10321-(I10321*50%),Vlookup(E10321,DATABASE!C:Q,10,false)*F10321)</f>
        <v>0</v>
      </c>
      <c r="K10321" s="74">
        <f>VLOOKUP(E10321,DATABASE!C:Q,7,false)</f>
        <v>1265000</v>
      </c>
      <c r="L10321" s="74">
        <v>1265000.0</v>
      </c>
      <c r="M10321" s="74">
        <f t="shared" si="6"/>
        <v>1265000</v>
      </c>
      <c r="N10321" s="74">
        <f t="shared" si="3"/>
        <v>400000</v>
      </c>
      <c r="O10321" s="65" t="str">
        <f>VLOOKUP(E10321,DATABASE!C:Q,8,false)</f>
        <v>IBU</v>
      </c>
      <c r="P10321" s="65">
        <f>VLOOKUP(E10321,DATABASE!C:Q,9,False)</f>
        <v>1</v>
      </c>
      <c r="Q10321" s="93" t="str">
        <f>VLOOKUP(E10321,DATABASE!C:Q,4,false)</f>
        <v>Bridgestone</v>
      </c>
      <c r="R10321" s="93" t="str">
        <f>VLOOKUP(E10321,DATABASE!C:Q,11,false)</f>
        <v>Tire</v>
      </c>
    </row>
    <row r="10322" ht="22.5" customHeight="1">
      <c r="A10322" s="49"/>
      <c r="C10322" s="400">
        <v>46280.0</v>
      </c>
      <c r="D10322" s="524">
        <v>901.0</v>
      </c>
      <c r="E10322" s="544" t="s">
        <v>712</v>
      </c>
      <c r="F10322" s="387">
        <v>4.0</v>
      </c>
      <c r="G10322" s="140">
        <v>170000.0</v>
      </c>
      <c r="H10322" s="140">
        <v>20000.0</v>
      </c>
      <c r="I10322" s="74">
        <f t="shared" si="7"/>
        <v>600000</v>
      </c>
      <c r="J10322" s="74">
        <f>IF(E10322="SERVICE",I10322-(I10322*50%),Vlookup(E10322,DATABASE!C:Q,10,false)*F10322)</f>
        <v>0</v>
      </c>
      <c r="K10322" s="74">
        <f>VLOOKUP(E10322,DATABASE!C:Q,7,false)</f>
        <v>120960</v>
      </c>
      <c r="L10322" s="74">
        <v>120960.0</v>
      </c>
      <c r="M10322" s="74">
        <f t="shared" si="6"/>
        <v>125000</v>
      </c>
      <c r="N10322" s="74">
        <f t="shared" si="3"/>
        <v>100000</v>
      </c>
      <c r="O10322" s="65" t="str">
        <f>VLOOKUP(E10322,DATABASE!C:Q,8,false)</f>
        <v>BIAN</v>
      </c>
      <c r="P10322" s="65">
        <f>VLOOKUP(E10322,DATABASE!C:Q,9,False)</f>
        <v>1</v>
      </c>
      <c r="Q10322" s="93" t="str">
        <f>VLOOKUP(E10322,DATABASE!C:Q,4,false)</f>
        <v>BD</v>
      </c>
      <c r="R10322" s="93" t="str">
        <f>VLOOKUP(E10322,DATABASE!C:Q,11,false)</f>
        <v>Tire</v>
      </c>
    </row>
    <row r="10323" ht="22.5" customHeight="1">
      <c r="A10323" s="49"/>
      <c r="C10323" s="400">
        <v>46280.0</v>
      </c>
      <c r="D10323" s="524">
        <v>901.0</v>
      </c>
      <c r="E10323" s="544" t="s">
        <v>1695</v>
      </c>
      <c r="F10323" s="387">
        <v>2.0</v>
      </c>
      <c r="G10323" s="140">
        <v>80000.0</v>
      </c>
      <c r="H10323" s="140">
        <v>5000.0</v>
      </c>
      <c r="I10323" s="74">
        <f t="shared" si="7"/>
        <v>150000</v>
      </c>
      <c r="J10323" s="74">
        <f>IF(E10323="SERVICE",I10323-(I10323*50%),Vlookup(E10323,DATABASE!C:Q,10,false)*F10323)</f>
        <v>0</v>
      </c>
      <c r="K10323" s="74">
        <f>VLOOKUP(E10323,DATABASE!C:Q,7,false)</f>
        <v>34000</v>
      </c>
      <c r="L10323" s="74">
        <v>34000.0</v>
      </c>
      <c r="M10323" s="74">
        <f t="shared" si="6"/>
        <v>35000</v>
      </c>
      <c r="N10323" s="74">
        <f t="shared" si="3"/>
        <v>80000</v>
      </c>
      <c r="O10323" s="65" t="str">
        <f>VLOOKUP(E10323,DATABASE!C:Q,8,false)</f>
        <v>BIAN</v>
      </c>
      <c r="P10323" s="65">
        <f>VLOOKUP(E10323,DATABASE!C:Q,9,False)</f>
        <v>1</v>
      </c>
      <c r="Q10323" s="93" t="str">
        <f>VLOOKUP(E10323,DATABASE!C:Q,4,false)</f>
        <v>Flap</v>
      </c>
      <c r="R10323" s="93" t="str">
        <f>VLOOKUP(E10323,DATABASE!C:Q,11,false)</f>
        <v>Tire</v>
      </c>
    </row>
    <row r="10324" ht="22.5" customHeight="1">
      <c r="A10324" s="49"/>
      <c r="C10324" s="400">
        <v>46280.0</v>
      </c>
      <c r="D10324" s="524">
        <v>901.0</v>
      </c>
      <c r="E10324" s="544" t="s">
        <v>284</v>
      </c>
      <c r="F10324" s="387">
        <v>2.0</v>
      </c>
      <c r="G10324" s="140">
        <v>70000.0</v>
      </c>
      <c r="H10324" s="74"/>
      <c r="I10324" s="74">
        <f t="shared" si="7"/>
        <v>140000</v>
      </c>
      <c r="J10324" s="74">
        <f>IF(E10324="SERVICE",I10324-(I10324*50%),Vlookup(E10324,DATABASE!C:Q,10,false)*F10324)</f>
        <v>0</v>
      </c>
      <c r="K10324" s="74">
        <f>VLOOKUP(E10324,DATABASE!C:Q,7,false)</f>
        <v>36630</v>
      </c>
      <c r="L10324" s="74">
        <v>36630.0</v>
      </c>
      <c r="M10324" s="74">
        <f t="shared" si="6"/>
        <v>40000</v>
      </c>
      <c r="N10324" s="74">
        <f t="shared" si="3"/>
        <v>60000</v>
      </c>
      <c r="O10324" s="65" t="str">
        <f>VLOOKUP(E10324,DATABASE!C:Q,8,false)</f>
        <v>BIAN</v>
      </c>
      <c r="P10324" s="65">
        <f>VLOOKUP(E10324,DATABASE!C:Q,9,False)</f>
        <v>1</v>
      </c>
      <c r="Q10324" s="93" t="str">
        <f>VLOOKUP(E10324,DATABASE!C:Q,4,false)</f>
        <v>Flap</v>
      </c>
      <c r="R10324" s="93" t="str">
        <f>VLOOKUP(E10324,DATABASE!C:Q,11,false)</f>
        <v>Tire</v>
      </c>
    </row>
    <row r="10325" ht="22.5" customHeight="1">
      <c r="A10325" s="49"/>
      <c r="C10325" s="400">
        <v>46280.0</v>
      </c>
      <c r="D10325" s="524">
        <v>902.0</v>
      </c>
      <c r="E10325" s="544" t="s">
        <v>256</v>
      </c>
      <c r="F10325" s="387">
        <v>1.0</v>
      </c>
      <c r="G10325" s="140">
        <v>175000.0</v>
      </c>
      <c r="H10325" s="140">
        <v>25000.0</v>
      </c>
      <c r="I10325" s="74">
        <f t="shared" si="7"/>
        <v>150000</v>
      </c>
      <c r="J10325" s="74">
        <f>IF(E10325="SERVICE",I10325-(I10325*50%),Vlookup(E10325,DATABASE!C:Q,10,false)*F10325)</f>
        <v>10000</v>
      </c>
      <c r="K10325" s="74">
        <f>VLOOKUP(E10325,DATABASE!C:Q,7,false)</f>
        <v>0</v>
      </c>
      <c r="L10325" s="74">
        <v>0.0</v>
      </c>
      <c r="M10325" s="74">
        <f t="shared" si="6"/>
        <v>0</v>
      </c>
      <c r="N10325" s="74">
        <f t="shared" si="3"/>
        <v>140000</v>
      </c>
      <c r="O10325" s="65" t="str">
        <f>VLOOKUP(E10325,DATABASE!C:Q,8,false)</f>
        <v>IBU</v>
      </c>
      <c r="P10325" s="65">
        <f>VLOOKUP(E10325,DATABASE!C:Q,9,False)</f>
        <v>0</v>
      </c>
      <c r="Q10325" s="93" t="str">
        <f>VLOOKUP(E10325,DATABASE!C:Q,4,false)</f>
        <v>SPOORING</v>
      </c>
      <c r="R10325" s="93" t="str">
        <f>VLOOKUP(E10325,DATABASE!C:Q,11,false)</f>
        <v>SERVICE</v>
      </c>
    </row>
    <row r="10326" ht="22.5" customHeight="1">
      <c r="A10326" s="49"/>
      <c r="C10326" s="400">
        <v>46280.0</v>
      </c>
      <c r="D10326" s="524">
        <v>902.0</v>
      </c>
      <c r="E10326" s="544" t="s">
        <v>251</v>
      </c>
      <c r="F10326" s="387">
        <v>1.0</v>
      </c>
      <c r="G10326" s="140">
        <v>350000.0</v>
      </c>
      <c r="H10326" s="140">
        <v>200000.0</v>
      </c>
      <c r="I10326" s="74">
        <f t="shared" si="7"/>
        <v>150000</v>
      </c>
      <c r="J10326" s="74">
        <f>IF(E10326="SERVICE",I10326-(I10326*50%),Vlookup(E10326,DATABASE!C:Q,10,false)*F10326)</f>
        <v>75000</v>
      </c>
      <c r="K10326" s="74">
        <f>VLOOKUP(E10326,DATABASE!C:Q,7,false)</f>
        <v>0</v>
      </c>
      <c r="L10326" s="74">
        <v>0.0</v>
      </c>
      <c r="M10326" s="74">
        <f t="shared" si="6"/>
        <v>0</v>
      </c>
      <c r="N10326" s="74">
        <f t="shared" si="3"/>
        <v>75000</v>
      </c>
      <c r="O10326" s="65" t="str">
        <f>VLOOKUP(E10326,DATABASE!C:Q,8,false)</f>
        <v>IBU</v>
      </c>
      <c r="P10326" s="65">
        <f>VLOOKUP(E10326,DATABASE!C:Q,9,False)</f>
        <v>0</v>
      </c>
      <c r="Q10326" s="93" t="str">
        <f>VLOOKUP(E10326,DATABASE!C:Q,4,false)</f>
        <v>SERVICE</v>
      </c>
      <c r="R10326" s="93" t="str">
        <f>VLOOKUP(E10326,DATABASE!C:Q,11,false)</f>
        <v>SERVICE</v>
      </c>
    </row>
    <row r="10327" ht="22.5" customHeight="1">
      <c r="A10327" s="49"/>
      <c r="C10327" s="400">
        <v>46280.0</v>
      </c>
      <c r="D10327" s="69" t="s">
        <v>2937</v>
      </c>
      <c r="E10327" s="544" t="s">
        <v>263</v>
      </c>
      <c r="F10327" s="387">
        <v>1.0</v>
      </c>
      <c r="G10327" s="140">
        <v>385000.0</v>
      </c>
      <c r="H10327" s="74"/>
      <c r="I10327" s="74">
        <f t="shared" si="7"/>
        <v>385000</v>
      </c>
      <c r="J10327" s="74">
        <f>IF(E10327="SERVICE",I10327-(I10327*50%),Vlookup(E10327,DATABASE!C:Q,10,false)*F10327)</f>
        <v>0</v>
      </c>
      <c r="K10327" s="74">
        <f>VLOOKUP(E10327,DATABASE!C:Q,7,false)</f>
        <v>334916</v>
      </c>
      <c r="L10327" s="74">
        <v>334916.0</v>
      </c>
      <c r="M10327" s="74">
        <f t="shared" si="6"/>
        <v>335000</v>
      </c>
      <c r="N10327" s="74">
        <f t="shared" si="3"/>
        <v>50000</v>
      </c>
      <c r="O10327" s="65" t="str">
        <f>VLOOKUP(E10327,DATABASE!C:Q,8,false)</f>
        <v>NON</v>
      </c>
      <c r="P10327" s="65">
        <f>VLOOKUP(E10327,DATABASE!C:Q,9,False)</f>
        <v>0</v>
      </c>
      <c r="Q10327" s="93" t="str">
        <f>VLOOKUP(E10327,DATABASE!C:Q,4,false)</f>
        <v>Shell</v>
      </c>
      <c r="R10327" s="93" t="str">
        <f>VLOOKUP(E10327,DATABASE!C:Q,11,false)</f>
        <v>OIL</v>
      </c>
    </row>
    <row r="10328" ht="22.5" customHeight="1">
      <c r="A10328" s="49"/>
      <c r="C10328" s="400">
        <v>46281.0</v>
      </c>
      <c r="D10328" s="524">
        <v>903.0</v>
      </c>
      <c r="E10328" s="544" t="s">
        <v>268</v>
      </c>
      <c r="F10328" s="387">
        <v>2.0</v>
      </c>
      <c r="G10328" s="140">
        <v>720000.0</v>
      </c>
      <c r="H10328" s="74"/>
      <c r="I10328" s="74">
        <f t="shared" si="7"/>
        <v>1440000</v>
      </c>
      <c r="J10328" s="74">
        <f>IF(E10328="SERVICE",I10328-(I10328*50%),Vlookup(E10328,DATABASE!C:Q,10,false)*F10328)</f>
        <v>0</v>
      </c>
      <c r="K10328" s="74">
        <f>VLOOKUP(E10328,DATABASE!C:Q,7,false)</f>
        <v>653000</v>
      </c>
      <c r="L10328" s="74">
        <v>634500.0</v>
      </c>
      <c r="M10328" s="74">
        <f t="shared" si="6"/>
        <v>635000</v>
      </c>
      <c r="N10328" s="74">
        <f t="shared" si="3"/>
        <v>170000</v>
      </c>
      <c r="O10328" s="65" t="str">
        <f>VLOOKUP(E10328,DATABASE!C:Q,8,false)</f>
        <v>IBU</v>
      </c>
      <c r="P10328" s="65">
        <f>VLOOKUP(E10328,DATABASE!C:Q,9,False)</f>
        <v>1</v>
      </c>
      <c r="Q10328" s="93" t="str">
        <f>VLOOKUP(E10328,DATABASE!C:Q,4,false)</f>
        <v>Dunlop</v>
      </c>
      <c r="R10328" s="93" t="str">
        <f>VLOOKUP(E10328,DATABASE!C:Q,11,false)</f>
        <v>Tire</v>
      </c>
    </row>
    <row r="10329" ht="22.5" customHeight="1">
      <c r="A10329" s="49"/>
      <c r="C10329" s="400">
        <v>46281.0</v>
      </c>
      <c r="D10329" s="524">
        <v>904.0</v>
      </c>
      <c r="E10329" s="544" t="s">
        <v>600</v>
      </c>
      <c r="F10329" s="387">
        <v>2.0</v>
      </c>
      <c r="G10329" s="140">
        <v>700000.0</v>
      </c>
      <c r="H10329" s="74"/>
      <c r="I10329" s="74">
        <f t="shared" si="7"/>
        <v>1400000</v>
      </c>
      <c r="J10329" s="74">
        <f>IF(E10329="SERVICE",I10329-(I10329*50%),Vlookup(E10329,DATABASE!C:Q,10,false)*F10329)</f>
        <v>0</v>
      </c>
      <c r="K10329" s="74">
        <f>VLOOKUP(E10329,DATABASE!C:Q,7,false)</f>
        <v>611109.16</v>
      </c>
      <c r="L10329" s="74">
        <v>611109.16</v>
      </c>
      <c r="M10329" s="74">
        <f t="shared" si="6"/>
        <v>615000</v>
      </c>
      <c r="N10329" s="74">
        <f t="shared" si="3"/>
        <v>170000</v>
      </c>
      <c r="O10329" s="65" t="str">
        <f>VLOOKUP(E10329,DATABASE!C:Q,8,false)</f>
        <v>IBU</v>
      </c>
      <c r="P10329" s="65">
        <f>VLOOKUP(E10329,DATABASE!C:Q,9,False)</f>
        <v>1</v>
      </c>
      <c r="Q10329" s="93" t="str">
        <f>VLOOKUP(E10329,DATABASE!C:Q,4,false)</f>
        <v>Bridgestone</v>
      </c>
      <c r="R10329" s="93" t="str">
        <f>VLOOKUP(E10329,DATABASE!C:Q,11,false)</f>
        <v>Tire</v>
      </c>
    </row>
    <row r="10330" ht="22.5" customHeight="1">
      <c r="A10330" s="49"/>
      <c r="C10330" s="400">
        <v>46281.0</v>
      </c>
      <c r="D10330" s="524">
        <v>904.0</v>
      </c>
      <c r="E10330" s="544" t="s">
        <v>299</v>
      </c>
      <c r="F10330" s="387">
        <v>2.0</v>
      </c>
      <c r="G10330" s="140">
        <v>30000.0</v>
      </c>
      <c r="H10330" s="140">
        <v>5000.0</v>
      </c>
      <c r="I10330" s="74">
        <f t="shared" si="7"/>
        <v>50000</v>
      </c>
      <c r="J10330" s="74">
        <f>IF(E10330="SERVICE",I10330-(I10330*50%),Vlookup(E10330,DATABASE!C:Q,10,false)*F10330)</f>
        <v>0</v>
      </c>
      <c r="K10330" s="74">
        <f>VLOOKUP(E10330,DATABASE!C:Q,7,false)</f>
        <v>10000</v>
      </c>
      <c r="L10330" s="74">
        <v>10000.0</v>
      </c>
      <c r="M10330" s="74">
        <f t="shared" si="6"/>
        <v>10000</v>
      </c>
      <c r="N10330" s="74">
        <f t="shared" si="3"/>
        <v>30000</v>
      </c>
      <c r="O10330" s="65" t="str">
        <f>VLOOKUP(E10330,DATABASE!C:Q,8,false)</f>
        <v>BIAN</v>
      </c>
      <c r="P10330" s="65">
        <f>VLOOKUP(E10330,DATABASE!C:Q,9,False)</f>
        <v>0</v>
      </c>
      <c r="Q10330" s="93" t="str">
        <f>VLOOKUP(E10330,DATABASE!C:Q,4,false)</f>
        <v>Balancing</v>
      </c>
      <c r="R10330" s="93" t="str">
        <f>VLOOKUP(E10330,DATABASE!C:Q,11,false)</f>
        <v>COMPLEMENTARY</v>
      </c>
    </row>
    <row r="10331" ht="22.5" customHeight="1">
      <c r="A10331" s="49"/>
      <c r="C10331" s="400">
        <v>46281.0</v>
      </c>
      <c r="D10331" s="524">
        <v>904.0</v>
      </c>
      <c r="E10331" s="544" t="s">
        <v>256</v>
      </c>
      <c r="F10331" s="387">
        <v>1.0</v>
      </c>
      <c r="G10331" s="140">
        <v>175000.0</v>
      </c>
      <c r="H10331" s="140">
        <v>25000.0</v>
      </c>
      <c r="I10331" s="74">
        <f t="shared" si="7"/>
        <v>150000</v>
      </c>
      <c r="J10331" s="74">
        <f>IF(E10331="SERVICE",I10331-(I10331*50%),Vlookup(E10331,DATABASE!C:Q,10,false)*F10331)</f>
        <v>10000</v>
      </c>
      <c r="K10331" s="74">
        <f>VLOOKUP(E10331,DATABASE!C:Q,7,false)</f>
        <v>0</v>
      </c>
      <c r="L10331" s="74">
        <v>0.0</v>
      </c>
      <c r="M10331" s="74">
        <f t="shared" si="6"/>
        <v>0</v>
      </c>
      <c r="N10331" s="74">
        <f t="shared" si="3"/>
        <v>140000</v>
      </c>
      <c r="O10331" s="65" t="str">
        <f>VLOOKUP(E10331,DATABASE!C:Q,8,false)</f>
        <v>IBU</v>
      </c>
      <c r="P10331" s="65">
        <f>VLOOKUP(E10331,DATABASE!C:Q,9,False)</f>
        <v>0</v>
      </c>
      <c r="Q10331" s="93" t="str">
        <f>VLOOKUP(E10331,DATABASE!C:Q,4,false)</f>
        <v>SPOORING</v>
      </c>
      <c r="R10331" s="93" t="str">
        <f>VLOOKUP(E10331,DATABASE!C:Q,11,false)</f>
        <v>SERVICE</v>
      </c>
    </row>
    <row r="10332" ht="22.5" customHeight="1">
      <c r="A10332" s="49"/>
      <c r="C10332" s="400">
        <v>46281.0</v>
      </c>
      <c r="D10332" s="524">
        <v>904.0</v>
      </c>
      <c r="E10332" s="544" t="s">
        <v>301</v>
      </c>
      <c r="F10332" s="387">
        <v>1.0</v>
      </c>
      <c r="G10332" s="140">
        <v>250000.0</v>
      </c>
      <c r="H10332" s="74"/>
      <c r="I10332" s="74">
        <f t="shared" si="7"/>
        <v>250000</v>
      </c>
      <c r="J10332" s="74">
        <f>IF(E10332="SERVICE",I10332-(I10332*50%),Vlookup(E10332,DATABASE!C:Q,10,false)*F10332)</f>
        <v>75000</v>
      </c>
      <c r="K10332" s="74">
        <f>VLOOKUP(E10332,DATABASE!C:Q,7,false)</f>
        <v>75000</v>
      </c>
      <c r="L10332" s="74">
        <v>75000.0</v>
      </c>
      <c r="M10332" s="74">
        <f t="shared" si="6"/>
        <v>75000</v>
      </c>
      <c r="N10332" s="74">
        <f t="shared" si="3"/>
        <v>100000</v>
      </c>
      <c r="O10332" s="65" t="str">
        <f>VLOOKUP(E10332,DATABASE!C:Q,8,false)</f>
        <v>BIAN</v>
      </c>
      <c r="P10332" s="65">
        <f>VLOOKUP(E10332,DATABASE!C:Q,9,False)</f>
        <v>0</v>
      </c>
      <c r="Q10332" s="93" t="str">
        <f>VLOOKUP(E10332,DATABASE!C:Q,4,false)</f>
        <v>Baut Camber</v>
      </c>
      <c r="R10332" s="93" t="str">
        <f>VLOOKUP(E10332,DATABASE!C:Q,11,false)</f>
        <v>COMPLEMENTARY</v>
      </c>
    </row>
    <row r="10333" ht="22.5" customHeight="1">
      <c r="A10333" s="49"/>
      <c r="C10333" s="400">
        <v>46281.0</v>
      </c>
      <c r="D10333" s="524">
        <v>905.0</v>
      </c>
      <c r="E10333" s="544" t="s">
        <v>2140</v>
      </c>
      <c r="F10333" s="387">
        <v>1.0</v>
      </c>
      <c r="G10333" s="140">
        <v>35000.0</v>
      </c>
      <c r="H10333" s="140">
        <v>5000.0</v>
      </c>
      <c r="I10333" s="74">
        <f t="shared" si="7"/>
        <v>30000</v>
      </c>
      <c r="J10333" s="74">
        <f>IF(E10333="SERVICE",I10333-(I10333*50%),Vlookup(E10333,DATABASE!C:Q,10,false)*F10333)</f>
        <v>0</v>
      </c>
      <c r="K10333" s="74">
        <f>VLOOKUP(E10333,DATABASE!C:Q,7,false)</f>
        <v>5000</v>
      </c>
      <c r="L10333" s="74">
        <v>0.0</v>
      </c>
      <c r="M10333" s="74">
        <f t="shared" si="6"/>
        <v>0</v>
      </c>
      <c r="N10333" s="74">
        <f t="shared" si="3"/>
        <v>30000</v>
      </c>
      <c r="O10333" s="65" t="str">
        <f>VLOOKUP(E10333,DATABASE!C:Q,8,false)</f>
        <v>IBU</v>
      </c>
      <c r="P10333" s="65">
        <f>VLOOKUP(E10333,DATABASE!C:Q,9,False)</f>
        <v>0</v>
      </c>
      <c r="Q10333" s="93" t="str">
        <f>VLOOKUP(E10333,DATABASE!C:Q,4,false)</f>
        <v>PENTIL + PASANG</v>
      </c>
      <c r="R10333" s="93" t="str">
        <f>VLOOKUP(E10333,DATABASE!C:Q,11,false)</f>
        <v>COMPLEMENTARY</v>
      </c>
    </row>
    <row r="10334" ht="22.5" customHeight="1">
      <c r="A10334" s="49"/>
      <c r="C10334" s="400">
        <v>46281.0</v>
      </c>
      <c r="D10334" s="524">
        <v>906.0</v>
      </c>
      <c r="E10334" s="544" t="s">
        <v>600</v>
      </c>
      <c r="F10334" s="387">
        <v>1.0</v>
      </c>
      <c r="G10334" s="140">
        <v>700000.0</v>
      </c>
      <c r="H10334" s="74"/>
      <c r="I10334" s="74">
        <f t="shared" si="7"/>
        <v>700000</v>
      </c>
      <c r="J10334" s="74">
        <f>IF(E10334="SERVICE",I10334-(I10334*50%),Vlookup(E10334,DATABASE!C:Q,10,false)*F10334)</f>
        <v>0</v>
      </c>
      <c r="K10334" s="74">
        <f>VLOOKUP(E10334,DATABASE!C:Q,7,false)</f>
        <v>611109.16</v>
      </c>
      <c r="L10334" s="74">
        <v>611109.16</v>
      </c>
      <c r="M10334" s="74">
        <f t="shared" si="6"/>
        <v>615000</v>
      </c>
      <c r="N10334" s="74">
        <f t="shared" si="3"/>
        <v>85000</v>
      </c>
      <c r="O10334" s="65" t="str">
        <f>VLOOKUP(E10334,DATABASE!C:Q,8,false)</f>
        <v>IBU</v>
      </c>
      <c r="P10334" s="65">
        <f>VLOOKUP(E10334,DATABASE!C:Q,9,False)</f>
        <v>1</v>
      </c>
      <c r="Q10334" s="93" t="str">
        <f>VLOOKUP(E10334,DATABASE!C:Q,4,false)</f>
        <v>Bridgestone</v>
      </c>
      <c r="R10334" s="93" t="str">
        <f>VLOOKUP(E10334,DATABASE!C:Q,11,false)</f>
        <v>Tire</v>
      </c>
    </row>
    <row r="10335" ht="22.5" customHeight="1">
      <c r="A10335" s="49"/>
      <c r="C10335" s="400">
        <v>46281.0</v>
      </c>
      <c r="D10335" s="524">
        <v>907.0</v>
      </c>
      <c r="E10335" s="544" t="s">
        <v>1429</v>
      </c>
      <c r="F10335" s="387">
        <v>1.0</v>
      </c>
      <c r="G10335" s="140">
        <v>950000.0</v>
      </c>
      <c r="H10335" s="74"/>
      <c r="I10335" s="74">
        <f t="shared" si="7"/>
        <v>950000</v>
      </c>
      <c r="J10335" s="74">
        <f>IF(E10335="SERVICE",I10335-(I10335*50%),Vlookup(E10335,DATABASE!C:Q,10,false)*F10335)</f>
        <v>0</v>
      </c>
      <c r="K10335" s="74">
        <f>VLOOKUP(E10335,DATABASE!C:Q,7,false)</f>
        <v>849000</v>
      </c>
      <c r="L10335" s="74">
        <v>849000.0</v>
      </c>
      <c r="M10335" s="74">
        <f t="shared" si="6"/>
        <v>850000</v>
      </c>
      <c r="N10335" s="74">
        <f t="shared" si="3"/>
        <v>100000</v>
      </c>
      <c r="O10335" s="65" t="str">
        <f>VLOOKUP(E10335,DATABASE!C:Q,8,false)</f>
        <v>IBU</v>
      </c>
      <c r="P10335" s="65">
        <f>VLOOKUP(E10335,DATABASE!C:Q,9,False)</f>
        <v>1</v>
      </c>
      <c r="Q10335" s="93" t="str">
        <f>VLOOKUP(E10335,DATABASE!C:Q,4,false)</f>
        <v>Dunlop</v>
      </c>
      <c r="R10335" s="93" t="str">
        <f>VLOOKUP(E10335,DATABASE!C:Q,11,false)</f>
        <v>Tire</v>
      </c>
    </row>
    <row r="10336" ht="22.5" customHeight="1">
      <c r="A10336" s="49"/>
      <c r="C10336" s="400">
        <v>46281.0</v>
      </c>
      <c r="D10336" s="524">
        <v>908.0</v>
      </c>
      <c r="E10336" s="544" t="s">
        <v>839</v>
      </c>
      <c r="F10336" s="387">
        <v>1.0</v>
      </c>
      <c r="G10336" s="140">
        <v>600000.0</v>
      </c>
      <c r="H10336" s="74"/>
      <c r="I10336" s="74">
        <f t="shared" si="7"/>
        <v>600000</v>
      </c>
      <c r="J10336" s="74">
        <f>IF(E10336="SERVICE",I10336-(I10336*50%),Vlookup(E10336,DATABASE!C:Q,10,false)*F10336)</f>
        <v>0</v>
      </c>
      <c r="K10336" s="74">
        <f>VLOOKUP(E10336,DATABASE!C:Q,7,false)</f>
        <v>512640</v>
      </c>
      <c r="L10336" s="74">
        <v>512640.0</v>
      </c>
      <c r="M10336" s="74">
        <f t="shared" si="6"/>
        <v>515000</v>
      </c>
      <c r="N10336" s="74">
        <f t="shared" si="3"/>
        <v>85000</v>
      </c>
      <c r="O10336" s="65" t="str">
        <f>VLOOKUP(E10336,DATABASE!C:Q,8,false)</f>
        <v>BIAN</v>
      </c>
      <c r="P10336" s="65">
        <f>VLOOKUP(E10336,DATABASE!C:Q,9,False)</f>
        <v>1</v>
      </c>
      <c r="Q10336" s="93" t="str">
        <f>VLOOKUP(E10336,DATABASE!C:Q,4,false)</f>
        <v>GT</v>
      </c>
      <c r="R10336" s="93" t="str">
        <f>VLOOKUP(E10336,DATABASE!C:Q,11,false)</f>
        <v>Tire</v>
      </c>
    </row>
    <row r="10337" ht="22.5" customHeight="1">
      <c r="A10337" s="49"/>
      <c r="C10337" s="400">
        <v>46281.0</v>
      </c>
      <c r="D10337" s="524">
        <v>909.0</v>
      </c>
      <c r="E10337" s="544" t="s">
        <v>246</v>
      </c>
      <c r="F10337" s="387">
        <v>8.0</v>
      </c>
      <c r="G10337" s="140">
        <v>35000.0</v>
      </c>
      <c r="H10337" s="140">
        <v>10000.0</v>
      </c>
      <c r="I10337" s="74">
        <f t="shared" si="7"/>
        <v>200000</v>
      </c>
      <c r="J10337" s="74">
        <f>IF(E10337="SERVICE",I10337-(I10337*50%),Vlookup(E10337,DATABASE!C:Q,10,false)*F10337)</f>
        <v>0</v>
      </c>
      <c r="K10337" s="74">
        <f>VLOOKUP(E10337,DATABASE!C:Q,7,false)</f>
        <v>0</v>
      </c>
      <c r="L10337" s="74">
        <v>0.0</v>
      </c>
      <c r="M10337" s="74">
        <f t="shared" si="6"/>
        <v>0</v>
      </c>
      <c r="N10337" s="74">
        <f t="shared" si="3"/>
        <v>200000</v>
      </c>
      <c r="O10337" s="65" t="str">
        <f>VLOOKUP(E10337,DATABASE!C:Q,8,false)</f>
        <v>IBU</v>
      </c>
      <c r="P10337" s="65">
        <f>VLOOKUP(E10337,DATABASE!C:Q,9,False)</f>
        <v>0</v>
      </c>
      <c r="Q10337" s="93" t="str">
        <f>VLOOKUP(E10337,DATABASE!C:Q,4,false)</f>
        <v>Bongkar Pasang</v>
      </c>
      <c r="R10337" s="93" t="str">
        <f>VLOOKUP(E10337,DATABASE!C:Q,11,false)</f>
        <v>SERVICE</v>
      </c>
    </row>
    <row r="10338" ht="22.5" customHeight="1">
      <c r="A10338" s="49"/>
      <c r="C10338" s="400">
        <v>46281.0</v>
      </c>
      <c r="D10338" s="524">
        <v>910.0</v>
      </c>
      <c r="E10338" s="544" t="s">
        <v>256</v>
      </c>
      <c r="F10338" s="387">
        <v>1.0</v>
      </c>
      <c r="G10338" s="140">
        <v>175000.0</v>
      </c>
      <c r="H10338" s="140">
        <v>25000.0</v>
      </c>
      <c r="I10338" s="74">
        <f t="shared" si="7"/>
        <v>150000</v>
      </c>
      <c r="J10338" s="74">
        <f>IF(E10338="SERVICE",I10338-(I10338*50%),Vlookup(E10338,DATABASE!C:Q,10,false)*F10338)</f>
        <v>10000</v>
      </c>
      <c r="K10338" s="74">
        <f>VLOOKUP(E10338,DATABASE!C:Q,7,false)</f>
        <v>0</v>
      </c>
      <c r="L10338" s="74">
        <v>0.0</v>
      </c>
      <c r="M10338" s="74">
        <f t="shared" si="6"/>
        <v>0</v>
      </c>
      <c r="N10338" s="74">
        <f t="shared" si="3"/>
        <v>140000</v>
      </c>
      <c r="O10338" s="65" t="str">
        <f>VLOOKUP(E10338,DATABASE!C:Q,8,false)</f>
        <v>IBU</v>
      </c>
      <c r="P10338" s="65">
        <f>VLOOKUP(E10338,DATABASE!C:Q,9,False)</f>
        <v>0</v>
      </c>
      <c r="Q10338" s="93" t="str">
        <f>VLOOKUP(E10338,DATABASE!C:Q,4,false)</f>
        <v>SPOORING</v>
      </c>
      <c r="R10338" s="93" t="str">
        <f>VLOOKUP(E10338,DATABASE!C:Q,11,false)</f>
        <v>SERVICE</v>
      </c>
    </row>
    <row r="10339" ht="22.5" customHeight="1">
      <c r="A10339" s="49"/>
      <c r="C10339" s="400">
        <v>46281.0</v>
      </c>
      <c r="D10339" s="524">
        <v>910.0</v>
      </c>
      <c r="E10339" s="544" t="s">
        <v>2647</v>
      </c>
      <c r="F10339" s="387">
        <v>1.0</v>
      </c>
      <c r="G10339" s="140">
        <v>380000.0</v>
      </c>
      <c r="H10339" s="74"/>
      <c r="I10339" s="74">
        <f t="shared" si="7"/>
        <v>380000</v>
      </c>
      <c r="J10339" s="74">
        <f>IF(E10339="SERVICE",I10339-(I10339*50%),Vlookup(E10339,DATABASE!C:Q,10,false)*F10339)</f>
        <v>80000</v>
      </c>
      <c r="K10339" s="74">
        <f>VLOOKUP(E10339,DATABASE!C:Q,7,false)</f>
        <v>194400</v>
      </c>
      <c r="L10339" s="74">
        <v>194400.0</v>
      </c>
      <c r="M10339" s="74">
        <f t="shared" si="6"/>
        <v>195000</v>
      </c>
      <c r="N10339" s="74">
        <f t="shared" si="3"/>
        <v>105000</v>
      </c>
      <c r="O10339" s="65" t="str">
        <f>VLOOKUP(E10339,DATABASE!C:Q,8,false)</f>
        <v>BIAN</v>
      </c>
      <c r="P10339" s="65">
        <f>VLOOKUP(E10339,DATABASE!C:Q,9,False)</f>
        <v>0</v>
      </c>
      <c r="Q10339" s="93" t="str">
        <f>VLOOKUP(E10339,DATABASE!C:Q,4,false)</f>
        <v>RACK END</v>
      </c>
      <c r="R10339" s="93" t="str">
        <f>VLOOKUP(E10339,DATABASE!C:Q,11,false)</f>
        <v>COMPLEMENTARY</v>
      </c>
    </row>
    <row r="10340" ht="22.5" customHeight="1">
      <c r="A10340" s="49"/>
      <c r="C10340" s="400">
        <v>46281.0</v>
      </c>
      <c r="D10340" s="524">
        <v>910.0</v>
      </c>
      <c r="E10340" s="544" t="s">
        <v>2645</v>
      </c>
      <c r="F10340" s="387">
        <v>1.0</v>
      </c>
      <c r="G10340" s="140">
        <v>300000.0</v>
      </c>
      <c r="H10340" s="74"/>
      <c r="I10340" s="74">
        <f t="shared" si="7"/>
        <v>300000</v>
      </c>
      <c r="J10340" s="74">
        <f>IF(E10340="SERVICE",I10340-(I10340*50%),Vlookup(E10340,DATABASE!C:Q,10,false)*F10340)</f>
        <v>60000</v>
      </c>
      <c r="K10340" s="74">
        <f>VLOOKUP(E10340,DATABASE!C:Q,7,false)</f>
        <v>174000</v>
      </c>
      <c r="L10340" s="74">
        <v>174000.0</v>
      </c>
      <c r="M10340" s="74">
        <f t="shared" si="6"/>
        <v>175000</v>
      </c>
      <c r="N10340" s="74">
        <f t="shared" si="3"/>
        <v>65000</v>
      </c>
      <c r="O10340" s="65" t="str">
        <f>VLOOKUP(E10340,DATABASE!C:Q,8,false)</f>
        <v>BIAN</v>
      </c>
      <c r="P10340" s="65">
        <f>VLOOKUP(E10340,DATABASE!C:Q,9,False)</f>
        <v>0</v>
      </c>
      <c r="Q10340" s="93" t="str">
        <f>VLOOKUP(E10340,DATABASE!C:Q,4,false)</f>
        <v>Stabil link avanza</v>
      </c>
      <c r="R10340" s="93" t="str">
        <f>VLOOKUP(E10340,DATABASE!C:Q,11,false)</f>
        <v>COMPLEMENTARY</v>
      </c>
    </row>
    <row r="10341" ht="22.5" customHeight="1">
      <c r="A10341" s="49"/>
      <c r="C10341" s="400">
        <v>46281.0</v>
      </c>
      <c r="D10341" s="524">
        <v>910.0</v>
      </c>
      <c r="E10341" s="544" t="s">
        <v>251</v>
      </c>
      <c r="F10341" s="387">
        <v>1.0</v>
      </c>
      <c r="G10341" s="140">
        <v>350000.0</v>
      </c>
      <c r="H10341" s="140">
        <v>200000.0</v>
      </c>
      <c r="I10341" s="74">
        <f t="shared" si="7"/>
        <v>150000</v>
      </c>
      <c r="J10341" s="74">
        <f>IF(E10341="SERVICE",I10341-(I10341*50%),Vlookup(E10341,DATABASE!C:Q,10,false)*F10341)</f>
        <v>75000</v>
      </c>
      <c r="K10341" s="74">
        <f>VLOOKUP(E10341,DATABASE!C:Q,7,false)</f>
        <v>0</v>
      </c>
      <c r="L10341" s="74">
        <v>0.0</v>
      </c>
      <c r="M10341" s="74">
        <f t="shared" si="6"/>
        <v>0</v>
      </c>
      <c r="N10341" s="74">
        <f t="shared" si="3"/>
        <v>75000</v>
      </c>
      <c r="O10341" s="65" t="str">
        <f>VLOOKUP(E10341,DATABASE!C:Q,8,false)</f>
        <v>IBU</v>
      </c>
      <c r="P10341" s="65">
        <f>VLOOKUP(E10341,DATABASE!C:Q,9,False)</f>
        <v>0</v>
      </c>
      <c r="Q10341" s="93" t="str">
        <f>VLOOKUP(E10341,DATABASE!C:Q,4,false)</f>
        <v>SERVICE</v>
      </c>
      <c r="R10341" s="93" t="str">
        <f>VLOOKUP(E10341,DATABASE!C:Q,11,false)</f>
        <v>SERVICE</v>
      </c>
    </row>
    <row r="10342" ht="22.5" customHeight="1">
      <c r="A10342" s="49"/>
      <c r="C10342" s="400">
        <v>46281.0</v>
      </c>
      <c r="D10342" s="69" t="s">
        <v>2938</v>
      </c>
      <c r="E10342" s="544" t="s">
        <v>248</v>
      </c>
      <c r="F10342" s="387">
        <v>1.0</v>
      </c>
      <c r="G10342" s="140">
        <v>250000.0</v>
      </c>
      <c r="H10342" s="74"/>
      <c r="I10342" s="74">
        <f t="shared" si="7"/>
        <v>250000</v>
      </c>
      <c r="J10342" s="74">
        <f>IF(E10342="SERVICE",I10342-(I10342*50%),Vlookup(E10342,DATABASE!C:Q,10,false)*F10342)</f>
        <v>0</v>
      </c>
      <c r="K10342" s="74">
        <f>VLOOKUP(E10342,DATABASE!C:Q,7,false)</f>
        <v>209816.66</v>
      </c>
      <c r="L10342" s="74">
        <v>209816.66</v>
      </c>
      <c r="M10342" s="74">
        <f t="shared" si="6"/>
        <v>210000</v>
      </c>
      <c r="N10342" s="74">
        <f t="shared" si="3"/>
        <v>40000</v>
      </c>
      <c r="O10342" s="65" t="str">
        <f>VLOOKUP(E10342,DATABASE!C:Q,8,false)</f>
        <v>NON</v>
      </c>
      <c r="P10342" s="65">
        <f>VLOOKUP(E10342,DATABASE!C:Q,9,False)</f>
        <v>0</v>
      </c>
      <c r="Q10342" s="93" t="str">
        <f>VLOOKUP(E10342,DATABASE!C:Q,4,false)</f>
        <v>Pertamina</v>
      </c>
      <c r="R10342" s="93" t="str">
        <f>VLOOKUP(E10342,DATABASE!C:Q,11,false)</f>
        <v>OIL</v>
      </c>
    </row>
    <row r="10343" ht="22.5" customHeight="1">
      <c r="A10343" s="49"/>
      <c r="C10343" s="400">
        <v>46281.0</v>
      </c>
      <c r="D10343" s="69" t="s">
        <v>2938</v>
      </c>
      <c r="E10343" s="544" t="s">
        <v>298</v>
      </c>
      <c r="F10343" s="387">
        <v>1.0</v>
      </c>
      <c r="G10343" s="140">
        <v>25000.0</v>
      </c>
      <c r="H10343" s="140">
        <v>2000.0</v>
      </c>
      <c r="I10343" s="74">
        <f t="shared" si="7"/>
        <v>23000</v>
      </c>
      <c r="J10343" s="74">
        <f>IF(E10343="SERVICE",I10343-(I10343*50%),Vlookup(E10343,DATABASE!C:Q,10,false)*F10343)</f>
        <v>0</v>
      </c>
      <c r="K10343" s="74">
        <f>VLOOKUP(E10343,DATABASE!C:Q,7,false)</f>
        <v>19200</v>
      </c>
      <c r="L10343" s="74">
        <v>19200.0</v>
      </c>
      <c r="M10343" s="74">
        <f t="shared" si="6"/>
        <v>20000</v>
      </c>
      <c r="N10343" s="74">
        <f t="shared" si="3"/>
        <v>3000</v>
      </c>
      <c r="O10343" s="65" t="str">
        <f>VLOOKUP(E10343,DATABASE!C:Q,8,false)</f>
        <v>BIAN</v>
      </c>
      <c r="P10343" s="65">
        <f>VLOOKUP(E10343,DATABASE!C:Q,9,False)</f>
        <v>0</v>
      </c>
      <c r="Q10343" s="93" t="str">
        <f>VLOOKUP(E10343,DATABASE!C:Q,4,false)</f>
        <v>Aspira</v>
      </c>
      <c r="R10343" s="93" t="str">
        <f>VLOOKUP(E10343,DATABASE!C:Q,11,false)</f>
        <v>COMPLEMENTARY</v>
      </c>
    </row>
    <row r="10344" ht="22.5" customHeight="1">
      <c r="A10344" s="49"/>
      <c r="C10344" s="400">
        <v>46281.0</v>
      </c>
      <c r="D10344" s="69" t="s">
        <v>2938</v>
      </c>
      <c r="E10344" s="544" t="s">
        <v>2174</v>
      </c>
      <c r="F10344" s="387">
        <v>1.0</v>
      </c>
      <c r="G10344" s="140">
        <v>275000.0</v>
      </c>
      <c r="H10344" s="74"/>
      <c r="I10344" s="74">
        <f t="shared" si="7"/>
        <v>275000</v>
      </c>
      <c r="J10344" s="74">
        <f>IF(E10344="SERVICE",I10344-(I10344*50%),Vlookup(E10344,DATABASE!C:Q,10,false)*F10344)</f>
        <v>0</v>
      </c>
      <c r="K10344" s="74">
        <f>VLOOKUP(E10344,DATABASE!C:Q,7,false)</f>
        <v>225314</v>
      </c>
      <c r="L10344" s="74">
        <v>225314.0</v>
      </c>
      <c r="M10344" s="74">
        <f t="shared" si="6"/>
        <v>230000</v>
      </c>
      <c r="N10344" s="74">
        <f t="shared" si="3"/>
        <v>45000</v>
      </c>
      <c r="O10344" s="65" t="str">
        <f>VLOOKUP(E10344,DATABASE!C:Q,8,false)</f>
        <v>NON</v>
      </c>
      <c r="P10344" s="65">
        <f>VLOOKUP(E10344,DATABASE!C:Q,9,False)</f>
        <v>0</v>
      </c>
      <c r="Q10344" s="93" t="str">
        <f>VLOOKUP(E10344,DATABASE!C:Q,4,false)</f>
        <v>Shell</v>
      </c>
      <c r="R10344" s="93" t="str">
        <f>VLOOKUP(E10344,DATABASE!C:Q,11,false)</f>
        <v>OIL</v>
      </c>
    </row>
    <row r="10345" ht="22.5" customHeight="1">
      <c r="A10345" s="49"/>
      <c r="C10345" s="400">
        <v>46282.0</v>
      </c>
      <c r="D10345" s="524">
        <v>911.0</v>
      </c>
      <c r="E10345" s="544" t="s">
        <v>566</v>
      </c>
      <c r="F10345" s="387">
        <v>2.0</v>
      </c>
      <c r="G10345" s="140">
        <v>1670000.0</v>
      </c>
      <c r="H10345" s="74"/>
      <c r="I10345" s="74">
        <f t="shared" si="7"/>
        <v>3340000</v>
      </c>
      <c r="J10345" s="74">
        <f>IF(E10345="SERVICE",I10345-(I10345*50%),Vlookup(E10345,DATABASE!C:Q,10,false)*F10345)</f>
        <v>0</v>
      </c>
      <c r="K10345" s="74">
        <f>VLOOKUP(E10345,DATABASE!C:Q,7,false)</f>
        <v>1565000</v>
      </c>
      <c r="L10345" s="74">
        <v>1565000.0</v>
      </c>
      <c r="M10345" s="74">
        <f t="shared" si="6"/>
        <v>1565000</v>
      </c>
      <c r="N10345" s="74">
        <f t="shared" si="3"/>
        <v>210000</v>
      </c>
      <c r="O10345" s="65" t="str">
        <f>VLOOKUP(E10345,DATABASE!C:Q,8,false)</f>
        <v>IBU</v>
      </c>
      <c r="P10345" s="65">
        <f>VLOOKUP(E10345,DATABASE!C:Q,9,False)</f>
        <v>1</v>
      </c>
      <c r="Q10345" s="93" t="str">
        <f>VLOOKUP(E10345,DATABASE!C:Q,4,false)</f>
        <v>Bridgestone</v>
      </c>
      <c r="R10345" s="93" t="str">
        <f>VLOOKUP(E10345,DATABASE!C:Q,11,false)</f>
        <v>Tire</v>
      </c>
    </row>
    <row r="10346" ht="22.5" customHeight="1">
      <c r="A10346" s="49"/>
      <c r="C10346" s="400">
        <v>46282.0</v>
      </c>
      <c r="D10346" s="524">
        <v>911.0</v>
      </c>
      <c r="E10346" s="544" t="s">
        <v>2621</v>
      </c>
      <c r="F10346" s="387">
        <v>2.0</v>
      </c>
      <c r="G10346" s="140">
        <v>185000.0</v>
      </c>
      <c r="H10346" s="74"/>
      <c r="I10346" s="74">
        <f t="shared" si="7"/>
        <v>370000</v>
      </c>
      <c r="J10346" s="74">
        <f>IF(E10346="SERVICE",I10346-(I10346*50%),Vlookup(E10346,DATABASE!C:Q,10,false)*F10346)</f>
        <v>0</v>
      </c>
      <c r="K10346" s="74">
        <f>VLOOKUP(E10346,DATABASE!C:Q,7,false)</f>
        <v>141160</v>
      </c>
      <c r="L10346" s="74">
        <v>141160.0</v>
      </c>
      <c r="M10346" s="74">
        <f t="shared" si="6"/>
        <v>145000</v>
      </c>
      <c r="N10346" s="74">
        <f t="shared" si="3"/>
        <v>80000</v>
      </c>
      <c r="O10346" s="65" t="str">
        <f>VLOOKUP(E10346,DATABASE!C:Q,8,false)</f>
        <v>BIAN</v>
      </c>
      <c r="P10346" s="65">
        <f>VLOOKUP(E10346,DATABASE!C:Q,9,False)</f>
        <v>1</v>
      </c>
      <c r="Q10346" s="93" t="str">
        <f>VLOOKUP(E10346,DATABASE!C:Q,4,false)</f>
        <v>IBK light</v>
      </c>
      <c r="R10346" s="93" t="str">
        <f>VLOOKUP(E10346,DATABASE!C:Q,11,false)</f>
        <v>Tire</v>
      </c>
    </row>
    <row r="10347" ht="22.5" customHeight="1">
      <c r="A10347" s="49"/>
      <c r="C10347" s="400">
        <v>46282.0</v>
      </c>
      <c r="D10347" s="524">
        <v>911.0</v>
      </c>
      <c r="E10347" s="544" t="s">
        <v>821</v>
      </c>
      <c r="F10347" s="387">
        <v>2.0</v>
      </c>
      <c r="G10347" s="140">
        <v>90000.0</v>
      </c>
      <c r="H10347" s="74"/>
      <c r="I10347" s="74">
        <f t="shared" si="7"/>
        <v>180000</v>
      </c>
      <c r="J10347" s="74">
        <f>IF(E10347="SERVICE",I10347-(I10347*50%),Vlookup(E10347,DATABASE!C:Q,10,false)*F10347)</f>
        <v>0</v>
      </c>
      <c r="K10347" s="74">
        <f>VLOOKUP(E10347,DATABASE!C:Q,7,false)</f>
        <v>43500</v>
      </c>
      <c r="L10347" s="74">
        <v>43500.0</v>
      </c>
      <c r="M10347" s="74">
        <f t="shared" si="6"/>
        <v>45000</v>
      </c>
      <c r="N10347" s="74">
        <f t="shared" si="3"/>
        <v>90000</v>
      </c>
      <c r="O10347" s="65" t="str">
        <f>VLOOKUP(E10347,DATABASE!C:Q,8,false)</f>
        <v>BIAN</v>
      </c>
      <c r="P10347" s="65">
        <f>VLOOKUP(E10347,DATABASE!C:Q,9,False)</f>
        <v>1</v>
      </c>
      <c r="Q10347" s="93" t="str">
        <f>VLOOKUP(E10347,DATABASE!C:Q,4,false)</f>
        <v>Flap</v>
      </c>
      <c r="R10347" s="93" t="str">
        <f>VLOOKUP(E10347,DATABASE!C:Q,11,false)</f>
        <v>Tire</v>
      </c>
    </row>
    <row r="10348" ht="22.5" customHeight="1">
      <c r="A10348" s="49"/>
      <c r="C10348" s="400">
        <v>46282.0</v>
      </c>
      <c r="D10348" s="524">
        <v>912.0</v>
      </c>
      <c r="E10348" s="544" t="s">
        <v>256</v>
      </c>
      <c r="F10348" s="387">
        <v>1.0</v>
      </c>
      <c r="G10348" s="140">
        <v>175000.0</v>
      </c>
      <c r="H10348" s="140">
        <v>25000.0</v>
      </c>
      <c r="I10348" s="74">
        <f t="shared" si="7"/>
        <v>150000</v>
      </c>
      <c r="J10348" s="74">
        <f>IF(E10348="SERVICE",I10348-(I10348*50%),Vlookup(E10348,DATABASE!C:Q,10,false)*F10348)</f>
        <v>10000</v>
      </c>
      <c r="K10348" s="74">
        <f>VLOOKUP(E10348,DATABASE!C:Q,7,false)</f>
        <v>0</v>
      </c>
      <c r="L10348" s="74">
        <v>0.0</v>
      </c>
      <c r="M10348" s="74">
        <f t="shared" si="6"/>
        <v>0</v>
      </c>
      <c r="N10348" s="74">
        <f t="shared" si="3"/>
        <v>140000</v>
      </c>
      <c r="O10348" s="65" t="str">
        <f>VLOOKUP(E10348,DATABASE!C:Q,8,false)</f>
        <v>IBU</v>
      </c>
      <c r="P10348" s="65">
        <f>VLOOKUP(E10348,DATABASE!C:Q,9,False)</f>
        <v>0</v>
      </c>
      <c r="Q10348" s="93" t="str">
        <f>VLOOKUP(E10348,DATABASE!C:Q,4,false)</f>
        <v>SPOORING</v>
      </c>
      <c r="R10348" s="93" t="str">
        <f>VLOOKUP(E10348,DATABASE!C:Q,11,false)</f>
        <v>SERVICE</v>
      </c>
    </row>
    <row r="10349" ht="22.5" customHeight="1">
      <c r="A10349" s="49"/>
      <c r="C10349" s="400">
        <v>46282.0</v>
      </c>
      <c r="D10349" s="524">
        <v>912.0</v>
      </c>
      <c r="E10349" s="544" t="s">
        <v>301</v>
      </c>
      <c r="F10349" s="387">
        <v>1.0</v>
      </c>
      <c r="G10349" s="140">
        <v>250000.0</v>
      </c>
      <c r="H10349" s="74"/>
      <c r="I10349" s="74">
        <f t="shared" si="7"/>
        <v>250000</v>
      </c>
      <c r="J10349" s="74">
        <f>IF(E10349="SERVICE",I10349-(I10349*50%),Vlookup(E10349,DATABASE!C:Q,10,false)*F10349)</f>
        <v>75000</v>
      </c>
      <c r="K10349" s="74">
        <f>VLOOKUP(E10349,DATABASE!C:Q,7,false)</f>
        <v>75000</v>
      </c>
      <c r="L10349" s="74">
        <v>75000.0</v>
      </c>
      <c r="M10349" s="74">
        <f t="shared" si="6"/>
        <v>75000</v>
      </c>
      <c r="N10349" s="74">
        <f t="shared" si="3"/>
        <v>100000</v>
      </c>
      <c r="O10349" s="65" t="str">
        <f>VLOOKUP(E10349,DATABASE!C:Q,8,false)</f>
        <v>BIAN</v>
      </c>
      <c r="P10349" s="65">
        <f>VLOOKUP(E10349,DATABASE!C:Q,9,False)</f>
        <v>0</v>
      </c>
      <c r="Q10349" s="93" t="str">
        <f>VLOOKUP(E10349,DATABASE!C:Q,4,false)</f>
        <v>Baut Camber</v>
      </c>
      <c r="R10349" s="93" t="str">
        <f>VLOOKUP(E10349,DATABASE!C:Q,11,false)</f>
        <v>COMPLEMENTARY</v>
      </c>
    </row>
    <row r="10350" ht="22.5" customHeight="1">
      <c r="A10350" s="49"/>
      <c r="C10350" s="400">
        <v>46282.0</v>
      </c>
      <c r="D10350" s="524">
        <v>913.0</v>
      </c>
      <c r="E10350" s="544" t="s">
        <v>1301</v>
      </c>
      <c r="F10350" s="387">
        <v>1.0</v>
      </c>
      <c r="G10350" s="140">
        <v>1300000.0</v>
      </c>
      <c r="H10350" s="74"/>
      <c r="I10350" s="74">
        <f t="shared" si="7"/>
        <v>1300000</v>
      </c>
      <c r="J10350" s="74">
        <f>IF(E10350="SERVICE",I10350-(I10350*50%),Vlookup(E10350,DATABASE!C:Q,10,false)*F10350)</f>
        <v>0</v>
      </c>
      <c r="K10350" s="74">
        <f>VLOOKUP(E10350,DATABASE!C:Q,7,false)</f>
        <v>1194000</v>
      </c>
      <c r="L10350" s="74">
        <v>1194000.0</v>
      </c>
      <c r="M10350" s="74">
        <f t="shared" si="6"/>
        <v>1195000</v>
      </c>
      <c r="N10350" s="74">
        <f t="shared" si="3"/>
        <v>105000</v>
      </c>
      <c r="O10350" s="65" t="str">
        <f>VLOOKUP(E10350,DATABASE!C:Q,8,false)</f>
        <v>IBU</v>
      </c>
      <c r="P10350" s="65">
        <f>VLOOKUP(E10350,DATABASE!C:Q,9,False)</f>
        <v>1</v>
      </c>
      <c r="Q10350" s="93" t="str">
        <f>VLOOKUP(E10350,DATABASE!C:Q,4,false)</f>
        <v>Dunlop</v>
      </c>
      <c r="R10350" s="93" t="str">
        <f>VLOOKUP(E10350,DATABASE!C:Q,11,false)</f>
        <v>Tire</v>
      </c>
    </row>
    <row r="10351" ht="22.5" customHeight="1">
      <c r="A10351" s="49"/>
      <c r="C10351" s="400">
        <v>46282.0</v>
      </c>
      <c r="D10351" s="524">
        <v>914.0</v>
      </c>
      <c r="E10351" s="544" t="s">
        <v>2345</v>
      </c>
      <c r="F10351" s="387">
        <v>1.0</v>
      </c>
      <c r="G10351" s="140">
        <v>780000.0</v>
      </c>
      <c r="H10351" s="74"/>
      <c r="I10351" s="74">
        <f t="shared" si="7"/>
        <v>780000</v>
      </c>
      <c r="J10351" s="74">
        <f>IF(E10351="SERVICE",I10351-(I10351*50%),Vlookup(E10351,DATABASE!C:Q,10,false)*F10351)</f>
        <v>0</v>
      </c>
      <c r="K10351" s="74">
        <f>VLOOKUP(E10351,DATABASE!C:Q,7,false)</f>
        <v>680000</v>
      </c>
      <c r="L10351" s="74">
        <v>680000.0</v>
      </c>
      <c r="M10351" s="74">
        <f t="shared" si="6"/>
        <v>680000</v>
      </c>
      <c r="N10351" s="74">
        <f t="shared" si="3"/>
        <v>100000</v>
      </c>
      <c r="O10351" s="65" t="str">
        <f>VLOOKUP(E10351,DATABASE!C:Q,8,false)</f>
        <v>BIAN</v>
      </c>
      <c r="P10351" s="65">
        <f>VLOOKUP(E10351,DATABASE!C:Q,9,False)</f>
        <v>1</v>
      </c>
      <c r="Q10351" s="93" t="str">
        <f>VLOOKUP(E10351,DATABASE!C:Q,4,false)</f>
        <v>Velg</v>
      </c>
      <c r="R10351" s="93" t="str">
        <f>VLOOKUP(E10351,DATABASE!C:Q,11,false)</f>
        <v>Tire</v>
      </c>
    </row>
    <row r="10352" ht="22.5" customHeight="1">
      <c r="A10352" s="49"/>
      <c r="C10352" s="400">
        <v>46282.0</v>
      </c>
      <c r="D10352" s="524">
        <v>915.0</v>
      </c>
      <c r="E10352" s="544" t="s">
        <v>566</v>
      </c>
      <c r="F10352" s="387">
        <v>2.0</v>
      </c>
      <c r="G10352" s="140">
        <v>1670000.0</v>
      </c>
      <c r="H10352" s="74"/>
      <c r="I10352" s="74">
        <f t="shared" si="7"/>
        <v>3340000</v>
      </c>
      <c r="J10352" s="74">
        <f>IF(E10352="SERVICE",I10352-(I10352*50%),Vlookup(E10352,DATABASE!C:Q,10,false)*F10352)</f>
        <v>0</v>
      </c>
      <c r="K10352" s="74">
        <f>VLOOKUP(E10352,DATABASE!C:Q,7,false)</f>
        <v>1565000</v>
      </c>
      <c r="L10352" s="74">
        <v>1565000.0</v>
      </c>
      <c r="M10352" s="74">
        <f t="shared" si="6"/>
        <v>1565000</v>
      </c>
      <c r="N10352" s="74">
        <f t="shared" si="3"/>
        <v>210000</v>
      </c>
      <c r="O10352" s="65" t="str">
        <f>VLOOKUP(E10352,DATABASE!C:Q,8,false)</f>
        <v>IBU</v>
      </c>
      <c r="P10352" s="65">
        <f>VLOOKUP(E10352,DATABASE!C:Q,9,False)</f>
        <v>1</v>
      </c>
      <c r="Q10352" s="93" t="str">
        <f>VLOOKUP(E10352,DATABASE!C:Q,4,false)</f>
        <v>Bridgestone</v>
      </c>
      <c r="R10352" s="93" t="str">
        <f>VLOOKUP(E10352,DATABASE!C:Q,11,false)</f>
        <v>Tire</v>
      </c>
    </row>
    <row r="10353" ht="22.5" customHeight="1">
      <c r="A10353" s="49"/>
      <c r="C10353" s="400">
        <v>46282.0</v>
      </c>
      <c r="D10353" s="524">
        <v>915.0</v>
      </c>
      <c r="E10353" s="544" t="s">
        <v>737</v>
      </c>
      <c r="F10353" s="387">
        <v>2.0</v>
      </c>
      <c r="G10353" s="140">
        <v>280000.0</v>
      </c>
      <c r="H10353" s="74"/>
      <c r="I10353" s="74">
        <f t="shared" si="7"/>
        <v>560000</v>
      </c>
      <c r="J10353" s="74">
        <f>IF(E10353="SERVICE",I10353-(I10353*50%),Vlookup(E10353,DATABASE!C:Q,10,false)*F10353)</f>
        <v>0</v>
      </c>
      <c r="K10353" s="74">
        <f>VLOOKUP(E10353,DATABASE!C:Q,7,false)</f>
        <v>241001.6</v>
      </c>
      <c r="L10353" s="74">
        <v>241001.6</v>
      </c>
      <c r="M10353" s="74">
        <f t="shared" si="6"/>
        <v>245000</v>
      </c>
      <c r="N10353" s="74">
        <f t="shared" si="3"/>
        <v>70000</v>
      </c>
      <c r="O10353" s="65" t="str">
        <f>VLOOKUP(E10353,DATABASE!C:Q,8,false)</f>
        <v>IBU</v>
      </c>
      <c r="P10353" s="65">
        <f>VLOOKUP(E10353,DATABASE!C:Q,9,False)</f>
        <v>1</v>
      </c>
      <c r="Q10353" s="93" t="str">
        <f>VLOOKUP(E10353,DATABASE!C:Q,4,false)</f>
        <v>BD</v>
      </c>
      <c r="R10353" s="93" t="str">
        <f>VLOOKUP(E10353,DATABASE!C:Q,11,false)</f>
        <v>Tire</v>
      </c>
    </row>
    <row r="10354" ht="22.5" customHeight="1">
      <c r="A10354" s="49"/>
      <c r="C10354" s="400">
        <v>46282.0</v>
      </c>
      <c r="D10354" s="524">
        <v>915.0</v>
      </c>
      <c r="E10354" s="544" t="s">
        <v>821</v>
      </c>
      <c r="F10354" s="387">
        <v>2.0</v>
      </c>
      <c r="G10354" s="140">
        <v>90000.0</v>
      </c>
      <c r="H10354" s="74"/>
      <c r="I10354" s="74">
        <f t="shared" si="7"/>
        <v>180000</v>
      </c>
      <c r="J10354" s="74">
        <f>IF(E10354="SERVICE",I10354-(I10354*50%),Vlookup(E10354,DATABASE!C:Q,10,false)*F10354)</f>
        <v>0</v>
      </c>
      <c r="K10354" s="74">
        <f>VLOOKUP(E10354,DATABASE!C:Q,7,false)</f>
        <v>43500</v>
      </c>
      <c r="L10354" s="74">
        <v>43500.0</v>
      </c>
      <c r="M10354" s="74">
        <f t="shared" si="6"/>
        <v>45000</v>
      </c>
      <c r="N10354" s="74">
        <f t="shared" si="3"/>
        <v>90000</v>
      </c>
      <c r="O10354" s="65" t="str">
        <f>VLOOKUP(E10354,DATABASE!C:Q,8,false)</f>
        <v>BIAN</v>
      </c>
      <c r="P10354" s="65">
        <f>VLOOKUP(E10354,DATABASE!C:Q,9,False)</f>
        <v>1</v>
      </c>
      <c r="Q10354" s="93" t="str">
        <f>VLOOKUP(E10354,DATABASE!C:Q,4,false)</f>
        <v>Flap</v>
      </c>
      <c r="R10354" s="93" t="str">
        <f>VLOOKUP(E10354,DATABASE!C:Q,11,false)</f>
        <v>Tire</v>
      </c>
    </row>
    <row r="10355" ht="22.5" customHeight="1">
      <c r="A10355" s="49"/>
      <c r="C10355" s="400">
        <v>46282.0</v>
      </c>
      <c r="D10355" s="524">
        <v>916.0</v>
      </c>
      <c r="E10355" s="544" t="s">
        <v>262</v>
      </c>
      <c r="F10355" s="387">
        <v>1.0</v>
      </c>
      <c r="G10355" s="140">
        <v>130000.0</v>
      </c>
      <c r="H10355" s="74"/>
      <c r="I10355" s="74">
        <f t="shared" si="7"/>
        <v>130000</v>
      </c>
      <c r="J10355" s="74">
        <f>IF(E10355="SERVICE",I10355-(I10355*50%),Vlookup(E10355,DATABASE!C:Q,10,false)*F10355)</f>
        <v>5000</v>
      </c>
      <c r="K10355" s="74">
        <f>VLOOKUP(E10355,DATABASE!C:Q,7,false)</f>
        <v>0</v>
      </c>
      <c r="L10355" s="74">
        <v>0.0</v>
      </c>
      <c r="M10355" s="74">
        <f t="shared" si="6"/>
        <v>0</v>
      </c>
      <c r="N10355" s="74">
        <f t="shared" si="3"/>
        <v>125000</v>
      </c>
      <c r="O10355" s="65" t="str">
        <f>VLOOKUP(E10355,DATABASE!C:Q,8,false)</f>
        <v>IBU</v>
      </c>
      <c r="P10355" s="65">
        <f>VLOOKUP(E10355,DATABASE!C:Q,9,False)</f>
        <v>0</v>
      </c>
      <c r="Q10355" s="93" t="str">
        <f>VLOOKUP(E10355,DATABASE!C:Q,4,false)</f>
        <v>SPOORING SS/CARRY LOS BAK</v>
      </c>
      <c r="R10355" s="93" t="str">
        <f>VLOOKUP(E10355,DATABASE!C:Q,11,false)</f>
        <v>SERVICE</v>
      </c>
    </row>
    <row r="10356" ht="22.5" customHeight="1">
      <c r="A10356" s="49"/>
      <c r="C10356" s="400">
        <v>46282.0</v>
      </c>
      <c r="D10356" s="524">
        <v>916.0</v>
      </c>
      <c r="E10356" s="544" t="s">
        <v>251</v>
      </c>
      <c r="F10356" s="387">
        <v>1.0</v>
      </c>
      <c r="G10356" s="140">
        <v>350000.0</v>
      </c>
      <c r="H10356" s="140">
        <v>230000.0</v>
      </c>
      <c r="I10356" s="74">
        <f t="shared" si="7"/>
        <v>120000</v>
      </c>
      <c r="J10356" s="74">
        <f>IF(E10356="SERVICE",I10356-(I10356*50%),Vlookup(E10356,DATABASE!C:Q,10,false)*F10356)</f>
        <v>60000</v>
      </c>
      <c r="K10356" s="74">
        <f>VLOOKUP(E10356,DATABASE!C:Q,7,false)</f>
        <v>0</v>
      </c>
      <c r="L10356" s="74">
        <v>0.0</v>
      </c>
      <c r="M10356" s="74">
        <f t="shared" si="6"/>
        <v>0</v>
      </c>
      <c r="N10356" s="74">
        <f t="shared" si="3"/>
        <v>60000</v>
      </c>
      <c r="O10356" s="65" t="str">
        <f>VLOOKUP(E10356,DATABASE!C:Q,8,false)</f>
        <v>IBU</v>
      </c>
      <c r="P10356" s="65">
        <f>VLOOKUP(E10356,DATABASE!C:Q,9,False)</f>
        <v>0</v>
      </c>
      <c r="Q10356" s="93" t="str">
        <f>VLOOKUP(E10356,DATABASE!C:Q,4,false)</f>
        <v>SERVICE</v>
      </c>
      <c r="R10356" s="93" t="str">
        <f>VLOOKUP(E10356,DATABASE!C:Q,11,false)</f>
        <v>SERVICE</v>
      </c>
    </row>
    <row r="10357" ht="22.5" customHeight="1">
      <c r="A10357" s="49"/>
      <c r="C10357" s="400">
        <v>46282.0</v>
      </c>
      <c r="D10357" s="524">
        <v>917.0</v>
      </c>
      <c r="E10357" s="544" t="s">
        <v>1704</v>
      </c>
      <c r="F10357" s="387">
        <v>1.0</v>
      </c>
      <c r="G10357" s="140">
        <v>890000.0</v>
      </c>
      <c r="H10357" s="74"/>
      <c r="I10357" s="74">
        <f t="shared" si="7"/>
        <v>890000</v>
      </c>
      <c r="J10357" s="74">
        <f>IF(E10357="SERVICE",I10357-(I10357*50%),Vlookup(E10357,DATABASE!C:Q,10,false)*F10357)</f>
        <v>0</v>
      </c>
      <c r="K10357" s="74">
        <f>VLOOKUP(E10357,DATABASE!C:Q,7,false)</f>
        <v>787500</v>
      </c>
      <c r="L10357" s="74">
        <v>787500.0</v>
      </c>
      <c r="M10357" s="74">
        <f t="shared" si="6"/>
        <v>790000</v>
      </c>
      <c r="N10357" s="74">
        <f t="shared" si="3"/>
        <v>100000</v>
      </c>
      <c r="O10357" s="65" t="str">
        <f>VLOOKUP(E10357,DATABASE!C:Q,8,false)</f>
        <v>BIAN</v>
      </c>
      <c r="P10357" s="65">
        <f>VLOOKUP(E10357,DATABASE!C:Q,9,False)</f>
        <v>1</v>
      </c>
      <c r="Q10357" s="93" t="str">
        <f>VLOOKUP(E10357,DATABASE!C:Q,4,false)</f>
        <v>GT</v>
      </c>
      <c r="R10357" s="93" t="str">
        <f>VLOOKUP(E10357,DATABASE!C:Q,11,false)</f>
        <v>Tire</v>
      </c>
    </row>
    <row r="10358" ht="22.5" customHeight="1">
      <c r="A10358" s="49"/>
      <c r="C10358" s="400">
        <v>46282.0</v>
      </c>
      <c r="D10358" s="524">
        <v>918.0</v>
      </c>
      <c r="E10358" s="544" t="s">
        <v>276</v>
      </c>
      <c r="F10358" s="387">
        <v>2.0</v>
      </c>
      <c r="G10358" s="140">
        <v>720000.0</v>
      </c>
      <c r="H10358" s="140">
        <v>10000.0</v>
      </c>
      <c r="I10358" s="74">
        <f t="shared" si="7"/>
        <v>1420000</v>
      </c>
      <c r="J10358" s="74">
        <f>IF(E10358="SERVICE",I10358-(I10358*50%),Vlookup(E10358,DATABASE!C:Q,10,false)*F10358)</f>
        <v>0</v>
      </c>
      <c r="K10358" s="74">
        <f>VLOOKUP(E10358,DATABASE!C:Q,7,false)</f>
        <v>620000</v>
      </c>
      <c r="L10358" s="74">
        <v>620000.0</v>
      </c>
      <c r="M10358" s="74">
        <f t="shared" si="6"/>
        <v>620000</v>
      </c>
      <c r="N10358" s="74">
        <f t="shared" si="3"/>
        <v>180000</v>
      </c>
      <c r="O10358" s="65" t="str">
        <f>VLOOKUP(E10358,DATABASE!C:Q,8,false)</f>
        <v>IBU</v>
      </c>
      <c r="P10358" s="65">
        <f>VLOOKUP(E10358,DATABASE!C:Q,9,False)</f>
        <v>1</v>
      </c>
      <c r="Q10358" s="93" t="str">
        <f>VLOOKUP(E10358,DATABASE!C:Q,4,false)</f>
        <v>Dunlop</v>
      </c>
      <c r="R10358" s="93" t="str">
        <f>VLOOKUP(E10358,DATABASE!C:Q,11,false)</f>
        <v>Tire</v>
      </c>
    </row>
    <row r="10359" ht="22.5" customHeight="1">
      <c r="A10359" s="49"/>
      <c r="C10359" s="400">
        <v>46282.0</v>
      </c>
      <c r="D10359" s="524">
        <v>919.0</v>
      </c>
      <c r="E10359" s="544" t="s">
        <v>604</v>
      </c>
      <c r="F10359" s="387">
        <v>1.0</v>
      </c>
      <c r="G10359" s="140">
        <v>170000.0</v>
      </c>
      <c r="H10359" s="140">
        <v>10000.0</v>
      </c>
      <c r="I10359" s="74">
        <f t="shared" si="7"/>
        <v>160000</v>
      </c>
      <c r="J10359" s="74">
        <f>IF(E10359="SERVICE",I10359-(I10359*50%),Vlookup(E10359,DATABASE!C:Q,10,false)*F10359)</f>
        <v>0</v>
      </c>
      <c r="K10359" s="74">
        <f>VLOOKUP(E10359,DATABASE!C:Q,7,false)</f>
        <v>124000</v>
      </c>
      <c r="L10359" s="74">
        <v>124000.0</v>
      </c>
      <c r="M10359" s="74">
        <f t="shared" si="6"/>
        <v>125000</v>
      </c>
      <c r="N10359" s="74">
        <f t="shared" si="3"/>
        <v>35000</v>
      </c>
      <c r="O10359" s="65" t="str">
        <f>VLOOKUP(E10359,DATABASE!C:Q,8,false)</f>
        <v>BIAN</v>
      </c>
      <c r="P10359" s="65">
        <f>VLOOKUP(E10359,DATABASE!C:Q,9,False)</f>
        <v>1</v>
      </c>
      <c r="Q10359" s="93" t="str">
        <f>VLOOKUP(E10359,DATABASE!C:Q,4,false)</f>
        <v>BD</v>
      </c>
      <c r="R10359" s="93" t="str">
        <f>VLOOKUP(E10359,DATABASE!C:Q,11,false)</f>
        <v>Tire</v>
      </c>
    </row>
    <row r="10360" ht="22.5" customHeight="1">
      <c r="A10360" s="49"/>
      <c r="C10360" s="400">
        <v>46282.0</v>
      </c>
      <c r="D10360" s="524">
        <v>920.0</v>
      </c>
      <c r="E10360" s="544" t="s">
        <v>554</v>
      </c>
      <c r="F10360" s="387">
        <v>1.0</v>
      </c>
      <c r="G10360" s="140">
        <v>800000.0</v>
      </c>
      <c r="H10360" s="74"/>
      <c r="I10360" s="74">
        <f t="shared" si="7"/>
        <v>800000</v>
      </c>
      <c r="J10360" s="74">
        <f>IF(E10360="SERVICE",I10360-(I10360*50%),Vlookup(E10360,DATABASE!C:Q,10,false)*F10360)</f>
        <v>0</v>
      </c>
      <c r="K10360" s="74">
        <f>VLOOKUP(E10360,DATABASE!C:Q,7,false)</f>
        <v>710000</v>
      </c>
      <c r="L10360" s="74">
        <v>710000.0</v>
      </c>
      <c r="M10360" s="74">
        <f t="shared" si="6"/>
        <v>710000</v>
      </c>
      <c r="N10360" s="74">
        <f t="shared" si="3"/>
        <v>90000</v>
      </c>
      <c r="O10360" s="65" t="str">
        <f>VLOOKUP(E10360,DATABASE!C:Q,8,false)</f>
        <v>IBU</v>
      </c>
      <c r="P10360" s="65">
        <f>VLOOKUP(E10360,DATABASE!C:Q,9,False)</f>
        <v>1</v>
      </c>
      <c r="Q10360" s="93" t="str">
        <f>VLOOKUP(E10360,DATABASE!C:Q,4,false)</f>
        <v>Bridgestone</v>
      </c>
      <c r="R10360" s="93" t="str">
        <f>VLOOKUP(E10360,DATABASE!C:Q,11,false)</f>
        <v>Tire</v>
      </c>
    </row>
    <row r="10361" ht="22.5" customHeight="1">
      <c r="A10361" s="49"/>
      <c r="C10361" s="400">
        <v>46282.0</v>
      </c>
      <c r="D10361" s="524">
        <v>921.0</v>
      </c>
      <c r="E10361" s="544" t="s">
        <v>282</v>
      </c>
      <c r="F10361" s="387">
        <v>1.0</v>
      </c>
      <c r="G10361" s="140">
        <v>880000.0</v>
      </c>
      <c r="H10361" s="74"/>
      <c r="I10361" s="74">
        <f t="shared" si="7"/>
        <v>880000</v>
      </c>
      <c r="J10361" s="74">
        <f>IF(E10361="SERVICE",I10361-(I10361*50%),Vlookup(E10361,DATABASE!C:Q,10,false)*F10361)</f>
        <v>0</v>
      </c>
      <c r="K10361" s="74">
        <f>VLOOKUP(E10361,DATABASE!C:Q,7,false)</f>
        <v>779500</v>
      </c>
      <c r="L10361" s="74">
        <v>779500.0</v>
      </c>
      <c r="M10361" s="74">
        <f t="shared" si="6"/>
        <v>780000</v>
      </c>
      <c r="N10361" s="74">
        <f t="shared" si="3"/>
        <v>100000</v>
      </c>
      <c r="O10361" s="65" t="str">
        <f>VLOOKUP(E10361,DATABASE!C:Q,8,false)</f>
        <v>IBU</v>
      </c>
      <c r="P10361" s="65">
        <f>VLOOKUP(E10361,DATABASE!C:Q,9,False)</f>
        <v>1</v>
      </c>
      <c r="Q10361" s="93" t="str">
        <f>VLOOKUP(E10361,DATABASE!C:Q,4,false)</f>
        <v>Dunlop</v>
      </c>
      <c r="R10361" s="93" t="str">
        <f>VLOOKUP(E10361,DATABASE!C:Q,11,false)</f>
        <v>Tire</v>
      </c>
    </row>
    <row r="10362" ht="22.5" customHeight="1">
      <c r="A10362" s="49"/>
      <c r="C10362" s="400">
        <v>46282.0</v>
      </c>
      <c r="D10362" s="524">
        <v>922.0</v>
      </c>
      <c r="E10362" s="544" t="s">
        <v>275</v>
      </c>
      <c r="F10362" s="387">
        <v>2.0</v>
      </c>
      <c r="G10362" s="140">
        <v>850000.0</v>
      </c>
      <c r="H10362" s="74"/>
      <c r="I10362" s="74">
        <f t="shared" si="7"/>
        <v>1700000</v>
      </c>
      <c r="J10362" s="74">
        <f>IF(E10362="SERVICE",I10362-(I10362*50%),Vlookup(E10362,DATABASE!C:Q,10,false)*F10362)</f>
        <v>0</v>
      </c>
      <c r="K10362" s="74">
        <f>VLOOKUP(E10362,DATABASE!C:Q,7,false)</f>
        <v>782000</v>
      </c>
      <c r="L10362" s="74">
        <v>759500.0</v>
      </c>
      <c r="M10362" s="74">
        <f t="shared" si="6"/>
        <v>760000</v>
      </c>
      <c r="N10362" s="74">
        <f t="shared" si="3"/>
        <v>180000</v>
      </c>
      <c r="O10362" s="65" t="str">
        <f>VLOOKUP(E10362,DATABASE!C:Q,8,false)</f>
        <v>IBU</v>
      </c>
      <c r="P10362" s="65">
        <f>VLOOKUP(E10362,DATABASE!C:Q,9,False)</f>
        <v>1</v>
      </c>
      <c r="Q10362" s="93" t="str">
        <f>VLOOKUP(E10362,DATABASE!C:Q,4,false)</f>
        <v>Dunlop</v>
      </c>
      <c r="R10362" s="93" t="str">
        <f>VLOOKUP(E10362,DATABASE!C:Q,11,false)</f>
        <v>Tire</v>
      </c>
    </row>
    <row r="10363" ht="22.5" customHeight="1">
      <c r="A10363" s="49"/>
      <c r="C10363" s="400">
        <v>46282.0</v>
      </c>
      <c r="D10363" s="69" t="s">
        <v>2939</v>
      </c>
      <c r="E10363" s="544" t="s">
        <v>263</v>
      </c>
      <c r="F10363" s="387">
        <v>1.0</v>
      </c>
      <c r="G10363" s="140">
        <v>385000.0</v>
      </c>
      <c r="H10363" s="74"/>
      <c r="I10363" s="74">
        <f t="shared" si="7"/>
        <v>385000</v>
      </c>
      <c r="J10363" s="74">
        <f>IF(E10363="SERVICE",I10363-(I10363*50%),Vlookup(E10363,DATABASE!C:Q,10,false)*F10363)</f>
        <v>0</v>
      </c>
      <c r="K10363" s="74">
        <f>VLOOKUP(E10363,DATABASE!C:Q,7,false)</f>
        <v>334916</v>
      </c>
      <c r="L10363" s="74">
        <v>334916.0</v>
      </c>
      <c r="M10363" s="74">
        <f t="shared" si="6"/>
        <v>335000</v>
      </c>
      <c r="N10363" s="74">
        <f t="shared" si="3"/>
        <v>50000</v>
      </c>
      <c r="O10363" s="65" t="str">
        <f>VLOOKUP(E10363,DATABASE!C:Q,8,false)</f>
        <v>NON</v>
      </c>
      <c r="P10363" s="65">
        <f>VLOOKUP(E10363,DATABASE!C:Q,9,False)</f>
        <v>0</v>
      </c>
      <c r="Q10363" s="93" t="str">
        <f>VLOOKUP(E10363,DATABASE!C:Q,4,false)</f>
        <v>Shell</v>
      </c>
      <c r="R10363" s="93" t="str">
        <f>VLOOKUP(E10363,DATABASE!C:Q,11,false)</f>
        <v>OIL</v>
      </c>
    </row>
    <row r="10364" ht="22.5" customHeight="1">
      <c r="A10364" s="49"/>
      <c r="C10364" s="400">
        <v>46283.0</v>
      </c>
      <c r="D10364" s="524">
        <v>923.0</v>
      </c>
      <c r="E10364" s="544" t="s">
        <v>554</v>
      </c>
      <c r="F10364" s="387">
        <v>4.0</v>
      </c>
      <c r="G10364" s="140">
        <v>800000.0</v>
      </c>
      <c r="H10364" s="74"/>
      <c r="I10364" s="74">
        <f t="shared" si="7"/>
        <v>3200000</v>
      </c>
      <c r="J10364" s="74">
        <f>IF(E10364="SERVICE",I10364-(I10364*50%),Vlookup(E10364,DATABASE!C:Q,10,false)*F10364)</f>
        <v>0</v>
      </c>
      <c r="K10364" s="74">
        <f>VLOOKUP(E10364,DATABASE!C:Q,7,false)</f>
        <v>710000</v>
      </c>
      <c r="L10364" s="74">
        <v>710000.0</v>
      </c>
      <c r="M10364" s="74">
        <f t="shared" si="6"/>
        <v>710000</v>
      </c>
      <c r="N10364" s="74">
        <f t="shared" si="3"/>
        <v>360000</v>
      </c>
      <c r="O10364" s="65" t="str">
        <f>VLOOKUP(E10364,DATABASE!C:Q,8,false)</f>
        <v>IBU</v>
      </c>
      <c r="P10364" s="65">
        <f>VLOOKUP(E10364,DATABASE!C:Q,9,False)</f>
        <v>1</v>
      </c>
      <c r="Q10364" s="93" t="str">
        <f>VLOOKUP(E10364,DATABASE!C:Q,4,false)</f>
        <v>Bridgestone</v>
      </c>
      <c r="R10364" s="93" t="str">
        <f>VLOOKUP(E10364,DATABASE!C:Q,11,false)</f>
        <v>Tire</v>
      </c>
    </row>
    <row r="10365" ht="22.5" customHeight="1">
      <c r="A10365" s="49"/>
      <c r="C10365" s="400">
        <v>46283.0</v>
      </c>
      <c r="D10365" s="524">
        <v>924.0</v>
      </c>
      <c r="E10365" s="544" t="s">
        <v>897</v>
      </c>
      <c r="F10365" s="387">
        <v>1.0</v>
      </c>
      <c r="G10365" s="140">
        <v>1660000.0</v>
      </c>
      <c r="H10365" s="74"/>
      <c r="I10365" s="74">
        <f t="shared" si="7"/>
        <v>1660000</v>
      </c>
      <c r="J10365" s="74">
        <f>IF(E10365="SERVICE",I10365-(I10365*50%),Vlookup(E10365,DATABASE!C:Q,10,false)*F10365)</f>
        <v>0</v>
      </c>
      <c r="K10365" s="74">
        <f>VLOOKUP(E10365,DATABASE!C:Q,7,false)</f>
        <v>1560000</v>
      </c>
      <c r="L10365" s="74">
        <v>1560000.0</v>
      </c>
      <c r="M10365" s="74">
        <f t="shared" si="6"/>
        <v>1560000</v>
      </c>
      <c r="N10365" s="74">
        <f t="shared" si="3"/>
        <v>100000</v>
      </c>
      <c r="O10365" s="65" t="str">
        <f>VLOOKUP(E10365,DATABASE!C:Q,8,false)</f>
        <v>BIAN</v>
      </c>
      <c r="P10365" s="65">
        <f>VLOOKUP(E10365,DATABASE!C:Q,9,False)</f>
        <v>1</v>
      </c>
      <c r="Q10365" s="93" t="str">
        <f>VLOOKUP(E10365,DATABASE!C:Q,4,false)</f>
        <v>GT</v>
      </c>
      <c r="R10365" s="93" t="str">
        <f>VLOOKUP(E10365,DATABASE!C:Q,11,false)</f>
        <v>Tire</v>
      </c>
    </row>
    <row r="10366" ht="22.5" customHeight="1">
      <c r="A10366" s="49"/>
      <c r="C10366" s="400">
        <v>46283.0</v>
      </c>
      <c r="D10366" s="524">
        <v>924.0</v>
      </c>
      <c r="E10366" s="544" t="s">
        <v>2621</v>
      </c>
      <c r="F10366" s="387">
        <v>1.0</v>
      </c>
      <c r="G10366" s="140">
        <v>185000.0</v>
      </c>
      <c r="H10366" s="74"/>
      <c r="I10366" s="74">
        <f t="shared" si="7"/>
        <v>185000</v>
      </c>
      <c r="J10366" s="74">
        <f>IF(E10366="SERVICE",I10366-(I10366*50%),Vlookup(E10366,DATABASE!C:Q,10,false)*F10366)</f>
        <v>0</v>
      </c>
      <c r="K10366" s="74">
        <f>VLOOKUP(E10366,DATABASE!C:Q,7,false)</f>
        <v>141160</v>
      </c>
      <c r="L10366" s="74">
        <v>141160.0</v>
      </c>
      <c r="M10366" s="74">
        <f t="shared" si="6"/>
        <v>145000</v>
      </c>
      <c r="N10366" s="74">
        <f t="shared" ref="N10366:N10369" si="8">if(R10366="SERVICE",I10366-(J10366+M10366),
   IF(R10366="COMPLEMENTARY",I10366-((M10366*F10367)+J10366),I10366-(M10366*F10367)))</f>
        <v>40000</v>
      </c>
      <c r="O10366" s="65" t="str">
        <f>VLOOKUP(E10366,DATABASE!C:Q,8,false)</f>
        <v>BIAN</v>
      </c>
      <c r="P10366" s="65">
        <f>VLOOKUP(E10366,DATABASE!C:Q,9,False)</f>
        <v>1</v>
      </c>
      <c r="Q10366" s="93" t="str">
        <f>VLOOKUP(E10366,DATABASE!C:Q,4,false)</f>
        <v>IBK light</v>
      </c>
      <c r="R10366" s="93" t="str">
        <f>VLOOKUP(E10366,DATABASE!C:Q,11,false)</f>
        <v>Tire</v>
      </c>
    </row>
    <row r="10367" ht="22.5" customHeight="1">
      <c r="A10367" s="49"/>
      <c r="C10367" s="400">
        <v>46283.0</v>
      </c>
      <c r="D10367" s="524">
        <v>924.0</v>
      </c>
      <c r="E10367" s="544" t="s">
        <v>821</v>
      </c>
      <c r="F10367" s="387">
        <v>1.0</v>
      </c>
      <c r="G10367" s="140">
        <v>90000.0</v>
      </c>
      <c r="H10367" s="74"/>
      <c r="I10367" s="74">
        <f t="shared" si="7"/>
        <v>90000</v>
      </c>
      <c r="J10367" s="74">
        <f>IF(E10367="SERVICE",I10367-(I10367*50%),Vlookup(E10367,DATABASE!C:Q,10,false)*F10367)</f>
        <v>0</v>
      </c>
      <c r="K10367" s="74">
        <f>VLOOKUP(E10367,DATABASE!C:Q,7,false)</f>
        <v>43500</v>
      </c>
      <c r="L10367" s="74">
        <v>43500.0</v>
      </c>
      <c r="M10367" s="74">
        <f t="shared" si="6"/>
        <v>45000</v>
      </c>
      <c r="N10367" s="74">
        <f t="shared" si="8"/>
        <v>45000</v>
      </c>
      <c r="O10367" s="65" t="str">
        <f>VLOOKUP(E10367,DATABASE!C:Q,8,false)</f>
        <v>BIAN</v>
      </c>
      <c r="P10367" s="65">
        <f>VLOOKUP(E10367,DATABASE!C:Q,9,False)</f>
        <v>1</v>
      </c>
      <c r="Q10367" s="93" t="str">
        <f>VLOOKUP(E10367,DATABASE!C:Q,4,false)</f>
        <v>Flap</v>
      </c>
      <c r="R10367" s="93" t="str">
        <f>VLOOKUP(E10367,DATABASE!C:Q,11,false)</f>
        <v>Tire</v>
      </c>
    </row>
    <row r="10368" ht="22.5" customHeight="1">
      <c r="A10368" s="49"/>
      <c r="C10368" s="400">
        <v>46283.0</v>
      </c>
      <c r="D10368" s="524">
        <v>925.0</v>
      </c>
      <c r="E10368" s="544" t="s">
        <v>256</v>
      </c>
      <c r="F10368" s="387">
        <v>1.0</v>
      </c>
      <c r="G10368" s="140">
        <v>175000.0</v>
      </c>
      <c r="H10368" s="140">
        <v>25000.0</v>
      </c>
      <c r="I10368" s="74">
        <f t="shared" si="7"/>
        <v>150000</v>
      </c>
      <c r="J10368" s="74">
        <f>IF(E10368="SERVICE",I10368-(I10368*50%),Vlookup(E10368,DATABASE!C:Q,10,false)*F10368)</f>
        <v>10000</v>
      </c>
      <c r="K10368" s="74">
        <f>VLOOKUP(E10368,DATABASE!C:Q,7,false)</f>
        <v>0</v>
      </c>
      <c r="L10368" s="74">
        <v>0.0</v>
      </c>
      <c r="M10368" s="74">
        <f t="shared" si="6"/>
        <v>0</v>
      </c>
      <c r="N10368" s="74">
        <f t="shared" si="8"/>
        <v>140000</v>
      </c>
      <c r="O10368" s="65" t="str">
        <f>VLOOKUP(E10368,DATABASE!C:Q,8,false)</f>
        <v>IBU</v>
      </c>
      <c r="P10368" s="65">
        <f>VLOOKUP(E10368,DATABASE!C:Q,9,False)</f>
        <v>0</v>
      </c>
      <c r="Q10368" s="93" t="str">
        <f>VLOOKUP(E10368,DATABASE!C:Q,4,false)</f>
        <v>SPOORING</v>
      </c>
      <c r="R10368" s="93" t="str">
        <f>VLOOKUP(E10368,DATABASE!C:Q,11,false)</f>
        <v>SERVICE</v>
      </c>
    </row>
    <row r="10369" ht="22.5" customHeight="1">
      <c r="A10369" s="49"/>
      <c r="C10369" s="400">
        <v>46283.0</v>
      </c>
      <c r="D10369" s="524">
        <v>925.0</v>
      </c>
      <c r="E10369" s="544" t="s">
        <v>301</v>
      </c>
      <c r="F10369" s="387">
        <v>1.0</v>
      </c>
      <c r="G10369" s="140">
        <v>250000.0</v>
      </c>
      <c r="H10369" s="74"/>
      <c r="I10369" s="74">
        <f t="shared" si="7"/>
        <v>250000</v>
      </c>
      <c r="J10369" s="74">
        <f>IF(E10369="SERVICE",I10369-(I10369*50%),Vlookup(E10369,DATABASE!C:Q,10,false)*F10369)</f>
        <v>75000</v>
      </c>
      <c r="K10369" s="74">
        <f>VLOOKUP(E10369,DATABASE!C:Q,7,false)</f>
        <v>75000</v>
      </c>
      <c r="L10369" s="74">
        <v>75000.0</v>
      </c>
      <c r="M10369" s="74">
        <f t="shared" si="6"/>
        <v>75000</v>
      </c>
      <c r="N10369" s="74">
        <f t="shared" si="8"/>
        <v>25000</v>
      </c>
      <c r="O10369" s="65" t="str">
        <f>VLOOKUP(E10369,DATABASE!C:Q,8,false)</f>
        <v>BIAN</v>
      </c>
      <c r="P10369" s="65">
        <f>VLOOKUP(E10369,DATABASE!C:Q,9,False)</f>
        <v>0</v>
      </c>
      <c r="Q10369" s="93" t="str">
        <f>VLOOKUP(E10369,DATABASE!C:Q,4,false)</f>
        <v>Baut Camber</v>
      </c>
      <c r="R10369" s="93" t="str">
        <f>VLOOKUP(E10369,DATABASE!C:Q,11,false)</f>
        <v>COMPLEMENTARY</v>
      </c>
    </row>
    <row r="10370" ht="22.5" customHeight="1">
      <c r="A10370" s="49"/>
      <c r="C10370" s="400">
        <v>46283.0</v>
      </c>
      <c r="D10370" s="524">
        <v>926.0</v>
      </c>
      <c r="E10370" s="544" t="s">
        <v>897</v>
      </c>
      <c r="F10370" s="387">
        <v>2.0</v>
      </c>
      <c r="G10370" s="140">
        <v>1660000.0</v>
      </c>
      <c r="H10370" s="74"/>
      <c r="I10370" s="74">
        <f t="shared" si="7"/>
        <v>3320000</v>
      </c>
      <c r="J10370" s="74">
        <f>IF(E10370="SERVICE",I10370-(I10370*50%),Vlookup(E10370,DATABASE!C:Q,10,false)*F10370)</f>
        <v>0</v>
      </c>
      <c r="K10370" s="74">
        <f>VLOOKUP(E10370,DATABASE!C:Q,7,false)</f>
        <v>1560000</v>
      </c>
      <c r="L10370" s="74">
        <v>1560000.0</v>
      </c>
      <c r="M10370" s="74">
        <f t="shared" si="6"/>
        <v>1560000</v>
      </c>
      <c r="N10370" s="74">
        <f t="shared" ref="N10370:N11236" si="9">if(R10370="SERVICE",I10370-(J10370+M10370),
   IF(R10370="COMPLEMENTARY",I10370-((M10370*F10370)+J10370),I10370-(M10370*F10370)))</f>
        <v>200000</v>
      </c>
      <c r="O10370" s="65" t="str">
        <f>VLOOKUP(E10370,DATABASE!C:Q,8,false)</f>
        <v>BIAN</v>
      </c>
      <c r="P10370" s="65">
        <f>VLOOKUP(E10370,DATABASE!C:Q,9,False)</f>
        <v>1</v>
      </c>
      <c r="Q10370" s="93" t="str">
        <f>VLOOKUP(E10370,DATABASE!C:Q,4,false)</f>
        <v>GT</v>
      </c>
      <c r="R10370" s="93" t="str">
        <f>VLOOKUP(E10370,DATABASE!C:Q,11,false)</f>
        <v>Tire</v>
      </c>
    </row>
    <row r="10371" ht="22.5" customHeight="1">
      <c r="A10371" s="49"/>
      <c r="C10371" s="400">
        <v>46283.0</v>
      </c>
      <c r="D10371" s="524">
        <v>927.0</v>
      </c>
      <c r="E10371" s="544" t="s">
        <v>246</v>
      </c>
      <c r="F10371" s="387">
        <v>4.0</v>
      </c>
      <c r="G10371" s="140">
        <v>35000.0</v>
      </c>
      <c r="H10371" s="140">
        <v>30000.0</v>
      </c>
      <c r="I10371" s="74">
        <f t="shared" si="7"/>
        <v>20000</v>
      </c>
      <c r="J10371" s="74">
        <f>IF(E10371="SERVICE",I10371-(I10371*50%),Vlookup(E10371,DATABASE!C:Q,10,false)*F10371)</f>
        <v>0</v>
      </c>
      <c r="K10371" s="74">
        <f>VLOOKUP(E10371,DATABASE!C:Q,7,false)</f>
        <v>0</v>
      </c>
      <c r="L10371" s="74">
        <v>0.0</v>
      </c>
      <c r="M10371" s="74">
        <f t="shared" si="6"/>
        <v>0</v>
      </c>
      <c r="N10371" s="74">
        <f t="shared" si="9"/>
        <v>20000</v>
      </c>
      <c r="O10371" s="65" t="str">
        <f>VLOOKUP(E10371,DATABASE!C:Q,8,false)</f>
        <v>IBU</v>
      </c>
      <c r="P10371" s="65">
        <f>VLOOKUP(E10371,DATABASE!C:Q,9,False)</f>
        <v>0</v>
      </c>
      <c r="Q10371" s="93" t="str">
        <f>VLOOKUP(E10371,DATABASE!C:Q,4,false)</f>
        <v>Bongkar Pasang</v>
      </c>
      <c r="R10371" s="93" t="str">
        <f>VLOOKUP(E10371,DATABASE!C:Q,11,false)</f>
        <v>SERVICE</v>
      </c>
    </row>
    <row r="10372" ht="22.5" customHeight="1">
      <c r="A10372" s="49"/>
      <c r="C10372" s="400">
        <v>46283.0</v>
      </c>
      <c r="D10372" s="524">
        <v>928.0</v>
      </c>
      <c r="E10372" s="544" t="s">
        <v>286</v>
      </c>
      <c r="F10372" s="387">
        <v>1.0</v>
      </c>
      <c r="G10372" s="140">
        <v>580000.0</v>
      </c>
      <c r="H10372" s="74"/>
      <c r="I10372" s="74">
        <f t="shared" si="7"/>
        <v>580000</v>
      </c>
      <c r="J10372" s="74">
        <f>IF(E10372="SERVICE",I10372-(I10372*50%),Vlookup(E10372,DATABASE!C:Q,10,false)*F10372)</f>
        <v>0</v>
      </c>
      <c r="K10372" s="74">
        <f>VLOOKUP(E10372,DATABASE!C:Q,7,false)</f>
        <v>488320</v>
      </c>
      <c r="L10372" s="74">
        <v>488320.0</v>
      </c>
      <c r="M10372" s="74">
        <f t="shared" si="6"/>
        <v>490000</v>
      </c>
      <c r="N10372" s="74">
        <f t="shared" si="9"/>
        <v>90000</v>
      </c>
      <c r="O10372" s="65" t="str">
        <f>VLOOKUP(E10372,DATABASE!C:Q,8,false)</f>
        <v>BIAN</v>
      </c>
      <c r="P10372" s="65">
        <f>VLOOKUP(E10372,DATABASE!C:Q,9,False)</f>
        <v>1</v>
      </c>
      <c r="Q10372" s="93" t="str">
        <f>VLOOKUP(E10372,DATABASE!C:Q,4,false)</f>
        <v>GT</v>
      </c>
      <c r="R10372" s="93" t="str">
        <f>VLOOKUP(E10372,DATABASE!C:Q,11,false)</f>
        <v>Tire</v>
      </c>
    </row>
    <row r="10373" ht="22.5" customHeight="1">
      <c r="A10373" s="49"/>
      <c r="C10373" s="400">
        <v>46283.0</v>
      </c>
      <c r="D10373" s="524">
        <v>929.0</v>
      </c>
      <c r="E10373" s="544" t="s">
        <v>1192</v>
      </c>
      <c r="F10373" s="387">
        <v>1.0</v>
      </c>
      <c r="G10373" s="140">
        <v>1120000.0</v>
      </c>
      <c r="H10373" s="74"/>
      <c r="I10373" s="74">
        <f t="shared" si="7"/>
        <v>1120000</v>
      </c>
      <c r="J10373" s="74">
        <f>IF(E10373="SERVICE",I10373-(I10373*50%),Vlookup(E10373,DATABASE!C:Q,10,false)*F10373)</f>
        <v>0</v>
      </c>
      <c r="K10373" s="74">
        <f>VLOOKUP(E10373,DATABASE!C:Q,7,false)</f>
        <v>1027000</v>
      </c>
      <c r="L10373" s="74">
        <v>1027000.0</v>
      </c>
      <c r="M10373" s="74">
        <f t="shared" si="6"/>
        <v>1030000</v>
      </c>
      <c r="N10373" s="74">
        <f t="shared" si="9"/>
        <v>90000</v>
      </c>
      <c r="O10373" s="65" t="str">
        <f>VLOOKUP(E10373,DATABASE!C:Q,8,false)</f>
        <v>IBU</v>
      </c>
      <c r="P10373" s="65">
        <f>VLOOKUP(E10373,DATABASE!C:Q,9,False)</f>
        <v>1</v>
      </c>
      <c r="Q10373" s="93" t="str">
        <f>VLOOKUP(E10373,DATABASE!C:Q,4,false)</f>
        <v>Bridgestone</v>
      </c>
      <c r="R10373" s="93" t="str">
        <f>VLOOKUP(E10373,DATABASE!C:Q,11,false)</f>
        <v>Tire</v>
      </c>
    </row>
    <row r="10374" ht="22.5" customHeight="1">
      <c r="A10374" s="49"/>
      <c r="C10374" s="400">
        <v>46283.0</v>
      </c>
      <c r="D10374" s="524">
        <v>929.0</v>
      </c>
      <c r="E10374" s="544" t="s">
        <v>282</v>
      </c>
      <c r="F10374" s="387">
        <v>1.0</v>
      </c>
      <c r="G10374" s="140">
        <v>880000.0</v>
      </c>
      <c r="H10374" s="74"/>
      <c r="I10374" s="74">
        <f t="shared" si="7"/>
        <v>880000</v>
      </c>
      <c r="J10374" s="74">
        <f>IF(E10374="SERVICE",I10374-(I10374*50%),Vlookup(E10374,DATABASE!C:Q,10,false)*F10374)</f>
        <v>0</v>
      </c>
      <c r="K10374" s="74">
        <f>VLOOKUP(E10374,DATABASE!C:Q,7,false)</f>
        <v>779500</v>
      </c>
      <c r="L10374" s="74">
        <v>779500.0</v>
      </c>
      <c r="M10374" s="74">
        <f t="shared" si="6"/>
        <v>780000</v>
      </c>
      <c r="N10374" s="74">
        <f t="shared" si="9"/>
        <v>100000</v>
      </c>
      <c r="O10374" s="65" t="str">
        <f>VLOOKUP(E10374,DATABASE!C:Q,8,false)</f>
        <v>IBU</v>
      </c>
      <c r="P10374" s="65">
        <f>VLOOKUP(E10374,DATABASE!C:Q,9,False)</f>
        <v>1</v>
      </c>
      <c r="Q10374" s="93" t="str">
        <f>VLOOKUP(E10374,DATABASE!C:Q,4,false)</f>
        <v>Dunlop</v>
      </c>
      <c r="R10374" s="93" t="str">
        <f>VLOOKUP(E10374,DATABASE!C:Q,11,false)</f>
        <v>Tire</v>
      </c>
    </row>
    <row r="10375" ht="22.5" customHeight="1">
      <c r="A10375" s="49"/>
      <c r="C10375" s="400">
        <v>46283.0</v>
      </c>
      <c r="D10375" s="524">
        <v>930.0</v>
      </c>
      <c r="E10375" s="544" t="s">
        <v>256</v>
      </c>
      <c r="F10375" s="387">
        <v>1.0</v>
      </c>
      <c r="G10375" s="140">
        <v>175000.0</v>
      </c>
      <c r="H10375" s="140">
        <v>25000.0</v>
      </c>
      <c r="I10375" s="74">
        <f t="shared" si="7"/>
        <v>150000</v>
      </c>
      <c r="J10375" s="74">
        <f>IF(E10375="SERVICE",I10375-(I10375*50%),Vlookup(E10375,DATABASE!C:Q,10,false)*F10375)</f>
        <v>10000</v>
      </c>
      <c r="K10375" s="74">
        <f>VLOOKUP(E10375,DATABASE!C:Q,7,false)</f>
        <v>0</v>
      </c>
      <c r="L10375" s="74">
        <v>0.0</v>
      </c>
      <c r="M10375" s="74">
        <f t="shared" si="6"/>
        <v>0</v>
      </c>
      <c r="N10375" s="74">
        <f t="shared" si="9"/>
        <v>140000</v>
      </c>
      <c r="O10375" s="65" t="str">
        <f>VLOOKUP(E10375,DATABASE!C:Q,8,false)</f>
        <v>IBU</v>
      </c>
      <c r="P10375" s="65">
        <f>VLOOKUP(E10375,DATABASE!C:Q,9,False)</f>
        <v>0</v>
      </c>
      <c r="Q10375" s="93" t="str">
        <f>VLOOKUP(E10375,DATABASE!C:Q,4,false)</f>
        <v>SPOORING</v>
      </c>
      <c r="R10375" s="93" t="str">
        <f>VLOOKUP(E10375,DATABASE!C:Q,11,false)</f>
        <v>SERVICE</v>
      </c>
    </row>
    <row r="10376" ht="22.5" customHeight="1">
      <c r="A10376" s="49"/>
      <c r="C10376" s="400">
        <v>46283.0</v>
      </c>
      <c r="D10376" s="524">
        <v>930.0</v>
      </c>
      <c r="E10376" s="544" t="s">
        <v>301</v>
      </c>
      <c r="F10376" s="387">
        <v>1.0</v>
      </c>
      <c r="G10376" s="140">
        <v>250000.0</v>
      </c>
      <c r="H10376" s="74"/>
      <c r="I10376" s="74">
        <f t="shared" si="7"/>
        <v>250000</v>
      </c>
      <c r="J10376" s="74">
        <f>IF(E10376="SERVICE",I10376-(I10376*50%),Vlookup(E10376,DATABASE!C:Q,10,false)*F10376)</f>
        <v>75000</v>
      </c>
      <c r="K10376" s="74">
        <f>VLOOKUP(E10376,DATABASE!C:Q,7,false)</f>
        <v>75000</v>
      </c>
      <c r="L10376" s="74">
        <v>75000.0</v>
      </c>
      <c r="M10376" s="74">
        <f t="shared" si="6"/>
        <v>75000</v>
      </c>
      <c r="N10376" s="74">
        <f t="shared" si="9"/>
        <v>100000</v>
      </c>
      <c r="O10376" s="65" t="str">
        <f>VLOOKUP(E10376,DATABASE!C:Q,8,false)</f>
        <v>BIAN</v>
      </c>
      <c r="P10376" s="65">
        <f>VLOOKUP(E10376,DATABASE!C:Q,9,False)</f>
        <v>0</v>
      </c>
      <c r="Q10376" s="93" t="str">
        <f>VLOOKUP(E10376,DATABASE!C:Q,4,false)</f>
        <v>Baut Camber</v>
      </c>
      <c r="R10376" s="93" t="str">
        <f>VLOOKUP(E10376,DATABASE!C:Q,11,false)</f>
        <v>COMPLEMENTARY</v>
      </c>
    </row>
    <row r="10377" ht="22.5" customHeight="1">
      <c r="A10377" s="49"/>
      <c r="C10377" s="400">
        <v>46283.0</v>
      </c>
      <c r="D10377" s="69">
        <v>931.0</v>
      </c>
      <c r="E10377" s="544" t="s">
        <v>256</v>
      </c>
      <c r="F10377" s="387">
        <v>1.0</v>
      </c>
      <c r="G10377" s="140">
        <v>175000.0</v>
      </c>
      <c r="H10377" s="140">
        <v>25000.0</v>
      </c>
      <c r="I10377" s="74">
        <f t="shared" si="7"/>
        <v>150000</v>
      </c>
      <c r="J10377" s="74">
        <f>IF(E10377="SERVICE",I10377-(I10377*50%),Vlookup(E10377,DATABASE!C:Q,10,false)*F10377)</f>
        <v>10000</v>
      </c>
      <c r="K10377" s="74">
        <f>VLOOKUP(E10377,DATABASE!C:Q,7,false)</f>
        <v>0</v>
      </c>
      <c r="L10377" s="74">
        <v>0.0</v>
      </c>
      <c r="M10377" s="74">
        <f t="shared" si="6"/>
        <v>0</v>
      </c>
      <c r="N10377" s="74">
        <f t="shared" si="9"/>
        <v>140000</v>
      </c>
      <c r="O10377" s="65" t="str">
        <f>VLOOKUP(E10377,DATABASE!C:Q,8,false)</f>
        <v>IBU</v>
      </c>
      <c r="P10377" s="65">
        <f>VLOOKUP(E10377,DATABASE!C:Q,9,False)</f>
        <v>0</v>
      </c>
      <c r="Q10377" s="93" t="str">
        <f>VLOOKUP(E10377,DATABASE!C:Q,4,false)</f>
        <v>SPOORING</v>
      </c>
      <c r="R10377" s="93" t="str">
        <f>VLOOKUP(E10377,DATABASE!C:Q,11,false)</f>
        <v>SERVICE</v>
      </c>
    </row>
    <row r="10378" ht="22.5" customHeight="1">
      <c r="A10378" s="49"/>
      <c r="C10378" s="400">
        <v>46283.0</v>
      </c>
      <c r="D10378" s="69">
        <v>931.0</v>
      </c>
      <c r="E10378" s="544" t="s">
        <v>301</v>
      </c>
      <c r="F10378" s="387">
        <v>1.0</v>
      </c>
      <c r="G10378" s="140">
        <v>250000.0</v>
      </c>
      <c r="H10378" s="74"/>
      <c r="I10378" s="74">
        <f t="shared" si="7"/>
        <v>250000</v>
      </c>
      <c r="J10378" s="74">
        <f>IF(E10378="SERVICE",I10378-(I10378*50%),Vlookup(E10378,DATABASE!C:Q,10,false)*F10378)</f>
        <v>75000</v>
      </c>
      <c r="K10378" s="74">
        <f>VLOOKUP(E10378,DATABASE!C:Q,7,false)</f>
        <v>75000</v>
      </c>
      <c r="L10378" s="74">
        <v>75000.0</v>
      </c>
      <c r="M10378" s="74">
        <f t="shared" si="6"/>
        <v>75000</v>
      </c>
      <c r="N10378" s="74">
        <f t="shared" si="9"/>
        <v>100000</v>
      </c>
      <c r="O10378" s="65" t="str">
        <f>VLOOKUP(E10378,DATABASE!C:Q,8,false)</f>
        <v>BIAN</v>
      </c>
      <c r="P10378" s="65">
        <f>VLOOKUP(E10378,DATABASE!C:Q,9,False)</f>
        <v>0</v>
      </c>
      <c r="Q10378" s="93" t="str">
        <f>VLOOKUP(E10378,DATABASE!C:Q,4,false)</f>
        <v>Baut Camber</v>
      </c>
      <c r="R10378" s="93" t="str">
        <f>VLOOKUP(E10378,DATABASE!C:Q,11,false)</f>
        <v>COMPLEMENTARY</v>
      </c>
    </row>
    <row r="10379" ht="22.5" customHeight="1">
      <c r="A10379" s="49"/>
      <c r="C10379" s="400">
        <v>46284.0</v>
      </c>
      <c r="D10379" s="524">
        <v>932.0</v>
      </c>
      <c r="E10379" s="544" t="s">
        <v>856</v>
      </c>
      <c r="F10379" s="387">
        <v>1.0</v>
      </c>
      <c r="G10379" s="140">
        <v>700000.0</v>
      </c>
      <c r="H10379" s="74"/>
      <c r="I10379" s="74">
        <f t="shared" si="7"/>
        <v>700000</v>
      </c>
      <c r="J10379" s="74">
        <f>IF(E10379="SERVICE",I10379-(I10379*50%),Vlookup(E10379,DATABASE!C:Q,10,false)*F10379)</f>
        <v>0</v>
      </c>
      <c r="K10379" s="74">
        <f>VLOOKUP(E10379,DATABASE!C:Q,7,false)</f>
        <v>615300</v>
      </c>
      <c r="L10379" s="74">
        <v>615300.0</v>
      </c>
      <c r="M10379" s="74">
        <f t="shared" si="6"/>
        <v>620000</v>
      </c>
      <c r="N10379" s="74">
        <f t="shared" si="9"/>
        <v>80000</v>
      </c>
      <c r="O10379" s="65" t="str">
        <f>VLOOKUP(E10379,DATABASE!C:Q,8,false)</f>
        <v>BIAN</v>
      </c>
      <c r="P10379" s="65">
        <f>VLOOKUP(E10379,DATABASE!C:Q,9,False)</f>
        <v>1</v>
      </c>
      <c r="Q10379" s="93" t="str">
        <f>VLOOKUP(E10379,DATABASE!C:Q,4,false)</f>
        <v>GT</v>
      </c>
      <c r="R10379" s="93" t="str">
        <f>VLOOKUP(E10379,DATABASE!C:Q,11,false)</f>
        <v>Tire</v>
      </c>
    </row>
    <row r="10380" ht="22.5" customHeight="1">
      <c r="A10380" s="49"/>
      <c r="C10380" s="400">
        <v>46284.0</v>
      </c>
      <c r="D10380" s="524">
        <v>933.0</v>
      </c>
      <c r="E10380" s="544" t="s">
        <v>268</v>
      </c>
      <c r="F10380" s="387">
        <v>2.0</v>
      </c>
      <c r="G10380" s="140">
        <v>740000.0</v>
      </c>
      <c r="H10380" s="74"/>
      <c r="I10380" s="74">
        <f t="shared" si="7"/>
        <v>1480000</v>
      </c>
      <c r="J10380" s="74">
        <f>IF(E10380="SERVICE",I10380-(I10380*50%),Vlookup(E10380,DATABASE!C:Q,10,false)*F10380)</f>
        <v>0</v>
      </c>
      <c r="K10380" s="74">
        <f>VLOOKUP(E10380,DATABASE!C:Q,7,false)</f>
        <v>653000</v>
      </c>
      <c r="L10380" s="74">
        <v>653000.0</v>
      </c>
      <c r="M10380" s="74">
        <f t="shared" si="6"/>
        <v>655000</v>
      </c>
      <c r="N10380" s="74">
        <f t="shared" si="9"/>
        <v>170000</v>
      </c>
      <c r="O10380" s="65" t="str">
        <f>VLOOKUP(E10380,DATABASE!C:Q,8,false)</f>
        <v>IBU</v>
      </c>
      <c r="P10380" s="65">
        <f>VLOOKUP(E10380,DATABASE!C:Q,9,False)</f>
        <v>1</v>
      </c>
      <c r="Q10380" s="93" t="str">
        <f>VLOOKUP(E10380,DATABASE!C:Q,4,false)</f>
        <v>Dunlop</v>
      </c>
      <c r="R10380" s="93" t="str">
        <f>VLOOKUP(E10380,DATABASE!C:Q,11,false)</f>
        <v>Tire</v>
      </c>
    </row>
    <row r="10381" ht="22.5" customHeight="1">
      <c r="A10381" s="49"/>
      <c r="C10381" s="400">
        <v>46284.0</v>
      </c>
      <c r="D10381" s="524">
        <v>934.0</v>
      </c>
      <c r="E10381" s="544" t="s">
        <v>279</v>
      </c>
      <c r="F10381" s="387">
        <v>1.0</v>
      </c>
      <c r="G10381" s="140">
        <v>715000.0</v>
      </c>
      <c r="H10381" s="74"/>
      <c r="I10381" s="74">
        <f t="shared" si="7"/>
        <v>715000</v>
      </c>
      <c r="J10381" s="74">
        <f>IF(E10381="SERVICE",I10381-(I10381*50%),Vlookup(E10381,DATABASE!C:Q,10,false)*F10381)</f>
        <v>0</v>
      </c>
      <c r="K10381" s="74">
        <f>VLOOKUP(E10381,DATABASE!C:Q,7,false)</f>
        <v>623000</v>
      </c>
      <c r="L10381" s="74">
        <v>623000.0</v>
      </c>
      <c r="M10381" s="74">
        <f t="shared" si="6"/>
        <v>625000</v>
      </c>
      <c r="N10381" s="74">
        <f t="shared" si="9"/>
        <v>90000</v>
      </c>
      <c r="O10381" s="65" t="str">
        <f>VLOOKUP(E10381,DATABASE!C:Q,8,false)</f>
        <v>IBU</v>
      </c>
      <c r="P10381" s="65">
        <f>VLOOKUP(E10381,DATABASE!C:Q,9,False)</f>
        <v>1</v>
      </c>
      <c r="Q10381" s="93" t="str">
        <f>VLOOKUP(E10381,DATABASE!C:Q,4,false)</f>
        <v>Dunlop</v>
      </c>
      <c r="R10381" s="93" t="str">
        <f>VLOOKUP(E10381,DATABASE!C:Q,11,false)</f>
        <v>Tire</v>
      </c>
    </row>
    <row r="10382" ht="22.5" customHeight="1">
      <c r="A10382" s="49"/>
      <c r="C10382" s="400">
        <v>46284.0</v>
      </c>
      <c r="D10382" s="524">
        <v>935.0</v>
      </c>
      <c r="E10382" s="544" t="s">
        <v>2199</v>
      </c>
      <c r="F10382" s="387">
        <v>1.0</v>
      </c>
      <c r="G10382" s="140">
        <v>20000.0</v>
      </c>
      <c r="H10382" s="74"/>
      <c r="I10382" s="74">
        <f t="shared" si="7"/>
        <v>20000</v>
      </c>
      <c r="J10382" s="74">
        <f>IF(E10382="SERVICE",I10382-(I10382*50%),Vlookup(E10382,DATABASE!C:Q,10,false)*F10382)</f>
        <v>0</v>
      </c>
      <c r="K10382" s="74">
        <f>VLOOKUP(E10382,DATABASE!C:Q,7,false)</f>
        <v>5000</v>
      </c>
      <c r="L10382" s="74">
        <v>5000.0</v>
      </c>
      <c r="M10382" s="74">
        <f t="shared" si="6"/>
        <v>5000</v>
      </c>
      <c r="N10382" s="74">
        <f t="shared" si="9"/>
        <v>15000</v>
      </c>
      <c r="O10382" s="65" t="str">
        <f>VLOOKUP(E10382,DATABASE!C:Q,8,false)</f>
        <v>BIAN</v>
      </c>
      <c r="P10382" s="65">
        <f>VLOOKUP(E10382,DATABASE!C:Q,9,False)</f>
        <v>0</v>
      </c>
      <c r="Q10382" s="93" t="str">
        <f>VLOOKUP(E10382,DATABASE!C:Q,4,false)</f>
        <v>TAMBAL TUBLES</v>
      </c>
      <c r="R10382" s="93" t="str">
        <f>VLOOKUP(E10382,DATABASE!C:Q,11,false)</f>
        <v>COMPLEMENTARY</v>
      </c>
    </row>
    <row r="10383" ht="22.5" customHeight="1">
      <c r="A10383" s="49"/>
      <c r="C10383" s="400">
        <v>46284.0</v>
      </c>
      <c r="D10383" s="524">
        <v>936.0</v>
      </c>
      <c r="E10383" s="544" t="s">
        <v>279</v>
      </c>
      <c r="F10383" s="387">
        <v>1.0</v>
      </c>
      <c r="G10383" s="140">
        <v>715000.0</v>
      </c>
      <c r="H10383" s="74"/>
      <c r="I10383" s="74">
        <f t="shared" si="7"/>
        <v>715000</v>
      </c>
      <c r="J10383" s="74">
        <f>IF(E10383="SERVICE",I10383-(I10383*50%),Vlookup(E10383,DATABASE!C:Q,10,false)*F10383)</f>
        <v>0</v>
      </c>
      <c r="K10383" s="74">
        <f>VLOOKUP(E10383,DATABASE!C:Q,7,false)</f>
        <v>623000</v>
      </c>
      <c r="L10383" s="74">
        <v>623000.0</v>
      </c>
      <c r="M10383" s="74">
        <f t="shared" si="6"/>
        <v>625000</v>
      </c>
      <c r="N10383" s="74">
        <f t="shared" si="9"/>
        <v>90000</v>
      </c>
      <c r="O10383" s="65" t="str">
        <f>VLOOKUP(E10383,DATABASE!C:Q,8,false)</f>
        <v>IBU</v>
      </c>
      <c r="P10383" s="65">
        <f>VLOOKUP(E10383,DATABASE!C:Q,9,False)</f>
        <v>1</v>
      </c>
      <c r="Q10383" s="93" t="str">
        <f>VLOOKUP(E10383,DATABASE!C:Q,4,false)</f>
        <v>Dunlop</v>
      </c>
      <c r="R10383" s="93" t="str">
        <f>VLOOKUP(E10383,DATABASE!C:Q,11,false)</f>
        <v>Tire</v>
      </c>
    </row>
    <row r="10384" ht="22.5" customHeight="1">
      <c r="A10384" s="49"/>
      <c r="C10384" s="400">
        <v>46284.0</v>
      </c>
      <c r="D10384" s="524">
        <v>937.0</v>
      </c>
      <c r="E10384" s="544" t="s">
        <v>256</v>
      </c>
      <c r="F10384" s="387">
        <v>1.0</v>
      </c>
      <c r="G10384" s="140">
        <v>175000.0</v>
      </c>
      <c r="H10384" s="140">
        <v>25000.0</v>
      </c>
      <c r="I10384" s="74">
        <f t="shared" si="7"/>
        <v>150000</v>
      </c>
      <c r="J10384" s="74">
        <f>IF(E10384="SERVICE",I10384-(I10384*50%),Vlookup(E10384,DATABASE!C:Q,10,false)*F10384)</f>
        <v>10000</v>
      </c>
      <c r="K10384" s="74">
        <f>VLOOKUP(E10384,DATABASE!C:Q,7,false)</f>
        <v>0</v>
      </c>
      <c r="L10384" s="74">
        <v>0.0</v>
      </c>
      <c r="M10384" s="74">
        <f t="shared" si="6"/>
        <v>0</v>
      </c>
      <c r="N10384" s="74">
        <f t="shared" si="9"/>
        <v>140000</v>
      </c>
      <c r="O10384" s="65" t="str">
        <f>VLOOKUP(E10384,DATABASE!C:Q,8,false)</f>
        <v>IBU</v>
      </c>
      <c r="P10384" s="65">
        <f>VLOOKUP(E10384,DATABASE!C:Q,9,False)</f>
        <v>0</v>
      </c>
      <c r="Q10384" s="93" t="str">
        <f>VLOOKUP(E10384,DATABASE!C:Q,4,false)</f>
        <v>SPOORING</v>
      </c>
      <c r="R10384" s="93" t="str">
        <f>VLOOKUP(E10384,DATABASE!C:Q,11,false)</f>
        <v>SERVICE</v>
      </c>
    </row>
    <row r="10385" ht="22.5" customHeight="1">
      <c r="A10385" s="49"/>
      <c r="C10385" s="400">
        <v>46284.0</v>
      </c>
      <c r="D10385" s="524">
        <v>937.0</v>
      </c>
      <c r="E10385" s="544" t="s">
        <v>299</v>
      </c>
      <c r="F10385" s="387">
        <v>2.0</v>
      </c>
      <c r="G10385" s="140">
        <v>30000.0</v>
      </c>
      <c r="H10385" s="74"/>
      <c r="I10385" s="74">
        <f t="shared" si="7"/>
        <v>60000</v>
      </c>
      <c r="J10385" s="74">
        <f>IF(E10385="SERVICE",I10385-(I10385*50%),Vlookup(E10385,DATABASE!C:Q,10,false)*F10385)</f>
        <v>0</v>
      </c>
      <c r="K10385" s="74">
        <f>VLOOKUP(E10385,DATABASE!C:Q,7,false)</f>
        <v>10000</v>
      </c>
      <c r="L10385" s="74">
        <v>10000.0</v>
      </c>
      <c r="M10385" s="74">
        <f t="shared" si="6"/>
        <v>10000</v>
      </c>
      <c r="N10385" s="74">
        <f t="shared" si="9"/>
        <v>40000</v>
      </c>
      <c r="O10385" s="65" t="str">
        <f>VLOOKUP(E10385,DATABASE!C:Q,8,false)</f>
        <v>BIAN</v>
      </c>
      <c r="P10385" s="65">
        <f>VLOOKUP(E10385,DATABASE!C:Q,9,False)</f>
        <v>0</v>
      </c>
      <c r="Q10385" s="93" t="str">
        <f>VLOOKUP(E10385,DATABASE!C:Q,4,false)</f>
        <v>Balancing</v>
      </c>
      <c r="R10385" s="93" t="str">
        <f>VLOOKUP(E10385,DATABASE!C:Q,11,false)</f>
        <v>COMPLEMENTARY</v>
      </c>
    </row>
    <row r="10386" ht="22.5" customHeight="1">
      <c r="A10386" s="49"/>
      <c r="C10386" s="400">
        <v>46284.0</v>
      </c>
      <c r="D10386" s="524">
        <v>938.0</v>
      </c>
      <c r="E10386" s="544" t="s">
        <v>256</v>
      </c>
      <c r="F10386" s="387">
        <v>1.0</v>
      </c>
      <c r="G10386" s="140">
        <v>175000.0</v>
      </c>
      <c r="H10386" s="140">
        <v>25000.0</v>
      </c>
      <c r="I10386" s="74">
        <f t="shared" si="7"/>
        <v>150000</v>
      </c>
      <c r="J10386" s="74">
        <f>IF(E10386="SERVICE",I10386-(I10386*50%),Vlookup(E10386,DATABASE!C:Q,10,false)*F10386)</f>
        <v>10000</v>
      </c>
      <c r="K10386" s="74">
        <f>VLOOKUP(E10386,DATABASE!C:Q,7,false)</f>
        <v>0</v>
      </c>
      <c r="L10386" s="74">
        <v>0.0</v>
      </c>
      <c r="M10386" s="74">
        <f t="shared" si="6"/>
        <v>0</v>
      </c>
      <c r="N10386" s="74">
        <f t="shared" si="9"/>
        <v>140000</v>
      </c>
      <c r="O10386" s="65" t="str">
        <f>VLOOKUP(E10386,DATABASE!C:Q,8,false)</f>
        <v>IBU</v>
      </c>
      <c r="P10386" s="65">
        <f>VLOOKUP(E10386,DATABASE!C:Q,9,False)</f>
        <v>0</v>
      </c>
      <c r="Q10386" s="93" t="str">
        <f>VLOOKUP(E10386,DATABASE!C:Q,4,false)</f>
        <v>SPOORING</v>
      </c>
      <c r="R10386" s="93" t="str">
        <f>VLOOKUP(E10386,DATABASE!C:Q,11,false)</f>
        <v>SERVICE</v>
      </c>
    </row>
    <row r="10387" ht="22.5" customHeight="1">
      <c r="A10387" s="49"/>
      <c r="C10387" s="400">
        <v>46284.0</v>
      </c>
      <c r="D10387" s="524">
        <v>938.0</v>
      </c>
      <c r="E10387" s="544" t="s">
        <v>299</v>
      </c>
      <c r="F10387" s="387">
        <v>2.0</v>
      </c>
      <c r="G10387" s="140">
        <v>30000.0</v>
      </c>
      <c r="H10387" s="74"/>
      <c r="I10387" s="74">
        <f t="shared" si="7"/>
        <v>60000</v>
      </c>
      <c r="J10387" s="74">
        <f>IF(E10387="SERVICE",I10387-(I10387*50%),Vlookup(E10387,DATABASE!C:Q,10,false)*F10387)</f>
        <v>0</v>
      </c>
      <c r="K10387" s="74">
        <f>VLOOKUP(E10387,DATABASE!C:Q,7,false)</f>
        <v>10000</v>
      </c>
      <c r="L10387" s="74">
        <v>10000.0</v>
      </c>
      <c r="M10387" s="74">
        <f t="shared" si="6"/>
        <v>10000</v>
      </c>
      <c r="N10387" s="74">
        <f t="shared" si="9"/>
        <v>40000</v>
      </c>
      <c r="O10387" s="65" t="str">
        <f>VLOOKUP(E10387,DATABASE!C:Q,8,false)</f>
        <v>BIAN</v>
      </c>
      <c r="P10387" s="65">
        <f>VLOOKUP(E10387,DATABASE!C:Q,9,False)</f>
        <v>0</v>
      </c>
      <c r="Q10387" s="93" t="str">
        <f>VLOOKUP(E10387,DATABASE!C:Q,4,false)</f>
        <v>Balancing</v>
      </c>
      <c r="R10387" s="93" t="str">
        <f>VLOOKUP(E10387,DATABASE!C:Q,11,false)</f>
        <v>COMPLEMENTARY</v>
      </c>
    </row>
    <row r="10388" ht="22.5" customHeight="1">
      <c r="A10388" s="49"/>
      <c r="C10388" s="400">
        <v>46284.0</v>
      </c>
      <c r="D10388" s="524">
        <v>938.0</v>
      </c>
      <c r="E10388" s="544" t="s">
        <v>301</v>
      </c>
      <c r="F10388" s="387">
        <v>1.0</v>
      </c>
      <c r="G10388" s="140">
        <v>250000.0</v>
      </c>
      <c r="H10388" s="74"/>
      <c r="I10388" s="74">
        <f t="shared" si="7"/>
        <v>250000</v>
      </c>
      <c r="J10388" s="74">
        <f>IF(E10388="SERVICE",I10388-(I10388*50%),Vlookup(E10388,DATABASE!C:Q,10,false)*F10388)</f>
        <v>75000</v>
      </c>
      <c r="K10388" s="74">
        <f>VLOOKUP(E10388,DATABASE!C:Q,7,false)</f>
        <v>75000</v>
      </c>
      <c r="L10388" s="74">
        <v>75000.0</v>
      </c>
      <c r="M10388" s="74">
        <f t="shared" si="6"/>
        <v>75000</v>
      </c>
      <c r="N10388" s="74">
        <f t="shared" si="9"/>
        <v>100000</v>
      </c>
      <c r="O10388" s="65" t="str">
        <f>VLOOKUP(E10388,DATABASE!C:Q,8,false)</f>
        <v>BIAN</v>
      </c>
      <c r="P10388" s="65">
        <f>VLOOKUP(E10388,DATABASE!C:Q,9,False)</f>
        <v>0</v>
      </c>
      <c r="Q10388" s="93" t="str">
        <f>VLOOKUP(E10388,DATABASE!C:Q,4,false)</f>
        <v>Baut Camber</v>
      </c>
      <c r="R10388" s="93" t="str">
        <f>VLOOKUP(E10388,DATABASE!C:Q,11,false)</f>
        <v>COMPLEMENTARY</v>
      </c>
    </row>
    <row r="10389" ht="22.5" customHeight="1">
      <c r="A10389" s="49"/>
      <c r="C10389" s="400">
        <v>46284.0</v>
      </c>
      <c r="D10389" s="524">
        <v>939.0</v>
      </c>
      <c r="E10389" s="544" t="s">
        <v>262</v>
      </c>
      <c r="F10389" s="387">
        <v>1.0</v>
      </c>
      <c r="G10389" s="140">
        <v>130000.0</v>
      </c>
      <c r="H10389" s="74"/>
      <c r="I10389" s="74">
        <f t="shared" si="7"/>
        <v>130000</v>
      </c>
      <c r="J10389" s="74">
        <f>IF(E10389="SERVICE",I10389-(I10389*50%),Vlookup(E10389,DATABASE!C:Q,10,false)*F10389)</f>
        <v>5000</v>
      </c>
      <c r="K10389" s="74">
        <f>VLOOKUP(E10389,DATABASE!C:Q,7,false)</f>
        <v>0</v>
      </c>
      <c r="L10389" s="74">
        <v>0.0</v>
      </c>
      <c r="M10389" s="74">
        <f t="shared" si="6"/>
        <v>0</v>
      </c>
      <c r="N10389" s="74">
        <f t="shared" si="9"/>
        <v>125000</v>
      </c>
      <c r="O10389" s="65" t="str">
        <f>VLOOKUP(E10389,DATABASE!C:Q,8,false)</f>
        <v>IBU</v>
      </c>
      <c r="P10389" s="65">
        <f>VLOOKUP(E10389,DATABASE!C:Q,9,False)</f>
        <v>0</v>
      </c>
      <c r="Q10389" s="93" t="str">
        <f>VLOOKUP(E10389,DATABASE!C:Q,4,false)</f>
        <v>SPOORING SS/CARRY LOS BAK</v>
      </c>
      <c r="R10389" s="93" t="str">
        <f>VLOOKUP(E10389,DATABASE!C:Q,11,false)</f>
        <v>SERVICE</v>
      </c>
    </row>
    <row r="10390" ht="22.5" customHeight="1">
      <c r="A10390" s="49"/>
      <c r="C10390" s="400">
        <v>46284.0</v>
      </c>
      <c r="D10390" s="524">
        <v>939.0</v>
      </c>
      <c r="E10390" s="544" t="s">
        <v>305</v>
      </c>
      <c r="F10390" s="387">
        <v>1.0</v>
      </c>
      <c r="G10390" s="140">
        <v>240000.0</v>
      </c>
      <c r="H10390" s="74"/>
      <c r="I10390" s="74">
        <f t="shared" si="7"/>
        <v>240000</v>
      </c>
      <c r="J10390" s="74">
        <f>IF(E10390="SERVICE",I10390-(I10390*50%),Vlookup(E10390,DATABASE!C:Q,10,false)*F10390)</f>
        <v>40000</v>
      </c>
      <c r="K10390" s="74">
        <f>VLOOKUP(E10390,DATABASE!C:Q,7,false)</f>
        <v>158530.2</v>
      </c>
      <c r="L10390" s="74">
        <v>158530.2</v>
      </c>
      <c r="M10390" s="74">
        <f t="shared" si="6"/>
        <v>160000</v>
      </c>
      <c r="N10390" s="74">
        <f t="shared" si="9"/>
        <v>40000</v>
      </c>
      <c r="O10390" s="65" t="str">
        <f>VLOOKUP(E10390,DATABASE!C:Q,8,false)</f>
        <v>BIAN</v>
      </c>
      <c r="P10390" s="65">
        <f>VLOOKUP(E10390,DATABASE!C:Q,9,False)</f>
        <v>1</v>
      </c>
      <c r="Q10390" s="93" t="str">
        <f>VLOOKUP(E10390,DATABASE!C:Q,4,false)</f>
        <v>Lower Arm</v>
      </c>
      <c r="R10390" s="93" t="str">
        <f>VLOOKUP(E10390,DATABASE!C:Q,11,false)</f>
        <v>COMPLEMENTARY</v>
      </c>
    </row>
    <row r="10391" ht="22.5" customHeight="1">
      <c r="A10391" s="49"/>
      <c r="C10391" s="400">
        <v>46284.0</v>
      </c>
      <c r="D10391" s="524">
        <v>939.0</v>
      </c>
      <c r="E10391" s="544" t="s">
        <v>478</v>
      </c>
      <c r="F10391" s="387">
        <v>1.0</v>
      </c>
      <c r="G10391" s="140">
        <v>200000.0</v>
      </c>
      <c r="H10391" s="74"/>
      <c r="I10391" s="74">
        <f t="shared" si="7"/>
        <v>200000</v>
      </c>
      <c r="J10391" s="74">
        <f>IF(E10391="SERVICE",I10391-(I10391*50%),Vlookup(E10391,DATABASE!C:Q,10,false)*F10391)</f>
        <v>25000</v>
      </c>
      <c r="K10391" s="74">
        <f>VLOOKUP(E10391,DATABASE!C:Q,7,false)</f>
        <v>75000</v>
      </c>
      <c r="L10391" s="74">
        <v>75000.0</v>
      </c>
      <c r="M10391" s="74">
        <f t="shared" si="6"/>
        <v>75000</v>
      </c>
      <c r="N10391" s="74">
        <f t="shared" si="9"/>
        <v>100000</v>
      </c>
      <c r="O10391" s="65" t="str">
        <f>VLOOKUP(E10391,DATABASE!C:Q,8,false)</f>
        <v>BIAN</v>
      </c>
      <c r="P10391" s="65">
        <f>VLOOKUP(E10391,DATABASE!C:Q,9,False)</f>
        <v>0</v>
      </c>
      <c r="Q10391" s="93" t="str">
        <f>VLOOKUP(E10391,DATABASE!C:Q,4,false)</f>
        <v>Baut Camber ss-carry</v>
      </c>
      <c r="R10391" s="93" t="str">
        <f>VLOOKUP(E10391,DATABASE!C:Q,11,false)</f>
        <v>COMPLEMENTARY</v>
      </c>
    </row>
    <row r="10392" ht="22.5" customHeight="1">
      <c r="A10392" s="49"/>
      <c r="C10392" s="400">
        <v>46284.0</v>
      </c>
      <c r="D10392" s="524">
        <v>939.0</v>
      </c>
      <c r="E10392" s="544" t="s">
        <v>2636</v>
      </c>
      <c r="F10392" s="387">
        <v>2.0</v>
      </c>
      <c r="G10392" s="140">
        <v>50000.0</v>
      </c>
      <c r="H10392" s="74"/>
      <c r="I10392" s="74">
        <f t="shared" si="7"/>
        <v>100000</v>
      </c>
      <c r="J10392" s="74">
        <f>IF(E10392="SERVICE",I10392-(I10392*50%),Vlookup(E10392,DATABASE!C:Q,10,false)*F10392)</f>
        <v>0</v>
      </c>
      <c r="K10392" s="74">
        <f>VLOOKUP(E10392,DATABASE!C:Q,7,false)</f>
        <v>27375</v>
      </c>
      <c r="L10392" s="74">
        <v>27375.0</v>
      </c>
      <c r="M10392" s="74">
        <f t="shared" si="6"/>
        <v>30000</v>
      </c>
      <c r="N10392" s="74">
        <f t="shared" si="9"/>
        <v>40000</v>
      </c>
      <c r="O10392" s="65" t="str">
        <f>VLOOKUP(E10392,DATABASE!C:Q,8,false)</f>
        <v>NON VPT</v>
      </c>
      <c r="P10392" s="65">
        <f>VLOOKUP(E10392,DATABASE!C:Q,9,False)</f>
        <v>0</v>
      </c>
      <c r="Q10392" s="93" t="str">
        <f>VLOOKUP(E10392,DATABASE!C:Q,4,false)</f>
        <v>JF</v>
      </c>
      <c r="R10392" s="93" t="str">
        <f>VLOOKUP(E10392,DATABASE!C:Q,11,false)</f>
        <v>COMPLEMENTARY</v>
      </c>
    </row>
    <row r="10393" ht="22.5" customHeight="1">
      <c r="A10393" s="49"/>
      <c r="C10393" s="400">
        <v>46284.0</v>
      </c>
      <c r="D10393" s="524">
        <v>939.0</v>
      </c>
      <c r="E10393" s="544" t="s">
        <v>251</v>
      </c>
      <c r="F10393" s="387">
        <v>1.0</v>
      </c>
      <c r="G10393" s="140">
        <v>350000.0</v>
      </c>
      <c r="H10393" s="140">
        <v>230000.0</v>
      </c>
      <c r="I10393" s="74">
        <f t="shared" si="7"/>
        <v>120000</v>
      </c>
      <c r="J10393" s="74">
        <f>IF(E10393="SERVICE",I10393-(I10393*50%),Vlookup(E10393,DATABASE!C:Q,10,false)*F10393)</f>
        <v>60000</v>
      </c>
      <c r="K10393" s="74">
        <f>VLOOKUP(E10393,DATABASE!C:Q,7,false)</f>
        <v>0</v>
      </c>
      <c r="L10393" s="74">
        <v>0.0</v>
      </c>
      <c r="M10393" s="74">
        <f t="shared" si="6"/>
        <v>0</v>
      </c>
      <c r="N10393" s="74">
        <f t="shared" si="9"/>
        <v>60000</v>
      </c>
      <c r="O10393" s="65" t="str">
        <f>VLOOKUP(E10393,DATABASE!C:Q,8,false)</f>
        <v>IBU</v>
      </c>
      <c r="P10393" s="65">
        <f>VLOOKUP(E10393,DATABASE!C:Q,9,False)</f>
        <v>0</v>
      </c>
      <c r="Q10393" s="93" t="str">
        <f>VLOOKUP(E10393,DATABASE!C:Q,4,false)</f>
        <v>SERVICE</v>
      </c>
      <c r="R10393" s="93" t="str">
        <f>VLOOKUP(E10393,DATABASE!C:Q,11,false)</f>
        <v>SERVICE</v>
      </c>
    </row>
    <row r="10394" ht="22.5" customHeight="1">
      <c r="A10394" s="49"/>
      <c r="C10394" s="400">
        <v>46284.0</v>
      </c>
      <c r="D10394" s="69" t="s">
        <v>2940</v>
      </c>
      <c r="E10394" s="544" t="s">
        <v>252</v>
      </c>
      <c r="F10394" s="387">
        <v>1.0</v>
      </c>
      <c r="G10394" s="140">
        <v>370000.0</v>
      </c>
      <c r="H10394" s="74"/>
      <c r="I10394" s="74">
        <f t="shared" si="7"/>
        <v>370000</v>
      </c>
      <c r="J10394" s="74">
        <f>IF(E10394="SERVICE",I10394-(I10394*50%),Vlookup(E10394,DATABASE!C:Q,10,false)*F10394)</f>
        <v>0</v>
      </c>
      <c r="K10394" s="74">
        <f>VLOOKUP(E10394,DATABASE!C:Q,7,false)</f>
        <v>317518</v>
      </c>
      <c r="L10394" s="140">
        <v>317518.0</v>
      </c>
      <c r="M10394" s="74">
        <f t="shared" si="6"/>
        <v>320000</v>
      </c>
      <c r="N10394" s="74">
        <f t="shared" si="9"/>
        <v>50000</v>
      </c>
      <c r="O10394" s="65" t="str">
        <f>VLOOKUP(E10394,DATABASE!C:Q,8,false)</f>
        <v>NON</v>
      </c>
      <c r="P10394" s="65">
        <f>VLOOKUP(E10394,DATABASE!C:Q,9,False)</f>
        <v>0</v>
      </c>
      <c r="Q10394" s="93" t="str">
        <f>VLOOKUP(E10394,DATABASE!C:Q,4,false)</f>
        <v>Shell</v>
      </c>
      <c r="R10394" s="93" t="str">
        <f>VLOOKUP(E10394,DATABASE!C:Q,11,false)</f>
        <v>OIL</v>
      </c>
    </row>
    <row r="10395" ht="22.5" customHeight="1">
      <c r="A10395" s="49"/>
      <c r="C10395" s="400">
        <v>46284.0</v>
      </c>
      <c r="D10395" s="69" t="s">
        <v>2941</v>
      </c>
      <c r="E10395" s="544" t="s">
        <v>263</v>
      </c>
      <c r="F10395" s="387">
        <v>1.0</v>
      </c>
      <c r="G10395" s="140">
        <v>385000.0</v>
      </c>
      <c r="H10395" s="74"/>
      <c r="I10395" s="74">
        <f t="shared" si="7"/>
        <v>385000</v>
      </c>
      <c r="J10395" s="74">
        <f>IF(E10395="SERVICE",I10395-(I10395*50%),Vlookup(E10395,DATABASE!C:Q,10,false)*F10395)</f>
        <v>0</v>
      </c>
      <c r="K10395" s="74">
        <f>VLOOKUP(E10395,DATABASE!C:Q,7,false)</f>
        <v>334916</v>
      </c>
      <c r="L10395" s="74">
        <v>334916.0</v>
      </c>
      <c r="M10395" s="74">
        <f t="shared" si="6"/>
        <v>335000</v>
      </c>
      <c r="N10395" s="74">
        <f t="shared" si="9"/>
        <v>50000</v>
      </c>
      <c r="O10395" s="65" t="str">
        <f>VLOOKUP(E10395,DATABASE!C:Q,8,false)</f>
        <v>NON</v>
      </c>
      <c r="P10395" s="65">
        <f>VLOOKUP(E10395,DATABASE!C:Q,9,False)</f>
        <v>0</v>
      </c>
      <c r="Q10395" s="93" t="str">
        <f>VLOOKUP(E10395,DATABASE!C:Q,4,false)</f>
        <v>Shell</v>
      </c>
      <c r="R10395" s="93" t="str">
        <f>VLOOKUP(E10395,DATABASE!C:Q,11,false)</f>
        <v>OIL</v>
      </c>
    </row>
    <row r="10396" ht="22.5" customHeight="1">
      <c r="A10396" s="49"/>
      <c r="C10396" s="400">
        <v>46284.0</v>
      </c>
      <c r="D10396" s="69" t="s">
        <v>2942</v>
      </c>
      <c r="E10396" s="544" t="s">
        <v>252</v>
      </c>
      <c r="F10396" s="387">
        <v>1.0</v>
      </c>
      <c r="G10396" s="140">
        <v>370000.0</v>
      </c>
      <c r="H10396" s="74"/>
      <c r="I10396" s="74">
        <f t="shared" si="7"/>
        <v>370000</v>
      </c>
      <c r="J10396" s="74">
        <f>IF(E10396="SERVICE",I10396-(I10396*50%),Vlookup(E10396,DATABASE!C:Q,10,false)*F10396)</f>
        <v>0</v>
      </c>
      <c r="K10396" s="74">
        <f>VLOOKUP(E10396,DATABASE!C:Q,7,false)</f>
        <v>317518</v>
      </c>
      <c r="L10396" s="74">
        <v>317518.0</v>
      </c>
      <c r="M10396" s="74">
        <f t="shared" si="6"/>
        <v>320000</v>
      </c>
      <c r="N10396" s="74">
        <f t="shared" si="9"/>
        <v>50000</v>
      </c>
      <c r="O10396" s="65" t="str">
        <f>VLOOKUP(E10396,DATABASE!C:Q,8,false)</f>
        <v>NON</v>
      </c>
      <c r="P10396" s="65">
        <f>VLOOKUP(E10396,DATABASE!C:Q,9,False)</f>
        <v>0</v>
      </c>
      <c r="Q10396" s="93" t="str">
        <f>VLOOKUP(E10396,DATABASE!C:Q,4,false)</f>
        <v>Shell</v>
      </c>
      <c r="R10396" s="93" t="str">
        <f>VLOOKUP(E10396,DATABASE!C:Q,11,false)</f>
        <v>OIL</v>
      </c>
    </row>
    <row r="10397" ht="22.5" customHeight="1">
      <c r="A10397" s="49"/>
      <c r="C10397" s="400">
        <v>46284.0</v>
      </c>
      <c r="D10397" s="69" t="s">
        <v>2942</v>
      </c>
      <c r="E10397" s="544" t="s">
        <v>2178</v>
      </c>
      <c r="F10397" s="387">
        <v>1.0</v>
      </c>
      <c r="G10397" s="140">
        <v>105000.0</v>
      </c>
      <c r="H10397" s="140">
        <v>5000.0</v>
      </c>
      <c r="I10397" s="74">
        <f t="shared" si="7"/>
        <v>100000</v>
      </c>
      <c r="J10397" s="74">
        <f>IF(E10397="SERVICE",I10397-(I10397*50%),Vlookup(E10397,DATABASE!C:Q,10,false)*F10397)</f>
        <v>0</v>
      </c>
      <c r="K10397" s="74">
        <f>VLOOKUP(E10397,DATABASE!C:Q,7,false)</f>
        <v>80931</v>
      </c>
      <c r="L10397" s="74">
        <v>80931.0</v>
      </c>
      <c r="M10397" s="74">
        <f t="shared" si="6"/>
        <v>85000</v>
      </c>
      <c r="N10397" s="74">
        <f t="shared" si="9"/>
        <v>15000</v>
      </c>
      <c r="O10397" s="65" t="str">
        <f>VLOOKUP(E10397,DATABASE!C:Q,8,false)</f>
        <v>NON</v>
      </c>
      <c r="P10397" s="65">
        <f>VLOOKUP(E10397,DATABASE!C:Q,9,False)</f>
        <v>0</v>
      </c>
      <c r="Q10397" s="93" t="str">
        <f>VLOOKUP(E10397,DATABASE!C:Q,4,false)</f>
        <v>Shell</v>
      </c>
      <c r="R10397" s="93" t="str">
        <f>VLOOKUP(E10397,DATABASE!C:Q,11,false)</f>
        <v>OIL</v>
      </c>
    </row>
    <row r="10398" ht="22.5" customHeight="1">
      <c r="A10398" s="49"/>
      <c r="C10398" s="400">
        <v>46284.0</v>
      </c>
      <c r="D10398" s="524"/>
      <c r="E10398" s="544" t="s">
        <v>304</v>
      </c>
      <c r="F10398" s="387">
        <v>1.0</v>
      </c>
      <c r="G10398" s="140">
        <v>25000.0</v>
      </c>
      <c r="H10398" s="74"/>
      <c r="I10398" s="74">
        <f t="shared" si="7"/>
        <v>25000</v>
      </c>
      <c r="J10398" s="74">
        <f>IF(E10398="SERVICE",I10398-(I10398*50%),Vlookup(E10398,DATABASE!C:Q,10,false)*F10398)</f>
        <v>0</v>
      </c>
      <c r="K10398" s="74">
        <f>VLOOKUP(E10398,DATABASE!C:Q,7,false)</f>
        <v>18900</v>
      </c>
      <c r="L10398" s="74">
        <v>18900.0</v>
      </c>
      <c r="M10398" s="74">
        <f t="shared" si="6"/>
        <v>20000</v>
      </c>
      <c r="N10398" s="74">
        <f t="shared" si="9"/>
        <v>5000</v>
      </c>
      <c r="O10398" s="65" t="str">
        <f>VLOOKUP(E10398,DATABASE!C:Q,8,false)</f>
        <v>NON VPT</v>
      </c>
      <c r="P10398" s="65">
        <f>VLOOKUP(E10398,DATABASE!C:Q,9,False)</f>
        <v>0</v>
      </c>
      <c r="Q10398" s="93" t="str">
        <f>VLOOKUP(E10398,DATABASE!C:Q,4,false)</f>
        <v>ICOSON</v>
      </c>
      <c r="R10398" s="93" t="str">
        <f>VLOOKUP(E10398,DATABASE!C:Q,11,false)</f>
        <v>COMPLEMENTARY</v>
      </c>
    </row>
    <row r="10399" ht="22.5" customHeight="1">
      <c r="A10399" s="49"/>
      <c r="C10399" s="400">
        <v>46285.0</v>
      </c>
      <c r="D10399" s="524">
        <v>940.0</v>
      </c>
      <c r="E10399" s="544" t="s">
        <v>613</v>
      </c>
      <c r="F10399" s="387">
        <v>1.0</v>
      </c>
      <c r="G10399" s="140">
        <v>100000.0</v>
      </c>
      <c r="H10399" s="74"/>
      <c r="I10399" s="74">
        <f t="shared" si="7"/>
        <v>100000</v>
      </c>
      <c r="J10399" s="74">
        <f>IF(E10399="SERVICE",I10399-(I10399*50%),Vlookup(E10399,DATABASE!C:Q,10,false)*F10399)</f>
        <v>0</v>
      </c>
      <c r="K10399" s="74">
        <f>VLOOKUP(E10399,DATABASE!C:Q,7,false)</f>
        <v>58371.2695</v>
      </c>
      <c r="L10399" s="74">
        <v>58371.2695</v>
      </c>
      <c r="M10399" s="74">
        <f t="shared" si="6"/>
        <v>60000</v>
      </c>
      <c r="N10399" s="74">
        <f t="shared" si="9"/>
        <v>40000</v>
      </c>
      <c r="O10399" s="65" t="str">
        <f>VLOOKUP(E10399,DATABASE!C:Q,8,false)</f>
        <v>BIAN</v>
      </c>
      <c r="P10399" s="65">
        <f>VLOOKUP(E10399,DATABASE!C:Q,9,False)</f>
        <v>1</v>
      </c>
      <c r="Q10399" s="93" t="str">
        <f>VLOOKUP(E10399,DATABASE!C:Q,4,false)</f>
        <v>BD</v>
      </c>
      <c r="R10399" s="93" t="str">
        <f>VLOOKUP(E10399,DATABASE!C:Q,11,false)</f>
        <v>Tire</v>
      </c>
    </row>
    <row r="10400" ht="22.5" customHeight="1">
      <c r="A10400" s="49"/>
      <c r="C10400" s="400">
        <v>46285.0</v>
      </c>
      <c r="D10400" s="524">
        <v>941.0</v>
      </c>
      <c r="E10400" s="544" t="s">
        <v>1112</v>
      </c>
      <c r="F10400" s="387">
        <v>1.0</v>
      </c>
      <c r="G10400" s="140">
        <v>1085000.0</v>
      </c>
      <c r="H10400" s="140">
        <v>5000.0</v>
      </c>
      <c r="I10400" s="74">
        <f t="shared" si="7"/>
        <v>1080000</v>
      </c>
      <c r="J10400" s="74">
        <f>IF(E10400="SERVICE",I10400-(I10400*50%),Vlookup(E10400,DATABASE!C:Q,10,false)*F10400)</f>
        <v>0</v>
      </c>
      <c r="K10400" s="74">
        <f>VLOOKUP(E10400,DATABASE!C:Q,7,false)</f>
        <v>980542.4</v>
      </c>
      <c r="L10400" s="74">
        <v>980542.4</v>
      </c>
      <c r="M10400" s="74">
        <f t="shared" si="6"/>
        <v>985000</v>
      </c>
      <c r="N10400" s="74">
        <f t="shared" si="9"/>
        <v>95000</v>
      </c>
      <c r="O10400" s="65" t="str">
        <f>VLOOKUP(E10400,DATABASE!C:Q,8,false)</f>
        <v>IBU</v>
      </c>
      <c r="P10400" s="65">
        <f>VLOOKUP(E10400,DATABASE!C:Q,9,False)</f>
        <v>1</v>
      </c>
      <c r="Q10400" s="93" t="str">
        <f>VLOOKUP(E10400,DATABASE!C:Q,4,false)</f>
        <v>Bridgestone</v>
      </c>
      <c r="R10400" s="93" t="str">
        <f>VLOOKUP(E10400,DATABASE!C:Q,11,false)</f>
        <v>Tire</v>
      </c>
    </row>
    <row r="10401" ht="22.5" customHeight="1">
      <c r="A10401" s="49"/>
      <c r="C10401" s="400">
        <v>46285.0</v>
      </c>
      <c r="D10401" s="524">
        <v>942.0</v>
      </c>
      <c r="E10401" s="544" t="s">
        <v>591</v>
      </c>
      <c r="F10401" s="387">
        <v>1.0</v>
      </c>
      <c r="G10401" s="140">
        <v>710000.0</v>
      </c>
      <c r="H10401" s="74"/>
      <c r="I10401" s="74">
        <f t="shared" si="7"/>
        <v>710000</v>
      </c>
      <c r="J10401" s="74">
        <f>IF(E10401="SERVICE",I10401-(I10401*50%),Vlookup(E10401,DATABASE!C:Q,10,false)*F10401)</f>
        <v>0</v>
      </c>
      <c r="K10401" s="74">
        <f>VLOOKUP(E10401,DATABASE!C:Q,7,false)</f>
        <v>633035.16</v>
      </c>
      <c r="L10401" s="74">
        <v>633035.16</v>
      </c>
      <c r="M10401" s="74">
        <f t="shared" si="6"/>
        <v>635000</v>
      </c>
      <c r="N10401" s="74">
        <f t="shared" si="9"/>
        <v>75000</v>
      </c>
      <c r="O10401" s="65" t="str">
        <f>VLOOKUP(E10401,DATABASE!C:Q,8,false)</f>
        <v>IBU</v>
      </c>
      <c r="P10401" s="65">
        <f>VLOOKUP(E10401,DATABASE!C:Q,9,False)</f>
        <v>1</v>
      </c>
      <c r="Q10401" s="93" t="str">
        <f>VLOOKUP(E10401,DATABASE!C:Q,4,false)</f>
        <v>Bridgestone</v>
      </c>
      <c r="R10401" s="93" t="str">
        <f>VLOOKUP(E10401,DATABASE!C:Q,11,false)</f>
        <v>Tire</v>
      </c>
    </row>
    <row r="10402" ht="22.5" customHeight="1">
      <c r="A10402" s="49"/>
      <c r="C10402" s="400">
        <v>46285.0</v>
      </c>
      <c r="D10402" s="524">
        <v>943.0</v>
      </c>
      <c r="E10402" s="544" t="s">
        <v>279</v>
      </c>
      <c r="F10402" s="387">
        <v>1.0</v>
      </c>
      <c r="G10402" s="140">
        <v>715000.0</v>
      </c>
      <c r="H10402" s="74"/>
      <c r="I10402" s="74">
        <f t="shared" si="7"/>
        <v>715000</v>
      </c>
      <c r="J10402" s="74">
        <f>IF(E10402="SERVICE",I10402-(I10402*50%),Vlookup(E10402,DATABASE!C:Q,10,false)*F10402)</f>
        <v>0</v>
      </c>
      <c r="K10402" s="74">
        <f>VLOOKUP(E10402,DATABASE!C:Q,7,false)</f>
        <v>623000</v>
      </c>
      <c r="L10402" s="74">
        <v>623000.0</v>
      </c>
      <c r="M10402" s="74">
        <f t="shared" si="6"/>
        <v>625000</v>
      </c>
      <c r="N10402" s="74">
        <f t="shared" si="9"/>
        <v>90000</v>
      </c>
      <c r="O10402" s="65" t="str">
        <f>VLOOKUP(E10402,DATABASE!C:Q,8,false)</f>
        <v>IBU</v>
      </c>
      <c r="P10402" s="65">
        <f>VLOOKUP(E10402,DATABASE!C:Q,9,False)</f>
        <v>1</v>
      </c>
      <c r="Q10402" s="93" t="str">
        <f>VLOOKUP(E10402,DATABASE!C:Q,4,false)</f>
        <v>Dunlop</v>
      </c>
      <c r="R10402" s="93" t="str">
        <f>VLOOKUP(E10402,DATABASE!C:Q,11,false)</f>
        <v>Tire</v>
      </c>
    </row>
    <row r="10403" ht="22.5" customHeight="1">
      <c r="A10403" s="49"/>
      <c r="C10403" s="400">
        <v>46285.0</v>
      </c>
      <c r="D10403" s="524">
        <v>944.0</v>
      </c>
      <c r="E10403" s="544" t="s">
        <v>569</v>
      </c>
      <c r="F10403" s="387">
        <v>2.0</v>
      </c>
      <c r="G10403" s="140">
        <v>85000.0</v>
      </c>
      <c r="H10403" s="74"/>
      <c r="I10403" s="74">
        <f t="shared" si="7"/>
        <v>170000</v>
      </c>
      <c r="J10403" s="74">
        <f>IF(E10403="SERVICE",I10403-(I10403*50%),Vlookup(E10403,DATABASE!C:Q,10,false)*F10403)</f>
        <v>0</v>
      </c>
      <c r="K10403" s="74">
        <f>VLOOKUP(E10403,DATABASE!C:Q,7,false)</f>
        <v>45439.582</v>
      </c>
      <c r="L10403" s="74">
        <v>45439.582</v>
      </c>
      <c r="M10403" s="74">
        <f t="shared" si="6"/>
        <v>50000</v>
      </c>
      <c r="N10403" s="74">
        <f t="shared" si="9"/>
        <v>70000</v>
      </c>
      <c r="O10403" s="65" t="str">
        <f>VLOOKUP(E10403,DATABASE!C:Q,8,false)</f>
        <v>BIAN</v>
      </c>
      <c r="P10403" s="65">
        <f>VLOOKUP(E10403,DATABASE!C:Q,9,False)</f>
        <v>1</v>
      </c>
      <c r="Q10403" s="93" t="str">
        <f>VLOOKUP(E10403,DATABASE!C:Q,4,false)</f>
        <v>BD</v>
      </c>
      <c r="R10403" s="93" t="str">
        <f>VLOOKUP(E10403,DATABASE!C:Q,11,false)</f>
        <v>Tire</v>
      </c>
    </row>
    <row r="10404" ht="22.5" customHeight="1">
      <c r="A10404" s="49"/>
      <c r="C10404" s="400">
        <v>46285.0</v>
      </c>
      <c r="D10404" s="69" t="s">
        <v>2943</v>
      </c>
      <c r="E10404" s="544" t="s">
        <v>263</v>
      </c>
      <c r="F10404" s="387">
        <v>1.0</v>
      </c>
      <c r="G10404" s="140">
        <v>385000.0</v>
      </c>
      <c r="H10404" s="74"/>
      <c r="I10404" s="74">
        <f t="shared" si="7"/>
        <v>385000</v>
      </c>
      <c r="J10404" s="74">
        <f>IF(E10404="SERVICE",I10404-(I10404*50%),Vlookup(E10404,DATABASE!C:Q,10,false)*F10404)</f>
        <v>0</v>
      </c>
      <c r="K10404" s="74">
        <f>VLOOKUP(E10404,DATABASE!C:Q,7,false)</f>
        <v>334916</v>
      </c>
      <c r="L10404" s="74">
        <v>334916.0</v>
      </c>
      <c r="M10404" s="74">
        <f t="shared" si="6"/>
        <v>335000</v>
      </c>
      <c r="N10404" s="74">
        <f t="shared" si="9"/>
        <v>50000</v>
      </c>
      <c r="O10404" s="65" t="str">
        <f>VLOOKUP(E10404,DATABASE!C:Q,8,false)</f>
        <v>NON</v>
      </c>
      <c r="P10404" s="65">
        <f>VLOOKUP(E10404,DATABASE!C:Q,9,False)</f>
        <v>0</v>
      </c>
      <c r="Q10404" s="93" t="str">
        <f>VLOOKUP(E10404,DATABASE!C:Q,4,false)</f>
        <v>Shell</v>
      </c>
      <c r="R10404" s="93" t="str">
        <f>VLOOKUP(E10404,DATABASE!C:Q,11,false)</f>
        <v>OIL</v>
      </c>
    </row>
    <row r="10405" ht="22.5" customHeight="1">
      <c r="A10405" s="49"/>
      <c r="C10405" s="400">
        <v>46285.0</v>
      </c>
      <c r="D10405" s="69" t="s">
        <v>2943</v>
      </c>
      <c r="E10405" s="544" t="s">
        <v>263</v>
      </c>
      <c r="F10405" s="387">
        <v>1.0</v>
      </c>
      <c r="G10405" s="140">
        <v>385000.0</v>
      </c>
      <c r="H10405" s="74"/>
      <c r="I10405" s="74">
        <f t="shared" si="7"/>
        <v>385000</v>
      </c>
      <c r="J10405" s="74">
        <f>IF(E10405="SERVICE",I10405-(I10405*50%),Vlookup(E10405,DATABASE!C:Q,10,false)*F10405)</f>
        <v>0</v>
      </c>
      <c r="K10405" s="74">
        <f>VLOOKUP(E10405,DATABASE!C:Q,7,false)</f>
        <v>334916</v>
      </c>
      <c r="L10405" s="74">
        <v>334916.0</v>
      </c>
      <c r="M10405" s="74">
        <f t="shared" si="6"/>
        <v>335000</v>
      </c>
      <c r="N10405" s="74">
        <f t="shared" si="9"/>
        <v>50000</v>
      </c>
      <c r="O10405" s="65" t="str">
        <f>VLOOKUP(E10405,DATABASE!C:Q,8,false)</f>
        <v>NON</v>
      </c>
      <c r="P10405" s="65">
        <f>VLOOKUP(E10405,DATABASE!C:Q,9,False)</f>
        <v>0</v>
      </c>
      <c r="Q10405" s="93" t="str">
        <f>VLOOKUP(E10405,DATABASE!C:Q,4,false)</f>
        <v>Shell</v>
      </c>
      <c r="R10405" s="93" t="str">
        <f>VLOOKUP(E10405,DATABASE!C:Q,11,false)</f>
        <v>OIL</v>
      </c>
    </row>
    <row r="10406" ht="22.5" customHeight="1">
      <c r="A10406" s="49"/>
      <c r="C10406" s="400">
        <v>46285.0</v>
      </c>
      <c r="D10406" s="69" t="s">
        <v>2943</v>
      </c>
      <c r="E10406" s="544" t="s">
        <v>2637</v>
      </c>
      <c r="F10406" s="387">
        <v>1.0</v>
      </c>
      <c r="G10406" s="140">
        <v>25000.0</v>
      </c>
      <c r="H10406" s="74"/>
      <c r="I10406" s="74">
        <f t="shared" si="7"/>
        <v>25000</v>
      </c>
      <c r="J10406" s="74">
        <f>IF(E10406="SERVICE",I10406-(I10406*50%),Vlookup(E10406,DATABASE!C:Q,10,false)*F10406)</f>
        <v>0</v>
      </c>
      <c r="K10406" s="74">
        <f>VLOOKUP(E10406,DATABASE!C:Q,7,false)</f>
        <v>18900</v>
      </c>
      <c r="L10406" s="74">
        <v>18900.0</v>
      </c>
      <c r="M10406" s="74">
        <f t="shared" si="6"/>
        <v>20000</v>
      </c>
      <c r="N10406" s="74">
        <f t="shared" si="9"/>
        <v>5000</v>
      </c>
      <c r="O10406" s="65" t="str">
        <f>VLOOKUP(E10406,DATABASE!C:Q,8,false)</f>
        <v>NON VPT</v>
      </c>
      <c r="P10406" s="65">
        <f>VLOOKUP(E10406,DATABASE!C:Q,9,False)</f>
        <v>0</v>
      </c>
      <c r="Q10406" s="93" t="str">
        <f>VLOOKUP(E10406,DATABASE!C:Q,4,false)</f>
        <v>ICOSON</v>
      </c>
      <c r="R10406" s="93" t="str">
        <f>VLOOKUP(E10406,DATABASE!C:Q,11,false)</f>
        <v>COMPLEMENTARY</v>
      </c>
    </row>
    <row r="10407" ht="22.5" customHeight="1">
      <c r="A10407" s="49"/>
      <c r="C10407" s="400">
        <v>46285.0</v>
      </c>
      <c r="D10407" s="69" t="s">
        <v>2943</v>
      </c>
      <c r="E10407" s="544" t="s">
        <v>248</v>
      </c>
      <c r="F10407" s="387">
        <v>1.0</v>
      </c>
      <c r="G10407" s="140">
        <v>250000.0</v>
      </c>
      <c r="H10407" s="74"/>
      <c r="I10407" s="74">
        <f t="shared" si="7"/>
        <v>250000</v>
      </c>
      <c r="J10407" s="74">
        <f>IF(E10407="SERVICE",I10407-(I10407*50%),Vlookup(E10407,DATABASE!C:Q,10,false)*F10407)</f>
        <v>0</v>
      </c>
      <c r="K10407" s="74">
        <f>VLOOKUP(E10407,DATABASE!C:Q,7,false)</f>
        <v>209816.66</v>
      </c>
      <c r="L10407" s="74">
        <v>209816.66</v>
      </c>
      <c r="M10407" s="74">
        <f t="shared" si="6"/>
        <v>210000</v>
      </c>
      <c r="N10407" s="74">
        <f t="shared" si="9"/>
        <v>40000</v>
      </c>
      <c r="O10407" s="65" t="str">
        <f>VLOOKUP(E10407,DATABASE!C:Q,8,false)</f>
        <v>NON</v>
      </c>
      <c r="P10407" s="65">
        <f>VLOOKUP(E10407,DATABASE!C:Q,9,False)</f>
        <v>0</v>
      </c>
      <c r="Q10407" s="93" t="str">
        <f>VLOOKUP(E10407,DATABASE!C:Q,4,false)</f>
        <v>Pertamina</v>
      </c>
      <c r="R10407" s="93" t="str">
        <f>VLOOKUP(E10407,DATABASE!C:Q,11,false)</f>
        <v>OIL</v>
      </c>
    </row>
    <row r="10408" ht="22.5" customHeight="1">
      <c r="A10408" s="49"/>
      <c r="C10408" s="400">
        <v>46286.0</v>
      </c>
      <c r="D10408" s="524">
        <v>945.0</v>
      </c>
      <c r="E10408" s="544" t="s">
        <v>2652</v>
      </c>
      <c r="F10408" s="387">
        <v>1.0</v>
      </c>
      <c r="G10408" s="140">
        <v>100000.0</v>
      </c>
      <c r="H10408" s="140">
        <v>50000.0</v>
      </c>
      <c r="I10408" s="74">
        <f t="shared" si="7"/>
        <v>50000</v>
      </c>
      <c r="J10408" s="140">
        <v>0.0</v>
      </c>
      <c r="K10408" s="74">
        <f>VLOOKUP(E10408,DATABASE!C:Q,7,false)</f>
        <v>150000</v>
      </c>
      <c r="L10408" s="140">
        <v>50000.0</v>
      </c>
      <c r="M10408" s="74">
        <f t="shared" si="6"/>
        <v>50000</v>
      </c>
      <c r="N10408" s="74">
        <f t="shared" si="9"/>
        <v>0</v>
      </c>
      <c r="O10408" s="65" t="str">
        <f>VLOOKUP(E10408,DATABASE!C:Q,8,false)</f>
        <v>BIAN</v>
      </c>
      <c r="P10408" s="65">
        <f>VLOOKUP(E10408,DATABASE!C:Q,9,False)</f>
        <v>0</v>
      </c>
      <c r="Q10408" s="93" t="str">
        <f>VLOOKUP(E10408,DATABASE!C:Q,4,false)</f>
        <v>Karet Support + Pasang</v>
      </c>
      <c r="R10408" s="93" t="str">
        <f>VLOOKUP(E10408,DATABASE!C:Q,11,false)</f>
        <v>COMPLEMENTARY</v>
      </c>
    </row>
    <row r="10409" ht="22.5" customHeight="1">
      <c r="A10409" s="49"/>
      <c r="C10409" s="400">
        <v>46286.0</v>
      </c>
      <c r="D10409" s="524">
        <v>946.0</v>
      </c>
      <c r="E10409" s="544" t="s">
        <v>569</v>
      </c>
      <c r="F10409" s="387">
        <v>1.0</v>
      </c>
      <c r="G10409" s="140">
        <v>85000.0</v>
      </c>
      <c r="H10409" s="74"/>
      <c r="I10409" s="74">
        <f t="shared" si="7"/>
        <v>85000</v>
      </c>
      <c r="J10409" s="74">
        <f>IF(E10409="SERVICE",I10409-(I10409*50%),Vlookup(E10409,DATABASE!C:Q,10,false)*F10409)</f>
        <v>0</v>
      </c>
      <c r="K10409" s="74">
        <f>VLOOKUP(E10409,DATABASE!C:Q,7,false)</f>
        <v>45439.582</v>
      </c>
      <c r="L10409" s="74">
        <v>45439.582</v>
      </c>
      <c r="M10409" s="74">
        <f t="shared" si="6"/>
        <v>50000</v>
      </c>
      <c r="N10409" s="74">
        <f t="shared" si="9"/>
        <v>35000</v>
      </c>
      <c r="O10409" s="65" t="str">
        <f>VLOOKUP(E10409,DATABASE!C:Q,8,false)</f>
        <v>BIAN</v>
      </c>
      <c r="P10409" s="65">
        <f>VLOOKUP(E10409,DATABASE!C:Q,9,False)</f>
        <v>1</v>
      </c>
      <c r="Q10409" s="93" t="str">
        <f>VLOOKUP(E10409,DATABASE!C:Q,4,false)</f>
        <v>BD</v>
      </c>
      <c r="R10409" s="93" t="str">
        <f>VLOOKUP(E10409,DATABASE!C:Q,11,false)</f>
        <v>Tire</v>
      </c>
    </row>
    <row r="10410" ht="22.5" customHeight="1">
      <c r="A10410" s="49"/>
      <c r="C10410" s="400">
        <v>46286.0</v>
      </c>
      <c r="D10410" s="524">
        <v>947.0</v>
      </c>
      <c r="E10410" s="544" t="s">
        <v>2611</v>
      </c>
      <c r="F10410" s="387">
        <v>1.0</v>
      </c>
      <c r="G10410" s="140">
        <v>115000.0</v>
      </c>
      <c r="H10410" s="140">
        <v>5000.0</v>
      </c>
      <c r="I10410" s="74">
        <f t="shared" si="7"/>
        <v>110000</v>
      </c>
      <c r="J10410" s="74">
        <f>IF(E10410="SERVICE",I10410-(I10410*50%),Vlookup(E10410,DATABASE!C:Q,10,false)*F10410)</f>
        <v>0</v>
      </c>
      <c r="K10410" s="74">
        <f>VLOOKUP(E10410,DATABASE!C:Q,7,false)</f>
        <v>81000</v>
      </c>
      <c r="L10410" s="74">
        <v>81000.0</v>
      </c>
      <c r="M10410" s="74">
        <f t="shared" si="6"/>
        <v>85000</v>
      </c>
      <c r="N10410" s="74">
        <f t="shared" si="9"/>
        <v>25000</v>
      </c>
      <c r="O10410" s="65" t="str">
        <f>VLOOKUP(E10410,DATABASE!C:Q,8,false)</f>
        <v>BIAN</v>
      </c>
      <c r="P10410" s="65">
        <f>VLOOKUP(E10410,DATABASE!C:Q,9,False)</f>
        <v>1</v>
      </c>
      <c r="Q10410" s="93" t="str">
        <f>VLOOKUP(E10410,DATABASE!C:Q,4,false)</f>
        <v>BD IBK</v>
      </c>
      <c r="R10410" s="93" t="str">
        <f>VLOOKUP(E10410,DATABASE!C:Q,11,false)</f>
        <v>Tire</v>
      </c>
    </row>
    <row r="10411" ht="22.5" customHeight="1">
      <c r="A10411" s="49"/>
      <c r="C10411" s="400">
        <v>46286.0</v>
      </c>
      <c r="D10411" s="524">
        <v>948.0</v>
      </c>
      <c r="E10411" s="544" t="s">
        <v>275</v>
      </c>
      <c r="F10411" s="387">
        <v>2.0</v>
      </c>
      <c r="G10411" s="140">
        <v>870000.0</v>
      </c>
      <c r="H10411" s="74"/>
      <c r="I10411" s="74">
        <f t="shared" si="7"/>
        <v>1740000</v>
      </c>
      <c r="J10411" s="74">
        <f>IF(E10411="SERVICE",I10411-(I10411*50%),Vlookup(E10411,DATABASE!C:Q,10,false)*F10411)</f>
        <v>0</v>
      </c>
      <c r="K10411" s="74">
        <f>VLOOKUP(E10411,DATABASE!C:Q,7,false)</f>
        <v>782000</v>
      </c>
      <c r="L10411" s="74">
        <v>782000.0</v>
      </c>
      <c r="M10411" s="74">
        <f t="shared" si="6"/>
        <v>785000</v>
      </c>
      <c r="N10411" s="74">
        <f t="shared" si="9"/>
        <v>170000</v>
      </c>
      <c r="O10411" s="65" t="str">
        <f>VLOOKUP(E10411,DATABASE!C:Q,8,false)</f>
        <v>IBU</v>
      </c>
      <c r="P10411" s="65">
        <f>VLOOKUP(E10411,DATABASE!C:Q,9,False)</f>
        <v>1</v>
      </c>
      <c r="Q10411" s="93" t="str">
        <f>VLOOKUP(E10411,DATABASE!C:Q,4,false)</f>
        <v>Dunlop</v>
      </c>
      <c r="R10411" s="93" t="str">
        <f>VLOOKUP(E10411,DATABASE!C:Q,11,false)</f>
        <v>Tire</v>
      </c>
    </row>
    <row r="10412" ht="22.5" customHeight="1">
      <c r="A10412" s="49"/>
      <c r="C10412" s="400">
        <v>46286.0</v>
      </c>
      <c r="D10412" s="524">
        <v>948.0</v>
      </c>
      <c r="E10412" s="544" t="s">
        <v>262</v>
      </c>
      <c r="F10412" s="387">
        <v>1.0</v>
      </c>
      <c r="G10412" s="140">
        <v>130000.0</v>
      </c>
      <c r="H10412" s="74"/>
      <c r="I10412" s="74">
        <f t="shared" si="7"/>
        <v>130000</v>
      </c>
      <c r="J10412" s="74">
        <f>IF(E10412="SERVICE",I10412-(I10412*50%),Vlookup(E10412,DATABASE!C:Q,10,false)*F10412)</f>
        <v>5000</v>
      </c>
      <c r="K10412" s="74">
        <f>VLOOKUP(E10412,DATABASE!C:Q,7,false)</f>
        <v>0</v>
      </c>
      <c r="L10412" s="74">
        <v>0.0</v>
      </c>
      <c r="M10412" s="74">
        <f t="shared" si="6"/>
        <v>0</v>
      </c>
      <c r="N10412" s="74">
        <f t="shared" si="9"/>
        <v>125000</v>
      </c>
      <c r="O10412" s="65" t="str">
        <f>VLOOKUP(E10412,DATABASE!C:Q,8,false)</f>
        <v>IBU</v>
      </c>
      <c r="P10412" s="65">
        <f>VLOOKUP(E10412,DATABASE!C:Q,9,False)</f>
        <v>0</v>
      </c>
      <c r="Q10412" s="93" t="str">
        <f>VLOOKUP(E10412,DATABASE!C:Q,4,false)</f>
        <v>SPOORING SS/CARRY LOS BAK</v>
      </c>
      <c r="R10412" s="93" t="str">
        <f>VLOOKUP(E10412,DATABASE!C:Q,11,false)</f>
        <v>SERVICE</v>
      </c>
    </row>
    <row r="10413" ht="22.5" customHeight="1">
      <c r="A10413" s="49"/>
      <c r="C10413" s="400">
        <v>46286.0</v>
      </c>
      <c r="D10413" s="524">
        <v>949.0</v>
      </c>
      <c r="E10413" s="544" t="s">
        <v>251</v>
      </c>
      <c r="F10413" s="387">
        <v>1.0</v>
      </c>
      <c r="G10413" s="140">
        <v>350000.0</v>
      </c>
      <c r="H10413" s="140">
        <v>200000.0</v>
      </c>
      <c r="I10413" s="74">
        <f t="shared" si="7"/>
        <v>150000</v>
      </c>
      <c r="J10413" s="74">
        <f>IF(E10413="SERVICE",I10413-(I10413*50%),Vlookup(E10413,DATABASE!C:Q,10,false)*F10413)</f>
        <v>75000</v>
      </c>
      <c r="K10413" s="74">
        <f>VLOOKUP(E10413,DATABASE!C:Q,7,false)</f>
        <v>0</v>
      </c>
      <c r="L10413" s="74">
        <v>0.0</v>
      </c>
      <c r="M10413" s="74">
        <f t="shared" si="6"/>
        <v>0</v>
      </c>
      <c r="N10413" s="74">
        <f t="shared" si="9"/>
        <v>75000</v>
      </c>
      <c r="O10413" s="65" t="str">
        <f>VLOOKUP(E10413,DATABASE!C:Q,8,false)</f>
        <v>IBU</v>
      </c>
      <c r="P10413" s="65">
        <f>VLOOKUP(E10413,DATABASE!C:Q,9,False)</f>
        <v>0</v>
      </c>
      <c r="Q10413" s="93" t="str">
        <f>VLOOKUP(E10413,DATABASE!C:Q,4,false)</f>
        <v>SERVICE</v>
      </c>
      <c r="R10413" s="93" t="str">
        <f>VLOOKUP(E10413,DATABASE!C:Q,11,false)</f>
        <v>SERVICE</v>
      </c>
    </row>
    <row r="10414" ht="22.5" customHeight="1">
      <c r="A10414" s="49"/>
      <c r="C10414" s="400">
        <v>46286.0</v>
      </c>
      <c r="D10414" s="524">
        <v>950.0</v>
      </c>
      <c r="E10414" s="544" t="s">
        <v>271</v>
      </c>
      <c r="F10414" s="387">
        <v>2.0</v>
      </c>
      <c r="G10414" s="140">
        <v>660000.0</v>
      </c>
      <c r="H10414" s="74"/>
      <c r="I10414" s="74">
        <f t="shared" si="7"/>
        <v>1320000</v>
      </c>
      <c r="J10414" s="74">
        <f>IF(E10414="SERVICE",I10414-(I10414*50%),Vlookup(E10414,DATABASE!C:Q,10,false)*F10414)</f>
        <v>0</v>
      </c>
      <c r="K10414" s="74">
        <f>VLOOKUP(E10414,DATABASE!C:Q,7,false)</f>
        <v>570000</v>
      </c>
      <c r="L10414" s="74">
        <v>570000.0</v>
      </c>
      <c r="M10414" s="74">
        <f t="shared" si="6"/>
        <v>570000</v>
      </c>
      <c r="N10414" s="74">
        <f t="shared" si="9"/>
        <v>180000</v>
      </c>
      <c r="O10414" s="65" t="str">
        <f>VLOOKUP(E10414,DATABASE!C:Q,8,false)</f>
        <v>IBU</v>
      </c>
      <c r="P10414" s="65">
        <f>VLOOKUP(E10414,DATABASE!C:Q,9,False)</f>
        <v>1</v>
      </c>
      <c r="Q10414" s="93" t="str">
        <f>VLOOKUP(E10414,DATABASE!C:Q,4,false)</f>
        <v>Dunlop</v>
      </c>
      <c r="R10414" s="93" t="str">
        <f>VLOOKUP(E10414,DATABASE!C:Q,11,false)</f>
        <v>Tire</v>
      </c>
    </row>
    <row r="10415" ht="22.5" customHeight="1">
      <c r="A10415" s="49"/>
      <c r="C10415" s="400">
        <v>46286.0</v>
      </c>
      <c r="D10415" s="524">
        <v>951.0</v>
      </c>
      <c r="E10415" s="544" t="s">
        <v>937</v>
      </c>
      <c r="F10415" s="387">
        <v>1.0</v>
      </c>
      <c r="G10415" s="140">
        <v>920000.0</v>
      </c>
      <c r="H10415" s="74"/>
      <c r="I10415" s="74">
        <f t="shared" si="7"/>
        <v>920000</v>
      </c>
      <c r="J10415" s="74">
        <f>IF(E10415="SERVICE",I10415-(I10415*50%),Vlookup(E10415,DATABASE!C:Q,10,false)*F10415)</f>
        <v>0</v>
      </c>
      <c r="K10415" s="74">
        <f>VLOOKUP(E10415,DATABASE!C:Q,7,false)</f>
        <v>825000</v>
      </c>
      <c r="L10415" s="74">
        <v>825000.0</v>
      </c>
      <c r="M10415" s="74">
        <f t="shared" si="6"/>
        <v>825000</v>
      </c>
      <c r="N10415" s="74">
        <f t="shared" si="9"/>
        <v>95000</v>
      </c>
      <c r="O10415" s="65" t="str">
        <f>VLOOKUP(E10415,DATABASE!C:Q,8,false)</f>
        <v>IBU</v>
      </c>
      <c r="P10415" s="65">
        <f>VLOOKUP(E10415,DATABASE!C:Q,9,False)</f>
        <v>1</v>
      </c>
      <c r="Q10415" s="93" t="str">
        <f>VLOOKUP(E10415,DATABASE!C:Q,4,false)</f>
        <v>Bridgestone</v>
      </c>
      <c r="R10415" s="93" t="str">
        <f>VLOOKUP(E10415,DATABASE!C:Q,11,false)</f>
        <v>Tire</v>
      </c>
    </row>
    <row r="10416" ht="22.5" customHeight="1">
      <c r="A10416" s="49"/>
      <c r="C10416" s="400">
        <v>46286.0</v>
      </c>
      <c r="D10416" s="524">
        <v>952.0</v>
      </c>
      <c r="E10416" s="544" t="s">
        <v>256</v>
      </c>
      <c r="F10416" s="387">
        <v>1.0</v>
      </c>
      <c r="G10416" s="140">
        <v>175000.0</v>
      </c>
      <c r="H10416" s="140">
        <v>25000.0</v>
      </c>
      <c r="I10416" s="74">
        <f t="shared" si="7"/>
        <v>150000</v>
      </c>
      <c r="J10416" s="74">
        <f>IF(E10416="SERVICE",I10416-(I10416*50%),Vlookup(E10416,DATABASE!C:Q,10,false)*F10416)</f>
        <v>10000</v>
      </c>
      <c r="K10416" s="74">
        <f>VLOOKUP(E10416,DATABASE!C:Q,7,false)</f>
        <v>0</v>
      </c>
      <c r="L10416" s="74">
        <v>0.0</v>
      </c>
      <c r="M10416" s="74">
        <f t="shared" si="6"/>
        <v>0</v>
      </c>
      <c r="N10416" s="74">
        <f t="shared" si="9"/>
        <v>140000</v>
      </c>
      <c r="O10416" s="65" t="str">
        <f>VLOOKUP(E10416,DATABASE!C:Q,8,false)</f>
        <v>IBU</v>
      </c>
      <c r="P10416" s="65">
        <f>VLOOKUP(E10416,DATABASE!C:Q,9,False)</f>
        <v>0</v>
      </c>
      <c r="Q10416" s="93" t="str">
        <f>VLOOKUP(E10416,DATABASE!C:Q,4,false)</f>
        <v>SPOORING</v>
      </c>
      <c r="R10416" s="93" t="str">
        <f>VLOOKUP(E10416,DATABASE!C:Q,11,false)</f>
        <v>SERVICE</v>
      </c>
    </row>
    <row r="10417" ht="22.5" customHeight="1">
      <c r="A10417" s="49"/>
      <c r="C10417" s="400">
        <v>46286.0</v>
      </c>
      <c r="D10417" s="524">
        <v>952.0</v>
      </c>
      <c r="E10417" s="544" t="s">
        <v>299</v>
      </c>
      <c r="F10417" s="387">
        <v>2.0</v>
      </c>
      <c r="G10417" s="140">
        <v>30000.0</v>
      </c>
      <c r="H10417" s="74"/>
      <c r="I10417" s="74">
        <f t="shared" si="7"/>
        <v>60000</v>
      </c>
      <c r="J10417" s="74">
        <f>IF(E10417="SERVICE",I10417-(I10417*50%),Vlookup(E10417,DATABASE!C:Q,10,false)*F10417)</f>
        <v>0</v>
      </c>
      <c r="K10417" s="74">
        <f>VLOOKUP(E10417,DATABASE!C:Q,7,false)</f>
        <v>10000</v>
      </c>
      <c r="L10417" s="74">
        <v>10000.0</v>
      </c>
      <c r="M10417" s="74">
        <f t="shared" si="6"/>
        <v>10000</v>
      </c>
      <c r="N10417" s="74">
        <f t="shared" si="9"/>
        <v>40000</v>
      </c>
      <c r="O10417" s="65" t="str">
        <f>VLOOKUP(E10417,DATABASE!C:Q,8,false)</f>
        <v>BIAN</v>
      </c>
      <c r="P10417" s="65">
        <f>VLOOKUP(E10417,DATABASE!C:Q,9,False)</f>
        <v>0</v>
      </c>
      <c r="Q10417" s="93" t="str">
        <f>VLOOKUP(E10417,DATABASE!C:Q,4,false)</f>
        <v>Balancing</v>
      </c>
      <c r="R10417" s="93" t="str">
        <f>VLOOKUP(E10417,DATABASE!C:Q,11,false)</f>
        <v>COMPLEMENTARY</v>
      </c>
    </row>
    <row r="10418" ht="22.5" customHeight="1">
      <c r="A10418" s="49"/>
      <c r="C10418" s="400">
        <v>46286.0</v>
      </c>
      <c r="D10418" s="524">
        <v>952.0</v>
      </c>
      <c r="E10418" s="544" t="s">
        <v>251</v>
      </c>
      <c r="F10418" s="387">
        <v>1.0</v>
      </c>
      <c r="G10418" s="140">
        <v>350000.0</v>
      </c>
      <c r="H10418" s="140">
        <v>200000.0</v>
      </c>
      <c r="I10418" s="74">
        <f t="shared" si="7"/>
        <v>150000</v>
      </c>
      <c r="J10418" s="74">
        <f>IF(E10418="SERVICE",I10418-(I10418*50%),Vlookup(E10418,DATABASE!C:Q,10,false)*F10418)</f>
        <v>75000</v>
      </c>
      <c r="K10418" s="74">
        <f>VLOOKUP(E10418,DATABASE!C:Q,7,false)</f>
        <v>0</v>
      </c>
      <c r="L10418" s="74">
        <v>0.0</v>
      </c>
      <c r="M10418" s="74">
        <f t="shared" si="6"/>
        <v>0</v>
      </c>
      <c r="N10418" s="74">
        <f t="shared" si="9"/>
        <v>75000</v>
      </c>
      <c r="O10418" s="65" t="str">
        <f>VLOOKUP(E10418,DATABASE!C:Q,8,false)</f>
        <v>IBU</v>
      </c>
      <c r="P10418" s="65">
        <f>VLOOKUP(E10418,DATABASE!C:Q,9,False)</f>
        <v>0</v>
      </c>
      <c r="Q10418" s="93" t="str">
        <f>VLOOKUP(E10418,DATABASE!C:Q,4,false)</f>
        <v>SERVICE</v>
      </c>
      <c r="R10418" s="93" t="str">
        <f>VLOOKUP(E10418,DATABASE!C:Q,11,false)</f>
        <v>SERVICE</v>
      </c>
    </row>
    <row r="10419" ht="22.5" customHeight="1">
      <c r="A10419" s="49"/>
      <c r="C10419" s="400">
        <v>46286.0</v>
      </c>
      <c r="D10419" s="524">
        <v>953.0</v>
      </c>
      <c r="E10419" s="544" t="s">
        <v>265</v>
      </c>
      <c r="F10419" s="387">
        <v>2.0</v>
      </c>
      <c r="G10419" s="140">
        <v>715000.0</v>
      </c>
      <c r="H10419" s="74"/>
      <c r="I10419" s="74">
        <f t="shared" si="7"/>
        <v>1430000</v>
      </c>
      <c r="J10419" s="74">
        <f>IF(E10419="SERVICE",I10419-(I10419*50%),Vlookup(E10419,DATABASE!C:Q,10,false)*F10419)</f>
        <v>0</v>
      </c>
      <c r="K10419" s="74">
        <f>VLOOKUP(E10419,DATABASE!C:Q,7,false)</f>
        <v>628000</v>
      </c>
      <c r="L10419" s="74">
        <v>628000.0</v>
      </c>
      <c r="M10419" s="74">
        <f t="shared" si="6"/>
        <v>630000</v>
      </c>
      <c r="N10419" s="74">
        <f t="shared" si="9"/>
        <v>170000</v>
      </c>
      <c r="O10419" s="65" t="str">
        <f>VLOOKUP(E10419,DATABASE!C:Q,8,false)</f>
        <v>IBU</v>
      </c>
      <c r="P10419" s="65">
        <f>VLOOKUP(E10419,DATABASE!C:Q,9,False)</f>
        <v>1</v>
      </c>
      <c r="Q10419" s="93" t="str">
        <f>VLOOKUP(E10419,DATABASE!C:Q,4,false)</f>
        <v>Dunlop</v>
      </c>
      <c r="R10419" s="93" t="str">
        <f>VLOOKUP(E10419,DATABASE!C:Q,11,false)</f>
        <v>Tire</v>
      </c>
    </row>
    <row r="10420" ht="22.5" customHeight="1">
      <c r="A10420" s="49"/>
      <c r="C10420" s="400">
        <v>46286.0</v>
      </c>
      <c r="D10420" s="524">
        <v>954.0</v>
      </c>
      <c r="E10420" s="544" t="s">
        <v>256</v>
      </c>
      <c r="F10420" s="387">
        <v>1.0</v>
      </c>
      <c r="G10420" s="140">
        <v>175000.0</v>
      </c>
      <c r="H10420" s="140">
        <v>25000.0</v>
      </c>
      <c r="I10420" s="74">
        <f t="shared" si="7"/>
        <v>150000</v>
      </c>
      <c r="J10420" s="74">
        <f>IF(E10420="SERVICE",I10420-(I10420*50%),Vlookup(E10420,DATABASE!C:Q,10,false)*F10420)</f>
        <v>10000</v>
      </c>
      <c r="K10420" s="74">
        <f>VLOOKUP(E10420,DATABASE!C:Q,7,false)</f>
        <v>0</v>
      </c>
      <c r="L10420" s="74">
        <v>0.0</v>
      </c>
      <c r="M10420" s="74">
        <f t="shared" si="6"/>
        <v>0</v>
      </c>
      <c r="N10420" s="74">
        <f t="shared" si="9"/>
        <v>140000</v>
      </c>
      <c r="O10420" s="65" t="str">
        <f>VLOOKUP(E10420,DATABASE!C:Q,8,false)</f>
        <v>IBU</v>
      </c>
      <c r="P10420" s="65">
        <f>VLOOKUP(E10420,DATABASE!C:Q,9,False)</f>
        <v>0</v>
      </c>
      <c r="Q10420" s="93" t="str">
        <f>VLOOKUP(E10420,DATABASE!C:Q,4,false)</f>
        <v>SPOORING</v>
      </c>
      <c r="R10420" s="93" t="str">
        <f>VLOOKUP(E10420,DATABASE!C:Q,11,false)</f>
        <v>SERVICE</v>
      </c>
    </row>
    <row r="10421" ht="22.5" customHeight="1">
      <c r="A10421" s="49"/>
      <c r="C10421" s="400">
        <v>46287.0</v>
      </c>
      <c r="D10421" s="524">
        <v>958.0</v>
      </c>
      <c r="E10421" s="544" t="s">
        <v>268</v>
      </c>
      <c r="F10421" s="387">
        <v>2.0</v>
      </c>
      <c r="G10421" s="140">
        <v>740000.0</v>
      </c>
      <c r="H10421" s="74"/>
      <c r="I10421" s="74">
        <f t="shared" si="7"/>
        <v>1480000</v>
      </c>
      <c r="J10421" s="74">
        <f>IF(E10421="SERVICE",I10421-(I10421*50%),Vlookup(E10421,DATABASE!C:Q,10,false)*F10421)</f>
        <v>0</v>
      </c>
      <c r="K10421" s="74">
        <f>VLOOKUP(E10421,DATABASE!C:Q,7,false)</f>
        <v>653000</v>
      </c>
      <c r="L10421" s="74">
        <v>653000.0</v>
      </c>
      <c r="M10421" s="74">
        <f t="shared" si="6"/>
        <v>655000</v>
      </c>
      <c r="N10421" s="74">
        <f t="shared" si="9"/>
        <v>170000</v>
      </c>
      <c r="O10421" s="65" t="str">
        <f>VLOOKUP(E10421,DATABASE!C:Q,8,false)</f>
        <v>IBU</v>
      </c>
      <c r="P10421" s="65">
        <f>VLOOKUP(E10421,DATABASE!C:Q,9,False)</f>
        <v>1</v>
      </c>
      <c r="Q10421" s="93" t="str">
        <f>VLOOKUP(E10421,DATABASE!C:Q,4,false)</f>
        <v>Dunlop</v>
      </c>
      <c r="R10421" s="93" t="str">
        <f>VLOOKUP(E10421,DATABASE!C:Q,11,false)</f>
        <v>Tire</v>
      </c>
    </row>
    <row r="10422" ht="22.5" customHeight="1">
      <c r="A10422" s="49"/>
      <c r="C10422" s="400">
        <v>46287.0</v>
      </c>
      <c r="D10422" s="524">
        <v>957.0</v>
      </c>
      <c r="E10422" s="544" t="s">
        <v>256</v>
      </c>
      <c r="F10422" s="387">
        <v>1.0</v>
      </c>
      <c r="G10422" s="140">
        <v>175000.0</v>
      </c>
      <c r="H10422" s="140">
        <v>25000.0</v>
      </c>
      <c r="I10422" s="74">
        <f t="shared" si="7"/>
        <v>150000</v>
      </c>
      <c r="J10422" s="74">
        <f>IF(E10422="SERVICE",I10422-(I10422*50%),Vlookup(E10422,DATABASE!C:Q,10,false)*F10422)</f>
        <v>10000</v>
      </c>
      <c r="K10422" s="74">
        <f>VLOOKUP(E10422,DATABASE!C:Q,7,false)</f>
        <v>0</v>
      </c>
      <c r="L10422" s="74">
        <v>0.0</v>
      </c>
      <c r="M10422" s="74">
        <f t="shared" si="6"/>
        <v>0</v>
      </c>
      <c r="N10422" s="74">
        <f t="shared" si="9"/>
        <v>140000</v>
      </c>
      <c r="O10422" s="65" t="str">
        <f>VLOOKUP(E10422,DATABASE!C:Q,8,false)</f>
        <v>IBU</v>
      </c>
      <c r="P10422" s="65">
        <f>VLOOKUP(E10422,DATABASE!C:Q,9,False)</f>
        <v>0</v>
      </c>
      <c r="Q10422" s="93" t="str">
        <f>VLOOKUP(E10422,DATABASE!C:Q,4,false)</f>
        <v>SPOORING</v>
      </c>
      <c r="R10422" s="93" t="str">
        <f>VLOOKUP(E10422,DATABASE!C:Q,11,false)</f>
        <v>SERVICE</v>
      </c>
    </row>
    <row r="10423" ht="22.5" customHeight="1">
      <c r="A10423" s="49"/>
      <c r="C10423" s="400">
        <v>46287.0</v>
      </c>
      <c r="D10423" s="524">
        <v>960.0</v>
      </c>
      <c r="E10423" s="544" t="s">
        <v>262</v>
      </c>
      <c r="F10423" s="387">
        <v>1.0</v>
      </c>
      <c r="G10423" s="140">
        <v>130000.0</v>
      </c>
      <c r="H10423" s="74"/>
      <c r="I10423" s="74">
        <f t="shared" si="7"/>
        <v>130000</v>
      </c>
      <c r="J10423" s="74">
        <f>IF(E10423="SERVICE",I10423-(I10423*50%),Vlookup(E10423,DATABASE!C:Q,10,false)*F10423)</f>
        <v>5000</v>
      </c>
      <c r="K10423" s="74">
        <f>VLOOKUP(E10423,DATABASE!C:Q,7,false)</f>
        <v>0</v>
      </c>
      <c r="L10423" s="74">
        <v>0.0</v>
      </c>
      <c r="M10423" s="74">
        <f t="shared" si="6"/>
        <v>0</v>
      </c>
      <c r="N10423" s="74">
        <f t="shared" si="9"/>
        <v>125000</v>
      </c>
      <c r="O10423" s="65" t="str">
        <f>VLOOKUP(E10423,DATABASE!C:Q,8,false)</f>
        <v>IBU</v>
      </c>
      <c r="P10423" s="65">
        <f>VLOOKUP(E10423,DATABASE!C:Q,9,False)</f>
        <v>0</v>
      </c>
      <c r="Q10423" s="93" t="str">
        <f>VLOOKUP(E10423,DATABASE!C:Q,4,false)</f>
        <v>SPOORING SS/CARRY LOS BAK</v>
      </c>
      <c r="R10423" s="93" t="str">
        <f>VLOOKUP(E10423,DATABASE!C:Q,11,false)</f>
        <v>SERVICE</v>
      </c>
    </row>
    <row r="10424" ht="22.5" customHeight="1">
      <c r="A10424" s="49"/>
      <c r="C10424" s="400">
        <v>46287.0</v>
      </c>
      <c r="D10424" s="524">
        <v>960.0</v>
      </c>
      <c r="E10424" s="544" t="s">
        <v>265</v>
      </c>
      <c r="F10424" s="387">
        <v>2.0</v>
      </c>
      <c r="G10424" s="140">
        <v>715000.0</v>
      </c>
      <c r="H10424" s="74"/>
      <c r="I10424" s="74">
        <f t="shared" si="7"/>
        <v>1430000</v>
      </c>
      <c r="J10424" s="74">
        <f>IF(E10424="SERVICE",I10424-(I10424*50%),Vlookup(E10424,DATABASE!C:Q,10,false)*F10424)</f>
        <v>0</v>
      </c>
      <c r="K10424" s="74">
        <f>VLOOKUP(E10424,DATABASE!C:Q,7,false)</f>
        <v>628000</v>
      </c>
      <c r="L10424" s="74">
        <v>628000.0</v>
      </c>
      <c r="M10424" s="74">
        <f t="shared" si="6"/>
        <v>630000</v>
      </c>
      <c r="N10424" s="74">
        <f t="shared" si="9"/>
        <v>170000</v>
      </c>
      <c r="O10424" s="65" t="str">
        <f>VLOOKUP(E10424,DATABASE!C:Q,8,false)</f>
        <v>IBU</v>
      </c>
      <c r="P10424" s="65">
        <f>VLOOKUP(E10424,DATABASE!C:Q,9,False)</f>
        <v>1</v>
      </c>
      <c r="Q10424" s="93" t="str">
        <f>VLOOKUP(E10424,DATABASE!C:Q,4,false)</f>
        <v>Dunlop</v>
      </c>
      <c r="R10424" s="93" t="str">
        <f>VLOOKUP(E10424,DATABASE!C:Q,11,false)</f>
        <v>Tire</v>
      </c>
    </row>
    <row r="10425" ht="22.5" customHeight="1">
      <c r="A10425" s="49"/>
      <c r="C10425" s="400">
        <v>46287.0</v>
      </c>
      <c r="D10425" s="69" t="s">
        <v>2944</v>
      </c>
      <c r="E10425" s="544" t="s">
        <v>2174</v>
      </c>
      <c r="F10425" s="387">
        <v>1.0</v>
      </c>
      <c r="G10425" s="140">
        <v>275000.0</v>
      </c>
      <c r="H10425" s="140">
        <v>5000.0</v>
      </c>
      <c r="I10425" s="74">
        <f t="shared" si="7"/>
        <v>270000</v>
      </c>
      <c r="J10425" s="74">
        <f>IF(E10425="SERVICE",I10425-(I10425*50%),Vlookup(E10425,DATABASE!C:Q,10,false)*F10425)</f>
        <v>0</v>
      </c>
      <c r="K10425" s="74">
        <f>VLOOKUP(E10425,DATABASE!C:Q,7,false)</f>
        <v>225314</v>
      </c>
      <c r="L10425" s="74">
        <v>225314.0</v>
      </c>
      <c r="M10425" s="74">
        <f t="shared" si="6"/>
        <v>230000</v>
      </c>
      <c r="N10425" s="74">
        <f t="shared" si="9"/>
        <v>40000</v>
      </c>
      <c r="O10425" s="65" t="str">
        <f>VLOOKUP(E10425,DATABASE!C:Q,8,false)</f>
        <v>NON</v>
      </c>
      <c r="P10425" s="65">
        <f>VLOOKUP(E10425,DATABASE!C:Q,9,False)</f>
        <v>0</v>
      </c>
      <c r="Q10425" s="93" t="str">
        <f>VLOOKUP(E10425,DATABASE!C:Q,4,false)</f>
        <v>Shell</v>
      </c>
      <c r="R10425" s="93" t="str">
        <f>VLOOKUP(E10425,DATABASE!C:Q,11,false)</f>
        <v>OIL</v>
      </c>
    </row>
    <row r="10426" ht="22.5" customHeight="1">
      <c r="A10426" s="49"/>
      <c r="C10426" s="400">
        <v>46287.0</v>
      </c>
      <c r="D10426" s="524">
        <v>961.0</v>
      </c>
      <c r="E10426" s="544" t="s">
        <v>256</v>
      </c>
      <c r="F10426" s="387">
        <v>1.0</v>
      </c>
      <c r="G10426" s="140">
        <v>175000.0</v>
      </c>
      <c r="H10426" s="140">
        <v>25000.0</v>
      </c>
      <c r="I10426" s="74">
        <f t="shared" si="7"/>
        <v>150000</v>
      </c>
      <c r="J10426" s="74">
        <f>IF(E10426="SERVICE",I10426-(I10426*50%),Vlookup(E10426,DATABASE!C:Q,10,false)*F10426)</f>
        <v>10000</v>
      </c>
      <c r="K10426" s="74">
        <f>VLOOKUP(E10426,DATABASE!C:Q,7,false)</f>
        <v>0</v>
      </c>
      <c r="L10426" s="74">
        <v>0.0</v>
      </c>
      <c r="M10426" s="74">
        <f t="shared" si="6"/>
        <v>0</v>
      </c>
      <c r="N10426" s="74">
        <f t="shared" si="9"/>
        <v>140000</v>
      </c>
      <c r="O10426" s="65" t="str">
        <f>VLOOKUP(E10426,DATABASE!C:Q,8,false)</f>
        <v>IBU</v>
      </c>
      <c r="P10426" s="65">
        <f>VLOOKUP(E10426,DATABASE!C:Q,9,False)</f>
        <v>0</v>
      </c>
      <c r="Q10426" s="93" t="str">
        <f>VLOOKUP(E10426,DATABASE!C:Q,4,false)</f>
        <v>SPOORING</v>
      </c>
      <c r="R10426" s="93" t="str">
        <f>VLOOKUP(E10426,DATABASE!C:Q,11,false)</f>
        <v>SERVICE</v>
      </c>
    </row>
    <row r="10427" ht="22.5" customHeight="1">
      <c r="A10427" s="49"/>
      <c r="C10427" s="400">
        <v>46287.0</v>
      </c>
      <c r="D10427" s="524">
        <v>961.0</v>
      </c>
      <c r="E10427" s="544" t="s">
        <v>301</v>
      </c>
      <c r="F10427" s="387">
        <v>1.0</v>
      </c>
      <c r="G10427" s="140">
        <v>250000.0</v>
      </c>
      <c r="H10427" s="74"/>
      <c r="I10427" s="74">
        <f t="shared" si="7"/>
        <v>250000</v>
      </c>
      <c r="J10427" s="74">
        <f>IF(E10427="SERVICE",I10427-(I10427*50%),Vlookup(E10427,DATABASE!C:Q,10,false)*F10427)</f>
        <v>75000</v>
      </c>
      <c r="K10427" s="74">
        <f>VLOOKUP(E10427,DATABASE!C:Q,7,false)</f>
        <v>75000</v>
      </c>
      <c r="L10427" s="74">
        <v>75000.0</v>
      </c>
      <c r="M10427" s="74">
        <f t="shared" si="6"/>
        <v>75000</v>
      </c>
      <c r="N10427" s="74">
        <f t="shared" si="9"/>
        <v>100000</v>
      </c>
      <c r="O10427" s="65" t="str">
        <f>VLOOKUP(E10427,DATABASE!C:Q,8,false)</f>
        <v>BIAN</v>
      </c>
      <c r="P10427" s="65">
        <f>VLOOKUP(E10427,DATABASE!C:Q,9,False)</f>
        <v>0</v>
      </c>
      <c r="Q10427" s="93" t="str">
        <f>VLOOKUP(E10427,DATABASE!C:Q,4,false)</f>
        <v>Baut Camber</v>
      </c>
      <c r="R10427" s="93" t="str">
        <f>VLOOKUP(E10427,DATABASE!C:Q,11,false)</f>
        <v>COMPLEMENTARY</v>
      </c>
    </row>
    <row r="10428" ht="22.5" customHeight="1">
      <c r="A10428" s="49"/>
      <c r="C10428" s="400">
        <v>46287.0</v>
      </c>
      <c r="D10428" s="524">
        <v>961.0</v>
      </c>
      <c r="E10428" s="544" t="s">
        <v>299</v>
      </c>
      <c r="F10428" s="387">
        <v>2.0</v>
      </c>
      <c r="G10428" s="140">
        <v>30000.0</v>
      </c>
      <c r="H10428" s="74"/>
      <c r="I10428" s="74">
        <f t="shared" si="7"/>
        <v>60000</v>
      </c>
      <c r="J10428" s="74">
        <f>IF(E10428="SERVICE",I10428-(I10428*50%),Vlookup(E10428,DATABASE!C:Q,10,false)*F10428)</f>
        <v>0</v>
      </c>
      <c r="K10428" s="74">
        <f>VLOOKUP(E10428,DATABASE!C:Q,7,false)</f>
        <v>10000</v>
      </c>
      <c r="L10428" s="74">
        <v>10000.0</v>
      </c>
      <c r="M10428" s="74">
        <f t="shared" si="6"/>
        <v>10000</v>
      </c>
      <c r="N10428" s="74">
        <f t="shared" si="9"/>
        <v>40000</v>
      </c>
      <c r="O10428" s="65" t="str">
        <f>VLOOKUP(E10428,DATABASE!C:Q,8,false)</f>
        <v>BIAN</v>
      </c>
      <c r="P10428" s="65">
        <f>VLOOKUP(E10428,DATABASE!C:Q,9,False)</f>
        <v>0</v>
      </c>
      <c r="Q10428" s="93" t="str">
        <f>VLOOKUP(E10428,DATABASE!C:Q,4,false)</f>
        <v>Balancing</v>
      </c>
      <c r="R10428" s="93" t="str">
        <f>VLOOKUP(E10428,DATABASE!C:Q,11,false)</f>
        <v>COMPLEMENTARY</v>
      </c>
    </row>
    <row r="10429" ht="22.5" customHeight="1">
      <c r="A10429" s="49"/>
      <c r="C10429" s="400">
        <v>46287.0</v>
      </c>
      <c r="D10429" s="524">
        <v>962.0</v>
      </c>
      <c r="E10429" s="544" t="s">
        <v>600</v>
      </c>
      <c r="F10429" s="387">
        <v>2.0</v>
      </c>
      <c r="G10429" s="140">
        <v>700000.0</v>
      </c>
      <c r="H10429" s="74"/>
      <c r="I10429" s="74">
        <f t="shared" si="7"/>
        <v>1400000</v>
      </c>
      <c r="J10429" s="74">
        <f>IF(E10429="SERVICE",I10429-(I10429*50%),Vlookup(E10429,DATABASE!C:Q,10,false)*F10429)</f>
        <v>0</v>
      </c>
      <c r="K10429" s="74">
        <f>VLOOKUP(E10429,DATABASE!C:Q,7,false)</f>
        <v>611109.16</v>
      </c>
      <c r="L10429" s="74">
        <v>611109.16</v>
      </c>
      <c r="M10429" s="74">
        <f t="shared" si="6"/>
        <v>615000</v>
      </c>
      <c r="N10429" s="74">
        <f t="shared" si="9"/>
        <v>170000</v>
      </c>
      <c r="O10429" s="65" t="str">
        <f>VLOOKUP(E10429,DATABASE!C:Q,8,false)</f>
        <v>IBU</v>
      </c>
      <c r="P10429" s="65">
        <f>VLOOKUP(E10429,DATABASE!C:Q,9,False)</f>
        <v>1</v>
      </c>
      <c r="Q10429" s="93" t="str">
        <f>VLOOKUP(E10429,DATABASE!C:Q,4,false)</f>
        <v>Bridgestone</v>
      </c>
      <c r="R10429" s="93" t="str">
        <f>VLOOKUP(E10429,DATABASE!C:Q,11,false)</f>
        <v>Tire</v>
      </c>
    </row>
    <row r="10430" ht="22.5" customHeight="1">
      <c r="A10430" s="49"/>
      <c r="C10430" s="400">
        <v>46287.0</v>
      </c>
      <c r="D10430" s="524">
        <v>963.0</v>
      </c>
      <c r="E10430" s="544" t="s">
        <v>262</v>
      </c>
      <c r="F10430" s="387">
        <v>1.0</v>
      </c>
      <c r="G10430" s="140">
        <v>130000.0</v>
      </c>
      <c r="H10430" s="74"/>
      <c r="I10430" s="74">
        <f t="shared" si="7"/>
        <v>130000</v>
      </c>
      <c r="J10430" s="74">
        <f>IF(E10430="SERVICE",I10430-(I10430*50%),Vlookup(E10430,DATABASE!C:Q,10,false)*F10430)</f>
        <v>5000</v>
      </c>
      <c r="K10430" s="74">
        <f>VLOOKUP(E10430,DATABASE!C:Q,7,false)</f>
        <v>0</v>
      </c>
      <c r="L10430" s="74">
        <v>0.0</v>
      </c>
      <c r="M10430" s="74">
        <f t="shared" si="6"/>
        <v>0</v>
      </c>
      <c r="N10430" s="74">
        <f t="shared" si="9"/>
        <v>125000</v>
      </c>
      <c r="O10430" s="65" t="str">
        <f>VLOOKUP(E10430,DATABASE!C:Q,8,false)</f>
        <v>IBU</v>
      </c>
      <c r="P10430" s="65">
        <f>VLOOKUP(E10430,DATABASE!C:Q,9,False)</f>
        <v>0</v>
      </c>
      <c r="Q10430" s="93" t="str">
        <f>VLOOKUP(E10430,DATABASE!C:Q,4,false)</f>
        <v>SPOORING SS/CARRY LOS BAK</v>
      </c>
      <c r="R10430" s="93" t="str">
        <f>VLOOKUP(E10430,DATABASE!C:Q,11,false)</f>
        <v>SERVICE</v>
      </c>
    </row>
    <row r="10431" ht="22.5" customHeight="1">
      <c r="A10431" s="49"/>
      <c r="C10431" s="400">
        <v>46287.0</v>
      </c>
      <c r="D10431" s="524">
        <v>963.0</v>
      </c>
      <c r="E10431" s="544" t="s">
        <v>2636</v>
      </c>
      <c r="F10431" s="387">
        <v>2.0</v>
      </c>
      <c r="G10431" s="140">
        <v>50000.0</v>
      </c>
      <c r="H10431" s="74"/>
      <c r="I10431" s="74">
        <f t="shared" si="7"/>
        <v>100000</v>
      </c>
      <c r="J10431" s="74">
        <f>IF(E10431="SERVICE",I10431-(I10431*50%),Vlookup(E10431,DATABASE!C:Q,10,false)*F10431)</f>
        <v>0</v>
      </c>
      <c r="K10431" s="74">
        <f>VLOOKUP(E10431,DATABASE!C:Q,7,false)</f>
        <v>27375</v>
      </c>
      <c r="L10431" s="74">
        <v>27375.0</v>
      </c>
      <c r="M10431" s="74">
        <f t="shared" si="6"/>
        <v>30000</v>
      </c>
      <c r="N10431" s="74">
        <f t="shared" si="9"/>
        <v>40000</v>
      </c>
      <c r="O10431" s="65" t="str">
        <f>VLOOKUP(E10431,DATABASE!C:Q,8,false)</f>
        <v>NON VPT</v>
      </c>
      <c r="P10431" s="65">
        <f>VLOOKUP(E10431,DATABASE!C:Q,9,False)</f>
        <v>0</v>
      </c>
      <c r="Q10431" s="93" t="str">
        <f>VLOOKUP(E10431,DATABASE!C:Q,4,false)</f>
        <v>JF</v>
      </c>
      <c r="R10431" s="93" t="str">
        <f>VLOOKUP(E10431,DATABASE!C:Q,11,false)</f>
        <v>COMPLEMENTARY</v>
      </c>
    </row>
    <row r="10432" ht="22.5" customHeight="1">
      <c r="A10432" s="49"/>
      <c r="C10432" s="400">
        <v>46287.0</v>
      </c>
      <c r="D10432" s="524">
        <v>963.0</v>
      </c>
      <c r="E10432" s="544" t="s">
        <v>2643</v>
      </c>
      <c r="F10432" s="387">
        <v>1.0</v>
      </c>
      <c r="G10432" s="140">
        <v>50000.0</v>
      </c>
      <c r="H10432" s="74"/>
      <c r="I10432" s="74">
        <f t="shared" si="7"/>
        <v>50000</v>
      </c>
      <c r="J10432" s="74">
        <f>IF(E10432="SERVICE",I10432-(I10432*50%),Vlookup(E10432,DATABASE!C:Q,10,false)*F10432)</f>
        <v>0</v>
      </c>
      <c r="K10432" s="74">
        <f>VLOOKUP(E10432,DATABASE!C:Q,7,false)</f>
        <v>22500</v>
      </c>
      <c r="L10432" s="74">
        <v>22500.0</v>
      </c>
      <c r="M10432" s="74">
        <f t="shared" si="6"/>
        <v>25000</v>
      </c>
      <c r="N10432" s="74">
        <f t="shared" si="9"/>
        <v>25000</v>
      </c>
      <c r="O10432" s="65" t="str">
        <f>VLOOKUP(E10432,DATABASE!C:Q,8,false)</f>
        <v>NON VPT</v>
      </c>
      <c r="P10432" s="65">
        <f>VLOOKUP(E10432,DATABASE!C:Q,9,False)</f>
        <v>0</v>
      </c>
      <c r="Q10432" s="93" t="str">
        <f>VLOOKUP(E10432,DATABASE!C:Q,4,false)</f>
        <v>Suzuki</v>
      </c>
      <c r="R10432" s="93" t="str">
        <f>VLOOKUP(E10432,DATABASE!C:Q,11,false)</f>
        <v>COMPLEMENTARY</v>
      </c>
    </row>
    <row r="10433" ht="22.5" customHeight="1">
      <c r="A10433" s="49"/>
      <c r="C10433" s="400">
        <v>46287.0</v>
      </c>
      <c r="D10433" s="524">
        <v>963.0</v>
      </c>
      <c r="E10433" s="544" t="s">
        <v>251</v>
      </c>
      <c r="F10433" s="387">
        <v>1.0</v>
      </c>
      <c r="G10433" s="140">
        <v>120000.0</v>
      </c>
      <c r="H10433" s="74"/>
      <c r="I10433" s="74">
        <f t="shared" si="7"/>
        <v>120000</v>
      </c>
      <c r="J10433" s="74">
        <f>IF(E10433="SERVICE",I10433-(I10433*50%),Vlookup(E10433,DATABASE!C:Q,10,false)*F10433)</f>
        <v>60000</v>
      </c>
      <c r="K10433" s="74">
        <f>VLOOKUP(E10433,DATABASE!C:Q,7,false)</f>
        <v>0</v>
      </c>
      <c r="L10433" s="74">
        <v>0.0</v>
      </c>
      <c r="M10433" s="74">
        <f t="shared" si="6"/>
        <v>0</v>
      </c>
      <c r="N10433" s="74">
        <f t="shared" si="9"/>
        <v>60000</v>
      </c>
      <c r="O10433" s="65" t="str">
        <f>VLOOKUP(E10433,DATABASE!C:Q,8,false)</f>
        <v>IBU</v>
      </c>
      <c r="P10433" s="65">
        <f>VLOOKUP(E10433,DATABASE!C:Q,9,False)</f>
        <v>0</v>
      </c>
      <c r="Q10433" s="93" t="str">
        <f>VLOOKUP(E10433,DATABASE!C:Q,4,false)</f>
        <v>SERVICE</v>
      </c>
      <c r="R10433" s="93" t="str">
        <f>VLOOKUP(E10433,DATABASE!C:Q,11,false)</f>
        <v>SERVICE</v>
      </c>
    </row>
    <row r="10434" ht="22.5" customHeight="1">
      <c r="A10434" s="49"/>
      <c r="C10434" s="400">
        <v>46288.0</v>
      </c>
      <c r="D10434" s="69" t="s">
        <v>2945</v>
      </c>
      <c r="E10434" s="544" t="s">
        <v>263</v>
      </c>
      <c r="F10434" s="387">
        <v>1.0</v>
      </c>
      <c r="G10434" s="140">
        <v>385000.0</v>
      </c>
      <c r="H10434" s="74"/>
      <c r="I10434" s="74">
        <f t="shared" si="7"/>
        <v>385000</v>
      </c>
      <c r="J10434" s="74">
        <f>IF(E10434="SERVICE",I10434-(I10434*50%),Vlookup(E10434,DATABASE!C:Q,10,false)*F10434)</f>
        <v>0</v>
      </c>
      <c r="K10434" s="74">
        <f>VLOOKUP(E10434,DATABASE!C:Q,7,false)</f>
        <v>334916</v>
      </c>
      <c r="L10434" s="74">
        <v>334916.0</v>
      </c>
      <c r="M10434" s="74">
        <f t="shared" si="6"/>
        <v>335000</v>
      </c>
      <c r="N10434" s="74">
        <f t="shared" si="9"/>
        <v>50000</v>
      </c>
      <c r="O10434" s="65" t="str">
        <f>VLOOKUP(E10434,DATABASE!C:Q,8,false)</f>
        <v>NON</v>
      </c>
      <c r="P10434" s="65">
        <f>VLOOKUP(E10434,DATABASE!C:Q,9,False)</f>
        <v>0</v>
      </c>
      <c r="Q10434" s="93" t="str">
        <f>VLOOKUP(E10434,DATABASE!C:Q,4,false)</f>
        <v>Shell</v>
      </c>
      <c r="R10434" s="93" t="str">
        <f>VLOOKUP(E10434,DATABASE!C:Q,11,false)</f>
        <v>OIL</v>
      </c>
    </row>
    <row r="10435" ht="22.5" customHeight="1">
      <c r="A10435" s="49"/>
      <c r="C10435" s="400">
        <v>46288.0</v>
      </c>
      <c r="D10435" s="524">
        <v>964.0</v>
      </c>
      <c r="E10435" s="544" t="s">
        <v>1175</v>
      </c>
      <c r="F10435" s="387">
        <v>2.0</v>
      </c>
      <c r="G10435" s="140">
        <v>980000.0</v>
      </c>
      <c r="H10435" s="74"/>
      <c r="I10435" s="74">
        <f t="shared" si="7"/>
        <v>1960000</v>
      </c>
      <c r="J10435" s="74">
        <f>IF(E10435="SERVICE",I10435-(I10435*50%),Vlookup(E10435,DATABASE!C:Q,10,false)*F10435)</f>
        <v>0</v>
      </c>
      <c r="K10435" s="74">
        <f>VLOOKUP(E10435,DATABASE!C:Q,7,false)</f>
        <v>889369.5</v>
      </c>
      <c r="L10435" s="74">
        <v>889369.5</v>
      </c>
      <c r="M10435" s="74">
        <f t="shared" si="6"/>
        <v>890000</v>
      </c>
      <c r="N10435" s="74">
        <f t="shared" si="9"/>
        <v>180000</v>
      </c>
      <c r="O10435" s="65" t="str">
        <f>VLOOKUP(E10435,DATABASE!C:Q,8,false)</f>
        <v>IBU</v>
      </c>
      <c r="P10435" s="65">
        <f>VLOOKUP(E10435,DATABASE!C:Q,9,False)</f>
        <v>1</v>
      </c>
      <c r="Q10435" s="93" t="str">
        <f>VLOOKUP(E10435,DATABASE!C:Q,4,false)</f>
        <v>Bridgestone</v>
      </c>
      <c r="R10435" s="93" t="str">
        <f>VLOOKUP(E10435,DATABASE!C:Q,11,false)</f>
        <v>Tire</v>
      </c>
    </row>
    <row r="10436" ht="22.5" customHeight="1">
      <c r="A10436" s="49"/>
      <c r="C10436" s="400">
        <v>46288.0</v>
      </c>
      <c r="D10436" s="524">
        <v>965.0</v>
      </c>
      <c r="E10436" s="544" t="s">
        <v>268</v>
      </c>
      <c r="F10436" s="387">
        <v>1.0</v>
      </c>
      <c r="G10436" s="140">
        <v>740000.0</v>
      </c>
      <c r="H10436" s="74"/>
      <c r="I10436" s="74">
        <f t="shared" si="7"/>
        <v>740000</v>
      </c>
      <c r="J10436" s="74">
        <f>IF(E10436="SERVICE",I10436-(I10436*50%),Vlookup(E10436,DATABASE!C:Q,10,false)*F10436)</f>
        <v>0</v>
      </c>
      <c r="K10436" s="74">
        <f>VLOOKUP(E10436,DATABASE!C:Q,7,false)</f>
        <v>653000</v>
      </c>
      <c r="L10436" s="74">
        <v>653000.0</v>
      </c>
      <c r="M10436" s="74">
        <f t="shared" si="6"/>
        <v>655000</v>
      </c>
      <c r="N10436" s="74">
        <f t="shared" si="9"/>
        <v>85000</v>
      </c>
      <c r="O10436" s="65" t="str">
        <f>VLOOKUP(E10436,DATABASE!C:Q,8,false)</f>
        <v>IBU</v>
      </c>
      <c r="P10436" s="65">
        <f>VLOOKUP(E10436,DATABASE!C:Q,9,False)</f>
        <v>1</v>
      </c>
      <c r="Q10436" s="93" t="str">
        <f>VLOOKUP(E10436,DATABASE!C:Q,4,false)</f>
        <v>Dunlop</v>
      </c>
      <c r="R10436" s="93" t="str">
        <f>VLOOKUP(E10436,DATABASE!C:Q,11,false)</f>
        <v>Tire</v>
      </c>
    </row>
    <row r="10437" ht="22.5" customHeight="1">
      <c r="A10437" s="49"/>
      <c r="C10437" s="400">
        <v>46288.0</v>
      </c>
      <c r="D10437" s="524">
        <v>966.0</v>
      </c>
      <c r="E10437" s="544" t="s">
        <v>256</v>
      </c>
      <c r="F10437" s="387">
        <v>1.0</v>
      </c>
      <c r="G10437" s="140">
        <v>175000.0</v>
      </c>
      <c r="H10437" s="140">
        <v>25000.0</v>
      </c>
      <c r="I10437" s="74">
        <f t="shared" si="7"/>
        <v>150000</v>
      </c>
      <c r="J10437" s="74">
        <f>IF(E10437="SERVICE",I10437-(I10437*50%),Vlookup(E10437,DATABASE!C:Q,10,false)*F10437)</f>
        <v>10000</v>
      </c>
      <c r="K10437" s="74">
        <f>VLOOKUP(E10437,DATABASE!C:Q,7,false)</f>
        <v>0</v>
      </c>
      <c r="L10437" s="74">
        <v>0.0</v>
      </c>
      <c r="M10437" s="74">
        <f t="shared" si="6"/>
        <v>0</v>
      </c>
      <c r="N10437" s="74">
        <f t="shared" si="9"/>
        <v>140000</v>
      </c>
      <c r="O10437" s="65" t="str">
        <f>VLOOKUP(E10437,DATABASE!C:Q,8,false)</f>
        <v>IBU</v>
      </c>
      <c r="P10437" s="65">
        <f>VLOOKUP(E10437,DATABASE!C:Q,9,False)</f>
        <v>0</v>
      </c>
      <c r="Q10437" s="93" t="str">
        <f>VLOOKUP(E10437,DATABASE!C:Q,4,false)</f>
        <v>SPOORING</v>
      </c>
      <c r="R10437" s="93" t="str">
        <f>VLOOKUP(E10437,DATABASE!C:Q,11,false)</f>
        <v>SERVICE</v>
      </c>
    </row>
    <row r="10438" ht="22.5" customHeight="1">
      <c r="A10438" s="49"/>
      <c r="C10438" s="400">
        <v>46288.0</v>
      </c>
      <c r="D10438" s="524">
        <v>966.0</v>
      </c>
      <c r="E10438" s="544" t="s">
        <v>301</v>
      </c>
      <c r="F10438" s="387">
        <v>1.0</v>
      </c>
      <c r="G10438" s="140">
        <v>250000.0</v>
      </c>
      <c r="H10438" s="74"/>
      <c r="I10438" s="74">
        <f t="shared" si="7"/>
        <v>250000</v>
      </c>
      <c r="J10438" s="74">
        <f>IF(E10438="SERVICE",I10438-(I10438*50%),Vlookup(E10438,DATABASE!C:Q,10,false)*F10438)</f>
        <v>75000</v>
      </c>
      <c r="K10438" s="74">
        <f>VLOOKUP(E10438,DATABASE!C:Q,7,false)</f>
        <v>75000</v>
      </c>
      <c r="L10438" s="74">
        <v>75000.0</v>
      </c>
      <c r="M10438" s="74">
        <f t="shared" si="6"/>
        <v>75000</v>
      </c>
      <c r="N10438" s="74">
        <f t="shared" si="9"/>
        <v>100000</v>
      </c>
      <c r="O10438" s="65" t="str">
        <f>VLOOKUP(E10438,DATABASE!C:Q,8,false)</f>
        <v>BIAN</v>
      </c>
      <c r="P10438" s="65">
        <f>VLOOKUP(E10438,DATABASE!C:Q,9,False)</f>
        <v>0</v>
      </c>
      <c r="Q10438" s="93" t="str">
        <f>VLOOKUP(E10438,DATABASE!C:Q,4,false)</f>
        <v>Baut Camber</v>
      </c>
      <c r="R10438" s="93" t="str">
        <f>VLOOKUP(E10438,DATABASE!C:Q,11,false)</f>
        <v>COMPLEMENTARY</v>
      </c>
    </row>
    <row r="10439" ht="22.5" customHeight="1">
      <c r="A10439" s="49"/>
      <c r="C10439" s="400">
        <v>46288.0</v>
      </c>
      <c r="D10439" s="524">
        <v>966.0</v>
      </c>
      <c r="E10439" s="544" t="s">
        <v>299</v>
      </c>
      <c r="F10439" s="387">
        <v>2.0</v>
      </c>
      <c r="G10439" s="140">
        <v>30000.0</v>
      </c>
      <c r="H10439" s="74"/>
      <c r="I10439" s="74">
        <f t="shared" si="7"/>
        <v>60000</v>
      </c>
      <c r="J10439" s="74">
        <f>IF(E10439="SERVICE",I10439-(I10439*50%),Vlookup(E10439,DATABASE!C:Q,10,false)*F10439)</f>
        <v>0</v>
      </c>
      <c r="K10439" s="74">
        <f>VLOOKUP(E10439,DATABASE!C:Q,7,false)</f>
        <v>10000</v>
      </c>
      <c r="L10439" s="74">
        <v>10000.0</v>
      </c>
      <c r="M10439" s="74">
        <f t="shared" si="6"/>
        <v>10000</v>
      </c>
      <c r="N10439" s="74">
        <f t="shared" si="9"/>
        <v>40000</v>
      </c>
      <c r="O10439" s="65" t="str">
        <f>VLOOKUP(E10439,DATABASE!C:Q,8,false)</f>
        <v>BIAN</v>
      </c>
      <c r="P10439" s="65">
        <f>VLOOKUP(E10439,DATABASE!C:Q,9,False)</f>
        <v>0</v>
      </c>
      <c r="Q10439" s="93" t="str">
        <f>VLOOKUP(E10439,DATABASE!C:Q,4,false)</f>
        <v>Balancing</v>
      </c>
      <c r="R10439" s="93" t="str">
        <f>VLOOKUP(E10439,DATABASE!C:Q,11,false)</f>
        <v>COMPLEMENTARY</v>
      </c>
    </row>
    <row r="10440" ht="22.5" customHeight="1">
      <c r="A10440" s="49"/>
      <c r="C10440" s="400">
        <v>46288.0</v>
      </c>
      <c r="D10440" s="69" t="s">
        <v>2945</v>
      </c>
      <c r="E10440" s="544" t="s">
        <v>2174</v>
      </c>
      <c r="F10440" s="387">
        <v>1.0</v>
      </c>
      <c r="G10440" s="140">
        <v>275000.0</v>
      </c>
      <c r="H10440" s="74"/>
      <c r="I10440" s="74">
        <f t="shared" si="7"/>
        <v>275000</v>
      </c>
      <c r="J10440" s="74">
        <f>IF(E10440="SERVICE",I10440-(I10440*50%),Vlookup(E10440,DATABASE!C:Q,10,false)*F10440)</f>
        <v>0</v>
      </c>
      <c r="K10440" s="74">
        <f>VLOOKUP(E10440,DATABASE!C:Q,7,false)</f>
        <v>225314</v>
      </c>
      <c r="L10440" s="74">
        <v>225314.0</v>
      </c>
      <c r="M10440" s="74">
        <f t="shared" si="6"/>
        <v>230000</v>
      </c>
      <c r="N10440" s="74">
        <f t="shared" si="9"/>
        <v>45000</v>
      </c>
      <c r="O10440" s="65" t="str">
        <f>VLOOKUP(E10440,DATABASE!C:Q,8,false)</f>
        <v>NON</v>
      </c>
      <c r="P10440" s="65">
        <f>VLOOKUP(E10440,DATABASE!C:Q,9,False)</f>
        <v>0</v>
      </c>
      <c r="Q10440" s="93" t="str">
        <f>VLOOKUP(E10440,DATABASE!C:Q,4,false)</f>
        <v>Shell</v>
      </c>
      <c r="R10440" s="93" t="str">
        <f>VLOOKUP(E10440,DATABASE!C:Q,11,false)</f>
        <v>OIL</v>
      </c>
    </row>
    <row r="10441" ht="22.5" customHeight="1">
      <c r="A10441" s="49"/>
      <c r="C10441" s="400">
        <v>46288.0</v>
      </c>
      <c r="D10441" s="524">
        <v>967.0</v>
      </c>
      <c r="E10441" s="544" t="s">
        <v>955</v>
      </c>
      <c r="F10441" s="387">
        <v>2.0</v>
      </c>
      <c r="G10441" s="140">
        <v>810000.0</v>
      </c>
      <c r="H10441" s="140">
        <v>10000.0</v>
      </c>
      <c r="I10441" s="74">
        <f t="shared" si="7"/>
        <v>1600000</v>
      </c>
      <c r="J10441" s="74">
        <f>IF(E10441="SERVICE",I10441-(I10441*50%),Vlookup(E10441,DATABASE!C:Q,10,false)*F10441)</f>
        <v>0</v>
      </c>
      <c r="K10441" s="74">
        <f>VLOOKUP(E10441,DATABASE!C:Q,7,false)</f>
        <v>712000</v>
      </c>
      <c r="L10441" s="74">
        <v>712000.0</v>
      </c>
      <c r="M10441" s="74">
        <f t="shared" si="6"/>
        <v>715000</v>
      </c>
      <c r="N10441" s="74">
        <f t="shared" si="9"/>
        <v>170000</v>
      </c>
      <c r="O10441" s="65" t="str">
        <f>VLOOKUP(E10441,DATABASE!C:Q,8,false)</f>
        <v>IBU</v>
      </c>
      <c r="P10441" s="65">
        <f>VLOOKUP(E10441,DATABASE!C:Q,9,False)</f>
        <v>1</v>
      </c>
      <c r="Q10441" s="93" t="str">
        <f>VLOOKUP(E10441,DATABASE!C:Q,4,false)</f>
        <v>Dunlop</v>
      </c>
      <c r="R10441" s="93" t="str">
        <f>VLOOKUP(E10441,DATABASE!C:Q,11,false)</f>
        <v>Tire</v>
      </c>
    </row>
    <row r="10442" ht="22.5" customHeight="1">
      <c r="A10442" s="49"/>
      <c r="C10442" s="400">
        <v>46288.0</v>
      </c>
      <c r="D10442" s="524">
        <v>968.0</v>
      </c>
      <c r="E10442" s="544" t="s">
        <v>262</v>
      </c>
      <c r="F10442" s="387">
        <v>1.0</v>
      </c>
      <c r="G10442" s="140">
        <v>130000.0</v>
      </c>
      <c r="H10442" s="74"/>
      <c r="I10442" s="74">
        <f t="shared" si="7"/>
        <v>130000</v>
      </c>
      <c r="J10442" s="74">
        <f>IF(E10442="SERVICE",I10442-(I10442*50%),Vlookup(E10442,DATABASE!C:Q,10,false)*F10442)</f>
        <v>5000</v>
      </c>
      <c r="K10442" s="74">
        <f>VLOOKUP(E10442,DATABASE!C:Q,7,false)</f>
        <v>0</v>
      </c>
      <c r="L10442" s="74">
        <v>0.0</v>
      </c>
      <c r="M10442" s="74">
        <f t="shared" si="6"/>
        <v>0</v>
      </c>
      <c r="N10442" s="74">
        <f t="shared" si="9"/>
        <v>125000</v>
      </c>
      <c r="O10442" s="65" t="str">
        <f>VLOOKUP(E10442,DATABASE!C:Q,8,false)</f>
        <v>IBU</v>
      </c>
      <c r="P10442" s="65">
        <f>VLOOKUP(E10442,DATABASE!C:Q,9,False)</f>
        <v>0</v>
      </c>
      <c r="Q10442" s="93" t="str">
        <f>VLOOKUP(E10442,DATABASE!C:Q,4,false)</f>
        <v>SPOORING SS/CARRY LOS BAK</v>
      </c>
      <c r="R10442" s="93" t="str">
        <f>VLOOKUP(E10442,DATABASE!C:Q,11,false)</f>
        <v>SERVICE</v>
      </c>
    </row>
    <row r="10443" ht="22.5" customHeight="1">
      <c r="A10443" s="49"/>
      <c r="C10443" s="400">
        <v>46288.0</v>
      </c>
      <c r="D10443" s="524">
        <v>968.0</v>
      </c>
      <c r="E10443" s="544" t="s">
        <v>251</v>
      </c>
      <c r="F10443" s="387">
        <v>1.0</v>
      </c>
      <c r="G10443" s="140">
        <v>350000.0</v>
      </c>
      <c r="H10443" s="140">
        <v>200000.0</v>
      </c>
      <c r="I10443" s="74">
        <f t="shared" si="7"/>
        <v>150000</v>
      </c>
      <c r="J10443" s="74">
        <f>IF(E10443="SERVICE",I10443-(I10443*50%),Vlookup(E10443,DATABASE!C:Q,10,false)*F10443)</f>
        <v>75000</v>
      </c>
      <c r="K10443" s="74">
        <f>VLOOKUP(E10443,DATABASE!C:Q,7,false)</f>
        <v>0</v>
      </c>
      <c r="L10443" s="74">
        <v>0.0</v>
      </c>
      <c r="M10443" s="74">
        <f t="shared" si="6"/>
        <v>0</v>
      </c>
      <c r="N10443" s="74">
        <f t="shared" si="9"/>
        <v>75000</v>
      </c>
      <c r="O10443" s="65" t="str">
        <f>VLOOKUP(E10443,DATABASE!C:Q,8,false)</f>
        <v>IBU</v>
      </c>
      <c r="P10443" s="65">
        <f>VLOOKUP(E10443,DATABASE!C:Q,9,False)</f>
        <v>0</v>
      </c>
      <c r="Q10443" s="93" t="str">
        <f>VLOOKUP(E10443,DATABASE!C:Q,4,false)</f>
        <v>SERVICE</v>
      </c>
      <c r="R10443" s="93" t="str">
        <f>VLOOKUP(E10443,DATABASE!C:Q,11,false)</f>
        <v>SERVICE</v>
      </c>
    </row>
    <row r="10444" ht="22.5" customHeight="1">
      <c r="A10444" s="49"/>
      <c r="C10444" s="400">
        <v>46288.0</v>
      </c>
      <c r="D10444" s="69" t="s">
        <v>2945</v>
      </c>
      <c r="E10444" s="544" t="s">
        <v>248</v>
      </c>
      <c r="F10444" s="387">
        <v>1.0</v>
      </c>
      <c r="G10444" s="140">
        <v>250000.0</v>
      </c>
      <c r="H10444" s="74"/>
      <c r="I10444" s="74">
        <f t="shared" si="7"/>
        <v>250000</v>
      </c>
      <c r="J10444" s="74">
        <f>IF(E10444="SERVICE",I10444-(I10444*50%),Vlookup(E10444,DATABASE!C:Q,10,false)*F10444)</f>
        <v>0</v>
      </c>
      <c r="K10444" s="74">
        <f>VLOOKUP(E10444,DATABASE!C:Q,7,false)</f>
        <v>209816.66</v>
      </c>
      <c r="L10444" s="74">
        <v>209816.66</v>
      </c>
      <c r="M10444" s="74">
        <f t="shared" si="6"/>
        <v>210000</v>
      </c>
      <c r="N10444" s="74">
        <f t="shared" si="9"/>
        <v>40000</v>
      </c>
      <c r="O10444" s="65" t="str">
        <f>VLOOKUP(E10444,DATABASE!C:Q,8,false)</f>
        <v>NON</v>
      </c>
      <c r="P10444" s="65">
        <f>VLOOKUP(E10444,DATABASE!C:Q,9,False)</f>
        <v>0</v>
      </c>
      <c r="Q10444" s="93" t="str">
        <f>VLOOKUP(E10444,DATABASE!C:Q,4,false)</f>
        <v>Pertamina</v>
      </c>
      <c r="R10444" s="93" t="str">
        <f>VLOOKUP(E10444,DATABASE!C:Q,11,false)</f>
        <v>OIL</v>
      </c>
    </row>
    <row r="10445" ht="22.5" customHeight="1">
      <c r="A10445" s="49"/>
      <c r="C10445" s="400">
        <v>46288.0</v>
      </c>
      <c r="D10445" s="524">
        <v>970.0</v>
      </c>
      <c r="E10445" s="544" t="s">
        <v>2037</v>
      </c>
      <c r="F10445" s="387">
        <v>2.0</v>
      </c>
      <c r="G10445" s="140">
        <v>2750000.0</v>
      </c>
      <c r="H10445" s="140">
        <v>20000.0</v>
      </c>
      <c r="I10445" s="74">
        <f t="shared" si="7"/>
        <v>5460000</v>
      </c>
      <c r="J10445" s="74">
        <f>IF(E10445="SERVICE",I10445-(I10445*50%),Vlookup(E10445,DATABASE!C:Q,10,false)*F10445)</f>
        <v>0</v>
      </c>
      <c r="K10445" s="74">
        <f>VLOOKUP(E10445,DATABASE!C:Q,7,false)</f>
        <v>2575000</v>
      </c>
      <c r="L10445" s="74">
        <v>2575000.0</v>
      </c>
      <c r="M10445" s="74">
        <f t="shared" si="6"/>
        <v>2575000</v>
      </c>
      <c r="N10445" s="74">
        <f t="shared" si="9"/>
        <v>310000</v>
      </c>
      <c r="O10445" s="65" t="str">
        <f>VLOOKUP(E10445,DATABASE!C:Q,8,false)</f>
        <v>BIAN</v>
      </c>
      <c r="P10445" s="65">
        <f>VLOOKUP(E10445,DATABASE!C:Q,9,False)</f>
        <v>1</v>
      </c>
      <c r="Q10445" s="93" t="str">
        <f>VLOOKUP(E10445,DATABASE!C:Q,4,false)</f>
        <v>GT</v>
      </c>
      <c r="R10445" s="93" t="str">
        <f>VLOOKUP(E10445,DATABASE!C:Q,11,false)</f>
        <v>Tire</v>
      </c>
    </row>
    <row r="10446" ht="22.5" customHeight="1">
      <c r="A10446" s="49"/>
      <c r="C10446" s="400">
        <v>46288.0</v>
      </c>
      <c r="D10446" s="524">
        <v>970.0</v>
      </c>
      <c r="E10446" s="544" t="s">
        <v>2630</v>
      </c>
      <c r="F10446" s="387">
        <v>2.0</v>
      </c>
      <c r="G10446" s="140">
        <v>540000.0</v>
      </c>
      <c r="H10446" s="140">
        <v>10000.0</v>
      </c>
      <c r="I10446" s="74">
        <f t="shared" si="7"/>
        <v>1060000</v>
      </c>
      <c r="J10446" s="74">
        <f>IF(E10446="SERVICE",I10446-(I10446*50%),Vlookup(E10446,DATABASE!C:Q,10,false)*F10446)</f>
        <v>0</v>
      </c>
      <c r="K10446" s="74">
        <f>VLOOKUP(E10446,DATABASE!C:Q,7,false)</f>
        <v>439000</v>
      </c>
      <c r="L10446" s="74">
        <v>439000.0</v>
      </c>
      <c r="M10446" s="74">
        <f t="shared" si="6"/>
        <v>440000</v>
      </c>
      <c r="N10446" s="74">
        <f t="shared" si="9"/>
        <v>180000</v>
      </c>
      <c r="O10446" s="65" t="str">
        <f>VLOOKUP(E10446,DATABASE!C:Q,8,false)</f>
        <v>BIAN</v>
      </c>
      <c r="P10446" s="65">
        <f>VLOOKUP(E10446,DATABASE!C:Q,9,False)</f>
        <v>1</v>
      </c>
      <c r="Q10446" s="93" t="str">
        <f>VLOOKUP(E10446,DATABASE!C:Q,4,false)</f>
        <v>HanKOOK</v>
      </c>
      <c r="R10446" s="93" t="str">
        <f>VLOOKUP(E10446,DATABASE!C:Q,11,false)</f>
        <v>Tire</v>
      </c>
    </row>
    <row r="10447" ht="22.5" customHeight="1">
      <c r="A10447" s="49"/>
      <c r="C10447" s="400">
        <v>46288.0</v>
      </c>
      <c r="D10447" s="69" t="s">
        <v>2945</v>
      </c>
      <c r="E10447" s="544" t="s">
        <v>263</v>
      </c>
      <c r="F10447" s="387">
        <v>1.0</v>
      </c>
      <c r="G10447" s="140">
        <v>385000.0</v>
      </c>
      <c r="H10447" s="74"/>
      <c r="I10447" s="74">
        <f t="shared" si="7"/>
        <v>385000</v>
      </c>
      <c r="J10447" s="74">
        <f>IF(E10447="SERVICE",I10447-(I10447*50%),Vlookup(E10447,DATABASE!C:Q,10,false)*F10447)</f>
        <v>0</v>
      </c>
      <c r="K10447" s="74">
        <f>VLOOKUP(E10447,DATABASE!C:Q,7,false)</f>
        <v>334916</v>
      </c>
      <c r="L10447" s="74">
        <v>334916.0</v>
      </c>
      <c r="M10447" s="74">
        <f t="shared" si="6"/>
        <v>335000</v>
      </c>
      <c r="N10447" s="74">
        <f t="shared" si="9"/>
        <v>50000</v>
      </c>
      <c r="O10447" s="65" t="str">
        <f>VLOOKUP(E10447,DATABASE!C:Q,8,false)</f>
        <v>NON</v>
      </c>
      <c r="P10447" s="65">
        <f>VLOOKUP(E10447,DATABASE!C:Q,9,False)</f>
        <v>0</v>
      </c>
      <c r="Q10447" s="93" t="str">
        <f>VLOOKUP(E10447,DATABASE!C:Q,4,false)</f>
        <v>Shell</v>
      </c>
      <c r="R10447" s="93" t="str">
        <f>VLOOKUP(E10447,DATABASE!C:Q,11,false)</f>
        <v>OIL</v>
      </c>
    </row>
    <row r="10448" ht="22.5" customHeight="1">
      <c r="A10448" s="49"/>
      <c r="C10448" s="400">
        <v>46288.0</v>
      </c>
      <c r="D10448" s="524">
        <v>971.0</v>
      </c>
      <c r="E10448" s="544" t="s">
        <v>256</v>
      </c>
      <c r="F10448" s="387">
        <v>1.0</v>
      </c>
      <c r="G10448" s="140">
        <v>175000.0</v>
      </c>
      <c r="H10448" s="140">
        <v>25000.0</v>
      </c>
      <c r="I10448" s="74">
        <f t="shared" si="7"/>
        <v>150000</v>
      </c>
      <c r="J10448" s="74">
        <f>IF(E10448="SERVICE",I10448-(I10448*50%),Vlookup(E10448,DATABASE!C:Q,10,false)*F10448)</f>
        <v>10000</v>
      </c>
      <c r="K10448" s="74">
        <f>VLOOKUP(E10448,DATABASE!C:Q,7,false)</f>
        <v>0</v>
      </c>
      <c r="L10448" s="74">
        <v>0.0</v>
      </c>
      <c r="M10448" s="74">
        <f t="shared" si="6"/>
        <v>0</v>
      </c>
      <c r="N10448" s="74">
        <f t="shared" si="9"/>
        <v>140000</v>
      </c>
      <c r="O10448" s="65" t="str">
        <f>VLOOKUP(E10448,DATABASE!C:Q,8,false)</f>
        <v>IBU</v>
      </c>
      <c r="P10448" s="65">
        <f>VLOOKUP(E10448,DATABASE!C:Q,9,False)</f>
        <v>0</v>
      </c>
      <c r="Q10448" s="93" t="str">
        <f>VLOOKUP(E10448,DATABASE!C:Q,4,false)</f>
        <v>SPOORING</v>
      </c>
      <c r="R10448" s="93" t="str">
        <f>VLOOKUP(E10448,DATABASE!C:Q,11,false)</f>
        <v>SERVICE</v>
      </c>
    </row>
    <row r="10449" ht="22.5" customHeight="1">
      <c r="A10449" s="49"/>
      <c r="C10449" s="400">
        <v>46288.0</v>
      </c>
      <c r="D10449" s="524">
        <v>971.0</v>
      </c>
      <c r="E10449" s="544" t="s">
        <v>299</v>
      </c>
      <c r="F10449" s="387">
        <v>2.0</v>
      </c>
      <c r="G10449" s="140">
        <v>30000.0</v>
      </c>
      <c r="H10449" s="74"/>
      <c r="I10449" s="74">
        <f t="shared" si="7"/>
        <v>60000</v>
      </c>
      <c r="J10449" s="74">
        <f>IF(E10449="SERVICE",I10449-(I10449*50%),Vlookup(E10449,DATABASE!C:Q,10,false)*F10449)</f>
        <v>0</v>
      </c>
      <c r="K10449" s="74">
        <f>VLOOKUP(E10449,DATABASE!C:Q,7,false)</f>
        <v>10000</v>
      </c>
      <c r="L10449" s="74">
        <v>10000.0</v>
      </c>
      <c r="M10449" s="74">
        <f t="shared" si="6"/>
        <v>10000</v>
      </c>
      <c r="N10449" s="74">
        <f t="shared" si="9"/>
        <v>40000</v>
      </c>
      <c r="O10449" s="65" t="str">
        <f>VLOOKUP(E10449,DATABASE!C:Q,8,false)</f>
        <v>BIAN</v>
      </c>
      <c r="P10449" s="65">
        <f>VLOOKUP(E10449,DATABASE!C:Q,9,False)</f>
        <v>0</v>
      </c>
      <c r="Q10449" s="93" t="str">
        <f>VLOOKUP(E10449,DATABASE!C:Q,4,false)</f>
        <v>Balancing</v>
      </c>
      <c r="R10449" s="93" t="str">
        <f>VLOOKUP(E10449,DATABASE!C:Q,11,false)</f>
        <v>COMPLEMENTARY</v>
      </c>
    </row>
    <row r="10450" ht="22.5" customHeight="1">
      <c r="A10450" s="49"/>
      <c r="C10450" s="400">
        <v>46288.0</v>
      </c>
      <c r="D10450" s="524">
        <v>971.0</v>
      </c>
      <c r="E10450" s="544" t="s">
        <v>301</v>
      </c>
      <c r="F10450" s="387">
        <v>1.0</v>
      </c>
      <c r="G10450" s="140">
        <v>250000.0</v>
      </c>
      <c r="H10450" s="74"/>
      <c r="I10450" s="74">
        <f t="shared" si="7"/>
        <v>250000</v>
      </c>
      <c r="J10450" s="74">
        <f>IF(E10450="SERVICE",I10450-(I10450*50%),Vlookup(E10450,DATABASE!C:Q,10,false)*F10450)</f>
        <v>75000</v>
      </c>
      <c r="K10450" s="74">
        <f>VLOOKUP(E10450,DATABASE!C:Q,7,false)</f>
        <v>75000</v>
      </c>
      <c r="L10450" s="74">
        <v>75000.0</v>
      </c>
      <c r="M10450" s="74">
        <f t="shared" si="6"/>
        <v>75000</v>
      </c>
      <c r="N10450" s="74">
        <f t="shared" si="9"/>
        <v>100000</v>
      </c>
      <c r="O10450" s="65" t="str">
        <f>VLOOKUP(E10450,DATABASE!C:Q,8,false)</f>
        <v>BIAN</v>
      </c>
      <c r="P10450" s="65">
        <f>VLOOKUP(E10450,DATABASE!C:Q,9,False)</f>
        <v>0</v>
      </c>
      <c r="Q10450" s="93" t="str">
        <f>VLOOKUP(E10450,DATABASE!C:Q,4,false)</f>
        <v>Baut Camber</v>
      </c>
      <c r="R10450" s="93" t="str">
        <f>VLOOKUP(E10450,DATABASE!C:Q,11,false)</f>
        <v>COMPLEMENTARY</v>
      </c>
    </row>
    <row r="10451" ht="22.5" customHeight="1">
      <c r="A10451" s="49"/>
      <c r="C10451" s="400">
        <v>46288.0</v>
      </c>
      <c r="D10451" s="524">
        <v>972.0</v>
      </c>
      <c r="E10451" s="544" t="s">
        <v>299</v>
      </c>
      <c r="F10451" s="387">
        <v>2.0</v>
      </c>
      <c r="G10451" s="140">
        <v>30000.0</v>
      </c>
      <c r="H10451" s="74"/>
      <c r="I10451" s="74">
        <f t="shared" si="7"/>
        <v>60000</v>
      </c>
      <c r="J10451" s="74">
        <f>IF(E10451="SERVICE",I10451-(I10451*50%),Vlookup(E10451,DATABASE!C:Q,10,false)*F10451)</f>
        <v>0</v>
      </c>
      <c r="K10451" s="74">
        <f>VLOOKUP(E10451,DATABASE!C:Q,7,false)</f>
        <v>10000</v>
      </c>
      <c r="L10451" s="74">
        <v>10000.0</v>
      </c>
      <c r="M10451" s="74">
        <f t="shared" si="6"/>
        <v>10000</v>
      </c>
      <c r="N10451" s="74">
        <f t="shared" si="9"/>
        <v>40000</v>
      </c>
      <c r="O10451" s="65" t="str">
        <f>VLOOKUP(E10451,DATABASE!C:Q,8,false)</f>
        <v>BIAN</v>
      </c>
      <c r="P10451" s="65">
        <f>VLOOKUP(E10451,DATABASE!C:Q,9,False)</f>
        <v>0</v>
      </c>
      <c r="Q10451" s="93" t="str">
        <f>VLOOKUP(E10451,DATABASE!C:Q,4,false)</f>
        <v>Balancing</v>
      </c>
      <c r="R10451" s="93" t="str">
        <f>VLOOKUP(E10451,DATABASE!C:Q,11,false)</f>
        <v>COMPLEMENTARY</v>
      </c>
    </row>
    <row r="10452" ht="22.5" customHeight="1">
      <c r="A10452" s="49"/>
      <c r="C10452" s="400">
        <v>46288.0</v>
      </c>
      <c r="D10452" s="524">
        <v>972.0</v>
      </c>
      <c r="E10452" s="544" t="s">
        <v>2140</v>
      </c>
      <c r="F10452" s="387">
        <v>4.0</v>
      </c>
      <c r="G10452" s="140">
        <v>35000.0</v>
      </c>
      <c r="H10452" s="140">
        <v>5000.0</v>
      </c>
      <c r="I10452" s="74">
        <f t="shared" si="7"/>
        <v>120000</v>
      </c>
      <c r="J10452" s="74">
        <f>IF(E10452="SERVICE",I10452-(I10452*50%),Vlookup(E10452,DATABASE!C:Q,10,false)*F10452)</f>
        <v>0</v>
      </c>
      <c r="K10452" s="74">
        <f>VLOOKUP(E10452,DATABASE!C:Q,7,false)</f>
        <v>5000</v>
      </c>
      <c r="L10452" s="74">
        <v>5000.0</v>
      </c>
      <c r="M10452" s="74">
        <f t="shared" si="6"/>
        <v>5000</v>
      </c>
      <c r="N10452" s="74">
        <f t="shared" si="9"/>
        <v>100000</v>
      </c>
      <c r="O10452" s="65" t="str">
        <f>VLOOKUP(E10452,DATABASE!C:Q,8,false)</f>
        <v>IBU</v>
      </c>
      <c r="P10452" s="65">
        <f>VLOOKUP(E10452,DATABASE!C:Q,9,False)</f>
        <v>0</v>
      </c>
      <c r="Q10452" s="93" t="str">
        <f>VLOOKUP(E10452,DATABASE!C:Q,4,false)</f>
        <v>PENTIL + PASANG</v>
      </c>
      <c r="R10452" s="93" t="str">
        <f>VLOOKUP(E10452,DATABASE!C:Q,11,false)</f>
        <v>COMPLEMENTARY</v>
      </c>
    </row>
    <row r="10453" ht="22.5" customHeight="1">
      <c r="A10453" s="49"/>
      <c r="C10453" s="400">
        <v>46288.0</v>
      </c>
      <c r="D10453" s="524">
        <v>972.0</v>
      </c>
      <c r="E10453" s="544" t="s">
        <v>256</v>
      </c>
      <c r="F10453" s="387">
        <v>1.0</v>
      </c>
      <c r="G10453" s="140">
        <v>175000.0</v>
      </c>
      <c r="H10453" s="140">
        <v>25000.0</v>
      </c>
      <c r="I10453" s="74">
        <f t="shared" si="7"/>
        <v>150000</v>
      </c>
      <c r="J10453" s="74">
        <f>IF(E10453="SERVICE",I10453-(I10453*50%),Vlookup(E10453,DATABASE!C:Q,10,false)*F10453)</f>
        <v>10000</v>
      </c>
      <c r="K10453" s="74">
        <f>VLOOKUP(E10453,DATABASE!C:Q,7,false)</f>
        <v>0</v>
      </c>
      <c r="L10453" s="74">
        <v>0.0</v>
      </c>
      <c r="M10453" s="74">
        <f t="shared" si="6"/>
        <v>0</v>
      </c>
      <c r="N10453" s="74">
        <f t="shared" si="9"/>
        <v>140000</v>
      </c>
      <c r="O10453" s="65" t="str">
        <f>VLOOKUP(E10453,DATABASE!C:Q,8,false)</f>
        <v>IBU</v>
      </c>
      <c r="P10453" s="65">
        <f>VLOOKUP(E10453,DATABASE!C:Q,9,False)</f>
        <v>0</v>
      </c>
      <c r="Q10453" s="93" t="str">
        <f>VLOOKUP(E10453,DATABASE!C:Q,4,false)</f>
        <v>SPOORING</v>
      </c>
      <c r="R10453" s="93" t="str">
        <f>VLOOKUP(E10453,DATABASE!C:Q,11,false)</f>
        <v>SERVICE</v>
      </c>
    </row>
    <row r="10454" ht="22.5" customHeight="1">
      <c r="A10454" s="49"/>
      <c r="C10454" s="400">
        <v>46288.0</v>
      </c>
      <c r="D10454" s="524">
        <v>972.0</v>
      </c>
      <c r="E10454" s="544" t="s">
        <v>251</v>
      </c>
      <c r="F10454" s="387">
        <v>1.0</v>
      </c>
      <c r="G10454" s="140">
        <v>350000.0</v>
      </c>
      <c r="H10454" s="140">
        <v>200000.0</v>
      </c>
      <c r="I10454" s="74">
        <f t="shared" si="7"/>
        <v>150000</v>
      </c>
      <c r="J10454" s="74">
        <f>IF(E10454="SERVICE",I10454-(I10454*50%),Vlookup(E10454,DATABASE!C:Q,10,false)*F10454)</f>
        <v>75000</v>
      </c>
      <c r="K10454" s="74">
        <f>VLOOKUP(E10454,DATABASE!C:Q,7,false)</f>
        <v>0</v>
      </c>
      <c r="L10454" s="74">
        <v>0.0</v>
      </c>
      <c r="M10454" s="74">
        <f t="shared" si="6"/>
        <v>0</v>
      </c>
      <c r="N10454" s="74">
        <f t="shared" si="9"/>
        <v>75000</v>
      </c>
      <c r="O10454" s="65" t="str">
        <f>VLOOKUP(E10454,DATABASE!C:Q,8,false)</f>
        <v>IBU</v>
      </c>
      <c r="P10454" s="65">
        <f>VLOOKUP(E10454,DATABASE!C:Q,9,False)</f>
        <v>0</v>
      </c>
      <c r="Q10454" s="93" t="str">
        <f>VLOOKUP(E10454,DATABASE!C:Q,4,false)</f>
        <v>SERVICE</v>
      </c>
      <c r="R10454" s="93" t="str">
        <f>VLOOKUP(E10454,DATABASE!C:Q,11,false)</f>
        <v>SERVICE</v>
      </c>
    </row>
    <row r="10455" ht="22.5" customHeight="1">
      <c r="A10455" s="49"/>
      <c r="C10455" s="400">
        <v>46288.0</v>
      </c>
      <c r="D10455" s="524">
        <v>973.0</v>
      </c>
      <c r="E10455" s="544" t="s">
        <v>256</v>
      </c>
      <c r="F10455" s="387">
        <v>1.0</v>
      </c>
      <c r="G10455" s="140">
        <v>175000.0</v>
      </c>
      <c r="H10455" s="140">
        <v>25000.0</v>
      </c>
      <c r="I10455" s="74">
        <f t="shared" si="7"/>
        <v>150000</v>
      </c>
      <c r="J10455" s="74">
        <f>IF(E10455="SERVICE",I10455-(I10455*50%),Vlookup(E10455,DATABASE!C:Q,10,false)*F10455)</f>
        <v>10000</v>
      </c>
      <c r="K10455" s="74">
        <f>VLOOKUP(E10455,DATABASE!C:Q,7,false)</f>
        <v>0</v>
      </c>
      <c r="L10455" s="74">
        <v>0.0</v>
      </c>
      <c r="M10455" s="74">
        <f t="shared" si="6"/>
        <v>0</v>
      </c>
      <c r="N10455" s="74">
        <f t="shared" si="9"/>
        <v>140000</v>
      </c>
      <c r="O10455" s="65" t="str">
        <f>VLOOKUP(E10455,DATABASE!C:Q,8,false)</f>
        <v>IBU</v>
      </c>
      <c r="P10455" s="65">
        <f>VLOOKUP(E10455,DATABASE!C:Q,9,False)</f>
        <v>0</v>
      </c>
      <c r="Q10455" s="93" t="str">
        <f>VLOOKUP(E10455,DATABASE!C:Q,4,false)</f>
        <v>SPOORING</v>
      </c>
      <c r="R10455" s="93" t="str">
        <f>VLOOKUP(E10455,DATABASE!C:Q,11,false)</f>
        <v>SERVICE</v>
      </c>
    </row>
    <row r="10456" ht="22.5" customHeight="1">
      <c r="A10456" s="49"/>
      <c r="C10456" s="400">
        <v>46289.0</v>
      </c>
      <c r="D10456" s="524">
        <v>974.0</v>
      </c>
      <c r="E10456" s="544" t="s">
        <v>268</v>
      </c>
      <c r="F10456" s="387">
        <v>1.0</v>
      </c>
      <c r="G10456" s="140">
        <v>740000.0</v>
      </c>
      <c r="H10456" s="74"/>
      <c r="I10456" s="74">
        <f t="shared" si="7"/>
        <v>740000</v>
      </c>
      <c r="J10456" s="74">
        <f>IF(E10456="SERVICE",I10456-(I10456*50%),Vlookup(E10456,DATABASE!C:Q,10,false)*F10456)</f>
        <v>0</v>
      </c>
      <c r="K10456" s="74">
        <f>VLOOKUP(E10456,DATABASE!C:Q,7,false)</f>
        <v>653000</v>
      </c>
      <c r="L10456" s="74">
        <v>653000.0</v>
      </c>
      <c r="M10456" s="74">
        <f t="shared" si="6"/>
        <v>655000</v>
      </c>
      <c r="N10456" s="74">
        <f t="shared" si="9"/>
        <v>85000</v>
      </c>
      <c r="O10456" s="65" t="str">
        <f>VLOOKUP(E10456,DATABASE!C:Q,8,false)</f>
        <v>IBU</v>
      </c>
      <c r="P10456" s="65">
        <f>VLOOKUP(E10456,DATABASE!C:Q,9,False)</f>
        <v>1</v>
      </c>
      <c r="Q10456" s="93" t="str">
        <f>VLOOKUP(E10456,DATABASE!C:Q,4,false)</f>
        <v>Dunlop</v>
      </c>
      <c r="R10456" s="93" t="str">
        <f>VLOOKUP(E10456,DATABASE!C:Q,11,false)</f>
        <v>Tire</v>
      </c>
    </row>
    <row r="10457" ht="22.5" customHeight="1">
      <c r="A10457" s="49"/>
      <c r="C10457" s="400">
        <v>46289.0</v>
      </c>
      <c r="D10457" s="524">
        <v>975.0</v>
      </c>
      <c r="E10457" s="544" t="s">
        <v>256</v>
      </c>
      <c r="F10457" s="387">
        <v>1.0</v>
      </c>
      <c r="G10457" s="140">
        <v>175000.0</v>
      </c>
      <c r="H10457" s="140">
        <v>25000.0</v>
      </c>
      <c r="I10457" s="74">
        <f t="shared" si="7"/>
        <v>150000</v>
      </c>
      <c r="J10457" s="74">
        <f>IF(E10457="SERVICE",I10457-(I10457*50%),Vlookup(E10457,DATABASE!C:Q,10,false)*F10457)</f>
        <v>10000</v>
      </c>
      <c r="K10457" s="74">
        <f>VLOOKUP(E10457,DATABASE!C:Q,7,false)</f>
        <v>0</v>
      </c>
      <c r="L10457" s="74">
        <v>0.0</v>
      </c>
      <c r="M10457" s="74">
        <f t="shared" si="6"/>
        <v>0</v>
      </c>
      <c r="N10457" s="74">
        <f t="shared" si="9"/>
        <v>140000</v>
      </c>
      <c r="O10457" s="65" t="str">
        <f>VLOOKUP(E10457,DATABASE!C:Q,8,false)</f>
        <v>IBU</v>
      </c>
      <c r="P10457" s="65">
        <f>VLOOKUP(E10457,DATABASE!C:Q,9,False)</f>
        <v>0</v>
      </c>
      <c r="Q10457" s="93" t="str">
        <f>VLOOKUP(E10457,DATABASE!C:Q,4,false)</f>
        <v>SPOORING</v>
      </c>
      <c r="R10457" s="93" t="str">
        <f>VLOOKUP(E10457,DATABASE!C:Q,11,false)</f>
        <v>SERVICE</v>
      </c>
    </row>
    <row r="10458" ht="22.5" customHeight="1">
      <c r="A10458" s="49"/>
      <c r="C10458" s="400">
        <v>46289.0</v>
      </c>
      <c r="D10458" s="524">
        <v>975.0</v>
      </c>
      <c r="E10458" s="544" t="s">
        <v>251</v>
      </c>
      <c r="F10458" s="387">
        <v>1.0</v>
      </c>
      <c r="G10458" s="140">
        <v>350000.0</v>
      </c>
      <c r="H10458" s="140">
        <v>200000.0</v>
      </c>
      <c r="I10458" s="74">
        <f t="shared" si="7"/>
        <v>150000</v>
      </c>
      <c r="J10458" s="74">
        <f>IF(E10458="SERVICE",I10458-(I10458*50%),Vlookup(E10458,DATABASE!C:Q,10,false)*F10458)</f>
        <v>75000</v>
      </c>
      <c r="K10458" s="74">
        <f>VLOOKUP(E10458,DATABASE!C:Q,7,false)</f>
        <v>0</v>
      </c>
      <c r="L10458" s="74">
        <v>0.0</v>
      </c>
      <c r="M10458" s="74">
        <f t="shared" si="6"/>
        <v>0</v>
      </c>
      <c r="N10458" s="74">
        <f t="shared" si="9"/>
        <v>75000</v>
      </c>
      <c r="O10458" s="65" t="str">
        <f>VLOOKUP(E10458,DATABASE!C:Q,8,false)</f>
        <v>IBU</v>
      </c>
      <c r="P10458" s="65">
        <f>VLOOKUP(E10458,DATABASE!C:Q,9,False)</f>
        <v>0</v>
      </c>
      <c r="Q10458" s="93" t="str">
        <f>VLOOKUP(E10458,DATABASE!C:Q,4,false)</f>
        <v>SERVICE</v>
      </c>
      <c r="R10458" s="93" t="str">
        <f>VLOOKUP(E10458,DATABASE!C:Q,11,false)</f>
        <v>SERVICE</v>
      </c>
    </row>
    <row r="10459" ht="22.5" customHeight="1">
      <c r="A10459" s="49"/>
      <c r="C10459" s="400">
        <v>46289.0</v>
      </c>
      <c r="D10459" s="524">
        <v>976.0</v>
      </c>
      <c r="E10459" s="544" t="s">
        <v>250</v>
      </c>
      <c r="F10459" s="387">
        <v>1.0</v>
      </c>
      <c r="G10459" s="140">
        <v>135000.0</v>
      </c>
      <c r="H10459" s="74"/>
      <c r="I10459" s="74">
        <f t="shared" si="7"/>
        <v>135000</v>
      </c>
      <c r="J10459" s="74">
        <f>IF(E10459="SERVICE",I10459-(I10459*50%),Vlookup(E10459,DATABASE!C:Q,10,false)*F10459)</f>
        <v>0</v>
      </c>
      <c r="K10459" s="74">
        <f>VLOOKUP(E10459,DATABASE!C:Q,7,false)</f>
        <v>102000</v>
      </c>
      <c r="L10459" s="74">
        <v>102000.0</v>
      </c>
      <c r="M10459" s="74">
        <f t="shared" si="6"/>
        <v>105000</v>
      </c>
      <c r="N10459" s="74">
        <f t="shared" si="9"/>
        <v>30000</v>
      </c>
      <c r="O10459" s="65" t="str">
        <f>VLOOKUP(E10459,DATABASE!C:Q,8,false)</f>
        <v>BIAN</v>
      </c>
      <c r="P10459" s="65">
        <f>VLOOKUP(E10459,DATABASE!C:Q,9,False)</f>
        <v>1</v>
      </c>
      <c r="Q10459" s="93" t="str">
        <f>VLOOKUP(E10459,DATABASE!C:Q,4,false)</f>
        <v>BD</v>
      </c>
      <c r="R10459" s="93" t="str">
        <f>VLOOKUP(E10459,DATABASE!C:Q,11,false)</f>
        <v>Tire</v>
      </c>
    </row>
    <row r="10460" ht="22.5" customHeight="1">
      <c r="A10460" s="49"/>
      <c r="C10460" s="400">
        <v>46289.0</v>
      </c>
      <c r="D10460" s="524">
        <v>977.0</v>
      </c>
      <c r="E10460" s="544" t="s">
        <v>265</v>
      </c>
      <c r="F10460" s="387">
        <v>1.0</v>
      </c>
      <c r="G10460" s="140">
        <v>715000.0</v>
      </c>
      <c r="H10460" s="140">
        <v>5000.0</v>
      </c>
      <c r="I10460" s="74">
        <f t="shared" si="7"/>
        <v>710000</v>
      </c>
      <c r="J10460" s="74">
        <f>IF(E10460="SERVICE",I10460-(I10460*50%),Vlookup(E10460,DATABASE!C:Q,10,false)*F10460)</f>
        <v>0</v>
      </c>
      <c r="K10460" s="74">
        <f>VLOOKUP(E10460,DATABASE!C:Q,7,false)</f>
        <v>628000</v>
      </c>
      <c r="L10460" s="74">
        <v>628000.0</v>
      </c>
      <c r="M10460" s="74">
        <f t="shared" si="6"/>
        <v>630000</v>
      </c>
      <c r="N10460" s="74">
        <f t="shared" si="9"/>
        <v>80000</v>
      </c>
      <c r="O10460" s="65" t="str">
        <f>VLOOKUP(E10460,DATABASE!C:Q,8,false)</f>
        <v>IBU</v>
      </c>
      <c r="P10460" s="65">
        <f>VLOOKUP(E10460,DATABASE!C:Q,9,False)</f>
        <v>1</v>
      </c>
      <c r="Q10460" s="93" t="str">
        <f>VLOOKUP(E10460,DATABASE!C:Q,4,false)</f>
        <v>Dunlop</v>
      </c>
      <c r="R10460" s="93" t="str">
        <f>VLOOKUP(E10460,DATABASE!C:Q,11,false)</f>
        <v>Tire</v>
      </c>
    </row>
    <row r="10461" ht="22.5" customHeight="1">
      <c r="A10461" s="49"/>
      <c r="C10461" s="400">
        <v>46289.0</v>
      </c>
      <c r="D10461" s="524">
        <v>978.0</v>
      </c>
      <c r="E10461" s="544" t="s">
        <v>940</v>
      </c>
      <c r="F10461" s="387">
        <v>2.0</v>
      </c>
      <c r="G10461" s="140">
        <v>820000.0</v>
      </c>
      <c r="H10461" s="74"/>
      <c r="I10461" s="74">
        <f t="shared" si="7"/>
        <v>1640000</v>
      </c>
      <c r="J10461" s="74">
        <f>IF(E10461="SERVICE",I10461-(I10461*50%),Vlookup(E10461,DATABASE!C:Q,10,false)*F10461)</f>
        <v>0</v>
      </c>
      <c r="K10461" s="74">
        <f>VLOOKUP(E10461,DATABASE!C:Q,7,false)</f>
        <v>716500</v>
      </c>
      <c r="L10461" s="74">
        <v>716500.0</v>
      </c>
      <c r="M10461" s="74">
        <f t="shared" si="6"/>
        <v>720000</v>
      </c>
      <c r="N10461" s="74">
        <f t="shared" si="9"/>
        <v>200000</v>
      </c>
      <c r="O10461" s="65" t="str">
        <f>VLOOKUP(E10461,DATABASE!C:Q,8,false)</f>
        <v>IBU</v>
      </c>
      <c r="P10461" s="65">
        <f>VLOOKUP(E10461,DATABASE!C:Q,9,False)</f>
        <v>1</v>
      </c>
      <c r="Q10461" s="93" t="str">
        <f>VLOOKUP(E10461,DATABASE!C:Q,4,false)</f>
        <v>Dunlop</v>
      </c>
      <c r="R10461" s="93" t="str">
        <f>VLOOKUP(E10461,DATABASE!C:Q,11,false)</f>
        <v>Tire</v>
      </c>
    </row>
    <row r="10462" ht="22.5" customHeight="1">
      <c r="A10462" s="49"/>
      <c r="C10462" s="400">
        <v>46289.0</v>
      </c>
      <c r="D10462" s="524">
        <v>979.0</v>
      </c>
      <c r="E10462" s="544" t="s">
        <v>940</v>
      </c>
      <c r="F10462" s="387">
        <v>2.0</v>
      </c>
      <c r="G10462" s="140">
        <v>820000.0</v>
      </c>
      <c r="H10462" s="74"/>
      <c r="I10462" s="74">
        <f t="shared" si="7"/>
        <v>1640000</v>
      </c>
      <c r="J10462" s="74">
        <f>IF(E10462="SERVICE",I10462-(I10462*50%),Vlookup(E10462,DATABASE!C:Q,10,false)*F10462)</f>
        <v>0</v>
      </c>
      <c r="K10462" s="74">
        <f>VLOOKUP(E10462,DATABASE!C:Q,7,false)</f>
        <v>716500</v>
      </c>
      <c r="L10462" s="74">
        <v>716500.0</v>
      </c>
      <c r="M10462" s="74">
        <f t="shared" si="6"/>
        <v>720000</v>
      </c>
      <c r="N10462" s="74">
        <f t="shared" si="9"/>
        <v>200000</v>
      </c>
      <c r="O10462" s="65" t="str">
        <f>VLOOKUP(E10462,DATABASE!C:Q,8,false)</f>
        <v>IBU</v>
      </c>
      <c r="P10462" s="65">
        <f>VLOOKUP(E10462,DATABASE!C:Q,9,False)</f>
        <v>1</v>
      </c>
      <c r="Q10462" s="93" t="str">
        <f>VLOOKUP(E10462,DATABASE!C:Q,4,false)</f>
        <v>Dunlop</v>
      </c>
      <c r="R10462" s="93" t="str">
        <f>VLOOKUP(E10462,DATABASE!C:Q,11,false)</f>
        <v>Tire</v>
      </c>
    </row>
    <row r="10463" ht="22.5" customHeight="1">
      <c r="A10463" s="49"/>
      <c r="C10463" s="400">
        <v>46289.0</v>
      </c>
      <c r="D10463" s="524">
        <v>980.0</v>
      </c>
      <c r="E10463" s="544" t="s">
        <v>262</v>
      </c>
      <c r="F10463" s="387">
        <v>1.0</v>
      </c>
      <c r="G10463" s="140">
        <v>130000.0</v>
      </c>
      <c r="H10463" s="74"/>
      <c r="I10463" s="74">
        <f t="shared" si="7"/>
        <v>130000</v>
      </c>
      <c r="J10463" s="74">
        <f>IF(E10463="SERVICE",I10463-(I10463*50%),Vlookup(E10463,DATABASE!C:Q,10,false)*F10463)</f>
        <v>5000</v>
      </c>
      <c r="K10463" s="74">
        <f>VLOOKUP(E10463,DATABASE!C:Q,7,false)</f>
        <v>0</v>
      </c>
      <c r="L10463" s="74">
        <v>0.0</v>
      </c>
      <c r="M10463" s="74">
        <f t="shared" si="6"/>
        <v>0</v>
      </c>
      <c r="N10463" s="74">
        <f t="shared" si="9"/>
        <v>125000</v>
      </c>
      <c r="O10463" s="65" t="str">
        <f>VLOOKUP(E10463,DATABASE!C:Q,8,false)</f>
        <v>IBU</v>
      </c>
      <c r="P10463" s="65">
        <f>VLOOKUP(E10463,DATABASE!C:Q,9,False)</f>
        <v>0</v>
      </c>
      <c r="Q10463" s="93" t="str">
        <f>VLOOKUP(E10463,DATABASE!C:Q,4,false)</f>
        <v>SPOORING SS/CARRY LOS BAK</v>
      </c>
      <c r="R10463" s="93" t="str">
        <f>VLOOKUP(E10463,DATABASE!C:Q,11,false)</f>
        <v>SERVICE</v>
      </c>
    </row>
    <row r="10464" ht="22.5" customHeight="1">
      <c r="A10464" s="49"/>
      <c r="C10464" s="400">
        <v>46289.0</v>
      </c>
      <c r="D10464" s="524">
        <v>980.0</v>
      </c>
      <c r="E10464" s="544" t="s">
        <v>2636</v>
      </c>
      <c r="F10464" s="387">
        <v>2.0</v>
      </c>
      <c r="G10464" s="140">
        <v>50000.0</v>
      </c>
      <c r="H10464" s="74"/>
      <c r="I10464" s="74">
        <f t="shared" si="7"/>
        <v>100000</v>
      </c>
      <c r="J10464" s="74">
        <f>IF(E10464="SERVICE",I10464-(I10464*50%),Vlookup(E10464,DATABASE!C:Q,10,false)*F10464)</f>
        <v>0</v>
      </c>
      <c r="K10464" s="74">
        <f>VLOOKUP(E10464,DATABASE!C:Q,7,false)</f>
        <v>27375</v>
      </c>
      <c r="L10464" s="74">
        <v>27375.0</v>
      </c>
      <c r="M10464" s="74">
        <f t="shared" si="6"/>
        <v>30000</v>
      </c>
      <c r="N10464" s="74">
        <f t="shared" si="9"/>
        <v>40000</v>
      </c>
      <c r="O10464" s="65" t="str">
        <f>VLOOKUP(E10464,DATABASE!C:Q,8,false)</f>
        <v>NON VPT</v>
      </c>
      <c r="P10464" s="65">
        <f>VLOOKUP(E10464,DATABASE!C:Q,9,False)</f>
        <v>0</v>
      </c>
      <c r="Q10464" s="93" t="str">
        <f>VLOOKUP(E10464,DATABASE!C:Q,4,false)</f>
        <v>JF</v>
      </c>
      <c r="R10464" s="93" t="str">
        <f>VLOOKUP(E10464,DATABASE!C:Q,11,false)</f>
        <v>COMPLEMENTARY</v>
      </c>
    </row>
    <row r="10465" ht="22.5" customHeight="1">
      <c r="A10465" s="49"/>
      <c r="C10465" s="400">
        <v>46289.0</v>
      </c>
      <c r="D10465" s="524">
        <v>980.0</v>
      </c>
      <c r="E10465" s="544" t="s">
        <v>2206</v>
      </c>
      <c r="F10465" s="387">
        <v>1.0</v>
      </c>
      <c r="G10465" s="140">
        <v>200000.0</v>
      </c>
      <c r="H10465" s="74"/>
      <c r="I10465" s="74">
        <f t="shared" si="7"/>
        <v>200000</v>
      </c>
      <c r="J10465" s="74">
        <f>IF(E10465="SERVICE",I10465-(I10465*50%),Vlookup(E10465,DATABASE!C:Q,10,false)*F10465)</f>
        <v>40000</v>
      </c>
      <c r="K10465" s="74">
        <f>VLOOKUP(E10465,DATABASE!C:Q,7,false)</f>
        <v>95450</v>
      </c>
      <c r="L10465" s="74">
        <v>95450.0</v>
      </c>
      <c r="M10465" s="74">
        <f t="shared" si="6"/>
        <v>100000</v>
      </c>
      <c r="N10465" s="74">
        <f t="shared" si="9"/>
        <v>60000</v>
      </c>
      <c r="O10465" s="65" t="str">
        <f>VLOOKUP(E10465,DATABASE!C:Q,8,false)</f>
        <v>IBU</v>
      </c>
      <c r="P10465" s="65">
        <f>VLOOKUP(E10465,DATABASE!C:Q,9,False)</f>
        <v>1</v>
      </c>
      <c r="Q10465" s="93" t="str">
        <f>VLOOKUP(E10465,DATABASE!C:Q,4,false)</f>
        <v>TIEROD</v>
      </c>
      <c r="R10465" s="93" t="str">
        <f>VLOOKUP(E10465,DATABASE!C:Q,11,false)</f>
        <v>COMPLEMENTARY</v>
      </c>
    </row>
    <row r="10466" ht="22.5" customHeight="1">
      <c r="A10466" s="49"/>
      <c r="C10466" s="400">
        <v>46289.0</v>
      </c>
      <c r="D10466" s="524">
        <v>980.0</v>
      </c>
      <c r="E10466" s="544" t="s">
        <v>251</v>
      </c>
      <c r="F10466" s="387">
        <v>1.0</v>
      </c>
      <c r="G10466" s="140">
        <v>350000.0</v>
      </c>
      <c r="H10466" s="140">
        <v>230000.0</v>
      </c>
      <c r="I10466" s="74">
        <f t="shared" si="7"/>
        <v>120000</v>
      </c>
      <c r="J10466" s="74">
        <f>IF(E10466="SERVICE",I10466-(I10466*50%),Vlookup(E10466,DATABASE!C:Q,10,false)*F10466)</f>
        <v>60000</v>
      </c>
      <c r="K10466" s="74">
        <f>VLOOKUP(E10466,DATABASE!C:Q,7,false)</f>
        <v>0</v>
      </c>
      <c r="L10466" s="74">
        <v>0.0</v>
      </c>
      <c r="M10466" s="74">
        <f t="shared" si="6"/>
        <v>0</v>
      </c>
      <c r="N10466" s="74">
        <f t="shared" si="9"/>
        <v>60000</v>
      </c>
      <c r="O10466" s="65" t="str">
        <f>VLOOKUP(E10466,DATABASE!C:Q,8,false)</f>
        <v>IBU</v>
      </c>
      <c r="P10466" s="65">
        <f>VLOOKUP(E10466,DATABASE!C:Q,9,False)</f>
        <v>0</v>
      </c>
      <c r="Q10466" s="93" t="str">
        <f>VLOOKUP(E10466,DATABASE!C:Q,4,false)</f>
        <v>SERVICE</v>
      </c>
      <c r="R10466" s="93" t="str">
        <f>VLOOKUP(E10466,DATABASE!C:Q,11,false)</f>
        <v>SERVICE</v>
      </c>
    </row>
    <row r="10467" ht="22.5" customHeight="1">
      <c r="A10467" s="49"/>
      <c r="C10467" s="400">
        <v>46289.0</v>
      </c>
      <c r="D10467" s="69">
        <v>981.0</v>
      </c>
      <c r="E10467" s="544" t="s">
        <v>256</v>
      </c>
      <c r="F10467" s="387">
        <v>1.0</v>
      </c>
      <c r="G10467" s="140">
        <v>150000.0</v>
      </c>
      <c r="H10467" s="74"/>
      <c r="I10467" s="74">
        <f t="shared" si="7"/>
        <v>150000</v>
      </c>
      <c r="J10467" s="74">
        <f>IF(E10467="SERVICE",I10467-(I10467*50%),Vlookup(E10467,DATABASE!C:Q,10,false)*F10467)</f>
        <v>10000</v>
      </c>
      <c r="K10467" s="74">
        <f>VLOOKUP(E10467,DATABASE!C:Q,7,false)</f>
        <v>0</v>
      </c>
      <c r="L10467" s="140">
        <v>0.0</v>
      </c>
      <c r="M10467" s="74">
        <f t="shared" si="6"/>
        <v>0</v>
      </c>
      <c r="N10467" s="74">
        <f t="shared" si="9"/>
        <v>140000</v>
      </c>
      <c r="O10467" s="65" t="str">
        <f>VLOOKUP(E10467,DATABASE!C:Q,8,false)</f>
        <v>IBU</v>
      </c>
      <c r="P10467" s="65">
        <f>VLOOKUP(E10467,DATABASE!C:Q,9,False)</f>
        <v>0</v>
      </c>
      <c r="Q10467" s="93" t="str">
        <f>VLOOKUP(E10467,DATABASE!C:Q,4,false)</f>
        <v>SPOORING</v>
      </c>
      <c r="R10467" s="93" t="str">
        <f>VLOOKUP(E10467,DATABASE!C:Q,11,false)</f>
        <v>SERVICE</v>
      </c>
    </row>
    <row r="10468" ht="22.5" customHeight="1">
      <c r="A10468" s="49"/>
      <c r="C10468" s="400">
        <v>46289.0</v>
      </c>
      <c r="D10468" s="524">
        <v>982.0</v>
      </c>
      <c r="E10468" s="544" t="s">
        <v>937</v>
      </c>
      <c r="F10468" s="387">
        <v>2.0</v>
      </c>
      <c r="G10468" s="140">
        <v>920000.0</v>
      </c>
      <c r="H10468" s="74"/>
      <c r="I10468" s="74">
        <f t="shared" si="7"/>
        <v>1840000</v>
      </c>
      <c r="J10468" s="74">
        <f>IF(E10468="SERVICE",I10468-(I10468*50%),Vlookup(E10468,DATABASE!C:Q,10,false)*F10468)</f>
        <v>0</v>
      </c>
      <c r="K10468" s="74">
        <f>VLOOKUP(E10468,DATABASE!C:Q,7,false)</f>
        <v>825000</v>
      </c>
      <c r="L10468" s="74">
        <v>825000.0</v>
      </c>
      <c r="M10468" s="74">
        <f t="shared" si="6"/>
        <v>825000</v>
      </c>
      <c r="N10468" s="74">
        <f t="shared" si="9"/>
        <v>190000</v>
      </c>
      <c r="O10468" s="65" t="str">
        <f>VLOOKUP(E10468,DATABASE!C:Q,8,false)</f>
        <v>IBU</v>
      </c>
      <c r="P10468" s="65">
        <f>VLOOKUP(E10468,DATABASE!C:Q,9,False)</f>
        <v>1</v>
      </c>
      <c r="Q10468" s="93" t="str">
        <f>VLOOKUP(E10468,DATABASE!C:Q,4,false)</f>
        <v>Bridgestone</v>
      </c>
      <c r="R10468" s="93" t="str">
        <f>VLOOKUP(E10468,DATABASE!C:Q,11,false)</f>
        <v>Tire</v>
      </c>
    </row>
    <row r="10469" ht="22.5" customHeight="1">
      <c r="A10469" s="49"/>
      <c r="C10469" s="400">
        <v>46289.0</v>
      </c>
      <c r="D10469" s="524">
        <v>982.0</v>
      </c>
      <c r="E10469" s="544" t="s">
        <v>554</v>
      </c>
      <c r="F10469" s="387">
        <v>3.0</v>
      </c>
      <c r="G10469" s="140">
        <v>800000.0</v>
      </c>
      <c r="H10469" s="74"/>
      <c r="I10469" s="74">
        <f t="shared" si="7"/>
        <v>2400000</v>
      </c>
      <c r="J10469" s="74">
        <f>IF(E10469="SERVICE",I10469-(I10469*50%),Vlookup(E10469,DATABASE!C:Q,10,false)*F10469)</f>
        <v>0</v>
      </c>
      <c r="K10469" s="74">
        <f>VLOOKUP(E10469,DATABASE!C:Q,7,false)</f>
        <v>710000</v>
      </c>
      <c r="L10469" s="74">
        <v>710000.0</v>
      </c>
      <c r="M10469" s="74">
        <f t="shared" si="6"/>
        <v>710000</v>
      </c>
      <c r="N10469" s="74">
        <f t="shared" si="9"/>
        <v>270000</v>
      </c>
      <c r="O10469" s="65" t="str">
        <f>VLOOKUP(E10469,DATABASE!C:Q,8,false)</f>
        <v>IBU</v>
      </c>
      <c r="P10469" s="65">
        <f>VLOOKUP(E10469,DATABASE!C:Q,9,False)</f>
        <v>1</v>
      </c>
      <c r="Q10469" s="93" t="str">
        <f>VLOOKUP(E10469,DATABASE!C:Q,4,false)</f>
        <v>Bridgestone</v>
      </c>
      <c r="R10469" s="93" t="str">
        <f>VLOOKUP(E10469,DATABASE!C:Q,11,false)</f>
        <v>Tire</v>
      </c>
    </row>
    <row r="10470" ht="22.5" customHeight="1">
      <c r="A10470" s="49"/>
      <c r="C10470" s="400">
        <v>46289.0</v>
      </c>
      <c r="D10470" s="524">
        <v>982.0</v>
      </c>
      <c r="E10470" s="544" t="s">
        <v>781</v>
      </c>
      <c r="F10470" s="387">
        <v>1.0</v>
      </c>
      <c r="G10470" s="140">
        <v>560000.0</v>
      </c>
      <c r="H10470" s="74"/>
      <c r="I10470" s="74">
        <f t="shared" si="7"/>
        <v>560000</v>
      </c>
      <c r="J10470" s="74">
        <f>IF(E10470="SERVICE",I10470-(I10470*50%),Vlookup(E10470,DATABASE!C:Q,10,false)*F10470)</f>
        <v>0</v>
      </c>
      <c r="K10470" s="74">
        <f>VLOOKUP(E10470,DATABASE!C:Q,7,false)</f>
        <v>470000</v>
      </c>
      <c r="L10470" s="74">
        <v>470000.0</v>
      </c>
      <c r="M10470" s="74">
        <f t="shared" si="6"/>
        <v>470000</v>
      </c>
      <c r="N10470" s="74">
        <f t="shared" si="9"/>
        <v>90000</v>
      </c>
      <c r="O10470" s="65" t="str">
        <f>VLOOKUP(E10470,DATABASE!C:Q,8,false)</f>
        <v>BIAN</v>
      </c>
      <c r="P10470" s="65">
        <f>VLOOKUP(E10470,DATABASE!C:Q,9,False)</f>
        <v>1</v>
      </c>
      <c r="Q10470" s="93" t="str">
        <f>VLOOKUP(E10470,DATABASE!C:Q,4,false)</f>
        <v>GT</v>
      </c>
      <c r="R10470" s="93" t="str">
        <f>VLOOKUP(E10470,DATABASE!C:Q,11,false)</f>
        <v>Tire</v>
      </c>
    </row>
    <row r="10471" ht="22.5" customHeight="1">
      <c r="A10471" s="49"/>
      <c r="C10471" s="400">
        <v>46289.0</v>
      </c>
      <c r="D10471" s="524">
        <v>983.0</v>
      </c>
      <c r="E10471" s="544" t="s">
        <v>265</v>
      </c>
      <c r="F10471" s="387">
        <v>1.0</v>
      </c>
      <c r="G10471" s="140">
        <v>715000.0</v>
      </c>
      <c r="H10471" s="74"/>
      <c r="I10471" s="74">
        <f t="shared" si="7"/>
        <v>715000</v>
      </c>
      <c r="J10471" s="74">
        <f>IF(E10471="SERVICE",I10471-(I10471*50%),Vlookup(E10471,DATABASE!C:Q,10,false)*F10471)</f>
        <v>0</v>
      </c>
      <c r="K10471" s="74">
        <f>VLOOKUP(E10471,DATABASE!C:Q,7,false)</f>
        <v>628000</v>
      </c>
      <c r="L10471" s="74">
        <v>628000.0</v>
      </c>
      <c r="M10471" s="74">
        <f t="shared" si="6"/>
        <v>630000</v>
      </c>
      <c r="N10471" s="74">
        <f t="shared" si="9"/>
        <v>85000</v>
      </c>
      <c r="O10471" s="65" t="str">
        <f>VLOOKUP(E10471,DATABASE!C:Q,8,false)</f>
        <v>IBU</v>
      </c>
      <c r="P10471" s="65">
        <f>VLOOKUP(E10471,DATABASE!C:Q,9,False)</f>
        <v>1</v>
      </c>
      <c r="Q10471" s="93" t="str">
        <f>VLOOKUP(E10471,DATABASE!C:Q,4,false)</f>
        <v>Dunlop</v>
      </c>
      <c r="R10471" s="93" t="str">
        <f>VLOOKUP(E10471,DATABASE!C:Q,11,false)</f>
        <v>Tire</v>
      </c>
    </row>
    <row r="10472" ht="22.5" customHeight="1">
      <c r="A10472" s="49"/>
      <c r="C10472" s="400">
        <v>46289.0</v>
      </c>
      <c r="D10472" s="524">
        <v>983.0</v>
      </c>
      <c r="E10472" s="544" t="s">
        <v>569</v>
      </c>
      <c r="F10472" s="387">
        <v>1.0</v>
      </c>
      <c r="G10472" s="140">
        <v>85000.0</v>
      </c>
      <c r="H10472" s="74"/>
      <c r="I10472" s="74">
        <f t="shared" si="7"/>
        <v>85000</v>
      </c>
      <c r="J10472" s="74">
        <f>IF(E10472="SERVICE",I10472-(I10472*50%),Vlookup(E10472,DATABASE!C:Q,10,false)*F10472)</f>
        <v>0</v>
      </c>
      <c r="K10472" s="74">
        <f>VLOOKUP(E10472,DATABASE!C:Q,7,false)</f>
        <v>45439.582</v>
      </c>
      <c r="L10472" s="74">
        <v>45439.582</v>
      </c>
      <c r="M10472" s="74">
        <f t="shared" si="6"/>
        <v>50000</v>
      </c>
      <c r="N10472" s="74">
        <f t="shared" si="9"/>
        <v>35000</v>
      </c>
      <c r="O10472" s="65" t="str">
        <f>VLOOKUP(E10472,DATABASE!C:Q,8,false)</f>
        <v>BIAN</v>
      </c>
      <c r="P10472" s="65">
        <f>VLOOKUP(E10472,DATABASE!C:Q,9,False)</f>
        <v>1</v>
      </c>
      <c r="Q10472" s="93" t="str">
        <f>VLOOKUP(E10472,DATABASE!C:Q,4,false)</f>
        <v>BD</v>
      </c>
      <c r="R10472" s="93" t="str">
        <f>VLOOKUP(E10472,DATABASE!C:Q,11,false)</f>
        <v>Tire</v>
      </c>
    </row>
    <row r="10473" ht="22.5" customHeight="1">
      <c r="A10473" s="49"/>
      <c r="C10473" s="400">
        <v>46289.0</v>
      </c>
      <c r="D10473" s="524">
        <v>984.0</v>
      </c>
      <c r="E10473" s="544" t="s">
        <v>1617</v>
      </c>
      <c r="F10473" s="387">
        <v>2.0</v>
      </c>
      <c r="G10473" s="140">
        <v>850000.0</v>
      </c>
      <c r="H10473" s="140">
        <v>25000.0</v>
      </c>
      <c r="I10473" s="74">
        <f t="shared" si="7"/>
        <v>1650000</v>
      </c>
      <c r="J10473" s="74">
        <f>IF(E10473="SERVICE",I10473-(I10473*50%),Vlookup(E10473,DATABASE!C:Q,10,false)*F10473)</f>
        <v>0</v>
      </c>
      <c r="K10473" s="74">
        <f>VLOOKUP(E10473,DATABASE!C:Q,7,false)</f>
        <v>739000</v>
      </c>
      <c r="L10473" s="74">
        <v>739000.0</v>
      </c>
      <c r="M10473" s="74">
        <f t="shared" si="6"/>
        <v>740000</v>
      </c>
      <c r="N10473" s="74">
        <f t="shared" si="9"/>
        <v>170000</v>
      </c>
      <c r="O10473" s="65" t="str">
        <f>VLOOKUP(E10473,DATABASE!C:Q,8,false)</f>
        <v>BIAN</v>
      </c>
      <c r="P10473" s="65">
        <f>VLOOKUP(E10473,DATABASE!C:Q,9,False)</f>
        <v>1</v>
      </c>
      <c r="Q10473" s="93" t="str">
        <f>VLOOKUP(E10473,DATABASE!C:Q,4,false)</f>
        <v>GT</v>
      </c>
      <c r="R10473" s="93" t="str">
        <f>VLOOKUP(E10473,DATABASE!C:Q,11,false)</f>
        <v>Tire</v>
      </c>
    </row>
    <row r="10474" ht="22.5" customHeight="1">
      <c r="A10474" s="49"/>
      <c r="C10474" s="400">
        <v>46290.0</v>
      </c>
      <c r="D10474" s="524">
        <v>987.0</v>
      </c>
      <c r="E10474" s="544" t="s">
        <v>955</v>
      </c>
      <c r="F10474" s="387">
        <v>2.0</v>
      </c>
      <c r="G10474" s="140">
        <v>810000.0</v>
      </c>
      <c r="H10474" s="140">
        <v>10000.0</v>
      </c>
      <c r="I10474" s="74">
        <f t="shared" si="7"/>
        <v>1600000</v>
      </c>
      <c r="J10474" s="74">
        <f>IF(E10474="SERVICE",I10474-(I10474*50%),Vlookup(E10474,DATABASE!C:Q,10,false)*F10474)</f>
        <v>0</v>
      </c>
      <c r="K10474" s="74">
        <f>VLOOKUP(E10474,DATABASE!C:Q,7,false)</f>
        <v>712000</v>
      </c>
      <c r="L10474" s="74">
        <v>712000.0</v>
      </c>
      <c r="M10474" s="74">
        <f t="shared" si="6"/>
        <v>715000</v>
      </c>
      <c r="N10474" s="74">
        <f t="shared" si="9"/>
        <v>170000</v>
      </c>
      <c r="O10474" s="65" t="str">
        <f>VLOOKUP(E10474,DATABASE!C:Q,8,false)</f>
        <v>IBU</v>
      </c>
      <c r="P10474" s="65">
        <f>VLOOKUP(E10474,DATABASE!C:Q,9,False)</f>
        <v>1</v>
      </c>
      <c r="Q10474" s="93" t="str">
        <f>VLOOKUP(E10474,DATABASE!C:Q,4,false)</f>
        <v>Dunlop</v>
      </c>
      <c r="R10474" s="93" t="str">
        <f>VLOOKUP(E10474,DATABASE!C:Q,11,false)</f>
        <v>Tire</v>
      </c>
    </row>
    <row r="10475" ht="22.5" customHeight="1">
      <c r="A10475" s="49"/>
      <c r="C10475" s="400">
        <v>46290.0</v>
      </c>
      <c r="D10475" s="524">
        <v>988.0</v>
      </c>
      <c r="E10475" s="544" t="s">
        <v>288</v>
      </c>
      <c r="F10475" s="387">
        <v>1.0</v>
      </c>
      <c r="G10475" s="140">
        <v>660000.0</v>
      </c>
      <c r="H10475" s="74"/>
      <c r="I10475" s="74">
        <f t="shared" si="7"/>
        <v>660000</v>
      </c>
      <c r="J10475" s="74">
        <f>IF(E10475="SERVICE",I10475-(I10475*50%),Vlookup(E10475,DATABASE!C:Q,10,false)*F10475)</f>
        <v>0</v>
      </c>
      <c r="K10475" s="74">
        <f>VLOOKUP(E10475,DATABASE!C:Q,7,false)</f>
        <v>565760</v>
      </c>
      <c r="L10475" s="74">
        <v>565760.0</v>
      </c>
      <c r="M10475" s="74">
        <f t="shared" si="6"/>
        <v>570000</v>
      </c>
      <c r="N10475" s="74">
        <f t="shared" si="9"/>
        <v>90000</v>
      </c>
      <c r="O10475" s="65" t="str">
        <f>VLOOKUP(E10475,DATABASE!C:Q,8,false)</f>
        <v>BIAN</v>
      </c>
      <c r="P10475" s="65">
        <f>VLOOKUP(E10475,DATABASE!C:Q,9,False)</f>
        <v>1</v>
      </c>
      <c r="Q10475" s="93" t="str">
        <f>VLOOKUP(E10475,DATABASE!C:Q,4,false)</f>
        <v>GT</v>
      </c>
      <c r="R10475" s="93" t="str">
        <f>VLOOKUP(E10475,DATABASE!C:Q,11,false)</f>
        <v>Tire</v>
      </c>
    </row>
    <row r="10476" ht="22.5" customHeight="1">
      <c r="A10476" s="49"/>
      <c r="C10476" s="400">
        <v>46290.0</v>
      </c>
      <c r="D10476" s="524">
        <v>990.0</v>
      </c>
      <c r="E10476" s="544" t="s">
        <v>268</v>
      </c>
      <c r="F10476" s="387">
        <v>2.0</v>
      </c>
      <c r="G10476" s="140">
        <v>740000.0</v>
      </c>
      <c r="H10476" s="74"/>
      <c r="I10476" s="74">
        <f t="shared" si="7"/>
        <v>1480000</v>
      </c>
      <c r="J10476" s="74">
        <f>IF(E10476="SERVICE",I10476-(I10476*50%),Vlookup(E10476,DATABASE!C:Q,10,false)*F10476)</f>
        <v>0</v>
      </c>
      <c r="K10476" s="74">
        <f>VLOOKUP(E10476,DATABASE!C:Q,7,false)</f>
        <v>653000</v>
      </c>
      <c r="L10476" s="74">
        <v>653000.0</v>
      </c>
      <c r="M10476" s="74">
        <f t="shared" si="6"/>
        <v>655000</v>
      </c>
      <c r="N10476" s="74">
        <f t="shared" si="9"/>
        <v>170000</v>
      </c>
      <c r="O10476" s="65" t="str">
        <f>VLOOKUP(E10476,DATABASE!C:Q,8,false)</f>
        <v>IBU</v>
      </c>
      <c r="P10476" s="65">
        <f>VLOOKUP(E10476,DATABASE!C:Q,9,False)</f>
        <v>1</v>
      </c>
      <c r="Q10476" s="93" t="str">
        <f>VLOOKUP(E10476,DATABASE!C:Q,4,false)</f>
        <v>Dunlop</v>
      </c>
      <c r="R10476" s="93" t="str">
        <f>VLOOKUP(E10476,DATABASE!C:Q,11,false)</f>
        <v>Tire</v>
      </c>
    </row>
    <row r="10477" ht="22.5" customHeight="1">
      <c r="A10477" s="49"/>
      <c r="C10477" s="400">
        <v>46290.0</v>
      </c>
      <c r="D10477" s="524">
        <v>991.0</v>
      </c>
      <c r="E10477" s="544" t="s">
        <v>897</v>
      </c>
      <c r="F10477" s="387">
        <v>2.0</v>
      </c>
      <c r="G10477" s="140">
        <v>1660000.0</v>
      </c>
      <c r="H10477" s="74"/>
      <c r="I10477" s="74">
        <f t="shared" si="7"/>
        <v>3320000</v>
      </c>
      <c r="J10477" s="74">
        <f>IF(E10477="SERVICE",I10477-(I10477*50%),Vlookup(E10477,DATABASE!C:Q,10,false)*F10477)</f>
        <v>0</v>
      </c>
      <c r="K10477" s="74">
        <f>VLOOKUP(E10477,DATABASE!C:Q,7,false)</f>
        <v>1560000</v>
      </c>
      <c r="L10477" s="74">
        <v>1560000.0</v>
      </c>
      <c r="M10477" s="74">
        <f t="shared" si="6"/>
        <v>1560000</v>
      </c>
      <c r="N10477" s="74">
        <f t="shared" si="9"/>
        <v>200000</v>
      </c>
      <c r="O10477" s="65" t="str">
        <f>VLOOKUP(E10477,DATABASE!C:Q,8,false)</f>
        <v>BIAN</v>
      </c>
      <c r="P10477" s="65">
        <f>VLOOKUP(E10477,DATABASE!C:Q,9,False)</f>
        <v>1</v>
      </c>
      <c r="Q10477" s="93" t="str">
        <f>VLOOKUP(E10477,DATABASE!C:Q,4,false)</f>
        <v>GT</v>
      </c>
      <c r="R10477" s="93" t="str">
        <f>VLOOKUP(E10477,DATABASE!C:Q,11,false)</f>
        <v>Tire</v>
      </c>
    </row>
    <row r="10478" ht="22.5" customHeight="1">
      <c r="A10478" s="49"/>
      <c r="C10478" s="400">
        <v>46290.0</v>
      </c>
      <c r="D10478" s="524">
        <v>992.0</v>
      </c>
      <c r="E10478" s="544" t="s">
        <v>256</v>
      </c>
      <c r="F10478" s="387">
        <v>1.0</v>
      </c>
      <c r="G10478" s="140">
        <v>175000.0</v>
      </c>
      <c r="H10478" s="140">
        <v>25000.0</v>
      </c>
      <c r="I10478" s="74">
        <f t="shared" si="7"/>
        <v>150000</v>
      </c>
      <c r="J10478" s="74">
        <f>IF(E10478="SERVICE",I10478-(I10478*50%),Vlookup(E10478,DATABASE!C:Q,10,false)*F10478)</f>
        <v>10000</v>
      </c>
      <c r="K10478" s="74">
        <f>VLOOKUP(E10478,DATABASE!C:Q,7,false)</f>
        <v>0</v>
      </c>
      <c r="L10478" s="74">
        <v>0.0</v>
      </c>
      <c r="M10478" s="74">
        <f t="shared" si="6"/>
        <v>0</v>
      </c>
      <c r="N10478" s="74">
        <f t="shared" si="9"/>
        <v>140000</v>
      </c>
      <c r="O10478" s="65" t="str">
        <f>VLOOKUP(E10478,DATABASE!C:Q,8,false)</f>
        <v>IBU</v>
      </c>
      <c r="P10478" s="65">
        <f>VLOOKUP(E10478,DATABASE!C:Q,9,False)</f>
        <v>0</v>
      </c>
      <c r="Q10478" s="93" t="str">
        <f>VLOOKUP(E10478,DATABASE!C:Q,4,false)</f>
        <v>SPOORING</v>
      </c>
      <c r="R10478" s="93" t="str">
        <f>VLOOKUP(E10478,DATABASE!C:Q,11,false)</f>
        <v>SERVICE</v>
      </c>
    </row>
    <row r="10479" ht="22.5" customHeight="1">
      <c r="A10479" s="49"/>
      <c r="C10479" s="400">
        <v>46290.0</v>
      </c>
      <c r="D10479" s="524">
        <v>993.0</v>
      </c>
      <c r="E10479" s="544" t="s">
        <v>256</v>
      </c>
      <c r="F10479" s="387">
        <v>1.0</v>
      </c>
      <c r="G10479" s="140">
        <v>175000.0</v>
      </c>
      <c r="H10479" s="140">
        <v>25000.0</v>
      </c>
      <c r="I10479" s="74">
        <f t="shared" si="7"/>
        <v>150000</v>
      </c>
      <c r="J10479" s="74">
        <f>IF(E10479="SERVICE",I10479-(I10479*50%),Vlookup(E10479,DATABASE!C:Q,10,false)*F10479)</f>
        <v>10000</v>
      </c>
      <c r="K10479" s="74">
        <f>VLOOKUP(E10479,DATABASE!C:Q,7,false)</f>
        <v>0</v>
      </c>
      <c r="L10479" s="74">
        <v>0.0</v>
      </c>
      <c r="M10479" s="74">
        <f t="shared" si="6"/>
        <v>0</v>
      </c>
      <c r="N10479" s="74">
        <f t="shared" si="9"/>
        <v>140000</v>
      </c>
      <c r="O10479" s="65" t="str">
        <f>VLOOKUP(E10479,DATABASE!C:Q,8,false)</f>
        <v>IBU</v>
      </c>
      <c r="P10479" s="65">
        <f>VLOOKUP(E10479,DATABASE!C:Q,9,False)</f>
        <v>0</v>
      </c>
      <c r="Q10479" s="93" t="str">
        <f>VLOOKUP(E10479,DATABASE!C:Q,4,false)</f>
        <v>SPOORING</v>
      </c>
      <c r="R10479" s="93" t="str">
        <f>VLOOKUP(E10479,DATABASE!C:Q,11,false)</f>
        <v>SERVICE</v>
      </c>
    </row>
    <row r="10480" ht="22.5" customHeight="1">
      <c r="A10480" s="49"/>
      <c r="C10480" s="400">
        <v>46290.0</v>
      </c>
      <c r="D10480" s="524">
        <v>994.0</v>
      </c>
      <c r="E10480" s="544" t="s">
        <v>268</v>
      </c>
      <c r="F10480" s="387">
        <v>4.0</v>
      </c>
      <c r="G10480" s="140">
        <v>740000.0</v>
      </c>
      <c r="H10480" s="140">
        <v>10000.0</v>
      </c>
      <c r="I10480" s="74">
        <f t="shared" si="7"/>
        <v>2920000</v>
      </c>
      <c r="J10480" s="74">
        <f>IF(E10480="SERVICE",I10480-(I10480*50%),Vlookup(E10480,DATABASE!C:Q,10,false)*F10480)</f>
        <v>0</v>
      </c>
      <c r="K10480" s="74">
        <f>VLOOKUP(E10480,DATABASE!C:Q,7,false)</f>
        <v>653000</v>
      </c>
      <c r="L10480" s="74">
        <v>653000.0</v>
      </c>
      <c r="M10480" s="74">
        <f t="shared" si="6"/>
        <v>655000</v>
      </c>
      <c r="N10480" s="74">
        <f t="shared" si="9"/>
        <v>300000</v>
      </c>
      <c r="O10480" s="65" t="str">
        <f>VLOOKUP(E10480,DATABASE!C:Q,8,false)</f>
        <v>IBU</v>
      </c>
      <c r="P10480" s="65">
        <f>VLOOKUP(E10480,DATABASE!C:Q,9,False)</f>
        <v>1</v>
      </c>
      <c r="Q10480" s="93" t="str">
        <f>VLOOKUP(E10480,DATABASE!C:Q,4,false)</f>
        <v>Dunlop</v>
      </c>
      <c r="R10480" s="93" t="str">
        <f>VLOOKUP(E10480,DATABASE!C:Q,11,false)</f>
        <v>Tire</v>
      </c>
    </row>
    <row r="10481" ht="22.5" customHeight="1">
      <c r="A10481" s="49"/>
      <c r="C10481" s="400">
        <v>46290.0</v>
      </c>
      <c r="D10481" s="524">
        <v>995.0</v>
      </c>
      <c r="E10481" s="544" t="s">
        <v>268</v>
      </c>
      <c r="F10481" s="387">
        <v>2.0</v>
      </c>
      <c r="G10481" s="140">
        <v>740000.0</v>
      </c>
      <c r="H10481" s="74"/>
      <c r="I10481" s="74">
        <f t="shared" si="7"/>
        <v>1480000</v>
      </c>
      <c r="J10481" s="74">
        <f>IF(E10481="SERVICE",I10481-(I10481*50%),Vlookup(E10481,DATABASE!C:Q,10,false)*F10481)</f>
        <v>0</v>
      </c>
      <c r="K10481" s="74">
        <f>VLOOKUP(E10481,DATABASE!C:Q,7,false)</f>
        <v>653000</v>
      </c>
      <c r="L10481" s="74">
        <v>653000.0</v>
      </c>
      <c r="M10481" s="74">
        <f t="shared" si="6"/>
        <v>655000</v>
      </c>
      <c r="N10481" s="74">
        <f t="shared" si="9"/>
        <v>170000</v>
      </c>
      <c r="O10481" s="65" t="str">
        <f>VLOOKUP(E10481,DATABASE!C:Q,8,false)</f>
        <v>IBU</v>
      </c>
      <c r="P10481" s="65">
        <f>VLOOKUP(E10481,DATABASE!C:Q,9,False)</f>
        <v>1</v>
      </c>
      <c r="Q10481" s="93" t="str">
        <f>VLOOKUP(E10481,DATABASE!C:Q,4,false)</f>
        <v>Dunlop</v>
      </c>
      <c r="R10481" s="93" t="str">
        <f>VLOOKUP(E10481,DATABASE!C:Q,11,false)</f>
        <v>Tire</v>
      </c>
    </row>
    <row r="10482" ht="22.5" customHeight="1">
      <c r="A10482" s="49"/>
      <c r="C10482" s="400">
        <v>46290.0</v>
      </c>
      <c r="D10482" s="524">
        <v>996.0</v>
      </c>
      <c r="E10482" s="544" t="s">
        <v>256</v>
      </c>
      <c r="F10482" s="387">
        <v>1.0</v>
      </c>
      <c r="G10482" s="140">
        <v>175000.0</v>
      </c>
      <c r="H10482" s="140">
        <v>25000.0</v>
      </c>
      <c r="I10482" s="74">
        <f t="shared" si="7"/>
        <v>150000</v>
      </c>
      <c r="J10482" s="74">
        <f>IF(E10482="SERVICE",I10482-(I10482*50%),Vlookup(E10482,DATABASE!C:Q,10,false)*F10482)</f>
        <v>10000</v>
      </c>
      <c r="K10482" s="74">
        <f>VLOOKUP(E10482,DATABASE!C:Q,7,false)</f>
        <v>0</v>
      </c>
      <c r="L10482" s="74">
        <v>0.0</v>
      </c>
      <c r="M10482" s="74">
        <f t="shared" si="6"/>
        <v>0</v>
      </c>
      <c r="N10482" s="74">
        <f t="shared" si="9"/>
        <v>140000</v>
      </c>
      <c r="O10482" s="65" t="str">
        <f>VLOOKUP(E10482,DATABASE!C:Q,8,false)</f>
        <v>IBU</v>
      </c>
      <c r="P10482" s="65">
        <f>VLOOKUP(E10482,DATABASE!C:Q,9,False)</f>
        <v>0</v>
      </c>
      <c r="Q10482" s="93" t="str">
        <f>VLOOKUP(E10482,DATABASE!C:Q,4,false)</f>
        <v>SPOORING</v>
      </c>
      <c r="R10482" s="93" t="str">
        <f>VLOOKUP(E10482,DATABASE!C:Q,11,false)</f>
        <v>SERVICE</v>
      </c>
    </row>
    <row r="10483" ht="22.5" customHeight="1">
      <c r="A10483" s="49"/>
      <c r="C10483" s="400">
        <v>46290.0</v>
      </c>
      <c r="D10483" s="524">
        <v>996.0</v>
      </c>
      <c r="E10483" s="544" t="s">
        <v>299</v>
      </c>
      <c r="F10483" s="387">
        <v>2.0</v>
      </c>
      <c r="G10483" s="140">
        <v>30000.0</v>
      </c>
      <c r="H10483" s="74"/>
      <c r="I10483" s="74">
        <f t="shared" si="7"/>
        <v>60000</v>
      </c>
      <c r="J10483" s="74">
        <f>IF(E10483="SERVICE",I10483-(I10483*50%),Vlookup(E10483,DATABASE!C:Q,10,false)*F10483)</f>
        <v>0</v>
      </c>
      <c r="K10483" s="74">
        <f>VLOOKUP(E10483,DATABASE!C:Q,7,false)</f>
        <v>10000</v>
      </c>
      <c r="L10483" s="74">
        <v>10000.0</v>
      </c>
      <c r="M10483" s="74">
        <f t="shared" si="6"/>
        <v>10000</v>
      </c>
      <c r="N10483" s="74">
        <f t="shared" si="9"/>
        <v>40000</v>
      </c>
      <c r="O10483" s="65" t="str">
        <f>VLOOKUP(E10483,DATABASE!C:Q,8,false)</f>
        <v>BIAN</v>
      </c>
      <c r="P10483" s="65">
        <f>VLOOKUP(E10483,DATABASE!C:Q,9,False)</f>
        <v>0</v>
      </c>
      <c r="Q10483" s="93" t="str">
        <f>VLOOKUP(E10483,DATABASE!C:Q,4,false)</f>
        <v>Balancing</v>
      </c>
      <c r="R10483" s="93" t="str">
        <f>VLOOKUP(E10483,DATABASE!C:Q,11,false)</f>
        <v>COMPLEMENTARY</v>
      </c>
    </row>
    <row r="10484" ht="22.5" customHeight="1">
      <c r="A10484" s="49"/>
      <c r="C10484" s="400">
        <v>46290.0</v>
      </c>
      <c r="D10484" s="524">
        <v>997.0</v>
      </c>
      <c r="E10484" s="544" t="s">
        <v>256</v>
      </c>
      <c r="F10484" s="387">
        <v>1.0</v>
      </c>
      <c r="G10484" s="140">
        <v>175000.0</v>
      </c>
      <c r="H10484" s="140">
        <v>25000.0</v>
      </c>
      <c r="I10484" s="74">
        <f t="shared" si="7"/>
        <v>150000</v>
      </c>
      <c r="J10484" s="74">
        <f>IF(E10484="SERVICE",I10484-(I10484*50%),Vlookup(E10484,DATABASE!C:Q,10,false)*F10484)</f>
        <v>10000</v>
      </c>
      <c r="K10484" s="74">
        <f>VLOOKUP(E10484,DATABASE!C:Q,7,false)</f>
        <v>0</v>
      </c>
      <c r="L10484" s="140">
        <v>0.0</v>
      </c>
      <c r="M10484" s="74">
        <f t="shared" si="6"/>
        <v>0</v>
      </c>
      <c r="N10484" s="74">
        <f t="shared" si="9"/>
        <v>140000</v>
      </c>
      <c r="O10484" s="65" t="str">
        <f>VLOOKUP(E10484,DATABASE!C:Q,8,false)</f>
        <v>IBU</v>
      </c>
      <c r="P10484" s="65">
        <f>VLOOKUP(E10484,DATABASE!C:Q,9,False)</f>
        <v>0</v>
      </c>
      <c r="Q10484" s="93" t="str">
        <f>VLOOKUP(E10484,DATABASE!C:Q,4,false)</f>
        <v>SPOORING</v>
      </c>
      <c r="R10484" s="93" t="str">
        <f>VLOOKUP(E10484,DATABASE!C:Q,11,false)</f>
        <v>SERVICE</v>
      </c>
    </row>
    <row r="10485" ht="22.5" customHeight="1">
      <c r="A10485" s="49"/>
      <c r="C10485" s="400">
        <v>46290.0</v>
      </c>
      <c r="D10485" s="524">
        <v>998.0</v>
      </c>
      <c r="E10485" s="544" t="s">
        <v>1389</v>
      </c>
      <c r="F10485" s="387">
        <v>1.0</v>
      </c>
      <c r="G10485" s="140">
        <v>1020000.0</v>
      </c>
      <c r="H10485" s="74"/>
      <c r="I10485" s="74">
        <f t="shared" si="7"/>
        <v>1020000</v>
      </c>
      <c r="J10485" s="74">
        <f>IF(E10485="SERVICE",I10485-(I10485*50%),Vlookup(E10485,DATABASE!C:Q,10,false)*F10485)</f>
        <v>0</v>
      </c>
      <c r="K10485" s="74">
        <f>VLOOKUP(E10485,DATABASE!C:Q,7,false)</f>
        <v>908000</v>
      </c>
      <c r="L10485" s="74">
        <v>908000.0</v>
      </c>
      <c r="M10485" s="74">
        <f t="shared" si="6"/>
        <v>910000</v>
      </c>
      <c r="N10485" s="74">
        <f t="shared" si="9"/>
        <v>110000</v>
      </c>
      <c r="O10485" s="65" t="str">
        <f>VLOOKUP(E10485,DATABASE!C:Q,8,false)</f>
        <v>IBU</v>
      </c>
      <c r="P10485" s="65">
        <f>VLOOKUP(E10485,DATABASE!C:Q,9,False)</f>
        <v>1</v>
      </c>
      <c r="Q10485" s="93" t="str">
        <f>VLOOKUP(E10485,DATABASE!C:Q,4,false)</f>
        <v>Dunlop</v>
      </c>
      <c r="R10485" s="93" t="str">
        <f>VLOOKUP(E10485,DATABASE!C:Q,11,false)</f>
        <v>Tire</v>
      </c>
    </row>
    <row r="10486" ht="22.5" customHeight="1">
      <c r="A10486" s="49"/>
      <c r="C10486" s="400">
        <v>46290.0</v>
      </c>
      <c r="D10486" s="524">
        <v>998.0</v>
      </c>
      <c r="E10486" s="544" t="s">
        <v>2611</v>
      </c>
      <c r="F10486" s="387">
        <v>1.0</v>
      </c>
      <c r="G10486" s="140">
        <v>115000.0</v>
      </c>
      <c r="H10486" s="74"/>
      <c r="I10486" s="74">
        <f t="shared" si="7"/>
        <v>115000</v>
      </c>
      <c r="J10486" s="74">
        <f>IF(E10486="SERVICE",I10486-(I10486*50%),Vlookup(E10486,DATABASE!C:Q,10,false)*F10486)</f>
        <v>0</v>
      </c>
      <c r="K10486" s="74">
        <f>VLOOKUP(E10486,DATABASE!C:Q,7,false)</f>
        <v>81000</v>
      </c>
      <c r="L10486" s="74">
        <v>81000.0</v>
      </c>
      <c r="M10486" s="74">
        <f t="shared" si="6"/>
        <v>85000</v>
      </c>
      <c r="N10486" s="74">
        <f t="shared" si="9"/>
        <v>30000</v>
      </c>
      <c r="O10486" s="65" t="str">
        <f>VLOOKUP(E10486,DATABASE!C:Q,8,false)</f>
        <v>BIAN</v>
      </c>
      <c r="P10486" s="65">
        <f>VLOOKUP(E10486,DATABASE!C:Q,9,False)</f>
        <v>1</v>
      </c>
      <c r="Q10486" s="93" t="str">
        <f>VLOOKUP(E10486,DATABASE!C:Q,4,false)</f>
        <v>BD IBK</v>
      </c>
      <c r="R10486" s="93" t="str">
        <f>VLOOKUP(E10486,DATABASE!C:Q,11,false)</f>
        <v>Tire</v>
      </c>
    </row>
    <row r="10487" ht="22.5" customHeight="1">
      <c r="A10487" s="49"/>
      <c r="C10487" s="400">
        <v>46290.0</v>
      </c>
      <c r="D10487" s="524">
        <v>999.0</v>
      </c>
      <c r="E10487" s="544" t="s">
        <v>461</v>
      </c>
      <c r="F10487" s="387">
        <v>1.0</v>
      </c>
      <c r="G10487" s="140">
        <v>60000.0</v>
      </c>
      <c r="H10487" s="140">
        <v>20000.0</v>
      </c>
      <c r="I10487" s="74">
        <f t="shared" si="7"/>
        <v>40000</v>
      </c>
      <c r="J10487" s="74">
        <f>IF(E10487="SERVICE",I10487-(I10487*50%),Vlookup(E10487,DATABASE!C:Q,10,false)*F10487)</f>
        <v>0</v>
      </c>
      <c r="K10487" s="74">
        <f>VLOOKUP(E10487,DATABASE!C:Q,7,false)</f>
        <v>15000</v>
      </c>
      <c r="L10487" s="74">
        <v>15000.0</v>
      </c>
      <c r="M10487" s="74">
        <f t="shared" si="6"/>
        <v>15000</v>
      </c>
      <c r="N10487" s="74">
        <f t="shared" si="9"/>
        <v>25000</v>
      </c>
      <c r="O10487" s="65" t="str">
        <f>VLOOKUP(E10487,DATABASE!C:Q,8,false)</f>
        <v>BIAN</v>
      </c>
      <c r="P10487" s="65">
        <f>VLOOKUP(E10487,DATABASE!C:Q,9,False)</f>
        <v>0</v>
      </c>
      <c r="Q10487" s="93" t="str">
        <f>VLOOKUP(E10487,DATABASE!C:Q,4,false)</f>
        <v>Balancing</v>
      </c>
      <c r="R10487" s="93" t="str">
        <f>VLOOKUP(E10487,DATABASE!C:Q,11,false)</f>
        <v>COMPLEMENTARY</v>
      </c>
    </row>
    <row r="10488" ht="22.5" customHeight="1">
      <c r="A10488" s="49"/>
      <c r="C10488" s="400">
        <v>46290.0</v>
      </c>
      <c r="D10488" s="524">
        <v>1000.0</v>
      </c>
      <c r="E10488" s="544" t="s">
        <v>279</v>
      </c>
      <c r="F10488" s="387">
        <v>2.0</v>
      </c>
      <c r="G10488" s="140">
        <v>715000.0</v>
      </c>
      <c r="H10488" s="74"/>
      <c r="I10488" s="74">
        <f t="shared" si="7"/>
        <v>1430000</v>
      </c>
      <c r="J10488" s="74">
        <f>IF(E10488="SERVICE",I10488-(I10488*50%),Vlookup(E10488,DATABASE!C:Q,10,false)*F10488)</f>
        <v>0</v>
      </c>
      <c r="K10488" s="74">
        <f>VLOOKUP(E10488,DATABASE!C:Q,7,false)</f>
        <v>623000</v>
      </c>
      <c r="L10488" s="74">
        <v>623000.0</v>
      </c>
      <c r="M10488" s="74">
        <f t="shared" si="6"/>
        <v>625000</v>
      </c>
      <c r="N10488" s="74">
        <f t="shared" si="9"/>
        <v>180000</v>
      </c>
      <c r="O10488" s="65" t="str">
        <f>VLOOKUP(E10488,DATABASE!C:Q,8,false)</f>
        <v>IBU</v>
      </c>
      <c r="P10488" s="65">
        <f>VLOOKUP(E10488,DATABASE!C:Q,9,False)</f>
        <v>1</v>
      </c>
      <c r="Q10488" s="93" t="str">
        <f>VLOOKUP(E10488,DATABASE!C:Q,4,false)</f>
        <v>Dunlop</v>
      </c>
      <c r="R10488" s="93" t="str">
        <f>VLOOKUP(E10488,DATABASE!C:Q,11,false)</f>
        <v>Tire</v>
      </c>
    </row>
    <row r="10489" ht="22.5" customHeight="1">
      <c r="A10489" s="49"/>
      <c r="C10489" s="400">
        <v>46290.0</v>
      </c>
      <c r="D10489" s="524">
        <v>1001.0</v>
      </c>
      <c r="E10489" s="544" t="s">
        <v>256</v>
      </c>
      <c r="F10489" s="387">
        <v>1.0</v>
      </c>
      <c r="G10489" s="140">
        <v>175000.0</v>
      </c>
      <c r="H10489" s="140">
        <v>25000.0</v>
      </c>
      <c r="I10489" s="74">
        <f t="shared" si="7"/>
        <v>150000</v>
      </c>
      <c r="J10489" s="74">
        <f>IF(E10489="SERVICE",I10489-(I10489*50%),Vlookup(E10489,DATABASE!C:Q,10,false)*F10489)</f>
        <v>10000</v>
      </c>
      <c r="K10489" s="74">
        <f>VLOOKUP(E10489,DATABASE!C:Q,7,false)</f>
        <v>0</v>
      </c>
      <c r="L10489" s="74">
        <v>0.0</v>
      </c>
      <c r="M10489" s="74">
        <f t="shared" si="6"/>
        <v>0</v>
      </c>
      <c r="N10489" s="74">
        <f t="shared" si="9"/>
        <v>140000</v>
      </c>
      <c r="O10489" s="65" t="str">
        <f>VLOOKUP(E10489,DATABASE!C:Q,8,false)</f>
        <v>IBU</v>
      </c>
      <c r="P10489" s="65">
        <f>VLOOKUP(E10489,DATABASE!C:Q,9,False)</f>
        <v>0</v>
      </c>
      <c r="Q10489" s="93" t="str">
        <f>VLOOKUP(E10489,DATABASE!C:Q,4,false)</f>
        <v>SPOORING</v>
      </c>
      <c r="R10489" s="93" t="str">
        <f>VLOOKUP(E10489,DATABASE!C:Q,11,false)</f>
        <v>SERVICE</v>
      </c>
    </row>
    <row r="10490" ht="22.5" customHeight="1">
      <c r="A10490" s="49"/>
      <c r="C10490" s="400">
        <v>46290.0</v>
      </c>
      <c r="D10490" s="524">
        <v>1001.0</v>
      </c>
      <c r="E10490" s="544" t="s">
        <v>251</v>
      </c>
      <c r="F10490" s="387">
        <v>1.0</v>
      </c>
      <c r="G10490" s="140">
        <v>350000.0</v>
      </c>
      <c r="H10490" s="140">
        <v>200000.0</v>
      </c>
      <c r="I10490" s="74">
        <f t="shared" si="7"/>
        <v>150000</v>
      </c>
      <c r="J10490" s="74">
        <f>IF(E10490="SERVICE",I10490-(I10490*50%),Vlookup(E10490,DATABASE!C:Q,10,false)*F10490)</f>
        <v>75000</v>
      </c>
      <c r="K10490" s="74">
        <f>VLOOKUP(E10490,DATABASE!C:Q,7,false)</f>
        <v>0</v>
      </c>
      <c r="L10490" s="74">
        <v>0.0</v>
      </c>
      <c r="M10490" s="74">
        <f t="shared" si="6"/>
        <v>0</v>
      </c>
      <c r="N10490" s="74">
        <f t="shared" si="9"/>
        <v>75000</v>
      </c>
      <c r="O10490" s="65" t="str">
        <f>VLOOKUP(E10490,DATABASE!C:Q,8,false)</f>
        <v>IBU</v>
      </c>
      <c r="P10490" s="65">
        <f>VLOOKUP(E10490,DATABASE!C:Q,9,False)</f>
        <v>0</v>
      </c>
      <c r="Q10490" s="93" t="str">
        <f>VLOOKUP(E10490,DATABASE!C:Q,4,false)</f>
        <v>SERVICE</v>
      </c>
      <c r="R10490" s="93" t="str">
        <f>VLOOKUP(E10490,DATABASE!C:Q,11,false)</f>
        <v>SERVICE</v>
      </c>
    </row>
    <row r="10491" ht="22.5" customHeight="1">
      <c r="A10491" s="49"/>
      <c r="C10491" s="400"/>
      <c r="D10491" s="524"/>
      <c r="E10491" s="544"/>
      <c r="F10491" s="387"/>
      <c r="G10491" s="140"/>
      <c r="H10491" s="74"/>
      <c r="I10491" s="74">
        <f t="shared" si="7"/>
        <v>0</v>
      </c>
      <c r="J10491" s="74" t="str">
        <f>IF(E10491="SERVICE",I10491-(I10491*50%),Vlookup(E10491,DATABASE!C:Q,10,false)*F10491)</f>
        <v>#N/A</v>
      </c>
      <c r="K10491" s="74" t="str">
        <f>VLOOKUP(E10491,DATABASE!C:Q,7,false)</f>
        <v>#N/A</v>
      </c>
      <c r="L10491" s="74"/>
      <c r="M10491" s="74">
        <f t="shared" si="6"/>
        <v>0</v>
      </c>
      <c r="N10491" s="74" t="str">
        <f t="shared" si="9"/>
        <v>#N/A</v>
      </c>
      <c r="O10491" s="65" t="str">
        <f>VLOOKUP(E10491,DATABASE!C:Q,8,false)</f>
        <v>#N/A</v>
      </c>
      <c r="P10491" s="65" t="str">
        <f>VLOOKUP(E10491,DATABASE!C:Q,9,False)</f>
        <v>#N/A</v>
      </c>
      <c r="Q10491" s="93" t="str">
        <f>VLOOKUP(E10491,DATABASE!C:Q,4,false)</f>
        <v>#N/A</v>
      </c>
      <c r="R10491" s="93" t="str">
        <f>VLOOKUP(E10491,DATABASE!C:Q,11,false)</f>
        <v>#N/A</v>
      </c>
    </row>
    <row r="10492" ht="22.5" customHeight="1">
      <c r="A10492" s="49"/>
      <c r="C10492" s="400"/>
      <c r="D10492" s="524"/>
      <c r="E10492" s="544"/>
      <c r="F10492" s="387"/>
      <c r="G10492" s="140"/>
      <c r="H10492" s="74"/>
      <c r="I10492" s="74">
        <f t="shared" si="7"/>
        <v>0</v>
      </c>
      <c r="J10492" s="74" t="str">
        <f>IF(E10492="SERVICE",I10492-(I10492*50%),Vlookup(E10492,DATABASE!C:Q,10,false)*F10492)</f>
        <v>#N/A</v>
      </c>
      <c r="K10492" s="74" t="str">
        <f>VLOOKUP(E10492,DATABASE!C:Q,7,false)</f>
        <v>#N/A</v>
      </c>
      <c r="L10492" s="74"/>
      <c r="M10492" s="74">
        <f t="shared" si="6"/>
        <v>0</v>
      </c>
      <c r="N10492" s="74" t="str">
        <f t="shared" si="9"/>
        <v>#N/A</v>
      </c>
      <c r="O10492" s="65" t="str">
        <f>VLOOKUP(E10492,DATABASE!C:Q,8,false)</f>
        <v>#N/A</v>
      </c>
      <c r="P10492" s="65" t="str">
        <f>VLOOKUP(E10492,DATABASE!C:Q,9,False)</f>
        <v>#N/A</v>
      </c>
      <c r="Q10492" s="93" t="str">
        <f>VLOOKUP(E10492,DATABASE!C:Q,4,false)</f>
        <v>#N/A</v>
      </c>
      <c r="R10492" s="93" t="str">
        <f>VLOOKUP(E10492,DATABASE!C:Q,11,false)</f>
        <v>#N/A</v>
      </c>
    </row>
    <row r="10493" ht="22.5" customHeight="1">
      <c r="A10493" s="49"/>
      <c r="C10493" s="400"/>
      <c r="D10493" s="524"/>
      <c r="E10493" s="544"/>
      <c r="F10493" s="387"/>
      <c r="G10493" s="140"/>
      <c r="H10493" s="74"/>
      <c r="I10493" s="74">
        <f t="shared" si="7"/>
        <v>0</v>
      </c>
      <c r="J10493" s="74" t="str">
        <f>IF(E10493="SERVICE",I10493-(I10493*50%),Vlookup(E10493,DATABASE!C:Q,10,false)*F10493)</f>
        <v>#N/A</v>
      </c>
      <c r="K10493" s="74" t="str">
        <f>VLOOKUP(E10493,DATABASE!C:Q,7,false)</f>
        <v>#N/A</v>
      </c>
      <c r="L10493" s="74"/>
      <c r="M10493" s="74">
        <f t="shared" si="6"/>
        <v>0</v>
      </c>
      <c r="N10493" s="74" t="str">
        <f t="shared" si="9"/>
        <v>#N/A</v>
      </c>
      <c r="O10493" s="65" t="str">
        <f>VLOOKUP(E10493,DATABASE!C:Q,8,false)</f>
        <v>#N/A</v>
      </c>
      <c r="P10493" s="65" t="str">
        <f>VLOOKUP(E10493,DATABASE!C:Q,9,False)</f>
        <v>#N/A</v>
      </c>
      <c r="Q10493" s="93" t="str">
        <f>VLOOKUP(E10493,DATABASE!C:Q,4,false)</f>
        <v>#N/A</v>
      </c>
      <c r="R10493" s="93" t="str">
        <f>VLOOKUP(E10493,DATABASE!C:Q,11,false)</f>
        <v>#N/A</v>
      </c>
    </row>
    <row r="10494" ht="22.5" customHeight="1">
      <c r="A10494" s="49"/>
      <c r="C10494" s="400"/>
      <c r="D10494" s="524"/>
      <c r="E10494" s="544"/>
      <c r="F10494" s="387"/>
      <c r="G10494" s="140"/>
      <c r="H10494" s="74"/>
      <c r="I10494" s="74">
        <f t="shared" si="7"/>
        <v>0</v>
      </c>
      <c r="J10494" s="74" t="str">
        <f>IF(E10494="SERVICE",I10494-(I10494*50%),Vlookup(E10494,DATABASE!C:Q,10,false)*F10494)</f>
        <v>#N/A</v>
      </c>
      <c r="K10494" s="74" t="str">
        <f>VLOOKUP(E10494,DATABASE!C:Q,7,false)</f>
        <v>#N/A</v>
      </c>
      <c r="L10494" s="74"/>
      <c r="M10494" s="74">
        <f t="shared" si="6"/>
        <v>0</v>
      </c>
      <c r="N10494" s="74" t="str">
        <f t="shared" si="9"/>
        <v>#N/A</v>
      </c>
      <c r="O10494" s="65" t="str">
        <f>VLOOKUP(E10494,DATABASE!C:Q,8,false)</f>
        <v>#N/A</v>
      </c>
      <c r="P10494" s="65" t="str">
        <f>VLOOKUP(E10494,DATABASE!C:Q,9,False)</f>
        <v>#N/A</v>
      </c>
      <c r="Q10494" s="93" t="str">
        <f>VLOOKUP(E10494,DATABASE!C:Q,4,false)</f>
        <v>#N/A</v>
      </c>
      <c r="R10494" s="93" t="str">
        <f>VLOOKUP(E10494,DATABASE!C:Q,11,false)</f>
        <v>#N/A</v>
      </c>
    </row>
    <row r="10495" ht="22.5" customHeight="1">
      <c r="A10495" s="49"/>
      <c r="C10495" s="400"/>
      <c r="D10495" s="524"/>
      <c r="E10495" s="544"/>
      <c r="F10495" s="387"/>
      <c r="G10495" s="140"/>
      <c r="H10495" s="74"/>
      <c r="I10495" s="74">
        <f t="shared" si="7"/>
        <v>0</v>
      </c>
      <c r="J10495" s="74" t="str">
        <f>IF(E10495="SERVICE",I10495-(I10495*50%),Vlookup(E10495,DATABASE!C:Q,10,false)*F10495)</f>
        <v>#N/A</v>
      </c>
      <c r="K10495" s="74" t="str">
        <f>VLOOKUP(E10495,DATABASE!C:Q,7,false)</f>
        <v>#N/A</v>
      </c>
      <c r="L10495" s="74"/>
      <c r="M10495" s="74">
        <f t="shared" si="6"/>
        <v>0</v>
      </c>
      <c r="N10495" s="74" t="str">
        <f t="shared" si="9"/>
        <v>#N/A</v>
      </c>
      <c r="O10495" s="65" t="str">
        <f>VLOOKUP(E10495,DATABASE!C:Q,8,false)</f>
        <v>#N/A</v>
      </c>
      <c r="P10495" s="65" t="str">
        <f>VLOOKUP(E10495,DATABASE!C:Q,9,False)</f>
        <v>#N/A</v>
      </c>
      <c r="Q10495" s="93" t="str">
        <f>VLOOKUP(E10495,DATABASE!C:Q,4,false)</f>
        <v>#N/A</v>
      </c>
      <c r="R10495" s="93" t="str">
        <f>VLOOKUP(E10495,DATABASE!C:Q,11,false)</f>
        <v>#N/A</v>
      </c>
    </row>
    <row r="10496" ht="22.5" customHeight="1">
      <c r="A10496" s="49"/>
      <c r="C10496" s="400"/>
      <c r="D10496" s="524"/>
      <c r="E10496" s="544"/>
      <c r="F10496" s="387"/>
      <c r="G10496" s="140"/>
      <c r="H10496" s="74"/>
      <c r="I10496" s="74">
        <f t="shared" si="7"/>
        <v>0</v>
      </c>
      <c r="J10496" s="74" t="str">
        <f>IF(E10496="SERVICE",I10496-(I10496*50%),Vlookup(E10496,DATABASE!C:Q,10,false)*F10496)</f>
        <v>#N/A</v>
      </c>
      <c r="K10496" s="74" t="str">
        <f>VLOOKUP(E10496,DATABASE!C:Q,7,false)</f>
        <v>#N/A</v>
      </c>
      <c r="L10496" s="74"/>
      <c r="M10496" s="74">
        <f t="shared" si="6"/>
        <v>0</v>
      </c>
      <c r="N10496" s="74" t="str">
        <f t="shared" si="9"/>
        <v>#N/A</v>
      </c>
      <c r="O10496" s="65" t="str">
        <f>VLOOKUP(E10496,DATABASE!C:Q,8,false)</f>
        <v>#N/A</v>
      </c>
      <c r="P10496" s="65" t="str">
        <f>VLOOKUP(E10496,DATABASE!C:Q,9,False)</f>
        <v>#N/A</v>
      </c>
      <c r="Q10496" s="93" t="str">
        <f>VLOOKUP(E10496,DATABASE!C:Q,4,false)</f>
        <v>#N/A</v>
      </c>
      <c r="R10496" s="93" t="str">
        <f>VLOOKUP(E10496,DATABASE!C:Q,11,false)</f>
        <v>#N/A</v>
      </c>
    </row>
    <row r="10497" ht="22.5" customHeight="1">
      <c r="A10497" s="49"/>
      <c r="C10497" s="400"/>
      <c r="D10497" s="524"/>
      <c r="E10497" s="544"/>
      <c r="F10497" s="387"/>
      <c r="G10497" s="140"/>
      <c r="H10497" s="74"/>
      <c r="I10497" s="74">
        <f t="shared" si="7"/>
        <v>0</v>
      </c>
      <c r="J10497" s="74" t="str">
        <f>IF(E10497="SERVICE",I10497-(I10497*50%),Vlookup(E10497,DATABASE!C:Q,10,false)*F10497)</f>
        <v>#N/A</v>
      </c>
      <c r="K10497" s="74" t="str">
        <f>VLOOKUP(E10497,DATABASE!C:Q,7,false)</f>
        <v>#N/A</v>
      </c>
      <c r="L10497" s="74"/>
      <c r="M10497" s="74">
        <f t="shared" si="6"/>
        <v>0</v>
      </c>
      <c r="N10497" s="74" t="str">
        <f t="shared" si="9"/>
        <v>#N/A</v>
      </c>
      <c r="O10497" s="65" t="str">
        <f>VLOOKUP(E10497,DATABASE!C:Q,8,false)</f>
        <v>#N/A</v>
      </c>
      <c r="P10497" s="65" t="str">
        <f>VLOOKUP(E10497,DATABASE!C:Q,9,False)</f>
        <v>#N/A</v>
      </c>
      <c r="Q10497" s="93" t="str">
        <f>VLOOKUP(E10497,DATABASE!C:Q,4,false)</f>
        <v>#N/A</v>
      </c>
      <c r="R10497" s="93" t="str">
        <f>VLOOKUP(E10497,DATABASE!C:Q,11,false)</f>
        <v>#N/A</v>
      </c>
    </row>
    <row r="10498" ht="22.5" customHeight="1">
      <c r="A10498" s="49"/>
      <c r="C10498" s="400"/>
      <c r="D10498" s="524"/>
      <c r="E10498" s="544"/>
      <c r="F10498" s="387"/>
      <c r="G10498" s="140"/>
      <c r="H10498" s="74"/>
      <c r="I10498" s="74">
        <f t="shared" si="7"/>
        <v>0</v>
      </c>
      <c r="J10498" s="74" t="str">
        <f>IF(E10498="SERVICE",I10498-(I10498*50%),Vlookup(E10498,DATABASE!C:Q,10,false)*F10498)</f>
        <v>#N/A</v>
      </c>
      <c r="K10498" s="74" t="str">
        <f>VLOOKUP(E10498,DATABASE!C:Q,7,false)</f>
        <v>#N/A</v>
      </c>
      <c r="L10498" s="74"/>
      <c r="M10498" s="74">
        <f t="shared" si="6"/>
        <v>0</v>
      </c>
      <c r="N10498" s="74" t="str">
        <f t="shared" si="9"/>
        <v>#N/A</v>
      </c>
      <c r="O10498" s="65" t="str">
        <f>VLOOKUP(E10498,DATABASE!C:Q,8,false)</f>
        <v>#N/A</v>
      </c>
      <c r="P10498" s="65" t="str">
        <f>VLOOKUP(E10498,DATABASE!C:Q,9,False)</f>
        <v>#N/A</v>
      </c>
      <c r="Q10498" s="93" t="str">
        <f>VLOOKUP(E10498,DATABASE!C:Q,4,false)</f>
        <v>#N/A</v>
      </c>
      <c r="R10498" s="93" t="str">
        <f>VLOOKUP(E10498,DATABASE!C:Q,11,false)</f>
        <v>#N/A</v>
      </c>
    </row>
    <row r="10499" ht="22.5" customHeight="1">
      <c r="A10499" s="49"/>
      <c r="C10499" s="400"/>
      <c r="D10499" s="524"/>
      <c r="E10499" s="544"/>
      <c r="F10499" s="387"/>
      <c r="G10499" s="140"/>
      <c r="H10499" s="74"/>
      <c r="I10499" s="74">
        <f t="shared" si="7"/>
        <v>0</v>
      </c>
      <c r="J10499" s="74" t="str">
        <f>IF(E10499="SERVICE",I10499-(I10499*50%),Vlookup(E10499,DATABASE!C:Q,10,false)*F10499)</f>
        <v>#N/A</v>
      </c>
      <c r="K10499" s="74" t="str">
        <f>VLOOKUP(E10499,DATABASE!C:Q,7,false)</f>
        <v>#N/A</v>
      </c>
      <c r="L10499" s="74"/>
      <c r="M10499" s="74">
        <f t="shared" si="6"/>
        <v>0</v>
      </c>
      <c r="N10499" s="74" t="str">
        <f t="shared" si="9"/>
        <v>#N/A</v>
      </c>
      <c r="O10499" s="65" t="str">
        <f>VLOOKUP(E10499,DATABASE!C:Q,8,false)</f>
        <v>#N/A</v>
      </c>
      <c r="P10499" s="65" t="str">
        <f>VLOOKUP(E10499,DATABASE!C:Q,9,False)</f>
        <v>#N/A</v>
      </c>
      <c r="Q10499" s="93" t="str">
        <f>VLOOKUP(E10499,DATABASE!C:Q,4,false)</f>
        <v>#N/A</v>
      </c>
      <c r="R10499" s="93" t="str">
        <f>VLOOKUP(E10499,DATABASE!C:Q,11,false)</f>
        <v>#N/A</v>
      </c>
    </row>
    <row r="10500" ht="22.5" customHeight="1">
      <c r="A10500" s="49"/>
      <c r="C10500" s="400"/>
      <c r="D10500" s="524"/>
      <c r="E10500" s="544"/>
      <c r="F10500" s="387"/>
      <c r="G10500" s="140"/>
      <c r="H10500" s="74"/>
      <c r="I10500" s="74">
        <f t="shared" si="7"/>
        <v>0</v>
      </c>
      <c r="J10500" s="74" t="str">
        <f>IF(E10500="SERVICE",I10500-(I10500*50%),Vlookup(E10500,DATABASE!C:Q,10,false)*F10500)</f>
        <v>#N/A</v>
      </c>
      <c r="K10500" s="74" t="str">
        <f>VLOOKUP(E10500,DATABASE!C:Q,7,false)</f>
        <v>#N/A</v>
      </c>
      <c r="L10500" s="74"/>
      <c r="M10500" s="74">
        <f t="shared" si="6"/>
        <v>0</v>
      </c>
      <c r="N10500" s="74" t="str">
        <f t="shared" si="9"/>
        <v>#N/A</v>
      </c>
      <c r="O10500" s="65" t="str">
        <f>VLOOKUP(E10500,DATABASE!C:Q,8,false)</f>
        <v>#N/A</v>
      </c>
      <c r="P10500" s="65" t="str">
        <f>VLOOKUP(E10500,DATABASE!C:Q,9,False)</f>
        <v>#N/A</v>
      </c>
      <c r="Q10500" s="93" t="str">
        <f>VLOOKUP(E10500,DATABASE!C:Q,4,false)</f>
        <v>#N/A</v>
      </c>
      <c r="R10500" s="93" t="str">
        <f>VLOOKUP(E10500,DATABASE!C:Q,11,false)</f>
        <v>#N/A</v>
      </c>
    </row>
    <row r="10501" ht="22.5" customHeight="1">
      <c r="A10501" s="49"/>
      <c r="C10501" s="400"/>
      <c r="D10501" s="524"/>
      <c r="E10501" s="544"/>
      <c r="F10501" s="387"/>
      <c r="G10501" s="140"/>
      <c r="H10501" s="74"/>
      <c r="I10501" s="74">
        <f t="shared" si="7"/>
        <v>0</v>
      </c>
      <c r="J10501" s="74" t="str">
        <f>IF(E10501="SERVICE",I10501-(I10501*50%),Vlookup(E10501,DATABASE!C:Q,10,false)*F10501)</f>
        <v>#N/A</v>
      </c>
      <c r="K10501" s="74" t="str">
        <f>VLOOKUP(E10501,DATABASE!C:Q,7,false)</f>
        <v>#N/A</v>
      </c>
      <c r="L10501" s="74"/>
      <c r="M10501" s="74">
        <f t="shared" si="6"/>
        <v>0</v>
      </c>
      <c r="N10501" s="74" t="str">
        <f t="shared" si="9"/>
        <v>#N/A</v>
      </c>
      <c r="O10501" s="65" t="str">
        <f>VLOOKUP(E10501,DATABASE!C:Q,8,false)</f>
        <v>#N/A</v>
      </c>
      <c r="P10501" s="65" t="str">
        <f>VLOOKUP(E10501,DATABASE!C:Q,9,False)</f>
        <v>#N/A</v>
      </c>
      <c r="Q10501" s="93" t="str">
        <f>VLOOKUP(E10501,DATABASE!C:Q,4,false)</f>
        <v>#N/A</v>
      </c>
      <c r="R10501" s="93" t="str">
        <f>VLOOKUP(E10501,DATABASE!C:Q,11,false)</f>
        <v>#N/A</v>
      </c>
    </row>
    <row r="10502" ht="22.5" customHeight="1">
      <c r="A10502" s="49"/>
      <c r="C10502" s="400"/>
      <c r="D10502" s="524"/>
      <c r="E10502" s="544"/>
      <c r="F10502" s="387"/>
      <c r="G10502" s="140"/>
      <c r="H10502" s="74"/>
      <c r="I10502" s="74">
        <f t="shared" si="7"/>
        <v>0</v>
      </c>
      <c r="J10502" s="74" t="str">
        <f>IF(E10502="SERVICE",I10502-(I10502*50%),Vlookup(E10502,DATABASE!C:Q,10,false)*F10502)</f>
        <v>#N/A</v>
      </c>
      <c r="K10502" s="74" t="str">
        <f>VLOOKUP(E10502,DATABASE!C:Q,7,false)</f>
        <v>#N/A</v>
      </c>
      <c r="L10502" s="74"/>
      <c r="M10502" s="74">
        <f t="shared" si="6"/>
        <v>0</v>
      </c>
      <c r="N10502" s="74" t="str">
        <f t="shared" si="9"/>
        <v>#N/A</v>
      </c>
      <c r="O10502" s="65" t="str">
        <f>VLOOKUP(E10502,DATABASE!C:Q,8,false)</f>
        <v>#N/A</v>
      </c>
      <c r="P10502" s="65" t="str">
        <f>VLOOKUP(E10502,DATABASE!C:Q,9,False)</f>
        <v>#N/A</v>
      </c>
      <c r="Q10502" s="93" t="str">
        <f>VLOOKUP(E10502,DATABASE!C:Q,4,false)</f>
        <v>#N/A</v>
      </c>
      <c r="R10502" s="93" t="str">
        <f>VLOOKUP(E10502,DATABASE!C:Q,11,false)</f>
        <v>#N/A</v>
      </c>
    </row>
    <row r="10503" ht="22.5" customHeight="1">
      <c r="A10503" s="49"/>
      <c r="C10503" s="400"/>
      <c r="D10503" s="524"/>
      <c r="E10503" s="544"/>
      <c r="F10503" s="387"/>
      <c r="G10503" s="140"/>
      <c r="H10503" s="74"/>
      <c r="I10503" s="74">
        <f t="shared" si="7"/>
        <v>0</v>
      </c>
      <c r="J10503" s="74" t="str">
        <f>IF(E10503="SERVICE",I10503-(I10503*50%),Vlookup(E10503,DATABASE!C:Q,10,false)*F10503)</f>
        <v>#N/A</v>
      </c>
      <c r="K10503" s="74" t="str">
        <f>VLOOKUP(E10503,DATABASE!C:Q,7,false)</f>
        <v>#N/A</v>
      </c>
      <c r="L10503" s="74"/>
      <c r="M10503" s="74">
        <f t="shared" si="6"/>
        <v>0</v>
      </c>
      <c r="N10503" s="74" t="str">
        <f t="shared" si="9"/>
        <v>#N/A</v>
      </c>
      <c r="O10503" s="65" t="str">
        <f>VLOOKUP(E10503,DATABASE!C:Q,8,false)</f>
        <v>#N/A</v>
      </c>
      <c r="P10503" s="65" t="str">
        <f>VLOOKUP(E10503,DATABASE!C:Q,9,False)</f>
        <v>#N/A</v>
      </c>
      <c r="Q10503" s="93" t="str">
        <f>VLOOKUP(E10503,DATABASE!C:Q,4,false)</f>
        <v>#N/A</v>
      </c>
      <c r="R10503" s="93" t="str">
        <f>VLOOKUP(E10503,DATABASE!C:Q,11,false)</f>
        <v>#N/A</v>
      </c>
    </row>
    <row r="10504" ht="22.5" customHeight="1">
      <c r="A10504" s="49"/>
      <c r="C10504" s="400"/>
      <c r="D10504" s="524"/>
      <c r="E10504" s="544"/>
      <c r="F10504" s="387"/>
      <c r="G10504" s="140"/>
      <c r="H10504" s="74"/>
      <c r="I10504" s="74">
        <f t="shared" si="7"/>
        <v>0</v>
      </c>
      <c r="J10504" s="74" t="str">
        <f>IF(E10504="SERVICE",I10504-(I10504*50%),Vlookup(E10504,DATABASE!C:Q,10,false)*F10504)</f>
        <v>#N/A</v>
      </c>
      <c r="K10504" s="74" t="str">
        <f>VLOOKUP(E10504,DATABASE!C:Q,7,false)</f>
        <v>#N/A</v>
      </c>
      <c r="L10504" s="74"/>
      <c r="M10504" s="74">
        <f t="shared" si="6"/>
        <v>0</v>
      </c>
      <c r="N10504" s="74" t="str">
        <f t="shared" si="9"/>
        <v>#N/A</v>
      </c>
      <c r="O10504" s="65" t="str">
        <f>VLOOKUP(E10504,DATABASE!C:Q,8,false)</f>
        <v>#N/A</v>
      </c>
      <c r="P10504" s="65" t="str">
        <f>VLOOKUP(E10504,DATABASE!C:Q,9,False)</f>
        <v>#N/A</v>
      </c>
      <c r="Q10504" s="93" t="str">
        <f>VLOOKUP(E10504,DATABASE!C:Q,4,false)</f>
        <v>#N/A</v>
      </c>
      <c r="R10504" s="93" t="str">
        <f>VLOOKUP(E10504,DATABASE!C:Q,11,false)</f>
        <v>#N/A</v>
      </c>
    </row>
    <row r="10505" ht="22.5" customHeight="1">
      <c r="A10505" s="49"/>
      <c r="C10505" s="400"/>
      <c r="D10505" s="524"/>
      <c r="E10505" s="544"/>
      <c r="F10505" s="387"/>
      <c r="G10505" s="140"/>
      <c r="H10505" s="74"/>
      <c r="I10505" s="74">
        <f t="shared" si="7"/>
        <v>0</v>
      </c>
      <c r="J10505" s="74" t="str">
        <f>IF(E10505="SERVICE",I10505-(I10505*50%),Vlookup(E10505,DATABASE!C:Q,10,false)*F10505)</f>
        <v>#N/A</v>
      </c>
      <c r="K10505" s="74" t="str">
        <f>VLOOKUP(E10505,DATABASE!C:Q,7,false)</f>
        <v>#N/A</v>
      </c>
      <c r="L10505" s="74"/>
      <c r="M10505" s="74">
        <f t="shared" si="6"/>
        <v>0</v>
      </c>
      <c r="N10505" s="74" t="str">
        <f t="shared" si="9"/>
        <v>#N/A</v>
      </c>
      <c r="O10505" s="65" t="str">
        <f>VLOOKUP(E10505,DATABASE!C:Q,8,false)</f>
        <v>#N/A</v>
      </c>
      <c r="P10505" s="65" t="str">
        <f>VLOOKUP(E10505,DATABASE!C:Q,9,False)</f>
        <v>#N/A</v>
      </c>
      <c r="Q10505" s="93" t="str">
        <f>VLOOKUP(E10505,DATABASE!C:Q,4,false)</f>
        <v>#N/A</v>
      </c>
      <c r="R10505" s="93" t="str">
        <f>VLOOKUP(E10505,DATABASE!C:Q,11,false)</f>
        <v>#N/A</v>
      </c>
    </row>
    <row r="10506" ht="22.5" customHeight="1">
      <c r="A10506" s="49"/>
      <c r="C10506" s="400"/>
      <c r="D10506" s="524"/>
      <c r="E10506" s="544"/>
      <c r="F10506" s="387"/>
      <c r="G10506" s="140"/>
      <c r="H10506" s="74"/>
      <c r="I10506" s="74">
        <f t="shared" si="7"/>
        <v>0</v>
      </c>
      <c r="J10506" s="74" t="str">
        <f>IF(E10506="SERVICE",I10506-(I10506*50%),Vlookup(E10506,DATABASE!C:Q,10,false)*F10506)</f>
        <v>#N/A</v>
      </c>
      <c r="K10506" s="74" t="str">
        <f>VLOOKUP(E10506,DATABASE!C:Q,7,false)</f>
        <v>#N/A</v>
      </c>
      <c r="L10506" s="74"/>
      <c r="M10506" s="74">
        <f t="shared" si="6"/>
        <v>0</v>
      </c>
      <c r="N10506" s="74" t="str">
        <f t="shared" si="9"/>
        <v>#N/A</v>
      </c>
      <c r="O10506" s="65" t="str">
        <f>VLOOKUP(E10506,DATABASE!C:Q,8,false)</f>
        <v>#N/A</v>
      </c>
      <c r="P10506" s="65" t="str">
        <f>VLOOKUP(E10506,DATABASE!C:Q,9,False)</f>
        <v>#N/A</v>
      </c>
      <c r="Q10506" s="93" t="str">
        <f>VLOOKUP(E10506,DATABASE!C:Q,4,false)</f>
        <v>#N/A</v>
      </c>
      <c r="R10506" s="93" t="str">
        <f>VLOOKUP(E10506,DATABASE!C:Q,11,false)</f>
        <v>#N/A</v>
      </c>
    </row>
    <row r="10507" ht="22.5" customHeight="1">
      <c r="A10507" s="49"/>
      <c r="C10507" s="400"/>
      <c r="D10507" s="524"/>
      <c r="E10507" s="544"/>
      <c r="F10507" s="387"/>
      <c r="G10507" s="140"/>
      <c r="H10507" s="74"/>
      <c r="I10507" s="74">
        <f t="shared" si="7"/>
        <v>0</v>
      </c>
      <c r="J10507" s="74" t="str">
        <f>IF(E10507="SERVICE",I10507-(I10507*50%),Vlookup(E10507,DATABASE!C:Q,10,false)*F10507)</f>
        <v>#N/A</v>
      </c>
      <c r="K10507" s="74" t="str">
        <f>VLOOKUP(E10507,DATABASE!C:Q,7,false)</f>
        <v>#N/A</v>
      </c>
      <c r="L10507" s="74"/>
      <c r="M10507" s="74">
        <f t="shared" si="6"/>
        <v>0</v>
      </c>
      <c r="N10507" s="74" t="str">
        <f t="shared" si="9"/>
        <v>#N/A</v>
      </c>
      <c r="O10507" s="65" t="str">
        <f>VLOOKUP(E10507,DATABASE!C:Q,8,false)</f>
        <v>#N/A</v>
      </c>
      <c r="P10507" s="65" t="str">
        <f>VLOOKUP(E10507,DATABASE!C:Q,9,False)</f>
        <v>#N/A</v>
      </c>
      <c r="Q10507" s="93" t="str">
        <f>VLOOKUP(E10507,DATABASE!C:Q,4,false)</f>
        <v>#N/A</v>
      </c>
      <c r="R10507" s="93" t="str">
        <f>VLOOKUP(E10507,DATABASE!C:Q,11,false)</f>
        <v>#N/A</v>
      </c>
    </row>
    <row r="10508" ht="22.5" customHeight="1">
      <c r="A10508" s="49"/>
      <c r="C10508" s="400"/>
      <c r="D10508" s="524"/>
      <c r="E10508" s="544"/>
      <c r="F10508" s="387"/>
      <c r="G10508" s="140"/>
      <c r="H10508" s="74"/>
      <c r="I10508" s="74">
        <f t="shared" si="7"/>
        <v>0</v>
      </c>
      <c r="J10508" s="74" t="str">
        <f>IF(E10508="SERVICE",I10508-(I10508*50%),Vlookup(E10508,DATABASE!C:Q,10,false)*F10508)</f>
        <v>#N/A</v>
      </c>
      <c r="K10508" s="74" t="str">
        <f>VLOOKUP(E10508,DATABASE!C:Q,7,false)</f>
        <v>#N/A</v>
      </c>
      <c r="L10508" s="74"/>
      <c r="M10508" s="74">
        <f t="shared" si="6"/>
        <v>0</v>
      </c>
      <c r="N10508" s="74" t="str">
        <f t="shared" si="9"/>
        <v>#N/A</v>
      </c>
      <c r="O10508" s="65" t="str">
        <f>VLOOKUP(E10508,DATABASE!C:Q,8,false)</f>
        <v>#N/A</v>
      </c>
      <c r="P10508" s="65" t="str">
        <f>VLOOKUP(E10508,DATABASE!C:Q,9,False)</f>
        <v>#N/A</v>
      </c>
      <c r="Q10508" s="93" t="str">
        <f>VLOOKUP(E10508,DATABASE!C:Q,4,false)</f>
        <v>#N/A</v>
      </c>
      <c r="R10508" s="93" t="str">
        <f>VLOOKUP(E10508,DATABASE!C:Q,11,false)</f>
        <v>#N/A</v>
      </c>
    </row>
    <row r="10509" ht="22.5" customHeight="1">
      <c r="A10509" s="49"/>
      <c r="C10509" s="400"/>
      <c r="D10509" s="524"/>
      <c r="E10509" s="544"/>
      <c r="F10509" s="387"/>
      <c r="G10509" s="140"/>
      <c r="H10509" s="74"/>
      <c r="I10509" s="74">
        <f t="shared" si="7"/>
        <v>0</v>
      </c>
      <c r="J10509" s="74" t="str">
        <f>IF(E10509="SERVICE",I10509-(I10509*50%),Vlookup(E10509,DATABASE!C:Q,10,false)*F10509)</f>
        <v>#N/A</v>
      </c>
      <c r="K10509" s="74" t="str">
        <f>VLOOKUP(E10509,DATABASE!C:Q,7,false)</f>
        <v>#N/A</v>
      </c>
      <c r="L10509" s="74"/>
      <c r="M10509" s="74">
        <f t="shared" si="6"/>
        <v>0</v>
      </c>
      <c r="N10509" s="74" t="str">
        <f t="shared" si="9"/>
        <v>#N/A</v>
      </c>
      <c r="O10509" s="65" t="str">
        <f>VLOOKUP(E10509,DATABASE!C:Q,8,false)</f>
        <v>#N/A</v>
      </c>
      <c r="P10509" s="65" t="str">
        <f>VLOOKUP(E10509,DATABASE!C:Q,9,False)</f>
        <v>#N/A</v>
      </c>
      <c r="Q10509" s="93" t="str">
        <f>VLOOKUP(E10509,DATABASE!C:Q,4,false)</f>
        <v>#N/A</v>
      </c>
      <c r="R10509" s="93" t="str">
        <f>VLOOKUP(E10509,DATABASE!C:Q,11,false)</f>
        <v>#N/A</v>
      </c>
    </row>
    <row r="10510" ht="22.5" customHeight="1">
      <c r="A10510" s="49"/>
      <c r="C10510" s="400"/>
      <c r="D10510" s="524"/>
      <c r="E10510" s="544"/>
      <c r="F10510" s="387"/>
      <c r="G10510" s="140"/>
      <c r="H10510" s="74"/>
      <c r="I10510" s="74">
        <f t="shared" si="7"/>
        <v>0</v>
      </c>
      <c r="J10510" s="74" t="str">
        <f>IF(E10510="SERVICE",I10510-(I10510*50%),Vlookup(E10510,DATABASE!C:Q,10,false)*F10510)</f>
        <v>#N/A</v>
      </c>
      <c r="K10510" s="74" t="str">
        <f>VLOOKUP(E10510,DATABASE!C:Q,7,false)</f>
        <v>#N/A</v>
      </c>
      <c r="L10510" s="74"/>
      <c r="M10510" s="74">
        <f t="shared" si="6"/>
        <v>0</v>
      </c>
      <c r="N10510" s="74" t="str">
        <f t="shared" si="9"/>
        <v>#N/A</v>
      </c>
      <c r="O10510" s="65" t="str">
        <f>VLOOKUP(E10510,DATABASE!C:Q,8,false)</f>
        <v>#N/A</v>
      </c>
      <c r="P10510" s="65" t="str">
        <f>VLOOKUP(E10510,DATABASE!C:Q,9,False)</f>
        <v>#N/A</v>
      </c>
      <c r="Q10510" s="93" t="str">
        <f>VLOOKUP(E10510,DATABASE!C:Q,4,false)</f>
        <v>#N/A</v>
      </c>
      <c r="R10510" s="93" t="str">
        <f>VLOOKUP(E10510,DATABASE!C:Q,11,false)</f>
        <v>#N/A</v>
      </c>
    </row>
    <row r="10511" ht="22.5" customHeight="1">
      <c r="A10511" s="49"/>
      <c r="C10511" s="400"/>
      <c r="D10511" s="524"/>
      <c r="E10511" s="544"/>
      <c r="F10511" s="387"/>
      <c r="G10511" s="140"/>
      <c r="H10511" s="74"/>
      <c r="I10511" s="74">
        <f t="shared" si="7"/>
        <v>0</v>
      </c>
      <c r="J10511" s="74" t="str">
        <f>IF(E10511="SERVICE",I10511-(I10511*50%),Vlookup(E10511,DATABASE!C:Q,10,false)*F10511)</f>
        <v>#N/A</v>
      </c>
      <c r="K10511" s="74" t="str">
        <f>VLOOKUP(E10511,DATABASE!C:Q,7,false)</f>
        <v>#N/A</v>
      </c>
      <c r="L10511" s="74"/>
      <c r="M10511" s="74">
        <f t="shared" si="6"/>
        <v>0</v>
      </c>
      <c r="N10511" s="74" t="str">
        <f t="shared" si="9"/>
        <v>#N/A</v>
      </c>
      <c r="O10511" s="65" t="str">
        <f>VLOOKUP(E10511,DATABASE!C:Q,8,false)</f>
        <v>#N/A</v>
      </c>
      <c r="P10511" s="65" t="str">
        <f>VLOOKUP(E10511,DATABASE!C:Q,9,False)</f>
        <v>#N/A</v>
      </c>
      <c r="Q10511" s="93" t="str">
        <f>VLOOKUP(E10511,DATABASE!C:Q,4,false)</f>
        <v>#N/A</v>
      </c>
      <c r="R10511" s="93" t="str">
        <f>VLOOKUP(E10511,DATABASE!C:Q,11,false)</f>
        <v>#N/A</v>
      </c>
    </row>
    <row r="10512" ht="22.5" customHeight="1">
      <c r="A10512" s="49"/>
      <c r="C10512" s="400"/>
      <c r="D10512" s="524"/>
      <c r="E10512" s="544"/>
      <c r="F10512" s="387"/>
      <c r="G10512" s="140"/>
      <c r="H10512" s="74"/>
      <c r="I10512" s="74">
        <f t="shared" si="7"/>
        <v>0</v>
      </c>
      <c r="J10512" s="74" t="str">
        <f>IF(E10512="SERVICE",I10512-(I10512*50%),Vlookup(E10512,DATABASE!C:Q,10,false)*F10512)</f>
        <v>#N/A</v>
      </c>
      <c r="K10512" s="74" t="str">
        <f>VLOOKUP(E10512,DATABASE!C:Q,7,false)</f>
        <v>#N/A</v>
      </c>
      <c r="L10512" s="74"/>
      <c r="M10512" s="74">
        <f t="shared" si="6"/>
        <v>0</v>
      </c>
      <c r="N10512" s="74" t="str">
        <f t="shared" si="9"/>
        <v>#N/A</v>
      </c>
      <c r="O10512" s="65" t="str">
        <f>VLOOKUP(E10512,DATABASE!C:Q,8,false)</f>
        <v>#N/A</v>
      </c>
      <c r="P10512" s="65" t="str">
        <f>VLOOKUP(E10512,DATABASE!C:Q,9,False)</f>
        <v>#N/A</v>
      </c>
      <c r="Q10512" s="93" t="str">
        <f>VLOOKUP(E10512,DATABASE!C:Q,4,false)</f>
        <v>#N/A</v>
      </c>
      <c r="R10512" s="93" t="str">
        <f>VLOOKUP(E10512,DATABASE!C:Q,11,false)</f>
        <v>#N/A</v>
      </c>
    </row>
    <row r="10513" ht="22.5" customHeight="1">
      <c r="A10513" s="49"/>
      <c r="C10513" s="400"/>
      <c r="D10513" s="524"/>
      <c r="E10513" s="544"/>
      <c r="F10513" s="387"/>
      <c r="G10513" s="140"/>
      <c r="H10513" s="74"/>
      <c r="I10513" s="74">
        <f t="shared" si="7"/>
        <v>0</v>
      </c>
      <c r="J10513" s="74" t="str">
        <f>IF(E10513="SERVICE",I10513-(I10513*50%),Vlookup(E10513,DATABASE!C:Q,10,false)*F10513)</f>
        <v>#N/A</v>
      </c>
      <c r="K10513" s="74" t="str">
        <f>VLOOKUP(E10513,DATABASE!C:Q,7,false)</f>
        <v>#N/A</v>
      </c>
      <c r="L10513" s="74"/>
      <c r="M10513" s="74">
        <f t="shared" si="6"/>
        <v>0</v>
      </c>
      <c r="N10513" s="74" t="str">
        <f t="shared" si="9"/>
        <v>#N/A</v>
      </c>
      <c r="O10513" s="65" t="str">
        <f>VLOOKUP(E10513,DATABASE!C:Q,8,false)</f>
        <v>#N/A</v>
      </c>
      <c r="P10513" s="65" t="str">
        <f>VLOOKUP(E10513,DATABASE!C:Q,9,False)</f>
        <v>#N/A</v>
      </c>
      <c r="Q10513" s="93" t="str">
        <f>VLOOKUP(E10513,DATABASE!C:Q,4,false)</f>
        <v>#N/A</v>
      </c>
      <c r="R10513" s="93" t="str">
        <f>VLOOKUP(E10513,DATABASE!C:Q,11,false)</f>
        <v>#N/A</v>
      </c>
    </row>
    <row r="10514" ht="22.5" customHeight="1">
      <c r="A10514" s="49"/>
      <c r="C10514" s="400"/>
      <c r="D10514" s="524"/>
      <c r="E10514" s="544"/>
      <c r="F10514" s="387"/>
      <c r="G10514" s="140"/>
      <c r="H10514" s="74"/>
      <c r="I10514" s="74">
        <f t="shared" si="7"/>
        <v>0</v>
      </c>
      <c r="J10514" s="74" t="str">
        <f>IF(E10514="SERVICE",I10514-(I10514*50%),Vlookup(E10514,DATABASE!C:Q,10,false)*F10514)</f>
        <v>#N/A</v>
      </c>
      <c r="K10514" s="74" t="str">
        <f>VLOOKUP(E10514,DATABASE!C:Q,7,false)</f>
        <v>#N/A</v>
      </c>
      <c r="L10514" s="74"/>
      <c r="M10514" s="74">
        <f t="shared" si="6"/>
        <v>0</v>
      </c>
      <c r="N10514" s="74" t="str">
        <f t="shared" si="9"/>
        <v>#N/A</v>
      </c>
      <c r="O10514" s="65" t="str">
        <f>VLOOKUP(E10514,DATABASE!C:Q,8,false)</f>
        <v>#N/A</v>
      </c>
      <c r="P10514" s="65" t="str">
        <f>VLOOKUP(E10514,DATABASE!C:Q,9,False)</f>
        <v>#N/A</v>
      </c>
      <c r="Q10514" s="93" t="str">
        <f>VLOOKUP(E10514,DATABASE!C:Q,4,false)</f>
        <v>#N/A</v>
      </c>
      <c r="R10514" s="93" t="str">
        <f>VLOOKUP(E10514,DATABASE!C:Q,11,false)</f>
        <v>#N/A</v>
      </c>
    </row>
    <row r="10515" ht="22.5" customHeight="1">
      <c r="A10515" s="49"/>
      <c r="C10515" s="400"/>
      <c r="D10515" s="524"/>
      <c r="E10515" s="544"/>
      <c r="F10515" s="387"/>
      <c r="G10515" s="140"/>
      <c r="H10515" s="74"/>
      <c r="I10515" s="74">
        <f t="shared" si="7"/>
        <v>0</v>
      </c>
      <c r="J10515" s="74" t="str">
        <f>IF(E10515="SERVICE",I10515-(I10515*50%),Vlookup(E10515,DATABASE!C:Q,10,false)*F10515)</f>
        <v>#N/A</v>
      </c>
      <c r="K10515" s="74" t="str">
        <f>VLOOKUP(E10515,DATABASE!C:Q,7,false)</f>
        <v>#N/A</v>
      </c>
      <c r="L10515" s="74"/>
      <c r="M10515" s="74">
        <f t="shared" si="6"/>
        <v>0</v>
      </c>
      <c r="N10515" s="74" t="str">
        <f t="shared" si="9"/>
        <v>#N/A</v>
      </c>
      <c r="O10515" s="65" t="str">
        <f>VLOOKUP(E10515,DATABASE!C:Q,8,false)</f>
        <v>#N/A</v>
      </c>
      <c r="P10515" s="65" t="str">
        <f>VLOOKUP(E10515,DATABASE!C:Q,9,False)</f>
        <v>#N/A</v>
      </c>
      <c r="Q10515" s="93" t="str">
        <f>VLOOKUP(E10515,DATABASE!C:Q,4,false)</f>
        <v>#N/A</v>
      </c>
      <c r="R10515" s="93" t="str">
        <f>VLOOKUP(E10515,DATABASE!C:Q,11,false)</f>
        <v>#N/A</v>
      </c>
    </row>
    <row r="10516" ht="22.5" customHeight="1">
      <c r="A10516" s="49"/>
      <c r="C10516" s="400"/>
      <c r="D10516" s="524"/>
      <c r="E10516" s="544"/>
      <c r="F10516" s="387"/>
      <c r="G10516" s="140"/>
      <c r="H10516" s="74"/>
      <c r="I10516" s="74">
        <f t="shared" si="7"/>
        <v>0</v>
      </c>
      <c r="J10516" s="74" t="str">
        <f>IF(E10516="SERVICE",I10516-(I10516*50%),Vlookup(E10516,DATABASE!C:Q,10,false)*F10516)</f>
        <v>#N/A</v>
      </c>
      <c r="K10516" s="74" t="str">
        <f>VLOOKUP(E10516,DATABASE!C:Q,7,false)</f>
        <v>#N/A</v>
      </c>
      <c r="L10516" s="74"/>
      <c r="M10516" s="74">
        <f t="shared" si="6"/>
        <v>0</v>
      </c>
      <c r="N10516" s="74" t="str">
        <f t="shared" si="9"/>
        <v>#N/A</v>
      </c>
      <c r="O10516" s="65" t="str">
        <f>VLOOKUP(E10516,DATABASE!C:Q,8,false)</f>
        <v>#N/A</v>
      </c>
      <c r="P10516" s="65" t="str">
        <f>VLOOKUP(E10516,DATABASE!C:Q,9,False)</f>
        <v>#N/A</v>
      </c>
      <c r="Q10516" s="93" t="str">
        <f>VLOOKUP(E10516,DATABASE!C:Q,4,false)</f>
        <v>#N/A</v>
      </c>
      <c r="R10516" s="93" t="str">
        <f>VLOOKUP(E10516,DATABASE!C:Q,11,false)</f>
        <v>#N/A</v>
      </c>
    </row>
    <row r="10517" ht="22.5" customHeight="1">
      <c r="A10517" s="49"/>
      <c r="C10517" s="400"/>
      <c r="D10517" s="524"/>
      <c r="E10517" s="544"/>
      <c r="F10517" s="387"/>
      <c r="G10517" s="140"/>
      <c r="H10517" s="74"/>
      <c r="I10517" s="74">
        <f t="shared" si="7"/>
        <v>0</v>
      </c>
      <c r="J10517" s="74" t="str">
        <f>IF(E10517="SERVICE",I10517-(I10517*50%),Vlookup(E10517,DATABASE!C:Q,10,false)*F10517)</f>
        <v>#N/A</v>
      </c>
      <c r="K10517" s="74" t="str">
        <f>VLOOKUP(E10517,DATABASE!C:Q,7,false)</f>
        <v>#N/A</v>
      </c>
      <c r="L10517" s="74"/>
      <c r="M10517" s="74">
        <f t="shared" si="6"/>
        <v>0</v>
      </c>
      <c r="N10517" s="74" t="str">
        <f t="shared" si="9"/>
        <v>#N/A</v>
      </c>
      <c r="O10517" s="65" t="str">
        <f>VLOOKUP(E10517,DATABASE!C:Q,8,false)</f>
        <v>#N/A</v>
      </c>
      <c r="P10517" s="65" t="str">
        <f>VLOOKUP(E10517,DATABASE!C:Q,9,False)</f>
        <v>#N/A</v>
      </c>
      <c r="Q10517" s="93" t="str">
        <f>VLOOKUP(E10517,DATABASE!C:Q,4,false)</f>
        <v>#N/A</v>
      </c>
      <c r="R10517" s="93" t="str">
        <f>VLOOKUP(E10517,DATABASE!C:Q,11,false)</f>
        <v>#N/A</v>
      </c>
    </row>
    <row r="10518" ht="22.5" customHeight="1">
      <c r="A10518" s="49"/>
      <c r="C10518" s="400"/>
      <c r="D10518" s="524"/>
      <c r="E10518" s="544"/>
      <c r="F10518" s="387"/>
      <c r="G10518" s="140"/>
      <c r="H10518" s="74"/>
      <c r="I10518" s="74">
        <f t="shared" si="7"/>
        <v>0</v>
      </c>
      <c r="J10518" s="74" t="str">
        <f>IF(E10518="SERVICE",I10518-(I10518*50%),Vlookup(E10518,DATABASE!C:Q,10,false)*F10518)</f>
        <v>#N/A</v>
      </c>
      <c r="K10518" s="74" t="str">
        <f>VLOOKUP(E10518,DATABASE!C:Q,7,false)</f>
        <v>#N/A</v>
      </c>
      <c r="L10518" s="74"/>
      <c r="M10518" s="74">
        <f t="shared" si="6"/>
        <v>0</v>
      </c>
      <c r="N10518" s="74" t="str">
        <f t="shared" si="9"/>
        <v>#N/A</v>
      </c>
      <c r="O10518" s="65" t="str">
        <f>VLOOKUP(E10518,DATABASE!C:Q,8,false)</f>
        <v>#N/A</v>
      </c>
      <c r="P10518" s="65" t="str">
        <f>VLOOKUP(E10518,DATABASE!C:Q,9,False)</f>
        <v>#N/A</v>
      </c>
      <c r="Q10518" s="93" t="str">
        <f>VLOOKUP(E10518,DATABASE!C:Q,4,false)</f>
        <v>#N/A</v>
      </c>
      <c r="R10518" s="93" t="str">
        <f>VLOOKUP(E10518,DATABASE!C:Q,11,false)</f>
        <v>#N/A</v>
      </c>
    </row>
    <row r="10519" ht="22.5" customHeight="1">
      <c r="A10519" s="49"/>
      <c r="C10519" s="400"/>
      <c r="D10519" s="524"/>
      <c r="E10519" s="544"/>
      <c r="F10519" s="387"/>
      <c r="G10519" s="140"/>
      <c r="H10519" s="74"/>
      <c r="I10519" s="74">
        <f t="shared" si="7"/>
        <v>0</v>
      </c>
      <c r="J10519" s="74" t="str">
        <f>IF(E10519="SERVICE",I10519-(I10519*50%),Vlookup(E10519,DATABASE!C:Q,10,false)*F10519)</f>
        <v>#N/A</v>
      </c>
      <c r="K10519" s="74" t="str">
        <f>VLOOKUP(E10519,DATABASE!C:Q,7,false)</f>
        <v>#N/A</v>
      </c>
      <c r="L10519" s="74"/>
      <c r="M10519" s="74">
        <f t="shared" si="6"/>
        <v>0</v>
      </c>
      <c r="N10519" s="74" t="str">
        <f t="shared" si="9"/>
        <v>#N/A</v>
      </c>
      <c r="O10519" s="65" t="str">
        <f>VLOOKUP(E10519,DATABASE!C:Q,8,false)</f>
        <v>#N/A</v>
      </c>
      <c r="P10519" s="65" t="str">
        <f>VLOOKUP(E10519,DATABASE!C:Q,9,False)</f>
        <v>#N/A</v>
      </c>
      <c r="Q10519" s="93" t="str">
        <f>VLOOKUP(E10519,DATABASE!C:Q,4,false)</f>
        <v>#N/A</v>
      </c>
      <c r="R10519" s="93" t="str">
        <f>VLOOKUP(E10519,DATABASE!C:Q,11,false)</f>
        <v>#N/A</v>
      </c>
    </row>
    <row r="10520" ht="22.5" customHeight="1">
      <c r="A10520" s="49"/>
      <c r="C10520" s="400"/>
      <c r="D10520" s="524"/>
      <c r="E10520" s="544"/>
      <c r="F10520" s="387"/>
      <c r="G10520" s="140"/>
      <c r="H10520" s="74"/>
      <c r="I10520" s="74">
        <f t="shared" si="7"/>
        <v>0</v>
      </c>
      <c r="J10520" s="74" t="str">
        <f>IF(E10520="SERVICE",I10520-(I10520*50%),Vlookup(E10520,DATABASE!C:Q,10,false)*F10520)</f>
        <v>#N/A</v>
      </c>
      <c r="K10520" s="74" t="str">
        <f>VLOOKUP(E10520,DATABASE!C:Q,7,false)</f>
        <v>#N/A</v>
      </c>
      <c r="L10520" s="74"/>
      <c r="M10520" s="74">
        <f t="shared" si="6"/>
        <v>0</v>
      </c>
      <c r="N10520" s="74" t="str">
        <f t="shared" si="9"/>
        <v>#N/A</v>
      </c>
      <c r="O10520" s="65" t="str">
        <f>VLOOKUP(E10520,DATABASE!C:Q,8,false)</f>
        <v>#N/A</v>
      </c>
      <c r="P10520" s="65" t="str">
        <f>VLOOKUP(E10520,DATABASE!C:Q,9,False)</f>
        <v>#N/A</v>
      </c>
      <c r="Q10520" s="93" t="str">
        <f>VLOOKUP(E10520,DATABASE!C:Q,4,false)</f>
        <v>#N/A</v>
      </c>
      <c r="R10520" s="93" t="str">
        <f>VLOOKUP(E10520,DATABASE!C:Q,11,false)</f>
        <v>#N/A</v>
      </c>
    </row>
    <row r="10521" ht="22.5" customHeight="1">
      <c r="A10521" s="49"/>
      <c r="C10521" s="400"/>
      <c r="D10521" s="524"/>
      <c r="E10521" s="544"/>
      <c r="F10521" s="387"/>
      <c r="G10521" s="140"/>
      <c r="H10521" s="74"/>
      <c r="I10521" s="74">
        <f t="shared" si="7"/>
        <v>0</v>
      </c>
      <c r="J10521" s="74" t="str">
        <f>IF(E10521="SERVICE",I10521-(I10521*50%),Vlookup(E10521,DATABASE!C:Q,10,false)*F10521)</f>
        <v>#N/A</v>
      </c>
      <c r="K10521" s="74" t="str">
        <f>VLOOKUP(E10521,DATABASE!C:Q,7,false)</f>
        <v>#N/A</v>
      </c>
      <c r="L10521" s="74"/>
      <c r="M10521" s="74">
        <f t="shared" si="6"/>
        <v>0</v>
      </c>
      <c r="N10521" s="74" t="str">
        <f t="shared" si="9"/>
        <v>#N/A</v>
      </c>
      <c r="O10521" s="65" t="str">
        <f>VLOOKUP(E10521,DATABASE!C:Q,8,false)</f>
        <v>#N/A</v>
      </c>
      <c r="P10521" s="65" t="str">
        <f>VLOOKUP(E10521,DATABASE!C:Q,9,False)</f>
        <v>#N/A</v>
      </c>
      <c r="Q10521" s="93" t="str">
        <f>VLOOKUP(E10521,DATABASE!C:Q,4,false)</f>
        <v>#N/A</v>
      </c>
      <c r="R10521" s="93" t="str">
        <f>VLOOKUP(E10521,DATABASE!C:Q,11,false)</f>
        <v>#N/A</v>
      </c>
    </row>
    <row r="10522" ht="22.5" customHeight="1">
      <c r="A10522" s="49"/>
      <c r="C10522" s="400"/>
      <c r="D10522" s="524"/>
      <c r="E10522" s="544"/>
      <c r="F10522" s="387"/>
      <c r="G10522" s="140"/>
      <c r="H10522" s="74"/>
      <c r="I10522" s="74">
        <f t="shared" si="7"/>
        <v>0</v>
      </c>
      <c r="J10522" s="74" t="str">
        <f>IF(E10522="SERVICE",I10522-(I10522*50%),Vlookup(E10522,DATABASE!C:Q,10,false)*F10522)</f>
        <v>#N/A</v>
      </c>
      <c r="K10522" s="74" t="str">
        <f>VLOOKUP(E10522,DATABASE!C:Q,7,false)</f>
        <v>#N/A</v>
      </c>
      <c r="L10522" s="74"/>
      <c r="M10522" s="74">
        <f t="shared" si="6"/>
        <v>0</v>
      </c>
      <c r="N10522" s="74" t="str">
        <f t="shared" si="9"/>
        <v>#N/A</v>
      </c>
      <c r="O10522" s="65" t="str">
        <f>VLOOKUP(E10522,DATABASE!C:Q,8,false)</f>
        <v>#N/A</v>
      </c>
      <c r="P10522" s="65" t="str">
        <f>VLOOKUP(E10522,DATABASE!C:Q,9,False)</f>
        <v>#N/A</v>
      </c>
      <c r="Q10522" s="93" t="str">
        <f>VLOOKUP(E10522,DATABASE!C:Q,4,false)</f>
        <v>#N/A</v>
      </c>
      <c r="R10522" s="93" t="str">
        <f>VLOOKUP(E10522,DATABASE!C:Q,11,false)</f>
        <v>#N/A</v>
      </c>
    </row>
    <row r="10523" ht="22.5" customHeight="1">
      <c r="A10523" s="49"/>
      <c r="C10523" s="400"/>
      <c r="D10523" s="524"/>
      <c r="E10523" s="544"/>
      <c r="F10523" s="387"/>
      <c r="G10523" s="140"/>
      <c r="H10523" s="74"/>
      <c r="I10523" s="74">
        <f t="shared" si="7"/>
        <v>0</v>
      </c>
      <c r="J10523" s="74" t="str">
        <f>IF(E10523="SERVICE",I10523-(I10523*50%),Vlookup(E10523,DATABASE!C:Q,10,false)*F10523)</f>
        <v>#N/A</v>
      </c>
      <c r="K10523" s="74" t="str">
        <f>VLOOKUP(E10523,DATABASE!C:Q,7,false)</f>
        <v>#N/A</v>
      </c>
      <c r="L10523" s="74"/>
      <c r="M10523" s="74">
        <f t="shared" si="6"/>
        <v>0</v>
      </c>
      <c r="N10523" s="74" t="str">
        <f t="shared" si="9"/>
        <v>#N/A</v>
      </c>
      <c r="O10523" s="65" t="str">
        <f>VLOOKUP(E10523,DATABASE!C:Q,8,false)</f>
        <v>#N/A</v>
      </c>
      <c r="P10523" s="65" t="str">
        <f>VLOOKUP(E10523,DATABASE!C:Q,9,False)</f>
        <v>#N/A</v>
      </c>
      <c r="Q10523" s="93" t="str">
        <f>VLOOKUP(E10523,DATABASE!C:Q,4,false)</f>
        <v>#N/A</v>
      </c>
      <c r="R10523" s="93" t="str">
        <f>VLOOKUP(E10523,DATABASE!C:Q,11,false)</f>
        <v>#N/A</v>
      </c>
    </row>
    <row r="10524" ht="22.5" customHeight="1">
      <c r="A10524" s="49"/>
      <c r="C10524" s="400"/>
      <c r="D10524" s="524"/>
      <c r="E10524" s="544"/>
      <c r="F10524" s="387"/>
      <c r="G10524" s="140"/>
      <c r="H10524" s="74"/>
      <c r="I10524" s="74">
        <f t="shared" si="7"/>
        <v>0</v>
      </c>
      <c r="J10524" s="74" t="str">
        <f>IF(E10524="SERVICE",I10524-(I10524*50%),Vlookup(E10524,DATABASE!C:Q,10,false)*F10524)</f>
        <v>#N/A</v>
      </c>
      <c r="K10524" s="74" t="str">
        <f>VLOOKUP(E10524,DATABASE!C:Q,7,false)</f>
        <v>#N/A</v>
      </c>
      <c r="L10524" s="74"/>
      <c r="M10524" s="74">
        <f t="shared" si="6"/>
        <v>0</v>
      </c>
      <c r="N10524" s="74" t="str">
        <f t="shared" si="9"/>
        <v>#N/A</v>
      </c>
      <c r="O10524" s="65" t="str">
        <f>VLOOKUP(E10524,DATABASE!C:Q,8,false)</f>
        <v>#N/A</v>
      </c>
      <c r="P10524" s="65" t="str">
        <f>VLOOKUP(E10524,DATABASE!C:Q,9,False)</f>
        <v>#N/A</v>
      </c>
      <c r="Q10524" s="93" t="str">
        <f>VLOOKUP(E10524,DATABASE!C:Q,4,false)</f>
        <v>#N/A</v>
      </c>
      <c r="R10524" s="93" t="str">
        <f>VLOOKUP(E10524,DATABASE!C:Q,11,false)</f>
        <v>#N/A</v>
      </c>
    </row>
    <row r="10525" ht="22.5" customHeight="1">
      <c r="A10525" s="49"/>
      <c r="C10525" s="400"/>
      <c r="D10525" s="524"/>
      <c r="E10525" s="544"/>
      <c r="F10525" s="387"/>
      <c r="G10525" s="140"/>
      <c r="H10525" s="74"/>
      <c r="I10525" s="74">
        <f t="shared" si="7"/>
        <v>0</v>
      </c>
      <c r="J10525" s="74" t="str">
        <f>IF(E10525="SERVICE",I10525-(I10525*50%),Vlookup(E10525,DATABASE!C:Q,10,false)*F10525)</f>
        <v>#N/A</v>
      </c>
      <c r="K10525" s="74" t="str">
        <f>VLOOKUP(E10525,DATABASE!C:Q,7,false)</f>
        <v>#N/A</v>
      </c>
      <c r="L10525" s="74"/>
      <c r="M10525" s="74">
        <f t="shared" si="6"/>
        <v>0</v>
      </c>
      <c r="N10525" s="74" t="str">
        <f t="shared" si="9"/>
        <v>#N/A</v>
      </c>
      <c r="O10525" s="65" t="str">
        <f>VLOOKUP(E10525,DATABASE!C:Q,8,false)</f>
        <v>#N/A</v>
      </c>
      <c r="P10525" s="65" t="str">
        <f>VLOOKUP(E10525,DATABASE!C:Q,9,False)</f>
        <v>#N/A</v>
      </c>
      <c r="Q10525" s="93" t="str">
        <f>VLOOKUP(E10525,DATABASE!C:Q,4,false)</f>
        <v>#N/A</v>
      </c>
      <c r="R10525" s="93" t="str">
        <f>VLOOKUP(E10525,DATABASE!C:Q,11,false)</f>
        <v>#N/A</v>
      </c>
    </row>
    <row r="10526" ht="22.5" customHeight="1">
      <c r="A10526" s="49"/>
      <c r="C10526" s="400"/>
      <c r="D10526" s="524"/>
      <c r="E10526" s="544"/>
      <c r="F10526" s="387"/>
      <c r="G10526" s="140"/>
      <c r="H10526" s="74"/>
      <c r="I10526" s="74">
        <f t="shared" si="7"/>
        <v>0</v>
      </c>
      <c r="J10526" s="74" t="str">
        <f>IF(E10526="SERVICE",I10526-(I10526*50%),Vlookup(E10526,DATABASE!C:Q,10,false)*F10526)</f>
        <v>#N/A</v>
      </c>
      <c r="K10526" s="74" t="str">
        <f>VLOOKUP(E10526,DATABASE!C:Q,7,false)</f>
        <v>#N/A</v>
      </c>
      <c r="L10526" s="74"/>
      <c r="M10526" s="74">
        <f t="shared" si="6"/>
        <v>0</v>
      </c>
      <c r="N10526" s="74" t="str">
        <f t="shared" si="9"/>
        <v>#N/A</v>
      </c>
      <c r="O10526" s="65" t="str">
        <f>VLOOKUP(E10526,DATABASE!C:Q,8,false)</f>
        <v>#N/A</v>
      </c>
      <c r="P10526" s="65" t="str">
        <f>VLOOKUP(E10526,DATABASE!C:Q,9,False)</f>
        <v>#N/A</v>
      </c>
      <c r="Q10526" s="93" t="str">
        <f>VLOOKUP(E10526,DATABASE!C:Q,4,false)</f>
        <v>#N/A</v>
      </c>
      <c r="R10526" s="93" t="str">
        <f>VLOOKUP(E10526,DATABASE!C:Q,11,false)</f>
        <v>#N/A</v>
      </c>
    </row>
    <row r="10527" ht="22.5" customHeight="1">
      <c r="A10527" s="49"/>
      <c r="C10527" s="400"/>
      <c r="D10527" s="524"/>
      <c r="E10527" s="544"/>
      <c r="F10527" s="387"/>
      <c r="G10527" s="140"/>
      <c r="H10527" s="74"/>
      <c r="I10527" s="74">
        <f t="shared" si="7"/>
        <v>0</v>
      </c>
      <c r="J10527" s="74" t="str">
        <f>IF(E10527="SERVICE",I10527-(I10527*50%),Vlookup(E10527,DATABASE!C:Q,10,false)*F10527)</f>
        <v>#N/A</v>
      </c>
      <c r="K10527" s="74" t="str">
        <f>VLOOKUP(E10527,DATABASE!C:Q,7,false)</f>
        <v>#N/A</v>
      </c>
      <c r="L10527" s="74"/>
      <c r="M10527" s="74">
        <f t="shared" si="6"/>
        <v>0</v>
      </c>
      <c r="N10527" s="74" t="str">
        <f t="shared" si="9"/>
        <v>#N/A</v>
      </c>
      <c r="O10527" s="65" t="str">
        <f>VLOOKUP(E10527,DATABASE!C:Q,8,false)</f>
        <v>#N/A</v>
      </c>
      <c r="P10527" s="65" t="str">
        <f>VLOOKUP(E10527,DATABASE!C:Q,9,False)</f>
        <v>#N/A</v>
      </c>
      <c r="Q10527" s="93" t="str">
        <f>VLOOKUP(E10527,DATABASE!C:Q,4,false)</f>
        <v>#N/A</v>
      </c>
      <c r="R10527" s="93" t="str">
        <f>VLOOKUP(E10527,DATABASE!C:Q,11,false)</f>
        <v>#N/A</v>
      </c>
    </row>
    <row r="10528" ht="22.5" customHeight="1">
      <c r="A10528" s="49"/>
      <c r="C10528" s="400"/>
      <c r="D10528" s="524"/>
      <c r="E10528" s="544"/>
      <c r="F10528" s="387"/>
      <c r="G10528" s="140"/>
      <c r="H10528" s="74"/>
      <c r="I10528" s="74">
        <f t="shared" si="7"/>
        <v>0</v>
      </c>
      <c r="J10528" s="74" t="str">
        <f>IF(E10528="SERVICE",I10528-(I10528*50%),Vlookup(E10528,DATABASE!C:Q,10,false)*F10528)</f>
        <v>#N/A</v>
      </c>
      <c r="K10528" s="74" t="str">
        <f>VLOOKUP(E10528,DATABASE!C:Q,7,false)</f>
        <v>#N/A</v>
      </c>
      <c r="L10528" s="74"/>
      <c r="M10528" s="74">
        <f t="shared" si="6"/>
        <v>0</v>
      </c>
      <c r="N10528" s="74" t="str">
        <f t="shared" si="9"/>
        <v>#N/A</v>
      </c>
      <c r="O10528" s="65" t="str">
        <f>VLOOKUP(E10528,DATABASE!C:Q,8,false)</f>
        <v>#N/A</v>
      </c>
      <c r="P10528" s="65" t="str">
        <f>VLOOKUP(E10528,DATABASE!C:Q,9,False)</f>
        <v>#N/A</v>
      </c>
      <c r="Q10528" s="93" t="str">
        <f>VLOOKUP(E10528,DATABASE!C:Q,4,false)</f>
        <v>#N/A</v>
      </c>
      <c r="R10528" s="93" t="str">
        <f>VLOOKUP(E10528,DATABASE!C:Q,11,false)</f>
        <v>#N/A</v>
      </c>
    </row>
    <row r="10529" ht="22.5" customHeight="1">
      <c r="A10529" s="49"/>
      <c r="C10529" s="400"/>
      <c r="D10529" s="524"/>
      <c r="E10529" s="544"/>
      <c r="F10529" s="387"/>
      <c r="G10529" s="140"/>
      <c r="H10529" s="74"/>
      <c r="I10529" s="74">
        <f t="shared" si="7"/>
        <v>0</v>
      </c>
      <c r="J10529" s="74" t="str">
        <f>IF(E10529="SERVICE",I10529-(I10529*50%),Vlookup(E10529,DATABASE!C:Q,10,false)*F10529)</f>
        <v>#N/A</v>
      </c>
      <c r="K10529" s="74" t="str">
        <f>VLOOKUP(E10529,DATABASE!C:Q,7,false)</f>
        <v>#N/A</v>
      </c>
      <c r="L10529" s="74"/>
      <c r="M10529" s="74">
        <f t="shared" si="6"/>
        <v>0</v>
      </c>
      <c r="N10529" s="74" t="str">
        <f t="shared" si="9"/>
        <v>#N/A</v>
      </c>
      <c r="O10529" s="65" t="str">
        <f>VLOOKUP(E10529,DATABASE!C:Q,8,false)</f>
        <v>#N/A</v>
      </c>
      <c r="P10529" s="65" t="str">
        <f>VLOOKUP(E10529,DATABASE!C:Q,9,False)</f>
        <v>#N/A</v>
      </c>
      <c r="Q10529" s="93" t="str">
        <f>VLOOKUP(E10529,DATABASE!C:Q,4,false)</f>
        <v>#N/A</v>
      </c>
      <c r="R10529" s="93" t="str">
        <f>VLOOKUP(E10529,DATABASE!C:Q,11,false)</f>
        <v>#N/A</v>
      </c>
    </row>
    <row r="10530" ht="22.5" customHeight="1">
      <c r="A10530" s="49"/>
      <c r="C10530" s="400"/>
      <c r="D10530" s="524"/>
      <c r="E10530" s="544"/>
      <c r="F10530" s="387"/>
      <c r="G10530" s="140"/>
      <c r="H10530" s="74"/>
      <c r="I10530" s="74">
        <f t="shared" si="7"/>
        <v>0</v>
      </c>
      <c r="J10530" s="74" t="str">
        <f>IF(E10530="SERVICE",I10530-(I10530*50%),Vlookup(E10530,DATABASE!C:Q,10,false)*F10530)</f>
        <v>#N/A</v>
      </c>
      <c r="K10530" s="74" t="str">
        <f>VLOOKUP(E10530,DATABASE!C:Q,7,false)</f>
        <v>#N/A</v>
      </c>
      <c r="L10530" s="74"/>
      <c r="M10530" s="74">
        <f t="shared" si="6"/>
        <v>0</v>
      </c>
      <c r="N10530" s="74" t="str">
        <f t="shared" si="9"/>
        <v>#N/A</v>
      </c>
      <c r="O10530" s="65" t="str">
        <f>VLOOKUP(E10530,DATABASE!C:Q,8,false)</f>
        <v>#N/A</v>
      </c>
      <c r="P10530" s="65" t="str">
        <f>VLOOKUP(E10530,DATABASE!C:Q,9,False)</f>
        <v>#N/A</v>
      </c>
      <c r="Q10530" s="93" t="str">
        <f>VLOOKUP(E10530,DATABASE!C:Q,4,false)</f>
        <v>#N/A</v>
      </c>
      <c r="R10530" s="93" t="str">
        <f>VLOOKUP(E10530,DATABASE!C:Q,11,false)</f>
        <v>#N/A</v>
      </c>
    </row>
    <row r="10531" ht="22.5" customHeight="1">
      <c r="A10531" s="49"/>
      <c r="C10531" s="400"/>
      <c r="D10531" s="524"/>
      <c r="E10531" s="544"/>
      <c r="F10531" s="387"/>
      <c r="G10531" s="140"/>
      <c r="H10531" s="74"/>
      <c r="I10531" s="74">
        <f t="shared" si="7"/>
        <v>0</v>
      </c>
      <c r="J10531" s="74" t="str">
        <f>IF(E10531="SERVICE",I10531-(I10531*50%),Vlookup(E10531,DATABASE!C:Q,10,false)*F10531)</f>
        <v>#N/A</v>
      </c>
      <c r="K10531" s="74" t="str">
        <f>VLOOKUP(E10531,DATABASE!C:Q,7,false)</f>
        <v>#N/A</v>
      </c>
      <c r="L10531" s="74"/>
      <c r="M10531" s="74">
        <f t="shared" si="6"/>
        <v>0</v>
      </c>
      <c r="N10531" s="74" t="str">
        <f t="shared" si="9"/>
        <v>#N/A</v>
      </c>
      <c r="O10531" s="65" t="str">
        <f>VLOOKUP(E10531,DATABASE!C:Q,8,false)</f>
        <v>#N/A</v>
      </c>
      <c r="P10531" s="65" t="str">
        <f>VLOOKUP(E10531,DATABASE!C:Q,9,False)</f>
        <v>#N/A</v>
      </c>
      <c r="Q10531" s="93" t="str">
        <f>VLOOKUP(E10531,DATABASE!C:Q,4,false)</f>
        <v>#N/A</v>
      </c>
      <c r="R10531" s="93" t="str">
        <f>VLOOKUP(E10531,DATABASE!C:Q,11,false)</f>
        <v>#N/A</v>
      </c>
    </row>
    <row r="10532" ht="22.5" customHeight="1">
      <c r="A10532" s="49"/>
      <c r="C10532" s="400"/>
      <c r="D10532" s="524"/>
      <c r="E10532" s="544"/>
      <c r="F10532" s="387"/>
      <c r="G10532" s="140"/>
      <c r="H10532" s="74"/>
      <c r="I10532" s="74">
        <f t="shared" si="7"/>
        <v>0</v>
      </c>
      <c r="J10532" s="74" t="str">
        <f>IF(E10532="SERVICE",I10532-(I10532*50%),Vlookup(E10532,DATABASE!C:Q,10,false)*F10532)</f>
        <v>#N/A</v>
      </c>
      <c r="K10532" s="74" t="str">
        <f>VLOOKUP(E10532,DATABASE!C:Q,7,false)</f>
        <v>#N/A</v>
      </c>
      <c r="L10532" s="74"/>
      <c r="M10532" s="74">
        <f t="shared" si="6"/>
        <v>0</v>
      </c>
      <c r="N10532" s="74" t="str">
        <f t="shared" si="9"/>
        <v>#N/A</v>
      </c>
      <c r="O10532" s="65" t="str">
        <f>VLOOKUP(E10532,DATABASE!C:Q,8,false)</f>
        <v>#N/A</v>
      </c>
      <c r="P10532" s="65" t="str">
        <f>VLOOKUP(E10532,DATABASE!C:Q,9,False)</f>
        <v>#N/A</v>
      </c>
      <c r="Q10532" s="93" t="str">
        <f>VLOOKUP(E10532,DATABASE!C:Q,4,false)</f>
        <v>#N/A</v>
      </c>
      <c r="R10532" s="93" t="str">
        <f>VLOOKUP(E10532,DATABASE!C:Q,11,false)</f>
        <v>#N/A</v>
      </c>
    </row>
    <row r="10533" ht="22.5" customHeight="1">
      <c r="A10533" s="49"/>
      <c r="C10533" s="400"/>
      <c r="D10533" s="524"/>
      <c r="E10533" s="544"/>
      <c r="F10533" s="387"/>
      <c r="G10533" s="140"/>
      <c r="H10533" s="74"/>
      <c r="I10533" s="74">
        <f t="shared" si="7"/>
        <v>0</v>
      </c>
      <c r="J10533" s="74" t="str">
        <f>IF(E10533="SERVICE",I10533-(I10533*50%),Vlookup(E10533,DATABASE!C:Q,10,false)*F10533)</f>
        <v>#N/A</v>
      </c>
      <c r="K10533" s="74" t="str">
        <f>VLOOKUP(E10533,DATABASE!C:Q,7,false)</f>
        <v>#N/A</v>
      </c>
      <c r="L10533" s="74"/>
      <c r="M10533" s="74">
        <f t="shared" si="6"/>
        <v>0</v>
      </c>
      <c r="N10533" s="74" t="str">
        <f t="shared" si="9"/>
        <v>#N/A</v>
      </c>
      <c r="O10533" s="65" t="str">
        <f>VLOOKUP(E10533,DATABASE!C:Q,8,false)</f>
        <v>#N/A</v>
      </c>
      <c r="P10533" s="65" t="str">
        <f>VLOOKUP(E10533,DATABASE!C:Q,9,False)</f>
        <v>#N/A</v>
      </c>
      <c r="Q10533" s="93" t="str">
        <f>VLOOKUP(E10533,DATABASE!C:Q,4,false)</f>
        <v>#N/A</v>
      </c>
      <c r="R10533" s="93" t="str">
        <f>VLOOKUP(E10533,DATABASE!C:Q,11,false)</f>
        <v>#N/A</v>
      </c>
    </row>
    <row r="10534" ht="22.5" customHeight="1">
      <c r="A10534" s="49"/>
      <c r="C10534" s="400"/>
      <c r="D10534" s="524"/>
      <c r="E10534" s="544"/>
      <c r="F10534" s="387"/>
      <c r="G10534" s="140"/>
      <c r="H10534" s="74"/>
      <c r="I10534" s="74">
        <f t="shared" si="7"/>
        <v>0</v>
      </c>
      <c r="J10534" s="74" t="str">
        <f>IF(E10534="SERVICE",I10534-(I10534*50%),Vlookup(E10534,DATABASE!C:Q,10,false)*F10534)</f>
        <v>#N/A</v>
      </c>
      <c r="K10534" s="74" t="str">
        <f>VLOOKUP(E10534,DATABASE!C:Q,7,false)</f>
        <v>#N/A</v>
      </c>
      <c r="L10534" s="74"/>
      <c r="M10534" s="74">
        <f t="shared" si="6"/>
        <v>0</v>
      </c>
      <c r="N10534" s="74" t="str">
        <f t="shared" si="9"/>
        <v>#N/A</v>
      </c>
      <c r="O10534" s="65" t="str">
        <f>VLOOKUP(E10534,DATABASE!C:Q,8,false)</f>
        <v>#N/A</v>
      </c>
      <c r="P10534" s="65" t="str">
        <f>VLOOKUP(E10534,DATABASE!C:Q,9,False)</f>
        <v>#N/A</v>
      </c>
      <c r="Q10534" s="93" t="str">
        <f>VLOOKUP(E10534,DATABASE!C:Q,4,false)</f>
        <v>#N/A</v>
      </c>
      <c r="R10534" s="93" t="str">
        <f>VLOOKUP(E10534,DATABASE!C:Q,11,false)</f>
        <v>#N/A</v>
      </c>
    </row>
    <row r="10535" ht="22.5" customHeight="1">
      <c r="A10535" s="49"/>
      <c r="C10535" s="400"/>
      <c r="D10535" s="524"/>
      <c r="E10535" s="544"/>
      <c r="F10535" s="387"/>
      <c r="G10535" s="140"/>
      <c r="H10535" s="74"/>
      <c r="I10535" s="74">
        <f t="shared" si="7"/>
        <v>0</v>
      </c>
      <c r="J10535" s="74" t="str">
        <f>IF(E10535="SERVICE",I10535-(I10535*50%),Vlookup(E10535,DATABASE!C:Q,10,false)*F10535)</f>
        <v>#N/A</v>
      </c>
      <c r="K10535" s="74" t="str">
        <f>VLOOKUP(E10535,DATABASE!C:Q,7,false)</f>
        <v>#N/A</v>
      </c>
      <c r="L10535" s="74"/>
      <c r="M10535" s="74">
        <f t="shared" si="6"/>
        <v>0</v>
      </c>
      <c r="N10535" s="74" t="str">
        <f t="shared" si="9"/>
        <v>#N/A</v>
      </c>
      <c r="O10535" s="65" t="str">
        <f>VLOOKUP(E10535,DATABASE!C:Q,8,false)</f>
        <v>#N/A</v>
      </c>
      <c r="P10535" s="65" t="str">
        <f>VLOOKUP(E10535,DATABASE!C:Q,9,False)</f>
        <v>#N/A</v>
      </c>
      <c r="Q10535" s="93" t="str">
        <f>VLOOKUP(E10535,DATABASE!C:Q,4,false)</f>
        <v>#N/A</v>
      </c>
      <c r="R10535" s="93" t="str">
        <f>VLOOKUP(E10535,DATABASE!C:Q,11,false)</f>
        <v>#N/A</v>
      </c>
    </row>
    <row r="10536" ht="22.5" customHeight="1">
      <c r="A10536" s="49"/>
      <c r="C10536" s="400"/>
      <c r="D10536" s="524"/>
      <c r="E10536" s="544"/>
      <c r="F10536" s="387"/>
      <c r="G10536" s="140"/>
      <c r="H10536" s="74"/>
      <c r="I10536" s="74">
        <f t="shared" si="7"/>
        <v>0</v>
      </c>
      <c r="J10536" s="74" t="str">
        <f>IF(E10536="SERVICE",I10536-(I10536*50%),Vlookup(E10536,DATABASE!C:Q,10,false)*F10536)</f>
        <v>#N/A</v>
      </c>
      <c r="K10536" s="74" t="str">
        <f>VLOOKUP(E10536,DATABASE!C:Q,7,false)</f>
        <v>#N/A</v>
      </c>
      <c r="L10536" s="74"/>
      <c r="M10536" s="74">
        <f t="shared" si="6"/>
        <v>0</v>
      </c>
      <c r="N10536" s="74" t="str">
        <f t="shared" si="9"/>
        <v>#N/A</v>
      </c>
      <c r="O10536" s="65" t="str">
        <f>VLOOKUP(E10536,DATABASE!C:Q,8,false)</f>
        <v>#N/A</v>
      </c>
      <c r="P10536" s="65" t="str">
        <f>VLOOKUP(E10536,DATABASE!C:Q,9,False)</f>
        <v>#N/A</v>
      </c>
      <c r="Q10536" s="93" t="str">
        <f>VLOOKUP(E10536,DATABASE!C:Q,4,false)</f>
        <v>#N/A</v>
      </c>
      <c r="R10536" s="93" t="str">
        <f>VLOOKUP(E10536,DATABASE!C:Q,11,false)</f>
        <v>#N/A</v>
      </c>
    </row>
    <row r="10537" ht="22.5" customHeight="1">
      <c r="A10537" s="49"/>
      <c r="C10537" s="400"/>
      <c r="D10537" s="524"/>
      <c r="E10537" s="544"/>
      <c r="F10537" s="387"/>
      <c r="G10537" s="140"/>
      <c r="H10537" s="74"/>
      <c r="I10537" s="74">
        <f t="shared" si="7"/>
        <v>0</v>
      </c>
      <c r="J10537" s="74" t="str">
        <f>IF(E10537="SERVICE",I10537-(I10537*50%),Vlookup(E10537,DATABASE!C:Q,10,false)*F10537)</f>
        <v>#N/A</v>
      </c>
      <c r="K10537" s="74" t="str">
        <f>VLOOKUP(E10537,DATABASE!C:Q,7,false)</f>
        <v>#N/A</v>
      </c>
      <c r="L10537" s="74"/>
      <c r="M10537" s="74">
        <f t="shared" si="6"/>
        <v>0</v>
      </c>
      <c r="N10537" s="74" t="str">
        <f t="shared" si="9"/>
        <v>#N/A</v>
      </c>
      <c r="O10537" s="65" t="str">
        <f>VLOOKUP(E10537,DATABASE!C:Q,8,false)</f>
        <v>#N/A</v>
      </c>
      <c r="P10537" s="65" t="str">
        <f>VLOOKUP(E10537,DATABASE!C:Q,9,False)</f>
        <v>#N/A</v>
      </c>
      <c r="Q10537" s="93" t="str">
        <f>VLOOKUP(E10537,DATABASE!C:Q,4,false)</f>
        <v>#N/A</v>
      </c>
      <c r="R10537" s="93" t="str">
        <f>VLOOKUP(E10537,DATABASE!C:Q,11,false)</f>
        <v>#N/A</v>
      </c>
    </row>
    <row r="10538" ht="22.5" customHeight="1">
      <c r="A10538" s="49"/>
      <c r="C10538" s="400"/>
      <c r="D10538" s="524"/>
      <c r="E10538" s="544"/>
      <c r="F10538" s="387"/>
      <c r="G10538" s="140"/>
      <c r="H10538" s="74"/>
      <c r="I10538" s="74">
        <f t="shared" si="7"/>
        <v>0</v>
      </c>
      <c r="J10538" s="74" t="str">
        <f>IF(E10538="SERVICE",I10538-(I10538*50%),Vlookup(E10538,DATABASE!C:Q,10,false)*F10538)</f>
        <v>#N/A</v>
      </c>
      <c r="K10538" s="74" t="str">
        <f>VLOOKUP(E10538,DATABASE!C:Q,7,false)</f>
        <v>#N/A</v>
      </c>
      <c r="L10538" s="74"/>
      <c r="M10538" s="74">
        <f t="shared" si="6"/>
        <v>0</v>
      </c>
      <c r="N10538" s="74" t="str">
        <f t="shared" si="9"/>
        <v>#N/A</v>
      </c>
      <c r="O10538" s="65" t="str">
        <f>VLOOKUP(E10538,DATABASE!C:Q,8,false)</f>
        <v>#N/A</v>
      </c>
      <c r="P10538" s="65" t="str">
        <f>VLOOKUP(E10538,DATABASE!C:Q,9,False)</f>
        <v>#N/A</v>
      </c>
      <c r="Q10538" s="93" t="str">
        <f>VLOOKUP(E10538,DATABASE!C:Q,4,false)</f>
        <v>#N/A</v>
      </c>
      <c r="R10538" s="93" t="str">
        <f>VLOOKUP(E10538,DATABASE!C:Q,11,false)</f>
        <v>#N/A</v>
      </c>
    </row>
    <row r="10539" ht="22.5" customHeight="1">
      <c r="A10539" s="49"/>
      <c r="C10539" s="400"/>
      <c r="D10539" s="524"/>
      <c r="E10539" s="544"/>
      <c r="F10539" s="387"/>
      <c r="G10539" s="140"/>
      <c r="H10539" s="74"/>
      <c r="I10539" s="74">
        <f t="shared" si="7"/>
        <v>0</v>
      </c>
      <c r="J10539" s="74" t="str">
        <f>IF(E10539="SERVICE",I10539-(I10539*50%),Vlookup(E10539,DATABASE!C:Q,10,false)*F10539)</f>
        <v>#N/A</v>
      </c>
      <c r="K10539" s="74" t="str">
        <f>VLOOKUP(E10539,DATABASE!C:Q,7,false)</f>
        <v>#N/A</v>
      </c>
      <c r="L10539" s="74"/>
      <c r="M10539" s="74">
        <f t="shared" si="6"/>
        <v>0</v>
      </c>
      <c r="N10539" s="74" t="str">
        <f t="shared" si="9"/>
        <v>#N/A</v>
      </c>
      <c r="O10539" s="65" t="str">
        <f>VLOOKUP(E10539,DATABASE!C:Q,8,false)</f>
        <v>#N/A</v>
      </c>
      <c r="P10539" s="65" t="str">
        <f>VLOOKUP(E10539,DATABASE!C:Q,9,False)</f>
        <v>#N/A</v>
      </c>
      <c r="Q10539" s="93" t="str">
        <f>VLOOKUP(E10539,DATABASE!C:Q,4,false)</f>
        <v>#N/A</v>
      </c>
      <c r="R10539" s="93" t="str">
        <f>VLOOKUP(E10539,DATABASE!C:Q,11,false)</f>
        <v>#N/A</v>
      </c>
    </row>
    <row r="10540" ht="22.5" customHeight="1">
      <c r="A10540" s="49"/>
      <c r="C10540" s="400"/>
      <c r="D10540" s="524"/>
      <c r="E10540" s="544"/>
      <c r="F10540" s="387"/>
      <c r="G10540" s="140"/>
      <c r="H10540" s="74"/>
      <c r="I10540" s="74">
        <f t="shared" si="7"/>
        <v>0</v>
      </c>
      <c r="J10540" s="74" t="str">
        <f>IF(E10540="SERVICE",I10540-(I10540*50%),Vlookup(E10540,DATABASE!C:Q,10,false)*F10540)</f>
        <v>#N/A</v>
      </c>
      <c r="K10540" s="74" t="str">
        <f>VLOOKUP(E10540,DATABASE!C:Q,7,false)</f>
        <v>#N/A</v>
      </c>
      <c r="L10540" s="74"/>
      <c r="M10540" s="74">
        <f t="shared" si="6"/>
        <v>0</v>
      </c>
      <c r="N10540" s="74" t="str">
        <f t="shared" si="9"/>
        <v>#N/A</v>
      </c>
      <c r="O10540" s="65" t="str">
        <f>VLOOKUP(E10540,DATABASE!C:Q,8,false)</f>
        <v>#N/A</v>
      </c>
      <c r="P10540" s="65" t="str">
        <f>VLOOKUP(E10540,DATABASE!C:Q,9,False)</f>
        <v>#N/A</v>
      </c>
      <c r="Q10540" s="93" t="str">
        <f>VLOOKUP(E10540,DATABASE!C:Q,4,false)</f>
        <v>#N/A</v>
      </c>
      <c r="R10540" s="93" t="str">
        <f>VLOOKUP(E10540,DATABASE!C:Q,11,false)</f>
        <v>#N/A</v>
      </c>
    </row>
    <row r="10541" ht="22.5" customHeight="1">
      <c r="A10541" s="49"/>
      <c r="C10541" s="400"/>
      <c r="D10541" s="524"/>
      <c r="E10541" s="544"/>
      <c r="F10541" s="387"/>
      <c r="G10541" s="140"/>
      <c r="H10541" s="74"/>
      <c r="I10541" s="74">
        <f t="shared" si="7"/>
        <v>0</v>
      </c>
      <c r="J10541" s="74" t="str">
        <f>IF(E10541="SERVICE",I10541-(I10541*50%),Vlookup(E10541,DATABASE!C:Q,10,false)*F10541)</f>
        <v>#N/A</v>
      </c>
      <c r="K10541" s="74" t="str">
        <f>VLOOKUP(E10541,DATABASE!C:Q,7,false)</f>
        <v>#N/A</v>
      </c>
      <c r="L10541" s="74"/>
      <c r="M10541" s="74">
        <f t="shared" si="6"/>
        <v>0</v>
      </c>
      <c r="N10541" s="74" t="str">
        <f t="shared" si="9"/>
        <v>#N/A</v>
      </c>
      <c r="O10541" s="65" t="str">
        <f>VLOOKUP(E10541,DATABASE!C:Q,8,false)</f>
        <v>#N/A</v>
      </c>
      <c r="P10541" s="65" t="str">
        <f>VLOOKUP(E10541,DATABASE!C:Q,9,False)</f>
        <v>#N/A</v>
      </c>
      <c r="Q10541" s="93" t="str">
        <f>VLOOKUP(E10541,DATABASE!C:Q,4,false)</f>
        <v>#N/A</v>
      </c>
      <c r="R10541" s="93" t="str">
        <f>VLOOKUP(E10541,DATABASE!C:Q,11,false)</f>
        <v>#N/A</v>
      </c>
    </row>
    <row r="10542" ht="22.5" customHeight="1">
      <c r="A10542" s="49"/>
      <c r="C10542" s="400"/>
      <c r="D10542" s="524"/>
      <c r="E10542" s="544"/>
      <c r="F10542" s="387"/>
      <c r="G10542" s="140"/>
      <c r="H10542" s="74"/>
      <c r="I10542" s="74">
        <f t="shared" si="7"/>
        <v>0</v>
      </c>
      <c r="J10542" s="74" t="str">
        <f>IF(E10542="SERVICE",I10542-(I10542*50%),Vlookup(E10542,DATABASE!C:Q,10,false)*F10542)</f>
        <v>#N/A</v>
      </c>
      <c r="K10542" s="74" t="str">
        <f>VLOOKUP(E10542,DATABASE!C:Q,7,false)</f>
        <v>#N/A</v>
      </c>
      <c r="L10542" s="74"/>
      <c r="M10542" s="74">
        <f t="shared" si="6"/>
        <v>0</v>
      </c>
      <c r="N10542" s="74" t="str">
        <f t="shared" si="9"/>
        <v>#N/A</v>
      </c>
      <c r="O10542" s="65" t="str">
        <f>VLOOKUP(E10542,DATABASE!C:Q,8,false)</f>
        <v>#N/A</v>
      </c>
      <c r="P10542" s="65" t="str">
        <f>VLOOKUP(E10542,DATABASE!C:Q,9,False)</f>
        <v>#N/A</v>
      </c>
      <c r="Q10542" s="93" t="str">
        <f>VLOOKUP(E10542,DATABASE!C:Q,4,false)</f>
        <v>#N/A</v>
      </c>
      <c r="R10542" s="93" t="str">
        <f>VLOOKUP(E10542,DATABASE!C:Q,11,false)</f>
        <v>#N/A</v>
      </c>
    </row>
    <row r="10543" ht="22.5" customHeight="1">
      <c r="A10543" s="49"/>
      <c r="C10543" s="400"/>
      <c r="D10543" s="524"/>
      <c r="E10543" s="544"/>
      <c r="F10543" s="387"/>
      <c r="G10543" s="140"/>
      <c r="H10543" s="74"/>
      <c r="I10543" s="74">
        <f t="shared" si="7"/>
        <v>0</v>
      </c>
      <c r="J10543" s="74" t="str">
        <f>IF(E10543="SERVICE",I10543-(I10543*50%),Vlookup(E10543,DATABASE!C:Q,10,false)*F10543)</f>
        <v>#N/A</v>
      </c>
      <c r="K10543" s="74" t="str">
        <f>VLOOKUP(E10543,DATABASE!C:Q,7,false)</f>
        <v>#N/A</v>
      </c>
      <c r="L10543" s="74"/>
      <c r="M10543" s="74">
        <f t="shared" si="6"/>
        <v>0</v>
      </c>
      <c r="N10543" s="74" t="str">
        <f t="shared" si="9"/>
        <v>#N/A</v>
      </c>
      <c r="O10543" s="65" t="str">
        <f>VLOOKUP(E10543,DATABASE!C:Q,8,false)</f>
        <v>#N/A</v>
      </c>
      <c r="P10543" s="65" t="str">
        <f>VLOOKUP(E10543,DATABASE!C:Q,9,False)</f>
        <v>#N/A</v>
      </c>
      <c r="Q10543" s="93" t="str">
        <f>VLOOKUP(E10543,DATABASE!C:Q,4,false)</f>
        <v>#N/A</v>
      </c>
      <c r="R10543" s="93" t="str">
        <f>VLOOKUP(E10543,DATABASE!C:Q,11,false)</f>
        <v>#N/A</v>
      </c>
    </row>
    <row r="10544" ht="22.5" customHeight="1">
      <c r="A10544" s="49"/>
      <c r="C10544" s="400"/>
      <c r="D10544" s="524"/>
      <c r="E10544" s="544"/>
      <c r="F10544" s="387"/>
      <c r="G10544" s="140"/>
      <c r="H10544" s="74"/>
      <c r="I10544" s="74">
        <f t="shared" si="7"/>
        <v>0</v>
      </c>
      <c r="J10544" s="74" t="str">
        <f>IF(E10544="SERVICE",I10544-(I10544*50%),Vlookup(E10544,DATABASE!C:Q,10,false)*F10544)</f>
        <v>#N/A</v>
      </c>
      <c r="K10544" s="74" t="str">
        <f>VLOOKUP(E10544,DATABASE!C:Q,7,false)</f>
        <v>#N/A</v>
      </c>
      <c r="L10544" s="74"/>
      <c r="M10544" s="74">
        <f t="shared" si="6"/>
        <v>0</v>
      </c>
      <c r="N10544" s="74" t="str">
        <f t="shared" si="9"/>
        <v>#N/A</v>
      </c>
      <c r="O10544" s="65" t="str">
        <f>VLOOKUP(E10544,DATABASE!C:Q,8,false)</f>
        <v>#N/A</v>
      </c>
      <c r="P10544" s="65" t="str">
        <f>VLOOKUP(E10544,DATABASE!C:Q,9,False)</f>
        <v>#N/A</v>
      </c>
      <c r="Q10544" s="93" t="str">
        <f>VLOOKUP(E10544,DATABASE!C:Q,4,false)</f>
        <v>#N/A</v>
      </c>
      <c r="R10544" s="93" t="str">
        <f>VLOOKUP(E10544,DATABASE!C:Q,11,false)</f>
        <v>#N/A</v>
      </c>
    </row>
    <row r="10545" ht="22.5" customHeight="1">
      <c r="A10545" s="49"/>
      <c r="C10545" s="400"/>
      <c r="D10545" s="524"/>
      <c r="E10545" s="544"/>
      <c r="F10545" s="387"/>
      <c r="G10545" s="140"/>
      <c r="H10545" s="74"/>
      <c r="I10545" s="74">
        <f t="shared" si="7"/>
        <v>0</v>
      </c>
      <c r="J10545" s="74" t="str">
        <f>IF(E10545="SERVICE",I10545-(I10545*50%),Vlookup(E10545,DATABASE!C:Q,10,false)*F10545)</f>
        <v>#N/A</v>
      </c>
      <c r="K10545" s="74" t="str">
        <f>VLOOKUP(E10545,DATABASE!C:Q,7,false)</f>
        <v>#N/A</v>
      </c>
      <c r="L10545" s="74"/>
      <c r="M10545" s="74">
        <f t="shared" si="6"/>
        <v>0</v>
      </c>
      <c r="N10545" s="74" t="str">
        <f t="shared" si="9"/>
        <v>#N/A</v>
      </c>
      <c r="O10545" s="65" t="str">
        <f>VLOOKUP(E10545,DATABASE!C:Q,8,false)</f>
        <v>#N/A</v>
      </c>
      <c r="P10545" s="65" t="str">
        <f>VLOOKUP(E10545,DATABASE!C:Q,9,False)</f>
        <v>#N/A</v>
      </c>
      <c r="Q10545" s="93" t="str">
        <f>VLOOKUP(E10545,DATABASE!C:Q,4,false)</f>
        <v>#N/A</v>
      </c>
      <c r="R10545" s="93" t="str">
        <f>VLOOKUP(E10545,DATABASE!C:Q,11,false)</f>
        <v>#N/A</v>
      </c>
    </row>
    <row r="10546" ht="22.5" customHeight="1">
      <c r="A10546" s="49"/>
      <c r="C10546" s="400"/>
      <c r="D10546" s="524"/>
      <c r="E10546" s="544"/>
      <c r="F10546" s="387"/>
      <c r="G10546" s="140"/>
      <c r="H10546" s="74"/>
      <c r="I10546" s="74">
        <f t="shared" si="7"/>
        <v>0</v>
      </c>
      <c r="J10546" s="74" t="str">
        <f>IF(E10546="SERVICE",I10546-(I10546*50%),Vlookup(E10546,DATABASE!C:Q,10,false)*F10546)</f>
        <v>#N/A</v>
      </c>
      <c r="K10546" s="74" t="str">
        <f>VLOOKUP(E10546,DATABASE!C:Q,7,false)</f>
        <v>#N/A</v>
      </c>
      <c r="L10546" s="74"/>
      <c r="M10546" s="74">
        <f t="shared" si="6"/>
        <v>0</v>
      </c>
      <c r="N10546" s="74" t="str">
        <f t="shared" si="9"/>
        <v>#N/A</v>
      </c>
      <c r="O10546" s="65" t="str">
        <f>VLOOKUP(E10546,DATABASE!C:Q,8,false)</f>
        <v>#N/A</v>
      </c>
      <c r="P10546" s="65" t="str">
        <f>VLOOKUP(E10546,DATABASE!C:Q,9,False)</f>
        <v>#N/A</v>
      </c>
      <c r="Q10546" s="93" t="str">
        <f>VLOOKUP(E10546,DATABASE!C:Q,4,false)</f>
        <v>#N/A</v>
      </c>
      <c r="R10546" s="93" t="str">
        <f>VLOOKUP(E10546,DATABASE!C:Q,11,false)</f>
        <v>#N/A</v>
      </c>
    </row>
    <row r="10547" ht="22.5" customHeight="1">
      <c r="A10547" s="49"/>
      <c r="C10547" s="400"/>
      <c r="D10547" s="524"/>
      <c r="E10547" s="544"/>
      <c r="F10547" s="387"/>
      <c r="G10547" s="140"/>
      <c r="H10547" s="74"/>
      <c r="I10547" s="74">
        <f t="shared" si="7"/>
        <v>0</v>
      </c>
      <c r="J10547" s="74" t="str">
        <f>IF(E10547="SERVICE",I10547-(I10547*50%),Vlookup(E10547,DATABASE!C:Q,10,false)*F10547)</f>
        <v>#N/A</v>
      </c>
      <c r="K10547" s="74" t="str">
        <f>VLOOKUP(E10547,DATABASE!C:Q,7,false)</f>
        <v>#N/A</v>
      </c>
      <c r="L10547" s="74"/>
      <c r="M10547" s="74">
        <f t="shared" si="6"/>
        <v>0</v>
      </c>
      <c r="N10547" s="74" t="str">
        <f t="shared" si="9"/>
        <v>#N/A</v>
      </c>
      <c r="O10547" s="65" t="str">
        <f>VLOOKUP(E10547,DATABASE!C:Q,8,false)</f>
        <v>#N/A</v>
      </c>
      <c r="P10547" s="65" t="str">
        <f>VLOOKUP(E10547,DATABASE!C:Q,9,False)</f>
        <v>#N/A</v>
      </c>
      <c r="Q10547" s="93" t="str">
        <f>VLOOKUP(E10547,DATABASE!C:Q,4,false)</f>
        <v>#N/A</v>
      </c>
      <c r="R10547" s="93" t="str">
        <f>VLOOKUP(E10547,DATABASE!C:Q,11,false)</f>
        <v>#N/A</v>
      </c>
    </row>
    <row r="10548" ht="22.5" customHeight="1">
      <c r="A10548" s="49"/>
      <c r="C10548" s="400"/>
      <c r="D10548" s="524"/>
      <c r="E10548" s="544"/>
      <c r="F10548" s="387"/>
      <c r="G10548" s="140"/>
      <c r="H10548" s="74"/>
      <c r="I10548" s="74">
        <f t="shared" si="7"/>
        <v>0</v>
      </c>
      <c r="J10548" s="74" t="str">
        <f>IF(E10548="SERVICE",I10548-(I10548*50%),Vlookup(E10548,DATABASE!C:Q,10,false)*F10548)</f>
        <v>#N/A</v>
      </c>
      <c r="K10548" s="74" t="str">
        <f>VLOOKUP(E10548,DATABASE!C:Q,7,false)</f>
        <v>#N/A</v>
      </c>
      <c r="L10548" s="74"/>
      <c r="M10548" s="74">
        <f t="shared" si="6"/>
        <v>0</v>
      </c>
      <c r="N10548" s="74" t="str">
        <f t="shared" si="9"/>
        <v>#N/A</v>
      </c>
      <c r="O10548" s="65" t="str">
        <f>VLOOKUP(E10548,DATABASE!C:Q,8,false)</f>
        <v>#N/A</v>
      </c>
      <c r="P10548" s="65" t="str">
        <f>VLOOKUP(E10548,DATABASE!C:Q,9,False)</f>
        <v>#N/A</v>
      </c>
      <c r="Q10548" s="93" t="str">
        <f>VLOOKUP(E10548,DATABASE!C:Q,4,false)</f>
        <v>#N/A</v>
      </c>
      <c r="R10548" s="93" t="str">
        <f>VLOOKUP(E10548,DATABASE!C:Q,11,false)</f>
        <v>#N/A</v>
      </c>
    </row>
    <row r="10549" ht="22.5" customHeight="1">
      <c r="A10549" s="49"/>
      <c r="C10549" s="400"/>
      <c r="D10549" s="524"/>
      <c r="E10549" s="544"/>
      <c r="F10549" s="387"/>
      <c r="G10549" s="140"/>
      <c r="H10549" s="74"/>
      <c r="I10549" s="74">
        <f t="shared" si="7"/>
        <v>0</v>
      </c>
      <c r="J10549" s="74" t="str">
        <f>IF(E10549="SERVICE",I10549-(I10549*50%),Vlookup(E10549,DATABASE!C:Q,10,false)*F10549)</f>
        <v>#N/A</v>
      </c>
      <c r="K10549" s="74" t="str">
        <f>VLOOKUP(E10549,DATABASE!C:Q,7,false)</f>
        <v>#N/A</v>
      </c>
      <c r="L10549" s="74"/>
      <c r="M10549" s="74">
        <f t="shared" si="6"/>
        <v>0</v>
      </c>
      <c r="N10549" s="74" t="str">
        <f t="shared" si="9"/>
        <v>#N/A</v>
      </c>
      <c r="O10549" s="65" t="str">
        <f>VLOOKUP(E10549,DATABASE!C:Q,8,false)</f>
        <v>#N/A</v>
      </c>
      <c r="P10549" s="65" t="str">
        <f>VLOOKUP(E10549,DATABASE!C:Q,9,False)</f>
        <v>#N/A</v>
      </c>
      <c r="Q10549" s="93" t="str">
        <f>VLOOKUP(E10549,DATABASE!C:Q,4,false)</f>
        <v>#N/A</v>
      </c>
      <c r="R10549" s="93" t="str">
        <f>VLOOKUP(E10549,DATABASE!C:Q,11,false)</f>
        <v>#N/A</v>
      </c>
    </row>
    <row r="10550" ht="22.5" customHeight="1">
      <c r="A10550" s="49"/>
      <c r="C10550" s="400"/>
      <c r="D10550" s="524"/>
      <c r="E10550" s="544"/>
      <c r="F10550" s="387"/>
      <c r="G10550" s="140"/>
      <c r="H10550" s="74"/>
      <c r="I10550" s="74">
        <f t="shared" si="7"/>
        <v>0</v>
      </c>
      <c r="J10550" s="74" t="str">
        <f>IF(E10550="SERVICE",I10550-(I10550*50%),Vlookup(E10550,DATABASE!C:Q,10,false)*F10550)</f>
        <v>#N/A</v>
      </c>
      <c r="K10550" s="74" t="str">
        <f>VLOOKUP(E10550,DATABASE!C:Q,7,false)</f>
        <v>#N/A</v>
      </c>
      <c r="L10550" s="74"/>
      <c r="M10550" s="74">
        <f t="shared" si="6"/>
        <v>0</v>
      </c>
      <c r="N10550" s="74" t="str">
        <f t="shared" si="9"/>
        <v>#N/A</v>
      </c>
      <c r="O10550" s="65" t="str">
        <f>VLOOKUP(E10550,DATABASE!C:Q,8,false)</f>
        <v>#N/A</v>
      </c>
      <c r="P10550" s="65" t="str">
        <f>VLOOKUP(E10550,DATABASE!C:Q,9,False)</f>
        <v>#N/A</v>
      </c>
      <c r="Q10550" s="93" t="str">
        <f>VLOOKUP(E10550,DATABASE!C:Q,4,false)</f>
        <v>#N/A</v>
      </c>
      <c r="R10550" s="93" t="str">
        <f>VLOOKUP(E10550,DATABASE!C:Q,11,false)</f>
        <v>#N/A</v>
      </c>
    </row>
    <row r="10551" ht="22.5" customHeight="1">
      <c r="A10551" s="49"/>
      <c r="C10551" s="400"/>
      <c r="D10551" s="524"/>
      <c r="E10551" s="544"/>
      <c r="F10551" s="387"/>
      <c r="G10551" s="140"/>
      <c r="H10551" s="74"/>
      <c r="I10551" s="74">
        <f t="shared" si="7"/>
        <v>0</v>
      </c>
      <c r="J10551" s="74" t="str">
        <f>IF(E10551="SERVICE",I10551-(I10551*50%),Vlookup(E10551,DATABASE!C:Q,10,false)*F10551)</f>
        <v>#N/A</v>
      </c>
      <c r="K10551" s="74" t="str">
        <f>VLOOKUP(E10551,DATABASE!C:Q,7,false)</f>
        <v>#N/A</v>
      </c>
      <c r="L10551" s="74"/>
      <c r="M10551" s="74">
        <f t="shared" si="6"/>
        <v>0</v>
      </c>
      <c r="N10551" s="74" t="str">
        <f t="shared" si="9"/>
        <v>#N/A</v>
      </c>
      <c r="O10551" s="65" t="str">
        <f>VLOOKUP(E10551,DATABASE!C:Q,8,false)</f>
        <v>#N/A</v>
      </c>
      <c r="P10551" s="65" t="str">
        <f>VLOOKUP(E10551,DATABASE!C:Q,9,False)</f>
        <v>#N/A</v>
      </c>
      <c r="Q10551" s="93" t="str">
        <f>VLOOKUP(E10551,DATABASE!C:Q,4,false)</f>
        <v>#N/A</v>
      </c>
      <c r="R10551" s="93" t="str">
        <f>VLOOKUP(E10551,DATABASE!C:Q,11,false)</f>
        <v>#N/A</v>
      </c>
    </row>
    <row r="10552" ht="22.5" customHeight="1">
      <c r="A10552" s="49"/>
      <c r="C10552" s="400"/>
      <c r="D10552" s="524"/>
      <c r="E10552" s="544"/>
      <c r="F10552" s="387"/>
      <c r="G10552" s="140"/>
      <c r="H10552" s="74"/>
      <c r="I10552" s="74">
        <f t="shared" si="7"/>
        <v>0</v>
      </c>
      <c r="J10552" s="74" t="str">
        <f>IF(E10552="SERVICE",I10552-(I10552*50%),Vlookup(E10552,DATABASE!C:Q,10,false)*F10552)</f>
        <v>#N/A</v>
      </c>
      <c r="K10552" s="74" t="str">
        <f>VLOOKUP(E10552,DATABASE!C:Q,7,false)</f>
        <v>#N/A</v>
      </c>
      <c r="L10552" s="74"/>
      <c r="M10552" s="74">
        <f t="shared" si="6"/>
        <v>0</v>
      </c>
      <c r="N10552" s="74" t="str">
        <f t="shared" si="9"/>
        <v>#N/A</v>
      </c>
      <c r="O10552" s="65" t="str">
        <f>VLOOKUP(E10552,DATABASE!C:Q,8,false)</f>
        <v>#N/A</v>
      </c>
      <c r="P10552" s="65" t="str">
        <f>VLOOKUP(E10552,DATABASE!C:Q,9,False)</f>
        <v>#N/A</v>
      </c>
      <c r="Q10552" s="93" t="str">
        <f>VLOOKUP(E10552,DATABASE!C:Q,4,false)</f>
        <v>#N/A</v>
      </c>
      <c r="R10552" s="93" t="str">
        <f>VLOOKUP(E10552,DATABASE!C:Q,11,false)</f>
        <v>#N/A</v>
      </c>
    </row>
    <row r="10553" ht="22.5" customHeight="1">
      <c r="A10553" s="49"/>
      <c r="C10553" s="400"/>
      <c r="D10553" s="524"/>
      <c r="E10553" s="544"/>
      <c r="F10553" s="387"/>
      <c r="G10553" s="140"/>
      <c r="H10553" s="74"/>
      <c r="I10553" s="74">
        <f t="shared" si="7"/>
        <v>0</v>
      </c>
      <c r="J10553" s="74" t="str">
        <f>IF(E10553="SERVICE",I10553-(I10553*50%),Vlookup(E10553,DATABASE!C:Q,10,false)*F10553)</f>
        <v>#N/A</v>
      </c>
      <c r="K10553" s="74" t="str">
        <f>VLOOKUP(E10553,DATABASE!C:Q,7,false)</f>
        <v>#N/A</v>
      </c>
      <c r="L10553" s="74"/>
      <c r="M10553" s="74">
        <f t="shared" si="6"/>
        <v>0</v>
      </c>
      <c r="N10553" s="74" t="str">
        <f t="shared" si="9"/>
        <v>#N/A</v>
      </c>
      <c r="O10553" s="65" t="str">
        <f>VLOOKUP(E10553,DATABASE!C:Q,8,false)</f>
        <v>#N/A</v>
      </c>
      <c r="P10553" s="65" t="str">
        <f>VLOOKUP(E10553,DATABASE!C:Q,9,False)</f>
        <v>#N/A</v>
      </c>
      <c r="Q10553" s="93" t="str">
        <f>VLOOKUP(E10553,DATABASE!C:Q,4,false)</f>
        <v>#N/A</v>
      </c>
      <c r="R10553" s="93" t="str">
        <f>VLOOKUP(E10553,DATABASE!C:Q,11,false)</f>
        <v>#N/A</v>
      </c>
    </row>
    <row r="10554" ht="22.5" customHeight="1">
      <c r="A10554" s="49"/>
      <c r="C10554" s="400"/>
      <c r="D10554" s="524"/>
      <c r="E10554" s="544"/>
      <c r="F10554" s="387"/>
      <c r="G10554" s="140"/>
      <c r="H10554" s="74"/>
      <c r="I10554" s="74">
        <f t="shared" si="7"/>
        <v>0</v>
      </c>
      <c r="J10554" s="74" t="str">
        <f>IF(E10554="SERVICE",I10554-(I10554*50%),Vlookup(E10554,DATABASE!C:Q,10,false)*F10554)</f>
        <v>#N/A</v>
      </c>
      <c r="K10554" s="74" t="str">
        <f>VLOOKUP(E10554,DATABASE!C:Q,7,false)</f>
        <v>#N/A</v>
      </c>
      <c r="L10554" s="74"/>
      <c r="M10554" s="74">
        <f t="shared" si="6"/>
        <v>0</v>
      </c>
      <c r="N10554" s="74" t="str">
        <f t="shared" si="9"/>
        <v>#N/A</v>
      </c>
      <c r="O10554" s="65" t="str">
        <f>VLOOKUP(E10554,DATABASE!C:Q,8,false)</f>
        <v>#N/A</v>
      </c>
      <c r="P10554" s="65" t="str">
        <f>VLOOKUP(E10554,DATABASE!C:Q,9,False)</f>
        <v>#N/A</v>
      </c>
      <c r="Q10554" s="93" t="str">
        <f>VLOOKUP(E10554,DATABASE!C:Q,4,false)</f>
        <v>#N/A</v>
      </c>
      <c r="R10554" s="93" t="str">
        <f>VLOOKUP(E10554,DATABASE!C:Q,11,false)</f>
        <v>#N/A</v>
      </c>
    </row>
    <row r="10555" ht="22.5" customHeight="1">
      <c r="A10555" s="49"/>
      <c r="C10555" s="400"/>
      <c r="D10555" s="524"/>
      <c r="E10555" s="544"/>
      <c r="F10555" s="387"/>
      <c r="G10555" s="140"/>
      <c r="H10555" s="74"/>
      <c r="I10555" s="74">
        <f t="shared" si="7"/>
        <v>0</v>
      </c>
      <c r="J10555" s="74" t="str">
        <f>IF(E10555="SERVICE",I10555-(I10555*50%),Vlookup(E10555,DATABASE!C:Q,10,false)*F10555)</f>
        <v>#N/A</v>
      </c>
      <c r="K10555" s="74" t="str">
        <f>VLOOKUP(E10555,DATABASE!C:Q,7,false)</f>
        <v>#N/A</v>
      </c>
      <c r="L10555" s="74"/>
      <c r="M10555" s="74">
        <f t="shared" si="6"/>
        <v>0</v>
      </c>
      <c r="N10555" s="74" t="str">
        <f t="shared" si="9"/>
        <v>#N/A</v>
      </c>
      <c r="O10555" s="65" t="str">
        <f>VLOOKUP(E10555,DATABASE!C:Q,8,false)</f>
        <v>#N/A</v>
      </c>
      <c r="P10555" s="65" t="str">
        <f>VLOOKUP(E10555,DATABASE!C:Q,9,False)</f>
        <v>#N/A</v>
      </c>
      <c r="Q10555" s="93" t="str">
        <f>VLOOKUP(E10555,DATABASE!C:Q,4,false)</f>
        <v>#N/A</v>
      </c>
      <c r="R10555" s="93" t="str">
        <f>VLOOKUP(E10555,DATABASE!C:Q,11,false)</f>
        <v>#N/A</v>
      </c>
    </row>
    <row r="10556" ht="22.5" customHeight="1">
      <c r="A10556" s="49"/>
      <c r="C10556" s="400"/>
      <c r="D10556" s="524"/>
      <c r="E10556" s="544"/>
      <c r="F10556" s="387"/>
      <c r="G10556" s="140"/>
      <c r="H10556" s="74"/>
      <c r="I10556" s="74">
        <f t="shared" si="7"/>
        <v>0</v>
      </c>
      <c r="J10556" s="74" t="str">
        <f>IF(E10556="SERVICE",I10556-(I10556*50%),Vlookup(E10556,DATABASE!C:Q,10,false)*F10556)</f>
        <v>#N/A</v>
      </c>
      <c r="K10556" s="74" t="str">
        <f>VLOOKUP(E10556,DATABASE!C:Q,7,false)</f>
        <v>#N/A</v>
      </c>
      <c r="L10556" s="74"/>
      <c r="M10556" s="74">
        <f t="shared" si="6"/>
        <v>0</v>
      </c>
      <c r="N10556" s="74" t="str">
        <f t="shared" si="9"/>
        <v>#N/A</v>
      </c>
      <c r="O10556" s="65" t="str">
        <f>VLOOKUP(E10556,DATABASE!C:Q,8,false)</f>
        <v>#N/A</v>
      </c>
      <c r="P10556" s="65" t="str">
        <f>VLOOKUP(E10556,DATABASE!C:Q,9,False)</f>
        <v>#N/A</v>
      </c>
      <c r="Q10556" s="93" t="str">
        <f>VLOOKUP(E10556,DATABASE!C:Q,4,false)</f>
        <v>#N/A</v>
      </c>
      <c r="R10556" s="93" t="str">
        <f>VLOOKUP(E10556,DATABASE!C:Q,11,false)</f>
        <v>#N/A</v>
      </c>
    </row>
    <row r="10557" ht="22.5" customHeight="1">
      <c r="A10557" s="49"/>
      <c r="C10557" s="400"/>
      <c r="D10557" s="524"/>
      <c r="E10557" s="544"/>
      <c r="F10557" s="387"/>
      <c r="G10557" s="140"/>
      <c r="H10557" s="74"/>
      <c r="I10557" s="74">
        <f t="shared" si="7"/>
        <v>0</v>
      </c>
      <c r="J10557" s="74" t="str">
        <f>IF(E10557="SERVICE",I10557-(I10557*50%),Vlookup(E10557,DATABASE!C:Q,10,false)*F10557)</f>
        <v>#N/A</v>
      </c>
      <c r="K10557" s="74" t="str">
        <f>VLOOKUP(E10557,DATABASE!C:Q,7,false)</f>
        <v>#N/A</v>
      </c>
      <c r="L10557" s="74"/>
      <c r="M10557" s="74">
        <f t="shared" si="6"/>
        <v>0</v>
      </c>
      <c r="N10557" s="74" t="str">
        <f t="shared" si="9"/>
        <v>#N/A</v>
      </c>
      <c r="O10557" s="65" t="str">
        <f>VLOOKUP(E10557,DATABASE!C:Q,8,false)</f>
        <v>#N/A</v>
      </c>
      <c r="P10557" s="65" t="str">
        <f>VLOOKUP(E10557,DATABASE!C:Q,9,False)</f>
        <v>#N/A</v>
      </c>
      <c r="Q10557" s="93" t="str">
        <f>VLOOKUP(E10557,DATABASE!C:Q,4,false)</f>
        <v>#N/A</v>
      </c>
      <c r="R10557" s="93" t="str">
        <f>VLOOKUP(E10557,DATABASE!C:Q,11,false)</f>
        <v>#N/A</v>
      </c>
    </row>
    <row r="10558" ht="22.5" customHeight="1">
      <c r="A10558" s="49"/>
      <c r="C10558" s="400"/>
      <c r="D10558" s="524"/>
      <c r="E10558" s="544"/>
      <c r="F10558" s="387"/>
      <c r="G10558" s="140"/>
      <c r="H10558" s="74"/>
      <c r="I10558" s="74">
        <f t="shared" si="7"/>
        <v>0</v>
      </c>
      <c r="J10558" s="74" t="str">
        <f>IF(E10558="SERVICE",I10558-(I10558*50%),Vlookup(E10558,DATABASE!C:Q,10,false)*F10558)</f>
        <v>#N/A</v>
      </c>
      <c r="K10558" s="74" t="str">
        <f>VLOOKUP(E10558,DATABASE!C:Q,7,false)</f>
        <v>#N/A</v>
      </c>
      <c r="L10558" s="74"/>
      <c r="M10558" s="74">
        <f t="shared" si="6"/>
        <v>0</v>
      </c>
      <c r="N10558" s="74" t="str">
        <f t="shared" si="9"/>
        <v>#N/A</v>
      </c>
      <c r="O10558" s="65" t="str">
        <f>VLOOKUP(E10558,DATABASE!C:Q,8,false)</f>
        <v>#N/A</v>
      </c>
      <c r="P10558" s="65" t="str">
        <f>VLOOKUP(E10558,DATABASE!C:Q,9,False)</f>
        <v>#N/A</v>
      </c>
      <c r="Q10558" s="93" t="str">
        <f>VLOOKUP(E10558,DATABASE!C:Q,4,false)</f>
        <v>#N/A</v>
      </c>
      <c r="R10558" s="93" t="str">
        <f>VLOOKUP(E10558,DATABASE!C:Q,11,false)</f>
        <v>#N/A</v>
      </c>
    </row>
    <row r="10559" ht="22.5" customHeight="1">
      <c r="A10559" s="49"/>
      <c r="C10559" s="400"/>
      <c r="D10559" s="524"/>
      <c r="E10559" s="544"/>
      <c r="F10559" s="387"/>
      <c r="G10559" s="140"/>
      <c r="H10559" s="74"/>
      <c r="I10559" s="74">
        <f t="shared" si="7"/>
        <v>0</v>
      </c>
      <c r="J10559" s="74" t="str">
        <f>IF(E10559="SERVICE",I10559-(I10559*50%),Vlookup(E10559,DATABASE!C:Q,10,false)*F10559)</f>
        <v>#N/A</v>
      </c>
      <c r="K10559" s="74" t="str">
        <f>VLOOKUP(E10559,DATABASE!C:Q,7,false)</f>
        <v>#N/A</v>
      </c>
      <c r="L10559" s="74"/>
      <c r="M10559" s="74">
        <f t="shared" si="6"/>
        <v>0</v>
      </c>
      <c r="N10559" s="74" t="str">
        <f t="shared" si="9"/>
        <v>#N/A</v>
      </c>
      <c r="O10559" s="65" t="str">
        <f>VLOOKUP(E10559,DATABASE!C:Q,8,false)</f>
        <v>#N/A</v>
      </c>
      <c r="P10559" s="65" t="str">
        <f>VLOOKUP(E10559,DATABASE!C:Q,9,False)</f>
        <v>#N/A</v>
      </c>
      <c r="Q10559" s="93" t="str">
        <f>VLOOKUP(E10559,DATABASE!C:Q,4,false)</f>
        <v>#N/A</v>
      </c>
      <c r="R10559" s="93" t="str">
        <f>VLOOKUP(E10559,DATABASE!C:Q,11,false)</f>
        <v>#N/A</v>
      </c>
    </row>
    <row r="10560" ht="22.5" customHeight="1">
      <c r="A10560" s="49"/>
      <c r="C10560" s="400"/>
      <c r="D10560" s="524"/>
      <c r="E10560" s="544"/>
      <c r="F10560" s="387"/>
      <c r="G10560" s="140"/>
      <c r="H10560" s="74"/>
      <c r="I10560" s="74">
        <f t="shared" si="7"/>
        <v>0</v>
      </c>
      <c r="J10560" s="74" t="str">
        <f>IF(E10560="SERVICE",I10560-(I10560*50%),Vlookup(E10560,DATABASE!C:Q,10,false)*F10560)</f>
        <v>#N/A</v>
      </c>
      <c r="K10560" s="74" t="str">
        <f>VLOOKUP(E10560,DATABASE!C:Q,7,false)</f>
        <v>#N/A</v>
      </c>
      <c r="L10560" s="74"/>
      <c r="M10560" s="74">
        <f t="shared" si="6"/>
        <v>0</v>
      </c>
      <c r="N10560" s="74" t="str">
        <f t="shared" si="9"/>
        <v>#N/A</v>
      </c>
      <c r="O10560" s="65" t="str">
        <f>VLOOKUP(E10560,DATABASE!C:Q,8,false)</f>
        <v>#N/A</v>
      </c>
      <c r="P10560" s="65" t="str">
        <f>VLOOKUP(E10560,DATABASE!C:Q,9,False)</f>
        <v>#N/A</v>
      </c>
      <c r="Q10560" s="93" t="str">
        <f>VLOOKUP(E10560,DATABASE!C:Q,4,false)</f>
        <v>#N/A</v>
      </c>
      <c r="R10560" s="93" t="str">
        <f>VLOOKUP(E10560,DATABASE!C:Q,11,false)</f>
        <v>#N/A</v>
      </c>
    </row>
    <row r="10561" ht="22.5" customHeight="1">
      <c r="A10561" s="49"/>
      <c r="C10561" s="400"/>
      <c r="D10561" s="524"/>
      <c r="E10561" s="544"/>
      <c r="F10561" s="387"/>
      <c r="G10561" s="140"/>
      <c r="H10561" s="74"/>
      <c r="I10561" s="74">
        <f t="shared" si="7"/>
        <v>0</v>
      </c>
      <c r="J10561" s="74" t="str">
        <f>IF(E10561="SERVICE",I10561-(I10561*50%),Vlookup(E10561,DATABASE!C:Q,10,false)*F10561)</f>
        <v>#N/A</v>
      </c>
      <c r="K10561" s="74" t="str">
        <f>VLOOKUP(E10561,DATABASE!C:Q,7,false)</f>
        <v>#N/A</v>
      </c>
      <c r="L10561" s="74"/>
      <c r="M10561" s="74">
        <f t="shared" si="6"/>
        <v>0</v>
      </c>
      <c r="N10561" s="74" t="str">
        <f t="shared" si="9"/>
        <v>#N/A</v>
      </c>
      <c r="O10561" s="65" t="str">
        <f>VLOOKUP(E10561,DATABASE!C:Q,8,false)</f>
        <v>#N/A</v>
      </c>
      <c r="P10561" s="65" t="str">
        <f>VLOOKUP(E10561,DATABASE!C:Q,9,False)</f>
        <v>#N/A</v>
      </c>
      <c r="Q10561" s="93" t="str">
        <f>VLOOKUP(E10561,DATABASE!C:Q,4,false)</f>
        <v>#N/A</v>
      </c>
      <c r="R10561" s="93" t="str">
        <f>VLOOKUP(E10561,DATABASE!C:Q,11,false)</f>
        <v>#N/A</v>
      </c>
    </row>
    <row r="10562" ht="22.5" customHeight="1">
      <c r="A10562" s="49"/>
      <c r="C10562" s="400"/>
      <c r="D10562" s="524"/>
      <c r="E10562" s="544"/>
      <c r="F10562" s="387"/>
      <c r="G10562" s="140"/>
      <c r="H10562" s="74"/>
      <c r="I10562" s="74">
        <f t="shared" si="7"/>
        <v>0</v>
      </c>
      <c r="J10562" s="74" t="str">
        <f>IF(E10562="SERVICE",I10562-(I10562*50%),Vlookup(E10562,DATABASE!C:Q,10,false)*F10562)</f>
        <v>#N/A</v>
      </c>
      <c r="K10562" s="74" t="str">
        <f>VLOOKUP(E10562,DATABASE!C:Q,7,false)</f>
        <v>#N/A</v>
      </c>
      <c r="L10562" s="74"/>
      <c r="M10562" s="74">
        <f t="shared" si="6"/>
        <v>0</v>
      </c>
      <c r="N10562" s="74" t="str">
        <f t="shared" si="9"/>
        <v>#N/A</v>
      </c>
      <c r="O10562" s="65" t="str">
        <f>VLOOKUP(E10562,DATABASE!C:Q,8,false)</f>
        <v>#N/A</v>
      </c>
      <c r="P10562" s="65" t="str">
        <f>VLOOKUP(E10562,DATABASE!C:Q,9,False)</f>
        <v>#N/A</v>
      </c>
      <c r="Q10562" s="93" t="str">
        <f>VLOOKUP(E10562,DATABASE!C:Q,4,false)</f>
        <v>#N/A</v>
      </c>
      <c r="R10562" s="93" t="str">
        <f>VLOOKUP(E10562,DATABASE!C:Q,11,false)</f>
        <v>#N/A</v>
      </c>
    </row>
    <row r="10563" ht="22.5" customHeight="1">
      <c r="A10563" s="49"/>
      <c r="C10563" s="400"/>
      <c r="D10563" s="524"/>
      <c r="E10563" s="544"/>
      <c r="F10563" s="387"/>
      <c r="G10563" s="140"/>
      <c r="H10563" s="74"/>
      <c r="I10563" s="74">
        <f t="shared" si="7"/>
        <v>0</v>
      </c>
      <c r="J10563" s="74" t="str">
        <f>IF(E10563="SERVICE",I10563-(I10563*50%),Vlookup(E10563,DATABASE!C:Q,10,false)*F10563)</f>
        <v>#N/A</v>
      </c>
      <c r="K10563" s="74" t="str">
        <f>VLOOKUP(E10563,DATABASE!C:Q,7,false)</f>
        <v>#N/A</v>
      </c>
      <c r="L10563" s="74"/>
      <c r="M10563" s="74">
        <f t="shared" si="6"/>
        <v>0</v>
      </c>
      <c r="N10563" s="74" t="str">
        <f t="shared" si="9"/>
        <v>#N/A</v>
      </c>
      <c r="O10563" s="65" t="str">
        <f>VLOOKUP(E10563,DATABASE!C:Q,8,false)</f>
        <v>#N/A</v>
      </c>
      <c r="P10563" s="65" t="str">
        <f>VLOOKUP(E10563,DATABASE!C:Q,9,False)</f>
        <v>#N/A</v>
      </c>
      <c r="Q10563" s="93" t="str">
        <f>VLOOKUP(E10563,DATABASE!C:Q,4,false)</f>
        <v>#N/A</v>
      </c>
      <c r="R10563" s="93" t="str">
        <f>VLOOKUP(E10563,DATABASE!C:Q,11,false)</f>
        <v>#N/A</v>
      </c>
    </row>
    <row r="10564" ht="22.5" customHeight="1">
      <c r="A10564" s="49"/>
      <c r="C10564" s="400"/>
      <c r="D10564" s="524"/>
      <c r="E10564" s="544"/>
      <c r="F10564" s="387"/>
      <c r="G10564" s="140"/>
      <c r="H10564" s="74"/>
      <c r="I10564" s="74">
        <f t="shared" si="7"/>
        <v>0</v>
      </c>
      <c r="J10564" s="74" t="str">
        <f>IF(E10564="SERVICE",I10564-(I10564*50%),Vlookup(E10564,DATABASE!C:Q,10,false)*F10564)</f>
        <v>#N/A</v>
      </c>
      <c r="K10564" s="74" t="str">
        <f>VLOOKUP(E10564,DATABASE!C:Q,7,false)</f>
        <v>#N/A</v>
      </c>
      <c r="L10564" s="74"/>
      <c r="M10564" s="74">
        <f t="shared" si="6"/>
        <v>0</v>
      </c>
      <c r="N10564" s="74" t="str">
        <f t="shared" si="9"/>
        <v>#N/A</v>
      </c>
      <c r="O10564" s="65" t="str">
        <f>VLOOKUP(E10564,DATABASE!C:Q,8,false)</f>
        <v>#N/A</v>
      </c>
      <c r="P10564" s="65" t="str">
        <f>VLOOKUP(E10564,DATABASE!C:Q,9,False)</f>
        <v>#N/A</v>
      </c>
      <c r="Q10564" s="93" t="str">
        <f>VLOOKUP(E10564,DATABASE!C:Q,4,false)</f>
        <v>#N/A</v>
      </c>
      <c r="R10564" s="93" t="str">
        <f>VLOOKUP(E10564,DATABASE!C:Q,11,false)</f>
        <v>#N/A</v>
      </c>
    </row>
    <row r="10565" ht="22.5" customHeight="1">
      <c r="A10565" s="49"/>
      <c r="C10565" s="400"/>
      <c r="D10565" s="524"/>
      <c r="E10565" s="544"/>
      <c r="F10565" s="387"/>
      <c r="G10565" s="140"/>
      <c r="H10565" s="74"/>
      <c r="I10565" s="74">
        <f t="shared" si="7"/>
        <v>0</v>
      </c>
      <c r="J10565" s="74" t="str">
        <f>IF(E10565="SERVICE",I10565-(I10565*50%),Vlookup(E10565,DATABASE!C:Q,10,false)*F10565)</f>
        <v>#N/A</v>
      </c>
      <c r="K10565" s="74" t="str">
        <f>VLOOKUP(E10565,DATABASE!C:Q,7,false)</f>
        <v>#N/A</v>
      </c>
      <c r="L10565" s="74"/>
      <c r="M10565" s="74">
        <f t="shared" si="6"/>
        <v>0</v>
      </c>
      <c r="N10565" s="74" t="str">
        <f t="shared" si="9"/>
        <v>#N/A</v>
      </c>
      <c r="O10565" s="65" t="str">
        <f>VLOOKUP(E10565,DATABASE!C:Q,8,false)</f>
        <v>#N/A</v>
      </c>
      <c r="P10565" s="65" t="str">
        <f>VLOOKUP(E10565,DATABASE!C:Q,9,False)</f>
        <v>#N/A</v>
      </c>
      <c r="Q10565" s="93" t="str">
        <f>VLOOKUP(E10565,DATABASE!C:Q,4,false)</f>
        <v>#N/A</v>
      </c>
      <c r="R10565" s="93" t="str">
        <f>VLOOKUP(E10565,DATABASE!C:Q,11,false)</f>
        <v>#N/A</v>
      </c>
    </row>
    <row r="10566" ht="22.5" customHeight="1">
      <c r="A10566" s="49"/>
      <c r="C10566" s="400"/>
      <c r="D10566" s="524"/>
      <c r="E10566" s="544"/>
      <c r="F10566" s="387"/>
      <c r="G10566" s="140"/>
      <c r="H10566" s="74"/>
      <c r="I10566" s="74">
        <f t="shared" si="7"/>
        <v>0</v>
      </c>
      <c r="J10566" s="74" t="str">
        <f>IF(E10566="SERVICE",I10566-(I10566*50%),Vlookup(E10566,DATABASE!C:Q,10,false)*F10566)</f>
        <v>#N/A</v>
      </c>
      <c r="K10566" s="74" t="str">
        <f>VLOOKUP(E10566,DATABASE!C:Q,7,false)</f>
        <v>#N/A</v>
      </c>
      <c r="L10566" s="74"/>
      <c r="M10566" s="74">
        <f t="shared" si="6"/>
        <v>0</v>
      </c>
      <c r="N10566" s="74" t="str">
        <f t="shared" si="9"/>
        <v>#N/A</v>
      </c>
      <c r="O10566" s="65" t="str">
        <f>VLOOKUP(E10566,DATABASE!C:Q,8,false)</f>
        <v>#N/A</v>
      </c>
      <c r="P10566" s="65" t="str">
        <f>VLOOKUP(E10566,DATABASE!C:Q,9,False)</f>
        <v>#N/A</v>
      </c>
      <c r="Q10566" s="93" t="str">
        <f>VLOOKUP(E10566,DATABASE!C:Q,4,false)</f>
        <v>#N/A</v>
      </c>
      <c r="R10566" s="93" t="str">
        <f>VLOOKUP(E10566,DATABASE!C:Q,11,false)</f>
        <v>#N/A</v>
      </c>
    </row>
    <row r="10567" ht="22.5" customHeight="1">
      <c r="A10567" s="49"/>
      <c r="C10567" s="400"/>
      <c r="D10567" s="524"/>
      <c r="E10567" s="544"/>
      <c r="F10567" s="387"/>
      <c r="G10567" s="140"/>
      <c r="H10567" s="74"/>
      <c r="I10567" s="74">
        <f t="shared" si="7"/>
        <v>0</v>
      </c>
      <c r="J10567" s="74" t="str">
        <f>IF(E10567="SERVICE",I10567-(I10567*50%),Vlookup(E10567,DATABASE!C:Q,10,false)*F10567)</f>
        <v>#N/A</v>
      </c>
      <c r="K10567" s="74" t="str">
        <f>VLOOKUP(E10567,DATABASE!C:Q,7,false)</f>
        <v>#N/A</v>
      </c>
      <c r="L10567" s="74"/>
      <c r="M10567" s="74">
        <f t="shared" si="6"/>
        <v>0</v>
      </c>
      <c r="N10567" s="74" t="str">
        <f t="shared" si="9"/>
        <v>#N/A</v>
      </c>
      <c r="O10567" s="65" t="str">
        <f>VLOOKUP(E10567,DATABASE!C:Q,8,false)</f>
        <v>#N/A</v>
      </c>
      <c r="P10567" s="65" t="str">
        <f>VLOOKUP(E10567,DATABASE!C:Q,9,False)</f>
        <v>#N/A</v>
      </c>
      <c r="Q10567" s="93" t="str">
        <f>VLOOKUP(E10567,DATABASE!C:Q,4,false)</f>
        <v>#N/A</v>
      </c>
      <c r="R10567" s="93" t="str">
        <f>VLOOKUP(E10567,DATABASE!C:Q,11,false)</f>
        <v>#N/A</v>
      </c>
    </row>
    <row r="10568" ht="22.5" customHeight="1">
      <c r="A10568" s="49"/>
      <c r="C10568" s="400"/>
      <c r="D10568" s="524"/>
      <c r="E10568" s="544"/>
      <c r="F10568" s="387"/>
      <c r="G10568" s="140"/>
      <c r="H10568" s="74"/>
      <c r="I10568" s="74">
        <f t="shared" si="7"/>
        <v>0</v>
      </c>
      <c r="J10568" s="74" t="str">
        <f>IF(E10568="SERVICE",I10568-(I10568*50%),Vlookup(E10568,DATABASE!C:Q,10,false)*F10568)</f>
        <v>#N/A</v>
      </c>
      <c r="K10568" s="74" t="str">
        <f>VLOOKUP(E10568,DATABASE!C:Q,7,false)</f>
        <v>#N/A</v>
      </c>
      <c r="L10568" s="74"/>
      <c r="M10568" s="74">
        <f t="shared" si="6"/>
        <v>0</v>
      </c>
      <c r="N10568" s="74" t="str">
        <f t="shared" si="9"/>
        <v>#N/A</v>
      </c>
      <c r="O10568" s="65" t="str">
        <f>VLOOKUP(E10568,DATABASE!C:Q,8,false)</f>
        <v>#N/A</v>
      </c>
      <c r="P10568" s="65" t="str">
        <f>VLOOKUP(E10568,DATABASE!C:Q,9,False)</f>
        <v>#N/A</v>
      </c>
      <c r="Q10568" s="93" t="str">
        <f>VLOOKUP(E10568,DATABASE!C:Q,4,false)</f>
        <v>#N/A</v>
      </c>
      <c r="R10568" s="93" t="str">
        <f>VLOOKUP(E10568,DATABASE!C:Q,11,false)</f>
        <v>#N/A</v>
      </c>
    </row>
    <row r="10569" ht="22.5" customHeight="1">
      <c r="A10569" s="49"/>
      <c r="C10569" s="400"/>
      <c r="D10569" s="524"/>
      <c r="E10569" s="544"/>
      <c r="F10569" s="387"/>
      <c r="G10569" s="140"/>
      <c r="H10569" s="74"/>
      <c r="I10569" s="74">
        <f t="shared" si="7"/>
        <v>0</v>
      </c>
      <c r="J10569" s="74" t="str">
        <f>IF(E10569="SERVICE",I10569-(I10569*50%),Vlookup(E10569,DATABASE!C:Q,10,false)*F10569)</f>
        <v>#N/A</v>
      </c>
      <c r="K10569" s="74" t="str">
        <f>VLOOKUP(E10569,DATABASE!C:Q,7,false)</f>
        <v>#N/A</v>
      </c>
      <c r="L10569" s="74"/>
      <c r="M10569" s="74">
        <f t="shared" si="6"/>
        <v>0</v>
      </c>
      <c r="N10569" s="74" t="str">
        <f t="shared" si="9"/>
        <v>#N/A</v>
      </c>
      <c r="O10569" s="65" t="str">
        <f>VLOOKUP(E10569,DATABASE!C:Q,8,false)</f>
        <v>#N/A</v>
      </c>
      <c r="P10569" s="65" t="str">
        <f>VLOOKUP(E10569,DATABASE!C:Q,9,False)</f>
        <v>#N/A</v>
      </c>
      <c r="Q10569" s="93" t="str">
        <f>VLOOKUP(E10569,DATABASE!C:Q,4,false)</f>
        <v>#N/A</v>
      </c>
      <c r="R10569" s="93" t="str">
        <f>VLOOKUP(E10569,DATABASE!C:Q,11,false)</f>
        <v>#N/A</v>
      </c>
    </row>
    <row r="10570" ht="22.5" customHeight="1">
      <c r="A10570" s="49"/>
      <c r="C10570" s="400"/>
      <c r="D10570" s="524"/>
      <c r="E10570" s="544"/>
      <c r="F10570" s="387"/>
      <c r="G10570" s="140"/>
      <c r="H10570" s="74"/>
      <c r="I10570" s="74">
        <f t="shared" si="7"/>
        <v>0</v>
      </c>
      <c r="J10570" s="74" t="str">
        <f>IF(E10570="SERVICE",I10570-(I10570*50%),Vlookup(E10570,DATABASE!C:Q,10,false)*F10570)</f>
        <v>#N/A</v>
      </c>
      <c r="K10570" s="74" t="str">
        <f>VLOOKUP(E10570,DATABASE!C:Q,7,false)</f>
        <v>#N/A</v>
      </c>
      <c r="L10570" s="74"/>
      <c r="M10570" s="74">
        <f t="shared" si="6"/>
        <v>0</v>
      </c>
      <c r="N10570" s="74" t="str">
        <f t="shared" si="9"/>
        <v>#N/A</v>
      </c>
      <c r="O10570" s="65" t="str">
        <f>VLOOKUP(E10570,DATABASE!C:Q,8,false)</f>
        <v>#N/A</v>
      </c>
      <c r="P10570" s="65" t="str">
        <f>VLOOKUP(E10570,DATABASE!C:Q,9,False)</f>
        <v>#N/A</v>
      </c>
      <c r="Q10570" s="93" t="str">
        <f>VLOOKUP(E10570,DATABASE!C:Q,4,false)</f>
        <v>#N/A</v>
      </c>
      <c r="R10570" s="93" t="str">
        <f>VLOOKUP(E10570,DATABASE!C:Q,11,false)</f>
        <v>#N/A</v>
      </c>
    </row>
    <row r="10571" ht="22.5" customHeight="1">
      <c r="A10571" s="49"/>
      <c r="C10571" s="400"/>
      <c r="D10571" s="524"/>
      <c r="E10571" s="544"/>
      <c r="F10571" s="387"/>
      <c r="G10571" s="140"/>
      <c r="H10571" s="74"/>
      <c r="I10571" s="74">
        <f t="shared" si="7"/>
        <v>0</v>
      </c>
      <c r="J10571" s="74" t="str">
        <f>IF(E10571="SERVICE",I10571-(I10571*50%),Vlookup(E10571,DATABASE!C:Q,10,false)*F10571)</f>
        <v>#N/A</v>
      </c>
      <c r="K10571" s="74" t="str">
        <f>VLOOKUP(E10571,DATABASE!C:Q,7,false)</f>
        <v>#N/A</v>
      </c>
      <c r="L10571" s="74"/>
      <c r="M10571" s="74">
        <f t="shared" si="6"/>
        <v>0</v>
      </c>
      <c r="N10571" s="74" t="str">
        <f t="shared" si="9"/>
        <v>#N/A</v>
      </c>
      <c r="O10571" s="65" t="str">
        <f>VLOOKUP(E10571,DATABASE!C:Q,8,false)</f>
        <v>#N/A</v>
      </c>
      <c r="P10571" s="65" t="str">
        <f>VLOOKUP(E10571,DATABASE!C:Q,9,False)</f>
        <v>#N/A</v>
      </c>
      <c r="Q10571" s="93" t="str">
        <f>VLOOKUP(E10571,DATABASE!C:Q,4,false)</f>
        <v>#N/A</v>
      </c>
      <c r="R10571" s="93" t="str">
        <f>VLOOKUP(E10571,DATABASE!C:Q,11,false)</f>
        <v>#N/A</v>
      </c>
    </row>
    <row r="10572" ht="22.5" customHeight="1">
      <c r="A10572" s="49"/>
      <c r="C10572" s="400"/>
      <c r="D10572" s="524"/>
      <c r="E10572" s="544"/>
      <c r="F10572" s="387"/>
      <c r="G10572" s="140"/>
      <c r="H10572" s="74"/>
      <c r="I10572" s="74">
        <f t="shared" si="7"/>
        <v>0</v>
      </c>
      <c r="J10572" s="74" t="str">
        <f>IF(E10572="SERVICE",I10572-(I10572*50%),Vlookup(E10572,DATABASE!C:Q,10,false)*F10572)</f>
        <v>#N/A</v>
      </c>
      <c r="K10572" s="74" t="str">
        <f>VLOOKUP(E10572,DATABASE!C:Q,7,false)</f>
        <v>#N/A</v>
      </c>
      <c r="L10572" s="74"/>
      <c r="M10572" s="74">
        <f t="shared" si="6"/>
        <v>0</v>
      </c>
      <c r="N10572" s="74" t="str">
        <f t="shared" si="9"/>
        <v>#N/A</v>
      </c>
      <c r="O10572" s="65" t="str">
        <f>VLOOKUP(E10572,DATABASE!C:Q,8,false)</f>
        <v>#N/A</v>
      </c>
      <c r="P10572" s="65" t="str">
        <f>VLOOKUP(E10572,DATABASE!C:Q,9,False)</f>
        <v>#N/A</v>
      </c>
      <c r="Q10572" s="93" t="str">
        <f>VLOOKUP(E10572,DATABASE!C:Q,4,false)</f>
        <v>#N/A</v>
      </c>
      <c r="R10572" s="93" t="str">
        <f>VLOOKUP(E10572,DATABASE!C:Q,11,false)</f>
        <v>#N/A</v>
      </c>
    </row>
    <row r="10573" ht="22.5" customHeight="1">
      <c r="A10573" s="49"/>
      <c r="C10573" s="400"/>
      <c r="D10573" s="524"/>
      <c r="E10573" s="544"/>
      <c r="F10573" s="387"/>
      <c r="G10573" s="140"/>
      <c r="H10573" s="74"/>
      <c r="I10573" s="74">
        <f t="shared" si="7"/>
        <v>0</v>
      </c>
      <c r="J10573" s="74" t="str">
        <f>IF(E10573="SERVICE",I10573-(I10573*50%),Vlookup(E10573,DATABASE!C:Q,10,false)*F10573)</f>
        <v>#N/A</v>
      </c>
      <c r="K10573" s="74" t="str">
        <f>VLOOKUP(E10573,DATABASE!C:Q,7,false)</f>
        <v>#N/A</v>
      </c>
      <c r="L10573" s="74"/>
      <c r="M10573" s="74">
        <f t="shared" si="6"/>
        <v>0</v>
      </c>
      <c r="N10573" s="74" t="str">
        <f t="shared" si="9"/>
        <v>#N/A</v>
      </c>
      <c r="O10573" s="65" t="str">
        <f>VLOOKUP(E10573,DATABASE!C:Q,8,false)</f>
        <v>#N/A</v>
      </c>
      <c r="P10573" s="65" t="str">
        <f>VLOOKUP(E10573,DATABASE!C:Q,9,False)</f>
        <v>#N/A</v>
      </c>
      <c r="Q10573" s="93" t="str">
        <f>VLOOKUP(E10573,DATABASE!C:Q,4,false)</f>
        <v>#N/A</v>
      </c>
      <c r="R10573" s="93" t="str">
        <f>VLOOKUP(E10573,DATABASE!C:Q,11,false)</f>
        <v>#N/A</v>
      </c>
    </row>
    <row r="10574" ht="22.5" customHeight="1">
      <c r="A10574" s="49"/>
      <c r="C10574" s="400"/>
      <c r="D10574" s="524"/>
      <c r="E10574" s="544"/>
      <c r="F10574" s="387"/>
      <c r="G10574" s="140"/>
      <c r="H10574" s="74"/>
      <c r="I10574" s="74">
        <f t="shared" si="7"/>
        <v>0</v>
      </c>
      <c r="J10574" s="74" t="str">
        <f>IF(E10574="SERVICE",I10574-(I10574*50%),Vlookup(E10574,DATABASE!C:Q,10,false)*F10574)</f>
        <v>#N/A</v>
      </c>
      <c r="K10574" s="74" t="str">
        <f>VLOOKUP(E10574,DATABASE!C:Q,7,false)</f>
        <v>#N/A</v>
      </c>
      <c r="L10574" s="74"/>
      <c r="M10574" s="74">
        <f t="shared" si="6"/>
        <v>0</v>
      </c>
      <c r="N10574" s="74" t="str">
        <f t="shared" si="9"/>
        <v>#N/A</v>
      </c>
      <c r="O10574" s="65" t="str">
        <f>VLOOKUP(E10574,DATABASE!C:Q,8,false)</f>
        <v>#N/A</v>
      </c>
      <c r="P10574" s="65" t="str">
        <f>VLOOKUP(E10574,DATABASE!C:Q,9,False)</f>
        <v>#N/A</v>
      </c>
      <c r="Q10574" s="93" t="str">
        <f>VLOOKUP(E10574,DATABASE!C:Q,4,false)</f>
        <v>#N/A</v>
      </c>
      <c r="R10574" s="93" t="str">
        <f>VLOOKUP(E10574,DATABASE!C:Q,11,false)</f>
        <v>#N/A</v>
      </c>
    </row>
    <row r="10575" ht="22.5" customHeight="1">
      <c r="A10575" s="49"/>
      <c r="C10575" s="400"/>
      <c r="D10575" s="524"/>
      <c r="E10575" s="544"/>
      <c r="F10575" s="387"/>
      <c r="G10575" s="140"/>
      <c r="H10575" s="74"/>
      <c r="I10575" s="74">
        <f t="shared" si="7"/>
        <v>0</v>
      </c>
      <c r="J10575" s="74" t="str">
        <f>IF(E10575="SERVICE",I10575-(I10575*50%),Vlookup(E10575,DATABASE!C:Q,10,false)*F10575)</f>
        <v>#N/A</v>
      </c>
      <c r="K10575" s="74" t="str">
        <f>VLOOKUP(E10575,DATABASE!C:Q,7,false)</f>
        <v>#N/A</v>
      </c>
      <c r="L10575" s="74"/>
      <c r="M10575" s="74">
        <f t="shared" si="6"/>
        <v>0</v>
      </c>
      <c r="N10575" s="74" t="str">
        <f t="shared" si="9"/>
        <v>#N/A</v>
      </c>
      <c r="O10575" s="65" t="str">
        <f>VLOOKUP(E10575,DATABASE!C:Q,8,false)</f>
        <v>#N/A</v>
      </c>
      <c r="P10575" s="65" t="str">
        <f>VLOOKUP(E10575,DATABASE!C:Q,9,False)</f>
        <v>#N/A</v>
      </c>
      <c r="Q10575" s="93" t="str">
        <f>VLOOKUP(E10575,DATABASE!C:Q,4,false)</f>
        <v>#N/A</v>
      </c>
      <c r="R10575" s="93" t="str">
        <f>VLOOKUP(E10575,DATABASE!C:Q,11,false)</f>
        <v>#N/A</v>
      </c>
    </row>
    <row r="10576" ht="22.5" customHeight="1">
      <c r="A10576" s="49"/>
      <c r="C10576" s="400"/>
      <c r="D10576" s="524"/>
      <c r="E10576" s="544"/>
      <c r="F10576" s="387"/>
      <c r="G10576" s="140"/>
      <c r="H10576" s="74"/>
      <c r="I10576" s="74">
        <f t="shared" si="7"/>
        <v>0</v>
      </c>
      <c r="J10576" s="74" t="str">
        <f>IF(E10576="SERVICE",I10576-(I10576*50%),Vlookup(E10576,DATABASE!C:Q,10,false)*F10576)</f>
        <v>#N/A</v>
      </c>
      <c r="K10576" s="74" t="str">
        <f>VLOOKUP(E10576,DATABASE!C:Q,7,false)</f>
        <v>#N/A</v>
      </c>
      <c r="L10576" s="74"/>
      <c r="M10576" s="74">
        <f t="shared" si="6"/>
        <v>0</v>
      </c>
      <c r="N10576" s="74" t="str">
        <f t="shared" si="9"/>
        <v>#N/A</v>
      </c>
      <c r="O10576" s="65" t="str">
        <f>VLOOKUP(E10576,DATABASE!C:Q,8,false)</f>
        <v>#N/A</v>
      </c>
      <c r="P10576" s="65" t="str">
        <f>VLOOKUP(E10576,DATABASE!C:Q,9,False)</f>
        <v>#N/A</v>
      </c>
      <c r="Q10576" s="93" t="str">
        <f>VLOOKUP(E10576,DATABASE!C:Q,4,false)</f>
        <v>#N/A</v>
      </c>
      <c r="R10576" s="93" t="str">
        <f>VLOOKUP(E10576,DATABASE!C:Q,11,false)</f>
        <v>#N/A</v>
      </c>
    </row>
    <row r="10577" ht="22.5" customHeight="1">
      <c r="A10577" s="49"/>
      <c r="C10577" s="400"/>
      <c r="D10577" s="524"/>
      <c r="E10577" s="544"/>
      <c r="F10577" s="387"/>
      <c r="G10577" s="140"/>
      <c r="H10577" s="74"/>
      <c r="I10577" s="74">
        <f t="shared" si="7"/>
        <v>0</v>
      </c>
      <c r="J10577" s="74" t="str">
        <f>IF(E10577="SERVICE",I10577-(I10577*50%),Vlookup(E10577,DATABASE!C:Q,10,false)*F10577)</f>
        <v>#N/A</v>
      </c>
      <c r="K10577" s="74" t="str">
        <f>VLOOKUP(E10577,DATABASE!C:Q,7,false)</f>
        <v>#N/A</v>
      </c>
      <c r="L10577" s="74"/>
      <c r="M10577" s="74">
        <f t="shared" si="6"/>
        <v>0</v>
      </c>
      <c r="N10577" s="74" t="str">
        <f t="shared" si="9"/>
        <v>#N/A</v>
      </c>
      <c r="O10577" s="65" t="str">
        <f>VLOOKUP(E10577,DATABASE!C:Q,8,false)</f>
        <v>#N/A</v>
      </c>
      <c r="P10577" s="65" t="str">
        <f>VLOOKUP(E10577,DATABASE!C:Q,9,False)</f>
        <v>#N/A</v>
      </c>
      <c r="Q10577" s="93" t="str">
        <f>VLOOKUP(E10577,DATABASE!C:Q,4,false)</f>
        <v>#N/A</v>
      </c>
      <c r="R10577" s="93" t="str">
        <f>VLOOKUP(E10577,DATABASE!C:Q,11,false)</f>
        <v>#N/A</v>
      </c>
    </row>
    <row r="10578" ht="22.5" customHeight="1">
      <c r="A10578" s="49"/>
      <c r="C10578" s="400"/>
      <c r="D10578" s="524"/>
      <c r="E10578" s="544"/>
      <c r="F10578" s="387"/>
      <c r="G10578" s="140"/>
      <c r="H10578" s="74"/>
      <c r="I10578" s="74">
        <f t="shared" si="7"/>
        <v>0</v>
      </c>
      <c r="J10578" s="74" t="str">
        <f>IF(E10578="SERVICE",I10578-(I10578*50%),Vlookup(E10578,DATABASE!C:Q,10,false)*F10578)</f>
        <v>#N/A</v>
      </c>
      <c r="K10578" s="74" t="str">
        <f>VLOOKUP(E10578,DATABASE!C:Q,7,false)</f>
        <v>#N/A</v>
      </c>
      <c r="L10578" s="74"/>
      <c r="M10578" s="74">
        <f t="shared" si="6"/>
        <v>0</v>
      </c>
      <c r="N10578" s="74" t="str">
        <f t="shared" si="9"/>
        <v>#N/A</v>
      </c>
      <c r="O10578" s="65" t="str">
        <f>VLOOKUP(E10578,DATABASE!C:Q,8,false)</f>
        <v>#N/A</v>
      </c>
      <c r="P10578" s="65" t="str">
        <f>VLOOKUP(E10578,DATABASE!C:Q,9,False)</f>
        <v>#N/A</v>
      </c>
      <c r="Q10578" s="93" t="str">
        <f>VLOOKUP(E10578,DATABASE!C:Q,4,false)</f>
        <v>#N/A</v>
      </c>
      <c r="R10578" s="93" t="str">
        <f>VLOOKUP(E10578,DATABASE!C:Q,11,false)</f>
        <v>#N/A</v>
      </c>
    </row>
    <row r="10579" ht="22.5" customHeight="1">
      <c r="A10579" s="49"/>
      <c r="C10579" s="400"/>
      <c r="D10579" s="524"/>
      <c r="E10579" s="544"/>
      <c r="F10579" s="387"/>
      <c r="G10579" s="140"/>
      <c r="H10579" s="74"/>
      <c r="I10579" s="74">
        <f t="shared" si="7"/>
        <v>0</v>
      </c>
      <c r="J10579" s="74" t="str">
        <f>IF(E10579="SERVICE",I10579-(I10579*50%),Vlookup(E10579,DATABASE!C:Q,10,false)*F10579)</f>
        <v>#N/A</v>
      </c>
      <c r="K10579" s="74" t="str">
        <f>VLOOKUP(E10579,DATABASE!C:Q,7,false)</f>
        <v>#N/A</v>
      </c>
      <c r="L10579" s="74"/>
      <c r="M10579" s="74">
        <f t="shared" si="6"/>
        <v>0</v>
      </c>
      <c r="N10579" s="74" t="str">
        <f t="shared" si="9"/>
        <v>#N/A</v>
      </c>
      <c r="O10579" s="65" t="str">
        <f>VLOOKUP(E10579,DATABASE!C:Q,8,false)</f>
        <v>#N/A</v>
      </c>
      <c r="P10579" s="65" t="str">
        <f>VLOOKUP(E10579,DATABASE!C:Q,9,False)</f>
        <v>#N/A</v>
      </c>
      <c r="Q10579" s="93" t="str">
        <f>VLOOKUP(E10579,DATABASE!C:Q,4,false)</f>
        <v>#N/A</v>
      </c>
      <c r="R10579" s="93" t="str">
        <f>VLOOKUP(E10579,DATABASE!C:Q,11,false)</f>
        <v>#N/A</v>
      </c>
    </row>
    <row r="10580" ht="22.5" customHeight="1">
      <c r="A10580" s="49"/>
      <c r="C10580" s="400"/>
      <c r="D10580" s="524"/>
      <c r="E10580" s="544"/>
      <c r="F10580" s="387"/>
      <c r="G10580" s="140"/>
      <c r="H10580" s="74"/>
      <c r="I10580" s="74">
        <f t="shared" si="7"/>
        <v>0</v>
      </c>
      <c r="J10580" s="74" t="str">
        <f>IF(E10580="SERVICE",I10580-(I10580*50%),Vlookup(E10580,DATABASE!C:Q,10,false)*F10580)</f>
        <v>#N/A</v>
      </c>
      <c r="K10580" s="74" t="str">
        <f>VLOOKUP(E10580,DATABASE!C:Q,7,false)</f>
        <v>#N/A</v>
      </c>
      <c r="L10580" s="74"/>
      <c r="M10580" s="74">
        <f t="shared" si="6"/>
        <v>0</v>
      </c>
      <c r="N10580" s="74" t="str">
        <f t="shared" si="9"/>
        <v>#N/A</v>
      </c>
      <c r="O10580" s="65" t="str">
        <f>VLOOKUP(E10580,DATABASE!C:Q,8,false)</f>
        <v>#N/A</v>
      </c>
      <c r="P10580" s="65" t="str">
        <f>VLOOKUP(E10580,DATABASE!C:Q,9,False)</f>
        <v>#N/A</v>
      </c>
      <c r="Q10580" s="93" t="str">
        <f>VLOOKUP(E10580,DATABASE!C:Q,4,false)</f>
        <v>#N/A</v>
      </c>
      <c r="R10580" s="93" t="str">
        <f>VLOOKUP(E10580,DATABASE!C:Q,11,false)</f>
        <v>#N/A</v>
      </c>
    </row>
    <row r="10581" ht="22.5" customHeight="1">
      <c r="A10581" s="49"/>
      <c r="C10581" s="400"/>
      <c r="D10581" s="524"/>
      <c r="E10581" s="544"/>
      <c r="F10581" s="387"/>
      <c r="G10581" s="140"/>
      <c r="H10581" s="74"/>
      <c r="I10581" s="74">
        <f t="shared" si="7"/>
        <v>0</v>
      </c>
      <c r="J10581" s="74" t="str">
        <f>IF(E10581="SERVICE",I10581-(I10581*50%),Vlookup(E10581,DATABASE!C:Q,10,false)*F10581)</f>
        <v>#N/A</v>
      </c>
      <c r="K10581" s="74" t="str">
        <f>VLOOKUP(E10581,DATABASE!C:Q,7,false)</f>
        <v>#N/A</v>
      </c>
      <c r="L10581" s="74"/>
      <c r="M10581" s="74">
        <f t="shared" si="6"/>
        <v>0</v>
      </c>
      <c r="N10581" s="74" t="str">
        <f t="shared" si="9"/>
        <v>#N/A</v>
      </c>
      <c r="O10581" s="65" t="str">
        <f>VLOOKUP(E10581,DATABASE!C:Q,8,false)</f>
        <v>#N/A</v>
      </c>
      <c r="P10581" s="65" t="str">
        <f>VLOOKUP(E10581,DATABASE!C:Q,9,False)</f>
        <v>#N/A</v>
      </c>
      <c r="Q10581" s="93" t="str">
        <f>VLOOKUP(E10581,DATABASE!C:Q,4,false)</f>
        <v>#N/A</v>
      </c>
      <c r="R10581" s="93" t="str">
        <f>VLOOKUP(E10581,DATABASE!C:Q,11,false)</f>
        <v>#N/A</v>
      </c>
    </row>
    <row r="10582" ht="22.5" customHeight="1">
      <c r="A10582" s="49"/>
      <c r="C10582" s="400"/>
      <c r="D10582" s="524"/>
      <c r="E10582" s="544"/>
      <c r="F10582" s="387"/>
      <c r="G10582" s="140"/>
      <c r="H10582" s="74"/>
      <c r="I10582" s="74">
        <f t="shared" si="7"/>
        <v>0</v>
      </c>
      <c r="J10582" s="74" t="str">
        <f>IF(E10582="SERVICE",I10582-(I10582*50%),Vlookup(E10582,DATABASE!C:Q,10,false)*F10582)</f>
        <v>#N/A</v>
      </c>
      <c r="K10582" s="74" t="str">
        <f>VLOOKUP(E10582,DATABASE!C:Q,7,false)</f>
        <v>#N/A</v>
      </c>
      <c r="L10582" s="74"/>
      <c r="M10582" s="74">
        <f t="shared" si="6"/>
        <v>0</v>
      </c>
      <c r="N10582" s="74" t="str">
        <f t="shared" si="9"/>
        <v>#N/A</v>
      </c>
      <c r="O10582" s="65" t="str">
        <f>VLOOKUP(E10582,DATABASE!C:Q,8,false)</f>
        <v>#N/A</v>
      </c>
      <c r="P10582" s="65" t="str">
        <f>VLOOKUP(E10582,DATABASE!C:Q,9,False)</f>
        <v>#N/A</v>
      </c>
      <c r="Q10582" s="93" t="str">
        <f>VLOOKUP(E10582,DATABASE!C:Q,4,false)</f>
        <v>#N/A</v>
      </c>
      <c r="R10582" s="93" t="str">
        <f>VLOOKUP(E10582,DATABASE!C:Q,11,false)</f>
        <v>#N/A</v>
      </c>
    </row>
    <row r="10583" ht="22.5" customHeight="1">
      <c r="A10583" s="49"/>
      <c r="C10583" s="400"/>
      <c r="D10583" s="524"/>
      <c r="E10583" s="544"/>
      <c r="F10583" s="387"/>
      <c r="G10583" s="140"/>
      <c r="H10583" s="74"/>
      <c r="I10583" s="74">
        <f t="shared" si="7"/>
        <v>0</v>
      </c>
      <c r="J10583" s="74" t="str">
        <f>IF(E10583="SERVICE",I10583-(I10583*50%),Vlookup(E10583,DATABASE!C:Q,10,false)*F10583)</f>
        <v>#N/A</v>
      </c>
      <c r="K10583" s="74" t="str">
        <f>VLOOKUP(E10583,DATABASE!C:Q,7,false)</f>
        <v>#N/A</v>
      </c>
      <c r="L10583" s="74"/>
      <c r="M10583" s="74">
        <f t="shared" si="6"/>
        <v>0</v>
      </c>
      <c r="N10583" s="74" t="str">
        <f t="shared" si="9"/>
        <v>#N/A</v>
      </c>
      <c r="O10583" s="65" t="str">
        <f>VLOOKUP(E10583,DATABASE!C:Q,8,false)</f>
        <v>#N/A</v>
      </c>
      <c r="P10583" s="65" t="str">
        <f>VLOOKUP(E10583,DATABASE!C:Q,9,False)</f>
        <v>#N/A</v>
      </c>
      <c r="Q10583" s="93" t="str">
        <f>VLOOKUP(E10583,DATABASE!C:Q,4,false)</f>
        <v>#N/A</v>
      </c>
      <c r="R10583" s="93" t="str">
        <f>VLOOKUP(E10583,DATABASE!C:Q,11,false)</f>
        <v>#N/A</v>
      </c>
    </row>
    <row r="10584" ht="22.5" customHeight="1">
      <c r="A10584" s="49"/>
      <c r="C10584" s="400"/>
      <c r="D10584" s="524"/>
      <c r="E10584" s="544"/>
      <c r="F10584" s="387"/>
      <c r="G10584" s="140"/>
      <c r="H10584" s="74"/>
      <c r="I10584" s="74">
        <f t="shared" si="7"/>
        <v>0</v>
      </c>
      <c r="J10584" s="74" t="str">
        <f>IF(E10584="SERVICE",I10584-(I10584*50%),Vlookup(E10584,DATABASE!C:Q,10,false)*F10584)</f>
        <v>#N/A</v>
      </c>
      <c r="K10584" s="74" t="str">
        <f>VLOOKUP(E10584,DATABASE!C:Q,7,false)</f>
        <v>#N/A</v>
      </c>
      <c r="L10584" s="74"/>
      <c r="M10584" s="74">
        <f t="shared" si="6"/>
        <v>0</v>
      </c>
      <c r="N10584" s="74" t="str">
        <f t="shared" si="9"/>
        <v>#N/A</v>
      </c>
      <c r="O10584" s="65" t="str">
        <f>VLOOKUP(E10584,DATABASE!C:Q,8,false)</f>
        <v>#N/A</v>
      </c>
      <c r="P10584" s="65" t="str">
        <f>VLOOKUP(E10584,DATABASE!C:Q,9,False)</f>
        <v>#N/A</v>
      </c>
      <c r="Q10584" s="93" t="str">
        <f>VLOOKUP(E10584,DATABASE!C:Q,4,false)</f>
        <v>#N/A</v>
      </c>
      <c r="R10584" s="93" t="str">
        <f>VLOOKUP(E10584,DATABASE!C:Q,11,false)</f>
        <v>#N/A</v>
      </c>
    </row>
    <row r="10585" ht="22.5" customHeight="1">
      <c r="A10585" s="49"/>
      <c r="C10585" s="400"/>
      <c r="D10585" s="524"/>
      <c r="E10585" s="544"/>
      <c r="F10585" s="387"/>
      <c r="G10585" s="140"/>
      <c r="H10585" s="74"/>
      <c r="I10585" s="74">
        <f t="shared" si="7"/>
        <v>0</v>
      </c>
      <c r="J10585" s="74" t="str">
        <f>IF(E10585="SERVICE",I10585-(I10585*50%),Vlookup(E10585,DATABASE!C:Q,10,false)*F10585)</f>
        <v>#N/A</v>
      </c>
      <c r="K10585" s="74" t="str">
        <f>VLOOKUP(E10585,DATABASE!C:Q,7,false)</f>
        <v>#N/A</v>
      </c>
      <c r="L10585" s="74"/>
      <c r="M10585" s="74">
        <f t="shared" si="6"/>
        <v>0</v>
      </c>
      <c r="N10585" s="74" t="str">
        <f t="shared" si="9"/>
        <v>#N/A</v>
      </c>
      <c r="O10585" s="65" t="str">
        <f>VLOOKUP(E10585,DATABASE!C:Q,8,false)</f>
        <v>#N/A</v>
      </c>
      <c r="P10585" s="65" t="str">
        <f>VLOOKUP(E10585,DATABASE!C:Q,9,False)</f>
        <v>#N/A</v>
      </c>
      <c r="Q10585" s="93" t="str">
        <f>VLOOKUP(E10585,DATABASE!C:Q,4,false)</f>
        <v>#N/A</v>
      </c>
      <c r="R10585" s="93" t="str">
        <f>VLOOKUP(E10585,DATABASE!C:Q,11,false)</f>
        <v>#N/A</v>
      </c>
    </row>
    <row r="10586" ht="22.5" customHeight="1">
      <c r="A10586" s="49"/>
      <c r="C10586" s="400"/>
      <c r="D10586" s="524"/>
      <c r="E10586" s="544"/>
      <c r="F10586" s="387"/>
      <c r="G10586" s="140"/>
      <c r="H10586" s="74"/>
      <c r="I10586" s="74">
        <f t="shared" si="7"/>
        <v>0</v>
      </c>
      <c r="J10586" s="74" t="str">
        <f>IF(E10586="SERVICE",I10586-(I10586*50%),Vlookup(E10586,DATABASE!C:Q,10,false)*F10586)</f>
        <v>#N/A</v>
      </c>
      <c r="K10586" s="74" t="str">
        <f>VLOOKUP(E10586,DATABASE!C:Q,7,false)</f>
        <v>#N/A</v>
      </c>
      <c r="L10586" s="74"/>
      <c r="M10586" s="74">
        <f t="shared" si="6"/>
        <v>0</v>
      </c>
      <c r="N10586" s="74" t="str">
        <f t="shared" si="9"/>
        <v>#N/A</v>
      </c>
      <c r="O10586" s="65" t="str">
        <f>VLOOKUP(E10586,DATABASE!C:Q,8,false)</f>
        <v>#N/A</v>
      </c>
      <c r="P10586" s="65" t="str">
        <f>VLOOKUP(E10586,DATABASE!C:Q,9,False)</f>
        <v>#N/A</v>
      </c>
      <c r="Q10586" s="93" t="str">
        <f>VLOOKUP(E10586,DATABASE!C:Q,4,false)</f>
        <v>#N/A</v>
      </c>
      <c r="R10586" s="93" t="str">
        <f>VLOOKUP(E10586,DATABASE!C:Q,11,false)</f>
        <v>#N/A</v>
      </c>
    </row>
    <row r="10587" ht="22.5" customHeight="1">
      <c r="A10587" s="49"/>
      <c r="C10587" s="400"/>
      <c r="D10587" s="524"/>
      <c r="E10587" s="544"/>
      <c r="F10587" s="387"/>
      <c r="G10587" s="140"/>
      <c r="H10587" s="74"/>
      <c r="I10587" s="74">
        <f t="shared" si="7"/>
        <v>0</v>
      </c>
      <c r="J10587" s="74" t="str">
        <f>IF(E10587="SERVICE",I10587-(I10587*50%),Vlookup(E10587,DATABASE!C:Q,10,false)*F10587)</f>
        <v>#N/A</v>
      </c>
      <c r="K10587" s="74" t="str">
        <f>VLOOKUP(E10587,DATABASE!C:Q,7,false)</f>
        <v>#N/A</v>
      </c>
      <c r="L10587" s="74"/>
      <c r="M10587" s="74">
        <f t="shared" si="6"/>
        <v>0</v>
      </c>
      <c r="N10587" s="74" t="str">
        <f t="shared" si="9"/>
        <v>#N/A</v>
      </c>
      <c r="O10587" s="65" t="str">
        <f>VLOOKUP(E10587,DATABASE!C:Q,8,false)</f>
        <v>#N/A</v>
      </c>
      <c r="P10587" s="65" t="str">
        <f>VLOOKUP(E10587,DATABASE!C:Q,9,False)</f>
        <v>#N/A</v>
      </c>
      <c r="Q10587" s="93" t="str">
        <f>VLOOKUP(E10587,DATABASE!C:Q,4,false)</f>
        <v>#N/A</v>
      </c>
      <c r="R10587" s="93" t="str">
        <f>VLOOKUP(E10587,DATABASE!C:Q,11,false)</f>
        <v>#N/A</v>
      </c>
    </row>
    <row r="10588" ht="22.5" customHeight="1">
      <c r="A10588" s="49"/>
      <c r="C10588" s="400"/>
      <c r="D10588" s="524"/>
      <c r="E10588" s="544"/>
      <c r="F10588" s="387"/>
      <c r="G10588" s="140"/>
      <c r="H10588" s="74"/>
      <c r="I10588" s="74">
        <f t="shared" si="7"/>
        <v>0</v>
      </c>
      <c r="J10588" s="74" t="str">
        <f>IF(E10588="SERVICE",I10588-(I10588*50%),Vlookup(E10588,DATABASE!C:Q,10,false)*F10588)</f>
        <v>#N/A</v>
      </c>
      <c r="K10588" s="74" t="str">
        <f>VLOOKUP(E10588,DATABASE!C:Q,7,false)</f>
        <v>#N/A</v>
      </c>
      <c r="L10588" s="74"/>
      <c r="M10588" s="74">
        <f t="shared" si="6"/>
        <v>0</v>
      </c>
      <c r="N10588" s="74" t="str">
        <f t="shared" si="9"/>
        <v>#N/A</v>
      </c>
      <c r="O10588" s="65" t="str">
        <f>VLOOKUP(E10588,DATABASE!C:Q,8,false)</f>
        <v>#N/A</v>
      </c>
      <c r="P10588" s="65" t="str">
        <f>VLOOKUP(E10588,DATABASE!C:Q,9,False)</f>
        <v>#N/A</v>
      </c>
      <c r="Q10588" s="93" t="str">
        <f>VLOOKUP(E10588,DATABASE!C:Q,4,false)</f>
        <v>#N/A</v>
      </c>
      <c r="R10588" s="93" t="str">
        <f>VLOOKUP(E10588,DATABASE!C:Q,11,false)</f>
        <v>#N/A</v>
      </c>
    </row>
    <row r="10589" ht="22.5" customHeight="1">
      <c r="A10589" s="49"/>
      <c r="C10589" s="400"/>
      <c r="D10589" s="524"/>
      <c r="E10589" s="544"/>
      <c r="F10589" s="387"/>
      <c r="G10589" s="140"/>
      <c r="H10589" s="74"/>
      <c r="I10589" s="74">
        <f t="shared" si="7"/>
        <v>0</v>
      </c>
      <c r="J10589" s="74" t="str">
        <f>IF(E10589="SERVICE",I10589-(I10589*50%),Vlookup(E10589,DATABASE!C:Q,10,false)*F10589)</f>
        <v>#N/A</v>
      </c>
      <c r="K10589" s="74" t="str">
        <f>VLOOKUP(E10589,DATABASE!C:Q,7,false)</f>
        <v>#N/A</v>
      </c>
      <c r="L10589" s="74"/>
      <c r="M10589" s="74">
        <f t="shared" si="6"/>
        <v>0</v>
      </c>
      <c r="N10589" s="74" t="str">
        <f t="shared" si="9"/>
        <v>#N/A</v>
      </c>
      <c r="O10589" s="65" t="str">
        <f>VLOOKUP(E10589,DATABASE!C:Q,8,false)</f>
        <v>#N/A</v>
      </c>
      <c r="P10589" s="65" t="str">
        <f>VLOOKUP(E10589,DATABASE!C:Q,9,False)</f>
        <v>#N/A</v>
      </c>
      <c r="Q10589" s="93" t="str">
        <f>VLOOKUP(E10589,DATABASE!C:Q,4,false)</f>
        <v>#N/A</v>
      </c>
      <c r="R10589" s="93" t="str">
        <f>VLOOKUP(E10589,DATABASE!C:Q,11,false)</f>
        <v>#N/A</v>
      </c>
    </row>
    <row r="10590" ht="22.5" customHeight="1">
      <c r="A10590" s="49"/>
      <c r="C10590" s="400"/>
      <c r="D10590" s="524"/>
      <c r="E10590" s="544"/>
      <c r="F10590" s="387"/>
      <c r="G10590" s="140"/>
      <c r="H10590" s="74"/>
      <c r="I10590" s="74">
        <f t="shared" si="7"/>
        <v>0</v>
      </c>
      <c r="J10590" s="74" t="str">
        <f>IF(E10590="SERVICE",I10590-(I10590*50%),Vlookup(E10590,DATABASE!C:Q,10,false)*F10590)</f>
        <v>#N/A</v>
      </c>
      <c r="K10590" s="74" t="str">
        <f>VLOOKUP(E10590,DATABASE!C:Q,7,false)</f>
        <v>#N/A</v>
      </c>
      <c r="L10590" s="74"/>
      <c r="M10590" s="74">
        <f t="shared" si="6"/>
        <v>0</v>
      </c>
      <c r="N10590" s="74" t="str">
        <f t="shared" si="9"/>
        <v>#N/A</v>
      </c>
      <c r="O10590" s="65" t="str">
        <f>VLOOKUP(E10590,DATABASE!C:Q,8,false)</f>
        <v>#N/A</v>
      </c>
      <c r="P10590" s="65" t="str">
        <f>VLOOKUP(E10590,DATABASE!C:Q,9,False)</f>
        <v>#N/A</v>
      </c>
      <c r="Q10590" s="93" t="str">
        <f>VLOOKUP(E10590,DATABASE!C:Q,4,false)</f>
        <v>#N/A</v>
      </c>
      <c r="R10590" s="93" t="str">
        <f>VLOOKUP(E10590,DATABASE!C:Q,11,false)</f>
        <v>#N/A</v>
      </c>
    </row>
    <row r="10591" ht="22.5" customHeight="1">
      <c r="A10591" s="49"/>
      <c r="C10591" s="400"/>
      <c r="D10591" s="524"/>
      <c r="E10591" s="544"/>
      <c r="F10591" s="387"/>
      <c r="G10591" s="140"/>
      <c r="H10591" s="74"/>
      <c r="I10591" s="74">
        <f t="shared" si="7"/>
        <v>0</v>
      </c>
      <c r="J10591" s="74" t="str">
        <f>IF(E10591="SERVICE",I10591-(I10591*50%),Vlookup(E10591,DATABASE!C:Q,10,false)*F10591)</f>
        <v>#N/A</v>
      </c>
      <c r="K10591" s="74" t="str">
        <f>VLOOKUP(E10591,DATABASE!C:Q,7,false)</f>
        <v>#N/A</v>
      </c>
      <c r="L10591" s="74"/>
      <c r="M10591" s="74">
        <f t="shared" si="6"/>
        <v>0</v>
      </c>
      <c r="N10591" s="74" t="str">
        <f t="shared" si="9"/>
        <v>#N/A</v>
      </c>
      <c r="O10591" s="65" t="str">
        <f>VLOOKUP(E10591,DATABASE!C:Q,8,false)</f>
        <v>#N/A</v>
      </c>
      <c r="P10591" s="65" t="str">
        <f>VLOOKUP(E10591,DATABASE!C:Q,9,False)</f>
        <v>#N/A</v>
      </c>
      <c r="Q10591" s="93" t="str">
        <f>VLOOKUP(E10591,DATABASE!C:Q,4,false)</f>
        <v>#N/A</v>
      </c>
      <c r="R10591" s="93" t="str">
        <f>VLOOKUP(E10591,DATABASE!C:Q,11,false)</f>
        <v>#N/A</v>
      </c>
    </row>
    <row r="10592" ht="22.5" customHeight="1">
      <c r="A10592" s="49"/>
      <c r="C10592" s="400"/>
      <c r="D10592" s="524"/>
      <c r="E10592" s="544"/>
      <c r="F10592" s="387"/>
      <c r="G10592" s="140"/>
      <c r="H10592" s="74"/>
      <c r="I10592" s="74">
        <f t="shared" si="7"/>
        <v>0</v>
      </c>
      <c r="J10592" s="74" t="str">
        <f>IF(E10592="SERVICE",I10592-(I10592*50%),Vlookup(E10592,DATABASE!C:Q,10,false)*F10592)</f>
        <v>#N/A</v>
      </c>
      <c r="K10592" s="74" t="str">
        <f>VLOOKUP(E10592,DATABASE!C:Q,7,false)</f>
        <v>#N/A</v>
      </c>
      <c r="L10592" s="74"/>
      <c r="M10592" s="74">
        <f t="shared" si="6"/>
        <v>0</v>
      </c>
      <c r="N10592" s="74" t="str">
        <f t="shared" si="9"/>
        <v>#N/A</v>
      </c>
      <c r="O10592" s="65" t="str">
        <f>VLOOKUP(E10592,DATABASE!C:Q,8,false)</f>
        <v>#N/A</v>
      </c>
      <c r="P10592" s="65" t="str">
        <f>VLOOKUP(E10592,DATABASE!C:Q,9,False)</f>
        <v>#N/A</v>
      </c>
      <c r="Q10592" s="93" t="str">
        <f>VLOOKUP(E10592,DATABASE!C:Q,4,false)</f>
        <v>#N/A</v>
      </c>
      <c r="R10592" s="93" t="str">
        <f>VLOOKUP(E10592,DATABASE!C:Q,11,false)</f>
        <v>#N/A</v>
      </c>
    </row>
    <row r="10593" ht="22.5" customHeight="1">
      <c r="A10593" s="49"/>
      <c r="C10593" s="400"/>
      <c r="D10593" s="524"/>
      <c r="E10593" s="544"/>
      <c r="F10593" s="387"/>
      <c r="G10593" s="140"/>
      <c r="H10593" s="74"/>
      <c r="I10593" s="74">
        <f t="shared" si="7"/>
        <v>0</v>
      </c>
      <c r="J10593" s="74" t="str">
        <f>IF(E10593="SERVICE",I10593-(I10593*50%),Vlookup(E10593,DATABASE!C:Q,10,false)*F10593)</f>
        <v>#N/A</v>
      </c>
      <c r="K10593" s="74" t="str">
        <f>VLOOKUP(E10593,DATABASE!C:Q,7,false)</f>
        <v>#N/A</v>
      </c>
      <c r="L10593" s="74"/>
      <c r="M10593" s="74">
        <f t="shared" si="6"/>
        <v>0</v>
      </c>
      <c r="N10593" s="74" t="str">
        <f t="shared" si="9"/>
        <v>#N/A</v>
      </c>
      <c r="O10593" s="65" t="str">
        <f>VLOOKUP(E10593,DATABASE!C:Q,8,false)</f>
        <v>#N/A</v>
      </c>
      <c r="P10593" s="65" t="str">
        <f>VLOOKUP(E10593,DATABASE!C:Q,9,False)</f>
        <v>#N/A</v>
      </c>
      <c r="Q10593" s="93" t="str">
        <f>VLOOKUP(E10593,DATABASE!C:Q,4,false)</f>
        <v>#N/A</v>
      </c>
      <c r="R10593" s="93" t="str">
        <f>VLOOKUP(E10593,DATABASE!C:Q,11,false)</f>
        <v>#N/A</v>
      </c>
    </row>
    <row r="10594" ht="22.5" customHeight="1">
      <c r="A10594" s="49"/>
      <c r="C10594" s="400"/>
      <c r="D10594" s="524"/>
      <c r="E10594" s="544"/>
      <c r="F10594" s="387"/>
      <c r="G10594" s="140"/>
      <c r="H10594" s="74"/>
      <c r="I10594" s="74">
        <f t="shared" si="7"/>
        <v>0</v>
      </c>
      <c r="J10594" s="74" t="str">
        <f>IF(E10594="SERVICE",I10594-(I10594*50%),Vlookup(E10594,DATABASE!C:Q,10,false)*F10594)</f>
        <v>#N/A</v>
      </c>
      <c r="K10594" s="74" t="str">
        <f>VLOOKUP(E10594,DATABASE!C:Q,7,false)</f>
        <v>#N/A</v>
      </c>
      <c r="L10594" s="74"/>
      <c r="M10594" s="74">
        <f t="shared" si="6"/>
        <v>0</v>
      </c>
      <c r="N10594" s="74" t="str">
        <f t="shared" si="9"/>
        <v>#N/A</v>
      </c>
      <c r="O10594" s="65" t="str">
        <f>VLOOKUP(E10594,DATABASE!C:Q,8,false)</f>
        <v>#N/A</v>
      </c>
      <c r="P10594" s="65" t="str">
        <f>VLOOKUP(E10594,DATABASE!C:Q,9,False)</f>
        <v>#N/A</v>
      </c>
      <c r="Q10594" s="93" t="str">
        <f>VLOOKUP(E10594,DATABASE!C:Q,4,false)</f>
        <v>#N/A</v>
      </c>
      <c r="R10594" s="93" t="str">
        <f>VLOOKUP(E10594,DATABASE!C:Q,11,false)</f>
        <v>#N/A</v>
      </c>
    </row>
    <row r="10595" ht="22.5" customHeight="1">
      <c r="A10595" s="49"/>
      <c r="C10595" s="400"/>
      <c r="D10595" s="524"/>
      <c r="E10595" s="544"/>
      <c r="F10595" s="387"/>
      <c r="G10595" s="140"/>
      <c r="H10595" s="74"/>
      <c r="I10595" s="74">
        <f t="shared" si="7"/>
        <v>0</v>
      </c>
      <c r="J10595" s="74" t="str">
        <f>IF(E10595="SERVICE",I10595-(I10595*50%),Vlookup(E10595,DATABASE!C:Q,10,false)*F10595)</f>
        <v>#N/A</v>
      </c>
      <c r="K10595" s="74" t="str">
        <f>VLOOKUP(E10595,DATABASE!C:Q,7,false)</f>
        <v>#N/A</v>
      </c>
      <c r="L10595" s="74"/>
      <c r="M10595" s="74">
        <f t="shared" si="6"/>
        <v>0</v>
      </c>
      <c r="N10595" s="74" t="str">
        <f t="shared" si="9"/>
        <v>#N/A</v>
      </c>
      <c r="O10595" s="65" t="str">
        <f>VLOOKUP(E10595,DATABASE!C:Q,8,false)</f>
        <v>#N/A</v>
      </c>
      <c r="P10595" s="65" t="str">
        <f>VLOOKUP(E10595,DATABASE!C:Q,9,False)</f>
        <v>#N/A</v>
      </c>
      <c r="Q10595" s="93" t="str">
        <f>VLOOKUP(E10595,DATABASE!C:Q,4,false)</f>
        <v>#N/A</v>
      </c>
      <c r="R10595" s="93" t="str">
        <f>VLOOKUP(E10595,DATABASE!C:Q,11,false)</f>
        <v>#N/A</v>
      </c>
    </row>
    <row r="10596" ht="22.5" customHeight="1">
      <c r="A10596" s="49"/>
      <c r="C10596" s="400"/>
      <c r="D10596" s="524"/>
      <c r="E10596" s="544"/>
      <c r="F10596" s="387"/>
      <c r="G10596" s="140"/>
      <c r="H10596" s="74"/>
      <c r="I10596" s="74">
        <f t="shared" si="7"/>
        <v>0</v>
      </c>
      <c r="J10596" s="74" t="str">
        <f>IF(E10596="SERVICE",I10596-(I10596*50%),Vlookup(E10596,DATABASE!C:Q,10,false)*F10596)</f>
        <v>#N/A</v>
      </c>
      <c r="K10596" s="74" t="str">
        <f>VLOOKUP(E10596,DATABASE!C:Q,7,false)</f>
        <v>#N/A</v>
      </c>
      <c r="L10596" s="74"/>
      <c r="M10596" s="74">
        <f t="shared" si="6"/>
        <v>0</v>
      </c>
      <c r="N10596" s="74" t="str">
        <f t="shared" si="9"/>
        <v>#N/A</v>
      </c>
      <c r="O10596" s="65" t="str">
        <f>VLOOKUP(E10596,DATABASE!C:Q,8,false)</f>
        <v>#N/A</v>
      </c>
      <c r="P10596" s="65" t="str">
        <f>VLOOKUP(E10596,DATABASE!C:Q,9,False)</f>
        <v>#N/A</v>
      </c>
      <c r="Q10596" s="93" t="str">
        <f>VLOOKUP(E10596,DATABASE!C:Q,4,false)</f>
        <v>#N/A</v>
      </c>
      <c r="R10596" s="93" t="str">
        <f>VLOOKUP(E10596,DATABASE!C:Q,11,false)</f>
        <v>#N/A</v>
      </c>
    </row>
    <row r="10597" ht="22.5" customHeight="1">
      <c r="A10597" s="49"/>
      <c r="C10597" s="400"/>
      <c r="D10597" s="524"/>
      <c r="E10597" s="544"/>
      <c r="F10597" s="387"/>
      <c r="G10597" s="140"/>
      <c r="H10597" s="74"/>
      <c r="I10597" s="74">
        <f t="shared" si="7"/>
        <v>0</v>
      </c>
      <c r="J10597" s="74" t="str">
        <f>IF(E10597="SERVICE",I10597-(I10597*50%),Vlookup(E10597,DATABASE!C:Q,10,false)*F10597)</f>
        <v>#N/A</v>
      </c>
      <c r="K10597" s="74" t="str">
        <f>VLOOKUP(E10597,DATABASE!C:Q,7,false)</f>
        <v>#N/A</v>
      </c>
      <c r="L10597" s="74"/>
      <c r="M10597" s="74">
        <f t="shared" si="6"/>
        <v>0</v>
      </c>
      <c r="N10597" s="74" t="str">
        <f t="shared" si="9"/>
        <v>#N/A</v>
      </c>
      <c r="O10597" s="65" t="str">
        <f>VLOOKUP(E10597,DATABASE!C:Q,8,false)</f>
        <v>#N/A</v>
      </c>
      <c r="P10597" s="65" t="str">
        <f>VLOOKUP(E10597,DATABASE!C:Q,9,False)</f>
        <v>#N/A</v>
      </c>
      <c r="Q10597" s="93" t="str">
        <f>VLOOKUP(E10597,DATABASE!C:Q,4,false)</f>
        <v>#N/A</v>
      </c>
      <c r="R10597" s="93" t="str">
        <f>VLOOKUP(E10597,DATABASE!C:Q,11,false)</f>
        <v>#N/A</v>
      </c>
    </row>
    <row r="10598" ht="22.5" customHeight="1">
      <c r="A10598" s="49"/>
      <c r="C10598" s="400"/>
      <c r="D10598" s="524"/>
      <c r="E10598" s="544"/>
      <c r="F10598" s="387"/>
      <c r="G10598" s="140"/>
      <c r="H10598" s="74"/>
      <c r="I10598" s="74">
        <f t="shared" si="7"/>
        <v>0</v>
      </c>
      <c r="J10598" s="74" t="str">
        <f>IF(E10598="SERVICE",I10598-(I10598*50%),Vlookup(E10598,DATABASE!C:Q,10,false)*F10598)</f>
        <v>#N/A</v>
      </c>
      <c r="K10598" s="74" t="str">
        <f>VLOOKUP(E10598,DATABASE!C:Q,7,false)</f>
        <v>#N/A</v>
      </c>
      <c r="L10598" s="74"/>
      <c r="M10598" s="74">
        <f t="shared" si="6"/>
        <v>0</v>
      </c>
      <c r="N10598" s="74" t="str">
        <f t="shared" si="9"/>
        <v>#N/A</v>
      </c>
      <c r="O10598" s="65" t="str">
        <f>VLOOKUP(E10598,DATABASE!C:Q,8,false)</f>
        <v>#N/A</v>
      </c>
      <c r="P10598" s="65" t="str">
        <f>VLOOKUP(E10598,DATABASE!C:Q,9,False)</f>
        <v>#N/A</v>
      </c>
      <c r="Q10598" s="93" t="str">
        <f>VLOOKUP(E10598,DATABASE!C:Q,4,false)</f>
        <v>#N/A</v>
      </c>
      <c r="R10598" s="93" t="str">
        <f>VLOOKUP(E10598,DATABASE!C:Q,11,false)</f>
        <v>#N/A</v>
      </c>
    </row>
    <row r="10599" ht="22.5" customHeight="1">
      <c r="A10599" s="49"/>
      <c r="C10599" s="400"/>
      <c r="D10599" s="524"/>
      <c r="E10599" s="544"/>
      <c r="F10599" s="387"/>
      <c r="G10599" s="140"/>
      <c r="H10599" s="74"/>
      <c r="I10599" s="74">
        <f t="shared" si="7"/>
        <v>0</v>
      </c>
      <c r="J10599" s="74" t="str">
        <f>IF(E10599="SERVICE",I10599-(I10599*50%),Vlookup(E10599,DATABASE!C:Q,10,false)*F10599)</f>
        <v>#N/A</v>
      </c>
      <c r="K10599" s="74" t="str">
        <f>VLOOKUP(E10599,DATABASE!C:Q,7,false)</f>
        <v>#N/A</v>
      </c>
      <c r="L10599" s="74"/>
      <c r="M10599" s="74">
        <f t="shared" si="6"/>
        <v>0</v>
      </c>
      <c r="N10599" s="74" t="str">
        <f t="shared" si="9"/>
        <v>#N/A</v>
      </c>
      <c r="O10599" s="65" t="str">
        <f>VLOOKUP(E10599,DATABASE!C:Q,8,false)</f>
        <v>#N/A</v>
      </c>
      <c r="P10599" s="65" t="str">
        <f>VLOOKUP(E10599,DATABASE!C:Q,9,False)</f>
        <v>#N/A</v>
      </c>
      <c r="Q10599" s="93" t="str">
        <f>VLOOKUP(E10599,DATABASE!C:Q,4,false)</f>
        <v>#N/A</v>
      </c>
      <c r="R10599" s="93" t="str">
        <f>VLOOKUP(E10599,DATABASE!C:Q,11,false)</f>
        <v>#N/A</v>
      </c>
    </row>
    <row r="10600" ht="22.5" customHeight="1">
      <c r="A10600" s="49"/>
      <c r="C10600" s="400"/>
      <c r="D10600" s="524"/>
      <c r="E10600" s="544"/>
      <c r="F10600" s="387"/>
      <c r="G10600" s="140"/>
      <c r="H10600" s="74"/>
      <c r="I10600" s="74">
        <f t="shared" si="7"/>
        <v>0</v>
      </c>
      <c r="J10600" s="74" t="str">
        <f>IF(E10600="SERVICE",I10600-(I10600*50%),Vlookup(E10600,DATABASE!C:Q,10,false)*F10600)</f>
        <v>#N/A</v>
      </c>
      <c r="K10600" s="74" t="str">
        <f>VLOOKUP(E10600,DATABASE!C:Q,7,false)</f>
        <v>#N/A</v>
      </c>
      <c r="L10600" s="74"/>
      <c r="M10600" s="74">
        <f t="shared" si="6"/>
        <v>0</v>
      </c>
      <c r="N10600" s="74" t="str">
        <f t="shared" si="9"/>
        <v>#N/A</v>
      </c>
      <c r="O10600" s="65" t="str">
        <f>VLOOKUP(E10600,DATABASE!C:Q,8,false)</f>
        <v>#N/A</v>
      </c>
      <c r="P10600" s="65" t="str">
        <f>VLOOKUP(E10600,DATABASE!C:Q,9,False)</f>
        <v>#N/A</v>
      </c>
      <c r="Q10600" s="93" t="str">
        <f>VLOOKUP(E10600,DATABASE!C:Q,4,false)</f>
        <v>#N/A</v>
      </c>
      <c r="R10600" s="93" t="str">
        <f>VLOOKUP(E10600,DATABASE!C:Q,11,false)</f>
        <v>#N/A</v>
      </c>
    </row>
    <row r="10601" ht="22.5" customHeight="1">
      <c r="A10601" s="49"/>
      <c r="C10601" s="400"/>
      <c r="D10601" s="524"/>
      <c r="E10601" s="544"/>
      <c r="F10601" s="387"/>
      <c r="G10601" s="140"/>
      <c r="H10601" s="74"/>
      <c r="I10601" s="74">
        <f t="shared" si="7"/>
        <v>0</v>
      </c>
      <c r="J10601" s="74" t="str">
        <f>IF(E10601="SERVICE",I10601-(I10601*50%),Vlookup(E10601,DATABASE!C:Q,10,false)*F10601)</f>
        <v>#N/A</v>
      </c>
      <c r="K10601" s="74" t="str">
        <f>VLOOKUP(E10601,DATABASE!C:Q,7,false)</f>
        <v>#N/A</v>
      </c>
      <c r="L10601" s="74"/>
      <c r="M10601" s="74">
        <f t="shared" si="6"/>
        <v>0</v>
      </c>
      <c r="N10601" s="74" t="str">
        <f t="shared" si="9"/>
        <v>#N/A</v>
      </c>
      <c r="O10601" s="65" t="str">
        <f>VLOOKUP(E10601,DATABASE!C:Q,8,false)</f>
        <v>#N/A</v>
      </c>
      <c r="P10601" s="65" t="str">
        <f>VLOOKUP(E10601,DATABASE!C:Q,9,False)</f>
        <v>#N/A</v>
      </c>
      <c r="Q10601" s="93" t="str">
        <f>VLOOKUP(E10601,DATABASE!C:Q,4,false)</f>
        <v>#N/A</v>
      </c>
      <c r="R10601" s="93" t="str">
        <f>VLOOKUP(E10601,DATABASE!C:Q,11,false)</f>
        <v>#N/A</v>
      </c>
    </row>
    <row r="10602" ht="22.5" customHeight="1">
      <c r="A10602" s="49"/>
      <c r="C10602" s="400"/>
      <c r="D10602" s="524"/>
      <c r="E10602" s="544"/>
      <c r="F10602" s="387"/>
      <c r="G10602" s="140"/>
      <c r="H10602" s="74"/>
      <c r="I10602" s="74">
        <f t="shared" si="7"/>
        <v>0</v>
      </c>
      <c r="J10602" s="74" t="str">
        <f>IF(E10602="SERVICE",I10602-(I10602*50%),Vlookup(E10602,DATABASE!C:Q,10,false)*F10602)</f>
        <v>#N/A</v>
      </c>
      <c r="K10602" s="74" t="str">
        <f>VLOOKUP(E10602,DATABASE!C:Q,7,false)</f>
        <v>#N/A</v>
      </c>
      <c r="L10602" s="74"/>
      <c r="M10602" s="74">
        <f t="shared" si="6"/>
        <v>0</v>
      </c>
      <c r="N10602" s="74" t="str">
        <f t="shared" si="9"/>
        <v>#N/A</v>
      </c>
      <c r="O10602" s="65" t="str">
        <f>VLOOKUP(E10602,DATABASE!C:Q,8,false)</f>
        <v>#N/A</v>
      </c>
      <c r="P10602" s="65" t="str">
        <f>VLOOKUP(E10602,DATABASE!C:Q,9,False)</f>
        <v>#N/A</v>
      </c>
      <c r="Q10602" s="93" t="str">
        <f>VLOOKUP(E10602,DATABASE!C:Q,4,false)</f>
        <v>#N/A</v>
      </c>
      <c r="R10602" s="93" t="str">
        <f>VLOOKUP(E10602,DATABASE!C:Q,11,false)</f>
        <v>#N/A</v>
      </c>
    </row>
    <row r="10603" ht="22.5" customHeight="1">
      <c r="A10603" s="49"/>
      <c r="C10603" s="400"/>
      <c r="D10603" s="524"/>
      <c r="E10603" s="544"/>
      <c r="F10603" s="387"/>
      <c r="G10603" s="140"/>
      <c r="H10603" s="74"/>
      <c r="I10603" s="74">
        <f t="shared" si="7"/>
        <v>0</v>
      </c>
      <c r="J10603" s="74" t="str">
        <f>IF(E10603="SERVICE",I10603-(I10603*50%),Vlookup(E10603,DATABASE!C:Q,10,false)*F10603)</f>
        <v>#N/A</v>
      </c>
      <c r="K10603" s="74" t="str">
        <f>VLOOKUP(E10603,DATABASE!C:Q,7,false)</f>
        <v>#N/A</v>
      </c>
      <c r="L10603" s="74"/>
      <c r="M10603" s="74">
        <f t="shared" si="6"/>
        <v>0</v>
      </c>
      <c r="N10603" s="74" t="str">
        <f t="shared" si="9"/>
        <v>#N/A</v>
      </c>
      <c r="O10603" s="65" t="str">
        <f>VLOOKUP(E10603,DATABASE!C:Q,8,false)</f>
        <v>#N/A</v>
      </c>
      <c r="P10603" s="65" t="str">
        <f>VLOOKUP(E10603,DATABASE!C:Q,9,False)</f>
        <v>#N/A</v>
      </c>
      <c r="Q10603" s="93" t="str">
        <f>VLOOKUP(E10603,DATABASE!C:Q,4,false)</f>
        <v>#N/A</v>
      </c>
      <c r="R10603" s="93" t="str">
        <f>VLOOKUP(E10603,DATABASE!C:Q,11,false)</f>
        <v>#N/A</v>
      </c>
    </row>
    <row r="10604" ht="22.5" customHeight="1">
      <c r="A10604" s="49"/>
      <c r="C10604" s="400"/>
      <c r="D10604" s="524"/>
      <c r="E10604" s="544"/>
      <c r="F10604" s="387"/>
      <c r="G10604" s="140"/>
      <c r="H10604" s="74"/>
      <c r="I10604" s="74">
        <f t="shared" si="7"/>
        <v>0</v>
      </c>
      <c r="J10604" s="74" t="str">
        <f>IF(E10604="SERVICE",I10604-(I10604*50%),Vlookup(E10604,DATABASE!C:Q,10,false)*F10604)</f>
        <v>#N/A</v>
      </c>
      <c r="K10604" s="74" t="str">
        <f>VLOOKUP(E10604,DATABASE!C:Q,7,false)</f>
        <v>#N/A</v>
      </c>
      <c r="L10604" s="74"/>
      <c r="M10604" s="74">
        <f t="shared" si="6"/>
        <v>0</v>
      </c>
      <c r="N10604" s="74" t="str">
        <f t="shared" si="9"/>
        <v>#N/A</v>
      </c>
      <c r="O10604" s="65" t="str">
        <f>VLOOKUP(E10604,DATABASE!C:Q,8,false)</f>
        <v>#N/A</v>
      </c>
      <c r="P10604" s="65" t="str">
        <f>VLOOKUP(E10604,DATABASE!C:Q,9,False)</f>
        <v>#N/A</v>
      </c>
      <c r="Q10604" s="93" t="str">
        <f>VLOOKUP(E10604,DATABASE!C:Q,4,false)</f>
        <v>#N/A</v>
      </c>
      <c r="R10604" s="93" t="str">
        <f>VLOOKUP(E10604,DATABASE!C:Q,11,false)</f>
        <v>#N/A</v>
      </c>
    </row>
    <row r="10605" ht="22.5" customHeight="1">
      <c r="A10605" s="49"/>
      <c r="C10605" s="400"/>
      <c r="D10605" s="524"/>
      <c r="E10605" s="544"/>
      <c r="F10605" s="387"/>
      <c r="G10605" s="140"/>
      <c r="H10605" s="74"/>
      <c r="I10605" s="74">
        <f t="shared" si="7"/>
        <v>0</v>
      </c>
      <c r="J10605" s="74" t="str">
        <f>IF(E10605="SERVICE",I10605-(I10605*50%),Vlookup(E10605,DATABASE!C:Q,10,false)*F10605)</f>
        <v>#N/A</v>
      </c>
      <c r="K10605" s="74" t="str">
        <f>VLOOKUP(E10605,DATABASE!C:Q,7,false)</f>
        <v>#N/A</v>
      </c>
      <c r="L10605" s="74"/>
      <c r="M10605" s="74">
        <f t="shared" si="6"/>
        <v>0</v>
      </c>
      <c r="N10605" s="74" t="str">
        <f t="shared" si="9"/>
        <v>#N/A</v>
      </c>
      <c r="O10605" s="65" t="str">
        <f>VLOOKUP(E10605,DATABASE!C:Q,8,false)</f>
        <v>#N/A</v>
      </c>
      <c r="P10605" s="65" t="str">
        <f>VLOOKUP(E10605,DATABASE!C:Q,9,False)</f>
        <v>#N/A</v>
      </c>
      <c r="Q10605" s="93" t="str">
        <f>VLOOKUP(E10605,DATABASE!C:Q,4,false)</f>
        <v>#N/A</v>
      </c>
      <c r="R10605" s="93" t="str">
        <f>VLOOKUP(E10605,DATABASE!C:Q,11,false)</f>
        <v>#N/A</v>
      </c>
    </row>
    <row r="10606" ht="22.5" customHeight="1">
      <c r="A10606" s="49"/>
      <c r="C10606" s="400"/>
      <c r="D10606" s="524"/>
      <c r="E10606" s="544"/>
      <c r="F10606" s="387"/>
      <c r="G10606" s="140"/>
      <c r="H10606" s="74"/>
      <c r="I10606" s="74">
        <f t="shared" si="7"/>
        <v>0</v>
      </c>
      <c r="J10606" s="74" t="str">
        <f>IF(E10606="SERVICE",I10606-(I10606*50%),Vlookup(E10606,DATABASE!C:Q,10,false)*F10606)</f>
        <v>#N/A</v>
      </c>
      <c r="K10606" s="74" t="str">
        <f>VLOOKUP(E10606,DATABASE!C:Q,7,false)</f>
        <v>#N/A</v>
      </c>
      <c r="L10606" s="74"/>
      <c r="M10606" s="74">
        <f t="shared" si="6"/>
        <v>0</v>
      </c>
      <c r="N10606" s="74" t="str">
        <f t="shared" si="9"/>
        <v>#N/A</v>
      </c>
      <c r="O10606" s="65" t="str">
        <f>VLOOKUP(E10606,DATABASE!C:Q,8,false)</f>
        <v>#N/A</v>
      </c>
      <c r="P10606" s="65" t="str">
        <f>VLOOKUP(E10606,DATABASE!C:Q,9,False)</f>
        <v>#N/A</v>
      </c>
      <c r="Q10606" s="93" t="str">
        <f>VLOOKUP(E10606,DATABASE!C:Q,4,false)</f>
        <v>#N/A</v>
      </c>
      <c r="R10606" s="93" t="str">
        <f>VLOOKUP(E10606,DATABASE!C:Q,11,false)</f>
        <v>#N/A</v>
      </c>
    </row>
    <row r="10607" ht="22.5" customHeight="1">
      <c r="A10607" s="49"/>
      <c r="C10607" s="400"/>
      <c r="D10607" s="524"/>
      <c r="E10607" s="544"/>
      <c r="F10607" s="387"/>
      <c r="G10607" s="140"/>
      <c r="H10607" s="74"/>
      <c r="I10607" s="74">
        <f t="shared" si="7"/>
        <v>0</v>
      </c>
      <c r="J10607" s="74" t="str">
        <f>IF(E10607="SERVICE",I10607-(I10607*50%),Vlookup(E10607,DATABASE!C:Q,10,false)*F10607)</f>
        <v>#N/A</v>
      </c>
      <c r="K10607" s="74" t="str">
        <f>VLOOKUP(E10607,DATABASE!C:Q,7,false)</f>
        <v>#N/A</v>
      </c>
      <c r="L10607" s="74"/>
      <c r="M10607" s="74">
        <f t="shared" si="6"/>
        <v>0</v>
      </c>
      <c r="N10607" s="74" t="str">
        <f t="shared" si="9"/>
        <v>#N/A</v>
      </c>
      <c r="O10607" s="65" t="str">
        <f>VLOOKUP(E10607,DATABASE!C:Q,8,false)</f>
        <v>#N/A</v>
      </c>
      <c r="P10607" s="65" t="str">
        <f>VLOOKUP(E10607,DATABASE!C:Q,9,False)</f>
        <v>#N/A</v>
      </c>
      <c r="Q10607" s="93" t="str">
        <f>VLOOKUP(E10607,DATABASE!C:Q,4,false)</f>
        <v>#N/A</v>
      </c>
      <c r="R10607" s="93" t="str">
        <f>VLOOKUP(E10607,DATABASE!C:Q,11,false)</f>
        <v>#N/A</v>
      </c>
    </row>
    <row r="10608" ht="22.5" customHeight="1">
      <c r="A10608" s="49"/>
      <c r="C10608" s="400"/>
      <c r="D10608" s="524"/>
      <c r="E10608" s="544"/>
      <c r="F10608" s="387"/>
      <c r="G10608" s="140"/>
      <c r="H10608" s="74"/>
      <c r="I10608" s="74">
        <f t="shared" si="7"/>
        <v>0</v>
      </c>
      <c r="J10608" s="74" t="str">
        <f>IF(E10608="SERVICE",I10608-(I10608*50%),Vlookup(E10608,DATABASE!C:Q,10,false)*F10608)</f>
        <v>#N/A</v>
      </c>
      <c r="K10608" s="74" t="str">
        <f>VLOOKUP(E10608,DATABASE!C:Q,7,false)</f>
        <v>#N/A</v>
      </c>
      <c r="L10608" s="74"/>
      <c r="M10608" s="74">
        <f t="shared" si="6"/>
        <v>0</v>
      </c>
      <c r="N10608" s="74" t="str">
        <f t="shared" si="9"/>
        <v>#N/A</v>
      </c>
      <c r="O10608" s="65" t="str">
        <f>VLOOKUP(E10608,DATABASE!C:Q,8,false)</f>
        <v>#N/A</v>
      </c>
      <c r="P10608" s="65" t="str">
        <f>VLOOKUP(E10608,DATABASE!C:Q,9,False)</f>
        <v>#N/A</v>
      </c>
      <c r="Q10608" s="93" t="str">
        <f>VLOOKUP(E10608,DATABASE!C:Q,4,false)</f>
        <v>#N/A</v>
      </c>
      <c r="R10608" s="93" t="str">
        <f>VLOOKUP(E10608,DATABASE!C:Q,11,false)</f>
        <v>#N/A</v>
      </c>
    </row>
    <row r="10609" ht="22.5" customHeight="1">
      <c r="A10609" s="49"/>
      <c r="C10609" s="400"/>
      <c r="D10609" s="524"/>
      <c r="E10609" s="544"/>
      <c r="F10609" s="387"/>
      <c r="G10609" s="140"/>
      <c r="H10609" s="74"/>
      <c r="I10609" s="74">
        <f t="shared" si="7"/>
        <v>0</v>
      </c>
      <c r="J10609" s="74" t="str">
        <f>IF(E10609="SERVICE",I10609-(I10609*50%),Vlookup(E10609,DATABASE!C:Q,10,false)*F10609)</f>
        <v>#N/A</v>
      </c>
      <c r="K10609" s="74" t="str">
        <f>VLOOKUP(E10609,DATABASE!C:Q,7,false)</f>
        <v>#N/A</v>
      </c>
      <c r="L10609" s="74"/>
      <c r="M10609" s="74">
        <f t="shared" si="6"/>
        <v>0</v>
      </c>
      <c r="N10609" s="74" t="str">
        <f t="shared" si="9"/>
        <v>#N/A</v>
      </c>
      <c r="O10609" s="65" t="str">
        <f>VLOOKUP(E10609,DATABASE!C:Q,8,false)</f>
        <v>#N/A</v>
      </c>
      <c r="P10609" s="65" t="str">
        <f>VLOOKUP(E10609,DATABASE!C:Q,9,False)</f>
        <v>#N/A</v>
      </c>
      <c r="Q10609" s="93" t="str">
        <f>VLOOKUP(E10609,DATABASE!C:Q,4,false)</f>
        <v>#N/A</v>
      </c>
      <c r="R10609" s="93" t="str">
        <f>VLOOKUP(E10609,DATABASE!C:Q,11,false)</f>
        <v>#N/A</v>
      </c>
    </row>
    <row r="10610" ht="22.5" customHeight="1">
      <c r="A10610" s="49"/>
      <c r="C10610" s="400"/>
      <c r="D10610" s="524"/>
      <c r="E10610" s="544"/>
      <c r="F10610" s="387"/>
      <c r="G10610" s="140"/>
      <c r="H10610" s="74"/>
      <c r="I10610" s="74">
        <f t="shared" si="7"/>
        <v>0</v>
      </c>
      <c r="J10610" s="74" t="str">
        <f>IF(E10610="SERVICE",I10610-(I10610*50%),Vlookup(E10610,DATABASE!C:Q,10,false)*F10610)</f>
        <v>#N/A</v>
      </c>
      <c r="K10610" s="74" t="str">
        <f>VLOOKUP(E10610,DATABASE!C:Q,7,false)</f>
        <v>#N/A</v>
      </c>
      <c r="L10610" s="74"/>
      <c r="M10610" s="74">
        <f t="shared" si="6"/>
        <v>0</v>
      </c>
      <c r="N10610" s="74" t="str">
        <f t="shared" si="9"/>
        <v>#N/A</v>
      </c>
      <c r="O10610" s="65" t="str">
        <f>VLOOKUP(E10610,DATABASE!C:Q,8,false)</f>
        <v>#N/A</v>
      </c>
      <c r="P10610" s="65" t="str">
        <f>VLOOKUP(E10610,DATABASE!C:Q,9,False)</f>
        <v>#N/A</v>
      </c>
      <c r="Q10610" s="93" t="str">
        <f>VLOOKUP(E10610,DATABASE!C:Q,4,false)</f>
        <v>#N/A</v>
      </c>
      <c r="R10610" s="93" t="str">
        <f>VLOOKUP(E10610,DATABASE!C:Q,11,false)</f>
        <v>#N/A</v>
      </c>
    </row>
    <row r="10611" ht="22.5" customHeight="1">
      <c r="A10611" s="49"/>
      <c r="C10611" s="400"/>
      <c r="D10611" s="524"/>
      <c r="E10611" s="544"/>
      <c r="F10611" s="387"/>
      <c r="G10611" s="140"/>
      <c r="H10611" s="74"/>
      <c r="I10611" s="74">
        <f t="shared" si="7"/>
        <v>0</v>
      </c>
      <c r="J10611" s="74" t="str">
        <f>IF(E10611="SERVICE",I10611-(I10611*50%),Vlookup(E10611,DATABASE!C:Q,10,false)*F10611)</f>
        <v>#N/A</v>
      </c>
      <c r="K10611" s="74" t="str">
        <f>VLOOKUP(E10611,DATABASE!C:Q,7,false)</f>
        <v>#N/A</v>
      </c>
      <c r="L10611" s="74"/>
      <c r="M10611" s="74">
        <f t="shared" si="6"/>
        <v>0</v>
      </c>
      <c r="N10611" s="74" t="str">
        <f t="shared" si="9"/>
        <v>#N/A</v>
      </c>
      <c r="O10611" s="65" t="str">
        <f>VLOOKUP(E10611,DATABASE!C:Q,8,false)</f>
        <v>#N/A</v>
      </c>
      <c r="P10611" s="65" t="str">
        <f>VLOOKUP(E10611,DATABASE!C:Q,9,False)</f>
        <v>#N/A</v>
      </c>
      <c r="Q10611" s="93" t="str">
        <f>VLOOKUP(E10611,DATABASE!C:Q,4,false)</f>
        <v>#N/A</v>
      </c>
      <c r="R10611" s="93" t="str">
        <f>VLOOKUP(E10611,DATABASE!C:Q,11,false)</f>
        <v>#N/A</v>
      </c>
    </row>
    <row r="10612" ht="22.5" customHeight="1">
      <c r="A10612" s="49"/>
      <c r="C10612" s="400"/>
      <c r="D10612" s="524"/>
      <c r="E10612" s="544"/>
      <c r="F10612" s="387"/>
      <c r="G10612" s="140"/>
      <c r="H10612" s="74"/>
      <c r="I10612" s="74">
        <f t="shared" si="7"/>
        <v>0</v>
      </c>
      <c r="J10612" s="74" t="str">
        <f>IF(E10612="SERVICE",I10612-(I10612*50%),Vlookup(E10612,DATABASE!C:Q,10,false)*F10612)</f>
        <v>#N/A</v>
      </c>
      <c r="K10612" s="74" t="str">
        <f>VLOOKUP(E10612,DATABASE!C:Q,7,false)</f>
        <v>#N/A</v>
      </c>
      <c r="L10612" s="74"/>
      <c r="M10612" s="74">
        <f t="shared" si="6"/>
        <v>0</v>
      </c>
      <c r="N10612" s="74" t="str">
        <f t="shared" si="9"/>
        <v>#N/A</v>
      </c>
      <c r="O10612" s="65" t="str">
        <f>VLOOKUP(E10612,DATABASE!C:Q,8,false)</f>
        <v>#N/A</v>
      </c>
      <c r="P10612" s="65" t="str">
        <f>VLOOKUP(E10612,DATABASE!C:Q,9,False)</f>
        <v>#N/A</v>
      </c>
      <c r="Q10612" s="93" t="str">
        <f>VLOOKUP(E10612,DATABASE!C:Q,4,false)</f>
        <v>#N/A</v>
      </c>
      <c r="R10612" s="93" t="str">
        <f>VLOOKUP(E10612,DATABASE!C:Q,11,false)</f>
        <v>#N/A</v>
      </c>
    </row>
    <row r="10613" ht="22.5" customHeight="1">
      <c r="A10613" s="49"/>
      <c r="C10613" s="400"/>
      <c r="D10613" s="524"/>
      <c r="E10613" s="544"/>
      <c r="F10613" s="387"/>
      <c r="G10613" s="140"/>
      <c r="H10613" s="74"/>
      <c r="I10613" s="74">
        <f t="shared" si="7"/>
        <v>0</v>
      </c>
      <c r="J10613" s="74" t="str">
        <f>IF(E10613="SERVICE",I10613-(I10613*50%),Vlookup(E10613,DATABASE!C:Q,10,false)*F10613)</f>
        <v>#N/A</v>
      </c>
      <c r="K10613" s="74" t="str">
        <f>VLOOKUP(E10613,DATABASE!C:Q,7,false)</f>
        <v>#N/A</v>
      </c>
      <c r="L10613" s="74"/>
      <c r="M10613" s="74">
        <f t="shared" si="6"/>
        <v>0</v>
      </c>
      <c r="N10613" s="74" t="str">
        <f t="shared" si="9"/>
        <v>#N/A</v>
      </c>
      <c r="O10613" s="65" t="str">
        <f>VLOOKUP(E10613,DATABASE!C:Q,8,false)</f>
        <v>#N/A</v>
      </c>
      <c r="P10613" s="65" t="str">
        <f>VLOOKUP(E10613,DATABASE!C:Q,9,False)</f>
        <v>#N/A</v>
      </c>
      <c r="Q10613" s="93" t="str">
        <f>VLOOKUP(E10613,DATABASE!C:Q,4,false)</f>
        <v>#N/A</v>
      </c>
      <c r="R10613" s="93" t="str">
        <f>VLOOKUP(E10613,DATABASE!C:Q,11,false)</f>
        <v>#N/A</v>
      </c>
    </row>
    <row r="10614" ht="22.5" customHeight="1">
      <c r="A10614" s="49"/>
      <c r="C10614" s="400"/>
      <c r="D10614" s="524"/>
      <c r="E10614" s="544"/>
      <c r="F10614" s="387"/>
      <c r="G10614" s="140"/>
      <c r="H10614" s="74"/>
      <c r="I10614" s="74">
        <f t="shared" si="7"/>
        <v>0</v>
      </c>
      <c r="J10614" s="74" t="str">
        <f>IF(E10614="SERVICE",I10614-(I10614*50%),Vlookup(E10614,DATABASE!C:Q,10,false)*F10614)</f>
        <v>#N/A</v>
      </c>
      <c r="K10614" s="74" t="str">
        <f>VLOOKUP(E10614,DATABASE!C:Q,7,false)</f>
        <v>#N/A</v>
      </c>
      <c r="L10614" s="74"/>
      <c r="M10614" s="74">
        <f t="shared" si="6"/>
        <v>0</v>
      </c>
      <c r="N10614" s="74" t="str">
        <f t="shared" si="9"/>
        <v>#N/A</v>
      </c>
      <c r="O10614" s="65" t="str">
        <f>VLOOKUP(E10614,DATABASE!C:Q,8,false)</f>
        <v>#N/A</v>
      </c>
      <c r="P10614" s="65" t="str">
        <f>VLOOKUP(E10614,DATABASE!C:Q,9,False)</f>
        <v>#N/A</v>
      </c>
      <c r="Q10614" s="93" t="str">
        <f>VLOOKUP(E10614,DATABASE!C:Q,4,false)</f>
        <v>#N/A</v>
      </c>
      <c r="R10614" s="93" t="str">
        <f>VLOOKUP(E10614,DATABASE!C:Q,11,false)</f>
        <v>#N/A</v>
      </c>
    </row>
    <row r="10615" ht="22.5" customHeight="1">
      <c r="A10615" s="49"/>
      <c r="C10615" s="400"/>
      <c r="D10615" s="524"/>
      <c r="E10615" s="544"/>
      <c r="F10615" s="387"/>
      <c r="G10615" s="140"/>
      <c r="H10615" s="74"/>
      <c r="I10615" s="74">
        <f t="shared" si="7"/>
        <v>0</v>
      </c>
      <c r="J10615" s="74" t="str">
        <f>IF(E10615="SERVICE",I10615-(I10615*50%),Vlookup(E10615,DATABASE!C:Q,10,false)*F10615)</f>
        <v>#N/A</v>
      </c>
      <c r="K10615" s="74" t="str">
        <f>VLOOKUP(E10615,DATABASE!C:Q,7,false)</f>
        <v>#N/A</v>
      </c>
      <c r="L10615" s="74"/>
      <c r="M10615" s="74">
        <f t="shared" si="6"/>
        <v>0</v>
      </c>
      <c r="N10615" s="74" t="str">
        <f t="shared" si="9"/>
        <v>#N/A</v>
      </c>
      <c r="O10615" s="65" t="str">
        <f>VLOOKUP(E10615,DATABASE!C:Q,8,false)</f>
        <v>#N/A</v>
      </c>
      <c r="P10615" s="65" t="str">
        <f>VLOOKUP(E10615,DATABASE!C:Q,9,False)</f>
        <v>#N/A</v>
      </c>
      <c r="Q10615" s="93" t="str">
        <f>VLOOKUP(E10615,DATABASE!C:Q,4,false)</f>
        <v>#N/A</v>
      </c>
      <c r="R10615" s="93" t="str">
        <f>VLOOKUP(E10615,DATABASE!C:Q,11,false)</f>
        <v>#N/A</v>
      </c>
    </row>
    <row r="10616" ht="22.5" customHeight="1">
      <c r="A10616" s="49"/>
      <c r="C10616" s="400"/>
      <c r="D10616" s="524"/>
      <c r="E10616" s="544"/>
      <c r="F10616" s="387"/>
      <c r="G10616" s="140"/>
      <c r="H10616" s="74"/>
      <c r="I10616" s="74">
        <f t="shared" si="7"/>
        <v>0</v>
      </c>
      <c r="J10616" s="74" t="str">
        <f>IF(E10616="SERVICE",I10616-(I10616*50%),Vlookup(E10616,DATABASE!C:Q,10,false)*F10616)</f>
        <v>#N/A</v>
      </c>
      <c r="K10616" s="74" t="str">
        <f>VLOOKUP(E10616,DATABASE!C:Q,7,false)</f>
        <v>#N/A</v>
      </c>
      <c r="L10616" s="74"/>
      <c r="M10616" s="74">
        <f t="shared" si="6"/>
        <v>0</v>
      </c>
      <c r="N10616" s="74" t="str">
        <f t="shared" si="9"/>
        <v>#N/A</v>
      </c>
      <c r="O10616" s="65" t="str">
        <f>VLOOKUP(E10616,DATABASE!C:Q,8,false)</f>
        <v>#N/A</v>
      </c>
      <c r="P10616" s="65" t="str">
        <f>VLOOKUP(E10616,DATABASE!C:Q,9,False)</f>
        <v>#N/A</v>
      </c>
      <c r="Q10616" s="93" t="str">
        <f>VLOOKUP(E10616,DATABASE!C:Q,4,false)</f>
        <v>#N/A</v>
      </c>
      <c r="R10616" s="93" t="str">
        <f>VLOOKUP(E10616,DATABASE!C:Q,11,false)</f>
        <v>#N/A</v>
      </c>
    </row>
    <row r="10617" ht="22.5" customHeight="1">
      <c r="A10617" s="49"/>
      <c r="C10617" s="400"/>
      <c r="D10617" s="524"/>
      <c r="E10617" s="544"/>
      <c r="F10617" s="387"/>
      <c r="G10617" s="140"/>
      <c r="H10617" s="74"/>
      <c r="I10617" s="74">
        <f t="shared" si="7"/>
        <v>0</v>
      </c>
      <c r="J10617" s="74" t="str">
        <f>IF(E10617="SERVICE",I10617-(I10617*50%),Vlookup(E10617,DATABASE!C:Q,10,false)*F10617)</f>
        <v>#N/A</v>
      </c>
      <c r="K10617" s="74" t="str">
        <f>VLOOKUP(E10617,DATABASE!C:Q,7,false)</f>
        <v>#N/A</v>
      </c>
      <c r="L10617" s="74"/>
      <c r="M10617" s="74">
        <f t="shared" si="6"/>
        <v>0</v>
      </c>
      <c r="N10617" s="74" t="str">
        <f t="shared" si="9"/>
        <v>#N/A</v>
      </c>
      <c r="O10617" s="65" t="str">
        <f>VLOOKUP(E10617,DATABASE!C:Q,8,false)</f>
        <v>#N/A</v>
      </c>
      <c r="P10617" s="65" t="str">
        <f>VLOOKUP(E10617,DATABASE!C:Q,9,False)</f>
        <v>#N/A</v>
      </c>
      <c r="Q10617" s="93" t="str">
        <f>VLOOKUP(E10617,DATABASE!C:Q,4,false)</f>
        <v>#N/A</v>
      </c>
      <c r="R10617" s="93" t="str">
        <f>VLOOKUP(E10617,DATABASE!C:Q,11,false)</f>
        <v>#N/A</v>
      </c>
    </row>
    <row r="10618" ht="22.5" customHeight="1">
      <c r="A10618" s="49"/>
      <c r="C10618" s="400"/>
      <c r="D10618" s="524"/>
      <c r="E10618" s="544"/>
      <c r="F10618" s="387"/>
      <c r="G10618" s="140"/>
      <c r="H10618" s="74"/>
      <c r="I10618" s="74">
        <f t="shared" si="7"/>
        <v>0</v>
      </c>
      <c r="J10618" s="74" t="str">
        <f>IF(E10618="SERVICE",I10618-(I10618*50%),Vlookup(E10618,DATABASE!C:Q,10,false)*F10618)</f>
        <v>#N/A</v>
      </c>
      <c r="K10618" s="74" t="str">
        <f>VLOOKUP(E10618,DATABASE!C:Q,7,false)</f>
        <v>#N/A</v>
      </c>
      <c r="L10618" s="74"/>
      <c r="M10618" s="74">
        <f t="shared" si="6"/>
        <v>0</v>
      </c>
      <c r="N10618" s="74" t="str">
        <f t="shared" si="9"/>
        <v>#N/A</v>
      </c>
      <c r="O10618" s="65" t="str">
        <f>VLOOKUP(E10618,DATABASE!C:Q,8,false)</f>
        <v>#N/A</v>
      </c>
      <c r="P10618" s="65" t="str">
        <f>VLOOKUP(E10618,DATABASE!C:Q,9,False)</f>
        <v>#N/A</v>
      </c>
      <c r="Q10618" s="93" t="str">
        <f>VLOOKUP(E10618,DATABASE!C:Q,4,false)</f>
        <v>#N/A</v>
      </c>
      <c r="R10618" s="93" t="str">
        <f>VLOOKUP(E10618,DATABASE!C:Q,11,false)</f>
        <v>#N/A</v>
      </c>
    </row>
    <row r="10619" ht="22.5" customHeight="1">
      <c r="A10619" s="49"/>
      <c r="C10619" s="400"/>
      <c r="D10619" s="524"/>
      <c r="E10619" s="544"/>
      <c r="F10619" s="387"/>
      <c r="G10619" s="140"/>
      <c r="H10619" s="74"/>
      <c r="I10619" s="74">
        <f t="shared" si="7"/>
        <v>0</v>
      </c>
      <c r="J10619" s="74" t="str">
        <f>IF(E10619="SERVICE",I10619-(I10619*50%),Vlookup(E10619,DATABASE!C:Q,10,false)*F10619)</f>
        <v>#N/A</v>
      </c>
      <c r="K10619" s="74" t="str">
        <f>VLOOKUP(E10619,DATABASE!C:Q,7,false)</f>
        <v>#N/A</v>
      </c>
      <c r="L10619" s="74"/>
      <c r="M10619" s="74">
        <f t="shared" si="6"/>
        <v>0</v>
      </c>
      <c r="N10619" s="74" t="str">
        <f t="shared" si="9"/>
        <v>#N/A</v>
      </c>
      <c r="O10619" s="65" t="str">
        <f>VLOOKUP(E10619,DATABASE!C:Q,8,false)</f>
        <v>#N/A</v>
      </c>
      <c r="P10619" s="65" t="str">
        <f>VLOOKUP(E10619,DATABASE!C:Q,9,False)</f>
        <v>#N/A</v>
      </c>
      <c r="Q10619" s="93" t="str">
        <f>VLOOKUP(E10619,DATABASE!C:Q,4,false)</f>
        <v>#N/A</v>
      </c>
      <c r="R10619" s="93" t="str">
        <f>VLOOKUP(E10619,DATABASE!C:Q,11,false)</f>
        <v>#N/A</v>
      </c>
    </row>
    <row r="10620" ht="22.5" customHeight="1">
      <c r="A10620" s="49"/>
      <c r="C10620" s="400"/>
      <c r="D10620" s="524"/>
      <c r="E10620" s="544"/>
      <c r="F10620" s="387"/>
      <c r="G10620" s="140"/>
      <c r="H10620" s="74"/>
      <c r="I10620" s="74">
        <f t="shared" si="7"/>
        <v>0</v>
      </c>
      <c r="J10620" s="74" t="str">
        <f>IF(E10620="SERVICE",I10620-(I10620*50%),Vlookup(E10620,DATABASE!C:Q,10,false)*F10620)</f>
        <v>#N/A</v>
      </c>
      <c r="K10620" s="74" t="str">
        <f>VLOOKUP(E10620,DATABASE!C:Q,7,false)</f>
        <v>#N/A</v>
      </c>
      <c r="L10620" s="74"/>
      <c r="M10620" s="74">
        <f t="shared" si="6"/>
        <v>0</v>
      </c>
      <c r="N10620" s="74" t="str">
        <f t="shared" si="9"/>
        <v>#N/A</v>
      </c>
      <c r="O10620" s="65" t="str">
        <f>VLOOKUP(E10620,DATABASE!C:Q,8,false)</f>
        <v>#N/A</v>
      </c>
      <c r="P10620" s="65" t="str">
        <f>VLOOKUP(E10620,DATABASE!C:Q,9,False)</f>
        <v>#N/A</v>
      </c>
      <c r="Q10620" s="93" t="str">
        <f>VLOOKUP(E10620,DATABASE!C:Q,4,false)</f>
        <v>#N/A</v>
      </c>
      <c r="R10620" s="93" t="str">
        <f>VLOOKUP(E10620,DATABASE!C:Q,11,false)</f>
        <v>#N/A</v>
      </c>
    </row>
    <row r="10621" ht="22.5" customHeight="1">
      <c r="A10621" s="49"/>
      <c r="C10621" s="400"/>
      <c r="D10621" s="524"/>
      <c r="E10621" s="544"/>
      <c r="F10621" s="387"/>
      <c r="G10621" s="140"/>
      <c r="H10621" s="74"/>
      <c r="I10621" s="74">
        <f t="shared" si="7"/>
        <v>0</v>
      </c>
      <c r="J10621" s="74" t="str">
        <f>IF(E10621="SERVICE",I10621-(I10621*50%),Vlookup(E10621,DATABASE!C:Q,10,false)*F10621)</f>
        <v>#N/A</v>
      </c>
      <c r="K10621" s="74" t="str">
        <f>VLOOKUP(E10621,DATABASE!C:Q,7,false)</f>
        <v>#N/A</v>
      </c>
      <c r="L10621" s="74"/>
      <c r="M10621" s="74">
        <f t="shared" si="6"/>
        <v>0</v>
      </c>
      <c r="N10621" s="74" t="str">
        <f t="shared" si="9"/>
        <v>#N/A</v>
      </c>
      <c r="O10621" s="65" t="str">
        <f>VLOOKUP(E10621,DATABASE!C:Q,8,false)</f>
        <v>#N/A</v>
      </c>
      <c r="P10621" s="65" t="str">
        <f>VLOOKUP(E10621,DATABASE!C:Q,9,False)</f>
        <v>#N/A</v>
      </c>
      <c r="Q10621" s="93" t="str">
        <f>VLOOKUP(E10621,DATABASE!C:Q,4,false)</f>
        <v>#N/A</v>
      </c>
      <c r="R10621" s="93" t="str">
        <f>VLOOKUP(E10621,DATABASE!C:Q,11,false)</f>
        <v>#N/A</v>
      </c>
    </row>
    <row r="10622" ht="22.5" customHeight="1">
      <c r="A10622" s="49"/>
      <c r="C10622" s="400"/>
      <c r="D10622" s="524"/>
      <c r="E10622" s="544"/>
      <c r="F10622" s="387"/>
      <c r="G10622" s="140"/>
      <c r="H10622" s="74"/>
      <c r="I10622" s="74">
        <f t="shared" si="7"/>
        <v>0</v>
      </c>
      <c r="J10622" s="74" t="str">
        <f>IF(E10622="SERVICE",I10622-(I10622*50%),Vlookup(E10622,DATABASE!C:Q,10,false)*F10622)</f>
        <v>#N/A</v>
      </c>
      <c r="K10622" s="74" t="str">
        <f>VLOOKUP(E10622,DATABASE!C:Q,7,false)</f>
        <v>#N/A</v>
      </c>
      <c r="L10622" s="74"/>
      <c r="M10622" s="74">
        <f t="shared" si="6"/>
        <v>0</v>
      </c>
      <c r="N10622" s="74" t="str">
        <f t="shared" si="9"/>
        <v>#N/A</v>
      </c>
      <c r="O10622" s="65" t="str">
        <f>VLOOKUP(E10622,DATABASE!C:Q,8,false)</f>
        <v>#N/A</v>
      </c>
      <c r="P10622" s="65" t="str">
        <f>VLOOKUP(E10622,DATABASE!C:Q,9,False)</f>
        <v>#N/A</v>
      </c>
      <c r="Q10622" s="93" t="str">
        <f>VLOOKUP(E10622,DATABASE!C:Q,4,false)</f>
        <v>#N/A</v>
      </c>
      <c r="R10622" s="93" t="str">
        <f>VLOOKUP(E10622,DATABASE!C:Q,11,false)</f>
        <v>#N/A</v>
      </c>
    </row>
    <row r="10623" ht="22.5" customHeight="1">
      <c r="A10623" s="49"/>
      <c r="C10623" s="400"/>
      <c r="D10623" s="524"/>
      <c r="E10623" s="544"/>
      <c r="F10623" s="387"/>
      <c r="G10623" s="140"/>
      <c r="H10623" s="74"/>
      <c r="I10623" s="74">
        <f t="shared" si="7"/>
        <v>0</v>
      </c>
      <c r="J10623" s="74" t="str">
        <f>IF(E10623="SERVICE",I10623-(I10623*50%),Vlookup(E10623,DATABASE!C:Q,10,false)*F10623)</f>
        <v>#N/A</v>
      </c>
      <c r="K10623" s="74" t="str">
        <f>VLOOKUP(E10623,DATABASE!C:Q,7,false)</f>
        <v>#N/A</v>
      </c>
      <c r="L10623" s="74"/>
      <c r="M10623" s="74">
        <f t="shared" si="6"/>
        <v>0</v>
      </c>
      <c r="N10623" s="74" t="str">
        <f t="shared" si="9"/>
        <v>#N/A</v>
      </c>
      <c r="O10623" s="65" t="str">
        <f>VLOOKUP(E10623,DATABASE!C:Q,8,false)</f>
        <v>#N/A</v>
      </c>
      <c r="P10623" s="65" t="str">
        <f>VLOOKUP(E10623,DATABASE!C:Q,9,False)</f>
        <v>#N/A</v>
      </c>
      <c r="Q10623" s="93" t="str">
        <f>VLOOKUP(E10623,DATABASE!C:Q,4,false)</f>
        <v>#N/A</v>
      </c>
      <c r="R10623" s="93" t="str">
        <f>VLOOKUP(E10623,DATABASE!C:Q,11,false)</f>
        <v>#N/A</v>
      </c>
    </row>
    <row r="10624" ht="22.5" customHeight="1">
      <c r="A10624" s="49"/>
      <c r="C10624" s="400"/>
      <c r="D10624" s="524"/>
      <c r="E10624" s="544"/>
      <c r="F10624" s="387"/>
      <c r="G10624" s="140"/>
      <c r="H10624" s="74"/>
      <c r="I10624" s="74">
        <f t="shared" si="7"/>
        <v>0</v>
      </c>
      <c r="J10624" s="74" t="str">
        <f>IF(E10624="SERVICE",I10624-(I10624*50%),Vlookup(E10624,DATABASE!C:Q,10,false)*F10624)</f>
        <v>#N/A</v>
      </c>
      <c r="K10624" s="74" t="str">
        <f>VLOOKUP(E10624,DATABASE!C:Q,7,false)</f>
        <v>#N/A</v>
      </c>
      <c r="L10624" s="74"/>
      <c r="M10624" s="74">
        <f t="shared" si="6"/>
        <v>0</v>
      </c>
      <c r="N10624" s="74" t="str">
        <f t="shared" si="9"/>
        <v>#N/A</v>
      </c>
      <c r="O10624" s="65" t="str">
        <f>VLOOKUP(E10624,DATABASE!C:Q,8,false)</f>
        <v>#N/A</v>
      </c>
      <c r="P10624" s="65" t="str">
        <f>VLOOKUP(E10624,DATABASE!C:Q,9,False)</f>
        <v>#N/A</v>
      </c>
      <c r="Q10624" s="93" t="str">
        <f>VLOOKUP(E10624,DATABASE!C:Q,4,false)</f>
        <v>#N/A</v>
      </c>
      <c r="R10624" s="93" t="str">
        <f>VLOOKUP(E10624,DATABASE!C:Q,11,false)</f>
        <v>#N/A</v>
      </c>
    </row>
    <row r="10625" ht="22.5" customHeight="1">
      <c r="A10625" s="49"/>
      <c r="C10625" s="400"/>
      <c r="D10625" s="524"/>
      <c r="E10625" s="544"/>
      <c r="F10625" s="387"/>
      <c r="G10625" s="140"/>
      <c r="H10625" s="74"/>
      <c r="I10625" s="74">
        <f t="shared" si="7"/>
        <v>0</v>
      </c>
      <c r="J10625" s="74" t="str">
        <f>IF(E10625="SERVICE",I10625-(I10625*50%),Vlookup(E10625,DATABASE!C:Q,10,false)*F10625)</f>
        <v>#N/A</v>
      </c>
      <c r="K10625" s="74" t="str">
        <f>VLOOKUP(E10625,DATABASE!C:Q,7,false)</f>
        <v>#N/A</v>
      </c>
      <c r="L10625" s="74"/>
      <c r="M10625" s="74">
        <f t="shared" si="6"/>
        <v>0</v>
      </c>
      <c r="N10625" s="74" t="str">
        <f t="shared" si="9"/>
        <v>#N/A</v>
      </c>
      <c r="O10625" s="65" t="str">
        <f>VLOOKUP(E10625,DATABASE!C:Q,8,false)</f>
        <v>#N/A</v>
      </c>
      <c r="P10625" s="65" t="str">
        <f>VLOOKUP(E10625,DATABASE!C:Q,9,False)</f>
        <v>#N/A</v>
      </c>
      <c r="Q10625" s="93" t="str">
        <f>VLOOKUP(E10625,DATABASE!C:Q,4,false)</f>
        <v>#N/A</v>
      </c>
      <c r="R10625" s="93" t="str">
        <f>VLOOKUP(E10625,DATABASE!C:Q,11,false)</f>
        <v>#N/A</v>
      </c>
    </row>
    <row r="10626" ht="22.5" customHeight="1">
      <c r="A10626" s="49"/>
      <c r="C10626" s="400"/>
      <c r="D10626" s="524"/>
      <c r="E10626" s="544"/>
      <c r="F10626" s="387"/>
      <c r="G10626" s="140"/>
      <c r="H10626" s="74"/>
      <c r="I10626" s="74">
        <f t="shared" si="7"/>
        <v>0</v>
      </c>
      <c r="J10626" s="74" t="str">
        <f>IF(E10626="SERVICE",I10626-(I10626*50%),Vlookup(E10626,DATABASE!C:Q,10,false)*F10626)</f>
        <v>#N/A</v>
      </c>
      <c r="K10626" s="74" t="str">
        <f>VLOOKUP(E10626,DATABASE!C:Q,7,false)</f>
        <v>#N/A</v>
      </c>
      <c r="L10626" s="74"/>
      <c r="M10626" s="74">
        <f t="shared" si="6"/>
        <v>0</v>
      </c>
      <c r="N10626" s="74" t="str">
        <f t="shared" si="9"/>
        <v>#N/A</v>
      </c>
      <c r="O10626" s="65" t="str">
        <f>VLOOKUP(E10626,DATABASE!C:Q,8,false)</f>
        <v>#N/A</v>
      </c>
      <c r="P10626" s="65" t="str">
        <f>VLOOKUP(E10626,DATABASE!C:Q,9,False)</f>
        <v>#N/A</v>
      </c>
      <c r="Q10626" s="93" t="str">
        <f>VLOOKUP(E10626,DATABASE!C:Q,4,false)</f>
        <v>#N/A</v>
      </c>
      <c r="R10626" s="93" t="str">
        <f>VLOOKUP(E10626,DATABASE!C:Q,11,false)</f>
        <v>#N/A</v>
      </c>
    </row>
    <row r="10627" ht="22.5" customHeight="1">
      <c r="A10627" s="49"/>
      <c r="C10627" s="400"/>
      <c r="D10627" s="524"/>
      <c r="E10627" s="544"/>
      <c r="F10627" s="387"/>
      <c r="G10627" s="140"/>
      <c r="H10627" s="74"/>
      <c r="I10627" s="74">
        <f t="shared" si="7"/>
        <v>0</v>
      </c>
      <c r="J10627" s="74" t="str">
        <f>IF(E10627="SERVICE",I10627-(I10627*50%),Vlookup(E10627,DATABASE!C:Q,10,false)*F10627)</f>
        <v>#N/A</v>
      </c>
      <c r="K10627" s="74" t="str">
        <f>VLOOKUP(E10627,DATABASE!C:Q,7,false)</f>
        <v>#N/A</v>
      </c>
      <c r="L10627" s="74"/>
      <c r="M10627" s="74">
        <f t="shared" si="6"/>
        <v>0</v>
      </c>
      <c r="N10627" s="74" t="str">
        <f t="shared" si="9"/>
        <v>#N/A</v>
      </c>
      <c r="O10627" s="65" t="str">
        <f>VLOOKUP(E10627,DATABASE!C:Q,8,false)</f>
        <v>#N/A</v>
      </c>
      <c r="P10627" s="65" t="str">
        <f>VLOOKUP(E10627,DATABASE!C:Q,9,False)</f>
        <v>#N/A</v>
      </c>
      <c r="Q10627" s="93" t="str">
        <f>VLOOKUP(E10627,DATABASE!C:Q,4,false)</f>
        <v>#N/A</v>
      </c>
      <c r="R10627" s="93" t="str">
        <f>VLOOKUP(E10627,DATABASE!C:Q,11,false)</f>
        <v>#N/A</v>
      </c>
    </row>
    <row r="10628" ht="22.5" customHeight="1">
      <c r="A10628" s="49"/>
      <c r="C10628" s="400"/>
      <c r="D10628" s="524"/>
      <c r="E10628" s="544"/>
      <c r="F10628" s="387"/>
      <c r="G10628" s="140"/>
      <c r="H10628" s="74"/>
      <c r="I10628" s="74">
        <f t="shared" si="7"/>
        <v>0</v>
      </c>
      <c r="J10628" s="74" t="str">
        <f>IF(E10628="SERVICE",I10628-(I10628*50%),Vlookup(E10628,DATABASE!C:Q,10,false)*F10628)</f>
        <v>#N/A</v>
      </c>
      <c r="K10628" s="74" t="str">
        <f>VLOOKUP(E10628,DATABASE!C:Q,7,false)</f>
        <v>#N/A</v>
      </c>
      <c r="L10628" s="74"/>
      <c r="M10628" s="74">
        <f t="shared" si="6"/>
        <v>0</v>
      </c>
      <c r="N10628" s="74" t="str">
        <f t="shared" si="9"/>
        <v>#N/A</v>
      </c>
      <c r="O10628" s="65" t="str">
        <f>VLOOKUP(E10628,DATABASE!C:Q,8,false)</f>
        <v>#N/A</v>
      </c>
      <c r="P10628" s="65" t="str">
        <f>VLOOKUP(E10628,DATABASE!C:Q,9,False)</f>
        <v>#N/A</v>
      </c>
      <c r="Q10628" s="93" t="str">
        <f>VLOOKUP(E10628,DATABASE!C:Q,4,false)</f>
        <v>#N/A</v>
      </c>
      <c r="R10628" s="93" t="str">
        <f>VLOOKUP(E10628,DATABASE!C:Q,11,false)</f>
        <v>#N/A</v>
      </c>
    </row>
    <row r="10629" ht="22.5" customHeight="1">
      <c r="A10629" s="49"/>
      <c r="C10629" s="400"/>
      <c r="D10629" s="524"/>
      <c r="E10629" s="544"/>
      <c r="F10629" s="387"/>
      <c r="G10629" s="140"/>
      <c r="H10629" s="74"/>
      <c r="I10629" s="74">
        <f t="shared" si="7"/>
        <v>0</v>
      </c>
      <c r="J10629" s="74" t="str">
        <f>IF(E10629="SERVICE",I10629-(I10629*50%),Vlookup(E10629,DATABASE!C:Q,10,false)*F10629)</f>
        <v>#N/A</v>
      </c>
      <c r="K10629" s="74" t="str">
        <f>VLOOKUP(E10629,DATABASE!C:Q,7,false)</f>
        <v>#N/A</v>
      </c>
      <c r="L10629" s="74"/>
      <c r="M10629" s="74">
        <f t="shared" si="6"/>
        <v>0</v>
      </c>
      <c r="N10629" s="74" t="str">
        <f t="shared" si="9"/>
        <v>#N/A</v>
      </c>
      <c r="O10629" s="65" t="str">
        <f>VLOOKUP(E10629,DATABASE!C:Q,8,false)</f>
        <v>#N/A</v>
      </c>
      <c r="P10629" s="65" t="str">
        <f>VLOOKUP(E10629,DATABASE!C:Q,9,False)</f>
        <v>#N/A</v>
      </c>
      <c r="Q10629" s="93" t="str">
        <f>VLOOKUP(E10629,DATABASE!C:Q,4,false)</f>
        <v>#N/A</v>
      </c>
      <c r="R10629" s="93" t="str">
        <f>VLOOKUP(E10629,DATABASE!C:Q,11,false)</f>
        <v>#N/A</v>
      </c>
    </row>
    <row r="10630" ht="22.5" customHeight="1">
      <c r="A10630" s="49"/>
      <c r="C10630" s="400"/>
      <c r="D10630" s="524"/>
      <c r="E10630" s="544"/>
      <c r="F10630" s="387"/>
      <c r="G10630" s="140"/>
      <c r="H10630" s="74"/>
      <c r="I10630" s="74">
        <f t="shared" si="7"/>
        <v>0</v>
      </c>
      <c r="J10630" s="74" t="str">
        <f>IF(E10630="SERVICE",I10630-(I10630*50%),Vlookup(E10630,DATABASE!C:Q,10,false)*F10630)</f>
        <v>#N/A</v>
      </c>
      <c r="K10630" s="74" t="str">
        <f>VLOOKUP(E10630,DATABASE!C:Q,7,false)</f>
        <v>#N/A</v>
      </c>
      <c r="L10630" s="74"/>
      <c r="M10630" s="74">
        <f t="shared" si="6"/>
        <v>0</v>
      </c>
      <c r="N10630" s="74" t="str">
        <f t="shared" si="9"/>
        <v>#N/A</v>
      </c>
      <c r="O10630" s="65" t="str">
        <f>VLOOKUP(E10630,DATABASE!C:Q,8,false)</f>
        <v>#N/A</v>
      </c>
      <c r="P10630" s="65" t="str">
        <f>VLOOKUP(E10630,DATABASE!C:Q,9,False)</f>
        <v>#N/A</v>
      </c>
      <c r="Q10630" s="93" t="str">
        <f>VLOOKUP(E10630,DATABASE!C:Q,4,false)</f>
        <v>#N/A</v>
      </c>
      <c r="R10630" s="93" t="str">
        <f>VLOOKUP(E10630,DATABASE!C:Q,11,false)</f>
        <v>#N/A</v>
      </c>
    </row>
    <row r="10631" ht="22.5" customHeight="1">
      <c r="A10631" s="49"/>
      <c r="C10631" s="400"/>
      <c r="D10631" s="524"/>
      <c r="E10631" s="544"/>
      <c r="F10631" s="387"/>
      <c r="G10631" s="140"/>
      <c r="H10631" s="74"/>
      <c r="I10631" s="74">
        <f t="shared" si="7"/>
        <v>0</v>
      </c>
      <c r="J10631" s="74" t="str">
        <f>IF(E10631="SERVICE",I10631-(I10631*50%),Vlookup(E10631,DATABASE!C:Q,10,false)*F10631)</f>
        <v>#N/A</v>
      </c>
      <c r="K10631" s="74" t="str">
        <f>VLOOKUP(E10631,DATABASE!C:Q,7,false)</f>
        <v>#N/A</v>
      </c>
      <c r="L10631" s="74"/>
      <c r="M10631" s="74">
        <f t="shared" si="6"/>
        <v>0</v>
      </c>
      <c r="N10631" s="74" t="str">
        <f t="shared" si="9"/>
        <v>#N/A</v>
      </c>
      <c r="O10631" s="65" t="str">
        <f>VLOOKUP(E10631,DATABASE!C:Q,8,false)</f>
        <v>#N/A</v>
      </c>
      <c r="P10631" s="65" t="str">
        <f>VLOOKUP(E10631,DATABASE!C:Q,9,False)</f>
        <v>#N/A</v>
      </c>
      <c r="Q10631" s="93" t="str">
        <f>VLOOKUP(E10631,DATABASE!C:Q,4,false)</f>
        <v>#N/A</v>
      </c>
      <c r="R10631" s="93" t="str">
        <f>VLOOKUP(E10631,DATABASE!C:Q,11,false)</f>
        <v>#N/A</v>
      </c>
    </row>
    <row r="10632" ht="22.5" customHeight="1">
      <c r="A10632" s="49"/>
      <c r="C10632" s="400"/>
      <c r="D10632" s="524"/>
      <c r="E10632" s="544"/>
      <c r="F10632" s="387"/>
      <c r="G10632" s="140"/>
      <c r="H10632" s="74"/>
      <c r="I10632" s="74">
        <f t="shared" si="7"/>
        <v>0</v>
      </c>
      <c r="J10632" s="74" t="str">
        <f>IF(E10632="SERVICE",I10632-(I10632*50%),Vlookup(E10632,DATABASE!C:Q,10,false)*F10632)</f>
        <v>#N/A</v>
      </c>
      <c r="K10632" s="74" t="str">
        <f>VLOOKUP(E10632,DATABASE!C:Q,7,false)</f>
        <v>#N/A</v>
      </c>
      <c r="L10632" s="74"/>
      <c r="M10632" s="74">
        <f t="shared" si="6"/>
        <v>0</v>
      </c>
      <c r="N10632" s="74" t="str">
        <f t="shared" si="9"/>
        <v>#N/A</v>
      </c>
      <c r="O10632" s="65" t="str">
        <f>VLOOKUP(E10632,DATABASE!C:Q,8,false)</f>
        <v>#N/A</v>
      </c>
      <c r="P10632" s="65" t="str">
        <f>VLOOKUP(E10632,DATABASE!C:Q,9,False)</f>
        <v>#N/A</v>
      </c>
      <c r="Q10632" s="93" t="str">
        <f>VLOOKUP(E10632,DATABASE!C:Q,4,false)</f>
        <v>#N/A</v>
      </c>
      <c r="R10632" s="93" t="str">
        <f>VLOOKUP(E10632,DATABASE!C:Q,11,false)</f>
        <v>#N/A</v>
      </c>
    </row>
    <row r="10633" ht="22.5" customHeight="1">
      <c r="A10633" s="49"/>
      <c r="C10633" s="400"/>
      <c r="D10633" s="524"/>
      <c r="E10633" s="544"/>
      <c r="F10633" s="387"/>
      <c r="G10633" s="140"/>
      <c r="H10633" s="74"/>
      <c r="I10633" s="74">
        <f t="shared" si="7"/>
        <v>0</v>
      </c>
      <c r="J10633" s="74" t="str">
        <f>IF(E10633="SERVICE",I10633-(I10633*50%),Vlookup(E10633,DATABASE!C:Q,10,false)*F10633)</f>
        <v>#N/A</v>
      </c>
      <c r="K10633" s="74" t="str">
        <f>VLOOKUP(E10633,DATABASE!C:Q,7,false)</f>
        <v>#N/A</v>
      </c>
      <c r="L10633" s="74"/>
      <c r="M10633" s="74">
        <f t="shared" si="6"/>
        <v>0</v>
      </c>
      <c r="N10633" s="74" t="str">
        <f t="shared" si="9"/>
        <v>#N/A</v>
      </c>
      <c r="O10633" s="65" t="str">
        <f>VLOOKUP(E10633,DATABASE!C:Q,8,false)</f>
        <v>#N/A</v>
      </c>
      <c r="P10633" s="65" t="str">
        <f>VLOOKUP(E10633,DATABASE!C:Q,9,False)</f>
        <v>#N/A</v>
      </c>
      <c r="Q10633" s="93" t="str">
        <f>VLOOKUP(E10633,DATABASE!C:Q,4,false)</f>
        <v>#N/A</v>
      </c>
      <c r="R10633" s="93" t="str">
        <f>VLOOKUP(E10633,DATABASE!C:Q,11,false)</f>
        <v>#N/A</v>
      </c>
    </row>
    <row r="10634" ht="22.5" customHeight="1">
      <c r="A10634" s="49"/>
      <c r="C10634" s="400"/>
      <c r="D10634" s="524"/>
      <c r="E10634" s="544"/>
      <c r="F10634" s="387"/>
      <c r="G10634" s="140"/>
      <c r="H10634" s="74"/>
      <c r="I10634" s="74">
        <f t="shared" si="7"/>
        <v>0</v>
      </c>
      <c r="J10634" s="74" t="str">
        <f>IF(E10634="SERVICE",I10634-(I10634*50%),Vlookup(E10634,DATABASE!C:Q,10,false)*F10634)</f>
        <v>#N/A</v>
      </c>
      <c r="K10634" s="74" t="str">
        <f>VLOOKUP(E10634,DATABASE!C:Q,7,false)</f>
        <v>#N/A</v>
      </c>
      <c r="L10634" s="74"/>
      <c r="M10634" s="74">
        <f t="shared" si="6"/>
        <v>0</v>
      </c>
      <c r="N10634" s="74" t="str">
        <f t="shared" si="9"/>
        <v>#N/A</v>
      </c>
      <c r="O10634" s="65" t="str">
        <f>VLOOKUP(E10634,DATABASE!C:Q,8,false)</f>
        <v>#N/A</v>
      </c>
      <c r="P10634" s="65" t="str">
        <f>VLOOKUP(E10634,DATABASE!C:Q,9,False)</f>
        <v>#N/A</v>
      </c>
      <c r="Q10634" s="93" t="str">
        <f>VLOOKUP(E10634,DATABASE!C:Q,4,false)</f>
        <v>#N/A</v>
      </c>
      <c r="R10634" s="93" t="str">
        <f>VLOOKUP(E10634,DATABASE!C:Q,11,false)</f>
        <v>#N/A</v>
      </c>
    </row>
    <row r="10635" ht="22.5" customHeight="1">
      <c r="A10635" s="49"/>
      <c r="C10635" s="400"/>
      <c r="D10635" s="524"/>
      <c r="E10635" s="544"/>
      <c r="F10635" s="387"/>
      <c r="G10635" s="140"/>
      <c r="H10635" s="74"/>
      <c r="I10635" s="74">
        <f t="shared" si="7"/>
        <v>0</v>
      </c>
      <c r="J10635" s="74" t="str">
        <f>IF(E10635="SERVICE",I10635-(I10635*50%),Vlookup(E10635,DATABASE!C:Q,10,false)*F10635)</f>
        <v>#N/A</v>
      </c>
      <c r="K10635" s="74" t="str">
        <f>VLOOKUP(E10635,DATABASE!C:Q,7,false)</f>
        <v>#N/A</v>
      </c>
      <c r="L10635" s="74"/>
      <c r="M10635" s="74">
        <f t="shared" si="6"/>
        <v>0</v>
      </c>
      <c r="N10635" s="74" t="str">
        <f t="shared" si="9"/>
        <v>#N/A</v>
      </c>
      <c r="O10635" s="65" t="str">
        <f>VLOOKUP(E10635,DATABASE!C:Q,8,false)</f>
        <v>#N/A</v>
      </c>
      <c r="P10635" s="65" t="str">
        <f>VLOOKUP(E10635,DATABASE!C:Q,9,False)</f>
        <v>#N/A</v>
      </c>
      <c r="Q10635" s="93" t="str">
        <f>VLOOKUP(E10635,DATABASE!C:Q,4,false)</f>
        <v>#N/A</v>
      </c>
      <c r="R10635" s="93" t="str">
        <f>VLOOKUP(E10635,DATABASE!C:Q,11,false)</f>
        <v>#N/A</v>
      </c>
    </row>
    <row r="10636" ht="22.5" customHeight="1">
      <c r="A10636" s="49"/>
      <c r="C10636" s="400"/>
      <c r="D10636" s="524"/>
      <c r="E10636" s="544"/>
      <c r="F10636" s="387"/>
      <c r="G10636" s="140"/>
      <c r="H10636" s="74"/>
      <c r="I10636" s="74">
        <f t="shared" si="7"/>
        <v>0</v>
      </c>
      <c r="J10636" s="74" t="str">
        <f>IF(E10636="SERVICE",I10636-(I10636*50%),Vlookup(E10636,DATABASE!C:Q,10,false)*F10636)</f>
        <v>#N/A</v>
      </c>
      <c r="K10636" s="74" t="str">
        <f>VLOOKUP(E10636,DATABASE!C:Q,7,false)</f>
        <v>#N/A</v>
      </c>
      <c r="L10636" s="74"/>
      <c r="M10636" s="74">
        <f t="shared" si="6"/>
        <v>0</v>
      </c>
      <c r="N10636" s="74" t="str">
        <f t="shared" si="9"/>
        <v>#N/A</v>
      </c>
      <c r="O10636" s="65" t="str">
        <f>VLOOKUP(E10636,DATABASE!C:Q,8,false)</f>
        <v>#N/A</v>
      </c>
      <c r="P10636" s="65" t="str">
        <f>VLOOKUP(E10636,DATABASE!C:Q,9,False)</f>
        <v>#N/A</v>
      </c>
      <c r="Q10636" s="93" t="str">
        <f>VLOOKUP(E10636,DATABASE!C:Q,4,false)</f>
        <v>#N/A</v>
      </c>
      <c r="R10636" s="93" t="str">
        <f>VLOOKUP(E10636,DATABASE!C:Q,11,false)</f>
        <v>#N/A</v>
      </c>
    </row>
    <row r="10637" ht="22.5" customHeight="1">
      <c r="A10637" s="49"/>
      <c r="C10637" s="400"/>
      <c r="D10637" s="524"/>
      <c r="E10637" s="544"/>
      <c r="F10637" s="387"/>
      <c r="G10637" s="140"/>
      <c r="H10637" s="74"/>
      <c r="I10637" s="74">
        <f t="shared" si="7"/>
        <v>0</v>
      </c>
      <c r="J10637" s="74" t="str">
        <f>IF(E10637="SERVICE",I10637-(I10637*50%),Vlookup(E10637,DATABASE!C:Q,10,false)*F10637)</f>
        <v>#N/A</v>
      </c>
      <c r="K10637" s="74" t="str">
        <f>VLOOKUP(E10637,DATABASE!C:Q,7,false)</f>
        <v>#N/A</v>
      </c>
      <c r="L10637" s="74"/>
      <c r="M10637" s="74">
        <f t="shared" si="6"/>
        <v>0</v>
      </c>
      <c r="N10637" s="74" t="str">
        <f t="shared" si="9"/>
        <v>#N/A</v>
      </c>
      <c r="O10637" s="65" t="str">
        <f>VLOOKUP(E10637,DATABASE!C:Q,8,false)</f>
        <v>#N/A</v>
      </c>
      <c r="P10637" s="65" t="str">
        <f>VLOOKUP(E10637,DATABASE!C:Q,9,False)</f>
        <v>#N/A</v>
      </c>
      <c r="Q10637" s="93" t="str">
        <f>VLOOKUP(E10637,DATABASE!C:Q,4,false)</f>
        <v>#N/A</v>
      </c>
      <c r="R10637" s="93" t="str">
        <f>VLOOKUP(E10637,DATABASE!C:Q,11,false)</f>
        <v>#N/A</v>
      </c>
    </row>
    <row r="10638" ht="22.5" customHeight="1">
      <c r="A10638" s="49"/>
      <c r="C10638" s="400"/>
      <c r="D10638" s="524"/>
      <c r="E10638" s="544"/>
      <c r="F10638" s="387"/>
      <c r="G10638" s="140"/>
      <c r="H10638" s="74"/>
      <c r="I10638" s="74">
        <f t="shared" si="7"/>
        <v>0</v>
      </c>
      <c r="J10638" s="74" t="str">
        <f>IF(E10638="SERVICE",I10638-(I10638*50%),Vlookup(E10638,DATABASE!C:Q,10,false)*F10638)</f>
        <v>#N/A</v>
      </c>
      <c r="K10638" s="74" t="str">
        <f>VLOOKUP(E10638,DATABASE!C:Q,7,false)</f>
        <v>#N/A</v>
      </c>
      <c r="L10638" s="74"/>
      <c r="M10638" s="74">
        <f t="shared" si="6"/>
        <v>0</v>
      </c>
      <c r="N10638" s="74" t="str">
        <f t="shared" si="9"/>
        <v>#N/A</v>
      </c>
      <c r="O10638" s="65" t="str">
        <f>VLOOKUP(E10638,DATABASE!C:Q,8,false)</f>
        <v>#N/A</v>
      </c>
      <c r="P10638" s="65" t="str">
        <f>VLOOKUP(E10638,DATABASE!C:Q,9,False)</f>
        <v>#N/A</v>
      </c>
      <c r="Q10638" s="93" t="str">
        <f>VLOOKUP(E10638,DATABASE!C:Q,4,false)</f>
        <v>#N/A</v>
      </c>
      <c r="R10638" s="93" t="str">
        <f>VLOOKUP(E10638,DATABASE!C:Q,11,false)</f>
        <v>#N/A</v>
      </c>
    </row>
    <row r="10639" ht="22.5" customHeight="1">
      <c r="A10639" s="49"/>
      <c r="C10639" s="400"/>
      <c r="D10639" s="524"/>
      <c r="E10639" s="544"/>
      <c r="F10639" s="387"/>
      <c r="G10639" s="140"/>
      <c r="H10639" s="74"/>
      <c r="I10639" s="74">
        <f t="shared" si="7"/>
        <v>0</v>
      </c>
      <c r="J10639" s="74" t="str">
        <f>IF(E10639="SERVICE",I10639-(I10639*50%),Vlookup(E10639,DATABASE!C:Q,10,false)*F10639)</f>
        <v>#N/A</v>
      </c>
      <c r="K10639" s="74" t="str">
        <f>VLOOKUP(E10639,DATABASE!C:Q,7,false)</f>
        <v>#N/A</v>
      </c>
      <c r="L10639" s="74"/>
      <c r="M10639" s="74">
        <f t="shared" si="6"/>
        <v>0</v>
      </c>
      <c r="N10639" s="74" t="str">
        <f t="shared" si="9"/>
        <v>#N/A</v>
      </c>
      <c r="O10639" s="65" t="str">
        <f>VLOOKUP(E10639,DATABASE!C:Q,8,false)</f>
        <v>#N/A</v>
      </c>
      <c r="P10639" s="65" t="str">
        <f>VLOOKUP(E10639,DATABASE!C:Q,9,False)</f>
        <v>#N/A</v>
      </c>
      <c r="Q10639" s="93" t="str">
        <f>VLOOKUP(E10639,DATABASE!C:Q,4,false)</f>
        <v>#N/A</v>
      </c>
      <c r="R10639" s="93" t="str">
        <f>VLOOKUP(E10639,DATABASE!C:Q,11,false)</f>
        <v>#N/A</v>
      </c>
    </row>
    <row r="10640" ht="22.5" customHeight="1">
      <c r="A10640" s="49"/>
      <c r="C10640" s="400"/>
      <c r="D10640" s="524"/>
      <c r="E10640" s="544"/>
      <c r="F10640" s="387"/>
      <c r="G10640" s="140"/>
      <c r="H10640" s="74"/>
      <c r="I10640" s="74">
        <f t="shared" si="7"/>
        <v>0</v>
      </c>
      <c r="J10640" s="74" t="str">
        <f>IF(E10640="SERVICE",I10640-(I10640*50%),Vlookup(E10640,DATABASE!C:Q,10,false)*F10640)</f>
        <v>#N/A</v>
      </c>
      <c r="K10640" s="74" t="str">
        <f>VLOOKUP(E10640,DATABASE!C:Q,7,false)</f>
        <v>#N/A</v>
      </c>
      <c r="L10640" s="74"/>
      <c r="M10640" s="74">
        <f t="shared" si="6"/>
        <v>0</v>
      </c>
      <c r="N10640" s="74" t="str">
        <f t="shared" si="9"/>
        <v>#N/A</v>
      </c>
      <c r="O10640" s="65" t="str">
        <f>VLOOKUP(E10640,DATABASE!C:Q,8,false)</f>
        <v>#N/A</v>
      </c>
      <c r="P10640" s="65" t="str">
        <f>VLOOKUP(E10640,DATABASE!C:Q,9,False)</f>
        <v>#N/A</v>
      </c>
      <c r="Q10640" s="93" t="str">
        <f>VLOOKUP(E10640,DATABASE!C:Q,4,false)</f>
        <v>#N/A</v>
      </c>
      <c r="R10640" s="93" t="str">
        <f>VLOOKUP(E10640,DATABASE!C:Q,11,false)</f>
        <v>#N/A</v>
      </c>
    </row>
    <row r="10641" ht="22.5" customHeight="1">
      <c r="A10641" s="49"/>
      <c r="C10641" s="400"/>
      <c r="D10641" s="524"/>
      <c r="E10641" s="544"/>
      <c r="F10641" s="387"/>
      <c r="G10641" s="140"/>
      <c r="H10641" s="74"/>
      <c r="I10641" s="74">
        <f t="shared" si="7"/>
        <v>0</v>
      </c>
      <c r="J10641" s="74" t="str">
        <f>IF(E10641="SERVICE",I10641-(I10641*50%),Vlookup(E10641,DATABASE!C:Q,10,false)*F10641)</f>
        <v>#N/A</v>
      </c>
      <c r="K10641" s="74" t="str">
        <f>VLOOKUP(E10641,DATABASE!C:Q,7,false)</f>
        <v>#N/A</v>
      </c>
      <c r="L10641" s="74"/>
      <c r="M10641" s="74">
        <f t="shared" si="6"/>
        <v>0</v>
      </c>
      <c r="N10641" s="74" t="str">
        <f t="shared" si="9"/>
        <v>#N/A</v>
      </c>
      <c r="O10641" s="65" t="str">
        <f>VLOOKUP(E10641,DATABASE!C:Q,8,false)</f>
        <v>#N/A</v>
      </c>
      <c r="P10641" s="65" t="str">
        <f>VLOOKUP(E10641,DATABASE!C:Q,9,False)</f>
        <v>#N/A</v>
      </c>
      <c r="Q10641" s="93" t="str">
        <f>VLOOKUP(E10641,DATABASE!C:Q,4,false)</f>
        <v>#N/A</v>
      </c>
      <c r="R10641" s="93" t="str">
        <f>VLOOKUP(E10641,DATABASE!C:Q,11,false)</f>
        <v>#N/A</v>
      </c>
    </row>
    <row r="10642" ht="22.5" customHeight="1">
      <c r="A10642" s="49"/>
      <c r="C10642" s="400"/>
      <c r="D10642" s="524"/>
      <c r="E10642" s="544"/>
      <c r="F10642" s="387"/>
      <c r="G10642" s="140"/>
      <c r="H10642" s="74"/>
      <c r="I10642" s="74">
        <f t="shared" si="7"/>
        <v>0</v>
      </c>
      <c r="J10642" s="74" t="str">
        <f>IF(E10642="SERVICE",I10642-(I10642*50%),Vlookup(E10642,DATABASE!C:Q,10,false)*F10642)</f>
        <v>#N/A</v>
      </c>
      <c r="K10642" s="74" t="str">
        <f>VLOOKUP(E10642,DATABASE!C:Q,7,false)</f>
        <v>#N/A</v>
      </c>
      <c r="L10642" s="74"/>
      <c r="M10642" s="74">
        <f t="shared" si="6"/>
        <v>0</v>
      </c>
      <c r="N10642" s="74" t="str">
        <f t="shared" si="9"/>
        <v>#N/A</v>
      </c>
      <c r="O10642" s="65" t="str">
        <f>VLOOKUP(E10642,DATABASE!C:Q,8,false)</f>
        <v>#N/A</v>
      </c>
      <c r="P10642" s="65" t="str">
        <f>VLOOKUP(E10642,DATABASE!C:Q,9,False)</f>
        <v>#N/A</v>
      </c>
      <c r="Q10642" s="93" t="str">
        <f>VLOOKUP(E10642,DATABASE!C:Q,4,false)</f>
        <v>#N/A</v>
      </c>
      <c r="R10642" s="93" t="str">
        <f>VLOOKUP(E10642,DATABASE!C:Q,11,false)</f>
        <v>#N/A</v>
      </c>
    </row>
    <row r="10643" ht="22.5" customHeight="1">
      <c r="A10643" s="49"/>
      <c r="C10643" s="400"/>
      <c r="D10643" s="524"/>
      <c r="E10643" s="544"/>
      <c r="F10643" s="387"/>
      <c r="G10643" s="140"/>
      <c r="H10643" s="74"/>
      <c r="I10643" s="74">
        <f t="shared" si="7"/>
        <v>0</v>
      </c>
      <c r="J10643" s="74" t="str">
        <f>IF(E10643="SERVICE",I10643-(I10643*50%),Vlookup(E10643,DATABASE!C:Q,10,false)*F10643)</f>
        <v>#N/A</v>
      </c>
      <c r="K10643" s="74" t="str">
        <f>VLOOKUP(E10643,DATABASE!C:Q,7,false)</f>
        <v>#N/A</v>
      </c>
      <c r="L10643" s="74"/>
      <c r="M10643" s="74">
        <f t="shared" si="6"/>
        <v>0</v>
      </c>
      <c r="N10643" s="74" t="str">
        <f t="shared" si="9"/>
        <v>#N/A</v>
      </c>
      <c r="O10643" s="65" t="str">
        <f>VLOOKUP(E10643,DATABASE!C:Q,8,false)</f>
        <v>#N/A</v>
      </c>
      <c r="P10643" s="65" t="str">
        <f>VLOOKUP(E10643,DATABASE!C:Q,9,False)</f>
        <v>#N/A</v>
      </c>
      <c r="Q10643" s="93" t="str">
        <f>VLOOKUP(E10643,DATABASE!C:Q,4,false)</f>
        <v>#N/A</v>
      </c>
      <c r="R10643" s="93" t="str">
        <f>VLOOKUP(E10643,DATABASE!C:Q,11,false)</f>
        <v>#N/A</v>
      </c>
    </row>
    <row r="10644" ht="22.5" customHeight="1">
      <c r="A10644" s="49"/>
      <c r="C10644" s="400"/>
      <c r="D10644" s="524"/>
      <c r="E10644" s="544"/>
      <c r="F10644" s="387"/>
      <c r="G10644" s="140"/>
      <c r="H10644" s="74"/>
      <c r="I10644" s="74">
        <f t="shared" si="7"/>
        <v>0</v>
      </c>
      <c r="J10644" s="74" t="str">
        <f>IF(E10644="SERVICE",I10644-(I10644*50%),Vlookup(E10644,DATABASE!C:Q,10,false)*F10644)</f>
        <v>#N/A</v>
      </c>
      <c r="K10644" s="74" t="str">
        <f>VLOOKUP(E10644,DATABASE!C:Q,7,false)</f>
        <v>#N/A</v>
      </c>
      <c r="L10644" s="74"/>
      <c r="M10644" s="74">
        <f t="shared" si="6"/>
        <v>0</v>
      </c>
      <c r="N10644" s="74" t="str">
        <f t="shared" si="9"/>
        <v>#N/A</v>
      </c>
      <c r="O10644" s="65" t="str">
        <f>VLOOKUP(E10644,DATABASE!C:Q,8,false)</f>
        <v>#N/A</v>
      </c>
      <c r="P10644" s="65" t="str">
        <f>VLOOKUP(E10644,DATABASE!C:Q,9,False)</f>
        <v>#N/A</v>
      </c>
      <c r="Q10644" s="93" t="str">
        <f>VLOOKUP(E10644,DATABASE!C:Q,4,false)</f>
        <v>#N/A</v>
      </c>
      <c r="R10644" s="93" t="str">
        <f>VLOOKUP(E10644,DATABASE!C:Q,11,false)</f>
        <v>#N/A</v>
      </c>
    </row>
    <row r="10645" ht="22.5" customHeight="1">
      <c r="A10645" s="49"/>
      <c r="C10645" s="400"/>
      <c r="D10645" s="524"/>
      <c r="E10645" s="544"/>
      <c r="F10645" s="387"/>
      <c r="G10645" s="140"/>
      <c r="H10645" s="74"/>
      <c r="I10645" s="74">
        <f t="shared" si="7"/>
        <v>0</v>
      </c>
      <c r="J10645" s="74" t="str">
        <f>IF(E10645="SERVICE",I10645-(I10645*50%),Vlookup(E10645,DATABASE!C:Q,10,false)*F10645)</f>
        <v>#N/A</v>
      </c>
      <c r="K10645" s="74" t="str">
        <f>VLOOKUP(E10645,DATABASE!C:Q,7,false)</f>
        <v>#N/A</v>
      </c>
      <c r="L10645" s="74"/>
      <c r="M10645" s="74">
        <f t="shared" si="6"/>
        <v>0</v>
      </c>
      <c r="N10645" s="74" t="str">
        <f t="shared" si="9"/>
        <v>#N/A</v>
      </c>
      <c r="O10645" s="65" t="str">
        <f>VLOOKUP(E10645,DATABASE!C:Q,8,false)</f>
        <v>#N/A</v>
      </c>
      <c r="P10645" s="65" t="str">
        <f>VLOOKUP(E10645,DATABASE!C:Q,9,False)</f>
        <v>#N/A</v>
      </c>
      <c r="Q10645" s="93" t="str">
        <f>VLOOKUP(E10645,DATABASE!C:Q,4,false)</f>
        <v>#N/A</v>
      </c>
      <c r="R10645" s="93" t="str">
        <f>VLOOKUP(E10645,DATABASE!C:Q,11,false)</f>
        <v>#N/A</v>
      </c>
    </row>
    <row r="10646" ht="22.5" customHeight="1">
      <c r="A10646" s="49"/>
      <c r="C10646" s="400"/>
      <c r="D10646" s="524"/>
      <c r="E10646" s="544"/>
      <c r="F10646" s="387"/>
      <c r="G10646" s="140"/>
      <c r="H10646" s="74"/>
      <c r="I10646" s="74">
        <f t="shared" si="7"/>
        <v>0</v>
      </c>
      <c r="J10646" s="74" t="str">
        <f>IF(E10646="SERVICE",I10646-(I10646*50%),Vlookup(E10646,DATABASE!C:Q,10,false)*F10646)</f>
        <v>#N/A</v>
      </c>
      <c r="K10646" s="74" t="str">
        <f>VLOOKUP(E10646,DATABASE!C:Q,7,false)</f>
        <v>#N/A</v>
      </c>
      <c r="L10646" s="74"/>
      <c r="M10646" s="74">
        <f t="shared" si="6"/>
        <v>0</v>
      </c>
      <c r="N10646" s="74" t="str">
        <f t="shared" si="9"/>
        <v>#N/A</v>
      </c>
      <c r="O10646" s="65" t="str">
        <f>VLOOKUP(E10646,DATABASE!C:Q,8,false)</f>
        <v>#N/A</v>
      </c>
      <c r="P10646" s="65" t="str">
        <f>VLOOKUP(E10646,DATABASE!C:Q,9,False)</f>
        <v>#N/A</v>
      </c>
      <c r="Q10646" s="93" t="str">
        <f>VLOOKUP(E10646,DATABASE!C:Q,4,false)</f>
        <v>#N/A</v>
      </c>
      <c r="R10646" s="93" t="str">
        <f>VLOOKUP(E10646,DATABASE!C:Q,11,false)</f>
        <v>#N/A</v>
      </c>
    </row>
    <row r="10647" ht="22.5" customHeight="1">
      <c r="A10647" s="49"/>
      <c r="C10647" s="400"/>
      <c r="D10647" s="524"/>
      <c r="E10647" s="544"/>
      <c r="F10647" s="387"/>
      <c r="G10647" s="140"/>
      <c r="H10647" s="74"/>
      <c r="I10647" s="74">
        <f t="shared" si="7"/>
        <v>0</v>
      </c>
      <c r="J10647" s="74" t="str">
        <f>IF(E10647="SERVICE",I10647-(I10647*50%),Vlookup(E10647,DATABASE!C:Q,10,false)*F10647)</f>
        <v>#N/A</v>
      </c>
      <c r="K10647" s="74" t="str">
        <f>VLOOKUP(E10647,DATABASE!C:Q,7,false)</f>
        <v>#N/A</v>
      </c>
      <c r="L10647" s="74"/>
      <c r="M10647" s="74">
        <f t="shared" si="6"/>
        <v>0</v>
      </c>
      <c r="N10647" s="74" t="str">
        <f t="shared" si="9"/>
        <v>#N/A</v>
      </c>
      <c r="O10647" s="65" t="str">
        <f>VLOOKUP(E10647,DATABASE!C:Q,8,false)</f>
        <v>#N/A</v>
      </c>
      <c r="P10647" s="65" t="str">
        <f>VLOOKUP(E10647,DATABASE!C:Q,9,False)</f>
        <v>#N/A</v>
      </c>
      <c r="Q10647" s="93" t="str">
        <f>VLOOKUP(E10647,DATABASE!C:Q,4,false)</f>
        <v>#N/A</v>
      </c>
      <c r="R10647" s="93" t="str">
        <f>VLOOKUP(E10647,DATABASE!C:Q,11,false)</f>
        <v>#N/A</v>
      </c>
    </row>
    <row r="10648" ht="22.5" customHeight="1">
      <c r="A10648" s="49"/>
      <c r="C10648" s="400"/>
      <c r="D10648" s="524"/>
      <c r="E10648" s="544"/>
      <c r="F10648" s="387"/>
      <c r="G10648" s="140"/>
      <c r="H10648" s="74"/>
      <c r="I10648" s="74">
        <f t="shared" si="7"/>
        <v>0</v>
      </c>
      <c r="J10648" s="74" t="str">
        <f>IF(E10648="SERVICE",I10648-(I10648*50%),Vlookup(E10648,DATABASE!C:Q,10,false)*F10648)</f>
        <v>#N/A</v>
      </c>
      <c r="K10648" s="74" t="str">
        <f>VLOOKUP(E10648,DATABASE!C:Q,7,false)</f>
        <v>#N/A</v>
      </c>
      <c r="L10648" s="74"/>
      <c r="M10648" s="74">
        <f t="shared" si="6"/>
        <v>0</v>
      </c>
      <c r="N10648" s="74" t="str">
        <f t="shared" si="9"/>
        <v>#N/A</v>
      </c>
      <c r="O10648" s="65" t="str">
        <f>VLOOKUP(E10648,DATABASE!C:Q,8,false)</f>
        <v>#N/A</v>
      </c>
      <c r="P10648" s="65" t="str">
        <f>VLOOKUP(E10648,DATABASE!C:Q,9,False)</f>
        <v>#N/A</v>
      </c>
      <c r="Q10648" s="93" t="str">
        <f>VLOOKUP(E10648,DATABASE!C:Q,4,false)</f>
        <v>#N/A</v>
      </c>
      <c r="R10648" s="93" t="str">
        <f>VLOOKUP(E10648,DATABASE!C:Q,11,false)</f>
        <v>#N/A</v>
      </c>
    </row>
    <row r="10649" ht="22.5" customHeight="1">
      <c r="A10649" s="49"/>
      <c r="C10649" s="400"/>
      <c r="D10649" s="524"/>
      <c r="E10649" s="544"/>
      <c r="F10649" s="387"/>
      <c r="G10649" s="140"/>
      <c r="H10649" s="74"/>
      <c r="I10649" s="74">
        <f t="shared" si="7"/>
        <v>0</v>
      </c>
      <c r="J10649" s="74" t="str">
        <f>IF(E10649="SERVICE",I10649-(I10649*50%),Vlookup(E10649,DATABASE!C:Q,10,false)*F10649)</f>
        <v>#N/A</v>
      </c>
      <c r="K10649" s="74" t="str">
        <f>VLOOKUP(E10649,DATABASE!C:Q,7,false)</f>
        <v>#N/A</v>
      </c>
      <c r="L10649" s="74"/>
      <c r="M10649" s="74">
        <f t="shared" si="6"/>
        <v>0</v>
      </c>
      <c r="N10649" s="74" t="str">
        <f t="shared" si="9"/>
        <v>#N/A</v>
      </c>
      <c r="O10649" s="65" t="str">
        <f>VLOOKUP(E10649,DATABASE!C:Q,8,false)</f>
        <v>#N/A</v>
      </c>
      <c r="P10649" s="65" t="str">
        <f>VLOOKUP(E10649,DATABASE!C:Q,9,False)</f>
        <v>#N/A</v>
      </c>
      <c r="Q10649" s="93" t="str">
        <f>VLOOKUP(E10649,DATABASE!C:Q,4,false)</f>
        <v>#N/A</v>
      </c>
      <c r="R10649" s="93" t="str">
        <f>VLOOKUP(E10649,DATABASE!C:Q,11,false)</f>
        <v>#N/A</v>
      </c>
    </row>
    <row r="10650" ht="22.5" customHeight="1">
      <c r="A10650" s="49"/>
      <c r="C10650" s="400"/>
      <c r="D10650" s="524"/>
      <c r="E10650" s="544"/>
      <c r="F10650" s="387"/>
      <c r="G10650" s="140"/>
      <c r="H10650" s="74"/>
      <c r="I10650" s="74">
        <f t="shared" si="7"/>
        <v>0</v>
      </c>
      <c r="J10650" s="74" t="str">
        <f>IF(E10650="SERVICE",I10650-(I10650*50%),Vlookup(E10650,DATABASE!C:Q,10,false)*F10650)</f>
        <v>#N/A</v>
      </c>
      <c r="K10650" s="74" t="str">
        <f>VLOOKUP(E10650,DATABASE!C:Q,7,false)</f>
        <v>#N/A</v>
      </c>
      <c r="L10650" s="74"/>
      <c r="M10650" s="74">
        <f t="shared" si="6"/>
        <v>0</v>
      </c>
      <c r="N10650" s="74" t="str">
        <f t="shared" si="9"/>
        <v>#N/A</v>
      </c>
      <c r="O10650" s="65" t="str">
        <f>VLOOKUP(E10650,DATABASE!C:Q,8,false)</f>
        <v>#N/A</v>
      </c>
      <c r="P10650" s="65" t="str">
        <f>VLOOKUP(E10650,DATABASE!C:Q,9,False)</f>
        <v>#N/A</v>
      </c>
      <c r="Q10650" s="93" t="str">
        <f>VLOOKUP(E10650,DATABASE!C:Q,4,false)</f>
        <v>#N/A</v>
      </c>
      <c r="R10650" s="93" t="str">
        <f>VLOOKUP(E10650,DATABASE!C:Q,11,false)</f>
        <v>#N/A</v>
      </c>
    </row>
    <row r="10651" ht="22.5" customHeight="1">
      <c r="A10651" s="49"/>
      <c r="C10651" s="400"/>
      <c r="D10651" s="524"/>
      <c r="E10651" s="544"/>
      <c r="F10651" s="387"/>
      <c r="G10651" s="140"/>
      <c r="H10651" s="74"/>
      <c r="I10651" s="74">
        <f t="shared" si="7"/>
        <v>0</v>
      </c>
      <c r="J10651" s="74" t="str">
        <f>IF(E10651="SERVICE",I10651-(I10651*50%),Vlookup(E10651,DATABASE!C:Q,10,false)*F10651)</f>
        <v>#N/A</v>
      </c>
      <c r="K10651" s="74" t="str">
        <f>VLOOKUP(E10651,DATABASE!C:Q,7,false)</f>
        <v>#N/A</v>
      </c>
      <c r="L10651" s="74"/>
      <c r="M10651" s="74">
        <f t="shared" si="6"/>
        <v>0</v>
      </c>
      <c r="N10651" s="74" t="str">
        <f t="shared" si="9"/>
        <v>#N/A</v>
      </c>
      <c r="O10651" s="65" t="str">
        <f>VLOOKUP(E10651,DATABASE!C:Q,8,false)</f>
        <v>#N/A</v>
      </c>
      <c r="P10651" s="65" t="str">
        <f>VLOOKUP(E10651,DATABASE!C:Q,9,False)</f>
        <v>#N/A</v>
      </c>
      <c r="Q10651" s="93" t="str">
        <f>VLOOKUP(E10651,DATABASE!C:Q,4,false)</f>
        <v>#N/A</v>
      </c>
      <c r="R10651" s="93" t="str">
        <f>VLOOKUP(E10651,DATABASE!C:Q,11,false)</f>
        <v>#N/A</v>
      </c>
    </row>
    <row r="10652" ht="22.5" customHeight="1">
      <c r="A10652" s="49"/>
      <c r="C10652" s="400"/>
      <c r="D10652" s="524"/>
      <c r="E10652" s="544"/>
      <c r="F10652" s="387"/>
      <c r="G10652" s="140"/>
      <c r="H10652" s="74"/>
      <c r="I10652" s="74">
        <f t="shared" si="7"/>
        <v>0</v>
      </c>
      <c r="J10652" s="74" t="str">
        <f>IF(E10652="SERVICE",I10652-(I10652*50%),Vlookup(E10652,DATABASE!C:Q,10,false)*F10652)</f>
        <v>#N/A</v>
      </c>
      <c r="K10652" s="74" t="str">
        <f>VLOOKUP(E10652,DATABASE!C:Q,7,false)</f>
        <v>#N/A</v>
      </c>
      <c r="L10652" s="74"/>
      <c r="M10652" s="74">
        <f t="shared" si="6"/>
        <v>0</v>
      </c>
      <c r="N10652" s="74" t="str">
        <f t="shared" si="9"/>
        <v>#N/A</v>
      </c>
      <c r="O10652" s="65" t="str">
        <f>VLOOKUP(E10652,DATABASE!C:Q,8,false)</f>
        <v>#N/A</v>
      </c>
      <c r="P10652" s="65" t="str">
        <f>VLOOKUP(E10652,DATABASE!C:Q,9,False)</f>
        <v>#N/A</v>
      </c>
      <c r="Q10652" s="93" t="str">
        <f>VLOOKUP(E10652,DATABASE!C:Q,4,false)</f>
        <v>#N/A</v>
      </c>
      <c r="R10652" s="93" t="str">
        <f>VLOOKUP(E10652,DATABASE!C:Q,11,false)</f>
        <v>#N/A</v>
      </c>
    </row>
    <row r="10653" ht="22.5" customHeight="1">
      <c r="A10653" s="49"/>
      <c r="C10653" s="400"/>
      <c r="D10653" s="524"/>
      <c r="E10653" s="544"/>
      <c r="F10653" s="387"/>
      <c r="G10653" s="140"/>
      <c r="H10653" s="74"/>
      <c r="I10653" s="74">
        <f t="shared" si="7"/>
        <v>0</v>
      </c>
      <c r="J10653" s="74" t="str">
        <f>IF(E10653="SERVICE",I10653-(I10653*50%),Vlookup(E10653,DATABASE!C:Q,10,false)*F10653)</f>
        <v>#N/A</v>
      </c>
      <c r="K10653" s="74" t="str">
        <f>VLOOKUP(E10653,DATABASE!C:Q,7,false)</f>
        <v>#N/A</v>
      </c>
      <c r="L10653" s="74"/>
      <c r="M10653" s="74">
        <f t="shared" si="6"/>
        <v>0</v>
      </c>
      <c r="N10653" s="74" t="str">
        <f t="shared" si="9"/>
        <v>#N/A</v>
      </c>
      <c r="O10653" s="65" t="str">
        <f>VLOOKUP(E10653,DATABASE!C:Q,8,false)</f>
        <v>#N/A</v>
      </c>
      <c r="P10653" s="65" t="str">
        <f>VLOOKUP(E10653,DATABASE!C:Q,9,False)</f>
        <v>#N/A</v>
      </c>
      <c r="Q10653" s="93" t="str">
        <f>VLOOKUP(E10653,DATABASE!C:Q,4,false)</f>
        <v>#N/A</v>
      </c>
      <c r="R10653" s="93" t="str">
        <f>VLOOKUP(E10653,DATABASE!C:Q,11,false)</f>
        <v>#N/A</v>
      </c>
    </row>
    <row r="10654" ht="22.5" customHeight="1">
      <c r="A10654" s="49"/>
      <c r="C10654" s="400"/>
      <c r="D10654" s="524"/>
      <c r="E10654" s="544"/>
      <c r="F10654" s="387"/>
      <c r="G10654" s="140"/>
      <c r="H10654" s="74"/>
      <c r="I10654" s="74">
        <f t="shared" si="7"/>
        <v>0</v>
      </c>
      <c r="J10654" s="74" t="str">
        <f>IF(E10654="SERVICE",I10654-(I10654*50%),Vlookup(E10654,DATABASE!C:Q,10,false)*F10654)</f>
        <v>#N/A</v>
      </c>
      <c r="K10654" s="74" t="str">
        <f>VLOOKUP(E10654,DATABASE!C:Q,7,false)</f>
        <v>#N/A</v>
      </c>
      <c r="L10654" s="74"/>
      <c r="M10654" s="74">
        <f t="shared" si="6"/>
        <v>0</v>
      </c>
      <c r="N10654" s="74" t="str">
        <f t="shared" si="9"/>
        <v>#N/A</v>
      </c>
      <c r="O10654" s="65" t="str">
        <f>VLOOKUP(E10654,DATABASE!C:Q,8,false)</f>
        <v>#N/A</v>
      </c>
      <c r="P10654" s="65" t="str">
        <f>VLOOKUP(E10654,DATABASE!C:Q,9,False)</f>
        <v>#N/A</v>
      </c>
      <c r="Q10654" s="93" t="str">
        <f>VLOOKUP(E10654,DATABASE!C:Q,4,false)</f>
        <v>#N/A</v>
      </c>
      <c r="R10654" s="93" t="str">
        <f>VLOOKUP(E10654,DATABASE!C:Q,11,false)</f>
        <v>#N/A</v>
      </c>
    </row>
    <row r="10655" ht="22.5" customHeight="1">
      <c r="A10655" s="49"/>
      <c r="C10655" s="400"/>
      <c r="D10655" s="524"/>
      <c r="E10655" s="544"/>
      <c r="F10655" s="387"/>
      <c r="G10655" s="140"/>
      <c r="H10655" s="74"/>
      <c r="I10655" s="74">
        <f t="shared" si="7"/>
        <v>0</v>
      </c>
      <c r="J10655" s="74" t="str">
        <f>IF(E10655="SERVICE",I10655-(I10655*50%),Vlookup(E10655,DATABASE!C:Q,10,false)*F10655)</f>
        <v>#N/A</v>
      </c>
      <c r="K10655" s="74" t="str">
        <f>VLOOKUP(E10655,DATABASE!C:Q,7,false)</f>
        <v>#N/A</v>
      </c>
      <c r="L10655" s="74"/>
      <c r="M10655" s="74">
        <f t="shared" si="6"/>
        <v>0</v>
      </c>
      <c r="N10655" s="74" t="str">
        <f t="shared" si="9"/>
        <v>#N/A</v>
      </c>
      <c r="O10655" s="65" t="str">
        <f>VLOOKUP(E10655,DATABASE!C:Q,8,false)</f>
        <v>#N/A</v>
      </c>
      <c r="P10655" s="65" t="str">
        <f>VLOOKUP(E10655,DATABASE!C:Q,9,False)</f>
        <v>#N/A</v>
      </c>
      <c r="Q10655" s="93" t="str">
        <f>VLOOKUP(E10655,DATABASE!C:Q,4,false)</f>
        <v>#N/A</v>
      </c>
      <c r="R10655" s="93" t="str">
        <f>VLOOKUP(E10655,DATABASE!C:Q,11,false)</f>
        <v>#N/A</v>
      </c>
    </row>
    <row r="10656" ht="22.5" customHeight="1">
      <c r="A10656" s="49"/>
      <c r="C10656" s="400"/>
      <c r="D10656" s="524"/>
      <c r="E10656" s="544"/>
      <c r="F10656" s="387"/>
      <c r="G10656" s="140"/>
      <c r="H10656" s="74"/>
      <c r="I10656" s="74">
        <f t="shared" si="7"/>
        <v>0</v>
      </c>
      <c r="J10656" s="74" t="str">
        <f>IF(E10656="SERVICE",I10656-(I10656*50%),Vlookup(E10656,DATABASE!C:Q,10,false)*F10656)</f>
        <v>#N/A</v>
      </c>
      <c r="K10656" s="74" t="str">
        <f>VLOOKUP(E10656,DATABASE!C:Q,7,false)</f>
        <v>#N/A</v>
      </c>
      <c r="L10656" s="74"/>
      <c r="M10656" s="74">
        <f t="shared" si="6"/>
        <v>0</v>
      </c>
      <c r="N10656" s="74" t="str">
        <f t="shared" si="9"/>
        <v>#N/A</v>
      </c>
      <c r="O10656" s="65" t="str">
        <f>VLOOKUP(E10656,DATABASE!C:Q,8,false)</f>
        <v>#N/A</v>
      </c>
      <c r="P10656" s="65" t="str">
        <f>VLOOKUP(E10656,DATABASE!C:Q,9,False)</f>
        <v>#N/A</v>
      </c>
      <c r="Q10656" s="93" t="str">
        <f>VLOOKUP(E10656,DATABASE!C:Q,4,false)</f>
        <v>#N/A</v>
      </c>
      <c r="R10656" s="93" t="str">
        <f>VLOOKUP(E10656,DATABASE!C:Q,11,false)</f>
        <v>#N/A</v>
      </c>
    </row>
    <row r="10657" ht="22.5" customHeight="1">
      <c r="A10657" s="49"/>
      <c r="C10657" s="400"/>
      <c r="D10657" s="524"/>
      <c r="E10657" s="544"/>
      <c r="F10657" s="387"/>
      <c r="G10657" s="140"/>
      <c r="H10657" s="74"/>
      <c r="I10657" s="74">
        <f t="shared" si="7"/>
        <v>0</v>
      </c>
      <c r="J10657" s="74" t="str">
        <f>IF(E10657="SERVICE",I10657-(I10657*50%),Vlookup(E10657,DATABASE!C:Q,10,false)*F10657)</f>
        <v>#N/A</v>
      </c>
      <c r="K10657" s="74" t="str">
        <f>VLOOKUP(E10657,DATABASE!C:Q,7,false)</f>
        <v>#N/A</v>
      </c>
      <c r="L10657" s="74"/>
      <c r="M10657" s="74">
        <f t="shared" si="6"/>
        <v>0</v>
      </c>
      <c r="N10657" s="74" t="str">
        <f t="shared" si="9"/>
        <v>#N/A</v>
      </c>
      <c r="O10657" s="65" t="str">
        <f>VLOOKUP(E10657,DATABASE!C:Q,8,false)</f>
        <v>#N/A</v>
      </c>
      <c r="P10657" s="65" t="str">
        <f>VLOOKUP(E10657,DATABASE!C:Q,9,False)</f>
        <v>#N/A</v>
      </c>
      <c r="Q10657" s="93" t="str">
        <f>VLOOKUP(E10657,DATABASE!C:Q,4,false)</f>
        <v>#N/A</v>
      </c>
      <c r="R10657" s="93" t="str">
        <f>VLOOKUP(E10657,DATABASE!C:Q,11,false)</f>
        <v>#N/A</v>
      </c>
    </row>
    <row r="10658" ht="22.5" customHeight="1">
      <c r="A10658" s="49"/>
      <c r="C10658" s="400"/>
      <c r="D10658" s="524"/>
      <c r="E10658" s="544"/>
      <c r="F10658" s="387"/>
      <c r="G10658" s="140"/>
      <c r="H10658" s="74"/>
      <c r="I10658" s="74">
        <f t="shared" si="7"/>
        <v>0</v>
      </c>
      <c r="J10658" s="74" t="str">
        <f>IF(E10658="SERVICE",I10658-(I10658*50%),Vlookup(E10658,DATABASE!C:Q,10,false)*F10658)</f>
        <v>#N/A</v>
      </c>
      <c r="K10658" s="74" t="str">
        <f>VLOOKUP(E10658,DATABASE!C:Q,7,false)</f>
        <v>#N/A</v>
      </c>
      <c r="L10658" s="74"/>
      <c r="M10658" s="74">
        <f t="shared" si="6"/>
        <v>0</v>
      </c>
      <c r="N10658" s="74" t="str">
        <f t="shared" si="9"/>
        <v>#N/A</v>
      </c>
      <c r="O10658" s="65" t="str">
        <f>VLOOKUP(E10658,DATABASE!C:Q,8,false)</f>
        <v>#N/A</v>
      </c>
      <c r="P10658" s="65" t="str">
        <f>VLOOKUP(E10658,DATABASE!C:Q,9,False)</f>
        <v>#N/A</v>
      </c>
      <c r="Q10658" s="93" t="str">
        <f>VLOOKUP(E10658,DATABASE!C:Q,4,false)</f>
        <v>#N/A</v>
      </c>
      <c r="R10658" s="93" t="str">
        <f>VLOOKUP(E10658,DATABASE!C:Q,11,false)</f>
        <v>#N/A</v>
      </c>
    </row>
    <row r="10659" ht="22.5" customHeight="1">
      <c r="A10659" s="49"/>
      <c r="C10659" s="400"/>
      <c r="D10659" s="524"/>
      <c r="E10659" s="544"/>
      <c r="F10659" s="387"/>
      <c r="G10659" s="140"/>
      <c r="H10659" s="74"/>
      <c r="I10659" s="74">
        <f t="shared" si="7"/>
        <v>0</v>
      </c>
      <c r="J10659" s="74" t="str">
        <f>IF(E10659="SERVICE",I10659-(I10659*50%),Vlookup(E10659,DATABASE!C:Q,10,false)*F10659)</f>
        <v>#N/A</v>
      </c>
      <c r="K10659" s="74" t="str">
        <f>VLOOKUP(E10659,DATABASE!C:Q,7,false)</f>
        <v>#N/A</v>
      </c>
      <c r="L10659" s="74"/>
      <c r="M10659" s="74">
        <f t="shared" si="6"/>
        <v>0</v>
      </c>
      <c r="N10659" s="74" t="str">
        <f t="shared" si="9"/>
        <v>#N/A</v>
      </c>
      <c r="O10659" s="65" t="str">
        <f>VLOOKUP(E10659,DATABASE!C:Q,8,false)</f>
        <v>#N/A</v>
      </c>
      <c r="P10659" s="65" t="str">
        <f>VLOOKUP(E10659,DATABASE!C:Q,9,False)</f>
        <v>#N/A</v>
      </c>
      <c r="Q10659" s="93" t="str">
        <f>VLOOKUP(E10659,DATABASE!C:Q,4,false)</f>
        <v>#N/A</v>
      </c>
      <c r="R10659" s="93" t="str">
        <f>VLOOKUP(E10659,DATABASE!C:Q,11,false)</f>
        <v>#N/A</v>
      </c>
    </row>
    <row r="10660" ht="22.5" customHeight="1">
      <c r="A10660" s="49"/>
      <c r="C10660" s="400"/>
      <c r="D10660" s="524"/>
      <c r="E10660" s="544"/>
      <c r="F10660" s="387"/>
      <c r="G10660" s="140"/>
      <c r="H10660" s="74"/>
      <c r="I10660" s="74">
        <f t="shared" si="7"/>
        <v>0</v>
      </c>
      <c r="J10660" s="74" t="str">
        <f>IF(E10660="SERVICE",I10660-(I10660*50%),Vlookup(E10660,DATABASE!C:Q,10,false)*F10660)</f>
        <v>#N/A</v>
      </c>
      <c r="K10660" s="74" t="str">
        <f>VLOOKUP(E10660,DATABASE!C:Q,7,false)</f>
        <v>#N/A</v>
      </c>
      <c r="L10660" s="74"/>
      <c r="M10660" s="74">
        <f t="shared" si="6"/>
        <v>0</v>
      </c>
      <c r="N10660" s="74" t="str">
        <f t="shared" si="9"/>
        <v>#N/A</v>
      </c>
      <c r="O10660" s="65" t="str">
        <f>VLOOKUP(E10660,DATABASE!C:Q,8,false)</f>
        <v>#N/A</v>
      </c>
      <c r="P10660" s="65" t="str">
        <f>VLOOKUP(E10660,DATABASE!C:Q,9,False)</f>
        <v>#N/A</v>
      </c>
      <c r="Q10660" s="93" t="str">
        <f>VLOOKUP(E10660,DATABASE!C:Q,4,false)</f>
        <v>#N/A</v>
      </c>
      <c r="R10660" s="93" t="str">
        <f>VLOOKUP(E10660,DATABASE!C:Q,11,false)</f>
        <v>#N/A</v>
      </c>
    </row>
    <row r="10661" ht="22.5" customHeight="1">
      <c r="A10661" s="49"/>
      <c r="C10661" s="400"/>
      <c r="D10661" s="524"/>
      <c r="E10661" s="544"/>
      <c r="F10661" s="387"/>
      <c r="G10661" s="140"/>
      <c r="H10661" s="74"/>
      <c r="I10661" s="74">
        <f t="shared" si="7"/>
        <v>0</v>
      </c>
      <c r="J10661" s="74" t="str">
        <f>IF(E10661="SERVICE",I10661-(I10661*50%),Vlookup(E10661,DATABASE!C:Q,10,false)*F10661)</f>
        <v>#N/A</v>
      </c>
      <c r="K10661" s="74" t="str">
        <f>VLOOKUP(E10661,DATABASE!C:Q,7,false)</f>
        <v>#N/A</v>
      </c>
      <c r="L10661" s="74"/>
      <c r="M10661" s="74">
        <f t="shared" si="6"/>
        <v>0</v>
      </c>
      <c r="N10661" s="74" t="str">
        <f t="shared" si="9"/>
        <v>#N/A</v>
      </c>
      <c r="O10661" s="65" t="str">
        <f>VLOOKUP(E10661,DATABASE!C:Q,8,false)</f>
        <v>#N/A</v>
      </c>
      <c r="P10661" s="65" t="str">
        <f>VLOOKUP(E10661,DATABASE!C:Q,9,False)</f>
        <v>#N/A</v>
      </c>
      <c r="Q10661" s="93" t="str">
        <f>VLOOKUP(E10661,DATABASE!C:Q,4,false)</f>
        <v>#N/A</v>
      </c>
      <c r="R10661" s="93" t="str">
        <f>VLOOKUP(E10661,DATABASE!C:Q,11,false)</f>
        <v>#N/A</v>
      </c>
    </row>
    <row r="10662" ht="22.5" customHeight="1">
      <c r="A10662" s="49"/>
      <c r="C10662" s="400"/>
      <c r="D10662" s="524"/>
      <c r="E10662" s="544"/>
      <c r="F10662" s="387"/>
      <c r="G10662" s="140"/>
      <c r="H10662" s="74"/>
      <c r="I10662" s="74">
        <f t="shared" si="7"/>
        <v>0</v>
      </c>
      <c r="J10662" s="74" t="str">
        <f>IF(E10662="SERVICE",I10662-(I10662*50%),Vlookup(E10662,DATABASE!C:Q,10,false)*F10662)</f>
        <v>#N/A</v>
      </c>
      <c r="K10662" s="74" t="str">
        <f>VLOOKUP(E10662,DATABASE!C:Q,7,false)</f>
        <v>#N/A</v>
      </c>
      <c r="L10662" s="74"/>
      <c r="M10662" s="74">
        <f t="shared" si="6"/>
        <v>0</v>
      </c>
      <c r="N10662" s="74" t="str">
        <f t="shared" si="9"/>
        <v>#N/A</v>
      </c>
      <c r="O10662" s="65" t="str">
        <f>VLOOKUP(E10662,DATABASE!C:Q,8,false)</f>
        <v>#N/A</v>
      </c>
      <c r="P10662" s="65" t="str">
        <f>VLOOKUP(E10662,DATABASE!C:Q,9,False)</f>
        <v>#N/A</v>
      </c>
      <c r="Q10662" s="93" t="str">
        <f>VLOOKUP(E10662,DATABASE!C:Q,4,false)</f>
        <v>#N/A</v>
      </c>
      <c r="R10662" s="93" t="str">
        <f>VLOOKUP(E10662,DATABASE!C:Q,11,false)</f>
        <v>#N/A</v>
      </c>
    </row>
    <row r="10663" ht="22.5" customHeight="1">
      <c r="A10663" s="49"/>
      <c r="C10663" s="400"/>
      <c r="D10663" s="524"/>
      <c r="E10663" s="544"/>
      <c r="F10663" s="387"/>
      <c r="G10663" s="140"/>
      <c r="H10663" s="74"/>
      <c r="I10663" s="74">
        <f t="shared" si="7"/>
        <v>0</v>
      </c>
      <c r="J10663" s="74" t="str">
        <f>IF(E10663="SERVICE",I10663-(I10663*50%),Vlookup(E10663,DATABASE!C:Q,10,false)*F10663)</f>
        <v>#N/A</v>
      </c>
      <c r="K10663" s="74" t="str">
        <f>VLOOKUP(E10663,DATABASE!C:Q,7,false)</f>
        <v>#N/A</v>
      </c>
      <c r="L10663" s="74"/>
      <c r="M10663" s="74">
        <f t="shared" si="6"/>
        <v>0</v>
      </c>
      <c r="N10663" s="74" t="str">
        <f t="shared" si="9"/>
        <v>#N/A</v>
      </c>
      <c r="O10663" s="65" t="str">
        <f>VLOOKUP(E10663,DATABASE!C:Q,8,false)</f>
        <v>#N/A</v>
      </c>
      <c r="P10663" s="65" t="str">
        <f>VLOOKUP(E10663,DATABASE!C:Q,9,False)</f>
        <v>#N/A</v>
      </c>
      <c r="Q10663" s="93" t="str">
        <f>VLOOKUP(E10663,DATABASE!C:Q,4,false)</f>
        <v>#N/A</v>
      </c>
      <c r="R10663" s="93" t="str">
        <f>VLOOKUP(E10663,DATABASE!C:Q,11,false)</f>
        <v>#N/A</v>
      </c>
    </row>
    <row r="10664" ht="22.5" customHeight="1">
      <c r="A10664" s="49"/>
      <c r="C10664" s="400"/>
      <c r="D10664" s="524"/>
      <c r="E10664" s="544"/>
      <c r="F10664" s="387"/>
      <c r="G10664" s="140"/>
      <c r="H10664" s="74"/>
      <c r="I10664" s="74">
        <f t="shared" si="7"/>
        <v>0</v>
      </c>
      <c r="J10664" s="74" t="str">
        <f>IF(E10664="SERVICE",I10664-(I10664*50%),Vlookup(E10664,DATABASE!C:Q,10,false)*F10664)</f>
        <v>#N/A</v>
      </c>
      <c r="K10664" s="74" t="str">
        <f>VLOOKUP(E10664,DATABASE!C:Q,7,false)</f>
        <v>#N/A</v>
      </c>
      <c r="L10664" s="74"/>
      <c r="M10664" s="74">
        <f t="shared" si="6"/>
        <v>0</v>
      </c>
      <c r="N10664" s="74" t="str">
        <f t="shared" si="9"/>
        <v>#N/A</v>
      </c>
      <c r="O10664" s="65" t="str">
        <f>VLOOKUP(E10664,DATABASE!C:Q,8,false)</f>
        <v>#N/A</v>
      </c>
      <c r="P10664" s="65" t="str">
        <f>VLOOKUP(E10664,DATABASE!C:Q,9,False)</f>
        <v>#N/A</v>
      </c>
      <c r="Q10664" s="93" t="str">
        <f>VLOOKUP(E10664,DATABASE!C:Q,4,false)</f>
        <v>#N/A</v>
      </c>
      <c r="R10664" s="93" t="str">
        <f>VLOOKUP(E10664,DATABASE!C:Q,11,false)</f>
        <v>#N/A</v>
      </c>
    </row>
    <row r="10665" ht="22.5" customHeight="1">
      <c r="A10665" s="49"/>
      <c r="C10665" s="400"/>
      <c r="D10665" s="524"/>
      <c r="E10665" s="544"/>
      <c r="F10665" s="387"/>
      <c r="G10665" s="140"/>
      <c r="H10665" s="74"/>
      <c r="I10665" s="74">
        <f t="shared" si="7"/>
        <v>0</v>
      </c>
      <c r="J10665" s="74" t="str">
        <f>IF(E10665="SERVICE",I10665-(I10665*50%),Vlookup(E10665,DATABASE!C:Q,10,false)*F10665)</f>
        <v>#N/A</v>
      </c>
      <c r="K10665" s="74" t="str">
        <f>VLOOKUP(E10665,DATABASE!C:Q,7,false)</f>
        <v>#N/A</v>
      </c>
      <c r="L10665" s="74"/>
      <c r="M10665" s="74">
        <f t="shared" si="6"/>
        <v>0</v>
      </c>
      <c r="N10665" s="74" t="str">
        <f t="shared" si="9"/>
        <v>#N/A</v>
      </c>
      <c r="O10665" s="65" t="str">
        <f>VLOOKUP(E10665,DATABASE!C:Q,8,false)</f>
        <v>#N/A</v>
      </c>
      <c r="P10665" s="65" t="str">
        <f>VLOOKUP(E10665,DATABASE!C:Q,9,False)</f>
        <v>#N/A</v>
      </c>
      <c r="Q10665" s="93" t="str">
        <f>VLOOKUP(E10665,DATABASE!C:Q,4,false)</f>
        <v>#N/A</v>
      </c>
      <c r="R10665" s="93" t="str">
        <f>VLOOKUP(E10665,DATABASE!C:Q,11,false)</f>
        <v>#N/A</v>
      </c>
    </row>
    <row r="10666" ht="22.5" customHeight="1">
      <c r="A10666" s="49"/>
      <c r="C10666" s="400"/>
      <c r="D10666" s="524"/>
      <c r="E10666" s="544"/>
      <c r="F10666" s="387"/>
      <c r="G10666" s="140"/>
      <c r="H10666" s="74"/>
      <c r="I10666" s="74">
        <f t="shared" si="7"/>
        <v>0</v>
      </c>
      <c r="J10666" s="74" t="str">
        <f>IF(E10666="SERVICE",I10666-(I10666*50%),Vlookup(E10666,DATABASE!C:Q,10,false)*F10666)</f>
        <v>#N/A</v>
      </c>
      <c r="K10666" s="74" t="str">
        <f>VLOOKUP(E10666,DATABASE!C:Q,7,false)</f>
        <v>#N/A</v>
      </c>
      <c r="L10666" s="74"/>
      <c r="M10666" s="74">
        <f t="shared" si="6"/>
        <v>0</v>
      </c>
      <c r="N10666" s="74" t="str">
        <f t="shared" si="9"/>
        <v>#N/A</v>
      </c>
      <c r="O10666" s="65" t="str">
        <f>VLOOKUP(E10666,DATABASE!C:Q,8,false)</f>
        <v>#N/A</v>
      </c>
      <c r="P10666" s="65" t="str">
        <f>VLOOKUP(E10666,DATABASE!C:Q,9,False)</f>
        <v>#N/A</v>
      </c>
      <c r="Q10666" s="93" t="str">
        <f>VLOOKUP(E10666,DATABASE!C:Q,4,false)</f>
        <v>#N/A</v>
      </c>
      <c r="R10666" s="93" t="str">
        <f>VLOOKUP(E10666,DATABASE!C:Q,11,false)</f>
        <v>#N/A</v>
      </c>
    </row>
    <row r="10667" ht="22.5" customHeight="1">
      <c r="A10667" s="49"/>
      <c r="C10667" s="400"/>
      <c r="D10667" s="524"/>
      <c r="E10667" s="544"/>
      <c r="F10667" s="387"/>
      <c r="G10667" s="140"/>
      <c r="H10667" s="74"/>
      <c r="I10667" s="74">
        <f t="shared" si="7"/>
        <v>0</v>
      </c>
      <c r="J10667" s="74" t="str">
        <f>IF(E10667="SERVICE",I10667-(I10667*50%),Vlookup(E10667,DATABASE!C:Q,10,false)*F10667)</f>
        <v>#N/A</v>
      </c>
      <c r="K10667" s="74" t="str">
        <f>VLOOKUP(E10667,DATABASE!C:Q,7,false)</f>
        <v>#N/A</v>
      </c>
      <c r="L10667" s="74"/>
      <c r="M10667" s="74">
        <f t="shared" si="6"/>
        <v>0</v>
      </c>
      <c r="N10667" s="74" t="str">
        <f t="shared" si="9"/>
        <v>#N/A</v>
      </c>
      <c r="O10667" s="65" t="str">
        <f>VLOOKUP(E10667,DATABASE!C:Q,8,false)</f>
        <v>#N/A</v>
      </c>
      <c r="P10667" s="65" t="str">
        <f>VLOOKUP(E10667,DATABASE!C:Q,9,False)</f>
        <v>#N/A</v>
      </c>
      <c r="Q10667" s="93" t="str">
        <f>VLOOKUP(E10667,DATABASE!C:Q,4,false)</f>
        <v>#N/A</v>
      </c>
      <c r="R10667" s="93" t="str">
        <f>VLOOKUP(E10667,DATABASE!C:Q,11,false)</f>
        <v>#N/A</v>
      </c>
    </row>
    <row r="10668" ht="22.5" customHeight="1">
      <c r="A10668" s="49"/>
      <c r="C10668" s="400"/>
      <c r="D10668" s="524"/>
      <c r="E10668" s="544"/>
      <c r="F10668" s="387"/>
      <c r="G10668" s="140"/>
      <c r="H10668" s="74"/>
      <c r="I10668" s="74">
        <f t="shared" si="7"/>
        <v>0</v>
      </c>
      <c r="J10668" s="74" t="str">
        <f>IF(E10668="SERVICE",I10668-(I10668*50%),Vlookup(E10668,DATABASE!C:Q,10,false)*F10668)</f>
        <v>#N/A</v>
      </c>
      <c r="K10668" s="74" t="str">
        <f>VLOOKUP(E10668,DATABASE!C:Q,7,false)</f>
        <v>#N/A</v>
      </c>
      <c r="L10668" s="74"/>
      <c r="M10668" s="74">
        <f t="shared" si="6"/>
        <v>0</v>
      </c>
      <c r="N10668" s="74" t="str">
        <f t="shared" si="9"/>
        <v>#N/A</v>
      </c>
      <c r="O10668" s="65" t="str">
        <f>VLOOKUP(E10668,DATABASE!C:Q,8,false)</f>
        <v>#N/A</v>
      </c>
      <c r="P10668" s="65" t="str">
        <f>VLOOKUP(E10668,DATABASE!C:Q,9,False)</f>
        <v>#N/A</v>
      </c>
      <c r="Q10668" s="93" t="str">
        <f>VLOOKUP(E10668,DATABASE!C:Q,4,false)</f>
        <v>#N/A</v>
      </c>
      <c r="R10668" s="93" t="str">
        <f>VLOOKUP(E10668,DATABASE!C:Q,11,false)</f>
        <v>#N/A</v>
      </c>
    </row>
    <row r="10669" ht="22.5" customHeight="1">
      <c r="A10669" s="49"/>
      <c r="C10669" s="400"/>
      <c r="D10669" s="524"/>
      <c r="E10669" s="544"/>
      <c r="F10669" s="387"/>
      <c r="G10669" s="140"/>
      <c r="H10669" s="74"/>
      <c r="I10669" s="74">
        <f t="shared" si="7"/>
        <v>0</v>
      </c>
      <c r="J10669" s="74" t="str">
        <f>IF(E10669="SERVICE",I10669-(I10669*50%),Vlookup(E10669,DATABASE!C:Q,10,false)*F10669)</f>
        <v>#N/A</v>
      </c>
      <c r="K10669" s="74" t="str">
        <f>VLOOKUP(E10669,DATABASE!C:Q,7,false)</f>
        <v>#N/A</v>
      </c>
      <c r="L10669" s="74"/>
      <c r="M10669" s="74">
        <f t="shared" si="6"/>
        <v>0</v>
      </c>
      <c r="N10669" s="74" t="str">
        <f t="shared" si="9"/>
        <v>#N/A</v>
      </c>
      <c r="O10669" s="65" t="str">
        <f>VLOOKUP(E10669,DATABASE!C:Q,8,false)</f>
        <v>#N/A</v>
      </c>
      <c r="P10669" s="65" t="str">
        <f>VLOOKUP(E10669,DATABASE!C:Q,9,False)</f>
        <v>#N/A</v>
      </c>
      <c r="Q10669" s="93" t="str">
        <f>VLOOKUP(E10669,DATABASE!C:Q,4,false)</f>
        <v>#N/A</v>
      </c>
      <c r="R10669" s="93" t="str">
        <f>VLOOKUP(E10669,DATABASE!C:Q,11,false)</f>
        <v>#N/A</v>
      </c>
    </row>
    <row r="10670" ht="22.5" customHeight="1">
      <c r="A10670" s="49"/>
      <c r="C10670" s="400"/>
      <c r="D10670" s="524"/>
      <c r="E10670" s="544"/>
      <c r="F10670" s="387"/>
      <c r="G10670" s="140"/>
      <c r="H10670" s="74"/>
      <c r="I10670" s="74">
        <f t="shared" si="7"/>
        <v>0</v>
      </c>
      <c r="J10670" s="74" t="str">
        <f>IF(E10670="SERVICE",I10670-(I10670*50%),Vlookup(E10670,DATABASE!C:Q,10,false)*F10670)</f>
        <v>#N/A</v>
      </c>
      <c r="K10670" s="74" t="str">
        <f>VLOOKUP(E10670,DATABASE!C:Q,7,false)</f>
        <v>#N/A</v>
      </c>
      <c r="L10670" s="74"/>
      <c r="M10670" s="74">
        <f t="shared" si="6"/>
        <v>0</v>
      </c>
      <c r="N10670" s="74" t="str">
        <f t="shared" si="9"/>
        <v>#N/A</v>
      </c>
      <c r="O10670" s="65" t="str">
        <f>VLOOKUP(E10670,DATABASE!C:Q,8,false)</f>
        <v>#N/A</v>
      </c>
      <c r="P10670" s="65" t="str">
        <f>VLOOKUP(E10670,DATABASE!C:Q,9,False)</f>
        <v>#N/A</v>
      </c>
      <c r="Q10670" s="93" t="str">
        <f>VLOOKUP(E10670,DATABASE!C:Q,4,false)</f>
        <v>#N/A</v>
      </c>
      <c r="R10670" s="93" t="str">
        <f>VLOOKUP(E10670,DATABASE!C:Q,11,false)</f>
        <v>#N/A</v>
      </c>
    </row>
    <row r="10671" ht="22.5" customHeight="1">
      <c r="A10671" s="49"/>
      <c r="C10671" s="400"/>
      <c r="D10671" s="524"/>
      <c r="E10671" s="544"/>
      <c r="F10671" s="387"/>
      <c r="G10671" s="140"/>
      <c r="H10671" s="74"/>
      <c r="I10671" s="74">
        <f t="shared" si="7"/>
        <v>0</v>
      </c>
      <c r="J10671" s="74" t="str">
        <f>IF(E10671="SERVICE",I10671-(I10671*50%),Vlookup(E10671,DATABASE!C:Q,10,false)*F10671)</f>
        <v>#N/A</v>
      </c>
      <c r="K10671" s="74" t="str">
        <f>VLOOKUP(E10671,DATABASE!C:Q,7,false)</f>
        <v>#N/A</v>
      </c>
      <c r="L10671" s="74"/>
      <c r="M10671" s="74">
        <f t="shared" si="6"/>
        <v>0</v>
      </c>
      <c r="N10671" s="74" t="str">
        <f t="shared" si="9"/>
        <v>#N/A</v>
      </c>
      <c r="O10671" s="65" t="str">
        <f>VLOOKUP(E10671,DATABASE!C:Q,8,false)</f>
        <v>#N/A</v>
      </c>
      <c r="P10671" s="65" t="str">
        <f>VLOOKUP(E10671,DATABASE!C:Q,9,False)</f>
        <v>#N/A</v>
      </c>
      <c r="Q10671" s="93" t="str">
        <f>VLOOKUP(E10671,DATABASE!C:Q,4,false)</f>
        <v>#N/A</v>
      </c>
      <c r="R10671" s="93" t="str">
        <f>VLOOKUP(E10671,DATABASE!C:Q,11,false)</f>
        <v>#N/A</v>
      </c>
    </row>
    <row r="10672" ht="22.5" customHeight="1">
      <c r="A10672" s="49"/>
      <c r="C10672" s="400"/>
      <c r="D10672" s="524"/>
      <c r="E10672" s="544"/>
      <c r="F10672" s="387"/>
      <c r="G10672" s="140"/>
      <c r="H10672" s="74"/>
      <c r="I10672" s="74">
        <f t="shared" si="7"/>
        <v>0</v>
      </c>
      <c r="J10672" s="74" t="str">
        <f>IF(E10672="SERVICE",I10672-(I10672*50%),Vlookup(E10672,DATABASE!C:Q,10,false)*F10672)</f>
        <v>#N/A</v>
      </c>
      <c r="K10672" s="74" t="str">
        <f>VLOOKUP(E10672,DATABASE!C:Q,7,false)</f>
        <v>#N/A</v>
      </c>
      <c r="L10672" s="74"/>
      <c r="M10672" s="74">
        <f t="shared" si="6"/>
        <v>0</v>
      </c>
      <c r="N10672" s="74" t="str">
        <f t="shared" si="9"/>
        <v>#N/A</v>
      </c>
      <c r="O10672" s="65" t="str">
        <f>VLOOKUP(E10672,DATABASE!C:Q,8,false)</f>
        <v>#N/A</v>
      </c>
      <c r="P10672" s="65" t="str">
        <f>VLOOKUP(E10672,DATABASE!C:Q,9,False)</f>
        <v>#N/A</v>
      </c>
      <c r="Q10672" s="93" t="str">
        <f>VLOOKUP(E10672,DATABASE!C:Q,4,false)</f>
        <v>#N/A</v>
      </c>
      <c r="R10672" s="93" t="str">
        <f>VLOOKUP(E10672,DATABASE!C:Q,11,false)</f>
        <v>#N/A</v>
      </c>
    </row>
    <row r="10673" ht="22.5" customHeight="1">
      <c r="A10673" s="49"/>
      <c r="C10673" s="400"/>
      <c r="D10673" s="524"/>
      <c r="E10673" s="544"/>
      <c r="F10673" s="387"/>
      <c r="G10673" s="140"/>
      <c r="H10673" s="74"/>
      <c r="I10673" s="74">
        <f t="shared" si="7"/>
        <v>0</v>
      </c>
      <c r="J10673" s="74" t="str">
        <f>IF(E10673="SERVICE",I10673-(I10673*50%),Vlookup(E10673,DATABASE!C:Q,10,false)*F10673)</f>
        <v>#N/A</v>
      </c>
      <c r="K10673" s="74" t="str">
        <f>VLOOKUP(E10673,DATABASE!C:Q,7,false)</f>
        <v>#N/A</v>
      </c>
      <c r="L10673" s="74"/>
      <c r="M10673" s="74">
        <f t="shared" si="6"/>
        <v>0</v>
      </c>
      <c r="N10673" s="74" t="str">
        <f t="shared" si="9"/>
        <v>#N/A</v>
      </c>
      <c r="O10673" s="65" t="str">
        <f>VLOOKUP(E10673,DATABASE!C:Q,8,false)</f>
        <v>#N/A</v>
      </c>
      <c r="P10673" s="65" t="str">
        <f>VLOOKUP(E10673,DATABASE!C:Q,9,False)</f>
        <v>#N/A</v>
      </c>
      <c r="Q10673" s="93" t="str">
        <f>VLOOKUP(E10673,DATABASE!C:Q,4,false)</f>
        <v>#N/A</v>
      </c>
      <c r="R10673" s="93" t="str">
        <f>VLOOKUP(E10673,DATABASE!C:Q,11,false)</f>
        <v>#N/A</v>
      </c>
    </row>
    <row r="10674" ht="22.5" customHeight="1">
      <c r="A10674" s="49"/>
      <c r="C10674" s="400"/>
      <c r="D10674" s="524"/>
      <c r="E10674" s="544"/>
      <c r="F10674" s="387"/>
      <c r="G10674" s="140"/>
      <c r="H10674" s="74"/>
      <c r="I10674" s="74">
        <f t="shared" si="7"/>
        <v>0</v>
      </c>
      <c r="J10674" s="74" t="str">
        <f>IF(E10674="SERVICE",I10674-(I10674*50%),Vlookup(E10674,DATABASE!C:Q,10,false)*F10674)</f>
        <v>#N/A</v>
      </c>
      <c r="K10674" s="74" t="str">
        <f>VLOOKUP(E10674,DATABASE!C:Q,7,false)</f>
        <v>#N/A</v>
      </c>
      <c r="L10674" s="74"/>
      <c r="M10674" s="74">
        <f t="shared" si="6"/>
        <v>0</v>
      </c>
      <c r="N10674" s="74" t="str">
        <f t="shared" si="9"/>
        <v>#N/A</v>
      </c>
      <c r="O10674" s="65" t="str">
        <f>VLOOKUP(E10674,DATABASE!C:Q,8,false)</f>
        <v>#N/A</v>
      </c>
      <c r="P10674" s="65" t="str">
        <f>VLOOKUP(E10674,DATABASE!C:Q,9,False)</f>
        <v>#N/A</v>
      </c>
      <c r="Q10674" s="93" t="str">
        <f>VLOOKUP(E10674,DATABASE!C:Q,4,false)</f>
        <v>#N/A</v>
      </c>
      <c r="R10674" s="93" t="str">
        <f>VLOOKUP(E10674,DATABASE!C:Q,11,false)</f>
        <v>#N/A</v>
      </c>
    </row>
    <row r="10675" ht="22.5" customHeight="1">
      <c r="A10675" s="49"/>
      <c r="C10675" s="400"/>
      <c r="D10675" s="524"/>
      <c r="E10675" s="544"/>
      <c r="F10675" s="387"/>
      <c r="G10675" s="140"/>
      <c r="H10675" s="74"/>
      <c r="I10675" s="74">
        <f t="shared" si="7"/>
        <v>0</v>
      </c>
      <c r="J10675" s="74" t="str">
        <f>IF(E10675="SERVICE",I10675-(I10675*50%),Vlookup(E10675,DATABASE!C:Q,10,false)*F10675)</f>
        <v>#N/A</v>
      </c>
      <c r="K10675" s="74" t="str">
        <f>VLOOKUP(E10675,DATABASE!C:Q,7,false)</f>
        <v>#N/A</v>
      </c>
      <c r="L10675" s="74"/>
      <c r="M10675" s="74">
        <f t="shared" si="6"/>
        <v>0</v>
      </c>
      <c r="N10675" s="74" t="str">
        <f t="shared" si="9"/>
        <v>#N/A</v>
      </c>
      <c r="O10675" s="65" t="str">
        <f>VLOOKUP(E10675,DATABASE!C:Q,8,false)</f>
        <v>#N/A</v>
      </c>
      <c r="P10675" s="65" t="str">
        <f>VLOOKUP(E10675,DATABASE!C:Q,9,False)</f>
        <v>#N/A</v>
      </c>
      <c r="Q10675" s="93" t="str">
        <f>VLOOKUP(E10675,DATABASE!C:Q,4,false)</f>
        <v>#N/A</v>
      </c>
      <c r="R10675" s="93" t="str">
        <f>VLOOKUP(E10675,DATABASE!C:Q,11,false)</f>
        <v>#N/A</v>
      </c>
    </row>
    <row r="10676" ht="22.5" customHeight="1">
      <c r="A10676" s="49"/>
      <c r="C10676" s="400"/>
      <c r="D10676" s="524"/>
      <c r="E10676" s="544"/>
      <c r="F10676" s="387"/>
      <c r="G10676" s="140"/>
      <c r="H10676" s="74"/>
      <c r="I10676" s="74">
        <f t="shared" si="7"/>
        <v>0</v>
      </c>
      <c r="J10676" s="74" t="str">
        <f>IF(E10676="SERVICE",I10676-(I10676*50%),Vlookup(E10676,DATABASE!C:Q,10,false)*F10676)</f>
        <v>#N/A</v>
      </c>
      <c r="K10676" s="74" t="str">
        <f>VLOOKUP(E10676,DATABASE!C:Q,7,false)</f>
        <v>#N/A</v>
      </c>
      <c r="L10676" s="74"/>
      <c r="M10676" s="74">
        <f t="shared" si="6"/>
        <v>0</v>
      </c>
      <c r="N10676" s="74" t="str">
        <f t="shared" si="9"/>
        <v>#N/A</v>
      </c>
      <c r="O10676" s="65" t="str">
        <f>VLOOKUP(E10676,DATABASE!C:Q,8,false)</f>
        <v>#N/A</v>
      </c>
      <c r="P10676" s="65" t="str">
        <f>VLOOKUP(E10676,DATABASE!C:Q,9,False)</f>
        <v>#N/A</v>
      </c>
      <c r="Q10676" s="93" t="str">
        <f>VLOOKUP(E10676,DATABASE!C:Q,4,false)</f>
        <v>#N/A</v>
      </c>
      <c r="R10676" s="93" t="str">
        <f>VLOOKUP(E10676,DATABASE!C:Q,11,false)</f>
        <v>#N/A</v>
      </c>
    </row>
    <row r="10677" ht="22.5" customHeight="1">
      <c r="A10677" s="49"/>
      <c r="C10677" s="400"/>
      <c r="D10677" s="524"/>
      <c r="E10677" s="544"/>
      <c r="F10677" s="387"/>
      <c r="G10677" s="140"/>
      <c r="H10677" s="74"/>
      <c r="I10677" s="74">
        <f t="shared" si="7"/>
        <v>0</v>
      </c>
      <c r="J10677" s="74" t="str">
        <f>IF(E10677="SERVICE",I10677-(I10677*50%),Vlookup(E10677,DATABASE!C:Q,10,false)*F10677)</f>
        <v>#N/A</v>
      </c>
      <c r="K10677" s="74" t="str">
        <f>VLOOKUP(E10677,DATABASE!C:Q,7,false)</f>
        <v>#N/A</v>
      </c>
      <c r="L10677" s="74"/>
      <c r="M10677" s="74">
        <f t="shared" si="6"/>
        <v>0</v>
      </c>
      <c r="N10677" s="74" t="str">
        <f t="shared" si="9"/>
        <v>#N/A</v>
      </c>
      <c r="O10677" s="65" t="str">
        <f>VLOOKUP(E10677,DATABASE!C:Q,8,false)</f>
        <v>#N/A</v>
      </c>
      <c r="P10677" s="65" t="str">
        <f>VLOOKUP(E10677,DATABASE!C:Q,9,False)</f>
        <v>#N/A</v>
      </c>
      <c r="Q10677" s="93" t="str">
        <f>VLOOKUP(E10677,DATABASE!C:Q,4,false)</f>
        <v>#N/A</v>
      </c>
      <c r="R10677" s="93" t="str">
        <f>VLOOKUP(E10677,DATABASE!C:Q,11,false)</f>
        <v>#N/A</v>
      </c>
    </row>
    <row r="10678" ht="22.5" customHeight="1">
      <c r="A10678" s="49"/>
      <c r="C10678" s="400"/>
      <c r="D10678" s="524"/>
      <c r="E10678" s="544"/>
      <c r="F10678" s="387"/>
      <c r="G10678" s="140"/>
      <c r="H10678" s="74"/>
      <c r="I10678" s="74">
        <f t="shared" si="7"/>
        <v>0</v>
      </c>
      <c r="J10678" s="74" t="str">
        <f>IF(E10678="SERVICE",I10678-(I10678*50%),Vlookup(E10678,DATABASE!C:Q,10,false)*F10678)</f>
        <v>#N/A</v>
      </c>
      <c r="K10678" s="74" t="str">
        <f>VLOOKUP(E10678,DATABASE!C:Q,7,false)</f>
        <v>#N/A</v>
      </c>
      <c r="L10678" s="74"/>
      <c r="M10678" s="74">
        <f t="shared" si="6"/>
        <v>0</v>
      </c>
      <c r="N10678" s="74" t="str">
        <f t="shared" si="9"/>
        <v>#N/A</v>
      </c>
      <c r="O10678" s="65" t="str">
        <f>VLOOKUP(E10678,DATABASE!C:Q,8,false)</f>
        <v>#N/A</v>
      </c>
      <c r="P10678" s="65" t="str">
        <f>VLOOKUP(E10678,DATABASE!C:Q,9,False)</f>
        <v>#N/A</v>
      </c>
      <c r="Q10678" s="93" t="str">
        <f>VLOOKUP(E10678,DATABASE!C:Q,4,false)</f>
        <v>#N/A</v>
      </c>
      <c r="R10678" s="93" t="str">
        <f>VLOOKUP(E10678,DATABASE!C:Q,11,false)</f>
        <v>#N/A</v>
      </c>
    </row>
    <row r="10679" ht="22.5" customHeight="1">
      <c r="A10679" s="49"/>
      <c r="C10679" s="400"/>
      <c r="D10679" s="524"/>
      <c r="E10679" s="544"/>
      <c r="F10679" s="387"/>
      <c r="G10679" s="140"/>
      <c r="H10679" s="74"/>
      <c r="I10679" s="74">
        <f t="shared" si="7"/>
        <v>0</v>
      </c>
      <c r="J10679" s="74" t="str">
        <f>IF(E10679="SERVICE",I10679-(I10679*50%),Vlookup(E10679,DATABASE!C:Q,10,false)*F10679)</f>
        <v>#N/A</v>
      </c>
      <c r="K10679" s="74" t="str">
        <f>VLOOKUP(E10679,DATABASE!C:Q,7,false)</f>
        <v>#N/A</v>
      </c>
      <c r="L10679" s="74"/>
      <c r="M10679" s="74">
        <f t="shared" si="6"/>
        <v>0</v>
      </c>
      <c r="N10679" s="74" t="str">
        <f t="shared" si="9"/>
        <v>#N/A</v>
      </c>
      <c r="O10679" s="65" t="str">
        <f>VLOOKUP(E10679,DATABASE!C:Q,8,false)</f>
        <v>#N/A</v>
      </c>
      <c r="P10679" s="65" t="str">
        <f>VLOOKUP(E10679,DATABASE!C:Q,9,False)</f>
        <v>#N/A</v>
      </c>
      <c r="Q10679" s="93" t="str">
        <f>VLOOKUP(E10679,DATABASE!C:Q,4,false)</f>
        <v>#N/A</v>
      </c>
      <c r="R10679" s="93" t="str">
        <f>VLOOKUP(E10679,DATABASE!C:Q,11,false)</f>
        <v>#N/A</v>
      </c>
    </row>
    <row r="10680" ht="22.5" customHeight="1">
      <c r="A10680" s="49"/>
      <c r="C10680" s="400"/>
      <c r="D10680" s="524"/>
      <c r="E10680" s="544"/>
      <c r="F10680" s="387"/>
      <c r="G10680" s="140"/>
      <c r="H10680" s="74"/>
      <c r="I10680" s="74">
        <f t="shared" si="7"/>
        <v>0</v>
      </c>
      <c r="J10680" s="74" t="str">
        <f>IF(E10680="SERVICE",I10680-(I10680*50%),Vlookup(E10680,DATABASE!C:Q,10,false)*F10680)</f>
        <v>#N/A</v>
      </c>
      <c r="K10680" s="74" t="str">
        <f>VLOOKUP(E10680,DATABASE!C:Q,7,false)</f>
        <v>#N/A</v>
      </c>
      <c r="L10680" s="74"/>
      <c r="M10680" s="74">
        <f t="shared" si="6"/>
        <v>0</v>
      </c>
      <c r="N10680" s="74" t="str">
        <f t="shared" si="9"/>
        <v>#N/A</v>
      </c>
      <c r="O10680" s="65" t="str">
        <f>VLOOKUP(E10680,DATABASE!C:Q,8,false)</f>
        <v>#N/A</v>
      </c>
      <c r="P10680" s="65" t="str">
        <f>VLOOKUP(E10680,DATABASE!C:Q,9,False)</f>
        <v>#N/A</v>
      </c>
      <c r="Q10680" s="93" t="str">
        <f>VLOOKUP(E10680,DATABASE!C:Q,4,false)</f>
        <v>#N/A</v>
      </c>
      <c r="R10680" s="93" t="str">
        <f>VLOOKUP(E10680,DATABASE!C:Q,11,false)</f>
        <v>#N/A</v>
      </c>
    </row>
    <row r="10681" ht="22.5" customHeight="1">
      <c r="A10681" s="49"/>
      <c r="C10681" s="400"/>
      <c r="D10681" s="524"/>
      <c r="E10681" s="544"/>
      <c r="F10681" s="387"/>
      <c r="G10681" s="140"/>
      <c r="H10681" s="74"/>
      <c r="I10681" s="74">
        <f t="shared" si="7"/>
        <v>0</v>
      </c>
      <c r="J10681" s="74" t="str">
        <f>IF(E10681="SERVICE",I10681-(I10681*50%),Vlookup(E10681,DATABASE!C:Q,10,false)*F10681)</f>
        <v>#N/A</v>
      </c>
      <c r="K10681" s="74" t="str">
        <f>VLOOKUP(E10681,DATABASE!C:Q,7,false)</f>
        <v>#N/A</v>
      </c>
      <c r="L10681" s="74"/>
      <c r="M10681" s="74">
        <f t="shared" si="6"/>
        <v>0</v>
      </c>
      <c r="N10681" s="74" t="str">
        <f t="shared" si="9"/>
        <v>#N/A</v>
      </c>
      <c r="O10681" s="65" t="str">
        <f>VLOOKUP(E10681,DATABASE!C:Q,8,false)</f>
        <v>#N/A</v>
      </c>
      <c r="P10681" s="65" t="str">
        <f>VLOOKUP(E10681,DATABASE!C:Q,9,False)</f>
        <v>#N/A</v>
      </c>
      <c r="Q10681" s="93" t="str">
        <f>VLOOKUP(E10681,DATABASE!C:Q,4,false)</f>
        <v>#N/A</v>
      </c>
      <c r="R10681" s="93" t="str">
        <f>VLOOKUP(E10681,DATABASE!C:Q,11,false)</f>
        <v>#N/A</v>
      </c>
    </row>
    <row r="10682" ht="22.5" customHeight="1">
      <c r="A10682" s="49"/>
      <c r="C10682" s="400"/>
      <c r="D10682" s="524"/>
      <c r="E10682" s="544"/>
      <c r="F10682" s="387"/>
      <c r="G10682" s="140"/>
      <c r="H10682" s="74"/>
      <c r="I10682" s="74">
        <f t="shared" si="7"/>
        <v>0</v>
      </c>
      <c r="J10682" s="74" t="str">
        <f>IF(E10682="SERVICE",I10682-(I10682*50%),Vlookup(E10682,DATABASE!C:Q,10,false)*F10682)</f>
        <v>#N/A</v>
      </c>
      <c r="K10682" s="74" t="str">
        <f>VLOOKUP(E10682,DATABASE!C:Q,7,false)</f>
        <v>#N/A</v>
      </c>
      <c r="L10682" s="74"/>
      <c r="M10682" s="74">
        <f t="shared" si="6"/>
        <v>0</v>
      </c>
      <c r="N10682" s="74" t="str">
        <f t="shared" si="9"/>
        <v>#N/A</v>
      </c>
      <c r="O10682" s="65" t="str">
        <f>VLOOKUP(E10682,DATABASE!C:Q,8,false)</f>
        <v>#N/A</v>
      </c>
      <c r="P10682" s="65" t="str">
        <f>VLOOKUP(E10682,DATABASE!C:Q,9,False)</f>
        <v>#N/A</v>
      </c>
      <c r="Q10682" s="93" t="str">
        <f>VLOOKUP(E10682,DATABASE!C:Q,4,false)</f>
        <v>#N/A</v>
      </c>
      <c r="R10682" s="93" t="str">
        <f>VLOOKUP(E10682,DATABASE!C:Q,11,false)</f>
        <v>#N/A</v>
      </c>
    </row>
    <row r="10683" ht="22.5" customHeight="1">
      <c r="A10683" s="49"/>
      <c r="C10683" s="400"/>
      <c r="D10683" s="524"/>
      <c r="E10683" s="544"/>
      <c r="F10683" s="387"/>
      <c r="G10683" s="140"/>
      <c r="H10683" s="74"/>
      <c r="I10683" s="74">
        <f t="shared" si="7"/>
        <v>0</v>
      </c>
      <c r="J10683" s="74" t="str">
        <f>IF(E10683="SERVICE",I10683-(I10683*50%),Vlookup(E10683,DATABASE!C:Q,10,false)*F10683)</f>
        <v>#N/A</v>
      </c>
      <c r="K10683" s="74" t="str">
        <f>VLOOKUP(E10683,DATABASE!C:Q,7,false)</f>
        <v>#N/A</v>
      </c>
      <c r="L10683" s="74"/>
      <c r="M10683" s="74">
        <f t="shared" si="6"/>
        <v>0</v>
      </c>
      <c r="N10683" s="74" t="str">
        <f t="shared" si="9"/>
        <v>#N/A</v>
      </c>
      <c r="O10683" s="65" t="str">
        <f>VLOOKUP(E10683,DATABASE!C:Q,8,false)</f>
        <v>#N/A</v>
      </c>
      <c r="P10683" s="65" t="str">
        <f>VLOOKUP(E10683,DATABASE!C:Q,9,False)</f>
        <v>#N/A</v>
      </c>
      <c r="Q10683" s="93" t="str">
        <f>VLOOKUP(E10683,DATABASE!C:Q,4,false)</f>
        <v>#N/A</v>
      </c>
      <c r="R10683" s="93" t="str">
        <f>VLOOKUP(E10683,DATABASE!C:Q,11,false)</f>
        <v>#N/A</v>
      </c>
    </row>
    <row r="10684" ht="22.5" customHeight="1">
      <c r="A10684" s="49"/>
      <c r="C10684" s="400"/>
      <c r="D10684" s="524"/>
      <c r="E10684" s="544"/>
      <c r="F10684" s="387"/>
      <c r="G10684" s="140"/>
      <c r="H10684" s="74"/>
      <c r="I10684" s="74">
        <f t="shared" si="7"/>
        <v>0</v>
      </c>
      <c r="J10684" s="74" t="str">
        <f>IF(E10684="SERVICE",I10684-(I10684*50%),Vlookup(E10684,DATABASE!C:Q,10,false)*F10684)</f>
        <v>#N/A</v>
      </c>
      <c r="K10684" s="74" t="str">
        <f>VLOOKUP(E10684,DATABASE!C:Q,7,false)</f>
        <v>#N/A</v>
      </c>
      <c r="L10684" s="74"/>
      <c r="M10684" s="74">
        <f t="shared" si="6"/>
        <v>0</v>
      </c>
      <c r="N10684" s="74" t="str">
        <f t="shared" si="9"/>
        <v>#N/A</v>
      </c>
      <c r="O10684" s="65" t="str">
        <f>VLOOKUP(E10684,DATABASE!C:Q,8,false)</f>
        <v>#N/A</v>
      </c>
      <c r="P10684" s="65" t="str">
        <f>VLOOKUP(E10684,DATABASE!C:Q,9,False)</f>
        <v>#N/A</v>
      </c>
      <c r="Q10684" s="93" t="str">
        <f>VLOOKUP(E10684,DATABASE!C:Q,4,false)</f>
        <v>#N/A</v>
      </c>
      <c r="R10684" s="93" t="str">
        <f>VLOOKUP(E10684,DATABASE!C:Q,11,false)</f>
        <v>#N/A</v>
      </c>
    </row>
    <row r="10685" ht="22.5" customHeight="1">
      <c r="A10685" s="49"/>
      <c r="C10685" s="400"/>
      <c r="D10685" s="524"/>
      <c r="E10685" s="544"/>
      <c r="F10685" s="387"/>
      <c r="G10685" s="140"/>
      <c r="H10685" s="74"/>
      <c r="I10685" s="74">
        <f t="shared" si="7"/>
        <v>0</v>
      </c>
      <c r="J10685" s="74" t="str">
        <f>IF(E10685="SERVICE",I10685-(I10685*50%),Vlookup(E10685,DATABASE!C:Q,10,false)*F10685)</f>
        <v>#N/A</v>
      </c>
      <c r="K10685" s="74" t="str">
        <f>VLOOKUP(E10685,DATABASE!C:Q,7,false)</f>
        <v>#N/A</v>
      </c>
      <c r="L10685" s="74"/>
      <c r="M10685" s="74">
        <f t="shared" si="6"/>
        <v>0</v>
      </c>
      <c r="N10685" s="74" t="str">
        <f t="shared" si="9"/>
        <v>#N/A</v>
      </c>
      <c r="O10685" s="65" t="str">
        <f>VLOOKUP(E10685,DATABASE!C:Q,8,false)</f>
        <v>#N/A</v>
      </c>
      <c r="P10685" s="65" t="str">
        <f>VLOOKUP(E10685,DATABASE!C:Q,9,False)</f>
        <v>#N/A</v>
      </c>
      <c r="Q10685" s="93" t="str">
        <f>VLOOKUP(E10685,DATABASE!C:Q,4,false)</f>
        <v>#N/A</v>
      </c>
      <c r="R10685" s="93" t="str">
        <f>VLOOKUP(E10685,DATABASE!C:Q,11,false)</f>
        <v>#N/A</v>
      </c>
    </row>
    <row r="10686" ht="22.5" customHeight="1">
      <c r="A10686" s="49"/>
      <c r="C10686" s="400"/>
      <c r="D10686" s="524"/>
      <c r="E10686" s="544"/>
      <c r="F10686" s="387"/>
      <c r="G10686" s="140"/>
      <c r="H10686" s="74"/>
      <c r="I10686" s="74">
        <f t="shared" si="7"/>
        <v>0</v>
      </c>
      <c r="J10686" s="74" t="str">
        <f>IF(E10686="SERVICE",I10686-(I10686*50%),Vlookup(E10686,DATABASE!C:Q,10,false)*F10686)</f>
        <v>#N/A</v>
      </c>
      <c r="K10686" s="74" t="str">
        <f>VLOOKUP(E10686,DATABASE!C:Q,7,false)</f>
        <v>#N/A</v>
      </c>
      <c r="L10686" s="74"/>
      <c r="M10686" s="74">
        <f t="shared" si="6"/>
        <v>0</v>
      </c>
      <c r="N10686" s="74" t="str">
        <f t="shared" si="9"/>
        <v>#N/A</v>
      </c>
      <c r="O10686" s="65" t="str">
        <f>VLOOKUP(E10686,DATABASE!C:Q,8,false)</f>
        <v>#N/A</v>
      </c>
      <c r="P10686" s="65" t="str">
        <f>VLOOKUP(E10686,DATABASE!C:Q,9,False)</f>
        <v>#N/A</v>
      </c>
      <c r="Q10686" s="93" t="str">
        <f>VLOOKUP(E10686,DATABASE!C:Q,4,false)</f>
        <v>#N/A</v>
      </c>
      <c r="R10686" s="93" t="str">
        <f>VLOOKUP(E10686,DATABASE!C:Q,11,false)</f>
        <v>#N/A</v>
      </c>
    </row>
    <row r="10687" ht="22.5" customHeight="1">
      <c r="A10687" s="49"/>
      <c r="C10687" s="400"/>
      <c r="D10687" s="524"/>
      <c r="E10687" s="544"/>
      <c r="F10687" s="387"/>
      <c r="G10687" s="140"/>
      <c r="H10687" s="74"/>
      <c r="I10687" s="74">
        <f t="shared" si="7"/>
        <v>0</v>
      </c>
      <c r="J10687" s="74" t="str">
        <f>IF(E10687="SERVICE",I10687-(I10687*50%),Vlookup(E10687,DATABASE!C:Q,10,false)*F10687)</f>
        <v>#N/A</v>
      </c>
      <c r="K10687" s="74" t="str">
        <f>VLOOKUP(E10687,DATABASE!C:Q,7,false)</f>
        <v>#N/A</v>
      </c>
      <c r="L10687" s="74"/>
      <c r="M10687" s="74">
        <f t="shared" si="6"/>
        <v>0</v>
      </c>
      <c r="N10687" s="74" t="str">
        <f t="shared" si="9"/>
        <v>#N/A</v>
      </c>
      <c r="O10687" s="65" t="str">
        <f>VLOOKUP(E10687,DATABASE!C:Q,8,false)</f>
        <v>#N/A</v>
      </c>
      <c r="P10687" s="65" t="str">
        <f>VLOOKUP(E10687,DATABASE!C:Q,9,False)</f>
        <v>#N/A</v>
      </c>
      <c r="Q10687" s="93" t="str">
        <f>VLOOKUP(E10687,DATABASE!C:Q,4,false)</f>
        <v>#N/A</v>
      </c>
      <c r="R10687" s="93" t="str">
        <f>VLOOKUP(E10687,DATABASE!C:Q,11,false)</f>
        <v>#N/A</v>
      </c>
    </row>
    <row r="10688" ht="22.5" customHeight="1">
      <c r="A10688" s="49"/>
      <c r="C10688" s="400"/>
      <c r="D10688" s="524"/>
      <c r="E10688" s="544"/>
      <c r="F10688" s="387"/>
      <c r="G10688" s="140"/>
      <c r="H10688" s="74"/>
      <c r="I10688" s="74">
        <f t="shared" si="7"/>
        <v>0</v>
      </c>
      <c r="J10688" s="74" t="str">
        <f>IF(E10688="SERVICE",I10688-(I10688*50%),Vlookup(E10688,DATABASE!C:Q,10,false)*F10688)</f>
        <v>#N/A</v>
      </c>
      <c r="K10688" s="74" t="str">
        <f>VLOOKUP(E10688,DATABASE!C:Q,7,false)</f>
        <v>#N/A</v>
      </c>
      <c r="L10688" s="74"/>
      <c r="M10688" s="74">
        <f t="shared" si="6"/>
        <v>0</v>
      </c>
      <c r="N10688" s="74" t="str">
        <f t="shared" si="9"/>
        <v>#N/A</v>
      </c>
      <c r="O10688" s="65" t="str">
        <f>VLOOKUP(E10688,DATABASE!C:Q,8,false)</f>
        <v>#N/A</v>
      </c>
      <c r="P10688" s="65" t="str">
        <f>VLOOKUP(E10688,DATABASE!C:Q,9,False)</f>
        <v>#N/A</v>
      </c>
      <c r="Q10688" s="93" t="str">
        <f>VLOOKUP(E10688,DATABASE!C:Q,4,false)</f>
        <v>#N/A</v>
      </c>
      <c r="R10688" s="93" t="str">
        <f>VLOOKUP(E10688,DATABASE!C:Q,11,false)</f>
        <v>#N/A</v>
      </c>
    </row>
    <row r="10689" ht="22.5" customHeight="1">
      <c r="A10689" s="49"/>
      <c r="C10689" s="400"/>
      <c r="D10689" s="524"/>
      <c r="E10689" s="544"/>
      <c r="F10689" s="387"/>
      <c r="G10689" s="140"/>
      <c r="H10689" s="74"/>
      <c r="I10689" s="74">
        <f t="shared" si="7"/>
        <v>0</v>
      </c>
      <c r="J10689" s="74" t="str">
        <f>IF(E10689="SERVICE",I10689-(I10689*50%),Vlookup(E10689,DATABASE!C:Q,10,false)*F10689)</f>
        <v>#N/A</v>
      </c>
      <c r="K10689" s="74" t="str">
        <f>VLOOKUP(E10689,DATABASE!C:Q,7,false)</f>
        <v>#N/A</v>
      </c>
      <c r="L10689" s="74"/>
      <c r="M10689" s="74">
        <f t="shared" si="6"/>
        <v>0</v>
      </c>
      <c r="N10689" s="74" t="str">
        <f t="shared" si="9"/>
        <v>#N/A</v>
      </c>
      <c r="O10689" s="65" t="str">
        <f>VLOOKUP(E10689,DATABASE!C:Q,8,false)</f>
        <v>#N/A</v>
      </c>
      <c r="P10689" s="65" t="str">
        <f>VLOOKUP(E10689,DATABASE!C:Q,9,False)</f>
        <v>#N/A</v>
      </c>
      <c r="Q10689" s="93" t="str">
        <f>VLOOKUP(E10689,DATABASE!C:Q,4,false)</f>
        <v>#N/A</v>
      </c>
      <c r="R10689" s="93" t="str">
        <f>VLOOKUP(E10689,DATABASE!C:Q,11,false)</f>
        <v>#N/A</v>
      </c>
    </row>
    <row r="10690" ht="22.5" customHeight="1">
      <c r="A10690" s="49"/>
      <c r="C10690" s="400"/>
      <c r="D10690" s="524"/>
      <c r="E10690" s="544"/>
      <c r="F10690" s="387"/>
      <c r="G10690" s="140"/>
      <c r="H10690" s="74"/>
      <c r="I10690" s="74">
        <f t="shared" si="7"/>
        <v>0</v>
      </c>
      <c r="J10690" s="74" t="str">
        <f>IF(E10690="SERVICE",I10690-(I10690*50%),Vlookup(E10690,DATABASE!C:Q,10,false)*F10690)</f>
        <v>#N/A</v>
      </c>
      <c r="K10690" s="74" t="str">
        <f>VLOOKUP(E10690,DATABASE!C:Q,7,false)</f>
        <v>#N/A</v>
      </c>
      <c r="L10690" s="74"/>
      <c r="M10690" s="74">
        <f t="shared" si="6"/>
        <v>0</v>
      </c>
      <c r="N10690" s="74" t="str">
        <f t="shared" si="9"/>
        <v>#N/A</v>
      </c>
      <c r="O10690" s="65" t="str">
        <f>VLOOKUP(E10690,DATABASE!C:Q,8,false)</f>
        <v>#N/A</v>
      </c>
      <c r="P10690" s="65" t="str">
        <f>VLOOKUP(E10690,DATABASE!C:Q,9,False)</f>
        <v>#N/A</v>
      </c>
      <c r="Q10690" s="93" t="str">
        <f>VLOOKUP(E10690,DATABASE!C:Q,4,false)</f>
        <v>#N/A</v>
      </c>
      <c r="R10690" s="93" t="str">
        <f>VLOOKUP(E10690,DATABASE!C:Q,11,false)</f>
        <v>#N/A</v>
      </c>
    </row>
    <row r="10691" ht="22.5" customHeight="1">
      <c r="A10691" s="49"/>
      <c r="C10691" s="400"/>
      <c r="D10691" s="524"/>
      <c r="E10691" s="544"/>
      <c r="F10691" s="387"/>
      <c r="G10691" s="140"/>
      <c r="H10691" s="74"/>
      <c r="I10691" s="74">
        <f t="shared" si="7"/>
        <v>0</v>
      </c>
      <c r="J10691" s="74" t="str">
        <f>IF(E10691="SERVICE",I10691-(I10691*50%),Vlookup(E10691,DATABASE!C:Q,10,false)*F10691)</f>
        <v>#N/A</v>
      </c>
      <c r="K10691" s="74" t="str">
        <f>VLOOKUP(E10691,DATABASE!C:Q,7,false)</f>
        <v>#N/A</v>
      </c>
      <c r="L10691" s="74"/>
      <c r="M10691" s="74">
        <f t="shared" si="6"/>
        <v>0</v>
      </c>
      <c r="N10691" s="74" t="str">
        <f t="shared" si="9"/>
        <v>#N/A</v>
      </c>
      <c r="O10691" s="65" t="str">
        <f>VLOOKUP(E10691,DATABASE!C:Q,8,false)</f>
        <v>#N/A</v>
      </c>
      <c r="P10691" s="65" t="str">
        <f>VLOOKUP(E10691,DATABASE!C:Q,9,False)</f>
        <v>#N/A</v>
      </c>
      <c r="Q10691" s="93" t="str">
        <f>VLOOKUP(E10691,DATABASE!C:Q,4,false)</f>
        <v>#N/A</v>
      </c>
      <c r="R10691" s="93" t="str">
        <f>VLOOKUP(E10691,DATABASE!C:Q,11,false)</f>
        <v>#N/A</v>
      </c>
    </row>
    <row r="10692" ht="22.5" customHeight="1">
      <c r="A10692" s="49"/>
      <c r="C10692" s="400"/>
      <c r="D10692" s="524"/>
      <c r="E10692" s="544"/>
      <c r="F10692" s="387"/>
      <c r="G10692" s="140"/>
      <c r="H10692" s="74"/>
      <c r="I10692" s="74">
        <f t="shared" si="7"/>
        <v>0</v>
      </c>
      <c r="J10692" s="74" t="str">
        <f>IF(E10692="SERVICE",I10692-(I10692*50%),Vlookup(E10692,DATABASE!C:Q,10,false)*F10692)</f>
        <v>#N/A</v>
      </c>
      <c r="K10692" s="74" t="str">
        <f>VLOOKUP(E10692,DATABASE!C:Q,7,false)</f>
        <v>#N/A</v>
      </c>
      <c r="L10692" s="74"/>
      <c r="M10692" s="74">
        <f t="shared" si="6"/>
        <v>0</v>
      </c>
      <c r="N10692" s="74" t="str">
        <f t="shared" si="9"/>
        <v>#N/A</v>
      </c>
      <c r="O10692" s="65" t="str">
        <f>VLOOKUP(E10692,DATABASE!C:Q,8,false)</f>
        <v>#N/A</v>
      </c>
      <c r="P10692" s="65" t="str">
        <f>VLOOKUP(E10692,DATABASE!C:Q,9,False)</f>
        <v>#N/A</v>
      </c>
      <c r="Q10692" s="93" t="str">
        <f>VLOOKUP(E10692,DATABASE!C:Q,4,false)</f>
        <v>#N/A</v>
      </c>
      <c r="R10692" s="93" t="str">
        <f>VLOOKUP(E10692,DATABASE!C:Q,11,false)</f>
        <v>#N/A</v>
      </c>
    </row>
    <row r="10693" ht="22.5" customHeight="1">
      <c r="A10693" s="49"/>
      <c r="C10693" s="400"/>
      <c r="D10693" s="524"/>
      <c r="E10693" s="544"/>
      <c r="F10693" s="387"/>
      <c r="G10693" s="140"/>
      <c r="H10693" s="74"/>
      <c r="I10693" s="74">
        <f t="shared" si="7"/>
        <v>0</v>
      </c>
      <c r="J10693" s="74" t="str">
        <f>IF(E10693="SERVICE",I10693-(I10693*50%),Vlookup(E10693,DATABASE!C:Q,10,false)*F10693)</f>
        <v>#N/A</v>
      </c>
      <c r="K10693" s="74" t="str">
        <f>VLOOKUP(E10693,DATABASE!C:Q,7,false)</f>
        <v>#N/A</v>
      </c>
      <c r="L10693" s="74"/>
      <c r="M10693" s="74">
        <f t="shared" si="6"/>
        <v>0</v>
      </c>
      <c r="N10693" s="74" t="str">
        <f t="shared" si="9"/>
        <v>#N/A</v>
      </c>
      <c r="O10693" s="65" t="str">
        <f>VLOOKUP(E10693,DATABASE!C:Q,8,false)</f>
        <v>#N/A</v>
      </c>
      <c r="P10693" s="65" t="str">
        <f>VLOOKUP(E10693,DATABASE!C:Q,9,False)</f>
        <v>#N/A</v>
      </c>
      <c r="Q10693" s="93" t="str">
        <f>VLOOKUP(E10693,DATABASE!C:Q,4,false)</f>
        <v>#N/A</v>
      </c>
      <c r="R10693" s="93" t="str">
        <f>VLOOKUP(E10693,DATABASE!C:Q,11,false)</f>
        <v>#N/A</v>
      </c>
    </row>
    <row r="10694" ht="22.5" customHeight="1">
      <c r="A10694" s="49"/>
      <c r="C10694" s="400"/>
      <c r="D10694" s="524"/>
      <c r="E10694" s="544"/>
      <c r="F10694" s="387"/>
      <c r="G10694" s="140"/>
      <c r="H10694" s="74"/>
      <c r="I10694" s="74">
        <f t="shared" si="7"/>
        <v>0</v>
      </c>
      <c r="J10694" s="74" t="str">
        <f>IF(E10694="SERVICE",I10694-(I10694*50%),Vlookup(E10694,DATABASE!C:Q,10,false)*F10694)</f>
        <v>#N/A</v>
      </c>
      <c r="K10694" s="74" t="str">
        <f>VLOOKUP(E10694,DATABASE!C:Q,7,false)</f>
        <v>#N/A</v>
      </c>
      <c r="L10694" s="74"/>
      <c r="M10694" s="74">
        <f t="shared" si="6"/>
        <v>0</v>
      </c>
      <c r="N10694" s="74" t="str">
        <f t="shared" si="9"/>
        <v>#N/A</v>
      </c>
      <c r="O10694" s="65" t="str">
        <f>VLOOKUP(E10694,DATABASE!C:Q,8,false)</f>
        <v>#N/A</v>
      </c>
      <c r="P10694" s="65" t="str">
        <f>VLOOKUP(E10694,DATABASE!C:Q,9,False)</f>
        <v>#N/A</v>
      </c>
      <c r="Q10694" s="93" t="str">
        <f>VLOOKUP(E10694,DATABASE!C:Q,4,false)</f>
        <v>#N/A</v>
      </c>
      <c r="R10694" s="93" t="str">
        <f>VLOOKUP(E10694,DATABASE!C:Q,11,false)</f>
        <v>#N/A</v>
      </c>
    </row>
    <row r="10695" ht="22.5" customHeight="1">
      <c r="A10695" s="49"/>
      <c r="C10695" s="400"/>
      <c r="D10695" s="524"/>
      <c r="E10695" s="544"/>
      <c r="F10695" s="387"/>
      <c r="G10695" s="140"/>
      <c r="H10695" s="74"/>
      <c r="I10695" s="74">
        <f t="shared" si="7"/>
        <v>0</v>
      </c>
      <c r="J10695" s="74" t="str">
        <f>IF(E10695="SERVICE",I10695-(I10695*50%),Vlookup(E10695,DATABASE!C:Q,10,false)*F10695)</f>
        <v>#N/A</v>
      </c>
      <c r="K10695" s="74" t="str">
        <f>VLOOKUP(E10695,DATABASE!C:Q,7,false)</f>
        <v>#N/A</v>
      </c>
      <c r="L10695" s="74"/>
      <c r="M10695" s="74">
        <f t="shared" si="6"/>
        <v>0</v>
      </c>
      <c r="N10695" s="74" t="str">
        <f t="shared" si="9"/>
        <v>#N/A</v>
      </c>
      <c r="O10695" s="65" t="str">
        <f>VLOOKUP(E10695,DATABASE!C:Q,8,false)</f>
        <v>#N/A</v>
      </c>
      <c r="P10695" s="65" t="str">
        <f>VLOOKUP(E10695,DATABASE!C:Q,9,False)</f>
        <v>#N/A</v>
      </c>
      <c r="Q10695" s="93" t="str">
        <f>VLOOKUP(E10695,DATABASE!C:Q,4,false)</f>
        <v>#N/A</v>
      </c>
      <c r="R10695" s="93" t="str">
        <f>VLOOKUP(E10695,DATABASE!C:Q,11,false)</f>
        <v>#N/A</v>
      </c>
    </row>
    <row r="10696" ht="22.5" customHeight="1">
      <c r="A10696" s="49"/>
      <c r="C10696" s="400"/>
      <c r="D10696" s="524"/>
      <c r="E10696" s="544"/>
      <c r="F10696" s="387"/>
      <c r="G10696" s="140"/>
      <c r="H10696" s="74"/>
      <c r="I10696" s="74">
        <f t="shared" si="7"/>
        <v>0</v>
      </c>
      <c r="J10696" s="74" t="str">
        <f>IF(E10696="SERVICE",I10696-(I10696*50%),Vlookup(E10696,DATABASE!C:Q,10,false)*F10696)</f>
        <v>#N/A</v>
      </c>
      <c r="K10696" s="74" t="str">
        <f>VLOOKUP(E10696,DATABASE!C:Q,7,false)</f>
        <v>#N/A</v>
      </c>
      <c r="L10696" s="74"/>
      <c r="M10696" s="74">
        <f t="shared" si="6"/>
        <v>0</v>
      </c>
      <c r="N10696" s="74" t="str">
        <f t="shared" si="9"/>
        <v>#N/A</v>
      </c>
      <c r="O10696" s="65" t="str">
        <f>VLOOKUP(E10696,DATABASE!C:Q,8,false)</f>
        <v>#N/A</v>
      </c>
      <c r="P10696" s="65" t="str">
        <f>VLOOKUP(E10696,DATABASE!C:Q,9,False)</f>
        <v>#N/A</v>
      </c>
      <c r="Q10696" s="93" t="str">
        <f>VLOOKUP(E10696,DATABASE!C:Q,4,false)</f>
        <v>#N/A</v>
      </c>
      <c r="R10696" s="93" t="str">
        <f>VLOOKUP(E10696,DATABASE!C:Q,11,false)</f>
        <v>#N/A</v>
      </c>
    </row>
    <row r="10697" ht="22.5" customHeight="1">
      <c r="A10697" s="49"/>
      <c r="C10697" s="400"/>
      <c r="D10697" s="524"/>
      <c r="E10697" s="544"/>
      <c r="F10697" s="387"/>
      <c r="G10697" s="140"/>
      <c r="H10697" s="74"/>
      <c r="I10697" s="74">
        <f t="shared" si="7"/>
        <v>0</v>
      </c>
      <c r="J10697" s="74" t="str">
        <f>IF(E10697="SERVICE",I10697-(I10697*50%),Vlookup(E10697,DATABASE!C:Q,10,false)*F10697)</f>
        <v>#N/A</v>
      </c>
      <c r="K10697" s="74" t="str">
        <f>VLOOKUP(E10697,DATABASE!C:Q,7,false)</f>
        <v>#N/A</v>
      </c>
      <c r="L10697" s="74"/>
      <c r="M10697" s="74">
        <f t="shared" si="6"/>
        <v>0</v>
      </c>
      <c r="N10697" s="74" t="str">
        <f t="shared" si="9"/>
        <v>#N/A</v>
      </c>
      <c r="O10697" s="65" t="str">
        <f>VLOOKUP(E10697,DATABASE!C:Q,8,false)</f>
        <v>#N/A</v>
      </c>
      <c r="P10697" s="65" t="str">
        <f>VLOOKUP(E10697,DATABASE!C:Q,9,False)</f>
        <v>#N/A</v>
      </c>
      <c r="Q10697" s="93" t="str">
        <f>VLOOKUP(E10697,DATABASE!C:Q,4,false)</f>
        <v>#N/A</v>
      </c>
      <c r="R10697" s="93" t="str">
        <f>VLOOKUP(E10697,DATABASE!C:Q,11,false)</f>
        <v>#N/A</v>
      </c>
    </row>
    <row r="10698" ht="22.5" customHeight="1">
      <c r="A10698" s="49"/>
      <c r="C10698" s="400"/>
      <c r="D10698" s="524"/>
      <c r="E10698" s="544"/>
      <c r="F10698" s="387"/>
      <c r="G10698" s="140"/>
      <c r="H10698" s="74"/>
      <c r="I10698" s="74">
        <f t="shared" si="7"/>
        <v>0</v>
      </c>
      <c r="J10698" s="74" t="str">
        <f>IF(E10698="SERVICE",I10698-(I10698*50%),Vlookup(E10698,DATABASE!C:Q,10,false)*F10698)</f>
        <v>#N/A</v>
      </c>
      <c r="K10698" s="74" t="str">
        <f>VLOOKUP(E10698,DATABASE!C:Q,7,false)</f>
        <v>#N/A</v>
      </c>
      <c r="L10698" s="74"/>
      <c r="M10698" s="74">
        <f t="shared" si="6"/>
        <v>0</v>
      </c>
      <c r="N10698" s="74" t="str">
        <f t="shared" si="9"/>
        <v>#N/A</v>
      </c>
      <c r="O10698" s="65" t="str">
        <f>VLOOKUP(E10698,DATABASE!C:Q,8,false)</f>
        <v>#N/A</v>
      </c>
      <c r="P10698" s="65" t="str">
        <f>VLOOKUP(E10698,DATABASE!C:Q,9,False)</f>
        <v>#N/A</v>
      </c>
      <c r="Q10698" s="93" t="str">
        <f>VLOOKUP(E10698,DATABASE!C:Q,4,false)</f>
        <v>#N/A</v>
      </c>
      <c r="R10698" s="93" t="str">
        <f>VLOOKUP(E10698,DATABASE!C:Q,11,false)</f>
        <v>#N/A</v>
      </c>
    </row>
    <row r="10699" ht="22.5" customHeight="1">
      <c r="A10699" s="49"/>
      <c r="C10699" s="400"/>
      <c r="D10699" s="524"/>
      <c r="E10699" s="544"/>
      <c r="F10699" s="387"/>
      <c r="G10699" s="140"/>
      <c r="H10699" s="74"/>
      <c r="I10699" s="74">
        <f t="shared" si="7"/>
        <v>0</v>
      </c>
      <c r="J10699" s="74" t="str">
        <f>IF(E10699="SERVICE",I10699-(I10699*50%),Vlookup(E10699,DATABASE!C:Q,10,false)*F10699)</f>
        <v>#N/A</v>
      </c>
      <c r="K10699" s="74" t="str">
        <f>VLOOKUP(E10699,DATABASE!C:Q,7,false)</f>
        <v>#N/A</v>
      </c>
      <c r="L10699" s="74"/>
      <c r="M10699" s="74">
        <f t="shared" si="6"/>
        <v>0</v>
      </c>
      <c r="N10699" s="74" t="str">
        <f t="shared" si="9"/>
        <v>#N/A</v>
      </c>
      <c r="O10699" s="65" t="str">
        <f>VLOOKUP(E10699,DATABASE!C:Q,8,false)</f>
        <v>#N/A</v>
      </c>
      <c r="P10699" s="65" t="str">
        <f>VLOOKUP(E10699,DATABASE!C:Q,9,False)</f>
        <v>#N/A</v>
      </c>
      <c r="Q10699" s="93" t="str">
        <f>VLOOKUP(E10699,DATABASE!C:Q,4,false)</f>
        <v>#N/A</v>
      </c>
      <c r="R10699" s="93" t="str">
        <f>VLOOKUP(E10699,DATABASE!C:Q,11,false)</f>
        <v>#N/A</v>
      </c>
    </row>
    <row r="10700" ht="22.5" customHeight="1">
      <c r="A10700" s="49"/>
      <c r="C10700" s="400"/>
      <c r="D10700" s="524"/>
      <c r="E10700" s="544"/>
      <c r="F10700" s="387"/>
      <c r="G10700" s="140"/>
      <c r="H10700" s="74"/>
      <c r="I10700" s="74">
        <f t="shared" si="7"/>
        <v>0</v>
      </c>
      <c r="J10700" s="74" t="str">
        <f>IF(E10700="SERVICE",I10700-(I10700*50%),Vlookup(E10700,DATABASE!C:Q,10,false)*F10700)</f>
        <v>#N/A</v>
      </c>
      <c r="K10700" s="74" t="str">
        <f>VLOOKUP(E10700,DATABASE!C:Q,7,false)</f>
        <v>#N/A</v>
      </c>
      <c r="L10700" s="74"/>
      <c r="M10700" s="74">
        <f t="shared" si="6"/>
        <v>0</v>
      </c>
      <c r="N10700" s="74" t="str">
        <f t="shared" si="9"/>
        <v>#N/A</v>
      </c>
      <c r="O10700" s="65" t="str">
        <f>VLOOKUP(E10700,DATABASE!C:Q,8,false)</f>
        <v>#N/A</v>
      </c>
      <c r="P10700" s="65" t="str">
        <f>VLOOKUP(E10700,DATABASE!C:Q,9,False)</f>
        <v>#N/A</v>
      </c>
      <c r="Q10700" s="93" t="str">
        <f>VLOOKUP(E10700,DATABASE!C:Q,4,false)</f>
        <v>#N/A</v>
      </c>
      <c r="R10700" s="93" t="str">
        <f>VLOOKUP(E10700,DATABASE!C:Q,11,false)</f>
        <v>#N/A</v>
      </c>
    </row>
    <row r="10701" ht="22.5" customHeight="1">
      <c r="A10701" s="49"/>
      <c r="C10701" s="400"/>
      <c r="D10701" s="524"/>
      <c r="E10701" s="544"/>
      <c r="F10701" s="387"/>
      <c r="G10701" s="140"/>
      <c r="H10701" s="74"/>
      <c r="I10701" s="74">
        <f t="shared" si="7"/>
        <v>0</v>
      </c>
      <c r="J10701" s="74" t="str">
        <f>IF(E10701="SERVICE",I10701-(I10701*50%),Vlookup(E10701,DATABASE!C:Q,10,false)*F10701)</f>
        <v>#N/A</v>
      </c>
      <c r="K10701" s="74" t="str">
        <f>VLOOKUP(E10701,DATABASE!C:Q,7,false)</f>
        <v>#N/A</v>
      </c>
      <c r="L10701" s="74"/>
      <c r="M10701" s="74">
        <f t="shared" si="6"/>
        <v>0</v>
      </c>
      <c r="N10701" s="74" t="str">
        <f t="shared" si="9"/>
        <v>#N/A</v>
      </c>
      <c r="O10701" s="65" t="str">
        <f>VLOOKUP(E10701,DATABASE!C:Q,8,false)</f>
        <v>#N/A</v>
      </c>
      <c r="P10701" s="65" t="str">
        <f>VLOOKUP(E10701,DATABASE!C:Q,9,False)</f>
        <v>#N/A</v>
      </c>
      <c r="Q10701" s="93" t="str">
        <f>VLOOKUP(E10701,DATABASE!C:Q,4,false)</f>
        <v>#N/A</v>
      </c>
      <c r="R10701" s="93" t="str">
        <f>VLOOKUP(E10701,DATABASE!C:Q,11,false)</f>
        <v>#N/A</v>
      </c>
    </row>
    <row r="10702" ht="22.5" customHeight="1">
      <c r="A10702" s="49"/>
      <c r="C10702" s="400"/>
      <c r="D10702" s="524"/>
      <c r="E10702" s="544"/>
      <c r="F10702" s="387"/>
      <c r="G10702" s="140"/>
      <c r="H10702" s="74"/>
      <c r="I10702" s="74">
        <f t="shared" si="7"/>
        <v>0</v>
      </c>
      <c r="J10702" s="74" t="str">
        <f>IF(E10702="SERVICE",I10702-(I10702*50%),Vlookup(E10702,DATABASE!C:Q,10,false)*F10702)</f>
        <v>#N/A</v>
      </c>
      <c r="K10702" s="74" t="str">
        <f>VLOOKUP(E10702,DATABASE!C:Q,7,false)</f>
        <v>#N/A</v>
      </c>
      <c r="L10702" s="74"/>
      <c r="M10702" s="74">
        <f t="shared" si="6"/>
        <v>0</v>
      </c>
      <c r="N10702" s="74" t="str">
        <f t="shared" si="9"/>
        <v>#N/A</v>
      </c>
      <c r="O10702" s="65" t="str">
        <f>VLOOKUP(E10702,DATABASE!C:Q,8,false)</f>
        <v>#N/A</v>
      </c>
      <c r="P10702" s="65" t="str">
        <f>VLOOKUP(E10702,DATABASE!C:Q,9,False)</f>
        <v>#N/A</v>
      </c>
      <c r="Q10702" s="93" t="str">
        <f>VLOOKUP(E10702,DATABASE!C:Q,4,false)</f>
        <v>#N/A</v>
      </c>
      <c r="R10702" s="93" t="str">
        <f>VLOOKUP(E10702,DATABASE!C:Q,11,false)</f>
        <v>#N/A</v>
      </c>
    </row>
    <row r="10703" ht="22.5" customHeight="1">
      <c r="A10703" s="49"/>
      <c r="C10703" s="400"/>
      <c r="D10703" s="524"/>
      <c r="E10703" s="544"/>
      <c r="F10703" s="387"/>
      <c r="G10703" s="140"/>
      <c r="H10703" s="74"/>
      <c r="I10703" s="74">
        <f t="shared" si="7"/>
        <v>0</v>
      </c>
      <c r="J10703" s="74" t="str">
        <f>IF(E10703="SERVICE",I10703-(I10703*50%),Vlookup(E10703,DATABASE!C:Q,10,false)*F10703)</f>
        <v>#N/A</v>
      </c>
      <c r="K10703" s="74" t="str">
        <f>VLOOKUP(E10703,DATABASE!C:Q,7,false)</f>
        <v>#N/A</v>
      </c>
      <c r="L10703" s="74"/>
      <c r="M10703" s="74">
        <f t="shared" si="6"/>
        <v>0</v>
      </c>
      <c r="N10703" s="74" t="str">
        <f t="shared" si="9"/>
        <v>#N/A</v>
      </c>
      <c r="O10703" s="65" t="str">
        <f>VLOOKUP(E10703,DATABASE!C:Q,8,false)</f>
        <v>#N/A</v>
      </c>
      <c r="P10703" s="65" t="str">
        <f>VLOOKUP(E10703,DATABASE!C:Q,9,False)</f>
        <v>#N/A</v>
      </c>
      <c r="Q10703" s="93" t="str">
        <f>VLOOKUP(E10703,DATABASE!C:Q,4,false)</f>
        <v>#N/A</v>
      </c>
      <c r="R10703" s="93" t="str">
        <f>VLOOKUP(E10703,DATABASE!C:Q,11,false)</f>
        <v>#N/A</v>
      </c>
    </row>
    <row r="10704" ht="22.5" customHeight="1">
      <c r="A10704" s="49"/>
      <c r="C10704" s="400"/>
      <c r="D10704" s="524"/>
      <c r="E10704" s="544"/>
      <c r="F10704" s="387"/>
      <c r="G10704" s="140"/>
      <c r="H10704" s="74"/>
      <c r="I10704" s="74">
        <f t="shared" si="7"/>
        <v>0</v>
      </c>
      <c r="J10704" s="74" t="str">
        <f>IF(E10704="SERVICE",I10704-(I10704*50%),Vlookup(E10704,DATABASE!C:Q,10,false)*F10704)</f>
        <v>#N/A</v>
      </c>
      <c r="K10704" s="74" t="str">
        <f>VLOOKUP(E10704,DATABASE!C:Q,7,false)</f>
        <v>#N/A</v>
      </c>
      <c r="L10704" s="74"/>
      <c r="M10704" s="74">
        <f t="shared" si="6"/>
        <v>0</v>
      </c>
      <c r="N10704" s="74" t="str">
        <f t="shared" si="9"/>
        <v>#N/A</v>
      </c>
      <c r="O10704" s="65" t="str">
        <f>VLOOKUP(E10704,DATABASE!C:Q,8,false)</f>
        <v>#N/A</v>
      </c>
      <c r="P10704" s="65" t="str">
        <f>VLOOKUP(E10704,DATABASE!C:Q,9,False)</f>
        <v>#N/A</v>
      </c>
      <c r="Q10704" s="93" t="str">
        <f>VLOOKUP(E10704,DATABASE!C:Q,4,false)</f>
        <v>#N/A</v>
      </c>
      <c r="R10704" s="93" t="str">
        <f>VLOOKUP(E10704,DATABASE!C:Q,11,false)</f>
        <v>#N/A</v>
      </c>
    </row>
    <row r="10705" ht="22.5" customHeight="1">
      <c r="A10705" s="49"/>
      <c r="C10705" s="400"/>
      <c r="D10705" s="524"/>
      <c r="E10705" s="544"/>
      <c r="F10705" s="387"/>
      <c r="G10705" s="140"/>
      <c r="H10705" s="74"/>
      <c r="I10705" s="74">
        <f t="shared" si="7"/>
        <v>0</v>
      </c>
      <c r="J10705" s="74" t="str">
        <f>IF(E10705="SERVICE",I10705-(I10705*50%),Vlookup(E10705,DATABASE!C:Q,10,false)*F10705)</f>
        <v>#N/A</v>
      </c>
      <c r="K10705" s="74" t="str">
        <f>VLOOKUP(E10705,DATABASE!C:Q,7,false)</f>
        <v>#N/A</v>
      </c>
      <c r="L10705" s="74"/>
      <c r="M10705" s="74">
        <f t="shared" si="6"/>
        <v>0</v>
      </c>
      <c r="N10705" s="74" t="str">
        <f t="shared" si="9"/>
        <v>#N/A</v>
      </c>
      <c r="O10705" s="65" t="str">
        <f>VLOOKUP(E10705,DATABASE!C:Q,8,false)</f>
        <v>#N/A</v>
      </c>
      <c r="P10705" s="65" t="str">
        <f>VLOOKUP(E10705,DATABASE!C:Q,9,False)</f>
        <v>#N/A</v>
      </c>
      <c r="Q10705" s="93" t="str">
        <f>VLOOKUP(E10705,DATABASE!C:Q,4,false)</f>
        <v>#N/A</v>
      </c>
      <c r="R10705" s="93" t="str">
        <f>VLOOKUP(E10705,DATABASE!C:Q,11,false)</f>
        <v>#N/A</v>
      </c>
    </row>
    <row r="10706" ht="22.5" customHeight="1">
      <c r="A10706" s="49"/>
      <c r="C10706" s="400"/>
      <c r="D10706" s="524"/>
      <c r="E10706" s="544"/>
      <c r="F10706" s="387"/>
      <c r="G10706" s="140"/>
      <c r="H10706" s="74"/>
      <c r="I10706" s="74">
        <f t="shared" si="7"/>
        <v>0</v>
      </c>
      <c r="J10706" s="74" t="str">
        <f>IF(E10706="SERVICE",I10706-(I10706*50%),Vlookup(E10706,DATABASE!C:Q,10,false)*F10706)</f>
        <v>#N/A</v>
      </c>
      <c r="K10706" s="74" t="str">
        <f>VLOOKUP(E10706,DATABASE!C:Q,7,false)</f>
        <v>#N/A</v>
      </c>
      <c r="L10706" s="74"/>
      <c r="M10706" s="74">
        <f t="shared" si="6"/>
        <v>0</v>
      </c>
      <c r="N10706" s="74" t="str">
        <f t="shared" si="9"/>
        <v>#N/A</v>
      </c>
      <c r="O10706" s="65" t="str">
        <f>VLOOKUP(E10706,DATABASE!C:Q,8,false)</f>
        <v>#N/A</v>
      </c>
      <c r="P10706" s="65" t="str">
        <f>VLOOKUP(E10706,DATABASE!C:Q,9,False)</f>
        <v>#N/A</v>
      </c>
      <c r="Q10706" s="93" t="str">
        <f>VLOOKUP(E10706,DATABASE!C:Q,4,false)</f>
        <v>#N/A</v>
      </c>
      <c r="R10706" s="93" t="str">
        <f>VLOOKUP(E10706,DATABASE!C:Q,11,false)</f>
        <v>#N/A</v>
      </c>
    </row>
    <row r="10707" ht="22.5" customHeight="1">
      <c r="A10707" s="49"/>
      <c r="C10707" s="400"/>
      <c r="D10707" s="524"/>
      <c r="E10707" s="544"/>
      <c r="F10707" s="387"/>
      <c r="G10707" s="140"/>
      <c r="H10707" s="74"/>
      <c r="I10707" s="74">
        <f t="shared" si="7"/>
        <v>0</v>
      </c>
      <c r="J10707" s="74" t="str">
        <f>IF(E10707="SERVICE",I10707-(I10707*50%),Vlookup(E10707,DATABASE!C:Q,10,false)*F10707)</f>
        <v>#N/A</v>
      </c>
      <c r="K10707" s="74" t="str">
        <f>VLOOKUP(E10707,DATABASE!C:Q,7,false)</f>
        <v>#N/A</v>
      </c>
      <c r="L10707" s="74"/>
      <c r="M10707" s="74">
        <f t="shared" si="6"/>
        <v>0</v>
      </c>
      <c r="N10707" s="74" t="str">
        <f t="shared" si="9"/>
        <v>#N/A</v>
      </c>
      <c r="O10707" s="65" t="str">
        <f>VLOOKUP(E10707,DATABASE!C:Q,8,false)</f>
        <v>#N/A</v>
      </c>
      <c r="P10707" s="65" t="str">
        <f>VLOOKUP(E10707,DATABASE!C:Q,9,False)</f>
        <v>#N/A</v>
      </c>
      <c r="Q10707" s="93" t="str">
        <f>VLOOKUP(E10707,DATABASE!C:Q,4,false)</f>
        <v>#N/A</v>
      </c>
      <c r="R10707" s="93" t="str">
        <f>VLOOKUP(E10707,DATABASE!C:Q,11,false)</f>
        <v>#N/A</v>
      </c>
    </row>
    <row r="10708" ht="22.5" customHeight="1">
      <c r="A10708" s="49"/>
      <c r="C10708" s="400"/>
      <c r="D10708" s="524"/>
      <c r="E10708" s="544"/>
      <c r="F10708" s="387"/>
      <c r="G10708" s="140"/>
      <c r="H10708" s="74"/>
      <c r="I10708" s="74">
        <f t="shared" si="7"/>
        <v>0</v>
      </c>
      <c r="J10708" s="74" t="str">
        <f>IF(E10708="SERVICE",I10708-(I10708*50%),Vlookup(E10708,DATABASE!C:Q,10,false)*F10708)</f>
        <v>#N/A</v>
      </c>
      <c r="K10708" s="74" t="str">
        <f>VLOOKUP(E10708,DATABASE!C:Q,7,false)</f>
        <v>#N/A</v>
      </c>
      <c r="L10708" s="74"/>
      <c r="M10708" s="74">
        <f t="shared" si="6"/>
        <v>0</v>
      </c>
      <c r="N10708" s="74" t="str">
        <f t="shared" si="9"/>
        <v>#N/A</v>
      </c>
      <c r="O10708" s="65" t="str">
        <f>VLOOKUP(E10708,DATABASE!C:Q,8,false)</f>
        <v>#N/A</v>
      </c>
      <c r="P10708" s="65" t="str">
        <f>VLOOKUP(E10708,DATABASE!C:Q,9,False)</f>
        <v>#N/A</v>
      </c>
      <c r="Q10708" s="93" t="str">
        <f>VLOOKUP(E10708,DATABASE!C:Q,4,false)</f>
        <v>#N/A</v>
      </c>
      <c r="R10708" s="93" t="str">
        <f>VLOOKUP(E10708,DATABASE!C:Q,11,false)</f>
        <v>#N/A</v>
      </c>
    </row>
    <row r="10709" ht="22.5" customHeight="1">
      <c r="A10709" s="49"/>
      <c r="C10709" s="400"/>
      <c r="D10709" s="524"/>
      <c r="E10709" s="544"/>
      <c r="F10709" s="387"/>
      <c r="G10709" s="140"/>
      <c r="H10709" s="74"/>
      <c r="I10709" s="74">
        <f t="shared" si="7"/>
        <v>0</v>
      </c>
      <c r="J10709" s="74" t="str">
        <f>IF(E10709="SERVICE",I10709-(I10709*50%),Vlookup(E10709,DATABASE!C:Q,10,false)*F10709)</f>
        <v>#N/A</v>
      </c>
      <c r="K10709" s="74" t="str">
        <f>VLOOKUP(E10709,DATABASE!C:Q,7,false)</f>
        <v>#N/A</v>
      </c>
      <c r="L10709" s="74"/>
      <c r="M10709" s="74">
        <f t="shared" si="6"/>
        <v>0</v>
      </c>
      <c r="N10709" s="74" t="str">
        <f t="shared" si="9"/>
        <v>#N/A</v>
      </c>
      <c r="O10709" s="65" t="str">
        <f>VLOOKUP(E10709,DATABASE!C:Q,8,false)</f>
        <v>#N/A</v>
      </c>
      <c r="P10709" s="65" t="str">
        <f>VLOOKUP(E10709,DATABASE!C:Q,9,False)</f>
        <v>#N/A</v>
      </c>
      <c r="Q10709" s="93" t="str">
        <f>VLOOKUP(E10709,DATABASE!C:Q,4,false)</f>
        <v>#N/A</v>
      </c>
      <c r="R10709" s="93" t="str">
        <f>VLOOKUP(E10709,DATABASE!C:Q,11,false)</f>
        <v>#N/A</v>
      </c>
    </row>
    <row r="10710" ht="22.5" customHeight="1">
      <c r="A10710" s="49"/>
      <c r="C10710" s="400"/>
      <c r="D10710" s="524"/>
      <c r="E10710" s="544"/>
      <c r="F10710" s="387"/>
      <c r="G10710" s="140"/>
      <c r="H10710" s="74"/>
      <c r="I10710" s="74">
        <f t="shared" si="7"/>
        <v>0</v>
      </c>
      <c r="J10710" s="74" t="str">
        <f>IF(E10710="SERVICE",I10710-(I10710*50%),Vlookup(E10710,DATABASE!C:Q,10,false)*F10710)</f>
        <v>#N/A</v>
      </c>
      <c r="K10710" s="74" t="str">
        <f>VLOOKUP(E10710,DATABASE!C:Q,7,false)</f>
        <v>#N/A</v>
      </c>
      <c r="L10710" s="74"/>
      <c r="M10710" s="74">
        <f t="shared" si="6"/>
        <v>0</v>
      </c>
      <c r="N10710" s="74" t="str">
        <f t="shared" si="9"/>
        <v>#N/A</v>
      </c>
      <c r="O10710" s="65" t="str">
        <f>VLOOKUP(E10710,DATABASE!C:Q,8,false)</f>
        <v>#N/A</v>
      </c>
      <c r="P10710" s="65" t="str">
        <f>VLOOKUP(E10710,DATABASE!C:Q,9,False)</f>
        <v>#N/A</v>
      </c>
      <c r="Q10710" s="93" t="str">
        <f>VLOOKUP(E10710,DATABASE!C:Q,4,false)</f>
        <v>#N/A</v>
      </c>
      <c r="R10710" s="93" t="str">
        <f>VLOOKUP(E10710,DATABASE!C:Q,11,false)</f>
        <v>#N/A</v>
      </c>
    </row>
    <row r="10711" ht="22.5" customHeight="1">
      <c r="A10711" s="49"/>
      <c r="C10711" s="400"/>
      <c r="D10711" s="524"/>
      <c r="E10711" s="544"/>
      <c r="F10711" s="387"/>
      <c r="G10711" s="140"/>
      <c r="H10711" s="74"/>
      <c r="I10711" s="74">
        <f t="shared" si="7"/>
        <v>0</v>
      </c>
      <c r="J10711" s="74" t="str">
        <f>IF(E10711="SERVICE",I10711-(I10711*50%),Vlookup(E10711,DATABASE!C:Q,10,false)*F10711)</f>
        <v>#N/A</v>
      </c>
      <c r="K10711" s="74" t="str">
        <f>VLOOKUP(E10711,DATABASE!C:Q,7,false)</f>
        <v>#N/A</v>
      </c>
      <c r="L10711" s="74"/>
      <c r="M10711" s="74">
        <f t="shared" si="6"/>
        <v>0</v>
      </c>
      <c r="N10711" s="74" t="str">
        <f t="shared" si="9"/>
        <v>#N/A</v>
      </c>
      <c r="O10711" s="65" t="str">
        <f>VLOOKUP(E10711,DATABASE!C:Q,8,false)</f>
        <v>#N/A</v>
      </c>
      <c r="P10711" s="65" t="str">
        <f>VLOOKUP(E10711,DATABASE!C:Q,9,False)</f>
        <v>#N/A</v>
      </c>
      <c r="Q10711" s="93" t="str">
        <f>VLOOKUP(E10711,DATABASE!C:Q,4,false)</f>
        <v>#N/A</v>
      </c>
      <c r="R10711" s="93" t="str">
        <f>VLOOKUP(E10711,DATABASE!C:Q,11,false)</f>
        <v>#N/A</v>
      </c>
    </row>
    <row r="10712" ht="22.5" customHeight="1">
      <c r="A10712" s="49"/>
      <c r="C10712" s="400"/>
      <c r="D10712" s="524"/>
      <c r="E10712" s="544"/>
      <c r="F10712" s="387"/>
      <c r="G10712" s="140"/>
      <c r="H10712" s="74"/>
      <c r="I10712" s="74">
        <f t="shared" si="7"/>
        <v>0</v>
      </c>
      <c r="J10712" s="74" t="str">
        <f>IF(E10712="SERVICE",I10712-(I10712*50%),Vlookup(E10712,DATABASE!C:Q,10,false)*F10712)</f>
        <v>#N/A</v>
      </c>
      <c r="K10712" s="74" t="str">
        <f>VLOOKUP(E10712,DATABASE!C:Q,7,false)</f>
        <v>#N/A</v>
      </c>
      <c r="L10712" s="74"/>
      <c r="M10712" s="74">
        <f t="shared" si="6"/>
        <v>0</v>
      </c>
      <c r="N10712" s="74" t="str">
        <f t="shared" si="9"/>
        <v>#N/A</v>
      </c>
      <c r="O10712" s="65" t="str">
        <f>VLOOKUP(E10712,DATABASE!C:Q,8,false)</f>
        <v>#N/A</v>
      </c>
      <c r="P10712" s="65" t="str">
        <f>VLOOKUP(E10712,DATABASE!C:Q,9,False)</f>
        <v>#N/A</v>
      </c>
      <c r="Q10712" s="93" t="str">
        <f>VLOOKUP(E10712,DATABASE!C:Q,4,false)</f>
        <v>#N/A</v>
      </c>
      <c r="R10712" s="93" t="str">
        <f>VLOOKUP(E10712,DATABASE!C:Q,11,false)</f>
        <v>#N/A</v>
      </c>
    </row>
    <row r="10713" ht="22.5" customHeight="1">
      <c r="A10713" s="49"/>
      <c r="C10713" s="400"/>
      <c r="D10713" s="524"/>
      <c r="E10713" s="544"/>
      <c r="F10713" s="387"/>
      <c r="G10713" s="140"/>
      <c r="H10713" s="74"/>
      <c r="I10713" s="74">
        <f t="shared" si="7"/>
        <v>0</v>
      </c>
      <c r="J10713" s="74" t="str">
        <f>IF(E10713="SERVICE",I10713-(I10713*50%),Vlookup(E10713,DATABASE!C:Q,10,false)*F10713)</f>
        <v>#N/A</v>
      </c>
      <c r="K10713" s="74" t="str">
        <f>VLOOKUP(E10713,DATABASE!C:Q,7,false)</f>
        <v>#N/A</v>
      </c>
      <c r="L10713" s="74"/>
      <c r="M10713" s="74">
        <f t="shared" si="6"/>
        <v>0</v>
      </c>
      <c r="N10713" s="74" t="str">
        <f t="shared" si="9"/>
        <v>#N/A</v>
      </c>
      <c r="O10713" s="65" t="str">
        <f>VLOOKUP(E10713,DATABASE!C:Q,8,false)</f>
        <v>#N/A</v>
      </c>
      <c r="P10713" s="65" t="str">
        <f>VLOOKUP(E10713,DATABASE!C:Q,9,False)</f>
        <v>#N/A</v>
      </c>
      <c r="Q10713" s="93" t="str">
        <f>VLOOKUP(E10713,DATABASE!C:Q,4,false)</f>
        <v>#N/A</v>
      </c>
      <c r="R10713" s="93" t="str">
        <f>VLOOKUP(E10713,DATABASE!C:Q,11,false)</f>
        <v>#N/A</v>
      </c>
    </row>
    <row r="10714" ht="22.5" customHeight="1">
      <c r="A10714" s="49"/>
      <c r="C10714" s="400"/>
      <c r="D10714" s="524"/>
      <c r="E10714" s="544"/>
      <c r="F10714" s="387"/>
      <c r="G10714" s="140"/>
      <c r="H10714" s="74"/>
      <c r="I10714" s="74">
        <f t="shared" si="7"/>
        <v>0</v>
      </c>
      <c r="J10714" s="74" t="str">
        <f>IF(E10714="SERVICE",I10714-(I10714*50%),Vlookup(E10714,DATABASE!C:Q,10,false)*F10714)</f>
        <v>#N/A</v>
      </c>
      <c r="K10714" s="74" t="str">
        <f>VLOOKUP(E10714,DATABASE!C:Q,7,false)</f>
        <v>#N/A</v>
      </c>
      <c r="L10714" s="74"/>
      <c r="M10714" s="74">
        <f t="shared" si="6"/>
        <v>0</v>
      </c>
      <c r="N10714" s="74" t="str">
        <f t="shared" si="9"/>
        <v>#N/A</v>
      </c>
      <c r="O10714" s="65" t="str">
        <f>VLOOKUP(E10714,DATABASE!C:Q,8,false)</f>
        <v>#N/A</v>
      </c>
      <c r="P10714" s="65" t="str">
        <f>VLOOKUP(E10714,DATABASE!C:Q,9,False)</f>
        <v>#N/A</v>
      </c>
      <c r="Q10714" s="93" t="str">
        <f>VLOOKUP(E10714,DATABASE!C:Q,4,false)</f>
        <v>#N/A</v>
      </c>
      <c r="R10714" s="93" t="str">
        <f>VLOOKUP(E10714,DATABASE!C:Q,11,false)</f>
        <v>#N/A</v>
      </c>
    </row>
    <row r="10715" ht="22.5" customHeight="1">
      <c r="A10715" s="49"/>
      <c r="C10715" s="400"/>
      <c r="D10715" s="524"/>
      <c r="E10715" s="544"/>
      <c r="F10715" s="387"/>
      <c r="G10715" s="140"/>
      <c r="H10715" s="74"/>
      <c r="I10715" s="74">
        <f t="shared" si="7"/>
        <v>0</v>
      </c>
      <c r="J10715" s="74" t="str">
        <f>IF(E10715="SERVICE",I10715-(I10715*50%),Vlookup(E10715,DATABASE!C:Q,10,false)*F10715)</f>
        <v>#N/A</v>
      </c>
      <c r="K10715" s="74" t="str">
        <f>VLOOKUP(E10715,DATABASE!C:Q,7,false)</f>
        <v>#N/A</v>
      </c>
      <c r="L10715" s="74"/>
      <c r="M10715" s="74">
        <f t="shared" si="6"/>
        <v>0</v>
      </c>
      <c r="N10715" s="74" t="str">
        <f t="shared" si="9"/>
        <v>#N/A</v>
      </c>
      <c r="O10715" s="65" t="str">
        <f>VLOOKUP(E10715,DATABASE!C:Q,8,false)</f>
        <v>#N/A</v>
      </c>
      <c r="P10715" s="65" t="str">
        <f>VLOOKUP(E10715,DATABASE!C:Q,9,False)</f>
        <v>#N/A</v>
      </c>
      <c r="Q10715" s="93" t="str">
        <f>VLOOKUP(E10715,DATABASE!C:Q,4,false)</f>
        <v>#N/A</v>
      </c>
      <c r="R10715" s="93" t="str">
        <f>VLOOKUP(E10715,DATABASE!C:Q,11,false)</f>
        <v>#N/A</v>
      </c>
    </row>
    <row r="10716" ht="22.5" customHeight="1">
      <c r="A10716" s="49"/>
      <c r="C10716" s="400"/>
      <c r="D10716" s="524"/>
      <c r="E10716" s="544"/>
      <c r="F10716" s="387"/>
      <c r="G10716" s="140"/>
      <c r="H10716" s="74"/>
      <c r="I10716" s="74">
        <f t="shared" si="7"/>
        <v>0</v>
      </c>
      <c r="J10716" s="74" t="str">
        <f>IF(E10716="SERVICE",I10716-(I10716*50%),Vlookup(E10716,DATABASE!C:Q,10,false)*F10716)</f>
        <v>#N/A</v>
      </c>
      <c r="K10716" s="74" t="str">
        <f>VLOOKUP(E10716,DATABASE!C:Q,7,false)</f>
        <v>#N/A</v>
      </c>
      <c r="L10716" s="74"/>
      <c r="M10716" s="74">
        <f t="shared" si="6"/>
        <v>0</v>
      </c>
      <c r="N10716" s="74" t="str">
        <f t="shared" si="9"/>
        <v>#N/A</v>
      </c>
      <c r="O10716" s="65" t="str">
        <f>VLOOKUP(E10716,DATABASE!C:Q,8,false)</f>
        <v>#N/A</v>
      </c>
      <c r="P10716" s="65" t="str">
        <f>VLOOKUP(E10716,DATABASE!C:Q,9,False)</f>
        <v>#N/A</v>
      </c>
      <c r="Q10716" s="93" t="str">
        <f>VLOOKUP(E10716,DATABASE!C:Q,4,false)</f>
        <v>#N/A</v>
      </c>
      <c r="R10716" s="93" t="str">
        <f>VLOOKUP(E10716,DATABASE!C:Q,11,false)</f>
        <v>#N/A</v>
      </c>
    </row>
    <row r="10717" ht="22.5" customHeight="1">
      <c r="A10717" s="49"/>
      <c r="C10717" s="400"/>
      <c r="D10717" s="524"/>
      <c r="E10717" s="544"/>
      <c r="F10717" s="387"/>
      <c r="G10717" s="140"/>
      <c r="H10717" s="74"/>
      <c r="I10717" s="74">
        <f t="shared" si="7"/>
        <v>0</v>
      </c>
      <c r="J10717" s="74" t="str">
        <f>IF(E10717="SERVICE",I10717-(I10717*50%),Vlookup(E10717,DATABASE!C:Q,10,false)*F10717)</f>
        <v>#N/A</v>
      </c>
      <c r="K10717" s="74" t="str">
        <f>VLOOKUP(E10717,DATABASE!C:Q,7,false)</f>
        <v>#N/A</v>
      </c>
      <c r="L10717" s="74"/>
      <c r="M10717" s="74">
        <f t="shared" si="6"/>
        <v>0</v>
      </c>
      <c r="N10717" s="74" t="str">
        <f t="shared" si="9"/>
        <v>#N/A</v>
      </c>
      <c r="O10717" s="65" t="str">
        <f>VLOOKUP(E10717,DATABASE!C:Q,8,false)</f>
        <v>#N/A</v>
      </c>
      <c r="P10717" s="65" t="str">
        <f>VLOOKUP(E10717,DATABASE!C:Q,9,False)</f>
        <v>#N/A</v>
      </c>
      <c r="Q10717" s="93" t="str">
        <f>VLOOKUP(E10717,DATABASE!C:Q,4,false)</f>
        <v>#N/A</v>
      </c>
      <c r="R10717" s="93" t="str">
        <f>VLOOKUP(E10717,DATABASE!C:Q,11,false)</f>
        <v>#N/A</v>
      </c>
    </row>
    <row r="10718" ht="22.5" customHeight="1">
      <c r="A10718" s="49"/>
      <c r="C10718" s="400"/>
      <c r="D10718" s="524"/>
      <c r="E10718" s="544"/>
      <c r="F10718" s="387"/>
      <c r="G10718" s="140"/>
      <c r="H10718" s="74"/>
      <c r="I10718" s="74">
        <f t="shared" si="7"/>
        <v>0</v>
      </c>
      <c r="J10718" s="74" t="str">
        <f>IF(E10718="SERVICE",I10718-(I10718*50%),Vlookup(E10718,DATABASE!C:Q,10,false)*F10718)</f>
        <v>#N/A</v>
      </c>
      <c r="K10718" s="74" t="str">
        <f>VLOOKUP(E10718,DATABASE!C:Q,7,false)</f>
        <v>#N/A</v>
      </c>
      <c r="L10718" s="74"/>
      <c r="M10718" s="74">
        <f t="shared" si="6"/>
        <v>0</v>
      </c>
      <c r="N10718" s="74" t="str">
        <f t="shared" si="9"/>
        <v>#N/A</v>
      </c>
      <c r="O10718" s="65" t="str">
        <f>VLOOKUP(E10718,DATABASE!C:Q,8,false)</f>
        <v>#N/A</v>
      </c>
      <c r="P10718" s="65" t="str">
        <f>VLOOKUP(E10718,DATABASE!C:Q,9,False)</f>
        <v>#N/A</v>
      </c>
      <c r="Q10718" s="93" t="str">
        <f>VLOOKUP(E10718,DATABASE!C:Q,4,false)</f>
        <v>#N/A</v>
      </c>
      <c r="R10718" s="93" t="str">
        <f>VLOOKUP(E10718,DATABASE!C:Q,11,false)</f>
        <v>#N/A</v>
      </c>
    </row>
    <row r="10719" ht="22.5" customHeight="1">
      <c r="A10719" s="49"/>
      <c r="C10719" s="400"/>
      <c r="D10719" s="524"/>
      <c r="E10719" s="544"/>
      <c r="F10719" s="387"/>
      <c r="G10719" s="140"/>
      <c r="H10719" s="74"/>
      <c r="I10719" s="74">
        <f t="shared" si="7"/>
        <v>0</v>
      </c>
      <c r="J10719" s="74" t="str">
        <f>IF(E10719="SERVICE",I10719-(I10719*50%),Vlookup(E10719,DATABASE!C:Q,10,false)*F10719)</f>
        <v>#N/A</v>
      </c>
      <c r="K10719" s="74" t="str">
        <f>VLOOKUP(E10719,DATABASE!C:Q,7,false)</f>
        <v>#N/A</v>
      </c>
      <c r="L10719" s="74"/>
      <c r="M10719" s="74">
        <f t="shared" si="6"/>
        <v>0</v>
      </c>
      <c r="N10719" s="74" t="str">
        <f t="shared" si="9"/>
        <v>#N/A</v>
      </c>
      <c r="O10719" s="65" t="str">
        <f>VLOOKUP(E10719,DATABASE!C:Q,8,false)</f>
        <v>#N/A</v>
      </c>
      <c r="P10719" s="65" t="str">
        <f>VLOOKUP(E10719,DATABASE!C:Q,9,False)</f>
        <v>#N/A</v>
      </c>
      <c r="Q10719" s="93" t="str">
        <f>VLOOKUP(E10719,DATABASE!C:Q,4,false)</f>
        <v>#N/A</v>
      </c>
      <c r="R10719" s="93" t="str">
        <f>VLOOKUP(E10719,DATABASE!C:Q,11,false)</f>
        <v>#N/A</v>
      </c>
    </row>
    <row r="10720" ht="22.5" customHeight="1">
      <c r="A10720" s="49"/>
      <c r="C10720" s="400"/>
      <c r="D10720" s="524"/>
      <c r="E10720" s="544"/>
      <c r="F10720" s="387"/>
      <c r="G10720" s="140"/>
      <c r="H10720" s="74"/>
      <c r="I10720" s="74">
        <f t="shared" si="7"/>
        <v>0</v>
      </c>
      <c r="J10720" s="74" t="str">
        <f>IF(E10720="SERVICE",I10720-(I10720*50%),Vlookup(E10720,DATABASE!C:Q,10,false)*F10720)</f>
        <v>#N/A</v>
      </c>
      <c r="K10720" s="74" t="str">
        <f>VLOOKUP(E10720,DATABASE!C:Q,7,false)</f>
        <v>#N/A</v>
      </c>
      <c r="L10720" s="74"/>
      <c r="M10720" s="74">
        <f t="shared" si="6"/>
        <v>0</v>
      </c>
      <c r="N10720" s="74" t="str">
        <f t="shared" si="9"/>
        <v>#N/A</v>
      </c>
      <c r="O10720" s="65" t="str">
        <f>VLOOKUP(E10720,DATABASE!C:Q,8,false)</f>
        <v>#N/A</v>
      </c>
      <c r="P10720" s="65" t="str">
        <f>VLOOKUP(E10720,DATABASE!C:Q,9,False)</f>
        <v>#N/A</v>
      </c>
      <c r="Q10720" s="93" t="str">
        <f>VLOOKUP(E10720,DATABASE!C:Q,4,false)</f>
        <v>#N/A</v>
      </c>
      <c r="R10720" s="93" t="str">
        <f>VLOOKUP(E10720,DATABASE!C:Q,11,false)</f>
        <v>#N/A</v>
      </c>
    </row>
    <row r="10721" ht="22.5" customHeight="1">
      <c r="A10721" s="49"/>
      <c r="C10721" s="400"/>
      <c r="D10721" s="524"/>
      <c r="E10721" s="544"/>
      <c r="F10721" s="387"/>
      <c r="G10721" s="140"/>
      <c r="H10721" s="74"/>
      <c r="I10721" s="74">
        <f t="shared" si="7"/>
        <v>0</v>
      </c>
      <c r="J10721" s="74" t="str">
        <f>IF(E10721="SERVICE",I10721-(I10721*50%),Vlookup(E10721,DATABASE!C:Q,10,false)*F10721)</f>
        <v>#N/A</v>
      </c>
      <c r="K10721" s="74" t="str">
        <f>VLOOKUP(E10721,DATABASE!C:Q,7,false)</f>
        <v>#N/A</v>
      </c>
      <c r="L10721" s="74"/>
      <c r="M10721" s="74">
        <f t="shared" si="6"/>
        <v>0</v>
      </c>
      <c r="N10721" s="74" t="str">
        <f t="shared" si="9"/>
        <v>#N/A</v>
      </c>
      <c r="O10721" s="65" t="str">
        <f>VLOOKUP(E10721,DATABASE!C:Q,8,false)</f>
        <v>#N/A</v>
      </c>
      <c r="P10721" s="65" t="str">
        <f>VLOOKUP(E10721,DATABASE!C:Q,9,False)</f>
        <v>#N/A</v>
      </c>
      <c r="Q10721" s="93" t="str">
        <f>VLOOKUP(E10721,DATABASE!C:Q,4,false)</f>
        <v>#N/A</v>
      </c>
      <c r="R10721" s="93" t="str">
        <f>VLOOKUP(E10721,DATABASE!C:Q,11,false)</f>
        <v>#N/A</v>
      </c>
    </row>
    <row r="10722" ht="22.5" customHeight="1">
      <c r="A10722" s="49"/>
      <c r="C10722" s="400"/>
      <c r="D10722" s="524"/>
      <c r="E10722" s="544"/>
      <c r="F10722" s="387"/>
      <c r="G10722" s="140"/>
      <c r="H10722" s="74"/>
      <c r="I10722" s="74">
        <f t="shared" si="7"/>
        <v>0</v>
      </c>
      <c r="J10722" s="74" t="str">
        <f>IF(E10722="SERVICE",I10722-(I10722*50%),Vlookup(E10722,DATABASE!C:Q,10,false)*F10722)</f>
        <v>#N/A</v>
      </c>
      <c r="K10722" s="74" t="str">
        <f>VLOOKUP(E10722,DATABASE!C:Q,7,false)</f>
        <v>#N/A</v>
      </c>
      <c r="L10722" s="74"/>
      <c r="M10722" s="74">
        <f t="shared" si="6"/>
        <v>0</v>
      </c>
      <c r="N10722" s="74" t="str">
        <f t="shared" si="9"/>
        <v>#N/A</v>
      </c>
      <c r="O10722" s="65" t="str">
        <f>VLOOKUP(E10722,DATABASE!C:Q,8,false)</f>
        <v>#N/A</v>
      </c>
      <c r="P10722" s="65" t="str">
        <f>VLOOKUP(E10722,DATABASE!C:Q,9,False)</f>
        <v>#N/A</v>
      </c>
      <c r="Q10722" s="93" t="str">
        <f>VLOOKUP(E10722,DATABASE!C:Q,4,false)</f>
        <v>#N/A</v>
      </c>
      <c r="R10722" s="93" t="str">
        <f>VLOOKUP(E10722,DATABASE!C:Q,11,false)</f>
        <v>#N/A</v>
      </c>
    </row>
    <row r="10723" ht="22.5" customHeight="1">
      <c r="A10723" s="49"/>
      <c r="C10723" s="400"/>
      <c r="D10723" s="524"/>
      <c r="E10723" s="544"/>
      <c r="F10723" s="387"/>
      <c r="G10723" s="140"/>
      <c r="H10723" s="74"/>
      <c r="I10723" s="74">
        <f t="shared" si="7"/>
        <v>0</v>
      </c>
      <c r="J10723" s="74" t="str">
        <f>IF(E10723="SERVICE",I10723-(I10723*50%),Vlookup(E10723,DATABASE!C:Q,10,false)*F10723)</f>
        <v>#N/A</v>
      </c>
      <c r="K10723" s="74" t="str">
        <f>VLOOKUP(E10723,DATABASE!C:Q,7,false)</f>
        <v>#N/A</v>
      </c>
      <c r="L10723" s="74"/>
      <c r="M10723" s="74">
        <f t="shared" si="6"/>
        <v>0</v>
      </c>
      <c r="N10723" s="74" t="str">
        <f t="shared" si="9"/>
        <v>#N/A</v>
      </c>
      <c r="O10723" s="65" t="str">
        <f>VLOOKUP(E10723,DATABASE!C:Q,8,false)</f>
        <v>#N/A</v>
      </c>
      <c r="P10723" s="65" t="str">
        <f>VLOOKUP(E10723,DATABASE!C:Q,9,False)</f>
        <v>#N/A</v>
      </c>
      <c r="Q10723" s="93" t="str">
        <f>VLOOKUP(E10723,DATABASE!C:Q,4,false)</f>
        <v>#N/A</v>
      </c>
      <c r="R10723" s="93" t="str">
        <f>VLOOKUP(E10723,DATABASE!C:Q,11,false)</f>
        <v>#N/A</v>
      </c>
    </row>
    <row r="10724" ht="22.5" customHeight="1">
      <c r="A10724" s="49"/>
      <c r="C10724" s="400"/>
      <c r="D10724" s="524"/>
      <c r="E10724" s="544"/>
      <c r="F10724" s="387"/>
      <c r="G10724" s="140"/>
      <c r="H10724" s="74"/>
      <c r="I10724" s="74">
        <f t="shared" si="7"/>
        <v>0</v>
      </c>
      <c r="J10724" s="74" t="str">
        <f>IF(E10724="SERVICE",I10724-(I10724*50%),Vlookup(E10724,DATABASE!C:Q,10,false)*F10724)</f>
        <v>#N/A</v>
      </c>
      <c r="K10724" s="74" t="str">
        <f>VLOOKUP(E10724,DATABASE!C:Q,7,false)</f>
        <v>#N/A</v>
      </c>
      <c r="L10724" s="74"/>
      <c r="M10724" s="74">
        <f t="shared" si="6"/>
        <v>0</v>
      </c>
      <c r="N10724" s="74" t="str">
        <f t="shared" si="9"/>
        <v>#N/A</v>
      </c>
      <c r="O10724" s="65" t="str">
        <f>VLOOKUP(E10724,DATABASE!C:Q,8,false)</f>
        <v>#N/A</v>
      </c>
      <c r="P10724" s="65" t="str">
        <f>VLOOKUP(E10724,DATABASE!C:Q,9,False)</f>
        <v>#N/A</v>
      </c>
      <c r="Q10724" s="93" t="str">
        <f>VLOOKUP(E10724,DATABASE!C:Q,4,false)</f>
        <v>#N/A</v>
      </c>
      <c r="R10724" s="93" t="str">
        <f>VLOOKUP(E10724,DATABASE!C:Q,11,false)</f>
        <v>#N/A</v>
      </c>
    </row>
    <row r="10725" ht="22.5" customHeight="1">
      <c r="A10725" s="49"/>
      <c r="C10725" s="400"/>
      <c r="D10725" s="524"/>
      <c r="E10725" s="544"/>
      <c r="F10725" s="387"/>
      <c r="G10725" s="140"/>
      <c r="H10725" s="74"/>
      <c r="I10725" s="74">
        <f t="shared" si="7"/>
        <v>0</v>
      </c>
      <c r="J10725" s="74" t="str">
        <f>IF(E10725="SERVICE",I10725-(I10725*50%),Vlookup(E10725,DATABASE!C:Q,10,false)*F10725)</f>
        <v>#N/A</v>
      </c>
      <c r="K10725" s="74" t="str">
        <f>VLOOKUP(E10725,DATABASE!C:Q,7,false)</f>
        <v>#N/A</v>
      </c>
      <c r="L10725" s="74"/>
      <c r="M10725" s="74">
        <f t="shared" si="6"/>
        <v>0</v>
      </c>
      <c r="N10725" s="74" t="str">
        <f t="shared" si="9"/>
        <v>#N/A</v>
      </c>
      <c r="O10725" s="65" t="str">
        <f>VLOOKUP(E10725,DATABASE!C:Q,8,false)</f>
        <v>#N/A</v>
      </c>
      <c r="P10725" s="65" t="str">
        <f>VLOOKUP(E10725,DATABASE!C:Q,9,False)</f>
        <v>#N/A</v>
      </c>
      <c r="Q10725" s="93" t="str">
        <f>VLOOKUP(E10725,DATABASE!C:Q,4,false)</f>
        <v>#N/A</v>
      </c>
      <c r="R10725" s="93" t="str">
        <f>VLOOKUP(E10725,DATABASE!C:Q,11,false)</f>
        <v>#N/A</v>
      </c>
    </row>
    <row r="10726" ht="22.5" customHeight="1">
      <c r="A10726" s="49"/>
      <c r="C10726" s="400"/>
      <c r="D10726" s="524"/>
      <c r="E10726" s="544"/>
      <c r="F10726" s="387"/>
      <c r="G10726" s="140"/>
      <c r="H10726" s="74"/>
      <c r="I10726" s="74">
        <f t="shared" si="7"/>
        <v>0</v>
      </c>
      <c r="J10726" s="74" t="str">
        <f>IF(E10726="SERVICE",I10726-(I10726*50%),Vlookup(E10726,DATABASE!C:Q,10,false)*F10726)</f>
        <v>#N/A</v>
      </c>
      <c r="K10726" s="74" t="str">
        <f>VLOOKUP(E10726,DATABASE!C:Q,7,false)</f>
        <v>#N/A</v>
      </c>
      <c r="L10726" s="74"/>
      <c r="M10726" s="74">
        <f t="shared" si="6"/>
        <v>0</v>
      </c>
      <c r="N10726" s="74" t="str">
        <f t="shared" si="9"/>
        <v>#N/A</v>
      </c>
      <c r="O10726" s="65" t="str">
        <f>VLOOKUP(E10726,DATABASE!C:Q,8,false)</f>
        <v>#N/A</v>
      </c>
      <c r="P10726" s="65" t="str">
        <f>VLOOKUP(E10726,DATABASE!C:Q,9,False)</f>
        <v>#N/A</v>
      </c>
      <c r="Q10726" s="93" t="str">
        <f>VLOOKUP(E10726,DATABASE!C:Q,4,false)</f>
        <v>#N/A</v>
      </c>
      <c r="R10726" s="93" t="str">
        <f>VLOOKUP(E10726,DATABASE!C:Q,11,false)</f>
        <v>#N/A</v>
      </c>
    </row>
    <row r="10727" ht="22.5" customHeight="1">
      <c r="A10727" s="49"/>
      <c r="C10727" s="400"/>
      <c r="D10727" s="524"/>
      <c r="E10727" s="544"/>
      <c r="F10727" s="387"/>
      <c r="G10727" s="140"/>
      <c r="H10727" s="74"/>
      <c r="I10727" s="74">
        <f t="shared" si="7"/>
        <v>0</v>
      </c>
      <c r="J10727" s="74" t="str">
        <f>IF(E10727="SERVICE",I10727-(I10727*50%),Vlookup(E10727,DATABASE!C:Q,10,false)*F10727)</f>
        <v>#N/A</v>
      </c>
      <c r="K10727" s="74" t="str">
        <f>VLOOKUP(E10727,DATABASE!C:Q,7,false)</f>
        <v>#N/A</v>
      </c>
      <c r="L10727" s="74"/>
      <c r="M10727" s="74">
        <f t="shared" si="6"/>
        <v>0</v>
      </c>
      <c r="N10727" s="74" t="str">
        <f t="shared" si="9"/>
        <v>#N/A</v>
      </c>
      <c r="O10727" s="65" t="str">
        <f>VLOOKUP(E10727,DATABASE!C:Q,8,false)</f>
        <v>#N/A</v>
      </c>
      <c r="P10727" s="65" t="str">
        <f>VLOOKUP(E10727,DATABASE!C:Q,9,False)</f>
        <v>#N/A</v>
      </c>
      <c r="Q10727" s="93" t="str">
        <f>VLOOKUP(E10727,DATABASE!C:Q,4,false)</f>
        <v>#N/A</v>
      </c>
      <c r="R10727" s="93" t="str">
        <f>VLOOKUP(E10727,DATABASE!C:Q,11,false)</f>
        <v>#N/A</v>
      </c>
    </row>
    <row r="10728" ht="22.5" customHeight="1">
      <c r="A10728" s="49"/>
      <c r="C10728" s="400"/>
      <c r="D10728" s="524"/>
      <c r="E10728" s="544"/>
      <c r="F10728" s="387"/>
      <c r="G10728" s="140"/>
      <c r="H10728" s="74"/>
      <c r="I10728" s="74">
        <f t="shared" si="7"/>
        <v>0</v>
      </c>
      <c r="J10728" s="74" t="str">
        <f>IF(E10728="SERVICE",I10728-(I10728*50%),Vlookup(E10728,DATABASE!C:Q,10,false)*F10728)</f>
        <v>#N/A</v>
      </c>
      <c r="K10728" s="74" t="str">
        <f>VLOOKUP(E10728,DATABASE!C:Q,7,false)</f>
        <v>#N/A</v>
      </c>
      <c r="L10728" s="74"/>
      <c r="M10728" s="74">
        <f t="shared" si="6"/>
        <v>0</v>
      </c>
      <c r="N10728" s="74" t="str">
        <f t="shared" si="9"/>
        <v>#N/A</v>
      </c>
      <c r="O10728" s="65" t="str">
        <f>VLOOKUP(E10728,DATABASE!C:Q,8,false)</f>
        <v>#N/A</v>
      </c>
      <c r="P10728" s="65" t="str">
        <f>VLOOKUP(E10728,DATABASE!C:Q,9,False)</f>
        <v>#N/A</v>
      </c>
      <c r="Q10728" s="93" t="str">
        <f>VLOOKUP(E10728,DATABASE!C:Q,4,false)</f>
        <v>#N/A</v>
      </c>
      <c r="R10728" s="93" t="str">
        <f>VLOOKUP(E10728,DATABASE!C:Q,11,false)</f>
        <v>#N/A</v>
      </c>
    </row>
    <row r="10729" ht="22.5" customHeight="1">
      <c r="A10729" s="49"/>
      <c r="C10729" s="400"/>
      <c r="D10729" s="524"/>
      <c r="E10729" s="544"/>
      <c r="F10729" s="387"/>
      <c r="G10729" s="140"/>
      <c r="H10729" s="74"/>
      <c r="I10729" s="74">
        <f t="shared" si="7"/>
        <v>0</v>
      </c>
      <c r="J10729" s="74" t="str">
        <f>IF(E10729="SERVICE",I10729-(I10729*50%),Vlookup(E10729,DATABASE!C:Q,10,false)*F10729)</f>
        <v>#N/A</v>
      </c>
      <c r="K10729" s="74" t="str">
        <f>VLOOKUP(E10729,DATABASE!C:Q,7,false)</f>
        <v>#N/A</v>
      </c>
      <c r="L10729" s="74"/>
      <c r="M10729" s="74">
        <f t="shared" si="6"/>
        <v>0</v>
      </c>
      <c r="N10729" s="74" t="str">
        <f t="shared" si="9"/>
        <v>#N/A</v>
      </c>
      <c r="O10729" s="65" t="str">
        <f>VLOOKUP(E10729,DATABASE!C:Q,8,false)</f>
        <v>#N/A</v>
      </c>
      <c r="P10729" s="65" t="str">
        <f>VLOOKUP(E10729,DATABASE!C:Q,9,False)</f>
        <v>#N/A</v>
      </c>
      <c r="Q10729" s="93" t="str">
        <f>VLOOKUP(E10729,DATABASE!C:Q,4,false)</f>
        <v>#N/A</v>
      </c>
      <c r="R10729" s="93" t="str">
        <f>VLOOKUP(E10729,DATABASE!C:Q,11,false)</f>
        <v>#N/A</v>
      </c>
    </row>
    <row r="10730" ht="22.5" customHeight="1">
      <c r="A10730" s="49"/>
      <c r="C10730" s="400"/>
      <c r="D10730" s="524"/>
      <c r="E10730" s="544"/>
      <c r="F10730" s="387"/>
      <c r="G10730" s="140"/>
      <c r="H10730" s="74"/>
      <c r="I10730" s="74">
        <f t="shared" si="7"/>
        <v>0</v>
      </c>
      <c r="J10730" s="74" t="str">
        <f>IF(E10730="SERVICE",I10730-(I10730*50%),Vlookup(E10730,DATABASE!C:Q,10,false)*F10730)</f>
        <v>#N/A</v>
      </c>
      <c r="K10730" s="74" t="str">
        <f>VLOOKUP(E10730,DATABASE!C:Q,7,false)</f>
        <v>#N/A</v>
      </c>
      <c r="L10730" s="74"/>
      <c r="M10730" s="74">
        <f t="shared" si="6"/>
        <v>0</v>
      </c>
      <c r="N10730" s="74" t="str">
        <f t="shared" si="9"/>
        <v>#N/A</v>
      </c>
      <c r="O10730" s="65" t="str">
        <f>VLOOKUP(E10730,DATABASE!C:Q,8,false)</f>
        <v>#N/A</v>
      </c>
      <c r="P10730" s="65" t="str">
        <f>VLOOKUP(E10730,DATABASE!C:Q,9,False)</f>
        <v>#N/A</v>
      </c>
      <c r="Q10730" s="93" t="str">
        <f>VLOOKUP(E10730,DATABASE!C:Q,4,false)</f>
        <v>#N/A</v>
      </c>
      <c r="R10730" s="93" t="str">
        <f>VLOOKUP(E10730,DATABASE!C:Q,11,false)</f>
        <v>#N/A</v>
      </c>
    </row>
    <row r="10731" ht="22.5" customHeight="1">
      <c r="A10731" s="49"/>
      <c r="C10731" s="400"/>
      <c r="D10731" s="524"/>
      <c r="E10731" s="544"/>
      <c r="F10731" s="387"/>
      <c r="G10731" s="140"/>
      <c r="H10731" s="74"/>
      <c r="I10731" s="74">
        <f t="shared" si="7"/>
        <v>0</v>
      </c>
      <c r="J10731" s="74" t="str">
        <f>IF(E10731="SERVICE",I10731-(I10731*50%),Vlookup(E10731,DATABASE!C:Q,10,false)*F10731)</f>
        <v>#N/A</v>
      </c>
      <c r="K10731" s="74" t="str">
        <f>VLOOKUP(E10731,DATABASE!C:Q,7,false)</f>
        <v>#N/A</v>
      </c>
      <c r="L10731" s="74"/>
      <c r="M10731" s="74">
        <f t="shared" si="6"/>
        <v>0</v>
      </c>
      <c r="N10731" s="74" t="str">
        <f t="shared" si="9"/>
        <v>#N/A</v>
      </c>
      <c r="O10731" s="65" t="str">
        <f>VLOOKUP(E10731,DATABASE!C:Q,8,false)</f>
        <v>#N/A</v>
      </c>
      <c r="P10731" s="65" t="str">
        <f>VLOOKUP(E10731,DATABASE!C:Q,9,False)</f>
        <v>#N/A</v>
      </c>
      <c r="Q10731" s="93" t="str">
        <f>VLOOKUP(E10731,DATABASE!C:Q,4,false)</f>
        <v>#N/A</v>
      </c>
      <c r="R10731" s="93" t="str">
        <f>VLOOKUP(E10731,DATABASE!C:Q,11,false)</f>
        <v>#N/A</v>
      </c>
    </row>
    <row r="10732" ht="22.5" customHeight="1">
      <c r="A10732" s="49"/>
      <c r="C10732" s="400"/>
      <c r="D10732" s="524"/>
      <c r="E10732" s="544"/>
      <c r="F10732" s="387"/>
      <c r="G10732" s="140"/>
      <c r="H10732" s="74"/>
      <c r="I10732" s="74">
        <f t="shared" si="7"/>
        <v>0</v>
      </c>
      <c r="J10732" s="74" t="str">
        <f>IF(E10732="SERVICE",I10732-(I10732*50%),Vlookup(E10732,DATABASE!C:Q,10,false)*F10732)</f>
        <v>#N/A</v>
      </c>
      <c r="K10732" s="74" t="str">
        <f>VLOOKUP(E10732,DATABASE!C:Q,7,false)</f>
        <v>#N/A</v>
      </c>
      <c r="L10732" s="74"/>
      <c r="M10732" s="74">
        <f t="shared" si="6"/>
        <v>0</v>
      </c>
      <c r="N10732" s="74" t="str">
        <f t="shared" si="9"/>
        <v>#N/A</v>
      </c>
      <c r="O10732" s="65" t="str">
        <f>VLOOKUP(E10732,DATABASE!C:Q,8,false)</f>
        <v>#N/A</v>
      </c>
      <c r="P10732" s="65" t="str">
        <f>VLOOKUP(E10732,DATABASE!C:Q,9,False)</f>
        <v>#N/A</v>
      </c>
      <c r="Q10732" s="93" t="str">
        <f>VLOOKUP(E10732,DATABASE!C:Q,4,false)</f>
        <v>#N/A</v>
      </c>
      <c r="R10732" s="93" t="str">
        <f>VLOOKUP(E10732,DATABASE!C:Q,11,false)</f>
        <v>#N/A</v>
      </c>
    </row>
    <row r="10733" ht="22.5" customHeight="1">
      <c r="A10733" s="49"/>
      <c r="C10733" s="400"/>
      <c r="D10733" s="524"/>
      <c r="E10733" s="544"/>
      <c r="F10733" s="387"/>
      <c r="G10733" s="140"/>
      <c r="H10733" s="74"/>
      <c r="I10733" s="74">
        <f t="shared" si="7"/>
        <v>0</v>
      </c>
      <c r="J10733" s="74" t="str">
        <f>IF(E10733="SERVICE",I10733-(I10733*50%),Vlookup(E10733,DATABASE!C:Q,10,false)*F10733)</f>
        <v>#N/A</v>
      </c>
      <c r="K10733" s="74" t="str">
        <f>VLOOKUP(E10733,DATABASE!C:Q,7,false)</f>
        <v>#N/A</v>
      </c>
      <c r="L10733" s="74"/>
      <c r="M10733" s="74">
        <f t="shared" si="6"/>
        <v>0</v>
      </c>
      <c r="N10733" s="74" t="str">
        <f t="shared" si="9"/>
        <v>#N/A</v>
      </c>
      <c r="O10733" s="65" t="str">
        <f>VLOOKUP(E10733,DATABASE!C:Q,8,false)</f>
        <v>#N/A</v>
      </c>
      <c r="P10733" s="65" t="str">
        <f>VLOOKUP(E10733,DATABASE!C:Q,9,False)</f>
        <v>#N/A</v>
      </c>
      <c r="Q10733" s="93" t="str">
        <f>VLOOKUP(E10733,DATABASE!C:Q,4,false)</f>
        <v>#N/A</v>
      </c>
      <c r="R10733" s="93" t="str">
        <f>VLOOKUP(E10733,DATABASE!C:Q,11,false)</f>
        <v>#N/A</v>
      </c>
    </row>
    <row r="10734" ht="22.5" customHeight="1">
      <c r="A10734" s="49"/>
      <c r="C10734" s="400"/>
      <c r="D10734" s="524"/>
      <c r="E10734" s="544"/>
      <c r="F10734" s="387"/>
      <c r="G10734" s="140"/>
      <c r="H10734" s="74"/>
      <c r="I10734" s="74">
        <f t="shared" si="7"/>
        <v>0</v>
      </c>
      <c r="J10734" s="74" t="str">
        <f>IF(E10734="SERVICE",I10734-(I10734*50%),Vlookup(E10734,DATABASE!C:Q,10,false)*F10734)</f>
        <v>#N/A</v>
      </c>
      <c r="K10734" s="74" t="str">
        <f>VLOOKUP(E10734,DATABASE!C:Q,7,false)</f>
        <v>#N/A</v>
      </c>
      <c r="L10734" s="74"/>
      <c r="M10734" s="74">
        <f t="shared" si="6"/>
        <v>0</v>
      </c>
      <c r="N10734" s="74" t="str">
        <f t="shared" si="9"/>
        <v>#N/A</v>
      </c>
      <c r="O10734" s="65" t="str">
        <f>VLOOKUP(E10734,DATABASE!C:Q,8,false)</f>
        <v>#N/A</v>
      </c>
      <c r="P10734" s="65" t="str">
        <f>VLOOKUP(E10734,DATABASE!C:Q,9,False)</f>
        <v>#N/A</v>
      </c>
      <c r="Q10734" s="93" t="str">
        <f>VLOOKUP(E10734,DATABASE!C:Q,4,false)</f>
        <v>#N/A</v>
      </c>
      <c r="R10734" s="93" t="str">
        <f>VLOOKUP(E10734,DATABASE!C:Q,11,false)</f>
        <v>#N/A</v>
      </c>
    </row>
    <row r="10735" ht="22.5" customHeight="1">
      <c r="A10735" s="49"/>
      <c r="C10735" s="400"/>
      <c r="D10735" s="524"/>
      <c r="E10735" s="544"/>
      <c r="F10735" s="387"/>
      <c r="G10735" s="140"/>
      <c r="H10735" s="74"/>
      <c r="I10735" s="74">
        <f t="shared" si="7"/>
        <v>0</v>
      </c>
      <c r="J10735" s="74" t="str">
        <f>IF(E10735="SERVICE",I10735-(I10735*50%),Vlookup(E10735,DATABASE!C:Q,10,false)*F10735)</f>
        <v>#N/A</v>
      </c>
      <c r="K10735" s="74" t="str">
        <f>VLOOKUP(E10735,DATABASE!C:Q,7,false)</f>
        <v>#N/A</v>
      </c>
      <c r="L10735" s="74"/>
      <c r="M10735" s="74">
        <f t="shared" si="6"/>
        <v>0</v>
      </c>
      <c r="N10735" s="74" t="str">
        <f t="shared" si="9"/>
        <v>#N/A</v>
      </c>
      <c r="O10735" s="65" t="str">
        <f>VLOOKUP(E10735,DATABASE!C:Q,8,false)</f>
        <v>#N/A</v>
      </c>
      <c r="P10735" s="65" t="str">
        <f>VLOOKUP(E10735,DATABASE!C:Q,9,False)</f>
        <v>#N/A</v>
      </c>
      <c r="Q10735" s="93" t="str">
        <f>VLOOKUP(E10735,DATABASE!C:Q,4,false)</f>
        <v>#N/A</v>
      </c>
      <c r="R10735" s="93" t="str">
        <f>VLOOKUP(E10735,DATABASE!C:Q,11,false)</f>
        <v>#N/A</v>
      </c>
    </row>
    <row r="10736" ht="22.5" customHeight="1">
      <c r="A10736" s="49"/>
      <c r="C10736" s="400"/>
      <c r="D10736" s="524"/>
      <c r="E10736" s="544"/>
      <c r="F10736" s="387"/>
      <c r="G10736" s="140"/>
      <c r="H10736" s="74"/>
      <c r="I10736" s="74">
        <f t="shared" si="7"/>
        <v>0</v>
      </c>
      <c r="J10736" s="74" t="str">
        <f>IF(E10736="SERVICE",I10736-(I10736*50%),Vlookup(E10736,DATABASE!C:Q,10,false)*F10736)</f>
        <v>#N/A</v>
      </c>
      <c r="K10736" s="74" t="str">
        <f>VLOOKUP(E10736,DATABASE!C:Q,7,false)</f>
        <v>#N/A</v>
      </c>
      <c r="L10736" s="74"/>
      <c r="M10736" s="74">
        <f t="shared" si="6"/>
        <v>0</v>
      </c>
      <c r="N10736" s="74" t="str">
        <f t="shared" si="9"/>
        <v>#N/A</v>
      </c>
      <c r="O10736" s="65" t="str">
        <f>VLOOKUP(E10736,DATABASE!C:Q,8,false)</f>
        <v>#N/A</v>
      </c>
      <c r="P10736" s="65" t="str">
        <f>VLOOKUP(E10736,DATABASE!C:Q,9,False)</f>
        <v>#N/A</v>
      </c>
      <c r="Q10736" s="93" t="str">
        <f>VLOOKUP(E10736,DATABASE!C:Q,4,false)</f>
        <v>#N/A</v>
      </c>
      <c r="R10736" s="93" t="str">
        <f>VLOOKUP(E10736,DATABASE!C:Q,11,false)</f>
        <v>#N/A</v>
      </c>
    </row>
    <row r="10737" ht="22.5" customHeight="1">
      <c r="A10737" s="49"/>
      <c r="C10737" s="400"/>
      <c r="D10737" s="524"/>
      <c r="E10737" s="544"/>
      <c r="F10737" s="387"/>
      <c r="G10737" s="140"/>
      <c r="H10737" s="74"/>
      <c r="I10737" s="74">
        <f t="shared" si="7"/>
        <v>0</v>
      </c>
      <c r="J10737" s="74" t="str">
        <f>IF(E10737="SERVICE",I10737-(I10737*50%),Vlookup(E10737,DATABASE!C:Q,10,false)*F10737)</f>
        <v>#N/A</v>
      </c>
      <c r="K10737" s="74" t="str">
        <f>VLOOKUP(E10737,DATABASE!C:Q,7,false)</f>
        <v>#N/A</v>
      </c>
      <c r="L10737" s="74"/>
      <c r="M10737" s="74">
        <f t="shared" si="6"/>
        <v>0</v>
      </c>
      <c r="N10737" s="74" t="str">
        <f t="shared" si="9"/>
        <v>#N/A</v>
      </c>
      <c r="O10737" s="65" t="str">
        <f>VLOOKUP(E10737,DATABASE!C:Q,8,false)</f>
        <v>#N/A</v>
      </c>
      <c r="P10737" s="65" t="str">
        <f>VLOOKUP(E10737,DATABASE!C:Q,9,False)</f>
        <v>#N/A</v>
      </c>
      <c r="Q10737" s="93" t="str">
        <f>VLOOKUP(E10737,DATABASE!C:Q,4,false)</f>
        <v>#N/A</v>
      </c>
      <c r="R10737" s="93" t="str">
        <f>VLOOKUP(E10737,DATABASE!C:Q,11,false)</f>
        <v>#N/A</v>
      </c>
    </row>
    <row r="10738" ht="22.5" customHeight="1">
      <c r="A10738" s="49"/>
      <c r="C10738" s="400"/>
      <c r="D10738" s="524"/>
      <c r="E10738" s="544"/>
      <c r="F10738" s="387"/>
      <c r="G10738" s="140"/>
      <c r="H10738" s="74"/>
      <c r="I10738" s="74">
        <f t="shared" si="7"/>
        <v>0</v>
      </c>
      <c r="J10738" s="74" t="str">
        <f>IF(E10738="SERVICE",I10738-(I10738*50%),Vlookup(E10738,DATABASE!C:Q,10,false)*F10738)</f>
        <v>#N/A</v>
      </c>
      <c r="K10738" s="74" t="str">
        <f>VLOOKUP(E10738,DATABASE!C:Q,7,false)</f>
        <v>#N/A</v>
      </c>
      <c r="L10738" s="74"/>
      <c r="M10738" s="74">
        <f t="shared" si="6"/>
        <v>0</v>
      </c>
      <c r="N10738" s="74" t="str">
        <f t="shared" si="9"/>
        <v>#N/A</v>
      </c>
      <c r="O10738" s="65" t="str">
        <f>VLOOKUP(E10738,DATABASE!C:Q,8,false)</f>
        <v>#N/A</v>
      </c>
      <c r="P10738" s="65" t="str">
        <f>VLOOKUP(E10738,DATABASE!C:Q,9,False)</f>
        <v>#N/A</v>
      </c>
      <c r="Q10738" s="93" t="str">
        <f>VLOOKUP(E10738,DATABASE!C:Q,4,false)</f>
        <v>#N/A</v>
      </c>
      <c r="R10738" s="93" t="str">
        <f>VLOOKUP(E10738,DATABASE!C:Q,11,false)</f>
        <v>#N/A</v>
      </c>
    </row>
    <row r="10739" ht="22.5" customHeight="1">
      <c r="A10739" s="49"/>
      <c r="C10739" s="400"/>
      <c r="D10739" s="524"/>
      <c r="E10739" s="544"/>
      <c r="F10739" s="387"/>
      <c r="G10739" s="140"/>
      <c r="H10739" s="74"/>
      <c r="I10739" s="74">
        <f t="shared" si="7"/>
        <v>0</v>
      </c>
      <c r="J10739" s="74" t="str">
        <f>IF(E10739="SERVICE",I10739-(I10739*50%),Vlookup(E10739,DATABASE!C:Q,10,false)*F10739)</f>
        <v>#N/A</v>
      </c>
      <c r="K10739" s="74" t="str">
        <f>VLOOKUP(E10739,DATABASE!C:Q,7,false)</f>
        <v>#N/A</v>
      </c>
      <c r="L10739" s="74"/>
      <c r="M10739" s="74">
        <f t="shared" si="6"/>
        <v>0</v>
      </c>
      <c r="N10739" s="74" t="str">
        <f t="shared" si="9"/>
        <v>#N/A</v>
      </c>
      <c r="O10739" s="65" t="str">
        <f>VLOOKUP(E10739,DATABASE!C:Q,8,false)</f>
        <v>#N/A</v>
      </c>
      <c r="P10739" s="65" t="str">
        <f>VLOOKUP(E10739,DATABASE!C:Q,9,False)</f>
        <v>#N/A</v>
      </c>
      <c r="Q10739" s="93" t="str">
        <f>VLOOKUP(E10739,DATABASE!C:Q,4,false)</f>
        <v>#N/A</v>
      </c>
      <c r="R10739" s="93" t="str">
        <f>VLOOKUP(E10739,DATABASE!C:Q,11,false)</f>
        <v>#N/A</v>
      </c>
    </row>
    <row r="10740" ht="22.5" customHeight="1">
      <c r="A10740" s="49"/>
      <c r="C10740" s="400"/>
      <c r="D10740" s="524"/>
      <c r="E10740" s="544"/>
      <c r="F10740" s="387"/>
      <c r="G10740" s="140"/>
      <c r="H10740" s="74"/>
      <c r="I10740" s="74">
        <f t="shared" si="7"/>
        <v>0</v>
      </c>
      <c r="J10740" s="74" t="str">
        <f>IF(E10740="SERVICE",I10740-(I10740*50%),Vlookup(E10740,DATABASE!C:Q,10,false)*F10740)</f>
        <v>#N/A</v>
      </c>
      <c r="K10740" s="74" t="str">
        <f>VLOOKUP(E10740,DATABASE!C:Q,7,false)</f>
        <v>#N/A</v>
      </c>
      <c r="L10740" s="74"/>
      <c r="M10740" s="74">
        <f t="shared" si="6"/>
        <v>0</v>
      </c>
      <c r="N10740" s="74" t="str">
        <f t="shared" si="9"/>
        <v>#N/A</v>
      </c>
      <c r="O10740" s="65" t="str">
        <f>VLOOKUP(E10740,DATABASE!C:Q,8,false)</f>
        <v>#N/A</v>
      </c>
      <c r="P10740" s="65" t="str">
        <f>VLOOKUP(E10740,DATABASE!C:Q,9,False)</f>
        <v>#N/A</v>
      </c>
      <c r="Q10740" s="93" t="str">
        <f>VLOOKUP(E10740,DATABASE!C:Q,4,false)</f>
        <v>#N/A</v>
      </c>
      <c r="R10740" s="93" t="str">
        <f>VLOOKUP(E10740,DATABASE!C:Q,11,false)</f>
        <v>#N/A</v>
      </c>
    </row>
    <row r="10741" ht="22.5" customHeight="1">
      <c r="A10741" s="49"/>
      <c r="C10741" s="400"/>
      <c r="D10741" s="524"/>
      <c r="E10741" s="544"/>
      <c r="F10741" s="387"/>
      <c r="G10741" s="140"/>
      <c r="H10741" s="74"/>
      <c r="I10741" s="74">
        <f t="shared" si="7"/>
        <v>0</v>
      </c>
      <c r="J10741" s="74" t="str">
        <f>IF(E10741="SERVICE",I10741-(I10741*50%),Vlookup(E10741,DATABASE!C:Q,10,false)*F10741)</f>
        <v>#N/A</v>
      </c>
      <c r="K10741" s="74" t="str">
        <f>VLOOKUP(E10741,DATABASE!C:Q,7,false)</f>
        <v>#N/A</v>
      </c>
      <c r="L10741" s="74"/>
      <c r="M10741" s="74">
        <f t="shared" si="6"/>
        <v>0</v>
      </c>
      <c r="N10741" s="74" t="str">
        <f t="shared" si="9"/>
        <v>#N/A</v>
      </c>
      <c r="O10741" s="65" t="str">
        <f>VLOOKUP(E10741,DATABASE!C:Q,8,false)</f>
        <v>#N/A</v>
      </c>
      <c r="P10741" s="65" t="str">
        <f>VLOOKUP(E10741,DATABASE!C:Q,9,False)</f>
        <v>#N/A</v>
      </c>
      <c r="Q10741" s="93" t="str">
        <f>VLOOKUP(E10741,DATABASE!C:Q,4,false)</f>
        <v>#N/A</v>
      </c>
      <c r="R10741" s="93" t="str">
        <f>VLOOKUP(E10741,DATABASE!C:Q,11,false)</f>
        <v>#N/A</v>
      </c>
    </row>
    <row r="10742" ht="22.5" customHeight="1">
      <c r="A10742" s="49"/>
      <c r="C10742" s="400"/>
      <c r="D10742" s="524"/>
      <c r="E10742" s="544"/>
      <c r="F10742" s="387"/>
      <c r="G10742" s="140"/>
      <c r="H10742" s="74"/>
      <c r="I10742" s="74">
        <f t="shared" si="7"/>
        <v>0</v>
      </c>
      <c r="J10742" s="74" t="str">
        <f>IF(E10742="SERVICE",I10742-(I10742*50%),Vlookup(E10742,DATABASE!C:Q,10,false)*F10742)</f>
        <v>#N/A</v>
      </c>
      <c r="K10742" s="74" t="str">
        <f>VLOOKUP(E10742,DATABASE!C:Q,7,false)</f>
        <v>#N/A</v>
      </c>
      <c r="L10742" s="74"/>
      <c r="M10742" s="74">
        <f t="shared" si="6"/>
        <v>0</v>
      </c>
      <c r="N10742" s="74" t="str">
        <f t="shared" si="9"/>
        <v>#N/A</v>
      </c>
      <c r="O10742" s="65" t="str">
        <f>VLOOKUP(E10742,DATABASE!C:Q,8,false)</f>
        <v>#N/A</v>
      </c>
      <c r="P10742" s="65" t="str">
        <f>VLOOKUP(E10742,DATABASE!C:Q,9,False)</f>
        <v>#N/A</v>
      </c>
      <c r="Q10742" s="93" t="str">
        <f>VLOOKUP(E10742,DATABASE!C:Q,4,false)</f>
        <v>#N/A</v>
      </c>
      <c r="R10742" s="93" t="str">
        <f>VLOOKUP(E10742,DATABASE!C:Q,11,false)</f>
        <v>#N/A</v>
      </c>
    </row>
    <row r="10743" ht="22.5" customHeight="1">
      <c r="A10743" s="49"/>
      <c r="C10743" s="400"/>
      <c r="D10743" s="524"/>
      <c r="E10743" s="544"/>
      <c r="F10743" s="387"/>
      <c r="G10743" s="140"/>
      <c r="H10743" s="74"/>
      <c r="I10743" s="74">
        <f t="shared" si="7"/>
        <v>0</v>
      </c>
      <c r="J10743" s="74" t="str">
        <f>IF(E10743="SERVICE",I10743-(I10743*50%),Vlookup(E10743,DATABASE!C:Q,10,false)*F10743)</f>
        <v>#N/A</v>
      </c>
      <c r="K10743" s="74" t="str">
        <f>VLOOKUP(E10743,DATABASE!C:Q,7,false)</f>
        <v>#N/A</v>
      </c>
      <c r="L10743" s="74"/>
      <c r="M10743" s="74">
        <f t="shared" si="6"/>
        <v>0</v>
      </c>
      <c r="N10743" s="74" t="str">
        <f t="shared" si="9"/>
        <v>#N/A</v>
      </c>
      <c r="O10743" s="65" t="str">
        <f>VLOOKUP(E10743,DATABASE!C:Q,8,false)</f>
        <v>#N/A</v>
      </c>
      <c r="P10743" s="65" t="str">
        <f>VLOOKUP(E10743,DATABASE!C:Q,9,False)</f>
        <v>#N/A</v>
      </c>
      <c r="Q10743" s="93" t="str">
        <f>VLOOKUP(E10743,DATABASE!C:Q,4,false)</f>
        <v>#N/A</v>
      </c>
      <c r="R10743" s="93" t="str">
        <f>VLOOKUP(E10743,DATABASE!C:Q,11,false)</f>
        <v>#N/A</v>
      </c>
    </row>
    <row r="10744" ht="22.5" customHeight="1">
      <c r="A10744" s="49"/>
      <c r="C10744" s="400"/>
      <c r="D10744" s="524"/>
      <c r="E10744" s="544"/>
      <c r="F10744" s="387"/>
      <c r="G10744" s="140"/>
      <c r="H10744" s="74"/>
      <c r="I10744" s="74">
        <f t="shared" si="7"/>
        <v>0</v>
      </c>
      <c r="J10744" s="74" t="str">
        <f>IF(E10744="SERVICE",I10744-(I10744*50%),Vlookup(E10744,DATABASE!C:Q,10,false)*F10744)</f>
        <v>#N/A</v>
      </c>
      <c r="K10744" s="74" t="str">
        <f>VLOOKUP(E10744,DATABASE!C:Q,7,false)</f>
        <v>#N/A</v>
      </c>
      <c r="L10744" s="74"/>
      <c r="M10744" s="74">
        <f t="shared" si="6"/>
        <v>0</v>
      </c>
      <c r="N10744" s="74" t="str">
        <f t="shared" si="9"/>
        <v>#N/A</v>
      </c>
      <c r="O10744" s="65" t="str">
        <f>VLOOKUP(E10744,DATABASE!C:Q,8,false)</f>
        <v>#N/A</v>
      </c>
      <c r="P10744" s="65" t="str">
        <f>VLOOKUP(E10744,DATABASE!C:Q,9,False)</f>
        <v>#N/A</v>
      </c>
      <c r="Q10744" s="93" t="str">
        <f>VLOOKUP(E10744,DATABASE!C:Q,4,false)</f>
        <v>#N/A</v>
      </c>
      <c r="R10744" s="93" t="str">
        <f>VLOOKUP(E10744,DATABASE!C:Q,11,false)</f>
        <v>#N/A</v>
      </c>
    </row>
    <row r="10745" ht="22.5" customHeight="1">
      <c r="A10745" s="49"/>
      <c r="C10745" s="400"/>
      <c r="D10745" s="524"/>
      <c r="E10745" s="544"/>
      <c r="F10745" s="387"/>
      <c r="G10745" s="140"/>
      <c r="H10745" s="74"/>
      <c r="I10745" s="74">
        <f t="shared" si="7"/>
        <v>0</v>
      </c>
      <c r="J10745" s="74" t="str">
        <f>IF(E10745="SERVICE",I10745-(I10745*50%),Vlookup(E10745,DATABASE!C:Q,10,false)*F10745)</f>
        <v>#N/A</v>
      </c>
      <c r="K10745" s="74" t="str">
        <f>VLOOKUP(E10745,DATABASE!C:Q,7,false)</f>
        <v>#N/A</v>
      </c>
      <c r="L10745" s="74"/>
      <c r="M10745" s="74">
        <f t="shared" si="6"/>
        <v>0</v>
      </c>
      <c r="N10745" s="74" t="str">
        <f t="shared" si="9"/>
        <v>#N/A</v>
      </c>
      <c r="O10745" s="65" t="str">
        <f>VLOOKUP(E10745,DATABASE!C:Q,8,false)</f>
        <v>#N/A</v>
      </c>
      <c r="P10745" s="65" t="str">
        <f>VLOOKUP(E10745,DATABASE!C:Q,9,False)</f>
        <v>#N/A</v>
      </c>
      <c r="Q10745" s="93" t="str">
        <f>VLOOKUP(E10745,DATABASE!C:Q,4,false)</f>
        <v>#N/A</v>
      </c>
      <c r="R10745" s="93" t="str">
        <f>VLOOKUP(E10745,DATABASE!C:Q,11,false)</f>
        <v>#N/A</v>
      </c>
    </row>
    <row r="10746" ht="22.5" customHeight="1">
      <c r="A10746" s="49"/>
      <c r="C10746" s="400"/>
      <c r="D10746" s="524"/>
      <c r="E10746" s="544"/>
      <c r="F10746" s="387"/>
      <c r="G10746" s="140"/>
      <c r="H10746" s="74"/>
      <c r="I10746" s="74">
        <f t="shared" si="7"/>
        <v>0</v>
      </c>
      <c r="J10746" s="74" t="str">
        <f>IF(E10746="SERVICE",I10746-(I10746*50%),Vlookup(E10746,DATABASE!C:Q,10,false)*F10746)</f>
        <v>#N/A</v>
      </c>
      <c r="K10746" s="74" t="str">
        <f>VLOOKUP(E10746,DATABASE!C:Q,7,false)</f>
        <v>#N/A</v>
      </c>
      <c r="L10746" s="74"/>
      <c r="M10746" s="74">
        <f t="shared" si="6"/>
        <v>0</v>
      </c>
      <c r="N10746" s="74" t="str">
        <f t="shared" si="9"/>
        <v>#N/A</v>
      </c>
      <c r="O10746" s="65" t="str">
        <f>VLOOKUP(E10746,DATABASE!C:Q,8,false)</f>
        <v>#N/A</v>
      </c>
      <c r="P10746" s="65" t="str">
        <f>VLOOKUP(E10746,DATABASE!C:Q,9,False)</f>
        <v>#N/A</v>
      </c>
      <c r="Q10746" s="93" t="str">
        <f>VLOOKUP(E10746,DATABASE!C:Q,4,false)</f>
        <v>#N/A</v>
      </c>
      <c r="R10746" s="93" t="str">
        <f>VLOOKUP(E10746,DATABASE!C:Q,11,false)</f>
        <v>#N/A</v>
      </c>
    </row>
    <row r="10747" ht="22.5" customHeight="1">
      <c r="A10747" s="49"/>
      <c r="C10747" s="400"/>
      <c r="D10747" s="524"/>
      <c r="E10747" s="544"/>
      <c r="F10747" s="387"/>
      <c r="G10747" s="140"/>
      <c r="H10747" s="74"/>
      <c r="I10747" s="74">
        <f t="shared" si="7"/>
        <v>0</v>
      </c>
      <c r="J10747" s="74" t="str">
        <f>IF(E10747="SERVICE",I10747-(I10747*50%),Vlookup(E10747,DATABASE!C:Q,10,false)*F10747)</f>
        <v>#N/A</v>
      </c>
      <c r="K10747" s="74" t="str">
        <f>VLOOKUP(E10747,DATABASE!C:Q,7,false)</f>
        <v>#N/A</v>
      </c>
      <c r="L10747" s="74"/>
      <c r="M10747" s="74">
        <f t="shared" si="6"/>
        <v>0</v>
      </c>
      <c r="N10747" s="74" t="str">
        <f t="shared" si="9"/>
        <v>#N/A</v>
      </c>
      <c r="O10747" s="65" t="str">
        <f>VLOOKUP(E10747,DATABASE!C:Q,8,false)</f>
        <v>#N/A</v>
      </c>
      <c r="P10747" s="65" t="str">
        <f>VLOOKUP(E10747,DATABASE!C:Q,9,False)</f>
        <v>#N/A</v>
      </c>
      <c r="Q10747" s="93" t="str">
        <f>VLOOKUP(E10747,DATABASE!C:Q,4,false)</f>
        <v>#N/A</v>
      </c>
      <c r="R10747" s="93" t="str">
        <f>VLOOKUP(E10747,DATABASE!C:Q,11,false)</f>
        <v>#N/A</v>
      </c>
    </row>
    <row r="10748" ht="22.5" customHeight="1">
      <c r="A10748" s="49"/>
      <c r="C10748" s="400"/>
      <c r="D10748" s="524"/>
      <c r="E10748" s="544"/>
      <c r="F10748" s="387"/>
      <c r="G10748" s="140"/>
      <c r="H10748" s="74"/>
      <c r="I10748" s="74">
        <f t="shared" si="7"/>
        <v>0</v>
      </c>
      <c r="J10748" s="74" t="str">
        <f>IF(E10748="SERVICE",I10748-(I10748*50%),Vlookup(E10748,DATABASE!C:Q,10,false)*F10748)</f>
        <v>#N/A</v>
      </c>
      <c r="K10748" s="74" t="str">
        <f>VLOOKUP(E10748,DATABASE!C:Q,7,false)</f>
        <v>#N/A</v>
      </c>
      <c r="L10748" s="74"/>
      <c r="M10748" s="74">
        <f t="shared" si="6"/>
        <v>0</v>
      </c>
      <c r="N10748" s="74" t="str">
        <f t="shared" si="9"/>
        <v>#N/A</v>
      </c>
      <c r="O10748" s="65" t="str">
        <f>VLOOKUP(E10748,DATABASE!C:Q,8,false)</f>
        <v>#N/A</v>
      </c>
      <c r="P10748" s="65" t="str">
        <f>VLOOKUP(E10748,DATABASE!C:Q,9,False)</f>
        <v>#N/A</v>
      </c>
      <c r="Q10748" s="93" t="str">
        <f>VLOOKUP(E10748,DATABASE!C:Q,4,false)</f>
        <v>#N/A</v>
      </c>
      <c r="R10748" s="93" t="str">
        <f>VLOOKUP(E10748,DATABASE!C:Q,11,false)</f>
        <v>#N/A</v>
      </c>
    </row>
    <row r="10749" ht="22.5" customHeight="1">
      <c r="A10749" s="49"/>
      <c r="C10749" s="400"/>
      <c r="D10749" s="524"/>
      <c r="E10749" s="544"/>
      <c r="F10749" s="387"/>
      <c r="G10749" s="140"/>
      <c r="H10749" s="74"/>
      <c r="I10749" s="74">
        <f t="shared" si="7"/>
        <v>0</v>
      </c>
      <c r="J10749" s="74" t="str">
        <f>IF(E10749="SERVICE",I10749-(I10749*50%),Vlookup(E10749,DATABASE!C:Q,10,false)*F10749)</f>
        <v>#N/A</v>
      </c>
      <c r="K10749" s="74" t="str">
        <f>VLOOKUP(E10749,DATABASE!C:Q,7,false)</f>
        <v>#N/A</v>
      </c>
      <c r="L10749" s="74"/>
      <c r="M10749" s="74">
        <f t="shared" si="6"/>
        <v>0</v>
      </c>
      <c r="N10749" s="74" t="str">
        <f t="shared" si="9"/>
        <v>#N/A</v>
      </c>
      <c r="O10749" s="65" t="str">
        <f>VLOOKUP(E10749,DATABASE!C:Q,8,false)</f>
        <v>#N/A</v>
      </c>
      <c r="P10749" s="65" t="str">
        <f>VLOOKUP(E10749,DATABASE!C:Q,9,False)</f>
        <v>#N/A</v>
      </c>
      <c r="Q10749" s="93" t="str">
        <f>VLOOKUP(E10749,DATABASE!C:Q,4,false)</f>
        <v>#N/A</v>
      </c>
      <c r="R10749" s="93" t="str">
        <f>VLOOKUP(E10749,DATABASE!C:Q,11,false)</f>
        <v>#N/A</v>
      </c>
    </row>
    <row r="10750" ht="22.5" customHeight="1">
      <c r="A10750" s="49"/>
      <c r="C10750" s="400"/>
      <c r="D10750" s="524"/>
      <c r="E10750" s="544"/>
      <c r="F10750" s="387"/>
      <c r="G10750" s="140"/>
      <c r="H10750" s="74"/>
      <c r="I10750" s="74">
        <f t="shared" si="7"/>
        <v>0</v>
      </c>
      <c r="J10750" s="74" t="str">
        <f>IF(E10750="SERVICE",I10750-(I10750*50%),Vlookup(E10750,DATABASE!C:Q,10,false)*F10750)</f>
        <v>#N/A</v>
      </c>
      <c r="K10750" s="74" t="str">
        <f>VLOOKUP(E10750,DATABASE!C:Q,7,false)</f>
        <v>#N/A</v>
      </c>
      <c r="L10750" s="74"/>
      <c r="M10750" s="74">
        <f t="shared" si="6"/>
        <v>0</v>
      </c>
      <c r="N10750" s="74" t="str">
        <f t="shared" si="9"/>
        <v>#N/A</v>
      </c>
      <c r="O10750" s="65" t="str">
        <f>VLOOKUP(E10750,DATABASE!C:Q,8,false)</f>
        <v>#N/A</v>
      </c>
      <c r="P10750" s="65" t="str">
        <f>VLOOKUP(E10750,DATABASE!C:Q,9,False)</f>
        <v>#N/A</v>
      </c>
      <c r="Q10750" s="93" t="str">
        <f>VLOOKUP(E10750,DATABASE!C:Q,4,false)</f>
        <v>#N/A</v>
      </c>
      <c r="R10750" s="93" t="str">
        <f>VLOOKUP(E10750,DATABASE!C:Q,11,false)</f>
        <v>#N/A</v>
      </c>
    </row>
    <row r="10751" ht="22.5" customHeight="1">
      <c r="A10751" s="49"/>
      <c r="C10751" s="400"/>
      <c r="D10751" s="524"/>
      <c r="E10751" s="544"/>
      <c r="F10751" s="387"/>
      <c r="G10751" s="140"/>
      <c r="H10751" s="74"/>
      <c r="I10751" s="74">
        <f t="shared" si="7"/>
        <v>0</v>
      </c>
      <c r="J10751" s="74" t="str">
        <f>IF(E10751="SERVICE",I10751-(I10751*50%),Vlookup(E10751,DATABASE!C:Q,10,false)*F10751)</f>
        <v>#N/A</v>
      </c>
      <c r="K10751" s="74" t="str">
        <f>VLOOKUP(E10751,DATABASE!C:Q,7,false)</f>
        <v>#N/A</v>
      </c>
      <c r="L10751" s="74"/>
      <c r="M10751" s="74">
        <f t="shared" si="6"/>
        <v>0</v>
      </c>
      <c r="N10751" s="74" t="str">
        <f t="shared" si="9"/>
        <v>#N/A</v>
      </c>
      <c r="O10751" s="65" t="str">
        <f>VLOOKUP(E10751,DATABASE!C:Q,8,false)</f>
        <v>#N/A</v>
      </c>
      <c r="P10751" s="65" t="str">
        <f>VLOOKUP(E10751,DATABASE!C:Q,9,False)</f>
        <v>#N/A</v>
      </c>
      <c r="Q10751" s="93" t="str">
        <f>VLOOKUP(E10751,DATABASE!C:Q,4,false)</f>
        <v>#N/A</v>
      </c>
      <c r="R10751" s="93" t="str">
        <f>VLOOKUP(E10751,DATABASE!C:Q,11,false)</f>
        <v>#N/A</v>
      </c>
    </row>
    <row r="10752" ht="22.5" customHeight="1">
      <c r="A10752" s="49"/>
      <c r="C10752" s="400"/>
      <c r="D10752" s="524"/>
      <c r="E10752" s="544"/>
      <c r="F10752" s="387"/>
      <c r="G10752" s="140"/>
      <c r="H10752" s="74"/>
      <c r="I10752" s="74">
        <f t="shared" si="7"/>
        <v>0</v>
      </c>
      <c r="J10752" s="74" t="str">
        <f>IF(E10752="SERVICE",I10752-(I10752*50%),Vlookup(E10752,DATABASE!C:Q,10,false)*F10752)</f>
        <v>#N/A</v>
      </c>
      <c r="K10752" s="74" t="str">
        <f>VLOOKUP(E10752,DATABASE!C:Q,7,false)</f>
        <v>#N/A</v>
      </c>
      <c r="L10752" s="74"/>
      <c r="M10752" s="74">
        <f t="shared" si="6"/>
        <v>0</v>
      </c>
      <c r="N10752" s="74" t="str">
        <f t="shared" si="9"/>
        <v>#N/A</v>
      </c>
      <c r="O10752" s="65" t="str">
        <f>VLOOKUP(E10752,DATABASE!C:Q,8,false)</f>
        <v>#N/A</v>
      </c>
      <c r="P10752" s="65" t="str">
        <f>VLOOKUP(E10752,DATABASE!C:Q,9,False)</f>
        <v>#N/A</v>
      </c>
      <c r="Q10752" s="93" t="str">
        <f>VLOOKUP(E10752,DATABASE!C:Q,4,false)</f>
        <v>#N/A</v>
      </c>
      <c r="R10752" s="93" t="str">
        <f>VLOOKUP(E10752,DATABASE!C:Q,11,false)</f>
        <v>#N/A</v>
      </c>
    </row>
    <row r="10753" ht="22.5" customHeight="1">
      <c r="A10753" s="49"/>
      <c r="C10753" s="400"/>
      <c r="D10753" s="524"/>
      <c r="E10753" s="544"/>
      <c r="F10753" s="387"/>
      <c r="G10753" s="140"/>
      <c r="H10753" s="74"/>
      <c r="I10753" s="74">
        <f t="shared" si="7"/>
        <v>0</v>
      </c>
      <c r="J10753" s="74" t="str">
        <f>IF(E10753="SERVICE",I10753-(I10753*50%),Vlookup(E10753,DATABASE!C:Q,10,false)*F10753)</f>
        <v>#N/A</v>
      </c>
      <c r="K10753" s="74" t="str">
        <f>VLOOKUP(E10753,DATABASE!C:Q,7,false)</f>
        <v>#N/A</v>
      </c>
      <c r="L10753" s="74"/>
      <c r="M10753" s="74">
        <f t="shared" si="6"/>
        <v>0</v>
      </c>
      <c r="N10753" s="74" t="str">
        <f t="shared" si="9"/>
        <v>#N/A</v>
      </c>
      <c r="O10753" s="65" t="str">
        <f>VLOOKUP(E10753,DATABASE!C:Q,8,false)</f>
        <v>#N/A</v>
      </c>
      <c r="P10753" s="65" t="str">
        <f>VLOOKUP(E10753,DATABASE!C:Q,9,False)</f>
        <v>#N/A</v>
      </c>
      <c r="Q10753" s="93" t="str">
        <f>VLOOKUP(E10753,DATABASE!C:Q,4,false)</f>
        <v>#N/A</v>
      </c>
      <c r="R10753" s="93" t="str">
        <f>VLOOKUP(E10753,DATABASE!C:Q,11,false)</f>
        <v>#N/A</v>
      </c>
    </row>
    <row r="10754" ht="22.5" customHeight="1">
      <c r="A10754" s="49"/>
      <c r="C10754" s="400"/>
      <c r="D10754" s="524"/>
      <c r="E10754" s="544"/>
      <c r="F10754" s="387"/>
      <c r="G10754" s="140"/>
      <c r="H10754" s="74"/>
      <c r="I10754" s="74">
        <f t="shared" si="7"/>
        <v>0</v>
      </c>
      <c r="J10754" s="74" t="str">
        <f>IF(E10754="SERVICE",I10754-(I10754*50%),Vlookup(E10754,DATABASE!C:Q,10,false)*F10754)</f>
        <v>#N/A</v>
      </c>
      <c r="K10754" s="74" t="str">
        <f>VLOOKUP(E10754,DATABASE!C:Q,7,false)</f>
        <v>#N/A</v>
      </c>
      <c r="L10754" s="74"/>
      <c r="M10754" s="74">
        <f t="shared" si="6"/>
        <v>0</v>
      </c>
      <c r="N10754" s="74" t="str">
        <f t="shared" si="9"/>
        <v>#N/A</v>
      </c>
      <c r="O10754" s="65" t="str">
        <f>VLOOKUP(E10754,DATABASE!C:Q,8,false)</f>
        <v>#N/A</v>
      </c>
      <c r="P10754" s="65" t="str">
        <f>VLOOKUP(E10754,DATABASE!C:Q,9,False)</f>
        <v>#N/A</v>
      </c>
      <c r="Q10754" s="93" t="str">
        <f>VLOOKUP(E10754,DATABASE!C:Q,4,false)</f>
        <v>#N/A</v>
      </c>
      <c r="R10754" s="93" t="str">
        <f>VLOOKUP(E10754,DATABASE!C:Q,11,false)</f>
        <v>#N/A</v>
      </c>
    </row>
    <row r="10755" ht="22.5" customHeight="1">
      <c r="A10755" s="49"/>
      <c r="C10755" s="400"/>
      <c r="D10755" s="524"/>
      <c r="E10755" s="544"/>
      <c r="F10755" s="387"/>
      <c r="G10755" s="140"/>
      <c r="H10755" s="74"/>
      <c r="I10755" s="74">
        <f t="shared" si="7"/>
        <v>0</v>
      </c>
      <c r="J10755" s="74" t="str">
        <f>IF(E10755="SERVICE",I10755-(I10755*50%),Vlookup(E10755,DATABASE!C:Q,10,false)*F10755)</f>
        <v>#N/A</v>
      </c>
      <c r="K10755" s="74" t="str">
        <f>VLOOKUP(E10755,DATABASE!C:Q,7,false)</f>
        <v>#N/A</v>
      </c>
      <c r="L10755" s="74"/>
      <c r="M10755" s="74">
        <f t="shared" si="6"/>
        <v>0</v>
      </c>
      <c r="N10755" s="74" t="str">
        <f t="shared" si="9"/>
        <v>#N/A</v>
      </c>
      <c r="O10755" s="65" t="str">
        <f>VLOOKUP(E10755,DATABASE!C:Q,8,false)</f>
        <v>#N/A</v>
      </c>
      <c r="P10755" s="65" t="str">
        <f>VLOOKUP(E10755,DATABASE!C:Q,9,False)</f>
        <v>#N/A</v>
      </c>
      <c r="Q10755" s="93" t="str">
        <f>VLOOKUP(E10755,DATABASE!C:Q,4,false)</f>
        <v>#N/A</v>
      </c>
      <c r="R10755" s="93" t="str">
        <f>VLOOKUP(E10755,DATABASE!C:Q,11,false)</f>
        <v>#N/A</v>
      </c>
    </row>
    <row r="10756" ht="22.5" customHeight="1">
      <c r="A10756" s="49"/>
      <c r="C10756" s="400"/>
      <c r="D10756" s="524"/>
      <c r="E10756" s="544"/>
      <c r="F10756" s="387"/>
      <c r="G10756" s="140"/>
      <c r="H10756" s="74"/>
      <c r="I10756" s="74">
        <f t="shared" si="7"/>
        <v>0</v>
      </c>
      <c r="J10756" s="74" t="str">
        <f>IF(E10756="SERVICE",I10756-(I10756*50%),Vlookup(E10756,DATABASE!C:Q,10,false)*F10756)</f>
        <v>#N/A</v>
      </c>
      <c r="K10756" s="74" t="str">
        <f>VLOOKUP(E10756,DATABASE!C:Q,7,false)</f>
        <v>#N/A</v>
      </c>
      <c r="L10756" s="74"/>
      <c r="M10756" s="74">
        <f t="shared" si="6"/>
        <v>0</v>
      </c>
      <c r="N10756" s="74" t="str">
        <f t="shared" si="9"/>
        <v>#N/A</v>
      </c>
      <c r="O10756" s="65" t="str">
        <f>VLOOKUP(E10756,DATABASE!C:Q,8,false)</f>
        <v>#N/A</v>
      </c>
      <c r="P10756" s="65" t="str">
        <f>VLOOKUP(E10756,DATABASE!C:Q,9,False)</f>
        <v>#N/A</v>
      </c>
      <c r="Q10756" s="93" t="str">
        <f>VLOOKUP(E10756,DATABASE!C:Q,4,false)</f>
        <v>#N/A</v>
      </c>
      <c r="R10756" s="93" t="str">
        <f>VLOOKUP(E10756,DATABASE!C:Q,11,false)</f>
        <v>#N/A</v>
      </c>
    </row>
    <row r="10757" ht="22.5" customHeight="1">
      <c r="A10757" s="49"/>
      <c r="C10757" s="400"/>
      <c r="D10757" s="524"/>
      <c r="E10757" s="544"/>
      <c r="F10757" s="387"/>
      <c r="G10757" s="140"/>
      <c r="H10757" s="74"/>
      <c r="I10757" s="74">
        <f t="shared" si="7"/>
        <v>0</v>
      </c>
      <c r="J10757" s="74" t="str">
        <f>IF(E10757="SERVICE",I10757-(I10757*50%),Vlookup(E10757,DATABASE!C:Q,10,false)*F10757)</f>
        <v>#N/A</v>
      </c>
      <c r="K10757" s="74" t="str">
        <f>VLOOKUP(E10757,DATABASE!C:Q,7,false)</f>
        <v>#N/A</v>
      </c>
      <c r="L10757" s="74"/>
      <c r="M10757" s="74">
        <f t="shared" si="6"/>
        <v>0</v>
      </c>
      <c r="N10757" s="74" t="str">
        <f t="shared" si="9"/>
        <v>#N/A</v>
      </c>
      <c r="O10757" s="65" t="str">
        <f>VLOOKUP(E10757,DATABASE!C:Q,8,false)</f>
        <v>#N/A</v>
      </c>
      <c r="P10757" s="65" t="str">
        <f>VLOOKUP(E10757,DATABASE!C:Q,9,False)</f>
        <v>#N/A</v>
      </c>
      <c r="Q10757" s="93" t="str">
        <f>VLOOKUP(E10757,DATABASE!C:Q,4,false)</f>
        <v>#N/A</v>
      </c>
      <c r="R10757" s="93" t="str">
        <f>VLOOKUP(E10757,DATABASE!C:Q,11,false)</f>
        <v>#N/A</v>
      </c>
    </row>
    <row r="10758" ht="22.5" customHeight="1">
      <c r="A10758" s="49"/>
      <c r="C10758" s="400"/>
      <c r="D10758" s="524"/>
      <c r="E10758" s="544"/>
      <c r="F10758" s="387"/>
      <c r="G10758" s="140"/>
      <c r="H10758" s="74"/>
      <c r="I10758" s="74">
        <f t="shared" si="7"/>
        <v>0</v>
      </c>
      <c r="J10758" s="74" t="str">
        <f>IF(E10758="SERVICE",I10758-(I10758*50%),Vlookup(E10758,DATABASE!C:Q,10,false)*F10758)</f>
        <v>#N/A</v>
      </c>
      <c r="K10758" s="74" t="str">
        <f>VLOOKUP(E10758,DATABASE!C:Q,7,false)</f>
        <v>#N/A</v>
      </c>
      <c r="L10758" s="74"/>
      <c r="M10758" s="74">
        <f t="shared" si="6"/>
        <v>0</v>
      </c>
      <c r="N10758" s="74" t="str">
        <f t="shared" si="9"/>
        <v>#N/A</v>
      </c>
      <c r="O10758" s="65" t="str">
        <f>VLOOKUP(E10758,DATABASE!C:Q,8,false)</f>
        <v>#N/A</v>
      </c>
      <c r="P10758" s="65" t="str">
        <f>VLOOKUP(E10758,DATABASE!C:Q,9,False)</f>
        <v>#N/A</v>
      </c>
      <c r="Q10758" s="93" t="str">
        <f>VLOOKUP(E10758,DATABASE!C:Q,4,false)</f>
        <v>#N/A</v>
      </c>
      <c r="R10758" s="93" t="str">
        <f>VLOOKUP(E10758,DATABASE!C:Q,11,false)</f>
        <v>#N/A</v>
      </c>
    </row>
    <row r="10759" ht="22.5" customHeight="1">
      <c r="A10759" s="49"/>
      <c r="C10759" s="400"/>
      <c r="D10759" s="524"/>
      <c r="E10759" s="544"/>
      <c r="F10759" s="387"/>
      <c r="G10759" s="140"/>
      <c r="H10759" s="74"/>
      <c r="I10759" s="74">
        <f t="shared" si="7"/>
        <v>0</v>
      </c>
      <c r="J10759" s="74" t="str">
        <f>IF(E10759="SERVICE",I10759-(I10759*50%),Vlookup(E10759,DATABASE!C:Q,10,false)*F10759)</f>
        <v>#N/A</v>
      </c>
      <c r="K10759" s="74" t="str">
        <f>VLOOKUP(E10759,DATABASE!C:Q,7,false)</f>
        <v>#N/A</v>
      </c>
      <c r="L10759" s="74"/>
      <c r="M10759" s="74">
        <f t="shared" si="6"/>
        <v>0</v>
      </c>
      <c r="N10759" s="74" t="str">
        <f t="shared" si="9"/>
        <v>#N/A</v>
      </c>
      <c r="O10759" s="65" t="str">
        <f>VLOOKUP(E10759,DATABASE!C:Q,8,false)</f>
        <v>#N/A</v>
      </c>
      <c r="P10759" s="65" t="str">
        <f>VLOOKUP(E10759,DATABASE!C:Q,9,False)</f>
        <v>#N/A</v>
      </c>
      <c r="Q10759" s="93" t="str">
        <f>VLOOKUP(E10759,DATABASE!C:Q,4,false)</f>
        <v>#N/A</v>
      </c>
      <c r="R10759" s="93" t="str">
        <f>VLOOKUP(E10759,DATABASE!C:Q,11,false)</f>
        <v>#N/A</v>
      </c>
    </row>
    <row r="10760" ht="22.5" customHeight="1">
      <c r="A10760" s="49"/>
      <c r="C10760" s="400"/>
      <c r="D10760" s="524"/>
      <c r="E10760" s="544"/>
      <c r="F10760" s="387"/>
      <c r="G10760" s="140"/>
      <c r="H10760" s="74"/>
      <c r="I10760" s="74">
        <f t="shared" si="7"/>
        <v>0</v>
      </c>
      <c r="J10760" s="74" t="str">
        <f>IF(E10760="SERVICE",I10760-(I10760*50%),Vlookup(E10760,DATABASE!C:Q,10,false)*F10760)</f>
        <v>#N/A</v>
      </c>
      <c r="K10760" s="74" t="str">
        <f>VLOOKUP(E10760,DATABASE!C:Q,7,false)</f>
        <v>#N/A</v>
      </c>
      <c r="L10760" s="74"/>
      <c r="M10760" s="74">
        <f t="shared" si="6"/>
        <v>0</v>
      </c>
      <c r="N10760" s="74" t="str">
        <f t="shared" si="9"/>
        <v>#N/A</v>
      </c>
      <c r="O10760" s="65" t="str">
        <f>VLOOKUP(E10760,DATABASE!C:Q,8,false)</f>
        <v>#N/A</v>
      </c>
      <c r="P10760" s="65" t="str">
        <f>VLOOKUP(E10760,DATABASE!C:Q,9,False)</f>
        <v>#N/A</v>
      </c>
      <c r="Q10760" s="93" t="str">
        <f>VLOOKUP(E10760,DATABASE!C:Q,4,false)</f>
        <v>#N/A</v>
      </c>
      <c r="R10760" s="93" t="str">
        <f>VLOOKUP(E10760,DATABASE!C:Q,11,false)</f>
        <v>#N/A</v>
      </c>
    </row>
    <row r="10761" ht="22.5" customHeight="1">
      <c r="A10761" s="49"/>
      <c r="C10761" s="400"/>
      <c r="D10761" s="524"/>
      <c r="E10761" s="544"/>
      <c r="F10761" s="387"/>
      <c r="G10761" s="140"/>
      <c r="H10761" s="74"/>
      <c r="I10761" s="74">
        <f t="shared" si="7"/>
        <v>0</v>
      </c>
      <c r="J10761" s="74" t="str">
        <f>IF(E10761="SERVICE",I10761-(I10761*50%),Vlookup(E10761,DATABASE!C:Q,10,false)*F10761)</f>
        <v>#N/A</v>
      </c>
      <c r="K10761" s="74" t="str">
        <f>VLOOKUP(E10761,DATABASE!C:Q,7,false)</f>
        <v>#N/A</v>
      </c>
      <c r="L10761" s="74"/>
      <c r="M10761" s="74">
        <f t="shared" si="6"/>
        <v>0</v>
      </c>
      <c r="N10761" s="74" t="str">
        <f t="shared" si="9"/>
        <v>#N/A</v>
      </c>
      <c r="O10761" s="65" t="str">
        <f>VLOOKUP(E10761,DATABASE!C:Q,8,false)</f>
        <v>#N/A</v>
      </c>
      <c r="P10761" s="65" t="str">
        <f>VLOOKUP(E10761,DATABASE!C:Q,9,False)</f>
        <v>#N/A</v>
      </c>
      <c r="Q10761" s="93" t="str">
        <f>VLOOKUP(E10761,DATABASE!C:Q,4,false)</f>
        <v>#N/A</v>
      </c>
      <c r="R10761" s="93" t="str">
        <f>VLOOKUP(E10761,DATABASE!C:Q,11,false)</f>
        <v>#N/A</v>
      </c>
    </row>
    <row r="10762" ht="22.5" customHeight="1">
      <c r="A10762" s="49"/>
      <c r="C10762" s="400"/>
      <c r="D10762" s="524"/>
      <c r="E10762" s="544"/>
      <c r="F10762" s="387"/>
      <c r="G10762" s="140"/>
      <c r="H10762" s="74"/>
      <c r="I10762" s="74">
        <f t="shared" si="7"/>
        <v>0</v>
      </c>
      <c r="J10762" s="74" t="str">
        <f>IF(E10762="SERVICE",I10762-(I10762*50%),Vlookup(E10762,DATABASE!C:Q,10,false)*F10762)</f>
        <v>#N/A</v>
      </c>
      <c r="K10762" s="74" t="str">
        <f>VLOOKUP(E10762,DATABASE!C:Q,7,false)</f>
        <v>#N/A</v>
      </c>
      <c r="L10762" s="74"/>
      <c r="M10762" s="74">
        <f t="shared" si="6"/>
        <v>0</v>
      </c>
      <c r="N10762" s="74" t="str">
        <f t="shared" si="9"/>
        <v>#N/A</v>
      </c>
      <c r="O10762" s="65" t="str">
        <f>VLOOKUP(E10762,DATABASE!C:Q,8,false)</f>
        <v>#N/A</v>
      </c>
      <c r="P10762" s="65" t="str">
        <f>VLOOKUP(E10762,DATABASE!C:Q,9,False)</f>
        <v>#N/A</v>
      </c>
      <c r="Q10762" s="93" t="str">
        <f>VLOOKUP(E10762,DATABASE!C:Q,4,false)</f>
        <v>#N/A</v>
      </c>
      <c r="R10762" s="93" t="str">
        <f>VLOOKUP(E10762,DATABASE!C:Q,11,false)</f>
        <v>#N/A</v>
      </c>
    </row>
    <row r="10763" ht="22.5" customHeight="1">
      <c r="A10763" s="49"/>
      <c r="C10763" s="400"/>
      <c r="D10763" s="524"/>
      <c r="E10763" s="544"/>
      <c r="F10763" s="387"/>
      <c r="G10763" s="140"/>
      <c r="H10763" s="74"/>
      <c r="I10763" s="74">
        <f t="shared" si="7"/>
        <v>0</v>
      </c>
      <c r="J10763" s="74" t="str">
        <f>IF(E10763="SERVICE",I10763-(I10763*50%),Vlookup(E10763,DATABASE!C:Q,10,false)*F10763)</f>
        <v>#N/A</v>
      </c>
      <c r="K10763" s="74" t="str">
        <f>VLOOKUP(E10763,DATABASE!C:Q,7,false)</f>
        <v>#N/A</v>
      </c>
      <c r="L10763" s="74"/>
      <c r="M10763" s="74">
        <f t="shared" si="6"/>
        <v>0</v>
      </c>
      <c r="N10763" s="74" t="str">
        <f t="shared" si="9"/>
        <v>#N/A</v>
      </c>
      <c r="O10763" s="65" t="str">
        <f>VLOOKUP(E10763,DATABASE!C:Q,8,false)</f>
        <v>#N/A</v>
      </c>
      <c r="P10763" s="65" t="str">
        <f>VLOOKUP(E10763,DATABASE!C:Q,9,False)</f>
        <v>#N/A</v>
      </c>
      <c r="Q10763" s="93" t="str">
        <f>VLOOKUP(E10763,DATABASE!C:Q,4,false)</f>
        <v>#N/A</v>
      </c>
      <c r="R10763" s="93" t="str">
        <f>VLOOKUP(E10763,DATABASE!C:Q,11,false)</f>
        <v>#N/A</v>
      </c>
    </row>
    <row r="10764" ht="22.5" customHeight="1">
      <c r="A10764" s="49"/>
      <c r="C10764" s="400"/>
      <c r="D10764" s="524"/>
      <c r="E10764" s="544"/>
      <c r="F10764" s="387"/>
      <c r="G10764" s="140"/>
      <c r="H10764" s="74"/>
      <c r="I10764" s="74">
        <f t="shared" si="7"/>
        <v>0</v>
      </c>
      <c r="J10764" s="74" t="str">
        <f>IF(E10764="SERVICE",I10764-(I10764*50%),Vlookup(E10764,DATABASE!C:Q,10,false)*F10764)</f>
        <v>#N/A</v>
      </c>
      <c r="K10764" s="74" t="str">
        <f>VLOOKUP(E10764,DATABASE!C:Q,7,false)</f>
        <v>#N/A</v>
      </c>
      <c r="L10764" s="74"/>
      <c r="M10764" s="74">
        <f t="shared" si="6"/>
        <v>0</v>
      </c>
      <c r="N10764" s="74" t="str">
        <f t="shared" si="9"/>
        <v>#N/A</v>
      </c>
      <c r="O10764" s="65" t="str">
        <f>VLOOKUP(E10764,DATABASE!C:Q,8,false)</f>
        <v>#N/A</v>
      </c>
      <c r="P10764" s="65" t="str">
        <f>VLOOKUP(E10764,DATABASE!C:Q,9,False)</f>
        <v>#N/A</v>
      </c>
      <c r="Q10764" s="93" t="str">
        <f>VLOOKUP(E10764,DATABASE!C:Q,4,false)</f>
        <v>#N/A</v>
      </c>
      <c r="R10764" s="93" t="str">
        <f>VLOOKUP(E10764,DATABASE!C:Q,11,false)</f>
        <v>#N/A</v>
      </c>
    </row>
    <row r="10765" ht="22.5" customHeight="1">
      <c r="A10765" s="49"/>
      <c r="C10765" s="400"/>
      <c r="D10765" s="524"/>
      <c r="E10765" s="544"/>
      <c r="F10765" s="387"/>
      <c r="G10765" s="140"/>
      <c r="H10765" s="74"/>
      <c r="I10765" s="74">
        <f t="shared" si="7"/>
        <v>0</v>
      </c>
      <c r="J10765" s="74" t="str">
        <f>IF(E10765="SERVICE",I10765-(I10765*50%),Vlookup(E10765,DATABASE!C:Q,10,false)*F10765)</f>
        <v>#N/A</v>
      </c>
      <c r="K10765" s="74" t="str">
        <f>VLOOKUP(E10765,DATABASE!C:Q,7,false)</f>
        <v>#N/A</v>
      </c>
      <c r="L10765" s="74"/>
      <c r="M10765" s="74">
        <f t="shared" si="6"/>
        <v>0</v>
      </c>
      <c r="N10765" s="74" t="str">
        <f t="shared" si="9"/>
        <v>#N/A</v>
      </c>
      <c r="O10765" s="65" t="str">
        <f>VLOOKUP(E10765,DATABASE!C:Q,8,false)</f>
        <v>#N/A</v>
      </c>
      <c r="P10765" s="65" t="str">
        <f>VLOOKUP(E10765,DATABASE!C:Q,9,False)</f>
        <v>#N/A</v>
      </c>
      <c r="Q10765" s="93" t="str">
        <f>VLOOKUP(E10765,DATABASE!C:Q,4,false)</f>
        <v>#N/A</v>
      </c>
      <c r="R10765" s="93" t="str">
        <f>VLOOKUP(E10765,DATABASE!C:Q,11,false)</f>
        <v>#N/A</v>
      </c>
    </row>
    <row r="10766" ht="22.5" customHeight="1">
      <c r="A10766" s="49"/>
      <c r="C10766" s="400"/>
      <c r="D10766" s="524"/>
      <c r="E10766" s="544"/>
      <c r="F10766" s="387"/>
      <c r="G10766" s="140"/>
      <c r="H10766" s="74"/>
      <c r="I10766" s="74">
        <f t="shared" si="7"/>
        <v>0</v>
      </c>
      <c r="J10766" s="74" t="str">
        <f>IF(E10766="SERVICE",I10766-(I10766*50%),Vlookup(E10766,DATABASE!C:Q,10,false)*F10766)</f>
        <v>#N/A</v>
      </c>
      <c r="K10766" s="74" t="str">
        <f>VLOOKUP(E10766,DATABASE!C:Q,7,false)</f>
        <v>#N/A</v>
      </c>
      <c r="L10766" s="74"/>
      <c r="M10766" s="74">
        <f t="shared" si="6"/>
        <v>0</v>
      </c>
      <c r="N10766" s="74" t="str">
        <f t="shared" si="9"/>
        <v>#N/A</v>
      </c>
      <c r="O10766" s="65" t="str">
        <f>VLOOKUP(E10766,DATABASE!C:Q,8,false)</f>
        <v>#N/A</v>
      </c>
      <c r="P10766" s="65" t="str">
        <f>VLOOKUP(E10766,DATABASE!C:Q,9,False)</f>
        <v>#N/A</v>
      </c>
      <c r="Q10766" s="93" t="str">
        <f>VLOOKUP(E10766,DATABASE!C:Q,4,false)</f>
        <v>#N/A</v>
      </c>
      <c r="R10766" s="93" t="str">
        <f>VLOOKUP(E10766,DATABASE!C:Q,11,false)</f>
        <v>#N/A</v>
      </c>
    </row>
    <row r="10767" ht="22.5" customHeight="1">
      <c r="A10767" s="49"/>
      <c r="C10767" s="400"/>
      <c r="D10767" s="524"/>
      <c r="E10767" s="544"/>
      <c r="F10767" s="387"/>
      <c r="G10767" s="140"/>
      <c r="H10767" s="74"/>
      <c r="I10767" s="74">
        <f t="shared" si="7"/>
        <v>0</v>
      </c>
      <c r="J10767" s="74" t="str">
        <f>IF(E10767="SERVICE",I10767-(I10767*50%),Vlookup(E10767,DATABASE!C:Q,10,false)*F10767)</f>
        <v>#N/A</v>
      </c>
      <c r="K10767" s="74" t="str">
        <f>VLOOKUP(E10767,DATABASE!C:Q,7,false)</f>
        <v>#N/A</v>
      </c>
      <c r="L10767" s="74"/>
      <c r="M10767" s="74">
        <f t="shared" si="6"/>
        <v>0</v>
      </c>
      <c r="N10767" s="74" t="str">
        <f t="shared" si="9"/>
        <v>#N/A</v>
      </c>
      <c r="O10767" s="65" t="str">
        <f>VLOOKUP(E10767,DATABASE!C:Q,8,false)</f>
        <v>#N/A</v>
      </c>
      <c r="P10767" s="65" t="str">
        <f>VLOOKUP(E10767,DATABASE!C:Q,9,False)</f>
        <v>#N/A</v>
      </c>
      <c r="Q10767" s="93" t="str">
        <f>VLOOKUP(E10767,DATABASE!C:Q,4,false)</f>
        <v>#N/A</v>
      </c>
      <c r="R10767" s="93" t="str">
        <f>VLOOKUP(E10767,DATABASE!C:Q,11,false)</f>
        <v>#N/A</v>
      </c>
    </row>
    <row r="10768" ht="22.5" customHeight="1">
      <c r="A10768" s="49"/>
      <c r="C10768" s="400"/>
      <c r="D10768" s="524"/>
      <c r="E10768" s="544"/>
      <c r="F10768" s="387"/>
      <c r="G10768" s="140"/>
      <c r="H10768" s="74"/>
      <c r="I10768" s="74">
        <f t="shared" si="7"/>
        <v>0</v>
      </c>
      <c r="J10768" s="74" t="str">
        <f>IF(E10768="SERVICE",I10768-(I10768*50%),Vlookup(E10768,DATABASE!C:Q,10,false)*F10768)</f>
        <v>#N/A</v>
      </c>
      <c r="K10768" s="74" t="str">
        <f>VLOOKUP(E10768,DATABASE!C:Q,7,false)</f>
        <v>#N/A</v>
      </c>
      <c r="L10768" s="74"/>
      <c r="M10768" s="74">
        <f t="shared" si="6"/>
        <v>0</v>
      </c>
      <c r="N10768" s="74" t="str">
        <f t="shared" si="9"/>
        <v>#N/A</v>
      </c>
      <c r="O10768" s="65" t="str">
        <f>VLOOKUP(E10768,DATABASE!C:Q,8,false)</f>
        <v>#N/A</v>
      </c>
      <c r="P10768" s="65" t="str">
        <f>VLOOKUP(E10768,DATABASE!C:Q,9,False)</f>
        <v>#N/A</v>
      </c>
      <c r="Q10768" s="93" t="str">
        <f>VLOOKUP(E10768,DATABASE!C:Q,4,false)</f>
        <v>#N/A</v>
      </c>
      <c r="R10768" s="93" t="str">
        <f>VLOOKUP(E10768,DATABASE!C:Q,11,false)</f>
        <v>#N/A</v>
      </c>
    </row>
    <row r="10769" ht="22.5" customHeight="1">
      <c r="A10769" s="49"/>
      <c r="C10769" s="400"/>
      <c r="D10769" s="524"/>
      <c r="E10769" s="544"/>
      <c r="F10769" s="387"/>
      <c r="G10769" s="140"/>
      <c r="H10769" s="74"/>
      <c r="I10769" s="74">
        <f t="shared" si="7"/>
        <v>0</v>
      </c>
      <c r="J10769" s="74" t="str">
        <f>IF(E10769="SERVICE",I10769-(I10769*50%),Vlookup(E10769,DATABASE!C:Q,10,false)*F10769)</f>
        <v>#N/A</v>
      </c>
      <c r="K10769" s="74" t="str">
        <f>VLOOKUP(E10769,DATABASE!C:Q,7,false)</f>
        <v>#N/A</v>
      </c>
      <c r="L10769" s="74"/>
      <c r="M10769" s="74">
        <f t="shared" si="6"/>
        <v>0</v>
      </c>
      <c r="N10769" s="74" t="str">
        <f t="shared" si="9"/>
        <v>#N/A</v>
      </c>
      <c r="O10769" s="65" t="str">
        <f>VLOOKUP(E10769,DATABASE!C:Q,8,false)</f>
        <v>#N/A</v>
      </c>
      <c r="P10769" s="65" t="str">
        <f>VLOOKUP(E10769,DATABASE!C:Q,9,False)</f>
        <v>#N/A</v>
      </c>
      <c r="Q10769" s="93" t="str">
        <f>VLOOKUP(E10769,DATABASE!C:Q,4,false)</f>
        <v>#N/A</v>
      </c>
      <c r="R10769" s="93" t="str">
        <f>VLOOKUP(E10769,DATABASE!C:Q,11,false)</f>
        <v>#N/A</v>
      </c>
    </row>
    <row r="10770" ht="22.5" customHeight="1">
      <c r="A10770" s="49"/>
      <c r="C10770" s="400"/>
      <c r="D10770" s="524"/>
      <c r="E10770" s="544"/>
      <c r="F10770" s="387"/>
      <c r="G10770" s="140"/>
      <c r="H10770" s="74"/>
      <c r="I10770" s="74">
        <f t="shared" si="7"/>
        <v>0</v>
      </c>
      <c r="J10770" s="74" t="str">
        <f>IF(E10770="SERVICE",I10770-(I10770*50%),Vlookup(E10770,DATABASE!C:Q,10,false)*F10770)</f>
        <v>#N/A</v>
      </c>
      <c r="K10770" s="74" t="str">
        <f>VLOOKUP(E10770,DATABASE!C:Q,7,false)</f>
        <v>#N/A</v>
      </c>
      <c r="L10770" s="74"/>
      <c r="M10770" s="74">
        <f t="shared" si="6"/>
        <v>0</v>
      </c>
      <c r="N10770" s="74" t="str">
        <f t="shared" si="9"/>
        <v>#N/A</v>
      </c>
      <c r="O10770" s="65" t="str">
        <f>VLOOKUP(E10770,DATABASE!C:Q,8,false)</f>
        <v>#N/A</v>
      </c>
      <c r="P10770" s="65" t="str">
        <f>VLOOKUP(E10770,DATABASE!C:Q,9,False)</f>
        <v>#N/A</v>
      </c>
      <c r="Q10770" s="93" t="str">
        <f>VLOOKUP(E10770,DATABASE!C:Q,4,false)</f>
        <v>#N/A</v>
      </c>
      <c r="R10770" s="93" t="str">
        <f>VLOOKUP(E10770,DATABASE!C:Q,11,false)</f>
        <v>#N/A</v>
      </c>
    </row>
    <row r="10771" ht="22.5" customHeight="1">
      <c r="A10771" s="49"/>
      <c r="C10771" s="400"/>
      <c r="D10771" s="524"/>
      <c r="E10771" s="544"/>
      <c r="F10771" s="387"/>
      <c r="G10771" s="140"/>
      <c r="H10771" s="74"/>
      <c r="I10771" s="74">
        <f t="shared" si="7"/>
        <v>0</v>
      </c>
      <c r="J10771" s="74" t="str">
        <f>IF(E10771="SERVICE",I10771-(I10771*50%),Vlookup(E10771,DATABASE!C:Q,10,false)*F10771)</f>
        <v>#N/A</v>
      </c>
      <c r="K10771" s="74" t="str">
        <f>VLOOKUP(E10771,DATABASE!C:Q,7,false)</f>
        <v>#N/A</v>
      </c>
      <c r="L10771" s="74"/>
      <c r="M10771" s="74">
        <f t="shared" si="6"/>
        <v>0</v>
      </c>
      <c r="N10771" s="74" t="str">
        <f t="shared" si="9"/>
        <v>#N/A</v>
      </c>
      <c r="O10771" s="65" t="str">
        <f>VLOOKUP(E10771,DATABASE!C:Q,8,false)</f>
        <v>#N/A</v>
      </c>
      <c r="P10771" s="65" t="str">
        <f>VLOOKUP(E10771,DATABASE!C:Q,9,False)</f>
        <v>#N/A</v>
      </c>
      <c r="Q10771" s="93" t="str">
        <f>VLOOKUP(E10771,DATABASE!C:Q,4,false)</f>
        <v>#N/A</v>
      </c>
      <c r="R10771" s="93" t="str">
        <f>VLOOKUP(E10771,DATABASE!C:Q,11,false)</f>
        <v>#N/A</v>
      </c>
    </row>
    <row r="10772" ht="22.5" customHeight="1">
      <c r="A10772" s="49"/>
      <c r="C10772" s="400"/>
      <c r="D10772" s="524"/>
      <c r="E10772" s="544"/>
      <c r="F10772" s="387"/>
      <c r="G10772" s="140"/>
      <c r="H10772" s="74"/>
      <c r="I10772" s="74">
        <f t="shared" si="7"/>
        <v>0</v>
      </c>
      <c r="J10772" s="74" t="str">
        <f>IF(E10772="SERVICE",I10772-(I10772*50%),Vlookup(E10772,DATABASE!C:Q,10,false)*F10772)</f>
        <v>#N/A</v>
      </c>
      <c r="K10772" s="74" t="str">
        <f>VLOOKUP(E10772,DATABASE!C:Q,7,false)</f>
        <v>#N/A</v>
      </c>
      <c r="L10772" s="74"/>
      <c r="M10772" s="74">
        <f t="shared" si="6"/>
        <v>0</v>
      </c>
      <c r="N10772" s="74" t="str">
        <f t="shared" si="9"/>
        <v>#N/A</v>
      </c>
      <c r="O10772" s="65" t="str">
        <f>VLOOKUP(E10772,DATABASE!C:Q,8,false)</f>
        <v>#N/A</v>
      </c>
      <c r="P10772" s="65" t="str">
        <f>VLOOKUP(E10772,DATABASE!C:Q,9,False)</f>
        <v>#N/A</v>
      </c>
      <c r="Q10772" s="93" t="str">
        <f>VLOOKUP(E10772,DATABASE!C:Q,4,false)</f>
        <v>#N/A</v>
      </c>
      <c r="R10772" s="93" t="str">
        <f>VLOOKUP(E10772,DATABASE!C:Q,11,false)</f>
        <v>#N/A</v>
      </c>
    </row>
    <row r="10773" ht="22.5" customHeight="1">
      <c r="A10773" s="49"/>
      <c r="C10773" s="400"/>
      <c r="D10773" s="524"/>
      <c r="E10773" s="544"/>
      <c r="F10773" s="387"/>
      <c r="G10773" s="140"/>
      <c r="H10773" s="74"/>
      <c r="I10773" s="74">
        <f t="shared" si="7"/>
        <v>0</v>
      </c>
      <c r="J10773" s="74" t="str">
        <f>IF(E10773="SERVICE",I10773-(I10773*50%),Vlookup(E10773,DATABASE!C:Q,10,false)*F10773)</f>
        <v>#N/A</v>
      </c>
      <c r="K10773" s="74" t="str">
        <f>VLOOKUP(E10773,DATABASE!C:Q,7,false)</f>
        <v>#N/A</v>
      </c>
      <c r="L10773" s="74"/>
      <c r="M10773" s="74">
        <f t="shared" si="6"/>
        <v>0</v>
      </c>
      <c r="N10773" s="74" t="str">
        <f t="shared" si="9"/>
        <v>#N/A</v>
      </c>
      <c r="O10773" s="65" t="str">
        <f>VLOOKUP(E10773,DATABASE!C:Q,8,false)</f>
        <v>#N/A</v>
      </c>
      <c r="P10773" s="65" t="str">
        <f>VLOOKUP(E10773,DATABASE!C:Q,9,False)</f>
        <v>#N/A</v>
      </c>
      <c r="Q10773" s="93" t="str">
        <f>VLOOKUP(E10773,DATABASE!C:Q,4,false)</f>
        <v>#N/A</v>
      </c>
      <c r="R10773" s="93" t="str">
        <f>VLOOKUP(E10773,DATABASE!C:Q,11,false)</f>
        <v>#N/A</v>
      </c>
    </row>
    <row r="10774" ht="22.5" customHeight="1">
      <c r="A10774" s="49"/>
      <c r="C10774" s="400"/>
      <c r="D10774" s="524"/>
      <c r="E10774" s="544"/>
      <c r="F10774" s="387"/>
      <c r="G10774" s="140"/>
      <c r="H10774" s="74"/>
      <c r="I10774" s="74">
        <f t="shared" si="7"/>
        <v>0</v>
      </c>
      <c r="J10774" s="74" t="str">
        <f>IF(E10774="SERVICE",I10774-(I10774*50%),Vlookup(E10774,DATABASE!C:Q,10,false)*F10774)</f>
        <v>#N/A</v>
      </c>
      <c r="K10774" s="74" t="str">
        <f>VLOOKUP(E10774,DATABASE!C:Q,7,false)</f>
        <v>#N/A</v>
      </c>
      <c r="L10774" s="74"/>
      <c r="M10774" s="74">
        <f t="shared" si="6"/>
        <v>0</v>
      </c>
      <c r="N10774" s="74" t="str">
        <f t="shared" si="9"/>
        <v>#N/A</v>
      </c>
      <c r="O10774" s="65" t="str">
        <f>VLOOKUP(E10774,DATABASE!C:Q,8,false)</f>
        <v>#N/A</v>
      </c>
      <c r="P10774" s="65" t="str">
        <f>VLOOKUP(E10774,DATABASE!C:Q,9,False)</f>
        <v>#N/A</v>
      </c>
      <c r="Q10774" s="93" t="str">
        <f>VLOOKUP(E10774,DATABASE!C:Q,4,false)</f>
        <v>#N/A</v>
      </c>
      <c r="R10774" s="93" t="str">
        <f>VLOOKUP(E10774,DATABASE!C:Q,11,false)</f>
        <v>#N/A</v>
      </c>
    </row>
    <row r="10775" ht="22.5" customHeight="1">
      <c r="A10775" s="49"/>
      <c r="C10775" s="400"/>
      <c r="D10775" s="524"/>
      <c r="E10775" s="544"/>
      <c r="F10775" s="387"/>
      <c r="G10775" s="140"/>
      <c r="H10775" s="74"/>
      <c r="I10775" s="74">
        <f t="shared" si="7"/>
        <v>0</v>
      </c>
      <c r="J10775" s="74" t="str">
        <f>IF(E10775="SERVICE",I10775-(I10775*50%),Vlookup(E10775,DATABASE!C:Q,10,false)*F10775)</f>
        <v>#N/A</v>
      </c>
      <c r="K10775" s="74" t="str">
        <f>VLOOKUP(E10775,DATABASE!C:Q,7,false)</f>
        <v>#N/A</v>
      </c>
      <c r="L10775" s="74"/>
      <c r="M10775" s="74">
        <f t="shared" si="6"/>
        <v>0</v>
      </c>
      <c r="N10775" s="74" t="str">
        <f t="shared" si="9"/>
        <v>#N/A</v>
      </c>
      <c r="O10775" s="65" t="str">
        <f>VLOOKUP(E10775,DATABASE!C:Q,8,false)</f>
        <v>#N/A</v>
      </c>
      <c r="P10775" s="65" t="str">
        <f>VLOOKUP(E10775,DATABASE!C:Q,9,False)</f>
        <v>#N/A</v>
      </c>
      <c r="Q10775" s="93" t="str">
        <f>VLOOKUP(E10775,DATABASE!C:Q,4,false)</f>
        <v>#N/A</v>
      </c>
      <c r="R10775" s="93" t="str">
        <f>VLOOKUP(E10775,DATABASE!C:Q,11,false)</f>
        <v>#N/A</v>
      </c>
    </row>
    <row r="10776" ht="22.5" customHeight="1">
      <c r="A10776" s="49"/>
      <c r="C10776" s="400"/>
      <c r="D10776" s="524"/>
      <c r="E10776" s="544"/>
      <c r="F10776" s="387"/>
      <c r="G10776" s="140"/>
      <c r="H10776" s="74"/>
      <c r="I10776" s="74">
        <f t="shared" si="7"/>
        <v>0</v>
      </c>
      <c r="J10776" s="74" t="str">
        <f>IF(E10776="SERVICE",I10776-(I10776*50%),Vlookup(E10776,DATABASE!C:Q,10,false)*F10776)</f>
        <v>#N/A</v>
      </c>
      <c r="K10776" s="74" t="str">
        <f>VLOOKUP(E10776,DATABASE!C:Q,7,false)</f>
        <v>#N/A</v>
      </c>
      <c r="L10776" s="74"/>
      <c r="M10776" s="74">
        <f t="shared" si="6"/>
        <v>0</v>
      </c>
      <c r="N10776" s="74" t="str">
        <f t="shared" si="9"/>
        <v>#N/A</v>
      </c>
      <c r="O10776" s="65" t="str">
        <f>VLOOKUP(E10776,DATABASE!C:Q,8,false)</f>
        <v>#N/A</v>
      </c>
      <c r="P10776" s="65" t="str">
        <f>VLOOKUP(E10776,DATABASE!C:Q,9,False)</f>
        <v>#N/A</v>
      </c>
      <c r="Q10776" s="93" t="str">
        <f>VLOOKUP(E10776,DATABASE!C:Q,4,false)</f>
        <v>#N/A</v>
      </c>
      <c r="R10776" s="93" t="str">
        <f>VLOOKUP(E10776,DATABASE!C:Q,11,false)</f>
        <v>#N/A</v>
      </c>
    </row>
    <row r="10777" ht="22.5" customHeight="1">
      <c r="A10777" s="49"/>
      <c r="C10777" s="400"/>
      <c r="D10777" s="524"/>
      <c r="E10777" s="544"/>
      <c r="F10777" s="387"/>
      <c r="G10777" s="140"/>
      <c r="H10777" s="74"/>
      <c r="I10777" s="74">
        <f t="shared" si="7"/>
        <v>0</v>
      </c>
      <c r="J10777" s="74" t="str">
        <f>IF(E10777="SERVICE",I10777-(I10777*50%),Vlookup(E10777,DATABASE!C:Q,10,false)*F10777)</f>
        <v>#N/A</v>
      </c>
      <c r="K10777" s="74" t="str">
        <f>VLOOKUP(E10777,DATABASE!C:Q,7,false)</f>
        <v>#N/A</v>
      </c>
      <c r="L10777" s="74"/>
      <c r="M10777" s="74">
        <f t="shared" si="6"/>
        <v>0</v>
      </c>
      <c r="N10777" s="74" t="str">
        <f t="shared" si="9"/>
        <v>#N/A</v>
      </c>
      <c r="O10777" s="65" t="str">
        <f>VLOOKUP(E10777,DATABASE!C:Q,8,false)</f>
        <v>#N/A</v>
      </c>
      <c r="P10777" s="65" t="str">
        <f>VLOOKUP(E10777,DATABASE!C:Q,9,False)</f>
        <v>#N/A</v>
      </c>
      <c r="Q10777" s="93" t="str">
        <f>VLOOKUP(E10777,DATABASE!C:Q,4,false)</f>
        <v>#N/A</v>
      </c>
      <c r="R10777" s="93" t="str">
        <f>VLOOKUP(E10777,DATABASE!C:Q,11,false)</f>
        <v>#N/A</v>
      </c>
    </row>
    <row r="10778" ht="22.5" customHeight="1">
      <c r="A10778" s="49"/>
      <c r="C10778" s="400"/>
      <c r="D10778" s="524"/>
      <c r="E10778" s="544"/>
      <c r="F10778" s="387"/>
      <c r="G10778" s="140"/>
      <c r="H10778" s="74"/>
      <c r="I10778" s="74">
        <f t="shared" si="7"/>
        <v>0</v>
      </c>
      <c r="J10778" s="74" t="str">
        <f>IF(E10778="SERVICE",I10778-(I10778*50%),Vlookup(E10778,DATABASE!C:Q,10,false)*F10778)</f>
        <v>#N/A</v>
      </c>
      <c r="K10778" s="74" t="str">
        <f>VLOOKUP(E10778,DATABASE!C:Q,7,false)</f>
        <v>#N/A</v>
      </c>
      <c r="L10778" s="74"/>
      <c r="M10778" s="74">
        <f t="shared" si="6"/>
        <v>0</v>
      </c>
      <c r="N10778" s="74" t="str">
        <f t="shared" si="9"/>
        <v>#N/A</v>
      </c>
      <c r="O10778" s="65" t="str">
        <f>VLOOKUP(E10778,DATABASE!C:Q,8,false)</f>
        <v>#N/A</v>
      </c>
      <c r="P10778" s="65" t="str">
        <f>VLOOKUP(E10778,DATABASE!C:Q,9,False)</f>
        <v>#N/A</v>
      </c>
      <c r="Q10778" s="93" t="str">
        <f>VLOOKUP(E10778,DATABASE!C:Q,4,false)</f>
        <v>#N/A</v>
      </c>
      <c r="R10778" s="93" t="str">
        <f>VLOOKUP(E10778,DATABASE!C:Q,11,false)</f>
        <v>#N/A</v>
      </c>
    </row>
    <row r="10779" ht="22.5" customHeight="1">
      <c r="A10779" s="49"/>
      <c r="C10779" s="400"/>
      <c r="D10779" s="524"/>
      <c r="E10779" s="544"/>
      <c r="F10779" s="387"/>
      <c r="G10779" s="140"/>
      <c r="H10779" s="74"/>
      <c r="I10779" s="74">
        <f t="shared" si="7"/>
        <v>0</v>
      </c>
      <c r="J10779" s="74" t="str">
        <f>IF(E10779="SERVICE",I10779-(I10779*50%),Vlookup(E10779,DATABASE!C:Q,10,false)*F10779)</f>
        <v>#N/A</v>
      </c>
      <c r="K10779" s="74" t="str">
        <f>VLOOKUP(E10779,DATABASE!C:Q,7,false)</f>
        <v>#N/A</v>
      </c>
      <c r="L10779" s="74"/>
      <c r="M10779" s="74">
        <f t="shared" si="6"/>
        <v>0</v>
      </c>
      <c r="N10779" s="74" t="str">
        <f t="shared" si="9"/>
        <v>#N/A</v>
      </c>
      <c r="O10779" s="65" t="str">
        <f>VLOOKUP(E10779,DATABASE!C:Q,8,false)</f>
        <v>#N/A</v>
      </c>
      <c r="P10779" s="65" t="str">
        <f>VLOOKUP(E10779,DATABASE!C:Q,9,False)</f>
        <v>#N/A</v>
      </c>
      <c r="Q10779" s="93" t="str">
        <f>VLOOKUP(E10779,DATABASE!C:Q,4,false)</f>
        <v>#N/A</v>
      </c>
      <c r="R10779" s="93" t="str">
        <f>VLOOKUP(E10779,DATABASE!C:Q,11,false)</f>
        <v>#N/A</v>
      </c>
    </row>
    <row r="10780" ht="22.5" customHeight="1">
      <c r="A10780" s="49"/>
      <c r="C10780" s="400"/>
      <c r="D10780" s="524"/>
      <c r="E10780" s="544"/>
      <c r="F10780" s="387"/>
      <c r="G10780" s="140"/>
      <c r="H10780" s="74"/>
      <c r="I10780" s="74">
        <f t="shared" si="7"/>
        <v>0</v>
      </c>
      <c r="J10780" s="74" t="str">
        <f>IF(E10780="SERVICE",I10780-(I10780*50%),Vlookup(E10780,DATABASE!C:Q,10,false)*F10780)</f>
        <v>#N/A</v>
      </c>
      <c r="K10780" s="74" t="str">
        <f>VLOOKUP(E10780,DATABASE!C:Q,7,false)</f>
        <v>#N/A</v>
      </c>
      <c r="L10780" s="74"/>
      <c r="M10780" s="74">
        <f t="shared" si="6"/>
        <v>0</v>
      </c>
      <c r="N10780" s="74" t="str">
        <f t="shared" si="9"/>
        <v>#N/A</v>
      </c>
      <c r="O10780" s="65" t="str">
        <f>VLOOKUP(E10780,DATABASE!C:Q,8,false)</f>
        <v>#N/A</v>
      </c>
      <c r="P10780" s="65" t="str">
        <f>VLOOKUP(E10780,DATABASE!C:Q,9,False)</f>
        <v>#N/A</v>
      </c>
      <c r="Q10780" s="93" t="str">
        <f>VLOOKUP(E10780,DATABASE!C:Q,4,false)</f>
        <v>#N/A</v>
      </c>
      <c r="R10780" s="93" t="str">
        <f>VLOOKUP(E10780,DATABASE!C:Q,11,false)</f>
        <v>#N/A</v>
      </c>
    </row>
    <row r="10781" ht="22.5" customHeight="1">
      <c r="A10781" s="49"/>
      <c r="C10781" s="400"/>
      <c r="D10781" s="524"/>
      <c r="E10781" s="544"/>
      <c r="F10781" s="387"/>
      <c r="G10781" s="140"/>
      <c r="H10781" s="74"/>
      <c r="I10781" s="74">
        <f t="shared" si="7"/>
        <v>0</v>
      </c>
      <c r="J10781" s="74" t="str">
        <f>IF(E10781="SERVICE",I10781-(I10781*50%),Vlookup(E10781,DATABASE!C:Q,10,false)*F10781)</f>
        <v>#N/A</v>
      </c>
      <c r="K10781" s="74" t="str">
        <f>VLOOKUP(E10781,DATABASE!C:Q,7,false)</f>
        <v>#N/A</v>
      </c>
      <c r="L10781" s="74"/>
      <c r="M10781" s="74">
        <f t="shared" si="6"/>
        <v>0</v>
      </c>
      <c r="N10781" s="74" t="str">
        <f t="shared" si="9"/>
        <v>#N/A</v>
      </c>
      <c r="O10781" s="65" t="str">
        <f>VLOOKUP(E10781,DATABASE!C:Q,8,false)</f>
        <v>#N/A</v>
      </c>
      <c r="P10781" s="65" t="str">
        <f>VLOOKUP(E10781,DATABASE!C:Q,9,False)</f>
        <v>#N/A</v>
      </c>
      <c r="Q10781" s="93" t="str">
        <f>VLOOKUP(E10781,DATABASE!C:Q,4,false)</f>
        <v>#N/A</v>
      </c>
      <c r="R10781" s="93" t="str">
        <f>VLOOKUP(E10781,DATABASE!C:Q,11,false)</f>
        <v>#N/A</v>
      </c>
    </row>
    <row r="10782" ht="22.5" customHeight="1">
      <c r="A10782" s="49"/>
      <c r="C10782" s="400"/>
      <c r="D10782" s="524"/>
      <c r="E10782" s="544"/>
      <c r="F10782" s="387"/>
      <c r="G10782" s="140"/>
      <c r="H10782" s="74"/>
      <c r="I10782" s="74">
        <f t="shared" si="7"/>
        <v>0</v>
      </c>
      <c r="J10782" s="74" t="str">
        <f>IF(E10782="SERVICE",I10782-(I10782*50%),Vlookup(E10782,DATABASE!C:Q,10,false)*F10782)</f>
        <v>#N/A</v>
      </c>
      <c r="K10782" s="74" t="str">
        <f>VLOOKUP(E10782,DATABASE!C:Q,7,false)</f>
        <v>#N/A</v>
      </c>
      <c r="L10782" s="74"/>
      <c r="M10782" s="74">
        <f t="shared" si="6"/>
        <v>0</v>
      </c>
      <c r="N10782" s="74" t="str">
        <f t="shared" si="9"/>
        <v>#N/A</v>
      </c>
      <c r="O10782" s="65" t="str">
        <f>VLOOKUP(E10782,DATABASE!C:Q,8,false)</f>
        <v>#N/A</v>
      </c>
      <c r="P10782" s="65" t="str">
        <f>VLOOKUP(E10782,DATABASE!C:Q,9,False)</f>
        <v>#N/A</v>
      </c>
      <c r="Q10782" s="93" t="str">
        <f>VLOOKUP(E10782,DATABASE!C:Q,4,false)</f>
        <v>#N/A</v>
      </c>
      <c r="R10782" s="93" t="str">
        <f>VLOOKUP(E10782,DATABASE!C:Q,11,false)</f>
        <v>#N/A</v>
      </c>
    </row>
    <row r="10783" ht="22.5" customHeight="1">
      <c r="A10783" s="49"/>
      <c r="C10783" s="400"/>
      <c r="D10783" s="524"/>
      <c r="E10783" s="544"/>
      <c r="F10783" s="387"/>
      <c r="G10783" s="140"/>
      <c r="H10783" s="74"/>
      <c r="I10783" s="74">
        <f t="shared" si="7"/>
        <v>0</v>
      </c>
      <c r="J10783" s="74" t="str">
        <f>IF(E10783="SERVICE",I10783-(I10783*50%),Vlookup(E10783,DATABASE!C:Q,10,false)*F10783)</f>
        <v>#N/A</v>
      </c>
      <c r="K10783" s="74" t="str">
        <f>VLOOKUP(E10783,DATABASE!C:Q,7,false)</f>
        <v>#N/A</v>
      </c>
      <c r="L10783" s="74"/>
      <c r="M10783" s="74">
        <f t="shared" si="6"/>
        <v>0</v>
      </c>
      <c r="N10783" s="74" t="str">
        <f t="shared" si="9"/>
        <v>#N/A</v>
      </c>
      <c r="O10783" s="65" t="str">
        <f>VLOOKUP(E10783,DATABASE!C:Q,8,false)</f>
        <v>#N/A</v>
      </c>
      <c r="P10783" s="65" t="str">
        <f>VLOOKUP(E10783,DATABASE!C:Q,9,False)</f>
        <v>#N/A</v>
      </c>
      <c r="Q10783" s="93" t="str">
        <f>VLOOKUP(E10783,DATABASE!C:Q,4,false)</f>
        <v>#N/A</v>
      </c>
      <c r="R10783" s="93" t="str">
        <f>VLOOKUP(E10783,DATABASE!C:Q,11,false)</f>
        <v>#N/A</v>
      </c>
    </row>
    <row r="10784" ht="22.5" customHeight="1">
      <c r="A10784" s="49"/>
      <c r="C10784" s="400"/>
      <c r="D10784" s="524"/>
      <c r="E10784" s="544"/>
      <c r="F10784" s="387"/>
      <c r="G10784" s="140"/>
      <c r="H10784" s="74"/>
      <c r="I10784" s="74">
        <f t="shared" si="7"/>
        <v>0</v>
      </c>
      <c r="J10784" s="74" t="str">
        <f>IF(E10784="SERVICE",I10784-(I10784*50%),Vlookup(E10784,DATABASE!C:Q,10,false)*F10784)</f>
        <v>#N/A</v>
      </c>
      <c r="K10784" s="74" t="str">
        <f>VLOOKUP(E10784,DATABASE!C:Q,7,false)</f>
        <v>#N/A</v>
      </c>
      <c r="L10784" s="74"/>
      <c r="M10784" s="74">
        <f t="shared" si="6"/>
        <v>0</v>
      </c>
      <c r="N10784" s="74" t="str">
        <f t="shared" si="9"/>
        <v>#N/A</v>
      </c>
      <c r="O10784" s="65" t="str">
        <f>VLOOKUP(E10784,DATABASE!C:Q,8,false)</f>
        <v>#N/A</v>
      </c>
      <c r="P10784" s="65" t="str">
        <f>VLOOKUP(E10784,DATABASE!C:Q,9,False)</f>
        <v>#N/A</v>
      </c>
      <c r="Q10784" s="93" t="str">
        <f>VLOOKUP(E10784,DATABASE!C:Q,4,false)</f>
        <v>#N/A</v>
      </c>
      <c r="R10784" s="93" t="str">
        <f>VLOOKUP(E10784,DATABASE!C:Q,11,false)</f>
        <v>#N/A</v>
      </c>
    </row>
    <row r="10785" ht="22.5" customHeight="1">
      <c r="A10785" s="49"/>
      <c r="C10785" s="400"/>
      <c r="D10785" s="524"/>
      <c r="E10785" s="544"/>
      <c r="F10785" s="387"/>
      <c r="G10785" s="140"/>
      <c r="H10785" s="74"/>
      <c r="I10785" s="74">
        <f t="shared" si="7"/>
        <v>0</v>
      </c>
      <c r="J10785" s="74" t="str">
        <f>IF(E10785="SERVICE",I10785-(I10785*50%),Vlookup(E10785,DATABASE!C:Q,10,false)*F10785)</f>
        <v>#N/A</v>
      </c>
      <c r="K10785" s="74" t="str">
        <f>VLOOKUP(E10785,DATABASE!C:Q,7,false)</f>
        <v>#N/A</v>
      </c>
      <c r="L10785" s="74"/>
      <c r="M10785" s="74">
        <f t="shared" si="6"/>
        <v>0</v>
      </c>
      <c r="N10785" s="74" t="str">
        <f t="shared" si="9"/>
        <v>#N/A</v>
      </c>
      <c r="O10785" s="65" t="str">
        <f>VLOOKUP(E10785,DATABASE!C:Q,8,false)</f>
        <v>#N/A</v>
      </c>
      <c r="P10785" s="65" t="str">
        <f>VLOOKUP(E10785,DATABASE!C:Q,9,False)</f>
        <v>#N/A</v>
      </c>
      <c r="Q10785" s="93" t="str">
        <f>VLOOKUP(E10785,DATABASE!C:Q,4,false)</f>
        <v>#N/A</v>
      </c>
      <c r="R10785" s="93" t="str">
        <f>VLOOKUP(E10785,DATABASE!C:Q,11,false)</f>
        <v>#N/A</v>
      </c>
    </row>
    <row r="10786" ht="22.5" customHeight="1">
      <c r="A10786" s="49"/>
      <c r="C10786" s="400"/>
      <c r="D10786" s="524"/>
      <c r="E10786" s="544"/>
      <c r="F10786" s="387"/>
      <c r="G10786" s="140"/>
      <c r="H10786" s="74"/>
      <c r="I10786" s="74">
        <f t="shared" si="7"/>
        <v>0</v>
      </c>
      <c r="J10786" s="74" t="str">
        <f>IF(E10786="SERVICE",I10786-(I10786*50%),Vlookup(E10786,DATABASE!C:Q,10,false)*F10786)</f>
        <v>#N/A</v>
      </c>
      <c r="K10786" s="74" t="str">
        <f>VLOOKUP(E10786,DATABASE!C:Q,7,false)</f>
        <v>#N/A</v>
      </c>
      <c r="L10786" s="74"/>
      <c r="M10786" s="74">
        <f t="shared" si="6"/>
        <v>0</v>
      </c>
      <c r="N10786" s="74" t="str">
        <f t="shared" si="9"/>
        <v>#N/A</v>
      </c>
      <c r="O10786" s="65" t="str">
        <f>VLOOKUP(E10786,DATABASE!C:Q,8,false)</f>
        <v>#N/A</v>
      </c>
      <c r="P10786" s="65" t="str">
        <f>VLOOKUP(E10786,DATABASE!C:Q,9,False)</f>
        <v>#N/A</v>
      </c>
      <c r="Q10786" s="93" t="str">
        <f>VLOOKUP(E10786,DATABASE!C:Q,4,false)</f>
        <v>#N/A</v>
      </c>
      <c r="R10786" s="93" t="str">
        <f>VLOOKUP(E10786,DATABASE!C:Q,11,false)</f>
        <v>#N/A</v>
      </c>
    </row>
    <row r="10787" ht="22.5" customHeight="1">
      <c r="A10787" s="49"/>
      <c r="C10787" s="400"/>
      <c r="D10787" s="524"/>
      <c r="E10787" s="544"/>
      <c r="F10787" s="387"/>
      <c r="G10787" s="140"/>
      <c r="H10787" s="74"/>
      <c r="I10787" s="74">
        <f t="shared" si="7"/>
        <v>0</v>
      </c>
      <c r="J10787" s="74" t="str">
        <f>IF(E10787="SERVICE",I10787-(I10787*50%),Vlookup(E10787,DATABASE!C:Q,10,false)*F10787)</f>
        <v>#N/A</v>
      </c>
      <c r="K10787" s="74" t="str">
        <f>VLOOKUP(E10787,DATABASE!C:Q,7,false)</f>
        <v>#N/A</v>
      </c>
      <c r="L10787" s="74"/>
      <c r="M10787" s="74">
        <f t="shared" si="6"/>
        <v>0</v>
      </c>
      <c r="N10787" s="74" t="str">
        <f t="shared" si="9"/>
        <v>#N/A</v>
      </c>
      <c r="O10787" s="65" t="str">
        <f>VLOOKUP(E10787,DATABASE!C:Q,8,false)</f>
        <v>#N/A</v>
      </c>
      <c r="P10787" s="65" t="str">
        <f>VLOOKUP(E10787,DATABASE!C:Q,9,False)</f>
        <v>#N/A</v>
      </c>
      <c r="Q10787" s="93" t="str">
        <f>VLOOKUP(E10787,DATABASE!C:Q,4,false)</f>
        <v>#N/A</v>
      </c>
      <c r="R10787" s="93" t="str">
        <f>VLOOKUP(E10787,DATABASE!C:Q,11,false)</f>
        <v>#N/A</v>
      </c>
    </row>
    <row r="10788" ht="22.5" customHeight="1">
      <c r="A10788" s="49"/>
      <c r="C10788" s="400"/>
      <c r="D10788" s="524"/>
      <c r="E10788" s="544"/>
      <c r="F10788" s="387"/>
      <c r="G10788" s="140"/>
      <c r="H10788" s="74"/>
      <c r="I10788" s="74">
        <f t="shared" si="7"/>
        <v>0</v>
      </c>
      <c r="J10788" s="74" t="str">
        <f>IF(E10788="SERVICE",I10788-(I10788*50%),Vlookup(E10788,DATABASE!C:Q,10,false)*F10788)</f>
        <v>#N/A</v>
      </c>
      <c r="K10788" s="74" t="str">
        <f>VLOOKUP(E10788,DATABASE!C:Q,7,false)</f>
        <v>#N/A</v>
      </c>
      <c r="L10788" s="74"/>
      <c r="M10788" s="74">
        <f t="shared" si="6"/>
        <v>0</v>
      </c>
      <c r="N10788" s="74" t="str">
        <f t="shared" si="9"/>
        <v>#N/A</v>
      </c>
      <c r="O10788" s="65" t="str">
        <f>VLOOKUP(E10788,DATABASE!C:Q,8,false)</f>
        <v>#N/A</v>
      </c>
      <c r="P10788" s="65" t="str">
        <f>VLOOKUP(E10788,DATABASE!C:Q,9,False)</f>
        <v>#N/A</v>
      </c>
      <c r="Q10788" s="93" t="str">
        <f>VLOOKUP(E10788,DATABASE!C:Q,4,false)</f>
        <v>#N/A</v>
      </c>
      <c r="R10788" s="93" t="str">
        <f>VLOOKUP(E10788,DATABASE!C:Q,11,false)</f>
        <v>#N/A</v>
      </c>
    </row>
    <row r="10789" ht="22.5" customHeight="1">
      <c r="A10789" s="49"/>
      <c r="C10789" s="400"/>
      <c r="D10789" s="524"/>
      <c r="E10789" s="544"/>
      <c r="F10789" s="387"/>
      <c r="G10789" s="140"/>
      <c r="H10789" s="74"/>
      <c r="I10789" s="74">
        <f t="shared" si="7"/>
        <v>0</v>
      </c>
      <c r="J10789" s="74" t="str">
        <f>IF(E10789="SERVICE",I10789-(I10789*50%),Vlookup(E10789,DATABASE!C:Q,10,false)*F10789)</f>
        <v>#N/A</v>
      </c>
      <c r="K10789" s="74" t="str">
        <f>VLOOKUP(E10789,DATABASE!C:Q,7,false)</f>
        <v>#N/A</v>
      </c>
      <c r="L10789" s="74"/>
      <c r="M10789" s="74">
        <f t="shared" si="6"/>
        <v>0</v>
      </c>
      <c r="N10789" s="74" t="str">
        <f t="shared" si="9"/>
        <v>#N/A</v>
      </c>
      <c r="O10789" s="65" t="str">
        <f>VLOOKUP(E10789,DATABASE!C:Q,8,false)</f>
        <v>#N/A</v>
      </c>
      <c r="P10789" s="65" t="str">
        <f>VLOOKUP(E10789,DATABASE!C:Q,9,False)</f>
        <v>#N/A</v>
      </c>
      <c r="Q10789" s="93" t="str">
        <f>VLOOKUP(E10789,DATABASE!C:Q,4,false)</f>
        <v>#N/A</v>
      </c>
      <c r="R10789" s="93" t="str">
        <f>VLOOKUP(E10789,DATABASE!C:Q,11,false)</f>
        <v>#N/A</v>
      </c>
    </row>
    <row r="10790" ht="22.5" customHeight="1">
      <c r="A10790" s="49"/>
      <c r="C10790" s="400"/>
      <c r="D10790" s="524"/>
      <c r="E10790" s="544"/>
      <c r="F10790" s="387"/>
      <c r="G10790" s="140"/>
      <c r="H10790" s="74"/>
      <c r="I10790" s="74">
        <f t="shared" si="7"/>
        <v>0</v>
      </c>
      <c r="J10790" s="74" t="str">
        <f>IF(E10790="SERVICE",I10790-(I10790*50%),Vlookup(E10790,DATABASE!C:Q,10,false)*F10790)</f>
        <v>#N/A</v>
      </c>
      <c r="K10790" s="74" t="str">
        <f>VLOOKUP(E10790,DATABASE!C:Q,7,false)</f>
        <v>#N/A</v>
      </c>
      <c r="L10790" s="74"/>
      <c r="M10790" s="74">
        <f t="shared" si="6"/>
        <v>0</v>
      </c>
      <c r="N10790" s="74" t="str">
        <f t="shared" si="9"/>
        <v>#N/A</v>
      </c>
      <c r="O10790" s="65" t="str">
        <f>VLOOKUP(E10790,DATABASE!C:Q,8,false)</f>
        <v>#N/A</v>
      </c>
      <c r="P10790" s="65" t="str">
        <f>VLOOKUP(E10790,DATABASE!C:Q,9,False)</f>
        <v>#N/A</v>
      </c>
      <c r="Q10790" s="93" t="str">
        <f>VLOOKUP(E10790,DATABASE!C:Q,4,false)</f>
        <v>#N/A</v>
      </c>
      <c r="R10790" s="93" t="str">
        <f>VLOOKUP(E10790,DATABASE!C:Q,11,false)</f>
        <v>#N/A</v>
      </c>
    </row>
    <row r="10791" ht="22.5" customHeight="1">
      <c r="A10791" s="49"/>
      <c r="C10791" s="400"/>
      <c r="D10791" s="524"/>
      <c r="E10791" s="544"/>
      <c r="F10791" s="387"/>
      <c r="G10791" s="140"/>
      <c r="H10791" s="74"/>
      <c r="I10791" s="74">
        <f t="shared" si="7"/>
        <v>0</v>
      </c>
      <c r="J10791" s="74" t="str">
        <f>IF(E10791="SERVICE",I10791-(I10791*50%),Vlookup(E10791,DATABASE!C:Q,10,false)*F10791)</f>
        <v>#N/A</v>
      </c>
      <c r="K10791" s="74" t="str">
        <f>VLOOKUP(E10791,DATABASE!C:Q,7,false)</f>
        <v>#N/A</v>
      </c>
      <c r="L10791" s="74"/>
      <c r="M10791" s="74">
        <f t="shared" si="6"/>
        <v>0</v>
      </c>
      <c r="N10791" s="74" t="str">
        <f t="shared" si="9"/>
        <v>#N/A</v>
      </c>
      <c r="O10791" s="65" t="str">
        <f>VLOOKUP(E10791,DATABASE!C:Q,8,false)</f>
        <v>#N/A</v>
      </c>
      <c r="P10791" s="65" t="str">
        <f>VLOOKUP(E10791,DATABASE!C:Q,9,False)</f>
        <v>#N/A</v>
      </c>
      <c r="Q10791" s="93" t="str">
        <f>VLOOKUP(E10791,DATABASE!C:Q,4,false)</f>
        <v>#N/A</v>
      </c>
      <c r="R10791" s="93" t="str">
        <f>VLOOKUP(E10791,DATABASE!C:Q,11,false)</f>
        <v>#N/A</v>
      </c>
    </row>
    <row r="10792" ht="22.5" customHeight="1">
      <c r="A10792" s="49"/>
      <c r="C10792" s="400"/>
      <c r="D10792" s="524"/>
      <c r="E10792" s="544"/>
      <c r="F10792" s="387"/>
      <c r="G10792" s="140"/>
      <c r="H10792" s="74"/>
      <c r="I10792" s="74">
        <f t="shared" si="7"/>
        <v>0</v>
      </c>
      <c r="J10792" s="74" t="str">
        <f>IF(E10792="SERVICE",I10792-(I10792*50%),Vlookup(E10792,DATABASE!C:Q,10,false)*F10792)</f>
        <v>#N/A</v>
      </c>
      <c r="K10792" s="74" t="str">
        <f>VLOOKUP(E10792,DATABASE!C:Q,7,false)</f>
        <v>#N/A</v>
      </c>
      <c r="L10792" s="74"/>
      <c r="M10792" s="74">
        <f t="shared" si="6"/>
        <v>0</v>
      </c>
      <c r="N10792" s="74" t="str">
        <f t="shared" si="9"/>
        <v>#N/A</v>
      </c>
      <c r="O10792" s="65" t="str">
        <f>VLOOKUP(E10792,DATABASE!C:Q,8,false)</f>
        <v>#N/A</v>
      </c>
      <c r="P10792" s="65" t="str">
        <f>VLOOKUP(E10792,DATABASE!C:Q,9,False)</f>
        <v>#N/A</v>
      </c>
      <c r="Q10792" s="93" t="str">
        <f>VLOOKUP(E10792,DATABASE!C:Q,4,false)</f>
        <v>#N/A</v>
      </c>
      <c r="R10792" s="93" t="str">
        <f>VLOOKUP(E10792,DATABASE!C:Q,11,false)</f>
        <v>#N/A</v>
      </c>
    </row>
    <row r="10793" ht="22.5" customHeight="1">
      <c r="A10793" s="49"/>
      <c r="C10793" s="400"/>
      <c r="D10793" s="524"/>
      <c r="E10793" s="544"/>
      <c r="F10793" s="387"/>
      <c r="G10793" s="140"/>
      <c r="H10793" s="74"/>
      <c r="I10793" s="74">
        <f t="shared" si="7"/>
        <v>0</v>
      </c>
      <c r="J10793" s="74" t="str">
        <f>IF(E10793="SERVICE",I10793-(I10793*50%),Vlookup(E10793,DATABASE!C:Q,10,false)*F10793)</f>
        <v>#N/A</v>
      </c>
      <c r="K10793" s="74" t="str">
        <f>VLOOKUP(E10793,DATABASE!C:Q,7,false)</f>
        <v>#N/A</v>
      </c>
      <c r="L10793" s="74"/>
      <c r="M10793" s="74">
        <f t="shared" si="6"/>
        <v>0</v>
      </c>
      <c r="N10793" s="74" t="str">
        <f t="shared" si="9"/>
        <v>#N/A</v>
      </c>
      <c r="O10793" s="65" t="str">
        <f>VLOOKUP(E10793,DATABASE!C:Q,8,false)</f>
        <v>#N/A</v>
      </c>
      <c r="P10793" s="65" t="str">
        <f>VLOOKUP(E10793,DATABASE!C:Q,9,False)</f>
        <v>#N/A</v>
      </c>
      <c r="Q10793" s="93" t="str">
        <f>VLOOKUP(E10793,DATABASE!C:Q,4,false)</f>
        <v>#N/A</v>
      </c>
      <c r="R10793" s="93" t="str">
        <f>VLOOKUP(E10793,DATABASE!C:Q,11,false)</f>
        <v>#N/A</v>
      </c>
    </row>
    <row r="10794" ht="22.5" customHeight="1">
      <c r="A10794" s="49"/>
      <c r="C10794" s="400"/>
      <c r="D10794" s="524"/>
      <c r="E10794" s="544"/>
      <c r="F10794" s="387"/>
      <c r="G10794" s="140"/>
      <c r="H10794" s="74"/>
      <c r="I10794" s="74">
        <f t="shared" si="7"/>
        <v>0</v>
      </c>
      <c r="J10794" s="74" t="str">
        <f>IF(E10794="SERVICE",I10794-(I10794*50%),Vlookup(E10794,DATABASE!C:Q,10,false)*F10794)</f>
        <v>#N/A</v>
      </c>
      <c r="K10794" s="74" t="str">
        <f>VLOOKUP(E10794,DATABASE!C:Q,7,false)</f>
        <v>#N/A</v>
      </c>
      <c r="L10794" s="74"/>
      <c r="M10794" s="74">
        <f t="shared" si="6"/>
        <v>0</v>
      </c>
      <c r="N10794" s="74" t="str">
        <f t="shared" si="9"/>
        <v>#N/A</v>
      </c>
      <c r="O10794" s="65" t="str">
        <f>VLOOKUP(E10794,DATABASE!C:Q,8,false)</f>
        <v>#N/A</v>
      </c>
      <c r="P10794" s="65" t="str">
        <f>VLOOKUP(E10794,DATABASE!C:Q,9,False)</f>
        <v>#N/A</v>
      </c>
      <c r="Q10794" s="93" t="str">
        <f>VLOOKUP(E10794,DATABASE!C:Q,4,false)</f>
        <v>#N/A</v>
      </c>
      <c r="R10794" s="93" t="str">
        <f>VLOOKUP(E10794,DATABASE!C:Q,11,false)</f>
        <v>#N/A</v>
      </c>
    </row>
    <row r="10795" ht="22.5" customHeight="1">
      <c r="A10795" s="49"/>
      <c r="C10795" s="400"/>
      <c r="D10795" s="524"/>
      <c r="E10795" s="544"/>
      <c r="F10795" s="387"/>
      <c r="G10795" s="140"/>
      <c r="H10795" s="74"/>
      <c r="I10795" s="74">
        <f t="shared" si="7"/>
        <v>0</v>
      </c>
      <c r="J10795" s="74" t="str">
        <f>IF(E10795="SERVICE",I10795-(I10795*50%),Vlookup(E10795,DATABASE!C:Q,10,false)*F10795)</f>
        <v>#N/A</v>
      </c>
      <c r="K10795" s="74" t="str">
        <f>VLOOKUP(E10795,DATABASE!C:Q,7,false)</f>
        <v>#N/A</v>
      </c>
      <c r="L10795" s="74"/>
      <c r="M10795" s="74">
        <f t="shared" si="6"/>
        <v>0</v>
      </c>
      <c r="N10795" s="74" t="str">
        <f t="shared" si="9"/>
        <v>#N/A</v>
      </c>
      <c r="O10795" s="65" t="str">
        <f>VLOOKUP(E10795,DATABASE!C:Q,8,false)</f>
        <v>#N/A</v>
      </c>
      <c r="P10795" s="65" t="str">
        <f>VLOOKUP(E10795,DATABASE!C:Q,9,False)</f>
        <v>#N/A</v>
      </c>
      <c r="Q10795" s="93" t="str">
        <f>VLOOKUP(E10795,DATABASE!C:Q,4,false)</f>
        <v>#N/A</v>
      </c>
      <c r="R10795" s="93" t="str">
        <f>VLOOKUP(E10795,DATABASE!C:Q,11,false)</f>
        <v>#N/A</v>
      </c>
    </row>
    <row r="10796" ht="22.5" customHeight="1">
      <c r="A10796" s="49"/>
      <c r="C10796" s="400"/>
      <c r="D10796" s="524"/>
      <c r="E10796" s="544"/>
      <c r="F10796" s="387"/>
      <c r="G10796" s="140"/>
      <c r="H10796" s="74"/>
      <c r="I10796" s="74">
        <f t="shared" si="7"/>
        <v>0</v>
      </c>
      <c r="J10796" s="74" t="str">
        <f>IF(E10796="SERVICE",I10796-(I10796*50%),Vlookup(E10796,DATABASE!C:Q,10,false)*F10796)</f>
        <v>#N/A</v>
      </c>
      <c r="K10796" s="74" t="str">
        <f>VLOOKUP(E10796,DATABASE!C:Q,7,false)</f>
        <v>#N/A</v>
      </c>
      <c r="L10796" s="74"/>
      <c r="M10796" s="74">
        <f t="shared" si="6"/>
        <v>0</v>
      </c>
      <c r="N10796" s="74" t="str">
        <f t="shared" si="9"/>
        <v>#N/A</v>
      </c>
      <c r="O10796" s="65" t="str">
        <f>VLOOKUP(E10796,DATABASE!C:Q,8,false)</f>
        <v>#N/A</v>
      </c>
      <c r="P10796" s="65" t="str">
        <f>VLOOKUP(E10796,DATABASE!C:Q,9,False)</f>
        <v>#N/A</v>
      </c>
      <c r="Q10796" s="93" t="str">
        <f>VLOOKUP(E10796,DATABASE!C:Q,4,false)</f>
        <v>#N/A</v>
      </c>
      <c r="R10796" s="93" t="str">
        <f>VLOOKUP(E10796,DATABASE!C:Q,11,false)</f>
        <v>#N/A</v>
      </c>
    </row>
    <row r="10797" ht="22.5" customHeight="1">
      <c r="A10797" s="49"/>
      <c r="C10797" s="400"/>
      <c r="D10797" s="524"/>
      <c r="E10797" s="544"/>
      <c r="F10797" s="387"/>
      <c r="G10797" s="140"/>
      <c r="H10797" s="74"/>
      <c r="I10797" s="74">
        <f t="shared" si="7"/>
        <v>0</v>
      </c>
      <c r="J10797" s="74" t="str">
        <f>IF(E10797="SERVICE",I10797-(I10797*50%),Vlookup(E10797,DATABASE!C:Q,10,false)*F10797)</f>
        <v>#N/A</v>
      </c>
      <c r="K10797" s="74" t="str">
        <f>VLOOKUP(E10797,DATABASE!C:Q,7,false)</f>
        <v>#N/A</v>
      </c>
      <c r="L10797" s="74"/>
      <c r="M10797" s="74">
        <f t="shared" si="6"/>
        <v>0</v>
      </c>
      <c r="N10797" s="74" t="str">
        <f t="shared" si="9"/>
        <v>#N/A</v>
      </c>
      <c r="O10797" s="65" t="str">
        <f>VLOOKUP(E10797,DATABASE!C:Q,8,false)</f>
        <v>#N/A</v>
      </c>
      <c r="P10797" s="65" t="str">
        <f>VLOOKUP(E10797,DATABASE!C:Q,9,False)</f>
        <v>#N/A</v>
      </c>
      <c r="Q10797" s="93" t="str">
        <f>VLOOKUP(E10797,DATABASE!C:Q,4,false)</f>
        <v>#N/A</v>
      </c>
      <c r="R10797" s="93" t="str">
        <f>VLOOKUP(E10797,DATABASE!C:Q,11,false)</f>
        <v>#N/A</v>
      </c>
    </row>
    <row r="10798" ht="22.5" customHeight="1">
      <c r="A10798" s="49"/>
      <c r="C10798" s="400"/>
      <c r="D10798" s="524"/>
      <c r="E10798" s="544"/>
      <c r="F10798" s="387"/>
      <c r="G10798" s="140"/>
      <c r="H10798" s="74"/>
      <c r="I10798" s="74">
        <f t="shared" si="7"/>
        <v>0</v>
      </c>
      <c r="J10798" s="74" t="str">
        <f>IF(E10798="SERVICE",I10798-(I10798*50%),Vlookup(E10798,DATABASE!C:Q,10,false)*F10798)</f>
        <v>#N/A</v>
      </c>
      <c r="K10798" s="74" t="str">
        <f>VLOOKUP(E10798,DATABASE!C:Q,7,false)</f>
        <v>#N/A</v>
      </c>
      <c r="L10798" s="74"/>
      <c r="M10798" s="74">
        <f t="shared" si="6"/>
        <v>0</v>
      </c>
      <c r="N10798" s="74" t="str">
        <f t="shared" si="9"/>
        <v>#N/A</v>
      </c>
      <c r="O10798" s="65" t="str">
        <f>VLOOKUP(E10798,DATABASE!C:Q,8,false)</f>
        <v>#N/A</v>
      </c>
      <c r="P10798" s="65" t="str">
        <f>VLOOKUP(E10798,DATABASE!C:Q,9,False)</f>
        <v>#N/A</v>
      </c>
      <c r="Q10798" s="93" t="str">
        <f>VLOOKUP(E10798,DATABASE!C:Q,4,false)</f>
        <v>#N/A</v>
      </c>
      <c r="R10798" s="93" t="str">
        <f>VLOOKUP(E10798,DATABASE!C:Q,11,false)</f>
        <v>#N/A</v>
      </c>
    </row>
    <row r="10799" ht="22.5" customHeight="1">
      <c r="A10799" s="49"/>
      <c r="C10799" s="400"/>
      <c r="D10799" s="524"/>
      <c r="E10799" s="544"/>
      <c r="F10799" s="387"/>
      <c r="G10799" s="140"/>
      <c r="H10799" s="74"/>
      <c r="I10799" s="74">
        <f t="shared" si="7"/>
        <v>0</v>
      </c>
      <c r="J10799" s="74" t="str">
        <f>IF(E10799="SERVICE",I10799-(I10799*50%),Vlookup(E10799,DATABASE!C:Q,10,false)*F10799)</f>
        <v>#N/A</v>
      </c>
      <c r="K10799" s="74" t="str">
        <f>VLOOKUP(E10799,DATABASE!C:Q,7,false)</f>
        <v>#N/A</v>
      </c>
      <c r="L10799" s="74"/>
      <c r="M10799" s="74">
        <f t="shared" si="6"/>
        <v>0</v>
      </c>
      <c r="N10799" s="74" t="str">
        <f t="shared" si="9"/>
        <v>#N/A</v>
      </c>
      <c r="O10799" s="65" t="str">
        <f>VLOOKUP(E10799,DATABASE!C:Q,8,false)</f>
        <v>#N/A</v>
      </c>
      <c r="P10799" s="65" t="str">
        <f>VLOOKUP(E10799,DATABASE!C:Q,9,False)</f>
        <v>#N/A</v>
      </c>
      <c r="Q10799" s="93" t="str">
        <f>VLOOKUP(E10799,DATABASE!C:Q,4,false)</f>
        <v>#N/A</v>
      </c>
      <c r="R10799" s="93" t="str">
        <f>VLOOKUP(E10799,DATABASE!C:Q,11,false)</f>
        <v>#N/A</v>
      </c>
    </row>
    <row r="10800" ht="22.5" customHeight="1">
      <c r="A10800" s="49"/>
      <c r="C10800" s="400"/>
      <c r="D10800" s="524"/>
      <c r="E10800" s="544"/>
      <c r="F10800" s="387"/>
      <c r="G10800" s="140"/>
      <c r="H10800" s="74"/>
      <c r="I10800" s="74">
        <f t="shared" si="7"/>
        <v>0</v>
      </c>
      <c r="J10800" s="74" t="str">
        <f>IF(E10800="SERVICE",I10800-(I10800*50%),Vlookup(E10800,DATABASE!C:Q,10,false)*F10800)</f>
        <v>#N/A</v>
      </c>
      <c r="K10800" s="74" t="str">
        <f>VLOOKUP(E10800,DATABASE!C:Q,7,false)</f>
        <v>#N/A</v>
      </c>
      <c r="L10800" s="74"/>
      <c r="M10800" s="74">
        <f t="shared" si="6"/>
        <v>0</v>
      </c>
      <c r="N10800" s="74" t="str">
        <f t="shared" si="9"/>
        <v>#N/A</v>
      </c>
      <c r="O10800" s="65" t="str">
        <f>VLOOKUP(E10800,DATABASE!C:Q,8,false)</f>
        <v>#N/A</v>
      </c>
      <c r="P10800" s="65" t="str">
        <f>VLOOKUP(E10800,DATABASE!C:Q,9,False)</f>
        <v>#N/A</v>
      </c>
      <c r="Q10800" s="93" t="str">
        <f>VLOOKUP(E10800,DATABASE!C:Q,4,false)</f>
        <v>#N/A</v>
      </c>
      <c r="R10800" s="93" t="str">
        <f>VLOOKUP(E10800,DATABASE!C:Q,11,false)</f>
        <v>#N/A</v>
      </c>
    </row>
    <row r="10801" ht="22.5" customHeight="1">
      <c r="A10801" s="49"/>
      <c r="C10801" s="400"/>
      <c r="D10801" s="524"/>
      <c r="E10801" s="544"/>
      <c r="F10801" s="387"/>
      <c r="G10801" s="140"/>
      <c r="H10801" s="74"/>
      <c r="I10801" s="74">
        <f t="shared" si="7"/>
        <v>0</v>
      </c>
      <c r="J10801" s="74" t="str">
        <f>IF(E10801="SERVICE",I10801-(I10801*50%),Vlookup(E10801,DATABASE!C:Q,10,false)*F10801)</f>
        <v>#N/A</v>
      </c>
      <c r="K10801" s="74" t="str">
        <f>VLOOKUP(E10801,DATABASE!C:Q,7,false)</f>
        <v>#N/A</v>
      </c>
      <c r="L10801" s="74"/>
      <c r="M10801" s="74">
        <f t="shared" si="6"/>
        <v>0</v>
      </c>
      <c r="N10801" s="74" t="str">
        <f t="shared" si="9"/>
        <v>#N/A</v>
      </c>
      <c r="O10801" s="65" t="str">
        <f>VLOOKUP(E10801,DATABASE!C:Q,8,false)</f>
        <v>#N/A</v>
      </c>
      <c r="P10801" s="65" t="str">
        <f>VLOOKUP(E10801,DATABASE!C:Q,9,False)</f>
        <v>#N/A</v>
      </c>
      <c r="Q10801" s="93" t="str">
        <f>VLOOKUP(E10801,DATABASE!C:Q,4,false)</f>
        <v>#N/A</v>
      </c>
      <c r="R10801" s="93" t="str">
        <f>VLOOKUP(E10801,DATABASE!C:Q,11,false)</f>
        <v>#N/A</v>
      </c>
    </row>
    <row r="10802" ht="22.5" customHeight="1">
      <c r="A10802" s="49"/>
      <c r="C10802" s="400"/>
      <c r="D10802" s="524"/>
      <c r="E10802" s="544"/>
      <c r="F10802" s="387"/>
      <c r="G10802" s="140"/>
      <c r="H10802" s="74"/>
      <c r="I10802" s="74">
        <f t="shared" si="7"/>
        <v>0</v>
      </c>
      <c r="J10802" s="74" t="str">
        <f>IF(E10802="SERVICE",I10802-(I10802*50%),Vlookup(E10802,DATABASE!C:Q,10,false)*F10802)</f>
        <v>#N/A</v>
      </c>
      <c r="K10802" s="74" t="str">
        <f>VLOOKUP(E10802,DATABASE!C:Q,7,false)</f>
        <v>#N/A</v>
      </c>
      <c r="L10802" s="74"/>
      <c r="M10802" s="74">
        <f t="shared" si="6"/>
        <v>0</v>
      </c>
      <c r="N10802" s="74" t="str">
        <f t="shared" si="9"/>
        <v>#N/A</v>
      </c>
      <c r="O10802" s="65" t="str">
        <f>VLOOKUP(E10802,DATABASE!C:Q,8,false)</f>
        <v>#N/A</v>
      </c>
      <c r="P10802" s="65" t="str">
        <f>VLOOKUP(E10802,DATABASE!C:Q,9,False)</f>
        <v>#N/A</v>
      </c>
      <c r="Q10802" s="93" t="str">
        <f>VLOOKUP(E10802,DATABASE!C:Q,4,false)</f>
        <v>#N/A</v>
      </c>
      <c r="R10802" s="93" t="str">
        <f>VLOOKUP(E10802,DATABASE!C:Q,11,false)</f>
        <v>#N/A</v>
      </c>
    </row>
    <row r="10803" ht="22.5" customHeight="1">
      <c r="A10803" s="49"/>
      <c r="C10803" s="400"/>
      <c r="D10803" s="524"/>
      <c r="E10803" s="544"/>
      <c r="F10803" s="387"/>
      <c r="G10803" s="140"/>
      <c r="H10803" s="74"/>
      <c r="I10803" s="74">
        <f t="shared" si="7"/>
        <v>0</v>
      </c>
      <c r="J10803" s="74" t="str">
        <f>IF(E10803="SERVICE",I10803-(I10803*50%),Vlookup(E10803,DATABASE!C:Q,10,false)*F10803)</f>
        <v>#N/A</v>
      </c>
      <c r="K10803" s="74" t="str">
        <f>VLOOKUP(E10803,DATABASE!C:Q,7,false)</f>
        <v>#N/A</v>
      </c>
      <c r="L10803" s="74"/>
      <c r="M10803" s="74">
        <f t="shared" si="6"/>
        <v>0</v>
      </c>
      <c r="N10803" s="74" t="str">
        <f t="shared" si="9"/>
        <v>#N/A</v>
      </c>
      <c r="O10803" s="65" t="str">
        <f>VLOOKUP(E10803,DATABASE!C:Q,8,false)</f>
        <v>#N/A</v>
      </c>
      <c r="P10803" s="65" t="str">
        <f>VLOOKUP(E10803,DATABASE!C:Q,9,False)</f>
        <v>#N/A</v>
      </c>
      <c r="Q10803" s="93" t="str">
        <f>VLOOKUP(E10803,DATABASE!C:Q,4,false)</f>
        <v>#N/A</v>
      </c>
      <c r="R10803" s="93" t="str">
        <f>VLOOKUP(E10803,DATABASE!C:Q,11,false)</f>
        <v>#N/A</v>
      </c>
    </row>
    <row r="10804" ht="22.5" customHeight="1">
      <c r="A10804" s="49"/>
      <c r="C10804" s="400"/>
      <c r="D10804" s="524"/>
      <c r="E10804" s="544"/>
      <c r="F10804" s="387"/>
      <c r="G10804" s="140"/>
      <c r="H10804" s="74"/>
      <c r="I10804" s="74">
        <f t="shared" si="7"/>
        <v>0</v>
      </c>
      <c r="J10804" s="74" t="str">
        <f>IF(E10804="SERVICE",I10804-(I10804*50%),Vlookup(E10804,DATABASE!C:Q,10,false)*F10804)</f>
        <v>#N/A</v>
      </c>
      <c r="K10804" s="74" t="str">
        <f>VLOOKUP(E10804,DATABASE!C:Q,7,false)</f>
        <v>#N/A</v>
      </c>
      <c r="L10804" s="74"/>
      <c r="M10804" s="74">
        <f t="shared" si="6"/>
        <v>0</v>
      </c>
      <c r="N10804" s="74" t="str">
        <f t="shared" si="9"/>
        <v>#N/A</v>
      </c>
      <c r="O10804" s="65" t="str">
        <f>VLOOKUP(E10804,DATABASE!C:Q,8,false)</f>
        <v>#N/A</v>
      </c>
      <c r="P10804" s="65" t="str">
        <f>VLOOKUP(E10804,DATABASE!C:Q,9,False)</f>
        <v>#N/A</v>
      </c>
      <c r="Q10804" s="93" t="str">
        <f>VLOOKUP(E10804,DATABASE!C:Q,4,false)</f>
        <v>#N/A</v>
      </c>
      <c r="R10804" s="93" t="str">
        <f>VLOOKUP(E10804,DATABASE!C:Q,11,false)</f>
        <v>#N/A</v>
      </c>
    </row>
    <row r="10805" ht="22.5" customHeight="1">
      <c r="A10805" s="49"/>
      <c r="C10805" s="400"/>
      <c r="D10805" s="524"/>
      <c r="E10805" s="544"/>
      <c r="F10805" s="387"/>
      <c r="G10805" s="140"/>
      <c r="H10805" s="74"/>
      <c r="I10805" s="74">
        <f t="shared" si="7"/>
        <v>0</v>
      </c>
      <c r="J10805" s="74" t="str">
        <f>IF(E10805="SERVICE",I10805-(I10805*50%),Vlookup(E10805,DATABASE!C:Q,10,false)*F10805)</f>
        <v>#N/A</v>
      </c>
      <c r="K10805" s="74" t="str">
        <f>VLOOKUP(E10805,DATABASE!C:Q,7,false)</f>
        <v>#N/A</v>
      </c>
      <c r="L10805" s="74"/>
      <c r="M10805" s="74">
        <f t="shared" si="6"/>
        <v>0</v>
      </c>
      <c r="N10805" s="74" t="str">
        <f t="shared" si="9"/>
        <v>#N/A</v>
      </c>
      <c r="O10805" s="65" t="str">
        <f>VLOOKUP(E10805,DATABASE!C:Q,8,false)</f>
        <v>#N/A</v>
      </c>
      <c r="P10805" s="65" t="str">
        <f>VLOOKUP(E10805,DATABASE!C:Q,9,False)</f>
        <v>#N/A</v>
      </c>
      <c r="Q10805" s="93" t="str">
        <f>VLOOKUP(E10805,DATABASE!C:Q,4,false)</f>
        <v>#N/A</v>
      </c>
      <c r="R10805" s="93" t="str">
        <f>VLOOKUP(E10805,DATABASE!C:Q,11,false)</f>
        <v>#N/A</v>
      </c>
    </row>
    <row r="10806" ht="22.5" customHeight="1">
      <c r="A10806" s="49"/>
      <c r="C10806" s="400"/>
      <c r="D10806" s="524"/>
      <c r="E10806" s="544"/>
      <c r="F10806" s="387"/>
      <c r="G10806" s="140"/>
      <c r="H10806" s="74"/>
      <c r="I10806" s="74">
        <f t="shared" si="7"/>
        <v>0</v>
      </c>
      <c r="J10806" s="74" t="str">
        <f>IF(E10806="SERVICE",I10806-(I10806*50%),Vlookup(E10806,DATABASE!C:Q,10,false)*F10806)</f>
        <v>#N/A</v>
      </c>
      <c r="K10806" s="74" t="str">
        <f>VLOOKUP(E10806,DATABASE!C:Q,7,false)</f>
        <v>#N/A</v>
      </c>
      <c r="L10806" s="74"/>
      <c r="M10806" s="74">
        <f t="shared" si="6"/>
        <v>0</v>
      </c>
      <c r="N10806" s="74" t="str">
        <f t="shared" si="9"/>
        <v>#N/A</v>
      </c>
      <c r="O10806" s="65" t="str">
        <f>VLOOKUP(E10806,DATABASE!C:Q,8,false)</f>
        <v>#N/A</v>
      </c>
      <c r="P10806" s="65" t="str">
        <f>VLOOKUP(E10806,DATABASE!C:Q,9,False)</f>
        <v>#N/A</v>
      </c>
      <c r="Q10806" s="93" t="str">
        <f>VLOOKUP(E10806,DATABASE!C:Q,4,false)</f>
        <v>#N/A</v>
      </c>
      <c r="R10806" s="93" t="str">
        <f>VLOOKUP(E10806,DATABASE!C:Q,11,false)</f>
        <v>#N/A</v>
      </c>
    </row>
    <row r="10807" ht="22.5" customHeight="1">
      <c r="A10807" s="49"/>
      <c r="C10807" s="400"/>
      <c r="D10807" s="524"/>
      <c r="E10807" s="544"/>
      <c r="F10807" s="387"/>
      <c r="G10807" s="140"/>
      <c r="H10807" s="74"/>
      <c r="I10807" s="74">
        <f t="shared" si="7"/>
        <v>0</v>
      </c>
      <c r="J10807" s="74" t="str">
        <f>IF(E10807="SERVICE",I10807-(I10807*50%),Vlookup(E10807,DATABASE!C:Q,10,false)*F10807)</f>
        <v>#N/A</v>
      </c>
      <c r="K10807" s="74" t="str">
        <f>VLOOKUP(E10807,DATABASE!C:Q,7,false)</f>
        <v>#N/A</v>
      </c>
      <c r="L10807" s="74"/>
      <c r="M10807" s="74">
        <f t="shared" si="6"/>
        <v>0</v>
      </c>
      <c r="N10807" s="74" t="str">
        <f t="shared" si="9"/>
        <v>#N/A</v>
      </c>
      <c r="O10807" s="65" t="str">
        <f>VLOOKUP(E10807,DATABASE!C:Q,8,false)</f>
        <v>#N/A</v>
      </c>
      <c r="P10807" s="65" t="str">
        <f>VLOOKUP(E10807,DATABASE!C:Q,9,False)</f>
        <v>#N/A</v>
      </c>
      <c r="Q10807" s="93" t="str">
        <f>VLOOKUP(E10807,DATABASE!C:Q,4,false)</f>
        <v>#N/A</v>
      </c>
      <c r="R10807" s="93" t="str">
        <f>VLOOKUP(E10807,DATABASE!C:Q,11,false)</f>
        <v>#N/A</v>
      </c>
    </row>
    <row r="10808" ht="22.5" customHeight="1">
      <c r="A10808" s="49"/>
      <c r="C10808" s="400"/>
      <c r="D10808" s="524"/>
      <c r="E10808" s="544"/>
      <c r="F10808" s="387"/>
      <c r="G10808" s="140"/>
      <c r="H10808" s="74"/>
      <c r="I10808" s="74">
        <f t="shared" si="7"/>
        <v>0</v>
      </c>
      <c r="J10808" s="74" t="str">
        <f>IF(E10808="SERVICE",I10808-(I10808*50%),Vlookup(E10808,DATABASE!C:Q,10,false)*F10808)</f>
        <v>#N/A</v>
      </c>
      <c r="K10808" s="74" t="str">
        <f>VLOOKUP(E10808,DATABASE!C:Q,7,false)</f>
        <v>#N/A</v>
      </c>
      <c r="L10808" s="74"/>
      <c r="M10808" s="74">
        <f t="shared" si="6"/>
        <v>0</v>
      </c>
      <c r="N10808" s="74" t="str">
        <f t="shared" si="9"/>
        <v>#N/A</v>
      </c>
      <c r="O10808" s="65" t="str">
        <f>VLOOKUP(E10808,DATABASE!C:Q,8,false)</f>
        <v>#N/A</v>
      </c>
      <c r="P10808" s="65" t="str">
        <f>VLOOKUP(E10808,DATABASE!C:Q,9,False)</f>
        <v>#N/A</v>
      </c>
      <c r="Q10808" s="93" t="str">
        <f>VLOOKUP(E10808,DATABASE!C:Q,4,false)</f>
        <v>#N/A</v>
      </c>
      <c r="R10808" s="93" t="str">
        <f>VLOOKUP(E10808,DATABASE!C:Q,11,false)</f>
        <v>#N/A</v>
      </c>
    </row>
    <row r="10809" ht="22.5" customHeight="1">
      <c r="A10809" s="49"/>
      <c r="C10809" s="400"/>
      <c r="D10809" s="524"/>
      <c r="E10809" s="544"/>
      <c r="F10809" s="387"/>
      <c r="G10809" s="140"/>
      <c r="H10809" s="74"/>
      <c r="I10809" s="74">
        <f t="shared" si="7"/>
        <v>0</v>
      </c>
      <c r="J10809" s="74" t="str">
        <f>IF(E10809="SERVICE",I10809-(I10809*50%),Vlookup(E10809,DATABASE!C:Q,10,false)*F10809)</f>
        <v>#N/A</v>
      </c>
      <c r="K10809" s="74" t="str">
        <f>VLOOKUP(E10809,DATABASE!C:Q,7,false)</f>
        <v>#N/A</v>
      </c>
      <c r="L10809" s="74"/>
      <c r="M10809" s="74">
        <f t="shared" si="6"/>
        <v>0</v>
      </c>
      <c r="N10809" s="74" t="str">
        <f t="shared" si="9"/>
        <v>#N/A</v>
      </c>
      <c r="O10809" s="65" t="str">
        <f>VLOOKUP(E10809,DATABASE!C:Q,8,false)</f>
        <v>#N/A</v>
      </c>
      <c r="P10809" s="65" t="str">
        <f>VLOOKUP(E10809,DATABASE!C:Q,9,False)</f>
        <v>#N/A</v>
      </c>
      <c r="Q10809" s="93" t="str">
        <f>VLOOKUP(E10809,DATABASE!C:Q,4,false)</f>
        <v>#N/A</v>
      </c>
      <c r="R10809" s="93" t="str">
        <f>VLOOKUP(E10809,DATABASE!C:Q,11,false)</f>
        <v>#N/A</v>
      </c>
    </row>
    <row r="10810" ht="22.5" customHeight="1">
      <c r="A10810" s="49"/>
      <c r="C10810" s="400"/>
      <c r="D10810" s="524"/>
      <c r="E10810" s="544"/>
      <c r="F10810" s="387"/>
      <c r="G10810" s="140"/>
      <c r="H10810" s="74"/>
      <c r="I10810" s="74">
        <f t="shared" si="7"/>
        <v>0</v>
      </c>
      <c r="J10810" s="74" t="str">
        <f>IF(E10810="SERVICE",I10810-(I10810*50%),Vlookup(E10810,DATABASE!C:Q,10,false)*F10810)</f>
        <v>#N/A</v>
      </c>
      <c r="K10810" s="74" t="str">
        <f>VLOOKUP(E10810,DATABASE!C:Q,7,false)</f>
        <v>#N/A</v>
      </c>
      <c r="L10810" s="74"/>
      <c r="M10810" s="74">
        <f t="shared" si="6"/>
        <v>0</v>
      </c>
      <c r="N10810" s="74" t="str">
        <f t="shared" si="9"/>
        <v>#N/A</v>
      </c>
      <c r="O10810" s="65" t="str">
        <f>VLOOKUP(E10810,DATABASE!C:Q,8,false)</f>
        <v>#N/A</v>
      </c>
      <c r="P10810" s="65" t="str">
        <f>VLOOKUP(E10810,DATABASE!C:Q,9,False)</f>
        <v>#N/A</v>
      </c>
      <c r="Q10810" s="93" t="str">
        <f>VLOOKUP(E10810,DATABASE!C:Q,4,false)</f>
        <v>#N/A</v>
      </c>
      <c r="R10810" s="93" t="str">
        <f>VLOOKUP(E10810,DATABASE!C:Q,11,false)</f>
        <v>#N/A</v>
      </c>
    </row>
    <row r="10811" ht="22.5" customHeight="1">
      <c r="A10811" s="49"/>
      <c r="C10811" s="400"/>
      <c r="D10811" s="524"/>
      <c r="E10811" s="544"/>
      <c r="F10811" s="387"/>
      <c r="G10811" s="140"/>
      <c r="H10811" s="74"/>
      <c r="I10811" s="74">
        <f t="shared" si="7"/>
        <v>0</v>
      </c>
      <c r="J10811" s="74" t="str">
        <f>IF(E10811="SERVICE",I10811-(I10811*50%),Vlookup(E10811,DATABASE!C:Q,10,false)*F10811)</f>
        <v>#N/A</v>
      </c>
      <c r="K10811" s="74" t="str">
        <f>VLOOKUP(E10811,DATABASE!C:Q,7,false)</f>
        <v>#N/A</v>
      </c>
      <c r="L10811" s="74"/>
      <c r="M10811" s="74">
        <f t="shared" si="6"/>
        <v>0</v>
      </c>
      <c r="N10811" s="74" t="str">
        <f t="shared" si="9"/>
        <v>#N/A</v>
      </c>
      <c r="O10811" s="65" t="str">
        <f>VLOOKUP(E10811,DATABASE!C:Q,8,false)</f>
        <v>#N/A</v>
      </c>
      <c r="P10811" s="65" t="str">
        <f>VLOOKUP(E10811,DATABASE!C:Q,9,False)</f>
        <v>#N/A</v>
      </c>
      <c r="Q10811" s="93" t="str">
        <f>VLOOKUP(E10811,DATABASE!C:Q,4,false)</f>
        <v>#N/A</v>
      </c>
      <c r="R10811" s="93" t="str">
        <f>VLOOKUP(E10811,DATABASE!C:Q,11,false)</f>
        <v>#N/A</v>
      </c>
    </row>
    <row r="10812" ht="22.5" customHeight="1">
      <c r="A10812" s="49"/>
      <c r="C10812" s="400"/>
      <c r="D10812" s="524"/>
      <c r="E10812" s="544"/>
      <c r="F10812" s="387"/>
      <c r="G10812" s="140"/>
      <c r="H10812" s="74"/>
      <c r="I10812" s="74">
        <f t="shared" si="7"/>
        <v>0</v>
      </c>
      <c r="J10812" s="74" t="str">
        <f>IF(E10812="SERVICE",I10812-(I10812*50%),Vlookup(E10812,DATABASE!C:Q,10,false)*F10812)</f>
        <v>#N/A</v>
      </c>
      <c r="K10812" s="74" t="str">
        <f>VLOOKUP(E10812,DATABASE!C:Q,7,false)</f>
        <v>#N/A</v>
      </c>
      <c r="L10812" s="74"/>
      <c r="M10812" s="74">
        <f t="shared" si="6"/>
        <v>0</v>
      </c>
      <c r="N10812" s="74" t="str">
        <f t="shared" si="9"/>
        <v>#N/A</v>
      </c>
      <c r="O10812" s="65" t="str">
        <f>VLOOKUP(E10812,DATABASE!C:Q,8,false)</f>
        <v>#N/A</v>
      </c>
      <c r="P10812" s="65" t="str">
        <f>VLOOKUP(E10812,DATABASE!C:Q,9,False)</f>
        <v>#N/A</v>
      </c>
      <c r="Q10812" s="93" t="str">
        <f>VLOOKUP(E10812,DATABASE!C:Q,4,false)</f>
        <v>#N/A</v>
      </c>
      <c r="R10812" s="93" t="str">
        <f>VLOOKUP(E10812,DATABASE!C:Q,11,false)</f>
        <v>#N/A</v>
      </c>
    </row>
    <row r="10813" ht="22.5" customHeight="1">
      <c r="A10813" s="49"/>
      <c r="C10813" s="400"/>
      <c r="D10813" s="524"/>
      <c r="E10813" s="544"/>
      <c r="F10813" s="387"/>
      <c r="G10813" s="140"/>
      <c r="H10813" s="74"/>
      <c r="I10813" s="74">
        <f t="shared" si="7"/>
        <v>0</v>
      </c>
      <c r="J10813" s="74" t="str">
        <f>IF(E10813="SERVICE",I10813-(I10813*50%),Vlookup(E10813,DATABASE!C:Q,10,false)*F10813)</f>
        <v>#N/A</v>
      </c>
      <c r="K10813" s="74" t="str">
        <f>VLOOKUP(E10813,DATABASE!C:Q,7,false)</f>
        <v>#N/A</v>
      </c>
      <c r="L10813" s="74"/>
      <c r="M10813" s="74">
        <f t="shared" si="6"/>
        <v>0</v>
      </c>
      <c r="N10813" s="74" t="str">
        <f t="shared" si="9"/>
        <v>#N/A</v>
      </c>
      <c r="O10813" s="65" t="str">
        <f>VLOOKUP(E10813,DATABASE!C:Q,8,false)</f>
        <v>#N/A</v>
      </c>
      <c r="P10813" s="65" t="str">
        <f>VLOOKUP(E10813,DATABASE!C:Q,9,False)</f>
        <v>#N/A</v>
      </c>
      <c r="Q10813" s="93" t="str">
        <f>VLOOKUP(E10813,DATABASE!C:Q,4,false)</f>
        <v>#N/A</v>
      </c>
      <c r="R10813" s="93" t="str">
        <f>VLOOKUP(E10813,DATABASE!C:Q,11,false)</f>
        <v>#N/A</v>
      </c>
    </row>
    <row r="10814" ht="22.5" customHeight="1">
      <c r="A10814" s="49"/>
      <c r="C10814" s="400"/>
      <c r="D10814" s="524"/>
      <c r="E10814" s="544"/>
      <c r="F10814" s="387"/>
      <c r="G10814" s="140"/>
      <c r="H10814" s="74"/>
      <c r="I10814" s="74">
        <f t="shared" si="7"/>
        <v>0</v>
      </c>
      <c r="J10814" s="74" t="str">
        <f>IF(E10814="SERVICE",I10814-(I10814*50%),Vlookup(E10814,DATABASE!C:Q,10,false)*F10814)</f>
        <v>#N/A</v>
      </c>
      <c r="K10814" s="74" t="str">
        <f>VLOOKUP(E10814,DATABASE!C:Q,7,false)</f>
        <v>#N/A</v>
      </c>
      <c r="L10814" s="74"/>
      <c r="M10814" s="74">
        <f t="shared" si="6"/>
        <v>0</v>
      </c>
      <c r="N10814" s="74" t="str">
        <f t="shared" si="9"/>
        <v>#N/A</v>
      </c>
      <c r="O10814" s="65" t="str">
        <f>VLOOKUP(E10814,DATABASE!C:Q,8,false)</f>
        <v>#N/A</v>
      </c>
      <c r="P10814" s="65" t="str">
        <f>VLOOKUP(E10814,DATABASE!C:Q,9,False)</f>
        <v>#N/A</v>
      </c>
      <c r="Q10814" s="93" t="str">
        <f>VLOOKUP(E10814,DATABASE!C:Q,4,false)</f>
        <v>#N/A</v>
      </c>
      <c r="R10814" s="93" t="str">
        <f>VLOOKUP(E10814,DATABASE!C:Q,11,false)</f>
        <v>#N/A</v>
      </c>
    </row>
    <row r="10815" ht="22.5" customHeight="1">
      <c r="A10815" s="49"/>
      <c r="C10815" s="400"/>
      <c r="D10815" s="524"/>
      <c r="E10815" s="544"/>
      <c r="F10815" s="387"/>
      <c r="G10815" s="140"/>
      <c r="H10815" s="74"/>
      <c r="I10815" s="74">
        <f t="shared" si="7"/>
        <v>0</v>
      </c>
      <c r="J10815" s="74" t="str">
        <f>IF(E10815="SERVICE",I10815-(I10815*50%),Vlookup(E10815,DATABASE!C:Q,10,false)*F10815)</f>
        <v>#N/A</v>
      </c>
      <c r="K10815" s="74" t="str">
        <f>VLOOKUP(E10815,DATABASE!C:Q,7,false)</f>
        <v>#N/A</v>
      </c>
      <c r="L10815" s="74"/>
      <c r="M10815" s="74">
        <f t="shared" si="6"/>
        <v>0</v>
      </c>
      <c r="N10815" s="74" t="str">
        <f t="shared" si="9"/>
        <v>#N/A</v>
      </c>
      <c r="O10815" s="65" t="str">
        <f>VLOOKUP(E10815,DATABASE!C:Q,8,false)</f>
        <v>#N/A</v>
      </c>
      <c r="P10815" s="65" t="str">
        <f>VLOOKUP(E10815,DATABASE!C:Q,9,False)</f>
        <v>#N/A</v>
      </c>
      <c r="Q10815" s="93" t="str">
        <f>VLOOKUP(E10815,DATABASE!C:Q,4,false)</f>
        <v>#N/A</v>
      </c>
      <c r="R10815" s="93" t="str">
        <f>VLOOKUP(E10815,DATABASE!C:Q,11,false)</f>
        <v>#N/A</v>
      </c>
    </row>
    <row r="10816" ht="22.5" customHeight="1">
      <c r="A10816" s="49"/>
      <c r="C10816" s="400"/>
      <c r="D10816" s="524"/>
      <c r="E10816" s="544"/>
      <c r="F10816" s="387"/>
      <c r="G10816" s="140"/>
      <c r="H10816" s="74"/>
      <c r="I10816" s="74">
        <f t="shared" si="7"/>
        <v>0</v>
      </c>
      <c r="J10816" s="74" t="str">
        <f>IF(E10816="SERVICE",I10816-(I10816*50%),Vlookup(E10816,DATABASE!C:Q,10,false)*F10816)</f>
        <v>#N/A</v>
      </c>
      <c r="K10816" s="74" t="str">
        <f>VLOOKUP(E10816,DATABASE!C:Q,7,false)</f>
        <v>#N/A</v>
      </c>
      <c r="L10816" s="74"/>
      <c r="M10816" s="74">
        <f t="shared" si="6"/>
        <v>0</v>
      </c>
      <c r="N10816" s="74" t="str">
        <f t="shared" si="9"/>
        <v>#N/A</v>
      </c>
      <c r="O10816" s="65" t="str">
        <f>VLOOKUP(E10816,DATABASE!C:Q,8,false)</f>
        <v>#N/A</v>
      </c>
      <c r="P10816" s="65" t="str">
        <f>VLOOKUP(E10816,DATABASE!C:Q,9,False)</f>
        <v>#N/A</v>
      </c>
      <c r="Q10816" s="93" t="str">
        <f>VLOOKUP(E10816,DATABASE!C:Q,4,false)</f>
        <v>#N/A</v>
      </c>
      <c r="R10816" s="93" t="str">
        <f>VLOOKUP(E10816,DATABASE!C:Q,11,false)</f>
        <v>#N/A</v>
      </c>
    </row>
    <row r="10817" ht="22.5" customHeight="1">
      <c r="A10817" s="49"/>
      <c r="C10817" s="400"/>
      <c r="D10817" s="524"/>
      <c r="E10817" s="544"/>
      <c r="F10817" s="387"/>
      <c r="G10817" s="140"/>
      <c r="H10817" s="74"/>
      <c r="I10817" s="74">
        <f t="shared" si="7"/>
        <v>0</v>
      </c>
      <c r="J10817" s="74" t="str">
        <f>IF(E10817="SERVICE",I10817-(I10817*50%),Vlookup(E10817,DATABASE!C:Q,10,false)*F10817)</f>
        <v>#N/A</v>
      </c>
      <c r="K10817" s="74" t="str">
        <f>VLOOKUP(E10817,DATABASE!C:Q,7,false)</f>
        <v>#N/A</v>
      </c>
      <c r="L10817" s="74"/>
      <c r="M10817" s="74">
        <f t="shared" si="6"/>
        <v>0</v>
      </c>
      <c r="N10817" s="74" t="str">
        <f t="shared" si="9"/>
        <v>#N/A</v>
      </c>
      <c r="O10817" s="65" t="str">
        <f>VLOOKUP(E10817,DATABASE!C:Q,8,false)</f>
        <v>#N/A</v>
      </c>
      <c r="P10817" s="65" t="str">
        <f>VLOOKUP(E10817,DATABASE!C:Q,9,False)</f>
        <v>#N/A</v>
      </c>
      <c r="Q10817" s="93" t="str">
        <f>VLOOKUP(E10817,DATABASE!C:Q,4,false)</f>
        <v>#N/A</v>
      </c>
      <c r="R10817" s="93" t="str">
        <f>VLOOKUP(E10817,DATABASE!C:Q,11,false)</f>
        <v>#N/A</v>
      </c>
    </row>
    <row r="10818" ht="22.5" customHeight="1">
      <c r="A10818" s="49"/>
      <c r="C10818" s="400"/>
      <c r="D10818" s="524"/>
      <c r="E10818" s="544"/>
      <c r="F10818" s="387"/>
      <c r="G10818" s="140"/>
      <c r="H10818" s="74"/>
      <c r="I10818" s="74">
        <f t="shared" si="7"/>
        <v>0</v>
      </c>
      <c r="J10818" s="74" t="str">
        <f>IF(E10818="SERVICE",I10818-(I10818*50%),Vlookup(E10818,DATABASE!C:Q,10,false)*F10818)</f>
        <v>#N/A</v>
      </c>
      <c r="K10818" s="74" t="str">
        <f>VLOOKUP(E10818,DATABASE!C:Q,7,false)</f>
        <v>#N/A</v>
      </c>
      <c r="L10818" s="74"/>
      <c r="M10818" s="74">
        <f t="shared" si="6"/>
        <v>0</v>
      </c>
      <c r="N10818" s="74" t="str">
        <f t="shared" si="9"/>
        <v>#N/A</v>
      </c>
      <c r="O10818" s="65" t="str">
        <f>VLOOKUP(E10818,DATABASE!C:Q,8,false)</f>
        <v>#N/A</v>
      </c>
      <c r="P10818" s="65" t="str">
        <f>VLOOKUP(E10818,DATABASE!C:Q,9,False)</f>
        <v>#N/A</v>
      </c>
      <c r="Q10818" s="93" t="str">
        <f>VLOOKUP(E10818,DATABASE!C:Q,4,false)</f>
        <v>#N/A</v>
      </c>
      <c r="R10818" s="93" t="str">
        <f>VLOOKUP(E10818,DATABASE!C:Q,11,false)</f>
        <v>#N/A</v>
      </c>
    </row>
    <row r="10819" ht="22.5" customHeight="1">
      <c r="A10819" s="49"/>
      <c r="C10819" s="400"/>
      <c r="D10819" s="524"/>
      <c r="E10819" s="544"/>
      <c r="F10819" s="387"/>
      <c r="G10819" s="140"/>
      <c r="H10819" s="74"/>
      <c r="I10819" s="74">
        <f t="shared" si="7"/>
        <v>0</v>
      </c>
      <c r="J10819" s="74" t="str">
        <f>IF(E10819="SERVICE",I10819-(I10819*50%),Vlookup(E10819,DATABASE!C:Q,10,false)*F10819)</f>
        <v>#N/A</v>
      </c>
      <c r="K10819" s="74" t="str">
        <f>VLOOKUP(E10819,DATABASE!C:Q,7,false)</f>
        <v>#N/A</v>
      </c>
      <c r="L10819" s="74"/>
      <c r="M10819" s="74">
        <f t="shared" si="6"/>
        <v>0</v>
      </c>
      <c r="N10819" s="74" t="str">
        <f t="shared" si="9"/>
        <v>#N/A</v>
      </c>
      <c r="O10819" s="65" t="str">
        <f>VLOOKUP(E10819,DATABASE!C:Q,8,false)</f>
        <v>#N/A</v>
      </c>
      <c r="P10819" s="65" t="str">
        <f>VLOOKUP(E10819,DATABASE!C:Q,9,False)</f>
        <v>#N/A</v>
      </c>
      <c r="Q10819" s="93" t="str">
        <f>VLOOKUP(E10819,DATABASE!C:Q,4,false)</f>
        <v>#N/A</v>
      </c>
      <c r="R10819" s="93" t="str">
        <f>VLOOKUP(E10819,DATABASE!C:Q,11,false)</f>
        <v>#N/A</v>
      </c>
    </row>
    <row r="10820" ht="22.5" customHeight="1">
      <c r="A10820" s="49"/>
      <c r="C10820" s="400"/>
      <c r="D10820" s="524"/>
      <c r="E10820" s="544"/>
      <c r="F10820" s="387"/>
      <c r="G10820" s="140"/>
      <c r="H10820" s="74"/>
      <c r="I10820" s="74">
        <f t="shared" si="7"/>
        <v>0</v>
      </c>
      <c r="J10820" s="74" t="str">
        <f>IF(E10820="SERVICE",I10820-(I10820*50%),Vlookup(E10820,DATABASE!C:Q,10,false)*F10820)</f>
        <v>#N/A</v>
      </c>
      <c r="K10820" s="74" t="str">
        <f>VLOOKUP(E10820,DATABASE!C:Q,7,false)</f>
        <v>#N/A</v>
      </c>
      <c r="L10820" s="74"/>
      <c r="M10820" s="74">
        <f t="shared" si="6"/>
        <v>0</v>
      </c>
      <c r="N10820" s="74" t="str">
        <f t="shared" si="9"/>
        <v>#N/A</v>
      </c>
      <c r="O10820" s="65" t="str">
        <f>VLOOKUP(E10820,DATABASE!C:Q,8,false)</f>
        <v>#N/A</v>
      </c>
      <c r="P10820" s="65" t="str">
        <f>VLOOKUP(E10820,DATABASE!C:Q,9,False)</f>
        <v>#N/A</v>
      </c>
      <c r="Q10820" s="93" t="str">
        <f>VLOOKUP(E10820,DATABASE!C:Q,4,false)</f>
        <v>#N/A</v>
      </c>
      <c r="R10820" s="93" t="str">
        <f>VLOOKUP(E10820,DATABASE!C:Q,11,false)</f>
        <v>#N/A</v>
      </c>
    </row>
    <row r="10821" ht="22.5" customHeight="1">
      <c r="A10821" s="49"/>
      <c r="C10821" s="400"/>
      <c r="D10821" s="524"/>
      <c r="E10821" s="544"/>
      <c r="F10821" s="387"/>
      <c r="G10821" s="140"/>
      <c r="H10821" s="74"/>
      <c r="I10821" s="74">
        <f t="shared" si="7"/>
        <v>0</v>
      </c>
      <c r="J10821" s="74" t="str">
        <f>IF(E10821="SERVICE",I10821-(I10821*50%),Vlookup(E10821,DATABASE!C:Q,10,false)*F10821)</f>
        <v>#N/A</v>
      </c>
      <c r="K10821" s="74" t="str">
        <f>VLOOKUP(E10821,DATABASE!C:Q,7,false)</f>
        <v>#N/A</v>
      </c>
      <c r="L10821" s="74"/>
      <c r="M10821" s="74">
        <f t="shared" si="6"/>
        <v>0</v>
      </c>
      <c r="N10821" s="74" t="str">
        <f t="shared" si="9"/>
        <v>#N/A</v>
      </c>
      <c r="O10821" s="65" t="str">
        <f>VLOOKUP(E10821,DATABASE!C:Q,8,false)</f>
        <v>#N/A</v>
      </c>
      <c r="P10821" s="65" t="str">
        <f>VLOOKUP(E10821,DATABASE!C:Q,9,False)</f>
        <v>#N/A</v>
      </c>
      <c r="Q10821" s="93" t="str">
        <f>VLOOKUP(E10821,DATABASE!C:Q,4,false)</f>
        <v>#N/A</v>
      </c>
      <c r="R10821" s="93" t="str">
        <f>VLOOKUP(E10821,DATABASE!C:Q,11,false)</f>
        <v>#N/A</v>
      </c>
    </row>
    <row r="10822" ht="22.5" customHeight="1">
      <c r="A10822" s="49"/>
      <c r="C10822" s="400"/>
      <c r="D10822" s="524"/>
      <c r="E10822" s="544"/>
      <c r="F10822" s="387"/>
      <c r="G10822" s="140"/>
      <c r="H10822" s="74"/>
      <c r="I10822" s="74">
        <f t="shared" si="7"/>
        <v>0</v>
      </c>
      <c r="J10822" s="74" t="str">
        <f>IF(E10822="SERVICE",I10822-(I10822*50%),Vlookup(E10822,DATABASE!C:Q,10,false)*F10822)</f>
        <v>#N/A</v>
      </c>
      <c r="K10822" s="74" t="str">
        <f>VLOOKUP(E10822,DATABASE!C:Q,7,false)</f>
        <v>#N/A</v>
      </c>
      <c r="L10822" s="74"/>
      <c r="M10822" s="74">
        <f t="shared" si="6"/>
        <v>0</v>
      </c>
      <c r="N10822" s="74" t="str">
        <f t="shared" si="9"/>
        <v>#N/A</v>
      </c>
      <c r="O10822" s="65" t="str">
        <f>VLOOKUP(E10822,DATABASE!C:Q,8,false)</f>
        <v>#N/A</v>
      </c>
      <c r="P10822" s="65" t="str">
        <f>VLOOKUP(E10822,DATABASE!C:Q,9,False)</f>
        <v>#N/A</v>
      </c>
      <c r="Q10822" s="93" t="str">
        <f>VLOOKUP(E10822,DATABASE!C:Q,4,false)</f>
        <v>#N/A</v>
      </c>
      <c r="R10822" s="93" t="str">
        <f>VLOOKUP(E10822,DATABASE!C:Q,11,false)</f>
        <v>#N/A</v>
      </c>
    </row>
    <row r="10823" ht="22.5" customHeight="1">
      <c r="A10823" s="49"/>
      <c r="C10823" s="400"/>
      <c r="D10823" s="524"/>
      <c r="E10823" s="544"/>
      <c r="F10823" s="387"/>
      <c r="G10823" s="140"/>
      <c r="H10823" s="74"/>
      <c r="I10823" s="74">
        <f t="shared" si="7"/>
        <v>0</v>
      </c>
      <c r="J10823" s="74" t="str">
        <f>IF(E10823="SERVICE",I10823-(I10823*50%),Vlookup(E10823,DATABASE!C:Q,10,false)*F10823)</f>
        <v>#N/A</v>
      </c>
      <c r="K10823" s="74" t="str">
        <f>VLOOKUP(E10823,DATABASE!C:Q,7,false)</f>
        <v>#N/A</v>
      </c>
      <c r="L10823" s="74"/>
      <c r="M10823" s="74">
        <f t="shared" si="6"/>
        <v>0</v>
      </c>
      <c r="N10823" s="74" t="str">
        <f t="shared" si="9"/>
        <v>#N/A</v>
      </c>
      <c r="O10823" s="65" t="str">
        <f>VLOOKUP(E10823,DATABASE!C:Q,8,false)</f>
        <v>#N/A</v>
      </c>
      <c r="P10823" s="65" t="str">
        <f>VLOOKUP(E10823,DATABASE!C:Q,9,False)</f>
        <v>#N/A</v>
      </c>
      <c r="Q10823" s="93" t="str">
        <f>VLOOKUP(E10823,DATABASE!C:Q,4,false)</f>
        <v>#N/A</v>
      </c>
      <c r="R10823" s="93" t="str">
        <f>VLOOKUP(E10823,DATABASE!C:Q,11,false)</f>
        <v>#N/A</v>
      </c>
    </row>
    <row r="10824" ht="22.5" customHeight="1">
      <c r="A10824" s="49"/>
      <c r="C10824" s="400"/>
      <c r="D10824" s="524"/>
      <c r="E10824" s="544"/>
      <c r="F10824" s="387"/>
      <c r="G10824" s="140"/>
      <c r="H10824" s="74"/>
      <c r="I10824" s="74">
        <f t="shared" si="7"/>
        <v>0</v>
      </c>
      <c r="J10824" s="74" t="str">
        <f>IF(E10824="SERVICE",I10824-(I10824*50%),Vlookup(E10824,DATABASE!C:Q,10,false)*F10824)</f>
        <v>#N/A</v>
      </c>
      <c r="K10824" s="74" t="str">
        <f>VLOOKUP(E10824,DATABASE!C:Q,7,false)</f>
        <v>#N/A</v>
      </c>
      <c r="L10824" s="74"/>
      <c r="M10824" s="74">
        <f t="shared" si="6"/>
        <v>0</v>
      </c>
      <c r="N10824" s="74" t="str">
        <f t="shared" si="9"/>
        <v>#N/A</v>
      </c>
      <c r="O10824" s="65" t="str">
        <f>VLOOKUP(E10824,DATABASE!C:Q,8,false)</f>
        <v>#N/A</v>
      </c>
      <c r="P10824" s="65" t="str">
        <f>VLOOKUP(E10824,DATABASE!C:Q,9,False)</f>
        <v>#N/A</v>
      </c>
      <c r="Q10824" s="93" t="str">
        <f>VLOOKUP(E10824,DATABASE!C:Q,4,false)</f>
        <v>#N/A</v>
      </c>
      <c r="R10824" s="93" t="str">
        <f>VLOOKUP(E10824,DATABASE!C:Q,11,false)</f>
        <v>#N/A</v>
      </c>
    </row>
    <row r="10825" ht="22.5" customHeight="1">
      <c r="A10825" s="49"/>
      <c r="C10825" s="400"/>
      <c r="D10825" s="524"/>
      <c r="E10825" s="544"/>
      <c r="F10825" s="387"/>
      <c r="G10825" s="140"/>
      <c r="H10825" s="74"/>
      <c r="I10825" s="74">
        <f t="shared" si="7"/>
        <v>0</v>
      </c>
      <c r="J10825" s="74" t="str">
        <f>IF(E10825="SERVICE",I10825-(I10825*50%),Vlookup(E10825,DATABASE!C:Q,10,false)*F10825)</f>
        <v>#N/A</v>
      </c>
      <c r="K10825" s="74" t="str">
        <f>VLOOKUP(E10825,DATABASE!C:Q,7,false)</f>
        <v>#N/A</v>
      </c>
      <c r="L10825" s="74"/>
      <c r="M10825" s="74">
        <f t="shared" si="6"/>
        <v>0</v>
      </c>
      <c r="N10825" s="74" t="str">
        <f t="shared" si="9"/>
        <v>#N/A</v>
      </c>
      <c r="O10825" s="65" t="str">
        <f>VLOOKUP(E10825,DATABASE!C:Q,8,false)</f>
        <v>#N/A</v>
      </c>
      <c r="P10825" s="65" t="str">
        <f>VLOOKUP(E10825,DATABASE!C:Q,9,False)</f>
        <v>#N/A</v>
      </c>
      <c r="Q10825" s="93" t="str">
        <f>VLOOKUP(E10825,DATABASE!C:Q,4,false)</f>
        <v>#N/A</v>
      </c>
      <c r="R10825" s="93" t="str">
        <f>VLOOKUP(E10825,DATABASE!C:Q,11,false)</f>
        <v>#N/A</v>
      </c>
    </row>
    <row r="10826" ht="22.5" customHeight="1">
      <c r="A10826" s="49"/>
      <c r="C10826" s="400"/>
      <c r="D10826" s="524"/>
      <c r="E10826" s="544"/>
      <c r="F10826" s="387"/>
      <c r="G10826" s="140"/>
      <c r="H10826" s="74"/>
      <c r="I10826" s="74">
        <f t="shared" si="7"/>
        <v>0</v>
      </c>
      <c r="J10826" s="74" t="str">
        <f>IF(E10826="SERVICE",I10826-(I10826*50%),Vlookup(E10826,DATABASE!C:Q,10,false)*F10826)</f>
        <v>#N/A</v>
      </c>
      <c r="K10826" s="74" t="str">
        <f>VLOOKUP(E10826,DATABASE!C:Q,7,false)</f>
        <v>#N/A</v>
      </c>
      <c r="L10826" s="74"/>
      <c r="M10826" s="74">
        <f t="shared" si="6"/>
        <v>0</v>
      </c>
      <c r="N10826" s="74" t="str">
        <f t="shared" si="9"/>
        <v>#N/A</v>
      </c>
      <c r="O10826" s="65" t="str">
        <f>VLOOKUP(E10826,DATABASE!C:Q,8,false)</f>
        <v>#N/A</v>
      </c>
      <c r="P10826" s="65" t="str">
        <f>VLOOKUP(E10826,DATABASE!C:Q,9,False)</f>
        <v>#N/A</v>
      </c>
      <c r="Q10826" s="93" t="str">
        <f>VLOOKUP(E10826,DATABASE!C:Q,4,false)</f>
        <v>#N/A</v>
      </c>
      <c r="R10826" s="93" t="str">
        <f>VLOOKUP(E10826,DATABASE!C:Q,11,false)</f>
        <v>#N/A</v>
      </c>
    </row>
    <row r="10827" ht="22.5" customHeight="1">
      <c r="A10827" s="49"/>
      <c r="C10827" s="400"/>
      <c r="D10827" s="524"/>
      <c r="E10827" s="544"/>
      <c r="F10827" s="387"/>
      <c r="G10827" s="140"/>
      <c r="H10827" s="74"/>
      <c r="I10827" s="74">
        <f t="shared" si="7"/>
        <v>0</v>
      </c>
      <c r="J10827" s="74" t="str">
        <f>IF(E10827="SERVICE",I10827-(I10827*50%),Vlookup(E10827,DATABASE!C:Q,10,false)*F10827)</f>
        <v>#N/A</v>
      </c>
      <c r="K10827" s="74" t="str">
        <f>VLOOKUP(E10827,DATABASE!C:Q,7,false)</f>
        <v>#N/A</v>
      </c>
      <c r="L10827" s="74"/>
      <c r="M10827" s="74">
        <f t="shared" si="6"/>
        <v>0</v>
      </c>
      <c r="N10827" s="74" t="str">
        <f t="shared" si="9"/>
        <v>#N/A</v>
      </c>
      <c r="O10827" s="65" t="str">
        <f>VLOOKUP(E10827,DATABASE!C:Q,8,false)</f>
        <v>#N/A</v>
      </c>
      <c r="P10827" s="65" t="str">
        <f>VLOOKUP(E10827,DATABASE!C:Q,9,False)</f>
        <v>#N/A</v>
      </c>
      <c r="Q10827" s="93" t="str">
        <f>VLOOKUP(E10827,DATABASE!C:Q,4,false)</f>
        <v>#N/A</v>
      </c>
      <c r="R10827" s="93" t="str">
        <f>VLOOKUP(E10827,DATABASE!C:Q,11,false)</f>
        <v>#N/A</v>
      </c>
    </row>
    <row r="10828" ht="22.5" customHeight="1">
      <c r="A10828" s="49"/>
      <c r="C10828" s="400"/>
      <c r="D10828" s="524"/>
      <c r="E10828" s="544"/>
      <c r="F10828" s="387"/>
      <c r="G10828" s="140"/>
      <c r="H10828" s="74"/>
      <c r="I10828" s="74">
        <f t="shared" si="7"/>
        <v>0</v>
      </c>
      <c r="J10828" s="74" t="str">
        <f>IF(E10828="SERVICE",I10828-(I10828*50%),Vlookup(E10828,DATABASE!C:Q,10,false)*F10828)</f>
        <v>#N/A</v>
      </c>
      <c r="K10828" s="74" t="str">
        <f>VLOOKUP(E10828,DATABASE!C:Q,7,false)</f>
        <v>#N/A</v>
      </c>
      <c r="L10828" s="74"/>
      <c r="M10828" s="74">
        <f t="shared" si="6"/>
        <v>0</v>
      </c>
      <c r="N10828" s="74" t="str">
        <f t="shared" si="9"/>
        <v>#N/A</v>
      </c>
      <c r="O10828" s="65" t="str">
        <f>VLOOKUP(E10828,DATABASE!C:Q,8,false)</f>
        <v>#N/A</v>
      </c>
      <c r="P10828" s="65" t="str">
        <f>VLOOKUP(E10828,DATABASE!C:Q,9,False)</f>
        <v>#N/A</v>
      </c>
      <c r="Q10828" s="93" t="str">
        <f>VLOOKUP(E10828,DATABASE!C:Q,4,false)</f>
        <v>#N/A</v>
      </c>
      <c r="R10828" s="93" t="str">
        <f>VLOOKUP(E10828,DATABASE!C:Q,11,false)</f>
        <v>#N/A</v>
      </c>
    </row>
    <row r="10829" ht="22.5" customHeight="1">
      <c r="A10829" s="49"/>
      <c r="C10829" s="400"/>
      <c r="D10829" s="524"/>
      <c r="E10829" s="544"/>
      <c r="F10829" s="387"/>
      <c r="G10829" s="140"/>
      <c r="H10829" s="74"/>
      <c r="I10829" s="74">
        <f t="shared" si="7"/>
        <v>0</v>
      </c>
      <c r="J10829" s="74" t="str">
        <f>IF(E10829="SERVICE",I10829-(I10829*50%),Vlookup(E10829,DATABASE!C:Q,10,false)*F10829)</f>
        <v>#N/A</v>
      </c>
      <c r="K10829" s="74" t="str">
        <f>VLOOKUP(E10829,DATABASE!C:Q,7,false)</f>
        <v>#N/A</v>
      </c>
      <c r="L10829" s="74"/>
      <c r="M10829" s="74">
        <f t="shared" si="6"/>
        <v>0</v>
      </c>
      <c r="N10829" s="74" t="str">
        <f t="shared" si="9"/>
        <v>#N/A</v>
      </c>
      <c r="O10829" s="65" t="str">
        <f>VLOOKUP(E10829,DATABASE!C:Q,8,false)</f>
        <v>#N/A</v>
      </c>
      <c r="P10829" s="65" t="str">
        <f>VLOOKUP(E10829,DATABASE!C:Q,9,False)</f>
        <v>#N/A</v>
      </c>
      <c r="Q10829" s="93" t="str">
        <f>VLOOKUP(E10829,DATABASE!C:Q,4,false)</f>
        <v>#N/A</v>
      </c>
      <c r="R10829" s="93" t="str">
        <f>VLOOKUP(E10829,DATABASE!C:Q,11,false)</f>
        <v>#N/A</v>
      </c>
    </row>
    <row r="10830" ht="22.5" customHeight="1">
      <c r="A10830" s="49"/>
      <c r="C10830" s="400"/>
      <c r="D10830" s="524"/>
      <c r="E10830" s="544"/>
      <c r="F10830" s="387"/>
      <c r="G10830" s="140"/>
      <c r="H10830" s="74"/>
      <c r="I10830" s="74">
        <f t="shared" si="7"/>
        <v>0</v>
      </c>
      <c r="J10830" s="74" t="str">
        <f>IF(E10830="SERVICE",I10830-(I10830*50%),Vlookup(E10830,DATABASE!C:Q,10,false)*F10830)</f>
        <v>#N/A</v>
      </c>
      <c r="K10830" s="74" t="str">
        <f>VLOOKUP(E10830,DATABASE!C:Q,7,false)</f>
        <v>#N/A</v>
      </c>
      <c r="L10830" s="74"/>
      <c r="M10830" s="74">
        <f t="shared" si="6"/>
        <v>0</v>
      </c>
      <c r="N10830" s="74" t="str">
        <f t="shared" si="9"/>
        <v>#N/A</v>
      </c>
      <c r="O10830" s="65" t="str">
        <f>VLOOKUP(E10830,DATABASE!C:Q,8,false)</f>
        <v>#N/A</v>
      </c>
      <c r="P10830" s="65" t="str">
        <f>VLOOKUP(E10830,DATABASE!C:Q,9,False)</f>
        <v>#N/A</v>
      </c>
      <c r="Q10830" s="93" t="str">
        <f>VLOOKUP(E10830,DATABASE!C:Q,4,false)</f>
        <v>#N/A</v>
      </c>
      <c r="R10830" s="93" t="str">
        <f>VLOOKUP(E10830,DATABASE!C:Q,11,false)</f>
        <v>#N/A</v>
      </c>
    </row>
    <row r="10831" ht="22.5" customHeight="1">
      <c r="A10831" s="49"/>
      <c r="C10831" s="400"/>
      <c r="D10831" s="524"/>
      <c r="E10831" s="544"/>
      <c r="F10831" s="387"/>
      <c r="G10831" s="140"/>
      <c r="H10831" s="74"/>
      <c r="I10831" s="74">
        <f t="shared" si="7"/>
        <v>0</v>
      </c>
      <c r="J10831" s="74" t="str">
        <f>IF(E10831="SERVICE",I10831-(I10831*50%),Vlookup(E10831,DATABASE!C:Q,10,false)*F10831)</f>
        <v>#N/A</v>
      </c>
      <c r="K10831" s="74" t="str">
        <f>VLOOKUP(E10831,DATABASE!C:Q,7,false)</f>
        <v>#N/A</v>
      </c>
      <c r="L10831" s="74"/>
      <c r="M10831" s="74">
        <f t="shared" si="6"/>
        <v>0</v>
      </c>
      <c r="N10831" s="74" t="str">
        <f t="shared" si="9"/>
        <v>#N/A</v>
      </c>
      <c r="O10831" s="65" t="str">
        <f>VLOOKUP(E10831,DATABASE!C:Q,8,false)</f>
        <v>#N/A</v>
      </c>
      <c r="P10831" s="65" t="str">
        <f>VLOOKUP(E10831,DATABASE!C:Q,9,False)</f>
        <v>#N/A</v>
      </c>
      <c r="Q10831" s="93" t="str">
        <f>VLOOKUP(E10831,DATABASE!C:Q,4,false)</f>
        <v>#N/A</v>
      </c>
      <c r="R10831" s="93" t="str">
        <f>VLOOKUP(E10831,DATABASE!C:Q,11,false)</f>
        <v>#N/A</v>
      </c>
    </row>
    <row r="10832" ht="22.5" customHeight="1">
      <c r="A10832" s="49"/>
      <c r="C10832" s="400"/>
      <c r="D10832" s="524"/>
      <c r="E10832" s="544"/>
      <c r="F10832" s="387"/>
      <c r="G10832" s="140"/>
      <c r="H10832" s="74"/>
      <c r="I10832" s="74">
        <f t="shared" si="7"/>
        <v>0</v>
      </c>
      <c r="J10832" s="74" t="str">
        <f>IF(E10832="SERVICE",I10832-(I10832*50%),Vlookup(E10832,DATABASE!C:Q,10,false)*F10832)</f>
        <v>#N/A</v>
      </c>
      <c r="K10832" s="74" t="str">
        <f>VLOOKUP(E10832,DATABASE!C:Q,7,false)</f>
        <v>#N/A</v>
      </c>
      <c r="L10832" s="74"/>
      <c r="M10832" s="74">
        <f t="shared" si="6"/>
        <v>0</v>
      </c>
      <c r="N10832" s="74" t="str">
        <f t="shared" si="9"/>
        <v>#N/A</v>
      </c>
      <c r="O10832" s="65" t="str">
        <f>VLOOKUP(E10832,DATABASE!C:Q,8,false)</f>
        <v>#N/A</v>
      </c>
      <c r="P10832" s="65" t="str">
        <f>VLOOKUP(E10832,DATABASE!C:Q,9,False)</f>
        <v>#N/A</v>
      </c>
      <c r="Q10832" s="93" t="str">
        <f>VLOOKUP(E10832,DATABASE!C:Q,4,false)</f>
        <v>#N/A</v>
      </c>
      <c r="R10832" s="93" t="str">
        <f>VLOOKUP(E10832,DATABASE!C:Q,11,false)</f>
        <v>#N/A</v>
      </c>
    </row>
    <row r="10833" ht="22.5" customHeight="1">
      <c r="A10833" s="49"/>
      <c r="C10833" s="400"/>
      <c r="D10833" s="524"/>
      <c r="E10833" s="544"/>
      <c r="F10833" s="387"/>
      <c r="G10833" s="140"/>
      <c r="H10833" s="74"/>
      <c r="I10833" s="74">
        <f t="shared" si="7"/>
        <v>0</v>
      </c>
      <c r="J10833" s="74" t="str">
        <f>IF(E10833="SERVICE",I10833-(I10833*50%),Vlookup(E10833,DATABASE!C:Q,10,false)*F10833)</f>
        <v>#N/A</v>
      </c>
      <c r="K10833" s="74" t="str">
        <f>VLOOKUP(E10833,DATABASE!C:Q,7,false)</f>
        <v>#N/A</v>
      </c>
      <c r="L10833" s="74"/>
      <c r="M10833" s="74">
        <f t="shared" si="6"/>
        <v>0</v>
      </c>
      <c r="N10833" s="74" t="str">
        <f t="shared" si="9"/>
        <v>#N/A</v>
      </c>
      <c r="O10833" s="65" t="str">
        <f>VLOOKUP(E10833,DATABASE!C:Q,8,false)</f>
        <v>#N/A</v>
      </c>
      <c r="P10833" s="65" t="str">
        <f>VLOOKUP(E10833,DATABASE!C:Q,9,False)</f>
        <v>#N/A</v>
      </c>
      <c r="Q10833" s="93" t="str">
        <f>VLOOKUP(E10833,DATABASE!C:Q,4,false)</f>
        <v>#N/A</v>
      </c>
      <c r="R10833" s="93" t="str">
        <f>VLOOKUP(E10833,DATABASE!C:Q,11,false)</f>
        <v>#N/A</v>
      </c>
    </row>
    <row r="10834" ht="22.5" customHeight="1">
      <c r="A10834" s="49"/>
      <c r="C10834" s="400"/>
      <c r="D10834" s="524"/>
      <c r="E10834" s="544"/>
      <c r="F10834" s="387"/>
      <c r="G10834" s="140"/>
      <c r="H10834" s="74"/>
      <c r="I10834" s="74">
        <f t="shared" si="7"/>
        <v>0</v>
      </c>
      <c r="J10834" s="74" t="str">
        <f>IF(E10834="SERVICE",I10834-(I10834*50%),Vlookup(E10834,DATABASE!C:Q,10,false)*F10834)</f>
        <v>#N/A</v>
      </c>
      <c r="K10834" s="74" t="str">
        <f>VLOOKUP(E10834,DATABASE!C:Q,7,false)</f>
        <v>#N/A</v>
      </c>
      <c r="L10834" s="74"/>
      <c r="M10834" s="74">
        <f t="shared" si="6"/>
        <v>0</v>
      </c>
      <c r="N10834" s="74" t="str">
        <f t="shared" si="9"/>
        <v>#N/A</v>
      </c>
      <c r="O10834" s="65" t="str">
        <f>VLOOKUP(E10834,DATABASE!C:Q,8,false)</f>
        <v>#N/A</v>
      </c>
      <c r="P10834" s="65" t="str">
        <f>VLOOKUP(E10834,DATABASE!C:Q,9,False)</f>
        <v>#N/A</v>
      </c>
      <c r="Q10834" s="93" t="str">
        <f>VLOOKUP(E10834,DATABASE!C:Q,4,false)</f>
        <v>#N/A</v>
      </c>
      <c r="R10834" s="93" t="str">
        <f>VLOOKUP(E10834,DATABASE!C:Q,11,false)</f>
        <v>#N/A</v>
      </c>
    </row>
    <row r="10835" ht="22.5" customHeight="1">
      <c r="A10835" s="49"/>
      <c r="C10835" s="400"/>
      <c r="D10835" s="524"/>
      <c r="E10835" s="544"/>
      <c r="F10835" s="387"/>
      <c r="G10835" s="140"/>
      <c r="H10835" s="74"/>
      <c r="I10835" s="74">
        <f t="shared" si="7"/>
        <v>0</v>
      </c>
      <c r="J10835" s="74" t="str">
        <f>IF(E10835="SERVICE",I10835-(I10835*50%),Vlookup(E10835,DATABASE!C:Q,10,false)*F10835)</f>
        <v>#N/A</v>
      </c>
      <c r="K10835" s="74" t="str">
        <f>VLOOKUP(E10835,DATABASE!C:Q,7,false)</f>
        <v>#N/A</v>
      </c>
      <c r="L10835" s="74"/>
      <c r="M10835" s="74">
        <f t="shared" si="6"/>
        <v>0</v>
      </c>
      <c r="N10835" s="74" t="str">
        <f t="shared" si="9"/>
        <v>#N/A</v>
      </c>
      <c r="O10835" s="65" t="str">
        <f>VLOOKUP(E10835,DATABASE!C:Q,8,false)</f>
        <v>#N/A</v>
      </c>
      <c r="P10835" s="65" t="str">
        <f>VLOOKUP(E10835,DATABASE!C:Q,9,False)</f>
        <v>#N/A</v>
      </c>
      <c r="Q10835" s="93" t="str">
        <f>VLOOKUP(E10835,DATABASE!C:Q,4,false)</f>
        <v>#N/A</v>
      </c>
      <c r="R10835" s="93" t="str">
        <f>VLOOKUP(E10835,DATABASE!C:Q,11,false)</f>
        <v>#N/A</v>
      </c>
    </row>
    <row r="10836" ht="22.5" customHeight="1">
      <c r="A10836" s="49"/>
      <c r="C10836" s="400"/>
      <c r="D10836" s="524"/>
      <c r="E10836" s="544"/>
      <c r="F10836" s="387"/>
      <c r="G10836" s="140"/>
      <c r="H10836" s="74"/>
      <c r="I10836" s="74">
        <f t="shared" si="7"/>
        <v>0</v>
      </c>
      <c r="J10836" s="74" t="str">
        <f>IF(E10836="SERVICE",I10836-(I10836*50%),Vlookup(E10836,DATABASE!C:Q,10,false)*F10836)</f>
        <v>#N/A</v>
      </c>
      <c r="K10836" s="74" t="str">
        <f>VLOOKUP(E10836,DATABASE!C:Q,7,false)</f>
        <v>#N/A</v>
      </c>
      <c r="L10836" s="74"/>
      <c r="M10836" s="74">
        <f t="shared" si="6"/>
        <v>0</v>
      </c>
      <c r="N10836" s="74" t="str">
        <f t="shared" si="9"/>
        <v>#N/A</v>
      </c>
      <c r="O10836" s="65" t="str">
        <f>VLOOKUP(E10836,DATABASE!C:Q,8,false)</f>
        <v>#N/A</v>
      </c>
      <c r="P10836" s="65" t="str">
        <f>VLOOKUP(E10836,DATABASE!C:Q,9,False)</f>
        <v>#N/A</v>
      </c>
      <c r="Q10836" s="93" t="str">
        <f>VLOOKUP(E10836,DATABASE!C:Q,4,false)</f>
        <v>#N/A</v>
      </c>
      <c r="R10836" s="93" t="str">
        <f>VLOOKUP(E10836,DATABASE!C:Q,11,false)</f>
        <v>#N/A</v>
      </c>
    </row>
    <row r="10837" ht="22.5" customHeight="1">
      <c r="A10837" s="49"/>
      <c r="C10837" s="400"/>
      <c r="D10837" s="524"/>
      <c r="E10837" s="544"/>
      <c r="F10837" s="387"/>
      <c r="G10837" s="140"/>
      <c r="H10837" s="74"/>
      <c r="I10837" s="74">
        <f t="shared" si="7"/>
        <v>0</v>
      </c>
      <c r="J10837" s="74" t="str">
        <f>IF(E10837="SERVICE",I10837-(I10837*50%),Vlookup(E10837,DATABASE!C:Q,10,false)*F10837)</f>
        <v>#N/A</v>
      </c>
      <c r="K10837" s="74" t="str">
        <f>VLOOKUP(E10837,DATABASE!C:Q,7,false)</f>
        <v>#N/A</v>
      </c>
      <c r="L10837" s="74"/>
      <c r="M10837" s="74">
        <f t="shared" si="6"/>
        <v>0</v>
      </c>
      <c r="N10837" s="74" t="str">
        <f t="shared" si="9"/>
        <v>#N/A</v>
      </c>
      <c r="O10837" s="65" t="str">
        <f>VLOOKUP(E10837,DATABASE!C:Q,8,false)</f>
        <v>#N/A</v>
      </c>
      <c r="P10837" s="65" t="str">
        <f>VLOOKUP(E10837,DATABASE!C:Q,9,False)</f>
        <v>#N/A</v>
      </c>
      <c r="Q10837" s="93" t="str">
        <f>VLOOKUP(E10837,DATABASE!C:Q,4,false)</f>
        <v>#N/A</v>
      </c>
      <c r="R10837" s="93" t="str">
        <f>VLOOKUP(E10837,DATABASE!C:Q,11,false)</f>
        <v>#N/A</v>
      </c>
    </row>
    <row r="10838" ht="22.5" customHeight="1">
      <c r="A10838" s="49"/>
      <c r="C10838" s="400"/>
      <c r="D10838" s="524"/>
      <c r="E10838" s="544"/>
      <c r="F10838" s="387"/>
      <c r="G10838" s="140"/>
      <c r="H10838" s="74"/>
      <c r="I10838" s="74">
        <f t="shared" si="7"/>
        <v>0</v>
      </c>
      <c r="J10838" s="74" t="str">
        <f>IF(E10838="SERVICE",I10838-(I10838*50%),Vlookup(E10838,DATABASE!C:Q,10,false)*F10838)</f>
        <v>#N/A</v>
      </c>
      <c r="K10838" s="74" t="str">
        <f>VLOOKUP(E10838,DATABASE!C:Q,7,false)</f>
        <v>#N/A</v>
      </c>
      <c r="L10838" s="74"/>
      <c r="M10838" s="74">
        <f t="shared" si="6"/>
        <v>0</v>
      </c>
      <c r="N10838" s="74" t="str">
        <f t="shared" si="9"/>
        <v>#N/A</v>
      </c>
      <c r="O10838" s="65" t="str">
        <f>VLOOKUP(E10838,DATABASE!C:Q,8,false)</f>
        <v>#N/A</v>
      </c>
      <c r="P10838" s="65" t="str">
        <f>VLOOKUP(E10838,DATABASE!C:Q,9,False)</f>
        <v>#N/A</v>
      </c>
      <c r="Q10838" s="93" t="str">
        <f>VLOOKUP(E10838,DATABASE!C:Q,4,false)</f>
        <v>#N/A</v>
      </c>
      <c r="R10838" s="93" t="str">
        <f>VLOOKUP(E10838,DATABASE!C:Q,11,false)</f>
        <v>#N/A</v>
      </c>
    </row>
    <row r="10839" ht="22.5" customHeight="1">
      <c r="A10839" s="49"/>
      <c r="C10839" s="400"/>
      <c r="D10839" s="524"/>
      <c r="E10839" s="544"/>
      <c r="F10839" s="387"/>
      <c r="G10839" s="140"/>
      <c r="H10839" s="74"/>
      <c r="I10839" s="74">
        <f t="shared" si="7"/>
        <v>0</v>
      </c>
      <c r="J10839" s="74" t="str">
        <f>IF(E10839="SERVICE",I10839-(I10839*50%),Vlookup(E10839,DATABASE!C:Q,10,false)*F10839)</f>
        <v>#N/A</v>
      </c>
      <c r="K10839" s="74" t="str">
        <f>VLOOKUP(E10839,DATABASE!C:Q,7,false)</f>
        <v>#N/A</v>
      </c>
      <c r="L10839" s="74"/>
      <c r="M10839" s="74">
        <f t="shared" si="6"/>
        <v>0</v>
      </c>
      <c r="N10839" s="74" t="str">
        <f t="shared" si="9"/>
        <v>#N/A</v>
      </c>
      <c r="O10839" s="65" t="str">
        <f>VLOOKUP(E10839,DATABASE!C:Q,8,false)</f>
        <v>#N/A</v>
      </c>
      <c r="P10839" s="65" t="str">
        <f>VLOOKUP(E10839,DATABASE!C:Q,9,False)</f>
        <v>#N/A</v>
      </c>
      <c r="Q10839" s="93" t="str">
        <f>VLOOKUP(E10839,DATABASE!C:Q,4,false)</f>
        <v>#N/A</v>
      </c>
      <c r="R10839" s="93" t="str">
        <f>VLOOKUP(E10839,DATABASE!C:Q,11,false)</f>
        <v>#N/A</v>
      </c>
    </row>
    <row r="10840" ht="22.5" customHeight="1">
      <c r="A10840" s="49"/>
      <c r="C10840" s="400"/>
      <c r="D10840" s="524"/>
      <c r="E10840" s="544"/>
      <c r="F10840" s="387"/>
      <c r="G10840" s="140"/>
      <c r="H10840" s="74"/>
      <c r="I10840" s="74">
        <f t="shared" si="7"/>
        <v>0</v>
      </c>
      <c r="J10840" s="74" t="str">
        <f>IF(E10840="SERVICE",I10840-(I10840*50%),Vlookup(E10840,DATABASE!C:Q,10,false)*F10840)</f>
        <v>#N/A</v>
      </c>
      <c r="K10840" s="74" t="str">
        <f>VLOOKUP(E10840,DATABASE!C:Q,7,false)</f>
        <v>#N/A</v>
      </c>
      <c r="L10840" s="74"/>
      <c r="M10840" s="74">
        <f t="shared" si="6"/>
        <v>0</v>
      </c>
      <c r="N10840" s="74" t="str">
        <f t="shared" si="9"/>
        <v>#N/A</v>
      </c>
      <c r="O10840" s="65" t="str">
        <f>VLOOKUP(E10840,DATABASE!C:Q,8,false)</f>
        <v>#N/A</v>
      </c>
      <c r="P10840" s="65" t="str">
        <f>VLOOKUP(E10840,DATABASE!C:Q,9,False)</f>
        <v>#N/A</v>
      </c>
      <c r="Q10840" s="93" t="str">
        <f>VLOOKUP(E10840,DATABASE!C:Q,4,false)</f>
        <v>#N/A</v>
      </c>
      <c r="R10840" s="93" t="str">
        <f>VLOOKUP(E10840,DATABASE!C:Q,11,false)</f>
        <v>#N/A</v>
      </c>
    </row>
    <row r="10841" ht="22.5" customHeight="1">
      <c r="A10841" s="49"/>
      <c r="C10841" s="400"/>
      <c r="D10841" s="524"/>
      <c r="E10841" s="544"/>
      <c r="F10841" s="387"/>
      <c r="G10841" s="140"/>
      <c r="H10841" s="74"/>
      <c r="I10841" s="74">
        <f t="shared" si="7"/>
        <v>0</v>
      </c>
      <c r="J10841" s="74" t="str">
        <f>IF(E10841="SERVICE",I10841-(I10841*50%),Vlookup(E10841,DATABASE!C:Q,10,false)*F10841)</f>
        <v>#N/A</v>
      </c>
      <c r="K10841" s="74" t="str">
        <f>VLOOKUP(E10841,DATABASE!C:Q,7,false)</f>
        <v>#N/A</v>
      </c>
      <c r="L10841" s="74"/>
      <c r="M10841" s="74">
        <f t="shared" si="6"/>
        <v>0</v>
      </c>
      <c r="N10841" s="74" t="str">
        <f t="shared" si="9"/>
        <v>#N/A</v>
      </c>
      <c r="O10841" s="65" t="str">
        <f>VLOOKUP(E10841,DATABASE!C:Q,8,false)</f>
        <v>#N/A</v>
      </c>
      <c r="P10841" s="65" t="str">
        <f>VLOOKUP(E10841,DATABASE!C:Q,9,False)</f>
        <v>#N/A</v>
      </c>
      <c r="Q10841" s="93" t="str">
        <f>VLOOKUP(E10841,DATABASE!C:Q,4,false)</f>
        <v>#N/A</v>
      </c>
      <c r="R10841" s="93" t="str">
        <f>VLOOKUP(E10841,DATABASE!C:Q,11,false)</f>
        <v>#N/A</v>
      </c>
    </row>
    <row r="10842" ht="22.5" customHeight="1">
      <c r="A10842" s="49"/>
      <c r="C10842" s="400"/>
      <c r="D10842" s="524"/>
      <c r="E10842" s="544"/>
      <c r="F10842" s="387"/>
      <c r="G10842" s="140"/>
      <c r="H10842" s="74"/>
      <c r="I10842" s="74">
        <f t="shared" si="7"/>
        <v>0</v>
      </c>
      <c r="J10842" s="74" t="str">
        <f>IF(E10842="SERVICE",I10842-(I10842*50%),Vlookup(E10842,DATABASE!C:Q,10,false)*F10842)</f>
        <v>#N/A</v>
      </c>
      <c r="K10842" s="74" t="str">
        <f>VLOOKUP(E10842,DATABASE!C:Q,7,false)</f>
        <v>#N/A</v>
      </c>
      <c r="L10842" s="74"/>
      <c r="M10842" s="74">
        <f t="shared" si="6"/>
        <v>0</v>
      </c>
      <c r="N10842" s="74" t="str">
        <f t="shared" si="9"/>
        <v>#N/A</v>
      </c>
      <c r="O10842" s="65" t="str">
        <f>VLOOKUP(E10842,DATABASE!C:Q,8,false)</f>
        <v>#N/A</v>
      </c>
      <c r="P10842" s="65" t="str">
        <f>VLOOKUP(E10842,DATABASE!C:Q,9,False)</f>
        <v>#N/A</v>
      </c>
      <c r="Q10842" s="93" t="str">
        <f>VLOOKUP(E10842,DATABASE!C:Q,4,false)</f>
        <v>#N/A</v>
      </c>
      <c r="R10842" s="93" t="str">
        <f>VLOOKUP(E10842,DATABASE!C:Q,11,false)</f>
        <v>#N/A</v>
      </c>
    </row>
    <row r="10843" ht="22.5" customHeight="1">
      <c r="A10843" s="49"/>
      <c r="C10843" s="400"/>
      <c r="D10843" s="524"/>
      <c r="E10843" s="544"/>
      <c r="F10843" s="387"/>
      <c r="G10843" s="140"/>
      <c r="H10843" s="74"/>
      <c r="I10843" s="74">
        <f t="shared" si="7"/>
        <v>0</v>
      </c>
      <c r="J10843" s="74" t="str">
        <f>IF(E10843="SERVICE",I10843-(I10843*50%),Vlookup(E10843,DATABASE!C:Q,10,false)*F10843)</f>
        <v>#N/A</v>
      </c>
      <c r="K10843" s="74" t="str">
        <f>VLOOKUP(E10843,DATABASE!C:Q,7,false)</f>
        <v>#N/A</v>
      </c>
      <c r="L10843" s="74"/>
      <c r="M10843" s="74">
        <f t="shared" si="6"/>
        <v>0</v>
      </c>
      <c r="N10843" s="74" t="str">
        <f t="shared" si="9"/>
        <v>#N/A</v>
      </c>
      <c r="O10843" s="65" t="str">
        <f>VLOOKUP(E10843,DATABASE!C:Q,8,false)</f>
        <v>#N/A</v>
      </c>
      <c r="P10843" s="65" t="str">
        <f>VLOOKUP(E10843,DATABASE!C:Q,9,False)</f>
        <v>#N/A</v>
      </c>
      <c r="Q10843" s="93" t="str">
        <f>VLOOKUP(E10843,DATABASE!C:Q,4,false)</f>
        <v>#N/A</v>
      </c>
      <c r="R10843" s="93" t="str">
        <f>VLOOKUP(E10843,DATABASE!C:Q,11,false)</f>
        <v>#N/A</v>
      </c>
    </row>
    <row r="10844" ht="22.5" customHeight="1">
      <c r="A10844" s="49"/>
      <c r="C10844" s="400"/>
      <c r="D10844" s="524"/>
      <c r="E10844" s="544"/>
      <c r="F10844" s="387"/>
      <c r="G10844" s="140"/>
      <c r="H10844" s="74"/>
      <c r="I10844" s="74">
        <f t="shared" si="7"/>
        <v>0</v>
      </c>
      <c r="J10844" s="74" t="str">
        <f>IF(E10844="SERVICE",I10844-(I10844*50%),Vlookup(E10844,DATABASE!C:Q,10,false)*F10844)</f>
        <v>#N/A</v>
      </c>
      <c r="K10844" s="74" t="str">
        <f>VLOOKUP(E10844,DATABASE!C:Q,7,false)</f>
        <v>#N/A</v>
      </c>
      <c r="L10844" s="74"/>
      <c r="M10844" s="74">
        <f t="shared" si="6"/>
        <v>0</v>
      </c>
      <c r="N10844" s="74" t="str">
        <f t="shared" si="9"/>
        <v>#N/A</v>
      </c>
      <c r="O10844" s="65" t="str">
        <f>VLOOKUP(E10844,DATABASE!C:Q,8,false)</f>
        <v>#N/A</v>
      </c>
      <c r="P10844" s="65" t="str">
        <f>VLOOKUP(E10844,DATABASE!C:Q,9,False)</f>
        <v>#N/A</v>
      </c>
      <c r="Q10844" s="93" t="str">
        <f>VLOOKUP(E10844,DATABASE!C:Q,4,false)</f>
        <v>#N/A</v>
      </c>
      <c r="R10844" s="93" t="str">
        <f>VLOOKUP(E10844,DATABASE!C:Q,11,false)</f>
        <v>#N/A</v>
      </c>
    </row>
    <row r="10845" ht="22.5" customHeight="1">
      <c r="A10845" s="49"/>
      <c r="C10845" s="400"/>
      <c r="D10845" s="524"/>
      <c r="E10845" s="544"/>
      <c r="F10845" s="387"/>
      <c r="G10845" s="140"/>
      <c r="H10845" s="74"/>
      <c r="I10845" s="74">
        <f t="shared" si="7"/>
        <v>0</v>
      </c>
      <c r="J10845" s="74" t="str">
        <f>IF(E10845="SERVICE",I10845-(I10845*50%),Vlookup(E10845,DATABASE!C:Q,10,false)*F10845)</f>
        <v>#N/A</v>
      </c>
      <c r="K10845" s="74" t="str">
        <f>VLOOKUP(E10845,DATABASE!C:Q,7,false)</f>
        <v>#N/A</v>
      </c>
      <c r="L10845" s="74"/>
      <c r="M10845" s="74">
        <f t="shared" si="6"/>
        <v>0</v>
      </c>
      <c r="N10845" s="74" t="str">
        <f t="shared" si="9"/>
        <v>#N/A</v>
      </c>
      <c r="O10845" s="65" t="str">
        <f>VLOOKUP(E10845,DATABASE!C:Q,8,false)</f>
        <v>#N/A</v>
      </c>
      <c r="P10845" s="65" t="str">
        <f>VLOOKUP(E10845,DATABASE!C:Q,9,False)</f>
        <v>#N/A</v>
      </c>
      <c r="Q10845" s="93" t="str">
        <f>VLOOKUP(E10845,DATABASE!C:Q,4,false)</f>
        <v>#N/A</v>
      </c>
      <c r="R10845" s="93" t="str">
        <f>VLOOKUP(E10845,DATABASE!C:Q,11,false)</f>
        <v>#N/A</v>
      </c>
    </row>
    <row r="10846" ht="22.5" customHeight="1">
      <c r="A10846" s="49"/>
      <c r="C10846" s="400"/>
      <c r="D10846" s="524"/>
      <c r="E10846" s="544"/>
      <c r="F10846" s="387"/>
      <c r="G10846" s="140"/>
      <c r="H10846" s="74"/>
      <c r="I10846" s="74">
        <f t="shared" si="7"/>
        <v>0</v>
      </c>
      <c r="J10846" s="74" t="str">
        <f>IF(E10846="SERVICE",I10846-(I10846*50%),Vlookup(E10846,DATABASE!C:Q,10,false)*F10846)</f>
        <v>#N/A</v>
      </c>
      <c r="K10846" s="74" t="str">
        <f>VLOOKUP(E10846,DATABASE!C:Q,7,false)</f>
        <v>#N/A</v>
      </c>
      <c r="L10846" s="74"/>
      <c r="M10846" s="74">
        <f t="shared" si="6"/>
        <v>0</v>
      </c>
      <c r="N10846" s="74" t="str">
        <f t="shared" si="9"/>
        <v>#N/A</v>
      </c>
      <c r="O10846" s="65" t="str">
        <f>VLOOKUP(E10846,DATABASE!C:Q,8,false)</f>
        <v>#N/A</v>
      </c>
      <c r="P10846" s="65" t="str">
        <f>VLOOKUP(E10846,DATABASE!C:Q,9,False)</f>
        <v>#N/A</v>
      </c>
      <c r="Q10846" s="93" t="str">
        <f>VLOOKUP(E10846,DATABASE!C:Q,4,false)</f>
        <v>#N/A</v>
      </c>
      <c r="R10846" s="93" t="str">
        <f>VLOOKUP(E10846,DATABASE!C:Q,11,false)</f>
        <v>#N/A</v>
      </c>
    </row>
    <row r="10847" ht="22.5" customHeight="1">
      <c r="A10847" s="49"/>
      <c r="C10847" s="400"/>
      <c r="D10847" s="524"/>
      <c r="E10847" s="544"/>
      <c r="F10847" s="387"/>
      <c r="G10847" s="140"/>
      <c r="H10847" s="74"/>
      <c r="I10847" s="74">
        <f t="shared" si="7"/>
        <v>0</v>
      </c>
      <c r="J10847" s="74" t="str">
        <f>IF(E10847="SERVICE",I10847-(I10847*50%),Vlookup(E10847,DATABASE!C:Q,10,false)*F10847)</f>
        <v>#N/A</v>
      </c>
      <c r="K10847" s="74" t="str">
        <f>VLOOKUP(E10847,DATABASE!C:Q,7,false)</f>
        <v>#N/A</v>
      </c>
      <c r="L10847" s="74"/>
      <c r="M10847" s="74">
        <f t="shared" si="6"/>
        <v>0</v>
      </c>
      <c r="N10847" s="74" t="str">
        <f t="shared" si="9"/>
        <v>#N/A</v>
      </c>
      <c r="O10847" s="65" t="str">
        <f>VLOOKUP(E10847,DATABASE!C:Q,8,false)</f>
        <v>#N/A</v>
      </c>
      <c r="P10847" s="65" t="str">
        <f>VLOOKUP(E10847,DATABASE!C:Q,9,False)</f>
        <v>#N/A</v>
      </c>
      <c r="Q10847" s="93" t="str">
        <f>VLOOKUP(E10847,DATABASE!C:Q,4,false)</f>
        <v>#N/A</v>
      </c>
      <c r="R10847" s="93" t="str">
        <f>VLOOKUP(E10847,DATABASE!C:Q,11,false)</f>
        <v>#N/A</v>
      </c>
    </row>
    <row r="10848" ht="22.5" customHeight="1">
      <c r="A10848" s="49"/>
      <c r="C10848" s="400"/>
      <c r="D10848" s="524"/>
      <c r="E10848" s="544"/>
      <c r="F10848" s="387"/>
      <c r="G10848" s="140"/>
      <c r="H10848" s="74"/>
      <c r="I10848" s="74">
        <f t="shared" si="7"/>
        <v>0</v>
      </c>
      <c r="J10848" s="74" t="str">
        <f>IF(E10848="SERVICE",I10848-(I10848*50%),Vlookup(E10848,DATABASE!C:Q,10,false)*F10848)</f>
        <v>#N/A</v>
      </c>
      <c r="K10848" s="74" t="str">
        <f>VLOOKUP(E10848,DATABASE!C:Q,7,false)</f>
        <v>#N/A</v>
      </c>
      <c r="L10848" s="74"/>
      <c r="M10848" s="74">
        <f t="shared" si="6"/>
        <v>0</v>
      </c>
      <c r="N10848" s="74" t="str">
        <f t="shared" si="9"/>
        <v>#N/A</v>
      </c>
      <c r="O10848" s="65" t="str">
        <f>VLOOKUP(E10848,DATABASE!C:Q,8,false)</f>
        <v>#N/A</v>
      </c>
      <c r="P10848" s="65" t="str">
        <f>VLOOKUP(E10848,DATABASE!C:Q,9,False)</f>
        <v>#N/A</v>
      </c>
      <c r="Q10848" s="93" t="str">
        <f>VLOOKUP(E10848,DATABASE!C:Q,4,false)</f>
        <v>#N/A</v>
      </c>
      <c r="R10848" s="93" t="str">
        <f>VLOOKUP(E10848,DATABASE!C:Q,11,false)</f>
        <v>#N/A</v>
      </c>
    </row>
    <row r="10849" ht="22.5" customHeight="1">
      <c r="A10849" s="49"/>
      <c r="C10849" s="400"/>
      <c r="D10849" s="524"/>
      <c r="E10849" s="544"/>
      <c r="F10849" s="387"/>
      <c r="G10849" s="140"/>
      <c r="H10849" s="74"/>
      <c r="I10849" s="74">
        <f t="shared" si="7"/>
        <v>0</v>
      </c>
      <c r="J10849" s="74" t="str">
        <f>IF(E10849="SERVICE",I10849-(I10849*50%),Vlookup(E10849,DATABASE!C:Q,10,false)*F10849)</f>
        <v>#N/A</v>
      </c>
      <c r="K10849" s="74" t="str">
        <f>VLOOKUP(E10849,DATABASE!C:Q,7,false)</f>
        <v>#N/A</v>
      </c>
      <c r="L10849" s="74"/>
      <c r="M10849" s="74">
        <f t="shared" si="6"/>
        <v>0</v>
      </c>
      <c r="N10849" s="74" t="str">
        <f t="shared" si="9"/>
        <v>#N/A</v>
      </c>
      <c r="O10849" s="65" t="str">
        <f>VLOOKUP(E10849,DATABASE!C:Q,8,false)</f>
        <v>#N/A</v>
      </c>
      <c r="P10849" s="65" t="str">
        <f>VLOOKUP(E10849,DATABASE!C:Q,9,False)</f>
        <v>#N/A</v>
      </c>
      <c r="Q10849" s="93" t="str">
        <f>VLOOKUP(E10849,DATABASE!C:Q,4,false)</f>
        <v>#N/A</v>
      </c>
      <c r="R10849" s="93" t="str">
        <f>VLOOKUP(E10849,DATABASE!C:Q,11,false)</f>
        <v>#N/A</v>
      </c>
    </row>
    <row r="10850" ht="22.5" customHeight="1">
      <c r="A10850" s="49"/>
      <c r="C10850" s="400"/>
      <c r="D10850" s="524"/>
      <c r="E10850" s="544"/>
      <c r="F10850" s="387"/>
      <c r="G10850" s="140"/>
      <c r="H10850" s="74"/>
      <c r="I10850" s="74">
        <f t="shared" si="7"/>
        <v>0</v>
      </c>
      <c r="J10850" s="74" t="str">
        <f>IF(E10850="SERVICE",I10850-(I10850*50%),Vlookup(E10850,DATABASE!C:Q,10,false)*F10850)</f>
        <v>#N/A</v>
      </c>
      <c r="K10850" s="74" t="str">
        <f>VLOOKUP(E10850,DATABASE!C:Q,7,false)</f>
        <v>#N/A</v>
      </c>
      <c r="L10850" s="74"/>
      <c r="M10850" s="74">
        <f t="shared" si="6"/>
        <v>0</v>
      </c>
      <c r="N10850" s="74" t="str">
        <f t="shared" si="9"/>
        <v>#N/A</v>
      </c>
      <c r="O10850" s="65" t="str">
        <f>VLOOKUP(E10850,DATABASE!C:Q,8,false)</f>
        <v>#N/A</v>
      </c>
      <c r="P10850" s="65" t="str">
        <f>VLOOKUP(E10850,DATABASE!C:Q,9,False)</f>
        <v>#N/A</v>
      </c>
      <c r="Q10850" s="93" t="str">
        <f>VLOOKUP(E10850,DATABASE!C:Q,4,false)</f>
        <v>#N/A</v>
      </c>
      <c r="R10850" s="93" t="str">
        <f>VLOOKUP(E10850,DATABASE!C:Q,11,false)</f>
        <v>#N/A</v>
      </c>
    </row>
    <row r="10851" ht="22.5" customHeight="1">
      <c r="A10851" s="49"/>
      <c r="C10851" s="400"/>
      <c r="D10851" s="524"/>
      <c r="E10851" s="544"/>
      <c r="F10851" s="387"/>
      <c r="G10851" s="140"/>
      <c r="H10851" s="74"/>
      <c r="I10851" s="74">
        <f t="shared" si="7"/>
        <v>0</v>
      </c>
      <c r="J10851" s="74" t="str">
        <f>IF(E10851="SERVICE",I10851-(I10851*50%),Vlookup(E10851,DATABASE!C:Q,10,false)*F10851)</f>
        <v>#N/A</v>
      </c>
      <c r="K10851" s="74" t="str">
        <f>VLOOKUP(E10851,DATABASE!C:Q,7,false)</f>
        <v>#N/A</v>
      </c>
      <c r="L10851" s="74"/>
      <c r="M10851" s="74">
        <f t="shared" si="6"/>
        <v>0</v>
      </c>
      <c r="N10851" s="74" t="str">
        <f t="shared" si="9"/>
        <v>#N/A</v>
      </c>
      <c r="O10851" s="65" t="str">
        <f>VLOOKUP(E10851,DATABASE!C:Q,8,false)</f>
        <v>#N/A</v>
      </c>
      <c r="P10851" s="65" t="str">
        <f>VLOOKUP(E10851,DATABASE!C:Q,9,False)</f>
        <v>#N/A</v>
      </c>
      <c r="Q10851" s="93" t="str">
        <f>VLOOKUP(E10851,DATABASE!C:Q,4,false)</f>
        <v>#N/A</v>
      </c>
      <c r="R10851" s="93" t="str">
        <f>VLOOKUP(E10851,DATABASE!C:Q,11,false)</f>
        <v>#N/A</v>
      </c>
    </row>
    <row r="10852" ht="22.5" customHeight="1">
      <c r="A10852" s="49"/>
      <c r="C10852" s="400"/>
      <c r="D10852" s="524"/>
      <c r="E10852" s="544"/>
      <c r="F10852" s="387"/>
      <c r="G10852" s="140"/>
      <c r="H10852" s="74"/>
      <c r="I10852" s="74">
        <f t="shared" si="7"/>
        <v>0</v>
      </c>
      <c r="J10852" s="74" t="str">
        <f>IF(E10852="SERVICE",I10852-(I10852*50%),Vlookup(E10852,DATABASE!C:Q,10,false)*F10852)</f>
        <v>#N/A</v>
      </c>
      <c r="K10852" s="74" t="str">
        <f>VLOOKUP(E10852,DATABASE!C:Q,7,false)</f>
        <v>#N/A</v>
      </c>
      <c r="L10852" s="74"/>
      <c r="M10852" s="74">
        <f t="shared" si="6"/>
        <v>0</v>
      </c>
      <c r="N10852" s="74" t="str">
        <f t="shared" si="9"/>
        <v>#N/A</v>
      </c>
      <c r="O10852" s="65" t="str">
        <f>VLOOKUP(E10852,DATABASE!C:Q,8,false)</f>
        <v>#N/A</v>
      </c>
      <c r="P10852" s="65" t="str">
        <f>VLOOKUP(E10852,DATABASE!C:Q,9,False)</f>
        <v>#N/A</v>
      </c>
      <c r="Q10852" s="93" t="str">
        <f>VLOOKUP(E10852,DATABASE!C:Q,4,false)</f>
        <v>#N/A</v>
      </c>
      <c r="R10852" s="93" t="str">
        <f>VLOOKUP(E10852,DATABASE!C:Q,11,false)</f>
        <v>#N/A</v>
      </c>
    </row>
    <row r="10853" ht="22.5" customHeight="1">
      <c r="A10853" s="49"/>
      <c r="C10853" s="400"/>
      <c r="D10853" s="524"/>
      <c r="E10853" s="544"/>
      <c r="F10853" s="387"/>
      <c r="G10853" s="140"/>
      <c r="H10853" s="74"/>
      <c r="I10853" s="74">
        <f t="shared" si="7"/>
        <v>0</v>
      </c>
      <c r="J10853" s="74" t="str">
        <f>IF(E10853="SERVICE",I10853-(I10853*50%),Vlookup(E10853,DATABASE!C:Q,10,false)*F10853)</f>
        <v>#N/A</v>
      </c>
      <c r="K10853" s="74" t="str">
        <f>VLOOKUP(E10853,DATABASE!C:Q,7,false)</f>
        <v>#N/A</v>
      </c>
      <c r="L10853" s="74"/>
      <c r="M10853" s="74">
        <f t="shared" si="6"/>
        <v>0</v>
      </c>
      <c r="N10853" s="74" t="str">
        <f t="shared" si="9"/>
        <v>#N/A</v>
      </c>
      <c r="O10853" s="65" t="str">
        <f>VLOOKUP(E10853,DATABASE!C:Q,8,false)</f>
        <v>#N/A</v>
      </c>
      <c r="P10853" s="65" t="str">
        <f>VLOOKUP(E10853,DATABASE!C:Q,9,False)</f>
        <v>#N/A</v>
      </c>
      <c r="Q10853" s="93" t="str">
        <f>VLOOKUP(E10853,DATABASE!C:Q,4,false)</f>
        <v>#N/A</v>
      </c>
      <c r="R10853" s="93" t="str">
        <f>VLOOKUP(E10853,DATABASE!C:Q,11,false)</f>
        <v>#N/A</v>
      </c>
    </row>
    <row r="10854" ht="22.5" customHeight="1">
      <c r="A10854" s="49"/>
      <c r="C10854" s="400"/>
      <c r="D10854" s="524"/>
      <c r="E10854" s="544"/>
      <c r="F10854" s="387"/>
      <c r="G10854" s="140"/>
      <c r="H10854" s="74"/>
      <c r="I10854" s="74">
        <f t="shared" si="7"/>
        <v>0</v>
      </c>
      <c r="J10854" s="74" t="str">
        <f>IF(E10854="SERVICE",I10854-(I10854*50%),Vlookup(E10854,DATABASE!C:Q,10,false)*F10854)</f>
        <v>#N/A</v>
      </c>
      <c r="K10854" s="74" t="str">
        <f>VLOOKUP(E10854,DATABASE!C:Q,7,false)</f>
        <v>#N/A</v>
      </c>
      <c r="L10854" s="74"/>
      <c r="M10854" s="74">
        <f t="shared" si="6"/>
        <v>0</v>
      </c>
      <c r="N10854" s="74" t="str">
        <f t="shared" si="9"/>
        <v>#N/A</v>
      </c>
      <c r="O10854" s="65" t="str">
        <f>VLOOKUP(E10854,DATABASE!C:Q,8,false)</f>
        <v>#N/A</v>
      </c>
      <c r="P10854" s="65" t="str">
        <f>VLOOKUP(E10854,DATABASE!C:Q,9,False)</f>
        <v>#N/A</v>
      </c>
      <c r="Q10854" s="93" t="str">
        <f>VLOOKUP(E10854,DATABASE!C:Q,4,false)</f>
        <v>#N/A</v>
      </c>
      <c r="R10854" s="93" t="str">
        <f>VLOOKUP(E10854,DATABASE!C:Q,11,false)</f>
        <v>#N/A</v>
      </c>
    </row>
    <row r="10855" ht="22.5" customHeight="1">
      <c r="A10855" s="49"/>
      <c r="C10855" s="400"/>
      <c r="D10855" s="524"/>
      <c r="E10855" s="544"/>
      <c r="F10855" s="387"/>
      <c r="G10855" s="140"/>
      <c r="H10855" s="74"/>
      <c r="I10855" s="74">
        <f t="shared" si="7"/>
        <v>0</v>
      </c>
      <c r="J10855" s="74" t="str">
        <f>IF(E10855="SERVICE",I10855-(I10855*50%),Vlookup(E10855,DATABASE!C:Q,10,false)*F10855)</f>
        <v>#N/A</v>
      </c>
      <c r="K10855" s="74" t="str">
        <f>VLOOKUP(E10855,DATABASE!C:Q,7,false)</f>
        <v>#N/A</v>
      </c>
      <c r="L10855" s="74"/>
      <c r="M10855" s="74">
        <f t="shared" si="6"/>
        <v>0</v>
      </c>
      <c r="N10855" s="74" t="str">
        <f t="shared" si="9"/>
        <v>#N/A</v>
      </c>
      <c r="O10855" s="65" t="str">
        <f>VLOOKUP(E10855,DATABASE!C:Q,8,false)</f>
        <v>#N/A</v>
      </c>
      <c r="P10855" s="65" t="str">
        <f>VLOOKUP(E10855,DATABASE!C:Q,9,False)</f>
        <v>#N/A</v>
      </c>
      <c r="Q10855" s="93" t="str">
        <f>VLOOKUP(E10855,DATABASE!C:Q,4,false)</f>
        <v>#N/A</v>
      </c>
      <c r="R10855" s="93" t="str">
        <f>VLOOKUP(E10855,DATABASE!C:Q,11,false)</f>
        <v>#N/A</v>
      </c>
    </row>
    <row r="10856" ht="22.5" customHeight="1">
      <c r="A10856" s="49"/>
      <c r="C10856" s="400"/>
      <c r="D10856" s="524"/>
      <c r="E10856" s="544"/>
      <c r="F10856" s="387"/>
      <c r="G10856" s="140"/>
      <c r="H10856" s="74"/>
      <c r="I10856" s="74">
        <f t="shared" si="7"/>
        <v>0</v>
      </c>
      <c r="J10856" s="74" t="str">
        <f>IF(E10856="SERVICE",I10856-(I10856*50%),Vlookup(E10856,DATABASE!C:Q,10,false)*F10856)</f>
        <v>#N/A</v>
      </c>
      <c r="K10856" s="74" t="str">
        <f>VLOOKUP(E10856,DATABASE!C:Q,7,false)</f>
        <v>#N/A</v>
      </c>
      <c r="L10856" s="74"/>
      <c r="M10856" s="74">
        <f t="shared" si="6"/>
        <v>0</v>
      </c>
      <c r="N10856" s="74" t="str">
        <f t="shared" si="9"/>
        <v>#N/A</v>
      </c>
      <c r="O10856" s="65" t="str">
        <f>VLOOKUP(E10856,DATABASE!C:Q,8,false)</f>
        <v>#N/A</v>
      </c>
      <c r="P10856" s="65" t="str">
        <f>VLOOKUP(E10856,DATABASE!C:Q,9,False)</f>
        <v>#N/A</v>
      </c>
      <c r="Q10856" s="93" t="str">
        <f>VLOOKUP(E10856,DATABASE!C:Q,4,false)</f>
        <v>#N/A</v>
      </c>
      <c r="R10856" s="93" t="str">
        <f>VLOOKUP(E10856,DATABASE!C:Q,11,false)</f>
        <v>#N/A</v>
      </c>
    </row>
    <row r="10857" ht="22.5" customHeight="1">
      <c r="A10857" s="49"/>
      <c r="C10857" s="400"/>
      <c r="D10857" s="524"/>
      <c r="E10857" s="544"/>
      <c r="F10857" s="387"/>
      <c r="G10857" s="140"/>
      <c r="H10857" s="74"/>
      <c r="I10857" s="74">
        <f t="shared" si="7"/>
        <v>0</v>
      </c>
      <c r="J10857" s="74" t="str">
        <f>IF(E10857="SERVICE",I10857-(I10857*50%),Vlookup(E10857,DATABASE!C:Q,10,false)*F10857)</f>
        <v>#N/A</v>
      </c>
      <c r="K10857" s="74" t="str">
        <f>VLOOKUP(E10857,DATABASE!C:Q,7,false)</f>
        <v>#N/A</v>
      </c>
      <c r="L10857" s="74"/>
      <c r="M10857" s="74">
        <f t="shared" si="6"/>
        <v>0</v>
      </c>
      <c r="N10857" s="74" t="str">
        <f t="shared" si="9"/>
        <v>#N/A</v>
      </c>
      <c r="O10857" s="65" t="str">
        <f>VLOOKUP(E10857,DATABASE!C:Q,8,false)</f>
        <v>#N/A</v>
      </c>
      <c r="P10857" s="65" t="str">
        <f>VLOOKUP(E10857,DATABASE!C:Q,9,False)</f>
        <v>#N/A</v>
      </c>
      <c r="Q10857" s="93" t="str">
        <f>VLOOKUP(E10857,DATABASE!C:Q,4,false)</f>
        <v>#N/A</v>
      </c>
      <c r="R10857" s="93" t="str">
        <f>VLOOKUP(E10857,DATABASE!C:Q,11,false)</f>
        <v>#N/A</v>
      </c>
    </row>
    <row r="10858" ht="22.5" customHeight="1">
      <c r="A10858" s="49"/>
      <c r="C10858" s="400"/>
      <c r="D10858" s="524"/>
      <c r="E10858" s="544"/>
      <c r="F10858" s="387"/>
      <c r="G10858" s="140"/>
      <c r="H10858" s="74"/>
      <c r="I10858" s="74">
        <f t="shared" si="7"/>
        <v>0</v>
      </c>
      <c r="J10858" s="74" t="str">
        <f>IF(E10858="SERVICE",I10858-(I10858*50%),Vlookup(E10858,DATABASE!C:Q,10,false)*F10858)</f>
        <v>#N/A</v>
      </c>
      <c r="K10858" s="74" t="str">
        <f>VLOOKUP(E10858,DATABASE!C:Q,7,false)</f>
        <v>#N/A</v>
      </c>
      <c r="L10858" s="74"/>
      <c r="M10858" s="74">
        <f t="shared" si="6"/>
        <v>0</v>
      </c>
      <c r="N10858" s="74" t="str">
        <f t="shared" si="9"/>
        <v>#N/A</v>
      </c>
      <c r="O10858" s="65" t="str">
        <f>VLOOKUP(E10858,DATABASE!C:Q,8,false)</f>
        <v>#N/A</v>
      </c>
      <c r="P10858" s="65" t="str">
        <f>VLOOKUP(E10858,DATABASE!C:Q,9,False)</f>
        <v>#N/A</v>
      </c>
      <c r="Q10858" s="93" t="str">
        <f>VLOOKUP(E10858,DATABASE!C:Q,4,false)</f>
        <v>#N/A</v>
      </c>
      <c r="R10858" s="93" t="str">
        <f>VLOOKUP(E10858,DATABASE!C:Q,11,false)</f>
        <v>#N/A</v>
      </c>
    </row>
    <row r="10859" ht="22.5" customHeight="1">
      <c r="A10859" s="49"/>
      <c r="C10859" s="400"/>
      <c r="D10859" s="524"/>
      <c r="E10859" s="544"/>
      <c r="F10859" s="387"/>
      <c r="G10859" s="140"/>
      <c r="H10859" s="74"/>
      <c r="I10859" s="74">
        <f t="shared" si="7"/>
        <v>0</v>
      </c>
      <c r="J10859" s="74" t="str">
        <f>IF(E10859="SERVICE",I10859-(I10859*50%),Vlookup(E10859,DATABASE!C:Q,10,false)*F10859)</f>
        <v>#N/A</v>
      </c>
      <c r="K10859" s="74" t="str">
        <f>VLOOKUP(E10859,DATABASE!C:Q,7,false)</f>
        <v>#N/A</v>
      </c>
      <c r="L10859" s="74"/>
      <c r="M10859" s="74">
        <f t="shared" si="6"/>
        <v>0</v>
      </c>
      <c r="N10859" s="74" t="str">
        <f t="shared" si="9"/>
        <v>#N/A</v>
      </c>
      <c r="O10859" s="65" t="str">
        <f>VLOOKUP(E10859,DATABASE!C:Q,8,false)</f>
        <v>#N/A</v>
      </c>
      <c r="P10859" s="65" t="str">
        <f>VLOOKUP(E10859,DATABASE!C:Q,9,False)</f>
        <v>#N/A</v>
      </c>
      <c r="Q10859" s="93" t="str">
        <f>VLOOKUP(E10859,DATABASE!C:Q,4,false)</f>
        <v>#N/A</v>
      </c>
      <c r="R10859" s="93" t="str">
        <f>VLOOKUP(E10859,DATABASE!C:Q,11,false)</f>
        <v>#N/A</v>
      </c>
    </row>
    <row r="10860" ht="22.5" customHeight="1">
      <c r="A10860" s="49"/>
      <c r="C10860" s="400"/>
      <c r="D10860" s="524"/>
      <c r="E10860" s="544"/>
      <c r="F10860" s="387"/>
      <c r="G10860" s="140"/>
      <c r="H10860" s="74"/>
      <c r="I10860" s="74">
        <f t="shared" si="7"/>
        <v>0</v>
      </c>
      <c r="J10860" s="74" t="str">
        <f>IF(E10860="SERVICE",I10860-(I10860*50%),Vlookup(E10860,DATABASE!C:Q,10,false)*F10860)</f>
        <v>#N/A</v>
      </c>
      <c r="K10860" s="74" t="str">
        <f>VLOOKUP(E10860,DATABASE!C:Q,7,false)</f>
        <v>#N/A</v>
      </c>
      <c r="L10860" s="74"/>
      <c r="M10860" s="74">
        <f t="shared" si="6"/>
        <v>0</v>
      </c>
      <c r="N10860" s="74" t="str">
        <f t="shared" si="9"/>
        <v>#N/A</v>
      </c>
      <c r="O10860" s="65" t="str">
        <f>VLOOKUP(E10860,DATABASE!C:Q,8,false)</f>
        <v>#N/A</v>
      </c>
      <c r="P10860" s="65" t="str">
        <f>VLOOKUP(E10860,DATABASE!C:Q,9,False)</f>
        <v>#N/A</v>
      </c>
      <c r="Q10860" s="93" t="str">
        <f>VLOOKUP(E10860,DATABASE!C:Q,4,false)</f>
        <v>#N/A</v>
      </c>
      <c r="R10860" s="93" t="str">
        <f>VLOOKUP(E10860,DATABASE!C:Q,11,false)</f>
        <v>#N/A</v>
      </c>
    </row>
    <row r="10861" ht="22.5" customHeight="1">
      <c r="A10861" s="49"/>
      <c r="C10861" s="400"/>
      <c r="D10861" s="524"/>
      <c r="E10861" s="544"/>
      <c r="F10861" s="387"/>
      <c r="G10861" s="140"/>
      <c r="H10861" s="74"/>
      <c r="I10861" s="74">
        <f t="shared" si="7"/>
        <v>0</v>
      </c>
      <c r="J10861" s="74" t="str">
        <f>IF(E10861="SERVICE",I10861-(I10861*50%),Vlookup(E10861,DATABASE!C:Q,10,false)*F10861)</f>
        <v>#N/A</v>
      </c>
      <c r="K10861" s="74" t="str">
        <f>VLOOKUP(E10861,DATABASE!C:Q,7,false)</f>
        <v>#N/A</v>
      </c>
      <c r="L10861" s="74"/>
      <c r="M10861" s="74">
        <f t="shared" si="6"/>
        <v>0</v>
      </c>
      <c r="N10861" s="74" t="str">
        <f t="shared" si="9"/>
        <v>#N/A</v>
      </c>
      <c r="O10861" s="65" t="str">
        <f>VLOOKUP(E10861,DATABASE!C:Q,8,false)</f>
        <v>#N/A</v>
      </c>
      <c r="P10861" s="65" t="str">
        <f>VLOOKUP(E10861,DATABASE!C:Q,9,False)</f>
        <v>#N/A</v>
      </c>
      <c r="Q10861" s="93" t="str">
        <f>VLOOKUP(E10861,DATABASE!C:Q,4,false)</f>
        <v>#N/A</v>
      </c>
      <c r="R10861" s="93" t="str">
        <f>VLOOKUP(E10861,DATABASE!C:Q,11,false)</f>
        <v>#N/A</v>
      </c>
    </row>
    <row r="10862" ht="22.5" customHeight="1">
      <c r="A10862" s="49"/>
      <c r="C10862" s="400"/>
      <c r="D10862" s="524"/>
      <c r="E10862" s="544"/>
      <c r="F10862" s="387"/>
      <c r="G10862" s="140"/>
      <c r="H10862" s="74"/>
      <c r="I10862" s="74">
        <f t="shared" si="7"/>
        <v>0</v>
      </c>
      <c r="J10862" s="74" t="str">
        <f>IF(E10862="SERVICE",I10862-(I10862*50%),Vlookup(E10862,DATABASE!C:Q,10,false)*F10862)</f>
        <v>#N/A</v>
      </c>
      <c r="K10862" s="74" t="str">
        <f>VLOOKUP(E10862,DATABASE!C:Q,7,false)</f>
        <v>#N/A</v>
      </c>
      <c r="L10862" s="74"/>
      <c r="M10862" s="74">
        <f t="shared" si="6"/>
        <v>0</v>
      </c>
      <c r="N10862" s="74" t="str">
        <f t="shared" si="9"/>
        <v>#N/A</v>
      </c>
      <c r="O10862" s="65" t="str">
        <f>VLOOKUP(E10862,DATABASE!C:Q,8,false)</f>
        <v>#N/A</v>
      </c>
      <c r="P10862" s="65" t="str">
        <f>VLOOKUP(E10862,DATABASE!C:Q,9,False)</f>
        <v>#N/A</v>
      </c>
      <c r="Q10862" s="93" t="str">
        <f>VLOOKUP(E10862,DATABASE!C:Q,4,false)</f>
        <v>#N/A</v>
      </c>
      <c r="R10862" s="93" t="str">
        <f>VLOOKUP(E10862,DATABASE!C:Q,11,false)</f>
        <v>#N/A</v>
      </c>
    </row>
    <row r="10863" ht="22.5" customHeight="1">
      <c r="A10863" s="49"/>
      <c r="C10863" s="400"/>
      <c r="D10863" s="524"/>
      <c r="E10863" s="544"/>
      <c r="F10863" s="387"/>
      <c r="G10863" s="140"/>
      <c r="H10863" s="74"/>
      <c r="I10863" s="74">
        <f t="shared" si="7"/>
        <v>0</v>
      </c>
      <c r="J10863" s="74" t="str">
        <f>IF(E10863="SERVICE",I10863-(I10863*50%),Vlookup(E10863,DATABASE!C:Q,10,false)*F10863)</f>
        <v>#N/A</v>
      </c>
      <c r="K10863" s="74" t="str">
        <f>VLOOKUP(E10863,DATABASE!C:Q,7,false)</f>
        <v>#N/A</v>
      </c>
      <c r="L10863" s="74"/>
      <c r="M10863" s="74">
        <f t="shared" si="6"/>
        <v>0</v>
      </c>
      <c r="N10863" s="74" t="str">
        <f t="shared" si="9"/>
        <v>#N/A</v>
      </c>
      <c r="O10863" s="65" t="str">
        <f>VLOOKUP(E10863,DATABASE!C:Q,8,false)</f>
        <v>#N/A</v>
      </c>
      <c r="P10863" s="65" t="str">
        <f>VLOOKUP(E10863,DATABASE!C:Q,9,False)</f>
        <v>#N/A</v>
      </c>
      <c r="Q10863" s="93" t="str">
        <f>VLOOKUP(E10863,DATABASE!C:Q,4,false)</f>
        <v>#N/A</v>
      </c>
      <c r="R10863" s="93" t="str">
        <f>VLOOKUP(E10863,DATABASE!C:Q,11,false)</f>
        <v>#N/A</v>
      </c>
    </row>
    <row r="10864" ht="22.5" customHeight="1">
      <c r="A10864" s="49"/>
      <c r="C10864" s="400"/>
      <c r="D10864" s="524"/>
      <c r="E10864" s="544"/>
      <c r="F10864" s="387"/>
      <c r="G10864" s="140"/>
      <c r="H10864" s="74"/>
      <c r="I10864" s="74">
        <f t="shared" si="7"/>
        <v>0</v>
      </c>
      <c r="J10864" s="74" t="str">
        <f>IF(E10864="SERVICE",I10864-(I10864*50%),Vlookup(E10864,DATABASE!C:Q,10,false)*F10864)</f>
        <v>#N/A</v>
      </c>
      <c r="K10864" s="74" t="str">
        <f>VLOOKUP(E10864,DATABASE!C:Q,7,false)</f>
        <v>#N/A</v>
      </c>
      <c r="L10864" s="74"/>
      <c r="M10864" s="74">
        <f t="shared" si="6"/>
        <v>0</v>
      </c>
      <c r="N10864" s="74" t="str">
        <f t="shared" si="9"/>
        <v>#N/A</v>
      </c>
      <c r="O10864" s="65" t="str">
        <f>VLOOKUP(E10864,DATABASE!C:Q,8,false)</f>
        <v>#N/A</v>
      </c>
      <c r="P10864" s="65" t="str">
        <f>VLOOKUP(E10864,DATABASE!C:Q,9,False)</f>
        <v>#N/A</v>
      </c>
      <c r="Q10864" s="93" t="str">
        <f>VLOOKUP(E10864,DATABASE!C:Q,4,false)</f>
        <v>#N/A</v>
      </c>
      <c r="R10864" s="93" t="str">
        <f>VLOOKUP(E10864,DATABASE!C:Q,11,false)</f>
        <v>#N/A</v>
      </c>
    </row>
    <row r="10865" ht="22.5" customHeight="1">
      <c r="A10865" s="49"/>
      <c r="C10865" s="400"/>
      <c r="D10865" s="524"/>
      <c r="E10865" s="544"/>
      <c r="F10865" s="387"/>
      <c r="G10865" s="140"/>
      <c r="H10865" s="74"/>
      <c r="I10865" s="74">
        <f t="shared" si="7"/>
        <v>0</v>
      </c>
      <c r="J10865" s="74" t="str">
        <f>IF(E10865="SERVICE",I10865-(I10865*50%),Vlookup(E10865,DATABASE!C:Q,10,false)*F10865)</f>
        <v>#N/A</v>
      </c>
      <c r="K10865" s="74" t="str">
        <f>VLOOKUP(E10865,DATABASE!C:Q,7,false)</f>
        <v>#N/A</v>
      </c>
      <c r="L10865" s="74"/>
      <c r="M10865" s="74">
        <f t="shared" si="6"/>
        <v>0</v>
      </c>
      <c r="N10865" s="74" t="str">
        <f t="shared" si="9"/>
        <v>#N/A</v>
      </c>
      <c r="O10865" s="65" t="str">
        <f>VLOOKUP(E10865,DATABASE!C:Q,8,false)</f>
        <v>#N/A</v>
      </c>
      <c r="P10865" s="65" t="str">
        <f>VLOOKUP(E10865,DATABASE!C:Q,9,False)</f>
        <v>#N/A</v>
      </c>
      <c r="Q10865" s="93" t="str">
        <f>VLOOKUP(E10865,DATABASE!C:Q,4,false)</f>
        <v>#N/A</v>
      </c>
      <c r="R10865" s="93" t="str">
        <f>VLOOKUP(E10865,DATABASE!C:Q,11,false)</f>
        <v>#N/A</v>
      </c>
    </row>
    <row r="10866" ht="22.5" customHeight="1">
      <c r="A10866" s="49"/>
      <c r="C10866" s="400"/>
      <c r="D10866" s="524"/>
      <c r="E10866" s="544"/>
      <c r="F10866" s="387"/>
      <c r="G10866" s="140"/>
      <c r="H10866" s="74"/>
      <c r="I10866" s="74">
        <f t="shared" si="7"/>
        <v>0</v>
      </c>
      <c r="J10866" s="74" t="str">
        <f>IF(E10866="SERVICE",I10866-(I10866*50%),Vlookup(E10866,DATABASE!C:Q,10,false)*F10866)</f>
        <v>#N/A</v>
      </c>
      <c r="K10866" s="74" t="str">
        <f>VLOOKUP(E10866,DATABASE!C:Q,7,false)</f>
        <v>#N/A</v>
      </c>
      <c r="L10866" s="74"/>
      <c r="M10866" s="74">
        <f t="shared" si="6"/>
        <v>0</v>
      </c>
      <c r="N10866" s="74" t="str">
        <f t="shared" si="9"/>
        <v>#N/A</v>
      </c>
      <c r="O10866" s="65" t="str">
        <f>VLOOKUP(E10866,DATABASE!C:Q,8,false)</f>
        <v>#N/A</v>
      </c>
      <c r="P10866" s="65" t="str">
        <f>VLOOKUP(E10866,DATABASE!C:Q,9,False)</f>
        <v>#N/A</v>
      </c>
      <c r="Q10866" s="93" t="str">
        <f>VLOOKUP(E10866,DATABASE!C:Q,4,false)</f>
        <v>#N/A</v>
      </c>
      <c r="R10866" s="93" t="str">
        <f>VLOOKUP(E10866,DATABASE!C:Q,11,false)</f>
        <v>#N/A</v>
      </c>
    </row>
    <row r="10867" ht="22.5" customHeight="1">
      <c r="A10867" s="49"/>
      <c r="C10867" s="400"/>
      <c r="D10867" s="524"/>
      <c r="E10867" s="544"/>
      <c r="F10867" s="387"/>
      <c r="G10867" s="140"/>
      <c r="H10867" s="74"/>
      <c r="I10867" s="74">
        <f t="shared" si="7"/>
        <v>0</v>
      </c>
      <c r="J10867" s="74" t="str">
        <f>IF(E10867="SERVICE",I10867-(I10867*50%),Vlookup(E10867,DATABASE!C:Q,10,false)*F10867)</f>
        <v>#N/A</v>
      </c>
      <c r="K10867" s="74" t="str">
        <f>VLOOKUP(E10867,DATABASE!C:Q,7,false)</f>
        <v>#N/A</v>
      </c>
      <c r="L10867" s="74"/>
      <c r="M10867" s="74">
        <f t="shared" si="6"/>
        <v>0</v>
      </c>
      <c r="N10867" s="74" t="str">
        <f t="shared" si="9"/>
        <v>#N/A</v>
      </c>
      <c r="O10867" s="65" t="str">
        <f>VLOOKUP(E10867,DATABASE!C:Q,8,false)</f>
        <v>#N/A</v>
      </c>
      <c r="P10867" s="65" t="str">
        <f>VLOOKUP(E10867,DATABASE!C:Q,9,False)</f>
        <v>#N/A</v>
      </c>
      <c r="Q10867" s="93" t="str">
        <f>VLOOKUP(E10867,DATABASE!C:Q,4,false)</f>
        <v>#N/A</v>
      </c>
      <c r="R10867" s="93" t="str">
        <f>VLOOKUP(E10867,DATABASE!C:Q,11,false)</f>
        <v>#N/A</v>
      </c>
    </row>
    <row r="10868" ht="22.5" customHeight="1">
      <c r="A10868" s="49"/>
      <c r="C10868" s="400"/>
      <c r="D10868" s="524"/>
      <c r="E10868" s="544"/>
      <c r="F10868" s="387"/>
      <c r="G10868" s="140"/>
      <c r="H10868" s="74"/>
      <c r="I10868" s="74">
        <f t="shared" si="7"/>
        <v>0</v>
      </c>
      <c r="J10868" s="74" t="str">
        <f>IF(E10868="SERVICE",I10868-(I10868*50%),Vlookup(E10868,DATABASE!C:Q,10,false)*F10868)</f>
        <v>#N/A</v>
      </c>
      <c r="K10868" s="74" t="str">
        <f>VLOOKUP(E10868,DATABASE!C:Q,7,false)</f>
        <v>#N/A</v>
      </c>
      <c r="L10868" s="74"/>
      <c r="M10868" s="74">
        <f t="shared" si="6"/>
        <v>0</v>
      </c>
      <c r="N10868" s="74" t="str">
        <f t="shared" si="9"/>
        <v>#N/A</v>
      </c>
      <c r="O10868" s="65" t="str">
        <f>VLOOKUP(E10868,DATABASE!C:Q,8,false)</f>
        <v>#N/A</v>
      </c>
      <c r="P10868" s="65" t="str">
        <f>VLOOKUP(E10868,DATABASE!C:Q,9,False)</f>
        <v>#N/A</v>
      </c>
      <c r="Q10868" s="93" t="str">
        <f>VLOOKUP(E10868,DATABASE!C:Q,4,false)</f>
        <v>#N/A</v>
      </c>
      <c r="R10868" s="93" t="str">
        <f>VLOOKUP(E10868,DATABASE!C:Q,11,false)</f>
        <v>#N/A</v>
      </c>
    </row>
    <row r="10869" ht="22.5" customHeight="1">
      <c r="A10869" s="49"/>
      <c r="C10869" s="400"/>
      <c r="D10869" s="524"/>
      <c r="E10869" s="544"/>
      <c r="F10869" s="387"/>
      <c r="G10869" s="140"/>
      <c r="H10869" s="74"/>
      <c r="I10869" s="74">
        <f t="shared" si="7"/>
        <v>0</v>
      </c>
      <c r="J10869" s="74" t="str">
        <f>IF(E10869="SERVICE",I10869-(I10869*50%),Vlookup(E10869,DATABASE!C:Q,10,false)*F10869)</f>
        <v>#N/A</v>
      </c>
      <c r="K10869" s="74" t="str">
        <f>VLOOKUP(E10869,DATABASE!C:Q,7,false)</f>
        <v>#N/A</v>
      </c>
      <c r="L10869" s="74"/>
      <c r="M10869" s="74">
        <f t="shared" si="6"/>
        <v>0</v>
      </c>
      <c r="N10869" s="74" t="str">
        <f t="shared" si="9"/>
        <v>#N/A</v>
      </c>
      <c r="O10869" s="65" t="str">
        <f>VLOOKUP(E10869,DATABASE!C:Q,8,false)</f>
        <v>#N/A</v>
      </c>
      <c r="P10869" s="65" t="str">
        <f>VLOOKUP(E10869,DATABASE!C:Q,9,False)</f>
        <v>#N/A</v>
      </c>
      <c r="Q10869" s="93" t="str">
        <f>VLOOKUP(E10869,DATABASE!C:Q,4,false)</f>
        <v>#N/A</v>
      </c>
      <c r="R10869" s="93" t="str">
        <f>VLOOKUP(E10869,DATABASE!C:Q,11,false)</f>
        <v>#N/A</v>
      </c>
    </row>
    <row r="10870" ht="22.5" customHeight="1">
      <c r="A10870" s="49"/>
      <c r="C10870" s="400"/>
      <c r="D10870" s="524"/>
      <c r="E10870" s="544"/>
      <c r="F10870" s="387"/>
      <c r="G10870" s="140"/>
      <c r="H10870" s="74"/>
      <c r="I10870" s="74">
        <f t="shared" si="7"/>
        <v>0</v>
      </c>
      <c r="J10870" s="74" t="str">
        <f>IF(E10870="SERVICE",I10870-(I10870*50%),Vlookup(E10870,DATABASE!C:Q,10,false)*F10870)</f>
        <v>#N/A</v>
      </c>
      <c r="K10870" s="74" t="str">
        <f>VLOOKUP(E10870,DATABASE!C:Q,7,false)</f>
        <v>#N/A</v>
      </c>
      <c r="L10870" s="74"/>
      <c r="M10870" s="74">
        <f t="shared" si="6"/>
        <v>0</v>
      </c>
      <c r="N10870" s="74" t="str">
        <f t="shared" si="9"/>
        <v>#N/A</v>
      </c>
      <c r="O10870" s="65" t="str">
        <f>VLOOKUP(E10870,DATABASE!C:Q,8,false)</f>
        <v>#N/A</v>
      </c>
      <c r="P10870" s="65" t="str">
        <f>VLOOKUP(E10870,DATABASE!C:Q,9,False)</f>
        <v>#N/A</v>
      </c>
      <c r="Q10870" s="93" t="str">
        <f>VLOOKUP(E10870,DATABASE!C:Q,4,false)</f>
        <v>#N/A</v>
      </c>
      <c r="R10870" s="93" t="str">
        <f>VLOOKUP(E10870,DATABASE!C:Q,11,false)</f>
        <v>#N/A</v>
      </c>
    </row>
    <row r="10871" ht="22.5" customHeight="1">
      <c r="A10871" s="49"/>
      <c r="C10871" s="400"/>
      <c r="D10871" s="524"/>
      <c r="E10871" s="544"/>
      <c r="F10871" s="387"/>
      <c r="G10871" s="140"/>
      <c r="H10871" s="74"/>
      <c r="I10871" s="74">
        <f t="shared" si="7"/>
        <v>0</v>
      </c>
      <c r="J10871" s="74" t="str">
        <f>IF(E10871="SERVICE",I10871-(I10871*50%),Vlookup(E10871,DATABASE!C:Q,10,false)*F10871)</f>
        <v>#N/A</v>
      </c>
      <c r="K10871" s="74" t="str">
        <f>VLOOKUP(E10871,DATABASE!C:Q,7,false)</f>
        <v>#N/A</v>
      </c>
      <c r="L10871" s="74"/>
      <c r="M10871" s="74">
        <f t="shared" si="6"/>
        <v>0</v>
      </c>
      <c r="N10871" s="74" t="str">
        <f t="shared" si="9"/>
        <v>#N/A</v>
      </c>
      <c r="O10871" s="65" t="str">
        <f>VLOOKUP(E10871,DATABASE!C:Q,8,false)</f>
        <v>#N/A</v>
      </c>
      <c r="P10871" s="65" t="str">
        <f>VLOOKUP(E10871,DATABASE!C:Q,9,False)</f>
        <v>#N/A</v>
      </c>
      <c r="Q10871" s="93" t="str">
        <f>VLOOKUP(E10871,DATABASE!C:Q,4,false)</f>
        <v>#N/A</v>
      </c>
      <c r="R10871" s="93" t="str">
        <f>VLOOKUP(E10871,DATABASE!C:Q,11,false)</f>
        <v>#N/A</v>
      </c>
    </row>
    <row r="10872" ht="22.5" customHeight="1">
      <c r="A10872" s="49"/>
      <c r="C10872" s="400"/>
      <c r="D10872" s="524"/>
      <c r="E10872" s="544"/>
      <c r="F10872" s="387"/>
      <c r="G10872" s="140"/>
      <c r="H10872" s="74"/>
      <c r="I10872" s="74">
        <f t="shared" si="7"/>
        <v>0</v>
      </c>
      <c r="J10872" s="74" t="str">
        <f>IF(E10872="SERVICE",I10872-(I10872*50%),Vlookup(E10872,DATABASE!C:Q,10,false)*F10872)</f>
        <v>#N/A</v>
      </c>
      <c r="K10872" s="74" t="str">
        <f>VLOOKUP(E10872,DATABASE!C:Q,7,false)</f>
        <v>#N/A</v>
      </c>
      <c r="L10872" s="74"/>
      <c r="M10872" s="74">
        <f t="shared" si="6"/>
        <v>0</v>
      </c>
      <c r="N10872" s="74" t="str">
        <f t="shared" si="9"/>
        <v>#N/A</v>
      </c>
      <c r="O10872" s="65" t="str">
        <f>VLOOKUP(E10872,DATABASE!C:Q,8,false)</f>
        <v>#N/A</v>
      </c>
      <c r="P10872" s="65" t="str">
        <f>VLOOKUP(E10872,DATABASE!C:Q,9,False)</f>
        <v>#N/A</v>
      </c>
      <c r="Q10872" s="93" t="str">
        <f>VLOOKUP(E10872,DATABASE!C:Q,4,false)</f>
        <v>#N/A</v>
      </c>
      <c r="R10872" s="93" t="str">
        <f>VLOOKUP(E10872,DATABASE!C:Q,11,false)</f>
        <v>#N/A</v>
      </c>
    </row>
    <row r="10873" ht="22.5" customHeight="1">
      <c r="A10873" s="49"/>
      <c r="C10873" s="400"/>
      <c r="D10873" s="524"/>
      <c r="E10873" s="544"/>
      <c r="F10873" s="387"/>
      <c r="G10873" s="140"/>
      <c r="H10873" s="74"/>
      <c r="I10873" s="74">
        <f t="shared" si="7"/>
        <v>0</v>
      </c>
      <c r="J10873" s="74" t="str">
        <f>IF(E10873="SERVICE",I10873-(I10873*50%),Vlookup(E10873,DATABASE!C:Q,10,false)*F10873)</f>
        <v>#N/A</v>
      </c>
      <c r="K10873" s="74" t="str">
        <f>VLOOKUP(E10873,DATABASE!C:Q,7,false)</f>
        <v>#N/A</v>
      </c>
      <c r="L10873" s="74"/>
      <c r="M10873" s="74">
        <f t="shared" si="6"/>
        <v>0</v>
      </c>
      <c r="N10873" s="74" t="str">
        <f t="shared" si="9"/>
        <v>#N/A</v>
      </c>
      <c r="O10873" s="65" t="str">
        <f>VLOOKUP(E10873,DATABASE!C:Q,8,false)</f>
        <v>#N/A</v>
      </c>
      <c r="P10873" s="65" t="str">
        <f>VLOOKUP(E10873,DATABASE!C:Q,9,False)</f>
        <v>#N/A</v>
      </c>
      <c r="Q10873" s="93" t="str">
        <f>VLOOKUP(E10873,DATABASE!C:Q,4,false)</f>
        <v>#N/A</v>
      </c>
      <c r="R10873" s="93" t="str">
        <f>VLOOKUP(E10873,DATABASE!C:Q,11,false)</f>
        <v>#N/A</v>
      </c>
    </row>
    <row r="10874" ht="22.5" customHeight="1">
      <c r="A10874" s="49"/>
      <c r="C10874" s="400"/>
      <c r="D10874" s="524"/>
      <c r="E10874" s="544"/>
      <c r="F10874" s="387"/>
      <c r="G10874" s="140"/>
      <c r="H10874" s="74"/>
      <c r="I10874" s="74">
        <f t="shared" si="7"/>
        <v>0</v>
      </c>
      <c r="J10874" s="74" t="str">
        <f>IF(E10874="SERVICE",I10874-(I10874*50%),Vlookup(E10874,DATABASE!C:Q,10,false)*F10874)</f>
        <v>#N/A</v>
      </c>
      <c r="K10874" s="74" t="str">
        <f>VLOOKUP(E10874,DATABASE!C:Q,7,false)</f>
        <v>#N/A</v>
      </c>
      <c r="L10874" s="74"/>
      <c r="M10874" s="74">
        <f t="shared" si="6"/>
        <v>0</v>
      </c>
      <c r="N10874" s="74" t="str">
        <f t="shared" si="9"/>
        <v>#N/A</v>
      </c>
      <c r="O10874" s="65" t="str">
        <f>VLOOKUP(E10874,DATABASE!C:Q,8,false)</f>
        <v>#N/A</v>
      </c>
      <c r="P10874" s="65" t="str">
        <f>VLOOKUP(E10874,DATABASE!C:Q,9,False)</f>
        <v>#N/A</v>
      </c>
      <c r="Q10874" s="93" t="str">
        <f>VLOOKUP(E10874,DATABASE!C:Q,4,false)</f>
        <v>#N/A</v>
      </c>
      <c r="R10874" s="93" t="str">
        <f>VLOOKUP(E10874,DATABASE!C:Q,11,false)</f>
        <v>#N/A</v>
      </c>
    </row>
    <row r="10875" ht="22.5" customHeight="1">
      <c r="A10875" s="49"/>
      <c r="C10875" s="400"/>
      <c r="D10875" s="524"/>
      <c r="E10875" s="544"/>
      <c r="F10875" s="387"/>
      <c r="G10875" s="140"/>
      <c r="H10875" s="74"/>
      <c r="I10875" s="74">
        <f t="shared" si="7"/>
        <v>0</v>
      </c>
      <c r="J10875" s="74" t="str">
        <f>IF(E10875="SERVICE",I10875-(I10875*50%),Vlookup(E10875,DATABASE!C:Q,10,false)*F10875)</f>
        <v>#N/A</v>
      </c>
      <c r="K10875" s="74" t="str">
        <f>VLOOKUP(E10875,DATABASE!C:Q,7,false)</f>
        <v>#N/A</v>
      </c>
      <c r="L10875" s="74"/>
      <c r="M10875" s="74">
        <f t="shared" si="6"/>
        <v>0</v>
      </c>
      <c r="N10875" s="74" t="str">
        <f t="shared" si="9"/>
        <v>#N/A</v>
      </c>
      <c r="O10875" s="65" t="str">
        <f>VLOOKUP(E10875,DATABASE!C:Q,8,false)</f>
        <v>#N/A</v>
      </c>
      <c r="P10875" s="65" t="str">
        <f>VLOOKUP(E10875,DATABASE!C:Q,9,False)</f>
        <v>#N/A</v>
      </c>
      <c r="Q10875" s="93" t="str">
        <f>VLOOKUP(E10875,DATABASE!C:Q,4,false)</f>
        <v>#N/A</v>
      </c>
      <c r="R10875" s="93" t="str">
        <f>VLOOKUP(E10875,DATABASE!C:Q,11,false)</f>
        <v>#N/A</v>
      </c>
    </row>
    <row r="10876" ht="22.5" customHeight="1">
      <c r="A10876" s="49"/>
      <c r="C10876" s="400"/>
      <c r="D10876" s="524"/>
      <c r="E10876" s="544"/>
      <c r="F10876" s="387"/>
      <c r="G10876" s="140"/>
      <c r="H10876" s="74"/>
      <c r="I10876" s="74">
        <f t="shared" si="7"/>
        <v>0</v>
      </c>
      <c r="J10876" s="74" t="str">
        <f>IF(E10876="SERVICE",I10876-(I10876*50%),Vlookup(E10876,DATABASE!C:Q,10,false)*F10876)</f>
        <v>#N/A</v>
      </c>
      <c r="K10876" s="74" t="str">
        <f>VLOOKUP(E10876,DATABASE!C:Q,7,false)</f>
        <v>#N/A</v>
      </c>
      <c r="L10876" s="74"/>
      <c r="M10876" s="74">
        <f t="shared" si="6"/>
        <v>0</v>
      </c>
      <c r="N10876" s="74" t="str">
        <f t="shared" si="9"/>
        <v>#N/A</v>
      </c>
      <c r="O10876" s="65" t="str">
        <f>VLOOKUP(E10876,DATABASE!C:Q,8,false)</f>
        <v>#N/A</v>
      </c>
      <c r="P10876" s="65" t="str">
        <f>VLOOKUP(E10876,DATABASE!C:Q,9,False)</f>
        <v>#N/A</v>
      </c>
      <c r="Q10876" s="93" t="str">
        <f>VLOOKUP(E10876,DATABASE!C:Q,4,false)</f>
        <v>#N/A</v>
      </c>
      <c r="R10876" s="93" t="str">
        <f>VLOOKUP(E10876,DATABASE!C:Q,11,false)</f>
        <v>#N/A</v>
      </c>
    </row>
    <row r="10877" ht="22.5" customHeight="1">
      <c r="A10877" s="49"/>
      <c r="C10877" s="400"/>
      <c r="D10877" s="524"/>
      <c r="E10877" s="544"/>
      <c r="F10877" s="387"/>
      <c r="G10877" s="140"/>
      <c r="H10877" s="74"/>
      <c r="I10877" s="74">
        <f t="shared" si="7"/>
        <v>0</v>
      </c>
      <c r="J10877" s="74" t="str">
        <f>IF(E10877="SERVICE",I10877-(I10877*50%),Vlookup(E10877,DATABASE!C:Q,10,false)*F10877)</f>
        <v>#N/A</v>
      </c>
      <c r="K10877" s="74" t="str">
        <f>VLOOKUP(E10877,DATABASE!C:Q,7,false)</f>
        <v>#N/A</v>
      </c>
      <c r="L10877" s="74"/>
      <c r="M10877" s="74">
        <f t="shared" si="6"/>
        <v>0</v>
      </c>
      <c r="N10877" s="74" t="str">
        <f t="shared" si="9"/>
        <v>#N/A</v>
      </c>
      <c r="O10877" s="65" t="str">
        <f>VLOOKUP(E10877,DATABASE!C:Q,8,false)</f>
        <v>#N/A</v>
      </c>
      <c r="P10877" s="65" t="str">
        <f>VLOOKUP(E10877,DATABASE!C:Q,9,False)</f>
        <v>#N/A</v>
      </c>
      <c r="Q10877" s="93" t="str">
        <f>VLOOKUP(E10877,DATABASE!C:Q,4,false)</f>
        <v>#N/A</v>
      </c>
      <c r="R10877" s="93" t="str">
        <f>VLOOKUP(E10877,DATABASE!C:Q,11,false)</f>
        <v>#N/A</v>
      </c>
    </row>
    <row r="10878" ht="22.5" customHeight="1">
      <c r="A10878" s="49"/>
      <c r="C10878" s="400"/>
      <c r="D10878" s="524"/>
      <c r="E10878" s="544"/>
      <c r="F10878" s="387"/>
      <c r="G10878" s="140"/>
      <c r="H10878" s="74"/>
      <c r="I10878" s="74">
        <f t="shared" si="7"/>
        <v>0</v>
      </c>
      <c r="J10878" s="74" t="str">
        <f>IF(E10878="SERVICE",I10878-(I10878*50%),Vlookup(E10878,DATABASE!C:Q,10,false)*F10878)</f>
        <v>#N/A</v>
      </c>
      <c r="K10878" s="74" t="str">
        <f>VLOOKUP(E10878,DATABASE!C:Q,7,false)</f>
        <v>#N/A</v>
      </c>
      <c r="L10878" s="74"/>
      <c r="M10878" s="74">
        <f t="shared" si="6"/>
        <v>0</v>
      </c>
      <c r="N10878" s="74" t="str">
        <f t="shared" si="9"/>
        <v>#N/A</v>
      </c>
      <c r="O10878" s="65" t="str">
        <f>VLOOKUP(E10878,DATABASE!C:Q,8,false)</f>
        <v>#N/A</v>
      </c>
      <c r="P10878" s="65" t="str">
        <f>VLOOKUP(E10878,DATABASE!C:Q,9,False)</f>
        <v>#N/A</v>
      </c>
      <c r="Q10878" s="93" t="str">
        <f>VLOOKUP(E10878,DATABASE!C:Q,4,false)</f>
        <v>#N/A</v>
      </c>
      <c r="R10878" s="93" t="str">
        <f>VLOOKUP(E10878,DATABASE!C:Q,11,false)</f>
        <v>#N/A</v>
      </c>
    </row>
    <row r="10879" ht="22.5" customHeight="1">
      <c r="A10879" s="49"/>
      <c r="C10879" s="400"/>
      <c r="D10879" s="524"/>
      <c r="E10879" s="544"/>
      <c r="F10879" s="387"/>
      <c r="G10879" s="140"/>
      <c r="H10879" s="74"/>
      <c r="I10879" s="74">
        <f t="shared" si="7"/>
        <v>0</v>
      </c>
      <c r="J10879" s="74" t="str">
        <f>IF(E10879="SERVICE",I10879-(I10879*50%),Vlookup(E10879,DATABASE!C:Q,10,false)*F10879)</f>
        <v>#N/A</v>
      </c>
      <c r="K10879" s="74" t="str">
        <f>VLOOKUP(E10879,DATABASE!C:Q,7,false)</f>
        <v>#N/A</v>
      </c>
      <c r="L10879" s="74"/>
      <c r="M10879" s="74">
        <f t="shared" si="6"/>
        <v>0</v>
      </c>
      <c r="N10879" s="74" t="str">
        <f t="shared" si="9"/>
        <v>#N/A</v>
      </c>
      <c r="O10879" s="65" t="str">
        <f>VLOOKUP(E10879,DATABASE!C:Q,8,false)</f>
        <v>#N/A</v>
      </c>
      <c r="P10879" s="65" t="str">
        <f>VLOOKUP(E10879,DATABASE!C:Q,9,False)</f>
        <v>#N/A</v>
      </c>
      <c r="Q10879" s="93" t="str">
        <f>VLOOKUP(E10879,DATABASE!C:Q,4,false)</f>
        <v>#N/A</v>
      </c>
      <c r="R10879" s="93" t="str">
        <f>VLOOKUP(E10879,DATABASE!C:Q,11,false)</f>
        <v>#N/A</v>
      </c>
    </row>
    <row r="10880" ht="22.5" customHeight="1">
      <c r="A10880" s="49"/>
      <c r="C10880" s="400"/>
      <c r="D10880" s="524"/>
      <c r="E10880" s="544"/>
      <c r="F10880" s="387"/>
      <c r="G10880" s="140"/>
      <c r="H10880" s="74"/>
      <c r="I10880" s="74">
        <f t="shared" si="7"/>
        <v>0</v>
      </c>
      <c r="J10880" s="74" t="str">
        <f>IF(E10880="SERVICE",I10880-(I10880*50%),Vlookup(E10880,DATABASE!C:Q,10,false)*F10880)</f>
        <v>#N/A</v>
      </c>
      <c r="K10880" s="74" t="str">
        <f>VLOOKUP(E10880,DATABASE!C:Q,7,false)</f>
        <v>#N/A</v>
      </c>
      <c r="L10880" s="74"/>
      <c r="M10880" s="74">
        <f t="shared" si="6"/>
        <v>0</v>
      </c>
      <c r="N10880" s="74" t="str">
        <f t="shared" si="9"/>
        <v>#N/A</v>
      </c>
      <c r="O10880" s="65" t="str">
        <f>VLOOKUP(E10880,DATABASE!C:Q,8,false)</f>
        <v>#N/A</v>
      </c>
      <c r="P10880" s="65" t="str">
        <f>VLOOKUP(E10880,DATABASE!C:Q,9,False)</f>
        <v>#N/A</v>
      </c>
      <c r="Q10880" s="93" t="str">
        <f>VLOOKUP(E10880,DATABASE!C:Q,4,false)</f>
        <v>#N/A</v>
      </c>
      <c r="R10880" s="93" t="str">
        <f>VLOOKUP(E10880,DATABASE!C:Q,11,false)</f>
        <v>#N/A</v>
      </c>
    </row>
    <row r="10881" ht="22.5" customHeight="1">
      <c r="A10881" s="49"/>
      <c r="C10881" s="400"/>
      <c r="D10881" s="524"/>
      <c r="E10881" s="544"/>
      <c r="F10881" s="387"/>
      <c r="G10881" s="140"/>
      <c r="H10881" s="74"/>
      <c r="I10881" s="74">
        <f t="shared" si="7"/>
        <v>0</v>
      </c>
      <c r="J10881" s="74" t="str">
        <f>IF(E10881="SERVICE",I10881-(I10881*50%),Vlookup(E10881,DATABASE!C:Q,10,false)*F10881)</f>
        <v>#N/A</v>
      </c>
      <c r="K10881" s="74" t="str">
        <f>VLOOKUP(E10881,DATABASE!C:Q,7,false)</f>
        <v>#N/A</v>
      </c>
      <c r="L10881" s="74"/>
      <c r="M10881" s="74">
        <f t="shared" si="6"/>
        <v>0</v>
      </c>
      <c r="N10881" s="74" t="str">
        <f t="shared" si="9"/>
        <v>#N/A</v>
      </c>
      <c r="O10881" s="65" t="str">
        <f>VLOOKUP(E10881,DATABASE!C:Q,8,false)</f>
        <v>#N/A</v>
      </c>
      <c r="P10881" s="65" t="str">
        <f>VLOOKUP(E10881,DATABASE!C:Q,9,False)</f>
        <v>#N/A</v>
      </c>
      <c r="Q10881" s="93" t="str">
        <f>VLOOKUP(E10881,DATABASE!C:Q,4,false)</f>
        <v>#N/A</v>
      </c>
      <c r="R10881" s="93" t="str">
        <f>VLOOKUP(E10881,DATABASE!C:Q,11,false)</f>
        <v>#N/A</v>
      </c>
    </row>
    <row r="10882" ht="22.5" customHeight="1">
      <c r="A10882" s="49"/>
      <c r="C10882" s="400"/>
      <c r="D10882" s="524"/>
      <c r="E10882" s="544"/>
      <c r="F10882" s="387"/>
      <c r="G10882" s="140"/>
      <c r="H10882" s="74"/>
      <c r="I10882" s="74">
        <f t="shared" si="7"/>
        <v>0</v>
      </c>
      <c r="J10882" s="74" t="str">
        <f>IF(E10882="SERVICE",I10882-(I10882*50%),Vlookup(E10882,DATABASE!C:Q,10,false)*F10882)</f>
        <v>#N/A</v>
      </c>
      <c r="K10882" s="74" t="str">
        <f>VLOOKUP(E10882,DATABASE!C:Q,7,false)</f>
        <v>#N/A</v>
      </c>
      <c r="L10882" s="74"/>
      <c r="M10882" s="74">
        <f t="shared" si="6"/>
        <v>0</v>
      </c>
      <c r="N10882" s="74" t="str">
        <f t="shared" si="9"/>
        <v>#N/A</v>
      </c>
      <c r="O10882" s="65" t="str">
        <f>VLOOKUP(E10882,DATABASE!C:Q,8,false)</f>
        <v>#N/A</v>
      </c>
      <c r="P10882" s="65" t="str">
        <f>VLOOKUP(E10882,DATABASE!C:Q,9,False)</f>
        <v>#N/A</v>
      </c>
      <c r="Q10882" s="93" t="str">
        <f>VLOOKUP(E10882,DATABASE!C:Q,4,false)</f>
        <v>#N/A</v>
      </c>
      <c r="R10882" s="93" t="str">
        <f>VLOOKUP(E10882,DATABASE!C:Q,11,false)</f>
        <v>#N/A</v>
      </c>
    </row>
    <row r="10883" ht="22.5" customHeight="1">
      <c r="A10883" s="49"/>
      <c r="C10883" s="400"/>
      <c r="D10883" s="524"/>
      <c r="E10883" s="544"/>
      <c r="F10883" s="387"/>
      <c r="G10883" s="140"/>
      <c r="H10883" s="74"/>
      <c r="I10883" s="74">
        <f t="shared" si="7"/>
        <v>0</v>
      </c>
      <c r="J10883" s="74" t="str">
        <f>IF(E10883="SERVICE",I10883-(I10883*50%),Vlookup(E10883,DATABASE!C:Q,10,false)*F10883)</f>
        <v>#N/A</v>
      </c>
      <c r="K10883" s="74" t="str">
        <f>VLOOKUP(E10883,DATABASE!C:Q,7,false)</f>
        <v>#N/A</v>
      </c>
      <c r="L10883" s="74"/>
      <c r="M10883" s="74">
        <f t="shared" si="6"/>
        <v>0</v>
      </c>
      <c r="N10883" s="74" t="str">
        <f t="shared" si="9"/>
        <v>#N/A</v>
      </c>
      <c r="O10883" s="65" t="str">
        <f>VLOOKUP(E10883,DATABASE!C:Q,8,false)</f>
        <v>#N/A</v>
      </c>
      <c r="P10883" s="65" t="str">
        <f>VLOOKUP(E10883,DATABASE!C:Q,9,False)</f>
        <v>#N/A</v>
      </c>
      <c r="Q10883" s="93" t="str">
        <f>VLOOKUP(E10883,DATABASE!C:Q,4,false)</f>
        <v>#N/A</v>
      </c>
      <c r="R10883" s="93" t="str">
        <f>VLOOKUP(E10883,DATABASE!C:Q,11,false)</f>
        <v>#N/A</v>
      </c>
    </row>
    <row r="10884" ht="22.5" customHeight="1">
      <c r="A10884" s="49"/>
      <c r="C10884" s="400"/>
      <c r="D10884" s="524"/>
      <c r="E10884" s="544"/>
      <c r="F10884" s="387"/>
      <c r="G10884" s="140"/>
      <c r="H10884" s="74"/>
      <c r="I10884" s="74">
        <f t="shared" si="7"/>
        <v>0</v>
      </c>
      <c r="J10884" s="74" t="str">
        <f>IF(E10884="SERVICE",I10884-(I10884*50%),Vlookup(E10884,DATABASE!C:Q,10,false)*F10884)</f>
        <v>#N/A</v>
      </c>
      <c r="K10884" s="74" t="str">
        <f>VLOOKUP(E10884,DATABASE!C:Q,7,false)</f>
        <v>#N/A</v>
      </c>
      <c r="L10884" s="74"/>
      <c r="M10884" s="74">
        <f t="shared" si="6"/>
        <v>0</v>
      </c>
      <c r="N10884" s="74" t="str">
        <f t="shared" si="9"/>
        <v>#N/A</v>
      </c>
      <c r="O10884" s="65" t="str">
        <f>VLOOKUP(E10884,DATABASE!C:Q,8,false)</f>
        <v>#N/A</v>
      </c>
      <c r="P10884" s="65" t="str">
        <f>VLOOKUP(E10884,DATABASE!C:Q,9,False)</f>
        <v>#N/A</v>
      </c>
      <c r="Q10884" s="93" t="str">
        <f>VLOOKUP(E10884,DATABASE!C:Q,4,false)</f>
        <v>#N/A</v>
      </c>
      <c r="R10884" s="93" t="str">
        <f>VLOOKUP(E10884,DATABASE!C:Q,11,false)</f>
        <v>#N/A</v>
      </c>
    </row>
    <row r="10885" ht="22.5" customHeight="1">
      <c r="A10885" s="49"/>
      <c r="C10885" s="400"/>
      <c r="D10885" s="524"/>
      <c r="E10885" s="544"/>
      <c r="F10885" s="387"/>
      <c r="G10885" s="140"/>
      <c r="H10885" s="74"/>
      <c r="I10885" s="74">
        <f t="shared" si="7"/>
        <v>0</v>
      </c>
      <c r="J10885" s="74" t="str">
        <f>IF(E10885="SERVICE",I10885-(I10885*50%),Vlookup(E10885,DATABASE!C:Q,10,false)*F10885)</f>
        <v>#N/A</v>
      </c>
      <c r="K10885" s="74" t="str">
        <f>VLOOKUP(E10885,DATABASE!C:Q,7,false)</f>
        <v>#N/A</v>
      </c>
      <c r="L10885" s="74"/>
      <c r="M10885" s="74">
        <f t="shared" si="6"/>
        <v>0</v>
      </c>
      <c r="N10885" s="74" t="str">
        <f t="shared" si="9"/>
        <v>#N/A</v>
      </c>
      <c r="O10885" s="65" t="str">
        <f>VLOOKUP(E10885,DATABASE!C:Q,8,false)</f>
        <v>#N/A</v>
      </c>
      <c r="P10885" s="65" t="str">
        <f>VLOOKUP(E10885,DATABASE!C:Q,9,False)</f>
        <v>#N/A</v>
      </c>
      <c r="Q10885" s="93" t="str">
        <f>VLOOKUP(E10885,DATABASE!C:Q,4,false)</f>
        <v>#N/A</v>
      </c>
      <c r="R10885" s="93" t="str">
        <f>VLOOKUP(E10885,DATABASE!C:Q,11,false)</f>
        <v>#N/A</v>
      </c>
    </row>
    <row r="10886" ht="22.5" customHeight="1">
      <c r="A10886" s="49"/>
      <c r="C10886" s="400"/>
      <c r="D10886" s="524"/>
      <c r="E10886" s="544"/>
      <c r="F10886" s="387"/>
      <c r="G10886" s="140"/>
      <c r="H10886" s="74"/>
      <c r="I10886" s="74">
        <f t="shared" si="7"/>
        <v>0</v>
      </c>
      <c r="J10886" s="74" t="str">
        <f>IF(E10886="SERVICE",I10886-(I10886*50%),Vlookup(E10886,DATABASE!C:Q,10,false)*F10886)</f>
        <v>#N/A</v>
      </c>
      <c r="K10886" s="74" t="str">
        <f>VLOOKUP(E10886,DATABASE!C:Q,7,false)</f>
        <v>#N/A</v>
      </c>
      <c r="L10886" s="74"/>
      <c r="M10886" s="74">
        <f t="shared" si="6"/>
        <v>0</v>
      </c>
      <c r="N10886" s="74" t="str">
        <f t="shared" si="9"/>
        <v>#N/A</v>
      </c>
      <c r="O10886" s="65" t="str">
        <f>VLOOKUP(E10886,DATABASE!C:Q,8,false)</f>
        <v>#N/A</v>
      </c>
      <c r="P10886" s="65" t="str">
        <f>VLOOKUP(E10886,DATABASE!C:Q,9,False)</f>
        <v>#N/A</v>
      </c>
      <c r="Q10886" s="93" t="str">
        <f>VLOOKUP(E10886,DATABASE!C:Q,4,false)</f>
        <v>#N/A</v>
      </c>
      <c r="R10886" s="93" t="str">
        <f>VLOOKUP(E10886,DATABASE!C:Q,11,false)</f>
        <v>#N/A</v>
      </c>
    </row>
    <row r="10887" ht="22.5" customHeight="1">
      <c r="A10887" s="49"/>
      <c r="C10887" s="400"/>
      <c r="D10887" s="524"/>
      <c r="E10887" s="544"/>
      <c r="F10887" s="387"/>
      <c r="G10887" s="140"/>
      <c r="H10887" s="74"/>
      <c r="I10887" s="74">
        <f t="shared" si="7"/>
        <v>0</v>
      </c>
      <c r="J10887" s="74" t="str">
        <f>IF(E10887="SERVICE",I10887-(I10887*50%),Vlookup(E10887,DATABASE!C:Q,10,false)*F10887)</f>
        <v>#N/A</v>
      </c>
      <c r="K10887" s="74" t="str">
        <f>VLOOKUP(E10887,DATABASE!C:Q,7,false)</f>
        <v>#N/A</v>
      </c>
      <c r="L10887" s="74"/>
      <c r="M10887" s="74">
        <f t="shared" si="6"/>
        <v>0</v>
      </c>
      <c r="N10887" s="74" t="str">
        <f t="shared" si="9"/>
        <v>#N/A</v>
      </c>
      <c r="O10887" s="65" t="str">
        <f>VLOOKUP(E10887,DATABASE!C:Q,8,false)</f>
        <v>#N/A</v>
      </c>
      <c r="P10887" s="65" t="str">
        <f>VLOOKUP(E10887,DATABASE!C:Q,9,False)</f>
        <v>#N/A</v>
      </c>
      <c r="Q10887" s="93" t="str">
        <f>VLOOKUP(E10887,DATABASE!C:Q,4,false)</f>
        <v>#N/A</v>
      </c>
      <c r="R10887" s="93" t="str">
        <f>VLOOKUP(E10887,DATABASE!C:Q,11,false)</f>
        <v>#N/A</v>
      </c>
    </row>
    <row r="10888" ht="22.5" customHeight="1">
      <c r="A10888" s="49"/>
      <c r="C10888" s="400"/>
      <c r="D10888" s="524"/>
      <c r="E10888" s="544"/>
      <c r="F10888" s="387"/>
      <c r="G10888" s="140"/>
      <c r="H10888" s="74"/>
      <c r="I10888" s="74">
        <f t="shared" si="7"/>
        <v>0</v>
      </c>
      <c r="J10888" s="74" t="str">
        <f>IF(E10888="SERVICE",I10888-(I10888*50%),Vlookup(E10888,DATABASE!C:Q,10,false)*F10888)</f>
        <v>#N/A</v>
      </c>
      <c r="K10888" s="74" t="str">
        <f>VLOOKUP(E10888,DATABASE!C:Q,7,false)</f>
        <v>#N/A</v>
      </c>
      <c r="L10888" s="74"/>
      <c r="M10888" s="74">
        <f t="shared" si="6"/>
        <v>0</v>
      </c>
      <c r="N10888" s="74" t="str">
        <f t="shared" si="9"/>
        <v>#N/A</v>
      </c>
      <c r="O10888" s="65" t="str">
        <f>VLOOKUP(E10888,DATABASE!C:Q,8,false)</f>
        <v>#N/A</v>
      </c>
      <c r="P10888" s="65" t="str">
        <f>VLOOKUP(E10888,DATABASE!C:Q,9,False)</f>
        <v>#N/A</v>
      </c>
      <c r="Q10888" s="93" t="str">
        <f>VLOOKUP(E10888,DATABASE!C:Q,4,false)</f>
        <v>#N/A</v>
      </c>
      <c r="R10888" s="93" t="str">
        <f>VLOOKUP(E10888,DATABASE!C:Q,11,false)</f>
        <v>#N/A</v>
      </c>
    </row>
    <row r="10889" ht="22.5" customHeight="1">
      <c r="A10889" s="49"/>
      <c r="C10889" s="400"/>
      <c r="D10889" s="524"/>
      <c r="E10889" s="544"/>
      <c r="F10889" s="387"/>
      <c r="G10889" s="140"/>
      <c r="H10889" s="74"/>
      <c r="I10889" s="74">
        <f t="shared" si="7"/>
        <v>0</v>
      </c>
      <c r="J10889" s="74" t="str">
        <f>IF(E10889="SERVICE",I10889-(I10889*50%),Vlookup(E10889,DATABASE!C:Q,10,false)*F10889)</f>
        <v>#N/A</v>
      </c>
      <c r="K10889" s="74" t="str">
        <f>VLOOKUP(E10889,DATABASE!C:Q,7,false)</f>
        <v>#N/A</v>
      </c>
      <c r="L10889" s="74"/>
      <c r="M10889" s="74">
        <f t="shared" si="6"/>
        <v>0</v>
      </c>
      <c r="N10889" s="74" t="str">
        <f t="shared" si="9"/>
        <v>#N/A</v>
      </c>
      <c r="O10889" s="65" t="str">
        <f>VLOOKUP(E10889,DATABASE!C:Q,8,false)</f>
        <v>#N/A</v>
      </c>
      <c r="P10889" s="65" t="str">
        <f>VLOOKUP(E10889,DATABASE!C:Q,9,False)</f>
        <v>#N/A</v>
      </c>
      <c r="Q10889" s="93" t="str">
        <f>VLOOKUP(E10889,DATABASE!C:Q,4,false)</f>
        <v>#N/A</v>
      </c>
      <c r="R10889" s="93" t="str">
        <f>VLOOKUP(E10889,DATABASE!C:Q,11,false)</f>
        <v>#N/A</v>
      </c>
    </row>
    <row r="10890" ht="22.5" customHeight="1">
      <c r="A10890" s="49"/>
      <c r="C10890" s="400"/>
      <c r="D10890" s="524"/>
      <c r="E10890" s="544"/>
      <c r="F10890" s="387"/>
      <c r="G10890" s="140"/>
      <c r="H10890" s="74"/>
      <c r="I10890" s="74">
        <f t="shared" si="7"/>
        <v>0</v>
      </c>
      <c r="J10890" s="74" t="str">
        <f>IF(E10890="SERVICE",I10890-(I10890*50%),Vlookup(E10890,DATABASE!C:Q,10,false)*F10890)</f>
        <v>#N/A</v>
      </c>
      <c r="K10890" s="74" t="str">
        <f>VLOOKUP(E10890,DATABASE!C:Q,7,false)</f>
        <v>#N/A</v>
      </c>
      <c r="L10890" s="74"/>
      <c r="M10890" s="74">
        <f t="shared" si="6"/>
        <v>0</v>
      </c>
      <c r="N10890" s="74" t="str">
        <f t="shared" si="9"/>
        <v>#N/A</v>
      </c>
      <c r="O10890" s="65" t="str">
        <f>VLOOKUP(E10890,DATABASE!C:Q,8,false)</f>
        <v>#N/A</v>
      </c>
      <c r="P10890" s="65" t="str">
        <f>VLOOKUP(E10890,DATABASE!C:Q,9,False)</f>
        <v>#N/A</v>
      </c>
      <c r="Q10890" s="93" t="str">
        <f>VLOOKUP(E10890,DATABASE!C:Q,4,false)</f>
        <v>#N/A</v>
      </c>
      <c r="R10890" s="93" t="str">
        <f>VLOOKUP(E10890,DATABASE!C:Q,11,false)</f>
        <v>#N/A</v>
      </c>
    </row>
    <row r="10891" ht="22.5" customHeight="1">
      <c r="A10891" s="49"/>
      <c r="C10891" s="400"/>
      <c r="D10891" s="524"/>
      <c r="E10891" s="544"/>
      <c r="F10891" s="387"/>
      <c r="G10891" s="140"/>
      <c r="H10891" s="74"/>
      <c r="I10891" s="74">
        <f t="shared" si="7"/>
        <v>0</v>
      </c>
      <c r="J10891" s="74" t="str">
        <f>IF(E10891="SERVICE",I10891-(I10891*50%),Vlookup(E10891,DATABASE!C:Q,10,false)*F10891)</f>
        <v>#N/A</v>
      </c>
      <c r="K10891" s="74" t="str">
        <f>VLOOKUP(E10891,DATABASE!C:Q,7,false)</f>
        <v>#N/A</v>
      </c>
      <c r="L10891" s="74"/>
      <c r="M10891" s="74">
        <f t="shared" si="6"/>
        <v>0</v>
      </c>
      <c r="N10891" s="74" t="str">
        <f t="shared" si="9"/>
        <v>#N/A</v>
      </c>
      <c r="O10891" s="65" t="str">
        <f>VLOOKUP(E10891,DATABASE!C:Q,8,false)</f>
        <v>#N/A</v>
      </c>
      <c r="P10891" s="65" t="str">
        <f>VLOOKUP(E10891,DATABASE!C:Q,9,False)</f>
        <v>#N/A</v>
      </c>
      <c r="Q10891" s="93" t="str">
        <f>VLOOKUP(E10891,DATABASE!C:Q,4,false)</f>
        <v>#N/A</v>
      </c>
      <c r="R10891" s="93" t="str">
        <f>VLOOKUP(E10891,DATABASE!C:Q,11,false)</f>
        <v>#N/A</v>
      </c>
    </row>
    <row r="10892" ht="22.5" customHeight="1">
      <c r="A10892" s="49"/>
      <c r="C10892" s="400"/>
      <c r="D10892" s="524"/>
      <c r="E10892" s="544"/>
      <c r="F10892" s="387"/>
      <c r="G10892" s="140"/>
      <c r="H10892" s="74"/>
      <c r="I10892" s="74">
        <f t="shared" si="7"/>
        <v>0</v>
      </c>
      <c r="J10892" s="74" t="str">
        <f>IF(E10892="SERVICE",I10892-(I10892*50%),Vlookup(E10892,DATABASE!C:Q,10,false)*F10892)</f>
        <v>#N/A</v>
      </c>
      <c r="K10892" s="74" t="str">
        <f>VLOOKUP(E10892,DATABASE!C:Q,7,false)</f>
        <v>#N/A</v>
      </c>
      <c r="L10892" s="74"/>
      <c r="M10892" s="74">
        <f t="shared" si="6"/>
        <v>0</v>
      </c>
      <c r="N10892" s="74" t="str">
        <f t="shared" si="9"/>
        <v>#N/A</v>
      </c>
      <c r="O10892" s="65" t="str">
        <f>VLOOKUP(E10892,DATABASE!C:Q,8,false)</f>
        <v>#N/A</v>
      </c>
      <c r="P10892" s="65" t="str">
        <f>VLOOKUP(E10892,DATABASE!C:Q,9,False)</f>
        <v>#N/A</v>
      </c>
      <c r="Q10892" s="93" t="str">
        <f>VLOOKUP(E10892,DATABASE!C:Q,4,false)</f>
        <v>#N/A</v>
      </c>
      <c r="R10892" s="93" t="str">
        <f>VLOOKUP(E10892,DATABASE!C:Q,11,false)</f>
        <v>#N/A</v>
      </c>
    </row>
    <row r="10893" ht="22.5" customHeight="1">
      <c r="A10893" s="49"/>
      <c r="C10893" s="400"/>
      <c r="D10893" s="524"/>
      <c r="E10893" s="544"/>
      <c r="F10893" s="387"/>
      <c r="G10893" s="140"/>
      <c r="H10893" s="74"/>
      <c r="I10893" s="74">
        <f t="shared" si="7"/>
        <v>0</v>
      </c>
      <c r="J10893" s="74" t="str">
        <f>IF(E10893="SERVICE",I10893-(I10893*50%),Vlookup(E10893,DATABASE!C:Q,10,false)*F10893)</f>
        <v>#N/A</v>
      </c>
      <c r="K10893" s="74" t="str">
        <f>VLOOKUP(E10893,DATABASE!C:Q,7,false)</f>
        <v>#N/A</v>
      </c>
      <c r="L10893" s="74"/>
      <c r="M10893" s="74">
        <f t="shared" si="6"/>
        <v>0</v>
      </c>
      <c r="N10893" s="74" t="str">
        <f t="shared" si="9"/>
        <v>#N/A</v>
      </c>
      <c r="O10893" s="65" t="str">
        <f>VLOOKUP(E10893,DATABASE!C:Q,8,false)</f>
        <v>#N/A</v>
      </c>
      <c r="P10893" s="65" t="str">
        <f>VLOOKUP(E10893,DATABASE!C:Q,9,False)</f>
        <v>#N/A</v>
      </c>
      <c r="Q10893" s="93" t="str">
        <f>VLOOKUP(E10893,DATABASE!C:Q,4,false)</f>
        <v>#N/A</v>
      </c>
      <c r="R10893" s="93" t="str">
        <f>VLOOKUP(E10893,DATABASE!C:Q,11,false)</f>
        <v>#N/A</v>
      </c>
    </row>
    <row r="10894" ht="22.5" customHeight="1">
      <c r="A10894" s="49"/>
      <c r="C10894" s="400"/>
      <c r="D10894" s="524"/>
      <c r="E10894" s="544"/>
      <c r="F10894" s="387"/>
      <c r="G10894" s="140"/>
      <c r="H10894" s="74"/>
      <c r="I10894" s="74">
        <f t="shared" si="7"/>
        <v>0</v>
      </c>
      <c r="J10894" s="74" t="str">
        <f>IF(E10894="SERVICE",I10894-(I10894*50%),Vlookup(E10894,DATABASE!C:Q,10,false)*F10894)</f>
        <v>#N/A</v>
      </c>
      <c r="K10894" s="74" t="str">
        <f>VLOOKUP(E10894,DATABASE!C:Q,7,false)</f>
        <v>#N/A</v>
      </c>
      <c r="L10894" s="74"/>
      <c r="M10894" s="74">
        <f t="shared" si="6"/>
        <v>0</v>
      </c>
      <c r="N10894" s="74" t="str">
        <f t="shared" si="9"/>
        <v>#N/A</v>
      </c>
      <c r="O10894" s="65" t="str">
        <f>VLOOKUP(E10894,DATABASE!C:Q,8,false)</f>
        <v>#N/A</v>
      </c>
      <c r="P10894" s="65" t="str">
        <f>VLOOKUP(E10894,DATABASE!C:Q,9,False)</f>
        <v>#N/A</v>
      </c>
      <c r="Q10894" s="93" t="str">
        <f>VLOOKUP(E10894,DATABASE!C:Q,4,false)</f>
        <v>#N/A</v>
      </c>
      <c r="R10894" s="93" t="str">
        <f>VLOOKUP(E10894,DATABASE!C:Q,11,false)</f>
        <v>#N/A</v>
      </c>
    </row>
    <row r="10895" ht="22.5" customHeight="1">
      <c r="A10895" s="49"/>
      <c r="C10895" s="400"/>
      <c r="D10895" s="524"/>
      <c r="E10895" s="544"/>
      <c r="F10895" s="387"/>
      <c r="G10895" s="140"/>
      <c r="H10895" s="74"/>
      <c r="I10895" s="74">
        <f t="shared" si="7"/>
        <v>0</v>
      </c>
      <c r="J10895" s="74" t="str">
        <f>IF(E10895="SERVICE",I10895-(I10895*50%),Vlookup(E10895,DATABASE!C:Q,10,false)*F10895)</f>
        <v>#N/A</v>
      </c>
      <c r="K10895" s="74" t="str">
        <f>VLOOKUP(E10895,DATABASE!C:Q,7,false)</f>
        <v>#N/A</v>
      </c>
      <c r="L10895" s="74"/>
      <c r="M10895" s="74">
        <f t="shared" si="6"/>
        <v>0</v>
      </c>
      <c r="N10895" s="74" t="str">
        <f t="shared" si="9"/>
        <v>#N/A</v>
      </c>
      <c r="O10895" s="65" t="str">
        <f>VLOOKUP(E10895,DATABASE!C:Q,8,false)</f>
        <v>#N/A</v>
      </c>
      <c r="P10895" s="65" t="str">
        <f>VLOOKUP(E10895,DATABASE!C:Q,9,False)</f>
        <v>#N/A</v>
      </c>
      <c r="Q10895" s="93" t="str">
        <f>VLOOKUP(E10895,DATABASE!C:Q,4,false)</f>
        <v>#N/A</v>
      </c>
      <c r="R10895" s="93" t="str">
        <f>VLOOKUP(E10895,DATABASE!C:Q,11,false)</f>
        <v>#N/A</v>
      </c>
    </row>
    <row r="10896" ht="22.5" customHeight="1">
      <c r="A10896" s="49"/>
      <c r="C10896" s="400"/>
      <c r="D10896" s="524"/>
      <c r="E10896" s="544"/>
      <c r="F10896" s="387"/>
      <c r="G10896" s="140"/>
      <c r="H10896" s="74"/>
      <c r="I10896" s="74">
        <f t="shared" si="7"/>
        <v>0</v>
      </c>
      <c r="J10896" s="74" t="str">
        <f>IF(E10896="SERVICE",I10896-(I10896*50%),Vlookup(E10896,DATABASE!C:Q,10,false)*F10896)</f>
        <v>#N/A</v>
      </c>
      <c r="K10896" s="74" t="str">
        <f>VLOOKUP(E10896,DATABASE!C:Q,7,false)</f>
        <v>#N/A</v>
      </c>
      <c r="L10896" s="74"/>
      <c r="M10896" s="74">
        <f t="shared" si="6"/>
        <v>0</v>
      </c>
      <c r="N10896" s="74" t="str">
        <f t="shared" si="9"/>
        <v>#N/A</v>
      </c>
      <c r="O10896" s="65" t="str">
        <f>VLOOKUP(E10896,DATABASE!C:Q,8,false)</f>
        <v>#N/A</v>
      </c>
      <c r="P10896" s="65" t="str">
        <f>VLOOKUP(E10896,DATABASE!C:Q,9,False)</f>
        <v>#N/A</v>
      </c>
      <c r="Q10896" s="93" t="str">
        <f>VLOOKUP(E10896,DATABASE!C:Q,4,false)</f>
        <v>#N/A</v>
      </c>
      <c r="R10896" s="93" t="str">
        <f>VLOOKUP(E10896,DATABASE!C:Q,11,false)</f>
        <v>#N/A</v>
      </c>
    </row>
    <row r="10897" ht="22.5" customHeight="1">
      <c r="A10897" s="49"/>
      <c r="C10897" s="400"/>
      <c r="D10897" s="524"/>
      <c r="E10897" s="544"/>
      <c r="F10897" s="387"/>
      <c r="G10897" s="140"/>
      <c r="H10897" s="74"/>
      <c r="I10897" s="74">
        <f t="shared" si="7"/>
        <v>0</v>
      </c>
      <c r="J10897" s="74" t="str">
        <f>IF(E10897="SERVICE",I10897-(I10897*50%),Vlookup(E10897,DATABASE!C:Q,10,false)*F10897)</f>
        <v>#N/A</v>
      </c>
      <c r="K10897" s="74" t="str">
        <f>VLOOKUP(E10897,DATABASE!C:Q,7,false)</f>
        <v>#N/A</v>
      </c>
      <c r="L10897" s="74"/>
      <c r="M10897" s="74">
        <f t="shared" si="6"/>
        <v>0</v>
      </c>
      <c r="N10897" s="74" t="str">
        <f t="shared" si="9"/>
        <v>#N/A</v>
      </c>
      <c r="O10897" s="65" t="str">
        <f>VLOOKUP(E10897,DATABASE!C:Q,8,false)</f>
        <v>#N/A</v>
      </c>
      <c r="P10897" s="65" t="str">
        <f>VLOOKUP(E10897,DATABASE!C:Q,9,False)</f>
        <v>#N/A</v>
      </c>
      <c r="Q10897" s="93" t="str">
        <f>VLOOKUP(E10897,DATABASE!C:Q,4,false)</f>
        <v>#N/A</v>
      </c>
      <c r="R10897" s="93" t="str">
        <f>VLOOKUP(E10897,DATABASE!C:Q,11,false)</f>
        <v>#N/A</v>
      </c>
    </row>
    <row r="10898" ht="22.5" customHeight="1">
      <c r="A10898" s="49"/>
      <c r="C10898" s="400"/>
      <c r="D10898" s="524"/>
      <c r="E10898" s="544"/>
      <c r="F10898" s="387"/>
      <c r="G10898" s="140"/>
      <c r="H10898" s="74"/>
      <c r="I10898" s="74">
        <f t="shared" si="7"/>
        <v>0</v>
      </c>
      <c r="J10898" s="74" t="str">
        <f>IF(E10898="SERVICE",I10898-(I10898*50%),Vlookup(E10898,DATABASE!C:Q,10,false)*F10898)</f>
        <v>#N/A</v>
      </c>
      <c r="K10898" s="74" t="str">
        <f>VLOOKUP(E10898,DATABASE!C:Q,7,false)</f>
        <v>#N/A</v>
      </c>
      <c r="L10898" s="74"/>
      <c r="M10898" s="74">
        <f t="shared" si="6"/>
        <v>0</v>
      </c>
      <c r="N10898" s="74" t="str">
        <f t="shared" si="9"/>
        <v>#N/A</v>
      </c>
      <c r="O10898" s="65" t="str">
        <f>VLOOKUP(E10898,DATABASE!C:Q,8,false)</f>
        <v>#N/A</v>
      </c>
      <c r="P10898" s="65" t="str">
        <f>VLOOKUP(E10898,DATABASE!C:Q,9,False)</f>
        <v>#N/A</v>
      </c>
      <c r="Q10898" s="93" t="str">
        <f>VLOOKUP(E10898,DATABASE!C:Q,4,false)</f>
        <v>#N/A</v>
      </c>
      <c r="R10898" s="93" t="str">
        <f>VLOOKUP(E10898,DATABASE!C:Q,11,false)</f>
        <v>#N/A</v>
      </c>
    </row>
    <row r="10899" ht="22.5" customHeight="1">
      <c r="A10899" s="49"/>
      <c r="C10899" s="400"/>
      <c r="D10899" s="524"/>
      <c r="E10899" s="544"/>
      <c r="F10899" s="387"/>
      <c r="G10899" s="140"/>
      <c r="H10899" s="74"/>
      <c r="I10899" s="74">
        <f t="shared" si="7"/>
        <v>0</v>
      </c>
      <c r="J10899" s="74" t="str">
        <f>IF(E10899="SERVICE",I10899-(I10899*50%),Vlookup(E10899,DATABASE!C:Q,10,false)*F10899)</f>
        <v>#N/A</v>
      </c>
      <c r="K10899" s="74" t="str">
        <f>VLOOKUP(E10899,DATABASE!C:Q,7,false)</f>
        <v>#N/A</v>
      </c>
      <c r="L10899" s="74"/>
      <c r="M10899" s="74">
        <f t="shared" si="6"/>
        <v>0</v>
      </c>
      <c r="N10899" s="74" t="str">
        <f t="shared" si="9"/>
        <v>#N/A</v>
      </c>
      <c r="O10899" s="65" t="str">
        <f>VLOOKUP(E10899,DATABASE!C:Q,8,false)</f>
        <v>#N/A</v>
      </c>
      <c r="P10899" s="65" t="str">
        <f>VLOOKUP(E10899,DATABASE!C:Q,9,False)</f>
        <v>#N/A</v>
      </c>
      <c r="Q10899" s="93" t="str">
        <f>VLOOKUP(E10899,DATABASE!C:Q,4,false)</f>
        <v>#N/A</v>
      </c>
      <c r="R10899" s="93" t="str">
        <f>VLOOKUP(E10899,DATABASE!C:Q,11,false)</f>
        <v>#N/A</v>
      </c>
    </row>
    <row r="10900" ht="22.5" customHeight="1">
      <c r="A10900" s="49"/>
      <c r="C10900" s="400"/>
      <c r="D10900" s="524"/>
      <c r="E10900" s="544"/>
      <c r="F10900" s="387"/>
      <c r="G10900" s="140"/>
      <c r="H10900" s="74"/>
      <c r="I10900" s="74">
        <f t="shared" si="7"/>
        <v>0</v>
      </c>
      <c r="J10900" s="74" t="str">
        <f>IF(E10900="SERVICE",I10900-(I10900*50%),Vlookup(E10900,DATABASE!C:Q,10,false)*F10900)</f>
        <v>#N/A</v>
      </c>
      <c r="K10900" s="74" t="str">
        <f>VLOOKUP(E10900,DATABASE!C:Q,7,false)</f>
        <v>#N/A</v>
      </c>
      <c r="L10900" s="74"/>
      <c r="M10900" s="74">
        <f t="shared" si="6"/>
        <v>0</v>
      </c>
      <c r="N10900" s="74" t="str">
        <f t="shared" si="9"/>
        <v>#N/A</v>
      </c>
      <c r="O10900" s="65" t="str">
        <f>VLOOKUP(E10900,DATABASE!C:Q,8,false)</f>
        <v>#N/A</v>
      </c>
      <c r="P10900" s="65" t="str">
        <f>VLOOKUP(E10900,DATABASE!C:Q,9,False)</f>
        <v>#N/A</v>
      </c>
      <c r="Q10900" s="93" t="str">
        <f>VLOOKUP(E10900,DATABASE!C:Q,4,false)</f>
        <v>#N/A</v>
      </c>
      <c r="R10900" s="93" t="str">
        <f>VLOOKUP(E10900,DATABASE!C:Q,11,false)</f>
        <v>#N/A</v>
      </c>
    </row>
    <row r="10901" ht="22.5" customHeight="1">
      <c r="A10901" s="49"/>
      <c r="C10901" s="400"/>
      <c r="D10901" s="524"/>
      <c r="E10901" s="544"/>
      <c r="F10901" s="387"/>
      <c r="G10901" s="140"/>
      <c r="H10901" s="74"/>
      <c r="I10901" s="74">
        <f t="shared" si="7"/>
        <v>0</v>
      </c>
      <c r="J10901" s="74" t="str">
        <f>IF(E10901="SERVICE",I10901-(I10901*50%),Vlookup(E10901,DATABASE!C:Q,10,false)*F10901)</f>
        <v>#N/A</v>
      </c>
      <c r="K10901" s="74" t="str">
        <f>VLOOKUP(E10901,DATABASE!C:Q,7,false)</f>
        <v>#N/A</v>
      </c>
      <c r="L10901" s="74"/>
      <c r="M10901" s="74">
        <f t="shared" si="6"/>
        <v>0</v>
      </c>
      <c r="N10901" s="74" t="str">
        <f t="shared" si="9"/>
        <v>#N/A</v>
      </c>
      <c r="O10901" s="65" t="str">
        <f>VLOOKUP(E10901,DATABASE!C:Q,8,false)</f>
        <v>#N/A</v>
      </c>
      <c r="P10901" s="65" t="str">
        <f>VLOOKUP(E10901,DATABASE!C:Q,9,False)</f>
        <v>#N/A</v>
      </c>
      <c r="Q10901" s="93" t="str">
        <f>VLOOKUP(E10901,DATABASE!C:Q,4,false)</f>
        <v>#N/A</v>
      </c>
      <c r="R10901" s="93" t="str">
        <f>VLOOKUP(E10901,DATABASE!C:Q,11,false)</f>
        <v>#N/A</v>
      </c>
    </row>
    <row r="10902" ht="22.5" customHeight="1">
      <c r="A10902" s="49"/>
      <c r="C10902" s="400"/>
      <c r="D10902" s="524"/>
      <c r="E10902" s="544"/>
      <c r="F10902" s="387"/>
      <c r="G10902" s="140"/>
      <c r="H10902" s="74"/>
      <c r="I10902" s="74">
        <f t="shared" si="7"/>
        <v>0</v>
      </c>
      <c r="J10902" s="74" t="str">
        <f>IF(E10902="SERVICE",I10902-(I10902*50%),Vlookup(E10902,DATABASE!C:Q,10,false)*F10902)</f>
        <v>#N/A</v>
      </c>
      <c r="K10902" s="74" t="str">
        <f>VLOOKUP(E10902,DATABASE!C:Q,7,false)</f>
        <v>#N/A</v>
      </c>
      <c r="L10902" s="74"/>
      <c r="M10902" s="74">
        <f t="shared" si="6"/>
        <v>0</v>
      </c>
      <c r="N10902" s="74" t="str">
        <f t="shared" si="9"/>
        <v>#N/A</v>
      </c>
      <c r="O10902" s="65" t="str">
        <f>VLOOKUP(E10902,DATABASE!C:Q,8,false)</f>
        <v>#N/A</v>
      </c>
      <c r="P10902" s="65" t="str">
        <f>VLOOKUP(E10902,DATABASE!C:Q,9,False)</f>
        <v>#N/A</v>
      </c>
      <c r="Q10902" s="93" t="str">
        <f>VLOOKUP(E10902,DATABASE!C:Q,4,false)</f>
        <v>#N/A</v>
      </c>
      <c r="R10902" s="93" t="str">
        <f>VLOOKUP(E10902,DATABASE!C:Q,11,false)</f>
        <v>#N/A</v>
      </c>
    </row>
    <row r="10903" ht="22.5" customHeight="1">
      <c r="A10903" s="49"/>
      <c r="C10903" s="400"/>
      <c r="D10903" s="524"/>
      <c r="E10903" s="544"/>
      <c r="F10903" s="387"/>
      <c r="G10903" s="140"/>
      <c r="H10903" s="74"/>
      <c r="I10903" s="74">
        <f t="shared" si="7"/>
        <v>0</v>
      </c>
      <c r="J10903" s="74" t="str">
        <f>IF(E10903="SERVICE",I10903-(I10903*50%),Vlookup(E10903,DATABASE!C:Q,10,false)*F10903)</f>
        <v>#N/A</v>
      </c>
      <c r="K10903" s="74" t="str">
        <f>VLOOKUP(E10903,DATABASE!C:Q,7,false)</f>
        <v>#N/A</v>
      </c>
      <c r="L10903" s="74"/>
      <c r="M10903" s="74">
        <f t="shared" si="6"/>
        <v>0</v>
      </c>
      <c r="N10903" s="74" t="str">
        <f t="shared" si="9"/>
        <v>#N/A</v>
      </c>
      <c r="O10903" s="65" t="str">
        <f>VLOOKUP(E10903,DATABASE!C:Q,8,false)</f>
        <v>#N/A</v>
      </c>
      <c r="P10903" s="65" t="str">
        <f>VLOOKUP(E10903,DATABASE!C:Q,9,False)</f>
        <v>#N/A</v>
      </c>
      <c r="Q10903" s="93" t="str">
        <f>VLOOKUP(E10903,DATABASE!C:Q,4,false)</f>
        <v>#N/A</v>
      </c>
      <c r="R10903" s="93" t="str">
        <f>VLOOKUP(E10903,DATABASE!C:Q,11,false)</f>
        <v>#N/A</v>
      </c>
    </row>
    <row r="10904" ht="22.5" customHeight="1">
      <c r="A10904" s="49"/>
      <c r="C10904" s="400"/>
      <c r="D10904" s="524"/>
      <c r="E10904" s="544"/>
      <c r="F10904" s="387"/>
      <c r="G10904" s="140"/>
      <c r="H10904" s="74"/>
      <c r="I10904" s="74">
        <f t="shared" si="7"/>
        <v>0</v>
      </c>
      <c r="J10904" s="74" t="str">
        <f>IF(E10904="SERVICE",I10904-(I10904*50%),Vlookup(E10904,DATABASE!C:Q,10,false)*F10904)</f>
        <v>#N/A</v>
      </c>
      <c r="K10904" s="74" t="str">
        <f>VLOOKUP(E10904,DATABASE!C:Q,7,false)</f>
        <v>#N/A</v>
      </c>
      <c r="L10904" s="74"/>
      <c r="M10904" s="74">
        <f t="shared" si="6"/>
        <v>0</v>
      </c>
      <c r="N10904" s="74" t="str">
        <f t="shared" si="9"/>
        <v>#N/A</v>
      </c>
      <c r="O10904" s="65" t="str">
        <f>VLOOKUP(E10904,DATABASE!C:Q,8,false)</f>
        <v>#N/A</v>
      </c>
      <c r="P10904" s="65" t="str">
        <f>VLOOKUP(E10904,DATABASE!C:Q,9,False)</f>
        <v>#N/A</v>
      </c>
      <c r="Q10904" s="93" t="str">
        <f>VLOOKUP(E10904,DATABASE!C:Q,4,false)</f>
        <v>#N/A</v>
      </c>
      <c r="R10904" s="93" t="str">
        <f>VLOOKUP(E10904,DATABASE!C:Q,11,false)</f>
        <v>#N/A</v>
      </c>
    </row>
    <row r="10905" ht="22.5" customHeight="1">
      <c r="A10905" s="49"/>
      <c r="C10905" s="400"/>
      <c r="D10905" s="524"/>
      <c r="E10905" s="544"/>
      <c r="F10905" s="387"/>
      <c r="G10905" s="140"/>
      <c r="H10905" s="74"/>
      <c r="I10905" s="74">
        <f t="shared" si="7"/>
        <v>0</v>
      </c>
      <c r="J10905" s="74" t="str">
        <f>IF(E10905="SERVICE",I10905-(I10905*50%),Vlookup(E10905,DATABASE!C:Q,10,false)*F10905)</f>
        <v>#N/A</v>
      </c>
      <c r="K10905" s="74" t="str">
        <f>VLOOKUP(E10905,DATABASE!C:Q,7,false)</f>
        <v>#N/A</v>
      </c>
      <c r="L10905" s="74"/>
      <c r="M10905" s="74">
        <f t="shared" si="6"/>
        <v>0</v>
      </c>
      <c r="N10905" s="74" t="str">
        <f t="shared" si="9"/>
        <v>#N/A</v>
      </c>
      <c r="O10905" s="65" t="str">
        <f>VLOOKUP(E10905,DATABASE!C:Q,8,false)</f>
        <v>#N/A</v>
      </c>
      <c r="P10905" s="65" t="str">
        <f>VLOOKUP(E10905,DATABASE!C:Q,9,False)</f>
        <v>#N/A</v>
      </c>
      <c r="Q10905" s="93" t="str">
        <f>VLOOKUP(E10905,DATABASE!C:Q,4,false)</f>
        <v>#N/A</v>
      </c>
      <c r="R10905" s="93" t="str">
        <f>VLOOKUP(E10905,DATABASE!C:Q,11,false)</f>
        <v>#N/A</v>
      </c>
    </row>
    <row r="10906" ht="22.5" customHeight="1">
      <c r="A10906" s="49"/>
      <c r="C10906" s="400"/>
      <c r="D10906" s="524"/>
      <c r="E10906" s="544"/>
      <c r="F10906" s="387"/>
      <c r="G10906" s="140"/>
      <c r="H10906" s="74"/>
      <c r="I10906" s="74">
        <f t="shared" si="7"/>
        <v>0</v>
      </c>
      <c r="J10906" s="74" t="str">
        <f>IF(E10906="SERVICE",I10906-(I10906*50%),Vlookup(E10906,DATABASE!C:Q,10,false)*F10906)</f>
        <v>#N/A</v>
      </c>
      <c r="K10906" s="74" t="str">
        <f>VLOOKUP(E10906,DATABASE!C:Q,7,false)</f>
        <v>#N/A</v>
      </c>
      <c r="L10906" s="74"/>
      <c r="M10906" s="74">
        <f t="shared" si="6"/>
        <v>0</v>
      </c>
      <c r="N10906" s="74" t="str">
        <f t="shared" si="9"/>
        <v>#N/A</v>
      </c>
      <c r="O10906" s="65" t="str">
        <f>VLOOKUP(E10906,DATABASE!C:Q,8,false)</f>
        <v>#N/A</v>
      </c>
      <c r="P10906" s="65" t="str">
        <f>VLOOKUP(E10906,DATABASE!C:Q,9,False)</f>
        <v>#N/A</v>
      </c>
      <c r="Q10906" s="93" t="str">
        <f>VLOOKUP(E10906,DATABASE!C:Q,4,false)</f>
        <v>#N/A</v>
      </c>
      <c r="R10906" s="93" t="str">
        <f>VLOOKUP(E10906,DATABASE!C:Q,11,false)</f>
        <v>#N/A</v>
      </c>
    </row>
    <row r="10907" ht="22.5" customHeight="1">
      <c r="A10907" s="49"/>
      <c r="C10907" s="400"/>
      <c r="D10907" s="524"/>
      <c r="E10907" s="544"/>
      <c r="F10907" s="387"/>
      <c r="G10907" s="140"/>
      <c r="H10907" s="74"/>
      <c r="I10907" s="74">
        <f t="shared" si="7"/>
        <v>0</v>
      </c>
      <c r="J10907" s="74" t="str">
        <f>IF(E10907="SERVICE",I10907-(I10907*50%),Vlookup(E10907,DATABASE!C:Q,10,false)*F10907)</f>
        <v>#N/A</v>
      </c>
      <c r="K10907" s="74" t="str">
        <f>VLOOKUP(E10907,DATABASE!C:Q,7,false)</f>
        <v>#N/A</v>
      </c>
      <c r="L10907" s="74"/>
      <c r="M10907" s="74">
        <f t="shared" si="6"/>
        <v>0</v>
      </c>
      <c r="N10907" s="74" t="str">
        <f t="shared" si="9"/>
        <v>#N/A</v>
      </c>
      <c r="O10907" s="65" t="str">
        <f>VLOOKUP(E10907,DATABASE!C:Q,8,false)</f>
        <v>#N/A</v>
      </c>
      <c r="P10907" s="65" t="str">
        <f>VLOOKUP(E10907,DATABASE!C:Q,9,False)</f>
        <v>#N/A</v>
      </c>
      <c r="Q10907" s="93" t="str">
        <f>VLOOKUP(E10907,DATABASE!C:Q,4,false)</f>
        <v>#N/A</v>
      </c>
      <c r="R10907" s="93" t="str">
        <f>VLOOKUP(E10907,DATABASE!C:Q,11,false)</f>
        <v>#N/A</v>
      </c>
    </row>
    <row r="10908" ht="22.5" customHeight="1">
      <c r="A10908" s="49"/>
      <c r="C10908" s="400"/>
      <c r="D10908" s="524"/>
      <c r="E10908" s="544"/>
      <c r="F10908" s="387"/>
      <c r="G10908" s="140"/>
      <c r="H10908" s="74"/>
      <c r="I10908" s="74">
        <f t="shared" si="7"/>
        <v>0</v>
      </c>
      <c r="J10908" s="74" t="str">
        <f>IF(E10908="SERVICE",I10908-(I10908*50%),Vlookup(E10908,DATABASE!C:Q,10,false)*F10908)</f>
        <v>#N/A</v>
      </c>
      <c r="K10908" s="74" t="str">
        <f>VLOOKUP(E10908,DATABASE!C:Q,7,false)</f>
        <v>#N/A</v>
      </c>
      <c r="L10908" s="74"/>
      <c r="M10908" s="74">
        <f t="shared" si="6"/>
        <v>0</v>
      </c>
      <c r="N10908" s="74" t="str">
        <f t="shared" si="9"/>
        <v>#N/A</v>
      </c>
      <c r="O10908" s="65" t="str">
        <f>VLOOKUP(E10908,DATABASE!C:Q,8,false)</f>
        <v>#N/A</v>
      </c>
      <c r="P10908" s="65" t="str">
        <f>VLOOKUP(E10908,DATABASE!C:Q,9,False)</f>
        <v>#N/A</v>
      </c>
      <c r="Q10908" s="93" t="str">
        <f>VLOOKUP(E10908,DATABASE!C:Q,4,false)</f>
        <v>#N/A</v>
      </c>
      <c r="R10908" s="93" t="str">
        <f>VLOOKUP(E10908,DATABASE!C:Q,11,false)</f>
        <v>#N/A</v>
      </c>
    </row>
    <row r="10909" ht="22.5" customHeight="1">
      <c r="A10909" s="49"/>
      <c r="C10909" s="400"/>
      <c r="D10909" s="524"/>
      <c r="E10909" s="544"/>
      <c r="F10909" s="387"/>
      <c r="G10909" s="140"/>
      <c r="H10909" s="74"/>
      <c r="I10909" s="74">
        <f t="shared" si="7"/>
        <v>0</v>
      </c>
      <c r="J10909" s="74" t="str">
        <f>IF(E10909="SERVICE",I10909-(I10909*50%),Vlookup(E10909,DATABASE!C:Q,10,false)*F10909)</f>
        <v>#N/A</v>
      </c>
      <c r="K10909" s="74" t="str">
        <f>VLOOKUP(E10909,DATABASE!C:Q,7,false)</f>
        <v>#N/A</v>
      </c>
      <c r="L10909" s="74"/>
      <c r="M10909" s="74">
        <f t="shared" si="6"/>
        <v>0</v>
      </c>
      <c r="N10909" s="74" t="str">
        <f t="shared" si="9"/>
        <v>#N/A</v>
      </c>
      <c r="O10909" s="65" t="str">
        <f>VLOOKUP(E10909,DATABASE!C:Q,8,false)</f>
        <v>#N/A</v>
      </c>
      <c r="P10909" s="65" t="str">
        <f>VLOOKUP(E10909,DATABASE!C:Q,9,False)</f>
        <v>#N/A</v>
      </c>
      <c r="Q10909" s="93" t="str">
        <f>VLOOKUP(E10909,DATABASE!C:Q,4,false)</f>
        <v>#N/A</v>
      </c>
      <c r="R10909" s="93" t="str">
        <f>VLOOKUP(E10909,DATABASE!C:Q,11,false)</f>
        <v>#N/A</v>
      </c>
    </row>
    <row r="10910" ht="22.5" customHeight="1">
      <c r="A10910" s="49"/>
      <c r="C10910" s="400"/>
      <c r="D10910" s="524"/>
      <c r="E10910" s="544"/>
      <c r="F10910" s="387"/>
      <c r="G10910" s="140"/>
      <c r="H10910" s="74"/>
      <c r="I10910" s="74">
        <f t="shared" si="7"/>
        <v>0</v>
      </c>
      <c r="J10910" s="74" t="str">
        <f>IF(E10910="SERVICE",I10910-(I10910*50%),Vlookup(E10910,DATABASE!C:Q,10,false)*F10910)</f>
        <v>#N/A</v>
      </c>
      <c r="K10910" s="74" t="str">
        <f>VLOOKUP(E10910,DATABASE!C:Q,7,false)</f>
        <v>#N/A</v>
      </c>
      <c r="L10910" s="74"/>
      <c r="M10910" s="74">
        <f t="shared" si="6"/>
        <v>0</v>
      </c>
      <c r="N10910" s="74" t="str">
        <f t="shared" si="9"/>
        <v>#N/A</v>
      </c>
      <c r="O10910" s="65" t="str">
        <f>VLOOKUP(E10910,DATABASE!C:Q,8,false)</f>
        <v>#N/A</v>
      </c>
      <c r="P10910" s="65" t="str">
        <f>VLOOKUP(E10910,DATABASE!C:Q,9,False)</f>
        <v>#N/A</v>
      </c>
      <c r="Q10910" s="93" t="str">
        <f>VLOOKUP(E10910,DATABASE!C:Q,4,false)</f>
        <v>#N/A</v>
      </c>
      <c r="R10910" s="93" t="str">
        <f>VLOOKUP(E10910,DATABASE!C:Q,11,false)</f>
        <v>#N/A</v>
      </c>
    </row>
    <row r="10911" ht="22.5" customHeight="1">
      <c r="A10911" s="49"/>
      <c r="C10911" s="400"/>
      <c r="D10911" s="524"/>
      <c r="E10911" s="544"/>
      <c r="F10911" s="387"/>
      <c r="G10911" s="140"/>
      <c r="H10911" s="74"/>
      <c r="I10911" s="74">
        <f t="shared" si="7"/>
        <v>0</v>
      </c>
      <c r="J10911" s="74" t="str">
        <f>IF(E10911="SERVICE",I10911-(I10911*50%),Vlookup(E10911,DATABASE!C:Q,10,false)*F10911)</f>
        <v>#N/A</v>
      </c>
      <c r="K10911" s="74" t="str">
        <f>VLOOKUP(E10911,DATABASE!C:Q,7,false)</f>
        <v>#N/A</v>
      </c>
      <c r="L10911" s="74"/>
      <c r="M10911" s="74">
        <f t="shared" si="6"/>
        <v>0</v>
      </c>
      <c r="N10911" s="74" t="str">
        <f t="shared" si="9"/>
        <v>#N/A</v>
      </c>
      <c r="O10911" s="65" t="str">
        <f>VLOOKUP(E10911,DATABASE!C:Q,8,false)</f>
        <v>#N/A</v>
      </c>
      <c r="P10911" s="65" t="str">
        <f>VLOOKUP(E10911,DATABASE!C:Q,9,False)</f>
        <v>#N/A</v>
      </c>
      <c r="Q10911" s="93" t="str">
        <f>VLOOKUP(E10911,DATABASE!C:Q,4,false)</f>
        <v>#N/A</v>
      </c>
      <c r="R10911" s="93" t="str">
        <f>VLOOKUP(E10911,DATABASE!C:Q,11,false)</f>
        <v>#N/A</v>
      </c>
    </row>
    <row r="10912" ht="22.5" customHeight="1">
      <c r="A10912" s="49"/>
      <c r="C10912" s="400"/>
      <c r="D10912" s="524"/>
      <c r="E10912" s="544"/>
      <c r="F10912" s="387"/>
      <c r="G10912" s="140"/>
      <c r="H10912" s="74"/>
      <c r="I10912" s="74">
        <f t="shared" si="7"/>
        <v>0</v>
      </c>
      <c r="J10912" s="74" t="str">
        <f>IF(E10912="SERVICE",I10912-(I10912*50%),Vlookup(E10912,DATABASE!C:Q,10,false)*F10912)</f>
        <v>#N/A</v>
      </c>
      <c r="K10912" s="74" t="str">
        <f>VLOOKUP(E10912,DATABASE!C:Q,7,false)</f>
        <v>#N/A</v>
      </c>
      <c r="L10912" s="74"/>
      <c r="M10912" s="74">
        <f t="shared" si="6"/>
        <v>0</v>
      </c>
      <c r="N10912" s="74" t="str">
        <f t="shared" si="9"/>
        <v>#N/A</v>
      </c>
      <c r="O10912" s="65" t="str">
        <f>VLOOKUP(E10912,DATABASE!C:Q,8,false)</f>
        <v>#N/A</v>
      </c>
      <c r="P10912" s="65" t="str">
        <f>VLOOKUP(E10912,DATABASE!C:Q,9,False)</f>
        <v>#N/A</v>
      </c>
      <c r="Q10912" s="93" t="str">
        <f>VLOOKUP(E10912,DATABASE!C:Q,4,false)</f>
        <v>#N/A</v>
      </c>
      <c r="R10912" s="93" t="str">
        <f>VLOOKUP(E10912,DATABASE!C:Q,11,false)</f>
        <v>#N/A</v>
      </c>
    </row>
    <row r="10913" ht="22.5" customHeight="1">
      <c r="A10913" s="49"/>
      <c r="C10913" s="400"/>
      <c r="D10913" s="524"/>
      <c r="E10913" s="544"/>
      <c r="F10913" s="387"/>
      <c r="G10913" s="140"/>
      <c r="H10913" s="74"/>
      <c r="I10913" s="74">
        <f t="shared" si="7"/>
        <v>0</v>
      </c>
      <c r="J10913" s="74" t="str">
        <f>IF(E10913="SERVICE",I10913-(I10913*50%),Vlookup(E10913,DATABASE!C:Q,10,false)*F10913)</f>
        <v>#N/A</v>
      </c>
      <c r="K10913" s="74" t="str">
        <f>VLOOKUP(E10913,DATABASE!C:Q,7,false)</f>
        <v>#N/A</v>
      </c>
      <c r="L10913" s="74"/>
      <c r="M10913" s="74">
        <f t="shared" si="6"/>
        <v>0</v>
      </c>
      <c r="N10913" s="74" t="str">
        <f t="shared" si="9"/>
        <v>#N/A</v>
      </c>
      <c r="O10913" s="65" t="str">
        <f>VLOOKUP(E10913,DATABASE!C:Q,8,false)</f>
        <v>#N/A</v>
      </c>
      <c r="P10913" s="65" t="str">
        <f>VLOOKUP(E10913,DATABASE!C:Q,9,False)</f>
        <v>#N/A</v>
      </c>
      <c r="Q10913" s="93" t="str">
        <f>VLOOKUP(E10913,DATABASE!C:Q,4,false)</f>
        <v>#N/A</v>
      </c>
      <c r="R10913" s="93" t="str">
        <f>VLOOKUP(E10913,DATABASE!C:Q,11,false)</f>
        <v>#N/A</v>
      </c>
    </row>
    <row r="10914" ht="22.5" customHeight="1">
      <c r="A10914" s="49"/>
      <c r="C10914" s="400"/>
      <c r="D10914" s="524"/>
      <c r="E10914" s="544"/>
      <c r="F10914" s="387"/>
      <c r="G10914" s="140"/>
      <c r="H10914" s="74"/>
      <c r="I10914" s="74">
        <f t="shared" si="7"/>
        <v>0</v>
      </c>
      <c r="J10914" s="74" t="str">
        <f>IF(E10914="SERVICE",I10914-(I10914*50%),Vlookup(E10914,DATABASE!C:Q,10,false)*F10914)</f>
        <v>#N/A</v>
      </c>
      <c r="K10914" s="74" t="str">
        <f>VLOOKUP(E10914,DATABASE!C:Q,7,false)</f>
        <v>#N/A</v>
      </c>
      <c r="L10914" s="74"/>
      <c r="M10914" s="74">
        <f t="shared" si="6"/>
        <v>0</v>
      </c>
      <c r="N10914" s="74" t="str">
        <f t="shared" si="9"/>
        <v>#N/A</v>
      </c>
      <c r="O10914" s="65" t="str">
        <f>VLOOKUP(E10914,DATABASE!C:Q,8,false)</f>
        <v>#N/A</v>
      </c>
      <c r="P10914" s="65" t="str">
        <f>VLOOKUP(E10914,DATABASE!C:Q,9,False)</f>
        <v>#N/A</v>
      </c>
      <c r="Q10914" s="93" t="str">
        <f>VLOOKUP(E10914,DATABASE!C:Q,4,false)</f>
        <v>#N/A</v>
      </c>
      <c r="R10914" s="93" t="str">
        <f>VLOOKUP(E10914,DATABASE!C:Q,11,false)</f>
        <v>#N/A</v>
      </c>
    </row>
    <row r="10915" ht="22.5" customHeight="1">
      <c r="A10915" s="49"/>
      <c r="C10915" s="400"/>
      <c r="D10915" s="524"/>
      <c r="E10915" s="544"/>
      <c r="F10915" s="387"/>
      <c r="G10915" s="140"/>
      <c r="H10915" s="74"/>
      <c r="I10915" s="74">
        <f t="shared" si="7"/>
        <v>0</v>
      </c>
      <c r="J10915" s="74" t="str">
        <f>IF(E10915="SERVICE",I10915-(I10915*50%),Vlookup(E10915,DATABASE!C:Q,10,false)*F10915)</f>
        <v>#N/A</v>
      </c>
      <c r="K10915" s="74" t="str">
        <f>VLOOKUP(E10915,DATABASE!C:Q,7,false)</f>
        <v>#N/A</v>
      </c>
      <c r="L10915" s="74"/>
      <c r="M10915" s="74">
        <f t="shared" si="6"/>
        <v>0</v>
      </c>
      <c r="N10915" s="74" t="str">
        <f t="shared" si="9"/>
        <v>#N/A</v>
      </c>
      <c r="O10915" s="65" t="str">
        <f>VLOOKUP(E10915,DATABASE!C:Q,8,false)</f>
        <v>#N/A</v>
      </c>
      <c r="P10915" s="65" t="str">
        <f>VLOOKUP(E10915,DATABASE!C:Q,9,False)</f>
        <v>#N/A</v>
      </c>
      <c r="Q10915" s="93" t="str">
        <f>VLOOKUP(E10915,DATABASE!C:Q,4,false)</f>
        <v>#N/A</v>
      </c>
      <c r="R10915" s="93" t="str">
        <f>VLOOKUP(E10915,DATABASE!C:Q,11,false)</f>
        <v>#N/A</v>
      </c>
    </row>
    <row r="10916" ht="22.5" customHeight="1">
      <c r="A10916" s="49"/>
      <c r="C10916" s="400"/>
      <c r="D10916" s="524"/>
      <c r="E10916" s="544"/>
      <c r="F10916" s="387"/>
      <c r="G10916" s="140"/>
      <c r="H10916" s="74"/>
      <c r="I10916" s="74">
        <f t="shared" si="7"/>
        <v>0</v>
      </c>
      <c r="J10916" s="74" t="str">
        <f>IF(E10916="SERVICE",I10916-(I10916*50%),Vlookup(E10916,DATABASE!C:Q,10,false)*F10916)</f>
        <v>#N/A</v>
      </c>
      <c r="K10916" s="74" t="str">
        <f>VLOOKUP(E10916,DATABASE!C:Q,7,false)</f>
        <v>#N/A</v>
      </c>
      <c r="L10916" s="74"/>
      <c r="M10916" s="74">
        <f t="shared" si="6"/>
        <v>0</v>
      </c>
      <c r="N10916" s="74" t="str">
        <f t="shared" si="9"/>
        <v>#N/A</v>
      </c>
      <c r="O10916" s="65" t="str">
        <f>VLOOKUP(E10916,DATABASE!C:Q,8,false)</f>
        <v>#N/A</v>
      </c>
      <c r="P10916" s="65" t="str">
        <f>VLOOKUP(E10916,DATABASE!C:Q,9,False)</f>
        <v>#N/A</v>
      </c>
      <c r="Q10916" s="93" t="str">
        <f>VLOOKUP(E10916,DATABASE!C:Q,4,false)</f>
        <v>#N/A</v>
      </c>
      <c r="R10916" s="93" t="str">
        <f>VLOOKUP(E10916,DATABASE!C:Q,11,false)</f>
        <v>#N/A</v>
      </c>
    </row>
    <row r="10917" ht="22.5" customHeight="1">
      <c r="A10917" s="49"/>
      <c r="C10917" s="400"/>
      <c r="D10917" s="524"/>
      <c r="E10917" s="544"/>
      <c r="F10917" s="387"/>
      <c r="G10917" s="140"/>
      <c r="H10917" s="74"/>
      <c r="I10917" s="74">
        <f t="shared" si="7"/>
        <v>0</v>
      </c>
      <c r="J10917" s="74" t="str">
        <f>IF(E10917="SERVICE",I10917-(I10917*50%),Vlookup(E10917,DATABASE!C:Q,10,false)*F10917)</f>
        <v>#N/A</v>
      </c>
      <c r="K10917" s="74" t="str">
        <f>VLOOKUP(E10917,DATABASE!C:Q,7,false)</f>
        <v>#N/A</v>
      </c>
      <c r="L10917" s="74"/>
      <c r="M10917" s="74">
        <f t="shared" si="6"/>
        <v>0</v>
      </c>
      <c r="N10917" s="74" t="str">
        <f t="shared" si="9"/>
        <v>#N/A</v>
      </c>
      <c r="O10917" s="65" t="str">
        <f>VLOOKUP(E10917,DATABASE!C:Q,8,false)</f>
        <v>#N/A</v>
      </c>
      <c r="P10917" s="65" t="str">
        <f>VLOOKUP(E10917,DATABASE!C:Q,9,False)</f>
        <v>#N/A</v>
      </c>
      <c r="Q10917" s="93" t="str">
        <f>VLOOKUP(E10917,DATABASE!C:Q,4,false)</f>
        <v>#N/A</v>
      </c>
      <c r="R10917" s="93" t="str">
        <f>VLOOKUP(E10917,DATABASE!C:Q,11,false)</f>
        <v>#N/A</v>
      </c>
    </row>
    <row r="10918" ht="22.5" customHeight="1">
      <c r="A10918" s="49"/>
      <c r="C10918" s="400"/>
      <c r="D10918" s="524"/>
      <c r="E10918" s="544"/>
      <c r="F10918" s="387"/>
      <c r="G10918" s="140"/>
      <c r="H10918" s="74"/>
      <c r="I10918" s="74">
        <f t="shared" si="7"/>
        <v>0</v>
      </c>
      <c r="J10918" s="74" t="str">
        <f>IF(E10918="SERVICE",I10918-(I10918*50%),Vlookup(E10918,DATABASE!C:Q,10,false)*F10918)</f>
        <v>#N/A</v>
      </c>
      <c r="K10918" s="74" t="str">
        <f>VLOOKUP(E10918,DATABASE!C:Q,7,false)</f>
        <v>#N/A</v>
      </c>
      <c r="L10918" s="74"/>
      <c r="M10918" s="74">
        <f t="shared" si="6"/>
        <v>0</v>
      </c>
      <c r="N10918" s="74" t="str">
        <f t="shared" si="9"/>
        <v>#N/A</v>
      </c>
      <c r="O10918" s="65" t="str">
        <f>VLOOKUP(E10918,DATABASE!C:Q,8,false)</f>
        <v>#N/A</v>
      </c>
      <c r="P10918" s="65" t="str">
        <f>VLOOKUP(E10918,DATABASE!C:Q,9,False)</f>
        <v>#N/A</v>
      </c>
      <c r="Q10918" s="93" t="str">
        <f>VLOOKUP(E10918,DATABASE!C:Q,4,false)</f>
        <v>#N/A</v>
      </c>
      <c r="R10918" s="93" t="str">
        <f>VLOOKUP(E10918,DATABASE!C:Q,11,false)</f>
        <v>#N/A</v>
      </c>
    </row>
    <row r="10919" ht="22.5" customHeight="1">
      <c r="A10919" s="49"/>
      <c r="C10919" s="400"/>
      <c r="D10919" s="524"/>
      <c r="E10919" s="544"/>
      <c r="F10919" s="387"/>
      <c r="G10919" s="140"/>
      <c r="H10919" s="74"/>
      <c r="I10919" s="74">
        <f t="shared" si="7"/>
        <v>0</v>
      </c>
      <c r="J10919" s="74" t="str">
        <f>IF(E10919="SERVICE",I10919-(I10919*50%),Vlookup(E10919,DATABASE!C:Q,10,false)*F10919)</f>
        <v>#N/A</v>
      </c>
      <c r="K10919" s="74" t="str">
        <f>VLOOKUP(E10919,DATABASE!C:Q,7,false)</f>
        <v>#N/A</v>
      </c>
      <c r="L10919" s="74"/>
      <c r="M10919" s="74">
        <f t="shared" si="6"/>
        <v>0</v>
      </c>
      <c r="N10919" s="74" t="str">
        <f t="shared" si="9"/>
        <v>#N/A</v>
      </c>
      <c r="O10919" s="65" t="str">
        <f>VLOOKUP(E10919,DATABASE!C:Q,8,false)</f>
        <v>#N/A</v>
      </c>
      <c r="P10919" s="65" t="str">
        <f>VLOOKUP(E10919,DATABASE!C:Q,9,False)</f>
        <v>#N/A</v>
      </c>
      <c r="Q10919" s="93" t="str">
        <f>VLOOKUP(E10919,DATABASE!C:Q,4,false)</f>
        <v>#N/A</v>
      </c>
      <c r="R10919" s="93" t="str">
        <f>VLOOKUP(E10919,DATABASE!C:Q,11,false)</f>
        <v>#N/A</v>
      </c>
    </row>
    <row r="10920" ht="22.5" customHeight="1">
      <c r="A10920" s="49"/>
      <c r="C10920" s="400"/>
      <c r="D10920" s="524"/>
      <c r="E10920" s="544"/>
      <c r="F10920" s="387"/>
      <c r="G10920" s="140"/>
      <c r="H10920" s="74"/>
      <c r="I10920" s="74">
        <f t="shared" si="7"/>
        <v>0</v>
      </c>
      <c r="J10920" s="74" t="str">
        <f>IF(E10920="SERVICE",I10920-(I10920*50%),Vlookup(E10920,DATABASE!C:Q,10,false)*F10920)</f>
        <v>#N/A</v>
      </c>
      <c r="K10920" s="74" t="str">
        <f>VLOOKUP(E10920,DATABASE!C:Q,7,false)</f>
        <v>#N/A</v>
      </c>
      <c r="L10920" s="74"/>
      <c r="M10920" s="74">
        <f t="shared" si="6"/>
        <v>0</v>
      </c>
      <c r="N10920" s="74" t="str">
        <f t="shared" si="9"/>
        <v>#N/A</v>
      </c>
      <c r="O10920" s="65" t="str">
        <f>VLOOKUP(E10920,DATABASE!C:Q,8,false)</f>
        <v>#N/A</v>
      </c>
      <c r="P10920" s="65" t="str">
        <f>VLOOKUP(E10920,DATABASE!C:Q,9,False)</f>
        <v>#N/A</v>
      </c>
      <c r="Q10920" s="93" t="str">
        <f>VLOOKUP(E10920,DATABASE!C:Q,4,false)</f>
        <v>#N/A</v>
      </c>
      <c r="R10920" s="93" t="str">
        <f>VLOOKUP(E10920,DATABASE!C:Q,11,false)</f>
        <v>#N/A</v>
      </c>
    </row>
    <row r="10921" ht="22.5" customHeight="1">
      <c r="A10921" s="49"/>
      <c r="C10921" s="400"/>
      <c r="D10921" s="524"/>
      <c r="E10921" s="544"/>
      <c r="F10921" s="387"/>
      <c r="G10921" s="140"/>
      <c r="H10921" s="74"/>
      <c r="I10921" s="74">
        <f t="shared" si="7"/>
        <v>0</v>
      </c>
      <c r="J10921" s="74" t="str">
        <f>IF(E10921="SERVICE",I10921-(I10921*50%),Vlookup(E10921,DATABASE!C:Q,10,false)*F10921)</f>
        <v>#N/A</v>
      </c>
      <c r="K10921" s="74" t="str">
        <f>VLOOKUP(E10921,DATABASE!C:Q,7,false)</f>
        <v>#N/A</v>
      </c>
      <c r="L10921" s="74"/>
      <c r="M10921" s="74">
        <f t="shared" si="6"/>
        <v>0</v>
      </c>
      <c r="N10921" s="74" t="str">
        <f t="shared" si="9"/>
        <v>#N/A</v>
      </c>
      <c r="O10921" s="65" t="str">
        <f>VLOOKUP(E10921,DATABASE!C:Q,8,false)</f>
        <v>#N/A</v>
      </c>
      <c r="P10921" s="65" t="str">
        <f>VLOOKUP(E10921,DATABASE!C:Q,9,False)</f>
        <v>#N/A</v>
      </c>
      <c r="Q10921" s="93" t="str">
        <f>VLOOKUP(E10921,DATABASE!C:Q,4,false)</f>
        <v>#N/A</v>
      </c>
      <c r="R10921" s="93" t="str">
        <f>VLOOKUP(E10921,DATABASE!C:Q,11,false)</f>
        <v>#N/A</v>
      </c>
    </row>
    <row r="10922" ht="22.5" customHeight="1">
      <c r="A10922" s="49"/>
      <c r="C10922" s="400"/>
      <c r="D10922" s="524"/>
      <c r="E10922" s="544"/>
      <c r="F10922" s="387"/>
      <c r="G10922" s="140"/>
      <c r="H10922" s="74"/>
      <c r="I10922" s="74">
        <f t="shared" si="7"/>
        <v>0</v>
      </c>
      <c r="J10922" s="74" t="str">
        <f>IF(E10922="SERVICE",I10922-(I10922*50%),Vlookup(E10922,DATABASE!C:Q,10,false)*F10922)</f>
        <v>#N/A</v>
      </c>
      <c r="K10922" s="74" t="str">
        <f>VLOOKUP(E10922,DATABASE!C:Q,7,false)</f>
        <v>#N/A</v>
      </c>
      <c r="L10922" s="74"/>
      <c r="M10922" s="74">
        <f t="shared" si="6"/>
        <v>0</v>
      </c>
      <c r="N10922" s="74" t="str">
        <f t="shared" si="9"/>
        <v>#N/A</v>
      </c>
      <c r="O10922" s="65" t="str">
        <f>VLOOKUP(E10922,DATABASE!C:Q,8,false)</f>
        <v>#N/A</v>
      </c>
      <c r="P10922" s="65" t="str">
        <f>VLOOKUP(E10922,DATABASE!C:Q,9,False)</f>
        <v>#N/A</v>
      </c>
      <c r="Q10922" s="93" t="str">
        <f>VLOOKUP(E10922,DATABASE!C:Q,4,false)</f>
        <v>#N/A</v>
      </c>
      <c r="R10922" s="93" t="str">
        <f>VLOOKUP(E10922,DATABASE!C:Q,11,false)</f>
        <v>#N/A</v>
      </c>
    </row>
    <row r="10923" ht="22.5" customHeight="1">
      <c r="A10923" s="49"/>
      <c r="C10923" s="400"/>
      <c r="D10923" s="524"/>
      <c r="E10923" s="544"/>
      <c r="F10923" s="387"/>
      <c r="G10923" s="140"/>
      <c r="H10923" s="74"/>
      <c r="I10923" s="74">
        <f t="shared" si="7"/>
        <v>0</v>
      </c>
      <c r="J10923" s="74" t="str">
        <f>IF(E10923="SERVICE",I10923-(I10923*50%),Vlookup(E10923,DATABASE!C:Q,10,false)*F10923)</f>
        <v>#N/A</v>
      </c>
      <c r="K10923" s="74" t="str">
        <f>VLOOKUP(E10923,DATABASE!C:Q,7,false)</f>
        <v>#N/A</v>
      </c>
      <c r="L10923" s="74"/>
      <c r="M10923" s="74">
        <f t="shared" si="6"/>
        <v>0</v>
      </c>
      <c r="N10923" s="74" t="str">
        <f t="shared" si="9"/>
        <v>#N/A</v>
      </c>
      <c r="O10923" s="65" t="str">
        <f>VLOOKUP(E10923,DATABASE!C:Q,8,false)</f>
        <v>#N/A</v>
      </c>
      <c r="P10923" s="65" t="str">
        <f>VLOOKUP(E10923,DATABASE!C:Q,9,False)</f>
        <v>#N/A</v>
      </c>
      <c r="Q10923" s="93" t="str">
        <f>VLOOKUP(E10923,DATABASE!C:Q,4,false)</f>
        <v>#N/A</v>
      </c>
      <c r="R10923" s="93" t="str">
        <f>VLOOKUP(E10923,DATABASE!C:Q,11,false)</f>
        <v>#N/A</v>
      </c>
    </row>
    <row r="10924" ht="22.5" customHeight="1">
      <c r="A10924" s="49"/>
      <c r="C10924" s="400"/>
      <c r="D10924" s="524"/>
      <c r="E10924" s="544"/>
      <c r="F10924" s="387"/>
      <c r="G10924" s="140"/>
      <c r="H10924" s="74"/>
      <c r="I10924" s="74">
        <f t="shared" si="7"/>
        <v>0</v>
      </c>
      <c r="J10924" s="74" t="str">
        <f>IF(E10924="SERVICE",I10924-(I10924*50%),Vlookup(E10924,DATABASE!C:Q,10,false)*F10924)</f>
        <v>#N/A</v>
      </c>
      <c r="K10924" s="74" t="str">
        <f>VLOOKUP(E10924,DATABASE!C:Q,7,false)</f>
        <v>#N/A</v>
      </c>
      <c r="L10924" s="74"/>
      <c r="M10924" s="74">
        <f t="shared" si="6"/>
        <v>0</v>
      </c>
      <c r="N10924" s="74" t="str">
        <f t="shared" si="9"/>
        <v>#N/A</v>
      </c>
      <c r="O10924" s="65" t="str">
        <f>VLOOKUP(E10924,DATABASE!C:Q,8,false)</f>
        <v>#N/A</v>
      </c>
      <c r="P10924" s="65" t="str">
        <f>VLOOKUP(E10924,DATABASE!C:Q,9,False)</f>
        <v>#N/A</v>
      </c>
      <c r="Q10924" s="93" t="str">
        <f>VLOOKUP(E10924,DATABASE!C:Q,4,false)</f>
        <v>#N/A</v>
      </c>
      <c r="R10924" s="93" t="str">
        <f>VLOOKUP(E10924,DATABASE!C:Q,11,false)</f>
        <v>#N/A</v>
      </c>
    </row>
    <row r="10925" ht="22.5" customHeight="1">
      <c r="A10925" s="49"/>
      <c r="C10925" s="400"/>
      <c r="D10925" s="524"/>
      <c r="E10925" s="544"/>
      <c r="F10925" s="387"/>
      <c r="G10925" s="140"/>
      <c r="H10925" s="74"/>
      <c r="I10925" s="74">
        <f t="shared" si="7"/>
        <v>0</v>
      </c>
      <c r="J10925" s="74" t="str">
        <f>IF(E10925="SERVICE",I10925-(I10925*50%),Vlookup(E10925,DATABASE!C:Q,10,false)*F10925)</f>
        <v>#N/A</v>
      </c>
      <c r="K10925" s="74" t="str">
        <f>VLOOKUP(E10925,DATABASE!C:Q,7,false)</f>
        <v>#N/A</v>
      </c>
      <c r="L10925" s="74"/>
      <c r="M10925" s="74">
        <f t="shared" si="6"/>
        <v>0</v>
      </c>
      <c r="N10925" s="74" t="str">
        <f t="shared" si="9"/>
        <v>#N/A</v>
      </c>
      <c r="O10925" s="65" t="str">
        <f>VLOOKUP(E10925,DATABASE!C:Q,8,false)</f>
        <v>#N/A</v>
      </c>
      <c r="P10925" s="65" t="str">
        <f>VLOOKUP(E10925,DATABASE!C:Q,9,False)</f>
        <v>#N/A</v>
      </c>
      <c r="Q10925" s="93" t="str">
        <f>VLOOKUP(E10925,DATABASE!C:Q,4,false)</f>
        <v>#N/A</v>
      </c>
      <c r="R10925" s="93" t="str">
        <f>VLOOKUP(E10925,DATABASE!C:Q,11,false)</f>
        <v>#N/A</v>
      </c>
    </row>
    <row r="10926" ht="22.5" customHeight="1">
      <c r="A10926" s="49"/>
      <c r="C10926" s="400"/>
      <c r="D10926" s="524"/>
      <c r="E10926" s="544"/>
      <c r="F10926" s="387"/>
      <c r="G10926" s="140"/>
      <c r="H10926" s="74"/>
      <c r="I10926" s="74">
        <f t="shared" si="7"/>
        <v>0</v>
      </c>
      <c r="J10926" s="74" t="str">
        <f>IF(E10926="SERVICE",I10926-(I10926*50%),Vlookup(E10926,DATABASE!C:Q,10,false)*F10926)</f>
        <v>#N/A</v>
      </c>
      <c r="K10926" s="74" t="str">
        <f>VLOOKUP(E10926,DATABASE!C:Q,7,false)</f>
        <v>#N/A</v>
      </c>
      <c r="L10926" s="74"/>
      <c r="M10926" s="74">
        <f t="shared" si="6"/>
        <v>0</v>
      </c>
      <c r="N10926" s="74" t="str">
        <f t="shared" si="9"/>
        <v>#N/A</v>
      </c>
      <c r="O10926" s="65" t="str">
        <f>VLOOKUP(E10926,DATABASE!C:Q,8,false)</f>
        <v>#N/A</v>
      </c>
      <c r="P10926" s="65" t="str">
        <f>VLOOKUP(E10926,DATABASE!C:Q,9,False)</f>
        <v>#N/A</v>
      </c>
      <c r="Q10926" s="93" t="str">
        <f>VLOOKUP(E10926,DATABASE!C:Q,4,false)</f>
        <v>#N/A</v>
      </c>
      <c r="R10926" s="93" t="str">
        <f>VLOOKUP(E10926,DATABASE!C:Q,11,false)</f>
        <v>#N/A</v>
      </c>
    </row>
    <row r="10927" ht="22.5" customHeight="1">
      <c r="A10927" s="49"/>
      <c r="C10927" s="400"/>
      <c r="D10927" s="524"/>
      <c r="E10927" s="544"/>
      <c r="F10927" s="387"/>
      <c r="G10927" s="140"/>
      <c r="H10927" s="74"/>
      <c r="I10927" s="74">
        <f t="shared" si="7"/>
        <v>0</v>
      </c>
      <c r="J10927" s="74" t="str">
        <f>IF(E10927="SERVICE",I10927-(I10927*50%),Vlookup(E10927,DATABASE!C:Q,10,false)*F10927)</f>
        <v>#N/A</v>
      </c>
      <c r="K10927" s="74" t="str">
        <f>VLOOKUP(E10927,DATABASE!C:Q,7,false)</f>
        <v>#N/A</v>
      </c>
      <c r="L10927" s="74"/>
      <c r="M10927" s="74">
        <f t="shared" si="6"/>
        <v>0</v>
      </c>
      <c r="N10927" s="74" t="str">
        <f t="shared" si="9"/>
        <v>#N/A</v>
      </c>
      <c r="O10927" s="65" t="str">
        <f>VLOOKUP(E10927,DATABASE!C:Q,8,false)</f>
        <v>#N/A</v>
      </c>
      <c r="P10927" s="65" t="str">
        <f>VLOOKUP(E10927,DATABASE!C:Q,9,False)</f>
        <v>#N/A</v>
      </c>
      <c r="Q10927" s="93" t="str">
        <f>VLOOKUP(E10927,DATABASE!C:Q,4,false)</f>
        <v>#N/A</v>
      </c>
      <c r="R10927" s="93" t="str">
        <f>VLOOKUP(E10927,DATABASE!C:Q,11,false)</f>
        <v>#N/A</v>
      </c>
    </row>
    <row r="10928" ht="22.5" customHeight="1">
      <c r="A10928" s="49"/>
      <c r="C10928" s="400"/>
      <c r="D10928" s="524"/>
      <c r="E10928" s="544"/>
      <c r="F10928" s="387"/>
      <c r="G10928" s="140"/>
      <c r="H10928" s="74"/>
      <c r="I10928" s="74">
        <f t="shared" si="7"/>
        <v>0</v>
      </c>
      <c r="J10928" s="74" t="str">
        <f>IF(E10928="SERVICE",I10928-(I10928*50%),Vlookup(E10928,DATABASE!C:Q,10,false)*F10928)</f>
        <v>#N/A</v>
      </c>
      <c r="K10928" s="74" t="str">
        <f>VLOOKUP(E10928,DATABASE!C:Q,7,false)</f>
        <v>#N/A</v>
      </c>
      <c r="L10928" s="74"/>
      <c r="M10928" s="74">
        <f t="shared" si="6"/>
        <v>0</v>
      </c>
      <c r="N10928" s="74" t="str">
        <f t="shared" si="9"/>
        <v>#N/A</v>
      </c>
      <c r="O10928" s="65" t="str">
        <f>VLOOKUP(E10928,DATABASE!C:Q,8,false)</f>
        <v>#N/A</v>
      </c>
      <c r="P10928" s="65" t="str">
        <f>VLOOKUP(E10928,DATABASE!C:Q,9,False)</f>
        <v>#N/A</v>
      </c>
      <c r="Q10928" s="93" t="str">
        <f>VLOOKUP(E10928,DATABASE!C:Q,4,false)</f>
        <v>#N/A</v>
      </c>
      <c r="R10928" s="93" t="str">
        <f>VLOOKUP(E10928,DATABASE!C:Q,11,false)</f>
        <v>#N/A</v>
      </c>
    </row>
    <row r="10929" ht="22.5" customHeight="1">
      <c r="A10929" s="49"/>
      <c r="C10929" s="400"/>
      <c r="D10929" s="524"/>
      <c r="E10929" s="544"/>
      <c r="F10929" s="387"/>
      <c r="G10929" s="140"/>
      <c r="H10929" s="74"/>
      <c r="I10929" s="74">
        <f t="shared" si="7"/>
        <v>0</v>
      </c>
      <c r="J10929" s="74" t="str">
        <f>IF(E10929="SERVICE",I10929-(I10929*50%),Vlookup(E10929,DATABASE!C:Q,10,false)*F10929)</f>
        <v>#N/A</v>
      </c>
      <c r="K10929" s="74" t="str">
        <f>VLOOKUP(E10929,DATABASE!C:Q,7,false)</f>
        <v>#N/A</v>
      </c>
      <c r="L10929" s="74"/>
      <c r="M10929" s="74">
        <f t="shared" si="6"/>
        <v>0</v>
      </c>
      <c r="N10929" s="74" t="str">
        <f t="shared" si="9"/>
        <v>#N/A</v>
      </c>
      <c r="O10929" s="65" t="str">
        <f>VLOOKUP(E10929,DATABASE!C:Q,8,false)</f>
        <v>#N/A</v>
      </c>
      <c r="P10929" s="65" t="str">
        <f>VLOOKUP(E10929,DATABASE!C:Q,9,False)</f>
        <v>#N/A</v>
      </c>
      <c r="Q10929" s="93" t="str">
        <f>VLOOKUP(E10929,DATABASE!C:Q,4,false)</f>
        <v>#N/A</v>
      </c>
      <c r="R10929" s="93" t="str">
        <f>VLOOKUP(E10929,DATABASE!C:Q,11,false)</f>
        <v>#N/A</v>
      </c>
    </row>
    <row r="10930" ht="22.5" customHeight="1">
      <c r="A10930" s="49"/>
      <c r="C10930" s="400"/>
      <c r="D10930" s="524"/>
      <c r="E10930" s="544"/>
      <c r="F10930" s="387"/>
      <c r="G10930" s="140"/>
      <c r="H10930" s="74"/>
      <c r="I10930" s="74">
        <f t="shared" si="7"/>
        <v>0</v>
      </c>
      <c r="J10930" s="74" t="str">
        <f>IF(E10930="SERVICE",I10930-(I10930*50%),Vlookup(E10930,DATABASE!C:Q,10,false)*F10930)</f>
        <v>#N/A</v>
      </c>
      <c r="K10930" s="74" t="str">
        <f>VLOOKUP(E10930,DATABASE!C:Q,7,false)</f>
        <v>#N/A</v>
      </c>
      <c r="L10930" s="74"/>
      <c r="M10930" s="74">
        <f t="shared" si="6"/>
        <v>0</v>
      </c>
      <c r="N10930" s="74" t="str">
        <f t="shared" si="9"/>
        <v>#N/A</v>
      </c>
      <c r="O10930" s="65" t="str">
        <f>VLOOKUP(E10930,DATABASE!C:Q,8,false)</f>
        <v>#N/A</v>
      </c>
      <c r="P10930" s="65" t="str">
        <f>VLOOKUP(E10930,DATABASE!C:Q,9,False)</f>
        <v>#N/A</v>
      </c>
      <c r="Q10930" s="93" t="str">
        <f>VLOOKUP(E10930,DATABASE!C:Q,4,false)</f>
        <v>#N/A</v>
      </c>
      <c r="R10930" s="93" t="str">
        <f>VLOOKUP(E10930,DATABASE!C:Q,11,false)</f>
        <v>#N/A</v>
      </c>
    </row>
    <row r="10931" ht="22.5" customHeight="1">
      <c r="A10931" s="49"/>
      <c r="C10931" s="400"/>
      <c r="D10931" s="524"/>
      <c r="E10931" s="544"/>
      <c r="F10931" s="387"/>
      <c r="G10931" s="140"/>
      <c r="H10931" s="74"/>
      <c r="I10931" s="74">
        <f t="shared" si="7"/>
        <v>0</v>
      </c>
      <c r="J10931" s="74" t="str">
        <f>IF(E10931="SERVICE",I10931-(I10931*50%),Vlookup(E10931,DATABASE!C:Q,10,false)*F10931)</f>
        <v>#N/A</v>
      </c>
      <c r="K10931" s="74" t="str">
        <f>VLOOKUP(E10931,DATABASE!C:Q,7,false)</f>
        <v>#N/A</v>
      </c>
      <c r="L10931" s="74"/>
      <c r="M10931" s="74">
        <f t="shared" si="6"/>
        <v>0</v>
      </c>
      <c r="N10931" s="74" t="str">
        <f t="shared" si="9"/>
        <v>#N/A</v>
      </c>
      <c r="O10931" s="65" t="str">
        <f>VLOOKUP(E10931,DATABASE!C:Q,8,false)</f>
        <v>#N/A</v>
      </c>
      <c r="P10931" s="65" t="str">
        <f>VLOOKUP(E10931,DATABASE!C:Q,9,False)</f>
        <v>#N/A</v>
      </c>
      <c r="Q10931" s="93" t="str">
        <f>VLOOKUP(E10931,DATABASE!C:Q,4,false)</f>
        <v>#N/A</v>
      </c>
      <c r="R10931" s="93" t="str">
        <f>VLOOKUP(E10931,DATABASE!C:Q,11,false)</f>
        <v>#N/A</v>
      </c>
    </row>
    <row r="10932" ht="22.5" customHeight="1">
      <c r="A10932" s="49"/>
      <c r="C10932" s="400"/>
      <c r="D10932" s="524"/>
      <c r="E10932" s="544"/>
      <c r="F10932" s="387"/>
      <c r="G10932" s="140"/>
      <c r="H10932" s="74"/>
      <c r="I10932" s="74">
        <f t="shared" si="7"/>
        <v>0</v>
      </c>
      <c r="J10932" s="74" t="str">
        <f>IF(E10932="SERVICE",I10932-(I10932*50%),Vlookup(E10932,DATABASE!C:Q,10,false)*F10932)</f>
        <v>#N/A</v>
      </c>
      <c r="K10932" s="74" t="str">
        <f>VLOOKUP(E10932,DATABASE!C:Q,7,false)</f>
        <v>#N/A</v>
      </c>
      <c r="L10932" s="74"/>
      <c r="M10932" s="74">
        <f t="shared" si="6"/>
        <v>0</v>
      </c>
      <c r="N10932" s="74" t="str">
        <f t="shared" si="9"/>
        <v>#N/A</v>
      </c>
      <c r="O10932" s="65" t="str">
        <f>VLOOKUP(E10932,DATABASE!C:Q,8,false)</f>
        <v>#N/A</v>
      </c>
      <c r="P10932" s="65" t="str">
        <f>VLOOKUP(E10932,DATABASE!C:Q,9,False)</f>
        <v>#N/A</v>
      </c>
      <c r="Q10932" s="93" t="str">
        <f>VLOOKUP(E10932,DATABASE!C:Q,4,false)</f>
        <v>#N/A</v>
      </c>
      <c r="R10932" s="93" t="str">
        <f>VLOOKUP(E10932,DATABASE!C:Q,11,false)</f>
        <v>#N/A</v>
      </c>
    </row>
    <row r="10933" ht="22.5" customHeight="1">
      <c r="A10933" s="49"/>
      <c r="C10933" s="400"/>
      <c r="D10933" s="524"/>
      <c r="E10933" s="544"/>
      <c r="F10933" s="387"/>
      <c r="G10933" s="140"/>
      <c r="H10933" s="74"/>
      <c r="I10933" s="74">
        <f t="shared" si="7"/>
        <v>0</v>
      </c>
      <c r="J10933" s="74" t="str">
        <f>IF(E10933="SERVICE",I10933-(I10933*50%),Vlookup(E10933,DATABASE!C:Q,10,false)*F10933)</f>
        <v>#N/A</v>
      </c>
      <c r="K10933" s="74" t="str">
        <f>VLOOKUP(E10933,DATABASE!C:Q,7,false)</f>
        <v>#N/A</v>
      </c>
      <c r="L10933" s="74"/>
      <c r="M10933" s="74">
        <f t="shared" si="6"/>
        <v>0</v>
      </c>
      <c r="N10933" s="74" t="str">
        <f t="shared" si="9"/>
        <v>#N/A</v>
      </c>
      <c r="O10933" s="65" t="str">
        <f>VLOOKUP(E10933,DATABASE!C:Q,8,false)</f>
        <v>#N/A</v>
      </c>
      <c r="P10933" s="65" t="str">
        <f>VLOOKUP(E10933,DATABASE!C:Q,9,False)</f>
        <v>#N/A</v>
      </c>
      <c r="Q10933" s="93" t="str">
        <f>VLOOKUP(E10933,DATABASE!C:Q,4,false)</f>
        <v>#N/A</v>
      </c>
      <c r="R10933" s="93" t="str">
        <f>VLOOKUP(E10933,DATABASE!C:Q,11,false)</f>
        <v>#N/A</v>
      </c>
    </row>
    <row r="10934" ht="22.5" customHeight="1">
      <c r="A10934" s="49"/>
      <c r="C10934" s="400"/>
      <c r="D10934" s="524"/>
      <c r="E10934" s="544"/>
      <c r="F10934" s="387"/>
      <c r="G10934" s="140"/>
      <c r="H10934" s="74"/>
      <c r="I10934" s="74">
        <f t="shared" si="7"/>
        <v>0</v>
      </c>
      <c r="J10934" s="74" t="str">
        <f>IF(E10934="SERVICE",I10934-(I10934*50%),Vlookup(E10934,DATABASE!C:Q,10,false)*F10934)</f>
        <v>#N/A</v>
      </c>
      <c r="K10934" s="74" t="str">
        <f>VLOOKUP(E10934,DATABASE!C:Q,7,false)</f>
        <v>#N/A</v>
      </c>
      <c r="L10934" s="74"/>
      <c r="M10934" s="74">
        <f t="shared" si="6"/>
        <v>0</v>
      </c>
      <c r="N10934" s="74" t="str">
        <f t="shared" si="9"/>
        <v>#N/A</v>
      </c>
      <c r="O10934" s="65" t="str">
        <f>VLOOKUP(E10934,DATABASE!C:Q,8,false)</f>
        <v>#N/A</v>
      </c>
      <c r="P10934" s="65" t="str">
        <f>VLOOKUP(E10934,DATABASE!C:Q,9,False)</f>
        <v>#N/A</v>
      </c>
      <c r="Q10934" s="93" t="str">
        <f>VLOOKUP(E10934,DATABASE!C:Q,4,false)</f>
        <v>#N/A</v>
      </c>
      <c r="R10934" s="93" t="str">
        <f>VLOOKUP(E10934,DATABASE!C:Q,11,false)</f>
        <v>#N/A</v>
      </c>
    </row>
    <row r="10935" ht="22.5" customHeight="1">
      <c r="A10935" s="49"/>
      <c r="C10935" s="400"/>
      <c r="D10935" s="524"/>
      <c r="E10935" s="544"/>
      <c r="F10935" s="387"/>
      <c r="G10935" s="140"/>
      <c r="H10935" s="74"/>
      <c r="I10935" s="74">
        <f t="shared" si="7"/>
        <v>0</v>
      </c>
      <c r="J10935" s="74" t="str">
        <f>IF(E10935="SERVICE",I10935-(I10935*50%),Vlookup(E10935,DATABASE!C:Q,10,false)*F10935)</f>
        <v>#N/A</v>
      </c>
      <c r="K10935" s="74" t="str">
        <f>VLOOKUP(E10935,DATABASE!C:Q,7,false)</f>
        <v>#N/A</v>
      </c>
      <c r="L10935" s="74"/>
      <c r="M10935" s="74">
        <f t="shared" si="6"/>
        <v>0</v>
      </c>
      <c r="N10935" s="74" t="str">
        <f t="shared" si="9"/>
        <v>#N/A</v>
      </c>
      <c r="O10935" s="65" t="str">
        <f>VLOOKUP(E10935,DATABASE!C:Q,8,false)</f>
        <v>#N/A</v>
      </c>
      <c r="P10935" s="65" t="str">
        <f>VLOOKUP(E10935,DATABASE!C:Q,9,False)</f>
        <v>#N/A</v>
      </c>
      <c r="Q10935" s="93" t="str">
        <f>VLOOKUP(E10935,DATABASE!C:Q,4,false)</f>
        <v>#N/A</v>
      </c>
      <c r="R10935" s="93" t="str">
        <f>VLOOKUP(E10935,DATABASE!C:Q,11,false)</f>
        <v>#N/A</v>
      </c>
    </row>
    <row r="10936" ht="22.5" customHeight="1">
      <c r="A10936" s="49"/>
      <c r="C10936" s="400"/>
      <c r="D10936" s="524"/>
      <c r="E10936" s="544"/>
      <c r="F10936" s="387"/>
      <c r="G10936" s="140"/>
      <c r="H10936" s="74"/>
      <c r="I10936" s="74">
        <f t="shared" si="7"/>
        <v>0</v>
      </c>
      <c r="J10936" s="74" t="str">
        <f>IF(E10936="SERVICE",I10936-(I10936*50%),Vlookup(E10936,DATABASE!C:Q,10,false)*F10936)</f>
        <v>#N/A</v>
      </c>
      <c r="K10936" s="74" t="str">
        <f>VLOOKUP(E10936,DATABASE!C:Q,7,false)</f>
        <v>#N/A</v>
      </c>
      <c r="L10936" s="74"/>
      <c r="M10936" s="74">
        <f t="shared" si="6"/>
        <v>0</v>
      </c>
      <c r="N10936" s="74" t="str">
        <f t="shared" si="9"/>
        <v>#N/A</v>
      </c>
      <c r="O10936" s="65" t="str">
        <f>VLOOKUP(E10936,DATABASE!C:Q,8,false)</f>
        <v>#N/A</v>
      </c>
      <c r="P10936" s="65" t="str">
        <f>VLOOKUP(E10936,DATABASE!C:Q,9,False)</f>
        <v>#N/A</v>
      </c>
      <c r="Q10936" s="93" t="str">
        <f>VLOOKUP(E10936,DATABASE!C:Q,4,false)</f>
        <v>#N/A</v>
      </c>
      <c r="R10936" s="93" t="str">
        <f>VLOOKUP(E10936,DATABASE!C:Q,11,false)</f>
        <v>#N/A</v>
      </c>
    </row>
    <row r="10937" ht="22.5" customHeight="1">
      <c r="A10937" s="49"/>
      <c r="C10937" s="400"/>
      <c r="D10937" s="524"/>
      <c r="E10937" s="544"/>
      <c r="F10937" s="387"/>
      <c r="G10937" s="140"/>
      <c r="H10937" s="74"/>
      <c r="I10937" s="74">
        <f t="shared" si="7"/>
        <v>0</v>
      </c>
      <c r="J10937" s="74" t="str">
        <f>IF(E10937="SERVICE",I10937-(I10937*50%),Vlookup(E10937,DATABASE!C:Q,10,false)*F10937)</f>
        <v>#N/A</v>
      </c>
      <c r="K10937" s="74" t="str">
        <f>VLOOKUP(E10937,DATABASE!C:Q,7,false)</f>
        <v>#N/A</v>
      </c>
      <c r="L10937" s="74"/>
      <c r="M10937" s="74">
        <f t="shared" si="6"/>
        <v>0</v>
      </c>
      <c r="N10937" s="74" t="str">
        <f t="shared" si="9"/>
        <v>#N/A</v>
      </c>
      <c r="O10937" s="65" t="str">
        <f>VLOOKUP(E10937,DATABASE!C:Q,8,false)</f>
        <v>#N/A</v>
      </c>
      <c r="P10937" s="65" t="str">
        <f>VLOOKUP(E10937,DATABASE!C:Q,9,False)</f>
        <v>#N/A</v>
      </c>
      <c r="Q10937" s="93" t="str">
        <f>VLOOKUP(E10937,DATABASE!C:Q,4,false)</f>
        <v>#N/A</v>
      </c>
      <c r="R10937" s="93" t="str">
        <f>VLOOKUP(E10937,DATABASE!C:Q,11,false)</f>
        <v>#N/A</v>
      </c>
    </row>
    <row r="10938" ht="22.5" customHeight="1">
      <c r="A10938" s="49"/>
      <c r="C10938" s="400"/>
      <c r="D10938" s="524"/>
      <c r="E10938" s="544"/>
      <c r="F10938" s="387"/>
      <c r="G10938" s="140"/>
      <c r="H10938" s="74"/>
      <c r="I10938" s="74">
        <f t="shared" si="7"/>
        <v>0</v>
      </c>
      <c r="J10938" s="74" t="str">
        <f>IF(E10938="SERVICE",I10938-(I10938*50%),Vlookup(E10938,DATABASE!C:Q,10,false)*F10938)</f>
        <v>#N/A</v>
      </c>
      <c r="K10938" s="74" t="str">
        <f>VLOOKUP(E10938,DATABASE!C:Q,7,false)</f>
        <v>#N/A</v>
      </c>
      <c r="L10938" s="74"/>
      <c r="M10938" s="74">
        <f t="shared" si="6"/>
        <v>0</v>
      </c>
      <c r="N10938" s="74" t="str">
        <f t="shared" si="9"/>
        <v>#N/A</v>
      </c>
      <c r="O10938" s="65" t="str">
        <f>VLOOKUP(E10938,DATABASE!C:Q,8,false)</f>
        <v>#N/A</v>
      </c>
      <c r="P10938" s="65" t="str">
        <f>VLOOKUP(E10938,DATABASE!C:Q,9,False)</f>
        <v>#N/A</v>
      </c>
      <c r="Q10938" s="93" t="str">
        <f>VLOOKUP(E10938,DATABASE!C:Q,4,false)</f>
        <v>#N/A</v>
      </c>
      <c r="R10938" s="93" t="str">
        <f>VLOOKUP(E10938,DATABASE!C:Q,11,false)</f>
        <v>#N/A</v>
      </c>
    </row>
    <row r="10939" ht="22.5" customHeight="1">
      <c r="A10939" s="49"/>
      <c r="C10939" s="400"/>
      <c r="D10939" s="524"/>
      <c r="E10939" s="544"/>
      <c r="F10939" s="387"/>
      <c r="G10939" s="140"/>
      <c r="H10939" s="74"/>
      <c r="I10939" s="74">
        <f t="shared" si="7"/>
        <v>0</v>
      </c>
      <c r="J10939" s="74" t="str">
        <f>IF(E10939="SERVICE",I10939-(I10939*50%),Vlookup(E10939,DATABASE!C:Q,10,false)*F10939)</f>
        <v>#N/A</v>
      </c>
      <c r="K10939" s="74" t="str">
        <f>VLOOKUP(E10939,DATABASE!C:Q,7,false)</f>
        <v>#N/A</v>
      </c>
      <c r="L10939" s="74"/>
      <c r="M10939" s="74">
        <f t="shared" si="6"/>
        <v>0</v>
      </c>
      <c r="N10939" s="74" t="str">
        <f t="shared" si="9"/>
        <v>#N/A</v>
      </c>
      <c r="O10939" s="65" t="str">
        <f>VLOOKUP(E10939,DATABASE!C:Q,8,false)</f>
        <v>#N/A</v>
      </c>
      <c r="P10939" s="65" t="str">
        <f>VLOOKUP(E10939,DATABASE!C:Q,9,False)</f>
        <v>#N/A</v>
      </c>
      <c r="Q10939" s="93" t="str">
        <f>VLOOKUP(E10939,DATABASE!C:Q,4,false)</f>
        <v>#N/A</v>
      </c>
      <c r="R10939" s="93" t="str">
        <f>VLOOKUP(E10939,DATABASE!C:Q,11,false)</f>
        <v>#N/A</v>
      </c>
    </row>
    <row r="10940" ht="22.5" customHeight="1">
      <c r="A10940" s="49"/>
      <c r="C10940" s="400"/>
      <c r="D10940" s="524"/>
      <c r="E10940" s="544"/>
      <c r="F10940" s="387"/>
      <c r="G10940" s="140"/>
      <c r="H10940" s="74"/>
      <c r="I10940" s="74">
        <f t="shared" si="7"/>
        <v>0</v>
      </c>
      <c r="J10940" s="74" t="str">
        <f>IF(E10940="SERVICE",I10940-(I10940*50%),Vlookup(E10940,DATABASE!C:Q,10,false)*F10940)</f>
        <v>#N/A</v>
      </c>
      <c r="K10940" s="74" t="str">
        <f>VLOOKUP(E10940,DATABASE!C:Q,7,false)</f>
        <v>#N/A</v>
      </c>
      <c r="L10940" s="74"/>
      <c r="M10940" s="74">
        <f t="shared" si="6"/>
        <v>0</v>
      </c>
      <c r="N10940" s="74" t="str">
        <f t="shared" si="9"/>
        <v>#N/A</v>
      </c>
      <c r="O10940" s="65" t="str">
        <f>VLOOKUP(E10940,DATABASE!C:Q,8,false)</f>
        <v>#N/A</v>
      </c>
      <c r="P10940" s="65" t="str">
        <f>VLOOKUP(E10940,DATABASE!C:Q,9,False)</f>
        <v>#N/A</v>
      </c>
      <c r="Q10940" s="93" t="str">
        <f>VLOOKUP(E10940,DATABASE!C:Q,4,false)</f>
        <v>#N/A</v>
      </c>
      <c r="R10940" s="93" t="str">
        <f>VLOOKUP(E10940,DATABASE!C:Q,11,false)</f>
        <v>#N/A</v>
      </c>
    </row>
    <row r="10941" ht="22.5" customHeight="1">
      <c r="A10941" s="49"/>
      <c r="C10941" s="400"/>
      <c r="D10941" s="524"/>
      <c r="E10941" s="544"/>
      <c r="F10941" s="387"/>
      <c r="G10941" s="140"/>
      <c r="H10941" s="74"/>
      <c r="I10941" s="74">
        <f t="shared" si="7"/>
        <v>0</v>
      </c>
      <c r="J10941" s="74" t="str">
        <f>IF(E10941="SERVICE",I10941-(I10941*50%),Vlookup(E10941,DATABASE!C:Q,10,false)*F10941)</f>
        <v>#N/A</v>
      </c>
      <c r="K10941" s="74" t="str">
        <f>VLOOKUP(E10941,DATABASE!C:Q,7,false)</f>
        <v>#N/A</v>
      </c>
      <c r="L10941" s="74"/>
      <c r="M10941" s="74">
        <f t="shared" si="6"/>
        <v>0</v>
      </c>
      <c r="N10941" s="74" t="str">
        <f t="shared" si="9"/>
        <v>#N/A</v>
      </c>
      <c r="O10941" s="65" t="str">
        <f>VLOOKUP(E10941,DATABASE!C:Q,8,false)</f>
        <v>#N/A</v>
      </c>
      <c r="P10941" s="65" t="str">
        <f>VLOOKUP(E10941,DATABASE!C:Q,9,False)</f>
        <v>#N/A</v>
      </c>
      <c r="Q10941" s="93" t="str">
        <f>VLOOKUP(E10941,DATABASE!C:Q,4,false)</f>
        <v>#N/A</v>
      </c>
      <c r="R10941" s="93" t="str">
        <f>VLOOKUP(E10941,DATABASE!C:Q,11,false)</f>
        <v>#N/A</v>
      </c>
    </row>
    <row r="10942" ht="22.5" customHeight="1">
      <c r="A10942" s="49"/>
      <c r="C10942" s="400"/>
      <c r="D10942" s="524"/>
      <c r="E10942" s="544"/>
      <c r="F10942" s="387"/>
      <c r="G10942" s="140"/>
      <c r="H10942" s="74"/>
      <c r="I10942" s="74">
        <f t="shared" si="7"/>
        <v>0</v>
      </c>
      <c r="J10942" s="74" t="str">
        <f>IF(E10942="SERVICE",I10942-(I10942*50%),Vlookup(E10942,DATABASE!C:Q,10,false)*F10942)</f>
        <v>#N/A</v>
      </c>
      <c r="K10942" s="74" t="str">
        <f>VLOOKUP(E10942,DATABASE!C:Q,7,false)</f>
        <v>#N/A</v>
      </c>
      <c r="L10942" s="74"/>
      <c r="M10942" s="74">
        <f t="shared" si="6"/>
        <v>0</v>
      </c>
      <c r="N10942" s="74" t="str">
        <f t="shared" si="9"/>
        <v>#N/A</v>
      </c>
      <c r="O10942" s="65" t="str">
        <f>VLOOKUP(E10942,DATABASE!C:Q,8,false)</f>
        <v>#N/A</v>
      </c>
      <c r="P10942" s="65" t="str">
        <f>VLOOKUP(E10942,DATABASE!C:Q,9,False)</f>
        <v>#N/A</v>
      </c>
      <c r="Q10942" s="93" t="str">
        <f>VLOOKUP(E10942,DATABASE!C:Q,4,false)</f>
        <v>#N/A</v>
      </c>
      <c r="R10942" s="93" t="str">
        <f>VLOOKUP(E10942,DATABASE!C:Q,11,false)</f>
        <v>#N/A</v>
      </c>
    </row>
    <row r="10943" ht="22.5" customHeight="1">
      <c r="A10943" s="49"/>
      <c r="C10943" s="400"/>
      <c r="D10943" s="524"/>
      <c r="E10943" s="544"/>
      <c r="F10943" s="387"/>
      <c r="G10943" s="140"/>
      <c r="H10943" s="74"/>
      <c r="I10943" s="74">
        <f t="shared" si="7"/>
        <v>0</v>
      </c>
      <c r="J10943" s="74" t="str">
        <f>IF(E10943="SERVICE",I10943-(I10943*50%),Vlookup(E10943,DATABASE!C:Q,10,false)*F10943)</f>
        <v>#N/A</v>
      </c>
      <c r="K10943" s="74" t="str">
        <f>VLOOKUP(E10943,DATABASE!C:Q,7,false)</f>
        <v>#N/A</v>
      </c>
      <c r="L10943" s="74"/>
      <c r="M10943" s="74">
        <f t="shared" si="6"/>
        <v>0</v>
      </c>
      <c r="N10943" s="74" t="str">
        <f t="shared" si="9"/>
        <v>#N/A</v>
      </c>
      <c r="O10943" s="65" t="str">
        <f>VLOOKUP(E10943,DATABASE!C:Q,8,false)</f>
        <v>#N/A</v>
      </c>
      <c r="P10943" s="65" t="str">
        <f>VLOOKUP(E10943,DATABASE!C:Q,9,False)</f>
        <v>#N/A</v>
      </c>
      <c r="Q10943" s="93" t="str">
        <f>VLOOKUP(E10943,DATABASE!C:Q,4,false)</f>
        <v>#N/A</v>
      </c>
      <c r="R10943" s="93" t="str">
        <f>VLOOKUP(E10943,DATABASE!C:Q,11,false)</f>
        <v>#N/A</v>
      </c>
    </row>
    <row r="10944" ht="22.5" customHeight="1">
      <c r="A10944" s="49"/>
      <c r="C10944" s="400"/>
      <c r="D10944" s="524"/>
      <c r="E10944" s="544"/>
      <c r="F10944" s="387"/>
      <c r="G10944" s="140"/>
      <c r="H10944" s="74"/>
      <c r="I10944" s="74">
        <f t="shared" si="7"/>
        <v>0</v>
      </c>
      <c r="J10944" s="74" t="str">
        <f>IF(E10944="SERVICE",I10944-(I10944*50%),Vlookup(E10944,DATABASE!C:Q,10,false)*F10944)</f>
        <v>#N/A</v>
      </c>
      <c r="K10944" s="74" t="str">
        <f>VLOOKUP(E10944,DATABASE!C:Q,7,false)</f>
        <v>#N/A</v>
      </c>
      <c r="L10944" s="74"/>
      <c r="M10944" s="74">
        <f t="shared" si="6"/>
        <v>0</v>
      </c>
      <c r="N10944" s="74" t="str">
        <f t="shared" si="9"/>
        <v>#N/A</v>
      </c>
      <c r="O10944" s="65" t="str">
        <f>VLOOKUP(E10944,DATABASE!C:Q,8,false)</f>
        <v>#N/A</v>
      </c>
      <c r="P10944" s="65" t="str">
        <f>VLOOKUP(E10944,DATABASE!C:Q,9,False)</f>
        <v>#N/A</v>
      </c>
      <c r="Q10944" s="93" t="str">
        <f>VLOOKUP(E10944,DATABASE!C:Q,4,false)</f>
        <v>#N/A</v>
      </c>
      <c r="R10944" s="93" t="str">
        <f>VLOOKUP(E10944,DATABASE!C:Q,11,false)</f>
        <v>#N/A</v>
      </c>
    </row>
    <row r="10945" ht="22.5" customHeight="1">
      <c r="A10945" s="49"/>
      <c r="C10945" s="400"/>
      <c r="D10945" s="524"/>
      <c r="E10945" s="544"/>
      <c r="F10945" s="387"/>
      <c r="G10945" s="140"/>
      <c r="H10945" s="74"/>
      <c r="I10945" s="74">
        <f t="shared" si="7"/>
        <v>0</v>
      </c>
      <c r="J10945" s="74" t="str">
        <f>IF(E10945="SERVICE",I10945-(I10945*50%),Vlookup(E10945,DATABASE!C:Q,10,false)*F10945)</f>
        <v>#N/A</v>
      </c>
      <c r="K10945" s="74" t="str">
        <f>VLOOKUP(E10945,DATABASE!C:Q,7,false)</f>
        <v>#N/A</v>
      </c>
      <c r="L10945" s="74"/>
      <c r="M10945" s="74">
        <f t="shared" si="6"/>
        <v>0</v>
      </c>
      <c r="N10945" s="74" t="str">
        <f t="shared" si="9"/>
        <v>#N/A</v>
      </c>
      <c r="O10945" s="65" t="str">
        <f>VLOOKUP(E10945,DATABASE!C:Q,8,false)</f>
        <v>#N/A</v>
      </c>
      <c r="P10945" s="65" t="str">
        <f>VLOOKUP(E10945,DATABASE!C:Q,9,False)</f>
        <v>#N/A</v>
      </c>
      <c r="Q10945" s="93" t="str">
        <f>VLOOKUP(E10945,DATABASE!C:Q,4,false)</f>
        <v>#N/A</v>
      </c>
      <c r="R10945" s="93" t="str">
        <f>VLOOKUP(E10945,DATABASE!C:Q,11,false)</f>
        <v>#N/A</v>
      </c>
    </row>
    <row r="10946" ht="22.5" customHeight="1">
      <c r="A10946" s="49"/>
      <c r="C10946" s="400"/>
      <c r="D10946" s="524"/>
      <c r="E10946" s="544"/>
      <c r="F10946" s="387"/>
      <c r="G10946" s="140"/>
      <c r="H10946" s="74"/>
      <c r="I10946" s="74">
        <f t="shared" si="7"/>
        <v>0</v>
      </c>
      <c r="J10946" s="74" t="str">
        <f>IF(E10946="SERVICE",I10946-(I10946*50%),Vlookup(E10946,DATABASE!C:Q,10,false)*F10946)</f>
        <v>#N/A</v>
      </c>
      <c r="K10946" s="74" t="str">
        <f>VLOOKUP(E10946,DATABASE!C:Q,7,false)</f>
        <v>#N/A</v>
      </c>
      <c r="L10946" s="74"/>
      <c r="M10946" s="74">
        <f t="shared" si="6"/>
        <v>0</v>
      </c>
      <c r="N10946" s="74" t="str">
        <f t="shared" si="9"/>
        <v>#N/A</v>
      </c>
      <c r="O10946" s="65" t="str">
        <f>VLOOKUP(E10946,DATABASE!C:Q,8,false)</f>
        <v>#N/A</v>
      </c>
      <c r="P10946" s="65" t="str">
        <f>VLOOKUP(E10946,DATABASE!C:Q,9,False)</f>
        <v>#N/A</v>
      </c>
      <c r="Q10946" s="93" t="str">
        <f>VLOOKUP(E10946,DATABASE!C:Q,4,false)</f>
        <v>#N/A</v>
      </c>
      <c r="R10946" s="93" t="str">
        <f>VLOOKUP(E10946,DATABASE!C:Q,11,false)</f>
        <v>#N/A</v>
      </c>
    </row>
    <row r="10947" ht="22.5" customHeight="1">
      <c r="A10947" s="49"/>
      <c r="C10947" s="400"/>
      <c r="D10947" s="524"/>
      <c r="E10947" s="544"/>
      <c r="F10947" s="387"/>
      <c r="G10947" s="140"/>
      <c r="H10947" s="74"/>
      <c r="I10947" s="74">
        <f t="shared" si="7"/>
        <v>0</v>
      </c>
      <c r="J10947" s="74" t="str">
        <f>IF(E10947="SERVICE",I10947-(I10947*50%),Vlookup(E10947,DATABASE!C:Q,10,false)*F10947)</f>
        <v>#N/A</v>
      </c>
      <c r="K10947" s="74" t="str">
        <f>VLOOKUP(E10947,DATABASE!C:Q,7,false)</f>
        <v>#N/A</v>
      </c>
      <c r="L10947" s="74"/>
      <c r="M10947" s="74">
        <f t="shared" si="6"/>
        <v>0</v>
      </c>
      <c r="N10947" s="74" t="str">
        <f t="shared" si="9"/>
        <v>#N/A</v>
      </c>
      <c r="O10947" s="65" t="str">
        <f>VLOOKUP(E10947,DATABASE!C:Q,8,false)</f>
        <v>#N/A</v>
      </c>
      <c r="P10947" s="65" t="str">
        <f>VLOOKUP(E10947,DATABASE!C:Q,9,False)</f>
        <v>#N/A</v>
      </c>
      <c r="Q10947" s="93" t="str">
        <f>VLOOKUP(E10947,DATABASE!C:Q,4,false)</f>
        <v>#N/A</v>
      </c>
      <c r="R10947" s="93" t="str">
        <f>VLOOKUP(E10947,DATABASE!C:Q,11,false)</f>
        <v>#N/A</v>
      </c>
    </row>
    <row r="10948" ht="22.5" customHeight="1">
      <c r="A10948" s="49"/>
      <c r="C10948" s="400"/>
      <c r="D10948" s="524"/>
      <c r="E10948" s="544"/>
      <c r="F10948" s="387"/>
      <c r="G10948" s="140"/>
      <c r="H10948" s="74"/>
      <c r="I10948" s="74">
        <f t="shared" si="7"/>
        <v>0</v>
      </c>
      <c r="J10948" s="74" t="str">
        <f>IF(E10948="SERVICE",I10948-(I10948*50%),Vlookup(E10948,DATABASE!C:Q,10,false)*F10948)</f>
        <v>#N/A</v>
      </c>
      <c r="K10948" s="74" t="str">
        <f>VLOOKUP(E10948,DATABASE!C:Q,7,false)</f>
        <v>#N/A</v>
      </c>
      <c r="L10948" s="74"/>
      <c r="M10948" s="74">
        <f t="shared" si="6"/>
        <v>0</v>
      </c>
      <c r="N10948" s="74" t="str">
        <f t="shared" si="9"/>
        <v>#N/A</v>
      </c>
      <c r="O10948" s="65" t="str">
        <f>VLOOKUP(E10948,DATABASE!C:Q,8,false)</f>
        <v>#N/A</v>
      </c>
      <c r="P10948" s="65" t="str">
        <f>VLOOKUP(E10948,DATABASE!C:Q,9,False)</f>
        <v>#N/A</v>
      </c>
      <c r="Q10948" s="93" t="str">
        <f>VLOOKUP(E10948,DATABASE!C:Q,4,false)</f>
        <v>#N/A</v>
      </c>
      <c r="R10948" s="93" t="str">
        <f>VLOOKUP(E10948,DATABASE!C:Q,11,false)</f>
        <v>#N/A</v>
      </c>
    </row>
    <row r="10949" ht="22.5" customHeight="1">
      <c r="A10949" s="49"/>
      <c r="C10949" s="400"/>
      <c r="D10949" s="524"/>
      <c r="E10949" s="544"/>
      <c r="F10949" s="387"/>
      <c r="G10949" s="140"/>
      <c r="H10949" s="74"/>
      <c r="I10949" s="74">
        <f t="shared" si="7"/>
        <v>0</v>
      </c>
      <c r="J10949" s="74" t="str">
        <f>IF(E10949="SERVICE",I10949-(I10949*50%),Vlookup(E10949,DATABASE!C:Q,10,false)*F10949)</f>
        <v>#N/A</v>
      </c>
      <c r="K10949" s="74" t="str">
        <f>VLOOKUP(E10949,DATABASE!C:Q,7,false)</f>
        <v>#N/A</v>
      </c>
      <c r="L10949" s="74"/>
      <c r="M10949" s="74">
        <f t="shared" si="6"/>
        <v>0</v>
      </c>
      <c r="N10949" s="74" t="str">
        <f t="shared" si="9"/>
        <v>#N/A</v>
      </c>
      <c r="O10949" s="65" t="str">
        <f>VLOOKUP(E10949,DATABASE!C:Q,8,false)</f>
        <v>#N/A</v>
      </c>
      <c r="P10949" s="65" t="str">
        <f>VLOOKUP(E10949,DATABASE!C:Q,9,False)</f>
        <v>#N/A</v>
      </c>
      <c r="Q10949" s="93" t="str">
        <f>VLOOKUP(E10949,DATABASE!C:Q,4,false)</f>
        <v>#N/A</v>
      </c>
      <c r="R10949" s="93" t="str">
        <f>VLOOKUP(E10949,DATABASE!C:Q,11,false)</f>
        <v>#N/A</v>
      </c>
    </row>
    <row r="10950" ht="22.5" customHeight="1">
      <c r="A10950" s="49"/>
      <c r="C10950" s="400"/>
      <c r="D10950" s="524"/>
      <c r="E10950" s="544"/>
      <c r="F10950" s="387"/>
      <c r="G10950" s="140"/>
      <c r="H10950" s="74"/>
      <c r="I10950" s="74">
        <f t="shared" si="7"/>
        <v>0</v>
      </c>
      <c r="J10950" s="74" t="str">
        <f>IF(E10950="SERVICE",I10950-(I10950*50%),Vlookup(E10950,DATABASE!C:Q,10,false)*F10950)</f>
        <v>#N/A</v>
      </c>
      <c r="K10950" s="74" t="str">
        <f>VLOOKUP(E10950,DATABASE!C:Q,7,false)</f>
        <v>#N/A</v>
      </c>
      <c r="L10950" s="74"/>
      <c r="M10950" s="74">
        <f t="shared" si="6"/>
        <v>0</v>
      </c>
      <c r="N10950" s="74" t="str">
        <f t="shared" si="9"/>
        <v>#N/A</v>
      </c>
      <c r="O10950" s="65" t="str">
        <f>VLOOKUP(E10950,DATABASE!C:Q,8,false)</f>
        <v>#N/A</v>
      </c>
      <c r="P10950" s="65" t="str">
        <f>VLOOKUP(E10950,DATABASE!C:Q,9,False)</f>
        <v>#N/A</v>
      </c>
      <c r="Q10950" s="93" t="str">
        <f>VLOOKUP(E10950,DATABASE!C:Q,4,false)</f>
        <v>#N/A</v>
      </c>
      <c r="R10950" s="93" t="str">
        <f>VLOOKUP(E10950,DATABASE!C:Q,11,false)</f>
        <v>#N/A</v>
      </c>
    </row>
    <row r="10951" ht="22.5" customHeight="1">
      <c r="A10951" s="49"/>
      <c r="C10951" s="400"/>
      <c r="D10951" s="524"/>
      <c r="E10951" s="544"/>
      <c r="F10951" s="387"/>
      <c r="G10951" s="140"/>
      <c r="H10951" s="74"/>
      <c r="I10951" s="74">
        <f t="shared" si="7"/>
        <v>0</v>
      </c>
      <c r="J10951" s="74" t="str">
        <f>IF(E10951="SERVICE",I10951-(I10951*50%),Vlookup(E10951,DATABASE!C:Q,10,false)*F10951)</f>
        <v>#N/A</v>
      </c>
      <c r="K10951" s="74" t="str">
        <f>VLOOKUP(E10951,DATABASE!C:Q,7,false)</f>
        <v>#N/A</v>
      </c>
      <c r="L10951" s="74"/>
      <c r="M10951" s="74">
        <f t="shared" si="6"/>
        <v>0</v>
      </c>
      <c r="N10951" s="74" t="str">
        <f t="shared" si="9"/>
        <v>#N/A</v>
      </c>
      <c r="O10951" s="65" t="str">
        <f>VLOOKUP(E10951,DATABASE!C:Q,8,false)</f>
        <v>#N/A</v>
      </c>
      <c r="P10951" s="65" t="str">
        <f>VLOOKUP(E10951,DATABASE!C:Q,9,False)</f>
        <v>#N/A</v>
      </c>
      <c r="Q10951" s="93" t="str">
        <f>VLOOKUP(E10951,DATABASE!C:Q,4,false)</f>
        <v>#N/A</v>
      </c>
      <c r="R10951" s="93" t="str">
        <f>VLOOKUP(E10951,DATABASE!C:Q,11,false)</f>
        <v>#N/A</v>
      </c>
    </row>
    <row r="10952" ht="22.5" customHeight="1">
      <c r="A10952" s="49"/>
      <c r="C10952" s="400"/>
      <c r="D10952" s="524"/>
      <c r="E10952" s="544"/>
      <c r="F10952" s="387"/>
      <c r="G10952" s="140"/>
      <c r="H10952" s="74"/>
      <c r="I10952" s="74">
        <f t="shared" si="7"/>
        <v>0</v>
      </c>
      <c r="J10952" s="74" t="str">
        <f>IF(E10952="SERVICE",I10952-(I10952*50%),Vlookup(E10952,DATABASE!C:Q,10,false)*F10952)</f>
        <v>#N/A</v>
      </c>
      <c r="K10952" s="74" t="str">
        <f>VLOOKUP(E10952,DATABASE!C:Q,7,false)</f>
        <v>#N/A</v>
      </c>
      <c r="L10952" s="74"/>
      <c r="M10952" s="74">
        <f t="shared" si="6"/>
        <v>0</v>
      </c>
      <c r="N10952" s="74" t="str">
        <f t="shared" si="9"/>
        <v>#N/A</v>
      </c>
      <c r="O10952" s="65" t="str">
        <f>VLOOKUP(E10952,DATABASE!C:Q,8,false)</f>
        <v>#N/A</v>
      </c>
      <c r="P10952" s="65" t="str">
        <f>VLOOKUP(E10952,DATABASE!C:Q,9,False)</f>
        <v>#N/A</v>
      </c>
      <c r="Q10952" s="93" t="str">
        <f>VLOOKUP(E10952,DATABASE!C:Q,4,false)</f>
        <v>#N/A</v>
      </c>
      <c r="R10952" s="93" t="str">
        <f>VLOOKUP(E10952,DATABASE!C:Q,11,false)</f>
        <v>#N/A</v>
      </c>
    </row>
    <row r="10953" ht="22.5" customHeight="1">
      <c r="A10953" s="49"/>
      <c r="C10953" s="400"/>
      <c r="D10953" s="524"/>
      <c r="E10953" s="544"/>
      <c r="F10953" s="387"/>
      <c r="G10953" s="140"/>
      <c r="H10953" s="74"/>
      <c r="I10953" s="74">
        <f t="shared" si="7"/>
        <v>0</v>
      </c>
      <c r="J10953" s="74" t="str">
        <f>IF(E10953="SERVICE",I10953-(I10953*50%),Vlookup(E10953,DATABASE!C:Q,10,false)*F10953)</f>
        <v>#N/A</v>
      </c>
      <c r="K10953" s="74" t="str">
        <f>VLOOKUP(E10953,DATABASE!C:Q,7,false)</f>
        <v>#N/A</v>
      </c>
      <c r="L10953" s="74"/>
      <c r="M10953" s="74">
        <f t="shared" si="6"/>
        <v>0</v>
      </c>
      <c r="N10953" s="74" t="str">
        <f t="shared" si="9"/>
        <v>#N/A</v>
      </c>
      <c r="O10953" s="65" t="str">
        <f>VLOOKUP(E10953,DATABASE!C:Q,8,false)</f>
        <v>#N/A</v>
      </c>
      <c r="P10953" s="65" t="str">
        <f>VLOOKUP(E10953,DATABASE!C:Q,9,False)</f>
        <v>#N/A</v>
      </c>
      <c r="Q10953" s="93" t="str">
        <f>VLOOKUP(E10953,DATABASE!C:Q,4,false)</f>
        <v>#N/A</v>
      </c>
      <c r="R10953" s="93" t="str">
        <f>VLOOKUP(E10953,DATABASE!C:Q,11,false)</f>
        <v>#N/A</v>
      </c>
    </row>
    <row r="10954" ht="22.5" customHeight="1">
      <c r="A10954" s="49"/>
      <c r="C10954" s="400"/>
      <c r="D10954" s="524"/>
      <c r="E10954" s="544"/>
      <c r="F10954" s="387"/>
      <c r="G10954" s="140"/>
      <c r="H10954" s="74"/>
      <c r="I10954" s="74">
        <f t="shared" si="7"/>
        <v>0</v>
      </c>
      <c r="J10954" s="74" t="str">
        <f>IF(E10954="SERVICE",I10954-(I10954*50%),Vlookup(E10954,DATABASE!C:Q,10,false)*F10954)</f>
        <v>#N/A</v>
      </c>
      <c r="K10954" s="74" t="str">
        <f>VLOOKUP(E10954,DATABASE!C:Q,7,false)</f>
        <v>#N/A</v>
      </c>
      <c r="L10954" s="74"/>
      <c r="M10954" s="74">
        <f t="shared" si="6"/>
        <v>0</v>
      </c>
      <c r="N10954" s="74" t="str">
        <f t="shared" si="9"/>
        <v>#N/A</v>
      </c>
      <c r="O10954" s="65" t="str">
        <f>VLOOKUP(E10954,DATABASE!C:Q,8,false)</f>
        <v>#N/A</v>
      </c>
      <c r="P10954" s="65" t="str">
        <f>VLOOKUP(E10954,DATABASE!C:Q,9,False)</f>
        <v>#N/A</v>
      </c>
      <c r="Q10954" s="93" t="str">
        <f>VLOOKUP(E10954,DATABASE!C:Q,4,false)</f>
        <v>#N/A</v>
      </c>
      <c r="R10954" s="93" t="str">
        <f>VLOOKUP(E10954,DATABASE!C:Q,11,false)</f>
        <v>#N/A</v>
      </c>
    </row>
    <row r="10955" ht="22.5" customHeight="1">
      <c r="A10955" s="49"/>
      <c r="C10955" s="400"/>
      <c r="D10955" s="524"/>
      <c r="E10955" s="544"/>
      <c r="F10955" s="387"/>
      <c r="G10955" s="140"/>
      <c r="H10955" s="74"/>
      <c r="I10955" s="74">
        <f t="shared" si="7"/>
        <v>0</v>
      </c>
      <c r="J10955" s="74" t="str">
        <f>IF(E10955="SERVICE",I10955-(I10955*50%),Vlookup(E10955,DATABASE!C:Q,10,false)*F10955)</f>
        <v>#N/A</v>
      </c>
      <c r="K10955" s="74" t="str">
        <f>VLOOKUP(E10955,DATABASE!C:Q,7,false)</f>
        <v>#N/A</v>
      </c>
      <c r="L10955" s="74"/>
      <c r="M10955" s="74">
        <f t="shared" si="6"/>
        <v>0</v>
      </c>
      <c r="N10955" s="74" t="str">
        <f t="shared" si="9"/>
        <v>#N/A</v>
      </c>
      <c r="O10955" s="65" t="str">
        <f>VLOOKUP(E10955,DATABASE!C:Q,8,false)</f>
        <v>#N/A</v>
      </c>
      <c r="P10955" s="65" t="str">
        <f>VLOOKUP(E10955,DATABASE!C:Q,9,False)</f>
        <v>#N/A</v>
      </c>
      <c r="Q10955" s="93" t="str">
        <f>VLOOKUP(E10955,DATABASE!C:Q,4,false)</f>
        <v>#N/A</v>
      </c>
      <c r="R10955" s="93" t="str">
        <f>VLOOKUP(E10955,DATABASE!C:Q,11,false)</f>
        <v>#N/A</v>
      </c>
    </row>
    <row r="10956" ht="22.5" customHeight="1">
      <c r="A10956" s="49"/>
      <c r="C10956" s="400"/>
      <c r="D10956" s="524"/>
      <c r="E10956" s="544"/>
      <c r="F10956" s="387"/>
      <c r="G10956" s="140"/>
      <c r="H10956" s="74"/>
      <c r="I10956" s="74">
        <f t="shared" si="7"/>
        <v>0</v>
      </c>
      <c r="J10956" s="74" t="str">
        <f>IF(E10956="SERVICE",I10956-(I10956*50%),Vlookup(E10956,DATABASE!C:Q,10,false)*F10956)</f>
        <v>#N/A</v>
      </c>
      <c r="K10956" s="74" t="str">
        <f>VLOOKUP(E10956,DATABASE!C:Q,7,false)</f>
        <v>#N/A</v>
      </c>
      <c r="L10956" s="74"/>
      <c r="M10956" s="74">
        <f t="shared" si="6"/>
        <v>0</v>
      </c>
      <c r="N10956" s="74" t="str">
        <f t="shared" si="9"/>
        <v>#N/A</v>
      </c>
      <c r="O10956" s="65" t="str">
        <f>VLOOKUP(E10956,DATABASE!C:Q,8,false)</f>
        <v>#N/A</v>
      </c>
      <c r="P10956" s="65" t="str">
        <f>VLOOKUP(E10956,DATABASE!C:Q,9,False)</f>
        <v>#N/A</v>
      </c>
      <c r="Q10956" s="93" t="str">
        <f>VLOOKUP(E10956,DATABASE!C:Q,4,false)</f>
        <v>#N/A</v>
      </c>
      <c r="R10956" s="93" t="str">
        <f>VLOOKUP(E10956,DATABASE!C:Q,11,false)</f>
        <v>#N/A</v>
      </c>
    </row>
    <row r="10957" ht="22.5" customHeight="1">
      <c r="A10957" s="49"/>
      <c r="C10957" s="400"/>
      <c r="D10957" s="524"/>
      <c r="E10957" s="544"/>
      <c r="F10957" s="387"/>
      <c r="G10957" s="140"/>
      <c r="H10957" s="74"/>
      <c r="I10957" s="74">
        <f t="shared" si="7"/>
        <v>0</v>
      </c>
      <c r="J10957" s="74" t="str">
        <f>IF(E10957="SERVICE",I10957-(I10957*50%),Vlookup(E10957,DATABASE!C:Q,10,false)*F10957)</f>
        <v>#N/A</v>
      </c>
      <c r="K10957" s="74" t="str">
        <f>VLOOKUP(E10957,DATABASE!C:Q,7,false)</f>
        <v>#N/A</v>
      </c>
      <c r="L10957" s="74"/>
      <c r="M10957" s="74">
        <f t="shared" si="6"/>
        <v>0</v>
      </c>
      <c r="N10957" s="74" t="str">
        <f t="shared" si="9"/>
        <v>#N/A</v>
      </c>
      <c r="O10957" s="65" t="str">
        <f>VLOOKUP(E10957,DATABASE!C:Q,8,false)</f>
        <v>#N/A</v>
      </c>
      <c r="P10957" s="65" t="str">
        <f>VLOOKUP(E10957,DATABASE!C:Q,9,False)</f>
        <v>#N/A</v>
      </c>
      <c r="Q10957" s="93" t="str">
        <f>VLOOKUP(E10957,DATABASE!C:Q,4,false)</f>
        <v>#N/A</v>
      </c>
      <c r="R10957" s="93" t="str">
        <f>VLOOKUP(E10957,DATABASE!C:Q,11,false)</f>
        <v>#N/A</v>
      </c>
    </row>
    <row r="10958" ht="22.5" customHeight="1">
      <c r="A10958" s="49"/>
      <c r="C10958" s="400"/>
      <c r="D10958" s="524"/>
      <c r="E10958" s="544"/>
      <c r="F10958" s="387"/>
      <c r="G10958" s="140"/>
      <c r="H10958" s="74"/>
      <c r="I10958" s="74">
        <f t="shared" si="7"/>
        <v>0</v>
      </c>
      <c r="J10958" s="74" t="str">
        <f>IF(E10958="SERVICE",I10958-(I10958*50%),Vlookup(E10958,DATABASE!C:Q,10,false)*F10958)</f>
        <v>#N/A</v>
      </c>
      <c r="K10958" s="74" t="str">
        <f>VLOOKUP(E10958,DATABASE!C:Q,7,false)</f>
        <v>#N/A</v>
      </c>
      <c r="L10958" s="74"/>
      <c r="M10958" s="74">
        <f t="shared" si="6"/>
        <v>0</v>
      </c>
      <c r="N10958" s="74" t="str">
        <f t="shared" si="9"/>
        <v>#N/A</v>
      </c>
      <c r="O10958" s="65" t="str">
        <f>VLOOKUP(E10958,DATABASE!C:Q,8,false)</f>
        <v>#N/A</v>
      </c>
      <c r="P10958" s="65" t="str">
        <f>VLOOKUP(E10958,DATABASE!C:Q,9,False)</f>
        <v>#N/A</v>
      </c>
      <c r="Q10958" s="93" t="str">
        <f>VLOOKUP(E10958,DATABASE!C:Q,4,false)</f>
        <v>#N/A</v>
      </c>
      <c r="R10958" s="93" t="str">
        <f>VLOOKUP(E10958,DATABASE!C:Q,11,false)</f>
        <v>#N/A</v>
      </c>
    </row>
    <row r="10959" ht="22.5" customHeight="1">
      <c r="A10959" s="49"/>
      <c r="C10959" s="400"/>
      <c r="D10959" s="524"/>
      <c r="E10959" s="544"/>
      <c r="F10959" s="387"/>
      <c r="G10959" s="140"/>
      <c r="H10959" s="74"/>
      <c r="I10959" s="74">
        <f t="shared" si="7"/>
        <v>0</v>
      </c>
      <c r="J10959" s="74" t="str">
        <f>IF(E10959="SERVICE",I10959-(I10959*50%),Vlookup(E10959,DATABASE!C:Q,10,false)*F10959)</f>
        <v>#N/A</v>
      </c>
      <c r="K10959" s="74" t="str">
        <f>VLOOKUP(E10959,DATABASE!C:Q,7,false)</f>
        <v>#N/A</v>
      </c>
      <c r="L10959" s="74"/>
      <c r="M10959" s="74">
        <f t="shared" si="6"/>
        <v>0</v>
      </c>
      <c r="N10959" s="74" t="str">
        <f t="shared" si="9"/>
        <v>#N/A</v>
      </c>
      <c r="O10959" s="65" t="str">
        <f>VLOOKUP(E10959,DATABASE!C:Q,8,false)</f>
        <v>#N/A</v>
      </c>
      <c r="P10959" s="65" t="str">
        <f>VLOOKUP(E10959,DATABASE!C:Q,9,False)</f>
        <v>#N/A</v>
      </c>
      <c r="Q10959" s="93" t="str">
        <f>VLOOKUP(E10959,DATABASE!C:Q,4,false)</f>
        <v>#N/A</v>
      </c>
      <c r="R10959" s="93" t="str">
        <f>VLOOKUP(E10959,DATABASE!C:Q,11,false)</f>
        <v>#N/A</v>
      </c>
    </row>
    <row r="10960" ht="22.5" customHeight="1">
      <c r="A10960" s="49"/>
      <c r="C10960" s="400"/>
      <c r="D10960" s="524"/>
      <c r="E10960" s="544"/>
      <c r="F10960" s="387"/>
      <c r="G10960" s="140"/>
      <c r="H10960" s="74"/>
      <c r="I10960" s="74">
        <f t="shared" si="7"/>
        <v>0</v>
      </c>
      <c r="J10960" s="74" t="str">
        <f>IF(E10960="SERVICE",I10960-(I10960*50%),Vlookup(E10960,DATABASE!C:Q,10,false)*F10960)</f>
        <v>#N/A</v>
      </c>
      <c r="K10960" s="74" t="str">
        <f>VLOOKUP(E10960,DATABASE!C:Q,7,false)</f>
        <v>#N/A</v>
      </c>
      <c r="L10960" s="74"/>
      <c r="M10960" s="74">
        <f t="shared" si="6"/>
        <v>0</v>
      </c>
      <c r="N10960" s="74" t="str">
        <f t="shared" si="9"/>
        <v>#N/A</v>
      </c>
      <c r="O10960" s="65" t="str">
        <f>VLOOKUP(E10960,DATABASE!C:Q,8,false)</f>
        <v>#N/A</v>
      </c>
      <c r="P10960" s="65" t="str">
        <f>VLOOKUP(E10960,DATABASE!C:Q,9,False)</f>
        <v>#N/A</v>
      </c>
      <c r="Q10960" s="93" t="str">
        <f>VLOOKUP(E10960,DATABASE!C:Q,4,false)</f>
        <v>#N/A</v>
      </c>
      <c r="R10960" s="93" t="str">
        <f>VLOOKUP(E10960,DATABASE!C:Q,11,false)</f>
        <v>#N/A</v>
      </c>
    </row>
    <row r="10961" ht="22.5" customHeight="1">
      <c r="A10961" s="49"/>
      <c r="C10961" s="400"/>
      <c r="D10961" s="524"/>
      <c r="E10961" s="544"/>
      <c r="F10961" s="387"/>
      <c r="G10961" s="140"/>
      <c r="H10961" s="74"/>
      <c r="I10961" s="74">
        <f t="shared" si="7"/>
        <v>0</v>
      </c>
      <c r="J10961" s="74" t="str">
        <f>IF(E10961="SERVICE",I10961-(I10961*50%),Vlookup(E10961,DATABASE!C:Q,10,false)*F10961)</f>
        <v>#N/A</v>
      </c>
      <c r="K10961" s="74" t="str">
        <f>VLOOKUP(E10961,DATABASE!C:Q,7,false)</f>
        <v>#N/A</v>
      </c>
      <c r="L10961" s="74"/>
      <c r="M10961" s="74">
        <f t="shared" si="6"/>
        <v>0</v>
      </c>
      <c r="N10961" s="74" t="str">
        <f t="shared" si="9"/>
        <v>#N/A</v>
      </c>
      <c r="O10961" s="65" t="str">
        <f>VLOOKUP(E10961,DATABASE!C:Q,8,false)</f>
        <v>#N/A</v>
      </c>
      <c r="P10961" s="65" t="str">
        <f>VLOOKUP(E10961,DATABASE!C:Q,9,False)</f>
        <v>#N/A</v>
      </c>
      <c r="Q10961" s="93" t="str">
        <f>VLOOKUP(E10961,DATABASE!C:Q,4,false)</f>
        <v>#N/A</v>
      </c>
      <c r="R10961" s="93" t="str">
        <f>VLOOKUP(E10961,DATABASE!C:Q,11,false)</f>
        <v>#N/A</v>
      </c>
    </row>
    <row r="10962" ht="22.5" customHeight="1">
      <c r="A10962" s="49"/>
      <c r="C10962" s="400"/>
      <c r="D10962" s="524"/>
      <c r="E10962" s="544"/>
      <c r="F10962" s="387"/>
      <c r="G10962" s="140"/>
      <c r="H10962" s="74"/>
      <c r="I10962" s="74">
        <f t="shared" si="7"/>
        <v>0</v>
      </c>
      <c r="J10962" s="74" t="str">
        <f>IF(E10962="SERVICE",I10962-(I10962*50%),Vlookup(E10962,DATABASE!C:Q,10,false)*F10962)</f>
        <v>#N/A</v>
      </c>
      <c r="K10962" s="74" t="str">
        <f>VLOOKUP(E10962,DATABASE!C:Q,7,false)</f>
        <v>#N/A</v>
      </c>
      <c r="L10962" s="74"/>
      <c r="M10962" s="74">
        <f t="shared" si="6"/>
        <v>0</v>
      </c>
      <c r="N10962" s="74" t="str">
        <f t="shared" si="9"/>
        <v>#N/A</v>
      </c>
      <c r="O10962" s="65" t="str">
        <f>VLOOKUP(E10962,DATABASE!C:Q,8,false)</f>
        <v>#N/A</v>
      </c>
      <c r="P10962" s="65" t="str">
        <f>VLOOKUP(E10962,DATABASE!C:Q,9,False)</f>
        <v>#N/A</v>
      </c>
      <c r="Q10962" s="93" t="str">
        <f>VLOOKUP(E10962,DATABASE!C:Q,4,false)</f>
        <v>#N/A</v>
      </c>
      <c r="R10962" s="93" t="str">
        <f>VLOOKUP(E10962,DATABASE!C:Q,11,false)</f>
        <v>#N/A</v>
      </c>
    </row>
    <row r="10963" ht="22.5" customHeight="1">
      <c r="A10963" s="49"/>
      <c r="C10963" s="400"/>
      <c r="D10963" s="524"/>
      <c r="E10963" s="544"/>
      <c r="F10963" s="387"/>
      <c r="G10963" s="140"/>
      <c r="H10963" s="74"/>
      <c r="I10963" s="74">
        <f t="shared" si="7"/>
        <v>0</v>
      </c>
      <c r="J10963" s="74" t="str">
        <f>IF(E10963="SERVICE",I10963-(I10963*50%),Vlookup(E10963,DATABASE!C:Q,10,false)*F10963)</f>
        <v>#N/A</v>
      </c>
      <c r="K10963" s="74" t="str">
        <f>VLOOKUP(E10963,DATABASE!C:Q,7,false)</f>
        <v>#N/A</v>
      </c>
      <c r="L10963" s="74"/>
      <c r="M10963" s="74">
        <f t="shared" si="6"/>
        <v>0</v>
      </c>
      <c r="N10963" s="74" t="str">
        <f t="shared" si="9"/>
        <v>#N/A</v>
      </c>
      <c r="O10963" s="65" t="str">
        <f>VLOOKUP(E10963,DATABASE!C:Q,8,false)</f>
        <v>#N/A</v>
      </c>
      <c r="P10963" s="65" t="str">
        <f>VLOOKUP(E10963,DATABASE!C:Q,9,False)</f>
        <v>#N/A</v>
      </c>
      <c r="Q10963" s="93" t="str">
        <f>VLOOKUP(E10963,DATABASE!C:Q,4,false)</f>
        <v>#N/A</v>
      </c>
      <c r="R10963" s="93" t="str">
        <f>VLOOKUP(E10963,DATABASE!C:Q,11,false)</f>
        <v>#N/A</v>
      </c>
    </row>
    <row r="10964" ht="22.5" customHeight="1">
      <c r="A10964" s="49"/>
      <c r="C10964" s="400"/>
      <c r="D10964" s="524"/>
      <c r="E10964" s="544"/>
      <c r="F10964" s="387"/>
      <c r="G10964" s="140"/>
      <c r="H10964" s="74"/>
      <c r="I10964" s="74">
        <f t="shared" si="7"/>
        <v>0</v>
      </c>
      <c r="J10964" s="74" t="str">
        <f>IF(E10964="SERVICE",I10964-(I10964*50%),Vlookup(E10964,DATABASE!C:Q,10,false)*F10964)</f>
        <v>#N/A</v>
      </c>
      <c r="K10964" s="74" t="str">
        <f>VLOOKUP(E10964,DATABASE!C:Q,7,false)</f>
        <v>#N/A</v>
      </c>
      <c r="L10964" s="74"/>
      <c r="M10964" s="74">
        <f t="shared" si="6"/>
        <v>0</v>
      </c>
      <c r="N10964" s="74" t="str">
        <f t="shared" si="9"/>
        <v>#N/A</v>
      </c>
      <c r="O10964" s="65" t="str">
        <f>VLOOKUP(E10964,DATABASE!C:Q,8,false)</f>
        <v>#N/A</v>
      </c>
      <c r="P10964" s="65" t="str">
        <f>VLOOKUP(E10964,DATABASE!C:Q,9,False)</f>
        <v>#N/A</v>
      </c>
      <c r="Q10964" s="93" t="str">
        <f>VLOOKUP(E10964,DATABASE!C:Q,4,false)</f>
        <v>#N/A</v>
      </c>
      <c r="R10964" s="93" t="str">
        <f>VLOOKUP(E10964,DATABASE!C:Q,11,false)</f>
        <v>#N/A</v>
      </c>
    </row>
    <row r="10965" ht="22.5" customHeight="1">
      <c r="A10965" s="49"/>
      <c r="C10965" s="400"/>
      <c r="D10965" s="524"/>
      <c r="E10965" s="544"/>
      <c r="F10965" s="387"/>
      <c r="G10965" s="140"/>
      <c r="H10965" s="74"/>
      <c r="I10965" s="74">
        <f t="shared" si="7"/>
        <v>0</v>
      </c>
      <c r="J10965" s="74" t="str">
        <f>IF(E10965="SERVICE",I10965-(I10965*50%),Vlookup(E10965,DATABASE!C:Q,10,false)*F10965)</f>
        <v>#N/A</v>
      </c>
      <c r="K10965" s="74" t="str">
        <f>VLOOKUP(E10965,DATABASE!C:Q,7,false)</f>
        <v>#N/A</v>
      </c>
      <c r="L10965" s="74"/>
      <c r="M10965" s="74">
        <f t="shared" si="6"/>
        <v>0</v>
      </c>
      <c r="N10965" s="74" t="str">
        <f t="shared" si="9"/>
        <v>#N/A</v>
      </c>
      <c r="O10965" s="65" t="str">
        <f>VLOOKUP(E10965,DATABASE!C:Q,8,false)</f>
        <v>#N/A</v>
      </c>
      <c r="P10965" s="65" t="str">
        <f>VLOOKUP(E10965,DATABASE!C:Q,9,False)</f>
        <v>#N/A</v>
      </c>
      <c r="Q10965" s="93" t="str">
        <f>VLOOKUP(E10965,DATABASE!C:Q,4,false)</f>
        <v>#N/A</v>
      </c>
      <c r="R10965" s="93" t="str">
        <f>VLOOKUP(E10965,DATABASE!C:Q,11,false)</f>
        <v>#N/A</v>
      </c>
    </row>
    <row r="10966" ht="22.5" customHeight="1">
      <c r="A10966" s="49"/>
      <c r="C10966" s="400"/>
      <c r="D10966" s="524"/>
      <c r="E10966" s="544"/>
      <c r="F10966" s="387"/>
      <c r="G10966" s="140"/>
      <c r="H10966" s="74"/>
      <c r="I10966" s="74">
        <f t="shared" si="7"/>
        <v>0</v>
      </c>
      <c r="J10966" s="74" t="str">
        <f>IF(E10966="SERVICE",I10966-(I10966*50%),Vlookup(E10966,DATABASE!C:Q,10,false)*F10966)</f>
        <v>#N/A</v>
      </c>
      <c r="K10966" s="74" t="str">
        <f>VLOOKUP(E10966,DATABASE!C:Q,7,false)</f>
        <v>#N/A</v>
      </c>
      <c r="L10966" s="74"/>
      <c r="M10966" s="74">
        <f t="shared" si="6"/>
        <v>0</v>
      </c>
      <c r="N10966" s="74" t="str">
        <f t="shared" si="9"/>
        <v>#N/A</v>
      </c>
      <c r="O10966" s="65" t="str">
        <f>VLOOKUP(E10966,DATABASE!C:Q,8,false)</f>
        <v>#N/A</v>
      </c>
      <c r="P10966" s="65" t="str">
        <f>VLOOKUP(E10966,DATABASE!C:Q,9,False)</f>
        <v>#N/A</v>
      </c>
      <c r="Q10966" s="93" t="str">
        <f>VLOOKUP(E10966,DATABASE!C:Q,4,false)</f>
        <v>#N/A</v>
      </c>
      <c r="R10966" s="93" t="str">
        <f>VLOOKUP(E10966,DATABASE!C:Q,11,false)</f>
        <v>#N/A</v>
      </c>
    </row>
    <row r="10967" ht="22.5" customHeight="1">
      <c r="A10967" s="49"/>
      <c r="C10967" s="400"/>
      <c r="D10967" s="524"/>
      <c r="E10967" s="544"/>
      <c r="F10967" s="387"/>
      <c r="G10967" s="140"/>
      <c r="H10967" s="74"/>
      <c r="I10967" s="74">
        <f t="shared" si="7"/>
        <v>0</v>
      </c>
      <c r="J10967" s="74" t="str">
        <f>IF(E10967="SERVICE",I10967-(I10967*50%),Vlookup(E10967,DATABASE!C:Q,10,false)*F10967)</f>
        <v>#N/A</v>
      </c>
      <c r="K10967" s="74" t="str">
        <f>VLOOKUP(E10967,DATABASE!C:Q,7,false)</f>
        <v>#N/A</v>
      </c>
      <c r="L10967" s="74"/>
      <c r="M10967" s="74">
        <f t="shared" si="6"/>
        <v>0</v>
      </c>
      <c r="N10967" s="74" t="str">
        <f t="shared" si="9"/>
        <v>#N/A</v>
      </c>
      <c r="O10967" s="65" t="str">
        <f>VLOOKUP(E10967,DATABASE!C:Q,8,false)</f>
        <v>#N/A</v>
      </c>
      <c r="P10967" s="65" t="str">
        <f>VLOOKUP(E10967,DATABASE!C:Q,9,False)</f>
        <v>#N/A</v>
      </c>
      <c r="Q10967" s="93" t="str">
        <f>VLOOKUP(E10967,DATABASE!C:Q,4,false)</f>
        <v>#N/A</v>
      </c>
      <c r="R10967" s="93" t="str">
        <f>VLOOKUP(E10967,DATABASE!C:Q,11,false)</f>
        <v>#N/A</v>
      </c>
    </row>
    <row r="10968" ht="22.5" customHeight="1">
      <c r="A10968" s="49"/>
      <c r="C10968" s="400"/>
      <c r="D10968" s="524"/>
      <c r="E10968" s="544"/>
      <c r="F10968" s="387"/>
      <c r="G10968" s="140"/>
      <c r="H10968" s="74"/>
      <c r="I10968" s="74">
        <f t="shared" si="7"/>
        <v>0</v>
      </c>
      <c r="J10968" s="74" t="str">
        <f>IF(E10968="SERVICE",I10968-(I10968*50%),Vlookup(E10968,DATABASE!C:Q,10,false)*F10968)</f>
        <v>#N/A</v>
      </c>
      <c r="K10968" s="74" t="str">
        <f>VLOOKUP(E10968,DATABASE!C:Q,7,false)</f>
        <v>#N/A</v>
      </c>
      <c r="L10968" s="74"/>
      <c r="M10968" s="74">
        <f t="shared" si="6"/>
        <v>0</v>
      </c>
      <c r="N10968" s="74" t="str">
        <f t="shared" si="9"/>
        <v>#N/A</v>
      </c>
      <c r="O10968" s="65" t="str">
        <f>VLOOKUP(E10968,DATABASE!C:Q,8,false)</f>
        <v>#N/A</v>
      </c>
      <c r="P10968" s="65" t="str">
        <f>VLOOKUP(E10968,DATABASE!C:Q,9,False)</f>
        <v>#N/A</v>
      </c>
      <c r="Q10968" s="93" t="str">
        <f>VLOOKUP(E10968,DATABASE!C:Q,4,false)</f>
        <v>#N/A</v>
      </c>
      <c r="R10968" s="93" t="str">
        <f>VLOOKUP(E10968,DATABASE!C:Q,11,false)</f>
        <v>#N/A</v>
      </c>
    </row>
    <row r="10969" ht="22.5" customHeight="1">
      <c r="A10969" s="49"/>
      <c r="C10969" s="400"/>
      <c r="D10969" s="524"/>
      <c r="E10969" s="544"/>
      <c r="F10969" s="387"/>
      <c r="G10969" s="140"/>
      <c r="H10969" s="74"/>
      <c r="I10969" s="74">
        <f t="shared" si="7"/>
        <v>0</v>
      </c>
      <c r="J10969" s="74" t="str">
        <f>IF(E10969="SERVICE",I10969-(I10969*50%),Vlookup(E10969,DATABASE!C:Q,10,false)*F10969)</f>
        <v>#N/A</v>
      </c>
      <c r="K10969" s="74" t="str">
        <f>VLOOKUP(E10969,DATABASE!C:Q,7,false)</f>
        <v>#N/A</v>
      </c>
      <c r="L10969" s="74"/>
      <c r="M10969" s="74">
        <f t="shared" si="6"/>
        <v>0</v>
      </c>
      <c r="N10969" s="74" t="str">
        <f t="shared" si="9"/>
        <v>#N/A</v>
      </c>
      <c r="O10969" s="65" t="str">
        <f>VLOOKUP(E10969,DATABASE!C:Q,8,false)</f>
        <v>#N/A</v>
      </c>
      <c r="P10969" s="65" t="str">
        <f>VLOOKUP(E10969,DATABASE!C:Q,9,False)</f>
        <v>#N/A</v>
      </c>
      <c r="Q10969" s="93" t="str">
        <f>VLOOKUP(E10969,DATABASE!C:Q,4,false)</f>
        <v>#N/A</v>
      </c>
      <c r="R10969" s="93" t="str">
        <f>VLOOKUP(E10969,DATABASE!C:Q,11,false)</f>
        <v>#N/A</v>
      </c>
    </row>
    <row r="10970" ht="22.5" customHeight="1">
      <c r="A10970" s="49"/>
      <c r="C10970" s="400"/>
      <c r="D10970" s="524"/>
      <c r="E10970" s="544"/>
      <c r="F10970" s="387"/>
      <c r="G10970" s="140"/>
      <c r="H10970" s="74"/>
      <c r="I10970" s="74">
        <f t="shared" si="7"/>
        <v>0</v>
      </c>
      <c r="J10970" s="74" t="str">
        <f>IF(E10970="SERVICE",I10970-(I10970*50%),Vlookup(E10970,DATABASE!C:Q,10,false)*F10970)</f>
        <v>#N/A</v>
      </c>
      <c r="K10970" s="74" t="str">
        <f>VLOOKUP(E10970,DATABASE!C:Q,7,false)</f>
        <v>#N/A</v>
      </c>
      <c r="L10970" s="74"/>
      <c r="M10970" s="74">
        <f t="shared" si="6"/>
        <v>0</v>
      </c>
      <c r="N10970" s="74" t="str">
        <f t="shared" si="9"/>
        <v>#N/A</v>
      </c>
      <c r="O10970" s="65" t="str">
        <f>VLOOKUP(E10970,DATABASE!C:Q,8,false)</f>
        <v>#N/A</v>
      </c>
      <c r="P10970" s="65" t="str">
        <f>VLOOKUP(E10970,DATABASE!C:Q,9,False)</f>
        <v>#N/A</v>
      </c>
      <c r="Q10970" s="93" t="str">
        <f>VLOOKUP(E10970,DATABASE!C:Q,4,false)</f>
        <v>#N/A</v>
      </c>
      <c r="R10970" s="93" t="str">
        <f>VLOOKUP(E10970,DATABASE!C:Q,11,false)</f>
        <v>#N/A</v>
      </c>
    </row>
    <row r="10971" ht="22.5" customHeight="1">
      <c r="A10971" s="49"/>
      <c r="C10971" s="400"/>
      <c r="D10971" s="524"/>
      <c r="E10971" s="544"/>
      <c r="F10971" s="387"/>
      <c r="G10971" s="140"/>
      <c r="H10971" s="74"/>
      <c r="I10971" s="74">
        <f t="shared" si="7"/>
        <v>0</v>
      </c>
      <c r="J10971" s="74" t="str">
        <f>IF(E10971="SERVICE",I10971-(I10971*50%),Vlookup(E10971,DATABASE!C:Q,10,false)*F10971)</f>
        <v>#N/A</v>
      </c>
      <c r="K10971" s="74" t="str">
        <f>VLOOKUP(E10971,DATABASE!C:Q,7,false)</f>
        <v>#N/A</v>
      </c>
      <c r="L10971" s="74"/>
      <c r="M10971" s="74">
        <f t="shared" si="6"/>
        <v>0</v>
      </c>
      <c r="N10971" s="74" t="str">
        <f t="shared" si="9"/>
        <v>#N/A</v>
      </c>
      <c r="O10971" s="65" t="str">
        <f>VLOOKUP(E10971,DATABASE!C:Q,8,false)</f>
        <v>#N/A</v>
      </c>
      <c r="P10971" s="65" t="str">
        <f>VLOOKUP(E10971,DATABASE!C:Q,9,False)</f>
        <v>#N/A</v>
      </c>
      <c r="Q10971" s="93" t="str">
        <f>VLOOKUP(E10971,DATABASE!C:Q,4,false)</f>
        <v>#N/A</v>
      </c>
      <c r="R10971" s="93" t="str">
        <f>VLOOKUP(E10971,DATABASE!C:Q,11,false)</f>
        <v>#N/A</v>
      </c>
    </row>
    <row r="10972" ht="22.5" customHeight="1">
      <c r="A10972" s="49"/>
      <c r="C10972" s="400"/>
      <c r="D10972" s="524"/>
      <c r="E10972" s="544"/>
      <c r="F10972" s="387"/>
      <c r="G10972" s="140"/>
      <c r="H10972" s="74"/>
      <c r="I10972" s="74">
        <f t="shared" si="7"/>
        <v>0</v>
      </c>
      <c r="J10972" s="74" t="str">
        <f>IF(E10972="SERVICE",I10972-(I10972*50%),Vlookup(E10972,DATABASE!C:Q,10,false)*F10972)</f>
        <v>#N/A</v>
      </c>
      <c r="K10972" s="74" t="str">
        <f>VLOOKUP(E10972,DATABASE!C:Q,7,false)</f>
        <v>#N/A</v>
      </c>
      <c r="L10972" s="74"/>
      <c r="M10972" s="74">
        <f t="shared" si="6"/>
        <v>0</v>
      </c>
      <c r="N10972" s="74" t="str">
        <f t="shared" si="9"/>
        <v>#N/A</v>
      </c>
      <c r="O10972" s="65" t="str">
        <f>VLOOKUP(E10972,DATABASE!C:Q,8,false)</f>
        <v>#N/A</v>
      </c>
      <c r="P10972" s="65" t="str">
        <f>VLOOKUP(E10972,DATABASE!C:Q,9,False)</f>
        <v>#N/A</v>
      </c>
      <c r="Q10972" s="93" t="str">
        <f>VLOOKUP(E10972,DATABASE!C:Q,4,false)</f>
        <v>#N/A</v>
      </c>
      <c r="R10972" s="93" t="str">
        <f>VLOOKUP(E10972,DATABASE!C:Q,11,false)</f>
        <v>#N/A</v>
      </c>
    </row>
    <row r="10973" ht="22.5" customHeight="1">
      <c r="A10973" s="49"/>
      <c r="C10973" s="400"/>
      <c r="D10973" s="524"/>
      <c r="E10973" s="544"/>
      <c r="F10973" s="387"/>
      <c r="G10973" s="140"/>
      <c r="H10973" s="74"/>
      <c r="I10973" s="74">
        <f t="shared" si="7"/>
        <v>0</v>
      </c>
      <c r="J10973" s="74" t="str">
        <f>IF(E10973="SERVICE",I10973-(I10973*50%),Vlookup(E10973,DATABASE!C:Q,10,false)*F10973)</f>
        <v>#N/A</v>
      </c>
      <c r="K10973" s="74" t="str">
        <f>VLOOKUP(E10973,DATABASE!C:Q,7,false)</f>
        <v>#N/A</v>
      </c>
      <c r="L10973" s="74"/>
      <c r="M10973" s="74">
        <f t="shared" si="6"/>
        <v>0</v>
      </c>
      <c r="N10973" s="74" t="str">
        <f t="shared" si="9"/>
        <v>#N/A</v>
      </c>
      <c r="O10973" s="65" t="str">
        <f>VLOOKUP(E10973,DATABASE!C:Q,8,false)</f>
        <v>#N/A</v>
      </c>
      <c r="P10973" s="65" t="str">
        <f>VLOOKUP(E10973,DATABASE!C:Q,9,False)</f>
        <v>#N/A</v>
      </c>
      <c r="Q10973" s="93" t="str">
        <f>VLOOKUP(E10973,DATABASE!C:Q,4,false)</f>
        <v>#N/A</v>
      </c>
      <c r="R10973" s="93" t="str">
        <f>VLOOKUP(E10973,DATABASE!C:Q,11,false)</f>
        <v>#N/A</v>
      </c>
    </row>
    <row r="10974" ht="22.5" customHeight="1">
      <c r="A10974" s="49"/>
      <c r="C10974" s="400"/>
      <c r="D10974" s="524"/>
      <c r="E10974" s="544"/>
      <c r="F10974" s="387"/>
      <c r="G10974" s="140"/>
      <c r="H10974" s="74"/>
      <c r="I10974" s="74">
        <f t="shared" si="7"/>
        <v>0</v>
      </c>
      <c r="J10974" s="74" t="str">
        <f>IF(E10974="SERVICE",I10974-(I10974*50%),Vlookup(E10974,DATABASE!C:Q,10,false)*F10974)</f>
        <v>#N/A</v>
      </c>
      <c r="K10974" s="74" t="str">
        <f>VLOOKUP(E10974,DATABASE!C:Q,7,false)</f>
        <v>#N/A</v>
      </c>
      <c r="L10974" s="74"/>
      <c r="M10974" s="74">
        <f t="shared" si="6"/>
        <v>0</v>
      </c>
      <c r="N10974" s="74" t="str">
        <f t="shared" si="9"/>
        <v>#N/A</v>
      </c>
      <c r="O10974" s="65" t="str">
        <f>VLOOKUP(E10974,DATABASE!C:Q,8,false)</f>
        <v>#N/A</v>
      </c>
      <c r="P10974" s="65" t="str">
        <f>VLOOKUP(E10974,DATABASE!C:Q,9,False)</f>
        <v>#N/A</v>
      </c>
      <c r="Q10974" s="93" t="str">
        <f>VLOOKUP(E10974,DATABASE!C:Q,4,false)</f>
        <v>#N/A</v>
      </c>
      <c r="R10974" s="93" t="str">
        <f>VLOOKUP(E10974,DATABASE!C:Q,11,false)</f>
        <v>#N/A</v>
      </c>
    </row>
    <row r="10975" ht="22.5" customHeight="1">
      <c r="A10975" s="49"/>
      <c r="C10975" s="400"/>
      <c r="D10975" s="524"/>
      <c r="E10975" s="544"/>
      <c r="F10975" s="387"/>
      <c r="G10975" s="140"/>
      <c r="H10975" s="74"/>
      <c r="I10975" s="74">
        <f t="shared" si="7"/>
        <v>0</v>
      </c>
      <c r="J10975" s="74" t="str">
        <f>IF(E10975="SERVICE",I10975-(I10975*50%),Vlookup(E10975,DATABASE!C:Q,10,false)*F10975)</f>
        <v>#N/A</v>
      </c>
      <c r="K10975" s="74" t="str">
        <f>VLOOKUP(E10975,DATABASE!C:Q,7,false)</f>
        <v>#N/A</v>
      </c>
      <c r="L10975" s="74"/>
      <c r="M10975" s="74">
        <f t="shared" si="6"/>
        <v>0</v>
      </c>
      <c r="N10975" s="74" t="str">
        <f t="shared" si="9"/>
        <v>#N/A</v>
      </c>
      <c r="O10975" s="65" t="str">
        <f>VLOOKUP(E10975,DATABASE!C:Q,8,false)</f>
        <v>#N/A</v>
      </c>
      <c r="P10975" s="65" t="str">
        <f>VLOOKUP(E10975,DATABASE!C:Q,9,False)</f>
        <v>#N/A</v>
      </c>
      <c r="Q10975" s="93" t="str">
        <f>VLOOKUP(E10975,DATABASE!C:Q,4,false)</f>
        <v>#N/A</v>
      </c>
      <c r="R10975" s="93" t="str">
        <f>VLOOKUP(E10975,DATABASE!C:Q,11,false)</f>
        <v>#N/A</v>
      </c>
    </row>
    <row r="10976" ht="22.5" customHeight="1">
      <c r="A10976" s="49"/>
      <c r="C10976" s="400"/>
      <c r="D10976" s="524"/>
      <c r="E10976" s="544"/>
      <c r="F10976" s="387"/>
      <c r="G10976" s="140"/>
      <c r="H10976" s="74"/>
      <c r="I10976" s="74">
        <f t="shared" si="7"/>
        <v>0</v>
      </c>
      <c r="J10976" s="74" t="str">
        <f>IF(E10976="SERVICE",I10976-(I10976*50%),Vlookup(E10976,DATABASE!C:Q,10,false)*F10976)</f>
        <v>#N/A</v>
      </c>
      <c r="K10976" s="74" t="str">
        <f>VLOOKUP(E10976,DATABASE!C:Q,7,false)</f>
        <v>#N/A</v>
      </c>
      <c r="L10976" s="74"/>
      <c r="M10976" s="74">
        <f t="shared" si="6"/>
        <v>0</v>
      </c>
      <c r="N10976" s="74" t="str">
        <f t="shared" si="9"/>
        <v>#N/A</v>
      </c>
      <c r="O10976" s="65" t="str">
        <f>VLOOKUP(E10976,DATABASE!C:Q,8,false)</f>
        <v>#N/A</v>
      </c>
      <c r="P10976" s="65" t="str">
        <f>VLOOKUP(E10976,DATABASE!C:Q,9,False)</f>
        <v>#N/A</v>
      </c>
      <c r="Q10976" s="93" t="str">
        <f>VLOOKUP(E10976,DATABASE!C:Q,4,false)</f>
        <v>#N/A</v>
      </c>
      <c r="R10976" s="93" t="str">
        <f>VLOOKUP(E10976,DATABASE!C:Q,11,false)</f>
        <v>#N/A</v>
      </c>
    </row>
    <row r="10977" ht="22.5" customHeight="1">
      <c r="A10977" s="49"/>
      <c r="C10977" s="400"/>
      <c r="D10977" s="524"/>
      <c r="E10977" s="544"/>
      <c r="F10977" s="387"/>
      <c r="G10977" s="140"/>
      <c r="H10977" s="74"/>
      <c r="I10977" s="74">
        <f t="shared" si="7"/>
        <v>0</v>
      </c>
      <c r="J10977" s="74" t="str">
        <f>IF(E10977="SERVICE",I10977-(I10977*50%),Vlookup(E10977,DATABASE!C:Q,10,false)*F10977)</f>
        <v>#N/A</v>
      </c>
      <c r="K10977" s="74" t="str">
        <f>VLOOKUP(E10977,DATABASE!C:Q,7,false)</f>
        <v>#N/A</v>
      </c>
      <c r="L10977" s="74"/>
      <c r="M10977" s="74">
        <f t="shared" si="6"/>
        <v>0</v>
      </c>
      <c r="N10977" s="74" t="str">
        <f t="shared" si="9"/>
        <v>#N/A</v>
      </c>
      <c r="O10977" s="65" t="str">
        <f>VLOOKUP(E10977,DATABASE!C:Q,8,false)</f>
        <v>#N/A</v>
      </c>
      <c r="P10977" s="65" t="str">
        <f>VLOOKUP(E10977,DATABASE!C:Q,9,False)</f>
        <v>#N/A</v>
      </c>
      <c r="Q10977" s="93" t="str">
        <f>VLOOKUP(E10977,DATABASE!C:Q,4,false)</f>
        <v>#N/A</v>
      </c>
      <c r="R10977" s="93" t="str">
        <f>VLOOKUP(E10977,DATABASE!C:Q,11,false)</f>
        <v>#N/A</v>
      </c>
    </row>
    <row r="10978" ht="22.5" customHeight="1">
      <c r="A10978" s="49"/>
      <c r="C10978" s="400"/>
      <c r="D10978" s="524"/>
      <c r="E10978" s="544"/>
      <c r="F10978" s="387"/>
      <c r="G10978" s="140"/>
      <c r="H10978" s="74"/>
      <c r="I10978" s="74">
        <f t="shared" si="7"/>
        <v>0</v>
      </c>
      <c r="J10978" s="74" t="str">
        <f>IF(E10978="SERVICE",I10978-(I10978*50%),Vlookup(E10978,DATABASE!C:Q,10,false)*F10978)</f>
        <v>#N/A</v>
      </c>
      <c r="K10978" s="74" t="str">
        <f>VLOOKUP(E10978,DATABASE!C:Q,7,false)</f>
        <v>#N/A</v>
      </c>
      <c r="L10978" s="74"/>
      <c r="M10978" s="74">
        <f t="shared" si="6"/>
        <v>0</v>
      </c>
      <c r="N10978" s="74" t="str">
        <f t="shared" si="9"/>
        <v>#N/A</v>
      </c>
      <c r="O10978" s="65" t="str">
        <f>VLOOKUP(E10978,DATABASE!C:Q,8,false)</f>
        <v>#N/A</v>
      </c>
      <c r="P10978" s="65" t="str">
        <f>VLOOKUP(E10978,DATABASE!C:Q,9,False)</f>
        <v>#N/A</v>
      </c>
      <c r="Q10978" s="93" t="str">
        <f>VLOOKUP(E10978,DATABASE!C:Q,4,false)</f>
        <v>#N/A</v>
      </c>
      <c r="R10978" s="93" t="str">
        <f>VLOOKUP(E10978,DATABASE!C:Q,11,false)</f>
        <v>#N/A</v>
      </c>
    </row>
    <row r="10979" ht="22.5" customHeight="1">
      <c r="A10979" s="49"/>
      <c r="C10979" s="400"/>
      <c r="D10979" s="524"/>
      <c r="E10979" s="544"/>
      <c r="F10979" s="387"/>
      <c r="G10979" s="140"/>
      <c r="H10979" s="74"/>
      <c r="I10979" s="74">
        <f t="shared" si="7"/>
        <v>0</v>
      </c>
      <c r="J10979" s="74" t="str">
        <f>IF(E10979="SERVICE",I10979-(I10979*50%),Vlookup(E10979,DATABASE!C:Q,10,false)*F10979)</f>
        <v>#N/A</v>
      </c>
      <c r="K10979" s="74" t="str">
        <f>VLOOKUP(E10979,DATABASE!C:Q,7,false)</f>
        <v>#N/A</v>
      </c>
      <c r="L10979" s="74"/>
      <c r="M10979" s="74">
        <f t="shared" si="6"/>
        <v>0</v>
      </c>
      <c r="N10979" s="74" t="str">
        <f t="shared" si="9"/>
        <v>#N/A</v>
      </c>
      <c r="O10979" s="65" t="str">
        <f>VLOOKUP(E10979,DATABASE!C:Q,8,false)</f>
        <v>#N/A</v>
      </c>
      <c r="P10979" s="65" t="str">
        <f>VLOOKUP(E10979,DATABASE!C:Q,9,False)</f>
        <v>#N/A</v>
      </c>
      <c r="Q10979" s="93" t="str">
        <f>VLOOKUP(E10979,DATABASE!C:Q,4,false)</f>
        <v>#N/A</v>
      </c>
      <c r="R10979" s="93" t="str">
        <f>VLOOKUP(E10979,DATABASE!C:Q,11,false)</f>
        <v>#N/A</v>
      </c>
    </row>
    <row r="10980" ht="22.5" customHeight="1">
      <c r="A10980" s="49"/>
      <c r="C10980" s="400"/>
      <c r="D10980" s="524"/>
      <c r="E10980" s="544"/>
      <c r="F10980" s="387"/>
      <c r="G10980" s="140"/>
      <c r="H10980" s="74"/>
      <c r="I10980" s="74">
        <f t="shared" si="7"/>
        <v>0</v>
      </c>
      <c r="J10980" s="74" t="str">
        <f>IF(E10980="SERVICE",I10980-(I10980*50%),Vlookup(E10980,DATABASE!C:Q,10,false)*F10980)</f>
        <v>#N/A</v>
      </c>
      <c r="K10980" s="74" t="str">
        <f>VLOOKUP(E10980,DATABASE!C:Q,7,false)</f>
        <v>#N/A</v>
      </c>
      <c r="L10980" s="74"/>
      <c r="M10980" s="74">
        <f t="shared" si="6"/>
        <v>0</v>
      </c>
      <c r="N10980" s="74" t="str">
        <f t="shared" si="9"/>
        <v>#N/A</v>
      </c>
      <c r="O10980" s="65" t="str">
        <f>VLOOKUP(E10980,DATABASE!C:Q,8,false)</f>
        <v>#N/A</v>
      </c>
      <c r="P10980" s="65" t="str">
        <f>VLOOKUP(E10980,DATABASE!C:Q,9,False)</f>
        <v>#N/A</v>
      </c>
      <c r="Q10980" s="93" t="str">
        <f>VLOOKUP(E10980,DATABASE!C:Q,4,false)</f>
        <v>#N/A</v>
      </c>
      <c r="R10980" s="93" t="str">
        <f>VLOOKUP(E10980,DATABASE!C:Q,11,false)</f>
        <v>#N/A</v>
      </c>
    </row>
    <row r="10981" ht="22.5" customHeight="1">
      <c r="A10981" s="49"/>
      <c r="C10981" s="400"/>
      <c r="D10981" s="524"/>
      <c r="E10981" s="544"/>
      <c r="F10981" s="387"/>
      <c r="G10981" s="140"/>
      <c r="H10981" s="74"/>
      <c r="I10981" s="74">
        <f t="shared" si="7"/>
        <v>0</v>
      </c>
      <c r="J10981" s="74" t="str">
        <f>IF(E10981="SERVICE",I10981-(I10981*50%),Vlookup(E10981,DATABASE!C:Q,10,false)*F10981)</f>
        <v>#N/A</v>
      </c>
      <c r="K10981" s="74" t="str">
        <f>VLOOKUP(E10981,DATABASE!C:Q,7,false)</f>
        <v>#N/A</v>
      </c>
      <c r="L10981" s="74"/>
      <c r="M10981" s="74">
        <f t="shared" si="6"/>
        <v>0</v>
      </c>
      <c r="N10981" s="74" t="str">
        <f t="shared" si="9"/>
        <v>#N/A</v>
      </c>
      <c r="O10981" s="65" t="str">
        <f>VLOOKUP(E10981,DATABASE!C:Q,8,false)</f>
        <v>#N/A</v>
      </c>
      <c r="P10981" s="65" t="str">
        <f>VLOOKUP(E10981,DATABASE!C:Q,9,False)</f>
        <v>#N/A</v>
      </c>
      <c r="Q10981" s="93" t="str">
        <f>VLOOKUP(E10981,DATABASE!C:Q,4,false)</f>
        <v>#N/A</v>
      </c>
      <c r="R10981" s="93" t="str">
        <f>VLOOKUP(E10981,DATABASE!C:Q,11,false)</f>
        <v>#N/A</v>
      </c>
    </row>
    <row r="10982" ht="22.5" customHeight="1">
      <c r="A10982" s="49"/>
      <c r="C10982" s="400"/>
      <c r="D10982" s="524"/>
      <c r="E10982" s="544"/>
      <c r="F10982" s="387"/>
      <c r="G10982" s="140"/>
      <c r="H10982" s="74"/>
      <c r="I10982" s="74">
        <f t="shared" si="7"/>
        <v>0</v>
      </c>
      <c r="J10982" s="74" t="str">
        <f>IF(E10982="SERVICE",I10982-(I10982*50%),Vlookup(E10982,DATABASE!C:Q,10,false)*F10982)</f>
        <v>#N/A</v>
      </c>
      <c r="K10982" s="74" t="str">
        <f>VLOOKUP(E10982,DATABASE!C:Q,7,false)</f>
        <v>#N/A</v>
      </c>
      <c r="L10982" s="74"/>
      <c r="M10982" s="74">
        <f t="shared" si="6"/>
        <v>0</v>
      </c>
      <c r="N10982" s="74" t="str">
        <f t="shared" si="9"/>
        <v>#N/A</v>
      </c>
      <c r="O10982" s="65" t="str">
        <f>VLOOKUP(E10982,DATABASE!C:Q,8,false)</f>
        <v>#N/A</v>
      </c>
      <c r="P10982" s="65" t="str">
        <f>VLOOKUP(E10982,DATABASE!C:Q,9,False)</f>
        <v>#N/A</v>
      </c>
      <c r="Q10982" s="93" t="str">
        <f>VLOOKUP(E10982,DATABASE!C:Q,4,false)</f>
        <v>#N/A</v>
      </c>
      <c r="R10982" s="93" t="str">
        <f>VLOOKUP(E10982,DATABASE!C:Q,11,false)</f>
        <v>#N/A</v>
      </c>
    </row>
    <row r="10983" ht="22.5" customHeight="1">
      <c r="A10983" s="49"/>
      <c r="C10983" s="400"/>
      <c r="D10983" s="524"/>
      <c r="E10983" s="544"/>
      <c r="F10983" s="387"/>
      <c r="G10983" s="140"/>
      <c r="H10983" s="74"/>
      <c r="I10983" s="74">
        <f t="shared" si="7"/>
        <v>0</v>
      </c>
      <c r="J10983" s="74" t="str">
        <f>IF(E10983="SERVICE",I10983-(I10983*50%),Vlookup(E10983,DATABASE!C:Q,10,false)*F10983)</f>
        <v>#N/A</v>
      </c>
      <c r="K10983" s="74" t="str">
        <f>VLOOKUP(E10983,DATABASE!C:Q,7,false)</f>
        <v>#N/A</v>
      </c>
      <c r="L10983" s="74"/>
      <c r="M10983" s="74">
        <f t="shared" si="6"/>
        <v>0</v>
      </c>
      <c r="N10983" s="74" t="str">
        <f t="shared" si="9"/>
        <v>#N/A</v>
      </c>
      <c r="O10983" s="65" t="str">
        <f>VLOOKUP(E10983,DATABASE!C:Q,8,false)</f>
        <v>#N/A</v>
      </c>
      <c r="P10983" s="65" t="str">
        <f>VLOOKUP(E10983,DATABASE!C:Q,9,False)</f>
        <v>#N/A</v>
      </c>
      <c r="Q10983" s="93" t="str">
        <f>VLOOKUP(E10983,DATABASE!C:Q,4,false)</f>
        <v>#N/A</v>
      </c>
      <c r="R10983" s="93" t="str">
        <f>VLOOKUP(E10983,DATABASE!C:Q,11,false)</f>
        <v>#N/A</v>
      </c>
    </row>
    <row r="10984" ht="22.5" customHeight="1">
      <c r="A10984" s="49"/>
      <c r="C10984" s="400"/>
      <c r="D10984" s="524"/>
      <c r="E10984" s="544"/>
      <c r="F10984" s="387"/>
      <c r="G10984" s="140"/>
      <c r="H10984" s="74"/>
      <c r="I10984" s="74">
        <f t="shared" si="7"/>
        <v>0</v>
      </c>
      <c r="J10984" s="74" t="str">
        <f>IF(E10984="SERVICE",I10984-(I10984*50%),Vlookup(E10984,DATABASE!C:Q,10,false)*F10984)</f>
        <v>#N/A</v>
      </c>
      <c r="K10984" s="74" t="str">
        <f>VLOOKUP(E10984,DATABASE!C:Q,7,false)</f>
        <v>#N/A</v>
      </c>
      <c r="L10984" s="74"/>
      <c r="M10984" s="74">
        <f t="shared" si="6"/>
        <v>0</v>
      </c>
      <c r="N10984" s="74" t="str">
        <f t="shared" si="9"/>
        <v>#N/A</v>
      </c>
      <c r="O10984" s="65" t="str">
        <f>VLOOKUP(E10984,DATABASE!C:Q,8,false)</f>
        <v>#N/A</v>
      </c>
      <c r="P10984" s="65" t="str">
        <f>VLOOKUP(E10984,DATABASE!C:Q,9,False)</f>
        <v>#N/A</v>
      </c>
      <c r="Q10984" s="93" t="str">
        <f>VLOOKUP(E10984,DATABASE!C:Q,4,false)</f>
        <v>#N/A</v>
      </c>
      <c r="R10984" s="93" t="str">
        <f>VLOOKUP(E10984,DATABASE!C:Q,11,false)</f>
        <v>#N/A</v>
      </c>
    </row>
    <row r="10985" ht="22.5" customHeight="1">
      <c r="A10985" s="49"/>
      <c r="C10985" s="400"/>
      <c r="D10985" s="524"/>
      <c r="E10985" s="544"/>
      <c r="F10985" s="387"/>
      <c r="G10985" s="140"/>
      <c r="H10985" s="74"/>
      <c r="I10985" s="74">
        <f t="shared" si="7"/>
        <v>0</v>
      </c>
      <c r="J10985" s="74" t="str">
        <f>IF(E10985="SERVICE",I10985-(I10985*50%),Vlookup(E10985,DATABASE!C:Q,10,false)*F10985)</f>
        <v>#N/A</v>
      </c>
      <c r="K10985" s="74" t="str">
        <f>VLOOKUP(E10985,DATABASE!C:Q,7,false)</f>
        <v>#N/A</v>
      </c>
      <c r="L10985" s="74"/>
      <c r="M10985" s="74">
        <f t="shared" si="6"/>
        <v>0</v>
      </c>
      <c r="N10985" s="74" t="str">
        <f t="shared" si="9"/>
        <v>#N/A</v>
      </c>
      <c r="O10985" s="65" t="str">
        <f>VLOOKUP(E10985,DATABASE!C:Q,8,false)</f>
        <v>#N/A</v>
      </c>
      <c r="P10985" s="65" t="str">
        <f>VLOOKUP(E10985,DATABASE!C:Q,9,False)</f>
        <v>#N/A</v>
      </c>
      <c r="Q10985" s="93" t="str">
        <f>VLOOKUP(E10985,DATABASE!C:Q,4,false)</f>
        <v>#N/A</v>
      </c>
      <c r="R10985" s="93" t="str">
        <f>VLOOKUP(E10985,DATABASE!C:Q,11,false)</f>
        <v>#N/A</v>
      </c>
    </row>
    <row r="10986" ht="22.5" customHeight="1">
      <c r="A10986" s="49"/>
      <c r="C10986" s="400"/>
      <c r="D10986" s="524"/>
      <c r="E10986" s="544"/>
      <c r="F10986" s="387"/>
      <c r="G10986" s="140"/>
      <c r="H10986" s="74"/>
      <c r="I10986" s="74">
        <f t="shared" si="7"/>
        <v>0</v>
      </c>
      <c r="J10986" s="74" t="str">
        <f>IF(E10986="SERVICE",I10986-(I10986*50%),Vlookup(E10986,DATABASE!C:Q,10,false)*F10986)</f>
        <v>#N/A</v>
      </c>
      <c r="K10986" s="74" t="str">
        <f>VLOOKUP(E10986,DATABASE!C:Q,7,false)</f>
        <v>#N/A</v>
      </c>
      <c r="L10986" s="74"/>
      <c r="M10986" s="74">
        <f t="shared" si="6"/>
        <v>0</v>
      </c>
      <c r="N10986" s="74" t="str">
        <f t="shared" si="9"/>
        <v>#N/A</v>
      </c>
      <c r="O10986" s="65" t="str">
        <f>VLOOKUP(E10986,DATABASE!C:Q,8,false)</f>
        <v>#N/A</v>
      </c>
      <c r="P10986" s="65" t="str">
        <f>VLOOKUP(E10986,DATABASE!C:Q,9,False)</f>
        <v>#N/A</v>
      </c>
      <c r="Q10986" s="93" t="str">
        <f>VLOOKUP(E10986,DATABASE!C:Q,4,false)</f>
        <v>#N/A</v>
      </c>
      <c r="R10986" s="93" t="str">
        <f>VLOOKUP(E10986,DATABASE!C:Q,11,false)</f>
        <v>#N/A</v>
      </c>
    </row>
    <row r="10987" ht="22.5" customHeight="1">
      <c r="A10987" s="49"/>
      <c r="C10987" s="400"/>
      <c r="D10987" s="524"/>
      <c r="E10987" s="544"/>
      <c r="F10987" s="387"/>
      <c r="G10987" s="140"/>
      <c r="H10987" s="74"/>
      <c r="I10987" s="74">
        <f t="shared" si="7"/>
        <v>0</v>
      </c>
      <c r="J10987" s="74" t="str">
        <f>IF(E10987="SERVICE",I10987-(I10987*50%),Vlookup(E10987,DATABASE!C:Q,10,false)*F10987)</f>
        <v>#N/A</v>
      </c>
      <c r="K10987" s="74" t="str">
        <f>VLOOKUP(E10987,DATABASE!C:Q,7,false)</f>
        <v>#N/A</v>
      </c>
      <c r="L10987" s="74"/>
      <c r="M10987" s="74">
        <f t="shared" si="6"/>
        <v>0</v>
      </c>
      <c r="N10987" s="74" t="str">
        <f t="shared" si="9"/>
        <v>#N/A</v>
      </c>
      <c r="O10987" s="65" t="str">
        <f>VLOOKUP(E10987,DATABASE!C:Q,8,false)</f>
        <v>#N/A</v>
      </c>
      <c r="P10987" s="65" t="str">
        <f>VLOOKUP(E10987,DATABASE!C:Q,9,False)</f>
        <v>#N/A</v>
      </c>
      <c r="Q10987" s="93" t="str">
        <f>VLOOKUP(E10987,DATABASE!C:Q,4,false)</f>
        <v>#N/A</v>
      </c>
      <c r="R10987" s="93" t="str">
        <f>VLOOKUP(E10987,DATABASE!C:Q,11,false)</f>
        <v>#N/A</v>
      </c>
    </row>
    <row r="10988" ht="22.5" customHeight="1">
      <c r="A10988" s="49"/>
      <c r="C10988" s="400"/>
      <c r="D10988" s="524"/>
      <c r="E10988" s="544"/>
      <c r="F10988" s="387"/>
      <c r="G10988" s="140"/>
      <c r="H10988" s="74"/>
      <c r="I10988" s="74">
        <f t="shared" si="7"/>
        <v>0</v>
      </c>
      <c r="J10988" s="74" t="str">
        <f>IF(E10988="SERVICE",I10988-(I10988*50%),Vlookup(E10988,DATABASE!C:Q,10,false)*F10988)</f>
        <v>#N/A</v>
      </c>
      <c r="K10988" s="74" t="str">
        <f>VLOOKUP(E10988,DATABASE!C:Q,7,false)</f>
        <v>#N/A</v>
      </c>
      <c r="L10988" s="74"/>
      <c r="M10988" s="74">
        <f t="shared" si="6"/>
        <v>0</v>
      </c>
      <c r="N10988" s="74" t="str">
        <f t="shared" si="9"/>
        <v>#N/A</v>
      </c>
      <c r="O10988" s="65" t="str">
        <f>VLOOKUP(E10988,DATABASE!C:Q,8,false)</f>
        <v>#N/A</v>
      </c>
      <c r="P10988" s="65" t="str">
        <f>VLOOKUP(E10988,DATABASE!C:Q,9,False)</f>
        <v>#N/A</v>
      </c>
      <c r="Q10988" s="93" t="str">
        <f>VLOOKUP(E10988,DATABASE!C:Q,4,false)</f>
        <v>#N/A</v>
      </c>
      <c r="R10988" s="93" t="str">
        <f>VLOOKUP(E10988,DATABASE!C:Q,11,false)</f>
        <v>#N/A</v>
      </c>
    </row>
    <row r="10989" ht="22.5" customHeight="1">
      <c r="A10989" s="49"/>
      <c r="C10989" s="400"/>
      <c r="D10989" s="524"/>
      <c r="E10989" s="544"/>
      <c r="F10989" s="387"/>
      <c r="G10989" s="140"/>
      <c r="H10989" s="74"/>
      <c r="I10989" s="74">
        <f t="shared" si="7"/>
        <v>0</v>
      </c>
      <c r="J10989" s="74" t="str">
        <f>IF(E10989="SERVICE",I10989-(I10989*50%),Vlookup(E10989,DATABASE!C:Q,10,false)*F10989)</f>
        <v>#N/A</v>
      </c>
      <c r="K10989" s="74" t="str">
        <f>VLOOKUP(E10989,DATABASE!C:Q,7,false)</f>
        <v>#N/A</v>
      </c>
      <c r="L10989" s="74"/>
      <c r="M10989" s="74">
        <f t="shared" si="6"/>
        <v>0</v>
      </c>
      <c r="N10989" s="74" t="str">
        <f t="shared" si="9"/>
        <v>#N/A</v>
      </c>
      <c r="O10989" s="65" t="str">
        <f>VLOOKUP(E10989,DATABASE!C:Q,8,false)</f>
        <v>#N/A</v>
      </c>
      <c r="P10989" s="65" t="str">
        <f>VLOOKUP(E10989,DATABASE!C:Q,9,False)</f>
        <v>#N/A</v>
      </c>
      <c r="Q10989" s="93" t="str">
        <f>VLOOKUP(E10989,DATABASE!C:Q,4,false)</f>
        <v>#N/A</v>
      </c>
      <c r="R10989" s="93" t="str">
        <f>VLOOKUP(E10989,DATABASE!C:Q,11,false)</f>
        <v>#N/A</v>
      </c>
    </row>
    <row r="10990" ht="22.5" customHeight="1">
      <c r="A10990" s="49"/>
      <c r="C10990" s="400"/>
      <c r="D10990" s="524"/>
      <c r="E10990" s="544"/>
      <c r="F10990" s="387"/>
      <c r="G10990" s="140"/>
      <c r="H10990" s="74"/>
      <c r="I10990" s="74">
        <f t="shared" si="7"/>
        <v>0</v>
      </c>
      <c r="J10990" s="74" t="str">
        <f>IF(E10990="SERVICE",I10990-(I10990*50%),Vlookup(E10990,DATABASE!C:Q,10,false)*F10990)</f>
        <v>#N/A</v>
      </c>
      <c r="K10990" s="74" t="str">
        <f>VLOOKUP(E10990,DATABASE!C:Q,7,false)</f>
        <v>#N/A</v>
      </c>
      <c r="L10990" s="74"/>
      <c r="M10990" s="74">
        <f t="shared" si="6"/>
        <v>0</v>
      </c>
      <c r="N10990" s="74" t="str">
        <f t="shared" si="9"/>
        <v>#N/A</v>
      </c>
      <c r="O10990" s="65" t="str">
        <f>VLOOKUP(E10990,DATABASE!C:Q,8,false)</f>
        <v>#N/A</v>
      </c>
      <c r="P10990" s="65" t="str">
        <f>VLOOKUP(E10990,DATABASE!C:Q,9,False)</f>
        <v>#N/A</v>
      </c>
      <c r="Q10990" s="93" t="str">
        <f>VLOOKUP(E10990,DATABASE!C:Q,4,false)</f>
        <v>#N/A</v>
      </c>
      <c r="R10990" s="93" t="str">
        <f>VLOOKUP(E10990,DATABASE!C:Q,11,false)</f>
        <v>#N/A</v>
      </c>
    </row>
    <row r="10991" ht="22.5" customHeight="1">
      <c r="A10991" s="49"/>
      <c r="C10991" s="400"/>
      <c r="D10991" s="524"/>
      <c r="E10991" s="544"/>
      <c r="F10991" s="387"/>
      <c r="G10991" s="140"/>
      <c r="H10991" s="74"/>
      <c r="I10991" s="74">
        <f t="shared" si="7"/>
        <v>0</v>
      </c>
      <c r="J10991" s="74" t="str">
        <f>IF(E10991="SERVICE",I10991-(I10991*50%),Vlookup(E10991,DATABASE!C:Q,10,false)*F10991)</f>
        <v>#N/A</v>
      </c>
      <c r="K10991" s="74" t="str">
        <f>VLOOKUP(E10991,DATABASE!C:Q,7,false)</f>
        <v>#N/A</v>
      </c>
      <c r="L10991" s="74"/>
      <c r="M10991" s="74">
        <f t="shared" si="6"/>
        <v>0</v>
      </c>
      <c r="N10991" s="74" t="str">
        <f t="shared" si="9"/>
        <v>#N/A</v>
      </c>
      <c r="O10991" s="65" t="str">
        <f>VLOOKUP(E10991,DATABASE!C:Q,8,false)</f>
        <v>#N/A</v>
      </c>
      <c r="P10991" s="65" t="str">
        <f>VLOOKUP(E10991,DATABASE!C:Q,9,False)</f>
        <v>#N/A</v>
      </c>
      <c r="Q10991" s="93" t="str">
        <f>VLOOKUP(E10991,DATABASE!C:Q,4,false)</f>
        <v>#N/A</v>
      </c>
      <c r="R10991" s="93" t="str">
        <f>VLOOKUP(E10991,DATABASE!C:Q,11,false)</f>
        <v>#N/A</v>
      </c>
    </row>
    <row r="10992" ht="22.5" customHeight="1">
      <c r="A10992" s="49"/>
      <c r="C10992" s="400"/>
      <c r="D10992" s="524"/>
      <c r="E10992" s="544"/>
      <c r="F10992" s="387"/>
      <c r="G10992" s="140"/>
      <c r="H10992" s="74"/>
      <c r="I10992" s="74">
        <f t="shared" si="7"/>
        <v>0</v>
      </c>
      <c r="J10992" s="74" t="str">
        <f>IF(E10992="SERVICE",I10992-(I10992*50%),Vlookup(E10992,DATABASE!C:Q,10,false)*F10992)</f>
        <v>#N/A</v>
      </c>
      <c r="K10992" s="74" t="str">
        <f>VLOOKUP(E10992,DATABASE!C:Q,7,false)</f>
        <v>#N/A</v>
      </c>
      <c r="L10992" s="74"/>
      <c r="M10992" s="74">
        <f t="shared" si="6"/>
        <v>0</v>
      </c>
      <c r="N10992" s="74" t="str">
        <f t="shared" si="9"/>
        <v>#N/A</v>
      </c>
      <c r="O10992" s="65" t="str">
        <f>VLOOKUP(E10992,DATABASE!C:Q,8,false)</f>
        <v>#N/A</v>
      </c>
      <c r="P10992" s="65" t="str">
        <f>VLOOKUP(E10992,DATABASE!C:Q,9,False)</f>
        <v>#N/A</v>
      </c>
      <c r="Q10992" s="93" t="str">
        <f>VLOOKUP(E10992,DATABASE!C:Q,4,false)</f>
        <v>#N/A</v>
      </c>
      <c r="R10992" s="93" t="str">
        <f>VLOOKUP(E10992,DATABASE!C:Q,11,false)</f>
        <v>#N/A</v>
      </c>
    </row>
    <row r="10993" ht="22.5" customHeight="1">
      <c r="A10993" s="49"/>
      <c r="C10993" s="400"/>
      <c r="D10993" s="524"/>
      <c r="E10993" s="544"/>
      <c r="F10993" s="387"/>
      <c r="G10993" s="140"/>
      <c r="H10993" s="74"/>
      <c r="I10993" s="74">
        <f t="shared" si="7"/>
        <v>0</v>
      </c>
      <c r="J10993" s="74" t="str">
        <f>IF(E10993="SERVICE",I10993-(I10993*50%),Vlookup(E10993,DATABASE!C:Q,10,false)*F10993)</f>
        <v>#N/A</v>
      </c>
      <c r="K10993" s="74" t="str">
        <f>VLOOKUP(E10993,DATABASE!C:Q,7,false)</f>
        <v>#N/A</v>
      </c>
      <c r="L10993" s="74"/>
      <c r="M10993" s="74">
        <f t="shared" si="6"/>
        <v>0</v>
      </c>
      <c r="N10993" s="74" t="str">
        <f t="shared" si="9"/>
        <v>#N/A</v>
      </c>
      <c r="O10993" s="65" t="str">
        <f>VLOOKUP(E10993,DATABASE!C:Q,8,false)</f>
        <v>#N/A</v>
      </c>
      <c r="P10993" s="65" t="str">
        <f>VLOOKUP(E10993,DATABASE!C:Q,9,False)</f>
        <v>#N/A</v>
      </c>
      <c r="Q10993" s="93" t="str">
        <f>VLOOKUP(E10993,DATABASE!C:Q,4,false)</f>
        <v>#N/A</v>
      </c>
      <c r="R10993" s="93" t="str">
        <f>VLOOKUP(E10993,DATABASE!C:Q,11,false)</f>
        <v>#N/A</v>
      </c>
    </row>
    <row r="10994" ht="22.5" customHeight="1">
      <c r="A10994" s="49"/>
      <c r="C10994" s="400"/>
      <c r="D10994" s="524"/>
      <c r="E10994" s="544"/>
      <c r="F10994" s="387"/>
      <c r="G10994" s="140"/>
      <c r="H10994" s="74"/>
      <c r="I10994" s="74">
        <f t="shared" si="7"/>
        <v>0</v>
      </c>
      <c r="J10994" s="74" t="str">
        <f>IF(E10994="SERVICE",I10994-(I10994*50%),Vlookup(E10994,DATABASE!C:Q,10,false)*F10994)</f>
        <v>#N/A</v>
      </c>
      <c r="K10994" s="74" t="str">
        <f>VLOOKUP(E10994,DATABASE!C:Q,7,false)</f>
        <v>#N/A</v>
      </c>
      <c r="L10994" s="74"/>
      <c r="M10994" s="74">
        <f t="shared" si="6"/>
        <v>0</v>
      </c>
      <c r="N10994" s="74" t="str">
        <f t="shared" si="9"/>
        <v>#N/A</v>
      </c>
      <c r="O10994" s="65" t="str">
        <f>VLOOKUP(E10994,DATABASE!C:Q,8,false)</f>
        <v>#N/A</v>
      </c>
      <c r="P10994" s="65" t="str">
        <f>VLOOKUP(E10994,DATABASE!C:Q,9,False)</f>
        <v>#N/A</v>
      </c>
      <c r="Q10994" s="93" t="str">
        <f>VLOOKUP(E10994,DATABASE!C:Q,4,false)</f>
        <v>#N/A</v>
      </c>
      <c r="R10994" s="93" t="str">
        <f>VLOOKUP(E10994,DATABASE!C:Q,11,false)</f>
        <v>#N/A</v>
      </c>
    </row>
    <row r="10995" ht="22.5" customHeight="1">
      <c r="A10995" s="49"/>
      <c r="C10995" s="400"/>
      <c r="D10995" s="524"/>
      <c r="E10995" s="544"/>
      <c r="F10995" s="387"/>
      <c r="G10995" s="140"/>
      <c r="H10995" s="74"/>
      <c r="I10995" s="74">
        <f t="shared" si="7"/>
        <v>0</v>
      </c>
      <c r="J10995" s="74" t="str">
        <f>IF(E10995="SERVICE",I10995-(I10995*50%),Vlookup(E10995,DATABASE!C:Q,10,false)*F10995)</f>
        <v>#N/A</v>
      </c>
      <c r="K10995" s="74" t="str">
        <f>VLOOKUP(E10995,DATABASE!C:Q,7,false)</f>
        <v>#N/A</v>
      </c>
      <c r="L10995" s="74"/>
      <c r="M10995" s="74">
        <f t="shared" si="6"/>
        <v>0</v>
      </c>
      <c r="N10995" s="74" t="str">
        <f t="shared" si="9"/>
        <v>#N/A</v>
      </c>
      <c r="O10995" s="65" t="str">
        <f>VLOOKUP(E10995,DATABASE!C:Q,8,false)</f>
        <v>#N/A</v>
      </c>
      <c r="P10995" s="65" t="str">
        <f>VLOOKUP(E10995,DATABASE!C:Q,9,False)</f>
        <v>#N/A</v>
      </c>
      <c r="Q10995" s="93" t="str">
        <f>VLOOKUP(E10995,DATABASE!C:Q,4,false)</f>
        <v>#N/A</v>
      </c>
      <c r="R10995" s="93" t="str">
        <f>VLOOKUP(E10995,DATABASE!C:Q,11,false)</f>
        <v>#N/A</v>
      </c>
    </row>
    <row r="10996" ht="22.5" customHeight="1">
      <c r="A10996" s="49"/>
      <c r="C10996" s="400"/>
      <c r="D10996" s="524"/>
      <c r="E10996" s="544"/>
      <c r="F10996" s="387"/>
      <c r="G10996" s="140"/>
      <c r="H10996" s="74"/>
      <c r="I10996" s="74">
        <f t="shared" si="7"/>
        <v>0</v>
      </c>
      <c r="J10996" s="74" t="str">
        <f>IF(E10996="SERVICE",I10996-(I10996*50%),Vlookup(E10996,DATABASE!C:Q,10,false)*F10996)</f>
        <v>#N/A</v>
      </c>
      <c r="K10996" s="74" t="str">
        <f>VLOOKUP(E10996,DATABASE!C:Q,7,false)</f>
        <v>#N/A</v>
      </c>
      <c r="L10996" s="74"/>
      <c r="M10996" s="74">
        <f t="shared" si="6"/>
        <v>0</v>
      </c>
      <c r="N10996" s="74" t="str">
        <f t="shared" si="9"/>
        <v>#N/A</v>
      </c>
      <c r="O10996" s="65" t="str">
        <f>VLOOKUP(E10996,DATABASE!C:Q,8,false)</f>
        <v>#N/A</v>
      </c>
      <c r="P10996" s="65" t="str">
        <f>VLOOKUP(E10996,DATABASE!C:Q,9,False)</f>
        <v>#N/A</v>
      </c>
      <c r="Q10996" s="93" t="str">
        <f>VLOOKUP(E10996,DATABASE!C:Q,4,false)</f>
        <v>#N/A</v>
      </c>
      <c r="R10996" s="93" t="str">
        <f>VLOOKUP(E10996,DATABASE!C:Q,11,false)</f>
        <v>#N/A</v>
      </c>
    </row>
    <row r="10997" ht="22.5" customHeight="1">
      <c r="A10997" s="49"/>
      <c r="C10997" s="400"/>
      <c r="D10997" s="524"/>
      <c r="E10997" s="544"/>
      <c r="F10997" s="387"/>
      <c r="G10997" s="140"/>
      <c r="H10997" s="74"/>
      <c r="I10997" s="74">
        <f t="shared" si="7"/>
        <v>0</v>
      </c>
      <c r="J10997" s="74" t="str">
        <f>IF(E10997="SERVICE",I10997-(I10997*50%),Vlookup(E10997,DATABASE!C:Q,10,false)*F10997)</f>
        <v>#N/A</v>
      </c>
      <c r="K10997" s="74" t="str">
        <f>VLOOKUP(E10997,DATABASE!C:Q,7,false)</f>
        <v>#N/A</v>
      </c>
      <c r="L10997" s="74"/>
      <c r="M10997" s="74">
        <f t="shared" si="6"/>
        <v>0</v>
      </c>
      <c r="N10997" s="74" t="str">
        <f t="shared" si="9"/>
        <v>#N/A</v>
      </c>
      <c r="O10997" s="65" t="str">
        <f>VLOOKUP(E10997,DATABASE!C:Q,8,false)</f>
        <v>#N/A</v>
      </c>
      <c r="P10997" s="65" t="str">
        <f>VLOOKUP(E10997,DATABASE!C:Q,9,False)</f>
        <v>#N/A</v>
      </c>
      <c r="Q10997" s="93" t="str">
        <f>VLOOKUP(E10997,DATABASE!C:Q,4,false)</f>
        <v>#N/A</v>
      </c>
      <c r="R10997" s="93" t="str">
        <f>VLOOKUP(E10997,DATABASE!C:Q,11,false)</f>
        <v>#N/A</v>
      </c>
    </row>
    <row r="10998" ht="22.5" customHeight="1">
      <c r="A10998" s="49"/>
      <c r="C10998" s="400"/>
      <c r="D10998" s="524"/>
      <c r="E10998" s="544"/>
      <c r="F10998" s="387"/>
      <c r="G10998" s="140"/>
      <c r="H10998" s="74"/>
      <c r="I10998" s="74">
        <f t="shared" si="7"/>
        <v>0</v>
      </c>
      <c r="J10998" s="74" t="str">
        <f>IF(E10998="SERVICE",I10998-(I10998*50%),Vlookup(E10998,DATABASE!C:Q,10,false)*F10998)</f>
        <v>#N/A</v>
      </c>
      <c r="K10998" s="74" t="str">
        <f>VLOOKUP(E10998,DATABASE!C:Q,7,false)</f>
        <v>#N/A</v>
      </c>
      <c r="L10998" s="74"/>
      <c r="M10998" s="74">
        <f t="shared" si="6"/>
        <v>0</v>
      </c>
      <c r="N10998" s="74" t="str">
        <f t="shared" si="9"/>
        <v>#N/A</v>
      </c>
      <c r="O10998" s="65" t="str">
        <f>VLOOKUP(E10998,DATABASE!C:Q,8,false)</f>
        <v>#N/A</v>
      </c>
      <c r="P10998" s="65" t="str">
        <f>VLOOKUP(E10998,DATABASE!C:Q,9,False)</f>
        <v>#N/A</v>
      </c>
      <c r="Q10998" s="93" t="str">
        <f>VLOOKUP(E10998,DATABASE!C:Q,4,false)</f>
        <v>#N/A</v>
      </c>
      <c r="R10998" s="93" t="str">
        <f>VLOOKUP(E10998,DATABASE!C:Q,11,false)</f>
        <v>#N/A</v>
      </c>
    </row>
    <row r="10999" ht="22.5" customHeight="1">
      <c r="A10999" s="49"/>
      <c r="C10999" s="400"/>
      <c r="D10999" s="524"/>
      <c r="E10999" s="544"/>
      <c r="F10999" s="387"/>
      <c r="G10999" s="140"/>
      <c r="H10999" s="74"/>
      <c r="I10999" s="74">
        <f t="shared" si="7"/>
        <v>0</v>
      </c>
      <c r="J10999" s="74" t="str">
        <f>IF(E10999="SERVICE",I10999-(I10999*50%),Vlookup(E10999,DATABASE!C:Q,10,false)*F10999)</f>
        <v>#N/A</v>
      </c>
      <c r="K10999" s="74" t="str">
        <f>VLOOKUP(E10999,DATABASE!C:Q,7,false)</f>
        <v>#N/A</v>
      </c>
      <c r="L10999" s="74"/>
      <c r="M10999" s="74">
        <f t="shared" si="6"/>
        <v>0</v>
      </c>
      <c r="N10999" s="74" t="str">
        <f t="shared" si="9"/>
        <v>#N/A</v>
      </c>
      <c r="O10999" s="65" t="str">
        <f>VLOOKUP(E10999,DATABASE!C:Q,8,false)</f>
        <v>#N/A</v>
      </c>
      <c r="P10999" s="65" t="str">
        <f>VLOOKUP(E10999,DATABASE!C:Q,9,False)</f>
        <v>#N/A</v>
      </c>
      <c r="Q10999" s="93" t="str">
        <f>VLOOKUP(E10999,DATABASE!C:Q,4,false)</f>
        <v>#N/A</v>
      </c>
      <c r="R10999" s="93" t="str">
        <f>VLOOKUP(E10999,DATABASE!C:Q,11,false)</f>
        <v>#N/A</v>
      </c>
    </row>
    <row r="11000" ht="22.5" customHeight="1">
      <c r="A11000" s="49"/>
      <c r="C11000" s="400"/>
      <c r="D11000" s="524"/>
      <c r="E11000" s="544"/>
      <c r="F11000" s="387"/>
      <c r="G11000" s="140"/>
      <c r="H11000" s="74"/>
      <c r="I11000" s="74">
        <f t="shared" si="7"/>
        <v>0</v>
      </c>
      <c r="J11000" s="74" t="str">
        <f>IF(E11000="SERVICE",I11000-(I11000*50%),Vlookup(E11000,DATABASE!C:Q,10,false)*F11000)</f>
        <v>#N/A</v>
      </c>
      <c r="K11000" s="74" t="str">
        <f>VLOOKUP(E11000,DATABASE!C:Q,7,false)</f>
        <v>#N/A</v>
      </c>
      <c r="L11000" s="74"/>
      <c r="M11000" s="74">
        <f t="shared" si="6"/>
        <v>0</v>
      </c>
      <c r="N11000" s="74" t="str">
        <f t="shared" si="9"/>
        <v>#N/A</v>
      </c>
      <c r="O11000" s="65" t="str">
        <f>VLOOKUP(E11000,DATABASE!C:Q,8,false)</f>
        <v>#N/A</v>
      </c>
      <c r="P11000" s="65" t="str">
        <f>VLOOKUP(E11000,DATABASE!C:Q,9,False)</f>
        <v>#N/A</v>
      </c>
      <c r="Q11000" s="93" t="str">
        <f>VLOOKUP(E11000,DATABASE!C:Q,4,false)</f>
        <v>#N/A</v>
      </c>
      <c r="R11000" s="93" t="str">
        <f>VLOOKUP(E11000,DATABASE!C:Q,11,false)</f>
        <v>#N/A</v>
      </c>
    </row>
    <row r="11001" ht="22.5" customHeight="1">
      <c r="A11001" s="49"/>
      <c r="C11001" s="400"/>
      <c r="D11001" s="524"/>
      <c r="E11001" s="544"/>
      <c r="F11001" s="387"/>
      <c r="G11001" s="140"/>
      <c r="H11001" s="74"/>
      <c r="I11001" s="74">
        <f t="shared" si="7"/>
        <v>0</v>
      </c>
      <c r="J11001" s="74" t="str">
        <f>IF(E11001="SERVICE",I11001-(I11001*50%),Vlookup(E11001,DATABASE!C:Q,10,false)*F11001)</f>
        <v>#N/A</v>
      </c>
      <c r="K11001" s="74" t="str">
        <f>VLOOKUP(E11001,DATABASE!C:Q,7,false)</f>
        <v>#N/A</v>
      </c>
      <c r="L11001" s="74"/>
      <c r="M11001" s="74">
        <f t="shared" si="6"/>
        <v>0</v>
      </c>
      <c r="N11001" s="74" t="str">
        <f t="shared" si="9"/>
        <v>#N/A</v>
      </c>
      <c r="O11001" s="65" t="str">
        <f>VLOOKUP(E11001,DATABASE!C:Q,8,false)</f>
        <v>#N/A</v>
      </c>
      <c r="P11001" s="65" t="str">
        <f>VLOOKUP(E11001,DATABASE!C:Q,9,False)</f>
        <v>#N/A</v>
      </c>
      <c r="Q11001" s="93" t="str">
        <f>VLOOKUP(E11001,DATABASE!C:Q,4,false)</f>
        <v>#N/A</v>
      </c>
      <c r="R11001" s="93" t="str">
        <f>VLOOKUP(E11001,DATABASE!C:Q,11,false)</f>
        <v>#N/A</v>
      </c>
    </row>
    <row r="11002" ht="22.5" customHeight="1">
      <c r="A11002" s="49"/>
      <c r="C11002" s="400"/>
      <c r="D11002" s="524"/>
      <c r="E11002" s="544"/>
      <c r="F11002" s="387"/>
      <c r="G11002" s="140"/>
      <c r="H11002" s="74"/>
      <c r="I11002" s="74">
        <f t="shared" si="7"/>
        <v>0</v>
      </c>
      <c r="J11002" s="74" t="str">
        <f>IF(E11002="SERVICE",I11002-(I11002*50%),Vlookup(E11002,DATABASE!C:Q,10,false)*F11002)</f>
        <v>#N/A</v>
      </c>
      <c r="K11002" s="74" t="str">
        <f>VLOOKUP(E11002,DATABASE!C:Q,7,false)</f>
        <v>#N/A</v>
      </c>
      <c r="L11002" s="74"/>
      <c r="M11002" s="74">
        <f t="shared" si="6"/>
        <v>0</v>
      </c>
      <c r="N11002" s="74" t="str">
        <f t="shared" si="9"/>
        <v>#N/A</v>
      </c>
      <c r="O11002" s="65" t="str">
        <f>VLOOKUP(E11002,DATABASE!C:Q,8,false)</f>
        <v>#N/A</v>
      </c>
      <c r="P11002" s="65" t="str">
        <f>VLOOKUP(E11002,DATABASE!C:Q,9,False)</f>
        <v>#N/A</v>
      </c>
      <c r="Q11002" s="93" t="str">
        <f>VLOOKUP(E11002,DATABASE!C:Q,4,false)</f>
        <v>#N/A</v>
      </c>
      <c r="R11002" s="93" t="str">
        <f>VLOOKUP(E11002,DATABASE!C:Q,11,false)</f>
        <v>#N/A</v>
      </c>
    </row>
    <row r="11003" ht="22.5" customHeight="1">
      <c r="A11003" s="49"/>
      <c r="C11003" s="400"/>
      <c r="D11003" s="524"/>
      <c r="E11003" s="544"/>
      <c r="F11003" s="387"/>
      <c r="G11003" s="140"/>
      <c r="H11003" s="74"/>
      <c r="I11003" s="74">
        <f t="shared" si="7"/>
        <v>0</v>
      </c>
      <c r="J11003" s="74" t="str">
        <f>IF(E11003="SERVICE",I11003-(I11003*50%),Vlookup(E11003,DATABASE!C:Q,10,false)*F11003)</f>
        <v>#N/A</v>
      </c>
      <c r="K11003" s="74" t="str">
        <f>VLOOKUP(E11003,DATABASE!C:Q,7,false)</f>
        <v>#N/A</v>
      </c>
      <c r="L11003" s="74"/>
      <c r="M11003" s="74">
        <f t="shared" si="6"/>
        <v>0</v>
      </c>
      <c r="N11003" s="74" t="str">
        <f t="shared" si="9"/>
        <v>#N/A</v>
      </c>
      <c r="O11003" s="65" t="str">
        <f>VLOOKUP(E11003,DATABASE!C:Q,8,false)</f>
        <v>#N/A</v>
      </c>
      <c r="P11003" s="65" t="str">
        <f>VLOOKUP(E11003,DATABASE!C:Q,9,False)</f>
        <v>#N/A</v>
      </c>
      <c r="Q11003" s="93" t="str">
        <f>VLOOKUP(E11003,DATABASE!C:Q,4,false)</f>
        <v>#N/A</v>
      </c>
      <c r="R11003" s="93" t="str">
        <f>VLOOKUP(E11003,DATABASE!C:Q,11,false)</f>
        <v>#N/A</v>
      </c>
    </row>
    <row r="11004" ht="22.5" customHeight="1">
      <c r="A11004" s="49"/>
      <c r="C11004" s="400"/>
      <c r="D11004" s="524"/>
      <c r="E11004" s="544"/>
      <c r="F11004" s="387"/>
      <c r="G11004" s="140"/>
      <c r="H11004" s="74"/>
      <c r="I11004" s="74">
        <f t="shared" si="7"/>
        <v>0</v>
      </c>
      <c r="J11004" s="74" t="str">
        <f>IF(E11004="SERVICE",I11004-(I11004*50%),Vlookup(E11004,DATABASE!C:Q,10,false)*F11004)</f>
        <v>#N/A</v>
      </c>
      <c r="K11004" s="74" t="str">
        <f>VLOOKUP(E11004,DATABASE!C:Q,7,false)</f>
        <v>#N/A</v>
      </c>
      <c r="L11004" s="74"/>
      <c r="M11004" s="74">
        <f t="shared" si="6"/>
        <v>0</v>
      </c>
      <c r="N11004" s="74" t="str">
        <f t="shared" si="9"/>
        <v>#N/A</v>
      </c>
      <c r="O11004" s="65" t="str">
        <f>VLOOKUP(E11004,DATABASE!C:Q,8,false)</f>
        <v>#N/A</v>
      </c>
      <c r="P11004" s="65" t="str">
        <f>VLOOKUP(E11004,DATABASE!C:Q,9,False)</f>
        <v>#N/A</v>
      </c>
      <c r="Q11004" s="93" t="str">
        <f>VLOOKUP(E11004,DATABASE!C:Q,4,false)</f>
        <v>#N/A</v>
      </c>
      <c r="R11004" s="93" t="str">
        <f>VLOOKUP(E11004,DATABASE!C:Q,11,false)</f>
        <v>#N/A</v>
      </c>
    </row>
    <row r="11005" ht="22.5" customHeight="1">
      <c r="A11005" s="49"/>
      <c r="C11005" s="400"/>
      <c r="D11005" s="524"/>
      <c r="E11005" s="544"/>
      <c r="F11005" s="387"/>
      <c r="G11005" s="140"/>
      <c r="H11005" s="74"/>
      <c r="I11005" s="74">
        <f t="shared" si="7"/>
        <v>0</v>
      </c>
      <c r="J11005" s="74" t="str">
        <f>IF(E11005="SERVICE",I11005-(I11005*50%),Vlookup(E11005,DATABASE!C:Q,10,false)*F11005)</f>
        <v>#N/A</v>
      </c>
      <c r="K11005" s="74" t="str">
        <f>VLOOKUP(E11005,DATABASE!C:Q,7,false)</f>
        <v>#N/A</v>
      </c>
      <c r="L11005" s="74"/>
      <c r="M11005" s="74">
        <f t="shared" si="6"/>
        <v>0</v>
      </c>
      <c r="N11005" s="74" t="str">
        <f t="shared" si="9"/>
        <v>#N/A</v>
      </c>
      <c r="O11005" s="65" t="str">
        <f>VLOOKUP(E11005,DATABASE!C:Q,8,false)</f>
        <v>#N/A</v>
      </c>
      <c r="P11005" s="65" t="str">
        <f>VLOOKUP(E11005,DATABASE!C:Q,9,False)</f>
        <v>#N/A</v>
      </c>
      <c r="Q11005" s="93" t="str">
        <f>VLOOKUP(E11005,DATABASE!C:Q,4,false)</f>
        <v>#N/A</v>
      </c>
      <c r="R11005" s="93" t="str">
        <f>VLOOKUP(E11005,DATABASE!C:Q,11,false)</f>
        <v>#N/A</v>
      </c>
    </row>
    <row r="11006" ht="22.5" customHeight="1">
      <c r="A11006" s="49"/>
      <c r="C11006" s="400"/>
      <c r="D11006" s="524"/>
      <c r="E11006" s="544"/>
      <c r="F11006" s="387"/>
      <c r="G11006" s="140"/>
      <c r="H11006" s="74"/>
      <c r="I11006" s="74">
        <f t="shared" si="7"/>
        <v>0</v>
      </c>
      <c r="J11006" s="74" t="str">
        <f>IF(E11006="SERVICE",I11006-(I11006*50%),Vlookup(E11006,DATABASE!C:Q,10,false)*F11006)</f>
        <v>#N/A</v>
      </c>
      <c r="K11006" s="74" t="str">
        <f>VLOOKUP(E11006,DATABASE!C:Q,7,false)</f>
        <v>#N/A</v>
      </c>
      <c r="L11006" s="74"/>
      <c r="M11006" s="74">
        <f t="shared" si="6"/>
        <v>0</v>
      </c>
      <c r="N11006" s="74" t="str">
        <f t="shared" si="9"/>
        <v>#N/A</v>
      </c>
      <c r="O11006" s="65" t="str">
        <f>VLOOKUP(E11006,DATABASE!C:Q,8,false)</f>
        <v>#N/A</v>
      </c>
      <c r="P11006" s="65" t="str">
        <f>VLOOKUP(E11006,DATABASE!C:Q,9,False)</f>
        <v>#N/A</v>
      </c>
      <c r="Q11006" s="93" t="str">
        <f>VLOOKUP(E11006,DATABASE!C:Q,4,false)</f>
        <v>#N/A</v>
      </c>
      <c r="R11006" s="93" t="str">
        <f>VLOOKUP(E11006,DATABASE!C:Q,11,false)</f>
        <v>#N/A</v>
      </c>
    </row>
    <row r="11007" ht="22.5" customHeight="1">
      <c r="A11007" s="49"/>
      <c r="C11007" s="400"/>
      <c r="D11007" s="524"/>
      <c r="E11007" s="544"/>
      <c r="F11007" s="387"/>
      <c r="G11007" s="140"/>
      <c r="H11007" s="74"/>
      <c r="I11007" s="74">
        <f t="shared" si="7"/>
        <v>0</v>
      </c>
      <c r="J11007" s="74" t="str">
        <f>IF(E11007="SERVICE",I11007-(I11007*50%),Vlookup(E11007,DATABASE!C:Q,10,false)*F11007)</f>
        <v>#N/A</v>
      </c>
      <c r="K11007" s="74" t="str">
        <f>VLOOKUP(E11007,DATABASE!C:Q,7,false)</f>
        <v>#N/A</v>
      </c>
      <c r="L11007" s="74"/>
      <c r="M11007" s="74">
        <f t="shared" si="6"/>
        <v>0</v>
      </c>
      <c r="N11007" s="74" t="str">
        <f t="shared" si="9"/>
        <v>#N/A</v>
      </c>
      <c r="O11007" s="65" t="str">
        <f>VLOOKUP(E11007,DATABASE!C:Q,8,false)</f>
        <v>#N/A</v>
      </c>
      <c r="P11007" s="65" t="str">
        <f>VLOOKUP(E11007,DATABASE!C:Q,9,False)</f>
        <v>#N/A</v>
      </c>
      <c r="Q11007" s="93" t="str">
        <f>VLOOKUP(E11007,DATABASE!C:Q,4,false)</f>
        <v>#N/A</v>
      </c>
      <c r="R11007" s="93" t="str">
        <f>VLOOKUP(E11007,DATABASE!C:Q,11,false)</f>
        <v>#N/A</v>
      </c>
    </row>
    <row r="11008" ht="22.5" customHeight="1">
      <c r="A11008" s="49"/>
      <c r="C11008" s="400"/>
      <c r="D11008" s="524"/>
      <c r="E11008" s="544"/>
      <c r="F11008" s="387"/>
      <c r="G11008" s="140"/>
      <c r="H11008" s="74"/>
      <c r="I11008" s="74">
        <f t="shared" si="7"/>
        <v>0</v>
      </c>
      <c r="J11008" s="74" t="str">
        <f>IF(E11008="SERVICE",I11008-(I11008*50%),Vlookup(E11008,DATABASE!C:Q,10,false)*F11008)</f>
        <v>#N/A</v>
      </c>
      <c r="K11008" s="74" t="str">
        <f>VLOOKUP(E11008,DATABASE!C:Q,7,false)</f>
        <v>#N/A</v>
      </c>
      <c r="L11008" s="74"/>
      <c r="M11008" s="74">
        <f t="shared" si="6"/>
        <v>0</v>
      </c>
      <c r="N11008" s="74" t="str">
        <f t="shared" si="9"/>
        <v>#N/A</v>
      </c>
      <c r="O11008" s="65" t="str">
        <f>VLOOKUP(E11008,DATABASE!C:Q,8,false)</f>
        <v>#N/A</v>
      </c>
      <c r="P11008" s="65" t="str">
        <f>VLOOKUP(E11008,DATABASE!C:Q,9,False)</f>
        <v>#N/A</v>
      </c>
      <c r="Q11008" s="93" t="str">
        <f>VLOOKUP(E11008,DATABASE!C:Q,4,false)</f>
        <v>#N/A</v>
      </c>
      <c r="R11008" s="93" t="str">
        <f>VLOOKUP(E11008,DATABASE!C:Q,11,false)</f>
        <v>#N/A</v>
      </c>
    </row>
    <row r="11009" ht="22.5" customHeight="1">
      <c r="A11009" s="49"/>
      <c r="C11009" s="400"/>
      <c r="D11009" s="524"/>
      <c r="E11009" s="544"/>
      <c r="F11009" s="387"/>
      <c r="G11009" s="140"/>
      <c r="H11009" s="74"/>
      <c r="I11009" s="74">
        <f t="shared" si="7"/>
        <v>0</v>
      </c>
      <c r="J11009" s="74" t="str">
        <f>IF(E11009="SERVICE",I11009-(I11009*50%),Vlookup(E11009,DATABASE!C:Q,10,false)*F11009)</f>
        <v>#N/A</v>
      </c>
      <c r="K11009" s="74" t="str">
        <f>VLOOKUP(E11009,DATABASE!C:Q,7,false)</f>
        <v>#N/A</v>
      </c>
      <c r="L11009" s="74"/>
      <c r="M11009" s="74">
        <f t="shared" si="6"/>
        <v>0</v>
      </c>
      <c r="N11009" s="74" t="str">
        <f t="shared" si="9"/>
        <v>#N/A</v>
      </c>
      <c r="O11009" s="65" t="str">
        <f>VLOOKUP(E11009,DATABASE!C:Q,8,false)</f>
        <v>#N/A</v>
      </c>
      <c r="P11009" s="65" t="str">
        <f>VLOOKUP(E11009,DATABASE!C:Q,9,False)</f>
        <v>#N/A</v>
      </c>
      <c r="Q11009" s="93" t="str">
        <f>VLOOKUP(E11009,DATABASE!C:Q,4,false)</f>
        <v>#N/A</v>
      </c>
      <c r="R11009" s="93" t="str">
        <f>VLOOKUP(E11009,DATABASE!C:Q,11,false)</f>
        <v>#N/A</v>
      </c>
    </row>
    <row r="11010" ht="22.5" customHeight="1">
      <c r="A11010" s="49"/>
      <c r="C11010" s="400"/>
      <c r="D11010" s="524"/>
      <c r="E11010" s="544"/>
      <c r="F11010" s="387"/>
      <c r="G11010" s="140"/>
      <c r="H11010" s="74"/>
      <c r="I11010" s="74">
        <f t="shared" si="7"/>
        <v>0</v>
      </c>
      <c r="J11010" s="74" t="str">
        <f>IF(E11010="SERVICE",I11010-(I11010*50%),Vlookup(E11010,DATABASE!C:Q,10,false)*F11010)</f>
        <v>#N/A</v>
      </c>
      <c r="K11010" s="74" t="str">
        <f>VLOOKUP(E11010,DATABASE!C:Q,7,false)</f>
        <v>#N/A</v>
      </c>
      <c r="L11010" s="74"/>
      <c r="M11010" s="74">
        <f t="shared" si="6"/>
        <v>0</v>
      </c>
      <c r="N11010" s="74" t="str">
        <f t="shared" si="9"/>
        <v>#N/A</v>
      </c>
      <c r="O11010" s="65" t="str">
        <f>VLOOKUP(E11010,DATABASE!C:Q,8,false)</f>
        <v>#N/A</v>
      </c>
      <c r="P11010" s="65" t="str">
        <f>VLOOKUP(E11010,DATABASE!C:Q,9,False)</f>
        <v>#N/A</v>
      </c>
      <c r="Q11010" s="93" t="str">
        <f>VLOOKUP(E11010,DATABASE!C:Q,4,false)</f>
        <v>#N/A</v>
      </c>
      <c r="R11010" s="93" t="str">
        <f>VLOOKUP(E11010,DATABASE!C:Q,11,false)</f>
        <v>#N/A</v>
      </c>
    </row>
    <row r="11011" ht="22.5" customHeight="1">
      <c r="A11011" s="49"/>
      <c r="C11011" s="400"/>
      <c r="D11011" s="524"/>
      <c r="E11011" s="544"/>
      <c r="F11011" s="387"/>
      <c r="G11011" s="140"/>
      <c r="H11011" s="74"/>
      <c r="I11011" s="74">
        <f t="shared" si="7"/>
        <v>0</v>
      </c>
      <c r="J11011" s="74" t="str">
        <f>IF(E11011="SERVICE",I11011-(I11011*50%),Vlookup(E11011,DATABASE!C:Q,10,false)*F11011)</f>
        <v>#N/A</v>
      </c>
      <c r="K11011" s="74" t="str">
        <f>VLOOKUP(E11011,DATABASE!C:Q,7,false)</f>
        <v>#N/A</v>
      </c>
      <c r="L11011" s="74"/>
      <c r="M11011" s="74">
        <f t="shared" si="6"/>
        <v>0</v>
      </c>
      <c r="N11011" s="74" t="str">
        <f t="shared" si="9"/>
        <v>#N/A</v>
      </c>
      <c r="O11011" s="65" t="str">
        <f>VLOOKUP(E11011,DATABASE!C:Q,8,false)</f>
        <v>#N/A</v>
      </c>
      <c r="P11011" s="65" t="str">
        <f>VLOOKUP(E11011,DATABASE!C:Q,9,False)</f>
        <v>#N/A</v>
      </c>
      <c r="Q11011" s="93" t="str">
        <f>VLOOKUP(E11011,DATABASE!C:Q,4,false)</f>
        <v>#N/A</v>
      </c>
      <c r="R11011" s="93" t="str">
        <f>VLOOKUP(E11011,DATABASE!C:Q,11,false)</f>
        <v>#N/A</v>
      </c>
    </row>
    <row r="11012" ht="22.5" customHeight="1">
      <c r="A11012" s="49"/>
      <c r="C11012" s="400"/>
      <c r="D11012" s="524"/>
      <c r="E11012" s="544"/>
      <c r="F11012" s="387"/>
      <c r="G11012" s="140"/>
      <c r="H11012" s="74"/>
      <c r="I11012" s="74">
        <f t="shared" si="7"/>
        <v>0</v>
      </c>
      <c r="J11012" s="74" t="str">
        <f>IF(E11012="SERVICE",I11012-(I11012*50%),Vlookup(E11012,DATABASE!C:Q,10,false)*F11012)</f>
        <v>#N/A</v>
      </c>
      <c r="K11012" s="74" t="str">
        <f>VLOOKUP(E11012,DATABASE!C:Q,7,false)</f>
        <v>#N/A</v>
      </c>
      <c r="L11012" s="74"/>
      <c r="M11012" s="74">
        <f t="shared" si="6"/>
        <v>0</v>
      </c>
      <c r="N11012" s="74" t="str">
        <f t="shared" si="9"/>
        <v>#N/A</v>
      </c>
      <c r="O11012" s="65" t="str">
        <f>VLOOKUP(E11012,DATABASE!C:Q,8,false)</f>
        <v>#N/A</v>
      </c>
      <c r="P11012" s="65" t="str">
        <f>VLOOKUP(E11012,DATABASE!C:Q,9,False)</f>
        <v>#N/A</v>
      </c>
      <c r="Q11012" s="93" t="str">
        <f>VLOOKUP(E11012,DATABASE!C:Q,4,false)</f>
        <v>#N/A</v>
      </c>
      <c r="R11012" s="93" t="str">
        <f>VLOOKUP(E11012,DATABASE!C:Q,11,false)</f>
        <v>#N/A</v>
      </c>
    </row>
    <row r="11013" ht="22.5" customHeight="1">
      <c r="A11013" s="49"/>
      <c r="C11013" s="400"/>
      <c r="D11013" s="524"/>
      <c r="E11013" s="544"/>
      <c r="F11013" s="387"/>
      <c r="G11013" s="140"/>
      <c r="H11013" s="74"/>
      <c r="I11013" s="74">
        <f t="shared" si="7"/>
        <v>0</v>
      </c>
      <c r="J11013" s="74" t="str">
        <f>IF(E11013="SERVICE",I11013-(I11013*50%),Vlookup(E11013,DATABASE!C:Q,10,false)*F11013)</f>
        <v>#N/A</v>
      </c>
      <c r="K11013" s="74" t="str">
        <f>VLOOKUP(E11013,DATABASE!C:Q,7,false)</f>
        <v>#N/A</v>
      </c>
      <c r="L11013" s="74"/>
      <c r="M11013" s="74">
        <f t="shared" si="6"/>
        <v>0</v>
      </c>
      <c r="N11013" s="74" t="str">
        <f t="shared" si="9"/>
        <v>#N/A</v>
      </c>
      <c r="O11013" s="65" t="str">
        <f>VLOOKUP(E11013,DATABASE!C:Q,8,false)</f>
        <v>#N/A</v>
      </c>
      <c r="P11013" s="65" t="str">
        <f>VLOOKUP(E11013,DATABASE!C:Q,9,False)</f>
        <v>#N/A</v>
      </c>
      <c r="Q11013" s="93" t="str">
        <f>VLOOKUP(E11013,DATABASE!C:Q,4,false)</f>
        <v>#N/A</v>
      </c>
      <c r="R11013" s="93" t="str">
        <f>VLOOKUP(E11013,DATABASE!C:Q,11,false)</f>
        <v>#N/A</v>
      </c>
    </row>
    <row r="11014" ht="22.5" customHeight="1">
      <c r="A11014" s="49"/>
      <c r="C11014" s="400"/>
      <c r="D11014" s="524"/>
      <c r="E11014" s="544"/>
      <c r="F11014" s="387"/>
      <c r="G11014" s="140"/>
      <c r="H11014" s="74"/>
      <c r="I11014" s="74">
        <f t="shared" si="7"/>
        <v>0</v>
      </c>
      <c r="J11014" s="74" t="str">
        <f>IF(E11014="SERVICE",I11014-(I11014*50%),Vlookup(E11014,DATABASE!C:Q,10,false)*F11014)</f>
        <v>#N/A</v>
      </c>
      <c r="K11014" s="74" t="str">
        <f>VLOOKUP(E11014,DATABASE!C:Q,7,false)</f>
        <v>#N/A</v>
      </c>
      <c r="L11014" s="74"/>
      <c r="M11014" s="74">
        <f t="shared" si="6"/>
        <v>0</v>
      </c>
      <c r="N11014" s="74" t="str">
        <f t="shared" si="9"/>
        <v>#N/A</v>
      </c>
      <c r="O11014" s="65" t="str">
        <f>VLOOKUP(E11014,DATABASE!C:Q,8,false)</f>
        <v>#N/A</v>
      </c>
      <c r="P11014" s="65" t="str">
        <f>VLOOKUP(E11014,DATABASE!C:Q,9,False)</f>
        <v>#N/A</v>
      </c>
      <c r="Q11014" s="93" t="str">
        <f>VLOOKUP(E11014,DATABASE!C:Q,4,false)</f>
        <v>#N/A</v>
      </c>
      <c r="R11014" s="93" t="str">
        <f>VLOOKUP(E11014,DATABASE!C:Q,11,false)</f>
        <v>#N/A</v>
      </c>
    </row>
    <row r="11015" ht="22.5" customHeight="1">
      <c r="A11015" s="49"/>
      <c r="C11015" s="400"/>
      <c r="D11015" s="524"/>
      <c r="E11015" s="544"/>
      <c r="F11015" s="387"/>
      <c r="G11015" s="140"/>
      <c r="H11015" s="74"/>
      <c r="I11015" s="74">
        <f t="shared" si="7"/>
        <v>0</v>
      </c>
      <c r="J11015" s="74" t="str">
        <f>IF(E11015="SERVICE",I11015-(I11015*50%),Vlookup(E11015,DATABASE!C:Q,10,false)*F11015)</f>
        <v>#N/A</v>
      </c>
      <c r="K11015" s="74" t="str">
        <f>VLOOKUP(E11015,DATABASE!C:Q,7,false)</f>
        <v>#N/A</v>
      </c>
      <c r="L11015" s="74"/>
      <c r="M11015" s="74">
        <f t="shared" si="6"/>
        <v>0</v>
      </c>
      <c r="N11015" s="74" t="str">
        <f t="shared" si="9"/>
        <v>#N/A</v>
      </c>
      <c r="O11015" s="65" t="str">
        <f>VLOOKUP(E11015,DATABASE!C:Q,8,false)</f>
        <v>#N/A</v>
      </c>
      <c r="P11015" s="65" t="str">
        <f>VLOOKUP(E11015,DATABASE!C:Q,9,False)</f>
        <v>#N/A</v>
      </c>
      <c r="Q11015" s="93" t="str">
        <f>VLOOKUP(E11015,DATABASE!C:Q,4,false)</f>
        <v>#N/A</v>
      </c>
      <c r="R11015" s="93" t="str">
        <f>VLOOKUP(E11015,DATABASE!C:Q,11,false)</f>
        <v>#N/A</v>
      </c>
    </row>
    <row r="11016" ht="22.5" customHeight="1">
      <c r="A11016" s="49"/>
      <c r="C11016" s="400"/>
      <c r="D11016" s="524"/>
      <c r="E11016" s="544"/>
      <c r="F11016" s="387"/>
      <c r="G11016" s="140"/>
      <c r="H11016" s="74"/>
      <c r="I11016" s="74">
        <f t="shared" si="7"/>
        <v>0</v>
      </c>
      <c r="J11016" s="74" t="str">
        <f>IF(E11016="SERVICE",I11016-(I11016*50%),Vlookup(E11016,DATABASE!C:Q,10,false)*F11016)</f>
        <v>#N/A</v>
      </c>
      <c r="K11016" s="74" t="str">
        <f>VLOOKUP(E11016,DATABASE!C:Q,7,false)</f>
        <v>#N/A</v>
      </c>
      <c r="L11016" s="74"/>
      <c r="M11016" s="74">
        <f t="shared" si="6"/>
        <v>0</v>
      </c>
      <c r="N11016" s="74" t="str">
        <f t="shared" si="9"/>
        <v>#N/A</v>
      </c>
      <c r="O11016" s="65" t="str">
        <f>VLOOKUP(E11016,DATABASE!C:Q,8,false)</f>
        <v>#N/A</v>
      </c>
      <c r="P11016" s="65" t="str">
        <f>VLOOKUP(E11016,DATABASE!C:Q,9,False)</f>
        <v>#N/A</v>
      </c>
      <c r="Q11016" s="93" t="str">
        <f>VLOOKUP(E11016,DATABASE!C:Q,4,false)</f>
        <v>#N/A</v>
      </c>
      <c r="R11016" s="93" t="str">
        <f>VLOOKUP(E11016,DATABASE!C:Q,11,false)</f>
        <v>#N/A</v>
      </c>
    </row>
    <row r="11017" ht="22.5" customHeight="1">
      <c r="A11017" s="49"/>
      <c r="C11017" s="400"/>
      <c r="D11017" s="524"/>
      <c r="E11017" s="544"/>
      <c r="F11017" s="387"/>
      <c r="G11017" s="140"/>
      <c r="H11017" s="74"/>
      <c r="I11017" s="74">
        <f t="shared" si="7"/>
        <v>0</v>
      </c>
      <c r="J11017" s="74" t="str">
        <f>IF(E11017="SERVICE",I11017-(I11017*50%),Vlookup(E11017,DATABASE!C:Q,10,false)*F11017)</f>
        <v>#N/A</v>
      </c>
      <c r="K11017" s="74" t="str">
        <f>VLOOKUP(E11017,DATABASE!C:Q,7,false)</f>
        <v>#N/A</v>
      </c>
      <c r="L11017" s="74"/>
      <c r="M11017" s="74">
        <f t="shared" si="6"/>
        <v>0</v>
      </c>
      <c r="N11017" s="74" t="str">
        <f t="shared" si="9"/>
        <v>#N/A</v>
      </c>
      <c r="O11017" s="65" t="str">
        <f>VLOOKUP(E11017,DATABASE!C:Q,8,false)</f>
        <v>#N/A</v>
      </c>
      <c r="P11017" s="65" t="str">
        <f>VLOOKUP(E11017,DATABASE!C:Q,9,False)</f>
        <v>#N/A</v>
      </c>
      <c r="Q11017" s="93" t="str">
        <f>VLOOKUP(E11017,DATABASE!C:Q,4,false)</f>
        <v>#N/A</v>
      </c>
      <c r="R11017" s="93" t="str">
        <f>VLOOKUP(E11017,DATABASE!C:Q,11,false)</f>
        <v>#N/A</v>
      </c>
    </row>
    <row r="11018" ht="22.5" customHeight="1">
      <c r="A11018" s="49"/>
      <c r="C11018" s="400"/>
      <c r="D11018" s="524"/>
      <c r="E11018" s="544"/>
      <c r="F11018" s="387"/>
      <c r="G11018" s="140"/>
      <c r="H11018" s="74"/>
      <c r="I11018" s="74">
        <f t="shared" si="7"/>
        <v>0</v>
      </c>
      <c r="J11018" s="74" t="str">
        <f>IF(E11018="SERVICE",I11018-(I11018*50%),Vlookup(E11018,DATABASE!C:Q,10,false)*F11018)</f>
        <v>#N/A</v>
      </c>
      <c r="K11018" s="74" t="str">
        <f>VLOOKUP(E11018,DATABASE!C:Q,7,false)</f>
        <v>#N/A</v>
      </c>
      <c r="L11018" s="74"/>
      <c r="M11018" s="74">
        <f t="shared" si="6"/>
        <v>0</v>
      </c>
      <c r="N11018" s="74" t="str">
        <f t="shared" si="9"/>
        <v>#N/A</v>
      </c>
      <c r="O11018" s="65" t="str">
        <f>VLOOKUP(E11018,DATABASE!C:Q,8,false)</f>
        <v>#N/A</v>
      </c>
      <c r="P11018" s="65" t="str">
        <f>VLOOKUP(E11018,DATABASE!C:Q,9,False)</f>
        <v>#N/A</v>
      </c>
      <c r="Q11018" s="93" t="str">
        <f>VLOOKUP(E11018,DATABASE!C:Q,4,false)</f>
        <v>#N/A</v>
      </c>
      <c r="R11018" s="93" t="str">
        <f>VLOOKUP(E11018,DATABASE!C:Q,11,false)</f>
        <v>#N/A</v>
      </c>
    </row>
    <row r="11019" ht="22.5" customHeight="1">
      <c r="A11019" s="49"/>
      <c r="C11019" s="400"/>
      <c r="D11019" s="524"/>
      <c r="E11019" s="544"/>
      <c r="F11019" s="387"/>
      <c r="G11019" s="140"/>
      <c r="H11019" s="74"/>
      <c r="I11019" s="74">
        <f t="shared" si="7"/>
        <v>0</v>
      </c>
      <c r="J11019" s="74" t="str">
        <f>IF(E11019="SERVICE",I11019-(I11019*50%),Vlookup(E11019,DATABASE!C:Q,10,false)*F11019)</f>
        <v>#N/A</v>
      </c>
      <c r="K11019" s="74" t="str">
        <f>VLOOKUP(E11019,DATABASE!C:Q,7,false)</f>
        <v>#N/A</v>
      </c>
      <c r="L11019" s="74"/>
      <c r="M11019" s="74">
        <f t="shared" si="6"/>
        <v>0</v>
      </c>
      <c r="N11019" s="74" t="str">
        <f t="shared" si="9"/>
        <v>#N/A</v>
      </c>
      <c r="O11019" s="65" t="str">
        <f>VLOOKUP(E11019,DATABASE!C:Q,8,false)</f>
        <v>#N/A</v>
      </c>
      <c r="P11019" s="65" t="str">
        <f>VLOOKUP(E11019,DATABASE!C:Q,9,False)</f>
        <v>#N/A</v>
      </c>
      <c r="Q11019" s="93" t="str">
        <f>VLOOKUP(E11019,DATABASE!C:Q,4,false)</f>
        <v>#N/A</v>
      </c>
      <c r="R11019" s="93" t="str">
        <f>VLOOKUP(E11019,DATABASE!C:Q,11,false)</f>
        <v>#N/A</v>
      </c>
    </row>
    <row r="11020" ht="22.5" customHeight="1">
      <c r="A11020" s="49"/>
      <c r="C11020" s="400"/>
      <c r="D11020" s="524"/>
      <c r="E11020" s="544"/>
      <c r="F11020" s="387"/>
      <c r="G11020" s="140"/>
      <c r="H11020" s="74"/>
      <c r="I11020" s="74">
        <f t="shared" si="7"/>
        <v>0</v>
      </c>
      <c r="J11020" s="74" t="str">
        <f>IF(E11020="SERVICE",I11020-(I11020*50%),Vlookup(E11020,DATABASE!C:Q,10,false)*F11020)</f>
        <v>#N/A</v>
      </c>
      <c r="K11020" s="74" t="str">
        <f>VLOOKUP(E11020,DATABASE!C:Q,7,false)</f>
        <v>#N/A</v>
      </c>
      <c r="L11020" s="74"/>
      <c r="M11020" s="74">
        <f t="shared" si="6"/>
        <v>0</v>
      </c>
      <c r="N11020" s="74" t="str">
        <f t="shared" si="9"/>
        <v>#N/A</v>
      </c>
      <c r="O11020" s="65" t="str">
        <f>VLOOKUP(E11020,DATABASE!C:Q,8,false)</f>
        <v>#N/A</v>
      </c>
      <c r="P11020" s="65" t="str">
        <f>VLOOKUP(E11020,DATABASE!C:Q,9,False)</f>
        <v>#N/A</v>
      </c>
      <c r="Q11020" s="93" t="str">
        <f>VLOOKUP(E11020,DATABASE!C:Q,4,false)</f>
        <v>#N/A</v>
      </c>
      <c r="R11020" s="93" t="str">
        <f>VLOOKUP(E11020,DATABASE!C:Q,11,false)</f>
        <v>#N/A</v>
      </c>
    </row>
    <row r="11021" ht="22.5" customHeight="1">
      <c r="A11021" s="49"/>
      <c r="C11021" s="400"/>
      <c r="D11021" s="524"/>
      <c r="E11021" s="544"/>
      <c r="F11021" s="387"/>
      <c r="G11021" s="140"/>
      <c r="H11021" s="74"/>
      <c r="I11021" s="74">
        <f t="shared" si="7"/>
        <v>0</v>
      </c>
      <c r="J11021" s="74" t="str">
        <f>IF(E11021="SERVICE",I11021-(I11021*50%),Vlookup(E11021,DATABASE!C:Q,10,false)*F11021)</f>
        <v>#N/A</v>
      </c>
      <c r="K11021" s="74" t="str">
        <f>VLOOKUP(E11021,DATABASE!C:Q,7,false)</f>
        <v>#N/A</v>
      </c>
      <c r="L11021" s="74"/>
      <c r="M11021" s="74">
        <f t="shared" si="6"/>
        <v>0</v>
      </c>
      <c r="N11021" s="74" t="str">
        <f t="shared" si="9"/>
        <v>#N/A</v>
      </c>
      <c r="O11021" s="65" t="str">
        <f>VLOOKUP(E11021,DATABASE!C:Q,8,false)</f>
        <v>#N/A</v>
      </c>
      <c r="P11021" s="65" t="str">
        <f>VLOOKUP(E11021,DATABASE!C:Q,9,False)</f>
        <v>#N/A</v>
      </c>
      <c r="Q11021" s="93" t="str">
        <f>VLOOKUP(E11021,DATABASE!C:Q,4,false)</f>
        <v>#N/A</v>
      </c>
      <c r="R11021" s="93" t="str">
        <f>VLOOKUP(E11021,DATABASE!C:Q,11,false)</f>
        <v>#N/A</v>
      </c>
    </row>
    <row r="11022" ht="22.5" customHeight="1">
      <c r="A11022" s="49"/>
      <c r="C11022" s="400"/>
      <c r="D11022" s="524"/>
      <c r="E11022" s="544"/>
      <c r="F11022" s="387"/>
      <c r="G11022" s="140"/>
      <c r="H11022" s="74"/>
      <c r="I11022" s="74">
        <f t="shared" si="7"/>
        <v>0</v>
      </c>
      <c r="J11022" s="74" t="str">
        <f>IF(E11022="SERVICE",I11022-(I11022*50%),Vlookup(E11022,DATABASE!C:Q,10,false)*F11022)</f>
        <v>#N/A</v>
      </c>
      <c r="K11022" s="74" t="str">
        <f>VLOOKUP(E11022,DATABASE!C:Q,7,false)</f>
        <v>#N/A</v>
      </c>
      <c r="L11022" s="74"/>
      <c r="M11022" s="74">
        <f t="shared" si="6"/>
        <v>0</v>
      </c>
      <c r="N11022" s="74" t="str">
        <f t="shared" si="9"/>
        <v>#N/A</v>
      </c>
      <c r="O11022" s="65" t="str">
        <f>VLOOKUP(E11022,DATABASE!C:Q,8,false)</f>
        <v>#N/A</v>
      </c>
      <c r="P11022" s="65" t="str">
        <f>VLOOKUP(E11022,DATABASE!C:Q,9,False)</f>
        <v>#N/A</v>
      </c>
      <c r="Q11022" s="93" t="str">
        <f>VLOOKUP(E11022,DATABASE!C:Q,4,false)</f>
        <v>#N/A</v>
      </c>
      <c r="R11022" s="93" t="str">
        <f>VLOOKUP(E11022,DATABASE!C:Q,11,false)</f>
        <v>#N/A</v>
      </c>
    </row>
    <row r="11023" ht="22.5" customHeight="1">
      <c r="A11023" s="49"/>
      <c r="C11023" s="400"/>
      <c r="D11023" s="524"/>
      <c r="E11023" s="544"/>
      <c r="F11023" s="387"/>
      <c r="G11023" s="140"/>
      <c r="H11023" s="74"/>
      <c r="I11023" s="74">
        <f t="shared" si="7"/>
        <v>0</v>
      </c>
      <c r="J11023" s="74" t="str">
        <f>IF(E11023="SERVICE",I11023-(I11023*50%),Vlookup(E11023,DATABASE!C:Q,10,false)*F11023)</f>
        <v>#N/A</v>
      </c>
      <c r="K11023" s="74" t="str">
        <f>VLOOKUP(E11023,DATABASE!C:Q,7,false)</f>
        <v>#N/A</v>
      </c>
      <c r="L11023" s="74"/>
      <c r="M11023" s="74">
        <f t="shared" si="6"/>
        <v>0</v>
      </c>
      <c r="N11023" s="74" t="str">
        <f t="shared" si="9"/>
        <v>#N/A</v>
      </c>
      <c r="O11023" s="65" t="str">
        <f>VLOOKUP(E11023,DATABASE!C:Q,8,false)</f>
        <v>#N/A</v>
      </c>
      <c r="P11023" s="65" t="str">
        <f>VLOOKUP(E11023,DATABASE!C:Q,9,False)</f>
        <v>#N/A</v>
      </c>
      <c r="Q11023" s="93" t="str">
        <f>VLOOKUP(E11023,DATABASE!C:Q,4,false)</f>
        <v>#N/A</v>
      </c>
      <c r="R11023" s="93" t="str">
        <f>VLOOKUP(E11023,DATABASE!C:Q,11,false)</f>
        <v>#N/A</v>
      </c>
    </row>
    <row r="11024" ht="22.5" customHeight="1">
      <c r="A11024" s="49"/>
      <c r="C11024" s="400"/>
      <c r="D11024" s="524"/>
      <c r="E11024" s="544"/>
      <c r="F11024" s="387"/>
      <c r="G11024" s="140"/>
      <c r="H11024" s="74"/>
      <c r="I11024" s="74">
        <f t="shared" si="7"/>
        <v>0</v>
      </c>
      <c r="J11024" s="74" t="str">
        <f>IF(E11024="SERVICE",I11024-(I11024*50%),Vlookup(E11024,DATABASE!C:Q,10,false)*F11024)</f>
        <v>#N/A</v>
      </c>
      <c r="K11024" s="74" t="str">
        <f>VLOOKUP(E11024,DATABASE!C:Q,7,false)</f>
        <v>#N/A</v>
      </c>
      <c r="L11024" s="74"/>
      <c r="M11024" s="74">
        <f t="shared" si="6"/>
        <v>0</v>
      </c>
      <c r="N11024" s="74" t="str">
        <f t="shared" si="9"/>
        <v>#N/A</v>
      </c>
      <c r="O11024" s="65" t="str">
        <f>VLOOKUP(E11024,DATABASE!C:Q,8,false)</f>
        <v>#N/A</v>
      </c>
      <c r="P11024" s="65" t="str">
        <f>VLOOKUP(E11024,DATABASE!C:Q,9,False)</f>
        <v>#N/A</v>
      </c>
      <c r="Q11024" s="93" t="str">
        <f>VLOOKUP(E11024,DATABASE!C:Q,4,false)</f>
        <v>#N/A</v>
      </c>
      <c r="R11024" s="93" t="str">
        <f>VLOOKUP(E11024,DATABASE!C:Q,11,false)</f>
        <v>#N/A</v>
      </c>
    </row>
    <row r="11025" ht="22.5" customHeight="1">
      <c r="A11025" s="49"/>
      <c r="C11025" s="400"/>
      <c r="D11025" s="524"/>
      <c r="E11025" s="544"/>
      <c r="F11025" s="387"/>
      <c r="G11025" s="140"/>
      <c r="H11025" s="74"/>
      <c r="I11025" s="74">
        <f t="shared" si="7"/>
        <v>0</v>
      </c>
      <c r="J11025" s="74" t="str">
        <f>IF(E11025="SERVICE",I11025-(I11025*50%),Vlookup(E11025,DATABASE!C:Q,10,false)*F11025)</f>
        <v>#N/A</v>
      </c>
      <c r="K11025" s="74" t="str">
        <f>VLOOKUP(E11025,DATABASE!C:Q,7,false)</f>
        <v>#N/A</v>
      </c>
      <c r="L11025" s="74"/>
      <c r="M11025" s="74">
        <f t="shared" si="6"/>
        <v>0</v>
      </c>
      <c r="N11025" s="74" t="str">
        <f t="shared" si="9"/>
        <v>#N/A</v>
      </c>
      <c r="O11025" s="65" t="str">
        <f>VLOOKUP(E11025,DATABASE!C:Q,8,false)</f>
        <v>#N/A</v>
      </c>
      <c r="P11025" s="65" t="str">
        <f>VLOOKUP(E11025,DATABASE!C:Q,9,False)</f>
        <v>#N/A</v>
      </c>
      <c r="Q11025" s="93" t="str">
        <f>VLOOKUP(E11025,DATABASE!C:Q,4,false)</f>
        <v>#N/A</v>
      </c>
      <c r="R11025" s="93" t="str">
        <f>VLOOKUP(E11025,DATABASE!C:Q,11,false)</f>
        <v>#N/A</v>
      </c>
    </row>
    <row r="11026" ht="22.5" customHeight="1">
      <c r="A11026" s="49"/>
      <c r="C11026" s="400"/>
      <c r="D11026" s="524"/>
      <c r="E11026" s="544"/>
      <c r="F11026" s="387"/>
      <c r="G11026" s="140"/>
      <c r="H11026" s="74"/>
      <c r="I11026" s="74">
        <f t="shared" si="7"/>
        <v>0</v>
      </c>
      <c r="J11026" s="74" t="str">
        <f>IF(E11026="SERVICE",I11026-(I11026*50%),Vlookup(E11026,DATABASE!C:Q,10,false)*F11026)</f>
        <v>#N/A</v>
      </c>
      <c r="K11026" s="74" t="str">
        <f>VLOOKUP(E11026,DATABASE!C:Q,7,false)</f>
        <v>#N/A</v>
      </c>
      <c r="L11026" s="74"/>
      <c r="M11026" s="74">
        <f t="shared" si="6"/>
        <v>0</v>
      </c>
      <c r="N11026" s="74" t="str">
        <f t="shared" si="9"/>
        <v>#N/A</v>
      </c>
      <c r="O11026" s="65" t="str">
        <f>VLOOKUP(E11026,DATABASE!C:Q,8,false)</f>
        <v>#N/A</v>
      </c>
      <c r="P11026" s="65" t="str">
        <f>VLOOKUP(E11026,DATABASE!C:Q,9,False)</f>
        <v>#N/A</v>
      </c>
      <c r="Q11026" s="93" t="str">
        <f>VLOOKUP(E11026,DATABASE!C:Q,4,false)</f>
        <v>#N/A</v>
      </c>
      <c r="R11026" s="93" t="str">
        <f>VLOOKUP(E11026,DATABASE!C:Q,11,false)</f>
        <v>#N/A</v>
      </c>
    </row>
    <row r="11027" ht="22.5" customHeight="1">
      <c r="A11027" s="49"/>
      <c r="C11027" s="400"/>
      <c r="D11027" s="524"/>
      <c r="E11027" s="544"/>
      <c r="F11027" s="387"/>
      <c r="G11027" s="140"/>
      <c r="H11027" s="74"/>
      <c r="I11027" s="74">
        <f t="shared" si="7"/>
        <v>0</v>
      </c>
      <c r="J11027" s="74" t="str">
        <f>IF(E11027="SERVICE",I11027-(I11027*50%),Vlookup(E11027,DATABASE!C:Q,10,false)*F11027)</f>
        <v>#N/A</v>
      </c>
      <c r="K11027" s="74" t="str">
        <f>VLOOKUP(E11027,DATABASE!C:Q,7,false)</f>
        <v>#N/A</v>
      </c>
      <c r="L11027" s="74"/>
      <c r="M11027" s="74">
        <f t="shared" si="6"/>
        <v>0</v>
      </c>
      <c r="N11027" s="74" t="str">
        <f t="shared" si="9"/>
        <v>#N/A</v>
      </c>
      <c r="O11027" s="65" t="str">
        <f>VLOOKUP(E11027,DATABASE!C:Q,8,false)</f>
        <v>#N/A</v>
      </c>
      <c r="P11027" s="65" t="str">
        <f>VLOOKUP(E11027,DATABASE!C:Q,9,False)</f>
        <v>#N/A</v>
      </c>
      <c r="Q11027" s="93" t="str">
        <f>VLOOKUP(E11027,DATABASE!C:Q,4,false)</f>
        <v>#N/A</v>
      </c>
      <c r="R11027" s="93" t="str">
        <f>VLOOKUP(E11027,DATABASE!C:Q,11,false)</f>
        <v>#N/A</v>
      </c>
    </row>
    <row r="11028" ht="22.5" customHeight="1">
      <c r="A11028" s="49"/>
      <c r="C11028" s="400"/>
      <c r="D11028" s="524"/>
      <c r="E11028" s="544"/>
      <c r="F11028" s="387"/>
      <c r="G11028" s="140"/>
      <c r="H11028" s="74"/>
      <c r="I11028" s="74">
        <f t="shared" si="7"/>
        <v>0</v>
      </c>
      <c r="J11028" s="74" t="str">
        <f>IF(E11028="SERVICE",I11028-(I11028*50%),Vlookup(E11028,DATABASE!C:Q,10,false)*F11028)</f>
        <v>#N/A</v>
      </c>
      <c r="K11028" s="74" t="str">
        <f>VLOOKUP(E11028,DATABASE!C:Q,7,false)</f>
        <v>#N/A</v>
      </c>
      <c r="L11028" s="74"/>
      <c r="M11028" s="74">
        <f t="shared" si="6"/>
        <v>0</v>
      </c>
      <c r="N11028" s="74" t="str">
        <f t="shared" si="9"/>
        <v>#N/A</v>
      </c>
      <c r="O11028" s="65" t="str">
        <f>VLOOKUP(E11028,DATABASE!C:Q,8,false)</f>
        <v>#N/A</v>
      </c>
      <c r="P11028" s="65" t="str">
        <f>VLOOKUP(E11028,DATABASE!C:Q,9,False)</f>
        <v>#N/A</v>
      </c>
      <c r="Q11028" s="93" t="str">
        <f>VLOOKUP(E11028,DATABASE!C:Q,4,false)</f>
        <v>#N/A</v>
      </c>
      <c r="R11028" s="93" t="str">
        <f>VLOOKUP(E11028,DATABASE!C:Q,11,false)</f>
        <v>#N/A</v>
      </c>
    </row>
    <row r="11029" ht="22.5" customHeight="1">
      <c r="A11029" s="49"/>
      <c r="C11029" s="400"/>
      <c r="D11029" s="524"/>
      <c r="E11029" s="544"/>
      <c r="F11029" s="387"/>
      <c r="G11029" s="140"/>
      <c r="H11029" s="74"/>
      <c r="I11029" s="74">
        <f t="shared" si="7"/>
        <v>0</v>
      </c>
      <c r="J11029" s="74" t="str">
        <f>IF(E11029="SERVICE",I11029-(I11029*50%),Vlookup(E11029,DATABASE!C:Q,10,false)*F11029)</f>
        <v>#N/A</v>
      </c>
      <c r="K11029" s="74" t="str">
        <f>VLOOKUP(E11029,DATABASE!C:Q,7,false)</f>
        <v>#N/A</v>
      </c>
      <c r="L11029" s="74"/>
      <c r="M11029" s="74">
        <f t="shared" si="6"/>
        <v>0</v>
      </c>
      <c r="N11029" s="74" t="str">
        <f t="shared" si="9"/>
        <v>#N/A</v>
      </c>
      <c r="O11029" s="65" t="str">
        <f>VLOOKUP(E11029,DATABASE!C:Q,8,false)</f>
        <v>#N/A</v>
      </c>
      <c r="P11029" s="65" t="str">
        <f>VLOOKUP(E11029,DATABASE!C:Q,9,False)</f>
        <v>#N/A</v>
      </c>
      <c r="Q11029" s="93" t="str">
        <f>VLOOKUP(E11029,DATABASE!C:Q,4,false)</f>
        <v>#N/A</v>
      </c>
      <c r="R11029" s="93" t="str">
        <f>VLOOKUP(E11029,DATABASE!C:Q,11,false)</f>
        <v>#N/A</v>
      </c>
    </row>
    <row r="11030" ht="22.5" customHeight="1">
      <c r="A11030" s="49"/>
      <c r="C11030" s="400"/>
      <c r="D11030" s="524"/>
      <c r="E11030" s="544"/>
      <c r="F11030" s="387"/>
      <c r="G11030" s="140"/>
      <c r="H11030" s="74"/>
      <c r="I11030" s="74">
        <f t="shared" si="7"/>
        <v>0</v>
      </c>
      <c r="J11030" s="74" t="str">
        <f>IF(E11030="SERVICE",I11030-(I11030*50%),Vlookup(E11030,DATABASE!C:Q,10,false)*F11030)</f>
        <v>#N/A</v>
      </c>
      <c r="K11030" s="74" t="str">
        <f>VLOOKUP(E11030,DATABASE!C:Q,7,false)</f>
        <v>#N/A</v>
      </c>
      <c r="L11030" s="74"/>
      <c r="M11030" s="74">
        <f t="shared" si="6"/>
        <v>0</v>
      </c>
      <c r="N11030" s="74" t="str">
        <f t="shared" si="9"/>
        <v>#N/A</v>
      </c>
      <c r="O11030" s="65" t="str">
        <f>VLOOKUP(E11030,DATABASE!C:Q,8,false)</f>
        <v>#N/A</v>
      </c>
      <c r="P11030" s="65" t="str">
        <f>VLOOKUP(E11030,DATABASE!C:Q,9,False)</f>
        <v>#N/A</v>
      </c>
      <c r="Q11030" s="93" t="str">
        <f>VLOOKUP(E11030,DATABASE!C:Q,4,false)</f>
        <v>#N/A</v>
      </c>
      <c r="R11030" s="93" t="str">
        <f>VLOOKUP(E11030,DATABASE!C:Q,11,false)</f>
        <v>#N/A</v>
      </c>
    </row>
    <row r="11031" ht="22.5" customHeight="1">
      <c r="A11031" s="49"/>
      <c r="C11031" s="400"/>
      <c r="D11031" s="524"/>
      <c r="E11031" s="544"/>
      <c r="F11031" s="387"/>
      <c r="G11031" s="140"/>
      <c r="H11031" s="74"/>
      <c r="I11031" s="74">
        <f t="shared" si="7"/>
        <v>0</v>
      </c>
      <c r="J11031" s="74" t="str">
        <f>IF(E11031="SERVICE",I11031-(I11031*50%),Vlookup(E11031,DATABASE!C:Q,10,false)*F11031)</f>
        <v>#N/A</v>
      </c>
      <c r="K11031" s="74" t="str">
        <f>VLOOKUP(E11031,DATABASE!C:Q,7,false)</f>
        <v>#N/A</v>
      </c>
      <c r="L11031" s="74"/>
      <c r="M11031" s="74">
        <f t="shared" si="6"/>
        <v>0</v>
      </c>
      <c r="N11031" s="74" t="str">
        <f t="shared" si="9"/>
        <v>#N/A</v>
      </c>
      <c r="O11031" s="65" t="str">
        <f>VLOOKUP(E11031,DATABASE!C:Q,8,false)</f>
        <v>#N/A</v>
      </c>
      <c r="P11031" s="65" t="str">
        <f>VLOOKUP(E11031,DATABASE!C:Q,9,False)</f>
        <v>#N/A</v>
      </c>
      <c r="Q11031" s="93" t="str">
        <f>VLOOKUP(E11031,DATABASE!C:Q,4,false)</f>
        <v>#N/A</v>
      </c>
      <c r="R11031" s="93" t="str">
        <f>VLOOKUP(E11031,DATABASE!C:Q,11,false)</f>
        <v>#N/A</v>
      </c>
    </row>
    <row r="11032" ht="22.5" customHeight="1">
      <c r="A11032" s="49"/>
      <c r="C11032" s="400"/>
      <c r="D11032" s="524"/>
      <c r="E11032" s="544"/>
      <c r="F11032" s="387"/>
      <c r="G11032" s="140"/>
      <c r="H11032" s="74"/>
      <c r="I11032" s="74">
        <f t="shared" si="7"/>
        <v>0</v>
      </c>
      <c r="J11032" s="74" t="str">
        <f>IF(E11032="SERVICE",I11032-(I11032*50%),Vlookup(E11032,DATABASE!C:Q,10,false)*F11032)</f>
        <v>#N/A</v>
      </c>
      <c r="K11032" s="74" t="str">
        <f>VLOOKUP(E11032,DATABASE!C:Q,7,false)</f>
        <v>#N/A</v>
      </c>
      <c r="L11032" s="74"/>
      <c r="M11032" s="74">
        <f t="shared" si="6"/>
        <v>0</v>
      </c>
      <c r="N11032" s="74" t="str">
        <f t="shared" si="9"/>
        <v>#N/A</v>
      </c>
      <c r="O11032" s="65" t="str">
        <f>VLOOKUP(E11032,DATABASE!C:Q,8,false)</f>
        <v>#N/A</v>
      </c>
      <c r="P11032" s="65" t="str">
        <f>VLOOKUP(E11032,DATABASE!C:Q,9,False)</f>
        <v>#N/A</v>
      </c>
      <c r="Q11032" s="93" t="str">
        <f>VLOOKUP(E11032,DATABASE!C:Q,4,false)</f>
        <v>#N/A</v>
      </c>
      <c r="R11032" s="93" t="str">
        <f>VLOOKUP(E11032,DATABASE!C:Q,11,false)</f>
        <v>#N/A</v>
      </c>
    </row>
    <row r="11033" ht="22.5" customHeight="1">
      <c r="A11033" s="49"/>
      <c r="C11033" s="400"/>
      <c r="D11033" s="524"/>
      <c r="E11033" s="544"/>
      <c r="F11033" s="387"/>
      <c r="G11033" s="140"/>
      <c r="H11033" s="74"/>
      <c r="I11033" s="74">
        <f t="shared" si="7"/>
        <v>0</v>
      </c>
      <c r="J11033" s="74" t="str">
        <f>IF(E11033="SERVICE",I11033-(I11033*50%),Vlookup(E11033,DATABASE!C:Q,10,false)*F11033)</f>
        <v>#N/A</v>
      </c>
      <c r="K11033" s="74" t="str">
        <f>VLOOKUP(E11033,DATABASE!C:Q,7,false)</f>
        <v>#N/A</v>
      </c>
      <c r="L11033" s="74"/>
      <c r="M11033" s="74">
        <f t="shared" si="6"/>
        <v>0</v>
      </c>
      <c r="N11033" s="74" t="str">
        <f t="shared" si="9"/>
        <v>#N/A</v>
      </c>
      <c r="O11033" s="65" t="str">
        <f>VLOOKUP(E11033,DATABASE!C:Q,8,false)</f>
        <v>#N/A</v>
      </c>
      <c r="P11033" s="65" t="str">
        <f>VLOOKUP(E11033,DATABASE!C:Q,9,False)</f>
        <v>#N/A</v>
      </c>
      <c r="Q11033" s="93" t="str">
        <f>VLOOKUP(E11033,DATABASE!C:Q,4,false)</f>
        <v>#N/A</v>
      </c>
      <c r="R11033" s="93" t="str">
        <f>VLOOKUP(E11033,DATABASE!C:Q,11,false)</f>
        <v>#N/A</v>
      </c>
    </row>
    <row r="11034" ht="22.5" customHeight="1">
      <c r="A11034" s="49"/>
      <c r="C11034" s="400"/>
      <c r="D11034" s="524"/>
      <c r="E11034" s="544"/>
      <c r="F11034" s="387"/>
      <c r="G11034" s="140"/>
      <c r="H11034" s="74"/>
      <c r="I11034" s="74">
        <f t="shared" si="7"/>
        <v>0</v>
      </c>
      <c r="J11034" s="74" t="str">
        <f>IF(E11034="SERVICE",I11034-(I11034*50%),Vlookup(E11034,DATABASE!C:Q,10,false)*F11034)</f>
        <v>#N/A</v>
      </c>
      <c r="K11034" s="74" t="str">
        <f>VLOOKUP(E11034,DATABASE!C:Q,7,false)</f>
        <v>#N/A</v>
      </c>
      <c r="L11034" s="74"/>
      <c r="M11034" s="74">
        <f t="shared" si="6"/>
        <v>0</v>
      </c>
      <c r="N11034" s="74" t="str">
        <f t="shared" si="9"/>
        <v>#N/A</v>
      </c>
      <c r="O11034" s="65" t="str">
        <f>VLOOKUP(E11034,DATABASE!C:Q,8,false)</f>
        <v>#N/A</v>
      </c>
      <c r="P11034" s="65" t="str">
        <f>VLOOKUP(E11034,DATABASE!C:Q,9,False)</f>
        <v>#N/A</v>
      </c>
      <c r="Q11034" s="93" t="str">
        <f>VLOOKUP(E11034,DATABASE!C:Q,4,false)</f>
        <v>#N/A</v>
      </c>
      <c r="R11034" s="93" t="str">
        <f>VLOOKUP(E11034,DATABASE!C:Q,11,false)</f>
        <v>#N/A</v>
      </c>
    </row>
    <row r="11035" ht="22.5" customHeight="1">
      <c r="A11035" s="49"/>
      <c r="C11035" s="400"/>
      <c r="D11035" s="524"/>
      <c r="E11035" s="544"/>
      <c r="F11035" s="387"/>
      <c r="G11035" s="140"/>
      <c r="H11035" s="74"/>
      <c r="I11035" s="74">
        <f t="shared" si="7"/>
        <v>0</v>
      </c>
      <c r="J11035" s="74" t="str">
        <f>IF(E11035="SERVICE",I11035-(I11035*50%),Vlookup(E11035,DATABASE!C:Q,10,false)*F11035)</f>
        <v>#N/A</v>
      </c>
      <c r="K11035" s="74" t="str">
        <f>VLOOKUP(E11035,DATABASE!C:Q,7,false)</f>
        <v>#N/A</v>
      </c>
      <c r="L11035" s="74"/>
      <c r="M11035" s="74">
        <f t="shared" si="6"/>
        <v>0</v>
      </c>
      <c r="N11035" s="74" t="str">
        <f t="shared" si="9"/>
        <v>#N/A</v>
      </c>
      <c r="O11035" s="65" t="str">
        <f>VLOOKUP(E11035,DATABASE!C:Q,8,false)</f>
        <v>#N/A</v>
      </c>
      <c r="P11035" s="65" t="str">
        <f>VLOOKUP(E11035,DATABASE!C:Q,9,False)</f>
        <v>#N/A</v>
      </c>
      <c r="Q11035" s="93" t="str">
        <f>VLOOKUP(E11035,DATABASE!C:Q,4,false)</f>
        <v>#N/A</v>
      </c>
      <c r="R11035" s="93" t="str">
        <f>VLOOKUP(E11035,DATABASE!C:Q,11,false)</f>
        <v>#N/A</v>
      </c>
    </row>
    <row r="11036" ht="22.5" customHeight="1">
      <c r="A11036" s="49"/>
      <c r="C11036" s="400"/>
      <c r="D11036" s="524"/>
      <c r="E11036" s="544"/>
      <c r="F11036" s="387"/>
      <c r="G11036" s="140"/>
      <c r="H11036" s="74"/>
      <c r="I11036" s="74">
        <f t="shared" si="7"/>
        <v>0</v>
      </c>
      <c r="J11036" s="74" t="str">
        <f>IF(E11036="SERVICE",I11036-(I11036*50%),Vlookup(E11036,DATABASE!C:Q,10,false)*F11036)</f>
        <v>#N/A</v>
      </c>
      <c r="K11036" s="74" t="str">
        <f>VLOOKUP(E11036,DATABASE!C:Q,7,false)</f>
        <v>#N/A</v>
      </c>
      <c r="L11036" s="74"/>
      <c r="M11036" s="74">
        <f t="shared" si="6"/>
        <v>0</v>
      </c>
      <c r="N11036" s="74" t="str">
        <f t="shared" si="9"/>
        <v>#N/A</v>
      </c>
      <c r="O11036" s="65" t="str">
        <f>VLOOKUP(E11036,DATABASE!C:Q,8,false)</f>
        <v>#N/A</v>
      </c>
      <c r="P11036" s="65" t="str">
        <f>VLOOKUP(E11036,DATABASE!C:Q,9,False)</f>
        <v>#N/A</v>
      </c>
      <c r="Q11036" s="93" t="str">
        <f>VLOOKUP(E11036,DATABASE!C:Q,4,false)</f>
        <v>#N/A</v>
      </c>
      <c r="R11036" s="93" t="str">
        <f>VLOOKUP(E11036,DATABASE!C:Q,11,false)</f>
        <v>#N/A</v>
      </c>
    </row>
    <row r="11037" ht="22.5" customHeight="1">
      <c r="A11037" s="49"/>
      <c r="C11037" s="400"/>
      <c r="D11037" s="524"/>
      <c r="E11037" s="544"/>
      <c r="F11037" s="387"/>
      <c r="G11037" s="140"/>
      <c r="H11037" s="74"/>
      <c r="I11037" s="74">
        <f t="shared" si="7"/>
        <v>0</v>
      </c>
      <c r="J11037" s="74" t="str">
        <f>IF(E11037="SERVICE",I11037-(I11037*50%),Vlookup(E11037,DATABASE!C:Q,10,false)*F11037)</f>
        <v>#N/A</v>
      </c>
      <c r="K11037" s="74" t="str">
        <f>VLOOKUP(E11037,DATABASE!C:Q,7,false)</f>
        <v>#N/A</v>
      </c>
      <c r="L11037" s="74"/>
      <c r="M11037" s="74">
        <f t="shared" si="6"/>
        <v>0</v>
      </c>
      <c r="N11037" s="74" t="str">
        <f t="shared" si="9"/>
        <v>#N/A</v>
      </c>
      <c r="O11037" s="65" t="str">
        <f>VLOOKUP(E11037,DATABASE!C:Q,8,false)</f>
        <v>#N/A</v>
      </c>
      <c r="P11037" s="65" t="str">
        <f>VLOOKUP(E11037,DATABASE!C:Q,9,False)</f>
        <v>#N/A</v>
      </c>
      <c r="Q11037" s="93" t="str">
        <f>VLOOKUP(E11037,DATABASE!C:Q,4,false)</f>
        <v>#N/A</v>
      </c>
      <c r="R11037" s="93" t="str">
        <f>VLOOKUP(E11037,DATABASE!C:Q,11,false)</f>
        <v>#N/A</v>
      </c>
    </row>
    <row r="11038" ht="22.5" customHeight="1">
      <c r="A11038" s="49"/>
      <c r="C11038" s="400"/>
      <c r="D11038" s="524"/>
      <c r="E11038" s="544"/>
      <c r="F11038" s="387"/>
      <c r="G11038" s="140"/>
      <c r="H11038" s="74"/>
      <c r="I11038" s="74">
        <f t="shared" si="7"/>
        <v>0</v>
      </c>
      <c r="J11038" s="74" t="str">
        <f>IF(E11038="SERVICE",I11038-(I11038*50%),Vlookup(E11038,DATABASE!C:Q,10,false)*F11038)</f>
        <v>#N/A</v>
      </c>
      <c r="K11038" s="74" t="str">
        <f>VLOOKUP(E11038,DATABASE!C:Q,7,false)</f>
        <v>#N/A</v>
      </c>
      <c r="L11038" s="74"/>
      <c r="M11038" s="74">
        <f t="shared" si="6"/>
        <v>0</v>
      </c>
      <c r="N11038" s="74" t="str">
        <f t="shared" si="9"/>
        <v>#N/A</v>
      </c>
      <c r="O11038" s="65" t="str">
        <f>VLOOKUP(E11038,DATABASE!C:Q,8,false)</f>
        <v>#N/A</v>
      </c>
      <c r="P11038" s="65" t="str">
        <f>VLOOKUP(E11038,DATABASE!C:Q,9,False)</f>
        <v>#N/A</v>
      </c>
      <c r="Q11038" s="93" t="str">
        <f>VLOOKUP(E11038,DATABASE!C:Q,4,false)</f>
        <v>#N/A</v>
      </c>
      <c r="R11038" s="93" t="str">
        <f>VLOOKUP(E11038,DATABASE!C:Q,11,false)</f>
        <v>#N/A</v>
      </c>
    </row>
    <row r="11039" ht="22.5" customHeight="1">
      <c r="A11039" s="49"/>
      <c r="C11039" s="400"/>
      <c r="D11039" s="524"/>
      <c r="E11039" s="544"/>
      <c r="F11039" s="387"/>
      <c r="G11039" s="140"/>
      <c r="H11039" s="74"/>
      <c r="I11039" s="74">
        <f t="shared" si="7"/>
        <v>0</v>
      </c>
      <c r="J11039" s="74" t="str">
        <f>IF(E11039="SERVICE",I11039-(I11039*50%),Vlookup(E11039,DATABASE!C:Q,10,false)*F11039)</f>
        <v>#N/A</v>
      </c>
      <c r="K11039" s="74" t="str">
        <f>VLOOKUP(E11039,DATABASE!C:Q,7,false)</f>
        <v>#N/A</v>
      </c>
      <c r="L11039" s="74"/>
      <c r="M11039" s="74">
        <f t="shared" si="6"/>
        <v>0</v>
      </c>
      <c r="N11039" s="74" t="str">
        <f t="shared" si="9"/>
        <v>#N/A</v>
      </c>
      <c r="O11039" s="65" t="str">
        <f>VLOOKUP(E11039,DATABASE!C:Q,8,false)</f>
        <v>#N/A</v>
      </c>
      <c r="P11039" s="65" t="str">
        <f>VLOOKUP(E11039,DATABASE!C:Q,9,False)</f>
        <v>#N/A</v>
      </c>
      <c r="Q11039" s="93" t="str">
        <f>VLOOKUP(E11039,DATABASE!C:Q,4,false)</f>
        <v>#N/A</v>
      </c>
      <c r="R11039" s="93" t="str">
        <f>VLOOKUP(E11039,DATABASE!C:Q,11,false)</f>
        <v>#N/A</v>
      </c>
    </row>
    <row r="11040" ht="22.5" customHeight="1">
      <c r="A11040" s="49"/>
      <c r="C11040" s="400"/>
      <c r="D11040" s="524"/>
      <c r="E11040" s="544"/>
      <c r="F11040" s="387"/>
      <c r="G11040" s="140"/>
      <c r="H11040" s="74"/>
      <c r="I11040" s="74">
        <f t="shared" si="7"/>
        <v>0</v>
      </c>
      <c r="J11040" s="74" t="str">
        <f>IF(E11040="SERVICE",I11040-(I11040*50%),Vlookup(E11040,DATABASE!C:Q,10,false)*F11040)</f>
        <v>#N/A</v>
      </c>
      <c r="K11040" s="74" t="str">
        <f>VLOOKUP(E11040,DATABASE!C:Q,7,false)</f>
        <v>#N/A</v>
      </c>
      <c r="L11040" s="74"/>
      <c r="M11040" s="74">
        <f t="shared" si="6"/>
        <v>0</v>
      </c>
      <c r="N11040" s="74" t="str">
        <f t="shared" si="9"/>
        <v>#N/A</v>
      </c>
      <c r="O11040" s="65" t="str">
        <f>VLOOKUP(E11040,DATABASE!C:Q,8,false)</f>
        <v>#N/A</v>
      </c>
      <c r="P11040" s="65" t="str">
        <f>VLOOKUP(E11040,DATABASE!C:Q,9,False)</f>
        <v>#N/A</v>
      </c>
      <c r="Q11040" s="93" t="str">
        <f>VLOOKUP(E11040,DATABASE!C:Q,4,false)</f>
        <v>#N/A</v>
      </c>
      <c r="R11040" s="93" t="str">
        <f>VLOOKUP(E11040,DATABASE!C:Q,11,false)</f>
        <v>#N/A</v>
      </c>
    </row>
    <row r="11041" ht="22.5" customHeight="1">
      <c r="A11041" s="49"/>
      <c r="C11041" s="400"/>
      <c r="D11041" s="524"/>
      <c r="E11041" s="544"/>
      <c r="F11041" s="387"/>
      <c r="G11041" s="140"/>
      <c r="H11041" s="74"/>
      <c r="I11041" s="74">
        <f t="shared" si="7"/>
        <v>0</v>
      </c>
      <c r="J11041" s="74" t="str">
        <f>IF(E11041="SERVICE",I11041-(I11041*50%),Vlookup(E11041,DATABASE!C:Q,10,false)*F11041)</f>
        <v>#N/A</v>
      </c>
      <c r="K11041" s="74" t="str">
        <f>VLOOKUP(E11041,DATABASE!C:Q,7,false)</f>
        <v>#N/A</v>
      </c>
      <c r="L11041" s="74"/>
      <c r="M11041" s="74">
        <f t="shared" si="6"/>
        <v>0</v>
      </c>
      <c r="N11041" s="74" t="str">
        <f t="shared" si="9"/>
        <v>#N/A</v>
      </c>
      <c r="O11041" s="65" t="str">
        <f>VLOOKUP(E11041,DATABASE!C:Q,8,false)</f>
        <v>#N/A</v>
      </c>
      <c r="P11041" s="65" t="str">
        <f>VLOOKUP(E11041,DATABASE!C:Q,9,False)</f>
        <v>#N/A</v>
      </c>
      <c r="Q11041" s="93" t="str">
        <f>VLOOKUP(E11041,DATABASE!C:Q,4,false)</f>
        <v>#N/A</v>
      </c>
      <c r="R11041" s="93" t="str">
        <f>VLOOKUP(E11041,DATABASE!C:Q,11,false)</f>
        <v>#N/A</v>
      </c>
    </row>
    <row r="11042" ht="22.5" customHeight="1">
      <c r="A11042" s="49"/>
      <c r="C11042" s="400"/>
      <c r="D11042" s="524"/>
      <c r="E11042" s="544"/>
      <c r="F11042" s="387"/>
      <c r="G11042" s="140"/>
      <c r="H11042" s="74"/>
      <c r="I11042" s="74">
        <f t="shared" si="7"/>
        <v>0</v>
      </c>
      <c r="J11042" s="74" t="str">
        <f>IF(E11042="SERVICE",I11042-(I11042*50%),Vlookup(E11042,DATABASE!C:Q,10,false)*F11042)</f>
        <v>#N/A</v>
      </c>
      <c r="K11042" s="74" t="str">
        <f>VLOOKUP(E11042,DATABASE!C:Q,7,false)</f>
        <v>#N/A</v>
      </c>
      <c r="L11042" s="74"/>
      <c r="M11042" s="74">
        <f t="shared" si="6"/>
        <v>0</v>
      </c>
      <c r="N11042" s="74" t="str">
        <f t="shared" si="9"/>
        <v>#N/A</v>
      </c>
      <c r="O11042" s="65" t="str">
        <f>VLOOKUP(E11042,DATABASE!C:Q,8,false)</f>
        <v>#N/A</v>
      </c>
      <c r="P11042" s="65" t="str">
        <f>VLOOKUP(E11042,DATABASE!C:Q,9,False)</f>
        <v>#N/A</v>
      </c>
      <c r="Q11042" s="93" t="str">
        <f>VLOOKUP(E11042,DATABASE!C:Q,4,false)</f>
        <v>#N/A</v>
      </c>
      <c r="R11042" s="93" t="str">
        <f>VLOOKUP(E11042,DATABASE!C:Q,11,false)</f>
        <v>#N/A</v>
      </c>
    </row>
    <row r="11043" ht="22.5" customHeight="1">
      <c r="A11043" s="49"/>
      <c r="C11043" s="400"/>
      <c r="D11043" s="524"/>
      <c r="E11043" s="544"/>
      <c r="F11043" s="387"/>
      <c r="G11043" s="140"/>
      <c r="H11043" s="74"/>
      <c r="I11043" s="74">
        <f t="shared" si="7"/>
        <v>0</v>
      </c>
      <c r="J11043" s="74" t="str">
        <f>IF(E11043="SERVICE",I11043-(I11043*50%),Vlookup(E11043,DATABASE!C:Q,10,false)*F11043)</f>
        <v>#N/A</v>
      </c>
      <c r="K11043" s="74" t="str">
        <f>VLOOKUP(E11043,DATABASE!C:Q,7,false)</f>
        <v>#N/A</v>
      </c>
      <c r="L11043" s="74"/>
      <c r="M11043" s="74">
        <f t="shared" si="6"/>
        <v>0</v>
      </c>
      <c r="N11043" s="74" t="str">
        <f t="shared" si="9"/>
        <v>#N/A</v>
      </c>
      <c r="O11043" s="65" t="str">
        <f>VLOOKUP(E11043,DATABASE!C:Q,8,false)</f>
        <v>#N/A</v>
      </c>
      <c r="P11043" s="65" t="str">
        <f>VLOOKUP(E11043,DATABASE!C:Q,9,False)</f>
        <v>#N/A</v>
      </c>
      <c r="Q11043" s="93" t="str">
        <f>VLOOKUP(E11043,DATABASE!C:Q,4,false)</f>
        <v>#N/A</v>
      </c>
      <c r="R11043" s="93" t="str">
        <f>VLOOKUP(E11043,DATABASE!C:Q,11,false)</f>
        <v>#N/A</v>
      </c>
    </row>
    <row r="11044" ht="22.5" customHeight="1">
      <c r="A11044" s="49"/>
      <c r="C11044" s="400"/>
      <c r="D11044" s="524"/>
      <c r="E11044" s="544"/>
      <c r="F11044" s="387"/>
      <c r="G11044" s="140"/>
      <c r="H11044" s="74"/>
      <c r="I11044" s="74">
        <f t="shared" si="7"/>
        <v>0</v>
      </c>
      <c r="J11044" s="74" t="str">
        <f>IF(E11044="SERVICE",I11044-(I11044*50%),Vlookup(E11044,DATABASE!C:Q,10,false)*F11044)</f>
        <v>#N/A</v>
      </c>
      <c r="K11044" s="74" t="str">
        <f>VLOOKUP(E11044,DATABASE!C:Q,7,false)</f>
        <v>#N/A</v>
      </c>
      <c r="L11044" s="74"/>
      <c r="M11044" s="74">
        <f t="shared" si="6"/>
        <v>0</v>
      </c>
      <c r="N11044" s="74" t="str">
        <f t="shared" si="9"/>
        <v>#N/A</v>
      </c>
      <c r="O11044" s="65" t="str">
        <f>VLOOKUP(E11044,DATABASE!C:Q,8,false)</f>
        <v>#N/A</v>
      </c>
      <c r="P11044" s="65" t="str">
        <f>VLOOKUP(E11044,DATABASE!C:Q,9,False)</f>
        <v>#N/A</v>
      </c>
      <c r="Q11044" s="93" t="str">
        <f>VLOOKUP(E11044,DATABASE!C:Q,4,false)</f>
        <v>#N/A</v>
      </c>
      <c r="R11044" s="93" t="str">
        <f>VLOOKUP(E11044,DATABASE!C:Q,11,false)</f>
        <v>#N/A</v>
      </c>
    </row>
    <row r="11045" ht="22.5" customHeight="1">
      <c r="A11045" s="49"/>
      <c r="C11045" s="400"/>
      <c r="D11045" s="524"/>
      <c r="E11045" s="544"/>
      <c r="F11045" s="387"/>
      <c r="G11045" s="140"/>
      <c r="H11045" s="74"/>
      <c r="I11045" s="74">
        <f t="shared" si="7"/>
        <v>0</v>
      </c>
      <c r="J11045" s="74" t="str">
        <f>IF(E11045="SERVICE",I11045-(I11045*50%),Vlookup(E11045,DATABASE!C:Q,10,false)*F11045)</f>
        <v>#N/A</v>
      </c>
      <c r="K11045" s="74" t="str">
        <f>VLOOKUP(E11045,DATABASE!C:Q,7,false)</f>
        <v>#N/A</v>
      </c>
      <c r="L11045" s="74"/>
      <c r="M11045" s="74">
        <f t="shared" si="6"/>
        <v>0</v>
      </c>
      <c r="N11045" s="74" t="str">
        <f t="shared" si="9"/>
        <v>#N/A</v>
      </c>
      <c r="O11045" s="65" t="str">
        <f>VLOOKUP(E11045,DATABASE!C:Q,8,false)</f>
        <v>#N/A</v>
      </c>
      <c r="P11045" s="65" t="str">
        <f>VLOOKUP(E11045,DATABASE!C:Q,9,False)</f>
        <v>#N/A</v>
      </c>
      <c r="Q11045" s="93" t="str">
        <f>VLOOKUP(E11045,DATABASE!C:Q,4,false)</f>
        <v>#N/A</v>
      </c>
      <c r="R11045" s="93" t="str">
        <f>VLOOKUP(E11045,DATABASE!C:Q,11,false)</f>
        <v>#N/A</v>
      </c>
    </row>
    <row r="11046" ht="22.5" customHeight="1">
      <c r="A11046" s="49"/>
      <c r="C11046" s="400"/>
      <c r="D11046" s="524"/>
      <c r="E11046" s="544"/>
      <c r="F11046" s="387"/>
      <c r="G11046" s="140"/>
      <c r="H11046" s="74"/>
      <c r="I11046" s="74">
        <f t="shared" si="7"/>
        <v>0</v>
      </c>
      <c r="J11046" s="74" t="str">
        <f>IF(E11046="SERVICE",I11046-(I11046*50%),Vlookup(E11046,DATABASE!C:Q,10,false)*F11046)</f>
        <v>#N/A</v>
      </c>
      <c r="K11046" s="74" t="str">
        <f>VLOOKUP(E11046,DATABASE!C:Q,7,false)</f>
        <v>#N/A</v>
      </c>
      <c r="L11046" s="74"/>
      <c r="M11046" s="74">
        <f t="shared" si="6"/>
        <v>0</v>
      </c>
      <c r="N11046" s="74" t="str">
        <f t="shared" si="9"/>
        <v>#N/A</v>
      </c>
      <c r="O11046" s="65" t="str">
        <f>VLOOKUP(E11046,DATABASE!C:Q,8,false)</f>
        <v>#N/A</v>
      </c>
      <c r="P11046" s="65" t="str">
        <f>VLOOKUP(E11046,DATABASE!C:Q,9,False)</f>
        <v>#N/A</v>
      </c>
      <c r="Q11046" s="93" t="str">
        <f>VLOOKUP(E11046,DATABASE!C:Q,4,false)</f>
        <v>#N/A</v>
      </c>
      <c r="R11046" s="93" t="str">
        <f>VLOOKUP(E11046,DATABASE!C:Q,11,false)</f>
        <v>#N/A</v>
      </c>
    </row>
    <row r="11047" ht="22.5" customHeight="1">
      <c r="A11047" s="49"/>
      <c r="C11047" s="400"/>
      <c r="D11047" s="524"/>
      <c r="E11047" s="544"/>
      <c r="F11047" s="387"/>
      <c r="G11047" s="140"/>
      <c r="H11047" s="74"/>
      <c r="I11047" s="74">
        <f t="shared" si="7"/>
        <v>0</v>
      </c>
      <c r="J11047" s="74" t="str">
        <f>IF(E11047="SERVICE",I11047-(I11047*50%),Vlookup(E11047,DATABASE!C:Q,10,false)*F11047)</f>
        <v>#N/A</v>
      </c>
      <c r="K11047" s="74" t="str">
        <f>VLOOKUP(E11047,DATABASE!C:Q,7,false)</f>
        <v>#N/A</v>
      </c>
      <c r="L11047" s="74"/>
      <c r="M11047" s="74">
        <f t="shared" si="6"/>
        <v>0</v>
      </c>
      <c r="N11047" s="74" t="str">
        <f t="shared" si="9"/>
        <v>#N/A</v>
      </c>
      <c r="O11047" s="65" t="str">
        <f>VLOOKUP(E11047,DATABASE!C:Q,8,false)</f>
        <v>#N/A</v>
      </c>
      <c r="P11047" s="65" t="str">
        <f>VLOOKUP(E11047,DATABASE!C:Q,9,False)</f>
        <v>#N/A</v>
      </c>
      <c r="Q11047" s="93" t="str">
        <f>VLOOKUP(E11047,DATABASE!C:Q,4,false)</f>
        <v>#N/A</v>
      </c>
      <c r="R11047" s="93" t="str">
        <f>VLOOKUP(E11047,DATABASE!C:Q,11,false)</f>
        <v>#N/A</v>
      </c>
    </row>
    <row r="11048" ht="22.5" customHeight="1">
      <c r="A11048" s="49"/>
      <c r="C11048" s="400"/>
      <c r="D11048" s="524"/>
      <c r="E11048" s="544"/>
      <c r="F11048" s="387"/>
      <c r="G11048" s="140"/>
      <c r="H11048" s="74"/>
      <c r="I11048" s="74">
        <f t="shared" si="7"/>
        <v>0</v>
      </c>
      <c r="J11048" s="74" t="str">
        <f>IF(E11048="SERVICE",I11048-(I11048*50%),Vlookup(E11048,DATABASE!C:Q,10,false)*F11048)</f>
        <v>#N/A</v>
      </c>
      <c r="K11048" s="74" t="str">
        <f>VLOOKUP(E11048,DATABASE!C:Q,7,false)</f>
        <v>#N/A</v>
      </c>
      <c r="L11048" s="74"/>
      <c r="M11048" s="74">
        <f t="shared" si="6"/>
        <v>0</v>
      </c>
      <c r="N11048" s="74" t="str">
        <f t="shared" si="9"/>
        <v>#N/A</v>
      </c>
      <c r="O11048" s="65" t="str">
        <f>VLOOKUP(E11048,DATABASE!C:Q,8,false)</f>
        <v>#N/A</v>
      </c>
      <c r="P11048" s="65" t="str">
        <f>VLOOKUP(E11048,DATABASE!C:Q,9,False)</f>
        <v>#N/A</v>
      </c>
      <c r="Q11048" s="93" t="str">
        <f>VLOOKUP(E11048,DATABASE!C:Q,4,false)</f>
        <v>#N/A</v>
      </c>
      <c r="R11048" s="93" t="str">
        <f>VLOOKUP(E11048,DATABASE!C:Q,11,false)</f>
        <v>#N/A</v>
      </c>
    </row>
    <row r="11049" ht="22.5" customHeight="1">
      <c r="A11049" s="49"/>
      <c r="C11049" s="400"/>
      <c r="D11049" s="524"/>
      <c r="E11049" s="544"/>
      <c r="F11049" s="387"/>
      <c r="G11049" s="140"/>
      <c r="H11049" s="74"/>
      <c r="I11049" s="74">
        <f t="shared" si="7"/>
        <v>0</v>
      </c>
      <c r="J11049" s="74" t="str">
        <f>IF(E11049="SERVICE",I11049-(I11049*50%),Vlookup(E11049,DATABASE!C:Q,10,false)*F11049)</f>
        <v>#N/A</v>
      </c>
      <c r="K11049" s="74" t="str">
        <f>VLOOKUP(E11049,DATABASE!C:Q,7,false)</f>
        <v>#N/A</v>
      </c>
      <c r="L11049" s="74"/>
      <c r="M11049" s="74">
        <f t="shared" si="6"/>
        <v>0</v>
      </c>
      <c r="N11049" s="74" t="str">
        <f t="shared" si="9"/>
        <v>#N/A</v>
      </c>
      <c r="O11049" s="65" t="str">
        <f>VLOOKUP(E11049,DATABASE!C:Q,8,false)</f>
        <v>#N/A</v>
      </c>
      <c r="P11049" s="65" t="str">
        <f>VLOOKUP(E11049,DATABASE!C:Q,9,False)</f>
        <v>#N/A</v>
      </c>
      <c r="Q11049" s="93" t="str">
        <f>VLOOKUP(E11049,DATABASE!C:Q,4,false)</f>
        <v>#N/A</v>
      </c>
      <c r="R11049" s="93" t="str">
        <f>VLOOKUP(E11049,DATABASE!C:Q,11,false)</f>
        <v>#N/A</v>
      </c>
    </row>
    <row r="11050" ht="22.5" customHeight="1">
      <c r="A11050" s="49"/>
      <c r="C11050" s="400"/>
      <c r="D11050" s="524"/>
      <c r="E11050" s="544"/>
      <c r="F11050" s="387"/>
      <c r="G11050" s="140"/>
      <c r="H11050" s="74"/>
      <c r="I11050" s="74">
        <f t="shared" si="7"/>
        <v>0</v>
      </c>
      <c r="J11050" s="74" t="str">
        <f>IF(E11050="SERVICE",I11050-(I11050*50%),Vlookup(E11050,DATABASE!C:Q,10,false)*F11050)</f>
        <v>#N/A</v>
      </c>
      <c r="K11050" s="74" t="str">
        <f>VLOOKUP(E11050,DATABASE!C:Q,7,false)</f>
        <v>#N/A</v>
      </c>
      <c r="L11050" s="74"/>
      <c r="M11050" s="74">
        <f t="shared" si="6"/>
        <v>0</v>
      </c>
      <c r="N11050" s="74" t="str">
        <f t="shared" si="9"/>
        <v>#N/A</v>
      </c>
      <c r="O11050" s="65" t="str">
        <f>VLOOKUP(E11050,DATABASE!C:Q,8,false)</f>
        <v>#N/A</v>
      </c>
      <c r="P11050" s="65" t="str">
        <f>VLOOKUP(E11050,DATABASE!C:Q,9,False)</f>
        <v>#N/A</v>
      </c>
      <c r="Q11050" s="93" t="str">
        <f>VLOOKUP(E11050,DATABASE!C:Q,4,false)</f>
        <v>#N/A</v>
      </c>
      <c r="R11050" s="93" t="str">
        <f>VLOOKUP(E11050,DATABASE!C:Q,11,false)</f>
        <v>#N/A</v>
      </c>
    </row>
    <row r="11051" ht="22.5" customHeight="1">
      <c r="A11051" s="49"/>
      <c r="C11051" s="400"/>
      <c r="D11051" s="524"/>
      <c r="E11051" s="544"/>
      <c r="F11051" s="387"/>
      <c r="G11051" s="140"/>
      <c r="H11051" s="74"/>
      <c r="I11051" s="74">
        <f t="shared" si="7"/>
        <v>0</v>
      </c>
      <c r="J11051" s="74" t="str">
        <f>IF(E11051="SERVICE",I11051-(I11051*50%),Vlookup(E11051,DATABASE!C:Q,10,false)*F11051)</f>
        <v>#N/A</v>
      </c>
      <c r="K11051" s="74" t="str">
        <f>VLOOKUP(E11051,DATABASE!C:Q,7,false)</f>
        <v>#N/A</v>
      </c>
      <c r="L11051" s="74"/>
      <c r="M11051" s="74">
        <f t="shared" si="6"/>
        <v>0</v>
      </c>
      <c r="N11051" s="74" t="str">
        <f t="shared" si="9"/>
        <v>#N/A</v>
      </c>
      <c r="O11051" s="65" t="str">
        <f>VLOOKUP(E11051,DATABASE!C:Q,8,false)</f>
        <v>#N/A</v>
      </c>
      <c r="P11051" s="65" t="str">
        <f>VLOOKUP(E11051,DATABASE!C:Q,9,False)</f>
        <v>#N/A</v>
      </c>
      <c r="Q11051" s="93" t="str">
        <f>VLOOKUP(E11051,DATABASE!C:Q,4,false)</f>
        <v>#N/A</v>
      </c>
      <c r="R11051" s="93" t="str">
        <f>VLOOKUP(E11051,DATABASE!C:Q,11,false)</f>
        <v>#N/A</v>
      </c>
    </row>
    <row r="11052" ht="22.5" customHeight="1">
      <c r="A11052" s="49"/>
      <c r="C11052" s="400"/>
      <c r="D11052" s="524"/>
      <c r="E11052" s="544"/>
      <c r="F11052" s="387"/>
      <c r="G11052" s="140"/>
      <c r="H11052" s="74"/>
      <c r="I11052" s="74">
        <f t="shared" si="7"/>
        <v>0</v>
      </c>
      <c r="J11052" s="74" t="str">
        <f>IF(E11052="SERVICE",I11052-(I11052*50%),Vlookup(E11052,DATABASE!C:Q,10,false)*F11052)</f>
        <v>#N/A</v>
      </c>
      <c r="K11052" s="74" t="str">
        <f>VLOOKUP(E11052,DATABASE!C:Q,7,false)</f>
        <v>#N/A</v>
      </c>
      <c r="L11052" s="74"/>
      <c r="M11052" s="74">
        <f t="shared" si="6"/>
        <v>0</v>
      </c>
      <c r="N11052" s="74" t="str">
        <f t="shared" si="9"/>
        <v>#N/A</v>
      </c>
      <c r="O11052" s="65" t="str">
        <f>VLOOKUP(E11052,DATABASE!C:Q,8,false)</f>
        <v>#N/A</v>
      </c>
      <c r="P11052" s="65" t="str">
        <f>VLOOKUP(E11052,DATABASE!C:Q,9,False)</f>
        <v>#N/A</v>
      </c>
      <c r="Q11052" s="93" t="str">
        <f>VLOOKUP(E11052,DATABASE!C:Q,4,false)</f>
        <v>#N/A</v>
      </c>
      <c r="R11052" s="93" t="str">
        <f>VLOOKUP(E11052,DATABASE!C:Q,11,false)</f>
        <v>#N/A</v>
      </c>
    </row>
    <row r="11053" ht="22.5" customHeight="1">
      <c r="A11053" s="49"/>
      <c r="C11053" s="400"/>
      <c r="D11053" s="524"/>
      <c r="E11053" s="544"/>
      <c r="F11053" s="387"/>
      <c r="G11053" s="140"/>
      <c r="H11053" s="74"/>
      <c r="I11053" s="74">
        <f t="shared" si="7"/>
        <v>0</v>
      </c>
      <c r="J11053" s="74" t="str">
        <f>IF(E11053="SERVICE",I11053-(I11053*50%),Vlookup(E11053,DATABASE!C:Q,10,false)*F11053)</f>
        <v>#N/A</v>
      </c>
      <c r="K11053" s="74" t="str">
        <f>VLOOKUP(E11053,DATABASE!C:Q,7,false)</f>
        <v>#N/A</v>
      </c>
      <c r="L11053" s="74"/>
      <c r="M11053" s="74">
        <f t="shared" si="6"/>
        <v>0</v>
      </c>
      <c r="N11053" s="74" t="str">
        <f t="shared" si="9"/>
        <v>#N/A</v>
      </c>
      <c r="O11053" s="65" t="str">
        <f>VLOOKUP(E11053,DATABASE!C:Q,8,false)</f>
        <v>#N/A</v>
      </c>
      <c r="P11053" s="65" t="str">
        <f>VLOOKUP(E11053,DATABASE!C:Q,9,False)</f>
        <v>#N/A</v>
      </c>
      <c r="Q11053" s="93" t="str">
        <f>VLOOKUP(E11053,DATABASE!C:Q,4,false)</f>
        <v>#N/A</v>
      </c>
      <c r="R11053" s="93" t="str">
        <f>VLOOKUP(E11053,DATABASE!C:Q,11,false)</f>
        <v>#N/A</v>
      </c>
    </row>
    <row r="11054" ht="22.5" customHeight="1">
      <c r="A11054" s="49"/>
      <c r="C11054" s="400"/>
      <c r="D11054" s="524"/>
      <c r="E11054" s="544"/>
      <c r="F11054" s="387"/>
      <c r="G11054" s="140"/>
      <c r="H11054" s="74"/>
      <c r="I11054" s="74">
        <f t="shared" si="7"/>
        <v>0</v>
      </c>
      <c r="J11054" s="74" t="str">
        <f>IF(E11054="SERVICE",I11054-(I11054*50%),Vlookup(E11054,DATABASE!C:Q,10,false)*F11054)</f>
        <v>#N/A</v>
      </c>
      <c r="K11054" s="74" t="str">
        <f>VLOOKUP(E11054,DATABASE!C:Q,7,false)</f>
        <v>#N/A</v>
      </c>
      <c r="L11054" s="74"/>
      <c r="M11054" s="74">
        <f t="shared" si="6"/>
        <v>0</v>
      </c>
      <c r="N11054" s="74" t="str">
        <f t="shared" si="9"/>
        <v>#N/A</v>
      </c>
      <c r="O11054" s="65" t="str">
        <f>VLOOKUP(E11054,DATABASE!C:Q,8,false)</f>
        <v>#N/A</v>
      </c>
      <c r="P11054" s="65" t="str">
        <f>VLOOKUP(E11054,DATABASE!C:Q,9,False)</f>
        <v>#N/A</v>
      </c>
      <c r="Q11054" s="93" t="str">
        <f>VLOOKUP(E11054,DATABASE!C:Q,4,false)</f>
        <v>#N/A</v>
      </c>
      <c r="R11054" s="93" t="str">
        <f>VLOOKUP(E11054,DATABASE!C:Q,11,false)</f>
        <v>#N/A</v>
      </c>
    </row>
    <row r="11055" ht="22.5" customHeight="1">
      <c r="A11055" s="49"/>
      <c r="C11055" s="400"/>
      <c r="D11055" s="524"/>
      <c r="E11055" s="544"/>
      <c r="F11055" s="387"/>
      <c r="G11055" s="140"/>
      <c r="H11055" s="74"/>
      <c r="I11055" s="74">
        <f t="shared" si="7"/>
        <v>0</v>
      </c>
      <c r="J11055" s="74" t="str">
        <f>IF(E11055="SERVICE",I11055-(I11055*50%),Vlookup(E11055,DATABASE!C:Q,10,false)*F11055)</f>
        <v>#N/A</v>
      </c>
      <c r="K11055" s="74" t="str">
        <f>VLOOKUP(E11055,DATABASE!C:Q,7,false)</f>
        <v>#N/A</v>
      </c>
      <c r="L11055" s="74"/>
      <c r="M11055" s="74">
        <f t="shared" si="6"/>
        <v>0</v>
      </c>
      <c r="N11055" s="74" t="str">
        <f t="shared" si="9"/>
        <v>#N/A</v>
      </c>
      <c r="O11055" s="65" t="str">
        <f>VLOOKUP(E11055,DATABASE!C:Q,8,false)</f>
        <v>#N/A</v>
      </c>
      <c r="P11055" s="65" t="str">
        <f>VLOOKUP(E11055,DATABASE!C:Q,9,False)</f>
        <v>#N/A</v>
      </c>
      <c r="Q11055" s="93" t="str">
        <f>VLOOKUP(E11055,DATABASE!C:Q,4,false)</f>
        <v>#N/A</v>
      </c>
      <c r="R11055" s="93" t="str">
        <f>VLOOKUP(E11055,DATABASE!C:Q,11,false)</f>
        <v>#N/A</v>
      </c>
    </row>
    <row r="11056" ht="22.5" customHeight="1">
      <c r="A11056" s="49"/>
      <c r="C11056" s="400"/>
      <c r="D11056" s="524"/>
      <c r="E11056" s="544"/>
      <c r="F11056" s="387"/>
      <c r="G11056" s="140"/>
      <c r="H11056" s="74"/>
      <c r="I11056" s="74">
        <f t="shared" si="7"/>
        <v>0</v>
      </c>
      <c r="J11056" s="74" t="str">
        <f>IF(E11056="SERVICE",I11056-(I11056*50%),Vlookup(E11056,DATABASE!C:Q,10,false)*F11056)</f>
        <v>#N/A</v>
      </c>
      <c r="K11056" s="74" t="str">
        <f>VLOOKUP(E11056,DATABASE!C:Q,7,false)</f>
        <v>#N/A</v>
      </c>
      <c r="L11056" s="74"/>
      <c r="M11056" s="74">
        <f t="shared" si="6"/>
        <v>0</v>
      </c>
      <c r="N11056" s="74" t="str">
        <f t="shared" si="9"/>
        <v>#N/A</v>
      </c>
      <c r="O11056" s="65" t="str">
        <f>VLOOKUP(E11056,DATABASE!C:Q,8,false)</f>
        <v>#N/A</v>
      </c>
      <c r="P11056" s="65" t="str">
        <f>VLOOKUP(E11056,DATABASE!C:Q,9,False)</f>
        <v>#N/A</v>
      </c>
      <c r="Q11056" s="93" t="str">
        <f>VLOOKUP(E11056,DATABASE!C:Q,4,false)</f>
        <v>#N/A</v>
      </c>
      <c r="R11056" s="93" t="str">
        <f>VLOOKUP(E11056,DATABASE!C:Q,11,false)</f>
        <v>#N/A</v>
      </c>
    </row>
    <row r="11057" ht="22.5" customHeight="1">
      <c r="A11057" s="49"/>
      <c r="C11057" s="400"/>
      <c r="D11057" s="524"/>
      <c r="E11057" s="544"/>
      <c r="F11057" s="387"/>
      <c r="G11057" s="140"/>
      <c r="H11057" s="74"/>
      <c r="I11057" s="74">
        <f t="shared" si="7"/>
        <v>0</v>
      </c>
      <c r="J11057" s="74" t="str">
        <f>IF(E11057="SERVICE",I11057-(I11057*50%),Vlookup(E11057,DATABASE!C:Q,10,false)*F11057)</f>
        <v>#N/A</v>
      </c>
      <c r="K11057" s="74" t="str">
        <f>VLOOKUP(E11057,DATABASE!C:Q,7,false)</f>
        <v>#N/A</v>
      </c>
      <c r="L11057" s="74"/>
      <c r="M11057" s="74">
        <f t="shared" si="6"/>
        <v>0</v>
      </c>
      <c r="N11057" s="74" t="str">
        <f t="shared" si="9"/>
        <v>#N/A</v>
      </c>
      <c r="O11057" s="65" t="str">
        <f>VLOOKUP(E11057,DATABASE!C:Q,8,false)</f>
        <v>#N/A</v>
      </c>
      <c r="P11057" s="65" t="str">
        <f>VLOOKUP(E11057,DATABASE!C:Q,9,False)</f>
        <v>#N/A</v>
      </c>
      <c r="Q11057" s="93" t="str">
        <f>VLOOKUP(E11057,DATABASE!C:Q,4,false)</f>
        <v>#N/A</v>
      </c>
      <c r="R11057" s="93" t="str">
        <f>VLOOKUP(E11057,DATABASE!C:Q,11,false)</f>
        <v>#N/A</v>
      </c>
    </row>
    <row r="11058" ht="22.5" customHeight="1">
      <c r="A11058" s="49"/>
      <c r="C11058" s="400"/>
      <c r="D11058" s="524"/>
      <c r="E11058" s="544"/>
      <c r="F11058" s="387"/>
      <c r="G11058" s="140"/>
      <c r="H11058" s="74"/>
      <c r="I11058" s="74">
        <f t="shared" si="7"/>
        <v>0</v>
      </c>
      <c r="J11058" s="74" t="str">
        <f>IF(E11058="SERVICE",I11058-(I11058*50%),Vlookup(E11058,DATABASE!C:Q,10,false)*F11058)</f>
        <v>#N/A</v>
      </c>
      <c r="K11058" s="74" t="str">
        <f>VLOOKUP(E11058,DATABASE!C:Q,7,false)</f>
        <v>#N/A</v>
      </c>
      <c r="L11058" s="74"/>
      <c r="M11058" s="74">
        <f t="shared" si="6"/>
        <v>0</v>
      </c>
      <c r="N11058" s="74" t="str">
        <f t="shared" si="9"/>
        <v>#N/A</v>
      </c>
      <c r="O11058" s="65" t="str">
        <f>VLOOKUP(E11058,DATABASE!C:Q,8,false)</f>
        <v>#N/A</v>
      </c>
      <c r="P11058" s="65" t="str">
        <f>VLOOKUP(E11058,DATABASE!C:Q,9,False)</f>
        <v>#N/A</v>
      </c>
      <c r="Q11058" s="93" t="str">
        <f>VLOOKUP(E11058,DATABASE!C:Q,4,false)</f>
        <v>#N/A</v>
      </c>
      <c r="R11058" s="93" t="str">
        <f>VLOOKUP(E11058,DATABASE!C:Q,11,false)</f>
        <v>#N/A</v>
      </c>
    </row>
    <row r="11059" ht="22.5" customHeight="1">
      <c r="A11059" s="49"/>
      <c r="C11059" s="400"/>
      <c r="D11059" s="524"/>
      <c r="E11059" s="544"/>
      <c r="F11059" s="387"/>
      <c r="G11059" s="140"/>
      <c r="H11059" s="74"/>
      <c r="I11059" s="74">
        <f t="shared" si="7"/>
        <v>0</v>
      </c>
      <c r="J11059" s="74" t="str">
        <f>IF(E11059="SERVICE",I11059-(I11059*50%),Vlookup(E11059,DATABASE!C:Q,10,false)*F11059)</f>
        <v>#N/A</v>
      </c>
      <c r="K11059" s="74" t="str">
        <f>VLOOKUP(E11059,DATABASE!C:Q,7,false)</f>
        <v>#N/A</v>
      </c>
      <c r="L11059" s="74"/>
      <c r="M11059" s="74">
        <f t="shared" si="6"/>
        <v>0</v>
      </c>
      <c r="N11059" s="74" t="str">
        <f t="shared" si="9"/>
        <v>#N/A</v>
      </c>
      <c r="O11059" s="65" t="str">
        <f>VLOOKUP(E11059,DATABASE!C:Q,8,false)</f>
        <v>#N/A</v>
      </c>
      <c r="P11059" s="65" t="str">
        <f>VLOOKUP(E11059,DATABASE!C:Q,9,False)</f>
        <v>#N/A</v>
      </c>
      <c r="Q11059" s="93" t="str">
        <f>VLOOKUP(E11059,DATABASE!C:Q,4,false)</f>
        <v>#N/A</v>
      </c>
      <c r="R11059" s="93" t="str">
        <f>VLOOKUP(E11059,DATABASE!C:Q,11,false)</f>
        <v>#N/A</v>
      </c>
    </row>
    <row r="11060" ht="22.5" customHeight="1">
      <c r="A11060" s="49"/>
      <c r="C11060" s="400"/>
      <c r="D11060" s="524"/>
      <c r="E11060" s="544"/>
      <c r="F11060" s="387"/>
      <c r="G11060" s="140"/>
      <c r="H11060" s="74"/>
      <c r="I11060" s="74">
        <f t="shared" si="7"/>
        <v>0</v>
      </c>
      <c r="J11060" s="74" t="str">
        <f>IF(E11060="SERVICE",I11060-(I11060*50%),Vlookup(E11060,DATABASE!C:Q,10,false)*F11060)</f>
        <v>#N/A</v>
      </c>
      <c r="K11060" s="74" t="str">
        <f>VLOOKUP(E11060,DATABASE!C:Q,7,false)</f>
        <v>#N/A</v>
      </c>
      <c r="L11060" s="74"/>
      <c r="M11060" s="74">
        <f t="shared" si="6"/>
        <v>0</v>
      </c>
      <c r="N11060" s="74" t="str">
        <f t="shared" si="9"/>
        <v>#N/A</v>
      </c>
      <c r="O11060" s="65" t="str">
        <f>VLOOKUP(E11060,DATABASE!C:Q,8,false)</f>
        <v>#N/A</v>
      </c>
      <c r="P11060" s="65" t="str">
        <f>VLOOKUP(E11060,DATABASE!C:Q,9,False)</f>
        <v>#N/A</v>
      </c>
      <c r="Q11060" s="93" t="str">
        <f>VLOOKUP(E11060,DATABASE!C:Q,4,false)</f>
        <v>#N/A</v>
      </c>
      <c r="R11060" s="93" t="str">
        <f>VLOOKUP(E11060,DATABASE!C:Q,11,false)</f>
        <v>#N/A</v>
      </c>
    </row>
    <row r="11061" ht="22.5" customHeight="1">
      <c r="A11061" s="49"/>
      <c r="C11061" s="400"/>
      <c r="D11061" s="524"/>
      <c r="E11061" s="544"/>
      <c r="F11061" s="387"/>
      <c r="G11061" s="140"/>
      <c r="H11061" s="74"/>
      <c r="I11061" s="74">
        <f t="shared" si="7"/>
        <v>0</v>
      </c>
      <c r="J11061" s="74" t="str">
        <f>IF(E11061="SERVICE",I11061-(I11061*50%),Vlookup(E11061,DATABASE!C:Q,10,false)*F11061)</f>
        <v>#N/A</v>
      </c>
      <c r="K11061" s="74" t="str">
        <f>VLOOKUP(E11061,DATABASE!C:Q,7,false)</f>
        <v>#N/A</v>
      </c>
      <c r="L11061" s="74"/>
      <c r="M11061" s="74">
        <f t="shared" si="6"/>
        <v>0</v>
      </c>
      <c r="N11061" s="74" t="str">
        <f t="shared" si="9"/>
        <v>#N/A</v>
      </c>
      <c r="O11061" s="65" t="str">
        <f>VLOOKUP(E11061,DATABASE!C:Q,8,false)</f>
        <v>#N/A</v>
      </c>
      <c r="P11061" s="65" t="str">
        <f>VLOOKUP(E11061,DATABASE!C:Q,9,False)</f>
        <v>#N/A</v>
      </c>
      <c r="Q11061" s="93" t="str">
        <f>VLOOKUP(E11061,DATABASE!C:Q,4,false)</f>
        <v>#N/A</v>
      </c>
      <c r="R11061" s="93" t="str">
        <f>VLOOKUP(E11061,DATABASE!C:Q,11,false)</f>
        <v>#N/A</v>
      </c>
    </row>
    <row r="11062" ht="22.5" customHeight="1">
      <c r="A11062" s="49"/>
      <c r="C11062" s="400"/>
      <c r="D11062" s="524"/>
      <c r="E11062" s="544"/>
      <c r="F11062" s="387"/>
      <c r="G11062" s="140"/>
      <c r="H11062" s="74"/>
      <c r="I11062" s="74">
        <f t="shared" si="7"/>
        <v>0</v>
      </c>
      <c r="J11062" s="74" t="str">
        <f>IF(E11062="SERVICE",I11062-(I11062*50%),Vlookup(E11062,DATABASE!C:Q,10,false)*F11062)</f>
        <v>#N/A</v>
      </c>
      <c r="K11062" s="74" t="str">
        <f>VLOOKUP(E11062,DATABASE!C:Q,7,false)</f>
        <v>#N/A</v>
      </c>
      <c r="L11062" s="74"/>
      <c r="M11062" s="74">
        <f t="shared" si="6"/>
        <v>0</v>
      </c>
      <c r="N11062" s="74" t="str">
        <f t="shared" si="9"/>
        <v>#N/A</v>
      </c>
      <c r="O11062" s="65" t="str">
        <f>VLOOKUP(E11062,DATABASE!C:Q,8,false)</f>
        <v>#N/A</v>
      </c>
      <c r="P11062" s="65" t="str">
        <f>VLOOKUP(E11062,DATABASE!C:Q,9,False)</f>
        <v>#N/A</v>
      </c>
      <c r="Q11062" s="93" t="str">
        <f>VLOOKUP(E11062,DATABASE!C:Q,4,false)</f>
        <v>#N/A</v>
      </c>
      <c r="R11062" s="93" t="str">
        <f>VLOOKUP(E11062,DATABASE!C:Q,11,false)</f>
        <v>#N/A</v>
      </c>
    </row>
    <row r="11063" ht="22.5" customHeight="1">
      <c r="A11063" s="49"/>
      <c r="C11063" s="400"/>
      <c r="D11063" s="524"/>
      <c r="E11063" s="544"/>
      <c r="F11063" s="387"/>
      <c r="G11063" s="140"/>
      <c r="H11063" s="74"/>
      <c r="I11063" s="74">
        <f t="shared" si="7"/>
        <v>0</v>
      </c>
      <c r="J11063" s="74" t="str">
        <f>IF(E11063="SERVICE",I11063-(I11063*50%),Vlookup(E11063,DATABASE!C:Q,10,false)*F11063)</f>
        <v>#N/A</v>
      </c>
      <c r="K11063" s="74" t="str">
        <f>VLOOKUP(E11063,DATABASE!C:Q,7,false)</f>
        <v>#N/A</v>
      </c>
      <c r="L11063" s="74"/>
      <c r="M11063" s="74">
        <f t="shared" si="6"/>
        <v>0</v>
      </c>
      <c r="N11063" s="74" t="str">
        <f t="shared" si="9"/>
        <v>#N/A</v>
      </c>
      <c r="O11063" s="65" t="str">
        <f>VLOOKUP(E11063,DATABASE!C:Q,8,false)</f>
        <v>#N/A</v>
      </c>
      <c r="P11063" s="65" t="str">
        <f>VLOOKUP(E11063,DATABASE!C:Q,9,False)</f>
        <v>#N/A</v>
      </c>
      <c r="Q11063" s="93" t="str">
        <f>VLOOKUP(E11063,DATABASE!C:Q,4,false)</f>
        <v>#N/A</v>
      </c>
      <c r="R11063" s="93" t="str">
        <f>VLOOKUP(E11063,DATABASE!C:Q,11,false)</f>
        <v>#N/A</v>
      </c>
    </row>
    <row r="11064" ht="22.5" customHeight="1">
      <c r="A11064" s="49"/>
      <c r="C11064" s="400"/>
      <c r="D11064" s="524"/>
      <c r="E11064" s="544"/>
      <c r="F11064" s="387"/>
      <c r="G11064" s="140"/>
      <c r="H11064" s="74"/>
      <c r="I11064" s="74">
        <f t="shared" si="7"/>
        <v>0</v>
      </c>
      <c r="J11064" s="74" t="str">
        <f>IF(E11064="SERVICE",I11064-(I11064*50%),Vlookup(E11064,DATABASE!C:Q,10,false)*F11064)</f>
        <v>#N/A</v>
      </c>
      <c r="K11064" s="74" t="str">
        <f>VLOOKUP(E11064,DATABASE!C:Q,7,false)</f>
        <v>#N/A</v>
      </c>
      <c r="L11064" s="74"/>
      <c r="M11064" s="74">
        <f t="shared" si="6"/>
        <v>0</v>
      </c>
      <c r="N11064" s="74" t="str">
        <f t="shared" si="9"/>
        <v>#N/A</v>
      </c>
      <c r="O11064" s="65" t="str">
        <f>VLOOKUP(E11064,DATABASE!C:Q,8,false)</f>
        <v>#N/A</v>
      </c>
      <c r="P11064" s="65" t="str">
        <f>VLOOKUP(E11064,DATABASE!C:Q,9,False)</f>
        <v>#N/A</v>
      </c>
      <c r="Q11064" s="93" t="str">
        <f>VLOOKUP(E11064,DATABASE!C:Q,4,false)</f>
        <v>#N/A</v>
      </c>
      <c r="R11064" s="93" t="str">
        <f>VLOOKUP(E11064,DATABASE!C:Q,11,false)</f>
        <v>#N/A</v>
      </c>
    </row>
    <row r="11065" ht="22.5" customHeight="1">
      <c r="A11065" s="49"/>
      <c r="C11065" s="400"/>
      <c r="D11065" s="524"/>
      <c r="E11065" s="544"/>
      <c r="F11065" s="387"/>
      <c r="G11065" s="140"/>
      <c r="H11065" s="74"/>
      <c r="I11065" s="74">
        <f t="shared" si="7"/>
        <v>0</v>
      </c>
      <c r="J11065" s="74" t="str">
        <f>IF(E11065="SERVICE",I11065-(I11065*50%),Vlookup(E11065,DATABASE!C:Q,10,false)*F11065)</f>
        <v>#N/A</v>
      </c>
      <c r="K11065" s="74" t="str">
        <f>VLOOKUP(E11065,DATABASE!C:Q,7,false)</f>
        <v>#N/A</v>
      </c>
      <c r="L11065" s="74"/>
      <c r="M11065" s="74">
        <f t="shared" si="6"/>
        <v>0</v>
      </c>
      <c r="N11065" s="74" t="str">
        <f t="shared" si="9"/>
        <v>#N/A</v>
      </c>
      <c r="O11065" s="65" t="str">
        <f>VLOOKUP(E11065,DATABASE!C:Q,8,false)</f>
        <v>#N/A</v>
      </c>
      <c r="P11065" s="65" t="str">
        <f>VLOOKUP(E11065,DATABASE!C:Q,9,False)</f>
        <v>#N/A</v>
      </c>
      <c r="Q11065" s="93" t="str">
        <f>VLOOKUP(E11065,DATABASE!C:Q,4,false)</f>
        <v>#N/A</v>
      </c>
      <c r="R11065" s="93" t="str">
        <f>VLOOKUP(E11065,DATABASE!C:Q,11,false)</f>
        <v>#N/A</v>
      </c>
    </row>
    <row r="11066" ht="22.5" customHeight="1">
      <c r="A11066" s="49"/>
      <c r="C11066" s="400"/>
      <c r="D11066" s="524"/>
      <c r="E11066" s="544"/>
      <c r="F11066" s="387"/>
      <c r="G11066" s="140"/>
      <c r="H11066" s="74"/>
      <c r="I11066" s="74">
        <f t="shared" si="7"/>
        <v>0</v>
      </c>
      <c r="J11066" s="74" t="str">
        <f>IF(E11066="SERVICE",I11066-(I11066*50%),Vlookup(E11066,DATABASE!C:Q,10,false)*F11066)</f>
        <v>#N/A</v>
      </c>
      <c r="K11066" s="74" t="str">
        <f>VLOOKUP(E11066,DATABASE!C:Q,7,false)</f>
        <v>#N/A</v>
      </c>
      <c r="L11066" s="74"/>
      <c r="M11066" s="74">
        <f t="shared" si="6"/>
        <v>0</v>
      </c>
      <c r="N11066" s="74" t="str">
        <f t="shared" si="9"/>
        <v>#N/A</v>
      </c>
      <c r="O11066" s="65" t="str">
        <f>VLOOKUP(E11066,DATABASE!C:Q,8,false)</f>
        <v>#N/A</v>
      </c>
      <c r="P11066" s="65" t="str">
        <f>VLOOKUP(E11066,DATABASE!C:Q,9,False)</f>
        <v>#N/A</v>
      </c>
      <c r="Q11066" s="93" t="str">
        <f>VLOOKUP(E11066,DATABASE!C:Q,4,false)</f>
        <v>#N/A</v>
      </c>
      <c r="R11066" s="93" t="str">
        <f>VLOOKUP(E11066,DATABASE!C:Q,11,false)</f>
        <v>#N/A</v>
      </c>
    </row>
    <row r="11067" ht="22.5" customHeight="1">
      <c r="A11067" s="49"/>
      <c r="C11067" s="400"/>
      <c r="D11067" s="524"/>
      <c r="E11067" s="544"/>
      <c r="F11067" s="387"/>
      <c r="G11067" s="140"/>
      <c r="H11067" s="74"/>
      <c r="I11067" s="74">
        <f t="shared" si="7"/>
        <v>0</v>
      </c>
      <c r="J11067" s="74" t="str">
        <f>IF(E11067="SERVICE",I11067-(I11067*50%),Vlookup(E11067,DATABASE!C:Q,10,false)*F11067)</f>
        <v>#N/A</v>
      </c>
      <c r="K11067" s="74" t="str">
        <f>VLOOKUP(E11067,DATABASE!C:Q,7,false)</f>
        <v>#N/A</v>
      </c>
      <c r="L11067" s="74"/>
      <c r="M11067" s="74">
        <f t="shared" si="6"/>
        <v>0</v>
      </c>
      <c r="N11067" s="74" t="str">
        <f t="shared" si="9"/>
        <v>#N/A</v>
      </c>
      <c r="O11067" s="65" t="str">
        <f>VLOOKUP(E11067,DATABASE!C:Q,8,false)</f>
        <v>#N/A</v>
      </c>
      <c r="P11067" s="65" t="str">
        <f>VLOOKUP(E11067,DATABASE!C:Q,9,False)</f>
        <v>#N/A</v>
      </c>
      <c r="Q11067" s="93" t="str">
        <f>VLOOKUP(E11067,DATABASE!C:Q,4,false)</f>
        <v>#N/A</v>
      </c>
      <c r="R11067" s="93" t="str">
        <f>VLOOKUP(E11067,DATABASE!C:Q,11,false)</f>
        <v>#N/A</v>
      </c>
    </row>
    <row r="11068" ht="22.5" customHeight="1">
      <c r="A11068" s="49"/>
      <c r="C11068" s="400"/>
      <c r="D11068" s="524"/>
      <c r="E11068" s="544"/>
      <c r="F11068" s="387"/>
      <c r="G11068" s="140"/>
      <c r="H11068" s="74"/>
      <c r="I11068" s="74">
        <f t="shared" si="7"/>
        <v>0</v>
      </c>
      <c r="J11068" s="74" t="str">
        <f>IF(E11068="SERVICE",I11068-(I11068*50%),Vlookup(E11068,DATABASE!C:Q,10,false)*F11068)</f>
        <v>#N/A</v>
      </c>
      <c r="K11068" s="74" t="str">
        <f>VLOOKUP(E11068,DATABASE!C:Q,7,false)</f>
        <v>#N/A</v>
      </c>
      <c r="L11068" s="74"/>
      <c r="M11068" s="74">
        <f t="shared" si="6"/>
        <v>0</v>
      </c>
      <c r="N11068" s="74" t="str">
        <f t="shared" si="9"/>
        <v>#N/A</v>
      </c>
      <c r="O11068" s="65" t="str">
        <f>VLOOKUP(E11068,DATABASE!C:Q,8,false)</f>
        <v>#N/A</v>
      </c>
      <c r="P11068" s="65" t="str">
        <f>VLOOKUP(E11068,DATABASE!C:Q,9,False)</f>
        <v>#N/A</v>
      </c>
      <c r="Q11068" s="93" t="str">
        <f>VLOOKUP(E11068,DATABASE!C:Q,4,false)</f>
        <v>#N/A</v>
      </c>
      <c r="R11068" s="93" t="str">
        <f>VLOOKUP(E11068,DATABASE!C:Q,11,false)</f>
        <v>#N/A</v>
      </c>
    </row>
    <row r="11069" ht="22.5" customHeight="1">
      <c r="A11069" s="49"/>
      <c r="C11069" s="400"/>
      <c r="D11069" s="524"/>
      <c r="E11069" s="544"/>
      <c r="F11069" s="387"/>
      <c r="G11069" s="140"/>
      <c r="H11069" s="74"/>
      <c r="I11069" s="74">
        <f t="shared" si="7"/>
        <v>0</v>
      </c>
      <c r="J11069" s="74" t="str">
        <f>IF(E11069="SERVICE",I11069-(I11069*50%),Vlookup(E11069,DATABASE!C:Q,10,false)*F11069)</f>
        <v>#N/A</v>
      </c>
      <c r="K11069" s="74" t="str">
        <f>VLOOKUP(E11069,DATABASE!C:Q,7,false)</f>
        <v>#N/A</v>
      </c>
      <c r="L11069" s="74"/>
      <c r="M11069" s="74">
        <f t="shared" si="6"/>
        <v>0</v>
      </c>
      <c r="N11069" s="74" t="str">
        <f t="shared" si="9"/>
        <v>#N/A</v>
      </c>
      <c r="O11069" s="65" t="str">
        <f>VLOOKUP(E11069,DATABASE!C:Q,8,false)</f>
        <v>#N/A</v>
      </c>
      <c r="P11069" s="65" t="str">
        <f>VLOOKUP(E11069,DATABASE!C:Q,9,False)</f>
        <v>#N/A</v>
      </c>
      <c r="Q11069" s="93" t="str">
        <f>VLOOKUP(E11069,DATABASE!C:Q,4,false)</f>
        <v>#N/A</v>
      </c>
      <c r="R11069" s="93" t="str">
        <f>VLOOKUP(E11069,DATABASE!C:Q,11,false)</f>
        <v>#N/A</v>
      </c>
    </row>
    <row r="11070" ht="22.5" customHeight="1">
      <c r="A11070" s="49"/>
      <c r="C11070" s="400"/>
      <c r="D11070" s="524"/>
      <c r="E11070" s="544"/>
      <c r="F11070" s="387"/>
      <c r="G11070" s="140"/>
      <c r="H11070" s="74"/>
      <c r="I11070" s="74">
        <f t="shared" si="7"/>
        <v>0</v>
      </c>
      <c r="J11070" s="74" t="str">
        <f>IF(E11070="SERVICE",I11070-(I11070*50%),Vlookup(E11070,DATABASE!C:Q,10,false)*F11070)</f>
        <v>#N/A</v>
      </c>
      <c r="K11070" s="74" t="str">
        <f>VLOOKUP(E11070,DATABASE!C:Q,7,false)</f>
        <v>#N/A</v>
      </c>
      <c r="L11070" s="74"/>
      <c r="M11070" s="74">
        <f t="shared" si="6"/>
        <v>0</v>
      </c>
      <c r="N11070" s="74" t="str">
        <f t="shared" si="9"/>
        <v>#N/A</v>
      </c>
      <c r="O11070" s="65" t="str">
        <f>VLOOKUP(E11070,DATABASE!C:Q,8,false)</f>
        <v>#N/A</v>
      </c>
      <c r="P11070" s="65" t="str">
        <f>VLOOKUP(E11070,DATABASE!C:Q,9,False)</f>
        <v>#N/A</v>
      </c>
      <c r="Q11070" s="93" t="str">
        <f>VLOOKUP(E11070,DATABASE!C:Q,4,false)</f>
        <v>#N/A</v>
      </c>
      <c r="R11070" s="93" t="str">
        <f>VLOOKUP(E11070,DATABASE!C:Q,11,false)</f>
        <v>#N/A</v>
      </c>
    </row>
    <row r="11071" ht="22.5" customHeight="1">
      <c r="A11071" s="49"/>
      <c r="C11071" s="400"/>
      <c r="D11071" s="524"/>
      <c r="E11071" s="544"/>
      <c r="F11071" s="387"/>
      <c r="G11071" s="140"/>
      <c r="H11071" s="74"/>
      <c r="I11071" s="74">
        <f t="shared" si="7"/>
        <v>0</v>
      </c>
      <c r="J11071" s="74" t="str">
        <f>IF(E11071="SERVICE",I11071-(I11071*50%),Vlookup(E11071,DATABASE!C:Q,10,false)*F11071)</f>
        <v>#N/A</v>
      </c>
      <c r="K11071" s="74" t="str">
        <f>VLOOKUP(E11071,DATABASE!C:Q,7,false)</f>
        <v>#N/A</v>
      </c>
      <c r="L11071" s="74"/>
      <c r="M11071" s="74">
        <f t="shared" si="6"/>
        <v>0</v>
      </c>
      <c r="N11071" s="74" t="str">
        <f t="shared" si="9"/>
        <v>#N/A</v>
      </c>
      <c r="O11071" s="65" t="str">
        <f>VLOOKUP(E11071,DATABASE!C:Q,8,false)</f>
        <v>#N/A</v>
      </c>
      <c r="P11071" s="65" t="str">
        <f>VLOOKUP(E11071,DATABASE!C:Q,9,False)</f>
        <v>#N/A</v>
      </c>
      <c r="Q11071" s="93" t="str">
        <f>VLOOKUP(E11071,DATABASE!C:Q,4,false)</f>
        <v>#N/A</v>
      </c>
      <c r="R11071" s="93" t="str">
        <f>VLOOKUP(E11071,DATABASE!C:Q,11,false)</f>
        <v>#N/A</v>
      </c>
    </row>
    <row r="11072" ht="22.5" customHeight="1">
      <c r="A11072" s="49"/>
      <c r="C11072" s="400"/>
      <c r="D11072" s="524"/>
      <c r="E11072" s="544"/>
      <c r="F11072" s="387"/>
      <c r="G11072" s="140"/>
      <c r="H11072" s="74"/>
      <c r="I11072" s="74">
        <f t="shared" si="7"/>
        <v>0</v>
      </c>
      <c r="J11072" s="74" t="str">
        <f>IF(E11072="SERVICE",I11072-(I11072*50%),Vlookup(E11072,DATABASE!C:Q,10,false)*F11072)</f>
        <v>#N/A</v>
      </c>
      <c r="K11072" s="74" t="str">
        <f>VLOOKUP(E11072,DATABASE!C:Q,7,false)</f>
        <v>#N/A</v>
      </c>
      <c r="L11072" s="74"/>
      <c r="M11072" s="74">
        <f t="shared" si="6"/>
        <v>0</v>
      </c>
      <c r="N11072" s="74" t="str">
        <f t="shared" si="9"/>
        <v>#N/A</v>
      </c>
      <c r="O11072" s="65" t="str">
        <f>VLOOKUP(E11072,DATABASE!C:Q,8,false)</f>
        <v>#N/A</v>
      </c>
      <c r="P11072" s="65" t="str">
        <f>VLOOKUP(E11072,DATABASE!C:Q,9,False)</f>
        <v>#N/A</v>
      </c>
      <c r="Q11072" s="93" t="str">
        <f>VLOOKUP(E11072,DATABASE!C:Q,4,false)</f>
        <v>#N/A</v>
      </c>
      <c r="R11072" s="93" t="str">
        <f>VLOOKUP(E11072,DATABASE!C:Q,11,false)</f>
        <v>#N/A</v>
      </c>
    </row>
    <row r="11073" ht="22.5" customHeight="1">
      <c r="A11073" s="49"/>
      <c r="C11073" s="400"/>
      <c r="D11073" s="524"/>
      <c r="E11073" s="544"/>
      <c r="F11073" s="387"/>
      <c r="G11073" s="140"/>
      <c r="H11073" s="74"/>
      <c r="I11073" s="74">
        <f t="shared" si="7"/>
        <v>0</v>
      </c>
      <c r="J11073" s="74" t="str">
        <f>IF(E11073="SERVICE",I11073-(I11073*50%),Vlookup(E11073,DATABASE!C:Q,10,false)*F11073)</f>
        <v>#N/A</v>
      </c>
      <c r="K11073" s="74" t="str">
        <f>VLOOKUP(E11073,DATABASE!C:Q,7,false)</f>
        <v>#N/A</v>
      </c>
      <c r="L11073" s="74"/>
      <c r="M11073" s="74">
        <f t="shared" si="6"/>
        <v>0</v>
      </c>
      <c r="N11073" s="74" t="str">
        <f t="shared" si="9"/>
        <v>#N/A</v>
      </c>
      <c r="O11073" s="65" t="str">
        <f>VLOOKUP(E11073,DATABASE!C:Q,8,false)</f>
        <v>#N/A</v>
      </c>
      <c r="P11073" s="65" t="str">
        <f>VLOOKUP(E11073,DATABASE!C:Q,9,False)</f>
        <v>#N/A</v>
      </c>
      <c r="Q11073" s="93" t="str">
        <f>VLOOKUP(E11073,DATABASE!C:Q,4,false)</f>
        <v>#N/A</v>
      </c>
      <c r="R11073" s="93" t="str">
        <f>VLOOKUP(E11073,DATABASE!C:Q,11,false)</f>
        <v>#N/A</v>
      </c>
    </row>
    <row r="11074" ht="22.5" customHeight="1">
      <c r="A11074" s="49"/>
      <c r="C11074" s="400"/>
      <c r="D11074" s="524"/>
      <c r="E11074" s="544"/>
      <c r="F11074" s="387"/>
      <c r="G11074" s="140"/>
      <c r="H11074" s="74"/>
      <c r="I11074" s="74">
        <f t="shared" si="7"/>
        <v>0</v>
      </c>
      <c r="J11074" s="74" t="str">
        <f>IF(E11074="SERVICE",I11074-(I11074*50%),Vlookup(E11074,DATABASE!C:Q,10,false)*F11074)</f>
        <v>#N/A</v>
      </c>
      <c r="K11074" s="74" t="str">
        <f>VLOOKUP(E11074,DATABASE!C:Q,7,false)</f>
        <v>#N/A</v>
      </c>
      <c r="L11074" s="74"/>
      <c r="M11074" s="74">
        <f t="shared" si="6"/>
        <v>0</v>
      </c>
      <c r="N11074" s="74" t="str">
        <f t="shared" si="9"/>
        <v>#N/A</v>
      </c>
      <c r="O11074" s="65" t="str">
        <f>VLOOKUP(E11074,DATABASE!C:Q,8,false)</f>
        <v>#N/A</v>
      </c>
      <c r="P11074" s="65" t="str">
        <f>VLOOKUP(E11074,DATABASE!C:Q,9,False)</f>
        <v>#N/A</v>
      </c>
      <c r="Q11074" s="93" t="str">
        <f>VLOOKUP(E11074,DATABASE!C:Q,4,false)</f>
        <v>#N/A</v>
      </c>
      <c r="R11074" s="93" t="str">
        <f>VLOOKUP(E11074,DATABASE!C:Q,11,false)</f>
        <v>#N/A</v>
      </c>
    </row>
    <row r="11075" ht="22.5" customHeight="1">
      <c r="A11075" s="49"/>
      <c r="C11075" s="400"/>
      <c r="D11075" s="524"/>
      <c r="E11075" s="544"/>
      <c r="F11075" s="387"/>
      <c r="G11075" s="140"/>
      <c r="H11075" s="74"/>
      <c r="I11075" s="74">
        <f t="shared" si="7"/>
        <v>0</v>
      </c>
      <c r="J11075" s="74" t="str">
        <f>IF(E11075="SERVICE",I11075-(I11075*50%),Vlookup(E11075,DATABASE!C:Q,10,false)*F11075)</f>
        <v>#N/A</v>
      </c>
      <c r="K11075" s="74" t="str">
        <f>VLOOKUP(E11075,DATABASE!C:Q,7,false)</f>
        <v>#N/A</v>
      </c>
      <c r="L11075" s="74"/>
      <c r="M11075" s="74">
        <f t="shared" si="6"/>
        <v>0</v>
      </c>
      <c r="N11075" s="74" t="str">
        <f t="shared" si="9"/>
        <v>#N/A</v>
      </c>
      <c r="O11075" s="65" t="str">
        <f>VLOOKUP(E11075,DATABASE!C:Q,8,false)</f>
        <v>#N/A</v>
      </c>
      <c r="P11075" s="65" t="str">
        <f>VLOOKUP(E11075,DATABASE!C:Q,9,False)</f>
        <v>#N/A</v>
      </c>
      <c r="Q11075" s="93" t="str">
        <f>VLOOKUP(E11075,DATABASE!C:Q,4,false)</f>
        <v>#N/A</v>
      </c>
      <c r="R11075" s="93" t="str">
        <f>VLOOKUP(E11075,DATABASE!C:Q,11,false)</f>
        <v>#N/A</v>
      </c>
    </row>
    <row r="11076" ht="22.5" customHeight="1">
      <c r="A11076" s="49"/>
      <c r="C11076" s="400"/>
      <c r="D11076" s="524"/>
      <c r="E11076" s="544"/>
      <c r="F11076" s="387"/>
      <c r="G11076" s="140"/>
      <c r="H11076" s="74"/>
      <c r="I11076" s="74">
        <f t="shared" si="7"/>
        <v>0</v>
      </c>
      <c r="J11076" s="74" t="str">
        <f>IF(E11076="SERVICE",I11076-(I11076*50%),Vlookup(E11076,DATABASE!C:Q,10,false)*F11076)</f>
        <v>#N/A</v>
      </c>
      <c r="K11076" s="74" t="str">
        <f>VLOOKUP(E11076,DATABASE!C:Q,7,false)</f>
        <v>#N/A</v>
      </c>
      <c r="L11076" s="74"/>
      <c r="M11076" s="74">
        <f t="shared" si="6"/>
        <v>0</v>
      </c>
      <c r="N11076" s="74" t="str">
        <f t="shared" si="9"/>
        <v>#N/A</v>
      </c>
      <c r="O11076" s="65" t="str">
        <f>VLOOKUP(E11076,DATABASE!C:Q,8,false)</f>
        <v>#N/A</v>
      </c>
      <c r="P11076" s="65" t="str">
        <f>VLOOKUP(E11076,DATABASE!C:Q,9,False)</f>
        <v>#N/A</v>
      </c>
      <c r="Q11076" s="93" t="str">
        <f>VLOOKUP(E11076,DATABASE!C:Q,4,false)</f>
        <v>#N/A</v>
      </c>
      <c r="R11076" s="93" t="str">
        <f>VLOOKUP(E11076,DATABASE!C:Q,11,false)</f>
        <v>#N/A</v>
      </c>
    </row>
    <row r="11077" ht="22.5" customHeight="1">
      <c r="A11077" s="49"/>
      <c r="C11077" s="400"/>
      <c r="D11077" s="524"/>
      <c r="E11077" s="544"/>
      <c r="F11077" s="387"/>
      <c r="G11077" s="140"/>
      <c r="H11077" s="74"/>
      <c r="I11077" s="74">
        <f t="shared" si="7"/>
        <v>0</v>
      </c>
      <c r="J11077" s="74" t="str">
        <f>IF(E11077="SERVICE",I11077-(I11077*50%),Vlookup(E11077,DATABASE!C:Q,10,false)*F11077)</f>
        <v>#N/A</v>
      </c>
      <c r="K11077" s="74" t="str">
        <f>VLOOKUP(E11077,DATABASE!C:Q,7,false)</f>
        <v>#N/A</v>
      </c>
      <c r="L11077" s="74"/>
      <c r="M11077" s="74">
        <f t="shared" si="6"/>
        <v>0</v>
      </c>
      <c r="N11077" s="74" t="str">
        <f t="shared" si="9"/>
        <v>#N/A</v>
      </c>
      <c r="O11077" s="65" t="str">
        <f>VLOOKUP(E11077,DATABASE!C:Q,8,false)</f>
        <v>#N/A</v>
      </c>
      <c r="P11077" s="65" t="str">
        <f>VLOOKUP(E11077,DATABASE!C:Q,9,False)</f>
        <v>#N/A</v>
      </c>
      <c r="Q11077" s="93" t="str">
        <f>VLOOKUP(E11077,DATABASE!C:Q,4,false)</f>
        <v>#N/A</v>
      </c>
      <c r="R11077" s="93" t="str">
        <f>VLOOKUP(E11077,DATABASE!C:Q,11,false)</f>
        <v>#N/A</v>
      </c>
    </row>
    <row r="11078" ht="22.5" customHeight="1">
      <c r="A11078" s="49"/>
      <c r="C11078" s="400"/>
      <c r="D11078" s="524"/>
      <c r="E11078" s="544"/>
      <c r="F11078" s="387"/>
      <c r="G11078" s="140"/>
      <c r="H11078" s="74"/>
      <c r="I11078" s="74">
        <f t="shared" si="7"/>
        <v>0</v>
      </c>
      <c r="J11078" s="74" t="str">
        <f>IF(E11078="SERVICE",I11078-(I11078*50%),Vlookup(E11078,DATABASE!C:Q,10,false)*F11078)</f>
        <v>#N/A</v>
      </c>
      <c r="K11078" s="74" t="str">
        <f>VLOOKUP(E11078,DATABASE!C:Q,7,false)</f>
        <v>#N/A</v>
      </c>
      <c r="L11078" s="74"/>
      <c r="M11078" s="74">
        <f t="shared" si="6"/>
        <v>0</v>
      </c>
      <c r="N11078" s="74" t="str">
        <f t="shared" si="9"/>
        <v>#N/A</v>
      </c>
      <c r="O11078" s="65" t="str">
        <f>VLOOKUP(E11078,DATABASE!C:Q,8,false)</f>
        <v>#N/A</v>
      </c>
      <c r="P11078" s="65" t="str">
        <f>VLOOKUP(E11078,DATABASE!C:Q,9,False)</f>
        <v>#N/A</v>
      </c>
      <c r="Q11078" s="93" t="str">
        <f>VLOOKUP(E11078,DATABASE!C:Q,4,false)</f>
        <v>#N/A</v>
      </c>
      <c r="R11078" s="93" t="str">
        <f>VLOOKUP(E11078,DATABASE!C:Q,11,false)</f>
        <v>#N/A</v>
      </c>
    </row>
    <row r="11079" ht="22.5" customHeight="1">
      <c r="A11079" s="49"/>
      <c r="C11079" s="400"/>
      <c r="D11079" s="524"/>
      <c r="E11079" s="544"/>
      <c r="F11079" s="387"/>
      <c r="G11079" s="140"/>
      <c r="H11079" s="74"/>
      <c r="I11079" s="74">
        <f t="shared" si="7"/>
        <v>0</v>
      </c>
      <c r="J11079" s="74" t="str">
        <f>IF(E11079="SERVICE",I11079-(I11079*50%),Vlookup(E11079,DATABASE!C:Q,10,false)*F11079)</f>
        <v>#N/A</v>
      </c>
      <c r="K11079" s="74" t="str">
        <f>VLOOKUP(E11079,DATABASE!C:Q,7,false)</f>
        <v>#N/A</v>
      </c>
      <c r="L11079" s="74"/>
      <c r="M11079" s="74">
        <f t="shared" si="6"/>
        <v>0</v>
      </c>
      <c r="N11079" s="74" t="str">
        <f t="shared" si="9"/>
        <v>#N/A</v>
      </c>
      <c r="O11079" s="65" t="str">
        <f>VLOOKUP(E11079,DATABASE!C:Q,8,false)</f>
        <v>#N/A</v>
      </c>
      <c r="P11079" s="65" t="str">
        <f>VLOOKUP(E11079,DATABASE!C:Q,9,False)</f>
        <v>#N/A</v>
      </c>
      <c r="Q11079" s="93" t="str">
        <f>VLOOKUP(E11079,DATABASE!C:Q,4,false)</f>
        <v>#N/A</v>
      </c>
      <c r="R11079" s="93" t="str">
        <f>VLOOKUP(E11079,DATABASE!C:Q,11,false)</f>
        <v>#N/A</v>
      </c>
    </row>
    <row r="11080" ht="22.5" customHeight="1">
      <c r="A11080" s="49"/>
      <c r="C11080" s="400"/>
      <c r="D11080" s="524"/>
      <c r="E11080" s="544"/>
      <c r="F11080" s="387"/>
      <c r="G11080" s="140"/>
      <c r="H11080" s="74"/>
      <c r="I11080" s="74">
        <f t="shared" si="7"/>
        <v>0</v>
      </c>
      <c r="J11080" s="74" t="str">
        <f>IF(E11080="SERVICE",I11080-(I11080*50%),Vlookup(E11080,DATABASE!C:Q,10,false)*F11080)</f>
        <v>#N/A</v>
      </c>
      <c r="K11080" s="74" t="str">
        <f>VLOOKUP(E11080,DATABASE!C:Q,7,false)</f>
        <v>#N/A</v>
      </c>
      <c r="L11080" s="74"/>
      <c r="M11080" s="74">
        <f t="shared" si="6"/>
        <v>0</v>
      </c>
      <c r="N11080" s="74" t="str">
        <f t="shared" si="9"/>
        <v>#N/A</v>
      </c>
      <c r="O11080" s="65" t="str">
        <f>VLOOKUP(E11080,DATABASE!C:Q,8,false)</f>
        <v>#N/A</v>
      </c>
      <c r="P11080" s="65" t="str">
        <f>VLOOKUP(E11080,DATABASE!C:Q,9,False)</f>
        <v>#N/A</v>
      </c>
      <c r="Q11080" s="93" t="str">
        <f>VLOOKUP(E11080,DATABASE!C:Q,4,false)</f>
        <v>#N/A</v>
      </c>
      <c r="R11080" s="93" t="str">
        <f>VLOOKUP(E11080,DATABASE!C:Q,11,false)</f>
        <v>#N/A</v>
      </c>
    </row>
    <row r="11081" ht="22.5" customHeight="1">
      <c r="A11081" s="49"/>
      <c r="C11081" s="400"/>
      <c r="D11081" s="524"/>
      <c r="E11081" s="544"/>
      <c r="F11081" s="387"/>
      <c r="G11081" s="140"/>
      <c r="H11081" s="74"/>
      <c r="I11081" s="74">
        <f t="shared" si="7"/>
        <v>0</v>
      </c>
      <c r="J11081" s="74" t="str">
        <f>IF(E11081="SERVICE",I11081-(I11081*50%),Vlookup(E11081,DATABASE!C:Q,10,false)*F11081)</f>
        <v>#N/A</v>
      </c>
      <c r="K11081" s="74" t="str">
        <f>VLOOKUP(E11081,DATABASE!C:Q,7,false)</f>
        <v>#N/A</v>
      </c>
      <c r="L11081" s="74"/>
      <c r="M11081" s="74">
        <f t="shared" si="6"/>
        <v>0</v>
      </c>
      <c r="N11081" s="74" t="str">
        <f t="shared" si="9"/>
        <v>#N/A</v>
      </c>
      <c r="O11081" s="65" t="str">
        <f>VLOOKUP(E11081,DATABASE!C:Q,8,false)</f>
        <v>#N/A</v>
      </c>
      <c r="P11081" s="65" t="str">
        <f>VLOOKUP(E11081,DATABASE!C:Q,9,False)</f>
        <v>#N/A</v>
      </c>
      <c r="Q11081" s="93" t="str">
        <f>VLOOKUP(E11081,DATABASE!C:Q,4,false)</f>
        <v>#N/A</v>
      </c>
      <c r="R11081" s="93" t="str">
        <f>VLOOKUP(E11081,DATABASE!C:Q,11,false)</f>
        <v>#N/A</v>
      </c>
    </row>
    <row r="11082" ht="22.5" customHeight="1">
      <c r="A11082" s="49"/>
      <c r="C11082" s="400"/>
      <c r="D11082" s="524"/>
      <c r="E11082" s="544"/>
      <c r="F11082" s="387"/>
      <c r="G11082" s="140"/>
      <c r="H11082" s="74"/>
      <c r="I11082" s="74">
        <f t="shared" si="7"/>
        <v>0</v>
      </c>
      <c r="J11082" s="74" t="str">
        <f>IF(E11082="SERVICE",I11082-(I11082*50%),Vlookup(E11082,DATABASE!C:Q,10,false)*F11082)</f>
        <v>#N/A</v>
      </c>
      <c r="K11082" s="74" t="str">
        <f>VLOOKUP(E11082,DATABASE!C:Q,7,false)</f>
        <v>#N/A</v>
      </c>
      <c r="L11082" s="74"/>
      <c r="M11082" s="74">
        <f t="shared" si="6"/>
        <v>0</v>
      </c>
      <c r="N11082" s="74" t="str">
        <f t="shared" si="9"/>
        <v>#N/A</v>
      </c>
      <c r="O11082" s="65" t="str">
        <f>VLOOKUP(E11082,DATABASE!C:Q,8,false)</f>
        <v>#N/A</v>
      </c>
      <c r="P11082" s="65" t="str">
        <f>VLOOKUP(E11082,DATABASE!C:Q,9,False)</f>
        <v>#N/A</v>
      </c>
      <c r="Q11082" s="93" t="str">
        <f>VLOOKUP(E11082,DATABASE!C:Q,4,false)</f>
        <v>#N/A</v>
      </c>
      <c r="R11082" s="93" t="str">
        <f>VLOOKUP(E11082,DATABASE!C:Q,11,false)</f>
        <v>#N/A</v>
      </c>
    </row>
    <row r="11083" ht="22.5" customHeight="1">
      <c r="A11083" s="49"/>
      <c r="C11083" s="400"/>
      <c r="D11083" s="524"/>
      <c r="E11083" s="544"/>
      <c r="F11083" s="387"/>
      <c r="G11083" s="140"/>
      <c r="H11083" s="74"/>
      <c r="I11083" s="74">
        <f t="shared" si="7"/>
        <v>0</v>
      </c>
      <c r="J11083" s="74" t="str">
        <f>IF(E11083="SERVICE",I11083-(I11083*50%),Vlookup(E11083,DATABASE!C:Q,10,false)*F11083)</f>
        <v>#N/A</v>
      </c>
      <c r="K11083" s="74" t="str">
        <f>VLOOKUP(E11083,DATABASE!C:Q,7,false)</f>
        <v>#N/A</v>
      </c>
      <c r="L11083" s="74"/>
      <c r="M11083" s="74">
        <f t="shared" si="6"/>
        <v>0</v>
      </c>
      <c r="N11083" s="74" t="str">
        <f t="shared" si="9"/>
        <v>#N/A</v>
      </c>
      <c r="O11083" s="65" t="str">
        <f>VLOOKUP(E11083,DATABASE!C:Q,8,false)</f>
        <v>#N/A</v>
      </c>
      <c r="P11083" s="65" t="str">
        <f>VLOOKUP(E11083,DATABASE!C:Q,9,False)</f>
        <v>#N/A</v>
      </c>
      <c r="Q11083" s="93" t="str">
        <f>VLOOKUP(E11083,DATABASE!C:Q,4,false)</f>
        <v>#N/A</v>
      </c>
      <c r="R11083" s="93" t="str">
        <f>VLOOKUP(E11083,DATABASE!C:Q,11,false)</f>
        <v>#N/A</v>
      </c>
    </row>
    <row r="11084" ht="22.5" customHeight="1">
      <c r="A11084" s="49"/>
      <c r="C11084" s="400"/>
      <c r="D11084" s="524"/>
      <c r="E11084" s="544"/>
      <c r="F11084" s="387"/>
      <c r="G11084" s="140"/>
      <c r="H11084" s="74"/>
      <c r="I11084" s="74">
        <f t="shared" si="7"/>
        <v>0</v>
      </c>
      <c r="J11084" s="74" t="str">
        <f>IF(E11084="SERVICE",I11084-(I11084*50%),Vlookup(E11084,DATABASE!C:Q,10,false)*F11084)</f>
        <v>#N/A</v>
      </c>
      <c r="K11084" s="74" t="str">
        <f>VLOOKUP(E11084,DATABASE!C:Q,7,false)</f>
        <v>#N/A</v>
      </c>
      <c r="L11084" s="74"/>
      <c r="M11084" s="74">
        <f t="shared" si="6"/>
        <v>0</v>
      </c>
      <c r="N11084" s="74" t="str">
        <f t="shared" si="9"/>
        <v>#N/A</v>
      </c>
      <c r="O11084" s="65" t="str">
        <f>VLOOKUP(E11084,DATABASE!C:Q,8,false)</f>
        <v>#N/A</v>
      </c>
      <c r="P11084" s="65" t="str">
        <f>VLOOKUP(E11084,DATABASE!C:Q,9,False)</f>
        <v>#N/A</v>
      </c>
      <c r="Q11084" s="93" t="str">
        <f>VLOOKUP(E11084,DATABASE!C:Q,4,false)</f>
        <v>#N/A</v>
      </c>
      <c r="R11084" s="93" t="str">
        <f>VLOOKUP(E11084,DATABASE!C:Q,11,false)</f>
        <v>#N/A</v>
      </c>
    </row>
    <row r="11085" ht="22.5" customHeight="1">
      <c r="A11085" s="49"/>
      <c r="C11085" s="400"/>
      <c r="D11085" s="524"/>
      <c r="E11085" s="544"/>
      <c r="F11085" s="387"/>
      <c r="G11085" s="140"/>
      <c r="H11085" s="74"/>
      <c r="I11085" s="74">
        <f t="shared" si="7"/>
        <v>0</v>
      </c>
      <c r="J11085" s="74" t="str">
        <f>IF(E11085="SERVICE",I11085-(I11085*50%),Vlookup(E11085,DATABASE!C:Q,10,false)*F11085)</f>
        <v>#N/A</v>
      </c>
      <c r="K11085" s="74" t="str">
        <f>VLOOKUP(E11085,DATABASE!C:Q,7,false)</f>
        <v>#N/A</v>
      </c>
      <c r="L11085" s="74"/>
      <c r="M11085" s="74">
        <f t="shared" si="6"/>
        <v>0</v>
      </c>
      <c r="N11085" s="74" t="str">
        <f t="shared" si="9"/>
        <v>#N/A</v>
      </c>
      <c r="O11085" s="65" t="str">
        <f>VLOOKUP(E11085,DATABASE!C:Q,8,false)</f>
        <v>#N/A</v>
      </c>
      <c r="P11085" s="65" t="str">
        <f>VLOOKUP(E11085,DATABASE!C:Q,9,False)</f>
        <v>#N/A</v>
      </c>
      <c r="Q11085" s="93" t="str">
        <f>VLOOKUP(E11085,DATABASE!C:Q,4,false)</f>
        <v>#N/A</v>
      </c>
      <c r="R11085" s="93" t="str">
        <f>VLOOKUP(E11085,DATABASE!C:Q,11,false)</f>
        <v>#N/A</v>
      </c>
    </row>
    <row r="11086" ht="22.5" customHeight="1">
      <c r="A11086" s="49"/>
      <c r="C11086" s="400"/>
      <c r="D11086" s="524"/>
      <c r="E11086" s="544"/>
      <c r="F11086" s="387"/>
      <c r="G11086" s="140"/>
      <c r="H11086" s="74"/>
      <c r="I11086" s="74">
        <f t="shared" si="7"/>
        <v>0</v>
      </c>
      <c r="J11086" s="74" t="str">
        <f>IF(E11086="SERVICE",I11086-(I11086*50%),Vlookup(E11086,DATABASE!C:Q,10,false)*F11086)</f>
        <v>#N/A</v>
      </c>
      <c r="K11086" s="74" t="str">
        <f>VLOOKUP(E11086,DATABASE!C:Q,7,false)</f>
        <v>#N/A</v>
      </c>
      <c r="L11086" s="74"/>
      <c r="M11086" s="74">
        <f t="shared" si="6"/>
        <v>0</v>
      </c>
      <c r="N11086" s="74" t="str">
        <f t="shared" si="9"/>
        <v>#N/A</v>
      </c>
      <c r="O11086" s="65" t="str">
        <f>VLOOKUP(E11086,DATABASE!C:Q,8,false)</f>
        <v>#N/A</v>
      </c>
      <c r="P11086" s="65" t="str">
        <f>VLOOKUP(E11086,DATABASE!C:Q,9,False)</f>
        <v>#N/A</v>
      </c>
      <c r="Q11086" s="93" t="str">
        <f>VLOOKUP(E11086,DATABASE!C:Q,4,false)</f>
        <v>#N/A</v>
      </c>
      <c r="R11086" s="93" t="str">
        <f>VLOOKUP(E11086,DATABASE!C:Q,11,false)</f>
        <v>#N/A</v>
      </c>
    </row>
    <row r="11087" ht="22.5" customHeight="1">
      <c r="A11087" s="49"/>
      <c r="C11087" s="400"/>
      <c r="D11087" s="524"/>
      <c r="E11087" s="544"/>
      <c r="F11087" s="387"/>
      <c r="G11087" s="140"/>
      <c r="H11087" s="74"/>
      <c r="I11087" s="74">
        <f t="shared" si="7"/>
        <v>0</v>
      </c>
      <c r="J11087" s="74" t="str">
        <f>IF(E11087="SERVICE",I11087-(I11087*50%),Vlookup(E11087,DATABASE!C:Q,10,false)*F11087)</f>
        <v>#N/A</v>
      </c>
      <c r="K11087" s="74" t="str">
        <f>VLOOKUP(E11087,DATABASE!C:Q,7,false)</f>
        <v>#N/A</v>
      </c>
      <c r="L11087" s="74"/>
      <c r="M11087" s="74">
        <f t="shared" si="6"/>
        <v>0</v>
      </c>
      <c r="N11087" s="74" t="str">
        <f t="shared" si="9"/>
        <v>#N/A</v>
      </c>
      <c r="O11087" s="65" t="str">
        <f>VLOOKUP(E11087,DATABASE!C:Q,8,false)</f>
        <v>#N/A</v>
      </c>
      <c r="P11087" s="65" t="str">
        <f>VLOOKUP(E11087,DATABASE!C:Q,9,False)</f>
        <v>#N/A</v>
      </c>
      <c r="Q11087" s="93" t="str">
        <f>VLOOKUP(E11087,DATABASE!C:Q,4,false)</f>
        <v>#N/A</v>
      </c>
      <c r="R11087" s="93" t="str">
        <f>VLOOKUP(E11087,DATABASE!C:Q,11,false)</f>
        <v>#N/A</v>
      </c>
    </row>
    <row r="11088" ht="22.5" customHeight="1">
      <c r="A11088" s="49"/>
      <c r="C11088" s="400"/>
      <c r="D11088" s="524"/>
      <c r="E11088" s="544"/>
      <c r="F11088" s="387"/>
      <c r="G11088" s="140"/>
      <c r="H11088" s="74"/>
      <c r="I11088" s="74">
        <f t="shared" si="7"/>
        <v>0</v>
      </c>
      <c r="J11088" s="74" t="str">
        <f>IF(E11088="SERVICE",I11088-(I11088*50%),Vlookup(E11088,DATABASE!C:Q,10,false)*F11088)</f>
        <v>#N/A</v>
      </c>
      <c r="K11088" s="74" t="str">
        <f>VLOOKUP(E11088,DATABASE!C:Q,7,false)</f>
        <v>#N/A</v>
      </c>
      <c r="L11088" s="74"/>
      <c r="M11088" s="74">
        <f t="shared" si="6"/>
        <v>0</v>
      </c>
      <c r="N11088" s="74" t="str">
        <f t="shared" si="9"/>
        <v>#N/A</v>
      </c>
      <c r="O11088" s="65" t="str">
        <f>VLOOKUP(E11088,DATABASE!C:Q,8,false)</f>
        <v>#N/A</v>
      </c>
      <c r="P11088" s="65" t="str">
        <f>VLOOKUP(E11088,DATABASE!C:Q,9,False)</f>
        <v>#N/A</v>
      </c>
      <c r="Q11088" s="93" t="str">
        <f>VLOOKUP(E11088,DATABASE!C:Q,4,false)</f>
        <v>#N/A</v>
      </c>
      <c r="R11088" s="93" t="str">
        <f>VLOOKUP(E11088,DATABASE!C:Q,11,false)</f>
        <v>#N/A</v>
      </c>
    </row>
    <row r="11089" ht="22.5" customHeight="1">
      <c r="A11089" s="49"/>
      <c r="C11089" s="400"/>
      <c r="D11089" s="524"/>
      <c r="E11089" s="544"/>
      <c r="F11089" s="387"/>
      <c r="G11089" s="140"/>
      <c r="H11089" s="74"/>
      <c r="I11089" s="74">
        <f t="shared" si="7"/>
        <v>0</v>
      </c>
      <c r="J11089" s="74" t="str">
        <f>IF(E11089="SERVICE",I11089-(I11089*50%),Vlookup(E11089,DATABASE!C:Q,10,false)*F11089)</f>
        <v>#N/A</v>
      </c>
      <c r="K11089" s="74" t="str">
        <f>VLOOKUP(E11089,DATABASE!C:Q,7,false)</f>
        <v>#N/A</v>
      </c>
      <c r="L11089" s="74"/>
      <c r="M11089" s="74">
        <f t="shared" si="6"/>
        <v>0</v>
      </c>
      <c r="N11089" s="74" t="str">
        <f t="shared" si="9"/>
        <v>#N/A</v>
      </c>
      <c r="O11089" s="65" t="str">
        <f>VLOOKUP(E11089,DATABASE!C:Q,8,false)</f>
        <v>#N/A</v>
      </c>
      <c r="P11089" s="65" t="str">
        <f>VLOOKUP(E11089,DATABASE!C:Q,9,False)</f>
        <v>#N/A</v>
      </c>
      <c r="Q11089" s="93" t="str">
        <f>VLOOKUP(E11089,DATABASE!C:Q,4,false)</f>
        <v>#N/A</v>
      </c>
      <c r="R11089" s="93" t="str">
        <f>VLOOKUP(E11089,DATABASE!C:Q,11,false)</f>
        <v>#N/A</v>
      </c>
    </row>
    <row r="11090" ht="22.5" customHeight="1">
      <c r="A11090" s="49"/>
      <c r="C11090" s="400"/>
      <c r="D11090" s="524"/>
      <c r="E11090" s="544"/>
      <c r="F11090" s="387"/>
      <c r="G11090" s="140"/>
      <c r="H11090" s="74"/>
      <c r="I11090" s="74">
        <f t="shared" si="7"/>
        <v>0</v>
      </c>
      <c r="J11090" s="74" t="str">
        <f>IF(E11090="SERVICE",I11090-(I11090*50%),Vlookup(E11090,DATABASE!C:Q,10,false)*F11090)</f>
        <v>#N/A</v>
      </c>
      <c r="K11090" s="74" t="str">
        <f>VLOOKUP(E11090,DATABASE!C:Q,7,false)</f>
        <v>#N/A</v>
      </c>
      <c r="L11090" s="74"/>
      <c r="M11090" s="74">
        <f t="shared" si="6"/>
        <v>0</v>
      </c>
      <c r="N11090" s="74" t="str">
        <f t="shared" si="9"/>
        <v>#N/A</v>
      </c>
      <c r="O11090" s="65" t="str">
        <f>VLOOKUP(E11090,DATABASE!C:Q,8,false)</f>
        <v>#N/A</v>
      </c>
      <c r="P11090" s="65" t="str">
        <f>VLOOKUP(E11090,DATABASE!C:Q,9,False)</f>
        <v>#N/A</v>
      </c>
      <c r="Q11090" s="93" t="str">
        <f>VLOOKUP(E11090,DATABASE!C:Q,4,false)</f>
        <v>#N/A</v>
      </c>
      <c r="R11090" s="93" t="str">
        <f>VLOOKUP(E11090,DATABASE!C:Q,11,false)</f>
        <v>#N/A</v>
      </c>
    </row>
    <row r="11091" ht="22.5" customHeight="1">
      <c r="A11091" s="49"/>
      <c r="C11091" s="400"/>
      <c r="D11091" s="524"/>
      <c r="E11091" s="544"/>
      <c r="F11091" s="387"/>
      <c r="G11091" s="140"/>
      <c r="H11091" s="74"/>
      <c r="I11091" s="74">
        <f t="shared" si="7"/>
        <v>0</v>
      </c>
      <c r="J11091" s="74" t="str">
        <f>IF(E11091="SERVICE",I11091-(I11091*50%),Vlookup(E11091,DATABASE!C:Q,10,false)*F11091)</f>
        <v>#N/A</v>
      </c>
      <c r="K11091" s="74" t="str">
        <f>VLOOKUP(E11091,DATABASE!C:Q,7,false)</f>
        <v>#N/A</v>
      </c>
      <c r="L11091" s="74"/>
      <c r="M11091" s="74">
        <f t="shared" si="6"/>
        <v>0</v>
      </c>
      <c r="N11091" s="74" t="str">
        <f t="shared" si="9"/>
        <v>#N/A</v>
      </c>
      <c r="O11091" s="65" t="str">
        <f>VLOOKUP(E11091,DATABASE!C:Q,8,false)</f>
        <v>#N/A</v>
      </c>
      <c r="P11091" s="65" t="str">
        <f>VLOOKUP(E11091,DATABASE!C:Q,9,False)</f>
        <v>#N/A</v>
      </c>
      <c r="Q11091" s="93" t="str">
        <f>VLOOKUP(E11091,DATABASE!C:Q,4,false)</f>
        <v>#N/A</v>
      </c>
      <c r="R11091" s="93" t="str">
        <f>VLOOKUP(E11091,DATABASE!C:Q,11,false)</f>
        <v>#N/A</v>
      </c>
    </row>
    <row r="11092" ht="22.5" customHeight="1">
      <c r="A11092" s="49"/>
      <c r="C11092" s="400"/>
      <c r="D11092" s="524"/>
      <c r="E11092" s="544"/>
      <c r="F11092" s="387"/>
      <c r="G11092" s="140"/>
      <c r="H11092" s="74"/>
      <c r="I11092" s="74">
        <f t="shared" si="7"/>
        <v>0</v>
      </c>
      <c r="J11092" s="74" t="str">
        <f>IF(E11092="SERVICE",I11092-(I11092*50%),Vlookup(E11092,DATABASE!C:Q,10,false)*F11092)</f>
        <v>#N/A</v>
      </c>
      <c r="K11092" s="74" t="str">
        <f>VLOOKUP(E11092,DATABASE!C:Q,7,false)</f>
        <v>#N/A</v>
      </c>
      <c r="L11092" s="74"/>
      <c r="M11092" s="74">
        <f t="shared" si="6"/>
        <v>0</v>
      </c>
      <c r="N11092" s="74" t="str">
        <f t="shared" si="9"/>
        <v>#N/A</v>
      </c>
      <c r="O11092" s="65" t="str">
        <f>VLOOKUP(E11092,DATABASE!C:Q,8,false)</f>
        <v>#N/A</v>
      </c>
      <c r="P11092" s="65" t="str">
        <f>VLOOKUP(E11092,DATABASE!C:Q,9,False)</f>
        <v>#N/A</v>
      </c>
      <c r="Q11092" s="93" t="str">
        <f>VLOOKUP(E11092,DATABASE!C:Q,4,false)</f>
        <v>#N/A</v>
      </c>
      <c r="R11092" s="93" t="str">
        <f>VLOOKUP(E11092,DATABASE!C:Q,11,false)</f>
        <v>#N/A</v>
      </c>
    </row>
    <row r="11093" ht="22.5" customHeight="1">
      <c r="A11093" s="49"/>
      <c r="C11093" s="400"/>
      <c r="D11093" s="524"/>
      <c r="E11093" s="544"/>
      <c r="F11093" s="387"/>
      <c r="G11093" s="140"/>
      <c r="H11093" s="74"/>
      <c r="I11093" s="74">
        <f t="shared" si="7"/>
        <v>0</v>
      </c>
      <c r="J11093" s="74" t="str">
        <f>IF(E11093="SERVICE",I11093-(I11093*50%),Vlookup(E11093,DATABASE!C:Q,10,false)*F11093)</f>
        <v>#N/A</v>
      </c>
      <c r="K11093" s="74" t="str">
        <f>VLOOKUP(E11093,DATABASE!C:Q,7,false)</f>
        <v>#N/A</v>
      </c>
      <c r="L11093" s="74"/>
      <c r="M11093" s="74">
        <f t="shared" si="6"/>
        <v>0</v>
      </c>
      <c r="N11093" s="74" t="str">
        <f t="shared" si="9"/>
        <v>#N/A</v>
      </c>
      <c r="O11093" s="65" t="str">
        <f>VLOOKUP(E11093,DATABASE!C:Q,8,false)</f>
        <v>#N/A</v>
      </c>
      <c r="P11093" s="65" t="str">
        <f>VLOOKUP(E11093,DATABASE!C:Q,9,False)</f>
        <v>#N/A</v>
      </c>
      <c r="Q11093" s="93" t="str">
        <f>VLOOKUP(E11093,DATABASE!C:Q,4,false)</f>
        <v>#N/A</v>
      </c>
      <c r="R11093" s="93" t="str">
        <f>VLOOKUP(E11093,DATABASE!C:Q,11,false)</f>
        <v>#N/A</v>
      </c>
    </row>
    <row r="11094" ht="22.5" customHeight="1">
      <c r="A11094" s="49"/>
      <c r="C11094" s="400"/>
      <c r="D11094" s="524"/>
      <c r="E11094" s="544"/>
      <c r="F11094" s="387"/>
      <c r="G11094" s="140"/>
      <c r="H11094" s="74"/>
      <c r="I11094" s="74">
        <f t="shared" si="7"/>
        <v>0</v>
      </c>
      <c r="J11094" s="74" t="str">
        <f>IF(E11094="SERVICE",I11094-(I11094*50%),Vlookup(E11094,DATABASE!C:Q,10,false)*F11094)</f>
        <v>#N/A</v>
      </c>
      <c r="K11094" s="74" t="str">
        <f>VLOOKUP(E11094,DATABASE!C:Q,7,false)</f>
        <v>#N/A</v>
      </c>
      <c r="L11094" s="74"/>
      <c r="M11094" s="74">
        <f t="shared" si="6"/>
        <v>0</v>
      </c>
      <c r="N11094" s="74" t="str">
        <f t="shared" si="9"/>
        <v>#N/A</v>
      </c>
      <c r="O11094" s="65" t="str">
        <f>VLOOKUP(E11094,DATABASE!C:Q,8,false)</f>
        <v>#N/A</v>
      </c>
      <c r="P11094" s="65" t="str">
        <f>VLOOKUP(E11094,DATABASE!C:Q,9,False)</f>
        <v>#N/A</v>
      </c>
      <c r="Q11094" s="93" t="str">
        <f>VLOOKUP(E11094,DATABASE!C:Q,4,false)</f>
        <v>#N/A</v>
      </c>
      <c r="R11094" s="93" t="str">
        <f>VLOOKUP(E11094,DATABASE!C:Q,11,false)</f>
        <v>#N/A</v>
      </c>
    </row>
    <row r="11095" ht="22.5" customHeight="1">
      <c r="A11095" s="49"/>
      <c r="C11095" s="400"/>
      <c r="D11095" s="524"/>
      <c r="E11095" s="544"/>
      <c r="F11095" s="387"/>
      <c r="G11095" s="140"/>
      <c r="H11095" s="74"/>
      <c r="I11095" s="74">
        <f t="shared" si="7"/>
        <v>0</v>
      </c>
      <c r="J11095" s="74" t="str">
        <f>IF(E11095="SERVICE",I11095-(I11095*50%),Vlookup(E11095,DATABASE!C:Q,10,false)*F11095)</f>
        <v>#N/A</v>
      </c>
      <c r="K11095" s="74" t="str">
        <f>VLOOKUP(E11095,DATABASE!C:Q,7,false)</f>
        <v>#N/A</v>
      </c>
      <c r="L11095" s="74"/>
      <c r="M11095" s="74">
        <f t="shared" si="6"/>
        <v>0</v>
      </c>
      <c r="N11095" s="74" t="str">
        <f t="shared" si="9"/>
        <v>#N/A</v>
      </c>
      <c r="O11095" s="65" t="str">
        <f>VLOOKUP(E11095,DATABASE!C:Q,8,false)</f>
        <v>#N/A</v>
      </c>
      <c r="P11095" s="65" t="str">
        <f>VLOOKUP(E11095,DATABASE!C:Q,9,False)</f>
        <v>#N/A</v>
      </c>
      <c r="Q11095" s="93" t="str">
        <f>VLOOKUP(E11095,DATABASE!C:Q,4,false)</f>
        <v>#N/A</v>
      </c>
      <c r="R11095" s="93" t="str">
        <f>VLOOKUP(E11095,DATABASE!C:Q,11,false)</f>
        <v>#N/A</v>
      </c>
    </row>
    <row r="11096" ht="22.5" customHeight="1">
      <c r="A11096" s="49"/>
      <c r="C11096" s="400"/>
      <c r="D11096" s="524"/>
      <c r="E11096" s="544"/>
      <c r="F11096" s="387"/>
      <c r="G11096" s="140"/>
      <c r="H11096" s="74"/>
      <c r="I11096" s="74">
        <f t="shared" si="7"/>
        <v>0</v>
      </c>
      <c r="J11096" s="74" t="str">
        <f>IF(E11096="SERVICE",I11096-(I11096*50%),Vlookup(E11096,DATABASE!C:Q,10,false)*F11096)</f>
        <v>#N/A</v>
      </c>
      <c r="K11096" s="74" t="str">
        <f>VLOOKUP(E11096,DATABASE!C:Q,7,false)</f>
        <v>#N/A</v>
      </c>
      <c r="L11096" s="74"/>
      <c r="M11096" s="74">
        <f t="shared" si="6"/>
        <v>0</v>
      </c>
      <c r="N11096" s="74" t="str">
        <f t="shared" si="9"/>
        <v>#N/A</v>
      </c>
      <c r="O11096" s="65" t="str">
        <f>VLOOKUP(E11096,DATABASE!C:Q,8,false)</f>
        <v>#N/A</v>
      </c>
      <c r="P11096" s="65" t="str">
        <f>VLOOKUP(E11096,DATABASE!C:Q,9,False)</f>
        <v>#N/A</v>
      </c>
      <c r="Q11096" s="93" t="str">
        <f>VLOOKUP(E11096,DATABASE!C:Q,4,false)</f>
        <v>#N/A</v>
      </c>
      <c r="R11096" s="93" t="str">
        <f>VLOOKUP(E11096,DATABASE!C:Q,11,false)</f>
        <v>#N/A</v>
      </c>
    </row>
    <row r="11097" ht="22.5" customHeight="1">
      <c r="A11097" s="49"/>
      <c r="C11097" s="400"/>
      <c r="D11097" s="524"/>
      <c r="E11097" s="544"/>
      <c r="F11097" s="387"/>
      <c r="G11097" s="140"/>
      <c r="H11097" s="74"/>
      <c r="I11097" s="74">
        <f t="shared" si="7"/>
        <v>0</v>
      </c>
      <c r="J11097" s="74" t="str">
        <f>IF(E11097="SERVICE",I11097-(I11097*50%),Vlookup(E11097,DATABASE!C:Q,10,false)*F11097)</f>
        <v>#N/A</v>
      </c>
      <c r="K11097" s="74" t="str">
        <f>VLOOKUP(E11097,DATABASE!C:Q,7,false)</f>
        <v>#N/A</v>
      </c>
      <c r="L11097" s="74"/>
      <c r="M11097" s="74">
        <f t="shared" si="6"/>
        <v>0</v>
      </c>
      <c r="N11097" s="74" t="str">
        <f t="shared" si="9"/>
        <v>#N/A</v>
      </c>
      <c r="O11097" s="65" t="str">
        <f>VLOOKUP(E11097,DATABASE!C:Q,8,false)</f>
        <v>#N/A</v>
      </c>
      <c r="P11097" s="65" t="str">
        <f>VLOOKUP(E11097,DATABASE!C:Q,9,False)</f>
        <v>#N/A</v>
      </c>
      <c r="Q11097" s="93" t="str">
        <f>VLOOKUP(E11097,DATABASE!C:Q,4,false)</f>
        <v>#N/A</v>
      </c>
      <c r="R11097" s="93" t="str">
        <f>VLOOKUP(E11097,DATABASE!C:Q,11,false)</f>
        <v>#N/A</v>
      </c>
    </row>
    <row r="11098" ht="22.5" customHeight="1">
      <c r="A11098" s="49"/>
      <c r="C11098" s="400"/>
      <c r="D11098" s="524"/>
      <c r="E11098" s="544"/>
      <c r="F11098" s="387"/>
      <c r="G11098" s="140"/>
      <c r="H11098" s="74"/>
      <c r="I11098" s="74">
        <f t="shared" si="7"/>
        <v>0</v>
      </c>
      <c r="J11098" s="74" t="str">
        <f>IF(E11098="SERVICE",I11098-(I11098*50%),Vlookup(E11098,DATABASE!C:Q,10,false)*F11098)</f>
        <v>#N/A</v>
      </c>
      <c r="K11098" s="74" t="str">
        <f>VLOOKUP(E11098,DATABASE!C:Q,7,false)</f>
        <v>#N/A</v>
      </c>
      <c r="L11098" s="74"/>
      <c r="M11098" s="74">
        <f t="shared" si="6"/>
        <v>0</v>
      </c>
      <c r="N11098" s="74" t="str">
        <f t="shared" si="9"/>
        <v>#N/A</v>
      </c>
      <c r="O11098" s="65" t="str">
        <f>VLOOKUP(E11098,DATABASE!C:Q,8,false)</f>
        <v>#N/A</v>
      </c>
      <c r="P11098" s="65" t="str">
        <f>VLOOKUP(E11098,DATABASE!C:Q,9,False)</f>
        <v>#N/A</v>
      </c>
      <c r="Q11098" s="93" t="str">
        <f>VLOOKUP(E11098,DATABASE!C:Q,4,false)</f>
        <v>#N/A</v>
      </c>
      <c r="R11098" s="93" t="str">
        <f>VLOOKUP(E11098,DATABASE!C:Q,11,false)</f>
        <v>#N/A</v>
      </c>
    </row>
    <row r="11099" ht="22.5" customHeight="1">
      <c r="A11099" s="49"/>
      <c r="C11099" s="400"/>
      <c r="D11099" s="524"/>
      <c r="E11099" s="544"/>
      <c r="F11099" s="387"/>
      <c r="G11099" s="140"/>
      <c r="H11099" s="74"/>
      <c r="I11099" s="74">
        <f t="shared" si="7"/>
        <v>0</v>
      </c>
      <c r="J11099" s="74" t="str">
        <f>IF(E11099="SERVICE",I11099-(I11099*50%),Vlookup(E11099,DATABASE!C:Q,10,false)*F11099)</f>
        <v>#N/A</v>
      </c>
      <c r="K11099" s="74" t="str">
        <f>VLOOKUP(E11099,DATABASE!C:Q,7,false)</f>
        <v>#N/A</v>
      </c>
      <c r="L11099" s="74"/>
      <c r="M11099" s="74">
        <f t="shared" si="6"/>
        <v>0</v>
      </c>
      <c r="N11099" s="74" t="str">
        <f t="shared" si="9"/>
        <v>#N/A</v>
      </c>
      <c r="O11099" s="65" t="str">
        <f>VLOOKUP(E11099,DATABASE!C:Q,8,false)</f>
        <v>#N/A</v>
      </c>
      <c r="P11099" s="65" t="str">
        <f>VLOOKUP(E11099,DATABASE!C:Q,9,False)</f>
        <v>#N/A</v>
      </c>
      <c r="Q11099" s="93" t="str">
        <f>VLOOKUP(E11099,DATABASE!C:Q,4,false)</f>
        <v>#N/A</v>
      </c>
      <c r="R11099" s="93" t="str">
        <f>VLOOKUP(E11099,DATABASE!C:Q,11,false)</f>
        <v>#N/A</v>
      </c>
    </row>
    <row r="11100" ht="22.5" customHeight="1">
      <c r="A11100" s="49"/>
      <c r="C11100" s="400"/>
      <c r="D11100" s="524"/>
      <c r="E11100" s="544"/>
      <c r="F11100" s="387"/>
      <c r="G11100" s="140"/>
      <c r="H11100" s="74"/>
      <c r="I11100" s="74">
        <f t="shared" si="7"/>
        <v>0</v>
      </c>
      <c r="J11100" s="74" t="str">
        <f>IF(E11100="SERVICE",I11100-(I11100*50%),Vlookup(E11100,DATABASE!C:Q,10,false)*F11100)</f>
        <v>#N/A</v>
      </c>
      <c r="K11100" s="74" t="str">
        <f>VLOOKUP(E11100,DATABASE!C:Q,7,false)</f>
        <v>#N/A</v>
      </c>
      <c r="L11100" s="74"/>
      <c r="M11100" s="74">
        <f t="shared" si="6"/>
        <v>0</v>
      </c>
      <c r="N11100" s="74" t="str">
        <f t="shared" si="9"/>
        <v>#N/A</v>
      </c>
      <c r="O11100" s="65" t="str">
        <f>VLOOKUP(E11100,DATABASE!C:Q,8,false)</f>
        <v>#N/A</v>
      </c>
      <c r="P11100" s="65" t="str">
        <f>VLOOKUP(E11100,DATABASE!C:Q,9,False)</f>
        <v>#N/A</v>
      </c>
      <c r="Q11100" s="93" t="str">
        <f>VLOOKUP(E11100,DATABASE!C:Q,4,false)</f>
        <v>#N/A</v>
      </c>
      <c r="R11100" s="93" t="str">
        <f>VLOOKUP(E11100,DATABASE!C:Q,11,false)</f>
        <v>#N/A</v>
      </c>
    </row>
    <row r="11101" ht="22.5" customHeight="1">
      <c r="A11101" s="49"/>
      <c r="C11101" s="400"/>
      <c r="D11101" s="524"/>
      <c r="E11101" s="544"/>
      <c r="F11101" s="387"/>
      <c r="G11101" s="140"/>
      <c r="H11101" s="74"/>
      <c r="I11101" s="74">
        <f t="shared" si="7"/>
        <v>0</v>
      </c>
      <c r="J11101" s="74" t="str">
        <f>IF(E11101="SERVICE",I11101-(I11101*50%),Vlookup(E11101,DATABASE!C:Q,10,false)*F11101)</f>
        <v>#N/A</v>
      </c>
      <c r="K11101" s="74" t="str">
        <f>VLOOKUP(E11101,DATABASE!C:Q,7,false)</f>
        <v>#N/A</v>
      </c>
      <c r="L11101" s="74"/>
      <c r="M11101" s="74">
        <f t="shared" si="6"/>
        <v>0</v>
      </c>
      <c r="N11101" s="74" t="str">
        <f t="shared" si="9"/>
        <v>#N/A</v>
      </c>
      <c r="O11101" s="65" t="str">
        <f>VLOOKUP(E11101,DATABASE!C:Q,8,false)</f>
        <v>#N/A</v>
      </c>
      <c r="P11101" s="65" t="str">
        <f>VLOOKUP(E11101,DATABASE!C:Q,9,False)</f>
        <v>#N/A</v>
      </c>
      <c r="Q11101" s="93" t="str">
        <f>VLOOKUP(E11101,DATABASE!C:Q,4,false)</f>
        <v>#N/A</v>
      </c>
      <c r="R11101" s="93" t="str">
        <f>VLOOKUP(E11101,DATABASE!C:Q,11,false)</f>
        <v>#N/A</v>
      </c>
    </row>
    <row r="11102" ht="22.5" customHeight="1">
      <c r="A11102" s="49"/>
      <c r="C11102" s="400"/>
      <c r="D11102" s="524"/>
      <c r="E11102" s="544"/>
      <c r="F11102" s="387"/>
      <c r="G11102" s="140"/>
      <c r="H11102" s="74"/>
      <c r="I11102" s="74">
        <f t="shared" si="7"/>
        <v>0</v>
      </c>
      <c r="J11102" s="74" t="str">
        <f>IF(E11102="SERVICE",I11102-(I11102*50%),Vlookup(E11102,DATABASE!C:Q,10,false)*F11102)</f>
        <v>#N/A</v>
      </c>
      <c r="K11102" s="74" t="str">
        <f>VLOOKUP(E11102,DATABASE!C:Q,7,false)</f>
        <v>#N/A</v>
      </c>
      <c r="L11102" s="74"/>
      <c r="M11102" s="74">
        <f t="shared" si="6"/>
        <v>0</v>
      </c>
      <c r="N11102" s="74" t="str">
        <f t="shared" si="9"/>
        <v>#N/A</v>
      </c>
      <c r="O11102" s="65" t="str">
        <f>VLOOKUP(E11102,DATABASE!C:Q,8,false)</f>
        <v>#N/A</v>
      </c>
      <c r="P11102" s="65" t="str">
        <f>VLOOKUP(E11102,DATABASE!C:Q,9,False)</f>
        <v>#N/A</v>
      </c>
      <c r="Q11102" s="93" t="str">
        <f>VLOOKUP(E11102,DATABASE!C:Q,4,false)</f>
        <v>#N/A</v>
      </c>
      <c r="R11102" s="93" t="str">
        <f>VLOOKUP(E11102,DATABASE!C:Q,11,false)</f>
        <v>#N/A</v>
      </c>
    </row>
    <row r="11103" ht="22.5" customHeight="1">
      <c r="A11103" s="49"/>
      <c r="C11103" s="400"/>
      <c r="D11103" s="524"/>
      <c r="E11103" s="544"/>
      <c r="F11103" s="387"/>
      <c r="G11103" s="140"/>
      <c r="H11103" s="74"/>
      <c r="I11103" s="74">
        <f t="shared" si="7"/>
        <v>0</v>
      </c>
      <c r="J11103" s="74" t="str">
        <f>IF(E11103="SERVICE",I11103-(I11103*50%),Vlookup(E11103,DATABASE!C:Q,10,false)*F11103)</f>
        <v>#N/A</v>
      </c>
      <c r="K11103" s="74" t="str">
        <f>VLOOKUP(E11103,DATABASE!C:Q,7,false)</f>
        <v>#N/A</v>
      </c>
      <c r="L11103" s="74"/>
      <c r="M11103" s="74">
        <f t="shared" si="6"/>
        <v>0</v>
      </c>
      <c r="N11103" s="74" t="str">
        <f t="shared" si="9"/>
        <v>#N/A</v>
      </c>
      <c r="O11103" s="65" t="str">
        <f>VLOOKUP(E11103,DATABASE!C:Q,8,false)</f>
        <v>#N/A</v>
      </c>
      <c r="P11103" s="65" t="str">
        <f>VLOOKUP(E11103,DATABASE!C:Q,9,False)</f>
        <v>#N/A</v>
      </c>
      <c r="Q11103" s="93" t="str">
        <f>VLOOKUP(E11103,DATABASE!C:Q,4,false)</f>
        <v>#N/A</v>
      </c>
      <c r="R11103" s="93" t="str">
        <f>VLOOKUP(E11103,DATABASE!C:Q,11,false)</f>
        <v>#N/A</v>
      </c>
    </row>
    <row r="11104" ht="22.5" customHeight="1">
      <c r="A11104" s="49"/>
      <c r="C11104" s="400"/>
      <c r="D11104" s="524"/>
      <c r="E11104" s="544"/>
      <c r="F11104" s="387"/>
      <c r="G11104" s="140"/>
      <c r="H11104" s="74"/>
      <c r="I11104" s="74">
        <f t="shared" si="7"/>
        <v>0</v>
      </c>
      <c r="J11104" s="74" t="str">
        <f>IF(E11104="SERVICE",I11104-(I11104*50%),Vlookup(E11104,DATABASE!C:Q,10,false)*F11104)</f>
        <v>#N/A</v>
      </c>
      <c r="K11104" s="74" t="str">
        <f>VLOOKUP(E11104,DATABASE!C:Q,7,false)</f>
        <v>#N/A</v>
      </c>
      <c r="L11104" s="74"/>
      <c r="M11104" s="74">
        <f t="shared" si="6"/>
        <v>0</v>
      </c>
      <c r="N11104" s="74" t="str">
        <f t="shared" si="9"/>
        <v>#N/A</v>
      </c>
      <c r="O11104" s="65" t="str">
        <f>VLOOKUP(E11104,DATABASE!C:Q,8,false)</f>
        <v>#N/A</v>
      </c>
      <c r="P11104" s="65" t="str">
        <f>VLOOKUP(E11104,DATABASE!C:Q,9,False)</f>
        <v>#N/A</v>
      </c>
      <c r="Q11104" s="93" t="str">
        <f>VLOOKUP(E11104,DATABASE!C:Q,4,false)</f>
        <v>#N/A</v>
      </c>
      <c r="R11104" s="93" t="str">
        <f>VLOOKUP(E11104,DATABASE!C:Q,11,false)</f>
        <v>#N/A</v>
      </c>
    </row>
    <row r="11105" ht="22.5" customHeight="1">
      <c r="A11105" s="49"/>
      <c r="C11105" s="400"/>
      <c r="D11105" s="524"/>
      <c r="E11105" s="544"/>
      <c r="F11105" s="387"/>
      <c r="G11105" s="140"/>
      <c r="H11105" s="74"/>
      <c r="I11105" s="74">
        <f t="shared" si="7"/>
        <v>0</v>
      </c>
      <c r="J11105" s="74" t="str">
        <f>IF(E11105="SERVICE",I11105-(I11105*50%),Vlookup(E11105,DATABASE!C:Q,10,false)*F11105)</f>
        <v>#N/A</v>
      </c>
      <c r="K11105" s="74" t="str">
        <f>VLOOKUP(E11105,DATABASE!C:Q,7,false)</f>
        <v>#N/A</v>
      </c>
      <c r="L11105" s="74"/>
      <c r="M11105" s="74">
        <f t="shared" si="6"/>
        <v>0</v>
      </c>
      <c r="N11105" s="74" t="str">
        <f t="shared" si="9"/>
        <v>#N/A</v>
      </c>
      <c r="O11105" s="65" t="str">
        <f>VLOOKUP(E11105,DATABASE!C:Q,8,false)</f>
        <v>#N/A</v>
      </c>
      <c r="P11105" s="65" t="str">
        <f>VLOOKUP(E11105,DATABASE!C:Q,9,False)</f>
        <v>#N/A</v>
      </c>
      <c r="Q11105" s="93" t="str">
        <f>VLOOKUP(E11105,DATABASE!C:Q,4,false)</f>
        <v>#N/A</v>
      </c>
      <c r="R11105" s="93" t="str">
        <f>VLOOKUP(E11105,DATABASE!C:Q,11,false)</f>
        <v>#N/A</v>
      </c>
    </row>
    <row r="11106" ht="22.5" customHeight="1">
      <c r="A11106" s="49"/>
      <c r="C11106" s="400"/>
      <c r="D11106" s="524"/>
      <c r="E11106" s="544"/>
      <c r="F11106" s="387"/>
      <c r="G11106" s="140"/>
      <c r="H11106" s="74"/>
      <c r="I11106" s="74">
        <f t="shared" si="7"/>
        <v>0</v>
      </c>
      <c r="J11106" s="74" t="str">
        <f>IF(E11106="SERVICE",I11106-(I11106*50%),Vlookup(E11106,DATABASE!C:Q,10,false)*F11106)</f>
        <v>#N/A</v>
      </c>
      <c r="K11106" s="74" t="str">
        <f>VLOOKUP(E11106,DATABASE!C:Q,7,false)</f>
        <v>#N/A</v>
      </c>
      <c r="L11106" s="74"/>
      <c r="M11106" s="74">
        <f t="shared" si="6"/>
        <v>0</v>
      </c>
      <c r="N11106" s="74" t="str">
        <f t="shared" si="9"/>
        <v>#N/A</v>
      </c>
      <c r="O11106" s="65" t="str">
        <f>VLOOKUP(E11106,DATABASE!C:Q,8,false)</f>
        <v>#N/A</v>
      </c>
      <c r="P11106" s="65" t="str">
        <f>VLOOKUP(E11106,DATABASE!C:Q,9,False)</f>
        <v>#N/A</v>
      </c>
      <c r="Q11106" s="93" t="str">
        <f>VLOOKUP(E11106,DATABASE!C:Q,4,false)</f>
        <v>#N/A</v>
      </c>
      <c r="R11106" s="93" t="str">
        <f>VLOOKUP(E11106,DATABASE!C:Q,11,false)</f>
        <v>#N/A</v>
      </c>
    </row>
    <row r="11107" ht="22.5" customHeight="1">
      <c r="A11107" s="49"/>
      <c r="C11107" s="400"/>
      <c r="D11107" s="524"/>
      <c r="E11107" s="544"/>
      <c r="F11107" s="387"/>
      <c r="G11107" s="140"/>
      <c r="H11107" s="74"/>
      <c r="I11107" s="74">
        <f t="shared" si="7"/>
        <v>0</v>
      </c>
      <c r="J11107" s="74" t="str">
        <f>IF(E11107="SERVICE",I11107-(I11107*50%),Vlookup(E11107,DATABASE!C:Q,10,false)*F11107)</f>
        <v>#N/A</v>
      </c>
      <c r="K11107" s="74" t="str">
        <f>VLOOKUP(E11107,DATABASE!C:Q,7,false)</f>
        <v>#N/A</v>
      </c>
      <c r="L11107" s="74"/>
      <c r="M11107" s="74">
        <f t="shared" si="6"/>
        <v>0</v>
      </c>
      <c r="N11107" s="74" t="str">
        <f t="shared" si="9"/>
        <v>#N/A</v>
      </c>
      <c r="O11107" s="65" t="str">
        <f>VLOOKUP(E11107,DATABASE!C:Q,8,false)</f>
        <v>#N/A</v>
      </c>
      <c r="P11107" s="65" t="str">
        <f>VLOOKUP(E11107,DATABASE!C:Q,9,False)</f>
        <v>#N/A</v>
      </c>
      <c r="Q11107" s="93" t="str">
        <f>VLOOKUP(E11107,DATABASE!C:Q,4,false)</f>
        <v>#N/A</v>
      </c>
      <c r="R11107" s="93" t="str">
        <f>VLOOKUP(E11107,DATABASE!C:Q,11,false)</f>
        <v>#N/A</v>
      </c>
    </row>
    <row r="11108" ht="22.5" customHeight="1">
      <c r="A11108" s="49"/>
      <c r="C11108" s="400"/>
      <c r="D11108" s="524"/>
      <c r="E11108" s="544"/>
      <c r="F11108" s="387"/>
      <c r="G11108" s="140"/>
      <c r="H11108" s="74"/>
      <c r="I11108" s="74">
        <f t="shared" si="7"/>
        <v>0</v>
      </c>
      <c r="J11108" s="74" t="str">
        <f>IF(E11108="SERVICE",I11108-(I11108*50%),Vlookup(E11108,DATABASE!C:Q,10,false)*F11108)</f>
        <v>#N/A</v>
      </c>
      <c r="K11108" s="74" t="str">
        <f>VLOOKUP(E11108,DATABASE!C:Q,7,false)</f>
        <v>#N/A</v>
      </c>
      <c r="L11108" s="74"/>
      <c r="M11108" s="74">
        <f t="shared" si="6"/>
        <v>0</v>
      </c>
      <c r="N11108" s="74" t="str">
        <f t="shared" si="9"/>
        <v>#N/A</v>
      </c>
      <c r="O11108" s="65" t="str">
        <f>VLOOKUP(E11108,DATABASE!C:Q,8,false)</f>
        <v>#N/A</v>
      </c>
      <c r="P11108" s="65" t="str">
        <f>VLOOKUP(E11108,DATABASE!C:Q,9,False)</f>
        <v>#N/A</v>
      </c>
      <c r="Q11108" s="93" t="str">
        <f>VLOOKUP(E11108,DATABASE!C:Q,4,false)</f>
        <v>#N/A</v>
      </c>
      <c r="R11108" s="93" t="str">
        <f>VLOOKUP(E11108,DATABASE!C:Q,11,false)</f>
        <v>#N/A</v>
      </c>
    </row>
    <row r="11109" ht="22.5" customHeight="1">
      <c r="A11109" s="49"/>
      <c r="C11109" s="400"/>
      <c r="D11109" s="524"/>
      <c r="E11109" s="544"/>
      <c r="F11109" s="387"/>
      <c r="G11109" s="140"/>
      <c r="H11109" s="74"/>
      <c r="I11109" s="74">
        <f t="shared" si="7"/>
        <v>0</v>
      </c>
      <c r="J11109" s="74" t="str">
        <f>IF(E11109="SERVICE",I11109-(I11109*50%),Vlookup(E11109,DATABASE!C:Q,10,false)*F11109)</f>
        <v>#N/A</v>
      </c>
      <c r="K11109" s="74" t="str">
        <f>VLOOKUP(E11109,DATABASE!C:Q,7,false)</f>
        <v>#N/A</v>
      </c>
      <c r="L11109" s="74"/>
      <c r="M11109" s="74">
        <f t="shared" si="6"/>
        <v>0</v>
      </c>
      <c r="N11109" s="74" t="str">
        <f t="shared" si="9"/>
        <v>#N/A</v>
      </c>
      <c r="O11109" s="65" t="str">
        <f>VLOOKUP(E11109,DATABASE!C:Q,8,false)</f>
        <v>#N/A</v>
      </c>
      <c r="P11109" s="65" t="str">
        <f>VLOOKUP(E11109,DATABASE!C:Q,9,False)</f>
        <v>#N/A</v>
      </c>
      <c r="Q11109" s="93" t="str">
        <f>VLOOKUP(E11109,DATABASE!C:Q,4,false)</f>
        <v>#N/A</v>
      </c>
      <c r="R11109" s="93" t="str">
        <f>VLOOKUP(E11109,DATABASE!C:Q,11,false)</f>
        <v>#N/A</v>
      </c>
    </row>
    <row r="11110" ht="22.5" customHeight="1">
      <c r="A11110" s="49"/>
      <c r="C11110" s="400"/>
      <c r="D11110" s="524"/>
      <c r="E11110" s="544"/>
      <c r="F11110" s="387"/>
      <c r="G11110" s="140"/>
      <c r="H11110" s="74"/>
      <c r="I11110" s="74">
        <f t="shared" si="7"/>
        <v>0</v>
      </c>
      <c r="J11110" s="74" t="str">
        <f>IF(E11110="SERVICE",I11110-(I11110*50%),Vlookup(E11110,DATABASE!C:Q,10,false)*F11110)</f>
        <v>#N/A</v>
      </c>
      <c r="K11110" s="74" t="str">
        <f>VLOOKUP(E11110,DATABASE!C:Q,7,false)</f>
        <v>#N/A</v>
      </c>
      <c r="L11110" s="74"/>
      <c r="M11110" s="74">
        <f t="shared" si="6"/>
        <v>0</v>
      </c>
      <c r="N11110" s="74" t="str">
        <f t="shared" si="9"/>
        <v>#N/A</v>
      </c>
      <c r="O11110" s="65" t="str">
        <f>VLOOKUP(E11110,DATABASE!C:Q,8,false)</f>
        <v>#N/A</v>
      </c>
      <c r="P11110" s="65" t="str">
        <f>VLOOKUP(E11110,DATABASE!C:Q,9,False)</f>
        <v>#N/A</v>
      </c>
      <c r="Q11110" s="93" t="str">
        <f>VLOOKUP(E11110,DATABASE!C:Q,4,false)</f>
        <v>#N/A</v>
      </c>
      <c r="R11110" s="93" t="str">
        <f>VLOOKUP(E11110,DATABASE!C:Q,11,false)</f>
        <v>#N/A</v>
      </c>
    </row>
    <row r="11111" ht="22.5" customHeight="1">
      <c r="A11111" s="49"/>
      <c r="C11111" s="400"/>
      <c r="D11111" s="524"/>
      <c r="E11111" s="544"/>
      <c r="F11111" s="387"/>
      <c r="G11111" s="140"/>
      <c r="H11111" s="74"/>
      <c r="I11111" s="74">
        <f t="shared" si="7"/>
        <v>0</v>
      </c>
      <c r="J11111" s="74" t="str">
        <f>IF(E11111="SERVICE",I11111-(I11111*50%),Vlookup(E11111,DATABASE!C:Q,10,false)*F11111)</f>
        <v>#N/A</v>
      </c>
      <c r="K11111" s="74" t="str">
        <f>VLOOKUP(E11111,DATABASE!C:Q,7,false)</f>
        <v>#N/A</v>
      </c>
      <c r="L11111" s="74"/>
      <c r="M11111" s="74">
        <f t="shared" si="6"/>
        <v>0</v>
      </c>
      <c r="N11111" s="74" t="str">
        <f t="shared" si="9"/>
        <v>#N/A</v>
      </c>
      <c r="O11111" s="65" t="str">
        <f>VLOOKUP(E11111,DATABASE!C:Q,8,false)</f>
        <v>#N/A</v>
      </c>
      <c r="P11111" s="65" t="str">
        <f>VLOOKUP(E11111,DATABASE!C:Q,9,False)</f>
        <v>#N/A</v>
      </c>
      <c r="Q11111" s="93" t="str">
        <f>VLOOKUP(E11111,DATABASE!C:Q,4,false)</f>
        <v>#N/A</v>
      </c>
      <c r="R11111" s="93" t="str">
        <f>VLOOKUP(E11111,DATABASE!C:Q,11,false)</f>
        <v>#N/A</v>
      </c>
    </row>
    <row r="11112" ht="22.5" customHeight="1">
      <c r="A11112" s="49"/>
      <c r="C11112" s="400"/>
      <c r="D11112" s="524"/>
      <c r="E11112" s="544"/>
      <c r="F11112" s="387"/>
      <c r="G11112" s="140"/>
      <c r="H11112" s="74"/>
      <c r="I11112" s="74">
        <f t="shared" si="7"/>
        <v>0</v>
      </c>
      <c r="J11112" s="74" t="str">
        <f>IF(E11112="SERVICE",I11112-(I11112*50%),Vlookup(E11112,DATABASE!C:Q,10,false)*F11112)</f>
        <v>#N/A</v>
      </c>
      <c r="K11112" s="74" t="str">
        <f>VLOOKUP(E11112,DATABASE!C:Q,7,false)</f>
        <v>#N/A</v>
      </c>
      <c r="L11112" s="74"/>
      <c r="M11112" s="74">
        <f t="shared" si="6"/>
        <v>0</v>
      </c>
      <c r="N11112" s="74" t="str">
        <f t="shared" si="9"/>
        <v>#N/A</v>
      </c>
      <c r="O11112" s="65" t="str">
        <f>VLOOKUP(E11112,DATABASE!C:Q,8,false)</f>
        <v>#N/A</v>
      </c>
      <c r="P11112" s="65" t="str">
        <f>VLOOKUP(E11112,DATABASE!C:Q,9,False)</f>
        <v>#N/A</v>
      </c>
      <c r="Q11112" s="93" t="str">
        <f>VLOOKUP(E11112,DATABASE!C:Q,4,false)</f>
        <v>#N/A</v>
      </c>
      <c r="R11112" s="93" t="str">
        <f>VLOOKUP(E11112,DATABASE!C:Q,11,false)</f>
        <v>#N/A</v>
      </c>
    </row>
    <row r="11113" ht="22.5" customHeight="1">
      <c r="A11113" s="49"/>
      <c r="C11113" s="400"/>
      <c r="D11113" s="524"/>
      <c r="E11113" s="544"/>
      <c r="F11113" s="387"/>
      <c r="G11113" s="140"/>
      <c r="H11113" s="74"/>
      <c r="I11113" s="74">
        <f t="shared" si="7"/>
        <v>0</v>
      </c>
      <c r="J11113" s="74" t="str">
        <f>IF(E11113="SERVICE",I11113-(I11113*50%),Vlookup(E11113,DATABASE!C:Q,10,false)*F11113)</f>
        <v>#N/A</v>
      </c>
      <c r="K11113" s="74" t="str">
        <f>VLOOKUP(E11113,DATABASE!C:Q,7,false)</f>
        <v>#N/A</v>
      </c>
      <c r="L11113" s="74"/>
      <c r="M11113" s="74">
        <f t="shared" si="6"/>
        <v>0</v>
      </c>
      <c r="N11113" s="74" t="str">
        <f t="shared" si="9"/>
        <v>#N/A</v>
      </c>
      <c r="O11113" s="65" t="str">
        <f>VLOOKUP(E11113,DATABASE!C:Q,8,false)</f>
        <v>#N/A</v>
      </c>
      <c r="P11113" s="65" t="str">
        <f>VLOOKUP(E11113,DATABASE!C:Q,9,False)</f>
        <v>#N/A</v>
      </c>
      <c r="Q11113" s="93" t="str">
        <f>VLOOKUP(E11113,DATABASE!C:Q,4,false)</f>
        <v>#N/A</v>
      </c>
      <c r="R11113" s="93" t="str">
        <f>VLOOKUP(E11113,DATABASE!C:Q,11,false)</f>
        <v>#N/A</v>
      </c>
    </row>
    <row r="11114" ht="22.5" customHeight="1">
      <c r="A11114" s="49"/>
      <c r="C11114" s="400"/>
      <c r="D11114" s="524"/>
      <c r="E11114" s="544"/>
      <c r="F11114" s="387"/>
      <c r="G11114" s="140"/>
      <c r="H11114" s="74"/>
      <c r="I11114" s="74">
        <f t="shared" si="7"/>
        <v>0</v>
      </c>
      <c r="J11114" s="74" t="str">
        <f>IF(E11114="SERVICE",I11114-(I11114*50%),Vlookup(E11114,DATABASE!C:Q,10,false)*F11114)</f>
        <v>#N/A</v>
      </c>
      <c r="K11114" s="74" t="str">
        <f>VLOOKUP(E11114,DATABASE!C:Q,7,false)</f>
        <v>#N/A</v>
      </c>
      <c r="L11114" s="74"/>
      <c r="M11114" s="74">
        <f t="shared" si="6"/>
        <v>0</v>
      </c>
      <c r="N11114" s="74" t="str">
        <f t="shared" si="9"/>
        <v>#N/A</v>
      </c>
      <c r="O11114" s="65" t="str">
        <f>VLOOKUP(E11114,DATABASE!C:Q,8,false)</f>
        <v>#N/A</v>
      </c>
      <c r="P11114" s="65" t="str">
        <f>VLOOKUP(E11114,DATABASE!C:Q,9,False)</f>
        <v>#N/A</v>
      </c>
      <c r="Q11114" s="93" t="str">
        <f>VLOOKUP(E11114,DATABASE!C:Q,4,false)</f>
        <v>#N/A</v>
      </c>
      <c r="R11114" s="93" t="str">
        <f>VLOOKUP(E11114,DATABASE!C:Q,11,false)</f>
        <v>#N/A</v>
      </c>
    </row>
    <row r="11115" ht="22.5" customHeight="1">
      <c r="A11115" s="49"/>
      <c r="C11115" s="400"/>
      <c r="D11115" s="524"/>
      <c r="E11115" s="544"/>
      <c r="F11115" s="387"/>
      <c r="G11115" s="140"/>
      <c r="H11115" s="74"/>
      <c r="I11115" s="74">
        <f t="shared" si="7"/>
        <v>0</v>
      </c>
      <c r="J11115" s="74" t="str">
        <f>IF(E11115="SERVICE",I11115-(I11115*50%),Vlookup(E11115,DATABASE!C:Q,10,false)*F11115)</f>
        <v>#N/A</v>
      </c>
      <c r="K11115" s="74" t="str">
        <f>VLOOKUP(E11115,DATABASE!C:Q,7,false)</f>
        <v>#N/A</v>
      </c>
      <c r="L11115" s="74"/>
      <c r="M11115" s="74">
        <f t="shared" si="6"/>
        <v>0</v>
      </c>
      <c r="N11115" s="74" t="str">
        <f t="shared" si="9"/>
        <v>#N/A</v>
      </c>
      <c r="O11115" s="65" t="str">
        <f>VLOOKUP(E11115,DATABASE!C:Q,8,false)</f>
        <v>#N/A</v>
      </c>
      <c r="P11115" s="65" t="str">
        <f>VLOOKUP(E11115,DATABASE!C:Q,9,False)</f>
        <v>#N/A</v>
      </c>
      <c r="Q11115" s="93" t="str">
        <f>VLOOKUP(E11115,DATABASE!C:Q,4,false)</f>
        <v>#N/A</v>
      </c>
      <c r="R11115" s="93" t="str">
        <f>VLOOKUP(E11115,DATABASE!C:Q,11,false)</f>
        <v>#N/A</v>
      </c>
    </row>
    <row r="11116" ht="22.5" customHeight="1">
      <c r="A11116" s="49"/>
      <c r="C11116" s="400"/>
      <c r="D11116" s="524"/>
      <c r="E11116" s="544"/>
      <c r="F11116" s="387"/>
      <c r="G11116" s="140"/>
      <c r="H11116" s="74"/>
      <c r="I11116" s="74">
        <f t="shared" si="7"/>
        <v>0</v>
      </c>
      <c r="J11116" s="74" t="str">
        <f>IF(E11116="SERVICE",I11116-(I11116*50%),Vlookup(E11116,DATABASE!C:Q,10,false)*F11116)</f>
        <v>#N/A</v>
      </c>
      <c r="K11116" s="74" t="str">
        <f>VLOOKUP(E11116,DATABASE!C:Q,7,false)</f>
        <v>#N/A</v>
      </c>
      <c r="L11116" s="74"/>
      <c r="M11116" s="74">
        <f t="shared" si="6"/>
        <v>0</v>
      </c>
      <c r="N11116" s="74" t="str">
        <f t="shared" si="9"/>
        <v>#N/A</v>
      </c>
      <c r="O11116" s="65" t="str">
        <f>VLOOKUP(E11116,DATABASE!C:Q,8,false)</f>
        <v>#N/A</v>
      </c>
      <c r="P11116" s="65" t="str">
        <f>VLOOKUP(E11116,DATABASE!C:Q,9,False)</f>
        <v>#N/A</v>
      </c>
      <c r="Q11116" s="93" t="str">
        <f>VLOOKUP(E11116,DATABASE!C:Q,4,false)</f>
        <v>#N/A</v>
      </c>
      <c r="R11116" s="93" t="str">
        <f>VLOOKUP(E11116,DATABASE!C:Q,11,false)</f>
        <v>#N/A</v>
      </c>
    </row>
    <row r="11117" ht="22.5" customHeight="1">
      <c r="A11117" s="49"/>
      <c r="C11117" s="400"/>
      <c r="D11117" s="524"/>
      <c r="E11117" s="544"/>
      <c r="F11117" s="387"/>
      <c r="G11117" s="140"/>
      <c r="H11117" s="74"/>
      <c r="I11117" s="74">
        <f t="shared" si="7"/>
        <v>0</v>
      </c>
      <c r="J11117" s="74" t="str">
        <f>IF(E11117="SERVICE",I11117-(I11117*50%),Vlookup(E11117,DATABASE!C:Q,10,false)*F11117)</f>
        <v>#N/A</v>
      </c>
      <c r="K11117" s="74" t="str">
        <f>VLOOKUP(E11117,DATABASE!C:Q,7,false)</f>
        <v>#N/A</v>
      </c>
      <c r="L11117" s="74"/>
      <c r="M11117" s="74">
        <f t="shared" si="6"/>
        <v>0</v>
      </c>
      <c r="N11117" s="74" t="str">
        <f t="shared" si="9"/>
        <v>#N/A</v>
      </c>
      <c r="O11117" s="65" t="str">
        <f>VLOOKUP(E11117,DATABASE!C:Q,8,false)</f>
        <v>#N/A</v>
      </c>
      <c r="P11117" s="65" t="str">
        <f>VLOOKUP(E11117,DATABASE!C:Q,9,False)</f>
        <v>#N/A</v>
      </c>
      <c r="Q11117" s="93" t="str">
        <f>VLOOKUP(E11117,DATABASE!C:Q,4,false)</f>
        <v>#N/A</v>
      </c>
      <c r="R11117" s="93" t="str">
        <f>VLOOKUP(E11117,DATABASE!C:Q,11,false)</f>
        <v>#N/A</v>
      </c>
    </row>
    <row r="11118" ht="22.5" customHeight="1">
      <c r="A11118" s="49"/>
      <c r="C11118" s="400"/>
      <c r="D11118" s="524"/>
      <c r="E11118" s="544"/>
      <c r="F11118" s="387"/>
      <c r="G11118" s="140"/>
      <c r="H11118" s="74"/>
      <c r="I11118" s="74">
        <f t="shared" si="7"/>
        <v>0</v>
      </c>
      <c r="J11118" s="74" t="str">
        <f>IF(E11118="SERVICE",I11118-(I11118*50%),Vlookup(E11118,DATABASE!C:Q,10,false)*F11118)</f>
        <v>#N/A</v>
      </c>
      <c r="K11118" s="74" t="str">
        <f>VLOOKUP(E11118,DATABASE!C:Q,7,false)</f>
        <v>#N/A</v>
      </c>
      <c r="L11118" s="74"/>
      <c r="M11118" s="74">
        <f t="shared" si="6"/>
        <v>0</v>
      </c>
      <c r="N11118" s="74" t="str">
        <f t="shared" si="9"/>
        <v>#N/A</v>
      </c>
      <c r="O11118" s="65" t="str">
        <f>VLOOKUP(E11118,DATABASE!C:Q,8,false)</f>
        <v>#N/A</v>
      </c>
      <c r="P11118" s="65" t="str">
        <f>VLOOKUP(E11118,DATABASE!C:Q,9,False)</f>
        <v>#N/A</v>
      </c>
      <c r="Q11118" s="93" t="str">
        <f>VLOOKUP(E11118,DATABASE!C:Q,4,false)</f>
        <v>#N/A</v>
      </c>
      <c r="R11118" s="93" t="str">
        <f>VLOOKUP(E11118,DATABASE!C:Q,11,false)</f>
        <v>#N/A</v>
      </c>
    </row>
    <row r="11119" ht="22.5" customHeight="1">
      <c r="A11119" s="49"/>
      <c r="C11119" s="400"/>
      <c r="D11119" s="524"/>
      <c r="E11119" s="544"/>
      <c r="F11119" s="387"/>
      <c r="G11119" s="140"/>
      <c r="H11119" s="74"/>
      <c r="I11119" s="74">
        <f t="shared" si="7"/>
        <v>0</v>
      </c>
      <c r="J11119" s="74" t="str">
        <f>IF(E11119="SERVICE",I11119-(I11119*50%),Vlookup(E11119,DATABASE!C:Q,10,false)*F11119)</f>
        <v>#N/A</v>
      </c>
      <c r="K11119" s="74" t="str">
        <f>VLOOKUP(E11119,DATABASE!C:Q,7,false)</f>
        <v>#N/A</v>
      </c>
      <c r="L11119" s="74"/>
      <c r="M11119" s="74">
        <f t="shared" si="6"/>
        <v>0</v>
      </c>
      <c r="N11119" s="74" t="str">
        <f t="shared" si="9"/>
        <v>#N/A</v>
      </c>
      <c r="O11119" s="65" t="str">
        <f>VLOOKUP(E11119,DATABASE!C:Q,8,false)</f>
        <v>#N/A</v>
      </c>
      <c r="P11119" s="65" t="str">
        <f>VLOOKUP(E11119,DATABASE!C:Q,9,False)</f>
        <v>#N/A</v>
      </c>
      <c r="Q11119" s="93" t="str">
        <f>VLOOKUP(E11119,DATABASE!C:Q,4,false)</f>
        <v>#N/A</v>
      </c>
      <c r="R11119" s="93" t="str">
        <f>VLOOKUP(E11119,DATABASE!C:Q,11,false)</f>
        <v>#N/A</v>
      </c>
    </row>
    <row r="11120" ht="22.5" customHeight="1">
      <c r="A11120" s="49"/>
      <c r="C11120" s="400"/>
      <c r="D11120" s="524"/>
      <c r="E11120" s="544"/>
      <c r="F11120" s="387"/>
      <c r="G11120" s="140"/>
      <c r="H11120" s="74"/>
      <c r="I11120" s="74">
        <f t="shared" si="7"/>
        <v>0</v>
      </c>
      <c r="J11120" s="74" t="str">
        <f>IF(E11120="SERVICE",I11120-(I11120*50%),Vlookup(E11120,DATABASE!C:Q,10,false)*F11120)</f>
        <v>#N/A</v>
      </c>
      <c r="K11120" s="74" t="str">
        <f>VLOOKUP(E11120,DATABASE!C:Q,7,false)</f>
        <v>#N/A</v>
      </c>
      <c r="L11120" s="74"/>
      <c r="M11120" s="74">
        <f t="shared" si="6"/>
        <v>0</v>
      </c>
      <c r="N11120" s="74" t="str">
        <f t="shared" si="9"/>
        <v>#N/A</v>
      </c>
      <c r="O11120" s="65" t="str">
        <f>VLOOKUP(E11120,DATABASE!C:Q,8,false)</f>
        <v>#N/A</v>
      </c>
      <c r="P11120" s="65" t="str">
        <f>VLOOKUP(E11120,DATABASE!C:Q,9,False)</f>
        <v>#N/A</v>
      </c>
      <c r="Q11120" s="93" t="str">
        <f>VLOOKUP(E11120,DATABASE!C:Q,4,false)</f>
        <v>#N/A</v>
      </c>
      <c r="R11120" s="93" t="str">
        <f>VLOOKUP(E11120,DATABASE!C:Q,11,false)</f>
        <v>#N/A</v>
      </c>
    </row>
    <row r="11121" ht="22.5" customHeight="1">
      <c r="A11121" s="49"/>
      <c r="C11121" s="400"/>
      <c r="D11121" s="524"/>
      <c r="E11121" s="544"/>
      <c r="F11121" s="387"/>
      <c r="G11121" s="140"/>
      <c r="H11121" s="74"/>
      <c r="I11121" s="74">
        <f t="shared" si="7"/>
        <v>0</v>
      </c>
      <c r="J11121" s="74" t="str">
        <f>IF(E11121="SERVICE",I11121-(I11121*50%),Vlookup(E11121,DATABASE!C:Q,10,false)*F11121)</f>
        <v>#N/A</v>
      </c>
      <c r="K11121" s="74" t="str">
        <f>VLOOKUP(E11121,DATABASE!C:Q,7,false)</f>
        <v>#N/A</v>
      </c>
      <c r="L11121" s="74"/>
      <c r="M11121" s="74">
        <f t="shared" si="6"/>
        <v>0</v>
      </c>
      <c r="N11121" s="74" t="str">
        <f t="shared" si="9"/>
        <v>#N/A</v>
      </c>
      <c r="O11121" s="65" t="str">
        <f>VLOOKUP(E11121,DATABASE!C:Q,8,false)</f>
        <v>#N/A</v>
      </c>
      <c r="P11121" s="65" t="str">
        <f>VLOOKUP(E11121,DATABASE!C:Q,9,False)</f>
        <v>#N/A</v>
      </c>
      <c r="Q11121" s="93" t="str">
        <f>VLOOKUP(E11121,DATABASE!C:Q,4,false)</f>
        <v>#N/A</v>
      </c>
      <c r="R11121" s="93" t="str">
        <f>VLOOKUP(E11121,DATABASE!C:Q,11,false)</f>
        <v>#N/A</v>
      </c>
    </row>
    <row r="11122" ht="22.5" customHeight="1">
      <c r="A11122" s="49"/>
      <c r="C11122" s="400"/>
      <c r="D11122" s="524"/>
      <c r="E11122" s="544"/>
      <c r="F11122" s="387"/>
      <c r="G11122" s="140"/>
      <c r="H11122" s="74"/>
      <c r="I11122" s="74">
        <f t="shared" si="7"/>
        <v>0</v>
      </c>
      <c r="J11122" s="74" t="str">
        <f>IF(E11122="SERVICE",I11122-(I11122*50%),Vlookup(E11122,DATABASE!C:Q,10,false)*F11122)</f>
        <v>#N/A</v>
      </c>
      <c r="K11122" s="74" t="str">
        <f>VLOOKUP(E11122,DATABASE!C:Q,7,false)</f>
        <v>#N/A</v>
      </c>
      <c r="L11122" s="74"/>
      <c r="M11122" s="74">
        <f t="shared" si="6"/>
        <v>0</v>
      </c>
      <c r="N11122" s="74" t="str">
        <f t="shared" si="9"/>
        <v>#N/A</v>
      </c>
      <c r="O11122" s="65" t="str">
        <f>VLOOKUP(E11122,DATABASE!C:Q,8,false)</f>
        <v>#N/A</v>
      </c>
      <c r="P11122" s="65" t="str">
        <f>VLOOKUP(E11122,DATABASE!C:Q,9,False)</f>
        <v>#N/A</v>
      </c>
      <c r="Q11122" s="93" t="str">
        <f>VLOOKUP(E11122,DATABASE!C:Q,4,false)</f>
        <v>#N/A</v>
      </c>
      <c r="R11122" s="93" t="str">
        <f>VLOOKUP(E11122,DATABASE!C:Q,11,false)</f>
        <v>#N/A</v>
      </c>
    </row>
    <row r="11123" ht="22.5" customHeight="1">
      <c r="A11123" s="49"/>
      <c r="C11123" s="400"/>
      <c r="D11123" s="524"/>
      <c r="E11123" s="544"/>
      <c r="F11123" s="387"/>
      <c r="G11123" s="140"/>
      <c r="H11123" s="74"/>
      <c r="I11123" s="74">
        <f t="shared" si="7"/>
        <v>0</v>
      </c>
      <c r="J11123" s="74" t="str">
        <f>IF(E11123="SERVICE",I11123-(I11123*50%),Vlookup(E11123,DATABASE!C:Q,10,false)*F11123)</f>
        <v>#N/A</v>
      </c>
      <c r="K11123" s="74" t="str">
        <f>VLOOKUP(E11123,DATABASE!C:Q,7,false)</f>
        <v>#N/A</v>
      </c>
      <c r="L11123" s="74"/>
      <c r="M11123" s="74">
        <f t="shared" si="6"/>
        <v>0</v>
      </c>
      <c r="N11123" s="74" t="str">
        <f t="shared" si="9"/>
        <v>#N/A</v>
      </c>
      <c r="O11123" s="65" t="str">
        <f>VLOOKUP(E11123,DATABASE!C:Q,8,false)</f>
        <v>#N/A</v>
      </c>
      <c r="P11123" s="65" t="str">
        <f>VLOOKUP(E11123,DATABASE!C:Q,9,False)</f>
        <v>#N/A</v>
      </c>
      <c r="Q11123" s="93" t="str">
        <f>VLOOKUP(E11123,DATABASE!C:Q,4,false)</f>
        <v>#N/A</v>
      </c>
      <c r="R11123" s="93" t="str">
        <f>VLOOKUP(E11123,DATABASE!C:Q,11,false)</f>
        <v>#N/A</v>
      </c>
    </row>
    <row r="11124" ht="22.5" customHeight="1">
      <c r="A11124" s="49"/>
      <c r="C11124" s="400"/>
      <c r="D11124" s="524"/>
      <c r="E11124" s="544"/>
      <c r="F11124" s="387"/>
      <c r="G11124" s="140"/>
      <c r="H11124" s="74"/>
      <c r="I11124" s="74">
        <f t="shared" si="7"/>
        <v>0</v>
      </c>
      <c r="J11124" s="74" t="str">
        <f>IF(E11124="SERVICE",I11124-(I11124*50%),Vlookup(E11124,DATABASE!C:Q,10,false)*F11124)</f>
        <v>#N/A</v>
      </c>
      <c r="K11124" s="74" t="str">
        <f>VLOOKUP(E11124,DATABASE!C:Q,7,false)</f>
        <v>#N/A</v>
      </c>
      <c r="L11124" s="74"/>
      <c r="M11124" s="74">
        <f t="shared" si="6"/>
        <v>0</v>
      </c>
      <c r="N11124" s="74" t="str">
        <f t="shared" si="9"/>
        <v>#N/A</v>
      </c>
      <c r="O11124" s="65" t="str">
        <f>VLOOKUP(E11124,DATABASE!C:Q,8,false)</f>
        <v>#N/A</v>
      </c>
      <c r="P11124" s="65" t="str">
        <f>VLOOKUP(E11124,DATABASE!C:Q,9,False)</f>
        <v>#N/A</v>
      </c>
      <c r="Q11124" s="93" t="str">
        <f>VLOOKUP(E11124,DATABASE!C:Q,4,false)</f>
        <v>#N/A</v>
      </c>
      <c r="R11124" s="93" t="str">
        <f>VLOOKUP(E11124,DATABASE!C:Q,11,false)</f>
        <v>#N/A</v>
      </c>
    </row>
    <row r="11125" ht="22.5" customHeight="1">
      <c r="A11125" s="49"/>
      <c r="C11125" s="400"/>
      <c r="D11125" s="524"/>
      <c r="E11125" s="544"/>
      <c r="F11125" s="387"/>
      <c r="G11125" s="140"/>
      <c r="H11125" s="74"/>
      <c r="I11125" s="74">
        <f t="shared" si="7"/>
        <v>0</v>
      </c>
      <c r="J11125" s="74" t="str">
        <f>IF(E11125="SERVICE",I11125-(I11125*50%),Vlookup(E11125,DATABASE!C:Q,10,false)*F11125)</f>
        <v>#N/A</v>
      </c>
      <c r="K11125" s="74" t="str">
        <f>VLOOKUP(E11125,DATABASE!C:Q,7,false)</f>
        <v>#N/A</v>
      </c>
      <c r="L11125" s="74"/>
      <c r="M11125" s="74">
        <f t="shared" si="6"/>
        <v>0</v>
      </c>
      <c r="N11125" s="74" t="str">
        <f t="shared" si="9"/>
        <v>#N/A</v>
      </c>
      <c r="O11125" s="65" t="str">
        <f>VLOOKUP(E11125,DATABASE!C:Q,8,false)</f>
        <v>#N/A</v>
      </c>
      <c r="P11125" s="65" t="str">
        <f>VLOOKUP(E11125,DATABASE!C:Q,9,False)</f>
        <v>#N/A</v>
      </c>
      <c r="Q11125" s="93" t="str">
        <f>VLOOKUP(E11125,DATABASE!C:Q,4,false)</f>
        <v>#N/A</v>
      </c>
      <c r="R11125" s="93" t="str">
        <f>VLOOKUP(E11125,DATABASE!C:Q,11,false)</f>
        <v>#N/A</v>
      </c>
    </row>
    <row r="11126" ht="22.5" customHeight="1">
      <c r="A11126" s="49"/>
      <c r="C11126" s="400"/>
      <c r="D11126" s="524"/>
      <c r="E11126" s="544"/>
      <c r="F11126" s="387"/>
      <c r="G11126" s="140"/>
      <c r="H11126" s="74"/>
      <c r="I11126" s="74">
        <f t="shared" si="7"/>
        <v>0</v>
      </c>
      <c r="J11126" s="74" t="str">
        <f>IF(E11126="SERVICE",I11126-(I11126*50%),Vlookup(E11126,DATABASE!C:Q,10,false)*F11126)</f>
        <v>#N/A</v>
      </c>
      <c r="K11126" s="74" t="str">
        <f>VLOOKUP(E11126,DATABASE!C:Q,7,false)</f>
        <v>#N/A</v>
      </c>
      <c r="L11126" s="74"/>
      <c r="M11126" s="74">
        <f t="shared" si="6"/>
        <v>0</v>
      </c>
      <c r="N11126" s="74" t="str">
        <f t="shared" si="9"/>
        <v>#N/A</v>
      </c>
      <c r="O11126" s="65" t="str">
        <f>VLOOKUP(E11126,DATABASE!C:Q,8,false)</f>
        <v>#N/A</v>
      </c>
      <c r="P11126" s="65" t="str">
        <f>VLOOKUP(E11126,DATABASE!C:Q,9,False)</f>
        <v>#N/A</v>
      </c>
      <c r="Q11126" s="93" t="str">
        <f>VLOOKUP(E11126,DATABASE!C:Q,4,false)</f>
        <v>#N/A</v>
      </c>
      <c r="R11126" s="93" t="str">
        <f>VLOOKUP(E11126,DATABASE!C:Q,11,false)</f>
        <v>#N/A</v>
      </c>
    </row>
    <row r="11127" ht="22.5" customHeight="1">
      <c r="A11127" s="49"/>
      <c r="C11127" s="400"/>
      <c r="D11127" s="524"/>
      <c r="E11127" s="544"/>
      <c r="F11127" s="387"/>
      <c r="G11127" s="140"/>
      <c r="H11127" s="74"/>
      <c r="I11127" s="74">
        <f t="shared" si="7"/>
        <v>0</v>
      </c>
      <c r="J11127" s="74" t="str">
        <f>IF(E11127="SERVICE",I11127-(I11127*50%),Vlookup(E11127,DATABASE!C:Q,10,false)*F11127)</f>
        <v>#N/A</v>
      </c>
      <c r="K11127" s="74" t="str">
        <f>VLOOKUP(E11127,DATABASE!C:Q,7,false)</f>
        <v>#N/A</v>
      </c>
      <c r="L11127" s="74"/>
      <c r="M11127" s="74">
        <f t="shared" si="6"/>
        <v>0</v>
      </c>
      <c r="N11127" s="74" t="str">
        <f t="shared" si="9"/>
        <v>#N/A</v>
      </c>
      <c r="O11127" s="65" t="str">
        <f>VLOOKUP(E11127,DATABASE!C:Q,8,false)</f>
        <v>#N/A</v>
      </c>
      <c r="P11127" s="65" t="str">
        <f>VLOOKUP(E11127,DATABASE!C:Q,9,False)</f>
        <v>#N/A</v>
      </c>
      <c r="Q11127" s="93" t="str">
        <f>VLOOKUP(E11127,DATABASE!C:Q,4,false)</f>
        <v>#N/A</v>
      </c>
      <c r="R11127" s="93" t="str">
        <f>VLOOKUP(E11127,DATABASE!C:Q,11,false)</f>
        <v>#N/A</v>
      </c>
    </row>
    <row r="11128" ht="22.5" customHeight="1">
      <c r="A11128" s="49"/>
      <c r="C11128" s="400"/>
      <c r="D11128" s="524"/>
      <c r="E11128" s="544"/>
      <c r="F11128" s="387"/>
      <c r="G11128" s="140"/>
      <c r="H11128" s="74"/>
      <c r="I11128" s="74">
        <f t="shared" si="7"/>
        <v>0</v>
      </c>
      <c r="J11128" s="74" t="str">
        <f>IF(E11128="SERVICE",I11128-(I11128*50%),Vlookup(E11128,DATABASE!C:Q,10,false)*F11128)</f>
        <v>#N/A</v>
      </c>
      <c r="K11128" s="74" t="str">
        <f>VLOOKUP(E11128,DATABASE!C:Q,7,false)</f>
        <v>#N/A</v>
      </c>
      <c r="L11128" s="74"/>
      <c r="M11128" s="74">
        <f t="shared" si="6"/>
        <v>0</v>
      </c>
      <c r="N11128" s="74" t="str">
        <f t="shared" si="9"/>
        <v>#N/A</v>
      </c>
      <c r="O11128" s="65" t="str">
        <f>VLOOKUP(E11128,DATABASE!C:Q,8,false)</f>
        <v>#N/A</v>
      </c>
      <c r="P11128" s="65" t="str">
        <f>VLOOKUP(E11128,DATABASE!C:Q,9,False)</f>
        <v>#N/A</v>
      </c>
      <c r="Q11128" s="93" t="str">
        <f>VLOOKUP(E11128,DATABASE!C:Q,4,false)</f>
        <v>#N/A</v>
      </c>
      <c r="R11128" s="93" t="str">
        <f>VLOOKUP(E11128,DATABASE!C:Q,11,false)</f>
        <v>#N/A</v>
      </c>
    </row>
    <row r="11129" ht="22.5" customHeight="1">
      <c r="A11129" s="49"/>
      <c r="C11129" s="400"/>
      <c r="D11129" s="524"/>
      <c r="E11129" s="544"/>
      <c r="F11129" s="387"/>
      <c r="G11129" s="140"/>
      <c r="H11129" s="74"/>
      <c r="I11129" s="74">
        <f t="shared" si="7"/>
        <v>0</v>
      </c>
      <c r="J11129" s="74" t="str">
        <f>IF(E11129="SERVICE",I11129-(I11129*50%),Vlookup(E11129,DATABASE!C:Q,10,false)*F11129)</f>
        <v>#N/A</v>
      </c>
      <c r="K11129" s="74" t="str">
        <f>VLOOKUP(E11129,DATABASE!C:Q,7,false)</f>
        <v>#N/A</v>
      </c>
      <c r="L11129" s="74"/>
      <c r="M11129" s="74">
        <f t="shared" si="6"/>
        <v>0</v>
      </c>
      <c r="N11129" s="74" t="str">
        <f t="shared" si="9"/>
        <v>#N/A</v>
      </c>
      <c r="O11129" s="65" t="str">
        <f>VLOOKUP(E11129,DATABASE!C:Q,8,false)</f>
        <v>#N/A</v>
      </c>
      <c r="P11129" s="65" t="str">
        <f>VLOOKUP(E11129,DATABASE!C:Q,9,False)</f>
        <v>#N/A</v>
      </c>
      <c r="Q11129" s="93" t="str">
        <f>VLOOKUP(E11129,DATABASE!C:Q,4,false)</f>
        <v>#N/A</v>
      </c>
      <c r="R11129" s="93" t="str">
        <f>VLOOKUP(E11129,DATABASE!C:Q,11,false)</f>
        <v>#N/A</v>
      </c>
    </row>
    <row r="11130" ht="22.5" customHeight="1">
      <c r="A11130" s="49"/>
      <c r="C11130" s="400"/>
      <c r="D11130" s="524"/>
      <c r="E11130" s="544"/>
      <c r="F11130" s="387"/>
      <c r="G11130" s="140"/>
      <c r="H11130" s="74"/>
      <c r="I11130" s="74">
        <f t="shared" si="7"/>
        <v>0</v>
      </c>
      <c r="J11130" s="74" t="str">
        <f>IF(E11130="SERVICE",I11130-(I11130*50%),Vlookup(E11130,DATABASE!C:Q,10,false)*F11130)</f>
        <v>#N/A</v>
      </c>
      <c r="K11130" s="74" t="str">
        <f>VLOOKUP(E11130,DATABASE!C:Q,7,false)</f>
        <v>#N/A</v>
      </c>
      <c r="L11130" s="74"/>
      <c r="M11130" s="74">
        <f t="shared" si="6"/>
        <v>0</v>
      </c>
      <c r="N11130" s="74" t="str">
        <f t="shared" si="9"/>
        <v>#N/A</v>
      </c>
      <c r="O11130" s="65" t="str">
        <f>VLOOKUP(E11130,DATABASE!C:Q,8,false)</f>
        <v>#N/A</v>
      </c>
      <c r="P11130" s="65" t="str">
        <f>VLOOKUP(E11130,DATABASE!C:Q,9,False)</f>
        <v>#N/A</v>
      </c>
      <c r="Q11130" s="93" t="str">
        <f>VLOOKUP(E11130,DATABASE!C:Q,4,false)</f>
        <v>#N/A</v>
      </c>
      <c r="R11130" s="93" t="str">
        <f>VLOOKUP(E11130,DATABASE!C:Q,11,false)</f>
        <v>#N/A</v>
      </c>
    </row>
    <row r="11131" ht="22.5" customHeight="1">
      <c r="A11131" s="49"/>
      <c r="C11131" s="400"/>
      <c r="D11131" s="524"/>
      <c r="E11131" s="544"/>
      <c r="F11131" s="387"/>
      <c r="G11131" s="140"/>
      <c r="H11131" s="74"/>
      <c r="I11131" s="74">
        <f t="shared" si="7"/>
        <v>0</v>
      </c>
      <c r="J11131" s="74" t="str">
        <f>IF(E11131="SERVICE",I11131-(I11131*50%),Vlookup(E11131,DATABASE!C:Q,10,false)*F11131)</f>
        <v>#N/A</v>
      </c>
      <c r="K11131" s="74" t="str">
        <f>VLOOKUP(E11131,DATABASE!C:Q,7,false)</f>
        <v>#N/A</v>
      </c>
      <c r="L11131" s="74"/>
      <c r="M11131" s="74">
        <f t="shared" si="6"/>
        <v>0</v>
      </c>
      <c r="N11131" s="74" t="str">
        <f t="shared" si="9"/>
        <v>#N/A</v>
      </c>
      <c r="O11131" s="65" t="str">
        <f>VLOOKUP(E11131,DATABASE!C:Q,8,false)</f>
        <v>#N/A</v>
      </c>
      <c r="P11131" s="65" t="str">
        <f>VLOOKUP(E11131,DATABASE!C:Q,9,False)</f>
        <v>#N/A</v>
      </c>
      <c r="Q11131" s="93" t="str">
        <f>VLOOKUP(E11131,DATABASE!C:Q,4,false)</f>
        <v>#N/A</v>
      </c>
      <c r="R11131" s="93" t="str">
        <f>VLOOKUP(E11131,DATABASE!C:Q,11,false)</f>
        <v>#N/A</v>
      </c>
    </row>
    <row r="11132" ht="22.5" customHeight="1">
      <c r="A11132" s="49"/>
      <c r="C11132" s="400"/>
      <c r="D11132" s="524"/>
      <c r="E11132" s="544"/>
      <c r="F11132" s="387"/>
      <c r="G11132" s="140"/>
      <c r="H11132" s="74"/>
      <c r="I11132" s="74">
        <f t="shared" si="7"/>
        <v>0</v>
      </c>
      <c r="J11132" s="74" t="str">
        <f>IF(E11132="SERVICE",I11132-(I11132*50%),Vlookup(E11132,DATABASE!C:Q,10,false)*F11132)</f>
        <v>#N/A</v>
      </c>
      <c r="K11132" s="74" t="str">
        <f>VLOOKUP(E11132,DATABASE!C:Q,7,false)</f>
        <v>#N/A</v>
      </c>
      <c r="L11132" s="74"/>
      <c r="M11132" s="74">
        <f t="shared" si="6"/>
        <v>0</v>
      </c>
      <c r="N11132" s="74" t="str">
        <f t="shared" si="9"/>
        <v>#N/A</v>
      </c>
      <c r="O11132" s="65" t="str">
        <f>VLOOKUP(E11132,DATABASE!C:Q,8,false)</f>
        <v>#N/A</v>
      </c>
      <c r="P11132" s="65" t="str">
        <f>VLOOKUP(E11132,DATABASE!C:Q,9,False)</f>
        <v>#N/A</v>
      </c>
      <c r="Q11132" s="93" t="str">
        <f>VLOOKUP(E11132,DATABASE!C:Q,4,false)</f>
        <v>#N/A</v>
      </c>
      <c r="R11132" s="93" t="str">
        <f>VLOOKUP(E11132,DATABASE!C:Q,11,false)</f>
        <v>#N/A</v>
      </c>
    </row>
    <row r="11133" ht="22.5" customHeight="1">
      <c r="A11133" s="49"/>
      <c r="C11133" s="400"/>
      <c r="D11133" s="524"/>
      <c r="E11133" s="544"/>
      <c r="F11133" s="387"/>
      <c r="G11133" s="140"/>
      <c r="H11133" s="74"/>
      <c r="I11133" s="74">
        <f t="shared" si="7"/>
        <v>0</v>
      </c>
      <c r="J11133" s="74" t="str">
        <f>IF(E11133="SERVICE",I11133-(I11133*50%),Vlookup(E11133,DATABASE!C:Q,10,false)*F11133)</f>
        <v>#N/A</v>
      </c>
      <c r="K11133" s="74" t="str">
        <f>VLOOKUP(E11133,DATABASE!C:Q,7,false)</f>
        <v>#N/A</v>
      </c>
      <c r="L11133" s="74"/>
      <c r="M11133" s="74">
        <f t="shared" si="6"/>
        <v>0</v>
      </c>
      <c r="N11133" s="74" t="str">
        <f t="shared" si="9"/>
        <v>#N/A</v>
      </c>
      <c r="O11133" s="65" t="str">
        <f>VLOOKUP(E11133,DATABASE!C:Q,8,false)</f>
        <v>#N/A</v>
      </c>
      <c r="P11133" s="65" t="str">
        <f>VLOOKUP(E11133,DATABASE!C:Q,9,False)</f>
        <v>#N/A</v>
      </c>
      <c r="Q11133" s="93" t="str">
        <f>VLOOKUP(E11133,DATABASE!C:Q,4,false)</f>
        <v>#N/A</v>
      </c>
      <c r="R11133" s="93" t="str">
        <f>VLOOKUP(E11133,DATABASE!C:Q,11,false)</f>
        <v>#N/A</v>
      </c>
    </row>
    <row r="11134" ht="22.5" customHeight="1">
      <c r="A11134" s="49"/>
      <c r="C11134" s="400"/>
      <c r="D11134" s="524"/>
      <c r="E11134" s="544"/>
      <c r="F11134" s="387"/>
      <c r="G11134" s="140"/>
      <c r="H11134" s="74"/>
      <c r="I11134" s="74">
        <f t="shared" si="7"/>
        <v>0</v>
      </c>
      <c r="J11134" s="74" t="str">
        <f>IF(E11134="SERVICE",I11134-(I11134*50%),Vlookup(E11134,DATABASE!C:Q,10,false)*F11134)</f>
        <v>#N/A</v>
      </c>
      <c r="K11134" s="74" t="str">
        <f>VLOOKUP(E11134,DATABASE!C:Q,7,false)</f>
        <v>#N/A</v>
      </c>
      <c r="L11134" s="74"/>
      <c r="M11134" s="74">
        <f t="shared" si="6"/>
        <v>0</v>
      </c>
      <c r="N11134" s="74" t="str">
        <f t="shared" si="9"/>
        <v>#N/A</v>
      </c>
      <c r="O11134" s="65" t="str">
        <f>VLOOKUP(E11134,DATABASE!C:Q,8,false)</f>
        <v>#N/A</v>
      </c>
      <c r="P11134" s="65" t="str">
        <f>VLOOKUP(E11134,DATABASE!C:Q,9,False)</f>
        <v>#N/A</v>
      </c>
      <c r="Q11134" s="93" t="str">
        <f>VLOOKUP(E11134,DATABASE!C:Q,4,false)</f>
        <v>#N/A</v>
      </c>
      <c r="R11134" s="93" t="str">
        <f>VLOOKUP(E11134,DATABASE!C:Q,11,false)</f>
        <v>#N/A</v>
      </c>
    </row>
    <row r="11135" ht="22.5" customHeight="1">
      <c r="A11135" s="49"/>
      <c r="C11135" s="400"/>
      <c r="D11135" s="524"/>
      <c r="E11135" s="544"/>
      <c r="F11135" s="387"/>
      <c r="G11135" s="140"/>
      <c r="H11135" s="74"/>
      <c r="I11135" s="74">
        <f t="shared" si="7"/>
        <v>0</v>
      </c>
      <c r="J11135" s="74" t="str">
        <f>IF(E11135="SERVICE",I11135-(I11135*50%),Vlookup(E11135,DATABASE!C:Q,10,false)*F11135)</f>
        <v>#N/A</v>
      </c>
      <c r="K11135" s="74" t="str">
        <f>VLOOKUP(E11135,DATABASE!C:Q,7,false)</f>
        <v>#N/A</v>
      </c>
      <c r="L11135" s="74"/>
      <c r="M11135" s="74">
        <f t="shared" si="6"/>
        <v>0</v>
      </c>
      <c r="N11135" s="74" t="str">
        <f t="shared" si="9"/>
        <v>#N/A</v>
      </c>
      <c r="O11135" s="65" t="str">
        <f>VLOOKUP(E11135,DATABASE!C:Q,8,false)</f>
        <v>#N/A</v>
      </c>
      <c r="P11135" s="65" t="str">
        <f>VLOOKUP(E11135,DATABASE!C:Q,9,False)</f>
        <v>#N/A</v>
      </c>
      <c r="Q11135" s="93" t="str">
        <f>VLOOKUP(E11135,DATABASE!C:Q,4,false)</f>
        <v>#N/A</v>
      </c>
      <c r="R11135" s="93" t="str">
        <f>VLOOKUP(E11135,DATABASE!C:Q,11,false)</f>
        <v>#N/A</v>
      </c>
    </row>
    <row r="11136" ht="22.5" customHeight="1">
      <c r="A11136" s="49"/>
      <c r="C11136" s="400"/>
      <c r="D11136" s="524"/>
      <c r="E11136" s="544"/>
      <c r="F11136" s="387"/>
      <c r="G11136" s="140"/>
      <c r="H11136" s="74"/>
      <c r="I11136" s="74">
        <f t="shared" si="7"/>
        <v>0</v>
      </c>
      <c r="J11136" s="74" t="str">
        <f>IF(E11136="SERVICE",I11136-(I11136*50%),Vlookup(E11136,DATABASE!C:Q,10,false)*F11136)</f>
        <v>#N/A</v>
      </c>
      <c r="K11136" s="74" t="str">
        <f>VLOOKUP(E11136,DATABASE!C:Q,7,false)</f>
        <v>#N/A</v>
      </c>
      <c r="L11136" s="74"/>
      <c r="M11136" s="74">
        <f t="shared" si="6"/>
        <v>0</v>
      </c>
      <c r="N11136" s="74" t="str">
        <f t="shared" si="9"/>
        <v>#N/A</v>
      </c>
      <c r="O11136" s="65" t="str">
        <f>VLOOKUP(E11136,DATABASE!C:Q,8,false)</f>
        <v>#N/A</v>
      </c>
      <c r="P11136" s="65" t="str">
        <f>VLOOKUP(E11136,DATABASE!C:Q,9,False)</f>
        <v>#N/A</v>
      </c>
      <c r="Q11136" s="93" t="str">
        <f>VLOOKUP(E11136,DATABASE!C:Q,4,false)</f>
        <v>#N/A</v>
      </c>
      <c r="R11136" s="93" t="str">
        <f>VLOOKUP(E11136,DATABASE!C:Q,11,false)</f>
        <v>#N/A</v>
      </c>
    </row>
    <row r="11137" ht="22.5" customHeight="1">
      <c r="A11137" s="49"/>
      <c r="C11137" s="400"/>
      <c r="D11137" s="524"/>
      <c r="E11137" s="544"/>
      <c r="F11137" s="387"/>
      <c r="G11137" s="140"/>
      <c r="H11137" s="74"/>
      <c r="I11137" s="74">
        <f t="shared" si="7"/>
        <v>0</v>
      </c>
      <c r="J11137" s="74" t="str">
        <f>IF(E11137="SERVICE",I11137-(I11137*50%),Vlookup(E11137,DATABASE!C:Q,10,false)*F11137)</f>
        <v>#N/A</v>
      </c>
      <c r="K11137" s="74" t="str">
        <f>VLOOKUP(E11137,DATABASE!C:Q,7,false)</f>
        <v>#N/A</v>
      </c>
      <c r="L11137" s="74"/>
      <c r="M11137" s="74">
        <f t="shared" si="6"/>
        <v>0</v>
      </c>
      <c r="N11137" s="74" t="str">
        <f t="shared" si="9"/>
        <v>#N/A</v>
      </c>
      <c r="O11137" s="65" t="str">
        <f>VLOOKUP(E11137,DATABASE!C:Q,8,false)</f>
        <v>#N/A</v>
      </c>
      <c r="P11137" s="65" t="str">
        <f>VLOOKUP(E11137,DATABASE!C:Q,9,False)</f>
        <v>#N/A</v>
      </c>
      <c r="Q11137" s="93" t="str">
        <f>VLOOKUP(E11137,DATABASE!C:Q,4,false)</f>
        <v>#N/A</v>
      </c>
      <c r="R11137" s="93" t="str">
        <f>VLOOKUP(E11137,DATABASE!C:Q,11,false)</f>
        <v>#N/A</v>
      </c>
    </row>
    <row r="11138" ht="22.5" customHeight="1">
      <c r="A11138" s="49"/>
      <c r="C11138" s="400"/>
      <c r="D11138" s="524"/>
      <c r="E11138" s="544"/>
      <c r="F11138" s="387"/>
      <c r="G11138" s="140"/>
      <c r="H11138" s="74"/>
      <c r="I11138" s="74">
        <f t="shared" si="7"/>
        <v>0</v>
      </c>
      <c r="J11138" s="74" t="str">
        <f>IF(E11138="SERVICE",I11138-(I11138*50%),Vlookup(E11138,DATABASE!C:Q,10,false)*F11138)</f>
        <v>#N/A</v>
      </c>
      <c r="K11138" s="74" t="str">
        <f>VLOOKUP(E11138,DATABASE!C:Q,7,false)</f>
        <v>#N/A</v>
      </c>
      <c r="L11138" s="74"/>
      <c r="M11138" s="74">
        <f t="shared" si="6"/>
        <v>0</v>
      </c>
      <c r="N11138" s="74" t="str">
        <f t="shared" si="9"/>
        <v>#N/A</v>
      </c>
      <c r="O11138" s="65" t="str">
        <f>VLOOKUP(E11138,DATABASE!C:Q,8,false)</f>
        <v>#N/A</v>
      </c>
      <c r="P11138" s="65" t="str">
        <f>VLOOKUP(E11138,DATABASE!C:Q,9,False)</f>
        <v>#N/A</v>
      </c>
      <c r="Q11138" s="93" t="str">
        <f>VLOOKUP(E11138,DATABASE!C:Q,4,false)</f>
        <v>#N/A</v>
      </c>
      <c r="R11138" s="93" t="str">
        <f>VLOOKUP(E11138,DATABASE!C:Q,11,false)</f>
        <v>#N/A</v>
      </c>
    </row>
    <row r="11139" ht="22.5" customHeight="1">
      <c r="A11139" s="49"/>
      <c r="C11139" s="400"/>
      <c r="D11139" s="524"/>
      <c r="E11139" s="544"/>
      <c r="F11139" s="387"/>
      <c r="G11139" s="140"/>
      <c r="H11139" s="74"/>
      <c r="I11139" s="74">
        <f t="shared" si="7"/>
        <v>0</v>
      </c>
      <c r="J11139" s="74" t="str">
        <f>IF(E11139="SERVICE",I11139-(I11139*50%),Vlookup(E11139,DATABASE!C:Q,10,false)*F11139)</f>
        <v>#N/A</v>
      </c>
      <c r="K11139" s="74" t="str">
        <f>VLOOKUP(E11139,DATABASE!C:Q,7,false)</f>
        <v>#N/A</v>
      </c>
      <c r="L11139" s="74"/>
      <c r="M11139" s="74">
        <f t="shared" si="6"/>
        <v>0</v>
      </c>
      <c r="N11139" s="74" t="str">
        <f t="shared" si="9"/>
        <v>#N/A</v>
      </c>
      <c r="O11139" s="65" t="str">
        <f>VLOOKUP(E11139,DATABASE!C:Q,8,false)</f>
        <v>#N/A</v>
      </c>
      <c r="P11139" s="65" t="str">
        <f>VLOOKUP(E11139,DATABASE!C:Q,9,False)</f>
        <v>#N/A</v>
      </c>
      <c r="Q11139" s="93" t="str">
        <f>VLOOKUP(E11139,DATABASE!C:Q,4,false)</f>
        <v>#N/A</v>
      </c>
      <c r="R11139" s="93" t="str">
        <f>VLOOKUP(E11139,DATABASE!C:Q,11,false)</f>
        <v>#N/A</v>
      </c>
    </row>
    <row r="11140" ht="22.5" customHeight="1">
      <c r="A11140" s="49"/>
      <c r="C11140" s="400"/>
      <c r="D11140" s="524"/>
      <c r="E11140" s="544"/>
      <c r="F11140" s="387"/>
      <c r="G11140" s="140"/>
      <c r="H11140" s="74"/>
      <c r="I11140" s="74">
        <f t="shared" si="7"/>
        <v>0</v>
      </c>
      <c r="J11140" s="74" t="str">
        <f>IF(E11140="SERVICE",I11140-(I11140*50%),Vlookup(E11140,DATABASE!C:Q,10,false)*F11140)</f>
        <v>#N/A</v>
      </c>
      <c r="K11140" s="74" t="str">
        <f>VLOOKUP(E11140,DATABASE!C:Q,7,false)</f>
        <v>#N/A</v>
      </c>
      <c r="L11140" s="74"/>
      <c r="M11140" s="74">
        <f t="shared" si="6"/>
        <v>0</v>
      </c>
      <c r="N11140" s="74" t="str">
        <f t="shared" si="9"/>
        <v>#N/A</v>
      </c>
      <c r="O11140" s="65" t="str">
        <f>VLOOKUP(E11140,DATABASE!C:Q,8,false)</f>
        <v>#N/A</v>
      </c>
      <c r="P11140" s="65" t="str">
        <f>VLOOKUP(E11140,DATABASE!C:Q,9,False)</f>
        <v>#N/A</v>
      </c>
      <c r="Q11140" s="93" t="str">
        <f>VLOOKUP(E11140,DATABASE!C:Q,4,false)</f>
        <v>#N/A</v>
      </c>
      <c r="R11140" s="93" t="str">
        <f>VLOOKUP(E11140,DATABASE!C:Q,11,false)</f>
        <v>#N/A</v>
      </c>
    </row>
    <row r="11141" ht="22.5" customHeight="1">
      <c r="A11141" s="49"/>
      <c r="C11141" s="400"/>
      <c r="D11141" s="524"/>
      <c r="E11141" s="544"/>
      <c r="F11141" s="387"/>
      <c r="G11141" s="140"/>
      <c r="H11141" s="74"/>
      <c r="I11141" s="74">
        <f t="shared" si="7"/>
        <v>0</v>
      </c>
      <c r="J11141" s="74" t="str">
        <f>IF(E11141="SERVICE",I11141-(I11141*50%),Vlookup(E11141,DATABASE!C:Q,10,false)*F11141)</f>
        <v>#N/A</v>
      </c>
      <c r="K11141" s="74" t="str">
        <f>VLOOKUP(E11141,DATABASE!C:Q,7,false)</f>
        <v>#N/A</v>
      </c>
      <c r="L11141" s="74"/>
      <c r="M11141" s="74">
        <f t="shared" si="6"/>
        <v>0</v>
      </c>
      <c r="N11141" s="74" t="str">
        <f t="shared" si="9"/>
        <v>#N/A</v>
      </c>
      <c r="O11141" s="65" t="str">
        <f>VLOOKUP(E11141,DATABASE!C:Q,8,false)</f>
        <v>#N/A</v>
      </c>
      <c r="P11141" s="65" t="str">
        <f>VLOOKUP(E11141,DATABASE!C:Q,9,False)</f>
        <v>#N/A</v>
      </c>
      <c r="Q11141" s="93" t="str">
        <f>VLOOKUP(E11141,DATABASE!C:Q,4,false)</f>
        <v>#N/A</v>
      </c>
      <c r="R11141" s="93" t="str">
        <f>VLOOKUP(E11141,DATABASE!C:Q,11,false)</f>
        <v>#N/A</v>
      </c>
    </row>
    <row r="11142" ht="22.5" customHeight="1">
      <c r="A11142" s="49"/>
      <c r="C11142" s="400"/>
      <c r="D11142" s="524"/>
      <c r="E11142" s="544"/>
      <c r="F11142" s="387"/>
      <c r="G11142" s="140"/>
      <c r="H11142" s="74"/>
      <c r="I11142" s="74">
        <f t="shared" si="7"/>
        <v>0</v>
      </c>
      <c r="J11142" s="74" t="str">
        <f>IF(E11142="SERVICE",I11142-(I11142*50%),Vlookup(E11142,DATABASE!C:Q,10,false)*F11142)</f>
        <v>#N/A</v>
      </c>
      <c r="K11142" s="74" t="str">
        <f>VLOOKUP(E11142,DATABASE!C:Q,7,false)</f>
        <v>#N/A</v>
      </c>
      <c r="L11142" s="74"/>
      <c r="M11142" s="74">
        <f t="shared" si="6"/>
        <v>0</v>
      </c>
      <c r="N11142" s="74" t="str">
        <f t="shared" si="9"/>
        <v>#N/A</v>
      </c>
      <c r="O11142" s="65" t="str">
        <f>VLOOKUP(E11142,DATABASE!C:Q,8,false)</f>
        <v>#N/A</v>
      </c>
      <c r="P11142" s="65" t="str">
        <f>VLOOKUP(E11142,DATABASE!C:Q,9,False)</f>
        <v>#N/A</v>
      </c>
      <c r="Q11142" s="93" t="str">
        <f>VLOOKUP(E11142,DATABASE!C:Q,4,false)</f>
        <v>#N/A</v>
      </c>
      <c r="R11142" s="93" t="str">
        <f>VLOOKUP(E11142,DATABASE!C:Q,11,false)</f>
        <v>#N/A</v>
      </c>
    </row>
    <row r="11143" ht="22.5" customHeight="1">
      <c r="A11143" s="49"/>
      <c r="C11143" s="400"/>
      <c r="D11143" s="524"/>
      <c r="E11143" s="544"/>
      <c r="F11143" s="387"/>
      <c r="G11143" s="140"/>
      <c r="H11143" s="74"/>
      <c r="I11143" s="74">
        <f t="shared" si="7"/>
        <v>0</v>
      </c>
      <c r="J11143" s="74" t="str">
        <f>IF(E11143="SERVICE",I11143-(I11143*50%),Vlookup(E11143,DATABASE!C:Q,10,false)*F11143)</f>
        <v>#N/A</v>
      </c>
      <c r="K11143" s="74" t="str">
        <f>VLOOKUP(E11143,DATABASE!C:Q,7,false)</f>
        <v>#N/A</v>
      </c>
      <c r="L11143" s="74"/>
      <c r="M11143" s="74">
        <f t="shared" si="6"/>
        <v>0</v>
      </c>
      <c r="N11143" s="74" t="str">
        <f t="shared" si="9"/>
        <v>#N/A</v>
      </c>
      <c r="O11143" s="65" t="str">
        <f>VLOOKUP(E11143,DATABASE!C:Q,8,false)</f>
        <v>#N/A</v>
      </c>
      <c r="P11143" s="65" t="str">
        <f>VLOOKUP(E11143,DATABASE!C:Q,9,False)</f>
        <v>#N/A</v>
      </c>
      <c r="Q11143" s="93" t="str">
        <f>VLOOKUP(E11143,DATABASE!C:Q,4,false)</f>
        <v>#N/A</v>
      </c>
      <c r="R11143" s="93" t="str">
        <f>VLOOKUP(E11143,DATABASE!C:Q,11,false)</f>
        <v>#N/A</v>
      </c>
    </row>
    <row r="11144" ht="22.5" customHeight="1">
      <c r="A11144" s="49"/>
      <c r="C11144" s="400"/>
      <c r="D11144" s="524"/>
      <c r="E11144" s="544"/>
      <c r="F11144" s="387"/>
      <c r="G11144" s="140"/>
      <c r="H11144" s="74"/>
      <c r="I11144" s="74">
        <f t="shared" si="7"/>
        <v>0</v>
      </c>
      <c r="J11144" s="74" t="str">
        <f>IF(E11144="SERVICE",I11144-(I11144*50%),Vlookup(E11144,DATABASE!C:Q,10,false)*F11144)</f>
        <v>#N/A</v>
      </c>
      <c r="K11144" s="74" t="str">
        <f>VLOOKUP(E11144,DATABASE!C:Q,7,false)</f>
        <v>#N/A</v>
      </c>
      <c r="L11144" s="74"/>
      <c r="M11144" s="74">
        <f t="shared" si="6"/>
        <v>0</v>
      </c>
      <c r="N11144" s="74" t="str">
        <f t="shared" si="9"/>
        <v>#N/A</v>
      </c>
      <c r="O11144" s="65" t="str">
        <f>VLOOKUP(E11144,DATABASE!C:Q,8,false)</f>
        <v>#N/A</v>
      </c>
      <c r="P11144" s="65" t="str">
        <f>VLOOKUP(E11144,DATABASE!C:Q,9,False)</f>
        <v>#N/A</v>
      </c>
      <c r="Q11144" s="93" t="str">
        <f>VLOOKUP(E11144,DATABASE!C:Q,4,false)</f>
        <v>#N/A</v>
      </c>
      <c r="R11144" s="93" t="str">
        <f>VLOOKUP(E11144,DATABASE!C:Q,11,false)</f>
        <v>#N/A</v>
      </c>
    </row>
    <row r="11145" ht="22.5" customHeight="1">
      <c r="A11145" s="49"/>
      <c r="C11145" s="400"/>
      <c r="D11145" s="524"/>
      <c r="E11145" s="544"/>
      <c r="F11145" s="387"/>
      <c r="G11145" s="140"/>
      <c r="H11145" s="74"/>
      <c r="I11145" s="74">
        <f t="shared" si="7"/>
        <v>0</v>
      </c>
      <c r="J11145" s="74" t="str">
        <f>IF(E11145="SERVICE",I11145-(I11145*50%),Vlookup(E11145,DATABASE!C:Q,10,false)*F11145)</f>
        <v>#N/A</v>
      </c>
      <c r="K11145" s="74" t="str">
        <f>VLOOKUP(E11145,DATABASE!C:Q,7,false)</f>
        <v>#N/A</v>
      </c>
      <c r="L11145" s="74"/>
      <c r="M11145" s="74">
        <f t="shared" si="6"/>
        <v>0</v>
      </c>
      <c r="N11145" s="74" t="str">
        <f t="shared" si="9"/>
        <v>#N/A</v>
      </c>
      <c r="O11145" s="65" t="str">
        <f>VLOOKUP(E11145,DATABASE!C:Q,8,false)</f>
        <v>#N/A</v>
      </c>
      <c r="P11145" s="65" t="str">
        <f>VLOOKUP(E11145,DATABASE!C:Q,9,False)</f>
        <v>#N/A</v>
      </c>
      <c r="Q11145" s="93" t="str">
        <f>VLOOKUP(E11145,DATABASE!C:Q,4,false)</f>
        <v>#N/A</v>
      </c>
      <c r="R11145" s="93" t="str">
        <f>VLOOKUP(E11145,DATABASE!C:Q,11,false)</f>
        <v>#N/A</v>
      </c>
    </row>
    <row r="11146" ht="22.5" customHeight="1">
      <c r="A11146" s="49"/>
      <c r="C11146" s="400"/>
      <c r="D11146" s="524"/>
      <c r="E11146" s="544"/>
      <c r="F11146" s="387"/>
      <c r="G11146" s="140"/>
      <c r="H11146" s="74"/>
      <c r="I11146" s="74">
        <f t="shared" si="7"/>
        <v>0</v>
      </c>
      <c r="J11146" s="74" t="str">
        <f>IF(E11146="SERVICE",I11146-(I11146*50%),Vlookup(E11146,DATABASE!C:Q,10,false)*F11146)</f>
        <v>#N/A</v>
      </c>
      <c r="K11146" s="74" t="str">
        <f>VLOOKUP(E11146,DATABASE!C:Q,7,false)</f>
        <v>#N/A</v>
      </c>
      <c r="L11146" s="74"/>
      <c r="M11146" s="74">
        <f t="shared" si="6"/>
        <v>0</v>
      </c>
      <c r="N11146" s="74" t="str">
        <f t="shared" si="9"/>
        <v>#N/A</v>
      </c>
      <c r="O11146" s="65" t="str">
        <f>VLOOKUP(E11146,DATABASE!C:Q,8,false)</f>
        <v>#N/A</v>
      </c>
      <c r="P11146" s="65" t="str">
        <f>VLOOKUP(E11146,DATABASE!C:Q,9,False)</f>
        <v>#N/A</v>
      </c>
      <c r="Q11146" s="93" t="str">
        <f>VLOOKUP(E11146,DATABASE!C:Q,4,false)</f>
        <v>#N/A</v>
      </c>
      <c r="R11146" s="93" t="str">
        <f>VLOOKUP(E11146,DATABASE!C:Q,11,false)</f>
        <v>#N/A</v>
      </c>
    </row>
    <row r="11147" ht="22.5" customHeight="1">
      <c r="A11147" s="49"/>
      <c r="C11147" s="400"/>
      <c r="D11147" s="524"/>
      <c r="E11147" s="544"/>
      <c r="F11147" s="387"/>
      <c r="G11147" s="140"/>
      <c r="H11147" s="74"/>
      <c r="I11147" s="74">
        <f t="shared" si="7"/>
        <v>0</v>
      </c>
      <c r="J11147" s="74" t="str">
        <f>IF(E11147="SERVICE",I11147-(I11147*50%),Vlookup(E11147,DATABASE!C:Q,10,false)*F11147)</f>
        <v>#N/A</v>
      </c>
      <c r="K11147" s="74" t="str">
        <f>VLOOKUP(E11147,DATABASE!C:Q,7,false)</f>
        <v>#N/A</v>
      </c>
      <c r="L11147" s="74"/>
      <c r="M11147" s="74">
        <f t="shared" si="6"/>
        <v>0</v>
      </c>
      <c r="N11147" s="74" t="str">
        <f t="shared" si="9"/>
        <v>#N/A</v>
      </c>
      <c r="O11147" s="65" t="str">
        <f>VLOOKUP(E11147,DATABASE!C:Q,8,false)</f>
        <v>#N/A</v>
      </c>
      <c r="P11147" s="65" t="str">
        <f>VLOOKUP(E11147,DATABASE!C:Q,9,False)</f>
        <v>#N/A</v>
      </c>
      <c r="Q11147" s="93" t="str">
        <f>VLOOKUP(E11147,DATABASE!C:Q,4,false)</f>
        <v>#N/A</v>
      </c>
      <c r="R11147" s="93" t="str">
        <f>VLOOKUP(E11147,DATABASE!C:Q,11,false)</f>
        <v>#N/A</v>
      </c>
    </row>
    <row r="11148" ht="22.5" customHeight="1">
      <c r="A11148" s="49"/>
      <c r="C11148" s="400"/>
      <c r="D11148" s="524"/>
      <c r="E11148" s="544"/>
      <c r="F11148" s="387"/>
      <c r="G11148" s="140"/>
      <c r="H11148" s="74"/>
      <c r="I11148" s="74">
        <f t="shared" si="7"/>
        <v>0</v>
      </c>
      <c r="J11148" s="74" t="str">
        <f>IF(E11148="SERVICE",I11148-(I11148*50%),Vlookup(E11148,DATABASE!C:Q,10,false)*F11148)</f>
        <v>#N/A</v>
      </c>
      <c r="K11148" s="74" t="str">
        <f>VLOOKUP(E11148,DATABASE!C:Q,7,false)</f>
        <v>#N/A</v>
      </c>
      <c r="L11148" s="74"/>
      <c r="M11148" s="74">
        <f t="shared" si="6"/>
        <v>0</v>
      </c>
      <c r="N11148" s="74" t="str">
        <f t="shared" si="9"/>
        <v>#N/A</v>
      </c>
      <c r="O11148" s="65" t="str">
        <f>VLOOKUP(E11148,DATABASE!C:Q,8,false)</f>
        <v>#N/A</v>
      </c>
      <c r="P11148" s="65" t="str">
        <f>VLOOKUP(E11148,DATABASE!C:Q,9,False)</f>
        <v>#N/A</v>
      </c>
      <c r="Q11148" s="93" t="str">
        <f>VLOOKUP(E11148,DATABASE!C:Q,4,false)</f>
        <v>#N/A</v>
      </c>
      <c r="R11148" s="93" t="str">
        <f>VLOOKUP(E11148,DATABASE!C:Q,11,false)</f>
        <v>#N/A</v>
      </c>
    </row>
    <row r="11149" ht="22.5" customHeight="1">
      <c r="A11149" s="49"/>
      <c r="C11149" s="400"/>
      <c r="D11149" s="524"/>
      <c r="E11149" s="544"/>
      <c r="F11149" s="387"/>
      <c r="G11149" s="140"/>
      <c r="H11149" s="74"/>
      <c r="I11149" s="74">
        <f t="shared" si="7"/>
        <v>0</v>
      </c>
      <c r="J11149" s="74" t="str">
        <f>IF(E11149="SERVICE",I11149-(I11149*50%),Vlookup(E11149,DATABASE!C:Q,10,false)*F11149)</f>
        <v>#N/A</v>
      </c>
      <c r="K11149" s="74" t="str">
        <f>VLOOKUP(E11149,DATABASE!C:Q,7,false)</f>
        <v>#N/A</v>
      </c>
      <c r="L11149" s="74"/>
      <c r="M11149" s="74">
        <f t="shared" si="6"/>
        <v>0</v>
      </c>
      <c r="N11149" s="74" t="str">
        <f t="shared" si="9"/>
        <v>#N/A</v>
      </c>
      <c r="O11149" s="65" t="str">
        <f>VLOOKUP(E11149,DATABASE!C:Q,8,false)</f>
        <v>#N/A</v>
      </c>
      <c r="P11149" s="65" t="str">
        <f>VLOOKUP(E11149,DATABASE!C:Q,9,False)</f>
        <v>#N/A</v>
      </c>
      <c r="Q11149" s="93" t="str">
        <f>VLOOKUP(E11149,DATABASE!C:Q,4,false)</f>
        <v>#N/A</v>
      </c>
      <c r="R11149" s="93" t="str">
        <f>VLOOKUP(E11149,DATABASE!C:Q,11,false)</f>
        <v>#N/A</v>
      </c>
    </row>
    <row r="11150" ht="22.5" customHeight="1">
      <c r="A11150" s="49"/>
      <c r="C11150" s="400"/>
      <c r="D11150" s="524"/>
      <c r="E11150" s="544"/>
      <c r="F11150" s="387"/>
      <c r="G11150" s="140"/>
      <c r="H11150" s="74"/>
      <c r="I11150" s="74">
        <f t="shared" si="7"/>
        <v>0</v>
      </c>
      <c r="J11150" s="74" t="str">
        <f>IF(E11150="SERVICE",I11150-(I11150*50%),Vlookup(E11150,DATABASE!C:Q,10,false)*F11150)</f>
        <v>#N/A</v>
      </c>
      <c r="K11150" s="74" t="str">
        <f>VLOOKUP(E11150,DATABASE!C:Q,7,false)</f>
        <v>#N/A</v>
      </c>
      <c r="L11150" s="74"/>
      <c r="M11150" s="74">
        <f t="shared" si="6"/>
        <v>0</v>
      </c>
      <c r="N11150" s="74" t="str">
        <f t="shared" si="9"/>
        <v>#N/A</v>
      </c>
      <c r="O11150" s="65" t="str">
        <f>VLOOKUP(E11150,DATABASE!C:Q,8,false)</f>
        <v>#N/A</v>
      </c>
      <c r="P11150" s="65" t="str">
        <f>VLOOKUP(E11150,DATABASE!C:Q,9,False)</f>
        <v>#N/A</v>
      </c>
      <c r="Q11150" s="93" t="str">
        <f>VLOOKUP(E11150,DATABASE!C:Q,4,false)</f>
        <v>#N/A</v>
      </c>
      <c r="R11150" s="93" t="str">
        <f>VLOOKUP(E11150,DATABASE!C:Q,11,false)</f>
        <v>#N/A</v>
      </c>
    </row>
    <row r="11151" ht="22.5" customHeight="1">
      <c r="A11151" s="49"/>
      <c r="C11151" s="400"/>
      <c r="D11151" s="524"/>
      <c r="E11151" s="544"/>
      <c r="F11151" s="387"/>
      <c r="G11151" s="140"/>
      <c r="H11151" s="74"/>
      <c r="I11151" s="74">
        <f t="shared" si="7"/>
        <v>0</v>
      </c>
      <c r="J11151" s="74" t="str">
        <f>IF(E11151="SERVICE",I11151-(I11151*50%),Vlookup(E11151,DATABASE!C:Q,10,false)*F11151)</f>
        <v>#N/A</v>
      </c>
      <c r="K11151" s="74" t="str">
        <f>VLOOKUP(E11151,DATABASE!C:Q,7,false)</f>
        <v>#N/A</v>
      </c>
      <c r="L11151" s="74"/>
      <c r="M11151" s="74">
        <f t="shared" si="6"/>
        <v>0</v>
      </c>
      <c r="N11151" s="74" t="str">
        <f t="shared" si="9"/>
        <v>#N/A</v>
      </c>
      <c r="O11151" s="65" t="str">
        <f>VLOOKUP(E11151,DATABASE!C:Q,8,false)</f>
        <v>#N/A</v>
      </c>
      <c r="P11151" s="65" t="str">
        <f>VLOOKUP(E11151,DATABASE!C:Q,9,False)</f>
        <v>#N/A</v>
      </c>
      <c r="Q11151" s="93" t="str">
        <f>VLOOKUP(E11151,DATABASE!C:Q,4,false)</f>
        <v>#N/A</v>
      </c>
      <c r="R11151" s="93" t="str">
        <f>VLOOKUP(E11151,DATABASE!C:Q,11,false)</f>
        <v>#N/A</v>
      </c>
    </row>
    <row r="11152" ht="22.5" customHeight="1">
      <c r="A11152" s="49"/>
      <c r="C11152" s="400"/>
      <c r="D11152" s="524"/>
      <c r="E11152" s="544"/>
      <c r="F11152" s="387"/>
      <c r="G11152" s="140"/>
      <c r="H11152" s="74"/>
      <c r="I11152" s="74">
        <f t="shared" si="7"/>
        <v>0</v>
      </c>
      <c r="J11152" s="74" t="str">
        <f>IF(E11152="SERVICE",I11152-(I11152*50%),Vlookup(E11152,DATABASE!C:Q,10,false)*F11152)</f>
        <v>#N/A</v>
      </c>
      <c r="K11152" s="74" t="str">
        <f>VLOOKUP(E11152,DATABASE!C:Q,7,false)</f>
        <v>#N/A</v>
      </c>
      <c r="L11152" s="74"/>
      <c r="M11152" s="74">
        <f t="shared" si="6"/>
        <v>0</v>
      </c>
      <c r="N11152" s="74" t="str">
        <f t="shared" si="9"/>
        <v>#N/A</v>
      </c>
      <c r="O11152" s="65" t="str">
        <f>VLOOKUP(E11152,DATABASE!C:Q,8,false)</f>
        <v>#N/A</v>
      </c>
      <c r="P11152" s="65" t="str">
        <f>VLOOKUP(E11152,DATABASE!C:Q,9,False)</f>
        <v>#N/A</v>
      </c>
      <c r="Q11152" s="93" t="str">
        <f>VLOOKUP(E11152,DATABASE!C:Q,4,false)</f>
        <v>#N/A</v>
      </c>
      <c r="R11152" s="93" t="str">
        <f>VLOOKUP(E11152,DATABASE!C:Q,11,false)</f>
        <v>#N/A</v>
      </c>
    </row>
    <row r="11153" ht="22.5" customHeight="1">
      <c r="A11153" s="49"/>
      <c r="C11153" s="400"/>
      <c r="D11153" s="524"/>
      <c r="E11153" s="544"/>
      <c r="F11153" s="387"/>
      <c r="G11153" s="140"/>
      <c r="H11153" s="74"/>
      <c r="I11153" s="74">
        <f t="shared" si="7"/>
        <v>0</v>
      </c>
      <c r="J11153" s="74" t="str">
        <f>IF(E11153="SERVICE",I11153-(I11153*50%),Vlookup(E11153,DATABASE!C:Q,10,false)*F11153)</f>
        <v>#N/A</v>
      </c>
      <c r="K11153" s="74" t="str">
        <f>VLOOKUP(E11153,DATABASE!C:Q,7,false)</f>
        <v>#N/A</v>
      </c>
      <c r="L11153" s="74"/>
      <c r="M11153" s="74">
        <f t="shared" si="6"/>
        <v>0</v>
      </c>
      <c r="N11153" s="74" t="str">
        <f t="shared" si="9"/>
        <v>#N/A</v>
      </c>
      <c r="O11153" s="65" t="str">
        <f>VLOOKUP(E11153,DATABASE!C:Q,8,false)</f>
        <v>#N/A</v>
      </c>
      <c r="P11153" s="65" t="str">
        <f>VLOOKUP(E11153,DATABASE!C:Q,9,False)</f>
        <v>#N/A</v>
      </c>
      <c r="Q11153" s="93" t="str">
        <f>VLOOKUP(E11153,DATABASE!C:Q,4,false)</f>
        <v>#N/A</v>
      </c>
      <c r="R11153" s="93" t="str">
        <f>VLOOKUP(E11153,DATABASE!C:Q,11,false)</f>
        <v>#N/A</v>
      </c>
    </row>
    <row r="11154" ht="22.5" customHeight="1">
      <c r="A11154" s="49"/>
      <c r="C11154" s="400"/>
      <c r="D11154" s="524"/>
      <c r="E11154" s="544"/>
      <c r="F11154" s="387"/>
      <c r="G11154" s="140"/>
      <c r="H11154" s="74"/>
      <c r="I11154" s="74">
        <f t="shared" si="7"/>
        <v>0</v>
      </c>
      <c r="J11154" s="74" t="str">
        <f>IF(E11154="SERVICE",I11154-(I11154*50%),Vlookup(E11154,DATABASE!C:Q,10,false)*F11154)</f>
        <v>#N/A</v>
      </c>
      <c r="K11154" s="74" t="str">
        <f>VLOOKUP(E11154,DATABASE!C:Q,7,false)</f>
        <v>#N/A</v>
      </c>
      <c r="L11154" s="74"/>
      <c r="M11154" s="74">
        <f t="shared" si="6"/>
        <v>0</v>
      </c>
      <c r="N11154" s="74" t="str">
        <f t="shared" si="9"/>
        <v>#N/A</v>
      </c>
      <c r="O11154" s="65" t="str">
        <f>VLOOKUP(E11154,DATABASE!C:Q,8,false)</f>
        <v>#N/A</v>
      </c>
      <c r="P11154" s="65" t="str">
        <f>VLOOKUP(E11154,DATABASE!C:Q,9,False)</f>
        <v>#N/A</v>
      </c>
      <c r="Q11154" s="93" t="str">
        <f>VLOOKUP(E11154,DATABASE!C:Q,4,false)</f>
        <v>#N/A</v>
      </c>
      <c r="R11154" s="93" t="str">
        <f>VLOOKUP(E11154,DATABASE!C:Q,11,false)</f>
        <v>#N/A</v>
      </c>
    </row>
    <row r="11155" ht="22.5" customHeight="1">
      <c r="A11155" s="49"/>
      <c r="C11155" s="400"/>
      <c r="D11155" s="524"/>
      <c r="E11155" s="544"/>
      <c r="F11155" s="387"/>
      <c r="G11155" s="140"/>
      <c r="H11155" s="74"/>
      <c r="I11155" s="74">
        <f t="shared" si="7"/>
        <v>0</v>
      </c>
      <c r="J11155" s="74" t="str">
        <f>IF(E11155="SERVICE",I11155-(I11155*50%),Vlookup(E11155,DATABASE!C:Q,10,false)*F11155)</f>
        <v>#N/A</v>
      </c>
      <c r="K11155" s="74" t="str">
        <f>VLOOKUP(E11155,DATABASE!C:Q,7,false)</f>
        <v>#N/A</v>
      </c>
      <c r="L11155" s="74"/>
      <c r="M11155" s="74">
        <f t="shared" si="6"/>
        <v>0</v>
      </c>
      <c r="N11155" s="74" t="str">
        <f t="shared" si="9"/>
        <v>#N/A</v>
      </c>
      <c r="O11155" s="65" t="str">
        <f>VLOOKUP(E11155,DATABASE!C:Q,8,false)</f>
        <v>#N/A</v>
      </c>
      <c r="P11155" s="65" t="str">
        <f>VLOOKUP(E11155,DATABASE!C:Q,9,False)</f>
        <v>#N/A</v>
      </c>
      <c r="Q11155" s="93" t="str">
        <f>VLOOKUP(E11155,DATABASE!C:Q,4,false)</f>
        <v>#N/A</v>
      </c>
      <c r="R11155" s="93" t="str">
        <f>VLOOKUP(E11155,DATABASE!C:Q,11,false)</f>
        <v>#N/A</v>
      </c>
    </row>
    <row r="11156" ht="22.5" customHeight="1">
      <c r="A11156" s="49"/>
      <c r="C11156" s="400"/>
      <c r="D11156" s="524"/>
      <c r="E11156" s="544"/>
      <c r="F11156" s="387"/>
      <c r="G11156" s="140"/>
      <c r="H11156" s="74"/>
      <c r="I11156" s="74">
        <f t="shared" si="7"/>
        <v>0</v>
      </c>
      <c r="J11156" s="74" t="str">
        <f>IF(E11156="SERVICE",I11156-(I11156*50%),Vlookup(E11156,DATABASE!C:Q,10,false)*F11156)</f>
        <v>#N/A</v>
      </c>
      <c r="K11156" s="74" t="str">
        <f>VLOOKUP(E11156,DATABASE!C:Q,7,false)</f>
        <v>#N/A</v>
      </c>
      <c r="L11156" s="74"/>
      <c r="M11156" s="74">
        <f t="shared" si="6"/>
        <v>0</v>
      </c>
      <c r="N11156" s="74" t="str">
        <f t="shared" si="9"/>
        <v>#N/A</v>
      </c>
      <c r="O11156" s="65" t="str">
        <f>VLOOKUP(E11156,DATABASE!C:Q,8,false)</f>
        <v>#N/A</v>
      </c>
      <c r="P11156" s="65" t="str">
        <f>VLOOKUP(E11156,DATABASE!C:Q,9,False)</f>
        <v>#N/A</v>
      </c>
      <c r="Q11156" s="93" t="str">
        <f>VLOOKUP(E11156,DATABASE!C:Q,4,false)</f>
        <v>#N/A</v>
      </c>
      <c r="R11156" s="93" t="str">
        <f>VLOOKUP(E11156,DATABASE!C:Q,11,false)</f>
        <v>#N/A</v>
      </c>
    </row>
    <row r="11157" ht="22.5" customHeight="1">
      <c r="A11157" s="49"/>
      <c r="C11157" s="400"/>
      <c r="D11157" s="524"/>
      <c r="E11157" s="544"/>
      <c r="F11157" s="387"/>
      <c r="G11157" s="140"/>
      <c r="H11157" s="74"/>
      <c r="I11157" s="74">
        <f t="shared" si="7"/>
        <v>0</v>
      </c>
      <c r="J11157" s="74" t="str">
        <f>IF(E11157="SERVICE",I11157-(I11157*50%),Vlookup(E11157,DATABASE!C:Q,10,false)*F11157)</f>
        <v>#N/A</v>
      </c>
      <c r="K11157" s="74" t="str">
        <f>VLOOKUP(E11157,DATABASE!C:Q,7,false)</f>
        <v>#N/A</v>
      </c>
      <c r="L11157" s="74"/>
      <c r="M11157" s="74">
        <f t="shared" si="6"/>
        <v>0</v>
      </c>
      <c r="N11157" s="74" t="str">
        <f t="shared" si="9"/>
        <v>#N/A</v>
      </c>
      <c r="O11157" s="65" t="str">
        <f>VLOOKUP(E11157,DATABASE!C:Q,8,false)</f>
        <v>#N/A</v>
      </c>
      <c r="P11157" s="65" t="str">
        <f>VLOOKUP(E11157,DATABASE!C:Q,9,False)</f>
        <v>#N/A</v>
      </c>
      <c r="Q11157" s="93" t="str">
        <f>VLOOKUP(E11157,DATABASE!C:Q,4,false)</f>
        <v>#N/A</v>
      </c>
      <c r="R11157" s="93" t="str">
        <f>VLOOKUP(E11157,DATABASE!C:Q,11,false)</f>
        <v>#N/A</v>
      </c>
    </row>
    <row r="11158" ht="22.5" customHeight="1">
      <c r="A11158" s="49"/>
      <c r="C11158" s="400"/>
      <c r="D11158" s="524"/>
      <c r="E11158" s="544"/>
      <c r="F11158" s="387"/>
      <c r="G11158" s="140"/>
      <c r="H11158" s="74"/>
      <c r="I11158" s="74">
        <f t="shared" si="7"/>
        <v>0</v>
      </c>
      <c r="J11158" s="74" t="str">
        <f>IF(E11158="SERVICE",I11158-(I11158*50%),Vlookup(E11158,DATABASE!C:Q,10,false)*F11158)</f>
        <v>#N/A</v>
      </c>
      <c r="K11158" s="74" t="str">
        <f>VLOOKUP(E11158,DATABASE!C:Q,7,false)</f>
        <v>#N/A</v>
      </c>
      <c r="L11158" s="74"/>
      <c r="M11158" s="74">
        <f t="shared" si="6"/>
        <v>0</v>
      </c>
      <c r="N11158" s="74" t="str">
        <f t="shared" si="9"/>
        <v>#N/A</v>
      </c>
      <c r="O11158" s="65" t="str">
        <f>VLOOKUP(E11158,DATABASE!C:Q,8,false)</f>
        <v>#N/A</v>
      </c>
      <c r="P11158" s="65" t="str">
        <f>VLOOKUP(E11158,DATABASE!C:Q,9,False)</f>
        <v>#N/A</v>
      </c>
      <c r="Q11158" s="93" t="str">
        <f>VLOOKUP(E11158,DATABASE!C:Q,4,false)</f>
        <v>#N/A</v>
      </c>
      <c r="R11158" s="93" t="str">
        <f>VLOOKUP(E11158,DATABASE!C:Q,11,false)</f>
        <v>#N/A</v>
      </c>
    </row>
    <row r="11159" ht="22.5" customHeight="1">
      <c r="A11159" s="49"/>
      <c r="C11159" s="400"/>
      <c r="D11159" s="524"/>
      <c r="E11159" s="544"/>
      <c r="F11159" s="387"/>
      <c r="G11159" s="140"/>
      <c r="H11159" s="74"/>
      <c r="I11159" s="74">
        <f t="shared" si="7"/>
        <v>0</v>
      </c>
      <c r="J11159" s="74" t="str">
        <f>IF(E11159="SERVICE",I11159-(I11159*50%),Vlookup(E11159,DATABASE!C:Q,10,false)*F11159)</f>
        <v>#N/A</v>
      </c>
      <c r="K11159" s="74" t="str">
        <f>VLOOKUP(E11159,DATABASE!C:Q,7,false)</f>
        <v>#N/A</v>
      </c>
      <c r="L11159" s="74"/>
      <c r="M11159" s="74">
        <f t="shared" si="6"/>
        <v>0</v>
      </c>
      <c r="N11159" s="74" t="str">
        <f t="shared" si="9"/>
        <v>#N/A</v>
      </c>
      <c r="O11159" s="65" t="str">
        <f>VLOOKUP(E11159,DATABASE!C:Q,8,false)</f>
        <v>#N/A</v>
      </c>
      <c r="P11159" s="65" t="str">
        <f>VLOOKUP(E11159,DATABASE!C:Q,9,False)</f>
        <v>#N/A</v>
      </c>
      <c r="Q11159" s="93" t="str">
        <f>VLOOKUP(E11159,DATABASE!C:Q,4,false)</f>
        <v>#N/A</v>
      </c>
      <c r="R11159" s="93" t="str">
        <f>VLOOKUP(E11159,DATABASE!C:Q,11,false)</f>
        <v>#N/A</v>
      </c>
    </row>
    <row r="11160" ht="22.5" customHeight="1">
      <c r="A11160" s="49"/>
      <c r="C11160" s="400"/>
      <c r="D11160" s="524"/>
      <c r="E11160" s="544"/>
      <c r="F11160" s="387"/>
      <c r="G11160" s="140"/>
      <c r="H11160" s="74"/>
      <c r="I11160" s="74">
        <f t="shared" si="7"/>
        <v>0</v>
      </c>
      <c r="J11160" s="74" t="str">
        <f>IF(E11160="SERVICE",I11160-(I11160*50%),Vlookup(E11160,DATABASE!C:Q,10,false)*F11160)</f>
        <v>#N/A</v>
      </c>
      <c r="K11160" s="74" t="str">
        <f>VLOOKUP(E11160,DATABASE!C:Q,7,false)</f>
        <v>#N/A</v>
      </c>
      <c r="L11160" s="74"/>
      <c r="M11160" s="74">
        <f t="shared" si="6"/>
        <v>0</v>
      </c>
      <c r="N11160" s="74" t="str">
        <f t="shared" si="9"/>
        <v>#N/A</v>
      </c>
      <c r="O11160" s="65" t="str">
        <f>VLOOKUP(E11160,DATABASE!C:Q,8,false)</f>
        <v>#N/A</v>
      </c>
      <c r="P11160" s="65" t="str">
        <f>VLOOKUP(E11160,DATABASE!C:Q,9,False)</f>
        <v>#N/A</v>
      </c>
      <c r="Q11160" s="93" t="str">
        <f>VLOOKUP(E11160,DATABASE!C:Q,4,false)</f>
        <v>#N/A</v>
      </c>
      <c r="R11160" s="93" t="str">
        <f>VLOOKUP(E11160,DATABASE!C:Q,11,false)</f>
        <v>#N/A</v>
      </c>
    </row>
    <row r="11161" ht="22.5" customHeight="1">
      <c r="A11161" s="49"/>
      <c r="C11161" s="400"/>
      <c r="D11161" s="524"/>
      <c r="E11161" s="544"/>
      <c r="F11161" s="387"/>
      <c r="G11161" s="140"/>
      <c r="H11161" s="74"/>
      <c r="I11161" s="74">
        <f t="shared" si="7"/>
        <v>0</v>
      </c>
      <c r="J11161" s="74" t="str">
        <f>IF(E11161="SERVICE",I11161-(I11161*50%),Vlookup(E11161,DATABASE!C:Q,10,false)*F11161)</f>
        <v>#N/A</v>
      </c>
      <c r="K11161" s="74" t="str">
        <f>VLOOKUP(E11161,DATABASE!C:Q,7,false)</f>
        <v>#N/A</v>
      </c>
      <c r="L11161" s="74"/>
      <c r="M11161" s="74">
        <f t="shared" si="6"/>
        <v>0</v>
      </c>
      <c r="N11161" s="74" t="str">
        <f t="shared" si="9"/>
        <v>#N/A</v>
      </c>
      <c r="O11161" s="65" t="str">
        <f>VLOOKUP(E11161,DATABASE!C:Q,8,false)</f>
        <v>#N/A</v>
      </c>
      <c r="P11161" s="65" t="str">
        <f>VLOOKUP(E11161,DATABASE!C:Q,9,False)</f>
        <v>#N/A</v>
      </c>
      <c r="Q11161" s="93" t="str">
        <f>VLOOKUP(E11161,DATABASE!C:Q,4,false)</f>
        <v>#N/A</v>
      </c>
      <c r="R11161" s="93" t="str">
        <f>VLOOKUP(E11161,DATABASE!C:Q,11,false)</f>
        <v>#N/A</v>
      </c>
    </row>
    <row r="11162" ht="22.5" customHeight="1">
      <c r="A11162" s="49"/>
      <c r="C11162" s="400"/>
      <c r="D11162" s="524"/>
      <c r="E11162" s="544"/>
      <c r="F11162" s="387"/>
      <c r="G11162" s="140"/>
      <c r="H11162" s="74"/>
      <c r="I11162" s="74">
        <f t="shared" si="7"/>
        <v>0</v>
      </c>
      <c r="J11162" s="74" t="str">
        <f>IF(E11162="SERVICE",I11162-(I11162*50%),Vlookup(E11162,DATABASE!C:Q,10,false)*F11162)</f>
        <v>#N/A</v>
      </c>
      <c r="K11162" s="74" t="str">
        <f>VLOOKUP(E11162,DATABASE!C:Q,7,false)</f>
        <v>#N/A</v>
      </c>
      <c r="L11162" s="74"/>
      <c r="M11162" s="74">
        <f t="shared" si="6"/>
        <v>0</v>
      </c>
      <c r="N11162" s="74" t="str">
        <f t="shared" si="9"/>
        <v>#N/A</v>
      </c>
      <c r="O11162" s="65" t="str">
        <f>VLOOKUP(E11162,DATABASE!C:Q,8,false)</f>
        <v>#N/A</v>
      </c>
      <c r="P11162" s="65" t="str">
        <f>VLOOKUP(E11162,DATABASE!C:Q,9,False)</f>
        <v>#N/A</v>
      </c>
      <c r="Q11162" s="93" t="str">
        <f>VLOOKUP(E11162,DATABASE!C:Q,4,false)</f>
        <v>#N/A</v>
      </c>
      <c r="R11162" s="93" t="str">
        <f>VLOOKUP(E11162,DATABASE!C:Q,11,false)</f>
        <v>#N/A</v>
      </c>
    </row>
    <row r="11163" ht="22.5" customHeight="1">
      <c r="A11163" s="49"/>
      <c r="C11163" s="400"/>
      <c r="D11163" s="524"/>
      <c r="E11163" s="544"/>
      <c r="F11163" s="387"/>
      <c r="G11163" s="140"/>
      <c r="H11163" s="74"/>
      <c r="I11163" s="74">
        <f t="shared" si="7"/>
        <v>0</v>
      </c>
      <c r="J11163" s="74" t="str">
        <f>IF(E11163="SERVICE",I11163-(I11163*50%),Vlookup(E11163,DATABASE!C:Q,10,false)*F11163)</f>
        <v>#N/A</v>
      </c>
      <c r="K11163" s="74" t="str">
        <f>VLOOKUP(E11163,DATABASE!C:Q,7,false)</f>
        <v>#N/A</v>
      </c>
      <c r="L11163" s="74"/>
      <c r="M11163" s="74">
        <f t="shared" si="6"/>
        <v>0</v>
      </c>
      <c r="N11163" s="74" t="str">
        <f t="shared" si="9"/>
        <v>#N/A</v>
      </c>
      <c r="O11163" s="65" t="str">
        <f>VLOOKUP(E11163,DATABASE!C:Q,8,false)</f>
        <v>#N/A</v>
      </c>
      <c r="P11163" s="65" t="str">
        <f>VLOOKUP(E11163,DATABASE!C:Q,9,False)</f>
        <v>#N/A</v>
      </c>
      <c r="Q11163" s="93" t="str">
        <f>VLOOKUP(E11163,DATABASE!C:Q,4,false)</f>
        <v>#N/A</v>
      </c>
      <c r="R11163" s="93" t="str">
        <f>VLOOKUP(E11163,DATABASE!C:Q,11,false)</f>
        <v>#N/A</v>
      </c>
    </row>
    <row r="11164" ht="22.5" customHeight="1">
      <c r="A11164" s="49"/>
      <c r="C11164" s="400"/>
      <c r="D11164" s="524"/>
      <c r="E11164" s="544"/>
      <c r="F11164" s="387"/>
      <c r="G11164" s="140"/>
      <c r="H11164" s="74"/>
      <c r="I11164" s="74">
        <f t="shared" si="7"/>
        <v>0</v>
      </c>
      <c r="J11164" s="74" t="str">
        <f>IF(E11164="SERVICE",I11164-(I11164*50%),Vlookup(E11164,DATABASE!C:Q,10,false)*F11164)</f>
        <v>#N/A</v>
      </c>
      <c r="K11164" s="74" t="str">
        <f>VLOOKUP(E11164,DATABASE!C:Q,7,false)</f>
        <v>#N/A</v>
      </c>
      <c r="L11164" s="74"/>
      <c r="M11164" s="74">
        <f t="shared" si="6"/>
        <v>0</v>
      </c>
      <c r="N11164" s="74" t="str">
        <f t="shared" si="9"/>
        <v>#N/A</v>
      </c>
      <c r="O11164" s="65" t="str">
        <f>VLOOKUP(E11164,DATABASE!C:Q,8,false)</f>
        <v>#N/A</v>
      </c>
      <c r="P11164" s="65" t="str">
        <f>VLOOKUP(E11164,DATABASE!C:Q,9,False)</f>
        <v>#N/A</v>
      </c>
      <c r="Q11164" s="93" t="str">
        <f>VLOOKUP(E11164,DATABASE!C:Q,4,false)</f>
        <v>#N/A</v>
      </c>
      <c r="R11164" s="93" t="str">
        <f>VLOOKUP(E11164,DATABASE!C:Q,11,false)</f>
        <v>#N/A</v>
      </c>
    </row>
    <row r="11165" ht="22.5" customHeight="1">
      <c r="A11165" s="49"/>
      <c r="C11165" s="400"/>
      <c r="D11165" s="524"/>
      <c r="E11165" s="544"/>
      <c r="F11165" s="387"/>
      <c r="G11165" s="140"/>
      <c r="H11165" s="74"/>
      <c r="I11165" s="74">
        <f t="shared" si="7"/>
        <v>0</v>
      </c>
      <c r="J11165" s="74" t="str">
        <f>IF(E11165="SERVICE",I11165-(I11165*50%),Vlookup(E11165,DATABASE!C:Q,10,false)*F11165)</f>
        <v>#N/A</v>
      </c>
      <c r="K11165" s="74" t="str">
        <f>VLOOKUP(E11165,DATABASE!C:Q,7,false)</f>
        <v>#N/A</v>
      </c>
      <c r="L11165" s="74"/>
      <c r="M11165" s="74">
        <f t="shared" si="6"/>
        <v>0</v>
      </c>
      <c r="N11165" s="74" t="str">
        <f t="shared" si="9"/>
        <v>#N/A</v>
      </c>
      <c r="O11165" s="65" t="str">
        <f>VLOOKUP(E11165,DATABASE!C:Q,8,false)</f>
        <v>#N/A</v>
      </c>
      <c r="P11165" s="65" t="str">
        <f>VLOOKUP(E11165,DATABASE!C:Q,9,False)</f>
        <v>#N/A</v>
      </c>
      <c r="Q11165" s="93" t="str">
        <f>VLOOKUP(E11165,DATABASE!C:Q,4,false)</f>
        <v>#N/A</v>
      </c>
      <c r="R11165" s="93" t="str">
        <f>VLOOKUP(E11165,DATABASE!C:Q,11,false)</f>
        <v>#N/A</v>
      </c>
    </row>
    <row r="11166" ht="22.5" customHeight="1">
      <c r="A11166" s="49"/>
      <c r="C11166" s="400"/>
      <c r="D11166" s="524"/>
      <c r="E11166" s="544"/>
      <c r="F11166" s="387"/>
      <c r="G11166" s="140"/>
      <c r="H11166" s="74"/>
      <c r="I11166" s="74">
        <f t="shared" si="7"/>
        <v>0</v>
      </c>
      <c r="J11166" s="74" t="str">
        <f>IF(E11166="SERVICE",I11166-(I11166*50%),Vlookup(E11166,DATABASE!C:Q,10,false)*F11166)</f>
        <v>#N/A</v>
      </c>
      <c r="K11166" s="74" t="str">
        <f>VLOOKUP(E11166,DATABASE!C:Q,7,false)</f>
        <v>#N/A</v>
      </c>
      <c r="L11166" s="74"/>
      <c r="M11166" s="74">
        <f t="shared" si="6"/>
        <v>0</v>
      </c>
      <c r="N11166" s="74" t="str">
        <f t="shared" si="9"/>
        <v>#N/A</v>
      </c>
      <c r="O11166" s="65" t="str">
        <f>VLOOKUP(E11166,DATABASE!C:Q,8,false)</f>
        <v>#N/A</v>
      </c>
      <c r="P11166" s="65" t="str">
        <f>VLOOKUP(E11166,DATABASE!C:Q,9,False)</f>
        <v>#N/A</v>
      </c>
      <c r="Q11166" s="93" t="str">
        <f>VLOOKUP(E11166,DATABASE!C:Q,4,false)</f>
        <v>#N/A</v>
      </c>
      <c r="R11166" s="93" t="str">
        <f>VLOOKUP(E11166,DATABASE!C:Q,11,false)</f>
        <v>#N/A</v>
      </c>
    </row>
    <row r="11167" ht="22.5" customHeight="1">
      <c r="A11167" s="49"/>
      <c r="C11167" s="400"/>
      <c r="D11167" s="524"/>
      <c r="E11167" s="544"/>
      <c r="F11167" s="387"/>
      <c r="G11167" s="140"/>
      <c r="H11167" s="74"/>
      <c r="I11167" s="74">
        <f t="shared" si="7"/>
        <v>0</v>
      </c>
      <c r="J11167" s="74" t="str">
        <f>IF(E11167="SERVICE",I11167-(I11167*50%),Vlookup(E11167,DATABASE!C:Q,10,false)*F11167)</f>
        <v>#N/A</v>
      </c>
      <c r="K11167" s="74" t="str">
        <f>VLOOKUP(E11167,DATABASE!C:Q,7,false)</f>
        <v>#N/A</v>
      </c>
      <c r="L11167" s="74"/>
      <c r="M11167" s="74">
        <f t="shared" si="6"/>
        <v>0</v>
      </c>
      <c r="N11167" s="74" t="str">
        <f t="shared" si="9"/>
        <v>#N/A</v>
      </c>
      <c r="O11167" s="65" t="str">
        <f>VLOOKUP(E11167,DATABASE!C:Q,8,false)</f>
        <v>#N/A</v>
      </c>
      <c r="P11167" s="65" t="str">
        <f>VLOOKUP(E11167,DATABASE!C:Q,9,False)</f>
        <v>#N/A</v>
      </c>
      <c r="Q11167" s="93" t="str">
        <f>VLOOKUP(E11167,DATABASE!C:Q,4,false)</f>
        <v>#N/A</v>
      </c>
      <c r="R11167" s="93" t="str">
        <f>VLOOKUP(E11167,DATABASE!C:Q,11,false)</f>
        <v>#N/A</v>
      </c>
    </row>
    <row r="11168" ht="22.5" customHeight="1">
      <c r="A11168" s="49"/>
      <c r="C11168" s="400"/>
      <c r="D11168" s="524"/>
      <c r="E11168" s="544"/>
      <c r="F11168" s="387"/>
      <c r="G11168" s="140"/>
      <c r="H11168" s="74"/>
      <c r="I11168" s="74">
        <f t="shared" si="7"/>
        <v>0</v>
      </c>
      <c r="J11168" s="74" t="str">
        <f>IF(E11168="SERVICE",I11168-(I11168*50%),Vlookup(E11168,DATABASE!C:Q,10,false)*F11168)</f>
        <v>#N/A</v>
      </c>
      <c r="K11168" s="74" t="str">
        <f>VLOOKUP(E11168,DATABASE!C:Q,7,false)</f>
        <v>#N/A</v>
      </c>
      <c r="L11168" s="74"/>
      <c r="M11168" s="74">
        <f t="shared" si="6"/>
        <v>0</v>
      </c>
      <c r="N11168" s="74" t="str">
        <f t="shared" si="9"/>
        <v>#N/A</v>
      </c>
      <c r="O11168" s="65" t="str">
        <f>VLOOKUP(E11168,DATABASE!C:Q,8,false)</f>
        <v>#N/A</v>
      </c>
      <c r="P11168" s="65" t="str">
        <f>VLOOKUP(E11168,DATABASE!C:Q,9,False)</f>
        <v>#N/A</v>
      </c>
      <c r="Q11168" s="93" t="str">
        <f>VLOOKUP(E11168,DATABASE!C:Q,4,false)</f>
        <v>#N/A</v>
      </c>
      <c r="R11168" s="93" t="str">
        <f>VLOOKUP(E11168,DATABASE!C:Q,11,false)</f>
        <v>#N/A</v>
      </c>
    </row>
    <row r="11169" ht="22.5" customHeight="1">
      <c r="A11169" s="49"/>
      <c r="C11169" s="400"/>
      <c r="D11169" s="524"/>
      <c r="E11169" s="544"/>
      <c r="F11169" s="387"/>
      <c r="G11169" s="140"/>
      <c r="H11169" s="74"/>
      <c r="I11169" s="74">
        <f t="shared" si="7"/>
        <v>0</v>
      </c>
      <c r="J11169" s="74" t="str">
        <f>IF(E11169="SERVICE",I11169-(I11169*50%),Vlookup(E11169,DATABASE!C:Q,10,false)*F11169)</f>
        <v>#N/A</v>
      </c>
      <c r="K11169" s="74" t="str">
        <f>VLOOKUP(E11169,DATABASE!C:Q,7,false)</f>
        <v>#N/A</v>
      </c>
      <c r="L11169" s="74"/>
      <c r="M11169" s="74">
        <f t="shared" si="6"/>
        <v>0</v>
      </c>
      <c r="N11169" s="74" t="str">
        <f t="shared" si="9"/>
        <v>#N/A</v>
      </c>
      <c r="O11169" s="65" t="str">
        <f>VLOOKUP(E11169,DATABASE!C:Q,8,false)</f>
        <v>#N/A</v>
      </c>
      <c r="P11169" s="65" t="str">
        <f>VLOOKUP(E11169,DATABASE!C:Q,9,False)</f>
        <v>#N/A</v>
      </c>
      <c r="Q11169" s="93" t="str">
        <f>VLOOKUP(E11169,DATABASE!C:Q,4,false)</f>
        <v>#N/A</v>
      </c>
      <c r="R11169" s="93" t="str">
        <f>VLOOKUP(E11169,DATABASE!C:Q,11,false)</f>
        <v>#N/A</v>
      </c>
    </row>
    <row r="11170" ht="22.5" customHeight="1">
      <c r="A11170" s="49"/>
      <c r="C11170" s="400"/>
      <c r="D11170" s="524"/>
      <c r="E11170" s="544"/>
      <c r="F11170" s="387"/>
      <c r="G11170" s="140"/>
      <c r="H11170" s="74"/>
      <c r="I11170" s="74">
        <f t="shared" si="7"/>
        <v>0</v>
      </c>
      <c r="J11170" s="74" t="str">
        <f>IF(E11170="SERVICE",I11170-(I11170*50%),Vlookup(E11170,DATABASE!C:Q,10,false)*F11170)</f>
        <v>#N/A</v>
      </c>
      <c r="K11170" s="74" t="str">
        <f>VLOOKUP(E11170,DATABASE!C:Q,7,false)</f>
        <v>#N/A</v>
      </c>
      <c r="L11170" s="74"/>
      <c r="M11170" s="74">
        <f t="shared" si="6"/>
        <v>0</v>
      </c>
      <c r="N11170" s="74" t="str">
        <f t="shared" si="9"/>
        <v>#N/A</v>
      </c>
      <c r="O11170" s="65" t="str">
        <f>VLOOKUP(E11170,DATABASE!C:Q,8,false)</f>
        <v>#N/A</v>
      </c>
      <c r="P11170" s="65" t="str">
        <f>VLOOKUP(E11170,DATABASE!C:Q,9,False)</f>
        <v>#N/A</v>
      </c>
      <c r="Q11170" s="93" t="str">
        <f>VLOOKUP(E11170,DATABASE!C:Q,4,false)</f>
        <v>#N/A</v>
      </c>
      <c r="R11170" s="93" t="str">
        <f>VLOOKUP(E11170,DATABASE!C:Q,11,false)</f>
        <v>#N/A</v>
      </c>
    </row>
    <row r="11171" ht="22.5" customHeight="1">
      <c r="A11171" s="49"/>
      <c r="C11171" s="400"/>
      <c r="D11171" s="524"/>
      <c r="E11171" s="544"/>
      <c r="F11171" s="387"/>
      <c r="G11171" s="140"/>
      <c r="H11171" s="74"/>
      <c r="I11171" s="74">
        <f t="shared" si="7"/>
        <v>0</v>
      </c>
      <c r="J11171" s="74" t="str">
        <f>IF(E11171="SERVICE",I11171-(I11171*50%),Vlookup(E11171,DATABASE!C:Q,10,false)*F11171)</f>
        <v>#N/A</v>
      </c>
      <c r="K11171" s="74" t="str">
        <f>VLOOKUP(E11171,DATABASE!C:Q,7,false)</f>
        <v>#N/A</v>
      </c>
      <c r="L11171" s="74"/>
      <c r="M11171" s="74">
        <f t="shared" si="6"/>
        <v>0</v>
      </c>
      <c r="N11171" s="74" t="str">
        <f t="shared" si="9"/>
        <v>#N/A</v>
      </c>
      <c r="O11171" s="65" t="str">
        <f>VLOOKUP(E11171,DATABASE!C:Q,8,false)</f>
        <v>#N/A</v>
      </c>
      <c r="P11171" s="65" t="str">
        <f>VLOOKUP(E11171,DATABASE!C:Q,9,False)</f>
        <v>#N/A</v>
      </c>
      <c r="Q11171" s="93" t="str">
        <f>VLOOKUP(E11171,DATABASE!C:Q,4,false)</f>
        <v>#N/A</v>
      </c>
      <c r="R11171" s="93" t="str">
        <f>VLOOKUP(E11171,DATABASE!C:Q,11,false)</f>
        <v>#N/A</v>
      </c>
    </row>
    <row r="11172" ht="22.5" customHeight="1">
      <c r="A11172" s="49"/>
      <c r="C11172" s="400"/>
      <c r="D11172" s="524"/>
      <c r="E11172" s="544"/>
      <c r="F11172" s="387"/>
      <c r="G11172" s="140"/>
      <c r="H11172" s="74"/>
      <c r="I11172" s="74">
        <f t="shared" si="7"/>
        <v>0</v>
      </c>
      <c r="J11172" s="74" t="str">
        <f>IF(E11172="SERVICE",I11172-(I11172*50%),Vlookup(E11172,DATABASE!C:Q,10,false)*F11172)</f>
        <v>#N/A</v>
      </c>
      <c r="K11172" s="74" t="str">
        <f>VLOOKUP(E11172,DATABASE!C:Q,7,false)</f>
        <v>#N/A</v>
      </c>
      <c r="L11172" s="74"/>
      <c r="M11172" s="74">
        <f t="shared" si="6"/>
        <v>0</v>
      </c>
      <c r="N11172" s="74" t="str">
        <f t="shared" si="9"/>
        <v>#N/A</v>
      </c>
      <c r="O11172" s="65" t="str">
        <f>VLOOKUP(E11172,DATABASE!C:Q,8,false)</f>
        <v>#N/A</v>
      </c>
      <c r="P11172" s="65" t="str">
        <f>VLOOKUP(E11172,DATABASE!C:Q,9,False)</f>
        <v>#N/A</v>
      </c>
      <c r="Q11172" s="93" t="str">
        <f>VLOOKUP(E11172,DATABASE!C:Q,4,false)</f>
        <v>#N/A</v>
      </c>
      <c r="R11172" s="93" t="str">
        <f>VLOOKUP(E11172,DATABASE!C:Q,11,false)</f>
        <v>#N/A</v>
      </c>
    </row>
    <row r="11173" ht="22.5" customHeight="1">
      <c r="A11173" s="49"/>
      <c r="C11173" s="400"/>
      <c r="D11173" s="524"/>
      <c r="E11173" s="544"/>
      <c r="F11173" s="387"/>
      <c r="G11173" s="140"/>
      <c r="H11173" s="74"/>
      <c r="I11173" s="74">
        <f t="shared" si="7"/>
        <v>0</v>
      </c>
      <c r="J11173" s="74" t="str">
        <f>IF(E11173="SERVICE",I11173-(I11173*50%),Vlookup(E11173,DATABASE!C:Q,10,false)*F11173)</f>
        <v>#N/A</v>
      </c>
      <c r="K11173" s="74" t="str">
        <f>VLOOKUP(E11173,DATABASE!C:Q,7,false)</f>
        <v>#N/A</v>
      </c>
      <c r="L11173" s="74"/>
      <c r="M11173" s="74">
        <f t="shared" si="6"/>
        <v>0</v>
      </c>
      <c r="N11173" s="74" t="str">
        <f t="shared" si="9"/>
        <v>#N/A</v>
      </c>
      <c r="O11173" s="65" t="str">
        <f>VLOOKUP(E11173,DATABASE!C:Q,8,false)</f>
        <v>#N/A</v>
      </c>
      <c r="P11173" s="65" t="str">
        <f>VLOOKUP(E11173,DATABASE!C:Q,9,False)</f>
        <v>#N/A</v>
      </c>
      <c r="Q11173" s="93" t="str">
        <f>VLOOKUP(E11173,DATABASE!C:Q,4,false)</f>
        <v>#N/A</v>
      </c>
      <c r="R11173" s="93" t="str">
        <f>VLOOKUP(E11173,DATABASE!C:Q,11,false)</f>
        <v>#N/A</v>
      </c>
    </row>
    <row r="11174" ht="22.5" customHeight="1">
      <c r="A11174" s="49"/>
      <c r="C11174" s="400"/>
      <c r="D11174" s="524"/>
      <c r="E11174" s="544"/>
      <c r="F11174" s="387"/>
      <c r="G11174" s="140"/>
      <c r="H11174" s="74"/>
      <c r="I11174" s="74">
        <f t="shared" si="7"/>
        <v>0</v>
      </c>
      <c r="J11174" s="74" t="str">
        <f>IF(E11174="SERVICE",I11174-(I11174*50%),Vlookup(E11174,DATABASE!C:Q,10,false)*F11174)</f>
        <v>#N/A</v>
      </c>
      <c r="K11174" s="74" t="str">
        <f>VLOOKUP(E11174,DATABASE!C:Q,7,false)</f>
        <v>#N/A</v>
      </c>
      <c r="L11174" s="74"/>
      <c r="M11174" s="74">
        <f t="shared" si="6"/>
        <v>0</v>
      </c>
      <c r="N11174" s="74" t="str">
        <f t="shared" si="9"/>
        <v>#N/A</v>
      </c>
      <c r="O11174" s="65" t="str">
        <f>VLOOKUP(E11174,DATABASE!C:Q,8,false)</f>
        <v>#N/A</v>
      </c>
      <c r="P11174" s="65" t="str">
        <f>VLOOKUP(E11174,DATABASE!C:Q,9,False)</f>
        <v>#N/A</v>
      </c>
      <c r="Q11174" s="93" t="str">
        <f>VLOOKUP(E11174,DATABASE!C:Q,4,false)</f>
        <v>#N/A</v>
      </c>
      <c r="R11174" s="93" t="str">
        <f>VLOOKUP(E11174,DATABASE!C:Q,11,false)</f>
        <v>#N/A</v>
      </c>
    </row>
    <row r="11175" ht="22.5" customHeight="1">
      <c r="A11175" s="49"/>
      <c r="C11175" s="400"/>
      <c r="D11175" s="524"/>
      <c r="E11175" s="544"/>
      <c r="F11175" s="387"/>
      <c r="G11175" s="140"/>
      <c r="H11175" s="74"/>
      <c r="I11175" s="74">
        <f t="shared" si="7"/>
        <v>0</v>
      </c>
      <c r="J11175" s="74" t="str">
        <f>IF(E11175="SERVICE",I11175-(I11175*50%),Vlookup(E11175,DATABASE!C:Q,10,false)*F11175)</f>
        <v>#N/A</v>
      </c>
      <c r="K11175" s="74" t="str">
        <f>VLOOKUP(E11175,DATABASE!C:Q,7,false)</f>
        <v>#N/A</v>
      </c>
      <c r="L11175" s="74"/>
      <c r="M11175" s="74">
        <f t="shared" si="6"/>
        <v>0</v>
      </c>
      <c r="N11175" s="74" t="str">
        <f t="shared" si="9"/>
        <v>#N/A</v>
      </c>
      <c r="O11175" s="65" t="str">
        <f>VLOOKUP(E11175,DATABASE!C:Q,8,false)</f>
        <v>#N/A</v>
      </c>
      <c r="P11175" s="65" t="str">
        <f>VLOOKUP(E11175,DATABASE!C:Q,9,False)</f>
        <v>#N/A</v>
      </c>
      <c r="Q11175" s="93" t="str">
        <f>VLOOKUP(E11175,DATABASE!C:Q,4,false)</f>
        <v>#N/A</v>
      </c>
      <c r="R11175" s="93" t="str">
        <f>VLOOKUP(E11175,DATABASE!C:Q,11,false)</f>
        <v>#N/A</v>
      </c>
    </row>
    <row r="11176" ht="22.5" customHeight="1">
      <c r="A11176" s="49"/>
      <c r="C11176" s="400"/>
      <c r="D11176" s="524"/>
      <c r="E11176" s="544"/>
      <c r="F11176" s="387"/>
      <c r="G11176" s="140"/>
      <c r="H11176" s="74"/>
      <c r="I11176" s="74">
        <f t="shared" si="7"/>
        <v>0</v>
      </c>
      <c r="J11176" s="74" t="str">
        <f>IF(E11176="SERVICE",I11176-(I11176*50%),Vlookup(E11176,DATABASE!C:Q,10,false)*F11176)</f>
        <v>#N/A</v>
      </c>
      <c r="K11176" s="74" t="str">
        <f>VLOOKUP(E11176,DATABASE!C:Q,7,false)</f>
        <v>#N/A</v>
      </c>
      <c r="L11176" s="74"/>
      <c r="M11176" s="74">
        <f t="shared" si="6"/>
        <v>0</v>
      </c>
      <c r="N11176" s="74" t="str">
        <f t="shared" si="9"/>
        <v>#N/A</v>
      </c>
      <c r="O11176" s="65" t="str">
        <f>VLOOKUP(E11176,DATABASE!C:Q,8,false)</f>
        <v>#N/A</v>
      </c>
      <c r="P11176" s="65" t="str">
        <f>VLOOKUP(E11176,DATABASE!C:Q,9,False)</f>
        <v>#N/A</v>
      </c>
      <c r="Q11176" s="93" t="str">
        <f>VLOOKUP(E11176,DATABASE!C:Q,4,false)</f>
        <v>#N/A</v>
      </c>
      <c r="R11176" s="93" t="str">
        <f>VLOOKUP(E11176,DATABASE!C:Q,11,false)</f>
        <v>#N/A</v>
      </c>
    </row>
    <row r="11177" ht="22.5" customHeight="1">
      <c r="A11177" s="49"/>
      <c r="C11177" s="400"/>
      <c r="D11177" s="524"/>
      <c r="E11177" s="544"/>
      <c r="F11177" s="387"/>
      <c r="G11177" s="140"/>
      <c r="H11177" s="74"/>
      <c r="I11177" s="74">
        <f t="shared" si="7"/>
        <v>0</v>
      </c>
      <c r="J11177" s="74" t="str">
        <f>IF(E11177="SERVICE",I11177-(I11177*50%),Vlookup(E11177,DATABASE!C:Q,10,false)*F11177)</f>
        <v>#N/A</v>
      </c>
      <c r="K11177" s="74" t="str">
        <f>VLOOKUP(E11177,DATABASE!C:Q,7,false)</f>
        <v>#N/A</v>
      </c>
      <c r="L11177" s="74"/>
      <c r="M11177" s="74">
        <f t="shared" si="6"/>
        <v>0</v>
      </c>
      <c r="N11177" s="74" t="str">
        <f t="shared" si="9"/>
        <v>#N/A</v>
      </c>
      <c r="O11177" s="65" t="str">
        <f>VLOOKUP(E11177,DATABASE!C:Q,8,false)</f>
        <v>#N/A</v>
      </c>
      <c r="P11177" s="65" t="str">
        <f>VLOOKUP(E11177,DATABASE!C:Q,9,False)</f>
        <v>#N/A</v>
      </c>
      <c r="Q11177" s="93" t="str">
        <f>VLOOKUP(E11177,DATABASE!C:Q,4,false)</f>
        <v>#N/A</v>
      </c>
      <c r="R11177" s="93" t="str">
        <f>VLOOKUP(E11177,DATABASE!C:Q,11,false)</f>
        <v>#N/A</v>
      </c>
    </row>
    <row r="11178" ht="22.5" customHeight="1">
      <c r="A11178" s="49"/>
      <c r="C11178" s="400"/>
      <c r="D11178" s="524"/>
      <c r="E11178" s="544"/>
      <c r="F11178" s="387"/>
      <c r="G11178" s="140"/>
      <c r="H11178" s="74"/>
      <c r="I11178" s="74">
        <f t="shared" si="7"/>
        <v>0</v>
      </c>
      <c r="J11178" s="74" t="str">
        <f>IF(E11178="SERVICE",I11178-(I11178*50%),Vlookup(E11178,DATABASE!C:Q,10,false)*F11178)</f>
        <v>#N/A</v>
      </c>
      <c r="K11178" s="74" t="str">
        <f>VLOOKUP(E11178,DATABASE!C:Q,7,false)</f>
        <v>#N/A</v>
      </c>
      <c r="L11178" s="74"/>
      <c r="M11178" s="74">
        <f t="shared" si="6"/>
        <v>0</v>
      </c>
      <c r="N11178" s="74" t="str">
        <f t="shared" si="9"/>
        <v>#N/A</v>
      </c>
      <c r="O11178" s="65" t="str">
        <f>VLOOKUP(E11178,DATABASE!C:Q,8,false)</f>
        <v>#N/A</v>
      </c>
      <c r="P11178" s="65" t="str">
        <f>VLOOKUP(E11178,DATABASE!C:Q,9,False)</f>
        <v>#N/A</v>
      </c>
      <c r="Q11178" s="93" t="str">
        <f>VLOOKUP(E11178,DATABASE!C:Q,4,false)</f>
        <v>#N/A</v>
      </c>
      <c r="R11178" s="93" t="str">
        <f>VLOOKUP(E11178,DATABASE!C:Q,11,false)</f>
        <v>#N/A</v>
      </c>
    </row>
    <row r="11179" ht="22.5" customHeight="1">
      <c r="A11179" s="49"/>
      <c r="C11179" s="400"/>
      <c r="D11179" s="524"/>
      <c r="E11179" s="544"/>
      <c r="F11179" s="387"/>
      <c r="G11179" s="140"/>
      <c r="H11179" s="74"/>
      <c r="I11179" s="74">
        <f t="shared" si="7"/>
        <v>0</v>
      </c>
      <c r="J11179" s="74" t="str">
        <f>IF(E11179="SERVICE",I11179-(I11179*50%),Vlookup(E11179,DATABASE!C:Q,10,false)*F11179)</f>
        <v>#N/A</v>
      </c>
      <c r="K11179" s="74" t="str">
        <f>VLOOKUP(E11179,DATABASE!C:Q,7,false)</f>
        <v>#N/A</v>
      </c>
      <c r="L11179" s="74"/>
      <c r="M11179" s="74">
        <f t="shared" si="6"/>
        <v>0</v>
      </c>
      <c r="N11179" s="74" t="str">
        <f t="shared" si="9"/>
        <v>#N/A</v>
      </c>
      <c r="O11179" s="65" t="str">
        <f>VLOOKUP(E11179,DATABASE!C:Q,8,false)</f>
        <v>#N/A</v>
      </c>
      <c r="P11179" s="65" t="str">
        <f>VLOOKUP(E11179,DATABASE!C:Q,9,False)</f>
        <v>#N/A</v>
      </c>
      <c r="Q11179" s="93" t="str">
        <f>VLOOKUP(E11179,DATABASE!C:Q,4,false)</f>
        <v>#N/A</v>
      </c>
      <c r="R11179" s="93" t="str">
        <f>VLOOKUP(E11179,DATABASE!C:Q,11,false)</f>
        <v>#N/A</v>
      </c>
    </row>
    <row r="11180" ht="22.5" customHeight="1">
      <c r="A11180" s="49"/>
      <c r="C11180" s="400"/>
      <c r="D11180" s="524"/>
      <c r="E11180" s="544"/>
      <c r="F11180" s="387"/>
      <c r="G11180" s="140"/>
      <c r="H11180" s="74"/>
      <c r="I11180" s="74">
        <f t="shared" si="7"/>
        <v>0</v>
      </c>
      <c r="J11180" s="74" t="str">
        <f>IF(E11180="SERVICE",I11180-(I11180*50%),Vlookup(E11180,DATABASE!C:Q,10,false)*F11180)</f>
        <v>#N/A</v>
      </c>
      <c r="K11180" s="74" t="str">
        <f>VLOOKUP(E11180,DATABASE!C:Q,7,false)</f>
        <v>#N/A</v>
      </c>
      <c r="L11180" s="74"/>
      <c r="M11180" s="74">
        <f t="shared" si="6"/>
        <v>0</v>
      </c>
      <c r="N11180" s="74" t="str">
        <f t="shared" si="9"/>
        <v>#N/A</v>
      </c>
      <c r="O11180" s="65" t="str">
        <f>VLOOKUP(E11180,DATABASE!C:Q,8,false)</f>
        <v>#N/A</v>
      </c>
      <c r="P11180" s="65" t="str">
        <f>VLOOKUP(E11180,DATABASE!C:Q,9,False)</f>
        <v>#N/A</v>
      </c>
      <c r="Q11180" s="93" t="str">
        <f>VLOOKUP(E11180,DATABASE!C:Q,4,false)</f>
        <v>#N/A</v>
      </c>
      <c r="R11180" s="93" t="str">
        <f>VLOOKUP(E11180,DATABASE!C:Q,11,false)</f>
        <v>#N/A</v>
      </c>
    </row>
    <row r="11181" ht="22.5" customHeight="1">
      <c r="A11181" s="49"/>
      <c r="C11181" s="400"/>
      <c r="D11181" s="524"/>
      <c r="E11181" s="544"/>
      <c r="F11181" s="387"/>
      <c r="G11181" s="140"/>
      <c r="H11181" s="74"/>
      <c r="I11181" s="74">
        <f t="shared" si="7"/>
        <v>0</v>
      </c>
      <c r="J11181" s="74" t="str">
        <f>IF(E11181="SERVICE",I11181-(I11181*50%),Vlookup(E11181,DATABASE!C:Q,10,false)*F11181)</f>
        <v>#N/A</v>
      </c>
      <c r="K11181" s="74" t="str">
        <f>VLOOKUP(E11181,DATABASE!C:Q,7,false)</f>
        <v>#N/A</v>
      </c>
      <c r="L11181" s="74"/>
      <c r="M11181" s="74">
        <f t="shared" si="6"/>
        <v>0</v>
      </c>
      <c r="N11181" s="74" t="str">
        <f t="shared" si="9"/>
        <v>#N/A</v>
      </c>
      <c r="O11181" s="65" t="str">
        <f>VLOOKUP(E11181,DATABASE!C:Q,8,false)</f>
        <v>#N/A</v>
      </c>
      <c r="P11181" s="65" t="str">
        <f>VLOOKUP(E11181,DATABASE!C:Q,9,False)</f>
        <v>#N/A</v>
      </c>
      <c r="Q11181" s="93" t="str">
        <f>VLOOKUP(E11181,DATABASE!C:Q,4,false)</f>
        <v>#N/A</v>
      </c>
      <c r="R11181" s="93" t="str">
        <f>VLOOKUP(E11181,DATABASE!C:Q,11,false)</f>
        <v>#N/A</v>
      </c>
    </row>
    <row r="11182" ht="22.5" customHeight="1">
      <c r="A11182" s="49"/>
      <c r="C11182" s="400"/>
      <c r="D11182" s="524"/>
      <c r="E11182" s="544"/>
      <c r="F11182" s="387"/>
      <c r="G11182" s="140"/>
      <c r="H11182" s="74"/>
      <c r="I11182" s="74">
        <f t="shared" si="7"/>
        <v>0</v>
      </c>
      <c r="J11182" s="74" t="str">
        <f>IF(E11182="SERVICE",I11182-(I11182*50%),Vlookup(E11182,DATABASE!C:Q,10,false)*F11182)</f>
        <v>#N/A</v>
      </c>
      <c r="K11182" s="74" t="str">
        <f>VLOOKUP(E11182,DATABASE!C:Q,7,false)</f>
        <v>#N/A</v>
      </c>
      <c r="L11182" s="74"/>
      <c r="M11182" s="74">
        <f t="shared" si="6"/>
        <v>0</v>
      </c>
      <c r="N11182" s="74" t="str">
        <f t="shared" si="9"/>
        <v>#N/A</v>
      </c>
      <c r="O11182" s="65" t="str">
        <f>VLOOKUP(E11182,DATABASE!C:Q,8,false)</f>
        <v>#N/A</v>
      </c>
      <c r="P11182" s="65" t="str">
        <f>VLOOKUP(E11182,DATABASE!C:Q,9,False)</f>
        <v>#N/A</v>
      </c>
      <c r="Q11182" s="93" t="str">
        <f>VLOOKUP(E11182,DATABASE!C:Q,4,false)</f>
        <v>#N/A</v>
      </c>
      <c r="R11182" s="93" t="str">
        <f>VLOOKUP(E11182,DATABASE!C:Q,11,false)</f>
        <v>#N/A</v>
      </c>
    </row>
    <row r="11183" ht="22.5" customHeight="1">
      <c r="A11183" s="49"/>
      <c r="C11183" s="400"/>
      <c r="D11183" s="524"/>
      <c r="E11183" s="544"/>
      <c r="F11183" s="387"/>
      <c r="G11183" s="140"/>
      <c r="H11183" s="74"/>
      <c r="I11183" s="74">
        <f t="shared" si="7"/>
        <v>0</v>
      </c>
      <c r="J11183" s="74" t="str">
        <f>IF(E11183="SERVICE",I11183-(I11183*50%),Vlookup(E11183,DATABASE!C:Q,10,false)*F11183)</f>
        <v>#N/A</v>
      </c>
      <c r="K11183" s="74" t="str">
        <f>VLOOKUP(E11183,DATABASE!C:Q,7,false)</f>
        <v>#N/A</v>
      </c>
      <c r="L11183" s="74"/>
      <c r="M11183" s="74">
        <f t="shared" si="6"/>
        <v>0</v>
      </c>
      <c r="N11183" s="74" t="str">
        <f t="shared" si="9"/>
        <v>#N/A</v>
      </c>
      <c r="O11183" s="65" t="str">
        <f>VLOOKUP(E11183,DATABASE!C:Q,8,false)</f>
        <v>#N/A</v>
      </c>
      <c r="P11183" s="65" t="str">
        <f>VLOOKUP(E11183,DATABASE!C:Q,9,False)</f>
        <v>#N/A</v>
      </c>
      <c r="Q11183" s="93" t="str">
        <f>VLOOKUP(E11183,DATABASE!C:Q,4,false)</f>
        <v>#N/A</v>
      </c>
      <c r="R11183" s="93" t="str">
        <f>VLOOKUP(E11183,DATABASE!C:Q,11,false)</f>
        <v>#N/A</v>
      </c>
    </row>
    <row r="11184" ht="22.5" customHeight="1">
      <c r="A11184" s="49"/>
      <c r="C11184" s="400"/>
      <c r="D11184" s="524"/>
      <c r="E11184" s="544"/>
      <c r="F11184" s="387"/>
      <c r="G11184" s="140"/>
      <c r="H11184" s="74"/>
      <c r="I11184" s="74">
        <f t="shared" si="7"/>
        <v>0</v>
      </c>
      <c r="J11184" s="74" t="str">
        <f>IF(E11184="SERVICE",I11184-(I11184*50%),Vlookup(E11184,DATABASE!C:Q,10,false)*F11184)</f>
        <v>#N/A</v>
      </c>
      <c r="K11184" s="74" t="str">
        <f>VLOOKUP(E11184,DATABASE!C:Q,7,false)</f>
        <v>#N/A</v>
      </c>
      <c r="L11184" s="74"/>
      <c r="M11184" s="74">
        <f t="shared" si="6"/>
        <v>0</v>
      </c>
      <c r="N11184" s="74" t="str">
        <f t="shared" si="9"/>
        <v>#N/A</v>
      </c>
      <c r="O11184" s="65" t="str">
        <f>VLOOKUP(E11184,DATABASE!C:Q,8,false)</f>
        <v>#N/A</v>
      </c>
      <c r="P11184" s="65" t="str">
        <f>VLOOKUP(E11184,DATABASE!C:Q,9,False)</f>
        <v>#N/A</v>
      </c>
      <c r="Q11184" s="93" t="str">
        <f>VLOOKUP(E11184,DATABASE!C:Q,4,false)</f>
        <v>#N/A</v>
      </c>
      <c r="R11184" s="93" t="str">
        <f>VLOOKUP(E11184,DATABASE!C:Q,11,false)</f>
        <v>#N/A</v>
      </c>
    </row>
    <row r="11185" ht="22.5" customHeight="1">
      <c r="A11185" s="49"/>
      <c r="C11185" s="400"/>
      <c r="D11185" s="524"/>
      <c r="E11185" s="544"/>
      <c r="F11185" s="387"/>
      <c r="G11185" s="140"/>
      <c r="H11185" s="74"/>
      <c r="I11185" s="74">
        <f t="shared" si="7"/>
        <v>0</v>
      </c>
      <c r="J11185" s="74" t="str">
        <f>IF(E11185="SERVICE",I11185-(I11185*50%),Vlookup(E11185,DATABASE!C:Q,10,false)*F11185)</f>
        <v>#N/A</v>
      </c>
      <c r="K11185" s="74" t="str">
        <f>VLOOKUP(E11185,DATABASE!C:Q,7,false)</f>
        <v>#N/A</v>
      </c>
      <c r="L11185" s="74"/>
      <c r="M11185" s="74">
        <f t="shared" si="6"/>
        <v>0</v>
      </c>
      <c r="N11185" s="74" t="str">
        <f t="shared" si="9"/>
        <v>#N/A</v>
      </c>
      <c r="O11185" s="65" t="str">
        <f>VLOOKUP(E11185,DATABASE!C:Q,8,false)</f>
        <v>#N/A</v>
      </c>
      <c r="P11185" s="65" t="str">
        <f>VLOOKUP(E11185,DATABASE!C:Q,9,False)</f>
        <v>#N/A</v>
      </c>
      <c r="Q11185" s="93" t="str">
        <f>VLOOKUP(E11185,DATABASE!C:Q,4,false)</f>
        <v>#N/A</v>
      </c>
      <c r="R11185" s="93" t="str">
        <f>VLOOKUP(E11185,DATABASE!C:Q,11,false)</f>
        <v>#N/A</v>
      </c>
    </row>
    <row r="11186" ht="22.5" customHeight="1">
      <c r="A11186" s="49"/>
      <c r="C11186" s="400"/>
      <c r="D11186" s="524"/>
      <c r="E11186" s="544"/>
      <c r="F11186" s="387"/>
      <c r="G11186" s="140"/>
      <c r="H11186" s="74"/>
      <c r="I11186" s="74">
        <f t="shared" si="7"/>
        <v>0</v>
      </c>
      <c r="J11186" s="74" t="str">
        <f>IF(E11186="SERVICE",I11186-(I11186*50%),Vlookup(E11186,DATABASE!C:Q,10,false)*F11186)</f>
        <v>#N/A</v>
      </c>
      <c r="K11186" s="74" t="str">
        <f>VLOOKUP(E11186,DATABASE!C:Q,7,false)</f>
        <v>#N/A</v>
      </c>
      <c r="L11186" s="74"/>
      <c r="M11186" s="74">
        <f t="shared" si="6"/>
        <v>0</v>
      </c>
      <c r="N11186" s="74" t="str">
        <f t="shared" si="9"/>
        <v>#N/A</v>
      </c>
      <c r="O11186" s="65" t="str">
        <f>VLOOKUP(E11186,DATABASE!C:Q,8,false)</f>
        <v>#N/A</v>
      </c>
      <c r="P11186" s="65" t="str">
        <f>VLOOKUP(E11186,DATABASE!C:Q,9,False)</f>
        <v>#N/A</v>
      </c>
      <c r="Q11186" s="93" t="str">
        <f>VLOOKUP(E11186,DATABASE!C:Q,4,false)</f>
        <v>#N/A</v>
      </c>
      <c r="R11186" s="93" t="str">
        <f>VLOOKUP(E11186,DATABASE!C:Q,11,false)</f>
        <v>#N/A</v>
      </c>
    </row>
    <row r="11187" ht="22.5" customHeight="1">
      <c r="A11187" s="49"/>
      <c r="C11187" s="400"/>
      <c r="D11187" s="524"/>
      <c r="E11187" s="544"/>
      <c r="F11187" s="387"/>
      <c r="G11187" s="140"/>
      <c r="H11187" s="74"/>
      <c r="I11187" s="74">
        <f t="shared" si="7"/>
        <v>0</v>
      </c>
      <c r="J11187" s="74" t="str">
        <f>IF(E11187="SERVICE",I11187-(I11187*50%),Vlookup(E11187,DATABASE!C:Q,10,false)*F11187)</f>
        <v>#N/A</v>
      </c>
      <c r="K11187" s="74" t="str">
        <f>VLOOKUP(E11187,DATABASE!C:Q,7,false)</f>
        <v>#N/A</v>
      </c>
      <c r="L11187" s="74"/>
      <c r="M11187" s="74">
        <f t="shared" si="6"/>
        <v>0</v>
      </c>
      <c r="N11187" s="74" t="str">
        <f t="shared" si="9"/>
        <v>#N/A</v>
      </c>
      <c r="O11187" s="65" t="str">
        <f>VLOOKUP(E11187,DATABASE!C:Q,8,false)</f>
        <v>#N/A</v>
      </c>
      <c r="P11187" s="65" t="str">
        <f>VLOOKUP(E11187,DATABASE!C:Q,9,False)</f>
        <v>#N/A</v>
      </c>
      <c r="Q11187" s="93" t="str">
        <f>VLOOKUP(E11187,DATABASE!C:Q,4,false)</f>
        <v>#N/A</v>
      </c>
      <c r="R11187" s="93" t="str">
        <f>VLOOKUP(E11187,DATABASE!C:Q,11,false)</f>
        <v>#N/A</v>
      </c>
    </row>
    <row r="11188" ht="22.5" customHeight="1">
      <c r="A11188" s="49"/>
      <c r="C11188" s="400"/>
      <c r="D11188" s="524"/>
      <c r="E11188" s="544"/>
      <c r="F11188" s="387"/>
      <c r="G11188" s="140"/>
      <c r="H11188" s="74"/>
      <c r="I11188" s="74">
        <f t="shared" si="7"/>
        <v>0</v>
      </c>
      <c r="J11188" s="74" t="str">
        <f>IF(E11188="SERVICE",I11188-(I11188*50%),Vlookup(E11188,DATABASE!C:Q,10,false)*F11188)</f>
        <v>#N/A</v>
      </c>
      <c r="K11188" s="74" t="str">
        <f>VLOOKUP(E11188,DATABASE!C:Q,7,false)</f>
        <v>#N/A</v>
      </c>
      <c r="L11188" s="74"/>
      <c r="M11188" s="74">
        <f t="shared" si="6"/>
        <v>0</v>
      </c>
      <c r="N11188" s="74" t="str">
        <f t="shared" si="9"/>
        <v>#N/A</v>
      </c>
      <c r="O11188" s="65" t="str">
        <f>VLOOKUP(E11188,DATABASE!C:Q,8,false)</f>
        <v>#N/A</v>
      </c>
      <c r="P11188" s="65" t="str">
        <f>VLOOKUP(E11188,DATABASE!C:Q,9,False)</f>
        <v>#N/A</v>
      </c>
      <c r="Q11188" s="93" t="str">
        <f>VLOOKUP(E11188,DATABASE!C:Q,4,false)</f>
        <v>#N/A</v>
      </c>
      <c r="R11188" s="93" t="str">
        <f>VLOOKUP(E11188,DATABASE!C:Q,11,false)</f>
        <v>#N/A</v>
      </c>
    </row>
    <row r="11189" ht="22.5" customHeight="1">
      <c r="A11189" s="49"/>
      <c r="C11189" s="400"/>
      <c r="D11189" s="524"/>
      <c r="E11189" s="544"/>
      <c r="F11189" s="387"/>
      <c r="G11189" s="140"/>
      <c r="H11189" s="74"/>
      <c r="I11189" s="74">
        <f t="shared" si="7"/>
        <v>0</v>
      </c>
      <c r="J11189" s="74" t="str">
        <f>IF(E11189="SERVICE",I11189-(I11189*50%),Vlookup(E11189,DATABASE!C:Q,10,false)*F11189)</f>
        <v>#N/A</v>
      </c>
      <c r="K11189" s="74" t="str">
        <f>VLOOKUP(E11189,DATABASE!C:Q,7,false)</f>
        <v>#N/A</v>
      </c>
      <c r="L11189" s="74"/>
      <c r="M11189" s="74">
        <f t="shared" si="6"/>
        <v>0</v>
      </c>
      <c r="N11189" s="74" t="str">
        <f t="shared" si="9"/>
        <v>#N/A</v>
      </c>
      <c r="O11189" s="65" t="str">
        <f>VLOOKUP(E11189,DATABASE!C:Q,8,false)</f>
        <v>#N/A</v>
      </c>
      <c r="P11189" s="65" t="str">
        <f>VLOOKUP(E11189,DATABASE!C:Q,9,False)</f>
        <v>#N/A</v>
      </c>
      <c r="Q11189" s="93" t="str">
        <f>VLOOKUP(E11189,DATABASE!C:Q,4,false)</f>
        <v>#N/A</v>
      </c>
      <c r="R11189" s="93" t="str">
        <f>VLOOKUP(E11189,DATABASE!C:Q,11,false)</f>
        <v>#N/A</v>
      </c>
    </row>
    <row r="11190" ht="22.5" customHeight="1">
      <c r="A11190" s="49"/>
      <c r="C11190" s="400"/>
      <c r="D11190" s="524"/>
      <c r="E11190" s="544"/>
      <c r="F11190" s="387"/>
      <c r="G11190" s="140"/>
      <c r="H11190" s="74"/>
      <c r="I11190" s="74">
        <f t="shared" si="7"/>
        <v>0</v>
      </c>
      <c r="J11190" s="74" t="str">
        <f>IF(E11190="SERVICE",I11190-(I11190*50%),Vlookup(E11190,DATABASE!C:Q,10,false)*F11190)</f>
        <v>#N/A</v>
      </c>
      <c r="K11190" s="74" t="str">
        <f>VLOOKUP(E11190,DATABASE!C:Q,7,false)</f>
        <v>#N/A</v>
      </c>
      <c r="L11190" s="74"/>
      <c r="M11190" s="74">
        <f t="shared" si="6"/>
        <v>0</v>
      </c>
      <c r="N11190" s="74" t="str">
        <f t="shared" si="9"/>
        <v>#N/A</v>
      </c>
      <c r="O11190" s="65" t="str">
        <f>VLOOKUP(E11190,DATABASE!C:Q,8,false)</f>
        <v>#N/A</v>
      </c>
      <c r="P11190" s="65" t="str">
        <f>VLOOKUP(E11190,DATABASE!C:Q,9,False)</f>
        <v>#N/A</v>
      </c>
      <c r="Q11190" s="93" t="str">
        <f>VLOOKUP(E11190,DATABASE!C:Q,4,false)</f>
        <v>#N/A</v>
      </c>
      <c r="R11190" s="93" t="str">
        <f>VLOOKUP(E11190,DATABASE!C:Q,11,false)</f>
        <v>#N/A</v>
      </c>
    </row>
    <row r="11191" ht="22.5" customHeight="1">
      <c r="A11191" s="49"/>
      <c r="C11191" s="400"/>
      <c r="D11191" s="524"/>
      <c r="E11191" s="544"/>
      <c r="F11191" s="387"/>
      <c r="G11191" s="140"/>
      <c r="H11191" s="74"/>
      <c r="I11191" s="74">
        <f t="shared" si="7"/>
        <v>0</v>
      </c>
      <c r="J11191" s="74" t="str">
        <f>IF(E11191="SERVICE",I11191-(I11191*50%),Vlookup(E11191,DATABASE!C:Q,10,false)*F11191)</f>
        <v>#N/A</v>
      </c>
      <c r="K11191" s="74" t="str">
        <f>VLOOKUP(E11191,DATABASE!C:Q,7,false)</f>
        <v>#N/A</v>
      </c>
      <c r="L11191" s="74"/>
      <c r="M11191" s="74">
        <f t="shared" si="6"/>
        <v>0</v>
      </c>
      <c r="N11191" s="74" t="str">
        <f t="shared" si="9"/>
        <v>#N/A</v>
      </c>
      <c r="O11191" s="65" t="str">
        <f>VLOOKUP(E11191,DATABASE!C:Q,8,false)</f>
        <v>#N/A</v>
      </c>
      <c r="P11191" s="65" t="str">
        <f>VLOOKUP(E11191,DATABASE!C:Q,9,False)</f>
        <v>#N/A</v>
      </c>
      <c r="Q11191" s="93" t="str">
        <f>VLOOKUP(E11191,DATABASE!C:Q,4,false)</f>
        <v>#N/A</v>
      </c>
      <c r="R11191" s="93" t="str">
        <f>VLOOKUP(E11191,DATABASE!C:Q,11,false)</f>
        <v>#N/A</v>
      </c>
    </row>
    <row r="11192" ht="22.5" customHeight="1">
      <c r="A11192" s="49"/>
      <c r="C11192" s="400"/>
      <c r="D11192" s="524"/>
      <c r="E11192" s="544"/>
      <c r="F11192" s="387"/>
      <c r="G11192" s="140"/>
      <c r="H11192" s="74"/>
      <c r="I11192" s="74">
        <f t="shared" si="7"/>
        <v>0</v>
      </c>
      <c r="J11192" s="74" t="str">
        <f>IF(E11192="SERVICE",I11192-(I11192*50%),Vlookup(E11192,DATABASE!C:Q,10,false)*F11192)</f>
        <v>#N/A</v>
      </c>
      <c r="K11192" s="74" t="str">
        <f>VLOOKUP(E11192,DATABASE!C:Q,7,false)</f>
        <v>#N/A</v>
      </c>
      <c r="L11192" s="74"/>
      <c r="M11192" s="74">
        <f t="shared" si="6"/>
        <v>0</v>
      </c>
      <c r="N11192" s="74" t="str">
        <f t="shared" si="9"/>
        <v>#N/A</v>
      </c>
      <c r="O11192" s="65" t="str">
        <f>VLOOKUP(E11192,DATABASE!C:Q,8,false)</f>
        <v>#N/A</v>
      </c>
      <c r="P11192" s="65" t="str">
        <f>VLOOKUP(E11192,DATABASE!C:Q,9,False)</f>
        <v>#N/A</v>
      </c>
      <c r="Q11192" s="93" t="str">
        <f>VLOOKUP(E11192,DATABASE!C:Q,4,false)</f>
        <v>#N/A</v>
      </c>
      <c r="R11192" s="93" t="str">
        <f>VLOOKUP(E11192,DATABASE!C:Q,11,false)</f>
        <v>#N/A</v>
      </c>
    </row>
    <row r="11193" ht="22.5" customHeight="1">
      <c r="A11193" s="49"/>
      <c r="C11193" s="400"/>
      <c r="D11193" s="524"/>
      <c r="E11193" s="544"/>
      <c r="F11193" s="387"/>
      <c r="G11193" s="140"/>
      <c r="H11193" s="74"/>
      <c r="I11193" s="74">
        <f t="shared" si="7"/>
        <v>0</v>
      </c>
      <c r="J11193" s="74" t="str">
        <f>IF(E11193="SERVICE",I11193-(I11193*50%),Vlookup(E11193,DATABASE!C:Q,10,false)*F11193)</f>
        <v>#N/A</v>
      </c>
      <c r="K11193" s="74" t="str">
        <f>VLOOKUP(E11193,DATABASE!C:Q,7,false)</f>
        <v>#N/A</v>
      </c>
      <c r="L11193" s="74"/>
      <c r="M11193" s="74">
        <f t="shared" si="6"/>
        <v>0</v>
      </c>
      <c r="N11193" s="74" t="str">
        <f t="shared" si="9"/>
        <v>#N/A</v>
      </c>
      <c r="O11193" s="65" t="str">
        <f>VLOOKUP(E11193,DATABASE!C:Q,8,false)</f>
        <v>#N/A</v>
      </c>
      <c r="P11193" s="65" t="str">
        <f>VLOOKUP(E11193,DATABASE!C:Q,9,False)</f>
        <v>#N/A</v>
      </c>
      <c r="Q11193" s="93" t="str">
        <f>VLOOKUP(E11193,DATABASE!C:Q,4,false)</f>
        <v>#N/A</v>
      </c>
      <c r="R11193" s="93" t="str">
        <f>VLOOKUP(E11193,DATABASE!C:Q,11,false)</f>
        <v>#N/A</v>
      </c>
    </row>
    <row r="11194" ht="22.5" customHeight="1">
      <c r="A11194" s="49"/>
      <c r="C11194" s="400"/>
      <c r="D11194" s="524"/>
      <c r="E11194" s="544"/>
      <c r="F11194" s="387"/>
      <c r="G11194" s="140"/>
      <c r="H11194" s="74"/>
      <c r="I11194" s="74">
        <f t="shared" si="7"/>
        <v>0</v>
      </c>
      <c r="J11194" s="74" t="str">
        <f>IF(E11194="SERVICE",I11194-(I11194*50%),Vlookup(E11194,DATABASE!C:Q,10,false)*F11194)</f>
        <v>#N/A</v>
      </c>
      <c r="K11194" s="74" t="str">
        <f>VLOOKUP(E11194,DATABASE!C:Q,7,false)</f>
        <v>#N/A</v>
      </c>
      <c r="L11194" s="74"/>
      <c r="M11194" s="74">
        <f t="shared" si="6"/>
        <v>0</v>
      </c>
      <c r="N11194" s="74" t="str">
        <f t="shared" si="9"/>
        <v>#N/A</v>
      </c>
      <c r="O11194" s="65" t="str">
        <f>VLOOKUP(E11194,DATABASE!C:Q,8,false)</f>
        <v>#N/A</v>
      </c>
      <c r="P11194" s="65" t="str">
        <f>VLOOKUP(E11194,DATABASE!C:Q,9,False)</f>
        <v>#N/A</v>
      </c>
      <c r="Q11194" s="93" t="str">
        <f>VLOOKUP(E11194,DATABASE!C:Q,4,false)</f>
        <v>#N/A</v>
      </c>
      <c r="R11194" s="93" t="str">
        <f>VLOOKUP(E11194,DATABASE!C:Q,11,false)</f>
        <v>#N/A</v>
      </c>
    </row>
    <row r="11195" ht="22.5" customHeight="1">
      <c r="A11195" s="49"/>
      <c r="C11195" s="400"/>
      <c r="D11195" s="524"/>
      <c r="E11195" s="544"/>
      <c r="F11195" s="387"/>
      <c r="G11195" s="140"/>
      <c r="H11195" s="74"/>
      <c r="I11195" s="74">
        <f t="shared" si="7"/>
        <v>0</v>
      </c>
      <c r="J11195" s="74" t="str">
        <f>IF(E11195="SERVICE",I11195-(I11195*50%),Vlookup(E11195,DATABASE!C:Q,10,false)*F11195)</f>
        <v>#N/A</v>
      </c>
      <c r="K11195" s="74" t="str">
        <f>VLOOKUP(E11195,DATABASE!C:Q,7,false)</f>
        <v>#N/A</v>
      </c>
      <c r="L11195" s="74"/>
      <c r="M11195" s="74">
        <f t="shared" si="6"/>
        <v>0</v>
      </c>
      <c r="N11195" s="74" t="str">
        <f t="shared" si="9"/>
        <v>#N/A</v>
      </c>
      <c r="O11195" s="65" t="str">
        <f>VLOOKUP(E11195,DATABASE!C:Q,8,false)</f>
        <v>#N/A</v>
      </c>
      <c r="P11195" s="65" t="str">
        <f>VLOOKUP(E11195,DATABASE!C:Q,9,False)</f>
        <v>#N/A</v>
      </c>
      <c r="Q11195" s="93" t="str">
        <f>VLOOKUP(E11195,DATABASE!C:Q,4,false)</f>
        <v>#N/A</v>
      </c>
      <c r="R11195" s="93" t="str">
        <f>VLOOKUP(E11195,DATABASE!C:Q,11,false)</f>
        <v>#N/A</v>
      </c>
    </row>
    <row r="11196" ht="22.5" customHeight="1">
      <c r="A11196" s="49"/>
      <c r="C11196" s="400"/>
      <c r="D11196" s="524"/>
      <c r="E11196" s="544"/>
      <c r="F11196" s="387"/>
      <c r="G11196" s="140"/>
      <c r="H11196" s="74"/>
      <c r="I11196" s="74">
        <f t="shared" si="7"/>
        <v>0</v>
      </c>
      <c r="J11196" s="74" t="str">
        <f>IF(E11196="SERVICE",I11196-(I11196*50%),Vlookup(E11196,DATABASE!C:Q,10,false)*F11196)</f>
        <v>#N/A</v>
      </c>
      <c r="K11196" s="74" t="str">
        <f>VLOOKUP(E11196,DATABASE!C:Q,7,false)</f>
        <v>#N/A</v>
      </c>
      <c r="L11196" s="74"/>
      <c r="M11196" s="74">
        <f t="shared" si="6"/>
        <v>0</v>
      </c>
      <c r="N11196" s="74" t="str">
        <f t="shared" si="9"/>
        <v>#N/A</v>
      </c>
      <c r="O11196" s="65" t="str">
        <f>VLOOKUP(E11196,DATABASE!C:Q,8,false)</f>
        <v>#N/A</v>
      </c>
      <c r="P11196" s="65" t="str">
        <f>VLOOKUP(E11196,DATABASE!C:Q,9,False)</f>
        <v>#N/A</v>
      </c>
      <c r="Q11196" s="93" t="str">
        <f>VLOOKUP(E11196,DATABASE!C:Q,4,false)</f>
        <v>#N/A</v>
      </c>
      <c r="R11196" s="93" t="str">
        <f>VLOOKUP(E11196,DATABASE!C:Q,11,false)</f>
        <v>#N/A</v>
      </c>
    </row>
    <row r="11197" ht="22.5" customHeight="1">
      <c r="A11197" s="49"/>
      <c r="C11197" s="400"/>
      <c r="D11197" s="524"/>
      <c r="E11197" s="544"/>
      <c r="F11197" s="387"/>
      <c r="G11197" s="140"/>
      <c r="H11197" s="74"/>
      <c r="I11197" s="74">
        <f t="shared" si="7"/>
        <v>0</v>
      </c>
      <c r="J11197" s="74" t="str">
        <f>IF(E11197="SERVICE",I11197-(I11197*50%),Vlookup(E11197,DATABASE!C:Q,10,false)*F11197)</f>
        <v>#N/A</v>
      </c>
      <c r="K11197" s="74" t="str">
        <f>VLOOKUP(E11197,DATABASE!C:Q,7,false)</f>
        <v>#N/A</v>
      </c>
      <c r="L11197" s="74"/>
      <c r="M11197" s="74">
        <f t="shared" si="6"/>
        <v>0</v>
      </c>
      <c r="N11197" s="74" t="str">
        <f t="shared" si="9"/>
        <v>#N/A</v>
      </c>
      <c r="O11197" s="65" t="str">
        <f>VLOOKUP(E11197,DATABASE!C:Q,8,false)</f>
        <v>#N/A</v>
      </c>
      <c r="P11197" s="65" t="str">
        <f>VLOOKUP(E11197,DATABASE!C:Q,9,False)</f>
        <v>#N/A</v>
      </c>
      <c r="Q11197" s="93" t="str">
        <f>VLOOKUP(E11197,DATABASE!C:Q,4,false)</f>
        <v>#N/A</v>
      </c>
      <c r="R11197" s="93" t="str">
        <f>VLOOKUP(E11197,DATABASE!C:Q,11,false)</f>
        <v>#N/A</v>
      </c>
    </row>
    <row r="11198" ht="22.5" customHeight="1">
      <c r="A11198" s="49"/>
      <c r="C11198" s="400"/>
      <c r="D11198" s="524"/>
      <c r="E11198" s="544"/>
      <c r="F11198" s="387"/>
      <c r="G11198" s="140"/>
      <c r="H11198" s="74"/>
      <c r="I11198" s="74">
        <f t="shared" si="7"/>
        <v>0</v>
      </c>
      <c r="J11198" s="74" t="str">
        <f>IF(E11198="SERVICE",I11198-(I11198*50%),Vlookup(E11198,DATABASE!C:Q,10,false)*F11198)</f>
        <v>#N/A</v>
      </c>
      <c r="K11198" s="74" t="str">
        <f>VLOOKUP(E11198,DATABASE!C:Q,7,false)</f>
        <v>#N/A</v>
      </c>
      <c r="L11198" s="74"/>
      <c r="M11198" s="74">
        <f t="shared" si="6"/>
        <v>0</v>
      </c>
      <c r="N11198" s="74" t="str">
        <f t="shared" si="9"/>
        <v>#N/A</v>
      </c>
      <c r="O11198" s="65" t="str">
        <f>VLOOKUP(E11198,DATABASE!C:Q,8,false)</f>
        <v>#N/A</v>
      </c>
      <c r="P11198" s="65" t="str">
        <f>VLOOKUP(E11198,DATABASE!C:Q,9,False)</f>
        <v>#N/A</v>
      </c>
      <c r="Q11198" s="93" t="str">
        <f>VLOOKUP(E11198,DATABASE!C:Q,4,false)</f>
        <v>#N/A</v>
      </c>
      <c r="R11198" s="93" t="str">
        <f>VLOOKUP(E11198,DATABASE!C:Q,11,false)</f>
        <v>#N/A</v>
      </c>
    </row>
    <row r="11199" ht="22.5" customHeight="1">
      <c r="A11199" s="49"/>
      <c r="C11199" s="400"/>
      <c r="D11199" s="524"/>
      <c r="E11199" s="544"/>
      <c r="F11199" s="387"/>
      <c r="G11199" s="140"/>
      <c r="H11199" s="74"/>
      <c r="I11199" s="74">
        <f t="shared" si="7"/>
        <v>0</v>
      </c>
      <c r="J11199" s="74" t="str">
        <f>IF(E11199="SERVICE",I11199-(I11199*50%),Vlookup(E11199,DATABASE!C:Q,10,false)*F11199)</f>
        <v>#N/A</v>
      </c>
      <c r="K11199" s="74" t="str">
        <f>VLOOKUP(E11199,DATABASE!C:Q,7,false)</f>
        <v>#N/A</v>
      </c>
      <c r="L11199" s="74"/>
      <c r="M11199" s="74">
        <f t="shared" si="6"/>
        <v>0</v>
      </c>
      <c r="N11199" s="74" t="str">
        <f t="shared" si="9"/>
        <v>#N/A</v>
      </c>
      <c r="O11199" s="65" t="str">
        <f>VLOOKUP(E11199,DATABASE!C:Q,8,false)</f>
        <v>#N/A</v>
      </c>
      <c r="P11199" s="65" t="str">
        <f>VLOOKUP(E11199,DATABASE!C:Q,9,False)</f>
        <v>#N/A</v>
      </c>
      <c r="Q11199" s="93" t="str">
        <f>VLOOKUP(E11199,DATABASE!C:Q,4,false)</f>
        <v>#N/A</v>
      </c>
      <c r="R11199" s="93" t="str">
        <f>VLOOKUP(E11199,DATABASE!C:Q,11,false)</f>
        <v>#N/A</v>
      </c>
    </row>
    <row r="11200" ht="22.5" customHeight="1">
      <c r="A11200" s="49"/>
      <c r="C11200" s="400"/>
      <c r="D11200" s="524"/>
      <c r="E11200" s="544"/>
      <c r="F11200" s="387"/>
      <c r="G11200" s="140"/>
      <c r="H11200" s="74"/>
      <c r="I11200" s="74">
        <f t="shared" si="7"/>
        <v>0</v>
      </c>
      <c r="J11200" s="74" t="str">
        <f>IF(E11200="SERVICE",I11200-(I11200*50%),Vlookup(E11200,DATABASE!C:Q,10,false)*F11200)</f>
        <v>#N/A</v>
      </c>
      <c r="K11200" s="74" t="str">
        <f>VLOOKUP(E11200,DATABASE!C:Q,7,false)</f>
        <v>#N/A</v>
      </c>
      <c r="L11200" s="74"/>
      <c r="M11200" s="74">
        <f t="shared" si="6"/>
        <v>0</v>
      </c>
      <c r="N11200" s="74" t="str">
        <f t="shared" si="9"/>
        <v>#N/A</v>
      </c>
      <c r="O11200" s="65" t="str">
        <f>VLOOKUP(E11200,DATABASE!C:Q,8,false)</f>
        <v>#N/A</v>
      </c>
      <c r="P11200" s="65" t="str">
        <f>VLOOKUP(E11200,DATABASE!C:Q,9,False)</f>
        <v>#N/A</v>
      </c>
      <c r="Q11200" s="93" t="str">
        <f>VLOOKUP(E11200,DATABASE!C:Q,4,false)</f>
        <v>#N/A</v>
      </c>
      <c r="R11200" s="93" t="str">
        <f>VLOOKUP(E11200,DATABASE!C:Q,11,false)</f>
        <v>#N/A</v>
      </c>
    </row>
    <row r="11201" ht="22.5" customHeight="1">
      <c r="A11201" s="49"/>
      <c r="C11201" s="400"/>
      <c r="D11201" s="524"/>
      <c r="E11201" s="544"/>
      <c r="F11201" s="387"/>
      <c r="G11201" s="140"/>
      <c r="H11201" s="74"/>
      <c r="I11201" s="74">
        <f t="shared" si="7"/>
        <v>0</v>
      </c>
      <c r="J11201" s="74" t="str">
        <f>IF(E11201="SERVICE",I11201-(I11201*50%),Vlookup(E11201,DATABASE!C:Q,10,false)*F11201)</f>
        <v>#N/A</v>
      </c>
      <c r="K11201" s="74" t="str">
        <f>VLOOKUP(E11201,DATABASE!C:Q,7,false)</f>
        <v>#N/A</v>
      </c>
      <c r="L11201" s="74"/>
      <c r="M11201" s="74">
        <f t="shared" si="6"/>
        <v>0</v>
      </c>
      <c r="N11201" s="74" t="str">
        <f t="shared" si="9"/>
        <v>#N/A</v>
      </c>
      <c r="O11201" s="65" t="str">
        <f>VLOOKUP(E11201,DATABASE!C:Q,8,false)</f>
        <v>#N/A</v>
      </c>
      <c r="P11201" s="65" t="str">
        <f>VLOOKUP(E11201,DATABASE!C:Q,9,False)</f>
        <v>#N/A</v>
      </c>
      <c r="Q11201" s="93" t="str">
        <f>VLOOKUP(E11201,DATABASE!C:Q,4,false)</f>
        <v>#N/A</v>
      </c>
      <c r="R11201" s="93" t="str">
        <f>VLOOKUP(E11201,DATABASE!C:Q,11,false)</f>
        <v>#N/A</v>
      </c>
    </row>
    <row r="11202" ht="22.5" customHeight="1">
      <c r="A11202" s="49"/>
      <c r="C11202" s="400"/>
      <c r="D11202" s="524"/>
      <c r="E11202" s="544"/>
      <c r="F11202" s="387"/>
      <c r="G11202" s="140"/>
      <c r="H11202" s="74"/>
      <c r="I11202" s="74">
        <f t="shared" si="7"/>
        <v>0</v>
      </c>
      <c r="J11202" s="74" t="str">
        <f>IF(E11202="SERVICE",I11202-(I11202*50%),Vlookup(E11202,DATABASE!C:Q,10,false)*F11202)</f>
        <v>#N/A</v>
      </c>
      <c r="K11202" s="74" t="str">
        <f>VLOOKUP(E11202,DATABASE!C:Q,7,false)</f>
        <v>#N/A</v>
      </c>
      <c r="L11202" s="74"/>
      <c r="M11202" s="74">
        <f t="shared" si="6"/>
        <v>0</v>
      </c>
      <c r="N11202" s="74" t="str">
        <f t="shared" si="9"/>
        <v>#N/A</v>
      </c>
      <c r="O11202" s="65" t="str">
        <f>VLOOKUP(E11202,DATABASE!C:Q,8,false)</f>
        <v>#N/A</v>
      </c>
      <c r="P11202" s="65" t="str">
        <f>VLOOKUP(E11202,DATABASE!C:Q,9,False)</f>
        <v>#N/A</v>
      </c>
      <c r="Q11202" s="93" t="str">
        <f>VLOOKUP(E11202,DATABASE!C:Q,4,false)</f>
        <v>#N/A</v>
      </c>
      <c r="R11202" s="93" t="str">
        <f>VLOOKUP(E11202,DATABASE!C:Q,11,false)</f>
        <v>#N/A</v>
      </c>
    </row>
    <row r="11203" ht="22.5" customHeight="1">
      <c r="A11203" s="49"/>
      <c r="C11203" s="400"/>
      <c r="D11203" s="524"/>
      <c r="E11203" s="544"/>
      <c r="F11203" s="387"/>
      <c r="G11203" s="140"/>
      <c r="H11203" s="74"/>
      <c r="I11203" s="74">
        <f t="shared" si="7"/>
        <v>0</v>
      </c>
      <c r="J11203" s="74" t="str">
        <f>IF(E11203="SERVICE",I11203-(I11203*50%),Vlookup(E11203,DATABASE!C:Q,10,false)*F11203)</f>
        <v>#N/A</v>
      </c>
      <c r="K11203" s="74" t="str">
        <f>VLOOKUP(E11203,DATABASE!C:Q,7,false)</f>
        <v>#N/A</v>
      </c>
      <c r="L11203" s="74"/>
      <c r="M11203" s="74">
        <f t="shared" si="6"/>
        <v>0</v>
      </c>
      <c r="N11203" s="74" t="str">
        <f t="shared" si="9"/>
        <v>#N/A</v>
      </c>
      <c r="O11203" s="65" t="str">
        <f>VLOOKUP(E11203,DATABASE!C:Q,8,false)</f>
        <v>#N/A</v>
      </c>
      <c r="P11203" s="65" t="str">
        <f>VLOOKUP(E11203,DATABASE!C:Q,9,False)</f>
        <v>#N/A</v>
      </c>
      <c r="Q11203" s="93" t="str">
        <f>VLOOKUP(E11203,DATABASE!C:Q,4,false)</f>
        <v>#N/A</v>
      </c>
      <c r="R11203" s="93" t="str">
        <f>VLOOKUP(E11203,DATABASE!C:Q,11,false)</f>
        <v>#N/A</v>
      </c>
    </row>
    <row r="11204" ht="22.5" customHeight="1">
      <c r="A11204" s="49"/>
      <c r="C11204" s="400"/>
      <c r="D11204" s="524"/>
      <c r="E11204" s="544"/>
      <c r="F11204" s="387"/>
      <c r="G11204" s="140"/>
      <c r="H11204" s="74"/>
      <c r="I11204" s="74">
        <f t="shared" si="7"/>
        <v>0</v>
      </c>
      <c r="J11204" s="74" t="str">
        <f>IF(E11204="SERVICE",I11204-(I11204*50%),Vlookup(E11204,DATABASE!C:Q,10,false)*F11204)</f>
        <v>#N/A</v>
      </c>
      <c r="K11204" s="74" t="str">
        <f>VLOOKUP(E11204,DATABASE!C:Q,7,false)</f>
        <v>#N/A</v>
      </c>
      <c r="L11204" s="74"/>
      <c r="M11204" s="74">
        <f t="shared" si="6"/>
        <v>0</v>
      </c>
      <c r="N11204" s="74" t="str">
        <f t="shared" si="9"/>
        <v>#N/A</v>
      </c>
      <c r="O11204" s="65" t="str">
        <f>VLOOKUP(E11204,DATABASE!C:Q,8,false)</f>
        <v>#N/A</v>
      </c>
      <c r="P11204" s="65" t="str">
        <f>VLOOKUP(E11204,DATABASE!C:Q,9,False)</f>
        <v>#N/A</v>
      </c>
      <c r="Q11204" s="93" t="str">
        <f>VLOOKUP(E11204,DATABASE!C:Q,4,false)</f>
        <v>#N/A</v>
      </c>
      <c r="R11204" s="93" t="str">
        <f>VLOOKUP(E11204,DATABASE!C:Q,11,false)</f>
        <v>#N/A</v>
      </c>
    </row>
    <row r="11205" ht="22.5" customHeight="1">
      <c r="A11205" s="49"/>
      <c r="C11205" s="400"/>
      <c r="D11205" s="524"/>
      <c r="E11205" s="544"/>
      <c r="F11205" s="387"/>
      <c r="G11205" s="140"/>
      <c r="H11205" s="74"/>
      <c r="I11205" s="74">
        <f t="shared" si="7"/>
        <v>0</v>
      </c>
      <c r="J11205" s="74" t="str">
        <f>IF(E11205="SERVICE",I11205-(I11205*50%),Vlookup(E11205,DATABASE!C:Q,10,false)*F11205)</f>
        <v>#N/A</v>
      </c>
      <c r="K11205" s="74" t="str">
        <f>VLOOKUP(E11205,DATABASE!C:Q,7,false)</f>
        <v>#N/A</v>
      </c>
      <c r="L11205" s="74"/>
      <c r="M11205" s="74">
        <f t="shared" si="6"/>
        <v>0</v>
      </c>
      <c r="N11205" s="74" t="str">
        <f t="shared" si="9"/>
        <v>#N/A</v>
      </c>
      <c r="O11205" s="65" t="str">
        <f>VLOOKUP(E11205,DATABASE!C:Q,8,false)</f>
        <v>#N/A</v>
      </c>
      <c r="P11205" s="65" t="str">
        <f>VLOOKUP(E11205,DATABASE!C:Q,9,False)</f>
        <v>#N/A</v>
      </c>
      <c r="Q11205" s="93" t="str">
        <f>VLOOKUP(E11205,DATABASE!C:Q,4,false)</f>
        <v>#N/A</v>
      </c>
      <c r="R11205" s="93" t="str">
        <f>VLOOKUP(E11205,DATABASE!C:Q,11,false)</f>
        <v>#N/A</v>
      </c>
    </row>
    <row r="11206" ht="22.5" customHeight="1">
      <c r="A11206" s="49"/>
      <c r="C11206" s="400"/>
      <c r="D11206" s="524"/>
      <c r="E11206" s="544"/>
      <c r="F11206" s="387"/>
      <c r="G11206" s="140"/>
      <c r="H11206" s="74"/>
      <c r="I11206" s="74">
        <f t="shared" si="7"/>
        <v>0</v>
      </c>
      <c r="J11206" s="74" t="str">
        <f>IF(E11206="SERVICE",I11206-(I11206*50%),Vlookup(E11206,DATABASE!C:Q,10,false)*F11206)</f>
        <v>#N/A</v>
      </c>
      <c r="K11206" s="74" t="str">
        <f>VLOOKUP(E11206,DATABASE!C:Q,7,false)</f>
        <v>#N/A</v>
      </c>
      <c r="L11206" s="74"/>
      <c r="M11206" s="74">
        <f t="shared" si="6"/>
        <v>0</v>
      </c>
      <c r="N11206" s="74" t="str">
        <f t="shared" si="9"/>
        <v>#N/A</v>
      </c>
      <c r="O11206" s="65" t="str">
        <f>VLOOKUP(E11206,DATABASE!C:Q,8,false)</f>
        <v>#N/A</v>
      </c>
      <c r="P11206" s="65" t="str">
        <f>VLOOKUP(E11206,DATABASE!C:Q,9,False)</f>
        <v>#N/A</v>
      </c>
      <c r="Q11206" s="93" t="str">
        <f>VLOOKUP(E11206,DATABASE!C:Q,4,false)</f>
        <v>#N/A</v>
      </c>
      <c r="R11206" s="93" t="str">
        <f>VLOOKUP(E11206,DATABASE!C:Q,11,false)</f>
        <v>#N/A</v>
      </c>
    </row>
    <row r="11207" ht="22.5" customHeight="1">
      <c r="A11207" s="49"/>
      <c r="C11207" s="400"/>
      <c r="D11207" s="524"/>
      <c r="E11207" s="544"/>
      <c r="F11207" s="387"/>
      <c r="G11207" s="140"/>
      <c r="H11207" s="74"/>
      <c r="I11207" s="74">
        <f t="shared" si="7"/>
        <v>0</v>
      </c>
      <c r="J11207" s="74" t="str">
        <f>IF(E11207="SERVICE",I11207-(I11207*50%),Vlookup(E11207,DATABASE!C:Q,10,false)*F11207)</f>
        <v>#N/A</v>
      </c>
      <c r="K11207" s="74" t="str">
        <f>VLOOKUP(E11207,DATABASE!C:Q,7,false)</f>
        <v>#N/A</v>
      </c>
      <c r="L11207" s="74"/>
      <c r="M11207" s="74">
        <f t="shared" si="6"/>
        <v>0</v>
      </c>
      <c r="N11207" s="74" t="str">
        <f t="shared" si="9"/>
        <v>#N/A</v>
      </c>
      <c r="O11207" s="65" t="str">
        <f>VLOOKUP(E11207,DATABASE!C:Q,8,false)</f>
        <v>#N/A</v>
      </c>
      <c r="P11207" s="65" t="str">
        <f>VLOOKUP(E11207,DATABASE!C:Q,9,False)</f>
        <v>#N/A</v>
      </c>
      <c r="Q11207" s="93" t="str">
        <f>VLOOKUP(E11207,DATABASE!C:Q,4,false)</f>
        <v>#N/A</v>
      </c>
      <c r="R11207" s="93" t="str">
        <f>VLOOKUP(E11207,DATABASE!C:Q,11,false)</f>
        <v>#N/A</v>
      </c>
    </row>
    <row r="11208" ht="22.5" customHeight="1">
      <c r="A11208" s="49"/>
      <c r="C11208" s="400"/>
      <c r="D11208" s="524"/>
      <c r="E11208" s="544"/>
      <c r="F11208" s="387"/>
      <c r="G11208" s="140"/>
      <c r="H11208" s="74"/>
      <c r="I11208" s="74">
        <f t="shared" si="7"/>
        <v>0</v>
      </c>
      <c r="J11208" s="74" t="str">
        <f>IF(E11208="SERVICE",I11208-(I11208*50%),Vlookup(E11208,DATABASE!C:Q,10,false)*F11208)</f>
        <v>#N/A</v>
      </c>
      <c r="K11208" s="74" t="str">
        <f>VLOOKUP(E11208,DATABASE!C:Q,7,false)</f>
        <v>#N/A</v>
      </c>
      <c r="L11208" s="74"/>
      <c r="M11208" s="74">
        <f t="shared" si="6"/>
        <v>0</v>
      </c>
      <c r="N11208" s="74" t="str">
        <f t="shared" si="9"/>
        <v>#N/A</v>
      </c>
      <c r="O11208" s="65" t="str">
        <f>VLOOKUP(E11208,DATABASE!C:Q,8,false)</f>
        <v>#N/A</v>
      </c>
      <c r="P11208" s="65" t="str">
        <f>VLOOKUP(E11208,DATABASE!C:Q,9,False)</f>
        <v>#N/A</v>
      </c>
      <c r="Q11208" s="93" t="str">
        <f>VLOOKUP(E11208,DATABASE!C:Q,4,false)</f>
        <v>#N/A</v>
      </c>
      <c r="R11208" s="93" t="str">
        <f>VLOOKUP(E11208,DATABASE!C:Q,11,false)</f>
        <v>#N/A</v>
      </c>
    </row>
    <row r="11209" ht="22.5" customHeight="1">
      <c r="A11209" s="49"/>
      <c r="C11209" s="400"/>
      <c r="D11209" s="524"/>
      <c r="E11209" s="544"/>
      <c r="F11209" s="387"/>
      <c r="G11209" s="140"/>
      <c r="H11209" s="74"/>
      <c r="I11209" s="74">
        <f t="shared" si="7"/>
        <v>0</v>
      </c>
      <c r="J11209" s="74" t="str">
        <f>IF(E11209="SERVICE",I11209-(I11209*50%),Vlookup(E11209,DATABASE!C:Q,10,false)*F11209)</f>
        <v>#N/A</v>
      </c>
      <c r="K11209" s="74" t="str">
        <f>VLOOKUP(E11209,DATABASE!C:Q,7,false)</f>
        <v>#N/A</v>
      </c>
      <c r="L11209" s="74"/>
      <c r="M11209" s="74">
        <f t="shared" si="6"/>
        <v>0</v>
      </c>
      <c r="N11209" s="74" t="str">
        <f t="shared" si="9"/>
        <v>#N/A</v>
      </c>
      <c r="O11209" s="65" t="str">
        <f>VLOOKUP(E11209,DATABASE!C:Q,8,false)</f>
        <v>#N/A</v>
      </c>
      <c r="P11209" s="65" t="str">
        <f>VLOOKUP(E11209,DATABASE!C:Q,9,False)</f>
        <v>#N/A</v>
      </c>
      <c r="Q11209" s="93" t="str">
        <f>VLOOKUP(E11209,DATABASE!C:Q,4,false)</f>
        <v>#N/A</v>
      </c>
      <c r="R11209" s="93" t="str">
        <f>VLOOKUP(E11209,DATABASE!C:Q,11,false)</f>
        <v>#N/A</v>
      </c>
    </row>
    <row r="11210" ht="22.5" customHeight="1">
      <c r="A11210" s="49"/>
      <c r="C11210" s="400"/>
      <c r="D11210" s="524"/>
      <c r="E11210" s="544"/>
      <c r="F11210" s="387"/>
      <c r="G11210" s="140"/>
      <c r="H11210" s="74"/>
      <c r="I11210" s="74">
        <f t="shared" si="7"/>
        <v>0</v>
      </c>
      <c r="J11210" s="74" t="str">
        <f>IF(E11210="SERVICE",I11210-(I11210*50%),Vlookup(E11210,DATABASE!C:Q,10,false)*F11210)</f>
        <v>#N/A</v>
      </c>
      <c r="K11210" s="74" t="str">
        <f>VLOOKUP(E11210,DATABASE!C:Q,7,false)</f>
        <v>#N/A</v>
      </c>
      <c r="L11210" s="74"/>
      <c r="M11210" s="74">
        <f t="shared" si="6"/>
        <v>0</v>
      </c>
      <c r="N11210" s="74" t="str">
        <f t="shared" si="9"/>
        <v>#N/A</v>
      </c>
      <c r="O11210" s="65" t="str">
        <f>VLOOKUP(E11210,DATABASE!C:Q,8,false)</f>
        <v>#N/A</v>
      </c>
      <c r="P11210" s="65" t="str">
        <f>VLOOKUP(E11210,DATABASE!C:Q,9,False)</f>
        <v>#N/A</v>
      </c>
      <c r="Q11210" s="93" t="str">
        <f>VLOOKUP(E11210,DATABASE!C:Q,4,false)</f>
        <v>#N/A</v>
      </c>
      <c r="R11210" s="93" t="str">
        <f>VLOOKUP(E11210,DATABASE!C:Q,11,false)</f>
        <v>#N/A</v>
      </c>
    </row>
    <row r="11211" ht="22.5" customHeight="1">
      <c r="A11211" s="49"/>
      <c r="C11211" s="400"/>
      <c r="D11211" s="524"/>
      <c r="E11211" s="544"/>
      <c r="F11211" s="387"/>
      <c r="G11211" s="140"/>
      <c r="H11211" s="74"/>
      <c r="I11211" s="74">
        <f t="shared" si="7"/>
        <v>0</v>
      </c>
      <c r="J11211" s="74" t="str">
        <f>IF(E11211="SERVICE",I11211-(I11211*50%),Vlookup(E11211,DATABASE!C:Q,10,false)*F11211)</f>
        <v>#N/A</v>
      </c>
      <c r="K11211" s="74" t="str">
        <f>VLOOKUP(E11211,DATABASE!C:Q,7,false)</f>
        <v>#N/A</v>
      </c>
      <c r="L11211" s="74"/>
      <c r="M11211" s="74">
        <f t="shared" si="6"/>
        <v>0</v>
      </c>
      <c r="N11211" s="74" t="str">
        <f t="shared" si="9"/>
        <v>#N/A</v>
      </c>
      <c r="O11211" s="65" t="str">
        <f>VLOOKUP(E11211,DATABASE!C:Q,8,false)</f>
        <v>#N/A</v>
      </c>
      <c r="P11211" s="65" t="str">
        <f>VLOOKUP(E11211,DATABASE!C:Q,9,False)</f>
        <v>#N/A</v>
      </c>
      <c r="Q11211" s="93" t="str">
        <f>VLOOKUP(E11211,DATABASE!C:Q,4,false)</f>
        <v>#N/A</v>
      </c>
      <c r="R11211" s="93" t="str">
        <f>VLOOKUP(E11211,DATABASE!C:Q,11,false)</f>
        <v>#N/A</v>
      </c>
    </row>
    <row r="11212" ht="22.5" customHeight="1">
      <c r="A11212" s="49"/>
      <c r="C11212" s="400"/>
      <c r="D11212" s="524"/>
      <c r="E11212" s="544"/>
      <c r="F11212" s="387"/>
      <c r="G11212" s="140"/>
      <c r="H11212" s="74"/>
      <c r="I11212" s="74">
        <f t="shared" si="7"/>
        <v>0</v>
      </c>
      <c r="J11212" s="74" t="str">
        <f>IF(E11212="SERVICE",I11212-(I11212*50%),Vlookup(E11212,DATABASE!C:Q,10,false)*F11212)</f>
        <v>#N/A</v>
      </c>
      <c r="K11212" s="74" t="str">
        <f>VLOOKUP(E11212,DATABASE!C:Q,7,false)</f>
        <v>#N/A</v>
      </c>
      <c r="L11212" s="74"/>
      <c r="M11212" s="74">
        <f t="shared" si="6"/>
        <v>0</v>
      </c>
      <c r="N11212" s="74" t="str">
        <f t="shared" si="9"/>
        <v>#N/A</v>
      </c>
      <c r="O11212" s="65" t="str">
        <f>VLOOKUP(E11212,DATABASE!C:Q,8,false)</f>
        <v>#N/A</v>
      </c>
      <c r="P11212" s="65" t="str">
        <f>VLOOKUP(E11212,DATABASE!C:Q,9,False)</f>
        <v>#N/A</v>
      </c>
      <c r="Q11212" s="93" t="str">
        <f>VLOOKUP(E11212,DATABASE!C:Q,4,false)</f>
        <v>#N/A</v>
      </c>
      <c r="R11212" s="93" t="str">
        <f>VLOOKUP(E11212,DATABASE!C:Q,11,false)</f>
        <v>#N/A</v>
      </c>
    </row>
    <row r="11213" ht="22.5" customHeight="1">
      <c r="A11213" s="49"/>
      <c r="C11213" s="400"/>
      <c r="D11213" s="524"/>
      <c r="E11213" s="544"/>
      <c r="F11213" s="387"/>
      <c r="G11213" s="140"/>
      <c r="H11213" s="74"/>
      <c r="I11213" s="74">
        <f t="shared" si="7"/>
        <v>0</v>
      </c>
      <c r="J11213" s="74" t="str">
        <f>IF(E11213="SERVICE",I11213-(I11213*50%),Vlookup(E11213,DATABASE!C:Q,10,false)*F11213)</f>
        <v>#N/A</v>
      </c>
      <c r="K11213" s="74" t="str">
        <f>VLOOKUP(E11213,DATABASE!C:Q,7,false)</f>
        <v>#N/A</v>
      </c>
      <c r="L11213" s="74"/>
      <c r="M11213" s="74">
        <f t="shared" si="6"/>
        <v>0</v>
      </c>
      <c r="N11213" s="74" t="str">
        <f t="shared" si="9"/>
        <v>#N/A</v>
      </c>
      <c r="O11213" s="65" t="str">
        <f>VLOOKUP(E11213,DATABASE!C:Q,8,false)</f>
        <v>#N/A</v>
      </c>
      <c r="P11213" s="65" t="str">
        <f>VLOOKUP(E11213,DATABASE!C:Q,9,False)</f>
        <v>#N/A</v>
      </c>
      <c r="Q11213" s="93" t="str">
        <f>VLOOKUP(E11213,DATABASE!C:Q,4,false)</f>
        <v>#N/A</v>
      </c>
      <c r="R11213" s="93" t="str">
        <f>VLOOKUP(E11213,DATABASE!C:Q,11,false)</f>
        <v>#N/A</v>
      </c>
    </row>
    <row r="11214" ht="22.5" customHeight="1">
      <c r="A11214" s="49"/>
      <c r="C11214" s="400"/>
      <c r="D11214" s="524"/>
      <c r="E11214" s="544"/>
      <c r="F11214" s="387"/>
      <c r="G11214" s="140"/>
      <c r="H11214" s="74"/>
      <c r="I11214" s="74">
        <f t="shared" si="7"/>
        <v>0</v>
      </c>
      <c r="J11214" s="74" t="str">
        <f>IF(E11214="SERVICE",I11214-(I11214*50%),Vlookup(E11214,DATABASE!C:Q,10,false)*F11214)</f>
        <v>#N/A</v>
      </c>
      <c r="K11214" s="74" t="str">
        <f>VLOOKUP(E11214,DATABASE!C:Q,7,false)</f>
        <v>#N/A</v>
      </c>
      <c r="L11214" s="74"/>
      <c r="M11214" s="74">
        <f t="shared" si="6"/>
        <v>0</v>
      </c>
      <c r="N11214" s="74" t="str">
        <f t="shared" si="9"/>
        <v>#N/A</v>
      </c>
      <c r="O11214" s="65" t="str">
        <f>VLOOKUP(E11214,DATABASE!C:Q,8,false)</f>
        <v>#N/A</v>
      </c>
      <c r="P11214" s="65" t="str">
        <f>VLOOKUP(E11214,DATABASE!C:Q,9,False)</f>
        <v>#N/A</v>
      </c>
      <c r="Q11214" s="93" t="str">
        <f>VLOOKUP(E11214,DATABASE!C:Q,4,false)</f>
        <v>#N/A</v>
      </c>
      <c r="R11214" s="93" t="str">
        <f>VLOOKUP(E11214,DATABASE!C:Q,11,false)</f>
        <v>#N/A</v>
      </c>
    </row>
    <row r="11215" ht="22.5" customHeight="1">
      <c r="A11215" s="49"/>
      <c r="C11215" s="400"/>
      <c r="D11215" s="524"/>
      <c r="E11215" s="544"/>
      <c r="F11215" s="387"/>
      <c r="G11215" s="140"/>
      <c r="H11215" s="74"/>
      <c r="I11215" s="74">
        <f t="shared" si="7"/>
        <v>0</v>
      </c>
      <c r="J11215" s="74" t="str">
        <f>IF(E11215="SERVICE",I11215-(I11215*50%),Vlookup(E11215,DATABASE!C:Q,10,false)*F11215)</f>
        <v>#N/A</v>
      </c>
      <c r="K11215" s="74" t="str">
        <f>VLOOKUP(E11215,DATABASE!C:Q,7,false)</f>
        <v>#N/A</v>
      </c>
      <c r="L11215" s="74"/>
      <c r="M11215" s="74">
        <f t="shared" si="6"/>
        <v>0</v>
      </c>
      <c r="N11215" s="74" t="str">
        <f t="shared" si="9"/>
        <v>#N/A</v>
      </c>
      <c r="O11215" s="65" t="str">
        <f>VLOOKUP(E11215,DATABASE!C:Q,8,false)</f>
        <v>#N/A</v>
      </c>
      <c r="P11215" s="65" t="str">
        <f>VLOOKUP(E11215,DATABASE!C:Q,9,False)</f>
        <v>#N/A</v>
      </c>
      <c r="Q11215" s="93" t="str">
        <f>VLOOKUP(E11215,DATABASE!C:Q,4,false)</f>
        <v>#N/A</v>
      </c>
      <c r="R11215" s="93" t="str">
        <f>VLOOKUP(E11215,DATABASE!C:Q,11,false)</f>
        <v>#N/A</v>
      </c>
    </row>
    <row r="11216" ht="22.5" customHeight="1">
      <c r="A11216" s="49"/>
      <c r="C11216" s="400"/>
      <c r="D11216" s="524"/>
      <c r="E11216" s="544"/>
      <c r="F11216" s="387"/>
      <c r="G11216" s="140"/>
      <c r="H11216" s="74"/>
      <c r="I11216" s="74">
        <f t="shared" si="7"/>
        <v>0</v>
      </c>
      <c r="J11216" s="74" t="str">
        <f>IF(E11216="SERVICE",I11216-(I11216*50%),Vlookup(E11216,DATABASE!C:Q,10,false)*F11216)</f>
        <v>#N/A</v>
      </c>
      <c r="K11216" s="74" t="str">
        <f>VLOOKUP(E11216,DATABASE!C:Q,7,false)</f>
        <v>#N/A</v>
      </c>
      <c r="L11216" s="74"/>
      <c r="M11216" s="74">
        <f t="shared" si="6"/>
        <v>0</v>
      </c>
      <c r="N11216" s="74" t="str">
        <f t="shared" si="9"/>
        <v>#N/A</v>
      </c>
      <c r="O11216" s="65" t="str">
        <f>VLOOKUP(E11216,DATABASE!C:Q,8,false)</f>
        <v>#N/A</v>
      </c>
      <c r="P11216" s="65" t="str">
        <f>VLOOKUP(E11216,DATABASE!C:Q,9,False)</f>
        <v>#N/A</v>
      </c>
      <c r="Q11216" s="93" t="str">
        <f>VLOOKUP(E11216,DATABASE!C:Q,4,false)</f>
        <v>#N/A</v>
      </c>
      <c r="R11216" s="93" t="str">
        <f>VLOOKUP(E11216,DATABASE!C:Q,11,false)</f>
        <v>#N/A</v>
      </c>
    </row>
    <row r="11217" ht="22.5" customHeight="1">
      <c r="A11217" s="49"/>
      <c r="C11217" s="400"/>
      <c r="D11217" s="524"/>
      <c r="E11217" s="544"/>
      <c r="F11217" s="387"/>
      <c r="G11217" s="140"/>
      <c r="H11217" s="74"/>
      <c r="I11217" s="74">
        <f t="shared" si="7"/>
        <v>0</v>
      </c>
      <c r="J11217" s="74" t="str">
        <f>IF(E11217="SERVICE",I11217-(I11217*50%),Vlookup(E11217,DATABASE!C:Q,10,false)*F11217)</f>
        <v>#N/A</v>
      </c>
      <c r="K11217" s="74" t="str">
        <f>VLOOKUP(E11217,DATABASE!C:Q,7,false)</f>
        <v>#N/A</v>
      </c>
      <c r="L11217" s="74"/>
      <c r="M11217" s="74">
        <f t="shared" si="6"/>
        <v>0</v>
      </c>
      <c r="N11217" s="74" t="str">
        <f t="shared" si="9"/>
        <v>#N/A</v>
      </c>
      <c r="O11217" s="65" t="str">
        <f>VLOOKUP(E11217,DATABASE!C:Q,8,false)</f>
        <v>#N/A</v>
      </c>
      <c r="P11217" s="65" t="str">
        <f>VLOOKUP(E11217,DATABASE!C:Q,9,False)</f>
        <v>#N/A</v>
      </c>
      <c r="Q11217" s="93" t="str">
        <f>VLOOKUP(E11217,DATABASE!C:Q,4,false)</f>
        <v>#N/A</v>
      </c>
      <c r="R11217" s="93" t="str">
        <f>VLOOKUP(E11217,DATABASE!C:Q,11,false)</f>
        <v>#N/A</v>
      </c>
    </row>
    <row r="11218" ht="22.5" customHeight="1">
      <c r="A11218" s="49"/>
      <c r="C11218" s="400"/>
      <c r="D11218" s="524"/>
      <c r="E11218" s="544"/>
      <c r="F11218" s="387"/>
      <c r="G11218" s="140"/>
      <c r="H11218" s="74"/>
      <c r="I11218" s="74">
        <f t="shared" si="7"/>
        <v>0</v>
      </c>
      <c r="J11218" s="74" t="str">
        <f>IF(E11218="SERVICE",I11218-(I11218*50%),Vlookup(E11218,DATABASE!C:Q,10,false)*F11218)</f>
        <v>#N/A</v>
      </c>
      <c r="K11218" s="74" t="str">
        <f>VLOOKUP(E11218,DATABASE!C:Q,7,false)</f>
        <v>#N/A</v>
      </c>
      <c r="L11218" s="74"/>
      <c r="M11218" s="74">
        <f t="shared" si="6"/>
        <v>0</v>
      </c>
      <c r="N11218" s="74" t="str">
        <f t="shared" si="9"/>
        <v>#N/A</v>
      </c>
      <c r="O11218" s="65" t="str">
        <f>VLOOKUP(E11218,DATABASE!C:Q,8,false)</f>
        <v>#N/A</v>
      </c>
      <c r="P11218" s="65" t="str">
        <f>VLOOKUP(E11218,DATABASE!C:Q,9,False)</f>
        <v>#N/A</v>
      </c>
      <c r="Q11218" s="93" t="str">
        <f>VLOOKUP(E11218,DATABASE!C:Q,4,false)</f>
        <v>#N/A</v>
      </c>
      <c r="R11218" s="93" t="str">
        <f>VLOOKUP(E11218,DATABASE!C:Q,11,false)</f>
        <v>#N/A</v>
      </c>
    </row>
    <row r="11219" ht="22.5" customHeight="1">
      <c r="A11219" s="49"/>
      <c r="C11219" s="400"/>
      <c r="D11219" s="524"/>
      <c r="E11219" s="544"/>
      <c r="F11219" s="387"/>
      <c r="G11219" s="140"/>
      <c r="H11219" s="74"/>
      <c r="I11219" s="74">
        <f t="shared" si="7"/>
        <v>0</v>
      </c>
      <c r="J11219" s="74" t="str">
        <f>IF(E11219="SERVICE",I11219-(I11219*50%),Vlookup(E11219,DATABASE!C:Q,10,false)*F11219)</f>
        <v>#N/A</v>
      </c>
      <c r="K11219" s="74" t="str">
        <f>VLOOKUP(E11219,DATABASE!C:Q,7,false)</f>
        <v>#N/A</v>
      </c>
      <c r="L11219" s="74"/>
      <c r="M11219" s="74">
        <f t="shared" si="6"/>
        <v>0</v>
      </c>
      <c r="N11219" s="74" t="str">
        <f t="shared" si="9"/>
        <v>#N/A</v>
      </c>
      <c r="O11219" s="65" t="str">
        <f>VLOOKUP(E11219,DATABASE!C:Q,8,false)</f>
        <v>#N/A</v>
      </c>
      <c r="P11219" s="65" t="str">
        <f>VLOOKUP(E11219,DATABASE!C:Q,9,False)</f>
        <v>#N/A</v>
      </c>
      <c r="Q11219" s="93" t="str">
        <f>VLOOKUP(E11219,DATABASE!C:Q,4,false)</f>
        <v>#N/A</v>
      </c>
      <c r="R11219" s="93" t="str">
        <f>VLOOKUP(E11219,DATABASE!C:Q,11,false)</f>
        <v>#N/A</v>
      </c>
    </row>
    <row r="11220" ht="22.5" customHeight="1">
      <c r="A11220" s="49"/>
      <c r="C11220" s="400"/>
      <c r="D11220" s="524"/>
      <c r="E11220" s="544"/>
      <c r="F11220" s="387"/>
      <c r="G11220" s="140"/>
      <c r="H11220" s="74"/>
      <c r="I11220" s="74">
        <f t="shared" si="7"/>
        <v>0</v>
      </c>
      <c r="J11220" s="74" t="str">
        <f>IF(E11220="SERVICE",I11220-(I11220*50%),Vlookup(E11220,DATABASE!C:Q,10,false)*F11220)</f>
        <v>#N/A</v>
      </c>
      <c r="K11220" s="74" t="str">
        <f>VLOOKUP(E11220,DATABASE!C:Q,7,false)</f>
        <v>#N/A</v>
      </c>
      <c r="L11220" s="74"/>
      <c r="M11220" s="74">
        <f t="shared" si="6"/>
        <v>0</v>
      </c>
      <c r="N11220" s="74" t="str">
        <f t="shared" si="9"/>
        <v>#N/A</v>
      </c>
      <c r="O11220" s="65" t="str">
        <f>VLOOKUP(E11220,DATABASE!C:Q,8,false)</f>
        <v>#N/A</v>
      </c>
      <c r="P11220" s="65" t="str">
        <f>VLOOKUP(E11220,DATABASE!C:Q,9,False)</f>
        <v>#N/A</v>
      </c>
      <c r="Q11220" s="93" t="str">
        <f>VLOOKUP(E11220,DATABASE!C:Q,4,false)</f>
        <v>#N/A</v>
      </c>
      <c r="R11220" s="93" t="str">
        <f>VLOOKUP(E11220,DATABASE!C:Q,11,false)</f>
        <v>#N/A</v>
      </c>
    </row>
    <row r="11221" ht="22.5" customHeight="1">
      <c r="A11221" s="49"/>
      <c r="C11221" s="400"/>
      <c r="D11221" s="524"/>
      <c r="E11221" s="544"/>
      <c r="F11221" s="387"/>
      <c r="G11221" s="140"/>
      <c r="H11221" s="74"/>
      <c r="I11221" s="74">
        <f t="shared" si="7"/>
        <v>0</v>
      </c>
      <c r="J11221" s="74" t="str">
        <f>IF(E11221="SERVICE",I11221-(I11221*50%),Vlookup(E11221,DATABASE!C:Q,10,false)*F11221)</f>
        <v>#N/A</v>
      </c>
      <c r="K11221" s="74" t="str">
        <f>VLOOKUP(E11221,DATABASE!C:Q,7,false)</f>
        <v>#N/A</v>
      </c>
      <c r="L11221" s="74"/>
      <c r="M11221" s="74">
        <f t="shared" si="6"/>
        <v>0</v>
      </c>
      <c r="N11221" s="74" t="str">
        <f t="shared" si="9"/>
        <v>#N/A</v>
      </c>
      <c r="O11221" s="65" t="str">
        <f>VLOOKUP(E11221,DATABASE!C:Q,8,false)</f>
        <v>#N/A</v>
      </c>
      <c r="P11221" s="65" t="str">
        <f>VLOOKUP(E11221,DATABASE!C:Q,9,False)</f>
        <v>#N/A</v>
      </c>
      <c r="Q11221" s="93" t="str">
        <f>VLOOKUP(E11221,DATABASE!C:Q,4,false)</f>
        <v>#N/A</v>
      </c>
      <c r="R11221" s="93" t="str">
        <f>VLOOKUP(E11221,DATABASE!C:Q,11,false)</f>
        <v>#N/A</v>
      </c>
    </row>
    <row r="11222" ht="22.5" customHeight="1">
      <c r="A11222" s="49"/>
      <c r="C11222" s="400"/>
      <c r="D11222" s="524"/>
      <c r="E11222" s="544"/>
      <c r="F11222" s="387"/>
      <c r="G11222" s="140"/>
      <c r="H11222" s="74"/>
      <c r="I11222" s="74">
        <f t="shared" si="7"/>
        <v>0</v>
      </c>
      <c r="J11222" s="74" t="str">
        <f>IF(E11222="SERVICE",I11222-(I11222*50%),Vlookup(E11222,DATABASE!C:Q,10,false)*F11222)</f>
        <v>#N/A</v>
      </c>
      <c r="K11222" s="74" t="str">
        <f>VLOOKUP(E11222,DATABASE!C:Q,7,false)</f>
        <v>#N/A</v>
      </c>
      <c r="L11222" s="74"/>
      <c r="M11222" s="74">
        <f t="shared" si="6"/>
        <v>0</v>
      </c>
      <c r="N11222" s="74" t="str">
        <f t="shared" si="9"/>
        <v>#N/A</v>
      </c>
      <c r="O11222" s="65" t="str">
        <f>VLOOKUP(E11222,DATABASE!C:Q,8,false)</f>
        <v>#N/A</v>
      </c>
      <c r="P11222" s="65" t="str">
        <f>VLOOKUP(E11222,DATABASE!C:Q,9,False)</f>
        <v>#N/A</v>
      </c>
      <c r="Q11222" s="93" t="str">
        <f>VLOOKUP(E11222,DATABASE!C:Q,4,false)</f>
        <v>#N/A</v>
      </c>
      <c r="R11222" s="93" t="str">
        <f>VLOOKUP(E11222,DATABASE!C:Q,11,false)</f>
        <v>#N/A</v>
      </c>
    </row>
    <row r="11223" ht="22.5" customHeight="1">
      <c r="A11223" s="49"/>
      <c r="C11223" s="400"/>
      <c r="D11223" s="524"/>
      <c r="E11223" s="544"/>
      <c r="F11223" s="387"/>
      <c r="G11223" s="140"/>
      <c r="H11223" s="74"/>
      <c r="I11223" s="74">
        <f t="shared" si="7"/>
        <v>0</v>
      </c>
      <c r="J11223" s="74" t="str">
        <f>IF(E11223="SERVICE",I11223-(I11223*50%),Vlookup(E11223,DATABASE!C:Q,10,false)*F11223)</f>
        <v>#N/A</v>
      </c>
      <c r="K11223" s="74" t="str">
        <f>VLOOKUP(E11223,DATABASE!C:Q,7,false)</f>
        <v>#N/A</v>
      </c>
      <c r="L11223" s="74"/>
      <c r="M11223" s="74">
        <f t="shared" si="6"/>
        <v>0</v>
      </c>
      <c r="N11223" s="74" t="str">
        <f t="shared" si="9"/>
        <v>#N/A</v>
      </c>
      <c r="O11223" s="65" t="str">
        <f>VLOOKUP(E11223,DATABASE!C:Q,8,false)</f>
        <v>#N/A</v>
      </c>
      <c r="P11223" s="65" t="str">
        <f>VLOOKUP(E11223,DATABASE!C:Q,9,False)</f>
        <v>#N/A</v>
      </c>
      <c r="Q11223" s="93" t="str">
        <f>VLOOKUP(E11223,DATABASE!C:Q,4,false)</f>
        <v>#N/A</v>
      </c>
      <c r="R11223" s="93" t="str">
        <f>VLOOKUP(E11223,DATABASE!C:Q,11,false)</f>
        <v>#N/A</v>
      </c>
    </row>
    <row r="11224" ht="22.5" customHeight="1">
      <c r="A11224" s="49"/>
      <c r="C11224" s="400"/>
      <c r="D11224" s="524"/>
      <c r="E11224" s="544"/>
      <c r="F11224" s="387"/>
      <c r="G11224" s="140"/>
      <c r="H11224" s="74"/>
      <c r="I11224" s="74">
        <f t="shared" si="7"/>
        <v>0</v>
      </c>
      <c r="J11224" s="74" t="str">
        <f>IF(E11224="SERVICE",I11224-(I11224*50%),Vlookup(E11224,DATABASE!C:Q,10,false)*F11224)</f>
        <v>#N/A</v>
      </c>
      <c r="K11224" s="74" t="str">
        <f>VLOOKUP(E11224,DATABASE!C:Q,7,false)</f>
        <v>#N/A</v>
      </c>
      <c r="L11224" s="74"/>
      <c r="M11224" s="74">
        <f t="shared" si="6"/>
        <v>0</v>
      </c>
      <c r="N11224" s="74" t="str">
        <f t="shared" si="9"/>
        <v>#N/A</v>
      </c>
      <c r="O11224" s="65" t="str">
        <f>VLOOKUP(E11224,DATABASE!C:Q,8,false)</f>
        <v>#N/A</v>
      </c>
      <c r="P11224" s="65" t="str">
        <f>VLOOKUP(E11224,DATABASE!C:Q,9,False)</f>
        <v>#N/A</v>
      </c>
      <c r="Q11224" s="93" t="str">
        <f>VLOOKUP(E11224,DATABASE!C:Q,4,false)</f>
        <v>#N/A</v>
      </c>
      <c r="R11224" s="93" t="str">
        <f>VLOOKUP(E11224,DATABASE!C:Q,11,false)</f>
        <v>#N/A</v>
      </c>
    </row>
    <row r="11225" ht="22.5" customHeight="1">
      <c r="A11225" s="49"/>
      <c r="C11225" s="400"/>
      <c r="D11225" s="524"/>
      <c r="E11225" s="544"/>
      <c r="F11225" s="387"/>
      <c r="G11225" s="140"/>
      <c r="H11225" s="74"/>
      <c r="I11225" s="74">
        <f t="shared" si="7"/>
        <v>0</v>
      </c>
      <c r="J11225" s="74" t="str">
        <f>IF(E11225="SERVICE",I11225-(I11225*50%),Vlookup(E11225,DATABASE!C:Q,10,false)*F11225)</f>
        <v>#N/A</v>
      </c>
      <c r="K11225" s="74" t="str">
        <f>VLOOKUP(E11225,DATABASE!C:Q,7,false)</f>
        <v>#N/A</v>
      </c>
      <c r="L11225" s="74"/>
      <c r="M11225" s="74">
        <f t="shared" si="6"/>
        <v>0</v>
      </c>
      <c r="N11225" s="74" t="str">
        <f t="shared" si="9"/>
        <v>#N/A</v>
      </c>
      <c r="O11225" s="65" t="str">
        <f>VLOOKUP(E11225,DATABASE!C:Q,8,false)</f>
        <v>#N/A</v>
      </c>
      <c r="P11225" s="65" t="str">
        <f>VLOOKUP(E11225,DATABASE!C:Q,9,False)</f>
        <v>#N/A</v>
      </c>
      <c r="Q11225" s="93" t="str">
        <f>VLOOKUP(E11225,DATABASE!C:Q,4,false)</f>
        <v>#N/A</v>
      </c>
      <c r="R11225" s="93" t="str">
        <f>VLOOKUP(E11225,DATABASE!C:Q,11,false)</f>
        <v>#N/A</v>
      </c>
    </row>
    <row r="11226" ht="22.5" customHeight="1">
      <c r="A11226" s="49"/>
      <c r="C11226" s="400"/>
      <c r="D11226" s="524"/>
      <c r="E11226" s="544"/>
      <c r="F11226" s="387"/>
      <c r="G11226" s="140"/>
      <c r="H11226" s="74"/>
      <c r="I11226" s="74">
        <f t="shared" si="7"/>
        <v>0</v>
      </c>
      <c r="J11226" s="74" t="str">
        <f>IF(E11226="SERVICE",I11226-(I11226*50%),Vlookup(E11226,DATABASE!C:Q,10,false)*F11226)</f>
        <v>#N/A</v>
      </c>
      <c r="K11226" s="74" t="str">
        <f>VLOOKUP(E11226,DATABASE!C:Q,7,false)</f>
        <v>#N/A</v>
      </c>
      <c r="L11226" s="74"/>
      <c r="M11226" s="74">
        <f t="shared" si="6"/>
        <v>0</v>
      </c>
      <c r="N11226" s="74" t="str">
        <f t="shared" si="9"/>
        <v>#N/A</v>
      </c>
      <c r="O11226" s="65" t="str">
        <f>VLOOKUP(E11226,DATABASE!C:Q,8,false)</f>
        <v>#N/A</v>
      </c>
      <c r="P11226" s="65" t="str">
        <f>VLOOKUP(E11226,DATABASE!C:Q,9,False)</f>
        <v>#N/A</v>
      </c>
      <c r="Q11226" s="93" t="str">
        <f>VLOOKUP(E11226,DATABASE!C:Q,4,false)</f>
        <v>#N/A</v>
      </c>
      <c r="R11226" s="93" t="str">
        <f>VLOOKUP(E11226,DATABASE!C:Q,11,false)</f>
        <v>#N/A</v>
      </c>
    </row>
    <row r="11227" ht="22.5" customHeight="1">
      <c r="A11227" s="49"/>
      <c r="C11227" s="400"/>
      <c r="D11227" s="524"/>
      <c r="E11227" s="544"/>
      <c r="F11227" s="387"/>
      <c r="G11227" s="140"/>
      <c r="H11227" s="74"/>
      <c r="I11227" s="74">
        <f t="shared" si="7"/>
        <v>0</v>
      </c>
      <c r="J11227" s="74" t="str">
        <f>IF(E11227="SERVICE",I11227-(I11227*50%),Vlookup(E11227,DATABASE!C:Q,10,false)*F11227)</f>
        <v>#N/A</v>
      </c>
      <c r="K11227" s="74" t="str">
        <f>VLOOKUP(E11227,DATABASE!C:Q,7,false)</f>
        <v>#N/A</v>
      </c>
      <c r="L11227" s="74"/>
      <c r="M11227" s="74">
        <f t="shared" si="6"/>
        <v>0</v>
      </c>
      <c r="N11227" s="74" t="str">
        <f t="shared" si="9"/>
        <v>#N/A</v>
      </c>
      <c r="O11227" s="65" t="str">
        <f>VLOOKUP(E11227,DATABASE!C:Q,8,false)</f>
        <v>#N/A</v>
      </c>
      <c r="P11227" s="65" t="str">
        <f>VLOOKUP(E11227,DATABASE!C:Q,9,False)</f>
        <v>#N/A</v>
      </c>
      <c r="Q11227" s="93" t="str">
        <f>VLOOKUP(E11227,DATABASE!C:Q,4,false)</f>
        <v>#N/A</v>
      </c>
      <c r="R11227" s="93" t="str">
        <f>VLOOKUP(E11227,DATABASE!C:Q,11,false)</f>
        <v>#N/A</v>
      </c>
    </row>
    <row r="11228" ht="22.5" customHeight="1">
      <c r="A11228" s="49"/>
      <c r="C11228" s="400"/>
      <c r="D11228" s="524"/>
      <c r="E11228" s="544"/>
      <c r="F11228" s="387"/>
      <c r="G11228" s="140"/>
      <c r="H11228" s="74"/>
      <c r="I11228" s="74">
        <f t="shared" si="7"/>
        <v>0</v>
      </c>
      <c r="J11228" s="74" t="str">
        <f>IF(E11228="SERVICE",I11228-(I11228*50%),Vlookup(E11228,DATABASE!C:Q,10,false)*F11228)</f>
        <v>#N/A</v>
      </c>
      <c r="K11228" s="74" t="str">
        <f>VLOOKUP(E11228,DATABASE!C:Q,7,false)</f>
        <v>#N/A</v>
      </c>
      <c r="L11228" s="74"/>
      <c r="M11228" s="74">
        <f t="shared" si="6"/>
        <v>0</v>
      </c>
      <c r="N11228" s="74" t="str">
        <f t="shared" si="9"/>
        <v>#N/A</v>
      </c>
      <c r="O11228" s="65" t="str">
        <f>VLOOKUP(E11228,DATABASE!C:Q,8,false)</f>
        <v>#N/A</v>
      </c>
      <c r="P11228" s="65" t="str">
        <f>VLOOKUP(E11228,DATABASE!C:Q,9,False)</f>
        <v>#N/A</v>
      </c>
      <c r="Q11228" s="93" t="str">
        <f>VLOOKUP(E11228,DATABASE!C:Q,4,false)</f>
        <v>#N/A</v>
      </c>
      <c r="R11228" s="93" t="str">
        <f>VLOOKUP(E11228,DATABASE!C:Q,11,false)</f>
        <v>#N/A</v>
      </c>
    </row>
    <row r="11229" ht="22.5" customHeight="1">
      <c r="A11229" s="49"/>
      <c r="C11229" s="400"/>
      <c r="D11229" s="524"/>
      <c r="E11229" s="544"/>
      <c r="F11229" s="387"/>
      <c r="G11229" s="140"/>
      <c r="H11229" s="74"/>
      <c r="I11229" s="74">
        <f t="shared" si="7"/>
        <v>0</v>
      </c>
      <c r="J11229" s="74" t="str">
        <f>IF(E11229="SERVICE",I11229-(I11229*50%),Vlookup(E11229,DATABASE!C:Q,10,false)*F11229)</f>
        <v>#N/A</v>
      </c>
      <c r="K11229" s="74" t="str">
        <f>VLOOKUP(E11229,DATABASE!C:Q,7,false)</f>
        <v>#N/A</v>
      </c>
      <c r="L11229" s="74"/>
      <c r="M11229" s="74">
        <f t="shared" si="6"/>
        <v>0</v>
      </c>
      <c r="N11229" s="74" t="str">
        <f t="shared" si="9"/>
        <v>#N/A</v>
      </c>
      <c r="O11229" s="65" t="str">
        <f>VLOOKUP(E11229,DATABASE!C:Q,8,false)</f>
        <v>#N/A</v>
      </c>
      <c r="P11229" s="65" t="str">
        <f>VLOOKUP(E11229,DATABASE!C:Q,9,False)</f>
        <v>#N/A</v>
      </c>
      <c r="Q11229" s="93" t="str">
        <f>VLOOKUP(E11229,DATABASE!C:Q,4,false)</f>
        <v>#N/A</v>
      </c>
      <c r="R11229" s="93" t="str">
        <f>VLOOKUP(E11229,DATABASE!C:Q,11,false)</f>
        <v>#N/A</v>
      </c>
    </row>
    <row r="11230" ht="22.5" customHeight="1">
      <c r="A11230" s="49"/>
      <c r="C11230" s="400"/>
      <c r="D11230" s="524"/>
      <c r="E11230" s="544"/>
      <c r="F11230" s="387"/>
      <c r="G11230" s="140"/>
      <c r="H11230" s="74"/>
      <c r="I11230" s="74">
        <f t="shared" si="7"/>
        <v>0</v>
      </c>
      <c r="J11230" s="74" t="str">
        <f>IF(E11230="SERVICE",I11230-(I11230*50%),Vlookup(E11230,DATABASE!C:Q,10,false)*F11230)</f>
        <v>#N/A</v>
      </c>
      <c r="K11230" s="74" t="str">
        <f>VLOOKUP(E11230,DATABASE!C:Q,7,false)</f>
        <v>#N/A</v>
      </c>
      <c r="L11230" s="74"/>
      <c r="M11230" s="74">
        <f t="shared" si="6"/>
        <v>0</v>
      </c>
      <c r="N11230" s="74" t="str">
        <f t="shared" si="9"/>
        <v>#N/A</v>
      </c>
      <c r="O11230" s="65" t="str">
        <f>VLOOKUP(E11230,DATABASE!C:Q,8,false)</f>
        <v>#N/A</v>
      </c>
      <c r="P11230" s="65" t="str">
        <f>VLOOKUP(E11230,DATABASE!C:Q,9,False)</f>
        <v>#N/A</v>
      </c>
      <c r="Q11230" s="93" t="str">
        <f>VLOOKUP(E11230,DATABASE!C:Q,4,false)</f>
        <v>#N/A</v>
      </c>
      <c r="R11230" s="93" t="str">
        <f>VLOOKUP(E11230,DATABASE!C:Q,11,false)</f>
        <v>#N/A</v>
      </c>
    </row>
    <row r="11231" ht="22.5" customHeight="1">
      <c r="A11231" s="49"/>
      <c r="C11231" s="400"/>
      <c r="D11231" s="524"/>
      <c r="E11231" s="544"/>
      <c r="F11231" s="387"/>
      <c r="G11231" s="140"/>
      <c r="H11231" s="74"/>
      <c r="I11231" s="74">
        <f t="shared" si="7"/>
        <v>0</v>
      </c>
      <c r="J11231" s="74" t="str">
        <f>IF(E11231="SERVICE",I11231-(I11231*50%),Vlookup(E11231,DATABASE!C:Q,10,false)*F11231)</f>
        <v>#N/A</v>
      </c>
      <c r="K11231" s="74" t="str">
        <f>VLOOKUP(E11231,DATABASE!C:Q,7,false)</f>
        <v>#N/A</v>
      </c>
      <c r="L11231" s="74"/>
      <c r="M11231" s="74">
        <f t="shared" si="6"/>
        <v>0</v>
      </c>
      <c r="N11231" s="74" t="str">
        <f t="shared" si="9"/>
        <v>#N/A</v>
      </c>
      <c r="O11231" s="65" t="str">
        <f>VLOOKUP(E11231,DATABASE!C:Q,8,false)</f>
        <v>#N/A</v>
      </c>
      <c r="P11231" s="65" t="str">
        <f>VLOOKUP(E11231,DATABASE!C:Q,9,False)</f>
        <v>#N/A</v>
      </c>
      <c r="Q11231" s="93" t="str">
        <f>VLOOKUP(E11231,DATABASE!C:Q,4,false)</f>
        <v>#N/A</v>
      </c>
      <c r="R11231" s="93" t="str">
        <f>VLOOKUP(E11231,DATABASE!C:Q,11,false)</f>
        <v>#N/A</v>
      </c>
    </row>
    <row r="11232" ht="22.5" customHeight="1">
      <c r="A11232" s="49"/>
      <c r="C11232" s="400"/>
      <c r="D11232" s="524"/>
      <c r="E11232" s="544"/>
      <c r="F11232" s="387"/>
      <c r="G11232" s="140"/>
      <c r="H11232" s="74"/>
      <c r="I11232" s="74">
        <f t="shared" si="7"/>
        <v>0</v>
      </c>
      <c r="J11232" s="74" t="str">
        <f>IF(E11232="SERVICE",I11232-(I11232*50%),Vlookup(E11232,DATABASE!C:Q,10,false)*F11232)</f>
        <v>#N/A</v>
      </c>
      <c r="K11232" s="74" t="str">
        <f>VLOOKUP(E11232,DATABASE!C:Q,7,false)</f>
        <v>#N/A</v>
      </c>
      <c r="L11232" s="74"/>
      <c r="M11232" s="74">
        <f t="shared" si="6"/>
        <v>0</v>
      </c>
      <c r="N11232" s="74" t="str">
        <f t="shared" si="9"/>
        <v>#N/A</v>
      </c>
      <c r="O11232" s="65" t="str">
        <f>VLOOKUP(E11232,DATABASE!C:Q,8,false)</f>
        <v>#N/A</v>
      </c>
      <c r="P11232" s="65" t="str">
        <f>VLOOKUP(E11232,DATABASE!C:Q,9,False)</f>
        <v>#N/A</v>
      </c>
      <c r="Q11232" s="93" t="str">
        <f>VLOOKUP(E11232,DATABASE!C:Q,4,false)</f>
        <v>#N/A</v>
      </c>
      <c r="R11232" s="93" t="str">
        <f>VLOOKUP(E11232,DATABASE!C:Q,11,false)</f>
        <v>#N/A</v>
      </c>
    </row>
    <row r="11233" ht="22.5" customHeight="1">
      <c r="A11233" s="49"/>
      <c r="C11233" s="400"/>
      <c r="D11233" s="524"/>
      <c r="E11233" s="544"/>
      <c r="F11233" s="387"/>
      <c r="G11233" s="140"/>
      <c r="H11233" s="74"/>
      <c r="I11233" s="74">
        <f t="shared" si="7"/>
        <v>0</v>
      </c>
      <c r="J11233" s="74" t="str">
        <f>IF(E11233="SERVICE",I11233-(I11233*50%),Vlookup(E11233,DATABASE!C:Q,10,false)*F11233)</f>
        <v>#N/A</v>
      </c>
      <c r="K11233" s="74" t="str">
        <f>VLOOKUP(E11233,DATABASE!C:Q,7,false)</f>
        <v>#N/A</v>
      </c>
      <c r="L11233" s="74"/>
      <c r="M11233" s="74">
        <f t="shared" si="6"/>
        <v>0</v>
      </c>
      <c r="N11233" s="74" t="str">
        <f t="shared" si="9"/>
        <v>#N/A</v>
      </c>
      <c r="O11233" s="65" t="str">
        <f>VLOOKUP(E11233,DATABASE!C:Q,8,false)</f>
        <v>#N/A</v>
      </c>
      <c r="P11233" s="65" t="str">
        <f>VLOOKUP(E11233,DATABASE!C:Q,9,False)</f>
        <v>#N/A</v>
      </c>
      <c r="Q11233" s="93" t="str">
        <f>VLOOKUP(E11233,DATABASE!C:Q,4,false)</f>
        <v>#N/A</v>
      </c>
      <c r="R11233" s="93" t="str">
        <f>VLOOKUP(E11233,DATABASE!C:Q,11,false)</f>
        <v>#N/A</v>
      </c>
    </row>
    <row r="11234" ht="22.5" customHeight="1">
      <c r="A11234" s="49"/>
      <c r="C11234" s="400"/>
      <c r="D11234" s="524"/>
      <c r="E11234" s="544"/>
      <c r="F11234" s="387"/>
      <c r="G11234" s="140"/>
      <c r="H11234" s="74"/>
      <c r="I11234" s="74">
        <f t="shared" si="7"/>
        <v>0</v>
      </c>
      <c r="J11234" s="74" t="str">
        <f>IF(E11234="SERVICE",I11234-(I11234*50%),Vlookup(E11234,DATABASE!C:Q,10,false)*F11234)</f>
        <v>#N/A</v>
      </c>
      <c r="K11234" s="74" t="str">
        <f>VLOOKUP(E11234,DATABASE!C:Q,7,false)</f>
        <v>#N/A</v>
      </c>
      <c r="L11234" s="74"/>
      <c r="M11234" s="74">
        <f t="shared" si="6"/>
        <v>0</v>
      </c>
      <c r="N11234" s="74" t="str">
        <f t="shared" si="9"/>
        <v>#N/A</v>
      </c>
      <c r="O11234" s="65" t="str">
        <f>VLOOKUP(E11234,DATABASE!C:Q,8,false)</f>
        <v>#N/A</v>
      </c>
      <c r="P11234" s="65" t="str">
        <f>VLOOKUP(E11234,DATABASE!C:Q,9,False)</f>
        <v>#N/A</v>
      </c>
      <c r="Q11234" s="93" t="str">
        <f>VLOOKUP(E11234,DATABASE!C:Q,4,false)</f>
        <v>#N/A</v>
      </c>
      <c r="R11234" s="93" t="str">
        <f>VLOOKUP(E11234,DATABASE!C:Q,11,false)</f>
        <v>#N/A</v>
      </c>
    </row>
    <row r="11235" ht="22.5" customHeight="1">
      <c r="A11235" s="49"/>
      <c r="C11235" s="400"/>
      <c r="D11235" s="524"/>
      <c r="E11235" s="544"/>
      <c r="F11235" s="387"/>
      <c r="G11235" s="140"/>
      <c r="H11235" s="74"/>
      <c r="I11235" s="74">
        <f t="shared" si="7"/>
        <v>0</v>
      </c>
      <c r="J11235" s="74" t="str">
        <f>IF(E11235="SERVICE",I11235-(I11235*50%),Vlookup(E11235,DATABASE!C:Q,10,false)*F11235)</f>
        <v>#N/A</v>
      </c>
      <c r="K11235" s="74" t="str">
        <f>VLOOKUP(E11235,DATABASE!C:Q,7,false)</f>
        <v>#N/A</v>
      </c>
      <c r="L11235" s="74"/>
      <c r="M11235" s="74">
        <f t="shared" si="6"/>
        <v>0</v>
      </c>
      <c r="N11235" s="74" t="str">
        <f t="shared" si="9"/>
        <v>#N/A</v>
      </c>
      <c r="O11235" s="65" t="str">
        <f>VLOOKUP(E11235,DATABASE!C:Q,8,false)</f>
        <v>#N/A</v>
      </c>
      <c r="P11235" s="65" t="str">
        <f>VLOOKUP(E11235,DATABASE!C:Q,9,False)</f>
        <v>#N/A</v>
      </c>
      <c r="Q11235" s="93" t="str">
        <f>VLOOKUP(E11235,DATABASE!C:Q,4,false)</f>
        <v>#N/A</v>
      </c>
      <c r="R11235" s="93" t="str">
        <f>VLOOKUP(E11235,DATABASE!C:Q,11,false)</f>
        <v>#N/A</v>
      </c>
    </row>
    <row r="11236" ht="22.5" customHeight="1">
      <c r="A11236" s="49"/>
      <c r="C11236" s="400"/>
      <c r="D11236" s="524"/>
      <c r="E11236" s="544"/>
      <c r="F11236" s="387"/>
      <c r="G11236" s="140"/>
      <c r="H11236" s="74"/>
      <c r="I11236" s="74">
        <f t="shared" si="7"/>
        <v>0</v>
      </c>
      <c r="J11236" s="74" t="str">
        <f>IF(E11236="SERVICE",I11236-(I11236*50%),Vlookup(E11236,DATABASE!C:Q,10,false)*F11236)</f>
        <v>#N/A</v>
      </c>
      <c r="K11236" s="74" t="str">
        <f>VLOOKUP(E11236,DATABASE!C:Q,7,false)</f>
        <v>#N/A</v>
      </c>
      <c r="L11236" s="74"/>
      <c r="M11236" s="74">
        <f t="shared" si="6"/>
        <v>0</v>
      </c>
      <c r="N11236" s="74" t="str">
        <f t="shared" si="9"/>
        <v>#N/A</v>
      </c>
      <c r="O11236" s="65" t="str">
        <f>VLOOKUP(E11236,DATABASE!C:Q,8,false)</f>
        <v>#N/A</v>
      </c>
      <c r="P11236" s="65" t="str">
        <f>VLOOKUP(E11236,DATABASE!C:Q,9,False)</f>
        <v>#N/A</v>
      </c>
      <c r="Q11236" s="93" t="str">
        <f>VLOOKUP(E11236,DATABASE!C:Q,4,false)</f>
        <v>#N/A</v>
      </c>
      <c r="R11236" s="93" t="str">
        <f>VLOOKUP(E11236,DATABASE!C:Q,11,false)</f>
        <v>#N/A</v>
      </c>
    </row>
  </sheetData>
  <dataValidations>
    <dataValidation type="custom" allowBlank="1" showDropDown="1" sqref="C2:C11236">
      <formula1>OR(NOT(ISERROR(DATEVALUE(C2))), AND(ISNUMBER(C2), LEFT(CELL("format", C2))="D"))</formula1>
    </dataValidation>
    <dataValidation type="custom" allowBlank="1" showDropDown="1" sqref="F2:K11236 M2:N11236">
      <formula1>AND(ISNUMBER(F2),(NOT(OR(NOT(ISERROR(DATEVALUE(F2))), AND(ISNUMBER(F2), LEFT(CELL("format", F2))="D")))))</formula1>
    </dataValidation>
    <dataValidation type="list" allowBlank="1" sqref="E2:E11236">
      <formula1>#REF!</formula1>
    </dataValidation>
  </dataValidations>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0"/>
    <col customWidth="1" min="2" max="2" width="2.13"/>
    <col customWidth="1" min="3" max="3" width="12.75"/>
    <col customWidth="1" min="4" max="4" width="31.25"/>
    <col customWidth="1" min="5" max="5" width="15.63"/>
    <col customWidth="1" min="6" max="6" width="7.0"/>
    <col customWidth="1" min="7" max="7" width="10.25"/>
    <col customWidth="1" min="8" max="8" width="31.13"/>
    <col customWidth="1" min="9" max="9" width="14.25"/>
    <col customWidth="1" min="10" max="10" width="25.75"/>
    <col customWidth="1" min="11" max="12" width="13.75"/>
    <col customWidth="1" min="13" max="13" width="9.88"/>
    <col customWidth="1" min="14" max="14" width="7.38"/>
    <col customWidth="1" min="15" max="15" width="8.5"/>
    <col customWidth="1" min="16" max="16" width="8.0"/>
    <col customWidth="1" min="17" max="17" width="9.88"/>
    <col customWidth="1" min="18" max="18" width="7.75"/>
    <col customWidth="1" min="19" max="19" width="3.25"/>
    <col customWidth="1" min="21" max="21" width="23.88"/>
    <col customWidth="1" min="22" max="22" width="3.25"/>
    <col customWidth="1" min="23" max="23" width="2.5"/>
  </cols>
  <sheetData>
    <row r="1" ht="33.0" customHeight="1">
      <c r="A1" s="29" t="s">
        <v>2333</v>
      </c>
      <c r="B1" s="2"/>
      <c r="C1" s="37" t="s">
        <v>233</v>
      </c>
      <c r="D1" s="37" t="s">
        <v>2334</v>
      </c>
      <c r="E1" s="83" t="s">
        <v>2335</v>
      </c>
      <c r="F1" s="81">
        <f>COUNTA(C:C)</f>
        <v>445</v>
      </c>
      <c r="G1" s="9">
        <f>sum(E:E)</f>
        <v>7077755276</v>
      </c>
      <c r="H1" s="378"/>
      <c r="I1" s="37" t="s">
        <v>233</v>
      </c>
      <c r="J1" s="37" t="s">
        <v>2334</v>
      </c>
      <c r="K1" s="393" t="s">
        <v>2335</v>
      </c>
      <c r="P1" s="3">
        <f>COUNTA(C:C)</f>
        <v>445</v>
      </c>
    </row>
    <row r="2" ht="16.5" customHeight="1">
      <c r="A2" s="39"/>
      <c r="C2" s="384">
        <v>45678.0</v>
      </c>
      <c r="D2" s="394" t="s">
        <v>349</v>
      </c>
      <c r="E2" s="395">
        <v>3660000.0</v>
      </c>
      <c r="F2" s="9"/>
      <c r="J2" s="9"/>
      <c r="K2" s="396" t="s">
        <v>338</v>
      </c>
      <c r="L2" s="7" t="s">
        <v>758</v>
      </c>
      <c r="M2" s="78"/>
      <c r="P2" s="79"/>
    </row>
    <row r="3" ht="14.25" customHeight="1">
      <c r="A3" s="49"/>
      <c r="C3" s="384">
        <v>45691.0</v>
      </c>
      <c r="D3" s="394" t="s">
        <v>185</v>
      </c>
      <c r="E3" s="395">
        <v>1.36E7</v>
      </c>
      <c r="F3" s="9"/>
      <c r="J3" s="9"/>
      <c r="K3" s="396" t="s">
        <v>2</v>
      </c>
      <c r="L3" s="9">
        <f>I7+I21</f>
        <v>1962166704</v>
      </c>
      <c r="M3" s="78"/>
      <c r="P3" s="79"/>
    </row>
    <row r="4" ht="17.25" customHeight="1">
      <c r="A4" s="49"/>
      <c r="C4" s="384">
        <v>45707.0</v>
      </c>
      <c r="D4" s="394" t="s">
        <v>110</v>
      </c>
      <c r="E4" s="395">
        <v>1.43656E7</v>
      </c>
      <c r="F4" s="9"/>
      <c r="J4" s="9"/>
      <c r="K4" s="398"/>
      <c r="L4" s="9"/>
      <c r="M4" s="78"/>
      <c r="P4" s="79"/>
    </row>
    <row r="5" ht="15.0" customHeight="1">
      <c r="A5" s="49"/>
      <c r="C5" s="384">
        <v>45707.0</v>
      </c>
      <c r="D5" s="394" t="s">
        <v>110</v>
      </c>
      <c r="E5" s="395">
        <v>1.84375E7</v>
      </c>
      <c r="F5" s="9"/>
      <c r="J5" s="9"/>
      <c r="K5" s="398"/>
      <c r="L5" s="9"/>
      <c r="M5" s="9"/>
      <c r="P5" s="79"/>
    </row>
    <row r="6" ht="15.0" customHeight="1">
      <c r="A6" s="49"/>
      <c r="C6" s="384">
        <v>45709.0</v>
      </c>
      <c r="D6" s="394" t="s">
        <v>110</v>
      </c>
      <c r="E6" s="395">
        <v>1.0869E7</v>
      </c>
      <c r="F6" s="9"/>
      <c r="J6" s="9"/>
      <c r="K6" s="398"/>
      <c r="L6" s="9"/>
      <c r="M6" s="9"/>
      <c r="P6" s="79"/>
    </row>
    <row r="7" ht="15.0" customHeight="1">
      <c r="A7" s="49"/>
      <c r="C7" s="400">
        <v>45711.0</v>
      </c>
      <c r="D7" s="69" t="s">
        <v>123</v>
      </c>
      <c r="E7" s="395">
        <v>3.76223E7</v>
      </c>
      <c r="F7" s="7" t="s">
        <v>2364</v>
      </c>
      <c r="J7" s="9"/>
      <c r="K7" s="398"/>
      <c r="L7" s="9"/>
      <c r="M7" s="9"/>
      <c r="P7" s="79"/>
    </row>
    <row r="8" ht="15.0" customHeight="1">
      <c r="A8" s="49"/>
      <c r="C8" s="384">
        <v>45717.0</v>
      </c>
      <c r="D8" s="394" t="s">
        <v>110</v>
      </c>
      <c r="E8" s="395">
        <v>2.68E7</v>
      </c>
      <c r="F8" s="9"/>
      <c r="J8" s="9"/>
      <c r="K8" s="398"/>
      <c r="L8" s="9"/>
      <c r="M8" s="9"/>
      <c r="P8" s="79"/>
    </row>
    <row r="9" ht="15.0" customHeight="1">
      <c r="A9" s="49"/>
      <c r="C9" s="384">
        <v>45719.0</v>
      </c>
      <c r="D9" s="394" t="s">
        <v>110</v>
      </c>
      <c r="E9" s="395">
        <v>1.29608E7</v>
      </c>
      <c r="F9" s="9"/>
      <c r="J9" s="9"/>
      <c r="K9" s="398"/>
      <c r="L9" s="9"/>
      <c r="M9" s="9"/>
      <c r="P9" s="79"/>
    </row>
    <row r="10" ht="15.0" customHeight="1">
      <c r="A10" s="49"/>
      <c r="C10" s="384">
        <v>45719.0</v>
      </c>
      <c r="D10" s="401" t="s">
        <v>97</v>
      </c>
      <c r="E10" s="395">
        <v>7000000.0</v>
      </c>
      <c r="F10" s="9"/>
      <c r="J10" s="9"/>
      <c r="K10" s="398"/>
      <c r="L10" s="9"/>
      <c r="M10" s="9"/>
      <c r="P10" s="79"/>
    </row>
    <row r="11" ht="15.0" customHeight="1">
      <c r="A11" s="49"/>
      <c r="C11" s="384">
        <v>45719.0</v>
      </c>
      <c r="D11" s="401" t="s">
        <v>97</v>
      </c>
      <c r="E11" s="395">
        <v>2.3991044E7</v>
      </c>
      <c r="F11" s="9"/>
      <c r="J11" s="9"/>
      <c r="K11" s="398"/>
      <c r="L11" s="9"/>
      <c r="M11" s="9"/>
      <c r="P11" s="79"/>
    </row>
    <row r="12" ht="15.0" customHeight="1">
      <c r="A12" s="49"/>
      <c r="C12" s="384">
        <v>45719.0</v>
      </c>
      <c r="D12" s="401" t="s">
        <v>97</v>
      </c>
      <c r="E12" s="395">
        <v>5427500.0</v>
      </c>
      <c r="F12" s="402"/>
      <c r="J12" s="9"/>
      <c r="K12" s="398"/>
      <c r="L12" s="9"/>
      <c r="M12" s="9"/>
      <c r="P12" s="79"/>
    </row>
    <row r="13" ht="15.0" customHeight="1">
      <c r="A13" s="49"/>
      <c r="C13" s="384">
        <v>45719.0</v>
      </c>
      <c r="D13" s="401" t="s">
        <v>97</v>
      </c>
      <c r="E13" s="395">
        <v>2.8547776E7</v>
      </c>
      <c r="F13" s="9"/>
      <c r="J13" s="9"/>
      <c r="K13" s="398"/>
      <c r="L13" s="9"/>
      <c r="M13" s="9"/>
      <c r="P13" s="79"/>
    </row>
    <row r="14" ht="15.0" customHeight="1">
      <c r="A14" s="49"/>
      <c r="C14" s="384">
        <v>45720.0</v>
      </c>
      <c r="D14" s="401" t="s">
        <v>97</v>
      </c>
      <c r="E14" s="395">
        <v>2341000.0</v>
      </c>
      <c r="F14" s="9"/>
      <c r="J14" s="9"/>
      <c r="K14" s="398"/>
      <c r="L14" s="9"/>
      <c r="M14" s="9"/>
      <c r="P14" s="79"/>
    </row>
    <row r="15" ht="15.0" customHeight="1">
      <c r="A15" s="49"/>
      <c r="C15" s="400">
        <v>45721.0</v>
      </c>
      <c r="D15" s="403" t="s">
        <v>372</v>
      </c>
      <c r="E15" s="395">
        <v>5856000.0</v>
      </c>
      <c r="F15" s="9"/>
      <c r="J15" s="9"/>
      <c r="K15" s="398"/>
      <c r="L15" s="9"/>
      <c r="M15" s="9"/>
      <c r="P15" s="79"/>
    </row>
    <row r="16" ht="15.0" customHeight="1">
      <c r="A16" s="49"/>
      <c r="C16" s="384">
        <v>45723.0</v>
      </c>
      <c r="D16" s="394" t="s">
        <v>174</v>
      </c>
      <c r="E16" s="395">
        <v>760239.0</v>
      </c>
      <c r="F16" s="9"/>
      <c r="J16" s="9"/>
      <c r="K16" s="398"/>
      <c r="L16" s="9"/>
      <c r="M16" s="9"/>
      <c r="P16" s="79"/>
    </row>
    <row r="17" ht="15.0" customHeight="1">
      <c r="A17" s="49"/>
      <c r="C17" s="384">
        <v>45724.0</v>
      </c>
      <c r="D17" s="394" t="s">
        <v>110</v>
      </c>
      <c r="E17" s="395">
        <v>6312280.0</v>
      </c>
      <c r="F17" s="9"/>
      <c r="J17" s="9"/>
      <c r="K17" s="398"/>
      <c r="L17" s="9"/>
      <c r="M17" s="9"/>
      <c r="P17" s="79"/>
    </row>
    <row r="18" ht="15.0" customHeight="1">
      <c r="A18" s="49"/>
      <c r="C18" s="400">
        <v>45724.0</v>
      </c>
      <c r="D18" s="394" t="s">
        <v>372</v>
      </c>
      <c r="E18" s="395">
        <v>3100000.0</v>
      </c>
      <c r="F18" s="9"/>
      <c r="J18" s="9"/>
      <c r="K18" s="398"/>
      <c r="L18" s="9"/>
      <c r="M18" s="9"/>
      <c r="P18" s="79"/>
    </row>
    <row r="19" ht="15.0" customHeight="1">
      <c r="A19" s="49"/>
      <c r="C19" s="400">
        <v>45730.0</v>
      </c>
      <c r="D19" s="281" t="s">
        <v>123</v>
      </c>
      <c r="E19" s="395">
        <v>1.19E7</v>
      </c>
      <c r="F19" s="9"/>
      <c r="J19" s="9"/>
      <c r="K19" s="398"/>
      <c r="L19" s="9"/>
      <c r="M19" s="9"/>
      <c r="P19" s="79"/>
    </row>
    <row r="20" ht="15.0" customHeight="1">
      <c r="A20" s="49"/>
      <c r="C20" s="384">
        <v>45731.0</v>
      </c>
      <c r="D20" s="394" t="s">
        <v>185</v>
      </c>
      <c r="E20" s="395">
        <v>1.365E7</v>
      </c>
      <c r="F20" s="9"/>
      <c r="J20" s="9"/>
      <c r="K20" s="398"/>
      <c r="L20" s="9"/>
      <c r="M20" s="9"/>
      <c r="P20" s="79"/>
    </row>
    <row r="21" ht="15.0" customHeight="1">
      <c r="A21" s="49"/>
      <c r="C21" s="400">
        <v>45732.0</v>
      </c>
      <c r="D21" s="403" t="s">
        <v>257</v>
      </c>
      <c r="E21" s="395">
        <v>3214080.0</v>
      </c>
      <c r="F21" s="9"/>
      <c r="J21" s="9"/>
      <c r="K21" s="398"/>
      <c r="L21" s="9"/>
      <c r="M21" s="9"/>
      <c r="P21" s="79"/>
    </row>
    <row r="22" ht="15.0" customHeight="1">
      <c r="A22" s="49"/>
      <c r="C22" s="384">
        <v>45733.0</v>
      </c>
      <c r="D22" s="394" t="s">
        <v>110</v>
      </c>
      <c r="E22" s="395">
        <v>1720000.0</v>
      </c>
      <c r="F22" s="9"/>
      <c r="J22" s="9"/>
      <c r="K22" s="398"/>
      <c r="L22" s="9"/>
      <c r="M22" s="9"/>
      <c r="P22" s="79"/>
    </row>
    <row r="23" ht="15.0" customHeight="1">
      <c r="A23" s="49"/>
      <c r="C23" s="384">
        <v>45735.0</v>
      </c>
      <c r="D23" s="394" t="s">
        <v>335</v>
      </c>
      <c r="E23" s="395">
        <v>4.073E7</v>
      </c>
      <c r="F23" s="9"/>
      <c r="J23" s="9"/>
      <c r="K23" s="398"/>
      <c r="L23" s="9"/>
      <c r="M23" s="9"/>
      <c r="P23" s="79"/>
    </row>
    <row r="24" ht="15.0" customHeight="1">
      <c r="A24" s="49"/>
      <c r="C24" s="384">
        <v>45738.0</v>
      </c>
      <c r="D24" s="394" t="s">
        <v>81</v>
      </c>
      <c r="E24" s="395">
        <v>2940000.0</v>
      </c>
      <c r="F24" s="9"/>
      <c r="J24" s="9"/>
      <c r="K24" s="398"/>
      <c r="L24" s="9"/>
      <c r="M24" s="9"/>
      <c r="P24" s="79"/>
    </row>
    <row r="25" ht="15.0" customHeight="1">
      <c r="A25" s="49"/>
      <c r="C25" s="384">
        <v>45740.0</v>
      </c>
      <c r="D25" s="394" t="s">
        <v>110</v>
      </c>
      <c r="E25" s="395">
        <v>6411400.0</v>
      </c>
      <c r="F25" s="9"/>
      <c r="J25" s="9"/>
      <c r="K25" s="398"/>
      <c r="L25" s="9"/>
      <c r="M25" s="9"/>
      <c r="P25" s="79"/>
    </row>
    <row r="26" ht="15.0" customHeight="1">
      <c r="A26" s="49"/>
      <c r="C26" s="384">
        <v>45740.0</v>
      </c>
      <c r="D26" s="394" t="s">
        <v>81</v>
      </c>
      <c r="E26" s="395">
        <v>1.47E7</v>
      </c>
      <c r="F26" s="9"/>
      <c r="J26" s="9"/>
      <c r="K26" s="398"/>
      <c r="L26" s="9"/>
      <c r="M26" s="9"/>
      <c r="P26" s="79"/>
    </row>
    <row r="27" ht="15.0" customHeight="1">
      <c r="A27" s="49"/>
      <c r="C27" s="400">
        <v>45740.0</v>
      </c>
      <c r="D27" s="403" t="s">
        <v>372</v>
      </c>
      <c r="E27" s="395">
        <v>2340000.0</v>
      </c>
      <c r="F27" s="9"/>
      <c r="J27" s="9"/>
      <c r="K27" s="398"/>
      <c r="L27" s="9"/>
      <c r="M27" s="9"/>
      <c r="P27" s="79"/>
    </row>
    <row r="28" ht="15.0" customHeight="1">
      <c r="A28" s="49"/>
      <c r="C28" s="384">
        <v>45741.0</v>
      </c>
      <c r="D28" s="406" t="s">
        <v>361</v>
      </c>
      <c r="E28" s="395">
        <v>7000000.0</v>
      </c>
      <c r="F28" s="198"/>
      <c r="J28" s="198"/>
      <c r="K28" s="198"/>
      <c r="L28" s="409"/>
      <c r="M28" s="409"/>
      <c r="N28" s="410"/>
      <c r="O28" s="410"/>
      <c r="P28" s="79"/>
    </row>
    <row r="29" ht="15.0" customHeight="1">
      <c r="A29" s="49"/>
      <c r="C29" s="400">
        <v>45741.0</v>
      </c>
      <c r="D29" s="411" t="s">
        <v>136</v>
      </c>
      <c r="E29" s="395">
        <v>1518900.0</v>
      </c>
      <c r="F29" s="198"/>
      <c r="J29" s="198"/>
      <c r="K29" s="198"/>
      <c r="L29" s="409"/>
      <c r="M29" s="409"/>
      <c r="N29" s="410"/>
      <c r="O29" s="410"/>
      <c r="P29" s="79"/>
    </row>
    <row r="30" ht="15.0" customHeight="1">
      <c r="A30" s="49"/>
      <c r="C30" s="400">
        <v>45742.0</v>
      </c>
      <c r="D30" s="69" t="s">
        <v>123</v>
      </c>
      <c r="E30" s="395">
        <v>1737500.0</v>
      </c>
      <c r="F30" s="198"/>
      <c r="J30" s="198"/>
      <c r="K30" s="198"/>
      <c r="L30" s="409"/>
      <c r="M30" s="409"/>
      <c r="N30" s="410"/>
      <c r="O30" s="410"/>
      <c r="P30" s="79"/>
    </row>
    <row r="31" ht="15.0" customHeight="1">
      <c r="A31" s="49"/>
      <c r="C31" s="384">
        <v>45746.0</v>
      </c>
      <c r="D31" s="406" t="s">
        <v>81</v>
      </c>
      <c r="E31" s="395">
        <f>53760000</f>
        <v>53760000</v>
      </c>
      <c r="F31" s="198"/>
      <c r="J31" s="198"/>
      <c r="K31" s="198"/>
      <c r="L31" s="409"/>
      <c r="M31" s="409"/>
      <c r="N31" s="410"/>
      <c r="O31" s="410"/>
      <c r="P31" s="79"/>
    </row>
    <row r="32" ht="15.0" customHeight="1">
      <c r="A32" s="49"/>
      <c r="C32" s="384">
        <v>45747.0</v>
      </c>
      <c r="D32" s="394" t="s">
        <v>335</v>
      </c>
      <c r="E32" s="395">
        <v>3.395E7</v>
      </c>
      <c r="F32" s="198"/>
      <c r="J32" s="198"/>
      <c r="K32" s="198"/>
      <c r="L32" s="409"/>
      <c r="M32" s="409"/>
      <c r="N32" s="410"/>
      <c r="O32" s="410"/>
      <c r="P32" s="79"/>
    </row>
    <row r="33" ht="15.0" customHeight="1">
      <c r="A33" s="49"/>
      <c r="C33" s="400">
        <v>45749.0</v>
      </c>
      <c r="D33" s="69" t="s">
        <v>123</v>
      </c>
      <c r="E33" s="395">
        <v>7.85072E7</v>
      </c>
      <c r="F33" s="198"/>
      <c r="J33" s="198"/>
      <c r="K33" s="198"/>
      <c r="L33" s="409"/>
      <c r="M33" s="409"/>
      <c r="N33" s="410"/>
      <c r="O33" s="410"/>
      <c r="P33" s="79"/>
    </row>
    <row r="34" ht="15.0" customHeight="1">
      <c r="A34" s="49"/>
      <c r="C34" s="400">
        <v>45749.0</v>
      </c>
      <c r="D34" s="69" t="s">
        <v>123</v>
      </c>
      <c r="E34" s="395">
        <v>4470000.0</v>
      </c>
      <c r="F34" s="198"/>
      <c r="J34" s="198"/>
      <c r="K34" s="198"/>
      <c r="L34" s="409"/>
      <c r="M34" s="409"/>
      <c r="N34" s="410"/>
      <c r="O34" s="410"/>
      <c r="P34" s="79"/>
    </row>
    <row r="35" ht="15.0" customHeight="1">
      <c r="A35" s="49"/>
      <c r="C35" s="384">
        <v>45751.0</v>
      </c>
      <c r="D35" s="403" t="s">
        <v>198</v>
      </c>
      <c r="E35" s="395">
        <v>2718576.0</v>
      </c>
      <c r="F35" s="198"/>
      <c r="J35" s="198"/>
      <c r="K35" s="198"/>
      <c r="L35" s="409"/>
      <c r="M35" s="409"/>
      <c r="N35" s="410"/>
      <c r="O35" s="410"/>
      <c r="P35" s="79"/>
    </row>
    <row r="36" ht="15.0" customHeight="1">
      <c r="A36" s="49"/>
      <c r="C36" s="384">
        <v>45753.0</v>
      </c>
      <c r="D36" s="394" t="s">
        <v>81</v>
      </c>
      <c r="E36" s="395">
        <v>7350000.0</v>
      </c>
      <c r="F36" s="198"/>
      <c r="J36" s="198"/>
      <c r="K36" s="198"/>
      <c r="L36" s="409"/>
      <c r="M36" s="409"/>
      <c r="N36" s="410"/>
      <c r="O36" s="410"/>
      <c r="P36" s="79"/>
    </row>
    <row r="37" ht="15.0" customHeight="1">
      <c r="A37" s="49"/>
      <c r="C37" s="384">
        <v>45754.0</v>
      </c>
      <c r="D37" s="401" t="s">
        <v>97</v>
      </c>
      <c r="E37" s="395">
        <v>4.38E7</v>
      </c>
      <c r="F37" s="198"/>
      <c r="J37" s="198"/>
      <c r="K37" s="198"/>
      <c r="L37" s="409"/>
      <c r="M37" s="409"/>
      <c r="N37" s="410"/>
      <c r="O37" s="410"/>
      <c r="P37" s="79"/>
    </row>
    <row r="38" ht="15.0" customHeight="1">
      <c r="A38" s="49"/>
      <c r="C38" s="384">
        <v>45756.0</v>
      </c>
      <c r="D38" s="394" t="s">
        <v>110</v>
      </c>
      <c r="E38" s="395">
        <v>1.9525E7</v>
      </c>
      <c r="F38" s="198"/>
      <c r="J38" s="198"/>
      <c r="K38" s="198"/>
      <c r="L38" s="409"/>
      <c r="M38" s="409"/>
      <c r="N38" s="410"/>
      <c r="O38" s="410"/>
      <c r="P38" s="79"/>
    </row>
    <row r="39" ht="15.0" customHeight="1">
      <c r="A39" s="49"/>
      <c r="C39" s="384">
        <v>45758.0</v>
      </c>
      <c r="D39" s="394" t="s">
        <v>110</v>
      </c>
      <c r="E39" s="395">
        <v>1281000.0</v>
      </c>
      <c r="F39" s="198"/>
      <c r="J39" s="198"/>
      <c r="K39" s="198"/>
      <c r="L39" s="409"/>
      <c r="M39" s="409"/>
      <c r="N39" s="410"/>
      <c r="O39" s="410"/>
      <c r="P39" s="79"/>
    </row>
    <row r="40" ht="15.0" customHeight="1">
      <c r="A40" s="49"/>
      <c r="C40" s="384">
        <v>45759.0</v>
      </c>
      <c r="D40" s="394" t="s">
        <v>110</v>
      </c>
      <c r="E40" s="395">
        <v>2.391824E7</v>
      </c>
      <c r="F40" s="198"/>
      <c r="J40" s="198"/>
      <c r="K40" s="198"/>
      <c r="L40" s="409"/>
      <c r="M40" s="409"/>
      <c r="N40" s="410"/>
      <c r="O40" s="410"/>
      <c r="P40" s="79"/>
    </row>
    <row r="41" ht="15.0" customHeight="1">
      <c r="A41" s="49"/>
      <c r="C41" s="400">
        <v>45759.0</v>
      </c>
      <c r="D41" s="403" t="s">
        <v>372</v>
      </c>
      <c r="E41" s="395">
        <v>1816000.0</v>
      </c>
      <c r="F41" s="198"/>
      <c r="J41" s="198"/>
      <c r="K41" s="198"/>
      <c r="L41" s="409"/>
      <c r="M41" s="409"/>
      <c r="N41" s="410"/>
      <c r="O41" s="410"/>
      <c r="P41" s="79"/>
    </row>
    <row r="42" ht="15.0" customHeight="1">
      <c r="A42" s="49"/>
      <c r="C42" s="384">
        <v>45760.0</v>
      </c>
      <c r="D42" s="394" t="s">
        <v>110</v>
      </c>
      <c r="E42" s="395">
        <v>2802400.0</v>
      </c>
      <c r="F42" s="198"/>
      <c r="J42" s="198"/>
      <c r="K42" s="198"/>
      <c r="L42" s="409"/>
      <c r="M42" s="409"/>
      <c r="N42" s="410"/>
      <c r="O42" s="410"/>
      <c r="P42" s="79"/>
    </row>
    <row r="43" ht="15.0" customHeight="1">
      <c r="A43" s="49"/>
      <c r="C43" s="384">
        <v>45760.0</v>
      </c>
      <c r="D43" s="401" t="s">
        <v>97</v>
      </c>
      <c r="E43" s="395">
        <v>902500.0</v>
      </c>
      <c r="F43" s="198"/>
      <c r="J43" s="198"/>
      <c r="K43" s="198"/>
      <c r="L43" s="409"/>
      <c r="M43" s="409"/>
      <c r="N43" s="410"/>
      <c r="O43" s="410"/>
      <c r="P43" s="79"/>
    </row>
    <row r="44" ht="15.0" customHeight="1">
      <c r="A44" s="49"/>
      <c r="C44" s="384">
        <v>45761.0</v>
      </c>
      <c r="D44" s="394" t="s">
        <v>110</v>
      </c>
      <c r="E44" s="395">
        <v>1.131384E7</v>
      </c>
      <c r="F44" s="198"/>
      <c r="J44" s="198"/>
      <c r="K44" s="198"/>
      <c r="L44" s="409"/>
      <c r="M44" s="409"/>
      <c r="N44" s="410"/>
      <c r="O44" s="410"/>
      <c r="P44" s="79"/>
    </row>
    <row r="45" ht="15.0" customHeight="1">
      <c r="A45" s="49"/>
      <c r="C45" s="384">
        <v>45761.0</v>
      </c>
      <c r="D45" s="401" t="s">
        <v>97</v>
      </c>
      <c r="E45" s="395">
        <v>3063664.0</v>
      </c>
      <c r="F45" s="198"/>
      <c r="J45" s="198"/>
      <c r="K45" s="198"/>
      <c r="L45" s="409"/>
      <c r="M45" s="409"/>
      <c r="N45" s="410"/>
      <c r="O45" s="410"/>
      <c r="P45" s="79"/>
    </row>
    <row r="46" ht="15.0" customHeight="1">
      <c r="A46" s="49"/>
      <c r="C46" s="384">
        <v>45762.0</v>
      </c>
      <c r="D46" s="403" t="s">
        <v>81</v>
      </c>
      <c r="E46" s="395">
        <v>2300000.0</v>
      </c>
      <c r="F46" s="198"/>
      <c r="G46" s="413"/>
      <c r="H46" s="408"/>
      <c r="I46" s="198"/>
      <c r="J46" s="198"/>
      <c r="K46" s="198"/>
      <c r="L46" s="409"/>
      <c r="M46" s="409"/>
      <c r="N46" s="410"/>
      <c r="O46" s="410"/>
      <c r="P46" s="79"/>
    </row>
    <row r="47" ht="15.0" customHeight="1">
      <c r="A47" s="49"/>
      <c r="C47" s="384">
        <v>45763.0</v>
      </c>
      <c r="D47" s="394" t="s">
        <v>81</v>
      </c>
      <c r="E47" s="395">
        <v>8.96287E7</v>
      </c>
      <c r="F47" s="198"/>
      <c r="G47" s="413"/>
      <c r="H47" s="408"/>
      <c r="I47" s="198"/>
      <c r="J47" s="198"/>
      <c r="K47" s="198"/>
      <c r="L47" s="409"/>
      <c r="M47" s="409"/>
      <c r="N47" s="410"/>
      <c r="O47" s="410"/>
      <c r="P47" s="79"/>
    </row>
    <row r="48" ht="15.0" customHeight="1">
      <c r="A48" s="49"/>
      <c r="C48" s="384">
        <v>45765.0</v>
      </c>
      <c r="D48" s="394" t="s">
        <v>110</v>
      </c>
      <c r="E48" s="395">
        <v>1236500.0</v>
      </c>
      <c r="F48" s="198"/>
      <c r="G48" s="413"/>
      <c r="H48" s="408"/>
      <c r="I48" s="198"/>
      <c r="J48" s="198"/>
      <c r="K48" s="198"/>
      <c r="L48" s="409"/>
      <c r="M48" s="409"/>
      <c r="N48" s="410"/>
      <c r="O48" s="410"/>
      <c r="P48" s="79"/>
    </row>
    <row r="49" ht="15.0" customHeight="1">
      <c r="A49" s="49"/>
      <c r="C49" s="384">
        <v>45765.0</v>
      </c>
      <c r="D49" s="394" t="s">
        <v>110</v>
      </c>
      <c r="E49" s="395">
        <v>1.243224E7</v>
      </c>
      <c r="F49" s="198"/>
      <c r="G49" s="413"/>
      <c r="H49" s="408"/>
      <c r="I49" s="198"/>
      <c r="J49" s="198"/>
      <c r="K49" s="198"/>
      <c r="L49" s="409"/>
      <c r="M49" s="409"/>
      <c r="N49" s="410"/>
      <c r="O49" s="410"/>
      <c r="P49" s="79"/>
    </row>
    <row r="50" ht="15.0" customHeight="1">
      <c r="A50" s="49"/>
      <c r="C50" s="384">
        <v>45766.0</v>
      </c>
      <c r="D50" s="394" t="s">
        <v>81</v>
      </c>
      <c r="E50" s="395">
        <v>2980000.0</v>
      </c>
      <c r="F50" s="198"/>
      <c r="G50" s="413"/>
      <c r="H50" s="408"/>
      <c r="I50" s="198"/>
      <c r="J50" s="198"/>
      <c r="K50" s="198"/>
      <c r="L50" s="409"/>
      <c r="M50" s="409"/>
      <c r="N50" s="410"/>
      <c r="O50" s="410"/>
      <c r="P50" s="79"/>
    </row>
    <row r="51" ht="15.0" customHeight="1">
      <c r="A51" s="49"/>
      <c r="C51" s="384">
        <v>45766.0</v>
      </c>
      <c r="D51" s="69" t="s">
        <v>97</v>
      </c>
      <c r="E51" s="395">
        <v>4.1587028E7</v>
      </c>
      <c r="F51" s="198"/>
      <c r="G51" s="413"/>
      <c r="H51" s="408"/>
      <c r="I51" s="198"/>
      <c r="J51" s="198"/>
      <c r="K51" s="198"/>
      <c r="L51" s="409"/>
      <c r="M51" s="409"/>
      <c r="N51" s="410"/>
      <c r="O51" s="410"/>
      <c r="P51" s="79"/>
    </row>
    <row r="52" ht="15.0" customHeight="1">
      <c r="A52" s="49"/>
      <c r="C52" s="384">
        <v>45766.0</v>
      </c>
      <c r="D52" s="69" t="s">
        <v>97</v>
      </c>
      <c r="E52" s="395">
        <v>9790000.0</v>
      </c>
      <c r="F52" s="198"/>
      <c r="G52" s="413"/>
      <c r="H52" s="408"/>
      <c r="I52" s="198"/>
      <c r="J52" s="198"/>
      <c r="K52" s="198"/>
      <c r="L52" s="409"/>
      <c r="M52" s="409"/>
      <c r="N52" s="410"/>
      <c r="O52" s="410"/>
      <c r="P52" s="79"/>
    </row>
    <row r="53" ht="15.0" customHeight="1">
      <c r="A53" s="49"/>
      <c r="C53" s="384">
        <v>45766.0</v>
      </c>
      <c r="D53" s="394" t="s">
        <v>335</v>
      </c>
      <c r="E53" s="395">
        <v>3.557E7</v>
      </c>
      <c r="F53" s="198"/>
      <c r="G53" s="413"/>
      <c r="H53" s="408"/>
      <c r="I53" s="198"/>
      <c r="J53" s="198"/>
      <c r="K53" s="198"/>
      <c r="L53" s="409"/>
      <c r="M53" s="409"/>
      <c r="N53" s="410"/>
      <c r="O53" s="410"/>
      <c r="P53" s="79"/>
    </row>
    <row r="54" ht="15.0" customHeight="1">
      <c r="A54" s="49"/>
      <c r="C54" s="414">
        <v>45766.0</v>
      </c>
      <c r="D54" s="403" t="s">
        <v>335</v>
      </c>
      <c r="E54" s="395">
        <v>2.43E7</v>
      </c>
      <c r="F54" s="198"/>
      <c r="G54" s="413"/>
      <c r="H54" s="408"/>
      <c r="I54" s="198"/>
      <c r="J54" s="198"/>
      <c r="K54" s="198"/>
      <c r="L54" s="409"/>
      <c r="M54" s="409"/>
      <c r="N54" s="410"/>
      <c r="O54" s="410"/>
      <c r="P54" s="79"/>
    </row>
    <row r="55" ht="15.0" customHeight="1">
      <c r="A55" s="49"/>
      <c r="C55" s="384">
        <v>45767.0</v>
      </c>
      <c r="D55" s="394" t="s">
        <v>81</v>
      </c>
      <c r="E55" s="395">
        <v>2750000.0</v>
      </c>
      <c r="F55" s="198"/>
      <c r="G55" s="413"/>
      <c r="H55" s="408"/>
      <c r="I55" s="198"/>
      <c r="J55" s="198"/>
      <c r="K55" s="198"/>
      <c r="L55" s="409"/>
      <c r="M55" s="409"/>
      <c r="N55" s="410"/>
      <c r="O55" s="410"/>
      <c r="P55" s="79"/>
    </row>
    <row r="56" ht="15.0" customHeight="1">
      <c r="A56" s="49"/>
      <c r="C56" s="384">
        <v>45767.0</v>
      </c>
      <c r="D56" s="394" t="s">
        <v>81</v>
      </c>
      <c r="E56" s="395">
        <v>1740000.0</v>
      </c>
      <c r="F56" s="198"/>
      <c r="G56" s="413"/>
      <c r="H56" s="408"/>
      <c r="I56" s="198"/>
      <c r="J56" s="198"/>
      <c r="K56" s="198"/>
      <c r="L56" s="409"/>
      <c r="M56" s="409"/>
      <c r="N56" s="410"/>
      <c r="O56" s="410"/>
      <c r="P56" s="79"/>
    </row>
    <row r="57" ht="15.0" customHeight="1">
      <c r="A57" s="49"/>
      <c r="C57" s="384">
        <v>45768.0</v>
      </c>
      <c r="D57" s="394" t="s">
        <v>110</v>
      </c>
      <c r="E57" s="395">
        <v>8849600.0</v>
      </c>
      <c r="F57" s="198"/>
      <c r="G57" s="413"/>
      <c r="H57" s="408"/>
      <c r="I57" s="198"/>
      <c r="J57" s="198"/>
      <c r="K57" s="198"/>
      <c r="L57" s="409"/>
      <c r="M57" s="409"/>
      <c r="N57" s="410"/>
      <c r="O57" s="410"/>
      <c r="P57" s="79"/>
    </row>
    <row r="58" ht="15.0" customHeight="1">
      <c r="A58" s="49"/>
      <c r="C58" s="384">
        <v>45769.0</v>
      </c>
      <c r="D58" s="394" t="s">
        <v>335</v>
      </c>
      <c r="E58" s="395">
        <v>4.536E7</v>
      </c>
      <c r="F58" s="198"/>
      <c r="G58" s="413"/>
      <c r="H58" s="408"/>
      <c r="I58" s="198"/>
      <c r="J58" s="198"/>
      <c r="K58" s="198"/>
      <c r="L58" s="409"/>
      <c r="M58" s="409"/>
      <c r="N58" s="410"/>
      <c r="O58" s="410"/>
      <c r="P58" s="79"/>
    </row>
    <row r="59" ht="15.0" customHeight="1">
      <c r="A59" s="49"/>
      <c r="C59" s="384">
        <v>45770.0</v>
      </c>
      <c r="D59" s="394" t="s">
        <v>110</v>
      </c>
      <c r="E59" s="395">
        <v>1.5E7</v>
      </c>
      <c r="F59" s="198"/>
      <c r="G59" s="413"/>
      <c r="H59" s="408"/>
      <c r="I59" s="198"/>
      <c r="J59" s="198"/>
      <c r="K59" s="198"/>
      <c r="L59" s="409"/>
      <c r="M59" s="409"/>
      <c r="N59" s="410"/>
      <c r="O59" s="410"/>
      <c r="P59" s="79"/>
    </row>
    <row r="60" ht="15.0" customHeight="1">
      <c r="A60" s="49"/>
      <c r="C60" s="384">
        <v>45772.0</v>
      </c>
      <c r="D60" s="69" t="s">
        <v>97</v>
      </c>
      <c r="E60" s="395">
        <v>3175000.0</v>
      </c>
      <c r="F60" s="198"/>
      <c r="G60" s="413"/>
      <c r="H60" s="408"/>
      <c r="I60" s="198"/>
      <c r="J60" s="198"/>
      <c r="K60" s="198"/>
      <c r="L60" s="409"/>
      <c r="M60" s="409"/>
      <c r="N60" s="410"/>
      <c r="O60" s="410"/>
      <c r="P60" s="79"/>
    </row>
    <row r="61" ht="15.0" customHeight="1">
      <c r="A61" s="49"/>
      <c r="C61" s="384">
        <v>45773.0</v>
      </c>
      <c r="D61" s="394" t="s">
        <v>185</v>
      </c>
      <c r="E61" s="395">
        <v>2730000.0</v>
      </c>
      <c r="F61" s="198"/>
      <c r="G61" s="413"/>
      <c r="H61" s="408"/>
      <c r="I61" s="198"/>
      <c r="J61" s="198"/>
      <c r="K61" s="198"/>
      <c r="L61" s="409"/>
      <c r="M61" s="409"/>
      <c r="N61" s="410"/>
      <c r="O61" s="410"/>
      <c r="P61" s="79"/>
    </row>
    <row r="62" ht="15.0" customHeight="1">
      <c r="A62" s="49"/>
      <c r="C62" s="384">
        <v>45774.0</v>
      </c>
      <c r="D62" s="394" t="s">
        <v>81</v>
      </c>
      <c r="E62" s="395">
        <v>4.9761E7</v>
      </c>
      <c r="F62" s="198"/>
      <c r="G62" s="413"/>
      <c r="H62" s="408"/>
      <c r="I62" s="198"/>
      <c r="J62" s="198"/>
      <c r="K62" s="198"/>
      <c r="L62" s="409"/>
      <c r="M62" s="409"/>
      <c r="N62" s="410"/>
      <c r="O62" s="410"/>
      <c r="P62" s="79"/>
    </row>
    <row r="63" ht="15.0" customHeight="1">
      <c r="A63" s="49"/>
      <c r="C63" s="384">
        <v>45775.0</v>
      </c>
      <c r="D63" s="394" t="s">
        <v>81</v>
      </c>
      <c r="E63" s="395">
        <v>4.759E7</v>
      </c>
      <c r="F63" s="198"/>
      <c r="G63" s="413"/>
      <c r="H63" s="408"/>
      <c r="I63" s="198"/>
      <c r="J63" s="198"/>
      <c r="K63" s="198"/>
      <c r="L63" s="409"/>
      <c r="M63" s="409"/>
      <c r="N63" s="410"/>
      <c r="O63" s="410"/>
      <c r="P63" s="79"/>
    </row>
    <row r="64" ht="15.0" customHeight="1">
      <c r="A64" s="49"/>
      <c r="C64" s="384">
        <v>45776.0</v>
      </c>
      <c r="D64" s="394" t="s">
        <v>81</v>
      </c>
      <c r="E64" s="395">
        <v>1430000.0</v>
      </c>
      <c r="F64" s="198"/>
      <c r="G64" s="413"/>
      <c r="H64" s="408"/>
      <c r="I64" s="198"/>
      <c r="J64" s="198"/>
      <c r="K64" s="198"/>
      <c r="L64" s="409"/>
      <c r="M64" s="409"/>
      <c r="N64" s="410"/>
      <c r="O64" s="410"/>
      <c r="P64" s="79"/>
    </row>
    <row r="65" ht="15.0" customHeight="1">
      <c r="A65" s="49"/>
      <c r="C65" s="384">
        <v>45777.0</v>
      </c>
      <c r="D65" s="69" t="s">
        <v>97</v>
      </c>
      <c r="E65" s="395">
        <v>3780761.332</v>
      </c>
      <c r="F65" s="198"/>
      <c r="G65" s="413"/>
      <c r="H65" s="408"/>
      <c r="I65" s="198"/>
      <c r="J65" s="198"/>
      <c r="K65" s="198"/>
      <c r="L65" s="409"/>
      <c r="M65" s="409"/>
      <c r="N65" s="410"/>
      <c r="O65" s="410"/>
      <c r="P65" s="79"/>
    </row>
    <row r="66" ht="15.0" customHeight="1">
      <c r="A66" s="49"/>
      <c r="C66" s="400">
        <v>45779.0</v>
      </c>
      <c r="D66" s="394" t="s">
        <v>160</v>
      </c>
      <c r="E66" s="395">
        <v>9200000.0</v>
      </c>
      <c r="F66" s="198"/>
      <c r="G66" s="413"/>
      <c r="H66" s="408"/>
      <c r="I66" s="198"/>
      <c r="J66" s="198"/>
      <c r="K66" s="198"/>
      <c r="L66" s="409"/>
      <c r="M66" s="409"/>
      <c r="N66" s="410"/>
      <c r="O66" s="410"/>
      <c r="P66" s="79"/>
    </row>
    <row r="67" ht="15.0" customHeight="1">
      <c r="A67" s="49"/>
      <c r="C67" s="384">
        <v>45779.0</v>
      </c>
      <c r="D67" s="394" t="s">
        <v>335</v>
      </c>
      <c r="E67" s="395">
        <v>3.352E7</v>
      </c>
      <c r="F67" s="198"/>
      <c r="G67" s="413"/>
      <c r="H67" s="408"/>
      <c r="I67" s="198"/>
      <c r="J67" s="198"/>
      <c r="K67" s="198"/>
      <c r="L67" s="409"/>
      <c r="M67" s="409"/>
      <c r="N67" s="410"/>
      <c r="O67" s="410"/>
      <c r="P67" s="79"/>
    </row>
    <row r="68" ht="15.0" customHeight="1">
      <c r="A68" s="49"/>
      <c r="C68" s="384">
        <v>45780.0</v>
      </c>
      <c r="D68" s="403" t="s">
        <v>198</v>
      </c>
      <c r="E68" s="395">
        <v>6792000.0</v>
      </c>
      <c r="F68" s="198"/>
      <c r="G68" s="413"/>
      <c r="H68" s="408"/>
      <c r="I68" s="198"/>
      <c r="J68" s="198"/>
      <c r="K68" s="198"/>
      <c r="L68" s="409"/>
      <c r="M68" s="409"/>
      <c r="N68" s="410"/>
      <c r="O68" s="410"/>
      <c r="P68" s="79"/>
    </row>
    <row r="69" ht="15.0" customHeight="1">
      <c r="A69" s="49"/>
      <c r="C69" s="384">
        <v>45782.0</v>
      </c>
      <c r="D69" s="394" t="s">
        <v>81</v>
      </c>
      <c r="E69" s="395">
        <v>2235000.0</v>
      </c>
      <c r="F69" s="198"/>
      <c r="G69" s="413"/>
      <c r="H69" s="408"/>
      <c r="I69" s="198"/>
      <c r="J69" s="198"/>
      <c r="K69" s="198"/>
      <c r="L69" s="409"/>
      <c r="M69" s="409"/>
      <c r="N69" s="410"/>
      <c r="O69" s="410"/>
      <c r="P69" s="79"/>
    </row>
    <row r="70" ht="15.0" customHeight="1">
      <c r="A70" s="49"/>
      <c r="C70" s="384">
        <v>45782.0</v>
      </c>
      <c r="D70" s="69" t="s">
        <v>97</v>
      </c>
      <c r="E70" s="395">
        <f>7939099+2699723</f>
        <v>10638822</v>
      </c>
      <c r="F70" s="198"/>
      <c r="G70" s="413"/>
      <c r="H70" s="408"/>
      <c r="I70" s="198"/>
      <c r="J70" s="198"/>
      <c r="K70" s="198"/>
      <c r="L70" s="409"/>
      <c r="M70" s="409"/>
      <c r="N70" s="410"/>
      <c r="O70" s="410"/>
      <c r="P70" s="79"/>
    </row>
    <row r="71" ht="15.0" customHeight="1">
      <c r="A71" s="49"/>
      <c r="C71" s="384">
        <v>45783.0</v>
      </c>
      <c r="D71" s="403" t="s">
        <v>81</v>
      </c>
      <c r="E71" s="395">
        <v>3510000.0</v>
      </c>
      <c r="F71" s="198"/>
      <c r="G71" s="413"/>
      <c r="H71" s="408"/>
      <c r="I71" s="198"/>
      <c r="J71" s="198"/>
      <c r="K71" s="198"/>
      <c r="L71" s="409"/>
      <c r="M71" s="409"/>
      <c r="N71" s="410"/>
      <c r="O71" s="410"/>
      <c r="P71" s="79"/>
    </row>
    <row r="72" ht="15.0" customHeight="1">
      <c r="A72" s="49"/>
      <c r="C72" s="384">
        <v>45786.0</v>
      </c>
      <c r="D72" s="394" t="s">
        <v>110</v>
      </c>
      <c r="E72" s="395">
        <v>4090000.0</v>
      </c>
      <c r="F72" s="198"/>
      <c r="G72" s="413"/>
      <c r="H72" s="408"/>
      <c r="I72" s="198"/>
      <c r="J72" s="198"/>
      <c r="K72" s="198"/>
      <c r="L72" s="409"/>
      <c r="M72" s="409"/>
      <c r="N72" s="410"/>
      <c r="O72" s="410"/>
      <c r="P72" s="79"/>
    </row>
    <row r="73" ht="15.0" customHeight="1">
      <c r="A73" s="49"/>
      <c r="C73" s="400">
        <v>45787.0</v>
      </c>
      <c r="D73" s="403" t="s">
        <v>372</v>
      </c>
      <c r="E73" s="395">
        <v>3000000.0</v>
      </c>
      <c r="F73" s="198"/>
      <c r="G73" s="413"/>
      <c r="H73" s="408"/>
      <c r="I73" s="198"/>
      <c r="J73" s="198"/>
      <c r="K73" s="198"/>
      <c r="L73" s="409"/>
      <c r="M73" s="409"/>
      <c r="N73" s="410"/>
      <c r="O73" s="410"/>
      <c r="P73" s="79"/>
    </row>
    <row r="74" ht="15.0" customHeight="1">
      <c r="A74" s="49"/>
      <c r="C74" s="384">
        <v>45788.0</v>
      </c>
      <c r="D74" s="394" t="s">
        <v>81</v>
      </c>
      <c r="E74" s="395">
        <v>2452000.0</v>
      </c>
      <c r="F74" s="198"/>
      <c r="G74" s="413"/>
      <c r="H74" s="408"/>
      <c r="I74" s="198"/>
      <c r="J74" s="198"/>
      <c r="K74" s="198"/>
      <c r="L74" s="409"/>
      <c r="M74" s="409"/>
      <c r="N74" s="410"/>
      <c r="O74" s="410"/>
      <c r="P74" s="79"/>
    </row>
    <row r="75" ht="15.0" customHeight="1">
      <c r="A75" s="49"/>
      <c r="C75" s="384">
        <v>45788.0</v>
      </c>
      <c r="D75" s="69" t="s">
        <v>97</v>
      </c>
      <c r="E75" s="395">
        <v>2010000.0</v>
      </c>
      <c r="F75" s="198"/>
      <c r="G75" s="413"/>
      <c r="H75" s="408"/>
      <c r="I75" s="198"/>
      <c r="J75" s="198"/>
      <c r="K75" s="198"/>
      <c r="L75" s="409"/>
      <c r="M75" s="409"/>
      <c r="N75" s="410"/>
      <c r="O75" s="410"/>
      <c r="P75" s="79"/>
    </row>
    <row r="76" ht="15.0" customHeight="1">
      <c r="A76" s="49"/>
      <c r="C76" s="384">
        <v>45789.0</v>
      </c>
      <c r="D76" s="394" t="s">
        <v>81</v>
      </c>
      <c r="E76" s="395">
        <v>4.6042E7</v>
      </c>
      <c r="F76" s="198"/>
      <c r="G76" s="413"/>
      <c r="H76" s="408"/>
      <c r="I76" s="198"/>
      <c r="J76" s="198"/>
      <c r="K76" s="198"/>
      <c r="L76" s="409"/>
      <c r="M76" s="409"/>
      <c r="N76" s="410"/>
      <c r="O76" s="410"/>
      <c r="P76" s="79"/>
    </row>
    <row r="77" ht="15.0" customHeight="1">
      <c r="A77" s="49"/>
      <c r="C77" s="384">
        <v>45790.0</v>
      </c>
      <c r="D77" s="394" t="s">
        <v>81</v>
      </c>
      <c r="E77" s="395">
        <v>1731000.0</v>
      </c>
      <c r="F77" s="198"/>
      <c r="G77" s="413"/>
      <c r="H77" s="408"/>
      <c r="I77" s="198"/>
      <c r="J77" s="198"/>
      <c r="K77" s="198"/>
      <c r="L77" s="409"/>
      <c r="M77" s="409"/>
      <c r="N77" s="410"/>
      <c r="O77" s="410"/>
      <c r="P77" s="79"/>
    </row>
    <row r="78" ht="15.0" customHeight="1">
      <c r="A78" s="49"/>
      <c r="C78" s="400">
        <v>45790.0</v>
      </c>
      <c r="D78" s="403" t="s">
        <v>372</v>
      </c>
      <c r="E78" s="395">
        <v>2340000.0</v>
      </c>
      <c r="F78" s="198"/>
      <c r="G78" s="413"/>
      <c r="H78" s="408"/>
      <c r="I78" s="198"/>
      <c r="J78" s="198"/>
      <c r="K78" s="198"/>
      <c r="L78" s="409"/>
      <c r="M78" s="409"/>
      <c r="N78" s="410"/>
      <c r="O78" s="410"/>
      <c r="P78" s="79"/>
    </row>
    <row r="79" ht="15.0" customHeight="1">
      <c r="A79" s="49"/>
      <c r="C79" s="400">
        <v>45791.0</v>
      </c>
      <c r="D79" s="69" t="s">
        <v>123</v>
      </c>
      <c r="E79" s="395">
        <v>4.89398E7</v>
      </c>
      <c r="F79" s="198"/>
      <c r="G79" s="413"/>
      <c r="H79" s="408"/>
      <c r="I79" s="198"/>
      <c r="J79" s="198"/>
      <c r="K79" s="198"/>
      <c r="L79" s="409"/>
      <c r="M79" s="409"/>
      <c r="N79" s="410"/>
      <c r="O79" s="410"/>
      <c r="P79" s="79"/>
    </row>
    <row r="80" ht="15.0" customHeight="1">
      <c r="A80" s="49"/>
      <c r="C80" s="384">
        <v>45793.0</v>
      </c>
      <c r="D80" s="401" t="s">
        <v>97</v>
      </c>
      <c r="E80" s="395">
        <v>2.84E7</v>
      </c>
      <c r="F80" s="198"/>
      <c r="G80" s="413"/>
      <c r="H80" s="408"/>
      <c r="I80" s="198"/>
      <c r="J80" s="198"/>
      <c r="K80" s="198"/>
      <c r="L80" s="409"/>
      <c r="M80" s="409"/>
      <c r="N80" s="410"/>
      <c r="O80" s="410"/>
      <c r="P80" s="79"/>
    </row>
    <row r="81" ht="15.0" customHeight="1">
      <c r="A81" s="49"/>
      <c r="C81" s="384">
        <v>45793.0</v>
      </c>
      <c r="D81" s="401" t="s">
        <v>97</v>
      </c>
      <c r="E81" s="395">
        <v>1.604054544E7</v>
      </c>
      <c r="F81" s="198"/>
      <c r="G81" s="413"/>
      <c r="H81" s="408"/>
      <c r="I81" s="198"/>
      <c r="J81" s="198"/>
      <c r="K81" s="198"/>
      <c r="L81" s="409"/>
      <c r="M81" s="409"/>
      <c r="N81" s="410"/>
      <c r="O81" s="410"/>
      <c r="P81" s="79"/>
    </row>
    <row r="82" ht="15.0" customHeight="1">
      <c r="A82" s="49"/>
      <c r="C82" s="400">
        <v>45795.0</v>
      </c>
      <c r="D82" s="403" t="s">
        <v>257</v>
      </c>
      <c r="E82" s="395">
        <v>1118000.0</v>
      </c>
      <c r="F82" s="198"/>
      <c r="G82" s="413"/>
      <c r="H82" s="408"/>
      <c r="I82" s="198"/>
      <c r="J82" s="198"/>
      <c r="K82" s="198"/>
      <c r="L82" s="409"/>
      <c r="M82" s="409"/>
      <c r="N82" s="410"/>
      <c r="O82" s="410"/>
      <c r="P82" s="79"/>
    </row>
    <row r="83" ht="22.5" customHeight="1">
      <c r="A83" s="49"/>
      <c r="C83" s="384">
        <v>45796.0</v>
      </c>
      <c r="D83" s="394" t="s">
        <v>110</v>
      </c>
      <c r="E83" s="395">
        <v>2914000.0</v>
      </c>
      <c r="F83" s="198"/>
      <c r="G83" s="413"/>
      <c r="H83" s="408"/>
      <c r="I83" s="198"/>
      <c r="J83" s="198"/>
      <c r="K83" s="198"/>
      <c r="L83" s="409"/>
      <c r="M83" s="409"/>
      <c r="N83" s="410"/>
      <c r="O83" s="410"/>
      <c r="P83" s="79"/>
    </row>
    <row r="84" ht="22.5" customHeight="1">
      <c r="A84" s="49"/>
      <c r="C84" s="384">
        <v>45796.0</v>
      </c>
      <c r="D84" s="394" t="s">
        <v>110</v>
      </c>
      <c r="E84" s="395">
        <v>1.7208E7</v>
      </c>
      <c r="F84" s="198"/>
      <c r="G84" s="413"/>
      <c r="H84" s="408"/>
      <c r="I84" s="198"/>
      <c r="J84" s="198"/>
      <c r="K84" s="198"/>
      <c r="L84" s="409"/>
      <c r="M84" s="409"/>
      <c r="N84" s="410"/>
      <c r="O84" s="410"/>
      <c r="P84" s="79"/>
    </row>
    <row r="85" ht="22.5" customHeight="1">
      <c r="A85" s="49"/>
      <c r="C85" s="384">
        <v>45796.0</v>
      </c>
      <c r="D85" s="394" t="s">
        <v>110</v>
      </c>
      <c r="E85" s="395">
        <v>2.01646E7</v>
      </c>
      <c r="F85" s="198"/>
      <c r="G85" s="413"/>
      <c r="H85" s="408"/>
      <c r="I85" s="198"/>
      <c r="J85" s="198"/>
      <c r="K85" s="198"/>
      <c r="L85" s="409"/>
      <c r="M85" s="409"/>
      <c r="N85" s="410"/>
      <c r="O85" s="410"/>
      <c r="P85" s="79"/>
    </row>
    <row r="86" ht="22.5" customHeight="1">
      <c r="A86" s="49"/>
      <c r="C86" s="384">
        <v>45796.0</v>
      </c>
      <c r="D86" s="394" t="s">
        <v>81</v>
      </c>
      <c r="E86" s="395">
        <v>1.31825E7</v>
      </c>
      <c r="F86" s="198"/>
      <c r="G86" s="415"/>
      <c r="H86" s="408"/>
      <c r="I86" s="198"/>
      <c r="J86" s="198"/>
      <c r="K86" s="198"/>
      <c r="L86" s="409"/>
      <c r="M86" s="409"/>
      <c r="N86" s="410"/>
      <c r="O86" s="410"/>
      <c r="P86" s="79"/>
    </row>
    <row r="87" ht="22.5" customHeight="1">
      <c r="A87" s="49"/>
      <c r="C87" s="400">
        <v>45797.0</v>
      </c>
      <c r="D87" s="394" t="s">
        <v>160</v>
      </c>
      <c r="E87" s="395">
        <v>2.074E7</v>
      </c>
      <c r="F87" s="198"/>
      <c r="G87" s="415"/>
      <c r="H87" s="408"/>
      <c r="I87" s="198"/>
      <c r="J87" s="198"/>
      <c r="K87" s="198"/>
      <c r="L87" s="409"/>
      <c r="M87" s="409"/>
      <c r="N87" s="410"/>
      <c r="O87" s="410"/>
      <c r="P87" s="79"/>
    </row>
    <row r="88" ht="22.5" customHeight="1">
      <c r="A88" s="49"/>
      <c r="C88" s="384">
        <v>45797.0</v>
      </c>
      <c r="D88" s="403" t="s">
        <v>198</v>
      </c>
      <c r="E88" s="395">
        <v>2718576.0</v>
      </c>
      <c r="F88" s="198"/>
      <c r="G88" s="415"/>
      <c r="H88" s="408"/>
      <c r="I88" s="198"/>
      <c r="J88" s="198"/>
      <c r="K88" s="198"/>
      <c r="L88" s="409"/>
      <c r="M88" s="409"/>
      <c r="N88" s="410"/>
      <c r="O88" s="410"/>
      <c r="P88" s="79"/>
    </row>
    <row r="89" ht="22.5" customHeight="1">
      <c r="A89" s="49"/>
      <c r="C89" s="400">
        <v>45798.0</v>
      </c>
      <c r="D89" s="93" t="s">
        <v>318</v>
      </c>
      <c r="E89" s="74">
        <v>3683000.0</v>
      </c>
      <c r="F89" s="198"/>
      <c r="G89" s="415"/>
      <c r="H89" s="408"/>
      <c r="I89" s="198"/>
      <c r="J89" s="198"/>
      <c r="K89" s="198"/>
      <c r="L89" s="409"/>
      <c r="M89" s="409"/>
      <c r="N89" s="410"/>
      <c r="O89" s="410"/>
      <c r="P89" s="79"/>
    </row>
    <row r="90" ht="22.5" customHeight="1">
      <c r="A90" s="49"/>
      <c r="C90" s="384">
        <v>45801.0</v>
      </c>
      <c r="D90" s="69" t="s">
        <v>97</v>
      </c>
      <c r="E90" s="395">
        <v>9780160.0</v>
      </c>
      <c r="F90" s="198"/>
      <c r="G90" s="415"/>
      <c r="H90" s="408"/>
      <c r="I90" s="198"/>
      <c r="J90" s="198"/>
      <c r="K90" s="198"/>
      <c r="L90" s="409"/>
      <c r="M90" s="409"/>
      <c r="N90" s="410"/>
      <c r="O90" s="410"/>
      <c r="P90" s="79"/>
    </row>
    <row r="91" ht="22.5" customHeight="1">
      <c r="A91" s="49"/>
      <c r="C91" s="384">
        <v>45801.0</v>
      </c>
      <c r="D91" s="69" t="s">
        <v>97</v>
      </c>
      <c r="E91" s="395">
        <v>1.0204544E7</v>
      </c>
      <c r="F91" s="198"/>
      <c r="G91" s="415"/>
      <c r="H91" s="408"/>
      <c r="I91" s="198"/>
      <c r="J91" s="198"/>
      <c r="K91" s="198"/>
      <c r="L91" s="409"/>
      <c r="M91" s="409"/>
      <c r="N91" s="410"/>
      <c r="O91" s="410"/>
      <c r="P91" s="79"/>
    </row>
    <row r="92" ht="22.5" customHeight="1">
      <c r="A92" s="49"/>
      <c r="C92" s="384">
        <v>45801.0</v>
      </c>
      <c r="D92" s="69" t="s">
        <v>97</v>
      </c>
      <c r="E92" s="395">
        <v>2536396.8</v>
      </c>
      <c r="F92" s="198"/>
      <c r="G92" s="415"/>
      <c r="H92" s="408"/>
      <c r="I92" s="198"/>
      <c r="J92" s="198"/>
      <c r="K92" s="198"/>
      <c r="L92" s="409"/>
      <c r="M92" s="409"/>
      <c r="N92" s="410"/>
      <c r="O92" s="410"/>
      <c r="P92" s="79"/>
    </row>
    <row r="93" ht="22.5" customHeight="1">
      <c r="A93" s="49"/>
      <c r="C93" s="384">
        <v>45801.0</v>
      </c>
      <c r="D93" s="394" t="s">
        <v>349</v>
      </c>
      <c r="E93" s="395">
        <v>1.082E7</v>
      </c>
      <c r="F93" s="198"/>
      <c r="G93" s="415"/>
      <c r="H93" s="408"/>
      <c r="I93" s="198"/>
      <c r="J93" s="198"/>
      <c r="K93" s="198"/>
      <c r="L93" s="409"/>
      <c r="M93" s="409"/>
      <c r="N93" s="410"/>
      <c r="O93" s="410"/>
      <c r="P93" s="79"/>
    </row>
    <row r="94" ht="22.5" customHeight="1">
      <c r="A94" s="49"/>
      <c r="C94" s="384">
        <v>45805.0</v>
      </c>
      <c r="D94" s="394" t="s">
        <v>81</v>
      </c>
      <c r="E94" s="395">
        <v>4680000.0</v>
      </c>
      <c r="F94" s="198"/>
      <c r="G94" s="415"/>
      <c r="H94" s="408"/>
      <c r="I94" s="198"/>
      <c r="J94" s="198"/>
      <c r="K94" s="198"/>
      <c r="L94" s="409"/>
      <c r="M94" s="409"/>
      <c r="N94" s="410"/>
      <c r="O94" s="410"/>
      <c r="P94" s="79"/>
    </row>
    <row r="95" ht="22.5" customHeight="1">
      <c r="A95" s="49"/>
      <c r="C95" s="400">
        <v>45809.0</v>
      </c>
      <c r="D95" s="69" t="s">
        <v>123</v>
      </c>
      <c r="E95" s="395">
        <v>2.458506E7</v>
      </c>
      <c r="F95" s="198"/>
      <c r="G95" s="415"/>
      <c r="H95" s="408"/>
      <c r="I95" s="198"/>
      <c r="J95" s="198"/>
      <c r="K95" s="198"/>
      <c r="L95" s="409"/>
      <c r="M95" s="409"/>
      <c r="N95" s="410"/>
      <c r="O95" s="410"/>
      <c r="P95" s="79"/>
    </row>
    <row r="96" ht="22.5" customHeight="1">
      <c r="A96" s="49"/>
      <c r="C96" s="400">
        <v>45809.0</v>
      </c>
      <c r="D96" s="69" t="s">
        <v>123</v>
      </c>
      <c r="E96" s="395">
        <v>3.08625E7</v>
      </c>
      <c r="F96" s="198"/>
      <c r="G96" s="415"/>
      <c r="H96" s="408"/>
      <c r="I96" s="198"/>
      <c r="J96" s="198"/>
      <c r="K96" s="198"/>
      <c r="L96" s="409"/>
      <c r="M96" s="409"/>
      <c r="N96" s="410"/>
      <c r="O96" s="410"/>
      <c r="P96" s="79"/>
    </row>
    <row r="97" ht="22.5" customHeight="1">
      <c r="A97" s="49"/>
      <c r="C97" s="384">
        <v>45816.0</v>
      </c>
      <c r="D97" s="394" t="s">
        <v>110</v>
      </c>
      <c r="E97" s="395">
        <v>3.29756E7</v>
      </c>
      <c r="F97" s="198"/>
      <c r="G97" s="415"/>
      <c r="H97" s="408"/>
      <c r="I97" s="198"/>
      <c r="J97" s="198"/>
      <c r="K97" s="198"/>
      <c r="L97" s="409"/>
      <c r="M97" s="409"/>
      <c r="N97" s="410"/>
      <c r="O97" s="410"/>
      <c r="P97" s="79"/>
    </row>
    <row r="98" ht="22.5" customHeight="1">
      <c r="A98" s="49"/>
      <c r="C98" s="384">
        <v>45817.0</v>
      </c>
      <c r="D98" s="394" t="s">
        <v>81</v>
      </c>
      <c r="E98" s="395">
        <v>5.447E7</v>
      </c>
      <c r="F98" s="198"/>
      <c r="G98" s="415"/>
      <c r="H98" s="408"/>
      <c r="I98" s="198"/>
      <c r="J98" s="198"/>
      <c r="K98" s="198"/>
      <c r="L98" s="409"/>
      <c r="M98" s="409"/>
      <c r="N98" s="410"/>
      <c r="O98" s="410"/>
      <c r="P98" s="79"/>
    </row>
    <row r="99" ht="22.5" customHeight="1">
      <c r="A99" s="49"/>
      <c r="C99" s="384">
        <v>45817.0</v>
      </c>
      <c r="D99" s="403" t="s">
        <v>81</v>
      </c>
      <c r="E99" s="395">
        <v>4.8913E7</v>
      </c>
      <c r="F99" s="198"/>
      <c r="G99" s="415"/>
      <c r="H99" s="408"/>
      <c r="I99" s="198"/>
      <c r="J99" s="198"/>
      <c r="K99" s="198"/>
      <c r="L99" s="409"/>
      <c r="M99" s="409"/>
      <c r="N99" s="410"/>
      <c r="O99" s="410"/>
      <c r="P99" s="79"/>
    </row>
    <row r="100" ht="22.5" customHeight="1">
      <c r="A100" s="49"/>
      <c r="C100" s="384">
        <v>45817.0</v>
      </c>
      <c r="D100" s="394" t="s">
        <v>335</v>
      </c>
      <c r="E100" s="395">
        <v>2.754E7</v>
      </c>
      <c r="F100" s="198"/>
      <c r="G100" s="415"/>
      <c r="H100" s="408"/>
      <c r="I100" s="198"/>
      <c r="J100" s="198"/>
      <c r="K100" s="198"/>
      <c r="L100" s="409"/>
      <c r="M100" s="409"/>
      <c r="N100" s="410"/>
      <c r="O100" s="410"/>
      <c r="P100" s="79"/>
    </row>
    <row r="101" ht="22.5" customHeight="1">
      <c r="A101" s="49"/>
      <c r="C101" s="384">
        <v>45818.0</v>
      </c>
      <c r="D101" s="403" t="s">
        <v>81</v>
      </c>
      <c r="E101" s="395">
        <v>1.58015E7</v>
      </c>
      <c r="F101" s="198"/>
      <c r="G101" s="415"/>
      <c r="H101" s="408"/>
      <c r="I101" s="198"/>
      <c r="J101" s="198"/>
      <c r="K101" s="198"/>
      <c r="L101" s="409"/>
      <c r="M101" s="409"/>
      <c r="N101" s="410"/>
      <c r="O101" s="410"/>
      <c r="P101" s="79"/>
    </row>
    <row r="102" ht="22.5" customHeight="1">
      <c r="A102" s="49"/>
      <c r="C102" s="384">
        <v>45822.0</v>
      </c>
      <c r="D102" s="69" t="s">
        <v>97</v>
      </c>
      <c r="E102" s="395">
        <v>7234280.0</v>
      </c>
      <c r="F102" s="198"/>
      <c r="G102" s="415"/>
      <c r="H102" s="408"/>
      <c r="I102" s="198"/>
      <c r="J102" s="198"/>
      <c r="K102" s="198"/>
      <c r="L102" s="409"/>
      <c r="M102" s="409"/>
      <c r="N102" s="410"/>
      <c r="O102" s="410"/>
      <c r="P102" s="79"/>
    </row>
    <row r="103" ht="22.5" customHeight="1">
      <c r="A103" s="49"/>
      <c r="C103" s="384">
        <v>45823.0</v>
      </c>
      <c r="D103" s="394" t="s">
        <v>335</v>
      </c>
      <c r="E103" s="395">
        <v>6480000.0</v>
      </c>
      <c r="F103" s="198"/>
      <c r="G103" s="415"/>
      <c r="H103" s="408"/>
      <c r="I103" s="198"/>
      <c r="J103" s="198"/>
      <c r="K103" s="198"/>
      <c r="L103" s="409"/>
      <c r="M103" s="409"/>
      <c r="N103" s="410"/>
      <c r="O103" s="410"/>
      <c r="P103" s="79"/>
    </row>
    <row r="104" ht="22.5" customHeight="1">
      <c r="A104" s="49"/>
      <c r="C104" s="384">
        <v>45824.0</v>
      </c>
      <c r="D104" s="69" t="s">
        <v>97</v>
      </c>
      <c r="E104" s="395">
        <v>2227814.0</v>
      </c>
      <c r="F104" s="198"/>
      <c r="G104" s="415"/>
      <c r="H104" s="408"/>
      <c r="I104" s="198"/>
      <c r="J104" s="198"/>
      <c r="K104" s="198"/>
      <c r="L104" s="409"/>
      <c r="M104" s="409"/>
      <c r="N104" s="410"/>
      <c r="O104" s="410"/>
      <c r="P104" s="79"/>
    </row>
    <row r="105" ht="22.5" customHeight="1">
      <c r="A105" s="49"/>
      <c r="C105" s="384">
        <v>45827.0</v>
      </c>
      <c r="D105" s="394" t="s">
        <v>110</v>
      </c>
      <c r="E105" s="395">
        <v>1.30444E7</v>
      </c>
      <c r="F105" s="198"/>
      <c r="G105" s="415"/>
      <c r="H105" s="408"/>
      <c r="I105" s="198"/>
      <c r="J105" s="198"/>
      <c r="K105" s="198"/>
      <c r="L105" s="409"/>
      <c r="M105" s="409"/>
      <c r="N105" s="410"/>
      <c r="O105" s="410"/>
      <c r="P105" s="79"/>
    </row>
    <row r="106" ht="22.5" customHeight="1">
      <c r="A106" s="49"/>
      <c r="C106" s="384">
        <v>45827.0</v>
      </c>
      <c r="D106" s="394" t="s">
        <v>110</v>
      </c>
      <c r="E106" s="395">
        <v>2.585E7</v>
      </c>
      <c r="F106" s="198"/>
      <c r="G106" s="415"/>
      <c r="H106" s="408"/>
      <c r="I106" s="198"/>
      <c r="J106" s="198"/>
      <c r="K106" s="198"/>
      <c r="L106" s="409"/>
      <c r="M106" s="409"/>
      <c r="N106" s="410"/>
      <c r="O106" s="410"/>
      <c r="P106" s="79"/>
    </row>
    <row r="107" ht="22.5" customHeight="1">
      <c r="A107" s="49"/>
      <c r="C107" s="400">
        <v>45828.0</v>
      </c>
      <c r="D107" s="69" t="s">
        <v>123</v>
      </c>
      <c r="E107" s="395">
        <v>3.32131E7</v>
      </c>
      <c r="F107" s="198"/>
      <c r="G107" s="415"/>
      <c r="H107" s="408"/>
      <c r="I107" s="198"/>
      <c r="J107" s="198"/>
      <c r="K107" s="198"/>
      <c r="L107" s="409"/>
      <c r="M107" s="409"/>
      <c r="N107" s="410"/>
      <c r="O107" s="410"/>
      <c r="P107" s="79"/>
    </row>
    <row r="108" ht="22.5" customHeight="1">
      <c r="A108" s="49"/>
      <c r="C108" s="400">
        <v>45828.0</v>
      </c>
      <c r="D108" s="69" t="s">
        <v>123</v>
      </c>
      <c r="E108" s="395">
        <v>2.456E7</v>
      </c>
      <c r="F108" s="198"/>
      <c r="G108" s="415"/>
      <c r="H108" s="408"/>
      <c r="I108" s="198"/>
      <c r="J108" s="198"/>
      <c r="K108" s="198"/>
      <c r="L108" s="409"/>
      <c r="M108" s="409"/>
      <c r="N108" s="410"/>
      <c r="O108" s="410"/>
      <c r="P108" s="79"/>
    </row>
    <row r="109" ht="22.5" customHeight="1">
      <c r="A109" s="49"/>
      <c r="C109" s="384">
        <v>45829.0</v>
      </c>
      <c r="D109" s="403" t="s">
        <v>81</v>
      </c>
      <c r="E109" s="395">
        <v>575000.0</v>
      </c>
      <c r="F109" s="198"/>
      <c r="G109" s="415"/>
      <c r="H109" s="408"/>
      <c r="I109" s="198"/>
      <c r="J109" s="198"/>
      <c r="K109" s="198"/>
      <c r="L109" s="409"/>
      <c r="M109" s="409"/>
      <c r="N109" s="410"/>
      <c r="O109" s="410"/>
      <c r="P109" s="79"/>
    </row>
    <row r="110" ht="22.5" customHeight="1">
      <c r="A110" s="49"/>
      <c r="C110" s="400">
        <v>45831.0</v>
      </c>
      <c r="D110" s="403" t="s">
        <v>372</v>
      </c>
      <c r="E110" s="395">
        <v>1.2214E7</v>
      </c>
      <c r="F110" s="198"/>
      <c r="G110" s="415"/>
      <c r="H110" s="408"/>
      <c r="I110" s="198"/>
      <c r="J110" s="198"/>
      <c r="K110" s="198"/>
      <c r="L110" s="409"/>
      <c r="M110" s="409"/>
      <c r="N110" s="410"/>
      <c r="O110" s="410"/>
      <c r="P110" s="79"/>
    </row>
    <row r="111" ht="22.5" customHeight="1">
      <c r="A111" s="49"/>
      <c r="C111" s="384">
        <v>45831.0</v>
      </c>
      <c r="D111" s="69" t="s">
        <v>97</v>
      </c>
      <c r="E111" s="395">
        <v>2.9358117E7</v>
      </c>
      <c r="F111" s="198"/>
      <c r="G111" s="415"/>
      <c r="H111" s="408"/>
      <c r="I111" s="198"/>
      <c r="J111" s="198"/>
      <c r="K111" s="198"/>
      <c r="L111" s="409"/>
      <c r="M111" s="409"/>
      <c r="N111" s="410"/>
      <c r="O111" s="410"/>
      <c r="P111" s="79"/>
    </row>
    <row r="112" ht="22.5" customHeight="1">
      <c r="A112" s="49"/>
      <c r="C112" s="384">
        <v>45831.0</v>
      </c>
      <c r="D112" s="69" t="s">
        <v>97</v>
      </c>
      <c r="E112" s="395">
        <v>1.4524158E7</v>
      </c>
      <c r="F112" s="198"/>
      <c r="G112" s="415"/>
      <c r="H112" s="408"/>
      <c r="I112" s="198"/>
      <c r="J112" s="198"/>
      <c r="K112" s="198"/>
      <c r="L112" s="409"/>
      <c r="M112" s="409"/>
      <c r="N112" s="410"/>
      <c r="O112" s="410"/>
      <c r="P112" s="79"/>
    </row>
    <row r="113" ht="22.5" customHeight="1">
      <c r="A113" s="49"/>
      <c r="C113" s="384">
        <v>45831.0</v>
      </c>
      <c r="D113" s="69" t="s">
        <v>97</v>
      </c>
      <c r="E113" s="395">
        <v>2.84E7</v>
      </c>
      <c r="F113" s="198"/>
      <c r="G113" s="415"/>
      <c r="H113" s="408"/>
      <c r="I113" s="198"/>
      <c r="J113" s="198"/>
      <c r="K113" s="198"/>
      <c r="L113" s="409"/>
      <c r="M113" s="409"/>
      <c r="N113" s="410"/>
      <c r="O113" s="410"/>
      <c r="P113" s="79"/>
    </row>
    <row r="114" ht="22.5" customHeight="1">
      <c r="A114" s="49"/>
      <c r="C114" s="384">
        <v>45832.0</v>
      </c>
      <c r="D114" s="394" t="s">
        <v>81</v>
      </c>
      <c r="E114" s="395">
        <v>1.1475E7</v>
      </c>
      <c r="F114" s="198"/>
      <c r="G114" s="415"/>
      <c r="H114" s="408"/>
      <c r="I114" s="198"/>
      <c r="J114" s="198"/>
      <c r="K114" s="198"/>
      <c r="L114" s="409"/>
      <c r="M114" s="409"/>
      <c r="N114" s="410"/>
      <c r="O114" s="410"/>
      <c r="P114" s="79"/>
    </row>
    <row r="115" ht="22.5" customHeight="1">
      <c r="A115" s="49"/>
      <c r="C115" s="384">
        <v>45833.0</v>
      </c>
      <c r="D115" s="394" t="s">
        <v>110</v>
      </c>
      <c r="E115" s="395">
        <v>1.5705E7</v>
      </c>
      <c r="F115" s="198"/>
      <c r="G115" s="415"/>
      <c r="H115" s="408"/>
      <c r="I115" s="198"/>
      <c r="J115" s="198"/>
      <c r="K115" s="198"/>
      <c r="L115" s="409"/>
      <c r="M115" s="409"/>
      <c r="N115" s="410"/>
      <c r="O115" s="410"/>
      <c r="P115" s="79"/>
    </row>
    <row r="116" ht="22.5" customHeight="1">
      <c r="A116" s="49"/>
      <c r="C116" s="384">
        <v>45833.0</v>
      </c>
      <c r="D116" s="394" t="s">
        <v>110</v>
      </c>
      <c r="E116" s="395">
        <v>1.845E7</v>
      </c>
      <c r="F116" s="198"/>
      <c r="G116" s="415"/>
      <c r="H116" s="408"/>
      <c r="I116" s="198"/>
      <c r="J116" s="198"/>
      <c r="K116" s="198"/>
      <c r="L116" s="409"/>
      <c r="M116" s="409"/>
      <c r="N116" s="410"/>
      <c r="O116" s="410"/>
      <c r="P116" s="79"/>
    </row>
    <row r="117" ht="22.5" customHeight="1">
      <c r="A117" s="49"/>
      <c r="C117" s="384">
        <v>45836.0</v>
      </c>
      <c r="D117" s="394" t="s">
        <v>81</v>
      </c>
      <c r="E117" s="395">
        <v>1470000.0</v>
      </c>
      <c r="F117" s="198"/>
      <c r="G117" s="415"/>
      <c r="H117" s="408"/>
      <c r="I117" s="198"/>
      <c r="J117" s="198"/>
      <c r="K117" s="198"/>
      <c r="L117" s="409"/>
      <c r="M117" s="409"/>
      <c r="N117" s="410"/>
      <c r="O117" s="410"/>
      <c r="P117" s="79"/>
    </row>
    <row r="118" ht="22.5" customHeight="1">
      <c r="A118" s="49"/>
      <c r="C118" s="384">
        <v>45837.0</v>
      </c>
      <c r="D118" s="394" t="s">
        <v>361</v>
      </c>
      <c r="E118" s="395">
        <v>6102000.0</v>
      </c>
      <c r="F118" s="198"/>
      <c r="G118" s="415"/>
      <c r="H118" s="408"/>
      <c r="I118" s="198"/>
      <c r="J118" s="198"/>
      <c r="K118" s="198"/>
      <c r="L118" s="409"/>
      <c r="M118" s="409"/>
      <c r="N118" s="410"/>
      <c r="O118" s="410"/>
      <c r="P118" s="79"/>
    </row>
    <row r="119" ht="22.5" customHeight="1">
      <c r="A119" s="49"/>
      <c r="C119" s="384">
        <v>45838.0</v>
      </c>
      <c r="D119" s="394" t="s">
        <v>81</v>
      </c>
      <c r="E119" s="395">
        <v>2450000.0</v>
      </c>
      <c r="F119" s="198"/>
      <c r="G119" s="415"/>
      <c r="H119" s="408"/>
      <c r="I119" s="198"/>
      <c r="J119" s="198"/>
      <c r="K119" s="198"/>
      <c r="L119" s="409"/>
      <c r="M119" s="409"/>
      <c r="N119" s="410"/>
      <c r="O119" s="410"/>
      <c r="P119" s="79"/>
    </row>
    <row r="120" ht="22.5" customHeight="1">
      <c r="A120" s="49"/>
      <c r="C120" s="384">
        <v>45839.0</v>
      </c>
      <c r="D120" s="394" t="s">
        <v>81</v>
      </c>
      <c r="E120" s="395">
        <v>2544000.0</v>
      </c>
      <c r="F120" s="198"/>
      <c r="G120" s="415"/>
      <c r="H120" s="408"/>
      <c r="I120" s="198"/>
      <c r="J120" s="198"/>
      <c r="K120" s="198"/>
      <c r="L120" s="409"/>
      <c r="M120" s="409"/>
      <c r="N120" s="410"/>
      <c r="O120" s="410"/>
      <c r="P120" s="79"/>
    </row>
    <row r="121" ht="22.5" customHeight="1">
      <c r="A121" s="49"/>
      <c r="C121" s="384">
        <v>45839.0</v>
      </c>
      <c r="D121" s="394" t="s">
        <v>335</v>
      </c>
      <c r="E121" s="395">
        <f>19680000+16170000</f>
        <v>35850000</v>
      </c>
      <c r="F121" s="198"/>
      <c r="G121" s="415"/>
      <c r="H121" s="408"/>
      <c r="I121" s="198"/>
      <c r="J121" s="198"/>
      <c r="K121" s="198"/>
      <c r="L121" s="409"/>
      <c r="M121" s="409"/>
      <c r="N121" s="410"/>
      <c r="O121" s="410"/>
      <c r="P121" s="79"/>
    </row>
    <row r="122" ht="22.5" customHeight="1">
      <c r="A122" s="49"/>
      <c r="C122" s="384">
        <v>45841.0</v>
      </c>
      <c r="D122" s="403" t="s">
        <v>81</v>
      </c>
      <c r="E122" s="395">
        <v>2544000.0</v>
      </c>
      <c r="F122" s="198"/>
      <c r="G122" s="415"/>
      <c r="H122" s="408"/>
      <c r="I122" s="198"/>
      <c r="J122" s="198"/>
      <c r="K122" s="198"/>
      <c r="L122" s="409"/>
      <c r="M122" s="409"/>
      <c r="N122" s="410"/>
      <c r="O122" s="410"/>
      <c r="P122" s="79"/>
    </row>
    <row r="123" ht="22.5" customHeight="1">
      <c r="A123" s="49"/>
      <c r="C123" s="384">
        <v>45844.0</v>
      </c>
      <c r="D123" s="394" t="s">
        <v>81</v>
      </c>
      <c r="E123" s="395">
        <v>1719000.0</v>
      </c>
      <c r="F123" s="198"/>
      <c r="G123" s="415"/>
      <c r="H123" s="408"/>
      <c r="I123" s="198"/>
      <c r="J123" s="198"/>
      <c r="K123" s="198"/>
      <c r="L123" s="409"/>
      <c r="M123" s="409"/>
      <c r="N123" s="410"/>
      <c r="O123" s="410"/>
      <c r="P123" s="79"/>
    </row>
    <row r="124" ht="22.5" customHeight="1">
      <c r="A124" s="49"/>
      <c r="C124" s="384">
        <v>45845.0</v>
      </c>
      <c r="D124" s="394" t="s">
        <v>81</v>
      </c>
      <c r="E124" s="395">
        <v>1454000.0</v>
      </c>
      <c r="F124" s="198"/>
      <c r="G124" s="415"/>
      <c r="H124" s="408"/>
      <c r="I124" s="198"/>
      <c r="J124" s="198"/>
      <c r="K124" s="198"/>
      <c r="L124" s="409"/>
      <c r="M124" s="409"/>
      <c r="N124" s="410"/>
      <c r="O124" s="410"/>
      <c r="P124" s="79"/>
    </row>
    <row r="125" ht="22.5" customHeight="1">
      <c r="A125" s="49"/>
      <c r="C125" s="384">
        <v>45845.0</v>
      </c>
      <c r="D125" s="394" t="s">
        <v>81</v>
      </c>
      <c r="E125" s="395">
        <v>1184000.0</v>
      </c>
      <c r="F125" s="198"/>
      <c r="G125" s="415"/>
      <c r="H125" s="408"/>
      <c r="I125" s="198"/>
      <c r="J125" s="198"/>
      <c r="K125" s="198"/>
      <c r="L125" s="409"/>
      <c r="M125" s="409"/>
      <c r="N125" s="410"/>
      <c r="O125" s="410"/>
      <c r="P125" s="79"/>
    </row>
    <row r="126" ht="22.5" customHeight="1">
      <c r="A126" s="49"/>
      <c r="C126" s="384">
        <v>45846.0</v>
      </c>
      <c r="D126" s="394" t="s">
        <v>81</v>
      </c>
      <c r="E126" s="395">
        <v>1114000.0</v>
      </c>
      <c r="F126" s="198"/>
      <c r="G126" s="415"/>
      <c r="H126" s="408"/>
      <c r="I126" s="198"/>
      <c r="J126" s="198"/>
      <c r="K126" s="198"/>
      <c r="L126" s="409"/>
      <c r="M126" s="409"/>
      <c r="N126" s="410"/>
      <c r="O126" s="410"/>
      <c r="P126" s="79"/>
    </row>
    <row r="127" ht="22.5" customHeight="1">
      <c r="A127" s="49"/>
      <c r="C127" s="384">
        <v>45846.0</v>
      </c>
      <c r="D127" s="394" t="s">
        <v>81</v>
      </c>
      <c r="E127" s="395">
        <v>1430000.0</v>
      </c>
      <c r="F127" s="198"/>
      <c r="G127" s="415"/>
      <c r="H127" s="408"/>
      <c r="I127" s="198"/>
      <c r="J127" s="198"/>
      <c r="K127" s="198"/>
      <c r="L127" s="409"/>
      <c r="M127" s="409"/>
      <c r="N127" s="410"/>
      <c r="O127" s="410"/>
      <c r="P127" s="79"/>
    </row>
    <row r="128" ht="22.5" customHeight="1">
      <c r="A128" s="49"/>
      <c r="C128" s="384">
        <v>45847.0</v>
      </c>
      <c r="D128" s="69" t="s">
        <v>97</v>
      </c>
      <c r="E128" s="395">
        <f>37548554</f>
        <v>37548554</v>
      </c>
      <c r="F128" s="198"/>
      <c r="G128" s="415"/>
      <c r="H128" s="408"/>
      <c r="I128" s="198"/>
      <c r="J128" s="198"/>
      <c r="K128" s="198"/>
      <c r="L128" s="409"/>
      <c r="M128" s="409"/>
      <c r="N128" s="410"/>
      <c r="O128" s="410"/>
      <c r="P128" s="79"/>
    </row>
    <row r="129" ht="22.5" customHeight="1">
      <c r="A129" s="49"/>
      <c r="C129" s="384">
        <v>45847.0</v>
      </c>
      <c r="D129" s="69" t="s">
        <v>97</v>
      </c>
      <c r="E129" s="395">
        <v>2.84E7</v>
      </c>
      <c r="F129" s="198"/>
      <c r="G129" s="415"/>
      <c r="H129" s="408"/>
      <c r="I129" s="198"/>
      <c r="J129" s="198"/>
      <c r="K129" s="198"/>
      <c r="L129" s="409"/>
      <c r="M129" s="409"/>
      <c r="N129" s="410"/>
      <c r="O129" s="410"/>
      <c r="P129" s="79"/>
    </row>
    <row r="130" ht="22.5" customHeight="1">
      <c r="A130" s="49"/>
      <c r="C130" s="384">
        <v>45850.0</v>
      </c>
      <c r="D130" s="394" t="s">
        <v>110</v>
      </c>
      <c r="E130" s="395">
        <v>1.5E7</v>
      </c>
      <c r="F130" s="198"/>
      <c r="G130" s="415"/>
      <c r="H130" s="408"/>
      <c r="I130" s="198"/>
      <c r="J130" s="198"/>
      <c r="K130" s="198"/>
      <c r="L130" s="409"/>
      <c r="M130" s="409"/>
      <c r="N130" s="410"/>
      <c r="O130" s="410"/>
      <c r="P130" s="79"/>
    </row>
    <row r="131" ht="22.5" customHeight="1">
      <c r="A131" s="49"/>
      <c r="C131" s="384">
        <v>45850.0</v>
      </c>
      <c r="D131" s="394" t="s">
        <v>110</v>
      </c>
      <c r="E131" s="395">
        <v>1.84375E7</v>
      </c>
      <c r="F131" s="198"/>
      <c r="G131" s="415"/>
      <c r="H131" s="408"/>
      <c r="I131" s="198"/>
      <c r="J131" s="198"/>
      <c r="K131" s="198"/>
      <c r="L131" s="409"/>
      <c r="M131" s="409"/>
      <c r="N131" s="410"/>
      <c r="O131" s="410"/>
      <c r="P131" s="79"/>
    </row>
    <row r="132" ht="22.5" customHeight="1">
      <c r="A132" s="49"/>
      <c r="C132" s="384">
        <v>45850.0</v>
      </c>
      <c r="D132" s="394" t="s">
        <v>81</v>
      </c>
      <c r="E132" s="395">
        <v>6.669E7</v>
      </c>
      <c r="F132" s="198"/>
      <c r="G132" s="415"/>
      <c r="H132" s="408"/>
      <c r="I132" s="198"/>
      <c r="J132" s="198"/>
      <c r="K132" s="198"/>
      <c r="L132" s="409"/>
      <c r="M132" s="409"/>
      <c r="N132" s="410"/>
      <c r="O132" s="410"/>
      <c r="P132" s="79"/>
    </row>
    <row r="133" ht="22.5" customHeight="1">
      <c r="A133" s="49"/>
      <c r="C133" s="384">
        <v>45850.0</v>
      </c>
      <c r="D133" s="394" t="s">
        <v>81</v>
      </c>
      <c r="E133" s="395">
        <v>3.0406E7</v>
      </c>
      <c r="F133" s="198"/>
      <c r="G133" s="415"/>
      <c r="H133" s="408"/>
      <c r="I133" s="198"/>
      <c r="J133" s="198"/>
      <c r="K133" s="198"/>
      <c r="L133" s="409"/>
      <c r="M133" s="409"/>
      <c r="N133" s="410"/>
      <c r="O133" s="410"/>
      <c r="P133" s="79"/>
    </row>
    <row r="134" ht="22.5" customHeight="1">
      <c r="A134" s="49"/>
      <c r="C134" s="400">
        <v>45850.0</v>
      </c>
      <c r="D134" s="403" t="s">
        <v>372</v>
      </c>
      <c r="E134" s="395">
        <v>5244000.0</v>
      </c>
      <c r="F134" s="198"/>
      <c r="G134" s="415"/>
      <c r="H134" s="408"/>
      <c r="I134" s="198"/>
      <c r="J134" s="198"/>
      <c r="K134" s="198"/>
      <c r="L134" s="409"/>
      <c r="M134" s="409"/>
      <c r="N134" s="410"/>
      <c r="O134" s="410"/>
      <c r="P134" s="79"/>
    </row>
    <row r="135" ht="22.5" customHeight="1">
      <c r="A135" s="49"/>
      <c r="C135" s="400">
        <v>45851.0</v>
      </c>
      <c r="D135" s="69" t="s">
        <v>123</v>
      </c>
      <c r="E135" s="395">
        <v>3.54622E7</v>
      </c>
      <c r="F135" s="198"/>
      <c r="G135" s="415"/>
      <c r="H135" s="408"/>
      <c r="I135" s="198"/>
      <c r="J135" s="198"/>
      <c r="K135" s="198"/>
      <c r="L135" s="409"/>
      <c r="M135" s="409"/>
      <c r="N135" s="410"/>
      <c r="O135" s="410"/>
      <c r="P135" s="79"/>
    </row>
    <row r="136" ht="22.5" customHeight="1">
      <c r="A136" s="49"/>
      <c r="C136" s="400">
        <v>45851.0</v>
      </c>
      <c r="D136" s="69" t="s">
        <v>123</v>
      </c>
      <c r="E136" s="395">
        <v>7465000.0</v>
      </c>
      <c r="F136" s="198"/>
      <c r="G136" s="415"/>
      <c r="H136" s="408"/>
      <c r="I136" s="198"/>
      <c r="J136" s="198"/>
      <c r="K136" s="198"/>
      <c r="L136" s="409"/>
      <c r="M136" s="409"/>
      <c r="N136" s="410"/>
      <c r="O136" s="410"/>
      <c r="P136" s="79"/>
    </row>
    <row r="137" ht="22.5" customHeight="1">
      <c r="A137" s="49"/>
      <c r="C137" s="400">
        <v>45851.0</v>
      </c>
      <c r="D137" s="69" t="s">
        <v>123</v>
      </c>
      <c r="E137" s="395">
        <v>1.4155E7</v>
      </c>
      <c r="F137" s="198"/>
      <c r="G137" s="415"/>
      <c r="H137" s="408"/>
      <c r="I137" s="198"/>
      <c r="J137" s="198"/>
      <c r="K137" s="198"/>
      <c r="L137" s="409"/>
      <c r="M137" s="409"/>
      <c r="N137" s="410"/>
      <c r="O137" s="410"/>
      <c r="P137" s="79"/>
    </row>
    <row r="138" ht="22.5" customHeight="1">
      <c r="A138" s="49"/>
      <c r="C138" s="384">
        <v>45854.0</v>
      </c>
      <c r="D138" s="394" t="s">
        <v>335</v>
      </c>
      <c r="E138" s="395">
        <v>4.272E7</v>
      </c>
      <c r="F138" s="198"/>
      <c r="G138" s="415"/>
      <c r="H138" s="408"/>
      <c r="I138" s="198"/>
      <c r="J138" s="198"/>
      <c r="K138" s="198"/>
      <c r="L138" s="409"/>
      <c r="M138" s="409"/>
      <c r="N138" s="410"/>
      <c r="O138" s="410"/>
      <c r="P138" s="79"/>
    </row>
    <row r="139" ht="22.5" customHeight="1">
      <c r="A139" s="49"/>
      <c r="C139" s="384">
        <v>45856.0</v>
      </c>
      <c r="D139" s="394" t="s">
        <v>185</v>
      </c>
      <c r="E139" s="395">
        <v>1.4195E7</v>
      </c>
      <c r="F139" s="198"/>
      <c r="G139" s="415"/>
      <c r="H139" s="408"/>
      <c r="I139" s="198"/>
      <c r="J139" s="198"/>
      <c r="K139" s="198"/>
      <c r="L139" s="409"/>
      <c r="M139" s="409"/>
      <c r="N139" s="410"/>
      <c r="O139" s="410"/>
      <c r="P139" s="79"/>
    </row>
    <row r="140" ht="22.5" customHeight="1">
      <c r="A140" s="49"/>
      <c r="C140" s="384">
        <v>45859.0</v>
      </c>
      <c r="D140" s="403" t="s">
        <v>198</v>
      </c>
      <c r="E140" s="395">
        <v>6790888.0</v>
      </c>
      <c r="F140" s="198"/>
      <c r="G140" s="415"/>
      <c r="H140" s="408"/>
      <c r="I140" s="198"/>
      <c r="J140" s="198"/>
      <c r="K140" s="198"/>
      <c r="L140" s="409"/>
      <c r="M140" s="409"/>
      <c r="N140" s="410"/>
      <c r="O140" s="410"/>
      <c r="P140" s="79"/>
    </row>
    <row r="141" ht="22.5" customHeight="1">
      <c r="A141" s="49"/>
      <c r="C141" s="384">
        <v>45860.0</v>
      </c>
      <c r="D141" s="69" t="s">
        <v>97</v>
      </c>
      <c r="E141" s="395">
        <v>4143432.0</v>
      </c>
      <c r="F141" s="198"/>
      <c r="G141" s="415"/>
      <c r="H141" s="408"/>
      <c r="I141" s="198"/>
      <c r="J141" s="198"/>
      <c r="K141" s="198"/>
      <c r="L141" s="409"/>
      <c r="M141" s="409"/>
      <c r="N141" s="410"/>
      <c r="O141" s="410"/>
      <c r="P141" s="79"/>
    </row>
    <row r="142" ht="22.5" customHeight="1">
      <c r="A142" s="49"/>
      <c r="C142" s="384">
        <v>45863.0</v>
      </c>
      <c r="D142" s="69" t="s">
        <v>97</v>
      </c>
      <c r="E142" s="395">
        <v>1.704E7</v>
      </c>
      <c r="F142" s="198"/>
      <c r="G142" s="415"/>
      <c r="H142" s="408"/>
      <c r="I142" s="198"/>
      <c r="J142" s="198"/>
      <c r="K142" s="198"/>
      <c r="L142" s="409"/>
      <c r="M142" s="409"/>
      <c r="N142" s="410"/>
      <c r="O142" s="410"/>
      <c r="P142" s="79"/>
    </row>
    <row r="143" ht="22.5" customHeight="1">
      <c r="A143" s="49"/>
      <c r="C143" s="384">
        <v>45863.0</v>
      </c>
      <c r="D143" s="69" t="s">
        <v>97</v>
      </c>
      <c r="E143" s="395">
        <v>3.4632914E7</v>
      </c>
      <c r="F143" s="198"/>
      <c r="G143" s="415"/>
      <c r="H143" s="408"/>
      <c r="I143" s="198"/>
      <c r="J143" s="198"/>
      <c r="K143" s="198"/>
      <c r="L143" s="409"/>
      <c r="M143" s="409"/>
      <c r="N143" s="410"/>
      <c r="O143" s="410"/>
      <c r="P143" s="79"/>
    </row>
    <row r="144" ht="22.5" customHeight="1">
      <c r="A144" s="49"/>
      <c r="C144" s="384">
        <v>45863.0</v>
      </c>
      <c r="D144" s="69" t="s">
        <v>97</v>
      </c>
      <c r="E144" s="395">
        <v>1.493363E7</v>
      </c>
      <c r="F144" s="198"/>
      <c r="G144" s="415"/>
      <c r="H144" s="408"/>
      <c r="I144" s="198"/>
      <c r="J144" s="198"/>
      <c r="K144" s="198"/>
      <c r="L144" s="409"/>
      <c r="M144" s="409"/>
      <c r="N144" s="410"/>
      <c r="O144" s="410"/>
      <c r="P144" s="79"/>
    </row>
    <row r="145" ht="22.5" customHeight="1">
      <c r="A145" s="49"/>
      <c r="C145" s="384">
        <v>45868.0</v>
      </c>
      <c r="D145" s="394" t="s">
        <v>81</v>
      </c>
      <c r="E145" s="395">
        <v>2440000.0</v>
      </c>
      <c r="F145" s="198"/>
      <c r="G145" s="415"/>
      <c r="H145" s="408"/>
      <c r="I145" s="198"/>
      <c r="J145" s="198"/>
      <c r="K145" s="198"/>
      <c r="L145" s="409"/>
      <c r="M145" s="409"/>
      <c r="N145" s="410"/>
      <c r="O145" s="410"/>
      <c r="P145" s="79"/>
    </row>
    <row r="146" ht="22.5" customHeight="1">
      <c r="A146" s="49"/>
      <c r="C146" s="384">
        <v>45869.0</v>
      </c>
      <c r="D146" s="394" t="s">
        <v>81</v>
      </c>
      <c r="E146" s="395">
        <v>6.12825E7</v>
      </c>
      <c r="F146" s="198"/>
      <c r="G146" s="415"/>
      <c r="H146" s="408"/>
      <c r="I146" s="198"/>
      <c r="J146" s="198"/>
      <c r="K146" s="198"/>
      <c r="L146" s="409"/>
      <c r="M146" s="409"/>
      <c r="N146" s="410"/>
      <c r="O146" s="410"/>
      <c r="P146" s="79"/>
    </row>
    <row r="147" ht="22.5" customHeight="1">
      <c r="A147" s="49"/>
      <c r="C147" s="416">
        <v>45871.0</v>
      </c>
      <c r="D147" s="69" t="s">
        <v>123</v>
      </c>
      <c r="E147" s="395">
        <v>4.28733E7</v>
      </c>
      <c r="F147" s="198"/>
      <c r="G147" s="415"/>
      <c r="H147" s="408"/>
      <c r="I147" s="198"/>
      <c r="J147" s="198"/>
      <c r="K147" s="198"/>
      <c r="L147" s="409"/>
      <c r="M147" s="409"/>
      <c r="N147" s="410"/>
      <c r="O147" s="410"/>
      <c r="P147" s="79"/>
    </row>
    <row r="148" ht="22.5" customHeight="1">
      <c r="A148" s="49"/>
      <c r="C148" s="416">
        <v>45871.0</v>
      </c>
      <c r="D148" s="69" t="s">
        <v>123</v>
      </c>
      <c r="E148" s="395">
        <v>2.8175E7</v>
      </c>
      <c r="F148" s="198"/>
      <c r="G148" s="415"/>
      <c r="H148" s="408"/>
      <c r="I148" s="198"/>
      <c r="J148" s="198"/>
      <c r="K148" s="198"/>
      <c r="L148" s="409"/>
      <c r="M148" s="409"/>
      <c r="N148" s="410"/>
      <c r="O148" s="410"/>
      <c r="P148" s="79"/>
    </row>
    <row r="149" ht="22.5" customHeight="1">
      <c r="A149" s="49"/>
      <c r="C149" s="384">
        <v>45872.0</v>
      </c>
      <c r="D149" s="394" t="s">
        <v>349</v>
      </c>
      <c r="E149" s="395">
        <v>3584000.0</v>
      </c>
      <c r="F149" s="198"/>
      <c r="G149" s="407"/>
      <c r="H149" s="408"/>
      <c r="I149" s="198"/>
      <c r="J149" s="198"/>
      <c r="K149" s="198"/>
      <c r="L149" s="409"/>
      <c r="M149" s="409"/>
      <c r="N149" s="410"/>
      <c r="O149" s="410"/>
      <c r="P149" s="79"/>
    </row>
    <row r="150" ht="22.5" customHeight="1">
      <c r="A150" s="49"/>
      <c r="C150" s="384">
        <v>45876.0</v>
      </c>
      <c r="D150" s="394" t="s">
        <v>110</v>
      </c>
      <c r="E150" s="395">
        <v>2562000.0</v>
      </c>
      <c r="F150" s="221" t="s">
        <v>2416</v>
      </c>
      <c r="G150" s="407"/>
      <c r="H150" s="408"/>
      <c r="I150" s="198"/>
      <c r="J150" s="198"/>
      <c r="K150" s="198"/>
      <c r="L150" s="409"/>
      <c r="M150" s="409"/>
      <c r="N150" s="410"/>
      <c r="O150" s="410"/>
      <c r="P150" s="79"/>
    </row>
    <row r="151" ht="22.5" customHeight="1">
      <c r="A151" s="49"/>
      <c r="C151" s="384">
        <v>45876.0</v>
      </c>
      <c r="D151" s="394" t="s">
        <v>110</v>
      </c>
      <c r="E151" s="395">
        <v>2.9599E7</v>
      </c>
      <c r="F151" s="198"/>
      <c r="G151" s="407"/>
      <c r="H151" s="408"/>
      <c r="I151" s="198"/>
      <c r="J151" s="198"/>
      <c r="K151" s="198"/>
      <c r="L151" s="409"/>
      <c r="M151" s="409"/>
      <c r="N151" s="410"/>
      <c r="O151" s="410"/>
      <c r="P151" s="79"/>
    </row>
    <row r="152" ht="22.5" customHeight="1">
      <c r="A152" s="49"/>
      <c r="C152" s="384">
        <v>45877.0</v>
      </c>
      <c r="D152" s="394" t="s">
        <v>335</v>
      </c>
      <c r="E152" s="395">
        <v>5.913E7</v>
      </c>
      <c r="F152" s="198"/>
      <c r="G152" s="407"/>
      <c r="H152" s="408"/>
      <c r="I152" s="198"/>
      <c r="J152" s="198"/>
      <c r="K152" s="198"/>
      <c r="L152" s="409"/>
      <c r="M152" s="409"/>
      <c r="N152" s="410"/>
      <c r="O152" s="410"/>
      <c r="P152" s="79"/>
    </row>
    <row r="153" ht="22.5" customHeight="1">
      <c r="A153" s="49"/>
      <c r="C153" s="384">
        <v>45878.0</v>
      </c>
      <c r="D153" s="403" t="s">
        <v>81</v>
      </c>
      <c r="E153" s="395">
        <v>1.87795E7</v>
      </c>
      <c r="F153" s="198"/>
      <c r="G153" s="415"/>
      <c r="H153" s="417"/>
      <c r="I153" s="198"/>
      <c r="J153" s="198"/>
      <c r="K153" s="198"/>
      <c r="L153" s="409"/>
      <c r="M153" s="409"/>
      <c r="N153" s="410"/>
      <c r="O153" s="410"/>
      <c r="P153" s="79"/>
    </row>
    <row r="154" ht="22.5" customHeight="1">
      <c r="A154" s="49"/>
      <c r="C154" s="384">
        <v>45878.0</v>
      </c>
      <c r="D154" s="403" t="s">
        <v>361</v>
      </c>
      <c r="E154" s="395">
        <v>3900000.0</v>
      </c>
      <c r="F154" s="198"/>
      <c r="G154" s="415"/>
      <c r="H154" s="417"/>
      <c r="I154" s="198"/>
      <c r="J154" s="198"/>
      <c r="K154" s="198"/>
      <c r="L154" s="409"/>
      <c r="M154" s="409"/>
      <c r="N154" s="410"/>
      <c r="O154" s="410"/>
      <c r="P154" s="79"/>
    </row>
    <row r="155" ht="22.5" customHeight="1">
      <c r="A155" s="49"/>
      <c r="C155" s="384">
        <v>45879.0</v>
      </c>
      <c r="D155" s="403" t="s">
        <v>198</v>
      </c>
      <c r="E155" s="395">
        <v>3130231.0</v>
      </c>
      <c r="F155" s="198"/>
      <c r="G155" s="415"/>
      <c r="H155" s="417"/>
      <c r="I155" s="198"/>
      <c r="J155" s="198"/>
      <c r="K155" s="198"/>
      <c r="L155" s="409"/>
      <c r="M155" s="409"/>
      <c r="N155" s="410"/>
      <c r="O155" s="410"/>
      <c r="P155" s="79"/>
    </row>
    <row r="156" ht="22.5" customHeight="1">
      <c r="A156" s="49"/>
      <c r="C156" s="384">
        <v>45880.0</v>
      </c>
      <c r="D156" s="394" t="s">
        <v>110</v>
      </c>
      <c r="E156" s="395">
        <v>4700000.0</v>
      </c>
      <c r="F156" s="198"/>
      <c r="G156" s="415"/>
      <c r="H156" s="417"/>
      <c r="I156" s="198"/>
      <c r="J156" s="198"/>
      <c r="K156" s="198"/>
      <c r="L156" s="409"/>
      <c r="M156" s="409"/>
      <c r="N156" s="410"/>
      <c r="O156" s="410"/>
      <c r="P156" s="79"/>
    </row>
    <row r="157" ht="22.5" customHeight="1">
      <c r="A157" s="49"/>
      <c r="C157" s="384">
        <v>45883.0</v>
      </c>
      <c r="D157" s="394" t="s">
        <v>110</v>
      </c>
      <c r="E157" s="395">
        <v>1108560.0</v>
      </c>
      <c r="F157" s="198"/>
      <c r="G157" s="415"/>
      <c r="H157" s="417"/>
      <c r="I157" s="198"/>
      <c r="J157" s="198"/>
      <c r="K157" s="198"/>
      <c r="L157" s="409"/>
      <c r="M157" s="409"/>
      <c r="N157" s="410"/>
      <c r="O157" s="410"/>
      <c r="P157" s="79"/>
    </row>
    <row r="158" ht="22.5" customHeight="1">
      <c r="A158" s="49"/>
      <c r="C158" s="400">
        <v>45889.0</v>
      </c>
      <c r="D158" s="69" t="s">
        <v>123</v>
      </c>
      <c r="E158" s="395">
        <v>2439216.0</v>
      </c>
      <c r="F158" s="198"/>
      <c r="G158" s="415"/>
      <c r="H158" s="417"/>
      <c r="I158" s="198"/>
      <c r="J158" s="198"/>
      <c r="K158" s="198"/>
      <c r="L158" s="409"/>
      <c r="M158" s="409"/>
      <c r="N158" s="410"/>
      <c r="O158" s="410"/>
      <c r="P158" s="79"/>
    </row>
    <row r="159" ht="22.5" customHeight="1">
      <c r="A159" s="49"/>
      <c r="C159" s="400">
        <v>45889.0</v>
      </c>
      <c r="D159" s="69" t="s">
        <v>123</v>
      </c>
      <c r="E159" s="395">
        <v>1275000.0</v>
      </c>
      <c r="F159" s="198"/>
      <c r="G159" s="415"/>
      <c r="H159" s="417"/>
      <c r="I159" s="198"/>
      <c r="J159" s="198"/>
      <c r="K159" s="198"/>
      <c r="L159" s="409"/>
      <c r="M159" s="409"/>
      <c r="N159" s="410"/>
      <c r="O159" s="410"/>
      <c r="P159" s="79"/>
    </row>
    <row r="160" ht="22.5" customHeight="1">
      <c r="A160" s="49"/>
      <c r="C160" s="384">
        <v>45891.0</v>
      </c>
      <c r="D160" s="394" t="s">
        <v>110</v>
      </c>
      <c r="E160" s="395">
        <v>3.55E7</v>
      </c>
      <c r="F160" s="198"/>
      <c r="G160" s="415"/>
      <c r="H160" s="417"/>
      <c r="I160" s="198"/>
      <c r="J160" s="198"/>
      <c r="K160" s="198"/>
      <c r="L160" s="409"/>
      <c r="M160" s="409"/>
      <c r="N160" s="410"/>
      <c r="O160" s="410"/>
      <c r="P160" s="79"/>
    </row>
    <row r="161" ht="22.5" customHeight="1">
      <c r="A161" s="49"/>
      <c r="C161" s="384">
        <v>45891.0</v>
      </c>
      <c r="D161" s="69" t="s">
        <v>97</v>
      </c>
      <c r="E161" s="395">
        <v>5174164.0</v>
      </c>
      <c r="F161" s="198"/>
      <c r="G161" s="415"/>
      <c r="H161" s="417"/>
      <c r="I161" s="198"/>
      <c r="J161" s="198"/>
      <c r="K161" s="198"/>
      <c r="L161" s="409"/>
      <c r="M161" s="409"/>
      <c r="N161" s="410"/>
      <c r="O161" s="410"/>
      <c r="P161" s="79"/>
    </row>
    <row r="162" ht="22.5" customHeight="1">
      <c r="A162" s="49"/>
      <c r="C162" s="384">
        <v>45894.0</v>
      </c>
      <c r="D162" s="394" t="s">
        <v>81</v>
      </c>
      <c r="E162" s="395">
        <v>2256000.0</v>
      </c>
      <c r="F162" s="198"/>
      <c r="G162" s="415"/>
      <c r="H162" s="417"/>
      <c r="I162" s="198"/>
      <c r="J162" s="198"/>
      <c r="K162" s="198"/>
      <c r="L162" s="409"/>
      <c r="M162" s="409"/>
      <c r="N162" s="410"/>
      <c r="O162" s="410"/>
      <c r="P162" s="79"/>
    </row>
    <row r="163" ht="22.5" customHeight="1">
      <c r="A163" s="49"/>
      <c r="C163" s="400">
        <v>45894.0</v>
      </c>
      <c r="D163" s="403" t="s">
        <v>372</v>
      </c>
      <c r="E163" s="395">
        <v>900000.0</v>
      </c>
      <c r="F163" s="198"/>
      <c r="G163" s="415"/>
      <c r="H163" s="417"/>
      <c r="I163" s="198"/>
      <c r="J163" s="198"/>
      <c r="K163" s="198"/>
      <c r="L163" s="409"/>
      <c r="M163" s="409"/>
      <c r="N163" s="410"/>
      <c r="O163" s="410"/>
      <c r="P163" s="79"/>
    </row>
    <row r="164" ht="22.5" customHeight="1">
      <c r="A164" s="49"/>
      <c r="C164" s="384">
        <v>45895.0</v>
      </c>
      <c r="D164" s="394" t="s">
        <v>81</v>
      </c>
      <c r="E164" s="395">
        <v>5076000.0</v>
      </c>
      <c r="F164" s="198"/>
      <c r="G164" s="407"/>
      <c r="H164" s="408"/>
      <c r="I164" s="198"/>
      <c r="J164" s="198"/>
      <c r="K164" s="198"/>
      <c r="L164" s="409"/>
      <c r="M164" s="409"/>
      <c r="N164" s="410"/>
      <c r="O164" s="410"/>
      <c r="P164" s="79"/>
    </row>
    <row r="165" ht="22.5" customHeight="1">
      <c r="A165" s="49"/>
      <c r="C165" s="384">
        <v>45896.0</v>
      </c>
      <c r="D165" s="394" t="s">
        <v>110</v>
      </c>
      <c r="E165" s="395">
        <v>2331200.0</v>
      </c>
      <c r="F165" s="198"/>
      <c r="G165" s="407"/>
      <c r="H165" s="408"/>
      <c r="I165" s="198"/>
      <c r="J165" s="198"/>
      <c r="K165" s="198"/>
      <c r="L165" s="409"/>
      <c r="M165" s="409"/>
      <c r="N165" s="410"/>
      <c r="O165" s="410"/>
      <c r="P165" s="79"/>
    </row>
    <row r="166" ht="22.5" customHeight="1">
      <c r="A166" s="49"/>
      <c r="C166" s="384">
        <v>45900.0</v>
      </c>
      <c r="D166" s="394" t="s">
        <v>81</v>
      </c>
      <c r="E166" s="395">
        <v>2538000.0</v>
      </c>
      <c r="F166" s="198"/>
      <c r="G166" s="418"/>
      <c r="H166" s="408"/>
      <c r="I166" s="198"/>
      <c r="J166" s="198"/>
      <c r="K166" s="198"/>
      <c r="L166" s="409"/>
      <c r="M166" s="409"/>
      <c r="N166" s="410"/>
      <c r="O166" s="410"/>
      <c r="P166" s="79"/>
    </row>
    <row r="167" ht="22.5" customHeight="1">
      <c r="A167" s="49"/>
      <c r="C167" s="384">
        <v>45900.0</v>
      </c>
      <c r="D167" s="401" t="s">
        <v>97</v>
      </c>
      <c r="E167" s="395">
        <v>4920000.0</v>
      </c>
      <c r="F167" s="198"/>
      <c r="G167" s="418"/>
      <c r="H167" s="408"/>
      <c r="I167" s="198"/>
      <c r="J167" s="198"/>
      <c r="K167" s="198"/>
      <c r="L167" s="409"/>
      <c r="M167" s="409"/>
      <c r="N167" s="410"/>
      <c r="O167" s="410"/>
      <c r="P167" s="79"/>
    </row>
    <row r="168" ht="22.5" customHeight="1">
      <c r="A168" s="49"/>
      <c r="C168" s="384">
        <v>45901.0</v>
      </c>
      <c r="D168" s="394" t="s">
        <v>81</v>
      </c>
      <c r="E168" s="395">
        <v>1504000.0</v>
      </c>
      <c r="F168" s="198"/>
      <c r="G168" s="418"/>
      <c r="H168" s="408"/>
      <c r="I168" s="198"/>
      <c r="J168" s="198"/>
      <c r="K168" s="198"/>
      <c r="L168" s="409"/>
      <c r="M168" s="409"/>
      <c r="N168" s="410"/>
      <c r="O168" s="410"/>
      <c r="P168" s="79"/>
    </row>
    <row r="169" ht="22.5" customHeight="1">
      <c r="A169" s="49"/>
      <c r="C169" s="384">
        <v>45901.0</v>
      </c>
      <c r="D169" s="394" t="s">
        <v>81</v>
      </c>
      <c r="E169" s="395">
        <v>1899000.0</v>
      </c>
      <c r="F169" s="198"/>
      <c r="G169" s="418"/>
      <c r="H169" s="408"/>
      <c r="I169" s="198"/>
      <c r="J169" s="198"/>
      <c r="K169" s="198"/>
      <c r="L169" s="409"/>
      <c r="M169" s="409"/>
      <c r="N169" s="410"/>
      <c r="O169" s="410"/>
      <c r="P169" s="79"/>
    </row>
    <row r="170" ht="22.5" customHeight="1">
      <c r="A170" s="49"/>
      <c r="C170" s="384">
        <v>45901.0</v>
      </c>
      <c r="D170" s="69" t="s">
        <v>97</v>
      </c>
      <c r="E170" s="395">
        <v>4.89237424E7</v>
      </c>
      <c r="F170" s="198"/>
      <c r="G170" s="418"/>
      <c r="H170" s="408"/>
      <c r="I170" s="198"/>
      <c r="J170" s="198"/>
      <c r="K170" s="198"/>
      <c r="L170" s="409"/>
      <c r="M170" s="409"/>
      <c r="N170" s="410"/>
      <c r="O170" s="410"/>
      <c r="P170" s="79"/>
    </row>
    <row r="171" ht="22.5" customHeight="1">
      <c r="A171" s="49"/>
      <c r="C171" s="384">
        <v>45901.0</v>
      </c>
      <c r="D171" s="69" t="s">
        <v>97</v>
      </c>
      <c r="E171" s="395">
        <v>4.185E7</v>
      </c>
      <c r="F171" s="198"/>
      <c r="G171" s="418"/>
      <c r="H171" s="408"/>
      <c r="I171" s="198"/>
      <c r="J171" s="198"/>
      <c r="K171" s="198"/>
      <c r="L171" s="409"/>
      <c r="M171" s="409"/>
      <c r="N171" s="410"/>
      <c r="O171" s="410"/>
      <c r="P171" s="79"/>
    </row>
    <row r="172" ht="22.5" customHeight="1">
      <c r="A172" s="49"/>
      <c r="C172" s="384">
        <v>45904.0</v>
      </c>
      <c r="D172" s="394" t="s">
        <v>81</v>
      </c>
      <c r="E172" s="395">
        <v>7.1135E7</v>
      </c>
      <c r="F172" s="198"/>
      <c r="G172" s="418"/>
      <c r="H172" s="408"/>
      <c r="I172" s="198"/>
      <c r="J172" s="198"/>
      <c r="K172" s="198"/>
      <c r="L172" s="409"/>
      <c r="M172" s="409"/>
      <c r="N172" s="410"/>
      <c r="O172" s="410"/>
      <c r="P172" s="79"/>
    </row>
    <row r="173" ht="22.5" customHeight="1">
      <c r="A173" s="49"/>
      <c r="C173" s="384">
        <v>45906.0</v>
      </c>
      <c r="D173" s="394" t="s">
        <v>81</v>
      </c>
      <c r="E173" s="395">
        <v>2.72065E7</v>
      </c>
      <c r="F173" s="198"/>
      <c r="G173" s="418"/>
      <c r="H173" s="408"/>
      <c r="I173" s="198"/>
      <c r="J173" s="198"/>
      <c r="K173" s="198"/>
      <c r="L173" s="409"/>
      <c r="M173" s="409"/>
      <c r="N173" s="410"/>
      <c r="O173" s="410"/>
      <c r="P173" s="79"/>
    </row>
    <row r="174" ht="22.5" customHeight="1">
      <c r="A174" s="49"/>
      <c r="C174" s="384">
        <v>45907.0</v>
      </c>
      <c r="D174" s="69" t="s">
        <v>97</v>
      </c>
      <c r="E174" s="395">
        <v>1501164.0</v>
      </c>
      <c r="F174" s="198"/>
      <c r="G174" s="418"/>
      <c r="H174" s="408"/>
      <c r="I174" s="198"/>
      <c r="J174" s="198"/>
      <c r="K174" s="198"/>
      <c r="L174" s="409"/>
      <c r="M174" s="409"/>
      <c r="N174" s="410"/>
      <c r="O174" s="410"/>
      <c r="P174" s="79"/>
    </row>
    <row r="175" ht="22.5" customHeight="1">
      <c r="A175" s="49"/>
      <c r="C175" s="400">
        <v>45907.0</v>
      </c>
      <c r="D175" s="69" t="s">
        <v>123</v>
      </c>
      <c r="E175" s="395">
        <v>4.3305E7</v>
      </c>
      <c r="F175" s="198"/>
      <c r="G175" s="418"/>
      <c r="H175" s="408"/>
      <c r="I175" s="198"/>
      <c r="J175" s="198"/>
      <c r="K175" s="198"/>
      <c r="L175" s="409"/>
      <c r="M175" s="409"/>
      <c r="N175" s="410"/>
      <c r="O175" s="410"/>
      <c r="P175" s="79"/>
    </row>
    <row r="176" ht="22.5" customHeight="1">
      <c r="A176" s="49"/>
      <c r="C176" s="384">
        <v>45911.0</v>
      </c>
      <c r="D176" s="394" t="s">
        <v>110</v>
      </c>
      <c r="E176" s="395">
        <v>1811880.0</v>
      </c>
      <c r="F176" s="198"/>
      <c r="G176" s="413"/>
      <c r="H176" s="408"/>
      <c r="I176" s="198"/>
      <c r="J176" s="198"/>
      <c r="K176" s="198"/>
      <c r="L176" s="409"/>
      <c r="M176" s="409"/>
      <c r="N176" s="410"/>
      <c r="O176" s="410"/>
      <c r="P176" s="79"/>
    </row>
    <row r="177" ht="22.5" customHeight="1">
      <c r="A177" s="49"/>
      <c r="C177" s="384">
        <v>45915.0</v>
      </c>
      <c r="D177" s="403" t="s">
        <v>81</v>
      </c>
      <c r="E177" s="395">
        <v>1.023405E8</v>
      </c>
      <c r="F177" s="198"/>
      <c r="G177" s="413"/>
      <c r="H177" s="408"/>
      <c r="I177" s="198"/>
      <c r="J177" s="198"/>
      <c r="K177" s="198"/>
      <c r="L177" s="409"/>
      <c r="M177" s="409"/>
      <c r="N177" s="410"/>
      <c r="O177" s="410"/>
      <c r="P177" s="79"/>
    </row>
    <row r="178" ht="22.5" customHeight="1">
      <c r="A178" s="49"/>
      <c r="C178" s="384">
        <v>45920.0</v>
      </c>
      <c r="D178" s="403" t="s">
        <v>349</v>
      </c>
      <c r="E178" s="395">
        <v>1.6334E7</v>
      </c>
      <c r="F178" s="198"/>
      <c r="G178" s="413"/>
      <c r="H178" s="408"/>
      <c r="I178" s="198"/>
      <c r="J178" s="198"/>
      <c r="K178" s="198"/>
      <c r="L178" s="409"/>
      <c r="M178" s="409"/>
      <c r="N178" s="410"/>
      <c r="O178" s="410"/>
      <c r="P178" s="79"/>
    </row>
    <row r="179" ht="22.5" customHeight="1">
      <c r="A179" s="49"/>
      <c r="C179" s="384">
        <v>45922.0</v>
      </c>
      <c r="D179" s="394" t="s">
        <v>81</v>
      </c>
      <c r="E179" s="395">
        <v>1812000.0</v>
      </c>
      <c r="F179" s="198"/>
      <c r="G179" s="413"/>
      <c r="H179" s="408"/>
      <c r="I179" s="198"/>
      <c r="J179" s="198"/>
      <c r="K179" s="198"/>
      <c r="L179" s="409"/>
      <c r="M179" s="409"/>
      <c r="N179" s="410"/>
      <c r="O179" s="410"/>
      <c r="P179" s="79"/>
    </row>
    <row r="180" ht="22.5" customHeight="1">
      <c r="A180" s="49"/>
      <c r="C180" s="384">
        <v>45923.0</v>
      </c>
      <c r="D180" s="69" t="s">
        <v>97</v>
      </c>
      <c r="E180" s="395">
        <v>1186876.8</v>
      </c>
      <c r="F180" s="198"/>
      <c r="G180" s="413"/>
      <c r="H180" s="408"/>
      <c r="I180" s="198"/>
      <c r="J180" s="198"/>
      <c r="K180" s="198"/>
      <c r="L180" s="409"/>
      <c r="M180" s="409"/>
      <c r="N180" s="410"/>
      <c r="O180" s="410"/>
      <c r="P180" s="79"/>
    </row>
    <row r="181" ht="22.5" customHeight="1">
      <c r="A181" s="49"/>
      <c r="C181" s="384">
        <v>45924.0</v>
      </c>
      <c r="D181" s="394" t="s">
        <v>81</v>
      </c>
      <c r="E181" s="395">
        <v>2514000.0</v>
      </c>
      <c r="F181" s="198"/>
      <c r="G181" s="413"/>
      <c r="H181" s="408"/>
      <c r="I181" s="198"/>
      <c r="J181" s="198"/>
      <c r="K181" s="198"/>
      <c r="L181" s="409"/>
      <c r="M181" s="409"/>
      <c r="N181" s="410"/>
      <c r="O181" s="410"/>
      <c r="P181" s="79"/>
    </row>
    <row r="182" ht="22.5" customHeight="1">
      <c r="A182" s="49"/>
      <c r="C182" s="384">
        <v>45924.0</v>
      </c>
      <c r="D182" s="394" t="s">
        <v>110</v>
      </c>
      <c r="E182" s="395">
        <v>3.4935E7</v>
      </c>
      <c r="F182" s="198"/>
      <c r="G182" s="413"/>
      <c r="H182" s="408"/>
      <c r="I182" s="198"/>
      <c r="J182" s="198"/>
      <c r="K182" s="198"/>
      <c r="L182" s="409"/>
      <c r="M182" s="409"/>
      <c r="N182" s="410"/>
      <c r="O182" s="410"/>
      <c r="P182" s="79"/>
    </row>
    <row r="183" ht="22.5" customHeight="1">
      <c r="A183" s="49"/>
      <c r="C183" s="400">
        <v>45925.0</v>
      </c>
      <c r="D183" s="394" t="s">
        <v>160</v>
      </c>
      <c r="E183" s="395">
        <v>7435000.0</v>
      </c>
      <c r="F183" s="198"/>
      <c r="G183" s="413"/>
      <c r="H183" s="408"/>
      <c r="I183" s="198"/>
      <c r="J183" s="198"/>
      <c r="K183" s="198"/>
      <c r="L183" s="409"/>
      <c r="M183" s="409"/>
      <c r="N183" s="410"/>
      <c r="O183" s="410"/>
      <c r="P183" s="79"/>
    </row>
    <row r="184" ht="22.5" customHeight="1">
      <c r="A184" s="49"/>
      <c r="C184" s="400">
        <v>45925.0</v>
      </c>
      <c r="D184" s="394" t="s">
        <v>160</v>
      </c>
      <c r="E184" s="395">
        <v>636500.0</v>
      </c>
      <c r="F184" s="198"/>
      <c r="G184" s="413"/>
      <c r="H184" s="408"/>
      <c r="I184" s="198"/>
      <c r="J184" s="198"/>
      <c r="K184" s="198"/>
      <c r="L184" s="409"/>
      <c r="M184" s="409"/>
      <c r="N184" s="410"/>
      <c r="O184" s="410"/>
      <c r="P184" s="79"/>
    </row>
    <row r="185" ht="22.5" customHeight="1">
      <c r="A185" s="49"/>
      <c r="C185" s="384">
        <v>45926.0</v>
      </c>
      <c r="D185" s="69" t="s">
        <v>97</v>
      </c>
      <c r="E185" s="395">
        <v>1187082.0</v>
      </c>
      <c r="F185" s="198"/>
      <c r="G185" s="413"/>
      <c r="H185" s="408"/>
      <c r="I185" s="198"/>
      <c r="J185" s="198"/>
      <c r="K185" s="198"/>
      <c r="L185" s="409"/>
      <c r="M185" s="409"/>
      <c r="N185" s="410"/>
      <c r="O185" s="410"/>
      <c r="P185" s="79"/>
    </row>
    <row r="186" ht="22.5" customHeight="1">
      <c r="A186" s="49"/>
      <c r="C186" s="384">
        <v>45927.0</v>
      </c>
      <c r="D186" s="394" t="s">
        <v>81</v>
      </c>
      <c r="E186" s="395">
        <v>638500.0</v>
      </c>
      <c r="F186" s="198"/>
      <c r="G186" s="413"/>
      <c r="H186" s="408"/>
      <c r="I186" s="198"/>
      <c r="J186" s="198"/>
      <c r="K186" s="198"/>
      <c r="L186" s="409"/>
      <c r="M186" s="409"/>
      <c r="N186" s="410"/>
      <c r="O186" s="410"/>
      <c r="P186" s="79"/>
    </row>
    <row r="187" ht="22.5" customHeight="1">
      <c r="A187" s="49"/>
      <c r="C187" s="400">
        <v>45928.0</v>
      </c>
      <c r="D187" s="419" t="s">
        <v>97</v>
      </c>
      <c r="E187" s="420">
        <v>4.1289677E7</v>
      </c>
      <c r="F187" s="198"/>
      <c r="G187" s="413"/>
      <c r="H187" s="408"/>
      <c r="I187" s="198"/>
      <c r="J187" s="198"/>
      <c r="K187" s="198"/>
      <c r="L187" s="409"/>
      <c r="M187" s="409"/>
      <c r="N187" s="410"/>
      <c r="O187" s="410"/>
      <c r="P187" s="79"/>
    </row>
    <row r="188" ht="22.5" customHeight="1">
      <c r="A188" s="49"/>
      <c r="C188" s="384">
        <v>45930.0</v>
      </c>
      <c r="D188" s="69" t="s">
        <v>97</v>
      </c>
      <c r="E188" s="395">
        <v>593541.0</v>
      </c>
      <c r="F188" s="198"/>
      <c r="G188" s="413"/>
      <c r="H188" s="408"/>
      <c r="I188" s="198"/>
      <c r="J188" s="198"/>
      <c r="K188" s="198"/>
      <c r="L188" s="409"/>
      <c r="M188" s="409"/>
      <c r="N188" s="410"/>
      <c r="O188" s="410"/>
      <c r="P188" s="79"/>
    </row>
    <row r="189" ht="22.5" customHeight="1">
      <c r="A189" s="49"/>
      <c r="C189" s="384">
        <v>45932.0</v>
      </c>
      <c r="D189" s="394" t="s">
        <v>110</v>
      </c>
      <c r="E189" s="395">
        <v>1.2E7</v>
      </c>
      <c r="F189" s="198"/>
      <c r="G189" s="413"/>
      <c r="H189" s="408"/>
      <c r="I189" s="198"/>
      <c r="J189" s="198"/>
      <c r="K189" s="198"/>
      <c r="L189" s="409"/>
      <c r="M189" s="409"/>
      <c r="N189" s="410"/>
      <c r="O189" s="410"/>
      <c r="P189" s="79"/>
    </row>
    <row r="190" ht="22.5" customHeight="1">
      <c r="A190" s="49"/>
      <c r="C190" s="384">
        <v>45936.0</v>
      </c>
      <c r="D190" s="69" t="s">
        <v>97</v>
      </c>
      <c r="E190" s="395">
        <v>1187082.0</v>
      </c>
      <c r="F190" s="198"/>
      <c r="G190" s="413"/>
      <c r="H190" s="408"/>
      <c r="I190" s="198"/>
      <c r="J190" s="198"/>
      <c r="K190" s="198"/>
      <c r="L190" s="409"/>
      <c r="M190" s="409"/>
      <c r="N190" s="410"/>
      <c r="O190" s="410"/>
      <c r="P190" s="79"/>
    </row>
    <row r="191" ht="22.5" customHeight="1">
      <c r="A191" s="49"/>
      <c r="C191" s="384">
        <v>45936.0</v>
      </c>
      <c r="D191" s="394" t="s">
        <v>349</v>
      </c>
      <c r="E191" s="395">
        <v>1186000.0</v>
      </c>
      <c r="F191" s="198"/>
      <c r="G191" s="413"/>
      <c r="H191" s="408"/>
      <c r="I191" s="198"/>
      <c r="J191" s="198"/>
      <c r="K191" s="198"/>
      <c r="L191" s="409"/>
      <c r="M191" s="409"/>
      <c r="N191" s="410"/>
      <c r="O191" s="410"/>
      <c r="P191" s="79"/>
    </row>
    <row r="192" ht="22.5" customHeight="1">
      <c r="A192" s="49"/>
      <c r="C192" s="384">
        <v>45937.0</v>
      </c>
      <c r="D192" s="394" t="s">
        <v>81</v>
      </c>
      <c r="E192" s="395">
        <v>9.3288E7</v>
      </c>
      <c r="F192" s="198"/>
      <c r="G192" s="413"/>
      <c r="H192" s="408"/>
      <c r="I192" s="198"/>
      <c r="J192" s="198"/>
      <c r="K192" s="198"/>
      <c r="L192" s="409"/>
      <c r="M192" s="409"/>
      <c r="N192" s="410"/>
      <c r="O192" s="410"/>
      <c r="P192" s="79"/>
    </row>
    <row r="193" ht="22.5" customHeight="1">
      <c r="A193" s="49"/>
      <c r="C193" s="384">
        <v>45937.0</v>
      </c>
      <c r="D193" s="394" t="s">
        <v>81</v>
      </c>
      <c r="E193" s="395">
        <v>2080000.0</v>
      </c>
      <c r="F193" s="198"/>
      <c r="G193" s="413"/>
      <c r="H193" s="408"/>
      <c r="I193" s="198"/>
      <c r="J193" s="198"/>
      <c r="K193" s="198"/>
      <c r="L193" s="409"/>
      <c r="M193" s="409"/>
      <c r="N193" s="410"/>
      <c r="O193" s="410"/>
      <c r="P193" s="79"/>
    </row>
    <row r="194" ht="22.5" customHeight="1">
      <c r="A194" s="49"/>
      <c r="C194" s="384">
        <v>45938.0</v>
      </c>
      <c r="D194" s="394" t="s">
        <v>110</v>
      </c>
      <c r="E194" s="395">
        <v>2674800.0</v>
      </c>
      <c r="F194" s="198"/>
      <c r="G194" s="413"/>
      <c r="H194" s="408"/>
      <c r="I194" s="198"/>
      <c r="J194" s="198"/>
      <c r="K194" s="198"/>
      <c r="L194" s="409"/>
      <c r="M194" s="409"/>
      <c r="N194" s="410"/>
      <c r="O194" s="410"/>
      <c r="P194" s="79"/>
    </row>
    <row r="195" ht="22.5" customHeight="1">
      <c r="A195" s="49"/>
      <c r="C195" s="384">
        <v>45938.0</v>
      </c>
      <c r="D195" s="394" t="s">
        <v>110</v>
      </c>
      <c r="E195" s="395">
        <v>1.23E7</v>
      </c>
      <c r="F195" s="198"/>
      <c r="G195" s="413"/>
      <c r="H195" s="408"/>
      <c r="I195" s="198"/>
      <c r="J195" s="198"/>
      <c r="K195" s="198"/>
      <c r="L195" s="409"/>
      <c r="M195" s="409"/>
      <c r="N195" s="410"/>
      <c r="O195" s="410"/>
      <c r="P195" s="79"/>
    </row>
    <row r="196" ht="22.5" customHeight="1">
      <c r="A196" s="49"/>
      <c r="C196" s="384">
        <v>45938.0</v>
      </c>
      <c r="D196" s="394" t="s">
        <v>349</v>
      </c>
      <c r="E196" s="395">
        <v>6960000.0</v>
      </c>
      <c r="F196" s="198"/>
      <c r="G196" s="413"/>
      <c r="H196" s="408"/>
      <c r="I196" s="198"/>
      <c r="J196" s="198"/>
      <c r="K196" s="198"/>
      <c r="L196" s="409"/>
      <c r="M196" s="409"/>
      <c r="N196" s="410"/>
      <c r="O196" s="410"/>
      <c r="P196" s="79"/>
    </row>
    <row r="197" ht="22.5" customHeight="1">
      <c r="A197" s="49"/>
      <c r="C197" s="384">
        <v>45938.0</v>
      </c>
      <c r="D197" s="394" t="s">
        <v>349</v>
      </c>
      <c r="E197" s="395">
        <v>2372000.0</v>
      </c>
      <c r="F197" s="198"/>
      <c r="G197" s="413"/>
      <c r="H197" s="408"/>
      <c r="I197" s="198"/>
      <c r="J197" s="198"/>
      <c r="K197" s="198"/>
      <c r="L197" s="409"/>
      <c r="M197" s="409"/>
      <c r="N197" s="410"/>
      <c r="O197" s="410"/>
      <c r="P197" s="79"/>
    </row>
    <row r="198" ht="22.5" customHeight="1">
      <c r="A198" s="49"/>
      <c r="C198" s="421">
        <v>45939.0</v>
      </c>
      <c r="D198" s="394" t="s">
        <v>81</v>
      </c>
      <c r="E198" s="395">
        <v>1790000.0</v>
      </c>
      <c r="F198" s="198"/>
      <c r="G198" s="413"/>
      <c r="H198" s="408"/>
      <c r="I198" s="198"/>
      <c r="J198" s="198"/>
      <c r="K198" s="198"/>
      <c r="L198" s="409"/>
      <c r="M198" s="409"/>
      <c r="N198" s="410"/>
      <c r="O198" s="410"/>
      <c r="P198" s="79"/>
    </row>
    <row r="199" ht="22.5" customHeight="1">
      <c r="A199" s="49"/>
      <c r="C199" s="384">
        <v>45939.0</v>
      </c>
      <c r="D199" s="394" t="s">
        <v>110</v>
      </c>
      <c r="E199" s="395">
        <v>438400.0</v>
      </c>
      <c r="F199" s="198"/>
      <c r="G199" s="413"/>
      <c r="H199" s="408"/>
      <c r="I199" s="198"/>
      <c r="J199" s="198"/>
      <c r="K199" s="198"/>
      <c r="L199" s="409"/>
      <c r="M199" s="409"/>
      <c r="N199" s="410"/>
      <c r="O199" s="410"/>
      <c r="P199" s="79"/>
    </row>
    <row r="200" ht="22.5" customHeight="1">
      <c r="A200" s="49"/>
      <c r="C200" s="384">
        <v>45941.0</v>
      </c>
      <c r="D200" s="394" t="s">
        <v>81</v>
      </c>
      <c r="E200" s="395">
        <v>5922000.0</v>
      </c>
      <c r="F200" s="198"/>
      <c r="G200" s="413"/>
      <c r="H200" s="408"/>
      <c r="I200" s="198"/>
      <c r="J200" s="198"/>
      <c r="K200" s="198"/>
      <c r="L200" s="409"/>
      <c r="M200" s="409"/>
      <c r="N200" s="410"/>
      <c r="O200" s="410"/>
      <c r="P200" s="79"/>
    </row>
    <row r="201" ht="22.5" customHeight="1">
      <c r="A201" s="49"/>
      <c r="C201" s="384">
        <v>45941.0</v>
      </c>
      <c r="D201" s="69" t="s">
        <v>97</v>
      </c>
      <c r="E201" s="395">
        <v>593541.0</v>
      </c>
      <c r="F201" s="198"/>
      <c r="G201" s="413"/>
      <c r="H201" s="408"/>
      <c r="I201" s="198"/>
      <c r="J201" s="198"/>
      <c r="K201" s="198"/>
      <c r="L201" s="409"/>
      <c r="M201" s="409"/>
      <c r="N201" s="410"/>
      <c r="O201" s="410"/>
      <c r="P201" s="79"/>
    </row>
    <row r="202" ht="22.5" customHeight="1">
      <c r="A202" s="49"/>
      <c r="C202" s="384">
        <v>45942.0</v>
      </c>
      <c r="D202" s="403" t="s">
        <v>174</v>
      </c>
      <c r="E202" s="395">
        <v>803640.0</v>
      </c>
      <c r="F202" s="198"/>
      <c r="G202" s="413"/>
      <c r="H202" s="408"/>
      <c r="I202" s="198"/>
      <c r="J202" s="198"/>
      <c r="K202" s="198"/>
      <c r="L202" s="409"/>
      <c r="M202" s="409"/>
      <c r="N202" s="410"/>
      <c r="O202" s="410"/>
      <c r="P202" s="79"/>
    </row>
    <row r="203" ht="22.5" customHeight="1">
      <c r="A203" s="49"/>
      <c r="C203" s="384">
        <v>45943.0</v>
      </c>
      <c r="D203" s="394" t="s">
        <v>110</v>
      </c>
      <c r="E203" s="395">
        <v>2264850.0</v>
      </c>
      <c r="F203" s="198"/>
      <c r="G203" s="413"/>
      <c r="H203" s="408"/>
      <c r="I203" s="198"/>
      <c r="J203" s="198"/>
      <c r="K203" s="198"/>
      <c r="L203" s="409"/>
      <c r="M203" s="409"/>
      <c r="N203" s="410"/>
      <c r="O203" s="410"/>
      <c r="P203" s="79"/>
    </row>
    <row r="204" ht="22.5" customHeight="1">
      <c r="A204" s="49"/>
      <c r="C204" s="384">
        <v>45943.0</v>
      </c>
      <c r="D204" s="69" t="s">
        <v>97</v>
      </c>
      <c r="E204" s="395">
        <v>2227814.4</v>
      </c>
      <c r="F204" s="198"/>
      <c r="G204" s="413"/>
      <c r="H204" s="408"/>
      <c r="I204" s="198"/>
      <c r="J204" s="198"/>
      <c r="K204" s="198"/>
      <c r="L204" s="409"/>
      <c r="M204" s="409"/>
      <c r="N204" s="410"/>
      <c r="O204" s="410"/>
      <c r="P204" s="79"/>
    </row>
    <row r="205" ht="22.5" customHeight="1">
      <c r="A205" s="49"/>
      <c r="C205" s="384">
        <v>45944.0</v>
      </c>
      <c r="D205" s="394" t="s">
        <v>81</v>
      </c>
      <c r="E205" s="395">
        <v>6608000.0</v>
      </c>
      <c r="F205" s="198"/>
      <c r="G205" s="413"/>
      <c r="H205" s="408"/>
      <c r="I205" s="198"/>
      <c r="J205" s="198"/>
      <c r="K205" s="198"/>
      <c r="L205" s="409"/>
      <c r="M205" s="409"/>
      <c r="N205" s="410"/>
      <c r="O205" s="410"/>
      <c r="P205" s="79"/>
    </row>
    <row r="206" ht="22.5" customHeight="1">
      <c r="A206" s="49"/>
      <c r="C206" s="422">
        <v>45948.0</v>
      </c>
      <c r="D206" s="403" t="s">
        <v>81</v>
      </c>
      <c r="E206" s="423">
        <f>6364500-893000</f>
        <v>5471500</v>
      </c>
      <c r="F206" s="198"/>
      <c r="G206" s="413"/>
      <c r="H206" s="408"/>
      <c r="I206" s="198"/>
      <c r="J206" s="198"/>
      <c r="K206" s="198"/>
      <c r="L206" s="409"/>
      <c r="M206" s="409"/>
      <c r="N206" s="410"/>
      <c r="O206" s="410"/>
      <c r="P206" s="79"/>
    </row>
    <row r="207" ht="22.5" customHeight="1">
      <c r="A207" s="49"/>
      <c r="C207" s="421">
        <v>45950.0</v>
      </c>
      <c r="D207" s="403" t="s">
        <v>81</v>
      </c>
      <c r="E207" s="395">
        <v>2884000.0</v>
      </c>
      <c r="F207" s="198"/>
      <c r="G207" s="413"/>
      <c r="H207" s="408"/>
      <c r="I207" s="198"/>
      <c r="J207" s="198"/>
      <c r="K207" s="198"/>
      <c r="L207" s="409"/>
      <c r="M207" s="409"/>
      <c r="N207" s="410"/>
      <c r="O207" s="410"/>
      <c r="P207" s="79"/>
    </row>
    <row r="208" ht="22.5" customHeight="1">
      <c r="A208" s="49"/>
      <c r="C208" s="384">
        <v>45950.0</v>
      </c>
      <c r="D208" s="394" t="s">
        <v>110</v>
      </c>
      <c r="E208" s="395">
        <v>5349600.0</v>
      </c>
      <c r="F208" s="198"/>
      <c r="G208" s="413"/>
      <c r="H208" s="408"/>
      <c r="I208" s="198"/>
      <c r="J208" s="198"/>
      <c r="K208" s="198"/>
      <c r="L208" s="409"/>
      <c r="M208" s="409"/>
      <c r="N208" s="410"/>
      <c r="O208" s="410"/>
      <c r="P208" s="79"/>
    </row>
    <row r="209" ht="22.5" customHeight="1">
      <c r="A209" s="49"/>
      <c r="C209" s="384">
        <v>45950.0</v>
      </c>
      <c r="D209" s="69" t="s">
        <v>97</v>
      </c>
      <c r="E209" s="395">
        <v>3140000.0</v>
      </c>
      <c r="F209" s="198"/>
      <c r="G209" s="413"/>
      <c r="H209" s="408"/>
      <c r="I209" s="198"/>
      <c r="J209" s="198"/>
      <c r="K209" s="198"/>
      <c r="L209" s="409"/>
      <c r="M209" s="409"/>
      <c r="N209" s="410"/>
      <c r="O209" s="410"/>
      <c r="P209" s="79"/>
    </row>
    <row r="210" ht="22.5" customHeight="1">
      <c r="A210" s="49"/>
      <c r="C210" s="384">
        <v>45957.0</v>
      </c>
      <c r="D210" s="69" t="s">
        <v>97</v>
      </c>
      <c r="E210" s="395">
        <v>1274000.4</v>
      </c>
      <c r="F210" s="198"/>
      <c r="G210" s="413"/>
      <c r="H210" s="408"/>
      <c r="I210" s="198"/>
      <c r="J210" s="198"/>
      <c r="K210" s="198"/>
      <c r="L210" s="409"/>
      <c r="M210" s="409"/>
      <c r="N210" s="410"/>
      <c r="O210" s="410"/>
      <c r="P210" s="79"/>
    </row>
    <row r="211" ht="22.5" customHeight="1">
      <c r="A211" s="49"/>
      <c r="C211" s="400">
        <v>45960.0</v>
      </c>
      <c r="D211" s="69" t="s">
        <v>123</v>
      </c>
      <c r="E211" s="395">
        <v>4.67286E7</v>
      </c>
      <c r="F211" s="198"/>
      <c r="G211" s="413"/>
      <c r="H211" s="408"/>
      <c r="I211" s="198"/>
      <c r="J211" s="198"/>
      <c r="K211" s="198"/>
      <c r="L211" s="409"/>
      <c r="M211" s="409"/>
      <c r="N211" s="410"/>
      <c r="O211" s="410"/>
      <c r="P211" s="79"/>
    </row>
    <row r="212" ht="22.5" customHeight="1">
      <c r="A212" s="49"/>
      <c r="C212" s="384">
        <v>45961.0</v>
      </c>
      <c r="D212" s="69" t="s">
        <v>97</v>
      </c>
      <c r="E212" s="395">
        <v>2291049.6</v>
      </c>
      <c r="F212" s="198"/>
      <c r="G212" s="413"/>
      <c r="H212" s="408"/>
      <c r="I212" s="198"/>
      <c r="J212" s="198"/>
      <c r="K212" s="198"/>
      <c r="L212" s="409"/>
      <c r="M212" s="409"/>
      <c r="N212" s="410"/>
      <c r="O212" s="410"/>
      <c r="P212" s="79"/>
    </row>
    <row r="213" ht="22.5" customHeight="1">
      <c r="A213" s="49"/>
      <c r="C213" s="384">
        <v>45961.0</v>
      </c>
      <c r="D213" s="69" t="s">
        <v>97</v>
      </c>
      <c r="E213" s="395">
        <v>3341721.5999999996</v>
      </c>
      <c r="F213" s="198"/>
      <c r="G213" s="413"/>
      <c r="H213" s="408"/>
      <c r="I213" s="198"/>
      <c r="J213" s="198"/>
      <c r="K213" s="198"/>
      <c r="L213" s="409"/>
      <c r="M213" s="409"/>
      <c r="N213" s="410"/>
      <c r="O213" s="410"/>
      <c r="P213" s="79"/>
    </row>
    <row r="214" ht="22.5" customHeight="1">
      <c r="A214" s="49"/>
      <c r="C214" s="414">
        <v>45962.0</v>
      </c>
      <c r="D214" s="411" t="s">
        <v>123</v>
      </c>
      <c r="E214" s="424">
        <v>5000000.0</v>
      </c>
      <c r="F214" s="198"/>
      <c r="G214" s="413"/>
      <c r="H214" s="408"/>
      <c r="I214" s="198"/>
      <c r="J214" s="198"/>
      <c r="K214" s="198"/>
      <c r="L214" s="409"/>
      <c r="M214" s="409"/>
      <c r="N214" s="410"/>
      <c r="O214" s="410"/>
      <c r="P214" s="79"/>
    </row>
    <row r="215" ht="22.5" customHeight="1">
      <c r="A215" s="49"/>
      <c r="C215" s="414">
        <v>45962.0</v>
      </c>
      <c r="D215" s="411" t="s">
        <v>123</v>
      </c>
      <c r="E215" s="424">
        <v>1.0E7</v>
      </c>
      <c r="F215" s="198"/>
      <c r="G215" s="413"/>
      <c r="H215" s="408"/>
      <c r="I215" s="198"/>
      <c r="J215" s="198"/>
      <c r="K215" s="198"/>
      <c r="L215" s="409"/>
      <c r="M215" s="409"/>
      <c r="N215" s="410"/>
      <c r="O215" s="410"/>
      <c r="P215" s="79"/>
    </row>
    <row r="216" ht="22.5" customHeight="1">
      <c r="A216" s="49"/>
      <c r="C216" s="414">
        <v>45962.0</v>
      </c>
      <c r="D216" s="411" t="s">
        <v>123</v>
      </c>
      <c r="E216" s="424">
        <v>1.0E7</v>
      </c>
      <c r="F216" s="198"/>
      <c r="G216" s="413"/>
      <c r="H216" s="408"/>
      <c r="I216" s="198"/>
      <c r="J216" s="198"/>
      <c r="K216" s="198"/>
      <c r="L216" s="409"/>
      <c r="M216" s="409"/>
      <c r="N216" s="410"/>
      <c r="O216" s="410"/>
      <c r="P216" s="79"/>
    </row>
    <row r="217" ht="22.5" customHeight="1">
      <c r="A217" s="49"/>
      <c r="C217" s="414">
        <v>45965.0</v>
      </c>
      <c r="D217" s="411" t="s">
        <v>123</v>
      </c>
      <c r="E217" s="424">
        <v>1.0E7</v>
      </c>
      <c r="F217" s="198"/>
      <c r="G217" s="413"/>
      <c r="H217" s="408"/>
      <c r="I217" s="198"/>
      <c r="J217" s="198"/>
      <c r="K217" s="198"/>
      <c r="L217" s="409"/>
      <c r="M217" s="409"/>
      <c r="N217" s="410"/>
      <c r="O217" s="410"/>
      <c r="P217" s="79"/>
    </row>
    <row r="218" ht="22.5" customHeight="1">
      <c r="A218" s="49"/>
      <c r="C218" s="414">
        <v>45966.0</v>
      </c>
      <c r="D218" s="411" t="s">
        <v>2361</v>
      </c>
      <c r="E218" s="424">
        <v>500000.0</v>
      </c>
      <c r="F218" s="198"/>
      <c r="G218" s="413"/>
      <c r="H218" s="408"/>
      <c r="I218" s="198"/>
      <c r="J218" s="198"/>
      <c r="K218" s="198"/>
      <c r="L218" s="409"/>
      <c r="M218" s="409"/>
      <c r="N218" s="410"/>
      <c r="O218" s="410"/>
      <c r="P218" s="79"/>
    </row>
    <row r="219" ht="22.5" customHeight="1">
      <c r="A219" s="49"/>
      <c r="C219" s="414">
        <v>45966.0</v>
      </c>
      <c r="D219" s="411" t="s">
        <v>123</v>
      </c>
      <c r="E219" s="424">
        <v>7000000.0</v>
      </c>
      <c r="F219" s="198"/>
      <c r="G219" s="413"/>
      <c r="H219" s="408"/>
      <c r="I219" s="198"/>
      <c r="J219" s="198"/>
      <c r="K219" s="198"/>
      <c r="L219" s="409"/>
      <c r="M219" s="409"/>
      <c r="N219" s="410"/>
      <c r="O219" s="410"/>
      <c r="P219" s="79"/>
    </row>
    <row r="220" ht="22.5" customHeight="1">
      <c r="A220" s="49"/>
      <c r="C220" s="414">
        <v>45966.0</v>
      </c>
      <c r="D220" s="411" t="s">
        <v>123</v>
      </c>
      <c r="E220" s="424">
        <v>4850000.0</v>
      </c>
      <c r="F220" s="198"/>
      <c r="G220" s="413"/>
      <c r="H220" s="408"/>
      <c r="I220" s="198"/>
      <c r="J220" s="198"/>
      <c r="K220" s="198"/>
      <c r="L220" s="409"/>
      <c r="M220" s="409"/>
      <c r="N220" s="410"/>
      <c r="O220" s="410"/>
      <c r="P220" s="79"/>
    </row>
    <row r="221" ht="22.5" customHeight="1">
      <c r="A221" s="49"/>
      <c r="C221" s="414">
        <v>45967.0</v>
      </c>
      <c r="D221" s="411" t="s">
        <v>136</v>
      </c>
      <c r="E221" s="424">
        <v>1470500.0</v>
      </c>
      <c r="F221" s="198"/>
      <c r="G221" s="413"/>
      <c r="H221" s="408"/>
      <c r="I221" s="198"/>
      <c r="J221" s="198"/>
      <c r="K221" s="198"/>
      <c r="L221" s="409"/>
      <c r="M221" s="409"/>
      <c r="N221" s="410"/>
      <c r="O221" s="410"/>
      <c r="P221" s="79"/>
    </row>
    <row r="222" ht="22.5" customHeight="1">
      <c r="A222" s="49"/>
      <c r="C222" s="414">
        <v>45967.0</v>
      </c>
      <c r="D222" s="411" t="s">
        <v>400</v>
      </c>
      <c r="E222" s="424">
        <v>1693000.0</v>
      </c>
      <c r="F222" s="198"/>
      <c r="G222" s="413"/>
      <c r="H222" s="408"/>
      <c r="I222" s="198"/>
      <c r="J222" s="198"/>
      <c r="K222" s="198"/>
      <c r="L222" s="409"/>
      <c r="M222" s="409"/>
      <c r="N222" s="410"/>
      <c r="O222" s="410"/>
      <c r="P222" s="79"/>
    </row>
    <row r="223" ht="22.5" customHeight="1">
      <c r="A223" s="49"/>
      <c r="C223" s="414">
        <v>45967.0</v>
      </c>
      <c r="D223" s="411" t="s">
        <v>386</v>
      </c>
      <c r="E223" s="424">
        <v>1660200.0</v>
      </c>
      <c r="F223" s="198"/>
      <c r="G223" s="413"/>
      <c r="H223" s="408"/>
      <c r="I223" s="198"/>
      <c r="J223" s="198"/>
      <c r="K223" s="198"/>
      <c r="L223" s="409"/>
      <c r="M223" s="409"/>
      <c r="N223" s="410"/>
      <c r="O223" s="410"/>
      <c r="P223" s="79"/>
    </row>
    <row r="224" ht="22.5" customHeight="1">
      <c r="A224" s="49"/>
      <c r="C224" s="414">
        <v>45968.0</v>
      </c>
      <c r="D224" s="411" t="s">
        <v>2369</v>
      </c>
      <c r="E224" s="424">
        <v>1.7E7</v>
      </c>
      <c r="F224" s="198"/>
      <c r="G224" s="413"/>
      <c r="H224" s="408"/>
      <c r="I224" s="198"/>
      <c r="J224" s="198"/>
      <c r="K224" s="198"/>
      <c r="L224" s="409"/>
      <c r="M224" s="409"/>
      <c r="N224" s="410"/>
      <c r="O224" s="410"/>
      <c r="P224" s="79"/>
    </row>
    <row r="225" ht="22.5" customHeight="1">
      <c r="A225" s="49"/>
      <c r="C225" s="414">
        <v>45969.0</v>
      </c>
      <c r="D225" s="411" t="s">
        <v>97</v>
      </c>
      <c r="E225" s="424">
        <v>3.0127814E7</v>
      </c>
      <c r="F225" s="198"/>
      <c r="G225" s="413"/>
      <c r="H225" s="408"/>
      <c r="I225" s="198"/>
      <c r="J225" s="198"/>
      <c r="K225" s="198"/>
      <c r="L225" s="409"/>
      <c r="M225" s="409"/>
      <c r="N225" s="410"/>
      <c r="O225" s="410"/>
      <c r="P225" s="79"/>
    </row>
    <row r="226" ht="22.5" customHeight="1">
      <c r="A226" s="49"/>
      <c r="C226" s="414">
        <v>45972.0</v>
      </c>
      <c r="D226" s="411" t="s">
        <v>335</v>
      </c>
      <c r="E226" s="424">
        <v>5.0E7</v>
      </c>
      <c r="F226" s="198"/>
      <c r="G226" s="413"/>
      <c r="H226" s="408"/>
      <c r="I226" s="198"/>
      <c r="J226" s="198"/>
      <c r="K226" s="198"/>
      <c r="L226" s="409"/>
      <c r="M226" s="409"/>
      <c r="N226" s="410"/>
      <c r="O226" s="410"/>
      <c r="P226" s="79"/>
    </row>
    <row r="227" ht="22.5" customHeight="1">
      <c r="A227" s="49"/>
      <c r="C227" s="414">
        <v>45972.0</v>
      </c>
      <c r="D227" s="411" t="s">
        <v>335</v>
      </c>
      <c r="E227" s="424">
        <v>8000000.0</v>
      </c>
      <c r="F227" s="198"/>
      <c r="G227" s="413"/>
      <c r="H227" s="408"/>
      <c r="I227" s="198"/>
      <c r="J227" s="198"/>
      <c r="K227" s="198"/>
      <c r="L227" s="409"/>
      <c r="M227" s="409"/>
      <c r="N227" s="410"/>
      <c r="O227" s="410"/>
      <c r="P227" s="79"/>
    </row>
    <row r="228" ht="22.5" customHeight="1">
      <c r="A228" s="49"/>
      <c r="C228" s="414">
        <v>45973.0</v>
      </c>
      <c r="D228" s="411" t="s">
        <v>335</v>
      </c>
      <c r="E228" s="424">
        <v>1.0E7</v>
      </c>
      <c r="F228" s="198"/>
      <c r="G228" s="413"/>
      <c r="H228" s="408"/>
      <c r="I228" s="198"/>
      <c r="J228" s="198"/>
      <c r="K228" s="198"/>
      <c r="L228" s="409"/>
      <c r="M228" s="409"/>
      <c r="N228" s="410"/>
      <c r="O228" s="410"/>
      <c r="P228" s="79"/>
    </row>
    <row r="229" ht="22.5" customHeight="1">
      <c r="A229" s="49"/>
      <c r="C229" s="414">
        <v>45974.0</v>
      </c>
      <c r="D229" s="411" t="s">
        <v>386</v>
      </c>
      <c r="E229" s="424">
        <v>1000000.0</v>
      </c>
      <c r="F229" s="198"/>
      <c r="G229" s="415"/>
      <c r="H229" s="408"/>
      <c r="I229" s="198"/>
      <c r="J229" s="198"/>
      <c r="K229" s="198"/>
      <c r="L229" s="409"/>
      <c r="M229" s="409"/>
      <c r="N229" s="410"/>
      <c r="O229" s="410"/>
      <c r="P229" s="79"/>
    </row>
    <row r="230" ht="22.5" customHeight="1">
      <c r="A230" s="49"/>
      <c r="C230" s="414">
        <v>45975.0</v>
      </c>
      <c r="D230" s="411" t="s">
        <v>110</v>
      </c>
      <c r="E230" s="424">
        <v>2646200.0</v>
      </c>
      <c r="F230" s="198"/>
      <c r="G230" s="415"/>
      <c r="H230" s="408"/>
      <c r="I230" s="198"/>
      <c r="J230" s="198"/>
      <c r="K230" s="198"/>
      <c r="L230" s="409"/>
      <c r="M230" s="409"/>
      <c r="N230" s="410"/>
      <c r="O230" s="410"/>
      <c r="P230" s="79"/>
    </row>
    <row r="231" ht="22.5" customHeight="1">
      <c r="A231" s="49"/>
      <c r="C231" s="414">
        <v>45976.0</v>
      </c>
      <c r="D231" s="411" t="s">
        <v>123</v>
      </c>
      <c r="E231" s="424">
        <v>4.13206E7</v>
      </c>
      <c r="F231" s="198"/>
      <c r="G231" s="415"/>
      <c r="H231" s="408"/>
      <c r="I231" s="198"/>
      <c r="J231" s="198"/>
      <c r="K231" s="198"/>
      <c r="L231" s="409"/>
      <c r="M231" s="409"/>
      <c r="N231" s="410"/>
      <c r="O231" s="410"/>
      <c r="P231" s="79"/>
    </row>
    <row r="232" ht="22.5" customHeight="1">
      <c r="A232" s="49"/>
      <c r="C232" s="400">
        <v>45978.0</v>
      </c>
      <c r="D232" s="394" t="s">
        <v>81</v>
      </c>
      <c r="E232" s="395">
        <v>2584000.0</v>
      </c>
      <c r="F232" s="198"/>
      <c r="G232" s="415"/>
      <c r="H232" s="408"/>
      <c r="I232" s="198"/>
      <c r="J232" s="198"/>
      <c r="K232" s="198"/>
      <c r="L232" s="409"/>
      <c r="M232" s="409"/>
      <c r="N232" s="410"/>
      <c r="O232" s="410"/>
      <c r="P232" s="79"/>
    </row>
    <row r="233" ht="22.5" customHeight="1">
      <c r="A233" s="49"/>
      <c r="C233" s="414">
        <v>45979.0</v>
      </c>
      <c r="D233" s="411" t="s">
        <v>97</v>
      </c>
      <c r="E233" s="424">
        <v>5.0E7</v>
      </c>
      <c r="F233" s="198"/>
      <c r="G233" s="415"/>
      <c r="H233" s="408"/>
      <c r="I233" s="198"/>
      <c r="J233" s="198"/>
      <c r="K233" s="198"/>
      <c r="L233" s="409"/>
      <c r="M233" s="409"/>
      <c r="N233" s="410"/>
      <c r="O233" s="410"/>
      <c r="P233" s="79"/>
    </row>
    <row r="234" ht="22.5" customHeight="1">
      <c r="A234" s="49"/>
      <c r="C234" s="384">
        <v>45980.0</v>
      </c>
      <c r="D234" s="394" t="s">
        <v>349</v>
      </c>
      <c r="E234" s="395">
        <v>2180000.0</v>
      </c>
      <c r="F234" s="198"/>
      <c r="G234" s="415"/>
      <c r="H234" s="408"/>
      <c r="I234" s="198"/>
      <c r="J234" s="198"/>
      <c r="K234" s="198"/>
      <c r="L234" s="409"/>
      <c r="M234" s="409"/>
      <c r="N234" s="410"/>
      <c r="O234" s="410"/>
      <c r="P234" s="79"/>
    </row>
    <row r="235" ht="22.5" customHeight="1">
      <c r="A235" s="49"/>
      <c r="C235" s="414">
        <v>45981.0</v>
      </c>
      <c r="D235" s="411" t="s">
        <v>386</v>
      </c>
      <c r="E235" s="424">
        <v>2788800.0</v>
      </c>
      <c r="F235" s="198"/>
      <c r="G235" s="415"/>
      <c r="H235" s="408"/>
      <c r="I235" s="198"/>
      <c r="J235" s="198"/>
      <c r="K235" s="198"/>
      <c r="L235" s="409"/>
      <c r="M235" s="409"/>
      <c r="N235" s="410"/>
      <c r="O235" s="410"/>
      <c r="P235" s="79"/>
    </row>
    <row r="236" ht="22.5" customHeight="1">
      <c r="A236" s="49"/>
      <c r="C236" s="414">
        <v>45982.0</v>
      </c>
      <c r="D236" s="425" t="s">
        <v>81</v>
      </c>
      <c r="E236" s="424">
        <v>6.86321E7</v>
      </c>
      <c r="F236" s="198"/>
      <c r="G236" s="415"/>
      <c r="H236" s="408"/>
      <c r="I236" s="198"/>
      <c r="J236" s="198"/>
      <c r="K236" s="198"/>
      <c r="L236" s="409"/>
      <c r="M236" s="409"/>
      <c r="N236" s="410"/>
      <c r="O236" s="410"/>
      <c r="P236" s="79"/>
    </row>
    <row r="237" ht="22.5" customHeight="1">
      <c r="A237" s="49"/>
      <c r="C237" s="414">
        <v>45982.0</v>
      </c>
      <c r="D237" s="411" t="s">
        <v>97</v>
      </c>
      <c r="E237" s="424">
        <v>1.0E7</v>
      </c>
      <c r="F237" s="198"/>
      <c r="G237" s="415"/>
      <c r="H237" s="408"/>
      <c r="I237" s="198"/>
      <c r="J237" s="198"/>
      <c r="K237" s="198"/>
      <c r="L237" s="409"/>
      <c r="M237" s="409"/>
      <c r="N237" s="410"/>
      <c r="O237" s="410"/>
      <c r="P237" s="79"/>
    </row>
    <row r="238" ht="22.5" customHeight="1">
      <c r="A238" s="49"/>
      <c r="C238" s="414">
        <v>45985.0</v>
      </c>
      <c r="D238" s="411" t="s">
        <v>136</v>
      </c>
      <c r="E238" s="424">
        <v>1091500.0</v>
      </c>
      <c r="F238" s="198"/>
      <c r="G238" s="415"/>
      <c r="H238" s="408"/>
      <c r="I238" s="198"/>
      <c r="J238" s="198"/>
      <c r="K238" s="198"/>
      <c r="L238" s="409"/>
      <c r="M238" s="409"/>
      <c r="N238" s="410"/>
      <c r="O238" s="410"/>
      <c r="P238" s="79"/>
    </row>
    <row r="239" ht="22.5" customHeight="1">
      <c r="A239" s="49"/>
      <c r="C239" s="414">
        <v>45985.0</v>
      </c>
      <c r="D239" s="411" t="s">
        <v>123</v>
      </c>
      <c r="E239" s="424">
        <v>1.0E7</v>
      </c>
      <c r="F239" s="198"/>
      <c r="G239" s="415"/>
      <c r="H239" s="408"/>
      <c r="I239" s="198"/>
      <c r="J239" s="198"/>
      <c r="K239" s="198"/>
      <c r="L239" s="409"/>
      <c r="M239" s="409"/>
      <c r="N239" s="410"/>
      <c r="O239" s="410"/>
      <c r="P239" s="79"/>
    </row>
    <row r="240" ht="22.5" customHeight="1">
      <c r="A240" s="49"/>
      <c r="C240" s="414">
        <v>45986.0</v>
      </c>
      <c r="D240" s="411" t="s">
        <v>372</v>
      </c>
      <c r="E240" s="424">
        <v>4349000.0</v>
      </c>
      <c r="F240" s="198"/>
      <c r="G240" s="415"/>
      <c r="H240" s="408"/>
      <c r="I240" s="198"/>
      <c r="J240" s="198"/>
      <c r="K240" s="198"/>
      <c r="L240" s="409"/>
      <c r="M240" s="409"/>
      <c r="N240" s="410"/>
      <c r="O240" s="410"/>
      <c r="P240" s="79"/>
    </row>
    <row r="241" ht="22.5" customHeight="1">
      <c r="A241" s="49"/>
      <c r="C241" s="414">
        <v>45986.0</v>
      </c>
      <c r="D241" s="411" t="s">
        <v>123</v>
      </c>
      <c r="E241" s="424">
        <v>1.0E7</v>
      </c>
      <c r="F241" s="198"/>
      <c r="G241" s="415"/>
      <c r="H241" s="408"/>
      <c r="I241" s="198"/>
      <c r="J241" s="198"/>
      <c r="K241" s="198"/>
      <c r="L241" s="409"/>
      <c r="M241" s="409"/>
      <c r="N241" s="410"/>
      <c r="O241" s="410"/>
      <c r="P241" s="79"/>
    </row>
    <row r="242" ht="22.5" customHeight="1">
      <c r="A242" s="49"/>
      <c r="C242" s="414">
        <v>45987.0</v>
      </c>
      <c r="D242" s="426" t="s">
        <v>372</v>
      </c>
      <c r="E242" s="395">
        <v>3000000.0</v>
      </c>
      <c r="F242" s="198"/>
      <c r="G242" s="415"/>
      <c r="H242" s="408"/>
      <c r="I242" s="198"/>
      <c r="J242" s="198"/>
      <c r="K242" s="198"/>
      <c r="L242" s="409"/>
      <c r="M242" s="409"/>
      <c r="N242" s="410"/>
      <c r="O242" s="410"/>
      <c r="P242" s="79"/>
    </row>
    <row r="243" ht="22.5" customHeight="1">
      <c r="A243" s="49"/>
      <c r="C243" s="414">
        <v>45987.0</v>
      </c>
      <c r="D243" s="426" t="s">
        <v>123</v>
      </c>
      <c r="E243" s="424">
        <v>5000000.0</v>
      </c>
      <c r="F243" s="198"/>
      <c r="G243" s="415"/>
      <c r="H243" s="408"/>
      <c r="I243" s="198"/>
      <c r="J243" s="198"/>
      <c r="K243" s="198"/>
      <c r="L243" s="409"/>
      <c r="M243" s="409"/>
      <c r="N243" s="410"/>
      <c r="O243" s="410"/>
      <c r="P243" s="79"/>
    </row>
    <row r="244" ht="22.5" customHeight="1">
      <c r="A244" s="49"/>
      <c r="C244" s="414">
        <v>45988.0</v>
      </c>
      <c r="D244" s="411" t="s">
        <v>386</v>
      </c>
      <c r="E244" s="393">
        <v>3597600.0</v>
      </c>
      <c r="F244" s="198"/>
      <c r="G244" s="415"/>
      <c r="H244" s="408"/>
      <c r="I244" s="198"/>
      <c r="J244" s="198"/>
      <c r="K244" s="198"/>
      <c r="L244" s="409"/>
      <c r="M244" s="409"/>
      <c r="N244" s="410"/>
      <c r="O244" s="410"/>
      <c r="P244" s="79"/>
    </row>
    <row r="245" ht="22.5" customHeight="1">
      <c r="A245" s="49"/>
      <c r="C245" s="414">
        <v>45988.0</v>
      </c>
      <c r="D245" s="411" t="s">
        <v>123</v>
      </c>
      <c r="E245" s="424">
        <v>5000000.0</v>
      </c>
      <c r="F245" s="198"/>
      <c r="G245" s="415"/>
      <c r="H245" s="408"/>
      <c r="I245" s="198"/>
      <c r="J245" s="198"/>
      <c r="K245" s="198"/>
      <c r="L245" s="409"/>
      <c r="M245" s="409"/>
      <c r="N245" s="410"/>
      <c r="O245" s="410"/>
      <c r="P245" s="79"/>
    </row>
    <row r="246" ht="22.5" customHeight="1">
      <c r="A246" s="49"/>
      <c r="C246" s="427">
        <v>45989.0</v>
      </c>
      <c r="D246" s="69" t="s">
        <v>123</v>
      </c>
      <c r="E246" s="393">
        <v>7985000.0</v>
      </c>
      <c r="F246" s="198"/>
      <c r="G246" s="415"/>
      <c r="H246" s="408"/>
      <c r="I246" s="198"/>
      <c r="J246" s="198"/>
      <c r="K246" s="198"/>
      <c r="L246" s="409"/>
      <c r="M246" s="409"/>
      <c r="N246" s="410"/>
      <c r="O246" s="410"/>
      <c r="P246" s="79"/>
    </row>
    <row r="247" ht="22.5" customHeight="1">
      <c r="A247" s="49"/>
      <c r="C247" s="400">
        <v>45994.0</v>
      </c>
      <c r="D247" s="419" t="s">
        <v>335</v>
      </c>
      <c r="E247" s="428">
        <v>2.767E7</v>
      </c>
      <c r="F247" s="198"/>
      <c r="G247" s="415"/>
      <c r="H247" s="408"/>
      <c r="I247" s="198"/>
      <c r="J247" s="198"/>
      <c r="K247" s="198"/>
      <c r="L247" s="409"/>
      <c r="M247" s="409"/>
      <c r="N247" s="410"/>
      <c r="O247" s="410"/>
      <c r="P247" s="79"/>
    </row>
    <row r="248" ht="22.5" customHeight="1">
      <c r="A248" s="49"/>
      <c r="C248" s="400">
        <v>45994.0</v>
      </c>
      <c r="D248" s="419" t="s">
        <v>123</v>
      </c>
      <c r="E248" s="428">
        <v>1.68533E7</v>
      </c>
      <c r="F248" s="198"/>
      <c r="G248" s="415"/>
      <c r="H248" s="408"/>
      <c r="I248" s="198"/>
      <c r="J248" s="198"/>
      <c r="K248" s="198"/>
      <c r="L248" s="409"/>
      <c r="M248" s="409"/>
      <c r="N248" s="410"/>
      <c r="O248" s="410"/>
      <c r="P248" s="79"/>
    </row>
    <row r="249" ht="22.5" customHeight="1">
      <c r="A249" s="49"/>
      <c r="C249" s="400">
        <v>45997.0</v>
      </c>
      <c r="D249" s="419" t="s">
        <v>97</v>
      </c>
      <c r="E249" s="420">
        <v>2.212E7</v>
      </c>
      <c r="F249" s="198"/>
      <c r="G249" s="407"/>
      <c r="H249" s="408"/>
      <c r="I249" s="198"/>
      <c r="J249" s="198"/>
      <c r="K249" s="198"/>
      <c r="L249" s="409"/>
      <c r="M249" s="409"/>
      <c r="N249" s="410"/>
      <c r="O249" s="410"/>
      <c r="P249" s="79"/>
    </row>
    <row r="250" ht="22.5" customHeight="1">
      <c r="A250" s="49"/>
      <c r="C250" s="400">
        <v>46000.0</v>
      </c>
      <c r="D250" s="394" t="s">
        <v>81</v>
      </c>
      <c r="E250" s="423">
        <v>8.0E7</v>
      </c>
      <c r="F250" s="198"/>
      <c r="G250" s="407"/>
      <c r="H250" s="408"/>
      <c r="I250" s="198"/>
      <c r="J250" s="198"/>
      <c r="K250" s="198"/>
      <c r="L250" s="409"/>
      <c r="M250" s="409"/>
      <c r="N250" s="410"/>
      <c r="O250" s="410"/>
      <c r="P250" s="79"/>
    </row>
    <row r="251" ht="22.5" customHeight="1">
      <c r="A251" s="49"/>
      <c r="C251" s="400">
        <v>46001.0</v>
      </c>
      <c r="D251" s="69" t="s">
        <v>198</v>
      </c>
      <c r="E251" s="393">
        <v>1.0084467E7</v>
      </c>
      <c r="F251" s="198"/>
      <c r="G251" s="407"/>
      <c r="H251" s="408"/>
      <c r="I251" s="198"/>
      <c r="J251" s="198"/>
      <c r="K251" s="198"/>
      <c r="L251" s="409"/>
      <c r="M251" s="409"/>
      <c r="N251" s="410"/>
      <c r="O251" s="410"/>
      <c r="P251" s="79"/>
    </row>
    <row r="252" ht="22.5" customHeight="1">
      <c r="A252" s="49"/>
      <c r="C252" s="400">
        <v>46002.0</v>
      </c>
      <c r="D252" s="69" t="s">
        <v>386</v>
      </c>
      <c r="E252" s="393">
        <v>3261200.0</v>
      </c>
      <c r="F252" s="198"/>
      <c r="G252" s="407"/>
      <c r="H252" s="408"/>
      <c r="I252" s="198"/>
      <c r="J252" s="198"/>
      <c r="K252" s="198"/>
      <c r="L252" s="409"/>
      <c r="M252" s="409"/>
      <c r="N252" s="410"/>
      <c r="O252" s="410"/>
      <c r="P252" s="79"/>
    </row>
    <row r="253" ht="22.5" customHeight="1">
      <c r="A253" s="49"/>
      <c r="C253" s="400">
        <v>46006.0</v>
      </c>
      <c r="D253" s="69" t="s">
        <v>81</v>
      </c>
      <c r="E253" s="393">
        <v>418000.0</v>
      </c>
      <c r="F253" s="198"/>
      <c r="G253" s="407"/>
      <c r="H253" s="408"/>
      <c r="I253" s="198"/>
      <c r="J253" s="198"/>
      <c r="K253" s="198"/>
      <c r="L253" s="409"/>
      <c r="M253" s="409"/>
      <c r="N253" s="410"/>
      <c r="O253" s="410"/>
      <c r="P253" s="79"/>
    </row>
    <row r="254" ht="22.5" customHeight="1">
      <c r="A254" s="49"/>
      <c r="C254" s="400">
        <v>46006.0</v>
      </c>
      <c r="D254" s="419" t="s">
        <v>97</v>
      </c>
      <c r="E254" s="393">
        <v>5.1676993E7</v>
      </c>
      <c r="F254" s="198"/>
      <c r="G254" s="407"/>
      <c r="H254" s="408"/>
      <c r="I254" s="198"/>
      <c r="J254" s="198"/>
      <c r="K254" s="198"/>
      <c r="L254" s="409"/>
      <c r="M254" s="409"/>
      <c r="N254" s="410"/>
      <c r="O254" s="410"/>
      <c r="P254" s="79"/>
    </row>
    <row r="255" ht="22.5" customHeight="1">
      <c r="A255" s="49"/>
      <c r="C255" s="400">
        <v>46009.0</v>
      </c>
      <c r="D255" s="69" t="s">
        <v>400</v>
      </c>
      <c r="E255" s="393">
        <v>1930000.0</v>
      </c>
      <c r="F255" s="198"/>
      <c r="G255" s="407"/>
      <c r="H255" s="408"/>
      <c r="I255" s="198"/>
      <c r="J255" s="198"/>
      <c r="K255" s="198"/>
      <c r="L255" s="409"/>
      <c r="M255" s="409"/>
      <c r="N255" s="410"/>
      <c r="O255" s="410"/>
      <c r="P255" s="79"/>
    </row>
    <row r="256" ht="22.5" customHeight="1">
      <c r="A256" s="49"/>
      <c r="C256" s="400">
        <v>46014.0</v>
      </c>
      <c r="D256" s="69" t="s">
        <v>123</v>
      </c>
      <c r="E256" s="393">
        <v>7.9445E7</v>
      </c>
      <c r="F256" s="198"/>
      <c r="G256" s="407"/>
      <c r="H256" s="408"/>
      <c r="I256" s="198"/>
      <c r="J256" s="198"/>
      <c r="K256" s="198"/>
      <c r="L256" s="409"/>
      <c r="M256" s="409"/>
      <c r="N256" s="410"/>
      <c r="O256" s="410"/>
      <c r="P256" s="79"/>
    </row>
    <row r="257" ht="22.5" customHeight="1">
      <c r="A257" s="49"/>
      <c r="C257" s="400">
        <v>46022.0</v>
      </c>
      <c r="D257" s="69" t="s">
        <v>335</v>
      </c>
      <c r="E257" s="393">
        <v>5.0E7</v>
      </c>
      <c r="F257" s="198"/>
      <c r="G257" s="407"/>
      <c r="H257" s="408"/>
      <c r="I257" s="198"/>
      <c r="J257" s="198"/>
      <c r="K257" s="198"/>
      <c r="L257" s="409"/>
      <c r="M257" s="409"/>
      <c r="N257" s="410"/>
      <c r="O257" s="410"/>
      <c r="P257" s="79"/>
    </row>
    <row r="258" ht="22.5" customHeight="1">
      <c r="A258" s="49"/>
      <c r="C258" s="400">
        <v>46027.0</v>
      </c>
      <c r="D258" s="69" t="s">
        <v>335</v>
      </c>
      <c r="E258" s="393">
        <v>5.081E7</v>
      </c>
      <c r="F258" s="198"/>
      <c r="G258" s="407"/>
      <c r="H258" s="408"/>
      <c r="I258" s="429">
        <v>46028.0</v>
      </c>
      <c r="J258" s="13" t="s">
        <v>386</v>
      </c>
      <c r="K258" s="396">
        <v>3597600.0</v>
      </c>
      <c r="L258" s="409"/>
      <c r="M258" s="409"/>
      <c r="N258" s="410"/>
      <c r="O258" s="410"/>
      <c r="P258" s="79"/>
    </row>
    <row r="259" ht="22.5" customHeight="1">
      <c r="A259" s="49"/>
      <c r="C259" s="400">
        <v>46028.0</v>
      </c>
      <c r="D259" s="69" t="s">
        <v>136</v>
      </c>
      <c r="E259" s="393">
        <v>2308700.0</v>
      </c>
      <c r="F259" s="198"/>
      <c r="G259" s="407"/>
      <c r="H259" s="408"/>
      <c r="I259" s="429">
        <v>46037.0</v>
      </c>
      <c r="J259" s="13" t="s">
        <v>386</v>
      </c>
      <c r="K259" s="396">
        <v>4000000.0</v>
      </c>
      <c r="L259" s="409"/>
      <c r="M259" s="409"/>
      <c r="N259" s="410"/>
      <c r="O259" s="410"/>
      <c r="P259" s="79"/>
    </row>
    <row r="260" ht="22.5" customHeight="1">
      <c r="A260" s="49"/>
      <c r="C260" s="400">
        <v>46028.0</v>
      </c>
      <c r="D260" s="69" t="s">
        <v>123</v>
      </c>
      <c r="E260" s="393">
        <v>9800000.0</v>
      </c>
      <c r="F260" s="198"/>
      <c r="G260" s="407"/>
      <c r="H260" s="408"/>
      <c r="I260" s="429">
        <v>46044.0</v>
      </c>
      <c r="J260" s="13" t="s">
        <v>386</v>
      </c>
      <c r="K260" s="396">
        <v>1000000.0</v>
      </c>
      <c r="L260" s="409"/>
      <c r="M260" s="409"/>
      <c r="N260" s="410"/>
      <c r="O260" s="410"/>
      <c r="P260" s="79"/>
    </row>
    <row r="261" ht="22.5" customHeight="1">
      <c r="A261" s="49"/>
      <c r="C261" s="400">
        <v>46034.0</v>
      </c>
      <c r="D261" s="69" t="s">
        <v>81</v>
      </c>
      <c r="E261" s="393">
        <v>5.0E7</v>
      </c>
      <c r="F261" s="198"/>
      <c r="G261" s="407"/>
      <c r="H261" s="408"/>
      <c r="I261" s="429">
        <v>46051.0</v>
      </c>
      <c r="J261" s="13" t="s">
        <v>386</v>
      </c>
      <c r="K261" s="396">
        <v>1695500.0</v>
      </c>
      <c r="L261" s="409"/>
      <c r="M261" s="409"/>
      <c r="N261" s="410"/>
      <c r="O261" s="410"/>
      <c r="P261" s="79"/>
    </row>
    <row r="262" ht="22.5" customHeight="1">
      <c r="A262" s="49"/>
      <c r="C262" s="400">
        <v>46034.0</v>
      </c>
      <c r="D262" s="69" t="s">
        <v>361</v>
      </c>
      <c r="E262" s="393">
        <v>2600000.0</v>
      </c>
      <c r="F262" s="198"/>
      <c r="G262" s="407"/>
      <c r="H262" s="408"/>
      <c r="I262" s="429">
        <v>46065.0</v>
      </c>
      <c r="J262" s="13" t="s">
        <v>386</v>
      </c>
      <c r="K262" s="221">
        <v>3700000.0</v>
      </c>
      <c r="L262" s="409"/>
      <c r="M262" s="409"/>
      <c r="N262" s="410"/>
      <c r="O262" s="410"/>
      <c r="P262" s="79"/>
    </row>
    <row r="263" ht="22.5" customHeight="1">
      <c r="A263" s="49"/>
      <c r="C263" s="400">
        <v>46035.0</v>
      </c>
      <c r="D263" s="69" t="s">
        <v>110</v>
      </c>
      <c r="E263" s="393">
        <v>9800000.0</v>
      </c>
      <c r="F263" s="198"/>
      <c r="G263" s="407"/>
      <c r="H263" s="408"/>
      <c r="I263" s="429">
        <v>46072.0</v>
      </c>
      <c r="J263" s="221" t="s">
        <v>2430</v>
      </c>
      <c r="K263" s="221">
        <v>1930000.0</v>
      </c>
      <c r="L263" s="409"/>
      <c r="M263" s="409"/>
      <c r="N263" s="410"/>
      <c r="O263" s="410"/>
      <c r="P263" s="79"/>
    </row>
    <row r="264" ht="22.5" customHeight="1">
      <c r="A264" s="49"/>
      <c r="C264" s="400">
        <v>46036.0</v>
      </c>
      <c r="D264" s="69" t="s">
        <v>412</v>
      </c>
      <c r="E264" s="393">
        <v>970000.0</v>
      </c>
      <c r="F264" s="198"/>
      <c r="G264" s="407"/>
      <c r="H264" s="408"/>
      <c r="I264" s="429">
        <v>46073.0</v>
      </c>
      <c r="J264" s="13" t="s">
        <v>386</v>
      </c>
      <c r="K264" s="221">
        <v>582000.0</v>
      </c>
      <c r="L264" s="409"/>
      <c r="M264" s="409"/>
      <c r="N264" s="410"/>
      <c r="O264" s="410"/>
      <c r="P264" s="79"/>
    </row>
    <row r="265" ht="22.5" customHeight="1">
      <c r="A265" s="49"/>
      <c r="C265" s="400">
        <v>46038.0</v>
      </c>
      <c r="D265" s="69" t="s">
        <v>97</v>
      </c>
      <c r="E265" s="393">
        <v>2.1675E7</v>
      </c>
      <c r="F265" s="198"/>
      <c r="G265" s="407"/>
      <c r="H265" s="408"/>
      <c r="I265" s="429">
        <v>46086.0</v>
      </c>
      <c r="J265" s="13" t="s">
        <v>386</v>
      </c>
      <c r="K265" s="221">
        <v>4310700.0</v>
      </c>
      <c r="L265" s="409"/>
      <c r="M265" s="409"/>
      <c r="N265" s="410"/>
      <c r="O265" s="410"/>
      <c r="P265" s="79"/>
    </row>
    <row r="266" ht="22.5" customHeight="1">
      <c r="A266" s="49"/>
      <c r="C266" s="400">
        <v>46039.0</v>
      </c>
      <c r="D266" s="69" t="s">
        <v>123</v>
      </c>
      <c r="E266" s="393">
        <v>3.0E7</v>
      </c>
      <c r="F266" s="198"/>
      <c r="G266" s="407"/>
      <c r="H266" s="408"/>
      <c r="I266" s="429">
        <v>46091.0</v>
      </c>
      <c r="J266" s="13" t="s">
        <v>386</v>
      </c>
      <c r="K266" s="221">
        <v>1615800.0</v>
      </c>
      <c r="L266" s="409"/>
      <c r="M266" s="409"/>
      <c r="N266" s="410"/>
      <c r="O266" s="410"/>
      <c r="P266" s="79"/>
    </row>
    <row r="267" ht="22.5" customHeight="1">
      <c r="A267" s="49"/>
      <c r="C267" s="400">
        <v>46041.0</v>
      </c>
      <c r="D267" s="69" t="s">
        <v>110</v>
      </c>
      <c r="E267" s="393">
        <v>1.532E7</v>
      </c>
      <c r="F267" s="198"/>
      <c r="G267" s="407"/>
      <c r="H267" s="408"/>
      <c r="I267" s="429">
        <v>46099.0</v>
      </c>
      <c r="J267" s="13" t="s">
        <v>386</v>
      </c>
      <c r="K267" s="221">
        <v>2888800.0</v>
      </c>
      <c r="L267" s="409"/>
      <c r="M267" s="409"/>
      <c r="N267" s="410"/>
      <c r="O267" s="410"/>
      <c r="P267" s="79"/>
    </row>
    <row r="268" ht="22.5" customHeight="1">
      <c r="A268" s="49"/>
      <c r="C268" s="400">
        <v>46041.0</v>
      </c>
      <c r="D268" s="69" t="s">
        <v>361</v>
      </c>
      <c r="E268" s="393">
        <v>4000000.0</v>
      </c>
      <c r="F268" s="198"/>
      <c r="G268" s="407"/>
      <c r="H268" s="408"/>
      <c r="I268" s="429">
        <v>46108.0</v>
      </c>
      <c r="J268" s="13" t="s">
        <v>386</v>
      </c>
      <c r="K268" s="221">
        <v>6000000.0</v>
      </c>
      <c r="L268" s="409"/>
      <c r="M268" s="409"/>
      <c r="N268" s="410"/>
      <c r="O268" s="410"/>
      <c r="P268" s="79"/>
    </row>
    <row r="269" ht="22.5" customHeight="1">
      <c r="A269" s="49"/>
      <c r="C269" s="400">
        <v>46043.0</v>
      </c>
      <c r="D269" s="69" t="s">
        <v>81</v>
      </c>
      <c r="E269" s="393">
        <v>6.6339E7</v>
      </c>
      <c r="F269" s="198"/>
      <c r="G269" s="407"/>
      <c r="H269" s="408"/>
      <c r="I269" s="429">
        <v>46114.0</v>
      </c>
      <c r="J269" s="13" t="s">
        <v>386</v>
      </c>
      <c r="K269" s="221">
        <v>2888000.0</v>
      </c>
      <c r="L269" s="409"/>
      <c r="M269" s="409"/>
      <c r="N269" s="410"/>
      <c r="O269" s="410"/>
      <c r="P269" s="79"/>
    </row>
    <row r="270" ht="22.5" customHeight="1">
      <c r="A270" s="49"/>
      <c r="C270" s="400">
        <v>46046.0</v>
      </c>
      <c r="D270" s="69" t="s">
        <v>361</v>
      </c>
      <c r="E270" s="393">
        <v>5660000.0</v>
      </c>
      <c r="F270" s="198"/>
      <c r="G270" s="407"/>
      <c r="H270" s="408"/>
      <c r="I270" s="429">
        <v>46130.0</v>
      </c>
      <c r="J270" s="13" t="s">
        <v>386</v>
      </c>
      <c r="K270" s="221">
        <v>6100000.0</v>
      </c>
      <c r="L270" s="409"/>
      <c r="M270" s="409"/>
      <c r="N270" s="410"/>
      <c r="O270" s="410"/>
      <c r="P270" s="79"/>
    </row>
    <row r="271" ht="22.5" customHeight="1">
      <c r="A271" s="49"/>
      <c r="C271" s="400">
        <v>46046.0</v>
      </c>
      <c r="D271" s="69" t="s">
        <v>110</v>
      </c>
      <c r="E271" s="393">
        <v>4000000.0</v>
      </c>
      <c r="F271" s="198"/>
      <c r="G271" s="407"/>
      <c r="H271" s="408"/>
      <c r="I271" s="429">
        <v>46148.0</v>
      </c>
      <c r="J271" s="13" t="s">
        <v>386</v>
      </c>
      <c r="K271" s="221">
        <v>4000000.0</v>
      </c>
      <c r="L271" s="409"/>
      <c r="M271" s="409"/>
      <c r="N271" s="410"/>
      <c r="O271" s="410"/>
      <c r="P271" s="79"/>
    </row>
    <row r="272" ht="22.5" customHeight="1">
      <c r="A272" s="49"/>
      <c r="C272" s="400">
        <v>46048.0</v>
      </c>
      <c r="D272" s="69" t="s">
        <v>110</v>
      </c>
      <c r="E272" s="393">
        <v>6000000.0</v>
      </c>
      <c r="F272" s="198"/>
      <c r="G272" s="407"/>
      <c r="H272" s="408"/>
      <c r="I272" s="429">
        <v>46153.0</v>
      </c>
      <c r="J272" s="13" t="s">
        <v>386</v>
      </c>
      <c r="K272" s="221">
        <v>1000000.0</v>
      </c>
      <c r="L272" s="409"/>
      <c r="M272" s="409"/>
      <c r="N272" s="410"/>
      <c r="O272" s="410"/>
      <c r="P272" s="79"/>
    </row>
    <row r="273" ht="22.5" customHeight="1">
      <c r="A273" s="49"/>
      <c r="C273" s="400">
        <v>46049.0</v>
      </c>
      <c r="D273" s="69" t="s">
        <v>110</v>
      </c>
      <c r="E273" s="393">
        <v>2217120.0</v>
      </c>
      <c r="F273" s="198"/>
      <c r="G273" s="407"/>
      <c r="H273" s="408"/>
      <c r="I273" s="429">
        <v>46156.0</v>
      </c>
      <c r="J273" s="221" t="s">
        <v>2430</v>
      </c>
      <c r="K273" s="221">
        <v>965000.0</v>
      </c>
      <c r="L273" s="409"/>
      <c r="M273" s="409"/>
      <c r="N273" s="410"/>
      <c r="O273" s="410"/>
      <c r="P273" s="79"/>
    </row>
    <row r="274" ht="22.5" customHeight="1">
      <c r="A274" s="49"/>
      <c r="C274" s="400">
        <v>46049.0</v>
      </c>
      <c r="D274" s="69" t="s">
        <v>110</v>
      </c>
      <c r="E274" s="393">
        <v>3374000.0</v>
      </c>
      <c r="F274" s="198"/>
      <c r="G274" s="407"/>
      <c r="H274" s="408"/>
      <c r="I274" s="429">
        <v>46162.0</v>
      </c>
      <c r="J274" s="13" t="s">
        <v>386</v>
      </c>
      <c r="K274" s="221">
        <v>3268400.0</v>
      </c>
      <c r="L274" s="409"/>
      <c r="M274" s="409"/>
      <c r="N274" s="410"/>
      <c r="O274" s="410"/>
      <c r="P274" s="79"/>
    </row>
    <row r="275" ht="22.5" customHeight="1">
      <c r="A275" s="49"/>
      <c r="C275" s="400">
        <v>46050.0</v>
      </c>
      <c r="D275" s="69" t="s">
        <v>110</v>
      </c>
      <c r="E275" s="393">
        <v>6320000.0</v>
      </c>
      <c r="F275" s="198"/>
      <c r="G275" s="407"/>
      <c r="H275" s="408"/>
      <c r="I275" s="429">
        <v>46184.0</v>
      </c>
      <c r="J275" s="221" t="s">
        <v>2430</v>
      </c>
      <c r="K275" s="221">
        <v>2210000.0</v>
      </c>
      <c r="L275" s="409"/>
      <c r="M275" s="409"/>
      <c r="N275" s="410"/>
      <c r="O275" s="410"/>
      <c r="P275" s="79"/>
    </row>
    <row r="276" ht="22.5" customHeight="1">
      <c r="A276" s="49"/>
      <c r="C276" s="400">
        <v>46051.0</v>
      </c>
      <c r="D276" s="69" t="s">
        <v>185</v>
      </c>
      <c r="E276" s="393">
        <v>2.0E7</v>
      </c>
      <c r="F276" s="198"/>
      <c r="G276" s="407"/>
      <c r="H276" s="408"/>
      <c r="I276" s="429">
        <v>46191.0</v>
      </c>
      <c r="J276" s="13" t="s">
        <v>386</v>
      </c>
      <c r="K276" s="221">
        <v>3586000.0</v>
      </c>
      <c r="L276" s="409"/>
      <c r="M276" s="409"/>
      <c r="N276" s="410"/>
      <c r="O276" s="410"/>
      <c r="P276" s="79"/>
    </row>
    <row r="277" ht="22.5" customHeight="1">
      <c r="A277" s="49"/>
      <c r="C277" s="400">
        <v>46052.0</v>
      </c>
      <c r="D277" s="69" t="s">
        <v>123</v>
      </c>
      <c r="E277" s="393">
        <v>1387400.0</v>
      </c>
      <c r="F277" s="198"/>
      <c r="G277" s="407"/>
      <c r="H277" s="408"/>
      <c r="I277" s="429">
        <v>46205.0</v>
      </c>
      <c r="J277" s="221" t="s">
        <v>2430</v>
      </c>
      <c r="K277" s="430">
        <v>2517800.0</v>
      </c>
      <c r="L277" s="409"/>
      <c r="M277" s="409"/>
      <c r="N277" s="410"/>
      <c r="O277" s="410"/>
      <c r="P277" s="79"/>
    </row>
    <row r="278" ht="22.5" customHeight="1">
      <c r="A278" s="49"/>
      <c r="C278" s="400">
        <v>46052.0</v>
      </c>
      <c r="D278" s="69" t="s">
        <v>81</v>
      </c>
      <c r="E278" s="393">
        <v>2.898949E7</v>
      </c>
      <c r="F278" s="198"/>
      <c r="G278" s="407"/>
      <c r="H278" s="408"/>
      <c r="I278" s="429">
        <v>46212.0</v>
      </c>
      <c r="J278" s="13" t="s">
        <v>386</v>
      </c>
      <c r="K278" s="221">
        <v>8602672.0</v>
      </c>
      <c r="L278" s="409"/>
      <c r="M278" s="409"/>
      <c r="N278" s="410"/>
      <c r="O278" s="410"/>
      <c r="P278" s="79"/>
    </row>
    <row r="279" ht="22.5" customHeight="1">
      <c r="A279" s="49"/>
      <c r="C279" s="400">
        <v>46053.0</v>
      </c>
      <c r="D279" s="69" t="s">
        <v>123</v>
      </c>
      <c r="E279" s="140">
        <v>1.0E7</v>
      </c>
      <c r="F279" s="198"/>
      <c r="G279" s="407"/>
      <c r="H279" s="408"/>
      <c r="I279" s="429">
        <v>46226.0</v>
      </c>
      <c r="J279" s="13" t="s">
        <v>386</v>
      </c>
      <c r="K279" s="431">
        <v>2950434.0</v>
      </c>
      <c r="L279" s="409"/>
      <c r="M279" s="409"/>
      <c r="N279" s="410"/>
      <c r="O279" s="410"/>
      <c r="P279" s="79"/>
    </row>
    <row r="280" ht="22.5" customHeight="1">
      <c r="A280" s="49"/>
      <c r="C280" s="400">
        <v>46054.0</v>
      </c>
      <c r="D280" s="69" t="s">
        <v>123</v>
      </c>
      <c r="E280" s="140">
        <v>5000000.0</v>
      </c>
      <c r="F280" s="198"/>
      <c r="G280" s="407"/>
      <c r="H280" s="408"/>
      <c r="I280" s="429">
        <v>46240.0</v>
      </c>
      <c r="J280" s="13" t="s">
        <v>386</v>
      </c>
      <c r="K280" s="221">
        <v>2330000.0</v>
      </c>
      <c r="L280" s="409"/>
      <c r="M280" s="409"/>
      <c r="N280" s="410"/>
      <c r="O280" s="410"/>
      <c r="P280" s="79"/>
    </row>
    <row r="281" ht="22.5" customHeight="1">
      <c r="A281" s="49"/>
      <c r="C281" s="400">
        <v>46055.0</v>
      </c>
      <c r="D281" s="69" t="s">
        <v>110</v>
      </c>
      <c r="E281" s="140">
        <v>9655000.0</v>
      </c>
      <c r="F281" s="198"/>
      <c r="G281" s="407"/>
      <c r="H281" s="408"/>
      <c r="I281" s="429">
        <v>46282.0</v>
      </c>
      <c r="J281" s="13" t="s">
        <v>386</v>
      </c>
      <c r="K281" s="432">
        <v>4850656.0</v>
      </c>
      <c r="L281" s="409"/>
      <c r="M281" s="409"/>
      <c r="N281" s="410"/>
      <c r="O281" s="410"/>
      <c r="P281" s="79"/>
    </row>
    <row r="282" ht="22.5" customHeight="1">
      <c r="A282" s="49"/>
      <c r="C282" s="400">
        <v>46055.0</v>
      </c>
      <c r="D282" s="69" t="s">
        <v>123</v>
      </c>
      <c r="E282" s="140">
        <v>5000000.0</v>
      </c>
      <c r="F282" s="198"/>
      <c r="G282" s="407"/>
      <c r="H282" s="408"/>
      <c r="I282" s="429">
        <v>46268.0</v>
      </c>
      <c r="J282" s="221" t="s">
        <v>2430</v>
      </c>
      <c r="K282" s="433">
        <v>6137000.0</v>
      </c>
      <c r="L282" s="409"/>
      <c r="M282" s="409"/>
      <c r="N282" s="410"/>
      <c r="O282" s="410"/>
      <c r="P282" s="79"/>
    </row>
    <row r="283" ht="22.5" customHeight="1">
      <c r="A283" s="49"/>
      <c r="C283" s="400">
        <v>46055.0</v>
      </c>
      <c r="D283" s="69" t="s">
        <v>123</v>
      </c>
      <c r="E283" s="393">
        <v>4000000.0</v>
      </c>
      <c r="F283" s="198"/>
      <c r="G283" s="407"/>
      <c r="H283" s="408"/>
      <c r="I283" s="198"/>
      <c r="J283" s="198"/>
      <c r="K283" s="198"/>
      <c r="L283" s="409"/>
      <c r="M283" s="409"/>
      <c r="N283" s="410"/>
      <c r="O283" s="410"/>
      <c r="P283" s="79"/>
    </row>
    <row r="284" ht="22.5" customHeight="1">
      <c r="A284" s="49"/>
      <c r="C284" s="400">
        <v>46056.0</v>
      </c>
      <c r="D284" s="69" t="s">
        <v>412</v>
      </c>
      <c r="E284" s="393">
        <v>820000.0</v>
      </c>
      <c r="F284" s="198"/>
      <c r="G284" s="407"/>
      <c r="H284" s="408"/>
      <c r="I284" s="198"/>
      <c r="J284" s="198"/>
      <c r="K284" s="198"/>
      <c r="L284" s="409"/>
      <c r="M284" s="409"/>
      <c r="N284" s="410"/>
      <c r="O284" s="410"/>
      <c r="P284" s="79"/>
    </row>
    <row r="285" ht="22.5" customHeight="1">
      <c r="A285" s="49"/>
      <c r="C285" s="400">
        <v>46056.0</v>
      </c>
      <c r="D285" s="69" t="s">
        <v>97</v>
      </c>
      <c r="E285" s="393">
        <v>1130842.0</v>
      </c>
      <c r="F285" s="198"/>
      <c r="G285" s="407"/>
      <c r="H285" s="408"/>
      <c r="I285" s="198"/>
      <c r="J285" s="198"/>
      <c r="K285" s="198"/>
      <c r="L285" s="409"/>
      <c r="M285" s="409"/>
      <c r="N285" s="410"/>
      <c r="O285" s="410"/>
      <c r="P285" s="79"/>
    </row>
    <row r="286" ht="22.5" customHeight="1">
      <c r="A286" s="49"/>
      <c r="C286" s="400">
        <v>46057.0</v>
      </c>
      <c r="D286" s="69" t="s">
        <v>123</v>
      </c>
      <c r="E286" s="393">
        <v>1.77331E7</v>
      </c>
      <c r="F286" s="198"/>
      <c r="G286" s="407"/>
      <c r="H286" s="408"/>
      <c r="I286" s="198"/>
      <c r="J286" s="198"/>
      <c r="K286" s="198"/>
      <c r="L286" s="409"/>
      <c r="M286" s="409"/>
      <c r="N286" s="410"/>
      <c r="O286" s="410"/>
      <c r="P286" s="79"/>
    </row>
    <row r="287" ht="22.5" customHeight="1">
      <c r="A287" s="49"/>
      <c r="C287" s="400">
        <v>46058.0</v>
      </c>
      <c r="D287" s="69" t="s">
        <v>372</v>
      </c>
      <c r="E287" s="393">
        <v>5748000.0</v>
      </c>
      <c r="F287" s="198"/>
      <c r="G287" s="407"/>
      <c r="H287" s="408"/>
      <c r="I287" s="198"/>
      <c r="J287" s="198"/>
      <c r="K287" s="198"/>
      <c r="L287" s="409"/>
      <c r="M287" s="409"/>
      <c r="N287" s="410"/>
      <c r="O287" s="410"/>
      <c r="P287" s="79"/>
    </row>
    <row r="288" ht="22.5" customHeight="1">
      <c r="A288" s="49"/>
      <c r="C288" s="400">
        <v>46058.0</v>
      </c>
      <c r="D288" s="69" t="s">
        <v>335</v>
      </c>
      <c r="E288" s="393">
        <v>2.592E7</v>
      </c>
      <c r="F288" s="198"/>
      <c r="G288" s="407"/>
      <c r="H288" s="408"/>
      <c r="I288" s="198"/>
      <c r="J288" s="198"/>
      <c r="K288" s="198"/>
      <c r="L288" s="409"/>
      <c r="M288" s="409"/>
      <c r="N288" s="410"/>
      <c r="O288" s="410"/>
      <c r="P288" s="79"/>
    </row>
    <row r="289" ht="22.5" customHeight="1">
      <c r="A289" s="49"/>
      <c r="C289" s="400">
        <v>46058.0</v>
      </c>
      <c r="D289" s="69" t="s">
        <v>97</v>
      </c>
      <c r="E289" s="393">
        <v>1.8885E7</v>
      </c>
      <c r="F289" s="198"/>
      <c r="G289" s="407"/>
      <c r="H289" s="408"/>
      <c r="I289" s="198"/>
      <c r="J289" s="198"/>
      <c r="K289" s="198"/>
      <c r="L289" s="409"/>
      <c r="M289" s="409"/>
      <c r="N289" s="410"/>
      <c r="O289" s="410"/>
      <c r="P289" s="79"/>
    </row>
    <row r="290" ht="22.5" customHeight="1">
      <c r="A290" s="49"/>
      <c r="C290" s="400">
        <v>46059.0</v>
      </c>
      <c r="D290" s="69" t="s">
        <v>123</v>
      </c>
      <c r="E290" s="393">
        <v>109200.0</v>
      </c>
      <c r="F290" s="198"/>
      <c r="G290" s="407"/>
      <c r="H290" s="408"/>
      <c r="I290" s="198"/>
      <c r="J290" s="198"/>
      <c r="K290" s="198"/>
      <c r="L290" s="409"/>
      <c r="M290" s="409"/>
      <c r="N290" s="410"/>
      <c r="O290" s="410"/>
      <c r="P290" s="79"/>
    </row>
    <row r="291" ht="22.5" customHeight="1">
      <c r="A291" s="49"/>
      <c r="C291" s="400">
        <v>46063.0</v>
      </c>
      <c r="D291" s="69" t="s">
        <v>81</v>
      </c>
      <c r="E291" s="393">
        <v>1.0E7</v>
      </c>
      <c r="F291" s="198"/>
      <c r="G291" s="407"/>
      <c r="H291" s="408"/>
      <c r="I291" s="198"/>
      <c r="J291" s="198"/>
      <c r="K291" s="198"/>
      <c r="L291" s="409"/>
      <c r="M291" s="409"/>
      <c r="N291" s="410"/>
      <c r="O291" s="410"/>
      <c r="P291" s="79"/>
    </row>
    <row r="292" ht="22.5" customHeight="1">
      <c r="A292" s="49"/>
      <c r="C292" s="400">
        <v>46064.0</v>
      </c>
      <c r="D292" s="69" t="s">
        <v>81</v>
      </c>
      <c r="E292" s="393">
        <v>1.0E7</v>
      </c>
      <c r="F292" s="198"/>
      <c r="G292" s="407"/>
      <c r="H292" s="408"/>
      <c r="I292" s="198"/>
      <c r="J292" s="198"/>
      <c r="K292" s="198"/>
      <c r="L292" s="409"/>
      <c r="M292" s="409"/>
      <c r="N292" s="410"/>
      <c r="O292" s="410"/>
      <c r="P292" s="79"/>
    </row>
    <row r="293" ht="22.5" customHeight="1">
      <c r="A293" s="49"/>
      <c r="C293" s="400">
        <v>46066.0</v>
      </c>
      <c r="D293" s="69" t="s">
        <v>81</v>
      </c>
      <c r="E293" s="393">
        <v>1.0E7</v>
      </c>
      <c r="F293" s="198"/>
      <c r="G293" s="407"/>
      <c r="H293" s="408"/>
      <c r="I293" s="198"/>
      <c r="J293" s="198"/>
      <c r="K293" s="198"/>
      <c r="L293" s="409"/>
      <c r="M293" s="409"/>
      <c r="N293" s="410"/>
      <c r="O293" s="410"/>
      <c r="P293" s="79"/>
    </row>
    <row r="294" ht="22.5" customHeight="1">
      <c r="A294" s="49"/>
      <c r="C294" s="400">
        <v>46067.0</v>
      </c>
      <c r="D294" s="69" t="s">
        <v>81</v>
      </c>
      <c r="E294" s="393">
        <v>4.3369E7</v>
      </c>
      <c r="F294" s="198"/>
      <c r="G294" s="407"/>
      <c r="H294" s="408"/>
      <c r="I294" s="198"/>
      <c r="J294" s="198"/>
      <c r="K294" s="198"/>
      <c r="L294" s="409"/>
      <c r="M294" s="409"/>
      <c r="N294" s="410"/>
      <c r="O294" s="410"/>
      <c r="P294" s="79"/>
    </row>
    <row r="295" ht="22.5" customHeight="1">
      <c r="A295" s="49"/>
      <c r="C295" s="400">
        <v>46067.0</v>
      </c>
      <c r="D295" s="69" t="s">
        <v>335</v>
      </c>
      <c r="E295" s="393">
        <v>2.1992E7</v>
      </c>
      <c r="F295" s="198"/>
      <c r="G295" s="407"/>
      <c r="H295" s="408"/>
      <c r="I295" s="198"/>
      <c r="J295" s="198"/>
      <c r="K295" s="198"/>
      <c r="L295" s="409"/>
      <c r="M295" s="409"/>
      <c r="N295" s="410"/>
      <c r="O295" s="410"/>
      <c r="P295" s="79"/>
    </row>
    <row r="296" ht="22.5" customHeight="1">
      <c r="A296" s="49"/>
      <c r="C296" s="400">
        <v>46067.0</v>
      </c>
      <c r="D296" s="69" t="s">
        <v>97</v>
      </c>
      <c r="E296" s="393">
        <v>1.0E7</v>
      </c>
      <c r="F296" s="198"/>
      <c r="G296" s="407"/>
      <c r="H296" s="408"/>
      <c r="I296" s="198"/>
      <c r="J296" s="198"/>
      <c r="K296" s="198"/>
      <c r="L296" s="409"/>
      <c r="M296" s="409"/>
      <c r="N296" s="410"/>
      <c r="O296" s="410"/>
      <c r="P296" s="79"/>
    </row>
    <row r="297" ht="22.5" customHeight="1">
      <c r="A297" s="49"/>
      <c r="C297" s="400">
        <v>46069.0</v>
      </c>
      <c r="D297" s="69" t="s">
        <v>81</v>
      </c>
      <c r="E297" s="393">
        <v>570000.0</v>
      </c>
      <c r="F297" s="198"/>
      <c r="G297" s="407"/>
      <c r="H297" s="408"/>
      <c r="I297" s="198"/>
      <c r="J297" s="198"/>
      <c r="K297" s="198"/>
      <c r="L297" s="409"/>
      <c r="M297" s="409"/>
      <c r="N297" s="410"/>
      <c r="O297" s="410"/>
      <c r="P297" s="79"/>
    </row>
    <row r="298" ht="22.5" customHeight="1">
      <c r="A298" s="49"/>
      <c r="C298" s="400">
        <v>46069.0</v>
      </c>
      <c r="D298" s="69" t="s">
        <v>97</v>
      </c>
      <c r="E298" s="393">
        <v>1130842.0</v>
      </c>
      <c r="F298" s="198"/>
      <c r="G298" s="407"/>
      <c r="H298" s="408"/>
      <c r="I298" s="198"/>
      <c r="J298" s="198"/>
      <c r="K298" s="198"/>
      <c r="L298" s="409"/>
      <c r="M298" s="409"/>
      <c r="N298" s="410"/>
      <c r="O298" s="410"/>
      <c r="P298" s="79"/>
    </row>
    <row r="299" ht="22.5" customHeight="1">
      <c r="A299" s="49"/>
      <c r="C299" s="400">
        <v>46069.0</v>
      </c>
      <c r="D299" s="69" t="s">
        <v>110</v>
      </c>
      <c r="E299" s="393">
        <v>5927200.0</v>
      </c>
      <c r="F299" s="198"/>
      <c r="G299" s="407"/>
      <c r="H299" s="408"/>
      <c r="I299" s="198"/>
      <c r="J299" s="198"/>
      <c r="K299" s="198"/>
      <c r="L299" s="409"/>
      <c r="M299" s="409"/>
      <c r="N299" s="410"/>
      <c r="O299" s="410"/>
      <c r="P299" s="79"/>
    </row>
    <row r="300" ht="22.5" customHeight="1">
      <c r="A300" s="49"/>
      <c r="C300" s="400">
        <v>46069.0</v>
      </c>
      <c r="D300" s="69" t="s">
        <v>97</v>
      </c>
      <c r="E300" s="393">
        <v>1.0562376E7</v>
      </c>
      <c r="F300" s="198"/>
      <c r="G300" s="407"/>
      <c r="H300" s="408"/>
      <c r="I300" s="198"/>
      <c r="J300" s="198"/>
      <c r="K300" s="198"/>
      <c r="L300" s="409"/>
      <c r="M300" s="409"/>
      <c r="N300" s="410"/>
      <c r="O300" s="410"/>
      <c r="P300" s="79"/>
    </row>
    <row r="301" ht="22.5" customHeight="1">
      <c r="A301" s="49"/>
      <c r="C301" s="400">
        <v>46069.0</v>
      </c>
      <c r="D301" s="69" t="s">
        <v>412</v>
      </c>
      <c r="E301" s="393">
        <v>400000.0</v>
      </c>
      <c r="F301" s="198"/>
      <c r="G301" s="407"/>
      <c r="H301" s="408"/>
      <c r="I301" s="198"/>
      <c r="J301" s="198"/>
      <c r="K301" s="198"/>
      <c r="L301" s="409"/>
      <c r="M301" s="409"/>
      <c r="N301" s="410"/>
      <c r="O301" s="410"/>
      <c r="P301" s="79"/>
    </row>
    <row r="302" ht="22.5" customHeight="1">
      <c r="A302" s="49"/>
      <c r="C302" s="400">
        <v>46073.0</v>
      </c>
      <c r="D302" s="69" t="s">
        <v>185</v>
      </c>
      <c r="E302" s="393">
        <v>1.1356E7</v>
      </c>
      <c r="F302" s="198"/>
      <c r="G302" s="407"/>
      <c r="H302" s="408"/>
      <c r="I302" s="198"/>
      <c r="J302" s="198"/>
      <c r="K302" s="198"/>
      <c r="L302" s="409"/>
      <c r="M302" s="409"/>
      <c r="N302" s="410"/>
      <c r="O302" s="410"/>
      <c r="P302" s="79"/>
    </row>
    <row r="303" ht="22.5" customHeight="1">
      <c r="A303" s="49"/>
      <c r="C303" s="400">
        <v>46077.0</v>
      </c>
      <c r="D303" s="69" t="s">
        <v>123</v>
      </c>
      <c r="E303" s="393">
        <v>6.7009E7</v>
      </c>
      <c r="F303" s="198"/>
      <c r="G303" s="407"/>
      <c r="H303" s="408"/>
      <c r="I303" s="198"/>
      <c r="J303" s="198"/>
      <c r="K303" s="198"/>
      <c r="L303" s="409"/>
      <c r="M303" s="409"/>
      <c r="N303" s="410"/>
      <c r="O303" s="410"/>
      <c r="P303" s="79"/>
    </row>
    <row r="304" ht="22.5" customHeight="1">
      <c r="A304" s="49"/>
      <c r="C304" s="400">
        <v>46079.0</v>
      </c>
      <c r="D304" s="69" t="s">
        <v>425</v>
      </c>
      <c r="E304" s="393">
        <v>5000000.0</v>
      </c>
      <c r="F304" s="198"/>
      <c r="G304" s="407"/>
      <c r="H304" s="408"/>
      <c r="I304" s="198"/>
      <c r="J304" s="198"/>
      <c r="K304" s="198"/>
      <c r="L304" s="409"/>
      <c r="M304" s="409"/>
      <c r="N304" s="410"/>
      <c r="O304" s="410"/>
      <c r="P304" s="79"/>
    </row>
    <row r="305" ht="22.5" customHeight="1">
      <c r="A305" s="49"/>
      <c r="C305" s="400">
        <v>46080.0</v>
      </c>
      <c r="D305" s="69" t="s">
        <v>198</v>
      </c>
      <c r="E305" s="393">
        <v>2428730.0</v>
      </c>
      <c r="F305" s="198"/>
      <c r="G305" s="407"/>
      <c r="H305" s="408"/>
      <c r="I305" s="198"/>
      <c r="J305" s="198"/>
      <c r="K305" s="198"/>
      <c r="L305" s="409"/>
      <c r="M305" s="409"/>
      <c r="N305" s="410"/>
      <c r="O305" s="410"/>
      <c r="P305" s="79"/>
    </row>
    <row r="306" ht="22.5" customHeight="1">
      <c r="A306" s="49"/>
      <c r="C306" s="400">
        <v>46082.0</v>
      </c>
      <c r="D306" s="69" t="s">
        <v>335</v>
      </c>
      <c r="E306" s="393">
        <v>2.0858E7</v>
      </c>
      <c r="F306" s="198"/>
      <c r="G306" s="407"/>
      <c r="H306" s="408"/>
      <c r="I306" s="198"/>
      <c r="J306" s="198"/>
      <c r="K306" s="198"/>
      <c r="L306" s="409"/>
      <c r="M306" s="409"/>
      <c r="N306" s="410"/>
      <c r="O306" s="410"/>
      <c r="P306" s="79"/>
    </row>
    <row r="307" ht="22.5" customHeight="1">
      <c r="A307" s="49"/>
      <c r="C307" s="400">
        <v>46083.0</v>
      </c>
      <c r="D307" s="69" t="s">
        <v>81</v>
      </c>
      <c r="E307" s="393">
        <v>6.48575E7</v>
      </c>
      <c r="F307" s="198"/>
      <c r="G307" s="407"/>
      <c r="H307" s="408"/>
      <c r="I307" s="198"/>
      <c r="J307" s="198"/>
      <c r="K307" s="198"/>
      <c r="L307" s="409"/>
      <c r="M307" s="409"/>
      <c r="N307" s="410"/>
      <c r="O307" s="410"/>
      <c r="P307" s="79"/>
    </row>
    <row r="308" ht="22.5" customHeight="1">
      <c r="A308" s="49"/>
      <c r="C308" s="400">
        <v>46085.0</v>
      </c>
      <c r="D308" s="69" t="s">
        <v>335</v>
      </c>
      <c r="E308" s="393">
        <v>3.143E7</v>
      </c>
      <c r="F308" s="198"/>
      <c r="G308" s="407"/>
      <c r="H308" s="408"/>
      <c r="I308" s="198"/>
      <c r="J308" s="198"/>
      <c r="K308" s="198"/>
      <c r="L308" s="409"/>
      <c r="M308" s="409"/>
      <c r="N308" s="410"/>
      <c r="O308" s="410"/>
      <c r="P308" s="79"/>
    </row>
    <row r="309" ht="22.5" customHeight="1">
      <c r="A309" s="49"/>
      <c r="C309" s="400">
        <v>46088.0</v>
      </c>
      <c r="D309" s="69" t="s">
        <v>97</v>
      </c>
      <c r="E309" s="393">
        <v>5.0E7</v>
      </c>
      <c r="F309" s="198"/>
      <c r="G309" s="407"/>
      <c r="H309" s="408"/>
      <c r="I309" s="198"/>
      <c r="J309" s="198"/>
      <c r="K309" s="198"/>
      <c r="L309" s="409"/>
      <c r="M309" s="409"/>
      <c r="N309" s="410"/>
      <c r="O309" s="410"/>
      <c r="P309" s="79"/>
    </row>
    <row r="310" ht="22.5" customHeight="1">
      <c r="A310" s="49"/>
      <c r="C310" s="400">
        <v>46089.0</v>
      </c>
      <c r="D310" s="69" t="s">
        <v>97</v>
      </c>
      <c r="E310" s="393">
        <v>1.0E7</v>
      </c>
      <c r="F310" s="198"/>
      <c r="G310" s="407"/>
      <c r="H310" s="408"/>
      <c r="I310" s="198"/>
      <c r="J310" s="198"/>
      <c r="K310" s="198"/>
      <c r="L310" s="409"/>
      <c r="M310" s="409"/>
      <c r="N310" s="410"/>
      <c r="O310" s="410"/>
      <c r="P310" s="79"/>
    </row>
    <row r="311" ht="22.5" customHeight="1">
      <c r="A311" s="49"/>
      <c r="C311" s="400">
        <v>46090.0</v>
      </c>
      <c r="D311" s="69" t="s">
        <v>412</v>
      </c>
      <c r="E311" s="393">
        <v>390000.0</v>
      </c>
      <c r="F311" s="198"/>
      <c r="G311" s="407"/>
      <c r="H311" s="408"/>
      <c r="I311" s="198"/>
      <c r="J311" s="198"/>
      <c r="K311" s="198"/>
      <c r="L311" s="409"/>
      <c r="M311" s="409"/>
      <c r="N311" s="410"/>
      <c r="O311" s="410"/>
      <c r="P311" s="79"/>
    </row>
    <row r="312" ht="22.5" customHeight="1">
      <c r="A312" s="49"/>
      <c r="C312" s="400">
        <v>46090.0</v>
      </c>
      <c r="D312" s="69" t="s">
        <v>412</v>
      </c>
      <c r="E312" s="393">
        <v>380000.0</v>
      </c>
      <c r="F312" s="221" t="s">
        <v>338</v>
      </c>
      <c r="G312" s="407"/>
      <c r="H312" s="408"/>
      <c r="I312" s="198"/>
      <c r="J312" s="198"/>
      <c r="K312" s="198"/>
      <c r="L312" s="409"/>
      <c r="M312" s="409"/>
      <c r="N312" s="410"/>
      <c r="O312" s="410"/>
      <c r="P312" s="79"/>
    </row>
    <row r="313" ht="22.5" customHeight="1">
      <c r="A313" s="49"/>
      <c r="C313" s="400">
        <v>46090.0</v>
      </c>
      <c r="D313" s="69" t="s">
        <v>2376</v>
      </c>
      <c r="E313" s="393">
        <v>2980000.0</v>
      </c>
      <c r="F313" s="198"/>
      <c r="G313" s="407"/>
      <c r="H313" s="408"/>
      <c r="I313" s="198"/>
      <c r="J313" s="198"/>
      <c r="K313" s="198"/>
      <c r="L313" s="409"/>
      <c r="M313" s="409"/>
      <c r="N313" s="410"/>
      <c r="O313" s="410"/>
      <c r="P313" s="79"/>
    </row>
    <row r="314" ht="22.5" customHeight="1">
      <c r="A314" s="49"/>
      <c r="C314" s="400">
        <v>46092.0</v>
      </c>
      <c r="D314" s="69" t="s">
        <v>97</v>
      </c>
      <c r="E314" s="393">
        <v>5000000.0</v>
      </c>
      <c r="F314" s="198"/>
      <c r="G314" s="407"/>
      <c r="H314" s="408"/>
      <c r="I314" s="198"/>
      <c r="J314" s="198"/>
      <c r="K314" s="198"/>
      <c r="L314" s="409"/>
      <c r="M314" s="409"/>
      <c r="N314" s="410"/>
      <c r="O314" s="410"/>
      <c r="P314" s="79"/>
    </row>
    <row r="315" ht="22.5" customHeight="1">
      <c r="A315" s="49"/>
      <c r="C315" s="400">
        <v>46092.0</v>
      </c>
      <c r="D315" s="69" t="s">
        <v>372</v>
      </c>
      <c r="E315" s="393">
        <v>900000.0</v>
      </c>
      <c r="F315" s="198"/>
      <c r="G315" s="407"/>
      <c r="H315" s="408"/>
      <c r="I315" s="198"/>
      <c r="J315" s="198"/>
      <c r="K315" s="198"/>
      <c r="L315" s="409"/>
      <c r="M315" s="409"/>
      <c r="N315" s="410"/>
      <c r="O315" s="410"/>
      <c r="P315" s="79"/>
    </row>
    <row r="316" ht="22.5" customHeight="1">
      <c r="A316" s="49"/>
      <c r="C316" s="400">
        <v>46093.0</v>
      </c>
      <c r="D316" s="69" t="s">
        <v>97</v>
      </c>
      <c r="E316" s="393">
        <v>1.0E7</v>
      </c>
      <c r="F316" s="198"/>
      <c r="G316" s="407"/>
      <c r="H316" s="408"/>
      <c r="I316" s="198"/>
      <c r="J316" s="198"/>
      <c r="K316" s="198"/>
      <c r="L316" s="409"/>
      <c r="M316" s="409"/>
      <c r="N316" s="410"/>
      <c r="O316" s="410"/>
      <c r="P316" s="79"/>
    </row>
    <row r="317" ht="22.5" customHeight="1">
      <c r="A317" s="49"/>
      <c r="C317" s="400">
        <v>46093.0</v>
      </c>
      <c r="D317" s="69" t="s">
        <v>372</v>
      </c>
      <c r="E317" s="393">
        <v>8822000.0</v>
      </c>
      <c r="F317" s="198"/>
      <c r="G317" s="407"/>
      <c r="H317" s="408"/>
      <c r="I317" s="198"/>
      <c r="J317" s="198"/>
      <c r="K317" s="198"/>
      <c r="L317" s="409"/>
      <c r="M317" s="409"/>
      <c r="N317" s="410"/>
      <c r="O317" s="410"/>
      <c r="P317" s="79"/>
    </row>
    <row r="318" ht="22.5" customHeight="1">
      <c r="A318" s="49"/>
      <c r="C318" s="400">
        <v>46094.0</v>
      </c>
      <c r="D318" s="69" t="s">
        <v>97</v>
      </c>
      <c r="E318" s="393">
        <v>1.0E7</v>
      </c>
      <c r="F318" s="198"/>
      <c r="G318" s="407"/>
      <c r="H318" s="408"/>
      <c r="I318" s="198"/>
      <c r="J318" s="198"/>
      <c r="K318" s="198"/>
      <c r="L318" s="409"/>
      <c r="M318" s="409"/>
      <c r="N318" s="410"/>
      <c r="O318" s="410"/>
      <c r="P318" s="79"/>
    </row>
    <row r="319" ht="22.5" customHeight="1">
      <c r="A319" s="49"/>
      <c r="C319" s="400">
        <v>46095.0</v>
      </c>
      <c r="D319" s="69" t="s">
        <v>185</v>
      </c>
      <c r="E319" s="393">
        <v>1.1356E7</v>
      </c>
      <c r="F319" s="198"/>
      <c r="G319" s="407"/>
      <c r="H319" s="408"/>
      <c r="I319" s="198"/>
      <c r="J319" s="198"/>
      <c r="K319" s="198"/>
      <c r="L319" s="409"/>
      <c r="M319" s="409"/>
      <c r="N319" s="410"/>
      <c r="O319" s="410"/>
      <c r="P319" s="79"/>
    </row>
    <row r="320" ht="22.5" customHeight="1">
      <c r="A320" s="49"/>
      <c r="C320" s="400">
        <v>46095.0</v>
      </c>
      <c r="D320" s="69" t="s">
        <v>136</v>
      </c>
      <c r="E320" s="393">
        <v>1199200.0</v>
      </c>
      <c r="F320" s="269"/>
      <c r="G320" s="407"/>
      <c r="H320" s="408"/>
      <c r="I320" s="198"/>
      <c r="J320" s="198"/>
      <c r="K320" s="198"/>
      <c r="L320" s="409"/>
      <c r="M320" s="409"/>
      <c r="N320" s="410"/>
      <c r="O320" s="410"/>
      <c r="P320" s="79"/>
    </row>
    <row r="321" ht="22.5" customHeight="1">
      <c r="A321" s="49"/>
      <c r="C321" s="400">
        <v>46095.0</v>
      </c>
      <c r="D321" s="69" t="s">
        <v>81</v>
      </c>
      <c r="E321" s="393">
        <v>2980000.0</v>
      </c>
      <c r="F321" s="198"/>
      <c r="G321" s="407"/>
      <c r="H321" s="408"/>
      <c r="I321" s="198"/>
      <c r="J321" s="198"/>
      <c r="K321" s="198"/>
      <c r="L321" s="409"/>
      <c r="M321" s="409"/>
      <c r="N321" s="410"/>
      <c r="O321" s="410"/>
      <c r="P321" s="79"/>
    </row>
    <row r="322" ht="22.5" customHeight="1">
      <c r="A322" s="49"/>
      <c r="C322" s="400">
        <v>46095.0</v>
      </c>
      <c r="D322" s="69" t="s">
        <v>81</v>
      </c>
      <c r="E322" s="393">
        <v>1490000.0</v>
      </c>
      <c r="F322" s="198"/>
      <c r="G322" s="407"/>
      <c r="H322" s="408"/>
      <c r="I322" s="198"/>
      <c r="J322" s="198"/>
      <c r="K322" s="198"/>
      <c r="L322" s="409"/>
      <c r="M322" s="409"/>
      <c r="N322" s="410"/>
      <c r="O322" s="410"/>
      <c r="P322" s="79"/>
    </row>
    <row r="323" ht="22.5" customHeight="1">
      <c r="A323" s="49"/>
      <c r="C323" s="400">
        <v>46097.0</v>
      </c>
      <c r="D323" s="69" t="s">
        <v>412</v>
      </c>
      <c r="E323" s="393">
        <v>380000.0</v>
      </c>
      <c r="F323" s="221" t="s">
        <v>1463</v>
      </c>
      <c r="G323" s="407"/>
      <c r="H323" s="408"/>
      <c r="I323" s="198"/>
      <c r="J323" s="198"/>
      <c r="K323" s="198"/>
      <c r="L323" s="409"/>
      <c r="M323" s="409"/>
      <c r="N323" s="410"/>
      <c r="O323" s="410"/>
      <c r="P323" s="79"/>
    </row>
    <row r="324" ht="22.5" customHeight="1">
      <c r="A324" s="49"/>
      <c r="C324" s="400">
        <v>46097.0</v>
      </c>
      <c r="D324" s="69" t="s">
        <v>412</v>
      </c>
      <c r="E324" s="393">
        <v>295000.0</v>
      </c>
      <c r="F324" s="198"/>
      <c r="G324" s="407"/>
      <c r="H324" s="408"/>
      <c r="I324" s="198"/>
      <c r="J324" s="198"/>
      <c r="K324" s="198"/>
      <c r="L324" s="409"/>
      <c r="M324" s="409"/>
      <c r="N324" s="410"/>
      <c r="O324" s="410"/>
      <c r="P324" s="79"/>
    </row>
    <row r="325" ht="22.5" customHeight="1">
      <c r="A325" s="49"/>
      <c r="C325" s="400">
        <v>46099.0</v>
      </c>
      <c r="D325" s="69" t="s">
        <v>97</v>
      </c>
      <c r="E325" s="393">
        <v>1.0E7</v>
      </c>
      <c r="F325" s="198"/>
      <c r="G325" s="407"/>
      <c r="H325" s="408"/>
      <c r="I325" s="198"/>
      <c r="J325" s="198"/>
      <c r="K325" s="198"/>
      <c r="L325" s="409"/>
      <c r="M325" s="409"/>
      <c r="N325" s="410"/>
      <c r="O325" s="410"/>
      <c r="P325" s="79"/>
    </row>
    <row r="326" ht="22.5" customHeight="1">
      <c r="A326" s="49"/>
      <c r="C326" s="400">
        <v>46100.0</v>
      </c>
      <c r="D326" s="69" t="s">
        <v>81</v>
      </c>
      <c r="E326" s="393">
        <v>2404000.0</v>
      </c>
      <c r="F326" s="198"/>
      <c r="G326" s="407"/>
      <c r="H326" s="408"/>
      <c r="I326" s="198"/>
      <c r="J326" s="198"/>
      <c r="K326" s="198"/>
      <c r="L326" s="409"/>
      <c r="M326" s="409"/>
      <c r="N326" s="410"/>
      <c r="O326" s="410"/>
      <c r="P326" s="79"/>
    </row>
    <row r="327" ht="22.5" customHeight="1">
      <c r="A327" s="49"/>
      <c r="C327" s="400">
        <v>46100.0</v>
      </c>
      <c r="D327" s="69" t="s">
        <v>110</v>
      </c>
      <c r="E327" s="393">
        <v>4389600.0</v>
      </c>
      <c r="F327" s="198"/>
      <c r="G327" s="407"/>
      <c r="H327" s="408"/>
      <c r="I327" s="198"/>
      <c r="J327" s="198"/>
      <c r="K327" s="198"/>
      <c r="L327" s="409"/>
      <c r="M327" s="409"/>
      <c r="N327" s="410"/>
      <c r="O327" s="410"/>
      <c r="P327" s="79"/>
    </row>
    <row r="328" ht="22.5" customHeight="1">
      <c r="A328" s="49"/>
      <c r="C328" s="400">
        <v>46100.0</v>
      </c>
      <c r="D328" s="69" t="s">
        <v>123</v>
      </c>
      <c r="E328" s="393">
        <v>4.68947E7</v>
      </c>
      <c r="F328" s="198"/>
      <c r="G328" s="407"/>
      <c r="H328" s="408"/>
      <c r="I328" s="198"/>
      <c r="J328" s="198"/>
      <c r="K328" s="198"/>
      <c r="L328" s="409"/>
      <c r="M328" s="409"/>
      <c r="N328" s="410"/>
      <c r="O328" s="410"/>
      <c r="P328" s="79"/>
    </row>
    <row r="329" ht="22.5" customHeight="1">
      <c r="A329" s="49"/>
      <c r="C329" s="400">
        <v>46100.0</v>
      </c>
      <c r="D329" s="69" t="s">
        <v>97</v>
      </c>
      <c r="E329" s="140">
        <v>1.0E7</v>
      </c>
      <c r="F329" s="198"/>
      <c r="G329" s="407"/>
      <c r="H329" s="408"/>
      <c r="I329" s="198"/>
      <c r="J329" s="198"/>
      <c r="K329" s="198"/>
      <c r="L329" s="409"/>
      <c r="M329" s="409"/>
      <c r="N329" s="410"/>
      <c r="O329" s="410"/>
      <c r="P329" s="79"/>
    </row>
    <row r="330" ht="22.5" customHeight="1">
      <c r="A330" s="49"/>
      <c r="C330" s="400">
        <v>46105.0</v>
      </c>
      <c r="D330" s="69" t="s">
        <v>123</v>
      </c>
      <c r="E330" s="393">
        <v>1.0E7</v>
      </c>
      <c r="F330" s="198"/>
      <c r="G330" s="407"/>
      <c r="H330" s="408"/>
      <c r="I330" s="198"/>
      <c r="J330" s="198"/>
      <c r="K330" s="198"/>
      <c r="L330" s="409"/>
      <c r="M330" s="409"/>
      <c r="N330" s="410"/>
      <c r="O330" s="410"/>
      <c r="P330" s="79"/>
    </row>
    <row r="331" ht="22.5" customHeight="1">
      <c r="A331" s="49"/>
      <c r="C331" s="400">
        <v>46107.0</v>
      </c>
      <c r="D331" s="69" t="s">
        <v>123</v>
      </c>
      <c r="E331" s="393">
        <v>6082000.0</v>
      </c>
      <c r="F331" s="198"/>
      <c r="G331" s="407"/>
      <c r="H331" s="408"/>
      <c r="I331" s="198"/>
      <c r="J331" s="198"/>
      <c r="K331" s="198"/>
      <c r="L331" s="409"/>
      <c r="M331" s="409"/>
      <c r="N331" s="410"/>
      <c r="O331" s="410"/>
      <c r="P331" s="79"/>
    </row>
    <row r="332" ht="22.5" customHeight="1">
      <c r="A332" s="49"/>
      <c r="C332" s="400">
        <v>46107.0</v>
      </c>
      <c r="D332" s="69" t="s">
        <v>335</v>
      </c>
      <c r="E332" s="393">
        <v>3.2555E7</v>
      </c>
      <c r="F332" s="198"/>
      <c r="G332" s="407"/>
      <c r="H332" s="408"/>
      <c r="I332" s="198"/>
      <c r="J332" s="198"/>
      <c r="K332" s="198"/>
      <c r="L332" s="409"/>
      <c r="M332" s="409"/>
      <c r="N332" s="410"/>
      <c r="O332" s="410"/>
      <c r="P332" s="79"/>
    </row>
    <row r="333" ht="22.5" customHeight="1">
      <c r="A333" s="49"/>
      <c r="C333" s="400">
        <v>46107.0</v>
      </c>
      <c r="D333" s="69" t="s">
        <v>81</v>
      </c>
      <c r="E333" s="393">
        <v>2980000.0</v>
      </c>
      <c r="F333" s="198"/>
      <c r="G333" s="407"/>
      <c r="H333" s="408"/>
      <c r="I333" s="198"/>
      <c r="J333" s="198"/>
      <c r="K333" s="198"/>
      <c r="L333" s="409"/>
      <c r="M333" s="409"/>
      <c r="N333" s="410"/>
      <c r="O333" s="410"/>
      <c r="P333" s="79"/>
    </row>
    <row r="334" ht="22.5" customHeight="1">
      <c r="A334" s="49"/>
      <c r="C334" s="400">
        <v>46108.0</v>
      </c>
      <c r="D334" s="69" t="s">
        <v>110</v>
      </c>
      <c r="E334" s="393">
        <v>5610000.0</v>
      </c>
      <c r="F334" s="198"/>
      <c r="G334" s="407"/>
      <c r="H334" s="408"/>
      <c r="I334" s="198"/>
      <c r="J334" s="198"/>
      <c r="K334" s="198"/>
      <c r="L334" s="409"/>
      <c r="M334" s="409"/>
      <c r="N334" s="410"/>
      <c r="O334" s="410"/>
      <c r="P334" s="79"/>
    </row>
    <row r="335" ht="22.5" customHeight="1">
      <c r="A335" s="49"/>
      <c r="C335" s="400">
        <v>46109.0</v>
      </c>
      <c r="D335" s="69" t="s">
        <v>81</v>
      </c>
      <c r="E335" s="393">
        <v>6.9946E7</v>
      </c>
      <c r="F335" s="198"/>
      <c r="G335" s="407"/>
      <c r="H335" s="408"/>
      <c r="I335" s="198"/>
      <c r="J335" s="198"/>
      <c r="K335" s="198"/>
      <c r="L335" s="409"/>
      <c r="M335" s="409"/>
      <c r="N335" s="410"/>
      <c r="O335" s="410"/>
      <c r="P335" s="79"/>
    </row>
    <row r="336" ht="22.5" customHeight="1">
      <c r="A336" s="49"/>
      <c r="C336" s="400">
        <v>46113.0</v>
      </c>
      <c r="D336" s="69" t="s">
        <v>97</v>
      </c>
      <c r="E336" s="393">
        <v>4454622.0</v>
      </c>
      <c r="F336" s="198"/>
      <c r="G336" s="407"/>
      <c r="H336" s="408"/>
      <c r="I336" s="198"/>
      <c r="J336" s="198"/>
      <c r="K336" s="198"/>
      <c r="L336" s="409"/>
      <c r="M336" s="409"/>
      <c r="N336" s="410"/>
      <c r="O336" s="410"/>
      <c r="P336" s="79"/>
    </row>
    <row r="337" ht="22.5" customHeight="1">
      <c r="A337" s="49"/>
      <c r="C337" s="400">
        <v>46113.0</v>
      </c>
      <c r="D337" s="69" t="s">
        <v>97</v>
      </c>
      <c r="E337" s="393">
        <v>5.0E7</v>
      </c>
      <c r="F337" s="198"/>
      <c r="G337" s="407"/>
      <c r="H337" s="408"/>
      <c r="I337" s="198"/>
      <c r="J337" s="198"/>
      <c r="K337" s="198"/>
      <c r="L337" s="409"/>
      <c r="M337" s="409"/>
      <c r="N337" s="410"/>
      <c r="O337" s="410"/>
      <c r="P337" s="79"/>
    </row>
    <row r="338" ht="22.5" customHeight="1">
      <c r="A338" s="49"/>
      <c r="C338" s="400">
        <v>46116.0</v>
      </c>
      <c r="D338" s="69" t="s">
        <v>97</v>
      </c>
      <c r="E338" s="393">
        <v>9583388.0</v>
      </c>
      <c r="F338" s="198"/>
      <c r="G338" s="407"/>
      <c r="H338" s="408"/>
      <c r="I338" s="198"/>
      <c r="J338" s="198"/>
      <c r="K338" s="198"/>
      <c r="L338" s="409"/>
      <c r="M338" s="409"/>
      <c r="N338" s="410"/>
      <c r="O338" s="410"/>
      <c r="P338" s="79"/>
    </row>
    <row r="339" ht="22.5" customHeight="1">
      <c r="A339" s="49"/>
      <c r="C339" s="400">
        <v>46116.0</v>
      </c>
      <c r="D339" s="69" t="s">
        <v>97</v>
      </c>
      <c r="E339" s="393">
        <v>4165000.0</v>
      </c>
      <c r="F339" s="198"/>
      <c r="G339" s="407"/>
      <c r="H339" s="408"/>
      <c r="I339" s="198"/>
      <c r="J339" s="198"/>
      <c r="K339" s="198"/>
      <c r="L339" s="409"/>
      <c r="M339" s="409"/>
      <c r="N339" s="410"/>
      <c r="O339" s="410"/>
      <c r="P339" s="79"/>
    </row>
    <row r="340" ht="22.5" customHeight="1">
      <c r="A340" s="49"/>
      <c r="C340" s="400">
        <v>46117.0</v>
      </c>
      <c r="D340" s="69" t="s">
        <v>97</v>
      </c>
      <c r="E340" s="393">
        <v>5000000.0</v>
      </c>
      <c r="F340" s="198"/>
      <c r="G340" s="407"/>
      <c r="H340" s="408"/>
      <c r="I340" s="198"/>
      <c r="J340" s="198"/>
      <c r="K340" s="198"/>
      <c r="L340" s="409"/>
      <c r="M340" s="409"/>
      <c r="N340" s="410"/>
      <c r="O340" s="410"/>
      <c r="P340" s="79"/>
    </row>
    <row r="341" ht="22.5" customHeight="1">
      <c r="A341" s="49"/>
      <c r="C341" s="400">
        <v>46118.0</v>
      </c>
      <c r="D341" s="69" t="s">
        <v>81</v>
      </c>
      <c r="E341" s="393">
        <v>5468000.0</v>
      </c>
      <c r="F341" s="198"/>
      <c r="G341" s="407"/>
      <c r="H341" s="408"/>
      <c r="I341" s="198"/>
      <c r="J341" s="198"/>
      <c r="K341" s="198"/>
      <c r="L341" s="409"/>
      <c r="M341" s="409"/>
      <c r="N341" s="410"/>
      <c r="O341" s="410"/>
      <c r="P341" s="79"/>
    </row>
    <row r="342" ht="22.5" customHeight="1">
      <c r="A342" s="49"/>
      <c r="C342" s="400">
        <v>46118.0</v>
      </c>
      <c r="D342" s="69" t="s">
        <v>412</v>
      </c>
      <c r="E342" s="393">
        <v>662500.0</v>
      </c>
      <c r="F342" s="198"/>
      <c r="G342" s="407"/>
      <c r="H342" s="408"/>
      <c r="I342" s="198"/>
      <c r="J342" s="198"/>
      <c r="K342" s="198"/>
      <c r="L342" s="409"/>
      <c r="M342" s="409"/>
      <c r="N342" s="410"/>
      <c r="O342" s="410"/>
      <c r="P342" s="79"/>
    </row>
    <row r="343" ht="22.5" customHeight="1">
      <c r="A343" s="49"/>
      <c r="C343" s="400">
        <v>46119.0</v>
      </c>
      <c r="D343" s="69" t="s">
        <v>97</v>
      </c>
      <c r="E343" s="393">
        <v>1.5E7</v>
      </c>
      <c r="F343" s="198"/>
      <c r="G343" s="407"/>
      <c r="H343" s="408"/>
      <c r="I343" s="198"/>
      <c r="J343" s="198"/>
      <c r="K343" s="198"/>
      <c r="L343" s="409"/>
      <c r="M343" s="409"/>
      <c r="N343" s="410"/>
      <c r="O343" s="410"/>
      <c r="P343" s="79"/>
    </row>
    <row r="344" ht="22.5" customHeight="1">
      <c r="A344" s="49"/>
      <c r="C344" s="400">
        <v>46119.0</v>
      </c>
      <c r="D344" s="69" t="s">
        <v>81</v>
      </c>
      <c r="E344" s="393">
        <v>2328000.0</v>
      </c>
      <c r="F344" s="198"/>
      <c r="G344" s="407"/>
      <c r="H344" s="408"/>
      <c r="I344" s="198"/>
      <c r="J344" s="198"/>
      <c r="K344" s="198"/>
      <c r="L344" s="409"/>
      <c r="M344" s="409"/>
      <c r="N344" s="410"/>
      <c r="O344" s="410"/>
      <c r="P344" s="79"/>
    </row>
    <row r="345" ht="22.5" customHeight="1">
      <c r="A345" s="49"/>
      <c r="C345" s="400">
        <v>46120.0</v>
      </c>
      <c r="D345" s="69" t="s">
        <v>110</v>
      </c>
      <c r="E345" s="393">
        <v>7000000.0</v>
      </c>
      <c r="F345" s="198"/>
      <c r="G345" s="407"/>
      <c r="H345" s="408"/>
      <c r="I345" s="198"/>
      <c r="J345" s="198"/>
      <c r="K345" s="198"/>
      <c r="L345" s="409"/>
      <c r="M345" s="409"/>
      <c r="N345" s="410"/>
      <c r="O345" s="410"/>
      <c r="P345" s="79"/>
    </row>
    <row r="346" ht="22.5" customHeight="1">
      <c r="A346" s="49"/>
      <c r="C346" s="400">
        <v>46122.0</v>
      </c>
      <c r="D346" s="69" t="s">
        <v>81</v>
      </c>
      <c r="E346" s="393">
        <v>5.0E7</v>
      </c>
      <c r="F346" s="198"/>
      <c r="G346" s="407"/>
      <c r="H346" s="408"/>
      <c r="I346" s="198"/>
      <c r="J346" s="198"/>
      <c r="K346" s="198"/>
      <c r="L346" s="409"/>
      <c r="M346" s="409"/>
      <c r="N346" s="410"/>
      <c r="O346" s="410"/>
      <c r="P346" s="79"/>
    </row>
    <row r="347" ht="22.5" customHeight="1">
      <c r="A347" s="49"/>
      <c r="C347" s="400">
        <v>46121.0</v>
      </c>
      <c r="D347" s="69" t="s">
        <v>412</v>
      </c>
      <c r="E347" s="393">
        <v>475000.0</v>
      </c>
      <c r="F347" s="198"/>
      <c r="G347" s="407"/>
      <c r="H347" s="408"/>
      <c r="I347" s="198"/>
      <c r="J347" s="198"/>
      <c r="K347" s="198"/>
      <c r="L347" s="409"/>
      <c r="M347" s="409"/>
      <c r="N347" s="410"/>
      <c r="O347" s="410"/>
      <c r="P347" s="79"/>
    </row>
    <row r="348" ht="22.5" customHeight="1">
      <c r="A348" s="49"/>
      <c r="C348" s="400">
        <v>46126.0</v>
      </c>
      <c r="D348" s="69" t="s">
        <v>412</v>
      </c>
      <c r="E348" s="393">
        <v>1590000.0</v>
      </c>
      <c r="F348" s="198"/>
      <c r="G348" s="407"/>
      <c r="H348" s="408"/>
      <c r="I348" s="198"/>
      <c r="J348" s="198"/>
      <c r="K348" s="198"/>
      <c r="L348" s="409"/>
      <c r="M348" s="409"/>
      <c r="N348" s="410"/>
      <c r="O348" s="410"/>
      <c r="P348" s="79"/>
    </row>
    <row r="349" ht="22.5" customHeight="1">
      <c r="A349" s="49"/>
      <c r="C349" s="400">
        <v>46127.0</v>
      </c>
      <c r="D349" s="69" t="s">
        <v>81</v>
      </c>
      <c r="E349" s="393">
        <v>6.8636E7</v>
      </c>
      <c r="F349" s="198"/>
      <c r="G349" s="407"/>
      <c r="H349" s="408"/>
      <c r="I349" s="198"/>
      <c r="J349" s="198"/>
      <c r="K349" s="198"/>
      <c r="L349" s="409"/>
      <c r="M349" s="409"/>
      <c r="N349" s="410"/>
      <c r="O349" s="410"/>
      <c r="P349" s="79"/>
    </row>
    <row r="350" ht="22.5" customHeight="1">
      <c r="A350" s="49"/>
      <c r="C350" s="400">
        <v>46130.0</v>
      </c>
      <c r="D350" s="69" t="s">
        <v>412</v>
      </c>
      <c r="E350" s="393">
        <v>400000.0</v>
      </c>
      <c r="F350" s="198"/>
      <c r="G350" s="407"/>
      <c r="H350" s="408"/>
      <c r="I350" s="198"/>
      <c r="J350" s="198"/>
      <c r="K350" s="198"/>
      <c r="L350" s="409"/>
      <c r="M350" s="409"/>
      <c r="N350" s="410"/>
      <c r="O350" s="410"/>
      <c r="P350" s="79"/>
    </row>
    <row r="351" ht="22.5" customHeight="1">
      <c r="A351" s="49"/>
      <c r="C351" s="400">
        <v>46132.0</v>
      </c>
      <c r="D351" s="69" t="s">
        <v>81</v>
      </c>
      <c r="E351" s="393">
        <v>2790000.0</v>
      </c>
      <c r="F351" s="198"/>
      <c r="G351" s="407"/>
      <c r="H351" s="408"/>
      <c r="I351" s="198"/>
      <c r="J351" s="198"/>
      <c r="K351" s="198"/>
      <c r="L351" s="409"/>
      <c r="M351" s="409"/>
      <c r="N351" s="410"/>
      <c r="O351" s="410"/>
      <c r="P351" s="79"/>
    </row>
    <row r="352" ht="22.5" customHeight="1">
      <c r="A352" s="49"/>
      <c r="C352" s="400">
        <v>46133.0</v>
      </c>
      <c r="D352" s="69" t="s">
        <v>81</v>
      </c>
      <c r="E352" s="393">
        <v>2.66055E7</v>
      </c>
      <c r="F352" s="198"/>
      <c r="G352" s="407"/>
      <c r="H352" s="408"/>
      <c r="I352" s="198"/>
      <c r="J352" s="198"/>
      <c r="K352" s="198"/>
      <c r="L352" s="409"/>
      <c r="M352" s="409"/>
      <c r="N352" s="410"/>
      <c r="O352" s="410"/>
      <c r="P352" s="79"/>
    </row>
    <row r="353" ht="22.5" customHeight="1">
      <c r="A353" s="49"/>
      <c r="C353" s="400">
        <v>46133.0</v>
      </c>
      <c r="D353" s="69" t="s">
        <v>123</v>
      </c>
      <c r="E353" s="393">
        <v>2.0E7</v>
      </c>
      <c r="F353" s="198"/>
      <c r="G353" s="407"/>
      <c r="H353" s="408"/>
      <c r="I353" s="198"/>
      <c r="J353" s="198"/>
      <c r="K353" s="198"/>
      <c r="L353" s="409"/>
      <c r="M353" s="409"/>
      <c r="N353" s="410"/>
      <c r="O353" s="410"/>
      <c r="P353" s="79"/>
    </row>
    <row r="354" ht="22.5" customHeight="1">
      <c r="A354" s="49"/>
      <c r="C354" s="400">
        <v>46135.0</v>
      </c>
      <c r="D354" s="69" t="s">
        <v>81</v>
      </c>
      <c r="E354" s="393">
        <v>4650000.0</v>
      </c>
      <c r="F354" s="198"/>
      <c r="G354" s="407"/>
      <c r="H354" s="408"/>
      <c r="I354" s="198"/>
      <c r="J354" s="198"/>
      <c r="K354" s="198"/>
      <c r="L354" s="409"/>
      <c r="M354" s="409"/>
      <c r="N354" s="410"/>
      <c r="O354" s="410"/>
      <c r="P354" s="79"/>
    </row>
    <row r="355" ht="22.5" customHeight="1">
      <c r="A355" s="49"/>
      <c r="C355" s="400">
        <v>46135.0</v>
      </c>
      <c r="D355" s="69" t="s">
        <v>372</v>
      </c>
      <c r="E355" s="393">
        <v>2335000.0</v>
      </c>
      <c r="F355" s="198"/>
      <c r="G355" s="407"/>
      <c r="H355" s="408"/>
      <c r="I355" s="198"/>
      <c r="J355" s="198"/>
      <c r="K355" s="198"/>
      <c r="L355" s="409"/>
      <c r="M355" s="409"/>
      <c r="N355" s="410"/>
      <c r="O355" s="410"/>
      <c r="P355" s="79"/>
    </row>
    <row r="356" ht="22.5" customHeight="1">
      <c r="A356" s="49"/>
      <c r="C356" s="400">
        <v>46135.0</v>
      </c>
      <c r="D356" s="69" t="s">
        <v>257</v>
      </c>
      <c r="E356" s="393">
        <v>2622138.0</v>
      </c>
      <c r="F356" s="198"/>
      <c r="G356" s="407"/>
      <c r="H356" s="408"/>
      <c r="I356" s="198"/>
      <c r="J356" s="198"/>
      <c r="K356" s="198"/>
      <c r="L356" s="409"/>
      <c r="M356" s="409"/>
      <c r="N356" s="410"/>
      <c r="O356" s="410"/>
      <c r="P356" s="79"/>
    </row>
    <row r="357" ht="22.5" customHeight="1">
      <c r="A357" s="49"/>
      <c r="C357" s="400">
        <v>46135.0</v>
      </c>
      <c r="D357" s="69" t="s">
        <v>335</v>
      </c>
      <c r="E357" s="393">
        <v>5.0E7</v>
      </c>
      <c r="F357" s="198"/>
      <c r="G357" s="407"/>
      <c r="H357" s="408"/>
      <c r="I357" s="198"/>
      <c r="J357" s="198"/>
      <c r="K357" s="198"/>
      <c r="L357" s="409"/>
      <c r="M357" s="409"/>
      <c r="N357" s="410"/>
      <c r="O357" s="410"/>
      <c r="P357" s="79"/>
    </row>
    <row r="358" ht="22.5" customHeight="1">
      <c r="A358" s="49"/>
      <c r="C358" s="400">
        <v>46139.0</v>
      </c>
      <c r="D358" s="69" t="s">
        <v>335</v>
      </c>
      <c r="E358" s="393">
        <v>5.0E7</v>
      </c>
      <c r="F358" s="198"/>
      <c r="G358" s="407"/>
      <c r="H358" s="408"/>
      <c r="I358" s="198"/>
      <c r="J358" s="198"/>
      <c r="K358" s="198"/>
      <c r="L358" s="409"/>
      <c r="M358" s="409"/>
      <c r="N358" s="410"/>
      <c r="O358" s="410"/>
      <c r="P358" s="79"/>
    </row>
    <row r="359" ht="22.5" customHeight="1">
      <c r="A359" s="49"/>
      <c r="C359" s="400">
        <v>46140.0</v>
      </c>
      <c r="D359" s="69" t="s">
        <v>97</v>
      </c>
      <c r="E359" s="393">
        <v>1545000.0</v>
      </c>
      <c r="F359" s="198"/>
      <c r="G359" s="407"/>
      <c r="H359" s="408"/>
      <c r="I359" s="198"/>
      <c r="J359" s="198"/>
      <c r="K359" s="198"/>
      <c r="L359" s="409"/>
      <c r="M359" s="409"/>
      <c r="N359" s="410"/>
      <c r="O359" s="410"/>
      <c r="P359" s="79"/>
    </row>
    <row r="360" ht="22.5" customHeight="1">
      <c r="A360" s="49"/>
      <c r="C360" s="400">
        <v>46140.0</v>
      </c>
      <c r="D360" s="69" t="s">
        <v>110</v>
      </c>
      <c r="E360" s="393">
        <v>6320000.0</v>
      </c>
      <c r="F360" s="198"/>
      <c r="G360" s="407"/>
      <c r="H360" s="408"/>
      <c r="I360" s="198"/>
      <c r="J360" s="198"/>
      <c r="K360" s="198"/>
      <c r="L360" s="409"/>
      <c r="M360" s="409"/>
      <c r="N360" s="410"/>
      <c r="O360" s="410"/>
      <c r="P360" s="79"/>
    </row>
    <row r="361" ht="22.5" customHeight="1">
      <c r="A361" s="49"/>
      <c r="C361" s="400">
        <v>46142.0</v>
      </c>
      <c r="D361" s="69" t="s">
        <v>123</v>
      </c>
      <c r="E361" s="393">
        <v>7000000.0</v>
      </c>
      <c r="F361" s="198"/>
      <c r="G361" s="407"/>
      <c r="H361" s="408"/>
      <c r="I361" s="198"/>
      <c r="J361" s="198"/>
      <c r="K361" s="198"/>
      <c r="L361" s="409"/>
      <c r="M361" s="409"/>
      <c r="N361" s="410"/>
      <c r="O361" s="410"/>
      <c r="P361" s="79"/>
    </row>
    <row r="362" ht="22.5" customHeight="1">
      <c r="A362" s="49"/>
      <c r="C362" s="400">
        <v>46142.0</v>
      </c>
      <c r="D362" s="69" t="s">
        <v>123</v>
      </c>
      <c r="E362" s="393">
        <v>5000000.0</v>
      </c>
      <c r="F362" s="198"/>
      <c r="G362" s="407"/>
      <c r="H362" s="408"/>
      <c r="I362" s="198"/>
      <c r="J362" s="198"/>
      <c r="K362" s="198"/>
      <c r="L362" s="409"/>
      <c r="M362" s="409"/>
      <c r="N362" s="410"/>
      <c r="O362" s="410"/>
      <c r="P362" s="79"/>
    </row>
    <row r="363" ht="22.5" customHeight="1">
      <c r="A363" s="49"/>
      <c r="C363" s="400">
        <v>46143.0</v>
      </c>
      <c r="D363" s="69" t="s">
        <v>123</v>
      </c>
      <c r="E363" s="393">
        <v>1.0E7</v>
      </c>
      <c r="F363" s="198"/>
      <c r="G363" s="407"/>
      <c r="H363" s="408"/>
      <c r="I363" s="198"/>
      <c r="J363" s="198"/>
      <c r="K363" s="198"/>
      <c r="L363" s="409"/>
      <c r="M363" s="409"/>
      <c r="N363" s="410"/>
      <c r="O363" s="410"/>
      <c r="P363" s="79"/>
    </row>
    <row r="364" ht="22.5" customHeight="1">
      <c r="A364" s="49"/>
      <c r="C364" s="400">
        <v>46144.0</v>
      </c>
      <c r="D364" s="69" t="s">
        <v>412</v>
      </c>
      <c r="E364" s="393">
        <v>475000.0</v>
      </c>
      <c r="F364" s="198"/>
      <c r="G364" s="407"/>
      <c r="H364" s="408"/>
      <c r="I364" s="198"/>
      <c r="J364" s="198"/>
      <c r="K364" s="198"/>
      <c r="L364" s="409"/>
      <c r="M364" s="409"/>
      <c r="N364" s="410"/>
      <c r="O364" s="410"/>
      <c r="P364" s="79"/>
    </row>
    <row r="365" ht="22.5" customHeight="1">
      <c r="A365" s="49"/>
      <c r="C365" s="400">
        <v>46147.0</v>
      </c>
      <c r="D365" s="69" t="s">
        <v>123</v>
      </c>
      <c r="E365" s="393">
        <v>9.40801E7</v>
      </c>
      <c r="F365" s="198"/>
      <c r="G365" s="407"/>
      <c r="H365" s="408"/>
      <c r="I365" s="198"/>
      <c r="J365" s="198"/>
      <c r="K365" s="198"/>
      <c r="L365" s="409"/>
      <c r="M365" s="409"/>
      <c r="N365" s="410"/>
      <c r="O365" s="410"/>
      <c r="P365" s="79"/>
    </row>
    <row r="366" ht="22.5" customHeight="1">
      <c r="A366" s="49"/>
      <c r="C366" s="400">
        <v>46147.0</v>
      </c>
      <c r="D366" s="69" t="s">
        <v>81</v>
      </c>
      <c r="E366" s="393">
        <v>6.7141E7</v>
      </c>
      <c r="F366" s="198"/>
      <c r="G366" s="407"/>
      <c r="H366" s="408"/>
      <c r="I366" s="198"/>
      <c r="J366" s="198"/>
      <c r="K366" s="198"/>
      <c r="L366" s="409"/>
      <c r="M366" s="409"/>
      <c r="N366" s="410"/>
      <c r="O366" s="410"/>
      <c r="P366" s="79"/>
    </row>
    <row r="367" ht="22.5" customHeight="1">
      <c r="A367" s="49"/>
      <c r="C367" s="400">
        <v>46147.0</v>
      </c>
      <c r="D367" s="69" t="s">
        <v>361</v>
      </c>
      <c r="E367" s="393">
        <v>6296400.0</v>
      </c>
      <c r="F367" s="198"/>
      <c r="G367" s="407"/>
      <c r="H367" s="408"/>
      <c r="I367" s="198"/>
      <c r="J367" s="198"/>
      <c r="K367" s="198"/>
      <c r="L367" s="409"/>
      <c r="M367" s="409"/>
      <c r="N367" s="410"/>
      <c r="O367" s="410"/>
      <c r="P367" s="79"/>
    </row>
    <row r="368" ht="22.5" customHeight="1">
      <c r="A368" s="49"/>
      <c r="C368" s="400">
        <v>46148.0</v>
      </c>
      <c r="D368" s="69" t="s">
        <v>198</v>
      </c>
      <c r="E368" s="393">
        <v>7499395.0</v>
      </c>
      <c r="F368" s="198"/>
      <c r="G368" s="407"/>
      <c r="H368" s="408"/>
      <c r="I368" s="198"/>
      <c r="J368" s="198"/>
      <c r="K368" s="198"/>
      <c r="L368" s="409"/>
      <c r="M368" s="409"/>
      <c r="N368" s="410"/>
      <c r="O368" s="410"/>
      <c r="P368" s="79"/>
    </row>
    <row r="369" ht="22.5" customHeight="1">
      <c r="A369" s="49"/>
      <c r="C369" s="400">
        <v>46149.0</v>
      </c>
      <c r="D369" s="69" t="s">
        <v>349</v>
      </c>
      <c r="E369" s="393">
        <v>4340000.0</v>
      </c>
      <c r="F369" s="198"/>
      <c r="G369" s="407"/>
      <c r="H369" s="408"/>
      <c r="I369" s="198"/>
      <c r="J369" s="198"/>
      <c r="K369" s="198"/>
      <c r="L369" s="409"/>
      <c r="M369" s="409"/>
      <c r="N369" s="410"/>
      <c r="O369" s="410"/>
      <c r="P369" s="79"/>
    </row>
    <row r="370" ht="22.5" customHeight="1">
      <c r="A370" s="49"/>
      <c r="C370" s="400">
        <v>46153.0</v>
      </c>
      <c r="D370" s="69" t="s">
        <v>97</v>
      </c>
      <c r="E370" s="393">
        <v>5.9751837E7</v>
      </c>
      <c r="F370" s="198"/>
      <c r="G370" s="407"/>
      <c r="H370" s="408"/>
      <c r="I370" s="198"/>
      <c r="J370" s="198"/>
      <c r="K370" s="198"/>
      <c r="L370" s="409"/>
      <c r="M370" s="409"/>
      <c r="N370" s="410"/>
      <c r="O370" s="410"/>
      <c r="P370" s="79"/>
    </row>
    <row r="371" ht="22.5" customHeight="1">
      <c r="A371" s="49"/>
      <c r="C371" s="400">
        <v>46153.0</v>
      </c>
      <c r="D371" s="69" t="s">
        <v>412</v>
      </c>
      <c r="E371" s="393">
        <v>1025000.0</v>
      </c>
      <c r="F371" s="198"/>
      <c r="G371" s="407"/>
      <c r="H371" s="408"/>
      <c r="I371" s="198"/>
      <c r="J371" s="198"/>
      <c r="K371" s="198"/>
      <c r="L371" s="409"/>
      <c r="M371" s="409"/>
      <c r="N371" s="410"/>
      <c r="O371" s="410"/>
      <c r="P371" s="79"/>
    </row>
    <row r="372" ht="22.5" customHeight="1">
      <c r="A372" s="49"/>
      <c r="C372" s="400">
        <v>46155.0</v>
      </c>
      <c r="D372" s="69" t="s">
        <v>81</v>
      </c>
      <c r="E372" s="393">
        <v>4650000.0</v>
      </c>
      <c r="F372" s="198"/>
      <c r="G372" s="407"/>
      <c r="H372" s="408"/>
      <c r="I372" s="198"/>
      <c r="J372" s="198"/>
      <c r="K372" s="198"/>
      <c r="L372" s="409"/>
      <c r="M372" s="409"/>
      <c r="N372" s="410"/>
      <c r="O372" s="410"/>
      <c r="P372" s="79"/>
    </row>
    <row r="373" ht="22.5" customHeight="1">
      <c r="A373" s="49"/>
      <c r="C373" s="400">
        <v>46160.0</v>
      </c>
      <c r="D373" s="69" t="s">
        <v>123</v>
      </c>
      <c r="E373" s="393">
        <v>4.4962E7</v>
      </c>
      <c r="F373" s="198"/>
      <c r="G373" s="407"/>
      <c r="H373" s="408"/>
      <c r="I373" s="198"/>
      <c r="J373" s="198"/>
      <c r="K373" s="198"/>
      <c r="L373" s="409"/>
      <c r="M373" s="409"/>
      <c r="N373" s="410"/>
      <c r="O373" s="410"/>
      <c r="P373" s="79"/>
    </row>
    <row r="374" ht="22.5" customHeight="1">
      <c r="A374" s="49"/>
      <c r="C374" s="400">
        <v>46163.0</v>
      </c>
      <c r="D374" s="69" t="s">
        <v>110</v>
      </c>
      <c r="E374" s="393">
        <v>9188400.0</v>
      </c>
      <c r="F374" s="198"/>
      <c r="G374" s="407"/>
      <c r="H374" s="408"/>
      <c r="I374" s="198"/>
      <c r="J374" s="198"/>
      <c r="K374" s="198"/>
      <c r="L374" s="409"/>
      <c r="M374" s="409"/>
      <c r="N374" s="410"/>
      <c r="O374" s="410"/>
      <c r="P374" s="79"/>
    </row>
    <row r="375" ht="22.5" customHeight="1">
      <c r="A375" s="49"/>
      <c r="C375" s="400">
        <v>46164.0</v>
      </c>
      <c r="D375" s="69" t="s">
        <v>335</v>
      </c>
      <c r="E375" s="393">
        <v>4.091E7</v>
      </c>
      <c r="F375" s="198"/>
      <c r="G375" s="407"/>
      <c r="H375" s="408"/>
      <c r="I375" s="198"/>
      <c r="J375" s="198"/>
      <c r="K375" s="198"/>
      <c r="L375" s="409"/>
      <c r="M375" s="409"/>
      <c r="N375" s="410"/>
      <c r="O375" s="410"/>
      <c r="P375" s="79"/>
    </row>
    <row r="376" ht="22.5" customHeight="1">
      <c r="A376" s="49"/>
      <c r="C376" s="400">
        <v>46168.0</v>
      </c>
      <c r="D376" s="69" t="s">
        <v>81</v>
      </c>
      <c r="E376" s="393">
        <v>5.8621E7</v>
      </c>
      <c r="F376" s="198"/>
      <c r="G376" s="407"/>
      <c r="H376" s="408"/>
      <c r="I376" s="198"/>
      <c r="J376" s="198"/>
      <c r="K376" s="198"/>
      <c r="L376" s="409"/>
      <c r="M376" s="409"/>
      <c r="N376" s="410"/>
      <c r="O376" s="410"/>
      <c r="P376" s="79"/>
    </row>
    <row r="377" ht="22.5" customHeight="1">
      <c r="A377" s="49"/>
      <c r="C377" s="400">
        <v>46172.0</v>
      </c>
      <c r="D377" s="69" t="s">
        <v>123</v>
      </c>
      <c r="E377" s="393">
        <v>6380000.0</v>
      </c>
      <c r="F377" s="198"/>
      <c r="G377" s="407"/>
      <c r="H377" s="408"/>
      <c r="I377" s="198"/>
      <c r="J377" s="198"/>
      <c r="K377" s="198"/>
      <c r="L377" s="409"/>
      <c r="M377" s="409"/>
      <c r="N377" s="410"/>
      <c r="O377" s="410"/>
      <c r="P377" s="79"/>
    </row>
    <row r="378" ht="22.5" customHeight="1">
      <c r="A378" s="49"/>
      <c r="C378" s="400">
        <v>46174.0</v>
      </c>
      <c r="D378" s="69" t="s">
        <v>412</v>
      </c>
      <c r="E378" s="393">
        <v>885000.0</v>
      </c>
      <c r="F378" s="198"/>
      <c r="G378" s="407"/>
      <c r="H378" s="408"/>
      <c r="I378" s="198"/>
      <c r="J378" s="198"/>
      <c r="K378" s="198"/>
      <c r="L378" s="409"/>
      <c r="M378" s="409"/>
      <c r="N378" s="410"/>
      <c r="O378" s="410"/>
      <c r="P378" s="79"/>
    </row>
    <row r="379" ht="22.5" customHeight="1">
      <c r="A379" s="49"/>
      <c r="C379" s="400">
        <v>46176.0</v>
      </c>
      <c r="D379" s="69" t="s">
        <v>412</v>
      </c>
      <c r="E379" s="393">
        <v>400000.0</v>
      </c>
      <c r="F379" s="198"/>
      <c r="G379" s="407"/>
      <c r="H379" s="408"/>
      <c r="I379" s="198"/>
      <c r="J379" s="198"/>
      <c r="K379" s="198"/>
      <c r="L379" s="409"/>
      <c r="M379" s="409"/>
      <c r="N379" s="410"/>
      <c r="O379" s="410"/>
      <c r="P379" s="79"/>
    </row>
    <row r="380" ht="22.5" customHeight="1">
      <c r="A380" s="49"/>
      <c r="C380" s="400">
        <v>46177.0</v>
      </c>
      <c r="D380" s="69" t="s">
        <v>97</v>
      </c>
      <c r="E380" s="393">
        <v>5.6355246E7</v>
      </c>
      <c r="F380" s="198"/>
      <c r="G380" s="407"/>
      <c r="H380" s="408"/>
      <c r="I380" s="198"/>
      <c r="J380" s="198"/>
      <c r="K380" s="198"/>
      <c r="L380" s="409"/>
      <c r="M380" s="409"/>
      <c r="N380" s="410"/>
      <c r="O380" s="410"/>
      <c r="P380" s="79"/>
    </row>
    <row r="381" ht="22.5" customHeight="1">
      <c r="A381" s="49"/>
      <c r="C381" s="400">
        <v>46181.0</v>
      </c>
      <c r="D381" s="69" t="s">
        <v>147</v>
      </c>
      <c r="E381" s="393">
        <v>3.4845E7</v>
      </c>
      <c r="F381" s="198"/>
      <c r="G381" s="407"/>
      <c r="H381" s="408"/>
      <c r="I381" s="198"/>
      <c r="J381" s="198"/>
      <c r="K381" s="198"/>
      <c r="L381" s="409"/>
      <c r="M381" s="409"/>
      <c r="N381" s="410"/>
      <c r="O381" s="410"/>
      <c r="P381" s="79"/>
    </row>
    <row r="382" ht="22.5" customHeight="1">
      <c r="A382" s="49"/>
      <c r="C382" s="400">
        <v>46181.0</v>
      </c>
      <c r="D382" s="69" t="s">
        <v>110</v>
      </c>
      <c r="E382" s="393">
        <v>3600000.0</v>
      </c>
      <c r="F382" s="198"/>
      <c r="G382" s="407"/>
      <c r="H382" s="408"/>
      <c r="I382" s="198"/>
      <c r="J382" s="198"/>
      <c r="K382" s="198"/>
      <c r="L382" s="409"/>
      <c r="M382" s="409"/>
      <c r="N382" s="410"/>
      <c r="O382" s="410"/>
      <c r="P382" s="79"/>
    </row>
    <row r="383" ht="22.5" customHeight="1">
      <c r="A383" s="49"/>
      <c r="C383" s="400">
        <v>46181.0</v>
      </c>
      <c r="D383" s="69" t="s">
        <v>110</v>
      </c>
      <c r="E383" s="393">
        <v>2060000.0</v>
      </c>
      <c r="F383" s="198"/>
      <c r="G383" s="407"/>
      <c r="H383" s="408"/>
      <c r="I383" s="198"/>
      <c r="J383" s="198"/>
      <c r="K383" s="198"/>
      <c r="L383" s="409"/>
      <c r="M383" s="409"/>
      <c r="N383" s="410"/>
      <c r="O383" s="410"/>
      <c r="P383" s="79"/>
    </row>
    <row r="384" ht="22.5" customHeight="1">
      <c r="A384" s="49"/>
      <c r="C384" s="400">
        <v>46186.0</v>
      </c>
      <c r="D384" s="69" t="s">
        <v>97</v>
      </c>
      <c r="E384" s="393">
        <v>5.8708455E7</v>
      </c>
      <c r="F384" s="198"/>
      <c r="G384" s="407"/>
      <c r="H384" s="408"/>
      <c r="I384" s="198"/>
      <c r="J384" s="198"/>
      <c r="K384" s="198"/>
      <c r="L384" s="409"/>
      <c r="M384" s="409"/>
      <c r="N384" s="410"/>
      <c r="O384" s="410"/>
      <c r="P384" s="79"/>
    </row>
    <row r="385" ht="22.5" customHeight="1">
      <c r="A385" s="49"/>
      <c r="C385" s="400">
        <v>46186.0</v>
      </c>
      <c r="D385" s="69" t="s">
        <v>412</v>
      </c>
      <c r="E385" s="393">
        <v>430000.0</v>
      </c>
      <c r="F385" s="198"/>
      <c r="G385" s="407"/>
      <c r="H385" s="408"/>
      <c r="I385" s="198"/>
      <c r="J385" s="198"/>
      <c r="K385" s="198"/>
      <c r="L385" s="409"/>
      <c r="M385" s="409"/>
      <c r="N385" s="410"/>
      <c r="O385" s="410"/>
      <c r="P385" s="79"/>
    </row>
    <row r="386" ht="22.5" customHeight="1">
      <c r="A386" s="49"/>
      <c r="C386" s="400">
        <v>46192.0</v>
      </c>
      <c r="D386" s="69" t="s">
        <v>412</v>
      </c>
      <c r="E386" s="393">
        <v>372000.0</v>
      </c>
      <c r="F386" s="198"/>
      <c r="G386" s="407"/>
      <c r="H386" s="408"/>
      <c r="I386" s="198"/>
      <c r="J386" s="198"/>
      <c r="K386" s="198"/>
      <c r="L386" s="409"/>
      <c r="M386" s="409"/>
      <c r="N386" s="410"/>
      <c r="O386" s="410"/>
      <c r="P386" s="79"/>
    </row>
    <row r="387" ht="22.5" customHeight="1">
      <c r="A387" s="49"/>
      <c r="C387" s="400">
        <v>46193.0</v>
      </c>
      <c r="D387" s="69" t="s">
        <v>81</v>
      </c>
      <c r="E387" s="393">
        <v>5.0E7</v>
      </c>
      <c r="F387" s="198"/>
      <c r="G387" s="407"/>
      <c r="H387" s="408"/>
      <c r="I387" s="198"/>
      <c r="J387" s="198"/>
      <c r="K387" s="198"/>
      <c r="L387" s="409"/>
      <c r="M387" s="409"/>
      <c r="N387" s="410"/>
      <c r="O387" s="410"/>
      <c r="P387" s="79"/>
    </row>
    <row r="388" ht="22.5" customHeight="1">
      <c r="A388" s="49"/>
      <c r="C388" s="400">
        <v>46195.0</v>
      </c>
      <c r="D388" s="69" t="s">
        <v>110</v>
      </c>
      <c r="E388" s="393">
        <v>9800000.0</v>
      </c>
      <c r="F388" s="198"/>
      <c r="G388" s="407"/>
      <c r="H388" s="408"/>
      <c r="I388" s="198"/>
      <c r="J388" s="198"/>
      <c r="K388" s="198"/>
      <c r="L388" s="409"/>
      <c r="M388" s="409"/>
      <c r="N388" s="410"/>
      <c r="O388" s="410"/>
      <c r="P388" s="79"/>
    </row>
    <row r="389" ht="22.5" customHeight="1">
      <c r="A389" s="49"/>
      <c r="C389" s="400">
        <v>46198.0</v>
      </c>
      <c r="D389" s="69" t="s">
        <v>110</v>
      </c>
      <c r="E389" s="393">
        <v>1.0491E7</v>
      </c>
      <c r="F389" s="198"/>
      <c r="G389" s="407"/>
      <c r="H389" s="408"/>
      <c r="I389" s="198"/>
      <c r="J389" s="198"/>
      <c r="K389" s="198"/>
      <c r="L389" s="409"/>
      <c r="M389" s="409"/>
      <c r="N389" s="410"/>
      <c r="O389" s="410"/>
      <c r="P389" s="79"/>
    </row>
    <row r="390" ht="22.5" customHeight="1">
      <c r="A390" s="49"/>
      <c r="C390" s="400">
        <v>46199.0</v>
      </c>
      <c r="D390" s="69" t="s">
        <v>123</v>
      </c>
      <c r="E390" s="393">
        <v>6.30601E7</v>
      </c>
      <c r="F390" s="198"/>
      <c r="G390" s="407"/>
      <c r="H390" s="408"/>
      <c r="I390" s="198"/>
      <c r="J390" s="198"/>
      <c r="K390" s="198"/>
      <c r="L390" s="409"/>
      <c r="M390" s="409"/>
      <c r="N390" s="410"/>
      <c r="O390" s="410"/>
      <c r="P390" s="79"/>
    </row>
    <row r="391" ht="22.5" customHeight="1">
      <c r="A391" s="49"/>
      <c r="C391" s="400">
        <v>46199.0</v>
      </c>
      <c r="D391" s="69" t="s">
        <v>412</v>
      </c>
      <c r="E391" s="393">
        <v>485000.0</v>
      </c>
      <c r="F391" s="198"/>
      <c r="G391" s="407"/>
      <c r="H391" s="408"/>
      <c r="I391" s="198"/>
      <c r="J391" s="198"/>
      <c r="K391" s="198"/>
      <c r="L391" s="409"/>
      <c r="M391" s="409"/>
      <c r="N391" s="410"/>
      <c r="O391" s="410"/>
      <c r="P391" s="79"/>
    </row>
    <row r="392" ht="22.5" customHeight="1">
      <c r="A392" s="49"/>
      <c r="C392" s="400">
        <v>46203.0</v>
      </c>
      <c r="D392" s="69" t="s">
        <v>81</v>
      </c>
      <c r="E392" s="393">
        <v>5.0E7</v>
      </c>
      <c r="F392" s="198"/>
      <c r="G392" s="407"/>
      <c r="H392" s="408"/>
      <c r="I392" s="198"/>
      <c r="J392" s="198"/>
      <c r="K392" s="198"/>
      <c r="L392" s="409"/>
      <c r="M392" s="409"/>
      <c r="N392" s="410"/>
      <c r="O392" s="410"/>
      <c r="P392" s="79"/>
    </row>
    <row r="393" ht="22.5" customHeight="1">
      <c r="A393" s="49"/>
      <c r="C393" s="400">
        <v>46204.0</v>
      </c>
      <c r="D393" s="69" t="s">
        <v>257</v>
      </c>
      <c r="E393" s="393">
        <v>2398700.0</v>
      </c>
      <c r="F393" s="198"/>
      <c r="G393" s="407"/>
      <c r="H393" s="408"/>
      <c r="I393" s="198"/>
      <c r="J393" s="198"/>
      <c r="K393" s="198"/>
      <c r="L393" s="409"/>
      <c r="M393" s="409"/>
      <c r="N393" s="410"/>
      <c r="O393" s="410"/>
      <c r="P393" s="79"/>
    </row>
    <row r="394" ht="22.5" customHeight="1">
      <c r="A394" s="49"/>
      <c r="C394" s="400">
        <v>46205.0</v>
      </c>
      <c r="D394" s="69" t="s">
        <v>110</v>
      </c>
      <c r="E394" s="393">
        <v>1.21971E7</v>
      </c>
      <c r="F394" s="198"/>
      <c r="G394" s="407"/>
      <c r="H394" s="408"/>
      <c r="I394" s="198"/>
      <c r="J394" s="198"/>
      <c r="K394" s="198"/>
      <c r="L394" s="409"/>
      <c r="M394" s="409"/>
      <c r="N394" s="410"/>
      <c r="O394" s="410"/>
      <c r="P394" s="79"/>
    </row>
    <row r="395" ht="22.5" customHeight="1">
      <c r="A395" s="49"/>
      <c r="C395" s="400">
        <v>46211.0</v>
      </c>
      <c r="D395" s="69" t="s">
        <v>335</v>
      </c>
      <c r="E395" s="393">
        <v>5.485E7</v>
      </c>
      <c r="F395" s="198"/>
      <c r="G395" s="407"/>
      <c r="H395" s="408"/>
      <c r="I395" s="198"/>
      <c r="J395" s="198"/>
      <c r="K395" s="198"/>
      <c r="L395" s="409"/>
      <c r="M395" s="409"/>
      <c r="N395" s="410"/>
      <c r="O395" s="410"/>
      <c r="P395" s="79"/>
    </row>
    <row r="396" ht="22.5" customHeight="1">
      <c r="A396" s="49"/>
      <c r="C396" s="400">
        <v>46211.0</v>
      </c>
      <c r="D396" s="69" t="s">
        <v>110</v>
      </c>
      <c r="E396" s="393">
        <v>1.465E7</v>
      </c>
      <c r="F396" s="9"/>
      <c r="G396" s="378"/>
      <c r="H396" s="378"/>
      <c r="I396" s="9"/>
      <c r="J396" s="9"/>
      <c r="K396" s="398"/>
      <c r="L396" s="434"/>
      <c r="M396" s="434"/>
      <c r="N396" s="435"/>
      <c r="O396" s="436"/>
      <c r="P396" s="101"/>
    </row>
    <row r="397" ht="22.5" customHeight="1">
      <c r="A397" s="49"/>
      <c r="C397" s="400">
        <v>46214.0</v>
      </c>
      <c r="D397" s="69" t="s">
        <v>81</v>
      </c>
      <c r="E397" s="393">
        <v>3.77065E7</v>
      </c>
      <c r="F397" s="9"/>
      <c r="G397" s="378"/>
      <c r="H397" s="378"/>
      <c r="I397" s="9"/>
      <c r="J397" s="9"/>
      <c r="K397" s="398"/>
      <c r="L397" s="434"/>
      <c r="M397" s="434"/>
      <c r="N397" s="435"/>
      <c r="O397" s="436"/>
      <c r="P397" s="101"/>
    </row>
    <row r="398" ht="22.5" customHeight="1">
      <c r="A398" s="49"/>
      <c r="C398" s="400">
        <v>46216.0</v>
      </c>
      <c r="D398" s="69" t="s">
        <v>412</v>
      </c>
      <c r="E398" s="393">
        <v>931000.0</v>
      </c>
      <c r="F398" s="437"/>
      <c r="G398" s="438"/>
      <c r="H398" s="439"/>
      <c r="I398" s="437"/>
      <c r="J398" s="437"/>
      <c r="K398" s="437"/>
      <c r="L398" s="440"/>
      <c r="M398" s="440"/>
      <c r="N398" s="441"/>
      <c r="O398" s="441"/>
      <c r="P398" s="101"/>
    </row>
    <row r="399" ht="22.5" customHeight="1">
      <c r="A399" s="49"/>
      <c r="C399" s="400">
        <v>46216.0</v>
      </c>
      <c r="D399" s="69" t="s">
        <v>110</v>
      </c>
      <c r="E399" s="74">
        <v>1929200.0</v>
      </c>
      <c r="F399" s="437"/>
      <c r="G399" s="438"/>
      <c r="H399" s="439"/>
      <c r="I399" s="437"/>
      <c r="J399" s="437"/>
      <c r="K399" s="437"/>
      <c r="L399" s="440"/>
      <c r="M399" s="440"/>
      <c r="N399" s="441"/>
      <c r="O399" s="441"/>
      <c r="P399" s="101"/>
    </row>
    <row r="400" ht="22.5" customHeight="1">
      <c r="A400" s="49"/>
      <c r="C400" s="400">
        <v>46219.0</v>
      </c>
      <c r="D400" s="69" t="s">
        <v>81</v>
      </c>
      <c r="E400" s="393">
        <v>1028000.0</v>
      </c>
      <c r="F400" s="437"/>
      <c r="G400" s="438"/>
      <c r="H400" s="439"/>
      <c r="I400" s="437"/>
      <c r="J400" s="437"/>
      <c r="K400" s="437"/>
      <c r="L400" s="440"/>
      <c r="M400" s="440"/>
      <c r="N400" s="441"/>
      <c r="O400" s="441"/>
      <c r="P400" s="101"/>
    </row>
    <row r="401" ht="22.5" customHeight="1">
      <c r="A401" s="49"/>
      <c r="C401" s="400">
        <v>46217.0</v>
      </c>
      <c r="D401" s="69" t="s">
        <v>198</v>
      </c>
      <c r="E401" s="393">
        <v>5000000.0</v>
      </c>
      <c r="F401" s="9"/>
      <c r="G401" s="378"/>
      <c r="H401" s="442"/>
      <c r="I401" s="9"/>
      <c r="J401" s="9"/>
      <c r="K401" s="398"/>
      <c r="L401" s="9"/>
      <c r="M401" s="9"/>
      <c r="O401" s="101"/>
      <c r="P401" s="101"/>
    </row>
    <row r="402" ht="22.5" customHeight="1">
      <c r="A402" s="49"/>
      <c r="C402" s="400">
        <v>46218.0</v>
      </c>
      <c r="D402" s="69" t="s">
        <v>198</v>
      </c>
      <c r="E402" s="393">
        <v>4000000.0</v>
      </c>
      <c r="F402" s="9"/>
      <c r="G402" s="378"/>
      <c r="H402" s="442"/>
      <c r="I402" s="9"/>
      <c r="J402" s="9"/>
      <c r="K402" s="398"/>
      <c r="L402" s="9"/>
      <c r="M402" s="9"/>
      <c r="O402" s="101"/>
      <c r="P402" s="101"/>
    </row>
    <row r="403" ht="22.5" customHeight="1">
      <c r="A403" s="49"/>
      <c r="C403" s="400">
        <v>46218.0</v>
      </c>
      <c r="D403" s="69" t="s">
        <v>198</v>
      </c>
      <c r="E403" s="393">
        <v>2438696.0</v>
      </c>
      <c r="F403" s="9"/>
      <c r="G403" s="378"/>
      <c r="H403" s="442"/>
      <c r="I403" s="9"/>
      <c r="J403" s="9"/>
      <c r="K403" s="398"/>
      <c r="L403" s="9"/>
      <c r="M403" s="9"/>
      <c r="O403" s="101"/>
      <c r="P403" s="101"/>
    </row>
    <row r="404" ht="22.5" customHeight="1">
      <c r="A404" s="49"/>
      <c r="C404" s="400">
        <v>46225.0</v>
      </c>
      <c r="D404" s="69" t="s">
        <v>123</v>
      </c>
      <c r="E404" s="393">
        <v>6.0E7</v>
      </c>
      <c r="F404" s="9"/>
      <c r="G404" s="378"/>
      <c r="H404" s="442"/>
      <c r="I404" s="9"/>
      <c r="J404" s="9"/>
      <c r="K404" s="398"/>
      <c r="L404" s="9"/>
      <c r="M404" s="9"/>
      <c r="O404" s="101"/>
      <c r="P404" s="101"/>
    </row>
    <row r="405" ht="22.5" customHeight="1">
      <c r="A405" s="49"/>
      <c r="C405" s="400">
        <v>46225.0</v>
      </c>
      <c r="D405" s="69" t="s">
        <v>257</v>
      </c>
      <c r="E405" s="393">
        <v>1585302.0</v>
      </c>
      <c r="F405" s="9"/>
      <c r="G405" s="378"/>
      <c r="H405" s="442"/>
      <c r="I405" s="9"/>
      <c r="J405" s="9"/>
      <c r="K405" s="398"/>
      <c r="L405" s="9"/>
      <c r="M405" s="9"/>
      <c r="O405" s="101"/>
      <c r="P405" s="101"/>
    </row>
    <row r="406" ht="22.5" customHeight="1">
      <c r="A406" s="49"/>
      <c r="C406" s="400">
        <v>46226.0</v>
      </c>
      <c r="D406" s="69" t="s">
        <v>361</v>
      </c>
      <c r="E406" s="393">
        <v>1.034E7</v>
      </c>
      <c r="F406" s="9"/>
      <c r="G406" s="378"/>
      <c r="H406" s="442"/>
      <c r="I406" s="9"/>
      <c r="J406" s="9"/>
      <c r="K406" s="398"/>
      <c r="L406" s="9"/>
      <c r="M406" s="9"/>
      <c r="O406" s="101"/>
      <c r="P406" s="101"/>
    </row>
    <row r="407" ht="22.5" customHeight="1">
      <c r="A407" s="49"/>
      <c r="C407" s="400">
        <v>46227.0</v>
      </c>
      <c r="D407" s="69" t="s">
        <v>81</v>
      </c>
      <c r="E407" s="393">
        <v>2.34145E7</v>
      </c>
      <c r="F407" s="9"/>
      <c r="G407" s="378"/>
      <c r="H407" s="442"/>
      <c r="I407" s="9"/>
      <c r="J407" s="9"/>
      <c r="K407" s="398"/>
      <c r="L407" s="9"/>
      <c r="M407" s="9"/>
      <c r="O407" s="101"/>
      <c r="P407" s="101"/>
    </row>
    <row r="408" ht="22.5" customHeight="1">
      <c r="A408" s="49"/>
      <c r="C408" s="400">
        <v>46230.0</v>
      </c>
      <c r="D408" s="69" t="s">
        <v>185</v>
      </c>
      <c r="E408" s="393">
        <v>1.1E7</v>
      </c>
      <c r="F408" s="9"/>
      <c r="G408" s="378"/>
      <c r="H408" s="442"/>
      <c r="I408" s="9"/>
      <c r="J408" s="9"/>
      <c r="K408" s="398"/>
      <c r="L408" s="9"/>
      <c r="M408" s="9"/>
      <c r="O408" s="101"/>
      <c r="P408" s="101"/>
    </row>
    <row r="409" ht="22.5" customHeight="1">
      <c r="A409" s="49"/>
      <c r="C409" s="400">
        <v>46231.0</v>
      </c>
      <c r="D409" s="69" t="s">
        <v>185</v>
      </c>
      <c r="E409" s="393">
        <v>5000000.0</v>
      </c>
      <c r="F409" s="9"/>
      <c r="G409" s="378"/>
      <c r="H409" s="442"/>
      <c r="I409" s="9"/>
      <c r="J409" s="9"/>
      <c r="K409" s="398"/>
      <c r="L409" s="9"/>
      <c r="M409" s="9"/>
      <c r="O409" s="101"/>
      <c r="P409" s="101"/>
    </row>
    <row r="410" ht="22.5" customHeight="1">
      <c r="A410" s="49"/>
      <c r="C410" s="400">
        <v>46231.0</v>
      </c>
      <c r="D410" s="69" t="s">
        <v>123</v>
      </c>
      <c r="E410" s="393">
        <v>1.76278E7</v>
      </c>
      <c r="F410" s="9"/>
      <c r="G410" s="378"/>
      <c r="H410" s="442"/>
      <c r="I410" s="9"/>
      <c r="J410" s="9"/>
      <c r="K410" s="398"/>
      <c r="L410" s="9"/>
      <c r="M410" s="9"/>
      <c r="O410" s="101"/>
      <c r="P410" s="101"/>
    </row>
    <row r="411" ht="22.5" customHeight="1">
      <c r="A411" s="49"/>
      <c r="C411" s="400">
        <v>46235.0</v>
      </c>
      <c r="D411" s="69" t="s">
        <v>110</v>
      </c>
      <c r="E411" s="140">
        <v>2575000.0</v>
      </c>
      <c r="F411" s="9"/>
      <c r="G411" s="378"/>
      <c r="H411" s="442"/>
      <c r="I411" s="9"/>
      <c r="J411" s="9"/>
      <c r="K411" s="398"/>
      <c r="L411" s="9"/>
      <c r="M411" s="9"/>
      <c r="O411" s="101"/>
      <c r="P411" s="101"/>
    </row>
    <row r="412" ht="22.5" customHeight="1">
      <c r="A412" s="49"/>
      <c r="C412" s="400">
        <v>46237.0</v>
      </c>
      <c r="D412" s="69" t="s">
        <v>81</v>
      </c>
      <c r="E412" s="140">
        <v>2724000.0</v>
      </c>
      <c r="F412" s="9"/>
      <c r="G412" s="378"/>
      <c r="H412" s="442"/>
      <c r="I412" s="9"/>
      <c r="J412" s="9"/>
      <c r="K412" s="398"/>
      <c r="L412" s="9"/>
      <c r="M412" s="9"/>
      <c r="O412" s="101"/>
      <c r="P412" s="101"/>
    </row>
    <row r="413" ht="22.5" customHeight="1">
      <c r="A413" s="49"/>
      <c r="C413" s="400">
        <v>46237.0</v>
      </c>
      <c r="D413" s="69" t="s">
        <v>257</v>
      </c>
      <c r="E413" s="393">
        <v>777595.0</v>
      </c>
      <c r="F413" s="9"/>
      <c r="G413" s="378"/>
      <c r="H413" s="442"/>
      <c r="I413" s="9"/>
      <c r="J413" s="9"/>
      <c r="K413" s="398"/>
      <c r="L413" s="9"/>
      <c r="M413" s="9"/>
      <c r="O413" s="101"/>
      <c r="P413" s="101"/>
    </row>
    <row r="414" ht="22.5" customHeight="1">
      <c r="A414" s="49"/>
      <c r="C414" s="400">
        <v>46237.0</v>
      </c>
      <c r="D414" s="69" t="s">
        <v>81</v>
      </c>
      <c r="E414" s="393">
        <v>7.67745E7</v>
      </c>
      <c r="F414" s="9"/>
      <c r="G414" s="378"/>
      <c r="H414" s="442"/>
      <c r="I414" s="9"/>
      <c r="J414" s="9"/>
      <c r="K414" s="398"/>
      <c r="L414" s="9"/>
      <c r="M414" s="9"/>
      <c r="O414" s="101"/>
      <c r="P414" s="101"/>
    </row>
    <row r="415" ht="22.5" customHeight="1">
      <c r="A415" s="49"/>
      <c r="C415" s="400">
        <v>46238.0</v>
      </c>
      <c r="D415" s="69" t="s">
        <v>185</v>
      </c>
      <c r="E415" s="393">
        <v>4190000.0</v>
      </c>
      <c r="F415" s="9"/>
      <c r="G415" s="378"/>
      <c r="H415" s="442"/>
      <c r="I415" s="9"/>
      <c r="J415" s="9"/>
      <c r="K415" s="398"/>
      <c r="L415" s="9"/>
      <c r="M415" s="9"/>
      <c r="O415" s="101"/>
      <c r="P415" s="101"/>
    </row>
    <row r="416" ht="22.5" customHeight="1">
      <c r="A416" s="49"/>
      <c r="C416" s="400">
        <v>46240.0</v>
      </c>
      <c r="D416" s="69" t="s">
        <v>97</v>
      </c>
      <c r="E416" s="393">
        <v>2.79E7</v>
      </c>
      <c r="F416" s="9"/>
      <c r="G416" s="378"/>
      <c r="H416" s="442"/>
      <c r="I416" s="9"/>
      <c r="J416" s="9"/>
      <c r="K416" s="398"/>
      <c r="L416" s="9"/>
      <c r="M416" s="9"/>
      <c r="O416" s="101"/>
      <c r="P416" s="101"/>
    </row>
    <row r="417" ht="22.5" customHeight="1">
      <c r="A417" s="49"/>
      <c r="C417" s="400">
        <v>46240.0</v>
      </c>
      <c r="D417" s="69" t="s">
        <v>110</v>
      </c>
      <c r="E417" s="393">
        <v>1621500.0</v>
      </c>
      <c r="F417" s="9"/>
      <c r="G417" s="378"/>
      <c r="H417" s="442"/>
      <c r="I417" s="9"/>
      <c r="J417" s="9"/>
      <c r="K417" s="398"/>
      <c r="L417" s="9"/>
      <c r="M417" s="9"/>
      <c r="O417" s="101"/>
      <c r="P417" s="101"/>
    </row>
    <row r="418" ht="22.5" customHeight="1">
      <c r="A418" s="49"/>
      <c r="C418" s="400">
        <v>46242.0</v>
      </c>
      <c r="D418" s="69" t="s">
        <v>110</v>
      </c>
      <c r="E418" s="393">
        <v>6000000.0</v>
      </c>
      <c r="F418" s="9"/>
      <c r="G418" s="378"/>
      <c r="H418" s="442"/>
      <c r="I418" s="9"/>
      <c r="J418" s="9"/>
      <c r="K418" s="398"/>
      <c r="L418" s="9"/>
      <c r="M418" s="9"/>
      <c r="O418" s="101"/>
      <c r="P418" s="101"/>
    </row>
    <row r="419" ht="22.5" customHeight="1">
      <c r="A419" s="49"/>
      <c r="C419" s="400">
        <v>46242.0</v>
      </c>
      <c r="D419" s="69" t="s">
        <v>110</v>
      </c>
      <c r="E419" s="393">
        <v>5544800.0</v>
      </c>
      <c r="F419" s="9"/>
      <c r="G419" s="378"/>
      <c r="H419" s="442"/>
      <c r="I419" s="9"/>
      <c r="J419" s="9"/>
      <c r="K419" s="398"/>
      <c r="L419" s="9"/>
      <c r="M419" s="9"/>
      <c r="O419" s="101"/>
      <c r="P419" s="101"/>
    </row>
    <row r="420" ht="22.5" customHeight="1">
      <c r="A420" s="49"/>
      <c r="C420" s="400">
        <v>46246.0</v>
      </c>
      <c r="D420" s="69" t="s">
        <v>198</v>
      </c>
      <c r="E420" s="393">
        <v>4234822.0</v>
      </c>
      <c r="F420" s="9"/>
      <c r="G420" s="378"/>
      <c r="H420" s="442"/>
      <c r="I420" s="9"/>
      <c r="J420" s="9"/>
      <c r="K420" s="398"/>
      <c r="L420" s="9"/>
      <c r="M420" s="9"/>
      <c r="O420" s="101"/>
      <c r="P420" s="101"/>
    </row>
    <row r="421" ht="22.5" customHeight="1">
      <c r="A421" s="49"/>
      <c r="C421" s="400">
        <v>46246.0</v>
      </c>
      <c r="D421" s="69" t="s">
        <v>257</v>
      </c>
      <c r="E421" s="393">
        <v>572700.0</v>
      </c>
      <c r="F421" s="9"/>
      <c r="G421" s="378"/>
      <c r="H421" s="442"/>
      <c r="I421" s="9"/>
      <c r="J421" s="9"/>
      <c r="K421" s="398"/>
      <c r="L421" s="9"/>
      <c r="M421" s="9"/>
      <c r="O421" s="101"/>
      <c r="P421" s="101"/>
    </row>
    <row r="422" ht="22.5" customHeight="1">
      <c r="A422" s="49"/>
      <c r="C422" s="400">
        <v>46246.0</v>
      </c>
      <c r="D422" s="69" t="s">
        <v>335</v>
      </c>
      <c r="E422" s="443">
        <v>6.783E7</v>
      </c>
      <c r="F422" s="9"/>
      <c r="G422" s="378"/>
      <c r="H422" s="442"/>
      <c r="I422" s="9"/>
      <c r="J422" s="9"/>
      <c r="K422" s="398"/>
      <c r="L422" s="9"/>
      <c r="M422" s="9"/>
      <c r="O422" s="101"/>
      <c r="P422" s="101"/>
    </row>
    <row r="423" ht="22.5" customHeight="1">
      <c r="A423" s="49"/>
      <c r="C423" s="400">
        <v>46247.0</v>
      </c>
      <c r="D423" s="69" t="s">
        <v>386</v>
      </c>
      <c r="E423" s="393">
        <v>3950000.0</v>
      </c>
      <c r="F423" s="9"/>
      <c r="G423" s="378"/>
      <c r="H423" s="442"/>
      <c r="I423" s="9"/>
      <c r="J423" s="9"/>
      <c r="K423" s="398"/>
      <c r="L423" s="9"/>
      <c r="M423" s="9"/>
      <c r="O423" s="101"/>
      <c r="P423" s="101"/>
    </row>
    <row r="424" ht="22.5" customHeight="1">
      <c r="A424" s="49"/>
      <c r="C424" s="400">
        <v>46247.0</v>
      </c>
      <c r="D424" s="69" t="s">
        <v>412</v>
      </c>
      <c r="E424" s="393">
        <v>315000.0</v>
      </c>
      <c r="F424" s="9"/>
      <c r="G424" s="378"/>
      <c r="H424" s="442"/>
      <c r="I424" s="9"/>
      <c r="J424" s="9"/>
      <c r="K424" s="398"/>
      <c r="L424" s="9"/>
      <c r="M424" s="9"/>
      <c r="O424" s="101"/>
      <c r="P424" s="101"/>
    </row>
    <row r="425" ht="22.5" customHeight="1">
      <c r="A425" s="49"/>
      <c r="C425" s="400">
        <v>46248.0</v>
      </c>
      <c r="D425" s="69" t="s">
        <v>361</v>
      </c>
      <c r="E425" s="393">
        <v>1.155E7</v>
      </c>
      <c r="F425" s="9"/>
      <c r="G425" s="378"/>
      <c r="H425" s="442"/>
      <c r="I425" s="9"/>
      <c r="J425" s="9"/>
      <c r="K425" s="398"/>
      <c r="L425" s="9"/>
      <c r="M425" s="9"/>
      <c r="O425" s="101"/>
      <c r="P425" s="101"/>
    </row>
    <row r="426" ht="22.5" customHeight="1">
      <c r="A426" s="49"/>
      <c r="C426" s="400">
        <v>46254.0</v>
      </c>
      <c r="D426" s="69" t="s">
        <v>123</v>
      </c>
      <c r="E426" s="393">
        <v>2.86257E7</v>
      </c>
      <c r="F426" s="9"/>
      <c r="G426" s="378"/>
      <c r="H426" s="442"/>
      <c r="I426" s="9"/>
      <c r="J426" s="9"/>
      <c r="K426" s="398"/>
      <c r="L426" s="9"/>
      <c r="M426" s="9"/>
      <c r="O426" s="101"/>
      <c r="P426" s="101"/>
    </row>
    <row r="427" ht="22.5" customHeight="1">
      <c r="A427" s="49"/>
      <c r="C427" s="400">
        <v>46256.0</v>
      </c>
      <c r="D427" s="69" t="s">
        <v>110</v>
      </c>
      <c r="E427" s="393">
        <v>4250000.0</v>
      </c>
      <c r="F427" s="9"/>
      <c r="G427" s="378"/>
      <c r="H427" s="442"/>
      <c r="I427" s="9"/>
      <c r="J427" s="9"/>
      <c r="K427" s="398"/>
      <c r="L427" s="9"/>
      <c r="M427" s="9"/>
      <c r="O427" s="101"/>
      <c r="P427" s="101"/>
    </row>
    <row r="428" ht="22.5" customHeight="1">
      <c r="A428" s="49"/>
      <c r="C428" s="400">
        <v>46258.0</v>
      </c>
      <c r="D428" s="69" t="s">
        <v>412</v>
      </c>
      <c r="E428" s="393">
        <v>310000.0</v>
      </c>
      <c r="F428" s="9"/>
      <c r="G428" s="378"/>
      <c r="H428" s="442"/>
      <c r="I428" s="9"/>
      <c r="J428" s="9"/>
      <c r="K428" s="398"/>
      <c r="L428" s="9"/>
      <c r="M428" s="9"/>
      <c r="O428" s="101"/>
      <c r="P428" s="101"/>
    </row>
    <row r="429" ht="22.5" customHeight="1">
      <c r="A429" s="49"/>
      <c r="C429" s="400">
        <v>46258.0</v>
      </c>
      <c r="D429" s="69" t="s">
        <v>2378</v>
      </c>
      <c r="E429" s="393">
        <v>600000.0</v>
      </c>
      <c r="F429" s="9"/>
      <c r="G429" s="378"/>
      <c r="H429" s="442"/>
      <c r="I429" s="9"/>
      <c r="J429" s="9"/>
      <c r="K429" s="398"/>
      <c r="L429" s="9"/>
      <c r="M429" s="9"/>
      <c r="O429" s="101"/>
      <c r="P429" s="101"/>
    </row>
    <row r="430" ht="22.5" customHeight="1">
      <c r="A430" s="49"/>
      <c r="C430" s="400">
        <v>46247.0</v>
      </c>
      <c r="D430" s="69" t="s">
        <v>2378</v>
      </c>
      <c r="E430" s="393">
        <v>400000.0</v>
      </c>
      <c r="F430" s="9"/>
      <c r="G430" s="378"/>
      <c r="H430" s="442"/>
      <c r="I430" s="9"/>
      <c r="J430" s="9"/>
      <c r="K430" s="398"/>
      <c r="L430" s="9"/>
      <c r="M430" s="9"/>
      <c r="O430" s="101"/>
      <c r="P430" s="101"/>
    </row>
    <row r="431" ht="22.5" customHeight="1">
      <c r="A431" s="49"/>
      <c r="C431" s="400">
        <v>46262.0</v>
      </c>
      <c r="D431" s="69" t="s">
        <v>81</v>
      </c>
      <c r="E431" s="393">
        <v>4.4838313E7</v>
      </c>
      <c r="F431" s="9"/>
      <c r="G431" s="378"/>
      <c r="H431" s="442"/>
      <c r="I431" s="9"/>
      <c r="J431" s="9"/>
      <c r="K431" s="398"/>
      <c r="L431" s="9"/>
      <c r="M431" s="9"/>
      <c r="O431" s="101"/>
      <c r="P431" s="101"/>
    </row>
    <row r="432" ht="22.5" customHeight="1">
      <c r="A432" s="49"/>
      <c r="C432" s="400">
        <v>46266.0</v>
      </c>
      <c r="D432" s="69" t="s">
        <v>123</v>
      </c>
      <c r="E432" s="393">
        <v>1403600.0</v>
      </c>
      <c r="F432" s="9"/>
      <c r="G432" s="378"/>
      <c r="H432" s="442"/>
      <c r="I432" s="9"/>
      <c r="J432" s="9"/>
      <c r="K432" s="398"/>
      <c r="L432" s="9"/>
      <c r="M432" s="9"/>
      <c r="O432" s="101"/>
      <c r="P432" s="101"/>
    </row>
    <row r="433" ht="22.5" customHeight="1">
      <c r="A433" s="49"/>
      <c r="C433" s="400">
        <v>46266.0</v>
      </c>
      <c r="D433" s="69" t="s">
        <v>386</v>
      </c>
      <c r="E433" s="393">
        <v>3880000.0</v>
      </c>
      <c r="F433" s="9"/>
      <c r="G433" s="378"/>
      <c r="H433" s="442"/>
      <c r="I433" s="9"/>
      <c r="J433" s="9"/>
      <c r="K433" s="398"/>
      <c r="L433" s="9"/>
      <c r="M433" s="9"/>
      <c r="O433" s="101"/>
      <c r="P433" s="101"/>
    </row>
    <row r="434" ht="22.5" customHeight="1">
      <c r="A434" s="49"/>
      <c r="C434" s="400">
        <v>46267.0</v>
      </c>
      <c r="D434" s="69" t="s">
        <v>110</v>
      </c>
      <c r="E434" s="393">
        <v>1.2E7</v>
      </c>
      <c r="F434" s="9"/>
      <c r="G434" s="378"/>
      <c r="H434" s="442"/>
      <c r="I434" s="9"/>
      <c r="J434" s="9"/>
      <c r="K434" s="398"/>
      <c r="L434" s="9"/>
      <c r="M434" s="9"/>
      <c r="O434" s="101"/>
      <c r="P434" s="101"/>
    </row>
    <row r="435" ht="22.5" customHeight="1">
      <c r="A435" s="49"/>
      <c r="C435" s="400">
        <v>46268.0</v>
      </c>
      <c r="D435" s="69" t="s">
        <v>97</v>
      </c>
      <c r="E435" s="393">
        <v>9.3095E7</v>
      </c>
      <c r="F435" s="9"/>
      <c r="G435" s="378"/>
      <c r="H435" s="442"/>
      <c r="I435" s="9"/>
      <c r="J435" s="9"/>
      <c r="K435" s="398"/>
      <c r="L435" s="9"/>
      <c r="M435" s="9"/>
      <c r="O435" s="101"/>
      <c r="P435" s="101"/>
    </row>
    <row r="436" ht="22.5" customHeight="1">
      <c r="A436" s="49"/>
      <c r="C436" s="400">
        <v>46268.0</v>
      </c>
      <c r="D436" s="69" t="s">
        <v>400</v>
      </c>
      <c r="E436" s="393">
        <v>6137000.0</v>
      </c>
      <c r="F436" s="9"/>
      <c r="G436" s="378"/>
      <c r="H436" s="442"/>
      <c r="I436" s="9"/>
      <c r="J436" s="9"/>
      <c r="K436" s="398"/>
      <c r="L436" s="9"/>
      <c r="M436" s="9"/>
      <c r="O436" s="101"/>
      <c r="P436" s="101"/>
    </row>
    <row r="437" ht="22.5" customHeight="1">
      <c r="A437" s="49"/>
      <c r="C437" s="400">
        <v>46270.0</v>
      </c>
      <c r="D437" s="69" t="s">
        <v>110</v>
      </c>
      <c r="E437" s="393">
        <v>1.0E7</v>
      </c>
      <c r="F437" s="9"/>
      <c r="G437" s="378"/>
      <c r="H437" s="442"/>
      <c r="I437" s="9"/>
      <c r="J437" s="9"/>
      <c r="K437" s="398"/>
      <c r="L437" s="9"/>
      <c r="M437" s="9"/>
      <c r="O437" s="101"/>
      <c r="P437" s="101"/>
    </row>
    <row r="438" ht="22.5" customHeight="1">
      <c r="A438" s="49"/>
      <c r="C438" s="400">
        <v>46275.0</v>
      </c>
      <c r="D438" s="69" t="s">
        <v>412</v>
      </c>
      <c r="E438" s="393">
        <v>510000.0</v>
      </c>
      <c r="F438" s="9"/>
      <c r="G438" s="378"/>
      <c r="H438" s="442"/>
      <c r="I438" s="9"/>
      <c r="J438" s="9"/>
      <c r="K438" s="398"/>
      <c r="L438" s="9"/>
      <c r="M438" s="9"/>
      <c r="O438" s="101"/>
      <c r="P438" s="101"/>
    </row>
    <row r="439" ht="22.5" customHeight="1">
      <c r="A439" s="49"/>
      <c r="C439" s="400">
        <v>46270.0</v>
      </c>
      <c r="D439" s="69" t="s">
        <v>436</v>
      </c>
      <c r="E439" s="393">
        <v>1446000.0</v>
      </c>
      <c r="F439" s="9"/>
      <c r="G439" s="378"/>
      <c r="H439" s="442"/>
      <c r="I439" s="9"/>
      <c r="J439" s="9"/>
      <c r="K439" s="398"/>
      <c r="L439" s="9"/>
      <c r="M439" s="9"/>
      <c r="O439" s="101"/>
      <c r="P439" s="101"/>
    </row>
    <row r="440" ht="22.5" customHeight="1">
      <c r="A440" s="49"/>
      <c r="C440" s="400">
        <v>46273.0</v>
      </c>
      <c r="D440" s="69" t="s">
        <v>436</v>
      </c>
      <c r="E440" s="393">
        <v>1015000.0</v>
      </c>
      <c r="F440" s="9"/>
      <c r="G440" s="378"/>
      <c r="H440" s="442"/>
      <c r="I440" s="9"/>
      <c r="J440" s="9"/>
      <c r="K440" s="398"/>
      <c r="L440" s="9"/>
      <c r="M440" s="9"/>
      <c r="O440" s="101"/>
      <c r="P440" s="101"/>
    </row>
    <row r="441" ht="22.5" customHeight="1">
      <c r="A441" s="49"/>
      <c r="C441" s="400">
        <v>46280.0</v>
      </c>
      <c r="D441" s="69" t="s">
        <v>110</v>
      </c>
      <c r="E441" s="393">
        <v>7379600.0</v>
      </c>
      <c r="F441" s="9"/>
      <c r="G441" s="378"/>
      <c r="H441" s="442"/>
      <c r="I441" s="9"/>
      <c r="J441" s="9"/>
      <c r="K441" s="398"/>
      <c r="L441" s="9"/>
      <c r="M441" s="9"/>
      <c r="O441" s="101"/>
      <c r="P441" s="101"/>
    </row>
    <row r="442" ht="22.5" customHeight="1">
      <c r="A442" s="49"/>
      <c r="C442" s="400">
        <v>46281.0</v>
      </c>
      <c r="D442" s="69" t="s">
        <v>81</v>
      </c>
      <c r="E442" s="393">
        <v>9.36705E7</v>
      </c>
      <c r="F442" s="9"/>
      <c r="G442" s="378"/>
      <c r="H442" s="442"/>
      <c r="I442" s="9"/>
      <c r="J442" s="9"/>
      <c r="K442" s="398"/>
      <c r="L442" s="9"/>
      <c r="M442" s="9"/>
      <c r="O442" s="101"/>
      <c r="P442" s="101"/>
    </row>
    <row r="443" ht="22.5" customHeight="1">
      <c r="A443" s="49"/>
      <c r="C443" s="400">
        <v>46287.0</v>
      </c>
      <c r="D443" s="69" t="s">
        <v>349</v>
      </c>
      <c r="E443" s="393">
        <v>1756000.0</v>
      </c>
      <c r="F443" s="9"/>
      <c r="G443" s="378"/>
      <c r="H443" s="442"/>
      <c r="I443" s="9"/>
      <c r="J443" s="9"/>
      <c r="K443" s="398"/>
      <c r="L443" s="9"/>
      <c r="M443" s="9"/>
      <c r="O443" s="101"/>
      <c r="P443" s="101"/>
    </row>
    <row r="444" ht="22.5" customHeight="1">
      <c r="A444" s="49"/>
      <c r="C444" s="400">
        <v>46287.0</v>
      </c>
      <c r="D444" s="69" t="s">
        <v>412</v>
      </c>
      <c r="E444" s="393">
        <v>710000.0</v>
      </c>
      <c r="F444" s="9"/>
      <c r="G444" s="378"/>
      <c r="H444" s="442"/>
      <c r="I444" s="9"/>
      <c r="J444" s="9"/>
      <c r="K444" s="398"/>
      <c r="L444" s="9"/>
      <c r="M444" s="9"/>
      <c r="O444" s="101"/>
      <c r="P444" s="101"/>
    </row>
    <row r="445" ht="22.5" customHeight="1">
      <c r="A445" s="49"/>
      <c r="C445" s="400">
        <v>46289.0</v>
      </c>
      <c r="D445" s="69" t="s">
        <v>436</v>
      </c>
      <c r="E445" s="393">
        <v>1352500.0</v>
      </c>
      <c r="F445" s="9"/>
      <c r="G445" s="378"/>
      <c r="H445" s="442"/>
      <c r="I445" s="9"/>
      <c r="J445" s="9"/>
      <c r="K445" s="398"/>
      <c r="L445" s="9"/>
      <c r="M445" s="9"/>
      <c r="O445" s="101"/>
      <c r="P445" s="101"/>
    </row>
  </sheetData>
  <dataValidations>
    <dataValidation type="custom" allowBlank="1" showDropDown="1" sqref="C2:C2002">
      <formula1>OR(NOT(ISERROR(DATEVALUE(C2))), AND(ISNUMBER(C2), LEFT(CELL("format", C2))="D"))</formula1>
    </dataValidation>
    <dataValidation type="custom" allowBlank="1" showDropDown="1" sqref="E2:E2002">
      <formula1>AND(ISNUMBER(E2),(NOT(OR(NOT(ISERROR(DATEVALUE(E2))), AND(ISNUMBER(E2), LEFT(CELL("format", E2))="D")))))</formula1>
    </dataValidation>
  </dataValidations>
  <drawing r:id="rId2"/>
  <tableParts count="3">
    <tablePart r:id="rId6"/>
    <tablePart r:id="rId7"/>
    <tablePart r:id="rId8"/>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0"/>
    <col customWidth="1" min="2" max="2" width="2.13"/>
    <col customWidth="1" min="3" max="3" width="12.25"/>
    <col customWidth="1" min="4" max="4" width="15.5"/>
    <col customWidth="1" min="5" max="5" width="25.25"/>
    <col customWidth="1" min="6" max="6" width="26.13"/>
    <col customWidth="1" min="7" max="7" width="8.63"/>
    <col customWidth="1" min="8" max="8" width="16.75"/>
    <col customWidth="1" min="9" max="9" width="17.38"/>
    <col customWidth="1" min="10" max="10" width="13.38"/>
    <col customWidth="1" min="11" max="11" width="17.25"/>
    <col customWidth="1" min="12" max="12" width="15.5"/>
    <col customWidth="1" min="13" max="13" width="14.88"/>
    <col customWidth="1" min="14" max="14" width="15.0"/>
    <col customWidth="1" min="15" max="15" width="16.63"/>
    <col customWidth="1" min="16" max="16" width="17.38"/>
    <col customWidth="1" min="17" max="17" width="12.88"/>
    <col customWidth="1" min="18" max="18" width="11.13"/>
    <col customWidth="1" min="19" max="19" width="12.13"/>
    <col customWidth="1" min="20" max="20" width="12.75"/>
    <col customWidth="1" min="21" max="21" width="3.25"/>
    <col customWidth="1" min="23" max="24" width="30.75"/>
    <col customWidth="1" min="25" max="25" width="17.13"/>
    <col customWidth="1" min="26" max="26" width="15.5"/>
  </cols>
  <sheetData>
    <row r="1" ht="33.0" customHeight="1">
      <c r="A1" s="29" t="s">
        <v>2356</v>
      </c>
      <c r="B1" s="2"/>
      <c r="C1" s="37" t="s">
        <v>8</v>
      </c>
      <c r="D1" s="37" t="s">
        <v>501</v>
      </c>
      <c r="E1" s="37" t="s">
        <v>1303</v>
      </c>
      <c r="F1" s="37" t="s">
        <v>2358</v>
      </c>
      <c r="G1" s="37" t="s">
        <v>1243</v>
      </c>
      <c r="H1" s="41" t="s">
        <v>1317</v>
      </c>
      <c r="I1" s="41" t="s">
        <v>1319</v>
      </c>
      <c r="J1" s="37" t="s">
        <v>511</v>
      </c>
      <c r="K1" s="41" t="s">
        <v>28</v>
      </c>
      <c r="L1" s="86" t="s">
        <v>2359</v>
      </c>
      <c r="M1" s="86" t="s">
        <v>2360</v>
      </c>
      <c r="N1" s="397" t="s">
        <v>2152</v>
      </c>
      <c r="O1" s="37" t="s">
        <v>2362</v>
      </c>
      <c r="P1" s="41" t="s">
        <v>2363</v>
      </c>
      <c r="Q1" s="41" t="s">
        <v>78</v>
      </c>
      <c r="R1" s="37" t="s">
        <v>21</v>
      </c>
      <c r="S1" s="37" t="s">
        <v>15</v>
      </c>
      <c r="T1" s="37" t="s">
        <v>26</v>
      </c>
      <c r="U1" s="81">
        <f>counta(C:C)</f>
        <v>894</v>
      </c>
      <c r="V1" s="2"/>
      <c r="Z1" s="7"/>
    </row>
    <row r="2" ht="16.5" customHeight="1">
      <c r="A2" s="39"/>
      <c r="B2" s="2"/>
      <c r="C2" s="384">
        <v>45659.0</v>
      </c>
      <c r="D2" s="93">
        <v>45659.0</v>
      </c>
      <c r="E2" s="93" t="s">
        <v>193</v>
      </c>
      <c r="F2" s="399" t="s">
        <v>744</v>
      </c>
      <c r="G2" s="386">
        <v>1.0</v>
      </c>
      <c r="H2" s="74">
        <v>240000.0</v>
      </c>
      <c r="I2" s="74">
        <v>250000.0</v>
      </c>
      <c r="J2" s="60">
        <f t="shared" ref="J2:J521" si="1">C2+30</f>
        <v>45689</v>
      </c>
      <c r="K2" s="74">
        <f>if(F2="SERVICE",O2-(O2*50%),Vlookup(F2,DATABASE!C:Q,10,false)*G2)</f>
        <v>0</v>
      </c>
      <c r="L2" s="74">
        <f>VLOOKUP(F2,DATABASE!C:Q,7,FALSE)</f>
        <v>182200</v>
      </c>
      <c r="M2" s="74">
        <v>199920.0</v>
      </c>
      <c r="N2" s="74">
        <f t="shared" ref="N2:N95" si="2">CEILING(M2, 5000)</f>
        <v>200000</v>
      </c>
      <c r="O2" s="74">
        <f t="shared" ref="O2:O893" si="3">H2*G2</f>
        <v>240000</v>
      </c>
      <c r="P2" s="63">
        <f t="shared" ref="P2:P893" si="4">G2*I2</f>
        <v>250000</v>
      </c>
      <c r="Q2" s="63">
        <f t="shared" ref="Q2:Q833" si="5">if(S2="SERVICE",P2-(K2+N2),
    IF(S2="Tire",P2-(N2*G2),
      IF(S2="COMPLEMENTARY",P2-((N2*G2)+K2),0)))</f>
        <v>50000</v>
      </c>
      <c r="R2" s="93" t="str">
        <f>VLOOKUP(F2,DATABASE!C:Q,4,false)</f>
        <v>BD</v>
      </c>
      <c r="S2" s="93" t="str">
        <f>VLOOKUP(F2,DATABASE!C:P,11,false)</f>
        <v>Tire</v>
      </c>
      <c r="T2" s="93" t="str">
        <f>vlookup(F2,DATABASE!C:Q,8,false)</f>
        <v>BIAN</v>
      </c>
      <c r="U2" s="2"/>
      <c r="V2" s="2"/>
      <c r="Y2" s="405"/>
    </row>
    <row r="3" ht="14.25" customHeight="1">
      <c r="A3" s="49"/>
      <c r="C3" s="384">
        <v>45659.0</v>
      </c>
      <c r="D3" s="93">
        <v>45659.0</v>
      </c>
      <c r="E3" s="93" t="s">
        <v>193</v>
      </c>
      <c r="F3" s="74" t="s">
        <v>821</v>
      </c>
      <c r="G3" s="386">
        <v>1.0</v>
      </c>
      <c r="H3" s="74">
        <v>65000.0</v>
      </c>
      <c r="I3" s="74">
        <v>110000.0</v>
      </c>
      <c r="J3" s="60">
        <f t="shared" si="1"/>
        <v>45689</v>
      </c>
      <c r="K3" s="74">
        <f>if(F3="SERVICE",O3-(O3*50%),Vlookup(F3,DATABASE!C:Q,10,false)*G3)</f>
        <v>0</v>
      </c>
      <c r="L3" s="74">
        <f>VLOOKUP(F3,DATABASE!C:Q,7,FALSE)</f>
        <v>43500</v>
      </c>
      <c r="M3" s="74">
        <v>43520.0</v>
      </c>
      <c r="N3" s="74">
        <f t="shared" si="2"/>
        <v>45000</v>
      </c>
      <c r="O3" s="74">
        <f t="shared" si="3"/>
        <v>65000</v>
      </c>
      <c r="P3" s="63">
        <f t="shared" si="4"/>
        <v>110000</v>
      </c>
      <c r="Q3" s="63">
        <f t="shared" si="5"/>
        <v>65000</v>
      </c>
      <c r="R3" s="93" t="str">
        <f>VLOOKUP(F3,DATABASE!C:Q,4,false)</f>
        <v>Flap</v>
      </c>
      <c r="S3" s="93" t="str">
        <f>VLOOKUP(F3,DATABASE!C:P,11,false)</f>
        <v>Tire</v>
      </c>
      <c r="T3" s="93" t="str">
        <f>vlookup(F3,DATABASE!C:Q,8,false)</f>
        <v>BIAN</v>
      </c>
      <c r="Y3" s="81"/>
    </row>
    <row r="4" ht="17.25" customHeight="1">
      <c r="A4" s="49"/>
      <c r="C4" s="384">
        <v>45659.0</v>
      </c>
      <c r="D4" s="93">
        <v>45659.0</v>
      </c>
      <c r="E4" s="65" t="s">
        <v>709</v>
      </c>
      <c r="F4" s="74" t="s">
        <v>1002</v>
      </c>
      <c r="G4" s="386">
        <v>2.0</v>
      </c>
      <c r="H4" s="74">
        <v>1547000.0</v>
      </c>
      <c r="I4" s="74">
        <v>1630000.0</v>
      </c>
      <c r="J4" s="60">
        <f t="shared" si="1"/>
        <v>45689</v>
      </c>
      <c r="K4" s="74">
        <f>if(F4="SERVICE",O4-(O4*50%),Vlookup(F4,DATABASE!C:Q,10,false)*G4)</f>
        <v>0</v>
      </c>
      <c r="L4" s="74">
        <f>VLOOKUP(F4,DATABASE!C:Q,7,FALSE)</f>
        <v>1447000</v>
      </c>
      <c r="M4" s="74">
        <v>1447000.0</v>
      </c>
      <c r="N4" s="74">
        <f t="shared" si="2"/>
        <v>1450000</v>
      </c>
      <c r="O4" s="74">
        <f t="shared" si="3"/>
        <v>3094000</v>
      </c>
      <c r="P4" s="63">
        <f t="shared" si="4"/>
        <v>3260000</v>
      </c>
      <c r="Q4" s="63">
        <f t="shared" si="5"/>
        <v>360000</v>
      </c>
      <c r="R4" s="93" t="str">
        <f>VLOOKUP(F4,DATABASE!C:Q,4,false)</f>
        <v>Dunlop</v>
      </c>
      <c r="S4" s="93" t="str">
        <f>VLOOKUP(F4,DATABASE!C:P,11,false)</f>
        <v>Tire</v>
      </c>
      <c r="T4" s="93" t="str">
        <f>vlookup(F4,DATABASE!C:Q,8,false)</f>
        <v>IBU</v>
      </c>
      <c r="U4" s="2"/>
      <c r="V4" s="2"/>
      <c r="Y4" s="81"/>
      <c r="Z4" s="9"/>
    </row>
    <row r="5" ht="15.0" customHeight="1">
      <c r="A5" s="49"/>
      <c r="C5" s="384">
        <v>45660.0</v>
      </c>
      <c r="D5" s="93">
        <v>45660.0</v>
      </c>
      <c r="E5" s="93" t="s">
        <v>735</v>
      </c>
      <c r="F5" s="74" t="s">
        <v>897</v>
      </c>
      <c r="G5" s="386">
        <v>1.0</v>
      </c>
      <c r="H5" s="74">
        <v>1600000.0</v>
      </c>
      <c r="I5" s="74">
        <v>1685000.0</v>
      </c>
      <c r="J5" s="60">
        <f t="shared" si="1"/>
        <v>45690</v>
      </c>
      <c r="K5" s="74">
        <f>if(F5="SERVICE",O5-(O5*50%),Vlookup(F5,DATABASE!C:Q,10,false)*G5)</f>
        <v>0</v>
      </c>
      <c r="L5" s="74">
        <f>VLOOKUP(F5,DATABASE!C:Q,7,FALSE)</f>
        <v>1560000</v>
      </c>
      <c r="M5" s="74">
        <v>1500000.0</v>
      </c>
      <c r="N5" s="74">
        <f t="shared" si="2"/>
        <v>1500000</v>
      </c>
      <c r="O5" s="74">
        <f t="shared" si="3"/>
        <v>1600000</v>
      </c>
      <c r="P5" s="63">
        <f t="shared" si="4"/>
        <v>1685000</v>
      </c>
      <c r="Q5" s="63">
        <f t="shared" si="5"/>
        <v>185000</v>
      </c>
      <c r="R5" s="93" t="str">
        <f>VLOOKUP(F5,DATABASE!C:Q,4,false)</f>
        <v>GT</v>
      </c>
      <c r="S5" s="93" t="str">
        <f>VLOOKUP(F5,DATABASE!C:P,11,false)</f>
        <v>Tire</v>
      </c>
      <c r="T5" s="93" t="str">
        <f>vlookup(F5,DATABASE!C:Q,8,false)</f>
        <v>BIAN</v>
      </c>
      <c r="Y5" s="81"/>
      <c r="Z5" s="9"/>
    </row>
    <row r="6" ht="15.0" customHeight="1">
      <c r="A6" s="49"/>
      <c r="C6" s="384">
        <v>45664.0</v>
      </c>
      <c r="D6" s="93">
        <v>45664.0</v>
      </c>
      <c r="E6" s="93" t="s">
        <v>144</v>
      </c>
      <c r="F6" s="74" t="s">
        <v>897</v>
      </c>
      <c r="G6" s="386">
        <v>1.0</v>
      </c>
      <c r="H6" s="74">
        <v>1600000.0</v>
      </c>
      <c r="I6" s="74">
        <v>1685000.0</v>
      </c>
      <c r="J6" s="60">
        <f t="shared" si="1"/>
        <v>45694</v>
      </c>
      <c r="K6" s="74">
        <f>if(F6="SERVICE",O6-(O6*50%),Vlookup(F6,DATABASE!C:Q,10,false)*G6)</f>
        <v>0</v>
      </c>
      <c r="L6" s="74">
        <f>VLOOKUP(F6,DATABASE!C:Q,7,FALSE)</f>
        <v>1560000</v>
      </c>
      <c r="M6" s="140">
        <v>1480000.0</v>
      </c>
      <c r="N6" s="74">
        <f t="shared" si="2"/>
        <v>1480000</v>
      </c>
      <c r="O6" s="74">
        <f t="shared" si="3"/>
        <v>1600000</v>
      </c>
      <c r="P6" s="63">
        <f t="shared" si="4"/>
        <v>1685000</v>
      </c>
      <c r="Q6" s="63">
        <f t="shared" si="5"/>
        <v>205000</v>
      </c>
      <c r="R6" s="93" t="str">
        <f>VLOOKUP(F6,DATABASE!C:Q,4,false)</f>
        <v>GT</v>
      </c>
      <c r="S6" s="93" t="str">
        <f>VLOOKUP(F6,DATABASE!C:P,11,false)</f>
        <v>Tire</v>
      </c>
      <c r="T6" s="93" t="str">
        <f>vlookup(F6,DATABASE!C:Q,8,false)</f>
        <v>BIAN</v>
      </c>
      <c r="V6" s="2"/>
      <c r="Y6" s="81"/>
      <c r="Z6" s="9"/>
    </row>
    <row r="7" ht="15.0" customHeight="1">
      <c r="A7" s="49"/>
      <c r="C7" s="384">
        <v>45664.0</v>
      </c>
      <c r="D7" s="93">
        <v>45664.0</v>
      </c>
      <c r="E7" s="93" t="s">
        <v>919</v>
      </c>
      <c r="F7" s="93" t="s">
        <v>518</v>
      </c>
      <c r="G7" s="386">
        <v>5.0</v>
      </c>
      <c r="H7" s="74">
        <v>1200000.0</v>
      </c>
      <c r="I7" s="74">
        <v>1200000.0</v>
      </c>
      <c r="J7" s="60">
        <f t="shared" si="1"/>
        <v>45694</v>
      </c>
      <c r="K7" s="74">
        <f>if(F7="SERVICE",O7-(O7*50%),Vlookup(F7,DATABASE!C:Q,10,false)*G7)</f>
        <v>0</v>
      </c>
      <c r="L7" s="74">
        <f>VLOOKUP(F7,DATABASE!C:Q,7,FALSE)</f>
        <v>1085500</v>
      </c>
      <c r="M7" s="74">
        <v>1085500.0</v>
      </c>
      <c r="N7" s="74">
        <f t="shared" si="2"/>
        <v>1090000</v>
      </c>
      <c r="O7" s="74">
        <f t="shared" si="3"/>
        <v>6000000</v>
      </c>
      <c r="P7" s="63">
        <f t="shared" si="4"/>
        <v>6000000</v>
      </c>
      <c r="Q7" s="63">
        <f t="shared" si="5"/>
        <v>550000</v>
      </c>
      <c r="R7" s="93" t="str">
        <f>VLOOKUP(F7,DATABASE!C:Q,4,false)</f>
        <v>Bridgestone</v>
      </c>
      <c r="S7" s="93" t="str">
        <f>VLOOKUP(F7,DATABASE!C:P,11,false)</f>
        <v>Tire</v>
      </c>
      <c r="T7" s="93" t="str">
        <f>vlookup(F7,DATABASE!C:Q,8,false)</f>
        <v>IBU</v>
      </c>
      <c r="Y7" s="81"/>
      <c r="Z7" s="9"/>
    </row>
    <row r="8" ht="15.0" customHeight="1">
      <c r="A8" s="49"/>
      <c r="C8" s="384">
        <v>45664.0</v>
      </c>
      <c r="D8" s="93">
        <v>45664.0</v>
      </c>
      <c r="E8" s="93" t="s">
        <v>651</v>
      </c>
      <c r="F8" s="74" t="s">
        <v>374</v>
      </c>
      <c r="G8" s="386">
        <v>2.0</v>
      </c>
      <c r="H8" s="74">
        <v>2050000.0</v>
      </c>
      <c r="I8" s="74">
        <v>2150000.0</v>
      </c>
      <c r="J8" s="60">
        <f t="shared" si="1"/>
        <v>45694</v>
      </c>
      <c r="K8" s="74">
        <f>if(F8="SERVICE",O8-(O8*50%),Vlookup(F8,DATABASE!C:Q,10,false)*G8)</f>
        <v>0</v>
      </c>
      <c r="L8" s="74">
        <f>VLOOKUP(F8,DATABASE!C:Q,7,FALSE)</f>
        <v>1980000</v>
      </c>
      <c r="M8" s="140">
        <v>1950000.0</v>
      </c>
      <c r="N8" s="74">
        <f t="shared" si="2"/>
        <v>1950000</v>
      </c>
      <c r="O8" s="74">
        <f t="shared" si="3"/>
        <v>4100000</v>
      </c>
      <c r="P8" s="63">
        <f t="shared" si="4"/>
        <v>4300000</v>
      </c>
      <c r="Q8" s="63">
        <f t="shared" si="5"/>
        <v>400000</v>
      </c>
      <c r="R8" s="93" t="str">
        <f>VLOOKUP(F8,DATABASE!C:Q,4,false)</f>
        <v>Advance</v>
      </c>
      <c r="S8" s="93" t="str">
        <f>VLOOKUP(F8,DATABASE!C:P,11,false)</f>
        <v>Tire</v>
      </c>
      <c r="T8" s="93" t="str">
        <f>vlookup(F8,DATABASE!C:Q,8,false)</f>
        <v>BIAN</v>
      </c>
      <c r="Y8" s="81"/>
      <c r="Z8" s="9"/>
    </row>
    <row r="9" ht="15.0" customHeight="1">
      <c r="A9" s="49"/>
      <c r="C9" s="384">
        <v>45665.0</v>
      </c>
      <c r="D9" s="93">
        <v>45665.0</v>
      </c>
      <c r="E9" s="93" t="s">
        <v>595</v>
      </c>
      <c r="F9" s="74" t="s">
        <v>403</v>
      </c>
      <c r="G9" s="386">
        <v>4.0</v>
      </c>
      <c r="H9" s="74">
        <v>2360000.0</v>
      </c>
      <c r="I9" s="74">
        <v>2400000.0</v>
      </c>
      <c r="J9" s="60">
        <f t="shared" si="1"/>
        <v>45695</v>
      </c>
      <c r="K9" s="74">
        <f>if(F9="SERVICE",O9-(O9*50%),Vlookup(F9,DATABASE!C:Q,10,false)*G9)</f>
        <v>0</v>
      </c>
      <c r="L9" s="74">
        <f>VLOOKUP(F9,DATABASE!C:Q,7,FALSE)</f>
        <v>2160000</v>
      </c>
      <c r="M9" s="74">
        <v>2160000.0</v>
      </c>
      <c r="N9" s="74">
        <f t="shared" si="2"/>
        <v>2160000</v>
      </c>
      <c r="O9" s="74">
        <f t="shared" si="3"/>
        <v>9440000</v>
      </c>
      <c r="P9" s="63">
        <f t="shared" si="4"/>
        <v>9600000</v>
      </c>
      <c r="Q9" s="63">
        <f t="shared" si="5"/>
        <v>960000</v>
      </c>
      <c r="R9" s="93" t="str">
        <f>VLOOKUP(F9,DATABASE!C:Q,4,false)</f>
        <v>Advance</v>
      </c>
      <c r="S9" s="93" t="str">
        <f>VLOOKUP(F9,DATABASE!C:P,11,false)</f>
        <v>Tire</v>
      </c>
      <c r="T9" s="93" t="str">
        <f>vlookup(F9,DATABASE!C:Q,8,false)</f>
        <v>BIAN</v>
      </c>
      <c r="Y9" s="81"/>
      <c r="Z9" s="9"/>
    </row>
    <row r="10" ht="15.0" customHeight="1">
      <c r="A10" s="49"/>
      <c r="C10" s="384">
        <v>45665.0</v>
      </c>
      <c r="D10" s="93">
        <v>45665.0</v>
      </c>
      <c r="E10" s="93" t="s">
        <v>810</v>
      </c>
      <c r="F10" s="93" t="s">
        <v>897</v>
      </c>
      <c r="G10" s="386">
        <v>1.0</v>
      </c>
      <c r="H10" s="74">
        <v>1600000.0</v>
      </c>
      <c r="I10" s="74">
        <v>1685000.0</v>
      </c>
      <c r="J10" s="60">
        <f t="shared" si="1"/>
        <v>45695</v>
      </c>
      <c r="K10" s="74">
        <f>if(F10="SERVICE",O10-(O10*50%),Vlookup(F10,DATABASE!C:Q,10,false)*G10)</f>
        <v>0</v>
      </c>
      <c r="L10" s="74">
        <f>VLOOKUP(F10,DATABASE!C:Q,7,FALSE)</f>
        <v>1560000</v>
      </c>
      <c r="M10" s="74">
        <v>1500000.0</v>
      </c>
      <c r="N10" s="74">
        <f t="shared" si="2"/>
        <v>1500000</v>
      </c>
      <c r="O10" s="74">
        <f t="shared" si="3"/>
        <v>1600000</v>
      </c>
      <c r="P10" s="63">
        <f t="shared" si="4"/>
        <v>1685000</v>
      </c>
      <c r="Q10" s="63">
        <f t="shared" si="5"/>
        <v>185000</v>
      </c>
      <c r="R10" s="93" t="str">
        <f>VLOOKUP(F10,DATABASE!C:Q,4,false)</f>
        <v>GT</v>
      </c>
      <c r="S10" s="93" t="str">
        <f>VLOOKUP(F10,DATABASE!C:P,11,false)</f>
        <v>Tire</v>
      </c>
      <c r="T10" s="93" t="str">
        <f>vlookup(F10,DATABASE!C:Q,8,false)</f>
        <v>BIAN</v>
      </c>
      <c r="Y10" s="81"/>
      <c r="Z10" s="9"/>
    </row>
    <row r="11" ht="15.0" customHeight="1">
      <c r="A11" s="49"/>
      <c r="C11" s="384">
        <v>45665.0</v>
      </c>
      <c r="D11" s="93">
        <v>45665.0</v>
      </c>
      <c r="E11" s="93" t="s">
        <v>810</v>
      </c>
      <c r="F11" s="74" t="s">
        <v>744</v>
      </c>
      <c r="G11" s="386">
        <v>1.0</v>
      </c>
      <c r="H11" s="74">
        <v>240000.0</v>
      </c>
      <c r="I11" s="74">
        <v>250000.0</v>
      </c>
      <c r="J11" s="60">
        <f t="shared" si="1"/>
        <v>45695</v>
      </c>
      <c r="K11" s="74">
        <f>if(F11="SERVICE",O11-(O11*50%),Vlookup(F11,DATABASE!C:Q,10,false)*G11)</f>
        <v>0</v>
      </c>
      <c r="L11" s="74">
        <f>VLOOKUP(F11,DATABASE!C:Q,7,FALSE)</f>
        <v>182200</v>
      </c>
      <c r="M11" s="74">
        <v>199920.0</v>
      </c>
      <c r="N11" s="74">
        <f t="shared" si="2"/>
        <v>200000</v>
      </c>
      <c r="O11" s="74">
        <f t="shared" si="3"/>
        <v>240000</v>
      </c>
      <c r="P11" s="63">
        <f t="shared" si="4"/>
        <v>250000</v>
      </c>
      <c r="Q11" s="63">
        <f t="shared" si="5"/>
        <v>50000</v>
      </c>
      <c r="R11" s="93" t="str">
        <f>VLOOKUP(F11,DATABASE!C:Q,4,false)</f>
        <v>BD</v>
      </c>
      <c r="S11" s="93" t="str">
        <f>VLOOKUP(F11,DATABASE!C:P,11,false)</f>
        <v>Tire</v>
      </c>
      <c r="T11" s="93" t="str">
        <f>vlookup(F11,DATABASE!C:Q,8,false)</f>
        <v>BIAN</v>
      </c>
      <c r="Y11" s="81"/>
      <c r="Z11" s="9"/>
    </row>
    <row r="12" ht="15.0" customHeight="1">
      <c r="A12" s="49"/>
      <c r="C12" s="384">
        <v>45665.0</v>
      </c>
      <c r="D12" s="93">
        <v>45665.0</v>
      </c>
      <c r="E12" s="93" t="s">
        <v>810</v>
      </c>
      <c r="F12" s="399" t="s">
        <v>1749</v>
      </c>
      <c r="G12" s="386">
        <v>1.0</v>
      </c>
      <c r="H12" s="74">
        <v>80000.0</v>
      </c>
      <c r="I12" s="74">
        <v>85000.0</v>
      </c>
      <c r="J12" s="60">
        <f t="shared" si="1"/>
        <v>45695</v>
      </c>
      <c r="K12" s="74">
        <f>if(F12="SERVICE",O12-(O12*50%),Vlookup(F12,DATABASE!C:Q,10,false)*G12)</f>
        <v>0</v>
      </c>
      <c r="L12" s="74">
        <f>VLOOKUP(F12,DATABASE!C:Q,7,FALSE)</f>
        <v>40350</v>
      </c>
      <c r="M12" s="74">
        <v>40350.0</v>
      </c>
      <c r="N12" s="74">
        <f t="shared" si="2"/>
        <v>45000</v>
      </c>
      <c r="O12" s="74">
        <f t="shared" si="3"/>
        <v>80000</v>
      </c>
      <c r="P12" s="63">
        <f t="shared" si="4"/>
        <v>85000</v>
      </c>
      <c r="Q12" s="63">
        <f t="shared" si="5"/>
        <v>40000</v>
      </c>
      <c r="R12" s="93" t="str">
        <f>VLOOKUP(F12,DATABASE!C:Q,4,false)</f>
        <v>Flap</v>
      </c>
      <c r="S12" s="93" t="str">
        <f>VLOOKUP(F12,DATABASE!C:P,11,false)</f>
        <v>Tire</v>
      </c>
      <c r="T12" s="93" t="str">
        <f>vlookup(F12,DATABASE!C:Q,8,false)</f>
        <v>BIAN</v>
      </c>
      <c r="Y12" s="81"/>
      <c r="Z12" s="9"/>
    </row>
    <row r="13" ht="15.0" customHeight="1">
      <c r="A13" s="49"/>
      <c r="C13" s="384">
        <v>45665.0</v>
      </c>
      <c r="D13" s="93">
        <v>45665.0</v>
      </c>
      <c r="E13" s="93" t="s">
        <v>74</v>
      </c>
      <c r="F13" s="74" t="s">
        <v>572</v>
      </c>
      <c r="G13" s="386">
        <v>2.0</v>
      </c>
      <c r="H13" s="74">
        <v>1370000.0</v>
      </c>
      <c r="I13" s="74">
        <v>1410000.0</v>
      </c>
      <c r="J13" s="60">
        <f t="shared" si="1"/>
        <v>45695</v>
      </c>
      <c r="K13" s="74">
        <f>if(F13="SERVICE",O13-(O13*50%),Vlookup(F13,DATABASE!C:Q,10,false)*G13)</f>
        <v>0</v>
      </c>
      <c r="L13" s="74">
        <f>VLOOKUP(F13,DATABASE!C:Q,7,FALSE)</f>
        <v>1265000</v>
      </c>
      <c r="M13" s="140">
        <v>1270000.0</v>
      </c>
      <c r="N13" s="74">
        <f t="shared" si="2"/>
        <v>1270000</v>
      </c>
      <c r="O13" s="74">
        <f t="shared" si="3"/>
        <v>2740000</v>
      </c>
      <c r="P13" s="63">
        <f t="shared" si="4"/>
        <v>2820000</v>
      </c>
      <c r="Q13" s="63">
        <f t="shared" si="5"/>
        <v>280000</v>
      </c>
      <c r="R13" s="93" t="str">
        <f>VLOOKUP(F13,DATABASE!C:Q,4,false)</f>
        <v>Bridgestone</v>
      </c>
      <c r="S13" s="93" t="str">
        <f>VLOOKUP(F13,DATABASE!C:P,11,false)</f>
        <v>Tire</v>
      </c>
      <c r="T13" s="93" t="str">
        <f>vlookup(F13,DATABASE!C:Q,8,false)</f>
        <v>IBU</v>
      </c>
      <c r="Y13" s="81"/>
      <c r="Z13" s="9"/>
    </row>
    <row r="14" ht="15.0" customHeight="1">
      <c r="A14" s="49"/>
      <c r="C14" s="384">
        <v>45665.0</v>
      </c>
      <c r="D14" s="93">
        <v>45665.0</v>
      </c>
      <c r="E14" s="65" t="s">
        <v>74</v>
      </c>
      <c r="F14" s="74" t="s">
        <v>712</v>
      </c>
      <c r="G14" s="386">
        <v>2.0</v>
      </c>
      <c r="H14" s="74">
        <v>170000.0</v>
      </c>
      <c r="I14" s="74">
        <v>170000.0</v>
      </c>
      <c r="J14" s="60">
        <f t="shared" si="1"/>
        <v>45695</v>
      </c>
      <c r="K14" s="74">
        <f>if(F14="SERVICE",O14-(O14*50%),Vlookup(F14,DATABASE!C:Q,10,false)*G14)</f>
        <v>0</v>
      </c>
      <c r="L14" s="74">
        <f>VLOOKUP(F14,DATABASE!C:Q,7,FALSE)</f>
        <v>120960</v>
      </c>
      <c r="M14" s="74">
        <v>120960.0</v>
      </c>
      <c r="N14" s="74">
        <f t="shared" si="2"/>
        <v>125000</v>
      </c>
      <c r="O14" s="74">
        <f t="shared" si="3"/>
        <v>340000</v>
      </c>
      <c r="P14" s="63">
        <f t="shared" si="4"/>
        <v>340000</v>
      </c>
      <c r="Q14" s="63">
        <f t="shared" si="5"/>
        <v>90000</v>
      </c>
      <c r="R14" s="93" t="str">
        <f>VLOOKUP(F14,DATABASE!C:Q,4,false)</f>
        <v>BD</v>
      </c>
      <c r="S14" s="93" t="str">
        <f>VLOOKUP(F14,DATABASE!C:P,11,false)</f>
        <v>Tire</v>
      </c>
      <c r="T14" s="93" t="str">
        <f>vlookup(F14,DATABASE!C:Q,8,false)</f>
        <v>BIAN</v>
      </c>
      <c r="Y14" s="81"/>
      <c r="Z14" s="9"/>
    </row>
    <row r="15" ht="15.0" customHeight="1">
      <c r="A15" s="49"/>
      <c r="C15" s="384">
        <v>45665.0</v>
      </c>
      <c r="D15" s="93">
        <v>45665.0</v>
      </c>
      <c r="E15" s="93" t="s">
        <v>74</v>
      </c>
      <c r="F15" s="74" t="s">
        <v>284</v>
      </c>
      <c r="G15" s="386">
        <v>2.0</v>
      </c>
      <c r="H15" s="74">
        <v>65000.0</v>
      </c>
      <c r="I15" s="74">
        <v>80000.0</v>
      </c>
      <c r="J15" s="60">
        <f t="shared" si="1"/>
        <v>45695</v>
      </c>
      <c r="K15" s="74">
        <f>if(F15="SERVICE",O15-(O15*50%),Vlookup(F15,DATABASE!C:Q,10,false)*G15)</f>
        <v>0</v>
      </c>
      <c r="L15" s="74">
        <f>VLOOKUP(F15,DATABASE!C:Q,7,FALSE)</f>
        <v>36630</v>
      </c>
      <c r="M15" s="74">
        <v>36630.0</v>
      </c>
      <c r="N15" s="74">
        <f t="shared" si="2"/>
        <v>40000</v>
      </c>
      <c r="O15" s="74">
        <f t="shared" si="3"/>
        <v>130000</v>
      </c>
      <c r="P15" s="63">
        <f t="shared" si="4"/>
        <v>160000</v>
      </c>
      <c r="Q15" s="63">
        <f t="shared" si="5"/>
        <v>80000</v>
      </c>
      <c r="R15" s="93" t="str">
        <f>VLOOKUP(F15,DATABASE!C:Q,4,false)</f>
        <v>Flap</v>
      </c>
      <c r="S15" s="93" t="str">
        <f>VLOOKUP(F15,DATABASE!C:P,11,false)</f>
        <v>Tire</v>
      </c>
      <c r="T15" s="93" t="str">
        <f>vlookup(F15,DATABASE!C:Q,8,false)</f>
        <v>BIAN</v>
      </c>
      <c r="Y15" s="81"/>
      <c r="Z15" s="9"/>
    </row>
    <row r="16" ht="15.0" customHeight="1">
      <c r="A16" s="49"/>
      <c r="C16" s="384">
        <v>45666.0</v>
      </c>
      <c r="D16" s="93">
        <v>45666.0</v>
      </c>
      <c r="E16" s="93" t="s">
        <v>383</v>
      </c>
      <c r="F16" s="74" t="s">
        <v>566</v>
      </c>
      <c r="G16" s="386">
        <v>1.0</v>
      </c>
      <c r="H16" s="74">
        <v>1710000.0</v>
      </c>
      <c r="I16" s="74">
        <v>1770000.0</v>
      </c>
      <c r="J16" s="60">
        <f t="shared" si="1"/>
        <v>45696</v>
      </c>
      <c r="K16" s="74">
        <f>if(F16="SERVICE",O16-(O16*50%),Vlookup(F16,DATABASE!C:Q,10,false)*G16)</f>
        <v>0</v>
      </c>
      <c r="L16" s="74">
        <f>VLOOKUP(F16,DATABASE!C:Q,7,FALSE)</f>
        <v>1565000</v>
      </c>
      <c r="M16" s="140">
        <v>1570000.0</v>
      </c>
      <c r="N16" s="74">
        <f t="shared" si="2"/>
        <v>1570000</v>
      </c>
      <c r="O16" s="74">
        <f t="shared" si="3"/>
        <v>1710000</v>
      </c>
      <c r="P16" s="63">
        <f t="shared" si="4"/>
        <v>1770000</v>
      </c>
      <c r="Q16" s="63">
        <f t="shared" si="5"/>
        <v>200000</v>
      </c>
      <c r="R16" s="93" t="str">
        <f>VLOOKUP(F16,DATABASE!C:Q,4,false)</f>
        <v>Bridgestone</v>
      </c>
      <c r="S16" s="93" t="str">
        <f>VLOOKUP(F16,DATABASE!C:P,11,false)</f>
        <v>Tire</v>
      </c>
      <c r="T16" s="93" t="str">
        <f>vlookup(F16,DATABASE!C:Q,8,false)</f>
        <v>IBU</v>
      </c>
      <c r="Y16" s="81"/>
      <c r="Z16" s="9"/>
    </row>
    <row r="17" ht="15.0" customHeight="1">
      <c r="A17" s="49"/>
      <c r="C17" s="384">
        <v>45667.0</v>
      </c>
      <c r="D17" s="93">
        <v>45667.0</v>
      </c>
      <c r="E17" s="93" t="s">
        <v>119</v>
      </c>
      <c r="F17" s="74" t="s">
        <v>924</v>
      </c>
      <c r="G17" s="386">
        <v>2.0</v>
      </c>
      <c r="H17" s="74">
        <v>1750000.0</v>
      </c>
      <c r="I17" s="74">
        <v>1900000.0</v>
      </c>
      <c r="J17" s="60">
        <f t="shared" si="1"/>
        <v>45697</v>
      </c>
      <c r="K17" s="74">
        <f>if(F17="SERVICE",O17-(O17*50%),Vlookup(F17,DATABASE!C:Q,10,false)*G17)</f>
        <v>0</v>
      </c>
      <c r="L17" s="74">
        <f>VLOOKUP(F17,DATABASE!C:Q,7,FALSE)</f>
        <v>1560000</v>
      </c>
      <c r="M17" s="140">
        <v>1650000.0</v>
      </c>
      <c r="N17" s="74">
        <f t="shared" si="2"/>
        <v>1650000</v>
      </c>
      <c r="O17" s="74">
        <f t="shared" si="3"/>
        <v>3500000</v>
      </c>
      <c r="P17" s="63">
        <f t="shared" si="4"/>
        <v>3800000</v>
      </c>
      <c r="Q17" s="63">
        <f t="shared" si="5"/>
        <v>500000</v>
      </c>
      <c r="R17" s="93" t="str">
        <f>VLOOKUP(F17,DATABASE!C:Q,4,false)</f>
        <v>TIRON</v>
      </c>
      <c r="S17" s="93" t="str">
        <f>VLOOKUP(F17,DATABASE!C:P,11,false)</f>
        <v>Tire</v>
      </c>
      <c r="T17" s="93" t="str">
        <f>vlookup(F17,DATABASE!C:Q,8,false)</f>
        <v>BIAN</v>
      </c>
      <c r="Y17" s="81"/>
      <c r="Z17" s="9"/>
    </row>
    <row r="18" ht="15.0" customHeight="1">
      <c r="A18" s="49"/>
      <c r="C18" s="384">
        <v>45668.0</v>
      </c>
      <c r="D18" s="93">
        <v>45668.0</v>
      </c>
      <c r="E18" s="93" t="s">
        <v>544</v>
      </c>
      <c r="F18" s="74" t="s">
        <v>647</v>
      </c>
      <c r="G18" s="386">
        <v>1.0</v>
      </c>
      <c r="H18" s="74">
        <v>1520000.0</v>
      </c>
      <c r="I18" s="74">
        <v>1560000.0</v>
      </c>
      <c r="J18" s="60">
        <f t="shared" si="1"/>
        <v>45698</v>
      </c>
      <c r="K18" s="74">
        <f>if(F18="SERVICE",O18-(O18*50%),Vlookup(F18,DATABASE!C:Q,10,false)*G18)</f>
        <v>0</v>
      </c>
      <c r="L18" s="74">
        <f>VLOOKUP(F18,DATABASE!C:Q,7,FALSE)</f>
        <v>1420000</v>
      </c>
      <c r="M18" s="74">
        <v>1420000.0</v>
      </c>
      <c r="N18" s="74">
        <f t="shared" si="2"/>
        <v>1420000</v>
      </c>
      <c r="O18" s="74">
        <f t="shared" si="3"/>
        <v>1520000</v>
      </c>
      <c r="P18" s="63">
        <f t="shared" si="4"/>
        <v>1560000</v>
      </c>
      <c r="Q18" s="63">
        <f t="shared" si="5"/>
        <v>140000</v>
      </c>
      <c r="R18" s="93" t="str">
        <f>VLOOKUP(F18,DATABASE!C:Q,4,false)</f>
        <v>G. YEAR</v>
      </c>
      <c r="S18" s="93" t="str">
        <f>VLOOKUP(F18,DATABASE!C:P,11,false)</f>
        <v>Tire</v>
      </c>
      <c r="T18" s="93" t="str">
        <f>vlookup(F18,DATABASE!C:Q,8,false)</f>
        <v>BIAN</v>
      </c>
      <c r="Y18" s="81"/>
      <c r="Z18" s="9"/>
    </row>
    <row r="19" ht="15.0" customHeight="1">
      <c r="A19" s="49"/>
      <c r="C19" s="384">
        <v>45668.0</v>
      </c>
      <c r="D19" s="93">
        <v>45668.0</v>
      </c>
      <c r="E19" s="93" t="s">
        <v>544</v>
      </c>
      <c r="F19" s="74" t="s">
        <v>744</v>
      </c>
      <c r="G19" s="386">
        <v>1.0</v>
      </c>
      <c r="H19" s="74">
        <v>240000.0</v>
      </c>
      <c r="I19" s="74">
        <v>250000.0</v>
      </c>
      <c r="J19" s="60">
        <f t="shared" si="1"/>
        <v>45698</v>
      </c>
      <c r="K19" s="74">
        <f>if(F19="SERVICE",O19-(O19*50%),Vlookup(F19,DATABASE!C:Q,10,false)*G19)</f>
        <v>0</v>
      </c>
      <c r="L19" s="74">
        <f>VLOOKUP(F19,DATABASE!C:Q,7,FALSE)</f>
        <v>182200</v>
      </c>
      <c r="M19" s="74">
        <v>199920.0</v>
      </c>
      <c r="N19" s="74">
        <f t="shared" si="2"/>
        <v>200000</v>
      </c>
      <c r="O19" s="74">
        <f t="shared" si="3"/>
        <v>240000</v>
      </c>
      <c r="P19" s="63">
        <f t="shared" si="4"/>
        <v>250000</v>
      </c>
      <c r="Q19" s="63">
        <f t="shared" si="5"/>
        <v>50000</v>
      </c>
      <c r="R19" s="93" t="str">
        <f>VLOOKUP(F19,DATABASE!C:Q,4,false)</f>
        <v>BD</v>
      </c>
      <c r="S19" s="93" t="str">
        <f>VLOOKUP(F19,DATABASE!C:P,11,false)</f>
        <v>Tire</v>
      </c>
      <c r="T19" s="93" t="str">
        <f>vlookup(F19,DATABASE!C:Q,8,false)</f>
        <v>BIAN</v>
      </c>
      <c r="Y19" s="81"/>
      <c r="Z19" s="9"/>
    </row>
    <row r="20" ht="15.0" customHeight="1">
      <c r="A20" s="49"/>
      <c r="C20" s="384">
        <v>45668.0</v>
      </c>
      <c r="D20" s="93">
        <v>45668.0</v>
      </c>
      <c r="E20" s="93" t="s">
        <v>544</v>
      </c>
      <c r="F20" s="74" t="s">
        <v>821</v>
      </c>
      <c r="G20" s="386">
        <v>1.0</v>
      </c>
      <c r="H20" s="74">
        <v>65000.0</v>
      </c>
      <c r="I20" s="74">
        <v>110000.0</v>
      </c>
      <c r="J20" s="60">
        <f t="shared" si="1"/>
        <v>45698</v>
      </c>
      <c r="K20" s="74">
        <f>if(F20="SERVICE",O20-(O20*50%),Vlookup(F20,DATABASE!C:Q,10,false)*G20)</f>
        <v>0</v>
      </c>
      <c r="L20" s="74">
        <f>VLOOKUP(F20,DATABASE!C:Q,7,FALSE)</f>
        <v>43500</v>
      </c>
      <c r="M20" s="74">
        <v>43520.0</v>
      </c>
      <c r="N20" s="74">
        <f t="shared" si="2"/>
        <v>45000</v>
      </c>
      <c r="O20" s="74">
        <f t="shared" si="3"/>
        <v>65000</v>
      </c>
      <c r="P20" s="63">
        <f t="shared" si="4"/>
        <v>110000</v>
      </c>
      <c r="Q20" s="63">
        <f t="shared" si="5"/>
        <v>65000</v>
      </c>
      <c r="R20" s="93" t="str">
        <f>VLOOKUP(F20,DATABASE!C:Q,4,false)</f>
        <v>Flap</v>
      </c>
      <c r="S20" s="93" t="str">
        <f>VLOOKUP(F20,DATABASE!C:P,11,false)</f>
        <v>Tire</v>
      </c>
      <c r="T20" s="93" t="str">
        <f>vlookup(F20,DATABASE!C:Q,8,false)</f>
        <v>BIAN</v>
      </c>
      <c r="Y20" s="81"/>
      <c r="Z20" s="9"/>
    </row>
    <row r="21" ht="15.0" customHeight="1">
      <c r="A21" s="49"/>
      <c r="C21" s="384">
        <v>45670.0</v>
      </c>
      <c r="D21" s="93">
        <v>45670.0</v>
      </c>
      <c r="E21" s="65" t="s">
        <v>927</v>
      </c>
      <c r="F21" s="74" t="s">
        <v>447</v>
      </c>
      <c r="G21" s="386">
        <v>1.0</v>
      </c>
      <c r="H21" s="74">
        <v>1850000.0</v>
      </c>
      <c r="I21" s="74">
        <v>1925000.0</v>
      </c>
      <c r="J21" s="60">
        <f t="shared" si="1"/>
        <v>45700</v>
      </c>
      <c r="K21" s="74">
        <f>if(F21="SERVICE",O21-(O21*50%),Vlookup(F21,DATABASE!C:Q,10,false)*G21)</f>
        <v>0</v>
      </c>
      <c r="L21" s="74">
        <f>VLOOKUP(F21,DATABASE!C:Q,7,FALSE)</f>
        <v>1725000</v>
      </c>
      <c r="M21" s="74">
        <v>1725000.0</v>
      </c>
      <c r="N21" s="74">
        <f t="shared" si="2"/>
        <v>1725000</v>
      </c>
      <c r="O21" s="74">
        <f t="shared" si="3"/>
        <v>1850000</v>
      </c>
      <c r="P21" s="63">
        <f t="shared" si="4"/>
        <v>1925000</v>
      </c>
      <c r="Q21" s="63">
        <f t="shared" si="5"/>
        <v>200000</v>
      </c>
      <c r="R21" s="93" t="str">
        <f>VLOOKUP(F21,DATABASE!C:Q,4,false)</f>
        <v>Aspira</v>
      </c>
      <c r="S21" s="93" t="str">
        <f>VLOOKUP(F21,DATABASE!C:P,11,false)</f>
        <v>Tire</v>
      </c>
      <c r="T21" s="93" t="str">
        <f>vlookup(F21,DATABASE!C:Q,8,false)</f>
        <v>BIAN</v>
      </c>
      <c r="Y21" s="81"/>
      <c r="Z21" s="9"/>
    </row>
    <row r="22" ht="15.0" customHeight="1">
      <c r="A22" s="49"/>
      <c r="C22" s="384">
        <v>45670.0</v>
      </c>
      <c r="D22" s="93">
        <v>45670.0</v>
      </c>
      <c r="E22" s="93" t="s">
        <v>819</v>
      </c>
      <c r="F22" s="74" t="s">
        <v>437</v>
      </c>
      <c r="G22" s="386">
        <v>1.0</v>
      </c>
      <c r="H22" s="74">
        <v>1730000.0</v>
      </c>
      <c r="I22" s="74">
        <v>1800000.0</v>
      </c>
      <c r="J22" s="60">
        <f t="shared" si="1"/>
        <v>45700</v>
      </c>
      <c r="K22" s="74">
        <f>if(F22="SERVICE",O22-(O22*50%),Vlookup(F22,DATABASE!C:Q,10,false)*G22)</f>
        <v>0</v>
      </c>
      <c r="L22" s="74">
        <f>VLOOKUP(F22,DATABASE!C:Q,7,FALSE)</f>
        <v>1610000</v>
      </c>
      <c r="M22" s="74">
        <v>1610000.0</v>
      </c>
      <c r="N22" s="74">
        <f t="shared" si="2"/>
        <v>1610000</v>
      </c>
      <c r="O22" s="74">
        <f t="shared" si="3"/>
        <v>1730000</v>
      </c>
      <c r="P22" s="63">
        <f t="shared" si="4"/>
        <v>1800000</v>
      </c>
      <c r="Q22" s="63">
        <f t="shared" si="5"/>
        <v>190000</v>
      </c>
      <c r="R22" s="93" t="str">
        <f>VLOOKUP(F22,DATABASE!C:Q,4,false)</f>
        <v>Aspira</v>
      </c>
      <c r="S22" s="93" t="str">
        <f>VLOOKUP(F22,DATABASE!C:P,11,false)</f>
        <v>Tire</v>
      </c>
      <c r="T22" s="93" t="str">
        <f>vlookup(F22,DATABASE!C:Q,8,false)</f>
        <v>BIAN</v>
      </c>
      <c r="Y22" s="81"/>
      <c r="Z22" s="9"/>
    </row>
    <row r="23" ht="15.0" customHeight="1">
      <c r="A23" s="49"/>
      <c r="C23" s="384">
        <v>45670.0</v>
      </c>
      <c r="D23" s="93">
        <v>45670.0</v>
      </c>
      <c r="E23" s="65" t="s">
        <v>267</v>
      </c>
      <c r="F23" s="65" t="s">
        <v>391</v>
      </c>
      <c r="G23" s="386">
        <v>2.0</v>
      </c>
      <c r="H23" s="74">
        <v>1950000.0</v>
      </c>
      <c r="I23" s="74">
        <v>2050000.0</v>
      </c>
      <c r="J23" s="60">
        <f t="shared" si="1"/>
        <v>45700</v>
      </c>
      <c r="K23" s="74">
        <f>if(F23="SERVICE",O23-(O23*50%),Vlookup(F23,DATABASE!C:Q,10,false)*G23)</f>
        <v>0</v>
      </c>
      <c r="L23" s="74">
        <f>VLOOKUP(F23,DATABASE!C:Q,7,FALSE)</f>
        <v>1885000</v>
      </c>
      <c r="M23" s="74">
        <v>1840000.0</v>
      </c>
      <c r="N23" s="74">
        <f t="shared" si="2"/>
        <v>1840000</v>
      </c>
      <c r="O23" s="74">
        <f t="shared" si="3"/>
        <v>3900000</v>
      </c>
      <c r="P23" s="63">
        <f t="shared" si="4"/>
        <v>4100000</v>
      </c>
      <c r="Q23" s="63">
        <f t="shared" si="5"/>
        <v>420000</v>
      </c>
      <c r="R23" s="93" t="str">
        <f>VLOOKUP(F23,DATABASE!C:Q,4,false)</f>
        <v>Advance</v>
      </c>
      <c r="S23" s="93" t="str">
        <f>VLOOKUP(F23,DATABASE!C:P,11,false)</f>
        <v>Tire</v>
      </c>
      <c r="T23" s="93" t="str">
        <f>vlookup(F23,DATABASE!C:Q,8,false)</f>
        <v>BIAN</v>
      </c>
      <c r="Y23" s="81"/>
      <c r="Z23" s="9"/>
    </row>
    <row r="24" ht="15.0" customHeight="1">
      <c r="A24" s="49"/>
      <c r="C24" s="384">
        <v>45671.0</v>
      </c>
      <c r="D24" s="93">
        <v>45671.0</v>
      </c>
      <c r="E24" s="65" t="s">
        <v>74</v>
      </c>
      <c r="F24" s="74" t="s">
        <v>572</v>
      </c>
      <c r="G24" s="386">
        <v>2.0</v>
      </c>
      <c r="H24" s="74">
        <v>1370000.0</v>
      </c>
      <c r="I24" s="74">
        <v>1410000.0</v>
      </c>
      <c r="J24" s="60">
        <f t="shared" si="1"/>
        <v>45701</v>
      </c>
      <c r="K24" s="74">
        <f>if(F24="SERVICE",O24-(O24*50%),Vlookup(F24,DATABASE!C:Q,10,false)*G24)</f>
        <v>0</v>
      </c>
      <c r="L24" s="74">
        <f>VLOOKUP(F24,DATABASE!C:Q,7,FALSE)</f>
        <v>1265000</v>
      </c>
      <c r="M24" s="140">
        <v>1270000.0</v>
      </c>
      <c r="N24" s="74">
        <f t="shared" si="2"/>
        <v>1270000</v>
      </c>
      <c r="O24" s="74">
        <f t="shared" si="3"/>
        <v>2740000</v>
      </c>
      <c r="P24" s="63">
        <f t="shared" si="4"/>
        <v>2820000</v>
      </c>
      <c r="Q24" s="63">
        <f t="shared" si="5"/>
        <v>280000</v>
      </c>
      <c r="R24" s="93" t="str">
        <f>VLOOKUP(F24,DATABASE!C:Q,4,false)</f>
        <v>Bridgestone</v>
      </c>
      <c r="S24" s="93" t="str">
        <f>VLOOKUP(F24,DATABASE!C:P,11,false)</f>
        <v>Tire</v>
      </c>
      <c r="T24" s="93" t="str">
        <f>vlookup(F24,DATABASE!C:Q,8,false)</f>
        <v>IBU</v>
      </c>
      <c r="Y24" s="81"/>
      <c r="Z24" s="9"/>
    </row>
    <row r="25" ht="15.0" customHeight="1">
      <c r="A25" s="49"/>
      <c r="C25" s="384">
        <v>45671.0</v>
      </c>
      <c r="D25" s="93">
        <v>45671.0</v>
      </c>
      <c r="E25" s="65" t="s">
        <v>74</v>
      </c>
      <c r="F25" s="74" t="s">
        <v>712</v>
      </c>
      <c r="G25" s="386">
        <v>2.0</v>
      </c>
      <c r="H25" s="74">
        <v>170000.0</v>
      </c>
      <c r="I25" s="74">
        <v>170000.0</v>
      </c>
      <c r="J25" s="60">
        <f t="shared" si="1"/>
        <v>45701</v>
      </c>
      <c r="K25" s="74">
        <f>if(F25="SERVICE",O25-(O25*50%),Vlookup(F25,DATABASE!C:Q,10,false)*G25)</f>
        <v>0</v>
      </c>
      <c r="L25" s="74">
        <f>VLOOKUP(F25,DATABASE!C:Q,7,FALSE)</f>
        <v>120960</v>
      </c>
      <c r="M25" s="74">
        <v>120960.0</v>
      </c>
      <c r="N25" s="74">
        <f t="shared" si="2"/>
        <v>125000</v>
      </c>
      <c r="O25" s="74">
        <f t="shared" si="3"/>
        <v>340000</v>
      </c>
      <c r="P25" s="63">
        <f t="shared" si="4"/>
        <v>340000</v>
      </c>
      <c r="Q25" s="63">
        <f t="shared" si="5"/>
        <v>90000</v>
      </c>
      <c r="R25" s="93" t="str">
        <f>VLOOKUP(F25,DATABASE!C:Q,4,false)</f>
        <v>BD</v>
      </c>
      <c r="S25" s="93" t="str">
        <f>VLOOKUP(F25,DATABASE!C:P,11,false)</f>
        <v>Tire</v>
      </c>
      <c r="T25" s="93" t="str">
        <f>vlookup(F25,DATABASE!C:Q,8,false)</f>
        <v>BIAN</v>
      </c>
      <c r="Y25" s="81"/>
      <c r="Z25" s="9"/>
    </row>
    <row r="26" ht="15.0" customHeight="1">
      <c r="A26" s="49"/>
      <c r="C26" s="384">
        <v>45671.0</v>
      </c>
      <c r="D26" s="93">
        <v>45671.0</v>
      </c>
      <c r="E26" s="65" t="s">
        <v>74</v>
      </c>
      <c r="F26" s="74" t="s">
        <v>284</v>
      </c>
      <c r="G26" s="386">
        <v>2.0</v>
      </c>
      <c r="H26" s="74">
        <v>65000.0</v>
      </c>
      <c r="I26" s="74">
        <v>80000.0</v>
      </c>
      <c r="J26" s="60">
        <f t="shared" si="1"/>
        <v>45701</v>
      </c>
      <c r="K26" s="74">
        <f>if(F26="SERVICE",O26-(O26*50%),Vlookup(F26,DATABASE!C:Q,10,false)*G26)</f>
        <v>0</v>
      </c>
      <c r="L26" s="74">
        <f>VLOOKUP(F26,DATABASE!C:Q,7,FALSE)</f>
        <v>36630</v>
      </c>
      <c r="M26" s="74">
        <v>36630.0</v>
      </c>
      <c r="N26" s="74">
        <f t="shared" si="2"/>
        <v>40000</v>
      </c>
      <c r="O26" s="74">
        <f t="shared" si="3"/>
        <v>130000</v>
      </c>
      <c r="P26" s="63">
        <f t="shared" si="4"/>
        <v>160000</v>
      </c>
      <c r="Q26" s="63">
        <f t="shared" si="5"/>
        <v>80000</v>
      </c>
      <c r="R26" s="93" t="str">
        <f>VLOOKUP(F26,DATABASE!C:Q,4,false)</f>
        <v>Flap</v>
      </c>
      <c r="S26" s="93" t="str">
        <f>VLOOKUP(F26,DATABASE!C:P,11,false)</f>
        <v>Tire</v>
      </c>
      <c r="T26" s="93" t="str">
        <f>vlookup(F26,DATABASE!C:Q,8,false)</f>
        <v>BIAN</v>
      </c>
      <c r="Y26" s="81"/>
      <c r="Z26" s="9"/>
    </row>
    <row r="27" ht="15.0" customHeight="1">
      <c r="A27" s="49"/>
      <c r="C27" s="384">
        <v>45673.0</v>
      </c>
      <c r="D27" s="93">
        <v>45673.0</v>
      </c>
      <c r="E27" s="65" t="s">
        <v>901</v>
      </c>
      <c r="F27" s="74" t="s">
        <v>374</v>
      </c>
      <c r="G27" s="386">
        <v>2.0</v>
      </c>
      <c r="H27" s="74">
        <v>2050000.0</v>
      </c>
      <c r="I27" s="74">
        <v>2150000.0</v>
      </c>
      <c r="J27" s="60">
        <f t="shared" si="1"/>
        <v>45703</v>
      </c>
      <c r="K27" s="74">
        <f>if(F27="SERVICE",O27-(O27*50%),Vlookup(F27,DATABASE!C:Q,10,false)*G27)</f>
        <v>0</v>
      </c>
      <c r="L27" s="74">
        <f>VLOOKUP(F27,DATABASE!C:Q,7,FALSE)</f>
        <v>1980000</v>
      </c>
      <c r="M27" s="140">
        <v>1950000.0</v>
      </c>
      <c r="N27" s="74">
        <f t="shared" si="2"/>
        <v>1950000</v>
      </c>
      <c r="O27" s="74">
        <f t="shared" si="3"/>
        <v>4100000</v>
      </c>
      <c r="P27" s="63">
        <f t="shared" si="4"/>
        <v>4300000</v>
      </c>
      <c r="Q27" s="63">
        <f t="shared" si="5"/>
        <v>400000</v>
      </c>
      <c r="R27" s="93" t="str">
        <f>VLOOKUP(F27,DATABASE!C:Q,4,false)</f>
        <v>Advance</v>
      </c>
      <c r="S27" s="93" t="str">
        <f>VLOOKUP(F27,DATABASE!C:P,11,false)</f>
        <v>Tire</v>
      </c>
      <c r="T27" s="93" t="str">
        <f>vlookup(F27,DATABASE!C:Q,8,false)</f>
        <v>BIAN</v>
      </c>
      <c r="Y27" s="81"/>
      <c r="Z27" s="9"/>
    </row>
    <row r="28" ht="15.0" customHeight="1">
      <c r="A28" s="49"/>
      <c r="C28" s="384">
        <v>45673.0</v>
      </c>
      <c r="D28" s="93">
        <v>45673.0</v>
      </c>
      <c r="E28" s="65" t="s">
        <v>810</v>
      </c>
      <c r="F28" s="74" t="s">
        <v>391</v>
      </c>
      <c r="G28" s="386">
        <v>1.0</v>
      </c>
      <c r="H28" s="74">
        <v>1950000.0</v>
      </c>
      <c r="I28" s="74">
        <v>2050000.0</v>
      </c>
      <c r="J28" s="60">
        <f t="shared" si="1"/>
        <v>45703</v>
      </c>
      <c r="K28" s="74">
        <f>if(F28="SERVICE",O28-(O28*50%),Vlookup(F28,DATABASE!C:Q,10,false)*G28)</f>
        <v>0</v>
      </c>
      <c r="L28" s="74">
        <f>VLOOKUP(F28,DATABASE!C:Q,7,FALSE)</f>
        <v>1885000</v>
      </c>
      <c r="M28" s="74">
        <v>1840000.0</v>
      </c>
      <c r="N28" s="74">
        <f t="shared" si="2"/>
        <v>1840000</v>
      </c>
      <c r="O28" s="74">
        <f t="shared" si="3"/>
        <v>1950000</v>
      </c>
      <c r="P28" s="63">
        <f t="shared" si="4"/>
        <v>2050000</v>
      </c>
      <c r="Q28" s="63">
        <f t="shared" si="5"/>
        <v>210000</v>
      </c>
      <c r="R28" s="93" t="str">
        <f>VLOOKUP(F28,DATABASE!C:Q,4,false)</f>
        <v>Advance</v>
      </c>
      <c r="S28" s="93" t="str">
        <f>VLOOKUP(F28,DATABASE!C:P,11,false)</f>
        <v>Tire</v>
      </c>
      <c r="T28" s="93" t="str">
        <f>vlookup(F28,DATABASE!C:Q,8,false)</f>
        <v>BIAN</v>
      </c>
      <c r="Y28" s="81"/>
      <c r="Z28" s="9"/>
    </row>
    <row r="29" ht="15.0" customHeight="1">
      <c r="A29" s="49"/>
      <c r="C29" s="384">
        <v>45675.0</v>
      </c>
      <c r="D29" s="93">
        <v>45675.0</v>
      </c>
      <c r="E29" s="65" t="s">
        <v>935</v>
      </c>
      <c r="F29" s="74" t="s">
        <v>932</v>
      </c>
      <c r="G29" s="386">
        <v>2.0</v>
      </c>
      <c r="H29" s="74">
        <v>701000.0</v>
      </c>
      <c r="I29" s="74">
        <v>750000.0</v>
      </c>
      <c r="J29" s="60">
        <f t="shared" si="1"/>
        <v>45705</v>
      </c>
      <c r="K29" s="74">
        <f>if(F29="SERVICE",O29-(O29*50%),Vlookup(F29,DATABASE!C:Q,10,false)*G29)</f>
        <v>0</v>
      </c>
      <c r="L29" s="74">
        <f>VLOOKUP(F29,DATABASE!C:Q,7,FALSE)</f>
        <v>601000</v>
      </c>
      <c r="M29" s="74">
        <v>595000.0</v>
      </c>
      <c r="N29" s="74">
        <f t="shared" si="2"/>
        <v>595000</v>
      </c>
      <c r="O29" s="74">
        <f t="shared" si="3"/>
        <v>1402000</v>
      </c>
      <c r="P29" s="63">
        <f t="shared" si="4"/>
        <v>1500000</v>
      </c>
      <c r="Q29" s="63">
        <f t="shared" si="5"/>
        <v>310000</v>
      </c>
      <c r="R29" s="93" t="str">
        <f>VLOOKUP(F29,DATABASE!C:Q,4,false)</f>
        <v>Dunlop</v>
      </c>
      <c r="S29" s="93" t="str">
        <f>VLOOKUP(F29,DATABASE!C:P,11,false)</f>
        <v>Tire</v>
      </c>
      <c r="T29" s="93" t="str">
        <f>vlookup(F29,DATABASE!C:Q,8,false)</f>
        <v>IBU</v>
      </c>
      <c r="Y29" s="81"/>
      <c r="Z29" s="9"/>
    </row>
    <row r="30" ht="15.0" customHeight="1">
      <c r="A30" s="49"/>
      <c r="C30" s="384">
        <v>45677.0</v>
      </c>
      <c r="D30" s="93">
        <v>45677.0</v>
      </c>
      <c r="E30" s="93" t="s">
        <v>544</v>
      </c>
      <c r="F30" s="74" t="s">
        <v>391</v>
      </c>
      <c r="G30" s="386">
        <v>2.0</v>
      </c>
      <c r="H30" s="74">
        <v>1950000.0</v>
      </c>
      <c r="I30" s="74">
        <v>2050000.0</v>
      </c>
      <c r="J30" s="60">
        <f t="shared" si="1"/>
        <v>45707</v>
      </c>
      <c r="K30" s="74">
        <f>if(F30="SERVICE",O30-(O30*50%),Vlookup(F30,DATABASE!C:Q,10,false)*G30)</f>
        <v>0</v>
      </c>
      <c r="L30" s="74">
        <f>VLOOKUP(F30,DATABASE!C:Q,7,FALSE)</f>
        <v>1885000</v>
      </c>
      <c r="M30" s="74">
        <v>1840000.0</v>
      </c>
      <c r="N30" s="74">
        <f t="shared" si="2"/>
        <v>1840000</v>
      </c>
      <c r="O30" s="74">
        <f t="shared" si="3"/>
        <v>3900000</v>
      </c>
      <c r="P30" s="63">
        <f t="shared" si="4"/>
        <v>4100000</v>
      </c>
      <c r="Q30" s="63">
        <f t="shared" si="5"/>
        <v>420000</v>
      </c>
      <c r="R30" s="93" t="str">
        <f>VLOOKUP(F30,DATABASE!C:Q,4,false)</f>
        <v>Advance</v>
      </c>
      <c r="S30" s="93" t="str">
        <f>VLOOKUP(F30,DATABASE!C:P,11,false)</f>
        <v>Tire</v>
      </c>
      <c r="T30" s="93" t="str">
        <f>vlookup(F30,DATABASE!C:Q,8,false)</f>
        <v>BIAN</v>
      </c>
      <c r="Y30" s="81"/>
      <c r="Z30" s="9"/>
    </row>
    <row r="31" ht="15.0" customHeight="1">
      <c r="A31" s="49"/>
      <c r="C31" s="384">
        <v>45677.0</v>
      </c>
      <c r="D31" s="93">
        <v>45677.0</v>
      </c>
      <c r="E31" s="93" t="s">
        <v>274</v>
      </c>
      <c r="F31" s="74" t="s">
        <v>391</v>
      </c>
      <c r="G31" s="386">
        <v>2.0</v>
      </c>
      <c r="H31" s="74">
        <v>1950000.0</v>
      </c>
      <c r="I31" s="74">
        <v>2050000.0</v>
      </c>
      <c r="J31" s="60">
        <f t="shared" si="1"/>
        <v>45707</v>
      </c>
      <c r="K31" s="74">
        <f>if(F31="SERVICE",O31-(O31*50%),Vlookup(F31,DATABASE!C:Q,10,false)*G31)</f>
        <v>0</v>
      </c>
      <c r="L31" s="74">
        <f>VLOOKUP(F31,DATABASE!C:Q,7,FALSE)</f>
        <v>1885000</v>
      </c>
      <c r="M31" s="74">
        <v>1840000.0</v>
      </c>
      <c r="N31" s="74">
        <f t="shared" si="2"/>
        <v>1840000</v>
      </c>
      <c r="O31" s="74">
        <f t="shared" si="3"/>
        <v>3900000</v>
      </c>
      <c r="P31" s="63">
        <f t="shared" si="4"/>
        <v>4100000</v>
      </c>
      <c r="Q31" s="63">
        <f t="shared" si="5"/>
        <v>420000</v>
      </c>
      <c r="R31" s="93" t="str">
        <f>VLOOKUP(F31,DATABASE!C:Q,4,false)</f>
        <v>Advance</v>
      </c>
      <c r="S31" s="93" t="str">
        <f>VLOOKUP(F31,DATABASE!C:P,11,false)</f>
        <v>Tire</v>
      </c>
      <c r="T31" s="93" t="str">
        <f>vlookup(F31,DATABASE!C:Q,8,false)</f>
        <v>BIAN</v>
      </c>
      <c r="Y31" s="81"/>
      <c r="Z31" s="9"/>
    </row>
    <row r="32" ht="15.0" customHeight="1">
      <c r="A32" s="49"/>
      <c r="C32" s="384">
        <v>45677.0</v>
      </c>
      <c r="D32" s="93">
        <v>45677.0</v>
      </c>
      <c r="E32" s="65" t="s">
        <v>144</v>
      </c>
      <c r="F32" s="74" t="s">
        <v>897</v>
      </c>
      <c r="G32" s="386">
        <v>1.0</v>
      </c>
      <c r="H32" s="74">
        <v>1600000.0</v>
      </c>
      <c r="I32" s="74">
        <v>1685000.0</v>
      </c>
      <c r="J32" s="60">
        <f t="shared" si="1"/>
        <v>45707</v>
      </c>
      <c r="K32" s="74">
        <f>if(F32="SERVICE",O32-(O32*50%),Vlookup(F32,DATABASE!C:Q,10,false)*G32)</f>
        <v>0</v>
      </c>
      <c r="L32" s="74">
        <f>VLOOKUP(F32,DATABASE!C:Q,7,FALSE)</f>
        <v>1560000</v>
      </c>
      <c r="M32" s="74">
        <v>1500000.0</v>
      </c>
      <c r="N32" s="74">
        <f t="shared" si="2"/>
        <v>1500000</v>
      </c>
      <c r="O32" s="74">
        <f t="shared" si="3"/>
        <v>1600000</v>
      </c>
      <c r="P32" s="63">
        <f t="shared" si="4"/>
        <v>1685000</v>
      </c>
      <c r="Q32" s="63">
        <f t="shared" si="5"/>
        <v>185000</v>
      </c>
      <c r="R32" s="93" t="str">
        <f>VLOOKUP(F32,DATABASE!C:Q,4,false)</f>
        <v>GT</v>
      </c>
      <c r="S32" s="93" t="str">
        <f>VLOOKUP(F32,DATABASE!C:P,11,false)</f>
        <v>Tire</v>
      </c>
      <c r="T32" s="93" t="str">
        <f>vlookup(F32,DATABASE!C:Q,8,false)</f>
        <v>BIAN</v>
      </c>
      <c r="Y32" s="81"/>
      <c r="Z32" s="9"/>
    </row>
    <row r="33" ht="15.0" customHeight="1">
      <c r="A33" s="49"/>
      <c r="C33" s="384">
        <v>45677.0</v>
      </c>
      <c r="D33" s="93">
        <v>45677.0</v>
      </c>
      <c r="E33" s="93" t="s">
        <v>144</v>
      </c>
      <c r="F33" s="74" t="s">
        <v>821</v>
      </c>
      <c r="G33" s="386">
        <v>1.0</v>
      </c>
      <c r="H33" s="74">
        <v>65000.0</v>
      </c>
      <c r="I33" s="74">
        <v>110000.0</v>
      </c>
      <c r="J33" s="60">
        <f t="shared" si="1"/>
        <v>45707</v>
      </c>
      <c r="K33" s="74">
        <f>if(F33="SERVICE",O33-(O33*50%),Vlookup(F33,DATABASE!C:Q,10,false)*G33)</f>
        <v>0</v>
      </c>
      <c r="L33" s="74">
        <f>VLOOKUP(F33,DATABASE!C:Q,7,FALSE)</f>
        <v>43500</v>
      </c>
      <c r="M33" s="74">
        <v>43520.0</v>
      </c>
      <c r="N33" s="74">
        <f t="shared" si="2"/>
        <v>45000</v>
      </c>
      <c r="O33" s="74">
        <f t="shared" si="3"/>
        <v>65000</v>
      </c>
      <c r="P33" s="63">
        <f t="shared" si="4"/>
        <v>110000</v>
      </c>
      <c r="Q33" s="63">
        <f t="shared" si="5"/>
        <v>65000</v>
      </c>
      <c r="R33" s="93" t="str">
        <f>VLOOKUP(F33,DATABASE!C:Q,4,false)</f>
        <v>Flap</v>
      </c>
      <c r="S33" s="93" t="str">
        <f>VLOOKUP(F33,DATABASE!C:P,11,false)</f>
        <v>Tire</v>
      </c>
      <c r="T33" s="93" t="str">
        <f>vlookup(F33,DATABASE!C:Q,8,false)</f>
        <v>BIAN</v>
      </c>
      <c r="Y33" s="81"/>
      <c r="Z33" s="9"/>
    </row>
    <row r="34" ht="15.0" customHeight="1">
      <c r="A34" s="49"/>
      <c r="C34" s="384">
        <v>45680.0</v>
      </c>
      <c r="D34" s="93">
        <v>45680.0</v>
      </c>
      <c r="E34" s="93" t="s">
        <v>944</v>
      </c>
      <c r="F34" s="74" t="s">
        <v>268</v>
      </c>
      <c r="G34" s="386">
        <v>2.0</v>
      </c>
      <c r="H34" s="74">
        <v>734500.0</v>
      </c>
      <c r="I34" s="74">
        <v>700000.0</v>
      </c>
      <c r="J34" s="60">
        <f t="shared" si="1"/>
        <v>45710</v>
      </c>
      <c r="K34" s="74">
        <f>if(F34="SERVICE",O34-(O34*50%),Vlookup(F34,DATABASE!C:Q,10,false)*G34)</f>
        <v>0</v>
      </c>
      <c r="L34" s="74">
        <f>VLOOKUP(F34,DATABASE!C:Q,7,FALSE)</f>
        <v>653000</v>
      </c>
      <c r="M34" s="74">
        <v>622000.0</v>
      </c>
      <c r="N34" s="74">
        <f t="shared" si="2"/>
        <v>625000</v>
      </c>
      <c r="O34" s="74">
        <f t="shared" si="3"/>
        <v>1469000</v>
      </c>
      <c r="P34" s="63">
        <f t="shared" si="4"/>
        <v>1400000</v>
      </c>
      <c r="Q34" s="63">
        <f t="shared" si="5"/>
        <v>150000</v>
      </c>
      <c r="R34" s="93" t="str">
        <f>VLOOKUP(F34,DATABASE!C:Q,4,false)</f>
        <v>Dunlop</v>
      </c>
      <c r="S34" s="93" t="str">
        <f>VLOOKUP(F34,DATABASE!C:P,11,false)</f>
        <v>Tire</v>
      </c>
      <c r="T34" s="93" t="str">
        <f>vlookup(F34,DATABASE!C:Q,8,false)</f>
        <v>IBU</v>
      </c>
      <c r="Y34" s="81"/>
      <c r="Z34" s="9"/>
    </row>
    <row r="35" ht="15.0" customHeight="1">
      <c r="A35" s="49"/>
      <c r="C35" s="384">
        <v>45680.0</v>
      </c>
      <c r="D35" s="93">
        <v>45680.0</v>
      </c>
      <c r="E35" s="93" t="s">
        <v>944</v>
      </c>
      <c r="F35" s="74" t="s">
        <v>256</v>
      </c>
      <c r="G35" s="386">
        <v>1.0</v>
      </c>
      <c r="H35" s="74">
        <v>150000.0</v>
      </c>
      <c r="I35" s="74">
        <v>130000.0</v>
      </c>
      <c r="J35" s="60">
        <f t="shared" si="1"/>
        <v>45710</v>
      </c>
      <c r="K35" s="74">
        <f>if(F35="SERVICE",O35-(O35*50%),Vlookup(F35,DATABASE!C:Q,10,false)*G35)</f>
        <v>10000</v>
      </c>
      <c r="L35" s="74">
        <f>VLOOKUP(F35,DATABASE!C:Q,7,FALSE)</f>
        <v>0</v>
      </c>
      <c r="M35" s="74">
        <v>0.0</v>
      </c>
      <c r="N35" s="74">
        <f t="shared" si="2"/>
        <v>0</v>
      </c>
      <c r="O35" s="74">
        <f t="shared" si="3"/>
        <v>150000</v>
      </c>
      <c r="P35" s="63">
        <f t="shared" si="4"/>
        <v>130000</v>
      </c>
      <c r="Q35" s="63">
        <f t="shared" si="5"/>
        <v>120000</v>
      </c>
      <c r="R35" s="93" t="str">
        <f>VLOOKUP(F35,DATABASE!C:Q,4,false)</f>
        <v>SPOORING</v>
      </c>
      <c r="S35" s="93" t="str">
        <f>VLOOKUP(F35,DATABASE!C:P,11,false)</f>
        <v>SERVICE</v>
      </c>
      <c r="T35" s="93" t="str">
        <f>vlookup(F35,DATABASE!C:Q,8,false)</f>
        <v>IBU</v>
      </c>
      <c r="U35" s="2"/>
      <c r="V35" s="2"/>
      <c r="Y35" s="81"/>
      <c r="Z35" s="9"/>
    </row>
    <row r="36" ht="15.0" customHeight="1">
      <c r="A36" s="49"/>
      <c r="C36" s="384">
        <v>45680.0</v>
      </c>
      <c r="D36" s="93">
        <v>45680.0</v>
      </c>
      <c r="E36" s="93" t="s">
        <v>396</v>
      </c>
      <c r="F36" s="74" t="s">
        <v>1237</v>
      </c>
      <c r="G36" s="386">
        <v>1.0</v>
      </c>
      <c r="H36" s="74">
        <v>1300000.0</v>
      </c>
      <c r="I36" s="74">
        <v>1300000.0</v>
      </c>
      <c r="J36" s="60">
        <f t="shared" si="1"/>
        <v>45710</v>
      </c>
      <c r="K36" s="74">
        <f>if(F36="SERVICE",O36-(O36*50%),Vlookup(F36,DATABASE!C:Q,10,false)*G36)</f>
        <v>0</v>
      </c>
      <c r="L36" s="74">
        <f>VLOOKUP(F36,DATABASE!C:Q,7,FALSE)</f>
        <v>1170353.16</v>
      </c>
      <c r="M36" s="74">
        <v>1113907.2</v>
      </c>
      <c r="N36" s="74">
        <f t="shared" si="2"/>
        <v>1115000</v>
      </c>
      <c r="O36" s="74">
        <f t="shared" si="3"/>
        <v>1300000</v>
      </c>
      <c r="P36" s="63">
        <f t="shared" si="4"/>
        <v>1300000</v>
      </c>
      <c r="Q36" s="63">
        <f t="shared" si="5"/>
        <v>185000</v>
      </c>
      <c r="R36" s="93" t="str">
        <f>VLOOKUP(F36,DATABASE!C:Q,4,false)</f>
        <v>Bridgestone</v>
      </c>
      <c r="S36" s="93" t="str">
        <f>VLOOKUP(F36,DATABASE!C:P,11,false)</f>
        <v>Tire</v>
      </c>
      <c r="T36" s="93" t="str">
        <f>vlookup(F36,DATABASE!C:Q,8,false)</f>
        <v>IBU</v>
      </c>
      <c r="Y36" s="81"/>
      <c r="Z36" s="9"/>
    </row>
    <row r="37" ht="15.0" customHeight="1">
      <c r="A37" s="49"/>
      <c r="C37" s="384">
        <v>45682.0</v>
      </c>
      <c r="D37" s="93">
        <v>45682.0</v>
      </c>
      <c r="E37" s="93" t="s">
        <v>953</v>
      </c>
      <c r="F37" s="74" t="s">
        <v>374</v>
      </c>
      <c r="G37" s="386">
        <v>1.0</v>
      </c>
      <c r="H37" s="74">
        <v>2050000.0</v>
      </c>
      <c r="I37" s="74">
        <v>2150000.0</v>
      </c>
      <c r="J37" s="60">
        <f t="shared" si="1"/>
        <v>45712</v>
      </c>
      <c r="K37" s="74">
        <f>if(F37="SERVICE",O37-(O37*50%),Vlookup(F37,DATABASE!C:Q,10,false)*G37)</f>
        <v>0</v>
      </c>
      <c r="L37" s="74">
        <f>VLOOKUP(F37,DATABASE!C:Q,7,FALSE)</f>
        <v>1980000</v>
      </c>
      <c r="M37" s="140">
        <v>1950000.0</v>
      </c>
      <c r="N37" s="74">
        <f t="shared" si="2"/>
        <v>1950000</v>
      </c>
      <c r="O37" s="74">
        <f t="shared" si="3"/>
        <v>2050000</v>
      </c>
      <c r="P37" s="63">
        <f t="shared" si="4"/>
        <v>2150000</v>
      </c>
      <c r="Q37" s="63">
        <f t="shared" si="5"/>
        <v>200000</v>
      </c>
      <c r="R37" s="93" t="str">
        <f>VLOOKUP(F37,DATABASE!C:Q,4,false)</f>
        <v>Advance</v>
      </c>
      <c r="S37" s="93" t="str">
        <f>VLOOKUP(F37,DATABASE!C:P,11,false)</f>
        <v>Tire</v>
      </c>
      <c r="T37" s="93" t="str">
        <f>vlookup(F37,DATABASE!C:Q,8,false)</f>
        <v>BIAN</v>
      </c>
      <c r="V37" s="2"/>
      <c r="Y37" s="81"/>
      <c r="Z37" s="9"/>
    </row>
    <row r="38" ht="15.0" customHeight="1">
      <c r="A38" s="49"/>
      <c r="C38" s="384">
        <v>45683.0</v>
      </c>
      <c r="D38" s="93">
        <v>45683.0</v>
      </c>
      <c r="E38" s="93" t="s">
        <v>735</v>
      </c>
      <c r="F38" s="74" t="s">
        <v>374</v>
      </c>
      <c r="G38" s="386">
        <v>2.0</v>
      </c>
      <c r="H38" s="74">
        <v>2050000.0</v>
      </c>
      <c r="I38" s="74">
        <v>2150000.0</v>
      </c>
      <c r="J38" s="60">
        <f t="shared" si="1"/>
        <v>45713</v>
      </c>
      <c r="K38" s="74">
        <f>if(F38="SERVICE",O38-(O38*50%),Vlookup(F38,DATABASE!C:Q,10,false)*G38)</f>
        <v>0</v>
      </c>
      <c r="L38" s="74">
        <f>VLOOKUP(F38,DATABASE!C:Q,7,FALSE)</f>
        <v>1980000</v>
      </c>
      <c r="M38" s="140">
        <v>1950000.0</v>
      </c>
      <c r="N38" s="74">
        <f t="shared" si="2"/>
        <v>1950000</v>
      </c>
      <c r="O38" s="74">
        <f t="shared" si="3"/>
        <v>4100000</v>
      </c>
      <c r="P38" s="63">
        <f t="shared" si="4"/>
        <v>4300000</v>
      </c>
      <c r="Q38" s="63">
        <f t="shared" si="5"/>
        <v>400000</v>
      </c>
      <c r="R38" s="93" t="str">
        <f>VLOOKUP(F38,DATABASE!C:Q,4,false)</f>
        <v>Advance</v>
      </c>
      <c r="S38" s="93" t="str">
        <f>VLOOKUP(F38,DATABASE!C:P,11,false)</f>
        <v>Tire</v>
      </c>
      <c r="T38" s="93" t="str">
        <f>vlookup(F38,DATABASE!C:Q,8,false)</f>
        <v>BIAN</v>
      </c>
      <c r="Y38" s="81"/>
      <c r="Z38" s="9"/>
    </row>
    <row r="39" ht="15.0" customHeight="1">
      <c r="A39" s="49"/>
      <c r="C39" s="384">
        <v>45684.0</v>
      </c>
      <c r="D39" s="93">
        <v>45684.0</v>
      </c>
      <c r="E39" s="93" t="s">
        <v>962</v>
      </c>
      <c r="F39" s="74" t="s">
        <v>1831</v>
      </c>
      <c r="G39" s="386">
        <v>1.0</v>
      </c>
      <c r="H39" s="74">
        <v>645000.0</v>
      </c>
      <c r="I39" s="74">
        <v>750000.0</v>
      </c>
      <c r="J39" s="60">
        <f t="shared" si="1"/>
        <v>45714</v>
      </c>
      <c r="K39" s="74">
        <f>if(F39="SERVICE",O39-(O39*50%),Vlookup(F39,DATABASE!C:Q,10,false)*G39)</f>
        <v>0</v>
      </c>
      <c r="L39" s="74">
        <f>VLOOKUP(F39,DATABASE!C:Q,7,FALSE)</f>
        <v>595000</v>
      </c>
      <c r="M39" s="74">
        <v>595000.0</v>
      </c>
      <c r="N39" s="74">
        <f t="shared" si="2"/>
        <v>595000</v>
      </c>
      <c r="O39" s="74">
        <f t="shared" si="3"/>
        <v>645000</v>
      </c>
      <c r="P39" s="63">
        <f t="shared" si="4"/>
        <v>750000</v>
      </c>
      <c r="Q39" s="63">
        <f t="shared" si="5"/>
        <v>155000</v>
      </c>
      <c r="R39" s="93" t="str">
        <f>VLOOKUP(F39,DATABASE!C:Q,4,false)</f>
        <v>G. YEAR</v>
      </c>
      <c r="S39" s="93" t="str">
        <f>VLOOKUP(F39,DATABASE!C:P,11,false)</f>
        <v>Tire</v>
      </c>
      <c r="T39" s="93" t="str">
        <f>vlookup(F39,DATABASE!C:Q,8,false)</f>
        <v>BIAN</v>
      </c>
      <c r="V39" s="2"/>
      <c r="Y39" s="81"/>
      <c r="Z39" s="9"/>
    </row>
    <row r="40" ht="15.0" customHeight="1">
      <c r="A40" s="49"/>
      <c r="C40" s="384">
        <v>45684.0</v>
      </c>
      <c r="D40" s="93">
        <v>45684.0</v>
      </c>
      <c r="E40" s="93" t="s">
        <v>270</v>
      </c>
      <c r="F40" s="74" t="s">
        <v>403</v>
      </c>
      <c r="G40" s="386">
        <v>4.0</v>
      </c>
      <c r="H40" s="74">
        <v>2360000.0</v>
      </c>
      <c r="I40" s="74">
        <v>2400000.0</v>
      </c>
      <c r="J40" s="60">
        <f t="shared" si="1"/>
        <v>45714</v>
      </c>
      <c r="K40" s="74">
        <f>if(F40="SERVICE",O40-(O40*50%),Vlookup(F40,DATABASE!C:Q,10,false)*G40)</f>
        <v>0</v>
      </c>
      <c r="L40" s="74">
        <f>VLOOKUP(F40,DATABASE!C:Q,7,FALSE)</f>
        <v>2160000</v>
      </c>
      <c r="M40" s="74">
        <v>2160000.0</v>
      </c>
      <c r="N40" s="74">
        <f t="shared" si="2"/>
        <v>2160000</v>
      </c>
      <c r="O40" s="74">
        <f t="shared" si="3"/>
        <v>9440000</v>
      </c>
      <c r="P40" s="63">
        <f t="shared" si="4"/>
        <v>9600000</v>
      </c>
      <c r="Q40" s="63">
        <f t="shared" si="5"/>
        <v>960000</v>
      </c>
      <c r="R40" s="93" t="str">
        <f>VLOOKUP(F40,DATABASE!C:Q,4,false)</f>
        <v>Advance</v>
      </c>
      <c r="S40" s="93" t="str">
        <f>VLOOKUP(F40,DATABASE!C:P,11,false)</f>
        <v>Tire</v>
      </c>
      <c r="T40" s="93" t="str">
        <f>vlookup(F40,DATABASE!C:Q,8,false)</f>
        <v>BIAN</v>
      </c>
      <c r="Y40" s="81"/>
      <c r="Z40" s="9"/>
    </row>
    <row r="41" ht="15.0" customHeight="1">
      <c r="A41" s="49"/>
      <c r="C41" s="384">
        <v>45684.0</v>
      </c>
      <c r="D41" s="93">
        <v>45684.0</v>
      </c>
      <c r="E41" s="93" t="s">
        <v>270</v>
      </c>
      <c r="F41" s="74" t="s">
        <v>437</v>
      </c>
      <c r="G41" s="386">
        <v>2.0</v>
      </c>
      <c r="H41" s="74">
        <v>1730000.0</v>
      </c>
      <c r="I41" s="74">
        <v>1860000.0</v>
      </c>
      <c r="J41" s="60">
        <f t="shared" si="1"/>
        <v>45714</v>
      </c>
      <c r="K41" s="74">
        <f>if(F41="SERVICE",O41-(O41*50%),Vlookup(F41,DATABASE!C:Q,10,false)*G41)</f>
        <v>0</v>
      </c>
      <c r="L41" s="74">
        <f>VLOOKUP(F41,DATABASE!C:Q,7,FALSE)</f>
        <v>1610000</v>
      </c>
      <c r="M41" s="74">
        <v>1610000.0</v>
      </c>
      <c r="N41" s="74">
        <f t="shared" si="2"/>
        <v>1610000</v>
      </c>
      <c r="O41" s="74">
        <f t="shared" si="3"/>
        <v>3460000</v>
      </c>
      <c r="P41" s="63">
        <f t="shared" si="4"/>
        <v>3720000</v>
      </c>
      <c r="Q41" s="63">
        <f t="shared" si="5"/>
        <v>500000</v>
      </c>
      <c r="R41" s="93" t="str">
        <f>VLOOKUP(F41,DATABASE!C:Q,4,false)</f>
        <v>Aspira</v>
      </c>
      <c r="S41" s="93" t="str">
        <f>VLOOKUP(F41,DATABASE!C:P,11,false)</f>
        <v>Tire</v>
      </c>
      <c r="T41" s="93" t="str">
        <f>vlookup(F41,DATABASE!C:Q,8,false)</f>
        <v>BIAN</v>
      </c>
      <c r="V41" s="2"/>
      <c r="Y41" s="81"/>
      <c r="Z41" s="9"/>
    </row>
    <row r="42" ht="15.0" customHeight="1">
      <c r="A42" s="49"/>
      <c r="C42" s="384">
        <v>45685.0</v>
      </c>
      <c r="D42" s="93">
        <v>45685.0</v>
      </c>
      <c r="E42" s="93" t="s">
        <v>911</v>
      </c>
      <c r="F42" s="74" t="s">
        <v>2202</v>
      </c>
      <c r="G42" s="386">
        <v>2.0</v>
      </c>
      <c r="H42" s="74">
        <v>2100000.0</v>
      </c>
      <c r="I42" s="74">
        <v>2000000.0</v>
      </c>
      <c r="J42" s="60">
        <f t="shared" si="1"/>
        <v>45715</v>
      </c>
      <c r="K42" s="74">
        <f>if(F42="SERVICE",O42-(O42*50%),Vlookup(F42,DATABASE!C:Q,10,false)*G42)</f>
        <v>0</v>
      </c>
      <c r="L42" s="74">
        <f>VLOOKUP(F42,DATABASE!C:Q,7,FALSE)</f>
        <v>1900000</v>
      </c>
      <c r="M42" s="74">
        <v>1900000.0</v>
      </c>
      <c r="N42" s="74">
        <f t="shared" si="2"/>
        <v>1900000</v>
      </c>
      <c r="O42" s="74">
        <f t="shared" si="3"/>
        <v>4200000</v>
      </c>
      <c r="P42" s="63">
        <f t="shared" si="4"/>
        <v>4000000</v>
      </c>
      <c r="Q42" s="63">
        <f t="shared" si="5"/>
        <v>200000</v>
      </c>
      <c r="R42" s="93" t="str">
        <f>VLOOKUP(F42,DATABASE!C:Q,4,false)</f>
        <v>TECKING</v>
      </c>
      <c r="S42" s="93" t="str">
        <f>VLOOKUP(F42,DATABASE!C:P,11,false)</f>
        <v>Tire</v>
      </c>
      <c r="T42" s="93" t="str">
        <f>vlookup(F42,DATABASE!C:Q,8,false)</f>
        <v>BIAN</v>
      </c>
      <c r="Y42" s="81"/>
      <c r="Z42" s="9"/>
    </row>
    <row r="43" ht="15.0" customHeight="1">
      <c r="A43" s="49"/>
      <c r="C43" s="384">
        <v>45685.0</v>
      </c>
      <c r="D43" s="93">
        <v>45685.0</v>
      </c>
      <c r="E43" s="93" t="s">
        <v>911</v>
      </c>
      <c r="F43" s="74" t="s">
        <v>572</v>
      </c>
      <c r="G43" s="386">
        <v>1.0</v>
      </c>
      <c r="H43" s="74">
        <v>1370000.0</v>
      </c>
      <c r="I43" s="74">
        <v>1485000.0</v>
      </c>
      <c r="J43" s="60">
        <f t="shared" si="1"/>
        <v>45715</v>
      </c>
      <c r="K43" s="74">
        <f>if(F43="SERVICE",O43-(O43*50%),Vlookup(F43,DATABASE!C:Q,10,false)*G43)</f>
        <v>0</v>
      </c>
      <c r="L43" s="74">
        <f>VLOOKUP(F43,DATABASE!C:Q,7,FALSE)</f>
        <v>1265000</v>
      </c>
      <c r="M43" s="140">
        <v>1270000.0</v>
      </c>
      <c r="N43" s="74">
        <f t="shared" si="2"/>
        <v>1270000</v>
      </c>
      <c r="O43" s="74">
        <f t="shared" si="3"/>
        <v>1370000</v>
      </c>
      <c r="P43" s="63">
        <f t="shared" si="4"/>
        <v>1485000</v>
      </c>
      <c r="Q43" s="63">
        <f t="shared" si="5"/>
        <v>215000</v>
      </c>
      <c r="R43" s="93" t="str">
        <f>VLOOKUP(F43,DATABASE!C:Q,4,false)</f>
        <v>Bridgestone</v>
      </c>
      <c r="S43" s="93" t="str">
        <f>VLOOKUP(F43,DATABASE!C:P,11,false)</f>
        <v>Tire</v>
      </c>
      <c r="T43" s="93" t="str">
        <f>vlookup(F43,DATABASE!C:Q,8,false)</f>
        <v>IBU</v>
      </c>
      <c r="V43" s="2"/>
      <c r="Y43" s="81"/>
      <c r="Z43" s="9"/>
    </row>
    <row r="44" ht="15.0" customHeight="1">
      <c r="A44" s="49"/>
      <c r="C44" s="384">
        <v>45685.0</v>
      </c>
      <c r="D44" s="93">
        <v>45685.0</v>
      </c>
      <c r="E44" s="93" t="s">
        <v>911</v>
      </c>
      <c r="F44" s="74" t="s">
        <v>255</v>
      </c>
      <c r="G44" s="386">
        <v>1.0</v>
      </c>
      <c r="H44" s="74">
        <v>210000.0</v>
      </c>
      <c r="I44" s="74">
        <v>230000.0</v>
      </c>
      <c r="J44" s="60">
        <f t="shared" si="1"/>
        <v>45715</v>
      </c>
      <c r="K44" s="74">
        <f>if(F44="SERVICE",O44-(O44*50%),Vlookup(F44,DATABASE!C:Q,10,false)*G44)</f>
        <v>0</v>
      </c>
      <c r="L44" s="74">
        <f>VLOOKUP(F44,DATABASE!C:Q,7,FALSE)</f>
        <v>161840</v>
      </c>
      <c r="M44" s="74">
        <v>161840.0</v>
      </c>
      <c r="N44" s="74">
        <f t="shared" si="2"/>
        <v>165000</v>
      </c>
      <c r="O44" s="74">
        <f t="shared" si="3"/>
        <v>210000</v>
      </c>
      <c r="P44" s="63">
        <f t="shared" si="4"/>
        <v>230000</v>
      </c>
      <c r="Q44" s="63">
        <f t="shared" si="5"/>
        <v>65000</v>
      </c>
      <c r="R44" s="93" t="str">
        <f>VLOOKUP(F44,DATABASE!C:Q,4,false)</f>
        <v>BD</v>
      </c>
      <c r="S44" s="93" t="str">
        <f>VLOOKUP(F44,DATABASE!C:P,11,false)</f>
        <v>Tire</v>
      </c>
      <c r="T44" s="93" t="str">
        <f>vlookup(F44,DATABASE!C:Q,8,false)</f>
        <v>BIAN</v>
      </c>
      <c r="Y44" s="81"/>
      <c r="Z44" s="9"/>
    </row>
    <row r="45" ht="15.0" customHeight="1">
      <c r="A45" s="49"/>
      <c r="C45" s="384">
        <v>45685.0</v>
      </c>
      <c r="D45" s="93">
        <v>45685.0</v>
      </c>
      <c r="E45" s="93" t="s">
        <v>911</v>
      </c>
      <c r="F45" s="74" t="s">
        <v>814</v>
      </c>
      <c r="G45" s="386">
        <v>1.0</v>
      </c>
      <c r="H45" s="74">
        <v>90000.0</v>
      </c>
      <c r="I45" s="74">
        <v>80000.0</v>
      </c>
      <c r="J45" s="60">
        <f t="shared" si="1"/>
        <v>45715</v>
      </c>
      <c r="K45" s="74">
        <f>if(F45="SERVICE",O45-(O45*50%),Vlookup(F45,DATABASE!C:Q,10,false)*G45)</f>
        <v>0</v>
      </c>
      <c r="L45" s="74">
        <f>VLOOKUP(F45,DATABASE!C:Q,7,FALSE)</f>
        <v>39440</v>
      </c>
      <c r="M45" s="74">
        <v>39440.0</v>
      </c>
      <c r="N45" s="74">
        <f t="shared" si="2"/>
        <v>40000</v>
      </c>
      <c r="O45" s="74">
        <f t="shared" si="3"/>
        <v>90000</v>
      </c>
      <c r="P45" s="63">
        <f t="shared" si="4"/>
        <v>80000</v>
      </c>
      <c r="Q45" s="63">
        <f t="shared" si="5"/>
        <v>40000</v>
      </c>
      <c r="R45" s="93" t="str">
        <f>VLOOKUP(F45,DATABASE!C:Q,4,false)</f>
        <v>Flap</v>
      </c>
      <c r="S45" s="93" t="str">
        <f>VLOOKUP(F45,DATABASE!C:P,11,false)</f>
        <v>Tire</v>
      </c>
      <c r="T45" s="93" t="str">
        <f>vlookup(F45,DATABASE!C:Q,8,false)</f>
        <v>BIAN</v>
      </c>
      <c r="V45" s="2"/>
      <c r="Y45" s="81"/>
      <c r="Z45" s="9"/>
    </row>
    <row r="46" ht="15.0" customHeight="1">
      <c r="A46" s="49"/>
      <c r="C46" s="384">
        <v>45686.0</v>
      </c>
      <c r="D46" s="93">
        <v>45686.0</v>
      </c>
      <c r="E46" s="93" t="s">
        <v>422</v>
      </c>
      <c r="F46" s="74" t="s">
        <v>566</v>
      </c>
      <c r="G46" s="386">
        <v>1.0</v>
      </c>
      <c r="H46" s="74">
        <v>1710000.0</v>
      </c>
      <c r="I46" s="74">
        <v>1770000.0</v>
      </c>
      <c r="J46" s="60">
        <f t="shared" si="1"/>
        <v>45716</v>
      </c>
      <c r="K46" s="74">
        <f>if(F46="SERVICE",O46-(O46*50%),Vlookup(F46,DATABASE!C:Q,10,false)*G46)</f>
        <v>0</v>
      </c>
      <c r="L46" s="74">
        <f>VLOOKUP(F46,DATABASE!C:Q,7,FALSE)</f>
        <v>1565000</v>
      </c>
      <c r="M46" s="140">
        <v>1570000.0</v>
      </c>
      <c r="N46" s="74">
        <f t="shared" si="2"/>
        <v>1570000</v>
      </c>
      <c r="O46" s="74">
        <f t="shared" si="3"/>
        <v>1710000</v>
      </c>
      <c r="P46" s="63">
        <f t="shared" si="4"/>
        <v>1770000</v>
      </c>
      <c r="Q46" s="63">
        <f t="shared" si="5"/>
        <v>200000</v>
      </c>
      <c r="R46" s="93" t="str">
        <f>VLOOKUP(F46,DATABASE!C:Q,4,false)</f>
        <v>Bridgestone</v>
      </c>
      <c r="S46" s="93" t="str">
        <f>VLOOKUP(F46,DATABASE!C:P,11,false)</f>
        <v>Tire</v>
      </c>
      <c r="T46" s="93" t="str">
        <f>vlookup(F46,DATABASE!C:Q,8,false)</f>
        <v>IBU</v>
      </c>
      <c r="Y46" s="81"/>
      <c r="Z46" s="9"/>
    </row>
    <row r="47" ht="15.0" customHeight="1">
      <c r="A47" s="49"/>
      <c r="C47" s="384">
        <v>45686.0</v>
      </c>
      <c r="D47" s="93">
        <v>45686.0</v>
      </c>
      <c r="E47" s="93" t="s">
        <v>267</v>
      </c>
      <c r="F47" s="74" t="s">
        <v>1520</v>
      </c>
      <c r="G47" s="386">
        <v>2.0</v>
      </c>
      <c r="H47" s="74">
        <v>1810000.0</v>
      </c>
      <c r="I47" s="74">
        <v>1900000.0</v>
      </c>
      <c r="J47" s="60">
        <f t="shared" si="1"/>
        <v>45716</v>
      </c>
      <c r="K47" s="74">
        <f>if(F47="SERVICE",O47-(O47*50%),Vlookup(F47,DATABASE!C:Q,10,false)*G47)</f>
        <v>0</v>
      </c>
      <c r="L47" s="74">
        <f>VLOOKUP(F47,DATABASE!C:Q,7,FALSE)</f>
        <v>1926858.75</v>
      </c>
      <c r="M47" s="74">
        <v>1698000.0</v>
      </c>
      <c r="N47" s="74">
        <f t="shared" si="2"/>
        <v>1700000</v>
      </c>
      <c r="O47" s="74">
        <f t="shared" si="3"/>
        <v>3620000</v>
      </c>
      <c r="P47" s="63">
        <f t="shared" si="4"/>
        <v>3800000</v>
      </c>
      <c r="Q47" s="63">
        <f t="shared" si="5"/>
        <v>400000</v>
      </c>
      <c r="R47" s="93" t="str">
        <f>VLOOKUP(F47,DATABASE!C:Q,4,false)</f>
        <v>DURATUN</v>
      </c>
      <c r="S47" s="93" t="str">
        <f>VLOOKUP(F47,DATABASE!C:P,11,false)</f>
        <v>Tire</v>
      </c>
      <c r="T47" s="93" t="str">
        <f>vlookup(F47,DATABASE!C:Q,8,false)</f>
        <v>BIAN</v>
      </c>
      <c r="Y47" s="81"/>
      <c r="Z47" s="9"/>
    </row>
    <row r="48" ht="15.0" customHeight="1">
      <c r="A48" s="49"/>
      <c r="C48" s="384">
        <v>45686.0</v>
      </c>
      <c r="D48" s="93">
        <v>45686.0</v>
      </c>
      <c r="E48" s="93" t="s">
        <v>267</v>
      </c>
      <c r="F48" s="74" t="s">
        <v>2426</v>
      </c>
      <c r="G48" s="386">
        <v>2.0</v>
      </c>
      <c r="H48" s="74">
        <v>200000.0</v>
      </c>
      <c r="I48" s="74">
        <v>200000.0</v>
      </c>
      <c r="J48" s="60">
        <f t="shared" si="1"/>
        <v>45716</v>
      </c>
      <c r="K48" s="74">
        <f>if(F48="SERVICE",O48-(O48*50%),Vlookup(F48,DATABASE!C:Q,10,false)*G48)</f>
        <v>0</v>
      </c>
      <c r="L48" s="74">
        <f>VLOOKUP(F48,DATABASE!C:Q,7,FALSE)</f>
        <v>160000</v>
      </c>
      <c r="M48" s="74">
        <v>160000.0</v>
      </c>
      <c r="N48" s="74">
        <f t="shared" si="2"/>
        <v>160000</v>
      </c>
      <c r="O48" s="74">
        <f t="shared" si="3"/>
        <v>400000</v>
      </c>
      <c r="P48" s="63">
        <f t="shared" si="4"/>
        <v>400000</v>
      </c>
      <c r="Q48" s="63">
        <f t="shared" si="5"/>
        <v>80000</v>
      </c>
      <c r="R48" s="93" t="str">
        <f>VLOOKUP(F48,DATABASE!C:Q,4,false)</f>
        <v>BD</v>
      </c>
      <c r="S48" s="93" t="str">
        <f>VLOOKUP(F48,DATABASE!C:P,11,false)</f>
        <v>Tire</v>
      </c>
      <c r="T48" s="93" t="str">
        <f>vlookup(F48,DATABASE!C:Q,8,false)</f>
        <v>BIAN</v>
      </c>
      <c r="Y48" s="81"/>
      <c r="Z48" s="9"/>
    </row>
    <row r="49" ht="15.0" customHeight="1">
      <c r="A49" s="49"/>
      <c r="C49" s="384">
        <v>45686.0</v>
      </c>
      <c r="D49" s="93">
        <v>45686.0</v>
      </c>
      <c r="E49" s="93" t="s">
        <v>267</v>
      </c>
      <c r="F49" s="74" t="s">
        <v>821</v>
      </c>
      <c r="G49" s="386">
        <v>2.0</v>
      </c>
      <c r="H49" s="74">
        <v>65000.0</v>
      </c>
      <c r="I49" s="74">
        <v>90000.0</v>
      </c>
      <c r="J49" s="60">
        <f t="shared" si="1"/>
        <v>45716</v>
      </c>
      <c r="K49" s="74">
        <f>if(F49="SERVICE",O49-(O49*50%),Vlookup(F49,DATABASE!C:Q,10,false)*G49)</f>
        <v>0</v>
      </c>
      <c r="L49" s="74">
        <f>VLOOKUP(F49,DATABASE!C:Q,7,FALSE)</f>
        <v>43500</v>
      </c>
      <c r="M49" s="74">
        <v>43520.0</v>
      </c>
      <c r="N49" s="74">
        <f t="shared" si="2"/>
        <v>45000</v>
      </c>
      <c r="O49" s="74">
        <f t="shared" si="3"/>
        <v>130000</v>
      </c>
      <c r="P49" s="63">
        <f t="shared" si="4"/>
        <v>180000</v>
      </c>
      <c r="Q49" s="63">
        <f t="shared" si="5"/>
        <v>90000</v>
      </c>
      <c r="R49" s="93" t="str">
        <f>VLOOKUP(F49,DATABASE!C:Q,4,false)</f>
        <v>Flap</v>
      </c>
      <c r="S49" s="93" t="str">
        <f>VLOOKUP(F49,DATABASE!C:P,11,false)</f>
        <v>Tire</v>
      </c>
      <c r="T49" s="93" t="str">
        <f>vlookup(F49,DATABASE!C:Q,8,false)</f>
        <v>BIAN</v>
      </c>
      <c r="Y49" s="81"/>
      <c r="Z49" s="9"/>
    </row>
    <row r="50" ht="15.0" customHeight="1">
      <c r="A50" s="49"/>
      <c r="C50" s="384">
        <v>45686.0</v>
      </c>
      <c r="D50" s="93">
        <v>45686.0</v>
      </c>
      <c r="E50" s="93" t="s">
        <v>74</v>
      </c>
      <c r="F50" s="74" t="s">
        <v>572</v>
      </c>
      <c r="G50" s="386">
        <v>2.0</v>
      </c>
      <c r="H50" s="74">
        <v>1370000.0</v>
      </c>
      <c r="I50" s="74">
        <v>1410000.0</v>
      </c>
      <c r="J50" s="60">
        <f t="shared" si="1"/>
        <v>45716</v>
      </c>
      <c r="K50" s="74">
        <f>if(F50="SERVICE",O50-(O50*50%),Vlookup(F50,DATABASE!C:Q,10,false)*G50)</f>
        <v>0</v>
      </c>
      <c r="L50" s="74">
        <f>VLOOKUP(F50,DATABASE!C:Q,7,FALSE)</f>
        <v>1265000</v>
      </c>
      <c r="M50" s="140">
        <v>1270000.0</v>
      </c>
      <c r="N50" s="74">
        <f t="shared" si="2"/>
        <v>1270000</v>
      </c>
      <c r="O50" s="74">
        <f t="shared" si="3"/>
        <v>2740000</v>
      </c>
      <c r="P50" s="63">
        <f t="shared" si="4"/>
        <v>2820000</v>
      </c>
      <c r="Q50" s="63">
        <f t="shared" si="5"/>
        <v>280000</v>
      </c>
      <c r="R50" s="93" t="str">
        <f>VLOOKUP(F50,DATABASE!C:Q,4,false)</f>
        <v>Bridgestone</v>
      </c>
      <c r="S50" s="93" t="str">
        <f>VLOOKUP(F50,DATABASE!C:P,11,false)</f>
        <v>Tire</v>
      </c>
      <c r="T50" s="93" t="str">
        <f>vlookup(F50,DATABASE!C:Q,8,false)</f>
        <v>IBU</v>
      </c>
      <c r="Y50" s="81"/>
      <c r="Z50" s="9"/>
    </row>
    <row r="51" ht="15.0" customHeight="1">
      <c r="A51" s="49"/>
      <c r="C51" s="384">
        <v>45686.0</v>
      </c>
      <c r="D51" s="93">
        <v>45686.0</v>
      </c>
      <c r="E51" s="93" t="s">
        <v>74</v>
      </c>
      <c r="F51" s="74" t="s">
        <v>255</v>
      </c>
      <c r="G51" s="386">
        <v>2.0</v>
      </c>
      <c r="H51" s="74">
        <v>210000.0</v>
      </c>
      <c r="I51" s="74">
        <v>220000.0</v>
      </c>
      <c r="J51" s="60">
        <f t="shared" si="1"/>
        <v>45716</v>
      </c>
      <c r="K51" s="74">
        <f>if(F51="SERVICE",O51-(O51*50%),Vlookup(F51,DATABASE!C:Q,10,false)*G51)</f>
        <v>0</v>
      </c>
      <c r="L51" s="74">
        <f>VLOOKUP(F51,DATABASE!C:Q,7,FALSE)</f>
        <v>161840</v>
      </c>
      <c r="M51" s="74">
        <v>161840.0</v>
      </c>
      <c r="N51" s="74">
        <f t="shared" si="2"/>
        <v>165000</v>
      </c>
      <c r="O51" s="74">
        <f t="shared" si="3"/>
        <v>420000</v>
      </c>
      <c r="P51" s="63">
        <f t="shared" si="4"/>
        <v>440000</v>
      </c>
      <c r="Q51" s="63">
        <f t="shared" si="5"/>
        <v>110000</v>
      </c>
      <c r="R51" s="93" t="str">
        <f>VLOOKUP(F51,DATABASE!C:Q,4,false)</f>
        <v>BD</v>
      </c>
      <c r="S51" s="93" t="str">
        <f>VLOOKUP(F51,DATABASE!C:P,11,false)</f>
        <v>Tire</v>
      </c>
      <c r="T51" s="93" t="str">
        <f>vlookup(F51,DATABASE!C:Q,8,false)</f>
        <v>BIAN</v>
      </c>
      <c r="Y51" s="81"/>
      <c r="Z51" s="9"/>
    </row>
    <row r="52" ht="15.0" customHeight="1">
      <c r="A52" s="49"/>
      <c r="C52" s="384">
        <v>45686.0</v>
      </c>
      <c r="D52" s="93">
        <v>45686.0</v>
      </c>
      <c r="E52" s="93" t="s">
        <v>74</v>
      </c>
      <c r="F52" s="74" t="s">
        <v>821</v>
      </c>
      <c r="G52" s="386">
        <v>2.0</v>
      </c>
      <c r="H52" s="74">
        <v>65000.0</v>
      </c>
      <c r="I52" s="74">
        <v>80000.0</v>
      </c>
      <c r="J52" s="60">
        <f t="shared" si="1"/>
        <v>45716</v>
      </c>
      <c r="K52" s="74">
        <f>if(F52="SERVICE",O52-(O52*50%),Vlookup(F52,DATABASE!C:Q,10,false)*G52)</f>
        <v>0</v>
      </c>
      <c r="L52" s="74">
        <f>VLOOKUP(F52,DATABASE!C:Q,7,FALSE)</f>
        <v>43500</v>
      </c>
      <c r="M52" s="74">
        <v>43520.0</v>
      </c>
      <c r="N52" s="74">
        <f t="shared" si="2"/>
        <v>45000</v>
      </c>
      <c r="O52" s="74">
        <f t="shared" si="3"/>
        <v>130000</v>
      </c>
      <c r="P52" s="63">
        <f t="shared" si="4"/>
        <v>160000</v>
      </c>
      <c r="Q52" s="63">
        <f t="shared" si="5"/>
        <v>70000</v>
      </c>
      <c r="R52" s="93" t="str">
        <f>VLOOKUP(F52,DATABASE!C:Q,4,false)</f>
        <v>Flap</v>
      </c>
      <c r="S52" s="93" t="str">
        <f>VLOOKUP(F52,DATABASE!C:P,11,false)</f>
        <v>Tire</v>
      </c>
      <c r="T52" s="93" t="str">
        <f>vlookup(F52,DATABASE!C:Q,8,false)</f>
        <v>BIAN</v>
      </c>
      <c r="Y52" s="81"/>
      <c r="Z52" s="9"/>
    </row>
    <row r="53" ht="15.0" customHeight="1">
      <c r="A53" s="49"/>
      <c r="C53" s="384">
        <v>45687.0</v>
      </c>
      <c r="D53" s="93">
        <v>45687.0</v>
      </c>
      <c r="E53" s="93" t="s">
        <v>476</v>
      </c>
      <c r="F53" s="74" t="s">
        <v>777</v>
      </c>
      <c r="G53" s="386">
        <v>2.0</v>
      </c>
      <c r="H53" s="74">
        <v>600000.0</v>
      </c>
      <c r="I53" s="74">
        <v>670000.0</v>
      </c>
      <c r="J53" s="60">
        <f t="shared" si="1"/>
        <v>45717</v>
      </c>
      <c r="K53" s="74">
        <f>if(F53="SERVICE",O53-(O53*50%),Vlookup(F53,DATABASE!C:Q,10,false)*G53)</f>
        <v>0</v>
      </c>
      <c r="L53" s="74">
        <f>VLOOKUP(F53,DATABASE!C:Q,7,FALSE)</f>
        <v>540000</v>
      </c>
      <c r="M53" s="74">
        <v>507000.0</v>
      </c>
      <c r="N53" s="74">
        <f t="shared" si="2"/>
        <v>510000</v>
      </c>
      <c r="O53" s="74">
        <f t="shared" si="3"/>
        <v>1200000</v>
      </c>
      <c r="P53" s="63">
        <f t="shared" si="4"/>
        <v>1340000</v>
      </c>
      <c r="Q53" s="63">
        <f t="shared" si="5"/>
        <v>320000</v>
      </c>
      <c r="R53" s="93" t="str">
        <f>VLOOKUP(F53,DATABASE!C:Q,4,false)</f>
        <v>GT</v>
      </c>
      <c r="S53" s="93" t="str">
        <f>VLOOKUP(F53,DATABASE!C:P,11,false)</f>
        <v>Tire</v>
      </c>
      <c r="T53" s="93" t="str">
        <f>vlookup(F53,DATABASE!C:Q,8,false)</f>
        <v>BIAN</v>
      </c>
      <c r="Y53" s="81"/>
      <c r="Z53" s="9"/>
    </row>
    <row r="54" ht="15.0" customHeight="1">
      <c r="A54" s="49"/>
      <c r="C54" s="384">
        <v>45687.0</v>
      </c>
      <c r="D54" s="93">
        <v>45687.0</v>
      </c>
      <c r="E54" s="93" t="s">
        <v>544</v>
      </c>
      <c r="F54" s="74" t="s">
        <v>2428</v>
      </c>
      <c r="G54" s="386">
        <v>2.0</v>
      </c>
      <c r="H54" s="74">
        <v>1200000.0</v>
      </c>
      <c r="I54" s="74">
        <v>1200000.0</v>
      </c>
      <c r="J54" s="60">
        <f t="shared" si="1"/>
        <v>45717</v>
      </c>
      <c r="K54" s="74">
        <f>if(F54="SERVICE",O54-(O54*50%),Vlookup(F54,DATABASE!C:Q,10,false)*G54)</f>
        <v>0</v>
      </c>
      <c r="L54" s="74">
        <f>VLOOKUP(F54,DATABASE!C:Q,7,FALSE)</f>
        <v>960000</v>
      </c>
      <c r="M54" s="74">
        <v>960000.0</v>
      </c>
      <c r="N54" s="74">
        <f t="shared" si="2"/>
        <v>960000</v>
      </c>
      <c r="O54" s="74">
        <f t="shared" si="3"/>
        <v>2400000</v>
      </c>
      <c r="P54" s="63">
        <f t="shared" si="4"/>
        <v>2400000</v>
      </c>
      <c r="Q54" s="63">
        <f t="shared" si="5"/>
        <v>480000</v>
      </c>
      <c r="R54" s="93" t="str">
        <f>VLOOKUP(F54,DATABASE!C:Q,4,false)</f>
        <v>VELG</v>
      </c>
      <c r="S54" s="93" t="str">
        <f>VLOOKUP(F54,DATABASE!C:P,11,false)</f>
        <v>Tire</v>
      </c>
      <c r="T54" s="93" t="str">
        <f>vlookup(F54,DATABASE!C:Q,8,false)</f>
        <v>BIAN</v>
      </c>
      <c r="Y54" s="81"/>
      <c r="Z54" s="9"/>
    </row>
    <row r="55" ht="15.0" customHeight="1">
      <c r="A55" s="49"/>
      <c r="C55" s="384">
        <v>45687.0</v>
      </c>
      <c r="D55" s="93">
        <v>45687.0</v>
      </c>
      <c r="E55" s="65" t="s">
        <v>264</v>
      </c>
      <c r="F55" s="74" t="s">
        <v>791</v>
      </c>
      <c r="G55" s="386">
        <v>2.0</v>
      </c>
      <c r="H55" s="74">
        <v>1280000.0</v>
      </c>
      <c r="I55" s="74">
        <v>1380000.0</v>
      </c>
      <c r="J55" s="60">
        <f t="shared" si="1"/>
        <v>45717</v>
      </c>
      <c r="K55" s="74">
        <f>if(F55="SERVICE",O55-(O55*50%),Vlookup(F55,DATABASE!C:Q,10,false)*G55)</f>
        <v>0</v>
      </c>
      <c r="L55" s="74">
        <f>VLOOKUP(F55,DATABASE!C:Q,7,FALSE)</f>
        <v>1210000</v>
      </c>
      <c r="M55" s="74">
        <v>1180000.0</v>
      </c>
      <c r="N55" s="74">
        <f t="shared" si="2"/>
        <v>1180000</v>
      </c>
      <c r="O55" s="74">
        <f t="shared" si="3"/>
        <v>2560000</v>
      </c>
      <c r="P55" s="63">
        <f t="shared" si="4"/>
        <v>2760000</v>
      </c>
      <c r="Q55" s="63">
        <f t="shared" si="5"/>
        <v>400000</v>
      </c>
      <c r="R55" s="93" t="str">
        <f>VLOOKUP(F55,DATABASE!C:Q,4,false)</f>
        <v>GT</v>
      </c>
      <c r="S55" s="93" t="str">
        <f>VLOOKUP(F55,DATABASE!C:P,11,false)</f>
        <v>Tire</v>
      </c>
      <c r="T55" s="93" t="str">
        <f>vlookup(F55,DATABASE!C:Q,8,false)</f>
        <v>BIAN</v>
      </c>
      <c r="Y55" s="81"/>
      <c r="Z55" s="9"/>
    </row>
    <row r="56" ht="15.0" customHeight="1">
      <c r="A56" s="49"/>
      <c r="C56" s="384">
        <v>45687.0</v>
      </c>
      <c r="D56" s="93">
        <v>45687.0</v>
      </c>
      <c r="E56" s="93" t="s">
        <v>264</v>
      </c>
      <c r="F56" s="74" t="s">
        <v>255</v>
      </c>
      <c r="G56" s="386">
        <v>2.0</v>
      </c>
      <c r="H56" s="74">
        <v>210000.0</v>
      </c>
      <c r="I56" s="74">
        <v>220000.0</v>
      </c>
      <c r="J56" s="60">
        <f t="shared" si="1"/>
        <v>45717</v>
      </c>
      <c r="K56" s="74">
        <f>if(F56="SERVICE",O56-(O56*50%),Vlookup(F56,DATABASE!C:Q,10,false)*G56)</f>
        <v>0</v>
      </c>
      <c r="L56" s="74">
        <f>VLOOKUP(F56,DATABASE!C:Q,7,FALSE)</f>
        <v>161840</v>
      </c>
      <c r="M56" s="74">
        <v>161840.0</v>
      </c>
      <c r="N56" s="74">
        <f t="shared" si="2"/>
        <v>165000</v>
      </c>
      <c r="O56" s="74">
        <f t="shared" si="3"/>
        <v>420000</v>
      </c>
      <c r="P56" s="63">
        <f t="shared" si="4"/>
        <v>440000</v>
      </c>
      <c r="Q56" s="63">
        <f t="shared" si="5"/>
        <v>110000</v>
      </c>
      <c r="R56" s="93" t="str">
        <f>VLOOKUP(F56,DATABASE!C:Q,4,false)</f>
        <v>BD</v>
      </c>
      <c r="S56" s="93" t="str">
        <f>VLOOKUP(F56,DATABASE!C:P,11,false)</f>
        <v>Tire</v>
      </c>
      <c r="T56" s="93" t="str">
        <f>vlookup(F56,DATABASE!C:Q,8,false)</f>
        <v>BIAN</v>
      </c>
      <c r="Y56" s="81"/>
      <c r="Z56" s="9"/>
    </row>
    <row r="57" ht="15.0" customHeight="1">
      <c r="A57" s="49"/>
      <c r="C57" s="384">
        <v>45687.0</v>
      </c>
      <c r="D57" s="93">
        <v>45687.0</v>
      </c>
      <c r="E57" s="93" t="s">
        <v>264</v>
      </c>
      <c r="F57" s="74" t="s">
        <v>814</v>
      </c>
      <c r="G57" s="386">
        <v>2.0</v>
      </c>
      <c r="H57" s="74">
        <v>90000.0</v>
      </c>
      <c r="I57" s="74">
        <v>80000.0</v>
      </c>
      <c r="J57" s="60">
        <f t="shared" si="1"/>
        <v>45717</v>
      </c>
      <c r="K57" s="74">
        <f>if(F57="SERVICE",O57-(O57*50%),Vlookup(F57,DATABASE!C:Q,10,false)*G57)</f>
        <v>0</v>
      </c>
      <c r="L57" s="74">
        <f>VLOOKUP(F57,DATABASE!C:Q,7,FALSE)</f>
        <v>39440</v>
      </c>
      <c r="M57" s="74">
        <v>39440.0</v>
      </c>
      <c r="N57" s="74">
        <f t="shared" si="2"/>
        <v>40000</v>
      </c>
      <c r="O57" s="74">
        <f t="shared" si="3"/>
        <v>180000</v>
      </c>
      <c r="P57" s="63">
        <f t="shared" si="4"/>
        <v>160000</v>
      </c>
      <c r="Q57" s="63">
        <f t="shared" si="5"/>
        <v>80000</v>
      </c>
      <c r="R57" s="93" t="str">
        <f>VLOOKUP(F57,DATABASE!C:Q,4,false)</f>
        <v>Flap</v>
      </c>
      <c r="S57" s="93" t="str">
        <f>VLOOKUP(F57,DATABASE!C:P,11,false)</f>
        <v>Tire</v>
      </c>
      <c r="T57" s="93" t="str">
        <f>vlookup(F57,DATABASE!C:Q,8,false)</f>
        <v>BIAN</v>
      </c>
      <c r="Y57" s="81"/>
      <c r="Z57" s="9"/>
    </row>
    <row r="58" ht="15.0" customHeight="1">
      <c r="A58" s="49"/>
      <c r="C58" s="384">
        <v>45687.0</v>
      </c>
      <c r="D58" s="93">
        <v>45687.0</v>
      </c>
      <c r="E58" s="93" t="s">
        <v>264</v>
      </c>
      <c r="F58" s="74" t="s">
        <v>374</v>
      </c>
      <c r="G58" s="386">
        <v>2.0</v>
      </c>
      <c r="H58" s="74">
        <v>2050000.0</v>
      </c>
      <c r="I58" s="74">
        <v>2150000.0</v>
      </c>
      <c r="J58" s="60">
        <f t="shared" si="1"/>
        <v>45717</v>
      </c>
      <c r="K58" s="74">
        <f>if(F58="SERVICE",O58-(O58*50%),Vlookup(F58,DATABASE!C:Q,10,false)*G58)</f>
        <v>0</v>
      </c>
      <c r="L58" s="74">
        <f>VLOOKUP(F58,DATABASE!C:Q,7,FALSE)</f>
        <v>1980000</v>
      </c>
      <c r="M58" s="140">
        <v>1950000.0</v>
      </c>
      <c r="N58" s="74">
        <f t="shared" si="2"/>
        <v>1950000</v>
      </c>
      <c r="O58" s="74">
        <f t="shared" si="3"/>
        <v>4100000</v>
      </c>
      <c r="P58" s="63">
        <f t="shared" si="4"/>
        <v>4300000</v>
      </c>
      <c r="Q58" s="63">
        <f t="shared" si="5"/>
        <v>400000</v>
      </c>
      <c r="R58" s="93" t="str">
        <f>VLOOKUP(F58,DATABASE!C:Q,4,false)</f>
        <v>Advance</v>
      </c>
      <c r="S58" s="93" t="str">
        <f>VLOOKUP(F58,DATABASE!C:P,11,false)</f>
        <v>Tire</v>
      </c>
      <c r="T58" s="93" t="str">
        <f>vlookup(F58,DATABASE!C:Q,8,false)</f>
        <v>BIAN</v>
      </c>
      <c r="Y58" s="81"/>
      <c r="Z58" s="9"/>
    </row>
    <row r="59" ht="15.0" customHeight="1">
      <c r="A59" s="49"/>
      <c r="C59" s="384">
        <v>45689.0</v>
      </c>
      <c r="D59" s="93">
        <v>45689.0</v>
      </c>
      <c r="E59" s="93" t="s">
        <v>267</v>
      </c>
      <c r="F59" s="74" t="s">
        <v>391</v>
      </c>
      <c r="G59" s="386">
        <v>2.0</v>
      </c>
      <c r="H59" s="74">
        <v>1950000.0</v>
      </c>
      <c r="I59" s="74">
        <v>2050000.0</v>
      </c>
      <c r="J59" s="60">
        <f t="shared" si="1"/>
        <v>45719</v>
      </c>
      <c r="K59" s="74">
        <f>if(F59="SERVICE",O59-(O59*50%),Vlookup(F59,DATABASE!C:Q,10,false)*G59)</f>
        <v>0</v>
      </c>
      <c r="L59" s="74">
        <f>VLOOKUP(F59,DATABASE!C:Q,7,FALSE)</f>
        <v>1885000</v>
      </c>
      <c r="M59" s="74">
        <v>1840000.0</v>
      </c>
      <c r="N59" s="74">
        <f t="shared" si="2"/>
        <v>1840000</v>
      </c>
      <c r="O59" s="74">
        <f t="shared" si="3"/>
        <v>3900000</v>
      </c>
      <c r="P59" s="63">
        <f t="shared" si="4"/>
        <v>4100000</v>
      </c>
      <c r="Q59" s="63">
        <f t="shared" si="5"/>
        <v>420000</v>
      </c>
      <c r="R59" s="93" t="str">
        <f>VLOOKUP(F59,DATABASE!C:Q,4,false)</f>
        <v>Advance</v>
      </c>
      <c r="S59" s="93" t="str">
        <f>VLOOKUP(F59,DATABASE!C:P,11,false)</f>
        <v>Tire</v>
      </c>
      <c r="T59" s="93" t="str">
        <f>vlookup(F59,DATABASE!C:Q,8,false)</f>
        <v>BIAN</v>
      </c>
      <c r="Y59" s="81"/>
      <c r="Z59" s="9"/>
    </row>
    <row r="60" ht="15.0" customHeight="1">
      <c r="A60" s="49"/>
      <c r="C60" s="384">
        <v>45689.0</v>
      </c>
      <c r="D60" s="93">
        <v>45689.0</v>
      </c>
      <c r="E60" s="93" t="s">
        <v>383</v>
      </c>
      <c r="F60" s="74" t="s">
        <v>374</v>
      </c>
      <c r="G60" s="386">
        <v>2.0</v>
      </c>
      <c r="H60" s="74">
        <v>2050000.0</v>
      </c>
      <c r="I60" s="74">
        <v>2050000.0</v>
      </c>
      <c r="J60" s="60">
        <f t="shared" si="1"/>
        <v>45719</v>
      </c>
      <c r="K60" s="74">
        <f>if(F60="SERVICE",O60-(O60*50%),Vlookup(F60,DATABASE!C:Q,10,false)*G60)</f>
        <v>0</v>
      </c>
      <c r="L60" s="74">
        <f>VLOOKUP(F60,DATABASE!C:Q,7,FALSE)</f>
        <v>1980000</v>
      </c>
      <c r="M60" s="140">
        <v>1950000.0</v>
      </c>
      <c r="N60" s="74">
        <f t="shared" si="2"/>
        <v>1950000</v>
      </c>
      <c r="O60" s="74">
        <f t="shared" si="3"/>
        <v>4100000</v>
      </c>
      <c r="P60" s="63">
        <f t="shared" si="4"/>
        <v>4100000</v>
      </c>
      <c r="Q60" s="63">
        <f t="shared" si="5"/>
        <v>200000</v>
      </c>
      <c r="R60" s="93" t="str">
        <f>VLOOKUP(F60,DATABASE!C:Q,4,false)</f>
        <v>Advance</v>
      </c>
      <c r="S60" s="93" t="str">
        <f>VLOOKUP(F60,DATABASE!C:P,11,false)</f>
        <v>Tire</v>
      </c>
      <c r="T60" s="93" t="str">
        <f>vlookup(F60,DATABASE!C:Q,8,false)</f>
        <v>BIAN</v>
      </c>
      <c r="Y60" s="81"/>
      <c r="Z60" s="9"/>
    </row>
    <row r="61" ht="15.0" customHeight="1">
      <c r="A61" s="49"/>
      <c r="C61" s="384">
        <v>45689.0</v>
      </c>
      <c r="D61" s="93">
        <v>45689.0</v>
      </c>
      <c r="E61" s="65" t="s">
        <v>303</v>
      </c>
      <c r="F61" s="74" t="s">
        <v>403</v>
      </c>
      <c r="G61" s="386">
        <v>2.0</v>
      </c>
      <c r="H61" s="74">
        <v>2360000.0</v>
      </c>
      <c r="I61" s="74">
        <v>2360000.0</v>
      </c>
      <c r="J61" s="60">
        <f t="shared" si="1"/>
        <v>45719</v>
      </c>
      <c r="K61" s="74">
        <f>if(F61="SERVICE",O61-(O61*50%),Vlookup(F61,DATABASE!C:Q,10,false)*G61)</f>
        <v>0</v>
      </c>
      <c r="L61" s="74">
        <f>VLOOKUP(F61,DATABASE!C:Q,7,FALSE)</f>
        <v>2160000</v>
      </c>
      <c r="M61" s="74">
        <v>2160000.0</v>
      </c>
      <c r="N61" s="74">
        <f t="shared" si="2"/>
        <v>2160000</v>
      </c>
      <c r="O61" s="74">
        <f t="shared" si="3"/>
        <v>4720000</v>
      </c>
      <c r="P61" s="63">
        <f t="shared" si="4"/>
        <v>4720000</v>
      </c>
      <c r="Q61" s="63">
        <f t="shared" si="5"/>
        <v>400000</v>
      </c>
      <c r="R61" s="93" t="str">
        <f>VLOOKUP(F61,DATABASE!C:Q,4,false)</f>
        <v>Advance</v>
      </c>
      <c r="S61" s="93" t="str">
        <f>VLOOKUP(F61,DATABASE!C:P,11,false)</f>
        <v>Tire</v>
      </c>
      <c r="T61" s="93" t="str">
        <f>vlookup(F61,DATABASE!C:Q,8,false)</f>
        <v>BIAN</v>
      </c>
      <c r="Y61" s="81"/>
      <c r="Z61" s="9"/>
    </row>
    <row r="62" ht="15.0" customHeight="1">
      <c r="A62" s="49"/>
      <c r="C62" s="384">
        <v>45689.0</v>
      </c>
      <c r="D62" s="93">
        <v>45689.0</v>
      </c>
      <c r="E62" s="93" t="s">
        <v>346</v>
      </c>
      <c r="F62" s="74" t="s">
        <v>374</v>
      </c>
      <c r="G62" s="386">
        <v>4.0</v>
      </c>
      <c r="H62" s="74">
        <v>2050000.0</v>
      </c>
      <c r="I62" s="74">
        <v>1980000.0</v>
      </c>
      <c r="J62" s="60">
        <f t="shared" si="1"/>
        <v>45719</v>
      </c>
      <c r="K62" s="74">
        <f>if(F62="SERVICE",O62-(O62*50%),Vlookup(F62,DATABASE!C:Q,10,false)*G62)</f>
        <v>0</v>
      </c>
      <c r="L62" s="74">
        <f>VLOOKUP(F62,DATABASE!C:Q,7,FALSE)</f>
        <v>1980000</v>
      </c>
      <c r="M62" s="140">
        <v>1950000.0</v>
      </c>
      <c r="N62" s="74">
        <f t="shared" si="2"/>
        <v>1950000</v>
      </c>
      <c r="O62" s="74">
        <f t="shared" si="3"/>
        <v>8200000</v>
      </c>
      <c r="P62" s="63">
        <f t="shared" si="4"/>
        <v>7920000</v>
      </c>
      <c r="Q62" s="63">
        <f t="shared" si="5"/>
        <v>120000</v>
      </c>
      <c r="R62" s="93" t="str">
        <f>VLOOKUP(F62,DATABASE!C:Q,4,false)</f>
        <v>Advance</v>
      </c>
      <c r="S62" s="93" t="str">
        <f>VLOOKUP(F62,DATABASE!C:P,11,false)</f>
        <v>Tire</v>
      </c>
      <c r="T62" s="93" t="str">
        <f>vlookup(F62,DATABASE!C:Q,8,false)</f>
        <v>BIAN</v>
      </c>
      <c r="Y62" s="81"/>
      <c r="Z62" s="9"/>
    </row>
    <row r="63" ht="15.0" customHeight="1">
      <c r="A63" s="49"/>
      <c r="C63" s="384">
        <v>45689.0</v>
      </c>
      <c r="D63" s="93">
        <v>45689.0</v>
      </c>
      <c r="E63" s="93" t="s">
        <v>346</v>
      </c>
      <c r="F63" s="74" t="s">
        <v>2426</v>
      </c>
      <c r="G63" s="386">
        <v>4.0</v>
      </c>
      <c r="H63" s="74">
        <v>200000.0</v>
      </c>
      <c r="I63" s="74">
        <v>190000.0</v>
      </c>
      <c r="J63" s="60">
        <f t="shared" si="1"/>
        <v>45719</v>
      </c>
      <c r="K63" s="74">
        <f>if(F63="SERVICE",O63-(O63*50%),Vlookup(F63,DATABASE!C:Q,10,false)*G63)</f>
        <v>0</v>
      </c>
      <c r="L63" s="74">
        <f>VLOOKUP(F63,DATABASE!C:Q,7,FALSE)</f>
        <v>160000</v>
      </c>
      <c r="M63" s="74">
        <v>160000.0</v>
      </c>
      <c r="N63" s="74">
        <f t="shared" si="2"/>
        <v>160000</v>
      </c>
      <c r="O63" s="74">
        <f t="shared" si="3"/>
        <v>800000</v>
      </c>
      <c r="P63" s="63">
        <f t="shared" si="4"/>
        <v>760000</v>
      </c>
      <c r="Q63" s="63">
        <f t="shared" si="5"/>
        <v>120000</v>
      </c>
      <c r="R63" s="93" t="str">
        <f>VLOOKUP(F63,DATABASE!C:Q,4,false)</f>
        <v>BD</v>
      </c>
      <c r="S63" s="93" t="str">
        <f>VLOOKUP(F63,DATABASE!C:P,11,false)</f>
        <v>Tire</v>
      </c>
      <c r="T63" s="93" t="str">
        <f>vlookup(F63,DATABASE!C:Q,8,false)</f>
        <v>BIAN</v>
      </c>
      <c r="Y63" s="81"/>
      <c r="Z63" s="9"/>
    </row>
    <row r="64" ht="15.0" customHeight="1">
      <c r="A64" s="49"/>
      <c r="C64" s="384">
        <v>45689.0</v>
      </c>
      <c r="D64" s="93">
        <v>45689.0</v>
      </c>
      <c r="E64" s="93" t="s">
        <v>346</v>
      </c>
      <c r="F64" s="74" t="s">
        <v>821</v>
      </c>
      <c r="G64" s="386">
        <v>4.0</v>
      </c>
      <c r="H64" s="74">
        <v>65000.0</v>
      </c>
      <c r="I64" s="74">
        <v>95000.0</v>
      </c>
      <c r="J64" s="60">
        <f t="shared" si="1"/>
        <v>45719</v>
      </c>
      <c r="K64" s="74">
        <f>if(F64="SERVICE",O64-(O64*50%),Vlookup(F64,DATABASE!C:Q,10,false)*G64)</f>
        <v>0</v>
      </c>
      <c r="L64" s="74">
        <f>VLOOKUP(F64,DATABASE!C:Q,7,FALSE)</f>
        <v>43500</v>
      </c>
      <c r="M64" s="74">
        <v>43520.0</v>
      </c>
      <c r="N64" s="74">
        <f t="shared" si="2"/>
        <v>45000</v>
      </c>
      <c r="O64" s="74">
        <f t="shared" si="3"/>
        <v>260000</v>
      </c>
      <c r="P64" s="63">
        <f t="shared" si="4"/>
        <v>380000</v>
      </c>
      <c r="Q64" s="63">
        <f t="shared" si="5"/>
        <v>200000</v>
      </c>
      <c r="R64" s="93" t="str">
        <f>VLOOKUP(F64,DATABASE!C:Q,4,false)</f>
        <v>Flap</v>
      </c>
      <c r="S64" s="93" t="str">
        <f>VLOOKUP(F64,DATABASE!C:P,11,false)</f>
        <v>Tire</v>
      </c>
      <c r="T64" s="93" t="str">
        <f>vlookup(F64,DATABASE!C:Q,8,false)</f>
        <v>BIAN</v>
      </c>
      <c r="Y64" s="81"/>
      <c r="Z64" s="9"/>
    </row>
    <row r="65" ht="15.0" customHeight="1">
      <c r="A65" s="49"/>
      <c r="C65" s="384">
        <v>45692.0</v>
      </c>
      <c r="D65" s="93">
        <v>45692.0</v>
      </c>
      <c r="E65" s="93" t="s">
        <v>370</v>
      </c>
      <c r="F65" s="74" t="s">
        <v>897</v>
      </c>
      <c r="G65" s="386">
        <v>1.0</v>
      </c>
      <c r="H65" s="74">
        <v>1600000.0</v>
      </c>
      <c r="I65" s="74">
        <v>1700000.0</v>
      </c>
      <c r="J65" s="60">
        <f t="shared" si="1"/>
        <v>45722</v>
      </c>
      <c r="K65" s="74">
        <f>if(F65="SERVICE",O65-(O65*50%),Vlookup(F65,DATABASE!C:Q,10,false)*G65)</f>
        <v>0</v>
      </c>
      <c r="L65" s="74">
        <f>VLOOKUP(F65,DATABASE!C:Q,7,FALSE)</f>
        <v>1560000</v>
      </c>
      <c r="M65" s="74">
        <v>1500000.0</v>
      </c>
      <c r="N65" s="74">
        <f t="shared" si="2"/>
        <v>1500000</v>
      </c>
      <c r="O65" s="74">
        <f t="shared" si="3"/>
        <v>1600000</v>
      </c>
      <c r="P65" s="63">
        <f t="shared" si="4"/>
        <v>1700000</v>
      </c>
      <c r="Q65" s="63">
        <f t="shared" si="5"/>
        <v>200000</v>
      </c>
      <c r="R65" s="93" t="str">
        <f>VLOOKUP(F65,DATABASE!C:Q,4,false)</f>
        <v>GT</v>
      </c>
      <c r="S65" s="93" t="str">
        <f>VLOOKUP(F65,DATABASE!C:P,11,false)</f>
        <v>Tire</v>
      </c>
      <c r="T65" s="93" t="str">
        <f>vlookup(F65,DATABASE!C:Q,8,false)</f>
        <v>BIAN</v>
      </c>
      <c r="Y65" s="81"/>
      <c r="Z65" s="9"/>
    </row>
    <row r="66" ht="15.0" customHeight="1">
      <c r="A66" s="49"/>
      <c r="C66" s="384">
        <v>45693.0</v>
      </c>
      <c r="D66" s="93">
        <v>45693.0</v>
      </c>
      <c r="E66" s="93" t="s">
        <v>867</v>
      </c>
      <c r="F66" s="74" t="s">
        <v>566</v>
      </c>
      <c r="G66" s="386">
        <v>1.0</v>
      </c>
      <c r="H66" s="74">
        <v>1710000.0</v>
      </c>
      <c r="I66" s="74">
        <v>1670000.0</v>
      </c>
      <c r="J66" s="60">
        <f t="shared" si="1"/>
        <v>45723</v>
      </c>
      <c r="K66" s="74">
        <f>if(F66="SERVICE",O66-(O66*50%),Vlookup(F66,DATABASE!C:Q,10,false)*G66)</f>
        <v>0</v>
      </c>
      <c r="L66" s="74">
        <f>VLOOKUP(F66,DATABASE!C:Q,7,FALSE)</f>
        <v>1565000</v>
      </c>
      <c r="M66" s="140">
        <v>1570000.0</v>
      </c>
      <c r="N66" s="74">
        <f t="shared" si="2"/>
        <v>1570000</v>
      </c>
      <c r="O66" s="74">
        <f t="shared" si="3"/>
        <v>1710000</v>
      </c>
      <c r="P66" s="63">
        <f t="shared" si="4"/>
        <v>1670000</v>
      </c>
      <c r="Q66" s="63">
        <f t="shared" si="5"/>
        <v>100000</v>
      </c>
      <c r="R66" s="93" t="str">
        <f>VLOOKUP(F66,DATABASE!C:Q,4,false)</f>
        <v>Bridgestone</v>
      </c>
      <c r="S66" s="93" t="str">
        <f>VLOOKUP(F66,DATABASE!C:P,11,false)</f>
        <v>Tire</v>
      </c>
      <c r="T66" s="93" t="str">
        <f>vlookup(F66,DATABASE!C:Q,8,false)</f>
        <v>IBU</v>
      </c>
      <c r="Y66" s="81"/>
      <c r="Z66" s="9"/>
    </row>
    <row r="67" ht="15.0" customHeight="1">
      <c r="A67" s="49"/>
      <c r="C67" s="384">
        <v>45693.0</v>
      </c>
      <c r="D67" s="93">
        <v>45693.0</v>
      </c>
      <c r="E67" s="93" t="s">
        <v>867</v>
      </c>
      <c r="F67" s="74" t="s">
        <v>255</v>
      </c>
      <c r="G67" s="386">
        <v>1.0</v>
      </c>
      <c r="H67" s="74">
        <v>210000.0</v>
      </c>
      <c r="I67" s="74">
        <v>230000.0</v>
      </c>
      <c r="J67" s="60">
        <f t="shared" si="1"/>
        <v>45723</v>
      </c>
      <c r="K67" s="74">
        <f>if(F67="SERVICE",O67-(O67*50%),Vlookup(F67,DATABASE!C:Q,10,false)*G67)</f>
        <v>0</v>
      </c>
      <c r="L67" s="74">
        <f>VLOOKUP(F67,DATABASE!C:Q,7,FALSE)</f>
        <v>161840</v>
      </c>
      <c r="M67" s="74">
        <v>161840.0</v>
      </c>
      <c r="N67" s="74">
        <f t="shared" si="2"/>
        <v>165000</v>
      </c>
      <c r="O67" s="74">
        <f t="shared" si="3"/>
        <v>210000</v>
      </c>
      <c r="P67" s="63">
        <f t="shared" si="4"/>
        <v>230000</v>
      </c>
      <c r="Q67" s="63">
        <f t="shared" si="5"/>
        <v>65000</v>
      </c>
      <c r="R67" s="93" t="str">
        <f>VLOOKUP(F67,DATABASE!C:Q,4,false)</f>
        <v>BD</v>
      </c>
      <c r="S67" s="93" t="str">
        <f>VLOOKUP(F67,DATABASE!C:P,11,false)</f>
        <v>Tire</v>
      </c>
      <c r="T67" s="93" t="str">
        <f>vlookup(F67,DATABASE!C:Q,8,false)</f>
        <v>BIAN</v>
      </c>
      <c r="Y67" s="81"/>
      <c r="Z67" s="9"/>
    </row>
    <row r="68" ht="15.0" customHeight="1">
      <c r="A68" s="49"/>
      <c r="C68" s="384">
        <v>45693.0</v>
      </c>
      <c r="D68" s="93">
        <v>45693.0</v>
      </c>
      <c r="E68" s="93" t="s">
        <v>867</v>
      </c>
      <c r="F68" s="74" t="s">
        <v>814</v>
      </c>
      <c r="G68" s="386">
        <v>2.0</v>
      </c>
      <c r="H68" s="74">
        <v>90000.0</v>
      </c>
      <c r="I68" s="74">
        <v>75000.0</v>
      </c>
      <c r="J68" s="60">
        <f t="shared" si="1"/>
        <v>45723</v>
      </c>
      <c r="K68" s="74">
        <f>if(F68="SERVICE",O68-(O68*50%),Vlookup(F68,DATABASE!C:Q,10,false)*G68)</f>
        <v>0</v>
      </c>
      <c r="L68" s="74">
        <f>VLOOKUP(F68,DATABASE!C:Q,7,FALSE)</f>
        <v>39440</v>
      </c>
      <c r="M68" s="74">
        <v>39440.0</v>
      </c>
      <c r="N68" s="74">
        <f t="shared" si="2"/>
        <v>40000</v>
      </c>
      <c r="O68" s="74">
        <f t="shared" si="3"/>
        <v>180000</v>
      </c>
      <c r="P68" s="63">
        <f t="shared" si="4"/>
        <v>150000</v>
      </c>
      <c r="Q68" s="63">
        <f t="shared" si="5"/>
        <v>70000</v>
      </c>
      <c r="R68" s="93" t="str">
        <f>VLOOKUP(F68,DATABASE!C:Q,4,false)</f>
        <v>Flap</v>
      </c>
      <c r="S68" s="93" t="str">
        <f>VLOOKUP(F68,DATABASE!C:P,11,false)</f>
        <v>Tire</v>
      </c>
      <c r="T68" s="93" t="str">
        <f>vlookup(F68,DATABASE!C:Q,8,false)</f>
        <v>BIAN</v>
      </c>
      <c r="Y68" s="81"/>
      <c r="Z68" s="9"/>
    </row>
    <row r="69" ht="15.0" customHeight="1">
      <c r="A69" s="49"/>
      <c r="C69" s="384">
        <v>45694.0</v>
      </c>
      <c r="D69" s="93">
        <v>45694.0</v>
      </c>
      <c r="E69" s="93" t="s">
        <v>610</v>
      </c>
      <c r="F69" s="74" t="s">
        <v>403</v>
      </c>
      <c r="G69" s="386">
        <v>2.0</v>
      </c>
      <c r="H69" s="74">
        <v>2360000.0</v>
      </c>
      <c r="I69" s="74">
        <v>2360000.0</v>
      </c>
      <c r="J69" s="60">
        <f t="shared" si="1"/>
        <v>45724</v>
      </c>
      <c r="K69" s="74">
        <f>if(F69="SERVICE",O69-(O69*50%),Vlookup(F69,DATABASE!C:Q,10,false)*G69)</f>
        <v>0</v>
      </c>
      <c r="L69" s="74">
        <f>VLOOKUP(F69,DATABASE!C:Q,7,FALSE)</f>
        <v>2160000</v>
      </c>
      <c r="M69" s="74">
        <v>2160000.0</v>
      </c>
      <c r="N69" s="74">
        <f t="shared" si="2"/>
        <v>2160000</v>
      </c>
      <c r="O69" s="74">
        <f t="shared" si="3"/>
        <v>4720000</v>
      </c>
      <c r="P69" s="63">
        <f t="shared" si="4"/>
        <v>4720000</v>
      </c>
      <c r="Q69" s="63">
        <f t="shared" si="5"/>
        <v>400000</v>
      </c>
      <c r="R69" s="93" t="str">
        <f>VLOOKUP(F69,DATABASE!C:Q,4,false)</f>
        <v>Advance</v>
      </c>
      <c r="S69" s="93" t="str">
        <f>VLOOKUP(F69,DATABASE!C:P,11,false)</f>
        <v>Tire</v>
      </c>
      <c r="T69" s="93" t="str">
        <f>vlookup(F69,DATABASE!C:Q,8,false)</f>
        <v>BIAN</v>
      </c>
      <c r="Y69" s="81"/>
      <c r="Z69" s="9"/>
    </row>
    <row r="70" ht="15.0" customHeight="1">
      <c r="A70" s="49"/>
      <c r="C70" s="384">
        <v>45694.0</v>
      </c>
      <c r="D70" s="93">
        <v>45694.0</v>
      </c>
      <c r="E70" s="93" t="s">
        <v>610</v>
      </c>
      <c r="F70" s="74" t="s">
        <v>2426</v>
      </c>
      <c r="G70" s="386">
        <v>2.0</v>
      </c>
      <c r="H70" s="74">
        <v>200000.0</v>
      </c>
      <c r="I70" s="74">
        <v>210000.0</v>
      </c>
      <c r="J70" s="60">
        <f t="shared" si="1"/>
        <v>45724</v>
      </c>
      <c r="K70" s="74">
        <f>if(F70="SERVICE",O70-(O70*50%),Vlookup(F70,DATABASE!C:Q,10,false)*G70)</f>
        <v>0</v>
      </c>
      <c r="L70" s="74">
        <f>VLOOKUP(F70,DATABASE!C:Q,7,FALSE)</f>
        <v>160000</v>
      </c>
      <c r="M70" s="74">
        <v>160000.0</v>
      </c>
      <c r="N70" s="74">
        <f t="shared" si="2"/>
        <v>160000</v>
      </c>
      <c r="O70" s="74">
        <f t="shared" si="3"/>
        <v>400000</v>
      </c>
      <c r="P70" s="63">
        <f t="shared" si="4"/>
        <v>420000</v>
      </c>
      <c r="Q70" s="63">
        <f t="shared" si="5"/>
        <v>100000</v>
      </c>
      <c r="R70" s="93" t="str">
        <f>VLOOKUP(F70,DATABASE!C:Q,4,false)</f>
        <v>BD</v>
      </c>
      <c r="S70" s="93" t="str">
        <f>VLOOKUP(F70,DATABASE!C:P,11,false)</f>
        <v>Tire</v>
      </c>
      <c r="T70" s="93" t="str">
        <f>vlookup(F70,DATABASE!C:Q,8,false)</f>
        <v>BIAN</v>
      </c>
      <c r="Y70" s="81"/>
      <c r="Z70" s="9"/>
    </row>
    <row r="71" ht="15.0" customHeight="1">
      <c r="A71" s="49"/>
      <c r="C71" s="384">
        <v>45694.0</v>
      </c>
      <c r="D71" s="93">
        <v>45694.0</v>
      </c>
      <c r="E71" s="65" t="s">
        <v>254</v>
      </c>
      <c r="F71" s="74" t="s">
        <v>1002</v>
      </c>
      <c r="G71" s="386">
        <v>1.0</v>
      </c>
      <c r="H71" s="74">
        <v>1547000.0</v>
      </c>
      <c r="I71" s="74">
        <v>1530000.0</v>
      </c>
      <c r="J71" s="60">
        <f t="shared" si="1"/>
        <v>45724</v>
      </c>
      <c r="K71" s="74">
        <f>if(F71="SERVICE",O71-(O71*50%),Vlookup(F71,DATABASE!C:Q,10,false)*G71)</f>
        <v>0</v>
      </c>
      <c r="L71" s="74">
        <f>VLOOKUP(F71,DATABASE!C:Q,7,FALSE)</f>
        <v>1447000</v>
      </c>
      <c r="M71" s="74">
        <v>1447000.0</v>
      </c>
      <c r="N71" s="74">
        <f t="shared" si="2"/>
        <v>1450000</v>
      </c>
      <c r="O71" s="74">
        <f t="shared" si="3"/>
        <v>1547000</v>
      </c>
      <c r="P71" s="63">
        <f t="shared" si="4"/>
        <v>1530000</v>
      </c>
      <c r="Q71" s="63">
        <f t="shared" si="5"/>
        <v>80000</v>
      </c>
      <c r="R71" s="93" t="str">
        <f>VLOOKUP(F71,DATABASE!C:Q,4,false)</f>
        <v>Dunlop</v>
      </c>
      <c r="S71" s="93" t="str">
        <f>VLOOKUP(F71,DATABASE!C:P,11,false)</f>
        <v>Tire</v>
      </c>
      <c r="T71" s="93" t="str">
        <f>vlookup(F71,DATABASE!C:Q,8,false)</f>
        <v>IBU</v>
      </c>
      <c r="Y71" s="81"/>
      <c r="Z71" s="9"/>
    </row>
    <row r="72" ht="15.0" customHeight="1">
      <c r="A72" s="49"/>
      <c r="C72" s="384">
        <v>45694.0</v>
      </c>
      <c r="D72" s="93">
        <v>45694.0</v>
      </c>
      <c r="E72" s="65" t="s">
        <v>254</v>
      </c>
      <c r="F72" s="74" t="s">
        <v>744</v>
      </c>
      <c r="G72" s="386">
        <v>1.0</v>
      </c>
      <c r="H72" s="74">
        <v>240000.0</v>
      </c>
      <c r="I72" s="74">
        <v>230000.0</v>
      </c>
      <c r="J72" s="60">
        <f t="shared" si="1"/>
        <v>45724</v>
      </c>
      <c r="K72" s="74">
        <f>if(F72="SERVICE",O72-(O72*50%),Vlookup(F72,DATABASE!C:Q,10,false)*G72)</f>
        <v>0</v>
      </c>
      <c r="L72" s="74">
        <f>VLOOKUP(F72,DATABASE!C:Q,7,FALSE)</f>
        <v>182200</v>
      </c>
      <c r="M72" s="74">
        <v>199920.0</v>
      </c>
      <c r="N72" s="74">
        <f t="shared" si="2"/>
        <v>200000</v>
      </c>
      <c r="O72" s="74">
        <f t="shared" si="3"/>
        <v>240000</v>
      </c>
      <c r="P72" s="63">
        <f t="shared" si="4"/>
        <v>230000</v>
      </c>
      <c r="Q72" s="63">
        <f t="shared" si="5"/>
        <v>30000</v>
      </c>
      <c r="R72" s="93" t="str">
        <f>VLOOKUP(F72,DATABASE!C:Q,4,false)</f>
        <v>BD</v>
      </c>
      <c r="S72" s="93" t="str">
        <f>VLOOKUP(F72,DATABASE!C:P,11,false)</f>
        <v>Tire</v>
      </c>
      <c r="T72" s="93" t="str">
        <f>vlookup(F72,DATABASE!C:Q,8,false)</f>
        <v>BIAN</v>
      </c>
      <c r="Y72" s="81"/>
      <c r="Z72" s="9"/>
    </row>
    <row r="73" ht="15.0" customHeight="1">
      <c r="A73" s="49"/>
      <c r="C73" s="384">
        <v>45694.0</v>
      </c>
      <c r="D73" s="93">
        <v>45694.0</v>
      </c>
      <c r="E73" s="65" t="s">
        <v>254</v>
      </c>
      <c r="F73" s="74" t="s">
        <v>821</v>
      </c>
      <c r="G73" s="386">
        <v>1.0</v>
      </c>
      <c r="H73" s="74">
        <v>65000.0</v>
      </c>
      <c r="I73" s="74">
        <v>75000.0</v>
      </c>
      <c r="J73" s="60">
        <f t="shared" si="1"/>
        <v>45724</v>
      </c>
      <c r="K73" s="74">
        <f>if(F73="SERVICE",O73-(O73*50%),Vlookup(F73,DATABASE!C:Q,10,false)*G73)</f>
        <v>0</v>
      </c>
      <c r="L73" s="74">
        <f>VLOOKUP(F73,DATABASE!C:Q,7,FALSE)</f>
        <v>43500</v>
      </c>
      <c r="M73" s="74">
        <v>43520.0</v>
      </c>
      <c r="N73" s="74">
        <f t="shared" si="2"/>
        <v>45000</v>
      </c>
      <c r="O73" s="74">
        <f t="shared" si="3"/>
        <v>65000</v>
      </c>
      <c r="P73" s="63">
        <f t="shared" si="4"/>
        <v>75000</v>
      </c>
      <c r="Q73" s="63">
        <f t="shared" si="5"/>
        <v>30000</v>
      </c>
      <c r="R73" s="93" t="str">
        <f>VLOOKUP(F73,DATABASE!C:Q,4,false)</f>
        <v>Flap</v>
      </c>
      <c r="S73" s="93" t="str">
        <f>VLOOKUP(F73,DATABASE!C:P,11,false)</f>
        <v>Tire</v>
      </c>
      <c r="T73" s="93" t="str">
        <f>vlookup(F73,DATABASE!C:Q,8,false)</f>
        <v>BIAN</v>
      </c>
      <c r="Y73" s="81"/>
      <c r="Z73" s="9"/>
    </row>
    <row r="74" ht="15.0" customHeight="1">
      <c r="A74" s="49"/>
      <c r="C74" s="384">
        <v>45695.0</v>
      </c>
      <c r="D74" s="93">
        <v>45695.0</v>
      </c>
      <c r="E74" s="93" t="s">
        <v>234</v>
      </c>
      <c r="F74" s="74" t="s">
        <v>353</v>
      </c>
      <c r="G74" s="386">
        <v>1.0</v>
      </c>
      <c r="H74" s="74">
        <v>1865000.0</v>
      </c>
      <c r="I74" s="74">
        <v>2000000.0</v>
      </c>
      <c r="J74" s="60">
        <f t="shared" si="1"/>
        <v>45725</v>
      </c>
      <c r="K74" s="74">
        <f>if(F74="SERVICE",O74-(O74*50%),Vlookup(F74,DATABASE!C:Q,10,false)*G74)</f>
        <v>0</v>
      </c>
      <c r="L74" s="74">
        <f>VLOOKUP(F74,DATABASE!C:Q,7,FALSE)</f>
        <v>1765000</v>
      </c>
      <c r="M74" s="74">
        <v>1765000.0</v>
      </c>
      <c r="N74" s="74">
        <f t="shared" si="2"/>
        <v>1765000</v>
      </c>
      <c r="O74" s="74">
        <f t="shared" si="3"/>
        <v>1865000</v>
      </c>
      <c r="P74" s="63">
        <f t="shared" si="4"/>
        <v>2000000</v>
      </c>
      <c r="Q74" s="63">
        <f t="shared" si="5"/>
        <v>235000</v>
      </c>
      <c r="R74" s="93" t="str">
        <f>VLOOKUP(F74,DATABASE!C:Q,4,false)</f>
        <v>Advance</v>
      </c>
      <c r="S74" s="93" t="str">
        <f>VLOOKUP(F74,DATABASE!C:P,11,false)</f>
        <v>Tire</v>
      </c>
      <c r="T74" s="93" t="str">
        <f>vlookup(F74,DATABASE!C:Q,8,false)</f>
        <v>BIAN</v>
      </c>
      <c r="Y74" s="81"/>
      <c r="Z74" s="9"/>
    </row>
    <row r="75" ht="15.0" customHeight="1">
      <c r="A75" s="49"/>
      <c r="C75" s="384">
        <v>45695.0</v>
      </c>
      <c r="D75" s="93">
        <v>45695.0</v>
      </c>
      <c r="E75" s="93" t="s">
        <v>208</v>
      </c>
      <c r="F75" s="74" t="s">
        <v>1237</v>
      </c>
      <c r="G75" s="386">
        <v>1.0</v>
      </c>
      <c r="H75" s="74">
        <v>1300000.0</v>
      </c>
      <c r="I75" s="74">
        <v>1230000.0</v>
      </c>
      <c r="J75" s="60">
        <f t="shared" si="1"/>
        <v>45725</v>
      </c>
      <c r="K75" s="74">
        <f>if(F75="SERVICE",O75-(O75*50%),Vlookup(F75,DATABASE!C:Q,10,false)*G75)</f>
        <v>0</v>
      </c>
      <c r="L75" s="74">
        <f>VLOOKUP(F75,DATABASE!C:Q,7,FALSE)</f>
        <v>1170353.16</v>
      </c>
      <c r="M75" s="74">
        <v>1113907.2</v>
      </c>
      <c r="N75" s="74">
        <f t="shared" si="2"/>
        <v>1115000</v>
      </c>
      <c r="O75" s="74">
        <f t="shared" si="3"/>
        <v>1300000</v>
      </c>
      <c r="P75" s="63">
        <f t="shared" si="4"/>
        <v>1230000</v>
      </c>
      <c r="Q75" s="63">
        <f t="shared" si="5"/>
        <v>115000</v>
      </c>
      <c r="R75" s="93" t="str">
        <f>VLOOKUP(F75,DATABASE!C:Q,4,false)</f>
        <v>Bridgestone</v>
      </c>
      <c r="S75" s="93" t="str">
        <f>VLOOKUP(F75,DATABASE!C:P,11,false)</f>
        <v>Tire</v>
      </c>
      <c r="T75" s="93" t="str">
        <f>vlookup(F75,DATABASE!C:Q,8,false)</f>
        <v>IBU</v>
      </c>
      <c r="Y75" s="81"/>
      <c r="Z75" s="9"/>
    </row>
    <row r="76" ht="15.0" customHeight="1">
      <c r="A76" s="49"/>
      <c r="C76" s="384">
        <v>45699.0</v>
      </c>
      <c r="D76" s="93">
        <v>45699.0</v>
      </c>
      <c r="E76" s="93" t="s">
        <v>74</v>
      </c>
      <c r="F76" s="74" t="s">
        <v>572</v>
      </c>
      <c r="G76" s="386">
        <v>2.0</v>
      </c>
      <c r="H76" s="74">
        <v>1370000.0</v>
      </c>
      <c r="I76" s="74">
        <v>1410000.0</v>
      </c>
      <c r="J76" s="60">
        <f t="shared" si="1"/>
        <v>45729</v>
      </c>
      <c r="K76" s="74">
        <f>if(F76="SERVICE",O76-(O76*50%),Vlookup(F76,DATABASE!C:Q,10,false)*G76)</f>
        <v>0</v>
      </c>
      <c r="L76" s="74">
        <f>VLOOKUP(F76,DATABASE!C:Q,7,FALSE)</f>
        <v>1265000</v>
      </c>
      <c r="M76" s="140">
        <v>1270000.0</v>
      </c>
      <c r="N76" s="74">
        <f t="shared" si="2"/>
        <v>1270000</v>
      </c>
      <c r="O76" s="74">
        <f t="shared" si="3"/>
        <v>2740000</v>
      </c>
      <c r="P76" s="63">
        <f t="shared" si="4"/>
        <v>2820000</v>
      </c>
      <c r="Q76" s="63">
        <f t="shared" si="5"/>
        <v>280000</v>
      </c>
      <c r="R76" s="93" t="str">
        <f>VLOOKUP(F76,DATABASE!C:Q,4,false)</f>
        <v>Bridgestone</v>
      </c>
      <c r="S76" s="93" t="str">
        <f>VLOOKUP(F76,DATABASE!C:P,11,false)</f>
        <v>Tire</v>
      </c>
      <c r="T76" s="93" t="str">
        <f>vlookup(F76,DATABASE!C:Q,8,false)</f>
        <v>IBU</v>
      </c>
      <c r="Y76" s="81"/>
      <c r="Z76" s="9"/>
    </row>
    <row r="77" ht="15.0" customHeight="1">
      <c r="A77" s="49"/>
      <c r="C77" s="384">
        <v>45699.0</v>
      </c>
      <c r="D77" s="93">
        <v>45699.0</v>
      </c>
      <c r="E77" s="93" t="s">
        <v>74</v>
      </c>
      <c r="F77" s="74" t="s">
        <v>255</v>
      </c>
      <c r="G77" s="386">
        <v>2.0</v>
      </c>
      <c r="H77" s="74">
        <v>210000.0</v>
      </c>
      <c r="I77" s="74">
        <v>220000.0</v>
      </c>
      <c r="J77" s="60">
        <f t="shared" si="1"/>
        <v>45729</v>
      </c>
      <c r="K77" s="74">
        <f>if(F77="SERVICE",O77-(O77*50%),Vlookup(F77,DATABASE!C:Q,10,false)*G77)</f>
        <v>0</v>
      </c>
      <c r="L77" s="74">
        <f>VLOOKUP(F77,DATABASE!C:Q,7,FALSE)</f>
        <v>161840</v>
      </c>
      <c r="M77" s="74">
        <v>161840.0</v>
      </c>
      <c r="N77" s="74">
        <f t="shared" si="2"/>
        <v>165000</v>
      </c>
      <c r="O77" s="74">
        <f t="shared" si="3"/>
        <v>420000</v>
      </c>
      <c r="P77" s="63">
        <f t="shared" si="4"/>
        <v>440000</v>
      </c>
      <c r="Q77" s="63">
        <f t="shared" si="5"/>
        <v>110000</v>
      </c>
      <c r="R77" s="93" t="str">
        <f>VLOOKUP(F77,DATABASE!C:Q,4,false)</f>
        <v>BD</v>
      </c>
      <c r="S77" s="93" t="str">
        <f>VLOOKUP(F77,DATABASE!C:P,11,false)</f>
        <v>Tire</v>
      </c>
      <c r="T77" s="93" t="str">
        <f>vlookup(F77,DATABASE!C:Q,8,false)</f>
        <v>BIAN</v>
      </c>
      <c r="Y77" s="81"/>
      <c r="Z77" s="9"/>
    </row>
    <row r="78" ht="15.0" customHeight="1">
      <c r="A78" s="49"/>
      <c r="C78" s="384">
        <v>45699.0</v>
      </c>
      <c r="D78" s="93">
        <v>45699.0</v>
      </c>
      <c r="E78" s="93" t="s">
        <v>74</v>
      </c>
      <c r="F78" s="74" t="s">
        <v>814</v>
      </c>
      <c r="G78" s="386">
        <v>2.0</v>
      </c>
      <c r="H78" s="74">
        <v>90000.0</v>
      </c>
      <c r="I78" s="74">
        <v>80000.0</v>
      </c>
      <c r="J78" s="60">
        <f t="shared" si="1"/>
        <v>45729</v>
      </c>
      <c r="K78" s="74">
        <f>if(F78="SERVICE",O78-(O78*50%),Vlookup(F78,DATABASE!C:Q,10,false)*G78)</f>
        <v>0</v>
      </c>
      <c r="L78" s="74">
        <f>VLOOKUP(F78,DATABASE!C:Q,7,FALSE)</f>
        <v>39440</v>
      </c>
      <c r="M78" s="74">
        <v>39440.0</v>
      </c>
      <c r="N78" s="74">
        <f t="shared" si="2"/>
        <v>40000</v>
      </c>
      <c r="O78" s="74">
        <f t="shared" si="3"/>
        <v>180000</v>
      </c>
      <c r="P78" s="63">
        <f t="shared" si="4"/>
        <v>160000</v>
      </c>
      <c r="Q78" s="63">
        <f t="shared" si="5"/>
        <v>80000</v>
      </c>
      <c r="R78" s="93" t="str">
        <f>VLOOKUP(F78,DATABASE!C:Q,4,false)</f>
        <v>Flap</v>
      </c>
      <c r="S78" s="93" t="str">
        <f>VLOOKUP(F78,DATABASE!C:P,11,false)</f>
        <v>Tire</v>
      </c>
      <c r="T78" s="93" t="str">
        <f>vlookup(F78,DATABASE!C:Q,8,false)</f>
        <v>BIAN</v>
      </c>
      <c r="Y78" s="81"/>
      <c r="Z78" s="9"/>
    </row>
    <row r="79" ht="15.0" customHeight="1">
      <c r="A79" s="49"/>
      <c r="C79" s="384">
        <v>45699.0</v>
      </c>
      <c r="D79" s="93">
        <v>45699.0</v>
      </c>
      <c r="E79" s="93" t="s">
        <v>254</v>
      </c>
      <c r="F79" s="74" t="s">
        <v>932</v>
      </c>
      <c r="G79" s="386">
        <v>2.0</v>
      </c>
      <c r="H79" s="74">
        <v>701000.0</v>
      </c>
      <c r="I79" s="74">
        <v>670000.0</v>
      </c>
      <c r="J79" s="60">
        <f t="shared" si="1"/>
        <v>45729</v>
      </c>
      <c r="K79" s="74">
        <f>if(F79="SERVICE",O79-(O79*50%),Vlookup(F79,DATABASE!C:Q,10,false)*G79)</f>
        <v>0</v>
      </c>
      <c r="L79" s="74">
        <f>VLOOKUP(F79,DATABASE!C:Q,7,FALSE)</f>
        <v>601000</v>
      </c>
      <c r="M79" s="74">
        <v>595000.0</v>
      </c>
      <c r="N79" s="74">
        <f t="shared" si="2"/>
        <v>595000</v>
      </c>
      <c r="O79" s="74">
        <f t="shared" si="3"/>
        <v>1402000</v>
      </c>
      <c r="P79" s="63">
        <f t="shared" si="4"/>
        <v>1340000</v>
      </c>
      <c r="Q79" s="63">
        <f t="shared" si="5"/>
        <v>150000</v>
      </c>
      <c r="R79" s="93" t="str">
        <f>VLOOKUP(F79,DATABASE!C:Q,4,false)</f>
        <v>Dunlop</v>
      </c>
      <c r="S79" s="93" t="str">
        <f>VLOOKUP(F79,DATABASE!C:P,11,false)</f>
        <v>Tire</v>
      </c>
      <c r="T79" s="93" t="str">
        <f>vlookup(F79,DATABASE!C:Q,8,false)</f>
        <v>IBU</v>
      </c>
      <c r="Y79" s="81"/>
      <c r="Z79" s="9"/>
    </row>
    <row r="80" ht="15.0" customHeight="1">
      <c r="A80" s="49"/>
      <c r="C80" s="384">
        <v>45699.0</v>
      </c>
      <c r="D80" s="93">
        <v>45699.0</v>
      </c>
      <c r="E80" s="93" t="s">
        <v>254</v>
      </c>
      <c r="F80" s="74" t="s">
        <v>250</v>
      </c>
      <c r="G80" s="386">
        <v>1.0</v>
      </c>
      <c r="H80" s="74">
        <v>145000.0</v>
      </c>
      <c r="I80" s="74">
        <v>135000.0</v>
      </c>
      <c r="J80" s="60">
        <f t="shared" si="1"/>
        <v>45729</v>
      </c>
      <c r="K80" s="74">
        <f>if(F80="SERVICE",O80-(O80*50%),Vlookup(F80,DATABASE!C:Q,10,false)*G80)</f>
        <v>0</v>
      </c>
      <c r="L80" s="74">
        <f>VLOOKUP(F80,DATABASE!C:Q,7,FALSE)</f>
        <v>102000</v>
      </c>
      <c r="M80" s="74">
        <v>102000.0</v>
      </c>
      <c r="N80" s="74">
        <f t="shared" si="2"/>
        <v>105000</v>
      </c>
      <c r="O80" s="74">
        <f t="shared" si="3"/>
        <v>145000</v>
      </c>
      <c r="P80" s="63">
        <f t="shared" si="4"/>
        <v>135000</v>
      </c>
      <c r="Q80" s="63">
        <f t="shared" si="5"/>
        <v>30000</v>
      </c>
      <c r="R80" s="93" t="str">
        <f>VLOOKUP(F80,DATABASE!C:Q,4,false)</f>
        <v>BD</v>
      </c>
      <c r="S80" s="93" t="str">
        <f>VLOOKUP(F80,DATABASE!C:P,11,false)</f>
        <v>Tire</v>
      </c>
      <c r="T80" s="93" t="str">
        <f>vlookup(F80,DATABASE!C:Q,8,false)</f>
        <v>BIAN</v>
      </c>
      <c r="Y80" s="81"/>
      <c r="Z80" s="9"/>
    </row>
    <row r="81" ht="15.0" customHeight="1">
      <c r="A81" s="49"/>
      <c r="C81" s="384">
        <v>45700.0</v>
      </c>
      <c r="D81" s="93">
        <v>45700.0</v>
      </c>
      <c r="E81" s="93" t="s">
        <v>267</v>
      </c>
      <c r="F81" s="74" t="s">
        <v>572</v>
      </c>
      <c r="G81" s="386">
        <v>2.0</v>
      </c>
      <c r="H81" s="74">
        <v>1370000.0</v>
      </c>
      <c r="I81" s="74">
        <v>1410000.0</v>
      </c>
      <c r="J81" s="60">
        <f t="shared" si="1"/>
        <v>45730</v>
      </c>
      <c r="K81" s="74">
        <f>if(F81="SERVICE",O81-(O81*50%),Vlookup(F81,DATABASE!C:Q,10,false)*G81)</f>
        <v>0</v>
      </c>
      <c r="L81" s="74">
        <f>VLOOKUP(F81,DATABASE!C:Q,7,FALSE)</f>
        <v>1265000</v>
      </c>
      <c r="M81" s="140">
        <v>1270000.0</v>
      </c>
      <c r="N81" s="74">
        <f t="shared" si="2"/>
        <v>1270000</v>
      </c>
      <c r="O81" s="74">
        <f t="shared" si="3"/>
        <v>2740000</v>
      </c>
      <c r="P81" s="63">
        <f t="shared" si="4"/>
        <v>2820000</v>
      </c>
      <c r="Q81" s="63">
        <f t="shared" si="5"/>
        <v>280000</v>
      </c>
      <c r="R81" s="93" t="str">
        <f>VLOOKUP(F81,DATABASE!C:Q,4,false)</f>
        <v>Bridgestone</v>
      </c>
      <c r="S81" s="93" t="str">
        <f>VLOOKUP(F81,DATABASE!C:P,11,false)</f>
        <v>Tire</v>
      </c>
      <c r="T81" s="93" t="str">
        <f>vlookup(F81,DATABASE!C:Q,8,false)</f>
        <v>IBU</v>
      </c>
      <c r="Y81" s="81"/>
      <c r="Z81" s="9"/>
    </row>
    <row r="82" ht="15.0" customHeight="1">
      <c r="A82" s="49"/>
      <c r="C82" s="384">
        <v>45700.0</v>
      </c>
      <c r="D82" s="93">
        <v>45700.0</v>
      </c>
      <c r="E82" s="93" t="s">
        <v>267</v>
      </c>
      <c r="F82" s="74" t="s">
        <v>255</v>
      </c>
      <c r="G82" s="386">
        <v>2.0</v>
      </c>
      <c r="H82" s="74">
        <v>210000.0</v>
      </c>
      <c r="I82" s="74">
        <v>200000.0</v>
      </c>
      <c r="J82" s="60">
        <f t="shared" si="1"/>
        <v>45730</v>
      </c>
      <c r="K82" s="74">
        <f>if(F82="SERVICE",O82-(O82*50%),Vlookup(F82,DATABASE!C:Q,10,false)*G82)</f>
        <v>0</v>
      </c>
      <c r="L82" s="74">
        <f>VLOOKUP(F82,DATABASE!C:Q,7,FALSE)</f>
        <v>161840</v>
      </c>
      <c r="M82" s="74">
        <v>161840.0</v>
      </c>
      <c r="N82" s="74">
        <f t="shared" si="2"/>
        <v>165000</v>
      </c>
      <c r="O82" s="74">
        <f t="shared" si="3"/>
        <v>420000</v>
      </c>
      <c r="P82" s="63">
        <f t="shared" si="4"/>
        <v>400000</v>
      </c>
      <c r="Q82" s="63">
        <f t="shared" si="5"/>
        <v>70000</v>
      </c>
      <c r="R82" s="93" t="str">
        <f>VLOOKUP(F82,DATABASE!C:Q,4,false)</f>
        <v>BD</v>
      </c>
      <c r="S82" s="93" t="str">
        <f>VLOOKUP(F82,DATABASE!C:P,11,false)</f>
        <v>Tire</v>
      </c>
      <c r="T82" s="93" t="str">
        <f>vlookup(F82,DATABASE!C:Q,8,false)</f>
        <v>BIAN</v>
      </c>
      <c r="Y82" s="81"/>
      <c r="Z82" s="9"/>
    </row>
    <row r="83" ht="22.5" customHeight="1">
      <c r="A83" s="49"/>
      <c r="C83" s="384">
        <v>45700.0</v>
      </c>
      <c r="D83" s="93">
        <v>45700.0</v>
      </c>
      <c r="E83" s="93" t="s">
        <v>267</v>
      </c>
      <c r="F83" s="74" t="s">
        <v>814</v>
      </c>
      <c r="G83" s="386">
        <v>2.0</v>
      </c>
      <c r="H83" s="74">
        <v>90000.0</v>
      </c>
      <c r="I83" s="74">
        <v>80000.0</v>
      </c>
      <c r="J83" s="60">
        <f t="shared" si="1"/>
        <v>45730</v>
      </c>
      <c r="K83" s="74">
        <f>if(F83="SERVICE",O83-(O83*50%),Vlookup(F83,DATABASE!C:Q,10,false)*G83)</f>
        <v>0</v>
      </c>
      <c r="L83" s="74">
        <f>VLOOKUP(F83,DATABASE!C:Q,7,FALSE)</f>
        <v>39440</v>
      </c>
      <c r="M83" s="74">
        <v>39440.0</v>
      </c>
      <c r="N83" s="74">
        <f t="shared" si="2"/>
        <v>40000</v>
      </c>
      <c r="O83" s="74">
        <f t="shared" si="3"/>
        <v>180000</v>
      </c>
      <c r="P83" s="63">
        <f t="shared" si="4"/>
        <v>160000</v>
      </c>
      <c r="Q83" s="63">
        <f t="shared" si="5"/>
        <v>80000</v>
      </c>
      <c r="R83" s="93" t="str">
        <f>VLOOKUP(F83,DATABASE!C:Q,4,false)</f>
        <v>Flap</v>
      </c>
      <c r="S83" s="93" t="str">
        <f>VLOOKUP(F83,DATABASE!C:P,11,false)</f>
        <v>Tire</v>
      </c>
      <c r="T83" s="93" t="str">
        <f>vlookup(F83,DATABASE!C:Q,8,false)</f>
        <v>BIAN</v>
      </c>
      <c r="Y83" s="81"/>
      <c r="Z83" s="9"/>
    </row>
    <row r="84" ht="22.5" customHeight="1">
      <c r="A84" s="49"/>
      <c r="C84" s="384">
        <v>45700.0</v>
      </c>
      <c r="D84" s="93">
        <v>45700.0</v>
      </c>
      <c r="E84" s="93" t="s">
        <v>801</v>
      </c>
      <c r="F84" s="74" t="s">
        <v>1002</v>
      </c>
      <c r="G84" s="386">
        <v>2.0</v>
      </c>
      <c r="H84" s="74">
        <v>1547000.0</v>
      </c>
      <c r="I84" s="74">
        <v>1530000.0</v>
      </c>
      <c r="J84" s="60">
        <f t="shared" si="1"/>
        <v>45730</v>
      </c>
      <c r="K84" s="74">
        <f>if(F84="SERVICE",O84-(O84*50%),Vlookup(F84,DATABASE!C:Q,10,false)*G84)</f>
        <v>0</v>
      </c>
      <c r="L84" s="74">
        <f>VLOOKUP(F84,DATABASE!C:Q,7,FALSE)</f>
        <v>1447000</v>
      </c>
      <c r="M84" s="74">
        <v>1447000.0</v>
      </c>
      <c r="N84" s="74">
        <f t="shared" si="2"/>
        <v>1450000</v>
      </c>
      <c r="O84" s="74">
        <f t="shared" si="3"/>
        <v>3094000</v>
      </c>
      <c r="P84" s="63">
        <f t="shared" si="4"/>
        <v>3060000</v>
      </c>
      <c r="Q84" s="63">
        <f t="shared" si="5"/>
        <v>160000</v>
      </c>
      <c r="R84" s="93" t="str">
        <f>VLOOKUP(F84,DATABASE!C:Q,4,false)</f>
        <v>Dunlop</v>
      </c>
      <c r="S84" s="93" t="str">
        <f>VLOOKUP(F84,DATABASE!C:P,11,false)</f>
        <v>Tire</v>
      </c>
      <c r="T84" s="93" t="str">
        <f>vlookup(F84,DATABASE!C:Q,8,false)</f>
        <v>IBU</v>
      </c>
      <c r="Y84" s="81"/>
      <c r="Z84" s="9"/>
    </row>
    <row r="85" ht="22.5" customHeight="1">
      <c r="A85" s="49"/>
      <c r="C85" s="384">
        <v>45700.0</v>
      </c>
      <c r="D85" s="93">
        <v>45700.0</v>
      </c>
      <c r="E85" s="93" t="s">
        <v>801</v>
      </c>
      <c r="F85" s="74" t="s">
        <v>647</v>
      </c>
      <c r="G85" s="386">
        <v>4.0</v>
      </c>
      <c r="H85" s="74">
        <v>1520000.0</v>
      </c>
      <c r="I85" s="74">
        <v>1460000.0</v>
      </c>
      <c r="J85" s="60">
        <f t="shared" si="1"/>
        <v>45730</v>
      </c>
      <c r="K85" s="74">
        <f>if(F85="SERVICE",O85-(O85*50%),Vlookup(F85,DATABASE!C:Q,10,false)*G85)</f>
        <v>0</v>
      </c>
      <c r="L85" s="74">
        <f>VLOOKUP(F85,DATABASE!C:Q,7,FALSE)</f>
        <v>1420000</v>
      </c>
      <c r="M85" s="74">
        <v>1420000.0</v>
      </c>
      <c r="N85" s="74">
        <f t="shared" si="2"/>
        <v>1420000</v>
      </c>
      <c r="O85" s="74">
        <f t="shared" si="3"/>
        <v>6080000</v>
      </c>
      <c r="P85" s="63">
        <f t="shared" si="4"/>
        <v>5840000</v>
      </c>
      <c r="Q85" s="63">
        <f t="shared" si="5"/>
        <v>160000</v>
      </c>
      <c r="R85" s="93" t="str">
        <f>VLOOKUP(F85,DATABASE!C:Q,4,false)</f>
        <v>G. YEAR</v>
      </c>
      <c r="S85" s="93" t="str">
        <f>VLOOKUP(F85,DATABASE!C:P,11,false)</f>
        <v>Tire</v>
      </c>
      <c r="T85" s="93" t="str">
        <f>vlookup(F85,DATABASE!C:Q,8,false)</f>
        <v>BIAN</v>
      </c>
      <c r="Y85" s="81"/>
      <c r="Z85" s="9"/>
    </row>
    <row r="86" ht="22.5" customHeight="1">
      <c r="A86" s="49"/>
      <c r="C86" s="384">
        <v>45700.0</v>
      </c>
      <c r="D86" s="93">
        <v>45700.0</v>
      </c>
      <c r="E86" s="93" t="s">
        <v>801</v>
      </c>
      <c r="F86" s="74" t="s">
        <v>770</v>
      </c>
      <c r="G86" s="386">
        <v>6.0</v>
      </c>
      <c r="H86" s="74">
        <v>200000.0</v>
      </c>
      <c r="I86" s="74">
        <v>180000.0</v>
      </c>
      <c r="J86" s="60">
        <f t="shared" si="1"/>
        <v>45730</v>
      </c>
      <c r="K86" s="74">
        <f>if(F86="SERVICE",O86-(O86*50%),Vlookup(F86,DATABASE!C:Q,10,false)*G86)</f>
        <v>0</v>
      </c>
      <c r="L86" s="74">
        <f>VLOOKUP(F86,DATABASE!C:Q,7,FALSE)</f>
        <v>145180</v>
      </c>
      <c r="M86" s="74">
        <v>145180.0</v>
      </c>
      <c r="N86" s="74">
        <f t="shared" si="2"/>
        <v>150000</v>
      </c>
      <c r="O86" s="74">
        <f t="shared" si="3"/>
        <v>1200000</v>
      </c>
      <c r="P86" s="63">
        <f t="shared" si="4"/>
        <v>1080000</v>
      </c>
      <c r="Q86" s="63">
        <f t="shared" si="5"/>
        <v>180000</v>
      </c>
      <c r="R86" s="93" t="str">
        <f>VLOOKUP(F86,DATABASE!C:Q,4,false)</f>
        <v>BD</v>
      </c>
      <c r="S86" s="93" t="str">
        <f>VLOOKUP(F86,DATABASE!C:P,11,false)</f>
        <v>Tire</v>
      </c>
      <c r="T86" s="93" t="str">
        <f>vlookup(F86,DATABASE!C:Q,8,false)</f>
        <v>BIAN</v>
      </c>
      <c r="Y86" s="81"/>
      <c r="Z86" s="9"/>
    </row>
    <row r="87" ht="22.5" customHeight="1">
      <c r="A87" s="49"/>
      <c r="C87" s="384">
        <v>45700.0</v>
      </c>
      <c r="D87" s="93">
        <v>45700.0</v>
      </c>
      <c r="E87" s="93" t="s">
        <v>801</v>
      </c>
      <c r="F87" s="74" t="s">
        <v>821</v>
      </c>
      <c r="G87" s="386">
        <v>6.0</v>
      </c>
      <c r="H87" s="74">
        <v>65000.0</v>
      </c>
      <c r="I87" s="74">
        <v>75000.0</v>
      </c>
      <c r="J87" s="60">
        <f t="shared" si="1"/>
        <v>45730</v>
      </c>
      <c r="K87" s="74">
        <f>if(F87="SERVICE",O87-(O87*50%),Vlookup(F87,DATABASE!C:Q,10,false)*G87)</f>
        <v>0</v>
      </c>
      <c r="L87" s="74">
        <f>VLOOKUP(F87,DATABASE!C:Q,7,FALSE)</f>
        <v>43500</v>
      </c>
      <c r="M87" s="74">
        <v>43520.0</v>
      </c>
      <c r="N87" s="74">
        <f t="shared" si="2"/>
        <v>45000</v>
      </c>
      <c r="O87" s="74">
        <f t="shared" si="3"/>
        <v>390000</v>
      </c>
      <c r="P87" s="63">
        <f t="shared" si="4"/>
        <v>450000</v>
      </c>
      <c r="Q87" s="63">
        <f t="shared" si="5"/>
        <v>180000</v>
      </c>
      <c r="R87" s="93" t="str">
        <f>VLOOKUP(F87,DATABASE!C:Q,4,false)</f>
        <v>Flap</v>
      </c>
      <c r="S87" s="93" t="str">
        <f>VLOOKUP(F87,DATABASE!C:P,11,false)</f>
        <v>Tire</v>
      </c>
      <c r="T87" s="93" t="str">
        <f>vlookup(F87,DATABASE!C:Q,8,false)</f>
        <v>BIAN</v>
      </c>
      <c r="Y87" s="81"/>
      <c r="Z87" s="9"/>
    </row>
    <row r="88" ht="22.5" customHeight="1">
      <c r="A88" s="49"/>
      <c r="C88" s="384">
        <v>45702.0</v>
      </c>
      <c r="D88" s="93">
        <v>45702.0</v>
      </c>
      <c r="E88" s="93" t="s">
        <v>867</v>
      </c>
      <c r="F88" s="74" t="s">
        <v>566</v>
      </c>
      <c r="G88" s="386">
        <v>1.0</v>
      </c>
      <c r="H88" s="74">
        <v>1710000.0</v>
      </c>
      <c r="I88" s="74">
        <v>1780000.0</v>
      </c>
      <c r="J88" s="60">
        <f t="shared" si="1"/>
        <v>45732</v>
      </c>
      <c r="K88" s="74">
        <f>if(F88="SERVICE",O88-(O88*50%),Vlookup(F88,DATABASE!C:Q,10,false)*G88)</f>
        <v>0</v>
      </c>
      <c r="L88" s="74">
        <f>VLOOKUP(F88,DATABASE!C:Q,7,FALSE)</f>
        <v>1565000</v>
      </c>
      <c r="M88" s="140">
        <v>1570000.0</v>
      </c>
      <c r="N88" s="74">
        <f t="shared" si="2"/>
        <v>1570000</v>
      </c>
      <c r="O88" s="74">
        <f t="shared" si="3"/>
        <v>1710000</v>
      </c>
      <c r="P88" s="63">
        <f t="shared" si="4"/>
        <v>1780000</v>
      </c>
      <c r="Q88" s="63">
        <f t="shared" si="5"/>
        <v>210000</v>
      </c>
      <c r="R88" s="93" t="str">
        <f>VLOOKUP(F88,DATABASE!C:Q,4,false)</f>
        <v>Bridgestone</v>
      </c>
      <c r="S88" s="93" t="str">
        <f>VLOOKUP(F88,DATABASE!C:P,11,false)</f>
        <v>Tire</v>
      </c>
      <c r="T88" s="93" t="str">
        <f>vlookup(F88,DATABASE!C:Q,8,false)</f>
        <v>IBU</v>
      </c>
      <c r="Y88" s="81"/>
      <c r="Z88" s="9"/>
    </row>
    <row r="89" ht="22.5" customHeight="1">
      <c r="A89" s="49"/>
      <c r="C89" s="384">
        <v>45702.0</v>
      </c>
      <c r="D89" s="93">
        <v>45702.0</v>
      </c>
      <c r="E89" s="93" t="s">
        <v>867</v>
      </c>
      <c r="F89" s="74" t="s">
        <v>821</v>
      </c>
      <c r="G89" s="386">
        <v>1.0</v>
      </c>
      <c r="H89" s="74">
        <v>65000.0</v>
      </c>
      <c r="I89" s="74">
        <v>95000.0</v>
      </c>
      <c r="J89" s="60">
        <f t="shared" si="1"/>
        <v>45732</v>
      </c>
      <c r="K89" s="74">
        <f>if(F89="SERVICE",O89-(O89*50%),Vlookup(F89,DATABASE!C:Q,10,false)*G89)</f>
        <v>0</v>
      </c>
      <c r="L89" s="74">
        <f>VLOOKUP(F89,DATABASE!C:Q,7,FALSE)</f>
        <v>43500</v>
      </c>
      <c r="M89" s="74">
        <v>43520.0</v>
      </c>
      <c r="N89" s="74">
        <f t="shared" si="2"/>
        <v>45000</v>
      </c>
      <c r="O89" s="74">
        <f t="shared" si="3"/>
        <v>65000</v>
      </c>
      <c r="P89" s="63">
        <f t="shared" si="4"/>
        <v>95000</v>
      </c>
      <c r="Q89" s="63">
        <f t="shared" si="5"/>
        <v>50000</v>
      </c>
      <c r="R89" s="93" t="str">
        <f>VLOOKUP(F89,DATABASE!C:Q,4,false)</f>
        <v>Flap</v>
      </c>
      <c r="S89" s="93" t="str">
        <f>VLOOKUP(F89,DATABASE!C:P,11,false)</f>
        <v>Tire</v>
      </c>
      <c r="T89" s="93" t="str">
        <f>vlookup(F89,DATABASE!C:Q,8,false)</f>
        <v>BIAN</v>
      </c>
      <c r="Y89" s="81"/>
      <c r="Z89" s="9"/>
    </row>
    <row r="90" ht="22.5" customHeight="1">
      <c r="A90" s="49"/>
      <c r="C90" s="384">
        <v>45703.0</v>
      </c>
      <c r="D90" s="93">
        <v>45703.0</v>
      </c>
      <c r="E90" s="93" t="s">
        <v>422</v>
      </c>
      <c r="F90" s="74" t="s">
        <v>391</v>
      </c>
      <c r="G90" s="386">
        <v>2.0</v>
      </c>
      <c r="H90" s="74">
        <v>1950000.0</v>
      </c>
      <c r="I90" s="74">
        <v>1950000.0</v>
      </c>
      <c r="J90" s="60">
        <f t="shared" si="1"/>
        <v>45733</v>
      </c>
      <c r="K90" s="74">
        <f>if(F90="SERVICE",O90-(O90*50%),Vlookup(F90,DATABASE!C:Q,10,false)*G90)</f>
        <v>0</v>
      </c>
      <c r="L90" s="74">
        <f>VLOOKUP(F90,DATABASE!C:Q,7,FALSE)</f>
        <v>1885000</v>
      </c>
      <c r="M90" s="74">
        <v>1840000.0</v>
      </c>
      <c r="N90" s="74">
        <f t="shared" si="2"/>
        <v>1840000</v>
      </c>
      <c r="O90" s="74">
        <f t="shared" si="3"/>
        <v>3900000</v>
      </c>
      <c r="P90" s="63">
        <f t="shared" si="4"/>
        <v>3900000</v>
      </c>
      <c r="Q90" s="63">
        <f t="shared" si="5"/>
        <v>220000</v>
      </c>
      <c r="R90" s="93" t="str">
        <f>VLOOKUP(F90,DATABASE!C:Q,4,false)</f>
        <v>Advance</v>
      </c>
      <c r="S90" s="93" t="str">
        <f>VLOOKUP(F90,DATABASE!C:P,11,false)</f>
        <v>Tire</v>
      </c>
      <c r="T90" s="93" t="str">
        <f>vlookup(F90,DATABASE!C:Q,8,false)</f>
        <v>BIAN</v>
      </c>
      <c r="Y90" s="81"/>
      <c r="Z90" s="9"/>
    </row>
    <row r="91" ht="22.5" customHeight="1">
      <c r="A91" s="49"/>
      <c r="C91" s="384">
        <v>45705.0</v>
      </c>
      <c r="D91" s="93">
        <v>45705.0</v>
      </c>
      <c r="E91" s="93" t="s">
        <v>819</v>
      </c>
      <c r="F91" s="74" t="s">
        <v>374</v>
      </c>
      <c r="G91" s="386">
        <v>2.0</v>
      </c>
      <c r="H91" s="74">
        <v>2050000.0</v>
      </c>
      <c r="I91" s="74">
        <v>2050000.0</v>
      </c>
      <c r="J91" s="60">
        <f t="shared" si="1"/>
        <v>45735</v>
      </c>
      <c r="K91" s="74">
        <f>if(F91="SERVICE",O91-(O91*50%),Vlookup(F91,DATABASE!C:Q,10,false)*G91)</f>
        <v>0</v>
      </c>
      <c r="L91" s="74">
        <f>VLOOKUP(F91,DATABASE!C:Q,7,FALSE)</f>
        <v>1980000</v>
      </c>
      <c r="M91" s="140">
        <v>1950000.0</v>
      </c>
      <c r="N91" s="74">
        <f t="shared" si="2"/>
        <v>1950000</v>
      </c>
      <c r="O91" s="74">
        <f t="shared" si="3"/>
        <v>4100000</v>
      </c>
      <c r="P91" s="63">
        <f t="shared" si="4"/>
        <v>4100000</v>
      </c>
      <c r="Q91" s="63">
        <f t="shared" si="5"/>
        <v>200000</v>
      </c>
      <c r="R91" s="93" t="str">
        <f>VLOOKUP(F91,DATABASE!C:Q,4,false)</f>
        <v>Advance</v>
      </c>
      <c r="S91" s="93" t="str">
        <f>VLOOKUP(F91,DATABASE!C:P,11,false)</f>
        <v>Tire</v>
      </c>
      <c r="T91" s="93" t="str">
        <f>vlookup(F91,DATABASE!C:Q,8,false)</f>
        <v>BIAN</v>
      </c>
      <c r="Y91" s="81"/>
      <c r="Z91" s="9"/>
    </row>
    <row r="92" ht="22.5" customHeight="1">
      <c r="A92" s="49"/>
      <c r="C92" s="384">
        <v>45705.0</v>
      </c>
      <c r="D92" s="93">
        <v>45705.0</v>
      </c>
      <c r="E92" s="93" t="s">
        <v>927</v>
      </c>
      <c r="F92" s="74" t="s">
        <v>374</v>
      </c>
      <c r="G92" s="386">
        <v>2.0</v>
      </c>
      <c r="H92" s="74">
        <v>2050000.0</v>
      </c>
      <c r="I92" s="74">
        <v>2050000.0</v>
      </c>
      <c r="J92" s="60">
        <f t="shared" si="1"/>
        <v>45735</v>
      </c>
      <c r="K92" s="74">
        <f>if(F92="SERVICE",O92-(O92*50%),Vlookup(F92,DATABASE!C:Q,10,false)*G92)</f>
        <v>0</v>
      </c>
      <c r="L92" s="74">
        <f>VLOOKUP(F92,DATABASE!C:Q,7,FALSE)</f>
        <v>1980000</v>
      </c>
      <c r="M92" s="140">
        <v>1950000.0</v>
      </c>
      <c r="N92" s="74">
        <f t="shared" si="2"/>
        <v>1950000</v>
      </c>
      <c r="O92" s="74">
        <f t="shared" si="3"/>
        <v>4100000</v>
      </c>
      <c r="P92" s="63">
        <f t="shared" si="4"/>
        <v>4100000</v>
      </c>
      <c r="Q92" s="63">
        <f t="shared" si="5"/>
        <v>200000</v>
      </c>
      <c r="R92" s="93" t="str">
        <f>VLOOKUP(F92,DATABASE!C:Q,4,false)</f>
        <v>Advance</v>
      </c>
      <c r="S92" s="93" t="str">
        <f>VLOOKUP(F92,DATABASE!C:P,11,false)</f>
        <v>Tire</v>
      </c>
      <c r="T92" s="93" t="str">
        <f>vlookup(F92,DATABASE!C:Q,8,false)</f>
        <v>BIAN</v>
      </c>
      <c r="Y92" s="81"/>
      <c r="Z92" s="9"/>
    </row>
    <row r="93" ht="22.5" customHeight="1">
      <c r="A93" s="49"/>
      <c r="C93" s="384">
        <v>45706.0</v>
      </c>
      <c r="D93" s="93">
        <v>45706.0</v>
      </c>
      <c r="E93" s="93" t="s">
        <v>953</v>
      </c>
      <c r="F93" s="74" t="s">
        <v>391</v>
      </c>
      <c r="G93" s="386">
        <v>2.0</v>
      </c>
      <c r="H93" s="74">
        <v>1950000.0</v>
      </c>
      <c r="I93" s="74">
        <v>1950000.0</v>
      </c>
      <c r="J93" s="60">
        <f t="shared" si="1"/>
        <v>45736</v>
      </c>
      <c r="K93" s="74">
        <f>if(F93="SERVICE",O93-(O93*50%),Vlookup(F93,DATABASE!C:Q,10,false)*G93)</f>
        <v>0</v>
      </c>
      <c r="L93" s="74">
        <f>VLOOKUP(F93,DATABASE!C:Q,7,FALSE)</f>
        <v>1885000</v>
      </c>
      <c r="M93" s="74">
        <v>1840000.0</v>
      </c>
      <c r="N93" s="74">
        <f t="shared" si="2"/>
        <v>1840000</v>
      </c>
      <c r="O93" s="74">
        <f t="shared" si="3"/>
        <v>3900000</v>
      </c>
      <c r="P93" s="63">
        <f t="shared" si="4"/>
        <v>3900000</v>
      </c>
      <c r="Q93" s="63">
        <f t="shared" si="5"/>
        <v>220000</v>
      </c>
      <c r="R93" s="93" t="str">
        <f>VLOOKUP(F93,DATABASE!C:Q,4,false)</f>
        <v>Advance</v>
      </c>
      <c r="S93" s="93" t="str">
        <f>VLOOKUP(F93,DATABASE!C:P,11,false)</f>
        <v>Tire</v>
      </c>
      <c r="T93" s="93" t="str">
        <f>vlookup(F93,DATABASE!C:Q,8,false)</f>
        <v>BIAN</v>
      </c>
      <c r="Y93" s="81"/>
      <c r="Z93" s="9"/>
    </row>
    <row r="94" ht="22.5" customHeight="1">
      <c r="A94" s="49"/>
      <c r="C94" s="384">
        <v>45707.0</v>
      </c>
      <c r="D94" s="93">
        <v>45707.0</v>
      </c>
      <c r="E94" s="93" t="s">
        <v>971</v>
      </c>
      <c r="F94" s="74" t="s">
        <v>374</v>
      </c>
      <c r="G94" s="386">
        <v>1.0</v>
      </c>
      <c r="H94" s="74">
        <v>2050000.0</v>
      </c>
      <c r="I94" s="74">
        <v>1950000.0</v>
      </c>
      <c r="J94" s="60">
        <f t="shared" si="1"/>
        <v>45737</v>
      </c>
      <c r="K94" s="74">
        <f>if(F94="SERVICE",O94-(O94*50%),Vlookup(F94,DATABASE!C:Q,10,false)*G94)</f>
        <v>0</v>
      </c>
      <c r="L94" s="74">
        <f>VLOOKUP(F94,DATABASE!C:Q,7,FALSE)</f>
        <v>1980000</v>
      </c>
      <c r="M94" s="140">
        <v>1950000.0</v>
      </c>
      <c r="N94" s="74">
        <f t="shared" si="2"/>
        <v>1950000</v>
      </c>
      <c r="O94" s="74">
        <f t="shared" si="3"/>
        <v>2050000</v>
      </c>
      <c r="P94" s="63">
        <f t="shared" si="4"/>
        <v>1950000</v>
      </c>
      <c r="Q94" s="63">
        <f t="shared" si="5"/>
        <v>0</v>
      </c>
      <c r="R94" s="93" t="str">
        <f>VLOOKUP(F94,DATABASE!C:Q,4,false)</f>
        <v>Advance</v>
      </c>
      <c r="S94" s="93" t="str">
        <f>VLOOKUP(F94,DATABASE!C:P,11,false)</f>
        <v>Tire</v>
      </c>
      <c r="T94" s="93" t="str">
        <f>vlookup(F94,DATABASE!C:Q,8,false)</f>
        <v>BIAN</v>
      </c>
      <c r="Y94" s="81"/>
      <c r="Z94" s="9"/>
    </row>
    <row r="95" ht="22.5" customHeight="1">
      <c r="A95" s="49"/>
      <c r="C95" s="384">
        <v>45708.0</v>
      </c>
      <c r="D95" s="93">
        <v>45708.0</v>
      </c>
      <c r="E95" s="65" t="s">
        <v>267</v>
      </c>
      <c r="F95" s="74" t="s">
        <v>374</v>
      </c>
      <c r="G95" s="386">
        <v>4.0</v>
      </c>
      <c r="H95" s="74">
        <v>2050000.0</v>
      </c>
      <c r="I95" s="74">
        <v>1950000.0</v>
      </c>
      <c r="J95" s="60">
        <f t="shared" si="1"/>
        <v>45738</v>
      </c>
      <c r="K95" s="74">
        <f>if(F95="SERVICE",O95-(O95*50%),Vlookup(F95,DATABASE!C:Q,10,false)*G95)</f>
        <v>0</v>
      </c>
      <c r="L95" s="74">
        <f>VLOOKUP(F95,DATABASE!C:Q,7,FALSE)</f>
        <v>1980000</v>
      </c>
      <c r="M95" s="140">
        <v>1950000.0</v>
      </c>
      <c r="N95" s="74">
        <f t="shared" si="2"/>
        <v>1950000</v>
      </c>
      <c r="O95" s="74">
        <f t="shared" si="3"/>
        <v>8200000</v>
      </c>
      <c r="P95" s="63">
        <f t="shared" si="4"/>
        <v>7800000</v>
      </c>
      <c r="Q95" s="63">
        <f t="shared" si="5"/>
        <v>0</v>
      </c>
      <c r="R95" s="93" t="str">
        <f>VLOOKUP(F95,DATABASE!C:Q,4,false)</f>
        <v>Advance</v>
      </c>
      <c r="S95" s="93" t="str">
        <f>VLOOKUP(F95,DATABASE!C:P,11,false)</f>
        <v>Tire</v>
      </c>
      <c r="T95" s="93" t="str">
        <f>vlookup(F95,DATABASE!C:Q,8,false)</f>
        <v>BIAN</v>
      </c>
      <c r="Y95" s="81"/>
      <c r="Z95" s="9"/>
    </row>
    <row r="96" ht="22.5" customHeight="1">
      <c r="A96" s="49"/>
      <c r="C96" s="384">
        <v>45708.0</v>
      </c>
      <c r="D96" s="93">
        <v>45708.0</v>
      </c>
      <c r="E96" s="93" t="s">
        <v>775</v>
      </c>
      <c r="F96" s="74" t="s">
        <v>374</v>
      </c>
      <c r="G96" s="386">
        <v>8.0</v>
      </c>
      <c r="H96" s="74">
        <v>2050000.0</v>
      </c>
      <c r="I96" s="74">
        <v>1950000.0</v>
      </c>
      <c r="J96" s="60">
        <f t="shared" si="1"/>
        <v>45738</v>
      </c>
      <c r="K96" s="74">
        <f>if(F96="SERVICE",O96-(O96*50%),Vlookup(F96,DATABASE!C:Q,10,false)*G96)</f>
        <v>0</v>
      </c>
      <c r="L96" s="74">
        <f>VLOOKUP(F96,DATABASE!C:Q,7,FALSE)</f>
        <v>1980000</v>
      </c>
      <c r="M96" s="140">
        <v>1950000.0</v>
      </c>
      <c r="N96" s="140">
        <v>1850000.0</v>
      </c>
      <c r="O96" s="74">
        <f t="shared" si="3"/>
        <v>16400000</v>
      </c>
      <c r="P96" s="63">
        <f t="shared" si="4"/>
        <v>15600000</v>
      </c>
      <c r="Q96" s="63">
        <f t="shared" si="5"/>
        <v>800000</v>
      </c>
      <c r="R96" s="93" t="str">
        <f>VLOOKUP(F96,DATABASE!C:Q,4,false)</f>
        <v>Advance</v>
      </c>
      <c r="S96" s="93" t="str">
        <f>VLOOKUP(F96,DATABASE!C:P,11,false)</f>
        <v>Tire</v>
      </c>
      <c r="T96" s="93" t="str">
        <f>vlookup(F96,DATABASE!C:Q,8,false)</f>
        <v>BIAN</v>
      </c>
      <c r="Y96" s="81"/>
      <c r="Z96" s="9"/>
    </row>
    <row r="97" ht="22.5" customHeight="1">
      <c r="A97" s="49"/>
      <c r="C97" s="384">
        <v>45708.0</v>
      </c>
      <c r="D97" s="93">
        <v>45708.0</v>
      </c>
      <c r="E97" s="93" t="s">
        <v>775</v>
      </c>
      <c r="F97" s="74" t="s">
        <v>897</v>
      </c>
      <c r="G97" s="386">
        <v>2.0</v>
      </c>
      <c r="H97" s="74">
        <v>1600000.0</v>
      </c>
      <c r="I97" s="74">
        <v>1600000.0</v>
      </c>
      <c r="J97" s="60">
        <f t="shared" si="1"/>
        <v>45738</v>
      </c>
      <c r="K97" s="74">
        <f>if(F97="SERVICE",O97-(O97*50%),Vlookup(F97,DATABASE!C:Q,10,false)*G97)</f>
        <v>0</v>
      </c>
      <c r="L97" s="74">
        <f>VLOOKUP(F97,DATABASE!C:Q,7,FALSE)</f>
        <v>1560000</v>
      </c>
      <c r="M97" s="74">
        <v>1500000.0</v>
      </c>
      <c r="N97" s="74">
        <f t="shared" ref="N97:N98" si="6">CEILING(M97, 5000)</f>
        <v>1500000</v>
      </c>
      <c r="O97" s="74">
        <f t="shared" si="3"/>
        <v>3200000</v>
      </c>
      <c r="P97" s="63">
        <f t="shared" si="4"/>
        <v>3200000</v>
      </c>
      <c r="Q97" s="63">
        <f t="shared" si="5"/>
        <v>200000</v>
      </c>
      <c r="R97" s="93" t="str">
        <f>VLOOKUP(F97,DATABASE!C:Q,4,false)</f>
        <v>GT</v>
      </c>
      <c r="S97" s="93" t="str">
        <f>VLOOKUP(F97,DATABASE!C:P,11,false)</f>
        <v>Tire</v>
      </c>
      <c r="T97" s="93" t="str">
        <f>vlookup(F97,DATABASE!C:Q,8,false)</f>
        <v>BIAN</v>
      </c>
      <c r="Y97" s="81"/>
      <c r="Z97" s="9"/>
    </row>
    <row r="98" ht="22.5" customHeight="1">
      <c r="A98" s="49"/>
      <c r="C98" s="384">
        <v>45709.0</v>
      </c>
      <c r="D98" s="93">
        <v>45709.0</v>
      </c>
      <c r="E98" s="93" t="s">
        <v>422</v>
      </c>
      <c r="F98" s="74" t="s">
        <v>566</v>
      </c>
      <c r="G98" s="386">
        <v>1.0</v>
      </c>
      <c r="H98" s="74">
        <v>1710000.0</v>
      </c>
      <c r="I98" s="74">
        <v>1685000.0</v>
      </c>
      <c r="J98" s="60">
        <f t="shared" si="1"/>
        <v>45739</v>
      </c>
      <c r="K98" s="74">
        <f>if(F98="SERVICE",O98-(O98*50%),Vlookup(F98,DATABASE!C:Q,10,false)*G98)</f>
        <v>0</v>
      </c>
      <c r="L98" s="74">
        <f>VLOOKUP(F98,DATABASE!C:Q,7,FALSE)</f>
        <v>1565000</v>
      </c>
      <c r="M98" s="140">
        <v>1570000.0</v>
      </c>
      <c r="N98" s="74">
        <f t="shared" si="6"/>
        <v>1570000</v>
      </c>
      <c r="O98" s="74">
        <f t="shared" si="3"/>
        <v>1710000</v>
      </c>
      <c r="P98" s="63">
        <f t="shared" si="4"/>
        <v>1685000</v>
      </c>
      <c r="Q98" s="63">
        <f t="shared" si="5"/>
        <v>115000</v>
      </c>
      <c r="R98" s="93" t="str">
        <f>VLOOKUP(F98,DATABASE!C:Q,4,false)</f>
        <v>Bridgestone</v>
      </c>
      <c r="S98" s="93" t="str">
        <f>VLOOKUP(F98,DATABASE!C:P,11,false)</f>
        <v>Tire</v>
      </c>
      <c r="T98" s="93" t="str">
        <f>vlookup(F98,DATABASE!C:Q,8,false)</f>
        <v>IBU</v>
      </c>
      <c r="Y98" s="81"/>
      <c r="Z98" s="9"/>
    </row>
    <row r="99" ht="22.5" customHeight="1">
      <c r="A99" s="49"/>
      <c r="C99" s="384">
        <v>45709.0</v>
      </c>
      <c r="D99" s="93">
        <v>45709.0</v>
      </c>
      <c r="E99" s="93" t="s">
        <v>595</v>
      </c>
      <c r="F99" s="74" t="s">
        <v>374</v>
      </c>
      <c r="G99" s="386">
        <v>2.0</v>
      </c>
      <c r="H99" s="74">
        <v>2050000.0</v>
      </c>
      <c r="I99" s="74">
        <v>1950000.0</v>
      </c>
      <c r="J99" s="60">
        <f t="shared" si="1"/>
        <v>45739</v>
      </c>
      <c r="K99" s="74">
        <f>if(F99="SERVICE",O99-(O99*50%),Vlookup(F99,DATABASE!C:Q,10,false)*G99)</f>
        <v>0</v>
      </c>
      <c r="L99" s="74">
        <f>VLOOKUP(F99,DATABASE!C:Q,7,FALSE)</f>
        <v>1980000</v>
      </c>
      <c r="M99" s="140">
        <v>1850000.0</v>
      </c>
      <c r="N99" s="140">
        <v>1850000.0</v>
      </c>
      <c r="O99" s="74">
        <f t="shared" si="3"/>
        <v>4100000</v>
      </c>
      <c r="P99" s="63">
        <f t="shared" si="4"/>
        <v>3900000</v>
      </c>
      <c r="Q99" s="63">
        <f t="shared" si="5"/>
        <v>200000</v>
      </c>
      <c r="R99" s="93" t="str">
        <f>VLOOKUP(F99,DATABASE!C:Q,4,false)</f>
        <v>Advance</v>
      </c>
      <c r="S99" s="93" t="str">
        <f>VLOOKUP(F99,DATABASE!C:P,11,false)</f>
        <v>Tire</v>
      </c>
      <c r="T99" s="93" t="str">
        <f>vlookup(F99,DATABASE!C:Q,8,false)</f>
        <v>BIAN</v>
      </c>
      <c r="Y99" s="81"/>
      <c r="Z99" s="9"/>
    </row>
    <row r="100" ht="22.5" customHeight="1">
      <c r="A100" s="49"/>
      <c r="C100" s="384">
        <v>45710.0</v>
      </c>
      <c r="D100" s="93">
        <v>45710.0</v>
      </c>
      <c r="E100" s="93" t="s">
        <v>735</v>
      </c>
      <c r="F100" s="74" t="s">
        <v>391</v>
      </c>
      <c r="G100" s="386">
        <v>2.0</v>
      </c>
      <c r="H100" s="74">
        <v>1950000.0</v>
      </c>
      <c r="I100" s="74">
        <v>1950000.0</v>
      </c>
      <c r="J100" s="60">
        <f t="shared" si="1"/>
        <v>45740</v>
      </c>
      <c r="K100" s="74">
        <f>if(F100="SERVICE",O100-(O100*50%),Vlookup(F100,DATABASE!C:Q,10,false)*G100)</f>
        <v>0</v>
      </c>
      <c r="L100" s="74">
        <f>VLOOKUP(F100,DATABASE!C:Q,7,FALSE)</f>
        <v>1885000</v>
      </c>
      <c r="M100" s="74">
        <v>1840000.0</v>
      </c>
      <c r="N100" s="74">
        <f t="shared" ref="N100:N109" si="7">CEILING(M100, 5000)</f>
        <v>1840000</v>
      </c>
      <c r="O100" s="74">
        <f t="shared" si="3"/>
        <v>3900000</v>
      </c>
      <c r="P100" s="63">
        <f t="shared" si="4"/>
        <v>3900000</v>
      </c>
      <c r="Q100" s="63">
        <f t="shared" si="5"/>
        <v>220000</v>
      </c>
      <c r="R100" s="93" t="str">
        <f>VLOOKUP(F100,DATABASE!C:Q,4,false)</f>
        <v>Advance</v>
      </c>
      <c r="S100" s="93" t="str">
        <f>VLOOKUP(F100,DATABASE!C:P,11,false)</f>
        <v>Tire</v>
      </c>
      <c r="T100" s="93" t="str">
        <f>vlookup(F100,DATABASE!C:Q,8,false)</f>
        <v>BIAN</v>
      </c>
      <c r="Y100" s="81"/>
      <c r="Z100" s="9"/>
    </row>
    <row r="101" ht="22.5" customHeight="1">
      <c r="A101" s="49"/>
      <c r="C101" s="384">
        <v>45710.0</v>
      </c>
      <c r="D101" s="93">
        <v>45710.0</v>
      </c>
      <c r="E101" s="93" t="s">
        <v>747</v>
      </c>
      <c r="F101" s="74" t="s">
        <v>391</v>
      </c>
      <c r="G101" s="386">
        <v>5.0</v>
      </c>
      <c r="H101" s="74">
        <v>1950000.0</v>
      </c>
      <c r="I101" s="140">
        <v>2200000.0</v>
      </c>
      <c r="J101" s="60">
        <f t="shared" si="1"/>
        <v>45740</v>
      </c>
      <c r="K101" s="74">
        <f>if(F101="SERVICE",O101-(O101*50%),Vlookup(F101,DATABASE!C:Q,10,false)*G101)</f>
        <v>0</v>
      </c>
      <c r="L101" s="74">
        <f>VLOOKUP(F101,DATABASE!C:Q,7,FALSE)</f>
        <v>1885000</v>
      </c>
      <c r="M101" s="74">
        <v>1840000.0</v>
      </c>
      <c r="N101" s="74">
        <f t="shared" si="7"/>
        <v>1840000</v>
      </c>
      <c r="O101" s="74">
        <f t="shared" si="3"/>
        <v>9750000</v>
      </c>
      <c r="P101" s="63">
        <f t="shared" si="4"/>
        <v>11000000</v>
      </c>
      <c r="Q101" s="63">
        <f t="shared" si="5"/>
        <v>1800000</v>
      </c>
      <c r="R101" s="93" t="str">
        <f>VLOOKUP(F101,DATABASE!C:Q,4,false)</f>
        <v>Advance</v>
      </c>
      <c r="S101" s="93" t="str">
        <f>VLOOKUP(F101,DATABASE!C:P,11,false)</f>
        <v>Tire</v>
      </c>
      <c r="T101" s="93" t="str">
        <f>vlookup(F101,DATABASE!C:Q,8,false)</f>
        <v>BIAN</v>
      </c>
      <c r="Y101" s="81"/>
      <c r="Z101" s="9"/>
    </row>
    <row r="102" ht="22.5" customHeight="1">
      <c r="A102" s="49"/>
      <c r="C102" s="384">
        <v>45710.0</v>
      </c>
      <c r="D102" s="93">
        <v>45710.0</v>
      </c>
      <c r="E102" s="93" t="s">
        <v>747</v>
      </c>
      <c r="F102" s="74" t="s">
        <v>1002</v>
      </c>
      <c r="G102" s="386">
        <v>1.0</v>
      </c>
      <c r="H102" s="74">
        <v>1547000.0</v>
      </c>
      <c r="I102" s="140">
        <v>1630000.0</v>
      </c>
      <c r="J102" s="60">
        <f t="shared" si="1"/>
        <v>45740</v>
      </c>
      <c r="K102" s="74">
        <f>if(F102="SERVICE",O102-(O102*50%),Vlookup(F102,DATABASE!C:Q,10,false)*G102)</f>
        <v>0</v>
      </c>
      <c r="L102" s="74">
        <f>VLOOKUP(F102,DATABASE!C:Q,7,FALSE)</f>
        <v>1447000</v>
      </c>
      <c r="M102" s="74">
        <v>1447000.0</v>
      </c>
      <c r="N102" s="74">
        <f t="shared" si="7"/>
        <v>1450000</v>
      </c>
      <c r="O102" s="74">
        <f t="shared" si="3"/>
        <v>1547000</v>
      </c>
      <c r="P102" s="63">
        <f t="shared" si="4"/>
        <v>1630000</v>
      </c>
      <c r="Q102" s="63">
        <f t="shared" si="5"/>
        <v>180000</v>
      </c>
      <c r="R102" s="93" t="str">
        <f>VLOOKUP(F102,DATABASE!C:Q,4,false)</f>
        <v>Dunlop</v>
      </c>
      <c r="S102" s="93" t="str">
        <f>VLOOKUP(F102,DATABASE!C:P,11,false)</f>
        <v>Tire</v>
      </c>
      <c r="T102" s="93" t="str">
        <f>vlookup(F102,DATABASE!C:Q,8,false)</f>
        <v>IBU</v>
      </c>
      <c r="Y102" s="81"/>
      <c r="Z102" s="9"/>
    </row>
    <row r="103" ht="22.5" customHeight="1">
      <c r="A103" s="49"/>
      <c r="C103" s="384">
        <v>45710.0</v>
      </c>
      <c r="D103" s="93">
        <v>45710.0</v>
      </c>
      <c r="E103" s="93" t="s">
        <v>747</v>
      </c>
      <c r="F103" s="74" t="s">
        <v>744</v>
      </c>
      <c r="G103" s="386">
        <v>1.0</v>
      </c>
      <c r="H103" s="74">
        <v>240000.0</v>
      </c>
      <c r="I103" s="140">
        <v>250000.0</v>
      </c>
      <c r="J103" s="60">
        <f t="shared" si="1"/>
        <v>45740</v>
      </c>
      <c r="K103" s="74">
        <f>if(F103="SERVICE",O103-(O103*50%),Vlookup(F103,DATABASE!C:Q,10,false)*G103)</f>
        <v>0</v>
      </c>
      <c r="L103" s="74">
        <f>VLOOKUP(F103,DATABASE!C:Q,7,FALSE)</f>
        <v>182200</v>
      </c>
      <c r="M103" s="74">
        <v>199920.0</v>
      </c>
      <c r="N103" s="74">
        <f t="shared" si="7"/>
        <v>200000</v>
      </c>
      <c r="O103" s="74">
        <f t="shared" si="3"/>
        <v>240000</v>
      </c>
      <c r="P103" s="63">
        <f t="shared" si="4"/>
        <v>250000</v>
      </c>
      <c r="Q103" s="63">
        <f t="shared" si="5"/>
        <v>50000</v>
      </c>
      <c r="R103" s="93" t="str">
        <f>VLOOKUP(F103,DATABASE!C:Q,4,false)</f>
        <v>BD</v>
      </c>
      <c r="S103" s="93" t="str">
        <f>VLOOKUP(F103,DATABASE!C:P,11,false)</f>
        <v>Tire</v>
      </c>
      <c r="T103" s="93" t="str">
        <f>vlookup(F103,DATABASE!C:Q,8,false)</f>
        <v>BIAN</v>
      </c>
      <c r="Y103" s="81"/>
      <c r="Z103" s="9"/>
    </row>
    <row r="104" ht="22.5" customHeight="1">
      <c r="A104" s="49"/>
      <c r="C104" s="384">
        <v>45710.0</v>
      </c>
      <c r="D104" s="93">
        <v>45710.0</v>
      </c>
      <c r="E104" s="93" t="s">
        <v>747</v>
      </c>
      <c r="F104" s="74" t="s">
        <v>821</v>
      </c>
      <c r="G104" s="386">
        <v>1.0</v>
      </c>
      <c r="H104" s="74">
        <v>65000.0</v>
      </c>
      <c r="I104" s="140">
        <v>90000.0</v>
      </c>
      <c r="J104" s="60">
        <f t="shared" si="1"/>
        <v>45740</v>
      </c>
      <c r="K104" s="74">
        <f>if(F104="SERVICE",O104-(O104*50%),Vlookup(F104,DATABASE!C:Q,10,false)*G104)</f>
        <v>0</v>
      </c>
      <c r="L104" s="74">
        <f>VLOOKUP(F104,DATABASE!C:Q,7,FALSE)</f>
        <v>43500</v>
      </c>
      <c r="M104" s="74">
        <v>43520.0</v>
      </c>
      <c r="N104" s="74">
        <f t="shared" si="7"/>
        <v>45000</v>
      </c>
      <c r="O104" s="74">
        <f t="shared" si="3"/>
        <v>65000</v>
      </c>
      <c r="P104" s="63">
        <f t="shared" si="4"/>
        <v>90000</v>
      </c>
      <c r="Q104" s="63">
        <f t="shared" si="5"/>
        <v>45000</v>
      </c>
      <c r="R104" s="93" t="str">
        <f>VLOOKUP(F104,DATABASE!C:Q,4,false)</f>
        <v>Flap</v>
      </c>
      <c r="S104" s="93" t="str">
        <f>VLOOKUP(F104,DATABASE!C:P,11,false)</f>
        <v>Tire</v>
      </c>
      <c r="T104" s="93" t="str">
        <f>vlookup(F104,DATABASE!C:Q,8,false)</f>
        <v>BIAN</v>
      </c>
      <c r="Y104" s="81"/>
      <c r="Z104" s="9"/>
    </row>
    <row r="105" ht="22.5" customHeight="1">
      <c r="A105" s="49"/>
      <c r="C105" s="384">
        <v>45710.0</v>
      </c>
      <c r="D105" s="93">
        <v>45710.0</v>
      </c>
      <c r="E105" s="93" t="s">
        <v>465</v>
      </c>
      <c r="F105" s="74" t="s">
        <v>566</v>
      </c>
      <c r="G105" s="386">
        <v>1.0</v>
      </c>
      <c r="H105" s="74">
        <v>1710000.0</v>
      </c>
      <c r="I105" s="74">
        <v>1670000.0</v>
      </c>
      <c r="J105" s="60">
        <f t="shared" si="1"/>
        <v>45740</v>
      </c>
      <c r="K105" s="74">
        <f>if(F105="SERVICE",O105-(O105*50%),Vlookup(F105,DATABASE!C:Q,10,false)*G105)</f>
        <v>0</v>
      </c>
      <c r="L105" s="74">
        <f>VLOOKUP(F105,DATABASE!C:Q,7,FALSE)</f>
        <v>1565000</v>
      </c>
      <c r="M105" s="140">
        <v>1570000.0</v>
      </c>
      <c r="N105" s="74">
        <f t="shared" si="7"/>
        <v>1570000</v>
      </c>
      <c r="O105" s="74">
        <f t="shared" si="3"/>
        <v>1710000</v>
      </c>
      <c r="P105" s="63">
        <f t="shared" si="4"/>
        <v>1670000</v>
      </c>
      <c r="Q105" s="63">
        <f t="shared" si="5"/>
        <v>100000</v>
      </c>
      <c r="R105" s="93" t="str">
        <f>VLOOKUP(F105,DATABASE!C:Q,4,false)</f>
        <v>Bridgestone</v>
      </c>
      <c r="S105" s="93" t="str">
        <f>VLOOKUP(F105,DATABASE!C:P,11,false)</f>
        <v>Tire</v>
      </c>
      <c r="T105" s="93" t="str">
        <f>vlookup(F105,DATABASE!C:Q,8,false)</f>
        <v>IBU</v>
      </c>
      <c r="Y105" s="81"/>
      <c r="Z105" s="9"/>
    </row>
    <row r="106" ht="22.5" customHeight="1">
      <c r="A106" s="49"/>
      <c r="C106" s="384">
        <v>45710.0</v>
      </c>
      <c r="D106" s="93">
        <v>45710.0</v>
      </c>
      <c r="E106" s="93" t="s">
        <v>465</v>
      </c>
      <c r="F106" s="74" t="s">
        <v>744</v>
      </c>
      <c r="G106" s="386">
        <v>1.0</v>
      </c>
      <c r="H106" s="74">
        <v>240000.0</v>
      </c>
      <c r="I106" s="74">
        <v>230000.0</v>
      </c>
      <c r="J106" s="60">
        <f t="shared" si="1"/>
        <v>45740</v>
      </c>
      <c r="K106" s="74">
        <f>if(F106="SERVICE",O106-(O106*50%),Vlookup(F106,DATABASE!C:Q,10,false)*G106)</f>
        <v>0</v>
      </c>
      <c r="L106" s="74">
        <f>VLOOKUP(F106,DATABASE!C:Q,7,FALSE)</f>
        <v>182200</v>
      </c>
      <c r="M106" s="74">
        <v>199920.0</v>
      </c>
      <c r="N106" s="74">
        <f t="shared" si="7"/>
        <v>200000</v>
      </c>
      <c r="O106" s="74">
        <f t="shared" si="3"/>
        <v>240000</v>
      </c>
      <c r="P106" s="63">
        <f t="shared" si="4"/>
        <v>230000</v>
      </c>
      <c r="Q106" s="63">
        <f t="shared" si="5"/>
        <v>30000</v>
      </c>
      <c r="R106" s="93" t="str">
        <f>VLOOKUP(F106,DATABASE!C:Q,4,false)</f>
        <v>BD</v>
      </c>
      <c r="S106" s="93" t="str">
        <f>VLOOKUP(F106,DATABASE!C:P,11,false)</f>
        <v>Tire</v>
      </c>
      <c r="T106" s="93" t="str">
        <f>vlookup(F106,DATABASE!C:Q,8,false)</f>
        <v>BIAN</v>
      </c>
      <c r="Y106" s="81"/>
      <c r="Z106" s="9"/>
    </row>
    <row r="107" ht="22.5" customHeight="1">
      <c r="A107" s="49"/>
      <c r="C107" s="384">
        <v>45710.0</v>
      </c>
      <c r="D107" s="93">
        <v>45710.0</v>
      </c>
      <c r="E107" s="93" t="s">
        <v>465</v>
      </c>
      <c r="F107" s="74" t="s">
        <v>821</v>
      </c>
      <c r="G107" s="386">
        <v>1.0</v>
      </c>
      <c r="H107" s="74">
        <v>65000.0</v>
      </c>
      <c r="I107" s="74">
        <v>80000.0</v>
      </c>
      <c r="J107" s="60">
        <f t="shared" si="1"/>
        <v>45740</v>
      </c>
      <c r="K107" s="74">
        <f>if(F107="SERVICE",O107-(O107*50%),Vlookup(F107,DATABASE!C:Q,10,false)*G107)</f>
        <v>0</v>
      </c>
      <c r="L107" s="74">
        <f>VLOOKUP(F107,DATABASE!C:Q,7,FALSE)</f>
        <v>43500</v>
      </c>
      <c r="M107" s="74">
        <v>43520.0</v>
      </c>
      <c r="N107" s="74">
        <f t="shared" si="7"/>
        <v>45000</v>
      </c>
      <c r="O107" s="74">
        <f t="shared" si="3"/>
        <v>65000</v>
      </c>
      <c r="P107" s="63">
        <f t="shared" si="4"/>
        <v>80000</v>
      </c>
      <c r="Q107" s="63">
        <f t="shared" si="5"/>
        <v>35000</v>
      </c>
      <c r="R107" s="93" t="str">
        <f>VLOOKUP(F107,DATABASE!C:Q,4,false)</f>
        <v>Flap</v>
      </c>
      <c r="S107" s="93" t="str">
        <f>VLOOKUP(F107,DATABASE!C:P,11,false)</f>
        <v>Tire</v>
      </c>
      <c r="T107" s="93" t="str">
        <f>vlookup(F107,DATABASE!C:Q,8,false)</f>
        <v>BIAN</v>
      </c>
      <c r="Y107" s="81"/>
      <c r="Z107" s="9"/>
    </row>
    <row r="108" ht="22.5" customHeight="1">
      <c r="A108" s="49"/>
      <c r="C108" s="384">
        <v>45712.0</v>
      </c>
      <c r="D108" s="93">
        <v>45712.0</v>
      </c>
      <c r="E108" s="93" t="s">
        <v>935</v>
      </c>
      <c r="F108" s="74" t="s">
        <v>836</v>
      </c>
      <c r="G108" s="386">
        <v>2.0</v>
      </c>
      <c r="H108" s="74">
        <v>398000.0</v>
      </c>
      <c r="I108" s="74">
        <v>380000.0</v>
      </c>
      <c r="J108" s="60">
        <f t="shared" si="1"/>
        <v>45742</v>
      </c>
      <c r="K108" s="74">
        <f>if(F108="SERVICE",O108-(O108*50%),Vlookup(F108,DATABASE!C:Q,10,false)*G108)</f>
        <v>0</v>
      </c>
      <c r="L108" s="74">
        <f>VLOOKUP(F108,DATABASE!C:Q,7,FALSE)</f>
        <v>348000</v>
      </c>
      <c r="M108" s="74">
        <v>348000.0</v>
      </c>
      <c r="N108" s="74">
        <f t="shared" si="7"/>
        <v>350000</v>
      </c>
      <c r="O108" s="74">
        <f t="shared" si="3"/>
        <v>796000</v>
      </c>
      <c r="P108" s="63">
        <f t="shared" si="4"/>
        <v>760000</v>
      </c>
      <c r="Q108" s="63">
        <f t="shared" si="5"/>
        <v>60000</v>
      </c>
      <c r="R108" s="93" t="str">
        <f>VLOOKUP(F108,DATABASE!C:Q,4,false)</f>
        <v>BD</v>
      </c>
      <c r="S108" s="93" t="str">
        <f>VLOOKUP(F108,DATABASE!C:P,11,false)</f>
        <v>Tire</v>
      </c>
      <c r="T108" s="93" t="str">
        <f>vlookup(F108,DATABASE!C:Q,8,false)</f>
        <v>BIAN</v>
      </c>
      <c r="Y108" s="81"/>
      <c r="Z108" s="9"/>
    </row>
    <row r="109" ht="22.5" customHeight="1">
      <c r="A109" s="49"/>
      <c r="C109" s="384">
        <v>45712.0</v>
      </c>
      <c r="D109" s="93">
        <v>45712.0</v>
      </c>
      <c r="E109" s="93" t="s">
        <v>935</v>
      </c>
      <c r="F109" s="74" t="s">
        <v>1766</v>
      </c>
      <c r="G109" s="386">
        <v>2.0</v>
      </c>
      <c r="H109" s="74">
        <v>120000.0</v>
      </c>
      <c r="I109" s="74">
        <v>140000.0</v>
      </c>
      <c r="J109" s="60">
        <f t="shared" si="1"/>
        <v>45742</v>
      </c>
      <c r="K109" s="74">
        <f>if(F109="SERVICE",O109-(O109*50%),Vlookup(F109,DATABASE!C:Q,10,false)*G109)</f>
        <v>0</v>
      </c>
      <c r="L109" s="74">
        <f>VLOOKUP(F109,DATABASE!C:Q,7,FALSE)</f>
        <v>91500</v>
      </c>
      <c r="M109" s="74">
        <v>91500.0</v>
      </c>
      <c r="N109" s="74">
        <f t="shared" si="7"/>
        <v>95000</v>
      </c>
      <c r="O109" s="74">
        <f t="shared" si="3"/>
        <v>240000</v>
      </c>
      <c r="P109" s="63">
        <f t="shared" si="4"/>
        <v>280000</v>
      </c>
      <c r="Q109" s="63">
        <f t="shared" si="5"/>
        <v>90000</v>
      </c>
      <c r="R109" s="93" t="str">
        <f>VLOOKUP(F109,DATABASE!C:Q,4,false)</f>
        <v>Flap</v>
      </c>
      <c r="S109" s="93" t="str">
        <f>VLOOKUP(F109,DATABASE!C:P,11,false)</f>
        <v>Tire</v>
      </c>
      <c r="T109" s="93" t="str">
        <f>vlookup(F109,DATABASE!C:Q,8,false)</f>
        <v>BIAN</v>
      </c>
      <c r="Y109" s="81"/>
      <c r="Z109" s="9"/>
    </row>
    <row r="110" ht="22.5" customHeight="1">
      <c r="A110" s="49"/>
      <c r="C110" s="384">
        <v>45714.0</v>
      </c>
      <c r="D110" s="93">
        <v>45714.0</v>
      </c>
      <c r="E110" s="93" t="s">
        <v>264</v>
      </c>
      <c r="F110" s="74" t="s">
        <v>374</v>
      </c>
      <c r="G110" s="386">
        <v>4.0</v>
      </c>
      <c r="H110" s="74">
        <v>2050000.0</v>
      </c>
      <c r="I110" s="74">
        <v>1950000.0</v>
      </c>
      <c r="J110" s="60">
        <f t="shared" si="1"/>
        <v>45744</v>
      </c>
      <c r="K110" s="74">
        <f>if(F110="SERVICE",O110-(O110*50%),Vlookup(F110,DATABASE!C:Q,10,false)*G110)</f>
        <v>0</v>
      </c>
      <c r="L110" s="74">
        <f>VLOOKUP(F110,DATABASE!C:Q,7,FALSE)</f>
        <v>1980000</v>
      </c>
      <c r="M110" s="140">
        <v>1950000.0</v>
      </c>
      <c r="N110" s="74">
        <v>1850000.0</v>
      </c>
      <c r="O110" s="74">
        <f t="shared" si="3"/>
        <v>8200000</v>
      </c>
      <c r="P110" s="63">
        <f t="shared" si="4"/>
        <v>7800000</v>
      </c>
      <c r="Q110" s="63">
        <f t="shared" si="5"/>
        <v>400000</v>
      </c>
      <c r="R110" s="93" t="str">
        <f>VLOOKUP(F110,DATABASE!C:Q,4,false)</f>
        <v>Advance</v>
      </c>
      <c r="S110" s="93" t="str">
        <f>VLOOKUP(F110,DATABASE!C:P,11,false)</f>
        <v>Tire</v>
      </c>
      <c r="T110" s="93" t="str">
        <f>vlookup(F110,DATABASE!C:Q,8,false)</f>
        <v>BIAN</v>
      </c>
      <c r="Y110" s="81"/>
      <c r="Z110" s="9"/>
    </row>
    <row r="111" ht="22.5" customHeight="1">
      <c r="A111" s="49"/>
      <c r="C111" s="384">
        <v>45715.0</v>
      </c>
      <c r="D111" s="93">
        <v>45715.0</v>
      </c>
      <c r="E111" s="93" t="s">
        <v>573</v>
      </c>
      <c r="F111" s="74" t="s">
        <v>924</v>
      </c>
      <c r="G111" s="386">
        <v>2.0</v>
      </c>
      <c r="H111" s="74">
        <v>1700000.0</v>
      </c>
      <c r="I111" s="74">
        <v>1800000.0</v>
      </c>
      <c r="J111" s="60">
        <f t="shared" si="1"/>
        <v>45745</v>
      </c>
      <c r="K111" s="74">
        <f>if(F111="SERVICE",O111-(O111*50%),Vlookup(F111,DATABASE!C:Q,10,false)*G111)</f>
        <v>0</v>
      </c>
      <c r="L111" s="74">
        <f>VLOOKUP(F111,DATABASE!C:Q,7,FALSE)</f>
        <v>1560000</v>
      </c>
      <c r="M111" s="74">
        <v>1545000.0</v>
      </c>
      <c r="N111" s="74">
        <f t="shared" ref="N111:N789" si="8">CEILING(M111, 5000)</f>
        <v>1545000</v>
      </c>
      <c r="O111" s="74">
        <f t="shared" si="3"/>
        <v>3400000</v>
      </c>
      <c r="P111" s="63">
        <f t="shared" si="4"/>
        <v>3600000</v>
      </c>
      <c r="Q111" s="63">
        <f t="shared" si="5"/>
        <v>510000</v>
      </c>
      <c r="R111" s="93" t="str">
        <f>VLOOKUP(F111,DATABASE!C:Q,4,false)</f>
        <v>TIRON</v>
      </c>
      <c r="S111" s="93" t="str">
        <f>VLOOKUP(F111,DATABASE!C:P,11,false)</f>
        <v>Tire</v>
      </c>
      <c r="T111" s="93" t="str">
        <f>vlookup(F111,DATABASE!C:Q,8,false)</f>
        <v>BIAN</v>
      </c>
      <c r="Y111" s="81"/>
      <c r="Z111" s="9"/>
    </row>
    <row r="112" ht="22.5" customHeight="1">
      <c r="A112" s="49"/>
      <c r="C112" s="384">
        <v>45716.0</v>
      </c>
      <c r="D112" s="93">
        <v>45716.0</v>
      </c>
      <c r="E112" s="93" t="s">
        <v>583</v>
      </c>
      <c r="F112" s="74" t="s">
        <v>566</v>
      </c>
      <c r="G112" s="386">
        <v>1.0</v>
      </c>
      <c r="H112" s="74">
        <v>1710000.0</v>
      </c>
      <c r="I112" s="74">
        <v>1670000.0</v>
      </c>
      <c r="J112" s="60">
        <f t="shared" si="1"/>
        <v>45746</v>
      </c>
      <c r="K112" s="74">
        <f>if(F112="SERVICE",O112-(O112*50%),Vlookup(F112,DATABASE!C:Q,10,false)*G112)</f>
        <v>0</v>
      </c>
      <c r="L112" s="74">
        <f>VLOOKUP(F112,DATABASE!C:Q,7,FALSE)</f>
        <v>1565000</v>
      </c>
      <c r="M112" s="140">
        <v>1570000.0</v>
      </c>
      <c r="N112" s="74">
        <f t="shared" si="8"/>
        <v>1570000</v>
      </c>
      <c r="O112" s="74">
        <f t="shared" si="3"/>
        <v>1710000</v>
      </c>
      <c r="P112" s="63">
        <f t="shared" si="4"/>
        <v>1670000</v>
      </c>
      <c r="Q112" s="63">
        <f t="shared" si="5"/>
        <v>100000</v>
      </c>
      <c r="R112" s="93" t="str">
        <f>VLOOKUP(F112,DATABASE!C:Q,4,false)</f>
        <v>Bridgestone</v>
      </c>
      <c r="S112" s="93" t="str">
        <f>VLOOKUP(F112,DATABASE!C:P,11,false)</f>
        <v>Tire</v>
      </c>
      <c r="T112" s="93" t="str">
        <f>vlookup(F112,DATABASE!C:Q,8,false)</f>
        <v>IBU</v>
      </c>
      <c r="Y112" s="81"/>
      <c r="Z112" s="9"/>
    </row>
    <row r="113" ht="22.5" customHeight="1">
      <c r="A113" s="49"/>
      <c r="C113" s="384">
        <v>45716.0</v>
      </c>
      <c r="D113" s="93">
        <v>45716.0</v>
      </c>
      <c r="E113" s="65" t="s">
        <v>583</v>
      </c>
      <c r="F113" s="74" t="s">
        <v>744</v>
      </c>
      <c r="G113" s="386">
        <v>1.0</v>
      </c>
      <c r="H113" s="74">
        <v>240000.0</v>
      </c>
      <c r="I113" s="74">
        <v>230000.0</v>
      </c>
      <c r="J113" s="60">
        <f t="shared" si="1"/>
        <v>45746</v>
      </c>
      <c r="K113" s="74">
        <f>if(F113="SERVICE",O113-(O113*50%),Vlookup(F113,DATABASE!C:Q,10,false)*G113)</f>
        <v>0</v>
      </c>
      <c r="L113" s="74">
        <f>VLOOKUP(F113,DATABASE!C:Q,7,FALSE)</f>
        <v>182200</v>
      </c>
      <c r="M113" s="74">
        <v>199920.0</v>
      </c>
      <c r="N113" s="74">
        <f t="shared" si="8"/>
        <v>200000</v>
      </c>
      <c r="O113" s="74">
        <f t="shared" si="3"/>
        <v>240000</v>
      </c>
      <c r="P113" s="63">
        <f t="shared" si="4"/>
        <v>230000</v>
      </c>
      <c r="Q113" s="63">
        <f t="shared" si="5"/>
        <v>30000</v>
      </c>
      <c r="R113" s="93" t="str">
        <f>VLOOKUP(F113,DATABASE!C:Q,4,false)</f>
        <v>BD</v>
      </c>
      <c r="S113" s="93" t="str">
        <f>VLOOKUP(F113,DATABASE!C:P,11,false)</f>
        <v>Tire</v>
      </c>
      <c r="T113" s="93" t="str">
        <f>vlookup(F113,DATABASE!C:Q,8,false)</f>
        <v>BIAN</v>
      </c>
      <c r="Y113" s="81"/>
      <c r="Z113" s="9"/>
    </row>
    <row r="114" ht="22.5" customHeight="1">
      <c r="A114" s="49"/>
      <c r="C114" s="384">
        <v>45718.0</v>
      </c>
      <c r="D114" s="93">
        <v>45718.0</v>
      </c>
      <c r="E114" s="93" t="s">
        <v>259</v>
      </c>
      <c r="F114" s="74" t="s">
        <v>391</v>
      </c>
      <c r="G114" s="386">
        <v>1.0</v>
      </c>
      <c r="H114" s="74">
        <v>1950000.0</v>
      </c>
      <c r="I114" s="74">
        <v>2050000.0</v>
      </c>
      <c r="J114" s="60">
        <f t="shared" si="1"/>
        <v>45748</v>
      </c>
      <c r="K114" s="74">
        <f>if(F114="SERVICE",O114-(O114*50%),Vlookup(F114,DATABASE!C:Q,10,false)*G114)</f>
        <v>0</v>
      </c>
      <c r="L114" s="74">
        <f>VLOOKUP(F114,DATABASE!C:Q,7,FALSE)</f>
        <v>1885000</v>
      </c>
      <c r="M114" s="74">
        <v>1840000.0</v>
      </c>
      <c r="N114" s="74">
        <f t="shared" si="8"/>
        <v>1840000</v>
      </c>
      <c r="O114" s="74">
        <f t="shared" si="3"/>
        <v>1950000</v>
      </c>
      <c r="P114" s="63">
        <f t="shared" si="4"/>
        <v>2050000</v>
      </c>
      <c r="Q114" s="63">
        <f t="shared" si="5"/>
        <v>210000</v>
      </c>
      <c r="R114" s="93" t="str">
        <f>VLOOKUP(F114,DATABASE!C:Q,4,false)</f>
        <v>Advance</v>
      </c>
      <c r="S114" s="93" t="str">
        <f>VLOOKUP(F114,DATABASE!C:P,11,false)</f>
        <v>Tire</v>
      </c>
      <c r="T114" s="93" t="str">
        <f>vlookup(F114,DATABASE!C:Q,8,false)</f>
        <v>BIAN</v>
      </c>
      <c r="Y114" s="81"/>
      <c r="Z114" s="9"/>
    </row>
    <row r="115" ht="22.5" customHeight="1">
      <c r="A115" s="49"/>
      <c r="C115" s="384">
        <v>45719.0</v>
      </c>
      <c r="D115" s="93">
        <v>45719.0</v>
      </c>
      <c r="E115" s="93" t="s">
        <v>651</v>
      </c>
      <c r="F115" s="74" t="s">
        <v>403</v>
      </c>
      <c r="G115" s="386">
        <v>1.0</v>
      </c>
      <c r="H115" s="74">
        <v>2360000.0</v>
      </c>
      <c r="I115" s="74">
        <v>2470000.0</v>
      </c>
      <c r="J115" s="60">
        <f t="shared" si="1"/>
        <v>45749</v>
      </c>
      <c r="K115" s="74">
        <f>if(F115="SERVICE",O115-(O115*50%),Vlookup(F115,DATABASE!C:Q,10,false)*G115)</f>
        <v>0</v>
      </c>
      <c r="L115" s="74">
        <f>VLOOKUP(F115,DATABASE!C:Q,7,FALSE)</f>
        <v>2160000</v>
      </c>
      <c r="M115" s="74">
        <v>2160000.0</v>
      </c>
      <c r="N115" s="74">
        <f t="shared" si="8"/>
        <v>2160000</v>
      </c>
      <c r="O115" s="74">
        <f t="shared" si="3"/>
        <v>2360000</v>
      </c>
      <c r="P115" s="63">
        <f t="shared" si="4"/>
        <v>2470000</v>
      </c>
      <c r="Q115" s="63">
        <f t="shared" si="5"/>
        <v>310000</v>
      </c>
      <c r="R115" s="93" t="str">
        <f>VLOOKUP(F115,DATABASE!C:Q,4,false)</f>
        <v>Advance</v>
      </c>
      <c r="S115" s="93" t="str">
        <f>VLOOKUP(F115,DATABASE!C:P,11,false)</f>
        <v>Tire</v>
      </c>
      <c r="T115" s="93" t="str">
        <f>vlookup(F115,DATABASE!C:Q,8,false)</f>
        <v>BIAN</v>
      </c>
      <c r="Y115" s="81"/>
      <c r="Z115" s="9"/>
    </row>
    <row r="116" ht="22.5" customHeight="1">
      <c r="A116" s="49"/>
      <c r="C116" s="384">
        <v>45720.0</v>
      </c>
      <c r="D116" s="93">
        <v>45720.0</v>
      </c>
      <c r="E116" s="93" t="s">
        <v>555</v>
      </c>
      <c r="F116" s="74" t="s">
        <v>647</v>
      </c>
      <c r="G116" s="386">
        <v>2.0</v>
      </c>
      <c r="H116" s="74">
        <v>1460000.0</v>
      </c>
      <c r="I116" s="74">
        <v>1560000.0</v>
      </c>
      <c r="J116" s="60">
        <f t="shared" si="1"/>
        <v>45750</v>
      </c>
      <c r="K116" s="74">
        <f>if(F116="SERVICE",O116-(O116*50%),Vlookup(F116,DATABASE!C:Q,10,false)*G116)</f>
        <v>0</v>
      </c>
      <c r="L116" s="74">
        <f>VLOOKUP(F116,DATABASE!C:Q,7,FALSE)</f>
        <v>1420000</v>
      </c>
      <c r="M116" s="74">
        <v>1420000.0</v>
      </c>
      <c r="N116" s="74">
        <f t="shared" si="8"/>
        <v>1420000</v>
      </c>
      <c r="O116" s="74">
        <f t="shared" si="3"/>
        <v>2920000</v>
      </c>
      <c r="P116" s="63">
        <f t="shared" si="4"/>
        <v>3120000</v>
      </c>
      <c r="Q116" s="63">
        <f t="shared" si="5"/>
        <v>280000</v>
      </c>
      <c r="R116" s="93" t="str">
        <f>VLOOKUP(F116,DATABASE!C:Q,4,false)</f>
        <v>G. YEAR</v>
      </c>
      <c r="S116" s="93" t="str">
        <f>VLOOKUP(F116,DATABASE!C:P,11,false)</f>
        <v>Tire</v>
      </c>
      <c r="T116" s="93" t="str">
        <f>vlookup(F116,DATABASE!C:Q,8,false)</f>
        <v>BIAN</v>
      </c>
      <c r="Y116" s="81"/>
      <c r="Z116" s="9"/>
    </row>
    <row r="117" ht="22.5" customHeight="1">
      <c r="A117" s="49"/>
      <c r="C117" s="384">
        <v>45720.0</v>
      </c>
      <c r="D117" s="93">
        <v>45720.0</v>
      </c>
      <c r="E117" s="93" t="s">
        <v>555</v>
      </c>
      <c r="F117" s="74" t="s">
        <v>744</v>
      </c>
      <c r="G117" s="386">
        <v>2.0</v>
      </c>
      <c r="H117" s="74">
        <v>240000.0</v>
      </c>
      <c r="I117" s="74">
        <v>250000.0</v>
      </c>
      <c r="J117" s="60">
        <f t="shared" si="1"/>
        <v>45750</v>
      </c>
      <c r="K117" s="74">
        <f>if(F117="SERVICE",O117-(O117*50%),Vlookup(F117,DATABASE!C:Q,10,false)*G117)</f>
        <v>0</v>
      </c>
      <c r="L117" s="74">
        <f>VLOOKUP(F117,DATABASE!C:Q,7,FALSE)</f>
        <v>182200</v>
      </c>
      <c r="M117" s="74">
        <v>199920.0</v>
      </c>
      <c r="N117" s="74">
        <f t="shared" si="8"/>
        <v>200000</v>
      </c>
      <c r="O117" s="74">
        <f t="shared" si="3"/>
        <v>480000</v>
      </c>
      <c r="P117" s="63">
        <f t="shared" si="4"/>
        <v>500000</v>
      </c>
      <c r="Q117" s="63">
        <f t="shared" si="5"/>
        <v>100000</v>
      </c>
      <c r="R117" s="93" t="str">
        <f>VLOOKUP(F117,DATABASE!C:Q,4,false)</f>
        <v>BD</v>
      </c>
      <c r="S117" s="93" t="str">
        <f>VLOOKUP(F117,DATABASE!C:P,11,false)</f>
        <v>Tire</v>
      </c>
      <c r="T117" s="93" t="str">
        <f>vlookup(F117,DATABASE!C:Q,8,false)</f>
        <v>BIAN</v>
      </c>
      <c r="Y117" s="81"/>
      <c r="Z117" s="9"/>
    </row>
    <row r="118" ht="22.5" customHeight="1">
      <c r="A118" s="49"/>
      <c r="C118" s="384">
        <v>45720.0</v>
      </c>
      <c r="D118" s="93">
        <v>45720.0</v>
      </c>
      <c r="E118" s="93" t="s">
        <v>555</v>
      </c>
      <c r="F118" s="74" t="s">
        <v>821</v>
      </c>
      <c r="G118" s="386">
        <v>2.0</v>
      </c>
      <c r="H118" s="74">
        <v>65000.0</v>
      </c>
      <c r="I118" s="74">
        <v>90000.0</v>
      </c>
      <c r="J118" s="60">
        <f t="shared" si="1"/>
        <v>45750</v>
      </c>
      <c r="K118" s="74">
        <f>if(F118="SERVICE",O118-(O118*50%),Vlookup(F118,DATABASE!C:Q,10,false)*G118)</f>
        <v>0</v>
      </c>
      <c r="L118" s="74">
        <f>VLOOKUP(F118,DATABASE!C:Q,7,FALSE)</f>
        <v>43500</v>
      </c>
      <c r="M118" s="74">
        <v>43520.0</v>
      </c>
      <c r="N118" s="74">
        <f t="shared" si="8"/>
        <v>45000</v>
      </c>
      <c r="O118" s="74">
        <f t="shared" si="3"/>
        <v>130000</v>
      </c>
      <c r="P118" s="63">
        <f t="shared" si="4"/>
        <v>180000</v>
      </c>
      <c r="Q118" s="63">
        <f t="shared" si="5"/>
        <v>90000</v>
      </c>
      <c r="R118" s="93" t="str">
        <f>VLOOKUP(F118,DATABASE!C:Q,4,false)</f>
        <v>Flap</v>
      </c>
      <c r="S118" s="93" t="str">
        <f>VLOOKUP(F118,DATABASE!C:P,11,false)</f>
        <v>Tire</v>
      </c>
      <c r="T118" s="93" t="str">
        <f>vlookup(F118,DATABASE!C:Q,8,false)</f>
        <v>BIAN</v>
      </c>
      <c r="Y118" s="81"/>
      <c r="Z118" s="9"/>
    </row>
    <row r="119" ht="22.5" customHeight="1">
      <c r="A119" s="49"/>
      <c r="C119" s="384">
        <v>45720.0</v>
      </c>
      <c r="D119" s="93">
        <v>45720.0</v>
      </c>
      <c r="E119" s="93" t="s">
        <v>555</v>
      </c>
      <c r="F119" s="74" t="s">
        <v>1520</v>
      </c>
      <c r="G119" s="386">
        <v>4.0</v>
      </c>
      <c r="H119" s="74">
        <v>1810000.0</v>
      </c>
      <c r="I119" s="74">
        <v>1900000.0</v>
      </c>
      <c r="J119" s="60">
        <f t="shared" si="1"/>
        <v>45750</v>
      </c>
      <c r="K119" s="74">
        <f>if(F119="SERVICE",O119-(O119*50%),Vlookup(F119,DATABASE!C:Q,10,false)*G119)</f>
        <v>0</v>
      </c>
      <c r="L119" s="74">
        <f>VLOOKUP(F119,DATABASE!C:Q,7,FALSE)</f>
        <v>1926858.75</v>
      </c>
      <c r="M119" s="74">
        <v>1698000.0</v>
      </c>
      <c r="N119" s="74">
        <f t="shared" si="8"/>
        <v>1700000</v>
      </c>
      <c r="O119" s="74">
        <f t="shared" si="3"/>
        <v>7240000</v>
      </c>
      <c r="P119" s="63">
        <f t="shared" si="4"/>
        <v>7600000</v>
      </c>
      <c r="Q119" s="63">
        <f t="shared" si="5"/>
        <v>800000</v>
      </c>
      <c r="R119" s="93" t="str">
        <f>VLOOKUP(F119,DATABASE!C:Q,4,false)</f>
        <v>DURATUN</v>
      </c>
      <c r="S119" s="93" t="str">
        <f>VLOOKUP(F119,DATABASE!C:P,11,false)</f>
        <v>Tire</v>
      </c>
      <c r="T119" s="93" t="str">
        <f>vlookup(F119,DATABASE!C:Q,8,false)</f>
        <v>BIAN</v>
      </c>
      <c r="Y119" s="81"/>
      <c r="Z119" s="9"/>
    </row>
    <row r="120" ht="22.5" customHeight="1">
      <c r="A120" s="49"/>
      <c r="C120" s="384">
        <v>45720.0</v>
      </c>
      <c r="D120" s="93">
        <v>45720.0</v>
      </c>
      <c r="E120" s="93" t="s">
        <v>555</v>
      </c>
      <c r="F120" s="93" t="s">
        <v>830</v>
      </c>
      <c r="G120" s="386">
        <v>4.0</v>
      </c>
      <c r="H120" s="74">
        <v>230000.0</v>
      </c>
      <c r="I120" s="74">
        <v>250000.0</v>
      </c>
      <c r="J120" s="60">
        <f t="shared" si="1"/>
        <v>45750</v>
      </c>
      <c r="K120" s="74">
        <f>if(F120="SERVICE",O120-(O120*50%),Vlookup(F120,DATABASE!C:Q,10,false)*G120)</f>
        <v>0</v>
      </c>
      <c r="L120" s="74">
        <f>VLOOKUP(F120,DATABASE!C:Q,7,FALSE)</f>
        <v>184150</v>
      </c>
      <c r="M120" s="74">
        <v>184150.0</v>
      </c>
      <c r="N120" s="74">
        <f t="shared" si="8"/>
        <v>185000</v>
      </c>
      <c r="O120" s="74">
        <f t="shared" si="3"/>
        <v>920000</v>
      </c>
      <c r="P120" s="63">
        <f t="shared" si="4"/>
        <v>1000000</v>
      </c>
      <c r="Q120" s="63">
        <f t="shared" si="5"/>
        <v>260000</v>
      </c>
      <c r="R120" s="93" t="str">
        <f>VLOOKUP(F120,DATABASE!C:Q,4,false)</f>
        <v>BD</v>
      </c>
      <c r="S120" s="93" t="str">
        <f>VLOOKUP(F120,DATABASE!C:P,11,false)</f>
        <v>Tire</v>
      </c>
      <c r="T120" s="93" t="str">
        <f>vlookup(F120,DATABASE!C:Q,8,false)</f>
        <v>BIAN</v>
      </c>
      <c r="Y120" s="81"/>
      <c r="Z120" s="9"/>
    </row>
    <row r="121" ht="22.5" customHeight="1">
      <c r="A121" s="49"/>
      <c r="C121" s="384">
        <v>45720.0</v>
      </c>
      <c r="D121" s="93">
        <v>45720.0</v>
      </c>
      <c r="E121" s="93" t="s">
        <v>555</v>
      </c>
      <c r="F121" s="74" t="s">
        <v>1209</v>
      </c>
      <c r="G121" s="386">
        <v>4.0</v>
      </c>
      <c r="H121" s="74">
        <v>80000.0</v>
      </c>
      <c r="I121" s="74">
        <v>85000.0</v>
      </c>
      <c r="J121" s="60">
        <f t="shared" si="1"/>
        <v>45750</v>
      </c>
      <c r="K121" s="74">
        <f>if(F121="SERVICE",O121-(O121*50%),Vlookup(F121,DATABASE!C:Q,10,false)*G121)</f>
        <v>0</v>
      </c>
      <c r="L121" s="74">
        <f>VLOOKUP(F121,DATABASE!C:Q,7,FALSE)</f>
        <v>50000</v>
      </c>
      <c r="M121" s="74">
        <v>50000.0</v>
      </c>
      <c r="N121" s="74">
        <f t="shared" si="8"/>
        <v>50000</v>
      </c>
      <c r="O121" s="74">
        <f t="shared" si="3"/>
        <v>320000</v>
      </c>
      <c r="P121" s="63">
        <f t="shared" si="4"/>
        <v>340000</v>
      </c>
      <c r="Q121" s="63">
        <f t="shared" si="5"/>
        <v>140000</v>
      </c>
      <c r="R121" s="93" t="str">
        <f>VLOOKUP(F121,DATABASE!C:Q,4,false)</f>
        <v>Flap</v>
      </c>
      <c r="S121" s="93" t="str">
        <f>VLOOKUP(F121,DATABASE!C:P,11,false)</f>
        <v>Tire</v>
      </c>
      <c r="T121" s="93" t="str">
        <f>vlookup(F121,DATABASE!C:Q,8,false)</f>
        <v>BIAN</v>
      </c>
      <c r="Y121" s="81"/>
      <c r="Z121" s="9"/>
    </row>
    <row r="122" ht="22.5" customHeight="1">
      <c r="A122" s="49"/>
      <c r="C122" s="384">
        <v>45721.0</v>
      </c>
      <c r="D122" s="93">
        <v>45721.0</v>
      </c>
      <c r="E122" s="93" t="s">
        <v>810</v>
      </c>
      <c r="F122" s="74" t="s">
        <v>275</v>
      </c>
      <c r="G122" s="386">
        <v>2.0</v>
      </c>
      <c r="H122" s="74">
        <v>859500.0</v>
      </c>
      <c r="I122" s="74">
        <v>900000.0</v>
      </c>
      <c r="J122" s="60">
        <f t="shared" si="1"/>
        <v>45751</v>
      </c>
      <c r="K122" s="74">
        <f>if(F122="SERVICE",O122-(O122*50%),Vlookup(F122,DATABASE!C:Q,10,false)*G122)</f>
        <v>0</v>
      </c>
      <c r="L122" s="74">
        <f>VLOOKUP(F122,DATABASE!C:Q,7,FALSE)</f>
        <v>782000</v>
      </c>
      <c r="M122" s="74">
        <v>745000.0</v>
      </c>
      <c r="N122" s="74">
        <f t="shared" si="8"/>
        <v>745000</v>
      </c>
      <c r="O122" s="74">
        <f t="shared" si="3"/>
        <v>1719000</v>
      </c>
      <c r="P122" s="63">
        <f t="shared" si="4"/>
        <v>1800000</v>
      </c>
      <c r="Q122" s="63">
        <f t="shared" si="5"/>
        <v>310000</v>
      </c>
      <c r="R122" s="93" t="str">
        <f>VLOOKUP(F122,DATABASE!C:Q,4,false)</f>
        <v>Dunlop</v>
      </c>
      <c r="S122" s="93" t="str">
        <f>VLOOKUP(F122,DATABASE!C:P,11,false)</f>
        <v>Tire</v>
      </c>
      <c r="T122" s="93" t="str">
        <f>vlookup(F122,DATABASE!C:Q,8,false)</f>
        <v>IBU</v>
      </c>
      <c r="Y122" s="81"/>
      <c r="Z122" s="9"/>
    </row>
    <row r="123" ht="22.5" customHeight="1">
      <c r="A123" s="49"/>
      <c r="C123" s="384">
        <v>45723.0</v>
      </c>
      <c r="D123" s="93">
        <v>45723.0</v>
      </c>
      <c r="E123" s="93" t="s">
        <v>346</v>
      </c>
      <c r="F123" s="74" t="s">
        <v>566</v>
      </c>
      <c r="G123" s="386">
        <v>2.0</v>
      </c>
      <c r="H123" s="74">
        <v>1710000.0</v>
      </c>
      <c r="I123" s="74">
        <v>1770000.0</v>
      </c>
      <c r="J123" s="60">
        <f t="shared" si="1"/>
        <v>45753</v>
      </c>
      <c r="K123" s="74">
        <f>if(F123="SERVICE",O123-(O123*50%),Vlookup(F123,DATABASE!C:Q,10,false)*G123)</f>
        <v>0</v>
      </c>
      <c r="L123" s="74">
        <f>VLOOKUP(F123,DATABASE!C:Q,7,FALSE)</f>
        <v>1565000</v>
      </c>
      <c r="M123" s="140">
        <v>1570000.0</v>
      </c>
      <c r="N123" s="74">
        <f t="shared" si="8"/>
        <v>1570000</v>
      </c>
      <c r="O123" s="74">
        <f t="shared" si="3"/>
        <v>3420000</v>
      </c>
      <c r="P123" s="63">
        <f t="shared" si="4"/>
        <v>3540000</v>
      </c>
      <c r="Q123" s="63">
        <f t="shared" si="5"/>
        <v>400000</v>
      </c>
      <c r="R123" s="93" t="str">
        <f>VLOOKUP(F123,DATABASE!C:Q,4,false)</f>
        <v>Bridgestone</v>
      </c>
      <c r="S123" s="93" t="str">
        <f>VLOOKUP(F123,DATABASE!C:P,11,false)</f>
        <v>Tire</v>
      </c>
      <c r="T123" s="93" t="str">
        <f>vlookup(F123,DATABASE!C:Q,8,false)</f>
        <v>IBU</v>
      </c>
      <c r="Y123" s="81"/>
      <c r="Z123" s="9"/>
    </row>
    <row r="124" ht="22.5" customHeight="1">
      <c r="A124" s="49"/>
      <c r="C124" s="384">
        <v>45723.0</v>
      </c>
      <c r="D124" s="93">
        <v>45723.0</v>
      </c>
      <c r="E124" s="65" t="s">
        <v>234</v>
      </c>
      <c r="F124" s="74" t="s">
        <v>652</v>
      </c>
      <c r="G124" s="386">
        <v>1.0</v>
      </c>
      <c r="H124" s="74">
        <v>270000.0</v>
      </c>
      <c r="I124" s="74">
        <v>280000.0</v>
      </c>
      <c r="J124" s="60">
        <f t="shared" si="1"/>
        <v>45753</v>
      </c>
      <c r="K124" s="74">
        <f>if(F124="SERVICE",O124-(O124*50%),Vlookup(F124,DATABASE!C:Q,10,false)*G124)</f>
        <v>0</v>
      </c>
      <c r="L124" s="74">
        <f>VLOOKUP(F124,DATABASE!C:Q,7,FALSE)</f>
        <v>231268</v>
      </c>
      <c r="M124" s="74">
        <v>227850.0</v>
      </c>
      <c r="N124" s="74">
        <f t="shared" si="8"/>
        <v>230000</v>
      </c>
      <c r="O124" s="74">
        <f t="shared" si="3"/>
        <v>270000</v>
      </c>
      <c r="P124" s="63">
        <f t="shared" si="4"/>
        <v>280000</v>
      </c>
      <c r="Q124" s="63">
        <f t="shared" si="5"/>
        <v>50000</v>
      </c>
      <c r="R124" s="93" t="str">
        <f>VLOOKUP(F124,DATABASE!C:Q,4,false)</f>
        <v>BD</v>
      </c>
      <c r="S124" s="93" t="str">
        <f>VLOOKUP(F124,DATABASE!C:P,11,false)</f>
        <v>Tire</v>
      </c>
      <c r="T124" s="93" t="str">
        <f>vlookup(F124,DATABASE!C:Q,8,false)</f>
        <v>IBU</v>
      </c>
      <c r="Y124" s="81"/>
      <c r="Z124" s="9"/>
    </row>
    <row r="125" ht="22.5" customHeight="1">
      <c r="A125" s="49"/>
      <c r="C125" s="384">
        <v>45723.0</v>
      </c>
      <c r="D125" s="93">
        <v>45723.0</v>
      </c>
      <c r="E125" s="93" t="s">
        <v>144</v>
      </c>
      <c r="F125" s="74" t="s">
        <v>897</v>
      </c>
      <c r="G125" s="386">
        <v>1.0</v>
      </c>
      <c r="H125" s="74">
        <v>1600000.0</v>
      </c>
      <c r="I125" s="74">
        <v>1700000.0</v>
      </c>
      <c r="J125" s="60">
        <f t="shared" si="1"/>
        <v>45753</v>
      </c>
      <c r="K125" s="74">
        <f>if(F125="SERVICE",O125-(O125*50%),Vlookup(F125,DATABASE!C:Q,10,false)*G125)</f>
        <v>0</v>
      </c>
      <c r="L125" s="74">
        <f>VLOOKUP(F125,DATABASE!C:Q,7,FALSE)</f>
        <v>1560000</v>
      </c>
      <c r="M125" s="74">
        <v>1500000.0</v>
      </c>
      <c r="N125" s="74">
        <f t="shared" si="8"/>
        <v>1500000</v>
      </c>
      <c r="O125" s="74">
        <f t="shared" si="3"/>
        <v>1600000</v>
      </c>
      <c r="P125" s="63">
        <f t="shared" si="4"/>
        <v>1700000</v>
      </c>
      <c r="Q125" s="63">
        <f t="shared" si="5"/>
        <v>200000</v>
      </c>
      <c r="R125" s="93" t="str">
        <f>VLOOKUP(F125,DATABASE!C:Q,4,false)</f>
        <v>GT</v>
      </c>
      <c r="S125" s="93" t="str">
        <f>VLOOKUP(F125,DATABASE!C:P,11,false)</f>
        <v>Tire</v>
      </c>
      <c r="T125" s="93" t="str">
        <f>vlookup(F125,DATABASE!C:Q,8,false)</f>
        <v>BIAN</v>
      </c>
      <c r="Y125" s="81"/>
      <c r="Z125" s="9"/>
    </row>
    <row r="126" ht="22.5" customHeight="1">
      <c r="A126" s="49"/>
      <c r="C126" s="384">
        <v>45726.0</v>
      </c>
      <c r="D126" s="93">
        <v>45726.0</v>
      </c>
      <c r="E126" s="93" t="s">
        <v>74</v>
      </c>
      <c r="F126" s="74" t="s">
        <v>791</v>
      </c>
      <c r="G126" s="386">
        <v>2.0</v>
      </c>
      <c r="H126" s="74">
        <v>1280000.0</v>
      </c>
      <c r="I126" s="74">
        <v>1300000.0</v>
      </c>
      <c r="J126" s="60">
        <f t="shared" si="1"/>
        <v>45756</v>
      </c>
      <c r="K126" s="74">
        <f>if(F126="SERVICE",O126-(O126*50%),Vlookup(F126,DATABASE!C:Q,10,false)*G126)</f>
        <v>0</v>
      </c>
      <c r="L126" s="74">
        <f>VLOOKUP(F126,DATABASE!C:Q,7,FALSE)</f>
        <v>1210000</v>
      </c>
      <c r="M126" s="74">
        <v>1180000.0</v>
      </c>
      <c r="N126" s="74">
        <f t="shared" si="8"/>
        <v>1180000</v>
      </c>
      <c r="O126" s="74">
        <f t="shared" si="3"/>
        <v>2560000</v>
      </c>
      <c r="P126" s="63">
        <f t="shared" si="4"/>
        <v>2600000</v>
      </c>
      <c r="Q126" s="63">
        <f t="shared" si="5"/>
        <v>240000</v>
      </c>
      <c r="R126" s="93" t="str">
        <f>VLOOKUP(F126,DATABASE!C:Q,4,false)</f>
        <v>GT</v>
      </c>
      <c r="S126" s="93" t="str">
        <f>VLOOKUP(F126,DATABASE!C:P,11,false)</f>
        <v>Tire</v>
      </c>
      <c r="T126" s="93" t="str">
        <f>vlookup(F126,DATABASE!C:Q,8,false)</f>
        <v>BIAN</v>
      </c>
      <c r="Y126" s="81"/>
      <c r="Z126" s="9"/>
    </row>
    <row r="127" ht="22.5" customHeight="1">
      <c r="A127" s="49"/>
      <c r="C127" s="384">
        <v>45726.0</v>
      </c>
      <c r="D127" s="93">
        <v>45726.0</v>
      </c>
      <c r="E127" s="93" t="s">
        <v>74</v>
      </c>
      <c r="F127" s="74" t="s">
        <v>255</v>
      </c>
      <c r="G127" s="386">
        <v>2.0</v>
      </c>
      <c r="H127" s="74">
        <v>200000.0</v>
      </c>
      <c r="I127" s="74">
        <v>210000.0</v>
      </c>
      <c r="J127" s="60">
        <f t="shared" si="1"/>
        <v>45756</v>
      </c>
      <c r="K127" s="74">
        <f>if(F127="SERVICE",O127-(O127*50%),Vlookup(F127,DATABASE!C:Q,10,false)*G127)</f>
        <v>0</v>
      </c>
      <c r="L127" s="74">
        <f>VLOOKUP(F127,DATABASE!C:Q,7,FALSE)</f>
        <v>161840</v>
      </c>
      <c r="M127" s="74">
        <v>161840.0</v>
      </c>
      <c r="N127" s="74">
        <f t="shared" si="8"/>
        <v>165000</v>
      </c>
      <c r="O127" s="74">
        <f t="shared" si="3"/>
        <v>400000</v>
      </c>
      <c r="P127" s="63">
        <f t="shared" si="4"/>
        <v>420000</v>
      </c>
      <c r="Q127" s="63">
        <f t="shared" si="5"/>
        <v>90000</v>
      </c>
      <c r="R127" s="93" t="str">
        <f>VLOOKUP(F127,DATABASE!C:Q,4,false)</f>
        <v>BD</v>
      </c>
      <c r="S127" s="93" t="str">
        <f>VLOOKUP(F127,DATABASE!C:P,11,false)</f>
        <v>Tire</v>
      </c>
      <c r="T127" s="93" t="str">
        <f>vlookup(F127,DATABASE!C:Q,8,false)</f>
        <v>BIAN</v>
      </c>
      <c r="Y127" s="81"/>
      <c r="Z127" s="9"/>
    </row>
    <row r="128" ht="22.5" customHeight="1">
      <c r="A128" s="49"/>
      <c r="C128" s="384">
        <v>45726.0</v>
      </c>
      <c r="D128" s="93">
        <v>45726.0</v>
      </c>
      <c r="E128" s="65" t="s">
        <v>74</v>
      </c>
      <c r="F128" s="74" t="s">
        <v>284</v>
      </c>
      <c r="G128" s="386">
        <v>2.0</v>
      </c>
      <c r="H128" s="74">
        <v>60000.0</v>
      </c>
      <c r="I128" s="74">
        <v>70000.0</v>
      </c>
      <c r="J128" s="60">
        <f t="shared" si="1"/>
        <v>45756</v>
      </c>
      <c r="K128" s="74">
        <f>if(F128="SERVICE",O128-(O128*50%),Vlookup(F128,DATABASE!C:Q,10,false)*G128)</f>
        <v>0</v>
      </c>
      <c r="L128" s="74">
        <f>VLOOKUP(F128,DATABASE!C:Q,7,FALSE)</f>
        <v>36630</v>
      </c>
      <c r="M128" s="74">
        <v>36630.0</v>
      </c>
      <c r="N128" s="74">
        <f t="shared" si="8"/>
        <v>40000</v>
      </c>
      <c r="O128" s="74">
        <f t="shared" si="3"/>
        <v>120000</v>
      </c>
      <c r="P128" s="63">
        <f t="shared" si="4"/>
        <v>140000</v>
      </c>
      <c r="Q128" s="63">
        <f t="shared" si="5"/>
        <v>60000</v>
      </c>
      <c r="R128" s="93" t="str">
        <f>VLOOKUP(F128,DATABASE!C:Q,4,false)</f>
        <v>Flap</v>
      </c>
      <c r="S128" s="93" t="str">
        <f>VLOOKUP(F128,DATABASE!C:P,11,false)</f>
        <v>Tire</v>
      </c>
      <c r="T128" s="93" t="str">
        <f>vlookup(F128,DATABASE!C:Q,8,false)</f>
        <v>BIAN</v>
      </c>
      <c r="Y128" s="81"/>
      <c r="Z128" s="9"/>
    </row>
    <row r="129" ht="22.5" customHeight="1">
      <c r="A129" s="49"/>
      <c r="C129" s="384">
        <v>45726.0</v>
      </c>
      <c r="D129" s="93">
        <v>45726.0</v>
      </c>
      <c r="E129" s="93" t="s">
        <v>193</v>
      </c>
      <c r="F129" s="74" t="s">
        <v>1582</v>
      </c>
      <c r="G129" s="386">
        <v>4.0</v>
      </c>
      <c r="H129" s="74">
        <v>4050000.0</v>
      </c>
      <c r="I129" s="74">
        <v>4300000.0</v>
      </c>
      <c r="J129" s="60">
        <f t="shared" si="1"/>
        <v>45756</v>
      </c>
      <c r="K129" s="74">
        <f>if(F129="SERVICE",O129-(O129*50%),Vlookup(F129,DATABASE!C:Q,10,false)*G129)</f>
        <v>0</v>
      </c>
      <c r="L129" s="74">
        <f>VLOOKUP(F129,DATABASE!C:Q,7,FALSE)</f>
        <v>3800000</v>
      </c>
      <c r="M129" s="74">
        <v>3800000.0</v>
      </c>
      <c r="N129" s="74">
        <f t="shared" si="8"/>
        <v>3800000</v>
      </c>
      <c r="O129" s="74">
        <f t="shared" si="3"/>
        <v>16200000</v>
      </c>
      <c r="P129" s="63">
        <f t="shared" si="4"/>
        <v>17200000</v>
      </c>
      <c r="Q129" s="63">
        <f t="shared" si="5"/>
        <v>2000000</v>
      </c>
      <c r="R129" s="93" t="str">
        <f>VLOOKUP(F129,DATABASE!C:Q,4,false)</f>
        <v>GiTi</v>
      </c>
      <c r="S129" s="93" t="str">
        <f>VLOOKUP(F129,DATABASE!C:P,11,false)</f>
        <v>Tire</v>
      </c>
      <c r="T129" s="93" t="str">
        <f>vlookup(F129,DATABASE!C:Q,8,false)</f>
        <v>BIAN</v>
      </c>
      <c r="Y129" s="81"/>
      <c r="Z129" s="9"/>
    </row>
    <row r="130" ht="22.5" customHeight="1">
      <c r="A130" s="49"/>
      <c r="C130" s="384">
        <v>45726.0</v>
      </c>
      <c r="D130" s="93">
        <v>45726.0</v>
      </c>
      <c r="E130" s="93" t="s">
        <v>331</v>
      </c>
      <c r="F130" s="74" t="s">
        <v>374</v>
      </c>
      <c r="G130" s="386">
        <v>1.0</v>
      </c>
      <c r="H130" s="74">
        <v>1960000.0</v>
      </c>
      <c r="I130" s="74">
        <v>2060000.0</v>
      </c>
      <c r="J130" s="60">
        <f t="shared" si="1"/>
        <v>45756</v>
      </c>
      <c r="K130" s="74">
        <f>if(F130="SERVICE",O130-(O130*50%),Vlookup(F130,DATABASE!C:Q,10,false)*G130)</f>
        <v>0</v>
      </c>
      <c r="L130" s="74">
        <f>VLOOKUP(F130,DATABASE!C:Q,7,FALSE)</f>
        <v>1980000</v>
      </c>
      <c r="M130" s="74">
        <v>1850000.0</v>
      </c>
      <c r="N130" s="74">
        <f t="shared" si="8"/>
        <v>1850000</v>
      </c>
      <c r="O130" s="74">
        <f t="shared" si="3"/>
        <v>1960000</v>
      </c>
      <c r="P130" s="63">
        <f t="shared" si="4"/>
        <v>2060000</v>
      </c>
      <c r="Q130" s="63">
        <f t="shared" si="5"/>
        <v>210000</v>
      </c>
      <c r="R130" s="93" t="str">
        <f>VLOOKUP(F130,DATABASE!C:Q,4,false)</f>
        <v>Advance</v>
      </c>
      <c r="S130" s="93" t="str">
        <f>VLOOKUP(F130,DATABASE!C:P,11,false)</f>
        <v>Tire</v>
      </c>
      <c r="T130" s="93" t="str">
        <f>vlookup(F130,DATABASE!C:Q,8,false)</f>
        <v>BIAN</v>
      </c>
      <c r="Y130" s="81"/>
      <c r="Z130" s="9"/>
    </row>
    <row r="131" ht="22.5" customHeight="1">
      <c r="A131" s="49"/>
      <c r="C131" s="384">
        <v>45726.0</v>
      </c>
      <c r="D131" s="93">
        <v>45726.0</v>
      </c>
      <c r="E131" s="93" t="s">
        <v>422</v>
      </c>
      <c r="F131" s="74" t="s">
        <v>897</v>
      </c>
      <c r="G131" s="386">
        <v>1.0</v>
      </c>
      <c r="H131" s="74">
        <v>1600000.0</v>
      </c>
      <c r="I131" s="74">
        <v>1700000.0</v>
      </c>
      <c r="J131" s="60">
        <f t="shared" si="1"/>
        <v>45756</v>
      </c>
      <c r="K131" s="74">
        <f>if(F131="SERVICE",O131-(O131*50%),Vlookup(F131,DATABASE!C:Q,10,false)*G131)</f>
        <v>0</v>
      </c>
      <c r="L131" s="74">
        <f>VLOOKUP(F131,DATABASE!C:Q,7,FALSE)</f>
        <v>1560000</v>
      </c>
      <c r="M131" s="74">
        <v>1500000.0</v>
      </c>
      <c r="N131" s="74">
        <f t="shared" si="8"/>
        <v>1500000</v>
      </c>
      <c r="O131" s="74">
        <f t="shared" si="3"/>
        <v>1600000</v>
      </c>
      <c r="P131" s="63">
        <f t="shared" si="4"/>
        <v>1700000</v>
      </c>
      <c r="Q131" s="63">
        <f t="shared" si="5"/>
        <v>200000</v>
      </c>
      <c r="R131" s="93" t="str">
        <f>VLOOKUP(F131,DATABASE!C:Q,4,false)</f>
        <v>GT</v>
      </c>
      <c r="S131" s="93" t="str">
        <f>VLOOKUP(F131,DATABASE!C:P,11,false)</f>
        <v>Tire</v>
      </c>
      <c r="T131" s="93" t="str">
        <f>vlookup(F131,DATABASE!C:Q,8,false)</f>
        <v>BIAN</v>
      </c>
      <c r="Y131" s="81"/>
      <c r="Z131" s="9"/>
    </row>
    <row r="132" ht="22.5" customHeight="1">
      <c r="A132" s="49"/>
      <c r="C132" s="384">
        <v>45728.0</v>
      </c>
      <c r="D132" s="93">
        <v>45728.0</v>
      </c>
      <c r="E132" s="93" t="s">
        <v>515</v>
      </c>
      <c r="F132" s="74" t="s">
        <v>391</v>
      </c>
      <c r="G132" s="386">
        <v>2.0</v>
      </c>
      <c r="H132" s="74">
        <v>1950000.0</v>
      </c>
      <c r="I132" s="74">
        <v>2050000.0</v>
      </c>
      <c r="J132" s="60">
        <f t="shared" si="1"/>
        <v>45758</v>
      </c>
      <c r="K132" s="74">
        <f>if(F132="SERVICE",O132-(O132*50%),Vlookup(F132,DATABASE!C:Q,10,false)*G132)</f>
        <v>0</v>
      </c>
      <c r="L132" s="74">
        <f>VLOOKUP(F132,DATABASE!C:Q,7,FALSE)</f>
        <v>1885000</v>
      </c>
      <c r="M132" s="74">
        <v>1840000.0</v>
      </c>
      <c r="N132" s="74">
        <f t="shared" si="8"/>
        <v>1840000</v>
      </c>
      <c r="O132" s="74">
        <f t="shared" si="3"/>
        <v>3900000</v>
      </c>
      <c r="P132" s="63">
        <f t="shared" si="4"/>
        <v>4100000</v>
      </c>
      <c r="Q132" s="63">
        <f t="shared" si="5"/>
        <v>420000</v>
      </c>
      <c r="R132" s="93" t="str">
        <f>VLOOKUP(F132,DATABASE!C:Q,4,false)</f>
        <v>Advance</v>
      </c>
      <c r="S132" s="93" t="str">
        <f>VLOOKUP(F132,DATABASE!C:P,11,false)</f>
        <v>Tire</v>
      </c>
      <c r="T132" s="93" t="str">
        <f>vlookup(F132,DATABASE!C:Q,8,false)</f>
        <v>BIAN</v>
      </c>
      <c r="Y132" s="81"/>
      <c r="Z132" s="9"/>
    </row>
    <row r="133" ht="22.5" customHeight="1">
      <c r="A133" s="49"/>
      <c r="C133" s="384">
        <v>45728.0</v>
      </c>
      <c r="D133" s="93">
        <v>45728.0</v>
      </c>
      <c r="E133" s="93" t="s">
        <v>979</v>
      </c>
      <c r="F133" s="74" t="s">
        <v>391</v>
      </c>
      <c r="G133" s="386">
        <v>1.0</v>
      </c>
      <c r="H133" s="74">
        <v>1950000.0</v>
      </c>
      <c r="I133" s="74">
        <v>2050000.0</v>
      </c>
      <c r="J133" s="60">
        <f t="shared" si="1"/>
        <v>45758</v>
      </c>
      <c r="K133" s="74">
        <f>if(F133="SERVICE",O133-(O133*50%),Vlookup(F133,DATABASE!C:Q,10,false)*G133)</f>
        <v>0</v>
      </c>
      <c r="L133" s="74">
        <f>VLOOKUP(F133,DATABASE!C:Q,7,FALSE)</f>
        <v>1885000</v>
      </c>
      <c r="M133" s="74">
        <v>1840000.0</v>
      </c>
      <c r="N133" s="74">
        <f t="shared" si="8"/>
        <v>1840000</v>
      </c>
      <c r="O133" s="74">
        <f t="shared" si="3"/>
        <v>1950000</v>
      </c>
      <c r="P133" s="63">
        <f t="shared" si="4"/>
        <v>2050000</v>
      </c>
      <c r="Q133" s="63">
        <f t="shared" si="5"/>
        <v>210000</v>
      </c>
      <c r="R133" s="93" t="str">
        <f>VLOOKUP(F133,DATABASE!C:Q,4,false)</f>
        <v>Advance</v>
      </c>
      <c r="S133" s="93" t="str">
        <f>VLOOKUP(F133,DATABASE!C:P,11,false)</f>
        <v>Tire</v>
      </c>
      <c r="T133" s="93" t="str">
        <f>vlookup(F133,DATABASE!C:Q,8,false)</f>
        <v>BIAN</v>
      </c>
      <c r="Y133" s="81"/>
      <c r="Z133" s="9"/>
    </row>
    <row r="134" ht="22.5" customHeight="1">
      <c r="A134" s="49"/>
      <c r="C134" s="384">
        <v>45729.0</v>
      </c>
      <c r="D134" s="93">
        <v>45729.0</v>
      </c>
      <c r="E134" s="93" t="s">
        <v>536</v>
      </c>
      <c r="F134" s="74" t="s">
        <v>791</v>
      </c>
      <c r="G134" s="386">
        <v>2.0</v>
      </c>
      <c r="H134" s="74">
        <v>1280000.0</v>
      </c>
      <c r="I134" s="74">
        <v>1380000.0</v>
      </c>
      <c r="J134" s="60">
        <f t="shared" si="1"/>
        <v>45759</v>
      </c>
      <c r="K134" s="74">
        <f>if(F134="SERVICE",O134-(O134*50%),Vlookup(F134,DATABASE!C:Q,10,false)*G134)</f>
        <v>0</v>
      </c>
      <c r="L134" s="74">
        <f>VLOOKUP(F134,DATABASE!C:Q,7,FALSE)</f>
        <v>1210000</v>
      </c>
      <c r="M134" s="74">
        <v>1180000.0</v>
      </c>
      <c r="N134" s="74">
        <f t="shared" si="8"/>
        <v>1180000</v>
      </c>
      <c r="O134" s="74">
        <f t="shared" si="3"/>
        <v>2560000</v>
      </c>
      <c r="P134" s="63">
        <f t="shared" si="4"/>
        <v>2760000</v>
      </c>
      <c r="Q134" s="63">
        <f t="shared" si="5"/>
        <v>400000</v>
      </c>
      <c r="R134" s="93" t="str">
        <f>VLOOKUP(F134,DATABASE!C:Q,4,false)</f>
        <v>GT</v>
      </c>
      <c r="S134" s="93" t="str">
        <f>VLOOKUP(F134,DATABASE!C:P,11,false)</f>
        <v>Tire</v>
      </c>
      <c r="T134" s="93" t="str">
        <f>vlookup(F134,DATABASE!C:Q,8,false)</f>
        <v>BIAN</v>
      </c>
      <c r="Y134" s="81"/>
      <c r="Z134" s="9"/>
    </row>
    <row r="135" ht="22.5" customHeight="1">
      <c r="A135" s="49"/>
      <c r="C135" s="384">
        <v>45729.0</v>
      </c>
      <c r="D135" s="93">
        <v>45729.0</v>
      </c>
      <c r="E135" s="93" t="s">
        <v>536</v>
      </c>
      <c r="F135" s="74" t="s">
        <v>255</v>
      </c>
      <c r="G135" s="386">
        <v>2.0</v>
      </c>
      <c r="H135" s="74">
        <v>200000.0</v>
      </c>
      <c r="I135" s="74">
        <v>220000.0</v>
      </c>
      <c r="J135" s="60">
        <f t="shared" si="1"/>
        <v>45759</v>
      </c>
      <c r="K135" s="74">
        <f>if(F135="SERVICE",O135-(O135*50%),Vlookup(F135,DATABASE!C:Q,10,false)*G135)</f>
        <v>0</v>
      </c>
      <c r="L135" s="74">
        <f>VLOOKUP(F135,DATABASE!C:Q,7,FALSE)</f>
        <v>161840</v>
      </c>
      <c r="M135" s="74">
        <v>161840.0</v>
      </c>
      <c r="N135" s="74">
        <f t="shared" si="8"/>
        <v>165000</v>
      </c>
      <c r="O135" s="74">
        <f t="shared" si="3"/>
        <v>400000</v>
      </c>
      <c r="P135" s="63">
        <f t="shared" si="4"/>
        <v>440000</v>
      </c>
      <c r="Q135" s="63">
        <f t="shared" si="5"/>
        <v>110000</v>
      </c>
      <c r="R135" s="93" t="str">
        <f>VLOOKUP(F135,DATABASE!C:Q,4,false)</f>
        <v>BD</v>
      </c>
      <c r="S135" s="93" t="str">
        <f>VLOOKUP(F135,DATABASE!C:P,11,false)</f>
        <v>Tire</v>
      </c>
      <c r="T135" s="93" t="str">
        <f>vlookup(F135,DATABASE!C:Q,8,false)</f>
        <v>BIAN</v>
      </c>
      <c r="Y135" s="81"/>
      <c r="Z135" s="9"/>
    </row>
    <row r="136" ht="22.5" customHeight="1">
      <c r="A136" s="49"/>
      <c r="C136" s="384">
        <v>45729.0</v>
      </c>
      <c r="D136" s="93">
        <v>45729.0</v>
      </c>
      <c r="E136" s="65" t="s">
        <v>536</v>
      </c>
      <c r="F136" s="74" t="s">
        <v>814</v>
      </c>
      <c r="G136" s="386">
        <v>2.0</v>
      </c>
      <c r="H136" s="74">
        <v>65000.0</v>
      </c>
      <c r="I136" s="74">
        <v>85000.0</v>
      </c>
      <c r="J136" s="60">
        <f t="shared" si="1"/>
        <v>45759</v>
      </c>
      <c r="K136" s="74">
        <f>if(F136="SERVICE",O136-(O136*50%),Vlookup(F136,DATABASE!C:Q,10,false)*G136)</f>
        <v>0</v>
      </c>
      <c r="L136" s="74">
        <f>VLOOKUP(F136,DATABASE!C:Q,7,FALSE)</f>
        <v>39440</v>
      </c>
      <c r="M136" s="74">
        <v>39440.0</v>
      </c>
      <c r="N136" s="74">
        <f t="shared" si="8"/>
        <v>40000</v>
      </c>
      <c r="O136" s="74">
        <f t="shared" si="3"/>
        <v>130000</v>
      </c>
      <c r="P136" s="63">
        <f t="shared" si="4"/>
        <v>170000</v>
      </c>
      <c r="Q136" s="63">
        <f t="shared" si="5"/>
        <v>90000</v>
      </c>
      <c r="R136" s="93" t="str">
        <f>VLOOKUP(F136,DATABASE!C:Q,4,false)</f>
        <v>Flap</v>
      </c>
      <c r="S136" s="93" t="str">
        <f>VLOOKUP(F136,DATABASE!C:P,11,false)</f>
        <v>Tire</v>
      </c>
      <c r="T136" s="93" t="str">
        <f>vlookup(F136,DATABASE!C:Q,8,false)</f>
        <v>BIAN</v>
      </c>
      <c r="Y136" s="81"/>
      <c r="Z136" s="9"/>
    </row>
    <row r="137" ht="22.5" customHeight="1">
      <c r="A137" s="49"/>
      <c r="C137" s="384">
        <v>45730.0</v>
      </c>
      <c r="D137" s="93">
        <v>45730.0</v>
      </c>
      <c r="E137" s="93" t="s">
        <v>891</v>
      </c>
      <c r="F137" s="74" t="s">
        <v>1439</v>
      </c>
      <c r="G137" s="386">
        <v>2.0</v>
      </c>
      <c r="H137" s="74">
        <v>630000.0</v>
      </c>
      <c r="I137" s="74">
        <v>640000.0</v>
      </c>
      <c r="J137" s="60">
        <f t="shared" si="1"/>
        <v>45760</v>
      </c>
      <c r="K137" s="74">
        <f>if(F137="SERVICE",O137-(O137*50%),Vlookup(F137,DATABASE!C:Q,10,false)*G137)</f>
        <v>0</v>
      </c>
      <c r="L137" s="74">
        <f>VLOOKUP(F137,DATABASE!C:Q,7,FALSE)</f>
        <v>556800</v>
      </c>
      <c r="M137" s="74">
        <v>540800.0</v>
      </c>
      <c r="N137" s="74">
        <f t="shared" si="8"/>
        <v>545000</v>
      </c>
      <c r="O137" s="74">
        <f t="shared" si="3"/>
        <v>1260000</v>
      </c>
      <c r="P137" s="63">
        <f t="shared" si="4"/>
        <v>1280000</v>
      </c>
      <c r="Q137" s="63">
        <f t="shared" si="5"/>
        <v>190000</v>
      </c>
      <c r="R137" s="93" t="str">
        <f>VLOOKUP(F137,DATABASE!C:Q,4,false)</f>
        <v>GT</v>
      </c>
      <c r="S137" s="93" t="str">
        <f>VLOOKUP(F137,DATABASE!C:P,11,false)</f>
        <v>Tire</v>
      </c>
      <c r="T137" s="93" t="str">
        <f>vlookup(F137,DATABASE!C:Q,8,false)</f>
        <v>BIAN</v>
      </c>
      <c r="Y137" s="81"/>
      <c r="Z137" s="9"/>
    </row>
    <row r="138" ht="22.5" customHeight="1">
      <c r="A138" s="49"/>
      <c r="C138" s="384">
        <v>45730.0</v>
      </c>
      <c r="D138" s="93">
        <v>45730.0</v>
      </c>
      <c r="E138" s="93" t="s">
        <v>267</v>
      </c>
      <c r="F138" s="74" t="s">
        <v>295</v>
      </c>
      <c r="G138" s="386">
        <v>1.0</v>
      </c>
      <c r="H138" s="74">
        <v>1525000.0</v>
      </c>
      <c r="I138" s="74">
        <v>1625000.0</v>
      </c>
      <c r="J138" s="60">
        <f t="shared" si="1"/>
        <v>45760</v>
      </c>
      <c r="K138" s="74">
        <f>if(F138="SERVICE",O138-(O138*50%),Vlookup(F138,DATABASE!C:Q,10,false)*G138)</f>
        <v>0</v>
      </c>
      <c r="L138" s="74">
        <f>VLOOKUP(F138,DATABASE!C:Q,7,FALSE)</f>
        <v>1475000</v>
      </c>
      <c r="M138" s="74">
        <v>1425000.0</v>
      </c>
      <c r="N138" s="74">
        <f t="shared" si="8"/>
        <v>1425000</v>
      </c>
      <c r="O138" s="74">
        <f t="shared" si="3"/>
        <v>1525000</v>
      </c>
      <c r="P138" s="63">
        <f t="shared" si="4"/>
        <v>1625000</v>
      </c>
      <c r="Q138" s="63">
        <f t="shared" si="5"/>
        <v>200000</v>
      </c>
      <c r="R138" s="93" t="str">
        <f>VLOOKUP(F138,DATABASE!C:Q,4,false)</f>
        <v>TIRON</v>
      </c>
      <c r="S138" s="93" t="str">
        <f>VLOOKUP(F138,DATABASE!C:P,11,false)</f>
        <v>Tire</v>
      </c>
      <c r="T138" s="93" t="str">
        <f>vlookup(F138,DATABASE!C:Q,8,false)</f>
        <v>BIAN</v>
      </c>
      <c r="Y138" s="81"/>
      <c r="Z138" s="9"/>
    </row>
    <row r="139" ht="22.5" customHeight="1">
      <c r="A139" s="49"/>
      <c r="C139" s="384">
        <v>45731.0</v>
      </c>
      <c r="D139" s="93">
        <v>45731.0</v>
      </c>
      <c r="E139" s="93" t="s">
        <v>234</v>
      </c>
      <c r="F139" s="74" t="s">
        <v>889</v>
      </c>
      <c r="G139" s="386">
        <v>1.0</v>
      </c>
      <c r="H139" s="74">
        <v>780000.0</v>
      </c>
      <c r="I139" s="74">
        <v>830000.0</v>
      </c>
      <c r="J139" s="60">
        <f t="shared" si="1"/>
        <v>45761</v>
      </c>
      <c r="K139" s="74">
        <f>if(F139="SERVICE",O139-(O139*50%),Vlookup(F139,DATABASE!C:Q,10,false)*G139)</f>
        <v>0</v>
      </c>
      <c r="L139" s="74">
        <f>VLOOKUP(F139,DATABASE!C:Q,7,FALSE)</f>
        <v>678000</v>
      </c>
      <c r="M139" s="74">
        <v>678000.0</v>
      </c>
      <c r="N139" s="74">
        <f t="shared" si="8"/>
        <v>680000</v>
      </c>
      <c r="O139" s="74">
        <f t="shared" si="3"/>
        <v>780000</v>
      </c>
      <c r="P139" s="63">
        <f t="shared" si="4"/>
        <v>830000</v>
      </c>
      <c r="Q139" s="63">
        <f t="shared" si="5"/>
        <v>150000</v>
      </c>
      <c r="R139" s="93" t="str">
        <f>VLOOKUP(F139,DATABASE!C:Q,4,false)</f>
        <v>Sailun</v>
      </c>
      <c r="S139" s="93" t="str">
        <f>VLOOKUP(F139,DATABASE!C:P,11,false)</f>
        <v>Tire</v>
      </c>
      <c r="T139" s="93" t="str">
        <f>vlookup(F139,DATABASE!C:Q,8,false)</f>
        <v>BIAN</v>
      </c>
      <c r="Y139" s="81"/>
      <c r="Z139" s="9"/>
    </row>
    <row r="140" ht="22.5" customHeight="1">
      <c r="A140" s="49"/>
      <c r="C140" s="384">
        <v>45732.0</v>
      </c>
      <c r="D140" s="93">
        <v>45732.0</v>
      </c>
      <c r="E140" s="93" t="s">
        <v>819</v>
      </c>
      <c r="F140" s="74" t="s">
        <v>1002</v>
      </c>
      <c r="G140" s="386">
        <v>1.0</v>
      </c>
      <c r="H140" s="74">
        <v>1530000.0</v>
      </c>
      <c r="I140" s="74">
        <v>1630000.0</v>
      </c>
      <c r="J140" s="60">
        <f t="shared" si="1"/>
        <v>45762</v>
      </c>
      <c r="K140" s="74">
        <f>if(F140="SERVICE",O140-(O140*50%),Vlookup(F140,DATABASE!C:Q,10,false)*G140)</f>
        <v>0</v>
      </c>
      <c r="L140" s="74">
        <f>VLOOKUP(F140,DATABASE!C:Q,7,FALSE)</f>
        <v>1447000</v>
      </c>
      <c r="M140" s="74">
        <v>1447000.0</v>
      </c>
      <c r="N140" s="74">
        <f t="shared" si="8"/>
        <v>1450000</v>
      </c>
      <c r="O140" s="74">
        <f t="shared" si="3"/>
        <v>1530000</v>
      </c>
      <c r="P140" s="63">
        <f t="shared" si="4"/>
        <v>1630000</v>
      </c>
      <c r="Q140" s="63">
        <f t="shared" si="5"/>
        <v>180000</v>
      </c>
      <c r="R140" s="93" t="str">
        <f>VLOOKUP(F140,DATABASE!C:Q,4,false)</f>
        <v>Dunlop</v>
      </c>
      <c r="S140" s="93" t="str">
        <f>VLOOKUP(F140,DATABASE!C:P,11,false)</f>
        <v>Tire</v>
      </c>
      <c r="T140" s="93" t="str">
        <f>vlookup(F140,DATABASE!C:Q,8,false)</f>
        <v>IBU</v>
      </c>
      <c r="Y140" s="81"/>
      <c r="Z140" s="9"/>
    </row>
    <row r="141" ht="22.5" customHeight="1">
      <c r="A141" s="49"/>
      <c r="C141" s="384">
        <v>45733.0</v>
      </c>
      <c r="D141" s="93">
        <v>45733.0</v>
      </c>
      <c r="E141" s="93" t="s">
        <v>267</v>
      </c>
      <c r="F141" s="74" t="s">
        <v>374</v>
      </c>
      <c r="G141" s="386">
        <v>1.0</v>
      </c>
      <c r="H141" s="74">
        <v>1960000.0</v>
      </c>
      <c r="I141" s="74">
        <v>2060000.0</v>
      </c>
      <c r="J141" s="60">
        <f t="shared" si="1"/>
        <v>45763</v>
      </c>
      <c r="K141" s="74">
        <f>if(F141="SERVICE",O141-(O141*50%),Vlookup(F141,DATABASE!C:Q,10,false)*G141)</f>
        <v>0</v>
      </c>
      <c r="L141" s="74">
        <f>VLOOKUP(F141,DATABASE!C:Q,7,FALSE)</f>
        <v>1980000</v>
      </c>
      <c r="M141" s="74">
        <v>1850000.0</v>
      </c>
      <c r="N141" s="74">
        <f t="shared" si="8"/>
        <v>1850000</v>
      </c>
      <c r="O141" s="74">
        <f t="shared" si="3"/>
        <v>1960000</v>
      </c>
      <c r="P141" s="63">
        <f t="shared" si="4"/>
        <v>2060000</v>
      </c>
      <c r="Q141" s="63">
        <f t="shared" si="5"/>
        <v>210000</v>
      </c>
      <c r="R141" s="93" t="str">
        <f>VLOOKUP(F141,DATABASE!C:Q,4,false)</f>
        <v>Advance</v>
      </c>
      <c r="S141" s="93" t="str">
        <f>VLOOKUP(F141,DATABASE!C:P,11,false)</f>
        <v>Tire</v>
      </c>
      <c r="T141" s="93" t="str">
        <f>vlookup(F141,DATABASE!C:Q,8,false)</f>
        <v>BIAN</v>
      </c>
      <c r="Y141" s="81"/>
      <c r="Z141" s="9"/>
    </row>
    <row r="142" ht="22.5" customHeight="1">
      <c r="A142" s="49"/>
      <c r="C142" s="384">
        <v>45734.0</v>
      </c>
      <c r="D142" s="93">
        <v>45734.0</v>
      </c>
      <c r="E142" s="93" t="s">
        <v>422</v>
      </c>
      <c r="F142" s="74" t="s">
        <v>374</v>
      </c>
      <c r="G142" s="386">
        <v>2.0</v>
      </c>
      <c r="H142" s="74">
        <v>1960000.0</v>
      </c>
      <c r="I142" s="74">
        <v>2050000.0</v>
      </c>
      <c r="J142" s="60">
        <f t="shared" si="1"/>
        <v>45764</v>
      </c>
      <c r="K142" s="74">
        <f>if(F142="SERVICE",O142-(O142*50%),Vlookup(F142,DATABASE!C:Q,10,false)*G142)</f>
        <v>0</v>
      </c>
      <c r="L142" s="74">
        <f>VLOOKUP(F142,DATABASE!C:Q,7,FALSE)</f>
        <v>1980000</v>
      </c>
      <c r="M142" s="74">
        <v>1850000.0</v>
      </c>
      <c r="N142" s="74">
        <f t="shared" si="8"/>
        <v>1850000</v>
      </c>
      <c r="O142" s="74">
        <f t="shared" si="3"/>
        <v>3920000</v>
      </c>
      <c r="P142" s="63">
        <f t="shared" si="4"/>
        <v>4100000</v>
      </c>
      <c r="Q142" s="63">
        <f t="shared" si="5"/>
        <v>400000</v>
      </c>
      <c r="R142" s="93" t="str">
        <f>VLOOKUP(F142,DATABASE!C:Q,4,false)</f>
        <v>Advance</v>
      </c>
      <c r="S142" s="93" t="str">
        <f>VLOOKUP(F142,DATABASE!C:P,11,false)</f>
        <v>Tire</v>
      </c>
      <c r="T142" s="93" t="str">
        <f>vlookup(F142,DATABASE!C:Q,8,false)</f>
        <v>BIAN</v>
      </c>
      <c r="Y142" s="81"/>
      <c r="Z142" s="9"/>
    </row>
    <row r="143" ht="22.5" customHeight="1">
      <c r="A143" s="49"/>
      <c r="C143" s="384">
        <v>45735.0</v>
      </c>
      <c r="D143" s="93">
        <v>45735.0</v>
      </c>
      <c r="E143" s="93" t="s">
        <v>267</v>
      </c>
      <c r="F143" s="74" t="s">
        <v>403</v>
      </c>
      <c r="G143" s="386">
        <v>2.0</v>
      </c>
      <c r="H143" s="74">
        <v>2275000.0</v>
      </c>
      <c r="I143" s="74">
        <v>2375000.0</v>
      </c>
      <c r="J143" s="60">
        <f t="shared" si="1"/>
        <v>45765</v>
      </c>
      <c r="K143" s="74">
        <f>if(F143="SERVICE",O143-(O143*50%),Vlookup(F143,DATABASE!C:Q,10,false)*G143)</f>
        <v>0</v>
      </c>
      <c r="L143" s="74">
        <f>VLOOKUP(F143,DATABASE!C:Q,7,FALSE)</f>
        <v>2160000</v>
      </c>
      <c r="M143" s="74">
        <v>2160000.0</v>
      </c>
      <c r="N143" s="74">
        <f t="shared" si="8"/>
        <v>2160000</v>
      </c>
      <c r="O143" s="74">
        <f t="shared" si="3"/>
        <v>4550000</v>
      </c>
      <c r="P143" s="63">
        <f t="shared" si="4"/>
        <v>4750000</v>
      </c>
      <c r="Q143" s="63">
        <f t="shared" si="5"/>
        <v>430000</v>
      </c>
      <c r="R143" s="93" t="str">
        <f>VLOOKUP(F143,DATABASE!C:Q,4,false)</f>
        <v>Advance</v>
      </c>
      <c r="S143" s="93" t="str">
        <f>VLOOKUP(F143,DATABASE!C:P,11,false)</f>
        <v>Tire</v>
      </c>
      <c r="T143" s="93" t="str">
        <f>vlookup(F143,DATABASE!C:Q,8,false)</f>
        <v>BIAN</v>
      </c>
      <c r="Y143" s="81"/>
      <c r="Z143" s="9"/>
    </row>
    <row r="144" ht="22.5" customHeight="1">
      <c r="A144" s="49"/>
      <c r="C144" s="384">
        <v>45736.0</v>
      </c>
      <c r="D144" s="93">
        <v>45736.0</v>
      </c>
      <c r="E144" s="93" t="s">
        <v>985</v>
      </c>
      <c r="F144" s="74" t="s">
        <v>282</v>
      </c>
      <c r="G144" s="386">
        <v>1.0</v>
      </c>
      <c r="H144" s="74">
        <v>860000.0</v>
      </c>
      <c r="I144" s="74">
        <v>880000.0</v>
      </c>
      <c r="J144" s="60">
        <f t="shared" si="1"/>
        <v>45766</v>
      </c>
      <c r="K144" s="74">
        <f>if(F144="SERVICE",O144-(O144*50%),Vlookup(F144,DATABASE!C:Q,10,false)*G144)</f>
        <v>0</v>
      </c>
      <c r="L144" s="74">
        <f>VLOOKUP(F144,DATABASE!C:Q,7,FALSE)</f>
        <v>779500</v>
      </c>
      <c r="M144" s="74">
        <v>771000.0</v>
      </c>
      <c r="N144" s="74">
        <f t="shared" si="8"/>
        <v>775000</v>
      </c>
      <c r="O144" s="74">
        <f t="shared" si="3"/>
        <v>860000</v>
      </c>
      <c r="P144" s="63">
        <f t="shared" si="4"/>
        <v>880000</v>
      </c>
      <c r="Q144" s="63">
        <f t="shared" si="5"/>
        <v>105000</v>
      </c>
      <c r="R144" s="93" t="str">
        <f>VLOOKUP(F144,DATABASE!C:Q,4,false)</f>
        <v>Dunlop</v>
      </c>
      <c r="S144" s="93" t="str">
        <f>VLOOKUP(F144,DATABASE!C:P,11,false)</f>
        <v>Tire</v>
      </c>
      <c r="T144" s="93" t="str">
        <f>vlookup(F144,DATABASE!C:Q,8,false)</f>
        <v>IBU</v>
      </c>
      <c r="Y144" s="81"/>
      <c r="Z144" s="9"/>
    </row>
    <row r="145" ht="22.5" customHeight="1">
      <c r="A145" s="49"/>
      <c r="C145" s="384">
        <v>45737.0</v>
      </c>
      <c r="D145" s="93">
        <v>45737.0</v>
      </c>
      <c r="E145" s="93" t="s">
        <v>470</v>
      </c>
      <c r="F145" s="93" t="s">
        <v>1851</v>
      </c>
      <c r="G145" s="386">
        <v>10.0</v>
      </c>
      <c r="H145" s="74">
        <v>2200000.0</v>
      </c>
      <c r="I145" s="74">
        <v>2230000.0</v>
      </c>
      <c r="J145" s="60">
        <f t="shared" si="1"/>
        <v>45767</v>
      </c>
      <c r="K145" s="74">
        <f>if(F145="SERVICE",O145-(O145*50%),Vlookup(F145,DATABASE!C:Q,10,false)*G145)</f>
        <v>0</v>
      </c>
      <c r="L145" s="74">
        <f>VLOOKUP(F145,DATABASE!C:Q,7,FALSE)</f>
        <v>2020000</v>
      </c>
      <c r="M145" s="74">
        <v>2075000.0</v>
      </c>
      <c r="N145" s="74">
        <f t="shared" si="8"/>
        <v>2075000</v>
      </c>
      <c r="O145" s="74">
        <f t="shared" si="3"/>
        <v>22000000</v>
      </c>
      <c r="P145" s="63">
        <f t="shared" si="4"/>
        <v>22300000</v>
      </c>
      <c r="Q145" s="63">
        <f t="shared" si="5"/>
        <v>1550000</v>
      </c>
      <c r="R145" s="93" t="str">
        <f>VLOOKUP(F145,DATABASE!C:Q,4,false)</f>
        <v>G. YEAR</v>
      </c>
      <c r="S145" s="93" t="str">
        <f>VLOOKUP(F145,DATABASE!C:P,11,false)</f>
        <v>Tire</v>
      </c>
      <c r="T145" s="93" t="str">
        <f>vlookup(F145,DATABASE!C:Q,8,false)</f>
        <v>BIAN</v>
      </c>
      <c r="Y145" s="81"/>
      <c r="Z145" s="9"/>
    </row>
    <row r="146" ht="22.5" customHeight="1">
      <c r="A146" s="49"/>
      <c r="C146" s="384">
        <v>45737.0</v>
      </c>
      <c r="D146" s="93">
        <v>45737.0</v>
      </c>
      <c r="E146" s="93" t="s">
        <v>470</v>
      </c>
      <c r="F146" s="74" t="s">
        <v>897</v>
      </c>
      <c r="G146" s="386">
        <v>4.0</v>
      </c>
      <c r="H146" s="74">
        <v>1600000.0</v>
      </c>
      <c r="I146" s="74">
        <v>1630000.0</v>
      </c>
      <c r="J146" s="60">
        <f t="shared" si="1"/>
        <v>45767</v>
      </c>
      <c r="K146" s="74">
        <f>if(F146="SERVICE",O146-(O146*50%),Vlookup(F146,DATABASE!C:Q,10,false)*G146)</f>
        <v>0</v>
      </c>
      <c r="L146" s="74">
        <f>VLOOKUP(F146,DATABASE!C:Q,7,FALSE)</f>
        <v>1560000</v>
      </c>
      <c r="M146" s="74">
        <v>1500000.0</v>
      </c>
      <c r="N146" s="74">
        <f t="shared" si="8"/>
        <v>1500000</v>
      </c>
      <c r="O146" s="74">
        <f t="shared" si="3"/>
        <v>6400000</v>
      </c>
      <c r="P146" s="63">
        <f t="shared" si="4"/>
        <v>6520000</v>
      </c>
      <c r="Q146" s="63">
        <f t="shared" si="5"/>
        <v>520000</v>
      </c>
      <c r="R146" s="93" t="str">
        <f>VLOOKUP(F146,DATABASE!C:Q,4,false)</f>
        <v>GT</v>
      </c>
      <c r="S146" s="93" t="str">
        <f>VLOOKUP(F146,DATABASE!C:P,11,false)</f>
        <v>Tire</v>
      </c>
      <c r="T146" s="93" t="str">
        <f>vlookup(F146,DATABASE!C:Q,8,false)</f>
        <v>BIAN</v>
      </c>
      <c r="Y146" s="81"/>
      <c r="Z146" s="9"/>
    </row>
    <row r="147" ht="22.5" customHeight="1">
      <c r="A147" s="49"/>
      <c r="C147" s="384">
        <v>45737.0</v>
      </c>
      <c r="D147" s="93">
        <v>45737.0</v>
      </c>
      <c r="E147" s="93" t="s">
        <v>470</v>
      </c>
      <c r="F147" s="74" t="s">
        <v>744</v>
      </c>
      <c r="G147" s="386">
        <v>4.0</v>
      </c>
      <c r="H147" s="74">
        <v>230000.0</v>
      </c>
      <c r="I147" s="74">
        <v>230000.0</v>
      </c>
      <c r="J147" s="60">
        <f t="shared" si="1"/>
        <v>45767</v>
      </c>
      <c r="K147" s="74">
        <f>if(F147="SERVICE",O147-(O147*50%),Vlookup(F147,DATABASE!C:Q,10,false)*G147)</f>
        <v>0</v>
      </c>
      <c r="L147" s="74">
        <f>VLOOKUP(F147,DATABASE!C:Q,7,FALSE)</f>
        <v>182200</v>
      </c>
      <c r="M147" s="74">
        <v>199920.0</v>
      </c>
      <c r="N147" s="74">
        <f t="shared" si="8"/>
        <v>200000</v>
      </c>
      <c r="O147" s="74">
        <f t="shared" si="3"/>
        <v>920000</v>
      </c>
      <c r="P147" s="63">
        <f t="shared" si="4"/>
        <v>920000</v>
      </c>
      <c r="Q147" s="63">
        <f t="shared" si="5"/>
        <v>120000</v>
      </c>
      <c r="R147" s="93" t="str">
        <f>VLOOKUP(F147,DATABASE!C:Q,4,false)</f>
        <v>BD</v>
      </c>
      <c r="S147" s="93" t="str">
        <f>VLOOKUP(F147,DATABASE!C:P,11,false)</f>
        <v>Tire</v>
      </c>
      <c r="T147" s="93" t="str">
        <f>vlookup(F147,DATABASE!C:Q,8,false)</f>
        <v>BIAN</v>
      </c>
      <c r="Y147" s="81"/>
      <c r="Z147" s="9"/>
    </row>
    <row r="148" ht="22.5" customHeight="1">
      <c r="A148" s="49"/>
      <c r="C148" s="384">
        <v>45737.0</v>
      </c>
      <c r="D148" s="93">
        <v>45737.0</v>
      </c>
      <c r="E148" s="93" t="s">
        <v>470</v>
      </c>
      <c r="F148" s="74" t="s">
        <v>821</v>
      </c>
      <c r="G148" s="386">
        <v>4.0</v>
      </c>
      <c r="H148" s="74">
        <v>80000.0</v>
      </c>
      <c r="I148" s="74">
        <v>80000.0</v>
      </c>
      <c r="J148" s="60">
        <f t="shared" si="1"/>
        <v>45767</v>
      </c>
      <c r="K148" s="74">
        <f>if(F148="SERVICE",O148-(O148*50%),Vlookup(F148,DATABASE!C:Q,10,false)*G148)</f>
        <v>0</v>
      </c>
      <c r="L148" s="74">
        <f>VLOOKUP(F148,DATABASE!C:Q,7,FALSE)</f>
        <v>43500</v>
      </c>
      <c r="M148" s="74">
        <v>43520.0</v>
      </c>
      <c r="N148" s="74">
        <f t="shared" si="8"/>
        <v>45000</v>
      </c>
      <c r="O148" s="74">
        <f t="shared" si="3"/>
        <v>320000</v>
      </c>
      <c r="P148" s="63">
        <f t="shared" si="4"/>
        <v>320000</v>
      </c>
      <c r="Q148" s="63">
        <f t="shared" si="5"/>
        <v>140000</v>
      </c>
      <c r="R148" s="93" t="str">
        <f>VLOOKUP(F148,DATABASE!C:Q,4,false)</f>
        <v>Flap</v>
      </c>
      <c r="S148" s="93" t="str">
        <f>VLOOKUP(F148,DATABASE!C:P,11,false)</f>
        <v>Tire</v>
      </c>
      <c r="T148" s="93" t="str">
        <f>vlookup(F148,DATABASE!C:Q,8,false)</f>
        <v>BIAN</v>
      </c>
      <c r="Y148" s="81"/>
      <c r="Z148" s="9"/>
    </row>
    <row r="149" ht="22.5" customHeight="1">
      <c r="A149" s="49"/>
      <c r="C149" s="384">
        <v>45738.0</v>
      </c>
      <c r="D149" s="93">
        <v>45738.0</v>
      </c>
      <c r="E149" s="93" t="s">
        <v>267</v>
      </c>
      <c r="F149" s="74" t="s">
        <v>391</v>
      </c>
      <c r="G149" s="386">
        <v>2.0</v>
      </c>
      <c r="H149" s="74">
        <v>1950000.0</v>
      </c>
      <c r="I149" s="74">
        <v>2050000.0</v>
      </c>
      <c r="J149" s="60">
        <f t="shared" si="1"/>
        <v>45768</v>
      </c>
      <c r="K149" s="74">
        <f>if(F149="SERVICE",O149-(O149*50%),Vlookup(F149,DATABASE!C:Q,10,false)*G149)</f>
        <v>0</v>
      </c>
      <c r="L149" s="74">
        <f>VLOOKUP(F149,DATABASE!C:Q,7,FALSE)</f>
        <v>1885000</v>
      </c>
      <c r="M149" s="74">
        <v>1840000.0</v>
      </c>
      <c r="N149" s="74">
        <f t="shared" si="8"/>
        <v>1840000</v>
      </c>
      <c r="O149" s="74">
        <f t="shared" si="3"/>
        <v>3900000</v>
      </c>
      <c r="P149" s="63">
        <f t="shared" si="4"/>
        <v>4100000</v>
      </c>
      <c r="Q149" s="63">
        <f t="shared" si="5"/>
        <v>420000</v>
      </c>
      <c r="R149" s="93" t="str">
        <f>VLOOKUP(F149,DATABASE!C:Q,4,false)</f>
        <v>Advance</v>
      </c>
      <c r="S149" s="93" t="str">
        <f>VLOOKUP(F149,DATABASE!C:P,11,false)</f>
        <v>Tire</v>
      </c>
      <c r="T149" s="93" t="str">
        <f>vlookup(F149,DATABASE!C:Q,8,false)</f>
        <v>BIAN</v>
      </c>
      <c r="Y149" s="81"/>
      <c r="Z149" s="9"/>
    </row>
    <row r="150" ht="22.5" customHeight="1">
      <c r="A150" s="49"/>
      <c r="C150" s="384">
        <v>45738.0</v>
      </c>
      <c r="D150" s="93">
        <v>45738.0</v>
      </c>
      <c r="E150" s="93" t="s">
        <v>801</v>
      </c>
      <c r="F150" s="74" t="s">
        <v>897</v>
      </c>
      <c r="G150" s="386">
        <v>2.0</v>
      </c>
      <c r="H150" s="74">
        <v>1600000.0</v>
      </c>
      <c r="I150" s="74">
        <v>1700000.0</v>
      </c>
      <c r="J150" s="60">
        <f t="shared" si="1"/>
        <v>45768</v>
      </c>
      <c r="K150" s="74">
        <f>if(F150="SERVICE",O150-(O150*50%),Vlookup(F150,DATABASE!C:Q,10,false)*G150)</f>
        <v>0</v>
      </c>
      <c r="L150" s="74">
        <f>VLOOKUP(F150,DATABASE!C:Q,7,FALSE)</f>
        <v>1560000</v>
      </c>
      <c r="M150" s="74">
        <v>1500000.0</v>
      </c>
      <c r="N150" s="74">
        <f t="shared" si="8"/>
        <v>1500000</v>
      </c>
      <c r="O150" s="74">
        <f t="shared" si="3"/>
        <v>3200000</v>
      </c>
      <c r="P150" s="63">
        <f t="shared" si="4"/>
        <v>3400000</v>
      </c>
      <c r="Q150" s="63">
        <f t="shared" si="5"/>
        <v>400000</v>
      </c>
      <c r="R150" s="93" t="str">
        <f>VLOOKUP(F150,DATABASE!C:Q,4,false)</f>
        <v>GT</v>
      </c>
      <c r="S150" s="93" t="str">
        <f>VLOOKUP(F150,DATABASE!C:P,11,false)</f>
        <v>Tire</v>
      </c>
      <c r="T150" s="93" t="str">
        <f>vlookup(F150,DATABASE!C:Q,8,false)</f>
        <v>BIAN</v>
      </c>
      <c r="Y150" s="81"/>
      <c r="Z150" s="9"/>
    </row>
    <row r="151" ht="22.5" customHeight="1">
      <c r="A151" s="49"/>
      <c r="C151" s="384">
        <v>45738.0</v>
      </c>
      <c r="D151" s="93">
        <v>45738.0</v>
      </c>
      <c r="E151" s="93" t="s">
        <v>801</v>
      </c>
      <c r="F151" s="74" t="s">
        <v>647</v>
      </c>
      <c r="G151" s="386">
        <v>3.0</v>
      </c>
      <c r="H151" s="74">
        <v>1470000.0</v>
      </c>
      <c r="I151" s="74">
        <v>1570000.0</v>
      </c>
      <c r="J151" s="60">
        <f t="shared" si="1"/>
        <v>45768</v>
      </c>
      <c r="K151" s="74">
        <f>if(F151="SERVICE",O151-(O151*50%),Vlookup(F151,DATABASE!C:Q,10,false)*G151)</f>
        <v>0</v>
      </c>
      <c r="L151" s="74">
        <f>VLOOKUP(F151,DATABASE!C:Q,7,FALSE)</f>
        <v>1420000</v>
      </c>
      <c r="M151" s="74">
        <v>1420000.0</v>
      </c>
      <c r="N151" s="74">
        <f t="shared" si="8"/>
        <v>1420000</v>
      </c>
      <c r="O151" s="74">
        <f t="shared" si="3"/>
        <v>4410000</v>
      </c>
      <c r="P151" s="63">
        <f t="shared" si="4"/>
        <v>4710000</v>
      </c>
      <c r="Q151" s="63">
        <f t="shared" si="5"/>
        <v>450000</v>
      </c>
      <c r="R151" s="93" t="str">
        <f>VLOOKUP(F151,DATABASE!C:Q,4,false)</f>
        <v>G. YEAR</v>
      </c>
      <c r="S151" s="93" t="str">
        <f>VLOOKUP(F151,DATABASE!C:P,11,false)</f>
        <v>Tire</v>
      </c>
      <c r="T151" s="93" t="str">
        <f>vlookup(F151,DATABASE!C:Q,8,false)</f>
        <v>BIAN</v>
      </c>
      <c r="Y151" s="81"/>
      <c r="Z151" s="9"/>
    </row>
    <row r="152" ht="22.5" customHeight="1">
      <c r="A152" s="49"/>
      <c r="C152" s="384">
        <v>45738.0</v>
      </c>
      <c r="D152" s="93">
        <v>45738.0</v>
      </c>
      <c r="E152" s="93" t="s">
        <v>801</v>
      </c>
      <c r="F152" s="74" t="s">
        <v>744</v>
      </c>
      <c r="G152" s="386">
        <v>5.0</v>
      </c>
      <c r="H152" s="74">
        <v>230000.0</v>
      </c>
      <c r="I152" s="74">
        <v>250000.0</v>
      </c>
      <c r="J152" s="60">
        <f t="shared" si="1"/>
        <v>45768</v>
      </c>
      <c r="K152" s="74">
        <f>if(F152="SERVICE",O152-(O152*50%),Vlookup(F152,DATABASE!C:Q,10,false)*G152)</f>
        <v>0</v>
      </c>
      <c r="L152" s="74">
        <f>VLOOKUP(F152,DATABASE!C:Q,7,FALSE)</f>
        <v>182200</v>
      </c>
      <c r="M152" s="74">
        <v>199920.0</v>
      </c>
      <c r="N152" s="74">
        <f t="shared" si="8"/>
        <v>200000</v>
      </c>
      <c r="O152" s="74">
        <f t="shared" si="3"/>
        <v>1150000</v>
      </c>
      <c r="P152" s="63">
        <f t="shared" si="4"/>
        <v>1250000</v>
      </c>
      <c r="Q152" s="63">
        <f t="shared" si="5"/>
        <v>250000</v>
      </c>
      <c r="R152" s="93" t="str">
        <f>VLOOKUP(F152,DATABASE!C:Q,4,false)</f>
        <v>BD</v>
      </c>
      <c r="S152" s="93" t="str">
        <f>VLOOKUP(F152,DATABASE!C:P,11,false)</f>
        <v>Tire</v>
      </c>
      <c r="T152" s="93" t="str">
        <f>vlookup(F152,DATABASE!C:Q,8,false)</f>
        <v>BIAN</v>
      </c>
      <c r="Y152" s="81"/>
      <c r="Z152" s="9"/>
    </row>
    <row r="153" ht="22.5" customHeight="1">
      <c r="A153" s="49"/>
      <c r="C153" s="384">
        <v>45738.0</v>
      </c>
      <c r="D153" s="93">
        <v>45738.0</v>
      </c>
      <c r="E153" s="93" t="s">
        <v>801</v>
      </c>
      <c r="F153" s="74" t="s">
        <v>821</v>
      </c>
      <c r="G153" s="386">
        <v>5.0</v>
      </c>
      <c r="H153" s="74">
        <v>80000.0</v>
      </c>
      <c r="I153" s="74">
        <v>100000.0</v>
      </c>
      <c r="J153" s="60">
        <f t="shared" si="1"/>
        <v>45768</v>
      </c>
      <c r="K153" s="74">
        <f>if(F153="SERVICE",O153-(O153*50%),Vlookup(F153,DATABASE!C:Q,10,false)*G153)</f>
        <v>0</v>
      </c>
      <c r="L153" s="74">
        <f>VLOOKUP(F153,DATABASE!C:Q,7,FALSE)</f>
        <v>43500</v>
      </c>
      <c r="M153" s="74">
        <v>43520.0</v>
      </c>
      <c r="N153" s="74">
        <f t="shared" si="8"/>
        <v>45000</v>
      </c>
      <c r="O153" s="74">
        <f t="shared" si="3"/>
        <v>400000</v>
      </c>
      <c r="P153" s="63">
        <f t="shared" si="4"/>
        <v>500000</v>
      </c>
      <c r="Q153" s="63">
        <f t="shared" si="5"/>
        <v>275000</v>
      </c>
      <c r="R153" s="93" t="str">
        <f>VLOOKUP(F153,DATABASE!C:Q,4,false)</f>
        <v>Flap</v>
      </c>
      <c r="S153" s="93" t="str">
        <f>VLOOKUP(F153,DATABASE!C:P,11,false)</f>
        <v>Tire</v>
      </c>
      <c r="T153" s="93" t="str">
        <f>vlookup(F153,DATABASE!C:Q,8,false)</f>
        <v>BIAN</v>
      </c>
      <c r="Y153" s="81"/>
      <c r="Z153" s="9"/>
    </row>
    <row r="154" ht="22.5" customHeight="1">
      <c r="A154" s="49"/>
      <c r="C154" s="384">
        <v>45741.0</v>
      </c>
      <c r="D154" s="93">
        <v>45741.0</v>
      </c>
      <c r="E154" s="93" t="s">
        <v>741</v>
      </c>
      <c r="F154" s="74" t="s">
        <v>391</v>
      </c>
      <c r="G154" s="386">
        <v>2.0</v>
      </c>
      <c r="H154" s="74">
        <v>1950000.0</v>
      </c>
      <c r="I154" s="74">
        <v>2050000.0</v>
      </c>
      <c r="J154" s="60">
        <f t="shared" si="1"/>
        <v>45771</v>
      </c>
      <c r="K154" s="74">
        <f>if(F154="SERVICE",O154-(O154*50%),Vlookup(F154,DATABASE!C:Q,10,false)*G154)</f>
        <v>0</v>
      </c>
      <c r="L154" s="74">
        <f>VLOOKUP(F154,DATABASE!C:Q,7,FALSE)</f>
        <v>1885000</v>
      </c>
      <c r="M154" s="74">
        <v>1840000.0</v>
      </c>
      <c r="N154" s="74">
        <f t="shared" si="8"/>
        <v>1840000</v>
      </c>
      <c r="O154" s="74">
        <f t="shared" si="3"/>
        <v>3900000</v>
      </c>
      <c r="P154" s="63">
        <f t="shared" si="4"/>
        <v>4100000</v>
      </c>
      <c r="Q154" s="63">
        <f t="shared" si="5"/>
        <v>420000</v>
      </c>
      <c r="R154" s="93" t="str">
        <f>VLOOKUP(F154,DATABASE!C:Q,4,false)</f>
        <v>Advance</v>
      </c>
      <c r="S154" s="93" t="str">
        <f>VLOOKUP(F154,DATABASE!C:P,11,false)</f>
        <v>Tire</v>
      </c>
      <c r="T154" s="93" t="str">
        <f>vlookup(F154,DATABASE!C:Q,8,false)</f>
        <v>BIAN</v>
      </c>
      <c r="Y154" s="81"/>
      <c r="Z154" s="9"/>
    </row>
    <row r="155" ht="22.5" customHeight="1">
      <c r="A155" s="49"/>
      <c r="C155" s="384">
        <v>45741.0</v>
      </c>
      <c r="D155" s="93">
        <v>45741.0</v>
      </c>
      <c r="E155" s="93" t="s">
        <v>901</v>
      </c>
      <c r="F155" s="74" t="s">
        <v>924</v>
      </c>
      <c r="G155" s="386">
        <v>2.0</v>
      </c>
      <c r="H155" s="74">
        <v>1800000.0</v>
      </c>
      <c r="I155" s="74">
        <v>1900000.0</v>
      </c>
      <c r="J155" s="60">
        <f t="shared" si="1"/>
        <v>45771</v>
      </c>
      <c r="K155" s="74">
        <f>if(F155="SERVICE",O155-(O155*50%),Vlookup(F155,DATABASE!C:Q,10,false)*G155)</f>
        <v>0</v>
      </c>
      <c r="L155" s="74">
        <f>VLOOKUP(F155,DATABASE!C:Q,7,FALSE)</f>
        <v>1560000</v>
      </c>
      <c r="M155" s="140">
        <v>1700000.0</v>
      </c>
      <c r="N155" s="74">
        <f t="shared" si="8"/>
        <v>1700000</v>
      </c>
      <c r="O155" s="74">
        <f t="shared" si="3"/>
        <v>3600000</v>
      </c>
      <c r="P155" s="63">
        <f t="shared" si="4"/>
        <v>3800000</v>
      </c>
      <c r="Q155" s="63">
        <f t="shared" si="5"/>
        <v>400000</v>
      </c>
      <c r="R155" s="93" t="str">
        <f>VLOOKUP(F155,DATABASE!C:Q,4,false)</f>
        <v>TIRON</v>
      </c>
      <c r="S155" s="93" t="str">
        <f>VLOOKUP(F155,DATABASE!C:P,11,false)</f>
        <v>Tire</v>
      </c>
      <c r="T155" s="93" t="str">
        <f>vlookup(F155,DATABASE!C:Q,8,false)</f>
        <v>BIAN</v>
      </c>
      <c r="Y155" s="81"/>
      <c r="Z155" s="9"/>
    </row>
    <row r="156" ht="22.5" customHeight="1">
      <c r="A156" s="49"/>
      <c r="C156" s="384">
        <v>45743.0</v>
      </c>
      <c r="D156" s="93">
        <v>45743.0</v>
      </c>
      <c r="E156" s="93" t="s">
        <v>735</v>
      </c>
      <c r="F156" s="74" t="s">
        <v>647</v>
      </c>
      <c r="G156" s="386">
        <v>2.0</v>
      </c>
      <c r="H156" s="74">
        <v>1470000.0</v>
      </c>
      <c r="I156" s="74">
        <v>1570000.0</v>
      </c>
      <c r="J156" s="60">
        <f t="shared" si="1"/>
        <v>45773</v>
      </c>
      <c r="K156" s="74">
        <f>if(F156="SERVICE",O156-(O156*50%),Vlookup(F156,DATABASE!C:Q,10,false)*G156)</f>
        <v>0</v>
      </c>
      <c r="L156" s="74">
        <f>VLOOKUP(F156,DATABASE!C:Q,7,FALSE)</f>
        <v>1420000</v>
      </c>
      <c r="M156" s="74">
        <v>1420000.0</v>
      </c>
      <c r="N156" s="74">
        <f t="shared" si="8"/>
        <v>1420000</v>
      </c>
      <c r="O156" s="74">
        <f t="shared" si="3"/>
        <v>2940000</v>
      </c>
      <c r="P156" s="63">
        <f t="shared" si="4"/>
        <v>3140000</v>
      </c>
      <c r="Q156" s="63">
        <f t="shared" si="5"/>
        <v>300000</v>
      </c>
      <c r="R156" s="93" t="str">
        <f>VLOOKUP(F156,DATABASE!C:Q,4,false)</f>
        <v>G. YEAR</v>
      </c>
      <c r="S156" s="93" t="str">
        <f>VLOOKUP(F156,DATABASE!C:P,11,false)</f>
        <v>Tire</v>
      </c>
      <c r="T156" s="93" t="str">
        <f>vlookup(F156,DATABASE!C:Q,8,false)</f>
        <v>BIAN</v>
      </c>
      <c r="Y156" s="81"/>
      <c r="Z156" s="9"/>
    </row>
    <row r="157" ht="22.5" customHeight="1">
      <c r="A157" s="49"/>
      <c r="C157" s="384">
        <v>45746.0</v>
      </c>
      <c r="D157" s="93">
        <v>45746.0</v>
      </c>
      <c r="E157" s="93" t="s">
        <v>991</v>
      </c>
      <c r="F157" s="74" t="s">
        <v>1995</v>
      </c>
      <c r="G157" s="386">
        <v>2.0</v>
      </c>
      <c r="H157" s="74">
        <v>1250000.0</v>
      </c>
      <c r="I157" s="74">
        <v>1320000.0</v>
      </c>
      <c r="J157" s="60">
        <f t="shared" si="1"/>
        <v>45776</v>
      </c>
      <c r="K157" s="74">
        <f>if(F157="SERVICE",O157-(O157*50%),Vlookup(F157,DATABASE!C:Q,10,false)*G157)</f>
        <v>0</v>
      </c>
      <c r="L157" s="74">
        <f>VLOOKUP(F157,DATABASE!C:Q,7,FALSE)</f>
        <v>1280000</v>
      </c>
      <c r="M157" s="74">
        <v>1280000.0</v>
      </c>
      <c r="N157" s="74">
        <f t="shared" si="8"/>
        <v>1280000</v>
      </c>
      <c r="O157" s="74">
        <f t="shared" si="3"/>
        <v>2500000</v>
      </c>
      <c r="P157" s="63">
        <f t="shared" si="4"/>
        <v>2640000</v>
      </c>
      <c r="Q157" s="63">
        <f t="shared" si="5"/>
        <v>80000</v>
      </c>
      <c r="R157" s="93" t="str">
        <f>VLOOKUP(F157,DATABASE!C:Q,4,false)</f>
        <v>GT</v>
      </c>
      <c r="S157" s="93" t="str">
        <f>VLOOKUP(F157,DATABASE!C:P,11,false)</f>
        <v>Tire</v>
      </c>
      <c r="T157" s="93" t="str">
        <f>vlookup(F157,DATABASE!C:Q,8,false)</f>
        <v>BIAN</v>
      </c>
      <c r="Y157" s="81"/>
      <c r="Z157" s="9"/>
    </row>
    <row r="158" ht="22.5" customHeight="1">
      <c r="A158" s="49"/>
      <c r="C158" s="384">
        <v>45746.0</v>
      </c>
      <c r="D158" s="93">
        <v>45746.0</v>
      </c>
      <c r="E158" s="93" t="s">
        <v>991</v>
      </c>
      <c r="F158" s="74" t="s">
        <v>2135</v>
      </c>
      <c r="G158" s="386">
        <v>2.0</v>
      </c>
      <c r="H158" s="74">
        <v>20000.0</v>
      </c>
      <c r="I158" s="74">
        <v>20000.0</v>
      </c>
      <c r="J158" s="60">
        <f t="shared" si="1"/>
        <v>45776</v>
      </c>
      <c r="K158" s="74">
        <f>if(F158="SERVICE",O158-(O158*50%),Vlookup(F158,DATABASE!C:Q,10,false)*G158)</f>
        <v>0</v>
      </c>
      <c r="L158" s="74">
        <f>VLOOKUP(F158,DATABASE!C:Q,7,FALSE)</f>
        <v>0</v>
      </c>
      <c r="M158" s="74">
        <v>0.0</v>
      </c>
      <c r="N158" s="74">
        <f t="shared" si="8"/>
        <v>0</v>
      </c>
      <c r="O158" s="74">
        <f t="shared" si="3"/>
        <v>40000</v>
      </c>
      <c r="P158" s="63">
        <f t="shared" si="4"/>
        <v>40000</v>
      </c>
      <c r="Q158" s="63">
        <f t="shared" si="5"/>
        <v>40000</v>
      </c>
      <c r="R158" s="93" t="str">
        <f>VLOOKUP(F158,DATABASE!C:Q,4,false)</f>
        <v>NITROGEN</v>
      </c>
      <c r="S158" s="93" t="str">
        <f>VLOOKUP(F158,DATABASE!C:P,11,false)</f>
        <v>COMPLEMENTARY</v>
      </c>
      <c r="T158" s="93" t="str">
        <f>vlookup(F158,DATABASE!C:Q,8,false)</f>
        <v>IBU</v>
      </c>
      <c r="Y158" s="81"/>
      <c r="Z158" s="9"/>
    </row>
    <row r="159" ht="22.5" customHeight="1">
      <c r="A159" s="49"/>
      <c r="C159" s="384">
        <v>45746.0</v>
      </c>
      <c r="D159" s="93">
        <v>45746.0</v>
      </c>
      <c r="E159" s="93" t="s">
        <v>991</v>
      </c>
      <c r="F159" s="74" t="s">
        <v>461</v>
      </c>
      <c r="G159" s="386">
        <v>2.0</v>
      </c>
      <c r="H159" s="74">
        <v>40000.0</v>
      </c>
      <c r="I159" s="74">
        <v>30000.0</v>
      </c>
      <c r="J159" s="60">
        <f t="shared" si="1"/>
        <v>45776</v>
      </c>
      <c r="K159" s="74">
        <f>if(F159="SERVICE",O159-(O159*50%),Vlookup(F159,DATABASE!C:Q,10,false)*G159)</f>
        <v>0</v>
      </c>
      <c r="L159" s="74">
        <f>VLOOKUP(F159,DATABASE!C:Q,7,FALSE)</f>
        <v>15000</v>
      </c>
      <c r="M159" s="74">
        <v>10000.0</v>
      </c>
      <c r="N159" s="74">
        <f t="shared" si="8"/>
        <v>10000</v>
      </c>
      <c r="O159" s="74">
        <f t="shared" si="3"/>
        <v>80000</v>
      </c>
      <c r="P159" s="63">
        <f t="shared" si="4"/>
        <v>60000</v>
      </c>
      <c r="Q159" s="63">
        <f t="shared" si="5"/>
        <v>40000</v>
      </c>
      <c r="R159" s="93" t="str">
        <f>VLOOKUP(F159,DATABASE!C:Q,4,false)</f>
        <v>Balancing</v>
      </c>
      <c r="S159" s="93" t="str">
        <f>VLOOKUP(F159,DATABASE!C:P,11,false)</f>
        <v>COMPLEMENTARY</v>
      </c>
      <c r="T159" s="93" t="str">
        <f>vlookup(F159,DATABASE!C:Q,8,false)</f>
        <v>BIAN</v>
      </c>
      <c r="Y159" s="81"/>
      <c r="Z159" s="9"/>
    </row>
    <row r="160" ht="22.5" customHeight="1">
      <c r="A160" s="49"/>
      <c r="C160" s="384">
        <v>45746.0</v>
      </c>
      <c r="D160" s="93">
        <v>45746.0</v>
      </c>
      <c r="E160" s="93" t="s">
        <v>991</v>
      </c>
      <c r="F160" s="74" t="s">
        <v>256</v>
      </c>
      <c r="G160" s="386">
        <v>1.0</v>
      </c>
      <c r="H160" s="74">
        <v>150000.0</v>
      </c>
      <c r="I160" s="74">
        <v>150000.0</v>
      </c>
      <c r="J160" s="60">
        <f t="shared" si="1"/>
        <v>45776</v>
      </c>
      <c r="K160" s="74">
        <f>if(F160="SERVICE",O160-(O160*50%),Vlookup(F160,DATABASE!C:Q,10,false)*G160)</f>
        <v>10000</v>
      </c>
      <c r="L160" s="74">
        <f>VLOOKUP(F160,DATABASE!C:Q,7,FALSE)</f>
        <v>0</v>
      </c>
      <c r="M160" s="74">
        <v>0.0</v>
      </c>
      <c r="N160" s="74">
        <f t="shared" si="8"/>
        <v>0</v>
      </c>
      <c r="O160" s="74">
        <f t="shared" si="3"/>
        <v>150000</v>
      </c>
      <c r="P160" s="63">
        <f t="shared" si="4"/>
        <v>150000</v>
      </c>
      <c r="Q160" s="63">
        <f t="shared" si="5"/>
        <v>140000</v>
      </c>
      <c r="R160" s="93" t="str">
        <f>VLOOKUP(F160,DATABASE!C:Q,4,false)</f>
        <v>SPOORING</v>
      </c>
      <c r="S160" s="93" t="str">
        <f>VLOOKUP(F160,DATABASE!C:P,11,false)</f>
        <v>SERVICE</v>
      </c>
      <c r="T160" s="93" t="str">
        <f>vlookup(F160,DATABASE!C:Q,8,false)</f>
        <v>IBU</v>
      </c>
      <c r="Y160" s="81"/>
      <c r="Z160" s="9"/>
    </row>
    <row r="161" ht="22.5" customHeight="1">
      <c r="A161" s="49"/>
      <c r="C161" s="384">
        <v>45754.0</v>
      </c>
      <c r="D161" s="93">
        <v>45754.0</v>
      </c>
      <c r="E161" s="93" t="s">
        <v>843</v>
      </c>
      <c r="F161" s="74" t="s">
        <v>391</v>
      </c>
      <c r="G161" s="386">
        <v>2.0</v>
      </c>
      <c r="H161" s="74">
        <v>1950000.0</v>
      </c>
      <c r="I161" s="74">
        <v>2050000.0</v>
      </c>
      <c r="J161" s="60">
        <f t="shared" si="1"/>
        <v>45784</v>
      </c>
      <c r="K161" s="74">
        <f>if(F161="SERVICE",O161-(O161*50%),Vlookup(F161,DATABASE!C:Q,10,false)*G161)</f>
        <v>0</v>
      </c>
      <c r="L161" s="74">
        <f>VLOOKUP(F161,DATABASE!C:Q,7,FALSE)</f>
        <v>1885000</v>
      </c>
      <c r="M161" s="74">
        <v>1840000.0</v>
      </c>
      <c r="N161" s="74">
        <f t="shared" si="8"/>
        <v>1840000</v>
      </c>
      <c r="O161" s="74">
        <f t="shared" si="3"/>
        <v>3900000</v>
      </c>
      <c r="P161" s="63">
        <f t="shared" si="4"/>
        <v>4100000</v>
      </c>
      <c r="Q161" s="63">
        <f t="shared" si="5"/>
        <v>420000</v>
      </c>
      <c r="R161" s="93" t="str">
        <f>VLOOKUP(F161,DATABASE!C:Q,4,false)</f>
        <v>Advance</v>
      </c>
      <c r="S161" s="93" t="str">
        <f>VLOOKUP(F161,DATABASE!C:P,11,false)</f>
        <v>Tire</v>
      </c>
      <c r="T161" s="93" t="str">
        <f>vlookup(F161,DATABASE!C:Q,8,false)</f>
        <v>BIAN</v>
      </c>
      <c r="Y161" s="81"/>
      <c r="Z161" s="9"/>
    </row>
    <row r="162" ht="22.5" customHeight="1">
      <c r="A162" s="49"/>
      <c r="C162" s="384">
        <v>45754.0</v>
      </c>
      <c r="D162" s="93">
        <v>45754.0</v>
      </c>
      <c r="E162" s="93" t="s">
        <v>234</v>
      </c>
      <c r="F162" s="74" t="s">
        <v>791</v>
      </c>
      <c r="G162" s="386">
        <v>1.0</v>
      </c>
      <c r="H162" s="74">
        <v>1280000.0</v>
      </c>
      <c r="I162" s="74">
        <v>1380000.0</v>
      </c>
      <c r="J162" s="60">
        <f t="shared" si="1"/>
        <v>45784</v>
      </c>
      <c r="K162" s="74">
        <f>if(F162="SERVICE",O162-(O162*50%),Vlookup(F162,DATABASE!C:Q,10,false)*G162)</f>
        <v>0</v>
      </c>
      <c r="L162" s="74">
        <f>VLOOKUP(F162,DATABASE!C:Q,7,FALSE)</f>
        <v>1210000</v>
      </c>
      <c r="M162" s="74">
        <v>1180000.0</v>
      </c>
      <c r="N162" s="74">
        <f t="shared" si="8"/>
        <v>1180000</v>
      </c>
      <c r="O162" s="74">
        <f t="shared" si="3"/>
        <v>1280000</v>
      </c>
      <c r="P162" s="63">
        <f t="shared" si="4"/>
        <v>1380000</v>
      </c>
      <c r="Q162" s="63">
        <f t="shared" si="5"/>
        <v>200000</v>
      </c>
      <c r="R162" s="93" t="str">
        <f>VLOOKUP(F162,DATABASE!C:Q,4,false)</f>
        <v>GT</v>
      </c>
      <c r="S162" s="93" t="str">
        <f>VLOOKUP(F162,DATABASE!C:P,11,false)</f>
        <v>Tire</v>
      </c>
      <c r="T162" s="93" t="str">
        <f>vlookup(F162,DATABASE!C:Q,8,false)</f>
        <v>BIAN</v>
      </c>
      <c r="Y162" s="81"/>
      <c r="Z162" s="9"/>
    </row>
    <row r="163" ht="22.5" customHeight="1">
      <c r="A163" s="49"/>
      <c r="C163" s="384">
        <v>45754.0</v>
      </c>
      <c r="D163" s="93">
        <v>45754.0</v>
      </c>
      <c r="E163" s="93" t="s">
        <v>234</v>
      </c>
      <c r="F163" s="74" t="s">
        <v>255</v>
      </c>
      <c r="G163" s="386">
        <v>1.0</v>
      </c>
      <c r="H163" s="74">
        <v>200000.0</v>
      </c>
      <c r="I163" s="74">
        <v>220000.0</v>
      </c>
      <c r="J163" s="60">
        <f t="shared" si="1"/>
        <v>45784</v>
      </c>
      <c r="K163" s="74">
        <f>if(F163="SERVICE",O163-(O163*50%),Vlookup(F163,DATABASE!C:Q,10,false)*G163)</f>
        <v>0</v>
      </c>
      <c r="L163" s="74">
        <f>VLOOKUP(F163,DATABASE!C:Q,7,FALSE)</f>
        <v>161840</v>
      </c>
      <c r="M163" s="74">
        <v>161840.0</v>
      </c>
      <c r="N163" s="74">
        <f t="shared" si="8"/>
        <v>165000</v>
      </c>
      <c r="O163" s="74">
        <f t="shared" si="3"/>
        <v>200000</v>
      </c>
      <c r="P163" s="63">
        <f t="shared" si="4"/>
        <v>220000</v>
      </c>
      <c r="Q163" s="63">
        <f t="shared" si="5"/>
        <v>55000</v>
      </c>
      <c r="R163" s="93" t="str">
        <f>VLOOKUP(F163,DATABASE!C:Q,4,false)</f>
        <v>BD</v>
      </c>
      <c r="S163" s="93" t="str">
        <f>VLOOKUP(F163,DATABASE!C:P,11,false)</f>
        <v>Tire</v>
      </c>
      <c r="T163" s="93" t="str">
        <f>vlookup(F163,DATABASE!C:Q,8,false)</f>
        <v>BIAN</v>
      </c>
      <c r="Y163" s="81"/>
      <c r="Z163" s="9"/>
    </row>
    <row r="164" ht="22.5" customHeight="1">
      <c r="A164" s="49"/>
      <c r="C164" s="384">
        <v>45754.0</v>
      </c>
      <c r="D164" s="93">
        <v>45754.0</v>
      </c>
      <c r="E164" s="93" t="s">
        <v>234</v>
      </c>
      <c r="F164" s="74" t="s">
        <v>814</v>
      </c>
      <c r="G164" s="386">
        <v>1.0</v>
      </c>
      <c r="H164" s="74">
        <v>65000.0</v>
      </c>
      <c r="I164" s="74">
        <v>85000.0</v>
      </c>
      <c r="J164" s="60">
        <f t="shared" si="1"/>
        <v>45784</v>
      </c>
      <c r="K164" s="74">
        <f>if(F164="SERVICE",O164-(O164*50%),Vlookup(F164,DATABASE!C:Q,10,false)*G164)</f>
        <v>0</v>
      </c>
      <c r="L164" s="74">
        <f>VLOOKUP(F164,DATABASE!C:Q,7,FALSE)</f>
        <v>39440</v>
      </c>
      <c r="M164" s="74">
        <v>39440.0</v>
      </c>
      <c r="N164" s="74">
        <f t="shared" si="8"/>
        <v>40000</v>
      </c>
      <c r="O164" s="74">
        <f t="shared" si="3"/>
        <v>65000</v>
      </c>
      <c r="P164" s="63">
        <f t="shared" si="4"/>
        <v>85000</v>
      </c>
      <c r="Q164" s="63">
        <f t="shared" si="5"/>
        <v>45000</v>
      </c>
      <c r="R164" s="93" t="str">
        <f>VLOOKUP(F164,DATABASE!C:Q,4,false)</f>
        <v>Flap</v>
      </c>
      <c r="S164" s="93" t="str">
        <f>VLOOKUP(F164,DATABASE!C:P,11,false)</f>
        <v>Tire</v>
      </c>
      <c r="T164" s="93" t="str">
        <f>vlookup(F164,DATABASE!C:Q,8,false)</f>
        <v>BIAN</v>
      </c>
      <c r="Y164" s="81"/>
      <c r="Z164" s="9"/>
    </row>
    <row r="165" ht="22.5" customHeight="1">
      <c r="A165" s="49"/>
      <c r="C165" s="384">
        <v>45754.0</v>
      </c>
      <c r="D165" s="93">
        <v>45754.0</v>
      </c>
      <c r="E165" s="93" t="s">
        <v>234</v>
      </c>
      <c r="F165" s="74" t="s">
        <v>268</v>
      </c>
      <c r="G165" s="386">
        <v>1.0</v>
      </c>
      <c r="H165" s="74">
        <v>700000.0</v>
      </c>
      <c r="I165" s="74">
        <v>780000.0</v>
      </c>
      <c r="J165" s="60">
        <f t="shared" si="1"/>
        <v>45784</v>
      </c>
      <c r="K165" s="74">
        <f>if(F165="SERVICE",O165-(O165*50%),Vlookup(F165,DATABASE!C:Q,10,false)*G165)</f>
        <v>0</v>
      </c>
      <c r="L165" s="74">
        <f>VLOOKUP(F165,DATABASE!C:Q,7,FALSE)</f>
        <v>653000</v>
      </c>
      <c r="M165" s="74">
        <v>622000.0</v>
      </c>
      <c r="N165" s="74">
        <f t="shared" si="8"/>
        <v>625000</v>
      </c>
      <c r="O165" s="74">
        <f t="shared" si="3"/>
        <v>700000</v>
      </c>
      <c r="P165" s="63">
        <f t="shared" si="4"/>
        <v>780000</v>
      </c>
      <c r="Q165" s="63">
        <f t="shared" si="5"/>
        <v>155000</v>
      </c>
      <c r="R165" s="93" t="str">
        <f>VLOOKUP(F165,DATABASE!C:Q,4,false)</f>
        <v>Dunlop</v>
      </c>
      <c r="S165" s="93" t="str">
        <f>VLOOKUP(F165,DATABASE!C:P,11,false)</f>
        <v>Tire</v>
      </c>
      <c r="T165" s="93" t="str">
        <f>vlookup(F165,DATABASE!C:Q,8,false)</f>
        <v>IBU</v>
      </c>
      <c r="Y165" s="81"/>
      <c r="Z165" s="9"/>
    </row>
    <row r="166" ht="22.5" customHeight="1">
      <c r="A166" s="49"/>
      <c r="C166" s="384">
        <v>45754.0</v>
      </c>
      <c r="D166" s="93">
        <v>45754.0</v>
      </c>
      <c r="E166" s="93" t="s">
        <v>693</v>
      </c>
      <c r="F166" s="74" t="s">
        <v>932</v>
      </c>
      <c r="G166" s="386">
        <v>1.0</v>
      </c>
      <c r="H166" s="74">
        <v>670000.0</v>
      </c>
      <c r="I166" s="74">
        <v>750000.0</v>
      </c>
      <c r="J166" s="60">
        <f t="shared" si="1"/>
        <v>45784</v>
      </c>
      <c r="K166" s="74">
        <f>if(F166="SERVICE",O166-(O166*50%),Vlookup(F166,DATABASE!C:Q,10,false)*G166)</f>
        <v>0</v>
      </c>
      <c r="L166" s="74">
        <f>VLOOKUP(F166,DATABASE!C:Q,7,FALSE)</f>
        <v>601000</v>
      </c>
      <c r="M166" s="74">
        <v>595000.0</v>
      </c>
      <c r="N166" s="74">
        <f t="shared" si="8"/>
        <v>595000</v>
      </c>
      <c r="O166" s="74">
        <f t="shared" si="3"/>
        <v>670000</v>
      </c>
      <c r="P166" s="63">
        <f t="shared" si="4"/>
        <v>750000</v>
      </c>
      <c r="Q166" s="63">
        <f t="shared" si="5"/>
        <v>155000</v>
      </c>
      <c r="R166" s="93" t="str">
        <f>VLOOKUP(F166,DATABASE!C:Q,4,false)</f>
        <v>Dunlop</v>
      </c>
      <c r="S166" s="93" t="str">
        <f>VLOOKUP(F166,DATABASE!C:P,11,false)</f>
        <v>Tire</v>
      </c>
      <c r="T166" s="93" t="str">
        <f>vlookup(F166,DATABASE!C:Q,8,false)</f>
        <v>IBU</v>
      </c>
      <c r="Y166" s="81"/>
      <c r="Z166" s="9"/>
    </row>
    <row r="167" ht="22.5" customHeight="1">
      <c r="A167" s="49"/>
      <c r="C167" s="384">
        <v>45755.0</v>
      </c>
      <c r="D167" s="93">
        <v>45755.0</v>
      </c>
      <c r="E167" s="93" t="s">
        <v>383</v>
      </c>
      <c r="F167" s="74" t="s">
        <v>566</v>
      </c>
      <c r="G167" s="386">
        <v>2.0</v>
      </c>
      <c r="H167" s="74">
        <v>1670000.0</v>
      </c>
      <c r="I167" s="74">
        <v>1770000.0</v>
      </c>
      <c r="J167" s="60">
        <f t="shared" si="1"/>
        <v>45785</v>
      </c>
      <c r="K167" s="74">
        <f>if(F167="SERVICE",O167-(O167*50%),Vlookup(F167,DATABASE!C:Q,10,false)*G167)</f>
        <v>0</v>
      </c>
      <c r="L167" s="74">
        <f>VLOOKUP(F167,DATABASE!C:Q,7,FALSE)</f>
        <v>1565000</v>
      </c>
      <c r="M167" s="140">
        <v>1570000.0</v>
      </c>
      <c r="N167" s="74">
        <f t="shared" si="8"/>
        <v>1570000</v>
      </c>
      <c r="O167" s="74">
        <f t="shared" si="3"/>
        <v>3340000</v>
      </c>
      <c r="P167" s="63">
        <f t="shared" si="4"/>
        <v>3540000</v>
      </c>
      <c r="Q167" s="63">
        <f t="shared" si="5"/>
        <v>400000</v>
      </c>
      <c r="R167" s="93" t="str">
        <f>VLOOKUP(F167,DATABASE!C:Q,4,false)</f>
        <v>Bridgestone</v>
      </c>
      <c r="S167" s="93" t="str">
        <f>VLOOKUP(F167,DATABASE!C:P,11,false)</f>
        <v>Tire</v>
      </c>
      <c r="T167" s="93" t="str">
        <f>vlookup(F167,DATABASE!C:Q,8,false)</f>
        <v>IBU</v>
      </c>
      <c r="Y167" s="81"/>
      <c r="Z167" s="9"/>
    </row>
    <row r="168" ht="22.5" customHeight="1">
      <c r="A168" s="49"/>
      <c r="C168" s="384">
        <v>45755.0</v>
      </c>
      <c r="D168" s="93">
        <v>45755.0</v>
      </c>
      <c r="E168" s="93" t="s">
        <v>119</v>
      </c>
      <c r="F168" s="74" t="s">
        <v>924</v>
      </c>
      <c r="G168" s="386">
        <v>2.0</v>
      </c>
      <c r="H168" s="74">
        <v>1800000.0</v>
      </c>
      <c r="I168" s="74">
        <v>1900000.0</v>
      </c>
      <c r="J168" s="60">
        <f t="shared" si="1"/>
        <v>45785</v>
      </c>
      <c r="K168" s="74">
        <f>if(F168="SERVICE",O168-(O168*50%),Vlookup(F168,DATABASE!C:Q,10,false)*G168)</f>
        <v>0</v>
      </c>
      <c r="L168" s="74">
        <f>VLOOKUP(F168,DATABASE!C:Q,7,FALSE)</f>
        <v>1560000</v>
      </c>
      <c r="M168" s="140">
        <v>1700000.0</v>
      </c>
      <c r="N168" s="74">
        <f t="shared" si="8"/>
        <v>1700000</v>
      </c>
      <c r="O168" s="74">
        <f t="shared" si="3"/>
        <v>3600000</v>
      </c>
      <c r="P168" s="63">
        <f t="shared" si="4"/>
        <v>3800000</v>
      </c>
      <c r="Q168" s="63">
        <f t="shared" si="5"/>
        <v>400000</v>
      </c>
      <c r="R168" s="93" t="str">
        <f>VLOOKUP(F168,DATABASE!C:Q,4,false)</f>
        <v>TIRON</v>
      </c>
      <c r="S168" s="93" t="str">
        <f>VLOOKUP(F168,DATABASE!C:P,11,false)</f>
        <v>Tire</v>
      </c>
      <c r="T168" s="93" t="str">
        <f>vlookup(F168,DATABASE!C:Q,8,false)</f>
        <v>BIAN</v>
      </c>
      <c r="Y168" s="81"/>
      <c r="Z168" s="9"/>
    </row>
    <row r="169" ht="22.5" customHeight="1">
      <c r="A169" s="49"/>
      <c r="C169" s="384">
        <v>45756.0</v>
      </c>
      <c r="D169" s="93">
        <v>45756.0</v>
      </c>
      <c r="E169" s="93" t="s">
        <v>144</v>
      </c>
      <c r="F169" s="74" t="s">
        <v>897</v>
      </c>
      <c r="G169" s="386">
        <v>1.0</v>
      </c>
      <c r="H169" s="74">
        <v>1600000.0</v>
      </c>
      <c r="I169" s="74">
        <v>1700000.0</v>
      </c>
      <c r="J169" s="60">
        <f t="shared" si="1"/>
        <v>45786</v>
      </c>
      <c r="K169" s="74">
        <f>if(F169="SERVICE",O169-(O169*50%),Vlookup(F169,DATABASE!C:Q,10,false)*G169)</f>
        <v>0</v>
      </c>
      <c r="L169" s="74">
        <f>VLOOKUP(F169,DATABASE!C:Q,7,FALSE)</f>
        <v>1560000</v>
      </c>
      <c r="M169" s="74">
        <v>1500000.0</v>
      </c>
      <c r="N169" s="74">
        <f t="shared" si="8"/>
        <v>1500000</v>
      </c>
      <c r="O169" s="74">
        <f t="shared" si="3"/>
        <v>1600000</v>
      </c>
      <c r="P169" s="63">
        <f t="shared" si="4"/>
        <v>1700000</v>
      </c>
      <c r="Q169" s="63">
        <f t="shared" si="5"/>
        <v>200000</v>
      </c>
      <c r="R169" s="93" t="str">
        <f>VLOOKUP(F169,DATABASE!C:Q,4,false)</f>
        <v>GT</v>
      </c>
      <c r="S169" s="93" t="str">
        <f>VLOOKUP(F169,DATABASE!C:P,11,false)</f>
        <v>Tire</v>
      </c>
      <c r="T169" s="93" t="str">
        <f>vlookup(F169,DATABASE!C:Q,8,false)</f>
        <v>BIAN</v>
      </c>
      <c r="Y169" s="81"/>
      <c r="Z169" s="9"/>
    </row>
    <row r="170" ht="22.5" customHeight="1">
      <c r="A170" s="49"/>
      <c r="C170" s="384">
        <v>45758.0</v>
      </c>
      <c r="D170" s="93">
        <v>45758.0</v>
      </c>
      <c r="E170" s="93" t="s">
        <v>267</v>
      </c>
      <c r="F170" s="74" t="s">
        <v>391</v>
      </c>
      <c r="G170" s="386">
        <v>2.0</v>
      </c>
      <c r="H170" s="74">
        <v>1950000.0</v>
      </c>
      <c r="I170" s="74">
        <v>2050000.0</v>
      </c>
      <c r="J170" s="60">
        <f t="shared" si="1"/>
        <v>45788</v>
      </c>
      <c r="K170" s="74">
        <f>if(F170="SERVICE",O170-(O170*50%),Vlookup(F170,DATABASE!C:Q,10,false)*G170)</f>
        <v>0</v>
      </c>
      <c r="L170" s="74">
        <f>VLOOKUP(F170,DATABASE!C:Q,7,FALSE)</f>
        <v>1885000</v>
      </c>
      <c r="M170" s="74">
        <v>1840000.0</v>
      </c>
      <c r="N170" s="74">
        <f t="shared" si="8"/>
        <v>1840000</v>
      </c>
      <c r="O170" s="74">
        <f t="shared" si="3"/>
        <v>3900000</v>
      </c>
      <c r="P170" s="63">
        <f t="shared" si="4"/>
        <v>4100000</v>
      </c>
      <c r="Q170" s="63">
        <f t="shared" si="5"/>
        <v>420000</v>
      </c>
      <c r="R170" s="93" t="str">
        <f>VLOOKUP(F170,DATABASE!C:Q,4,false)</f>
        <v>Advance</v>
      </c>
      <c r="S170" s="93" t="str">
        <f>VLOOKUP(F170,DATABASE!C:P,11,false)</f>
        <v>Tire</v>
      </c>
      <c r="T170" s="93" t="str">
        <f>vlookup(F170,DATABASE!C:Q,8,false)</f>
        <v>BIAN</v>
      </c>
      <c r="Y170" s="81"/>
      <c r="Z170" s="9"/>
    </row>
    <row r="171" ht="22.5" customHeight="1">
      <c r="A171" s="49"/>
      <c r="C171" s="384">
        <v>45758.0</v>
      </c>
      <c r="D171" s="93">
        <v>45758.0</v>
      </c>
      <c r="E171" s="93" t="s">
        <v>267</v>
      </c>
      <c r="F171" s="74" t="s">
        <v>572</v>
      </c>
      <c r="G171" s="386">
        <v>1.0</v>
      </c>
      <c r="H171" s="74">
        <v>1370000.0</v>
      </c>
      <c r="I171" s="74">
        <v>1470000.0</v>
      </c>
      <c r="J171" s="60">
        <f t="shared" si="1"/>
        <v>45788</v>
      </c>
      <c r="K171" s="74">
        <f>if(F171="SERVICE",O171-(O171*50%),Vlookup(F171,DATABASE!C:Q,10,false)*G171)</f>
        <v>0</v>
      </c>
      <c r="L171" s="74">
        <f>VLOOKUP(F171,DATABASE!C:Q,7,FALSE)</f>
        <v>1265000</v>
      </c>
      <c r="M171" s="140">
        <v>1270000.0</v>
      </c>
      <c r="N171" s="74">
        <f t="shared" si="8"/>
        <v>1270000</v>
      </c>
      <c r="O171" s="74">
        <f t="shared" si="3"/>
        <v>1370000</v>
      </c>
      <c r="P171" s="63">
        <f t="shared" si="4"/>
        <v>1470000</v>
      </c>
      <c r="Q171" s="63">
        <f t="shared" si="5"/>
        <v>200000</v>
      </c>
      <c r="R171" s="93" t="str">
        <f>VLOOKUP(F171,DATABASE!C:Q,4,false)</f>
        <v>Bridgestone</v>
      </c>
      <c r="S171" s="93" t="str">
        <f>VLOOKUP(F171,DATABASE!C:P,11,false)</f>
        <v>Tire</v>
      </c>
      <c r="T171" s="93" t="str">
        <f>vlookup(F171,DATABASE!C:Q,8,false)</f>
        <v>IBU</v>
      </c>
      <c r="Y171" s="81"/>
      <c r="Z171" s="9"/>
    </row>
    <row r="172" ht="22.5" customHeight="1">
      <c r="A172" s="49"/>
      <c r="C172" s="384">
        <v>45758.0</v>
      </c>
      <c r="D172" s="93">
        <v>45758.0</v>
      </c>
      <c r="E172" s="93" t="s">
        <v>267</v>
      </c>
      <c r="F172" s="74" t="s">
        <v>652</v>
      </c>
      <c r="G172" s="386">
        <v>1.0</v>
      </c>
      <c r="H172" s="74">
        <v>260000.0</v>
      </c>
      <c r="I172" s="74">
        <v>290000.0</v>
      </c>
      <c r="J172" s="60">
        <f t="shared" si="1"/>
        <v>45788</v>
      </c>
      <c r="K172" s="74">
        <f>if(F172="SERVICE",O172-(O172*50%),Vlookup(F172,DATABASE!C:Q,10,false)*G172)</f>
        <v>0</v>
      </c>
      <c r="L172" s="74">
        <f>VLOOKUP(F172,DATABASE!C:Q,7,FALSE)</f>
        <v>231268</v>
      </c>
      <c r="M172" s="74">
        <v>227850.0</v>
      </c>
      <c r="N172" s="74">
        <f t="shared" si="8"/>
        <v>230000</v>
      </c>
      <c r="O172" s="74">
        <f t="shared" si="3"/>
        <v>260000</v>
      </c>
      <c r="P172" s="63">
        <f t="shared" si="4"/>
        <v>290000</v>
      </c>
      <c r="Q172" s="63">
        <f t="shared" si="5"/>
        <v>60000</v>
      </c>
      <c r="R172" s="93" t="str">
        <f>VLOOKUP(F172,DATABASE!C:Q,4,false)</f>
        <v>BD</v>
      </c>
      <c r="S172" s="93" t="str">
        <f>VLOOKUP(F172,DATABASE!C:P,11,false)</f>
        <v>Tire</v>
      </c>
      <c r="T172" s="93" t="str">
        <f>vlookup(F172,DATABASE!C:Q,8,false)</f>
        <v>IBU</v>
      </c>
      <c r="Y172" s="81"/>
      <c r="Z172" s="9"/>
    </row>
    <row r="173" ht="22.5" customHeight="1">
      <c r="A173" s="49"/>
      <c r="C173" s="384">
        <v>45758.0</v>
      </c>
      <c r="D173" s="93">
        <v>45758.0</v>
      </c>
      <c r="E173" s="93" t="s">
        <v>267</v>
      </c>
      <c r="F173" s="74" t="s">
        <v>814</v>
      </c>
      <c r="G173" s="386">
        <v>1.0</v>
      </c>
      <c r="H173" s="74">
        <v>65000.0</v>
      </c>
      <c r="I173" s="74">
        <v>85000.0</v>
      </c>
      <c r="J173" s="60">
        <f t="shared" si="1"/>
        <v>45788</v>
      </c>
      <c r="K173" s="74">
        <f>if(F173="SERVICE",O173-(O173*50%),Vlookup(F173,DATABASE!C:Q,10,false)*G173)</f>
        <v>0</v>
      </c>
      <c r="L173" s="74">
        <f>VLOOKUP(F173,DATABASE!C:Q,7,FALSE)</f>
        <v>39440</v>
      </c>
      <c r="M173" s="74">
        <v>39440.0</v>
      </c>
      <c r="N173" s="74">
        <f t="shared" si="8"/>
        <v>40000</v>
      </c>
      <c r="O173" s="74">
        <f t="shared" si="3"/>
        <v>65000</v>
      </c>
      <c r="P173" s="63">
        <f t="shared" si="4"/>
        <v>85000</v>
      </c>
      <c r="Q173" s="63">
        <f t="shared" si="5"/>
        <v>45000</v>
      </c>
      <c r="R173" s="93" t="str">
        <f>VLOOKUP(F173,DATABASE!C:Q,4,false)</f>
        <v>Flap</v>
      </c>
      <c r="S173" s="93" t="str">
        <f>VLOOKUP(F173,DATABASE!C:P,11,false)</f>
        <v>Tire</v>
      </c>
      <c r="T173" s="93" t="str">
        <f>vlookup(F173,DATABASE!C:Q,8,false)</f>
        <v>BIAN</v>
      </c>
      <c r="Y173" s="81"/>
      <c r="Z173" s="9"/>
    </row>
    <row r="174" ht="22.5" customHeight="1">
      <c r="A174" s="49"/>
      <c r="C174" s="384">
        <v>45758.0</v>
      </c>
      <c r="D174" s="93">
        <v>45758.0</v>
      </c>
      <c r="E174" s="93" t="s">
        <v>583</v>
      </c>
      <c r="F174" s="74" t="s">
        <v>566</v>
      </c>
      <c r="G174" s="386">
        <v>2.0</v>
      </c>
      <c r="H174" s="74">
        <v>1670000.0</v>
      </c>
      <c r="I174" s="74">
        <v>1770000.0</v>
      </c>
      <c r="J174" s="60">
        <f t="shared" si="1"/>
        <v>45788</v>
      </c>
      <c r="K174" s="74">
        <f>if(F174="SERVICE",O174-(O174*50%),Vlookup(F174,DATABASE!C:Q,10,false)*G174)</f>
        <v>0</v>
      </c>
      <c r="L174" s="74">
        <f>VLOOKUP(F174,DATABASE!C:Q,7,FALSE)</f>
        <v>1565000</v>
      </c>
      <c r="M174" s="140">
        <v>1570000.0</v>
      </c>
      <c r="N174" s="74">
        <f t="shared" si="8"/>
        <v>1570000</v>
      </c>
      <c r="O174" s="74">
        <f t="shared" si="3"/>
        <v>3340000</v>
      </c>
      <c r="P174" s="63">
        <f t="shared" si="4"/>
        <v>3540000</v>
      </c>
      <c r="Q174" s="63">
        <f t="shared" si="5"/>
        <v>400000</v>
      </c>
      <c r="R174" s="93" t="str">
        <f>VLOOKUP(F174,DATABASE!C:Q,4,false)</f>
        <v>Bridgestone</v>
      </c>
      <c r="S174" s="93" t="str">
        <f>VLOOKUP(F174,DATABASE!C:P,11,false)</f>
        <v>Tire</v>
      </c>
      <c r="T174" s="93" t="str">
        <f>vlookup(F174,DATABASE!C:Q,8,false)</f>
        <v>IBU</v>
      </c>
      <c r="Y174" s="81"/>
      <c r="Z174" s="9"/>
    </row>
    <row r="175" ht="22.5" customHeight="1">
      <c r="A175" s="49"/>
      <c r="C175" s="384">
        <v>45758.0</v>
      </c>
      <c r="D175" s="93">
        <v>45758.0</v>
      </c>
      <c r="E175" s="93" t="s">
        <v>583</v>
      </c>
      <c r="F175" s="74" t="s">
        <v>821</v>
      </c>
      <c r="G175" s="386">
        <v>1.0</v>
      </c>
      <c r="H175" s="74">
        <v>80000.0</v>
      </c>
      <c r="I175" s="74">
        <v>100000.0</v>
      </c>
      <c r="J175" s="60">
        <f t="shared" si="1"/>
        <v>45788</v>
      </c>
      <c r="K175" s="74">
        <f>if(F175="SERVICE",O175-(O175*50%),Vlookup(F175,DATABASE!C:Q,10,false)*G175)</f>
        <v>0</v>
      </c>
      <c r="L175" s="74">
        <f>VLOOKUP(F175,DATABASE!C:Q,7,FALSE)</f>
        <v>43500</v>
      </c>
      <c r="M175" s="74">
        <v>43520.0</v>
      </c>
      <c r="N175" s="74">
        <f t="shared" si="8"/>
        <v>45000</v>
      </c>
      <c r="O175" s="74">
        <f t="shared" si="3"/>
        <v>80000</v>
      </c>
      <c r="P175" s="63">
        <f t="shared" si="4"/>
        <v>100000</v>
      </c>
      <c r="Q175" s="63">
        <f t="shared" si="5"/>
        <v>55000</v>
      </c>
      <c r="R175" s="93" t="str">
        <f>VLOOKUP(F175,DATABASE!C:Q,4,false)</f>
        <v>Flap</v>
      </c>
      <c r="S175" s="93" t="str">
        <f>VLOOKUP(F175,DATABASE!C:P,11,false)</f>
        <v>Tire</v>
      </c>
      <c r="T175" s="93" t="str">
        <f>vlookup(F175,DATABASE!C:Q,8,false)</f>
        <v>BIAN</v>
      </c>
      <c r="Y175" s="81"/>
      <c r="Z175" s="9"/>
    </row>
    <row r="176" ht="22.5" customHeight="1">
      <c r="A176" s="49"/>
      <c r="C176" s="384">
        <v>45759.0</v>
      </c>
      <c r="D176" s="93">
        <v>45759.0</v>
      </c>
      <c r="E176" s="93" t="s">
        <v>583</v>
      </c>
      <c r="F176" s="74" t="s">
        <v>744</v>
      </c>
      <c r="G176" s="386">
        <v>2.0</v>
      </c>
      <c r="H176" s="74">
        <v>230000.0</v>
      </c>
      <c r="I176" s="74">
        <v>250000.0</v>
      </c>
      <c r="J176" s="60">
        <f t="shared" si="1"/>
        <v>45789</v>
      </c>
      <c r="K176" s="74">
        <f>if(F176="SERVICE",O176-(O176*50%),Vlookup(F176,DATABASE!C:Q,10,false)*G176)</f>
        <v>0</v>
      </c>
      <c r="L176" s="74">
        <f>VLOOKUP(F176,DATABASE!C:Q,7,FALSE)</f>
        <v>182200</v>
      </c>
      <c r="M176" s="74">
        <v>199920.0</v>
      </c>
      <c r="N176" s="74">
        <f t="shared" si="8"/>
        <v>200000</v>
      </c>
      <c r="O176" s="74">
        <f t="shared" si="3"/>
        <v>460000</v>
      </c>
      <c r="P176" s="63">
        <f t="shared" si="4"/>
        <v>500000</v>
      </c>
      <c r="Q176" s="63">
        <f t="shared" si="5"/>
        <v>100000</v>
      </c>
      <c r="R176" s="93" t="str">
        <f>VLOOKUP(F176,DATABASE!C:Q,4,false)</f>
        <v>BD</v>
      </c>
      <c r="S176" s="93" t="str">
        <f>VLOOKUP(F176,DATABASE!C:P,11,false)</f>
        <v>Tire</v>
      </c>
      <c r="T176" s="93" t="str">
        <f>vlookup(F176,DATABASE!C:Q,8,false)</f>
        <v>BIAN</v>
      </c>
      <c r="Y176" s="81"/>
      <c r="Z176" s="9"/>
    </row>
    <row r="177" ht="22.5" customHeight="1">
      <c r="A177" s="49"/>
      <c r="C177" s="384">
        <v>45759.0</v>
      </c>
      <c r="D177" s="93">
        <v>45759.0</v>
      </c>
      <c r="E177" s="93" t="s">
        <v>583</v>
      </c>
      <c r="F177" s="74" t="s">
        <v>821</v>
      </c>
      <c r="G177" s="386">
        <v>1.0</v>
      </c>
      <c r="H177" s="74">
        <v>80000.0</v>
      </c>
      <c r="I177" s="74">
        <v>100000.0</v>
      </c>
      <c r="J177" s="60">
        <f t="shared" si="1"/>
        <v>45789</v>
      </c>
      <c r="K177" s="74">
        <f>if(F177="SERVICE",O177-(O177*50%),Vlookup(F177,DATABASE!C:Q,10,false)*G177)</f>
        <v>0</v>
      </c>
      <c r="L177" s="74">
        <f>VLOOKUP(F177,DATABASE!C:Q,7,FALSE)</f>
        <v>43500</v>
      </c>
      <c r="M177" s="74">
        <v>43520.0</v>
      </c>
      <c r="N177" s="74">
        <f t="shared" si="8"/>
        <v>45000</v>
      </c>
      <c r="O177" s="74">
        <f t="shared" si="3"/>
        <v>80000</v>
      </c>
      <c r="P177" s="63">
        <f t="shared" si="4"/>
        <v>100000</v>
      </c>
      <c r="Q177" s="63">
        <f t="shared" si="5"/>
        <v>55000</v>
      </c>
      <c r="R177" s="93" t="str">
        <f>VLOOKUP(F177,DATABASE!C:Q,4,false)</f>
        <v>Flap</v>
      </c>
      <c r="S177" s="93" t="str">
        <f>VLOOKUP(F177,DATABASE!C:P,11,false)</f>
        <v>Tire</v>
      </c>
      <c r="T177" s="93" t="str">
        <f>vlookup(F177,DATABASE!C:Q,8,false)</f>
        <v>BIAN</v>
      </c>
      <c r="Y177" s="81"/>
      <c r="Z177" s="9"/>
    </row>
    <row r="178" ht="22.5" customHeight="1">
      <c r="A178" s="49"/>
      <c r="C178" s="384">
        <v>45761.0</v>
      </c>
      <c r="D178" s="93">
        <v>45761.0</v>
      </c>
      <c r="E178" s="93" t="s">
        <v>370</v>
      </c>
      <c r="F178" s="74" t="s">
        <v>1862</v>
      </c>
      <c r="G178" s="386">
        <v>2.0</v>
      </c>
      <c r="H178" s="74">
        <v>2125000.0</v>
      </c>
      <c r="I178" s="74">
        <v>2235000.0</v>
      </c>
      <c r="J178" s="60">
        <f t="shared" si="1"/>
        <v>45791</v>
      </c>
      <c r="K178" s="74">
        <f>if(F178="SERVICE",O178-(O178*50%),Vlookup(F178,DATABASE!C:Q,10,false)*G178)</f>
        <v>0</v>
      </c>
      <c r="L178" s="74">
        <f>VLOOKUP(F178,DATABASE!C:Q,7,FALSE)</f>
        <v>2080000</v>
      </c>
      <c r="M178" s="74">
        <v>2050000.0</v>
      </c>
      <c r="N178" s="74">
        <f t="shared" si="8"/>
        <v>2050000</v>
      </c>
      <c r="O178" s="74">
        <f t="shared" si="3"/>
        <v>4250000</v>
      </c>
      <c r="P178" s="63">
        <f t="shared" si="4"/>
        <v>4470000</v>
      </c>
      <c r="Q178" s="63">
        <f t="shared" si="5"/>
        <v>370000</v>
      </c>
      <c r="R178" s="93" t="str">
        <f>VLOOKUP(F178,DATABASE!C:Q,4,false)</f>
        <v>GiTi</v>
      </c>
      <c r="S178" s="93" t="str">
        <f>VLOOKUP(F178,DATABASE!C:P,11,false)</f>
        <v>Tire</v>
      </c>
      <c r="T178" s="93" t="str">
        <f>vlookup(F178,DATABASE!C:Q,8,false)</f>
        <v>BIAN</v>
      </c>
      <c r="Y178" s="81"/>
      <c r="Z178" s="9"/>
    </row>
    <row r="179" ht="22.5" customHeight="1">
      <c r="A179" s="49"/>
      <c r="C179" s="384">
        <v>45762.0</v>
      </c>
      <c r="D179" s="93">
        <v>45762.0</v>
      </c>
      <c r="E179" s="93" t="s">
        <v>927</v>
      </c>
      <c r="F179" s="74" t="s">
        <v>374</v>
      </c>
      <c r="G179" s="386">
        <v>2.0</v>
      </c>
      <c r="H179" s="74">
        <v>1960000.0</v>
      </c>
      <c r="I179" s="74">
        <v>2060000.0</v>
      </c>
      <c r="J179" s="60">
        <f t="shared" si="1"/>
        <v>45792</v>
      </c>
      <c r="K179" s="74">
        <f>if(F179="SERVICE",O179-(O179*50%),Vlookup(F179,DATABASE!C:Q,10,false)*G179)</f>
        <v>0</v>
      </c>
      <c r="L179" s="74">
        <f>VLOOKUP(F179,DATABASE!C:Q,7,FALSE)</f>
        <v>1980000</v>
      </c>
      <c r="M179" s="74">
        <v>1850000.0</v>
      </c>
      <c r="N179" s="74">
        <f t="shared" si="8"/>
        <v>1850000</v>
      </c>
      <c r="O179" s="74">
        <f t="shared" si="3"/>
        <v>3920000</v>
      </c>
      <c r="P179" s="63">
        <f t="shared" si="4"/>
        <v>4120000</v>
      </c>
      <c r="Q179" s="63">
        <f t="shared" si="5"/>
        <v>420000</v>
      </c>
      <c r="R179" s="93" t="str">
        <f>VLOOKUP(F179,DATABASE!C:Q,4,false)</f>
        <v>Advance</v>
      </c>
      <c r="S179" s="93" t="str">
        <f>VLOOKUP(F179,DATABASE!C:P,11,false)</f>
        <v>Tire</v>
      </c>
      <c r="T179" s="93" t="str">
        <f>vlookup(F179,DATABASE!C:Q,8,false)</f>
        <v>BIAN</v>
      </c>
      <c r="Y179" s="81"/>
      <c r="Z179" s="9"/>
    </row>
    <row r="180" ht="22.5" customHeight="1">
      <c r="A180" s="49"/>
      <c r="C180" s="384">
        <v>45762.0</v>
      </c>
      <c r="D180" s="93">
        <v>45762.0</v>
      </c>
      <c r="E180" s="93" t="s">
        <v>979</v>
      </c>
      <c r="F180" s="74" t="s">
        <v>897</v>
      </c>
      <c r="G180" s="386">
        <v>2.0</v>
      </c>
      <c r="H180" s="74">
        <v>1600000.0</v>
      </c>
      <c r="I180" s="74">
        <v>1700000.0</v>
      </c>
      <c r="J180" s="60">
        <f t="shared" si="1"/>
        <v>45792</v>
      </c>
      <c r="K180" s="74">
        <f>if(F180="SERVICE",O180-(O180*50%),Vlookup(F180,DATABASE!C:Q,10,false)*G180)</f>
        <v>0</v>
      </c>
      <c r="L180" s="74">
        <f>VLOOKUP(F180,DATABASE!C:Q,7,FALSE)</f>
        <v>1560000</v>
      </c>
      <c r="M180" s="74">
        <v>1500000.0</v>
      </c>
      <c r="N180" s="74">
        <f t="shared" si="8"/>
        <v>1500000</v>
      </c>
      <c r="O180" s="74">
        <f t="shared" si="3"/>
        <v>3200000</v>
      </c>
      <c r="P180" s="63">
        <f t="shared" si="4"/>
        <v>3400000</v>
      </c>
      <c r="Q180" s="63">
        <f t="shared" si="5"/>
        <v>400000</v>
      </c>
      <c r="R180" s="93" t="str">
        <f>VLOOKUP(F180,DATABASE!C:Q,4,false)</f>
        <v>GT</v>
      </c>
      <c r="S180" s="93" t="str">
        <f>VLOOKUP(F180,DATABASE!C:P,11,false)</f>
        <v>Tire</v>
      </c>
      <c r="T180" s="93" t="str">
        <f>vlookup(F180,DATABASE!C:Q,8,false)</f>
        <v>BIAN</v>
      </c>
      <c r="Y180" s="81"/>
      <c r="Z180" s="9"/>
    </row>
    <row r="181" ht="22.5" customHeight="1">
      <c r="A181" s="49"/>
      <c r="C181" s="384">
        <v>45762.0</v>
      </c>
      <c r="D181" s="93">
        <v>45762.0</v>
      </c>
      <c r="E181" s="93" t="s">
        <v>979</v>
      </c>
      <c r="F181" s="74" t="s">
        <v>744</v>
      </c>
      <c r="G181" s="386">
        <v>2.0</v>
      </c>
      <c r="H181" s="74">
        <v>230000.0</v>
      </c>
      <c r="I181" s="74">
        <v>250000.0</v>
      </c>
      <c r="J181" s="60">
        <f t="shared" si="1"/>
        <v>45792</v>
      </c>
      <c r="K181" s="74">
        <f>if(F181="SERVICE",O181-(O181*50%),Vlookup(F181,DATABASE!C:Q,10,false)*G181)</f>
        <v>0</v>
      </c>
      <c r="L181" s="74">
        <f>VLOOKUP(F181,DATABASE!C:Q,7,FALSE)</f>
        <v>182200</v>
      </c>
      <c r="M181" s="74">
        <v>199920.0</v>
      </c>
      <c r="N181" s="74">
        <f t="shared" si="8"/>
        <v>200000</v>
      </c>
      <c r="O181" s="74">
        <f t="shared" si="3"/>
        <v>460000</v>
      </c>
      <c r="P181" s="63">
        <f t="shared" si="4"/>
        <v>500000</v>
      </c>
      <c r="Q181" s="63">
        <f t="shared" si="5"/>
        <v>100000</v>
      </c>
      <c r="R181" s="93" t="str">
        <f>VLOOKUP(F181,DATABASE!C:Q,4,false)</f>
        <v>BD</v>
      </c>
      <c r="S181" s="93" t="str">
        <f>VLOOKUP(F181,DATABASE!C:P,11,false)</f>
        <v>Tire</v>
      </c>
      <c r="T181" s="93" t="str">
        <f>vlookup(F181,DATABASE!C:Q,8,false)</f>
        <v>BIAN</v>
      </c>
      <c r="Y181" s="81"/>
      <c r="Z181" s="9"/>
    </row>
    <row r="182" ht="22.5" customHeight="1">
      <c r="A182" s="49"/>
      <c r="C182" s="384">
        <v>45762.0</v>
      </c>
      <c r="D182" s="93">
        <v>45762.0</v>
      </c>
      <c r="E182" s="93" t="s">
        <v>979</v>
      </c>
      <c r="F182" s="74" t="s">
        <v>821</v>
      </c>
      <c r="G182" s="386">
        <v>2.0</v>
      </c>
      <c r="H182" s="74">
        <v>80000.0</v>
      </c>
      <c r="I182" s="140">
        <v>100000.0</v>
      </c>
      <c r="J182" s="60">
        <f t="shared" si="1"/>
        <v>45792</v>
      </c>
      <c r="K182" s="74">
        <f>if(F182="SERVICE",O182-(O182*50%),Vlookup(F182,DATABASE!C:Q,10,false)*G182)</f>
        <v>0</v>
      </c>
      <c r="L182" s="74">
        <f>VLOOKUP(F182,DATABASE!C:Q,7,FALSE)</f>
        <v>43500</v>
      </c>
      <c r="M182" s="74">
        <v>43520.0</v>
      </c>
      <c r="N182" s="74">
        <f t="shared" si="8"/>
        <v>45000</v>
      </c>
      <c r="O182" s="74">
        <f t="shared" si="3"/>
        <v>160000</v>
      </c>
      <c r="P182" s="63">
        <f t="shared" si="4"/>
        <v>200000</v>
      </c>
      <c r="Q182" s="63">
        <f t="shared" si="5"/>
        <v>110000</v>
      </c>
      <c r="R182" s="93" t="str">
        <f>VLOOKUP(F182,DATABASE!C:Q,4,false)</f>
        <v>Flap</v>
      </c>
      <c r="S182" s="93" t="str">
        <f>VLOOKUP(F182,DATABASE!C:P,11,false)</f>
        <v>Tire</v>
      </c>
      <c r="T182" s="93" t="str">
        <f>vlookup(F182,DATABASE!C:Q,8,false)</f>
        <v>BIAN</v>
      </c>
      <c r="Y182" s="81"/>
      <c r="Z182" s="9"/>
    </row>
    <row r="183" ht="22.5" customHeight="1">
      <c r="A183" s="49"/>
      <c r="C183" s="384">
        <v>45763.0</v>
      </c>
      <c r="D183" s="93">
        <v>45763.0</v>
      </c>
      <c r="E183" s="93" t="s">
        <v>303</v>
      </c>
      <c r="F183" s="74" t="s">
        <v>391</v>
      </c>
      <c r="G183" s="386">
        <v>2.0</v>
      </c>
      <c r="H183" s="74">
        <v>1950000.0</v>
      </c>
      <c r="I183" s="74">
        <v>2050000.0</v>
      </c>
      <c r="J183" s="60">
        <f t="shared" si="1"/>
        <v>45793</v>
      </c>
      <c r="K183" s="74">
        <f>if(F183="SERVICE",O183-(O183*50%),Vlookup(F183,DATABASE!C:Q,10,false)*G183)</f>
        <v>0</v>
      </c>
      <c r="L183" s="74">
        <f>VLOOKUP(F183,DATABASE!C:Q,7,FALSE)</f>
        <v>1885000</v>
      </c>
      <c r="M183" s="74">
        <v>1840000.0</v>
      </c>
      <c r="N183" s="74">
        <f t="shared" si="8"/>
        <v>1840000</v>
      </c>
      <c r="O183" s="74">
        <f t="shared" si="3"/>
        <v>3900000</v>
      </c>
      <c r="P183" s="63">
        <f t="shared" si="4"/>
        <v>4100000</v>
      </c>
      <c r="Q183" s="63">
        <f t="shared" si="5"/>
        <v>420000</v>
      </c>
      <c r="R183" s="93" t="str">
        <f>VLOOKUP(F183,DATABASE!C:Q,4,false)</f>
        <v>Advance</v>
      </c>
      <c r="S183" s="93" t="str">
        <f>VLOOKUP(F183,DATABASE!C:P,11,false)</f>
        <v>Tire</v>
      </c>
      <c r="T183" s="93" t="str">
        <f>vlookup(F183,DATABASE!C:Q,8,false)</f>
        <v>BIAN</v>
      </c>
      <c r="Y183" s="81"/>
      <c r="Z183" s="9"/>
    </row>
    <row r="184" ht="22.5" customHeight="1">
      <c r="A184" s="49"/>
      <c r="C184" s="384">
        <v>45763.0</v>
      </c>
      <c r="D184" s="93">
        <v>45763.0</v>
      </c>
      <c r="E184" s="93" t="s">
        <v>264</v>
      </c>
      <c r="F184" s="74" t="s">
        <v>374</v>
      </c>
      <c r="G184" s="386">
        <v>1.0</v>
      </c>
      <c r="H184" s="74">
        <v>1960000.0</v>
      </c>
      <c r="I184" s="74">
        <v>2060000.0</v>
      </c>
      <c r="J184" s="60">
        <f t="shared" si="1"/>
        <v>45793</v>
      </c>
      <c r="K184" s="74">
        <f>if(F184="SERVICE",O184-(O184*50%),Vlookup(F184,DATABASE!C:Q,10,false)*G184)</f>
        <v>0</v>
      </c>
      <c r="L184" s="74">
        <f>VLOOKUP(F184,DATABASE!C:Q,7,FALSE)</f>
        <v>1980000</v>
      </c>
      <c r="M184" s="74">
        <v>1850000.0</v>
      </c>
      <c r="N184" s="74">
        <f t="shared" si="8"/>
        <v>1850000</v>
      </c>
      <c r="O184" s="74">
        <f t="shared" si="3"/>
        <v>1960000</v>
      </c>
      <c r="P184" s="63">
        <f t="shared" si="4"/>
        <v>2060000</v>
      </c>
      <c r="Q184" s="63">
        <f t="shared" si="5"/>
        <v>210000</v>
      </c>
      <c r="R184" s="93" t="str">
        <f>VLOOKUP(F184,DATABASE!C:Q,4,false)</f>
        <v>Advance</v>
      </c>
      <c r="S184" s="93" t="str">
        <f>VLOOKUP(F184,DATABASE!C:P,11,false)</f>
        <v>Tire</v>
      </c>
      <c r="T184" s="93" t="str">
        <f>vlookup(F184,DATABASE!C:Q,8,false)</f>
        <v>BIAN</v>
      </c>
      <c r="Y184" s="81"/>
      <c r="Z184" s="9"/>
    </row>
    <row r="185" ht="22.5" customHeight="1">
      <c r="A185" s="49"/>
      <c r="C185" s="384">
        <v>45763.0</v>
      </c>
      <c r="D185" s="93">
        <v>45763.0</v>
      </c>
      <c r="E185" s="93" t="s">
        <v>999</v>
      </c>
      <c r="F185" s="74" t="s">
        <v>403</v>
      </c>
      <c r="G185" s="386">
        <v>1.0</v>
      </c>
      <c r="H185" s="74">
        <v>2260000.0</v>
      </c>
      <c r="I185" s="74">
        <v>2360000.0</v>
      </c>
      <c r="J185" s="60">
        <f t="shared" si="1"/>
        <v>45793</v>
      </c>
      <c r="K185" s="74">
        <f>if(F185="SERVICE",O185-(O185*50%),Vlookup(F185,DATABASE!C:Q,10,false)*G185)</f>
        <v>0</v>
      </c>
      <c r="L185" s="74">
        <f>VLOOKUP(F185,DATABASE!C:Q,7,FALSE)</f>
        <v>2160000</v>
      </c>
      <c r="M185" s="74">
        <v>2160000.0</v>
      </c>
      <c r="N185" s="74">
        <f t="shared" si="8"/>
        <v>2160000</v>
      </c>
      <c r="O185" s="74">
        <f t="shared" si="3"/>
        <v>2260000</v>
      </c>
      <c r="P185" s="63">
        <f t="shared" si="4"/>
        <v>2360000</v>
      </c>
      <c r="Q185" s="63">
        <f t="shared" si="5"/>
        <v>200000</v>
      </c>
      <c r="R185" s="93" t="str">
        <f>VLOOKUP(F185,DATABASE!C:Q,4,false)</f>
        <v>Advance</v>
      </c>
      <c r="S185" s="93" t="str">
        <f>VLOOKUP(F185,DATABASE!C:P,11,false)</f>
        <v>Tire</v>
      </c>
      <c r="T185" s="93" t="str">
        <f>vlookup(F185,DATABASE!C:Q,8,false)</f>
        <v>BIAN</v>
      </c>
      <c r="Y185" s="81"/>
      <c r="Z185" s="9"/>
    </row>
    <row r="186" ht="22.5" customHeight="1">
      <c r="A186" s="49"/>
      <c r="C186" s="384">
        <v>45764.0</v>
      </c>
      <c r="D186" s="93">
        <v>45764.0</v>
      </c>
      <c r="E186" s="93" t="s">
        <v>396</v>
      </c>
      <c r="F186" s="74" t="s">
        <v>1237</v>
      </c>
      <c r="G186" s="386">
        <v>2.0</v>
      </c>
      <c r="H186" s="74">
        <v>1215000.0</v>
      </c>
      <c r="I186" s="74">
        <v>1265000.0</v>
      </c>
      <c r="J186" s="60">
        <f t="shared" si="1"/>
        <v>45794</v>
      </c>
      <c r="K186" s="74">
        <f>if(F186="SERVICE",O186-(O186*50%),Vlookup(F186,DATABASE!C:Q,10,false)*G186)</f>
        <v>0</v>
      </c>
      <c r="L186" s="74">
        <f>VLOOKUP(F186,DATABASE!C:Q,7,FALSE)</f>
        <v>1170353.16</v>
      </c>
      <c r="M186" s="74">
        <v>1113907.2</v>
      </c>
      <c r="N186" s="74">
        <f t="shared" si="8"/>
        <v>1115000</v>
      </c>
      <c r="O186" s="74">
        <f t="shared" si="3"/>
        <v>2430000</v>
      </c>
      <c r="P186" s="63">
        <f t="shared" si="4"/>
        <v>2530000</v>
      </c>
      <c r="Q186" s="63">
        <f t="shared" si="5"/>
        <v>300000</v>
      </c>
      <c r="R186" s="93" t="str">
        <f>VLOOKUP(F186,DATABASE!C:Q,4,false)</f>
        <v>Bridgestone</v>
      </c>
      <c r="S186" s="93" t="str">
        <f>VLOOKUP(F186,DATABASE!C:P,11,false)</f>
        <v>Tire</v>
      </c>
      <c r="T186" s="93" t="str">
        <f>vlookup(F186,DATABASE!C:Q,8,false)</f>
        <v>IBU</v>
      </c>
      <c r="Y186" s="81"/>
      <c r="Z186" s="9"/>
    </row>
    <row r="187" ht="22.5" customHeight="1">
      <c r="A187" s="49"/>
      <c r="C187" s="384">
        <v>45765.0</v>
      </c>
      <c r="D187" s="93">
        <v>45765.0</v>
      </c>
      <c r="E187" s="93" t="s">
        <v>234</v>
      </c>
      <c r="F187" s="74" t="s">
        <v>572</v>
      </c>
      <c r="G187" s="386">
        <v>2.0</v>
      </c>
      <c r="H187" s="74">
        <v>1370000.0</v>
      </c>
      <c r="I187" s="74">
        <v>1470000.0</v>
      </c>
      <c r="J187" s="60">
        <f t="shared" si="1"/>
        <v>45795</v>
      </c>
      <c r="K187" s="74">
        <f>if(F187="SERVICE",O187-(O187*50%),Vlookup(F187,DATABASE!C:Q,10,false)*G187)</f>
        <v>0</v>
      </c>
      <c r="L187" s="74">
        <f>VLOOKUP(F187,DATABASE!C:Q,7,FALSE)</f>
        <v>1265000</v>
      </c>
      <c r="M187" s="140">
        <v>1270000.0</v>
      </c>
      <c r="N187" s="74">
        <f t="shared" si="8"/>
        <v>1270000</v>
      </c>
      <c r="O187" s="74">
        <f t="shared" si="3"/>
        <v>2740000</v>
      </c>
      <c r="P187" s="63">
        <f t="shared" si="4"/>
        <v>2940000</v>
      </c>
      <c r="Q187" s="63">
        <f t="shared" si="5"/>
        <v>400000</v>
      </c>
      <c r="R187" s="93" t="str">
        <f>VLOOKUP(F187,DATABASE!C:Q,4,false)</f>
        <v>Bridgestone</v>
      </c>
      <c r="S187" s="93" t="str">
        <f>VLOOKUP(F187,DATABASE!C:P,11,false)</f>
        <v>Tire</v>
      </c>
      <c r="T187" s="93" t="str">
        <f>vlookup(F187,DATABASE!C:Q,8,false)</f>
        <v>IBU</v>
      </c>
      <c r="Y187" s="81"/>
      <c r="Z187" s="9"/>
    </row>
    <row r="188" ht="22.5" customHeight="1">
      <c r="A188" s="49"/>
      <c r="C188" s="384">
        <v>45765.0</v>
      </c>
      <c r="D188" s="93">
        <v>45765.0</v>
      </c>
      <c r="E188" s="93" t="s">
        <v>234</v>
      </c>
      <c r="F188" s="74" t="s">
        <v>255</v>
      </c>
      <c r="G188" s="93">
        <v>2.0</v>
      </c>
      <c r="H188" s="74">
        <v>200000.0</v>
      </c>
      <c r="I188" s="74">
        <v>220000.0</v>
      </c>
      <c r="J188" s="60">
        <f t="shared" si="1"/>
        <v>45795</v>
      </c>
      <c r="K188" s="74">
        <f>if(F188="SERVICE",O188-(O188*50%),Vlookup(F188,DATABASE!C:Q,10,false)*G188)</f>
        <v>0</v>
      </c>
      <c r="L188" s="74">
        <f>VLOOKUP(F188,DATABASE!C:Q,7,FALSE)</f>
        <v>161840</v>
      </c>
      <c r="M188" s="74">
        <v>161840.0</v>
      </c>
      <c r="N188" s="74">
        <f t="shared" si="8"/>
        <v>165000</v>
      </c>
      <c r="O188" s="74">
        <f t="shared" si="3"/>
        <v>400000</v>
      </c>
      <c r="P188" s="63">
        <f t="shared" si="4"/>
        <v>440000</v>
      </c>
      <c r="Q188" s="63">
        <f t="shared" si="5"/>
        <v>110000</v>
      </c>
      <c r="R188" s="93" t="str">
        <f>VLOOKUP(F188,DATABASE!C:Q,4,false)</f>
        <v>BD</v>
      </c>
      <c r="S188" s="93" t="str">
        <f>VLOOKUP(F188,DATABASE!C:P,11,false)</f>
        <v>Tire</v>
      </c>
      <c r="T188" s="93" t="str">
        <f>vlookup(F188,DATABASE!C:Q,8,false)</f>
        <v>BIAN</v>
      </c>
      <c r="Y188" s="81"/>
      <c r="Z188" s="9"/>
    </row>
    <row r="189" ht="22.5" customHeight="1">
      <c r="A189" s="49"/>
      <c r="C189" s="384">
        <v>45765.0</v>
      </c>
      <c r="D189" s="93">
        <v>45765.0</v>
      </c>
      <c r="E189" s="93" t="s">
        <v>234</v>
      </c>
      <c r="F189" s="74" t="s">
        <v>814</v>
      </c>
      <c r="G189" s="386">
        <v>2.0</v>
      </c>
      <c r="H189" s="74">
        <v>65000.0</v>
      </c>
      <c r="I189" s="74">
        <v>85000.0</v>
      </c>
      <c r="J189" s="60">
        <f t="shared" si="1"/>
        <v>45795</v>
      </c>
      <c r="K189" s="74">
        <f>if(F189="SERVICE",O189-(O189*50%),Vlookup(F189,DATABASE!C:Q,10,false)*G189)</f>
        <v>0</v>
      </c>
      <c r="L189" s="74">
        <f>VLOOKUP(F189,DATABASE!C:Q,7,FALSE)</f>
        <v>39440</v>
      </c>
      <c r="M189" s="74">
        <v>39440.0</v>
      </c>
      <c r="N189" s="74">
        <f t="shared" si="8"/>
        <v>40000</v>
      </c>
      <c r="O189" s="74">
        <f t="shared" si="3"/>
        <v>130000</v>
      </c>
      <c r="P189" s="63">
        <f t="shared" si="4"/>
        <v>170000</v>
      </c>
      <c r="Q189" s="63">
        <f t="shared" si="5"/>
        <v>90000</v>
      </c>
      <c r="R189" s="93" t="str">
        <f>VLOOKUP(F189,DATABASE!C:Q,4,false)</f>
        <v>Flap</v>
      </c>
      <c r="S189" s="93" t="str">
        <f>VLOOKUP(F189,DATABASE!C:P,11,false)</f>
        <v>Tire</v>
      </c>
      <c r="T189" s="93" t="str">
        <f>vlookup(F189,DATABASE!C:Q,8,false)</f>
        <v>BIAN</v>
      </c>
      <c r="Y189" s="81"/>
      <c r="Z189" s="9"/>
    </row>
    <row r="190" ht="22.5" customHeight="1">
      <c r="A190" s="49"/>
      <c r="C190" s="384">
        <v>45765.0</v>
      </c>
      <c r="D190" s="93">
        <v>45765.0</v>
      </c>
      <c r="E190" s="93" t="s">
        <v>267</v>
      </c>
      <c r="F190" s="74" t="s">
        <v>374</v>
      </c>
      <c r="G190" s="386">
        <v>1.0</v>
      </c>
      <c r="H190" s="74">
        <v>1960000.0</v>
      </c>
      <c r="I190" s="74">
        <v>2060000.0</v>
      </c>
      <c r="J190" s="60">
        <f t="shared" si="1"/>
        <v>45795</v>
      </c>
      <c r="K190" s="74">
        <f>if(F190="SERVICE",O190-(O190*50%),Vlookup(F190,DATABASE!C:Q,10,false)*G190)</f>
        <v>0</v>
      </c>
      <c r="L190" s="74">
        <f>VLOOKUP(F190,DATABASE!C:Q,7,FALSE)</f>
        <v>1980000</v>
      </c>
      <c r="M190" s="74">
        <v>1850000.0</v>
      </c>
      <c r="N190" s="74">
        <f t="shared" si="8"/>
        <v>1850000</v>
      </c>
      <c r="O190" s="74">
        <f t="shared" si="3"/>
        <v>1960000</v>
      </c>
      <c r="P190" s="63">
        <f t="shared" si="4"/>
        <v>2060000</v>
      </c>
      <c r="Q190" s="63">
        <f t="shared" si="5"/>
        <v>210000</v>
      </c>
      <c r="R190" s="93" t="str">
        <f>VLOOKUP(F190,DATABASE!C:Q,4,false)</f>
        <v>Advance</v>
      </c>
      <c r="S190" s="93" t="str">
        <f>VLOOKUP(F190,DATABASE!C:P,11,false)</f>
        <v>Tire</v>
      </c>
      <c r="T190" s="93" t="str">
        <f>vlookup(F190,DATABASE!C:Q,8,false)</f>
        <v>BIAN</v>
      </c>
      <c r="Y190" s="81"/>
      <c r="Z190" s="9"/>
    </row>
    <row r="191" ht="22.5" customHeight="1">
      <c r="A191" s="49"/>
      <c r="C191" s="384">
        <v>45766.0</v>
      </c>
      <c r="D191" s="93">
        <v>45766.0</v>
      </c>
      <c r="E191" s="93" t="s">
        <v>470</v>
      </c>
      <c r="F191" s="74" t="s">
        <v>791</v>
      </c>
      <c r="G191" s="386">
        <v>4.0</v>
      </c>
      <c r="H191" s="74">
        <v>1280000.0</v>
      </c>
      <c r="I191" s="74">
        <v>1380000.0</v>
      </c>
      <c r="J191" s="60">
        <f t="shared" si="1"/>
        <v>45796</v>
      </c>
      <c r="K191" s="74">
        <f>if(F191="SERVICE",O191-(O191*50%),Vlookup(F191,DATABASE!C:Q,10,false)*G191)</f>
        <v>0</v>
      </c>
      <c r="L191" s="74">
        <f>VLOOKUP(F191,DATABASE!C:Q,7,FALSE)</f>
        <v>1210000</v>
      </c>
      <c r="M191" s="74">
        <v>1180000.0</v>
      </c>
      <c r="N191" s="74">
        <f t="shared" si="8"/>
        <v>1180000</v>
      </c>
      <c r="O191" s="74">
        <f t="shared" si="3"/>
        <v>5120000</v>
      </c>
      <c r="P191" s="63">
        <f t="shared" si="4"/>
        <v>5520000</v>
      </c>
      <c r="Q191" s="63">
        <f t="shared" si="5"/>
        <v>800000</v>
      </c>
      <c r="R191" s="93" t="str">
        <f>VLOOKUP(F191,DATABASE!C:Q,4,false)</f>
        <v>GT</v>
      </c>
      <c r="S191" s="93" t="str">
        <f>VLOOKUP(F191,DATABASE!C:P,11,false)</f>
        <v>Tire</v>
      </c>
      <c r="T191" s="93" t="str">
        <f>vlookup(F191,DATABASE!C:Q,8,false)</f>
        <v>BIAN</v>
      </c>
      <c r="Y191" s="81"/>
      <c r="Z191" s="9"/>
    </row>
    <row r="192" ht="22.5" customHeight="1">
      <c r="A192" s="49"/>
      <c r="C192" s="384">
        <v>45766.0</v>
      </c>
      <c r="D192" s="93">
        <v>45766.0</v>
      </c>
      <c r="E192" s="93" t="s">
        <v>470</v>
      </c>
      <c r="F192" s="74" t="s">
        <v>255</v>
      </c>
      <c r="G192" s="386">
        <v>4.0</v>
      </c>
      <c r="H192" s="74">
        <v>200000.0</v>
      </c>
      <c r="I192" s="74">
        <v>220000.0</v>
      </c>
      <c r="J192" s="60">
        <f t="shared" si="1"/>
        <v>45796</v>
      </c>
      <c r="K192" s="74">
        <f>if(F192="SERVICE",O192-(O192*50%),Vlookup(F192,DATABASE!C:Q,10,false)*G192)</f>
        <v>0</v>
      </c>
      <c r="L192" s="74">
        <f>VLOOKUP(F192,DATABASE!C:Q,7,FALSE)</f>
        <v>161840</v>
      </c>
      <c r="M192" s="74">
        <v>161840.0</v>
      </c>
      <c r="N192" s="74">
        <f t="shared" si="8"/>
        <v>165000</v>
      </c>
      <c r="O192" s="74">
        <f t="shared" si="3"/>
        <v>800000</v>
      </c>
      <c r="P192" s="63">
        <f t="shared" si="4"/>
        <v>880000</v>
      </c>
      <c r="Q192" s="63">
        <f t="shared" si="5"/>
        <v>220000</v>
      </c>
      <c r="R192" s="93" t="str">
        <f>VLOOKUP(F192,DATABASE!C:Q,4,false)</f>
        <v>BD</v>
      </c>
      <c r="S192" s="93" t="str">
        <f>VLOOKUP(F192,DATABASE!C:P,11,false)</f>
        <v>Tire</v>
      </c>
      <c r="T192" s="93" t="str">
        <f>vlookup(F192,DATABASE!C:Q,8,false)</f>
        <v>BIAN</v>
      </c>
      <c r="Y192" s="81"/>
      <c r="Z192" s="9"/>
    </row>
    <row r="193" ht="22.5" customHeight="1">
      <c r="A193" s="49"/>
      <c r="C193" s="384">
        <v>45766.0</v>
      </c>
      <c r="D193" s="93">
        <v>45766.0</v>
      </c>
      <c r="E193" s="93" t="s">
        <v>470</v>
      </c>
      <c r="F193" s="74" t="s">
        <v>814</v>
      </c>
      <c r="G193" s="386">
        <v>4.0</v>
      </c>
      <c r="H193" s="74">
        <v>65000.0</v>
      </c>
      <c r="I193" s="74">
        <v>85000.0</v>
      </c>
      <c r="J193" s="60">
        <f t="shared" si="1"/>
        <v>45796</v>
      </c>
      <c r="K193" s="74">
        <f>if(F193="SERVICE",O193-(O193*50%),Vlookup(F193,DATABASE!C:Q,10,false)*G193)</f>
        <v>0</v>
      </c>
      <c r="L193" s="74">
        <f>VLOOKUP(F193,DATABASE!C:Q,7,FALSE)</f>
        <v>39440</v>
      </c>
      <c r="M193" s="74">
        <v>39440.0</v>
      </c>
      <c r="N193" s="74">
        <f t="shared" si="8"/>
        <v>40000</v>
      </c>
      <c r="O193" s="74">
        <f t="shared" si="3"/>
        <v>260000</v>
      </c>
      <c r="P193" s="63">
        <f t="shared" si="4"/>
        <v>340000</v>
      </c>
      <c r="Q193" s="63">
        <f t="shared" si="5"/>
        <v>180000</v>
      </c>
      <c r="R193" s="93" t="str">
        <f>VLOOKUP(F193,DATABASE!C:Q,4,false)</f>
        <v>Flap</v>
      </c>
      <c r="S193" s="93" t="str">
        <f>VLOOKUP(F193,DATABASE!C:P,11,false)</f>
        <v>Tire</v>
      </c>
      <c r="T193" s="93" t="str">
        <f>vlookup(F193,DATABASE!C:Q,8,false)</f>
        <v>BIAN</v>
      </c>
      <c r="Y193" s="81"/>
      <c r="Z193" s="9"/>
    </row>
    <row r="194" ht="22.5" customHeight="1">
      <c r="A194" s="49"/>
      <c r="C194" s="384">
        <v>45766.0</v>
      </c>
      <c r="D194" s="93">
        <v>45766.0</v>
      </c>
      <c r="E194" s="65" t="s">
        <v>735</v>
      </c>
      <c r="F194" s="74" t="s">
        <v>647</v>
      </c>
      <c r="G194" s="386">
        <v>2.0</v>
      </c>
      <c r="H194" s="74">
        <v>1470000.0</v>
      </c>
      <c r="I194" s="74">
        <v>1570000.0</v>
      </c>
      <c r="J194" s="60">
        <f t="shared" si="1"/>
        <v>45796</v>
      </c>
      <c r="K194" s="74">
        <f>if(F194="SERVICE",O194-(O194*50%),Vlookup(F194,DATABASE!C:Q,10,false)*G194)</f>
        <v>0</v>
      </c>
      <c r="L194" s="74">
        <f>VLOOKUP(F194,DATABASE!C:Q,7,FALSE)</f>
        <v>1420000</v>
      </c>
      <c r="M194" s="74">
        <v>1420000.0</v>
      </c>
      <c r="N194" s="74">
        <f t="shared" si="8"/>
        <v>1420000</v>
      </c>
      <c r="O194" s="74">
        <f t="shared" si="3"/>
        <v>2940000</v>
      </c>
      <c r="P194" s="63">
        <f t="shared" si="4"/>
        <v>3140000</v>
      </c>
      <c r="Q194" s="63">
        <f t="shared" si="5"/>
        <v>300000</v>
      </c>
      <c r="R194" s="93" t="str">
        <f>VLOOKUP(F194,DATABASE!C:Q,4,false)</f>
        <v>G. YEAR</v>
      </c>
      <c r="S194" s="93" t="str">
        <f>VLOOKUP(F194,DATABASE!C:P,11,false)</f>
        <v>Tire</v>
      </c>
      <c r="T194" s="93" t="str">
        <f>vlookup(F194,DATABASE!C:Q,8,false)</f>
        <v>BIAN</v>
      </c>
      <c r="Y194" s="81"/>
      <c r="Z194" s="9"/>
    </row>
    <row r="195" ht="22.5" customHeight="1">
      <c r="A195" s="49"/>
      <c r="C195" s="384">
        <v>45766.0</v>
      </c>
      <c r="D195" s="93">
        <v>45766.0</v>
      </c>
      <c r="E195" s="93" t="s">
        <v>735</v>
      </c>
      <c r="F195" s="74" t="s">
        <v>1209</v>
      </c>
      <c r="G195" s="386">
        <v>1.0</v>
      </c>
      <c r="H195" s="74">
        <v>65000.0</v>
      </c>
      <c r="I195" s="74">
        <v>85000.0</v>
      </c>
      <c r="J195" s="60">
        <f t="shared" si="1"/>
        <v>45796</v>
      </c>
      <c r="K195" s="74">
        <f>if(F195="SERVICE",O195-(O195*50%),Vlookup(F195,DATABASE!C:Q,10,false)*G195)</f>
        <v>0</v>
      </c>
      <c r="L195" s="74">
        <f>VLOOKUP(F195,DATABASE!C:Q,7,FALSE)</f>
        <v>50000</v>
      </c>
      <c r="M195" s="74">
        <v>50000.0</v>
      </c>
      <c r="N195" s="74">
        <f t="shared" si="8"/>
        <v>50000</v>
      </c>
      <c r="O195" s="74">
        <f t="shared" si="3"/>
        <v>65000</v>
      </c>
      <c r="P195" s="63">
        <f t="shared" si="4"/>
        <v>85000</v>
      </c>
      <c r="Q195" s="63">
        <f t="shared" si="5"/>
        <v>35000</v>
      </c>
      <c r="R195" s="93" t="str">
        <f>VLOOKUP(F195,DATABASE!C:Q,4,false)</f>
        <v>Flap</v>
      </c>
      <c r="S195" s="93" t="str">
        <f>VLOOKUP(F195,DATABASE!C:P,11,false)</f>
        <v>Tire</v>
      </c>
      <c r="T195" s="93" t="str">
        <f>vlookup(F195,DATABASE!C:Q,8,false)</f>
        <v>BIAN</v>
      </c>
      <c r="Y195" s="81"/>
      <c r="Z195" s="9"/>
    </row>
    <row r="196" ht="22.5" customHeight="1">
      <c r="A196" s="49"/>
      <c r="C196" s="384">
        <v>45769.0</v>
      </c>
      <c r="D196" s="93">
        <v>45769.0</v>
      </c>
      <c r="E196" s="93" t="s">
        <v>274</v>
      </c>
      <c r="F196" s="93" t="s">
        <v>2236</v>
      </c>
      <c r="G196" s="386">
        <v>1.0</v>
      </c>
      <c r="H196" s="74">
        <v>900000.0</v>
      </c>
      <c r="I196" s="74">
        <v>1000000.0</v>
      </c>
      <c r="J196" s="60">
        <f t="shared" si="1"/>
        <v>45799</v>
      </c>
      <c r="K196" s="74">
        <f>if(F196="SERVICE",O196-(O196*50%),Vlookup(F196,DATABASE!C:Q,10,false)*G196)</f>
        <v>0</v>
      </c>
      <c r="L196" s="74">
        <f>VLOOKUP(F196,DATABASE!C:Q,7,FALSE)</f>
        <v>775000</v>
      </c>
      <c r="M196" s="74">
        <v>775000.0</v>
      </c>
      <c r="N196" s="74">
        <f t="shared" si="8"/>
        <v>775000</v>
      </c>
      <c r="O196" s="74">
        <f t="shared" si="3"/>
        <v>900000</v>
      </c>
      <c r="P196" s="63">
        <f t="shared" si="4"/>
        <v>1000000</v>
      </c>
      <c r="Q196" s="63">
        <f t="shared" si="5"/>
        <v>225000</v>
      </c>
      <c r="R196" s="93" t="str">
        <f>VLOOKUP(F196,DATABASE!C:Q,4,false)</f>
        <v>VELG</v>
      </c>
      <c r="S196" s="93" t="str">
        <f>VLOOKUP(F196,DATABASE!C:P,11,false)</f>
        <v>COMPLEMENTARY</v>
      </c>
      <c r="T196" s="93" t="str">
        <f>vlookup(F196,DATABASE!C:Q,8,false)</f>
        <v>BIAN</v>
      </c>
      <c r="Y196" s="81"/>
      <c r="Z196" s="9"/>
    </row>
    <row r="197" ht="22.5" customHeight="1">
      <c r="A197" s="49"/>
      <c r="C197" s="384">
        <v>45769.0</v>
      </c>
      <c r="D197" s="93">
        <v>45769.0</v>
      </c>
      <c r="E197" s="93" t="s">
        <v>1007</v>
      </c>
      <c r="F197" s="74" t="s">
        <v>627</v>
      </c>
      <c r="G197" s="386">
        <v>2.0</v>
      </c>
      <c r="H197" s="74">
        <v>935000.0</v>
      </c>
      <c r="I197" s="74">
        <v>1010000.0</v>
      </c>
      <c r="J197" s="60">
        <f t="shared" si="1"/>
        <v>45799</v>
      </c>
      <c r="K197" s="74">
        <f>if(F197="SERVICE",O197-(O197*50%),Vlookup(F197,DATABASE!C:Q,10,false)*G197)</f>
        <v>0</v>
      </c>
      <c r="L197" s="74">
        <f>VLOOKUP(F197,DATABASE!C:Q,7,FALSE)</f>
        <v>879567</v>
      </c>
      <c r="M197" s="74">
        <v>884979.0</v>
      </c>
      <c r="N197" s="74">
        <f t="shared" si="8"/>
        <v>885000</v>
      </c>
      <c r="O197" s="74">
        <f t="shared" si="3"/>
        <v>1870000</v>
      </c>
      <c r="P197" s="63">
        <f t="shared" si="4"/>
        <v>2020000</v>
      </c>
      <c r="Q197" s="63">
        <f t="shared" si="5"/>
        <v>250000</v>
      </c>
      <c r="R197" s="93" t="str">
        <f>VLOOKUP(F197,DATABASE!C:Q,4,false)</f>
        <v>Bridgestone</v>
      </c>
      <c r="S197" s="93" t="str">
        <f>VLOOKUP(F197,DATABASE!C:P,11,false)</f>
        <v>Tire</v>
      </c>
      <c r="T197" s="93" t="str">
        <f>vlookup(F197,DATABASE!C:Q,8,false)</f>
        <v>IBU</v>
      </c>
      <c r="Y197" s="81"/>
      <c r="Z197" s="9"/>
    </row>
    <row r="198" ht="22.5" customHeight="1">
      <c r="A198" s="49"/>
      <c r="C198" s="384">
        <v>45771.0</v>
      </c>
      <c r="D198" s="93">
        <v>45771.0</v>
      </c>
      <c r="E198" s="93" t="s">
        <v>641</v>
      </c>
      <c r="F198" s="74" t="s">
        <v>391</v>
      </c>
      <c r="G198" s="386">
        <v>1.0</v>
      </c>
      <c r="H198" s="74">
        <v>1950000.0</v>
      </c>
      <c r="I198" s="74">
        <v>2050000.0</v>
      </c>
      <c r="J198" s="60">
        <f t="shared" si="1"/>
        <v>45801</v>
      </c>
      <c r="K198" s="74">
        <f>if(F198="SERVICE",O198-(O198*50%),Vlookup(F198,DATABASE!C:Q,10,false)*G198)</f>
        <v>0</v>
      </c>
      <c r="L198" s="74">
        <f>VLOOKUP(F198,DATABASE!C:Q,7,FALSE)</f>
        <v>1885000</v>
      </c>
      <c r="M198" s="74">
        <v>1840000.0</v>
      </c>
      <c r="N198" s="74">
        <f t="shared" si="8"/>
        <v>1840000</v>
      </c>
      <c r="O198" s="74">
        <f t="shared" si="3"/>
        <v>1950000</v>
      </c>
      <c r="P198" s="63">
        <f t="shared" si="4"/>
        <v>2050000</v>
      </c>
      <c r="Q198" s="63">
        <f t="shared" si="5"/>
        <v>210000</v>
      </c>
      <c r="R198" s="93" t="str">
        <f>VLOOKUP(F198,DATABASE!C:Q,4,false)</f>
        <v>Advance</v>
      </c>
      <c r="S198" s="93" t="str">
        <f>VLOOKUP(F198,DATABASE!C:P,11,false)</f>
        <v>Tire</v>
      </c>
      <c r="T198" s="93" t="str">
        <f>vlookup(F198,DATABASE!C:Q,8,false)</f>
        <v>BIAN</v>
      </c>
      <c r="Y198" s="81"/>
      <c r="Z198" s="9"/>
    </row>
    <row r="199" ht="22.5" customHeight="1">
      <c r="A199" s="49"/>
      <c r="C199" s="384">
        <v>45772.0</v>
      </c>
      <c r="D199" s="93">
        <v>45772.0</v>
      </c>
      <c r="E199" s="93" t="s">
        <v>383</v>
      </c>
      <c r="F199" s="74" t="s">
        <v>1862</v>
      </c>
      <c r="G199" s="386">
        <v>2.0</v>
      </c>
      <c r="H199" s="74">
        <v>2125000.0</v>
      </c>
      <c r="I199" s="74">
        <v>2235000.0</v>
      </c>
      <c r="J199" s="60">
        <f t="shared" si="1"/>
        <v>45802</v>
      </c>
      <c r="K199" s="74">
        <f>if(F199="SERVICE",O199-(O199*50%),Vlookup(F199,DATABASE!C:Q,10,false)*G199)</f>
        <v>0</v>
      </c>
      <c r="L199" s="74">
        <f>VLOOKUP(F199,DATABASE!C:Q,7,FALSE)</f>
        <v>2080000</v>
      </c>
      <c r="M199" s="74">
        <v>2050000.0</v>
      </c>
      <c r="N199" s="74">
        <f t="shared" si="8"/>
        <v>2050000</v>
      </c>
      <c r="O199" s="74">
        <f t="shared" si="3"/>
        <v>4250000</v>
      </c>
      <c r="P199" s="63">
        <f t="shared" si="4"/>
        <v>4470000</v>
      </c>
      <c r="Q199" s="63">
        <f t="shared" si="5"/>
        <v>370000</v>
      </c>
      <c r="R199" s="93" t="str">
        <f>VLOOKUP(F199,DATABASE!C:Q,4,false)</f>
        <v>GiTi</v>
      </c>
      <c r="S199" s="93" t="str">
        <f>VLOOKUP(F199,DATABASE!C:P,11,false)</f>
        <v>Tire</v>
      </c>
      <c r="T199" s="93" t="str">
        <f>vlookup(F199,DATABASE!C:Q,8,false)</f>
        <v>BIAN</v>
      </c>
      <c r="Y199" s="81"/>
      <c r="Z199" s="9"/>
    </row>
    <row r="200" ht="22.5" customHeight="1">
      <c r="A200" s="49"/>
      <c r="C200" s="384">
        <v>45773.0</v>
      </c>
      <c r="D200" s="93">
        <v>45773.0</v>
      </c>
      <c r="E200" s="93" t="s">
        <v>208</v>
      </c>
      <c r="F200" s="74" t="s">
        <v>1237</v>
      </c>
      <c r="G200" s="386">
        <v>1.0</v>
      </c>
      <c r="H200" s="74">
        <v>1235000.0</v>
      </c>
      <c r="I200" s="74">
        <v>1315000.0</v>
      </c>
      <c r="J200" s="60">
        <f t="shared" si="1"/>
        <v>45803</v>
      </c>
      <c r="K200" s="74">
        <f>if(F200="SERVICE",O200-(O200*50%),Vlookup(F200,DATABASE!C:Q,10,false)*G200)</f>
        <v>0</v>
      </c>
      <c r="L200" s="74">
        <f>VLOOKUP(F200,DATABASE!C:Q,7,FALSE)</f>
        <v>1170353.16</v>
      </c>
      <c r="M200" s="74">
        <v>1113907.2</v>
      </c>
      <c r="N200" s="74">
        <f t="shared" si="8"/>
        <v>1115000</v>
      </c>
      <c r="O200" s="74">
        <f t="shared" si="3"/>
        <v>1235000</v>
      </c>
      <c r="P200" s="63">
        <f t="shared" si="4"/>
        <v>1315000</v>
      </c>
      <c r="Q200" s="63">
        <f t="shared" si="5"/>
        <v>200000</v>
      </c>
      <c r="R200" s="93" t="str">
        <f>VLOOKUP(F200,DATABASE!C:Q,4,false)</f>
        <v>Bridgestone</v>
      </c>
      <c r="S200" s="93" t="str">
        <f>VLOOKUP(F200,DATABASE!C:P,11,false)</f>
        <v>Tire</v>
      </c>
      <c r="T200" s="93" t="str">
        <f>vlookup(F200,DATABASE!C:Q,8,false)</f>
        <v>IBU</v>
      </c>
      <c r="Y200" s="81"/>
      <c r="Z200" s="9"/>
    </row>
    <row r="201" ht="22.5" customHeight="1">
      <c r="A201" s="49"/>
      <c r="C201" s="384">
        <v>45775.0</v>
      </c>
      <c r="D201" s="93">
        <v>45775.0</v>
      </c>
      <c r="E201" s="93" t="s">
        <v>132</v>
      </c>
      <c r="F201" s="74" t="s">
        <v>566</v>
      </c>
      <c r="G201" s="386">
        <v>1.0</v>
      </c>
      <c r="H201" s="74">
        <v>1670000.0</v>
      </c>
      <c r="I201" s="74">
        <v>1770000.0</v>
      </c>
      <c r="J201" s="60">
        <f t="shared" si="1"/>
        <v>45805</v>
      </c>
      <c r="K201" s="74">
        <f>if(F201="SERVICE",O201-(O201*50%),Vlookup(F201,DATABASE!C:Q,10,false)*G201)</f>
        <v>0</v>
      </c>
      <c r="L201" s="74">
        <f>VLOOKUP(F201,DATABASE!C:Q,7,FALSE)</f>
        <v>1565000</v>
      </c>
      <c r="M201" s="140">
        <v>1570000.0</v>
      </c>
      <c r="N201" s="74">
        <f t="shared" si="8"/>
        <v>1570000</v>
      </c>
      <c r="O201" s="74">
        <f t="shared" si="3"/>
        <v>1670000</v>
      </c>
      <c r="P201" s="63">
        <f t="shared" si="4"/>
        <v>1770000</v>
      </c>
      <c r="Q201" s="63">
        <f t="shared" si="5"/>
        <v>200000</v>
      </c>
      <c r="R201" s="93" t="str">
        <f>VLOOKUP(F201,DATABASE!C:Q,4,false)</f>
        <v>Bridgestone</v>
      </c>
      <c r="S201" s="93" t="str">
        <f>VLOOKUP(F201,DATABASE!C:P,11,false)</f>
        <v>Tire</v>
      </c>
      <c r="T201" s="93" t="str">
        <f>vlookup(F201,DATABASE!C:Q,8,false)</f>
        <v>IBU</v>
      </c>
      <c r="Y201" s="81"/>
      <c r="Z201" s="9"/>
    </row>
    <row r="202" ht="22.5" customHeight="1">
      <c r="A202" s="49"/>
      <c r="C202" s="384">
        <v>45775.0</v>
      </c>
      <c r="D202" s="93">
        <v>45775.0</v>
      </c>
      <c r="E202" s="93" t="s">
        <v>132</v>
      </c>
      <c r="F202" s="74" t="s">
        <v>737</v>
      </c>
      <c r="G202" s="386">
        <v>1.0</v>
      </c>
      <c r="H202" s="74">
        <v>270000.0</v>
      </c>
      <c r="I202" s="74">
        <v>290000.0</v>
      </c>
      <c r="J202" s="60">
        <f t="shared" si="1"/>
        <v>45805</v>
      </c>
      <c r="K202" s="74">
        <f>if(F202="SERVICE",O202-(O202*50%),Vlookup(F202,DATABASE!C:Q,10,false)*G202)</f>
        <v>0</v>
      </c>
      <c r="L202" s="74">
        <f>VLOOKUP(F202,DATABASE!C:Q,7,FALSE)</f>
        <v>241001.6</v>
      </c>
      <c r="M202" s="74">
        <v>237440.0</v>
      </c>
      <c r="N202" s="74">
        <f t="shared" si="8"/>
        <v>240000</v>
      </c>
      <c r="O202" s="74">
        <f t="shared" si="3"/>
        <v>270000</v>
      </c>
      <c r="P202" s="63">
        <f t="shared" si="4"/>
        <v>290000</v>
      </c>
      <c r="Q202" s="63">
        <f t="shared" si="5"/>
        <v>50000</v>
      </c>
      <c r="R202" s="93" t="str">
        <f>VLOOKUP(F202,DATABASE!C:Q,4,false)</f>
        <v>BD</v>
      </c>
      <c r="S202" s="93" t="str">
        <f>VLOOKUP(F202,DATABASE!C:P,11,false)</f>
        <v>Tire</v>
      </c>
      <c r="T202" s="93" t="str">
        <f>vlookup(F202,DATABASE!C:Q,8,false)</f>
        <v>IBU</v>
      </c>
      <c r="Y202" s="81"/>
      <c r="Z202" s="9"/>
    </row>
    <row r="203" ht="22.5" customHeight="1">
      <c r="A203" s="49"/>
      <c r="C203" s="384">
        <v>45775.0</v>
      </c>
      <c r="D203" s="93">
        <v>45775.0</v>
      </c>
      <c r="E203" s="93" t="s">
        <v>132</v>
      </c>
      <c r="F203" s="74" t="s">
        <v>1714</v>
      </c>
      <c r="G203" s="386">
        <v>1.0</v>
      </c>
      <c r="H203" s="74">
        <v>160000.0</v>
      </c>
      <c r="I203" s="74">
        <v>180000.0</v>
      </c>
      <c r="J203" s="60">
        <f t="shared" si="1"/>
        <v>45805</v>
      </c>
      <c r="K203" s="74">
        <f>if(F203="SERVICE",O203-(O203*50%),Vlookup(F203,DATABASE!C:Q,10,false)*G203)</f>
        <v>0</v>
      </c>
      <c r="L203" s="74">
        <f>VLOOKUP(F203,DATABASE!C:Q,7,FALSE)</f>
        <v>140000</v>
      </c>
      <c r="M203" s="74">
        <v>140000.0</v>
      </c>
      <c r="N203" s="74">
        <f t="shared" si="8"/>
        <v>140000</v>
      </c>
      <c r="O203" s="74">
        <f t="shared" si="3"/>
        <v>160000</v>
      </c>
      <c r="P203" s="63">
        <f t="shared" si="4"/>
        <v>180000</v>
      </c>
      <c r="Q203" s="63">
        <f t="shared" si="5"/>
        <v>40000</v>
      </c>
      <c r="R203" s="93" t="str">
        <f>VLOOKUP(F203,DATABASE!C:Q,4,false)</f>
        <v>Flap</v>
      </c>
      <c r="S203" s="93" t="str">
        <f>VLOOKUP(F203,DATABASE!C:P,11,false)</f>
        <v>Tire</v>
      </c>
      <c r="T203" s="93" t="str">
        <f>vlookup(F203,DATABASE!C:Q,8,false)</f>
        <v>IBU</v>
      </c>
      <c r="Y203" s="81"/>
      <c r="Z203" s="9"/>
    </row>
    <row r="204" ht="22.5" customHeight="1">
      <c r="A204" s="49"/>
      <c r="C204" s="384">
        <v>45776.0</v>
      </c>
      <c r="D204" s="93">
        <v>45776.0</v>
      </c>
      <c r="E204" s="93" t="s">
        <v>610</v>
      </c>
      <c r="F204" s="74" t="s">
        <v>403</v>
      </c>
      <c r="G204" s="386">
        <v>2.0</v>
      </c>
      <c r="H204" s="74">
        <v>2260000.0</v>
      </c>
      <c r="I204" s="74">
        <v>2360000.0</v>
      </c>
      <c r="J204" s="60">
        <f t="shared" si="1"/>
        <v>45806</v>
      </c>
      <c r="K204" s="74">
        <f>if(F204="SERVICE",O204-(O204*50%),Vlookup(F204,DATABASE!C:Q,10,false)*G204)</f>
        <v>0</v>
      </c>
      <c r="L204" s="74">
        <f>VLOOKUP(F204,DATABASE!C:Q,7,FALSE)</f>
        <v>2160000</v>
      </c>
      <c r="M204" s="74">
        <v>2160000.0</v>
      </c>
      <c r="N204" s="74">
        <f t="shared" si="8"/>
        <v>2160000</v>
      </c>
      <c r="O204" s="74">
        <f t="shared" si="3"/>
        <v>4520000</v>
      </c>
      <c r="P204" s="63">
        <f t="shared" si="4"/>
        <v>4720000</v>
      </c>
      <c r="Q204" s="63">
        <f t="shared" si="5"/>
        <v>400000</v>
      </c>
      <c r="R204" s="93" t="str">
        <f>VLOOKUP(F204,DATABASE!C:Q,4,false)</f>
        <v>Advance</v>
      </c>
      <c r="S204" s="93" t="str">
        <f>VLOOKUP(F204,DATABASE!C:P,11,false)</f>
        <v>Tire</v>
      </c>
      <c r="T204" s="93" t="str">
        <f>vlookup(F204,DATABASE!C:Q,8,false)</f>
        <v>BIAN</v>
      </c>
      <c r="Y204" s="81"/>
      <c r="Z204" s="9"/>
    </row>
    <row r="205" ht="22.5" customHeight="1">
      <c r="A205" s="49"/>
      <c r="C205" s="384">
        <v>45778.0</v>
      </c>
      <c r="D205" s="93">
        <v>45778.0</v>
      </c>
      <c r="E205" s="93" t="s">
        <v>74</v>
      </c>
      <c r="F205" s="74" t="s">
        <v>791</v>
      </c>
      <c r="G205" s="386">
        <v>2.0</v>
      </c>
      <c r="H205" s="74">
        <v>1300000.0</v>
      </c>
      <c r="I205" s="74">
        <v>1300000.0</v>
      </c>
      <c r="J205" s="60">
        <f t="shared" si="1"/>
        <v>45808</v>
      </c>
      <c r="K205" s="74">
        <f>if(F205="SERVICE",O205-(O205*50%),Vlookup(F205,DATABASE!C:Q,10,false)*G205)</f>
        <v>0</v>
      </c>
      <c r="L205" s="74">
        <f>VLOOKUP(F205,DATABASE!C:Q,7,FALSE)</f>
        <v>1210000</v>
      </c>
      <c r="M205" s="74">
        <v>1180000.0</v>
      </c>
      <c r="N205" s="74">
        <f t="shared" si="8"/>
        <v>1180000</v>
      </c>
      <c r="O205" s="74">
        <f t="shared" si="3"/>
        <v>2600000</v>
      </c>
      <c r="P205" s="63">
        <f t="shared" si="4"/>
        <v>2600000</v>
      </c>
      <c r="Q205" s="63">
        <f t="shared" si="5"/>
        <v>240000</v>
      </c>
      <c r="R205" s="93" t="str">
        <f>VLOOKUP(F205,DATABASE!C:Q,4,false)</f>
        <v>GT</v>
      </c>
      <c r="S205" s="93" t="str">
        <f>VLOOKUP(F205,DATABASE!C:P,11,false)</f>
        <v>Tire</v>
      </c>
      <c r="T205" s="93" t="str">
        <f>vlookup(F205,DATABASE!C:Q,8,false)</f>
        <v>BIAN</v>
      </c>
      <c r="Y205" s="81"/>
      <c r="Z205" s="9"/>
    </row>
    <row r="206" ht="22.5" customHeight="1">
      <c r="A206" s="49"/>
      <c r="C206" s="384">
        <v>45778.0</v>
      </c>
      <c r="D206" s="93">
        <v>45778.0</v>
      </c>
      <c r="E206" s="93" t="s">
        <v>74</v>
      </c>
      <c r="F206" s="74" t="s">
        <v>255</v>
      </c>
      <c r="G206" s="386">
        <v>2.0</v>
      </c>
      <c r="H206" s="74">
        <v>210000.0</v>
      </c>
      <c r="I206" s="74">
        <v>210000.0</v>
      </c>
      <c r="J206" s="60">
        <f t="shared" si="1"/>
        <v>45808</v>
      </c>
      <c r="K206" s="74">
        <f>if(F206="SERVICE",O206-(O206*50%),Vlookup(F206,DATABASE!C:Q,10,false)*G206)</f>
        <v>0</v>
      </c>
      <c r="L206" s="74">
        <f>VLOOKUP(F206,DATABASE!C:Q,7,FALSE)</f>
        <v>161840</v>
      </c>
      <c r="M206" s="74">
        <v>161840.0</v>
      </c>
      <c r="N206" s="74">
        <f t="shared" si="8"/>
        <v>165000</v>
      </c>
      <c r="O206" s="74">
        <f t="shared" si="3"/>
        <v>420000</v>
      </c>
      <c r="P206" s="63">
        <f t="shared" si="4"/>
        <v>420000</v>
      </c>
      <c r="Q206" s="63">
        <f t="shared" si="5"/>
        <v>90000</v>
      </c>
      <c r="R206" s="93" t="str">
        <f>VLOOKUP(F206,DATABASE!C:Q,4,false)</f>
        <v>BD</v>
      </c>
      <c r="S206" s="93" t="str">
        <f>VLOOKUP(F206,DATABASE!C:P,11,false)</f>
        <v>Tire</v>
      </c>
      <c r="T206" s="93" t="str">
        <f>vlookup(F206,DATABASE!C:Q,8,false)</f>
        <v>BIAN</v>
      </c>
      <c r="Y206" s="81"/>
      <c r="Z206" s="9"/>
    </row>
    <row r="207" ht="22.5" customHeight="1">
      <c r="A207" s="49"/>
      <c r="C207" s="384">
        <v>45778.0</v>
      </c>
      <c r="D207" s="93">
        <v>45778.0</v>
      </c>
      <c r="E207" s="93" t="s">
        <v>74</v>
      </c>
      <c r="F207" s="74" t="s">
        <v>284</v>
      </c>
      <c r="G207" s="386">
        <v>1.0</v>
      </c>
      <c r="H207" s="74">
        <v>70000.0</v>
      </c>
      <c r="I207" s="74">
        <v>70000.0</v>
      </c>
      <c r="J207" s="60">
        <f t="shared" si="1"/>
        <v>45808</v>
      </c>
      <c r="K207" s="74">
        <f>if(F207="SERVICE",O207-(O207*50%),Vlookup(F207,DATABASE!C:Q,10,false)*G207)</f>
        <v>0</v>
      </c>
      <c r="L207" s="74">
        <f>VLOOKUP(F207,DATABASE!C:Q,7,FALSE)</f>
        <v>36630</v>
      </c>
      <c r="M207" s="74">
        <v>36630.0</v>
      </c>
      <c r="N207" s="74">
        <f t="shared" si="8"/>
        <v>40000</v>
      </c>
      <c r="O207" s="74">
        <f t="shared" si="3"/>
        <v>70000</v>
      </c>
      <c r="P207" s="63">
        <f t="shared" si="4"/>
        <v>70000</v>
      </c>
      <c r="Q207" s="63">
        <f t="shared" si="5"/>
        <v>30000</v>
      </c>
      <c r="R207" s="93" t="str">
        <f>VLOOKUP(F207,DATABASE!C:Q,4,false)</f>
        <v>Flap</v>
      </c>
      <c r="S207" s="93" t="str">
        <f>VLOOKUP(F207,DATABASE!C:P,11,false)</f>
        <v>Tire</v>
      </c>
      <c r="T207" s="93" t="str">
        <f>vlookup(F207,DATABASE!C:Q,8,false)</f>
        <v>BIAN</v>
      </c>
      <c r="Y207" s="81"/>
      <c r="Z207" s="9"/>
    </row>
    <row r="208" ht="22.5" customHeight="1">
      <c r="A208" s="49"/>
      <c r="C208" s="384">
        <v>45779.0</v>
      </c>
      <c r="D208" s="93">
        <v>45779.0</v>
      </c>
      <c r="E208" s="93" t="s">
        <v>267</v>
      </c>
      <c r="F208" s="74" t="s">
        <v>791</v>
      </c>
      <c r="G208" s="386">
        <v>1.0</v>
      </c>
      <c r="H208" s="74">
        <v>1280000.0</v>
      </c>
      <c r="I208" s="74">
        <v>1380000.0</v>
      </c>
      <c r="J208" s="60">
        <f t="shared" si="1"/>
        <v>45809</v>
      </c>
      <c r="K208" s="74">
        <f>if(F208="SERVICE",O208-(O208*50%),Vlookup(F208,DATABASE!C:Q,10,false)*G208)</f>
        <v>0</v>
      </c>
      <c r="L208" s="74">
        <f>VLOOKUP(F208,DATABASE!C:Q,7,FALSE)</f>
        <v>1210000</v>
      </c>
      <c r="M208" s="74">
        <v>1180000.0</v>
      </c>
      <c r="N208" s="74">
        <f t="shared" si="8"/>
        <v>1180000</v>
      </c>
      <c r="O208" s="74">
        <f t="shared" si="3"/>
        <v>1280000</v>
      </c>
      <c r="P208" s="63">
        <f t="shared" si="4"/>
        <v>1380000</v>
      </c>
      <c r="Q208" s="63">
        <f t="shared" si="5"/>
        <v>200000</v>
      </c>
      <c r="R208" s="93" t="str">
        <f>VLOOKUP(F208,DATABASE!C:Q,4,false)</f>
        <v>GT</v>
      </c>
      <c r="S208" s="93" t="str">
        <f>VLOOKUP(F208,DATABASE!C:P,11,false)</f>
        <v>Tire</v>
      </c>
      <c r="T208" s="93" t="str">
        <f>vlookup(F208,DATABASE!C:Q,8,false)</f>
        <v>BIAN</v>
      </c>
      <c r="Y208" s="81"/>
      <c r="Z208" s="9"/>
    </row>
    <row r="209" ht="22.5" customHeight="1">
      <c r="A209" s="49"/>
      <c r="C209" s="384">
        <v>45779.0</v>
      </c>
      <c r="D209" s="93">
        <v>45779.0</v>
      </c>
      <c r="E209" s="93" t="s">
        <v>267</v>
      </c>
      <c r="F209" s="74" t="s">
        <v>255</v>
      </c>
      <c r="G209" s="386">
        <v>1.0</v>
      </c>
      <c r="H209" s="74">
        <v>200000.0</v>
      </c>
      <c r="I209" s="74">
        <v>220000.0</v>
      </c>
      <c r="J209" s="60">
        <f t="shared" si="1"/>
        <v>45809</v>
      </c>
      <c r="K209" s="74">
        <f>if(F209="SERVICE",O209-(O209*50%),Vlookup(F209,DATABASE!C:Q,10,false)*G209)</f>
        <v>0</v>
      </c>
      <c r="L209" s="74">
        <f>VLOOKUP(F209,DATABASE!C:Q,7,FALSE)</f>
        <v>161840</v>
      </c>
      <c r="M209" s="74">
        <v>161840.0</v>
      </c>
      <c r="N209" s="74">
        <f t="shared" si="8"/>
        <v>165000</v>
      </c>
      <c r="O209" s="74">
        <f t="shared" si="3"/>
        <v>200000</v>
      </c>
      <c r="P209" s="63">
        <f t="shared" si="4"/>
        <v>220000</v>
      </c>
      <c r="Q209" s="63">
        <f t="shared" si="5"/>
        <v>55000</v>
      </c>
      <c r="R209" s="93" t="str">
        <f>VLOOKUP(F209,DATABASE!C:Q,4,false)</f>
        <v>BD</v>
      </c>
      <c r="S209" s="93" t="str">
        <f>VLOOKUP(F209,DATABASE!C:P,11,false)</f>
        <v>Tire</v>
      </c>
      <c r="T209" s="93" t="str">
        <f>vlookup(F209,DATABASE!C:Q,8,false)</f>
        <v>BIAN</v>
      </c>
      <c r="Y209" s="81"/>
      <c r="Z209" s="9"/>
    </row>
    <row r="210" ht="22.5" customHeight="1">
      <c r="A210" s="49"/>
      <c r="C210" s="384">
        <v>45779.0</v>
      </c>
      <c r="D210" s="93">
        <v>45779.0</v>
      </c>
      <c r="E210" s="93" t="s">
        <v>267</v>
      </c>
      <c r="F210" s="74" t="s">
        <v>814</v>
      </c>
      <c r="G210" s="386">
        <v>1.0</v>
      </c>
      <c r="H210" s="74">
        <v>65000.0</v>
      </c>
      <c r="I210" s="74">
        <v>85000.0</v>
      </c>
      <c r="J210" s="60">
        <f t="shared" si="1"/>
        <v>45809</v>
      </c>
      <c r="K210" s="74">
        <f>if(F210="SERVICE",O210-(O210*50%),Vlookup(F210,DATABASE!C:Q,10,false)*G210)</f>
        <v>0</v>
      </c>
      <c r="L210" s="74">
        <f>VLOOKUP(F210,DATABASE!C:Q,7,FALSE)</f>
        <v>39440</v>
      </c>
      <c r="M210" s="74">
        <v>39440.0</v>
      </c>
      <c r="N210" s="74">
        <f t="shared" si="8"/>
        <v>40000</v>
      </c>
      <c r="O210" s="74">
        <f t="shared" si="3"/>
        <v>65000</v>
      </c>
      <c r="P210" s="63">
        <f t="shared" si="4"/>
        <v>85000</v>
      </c>
      <c r="Q210" s="63">
        <f t="shared" si="5"/>
        <v>45000</v>
      </c>
      <c r="R210" s="93" t="str">
        <f>VLOOKUP(F210,DATABASE!C:Q,4,false)</f>
        <v>Flap</v>
      </c>
      <c r="S210" s="93" t="str">
        <f>VLOOKUP(F210,DATABASE!C:P,11,false)</f>
        <v>Tire</v>
      </c>
      <c r="T210" s="93" t="str">
        <f>vlookup(F210,DATABASE!C:Q,8,false)</f>
        <v>BIAN</v>
      </c>
      <c r="Y210" s="81"/>
      <c r="Z210" s="9"/>
    </row>
    <row r="211" ht="22.5" customHeight="1">
      <c r="A211" s="49"/>
      <c r="C211" s="384">
        <v>45779.0</v>
      </c>
      <c r="D211" s="93">
        <v>45779.0</v>
      </c>
      <c r="E211" s="93" t="s">
        <v>234</v>
      </c>
      <c r="F211" s="74" t="s">
        <v>791</v>
      </c>
      <c r="G211" s="386">
        <v>1.0</v>
      </c>
      <c r="H211" s="74">
        <v>1280000.0</v>
      </c>
      <c r="I211" s="74">
        <v>1380000.0</v>
      </c>
      <c r="J211" s="60">
        <f t="shared" si="1"/>
        <v>45809</v>
      </c>
      <c r="K211" s="74">
        <f>if(F211="SERVICE",O211-(O211*50%),Vlookup(F211,DATABASE!C:Q,10,false)*G211)</f>
        <v>0</v>
      </c>
      <c r="L211" s="74">
        <f>VLOOKUP(F211,DATABASE!C:Q,7,FALSE)</f>
        <v>1210000</v>
      </c>
      <c r="M211" s="74">
        <v>1180000.0</v>
      </c>
      <c r="N211" s="74">
        <f t="shared" si="8"/>
        <v>1180000</v>
      </c>
      <c r="O211" s="74">
        <f t="shared" si="3"/>
        <v>1280000</v>
      </c>
      <c r="P211" s="63">
        <f t="shared" si="4"/>
        <v>1380000</v>
      </c>
      <c r="Q211" s="63">
        <f t="shared" si="5"/>
        <v>200000</v>
      </c>
      <c r="R211" s="93" t="str">
        <f>VLOOKUP(F211,DATABASE!C:Q,4,false)</f>
        <v>GT</v>
      </c>
      <c r="S211" s="93" t="str">
        <f>VLOOKUP(F211,DATABASE!C:P,11,false)</f>
        <v>Tire</v>
      </c>
      <c r="T211" s="93" t="str">
        <f>vlookup(F211,DATABASE!C:Q,8,false)</f>
        <v>BIAN</v>
      </c>
      <c r="Y211" s="81"/>
      <c r="Z211" s="9"/>
    </row>
    <row r="212" ht="22.5" customHeight="1">
      <c r="A212" s="49"/>
      <c r="C212" s="384">
        <v>45779.0</v>
      </c>
      <c r="D212" s="93">
        <v>45779.0</v>
      </c>
      <c r="E212" s="93" t="s">
        <v>234</v>
      </c>
      <c r="F212" s="74" t="s">
        <v>255</v>
      </c>
      <c r="G212" s="386">
        <v>1.0</v>
      </c>
      <c r="H212" s="74">
        <v>200000.0</v>
      </c>
      <c r="I212" s="74">
        <v>220000.0</v>
      </c>
      <c r="J212" s="60">
        <f t="shared" si="1"/>
        <v>45809</v>
      </c>
      <c r="K212" s="74">
        <f>if(F212="SERVICE",O212-(O212*50%),Vlookup(F212,DATABASE!C:Q,10,false)*G212)</f>
        <v>0</v>
      </c>
      <c r="L212" s="74">
        <f>VLOOKUP(F212,DATABASE!C:Q,7,FALSE)</f>
        <v>161840</v>
      </c>
      <c r="M212" s="74">
        <v>161840.0</v>
      </c>
      <c r="N212" s="74">
        <f t="shared" si="8"/>
        <v>165000</v>
      </c>
      <c r="O212" s="74">
        <f t="shared" si="3"/>
        <v>200000</v>
      </c>
      <c r="P212" s="63">
        <f t="shared" si="4"/>
        <v>220000</v>
      </c>
      <c r="Q212" s="63">
        <f t="shared" si="5"/>
        <v>55000</v>
      </c>
      <c r="R212" s="93" t="str">
        <f>VLOOKUP(F212,DATABASE!C:Q,4,false)</f>
        <v>BD</v>
      </c>
      <c r="S212" s="93" t="str">
        <f>VLOOKUP(F212,DATABASE!C:P,11,false)</f>
        <v>Tire</v>
      </c>
      <c r="T212" s="93" t="str">
        <f>vlookup(F212,DATABASE!C:Q,8,false)</f>
        <v>BIAN</v>
      </c>
      <c r="Y212" s="81"/>
      <c r="Z212" s="9"/>
    </row>
    <row r="213" ht="22.5" customHeight="1">
      <c r="A213" s="49"/>
      <c r="C213" s="384">
        <v>45779.0</v>
      </c>
      <c r="D213" s="93">
        <v>45779.0</v>
      </c>
      <c r="E213" s="93" t="s">
        <v>735</v>
      </c>
      <c r="F213" s="74" t="s">
        <v>374</v>
      </c>
      <c r="G213" s="386">
        <v>2.0</v>
      </c>
      <c r="H213" s="74">
        <v>1960000.0</v>
      </c>
      <c r="I213" s="74">
        <v>2060000.0</v>
      </c>
      <c r="J213" s="60">
        <f t="shared" si="1"/>
        <v>45809</v>
      </c>
      <c r="K213" s="74">
        <f>if(F213="SERVICE",O213-(O213*50%),Vlookup(F213,DATABASE!C:Q,10,false)*G213)</f>
        <v>0</v>
      </c>
      <c r="L213" s="74">
        <f>VLOOKUP(F213,DATABASE!C:Q,7,FALSE)</f>
        <v>1980000</v>
      </c>
      <c r="M213" s="74">
        <v>1850000.0</v>
      </c>
      <c r="N213" s="74">
        <f t="shared" si="8"/>
        <v>1850000</v>
      </c>
      <c r="O213" s="74">
        <f t="shared" si="3"/>
        <v>3920000</v>
      </c>
      <c r="P213" s="63">
        <f t="shared" si="4"/>
        <v>4120000</v>
      </c>
      <c r="Q213" s="63">
        <f t="shared" si="5"/>
        <v>420000</v>
      </c>
      <c r="R213" s="93" t="str">
        <f>VLOOKUP(F213,DATABASE!C:Q,4,false)</f>
        <v>Advance</v>
      </c>
      <c r="S213" s="93" t="str">
        <f>VLOOKUP(F213,DATABASE!C:P,11,false)</f>
        <v>Tire</v>
      </c>
      <c r="T213" s="93" t="str">
        <f>vlookup(F213,DATABASE!C:Q,8,false)</f>
        <v>BIAN</v>
      </c>
      <c r="Y213" s="81"/>
      <c r="Z213" s="9"/>
    </row>
    <row r="214" ht="22.5" customHeight="1">
      <c r="A214" s="49"/>
      <c r="C214" s="384">
        <v>45780.0</v>
      </c>
      <c r="D214" s="93">
        <v>45780.0</v>
      </c>
      <c r="E214" s="93" t="s">
        <v>267</v>
      </c>
      <c r="F214" s="74" t="s">
        <v>572</v>
      </c>
      <c r="G214" s="386">
        <v>1.0</v>
      </c>
      <c r="H214" s="74">
        <v>1370000.0</v>
      </c>
      <c r="I214" s="74">
        <v>1470000.0</v>
      </c>
      <c r="J214" s="60">
        <f t="shared" si="1"/>
        <v>45810</v>
      </c>
      <c r="K214" s="74">
        <f>if(F214="SERVICE",O214-(O214*50%),Vlookup(F214,DATABASE!C:Q,10,false)*G214)</f>
        <v>0</v>
      </c>
      <c r="L214" s="74">
        <f>VLOOKUP(F214,DATABASE!C:Q,7,FALSE)</f>
        <v>1265000</v>
      </c>
      <c r="M214" s="140">
        <v>1270000.0</v>
      </c>
      <c r="N214" s="74">
        <f t="shared" si="8"/>
        <v>1270000</v>
      </c>
      <c r="O214" s="74">
        <f t="shared" si="3"/>
        <v>1370000</v>
      </c>
      <c r="P214" s="63">
        <f t="shared" si="4"/>
        <v>1470000</v>
      </c>
      <c r="Q214" s="63">
        <f t="shared" si="5"/>
        <v>200000</v>
      </c>
      <c r="R214" s="93" t="str">
        <f>VLOOKUP(F214,DATABASE!C:Q,4,false)</f>
        <v>Bridgestone</v>
      </c>
      <c r="S214" s="93" t="str">
        <f>VLOOKUP(F214,DATABASE!C:P,11,false)</f>
        <v>Tire</v>
      </c>
      <c r="T214" s="93" t="str">
        <f>vlookup(F214,DATABASE!C:Q,8,false)</f>
        <v>IBU</v>
      </c>
      <c r="Y214" s="81"/>
      <c r="Z214" s="9"/>
    </row>
    <row r="215" ht="22.5" customHeight="1">
      <c r="A215" s="49"/>
      <c r="C215" s="384">
        <v>45780.0</v>
      </c>
      <c r="D215" s="93">
        <v>45780.0</v>
      </c>
      <c r="E215" s="93" t="s">
        <v>267</v>
      </c>
      <c r="F215" s="74" t="s">
        <v>255</v>
      </c>
      <c r="G215" s="386">
        <v>1.0</v>
      </c>
      <c r="H215" s="74">
        <v>200000.0</v>
      </c>
      <c r="I215" s="74">
        <v>220000.0</v>
      </c>
      <c r="J215" s="60">
        <f t="shared" si="1"/>
        <v>45810</v>
      </c>
      <c r="K215" s="74">
        <f>if(F215="SERVICE",O215-(O215*50%),Vlookup(F215,DATABASE!C:Q,10,false)*G215)</f>
        <v>0</v>
      </c>
      <c r="L215" s="74">
        <f>VLOOKUP(F215,DATABASE!C:Q,7,FALSE)</f>
        <v>161840</v>
      </c>
      <c r="M215" s="74">
        <v>161840.0</v>
      </c>
      <c r="N215" s="74">
        <f t="shared" si="8"/>
        <v>165000</v>
      </c>
      <c r="O215" s="74">
        <f t="shared" si="3"/>
        <v>200000</v>
      </c>
      <c r="P215" s="63">
        <f t="shared" si="4"/>
        <v>220000</v>
      </c>
      <c r="Q215" s="63">
        <f t="shared" si="5"/>
        <v>55000</v>
      </c>
      <c r="R215" s="93" t="str">
        <f>VLOOKUP(F215,DATABASE!C:Q,4,false)</f>
        <v>BD</v>
      </c>
      <c r="S215" s="93" t="str">
        <f>VLOOKUP(F215,DATABASE!C:P,11,false)</f>
        <v>Tire</v>
      </c>
      <c r="T215" s="93" t="str">
        <f>vlookup(F215,DATABASE!C:Q,8,false)</f>
        <v>BIAN</v>
      </c>
      <c r="Y215" s="81"/>
      <c r="Z215" s="9"/>
    </row>
    <row r="216" ht="22.5" customHeight="1">
      <c r="A216" s="49"/>
      <c r="C216" s="384">
        <v>45780.0</v>
      </c>
      <c r="D216" s="93">
        <v>45780.0</v>
      </c>
      <c r="E216" s="93" t="s">
        <v>267</v>
      </c>
      <c r="F216" s="74" t="s">
        <v>814</v>
      </c>
      <c r="G216" s="386">
        <v>1.0</v>
      </c>
      <c r="H216" s="74">
        <v>65000.0</v>
      </c>
      <c r="I216" s="74">
        <v>85000.0</v>
      </c>
      <c r="J216" s="60">
        <f t="shared" si="1"/>
        <v>45810</v>
      </c>
      <c r="K216" s="74">
        <f>if(F216="SERVICE",O216-(O216*50%),Vlookup(F216,DATABASE!C:Q,10,false)*G216)</f>
        <v>0</v>
      </c>
      <c r="L216" s="74">
        <f>VLOOKUP(F216,DATABASE!C:Q,7,FALSE)</f>
        <v>39440</v>
      </c>
      <c r="M216" s="74">
        <v>39440.0</v>
      </c>
      <c r="N216" s="74">
        <f t="shared" si="8"/>
        <v>40000</v>
      </c>
      <c r="O216" s="74">
        <f t="shared" si="3"/>
        <v>65000</v>
      </c>
      <c r="P216" s="63">
        <f t="shared" si="4"/>
        <v>85000</v>
      </c>
      <c r="Q216" s="63">
        <f t="shared" si="5"/>
        <v>45000</v>
      </c>
      <c r="R216" s="93" t="str">
        <f>VLOOKUP(F216,DATABASE!C:Q,4,false)</f>
        <v>Flap</v>
      </c>
      <c r="S216" s="93" t="str">
        <f>VLOOKUP(F216,DATABASE!C:P,11,false)</f>
        <v>Tire</v>
      </c>
      <c r="T216" s="93" t="str">
        <f>vlookup(F216,DATABASE!C:Q,8,false)</f>
        <v>BIAN</v>
      </c>
      <c r="Y216" s="81"/>
      <c r="Z216" s="9"/>
    </row>
    <row r="217" ht="22.5" customHeight="1">
      <c r="A217" s="49"/>
      <c r="C217" s="384">
        <v>45782.0</v>
      </c>
      <c r="D217" s="93">
        <v>45782.0</v>
      </c>
      <c r="E217" s="93" t="s">
        <v>962</v>
      </c>
      <c r="F217" s="74" t="s">
        <v>1394</v>
      </c>
      <c r="G217" s="386">
        <v>2.0</v>
      </c>
      <c r="H217" s="74">
        <v>550000.0</v>
      </c>
      <c r="I217" s="74">
        <v>630000.0</v>
      </c>
      <c r="J217" s="60">
        <f t="shared" si="1"/>
        <v>45812</v>
      </c>
      <c r="K217" s="74">
        <f>if(F217="SERVICE",O217-(O217*50%),Vlookup(F217,DATABASE!C:Q,10,false)*G217)</f>
        <v>0</v>
      </c>
      <c r="L217" s="74">
        <f>VLOOKUP(F217,DATABASE!C:Q,7,FALSE)</f>
        <v>465000</v>
      </c>
      <c r="M217" s="74">
        <v>455000.0</v>
      </c>
      <c r="N217" s="74">
        <f t="shared" si="8"/>
        <v>455000</v>
      </c>
      <c r="O217" s="74">
        <f t="shared" si="3"/>
        <v>1100000</v>
      </c>
      <c r="P217" s="63">
        <f t="shared" si="4"/>
        <v>1260000</v>
      </c>
      <c r="Q217" s="63">
        <f t="shared" si="5"/>
        <v>350000</v>
      </c>
      <c r="R217" s="93" t="str">
        <f>VLOOKUP(F217,DATABASE!C:Q,4,false)</f>
        <v>Dunlop</v>
      </c>
      <c r="S217" s="93" t="str">
        <f>VLOOKUP(F217,DATABASE!C:P,11,false)</f>
        <v>Tire</v>
      </c>
      <c r="T217" s="93" t="str">
        <f>vlookup(F217,DATABASE!C:Q,8,false)</f>
        <v>IBU</v>
      </c>
      <c r="Y217" s="81"/>
      <c r="Z217" s="9"/>
    </row>
    <row r="218" ht="22.5" customHeight="1">
      <c r="A218" s="49"/>
      <c r="C218" s="384">
        <v>45782.0</v>
      </c>
      <c r="D218" s="93">
        <v>45782.0</v>
      </c>
      <c r="E218" s="93" t="s">
        <v>267</v>
      </c>
      <c r="F218" s="74" t="s">
        <v>295</v>
      </c>
      <c r="G218" s="386">
        <v>1.0</v>
      </c>
      <c r="H218" s="74">
        <v>1525000.0</v>
      </c>
      <c r="I218" s="74">
        <v>1625000.0</v>
      </c>
      <c r="J218" s="60">
        <f t="shared" si="1"/>
        <v>45812</v>
      </c>
      <c r="K218" s="74">
        <f>if(F218="SERVICE",O218-(O218*50%),Vlookup(F218,DATABASE!C:Q,10,false)*G218)</f>
        <v>0</v>
      </c>
      <c r="L218" s="74">
        <f>VLOOKUP(F218,DATABASE!C:Q,7,FALSE)</f>
        <v>1475000</v>
      </c>
      <c r="M218" s="74">
        <v>1425000.0</v>
      </c>
      <c r="N218" s="74">
        <f t="shared" si="8"/>
        <v>1425000</v>
      </c>
      <c r="O218" s="74">
        <f t="shared" si="3"/>
        <v>1525000</v>
      </c>
      <c r="P218" s="63">
        <f t="shared" si="4"/>
        <v>1625000</v>
      </c>
      <c r="Q218" s="63">
        <f t="shared" si="5"/>
        <v>200000</v>
      </c>
      <c r="R218" s="93" t="str">
        <f>VLOOKUP(F218,DATABASE!C:Q,4,false)</f>
        <v>TIRON</v>
      </c>
      <c r="S218" s="93" t="str">
        <f>VLOOKUP(F218,DATABASE!C:P,11,false)</f>
        <v>Tire</v>
      </c>
      <c r="T218" s="93" t="str">
        <f>vlookup(F218,DATABASE!C:Q,8,false)</f>
        <v>BIAN</v>
      </c>
      <c r="Y218" s="81"/>
      <c r="Z218" s="9"/>
    </row>
    <row r="219" ht="22.5" customHeight="1">
      <c r="A219" s="49"/>
      <c r="C219" s="384">
        <v>45783.0</v>
      </c>
      <c r="D219" s="93">
        <v>45783.0</v>
      </c>
      <c r="E219" s="93" t="s">
        <v>801</v>
      </c>
      <c r="F219" s="74" t="s">
        <v>1873</v>
      </c>
      <c r="G219" s="386">
        <v>2.0</v>
      </c>
      <c r="H219" s="74">
        <v>3850000.0</v>
      </c>
      <c r="I219" s="74">
        <v>4150000.0</v>
      </c>
      <c r="J219" s="60">
        <f t="shared" si="1"/>
        <v>45813</v>
      </c>
      <c r="K219" s="74">
        <f>if(F219="SERVICE",O219-(O219*50%),Vlookup(F219,DATABASE!C:Q,10,false)*G219)</f>
        <v>0</v>
      </c>
      <c r="L219" s="74">
        <f>VLOOKUP(F219,DATABASE!C:Q,7,FALSE)</f>
        <v>3750000</v>
      </c>
      <c r="M219" s="74">
        <v>3750000.0</v>
      </c>
      <c r="N219" s="74">
        <f t="shared" si="8"/>
        <v>3750000</v>
      </c>
      <c r="O219" s="74">
        <f t="shared" si="3"/>
        <v>7700000</v>
      </c>
      <c r="P219" s="63">
        <f t="shared" si="4"/>
        <v>8300000</v>
      </c>
      <c r="Q219" s="63">
        <f t="shared" si="5"/>
        <v>800000</v>
      </c>
      <c r="R219" s="93" t="str">
        <f>VLOOKUP(F219,DATABASE!C:Q,4,false)</f>
        <v>GT</v>
      </c>
      <c r="S219" s="93" t="str">
        <f>VLOOKUP(F219,DATABASE!C:P,11,false)</f>
        <v>Tire</v>
      </c>
      <c r="T219" s="93" t="str">
        <f>vlookup(F219,DATABASE!C:Q,8,false)</f>
        <v>BIAN</v>
      </c>
      <c r="Y219" s="81"/>
      <c r="Z219" s="9"/>
    </row>
    <row r="220" ht="22.5" customHeight="1">
      <c r="A220" s="49"/>
      <c r="C220" s="384">
        <v>45783.0</v>
      </c>
      <c r="D220" s="93">
        <v>45783.0</v>
      </c>
      <c r="E220" s="93" t="s">
        <v>801</v>
      </c>
      <c r="F220" s="74" t="s">
        <v>508</v>
      </c>
      <c r="G220" s="386">
        <v>2.0</v>
      </c>
      <c r="H220" s="74">
        <v>550000.0</v>
      </c>
      <c r="I220" s="74">
        <v>600000.0</v>
      </c>
      <c r="J220" s="60">
        <f t="shared" si="1"/>
        <v>45813</v>
      </c>
      <c r="K220" s="74">
        <f>if(F220="SERVICE",O220-(O220*50%),Vlookup(F220,DATABASE!C:Q,10,false)*G220)</f>
        <v>0</v>
      </c>
      <c r="L220" s="74">
        <f>VLOOKUP(F220,DATABASE!C:Q,7,FALSE)</f>
        <v>0</v>
      </c>
      <c r="M220" s="74">
        <v>0.0</v>
      </c>
      <c r="N220" s="74">
        <f t="shared" si="8"/>
        <v>0</v>
      </c>
      <c r="O220" s="74">
        <f t="shared" si="3"/>
        <v>1100000</v>
      </c>
      <c r="P220" s="63">
        <f t="shared" si="4"/>
        <v>1200000</v>
      </c>
      <c r="Q220" s="63">
        <f t="shared" si="5"/>
        <v>1200000</v>
      </c>
      <c r="R220" s="93" t="str">
        <f>VLOOKUP(F220,DATABASE!C:Q,4,false)</f>
        <v>BD</v>
      </c>
      <c r="S220" s="93" t="str">
        <f>VLOOKUP(F220,DATABASE!C:P,11,false)</f>
        <v>Tire</v>
      </c>
      <c r="T220" s="93" t="str">
        <f>vlookup(F220,DATABASE!C:Q,8,false)</f>
        <v>BIAN</v>
      </c>
      <c r="Y220" s="81"/>
      <c r="Z220" s="9"/>
    </row>
    <row r="221" ht="22.5" customHeight="1">
      <c r="A221" s="49"/>
      <c r="C221" s="384">
        <v>45783.0</v>
      </c>
      <c r="D221" s="93">
        <v>45783.0</v>
      </c>
      <c r="E221" s="65" t="s">
        <v>801</v>
      </c>
      <c r="F221" s="74" t="s">
        <v>1673</v>
      </c>
      <c r="G221" s="386">
        <v>2.0</v>
      </c>
      <c r="H221" s="74">
        <v>135000.0</v>
      </c>
      <c r="I221" s="74">
        <v>160000.0</v>
      </c>
      <c r="J221" s="60">
        <f t="shared" si="1"/>
        <v>45813</v>
      </c>
      <c r="K221" s="74">
        <f>if(F221="SERVICE",O221-(O221*50%),Vlookup(F221,DATABASE!C:Q,10,false)*G221)</f>
        <v>0</v>
      </c>
      <c r="L221" s="74">
        <f>VLOOKUP(F221,DATABASE!C:Q,7,FALSE)</f>
        <v>100500</v>
      </c>
      <c r="M221" s="74">
        <v>100000.0</v>
      </c>
      <c r="N221" s="74">
        <f t="shared" si="8"/>
        <v>100000</v>
      </c>
      <c r="O221" s="74">
        <f t="shared" si="3"/>
        <v>270000</v>
      </c>
      <c r="P221" s="63">
        <f t="shared" si="4"/>
        <v>320000</v>
      </c>
      <c r="Q221" s="63">
        <f t="shared" si="5"/>
        <v>120000</v>
      </c>
      <c r="R221" s="93" t="str">
        <f>VLOOKUP(F221,DATABASE!C:Q,4,false)</f>
        <v>Flap</v>
      </c>
      <c r="S221" s="93" t="str">
        <f>VLOOKUP(F221,DATABASE!C:P,11,false)</f>
        <v>Tire</v>
      </c>
      <c r="T221" s="93" t="str">
        <f>vlookup(F221,DATABASE!C:Q,8,false)</f>
        <v>BIAN</v>
      </c>
      <c r="Y221" s="81"/>
      <c r="Z221" s="9"/>
    </row>
    <row r="222" ht="22.5" customHeight="1">
      <c r="A222" s="49"/>
      <c r="C222" s="384">
        <v>45784.0</v>
      </c>
      <c r="D222" s="93">
        <v>45784.0</v>
      </c>
      <c r="E222" s="93" t="s">
        <v>874</v>
      </c>
      <c r="F222" s="74" t="s">
        <v>647</v>
      </c>
      <c r="G222" s="386">
        <v>2.0</v>
      </c>
      <c r="H222" s="74">
        <v>1470000.0</v>
      </c>
      <c r="I222" s="74">
        <v>1570000.0</v>
      </c>
      <c r="J222" s="60">
        <f t="shared" si="1"/>
        <v>45814</v>
      </c>
      <c r="K222" s="74">
        <f>if(F222="SERVICE",O222-(O222*50%),Vlookup(F222,DATABASE!C:Q,10,false)*G222)</f>
        <v>0</v>
      </c>
      <c r="L222" s="74">
        <f>VLOOKUP(F222,DATABASE!C:Q,7,FALSE)</f>
        <v>1420000</v>
      </c>
      <c r="M222" s="74">
        <v>1420000.0</v>
      </c>
      <c r="N222" s="74">
        <f t="shared" si="8"/>
        <v>1420000</v>
      </c>
      <c r="O222" s="74">
        <f t="shared" si="3"/>
        <v>2940000</v>
      </c>
      <c r="P222" s="63">
        <f t="shared" si="4"/>
        <v>3140000</v>
      </c>
      <c r="Q222" s="63">
        <f t="shared" si="5"/>
        <v>300000</v>
      </c>
      <c r="R222" s="93" t="str">
        <f>VLOOKUP(F222,DATABASE!C:Q,4,false)</f>
        <v>G. YEAR</v>
      </c>
      <c r="S222" s="93" t="str">
        <f>VLOOKUP(F222,DATABASE!C:P,11,false)</f>
        <v>Tire</v>
      </c>
      <c r="T222" s="93" t="str">
        <f>vlookup(F222,DATABASE!C:Q,8,false)</f>
        <v>BIAN</v>
      </c>
      <c r="Y222" s="81"/>
      <c r="Z222" s="9"/>
    </row>
    <row r="223" ht="22.5" customHeight="1">
      <c r="A223" s="49"/>
      <c r="C223" s="384">
        <v>45784.0</v>
      </c>
      <c r="D223" s="93">
        <v>45784.0</v>
      </c>
      <c r="E223" s="93" t="s">
        <v>874</v>
      </c>
      <c r="F223" s="74" t="s">
        <v>791</v>
      </c>
      <c r="G223" s="386">
        <v>1.0</v>
      </c>
      <c r="H223" s="74">
        <v>1280000.0</v>
      </c>
      <c r="I223" s="74">
        <v>1380000.0</v>
      </c>
      <c r="J223" s="60">
        <f t="shared" si="1"/>
        <v>45814</v>
      </c>
      <c r="K223" s="74">
        <f>if(F223="SERVICE",O223-(O223*50%),Vlookup(F223,DATABASE!C:Q,10,false)*G223)</f>
        <v>0</v>
      </c>
      <c r="L223" s="74">
        <f>VLOOKUP(F223,DATABASE!C:Q,7,FALSE)</f>
        <v>1210000</v>
      </c>
      <c r="M223" s="74">
        <v>1180000.0</v>
      </c>
      <c r="N223" s="74">
        <f t="shared" si="8"/>
        <v>1180000</v>
      </c>
      <c r="O223" s="74">
        <f t="shared" si="3"/>
        <v>1280000</v>
      </c>
      <c r="P223" s="63">
        <f t="shared" si="4"/>
        <v>1380000</v>
      </c>
      <c r="Q223" s="63">
        <f t="shared" si="5"/>
        <v>200000</v>
      </c>
      <c r="R223" s="93" t="str">
        <f>VLOOKUP(F223,DATABASE!C:Q,4,false)</f>
        <v>GT</v>
      </c>
      <c r="S223" s="93" t="str">
        <f>VLOOKUP(F223,DATABASE!C:P,11,false)</f>
        <v>Tire</v>
      </c>
      <c r="T223" s="93" t="str">
        <f>vlookup(F223,DATABASE!C:Q,8,false)</f>
        <v>BIAN</v>
      </c>
      <c r="Y223" s="81"/>
      <c r="Z223" s="9"/>
    </row>
    <row r="224" ht="22.5" customHeight="1">
      <c r="A224" s="49"/>
      <c r="C224" s="384">
        <v>45784.0</v>
      </c>
      <c r="D224" s="93">
        <v>45784.0</v>
      </c>
      <c r="E224" s="93" t="s">
        <v>874</v>
      </c>
      <c r="F224" s="74" t="s">
        <v>744</v>
      </c>
      <c r="G224" s="386">
        <v>1.0</v>
      </c>
      <c r="H224" s="74">
        <v>230000.0</v>
      </c>
      <c r="I224" s="74">
        <v>250000.0</v>
      </c>
      <c r="J224" s="60">
        <f t="shared" si="1"/>
        <v>45814</v>
      </c>
      <c r="K224" s="74">
        <f>if(F224="SERVICE",O224-(O224*50%),Vlookup(F224,DATABASE!C:Q,10,false)*G224)</f>
        <v>0</v>
      </c>
      <c r="L224" s="74">
        <f>VLOOKUP(F224,DATABASE!C:Q,7,FALSE)</f>
        <v>182200</v>
      </c>
      <c r="M224" s="74">
        <v>199920.0</v>
      </c>
      <c r="N224" s="74">
        <f t="shared" si="8"/>
        <v>200000</v>
      </c>
      <c r="O224" s="74">
        <f t="shared" si="3"/>
        <v>230000</v>
      </c>
      <c r="P224" s="63">
        <f t="shared" si="4"/>
        <v>250000</v>
      </c>
      <c r="Q224" s="63">
        <f t="shared" si="5"/>
        <v>50000</v>
      </c>
      <c r="R224" s="93" t="str">
        <f>VLOOKUP(F224,DATABASE!C:Q,4,false)</f>
        <v>BD</v>
      </c>
      <c r="S224" s="93" t="str">
        <f>VLOOKUP(F224,DATABASE!C:P,11,false)</f>
        <v>Tire</v>
      </c>
      <c r="T224" s="93" t="str">
        <f>vlookup(F224,DATABASE!C:Q,8,false)</f>
        <v>BIAN</v>
      </c>
      <c r="Y224" s="81"/>
      <c r="Z224" s="9"/>
    </row>
    <row r="225" ht="22.5" customHeight="1">
      <c r="A225" s="49"/>
      <c r="C225" s="384">
        <v>45784.0</v>
      </c>
      <c r="D225" s="93">
        <v>45784.0</v>
      </c>
      <c r="E225" s="93" t="s">
        <v>874</v>
      </c>
      <c r="F225" s="74" t="s">
        <v>821</v>
      </c>
      <c r="G225" s="386">
        <v>1.0</v>
      </c>
      <c r="H225" s="74">
        <v>80000.0</v>
      </c>
      <c r="I225" s="74">
        <v>85000.0</v>
      </c>
      <c r="J225" s="60">
        <f t="shared" si="1"/>
        <v>45814</v>
      </c>
      <c r="K225" s="74">
        <f>if(F225="SERVICE",O225-(O225*50%),Vlookup(F225,DATABASE!C:Q,10,false)*G225)</f>
        <v>0</v>
      </c>
      <c r="L225" s="74">
        <f>VLOOKUP(F225,DATABASE!C:Q,7,FALSE)</f>
        <v>43500</v>
      </c>
      <c r="M225" s="74">
        <v>43520.0</v>
      </c>
      <c r="N225" s="74">
        <f t="shared" si="8"/>
        <v>45000</v>
      </c>
      <c r="O225" s="74">
        <f t="shared" si="3"/>
        <v>80000</v>
      </c>
      <c r="P225" s="63">
        <f t="shared" si="4"/>
        <v>85000</v>
      </c>
      <c r="Q225" s="63">
        <f t="shared" si="5"/>
        <v>40000</v>
      </c>
      <c r="R225" s="93" t="str">
        <f>VLOOKUP(F225,DATABASE!C:Q,4,false)</f>
        <v>Flap</v>
      </c>
      <c r="S225" s="93" t="str">
        <f>VLOOKUP(F225,DATABASE!C:P,11,false)</f>
        <v>Tire</v>
      </c>
      <c r="T225" s="93" t="str">
        <f>vlookup(F225,DATABASE!C:Q,8,false)</f>
        <v>BIAN</v>
      </c>
      <c r="Y225" s="81"/>
      <c r="Z225" s="9"/>
    </row>
    <row r="226" ht="22.5" customHeight="1">
      <c r="A226" s="49"/>
      <c r="C226" s="384">
        <v>45784.0</v>
      </c>
      <c r="D226" s="93">
        <v>45784.0</v>
      </c>
      <c r="E226" s="93" t="s">
        <v>819</v>
      </c>
      <c r="F226" s="74" t="s">
        <v>374</v>
      </c>
      <c r="G226" s="386">
        <v>2.0</v>
      </c>
      <c r="H226" s="74">
        <v>1960000.0</v>
      </c>
      <c r="I226" s="74">
        <v>2060000.0</v>
      </c>
      <c r="J226" s="60">
        <f t="shared" si="1"/>
        <v>45814</v>
      </c>
      <c r="K226" s="74">
        <f>if(F226="SERVICE",O226-(O226*50%),Vlookup(F226,DATABASE!C:Q,10,false)*G226)</f>
        <v>0</v>
      </c>
      <c r="L226" s="74">
        <f>VLOOKUP(F226,DATABASE!C:Q,7,FALSE)</f>
        <v>1980000</v>
      </c>
      <c r="M226" s="74">
        <v>1850000.0</v>
      </c>
      <c r="N226" s="74">
        <f t="shared" si="8"/>
        <v>1850000</v>
      </c>
      <c r="O226" s="74">
        <f t="shared" si="3"/>
        <v>3920000</v>
      </c>
      <c r="P226" s="63">
        <f t="shared" si="4"/>
        <v>4120000</v>
      </c>
      <c r="Q226" s="63">
        <f t="shared" si="5"/>
        <v>420000</v>
      </c>
      <c r="R226" s="93" t="str">
        <f>VLOOKUP(F226,DATABASE!C:Q,4,false)</f>
        <v>Advance</v>
      </c>
      <c r="S226" s="93" t="str">
        <f>VLOOKUP(F226,DATABASE!C:P,11,false)</f>
        <v>Tire</v>
      </c>
      <c r="T226" s="93" t="str">
        <f>vlookup(F226,DATABASE!C:Q,8,false)</f>
        <v>BIAN</v>
      </c>
      <c r="Y226" s="81"/>
      <c r="Z226" s="9"/>
    </row>
    <row r="227" ht="22.5" customHeight="1">
      <c r="A227" s="49"/>
      <c r="C227" s="384">
        <v>45785.0</v>
      </c>
      <c r="D227" s="93">
        <v>45785.0</v>
      </c>
      <c r="E227" s="93" t="s">
        <v>267</v>
      </c>
      <c r="F227" s="74" t="s">
        <v>791</v>
      </c>
      <c r="G227" s="386">
        <v>1.0</v>
      </c>
      <c r="H227" s="74">
        <v>1280000.0</v>
      </c>
      <c r="I227" s="74">
        <v>1380000.0</v>
      </c>
      <c r="J227" s="60">
        <f t="shared" si="1"/>
        <v>45815</v>
      </c>
      <c r="K227" s="74">
        <f>if(F227="SERVICE",O227-(O227*50%),Vlookup(F227,DATABASE!C:Q,10,false)*G227)</f>
        <v>0</v>
      </c>
      <c r="L227" s="74">
        <f>VLOOKUP(F227,DATABASE!C:Q,7,FALSE)</f>
        <v>1210000</v>
      </c>
      <c r="M227" s="74">
        <v>1180000.0</v>
      </c>
      <c r="N227" s="74">
        <f t="shared" si="8"/>
        <v>1180000</v>
      </c>
      <c r="O227" s="74">
        <f t="shared" si="3"/>
        <v>1280000</v>
      </c>
      <c r="P227" s="63">
        <f t="shared" si="4"/>
        <v>1380000</v>
      </c>
      <c r="Q227" s="63">
        <f t="shared" si="5"/>
        <v>200000</v>
      </c>
      <c r="R227" s="93" t="str">
        <f>VLOOKUP(F227,DATABASE!C:Q,4,false)</f>
        <v>GT</v>
      </c>
      <c r="S227" s="93" t="str">
        <f>VLOOKUP(F227,DATABASE!C:P,11,false)</f>
        <v>Tire</v>
      </c>
      <c r="T227" s="93" t="str">
        <f>vlookup(F227,DATABASE!C:Q,8,false)</f>
        <v>BIAN</v>
      </c>
      <c r="Y227" s="81"/>
      <c r="Z227" s="9"/>
    </row>
    <row r="228" ht="22.5" customHeight="1">
      <c r="A228" s="49"/>
      <c r="C228" s="384">
        <v>45785.0</v>
      </c>
      <c r="D228" s="93">
        <v>45785.0</v>
      </c>
      <c r="E228" s="65" t="s">
        <v>267</v>
      </c>
      <c r="F228" s="74" t="s">
        <v>255</v>
      </c>
      <c r="G228" s="386">
        <v>1.0</v>
      </c>
      <c r="H228" s="74">
        <v>200000.0</v>
      </c>
      <c r="I228" s="74">
        <v>220000.0</v>
      </c>
      <c r="J228" s="60">
        <f t="shared" si="1"/>
        <v>45815</v>
      </c>
      <c r="K228" s="74">
        <f>if(F228="SERVICE",O228-(O228*50%),Vlookup(F228,DATABASE!C:Q,10,false)*G228)</f>
        <v>0</v>
      </c>
      <c r="L228" s="74">
        <f>VLOOKUP(F228,DATABASE!C:Q,7,FALSE)</f>
        <v>161840</v>
      </c>
      <c r="M228" s="74">
        <v>161840.0</v>
      </c>
      <c r="N228" s="74">
        <f t="shared" si="8"/>
        <v>165000</v>
      </c>
      <c r="O228" s="74">
        <f t="shared" si="3"/>
        <v>200000</v>
      </c>
      <c r="P228" s="63">
        <f t="shared" si="4"/>
        <v>220000</v>
      </c>
      <c r="Q228" s="63">
        <f t="shared" si="5"/>
        <v>55000</v>
      </c>
      <c r="R228" s="93" t="str">
        <f>VLOOKUP(F228,DATABASE!C:Q,4,false)</f>
        <v>BD</v>
      </c>
      <c r="S228" s="93" t="str">
        <f>VLOOKUP(F228,DATABASE!C:P,11,false)</f>
        <v>Tire</v>
      </c>
      <c r="T228" s="93" t="str">
        <f>vlookup(F228,DATABASE!C:Q,8,false)</f>
        <v>BIAN</v>
      </c>
      <c r="Y228" s="81"/>
      <c r="Z228" s="9"/>
    </row>
    <row r="229" ht="22.5" customHeight="1">
      <c r="A229" s="49"/>
      <c r="C229" s="384">
        <v>45785.0</v>
      </c>
      <c r="D229" s="93">
        <v>45785.0</v>
      </c>
      <c r="E229" s="65" t="s">
        <v>267</v>
      </c>
      <c r="F229" s="74" t="s">
        <v>814</v>
      </c>
      <c r="G229" s="386">
        <v>1.0</v>
      </c>
      <c r="H229" s="74">
        <v>65000.0</v>
      </c>
      <c r="I229" s="74">
        <v>85000.0</v>
      </c>
      <c r="J229" s="60">
        <f t="shared" si="1"/>
        <v>45815</v>
      </c>
      <c r="K229" s="74">
        <f>if(F229="SERVICE",O229-(O229*50%),Vlookup(F229,DATABASE!C:Q,10,false)*G229)</f>
        <v>0</v>
      </c>
      <c r="L229" s="74">
        <f>VLOOKUP(F229,DATABASE!C:Q,7,FALSE)</f>
        <v>39440</v>
      </c>
      <c r="M229" s="74">
        <v>39440.0</v>
      </c>
      <c r="N229" s="74">
        <f t="shared" si="8"/>
        <v>40000</v>
      </c>
      <c r="O229" s="74">
        <f t="shared" si="3"/>
        <v>65000</v>
      </c>
      <c r="P229" s="63">
        <f t="shared" si="4"/>
        <v>85000</v>
      </c>
      <c r="Q229" s="63">
        <f t="shared" si="5"/>
        <v>45000</v>
      </c>
      <c r="R229" s="93" t="str">
        <f>VLOOKUP(F229,DATABASE!C:Q,4,false)</f>
        <v>Flap</v>
      </c>
      <c r="S229" s="93" t="str">
        <f>VLOOKUP(F229,DATABASE!C:P,11,false)</f>
        <v>Tire</v>
      </c>
      <c r="T229" s="93" t="str">
        <f>vlookup(F229,DATABASE!C:Q,8,false)</f>
        <v>BIAN</v>
      </c>
      <c r="Y229" s="81"/>
      <c r="Z229" s="9"/>
    </row>
    <row r="230" ht="22.5" customHeight="1">
      <c r="A230" s="49"/>
      <c r="C230" s="384">
        <v>45786.0</v>
      </c>
      <c r="D230" s="93">
        <v>45786.0</v>
      </c>
      <c r="E230" s="65" t="s">
        <v>249</v>
      </c>
      <c r="F230" s="74" t="s">
        <v>600</v>
      </c>
      <c r="G230" s="386">
        <v>1.0</v>
      </c>
      <c r="H230" s="74">
        <v>675000.0</v>
      </c>
      <c r="I230" s="74">
        <v>675000.0</v>
      </c>
      <c r="J230" s="60">
        <f t="shared" si="1"/>
        <v>45816</v>
      </c>
      <c r="K230" s="74">
        <f>if(F230="SERVICE",O230-(O230*50%),Vlookup(F230,DATABASE!C:Q,10,false)*G230)</f>
        <v>0</v>
      </c>
      <c r="L230" s="74">
        <f>VLOOKUP(F230,DATABASE!C:Q,7,FALSE)</f>
        <v>611109.16</v>
      </c>
      <c r="M230" s="74">
        <v>572762.4</v>
      </c>
      <c r="N230" s="74">
        <f t="shared" si="8"/>
        <v>575000</v>
      </c>
      <c r="O230" s="74">
        <f t="shared" si="3"/>
        <v>675000</v>
      </c>
      <c r="P230" s="63">
        <f t="shared" si="4"/>
        <v>675000</v>
      </c>
      <c r="Q230" s="63">
        <f t="shared" si="5"/>
        <v>100000</v>
      </c>
      <c r="R230" s="93" t="str">
        <f>VLOOKUP(F230,DATABASE!C:Q,4,false)</f>
        <v>Bridgestone</v>
      </c>
      <c r="S230" s="93" t="str">
        <f>VLOOKUP(F230,DATABASE!C:P,11,false)</f>
        <v>Tire</v>
      </c>
      <c r="T230" s="93" t="str">
        <f>vlookup(F230,DATABASE!C:Q,8,false)</f>
        <v>IBU</v>
      </c>
      <c r="Y230" s="81"/>
      <c r="Z230" s="9"/>
    </row>
    <row r="231" ht="22.5" customHeight="1">
      <c r="A231" s="49"/>
      <c r="C231" s="384">
        <v>45786.0</v>
      </c>
      <c r="D231" s="93">
        <v>45786.0</v>
      </c>
      <c r="E231" s="65" t="s">
        <v>595</v>
      </c>
      <c r="F231" s="74" t="s">
        <v>924</v>
      </c>
      <c r="G231" s="386">
        <v>1.0</v>
      </c>
      <c r="H231" s="74">
        <v>1750000.0</v>
      </c>
      <c r="I231" s="74">
        <v>1900000.0</v>
      </c>
      <c r="J231" s="60">
        <f t="shared" si="1"/>
        <v>45816</v>
      </c>
      <c r="K231" s="74">
        <f>if(F231="SERVICE",O231-(O231*50%),Vlookup(F231,DATABASE!C:Q,10,false)*G231)</f>
        <v>0</v>
      </c>
      <c r="L231" s="74">
        <f>VLOOKUP(F231,DATABASE!C:Q,7,FALSE)</f>
        <v>1560000</v>
      </c>
      <c r="M231" s="74">
        <v>1545000.0</v>
      </c>
      <c r="N231" s="74">
        <f t="shared" si="8"/>
        <v>1545000</v>
      </c>
      <c r="O231" s="74">
        <f t="shared" si="3"/>
        <v>1750000</v>
      </c>
      <c r="P231" s="63">
        <f t="shared" si="4"/>
        <v>1900000</v>
      </c>
      <c r="Q231" s="63">
        <f t="shared" si="5"/>
        <v>355000</v>
      </c>
      <c r="R231" s="93" t="str">
        <f>VLOOKUP(F231,DATABASE!C:Q,4,false)</f>
        <v>TIRON</v>
      </c>
      <c r="S231" s="93" t="str">
        <f>VLOOKUP(F231,DATABASE!C:P,11,false)</f>
        <v>Tire</v>
      </c>
      <c r="T231" s="93" t="str">
        <f>vlookup(F231,DATABASE!C:Q,8,false)</f>
        <v>BIAN</v>
      </c>
      <c r="Y231" s="81"/>
      <c r="Z231" s="9"/>
    </row>
    <row r="232" ht="22.5" customHeight="1">
      <c r="A232" s="49"/>
      <c r="C232" s="384">
        <v>45786.0</v>
      </c>
      <c r="D232" s="93">
        <v>45786.0</v>
      </c>
      <c r="E232" s="65" t="s">
        <v>595</v>
      </c>
      <c r="F232" s="74" t="s">
        <v>374</v>
      </c>
      <c r="G232" s="386">
        <v>2.0</v>
      </c>
      <c r="H232" s="74">
        <v>2060000.0</v>
      </c>
      <c r="I232" s="74">
        <v>2110000.0</v>
      </c>
      <c r="J232" s="60">
        <f t="shared" si="1"/>
        <v>45816</v>
      </c>
      <c r="K232" s="74">
        <f>if(F232="SERVICE",O232-(O232*50%),Vlookup(F232,DATABASE!C:Q,10,false)*G232)</f>
        <v>0</v>
      </c>
      <c r="L232" s="74">
        <f>VLOOKUP(F232,DATABASE!C:Q,7,FALSE)</f>
        <v>1980000</v>
      </c>
      <c r="M232" s="74">
        <v>1850000.0</v>
      </c>
      <c r="N232" s="74">
        <f t="shared" si="8"/>
        <v>1850000</v>
      </c>
      <c r="O232" s="74">
        <f t="shared" si="3"/>
        <v>4120000</v>
      </c>
      <c r="P232" s="63">
        <f t="shared" si="4"/>
        <v>4220000</v>
      </c>
      <c r="Q232" s="63">
        <f t="shared" si="5"/>
        <v>520000</v>
      </c>
      <c r="R232" s="93" t="str">
        <f>VLOOKUP(F232,DATABASE!C:Q,4,false)</f>
        <v>Advance</v>
      </c>
      <c r="S232" s="93" t="str">
        <f>VLOOKUP(F232,DATABASE!C:P,11,false)</f>
        <v>Tire</v>
      </c>
      <c r="T232" s="93" t="str">
        <f>vlookup(F232,DATABASE!C:Q,8,false)</f>
        <v>BIAN</v>
      </c>
      <c r="Y232" s="81"/>
      <c r="Z232" s="9"/>
    </row>
    <row r="233" ht="22.5" customHeight="1">
      <c r="A233" s="49"/>
      <c r="C233" s="384">
        <v>45787.0</v>
      </c>
      <c r="D233" s="93">
        <v>45787.0</v>
      </c>
      <c r="E233" s="65" t="s">
        <v>234</v>
      </c>
      <c r="F233" s="74" t="s">
        <v>268</v>
      </c>
      <c r="G233" s="386">
        <v>2.0</v>
      </c>
      <c r="H233" s="74">
        <v>700000.0</v>
      </c>
      <c r="I233" s="74">
        <v>780000.0</v>
      </c>
      <c r="J233" s="60">
        <f t="shared" si="1"/>
        <v>45817</v>
      </c>
      <c r="K233" s="74">
        <f>if(F233="SERVICE",O233-(O233*50%),Vlookup(F233,DATABASE!C:Q,10,false)*G233)</f>
        <v>0</v>
      </c>
      <c r="L233" s="74">
        <f>VLOOKUP(F233,DATABASE!C:Q,7,FALSE)</f>
        <v>653000</v>
      </c>
      <c r="M233" s="74">
        <v>622000.0</v>
      </c>
      <c r="N233" s="74">
        <f t="shared" si="8"/>
        <v>625000</v>
      </c>
      <c r="O233" s="74">
        <f t="shared" si="3"/>
        <v>1400000</v>
      </c>
      <c r="P233" s="63">
        <f t="shared" si="4"/>
        <v>1560000</v>
      </c>
      <c r="Q233" s="63">
        <f t="shared" si="5"/>
        <v>310000</v>
      </c>
      <c r="R233" s="93" t="str">
        <f>VLOOKUP(F233,DATABASE!C:Q,4,false)</f>
        <v>Dunlop</v>
      </c>
      <c r="S233" s="93" t="str">
        <f>VLOOKUP(F233,DATABASE!C:P,11,false)</f>
        <v>Tire</v>
      </c>
      <c r="T233" s="93" t="str">
        <f>vlookup(F233,DATABASE!C:Q,8,false)</f>
        <v>IBU</v>
      </c>
      <c r="Y233" s="81"/>
      <c r="Z233" s="9"/>
    </row>
    <row r="234" ht="22.5" customHeight="1">
      <c r="A234" s="49"/>
      <c r="C234" s="384">
        <v>45791.0</v>
      </c>
      <c r="D234" s="93">
        <v>45791.0</v>
      </c>
      <c r="E234" s="93" t="s">
        <v>867</v>
      </c>
      <c r="F234" s="74" t="s">
        <v>566</v>
      </c>
      <c r="G234" s="386">
        <v>2.0</v>
      </c>
      <c r="H234" s="74">
        <v>1670000.0</v>
      </c>
      <c r="I234" s="74">
        <v>1770000.0</v>
      </c>
      <c r="J234" s="60">
        <f t="shared" si="1"/>
        <v>45821</v>
      </c>
      <c r="K234" s="74">
        <f>if(F234="SERVICE",O234-(O234*50%),Vlookup(F234,DATABASE!C:Q,10,false)*G234)</f>
        <v>0</v>
      </c>
      <c r="L234" s="74">
        <f>VLOOKUP(F234,DATABASE!C:Q,7,FALSE)</f>
        <v>1565000</v>
      </c>
      <c r="M234" s="74">
        <v>1545000.0</v>
      </c>
      <c r="N234" s="74">
        <f t="shared" si="8"/>
        <v>1545000</v>
      </c>
      <c r="O234" s="74">
        <f t="shared" si="3"/>
        <v>3340000</v>
      </c>
      <c r="P234" s="63">
        <f t="shared" si="4"/>
        <v>3540000</v>
      </c>
      <c r="Q234" s="63">
        <f t="shared" si="5"/>
        <v>450000</v>
      </c>
      <c r="R234" s="93" t="str">
        <f>VLOOKUP(F234,DATABASE!C:Q,4,false)</f>
        <v>Bridgestone</v>
      </c>
      <c r="S234" s="93" t="str">
        <f>VLOOKUP(F234,DATABASE!C:P,11,false)</f>
        <v>Tire</v>
      </c>
      <c r="T234" s="93" t="str">
        <f>vlookup(F234,DATABASE!C:Q,8,false)</f>
        <v>IBU</v>
      </c>
      <c r="Y234" s="81"/>
      <c r="Z234" s="9"/>
    </row>
    <row r="235" ht="22.5" customHeight="1">
      <c r="A235" s="49"/>
      <c r="C235" s="384">
        <v>45791.0</v>
      </c>
      <c r="D235" s="93">
        <v>45791.0</v>
      </c>
      <c r="E235" s="93" t="s">
        <v>867</v>
      </c>
      <c r="F235" s="74" t="s">
        <v>744</v>
      </c>
      <c r="G235" s="386">
        <v>2.0</v>
      </c>
      <c r="H235" s="74">
        <v>230000.0</v>
      </c>
      <c r="I235" s="74">
        <v>250000.0</v>
      </c>
      <c r="J235" s="60">
        <f t="shared" si="1"/>
        <v>45821</v>
      </c>
      <c r="K235" s="74">
        <f>if(F235="SERVICE",O235-(O235*50%),Vlookup(F235,DATABASE!C:Q,10,false)*G235)</f>
        <v>0</v>
      </c>
      <c r="L235" s="74">
        <f>VLOOKUP(F235,DATABASE!C:Q,7,FALSE)</f>
        <v>182200</v>
      </c>
      <c r="M235" s="74">
        <v>199920.0</v>
      </c>
      <c r="N235" s="74">
        <f t="shared" si="8"/>
        <v>200000</v>
      </c>
      <c r="O235" s="74">
        <f t="shared" si="3"/>
        <v>460000</v>
      </c>
      <c r="P235" s="63">
        <f t="shared" si="4"/>
        <v>500000</v>
      </c>
      <c r="Q235" s="63">
        <f t="shared" si="5"/>
        <v>100000</v>
      </c>
      <c r="R235" s="93" t="str">
        <f>VLOOKUP(F235,DATABASE!C:Q,4,false)</f>
        <v>BD</v>
      </c>
      <c r="S235" s="93" t="str">
        <f>VLOOKUP(F235,DATABASE!C:P,11,false)</f>
        <v>Tire</v>
      </c>
      <c r="T235" s="93" t="str">
        <f>vlookup(F235,DATABASE!C:Q,8,false)</f>
        <v>BIAN</v>
      </c>
      <c r="Y235" s="81"/>
      <c r="Z235" s="9"/>
    </row>
    <row r="236" ht="22.5" customHeight="1">
      <c r="A236" s="49"/>
      <c r="C236" s="384">
        <v>45791.0</v>
      </c>
      <c r="D236" s="93">
        <v>45791.0</v>
      </c>
      <c r="E236" s="93" t="s">
        <v>867</v>
      </c>
      <c r="F236" s="74" t="s">
        <v>821</v>
      </c>
      <c r="G236" s="386">
        <v>2.0</v>
      </c>
      <c r="H236" s="74">
        <v>85000.0</v>
      </c>
      <c r="I236" s="74">
        <v>110000.0</v>
      </c>
      <c r="J236" s="60">
        <f t="shared" si="1"/>
        <v>45821</v>
      </c>
      <c r="K236" s="74">
        <f>if(F236="SERVICE",O236-(O236*50%),Vlookup(F236,DATABASE!C:Q,10,false)*G236)</f>
        <v>0</v>
      </c>
      <c r="L236" s="74">
        <f>VLOOKUP(F236,DATABASE!C:Q,7,FALSE)</f>
        <v>43500</v>
      </c>
      <c r="M236" s="74">
        <v>43520.0</v>
      </c>
      <c r="N236" s="74">
        <f t="shared" si="8"/>
        <v>45000</v>
      </c>
      <c r="O236" s="74">
        <f t="shared" si="3"/>
        <v>170000</v>
      </c>
      <c r="P236" s="63">
        <f t="shared" si="4"/>
        <v>220000</v>
      </c>
      <c r="Q236" s="63">
        <f t="shared" si="5"/>
        <v>130000</v>
      </c>
      <c r="R236" s="93" t="str">
        <f>VLOOKUP(F236,DATABASE!C:Q,4,false)</f>
        <v>Flap</v>
      </c>
      <c r="S236" s="93" t="str">
        <f>VLOOKUP(F236,DATABASE!C:P,11,false)</f>
        <v>Tire</v>
      </c>
      <c r="T236" s="93" t="str">
        <f>vlookup(F236,DATABASE!C:Q,8,false)</f>
        <v>BIAN</v>
      </c>
      <c r="Y236" s="81"/>
      <c r="Z236" s="9"/>
    </row>
    <row r="237" ht="22.5" customHeight="1">
      <c r="A237" s="49"/>
      <c r="C237" s="384">
        <v>45791.0</v>
      </c>
      <c r="D237" s="93">
        <v>45791.0</v>
      </c>
      <c r="E237" s="93" t="s">
        <v>536</v>
      </c>
      <c r="F237" s="74" t="s">
        <v>1862</v>
      </c>
      <c r="G237" s="386">
        <v>1.0</v>
      </c>
      <c r="H237" s="74">
        <v>2125000.0</v>
      </c>
      <c r="I237" s="74">
        <v>2235000.0</v>
      </c>
      <c r="J237" s="60">
        <f t="shared" si="1"/>
        <v>45821</v>
      </c>
      <c r="K237" s="74">
        <f>if(F237="SERVICE",O237-(O237*50%),Vlookup(F237,DATABASE!C:Q,10,false)*G237)</f>
        <v>0</v>
      </c>
      <c r="L237" s="74">
        <f>VLOOKUP(F237,DATABASE!C:Q,7,FALSE)</f>
        <v>2080000</v>
      </c>
      <c r="M237" s="74">
        <v>2050000.0</v>
      </c>
      <c r="N237" s="74">
        <f t="shared" si="8"/>
        <v>2050000</v>
      </c>
      <c r="O237" s="74">
        <f t="shared" si="3"/>
        <v>2125000</v>
      </c>
      <c r="P237" s="63">
        <f t="shared" si="4"/>
        <v>2235000</v>
      </c>
      <c r="Q237" s="63">
        <f t="shared" si="5"/>
        <v>185000</v>
      </c>
      <c r="R237" s="93" t="str">
        <f>VLOOKUP(F237,DATABASE!C:Q,4,false)</f>
        <v>GiTi</v>
      </c>
      <c r="S237" s="93" t="str">
        <f>VLOOKUP(F237,DATABASE!C:P,11,false)</f>
        <v>Tire</v>
      </c>
      <c r="T237" s="93" t="str">
        <f>vlookup(F237,DATABASE!C:Q,8,false)</f>
        <v>BIAN</v>
      </c>
      <c r="Y237" s="81"/>
      <c r="Z237" s="9"/>
    </row>
    <row r="238" ht="22.5" customHeight="1">
      <c r="A238" s="49"/>
      <c r="C238" s="384">
        <v>45791.0</v>
      </c>
      <c r="D238" s="93">
        <v>45791.0</v>
      </c>
      <c r="E238" s="93" t="s">
        <v>536</v>
      </c>
      <c r="F238" s="74" t="s">
        <v>572</v>
      </c>
      <c r="G238" s="386">
        <v>2.0</v>
      </c>
      <c r="H238" s="74">
        <v>1370000.0</v>
      </c>
      <c r="I238" s="74">
        <v>1470000.0</v>
      </c>
      <c r="J238" s="60">
        <f t="shared" si="1"/>
        <v>45821</v>
      </c>
      <c r="K238" s="74">
        <f>if(F238="SERVICE",O238-(O238*50%),Vlookup(F238,DATABASE!C:Q,10,false)*G238)</f>
        <v>0</v>
      </c>
      <c r="L238" s="74">
        <f>VLOOKUP(F238,DATABASE!C:Q,7,FALSE)</f>
        <v>1265000</v>
      </c>
      <c r="M238" s="140">
        <v>1270000.0</v>
      </c>
      <c r="N238" s="74">
        <f t="shared" si="8"/>
        <v>1270000</v>
      </c>
      <c r="O238" s="74">
        <f t="shared" si="3"/>
        <v>2740000</v>
      </c>
      <c r="P238" s="63">
        <f t="shared" si="4"/>
        <v>2940000</v>
      </c>
      <c r="Q238" s="63">
        <f t="shared" si="5"/>
        <v>400000</v>
      </c>
      <c r="R238" s="93" t="str">
        <f>VLOOKUP(F238,DATABASE!C:Q,4,false)</f>
        <v>Bridgestone</v>
      </c>
      <c r="S238" s="93" t="str">
        <f>VLOOKUP(F238,DATABASE!C:P,11,false)</f>
        <v>Tire</v>
      </c>
      <c r="T238" s="93" t="str">
        <f>vlookup(F238,DATABASE!C:Q,8,false)</f>
        <v>IBU</v>
      </c>
      <c r="Y238" s="81"/>
      <c r="Z238" s="9"/>
    </row>
    <row r="239" ht="22.5" customHeight="1">
      <c r="A239" s="49"/>
      <c r="C239" s="384">
        <v>45791.0</v>
      </c>
      <c r="D239" s="93">
        <v>45791.0</v>
      </c>
      <c r="E239" s="93" t="s">
        <v>536</v>
      </c>
      <c r="F239" s="74" t="s">
        <v>255</v>
      </c>
      <c r="G239" s="386">
        <v>2.0</v>
      </c>
      <c r="H239" s="74">
        <v>200000.0</v>
      </c>
      <c r="I239" s="74">
        <v>220000.0</v>
      </c>
      <c r="J239" s="60">
        <f t="shared" si="1"/>
        <v>45821</v>
      </c>
      <c r="K239" s="74">
        <f>if(F239="SERVICE",O239-(O239*50%),Vlookup(F239,DATABASE!C:Q,10,false)*G239)</f>
        <v>0</v>
      </c>
      <c r="L239" s="74">
        <f>VLOOKUP(F239,DATABASE!C:Q,7,FALSE)</f>
        <v>161840</v>
      </c>
      <c r="M239" s="74">
        <v>161840.0</v>
      </c>
      <c r="N239" s="74">
        <f t="shared" si="8"/>
        <v>165000</v>
      </c>
      <c r="O239" s="74">
        <f t="shared" si="3"/>
        <v>400000</v>
      </c>
      <c r="P239" s="63">
        <f t="shared" si="4"/>
        <v>440000</v>
      </c>
      <c r="Q239" s="63">
        <f t="shared" si="5"/>
        <v>110000</v>
      </c>
      <c r="R239" s="93" t="str">
        <f>VLOOKUP(F239,DATABASE!C:Q,4,false)</f>
        <v>BD</v>
      </c>
      <c r="S239" s="93" t="str">
        <f>VLOOKUP(F239,DATABASE!C:P,11,false)</f>
        <v>Tire</v>
      </c>
      <c r="T239" s="93" t="str">
        <f>vlookup(F239,DATABASE!C:Q,8,false)</f>
        <v>BIAN</v>
      </c>
      <c r="Y239" s="81"/>
      <c r="Z239" s="9"/>
    </row>
    <row r="240" ht="22.5" customHeight="1">
      <c r="A240" s="49"/>
      <c r="C240" s="384">
        <v>45791.0</v>
      </c>
      <c r="D240" s="93">
        <v>45791.0</v>
      </c>
      <c r="E240" s="93" t="s">
        <v>536</v>
      </c>
      <c r="F240" s="74" t="s">
        <v>814</v>
      </c>
      <c r="G240" s="386">
        <v>2.0</v>
      </c>
      <c r="H240" s="74">
        <v>65000.0</v>
      </c>
      <c r="I240" s="74">
        <v>85000.0</v>
      </c>
      <c r="J240" s="60">
        <f t="shared" si="1"/>
        <v>45821</v>
      </c>
      <c r="K240" s="74">
        <f>if(F240="SERVICE",O240-(O240*50%),Vlookup(F240,DATABASE!C:Q,10,false)*G240)</f>
        <v>0</v>
      </c>
      <c r="L240" s="74">
        <f>VLOOKUP(F240,DATABASE!C:Q,7,FALSE)</f>
        <v>39440</v>
      </c>
      <c r="M240" s="74">
        <v>39440.0</v>
      </c>
      <c r="N240" s="74">
        <f t="shared" si="8"/>
        <v>40000</v>
      </c>
      <c r="O240" s="74">
        <f t="shared" si="3"/>
        <v>130000</v>
      </c>
      <c r="P240" s="63">
        <f t="shared" si="4"/>
        <v>170000</v>
      </c>
      <c r="Q240" s="63">
        <f t="shared" si="5"/>
        <v>90000</v>
      </c>
      <c r="R240" s="93" t="str">
        <f>VLOOKUP(F240,DATABASE!C:Q,4,false)</f>
        <v>Flap</v>
      </c>
      <c r="S240" s="93" t="str">
        <f>VLOOKUP(F240,DATABASE!C:P,11,false)</f>
        <v>Tire</v>
      </c>
      <c r="T240" s="93" t="str">
        <f>vlookup(F240,DATABASE!C:Q,8,false)</f>
        <v>BIAN</v>
      </c>
      <c r="Y240" s="81"/>
      <c r="Z240" s="9"/>
    </row>
    <row r="241" ht="22.5" customHeight="1">
      <c r="A241" s="49"/>
      <c r="C241" s="384">
        <v>45792.0</v>
      </c>
      <c r="D241" s="93">
        <v>45792.0</v>
      </c>
      <c r="E241" s="93" t="s">
        <v>270</v>
      </c>
      <c r="F241" s="74" t="s">
        <v>403</v>
      </c>
      <c r="G241" s="386">
        <v>4.0</v>
      </c>
      <c r="H241" s="74">
        <v>2260000.0</v>
      </c>
      <c r="I241" s="74">
        <v>2400000.0</v>
      </c>
      <c r="J241" s="60">
        <f t="shared" si="1"/>
        <v>45822</v>
      </c>
      <c r="K241" s="74">
        <f>if(F241="SERVICE",O241-(O241*50%),Vlookup(F241,DATABASE!C:Q,10,false)*G241)</f>
        <v>0</v>
      </c>
      <c r="L241" s="74">
        <f>VLOOKUP(F241,DATABASE!C:Q,7,FALSE)</f>
        <v>2160000</v>
      </c>
      <c r="M241" s="74">
        <v>2160000.0</v>
      </c>
      <c r="N241" s="74">
        <f t="shared" si="8"/>
        <v>2160000</v>
      </c>
      <c r="O241" s="74">
        <f t="shared" si="3"/>
        <v>9040000</v>
      </c>
      <c r="P241" s="63">
        <f t="shared" si="4"/>
        <v>9600000</v>
      </c>
      <c r="Q241" s="63">
        <f t="shared" si="5"/>
        <v>960000</v>
      </c>
      <c r="R241" s="93" t="str">
        <f>VLOOKUP(F241,DATABASE!C:Q,4,false)</f>
        <v>Advance</v>
      </c>
      <c r="S241" s="93" t="str">
        <f>VLOOKUP(F241,DATABASE!C:P,11,false)</f>
        <v>Tire</v>
      </c>
      <c r="T241" s="93" t="str">
        <f>vlookup(F241,DATABASE!C:Q,8,false)</f>
        <v>BIAN</v>
      </c>
      <c r="Y241" s="81"/>
      <c r="Z241" s="9"/>
    </row>
    <row r="242" ht="22.5" customHeight="1">
      <c r="A242" s="49"/>
      <c r="C242" s="384">
        <v>45792.0</v>
      </c>
      <c r="D242" s="93">
        <v>45792.0</v>
      </c>
      <c r="E242" s="93" t="s">
        <v>270</v>
      </c>
      <c r="F242" s="74" t="s">
        <v>924</v>
      </c>
      <c r="G242" s="386">
        <v>2.0</v>
      </c>
      <c r="H242" s="74">
        <v>1750000.0</v>
      </c>
      <c r="I242" s="74">
        <v>1900000.0</v>
      </c>
      <c r="J242" s="60">
        <f t="shared" si="1"/>
        <v>45822</v>
      </c>
      <c r="K242" s="74">
        <f>if(F242="SERVICE",O242-(O242*50%),Vlookup(F242,DATABASE!C:Q,10,false)*G242)</f>
        <v>0</v>
      </c>
      <c r="L242" s="74">
        <f>VLOOKUP(F242,DATABASE!C:Q,7,FALSE)</f>
        <v>1560000</v>
      </c>
      <c r="M242" s="74">
        <v>1545000.0</v>
      </c>
      <c r="N242" s="74">
        <f t="shared" si="8"/>
        <v>1545000</v>
      </c>
      <c r="O242" s="74">
        <f t="shared" si="3"/>
        <v>3500000</v>
      </c>
      <c r="P242" s="63">
        <f t="shared" si="4"/>
        <v>3800000</v>
      </c>
      <c r="Q242" s="63">
        <f t="shared" si="5"/>
        <v>710000</v>
      </c>
      <c r="R242" s="93" t="str">
        <f>VLOOKUP(F242,DATABASE!C:Q,4,false)</f>
        <v>TIRON</v>
      </c>
      <c r="S242" s="93" t="str">
        <f>VLOOKUP(F242,DATABASE!C:P,11,false)</f>
        <v>Tire</v>
      </c>
      <c r="T242" s="93" t="str">
        <f>vlookup(F242,DATABASE!C:Q,8,false)</f>
        <v>BIAN</v>
      </c>
      <c r="Y242" s="81"/>
      <c r="Z242" s="9"/>
    </row>
    <row r="243" ht="22.5" customHeight="1">
      <c r="A243" s="49"/>
      <c r="C243" s="384">
        <v>45792.0</v>
      </c>
      <c r="D243" s="93">
        <v>45792.0</v>
      </c>
      <c r="E243" s="93" t="s">
        <v>234</v>
      </c>
      <c r="F243" s="74" t="s">
        <v>791</v>
      </c>
      <c r="G243" s="386">
        <v>1.0</v>
      </c>
      <c r="H243" s="74">
        <v>1280000.0</v>
      </c>
      <c r="I243" s="74">
        <v>1380000.0</v>
      </c>
      <c r="J243" s="60">
        <f t="shared" si="1"/>
        <v>45822</v>
      </c>
      <c r="K243" s="74">
        <f>if(F243="SERVICE",O243-(O243*50%),Vlookup(F243,DATABASE!C:Q,10,false)*G243)</f>
        <v>0</v>
      </c>
      <c r="L243" s="74">
        <f>VLOOKUP(F243,DATABASE!C:Q,7,FALSE)</f>
        <v>1210000</v>
      </c>
      <c r="M243" s="74">
        <v>1180000.0</v>
      </c>
      <c r="N243" s="74">
        <f t="shared" si="8"/>
        <v>1180000</v>
      </c>
      <c r="O243" s="74">
        <f t="shared" si="3"/>
        <v>1280000</v>
      </c>
      <c r="P243" s="63">
        <f t="shared" si="4"/>
        <v>1380000</v>
      </c>
      <c r="Q243" s="63">
        <f t="shared" si="5"/>
        <v>200000</v>
      </c>
      <c r="R243" s="93" t="str">
        <f>VLOOKUP(F243,DATABASE!C:Q,4,false)</f>
        <v>GT</v>
      </c>
      <c r="S243" s="93" t="str">
        <f>VLOOKUP(F243,DATABASE!C:P,11,false)</f>
        <v>Tire</v>
      </c>
      <c r="T243" s="93" t="str">
        <f>vlookup(F243,DATABASE!C:Q,8,false)</f>
        <v>BIAN</v>
      </c>
      <c r="Y243" s="81"/>
      <c r="Z243" s="9"/>
    </row>
    <row r="244" ht="22.5" customHeight="1">
      <c r="A244" s="49"/>
      <c r="C244" s="384">
        <v>45792.0</v>
      </c>
      <c r="D244" s="93">
        <v>45792.0</v>
      </c>
      <c r="E244" s="93" t="s">
        <v>234</v>
      </c>
      <c r="F244" s="74" t="s">
        <v>255</v>
      </c>
      <c r="G244" s="386">
        <v>1.0</v>
      </c>
      <c r="H244" s="74">
        <v>200000.0</v>
      </c>
      <c r="I244" s="74">
        <v>220000.0</v>
      </c>
      <c r="J244" s="60">
        <f t="shared" si="1"/>
        <v>45822</v>
      </c>
      <c r="K244" s="74">
        <f>if(F244="SERVICE",O244-(O244*50%),Vlookup(F244,DATABASE!C:Q,10,false)*G244)</f>
        <v>0</v>
      </c>
      <c r="L244" s="74">
        <f>VLOOKUP(F244,DATABASE!C:Q,7,FALSE)</f>
        <v>161840</v>
      </c>
      <c r="M244" s="74">
        <v>161840.0</v>
      </c>
      <c r="N244" s="74">
        <f t="shared" si="8"/>
        <v>165000</v>
      </c>
      <c r="O244" s="74">
        <f t="shared" si="3"/>
        <v>200000</v>
      </c>
      <c r="P244" s="63">
        <f t="shared" si="4"/>
        <v>220000</v>
      </c>
      <c r="Q244" s="63">
        <f t="shared" si="5"/>
        <v>55000</v>
      </c>
      <c r="R244" s="93" t="str">
        <f>VLOOKUP(F244,DATABASE!C:Q,4,false)</f>
        <v>BD</v>
      </c>
      <c r="S244" s="93" t="str">
        <f>VLOOKUP(F244,DATABASE!C:P,11,false)</f>
        <v>Tire</v>
      </c>
      <c r="T244" s="93" t="str">
        <f>vlookup(F244,DATABASE!C:Q,8,false)</f>
        <v>BIAN</v>
      </c>
      <c r="Y244" s="81"/>
      <c r="Z244" s="9"/>
    </row>
    <row r="245" ht="22.5" customHeight="1">
      <c r="A245" s="49"/>
      <c r="C245" s="384">
        <v>45792.0</v>
      </c>
      <c r="D245" s="93">
        <v>45792.0</v>
      </c>
      <c r="E245" s="93" t="s">
        <v>234</v>
      </c>
      <c r="F245" s="74" t="s">
        <v>814</v>
      </c>
      <c r="G245" s="386">
        <v>1.0</v>
      </c>
      <c r="H245" s="74">
        <v>65000.0</v>
      </c>
      <c r="I245" s="74">
        <v>85000.0</v>
      </c>
      <c r="J245" s="60">
        <f t="shared" si="1"/>
        <v>45822</v>
      </c>
      <c r="K245" s="74">
        <f>if(F245="SERVICE",O245-(O245*50%),Vlookup(F245,DATABASE!C:Q,10,false)*G245)</f>
        <v>0</v>
      </c>
      <c r="L245" s="74">
        <f>VLOOKUP(F245,DATABASE!C:Q,7,FALSE)</f>
        <v>39440</v>
      </c>
      <c r="M245" s="74">
        <v>39440.0</v>
      </c>
      <c r="N245" s="74">
        <f t="shared" si="8"/>
        <v>40000</v>
      </c>
      <c r="O245" s="74">
        <f t="shared" si="3"/>
        <v>65000</v>
      </c>
      <c r="P245" s="63">
        <f t="shared" si="4"/>
        <v>85000</v>
      </c>
      <c r="Q245" s="63">
        <f t="shared" si="5"/>
        <v>45000</v>
      </c>
      <c r="R245" s="93" t="str">
        <f>VLOOKUP(F245,DATABASE!C:Q,4,false)</f>
        <v>Flap</v>
      </c>
      <c r="S245" s="93" t="str">
        <f>VLOOKUP(F245,DATABASE!C:P,11,false)</f>
        <v>Tire</v>
      </c>
      <c r="T245" s="93" t="str">
        <f>vlookup(F245,DATABASE!C:Q,8,false)</f>
        <v>BIAN</v>
      </c>
      <c r="Y245" s="81"/>
      <c r="Z245" s="9"/>
    </row>
    <row r="246" ht="22.5" customHeight="1">
      <c r="A246" s="49"/>
      <c r="C246" s="384">
        <v>45792.0</v>
      </c>
      <c r="D246" s="93">
        <v>45792.0</v>
      </c>
      <c r="E246" s="93" t="s">
        <v>74</v>
      </c>
      <c r="F246" s="74" t="s">
        <v>265</v>
      </c>
      <c r="G246" s="386">
        <v>2.0</v>
      </c>
      <c r="H246" s="74">
        <v>735000.0</v>
      </c>
      <c r="I246" s="74">
        <v>735000.0</v>
      </c>
      <c r="J246" s="60">
        <f t="shared" si="1"/>
        <v>45822</v>
      </c>
      <c r="K246" s="74">
        <f>if(F246="SERVICE",O246-(O246*50%),Vlookup(F246,DATABASE!C:Q,10,false)*G246)</f>
        <v>0</v>
      </c>
      <c r="L246" s="74">
        <f>VLOOKUP(F246,DATABASE!C:Q,7,FALSE)</f>
        <v>628000</v>
      </c>
      <c r="M246" s="74">
        <v>610000.0</v>
      </c>
      <c r="N246" s="74">
        <f t="shared" si="8"/>
        <v>610000</v>
      </c>
      <c r="O246" s="74">
        <f t="shared" si="3"/>
        <v>1470000</v>
      </c>
      <c r="P246" s="63">
        <f t="shared" si="4"/>
        <v>1470000</v>
      </c>
      <c r="Q246" s="63">
        <f t="shared" si="5"/>
        <v>250000</v>
      </c>
      <c r="R246" s="93" t="str">
        <f>VLOOKUP(F246,DATABASE!C:Q,4,false)</f>
        <v>Dunlop</v>
      </c>
      <c r="S246" s="93" t="str">
        <f>VLOOKUP(F246,DATABASE!C:P,11,false)</f>
        <v>Tire</v>
      </c>
      <c r="T246" s="93" t="str">
        <f>vlookup(F246,DATABASE!C:Q,8,false)</f>
        <v>IBU</v>
      </c>
      <c r="Y246" s="81"/>
      <c r="Z246" s="9"/>
    </row>
    <row r="247" ht="22.5" customHeight="1">
      <c r="A247" s="49"/>
      <c r="C247" s="384">
        <v>45792.0</v>
      </c>
      <c r="D247" s="93">
        <v>45792.0</v>
      </c>
      <c r="E247" s="93" t="s">
        <v>74</v>
      </c>
      <c r="F247" s="74" t="s">
        <v>256</v>
      </c>
      <c r="G247" s="386">
        <v>1.0</v>
      </c>
      <c r="H247" s="74">
        <v>150000.0</v>
      </c>
      <c r="I247" s="74">
        <v>150000.0</v>
      </c>
      <c r="J247" s="60">
        <f t="shared" si="1"/>
        <v>45822</v>
      </c>
      <c r="K247" s="74">
        <f>if(F247="SERVICE",O247-(O247*50%),Vlookup(F247,DATABASE!C:Q,10,false)*G247)</f>
        <v>10000</v>
      </c>
      <c r="L247" s="74">
        <f>VLOOKUP(F247,DATABASE!C:Q,7,FALSE)</f>
        <v>0</v>
      </c>
      <c r="M247" s="74">
        <v>0.0</v>
      </c>
      <c r="N247" s="74">
        <f t="shared" si="8"/>
        <v>0</v>
      </c>
      <c r="O247" s="74">
        <f t="shared" si="3"/>
        <v>150000</v>
      </c>
      <c r="P247" s="63">
        <f t="shared" si="4"/>
        <v>150000</v>
      </c>
      <c r="Q247" s="63">
        <f t="shared" si="5"/>
        <v>140000</v>
      </c>
      <c r="R247" s="93" t="str">
        <f>VLOOKUP(F247,DATABASE!C:Q,4,false)</f>
        <v>SPOORING</v>
      </c>
      <c r="S247" s="93" t="str">
        <f>VLOOKUP(F247,DATABASE!C:P,11,false)</f>
        <v>SERVICE</v>
      </c>
      <c r="T247" s="93" t="str">
        <f>vlookup(F247,DATABASE!C:Q,8,false)</f>
        <v>IBU</v>
      </c>
      <c r="Y247" s="81"/>
      <c r="Z247" s="9"/>
    </row>
    <row r="248" ht="22.5" customHeight="1">
      <c r="A248" s="49"/>
      <c r="C248" s="384">
        <v>45792.0</v>
      </c>
      <c r="D248" s="93">
        <v>45792.0</v>
      </c>
      <c r="E248" s="93" t="s">
        <v>74</v>
      </c>
      <c r="F248" s="74" t="s">
        <v>251</v>
      </c>
      <c r="G248" s="386">
        <v>1.0</v>
      </c>
      <c r="H248" s="74">
        <v>150000.0</v>
      </c>
      <c r="I248" s="74">
        <v>150000.0</v>
      </c>
      <c r="J248" s="60">
        <f t="shared" si="1"/>
        <v>45822</v>
      </c>
      <c r="K248" s="74">
        <f>if(F248="SERVICE",O248-(O248*50%),Vlookup(F248,DATABASE!C:Q,10,false)*G248)</f>
        <v>75000</v>
      </c>
      <c r="L248" s="74">
        <f>VLOOKUP(F248,DATABASE!C:Q,7,FALSE)</f>
        <v>0</v>
      </c>
      <c r="M248" s="74">
        <v>0.0</v>
      </c>
      <c r="N248" s="74">
        <f t="shared" si="8"/>
        <v>0</v>
      </c>
      <c r="O248" s="74">
        <f t="shared" si="3"/>
        <v>150000</v>
      </c>
      <c r="P248" s="63">
        <f t="shared" si="4"/>
        <v>150000</v>
      </c>
      <c r="Q248" s="63">
        <f t="shared" si="5"/>
        <v>75000</v>
      </c>
      <c r="R248" s="93" t="str">
        <f>VLOOKUP(F248,DATABASE!C:Q,4,false)</f>
        <v>SERVICE</v>
      </c>
      <c r="S248" s="93" t="str">
        <f>VLOOKUP(F248,DATABASE!C:P,11,false)</f>
        <v>SERVICE</v>
      </c>
      <c r="T248" s="93" t="str">
        <f>vlookup(F248,DATABASE!C:Q,8,false)</f>
        <v>IBU</v>
      </c>
      <c r="Y248" s="81"/>
      <c r="Z248" s="9"/>
    </row>
    <row r="249" ht="22.5" customHeight="1">
      <c r="A249" s="49"/>
      <c r="C249" s="384">
        <v>45793.0</v>
      </c>
      <c r="D249" s="93">
        <v>45793.0</v>
      </c>
      <c r="E249" s="93" t="s">
        <v>74</v>
      </c>
      <c r="F249" s="74" t="s">
        <v>791</v>
      </c>
      <c r="G249" s="386">
        <v>2.0</v>
      </c>
      <c r="H249" s="74">
        <v>1300000.0</v>
      </c>
      <c r="I249" s="74">
        <v>1300000.0</v>
      </c>
      <c r="J249" s="60">
        <f t="shared" si="1"/>
        <v>45823</v>
      </c>
      <c r="K249" s="74">
        <f>if(F249="SERVICE",O249-(O249*50%),Vlookup(F249,DATABASE!C:Q,10,false)*G249)</f>
        <v>0</v>
      </c>
      <c r="L249" s="74">
        <f>VLOOKUP(F249,DATABASE!C:Q,7,FALSE)</f>
        <v>1210000</v>
      </c>
      <c r="M249" s="74">
        <v>1180000.0</v>
      </c>
      <c r="N249" s="74">
        <f t="shared" si="8"/>
        <v>1180000</v>
      </c>
      <c r="O249" s="74">
        <f t="shared" si="3"/>
        <v>2600000</v>
      </c>
      <c r="P249" s="63">
        <f t="shared" si="4"/>
        <v>2600000</v>
      </c>
      <c r="Q249" s="63">
        <f t="shared" si="5"/>
        <v>240000</v>
      </c>
      <c r="R249" s="93" t="str">
        <f>VLOOKUP(F249,DATABASE!C:Q,4,false)</f>
        <v>GT</v>
      </c>
      <c r="S249" s="93" t="str">
        <f>VLOOKUP(F249,DATABASE!C:P,11,false)</f>
        <v>Tire</v>
      </c>
      <c r="T249" s="93" t="str">
        <f>vlookup(F249,DATABASE!C:Q,8,false)</f>
        <v>BIAN</v>
      </c>
      <c r="Y249" s="81"/>
      <c r="Z249" s="9"/>
    </row>
    <row r="250" ht="22.5" customHeight="1">
      <c r="A250" s="49"/>
      <c r="C250" s="384">
        <v>45793.0</v>
      </c>
      <c r="D250" s="93">
        <v>45793.0</v>
      </c>
      <c r="E250" s="93" t="s">
        <v>74</v>
      </c>
      <c r="F250" s="74" t="s">
        <v>255</v>
      </c>
      <c r="G250" s="386">
        <v>1.0</v>
      </c>
      <c r="H250" s="74">
        <v>210000.0</v>
      </c>
      <c r="I250" s="74">
        <v>210000.0</v>
      </c>
      <c r="J250" s="60">
        <f t="shared" si="1"/>
        <v>45823</v>
      </c>
      <c r="K250" s="74">
        <f>if(F250="SERVICE",O250-(O250*50%),Vlookup(F250,DATABASE!C:Q,10,false)*G250)</f>
        <v>0</v>
      </c>
      <c r="L250" s="74">
        <f>VLOOKUP(F250,DATABASE!C:Q,7,FALSE)</f>
        <v>161840</v>
      </c>
      <c r="M250" s="74">
        <v>161840.0</v>
      </c>
      <c r="N250" s="74">
        <f t="shared" si="8"/>
        <v>165000</v>
      </c>
      <c r="O250" s="74">
        <f t="shared" si="3"/>
        <v>210000</v>
      </c>
      <c r="P250" s="63">
        <f t="shared" si="4"/>
        <v>210000</v>
      </c>
      <c r="Q250" s="63">
        <f t="shared" si="5"/>
        <v>45000</v>
      </c>
      <c r="R250" s="93" t="str">
        <f>VLOOKUP(F250,DATABASE!C:Q,4,false)</f>
        <v>BD</v>
      </c>
      <c r="S250" s="93" t="str">
        <f>VLOOKUP(F250,DATABASE!C:P,11,false)</f>
        <v>Tire</v>
      </c>
      <c r="T250" s="93" t="str">
        <f>vlookup(F250,DATABASE!C:Q,8,false)</f>
        <v>BIAN</v>
      </c>
      <c r="Y250" s="81"/>
      <c r="Z250" s="9"/>
    </row>
    <row r="251" ht="22.5" customHeight="1">
      <c r="A251" s="49"/>
      <c r="C251" s="384">
        <v>45793.0</v>
      </c>
      <c r="D251" s="93">
        <v>45793.0</v>
      </c>
      <c r="E251" s="93" t="s">
        <v>74</v>
      </c>
      <c r="F251" s="74" t="s">
        <v>712</v>
      </c>
      <c r="G251" s="386">
        <v>1.0</v>
      </c>
      <c r="H251" s="74">
        <v>160000.0</v>
      </c>
      <c r="I251" s="74">
        <v>160000.0</v>
      </c>
      <c r="J251" s="60">
        <f t="shared" si="1"/>
        <v>45823</v>
      </c>
      <c r="K251" s="74">
        <f>if(F251="SERVICE",O251-(O251*50%),Vlookup(F251,DATABASE!C:Q,10,false)*G251)</f>
        <v>0</v>
      </c>
      <c r="L251" s="74">
        <f>VLOOKUP(F251,DATABASE!C:Q,7,FALSE)</f>
        <v>120960</v>
      </c>
      <c r="M251" s="74">
        <v>120960.0</v>
      </c>
      <c r="N251" s="74">
        <f t="shared" si="8"/>
        <v>125000</v>
      </c>
      <c r="O251" s="74">
        <f t="shared" si="3"/>
        <v>160000</v>
      </c>
      <c r="P251" s="63">
        <f t="shared" si="4"/>
        <v>160000</v>
      </c>
      <c r="Q251" s="63">
        <f t="shared" si="5"/>
        <v>35000</v>
      </c>
      <c r="R251" s="93" t="str">
        <f>VLOOKUP(F251,DATABASE!C:Q,4,false)</f>
        <v>BD</v>
      </c>
      <c r="S251" s="93" t="str">
        <f>VLOOKUP(F251,DATABASE!C:P,11,false)</f>
        <v>Tire</v>
      </c>
      <c r="T251" s="93" t="str">
        <f>vlookup(F251,DATABASE!C:Q,8,false)</f>
        <v>BIAN</v>
      </c>
      <c r="Y251" s="81"/>
      <c r="Z251" s="9"/>
    </row>
    <row r="252" ht="22.5" customHeight="1">
      <c r="A252" s="49"/>
      <c r="C252" s="384">
        <v>45793.0</v>
      </c>
      <c r="D252" s="93">
        <v>45793.0</v>
      </c>
      <c r="E252" s="93" t="s">
        <v>74</v>
      </c>
      <c r="F252" s="74" t="s">
        <v>284</v>
      </c>
      <c r="G252" s="386">
        <v>2.0</v>
      </c>
      <c r="H252" s="74">
        <v>70000.0</v>
      </c>
      <c r="I252" s="74">
        <v>70000.0</v>
      </c>
      <c r="J252" s="60">
        <f t="shared" si="1"/>
        <v>45823</v>
      </c>
      <c r="K252" s="74">
        <f>if(F252="SERVICE",O252-(O252*50%),Vlookup(F252,DATABASE!C:Q,10,false)*G252)</f>
        <v>0</v>
      </c>
      <c r="L252" s="74">
        <f>VLOOKUP(F252,DATABASE!C:Q,7,FALSE)</f>
        <v>36630</v>
      </c>
      <c r="M252" s="74">
        <v>36630.0</v>
      </c>
      <c r="N252" s="74">
        <f t="shared" si="8"/>
        <v>40000</v>
      </c>
      <c r="O252" s="74">
        <f t="shared" si="3"/>
        <v>140000</v>
      </c>
      <c r="P252" s="63">
        <f t="shared" si="4"/>
        <v>140000</v>
      </c>
      <c r="Q252" s="63">
        <f t="shared" si="5"/>
        <v>60000</v>
      </c>
      <c r="R252" s="93" t="str">
        <f>VLOOKUP(F252,DATABASE!C:Q,4,false)</f>
        <v>Flap</v>
      </c>
      <c r="S252" s="93" t="str">
        <f>VLOOKUP(F252,DATABASE!C:P,11,false)</f>
        <v>Tire</v>
      </c>
      <c r="T252" s="93" t="str">
        <f>vlookup(F252,DATABASE!C:Q,8,false)</f>
        <v>BIAN</v>
      </c>
      <c r="Y252" s="81"/>
      <c r="Z252" s="9"/>
    </row>
    <row r="253" ht="22.5" customHeight="1">
      <c r="A253" s="49"/>
      <c r="C253" s="384">
        <v>45794.0</v>
      </c>
      <c r="D253" s="93">
        <v>45794.0</v>
      </c>
      <c r="E253" s="93" t="s">
        <v>267</v>
      </c>
      <c r="F253" s="74" t="s">
        <v>374</v>
      </c>
      <c r="G253" s="386">
        <v>1.0</v>
      </c>
      <c r="H253" s="74">
        <v>2050000.0</v>
      </c>
      <c r="I253" s="74">
        <v>2150000.0</v>
      </c>
      <c r="J253" s="60">
        <f t="shared" si="1"/>
        <v>45824</v>
      </c>
      <c r="K253" s="74">
        <f>if(F253="SERVICE",O253-(O253*50%),Vlookup(F253,DATABASE!C:Q,10,false)*G253)</f>
        <v>0</v>
      </c>
      <c r="L253" s="74">
        <f>VLOOKUP(F253,DATABASE!C:Q,7,FALSE)</f>
        <v>1980000</v>
      </c>
      <c r="M253" s="74">
        <v>1850000.0</v>
      </c>
      <c r="N253" s="74">
        <f t="shared" si="8"/>
        <v>1850000</v>
      </c>
      <c r="O253" s="74">
        <f t="shared" si="3"/>
        <v>2050000</v>
      </c>
      <c r="P253" s="63">
        <f t="shared" si="4"/>
        <v>2150000</v>
      </c>
      <c r="Q253" s="63">
        <f t="shared" si="5"/>
        <v>300000</v>
      </c>
      <c r="R253" s="93" t="str">
        <f>VLOOKUP(F253,DATABASE!C:Q,4,false)</f>
        <v>Advance</v>
      </c>
      <c r="S253" s="93" t="str">
        <f>VLOOKUP(F253,DATABASE!C:P,11,false)</f>
        <v>Tire</v>
      </c>
      <c r="T253" s="93" t="str">
        <f>vlookup(F253,DATABASE!C:Q,8,false)</f>
        <v>BIAN</v>
      </c>
      <c r="Y253" s="81"/>
      <c r="Z253" s="9"/>
    </row>
    <row r="254" ht="22.5" customHeight="1">
      <c r="A254" s="49"/>
      <c r="C254" s="384">
        <v>45794.0</v>
      </c>
      <c r="D254" s="93">
        <v>45794.0</v>
      </c>
      <c r="E254" s="93" t="s">
        <v>267</v>
      </c>
      <c r="F254" s="74" t="s">
        <v>391</v>
      </c>
      <c r="G254" s="386">
        <v>2.0</v>
      </c>
      <c r="H254" s="74">
        <v>1950000.0</v>
      </c>
      <c r="I254" s="74">
        <v>2050000.0</v>
      </c>
      <c r="J254" s="60">
        <f t="shared" si="1"/>
        <v>45824</v>
      </c>
      <c r="K254" s="74">
        <f>if(F254="SERVICE",O254-(O254*50%),Vlookup(F254,DATABASE!C:Q,10,false)*G254)</f>
        <v>0</v>
      </c>
      <c r="L254" s="74">
        <f>VLOOKUP(F254,DATABASE!C:Q,7,FALSE)</f>
        <v>1885000</v>
      </c>
      <c r="M254" s="74">
        <v>1840000.0</v>
      </c>
      <c r="N254" s="74">
        <f t="shared" si="8"/>
        <v>1840000</v>
      </c>
      <c r="O254" s="74">
        <f t="shared" si="3"/>
        <v>3900000</v>
      </c>
      <c r="P254" s="63">
        <f t="shared" si="4"/>
        <v>4100000</v>
      </c>
      <c r="Q254" s="63">
        <f t="shared" si="5"/>
        <v>420000</v>
      </c>
      <c r="R254" s="93" t="str">
        <f>VLOOKUP(F254,DATABASE!C:Q,4,false)</f>
        <v>Advance</v>
      </c>
      <c r="S254" s="93" t="str">
        <f>VLOOKUP(F254,DATABASE!C:P,11,false)</f>
        <v>Tire</v>
      </c>
      <c r="T254" s="93" t="str">
        <f>vlookup(F254,DATABASE!C:Q,8,false)</f>
        <v>BIAN</v>
      </c>
      <c r="Y254" s="81"/>
      <c r="Z254" s="9"/>
    </row>
    <row r="255" ht="22.5" customHeight="1">
      <c r="A255" s="49"/>
      <c r="C255" s="384">
        <v>45794.0</v>
      </c>
      <c r="D255" s="93">
        <v>45794.0</v>
      </c>
      <c r="E255" s="65" t="s">
        <v>396</v>
      </c>
      <c r="F255" s="74" t="s">
        <v>1237</v>
      </c>
      <c r="G255" s="386">
        <v>1.0</v>
      </c>
      <c r="H255" s="74">
        <v>1225000.0</v>
      </c>
      <c r="I255" s="74">
        <v>1265000.0</v>
      </c>
      <c r="J255" s="60">
        <f t="shared" si="1"/>
        <v>45824</v>
      </c>
      <c r="K255" s="74">
        <f>if(F255="SERVICE",O255-(O255*50%),Vlookup(F255,DATABASE!C:Q,10,false)*G255)</f>
        <v>0</v>
      </c>
      <c r="L255" s="74">
        <f>VLOOKUP(F255,DATABASE!C:Q,7,FALSE)</f>
        <v>1170353.16</v>
      </c>
      <c r="M255" s="74">
        <v>1113907.2</v>
      </c>
      <c r="N255" s="74">
        <f t="shared" si="8"/>
        <v>1115000</v>
      </c>
      <c r="O255" s="74">
        <f t="shared" si="3"/>
        <v>1225000</v>
      </c>
      <c r="P255" s="63">
        <f t="shared" si="4"/>
        <v>1265000</v>
      </c>
      <c r="Q255" s="63">
        <f t="shared" si="5"/>
        <v>150000</v>
      </c>
      <c r="R255" s="93" t="str">
        <f>VLOOKUP(F255,DATABASE!C:Q,4,false)</f>
        <v>Bridgestone</v>
      </c>
      <c r="S255" s="93" t="str">
        <f>VLOOKUP(F255,DATABASE!C:P,11,false)</f>
        <v>Tire</v>
      </c>
      <c r="T255" s="93" t="str">
        <f>vlookup(F255,DATABASE!C:Q,8,false)</f>
        <v>IBU</v>
      </c>
      <c r="Y255" s="81"/>
      <c r="Z255" s="9"/>
    </row>
    <row r="256" ht="22.5" customHeight="1">
      <c r="A256" s="49"/>
      <c r="C256" s="384">
        <v>45795.0</v>
      </c>
      <c r="D256" s="93">
        <v>45795.0</v>
      </c>
      <c r="E256" s="93" t="s">
        <v>971</v>
      </c>
      <c r="F256" s="74" t="s">
        <v>374</v>
      </c>
      <c r="G256" s="386">
        <v>1.0</v>
      </c>
      <c r="H256" s="74">
        <v>2050000.0</v>
      </c>
      <c r="I256" s="74">
        <v>2150000.0</v>
      </c>
      <c r="J256" s="60">
        <f t="shared" si="1"/>
        <v>45825</v>
      </c>
      <c r="K256" s="74">
        <f>if(F256="SERVICE",O256-(O256*50%),Vlookup(F256,DATABASE!C:Q,10,false)*G256)</f>
        <v>0</v>
      </c>
      <c r="L256" s="74">
        <f>VLOOKUP(F256,DATABASE!C:Q,7,FALSE)</f>
        <v>1980000</v>
      </c>
      <c r="M256" s="74">
        <v>1850000.0</v>
      </c>
      <c r="N256" s="74">
        <f t="shared" si="8"/>
        <v>1850000</v>
      </c>
      <c r="O256" s="74">
        <f t="shared" si="3"/>
        <v>2050000</v>
      </c>
      <c r="P256" s="63">
        <f t="shared" si="4"/>
        <v>2150000</v>
      </c>
      <c r="Q256" s="63">
        <f t="shared" si="5"/>
        <v>300000</v>
      </c>
      <c r="R256" s="93" t="str">
        <f>VLOOKUP(F256,DATABASE!C:Q,4,false)</f>
        <v>Advance</v>
      </c>
      <c r="S256" s="93" t="str">
        <f>VLOOKUP(F256,DATABASE!C:P,11,false)</f>
        <v>Tire</v>
      </c>
      <c r="T256" s="93" t="str">
        <f>vlookup(F256,DATABASE!C:Q,8,false)</f>
        <v>BIAN</v>
      </c>
      <c r="Y256" s="81"/>
      <c r="Z256" s="9"/>
    </row>
    <row r="257" ht="22.5" customHeight="1">
      <c r="A257" s="49"/>
      <c r="C257" s="384">
        <v>45795.0</v>
      </c>
      <c r="D257" s="93">
        <v>45795.0</v>
      </c>
      <c r="E257" s="93" t="s">
        <v>410</v>
      </c>
      <c r="F257" s="74" t="s">
        <v>1862</v>
      </c>
      <c r="G257" s="386">
        <v>2.0</v>
      </c>
      <c r="H257" s="74">
        <v>2125000.0</v>
      </c>
      <c r="I257" s="74">
        <v>2225000.0</v>
      </c>
      <c r="J257" s="60">
        <f t="shared" si="1"/>
        <v>45825</v>
      </c>
      <c r="K257" s="74">
        <f>if(F257="SERVICE",O257-(O257*50%),Vlookup(F257,DATABASE!C:Q,10,false)*G257)</f>
        <v>0</v>
      </c>
      <c r="L257" s="74">
        <f>VLOOKUP(F257,DATABASE!C:Q,7,FALSE)</f>
        <v>2080000</v>
      </c>
      <c r="M257" s="74">
        <v>2050000.0</v>
      </c>
      <c r="N257" s="74">
        <f t="shared" si="8"/>
        <v>2050000</v>
      </c>
      <c r="O257" s="74">
        <f t="shared" si="3"/>
        <v>4250000</v>
      </c>
      <c r="P257" s="63">
        <f t="shared" si="4"/>
        <v>4450000</v>
      </c>
      <c r="Q257" s="63">
        <f t="shared" si="5"/>
        <v>350000</v>
      </c>
      <c r="R257" s="93" t="str">
        <f>VLOOKUP(F257,DATABASE!C:Q,4,false)</f>
        <v>GiTi</v>
      </c>
      <c r="S257" s="93" t="str">
        <f>VLOOKUP(F257,DATABASE!C:P,11,false)</f>
        <v>Tire</v>
      </c>
      <c r="T257" s="93" t="str">
        <f>vlookup(F257,DATABASE!C:Q,8,false)</f>
        <v>BIAN</v>
      </c>
      <c r="Y257" s="81"/>
      <c r="Z257" s="9"/>
    </row>
    <row r="258" ht="22.5" customHeight="1">
      <c r="A258" s="49"/>
      <c r="C258" s="384">
        <v>45797.0</v>
      </c>
      <c r="D258" s="93">
        <v>45797.0</v>
      </c>
      <c r="E258" s="93" t="s">
        <v>383</v>
      </c>
      <c r="F258" s="74" t="s">
        <v>1862</v>
      </c>
      <c r="G258" s="386">
        <v>2.0</v>
      </c>
      <c r="H258" s="74">
        <v>2125000.0</v>
      </c>
      <c r="I258" s="74">
        <v>2235000.0</v>
      </c>
      <c r="J258" s="60">
        <f t="shared" si="1"/>
        <v>45827</v>
      </c>
      <c r="K258" s="74">
        <f>if(F258="SERVICE",O258-(O258*50%),Vlookup(F258,DATABASE!C:Q,10,false)*G258)</f>
        <v>0</v>
      </c>
      <c r="L258" s="74">
        <f>VLOOKUP(F258,DATABASE!C:Q,7,FALSE)</f>
        <v>2080000</v>
      </c>
      <c r="M258" s="74">
        <v>2050000.0</v>
      </c>
      <c r="N258" s="74">
        <f t="shared" si="8"/>
        <v>2050000</v>
      </c>
      <c r="O258" s="74">
        <f t="shared" si="3"/>
        <v>4250000</v>
      </c>
      <c r="P258" s="63">
        <f t="shared" si="4"/>
        <v>4470000</v>
      </c>
      <c r="Q258" s="63">
        <f t="shared" si="5"/>
        <v>370000</v>
      </c>
      <c r="R258" s="93" t="str">
        <f>VLOOKUP(F258,DATABASE!C:Q,4,false)</f>
        <v>GiTi</v>
      </c>
      <c r="S258" s="93" t="str">
        <f>VLOOKUP(F258,DATABASE!C:P,11,false)</f>
        <v>Tire</v>
      </c>
      <c r="T258" s="93" t="str">
        <f>vlookup(F258,DATABASE!C:Q,8,false)</f>
        <v>BIAN</v>
      </c>
      <c r="Y258" s="81"/>
      <c r="Z258" s="9"/>
    </row>
    <row r="259" ht="22.5" customHeight="1">
      <c r="A259" s="49"/>
      <c r="C259" s="384">
        <v>45798.0</v>
      </c>
      <c r="D259" s="93">
        <v>45798.0</v>
      </c>
      <c r="E259" s="93" t="s">
        <v>1013</v>
      </c>
      <c r="F259" s="74" t="s">
        <v>1858</v>
      </c>
      <c r="G259" s="386">
        <v>2.0</v>
      </c>
      <c r="H259" s="74">
        <v>2115000.0</v>
      </c>
      <c r="I259" s="74">
        <v>2215000.0</v>
      </c>
      <c r="J259" s="60">
        <f t="shared" si="1"/>
        <v>45828</v>
      </c>
      <c r="K259" s="74">
        <f>if(F259="SERVICE",O259-(O259*50%),Vlookup(F259,DATABASE!C:Q,10,false)*G259)</f>
        <v>0</v>
      </c>
      <c r="L259" s="74">
        <f>VLOOKUP(F259,DATABASE!C:Q,7,FALSE)</f>
        <v>2030000</v>
      </c>
      <c r="M259" s="74">
        <v>2030000.0</v>
      </c>
      <c r="N259" s="74">
        <f t="shared" si="8"/>
        <v>2030000</v>
      </c>
      <c r="O259" s="74">
        <f t="shared" si="3"/>
        <v>4230000</v>
      </c>
      <c r="P259" s="63">
        <f t="shared" si="4"/>
        <v>4430000</v>
      </c>
      <c r="Q259" s="63">
        <f t="shared" si="5"/>
        <v>370000</v>
      </c>
      <c r="R259" s="93" t="str">
        <f>VLOOKUP(F259,DATABASE!C:Q,4,false)</f>
        <v>GiTi</v>
      </c>
      <c r="S259" s="93" t="str">
        <f>VLOOKUP(F259,DATABASE!C:P,11,false)</f>
        <v>Tire</v>
      </c>
      <c r="T259" s="93" t="str">
        <f>vlookup(F259,DATABASE!C:Q,8,false)</f>
        <v>BIAN</v>
      </c>
      <c r="Y259" s="81"/>
      <c r="Z259" s="9"/>
    </row>
    <row r="260" ht="22.5" customHeight="1">
      <c r="A260" s="49"/>
      <c r="C260" s="384">
        <v>45799.0</v>
      </c>
      <c r="D260" s="93">
        <v>45799.0</v>
      </c>
      <c r="E260" s="93" t="s">
        <v>794</v>
      </c>
      <c r="F260" s="74" t="s">
        <v>265</v>
      </c>
      <c r="G260" s="386">
        <v>2.0</v>
      </c>
      <c r="H260" s="74">
        <v>700000.0</v>
      </c>
      <c r="I260" s="74">
        <v>700000.0</v>
      </c>
      <c r="J260" s="60">
        <f t="shared" si="1"/>
        <v>45829</v>
      </c>
      <c r="K260" s="74">
        <f>if(F260="SERVICE",O260-(O260*50%),Vlookup(F260,DATABASE!C:Q,10,false)*G260)</f>
        <v>0</v>
      </c>
      <c r="L260" s="74">
        <f>VLOOKUP(F260,DATABASE!C:Q,7,FALSE)</f>
        <v>628000</v>
      </c>
      <c r="M260" s="74">
        <v>610000.0</v>
      </c>
      <c r="N260" s="74">
        <f t="shared" si="8"/>
        <v>610000</v>
      </c>
      <c r="O260" s="74">
        <f t="shared" si="3"/>
        <v>1400000</v>
      </c>
      <c r="P260" s="63">
        <f t="shared" si="4"/>
        <v>1400000</v>
      </c>
      <c r="Q260" s="63">
        <f t="shared" si="5"/>
        <v>180000</v>
      </c>
      <c r="R260" s="93" t="str">
        <f>VLOOKUP(F260,DATABASE!C:Q,4,false)</f>
        <v>Dunlop</v>
      </c>
      <c r="S260" s="93" t="str">
        <f>VLOOKUP(F260,DATABASE!C:P,11,false)</f>
        <v>Tire</v>
      </c>
      <c r="T260" s="93" t="str">
        <f>vlookup(F260,DATABASE!C:Q,8,false)</f>
        <v>IBU</v>
      </c>
      <c r="Y260" s="81"/>
      <c r="Z260" s="9"/>
    </row>
    <row r="261" ht="22.5" customHeight="1">
      <c r="A261" s="49"/>
      <c r="C261" s="384">
        <v>45799.0</v>
      </c>
      <c r="D261" s="93">
        <v>45799.0</v>
      </c>
      <c r="E261" s="93" t="s">
        <v>794</v>
      </c>
      <c r="F261" s="74" t="s">
        <v>256</v>
      </c>
      <c r="G261" s="386">
        <v>1.0</v>
      </c>
      <c r="H261" s="74">
        <v>110000.0</v>
      </c>
      <c r="I261" s="74">
        <v>110000.0</v>
      </c>
      <c r="J261" s="60">
        <f t="shared" si="1"/>
        <v>45829</v>
      </c>
      <c r="K261" s="74">
        <f>if(F261="SERVICE",O261-(O261*50%),Vlookup(F261,DATABASE!C:Q,10,false)*G261)</f>
        <v>10000</v>
      </c>
      <c r="L261" s="74">
        <f>VLOOKUP(F261,DATABASE!C:Q,7,FALSE)</f>
        <v>0</v>
      </c>
      <c r="M261" s="74">
        <v>0.0</v>
      </c>
      <c r="N261" s="74">
        <f t="shared" si="8"/>
        <v>0</v>
      </c>
      <c r="O261" s="74">
        <f t="shared" si="3"/>
        <v>110000</v>
      </c>
      <c r="P261" s="63">
        <f t="shared" si="4"/>
        <v>110000</v>
      </c>
      <c r="Q261" s="63">
        <f t="shared" si="5"/>
        <v>100000</v>
      </c>
      <c r="R261" s="93" t="str">
        <f>VLOOKUP(F261,DATABASE!C:Q,4,false)</f>
        <v>SPOORING</v>
      </c>
      <c r="S261" s="93" t="str">
        <f>VLOOKUP(F261,DATABASE!C:P,11,false)</f>
        <v>SERVICE</v>
      </c>
      <c r="T261" s="93" t="str">
        <f>vlookup(F261,DATABASE!C:Q,8,false)</f>
        <v>IBU</v>
      </c>
      <c r="Y261" s="81"/>
      <c r="Z261" s="9"/>
    </row>
    <row r="262" ht="22.5" customHeight="1">
      <c r="A262" s="49"/>
      <c r="C262" s="384">
        <v>45799.0</v>
      </c>
      <c r="D262" s="93">
        <v>45799.0</v>
      </c>
      <c r="E262" s="93" t="s">
        <v>794</v>
      </c>
      <c r="F262" s="74" t="s">
        <v>478</v>
      </c>
      <c r="G262" s="386">
        <v>1.0</v>
      </c>
      <c r="H262" s="74">
        <v>200000.0</v>
      </c>
      <c r="I262" s="74">
        <v>200000.0</v>
      </c>
      <c r="J262" s="60">
        <f t="shared" si="1"/>
        <v>45829</v>
      </c>
      <c r="K262" s="74">
        <f>if(F262="SERVICE",O262-(O262*50%),Vlookup(F262,DATABASE!C:Q,10,false)*G262)</f>
        <v>25000</v>
      </c>
      <c r="L262" s="74">
        <f>VLOOKUP(F262,DATABASE!C:Q,7,FALSE)</f>
        <v>75000</v>
      </c>
      <c r="M262" s="74">
        <v>75000.0</v>
      </c>
      <c r="N262" s="74">
        <f t="shared" si="8"/>
        <v>75000</v>
      </c>
      <c r="O262" s="74">
        <f t="shared" si="3"/>
        <v>200000</v>
      </c>
      <c r="P262" s="63">
        <f t="shared" si="4"/>
        <v>200000</v>
      </c>
      <c r="Q262" s="63">
        <f t="shared" si="5"/>
        <v>100000</v>
      </c>
      <c r="R262" s="93" t="str">
        <f>VLOOKUP(F262,DATABASE!C:Q,4,false)</f>
        <v>Baut Camber ss-carry</v>
      </c>
      <c r="S262" s="93" t="str">
        <f>VLOOKUP(F262,DATABASE!C:P,11,false)</f>
        <v>COMPLEMENTARY</v>
      </c>
      <c r="T262" s="93" t="str">
        <f>vlookup(F262,DATABASE!C:Q,8,false)</f>
        <v>BIAN</v>
      </c>
      <c r="Y262" s="81"/>
      <c r="Z262" s="9"/>
    </row>
    <row r="263" ht="22.5" customHeight="1">
      <c r="A263" s="49"/>
      <c r="C263" s="384">
        <v>45799.0</v>
      </c>
      <c r="D263" s="93">
        <v>45799.0</v>
      </c>
      <c r="E263" s="93" t="s">
        <v>794</v>
      </c>
      <c r="F263" s="93" t="s">
        <v>305</v>
      </c>
      <c r="G263" s="386">
        <v>1.0</v>
      </c>
      <c r="H263" s="74">
        <v>235000.0</v>
      </c>
      <c r="I263" s="74">
        <v>235000.0</v>
      </c>
      <c r="J263" s="60">
        <f t="shared" si="1"/>
        <v>45829</v>
      </c>
      <c r="K263" s="74">
        <f>if(F263="SERVICE",O263-(O263*50%),Vlookup(F263,DATABASE!C:Q,10,false)*G263)</f>
        <v>40000</v>
      </c>
      <c r="L263" s="74">
        <f>VLOOKUP(F263,DATABASE!C:Q,7,FALSE)</f>
        <v>158530.2</v>
      </c>
      <c r="M263" s="74">
        <v>151890.0</v>
      </c>
      <c r="N263" s="74">
        <f t="shared" si="8"/>
        <v>155000</v>
      </c>
      <c r="O263" s="74">
        <f t="shared" si="3"/>
        <v>235000</v>
      </c>
      <c r="P263" s="63">
        <f t="shared" si="4"/>
        <v>235000</v>
      </c>
      <c r="Q263" s="63">
        <f t="shared" si="5"/>
        <v>40000</v>
      </c>
      <c r="R263" s="93" t="str">
        <f>VLOOKUP(F263,DATABASE!C:Q,4,false)</f>
        <v>Lower Arm</v>
      </c>
      <c r="S263" s="93" t="str">
        <f>VLOOKUP(F263,DATABASE!C:P,11,false)</f>
        <v>COMPLEMENTARY</v>
      </c>
      <c r="T263" s="93" t="str">
        <f>vlookup(F263,DATABASE!C:Q,8,false)</f>
        <v>BIAN</v>
      </c>
      <c r="Y263" s="81"/>
      <c r="Z263" s="9"/>
    </row>
    <row r="264" ht="22.5" customHeight="1">
      <c r="A264" s="49"/>
      <c r="C264" s="384">
        <v>45800.0</v>
      </c>
      <c r="D264" s="93">
        <v>45800.0</v>
      </c>
      <c r="E264" s="93" t="s">
        <v>515</v>
      </c>
      <c r="F264" s="74" t="s">
        <v>391</v>
      </c>
      <c r="G264" s="386">
        <v>2.0</v>
      </c>
      <c r="H264" s="74">
        <v>1950000.0</v>
      </c>
      <c r="I264" s="74">
        <v>2050000.0</v>
      </c>
      <c r="J264" s="60">
        <f t="shared" si="1"/>
        <v>45830</v>
      </c>
      <c r="K264" s="74">
        <f>if(F264="SERVICE",O264-(O264*50%),Vlookup(F264,DATABASE!C:Q,10,false)*G264)</f>
        <v>0</v>
      </c>
      <c r="L264" s="74">
        <f>VLOOKUP(F264,DATABASE!C:Q,7,FALSE)</f>
        <v>1885000</v>
      </c>
      <c r="M264" s="74">
        <v>1840000.0</v>
      </c>
      <c r="N264" s="74">
        <f t="shared" si="8"/>
        <v>1840000</v>
      </c>
      <c r="O264" s="74">
        <f t="shared" si="3"/>
        <v>3900000</v>
      </c>
      <c r="P264" s="63">
        <f t="shared" si="4"/>
        <v>4100000</v>
      </c>
      <c r="Q264" s="63">
        <f t="shared" si="5"/>
        <v>420000</v>
      </c>
      <c r="R264" s="93" t="str">
        <f>VLOOKUP(F264,DATABASE!C:Q,4,false)</f>
        <v>Advance</v>
      </c>
      <c r="S264" s="93" t="str">
        <f>VLOOKUP(F264,DATABASE!C:P,11,false)</f>
        <v>Tire</v>
      </c>
      <c r="T264" s="93" t="str">
        <f>vlookup(F264,DATABASE!C:Q,8,false)</f>
        <v>BIAN</v>
      </c>
      <c r="Y264" s="81"/>
      <c r="Z264" s="9"/>
    </row>
    <row r="265" ht="22.5" customHeight="1">
      <c r="A265" s="49"/>
      <c r="C265" s="384">
        <v>45800.0</v>
      </c>
      <c r="D265" s="93">
        <v>45800.0</v>
      </c>
      <c r="E265" s="93" t="s">
        <v>555</v>
      </c>
      <c r="F265" s="74" t="s">
        <v>1520</v>
      </c>
      <c r="G265" s="386">
        <v>4.0</v>
      </c>
      <c r="H265" s="74">
        <v>1800000.0</v>
      </c>
      <c r="I265" s="74">
        <v>1900000.0</v>
      </c>
      <c r="J265" s="60">
        <f t="shared" si="1"/>
        <v>45830</v>
      </c>
      <c r="K265" s="74">
        <f>if(F265="SERVICE",O265-(O265*50%),Vlookup(F265,DATABASE!C:Q,10,false)*G265)</f>
        <v>0</v>
      </c>
      <c r="L265" s="74">
        <f>VLOOKUP(F265,DATABASE!C:Q,7,FALSE)</f>
        <v>1926858.75</v>
      </c>
      <c r="M265" s="74">
        <v>1698000.0</v>
      </c>
      <c r="N265" s="74">
        <f t="shared" si="8"/>
        <v>1700000</v>
      </c>
      <c r="O265" s="74">
        <f t="shared" si="3"/>
        <v>7200000</v>
      </c>
      <c r="P265" s="63">
        <f t="shared" si="4"/>
        <v>7600000</v>
      </c>
      <c r="Q265" s="63">
        <f t="shared" si="5"/>
        <v>800000</v>
      </c>
      <c r="R265" s="93" t="str">
        <f>VLOOKUP(F265,DATABASE!C:Q,4,false)</f>
        <v>DURATUN</v>
      </c>
      <c r="S265" s="93" t="str">
        <f>VLOOKUP(F265,DATABASE!C:P,11,false)</f>
        <v>Tire</v>
      </c>
      <c r="T265" s="93" t="str">
        <f>vlookup(F265,DATABASE!C:Q,8,false)</f>
        <v>BIAN</v>
      </c>
      <c r="Y265" s="81"/>
      <c r="Z265" s="9"/>
    </row>
    <row r="266" ht="22.5" customHeight="1">
      <c r="A266" s="49"/>
      <c r="C266" s="384">
        <v>45800.0</v>
      </c>
      <c r="D266" s="93">
        <v>45800.0</v>
      </c>
      <c r="E266" s="93" t="s">
        <v>555</v>
      </c>
      <c r="F266" s="93" t="s">
        <v>830</v>
      </c>
      <c r="G266" s="386">
        <v>4.0</v>
      </c>
      <c r="H266" s="74">
        <v>230000.0</v>
      </c>
      <c r="I266" s="74">
        <v>230000.0</v>
      </c>
      <c r="J266" s="60">
        <f t="shared" si="1"/>
        <v>45830</v>
      </c>
      <c r="K266" s="74">
        <f>if(F266="SERVICE",O266-(O266*50%),Vlookup(F266,DATABASE!C:Q,10,false)*G266)</f>
        <v>0</v>
      </c>
      <c r="L266" s="74">
        <f>VLOOKUP(F266,DATABASE!C:Q,7,FALSE)</f>
        <v>184150</v>
      </c>
      <c r="M266" s="74">
        <v>184150.0</v>
      </c>
      <c r="N266" s="74">
        <f t="shared" si="8"/>
        <v>185000</v>
      </c>
      <c r="O266" s="74">
        <f t="shared" si="3"/>
        <v>920000</v>
      </c>
      <c r="P266" s="63">
        <f t="shared" si="4"/>
        <v>920000</v>
      </c>
      <c r="Q266" s="63">
        <f t="shared" si="5"/>
        <v>180000</v>
      </c>
      <c r="R266" s="93" t="str">
        <f>VLOOKUP(F266,DATABASE!C:Q,4,false)</f>
        <v>BD</v>
      </c>
      <c r="S266" s="93" t="str">
        <f>VLOOKUP(F266,DATABASE!C:P,11,false)</f>
        <v>Tire</v>
      </c>
      <c r="T266" s="93" t="str">
        <f>vlookup(F266,DATABASE!C:Q,8,false)</f>
        <v>BIAN</v>
      </c>
      <c r="Y266" s="81"/>
      <c r="Z266" s="9"/>
    </row>
    <row r="267" ht="22.5" customHeight="1">
      <c r="A267" s="49"/>
      <c r="C267" s="384">
        <v>45800.0</v>
      </c>
      <c r="D267" s="93">
        <v>45800.0</v>
      </c>
      <c r="E267" s="93" t="s">
        <v>555</v>
      </c>
      <c r="F267" s="74" t="s">
        <v>1209</v>
      </c>
      <c r="G267" s="386">
        <v>2.0</v>
      </c>
      <c r="H267" s="74">
        <v>85000.0</v>
      </c>
      <c r="I267" s="74">
        <v>85000.0</v>
      </c>
      <c r="J267" s="60">
        <f t="shared" si="1"/>
        <v>45830</v>
      </c>
      <c r="K267" s="74">
        <f>if(F267="SERVICE",O267-(O267*50%),Vlookup(F267,DATABASE!C:Q,10,false)*G267)</f>
        <v>0</v>
      </c>
      <c r="L267" s="74">
        <f>VLOOKUP(F267,DATABASE!C:Q,7,FALSE)</f>
        <v>50000</v>
      </c>
      <c r="M267" s="74">
        <v>50000.0</v>
      </c>
      <c r="N267" s="74">
        <f t="shared" si="8"/>
        <v>50000</v>
      </c>
      <c r="O267" s="74">
        <f t="shared" si="3"/>
        <v>170000</v>
      </c>
      <c r="P267" s="63">
        <f t="shared" si="4"/>
        <v>170000</v>
      </c>
      <c r="Q267" s="63">
        <f t="shared" si="5"/>
        <v>70000</v>
      </c>
      <c r="R267" s="93" t="str">
        <f>VLOOKUP(F267,DATABASE!C:Q,4,false)</f>
        <v>Flap</v>
      </c>
      <c r="S267" s="93" t="str">
        <f>VLOOKUP(F267,DATABASE!C:P,11,false)</f>
        <v>Tire</v>
      </c>
      <c r="T267" s="93" t="str">
        <f>vlookup(F267,DATABASE!C:Q,8,false)</f>
        <v>BIAN</v>
      </c>
      <c r="Y267" s="81"/>
      <c r="Z267" s="9"/>
    </row>
    <row r="268" ht="22.5" customHeight="1">
      <c r="A268" s="49"/>
      <c r="C268" s="384">
        <v>45801.0</v>
      </c>
      <c r="D268" s="93">
        <v>45801.0</v>
      </c>
      <c r="E268" s="93" t="s">
        <v>573</v>
      </c>
      <c r="F268" s="74" t="s">
        <v>391</v>
      </c>
      <c r="G268" s="386">
        <v>2.0</v>
      </c>
      <c r="H268" s="74">
        <v>1950000.0</v>
      </c>
      <c r="I268" s="74">
        <v>2050000.0</v>
      </c>
      <c r="J268" s="60">
        <f t="shared" si="1"/>
        <v>45831</v>
      </c>
      <c r="K268" s="74">
        <f>if(F268="SERVICE",O268-(O268*50%),Vlookup(F268,DATABASE!C:Q,10,false)*G268)</f>
        <v>0</v>
      </c>
      <c r="L268" s="74">
        <f>VLOOKUP(F268,DATABASE!C:Q,7,FALSE)</f>
        <v>1885000</v>
      </c>
      <c r="M268" s="74">
        <v>1840000.0</v>
      </c>
      <c r="N268" s="74">
        <f t="shared" si="8"/>
        <v>1840000</v>
      </c>
      <c r="O268" s="74">
        <f t="shared" si="3"/>
        <v>3900000</v>
      </c>
      <c r="P268" s="63">
        <f t="shared" si="4"/>
        <v>4100000</v>
      </c>
      <c r="Q268" s="63">
        <f t="shared" si="5"/>
        <v>420000</v>
      </c>
      <c r="R268" s="93" t="str">
        <f>VLOOKUP(F268,DATABASE!C:Q,4,false)</f>
        <v>Advance</v>
      </c>
      <c r="S268" s="93" t="str">
        <f>VLOOKUP(F268,DATABASE!C:P,11,false)</f>
        <v>Tire</v>
      </c>
      <c r="T268" s="93" t="str">
        <f>vlookup(F268,DATABASE!C:Q,8,false)</f>
        <v>BIAN</v>
      </c>
      <c r="Y268" s="81"/>
      <c r="Z268" s="9"/>
    </row>
    <row r="269" ht="22.5" customHeight="1">
      <c r="A269" s="49"/>
      <c r="C269" s="384">
        <v>45801.0</v>
      </c>
      <c r="D269" s="93">
        <v>45801.0</v>
      </c>
      <c r="E269" s="93" t="s">
        <v>303</v>
      </c>
      <c r="F269" s="74" t="s">
        <v>777</v>
      </c>
      <c r="G269" s="386">
        <v>4.0</v>
      </c>
      <c r="H269" s="74">
        <v>585000.0</v>
      </c>
      <c r="I269" s="74">
        <v>665000.0</v>
      </c>
      <c r="J269" s="60">
        <f t="shared" si="1"/>
        <v>45831</v>
      </c>
      <c r="K269" s="74">
        <f>if(F269="SERVICE",O269-(O269*50%),Vlookup(F269,DATABASE!C:Q,10,false)*G269)</f>
        <v>0</v>
      </c>
      <c r="L269" s="74">
        <f>VLOOKUP(F269,DATABASE!C:Q,7,FALSE)</f>
        <v>540000</v>
      </c>
      <c r="M269" s="74">
        <v>507000.0</v>
      </c>
      <c r="N269" s="74">
        <f t="shared" si="8"/>
        <v>510000</v>
      </c>
      <c r="O269" s="74">
        <f t="shared" si="3"/>
        <v>2340000</v>
      </c>
      <c r="P269" s="63">
        <f t="shared" si="4"/>
        <v>2660000</v>
      </c>
      <c r="Q269" s="63">
        <f t="shared" si="5"/>
        <v>620000</v>
      </c>
      <c r="R269" s="93" t="str">
        <f>VLOOKUP(F269,DATABASE!C:Q,4,false)</f>
        <v>GT</v>
      </c>
      <c r="S269" s="93" t="str">
        <f>VLOOKUP(F269,DATABASE!C:P,11,false)</f>
        <v>Tire</v>
      </c>
      <c r="T269" s="93" t="str">
        <f>vlookup(F269,DATABASE!C:Q,8,false)</f>
        <v>BIAN</v>
      </c>
      <c r="Y269" s="81"/>
      <c r="Z269" s="9"/>
    </row>
    <row r="270" ht="22.5" customHeight="1">
      <c r="A270" s="49"/>
      <c r="C270" s="384">
        <v>45801.0</v>
      </c>
      <c r="D270" s="93">
        <v>45801.0</v>
      </c>
      <c r="E270" s="93" t="s">
        <v>661</v>
      </c>
      <c r="F270" s="74" t="s">
        <v>1862</v>
      </c>
      <c r="G270" s="386">
        <v>1.0</v>
      </c>
      <c r="H270" s="74">
        <v>2125000.0</v>
      </c>
      <c r="I270" s="74">
        <v>2235000.0</v>
      </c>
      <c r="J270" s="60">
        <f t="shared" si="1"/>
        <v>45831</v>
      </c>
      <c r="K270" s="74">
        <f>if(F270="SERVICE",O270-(O270*50%),Vlookup(F270,DATABASE!C:Q,10,false)*G270)</f>
        <v>0</v>
      </c>
      <c r="L270" s="74">
        <f>VLOOKUP(F270,DATABASE!C:Q,7,FALSE)</f>
        <v>2080000</v>
      </c>
      <c r="M270" s="74">
        <v>2050000.0</v>
      </c>
      <c r="N270" s="74">
        <f t="shared" si="8"/>
        <v>2050000</v>
      </c>
      <c r="O270" s="74">
        <f t="shared" si="3"/>
        <v>2125000</v>
      </c>
      <c r="P270" s="63">
        <f t="shared" si="4"/>
        <v>2235000</v>
      </c>
      <c r="Q270" s="63">
        <f t="shared" si="5"/>
        <v>185000</v>
      </c>
      <c r="R270" s="93" t="str">
        <f>VLOOKUP(F270,DATABASE!C:Q,4,false)</f>
        <v>GiTi</v>
      </c>
      <c r="S270" s="93" t="str">
        <f>VLOOKUP(F270,DATABASE!C:P,11,false)</f>
        <v>Tire</v>
      </c>
      <c r="T270" s="93" t="str">
        <f>vlookup(F270,DATABASE!C:Q,8,false)</f>
        <v>BIAN</v>
      </c>
      <c r="Y270" s="81"/>
      <c r="Z270" s="9"/>
    </row>
    <row r="271" ht="22.5" customHeight="1">
      <c r="A271" s="49"/>
      <c r="C271" s="384">
        <v>45801.0</v>
      </c>
      <c r="D271" s="93">
        <v>45801.0</v>
      </c>
      <c r="E271" s="93" t="s">
        <v>144</v>
      </c>
      <c r="F271" s="74" t="s">
        <v>897</v>
      </c>
      <c r="G271" s="386">
        <v>1.0</v>
      </c>
      <c r="H271" s="74">
        <v>1600000.0</v>
      </c>
      <c r="I271" s="74">
        <v>1700000.0</v>
      </c>
      <c r="J271" s="60">
        <f t="shared" si="1"/>
        <v>45831</v>
      </c>
      <c r="K271" s="74">
        <f>if(F271="SERVICE",O271-(O271*50%),Vlookup(F271,DATABASE!C:Q,10,false)*G271)</f>
        <v>0</v>
      </c>
      <c r="L271" s="74">
        <f>VLOOKUP(F271,DATABASE!C:Q,7,FALSE)</f>
        <v>1560000</v>
      </c>
      <c r="M271" s="74">
        <v>1500000.0</v>
      </c>
      <c r="N271" s="74">
        <f t="shared" si="8"/>
        <v>1500000</v>
      </c>
      <c r="O271" s="74">
        <f t="shared" si="3"/>
        <v>1600000</v>
      </c>
      <c r="P271" s="63">
        <f t="shared" si="4"/>
        <v>1700000</v>
      </c>
      <c r="Q271" s="63">
        <f t="shared" si="5"/>
        <v>200000</v>
      </c>
      <c r="R271" s="93" t="str">
        <f>VLOOKUP(F271,DATABASE!C:Q,4,false)</f>
        <v>GT</v>
      </c>
      <c r="S271" s="93" t="str">
        <f>VLOOKUP(F271,DATABASE!C:P,11,false)</f>
        <v>Tire</v>
      </c>
      <c r="T271" s="93" t="str">
        <f>vlookup(F271,DATABASE!C:Q,8,false)</f>
        <v>BIAN</v>
      </c>
      <c r="Y271" s="81"/>
      <c r="Z271" s="9"/>
    </row>
    <row r="272" ht="22.5" customHeight="1">
      <c r="A272" s="49"/>
      <c r="C272" s="384">
        <v>45801.0</v>
      </c>
      <c r="D272" s="93">
        <v>45801.0</v>
      </c>
      <c r="E272" s="93" t="s">
        <v>144</v>
      </c>
      <c r="F272" s="74" t="s">
        <v>744</v>
      </c>
      <c r="G272" s="386">
        <v>1.0</v>
      </c>
      <c r="H272" s="74">
        <v>230000.0</v>
      </c>
      <c r="I272" s="74">
        <v>250000.0</v>
      </c>
      <c r="J272" s="60">
        <f t="shared" si="1"/>
        <v>45831</v>
      </c>
      <c r="K272" s="74">
        <f>if(F272="SERVICE",O272-(O272*50%),Vlookup(F272,DATABASE!C:Q,10,false)*G272)</f>
        <v>0</v>
      </c>
      <c r="L272" s="74">
        <f>VLOOKUP(F272,DATABASE!C:Q,7,FALSE)</f>
        <v>182200</v>
      </c>
      <c r="M272" s="74">
        <v>199920.0</v>
      </c>
      <c r="N272" s="74">
        <f t="shared" si="8"/>
        <v>200000</v>
      </c>
      <c r="O272" s="74">
        <f t="shared" si="3"/>
        <v>230000</v>
      </c>
      <c r="P272" s="63">
        <f t="shared" si="4"/>
        <v>250000</v>
      </c>
      <c r="Q272" s="63">
        <f t="shared" si="5"/>
        <v>50000</v>
      </c>
      <c r="R272" s="93" t="str">
        <f>VLOOKUP(F272,DATABASE!C:Q,4,false)</f>
        <v>BD</v>
      </c>
      <c r="S272" s="93" t="str">
        <f>VLOOKUP(F272,DATABASE!C:P,11,false)</f>
        <v>Tire</v>
      </c>
      <c r="T272" s="93" t="str">
        <f>vlookup(F272,DATABASE!C:Q,8,false)</f>
        <v>BIAN</v>
      </c>
      <c r="Y272" s="81"/>
      <c r="Z272" s="9"/>
    </row>
    <row r="273" ht="22.5" customHeight="1">
      <c r="A273" s="49"/>
      <c r="C273" s="384">
        <v>45801.0</v>
      </c>
      <c r="D273" s="93">
        <v>45801.0</v>
      </c>
      <c r="E273" s="93" t="s">
        <v>144</v>
      </c>
      <c r="F273" s="74" t="s">
        <v>821</v>
      </c>
      <c r="G273" s="386">
        <v>1.0</v>
      </c>
      <c r="H273" s="74">
        <v>85000.0</v>
      </c>
      <c r="I273" s="74">
        <v>100000.0</v>
      </c>
      <c r="J273" s="60">
        <f t="shared" si="1"/>
        <v>45831</v>
      </c>
      <c r="K273" s="74">
        <f>if(F273="SERVICE",O273-(O273*50%),Vlookup(F273,DATABASE!C:Q,10,false)*G273)</f>
        <v>0</v>
      </c>
      <c r="L273" s="74">
        <f>VLOOKUP(F273,DATABASE!C:Q,7,FALSE)</f>
        <v>43500</v>
      </c>
      <c r="M273" s="74">
        <v>43520.0</v>
      </c>
      <c r="N273" s="74">
        <f t="shared" si="8"/>
        <v>45000</v>
      </c>
      <c r="O273" s="74">
        <f t="shared" si="3"/>
        <v>85000</v>
      </c>
      <c r="P273" s="63">
        <f t="shared" si="4"/>
        <v>100000</v>
      </c>
      <c r="Q273" s="63">
        <f t="shared" si="5"/>
        <v>55000</v>
      </c>
      <c r="R273" s="93" t="str">
        <f>VLOOKUP(F273,DATABASE!C:Q,4,false)</f>
        <v>Flap</v>
      </c>
      <c r="S273" s="93" t="str">
        <f>VLOOKUP(F273,DATABASE!C:P,11,false)</f>
        <v>Tire</v>
      </c>
      <c r="T273" s="93" t="str">
        <f>vlookup(F273,DATABASE!C:Q,8,false)</f>
        <v>BIAN</v>
      </c>
      <c r="Y273" s="81"/>
      <c r="Z273" s="9"/>
    </row>
    <row r="274" ht="22.5" customHeight="1">
      <c r="A274" s="49"/>
      <c r="C274" s="384">
        <v>45801.0</v>
      </c>
      <c r="D274" s="93">
        <v>45801.0</v>
      </c>
      <c r="E274" s="93" t="s">
        <v>267</v>
      </c>
      <c r="F274" s="74" t="s">
        <v>924</v>
      </c>
      <c r="G274" s="93">
        <v>2.0</v>
      </c>
      <c r="H274" s="74">
        <v>1750000.0</v>
      </c>
      <c r="I274" s="74">
        <v>1850000.0</v>
      </c>
      <c r="J274" s="60">
        <f t="shared" si="1"/>
        <v>45831</v>
      </c>
      <c r="K274" s="74">
        <f>if(F274="SERVICE",O274-(O274*50%),Vlookup(F274,DATABASE!C:Q,10,false)*G274)</f>
        <v>0</v>
      </c>
      <c r="L274" s="74">
        <f>VLOOKUP(F274,DATABASE!C:Q,7,FALSE)</f>
        <v>1560000</v>
      </c>
      <c r="M274" s="74">
        <v>1545000.0</v>
      </c>
      <c r="N274" s="74">
        <f t="shared" si="8"/>
        <v>1545000</v>
      </c>
      <c r="O274" s="74">
        <f t="shared" si="3"/>
        <v>3500000</v>
      </c>
      <c r="P274" s="63">
        <f t="shared" si="4"/>
        <v>3700000</v>
      </c>
      <c r="Q274" s="63">
        <f t="shared" si="5"/>
        <v>610000</v>
      </c>
      <c r="R274" s="93" t="str">
        <f>VLOOKUP(F274,DATABASE!C:Q,4,false)</f>
        <v>TIRON</v>
      </c>
      <c r="S274" s="93" t="str">
        <f>VLOOKUP(F274,DATABASE!C:P,11,false)</f>
        <v>Tire</v>
      </c>
      <c r="T274" s="93" t="str">
        <f>vlookup(F274,DATABASE!C:Q,8,false)</f>
        <v>BIAN</v>
      </c>
      <c r="Y274" s="81"/>
      <c r="Z274" s="9"/>
    </row>
    <row r="275" ht="22.5" customHeight="1">
      <c r="A275" s="49"/>
      <c r="C275" s="384">
        <v>45801.0</v>
      </c>
      <c r="D275" s="93">
        <v>45801.0</v>
      </c>
      <c r="E275" s="93" t="s">
        <v>267</v>
      </c>
      <c r="F275" s="74" t="s">
        <v>295</v>
      </c>
      <c r="G275" s="386">
        <v>1.0</v>
      </c>
      <c r="H275" s="74">
        <v>1525000.0</v>
      </c>
      <c r="I275" s="74">
        <v>1625000.0</v>
      </c>
      <c r="J275" s="60">
        <f t="shared" si="1"/>
        <v>45831</v>
      </c>
      <c r="K275" s="74">
        <f>if(F275="SERVICE",O275-(O275*50%),Vlookup(F275,DATABASE!C:Q,10,false)*G275)</f>
        <v>0</v>
      </c>
      <c r="L275" s="74">
        <f>VLOOKUP(F275,DATABASE!C:Q,7,FALSE)</f>
        <v>1475000</v>
      </c>
      <c r="M275" s="74">
        <v>1425000.0</v>
      </c>
      <c r="N275" s="74">
        <f t="shared" si="8"/>
        <v>1425000</v>
      </c>
      <c r="O275" s="74">
        <f t="shared" si="3"/>
        <v>1525000</v>
      </c>
      <c r="P275" s="63">
        <f t="shared" si="4"/>
        <v>1625000</v>
      </c>
      <c r="Q275" s="63">
        <f t="shared" si="5"/>
        <v>200000</v>
      </c>
      <c r="R275" s="93" t="str">
        <f>VLOOKUP(F275,DATABASE!C:Q,4,false)</f>
        <v>TIRON</v>
      </c>
      <c r="S275" s="93" t="str">
        <f>VLOOKUP(F275,DATABASE!C:P,11,false)</f>
        <v>Tire</v>
      </c>
      <c r="T275" s="93" t="str">
        <f>vlookup(F275,DATABASE!C:Q,8,false)</f>
        <v>BIAN</v>
      </c>
      <c r="Y275" s="81"/>
      <c r="Z275" s="9"/>
    </row>
    <row r="276" ht="22.5" customHeight="1">
      <c r="A276" s="49"/>
      <c r="C276" s="384">
        <v>45801.0</v>
      </c>
      <c r="D276" s="93">
        <v>45801.0</v>
      </c>
      <c r="E276" s="93" t="s">
        <v>1013</v>
      </c>
      <c r="F276" s="74" t="s">
        <v>1862</v>
      </c>
      <c r="G276" s="386">
        <v>8.0</v>
      </c>
      <c r="H276" s="74">
        <v>2125000.0</v>
      </c>
      <c r="I276" s="74">
        <v>2235000.0</v>
      </c>
      <c r="J276" s="60">
        <f t="shared" si="1"/>
        <v>45831</v>
      </c>
      <c r="K276" s="74">
        <f>if(F276="SERVICE",O276-(O276*50%),Vlookup(F276,DATABASE!C:Q,10,false)*G276)</f>
        <v>0</v>
      </c>
      <c r="L276" s="74">
        <f>VLOOKUP(F276,DATABASE!C:Q,7,FALSE)</f>
        <v>2080000</v>
      </c>
      <c r="M276" s="74">
        <v>2050000.0</v>
      </c>
      <c r="N276" s="74">
        <f t="shared" si="8"/>
        <v>2050000</v>
      </c>
      <c r="O276" s="74">
        <f t="shared" si="3"/>
        <v>17000000</v>
      </c>
      <c r="P276" s="63">
        <f t="shared" si="4"/>
        <v>17880000</v>
      </c>
      <c r="Q276" s="63">
        <f t="shared" si="5"/>
        <v>1480000</v>
      </c>
      <c r="R276" s="93" t="str">
        <f>VLOOKUP(F276,DATABASE!C:Q,4,false)</f>
        <v>GiTi</v>
      </c>
      <c r="S276" s="93" t="str">
        <f>VLOOKUP(F276,DATABASE!C:P,11,false)</f>
        <v>Tire</v>
      </c>
      <c r="T276" s="93" t="str">
        <f>vlookup(F276,DATABASE!C:Q,8,false)</f>
        <v>BIAN</v>
      </c>
      <c r="Y276" s="81"/>
      <c r="Z276" s="9"/>
    </row>
    <row r="277" ht="22.5" customHeight="1">
      <c r="A277" s="49"/>
      <c r="C277" s="384">
        <v>45802.0</v>
      </c>
      <c r="D277" s="93">
        <v>45802.0</v>
      </c>
      <c r="E277" s="65" t="s">
        <v>843</v>
      </c>
      <c r="F277" s="74" t="s">
        <v>403</v>
      </c>
      <c r="G277" s="386">
        <v>2.0</v>
      </c>
      <c r="H277" s="74">
        <v>2260000.0</v>
      </c>
      <c r="I277" s="74">
        <v>2360000.0</v>
      </c>
      <c r="J277" s="60">
        <f t="shared" si="1"/>
        <v>45832</v>
      </c>
      <c r="K277" s="74">
        <f>if(F277="SERVICE",O277-(O277*50%),Vlookup(F277,DATABASE!C:Q,10,false)*G277)</f>
        <v>0</v>
      </c>
      <c r="L277" s="74">
        <f>VLOOKUP(F277,DATABASE!C:Q,7,FALSE)</f>
        <v>2160000</v>
      </c>
      <c r="M277" s="74">
        <v>2160000.0</v>
      </c>
      <c r="N277" s="74">
        <f t="shared" si="8"/>
        <v>2160000</v>
      </c>
      <c r="O277" s="74">
        <f t="shared" si="3"/>
        <v>4520000</v>
      </c>
      <c r="P277" s="63">
        <f t="shared" si="4"/>
        <v>4720000</v>
      </c>
      <c r="Q277" s="63">
        <f t="shared" si="5"/>
        <v>400000</v>
      </c>
      <c r="R277" s="93" t="str">
        <f>VLOOKUP(F277,DATABASE!C:Q,4,false)</f>
        <v>Advance</v>
      </c>
      <c r="S277" s="93" t="str">
        <f>VLOOKUP(F277,DATABASE!C:P,11,false)</f>
        <v>Tire</v>
      </c>
      <c r="T277" s="93" t="str">
        <f>vlookup(F277,DATABASE!C:Q,8,false)</f>
        <v>BIAN</v>
      </c>
      <c r="Y277" s="81"/>
      <c r="Z277" s="9"/>
    </row>
    <row r="278" ht="22.5" customHeight="1">
      <c r="A278" s="49"/>
      <c r="C278" s="384">
        <v>45802.0</v>
      </c>
      <c r="D278" s="93">
        <v>45802.0</v>
      </c>
      <c r="E278" s="93" t="s">
        <v>422</v>
      </c>
      <c r="F278" s="74" t="s">
        <v>566</v>
      </c>
      <c r="G278" s="386">
        <v>1.0</v>
      </c>
      <c r="H278" s="74">
        <v>1670000.0</v>
      </c>
      <c r="I278" s="74">
        <v>1770000.0</v>
      </c>
      <c r="J278" s="60">
        <f t="shared" si="1"/>
        <v>45832</v>
      </c>
      <c r="K278" s="74">
        <f>if(F278="SERVICE",O278-(O278*50%),Vlookup(F278,DATABASE!C:Q,10,false)*G278)</f>
        <v>0</v>
      </c>
      <c r="L278" s="74">
        <f>VLOOKUP(F278,DATABASE!C:Q,7,FALSE)</f>
        <v>1565000</v>
      </c>
      <c r="M278" s="74">
        <v>1545000.0</v>
      </c>
      <c r="N278" s="74">
        <f t="shared" si="8"/>
        <v>1545000</v>
      </c>
      <c r="O278" s="74">
        <f t="shared" si="3"/>
        <v>1670000</v>
      </c>
      <c r="P278" s="63">
        <f t="shared" si="4"/>
        <v>1770000</v>
      </c>
      <c r="Q278" s="63">
        <f t="shared" si="5"/>
        <v>225000</v>
      </c>
      <c r="R278" s="93" t="str">
        <f>VLOOKUP(F278,DATABASE!C:Q,4,false)</f>
        <v>Bridgestone</v>
      </c>
      <c r="S278" s="93" t="str">
        <f>VLOOKUP(F278,DATABASE!C:P,11,false)</f>
        <v>Tire</v>
      </c>
      <c r="T278" s="93" t="str">
        <f>vlookup(F278,DATABASE!C:Q,8,false)</f>
        <v>IBU</v>
      </c>
      <c r="Y278" s="81"/>
      <c r="Z278" s="9"/>
    </row>
    <row r="279" ht="22.5" customHeight="1">
      <c r="A279" s="49"/>
      <c r="C279" s="384">
        <v>45803.0</v>
      </c>
      <c r="D279" s="93">
        <v>45803.0</v>
      </c>
      <c r="E279" s="93" t="s">
        <v>267</v>
      </c>
      <c r="F279" s="74" t="s">
        <v>572</v>
      </c>
      <c r="G279" s="386">
        <v>1.0</v>
      </c>
      <c r="H279" s="74">
        <v>1370000.0</v>
      </c>
      <c r="I279" s="74">
        <v>1470000.0</v>
      </c>
      <c r="J279" s="60">
        <f t="shared" si="1"/>
        <v>45833</v>
      </c>
      <c r="K279" s="74">
        <f>if(F279="SERVICE",O279-(O279*50%),Vlookup(F279,DATABASE!C:Q,10,false)*G279)</f>
        <v>0</v>
      </c>
      <c r="L279" s="74">
        <f>VLOOKUP(F279,DATABASE!C:Q,7,FALSE)</f>
        <v>1265000</v>
      </c>
      <c r="M279" s="140">
        <v>1270000.0</v>
      </c>
      <c r="N279" s="74">
        <f t="shared" si="8"/>
        <v>1270000</v>
      </c>
      <c r="O279" s="74">
        <f t="shared" si="3"/>
        <v>1370000</v>
      </c>
      <c r="P279" s="63">
        <f t="shared" si="4"/>
        <v>1470000</v>
      </c>
      <c r="Q279" s="63">
        <f t="shared" si="5"/>
        <v>200000</v>
      </c>
      <c r="R279" s="93" t="str">
        <f>VLOOKUP(F279,DATABASE!C:Q,4,false)</f>
        <v>Bridgestone</v>
      </c>
      <c r="S279" s="93" t="str">
        <f>VLOOKUP(F279,DATABASE!C:P,11,false)</f>
        <v>Tire</v>
      </c>
      <c r="T279" s="93" t="str">
        <f>vlookup(F279,DATABASE!C:Q,8,false)</f>
        <v>IBU</v>
      </c>
      <c r="Y279" s="81"/>
      <c r="Z279" s="9"/>
    </row>
    <row r="280" ht="22.5" customHeight="1">
      <c r="A280" s="49"/>
      <c r="C280" s="384">
        <v>45803.0</v>
      </c>
      <c r="D280" s="93">
        <v>45803.0</v>
      </c>
      <c r="E280" s="93" t="s">
        <v>267</v>
      </c>
      <c r="F280" s="74" t="s">
        <v>255</v>
      </c>
      <c r="G280" s="386">
        <v>1.0</v>
      </c>
      <c r="H280" s="74">
        <v>200000.0</v>
      </c>
      <c r="I280" s="74">
        <v>220000.0</v>
      </c>
      <c r="J280" s="60">
        <f t="shared" si="1"/>
        <v>45833</v>
      </c>
      <c r="K280" s="74">
        <f>if(F280="SERVICE",O280-(O280*50%),Vlookup(F280,DATABASE!C:Q,10,false)*G280)</f>
        <v>0</v>
      </c>
      <c r="L280" s="74">
        <f>VLOOKUP(F280,DATABASE!C:Q,7,FALSE)</f>
        <v>161840</v>
      </c>
      <c r="M280" s="74">
        <v>161840.0</v>
      </c>
      <c r="N280" s="74">
        <f t="shared" si="8"/>
        <v>165000</v>
      </c>
      <c r="O280" s="74">
        <f t="shared" si="3"/>
        <v>200000</v>
      </c>
      <c r="P280" s="63">
        <f t="shared" si="4"/>
        <v>220000</v>
      </c>
      <c r="Q280" s="63">
        <f t="shared" si="5"/>
        <v>55000</v>
      </c>
      <c r="R280" s="93" t="str">
        <f>VLOOKUP(F280,DATABASE!C:Q,4,false)</f>
        <v>BD</v>
      </c>
      <c r="S280" s="93" t="str">
        <f>VLOOKUP(F280,DATABASE!C:P,11,false)</f>
        <v>Tire</v>
      </c>
      <c r="T280" s="93" t="str">
        <f>vlookup(F280,DATABASE!C:Q,8,false)</f>
        <v>BIAN</v>
      </c>
      <c r="Y280" s="81"/>
      <c r="Z280" s="9"/>
    </row>
    <row r="281" ht="22.5" customHeight="1">
      <c r="A281" s="49"/>
      <c r="C281" s="384">
        <v>45803.0</v>
      </c>
      <c r="D281" s="93">
        <v>45803.0</v>
      </c>
      <c r="E281" s="93" t="s">
        <v>267</v>
      </c>
      <c r="F281" s="74" t="s">
        <v>814</v>
      </c>
      <c r="G281" s="386">
        <v>1.0</v>
      </c>
      <c r="H281" s="74">
        <v>65000.0</v>
      </c>
      <c r="I281" s="74">
        <v>85000.0</v>
      </c>
      <c r="J281" s="60">
        <f t="shared" si="1"/>
        <v>45833</v>
      </c>
      <c r="K281" s="74">
        <f>if(F281="SERVICE",O281-(O281*50%),Vlookup(F281,DATABASE!C:Q,10,false)*G281)</f>
        <v>0</v>
      </c>
      <c r="L281" s="74">
        <f>VLOOKUP(F281,DATABASE!C:Q,7,FALSE)</f>
        <v>39440</v>
      </c>
      <c r="M281" s="74">
        <v>39440.0</v>
      </c>
      <c r="N281" s="74">
        <f t="shared" si="8"/>
        <v>40000</v>
      </c>
      <c r="O281" s="74">
        <f t="shared" si="3"/>
        <v>65000</v>
      </c>
      <c r="P281" s="63">
        <f t="shared" si="4"/>
        <v>85000</v>
      </c>
      <c r="Q281" s="63">
        <f t="shared" si="5"/>
        <v>45000</v>
      </c>
      <c r="R281" s="93" t="str">
        <f>VLOOKUP(F281,DATABASE!C:Q,4,false)</f>
        <v>Flap</v>
      </c>
      <c r="S281" s="93" t="str">
        <f>VLOOKUP(F281,DATABASE!C:P,11,false)</f>
        <v>Tire</v>
      </c>
      <c r="T281" s="93" t="str">
        <f>vlookup(F281,DATABASE!C:Q,8,false)</f>
        <v>BIAN</v>
      </c>
      <c r="Y281" s="81"/>
      <c r="Z281" s="9"/>
    </row>
    <row r="282" ht="22.5" customHeight="1">
      <c r="A282" s="49"/>
      <c r="C282" s="384">
        <v>45804.0</v>
      </c>
      <c r="D282" s="93">
        <v>45804.0</v>
      </c>
      <c r="E282" s="93" t="s">
        <v>234</v>
      </c>
      <c r="F282" s="74" t="s">
        <v>268</v>
      </c>
      <c r="G282" s="386">
        <v>1.0</v>
      </c>
      <c r="H282" s="74">
        <v>720000.0</v>
      </c>
      <c r="I282" s="74">
        <v>800000.0</v>
      </c>
      <c r="J282" s="60">
        <f t="shared" si="1"/>
        <v>45834</v>
      </c>
      <c r="K282" s="74">
        <f>if(F282="SERVICE",O282-(O282*50%),Vlookup(F282,DATABASE!C:Q,10,false)*G282)</f>
        <v>0</v>
      </c>
      <c r="L282" s="74">
        <f>VLOOKUP(F282,DATABASE!C:Q,7,FALSE)</f>
        <v>653000</v>
      </c>
      <c r="M282" s="74">
        <v>622000.0</v>
      </c>
      <c r="N282" s="74">
        <f t="shared" si="8"/>
        <v>625000</v>
      </c>
      <c r="O282" s="74">
        <f t="shared" si="3"/>
        <v>720000</v>
      </c>
      <c r="P282" s="63">
        <f t="shared" si="4"/>
        <v>800000</v>
      </c>
      <c r="Q282" s="63">
        <f t="shared" si="5"/>
        <v>175000</v>
      </c>
      <c r="R282" s="93" t="str">
        <f>VLOOKUP(F282,DATABASE!C:Q,4,false)</f>
        <v>Dunlop</v>
      </c>
      <c r="S282" s="93" t="str">
        <f>VLOOKUP(F282,DATABASE!C:P,11,false)</f>
        <v>Tire</v>
      </c>
      <c r="T282" s="93" t="str">
        <f>vlookup(F282,DATABASE!C:Q,8,false)</f>
        <v>IBU</v>
      </c>
      <c r="Y282" s="81"/>
      <c r="Z282" s="9"/>
    </row>
    <row r="283" ht="22.5" customHeight="1">
      <c r="A283" s="49"/>
      <c r="C283" s="384">
        <v>45804.0</v>
      </c>
      <c r="D283" s="93">
        <v>45804.0</v>
      </c>
      <c r="E283" s="93" t="s">
        <v>1021</v>
      </c>
      <c r="F283" s="74" t="s">
        <v>566</v>
      </c>
      <c r="G283" s="386">
        <v>1.0</v>
      </c>
      <c r="H283" s="74">
        <v>1670000.0</v>
      </c>
      <c r="I283" s="74">
        <v>1770000.0</v>
      </c>
      <c r="J283" s="60">
        <f t="shared" si="1"/>
        <v>45834</v>
      </c>
      <c r="K283" s="74">
        <f>if(F283="SERVICE",O283-(O283*50%),Vlookup(F283,DATABASE!C:Q,10,false)*G283)</f>
        <v>0</v>
      </c>
      <c r="L283" s="74">
        <f>VLOOKUP(F283,DATABASE!C:Q,7,FALSE)</f>
        <v>1565000</v>
      </c>
      <c r="M283" s="74">
        <v>1545000.0</v>
      </c>
      <c r="N283" s="74">
        <f t="shared" si="8"/>
        <v>1545000</v>
      </c>
      <c r="O283" s="74">
        <f t="shared" si="3"/>
        <v>1670000</v>
      </c>
      <c r="P283" s="63">
        <f t="shared" si="4"/>
        <v>1770000</v>
      </c>
      <c r="Q283" s="63">
        <f t="shared" si="5"/>
        <v>225000</v>
      </c>
      <c r="R283" s="93" t="str">
        <f>VLOOKUP(F283,DATABASE!C:Q,4,false)</f>
        <v>Bridgestone</v>
      </c>
      <c r="S283" s="93" t="str">
        <f>VLOOKUP(F283,DATABASE!C:P,11,false)</f>
        <v>Tire</v>
      </c>
      <c r="T283" s="93" t="str">
        <f>vlookup(F283,DATABASE!C:Q,8,false)</f>
        <v>IBU</v>
      </c>
      <c r="Y283" s="81"/>
      <c r="Z283" s="9"/>
    </row>
    <row r="284" ht="22.5" customHeight="1">
      <c r="A284" s="49"/>
      <c r="C284" s="384">
        <v>45804.0</v>
      </c>
      <c r="D284" s="93">
        <v>45804.0</v>
      </c>
      <c r="E284" s="93" t="s">
        <v>234</v>
      </c>
      <c r="F284" s="74" t="s">
        <v>791</v>
      </c>
      <c r="G284" s="386">
        <v>1.0</v>
      </c>
      <c r="H284" s="74">
        <v>1280000.0</v>
      </c>
      <c r="I284" s="74">
        <v>1380000.0</v>
      </c>
      <c r="J284" s="60">
        <f t="shared" si="1"/>
        <v>45834</v>
      </c>
      <c r="K284" s="74">
        <f>if(F284="SERVICE",O284-(O284*50%),Vlookup(F284,DATABASE!C:Q,10,false)*G284)</f>
        <v>0</v>
      </c>
      <c r="L284" s="74">
        <f>VLOOKUP(F284,DATABASE!C:Q,7,FALSE)</f>
        <v>1210000</v>
      </c>
      <c r="M284" s="74">
        <v>1180000.0</v>
      </c>
      <c r="N284" s="74">
        <f t="shared" si="8"/>
        <v>1180000</v>
      </c>
      <c r="O284" s="74">
        <f t="shared" si="3"/>
        <v>1280000</v>
      </c>
      <c r="P284" s="63">
        <f t="shared" si="4"/>
        <v>1380000</v>
      </c>
      <c r="Q284" s="63">
        <f t="shared" si="5"/>
        <v>200000</v>
      </c>
      <c r="R284" s="93" t="str">
        <f>VLOOKUP(F284,DATABASE!C:Q,4,false)</f>
        <v>GT</v>
      </c>
      <c r="S284" s="93" t="str">
        <f>VLOOKUP(F284,DATABASE!C:P,11,false)</f>
        <v>Tire</v>
      </c>
      <c r="T284" s="93" t="str">
        <f>vlookup(F284,DATABASE!C:Q,8,false)</f>
        <v>BIAN</v>
      </c>
      <c r="Y284" s="81"/>
      <c r="Z284" s="9"/>
    </row>
    <row r="285" ht="22.5" customHeight="1">
      <c r="A285" s="49"/>
      <c r="C285" s="384">
        <v>45804.0</v>
      </c>
      <c r="D285" s="93">
        <v>45804.0</v>
      </c>
      <c r="E285" s="93" t="s">
        <v>234</v>
      </c>
      <c r="F285" s="74" t="s">
        <v>255</v>
      </c>
      <c r="G285" s="386">
        <v>1.0</v>
      </c>
      <c r="H285" s="74">
        <v>200000.0</v>
      </c>
      <c r="I285" s="74">
        <v>220000.0</v>
      </c>
      <c r="J285" s="60">
        <f t="shared" si="1"/>
        <v>45834</v>
      </c>
      <c r="K285" s="74">
        <f>if(F285="SERVICE",O285-(O285*50%),Vlookup(F285,DATABASE!C:Q,10,false)*G285)</f>
        <v>0</v>
      </c>
      <c r="L285" s="74">
        <f>VLOOKUP(F285,DATABASE!C:Q,7,FALSE)</f>
        <v>161840</v>
      </c>
      <c r="M285" s="74">
        <v>161840.0</v>
      </c>
      <c r="N285" s="74">
        <f t="shared" si="8"/>
        <v>165000</v>
      </c>
      <c r="O285" s="74">
        <f t="shared" si="3"/>
        <v>200000</v>
      </c>
      <c r="P285" s="63">
        <f t="shared" si="4"/>
        <v>220000</v>
      </c>
      <c r="Q285" s="63">
        <f t="shared" si="5"/>
        <v>55000</v>
      </c>
      <c r="R285" s="93" t="str">
        <f>VLOOKUP(F285,DATABASE!C:Q,4,false)</f>
        <v>BD</v>
      </c>
      <c r="S285" s="93" t="str">
        <f>VLOOKUP(F285,DATABASE!C:P,11,false)</f>
        <v>Tire</v>
      </c>
      <c r="T285" s="93" t="str">
        <f>vlookup(F285,DATABASE!C:Q,8,false)</f>
        <v>BIAN</v>
      </c>
      <c r="Y285" s="81"/>
      <c r="Z285" s="9"/>
    </row>
    <row r="286" ht="22.5" customHeight="1">
      <c r="A286" s="49"/>
      <c r="C286" s="384">
        <v>45804.0</v>
      </c>
      <c r="D286" s="93">
        <v>45804.0</v>
      </c>
      <c r="E286" s="93" t="s">
        <v>234</v>
      </c>
      <c r="F286" s="74" t="s">
        <v>814</v>
      </c>
      <c r="G286" s="386">
        <v>1.0</v>
      </c>
      <c r="H286" s="74">
        <v>65000.0</v>
      </c>
      <c r="I286" s="74">
        <v>85000.0</v>
      </c>
      <c r="J286" s="60">
        <f t="shared" si="1"/>
        <v>45834</v>
      </c>
      <c r="K286" s="74">
        <f>if(F286="SERVICE",O286-(O286*50%),Vlookup(F286,DATABASE!C:Q,10,false)*G286)</f>
        <v>0</v>
      </c>
      <c r="L286" s="74">
        <f>VLOOKUP(F286,DATABASE!C:Q,7,FALSE)</f>
        <v>39440</v>
      </c>
      <c r="M286" s="74">
        <v>39440.0</v>
      </c>
      <c r="N286" s="74">
        <f t="shared" si="8"/>
        <v>40000</v>
      </c>
      <c r="O286" s="74">
        <f t="shared" si="3"/>
        <v>65000</v>
      </c>
      <c r="P286" s="63">
        <f t="shared" si="4"/>
        <v>85000</v>
      </c>
      <c r="Q286" s="63">
        <f t="shared" si="5"/>
        <v>45000</v>
      </c>
      <c r="R286" s="93" t="str">
        <f>VLOOKUP(F286,DATABASE!C:Q,4,false)</f>
        <v>Flap</v>
      </c>
      <c r="S286" s="93" t="str">
        <f>VLOOKUP(F286,DATABASE!C:P,11,false)</f>
        <v>Tire</v>
      </c>
      <c r="T286" s="93" t="str">
        <f>vlookup(F286,DATABASE!C:Q,8,false)</f>
        <v>BIAN</v>
      </c>
      <c r="Y286" s="81"/>
      <c r="Z286" s="9"/>
    </row>
    <row r="287" ht="22.5" customHeight="1">
      <c r="A287" s="49"/>
      <c r="C287" s="384">
        <v>45806.0</v>
      </c>
      <c r="D287" s="93">
        <v>45806.0</v>
      </c>
      <c r="E287" s="93" t="s">
        <v>249</v>
      </c>
      <c r="F287" s="74" t="s">
        <v>1890</v>
      </c>
      <c r="G287" s="386">
        <v>1.0</v>
      </c>
      <c r="H287" s="74">
        <v>820000.0</v>
      </c>
      <c r="I287" s="74">
        <v>870000.0</v>
      </c>
      <c r="J287" s="60">
        <f t="shared" si="1"/>
        <v>45836</v>
      </c>
      <c r="K287" s="74">
        <f>if(F287="SERVICE",O287-(O287*50%),Vlookup(F287,DATABASE!C:Q,10,false)*G287)</f>
        <v>0</v>
      </c>
      <c r="L287" s="74">
        <f>VLOOKUP(F287,DATABASE!C:Q,7,FALSE)</f>
        <v>739600</v>
      </c>
      <c r="M287" s="74">
        <v>700000.0</v>
      </c>
      <c r="N287" s="74">
        <f t="shared" si="8"/>
        <v>700000</v>
      </c>
      <c r="O287" s="74">
        <f t="shared" si="3"/>
        <v>820000</v>
      </c>
      <c r="P287" s="63">
        <f t="shared" si="4"/>
        <v>870000</v>
      </c>
      <c r="Q287" s="63">
        <f t="shared" si="5"/>
        <v>170000</v>
      </c>
      <c r="R287" s="93" t="str">
        <f>VLOOKUP(F287,DATABASE!C:Q,4,false)</f>
        <v>GT</v>
      </c>
      <c r="S287" s="93" t="str">
        <f>VLOOKUP(F287,DATABASE!C:P,11,false)</f>
        <v>Tire</v>
      </c>
      <c r="T287" s="93" t="str">
        <f>vlookup(F287,DATABASE!C:Q,8,false)</f>
        <v>BIAN</v>
      </c>
      <c r="Y287" s="81"/>
      <c r="Z287" s="9"/>
    </row>
    <row r="288" ht="22.5" customHeight="1">
      <c r="A288" s="49"/>
      <c r="C288" s="384">
        <v>45806.0</v>
      </c>
      <c r="D288" s="93">
        <v>45806.0</v>
      </c>
      <c r="E288" s="93" t="s">
        <v>735</v>
      </c>
      <c r="F288" s="74" t="s">
        <v>403</v>
      </c>
      <c r="G288" s="386">
        <v>2.0</v>
      </c>
      <c r="H288" s="74">
        <v>2260000.0</v>
      </c>
      <c r="I288" s="74">
        <v>2360000.0</v>
      </c>
      <c r="J288" s="60">
        <f t="shared" si="1"/>
        <v>45836</v>
      </c>
      <c r="K288" s="74">
        <f>if(F288="SERVICE",O288-(O288*50%),Vlookup(F288,DATABASE!C:Q,10,false)*G288)</f>
        <v>0</v>
      </c>
      <c r="L288" s="74">
        <f>VLOOKUP(F288,DATABASE!C:Q,7,FALSE)</f>
        <v>2160000</v>
      </c>
      <c r="M288" s="74">
        <v>2160000.0</v>
      </c>
      <c r="N288" s="74">
        <f t="shared" si="8"/>
        <v>2160000</v>
      </c>
      <c r="O288" s="74">
        <f t="shared" si="3"/>
        <v>4520000</v>
      </c>
      <c r="P288" s="63">
        <f t="shared" si="4"/>
        <v>4720000</v>
      </c>
      <c r="Q288" s="63">
        <f t="shared" si="5"/>
        <v>400000</v>
      </c>
      <c r="R288" s="93" t="str">
        <f>VLOOKUP(F288,DATABASE!C:Q,4,false)</f>
        <v>Advance</v>
      </c>
      <c r="S288" s="93" t="str">
        <f>VLOOKUP(F288,DATABASE!C:P,11,false)</f>
        <v>Tire</v>
      </c>
      <c r="T288" s="93" t="str">
        <f>vlookup(F288,DATABASE!C:Q,8,false)</f>
        <v>BIAN</v>
      </c>
      <c r="Y288" s="81"/>
      <c r="Z288" s="9"/>
    </row>
    <row r="289" ht="22.5" customHeight="1">
      <c r="A289" s="49"/>
      <c r="C289" s="384">
        <v>45807.0</v>
      </c>
      <c r="D289" s="93">
        <v>45807.0</v>
      </c>
      <c r="E289" s="93" t="s">
        <v>867</v>
      </c>
      <c r="F289" s="74" t="s">
        <v>268</v>
      </c>
      <c r="G289" s="386">
        <v>2.0</v>
      </c>
      <c r="H289" s="74">
        <v>720000.0</v>
      </c>
      <c r="I289" s="74">
        <v>800000.0</v>
      </c>
      <c r="J289" s="60">
        <f t="shared" si="1"/>
        <v>45837</v>
      </c>
      <c r="K289" s="74">
        <f>if(F289="SERVICE",O289-(O289*50%),Vlookup(F289,DATABASE!C:Q,10,false)*G289)</f>
        <v>0</v>
      </c>
      <c r="L289" s="74">
        <f>VLOOKUP(F289,DATABASE!C:Q,7,FALSE)</f>
        <v>653000</v>
      </c>
      <c r="M289" s="74">
        <v>622000.0</v>
      </c>
      <c r="N289" s="74">
        <f t="shared" si="8"/>
        <v>625000</v>
      </c>
      <c r="O289" s="74">
        <f t="shared" si="3"/>
        <v>1440000</v>
      </c>
      <c r="P289" s="63">
        <f t="shared" si="4"/>
        <v>1600000</v>
      </c>
      <c r="Q289" s="63">
        <f t="shared" si="5"/>
        <v>350000</v>
      </c>
      <c r="R289" s="93" t="str">
        <f>VLOOKUP(F289,DATABASE!C:Q,4,false)</f>
        <v>Dunlop</v>
      </c>
      <c r="S289" s="93" t="str">
        <f>VLOOKUP(F289,DATABASE!C:P,11,false)</f>
        <v>Tire</v>
      </c>
      <c r="T289" s="93" t="str">
        <f>vlookup(F289,DATABASE!C:Q,8,false)</f>
        <v>IBU</v>
      </c>
      <c r="Y289" s="81"/>
      <c r="Z289" s="9"/>
    </row>
    <row r="290" ht="22.5" customHeight="1">
      <c r="A290" s="49"/>
      <c r="C290" s="384">
        <v>45807.0</v>
      </c>
      <c r="D290" s="93">
        <v>45807.0</v>
      </c>
      <c r="E290" s="93" t="s">
        <v>544</v>
      </c>
      <c r="F290" s="74" t="s">
        <v>268</v>
      </c>
      <c r="G290" s="386">
        <v>4.0</v>
      </c>
      <c r="H290" s="74">
        <v>720000.0</v>
      </c>
      <c r="I290" s="74">
        <v>800000.0</v>
      </c>
      <c r="J290" s="60">
        <f t="shared" si="1"/>
        <v>45837</v>
      </c>
      <c r="K290" s="74">
        <f>if(F290="SERVICE",O290-(O290*50%),Vlookup(F290,DATABASE!C:Q,10,false)*G290)</f>
        <v>0</v>
      </c>
      <c r="L290" s="74">
        <f>VLOOKUP(F290,DATABASE!C:Q,7,FALSE)</f>
        <v>653000</v>
      </c>
      <c r="M290" s="74">
        <v>622000.0</v>
      </c>
      <c r="N290" s="74">
        <f t="shared" si="8"/>
        <v>625000</v>
      </c>
      <c r="O290" s="74">
        <f t="shared" si="3"/>
        <v>2880000</v>
      </c>
      <c r="P290" s="63">
        <f t="shared" si="4"/>
        <v>3200000</v>
      </c>
      <c r="Q290" s="63">
        <f t="shared" si="5"/>
        <v>700000</v>
      </c>
      <c r="R290" s="93" t="str">
        <f>VLOOKUP(F290,DATABASE!C:Q,4,false)</f>
        <v>Dunlop</v>
      </c>
      <c r="S290" s="93" t="str">
        <f>VLOOKUP(F290,DATABASE!C:P,11,false)</f>
        <v>Tire</v>
      </c>
      <c r="T290" s="93" t="str">
        <f>vlookup(F290,DATABASE!C:Q,8,false)</f>
        <v>IBU</v>
      </c>
      <c r="Y290" s="81"/>
      <c r="Z290" s="9"/>
    </row>
    <row r="291" ht="22.5" customHeight="1">
      <c r="A291" s="49"/>
      <c r="C291" s="384">
        <v>45808.0</v>
      </c>
      <c r="D291" s="93">
        <v>45808.0</v>
      </c>
      <c r="E291" s="93" t="s">
        <v>132</v>
      </c>
      <c r="F291" s="74" t="s">
        <v>1862</v>
      </c>
      <c r="G291" s="386">
        <v>2.0</v>
      </c>
      <c r="H291" s="74">
        <v>2150000.0</v>
      </c>
      <c r="I291" s="74">
        <v>2250000.0</v>
      </c>
      <c r="J291" s="60">
        <f t="shared" si="1"/>
        <v>45838</v>
      </c>
      <c r="K291" s="74">
        <f>if(F291="SERVICE",O291-(O291*50%),Vlookup(F291,DATABASE!C:Q,10,false)*G291)</f>
        <v>0</v>
      </c>
      <c r="L291" s="74">
        <f>VLOOKUP(F291,DATABASE!C:Q,7,FALSE)</f>
        <v>2080000</v>
      </c>
      <c r="M291" s="74">
        <v>2050000.0</v>
      </c>
      <c r="N291" s="74">
        <f t="shared" si="8"/>
        <v>2050000</v>
      </c>
      <c r="O291" s="74">
        <f t="shared" si="3"/>
        <v>4300000</v>
      </c>
      <c r="P291" s="63">
        <f t="shared" si="4"/>
        <v>4500000</v>
      </c>
      <c r="Q291" s="63">
        <f t="shared" si="5"/>
        <v>400000</v>
      </c>
      <c r="R291" s="93" t="str">
        <f>VLOOKUP(F291,DATABASE!C:Q,4,false)</f>
        <v>GiTi</v>
      </c>
      <c r="S291" s="93" t="str">
        <f>VLOOKUP(F291,DATABASE!C:P,11,false)</f>
        <v>Tire</v>
      </c>
      <c r="T291" s="93" t="str">
        <f>vlookup(F291,DATABASE!C:Q,8,false)</f>
        <v>BIAN</v>
      </c>
      <c r="Y291" s="81"/>
      <c r="Z291" s="9"/>
    </row>
    <row r="292" ht="22.5" customHeight="1">
      <c r="A292" s="49"/>
      <c r="C292" s="384">
        <v>45810.0</v>
      </c>
      <c r="D292" s="93">
        <v>45810.0</v>
      </c>
      <c r="E292" s="93" t="s">
        <v>208</v>
      </c>
      <c r="F292" s="74" t="s">
        <v>1237</v>
      </c>
      <c r="G292" s="386">
        <v>1.0</v>
      </c>
      <c r="H292" s="74">
        <v>1235000.0</v>
      </c>
      <c r="I292" s="74">
        <v>1315000.0</v>
      </c>
      <c r="J292" s="60">
        <f t="shared" si="1"/>
        <v>45840</v>
      </c>
      <c r="K292" s="74">
        <f>if(F292="SERVICE",O292-(O292*50%),Vlookup(F292,DATABASE!C:Q,10,false)*G292)</f>
        <v>0</v>
      </c>
      <c r="L292" s="74">
        <f>VLOOKUP(F292,DATABASE!C:Q,7,FALSE)</f>
        <v>1170353.16</v>
      </c>
      <c r="M292" s="74">
        <v>1113907.2</v>
      </c>
      <c r="N292" s="74">
        <f t="shared" si="8"/>
        <v>1115000</v>
      </c>
      <c r="O292" s="74">
        <f t="shared" si="3"/>
        <v>1235000</v>
      </c>
      <c r="P292" s="63">
        <f t="shared" si="4"/>
        <v>1315000</v>
      </c>
      <c r="Q292" s="63">
        <f t="shared" si="5"/>
        <v>200000</v>
      </c>
      <c r="R292" s="93" t="str">
        <f>VLOOKUP(F292,DATABASE!C:Q,4,false)</f>
        <v>Bridgestone</v>
      </c>
      <c r="S292" s="93" t="str">
        <f>VLOOKUP(F292,DATABASE!C:P,11,false)</f>
        <v>Tire</v>
      </c>
      <c r="T292" s="93" t="str">
        <f>vlookup(F292,DATABASE!C:Q,8,false)</f>
        <v>IBU</v>
      </c>
      <c r="Y292" s="81"/>
      <c r="Z292" s="9"/>
    </row>
    <row r="293" ht="22.5" customHeight="1">
      <c r="A293" s="49"/>
      <c r="C293" s="384">
        <v>45810.0</v>
      </c>
      <c r="D293" s="93">
        <v>45810.0</v>
      </c>
      <c r="E293" s="93" t="s">
        <v>208</v>
      </c>
      <c r="F293" s="74" t="s">
        <v>1974</v>
      </c>
      <c r="G293" s="386">
        <v>2.0</v>
      </c>
      <c r="H293" s="74">
        <v>1260000.0</v>
      </c>
      <c r="I293" s="74">
        <v>1340000.0</v>
      </c>
      <c r="J293" s="60">
        <f t="shared" si="1"/>
        <v>45840</v>
      </c>
      <c r="K293" s="74">
        <f>if(F293="SERVICE",O293-(O293*50%),Vlookup(F293,DATABASE!C:Q,10,false)*G293)</f>
        <v>0</v>
      </c>
      <c r="L293" s="74">
        <f>VLOOKUP(F293,DATABASE!C:Q,7,FALSE)</f>
        <v>1221100</v>
      </c>
      <c r="M293" s="74">
        <v>1150700.0</v>
      </c>
      <c r="N293" s="74">
        <f t="shared" si="8"/>
        <v>1155000</v>
      </c>
      <c r="O293" s="74">
        <f t="shared" si="3"/>
        <v>2520000</v>
      </c>
      <c r="P293" s="63">
        <f t="shared" si="4"/>
        <v>2680000</v>
      </c>
      <c r="Q293" s="63">
        <f t="shared" si="5"/>
        <v>370000</v>
      </c>
      <c r="R293" s="93" t="str">
        <f>VLOOKUP(F293,DATABASE!C:Q,4,false)</f>
        <v>GT</v>
      </c>
      <c r="S293" s="93" t="str">
        <f>VLOOKUP(F293,DATABASE!C:P,11,false)</f>
        <v>Tire</v>
      </c>
      <c r="T293" s="93" t="str">
        <f>vlookup(F293,DATABASE!C:Q,8,false)</f>
        <v>BIAN</v>
      </c>
      <c r="Y293" s="81"/>
      <c r="Z293" s="9"/>
    </row>
    <row r="294" ht="22.5" customHeight="1">
      <c r="A294" s="49"/>
      <c r="C294" s="384">
        <v>45810.0</v>
      </c>
      <c r="D294" s="93">
        <v>45810.0</v>
      </c>
      <c r="E294" s="93" t="s">
        <v>254</v>
      </c>
      <c r="F294" s="74" t="s">
        <v>403</v>
      </c>
      <c r="G294" s="386">
        <v>2.0</v>
      </c>
      <c r="H294" s="74">
        <v>2260000.0</v>
      </c>
      <c r="I294" s="74">
        <v>2360000.0</v>
      </c>
      <c r="J294" s="60">
        <f t="shared" si="1"/>
        <v>45840</v>
      </c>
      <c r="K294" s="74">
        <f>if(F294="SERVICE",O294-(O294*50%),Vlookup(F294,DATABASE!C:Q,10,false)*G294)</f>
        <v>0</v>
      </c>
      <c r="L294" s="74">
        <f>VLOOKUP(F294,DATABASE!C:Q,7,FALSE)</f>
        <v>2160000</v>
      </c>
      <c r="M294" s="74">
        <v>2160000.0</v>
      </c>
      <c r="N294" s="74">
        <f t="shared" si="8"/>
        <v>2160000</v>
      </c>
      <c r="O294" s="74">
        <f t="shared" si="3"/>
        <v>4520000</v>
      </c>
      <c r="P294" s="63">
        <f t="shared" si="4"/>
        <v>4720000</v>
      </c>
      <c r="Q294" s="63">
        <f t="shared" si="5"/>
        <v>400000</v>
      </c>
      <c r="R294" s="93" t="str">
        <f>VLOOKUP(F294,DATABASE!C:Q,4,false)</f>
        <v>Advance</v>
      </c>
      <c r="S294" s="93" t="str">
        <f>VLOOKUP(F294,DATABASE!C:P,11,false)</f>
        <v>Tire</v>
      </c>
      <c r="T294" s="93" t="str">
        <f>vlookup(F294,DATABASE!C:Q,8,false)</f>
        <v>BIAN</v>
      </c>
      <c r="Y294" s="81"/>
      <c r="Z294" s="9"/>
    </row>
    <row r="295" ht="22.5" customHeight="1">
      <c r="A295" s="49"/>
      <c r="C295" s="384">
        <v>45812.0</v>
      </c>
      <c r="D295" s="93">
        <v>45812.0</v>
      </c>
      <c r="E295" s="93" t="s">
        <v>801</v>
      </c>
      <c r="F295" s="74" t="s">
        <v>897</v>
      </c>
      <c r="G295" s="386">
        <v>4.0</v>
      </c>
      <c r="H295" s="74">
        <v>1600000.0</v>
      </c>
      <c r="I295" s="74">
        <v>1700000.0</v>
      </c>
      <c r="J295" s="60">
        <f t="shared" si="1"/>
        <v>45842</v>
      </c>
      <c r="K295" s="74">
        <f>if(F295="SERVICE",O295-(O295*50%),Vlookup(F295,DATABASE!C:Q,10,false)*G295)</f>
        <v>0</v>
      </c>
      <c r="L295" s="74">
        <f>VLOOKUP(F295,DATABASE!C:Q,7,FALSE)</f>
        <v>1560000</v>
      </c>
      <c r="M295" s="74">
        <v>1500000.0</v>
      </c>
      <c r="N295" s="74">
        <f t="shared" si="8"/>
        <v>1500000</v>
      </c>
      <c r="O295" s="74">
        <f t="shared" si="3"/>
        <v>6400000</v>
      </c>
      <c r="P295" s="63">
        <f t="shared" si="4"/>
        <v>6800000</v>
      </c>
      <c r="Q295" s="63">
        <f t="shared" si="5"/>
        <v>800000</v>
      </c>
      <c r="R295" s="93" t="str">
        <f>VLOOKUP(F295,DATABASE!C:Q,4,false)</f>
        <v>GT</v>
      </c>
      <c r="S295" s="93" t="str">
        <f>VLOOKUP(F295,DATABASE!C:P,11,false)</f>
        <v>Tire</v>
      </c>
      <c r="T295" s="93" t="str">
        <f>vlookup(F295,DATABASE!C:Q,8,false)</f>
        <v>BIAN</v>
      </c>
      <c r="Y295" s="81"/>
      <c r="Z295" s="9"/>
    </row>
    <row r="296" ht="22.5" customHeight="1">
      <c r="A296" s="49"/>
      <c r="C296" s="384">
        <v>45812.0</v>
      </c>
      <c r="D296" s="93">
        <v>45812.0</v>
      </c>
      <c r="E296" s="93" t="s">
        <v>801</v>
      </c>
      <c r="F296" s="74" t="s">
        <v>744</v>
      </c>
      <c r="G296" s="386">
        <v>4.0</v>
      </c>
      <c r="H296" s="74">
        <v>230000.0</v>
      </c>
      <c r="I296" s="74">
        <v>250000.0</v>
      </c>
      <c r="J296" s="60">
        <f t="shared" si="1"/>
        <v>45842</v>
      </c>
      <c r="K296" s="74">
        <f>if(F296="SERVICE",O296-(O296*50%),Vlookup(F296,DATABASE!C:Q,10,false)*G296)</f>
        <v>0</v>
      </c>
      <c r="L296" s="74">
        <f>VLOOKUP(F296,DATABASE!C:Q,7,FALSE)</f>
        <v>182200</v>
      </c>
      <c r="M296" s="74">
        <v>199920.0</v>
      </c>
      <c r="N296" s="74">
        <f t="shared" si="8"/>
        <v>200000</v>
      </c>
      <c r="O296" s="74">
        <f t="shared" si="3"/>
        <v>920000</v>
      </c>
      <c r="P296" s="63">
        <f t="shared" si="4"/>
        <v>1000000</v>
      </c>
      <c r="Q296" s="63">
        <f t="shared" si="5"/>
        <v>200000</v>
      </c>
      <c r="R296" s="93" t="str">
        <f>VLOOKUP(F296,DATABASE!C:Q,4,false)</f>
        <v>BD</v>
      </c>
      <c r="S296" s="93" t="str">
        <f>VLOOKUP(F296,DATABASE!C:P,11,false)</f>
        <v>Tire</v>
      </c>
      <c r="T296" s="93" t="str">
        <f>vlookup(F296,DATABASE!C:Q,8,false)</f>
        <v>BIAN</v>
      </c>
      <c r="Y296" s="81"/>
      <c r="Z296" s="9"/>
    </row>
    <row r="297" ht="22.5" customHeight="1">
      <c r="A297" s="49"/>
      <c r="C297" s="384">
        <v>45812.0</v>
      </c>
      <c r="D297" s="93">
        <v>45812.0</v>
      </c>
      <c r="E297" s="93" t="s">
        <v>801</v>
      </c>
      <c r="F297" s="74" t="s">
        <v>821</v>
      </c>
      <c r="G297" s="386">
        <v>4.0</v>
      </c>
      <c r="H297" s="74">
        <v>85000.0</v>
      </c>
      <c r="I297" s="74">
        <v>100000.0</v>
      </c>
      <c r="J297" s="60">
        <f t="shared" si="1"/>
        <v>45842</v>
      </c>
      <c r="K297" s="74">
        <f>if(F297="SERVICE",O297-(O297*50%),Vlookup(F297,DATABASE!C:Q,10,false)*G297)</f>
        <v>0</v>
      </c>
      <c r="L297" s="74">
        <f>VLOOKUP(F297,DATABASE!C:Q,7,FALSE)</f>
        <v>43500</v>
      </c>
      <c r="M297" s="74">
        <v>43520.0</v>
      </c>
      <c r="N297" s="74">
        <f t="shared" si="8"/>
        <v>45000</v>
      </c>
      <c r="O297" s="74">
        <f t="shared" si="3"/>
        <v>340000</v>
      </c>
      <c r="P297" s="63">
        <f t="shared" si="4"/>
        <v>400000</v>
      </c>
      <c r="Q297" s="63">
        <f t="shared" si="5"/>
        <v>220000</v>
      </c>
      <c r="R297" s="93" t="str">
        <f>VLOOKUP(F297,DATABASE!C:Q,4,false)</f>
        <v>Flap</v>
      </c>
      <c r="S297" s="93" t="str">
        <f>VLOOKUP(F297,DATABASE!C:P,11,false)</f>
        <v>Tire</v>
      </c>
      <c r="T297" s="93" t="str">
        <f>vlookup(F297,DATABASE!C:Q,8,false)</f>
        <v>BIAN</v>
      </c>
      <c r="Y297" s="81"/>
      <c r="Z297" s="9"/>
    </row>
    <row r="298" ht="22.5" customHeight="1">
      <c r="A298" s="49"/>
      <c r="C298" s="384">
        <v>45813.0</v>
      </c>
      <c r="D298" s="93">
        <v>45813.0</v>
      </c>
      <c r="E298" s="93" t="s">
        <v>267</v>
      </c>
      <c r="F298" s="74" t="s">
        <v>791</v>
      </c>
      <c r="G298" s="386">
        <v>2.0</v>
      </c>
      <c r="H298" s="74">
        <v>1280000.0</v>
      </c>
      <c r="I298" s="74">
        <v>1380000.0</v>
      </c>
      <c r="J298" s="60">
        <f t="shared" si="1"/>
        <v>45843</v>
      </c>
      <c r="K298" s="74">
        <f>if(F298="SERVICE",O298-(O298*50%),Vlookup(F298,DATABASE!C:Q,10,false)*G298)</f>
        <v>0</v>
      </c>
      <c r="L298" s="74">
        <f>VLOOKUP(F298,DATABASE!C:Q,7,FALSE)</f>
        <v>1210000</v>
      </c>
      <c r="M298" s="74">
        <v>1180000.0</v>
      </c>
      <c r="N298" s="74">
        <f t="shared" si="8"/>
        <v>1180000</v>
      </c>
      <c r="O298" s="74">
        <f t="shared" si="3"/>
        <v>2560000</v>
      </c>
      <c r="P298" s="63">
        <f t="shared" si="4"/>
        <v>2760000</v>
      </c>
      <c r="Q298" s="63">
        <f t="shared" si="5"/>
        <v>400000</v>
      </c>
      <c r="R298" s="93" t="str">
        <f>VLOOKUP(F298,DATABASE!C:Q,4,false)</f>
        <v>GT</v>
      </c>
      <c r="S298" s="93" t="str">
        <f>VLOOKUP(F298,DATABASE!C:P,11,false)</f>
        <v>Tire</v>
      </c>
      <c r="T298" s="93" t="str">
        <f>vlookup(F298,DATABASE!C:Q,8,false)</f>
        <v>BIAN</v>
      </c>
      <c r="Y298" s="81"/>
      <c r="Z298" s="9"/>
    </row>
    <row r="299" ht="22.5" customHeight="1">
      <c r="A299" s="49"/>
      <c r="C299" s="384">
        <v>45813.0</v>
      </c>
      <c r="D299" s="93">
        <v>45813.0</v>
      </c>
      <c r="E299" s="93" t="s">
        <v>267</v>
      </c>
      <c r="F299" s="74" t="s">
        <v>255</v>
      </c>
      <c r="G299" s="386">
        <v>2.0</v>
      </c>
      <c r="H299" s="74">
        <v>200000.0</v>
      </c>
      <c r="I299" s="74">
        <v>220000.0</v>
      </c>
      <c r="J299" s="60">
        <f t="shared" si="1"/>
        <v>45843</v>
      </c>
      <c r="K299" s="74">
        <f>if(F299="SERVICE",O299-(O299*50%),Vlookup(F299,DATABASE!C:Q,10,false)*G299)</f>
        <v>0</v>
      </c>
      <c r="L299" s="74">
        <f>VLOOKUP(F299,DATABASE!C:Q,7,FALSE)</f>
        <v>161840</v>
      </c>
      <c r="M299" s="74">
        <v>161840.0</v>
      </c>
      <c r="N299" s="74">
        <f t="shared" si="8"/>
        <v>165000</v>
      </c>
      <c r="O299" s="74">
        <f t="shared" si="3"/>
        <v>400000</v>
      </c>
      <c r="P299" s="63">
        <f t="shared" si="4"/>
        <v>440000</v>
      </c>
      <c r="Q299" s="63">
        <f t="shared" si="5"/>
        <v>110000</v>
      </c>
      <c r="R299" s="93" t="str">
        <f>VLOOKUP(F299,DATABASE!C:Q,4,false)</f>
        <v>BD</v>
      </c>
      <c r="S299" s="93" t="str">
        <f>VLOOKUP(F299,DATABASE!C:P,11,false)</f>
        <v>Tire</v>
      </c>
      <c r="T299" s="93" t="str">
        <f>vlookup(F299,DATABASE!C:Q,8,false)</f>
        <v>BIAN</v>
      </c>
      <c r="Y299" s="81"/>
      <c r="Z299" s="9"/>
    </row>
    <row r="300" ht="22.5" customHeight="1">
      <c r="A300" s="49"/>
      <c r="C300" s="384">
        <v>45813.0</v>
      </c>
      <c r="D300" s="93">
        <v>45813.0</v>
      </c>
      <c r="E300" s="93" t="s">
        <v>267</v>
      </c>
      <c r="F300" s="74" t="s">
        <v>814</v>
      </c>
      <c r="G300" s="386">
        <v>2.0</v>
      </c>
      <c r="H300" s="74">
        <v>65000.0</v>
      </c>
      <c r="I300" s="74">
        <v>85000.0</v>
      </c>
      <c r="J300" s="60">
        <f t="shared" si="1"/>
        <v>45843</v>
      </c>
      <c r="K300" s="74">
        <f>if(F300="SERVICE",O300-(O300*50%),Vlookup(F300,DATABASE!C:Q,10,false)*G300)</f>
        <v>0</v>
      </c>
      <c r="L300" s="74">
        <f>VLOOKUP(F300,DATABASE!C:Q,7,FALSE)</f>
        <v>39440</v>
      </c>
      <c r="M300" s="74">
        <v>39440.0</v>
      </c>
      <c r="N300" s="74">
        <f t="shared" si="8"/>
        <v>40000</v>
      </c>
      <c r="O300" s="74">
        <f t="shared" si="3"/>
        <v>130000</v>
      </c>
      <c r="P300" s="63">
        <f t="shared" si="4"/>
        <v>170000</v>
      </c>
      <c r="Q300" s="63">
        <f t="shared" si="5"/>
        <v>90000</v>
      </c>
      <c r="R300" s="93" t="str">
        <f>VLOOKUP(F300,DATABASE!C:Q,4,false)</f>
        <v>Flap</v>
      </c>
      <c r="S300" s="93" t="str">
        <f>VLOOKUP(F300,DATABASE!C:P,11,false)</f>
        <v>Tire</v>
      </c>
      <c r="T300" s="93" t="str">
        <f>vlookup(F300,DATABASE!C:Q,8,false)</f>
        <v>BIAN</v>
      </c>
      <c r="Y300" s="81"/>
      <c r="Z300" s="9"/>
    </row>
    <row r="301" ht="22.5" customHeight="1">
      <c r="A301" s="49"/>
      <c r="C301" s="384">
        <v>45815.0</v>
      </c>
      <c r="D301" s="93">
        <v>45815.0</v>
      </c>
      <c r="E301" s="93" t="s">
        <v>422</v>
      </c>
      <c r="F301" s="74" t="s">
        <v>566</v>
      </c>
      <c r="G301" s="386">
        <v>2.0</v>
      </c>
      <c r="H301" s="74">
        <v>1670000.0</v>
      </c>
      <c r="I301" s="74">
        <v>1770000.0</v>
      </c>
      <c r="J301" s="60">
        <f t="shared" si="1"/>
        <v>45845</v>
      </c>
      <c r="K301" s="74">
        <f>if(F301="SERVICE",O301-(O301*50%),Vlookup(F301,DATABASE!C:Q,10,false)*G301)</f>
        <v>0</v>
      </c>
      <c r="L301" s="74">
        <f>VLOOKUP(F301,DATABASE!C:Q,7,FALSE)</f>
        <v>1565000</v>
      </c>
      <c r="M301" s="74">
        <v>1545000.0</v>
      </c>
      <c r="N301" s="74">
        <f t="shared" si="8"/>
        <v>1545000</v>
      </c>
      <c r="O301" s="74">
        <f t="shared" si="3"/>
        <v>3340000</v>
      </c>
      <c r="P301" s="63">
        <f t="shared" si="4"/>
        <v>3540000</v>
      </c>
      <c r="Q301" s="63">
        <f t="shared" si="5"/>
        <v>450000</v>
      </c>
      <c r="R301" s="93" t="str">
        <f>VLOOKUP(F301,DATABASE!C:Q,4,false)</f>
        <v>Bridgestone</v>
      </c>
      <c r="S301" s="93" t="str">
        <f>VLOOKUP(F301,DATABASE!C:P,11,false)</f>
        <v>Tire</v>
      </c>
      <c r="T301" s="93" t="str">
        <f>vlookup(F301,DATABASE!C:Q,8,false)</f>
        <v>IBU</v>
      </c>
      <c r="Y301" s="81"/>
      <c r="Z301" s="9"/>
    </row>
    <row r="302" ht="22.5" customHeight="1">
      <c r="A302" s="49"/>
      <c r="C302" s="384">
        <v>45817.0</v>
      </c>
      <c r="D302" s="93">
        <v>45817.0</v>
      </c>
      <c r="E302" s="93" t="s">
        <v>775</v>
      </c>
      <c r="F302" s="74" t="s">
        <v>295</v>
      </c>
      <c r="G302" s="386">
        <v>2.0</v>
      </c>
      <c r="H302" s="74">
        <v>1750000.0</v>
      </c>
      <c r="I302" s="74">
        <v>1850000.0</v>
      </c>
      <c r="J302" s="60">
        <f t="shared" si="1"/>
        <v>45847</v>
      </c>
      <c r="K302" s="74">
        <f>if(F302="SERVICE",O302-(O302*50%),Vlookup(F302,DATABASE!C:Q,10,false)*G302)</f>
        <v>0</v>
      </c>
      <c r="L302" s="74">
        <f>VLOOKUP(F302,DATABASE!C:Q,7,FALSE)</f>
        <v>1475000</v>
      </c>
      <c r="M302" s="74">
        <v>1425000.0</v>
      </c>
      <c r="N302" s="74">
        <f t="shared" si="8"/>
        <v>1425000</v>
      </c>
      <c r="O302" s="74">
        <f t="shared" si="3"/>
        <v>3500000</v>
      </c>
      <c r="P302" s="63">
        <f t="shared" si="4"/>
        <v>3700000</v>
      </c>
      <c r="Q302" s="63">
        <f t="shared" si="5"/>
        <v>850000</v>
      </c>
      <c r="R302" s="93" t="str">
        <f>VLOOKUP(F302,DATABASE!C:Q,4,false)</f>
        <v>TIRON</v>
      </c>
      <c r="S302" s="93" t="str">
        <f>VLOOKUP(F302,DATABASE!C:P,11,false)</f>
        <v>Tire</v>
      </c>
      <c r="T302" s="93" t="str">
        <f>vlookup(F302,DATABASE!C:Q,8,false)</f>
        <v>BIAN</v>
      </c>
      <c r="Y302" s="81"/>
      <c r="Z302" s="9"/>
    </row>
    <row r="303" ht="22.5" customHeight="1">
      <c r="A303" s="49"/>
      <c r="C303" s="384">
        <v>45817.0</v>
      </c>
      <c r="D303" s="93">
        <v>45817.0</v>
      </c>
      <c r="E303" s="93" t="s">
        <v>775</v>
      </c>
      <c r="F303" s="74" t="s">
        <v>897</v>
      </c>
      <c r="G303" s="386">
        <v>2.0</v>
      </c>
      <c r="H303" s="74">
        <v>1600000.0</v>
      </c>
      <c r="I303" s="74">
        <v>1700000.0</v>
      </c>
      <c r="J303" s="60">
        <f t="shared" si="1"/>
        <v>45847</v>
      </c>
      <c r="K303" s="74">
        <f>if(F303="SERVICE",O303-(O303*50%),Vlookup(F303,DATABASE!C:Q,10,false)*G303)</f>
        <v>0</v>
      </c>
      <c r="L303" s="74">
        <f>VLOOKUP(F303,DATABASE!C:Q,7,FALSE)</f>
        <v>1560000</v>
      </c>
      <c r="M303" s="74">
        <v>1500000.0</v>
      </c>
      <c r="N303" s="74">
        <f t="shared" si="8"/>
        <v>1500000</v>
      </c>
      <c r="O303" s="74">
        <f t="shared" si="3"/>
        <v>3200000</v>
      </c>
      <c r="P303" s="63">
        <f t="shared" si="4"/>
        <v>3400000</v>
      </c>
      <c r="Q303" s="63">
        <f t="shared" si="5"/>
        <v>400000</v>
      </c>
      <c r="R303" s="93" t="str">
        <f>VLOOKUP(F303,DATABASE!C:Q,4,false)</f>
        <v>GT</v>
      </c>
      <c r="S303" s="93" t="str">
        <f>VLOOKUP(F303,DATABASE!C:P,11,false)</f>
        <v>Tire</v>
      </c>
      <c r="T303" s="93" t="str">
        <f>vlookup(F303,DATABASE!C:Q,8,false)</f>
        <v>BIAN</v>
      </c>
      <c r="Y303" s="81"/>
      <c r="Z303" s="9"/>
    </row>
    <row r="304" ht="22.5" customHeight="1">
      <c r="A304" s="49"/>
      <c r="C304" s="384">
        <v>45817.0</v>
      </c>
      <c r="D304" s="93">
        <v>45817.0</v>
      </c>
      <c r="E304" s="93" t="s">
        <v>775</v>
      </c>
      <c r="F304" s="74" t="s">
        <v>374</v>
      </c>
      <c r="G304" s="386">
        <v>2.0</v>
      </c>
      <c r="H304" s="74">
        <v>2050000.0</v>
      </c>
      <c r="I304" s="140">
        <v>2100000.0</v>
      </c>
      <c r="J304" s="60">
        <f t="shared" si="1"/>
        <v>45847</v>
      </c>
      <c r="K304" s="74">
        <f>if(F304="SERVICE",O304-(O304*50%),Vlookup(F304,DATABASE!C:Q,10,false)*G304)</f>
        <v>0</v>
      </c>
      <c r="L304" s="74">
        <f>VLOOKUP(F304,DATABASE!C:Q,7,FALSE)</f>
        <v>1980000</v>
      </c>
      <c r="M304" s="74">
        <v>1850000.0</v>
      </c>
      <c r="N304" s="74">
        <f t="shared" si="8"/>
        <v>1850000</v>
      </c>
      <c r="O304" s="74">
        <f t="shared" si="3"/>
        <v>4100000</v>
      </c>
      <c r="P304" s="63">
        <f t="shared" si="4"/>
        <v>4200000</v>
      </c>
      <c r="Q304" s="63">
        <f t="shared" si="5"/>
        <v>500000</v>
      </c>
      <c r="R304" s="93" t="str">
        <f>VLOOKUP(F304,DATABASE!C:Q,4,false)</f>
        <v>Advance</v>
      </c>
      <c r="S304" s="93" t="str">
        <f>VLOOKUP(F304,DATABASE!C:P,11,false)</f>
        <v>Tire</v>
      </c>
      <c r="T304" s="93" t="str">
        <f>vlookup(F304,DATABASE!C:Q,8,false)</f>
        <v>BIAN</v>
      </c>
      <c r="Y304" s="81"/>
      <c r="Z304" s="9"/>
    </row>
    <row r="305" ht="22.5" customHeight="1">
      <c r="A305" s="49"/>
      <c r="C305" s="384">
        <v>45817.0</v>
      </c>
      <c r="D305" s="93">
        <v>45817.0</v>
      </c>
      <c r="E305" s="93" t="s">
        <v>962</v>
      </c>
      <c r="F305" s="74" t="s">
        <v>1394</v>
      </c>
      <c r="G305" s="386">
        <v>2.0</v>
      </c>
      <c r="H305" s="74">
        <v>540000.0</v>
      </c>
      <c r="I305" s="74">
        <v>630000.0</v>
      </c>
      <c r="J305" s="60">
        <f t="shared" si="1"/>
        <v>45847</v>
      </c>
      <c r="K305" s="74">
        <f>if(F305="SERVICE",O305-(O305*50%),Vlookup(F305,DATABASE!C:Q,10,false)*G305)</f>
        <v>0</v>
      </c>
      <c r="L305" s="74">
        <f>VLOOKUP(F305,DATABASE!C:Q,7,FALSE)</f>
        <v>465000</v>
      </c>
      <c r="M305" s="74">
        <v>455000.0</v>
      </c>
      <c r="N305" s="74">
        <f t="shared" si="8"/>
        <v>455000</v>
      </c>
      <c r="O305" s="74">
        <f t="shared" si="3"/>
        <v>1080000</v>
      </c>
      <c r="P305" s="63">
        <f t="shared" si="4"/>
        <v>1260000</v>
      </c>
      <c r="Q305" s="63">
        <f t="shared" si="5"/>
        <v>350000</v>
      </c>
      <c r="R305" s="93" t="str">
        <f>VLOOKUP(F305,DATABASE!C:Q,4,false)</f>
        <v>Dunlop</v>
      </c>
      <c r="S305" s="93" t="str">
        <f>VLOOKUP(F305,DATABASE!C:P,11,false)</f>
        <v>Tire</v>
      </c>
      <c r="T305" s="93" t="str">
        <f>vlookup(F305,DATABASE!C:Q,8,false)</f>
        <v>IBU</v>
      </c>
      <c r="Y305" s="81"/>
      <c r="Z305" s="9"/>
    </row>
    <row r="306" ht="22.5" customHeight="1">
      <c r="A306" s="49"/>
      <c r="C306" s="384">
        <v>45817.0</v>
      </c>
      <c r="D306" s="93">
        <v>45817.0</v>
      </c>
      <c r="E306" s="93" t="s">
        <v>267</v>
      </c>
      <c r="F306" s="74" t="s">
        <v>924</v>
      </c>
      <c r="G306" s="386">
        <v>2.0</v>
      </c>
      <c r="H306" s="74">
        <v>1750000.0</v>
      </c>
      <c r="I306" s="74">
        <v>1850000.0</v>
      </c>
      <c r="J306" s="60">
        <f t="shared" si="1"/>
        <v>45847</v>
      </c>
      <c r="K306" s="74">
        <f>if(F306="SERVICE",O306-(O306*50%),Vlookup(F306,DATABASE!C:Q,10,false)*G306)</f>
        <v>0</v>
      </c>
      <c r="L306" s="74">
        <f>VLOOKUP(F306,DATABASE!C:Q,7,FALSE)</f>
        <v>1560000</v>
      </c>
      <c r="M306" s="74">
        <v>1545000.0</v>
      </c>
      <c r="N306" s="74">
        <f t="shared" si="8"/>
        <v>1545000</v>
      </c>
      <c r="O306" s="74">
        <f t="shared" si="3"/>
        <v>3500000</v>
      </c>
      <c r="P306" s="63">
        <f t="shared" si="4"/>
        <v>3700000</v>
      </c>
      <c r="Q306" s="63">
        <f t="shared" si="5"/>
        <v>610000</v>
      </c>
      <c r="R306" s="93" t="str">
        <f>VLOOKUP(F306,DATABASE!C:Q,4,false)</f>
        <v>TIRON</v>
      </c>
      <c r="S306" s="93" t="str">
        <f>VLOOKUP(F306,DATABASE!C:P,11,false)</f>
        <v>Tire</v>
      </c>
      <c r="T306" s="93" t="str">
        <f>vlookup(F306,DATABASE!C:Q,8,false)</f>
        <v>BIAN</v>
      </c>
      <c r="Y306" s="81"/>
      <c r="Z306" s="9"/>
    </row>
    <row r="307" ht="22.5" customHeight="1">
      <c r="A307" s="49"/>
      <c r="C307" s="384">
        <v>45819.0</v>
      </c>
      <c r="D307" s="93">
        <v>45819.0</v>
      </c>
      <c r="E307" s="93" t="s">
        <v>486</v>
      </c>
      <c r="F307" s="74" t="s">
        <v>374</v>
      </c>
      <c r="G307" s="386">
        <v>2.0</v>
      </c>
      <c r="H307" s="74">
        <v>2050000.0</v>
      </c>
      <c r="I307" s="74">
        <v>2150000.0</v>
      </c>
      <c r="J307" s="60">
        <f t="shared" si="1"/>
        <v>45849</v>
      </c>
      <c r="K307" s="74">
        <f>if(F307="SERVICE",O307-(O307*50%),Vlookup(F307,DATABASE!C:Q,10,false)*G307)</f>
        <v>0</v>
      </c>
      <c r="L307" s="74">
        <f>VLOOKUP(F307,DATABASE!C:Q,7,FALSE)</f>
        <v>1980000</v>
      </c>
      <c r="M307" s="74">
        <v>1850000.0</v>
      </c>
      <c r="N307" s="74">
        <f t="shared" si="8"/>
        <v>1850000</v>
      </c>
      <c r="O307" s="74">
        <f t="shared" si="3"/>
        <v>4100000</v>
      </c>
      <c r="P307" s="63">
        <f t="shared" si="4"/>
        <v>4300000</v>
      </c>
      <c r="Q307" s="63">
        <f t="shared" si="5"/>
        <v>600000</v>
      </c>
      <c r="R307" s="93" t="str">
        <f>VLOOKUP(F307,DATABASE!C:Q,4,false)</f>
        <v>Advance</v>
      </c>
      <c r="S307" s="93" t="str">
        <f>VLOOKUP(F307,DATABASE!C:P,11,false)</f>
        <v>Tire</v>
      </c>
      <c r="T307" s="93" t="str">
        <f>vlookup(F307,DATABASE!C:Q,8,false)</f>
        <v>BIAN</v>
      </c>
      <c r="Y307" s="81"/>
      <c r="Z307" s="9"/>
    </row>
    <row r="308" ht="22.5" customHeight="1">
      <c r="A308" s="49"/>
      <c r="C308" s="384">
        <v>45819.0</v>
      </c>
      <c r="D308" s="93">
        <v>45819.0</v>
      </c>
      <c r="E308" s="93" t="s">
        <v>741</v>
      </c>
      <c r="F308" s="74" t="s">
        <v>403</v>
      </c>
      <c r="G308" s="386">
        <v>2.0</v>
      </c>
      <c r="H308" s="74">
        <v>2260000.0</v>
      </c>
      <c r="I308" s="74">
        <v>2360000.0</v>
      </c>
      <c r="J308" s="60">
        <f t="shared" si="1"/>
        <v>45849</v>
      </c>
      <c r="K308" s="74">
        <f>if(F308="SERVICE",O308-(O308*50%),Vlookup(F308,DATABASE!C:Q,10,false)*G308)</f>
        <v>0</v>
      </c>
      <c r="L308" s="74">
        <f>VLOOKUP(F308,DATABASE!C:Q,7,FALSE)</f>
        <v>2160000</v>
      </c>
      <c r="M308" s="74">
        <v>2160000.0</v>
      </c>
      <c r="N308" s="74">
        <f t="shared" si="8"/>
        <v>2160000</v>
      </c>
      <c r="O308" s="74">
        <f t="shared" si="3"/>
        <v>4520000</v>
      </c>
      <c r="P308" s="63">
        <f t="shared" si="4"/>
        <v>4720000</v>
      </c>
      <c r="Q308" s="63">
        <f t="shared" si="5"/>
        <v>400000</v>
      </c>
      <c r="R308" s="93" t="str">
        <f>VLOOKUP(F308,DATABASE!C:Q,4,false)</f>
        <v>Advance</v>
      </c>
      <c r="S308" s="93" t="str">
        <f>VLOOKUP(F308,DATABASE!C:P,11,false)</f>
        <v>Tire</v>
      </c>
      <c r="T308" s="93" t="str">
        <f>vlookup(F308,DATABASE!C:Q,8,false)</f>
        <v>BIAN</v>
      </c>
      <c r="Y308" s="81"/>
      <c r="Z308" s="9"/>
    </row>
    <row r="309" ht="22.5" customHeight="1">
      <c r="A309" s="49"/>
      <c r="C309" s="384">
        <v>45821.0</v>
      </c>
      <c r="D309" s="93">
        <v>45821.0</v>
      </c>
      <c r="E309" s="93" t="s">
        <v>144</v>
      </c>
      <c r="F309" s="74" t="s">
        <v>897</v>
      </c>
      <c r="G309" s="93">
        <v>2.0</v>
      </c>
      <c r="H309" s="74">
        <v>1600000.0</v>
      </c>
      <c r="I309" s="74">
        <v>1700000.0</v>
      </c>
      <c r="J309" s="60">
        <f t="shared" si="1"/>
        <v>45851</v>
      </c>
      <c r="K309" s="74">
        <f>if(F309="SERVICE",O309-(O309*50%),Vlookup(F309,DATABASE!C:Q,10,false)*G309)</f>
        <v>0</v>
      </c>
      <c r="L309" s="74">
        <f>VLOOKUP(F309,DATABASE!C:Q,7,FALSE)</f>
        <v>1560000</v>
      </c>
      <c r="M309" s="74">
        <v>1500000.0</v>
      </c>
      <c r="N309" s="74">
        <f t="shared" si="8"/>
        <v>1500000</v>
      </c>
      <c r="O309" s="74">
        <f t="shared" si="3"/>
        <v>3200000</v>
      </c>
      <c r="P309" s="63">
        <f t="shared" si="4"/>
        <v>3400000</v>
      </c>
      <c r="Q309" s="63">
        <f t="shared" si="5"/>
        <v>400000</v>
      </c>
      <c r="R309" s="93" t="str">
        <f>VLOOKUP(F309,DATABASE!C:Q,4,false)</f>
        <v>GT</v>
      </c>
      <c r="S309" s="93" t="str">
        <f>VLOOKUP(F309,DATABASE!C:P,11,false)</f>
        <v>Tire</v>
      </c>
      <c r="T309" s="93" t="str">
        <f>vlookup(F309,DATABASE!C:Q,8,false)</f>
        <v>BIAN</v>
      </c>
      <c r="Y309" s="81"/>
      <c r="Z309" s="9"/>
    </row>
    <row r="310" ht="22.5" customHeight="1">
      <c r="A310" s="49"/>
      <c r="C310" s="384">
        <v>45821.0</v>
      </c>
      <c r="D310" s="93">
        <v>45821.0</v>
      </c>
      <c r="E310" s="93" t="s">
        <v>267</v>
      </c>
      <c r="F310" s="74" t="s">
        <v>1862</v>
      </c>
      <c r="G310" s="386">
        <v>2.0</v>
      </c>
      <c r="H310" s="74">
        <v>2150000.0</v>
      </c>
      <c r="I310" s="74">
        <v>2250000.0</v>
      </c>
      <c r="J310" s="60">
        <f t="shared" si="1"/>
        <v>45851</v>
      </c>
      <c r="K310" s="74">
        <f>if(F310="SERVICE",O310-(O310*50%),Vlookup(F310,DATABASE!C:Q,10,false)*G310)</f>
        <v>0</v>
      </c>
      <c r="L310" s="74">
        <f>VLOOKUP(F310,DATABASE!C:Q,7,FALSE)</f>
        <v>2080000</v>
      </c>
      <c r="M310" s="74">
        <v>2050000.0</v>
      </c>
      <c r="N310" s="74">
        <f t="shared" si="8"/>
        <v>2050000</v>
      </c>
      <c r="O310" s="74">
        <f t="shared" si="3"/>
        <v>4300000</v>
      </c>
      <c r="P310" s="63">
        <f t="shared" si="4"/>
        <v>4500000</v>
      </c>
      <c r="Q310" s="63">
        <f t="shared" si="5"/>
        <v>400000</v>
      </c>
      <c r="R310" s="93" t="str">
        <f>VLOOKUP(F310,DATABASE!C:Q,4,false)</f>
        <v>GiTi</v>
      </c>
      <c r="S310" s="93" t="str">
        <f>VLOOKUP(F310,DATABASE!C:P,11,false)</f>
        <v>Tire</v>
      </c>
      <c r="T310" s="93" t="str">
        <f>vlookup(F310,DATABASE!C:Q,8,false)</f>
        <v>BIAN</v>
      </c>
      <c r="Y310" s="81"/>
      <c r="Z310" s="9"/>
    </row>
    <row r="311" ht="22.5" customHeight="1">
      <c r="A311" s="49"/>
      <c r="C311" s="384">
        <v>45821.0</v>
      </c>
      <c r="D311" s="93">
        <v>45821.0</v>
      </c>
      <c r="E311" s="93" t="s">
        <v>234</v>
      </c>
      <c r="F311" s="74" t="s">
        <v>791</v>
      </c>
      <c r="G311" s="386">
        <v>1.0</v>
      </c>
      <c r="H311" s="74">
        <v>1280000.0</v>
      </c>
      <c r="I311" s="74">
        <v>1380000.0</v>
      </c>
      <c r="J311" s="60">
        <f t="shared" si="1"/>
        <v>45851</v>
      </c>
      <c r="K311" s="74">
        <f>if(F311="SERVICE",O311-(O311*50%),Vlookup(F311,DATABASE!C:Q,10,false)*G311)</f>
        <v>0</v>
      </c>
      <c r="L311" s="74">
        <f>VLOOKUP(F311,DATABASE!C:Q,7,FALSE)</f>
        <v>1210000</v>
      </c>
      <c r="M311" s="74">
        <v>1180000.0</v>
      </c>
      <c r="N311" s="74">
        <f t="shared" si="8"/>
        <v>1180000</v>
      </c>
      <c r="O311" s="74">
        <f t="shared" si="3"/>
        <v>1280000</v>
      </c>
      <c r="P311" s="63">
        <f t="shared" si="4"/>
        <v>1380000</v>
      </c>
      <c r="Q311" s="63">
        <f t="shared" si="5"/>
        <v>200000</v>
      </c>
      <c r="R311" s="93" t="str">
        <f>VLOOKUP(F311,DATABASE!C:Q,4,false)</f>
        <v>GT</v>
      </c>
      <c r="S311" s="93" t="str">
        <f>VLOOKUP(F311,DATABASE!C:P,11,false)</f>
        <v>Tire</v>
      </c>
      <c r="T311" s="93" t="str">
        <f>vlookup(F311,DATABASE!C:Q,8,false)</f>
        <v>BIAN</v>
      </c>
      <c r="Y311" s="81"/>
      <c r="Z311" s="9"/>
    </row>
    <row r="312" ht="22.5" customHeight="1">
      <c r="A312" s="49"/>
      <c r="C312" s="384">
        <v>45821.0</v>
      </c>
      <c r="D312" s="93">
        <v>45821.0</v>
      </c>
      <c r="E312" s="93" t="s">
        <v>234</v>
      </c>
      <c r="F312" s="74" t="s">
        <v>255</v>
      </c>
      <c r="G312" s="386">
        <v>2.0</v>
      </c>
      <c r="H312" s="74">
        <v>200000.0</v>
      </c>
      <c r="I312" s="74">
        <v>220000.0</v>
      </c>
      <c r="J312" s="60">
        <f t="shared" si="1"/>
        <v>45851</v>
      </c>
      <c r="K312" s="74">
        <f>if(F312="SERVICE",O312-(O312*50%),Vlookup(F312,DATABASE!C:Q,10,false)*G312)</f>
        <v>0</v>
      </c>
      <c r="L312" s="74">
        <f>VLOOKUP(F312,DATABASE!C:Q,7,FALSE)</f>
        <v>161840</v>
      </c>
      <c r="M312" s="74">
        <v>161840.0</v>
      </c>
      <c r="N312" s="74">
        <f t="shared" si="8"/>
        <v>165000</v>
      </c>
      <c r="O312" s="74">
        <f t="shared" si="3"/>
        <v>400000</v>
      </c>
      <c r="P312" s="63">
        <f t="shared" si="4"/>
        <v>440000</v>
      </c>
      <c r="Q312" s="63">
        <f t="shared" si="5"/>
        <v>110000</v>
      </c>
      <c r="R312" s="93" t="str">
        <f>VLOOKUP(F312,DATABASE!C:Q,4,false)</f>
        <v>BD</v>
      </c>
      <c r="S312" s="93" t="str">
        <f>VLOOKUP(F312,DATABASE!C:P,11,false)</f>
        <v>Tire</v>
      </c>
      <c r="T312" s="93" t="str">
        <f>vlookup(F312,DATABASE!C:Q,8,false)</f>
        <v>BIAN</v>
      </c>
      <c r="Y312" s="81"/>
      <c r="Z312" s="9"/>
    </row>
    <row r="313" ht="22.5" customHeight="1">
      <c r="A313" s="49"/>
      <c r="C313" s="384">
        <v>45821.0</v>
      </c>
      <c r="D313" s="93">
        <v>45821.0</v>
      </c>
      <c r="E313" s="93" t="s">
        <v>267</v>
      </c>
      <c r="F313" s="74" t="s">
        <v>647</v>
      </c>
      <c r="G313" s="386">
        <v>2.0</v>
      </c>
      <c r="H313" s="74">
        <v>1470000.0</v>
      </c>
      <c r="I313" s="74">
        <v>1570000.0</v>
      </c>
      <c r="J313" s="60">
        <f t="shared" si="1"/>
        <v>45851</v>
      </c>
      <c r="K313" s="74">
        <f>if(F313="SERVICE",O313-(O313*50%),Vlookup(F313,DATABASE!C:Q,10,false)*G313)</f>
        <v>0</v>
      </c>
      <c r="L313" s="74">
        <f>VLOOKUP(F313,DATABASE!C:Q,7,FALSE)</f>
        <v>1420000</v>
      </c>
      <c r="M313" s="74">
        <v>1420000.0</v>
      </c>
      <c r="N313" s="74">
        <f t="shared" si="8"/>
        <v>1420000</v>
      </c>
      <c r="O313" s="74">
        <f t="shared" si="3"/>
        <v>2940000</v>
      </c>
      <c r="P313" s="63">
        <f t="shared" si="4"/>
        <v>3140000</v>
      </c>
      <c r="Q313" s="63">
        <f t="shared" si="5"/>
        <v>300000</v>
      </c>
      <c r="R313" s="93" t="str">
        <f>VLOOKUP(F313,DATABASE!C:Q,4,false)</f>
        <v>G. YEAR</v>
      </c>
      <c r="S313" s="93" t="str">
        <f>VLOOKUP(F313,DATABASE!C:P,11,false)</f>
        <v>Tire</v>
      </c>
      <c r="T313" s="93" t="str">
        <f>vlookup(F313,DATABASE!C:Q,8,false)</f>
        <v>BIAN</v>
      </c>
      <c r="Y313" s="81"/>
      <c r="Z313" s="9"/>
    </row>
    <row r="314" ht="22.5" customHeight="1">
      <c r="A314" s="49"/>
      <c r="C314" s="384">
        <v>45821.0</v>
      </c>
      <c r="D314" s="93">
        <v>45821.0</v>
      </c>
      <c r="E314" s="93" t="s">
        <v>267</v>
      </c>
      <c r="F314" s="74" t="s">
        <v>744</v>
      </c>
      <c r="G314" s="386">
        <v>2.0</v>
      </c>
      <c r="H314" s="74">
        <v>230000.0</v>
      </c>
      <c r="I314" s="74">
        <v>250000.0</v>
      </c>
      <c r="J314" s="60">
        <f t="shared" si="1"/>
        <v>45851</v>
      </c>
      <c r="K314" s="74">
        <f>if(F314="SERVICE",O314-(O314*50%),Vlookup(F314,DATABASE!C:Q,10,false)*G314)</f>
        <v>0</v>
      </c>
      <c r="L314" s="74">
        <f>VLOOKUP(F314,DATABASE!C:Q,7,FALSE)</f>
        <v>182200</v>
      </c>
      <c r="M314" s="74">
        <v>199920.0</v>
      </c>
      <c r="N314" s="74">
        <f t="shared" si="8"/>
        <v>200000</v>
      </c>
      <c r="O314" s="74">
        <f t="shared" si="3"/>
        <v>460000</v>
      </c>
      <c r="P314" s="63">
        <f t="shared" si="4"/>
        <v>500000</v>
      </c>
      <c r="Q314" s="63">
        <f t="shared" si="5"/>
        <v>100000</v>
      </c>
      <c r="R314" s="93" t="str">
        <f>VLOOKUP(F314,DATABASE!C:Q,4,false)</f>
        <v>BD</v>
      </c>
      <c r="S314" s="93" t="str">
        <f>VLOOKUP(F314,DATABASE!C:P,11,false)</f>
        <v>Tire</v>
      </c>
      <c r="T314" s="93" t="str">
        <f>vlookup(F314,DATABASE!C:Q,8,false)</f>
        <v>BIAN</v>
      </c>
      <c r="Y314" s="81"/>
      <c r="Z314" s="9"/>
    </row>
    <row r="315" ht="22.5" customHeight="1">
      <c r="A315" s="49"/>
      <c r="C315" s="384">
        <v>45821.0</v>
      </c>
      <c r="D315" s="93">
        <v>45821.0</v>
      </c>
      <c r="E315" s="93" t="s">
        <v>267</v>
      </c>
      <c r="F315" s="74" t="s">
        <v>821</v>
      </c>
      <c r="G315" s="386">
        <v>2.0</v>
      </c>
      <c r="H315" s="74">
        <v>85000.0</v>
      </c>
      <c r="I315" s="74">
        <v>100000.0</v>
      </c>
      <c r="J315" s="60">
        <f t="shared" si="1"/>
        <v>45851</v>
      </c>
      <c r="K315" s="74">
        <f>if(F315="SERVICE",O315-(O315*50%),Vlookup(F315,DATABASE!C:Q,10,false)*G315)</f>
        <v>0</v>
      </c>
      <c r="L315" s="74">
        <f>VLOOKUP(F315,DATABASE!C:Q,7,FALSE)</f>
        <v>43500</v>
      </c>
      <c r="M315" s="74">
        <v>43520.0</v>
      </c>
      <c r="N315" s="74">
        <f t="shared" si="8"/>
        <v>45000</v>
      </c>
      <c r="O315" s="74">
        <f t="shared" si="3"/>
        <v>170000</v>
      </c>
      <c r="P315" s="63">
        <f t="shared" si="4"/>
        <v>200000</v>
      </c>
      <c r="Q315" s="63">
        <f t="shared" si="5"/>
        <v>110000</v>
      </c>
      <c r="R315" s="93" t="str">
        <f>VLOOKUP(F315,DATABASE!C:Q,4,false)</f>
        <v>Flap</v>
      </c>
      <c r="S315" s="93" t="str">
        <f>VLOOKUP(F315,DATABASE!C:P,11,false)</f>
        <v>Tire</v>
      </c>
      <c r="T315" s="93" t="str">
        <f>vlookup(F315,DATABASE!C:Q,8,false)</f>
        <v>BIAN</v>
      </c>
      <c r="Y315" s="81"/>
      <c r="Z315" s="9"/>
    </row>
    <row r="316" ht="22.5" customHeight="1">
      <c r="A316" s="49"/>
      <c r="C316" s="384">
        <v>45821.0</v>
      </c>
      <c r="D316" s="93">
        <v>45821.0</v>
      </c>
      <c r="E316" s="65" t="s">
        <v>267</v>
      </c>
      <c r="F316" s="74" t="s">
        <v>1858</v>
      </c>
      <c r="G316" s="386">
        <v>2.0</v>
      </c>
      <c r="H316" s="74">
        <v>2125000.0</v>
      </c>
      <c r="I316" s="74">
        <v>2225000.0</v>
      </c>
      <c r="J316" s="60">
        <f t="shared" si="1"/>
        <v>45851</v>
      </c>
      <c r="K316" s="74">
        <f>if(F316="SERVICE",O316-(O316*50%),Vlookup(F316,DATABASE!C:Q,10,false)*G316)</f>
        <v>0</v>
      </c>
      <c r="L316" s="74">
        <f>VLOOKUP(F316,DATABASE!C:Q,7,FALSE)</f>
        <v>2030000</v>
      </c>
      <c r="M316" s="74">
        <v>2030000.0</v>
      </c>
      <c r="N316" s="74">
        <f t="shared" si="8"/>
        <v>2030000</v>
      </c>
      <c r="O316" s="74">
        <f t="shared" si="3"/>
        <v>4250000</v>
      </c>
      <c r="P316" s="63">
        <f t="shared" si="4"/>
        <v>4450000</v>
      </c>
      <c r="Q316" s="63">
        <f t="shared" si="5"/>
        <v>390000</v>
      </c>
      <c r="R316" s="93" t="str">
        <f>VLOOKUP(F316,DATABASE!C:Q,4,false)</f>
        <v>GiTi</v>
      </c>
      <c r="S316" s="93" t="str">
        <f>VLOOKUP(F316,DATABASE!C:P,11,false)</f>
        <v>Tire</v>
      </c>
      <c r="T316" s="93" t="str">
        <f>vlookup(F316,DATABASE!C:Q,8,false)</f>
        <v>BIAN</v>
      </c>
      <c r="Y316" s="81"/>
      <c r="Z316" s="9"/>
    </row>
    <row r="317" ht="22.5" customHeight="1">
      <c r="A317" s="49"/>
      <c r="C317" s="384">
        <v>45822.0</v>
      </c>
      <c r="D317" s="93">
        <v>45822.0</v>
      </c>
      <c r="E317" s="93" t="s">
        <v>536</v>
      </c>
      <c r="F317" s="74" t="s">
        <v>897</v>
      </c>
      <c r="G317" s="386">
        <v>1.0</v>
      </c>
      <c r="H317" s="74">
        <v>1600000.0</v>
      </c>
      <c r="I317" s="74">
        <v>1700000.0</v>
      </c>
      <c r="J317" s="60">
        <f t="shared" si="1"/>
        <v>45852</v>
      </c>
      <c r="K317" s="74">
        <f>if(F317="SERVICE",O317-(O317*50%),Vlookup(F317,DATABASE!C:Q,10,false)*G317)</f>
        <v>0</v>
      </c>
      <c r="L317" s="74">
        <f>VLOOKUP(F317,DATABASE!C:Q,7,FALSE)</f>
        <v>1560000</v>
      </c>
      <c r="M317" s="74">
        <v>1500000.0</v>
      </c>
      <c r="N317" s="74">
        <f t="shared" si="8"/>
        <v>1500000</v>
      </c>
      <c r="O317" s="74">
        <f t="shared" si="3"/>
        <v>1600000</v>
      </c>
      <c r="P317" s="63">
        <f t="shared" si="4"/>
        <v>1700000</v>
      </c>
      <c r="Q317" s="63">
        <f t="shared" si="5"/>
        <v>200000</v>
      </c>
      <c r="R317" s="93" t="str">
        <f>VLOOKUP(F317,DATABASE!C:Q,4,false)</f>
        <v>GT</v>
      </c>
      <c r="S317" s="93" t="str">
        <f>VLOOKUP(F317,DATABASE!C:P,11,false)</f>
        <v>Tire</v>
      </c>
      <c r="T317" s="93" t="str">
        <f>vlookup(F317,DATABASE!C:Q,8,false)</f>
        <v>BIAN</v>
      </c>
      <c r="Y317" s="81"/>
      <c r="Z317" s="9"/>
    </row>
    <row r="318" ht="22.5" customHeight="1">
      <c r="A318" s="49"/>
      <c r="C318" s="384">
        <v>45822.0</v>
      </c>
      <c r="D318" s="93">
        <v>45822.0</v>
      </c>
      <c r="E318" s="93" t="s">
        <v>536</v>
      </c>
      <c r="F318" s="74" t="s">
        <v>821</v>
      </c>
      <c r="G318" s="386">
        <v>1.0</v>
      </c>
      <c r="H318" s="74">
        <v>85000.0</v>
      </c>
      <c r="I318" s="74">
        <v>100000.0</v>
      </c>
      <c r="J318" s="60">
        <f t="shared" si="1"/>
        <v>45852</v>
      </c>
      <c r="K318" s="74">
        <f>if(F318="SERVICE",O318-(O318*50%),Vlookup(F318,DATABASE!C:Q,10,false)*G318)</f>
        <v>0</v>
      </c>
      <c r="L318" s="74">
        <f>VLOOKUP(F318,DATABASE!C:Q,7,FALSE)</f>
        <v>43500</v>
      </c>
      <c r="M318" s="74">
        <v>43520.0</v>
      </c>
      <c r="N318" s="74">
        <f t="shared" si="8"/>
        <v>45000</v>
      </c>
      <c r="O318" s="74">
        <f t="shared" si="3"/>
        <v>85000</v>
      </c>
      <c r="P318" s="63">
        <f t="shared" si="4"/>
        <v>100000</v>
      </c>
      <c r="Q318" s="63">
        <f t="shared" si="5"/>
        <v>55000</v>
      </c>
      <c r="R318" s="93" t="str">
        <f>VLOOKUP(F318,DATABASE!C:Q,4,false)</f>
        <v>Flap</v>
      </c>
      <c r="S318" s="93" t="str">
        <f>VLOOKUP(F318,DATABASE!C:P,11,false)</f>
        <v>Tire</v>
      </c>
      <c r="T318" s="93" t="str">
        <f>vlookup(F318,DATABASE!C:Q,8,false)</f>
        <v>BIAN</v>
      </c>
      <c r="Y318" s="81"/>
      <c r="Z318" s="9"/>
    </row>
    <row r="319" ht="22.5" customHeight="1">
      <c r="A319" s="49"/>
      <c r="C319" s="384">
        <v>45822.0</v>
      </c>
      <c r="D319" s="93">
        <v>45822.0</v>
      </c>
      <c r="E319" s="93" t="s">
        <v>267</v>
      </c>
      <c r="F319" s="74" t="s">
        <v>374</v>
      </c>
      <c r="G319" s="386">
        <v>1.0</v>
      </c>
      <c r="H319" s="74">
        <v>2050000.0</v>
      </c>
      <c r="I319" s="74">
        <v>2150000.0</v>
      </c>
      <c r="J319" s="60">
        <f t="shared" si="1"/>
        <v>45852</v>
      </c>
      <c r="K319" s="74">
        <f>if(F319="SERVICE",O319-(O319*50%),Vlookup(F319,DATABASE!C:Q,10,false)*G319)</f>
        <v>0</v>
      </c>
      <c r="L319" s="74">
        <f>VLOOKUP(F319,DATABASE!C:Q,7,FALSE)</f>
        <v>1980000</v>
      </c>
      <c r="M319" s="74">
        <v>1850000.0</v>
      </c>
      <c r="N319" s="74">
        <f t="shared" si="8"/>
        <v>1850000</v>
      </c>
      <c r="O319" s="74">
        <f t="shared" si="3"/>
        <v>2050000</v>
      </c>
      <c r="P319" s="63">
        <f t="shared" si="4"/>
        <v>2150000</v>
      </c>
      <c r="Q319" s="63">
        <f t="shared" si="5"/>
        <v>300000</v>
      </c>
      <c r="R319" s="93" t="str">
        <f>VLOOKUP(F319,DATABASE!C:Q,4,false)</f>
        <v>Advance</v>
      </c>
      <c r="S319" s="93" t="str">
        <f>VLOOKUP(F319,DATABASE!C:P,11,false)</f>
        <v>Tire</v>
      </c>
      <c r="T319" s="93" t="str">
        <f>vlookup(F319,DATABASE!C:Q,8,false)</f>
        <v>BIAN</v>
      </c>
      <c r="Y319" s="81"/>
      <c r="Z319" s="9"/>
    </row>
    <row r="320" ht="22.5" customHeight="1">
      <c r="A320" s="49"/>
      <c r="C320" s="384">
        <v>45822.0</v>
      </c>
      <c r="D320" s="93">
        <v>45822.0</v>
      </c>
      <c r="E320" s="93" t="s">
        <v>267</v>
      </c>
      <c r="F320" s="74" t="s">
        <v>791</v>
      </c>
      <c r="G320" s="386">
        <v>1.0</v>
      </c>
      <c r="H320" s="74">
        <v>1280000.0</v>
      </c>
      <c r="I320" s="74">
        <v>1380000.0</v>
      </c>
      <c r="J320" s="60">
        <f t="shared" si="1"/>
        <v>45852</v>
      </c>
      <c r="K320" s="74">
        <f>if(F320="SERVICE",O320-(O320*50%),Vlookup(F320,DATABASE!C:Q,10,false)*G320)</f>
        <v>0</v>
      </c>
      <c r="L320" s="74">
        <f>VLOOKUP(F320,DATABASE!C:Q,7,FALSE)</f>
        <v>1210000</v>
      </c>
      <c r="M320" s="74">
        <v>1180000.0</v>
      </c>
      <c r="N320" s="74">
        <f t="shared" si="8"/>
        <v>1180000</v>
      </c>
      <c r="O320" s="74">
        <f t="shared" si="3"/>
        <v>1280000</v>
      </c>
      <c r="P320" s="63">
        <f t="shared" si="4"/>
        <v>1380000</v>
      </c>
      <c r="Q320" s="63">
        <f t="shared" si="5"/>
        <v>200000</v>
      </c>
      <c r="R320" s="93" t="str">
        <f>VLOOKUP(F320,DATABASE!C:Q,4,false)</f>
        <v>GT</v>
      </c>
      <c r="S320" s="93" t="str">
        <f>VLOOKUP(F320,DATABASE!C:P,11,false)</f>
        <v>Tire</v>
      </c>
      <c r="T320" s="93" t="str">
        <f>vlookup(F320,DATABASE!C:Q,8,false)</f>
        <v>BIAN</v>
      </c>
      <c r="Y320" s="81"/>
      <c r="Z320" s="9"/>
    </row>
    <row r="321" ht="22.5" customHeight="1">
      <c r="A321" s="49"/>
      <c r="C321" s="384">
        <v>45822.0</v>
      </c>
      <c r="D321" s="93">
        <v>45822.0</v>
      </c>
      <c r="E321" s="93" t="s">
        <v>267</v>
      </c>
      <c r="F321" s="74" t="s">
        <v>255</v>
      </c>
      <c r="G321" s="386">
        <v>1.0</v>
      </c>
      <c r="H321" s="74">
        <v>200000.0</v>
      </c>
      <c r="I321" s="74">
        <v>220000.0</v>
      </c>
      <c r="J321" s="60">
        <f t="shared" si="1"/>
        <v>45852</v>
      </c>
      <c r="K321" s="74">
        <f>if(F321="SERVICE",O321-(O321*50%),Vlookup(F321,DATABASE!C:Q,10,false)*G321)</f>
        <v>0</v>
      </c>
      <c r="L321" s="74">
        <f>VLOOKUP(F321,DATABASE!C:Q,7,FALSE)</f>
        <v>161840</v>
      </c>
      <c r="M321" s="74">
        <v>161840.0</v>
      </c>
      <c r="N321" s="74">
        <f t="shared" si="8"/>
        <v>165000</v>
      </c>
      <c r="O321" s="74">
        <f t="shared" si="3"/>
        <v>200000</v>
      </c>
      <c r="P321" s="63">
        <f t="shared" si="4"/>
        <v>220000</v>
      </c>
      <c r="Q321" s="63">
        <f t="shared" si="5"/>
        <v>55000</v>
      </c>
      <c r="R321" s="93" t="str">
        <f>VLOOKUP(F321,DATABASE!C:Q,4,false)</f>
        <v>BD</v>
      </c>
      <c r="S321" s="93" t="str">
        <f>VLOOKUP(F321,DATABASE!C:P,11,false)</f>
        <v>Tire</v>
      </c>
      <c r="T321" s="93" t="str">
        <f>vlookup(F321,DATABASE!C:Q,8,false)</f>
        <v>BIAN</v>
      </c>
      <c r="Y321" s="81"/>
      <c r="Z321" s="9"/>
    </row>
    <row r="322" ht="22.5" customHeight="1">
      <c r="A322" s="49"/>
      <c r="C322" s="384">
        <v>45822.0</v>
      </c>
      <c r="D322" s="93">
        <v>45822.0</v>
      </c>
      <c r="E322" s="93" t="s">
        <v>267</v>
      </c>
      <c r="F322" s="74" t="s">
        <v>814</v>
      </c>
      <c r="G322" s="386">
        <v>1.0</v>
      </c>
      <c r="H322" s="74">
        <v>65000.0</v>
      </c>
      <c r="I322" s="74">
        <v>850000.0</v>
      </c>
      <c r="J322" s="60">
        <f t="shared" si="1"/>
        <v>45852</v>
      </c>
      <c r="K322" s="74">
        <f>if(F322="SERVICE",O322-(O322*50%),Vlookup(F322,DATABASE!C:Q,10,false)*G322)</f>
        <v>0</v>
      </c>
      <c r="L322" s="74">
        <f>VLOOKUP(F322,DATABASE!C:Q,7,FALSE)</f>
        <v>39440</v>
      </c>
      <c r="M322" s="74">
        <v>39440.0</v>
      </c>
      <c r="N322" s="74">
        <f t="shared" si="8"/>
        <v>40000</v>
      </c>
      <c r="O322" s="74">
        <f t="shared" si="3"/>
        <v>65000</v>
      </c>
      <c r="P322" s="63">
        <f t="shared" si="4"/>
        <v>850000</v>
      </c>
      <c r="Q322" s="63">
        <f t="shared" si="5"/>
        <v>810000</v>
      </c>
      <c r="R322" s="93" t="str">
        <f>VLOOKUP(F322,DATABASE!C:Q,4,false)</f>
        <v>Flap</v>
      </c>
      <c r="S322" s="93" t="str">
        <f>VLOOKUP(F322,DATABASE!C:P,11,false)</f>
        <v>Tire</v>
      </c>
      <c r="T322" s="93" t="str">
        <f>vlookup(F322,DATABASE!C:Q,8,false)</f>
        <v>BIAN</v>
      </c>
      <c r="Y322" s="81"/>
      <c r="Z322" s="9"/>
    </row>
    <row r="323" ht="22.5" customHeight="1">
      <c r="A323" s="49"/>
      <c r="C323" s="384">
        <v>45824.0</v>
      </c>
      <c r="D323" s="93">
        <v>45824.0</v>
      </c>
      <c r="E323" s="93" t="s">
        <v>583</v>
      </c>
      <c r="F323" s="74" t="s">
        <v>924</v>
      </c>
      <c r="G323" s="386">
        <v>2.0</v>
      </c>
      <c r="H323" s="74">
        <v>1750000.0</v>
      </c>
      <c r="I323" s="74">
        <v>1850000.0</v>
      </c>
      <c r="J323" s="60">
        <f t="shared" si="1"/>
        <v>45854</v>
      </c>
      <c r="K323" s="74">
        <f>if(F323="SERVICE",O323-(O323*50%),Vlookup(F323,DATABASE!C:Q,10,false)*G323)</f>
        <v>0</v>
      </c>
      <c r="L323" s="74">
        <f>VLOOKUP(F323,DATABASE!C:Q,7,FALSE)</f>
        <v>1560000</v>
      </c>
      <c r="M323" s="74">
        <v>1545000.0</v>
      </c>
      <c r="N323" s="74">
        <f t="shared" si="8"/>
        <v>1545000</v>
      </c>
      <c r="O323" s="74">
        <f t="shared" si="3"/>
        <v>3500000</v>
      </c>
      <c r="P323" s="63">
        <f t="shared" si="4"/>
        <v>3700000</v>
      </c>
      <c r="Q323" s="63">
        <f t="shared" si="5"/>
        <v>610000</v>
      </c>
      <c r="R323" s="93" t="str">
        <f>VLOOKUP(F323,DATABASE!C:Q,4,false)</f>
        <v>TIRON</v>
      </c>
      <c r="S323" s="93" t="str">
        <f>VLOOKUP(F323,DATABASE!C:P,11,false)</f>
        <v>Tire</v>
      </c>
      <c r="T323" s="93" t="str">
        <f>vlookup(F323,DATABASE!C:Q,8,false)</f>
        <v>BIAN</v>
      </c>
      <c r="Y323" s="81"/>
      <c r="Z323" s="9"/>
    </row>
    <row r="324" ht="22.5" customHeight="1">
      <c r="A324" s="49"/>
      <c r="C324" s="384">
        <v>45824.0</v>
      </c>
      <c r="D324" s="93">
        <v>45824.0</v>
      </c>
      <c r="E324" s="93" t="s">
        <v>927</v>
      </c>
      <c r="F324" s="74" t="s">
        <v>374</v>
      </c>
      <c r="G324" s="386">
        <v>2.0</v>
      </c>
      <c r="H324" s="74">
        <v>1950000.0</v>
      </c>
      <c r="I324" s="74">
        <v>2050000.0</v>
      </c>
      <c r="J324" s="60">
        <f t="shared" si="1"/>
        <v>45854</v>
      </c>
      <c r="K324" s="74">
        <f>if(F324="SERVICE",O324-(O324*50%),Vlookup(F324,DATABASE!C:Q,10,false)*G324)</f>
        <v>0</v>
      </c>
      <c r="L324" s="74">
        <f>VLOOKUP(F324,DATABASE!C:Q,7,FALSE)</f>
        <v>1980000</v>
      </c>
      <c r="M324" s="74">
        <v>1850000.0</v>
      </c>
      <c r="N324" s="74">
        <f t="shared" si="8"/>
        <v>1850000</v>
      </c>
      <c r="O324" s="74">
        <f t="shared" si="3"/>
        <v>3900000</v>
      </c>
      <c r="P324" s="63">
        <f t="shared" si="4"/>
        <v>4100000</v>
      </c>
      <c r="Q324" s="63">
        <f t="shared" si="5"/>
        <v>400000</v>
      </c>
      <c r="R324" s="93" t="str">
        <f>VLOOKUP(F324,DATABASE!C:Q,4,false)</f>
        <v>Advance</v>
      </c>
      <c r="S324" s="93" t="str">
        <f>VLOOKUP(F324,DATABASE!C:P,11,false)</f>
        <v>Tire</v>
      </c>
      <c r="T324" s="93" t="str">
        <f>vlookup(F324,DATABASE!C:Q,8,false)</f>
        <v>BIAN</v>
      </c>
      <c r="Y324" s="81"/>
      <c r="Z324" s="9"/>
    </row>
    <row r="325" ht="22.5" customHeight="1">
      <c r="A325" s="49"/>
      <c r="C325" s="384">
        <v>45828.0</v>
      </c>
      <c r="D325" s="93">
        <v>45828.0</v>
      </c>
      <c r="E325" s="93" t="s">
        <v>422</v>
      </c>
      <c r="F325" s="74" t="s">
        <v>374</v>
      </c>
      <c r="G325" s="386">
        <v>2.0</v>
      </c>
      <c r="H325" s="74">
        <v>1950000.0</v>
      </c>
      <c r="I325" s="74">
        <v>2050000.0</v>
      </c>
      <c r="J325" s="60">
        <f t="shared" si="1"/>
        <v>45858</v>
      </c>
      <c r="K325" s="74">
        <f>if(F325="SERVICE",O325-(O325*50%),Vlookup(F325,DATABASE!C:Q,10,false)*G325)</f>
        <v>0</v>
      </c>
      <c r="L325" s="74">
        <f>VLOOKUP(F325,DATABASE!C:Q,7,FALSE)</f>
        <v>1980000</v>
      </c>
      <c r="M325" s="74">
        <v>1850000.0</v>
      </c>
      <c r="N325" s="74">
        <f t="shared" si="8"/>
        <v>1850000</v>
      </c>
      <c r="O325" s="74">
        <f t="shared" si="3"/>
        <v>3900000</v>
      </c>
      <c r="P325" s="63">
        <f t="shared" si="4"/>
        <v>4100000</v>
      </c>
      <c r="Q325" s="63">
        <f t="shared" si="5"/>
        <v>400000</v>
      </c>
      <c r="R325" s="93" t="str">
        <f>VLOOKUP(F325,DATABASE!C:Q,4,false)</f>
        <v>Advance</v>
      </c>
      <c r="S325" s="93" t="str">
        <f>VLOOKUP(F325,DATABASE!C:P,11,false)</f>
        <v>Tire</v>
      </c>
      <c r="T325" s="93" t="str">
        <f>vlookup(F325,DATABASE!C:Q,8,false)</f>
        <v>BIAN</v>
      </c>
      <c r="Y325" s="81"/>
      <c r="Z325" s="9"/>
    </row>
    <row r="326" ht="22.5" customHeight="1">
      <c r="A326" s="49"/>
      <c r="C326" s="384">
        <v>45828.0</v>
      </c>
      <c r="D326" s="93">
        <v>45828.0</v>
      </c>
      <c r="E326" s="93" t="s">
        <v>249</v>
      </c>
      <c r="F326" s="74" t="s">
        <v>288</v>
      </c>
      <c r="G326" s="386">
        <v>2.0</v>
      </c>
      <c r="H326" s="74">
        <v>620000.0</v>
      </c>
      <c r="I326" s="74">
        <v>645000.0</v>
      </c>
      <c r="J326" s="60">
        <f t="shared" si="1"/>
        <v>45858</v>
      </c>
      <c r="K326" s="74">
        <f>if(F326="SERVICE",O326-(O326*50%),Vlookup(F326,DATABASE!C:Q,10,false)*G326)</f>
        <v>0</v>
      </c>
      <c r="L326" s="74">
        <f>VLOOKUP(F326,DATABASE!C:Q,7,FALSE)</f>
        <v>565760</v>
      </c>
      <c r="M326" s="74">
        <v>524800.0</v>
      </c>
      <c r="N326" s="74">
        <f t="shared" si="8"/>
        <v>525000</v>
      </c>
      <c r="O326" s="74">
        <f t="shared" si="3"/>
        <v>1240000</v>
      </c>
      <c r="P326" s="63">
        <f t="shared" si="4"/>
        <v>1290000</v>
      </c>
      <c r="Q326" s="63">
        <f t="shared" si="5"/>
        <v>240000</v>
      </c>
      <c r="R326" s="93" t="str">
        <f>VLOOKUP(F326,DATABASE!C:Q,4,false)</f>
        <v>GT</v>
      </c>
      <c r="S326" s="93" t="str">
        <f>VLOOKUP(F326,DATABASE!C:P,11,false)</f>
        <v>Tire</v>
      </c>
      <c r="T326" s="93" t="str">
        <f>vlookup(F326,DATABASE!C:Q,8,false)</f>
        <v>BIAN</v>
      </c>
      <c r="Y326" s="81"/>
      <c r="Z326" s="9"/>
    </row>
    <row r="327" ht="22.5" customHeight="1">
      <c r="A327" s="49"/>
      <c r="C327" s="384">
        <v>45831.0</v>
      </c>
      <c r="D327" s="93">
        <v>45831.0</v>
      </c>
      <c r="E327" s="93" t="s">
        <v>709</v>
      </c>
      <c r="F327" s="74" t="s">
        <v>374</v>
      </c>
      <c r="G327" s="386">
        <v>2.0</v>
      </c>
      <c r="H327" s="74">
        <v>1950000.0</v>
      </c>
      <c r="I327" s="74">
        <v>2050000.0</v>
      </c>
      <c r="J327" s="60">
        <f t="shared" si="1"/>
        <v>45861</v>
      </c>
      <c r="K327" s="74">
        <f>if(F327="SERVICE",O327-(O327*50%),Vlookup(F327,DATABASE!C:Q,10,false)*G327)</f>
        <v>0</v>
      </c>
      <c r="L327" s="74">
        <f>VLOOKUP(F327,DATABASE!C:Q,7,FALSE)</f>
        <v>1980000</v>
      </c>
      <c r="M327" s="74">
        <v>1850000.0</v>
      </c>
      <c r="N327" s="74">
        <f t="shared" si="8"/>
        <v>1850000</v>
      </c>
      <c r="O327" s="74">
        <f t="shared" si="3"/>
        <v>3900000</v>
      </c>
      <c r="P327" s="63">
        <f t="shared" si="4"/>
        <v>4100000</v>
      </c>
      <c r="Q327" s="63">
        <f t="shared" si="5"/>
        <v>400000</v>
      </c>
      <c r="R327" s="93" t="str">
        <f>VLOOKUP(F327,DATABASE!C:Q,4,false)</f>
        <v>Advance</v>
      </c>
      <c r="S327" s="93" t="str">
        <f>VLOOKUP(F327,DATABASE!C:P,11,false)</f>
        <v>Tire</v>
      </c>
      <c r="T327" s="93" t="str">
        <f>vlookup(F327,DATABASE!C:Q,8,false)</f>
        <v>BIAN</v>
      </c>
      <c r="Y327" s="81"/>
      <c r="Z327" s="9"/>
    </row>
    <row r="328" ht="22.5" customHeight="1">
      <c r="A328" s="49"/>
      <c r="C328" s="384">
        <v>45831.0</v>
      </c>
      <c r="D328" s="93">
        <v>45831.0</v>
      </c>
      <c r="E328" s="93" t="s">
        <v>536</v>
      </c>
      <c r="F328" s="74" t="s">
        <v>1858</v>
      </c>
      <c r="G328" s="386">
        <v>1.0</v>
      </c>
      <c r="H328" s="74">
        <v>2125000.0</v>
      </c>
      <c r="I328" s="74">
        <v>2225000.0</v>
      </c>
      <c r="J328" s="60">
        <f t="shared" si="1"/>
        <v>45861</v>
      </c>
      <c r="K328" s="74">
        <f>if(F328="SERVICE",O328-(O328*50%),Vlookup(F328,DATABASE!C:Q,10,false)*G328)</f>
        <v>0</v>
      </c>
      <c r="L328" s="74">
        <f>VLOOKUP(F328,DATABASE!C:Q,7,FALSE)</f>
        <v>2030000</v>
      </c>
      <c r="M328" s="74">
        <v>2030000.0</v>
      </c>
      <c r="N328" s="74">
        <f t="shared" si="8"/>
        <v>2030000</v>
      </c>
      <c r="O328" s="74">
        <f t="shared" si="3"/>
        <v>2125000</v>
      </c>
      <c r="P328" s="63">
        <f t="shared" si="4"/>
        <v>2225000</v>
      </c>
      <c r="Q328" s="63">
        <f t="shared" si="5"/>
        <v>195000</v>
      </c>
      <c r="R328" s="93" t="str">
        <f>VLOOKUP(F328,DATABASE!C:Q,4,false)</f>
        <v>GiTi</v>
      </c>
      <c r="S328" s="93" t="str">
        <f>VLOOKUP(F328,DATABASE!C:P,11,false)</f>
        <v>Tire</v>
      </c>
      <c r="T328" s="93" t="str">
        <f>vlookup(F328,DATABASE!C:Q,8,false)</f>
        <v>BIAN</v>
      </c>
      <c r="Y328" s="81"/>
      <c r="Z328" s="9"/>
    </row>
    <row r="329" ht="22.5" customHeight="1">
      <c r="A329" s="49"/>
      <c r="C329" s="384">
        <v>45831.0</v>
      </c>
      <c r="D329" s="93">
        <v>45831.0</v>
      </c>
      <c r="E329" s="93" t="s">
        <v>610</v>
      </c>
      <c r="F329" s="74" t="s">
        <v>2132</v>
      </c>
      <c r="G329" s="386">
        <v>2.0</v>
      </c>
      <c r="H329" s="74">
        <v>210000.0</v>
      </c>
      <c r="I329" s="74">
        <v>2250000.0</v>
      </c>
      <c r="J329" s="60">
        <f t="shared" si="1"/>
        <v>45861</v>
      </c>
      <c r="K329" s="74">
        <f>if(F329="SERVICE",O329-(O329*50%),Vlookup(F329,DATABASE!C:Q,10,false)*G329)</f>
        <v>0</v>
      </c>
      <c r="L329" s="74">
        <f>VLOOKUP(F329,DATABASE!C:Q,7,FALSE)</f>
        <v>2050000</v>
      </c>
      <c r="M329" s="74">
        <v>2050000.0</v>
      </c>
      <c r="N329" s="74">
        <f t="shared" si="8"/>
        <v>2050000</v>
      </c>
      <c r="O329" s="74">
        <f t="shared" si="3"/>
        <v>420000</v>
      </c>
      <c r="P329" s="63">
        <f t="shared" si="4"/>
        <v>4500000</v>
      </c>
      <c r="Q329" s="63">
        <f t="shared" si="5"/>
        <v>400000</v>
      </c>
      <c r="R329" s="93" t="str">
        <f>VLOOKUP(F329,DATABASE!C:Q,4,false)</f>
        <v>MRF</v>
      </c>
      <c r="S329" s="93" t="str">
        <f>VLOOKUP(F329,DATABASE!C:P,11,false)</f>
        <v>Tire</v>
      </c>
      <c r="T329" s="93" t="str">
        <f>vlookup(F329,DATABASE!C:Q,8,false)</f>
        <v>BIAN</v>
      </c>
      <c r="Y329" s="81"/>
      <c r="Z329" s="9"/>
    </row>
    <row r="330" ht="22.5" customHeight="1">
      <c r="A330" s="49"/>
      <c r="C330" s="384">
        <v>45831.0</v>
      </c>
      <c r="D330" s="93">
        <v>45831.0</v>
      </c>
      <c r="E330" s="93" t="s">
        <v>985</v>
      </c>
      <c r="F330" s="74" t="s">
        <v>932</v>
      </c>
      <c r="G330" s="386">
        <v>1.0</v>
      </c>
      <c r="H330" s="74">
        <v>700000.0</v>
      </c>
      <c r="I330" s="74">
        <v>700000.0</v>
      </c>
      <c r="J330" s="60">
        <f t="shared" si="1"/>
        <v>45861</v>
      </c>
      <c r="K330" s="74">
        <f>if(F330="SERVICE",O330-(O330*50%),Vlookup(F330,DATABASE!C:Q,10,false)*G330)</f>
        <v>0</v>
      </c>
      <c r="L330" s="74">
        <f>VLOOKUP(F330,DATABASE!C:Q,7,FALSE)</f>
        <v>601000</v>
      </c>
      <c r="M330" s="74">
        <v>595000.0</v>
      </c>
      <c r="N330" s="74">
        <f t="shared" si="8"/>
        <v>595000</v>
      </c>
      <c r="O330" s="74">
        <f t="shared" si="3"/>
        <v>700000</v>
      </c>
      <c r="P330" s="63">
        <f t="shared" si="4"/>
        <v>700000</v>
      </c>
      <c r="Q330" s="63">
        <f t="shared" si="5"/>
        <v>105000</v>
      </c>
      <c r="R330" s="93" t="str">
        <f>VLOOKUP(F330,DATABASE!C:Q,4,false)</f>
        <v>Dunlop</v>
      </c>
      <c r="S330" s="93" t="str">
        <f>VLOOKUP(F330,DATABASE!C:P,11,false)</f>
        <v>Tire</v>
      </c>
      <c r="T330" s="93" t="str">
        <f>vlookup(F330,DATABASE!C:Q,8,false)</f>
        <v>IBU</v>
      </c>
      <c r="Y330" s="81"/>
      <c r="Z330" s="9"/>
    </row>
    <row r="331" ht="22.5" customHeight="1">
      <c r="A331" s="49"/>
      <c r="C331" s="384">
        <v>45831.0</v>
      </c>
      <c r="D331" s="93">
        <v>45831.0</v>
      </c>
      <c r="E331" s="93" t="s">
        <v>595</v>
      </c>
      <c r="F331" s="74" t="s">
        <v>403</v>
      </c>
      <c r="G331" s="386">
        <v>2.0</v>
      </c>
      <c r="H331" s="74">
        <v>2260000.0</v>
      </c>
      <c r="I331" s="74">
        <v>2400000.0</v>
      </c>
      <c r="J331" s="60">
        <f t="shared" si="1"/>
        <v>45861</v>
      </c>
      <c r="K331" s="74">
        <f>if(F331="SERVICE",O331-(O331*50%),Vlookup(F331,DATABASE!C:Q,10,false)*G331)</f>
        <v>0</v>
      </c>
      <c r="L331" s="74">
        <f>VLOOKUP(F331,DATABASE!C:Q,7,FALSE)</f>
        <v>2160000</v>
      </c>
      <c r="M331" s="74">
        <v>2160000.0</v>
      </c>
      <c r="N331" s="74">
        <f t="shared" si="8"/>
        <v>2160000</v>
      </c>
      <c r="O331" s="74">
        <f t="shared" si="3"/>
        <v>4520000</v>
      </c>
      <c r="P331" s="63">
        <f t="shared" si="4"/>
        <v>4800000</v>
      </c>
      <c r="Q331" s="63">
        <f t="shared" si="5"/>
        <v>480000</v>
      </c>
      <c r="R331" s="93" t="str">
        <f>VLOOKUP(F331,DATABASE!C:Q,4,false)</f>
        <v>Advance</v>
      </c>
      <c r="S331" s="93" t="str">
        <f>VLOOKUP(F331,DATABASE!C:P,11,false)</f>
        <v>Tire</v>
      </c>
      <c r="T331" s="93" t="str">
        <f>vlookup(F331,DATABASE!C:Q,8,false)</f>
        <v>BIAN</v>
      </c>
      <c r="Y331" s="81"/>
      <c r="Z331" s="9"/>
    </row>
    <row r="332" ht="22.5" customHeight="1">
      <c r="A332" s="49"/>
      <c r="C332" s="384">
        <v>45832.0</v>
      </c>
      <c r="D332" s="93">
        <v>45832.0</v>
      </c>
      <c r="E332" s="93" t="s">
        <v>422</v>
      </c>
      <c r="F332" s="74" t="s">
        <v>924</v>
      </c>
      <c r="G332" s="386">
        <v>1.0</v>
      </c>
      <c r="H332" s="74">
        <v>1750000.0</v>
      </c>
      <c r="I332" s="74">
        <v>1850000.0</v>
      </c>
      <c r="J332" s="60">
        <f t="shared" si="1"/>
        <v>45862</v>
      </c>
      <c r="K332" s="74">
        <f>if(F332="SERVICE",O332-(O332*50%),Vlookup(F332,DATABASE!C:Q,10,false)*G332)</f>
        <v>0</v>
      </c>
      <c r="L332" s="74">
        <f>VLOOKUP(F332,DATABASE!C:Q,7,FALSE)</f>
        <v>1560000</v>
      </c>
      <c r="M332" s="74">
        <v>1545000.0</v>
      </c>
      <c r="N332" s="74">
        <f t="shared" si="8"/>
        <v>1545000</v>
      </c>
      <c r="O332" s="74">
        <f t="shared" si="3"/>
        <v>1750000</v>
      </c>
      <c r="P332" s="63">
        <f t="shared" si="4"/>
        <v>1850000</v>
      </c>
      <c r="Q332" s="63">
        <f t="shared" si="5"/>
        <v>305000</v>
      </c>
      <c r="R332" s="93" t="str">
        <f>VLOOKUP(F332,DATABASE!C:Q,4,false)</f>
        <v>TIRON</v>
      </c>
      <c r="S332" s="93" t="str">
        <f>VLOOKUP(F332,DATABASE!C:P,11,false)</f>
        <v>Tire</v>
      </c>
      <c r="T332" s="93" t="str">
        <f>vlookup(F332,DATABASE!C:Q,8,false)</f>
        <v>BIAN</v>
      </c>
      <c r="Y332" s="81"/>
      <c r="Z332" s="9"/>
    </row>
    <row r="333" ht="22.5" customHeight="1">
      <c r="A333" s="49"/>
      <c r="C333" s="384">
        <v>45832.0</v>
      </c>
      <c r="D333" s="93">
        <v>45832.0</v>
      </c>
      <c r="E333" s="93" t="s">
        <v>595</v>
      </c>
      <c r="F333" s="74" t="s">
        <v>897</v>
      </c>
      <c r="G333" s="386">
        <v>1.0</v>
      </c>
      <c r="H333" s="74">
        <v>1600000.0</v>
      </c>
      <c r="I333" s="74">
        <v>1750000.0</v>
      </c>
      <c r="J333" s="60">
        <f t="shared" si="1"/>
        <v>45862</v>
      </c>
      <c r="K333" s="74">
        <f>if(F333="SERVICE",O333-(O333*50%),Vlookup(F333,DATABASE!C:Q,10,false)*G333)</f>
        <v>0</v>
      </c>
      <c r="L333" s="74">
        <f>VLOOKUP(F333,DATABASE!C:Q,7,FALSE)</f>
        <v>1560000</v>
      </c>
      <c r="M333" s="74">
        <v>1500000.0</v>
      </c>
      <c r="N333" s="74">
        <f t="shared" si="8"/>
        <v>1500000</v>
      </c>
      <c r="O333" s="74">
        <f t="shared" si="3"/>
        <v>1600000</v>
      </c>
      <c r="P333" s="63">
        <f t="shared" si="4"/>
        <v>1750000</v>
      </c>
      <c r="Q333" s="63">
        <f t="shared" si="5"/>
        <v>250000</v>
      </c>
      <c r="R333" s="93" t="str">
        <f>VLOOKUP(F333,DATABASE!C:Q,4,false)</f>
        <v>GT</v>
      </c>
      <c r="S333" s="93" t="str">
        <f>VLOOKUP(F333,DATABASE!C:P,11,false)</f>
        <v>Tire</v>
      </c>
      <c r="T333" s="93" t="str">
        <f>vlookup(F333,DATABASE!C:Q,8,false)</f>
        <v>BIAN</v>
      </c>
      <c r="Y333" s="81"/>
      <c r="Z333" s="9"/>
    </row>
    <row r="334" ht="22.5" customHeight="1">
      <c r="A334" s="49"/>
      <c r="C334" s="384">
        <v>45832.0</v>
      </c>
      <c r="D334" s="93">
        <v>45832.0</v>
      </c>
      <c r="E334" s="93" t="s">
        <v>234</v>
      </c>
      <c r="F334" s="74" t="s">
        <v>791</v>
      </c>
      <c r="G334" s="386">
        <v>2.0</v>
      </c>
      <c r="H334" s="74">
        <v>1280000.0</v>
      </c>
      <c r="I334" s="74">
        <v>1380000.0</v>
      </c>
      <c r="J334" s="60">
        <f t="shared" si="1"/>
        <v>45862</v>
      </c>
      <c r="K334" s="74">
        <f>if(F334="SERVICE",O334-(O334*50%),Vlookup(F334,DATABASE!C:Q,10,false)*G334)</f>
        <v>0</v>
      </c>
      <c r="L334" s="74">
        <f>VLOOKUP(F334,DATABASE!C:Q,7,FALSE)</f>
        <v>1210000</v>
      </c>
      <c r="M334" s="74">
        <v>1180000.0</v>
      </c>
      <c r="N334" s="74">
        <f t="shared" si="8"/>
        <v>1180000</v>
      </c>
      <c r="O334" s="74">
        <f t="shared" si="3"/>
        <v>2560000</v>
      </c>
      <c r="P334" s="63">
        <f t="shared" si="4"/>
        <v>2760000</v>
      </c>
      <c r="Q334" s="63">
        <f t="shared" si="5"/>
        <v>400000</v>
      </c>
      <c r="R334" s="93" t="str">
        <f>VLOOKUP(F334,DATABASE!C:Q,4,false)</f>
        <v>GT</v>
      </c>
      <c r="S334" s="93" t="str">
        <f>VLOOKUP(F334,DATABASE!C:P,11,false)</f>
        <v>Tire</v>
      </c>
      <c r="T334" s="93" t="str">
        <f>vlookup(F334,DATABASE!C:Q,8,false)</f>
        <v>BIAN</v>
      </c>
      <c r="Y334" s="81"/>
      <c r="Z334" s="9"/>
    </row>
    <row r="335" ht="22.5" customHeight="1">
      <c r="A335" s="49"/>
      <c r="C335" s="384">
        <v>45832.0</v>
      </c>
      <c r="D335" s="93">
        <v>45832.0</v>
      </c>
      <c r="E335" s="93" t="s">
        <v>234</v>
      </c>
      <c r="F335" s="74" t="s">
        <v>255</v>
      </c>
      <c r="G335" s="386">
        <v>2.0</v>
      </c>
      <c r="H335" s="74">
        <v>200000.0</v>
      </c>
      <c r="I335" s="74">
        <v>220000.0</v>
      </c>
      <c r="J335" s="60">
        <f t="shared" si="1"/>
        <v>45862</v>
      </c>
      <c r="K335" s="74">
        <f>if(F335="SERVICE",O335-(O335*50%),Vlookup(F335,DATABASE!C:Q,10,false)*G335)</f>
        <v>0</v>
      </c>
      <c r="L335" s="74">
        <f>VLOOKUP(F335,DATABASE!C:Q,7,FALSE)</f>
        <v>161840</v>
      </c>
      <c r="M335" s="74">
        <v>161840.0</v>
      </c>
      <c r="N335" s="74">
        <f t="shared" si="8"/>
        <v>165000</v>
      </c>
      <c r="O335" s="74">
        <f t="shared" si="3"/>
        <v>400000</v>
      </c>
      <c r="P335" s="63">
        <f t="shared" si="4"/>
        <v>440000</v>
      </c>
      <c r="Q335" s="63">
        <f t="shared" si="5"/>
        <v>110000</v>
      </c>
      <c r="R335" s="93" t="str">
        <f>VLOOKUP(F335,DATABASE!C:Q,4,false)</f>
        <v>BD</v>
      </c>
      <c r="S335" s="93" t="str">
        <f>VLOOKUP(F335,DATABASE!C:P,11,false)</f>
        <v>Tire</v>
      </c>
      <c r="T335" s="93" t="str">
        <f>vlookup(F335,DATABASE!C:Q,8,false)</f>
        <v>BIAN</v>
      </c>
      <c r="Y335" s="81"/>
      <c r="Z335" s="9"/>
    </row>
    <row r="336" ht="22.5" customHeight="1">
      <c r="A336" s="49"/>
      <c r="C336" s="384">
        <v>45832.0</v>
      </c>
      <c r="D336" s="93">
        <v>45832.0</v>
      </c>
      <c r="E336" s="93" t="s">
        <v>234</v>
      </c>
      <c r="F336" s="74" t="s">
        <v>814</v>
      </c>
      <c r="G336" s="386">
        <v>2.0</v>
      </c>
      <c r="H336" s="74">
        <v>650000.0</v>
      </c>
      <c r="I336" s="74">
        <v>85000.0</v>
      </c>
      <c r="J336" s="60">
        <f t="shared" si="1"/>
        <v>45862</v>
      </c>
      <c r="K336" s="74">
        <f>if(F336="SERVICE",O336-(O336*50%),Vlookup(F336,DATABASE!C:Q,10,false)*G336)</f>
        <v>0</v>
      </c>
      <c r="L336" s="74">
        <f>VLOOKUP(F336,DATABASE!C:Q,7,FALSE)</f>
        <v>39440</v>
      </c>
      <c r="M336" s="74">
        <v>39440.0</v>
      </c>
      <c r="N336" s="74">
        <f t="shared" si="8"/>
        <v>40000</v>
      </c>
      <c r="O336" s="74">
        <f t="shared" si="3"/>
        <v>1300000</v>
      </c>
      <c r="P336" s="63">
        <f t="shared" si="4"/>
        <v>170000</v>
      </c>
      <c r="Q336" s="63">
        <f t="shared" si="5"/>
        <v>90000</v>
      </c>
      <c r="R336" s="93" t="str">
        <f>VLOOKUP(F336,DATABASE!C:Q,4,false)</f>
        <v>Flap</v>
      </c>
      <c r="S336" s="93" t="str">
        <f>VLOOKUP(F336,DATABASE!C:P,11,false)</f>
        <v>Tire</v>
      </c>
      <c r="T336" s="93" t="str">
        <f>vlookup(F336,DATABASE!C:Q,8,false)</f>
        <v>BIAN</v>
      </c>
      <c r="Y336" s="81"/>
      <c r="Z336" s="9"/>
    </row>
    <row r="337" ht="22.5" customHeight="1">
      <c r="A337" s="49"/>
      <c r="C337" s="384">
        <v>45832.0</v>
      </c>
      <c r="D337" s="93">
        <v>45832.0</v>
      </c>
      <c r="E337" s="93" t="s">
        <v>74</v>
      </c>
      <c r="F337" s="74" t="s">
        <v>255</v>
      </c>
      <c r="G337" s="386">
        <v>1.0</v>
      </c>
      <c r="H337" s="74">
        <v>200000.0</v>
      </c>
      <c r="I337" s="74">
        <v>220000.0</v>
      </c>
      <c r="J337" s="60">
        <f t="shared" si="1"/>
        <v>45862</v>
      </c>
      <c r="K337" s="74">
        <f>if(F337="SERVICE",O337-(O337*50%),Vlookup(F337,DATABASE!C:Q,10,false)*G337)</f>
        <v>0</v>
      </c>
      <c r="L337" s="74">
        <f>VLOOKUP(F337,DATABASE!C:Q,7,FALSE)</f>
        <v>161840</v>
      </c>
      <c r="M337" s="74">
        <v>161840.0</v>
      </c>
      <c r="N337" s="74">
        <f t="shared" si="8"/>
        <v>165000</v>
      </c>
      <c r="O337" s="74">
        <f t="shared" si="3"/>
        <v>200000</v>
      </c>
      <c r="P337" s="63">
        <f t="shared" si="4"/>
        <v>220000</v>
      </c>
      <c r="Q337" s="63">
        <f t="shared" si="5"/>
        <v>55000</v>
      </c>
      <c r="R337" s="93" t="str">
        <f>VLOOKUP(F337,DATABASE!C:Q,4,false)</f>
        <v>BD</v>
      </c>
      <c r="S337" s="93" t="str">
        <f>VLOOKUP(F337,DATABASE!C:P,11,false)</f>
        <v>Tire</v>
      </c>
      <c r="T337" s="93" t="str">
        <f>vlookup(F337,DATABASE!C:Q,8,false)</f>
        <v>BIAN</v>
      </c>
      <c r="Y337" s="81"/>
      <c r="Z337" s="9"/>
    </row>
    <row r="338" ht="22.5" customHeight="1">
      <c r="A338" s="49"/>
      <c r="C338" s="384">
        <v>45834.0</v>
      </c>
      <c r="D338" s="93">
        <v>45834.0</v>
      </c>
      <c r="E338" s="93" t="s">
        <v>267</v>
      </c>
      <c r="F338" s="74" t="s">
        <v>1862</v>
      </c>
      <c r="G338" s="386">
        <v>2.0</v>
      </c>
      <c r="H338" s="74">
        <v>2150000.0</v>
      </c>
      <c r="I338" s="74">
        <v>2250000.0</v>
      </c>
      <c r="J338" s="60">
        <f t="shared" si="1"/>
        <v>45864</v>
      </c>
      <c r="K338" s="74">
        <f>if(F338="SERVICE",O338-(O338*50%),Vlookup(F338,DATABASE!C:Q,10,false)*G338)</f>
        <v>0</v>
      </c>
      <c r="L338" s="74">
        <f>VLOOKUP(F338,DATABASE!C:Q,7,FALSE)</f>
        <v>2080000</v>
      </c>
      <c r="M338" s="74">
        <v>2050000.0</v>
      </c>
      <c r="N338" s="74">
        <f t="shared" si="8"/>
        <v>2050000</v>
      </c>
      <c r="O338" s="74">
        <f t="shared" si="3"/>
        <v>4300000</v>
      </c>
      <c r="P338" s="63">
        <f t="shared" si="4"/>
        <v>4500000</v>
      </c>
      <c r="Q338" s="63">
        <f t="shared" si="5"/>
        <v>400000</v>
      </c>
      <c r="R338" s="93" t="str">
        <f>VLOOKUP(F338,DATABASE!C:Q,4,false)</f>
        <v>GiTi</v>
      </c>
      <c r="S338" s="93" t="str">
        <f>VLOOKUP(F338,DATABASE!C:P,11,false)</f>
        <v>Tire</v>
      </c>
      <c r="T338" s="93" t="str">
        <f>vlookup(F338,DATABASE!C:Q,8,false)</f>
        <v>BIAN</v>
      </c>
      <c r="Y338" s="81"/>
      <c r="Z338" s="9"/>
    </row>
    <row r="339" ht="22.5" customHeight="1">
      <c r="A339" s="49"/>
      <c r="C339" s="384">
        <v>45834.0</v>
      </c>
      <c r="D339" s="93">
        <v>45834.0</v>
      </c>
      <c r="E339" s="93" t="s">
        <v>267</v>
      </c>
      <c r="F339" s="74" t="s">
        <v>1862</v>
      </c>
      <c r="G339" s="386">
        <v>2.0</v>
      </c>
      <c r="H339" s="74">
        <v>2150000.0</v>
      </c>
      <c r="I339" s="74">
        <v>2250000.0</v>
      </c>
      <c r="J339" s="60">
        <f t="shared" si="1"/>
        <v>45864</v>
      </c>
      <c r="K339" s="74">
        <f>if(F339="SERVICE",O339-(O339*50%),Vlookup(F339,DATABASE!C:Q,10,false)*G339)</f>
        <v>0</v>
      </c>
      <c r="L339" s="74">
        <f>VLOOKUP(F339,DATABASE!C:Q,7,FALSE)</f>
        <v>2080000</v>
      </c>
      <c r="M339" s="74">
        <v>2050000.0</v>
      </c>
      <c r="N339" s="74">
        <f t="shared" si="8"/>
        <v>2050000</v>
      </c>
      <c r="O339" s="74">
        <f t="shared" si="3"/>
        <v>4300000</v>
      </c>
      <c r="P339" s="63">
        <f t="shared" si="4"/>
        <v>4500000</v>
      </c>
      <c r="Q339" s="63">
        <f t="shared" si="5"/>
        <v>400000</v>
      </c>
      <c r="R339" s="93" t="str">
        <f>VLOOKUP(F339,DATABASE!C:Q,4,false)</f>
        <v>GiTi</v>
      </c>
      <c r="S339" s="93" t="str">
        <f>VLOOKUP(F339,DATABASE!C:P,11,false)</f>
        <v>Tire</v>
      </c>
      <c r="T339" s="93" t="str">
        <f>vlookup(F339,DATABASE!C:Q,8,false)</f>
        <v>BIAN</v>
      </c>
      <c r="Y339" s="81"/>
      <c r="Z339" s="9"/>
    </row>
    <row r="340" ht="22.5" customHeight="1">
      <c r="A340" s="49"/>
      <c r="C340" s="384">
        <v>45838.0</v>
      </c>
      <c r="D340" s="93">
        <v>45838.0</v>
      </c>
      <c r="E340" s="65" t="s">
        <v>208</v>
      </c>
      <c r="F340" s="74" t="s">
        <v>1237</v>
      </c>
      <c r="G340" s="386">
        <v>1.0</v>
      </c>
      <c r="H340" s="74">
        <v>1235000.0</v>
      </c>
      <c r="I340" s="74">
        <v>1315000.0</v>
      </c>
      <c r="J340" s="60">
        <f t="shared" si="1"/>
        <v>45868</v>
      </c>
      <c r="K340" s="74">
        <f>if(F340="SERVICE",O340-(O340*50%),Vlookup(F340,DATABASE!C:Q,10,false)*G340)</f>
        <v>0</v>
      </c>
      <c r="L340" s="74">
        <f>VLOOKUP(F340,DATABASE!C:Q,7,FALSE)</f>
        <v>1170353.16</v>
      </c>
      <c r="M340" s="74">
        <v>1113907.2</v>
      </c>
      <c r="N340" s="74">
        <f t="shared" si="8"/>
        <v>1115000</v>
      </c>
      <c r="O340" s="74">
        <f t="shared" si="3"/>
        <v>1235000</v>
      </c>
      <c r="P340" s="63">
        <f t="shared" si="4"/>
        <v>1315000</v>
      </c>
      <c r="Q340" s="63">
        <f t="shared" si="5"/>
        <v>200000</v>
      </c>
      <c r="R340" s="93" t="str">
        <f>VLOOKUP(F340,DATABASE!C:Q,4,false)</f>
        <v>Bridgestone</v>
      </c>
      <c r="S340" s="93" t="str">
        <f>VLOOKUP(F340,DATABASE!C:P,11,false)</f>
        <v>Tire</v>
      </c>
      <c r="T340" s="93" t="str">
        <f>vlookup(F340,DATABASE!C:Q,8,false)</f>
        <v>IBU</v>
      </c>
      <c r="Y340" s="81"/>
      <c r="Z340" s="9"/>
    </row>
    <row r="341" ht="22.5" customHeight="1">
      <c r="A341" s="49"/>
      <c r="C341" s="384">
        <v>45838.0</v>
      </c>
      <c r="D341" s="93">
        <v>45838.0</v>
      </c>
      <c r="E341" s="93" t="s">
        <v>1031</v>
      </c>
      <c r="F341" s="74" t="s">
        <v>791</v>
      </c>
      <c r="G341" s="386">
        <v>2.0</v>
      </c>
      <c r="H341" s="74">
        <v>1280000.0</v>
      </c>
      <c r="I341" s="74">
        <v>1280000.0</v>
      </c>
      <c r="J341" s="60">
        <f t="shared" si="1"/>
        <v>45868</v>
      </c>
      <c r="K341" s="74">
        <f>if(F341="SERVICE",O341-(O341*50%),Vlookup(F341,DATABASE!C:Q,10,false)*G341)</f>
        <v>0</v>
      </c>
      <c r="L341" s="74">
        <f>VLOOKUP(F341,DATABASE!C:Q,7,FALSE)</f>
        <v>1210000</v>
      </c>
      <c r="M341" s="74">
        <v>1180000.0</v>
      </c>
      <c r="N341" s="74">
        <f t="shared" si="8"/>
        <v>1180000</v>
      </c>
      <c r="O341" s="74">
        <f t="shared" si="3"/>
        <v>2560000</v>
      </c>
      <c r="P341" s="63">
        <f t="shared" si="4"/>
        <v>2560000</v>
      </c>
      <c r="Q341" s="63">
        <f t="shared" si="5"/>
        <v>200000</v>
      </c>
      <c r="R341" s="93" t="str">
        <f>VLOOKUP(F341,DATABASE!C:Q,4,false)</f>
        <v>GT</v>
      </c>
      <c r="S341" s="93" t="str">
        <f>VLOOKUP(F341,DATABASE!C:P,11,false)</f>
        <v>Tire</v>
      </c>
      <c r="T341" s="93" t="str">
        <f>vlookup(F341,DATABASE!C:Q,8,false)</f>
        <v>BIAN</v>
      </c>
      <c r="Y341" s="81"/>
      <c r="Z341" s="9"/>
    </row>
    <row r="342" ht="22.5" customHeight="1">
      <c r="A342" s="49"/>
      <c r="C342" s="384">
        <v>45838.0</v>
      </c>
      <c r="D342" s="93">
        <v>45838.0</v>
      </c>
      <c r="E342" s="65" t="s">
        <v>901</v>
      </c>
      <c r="F342" s="74" t="s">
        <v>374</v>
      </c>
      <c r="G342" s="386">
        <v>2.0</v>
      </c>
      <c r="H342" s="74">
        <v>1950000.0</v>
      </c>
      <c r="I342" s="74">
        <v>2050000.0</v>
      </c>
      <c r="J342" s="60">
        <f t="shared" si="1"/>
        <v>45868</v>
      </c>
      <c r="K342" s="74">
        <f>if(F342="SERVICE",O342-(O342*50%),Vlookup(F342,DATABASE!C:Q,10,false)*G342)</f>
        <v>0</v>
      </c>
      <c r="L342" s="74">
        <f>VLOOKUP(F342,DATABASE!C:Q,7,FALSE)</f>
        <v>1980000</v>
      </c>
      <c r="M342" s="74">
        <v>1850000.0</v>
      </c>
      <c r="N342" s="74">
        <f t="shared" si="8"/>
        <v>1850000</v>
      </c>
      <c r="O342" s="74">
        <f t="shared" si="3"/>
        <v>3900000</v>
      </c>
      <c r="P342" s="63">
        <f t="shared" si="4"/>
        <v>4100000</v>
      </c>
      <c r="Q342" s="63">
        <f t="shared" si="5"/>
        <v>400000</v>
      </c>
      <c r="R342" s="93" t="str">
        <f>VLOOKUP(F342,DATABASE!C:Q,4,false)</f>
        <v>Advance</v>
      </c>
      <c r="S342" s="93" t="str">
        <f>VLOOKUP(F342,DATABASE!C:P,11,false)</f>
        <v>Tire</v>
      </c>
      <c r="T342" s="93" t="str">
        <f>vlookup(F342,DATABASE!C:Q,8,false)</f>
        <v>BIAN</v>
      </c>
      <c r="Y342" s="81"/>
      <c r="Z342" s="9"/>
    </row>
    <row r="343" ht="22.5" customHeight="1">
      <c r="A343" s="49"/>
      <c r="C343" s="384">
        <v>45840.0</v>
      </c>
      <c r="D343" s="93">
        <v>45840.0</v>
      </c>
      <c r="E343" s="65" t="s">
        <v>810</v>
      </c>
      <c r="F343" s="74" t="s">
        <v>391</v>
      </c>
      <c r="G343" s="386">
        <v>1.0</v>
      </c>
      <c r="H343" s="74">
        <v>1950000.0</v>
      </c>
      <c r="I343" s="74">
        <v>2050000.0</v>
      </c>
      <c r="J343" s="60">
        <f t="shared" si="1"/>
        <v>45870</v>
      </c>
      <c r="K343" s="74">
        <f>if(F343="SERVICE",O343-(O343*50%),Vlookup(F343,DATABASE!C:Q,10,false)*G343)</f>
        <v>0</v>
      </c>
      <c r="L343" s="74">
        <f>VLOOKUP(F343,DATABASE!C:Q,7,FALSE)</f>
        <v>1885000</v>
      </c>
      <c r="M343" s="74">
        <v>1840000.0</v>
      </c>
      <c r="N343" s="74">
        <f t="shared" si="8"/>
        <v>1840000</v>
      </c>
      <c r="O343" s="74">
        <f t="shared" si="3"/>
        <v>1950000</v>
      </c>
      <c r="P343" s="63">
        <f t="shared" si="4"/>
        <v>2050000</v>
      </c>
      <c r="Q343" s="63">
        <f t="shared" si="5"/>
        <v>210000</v>
      </c>
      <c r="R343" s="93" t="str">
        <f>VLOOKUP(F343,DATABASE!C:Q,4,false)</f>
        <v>Advance</v>
      </c>
      <c r="S343" s="93" t="str">
        <f>VLOOKUP(F343,DATABASE!C:P,11,false)</f>
        <v>Tire</v>
      </c>
      <c r="T343" s="93" t="str">
        <f>vlookup(F343,DATABASE!C:Q,8,false)</f>
        <v>BIAN</v>
      </c>
      <c r="Y343" s="81"/>
      <c r="Z343" s="9"/>
    </row>
    <row r="344" ht="22.5" customHeight="1">
      <c r="A344" s="49"/>
      <c r="C344" s="384">
        <v>45840.0</v>
      </c>
      <c r="D344" s="93">
        <v>45840.0</v>
      </c>
      <c r="E344" s="65" t="s">
        <v>735</v>
      </c>
      <c r="F344" s="74" t="s">
        <v>403</v>
      </c>
      <c r="G344" s="386">
        <v>2.0</v>
      </c>
      <c r="H344" s="74">
        <v>2260000.0</v>
      </c>
      <c r="I344" s="74">
        <v>2360000.0</v>
      </c>
      <c r="J344" s="60">
        <f t="shared" si="1"/>
        <v>45870</v>
      </c>
      <c r="K344" s="74">
        <f>if(F344="SERVICE",O344-(O344*50%),Vlookup(F344,DATABASE!C:Q,10,false)*G344)</f>
        <v>0</v>
      </c>
      <c r="L344" s="74">
        <f>VLOOKUP(F344,DATABASE!C:Q,7,FALSE)</f>
        <v>2160000</v>
      </c>
      <c r="M344" s="74">
        <v>2160000.0</v>
      </c>
      <c r="N344" s="74">
        <f t="shared" si="8"/>
        <v>2160000</v>
      </c>
      <c r="O344" s="74">
        <f t="shared" si="3"/>
        <v>4520000</v>
      </c>
      <c r="P344" s="63">
        <f t="shared" si="4"/>
        <v>4720000</v>
      </c>
      <c r="Q344" s="63">
        <f t="shared" si="5"/>
        <v>400000</v>
      </c>
      <c r="R344" s="93" t="str">
        <f>VLOOKUP(F344,DATABASE!C:Q,4,false)</f>
        <v>Advance</v>
      </c>
      <c r="S344" s="93" t="str">
        <f>VLOOKUP(F344,DATABASE!C:P,11,false)</f>
        <v>Tire</v>
      </c>
      <c r="T344" s="93" t="str">
        <f>vlookup(F344,DATABASE!C:Q,8,false)</f>
        <v>BIAN</v>
      </c>
      <c r="Y344" s="81"/>
      <c r="Z344" s="9"/>
    </row>
    <row r="345" ht="22.5" customHeight="1">
      <c r="A345" s="49"/>
      <c r="C345" s="384">
        <v>45840.0</v>
      </c>
      <c r="D345" s="93">
        <v>45840.0</v>
      </c>
      <c r="E345" s="65" t="s">
        <v>775</v>
      </c>
      <c r="F345" s="74" t="s">
        <v>924</v>
      </c>
      <c r="G345" s="386">
        <v>2.0</v>
      </c>
      <c r="H345" s="74">
        <v>1650000.0</v>
      </c>
      <c r="I345" s="74">
        <v>1750000.0</v>
      </c>
      <c r="J345" s="60">
        <f t="shared" si="1"/>
        <v>45870</v>
      </c>
      <c r="K345" s="74">
        <f>if(F345="SERVICE",O345-(O345*50%),Vlookup(F345,DATABASE!C:Q,10,false)*G345)</f>
        <v>0</v>
      </c>
      <c r="L345" s="74">
        <f>VLOOKUP(F345,DATABASE!C:Q,7,FALSE)</f>
        <v>1560000</v>
      </c>
      <c r="M345" s="74">
        <v>1545000.0</v>
      </c>
      <c r="N345" s="74">
        <f t="shared" si="8"/>
        <v>1545000</v>
      </c>
      <c r="O345" s="74">
        <f t="shared" si="3"/>
        <v>3300000</v>
      </c>
      <c r="P345" s="63">
        <f t="shared" si="4"/>
        <v>3500000</v>
      </c>
      <c r="Q345" s="63">
        <f t="shared" si="5"/>
        <v>410000</v>
      </c>
      <c r="R345" s="93" t="str">
        <f>VLOOKUP(F345,DATABASE!C:Q,4,false)</f>
        <v>TIRON</v>
      </c>
      <c r="S345" s="93" t="str">
        <f>VLOOKUP(F345,DATABASE!C:P,11,false)</f>
        <v>Tire</v>
      </c>
      <c r="T345" s="93" t="str">
        <f>vlookup(F345,DATABASE!C:Q,8,false)</f>
        <v>BIAN</v>
      </c>
      <c r="Y345" s="81"/>
      <c r="Z345" s="9"/>
    </row>
    <row r="346" ht="22.5" customHeight="1">
      <c r="A346" s="49"/>
      <c r="C346" s="384">
        <v>45840.0</v>
      </c>
      <c r="D346" s="93">
        <v>45840.0</v>
      </c>
      <c r="E346" s="65" t="s">
        <v>775</v>
      </c>
      <c r="F346" s="74" t="s">
        <v>374</v>
      </c>
      <c r="G346" s="387">
        <v>4.0</v>
      </c>
      <c r="H346" s="74">
        <v>1950000.0</v>
      </c>
      <c r="I346" s="74">
        <v>2050000.0</v>
      </c>
      <c r="J346" s="60">
        <f t="shared" si="1"/>
        <v>45870</v>
      </c>
      <c r="K346" s="74">
        <f>if(F346="SERVICE",O346-(O346*50%),Vlookup(F346,DATABASE!C:Q,10,false)*G346)</f>
        <v>0</v>
      </c>
      <c r="L346" s="74">
        <f>VLOOKUP(F346,DATABASE!C:Q,7,FALSE)</f>
        <v>1980000</v>
      </c>
      <c r="M346" s="74">
        <v>1850000.0</v>
      </c>
      <c r="N346" s="74">
        <f t="shared" si="8"/>
        <v>1850000</v>
      </c>
      <c r="O346" s="74">
        <f t="shared" si="3"/>
        <v>7800000</v>
      </c>
      <c r="P346" s="63">
        <f t="shared" si="4"/>
        <v>8200000</v>
      </c>
      <c r="Q346" s="63">
        <f t="shared" si="5"/>
        <v>800000</v>
      </c>
      <c r="R346" s="93" t="str">
        <f>VLOOKUP(F346,DATABASE!C:Q,4,false)</f>
        <v>Advance</v>
      </c>
      <c r="S346" s="93" t="str">
        <f>VLOOKUP(F346,DATABASE!C:P,11,false)</f>
        <v>Tire</v>
      </c>
      <c r="T346" s="93" t="str">
        <f>vlookup(F346,DATABASE!C:Q,8,false)</f>
        <v>BIAN</v>
      </c>
      <c r="Y346" s="81"/>
      <c r="Z346" s="9"/>
    </row>
    <row r="347" ht="22.5" customHeight="1">
      <c r="A347" s="49"/>
      <c r="C347" s="384">
        <v>45840.0</v>
      </c>
      <c r="D347" s="93">
        <v>45840.0</v>
      </c>
      <c r="E347" s="65" t="s">
        <v>661</v>
      </c>
      <c r="F347" s="74" t="s">
        <v>897</v>
      </c>
      <c r="G347" s="386">
        <v>1.0</v>
      </c>
      <c r="H347" s="74">
        <v>1600000.0</v>
      </c>
      <c r="I347" s="74">
        <v>1700000.0</v>
      </c>
      <c r="J347" s="60">
        <f t="shared" si="1"/>
        <v>45870</v>
      </c>
      <c r="K347" s="74">
        <f>if(F347="SERVICE",O347-(O347*50%),Vlookup(F347,DATABASE!C:Q,10,false)*G347)</f>
        <v>0</v>
      </c>
      <c r="L347" s="74">
        <f>VLOOKUP(F347,DATABASE!C:Q,7,FALSE)</f>
        <v>1560000</v>
      </c>
      <c r="M347" s="74">
        <v>1500000.0</v>
      </c>
      <c r="N347" s="74">
        <f t="shared" si="8"/>
        <v>1500000</v>
      </c>
      <c r="O347" s="74">
        <f t="shared" si="3"/>
        <v>1600000</v>
      </c>
      <c r="P347" s="63">
        <f t="shared" si="4"/>
        <v>1700000</v>
      </c>
      <c r="Q347" s="63">
        <f t="shared" si="5"/>
        <v>200000</v>
      </c>
      <c r="R347" s="93" t="str">
        <f>VLOOKUP(F347,DATABASE!C:Q,4,false)</f>
        <v>GT</v>
      </c>
      <c r="S347" s="93" t="str">
        <f>VLOOKUP(F347,DATABASE!C:P,11,false)</f>
        <v>Tire</v>
      </c>
      <c r="T347" s="93" t="str">
        <f>vlookup(F347,DATABASE!C:Q,8,false)</f>
        <v>BIAN</v>
      </c>
      <c r="Y347" s="81"/>
      <c r="Z347" s="9"/>
    </row>
    <row r="348" ht="22.5" customHeight="1">
      <c r="A348" s="49"/>
      <c r="C348" s="384">
        <v>45842.0</v>
      </c>
      <c r="D348" s="93">
        <v>45842.0</v>
      </c>
      <c r="E348" s="65" t="s">
        <v>254</v>
      </c>
      <c r="F348" s="74" t="s">
        <v>924</v>
      </c>
      <c r="G348" s="386">
        <v>2.0</v>
      </c>
      <c r="H348" s="74">
        <v>1650000.0</v>
      </c>
      <c r="I348" s="74">
        <v>1750000.0</v>
      </c>
      <c r="J348" s="60">
        <f t="shared" si="1"/>
        <v>45872</v>
      </c>
      <c r="K348" s="74">
        <f>if(F348="SERVICE",O348-(O348*50%),Vlookup(F348,DATABASE!C:Q,10,false)*G348)</f>
        <v>0</v>
      </c>
      <c r="L348" s="74">
        <f>VLOOKUP(F348,DATABASE!C:Q,7,FALSE)</f>
        <v>1560000</v>
      </c>
      <c r="M348" s="74">
        <v>1545000.0</v>
      </c>
      <c r="N348" s="74">
        <f t="shared" si="8"/>
        <v>1545000</v>
      </c>
      <c r="O348" s="74">
        <f t="shared" si="3"/>
        <v>3300000</v>
      </c>
      <c r="P348" s="63">
        <f t="shared" si="4"/>
        <v>3500000</v>
      </c>
      <c r="Q348" s="63">
        <f t="shared" si="5"/>
        <v>410000</v>
      </c>
      <c r="R348" s="93" t="str">
        <f>VLOOKUP(F348,DATABASE!C:Q,4,false)</f>
        <v>TIRON</v>
      </c>
      <c r="S348" s="93" t="str">
        <f>VLOOKUP(F348,DATABASE!C:P,11,false)</f>
        <v>Tire</v>
      </c>
      <c r="T348" s="93" t="str">
        <f>vlookup(F348,DATABASE!C:Q,8,false)</f>
        <v>BIAN</v>
      </c>
      <c r="Y348" s="81"/>
      <c r="Z348" s="9"/>
    </row>
    <row r="349" ht="22.5" customHeight="1">
      <c r="A349" s="49"/>
      <c r="C349" s="384">
        <v>45842.0</v>
      </c>
      <c r="D349" s="93">
        <v>45842.0</v>
      </c>
      <c r="E349" s="65" t="s">
        <v>234</v>
      </c>
      <c r="F349" s="74" t="s">
        <v>295</v>
      </c>
      <c r="G349" s="386">
        <v>1.0</v>
      </c>
      <c r="H349" s="74">
        <v>1525000.0</v>
      </c>
      <c r="I349" s="74">
        <v>1625000.0</v>
      </c>
      <c r="J349" s="60">
        <f t="shared" si="1"/>
        <v>45872</v>
      </c>
      <c r="K349" s="74">
        <f>if(F349="SERVICE",O349-(O349*50%),Vlookup(F349,DATABASE!C:Q,10,false)*G349)</f>
        <v>0</v>
      </c>
      <c r="L349" s="74">
        <f>VLOOKUP(F349,DATABASE!C:Q,7,FALSE)</f>
        <v>1475000</v>
      </c>
      <c r="M349" s="74">
        <v>1425000.0</v>
      </c>
      <c r="N349" s="74">
        <f t="shared" si="8"/>
        <v>1425000</v>
      </c>
      <c r="O349" s="74">
        <f t="shared" si="3"/>
        <v>1525000</v>
      </c>
      <c r="P349" s="63">
        <f t="shared" si="4"/>
        <v>1625000</v>
      </c>
      <c r="Q349" s="63">
        <f t="shared" si="5"/>
        <v>200000</v>
      </c>
      <c r="R349" s="93" t="str">
        <f>VLOOKUP(F349,DATABASE!C:Q,4,false)</f>
        <v>TIRON</v>
      </c>
      <c r="S349" s="93" t="str">
        <f>VLOOKUP(F349,DATABASE!C:P,11,false)</f>
        <v>Tire</v>
      </c>
      <c r="T349" s="93" t="str">
        <f>vlookup(F349,DATABASE!C:Q,8,false)</f>
        <v>BIAN</v>
      </c>
      <c r="Y349" s="81"/>
      <c r="Z349" s="9"/>
    </row>
    <row r="350" ht="22.5" customHeight="1">
      <c r="A350" s="49"/>
      <c r="C350" s="384">
        <v>45842.0</v>
      </c>
      <c r="D350" s="93">
        <v>45842.0</v>
      </c>
      <c r="E350" s="65" t="s">
        <v>267</v>
      </c>
      <c r="F350" s="74" t="s">
        <v>1862</v>
      </c>
      <c r="G350" s="386">
        <v>2.0</v>
      </c>
      <c r="H350" s="74">
        <v>2150000.0</v>
      </c>
      <c r="I350" s="74">
        <v>2250000.0</v>
      </c>
      <c r="J350" s="60">
        <f t="shared" si="1"/>
        <v>45872</v>
      </c>
      <c r="K350" s="74">
        <f>if(F350="SERVICE",O350-(O350*50%),Vlookup(F350,DATABASE!C:Q,10,false)*G350)</f>
        <v>0</v>
      </c>
      <c r="L350" s="74">
        <f>VLOOKUP(F350,DATABASE!C:Q,7,FALSE)</f>
        <v>2080000</v>
      </c>
      <c r="M350" s="74">
        <v>2050000.0</v>
      </c>
      <c r="N350" s="74">
        <f t="shared" si="8"/>
        <v>2050000</v>
      </c>
      <c r="O350" s="74">
        <f t="shared" si="3"/>
        <v>4300000</v>
      </c>
      <c r="P350" s="63">
        <f t="shared" si="4"/>
        <v>4500000</v>
      </c>
      <c r="Q350" s="63">
        <f t="shared" si="5"/>
        <v>400000</v>
      </c>
      <c r="R350" s="93" t="str">
        <f>VLOOKUP(F350,DATABASE!C:Q,4,false)</f>
        <v>GiTi</v>
      </c>
      <c r="S350" s="93" t="str">
        <f>VLOOKUP(F350,DATABASE!C:P,11,false)</f>
        <v>Tire</v>
      </c>
      <c r="T350" s="93" t="str">
        <f>vlookup(F350,DATABASE!C:Q,8,false)</f>
        <v>BIAN</v>
      </c>
      <c r="Y350" s="81"/>
      <c r="Z350" s="9"/>
    </row>
    <row r="351" ht="22.5" customHeight="1">
      <c r="A351" s="49"/>
      <c r="C351" s="384">
        <v>45843.0</v>
      </c>
      <c r="D351" s="93">
        <v>45843.0</v>
      </c>
      <c r="E351" s="65" t="s">
        <v>911</v>
      </c>
      <c r="F351" s="74" t="s">
        <v>391</v>
      </c>
      <c r="G351" s="386">
        <v>1.0</v>
      </c>
      <c r="H351" s="74">
        <v>1950000.0</v>
      </c>
      <c r="I351" s="74">
        <v>2050000.0</v>
      </c>
      <c r="J351" s="60">
        <f t="shared" si="1"/>
        <v>45873</v>
      </c>
      <c r="K351" s="74">
        <f>if(F351="SERVICE",O351-(O351*50%),Vlookup(F351,DATABASE!C:Q,10,false)*G351)</f>
        <v>0</v>
      </c>
      <c r="L351" s="74">
        <f>VLOOKUP(F351,DATABASE!C:Q,7,FALSE)</f>
        <v>1885000</v>
      </c>
      <c r="M351" s="74">
        <v>1840000.0</v>
      </c>
      <c r="N351" s="74">
        <f t="shared" si="8"/>
        <v>1840000</v>
      </c>
      <c r="O351" s="74">
        <f t="shared" si="3"/>
        <v>1950000</v>
      </c>
      <c r="P351" s="63">
        <f t="shared" si="4"/>
        <v>2050000</v>
      </c>
      <c r="Q351" s="63">
        <f t="shared" si="5"/>
        <v>210000</v>
      </c>
      <c r="R351" s="93" t="str">
        <f>VLOOKUP(F351,DATABASE!C:Q,4,false)</f>
        <v>Advance</v>
      </c>
      <c r="S351" s="93" t="str">
        <f>VLOOKUP(F351,DATABASE!C:P,11,false)</f>
        <v>Tire</v>
      </c>
      <c r="T351" s="93" t="str">
        <f>vlookup(F351,DATABASE!C:Q,8,false)</f>
        <v>BIAN</v>
      </c>
      <c r="Y351" s="81"/>
      <c r="Z351" s="9"/>
    </row>
    <row r="352" ht="22.5" customHeight="1">
      <c r="A352" s="49"/>
      <c r="C352" s="384">
        <v>45843.0</v>
      </c>
      <c r="D352" s="93">
        <v>45843.0</v>
      </c>
      <c r="E352" s="65" t="s">
        <v>911</v>
      </c>
      <c r="F352" s="74" t="s">
        <v>255</v>
      </c>
      <c r="G352" s="386">
        <v>1.0</v>
      </c>
      <c r="H352" s="74">
        <v>200000.0</v>
      </c>
      <c r="I352" s="74">
        <v>220000.0</v>
      </c>
      <c r="J352" s="60">
        <f t="shared" si="1"/>
        <v>45873</v>
      </c>
      <c r="K352" s="74">
        <f>if(F352="SERVICE",O352-(O352*50%),Vlookup(F352,DATABASE!C:Q,10,false)*G352)</f>
        <v>0</v>
      </c>
      <c r="L352" s="74">
        <f>VLOOKUP(F352,DATABASE!C:Q,7,FALSE)</f>
        <v>161840</v>
      </c>
      <c r="M352" s="74">
        <v>161840.0</v>
      </c>
      <c r="N352" s="74">
        <f t="shared" si="8"/>
        <v>165000</v>
      </c>
      <c r="O352" s="74">
        <f t="shared" si="3"/>
        <v>200000</v>
      </c>
      <c r="P352" s="63">
        <f t="shared" si="4"/>
        <v>220000</v>
      </c>
      <c r="Q352" s="63">
        <f t="shared" si="5"/>
        <v>55000</v>
      </c>
      <c r="R352" s="93" t="str">
        <f>VLOOKUP(F352,DATABASE!C:Q,4,false)</f>
        <v>BD</v>
      </c>
      <c r="S352" s="93" t="str">
        <f>VLOOKUP(F352,DATABASE!C:P,11,false)</f>
        <v>Tire</v>
      </c>
      <c r="T352" s="93" t="str">
        <f>vlookup(F352,DATABASE!C:Q,8,false)</f>
        <v>BIAN</v>
      </c>
      <c r="Y352" s="81"/>
      <c r="Z352" s="9"/>
    </row>
    <row r="353" ht="22.5" customHeight="1">
      <c r="A353" s="49"/>
      <c r="C353" s="384">
        <v>45843.0</v>
      </c>
      <c r="D353" s="93">
        <v>45843.0</v>
      </c>
      <c r="E353" s="65" t="s">
        <v>911</v>
      </c>
      <c r="F353" s="74" t="s">
        <v>814</v>
      </c>
      <c r="G353" s="386">
        <v>1.0</v>
      </c>
      <c r="H353" s="74">
        <v>65000.0</v>
      </c>
      <c r="I353" s="74">
        <v>85000.0</v>
      </c>
      <c r="J353" s="60">
        <f t="shared" si="1"/>
        <v>45873</v>
      </c>
      <c r="K353" s="74">
        <f>if(F353="SERVICE",O353-(O353*50%),Vlookup(F353,DATABASE!C:Q,10,false)*G353)</f>
        <v>0</v>
      </c>
      <c r="L353" s="74">
        <f>VLOOKUP(F353,DATABASE!C:Q,7,FALSE)</f>
        <v>39440</v>
      </c>
      <c r="M353" s="74">
        <v>39440.0</v>
      </c>
      <c r="N353" s="74">
        <f t="shared" si="8"/>
        <v>40000</v>
      </c>
      <c r="O353" s="74">
        <f t="shared" si="3"/>
        <v>65000</v>
      </c>
      <c r="P353" s="63">
        <f t="shared" si="4"/>
        <v>85000</v>
      </c>
      <c r="Q353" s="63">
        <f t="shared" si="5"/>
        <v>45000</v>
      </c>
      <c r="R353" s="93" t="str">
        <f>VLOOKUP(F353,DATABASE!C:Q,4,false)</f>
        <v>Flap</v>
      </c>
      <c r="S353" s="93" t="str">
        <f>VLOOKUP(F353,DATABASE!C:P,11,false)</f>
        <v>Tire</v>
      </c>
      <c r="T353" s="93" t="str">
        <f>vlookup(F353,DATABASE!C:Q,8,false)</f>
        <v>BIAN</v>
      </c>
      <c r="Y353" s="81"/>
      <c r="Z353" s="9"/>
    </row>
    <row r="354" ht="22.5" customHeight="1">
      <c r="A354" s="49"/>
      <c r="C354" s="384">
        <v>45844.0</v>
      </c>
      <c r="D354" s="93">
        <v>45844.0</v>
      </c>
      <c r="E354" s="65" t="s">
        <v>346</v>
      </c>
      <c r="F354" s="74" t="s">
        <v>374</v>
      </c>
      <c r="G354" s="386">
        <v>4.0</v>
      </c>
      <c r="H354" s="74">
        <v>1950000.0</v>
      </c>
      <c r="I354" s="74">
        <v>2050000.0</v>
      </c>
      <c r="J354" s="60">
        <f t="shared" si="1"/>
        <v>45874</v>
      </c>
      <c r="K354" s="74">
        <f>if(F354="SERVICE",O354-(O354*50%),Vlookup(F354,DATABASE!C:Q,10,false)*G354)</f>
        <v>0</v>
      </c>
      <c r="L354" s="74">
        <f>VLOOKUP(F354,DATABASE!C:Q,7,FALSE)</f>
        <v>1980000</v>
      </c>
      <c r="M354" s="74">
        <v>1850000.0</v>
      </c>
      <c r="N354" s="74">
        <f t="shared" si="8"/>
        <v>1850000</v>
      </c>
      <c r="O354" s="74">
        <f t="shared" si="3"/>
        <v>7800000</v>
      </c>
      <c r="P354" s="63">
        <f t="shared" si="4"/>
        <v>8200000</v>
      </c>
      <c r="Q354" s="63">
        <f t="shared" si="5"/>
        <v>800000</v>
      </c>
      <c r="R354" s="93" t="str">
        <f>VLOOKUP(F354,DATABASE!C:Q,4,false)</f>
        <v>Advance</v>
      </c>
      <c r="S354" s="93" t="str">
        <f>VLOOKUP(F354,DATABASE!C:P,11,false)</f>
        <v>Tire</v>
      </c>
      <c r="T354" s="93" t="str">
        <f>vlookup(F354,DATABASE!C:Q,8,false)</f>
        <v>BIAN</v>
      </c>
      <c r="Y354" s="81"/>
      <c r="Z354" s="9"/>
    </row>
    <row r="355" ht="22.5" customHeight="1">
      <c r="A355" s="49"/>
      <c r="C355" s="384">
        <v>45845.0</v>
      </c>
      <c r="D355" s="93">
        <v>45845.0</v>
      </c>
      <c r="E355" s="93" t="s">
        <v>610</v>
      </c>
      <c r="F355" s="74" t="s">
        <v>2132</v>
      </c>
      <c r="G355" s="386">
        <v>2.0</v>
      </c>
      <c r="H355" s="74">
        <v>2100000.0</v>
      </c>
      <c r="I355" s="74">
        <v>2225000.0</v>
      </c>
      <c r="J355" s="60">
        <f t="shared" si="1"/>
        <v>45875</v>
      </c>
      <c r="K355" s="74">
        <f>if(F355="SERVICE",O355-(O355*50%),Vlookup(F355,DATABASE!C:Q,10,false)*G355)</f>
        <v>0</v>
      </c>
      <c r="L355" s="74">
        <f>VLOOKUP(F355,DATABASE!C:Q,7,FALSE)</f>
        <v>2050000</v>
      </c>
      <c r="M355" s="74">
        <v>2050000.0</v>
      </c>
      <c r="N355" s="74">
        <f t="shared" si="8"/>
        <v>2050000</v>
      </c>
      <c r="O355" s="74">
        <f t="shared" si="3"/>
        <v>4200000</v>
      </c>
      <c r="P355" s="63">
        <f t="shared" si="4"/>
        <v>4450000</v>
      </c>
      <c r="Q355" s="63">
        <f t="shared" si="5"/>
        <v>350000</v>
      </c>
      <c r="R355" s="93" t="str">
        <f>VLOOKUP(F355,DATABASE!C:Q,4,false)</f>
        <v>MRF</v>
      </c>
      <c r="S355" s="93" t="str">
        <f>VLOOKUP(F355,DATABASE!C:P,11,false)</f>
        <v>Tire</v>
      </c>
      <c r="T355" s="93" t="str">
        <f>vlookup(F355,DATABASE!C:Q,8,false)</f>
        <v>BIAN</v>
      </c>
      <c r="Y355" s="81"/>
      <c r="Z355" s="9"/>
    </row>
    <row r="356" ht="22.5" customHeight="1">
      <c r="A356" s="49"/>
      <c r="C356" s="384">
        <v>45849.0</v>
      </c>
      <c r="D356" s="93">
        <v>45849.0</v>
      </c>
      <c r="E356" s="93" t="s">
        <v>74</v>
      </c>
      <c r="F356" s="74" t="s">
        <v>791</v>
      </c>
      <c r="G356" s="386">
        <v>2.0</v>
      </c>
      <c r="H356" s="74">
        <v>1300000.0</v>
      </c>
      <c r="I356" s="74">
        <v>1300000.0</v>
      </c>
      <c r="J356" s="60">
        <f t="shared" si="1"/>
        <v>45879</v>
      </c>
      <c r="K356" s="74">
        <f>if(F356="SERVICE",O356-(O356*50%),Vlookup(F356,DATABASE!C:Q,10,false)*G356)</f>
        <v>0</v>
      </c>
      <c r="L356" s="74">
        <f>VLOOKUP(F356,DATABASE!C:Q,7,FALSE)</f>
        <v>1210000</v>
      </c>
      <c r="M356" s="74">
        <v>1180000.0</v>
      </c>
      <c r="N356" s="74">
        <f t="shared" si="8"/>
        <v>1180000</v>
      </c>
      <c r="O356" s="74">
        <f t="shared" si="3"/>
        <v>2600000</v>
      </c>
      <c r="P356" s="63">
        <f t="shared" si="4"/>
        <v>2600000</v>
      </c>
      <c r="Q356" s="63">
        <f t="shared" si="5"/>
        <v>240000</v>
      </c>
      <c r="R356" s="93" t="str">
        <f>VLOOKUP(F356,DATABASE!C:Q,4,false)</f>
        <v>GT</v>
      </c>
      <c r="S356" s="93" t="str">
        <f>VLOOKUP(F356,DATABASE!C:P,11,false)</f>
        <v>Tire</v>
      </c>
      <c r="T356" s="93" t="str">
        <f>vlookup(F356,DATABASE!C:Q,8,false)</f>
        <v>BIAN</v>
      </c>
      <c r="Y356" s="81"/>
      <c r="Z356" s="9"/>
    </row>
    <row r="357" ht="22.5" customHeight="1">
      <c r="A357" s="49"/>
      <c r="C357" s="384">
        <v>45849.0</v>
      </c>
      <c r="D357" s="93">
        <v>45849.0</v>
      </c>
      <c r="E357" s="65" t="s">
        <v>74</v>
      </c>
      <c r="F357" s="74" t="s">
        <v>255</v>
      </c>
      <c r="G357" s="386">
        <v>2.0</v>
      </c>
      <c r="H357" s="74">
        <v>220000.0</v>
      </c>
      <c r="I357" s="74">
        <v>220000.0</v>
      </c>
      <c r="J357" s="60">
        <f t="shared" si="1"/>
        <v>45879</v>
      </c>
      <c r="K357" s="74">
        <f>if(F357="SERVICE",O357-(O357*50%),Vlookup(F357,DATABASE!C:Q,10,false)*G357)</f>
        <v>0</v>
      </c>
      <c r="L357" s="74">
        <f>VLOOKUP(F357,DATABASE!C:Q,7,FALSE)</f>
        <v>161840</v>
      </c>
      <c r="M357" s="74">
        <v>161840.0</v>
      </c>
      <c r="N357" s="74">
        <f t="shared" si="8"/>
        <v>165000</v>
      </c>
      <c r="O357" s="74">
        <f t="shared" si="3"/>
        <v>440000</v>
      </c>
      <c r="P357" s="63">
        <f t="shared" si="4"/>
        <v>440000</v>
      </c>
      <c r="Q357" s="63">
        <f t="shared" si="5"/>
        <v>110000</v>
      </c>
      <c r="R357" s="93" t="str">
        <f>VLOOKUP(F357,DATABASE!C:Q,4,false)</f>
        <v>BD</v>
      </c>
      <c r="S357" s="93" t="str">
        <f>VLOOKUP(F357,DATABASE!C:P,11,false)</f>
        <v>Tire</v>
      </c>
      <c r="T357" s="93" t="str">
        <f>vlookup(F357,DATABASE!C:Q,8,false)</f>
        <v>BIAN</v>
      </c>
      <c r="Y357" s="81"/>
      <c r="Z357" s="9"/>
    </row>
    <row r="358" ht="22.5" customHeight="1">
      <c r="A358" s="49"/>
      <c r="C358" s="384">
        <v>45849.0</v>
      </c>
      <c r="D358" s="93">
        <v>45849.0</v>
      </c>
      <c r="E358" s="93" t="s">
        <v>74</v>
      </c>
      <c r="F358" s="74" t="s">
        <v>284</v>
      </c>
      <c r="G358" s="386">
        <v>2.0</v>
      </c>
      <c r="H358" s="74">
        <v>70000.0</v>
      </c>
      <c r="I358" s="74">
        <v>70000.0</v>
      </c>
      <c r="J358" s="60">
        <f t="shared" si="1"/>
        <v>45879</v>
      </c>
      <c r="K358" s="74">
        <f>if(F358="SERVICE",O358-(O358*50%),Vlookup(F358,DATABASE!C:Q,10,false)*G358)</f>
        <v>0</v>
      </c>
      <c r="L358" s="74">
        <f>VLOOKUP(F358,DATABASE!C:Q,7,FALSE)</f>
        <v>36630</v>
      </c>
      <c r="M358" s="74">
        <v>36630.0</v>
      </c>
      <c r="N358" s="74">
        <f t="shared" si="8"/>
        <v>40000</v>
      </c>
      <c r="O358" s="74">
        <f t="shared" si="3"/>
        <v>140000</v>
      </c>
      <c r="P358" s="63">
        <f t="shared" si="4"/>
        <v>140000</v>
      </c>
      <c r="Q358" s="63">
        <f t="shared" si="5"/>
        <v>60000</v>
      </c>
      <c r="R358" s="93" t="str">
        <f>VLOOKUP(F358,DATABASE!C:Q,4,false)</f>
        <v>Flap</v>
      </c>
      <c r="S358" s="93" t="str">
        <f>VLOOKUP(F358,DATABASE!C:P,11,false)</f>
        <v>Tire</v>
      </c>
      <c r="T358" s="93" t="str">
        <f>vlookup(F358,DATABASE!C:Q,8,false)</f>
        <v>BIAN</v>
      </c>
      <c r="Y358" s="81"/>
      <c r="Z358" s="9"/>
    </row>
    <row r="359" ht="22.5" customHeight="1">
      <c r="A359" s="49"/>
      <c r="C359" s="384">
        <v>45850.0</v>
      </c>
      <c r="D359" s="93">
        <v>45850.0</v>
      </c>
      <c r="E359" s="65" t="s">
        <v>193</v>
      </c>
      <c r="F359" s="74" t="s">
        <v>2022</v>
      </c>
      <c r="G359" s="386">
        <v>4.0</v>
      </c>
      <c r="H359" s="74">
        <v>1300000.0</v>
      </c>
      <c r="I359" s="74">
        <v>1400000.0</v>
      </c>
      <c r="J359" s="60">
        <f t="shared" si="1"/>
        <v>45880</v>
      </c>
      <c r="K359" s="74">
        <f>if(F359="SERVICE",O359-(O359*50%),Vlookup(F359,DATABASE!C:Q,10,false)*G359)</f>
        <v>0</v>
      </c>
      <c r="L359" s="74">
        <f>VLOOKUP(F359,DATABASE!C:Q,7,FALSE)</f>
        <v>1175000</v>
      </c>
      <c r="M359" s="74">
        <v>1175000.0</v>
      </c>
      <c r="N359" s="74">
        <f t="shared" si="8"/>
        <v>1175000</v>
      </c>
      <c r="O359" s="74">
        <f t="shared" si="3"/>
        <v>5200000</v>
      </c>
      <c r="P359" s="63">
        <f t="shared" si="4"/>
        <v>5600000</v>
      </c>
      <c r="Q359" s="63">
        <f t="shared" si="5"/>
        <v>900000</v>
      </c>
      <c r="R359" s="93" t="str">
        <f>VLOOKUP(F359,DATABASE!C:Q,4,false)</f>
        <v>GT</v>
      </c>
      <c r="S359" s="93" t="str">
        <f>VLOOKUP(F359,DATABASE!C:P,11,false)</f>
        <v>Tire</v>
      </c>
      <c r="T359" s="93" t="str">
        <f>vlookup(F359,DATABASE!C:Q,8,false)</f>
        <v>BIAN</v>
      </c>
      <c r="Y359" s="81"/>
      <c r="Z359" s="9"/>
    </row>
    <row r="360" ht="22.5" customHeight="1">
      <c r="A360" s="49"/>
      <c r="C360" s="384">
        <v>45850.0</v>
      </c>
      <c r="D360" s="93">
        <v>45850.0</v>
      </c>
      <c r="E360" s="65" t="s">
        <v>193</v>
      </c>
      <c r="F360" s="74" t="s">
        <v>1743</v>
      </c>
      <c r="G360" s="386">
        <v>1.0</v>
      </c>
      <c r="H360" s="74">
        <v>75000.0</v>
      </c>
      <c r="I360" s="74">
        <v>95000.0</v>
      </c>
      <c r="J360" s="60">
        <f t="shared" si="1"/>
        <v>45880</v>
      </c>
      <c r="K360" s="74">
        <f>if(F360="SERVICE",O360-(O360*50%),Vlookup(F360,DATABASE!C:Q,10,false)*G360)</f>
        <v>0</v>
      </c>
      <c r="L360" s="74">
        <f>VLOOKUP(F360,DATABASE!C:Q,7,FALSE)</f>
        <v>45000</v>
      </c>
      <c r="M360" s="74">
        <v>45000.0</v>
      </c>
      <c r="N360" s="74">
        <f t="shared" si="8"/>
        <v>45000</v>
      </c>
      <c r="O360" s="74">
        <f t="shared" si="3"/>
        <v>75000</v>
      </c>
      <c r="P360" s="63">
        <f t="shared" si="4"/>
        <v>95000</v>
      </c>
      <c r="Q360" s="63">
        <f t="shared" si="5"/>
        <v>50000</v>
      </c>
      <c r="R360" s="93" t="str">
        <f>VLOOKUP(F360,DATABASE!C:Q,4,false)</f>
        <v>FLAP</v>
      </c>
      <c r="S360" s="93" t="str">
        <f>VLOOKUP(F360,DATABASE!C:P,11,false)</f>
        <v>Tire</v>
      </c>
      <c r="T360" s="93" t="str">
        <f>vlookup(F360,DATABASE!C:Q,8,false)</f>
        <v>BIAN</v>
      </c>
      <c r="Y360" s="81"/>
      <c r="Z360" s="9"/>
    </row>
    <row r="361" ht="22.5" customHeight="1">
      <c r="A361" s="49"/>
      <c r="C361" s="384">
        <v>45852.0</v>
      </c>
      <c r="D361" s="93">
        <v>45852.0</v>
      </c>
      <c r="E361" s="65" t="s">
        <v>132</v>
      </c>
      <c r="F361" s="74" t="s">
        <v>1862</v>
      </c>
      <c r="G361" s="386">
        <v>2.0</v>
      </c>
      <c r="H361" s="74">
        <v>2150000.0</v>
      </c>
      <c r="I361" s="74">
        <v>2250000.0</v>
      </c>
      <c r="J361" s="60">
        <f t="shared" si="1"/>
        <v>45882</v>
      </c>
      <c r="K361" s="74">
        <f>if(F361="SERVICE",O361-(O361*50%),Vlookup(F361,DATABASE!C:Q,10,false)*G361)</f>
        <v>0</v>
      </c>
      <c r="L361" s="74">
        <f>VLOOKUP(F361,DATABASE!C:Q,7,FALSE)</f>
        <v>2080000</v>
      </c>
      <c r="M361" s="74">
        <v>2050000.0</v>
      </c>
      <c r="N361" s="74">
        <f t="shared" si="8"/>
        <v>2050000</v>
      </c>
      <c r="O361" s="74">
        <f t="shared" si="3"/>
        <v>4300000</v>
      </c>
      <c r="P361" s="63">
        <f t="shared" si="4"/>
        <v>4500000</v>
      </c>
      <c r="Q361" s="63">
        <f t="shared" si="5"/>
        <v>400000</v>
      </c>
      <c r="R361" s="93" t="str">
        <f>VLOOKUP(F361,DATABASE!C:Q,4,false)</f>
        <v>GiTi</v>
      </c>
      <c r="S361" s="93" t="str">
        <f>VLOOKUP(F361,DATABASE!C:P,11,false)</f>
        <v>Tire</v>
      </c>
      <c r="T361" s="93" t="str">
        <f>vlookup(F361,DATABASE!C:Q,8,false)</f>
        <v>BIAN</v>
      </c>
      <c r="Y361" s="81"/>
      <c r="Z361" s="9"/>
    </row>
    <row r="362" ht="22.5" customHeight="1">
      <c r="A362" s="49"/>
      <c r="C362" s="384">
        <v>45853.0</v>
      </c>
      <c r="D362" s="93">
        <v>45853.0</v>
      </c>
      <c r="E362" s="65" t="s">
        <v>735</v>
      </c>
      <c r="F362" s="74" t="s">
        <v>647</v>
      </c>
      <c r="G362" s="386">
        <v>1.0</v>
      </c>
      <c r="H362" s="74">
        <v>1470000.0</v>
      </c>
      <c r="I362" s="74">
        <v>1570000.0</v>
      </c>
      <c r="J362" s="60">
        <f t="shared" si="1"/>
        <v>45883</v>
      </c>
      <c r="K362" s="74">
        <f>if(F362="SERVICE",O362-(O362*50%),Vlookup(F362,DATABASE!C:Q,10,false)*G362)</f>
        <v>0</v>
      </c>
      <c r="L362" s="74">
        <f>VLOOKUP(F362,DATABASE!C:Q,7,FALSE)</f>
        <v>1420000</v>
      </c>
      <c r="M362" s="74">
        <v>1420000.0</v>
      </c>
      <c r="N362" s="74">
        <f t="shared" si="8"/>
        <v>1420000</v>
      </c>
      <c r="O362" s="74">
        <f t="shared" si="3"/>
        <v>1470000</v>
      </c>
      <c r="P362" s="63">
        <f t="shared" si="4"/>
        <v>1570000</v>
      </c>
      <c r="Q362" s="63">
        <f t="shared" si="5"/>
        <v>150000</v>
      </c>
      <c r="R362" s="93" t="str">
        <f>VLOOKUP(F362,DATABASE!C:Q,4,false)</f>
        <v>G. YEAR</v>
      </c>
      <c r="S362" s="93" t="str">
        <f>VLOOKUP(F362,DATABASE!C:P,11,false)</f>
        <v>Tire</v>
      </c>
      <c r="T362" s="93" t="str">
        <f>vlookup(F362,DATABASE!C:Q,8,false)</f>
        <v>BIAN</v>
      </c>
      <c r="Y362" s="81"/>
      <c r="Z362" s="9"/>
    </row>
    <row r="363" ht="22.5" customHeight="1">
      <c r="A363" s="49"/>
      <c r="C363" s="384">
        <v>45854.0</v>
      </c>
      <c r="D363" s="93">
        <v>45854.0</v>
      </c>
      <c r="E363" s="93" t="s">
        <v>651</v>
      </c>
      <c r="F363" s="74" t="s">
        <v>924</v>
      </c>
      <c r="G363" s="386">
        <v>1.0</v>
      </c>
      <c r="H363" s="74">
        <v>1650000.0</v>
      </c>
      <c r="I363" s="74">
        <v>1750000.0</v>
      </c>
      <c r="J363" s="60">
        <f t="shared" si="1"/>
        <v>45884</v>
      </c>
      <c r="K363" s="74">
        <f>if(F363="SERVICE",O363-(O363*50%),Vlookup(F363,DATABASE!C:Q,10,false)*G363)</f>
        <v>0</v>
      </c>
      <c r="L363" s="74">
        <f>VLOOKUP(F363,DATABASE!C:Q,7,FALSE)</f>
        <v>1560000</v>
      </c>
      <c r="M363" s="74">
        <v>1545000.0</v>
      </c>
      <c r="N363" s="74">
        <f t="shared" si="8"/>
        <v>1545000</v>
      </c>
      <c r="O363" s="74">
        <f t="shared" si="3"/>
        <v>1650000</v>
      </c>
      <c r="P363" s="63">
        <f t="shared" si="4"/>
        <v>1750000</v>
      </c>
      <c r="Q363" s="63">
        <f t="shared" si="5"/>
        <v>205000</v>
      </c>
      <c r="R363" s="93" t="str">
        <f>VLOOKUP(F363,DATABASE!C:Q,4,false)</f>
        <v>TIRON</v>
      </c>
      <c r="S363" s="93" t="str">
        <f>VLOOKUP(F363,DATABASE!C:P,11,false)</f>
        <v>Tire</v>
      </c>
      <c r="T363" s="93" t="str">
        <f>vlookup(F363,DATABASE!C:Q,8,false)</f>
        <v>BIAN</v>
      </c>
      <c r="Y363" s="81"/>
      <c r="Z363" s="9"/>
    </row>
    <row r="364" ht="22.5" customHeight="1">
      <c r="A364" s="49"/>
      <c r="C364" s="384">
        <v>45855.0</v>
      </c>
      <c r="D364" s="93">
        <v>45855.0</v>
      </c>
      <c r="E364" s="93" t="s">
        <v>254</v>
      </c>
      <c r="F364" s="74" t="s">
        <v>403</v>
      </c>
      <c r="G364" s="386">
        <v>2.0</v>
      </c>
      <c r="H364" s="74">
        <v>2260000.0</v>
      </c>
      <c r="I364" s="74">
        <v>2360000.0</v>
      </c>
      <c r="J364" s="60">
        <f t="shared" si="1"/>
        <v>45885</v>
      </c>
      <c r="K364" s="74">
        <f>if(F364="SERVICE",O364-(O364*50%),Vlookup(F364,DATABASE!C:Q,10,false)*G364)</f>
        <v>0</v>
      </c>
      <c r="L364" s="74">
        <f>VLOOKUP(F364,DATABASE!C:Q,7,FALSE)</f>
        <v>2160000</v>
      </c>
      <c r="M364" s="74">
        <v>2160000.0</v>
      </c>
      <c r="N364" s="74">
        <f t="shared" si="8"/>
        <v>2160000</v>
      </c>
      <c r="O364" s="74">
        <f t="shared" si="3"/>
        <v>4520000</v>
      </c>
      <c r="P364" s="63">
        <f t="shared" si="4"/>
        <v>4720000</v>
      </c>
      <c r="Q364" s="63">
        <f t="shared" si="5"/>
        <v>400000</v>
      </c>
      <c r="R364" s="93" t="str">
        <f>VLOOKUP(F364,DATABASE!C:Q,4,false)</f>
        <v>Advance</v>
      </c>
      <c r="S364" s="93" t="str">
        <f>VLOOKUP(F364,DATABASE!C:P,11,false)</f>
        <v>Tire</v>
      </c>
      <c r="T364" s="93" t="str">
        <f>vlookup(F364,DATABASE!C:Q,8,false)</f>
        <v>BIAN</v>
      </c>
      <c r="Y364" s="81"/>
      <c r="Z364" s="9"/>
    </row>
    <row r="365" ht="22.5" customHeight="1">
      <c r="A365" s="49"/>
      <c r="C365" s="384">
        <v>45855.0</v>
      </c>
      <c r="D365" s="93">
        <v>45855.0</v>
      </c>
      <c r="E365" s="93" t="s">
        <v>668</v>
      </c>
      <c r="F365" s="74" t="s">
        <v>1056</v>
      </c>
      <c r="G365" s="386">
        <v>1.0</v>
      </c>
      <c r="H365" s="74">
        <v>1080000.0</v>
      </c>
      <c r="I365" s="74">
        <v>1160000.0</v>
      </c>
      <c r="J365" s="60">
        <f t="shared" si="1"/>
        <v>45885</v>
      </c>
      <c r="K365" s="74">
        <f>if(F365="SERVICE",O365-(O365*50%),Vlookup(F365,DATABASE!C:Q,10,false)*G365)</f>
        <v>0</v>
      </c>
      <c r="L365" s="74">
        <f>VLOOKUP(F365,DATABASE!C:Q,7,FALSE)</f>
        <v>980000</v>
      </c>
      <c r="M365" s="74">
        <v>980000.0</v>
      </c>
      <c r="N365" s="74">
        <f t="shared" si="8"/>
        <v>980000</v>
      </c>
      <c r="O365" s="74">
        <f t="shared" si="3"/>
        <v>1080000</v>
      </c>
      <c r="P365" s="63">
        <f t="shared" si="4"/>
        <v>1160000</v>
      </c>
      <c r="Q365" s="63">
        <f t="shared" si="5"/>
        <v>180000</v>
      </c>
      <c r="R365" s="93" t="str">
        <f>VLOOKUP(F365,DATABASE!C:Q,4,false)</f>
        <v>Bridgestone</v>
      </c>
      <c r="S365" s="93" t="str">
        <f>VLOOKUP(F365,DATABASE!C:P,11,false)</f>
        <v>Tire</v>
      </c>
      <c r="T365" s="93" t="str">
        <f>vlookup(F365,DATABASE!C:Q,8,false)</f>
        <v>IBU</v>
      </c>
      <c r="Y365" s="81"/>
      <c r="Z365" s="9"/>
    </row>
    <row r="366" ht="22.5" customHeight="1">
      <c r="A366" s="49"/>
      <c r="C366" s="384">
        <v>45856.0</v>
      </c>
      <c r="D366" s="93">
        <v>45856.0</v>
      </c>
      <c r="E366" s="93" t="s">
        <v>274</v>
      </c>
      <c r="F366" s="74" t="s">
        <v>744</v>
      </c>
      <c r="G366" s="386">
        <v>1.0</v>
      </c>
      <c r="H366" s="74">
        <v>230000.0</v>
      </c>
      <c r="I366" s="74">
        <v>250000.0</v>
      </c>
      <c r="J366" s="60">
        <f t="shared" si="1"/>
        <v>45886</v>
      </c>
      <c r="K366" s="74">
        <f>if(F366="SERVICE",O366-(O366*50%),Vlookup(F366,DATABASE!C:Q,10,false)*G366)</f>
        <v>0</v>
      </c>
      <c r="L366" s="74">
        <f>VLOOKUP(F366,DATABASE!C:Q,7,FALSE)</f>
        <v>182200</v>
      </c>
      <c r="M366" s="74">
        <v>199920.0</v>
      </c>
      <c r="N366" s="74">
        <f t="shared" si="8"/>
        <v>200000</v>
      </c>
      <c r="O366" s="74">
        <f t="shared" si="3"/>
        <v>230000</v>
      </c>
      <c r="P366" s="63">
        <f t="shared" si="4"/>
        <v>250000</v>
      </c>
      <c r="Q366" s="63">
        <f t="shared" si="5"/>
        <v>50000</v>
      </c>
      <c r="R366" s="93" t="str">
        <f>VLOOKUP(F366,DATABASE!C:Q,4,false)</f>
        <v>BD</v>
      </c>
      <c r="S366" s="93" t="str">
        <f>VLOOKUP(F366,DATABASE!C:P,11,false)</f>
        <v>Tire</v>
      </c>
      <c r="T366" s="93" t="str">
        <f>vlookup(F366,DATABASE!C:Q,8,false)</f>
        <v>BIAN</v>
      </c>
      <c r="Y366" s="81"/>
      <c r="Z366" s="9"/>
    </row>
    <row r="367" ht="22.5" customHeight="1">
      <c r="A367" s="49"/>
      <c r="C367" s="384">
        <v>45857.0</v>
      </c>
      <c r="D367" s="93">
        <v>45857.0</v>
      </c>
      <c r="E367" s="93" t="s">
        <v>867</v>
      </c>
      <c r="F367" s="74" t="s">
        <v>566</v>
      </c>
      <c r="G367" s="386">
        <v>2.0</v>
      </c>
      <c r="H367" s="74">
        <v>1670000.0</v>
      </c>
      <c r="I367" s="74">
        <v>1770000.0</v>
      </c>
      <c r="J367" s="60">
        <f t="shared" si="1"/>
        <v>45887</v>
      </c>
      <c r="K367" s="74">
        <f>if(F367="SERVICE",O367-(O367*50%),Vlookup(F367,DATABASE!C:Q,10,false)*G367)</f>
        <v>0</v>
      </c>
      <c r="L367" s="74">
        <f>VLOOKUP(F367,DATABASE!C:Q,7,FALSE)</f>
        <v>1565000</v>
      </c>
      <c r="M367" s="74">
        <v>1545000.0</v>
      </c>
      <c r="N367" s="74">
        <f t="shared" si="8"/>
        <v>1545000</v>
      </c>
      <c r="O367" s="74">
        <f t="shared" si="3"/>
        <v>3340000</v>
      </c>
      <c r="P367" s="63">
        <f t="shared" si="4"/>
        <v>3540000</v>
      </c>
      <c r="Q367" s="63">
        <f t="shared" si="5"/>
        <v>450000</v>
      </c>
      <c r="R367" s="93" t="str">
        <f>VLOOKUP(F367,DATABASE!C:Q,4,false)</f>
        <v>Bridgestone</v>
      </c>
      <c r="S367" s="93" t="str">
        <f>VLOOKUP(F367,DATABASE!C:P,11,false)</f>
        <v>Tire</v>
      </c>
      <c r="T367" s="93" t="str">
        <f>vlookup(F367,DATABASE!C:Q,8,false)</f>
        <v>IBU</v>
      </c>
      <c r="Y367" s="81"/>
      <c r="Z367" s="9"/>
    </row>
    <row r="368" ht="22.5" customHeight="1">
      <c r="A368" s="49"/>
      <c r="C368" s="384">
        <v>45857.0</v>
      </c>
      <c r="D368" s="93">
        <v>45857.0</v>
      </c>
      <c r="E368" s="93" t="s">
        <v>867</v>
      </c>
      <c r="F368" s="74" t="s">
        <v>764</v>
      </c>
      <c r="G368" s="386">
        <v>2.0</v>
      </c>
      <c r="H368" s="74">
        <v>200000.0</v>
      </c>
      <c r="I368" s="74">
        <v>200000.0</v>
      </c>
      <c r="J368" s="60">
        <f t="shared" si="1"/>
        <v>45887</v>
      </c>
      <c r="K368" s="74">
        <f>if(F368="SERVICE",O368-(O368*50%),Vlookup(F368,DATABASE!C:Q,10,false)*G368)</f>
        <v>0</v>
      </c>
      <c r="L368" s="74">
        <f>VLOOKUP(F368,DATABASE!C:Q,7,FALSE)</f>
        <v>145000</v>
      </c>
      <c r="M368" s="74">
        <v>145000.0</v>
      </c>
      <c r="N368" s="74">
        <f t="shared" si="8"/>
        <v>145000</v>
      </c>
      <c r="O368" s="74">
        <f t="shared" si="3"/>
        <v>400000</v>
      </c>
      <c r="P368" s="63">
        <f t="shared" si="4"/>
        <v>400000</v>
      </c>
      <c r="Q368" s="63">
        <f t="shared" si="5"/>
        <v>110000</v>
      </c>
      <c r="R368" s="93" t="str">
        <f>VLOOKUP(F368,DATABASE!C:Q,4,false)</f>
        <v>BD</v>
      </c>
      <c r="S368" s="93" t="str">
        <f>VLOOKUP(F368,DATABASE!C:P,11,false)</f>
        <v>Tire</v>
      </c>
      <c r="T368" s="93" t="str">
        <f>vlookup(F368,DATABASE!C:Q,8,false)</f>
        <v>BIAN</v>
      </c>
      <c r="Y368" s="81"/>
      <c r="Z368" s="9"/>
    </row>
    <row r="369" ht="22.5" customHeight="1">
      <c r="A369" s="49"/>
      <c r="C369" s="384">
        <v>45857.0</v>
      </c>
      <c r="D369" s="93">
        <v>45857.0</v>
      </c>
      <c r="E369" s="65" t="s">
        <v>867</v>
      </c>
      <c r="F369" s="74" t="s">
        <v>1743</v>
      </c>
      <c r="G369" s="386">
        <v>2.0</v>
      </c>
      <c r="H369" s="74">
        <v>75000.0</v>
      </c>
      <c r="I369" s="74">
        <v>75000.0</v>
      </c>
      <c r="J369" s="60">
        <f t="shared" si="1"/>
        <v>45887</v>
      </c>
      <c r="K369" s="74">
        <f>if(F369="SERVICE",O369-(O369*50%),Vlookup(F369,DATABASE!C:Q,10,false)*G369)</f>
        <v>0</v>
      </c>
      <c r="L369" s="74">
        <f>VLOOKUP(F369,DATABASE!C:Q,7,FALSE)</f>
        <v>45000</v>
      </c>
      <c r="M369" s="74">
        <v>45000.0</v>
      </c>
      <c r="N369" s="74">
        <f t="shared" si="8"/>
        <v>45000</v>
      </c>
      <c r="O369" s="74">
        <f t="shared" si="3"/>
        <v>150000</v>
      </c>
      <c r="P369" s="63">
        <f t="shared" si="4"/>
        <v>150000</v>
      </c>
      <c r="Q369" s="63">
        <f t="shared" si="5"/>
        <v>60000</v>
      </c>
      <c r="R369" s="93" t="str">
        <f>VLOOKUP(F369,DATABASE!C:Q,4,false)</f>
        <v>FLAP</v>
      </c>
      <c r="S369" s="93" t="str">
        <f>VLOOKUP(F369,DATABASE!C:P,11,false)</f>
        <v>Tire</v>
      </c>
      <c r="T369" s="93" t="str">
        <f>vlookup(F369,DATABASE!C:Q,8,false)</f>
        <v>BIAN</v>
      </c>
      <c r="Y369" s="81"/>
      <c r="Z369" s="9"/>
    </row>
    <row r="370" ht="22.5" customHeight="1">
      <c r="A370" s="49"/>
      <c r="C370" s="384">
        <v>45857.0</v>
      </c>
      <c r="D370" s="93">
        <v>45857.0</v>
      </c>
      <c r="E370" s="65" t="s">
        <v>193</v>
      </c>
      <c r="F370" s="74" t="s">
        <v>681</v>
      </c>
      <c r="G370" s="386">
        <v>1.0</v>
      </c>
      <c r="H370" s="74">
        <v>180000.0</v>
      </c>
      <c r="I370" s="74">
        <v>180000.0</v>
      </c>
      <c r="J370" s="60">
        <f t="shared" si="1"/>
        <v>45887</v>
      </c>
      <c r="K370" s="74">
        <f>if(F370="SERVICE",O370-(O370*50%),Vlookup(F370,DATABASE!C:Q,10,false)*G370)</f>
        <v>0</v>
      </c>
      <c r="L370" s="74">
        <f>VLOOKUP(F370,DATABASE!C:Q,7,FALSE)</f>
        <v>91000</v>
      </c>
      <c r="M370" s="74">
        <v>91000.0</v>
      </c>
      <c r="N370" s="74">
        <f t="shared" si="8"/>
        <v>95000</v>
      </c>
      <c r="O370" s="74">
        <f t="shared" si="3"/>
        <v>180000</v>
      </c>
      <c r="P370" s="63">
        <f t="shared" si="4"/>
        <v>180000</v>
      </c>
      <c r="Q370" s="63">
        <f t="shared" si="5"/>
        <v>85000</v>
      </c>
      <c r="R370" s="93" t="str">
        <f>VLOOKUP(F370,DATABASE!C:Q,4,false)</f>
        <v>BD</v>
      </c>
      <c r="S370" s="93" t="str">
        <f>VLOOKUP(F370,DATABASE!C:P,11,false)</f>
        <v>Tire</v>
      </c>
      <c r="T370" s="93" t="str">
        <f>vlookup(F370,DATABASE!C:Q,8,false)</f>
        <v>BIAN</v>
      </c>
      <c r="Y370" s="81"/>
      <c r="Z370" s="9"/>
    </row>
    <row r="371" ht="22.5" customHeight="1">
      <c r="A371" s="49"/>
      <c r="C371" s="384">
        <v>45859.0</v>
      </c>
      <c r="D371" s="93">
        <v>45859.0</v>
      </c>
      <c r="E371" s="65" t="s">
        <v>331</v>
      </c>
      <c r="F371" s="74" t="s">
        <v>275</v>
      </c>
      <c r="G371" s="386">
        <v>1.0</v>
      </c>
      <c r="H371" s="74">
        <v>870000.0</v>
      </c>
      <c r="I371" s="74">
        <v>930000.0</v>
      </c>
      <c r="J371" s="60">
        <f t="shared" si="1"/>
        <v>45889</v>
      </c>
      <c r="K371" s="74">
        <f>if(F371="SERVICE",O371-(O371*50%),Vlookup(F371,DATABASE!C:Q,10,false)*G371)</f>
        <v>0</v>
      </c>
      <c r="L371" s="74">
        <f>VLOOKUP(F371,DATABASE!C:Q,7,FALSE)</f>
        <v>782000</v>
      </c>
      <c r="M371" s="74">
        <v>745000.0</v>
      </c>
      <c r="N371" s="74">
        <f t="shared" si="8"/>
        <v>745000</v>
      </c>
      <c r="O371" s="74">
        <f t="shared" si="3"/>
        <v>870000</v>
      </c>
      <c r="P371" s="63">
        <f t="shared" si="4"/>
        <v>930000</v>
      </c>
      <c r="Q371" s="63">
        <f t="shared" si="5"/>
        <v>185000</v>
      </c>
      <c r="R371" s="93" t="str">
        <f>VLOOKUP(F371,DATABASE!C:Q,4,false)</f>
        <v>Dunlop</v>
      </c>
      <c r="S371" s="93" t="str">
        <f>VLOOKUP(F371,DATABASE!C:P,11,false)</f>
        <v>Tire</v>
      </c>
      <c r="T371" s="93" t="str">
        <f>vlookup(F371,DATABASE!C:Q,8,false)</f>
        <v>IBU</v>
      </c>
      <c r="Y371" s="81"/>
      <c r="Z371" s="9"/>
    </row>
    <row r="372" ht="22.5" customHeight="1">
      <c r="A372" s="49"/>
      <c r="C372" s="384">
        <v>45859.0</v>
      </c>
      <c r="D372" s="93">
        <v>45859.0</v>
      </c>
      <c r="E372" s="65" t="s">
        <v>927</v>
      </c>
      <c r="F372" s="74" t="s">
        <v>374</v>
      </c>
      <c r="G372" s="386">
        <v>1.0</v>
      </c>
      <c r="H372" s="74">
        <v>1950000.0</v>
      </c>
      <c r="I372" s="74">
        <v>2050000.0</v>
      </c>
      <c r="J372" s="60">
        <f t="shared" si="1"/>
        <v>45889</v>
      </c>
      <c r="K372" s="74">
        <f>if(F372="SERVICE",O372-(O372*50%),Vlookup(F372,DATABASE!C:Q,10,false)*G372)</f>
        <v>0</v>
      </c>
      <c r="L372" s="74">
        <f>VLOOKUP(F372,DATABASE!C:Q,7,FALSE)</f>
        <v>1980000</v>
      </c>
      <c r="M372" s="74">
        <v>1850000.0</v>
      </c>
      <c r="N372" s="74">
        <f t="shared" si="8"/>
        <v>1850000</v>
      </c>
      <c r="O372" s="74">
        <f t="shared" si="3"/>
        <v>1950000</v>
      </c>
      <c r="P372" s="63">
        <f t="shared" si="4"/>
        <v>2050000</v>
      </c>
      <c r="Q372" s="63">
        <f t="shared" si="5"/>
        <v>200000</v>
      </c>
      <c r="R372" s="93" t="str">
        <f>VLOOKUP(F372,DATABASE!C:Q,4,false)</f>
        <v>Advance</v>
      </c>
      <c r="S372" s="93" t="str">
        <f>VLOOKUP(F372,DATABASE!C:P,11,false)</f>
        <v>Tire</v>
      </c>
      <c r="T372" s="93" t="str">
        <f>vlookup(F372,DATABASE!C:Q,8,false)</f>
        <v>BIAN</v>
      </c>
      <c r="Y372" s="81"/>
      <c r="Z372" s="9"/>
    </row>
    <row r="373" ht="22.5" customHeight="1">
      <c r="A373" s="49"/>
      <c r="C373" s="384">
        <v>45859.0</v>
      </c>
      <c r="D373" s="93">
        <v>45859.0</v>
      </c>
      <c r="E373" s="65" t="s">
        <v>383</v>
      </c>
      <c r="F373" s="74" t="s">
        <v>1862</v>
      </c>
      <c r="G373" s="386">
        <v>1.0</v>
      </c>
      <c r="H373" s="74">
        <v>2150000.0</v>
      </c>
      <c r="I373" s="74">
        <v>2250000.0</v>
      </c>
      <c r="J373" s="60">
        <f t="shared" si="1"/>
        <v>45889</v>
      </c>
      <c r="K373" s="74">
        <f>if(F373="SERVICE",O373-(O373*50%),Vlookup(F373,DATABASE!C:Q,10,false)*G373)</f>
        <v>0</v>
      </c>
      <c r="L373" s="74">
        <f>VLOOKUP(F373,DATABASE!C:Q,7,FALSE)</f>
        <v>2080000</v>
      </c>
      <c r="M373" s="74">
        <v>2050000.0</v>
      </c>
      <c r="N373" s="74">
        <f t="shared" si="8"/>
        <v>2050000</v>
      </c>
      <c r="O373" s="74">
        <f t="shared" si="3"/>
        <v>2150000</v>
      </c>
      <c r="P373" s="63">
        <f t="shared" si="4"/>
        <v>2250000</v>
      </c>
      <c r="Q373" s="63">
        <f t="shared" si="5"/>
        <v>200000</v>
      </c>
      <c r="R373" s="93" t="str">
        <f>VLOOKUP(F373,DATABASE!C:Q,4,false)</f>
        <v>GiTi</v>
      </c>
      <c r="S373" s="93" t="str">
        <f>VLOOKUP(F373,DATABASE!C:P,11,false)</f>
        <v>Tire</v>
      </c>
      <c r="T373" s="93" t="str">
        <f>vlookup(F373,DATABASE!C:Q,8,false)</f>
        <v>BIAN</v>
      </c>
      <c r="Y373" s="81"/>
      <c r="Z373" s="9"/>
    </row>
    <row r="374" ht="22.5" customHeight="1">
      <c r="A374" s="49"/>
      <c r="C374" s="384">
        <v>45860.0</v>
      </c>
      <c r="D374" s="93">
        <v>45860.0</v>
      </c>
      <c r="E374" s="65" t="s">
        <v>465</v>
      </c>
      <c r="F374" s="74" t="s">
        <v>1862</v>
      </c>
      <c r="G374" s="386">
        <v>4.0</v>
      </c>
      <c r="H374" s="74">
        <v>2150000.0</v>
      </c>
      <c r="I374" s="74">
        <v>2250000.0</v>
      </c>
      <c r="J374" s="60">
        <f t="shared" si="1"/>
        <v>45890</v>
      </c>
      <c r="K374" s="74">
        <f>if(F374="SERVICE",O374-(O374*50%),Vlookup(F374,DATABASE!C:Q,10,false)*G374)</f>
        <v>0</v>
      </c>
      <c r="L374" s="74">
        <f>VLOOKUP(F374,DATABASE!C:Q,7,FALSE)</f>
        <v>2080000</v>
      </c>
      <c r="M374" s="74">
        <v>2050000.0</v>
      </c>
      <c r="N374" s="74">
        <f t="shared" si="8"/>
        <v>2050000</v>
      </c>
      <c r="O374" s="74">
        <f t="shared" si="3"/>
        <v>8600000</v>
      </c>
      <c r="P374" s="63">
        <f t="shared" si="4"/>
        <v>9000000</v>
      </c>
      <c r="Q374" s="63">
        <f t="shared" si="5"/>
        <v>800000</v>
      </c>
      <c r="R374" s="93" t="str">
        <f>VLOOKUP(F374,DATABASE!C:Q,4,false)</f>
        <v>GiTi</v>
      </c>
      <c r="S374" s="93" t="str">
        <f>VLOOKUP(F374,DATABASE!C:P,11,false)</f>
        <v>Tire</v>
      </c>
      <c r="T374" s="93" t="str">
        <f>vlookup(F374,DATABASE!C:Q,8,false)</f>
        <v>BIAN</v>
      </c>
      <c r="Y374" s="81"/>
      <c r="Z374" s="9"/>
    </row>
    <row r="375" ht="22.5" customHeight="1">
      <c r="A375" s="49"/>
      <c r="C375" s="384">
        <v>45861.0</v>
      </c>
      <c r="D375" s="93">
        <v>45861.0</v>
      </c>
      <c r="E375" s="93" t="s">
        <v>132</v>
      </c>
      <c r="F375" s="74" t="s">
        <v>566</v>
      </c>
      <c r="G375" s="386">
        <v>1.0</v>
      </c>
      <c r="H375" s="74">
        <v>1770000.0</v>
      </c>
      <c r="I375" s="74">
        <v>1770000.0</v>
      </c>
      <c r="J375" s="60">
        <f t="shared" si="1"/>
        <v>45891</v>
      </c>
      <c r="K375" s="74">
        <f>if(F375="SERVICE",O375-(O375*50%),Vlookup(F375,DATABASE!C:Q,10,false)*G375)</f>
        <v>0</v>
      </c>
      <c r="L375" s="74">
        <f>VLOOKUP(F375,DATABASE!C:Q,7,FALSE)</f>
        <v>1565000</v>
      </c>
      <c r="M375" s="74">
        <v>1545000.0</v>
      </c>
      <c r="N375" s="74">
        <f t="shared" si="8"/>
        <v>1545000</v>
      </c>
      <c r="O375" s="74">
        <f t="shared" si="3"/>
        <v>1770000</v>
      </c>
      <c r="P375" s="63">
        <f t="shared" si="4"/>
        <v>1770000</v>
      </c>
      <c r="Q375" s="63">
        <f t="shared" si="5"/>
        <v>225000</v>
      </c>
      <c r="R375" s="93" t="str">
        <f>VLOOKUP(F375,DATABASE!C:Q,4,false)</f>
        <v>Bridgestone</v>
      </c>
      <c r="S375" s="93" t="str">
        <f>VLOOKUP(F375,DATABASE!C:P,11,false)</f>
        <v>Tire</v>
      </c>
      <c r="T375" s="93" t="str">
        <f>vlookup(F375,DATABASE!C:Q,8,false)</f>
        <v>IBU</v>
      </c>
      <c r="Y375" s="81"/>
      <c r="Z375" s="9"/>
    </row>
    <row r="376" ht="22.5" customHeight="1">
      <c r="A376" s="49"/>
      <c r="C376" s="384">
        <v>45861.0</v>
      </c>
      <c r="D376" s="93">
        <v>45861.0</v>
      </c>
      <c r="E376" s="65" t="s">
        <v>132</v>
      </c>
      <c r="F376" s="74" t="s">
        <v>744</v>
      </c>
      <c r="G376" s="386">
        <v>1.0</v>
      </c>
      <c r="H376" s="74">
        <v>230000.0</v>
      </c>
      <c r="I376" s="74">
        <v>230000.0</v>
      </c>
      <c r="J376" s="60">
        <f t="shared" si="1"/>
        <v>45891</v>
      </c>
      <c r="K376" s="74">
        <f>if(F376="SERVICE",O376-(O376*50%),Vlookup(F376,DATABASE!C:Q,10,false)*G376)</f>
        <v>0</v>
      </c>
      <c r="L376" s="74">
        <f>VLOOKUP(F376,DATABASE!C:Q,7,FALSE)</f>
        <v>182200</v>
      </c>
      <c r="M376" s="74">
        <v>199920.0</v>
      </c>
      <c r="N376" s="74">
        <f t="shared" si="8"/>
        <v>200000</v>
      </c>
      <c r="O376" s="74">
        <f t="shared" si="3"/>
        <v>230000</v>
      </c>
      <c r="P376" s="63">
        <f t="shared" si="4"/>
        <v>230000</v>
      </c>
      <c r="Q376" s="63">
        <f t="shared" si="5"/>
        <v>30000</v>
      </c>
      <c r="R376" s="93" t="str">
        <f>VLOOKUP(F376,DATABASE!C:Q,4,false)</f>
        <v>BD</v>
      </c>
      <c r="S376" s="93" t="str">
        <f>VLOOKUP(F376,DATABASE!C:P,11,false)</f>
        <v>Tire</v>
      </c>
      <c r="T376" s="93" t="str">
        <f>vlookup(F376,DATABASE!C:Q,8,false)</f>
        <v>BIAN</v>
      </c>
      <c r="Y376" s="81"/>
      <c r="Z376" s="9"/>
    </row>
    <row r="377" ht="22.5" customHeight="1">
      <c r="A377" s="49"/>
      <c r="C377" s="384">
        <v>45861.0</v>
      </c>
      <c r="D377" s="93">
        <v>45861.0</v>
      </c>
      <c r="E377" s="93" t="s">
        <v>132</v>
      </c>
      <c r="F377" s="74" t="s">
        <v>821</v>
      </c>
      <c r="G377" s="386">
        <v>1.0</v>
      </c>
      <c r="H377" s="74">
        <v>85000.0</v>
      </c>
      <c r="I377" s="74">
        <v>85000.0</v>
      </c>
      <c r="J377" s="60">
        <f t="shared" si="1"/>
        <v>45891</v>
      </c>
      <c r="K377" s="74">
        <f>if(F377="SERVICE",O377-(O377*50%),Vlookup(F377,DATABASE!C:Q,10,false)*G377)</f>
        <v>0</v>
      </c>
      <c r="L377" s="74">
        <f>VLOOKUP(F377,DATABASE!C:Q,7,FALSE)</f>
        <v>43500</v>
      </c>
      <c r="M377" s="74">
        <v>43520.0</v>
      </c>
      <c r="N377" s="74">
        <f t="shared" si="8"/>
        <v>45000</v>
      </c>
      <c r="O377" s="74">
        <f t="shared" si="3"/>
        <v>85000</v>
      </c>
      <c r="P377" s="63">
        <f t="shared" si="4"/>
        <v>85000</v>
      </c>
      <c r="Q377" s="63">
        <f t="shared" si="5"/>
        <v>40000</v>
      </c>
      <c r="R377" s="93" t="str">
        <f>VLOOKUP(F377,DATABASE!C:Q,4,false)</f>
        <v>Flap</v>
      </c>
      <c r="S377" s="93" t="str">
        <f>VLOOKUP(F377,DATABASE!C:P,11,false)</f>
        <v>Tire</v>
      </c>
      <c r="T377" s="93" t="str">
        <f>vlookup(F377,DATABASE!C:Q,8,false)</f>
        <v>BIAN</v>
      </c>
      <c r="Y377" s="81"/>
      <c r="Z377" s="9"/>
    </row>
    <row r="378" ht="22.5" customHeight="1">
      <c r="A378" s="49"/>
      <c r="C378" s="384">
        <v>45863.0</v>
      </c>
      <c r="D378" s="93">
        <v>45863.0</v>
      </c>
      <c r="E378" s="93" t="s">
        <v>528</v>
      </c>
      <c r="F378" s="74" t="s">
        <v>295</v>
      </c>
      <c r="G378" s="386">
        <v>2.0</v>
      </c>
      <c r="H378" s="74">
        <v>1525000.0</v>
      </c>
      <c r="I378" s="74">
        <v>1625000.0</v>
      </c>
      <c r="J378" s="60">
        <f t="shared" si="1"/>
        <v>45893</v>
      </c>
      <c r="K378" s="74">
        <f>if(F378="SERVICE",O378-(O378*50%),Vlookup(F378,DATABASE!C:Q,10,false)*G378)</f>
        <v>0</v>
      </c>
      <c r="L378" s="74">
        <f>VLOOKUP(F378,DATABASE!C:Q,7,FALSE)</f>
        <v>1475000</v>
      </c>
      <c r="M378" s="74">
        <v>1425000.0</v>
      </c>
      <c r="N378" s="74">
        <f t="shared" si="8"/>
        <v>1425000</v>
      </c>
      <c r="O378" s="74">
        <f t="shared" si="3"/>
        <v>3050000</v>
      </c>
      <c r="P378" s="63">
        <f t="shared" si="4"/>
        <v>3250000</v>
      </c>
      <c r="Q378" s="63">
        <f t="shared" si="5"/>
        <v>400000</v>
      </c>
      <c r="R378" s="93" t="str">
        <f>VLOOKUP(F378,DATABASE!C:Q,4,false)</f>
        <v>TIRON</v>
      </c>
      <c r="S378" s="93" t="str">
        <f>VLOOKUP(F378,DATABASE!C:P,11,false)</f>
        <v>Tire</v>
      </c>
      <c r="T378" s="93" t="str">
        <f>vlookup(F378,DATABASE!C:Q,8,false)</f>
        <v>BIAN</v>
      </c>
      <c r="Y378" s="81"/>
      <c r="Z378" s="9"/>
    </row>
    <row r="379" ht="22.5" customHeight="1">
      <c r="A379" s="49"/>
      <c r="C379" s="384">
        <v>45864.0</v>
      </c>
      <c r="D379" s="93">
        <v>45864.0</v>
      </c>
      <c r="E379" s="65" t="s">
        <v>234</v>
      </c>
      <c r="F379" s="74" t="s">
        <v>1993</v>
      </c>
      <c r="G379" s="386">
        <v>2.0</v>
      </c>
      <c r="H379" s="74">
        <v>1440000.0</v>
      </c>
      <c r="I379" s="74">
        <v>1550000.0</v>
      </c>
      <c r="J379" s="60">
        <f t="shared" si="1"/>
        <v>45894</v>
      </c>
      <c r="K379" s="74">
        <f>if(F379="SERVICE",O379-(O379*50%),Vlookup(F379,DATABASE!C:Q,10,false)*G379)</f>
        <v>0</v>
      </c>
      <c r="L379" s="74">
        <f>VLOOKUP(F379,DATABASE!C:Q,7,FALSE)</f>
        <v>1290000</v>
      </c>
      <c r="M379" s="74">
        <v>1290000.0</v>
      </c>
      <c r="N379" s="74">
        <f t="shared" si="8"/>
        <v>1290000</v>
      </c>
      <c r="O379" s="74">
        <f t="shared" si="3"/>
        <v>2880000</v>
      </c>
      <c r="P379" s="63">
        <f t="shared" si="4"/>
        <v>3100000</v>
      </c>
      <c r="Q379" s="63">
        <f t="shared" si="5"/>
        <v>520000</v>
      </c>
      <c r="R379" s="93" t="str">
        <f>VLOOKUP(F379,DATABASE!C:Q,4,false)</f>
        <v>GT</v>
      </c>
      <c r="S379" s="93" t="str">
        <f>VLOOKUP(F379,DATABASE!C:P,11,false)</f>
        <v>Tire</v>
      </c>
      <c r="T379" s="93" t="str">
        <f>vlookup(F379,DATABASE!C:Q,8,false)</f>
        <v>BIAN</v>
      </c>
      <c r="Y379" s="81"/>
      <c r="Z379" s="9"/>
    </row>
    <row r="380" ht="22.5" customHeight="1">
      <c r="A380" s="49"/>
      <c r="C380" s="384">
        <v>45864.0</v>
      </c>
      <c r="D380" s="93">
        <v>45864.0</v>
      </c>
      <c r="E380" s="65" t="s">
        <v>234</v>
      </c>
      <c r="F380" s="74" t="s">
        <v>461</v>
      </c>
      <c r="G380" s="386">
        <v>2.0</v>
      </c>
      <c r="H380" s="74">
        <v>50000.0</v>
      </c>
      <c r="I380" s="74">
        <v>50000.0</v>
      </c>
      <c r="J380" s="60">
        <f t="shared" si="1"/>
        <v>45894</v>
      </c>
      <c r="K380" s="74">
        <f>if(F380="SERVICE",O380-(O380*50%),Vlookup(F380,DATABASE!C:Q,10,false)*G380)</f>
        <v>0</v>
      </c>
      <c r="L380" s="74">
        <f>VLOOKUP(F380,DATABASE!C:Q,7,FALSE)</f>
        <v>15000</v>
      </c>
      <c r="M380" s="74">
        <v>10000.0</v>
      </c>
      <c r="N380" s="74">
        <f t="shared" si="8"/>
        <v>10000</v>
      </c>
      <c r="O380" s="74">
        <f t="shared" si="3"/>
        <v>100000</v>
      </c>
      <c r="P380" s="63">
        <f t="shared" si="4"/>
        <v>100000</v>
      </c>
      <c r="Q380" s="63">
        <f t="shared" si="5"/>
        <v>80000</v>
      </c>
      <c r="R380" s="93" t="str">
        <f>VLOOKUP(F380,DATABASE!C:Q,4,false)</f>
        <v>Balancing</v>
      </c>
      <c r="S380" s="93" t="str">
        <f>VLOOKUP(F380,DATABASE!C:P,11,false)</f>
        <v>COMPLEMENTARY</v>
      </c>
      <c r="T380" s="93" t="str">
        <f>vlookup(F380,DATABASE!C:Q,8,false)</f>
        <v>BIAN</v>
      </c>
      <c r="Y380" s="81"/>
      <c r="Z380" s="9"/>
    </row>
    <row r="381" ht="22.5" customHeight="1">
      <c r="A381" s="49"/>
      <c r="C381" s="384">
        <v>45866.0</v>
      </c>
      <c r="D381" s="93">
        <v>45866.0</v>
      </c>
      <c r="E381" s="65" t="s">
        <v>396</v>
      </c>
      <c r="F381" s="74" t="s">
        <v>1237</v>
      </c>
      <c r="G381" s="386">
        <v>2.0</v>
      </c>
      <c r="H381" s="74">
        <v>1235000.0</v>
      </c>
      <c r="I381" s="74">
        <v>1235000.0</v>
      </c>
      <c r="J381" s="60">
        <f t="shared" si="1"/>
        <v>45896</v>
      </c>
      <c r="K381" s="74">
        <f>if(F381="SERVICE",O381-(O381*50%),Vlookup(F381,DATABASE!C:Q,10,false)*G381)</f>
        <v>0</v>
      </c>
      <c r="L381" s="74">
        <f>VLOOKUP(F381,DATABASE!C:Q,7,FALSE)</f>
        <v>1170353.16</v>
      </c>
      <c r="M381" s="74">
        <v>1113907.2</v>
      </c>
      <c r="N381" s="74">
        <f t="shared" si="8"/>
        <v>1115000</v>
      </c>
      <c r="O381" s="74">
        <f t="shared" si="3"/>
        <v>2470000</v>
      </c>
      <c r="P381" s="63">
        <f t="shared" si="4"/>
        <v>2470000</v>
      </c>
      <c r="Q381" s="63">
        <f t="shared" si="5"/>
        <v>240000</v>
      </c>
      <c r="R381" s="93" t="str">
        <f>VLOOKUP(F381,DATABASE!C:Q,4,false)</f>
        <v>Bridgestone</v>
      </c>
      <c r="S381" s="93" t="str">
        <f>VLOOKUP(F381,DATABASE!C:P,11,false)</f>
        <v>Tire</v>
      </c>
      <c r="T381" s="93" t="str">
        <f>vlookup(F381,DATABASE!C:Q,8,false)</f>
        <v>IBU</v>
      </c>
      <c r="Y381" s="81"/>
      <c r="Z381" s="9"/>
    </row>
    <row r="382" ht="22.5" customHeight="1">
      <c r="A382" s="49"/>
      <c r="C382" s="384">
        <v>45866.0</v>
      </c>
      <c r="D382" s="93">
        <v>45866.0</v>
      </c>
      <c r="E382" s="65" t="s">
        <v>610</v>
      </c>
      <c r="F382" s="74" t="s">
        <v>554</v>
      </c>
      <c r="G382" s="386">
        <v>4.0</v>
      </c>
      <c r="H382" s="74">
        <v>800000.0</v>
      </c>
      <c r="I382" s="74">
        <v>800000.0</v>
      </c>
      <c r="J382" s="60">
        <f t="shared" si="1"/>
        <v>45896</v>
      </c>
      <c r="K382" s="74">
        <f>if(F382="SERVICE",O382-(O382*50%),Vlookup(F382,DATABASE!C:Q,10,false)*G382)</f>
        <v>0</v>
      </c>
      <c r="L382" s="74">
        <f>VLOOKUP(F382,DATABASE!C:Q,7,FALSE)</f>
        <v>710000</v>
      </c>
      <c r="M382" s="74">
        <v>680000.0</v>
      </c>
      <c r="N382" s="74">
        <f t="shared" si="8"/>
        <v>680000</v>
      </c>
      <c r="O382" s="74">
        <f t="shared" si="3"/>
        <v>3200000</v>
      </c>
      <c r="P382" s="63">
        <f t="shared" si="4"/>
        <v>3200000</v>
      </c>
      <c r="Q382" s="63">
        <f t="shared" si="5"/>
        <v>480000</v>
      </c>
      <c r="R382" s="93" t="str">
        <f>VLOOKUP(F382,DATABASE!C:Q,4,false)</f>
        <v>Bridgestone</v>
      </c>
      <c r="S382" s="93" t="str">
        <f>VLOOKUP(F382,DATABASE!C:P,11,false)</f>
        <v>Tire</v>
      </c>
      <c r="T382" s="93" t="str">
        <f>vlookup(F382,DATABASE!C:Q,8,false)</f>
        <v>IBU</v>
      </c>
      <c r="Y382" s="81"/>
      <c r="Z382" s="9"/>
    </row>
    <row r="383" ht="22.5" customHeight="1">
      <c r="A383" s="49"/>
      <c r="C383" s="384">
        <v>45867.0</v>
      </c>
      <c r="D383" s="93">
        <v>45867.0</v>
      </c>
      <c r="E383" s="65" t="s">
        <v>254</v>
      </c>
      <c r="F383" s="74" t="s">
        <v>403</v>
      </c>
      <c r="G383" s="386">
        <v>4.0</v>
      </c>
      <c r="H383" s="74">
        <v>2260000.0</v>
      </c>
      <c r="I383" s="140">
        <v>2360000.0</v>
      </c>
      <c r="J383" s="60">
        <f t="shared" si="1"/>
        <v>45897</v>
      </c>
      <c r="K383" s="74">
        <f>if(F383="SERVICE",O383-(O383*50%),Vlookup(F383,DATABASE!C:Q,10,false)*G383)</f>
        <v>0</v>
      </c>
      <c r="L383" s="74">
        <f>VLOOKUP(F383,DATABASE!C:Q,7,FALSE)</f>
        <v>2160000</v>
      </c>
      <c r="M383" s="74">
        <v>2160000.0</v>
      </c>
      <c r="N383" s="74">
        <f t="shared" si="8"/>
        <v>2160000</v>
      </c>
      <c r="O383" s="74">
        <f t="shared" si="3"/>
        <v>9040000</v>
      </c>
      <c r="P383" s="63">
        <f t="shared" si="4"/>
        <v>9440000</v>
      </c>
      <c r="Q383" s="63">
        <f t="shared" si="5"/>
        <v>800000</v>
      </c>
      <c r="R383" s="93" t="str">
        <f>VLOOKUP(F383,DATABASE!C:Q,4,false)</f>
        <v>Advance</v>
      </c>
      <c r="S383" s="93" t="str">
        <f>VLOOKUP(F383,DATABASE!C:P,11,false)</f>
        <v>Tire</v>
      </c>
      <c r="T383" s="93" t="str">
        <f>vlookup(F383,DATABASE!C:Q,8,false)</f>
        <v>BIAN</v>
      </c>
      <c r="Y383" s="81"/>
      <c r="Z383" s="9"/>
    </row>
    <row r="384" ht="22.5" customHeight="1">
      <c r="A384" s="49"/>
      <c r="C384" s="384">
        <v>45867.0</v>
      </c>
      <c r="D384" s="93">
        <v>45867.0</v>
      </c>
      <c r="E384" s="93" t="s">
        <v>254</v>
      </c>
      <c r="F384" s="74" t="s">
        <v>924</v>
      </c>
      <c r="G384" s="386">
        <v>2.0</v>
      </c>
      <c r="H384" s="74">
        <v>1650000.0</v>
      </c>
      <c r="I384" s="140">
        <v>1750000.0</v>
      </c>
      <c r="J384" s="60">
        <f t="shared" si="1"/>
        <v>45897</v>
      </c>
      <c r="K384" s="74">
        <f>if(F384="SERVICE",O384-(O384*50%),Vlookup(F384,DATABASE!C:Q,10,false)*G384)</f>
        <v>0</v>
      </c>
      <c r="L384" s="74">
        <f>VLOOKUP(F384,DATABASE!C:Q,7,FALSE)</f>
        <v>1560000</v>
      </c>
      <c r="M384" s="74">
        <v>1545000.0</v>
      </c>
      <c r="N384" s="74">
        <f t="shared" si="8"/>
        <v>1545000</v>
      </c>
      <c r="O384" s="74">
        <f t="shared" si="3"/>
        <v>3300000</v>
      </c>
      <c r="P384" s="63">
        <f t="shared" si="4"/>
        <v>3500000</v>
      </c>
      <c r="Q384" s="63">
        <f t="shared" si="5"/>
        <v>410000</v>
      </c>
      <c r="R384" s="93" t="str">
        <f>VLOOKUP(F384,DATABASE!C:Q,4,false)</f>
        <v>TIRON</v>
      </c>
      <c r="S384" s="93" t="str">
        <f>VLOOKUP(F384,DATABASE!C:P,11,false)</f>
        <v>Tire</v>
      </c>
      <c r="T384" s="93" t="str">
        <f>vlookup(F384,DATABASE!C:Q,8,false)</f>
        <v>BIAN</v>
      </c>
      <c r="Y384" s="81"/>
      <c r="Z384" s="9"/>
    </row>
    <row r="385" ht="22.5" customHeight="1">
      <c r="A385" s="49"/>
      <c r="C385" s="384">
        <v>45869.0</v>
      </c>
      <c r="D385" s="93">
        <v>45869.0</v>
      </c>
      <c r="E385" s="65" t="s">
        <v>193</v>
      </c>
      <c r="F385" s="74" t="s">
        <v>744</v>
      </c>
      <c r="G385" s="386">
        <v>1.0</v>
      </c>
      <c r="H385" s="74">
        <v>230000.0</v>
      </c>
      <c r="I385" s="74">
        <v>250000.0</v>
      </c>
      <c r="J385" s="60">
        <f t="shared" si="1"/>
        <v>45899</v>
      </c>
      <c r="K385" s="74">
        <f>if(F385="SERVICE",O385-(O385*50%),Vlookup(F385,DATABASE!C:Q,10,false)*G385)</f>
        <v>0</v>
      </c>
      <c r="L385" s="74">
        <f>VLOOKUP(F385,DATABASE!C:Q,7,FALSE)</f>
        <v>182200</v>
      </c>
      <c r="M385" s="74">
        <v>199920.0</v>
      </c>
      <c r="N385" s="74">
        <f t="shared" si="8"/>
        <v>200000</v>
      </c>
      <c r="O385" s="74">
        <f t="shared" si="3"/>
        <v>230000</v>
      </c>
      <c r="P385" s="63">
        <f t="shared" si="4"/>
        <v>250000</v>
      </c>
      <c r="Q385" s="63">
        <f t="shared" si="5"/>
        <v>50000</v>
      </c>
      <c r="R385" s="93" t="str">
        <f>VLOOKUP(F385,DATABASE!C:Q,4,false)</f>
        <v>BD</v>
      </c>
      <c r="S385" s="93" t="str">
        <f>VLOOKUP(F385,DATABASE!C:P,11,false)</f>
        <v>Tire</v>
      </c>
      <c r="T385" s="93" t="str">
        <f>vlookup(F385,DATABASE!C:Q,8,false)</f>
        <v>BIAN</v>
      </c>
      <c r="Y385" s="81"/>
      <c r="Z385" s="9"/>
    </row>
    <row r="386" ht="22.5" customHeight="1">
      <c r="A386" s="49"/>
      <c r="C386" s="384">
        <v>45869.0</v>
      </c>
      <c r="D386" s="93">
        <v>45869.0</v>
      </c>
      <c r="E386" s="93" t="s">
        <v>193</v>
      </c>
      <c r="F386" s="74" t="s">
        <v>814</v>
      </c>
      <c r="G386" s="386">
        <v>1.0</v>
      </c>
      <c r="H386" s="74">
        <v>85000.0</v>
      </c>
      <c r="I386" s="74">
        <v>100000.0</v>
      </c>
      <c r="J386" s="60">
        <f t="shared" si="1"/>
        <v>45899</v>
      </c>
      <c r="K386" s="74">
        <f>if(F386="SERVICE",O386-(O386*50%),Vlookup(F386,DATABASE!C:Q,10,false)*G386)</f>
        <v>0</v>
      </c>
      <c r="L386" s="74">
        <f>VLOOKUP(F386,DATABASE!C:Q,7,FALSE)</f>
        <v>39440</v>
      </c>
      <c r="M386" s="74">
        <v>39440.0</v>
      </c>
      <c r="N386" s="74">
        <f t="shared" si="8"/>
        <v>40000</v>
      </c>
      <c r="O386" s="74">
        <f t="shared" si="3"/>
        <v>85000</v>
      </c>
      <c r="P386" s="63">
        <f t="shared" si="4"/>
        <v>100000</v>
      </c>
      <c r="Q386" s="63">
        <f t="shared" si="5"/>
        <v>60000</v>
      </c>
      <c r="R386" s="93" t="str">
        <f>VLOOKUP(F386,DATABASE!C:Q,4,false)</f>
        <v>Flap</v>
      </c>
      <c r="S386" s="93" t="str">
        <f>VLOOKUP(F386,DATABASE!C:P,11,false)</f>
        <v>Tire</v>
      </c>
      <c r="T386" s="93" t="str">
        <f>vlookup(F386,DATABASE!C:Q,8,false)</f>
        <v>BIAN</v>
      </c>
      <c r="Y386" s="81"/>
      <c r="Z386" s="9"/>
    </row>
    <row r="387" ht="22.5" customHeight="1">
      <c r="A387" s="49"/>
      <c r="C387" s="384">
        <v>45870.0</v>
      </c>
      <c r="D387" s="93">
        <v>45870.0</v>
      </c>
      <c r="E387" s="93" t="s">
        <v>193</v>
      </c>
      <c r="F387" s="74" t="s">
        <v>744</v>
      </c>
      <c r="G387" s="386">
        <v>1.0</v>
      </c>
      <c r="H387" s="74">
        <v>230000.0</v>
      </c>
      <c r="I387" s="74">
        <v>250000.0</v>
      </c>
      <c r="J387" s="60">
        <f t="shared" si="1"/>
        <v>45900</v>
      </c>
      <c r="K387" s="74">
        <f>if(F387="SERVICE",O387-(O387*50%),Vlookup(F387,DATABASE!C:Q,10,false)*G387)</f>
        <v>0</v>
      </c>
      <c r="L387" s="74">
        <f>VLOOKUP(F387,DATABASE!C:Q,7,FALSE)</f>
        <v>182200</v>
      </c>
      <c r="M387" s="74">
        <v>199920.0</v>
      </c>
      <c r="N387" s="74">
        <f t="shared" si="8"/>
        <v>200000</v>
      </c>
      <c r="O387" s="74">
        <f t="shared" si="3"/>
        <v>230000</v>
      </c>
      <c r="P387" s="63">
        <f t="shared" si="4"/>
        <v>250000</v>
      </c>
      <c r="Q387" s="63">
        <f t="shared" si="5"/>
        <v>50000</v>
      </c>
      <c r="R387" s="93" t="str">
        <f>VLOOKUP(F387,DATABASE!C:Q,4,false)</f>
        <v>BD</v>
      </c>
      <c r="S387" s="93" t="str">
        <f>VLOOKUP(F387,DATABASE!C:P,11,false)</f>
        <v>Tire</v>
      </c>
      <c r="T387" s="93" t="str">
        <f>vlookup(F387,DATABASE!C:Q,8,false)</f>
        <v>BIAN</v>
      </c>
      <c r="Y387" s="81"/>
      <c r="Z387" s="9"/>
    </row>
    <row r="388" ht="22.5" customHeight="1">
      <c r="A388" s="49"/>
      <c r="C388" s="384">
        <v>45870.0</v>
      </c>
      <c r="D388" s="93">
        <v>45870.0</v>
      </c>
      <c r="E388" s="65" t="s">
        <v>193</v>
      </c>
      <c r="F388" s="74" t="s">
        <v>814</v>
      </c>
      <c r="G388" s="386">
        <v>1.0</v>
      </c>
      <c r="H388" s="74">
        <v>85000.0</v>
      </c>
      <c r="I388" s="74">
        <v>100000.0</v>
      </c>
      <c r="J388" s="60">
        <f t="shared" si="1"/>
        <v>45900</v>
      </c>
      <c r="K388" s="74">
        <f>if(F388="SERVICE",O388-(O388*50%),Vlookup(F388,DATABASE!C:Q,10,false)*G388)</f>
        <v>0</v>
      </c>
      <c r="L388" s="74">
        <f>VLOOKUP(F388,DATABASE!C:Q,7,FALSE)</f>
        <v>39440</v>
      </c>
      <c r="M388" s="74">
        <v>39440.0</v>
      </c>
      <c r="N388" s="74">
        <f t="shared" si="8"/>
        <v>40000</v>
      </c>
      <c r="O388" s="74">
        <f t="shared" si="3"/>
        <v>85000</v>
      </c>
      <c r="P388" s="63">
        <f t="shared" si="4"/>
        <v>100000</v>
      </c>
      <c r="Q388" s="63">
        <f t="shared" si="5"/>
        <v>60000</v>
      </c>
      <c r="R388" s="93" t="str">
        <f>VLOOKUP(F388,DATABASE!C:Q,4,false)</f>
        <v>Flap</v>
      </c>
      <c r="S388" s="93" t="str">
        <f>VLOOKUP(F388,DATABASE!C:P,11,false)</f>
        <v>Tire</v>
      </c>
      <c r="T388" s="93" t="str">
        <f>vlookup(F388,DATABASE!C:Q,8,false)</f>
        <v>BIAN</v>
      </c>
      <c r="Y388" s="81"/>
      <c r="Z388" s="9"/>
    </row>
    <row r="389" ht="22.5" customHeight="1">
      <c r="A389" s="49"/>
      <c r="C389" s="384">
        <v>45873.0</v>
      </c>
      <c r="D389" s="93">
        <v>45873.0</v>
      </c>
      <c r="E389" s="93" t="s">
        <v>254</v>
      </c>
      <c r="F389" s="74" t="s">
        <v>403</v>
      </c>
      <c r="G389" s="386">
        <v>2.0</v>
      </c>
      <c r="H389" s="74">
        <v>2260000.0</v>
      </c>
      <c r="I389" s="74">
        <v>2360000.0</v>
      </c>
      <c r="J389" s="60">
        <f t="shared" si="1"/>
        <v>45903</v>
      </c>
      <c r="K389" s="74">
        <f>if(F389="SERVICE",O389-(O389*50%),Vlookup(F389,DATABASE!C:Q,10,false)*G389)</f>
        <v>0</v>
      </c>
      <c r="L389" s="74">
        <f>VLOOKUP(F389,DATABASE!C:Q,7,FALSE)</f>
        <v>2160000</v>
      </c>
      <c r="M389" s="74">
        <v>2160000.0</v>
      </c>
      <c r="N389" s="74">
        <f t="shared" si="8"/>
        <v>2160000</v>
      </c>
      <c r="O389" s="74">
        <f t="shared" si="3"/>
        <v>4520000</v>
      </c>
      <c r="P389" s="63">
        <f t="shared" si="4"/>
        <v>4720000</v>
      </c>
      <c r="Q389" s="63">
        <f t="shared" si="5"/>
        <v>400000</v>
      </c>
      <c r="R389" s="93" t="str">
        <f>VLOOKUP(F389,DATABASE!C:Q,4,false)</f>
        <v>Advance</v>
      </c>
      <c r="S389" s="93" t="str">
        <f>VLOOKUP(F389,DATABASE!C:P,11,false)</f>
        <v>Tire</v>
      </c>
      <c r="T389" s="93" t="str">
        <f>vlookup(F389,DATABASE!C:Q,8,false)</f>
        <v>BIAN</v>
      </c>
      <c r="Y389" s="81"/>
      <c r="Z389" s="9"/>
    </row>
    <row r="390" ht="22.5" customHeight="1">
      <c r="A390" s="49"/>
      <c r="C390" s="384">
        <v>45874.0</v>
      </c>
      <c r="D390" s="93">
        <v>45874.0</v>
      </c>
      <c r="E390" s="93" t="s">
        <v>1040</v>
      </c>
      <c r="F390" s="74" t="s">
        <v>391</v>
      </c>
      <c r="G390" s="386">
        <v>1.0</v>
      </c>
      <c r="H390" s="74">
        <v>1950000.0</v>
      </c>
      <c r="I390" s="74">
        <v>2050000.0</v>
      </c>
      <c r="J390" s="60">
        <f t="shared" si="1"/>
        <v>45904</v>
      </c>
      <c r="K390" s="74">
        <f>if(F390="SERVICE",O390-(O390*50%),Vlookup(F390,DATABASE!C:Q,10,false)*G390)</f>
        <v>0</v>
      </c>
      <c r="L390" s="74">
        <f>VLOOKUP(F390,DATABASE!C:Q,7,FALSE)</f>
        <v>1885000</v>
      </c>
      <c r="M390" s="74">
        <v>1840000.0</v>
      </c>
      <c r="N390" s="74">
        <f t="shared" si="8"/>
        <v>1840000</v>
      </c>
      <c r="O390" s="74">
        <f t="shared" si="3"/>
        <v>1950000</v>
      </c>
      <c r="P390" s="63">
        <f t="shared" si="4"/>
        <v>2050000</v>
      </c>
      <c r="Q390" s="63">
        <f t="shared" si="5"/>
        <v>210000</v>
      </c>
      <c r="R390" s="93" t="str">
        <f>VLOOKUP(F390,DATABASE!C:Q,4,false)</f>
        <v>Advance</v>
      </c>
      <c r="S390" s="93" t="str">
        <f>VLOOKUP(F390,DATABASE!C:P,11,false)</f>
        <v>Tire</v>
      </c>
      <c r="T390" s="93" t="str">
        <f>vlookup(F390,DATABASE!C:Q,8,false)</f>
        <v>BIAN</v>
      </c>
      <c r="Y390" s="81"/>
      <c r="Z390" s="9"/>
    </row>
    <row r="391" ht="22.5" customHeight="1">
      <c r="A391" s="49"/>
      <c r="C391" s="384">
        <v>45875.0</v>
      </c>
      <c r="D391" s="93">
        <v>45875.0</v>
      </c>
      <c r="E391" s="93" t="s">
        <v>193</v>
      </c>
      <c r="F391" s="74" t="s">
        <v>643</v>
      </c>
      <c r="G391" s="386">
        <v>1.0</v>
      </c>
      <c r="H391" s="74">
        <v>160000.0</v>
      </c>
      <c r="I391" s="74">
        <v>170000.0</v>
      </c>
      <c r="J391" s="60">
        <f t="shared" si="1"/>
        <v>45905</v>
      </c>
      <c r="K391" s="74">
        <f>if(F391="SERVICE",O391-(O391*50%),Vlookup(F391,DATABASE!C:Q,10,false)*G391)</f>
        <v>0</v>
      </c>
      <c r="L391" s="74">
        <f>VLOOKUP(F391,DATABASE!C:Q,7,FALSE)</f>
        <v>111800</v>
      </c>
      <c r="M391" s="74">
        <v>111800.0</v>
      </c>
      <c r="N391" s="74">
        <f t="shared" si="8"/>
        <v>115000</v>
      </c>
      <c r="O391" s="74">
        <f t="shared" si="3"/>
        <v>160000</v>
      </c>
      <c r="P391" s="63">
        <f t="shared" si="4"/>
        <v>170000</v>
      </c>
      <c r="Q391" s="63">
        <f t="shared" si="5"/>
        <v>55000</v>
      </c>
      <c r="R391" s="93" t="str">
        <f>VLOOKUP(F391,DATABASE!C:Q,4,false)</f>
        <v>BD</v>
      </c>
      <c r="S391" s="93" t="str">
        <f>VLOOKUP(F391,DATABASE!C:P,11,false)</f>
        <v>Tire</v>
      </c>
      <c r="T391" s="93" t="str">
        <f>vlookup(F391,DATABASE!C:Q,8,false)</f>
        <v>BIAN</v>
      </c>
      <c r="Y391" s="81"/>
      <c r="Z391" s="9"/>
    </row>
    <row r="392" ht="22.5" customHeight="1">
      <c r="A392" s="49"/>
      <c r="C392" s="384">
        <v>45877.0</v>
      </c>
      <c r="D392" s="93">
        <v>45877.0</v>
      </c>
      <c r="E392" s="93" t="s">
        <v>1047</v>
      </c>
      <c r="F392" s="93" t="s">
        <v>2064</v>
      </c>
      <c r="G392" s="386">
        <v>2.0</v>
      </c>
      <c r="H392" s="74">
        <v>700000.0</v>
      </c>
      <c r="I392" s="74">
        <v>740000.0</v>
      </c>
      <c r="J392" s="60">
        <f t="shared" si="1"/>
        <v>45907</v>
      </c>
      <c r="K392" s="74">
        <f>if(F392="SERVICE",O392-(O392*50%),Vlookup(F392,DATABASE!C:Q,10,false)*G392)</f>
        <v>0</v>
      </c>
      <c r="L392" s="74">
        <f>VLOOKUP(F392,DATABASE!C:Q,7,FALSE)</f>
        <v>608000</v>
      </c>
      <c r="M392" s="74">
        <v>608000.0</v>
      </c>
      <c r="N392" s="74">
        <f t="shared" si="8"/>
        <v>610000</v>
      </c>
      <c r="O392" s="74">
        <f t="shared" si="3"/>
        <v>1400000</v>
      </c>
      <c r="P392" s="63">
        <f t="shared" si="4"/>
        <v>1480000</v>
      </c>
      <c r="Q392" s="63">
        <f t="shared" si="5"/>
        <v>260000</v>
      </c>
      <c r="R392" s="93" t="str">
        <f>VLOOKUP(F392,DATABASE!C:Q,4,false)</f>
        <v>Hankook</v>
      </c>
      <c r="S392" s="93" t="str">
        <f>VLOOKUP(F392,DATABASE!C:P,11,false)</f>
        <v>Tire</v>
      </c>
      <c r="T392" s="93" t="str">
        <f>vlookup(F392,DATABASE!C:Q,8,false)</f>
        <v>BIAN</v>
      </c>
      <c r="Y392" s="81"/>
      <c r="Z392" s="9"/>
    </row>
    <row r="393" ht="22.5" customHeight="1">
      <c r="A393" s="49"/>
      <c r="C393" s="384">
        <v>45877.0</v>
      </c>
      <c r="D393" s="93">
        <v>45877.0</v>
      </c>
      <c r="E393" s="93" t="s">
        <v>234</v>
      </c>
      <c r="F393" s="74" t="s">
        <v>791</v>
      </c>
      <c r="G393" s="386">
        <v>1.0</v>
      </c>
      <c r="H393" s="74">
        <v>1280000.0</v>
      </c>
      <c r="I393" s="74">
        <v>1380000.0</v>
      </c>
      <c r="J393" s="60">
        <f t="shared" si="1"/>
        <v>45907</v>
      </c>
      <c r="K393" s="74">
        <f>if(F393="SERVICE",O393-(O393*50%),Vlookup(F393,DATABASE!C:Q,10,false)*G393)</f>
        <v>0</v>
      </c>
      <c r="L393" s="74">
        <f>VLOOKUP(F393,DATABASE!C:Q,7,FALSE)</f>
        <v>1210000</v>
      </c>
      <c r="M393" s="74">
        <v>1180000.0</v>
      </c>
      <c r="N393" s="74">
        <f t="shared" si="8"/>
        <v>1180000</v>
      </c>
      <c r="O393" s="74">
        <f t="shared" si="3"/>
        <v>1280000</v>
      </c>
      <c r="P393" s="63">
        <f t="shared" si="4"/>
        <v>1380000</v>
      </c>
      <c r="Q393" s="63">
        <f t="shared" si="5"/>
        <v>200000</v>
      </c>
      <c r="R393" s="93" t="str">
        <f>VLOOKUP(F393,DATABASE!C:Q,4,false)</f>
        <v>GT</v>
      </c>
      <c r="S393" s="93" t="str">
        <f>VLOOKUP(F393,DATABASE!C:P,11,false)</f>
        <v>Tire</v>
      </c>
      <c r="T393" s="93" t="str">
        <f>vlookup(F393,DATABASE!C:Q,8,false)</f>
        <v>BIAN</v>
      </c>
      <c r="Y393" s="81"/>
      <c r="Z393" s="9"/>
    </row>
    <row r="394" ht="22.5" customHeight="1">
      <c r="A394" s="49"/>
      <c r="C394" s="384">
        <v>45877.0</v>
      </c>
      <c r="D394" s="93">
        <v>45877.0</v>
      </c>
      <c r="E394" s="65" t="s">
        <v>234</v>
      </c>
      <c r="F394" s="74" t="s">
        <v>255</v>
      </c>
      <c r="G394" s="386">
        <v>1.0</v>
      </c>
      <c r="H394" s="74">
        <v>20000.0</v>
      </c>
      <c r="I394" s="74">
        <v>220000.0</v>
      </c>
      <c r="J394" s="60">
        <f t="shared" si="1"/>
        <v>45907</v>
      </c>
      <c r="K394" s="74">
        <f>if(F394="SERVICE",O394-(O394*50%),Vlookup(F394,DATABASE!C:Q,10,false)*G394)</f>
        <v>0</v>
      </c>
      <c r="L394" s="74">
        <f>VLOOKUP(F394,DATABASE!C:Q,7,FALSE)</f>
        <v>161840</v>
      </c>
      <c r="M394" s="74">
        <v>161840.0</v>
      </c>
      <c r="N394" s="74">
        <f t="shared" si="8"/>
        <v>165000</v>
      </c>
      <c r="O394" s="74">
        <f t="shared" si="3"/>
        <v>20000</v>
      </c>
      <c r="P394" s="63">
        <f t="shared" si="4"/>
        <v>220000</v>
      </c>
      <c r="Q394" s="63">
        <f t="shared" si="5"/>
        <v>55000</v>
      </c>
      <c r="R394" s="93" t="str">
        <f>VLOOKUP(F394,DATABASE!C:Q,4,false)</f>
        <v>BD</v>
      </c>
      <c r="S394" s="93" t="str">
        <f>VLOOKUP(F394,DATABASE!C:P,11,false)</f>
        <v>Tire</v>
      </c>
      <c r="T394" s="93" t="str">
        <f>vlookup(F394,DATABASE!C:Q,8,false)</f>
        <v>BIAN</v>
      </c>
      <c r="Y394" s="81"/>
      <c r="Z394" s="9"/>
    </row>
    <row r="395" ht="22.5" customHeight="1">
      <c r="A395" s="49"/>
      <c r="C395" s="384">
        <v>45878.0</v>
      </c>
      <c r="D395" s="93">
        <v>45878.0</v>
      </c>
      <c r="E395" s="93" t="s">
        <v>583</v>
      </c>
      <c r="F395" s="74" t="s">
        <v>897</v>
      </c>
      <c r="G395" s="386">
        <v>2.0</v>
      </c>
      <c r="H395" s="74">
        <v>1600000.0</v>
      </c>
      <c r="I395" s="74">
        <v>1700000.0</v>
      </c>
      <c r="J395" s="60">
        <f t="shared" si="1"/>
        <v>45908</v>
      </c>
      <c r="K395" s="74">
        <f>if(F395="SERVICE",O395-(O395*50%),Vlookup(F395,DATABASE!C:Q,10,false)*G395)</f>
        <v>0</v>
      </c>
      <c r="L395" s="74">
        <f>VLOOKUP(F395,DATABASE!C:Q,7,FALSE)</f>
        <v>1560000</v>
      </c>
      <c r="M395" s="74">
        <v>1500000.0</v>
      </c>
      <c r="N395" s="74">
        <f t="shared" si="8"/>
        <v>1500000</v>
      </c>
      <c r="O395" s="74">
        <f t="shared" si="3"/>
        <v>3200000</v>
      </c>
      <c r="P395" s="63">
        <f t="shared" si="4"/>
        <v>3400000</v>
      </c>
      <c r="Q395" s="63">
        <f t="shared" si="5"/>
        <v>400000</v>
      </c>
      <c r="R395" s="93" t="str">
        <f>VLOOKUP(F395,DATABASE!C:Q,4,false)</f>
        <v>GT</v>
      </c>
      <c r="S395" s="93" t="str">
        <f>VLOOKUP(F395,DATABASE!C:P,11,false)</f>
        <v>Tire</v>
      </c>
      <c r="T395" s="93" t="str">
        <f>vlookup(F395,DATABASE!C:Q,8,false)</f>
        <v>BIAN</v>
      </c>
      <c r="Y395" s="81"/>
      <c r="Z395" s="9"/>
    </row>
    <row r="396" ht="22.5" customHeight="1">
      <c r="A396" s="49"/>
      <c r="C396" s="384">
        <v>45880.0</v>
      </c>
      <c r="D396" s="93">
        <v>45880.0</v>
      </c>
      <c r="E396" s="65" t="s">
        <v>631</v>
      </c>
      <c r="F396" s="74" t="s">
        <v>275</v>
      </c>
      <c r="G396" s="386">
        <v>1.0</v>
      </c>
      <c r="H396" s="74">
        <v>870000.0</v>
      </c>
      <c r="I396" s="74">
        <v>930000.0</v>
      </c>
      <c r="J396" s="60">
        <f t="shared" si="1"/>
        <v>45910</v>
      </c>
      <c r="K396" s="74">
        <f>if(F396="SERVICE",O396-(O396*50%),Vlookup(F396,DATABASE!C:Q,10,false)*G396)</f>
        <v>0</v>
      </c>
      <c r="L396" s="74">
        <f>VLOOKUP(F396,DATABASE!C:Q,7,FALSE)</f>
        <v>782000</v>
      </c>
      <c r="M396" s="74">
        <v>745000.0</v>
      </c>
      <c r="N396" s="74">
        <f t="shared" si="8"/>
        <v>745000</v>
      </c>
      <c r="O396" s="74">
        <f t="shared" si="3"/>
        <v>870000</v>
      </c>
      <c r="P396" s="63">
        <f t="shared" si="4"/>
        <v>930000</v>
      </c>
      <c r="Q396" s="63">
        <f t="shared" si="5"/>
        <v>185000</v>
      </c>
      <c r="R396" s="93" t="str">
        <f>VLOOKUP(F396,DATABASE!C:Q,4,false)</f>
        <v>Dunlop</v>
      </c>
      <c r="S396" s="93" t="str">
        <f>VLOOKUP(F396,DATABASE!C:P,11,false)</f>
        <v>Tire</v>
      </c>
      <c r="T396" s="93" t="str">
        <f>vlookup(F396,DATABASE!C:Q,8,false)</f>
        <v>IBU</v>
      </c>
      <c r="Y396" s="81"/>
      <c r="Z396" s="9"/>
    </row>
    <row r="397" ht="22.5" customHeight="1">
      <c r="A397" s="49"/>
      <c r="C397" s="384">
        <v>45880.0</v>
      </c>
      <c r="D397" s="93">
        <v>45880.0</v>
      </c>
      <c r="E397" s="65" t="s">
        <v>631</v>
      </c>
      <c r="F397" s="74" t="s">
        <v>262</v>
      </c>
      <c r="G397" s="386">
        <v>1.0</v>
      </c>
      <c r="H397" s="74">
        <v>110000.0</v>
      </c>
      <c r="I397" s="74">
        <v>120000.0</v>
      </c>
      <c r="J397" s="60">
        <f t="shared" si="1"/>
        <v>45910</v>
      </c>
      <c r="K397" s="74">
        <f>if(F397="SERVICE",O397-(O397*50%),Vlookup(F397,DATABASE!C:Q,10,false)*G397)</f>
        <v>5000</v>
      </c>
      <c r="L397" s="74">
        <f>VLOOKUP(F397,DATABASE!C:Q,7,FALSE)</f>
        <v>0</v>
      </c>
      <c r="M397" s="74">
        <v>0.0</v>
      </c>
      <c r="N397" s="74">
        <f t="shared" si="8"/>
        <v>0</v>
      </c>
      <c r="O397" s="74">
        <f t="shared" si="3"/>
        <v>110000</v>
      </c>
      <c r="P397" s="63">
        <f t="shared" si="4"/>
        <v>120000</v>
      </c>
      <c r="Q397" s="63">
        <f t="shared" si="5"/>
        <v>115000</v>
      </c>
      <c r="R397" s="93" t="str">
        <f>VLOOKUP(F397,DATABASE!C:Q,4,false)</f>
        <v>SPOORING SS/CARRY LOS BAK</v>
      </c>
      <c r="S397" s="93" t="str">
        <f>VLOOKUP(F397,DATABASE!C:P,11,false)</f>
        <v>SERVICE</v>
      </c>
      <c r="T397" s="93" t="str">
        <f>vlookup(F397,DATABASE!C:Q,8,false)</f>
        <v>IBU</v>
      </c>
      <c r="Y397" s="81"/>
      <c r="Z397" s="9"/>
    </row>
    <row r="398" ht="22.5" customHeight="1">
      <c r="A398" s="49"/>
      <c r="C398" s="384">
        <v>45880.0</v>
      </c>
      <c r="D398" s="93">
        <v>45880.0</v>
      </c>
      <c r="E398" s="65" t="s">
        <v>631</v>
      </c>
      <c r="F398" s="74" t="s">
        <v>251</v>
      </c>
      <c r="G398" s="386">
        <v>1.0</v>
      </c>
      <c r="H398" s="74">
        <v>150000.0</v>
      </c>
      <c r="I398" s="74">
        <v>150000.0</v>
      </c>
      <c r="J398" s="60">
        <f t="shared" si="1"/>
        <v>45910</v>
      </c>
      <c r="K398" s="74">
        <f>if(F398="SERVICE",O398-(O398*50%),Vlookup(F398,DATABASE!C:Q,10,false)*G398)</f>
        <v>75000</v>
      </c>
      <c r="L398" s="74">
        <f>VLOOKUP(F398,DATABASE!C:Q,7,FALSE)</f>
        <v>0</v>
      </c>
      <c r="M398" s="74">
        <v>0.0</v>
      </c>
      <c r="N398" s="74">
        <f t="shared" si="8"/>
        <v>0</v>
      </c>
      <c r="O398" s="74">
        <f t="shared" si="3"/>
        <v>150000</v>
      </c>
      <c r="P398" s="63">
        <f t="shared" si="4"/>
        <v>150000</v>
      </c>
      <c r="Q398" s="63">
        <f t="shared" si="5"/>
        <v>75000</v>
      </c>
      <c r="R398" s="93" t="str">
        <f>VLOOKUP(F398,DATABASE!C:Q,4,false)</f>
        <v>SERVICE</v>
      </c>
      <c r="S398" s="93" t="str">
        <f>VLOOKUP(F398,DATABASE!C:P,11,false)</f>
        <v>SERVICE</v>
      </c>
      <c r="T398" s="93" t="str">
        <f>vlookup(F398,DATABASE!C:Q,8,false)</f>
        <v>IBU</v>
      </c>
      <c r="Y398" s="81"/>
      <c r="Z398" s="9"/>
    </row>
    <row r="399" ht="22.5" customHeight="1">
      <c r="A399" s="49"/>
      <c r="C399" s="384">
        <v>45882.0</v>
      </c>
      <c r="D399" s="93">
        <v>45882.0</v>
      </c>
      <c r="E399" s="65" t="s">
        <v>119</v>
      </c>
      <c r="F399" s="74" t="s">
        <v>924</v>
      </c>
      <c r="G399" s="386">
        <v>2.0</v>
      </c>
      <c r="H399" s="74">
        <v>1650000.0</v>
      </c>
      <c r="I399" s="74">
        <v>1750000.0</v>
      </c>
      <c r="J399" s="60">
        <f t="shared" si="1"/>
        <v>45912</v>
      </c>
      <c r="K399" s="74">
        <f>if(F399="SERVICE",O399-(O399*50%),Vlookup(F399,DATABASE!C:Q,10,false)*G399)</f>
        <v>0</v>
      </c>
      <c r="L399" s="74">
        <f>VLOOKUP(F399,DATABASE!C:Q,7,FALSE)</f>
        <v>1560000</v>
      </c>
      <c r="M399" s="74">
        <v>1545000.0</v>
      </c>
      <c r="N399" s="74">
        <f t="shared" si="8"/>
        <v>1545000</v>
      </c>
      <c r="O399" s="74">
        <f t="shared" si="3"/>
        <v>3300000</v>
      </c>
      <c r="P399" s="63">
        <f t="shared" si="4"/>
        <v>3500000</v>
      </c>
      <c r="Q399" s="63">
        <f t="shared" si="5"/>
        <v>410000</v>
      </c>
      <c r="R399" s="93" t="str">
        <f>VLOOKUP(F399,DATABASE!C:Q,4,false)</f>
        <v>TIRON</v>
      </c>
      <c r="S399" s="93" t="str">
        <f>VLOOKUP(F399,DATABASE!C:P,11,false)</f>
        <v>Tire</v>
      </c>
      <c r="T399" s="93" t="str">
        <f>vlookup(F399,DATABASE!C:Q,8,false)</f>
        <v>BIAN</v>
      </c>
      <c r="Y399" s="81"/>
      <c r="Z399" s="9"/>
    </row>
    <row r="400" ht="22.5" customHeight="1">
      <c r="A400" s="49"/>
      <c r="C400" s="384">
        <v>45883.0</v>
      </c>
      <c r="D400" s="93">
        <v>45883.0</v>
      </c>
      <c r="E400" s="65" t="s">
        <v>208</v>
      </c>
      <c r="F400" s="74" t="s">
        <v>1237</v>
      </c>
      <c r="G400" s="386">
        <v>2.0</v>
      </c>
      <c r="H400" s="74">
        <v>1235000.0</v>
      </c>
      <c r="I400" s="74">
        <v>1315000.0</v>
      </c>
      <c r="J400" s="60">
        <f t="shared" si="1"/>
        <v>45913</v>
      </c>
      <c r="K400" s="74">
        <f>if(F400="SERVICE",O400-(O400*50%),Vlookup(F400,DATABASE!C:Q,10,false)*G400)</f>
        <v>0</v>
      </c>
      <c r="L400" s="74">
        <f>VLOOKUP(F400,DATABASE!C:Q,7,FALSE)</f>
        <v>1170353.16</v>
      </c>
      <c r="M400" s="74">
        <v>1113907.2</v>
      </c>
      <c r="N400" s="74">
        <f t="shared" si="8"/>
        <v>1115000</v>
      </c>
      <c r="O400" s="74">
        <f t="shared" si="3"/>
        <v>2470000</v>
      </c>
      <c r="P400" s="63">
        <f t="shared" si="4"/>
        <v>2630000</v>
      </c>
      <c r="Q400" s="63">
        <f t="shared" si="5"/>
        <v>400000</v>
      </c>
      <c r="R400" s="93" t="str">
        <f>VLOOKUP(F400,DATABASE!C:Q,4,false)</f>
        <v>Bridgestone</v>
      </c>
      <c r="S400" s="93" t="str">
        <f>VLOOKUP(F400,DATABASE!C:P,11,false)</f>
        <v>Tire</v>
      </c>
      <c r="T400" s="93" t="str">
        <f>vlookup(F400,DATABASE!C:Q,8,false)</f>
        <v>IBU</v>
      </c>
      <c r="Y400" s="81"/>
      <c r="Z400" s="9"/>
    </row>
    <row r="401" ht="22.5" customHeight="1">
      <c r="A401" s="49"/>
      <c r="C401" s="384">
        <v>45883.0</v>
      </c>
      <c r="D401" s="93">
        <v>45883.0</v>
      </c>
      <c r="E401" s="65" t="s">
        <v>810</v>
      </c>
      <c r="F401" s="74" t="s">
        <v>791</v>
      </c>
      <c r="G401" s="386">
        <v>1.0</v>
      </c>
      <c r="H401" s="74">
        <v>1280000.0</v>
      </c>
      <c r="I401" s="74">
        <v>1380000.0</v>
      </c>
      <c r="J401" s="60">
        <f t="shared" si="1"/>
        <v>45913</v>
      </c>
      <c r="K401" s="74">
        <f>if(F401="SERVICE",O401-(O401*50%),Vlookup(F401,DATABASE!C:Q,10,false)*G401)</f>
        <v>0</v>
      </c>
      <c r="L401" s="74">
        <f>VLOOKUP(F401,DATABASE!C:Q,7,FALSE)</f>
        <v>1210000</v>
      </c>
      <c r="M401" s="74">
        <v>1180000.0</v>
      </c>
      <c r="N401" s="74">
        <f t="shared" si="8"/>
        <v>1180000</v>
      </c>
      <c r="O401" s="74">
        <f t="shared" si="3"/>
        <v>1280000</v>
      </c>
      <c r="P401" s="63">
        <f t="shared" si="4"/>
        <v>1380000</v>
      </c>
      <c r="Q401" s="63">
        <f t="shared" si="5"/>
        <v>200000</v>
      </c>
      <c r="R401" s="93" t="str">
        <f>VLOOKUP(F401,DATABASE!C:Q,4,false)</f>
        <v>GT</v>
      </c>
      <c r="S401" s="93" t="str">
        <f>VLOOKUP(F401,DATABASE!C:P,11,false)</f>
        <v>Tire</v>
      </c>
      <c r="T401" s="93" t="str">
        <f>vlookup(F401,DATABASE!C:Q,8,false)</f>
        <v>BIAN</v>
      </c>
      <c r="Y401" s="81"/>
      <c r="Z401" s="9"/>
    </row>
    <row r="402" ht="22.5" customHeight="1">
      <c r="A402" s="49"/>
      <c r="C402" s="384">
        <v>45883.0</v>
      </c>
      <c r="D402" s="93">
        <v>45883.0</v>
      </c>
      <c r="E402" s="65" t="s">
        <v>810</v>
      </c>
      <c r="F402" s="74" t="s">
        <v>255</v>
      </c>
      <c r="G402" s="386">
        <v>1.0</v>
      </c>
      <c r="H402" s="74">
        <v>200000.0</v>
      </c>
      <c r="I402" s="74">
        <v>220000.0</v>
      </c>
      <c r="J402" s="60">
        <f t="shared" si="1"/>
        <v>45913</v>
      </c>
      <c r="K402" s="74">
        <f>if(F402="SERVICE",O402-(O402*50%),Vlookup(F402,DATABASE!C:Q,10,false)*G402)</f>
        <v>0</v>
      </c>
      <c r="L402" s="74">
        <f>VLOOKUP(F402,DATABASE!C:Q,7,FALSE)</f>
        <v>161840</v>
      </c>
      <c r="M402" s="74">
        <v>161840.0</v>
      </c>
      <c r="N402" s="74">
        <f t="shared" si="8"/>
        <v>165000</v>
      </c>
      <c r="O402" s="74">
        <f t="shared" si="3"/>
        <v>200000</v>
      </c>
      <c r="P402" s="63">
        <f t="shared" si="4"/>
        <v>220000</v>
      </c>
      <c r="Q402" s="63">
        <f t="shared" si="5"/>
        <v>55000</v>
      </c>
      <c r="R402" s="93" t="str">
        <f>VLOOKUP(F402,DATABASE!C:Q,4,false)</f>
        <v>BD</v>
      </c>
      <c r="S402" s="93" t="str">
        <f>VLOOKUP(F402,DATABASE!C:P,11,false)</f>
        <v>Tire</v>
      </c>
      <c r="T402" s="93" t="str">
        <f>vlookup(F402,DATABASE!C:Q,8,false)</f>
        <v>BIAN</v>
      </c>
      <c r="Y402" s="81"/>
      <c r="Z402" s="9"/>
    </row>
    <row r="403" ht="22.5" customHeight="1">
      <c r="A403" s="49"/>
      <c r="C403" s="384">
        <v>45883.0</v>
      </c>
      <c r="D403" s="93">
        <v>45883.0</v>
      </c>
      <c r="E403" s="65" t="s">
        <v>810</v>
      </c>
      <c r="F403" s="74" t="s">
        <v>814</v>
      </c>
      <c r="G403" s="386">
        <v>1.0</v>
      </c>
      <c r="H403" s="74">
        <v>65000.0</v>
      </c>
      <c r="I403" s="74">
        <v>85000.0</v>
      </c>
      <c r="J403" s="60">
        <f t="shared" si="1"/>
        <v>45913</v>
      </c>
      <c r="K403" s="74">
        <f>if(F403="SERVICE",O403-(O403*50%),Vlookup(F403,DATABASE!C:Q,10,false)*G403)</f>
        <v>0</v>
      </c>
      <c r="L403" s="74">
        <f>VLOOKUP(F403,DATABASE!C:Q,7,FALSE)</f>
        <v>39440</v>
      </c>
      <c r="M403" s="74">
        <v>39440.0</v>
      </c>
      <c r="N403" s="74">
        <f t="shared" si="8"/>
        <v>40000</v>
      </c>
      <c r="O403" s="74">
        <f t="shared" si="3"/>
        <v>65000</v>
      </c>
      <c r="P403" s="63">
        <f t="shared" si="4"/>
        <v>85000</v>
      </c>
      <c r="Q403" s="63">
        <f t="shared" si="5"/>
        <v>45000</v>
      </c>
      <c r="R403" s="93" t="str">
        <f>VLOOKUP(F403,DATABASE!C:Q,4,false)</f>
        <v>Flap</v>
      </c>
      <c r="S403" s="93" t="str">
        <f>VLOOKUP(F403,DATABASE!C:P,11,false)</f>
        <v>Tire</v>
      </c>
      <c r="T403" s="93" t="str">
        <f>vlookup(F403,DATABASE!C:Q,8,false)</f>
        <v>BIAN</v>
      </c>
      <c r="Y403" s="81"/>
      <c r="Z403" s="9"/>
    </row>
    <row r="404" ht="22.5" customHeight="1">
      <c r="A404" s="49"/>
      <c r="C404" s="384">
        <v>45884.0</v>
      </c>
      <c r="D404" s="93">
        <v>45884.0</v>
      </c>
      <c r="E404" s="65" t="s">
        <v>979</v>
      </c>
      <c r="F404" s="74" t="s">
        <v>391</v>
      </c>
      <c r="G404" s="386">
        <v>2.0</v>
      </c>
      <c r="H404" s="74">
        <v>1950000.0</v>
      </c>
      <c r="I404" s="74">
        <v>2050000.0</v>
      </c>
      <c r="J404" s="60">
        <f t="shared" si="1"/>
        <v>45914</v>
      </c>
      <c r="K404" s="74">
        <f>if(F404="SERVICE",O404-(O404*50%),Vlookup(F404,DATABASE!C:Q,10,false)*G404)</f>
        <v>0</v>
      </c>
      <c r="L404" s="74">
        <f>VLOOKUP(F404,DATABASE!C:Q,7,FALSE)</f>
        <v>1885000</v>
      </c>
      <c r="M404" s="74">
        <v>1840000.0</v>
      </c>
      <c r="N404" s="74">
        <f t="shared" si="8"/>
        <v>1840000</v>
      </c>
      <c r="O404" s="74">
        <f t="shared" si="3"/>
        <v>3900000</v>
      </c>
      <c r="P404" s="63">
        <f t="shared" si="4"/>
        <v>4100000</v>
      </c>
      <c r="Q404" s="63">
        <f t="shared" si="5"/>
        <v>420000</v>
      </c>
      <c r="R404" s="93" t="str">
        <f>VLOOKUP(F404,DATABASE!C:Q,4,false)</f>
        <v>Advance</v>
      </c>
      <c r="S404" s="93" t="str">
        <f>VLOOKUP(F404,DATABASE!C:P,11,false)</f>
        <v>Tire</v>
      </c>
      <c r="T404" s="93" t="str">
        <f>vlookup(F404,DATABASE!C:Q,8,false)</f>
        <v>BIAN</v>
      </c>
      <c r="Y404" s="81"/>
      <c r="Z404" s="9"/>
    </row>
    <row r="405" ht="22.5" customHeight="1">
      <c r="A405" s="49"/>
      <c r="C405" s="384">
        <v>45884.0</v>
      </c>
      <c r="D405" s="93">
        <v>45884.0</v>
      </c>
      <c r="E405" s="65" t="s">
        <v>267</v>
      </c>
      <c r="F405" s="74" t="s">
        <v>1862</v>
      </c>
      <c r="G405" s="386">
        <v>2.0</v>
      </c>
      <c r="H405" s="74">
        <v>2150000.0</v>
      </c>
      <c r="I405" s="74">
        <v>2250000.0</v>
      </c>
      <c r="J405" s="60">
        <f t="shared" si="1"/>
        <v>45914</v>
      </c>
      <c r="K405" s="74">
        <f>if(F405="SERVICE",O405-(O405*50%),Vlookup(F405,DATABASE!C:Q,10,false)*G405)</f>
        <v>0</v>
      </c>
      <c r="L405" s="74">
        <f>VLOOKUP(F405,DATABASE!C:Q,7,FALSE)</f>
        <v>2080000</v>
      </c>
      <c r="M405" s="74">
        <v>2050000.0</v>
      </c>
      <c r="N405" s="74">
        <f t="shared" si="8"/>
        <v>2050000</v>
      </c>
      <c r="O405" s="74">
        <f t="shared" si="3"/>
        <v>4300000</v>
      </c>
      <c r="P405" s="63">
        <f t="shared" si="4"/>
        <v>4500000</v>
      </c>
      <c r="Q405" s="63">
        <f t="shared" si="5"/>
        <v>400000</v>
      </c>
      <c r="R405" s="93" t="str">
        <f>VLOOKUP(F405,DATABASE!C:Q,4,false)</f>
        <v>GiTi</v>
      </c>
      <c r="S405" s="93" t="str">
        <f>VLOOKUP(F405,DATABASE!C:P,11,false)</f>
        <v>Tire</v>
      </c>
      <c r="T405" s="93" t="str">
        <f>vlookup(F405,DATABASE!C:Q,8,false)</f>
        <v>BIAN</v>
      </c>
      <c r="Y405" s="81"/>
      <c r="Z405" s="9"/>
    </row>
    <row r="406" ht="22.5" customHeight="1">
      <c r="A406" s="49"/>
      <c r="C406" s="384">
        <v>45885.0</v>
      </c>
      <c r="D406" s="93">
        <v>45885.0</v>
      </c>
      <c r="E406" s="65" t="s">
        <v>867</v>
      </c>
      <c r="F406" s="74" t="s">
        <v>1894</v>
      </c>
      <c r="G406" s="386">
        <v>1.0</v>
      </c>
      <c r="H406" s="74">
        <v>545000.0</v>
      </c>
      <c r="I406" s="74">
        <v>625000.0</v>
      </c>
      <c r="J406" s="60">
        <f t="shared" si="1"/>
        <v>45915</v>
      </c>
      <c r="K406" s="74">
        <f>if(F406="SERVICE",O406-(O406*50%),Vlookup(F406,DATABASE!C:Q,10,false)*G406)</f>
        <v>0</v>
      </c>
      <c r="L406" s="74">
        <f>VLOOKUP(F406,DATABASE!C:Q,7,FALSE)</f>
        <v>458600</v>
      </c>
      <c r="M406" s="74">
        <v>445400.0</v>
      </c>
      <c r="N406" s="74">
        <f t="shared" si="8"/>
        <v>450000</v>
      </c>
      <c r="O406" s="74">
        <f t="shared" si="3"/>
        <v>545000</v>
      </c>
      <c r="P406" s="63">
        <f t="shared" si="4"/>
        <v>625000</v>
      </c>
      <c r="Q406" s="63">
        <f t="shared" si="5"/>
        <v>175000</v>
      </c>
      <c r="R406" s="93" t="str">
        <f>VLOOKUP(F406,DATABASE!C:Q,4,false)</f>
        <v>GT</v>
      </c>
      <c r="S406" s="93" t="str">
        <f>VLOOKUP(F406,DATABASE!C:P,11,false)</f>
        <v>Tire</v>
      </c>
      <c r="T406" s="93" t="str">
        <f>vlookup(F406,DATABASE!C:Q,8,false)</f>
        <v>BIAN</v>
      </c>
      <c r="Y406" s="81"/>
      <c r="Z406" s="9"/>
    </row>
    <row r="407" ht="22.5" customHeight="1">
      <c r="A407" s="49"/>
      <c r="C407" s="384">
        <v>45887.0</v>
      </c>
      <c r="D407" s="93">
        <v>45887.0</v>
      </c>
      <c r="E407" s="65" t="s">
        <v>1013</v>
      </c>
      <c r="F407" s="74" t="s">
        <v>1858</v>
      </c>
      <c r="G407" s="386">
        <v>2.0</v>
      </c>
      <c r="H407" s="74">
        <v>2150000.0</v>
      </c>
      <c r="I407" s="74">
        <v>2250000.0</v>
      </c>
      <c r="J407" s="60">
        <f t="shared" si="1"/>
        <v>45917</v>
      </c>
      <c r="K407" s="74">
        <f>if(F407="SERVICE",O407-(O407*50%),Vlookup(F407,DATABASE!C:Q,10,false)*G407)</f>
        <v>0</v>
      </c>
      <c r="L407" s="74">
        <f>VLOOKUP(F407,DATABASE!C:Q,7,FALSE)</f>
        <v>2030000</v>
      </c>
      <c r="M407" s="74">
        <v>2030000.0</v>
      </c>
      <c r="N407" s="74">
        <f t="shared" si="8"/>
        <v>2030000</v>
      </c>
      <c r="O407" s="74">
        <f t="shared" si="3"/>
        <v>4300000</v>
      </c>
      <c r="P407" s="63">
        <f t="shared" si="4"/>
        <v>4500000</v>
      </c>
      <c r="Q407" s="63">
        <f t="shared" si="5"/>
        <v>440000</v>
      </c>
      <c r="R407" s="93" t="str">
        <f>VLOOKUP(F407,DATABASE!C:Q,4,false)</f>
        <v>GiTi</v>
      </c>
      <c r="S407" s="93" t="str">
        <f>VLOOKUP(F407,DATABASE!C:P,11,false)</f>
        <v>Tire</v>
      </c>
      <c r="T407" s="93" t="str">
        <f>vlookup(F407,DATABASE!C:Q,8,false)</f>
        <v>BIAN</v>
      </c>
      <c r="Y407" s="81"/>
      <c r="Z407" s="9"/>
    </row>
    <row r="408" ht="22.5" customHeight="1">
      <c r="A408" s="49"/>
      <c r="C408" s="384">
        <v>45887.0</v>
      </c>
      <c r="D408" s="93">
        <v>45887.0</v>
      </c>
      <c r="E408" s="65" t="s">
        <v>867</v>
      </c>
      <c r="F408" s="93" t="s">
        <v>2345</v>
      </c>
      <c r="G408" s="386">
        <v>1.0</v>
      </c>
      <c r="H408" s="74">
        <v>775000.0</v>
      </c>
      <c r="I408" s="74">
        <v>875000.0</v>
      </c>
      <c r="J408" s="60">
        <f t="shared" si="1"/>
        <v>45917</v>
      </c>
      <c r="K408" s="74">
        <f>if(F408="SERVICE",O408-(O408*50%),Vlookup(F408,DATABASE!C:Q,10,false)*G408)</f>
        <v>0</v>
      </c>
      <c r="L408" s="74">
        <f>VLOOKUP(F408,DATABASE!C:Q,7,FALSE)</f>
        <v>680000</v>
      </c>
      <c r="M408" s="74">
        <v>650000.0</v>
      </c>
      <c r="N408" s="74">
        <f t="shared" si="8"/>
        <v>650000</v>
      </c>
      <c r="O408" s="74">
        <f t="shared" si="3"/>
        <v>775000</v>
      </c>
      <c r="P408" s="63">
        <f t="shared" si="4"/>
        <v>875000</v>
      </c>
      <c r="Q408" s="63">
        <f t="shared" si="5"/>
        <v>225000</v>
      </c>
      <c r="R408" s="93" t="str">
        <f>VLOOKUP(F408,DATABASE!C:Q,4,false)</f>
        <v>Velg</v>
      </c>
      <c r="S408" s="93" t="str">
        <f>VLOOKUP(F408,DATABASE!C:P,11,false)</f>
        <v>Tire</v>
      </c>
      <c r="T408" s="93" t="str">
        <f>vlookup(F408,DATABASE!C:Q,8,false)</f>
        <v>BIAN</v>
      </c>
      <c r="Y408" s="81"/>
      <c r="Z408" s="9"/>
    </row>
    <row r="409" ht="22.5" customHeight="1">
      <c r="A409" s="49"/>
      <c r="C409" s="384">
        <v>45887.0</v>
      </c>
      <c r="D409" s="93">
        <v>45887.0</v>
      </c>
      <c r="E409" s="65" t="s">
        <v>274</v>
      </c>
      <c r="F409" s="74" t="s">
        <v>391</v>
      </c>
      <c r="G409" s="386">
        <v>2.0</v>
      </c>
      <c r="H409" s="74">
        <v>1950000.0</v>
      </c>
      <c r="I409" s="74">
        <v>2050000.0</v>
      </c>
      <c r="J409" s="60">
        <f t="shared" si="1"/>
        <v>45917</v>
      </c>
      <c r="K409" s="74">
        <f>if(F409="SERVICE",O409-(O409*50%),Vlookup(F409,DATABASE!C:Q,10,false)*G409)</f>
        <v>0</v>
      </c>
      <c r="L409" s="74">
        <f>VLOOKUP(F409,DATABASE!C:Q,7,FALSE)</f>
        <v>1885000</v>
      </c>
      <c r="M409" s="74">
        <v>1840000.0</v>
      </c>
      <c r="N409" s="74">
        <f t="shared" si="8"/>
        <v>1840000</v>
      </c>
      <c r="O409" s="74">
        <f t="shared" si="3"/>
        <v>3900000</v>
      </c>
      <c r="P409" s="63">
        <f t="shared" si="4"/>
        <v>4100000</v>
      </c>
      <c r="Q409" s="63">
        <f t="shared" si="5"/>
        <v>420000</v>
      </c>
      <c r="R409" s="93" t="str">
        <f>VLOOKUP(F409,DATABASE!C:Q,4,false)</f>
        <v>Advance</v>
      </c>
      <c r="S409" s="93" t="str">
        <f>VLOOKUP(F409,DATABASE!C:P,11,false)</f>
        <v>Tire</v>
      </c>
      <c r="T409" s="93" t="str">
        <f>vlookup(F409,DATABASE!C:Q,8,false)</f>
        <v>BIAN</v>
      </c>
      <c r="Y409" s="81"/>
      <c r="Z409" s="9"/>
    </row>
    <row r="410" ht="22.5" customHeight="1">
      <c r="A410" s="49"/>
      <c r="C410" s="384">
        <v>45889.0</v>
      </c>
      <c r="D410" s="93">
        <v>45889.0</v>
      </c>
      <c r="E410" s="65" t="s">
        <v>661</v>
      </c>
      <c r="F410" s="74" t="s">
        <v>1862</v>
      </c>
      <c r="G410" s="386">
        <v>1.0</v>
      </c>
      <c r="H410" s="74">
        <v>2150000.0</v>
      </c>
      <c r="I410" s="74">
        <v>2250000.0</v>
      </c>
      <c r="J410" s="60">
        <f t="shared" si="1"/>
        <v>45919</v>
      </c>
      <c r="K410" s="74">
        <f>if(F410="SERVICE",O410-(O410*50%),Vlookup(F410,DATABASE!C:Q,10,false)*G410)</f>
        <v>0</v>
      </c>
      <c r="L410" s="74">
        <f>VLOOKUP(F410,DATABASE!C:Q,7,FALSE)</f>
        <v>2080000</v>
      </c>
      <c r="M410" s="74">
        <v>2050000.0</v>
      </c>
      <c r="N410" s="74">
        <f t="shared" si="8"/>
        <v>2050000</v>
      </c>
      <c r="O410" s="74">
        <f t="shared" si="3"/>
        <v>2150000</v>
      </c>
      <c r="P410" s="63">
        <f t="shared" si="4"/>
        <v>2250000</v>
      </c>
      <c r="Q410" s="63">
        <f t="shared" si="5"/>
        <v>200000</v>
      </c>
      <c r="R410" s="93" t="str">
        <f>VLOOKUP(F410,DATABASE!C:Q,4,false)</f>
        <v>GiTi</v>
      </c>
      <c r="S410" s="93" t="str">
        <f>VLOOKUP(F410,DATABASE!C:P,11,false)</f>
        <v>Tire</v>
      </c>
      <c r="T410" s="93" t="str">
        <f>vlookup(F410,DATABASE!C:Q,8,false)</f>
        <v>BIAN</v>
      </c>
      <c r="Y410" s="81"/>
      <c r="Z410" s="9"/>
    </row>
    <row r="411" ht="22.5" customHeight="1">
      <c r="A411" s="49"/>
      <c r="C411" s="384">
        <v>45889.0</v>
      </c>
      <c r="D411" s="93">
        <v>45889.0</v>
      </c>
      <c r="E411" s="65" t="s">
        <v>810</v>
      </c>
      <c r="F411" s="74" t="s">
        <v>391</v>
      </c>
      <c r="G411" s="386">
        <v>1.0</v>
      </c>
      <c r="H411" s="74">
        <v>1950000.0</v>
      </c>
      <c r="I411" s="74">
        <v>2050000.0</v>
      </c>
      <c r="J411" s="60">
        <f t="shared" si="1"/>
        <v>45919</v>
      </c>
      <c r="K411" s="74">
        <f>if(F411="SERVICE",O411-(O411*50%),Vlookup(F411,DATABASE!C:Q,10,false)*G411)</f>
        <v>0</v>
      </c>
      <c r="L411" s="74">
        <f>VLOOKUP(F411,DATABASE!C:Q,7,FALSE)</f>
        <v>1885000</v>
      </c>
      <c r="M411" s="74">
        <v>1840000.0</v>
      </c>
      <c r="N411" s="74">
        <f t="shared" si="8"/>
        <v>1840000</v>
      </c>
      <c r="O411" s="74">
        <f t="shared" si="3"/>
        <v>1950000</v>
      </c>
      <c r="P411" s="63">
        <f t="shared" si="4"/>
        <v>2050000</v>
      </c>
      <c r="Q411" s="63">
        <f t="shared" si="5"/>
        <v>210000</v>
      </c>
      <c r="R411" s="93" t="str">
        <f>VLOOKUP(F411,DATABASE!C:Q,4,false)</f>
        <v>Advance</v>
      </c>
      <c r="S411" s="93" t="str">
        <f>VLOOKUP(F411,DATABASE!C:P,11,false)</f>
        <v>Tire</v>
      </c>
      <c r="T411" s="93" t="str">
        <f>vlookup(F411,DATABASE!C:Q,8,false)</f>
        <v>BIAN</v>
      </c>
      <c r="Y411" s="81"/>
      <c r="Z411" s="9"/>
    </row>
    <row r="412" ht="22.5" customHeight="1">
      <c r="A412" s="49"/>
      <c r="C412" s="384">
        <v>45889.0</v>
      </c>
      <c r="D412" s="93">
        <v>45889.0</v>
      </c>
      <c r="E412" s="65" t="s">
        <v>843</v>
      </c>
      <c r="F412" s="74" t="s">
        <v>924</v>
      </c>
      <c r="G412" s="386">
        <v>2.0</v>
      </c>
      <c r="H412" s="74">
        <v>1650000.0</v>
      </c>
      <c r="I412" s="74">
        <v>1750000.0</v>
      </c>
      <c r="J412" s="60">
        <f t="shared" si="1"/>
        <v>45919</v>
      </c>
      <c r="K412" s="74">
        <f>if(F412="SERVICE",O412-(O412*50%),Vlookup(F412,DATABASE!C:Q,10,false)*G412)</f>
        <v>0</v>
      </c>
      <c r="L412" s="74">
        <f>VLOOKUP(F412,DATABASE!C:Q,7,FALSE)</f>
        <v>1560000</v>
      </c>
      <c r="M412" s="74">
        <v>1545000.0</v>
      </c>
      <c r="N412" s="74">
        <f t="shared" si="8"/>
        <v>1545000</v>
      </c>
      <c r="O412" s="74">
        <f t="shared" si="3"/>
        <v>3300000</v>
      </c>
      <c r="P412" s="63">
        <f t="shared" si="4"/>
        <v>3500000</v>
      </c>
      <c r="Q412" s="63">
        <f t="shared" si="5"/>
        <v>410000</v>
      </c>
      <c r="R412" s="93" t="str">
        <f>VLOOKUP(F412,DATABASE!C:Q,4,false)</f>
        <v>TIRON</v>
      </c>
      <c r="S412" s="93" t="str">
        <f>VLOOKUP(F412,DATABASE!C:P,11,false)</f>
        <v>Tire</v>
      </c>
      <c r="T412" s="93" t="str">
        <f>vlookup(F412,DATABASE!C:Q,8,false)</f>
        <v>BIAN</v>
      </c>
      <c r="Y412" s="81"/>
      <c r="Z412" s="9"/>
    </row>
    <row r="413" ht="22.5" customHeight="1">
      <c r="A413" s="49"/>
      <c r="C413" s="384">
        <v>45890.0</v>
      </c>
      <c r="D413" s="93">
        <v>45890.0</v>
      </c>
      <c r="E413" s="65" t="s">
        <v>1054</v>
      </c>
      <c r="F413" s="74" t="s">
        <v>924</v>
      </c>
      <c r="G413" s="386">
        <v>2.0</v>
      </c>
      <c r="H413" s="74">
        <v>1650000.0</v>
      </c>
      <c r="I413" s="74">
        <v>1750000.0</v>
      </c>
      <c r="J413" s="60">
        <f t="shared" si="1"/>
        <v>45920</v>
      </c>
      <c r="K413" s="74">
        <f>if(F413="SERVICE",O413-(O413*50%),Vlookup(F413,DATABASE!C:Q,10,false)*G413)</f>
        <v>0</v>
      </c>
      <c r="L413" s="74">
        <f>VLOOKUP(F413,DATABASE!C:Q,7,FALSE)</f>
        <v>1560000</v>
      </c>
      <c r="M413" s="74">
        <v>1545000.0</v>
      </c>
      <c r="N413" s="74">
        <f t="shared" si="8"/>
        <v>1545000</v>
      </c>
      <c r="O413" s="74">
        <f t="shared" si="3"/>
        <v>3300000</v>
      </c>
      <c r="P413" s="63">
        <f t="shared" si="4"/>
        <v>3500000</v>
      </c>
      <c r="Q413" s="63">
        <f t="shared" si="5"/>
        <v>410000</v>
      </c>
      <c r="R413" s="93" t="str">
        <f>VLOOKUP(F413,DATABASE!C:Q,4,false)</f>
        <v>TIRON</v>
      </c>
      <c r="S413" s="93" t="str">
        <f>VLOOKUP(F413,DATABASE!C:P,11,false)</f>
        <v>Tire</v>
      </c>
      <c r="T413" s="93" t="str">
        <f>vlookup(F413,DATABASE!C:Q,8,false)</f>
        <v>BIAN</v>
      </c>
      <c r="Y413" s="81"/>
      <c r="Z413" s="9"/>
    </row>
    <row r="414" ht="22.5" customHeight="1">
      <c r="A414" s="49"/>
      <c r="C414" s="384">
        <v>45892.0</v>
      </c>
      <c r="D414" s="93">
        <v>45892.0</v>
      </c>
      <c r="E414" s="65" t="s">
        <v>515</v>
      </c>
      <c r="F414" s="74" t="s">
        <v>897</v>
      </c>
      <c r="G414" s="386">
        <v>2.0</v>
      </c>
      <c r="H414" s="74">
        <v>1600000.0</v>
      </c>
      <c r="I414" s="74">
        <v>1700000.0</v>
      </c>
      <c r="J414" s="60">
        <f t="shared" si="1"/>
        <v>45922</v>
      </c>
      <c r="K414" s="74">
        <f>if(F414="SERVICE",O414-(O414*50%),Vlookup(F414,DATABASE!C:Q,10,false)*G414)</f>
        <v>0</v>
      </c>
      <c r="L414" s="74">
        <f>VLOOKUP(F414,DATABASE!C:Q,7,FALSE)</f>
        <v>1560000</v>
      </c>
      <c r="M414" s="74">
        <v>1500000.0</v>
      </c>
      <c r="N414" s="74">
        <f t="shared" si="8"/>
        <v>1500000</v>
      </c>
      <c r="O414" s="74">
        <f t="shared" si="3"/>
        <v>3200000</v>
      </c>
      <c r="P414" s="63">
        <f t="shared" si="4"/>
        <v>3400000</v>
      </c>
      <c r="Q414" s="63">
        <f t="shared" si="5"/>
        <v>400000</v>
      </c>
      <c r="R414" s="93" t="str">
        <f>VLOOKUP(F414,DATABASE!C:Q,4,false)</f>
        <v>GT</v>
      </c>
      <c r="S414" s="93" t="str">
        <f>VLOOKUP(F414,DATABASE!C:P,11,false)</f>
        <v>Tire</v>
      </c>
      <c r="T414" s="93" t="str">
        <f>vlookup(F414,DATABASE!C:Q,8,false)</f>
        <v>BIAN</v>
      </c>
      <c r="Y414" s="81"/>
      <c r="Z414" s="9"/>
    </row>
    <row r="415" ht="22.5" customHeight="1">
      <c r="A415" s="49"/>
      <c r="C415" s="384">
        <v>45892.0</v>
      </c>
      <c r="D415" s="93">
        <v>45892.0</v>
      </c>
      <c r="E415" s="65" t="s">
        <v>515</v>
      </c>
      <c r="F415" s="74" t="s">
        <v>744</v>
      </c>
      <c r="G415" s="386">
        <v>2.0</v>
      </c>
      <c r="H415" s="74">
        <v>230000.0</v>
      </c>
      <c r="I415" s="74">
        <v>250000.0</v>
      </c>
      <c r="J415" s="60">
        <f t="shared" si="1"/>
        <v>45922</v>
      </c>
      <c r="K415" s="74">
        <f>if(F415="SERVICE",O415-(O415*50%),Vlookup(F415,DATABASE!C:Q,10,false)*G415)</f>
        <v>0</v>
      </c>
      <c r="L415" s="74">
        <f>VLOOKUP(F415,DATABASE!C:Q,7,FALSE)</f>
        <v>182200</v>
      </c>
      <c r="M415" s="74">
        <v>199920.0</v>
      </c>
      <c r="N415" s="74">
        <f t="shared" si="8"/>
        <v>200000</v>
      </c>
      <c r="O415" s="74">
        <f t="shared" si="3"/>
        <v>460000</v>
      </c>
      <c r="P415" s="63">
        <f t="shared" si="4"/>
        <v>500000</v>
      </c>
      <c r="Q415" s="63">
        <f t="shared" si="5"/>
        <v>100000</v>
      </c>
      <c r="R415" s="93" t="str">
        <f>VLOOKUP(F415,DATABASE!C:Q,4,false)</f>
        <v>BD</v>
      </c>
      <c r="S415" s="93" t="str">
        <f>VLOOKUP(F415,DATABASE!C:P,11,false)</f>
        <v>Tire</v>
      </c>
      <c r="T415" s="93" t="str">
        <f>vlookup(F415,DATABASE!C:Q,8,false)</f>
        <v>BIAN</v>
      </c>
      <c r="Y415" s="81"/>
      <c r="Z415" s="9"/>
    </row>
    <row r="416" ht="22.5" customHeight="1">
      <c r="A416" s="49"/>
      <c r="C416" s="384">
        <v>45892.0</v>
      </c>
      <c r="D416" s="93">
        <v>45892.0</v>
      </c>
      <c r="E416" s="65" t="s">
        <v>515</v>
      </c>
      <c r="F416" s="74" t="s">
        <v>821</v>
      </c>
      <c r="G416" s="386">
        <v>2.0</v>
      </c>
      <c r="H416" s="74">
        <v>85000.0</v>
      </c>
      <c r="I416" s="74">
        <v>100000.0</v>
      </c>
      <c r="J416" s="60">
        <f t="shared" si="1"/>
        <v>45922</v>
      </c>
      <c r="K416" s="74">
        <f>if(F416="SERVICE",O416-(O416*50%),Vlookup(F416,DATABASE!C:Q,10,false)*G416)</f>
        <v>0</v>
      </c>
      <c r="L416" s="74">
        <f>VLOOKUP(F416,DATABASE!C:Q,7,FALSE)</f>
        <v>43500</v>
      </c>
      <c r="M416" s="74">
        <v>43520.0</v>
      </c>
      <c r="N416" s="74">
        <f t="shared" si="8"/>
        <v>45000</v>
      </c>
      <c r="O416" s="74">
        <f t="shared" si="3"/>
        <v>170000</v>
      </c>
      <c r="P416" s="63">
        <f t="shared" si="4"/>
        <v>200000</v>
      </c>
      <c r="Q416" s="63">
        <f t="shared" si="5"/>
        <v>110000</v>
      </c>
      <c r="R416" s="93" t="str">
        <f>VLOOKUP(F416,DATABASE!C:Q,4,false)</f>
        <v>Flap</v>
      </c>
      <c r="S416" s="93" t="str">
        <f>VLOOKUP(F416,DATABASE!C:P,11,false)</f>
        <v>Tire</v>
      </c>
      <c r="T416" s="93" t="str">
        <f>vlookup(F416,DATABASE!C:Q,8,false)</f>
        <v>BIAN</v>
      </c>
      <c r="Y416" s="81"/>
      <c r="Z416" s="9"/>
    </row>
    <row r="417" ht="22.5" customHeight="1">
      <c r="A417" s="49"/>
      <c r="C417" s="384">
        <v>45892.0</v>
      </c>
      <c r="D417" s="93">
        <v>45892.0</v>
      </c>
      <c r="E417" s="65" t="s">
        <v>346</v>
      </c>
      <c r="F417" s="74" t="s">
        <v>566</v>
      </c>
      <c r="G417" s="386">
        <v>2.0</v>
      </c>
      <c r="H417" s="74">
        <v>1670000.0</v>
      </c>
      <c r="I417" s="74">
        <v>1770000.0</v>
      </c>
      <c r="J417" s="60">
        <f t="shared" si="1"/>
        <v>45922</v>
      </c>
      <c r="K417" s="74">
        <f>if(F417="SERVICE",O417-(O417*50%),Vlookup(F417,DATABASE!C:Q,10,false)*G417)</f>
        <v>0</v>
      </c>
      <c r="L417" s="74">
        <f>VLOOKUP(F417,DATABASE!C:Q,7,FALSE)</f>
        <v>1565000</v>
      </c>
      <c r="M417" s="74">
        <v>1545000.0</v>
      </c>
      <c r="N417" s="74">
        <f t="shared" si="8"/>
        <v>1545000</v>
      </c>
      <c r="O417" s="74">
        <f t="shared" si="3"/>
        <v>3340000</v>
      </c>
      <c r="P417" s="63">
        <f t="shared" si="4"/>
        <v>3540000</v>
      </c>
      <c r="Q417" s="63">
        <f t="shared" si="5"/>
        <v>450000</v>
      </c>
      <c r="R417" s="93" t="str">
        <f>VLOOKUP(F417,DATABASE!C:Q,4,false)</f>
        <v>Bridgestone</v>
      </c>
      <c r="S417" s="93" t="str">
        <f>VLOOKUP(F417,DATABASE!C:P,11,false)</f>
        <v>Tire</v>
      </c>
      <c r="T417" s="93" t="str">
        <f>vlookup(F417,DATABASE!C:Q,8,false)</f>
        <v>IBU</v>
      </c>
      <c r="Y417" s="81"/>
      <c r="Z417" s="9"/>
    </row>
    <row r="418" ht="22.5" customHeight="1">
      <c r="A418" s="49"/>
      <c r="C418" s="384">
        <v>45895.0</v>
      </c>
      <c r="D418" s="93">
        <v>45895.0</v>
      </c>
      <c r="E418" s="65" t="s">
        <v>1013</v>
      </c>
      <c r="F418" s="74" t="s">
        <v>1912</v>
      </c>
      <c r="G418" s="386">
        <v>4.0</v>
      </c>
      <c r="H418" s="74">
        <v>720000.0</v>
      </c>
      <c r="I418" s="74">
        <v>820000.0</v>
      </c>
      <c r="J418" s="60">
        <f t="shared" si="1"/>
        <v>45925</v>
      </c>
      <c r="K418" s="74">
        <f>if(F418="SERVICE",O418-(O418*50%),Vlookup(F418,DATABASE!C:Q,10,false)*G418)</f>
        <v>0</v>
      </c>
      <c r="L418" s="74">
        <f>VLOOKUP(F418,DATABASE!C:Q,7,FALSE)</f>
        <v>636300</v>
      </c>
      <c r="M418" s="74">
        <v>636300.0</v>
      </c>
      <c r="N418" s="74">
        <f t="shared" si="8"/>
        <v>640000</v>
      </c>
      <c r="O418" s="74">
        <f t="shared" si="3"/>
        <v>2880000</v>
      </c>
      <c r="P418" s="63">
        <f t="shared" si="4"/>
        <v>3280000</v>
      </c>
      <c r="Q418" s="63">
        <f t="shared" si="5"/>
        <v>720000</v>
      </c>
      <c r="R418" s="93" t="str">
        <f>VLOOKUP(F418,DATABASE!C:Q,4,false)</f>
        <v>GT</v>
      </c>
      <c r="S418" s="93" t="str">
        <f>VLOOKUP(F418,DATABASE!C:P,11,false)</f>
        <v>Tire</v>
      </c>
      <c r="T418" s="93" t="str">
        <f>vlookup(F418,DATABASE!C:Q,8,false)</f>
        <v>BIAN</v>
      </c>
      <c r="Y418" s="81"/>
      <c r="Z418" s="9"/>
    </row>
    <row r="419" ht="22.5" customHeight="1">
      <c r="A419" s="49"/>
      <c r="C419" s="384">
        <v>45895.0</v>
      </c>
      <c r="D419" s="93">
        <v>45895.0</v>
      </c>
      <c r="E419" s="65" t="s">
        <v>1013</v>
      </c>
      <c r="F419" s="74" t="s">
        <v>299</v>
      </c>
      <c r="G419" s="386">
        <v>2.0</v>
      </c>
      <c r="H419" s="74">
        <v>30000.0</v>
      </c>
      <c r="I419" s="74">
        <v>35000.0</v>
      </c>
      <c r="J419" s="60">
        <f t="shared" si="1"/>
        <v>45925</v>
      </c>
      <c r="K419" s="74">
        <f>if(F419="SERVICE",O419-(O419*50%),Vlookup(F419,DATABASE!C:Q,10,false)*G419)</f>
        <v>0</v>
      </c>
      <c r="L419" s="74">
        <f>VLOOKUP(F419,DATABASE!C:Q,7,FALSE)</f>
        <v>10000</v>
      </c>
      <c r="M419" s="74">
        <v>5000.0</v>
      </c>
      <c r="N419" s="74">
        <f t="shared" si="8"/>
        <v>5000</v>
      </c>
      <c r="O419" s="74">
        <f t="shared" si="3"/>
        <v>60000</v>
      </c>
      <c r="P419" s="63">
        <f t="shared" si="4"/>
        <v>70000</v>
      </c>
      <c r="Q419" s="63">
        <f t="shared" si="5"/>
        <v>60000</v>
      </c>
      <c r="R419" s="93" t="str">
        <f>VLOOKUP(F419,DATABASE!C:Q,4,false)</f>
        <v>Balancing</v>
      </c>
      <c r="S419" s="93" t="str">
        <f>VLOOKUP(F419,DATABASE!C:P,11,false)</f>
        <v>COMPLEMENTARY</v>
      </c>
      <c r="T419" s="93" t="str">
        <f>vlookup(F419,DATABASE!C:Q,8,false)</f>
        <v>BIAN</v>
      </c>
      <c r="Y419" s="81"/>
      <c r="Z419" s="9"/>
    </row>
    <row r="420" ht="22.5" customHeight="1">
      <c r="A420" s="49"/>
      <c r="C420" s="384">
        <v>45895.0</v>
      </c>
      <c r="D420" s="93">
        <v>45895.0</v>
      </c>
      <c r="E420" s="65" t="s">
        <v>1013</v>
      </c>
      <c r="F420" s="74" t="s">
        <v>256</v>
      </c>
      <c r="G420" s="386">
        <v>1.0</v>
      </c>
      <c r="H420" s="74">
        <v>130000.0</v>
      </c>
      <c r="I420" s="74">
        <v>130000.0</v>
      </c>
      <c r="J420" s="60">
        <f t="shared" si="1"/>
        <v>45925</v>
      </c>
      <c r="K420" s="74">
        <f>if(F420="SERVICE",O420-(O420*50%),Vlookup(F420,DATABASE!C:Q,10,false)*G420)</f>
        <v>10000</v>
      </c>
      <c r="L420" s="74">
        <f>VLOOKUP(F420,DATABASE!C:Q,7,FALSE)</f>
        <v>0</v>
      </c>
      <c r="M420" s="74">
        <v>0.0</v>
      </c>
      <c r="N420" s="74">
        <f t="shared" si="8"/>
        <v>0</v>
      </c>
      <c r="O420" s="74">
        <f t="shared" si="3"/>
        <v>130000</v>
      </c>
      <c r="P420" s="63">
        <f t="shared" si="4"/>
        <v>130000</v>
      </c>
      <c r="Q420" s="63">
        <f t="shared" si="5"/>
        <v>120000</v>
      </c>
      <c r="R420" s="93" t="str">
        <f>VLOOKUP(F420,DATABASE!C:Q,4,false)</f>
        <v>SPOORING</v>
      </c>
      <c r="S420" s="93" t="str">
        <f>VLOOKUP(F420,DATABASE!C:P,11,false)</f>
        <v>SERVICE</v>
      </c>
      <c r="T420" s="93" t="str">
        <f>vlookup(F420,DATABASE!C:Q,8,false)</f>
        <v>IBU</v>
      </c>
      <c r="Y420" s="81"/>
      <c r="Z420" s="9"/>
    </row>
    <row r="421" ht="22.5" customHeight="1">
      <c r="A421" s="49"/>
      <c r="C421" s="384">
        <v>45895.0</v>
      </c>
      <c r="D421" s="93">
        <v>45895.0</v>
      </c>
      <c r="E421" s="65" t="s">
        <v>1013</v>
      </c>
      <c r="F421" s="74" t="s">
        <v>301</v>
      </c>
      <c r="G421" s="386">
        <v>1.0</v>
      </c>
      <c r="H421" s="74">
        <v>250000.0</v>
      </c>
      <c r="I421" s="74">
        <v>250000.0</v>
      </c>
      <c r="J421" s="60">
        <f t="shared" si="1"/>
        <v>45925</v>
      </c>
      <c r="K421" s="74">
        <f>if(F421="SERVICE",O421-(O421*50%),Vlookup(F421,DATABASE!C:Q,10,false)*G421)</f>
        <v>75000</v>
      </c>
      <c r="L421" s="74">
        <f>VLOOKUP(F421,DATABASE!C:Q,7,FALSE)</f>
        <v>75000</v>
      </c>
      <c r="M421" s="74">
        <v>75000.0</v>
      </c>
      <c r="N421" s="74">
        <f t="shared" si="8"/>
        <v>75000</v>
      </c>
      <c r="O421" s="74">
        <f t="shared" si="3"/>
        <v>250000</v>
      </c>
      <c r="P421" s="63">
        <f t="shared" si="4"/>
        <v>250000</v>
      </c>
      <c r="Q421" s="63">
        <f t="shared" si="5"/>
        <v>100000</v>
      </c>
      <c r="R421" s="93" t="str">
        <f>VLOOKUP(F421,DATABASE!C:Q,4,false)</f>
        <v>Baut Camber</v>
      </c>
      <c r="S421" s="93" t="str">
        <f>VLOOKUP(F421,DATABASE!C:P,11,false)</f>
        <v>COMPLEMENTARY</v>
      </c>
      <c r="T421" s="93" t="str">
        <f>vlookup(F421,DATABASE!C:Q,8,false)</f>
        <v>BIAN</v>
      </c>
      <c r="Y421" s="81"/>
      <c r="Z421" s="9"/>
    </row>
    <row r="422" ht="22.5" customHeight="1">
      <c r="A422" s="49"/>
      <c r="C422" s="384">
        <v>45895.0</v>
      </c>
      <c r="D422" s="93">
        <v>45895.0</v>
      </c>
      <c r="E422" s="65" t="s">
        <v>595</v>
      </c>
      <c r="F422" s="74" t="s">
        <v>897</v>
      </c>
      <c r="G422" s="386">
        <v>1.0</v>
      </c>
      <c r="H422" s="74">
        <v>1600000.0</v>
      </c>
      <c r="I422" s="74">
        <v>1750000.0</v>
      </c>
      <c r="J422" s="60">
        <f t="shared" si="1"/>
        <v>45925</v>
      </c>
      <c r="K422" s="74">
        <f>if(F422="SERVICE",O422-(O422*50%),Vlookup(F422,DATABASE!C:Q,10,false)*G422)</f>
        <v>0</v>
      </c>
      <c r="L422" s="74">
        <f>VLOOKUP(F422,DATABASE!C:Q,7,FALSE)</f>
        <v>1560000</v>
      </c>
      <c r="M422" s="74">
        <v>1500000.0</v>
      </c>
      <c r="N422" s="74">
        <f t="shared" si="8"/>
        <v>1500000</v>
      </c>
      <c r="O422" s="74">
        <f t="shared" si="3"/>
        <v>1600000</v>
      </c>
      <c r="P422" s="63">
        <f t="shared" si="4"/>
        <v>1750000</v>
      </c>
      <c r="Q422" s="63">
        <f t="shared" si="5"/>
        <v>250000</v>
      </c>
      <c r="R422" s="93" t="str">
        <f>VLOOKUP(F422,DATABASE!C:Q,4,false)</f>
        <v>GT</v>
      </c>
      <c r="S422" s="93" t="str">
        <f>VLOOKUP(F422,DATABASE!C:P,11,false)</f>
        <v>Tire</v>
      </c>
      <c r="T422" s="93" t="str">
        <f>vlookup(F422,DATABASE!C:Q,8,false)</f>
        <v>BIAN</v>
      </c>
      <c r="Y422" s="81"/>
      <c r="Z422" s="9"/>
    </row>
    <row r="423" ht="22.5" customHeight="1">
      <c r="A423" s="49"/>
      <c r="C423" s="384">
        <v>45895.0</v>
      </c>
      <c r="D423" s="93">
        <v>45895.0</v>
      </c>
      <c r="E423" s="65" t="s">
        <v>595</v>
      </c>
      <c r="F423" s="74" t="s">
        <v>374</v>
      </c>
      <c r="G423" s="386">
        <v>2.0</v>
      </c>
      <c r="H423" s="74">
        <v>1950000.0</v>
      </c>
      <c r="I423" s="74">
        <v>2100000.0</v>
      </c>
      <c r="J423" s="60">
        <f t="shared" si="1"/>
        <v>45925</v>
      </c>
      <c r="K423" s="74">
        <f>if(F423="SERVICE",O423-(O423*50%),Vlookup(F423,DATABASE!C:Q,10,false)*G423)</f>
        <v>0</v>
      </c>
      <c r="L423" s="74">
        <f>VLOOKUP(F423,DATABASE!C:Q,7,FALSE)</f>
        <v>1980000</v>
      </c>
      <c r="M423" s="74">
        <v>1850000.0</v>
      </c>
      <c r="N423" s="74">
        <f t="shared" si="8"/>
        <v>1850000</v>
      </c>
      <c r="O423" s="74">
        <f t="shared" si="3"/>
        <v>3900000</v>
      </c>
      <c r="P423" s="63">
        <f t="shared" si="4"/>
        <v>4200000</v>
      </c>
      <c r="Q423" s="63">
        <f t="shared" si="5"/>
        <v>500000</v>
      </c>
      <c r="R423" s="93" t="str">
        <f>VLOOKUP(F423,DATABASE!C:Q,4,false)</f>
        <v>Advance</v>
      </c>
      <c r="S423" s="93" t="str">
        <f>VLOOKUP(F423,DATABASE!C:P,11,false)</f>
        <v>Tire</v>
      </c>
      <c r="T423" s="93" t="str">
        <f>vlookup(F423,DATABASE!C:Q,8,false)</f>
        <v>BIAN</v>
      </c>
      <c r="Y423" s="81"/>
      <c r="Z423" s="9"/>
    </row>
    <row r="424" ht="22.5" customHeight="1">
      <c r="A424" s="49"/>
      <c r="C424" s="384">
        <v>45897.0</v>
      </c>
      <c r="D424" s="93">
        <v>45897.0</v>
      </c>
      <c r="E424" s="65" t="s">
        <v>735</v>
      </c>
      <c r="F424" s="74" t="s">
        <v>924</v>
      </c>
      <c r="G424" s="386">
        <v>1.0</v>
      </c>
      <c r="H424" s="74">
        <v>1650000.0</v>
      </c>
      <c r="I424" s="74">
        <v>1750000.0</v>
      </c>
      <c r="J424" s="60">
        <f t="shared" si="1"/>
        <v>45927</v>
      </c>
      <c r="K424" s="74">
        <f>if(F424="SERVICE",O424-(O424*50%),Vlookup(F424,DATABASE!C:Q,10,false)*G424)</f>
        <v>0</v>
      </c>
      <c r="L424" s="74">
        <f>VLOOKUP(F424,DATABASE!C:Q,7,FALSE)</f>
        <v>1560000</v>
      </c>
      <c r="M424" s="74">
        <v>1545000.0</v>
      </c>
      <c r="N424" s="74">
        <f t="shared" si="8"/>
        <v>1545000</v>
      </c>
      <c r="O424" s="74">
        <f t="shared" si="3"/>
        <v>1650000</v>
      </c>
      <c r="P424" s="63">
        <f t="shared" si="4"/>
        <v>1750000</v>
      </c>
      <c r="Q424" s="63">
        <f t="shared" si="5"/>
        <v>205000</v>
      </c>
      <c r="R424" s="93" t="str">
        <f>VLOOKUP(F424,DATABASE!C:Q,4,false)</f>
        <v>TIRON</v>
      </c>
      <c r="S424" s="93" t="str">
        <f>VLOOKUP(F424,DATABASE!C:P,11,false)</f>
        <v>Tire</v>
      </c>
      <c r="T424" s="93" t="str">
        <f>vlookup(F424,DATABASE!C:Q,8,false)</f>
        <v>BIAN</v>
      </c>
      <c r="Y424" s="81"/>
      <c r="Z424" s="9"/>
    </row>
    <row r="425" ht="22.5" customHeight="1">
      <c r="A425" s="49"/>
      <c r="C425" s="384">
        <v>45898.0</v>
      </c>
      <c r="D425" s="93">
        <v>45898.0</v>
      </c>
      <c r="E425" s="65" t="s">
        <v>259</v>
      </c>
      <c r="F425" s="93" t="s">
        <v>2064</v>
      </c>
      <c r="G425" s="386">
        <v>1.0</v>
      </c>
      <c r="H425" s="74">
        <v>700000.0</v>
      </c>
      <c r="I425" s="74">
        <v>780000.0</v>
      </c>
      <c r="J425" s="60">
        <f t="shared" si="1"/>
        <v>45928</v>
      </c>
      <c r="K425" s="74">
        <f>if(F425="SERVICE",O425-(O425*50%),Vlookup(F425,DATABASE!C:Q,10,false)*G425)</f>
        <v>0</v>
      </c>
      <c r="L425" s="74">
        <f>VLOOKUP(F425,DATABASE!C:Q,7,FALSE)</f>
        <v>608000</v>
      </c>
      <c r="M425" s="74">
        <v>608000.0</v>
      </c>
      <c r="N425" s="74">
        <f t="shared" si="8"/>
        <v>610000</v>
      </c>
      <c r="O425" s="74">
        <f t="shared" si="3"/>
        <v>700000</v>
      </c>
      <c r="P425" s="63">
        <f t="shared" si="4"/>
        <v>780000</v>
      </c>
      <c r="Q425" s="63">
        <f t="shared" si="5"/>
        <v>170000</v>
      </c>
      <c r="R425" s="93" t="str">
        <f>VLOOKUP(F425,DATABASE!C:Q,4,false)</f>
        <v>Hankook</v>
      </c>
      <c r="S425" s="93" t="str">
        <f>VLOOKUP(F425,DATABASE!C:P,11,false)</f>
        <v>Tire</v>
      </c>
      <c r="T425" s="93" t="str">
        <f>vlookup(F425,DATABASE!C:Q,8,false)</f>
        <v>BIAN</v>
      </c>
      <c r="Y425" s="81"/>
      <c r="Z425" s="9"/>
    </row>
    <row r="426" ht="22.5" customHeight="1">
      <c r="A426" s="49"/>
      <c r="C426" s="384">
        <v>45899.0</v>
      </c>
      <c r="D426" s="93">
        <v>45899.0</v>
      </c>
      <c r="E426" s="65" t="s">
        <v>610</v>
      </c>
      <c r="F426" s="74" t="s">
        <v>1862</v>
      </c>
      <c r="G426" s="386">
        <v>2.0</v>
      </c>
      <c r="H426" s="74">
        <v>2150000.0</v>
      </c>
      <c r="I426" s="74">
        <v>2250000.0</v>
      </c>
      <c r="J426" s="60">
        <f t="shared" si="1"/>
        <v>45929</v>
      </c>
      <c r="K426" s="74">
        <f>if(F426="SERVICE",O426-(O426*50%),Vlookup(F426,DATABASE!C:Q,10,false)*G426)</f>
        <v>0</v>
      </c>
      <c r="L426" s="74">
        <f>VLOOKUP(F426,DATABASE!C:Q,7,FALSE)</f>
        <v>2080000</v>
      </c>
      <c r="M426" s="74">
        <v>2050000.0</v>
      </c>
      <c r="N426" s="74">
        <f t="shared" si="8"/>
        <v>2050000</v>
      </c>
      <c r="O426" s="74">
        <f t="shared" si="3"/>
        <v>4300000</v>
      </c>
      <c r="P426" s="63">
        <f t="shared" si="4"/>
        <v>4500000</v>
      </c>
      <c r="Q426" s="63">
        <f t="shared" si="5"/>
        <v>400000</v>
      </c>
      <c r="R426" s="93" t="str">
        <f>VLOOKUP(F426,DATABASE!C:Q,4,false)</f>
        <v>GiTi</v>
      </c>
      <c r="S426" s="93" t="str">
        <f>VLOOKUP(F426,DATABASE!C:P,11,false)</f>
        <v>Tire</v>
      </c>
      <c r="T426" s="93" t="str">
        <f>vlookup(F426,DATABASE!C:Q,8,false)</f>
        <v>BIAN</v>
      </c>
      <c r="Y426" s="81"/>
      <c r="Z426" s="9"/>
    </row>
    <row r="427" ht="22.5" customHeight="1">
      <c r="A427" s="49"/>
      <c r="C427" s="384">
        <v>45901.0</v>
      </c>
      <c r="D427" s="93">
        <v>45901.0</v>
      </c>
      <c r="E427" s="65" t="s">
        <v>383</v>
      </c>
      <c r="F427" s="74" t="s">
        <v>1862</v>
      </c>
      <c r="G427" s="386">
        <v>2.0</v>
      </c>
      <c r="H427" s="74">
        <v>2150000.0</v>
      </c>
      <c r="I427" s="74">
        <v>2250000.0</v>
      </c>
      <c r="J427" s="60">
        <f t="shared" si="1"/>
        <v>45931</v>
      </c>
      <c r="K427" s="74">
        <f>if(F427="SERVICE",O427-(O427*50%),Vlookup(F427,DATABASE!C:Q,10,false)*G427)</f>
        <v>0</v>
      </c>
      <c r="L427" s="74">
        <f>VLOOKUP(F427,DATABASE!C:Q,7,FALSE)</f>
        <v>2080000</v>
      </c>
      <c r="M427" s="74">
        <v>2050000.0</v>
      </c>
      <c r="N427" s="74">
        <f t="shared" si="8"/>
        <v>2050000</v>
      </c>
      <c r="O427" s="74">
        <f t="shared" si="3"/>
        <v>4300000</v>
      </c>
      <c r="P427" s="63">
        <f t="shared" si="4"/>
        <v>4500000</v>
      </c>
      <c r="Q427" s="63">
        <f t="shared" si="5"/>
        <v>400000</v>
      </c>
      <c r="R427" s="93" t="str">
        <f>VLOOKUP(F427,DATABASE!C:Q,4,false)</f>
        <v>GiTi</v>
      </c>
      <c r="S427" s="93" t="str">
        <f>VLOOKUP(F427,DATABASE!C:P,11,false)</f>
        <v>Tire</v>
      </c>
      <c r="T427" s="93" t="str">
        <f>vlookup(F427,DATABASE!C:Q,8,false)</f>
        <v>BIAN</v>
      </c>
      <c r="Y427" s="81"/>
      <c r="Z427" s="9"/>
    </row>
    <row r="428" ht="22.5" customHeight="1">
      <c r="A428" s="49"/>
      <c r="C428" s="384">
        <v>45901.0</v>
      </c>
      <c r="D428" s="93">
        <v>45901.0</v>
      </c>
      <c r="E428" s="65" t="s">
        <v>234</v>
      </c>
      <c r="F428" s="74" t="s">
        <v>791</v>
      </c>
      <c r="G428" s="386">
        <v>1.0</v>
      </c>
      <c r="H428" s="74">
        <v>1280000.0</v>
      </c>
      <c r="I428" s="74">
        <v>1380000.0</v>
      </c>
      <c r="J428" s="60">
        <f t="shared" si="1"/>
        <v>45931</v>
      </c>
      <c r="K428" s="74">
        <f>if(F428="SERVICE",O428-(O428*50%),Vlookup(F428,DATABASE!C:Q,10,false)*G428)</f>
        <v>0</v>
      </c>
      <c r="L428" s="74">
        <f>VLOOKUP(F428,DATABASE!C:Q,7,FALSE)</f>
        <v>1210000</v>
      </c>
      <c r="M428" s="74">
        <v>1180000.0</v>
      </c>
      <c r="N428" s="74">
        <f t="shared" si="8"/>
        <v>1180000</v>
      </c>
      <c r="O428" s="74">
        <f t="shared" si="3"/>
        <v>1280000</v>
      </c>
      <c r="P428" s="63">
        <f t="shared" si="4"/>
        <v>1380000</v>
      </c>
      <c r="Q428" s="63">
        <f t="shared" si="5"/>
        <v>200000</v>
      </c>
      <c r="R428" s="93" t="str">
        <f>VLOOKUP(F428,DATABASE!C:Q,4,false)</f>
        <v>GT</v>
      </c>
      <c r="S428" s="93" t="str">
        <f>VLOOKUP(F428,DATABASE!C:P,11,false)</f>
        <v>Tire</v>
      </c>
      <c r="T428" s="93" t="str">
        <f>vlookup(F428,DATABASE!C:Q,8,false)</f>
        <v>BIAN</v>
      </c>
      <c r="Y428" s="81"/>
      <c r="Z428" s="9"/>
    </row>
    <row r="429" ht="22.5" customHeight="1">
      <c r="A429" s="49"/>
      <c r="C429" s="384">
        <v>45901.0</v>
      </c>
      <c r="D429" s="93">
        <v>45901.0</v>
      </c>
      <c r="E429" s="65" t="s">
        <v>234</v>
      </c>
      <c r="F429" s="74" t="s">
        <v>255</v>
      </c>
      <c r="G429" s="386">
        <v>1.0</v>
      </c>
      <c r="H429" s="74">
        <v>200000.0</v>
      </c>
      <c r="I429" s="74">
        <v>200000.0</v>
      </c>
      <c r="J429" s="60">
        <f t="shared" si="1"/>
        <v>45931</v>
      </c>
      <c r="K429" s="74">
        <f>if(F429="SERVICE",O429-(O429*50%),Vlookup(F429,DATABASE!C:Q,10,false)*G429)</f>
        <v>0</v>
      </c>
      <c r="L429" s="74">
        <f>VLOOKUP(F429,DATABASE!C:Q,7,FALSE)</f>
        <v>161840</v>
      </c>
      <c r="M429" s="74">
        <v>161840.0</v>
      </c>
      <c r="N429" s="74">
        <f t="shared" si="8"/>
        <v>165000</v>
      </c>
      <c r="O429" s="74">
        <f t="shared" si="3"/>
        <v>200000</v>
      </c>
      <c r="P429" s="63">
        <f t="shared" si="4"/>
        <v>200000</v>
      </c>
      <c r="Q429" s="63">
        <f t="shared" si="5"/>
        <v>35000</v>
      </c>
      <c r="R429" s="93" t="str">
        <f>VLOOKUP(F429,DATABASE!C:Q,4,false)</f>
        <v>BD</v>
      </c>
      <c r="S429" s="93" t="str">
        <f>VLOOKUP(F429,DATABASE!C:P,11,false)</f>
        <v>Tire</v>
      </c>
      <c r="T429" s="93" t="str">
        <f>vlookup(F429,DATABASE!C:Q,8,false)</f>
        <v>BIAN</v>
      </c>
      <c r="Y429" s="81"/>
      <c r="Z429" s="9"/>
    </row>
    <row r="430" ht="22.5" customHeight="1">
      <c r="A430" s="49"/>
      <c r="C430" s="384">
        <v>45901.0</v>
      </c>
      <c r="D430" s="93">
        <v>45901.0</v>
      </c>
      <c r="E430" s="65" t="s">
        <v>234</v>
      </c>
      <c r="F430" s="74" t="s">
        <v>814</v>
      </c>
      <c r="G430" s="386">
        <v>1.0</v>
      </c>
      <c r="H430" s="74">
        <v>65000.0</v>
      </c>
      <c r="I430" s="74">
        <v>85000.0</v>
      </c>
      <c r="J430" s="60">
        <f t="shared" si="1"/>
        <v>45931</v>
      </c>
      <c r="K430" s="74">
        <f>if(F430="SERVICE",O430-(O430*50%),Vlookup(F430,DATABASE!C:Q,10,false)*G430)</f>
        <v>0</v>
      </c>
      <c r="L430" s="74">
        <f>VLOOKUP(F430,DATABASE!C:Q,7,FALSE)</f>
        <v>39440</v>
      </c>
      <c r="M430" s="74">
        <v>39440.0</v>
      </c>
      <c r="N430" s="74">
        <f t="shared" si="8"/>
        <v>40000</v>
      </c>
      <c r="O430" s="74">
        <f t="shared" si="3"/>
        <v>65000</v>
      </c>
      <c r="P430" s="63">
        <f t="shared" si="4"/>
        <v>85000</v>
      </c>
      <c r="Q430" s="63">
        <f t="shared" si="5"/>
        <v>45000</v>
      </c>
      <c r="R430" s="93" t="str">
        <f>VLOOKUP(F430,DATABASE!C:Q,4,false)</f>
        <v>Flap</v>
      </c>
      <c r="S430" s="93" t="str">
        <f>VLOOKUP(F430,DATABASE!C:P,11,false)</f>
        <v>Tire</v>
      </c>
      <c r="T430" s="93" t="str">
        <f>vlookup(F430,DATABASE!C:Q,8,false)</f>
        <v>BIAN</v>
      </c>
      <c r="Y430" s="81"/>
      <c r="Z430" s="9"/>
    </row>
    <row r="431" ht="22.5" customHeight="1">
      <c r="A431" s="49"/>
      <c r="C431" s="384">
        <v>45901.0</v>
      </c>
      <c r="D431" s="93">
        <v>45901.0</v>
      </c>
      <c r="E431" s="65" t="s">
        <v>119</v>
      </c>
      <c r="F431" s="74" t="s">
        <v>403</v>
      </c>
      <c r="G431" s="386">
        <v>4.0</v>
      </c>
      <c r="H431" s="74">
        <v>2260000.0</v>
      </c>
      <c r="I431" s="74">
        <v>2360000.0</v>
      </c>
      <c r="J431" s="60">
        <f t="shared" si="1"/>
        <v>45931</v>
      </c>
      <c r="K431" s="74">
        <f>if(F431="SERVICE",O431-(O431*50%),Vlookup(F431,DATABASE!C:Q,10,false)*G431)</f>
        <v>0</v>
      </c>
      <c r="L431" s="74">
        <f>VLOOKUP(F431,DATABASE!C:Q,7,FALSE)</f>
        <v>2160000</v>
      </c>
      <c r="M431" s="74">
        <v>2160000.0</v>
      </c>
      <c r="N431" s="74">
        <f t="shared" si="8"/>
        <v>2160000</v>
      </c>
      <c r="O431" s="74">
        <f t="shared" si="3"/>
        <v>9040000</v>
      </c>
      <c r="P431" s="63">
        <f t="shared" si="4"/>
        <v>9440000</v>
      </c>
      <c r="Q431" s="63">
        <f t="shared" si="5"/>
        <v>800000</v>
      </c>
      <c r="R431" s="93" t="str">
        <f>VLOOKUP(F431,DATABASE!C:Q,4,false)</f>
        <v>Advance</v>
      </c>
      <c r="S431" s="93" t="str">
        <f>VLOOKUP(F431,DATABASE!C:P,11,false)</f>
        <v>Tire</v>
      </c>
      <c r="T431" s="93" t="str">
        <f>vlookup(F431,DATABASE!C:Q,8,false)</f>
        <v>BIAN</v>
      </c>
      <c r="Y431" s="81"/>
      <c r="Z431" s="9"/>
    </row>
    <row r="432" ht="22.5" customHeight="1">
      <c r="A432" s="49"/>
      <c r="C432" s="384">
        <v>45903.0</v>
      </c>
      <c r="D432" s="93">
        <v>45903.0</v>
      </c>
      <c r="E432" s="65" t="s">
        <v>901</v>
      </c>
      <c r="F432" s="74" t="s">
        <v>276</v>
      </c>
      <c r="G432" s="386">
        <v>2.0</v>
      </c>
      <c r="H432" s="74">
        <v>720000.0</v>
      </c>
      <c r="I432" s="74">
        <v>800000.0</v>
      </c>
      <c r="J432" s="60">
        <f t="shared" si="1"/>
        <v>45933</v>
      </c>
      <c r="K432" s="74">
        <f>if(F432="SERVICE",O432-(O432*50%),Vlookup(F432,DATABASE!C:Q,10,false)*G432)</f>
        <v>0</v>
      </c>
      <c r="L432" s="74">
        <f>VLOOKUP(F432,DATABASE!C:Q,7,FALSE)</f>
        <v>620000</v>
      </c>
      <c r="M432" s="74">
        <v>607000.0</v>
      </c>
      <c r="N432" s="74">
        <f t="shared" si="8"/>
        <v>610000</v>
      </c>
      <c r="O432" s="74">
        <f t="shared" si="3"/>
        <v>1440000</v>
      </c>
      <c r="P432" s="63">
        <f t="shared" si="4"/>
        <v>1600000</v>
      </c>
      <c r="Q432" s="63">
        <f t="shared" si="5"/>
        <v>380000</v>
      </c>
      <c r="R432" s="93" t="str">
        <f>VLOOKUP(F432,DATABASE!C:Q,4,false)</f>
        <v>Dunlop</v>
      </c>
      <c r="S432" s="93" t="str">
        <f>VLOOKUP(F432,DATABASE!C:P,11,false)</f>
        <v>Tire</v>
      </c>
      <c r="T432" s="93" t="str">
        <f>vlookup(F432,DATABASE!C:Q,8,false)</f>
        <v>IBU</v>
      </c>
      <c r="Y432" s="81"/>
      <c r="Z432" s="9"/>
    </row>
    <row r="433" ht="22.5" customHeight="1">
      <c r="A433" s="49"/>
      <c r="C433" s="384">
        <v>45904.0</v>
      </c>
      <c r="D433" s="93">
        <v>45904.0</v>
      </c>
      <c r="E433" s="65" t="s">
        <v>132</v>
      </c>
      <c r="F433" s="74" t="s">
        <v>566</v>
      </c>
      <c r="G433" s="386">
        <v>2.0</v>
      </c>
      <c r="H433" s="74">
        <v>720000.0</v>
      </c>
      <c r="I433" s="74">
        <v>1770000.0</v>
      </c>
      <c r="J433" s="60">
        <f t="shared" si="1"/>
        <v>45934</v>
      </c>
      <c r="K433" s="74">
        <f>if(F433="SERVICE",O433-(O433*50%),Vlookup(F433,DATABASE!C:Q,10,false)*G433)</f>
        <v>0</v>
      </c>
      <c r="L433" s="74">
        <f>VLOOKUP(F433,DATABASE!C:Q,7,FALSE)</f>
        <v>1565000</v>
      </c>
      <c r="M433" s="74">
        <v>1545000.0</v>
      </c>
      <c r="N433" s="74">
        <f t="shared" si="8"/>
        <v>1545000</v>
      </c>
      <c r="O433" s="74">
        <f t="shared" si="3"/>
        <v>1440000</v>
      </c>
      <c r="P433" s="63">
        <f t="shared" si="4"/>
        <v>3540000</v>
      </c>
      <c r="Q433" s="63">
        <f t="shared" si="5"/>
        <v>450000</v>
      </c>
      <c r="R433" s="93" t="str">
        <f>VLOOKUP(F433,DATABASE!C:Q,4,false)</f>
        <v>Bridgestone</v>
      </c>
      <c r="S433" s="93" t="str">
        <f>VLOOKUP(F433,DATABASE!C:P,11,false)</f>
        <v>Tire</v>
      </c>
      <c r="T433" s="93" t="str">
        <f>vlookup(F433,DATABASE!C:Q,8,false)</f>
        <v>IBU</v>
      </c>
      <c r="Y433" s="81"/>
      <c r="Z433" s="9"/>
    </row>
    <row r="434" ht="22.5" customHeight="1">
      <c r="A434" s="49"/>
      <c r="C434" s="384">
        <v>45904.0</v>
      </c>
      <c r="D434" s="93">
        <v>45904.0</v>
      </c>
      <c r="E434" s="65" t="s">
        <v>132</v>
      </c>
      <c r="F434" s="74" t="s">
        <v>737</v>
      </c>
      <c r="G434" s="386">
        <v>2.0</v>
      </c>
      <c r="H434" s="74">
        <v>1670000.0</v>
      </c>
      <c r="I434" s="74">
        <v>290000.0</v>
      </c>
      <c r="J434" s="60">
        <f t="shared" si="1"/>
        <v>45934</v>
      </c>
      <c r="K434" s="74">
        <f>if(F434="SERVICE",O434-(O434*50%),Vlookup(F434,DATABASE!C:Q,10,false)*G434)</f>
        <v>0</v>
      </c>
      <c r="L434" s="74">
        <f>VLOOKUP(F434,DATABASE!C:Q,7,FALSE)</f>
        <v>241001.6</v>
      </c>
      <c r="M434" s="74">
        <v>237440.0</v>
      </c>
      <c r="N434" s="74">
        <f t="shared" si="8"/>
        <v>240000</v>
      </c>
      <c r="O434" s="74">
        <f t="shared" si="3"/>
        <v>3340000</v>
      </c>
      <c r="P434" s="63">
        <f t="shared" si="4"/>
        <v>580000</v>
      </c>
      <c r="Q434" s="63">
        <f t="shared" si="5"/>
        <v>100000</v>
      </c>
      <c r="R434" s="93" t="str">
        <f>VLOOKUP(F434,DATABASE!C:Q,4,false)</f>
        <v>BD</v>
      </c>
      <c r="S434" s="93" t="str">
        <f>VLOOKUP(F434,DATABASE!C:P,11,false)</f>
        <v>Tire</v>
      </c>
      <c r="T434" s="93" t="str">
        <f>vlookup(F434,DATABASE!C:Q,8,false)</f>
        <v>IBU</v>
      </c>
      <c r="Y434" s="81"/>
      <c r="Z434" s="9"/>
    </row>
    <row r="435" ht="22.5" customHeight="1">
      <c r="A435" s="49"/>
      <c r="C435" s="384">
        <v>45904.0</v>
      </c>
      <c r="D435" s="93">
        <v>45904.0</v>
      </c>
      <c r="E435" s="65" t="s">
        <v>132</v>
      </c>
      <c r="F435" s="74" t="s">
        <v>821</v>
      </c>
      <c r="G435" s="386">
        <v>2.0</v>
      </c>
      <c r="H435" s="74">
        <v>270000.0</v>
      </c>
      <c r="I435" s="74">
        <v>100000.0</v>
      </c>
      <c r="J435" s="60">
        <f t="shared" si="1"/>
        <v>45934</v>
      </c>
      <c r="K435" s="74">
        <f>if(F435="SERVICE",O435-(O435*50%),Vlookup(F435,DATABASE!C:Q,10,false)*G435)</f>
        <v>0</v>
      </c>
      <c r="L435" s="74">
        <f>VLOOKUP(F435,DATABASE!C:Q,7,FALSE)</f>
        <v>43500</v>
      </c>
      <c r="M435" s="74">
        <v>43520.0</v>
      </c>
      <c r="N435" s="74">
        <f t="shared" si="8"/>
        <v>45000</v>
      </c>
      <c r="O435" s="74">
        <f t="shared" si="3"/>
        <v>540000</v>
      </c>
      <c r="P435" s="63">
        <f t="shared" si="4"/>
        <v>200000</v>
      </c>
      <c r="Q435" s="63">
        <f t="shared" si="5"/>
        <v>110000</v>
      </c>
      <c r="R435" s="93" t="str">
        <f>VLOOKUP(F435,DATABASE!C:Q,4,false)</f>
        <v>Flap</v>
      </c>
      <c r="S435" s="93" t="str">
        <f>VLOOKUP(F435,DATABASE!C:P,11,false)</f>
        <v>Tire</v>
      </c>
      <c r="T435" s="93" t="str">
        <f>vlookup(F435,DATABASE!C:Q,8,false)</f>
        <v>BIAN</v>
      </c>
      <c r="Y435" s="81"/>
      <c r="Z435" s="9"/>
    </row>
    <row r="436" ht="22.5" customHeight="1">
      <c r="A436" s="49"/>
      <c r="C436" s="384">
        <v>45904.0</v>
      </c>
      <c r="D436" s="93">
        <v>45904.0</v>
      </c>
      <c r="E436" s="65" t="s">
        <v>1013</v>
      </c>
      <c r="F436" s="74" t="s">
        <v>955</v>
      </c>
      <c r="G436" s="386">
        <v>2.0</v>
      </c>
      <c r="H436" s="74">
        <v>85000.0</v>
      </c>
      <c r="I436" s="74">
        <v>835000.0</v>
      </c>
      <c r="J436" s="60">
        <f t="shared" si="1"/>
        <v>45934</v>
      </c>
      <c r="K436" s="74">
        <f>if(F436="SERVICE",O436-(O436*50%),Vlookup(F436,DATABASE!C:Q,10,false)*G436)</f>
        <v>0</v>
      </c>
      <c r="L436" s="74">
        <f>VLOOKUP(F436,DATABASE!C:Q,7,FALSE)</f>
        <v>712000</v>
      </c>
      <c r="M436" s="74">
        <v>674000.0</v>
      </c>
      <c r="N436" s="74">
        <f t="shared" si="8"/>
        <v>675000</v>
      </c>
      <c r="O436" s="74">
        <f t="shared" si="3"/>
        <v>170000</v>
      </c>
      <c r="P436" s="63">
        <f t="shared" si="4"/>
        <v>1670000</v>
      </c>
      <c r="Q436" s="63">
        <f t="shared" si="5"/>
        <v>320000</v>
      </c>
      <c r="R436" s="93" t="str">
        <f>VLOOKUP(F436,DATABASE!C:Q,4,false)</f>
        <v>Dunlop</v>
      </c>
      <c r="S436" s="93" t="str">
        <f>VLOOKUP(F436,DATABASE!C:P,11,false)</f>
        <v>Tire</v>
      </c>
      <c r="T436" s="93" t="str">
        <f>vlookup(F436,DATABASE!C:Q,8,false)</f>
        <v>IBU</v>
      </c>
      <c r="Y436" s="81"/>
      <c r="Z436" s="9"/>
    </row>
    <row r="437" ht="22.5" customHeight="1">
      <c r="A437" s="49"/>
      <c r="C437" s="384">
        <v>45904.0</v>
      </c>
      <c r="D437" s="93">
        <v>45904.0</v>
      </c>
      <c r="E437" s="65" t="s">
        <v>208</v>
      </c>
      <c r="F437" s="74" t="s">
        <v>1237</v>
      </c>
      <c r="G437" s="386">
        <v>1.0</v>
      </c>
      <c r="H437" s="74">
        <v>785000.0</v>
      </c>
      <c r="I437" s="74">
        <v>1315000.0</v>
      </c>
      <c r="J437" s="60">
        <f t="shared" si="1"/>
        <v>45934</v>
      </c>
      <c r="K437" s="74">
        <f>if(F437="SERVICE",O437-(O437*50%),Vlookup(F437,DATABASE!C:Q,10,false)*G437)</f>
        <v>0</v>
      </c>
      <c r="L437" s="74">
        <f>VLOOKUP(F437,DATABASE!C:Q,7,FALSE)</f>
        <v>1170353.16</v>
      </c>
      <c r="M437" s="74">
        <v>1113907.2</v>
      </c>
      <c r="N437" s="74">
        <f t="shared" si="8"/>
        <v>1115000</v>
      </c>
      <c r="O437" s="74">
        <f t="shared" si="3"/>
        <v>785000</v>
      </c>
      <c r="P437" s="63">
        <f t="shared" si="4"/>
        <v>1315000</v>
      </c>
      <c r="Q437" s="63">
        <f t="shared" si="5"/>
        <v>200000</v>
      </c>
      <c r="R437" s="93" t="str">
        <f>VLOOKUP(F437,DATABASE!C:Q,4,false)</f>
        <v>Bridgestone</v>
      </c>
      <c r="S437" s="93" t="str">
        <f>VLOOKUP(F437,DATABASE!C:P,11,false)</f>
        <v>Tire</v>
      </c>
      <c r="T437" s="93" t="str">
        <f>vlookup(F437,DATABASE!C:Q,8,false)</f>
        <v>IBU</v>
      </c>
      <c r="Y437" s="81"/>
      <c r="Z437" s="9"/>
    </row>
    <row r="438" ht="22.5" customHeight="1">
      <c r="A438" s="49"/>
      <c r="C438" s="384">
        <v>45905.0</v>
      </c>
      <c r="D438" s="93">
        <v>45905.0</v>
      </c>
      <c r="E438" s="65" t="s">
        <v>1013</v>
      </c>
      <c r="F438" s="74" t="s">
        <v>1002</v>
      </c>
      <c r="G438" s="386">
        <v>1.0</v>
      </c>
      <c r="H438" s="74">
        <v>1235000.0</v>
      </c>
      <c r="I438" s="74">
        <v>1650000.0</v>
      </c>
      <c r="J438" s="60">
        <f t="shared" si="1"/>
        <v>45935</v>
      </c>
      <c r="K438" s="74">
        <f>if(F438="SERVICE",O438-(O438*50%),Vlookup(F438,DATABASE!C:Q,10,false)*G438)</f>
        <v>0</v>
      </c>
      <c r="L438" s="74">
        <f>VLOOKUP(F438,DATABASE!C:Q,7,FALSE)</f>
        <v>1447000</v>
      </c>
      <c r="M438" s="74">
        <v>1447000.0</v>
      </c>
      <c r="N438" s="74">
        <f t="shared" si="8"/>
        <v>1450000</v>
      </c>
      <c r="O438" s="74">
        <f t="shared" si="3"/>
        <v>1235000</v>
      </c>
      <c r="P438" s="63">
        <f t="shared" si="4"/>
        <v>1650000</v>
      </c>
      <c r="Q438" s="63">
        <f t="shared" si="5"/>
        <v>200000</v>
      </c>
      <c r="R438" s="93" t="str">
        <f>VLOOKUP(F438,DATABASE!C:Q,4,false)</f>
        <v>Dunlop</v>
      </c>
      <c r="S438" s="93" t="str">
        <f>VLOOKUP(F438,DATABASE!C:P,11,false)</f>
        <v>Tire</v>
      </c>
      <c r="T438" s="93" t="str">
        <f>vlookup(F438,DATABASE!C:Q,8,false)</f>
        <v>IBU</v>
      </c>
      <c r="Y438" s="81"/>
      <c r="Z438" s="9"/>
    </row>
    <row r="439" ht="22.5" customHeight="1">
      <c r="A439" s="49"/>
      <c r="C439" s="384">
        <v>45905.0</v>
      </c>
      <c r="D439" s="93">
        <v>45905.0</v>
      </c>
      <c r="E439" s="65" t="s">
        <v>1013</v>
      </c>
      <c r="F439" s="74" t="s">
        <v>764</v>
      </c>
      <c r="G439" s="386">
        <v>1.0</v>
      </c>
      <c r="H439" s="74">
        <v>1550000.0</v>
      </c>
      <c r="I439" s="74">
        <v>200000.0</v>
      </c>
      <c r="J439" s="60">
        <f t="shared" si="1"/>
        <v>45935</v>
      </c>
      <c r="K439" s="74">
        <f>if(F439="SERVICE",O439-(O439*50%),Vlookup(F439,DATABASE!C:Q,10,false)*G439)</f>
        <v>0</v>
      </c>
      <c r="L439" s="74">
        <f>VLOOKUP(F439,DATABASE!C:Q,7,FALSE)</f>
        <v>145000</v>
      </c>
      <c r="M439" s="74">
        <v>145000.0</v>
      </c>
      <c r="N439" s="74">
        <f t="shared" si="8"/>
        <v>145000</v>
      </c>
      <c r="O439" s="74">
        <f t="shared" si="3"/>
        <v>1550000</v>
      </c>
      <c r="P439" s="63">
        <f t="shared" si="4"/>
        <v>200000</v>
      </c>
      <c r="Q439" s="63">
        <f t="shared" si="5"/>
        <v>55000</v>
      </c>
      <c r="R439" s="93" t="str">
        <f>VLOOKUP(F439,DATABASE!C:Q,4,false)</f>
        <v>BD</v>
      </c>
      <c r="S439" s="93" t="str">
        <f>VLOOKUP(F439,DATABASE!C:P,11,false)</f>
        <v>Tire</v>
      </c>
      <c r="T439" s="93" t="str">
        <f>vlookup(F439,DATABASE!C:Q,8,false)</f>
        <v>BIAN</v>
      </c>
      <c r="Y439" s="81"/>
      <c r="Z439" s="9"/>
    </row>
    <row r="440" ht="22.5" customHeight="1">
      <c r="A440" s="49"/>
      <c r="C440" s="384">
        <v>45905.0</v>
      </c>
      <c r="D440" s="93">
        <v>45905.0</v>
      </c>
      <c r="E440" s="65" t="s">
        <v>1013</v>
      </c>
      <c r="F440" s="74" t="s">
        <v>1743</v>
      </c>
      <c r="G440" s="386">
        <v>1.0</v>
      </c>
      <c r="H440" s="74">
        <v>200000.0</v>
      </c>
      <c r="I440" s="74">
        <v>75000.0</v>
      </c>
      <c r="J440" s="60">
        <f t="shared" si="1"/>
        <v>45935</v>
      </c>
      <c r="K440" s="74">
        <f>if(F440="SERVICE",O440-(O440*50%),Vlookup(F440,DATABASE!C:Q,10,false)*G440)</f>
        <v>0</v>
      </c>
      <c r="L440" s="74">
        <f>VLOOKUP(F440,DATABASE!C:Q,7,FALSE)</f>
        <v>45000</v>
      </c>
      <c r="M440" s="74">
        <v>45000.0</v>
      </c>
      <c r="N440" s="74">
        <f t="shared" si="8"/>
        <v>45000</v>
      </c>
      <c r="O440" s="74">
        <f t="shared" si="3"/>
        <v>200000</v>
      </c>
      <c r="P440" s="63">
        <f t="shared" si="4"/>
        <v>75000</v>
      </c>
      <c r="Q440" s="63">
        <f t="shared" si="5"/>
        <v>30000</v>
      </c>
      <c r="R440" s="93" t="str">
        <f>VLOOKUP(F440,DATABASE!C:Q,4,false)</f>
        <v>FLAP</v>
      </c>
      <c r="S440" s="93" t="str">
        <f>VLOOKUP(F440,DATABASE!C:P,11,false)</f>
        <v>Tire</v>
      </c>
      <c r="T440" s="93" t="str">
        <f>vlookup(F440,DATABASE!C:Q,8,false)</f>
        <v>BIAN</v>
      </c>
      <c r="Y440" s="81"/>
      <c r="Z440" s="9"/>
    </row>
    <row r="441" ht="22.5" customHeight="1">
      <c r="A441" s="49"/>
      <c r="C441" s="384">
        <v>45908.0</v>
      </c>
      <c r="D441" s="93">
        <v>45908.0</v>
      </c>
      <c r="E441" s="65" t="s">
        <v>74</v>
      </c>
      <c r="F441" s="74" t="s">
        <v>1361</v>
      </c>
      <c r="G441" s="386">
        <v>2.0</v>
      </c>
      <c r="H441" s="74">
        <v>750000.0</v>
      </c>
      <c r="I441" s="74">
        <v>1000000.0</v>
      </c>
      <c r="J441" s="60">
        <f t="shared" si="1"/>
        <v>45938</v>
      </c>
      <c r="K441" s="74">
        <f>if(F441="SERVICE",O441-(O441*50%),Vlookup(F441,DATABASE!C:Q,10,false)*G441)</f>
        <v>0</v>
      </c>
      <c r="L441" s="74">
        <f>VLOOKUP(F441,DATABASE!C:Q,7,FALSE)</f>
        <v>881000</v>
      </c>
      <c r="M441" s="74">
        <v>881000.0</v>
      </c>
      <c r="N441" s="74">
        <f t="shared" si="8"/>
        <v>885000</v>
      </c>
      <c r="O441" s="74">
        <f t="shared" si="3"/>
        <v>1500000</v>
      </c>
      <c r="P441" s="63">
        <f t="shared" si="4"/>
        <v>2000000</v>
      </c>
      <c r="Q441" s="63">
        <f t="shared" si="5"/>
        <v>230000</v>
      </c>
      <c r="R441" s="93" t="str">
        <f>VLOOKUP(F441,DATABASE!C:Q,4,false)</f>
        <v>Dunlop</v>
      </c>
      <c r="S441" s="93" t="str">
        <f>VLOOKUP(F441,DATABASE!C:P,11,false)</f>
        <v>Tire</v>
      </c>
      <c r="T441" s="93" t="str">
        <f>vlookup(F441,DATABASE!C:Q,8,false)</f>
        <v>IBU</v>
      </c>
      <c r="Y441" s="81"/>
      <c r="Z441" s="9"/>
    </row>
    <row r="442" ht="22.5" customHeight="1">
      <c r="A442" s="49"/>
      <c r="C442" s="384">
        <v>45908.0</v>
      </c>
      <c r="D442" s="93">
        <v>45908.0</v>
      </c>
      <c r="E442" s="65" t="s">
        <v>901</v>
      </c>
      <c r="F442" s="74" t="s">
        <v>1862</v>
      </c>
      <c r="G442" s="386">
        <v>2.0</v>
      </c>
      <c r="H442" s="74">
        <v>980000.0</v>
      </c>
      <c r="I442" s="74">
        <v>2250000.0</v>
      </c>
      <c r="J442" s="60">
        <f t="shared" si="1"/>
        <v>45938</v>
      </c>
      <c r="K442" s="74">
        <f>if(F442="SERVICE",O442-(O442*50%),Vlookup(F442,DATABASE!C:Q,10,false)*G442)</f>
        <v>0</v>
      </c>
      <c r="L442" s="74">
        <f>VLOOKUP(F442,DATABASE!C:Q,7,FALSE)</f>
        <v>2080000</v>
      </c>
      <c r="M442" s="74">
        <v>2050000.0</v>
      </c>
      <c r="N442" s="74">
        <f t="shared" si="8"/>
        <v>2050000</v>
      </c>
      <c r="O442" s="74">
        <f t="shared" si="3"/>
        <v>1960000</v>
      </c>
      <c r="P442" s="63">
        <f t="shared" si="4"/>
        <v>4500000</v>
      </c>
      <c r="Q442" s="63">
        <f t="shared" si="5"/>
        <v>400000</v>
      </c>
      <c r="R442" s="93" t="str">
        <f>VLOOKUP(F442,DATABASE!C:Q,4,false)</f>
        <v>GiTi</v>
      </c>
      <c r="S442" s="93" t="str">
        <f>VLOOKUP(F442,DATABASE!C:P,11,false)</f>
        <v>Tire</v>
      </c>
      <c r="T442" s="93" t="str">
        <f>vlookup(F442,DATABASE!C:Q,8,false)</f>
        <v>BIAN</v>
      </c>
      <c r="Y442" s="81"/>
      <c r="Z442" s="9"/>
    </row>
    <row r="443" ht="22.5" customHeight="1">
      <c r="A443" s="49"/>
      <c r="C443" s="384">
        <v>45909.0</v>
      </c>
      <c r="D443" s="93">
        <v>45909.0</v>
      </c>
      <c r="E443" s="65" t="s">
        <v>641</v>
      </c>
      <c r="F443" s="74" t="s">
        <v>391</v>
      </c>
      <c r="G443" s="386">
        <v>2.0</v>
      </c>
      <c r="H443" s="74">
        <v>2150000.0</v>
      </c>
      <c r="I443" s="74">
        <v>2150000.0</v>
      </c>
      <c r="J443" s="60">
        <f t="shared" si="1"/>
        <v>45939</v>
      </c>
      <c r="K443" s="74">
        <f>if(F443="SERVICE",O443-(O443*50%),Vlookup(F443,DATABASE!C:Q,10,false)*G443)</f>
        <v>0</v>
      </c>
      <c r="L443" s="74">
        <f>VLOOKUP(F443,DATABASE!C:Q,7,FALSE)</f>
        <v>1885000</v>
      </c>
      <c r="M443" s="74">
        <v>1840000.0</v>
      </c>
      <c r="N443" s="74">
        <f t="shared" si="8"/>
        <v>1840000</v>
      </c>
      <c r="O443" s="74">
        <f t="shared" si="3"/>
        <v>4300000</v>
      </c>
      <c r="P443" s="63">
        <f t="shared" si="4"/>
        <v>4300000</v>
      </c>
      <c r="Q443" s="63">
        <f t="shared" si="5"/>
        <v>620000</v>
      </c>
      <c r="R443" s="93" t="str">
        <f>VLOOKUP(F443,DATABASE!C:Q,4,false)</f>
        <v>Advance</v>
      </c>
      <c r="S443" s="93" t="str">
        <f>VLOOKUP(F443,DATABASE!C:P,11,false)</f>
        <v>Tire</v>
      </c>
      <c r="T443" s="93" t="str">
        <f>vlookup(F443,DATABASE!C:Q,8,false)</f>
        <v>BIAN</v>
      </c>
      <c r="Y443" s="81"/>
      <c r="Z443" s="9"/>
    </row>
    <row r="444" ht="22.5" customHeight="1">
      <c r="A444" s="49"/>
      <c r="C444" s="384">
        <v>45909.0</v>
      </c>
      <c r="D444" s="93">
        <v>45909.0</v>
      </c>
      <c r="E444" s="65" t="s">
        <v>264</v>
      </c>
      <c r="F444" s="74" t="s">
        <v>924</v>
      </c>
      <c r="G444" s="386">
        <v>2.0</v>
      </c>
      <c r="H444" s="74">
        <v>1950000.0</v>
      </c>
      <c r="I444" s="74">
        <v>1750000.0</v>
      </c>
      <c r="J444" s="60">
        <f t="shared" si="1"/>
        <v>45939</v>
      </c>
      <c r="K444" s="74">
        <f>if(F444="SERVICE",O444-(O444*50%),Vlookup(F444,DATABASE!C:Q,10,false)*G444)</f>
        <v>0</v>
      </c>
      <c r="L444" s="74">
        <f>VLOOKUP(F444,DATABASE!C:Q,7,FALSE)</f>
        <v>1560000</v>
      </c>
      <c r="M444" s="74">
        <v>1545000.0</v>
      </c>
      <c r="N444" s="74">
        <f t="shared" si="8"/>
        <v>1545000</v>
      </c>
      <c r="O444" s="74">
        <f t="shared" si="3"/>
        <v>3900000</v>
      </c>
      <c r="P444" s="63">
        <f t="shared" si="4"/>
        <v>3500000</v>
      </c>
      <c r="Q444" s="63">
        <f t="shared" si="5"/>
        <v>410000</v>
      </c>
      <c r="R444" s="93" t="str">
        <f>VLOOKUP(F444,DATABASE!C:Q,4,false)</f>
        <v>TIRON</v>
      </c>
      <c r="S444" s="93" t="str">
        <f>VLOOKUP(F444,DATABASE!C:P,11,false)</f>
        <v>Tire</v>
      </c>
      <c r="T444" s="93" t="str">
        <f>vlookup(F444,DATABASE!C:Q,8,false)</f>
        <v>BIAN</v>
      </c>
      <c r="Y444" s="81"/>
      <c r="Z444" s="9"/>
    </row>
    <row r="445" ht="22.5" customHeight="1">
      <c r="A445" s="49"/>
      <c r="C445" s="384">
        <v>45909.0</v>
      </c>
      <c r="D445" s="93">
        <v>45909.0</v>
      </c>
      <c r="E445" s="65" t="s">
        <v>583</v>
      </c>
      <c r="F445" s="74" t="s">
        <v>897</v>
      </c>
      <c r="G445" s="386">
        <v>2.0</v>
      </c>
      <c r="H445" s="74">
        <v>1650000.0</v>
      </c>
      <c r="I445" s="74">
        <v>1700000.0</v>
      </c>
      <c r="J445" s="60">
        <f t="shared" si="1"/>
        <v>45939</v>
      </c>
      <c r="K445" s="74">
        <f>if(F445="SERVICE",O445-(O445*50%),Vlookup(F445,DATABASE!C:Q,10,false)*G445)</f>
        <v>0</v>
      </c>
      <c r="L445" s="74">
        <f>VLOOKUP(F445,DATABASE!C:Q,7,FALSE)</f>
        <v>1560000</v>
      </c>
      <c r="M445" s="74">
        <v>1500000.0</v>
      </c>
      <c r="N445" s="74">
        <f t="shared" si="8"/>
        <v>1500000</v>
      </c>
      <c r="O445" s="74">
        <f t="shared" si="3"/>
        <v>3300000</v>
      </c>
      <c r="P445" s="63">
        <f t="shared" si="4"/>
        <v>3400000</v>
      </c>
      <c r="Q445" s="63">
        <f t="shared" si="5"/>
        <v>400000</v>
      </c>
      <c r="R445" s="93" t="str">
        <f>VLOOKUP(F445,DATABASE!C:Q,4,false)</f>
        <v>GT</v>
      </c>
      <c r="S445" s="93" t="str">
        <f>VLOOKUP(F445,DATABASE!C:P,11,false)</f>
        <v>Tire</v>
      </c>
      <c r="T445" s="93" t="str">
        <f>vlookup(F445,DATABASE!C:Q,8,false)</f>
        <v>BIAN</v>
      </c>
      <c r="Y445" s="81"/>
      <c r="Z445" s="9"/>
    </row>
    <row r="446" ht="22.5" customHeight="1">
      <c r="A446" s="49"/>
      <c r="C446" s="384">
        <v>45909.0</v>
      </c>
      <c r="D446" s="93">
        <v>45909.0</v>
      </c>
      <c r="E446" s="65" t="s">
        <v>583</v>
      </c>
      <c r="F446" s="74" t="s">
        <v>1743</v>
      </c>
      <c r="G446" s="386">
        <v>2.0</v>
      </c>
      <c r="H446" s="74">
        <v>1600000.0</v>
      </c>
      <c r="I446" s="74">
        <v>85000.0</v>
      </c>
      <c r="J446" s="60">
        <f t="shared" si="1"/>
        <v>45939</v>
      </c>
      <c r="K446" s="74">
        <f>if(F446="SERVICE",O446-(O446*50%),Vlookup(F446,DATABASE!C:Q,10,false)*G446)</f>
        <v>0</v>
      </c>
      <c r="L446" s="74">
        <f>VLOOKUP(F446,DATABASE!C:Q,7,FALSE)</f>
        <v>45000</v>
      </c>
      <c r="M446" s="74">
        <v>45000.0</v>
      </c>
      <c r="N446" s="74">
        <f t="shared" si="8"/>
        <v>45000</v>
      </c>
      <c r="O446" s="74">
        <f t="shared" si="3"/>
        <v>3200000</v>
      </c>
      <c r="P446" s="63">
        <f t="shared" si="4"/>
        <v>170000</v>
      </c>
      <c r="Q446" s="63">
        <f t="shared" si="5"/>
        <v>80000</v>
      </c>
      <c r="R446" s="93" t="str">
        <f>VLOOKUP(F446,DATABASE!C:Q,4,false)</f>
        <v>FLAP</v>
      </c>
      <c r="S446" s="93" t="str">
        <f>VLOOKUP(F446,DATABASE!C:P,11,false)</f>
        <v>Tire</v>
      </c>
      <c r="T446" s="93" t="str">
        <f>vlookup(F446,DATABASE!C:Q,8,false)</f>
        <v>BIAN</v>
      </c>
      <c r="Y446" s="81"/>
      <c r="Z446" s="9"/>
    </row>
    <row r="447" ht="22.5" customHeight="1">
      <c r="A447" s="49"/>
      <c r="C447" s="384">
        <v>45910.0</v>
      </c>
      <c r="D447" s="93">
        <v>45910.0</v>
      </c>
      <c r="E447" s="65" t="s">
        <v>422</v>
      </c>
      <c r="F447" s="74" t="s">
        <v>374</v>
      </c>
      <c r="G447" s="386">
        <v>2.0</v>
      </c>
      <c r="H447" s="74">
        <v>75000.0</v>
      </c>
      <c r="I447" s="74">
        <v>2050000.0</v>
      </c>
      <c r="J447" s="60">
        <f t="shared" si="1"/>
        <v>45940</v>
      </c>
      <c r="K447" s="74">
        <f>if(F447="SERVICE",O447-(O447*50%),Vlookup(F447,DATABASE!C:Q,10,false)*G447)</f>
        <v>0</v>
      </c>
      <c r="L447" s="74">
        <f>VLOOKUP(F447,DATABASE!C:Q,7,FALSE)</f>
        <v>1980000</v>
      </c>
      <c r="M447" s="74">
        <v>1850000.0</v>
      </c>
      <c r="N447" s="74">
        <f t="shared" si="8"/>
        <v>1850000</v>
      </c>
      <c r="O447" s="74">
        <f t="shared" si="3"/>
        <v>150000</v>
      </c>
      <c r="P447" s="63">
        <f t="shared" si="4"/>
        <v>4100000</v>
      </c>
      <c r="Q447" s="63">
        <f t="shared" si="5"/>
        <v>400000</v>
      </c>
      <c r="R447" s="93" t="str">
        <f>VLOOKUP(F447,DATABASE!C:Q,4,false)</f>
        <v>Advance</v>
      </c>
      <c r="S447" s="93" t="str">
        <f>VLOOKUP(F447,DATABASE!C:P,11,false)</f>
        <v>Tire</v>
      </c>
      <c r="T447" s="93" t="str">
        <f>vlookup(F447,DATABASE!C:Q,8,false)</f>
        <v>BIAN</v>
      </c>
      <c r="Y447" s="81"/>
      <c r="Z447" s="9"/>
    </row>
    <row r="448" ht="22.5" customHeight="1">
      <c r="A448" s="49"/>
      <c r="C448" s="384">
        <v>45910.0</v>
      </c>
      <c r="D448" s="93">
        <v>45910.0</v>
      </c>
      <c r="E448" s="65" t="s">
        <v>264</v>
      </c>
      <c r="F448" s="74" t="s">
        <v>647</v>
      </c>
      <c r="G448" s="386">
        <v>2.0</v>
      </c>
      <c r="H448" s="74">
        <v>1950000.0</v>
      </c>
      <c r="I448" s="74">
        <v>1620000.0</v>
      </c>
      <c r="J448" s="60">
        <f t="shared" si="1"/>
        <v>45940</v>
      </c>
      <c r="K448" s="74">
        <f>if(F448="SERVICE",O448-(O448*50%),Vlookup(F448,DATABASE!C:Q,10,false)*G448)</f>
        <v>0</v>
      </c>
      <c r="L448" s="74">
        <f>VLOOKUP(F448,DATABASE!C:Q,7,FALSE)</f>
        <v>1420000</v>
      </c>
      <c r="M448" s="74">
        <v>1420000.0</v>
      </c>
      <c r="N448" s="74">
        <f t="shared" si="8"/>
        <v>1420000</v>
      </c>
      <c r="O448" s="74">
        <f t="shared" si="3"/>
        <v>3900000</v>
      </c>
      <c r="P448" s="63">
        <f t="shared" si="4"/>
        <v>3240000</v>
      </c>
      <c r="Q448" s="63">
        <f t="shared" si="5"/>
        <v>400000</v>
      </c>
      <c r="R448" s="93" t="str">
        <f>VLOOKUP(F448,DATABASE!C:Q,4,false)</f>
        <v>G. YEAR</v>
      </c>
      <c r="S448" s="93" t="str">
        <f>VLOOKUP(F448,DATABASE!C:P,11,false)</f>
        <v>Tire</v>
      </c>
      <c r="T448" s="93" t="str">
        <f>vlookup(F448,DATABASE!C:Q,8,false)</f>
        <v>BIAN</v>
      </c>
      <c r="Y448" s="81"/>
      <c r="Z448" s="9"/>
    </row>
    <row r="449" ht="22.5" customHeight="1">
      <c r="A449" s="49"/>
      <c r="C449" s="384">
        <v>45910.0</v>
      </c>
      <c r="D449" s="93">
        <v>45910.0</v>
      </c>
      <c r="E449" s="65" t="s">
        <v>264</v>
      </c>
      <c r="F449" s="74" t="s">
        <v>770</v>
      </c>
      <c r="G449" s="386">
        <v>2.0</v>
      </c>
      <c r="H449" s="74">
        <v>1520000.0</v>
      </c>
      <c r="I449" s="74">
        <v>180000.0</v>
      </c>
      <c r="J449" s="60">
        <f t="shared" si="1"/>
        <v>45940</v>
      </c>
      <c r="K449" s="74">
        <f>if(F449="SERVICE",O449-(O449*50%),Vlookup(F449,DATABASE!C:Q,10,false)*G449)</f>
        <v>0</v>
      </c>
      <c r="L449" s="74">
        <f>VLOOKUP(F449,DATABASE!C:Q,7,FALSE)</f>
        <v>145180</v>
      </c>
      <c r="M449" s="74">
        <v>145180.0</v>
      </c>
      <c r="N449" s="74">
        <f t="shared" si="8"/>
        <v>150000</v>
      </c>
      <c r="O449" s="74">
        <f t="shared" si="3"/>
        <v>3040000</v>
      </c>
      <c r="P449" s="63">
        <f t="shared" si="4"/>
        <v>360000</v>
      </c>
      <c r="Q449" s="63">
        <f t="shared" si="5"/>
        <v>60000</v>
      </c>
      <c r="R449" s="93" t="str">
        <f>VLOOKUP(F449,DATABASE!C:Q,4,false)</f>
        <v>BD</v>
      </c>
      <c r="S449" s="93" t="str">
        <f>VLOOKUP(F449,DATABASE!C:P,11,false)</f>
        <v>Tire</v>
      </c>
      <c r="T449" s="93" t="str">
        <f>vlookup(F449,DATABASE!C:Q,8,false)</f>
        <v>BIAN</v>
      </c>
      <c r="Y449" s="81"/>
      <c r="Z449" s="9"/>
    </row>
    <row r="450" ht="22.5" customHeight="1">
      <c r="A450" s="49"/>
      <c r="C450" s="384">
        <v>45910.0</v>
      </c>
      <c r="D450" s="93">
        <v>45910.0</v>
      </c>
      <c r="E450" s="65" t="s">
        <v>264</v>
      </c>
      <c r="F450" s="74" t="s">
        <v>1749</v>
      </c>
      <c r="G450" s="386">
        <v>2.0</v>
      </c>
      <c r="H450" s="74">
        <v>180000.0</v>
      </c>
      <c r="I450" s="74">
        <v>100000.0</v>
      </c>
      <c r="J450" s="60">
        <f t="shared" si="1"/>
        <v>45940</v>
      </c>
      <c r="K450" s="74">
        <f>if(F450="SERVICE",O450-(O450*50%),Vlookup(F450,DATABASE!C:Q,10,false)*G450)</f>
        <v>0</v>
      </c>
      <c r="L450" s="74">
        <f>VLOOKUP(F450,DATABASE!C:Q,7,FALSE)</f>
        <v>40350</v>
      </c>
      <c r="M450" s="74">
        <v>40350.0</v>
      </c>
      <c r="N450" s="74">
        <f t="shared" si="8"/>
        <v>45000</v>
      </c>
      <c r="O450" s="74">
        <f t="shared" si="3"/>
        <v>360000</v>
      </c>
      <c r="P450" s="63">
        <f t="shared" si="4"/>
        <v>200000</v>
      </c>
      <c r="Q450" s="63">
        <f t="shared" si="5"/>
        <v>110000</v>
      </c>
      <c r="R450" s="93" t="str">
        <f>VLOOKUP(F450,DATABASE!C:Q,4,false)</f>
        <v>Flap</v>
      </c>
      <c r="S450" s="93" t="str">
        <f>VLOOKUP(F450,DATABASE!C:P,11,false)</f>
        <v>Tire</v>
      </c>
      <c r="T450" s="93" t="str">
        <f>vlookup(F450,DATABASE!C:Q,8,false)</f>
        <v>BIAN</v>
      </c>
      <c r="Y450" s="81"/>
      <c r="Z450" s="9"/>
    </row>
    <row r="451" ht="22.5" customHeight="1">
      <c r="A451" s="49"/>
      <c r="C451" s="384">
        <v>45912.0</v>
      </c>
      <c r="D451" s="93">
        <v>45912.0</v>
      </c>
      <c r="E451" s="65" t="s">
        <v>267</v>
      </c>
      <c r="F451" s="74" t="s">
        <v>647</v>
      </c>
      <c r="G451" s="386">
        <v>2.0</v>
      </c>
      <c r="H451" s="74">
        <v>1520000.0</v>
      </c>
      <c r="I451" s="74">
        <v>1620000.0</v>
      </c>
      <c r="J451" s="60">
        <f t="shared" si="1"/>
        <v>45942</v>
      </c>
      <c r="K451" s="74">
        <f>if(F451="SERVICE",O451-(O451*50%),Vlookup(F451,DATABASE!C:Q,10,false)*G451)</f>
        <v>0</v>
      </c>
      <c r="L451" s="74">
        <f>VLOOKUP(F451,DATABASE!C:Q,7,FALSE)</f>
        <v>1420000</v>
      </c>
      <c r="M451" s="74">
        <v>1420000.0</v>
      </c>
      <c r="N451" s="74">
        <f t="shared" si="8"/>
        <v>1420000</v>
      </c>
      <c r="O451" s="74">
        <f t="shared" si="3"/>
        <v>3040000</v>
      </c>
      <c r="P451" s="63">
        <f t="shared" si="4"/>
        <v>3240000</v>
      </c>
      <c r="Q451" s="63">
        <f t="shared" si="5"/>
        <v>400000</v>
      </c>
      <c r="R451" s="93" t="str">
        <f>VLOOKUP(F451,DATABASE!C:Q,4,false)</f>
        <v>G. YEAR</v>
      </c>
      <c r="S451" s="93" t="str">
        <f>VLOOKUP(F451,DATABASE!C:P,11,false)</f>
        <v>Tire</v>
      </c>
      <c r="T451" s="93" t="str">
        <f>vlookup(F451,DATABASE!C:Q,8,false)</f>
        <v>BIAN</v>
      </c>
      <c r="Y451" s="81"/>
      <c r="Z451" s="9"/>
    </row>
    <row r="452" ht="22.5" customHeight="1">
      <c r="A452" s="49"/>
      <c r="C452" s="384">
        <v>45912.0</v>
      </c>
      <c r="D452" s="93">
        <v>45912.0</v>
      </c>
      <c r="E452" s="65" t="s">
        <v>267</v>
      </c>
      <c r="F452" s="74" t="s">
        <v>744</v>
      </c>
      <c r="G452" s="386">
        <v>2.0</v>
      </c>
      <c r="H452" s="74">
        <v>230000.0</v>
      </c>
      <c r="I452" s="74">
        <v>250000.0</v>
      </c>
      <c r="J452" s="60">
        <f t="shared" si="1"/>
        <v>45942</v>
      </c>
      <c r="K452" s="74">
        <f>if(F452="SERVICE",O452-(O452*50%),Vlookup(F452,DATABASE!C:Q,10,false)*G452)</f>
        <v>0</v>
      </c>
      <c r="L452" s="74">
        <f>VLOOKUP(F452,DATABASE!C:Q,7,FALSE)</f>
        <v>182200</v>
      </c>
      <c r="M452" s="74">
        <v>199920.0</v>
      </c>
      <c r="N452" s="74">
        <f t="shared" si="8"/>
        <v>200000</v>
      </c>
      <c r="O452" s="74">
        <f t="shared" si="3"/>
        <v>460000</v>
      </c>
      <c r="P452" s="63">
        <f t="shared" si="4"/>
        <v>500000</v>
      </c>
      <c r="Q452" s="63">
        <f t="shared" si="5"/>
        <v>100000</v>
      </c>
      <c r="R452" s="93" t="str">
        <f>VLOOKUP(F452,DATABASE!C:Q,4,false)</f>
        <v>BD</v>
      </c>
      <c r="S452" s="93" t="str">
        <f>VLOOKUP(F452,DATABASE!C:P,11,false)</f>
        <v>Tire</v>
      </c>
      <c r="T452" s="93" t="str">
        <f>vlookup(F452,DATABASE!C:Q,8,false)</f>
        <v>BIAN</v>
      </c>
      <c r="Y452" s="81"/>
      <c r="Z452" s="9"/>
    </row>
    <row r="453" ht="22.5" customHeight="1">
      <c r="A453" s="49"/>
      <c r="C453" s="384">
        <v>45912.0</v>
      </c>
      <c r="D453" s="93">
        <v>45912.0</v>
      </c>
      <c r="E453" s="65" t="s">
        <v>267</v>
      </c>
      <c r="F453" s="74" t="s">
        <v>821</v>
      </c>
      <c r="G453" s="386">
        <v>2.0</v>
      </c>
      <c r="H453" s="74">
        <v>85000.0</v>
      </c>
      <c r="I453" s="74">
        <v>100000.0</v>
      </c>
      <c r="J453" s="60">
        <f t="shared" si="1"/>
        <v>45942</v>
      </c>
      <c r="K453" s="74">
        <f>if(F453="SERVICE",O453-(O453*50%),Vlookup(F453,DATABASE!C:Q,10,false)*G453)</f>
        <v>0</v>
      </c>
      <c r="L453" s="74">
        <f>VLOOKUP(F453,DATABASE!C:Q,7,FALSE)</f>
        <v>43500</v>
      </c>
      <c r="M453" s="74">
        <v>43520.0</v>
      </c>
      <c r="N453" s="74">
        <f t="shared" si="8"/>
        <v>45000</v>
      </c>
      <c r="O453" s="74">
        <f t="shared" si="3"/>
        <v>170000</v>
      </c>
      <c r="P453" s="63">
        <f t="shared" si="4"/>
        <v>200000</v>
      </c>
      <c r="Q453" s="63">
        <f t="shared" si="5"/>
        <v>110000</v>
      </c>
      <c r="R453" s="93" t="str">
        <f>VLOOKUP(F453,DATABASE!C:Q,4,false)</f>
        <v>Flap</v>
      </c>
      <c r="S453" s="93" t="str">
        <f>VLOOKUP(F453,DATABASE!C:P,11,false)</f>
        <v>Tire</v>
      </c>
      <c r="T453" s="93" t="str">
        <f>vlookup(F453,DATABASE!C:Q,8,false)</f>
        <v>BIAN</v>
      </c>
      <c r="Y453" s="81"/>
      <c r="Z453" s="9"/>
    </row>
    <row r="454" ht="22.5" customHeight="1">
      <c r="A454" s="49"/>
      <c r="C454" s="384">
        <v>45912.0</v>
      </c>
      <c r="D454" s="93">
        <v>45912.0</v>
      </c>
      <c r="E454" s="65" t="s">
        <v>267</v>
      </c>
      <c r="F454" s="74" t="s">
        <v>403</v>
      </c>
      <c r="G454" s="386">
        <v>2.0</v>
      </c>
      <c r="H454" s="74">
        <v>2260000.0</v>
      </c>
      <c r="I454" s="74">
        <v>2360000.0</v>
      </c>
      <c r="J454" s="60">
        <f t="shared" si="1"/>
        <v>45942</v>
      </c>
      <c r="K454" s="74">
        <f>if(F454="SERVICE",O454-(O454*50%),Vlookup(F454,DATABASE!C:Q,10,false)*G454)</f>
        <v>0</v>
      </c>
      <c r="L454" s="74">
        <f>VLOOKUP(F454,DATABASE!C:Q,7,FALSE)</f>
        <v>2160000</v>
      </c>
      <c r="M454" s="74">
        <v>2160000.0</v>
      </c>
      <c r="N454" s="74">
        <f t="shared" si="8"/>
        <v>2160000</v>
      </c>
      <c r="O454" s="74">
        <f t="shared" si="3"/>
        <v>4520000</v>
      </c>
      <c r="P454" s="63">
        <f t="shared" si="4"/>
        <v>4720000</v>
      </c>
      <c r="Q454" s="63">
        <f t="shared" si="5"/>
        <v>400000</v>
      </c>
      <c r="R454" s="93" t="str">
        <f>VLOOKUP(F454,DATABASE!C:Q,4,false)</f>
        <v>Advance</v>
      </c>
      <c r="S454" s="93" t="str">
        <f>VLOOKUP(F454,DATABASE!C:P,11,false)</f>
        <v>Tire</v>
      </c>
      <c r="T454" s="93" t="str">
        <f>vlookup(F454,DATABASE!C:Q,8,false)</f>
        <v>BIAN</v>
      </c>
      <c r="Y454" s="81"/>
      <c r="Z454" s="9"/>
    </row>
    <row r="455" ht="22.5" customHeight="1">
      <c r="A455" s="49"/>
      <c r="C455" s="384">
        <v>45912.0</v>
      </c>
      <c r="D455" s="93">
        <v>45912.0</v>
      </c>
      <c r="E455" s="65" t="s">
        <v>735</v>
      </c>
      <c r="F455" s="74" t="s">
        <v>403</v>
      </c>
      <c r="G455" s="386">
        <v>2.0</v>
      </c>
      <c r="H455" s="74">
        <v>2260000.0</v>
      </c>
      <c r="I455" s="74">
        <v>2360000.0</v>
      </c>
      <c r="J455" s="60">
        <f t="shared" si="1"/>
        <v>45942</v>
      </c>
      <c r="K455" s="74">
        <f>if(F455="SERVICE",O455-(O455*50%),Vlookup(F455,DATABASE!C:Q,10,false)*G455)</f>
        <v>0</v>
      </c>
      <c r="L455" s="74">
        <f>VLOOKUP(F455,DATABASE!C:Q,7,FALSE)</f>
        <v>2160000</v>
      </c>
      <c r="M455" s="74">
        <v>2160000.0</v>
      </c>
      <c r="N455" s="74">
        <f t="shared" si="8"/>
        <v>2160000</v>
      </c>
      <c r="O455" s="74">
        <f t="shared" si="3"/>
        <v>4520000</v>
      </c>
      <c r="P455" s="63">
        <f t="shared" si="4"/>
        <v>4720000</v>
      </c>
      <c r="Q455" s="63">
        <f t="shared" si="5"/>
        <v>400000</v>
      </c>
      <c r="R455" s="93" t="str">
        <f>VLOOKUP(F455,DATABASE!C:Q,4,false)</f>
        <v>Advance</v>
      </c>
      <c r="S455" s="93" t="str">
        <f>VLOOKUP(F455,DATABASE!C:P,11,false)</f>
        <v>Tire</v>
      </c>
      <c r="T455" s="93" t="str">
        <f>vlookup(F455,DATABASE!C:Q,8,false)</f>
        <v>BIAN</v>
      </c>
      <c r="Y455" s="81"/>
      <c r="Z455" s="9"/>
    </row>
    <row r="456" ht="22.5" customHeight="1">
      <c r="A456" s="49"/>
      <c r="C456" s="384">
        <v>45912.0</v>
      </c>
      <c r="D456" s="93">
        <v>45912.0</v>
      </c>
      <c r="E456" s="65" t="s">
        <v>193</v>
      </c>
      <c r="F456" s="74" t="s">
        <v>255</v>
      </c>
      <c r="G456" s="386">
        <v>1.0</v>
      </c>
      <c r="H456" s="74">
        <v>200000.0</v>
      </c>
      <c r="I456" s="74">
        <v>220000.0</v>
      </c>
      <c r="J456" s="60">
        <f t="shared" si="1"/>
        <v>45942</v>
      </c>
      <c r="K456" s="74">
        <f>if(F456="SERVICE",O456-(O456*50%),Vlookup(F456,DATABASE!C:Q,10,false)*G456)</f>
        <v>0</v>
      </c>
      <c r="L456" s="74">
        <f>VLOOKUP(F456,DATABASE!C:Q,7,FALSE)</f>
        <v>161840</v>
      </c>
      <c r="M456" s="74">
        <v>161840.0</v>
      </c>
      <c r="N456" s="74">
        <f t="shared" si="8"/>
        <v>165000</v>
      </c>
      <c r="O456" s="74">
        <f t="shared" si="3"/>
        <v>200000</v>
      </c>
      <c r="P456" s="63">
        <f t="shared" si="4"/>
        <v>220000</v>
      </c>
      <c r="Q456" s="63">
        <f t="shared" si="5"/>
        <v>55000</v>
      </c>
      <c r="R456" s="93" t="str">
        <f>VLOOKUP(F456,DATABASE!C:Q,4,false)</f>
        <v>BD</v>
      </c>
      <c r="S456" s="93" t="str">
        <f>VLOOKUP(F456,DATABASE!C:P,11,false)</f>
        <v>Tire</v>
      </c>
      <c r="T456" s="93" t="str">
        <f>vlookup(F456,DATABASE!C:Q,8,false)</f>
        <v>BIAN</v>
      </c>
      <c r="Y456" s="81"/>
      <c r="Z456" s="9"/>
    </row>
    <row r="457" ht="22.5" customHeight="1">
      <c r="A457" s="49"/>
      <c r="C457" s="384">
        <v>45912.0</v>
      </c>
      <c r="D457" s="93">
        <v>45912.0</v>
      </c>
      <c r="E457" s="65" t="s">
        <v>193</v>
      </c>
      <c r="F457" s="74" t="s">
        <v>821</v>
      </c>
      <c r="G457" s="386">
        <v>1.0</v>
      </c>
      <c r="H457" s="74">
        <v>85000.0</v>
      </c>
      <c r="I457" s="74">
        <v>100000.0</v>
      </c>
      <c r="J457" s="60">
        <f t="shared" si="1"/>
        <v>45942</v>
      </c>
      <c r="K457" s="74">
        <f>if(F457="SERVICE",O457-(O457*50%),Vlookup(F457,DATABASE!C:Q,10,false)*G457)</f>
        <v>0</v>
      </c>
      <c r="L457" s="74">
        <f>VLOOKUP(F457,DATABASE!C:Q,7,FALSE)</f>
        <v>43500</v>
      </c>
      <c r="M457" s="74">
        <v>43520.0</v>
      </c>
      <c r="N457" s="74">
        <f t="shared" si="8"/>
        <v>45000</v>
      </c>
      <c r="O457" s="74">
        <f t="shared" si="3"/>
        <v>85000</v>
      </c>
      <c r="P457" s="63">
        <f t="shared" si="4"/>
        <v>100000</v>
      </c>
      <c r="Q457" s="63">
        <f t="shared" si="5"/>
        <v>55000</v>
      </c>
      <c r="R457" s="93" t="str">
        <f>VLOOKUP(F457,DATABASE!C:Q,4,false)</f>
        <v>Flap</v>
      </c>
      <c r="S457" s="93" t="str">
        <f>VLOOKUP(F457,DATABASE!C:P,11,false)</f>
        <v>Tire</v>
      </c>
      <c r="T457" s="93" t="str">
        <f>vlookup(F457,DATABASE!C:Q,8,false)</f>
        <v>BIAN</v>
      </c>
      <c r="Y457" s="81"/>
      <c r="Z457" s="9"/>
    </row>
    <row r="458" ht="22.5" customHeight="1">
      <c r="A458" s="49"/>
      <c r="C458" s="384">
        <v>45912.0</v>
      </c>
      <c r="D458" s="93">
        <v>45912.0</v>
      </c>
      <c r="E458" s="65" t="s">
        <v>761</v>
      </c>
      <c r="F458" s="74" t="s">
        <v>937</v>
      </c>
      <c r="G458" s="386">
        <v>1.0</v>
      </c>
      <c r="H458" s="74">
        <v>875000.0</v>
      </c>
      <c r="I458" s="74">
        <v>955000.0</v>
      </c>
      <c r="J458" s="60">
        <f t="shared" si="1"/>
        <v>45942</v>
      </c>
      <c r="K458" s="74">
        <f>if(F458="SERVICE",O458-(O458*50%),Vlookup(F458,DATABASE!C:Q,10,false)*G458)</f>
        <v>0</v>
      </c>
      <c r="L458" s="74">
        <f>VLOOKUP(F458,DATABASE!C:Q,7,FALSE)</f>
        <v>825000</v>
      </c>
      <c r="M458" s="74">
        <v>790000.0</v>
      </c>
      <c r="N458" s="74">
        <f t="shared" si="8"/>
        <v>790000</v>
      </c>
      <c r="O458" s="74">
        <f t="shared" si="3"/>
        <v>875000</v>
      </c>
      <c r="P458" s="63">
        <f t="shared" si="4"/>
        <v>955000</v>
      </c>
      <c r="Q458" s="63">
        <f t="shared" si="5"/>
        <v>165000</v>
      </c>
      <c r="R458" s="93" t="str">
        <f>VLOOKUP(F458,DATABASE!C:Q,4,false)</f>
        <v>Bridgestone</v>
      </c>
      <c r="S458" s="93" t="str">
        <f>VLOOKUP(F458,DATABASE!C:P,11,false)</f>
        <v>Tire</v>
      </c>
      <c r="T458" s="93" t="str">
        <f>vlookup(F458,DATABASE!C:Q,8,false)</f>
        <v>IBU</v>
      </c>
      <c r="Y458" s="81"/>
      <c r="Z458" s="9"/>
    </row>
    <row r="459" ht="22.5" customHeight="1">
      <c r="A459" s="49"/>
      <c r="C459" s="384">
        <v>45913.0</v>
      </c>
      <c r="D459" s="93">
        <v>45913.0</v>
      </c>
      <c r="E459" s="65" t="s">
        <v>991</v>
      </c>
      <c r="F459" s="74" t="s">
        <v>268</v>
      </c>
      <c r="G459" s="386">
        <v>1.0</v>
      </c>
      <c r="H459" s="74">
        <v>720000.0</v>
      </c>
      <c r="I459" s="74">
        <v>800000.0</v>
      </c>
      <c r="J459" s="60">
        <f t="shared" si="1"/>
        <v>45943</v>
      </c>
      <c r="K459" s="74">
        <f>if(F459="SERVICE",O459-(O459*50%),Vlookup(F459,DATABASE!C:Q,10,false)*G459)</f>
        <v>0</v>
      </c>
      <c r="L459" s="74">
        <f>VLOOKUP(F459,DATABASE!C:Q,7,FALSE)</f>
        <v>653000</v>
      </c>
      <c r="M459" s="74">
        <v>622000.0</v>
      </c>
      <c r="N459" s="74">
        <f t="shared" si="8"/>
        <v>625000</v>
      </c>
      <c r="O459" s="74">
        <f t="shared" si="3"/>
        <v>720000</v>
      </c>
      <c r="P459" s="63">
        <f t="shared" si="4"/>
        <v>800000</v>
      </c>
      <c r="Q459" s="63">
        <f t="shared" si="5"/>
        <v>175000</v>
      </c>
      <c r="R459" s="93" t="str">
        <f>VLOOKUP(F459,DATABASE!C:Q,4,false)</f>
        <v>Dunlop</v>
      </c>
      <c r="S459" s="93" t="str">
        <f>VLOOKUP(F459,DATABASE!C:P,11,false)</f>
        <v>Tire</v>
      </c>
      <c r="T459" s="93" t="str">
        <f>vlookup(F459,DATABASE!C:Q,8,false)</f>
        <v>IBU</v>
      </c>
      <c r="Y459" s="81"/>
      <c r="Z459" s="9"/>
    </row>
    <row r="460" ht="22.5" customHeight="1">
      <c r="A460" s="49"/>
      <c r="C460" s="384">
        <v>45913.0</v>
      </c>
      <c r="D460" s="93">
        <v>45913.0</v>
      </c>
      <c r="E460" s="65" t="s">
        <v>991</v>
      </c>
      <c r="F460" s="74" t="s">
        <v>256</v>
      </c>
      <c r="G460" s="386">
        <v>1.0</v>
      </c>
      <c r="H460" s="74">
        <v>130000.0</v>
      </c>
      <c r="I460" s="74">
        <v>130000.0</v>
      </c>
      <c r="J460" s="60">
        <f t="shared" si="1"/>
        <v>45943</v>
      </c>
      <c r="K460" s="74">
        <f>if(F460="SERVICE",O460-(O460*50%),Vlookup(F460,DATABASE!C:Q,10,false)*G460)</f>
        <v>10000</v>
      </c>
      <c r="L460" s="74">
        <f>VLOOKUP(F460,DATABASE!C:Q,7,FALSE)</f>
        <v>0</v>
      </c>
      <c r="M460" s="74">
        <v>0.0</v>
      </c>
      <c r="N460" s="74">
        <f t="shared" si="8"/>
        <v>0</v>
      </c>
      <c r="O460" s="74">
        <f t="shared" si="3"/>
        <v>130000</v>
      </c>
      <c r="P460" s="63">
        <f t="shared" si="4"/>
        <v>130000</v>
      </c>
      <c r="Q460" s="63">
        <f t="shared" si="5"/>
        <v>120000</v>
      </c>
      <c r="R460" s="93" t="str">
        <f>VLOOKUP(F460,DATABASE!C:Q,4,false)</f>
        <v>SPOORING</v>
      </c>
      <c r="S460" s="93" t="str">
        <f>VLOOKUP(F460,DATABASE!C:P,11,false)</f>
        <v>SERVICE</v>
      </c>
      <c r="T460" s="93" t="str">
        <f>vlookup(F460,DATABASE!C:Q,8,false)</f>
        <v>IBU</v>
      </c>
      <c r="Y460" s="81"/>
      <c r="Z460" s="9"/>
    </row>
    <row r="461" ht="22.5" customHeight="1">
      <c r="A461" s="49"/>
      <c r="C461" s="384">
        <v>45915.0</v>
      </c>
      <c r="D461" s="93">
        <v>45915.0</v>
      </c>
      <c r="E461" s="65" t="s">
        <v>144</v>
      </c>
      <c r="F461" s="74" t="s">
        <v>897</v>
      </c>
      <c r="G461" s="386">
        <v>2.0</v>
      </c>
      <c r="H461" s="74">
        <v>1600000.0</v>
      </c>
      <c r="I461" s="74">
        <v>1700000.0</v>
      </c>
      <c r="J461" s="60">
        <f t="shared" si="1"/>
        <v>45945</v>
      </c>
      <c r="K461" s="74">
        <f>if(F461="SERVICE",O461-(O461*50%),Vlookup(F461,DATABASE!C:Q,10,false)*G461)</f>
        <v>0</v>
      </c>
      <c r="L461" s="74">
        <f>VLOOKUP(F461,DATABASE!C:Q,7,FALSE)</f>
        <v>1560000</v>
      </c>
      <c r="M461" s="74">
        <v>1500000.0</v>
      </c>
      <c r="N461" s="74">
        <f t="shared" si="8"/>
        <v>1500000</v>
      </c>
      <c r="O461" s="74">
        <f t="shared" si="3"/>
        <v>3200000</v>
      </c>
      <c r="P461" s="63">
        <f t="shared" si="4"/>
        <v>3400000</v>
      </c>
      <c r="Q461" s="63">
        <f t="shared" si="5"/>
        <v>400000</v>
      </c>
      <c r="R461" s="93" t="str">
        <f>VLOOKUP(F461,DATABASE!C:Q,4,false)</f>
        <v>GT</v>
      </c>
      <c r="S461" s="93" t="str">
        <f>VLOOKUP(F461,DATABASE!C:P,11,false)</f>
        <v>Tire</v>
      </c>
      <c r="T461" s="93" t="str">
        <f>vlookup(F461,DATABASE!C:Q,8,false)</f>
        <v>BIAN</v>
      </c>
      <c r="Y461" s="81"/>
      <c r="Z461" s="9"/>
    </row>
    <row r="462" ht="22.5" customHeight="1">
      <c r="A462" s="49"/>
      <c r="C462" s="384">
        <v>45915.0</v>
      </c>
      <c r="D462" s="93">
        <v>45915.0</v>
      </c>
      <c r="E462" s="65" t="s">
        <v>396</v>
      </c>
      <c r="F462" s="74" t="s">
        <v>1237</v>
      </c>
      <c r="G462" s="386">
        <v>1.0</v>
      </c>
      <c r="H462" s="74">
        <v>1235000.0</v>
      </c>
      <c r="I462" s="74">
        <v>1315000.0</v>
      </c>
      <c r="J462" s="60">
        <f t="shared" si="1"/>
        <v>45945</v>
      </c>
      <c r="K462" s="74">
        <f>if(F462="SERVICE",O462-(O462*50%),Vlookup(F462,DATABASE!C:Q,10,false)*G462)</f>
        <v>0</v>
      </c>
      <c r="L462" s="74">
        <f>VLOOKUP(F462,DATABASE!C:Q,7,FALSE)</f>
        <v>1170353.16</v>
      </c>
      <c r="M462" s="74">
        <v>1113907.2</v>
      </c>
      <c r="N462" s="74">
        <f t="shared" si="8"/>
        <v>1115000</v>
      </c>
      <c r="O462" s="74">
        <f t="shared" si="3"/>
        <v>1235000</v>
      </c>
      <c r="P462" s="63">
        <f t="shared" si="4"/>
        <v>1315000</v>
      </c>
      <c r="Q462" s="63">
        <f t="shared" si="5"/>
        <v>200000</v>
      </c>
      <c r="R462" s="93" t="str">
        <f>VLOOKUP(F462,DATABASE!C:Q,4,false)</f>
        <v>Bridgestone</v>
      </c>
      <c r="S462" s="93" t="str">
        <f>VLOOKUP(F462,DATABASE!C:P,11,false)</f>
        <v>Tire</v>
      </c>
      <c r="T462" s="93" t="str">
        <f>vlookup(F462,DATABASE!C:Q,8,false)</f>
        <v>IBU</v>
      </c>
      <c r="Y462" s="81"/>
      <c r="Z462" s="9"/>
    </row>
    <row r="463" ht="22.5" customHeight="1">
      <c r="A463" s="49"/>
      <c r="C463" s="384">
        <v>45918.0</v>
      </c>
      <c r="D463" s="93">
        <v>45918.0</v>
      </c>
      <c r="E463" s="65" t="s">
        <v>1013</v>
      </c>
      <c r="F463" s="74" t="s">
        <v>1858</v>
      </c>
      <c r="G463" s="386">
        <v>2.0</v>
      </c>
      <c r="H463" s="74">
        <v>2125000.0</v>
      </c>
      <c r="I463" s="74">
        <v>2225000.0</v>
      </c>
      <c r="J463" s="60">
        <f t="shared" si="1"/>
        <v>45948</v>
      </c>
      <c r="K463" s="74">
        <f>if(F463="SERVICE",O463-(O463*50%),Vlookup(F463,DATABASE!C:Q,10,false)*G463)</f>
        <v>0</v>
      </c>
      <c r="L463" s="74">
        <f>VLOOKUP(F463,DATABASE!C:Q,7,FALSE)</f>
        <v>2030000</v>
      </c>
      <c r="M463" s="74">
        <v>2030000.0</v>
      </c>
      <c r="N463" s="74">
        <f t="shared" si="8"/>
        <v>2030000</v>
      </c>
      <c r="O463" s="74">
        <f t="shared" si="3"/>
        <v>4250000</v>
      </c>
      <c r="P463" s="63">
        <f t="shared" si="4"/>
        <v>4450000</v>
      </c>
      <c r="Q463" s="63">
        <f t="shared" si="5"/>
        <v>390000</v>
      </c>
      <c r="R463" s="93" t="str">
        <f>VLOOKUP(F463,DATABASE!C:Q,4,false)</f>
        <v>GiTi</v>
      </c>
      <c r="S463" s="93" t="str">
        <f>VLOOKUP(F463,DATABASE!C:P,11,false)</f>
        <v>Tire</v>
      </c>
      <c r="T463" s="93" t="str">
        <f>vlookup(F463,DATABASE!C:Q,8,false)</f>
        <v>BIAN</v>
      </c>
      <c r="Y463" s="81"/>
      <c r="Z463" s="9"/>
    </row>
    <row r="464" ht="22.5" customHeight="1">
      <c r="A464" s="49"/>
      <c r="C464" s="384">
        <v>45919.0</v>
      </c>
      <c r="D464" s="93">
        <v>45919.0</v>
      </c>
      <c r="E464" s="65" t="s">
        <v>422</v>
      </c>
      <c r="F464" s="74" t="s">
        <v>1862</v>
      </c>
      <c r="G464" s="386">
        <v>2.0</v>
      </c>
      <c r="H464" s="74">
        <v>2150000.0</v>
      </c>
      <c r="I464" s="74">
        <v>2250000.0</v>
      </c>
      <c r="J464" s="60">
        <f t="shared" si="1"/>
        <v>45949</v>
      </c>
      <c r="K464" s="74">
        <f>if(F464="SERVICE",O464-(O464*50%),Vlookup(F464,DATABASE!C:Q,10,false)*G464)</f>
        <v>0</v>
      </c>
      <c r="L464" s="74">
        <f>VLOOKUP(F464,DATABASE!C:Q,7,FALSE)</f>
        <v>2080000</v>
      </c>
      <c r="M464" s="74">
        <v>2050000.0</v>
      </c>
      <c r="N464" s="74">
        <f t="shared" si="8"/>
        <v>2050000</v>
      </c>
      <c r="O464" s="74">
        <f t="shared" si="3"/>
        <v>4300000</v>
      </c>
      <c r="P464" s="63">
        <f t="shared" si="4"/>
        <v>4500000</v>
      </c>
      <c r="Q464" s="63">
        <f t="shared" si="5"/>
        <v>400000</v>
      </c>
      <c r="R464" s="93" t="str">
        <f>VLOOKUP(F464,DATABASE!C:Q,4,false)</f>
        <v>GiTi</v>
      </c>
      <c r="S464" s="93" t="str">
        <f>VLOOKUP(F464,DATABASE!C:P,11,false)</f>
        <v>Tire</v>
      </c>
      <c r="T464" s="93" t="str">
        <f>vlookup(F464,DATABASE!C:Q,8,false)</f>
        <v>BIAN</v>
      </c>
      <c r="Y464" s="81"/>
      <c r="Z464" s="9"/>
    </row>
    <row r="465" ht="22.5" customHeight="1">
      <c r="A465" s="49"/>
      <c r="C465" s="384">
        <v>45919.0</v>
      </c>
      <c r="D465" s="69" t="s">
        <v>2617</v>
      </c>
      <c r="E465" s="65" t="s">
        <v>422</v>
      </c>
      <c r="F465" s="74" t="s">
        <v>374</v>
      </c>
      <c r="G465" s="386">
        <v>1.0</v>
      </c>
      <c r="H465" s="74">
        <v>1950000.0</v>
      </c>
      <c r="I465" s="74">
        <v>2050000.0</v>
      </c>
      <c r="J465" s="60">
        <f t="shared" si="1"/>
        <v>45949</v>
      </c>
      <c r="K465" s="74">
        <f>if(F465="SERVICE",O465-(O465*50%),Vlookup(F465,DATABASE!C:Q,10,false)*G465)</f>
        <v>0</v>
      </c>
      <c r="L465" s="74">
        <f>VLOOKUP(F465,DATABASE!C:Q,7,FALSE)</f>
        <v>1980000</v>
      </c>
      <c r="M465" s="74">
        <v>1850000.0</v>
      </c>
      <c r="N465" s="74">
        <f t="shared" si="8"/>
        <v>1850000</v>
      </c>
      <c r="O465" s="74">
        <f t="shared" si="3"/>
        <v>1950000</v>
      </c>
      <c r="P465" s="63">
        <f t="shared" si="4"/>
        <v>2050000</v>
      </c>
      <c r="Q465" s="63">
        <f t="shared" si="5"/>
        <v>200000</v>
      </c>
      <c r="R465" s="93" t="str">
        <f>VLOOKUP(F465,DATABASE!C:Q,4,false)</f>
        <v>Advance</v>
      </c>
      <c r="S465" s="93" t="str">
        <f>VLOOKUP(F465,DATABASE!C:P,11,false)</f>
        <v>Tire</v>
      </c>
      <c r="T465" s="93" t="str">
        <f>vlookup(F465,DATABASE!C:Q,8,false)</f>
        <v>BIAN</v>
      </c>
      <c r="Y465" s="81"/>
      <c r="Z465" s="9"/>
    </row>
    <row r="466" ht="22.5" customHeight="1">
      <c r="A466" s="49"/>
      <c r="C466" s="384">
        <v>45919.0</v>
      </c>
      <c r="D466" s="93">
        <v>45919.0</v>
      </c>
      <c r="E466" s="65" t="s">
        <v>1013</v>
      </c>
      <c r="F466" s="74" t="s">
        <v>1858</v>
      </c>
      <c r="G466" s="386">
        <v>2.0</v>
      </c>
      <c r="H466" s="74">
        <v>2125000.0</v>
      </c>
      <c r="I466" s="74">
        <v>2225000.0</v>
      </c>
      <c r="J466" s="60">
        <f t="shared" si="1"/>
        <v>45949</v>
      </c>
      <c r="K466" s="74">
        <f>if(F466="SERVICE",O466-(O466*50%),Vlookup(F466,DATABASE!C:Q,10,false)*G466)</f>
        <v>0</v>
      </c>
      <c r="L466" s="74">
        <f>VLOOKUP(F466,DATABASE!C:Q,7,FALSE)</f>
        <v>2030000</v>
      </c>
      <c r="M466" s="74">
        <v>2030000.0</v>
      </c>
      <c r="N466" s="74">
        <f t="shared" si="8"/>
        <v>2030000</v>
      </c>
      <c r="O466" s="74">
        <f t="shared" si="3"/>
        <v>4250000</v>
      </c>
      <c r="P466" s="63">
        <f t="shared" si="4"/>
        <v>4450000</v>
      </c>
      <c r="Q466" s="63">
        <f t="shared" si="5"/>
        <v>390000</v>
      </c>
      <c r="R466" s="93" t="str">
        <f>VLOOKUP(F466,DATABASE!C:Q,4,false)</f>
        <v>GiTi</v>
      </c>
      <c r="S466" s="93" t="str">
        <f>VLOOKUP(F466,DATABASE!C:P,11,false)</f>
        <v>Tire</v>
      </c>
      <c r="T466" s="93" t="str">
        <f>vlookup(F466,DATABASE!C:Q,8,false)</f>
        <v>BIAN</v>
      </c>
      <c r="Y466" s="81"/>
      <c r="Z466" s="9"/>
    </row>
    <row r="467" ht="22.5" customHeight="1">
      <c r="A467" s="49"/>
      <c r="C467" s="384">
        <v>45919.0</v>
      </c>
      <c r="D467" s="93">
        <v>45919.0</v>
      </c>
      <c r="E467" s="65" t="s">
        <v>410</v>
      </c>
      <c r="F467" s="74" t="s">
        <v>924</v>
      </c>
      <c r="G467" s="386">
        <v>2.0</v>
      </c>
      <c r="H467" s="74">
        <v>1650000.0</v>
      </c>
      <c r="I467" s="74">
        <v>1650000.0</v>
      </c>
      <c r="J467" s="60">
        <f t="shared" si="1"/>
        <v>45949</v>
      </c>
      <c r="K467" s="74">
        <f>if(F467="SERVICE",O467-(O467*50%),Vlookup(F467,DATABASE!C:Q,10,false)*G467)</f>
        <v>0</v>
      </c>
      <c r="L467" s="74">
        <f>VLOOKUP(F467,DATABASE!C:Q,7,FALSE)</f>
        <v>1560000</v>
      </c>
      <c r="M467" s="74">
        <v>1545000.0</v>
      </c>
      <c r="N467" s="74">
        <f t="shared" si="8"/>
        <v>1545000</v>
      </c>
      <c r="O467" s="74">
        <f t="shared" si="3"/>
        <v>3300000</v>
      </c>
      <c r="P467" s="63">
        <f t="shared" si="4"/>
        <v>3300000</v>
      </c>
      <c r="Q467" s="63">
        <f t="shared" si="5"/>
        <v>210000</v>
      </c>
      <c r="R467" s="93" t="str">
        <f>VLOOKUP(F467,DATABASE!C:Q,4,false)</f>
        <v>TIRON</v>
      </c>
      <c r="S467" s="93" t="str">
        <f>VLOOKUP(F467,DATABASE!C:P,11,false)</f>
        <v>Tire</v>
      </c>
      <c r="T467" s="93" t="str">
        <f>vlookup(F467,DATABASE!C:Q,8,false)</f>
        <v>BIAN</v>
      </c>
      <c r="Y467" s="81"/>
      <c r="Z467" s="9"/>
    </row>
    <row r="468" ht="22.5" customHeight="1">
      <c r="A468" s="49"/>
      <c r="C468" s="384">
        <v>45922.0</v>
      </c>
      <c r="D468" s="93">
        <v>45922.0</v>
      </c>
      <c r="E468" s="65" t="s">
        <v>274</v>
      </c>
      <c r="F468" s="74" t="s">
        <v>924</v>
      </c>
      <c r="G468" s="386">
        <v>1.0</v>
      </c>
      <c r="H468" s="74">
        <v>1650000.0</v>
      </c>
      <c r="I468" s="74">
        <v>1750000.0</v>
      </c>
      <c r="J468" s="60">
        <f t="shared" si="1"/>
        <v>45952</v>
      </c>
      <c r="K468" s="74">
        <f>if(F468="SERVICE",O468-(O468*50%),Vlookup(F468,DATABASE!C:Q,10,false)*G468)</f>
        <v>0</v>
      </c>
      <c r="L468" s="74">
        <f>VLOOKUP(F468,DATABASE!C:Q,7,FALSE)</f>
        <v>1560000</v>
      </c>
      <c r="M468" s="74">
        <v>1545000.0</v>
      </c>
      <c r="N468" s="74">
        <f t="shared" si="8"/>
        <v>1545000</v>
      </c>
      <c r="O468" s="74">
        <f t="shared" si="3"/>
        <v>1650000</v>
      </c>
      <c r="P468" s="63">
        <f t="shared" si="4"/>
        <v>1750000</v>
      </c>
      <c r="Q468" s="63">
        <f t="shared" si="5"/>
        <v>205000</v>
      </c>
      <c r="R468" s="93" t="str">
        <f>VLOOKUP(F468,DATABASE!C:Q,4,false)</f>
        <v>TIRON</v>
      </c>
      <c r="S468" s="93" t="str">
        <f>VLOOKUP(F468,DATABASE!C:P,11,false)</f>
        <v>Tire</v>
      </c>
      <c r="T468" s="93" t="str">
        <f>vlookup(F468,DATABASE!C:Q,8,false)</f>
        <v>BIAN</v>
      </c>
      <c r="Y468" s="81"/>
      <c r="Z468" s="9"/>
    </row>
    <row r="469" ht="22.5" customHeight="1">
      <c r="A469" s="49"/>
      <c r="C469" s="384">
        <v>45922.0</v>
      </c>
      <c r="D469" s="93">
        <v>45922.0</v>
      </c>
      <c r="E469" s="65" t="s">
        <v>303</v>
      </c>
      <c r="F469" s="74" t="s">
        <v>777</v>
      </c>
      <c r="G469" s="386">
        <v>2.0</v>
      </c>
      <c r="H469" s="74">
        <v>585000.0</v>
      </c>
      <c r="I469" s="74">
        <v>665000.0</v>
      </c>
      <c r="J469" s="60">
        <f t="shared" si="1"/>
        <v>45952</v>
      </c>
      <c r="K469" s="74">
        <f>if(F469="SERVICE",O469-(O469*50%),Vlookup(F469,DATABASE!C:Q,10,false)*G469)</f>
        <v>0</v>
      </c>
      <c r="L469" s="74">
        <f>VLOOKUP(F469,DATABASE!C:Q,7,FALSE)</f>
        <v>540000</v>
      </c>
      <c r="M469" s="74">
        <v>507000.0</v>
      </c>
      <c r="N469" s="74">
        <f t="shared" si="8"/>
        <v>510000</v>
      </c>
      <c r="O469" s="74">
        <f t="shared" si="3"/>
        <v>1170000</v>
      </c>
      <c r="P469" s="63">
        <f t="shared" si="4"/>
        <v>1330000</v>
      </c>
      <c r="Q469" s="63">
        <f t="shared" si="5"/>
        <v>310000</v>
      </c>
      <c r="R469" s="93" t="str">
        <f>VLOOKUP(F469,DATABASE!C:Q,4,false)</f>
        <v>GT</v>
      </c>
      <c r="S469" s="93" t="str">
        <f>VLOOKUP(F469,DATABASE!C:P,11,false)</f>
        <v>Tire</v>
      </c>
      <c r="T469" s="93" t="str">
        <f>vlookup(F469,DATABASE!C:Q,8,false)</f>
        <v>BIAN</v>
      </c>
      <c r="Y469" s="81"/>
      <c r="Z469" s="9"/>
    </row>
    <row r="470" ht="22.5" customHeight="1">
      <c r="A470" s="49"/>
      <c r="C470" s="384">
        <v>45922.0</v>
      </c>
      <c r="D470" s="93">
        <v>45922.0</v>
      </c>
      <c r="E470" s="65" t="s">
        <v>303</v>
      </c>
      <c r="F470" s="74" t="s">
        <v>294</v>
      </c>
      <c r="G470" s="386">
        <v>2.0</v>
      </c>
      <c r="H470" s="74">
        <v>570000.0</v>
      </c>
      <c r="I470" s="74">
        <v>650000.0</v>
      </c>
      <c r="J470" s="60">
        <f t="shared" si="1"/>
        <v>45952</v>
      </c>
      <c r="K470" s="74">
        <f>if(F470="SERVICE",O470-(O470*50%),Vlookup(F470,DATABASE!C:Q,10,false)*G470)</f>
        <v>0</v>
      </c>
      <c r="L470" s="74">
        <f>VLOOKUP(F470,DATABASE!C:Q,7,FALSE)</f>
        <v>505000</v>
      </c>
      <c r="M470" s="74">
        <v>490000.0</v>
      </c>
      <c r="N470" s="74">
        <f t="shared" si="8"/>
        <v>490000</v>
      </c>
      <c r="O470" s="74">
        <f t="shared" si="3"/>
        <v>1140000</v>
      </c>
      <c r="P470" s="63">
        <f t="shared" si="4"/>
        <v>1300000</v>
      </c>
      <c r="Q470" s="63">
        <f t="shared" si="5"/>
        <v>320000</v>
      </c>
      <c r="R470" s="93" t="str">
        <f>VLOOKUP(F470,DATABASE!C:Q,4,false)</f>
        <v>GT</v>
      </c>
      <c r="S470" s="93" t="str">
        <f>VLOOKUP(F470,DATABASE!C:P,11,false)</f>
        <v>Tire</v>
      </c>
      <c r="T470" s="93" t="str">
        <f>vlookup(F470,DATABASE!C:Q,8,false)</f>
        <v>BIAN</v>
      </c>
      <c r="Y470" s="81"/>
      <c r="Z470" s="9"/>
    </row>
    <row r="471" ht="22.5" customHeight="1">
      <c r="A471" s="49"/>
      <c r="C471" s="384">
        <v>45922.0</v>
      </c>
      <c r="D471" s="93">
        <v>45922.0</v>
      </c>
      <c r="E471" s="65" t="s">
        <v>610</v>
      </c>
      <c r="F471" s="74" t="s">
        <v>1858</v>
      </c>
      <c r="G471" s="386">
        <v>2.0</v>
      </c>
      <c r="H471" s="74">
        <v>2125000.0</v>
      </c>
      <c r="I471" s="74">
        <v>2225000.0</v>
      </c>
      <c r="J471" s="60">
        <f t="shared" si="1"/>
        <v>45952</v>
      </c>
      <c r="K471" s="74">
        <f>if(F471="SERVICE",O471-(O471*50%),Vlookup(F471,DATABASE!C:Q,10,false)*G471)</f>
        <v>0</v>
      </c>
      <c r="L471" s="74">
        <f>VLOOKUP(F471,DATABASE!C:Q,7,FALSE)</f>
        <v>2030000</v>
      </c>
      <c r="M471" s="74">
        <v>2030000.0</v>
      </c>
      <c r="N471" s="74">
        <f t="shared" si="8"/>
        <v>2030000</v>
      </c>
      <c r="O471" s="74">
        <f t="shared" si="3"/>
        <v>4250000</v>
      </c>
      <c r="P471" s="63">
        <f t="shared" si="4"/>
        <v>4450000</v>
      </c>
      <c r="Q471" s="63">
        <f t="shared" si="5"/>
        <v>390000</v>
      </c>
      <c r="R471" s="93" t="str">
        <f>VLOOKUP(F471,DATABASE!C:Q,4,false)</f>
        <v>GiTi</v>
      </c>
      <c r="S471" s="93" t="str">
        <f>VLOOKUP(F471,DATABASE!C:P,11,false)</f>
        <v>Tire</v>
      </c>
      <c r="T471" s="93" t="str">
        <f>vlookup(F471,DATABASE!C:Q,8,false)</f>
        <v>BIAN</v>
      </c>
      <c r="Y471" s="81"/>
      <c r="Z471" s="9"/>
    </row>
    <row r="472" ht="22.5" customHeight="1">
      <c r="A472" s="49"/>
      <c r="C472" s="384">
        <v>45923.0</v>
      </c>
      <c r="D472" s="93">
        <v>45923.0</v>
      </c>
      <c r="E472" s="65" t="s">
        <v>583</v>
      </c>
      <c r="F472" s="74" t="s">
        <v>897</v>
      </c>
      <c r="G472" s="386">
        <v>1.0</v>
      </c>
      <c r="H472" s="74">
        <v>1600000.0</v>
      </c>
      <c r="I472" s="74">
        <v>1700000.0</v>
      </c>
      <c r="J472" s="60">
        <f t="shared" si="1"/>
        <v>45953</v>
      </c>
      <c r="K472" s="74">
        <f>if(F472="SERVICE",O472-(O472*50%),Vlookup(F472,DATABASE!C:Q,10,false)*G472)</f>
        <v>0</v>
      </c>
      <c r="L472" s="74">
        <f>VLOOKUP(F472,DATABASE!C:Q,7,FALSE)</f>
        <v>1560000</v>
      </c>
      <c r="M472" s="74">
        <v>1500000.0</v>
      </c>
      <c r="N472" s="74">
        <f t="shared" si="8"/>
        <v>1500000</v>
      </c>
      <c r="O472" s="74">
        <f t="shared" si="3"/>
        <v>1600000</v>
      </c>
      <c r="P472" s="63">
        <f t="shared" si="4"/>
        <v>1700000</v>
      </c>
      <c r="Q472" s="63">
        <f t="shared" si="5"/>
        <v>200000</v>
      </c>
      <c r="R472" s="93" t="str">
        <f>VLOOKUP(F472,DATABASE!C:Q,4,false)</f>
        <v>GT</v>
      </c>
      <c r="S472" s="93" t="str">
        <f>VLOOKUP(F472,DATABASE!C:P,11,false)</f>
        <v>Tire</v>
      </c>
      <c r="T472" s="93" t="str">
        <f>vlookup(F472,DATABASE!C:Q,8,false)</f>
        <v>BIAN</v>
      </c>
      <c r="Y472" s="81"/>
      <c r="Z472" s="9"/>
    </row>
    <row r="473" ht="22.5" customHeight="1">
      <c r="A473" s="49"/>
      <c r="C473" s="384">
        <v>45923.0</v>
      </c>
      <c r="D473" s="93">
        <v>45923.0</v>
      </c>
      <c r="E473" s="65" t="s">
        <v>595</v>
      </c>
      <c r="F473" s="74" t="s">
        <v>897</v>
      </c>
      <c r="G473" s="386">
        <v>1.0</v>
      </c>
      <c r="H473" s="74">
        <v>1600000.0</v>
      </c>
      <c r="I473" s="74">
        <v>1750000.0</v>
      </c>
      <c r="J473" s="60">
        <f t="shared" si="1"/>
        <v>45953</v>
      </c>
      <c r="K473" s="74">
        <f>if(F473="SERVICE",O473-(O473*50%),Vlookup(F473,DATABASE!C:Q,10,false)*G473)</f>
        <v>0</v>
      </c>
      <c r="L473" s="74">
        <f>VLOOKUP(F473,DATABASE!C:Q,7,FALSE)</f>
        <v>1560000</v>
      </c>
      <c r="M473" s="74">
        <v>1500000.0</v>
      </c>
      <c r="N473" s="74">
        <f t="shared" si="8"/>
        <v>1500000</v>
      </c>
      <c r="O473" s="74">
        <f t="shared" si="3"/>
        <v>1600000</v>
      </c>
      <c r="P473" s="63">
        <f t="shared" si="4"/>
        <v>1750000</v>
      </c>
      <c r="Q473" s="63">
        <f t="shared" si="5"/>
        <v>250000</v>
      </c>
      <c r="R473" s="93" t="str">
        <f>VLOOKUP(F473,DATABASE!C:Q,4,false)</f>
        <v>GT</v>
      </c>
      <c r="S473" s="93" t="str">
        <f>VLOOKUP(F473,DATABASE!C:P,11,false)</f>
        <v>Tire</v>
      </c>
      <c r="T473" s="93" t="str">
        <f>vlookup(F473,DATABASE!C:Q,8,false)</f>
        <v>BIAN</v>
      </c>
      <c r="Y473" s="81"/>
      <c r="Z473" s="9"/>
    </row>
    <row r="474" ht="22.5" customHeight="1">
      <c r="A474" s="49"/>
      <c r="C474" s="384">
        <v>45923.0</v>
      </c>
      <c r="D474" s="93">
        <v>45923.0</v>
      </c>
      <c r="E474" s="65" t="s">
        <v>595</v>
      </c>
      <c r="F474" s="74" t="s">
        <v>374</v>
      </c>
      <c r="G474" s="386">
        <v>2.0</v>
      </c>
      <c r="H474" s="74">
        <v>1950000.0</v>
      </c>
      <c r="I474" s="74">
        <v>2100000.0</v>
      </c>
      <c r="J474" s="60">
        <f t="shared" si="1"/>
        <v>45953</v>
      </c>
      <c r="K474" s="74">
        <f>if(F474="SERVICE",O474-(O474*50%),Vlookup(F474,DATABASE!C:Q,10,false)*G474)</f>
        <v>0</v>
      </c>
      <c r="L474" s="74">
        <f>VLOOKUP(F474,DATABASE!C:Q,7,FALSE)</f>
        <v>1980000</v>
      </c>
      <c r="M474" s="74">
        <v>1850000.0</v>
      </c>
      <c r="N474" s="74">
        <f t="shared" si="8"/>
        <v>1850000</v>
      </c>
      <c r="O474" s="74">
        <f t="shared" si="3"/>
        <v>3900000</v>
      </c>
      <c r="P474" s="63">
        <f t="shared" si="4"/>
        <v>4200000</v>
      </c>
      <c r="Q474" s="63">
        <f t="shared" si="5"/>
        <v>500000</v>
      </c>
      <c r="R474" s="93" t="str">
        <f>VLOOKUP(F474,DATABASE!C:Q,4,false)</f>
        <v>Advance</v>
      </c>
      <c r="S474" s="93" t="str">
        <f>VLOOKUP(F474,DATABASE!C:P,11,false)</f>
        <v>Tire</v>
      </c>
      <c r="T474" s="93" t="str">
        <f>vlookup(F474,DATABASE!C:Q,8,false)</f>
        <v>BIAN</v>
      </c>
      <c r="Y474" s="81"/>
      <c r="Z474" s="9"/>
    </row>
    <row r="475" ht="22.5" customHeight="1">
      <c r="A475" s="49"/>
      <c r="C475" s="384">
        <v>45924.0</v>
      </c>
      <c r="D475" s="93">
        <v>45924.0</v>
      </c>
      <c r="E475" s="65" t="s">
        <v>971</v>
      </c>
      <c r="F475" s="74" t="s">
        <v>1051</v>
      </c>
      <c r="G475" s="386">
        <v>2.0</v>
      </c>
      <c r="H475" s="74">
        <v>1000000.0</v>
      </c>
      <c r="I475" s="74">
        <v>1050000.0</v>
      </c>
      <c r="J475" s="60">
        <f t="shared" si="1"/>
        <v>45954</v>
      </c>
      <c r="K475" s="74">
        <f>if(F475="SERVICE",O475-(O475*50%),Vlookup(F475,DATABASE!C:Q,10,false)*G475)</f>
        <v>0</v>
      </c>
      <c r="L475" s="74">
        <f>VLOOKUP(F475,DATABASE!C:Q,7,FALSE)</f>
        <v>895000</v>
      </c>
      <c r="M475" s="74">
        <v>895000.0</v>
      </c>
      <c r="N475" s="74">
        <f t="shared" si="8"/>
        <v>895000</v>
      </c>
      <c r="O475" s="74">
        <f t="shared" si="3"/>
        <v>2000000</v>
      </c>
      <c r="P475" s="63">
        <f t="shared" si="4"/>
        <v>2100000</v>
      </c>
      <c r="Q475" s="63">
        <f t="shared" si="5"/>
        <v>310000</v>
      </c>
      <c r="R475" s="93" t="str">
        <f>VLOOKUP(F475,DATABASE!C:Q,4,false)</f>
        <v>Dunlop</v>
      </c>
      <c r="S475" s="93" t="str">
        <f>VLOOKUP(F475,DATABASE!C:P,11,false)</f>
        <v>Tire</v>
      </c>
      <c r="T475" s="93" t="str">
        <f>vlookup(F475,DATABASE!C:Q,8,false)</f>
        <v>IBU</v>
      </c>
      <c r="Y475" s="81"/>
      <c r="Z475" s="9"/>
    </row>
    <row r="476" ht="22.5" customHeight="1">
      <c r="A476" s="49"/>
      <c r="C476" s="384">
        <v>45924.0</v>
      </c>
      <c r="D476" s="93">
        <v>45924.0</v>
      </c>
      <c r="E476" s="65" t="s">
        <v>132</v>
      </c>
      <c r="F476" s="74" t="s">
        <v>268</v>
      </c>
      <c r="G476" s="386">
        <v>2.0</v>
      </c>
      <c r="H476" s="74">
        <v>720000.0</v>
      </c>
      <c r="I476" s="74">
        <v>800000.0</v>
      </c>
      <c r="J476" s="60">
        <f t="shared" si="1"/>
        <v>45954</v>
      </c>
      <c r="K476" s="74">
        <f>if(F476="SERVICE",O476-(O476*50%),Vlookup(F476,DATABASE!C:Q,10,false)*G476)</f>
        <v>0</v>
      </c>
      <c r="L476" s="74">
        <f>VLOOKUP(F476,DATABASE!C:Q,7,FALSE)</f>
        <v>653000</v>
      </c>
      <c r="M476" s="74">
        <v>622000.0</v>
      </c>
      <c r="N476" s="74">
        <f t="shared" si="8"/>
        <v>625000</v>
      </c>
      <c r="O476" s="74">
        <f t="shared" si="3"/>
        <v>1440000</v>
      </c>
      <c r="P476" s="63">
        <f t="shared" si="4"/>
        <v>1600000</v>
      </c>
      <c r="Q476" s="63">
        <f t="shared" si="5"/>
        <v>350000</v>
      </c>
      <c r="R476" s="93" t="str">
        <f>VLOOKUP(F476,DATABASE!C:Q,4,false)</f>
        <v>Dunlop</v>
      </c>
      <c r="S476" s="93" t="str">
        <f>VLOOKUP(F476,DATABASE!C:P,11,false)</f>
        <v>Tire</v>
      </c>
      <c r="T476" s="93" t="str">
        <f>vlookup(F476,DATABASE!C:Q,8,false)</f>
        <v>IBU</v>
      </c>
      <c r="Y476" s="81"/>
      <c r="Z476" s="9"/>
    </row>
    <row r="477" ht="22.5" customHeight="1">
      <c r="A477" s="49"/>
      <c r="C477" s="384">
        <v>45925.0</v>
      </c>
      <c r="D477" s="93">
        <v>45925.0</v>
      </c>
      <c r="E477" s="65" t="s">
        <v>259</v>
      </c>
      <c r="F477" s="74" t="s">
        <v>1434</v>
      </c>
      <c r="G477" s="386">
        <v>1.0</v>
      </c>
      <c r="H477" s="74">
        <v>1000000.0</v>
      </c>
      <c r="I477" s="74">
        <v>1060000.0</v>
      </c>
      <c r="J477" s="60">
        <f t="shared" si="1"/>
        <v>45955</v>
      </c>
      <c r="K477" s="74">
        <f>if(F477="SERVICE",O477-(O477*50%),Vlookup(F477,DATABASE!C:Q,10,false)*G477)</f>
        <v>0</v>
      </c>
      <c r="L477" s="74">
        <f>VLOOKUP(F477,DATABASE!C:Q,7,FALSE)</f>
        <v>904050</v>
      </c>
      <c r="M477" s="74">
        <v>904050.0</v>
      </c>
      <c r="N477" s="74">
        <f t="shared" si="8"/>
        <v>905000</v>
      </c>
      <c r="O477" s="74">
        <f t="shared" si="3"/>
        <v>1000000</v>
      </c>
      <c r="P477" s="63">
        <f t="shared" si="4"/>
        <v>1060000</v>
      </c>
      <c r="Q477" s="63">
        <f t="shared" si="5"/>
        <v>155000</v>
      </c>
      <c r="R477" s="93" t="str">
        <f>VLOOKUP(F477,DATABASE!C:Q,4,false)</f>
        <v>GT</v>
      </c>
      <c r="S477" s="93" t="str">
        <f>VLOOKUP(F477,DATABASE!C:P,11,false)</f>
        <v>Tire</v>
      </c>
      <c r="T477" s="93" t="str">
        <f>vlookup(F477,DATABASE!C:Q,8,false)</f>
        <v>BIAN</v>
      </c>
      <c r="Y477" s="81"/>
      <c r="Z477" s="9"/>
    </row>
    <row r="478" ht="22.5" customHeight="1">
      <c r="A478" s="49"/>
      <c r="C478" s="384">
        <v>45925.0</v>
      </c>
      <c r="D478" s="93">
        <v>45925.0</v>
      </c>
      <c r="E478" s="65" t="s">
        <v>1013</v>
      </c>
      <c r="F478" s="74" t="s">
        <v>1372</v>
      </c>
      <c r="G478" s="386">
        <v>2.0</v>
      </c>
      <c r="H478" s="74">
        <v>1080000.0</v>
      </c>
      <c r="I478" s="74">
        <v>1160000.0</v>
      </c>
      <c r="J478" s="60">
        <f t="shared" si="1"/>
        <v>45955</v>
      </c>
      <c r="K478" s="74">
        <f>if(F478="SERVICE",O478-(O478*50%),Vlookup(F478,DATABASE!C:Q,10,false)*G478)</f>
        <v>0</v>
      </c>
      <c r="L478" s="74">
        <f>VLOOKUP(F478,DATABASE!C:Q,7,FALSE)</f>
        <v>1040000</v>
      </c>
      <c r="M478" s="74">
        <v>1040000.0</v>
      </c>
      <c r="N478" s="74">
        <f t="shared" si="8"/>
        <v>1040000</v>
      </c>
      <c r="O478" s="74">
        <f t="shared" si="3"/>
        <v>2160000</v>
      </c>
      <c r="P478" s="63">
        <f t="shared" si="4"/>
        <v>2320000</v>
      </c>
      <c r="Q478" s="63">
        <f t="shared" si="5"/>
        <v>240000</v>
      </c>
      <c r="R478" s="93" t="str">
        <f>VLOOKUP(F478,DATABASE!C:Q,4,false)</f>
        <v>Dunlop</v>
      </c>
      <c r="S478" s="93" t="str">
        <f>VLOOKUP(F478,DATABASE!C:P,11,false)</f>
        <v>Tire</v>
      </c>
      <c r="T478" s="93" t="str">
        <f>vlookup(F478,DATABASE!C:Q,8,false)</f>
        <v>IBU</v>
      </c>
      <c r="Y478" s="81"/>
      <c r="Z478" s="9"/>
    </row>
    <row r="479" ht="22.5" customHeight="1">
      <c r="A479" s="49"/>
      <c r="C479" s="384">
        <v>45925.0</v>
      </c>
      <c r="D479" s="93">
        <v>45925.0</v>
      </c>
      <c r="E479" s="65" t="s">
        <v>1013</v>
      </c>
      <c r="F479" s="74" t="s">
        <v>299</v>
      </c>
      <c r="G479" s="386">
        <v>2.0</v>
      </c>
      <c r="H479" s="74">
        <v>30000.0</v>
      </c>
      <c r="I479" s="74">
        <v>30000.0</v>
      </c>
      <c r="J479" s="60">
        <f t="shared" si="1"/>
        <v>45955</v>
      </c>
      <c r="K479" s="74">
        <f>if(F479="SERVICE",O479-(O479*50%),Vlookup(F479,DATABASE!C:Q,10,false)*G479)</f>
        <v>0</v>
      </c>
      <c r="L479" s="74">
        <f>VLOOKUP(F479,DATABASE!C:Q,7,FALSE)</f>
        <v>10000</v>
      </c>
      <c r="M479" s="74">
        <v>5000.0</v>
      </c>
      <c r="N479" s="74">
        <f t="shared" si="8"/>
        <v>5000</v>
      </c>
      <c r="O479" s="74">
        <f t="shared" si="3"/>
        <v>60000</v>
      </c>
      <c r="P479" s="63">
        <f t="shared" si="4"/>
        <v>60000</v>
      </c>
      <c r="Q479" s="63">
        <f t="shared" si="5"/>
        <v>50000</v>
      </c>
      <c r="R479" s="93" t="str">
        <f>VLOOKUP(F479,DATABASE!C:Q,4,false)</f>
        <v>Balancing</v>
      </c>
      <c r="S479" s="93" t="str">
        <f>VLOOKUP(F479,DATABASE!C:P,11,false)</f>
        <v>COMPLEMENTARY</v>
      </c>
      <c r="T479" s="93" t="str">
        <f>vlookup(F479,DATABASE!C:Q,8,false)</f>
        <v>BIAN</v>
      </c>
      <c r="Y479" s="81"/>
      <c r="Z479" s="9"/>
    </row>
    <row r="480" ht="22.5" customHeight="1">
      <c r="A480" s="49"/>
      <c r="C480" s="384">
        <v>45925.0</v>
      </c>
      <c r="D480" s="93">
        <v>45925.0</v>
      </c>
      <c r="E480" s="65" t="s">
        <v>1013</v>
      </c>
      <c r="F480" s="74" t="s">
        <v>256</v>
      </c>
      <c r="G480" s="386">
        <v>1.0</v>
      </c>
      <c r="H480" s="74">
        <v>1300000.0</v>
      </c>
      <c r="I480" s="74">
        <v>150000.0</v>
      </c>
      <c r="J480" s="60">
        <f t="shared" si="1"/>
        <v>45955</v>
      </c>
      <c r="K480" s="74">
        <f>if(F480="SERVICE",O480-(O480*50%),Vlookup(F480,DATABASE!C:Q,10,false)*G480)</f>
        <v>10000</v>
      </c>
      <c r="L480" s="74">
        <f>VLOOKUP(F480,DATABASE!C:Q,7,FALSE)</f>
        <v>0</v>
      </c>
      <c r="M480" s="74">
        <v>0.0</v>
      </c>
      <c r="N480" s="74">
        <f t="shared" si="8"/>
        <v>0</v>
      </c>
      <c r="O480" s="74">
        <f t="shared" si="3"/>
        <v>1300000</v>
      </c>
      <c r="P480" s="63">
        <f t="shared" si="4"/>
        <v>150000</v>
      </c>
      <c r="Q480" s="63">
        <f t="shared" si="5"/>
        <v>140000</v>
      </c>
      <c r="R480" s="93" t="str">
        <f>VLOOKUP(F480,DATABASE!C:Q,4,false)</f>
        <v>SPOORING</v>
      </c>
      <c r="S480" s="93" t="str">
        <f>VLOOKUP(F480,DATABASE!C:P,11,false)</f>
        <v>SERVICE</v>
      </c>
      <c r="T480" s="93" t="str">
        <f>vlookup(F480,DATABASE!C:Q,8,false)</f>
        <v>IBU</v>
      </c>
      <c r="Y480" s="81"/>
      <c r="Z480" s="9"/>
    </row>
    <row r="481" ht="22.5" customHeight="1">
      <c r="A481" s="49"/>
      <c r="C481" s="384">
        <v>45925.0</v>
      </c>
      <c r="D481" s="93">
        <v>45925.0</v>
      </c>
      <c r="E481" s="65" t="s">
        <v>1013</v>
      </c>
      <c r="F481" s="74" t="s">
        <v>301</v>
      </c>
      <c r="G481" s="386">
        <v>1.0</v>
      </c>
      <c r="H481" s="74">
        <v>250000.0</v>
      </c>
      <c r="I481" s="74">
        <v>250000.0</v>
      </c>
      <c r="J481" s="60">
        <f t="shared" si="1"/>
        <v>45955</v>
      </c>
      <c r="K481" s="74">
        <f>if(F481="SERVICE",O481-(O481*50%),Vlookup(F481,DATABASE!C:Q,10,false)*G481)</f>
        <v>75000</v>
      </c>
      <c r="L481" s="74">
        <f>VLOOKUP(F481,DATABASE!C:Q,7,FALSE)</f>
        <v>75000</v>
      </c>
      <c r="M481" s="74">
        <v>75000.0</v>
      </c>
      <c r="N481" s="74">
        <f t="shared" si="8"/>
        <v>75000</v>
      </c>
      <c r="O481" s="74">
        <f t="shared" si="3"/>
        <v>250000</v>
      </c>
      <c r="P481" s="63">
        <f t="shared" si="4"/>
        <v>250000</v>
      </c>
      <c r="Q481" s="63">
        <f t="shared" si="5"/>
        <v>100000</v>
      </c>
      <c r="R481" s="93" t="str">
        <f>VLOOKUP(F481,DATABASE!C:Q,4,false)</f>
        <v>Baut Camber</v>
      </c>
      <c r="S481" s="93" t="str">
        <f>VLOOKUP(F481,DATABASE!C:P,11,false)</f>
        <v>COMPLEMENTARY</v>
      </c>
      <c r="T481" s="93" t="str">
        <f>vlookup(F481,DATABASE!C:Q,8,false)</f>
        <v>BIAN</v>
      </c>
      <c r="Y481" s="81"/>
      <c r="Z481" s="9"/>
    </row>
    <row r="482" ht="22.5" customHeight="1">
      <c r="A482" s="49"/>
      <c r="C482" s="384">
        <v>45925.0</v>
      </c>
      <c r="D482" s="93">
        <v>45925.0</v>
      </c>
      <c r="E482" s="65" t="s">
        <v>1013</v>
      </c>
      <c r="F482" s="74" t="s">
        <v>251</v>
      </c>
      <c r="G482" s="386">
        <v>1.0</v>
      </c>
      <c r="H482" s="74">
        <v>150000.0</v>
      </c>
      <c r="I482" s="74">
        <v>150000.0</v>
      </c>
      <c r="J482" s="60">
        <f t="shared" si="1"/>
        <v>45955</v>
      </c>
      <c r="K482" s="74">
        <f>if(F482="SERVICE",O482-(O482*50%),Vlookup(F482,DATABASE!C:Q,10,false)*G482)</f>
        <v>75000</v>
      </c>
      <c r="L482" s="74">
        <f>VLOOKUP(F482,DATABASE!C:Q,7,FALSE)</f>
        <v>0</v>
      </c>
      <c r="M482" s="74">
        <v>0.0</v>
      </c>
      <c r="N482" s="74">
        <f t="shared" si="8"/>
        <v>0</v>
      </c>
      <c r="O482" s="74">
        <f t="shared" si="3"/>
        <v>150000</v>
      </c>
      <c r="P482" s="63">
        <f t="shared" si="4"/>
        <v>150000</v>
      </c>
      <c r="Q482" s="63">
        <f t="shared" si="5"/>
        <v>75000</v>
      </c>
      <c r="R482" s="93" t="str">
        <f>VLOOKUP(F482,DATABASE!C:Q,4,false)</f>
        <v>SERVICE</v>
      </c>
      <c r="S482" s="93" t="str">
        <f>VLOOKUP(F482,DATABASE!C:P,11,false)</f>
        <v>SERVICE</v>
      </c>
      <c r="T482" s="93" t="str">
        <f>vlookup(F482,DATABASE!C:Q,8,false)</f>
        <v>IBU</v>
      </c>
      <c r="Y482" s="81"/>
      <c r="Z482" s="9"/>
    </row>
    <row r="483" ht="22.5" customHeight="1">
      <c r="A483" s="49"/>
      <c r="C483" s="384">
        <v>45925.0</v>
      </c>
      <c r="D483" s="93">
        <v>45925.0</v>
      </c>
      <c r="E483" s="65" t="s">
        <v>668</v>
      </c>
      <c r="F483" s="74" t="s">
        <v>294</v>
      </c>
      <c r="G483" s="386">
        <v>2.0</v>
      </c>
      <c r="H483" s="74">
        <v>570000.0</v>
      </c>
      <c r="I483" s="74">
        <v>650000.0</v>
      </c>
      <c r="J483" s="60">
        <f t="shared" si="1"/>
        <v>45955</v>
      </c>
      <c r="K483" s="74">
        <f>if(F483="SERVICE",O483-(O483*50%),Vlookup(F483,DATABASE!C:Q,10,false)*G483)</f>
        <v>0</v>
      </c>
      <c r="L483" s="74">
        <f>VLOOKUP(F483,DATABASE!C:Q,7,FALSE)</f>
        <v>505000</v>
      </c>
      <c r="M483" s="74">
        <v>490000.0</v>
      </c>
      <c r="N483" s="74">
        <f t="shared" si="8"/>
        <v>490000</v>
      </c>
      <c r="O483" s="74">
        <f t="shared" si="3"/>
        <v>1140000</v>
      </c>
      <c r="P483" s="63">
        <f t="shared" si="4"/>
        <v>1300000</v>
      </c>
      <c r="Q483" s="63">
        <f t="shared" si="5"/>
        <v>320000</v>
      </c>
      <c r="R483" s="93" t="str">
        <f>VLOOKUP(F483,DATABASE!C:Q,4,false)</f>
        <v>GT</v>
      </c>
      <c r="S483" s="93" t="str">
        <f>VLOOKUP(F483,DATABASE!C:P,11,false)</f>
        <v>Tire</v>
      </c>
      <c r="T483" s="93" t="str">
        <f>vlookup(F483,DATABASE!C:Q,8,false)</f>
        <v>BIAN</v>
      </c>
      <c r="Y483" s="81"/>
      <c r="Z483" s="9"/>
    </row>
    <row r="484" ht="22.5" customHeight="1">
      <c r="A484" s="49"/>
      <c r="C484" s="384">
        <v>45927.0</v>
      </c>
      <c r="D484" s="93">
        <v>45927.0</v>
      </c>
      <c r="E484" s="65" t="s">
        <v>267</v>
      </c>
      <c r="F484" s="74" t="s">
        <v>374</v>
      </c>
      <c r="G484" s="386">
        <v>4.0</v>
      </c>
      <c r="H484" s="74">
        <v>1950000.0</v>
      </c>
      <c r="I484" s="74">
        <v>2050000.0</v>
      </c>
      <c r="J484" s="60">
        <f t="shared" si="1"/>
        <v>45957</v>
      </c>
      <c r="K484" s="74">
        <f>if(F484="SERVICE",O484-(O484*50%),Vlookup(F484,DATABASE!C:Q,10,false)*G484)</f>
        <v>0</v>
      </c>
      <c r="L484" s="74">
        <f>VLOOKUP(F484,DATABASE!C:Q,7,FALSE)</f>
        <v>1980000</v>
      </c>
      <c r="M484" s="74">
        <v>1850000.0</v>
      </c>
      <c r="N484" s="74">
        <f t="shared" si="8"/>
        <v>1850000</v>
      </c>
      <c r="O484" s="74">
        <f t="shared" si="3"/>
        <v>7800000</v>
      </c>
      <c r="P484" s="63">
        <f t="shared" si="4"/>
        <v>8200000</v>
      </c>
      <c r="Q484" s="63">
        <f t="shared" si="5"/>
        <v>800000</v>
      </c>
      <c r="R484" s="93" t="str">
        <f>VLOOKUP(F484,DATABASE!C:Q,4,false)</f>
        <v>Advance</v>
      </c>
      <c r="S484" s="93" t="str">
        <f>VLOOKUP(F484,DATABASE!C:P,11,false)</f>
        <v>Tire</v>
      </c>
      <c r="T484" s="93" t="str">
        <f>vlookup(F484,DATABASE!C:Q,8,false)</f>
        <v>BIAN</v>
      </c>
      <c r="Y484" s="81"/>
      <c r="Z484" s="9"/>
    </row>
    <row r="485" ht="22.5" customHeight="1">
      <c r="A485" s="49"/>
      <c r="C485" s="384">
        <v>45928.0</v>
      </c>
      <c r="D485" s="93">
        <v>45928.0</v>
      </c>
      <c r="E485" s="65" t="s">
        <v>1013</v>
      </c>
      <c r="F485" s="74" t="s">
        <v>1858</v>
      </c>
      <c r="G485" s="386">
        <v>2.0</v>
      </c>
      <c r="H485" s="74">
        <v>2125000.0</v>
      </c>
      <c r="I485" s="74">
        <v>2225000.0</v>
      </c>
      <c r="J485" s="60">
        <f t="shared" si="1"/>
        <v>45958</v>
      </c>
      <c r="K485" s="74">
        <f>if(F485="SERVICE",O485-(O485*50%),Vlookup(F485,DATABASE!C:Q,10,false)*G485)</f>
        <v>0</v>
      </c>
      <c r="L485" s="74">
        <f>VLOOKUP(F485,DATABASE!C:Q,7,FALSE)</f>
        <v>2030000</v>
      </c>
      <c r="M485" s="74">
        <v>2030000.0</v>
      </c>
      <c r="N485" s="74">
        <f t="shared" si="8"/>
        <v>2030000</v>
      </c>
      <c r="O485" s="74">
        <f t="shared" si="3"/>
        <v>4250000</v>
      </c>
      <c r="P485" s="63">
        <f t="shared" si="4"/>
        <v>4450000</v>
      </c>
      <c r="Q485" s="63">
        <f t="shared" si="5"/>
        <v>390000</v>
      </c>
      <c r="R485" s="93" t="str">
        <f>VLOOKUP(F485,DATABASE!C:Q,4,false)</f>
        <v>GiTi</v>
      </c>
      <c r="S485" s="93" t="str">
        <f>VLOOKUP(F485,DATABASE!C:P,11,false)</f>
        <v>Tire</v>
      </c>
      <c r="T485" s="93" t="str">
        <f>vlookup(F485,DATABASE!C:Q,8,false)</f>
        <v>BIAN</v>
      </c>
      <c r="Y485" s="81"/>
      <c r="Z485" s="9"/>
    </row>
    <row r="486" ht="22.5" customHeight="1">
      <c r="A486" s="49"/>
      <c r="C486" s="384">
        <v>45929.0</v>
      </c>
      <c r="D486" s="93">
        <v>45929.0</v>
      </c>
      <c r="E486" s="65" t="s">
        <v>208</v>
      </c>
      <c r="F486" s="74" t="s">
        <v>791</v>
      </c>
      <c r="G486" s="386">
        <v>2.0</v>
      </c>
      <c r="H486" s="74">
        <v>1280000.0</v>
      </c>
      <c r="I486" s="74">
        <v>1380000.0</v>
      </c>
      <c r="J486" s="60">
        <f t="shared" si="1"/>
        <v>45959</v>
      </c>
      <c r="K486" s="74">
        <f>if(F486="SERVICE",O486-(O486*50%),Vlookup(F486,DATABASE!C:Q,10,false)*G486)</f>
        <v>0</v>
      </c>
      <c r="L486" s="74">
        <f>VLOOKUP(F486,DATABASE!C:Q,7,FALSE)</f>
        <v>1210000</v>
      </c>
      <c r="M486" s="74">
        <v>1180000.0</v>
      </c>
      <c r="N486" s="74">
        <f t="shared" si="8"/>
        <v>1180000</v>
      </c>
      <c r="O486" s="74">
        <f t="shared" si="3"/>
        <v>2560000</v>
      </c>
      <c r="P486" s="63">
        <f t="shared" si="4"/>
        <v>2760000</v>
      </c>
      <c r="Q486" s="63">
        <f t="shared" si="5"/>
        <v>400000</v>
      </c>
      <c r="R486" s="93" t="str">
        <f>VLOOKUP(F486,DATABASE!C:Q,4,false)</f>
        <v>GT</v>
      </c>
      <c r="S486" s="93" t="str">
        <f>VLOOKUP(F486,DATABASE!C:P,11,false)</f>
        <v>Tire</v>
      </c>
      <c r="T486" s="93" t="str">
        <f>vlookup(F486,DATABASE!C:Q,8,false)</f>
        <v>BIAN</v>
      </c>
      <c r="Y486" s="81"/>
      <c r="Z486" s="9"/>
    </row>
    <row r="487" ht="22.5" customHeight="1">
      <c r="A487" s="49"/>
      <c r="C487" s="384">
        <v>45932.0</v>
      </c>
      <c r="D487" s="93">
        <v>45932.0</v>
      </c>
      <c r="E487" s="65" t="s">
        <v>144</v>
      </c>
      <c r="F487" s="74" t="s">
        <v>897</v>
      </c>
      <c r="G487" s="386">
        <v>1.0</v>
      </c>
      <c r="H487" s="74">
        <v>1600000.0</v>
      </c>
      <c r="I487" s="74">
        <v>1700000.0</v>
      </c>
      <c r="J487" s="60">
        <f t="shared" si="1"/>
        <v>45962</v>
      </c>
      <c r="K487" s="74">
        <f>if(F487="SERVICE",O487-(O487*50%),Vlookup(F487,DATABASE!C:Q,10,false)*G487)</f>
        <v>0</v>
      </c>
      <c r="L487" s="74">
        <f>VLOOKUP(F487,DATABASE!C:Q,7,FALSE)</f>
        <v>1560000</v>
      </c>
      <c r="M487" s="74">
        <v>1500000.0</v>
      </c>
      <c r="N487" s="74">
        <f t="shared" si="8"/>
        <v>1500000</v>
      </c>
      <c r="O487" s="74">
        <f t="shared" si="3"/>
        <v>1600000</v>
      </c>
      <c r="P487" s="63">
        <f t="shared" si="4"/>
        <v>1700000</v>
      </c>
      <c r="Q487" s="63">
        <f t="shared" si="5"/>
        <v>200000</v>
      </c>
      <c r="R487" s="93" t="str">
        <f>VLOOKUP(F487,DATABASE!C:Q,4,false)</f>
        <v>GT</v>
      </c>
      <c r="S487" s="93" t="str">
        <f>VLOOKUP(F487,DATABASE!C:P,11,false)</f>
        <v>Tire</v>
      </c>
      <c r="T487" s="93" t="str">
        <f>vlookup(F487,DATABASE!C:Q,8,false)</f>
        <v>BIAN</v>
      </c>
      <c r="Y487" s="81"/>
      <c r="Z487" s="9"/>
    </row>
    <row r="488" ht="22.5" customHeight="1">
      <c r="A488" s="49"/>
      <c r="C488" s="384">
        <v>45932.0</v>
      </c>
      <c r="D488" s="93">
        <v>45932.0</v>
      </c>
      <c r="E488" s="65" t="s">
        <v>144</v>
      </c>
      <c r="F488" s="74" t="s">
        <v>744</v>
      </c>
      <c r="G488" s="386">
        <v>1.0</v>
      </c>
      <c r="H488" s="74">
        <v>230000.0</v>
      </c>
      <c r="I488" s="74">
        <v>250000.0</v>
      </c>
      <c r="J488" s="60">
        <f t="shared" si="1"/>
        <v>45962</v>
      </c>
      <c r="K488" s="74">
        <f>if(F488="SERVICE",O488-(O488*50%),Vlookup(F488,DATABASE!C:Q,10,false)*G488)</f>
        <v>0</v>
      </c>
      <c r="L488" s="74">
        <f>VLOOKUP(F488,DATABASE!C:Q,7,FALSE)</f>
        <v>182200</v>
      </c>
      <c r="M488" s="74">
        <v>199920.0</v>
      </c>
      <c r="N488" s="74">
        <f t="shared" si="8"/>
        <v>200000</v>
      </c>
      <c r="O488" s="74">
        <f t="shared" si="3"/>
        <v>230000</v>
      </c>
      <c r="P488" s="63">
        <f t="shared" si="4"/>
        <v>250000</v>
      </c>
      <c r="Q488" s="63">
        <f t="shared" si="5"/>
        <v>50000</v>
      </c>
      <c r="R488" s="93" t="str">
        <f>VLOOKUP(F488,DATABASE!C:Q,4,false)</f>
        <v>BD</v>
      </c>
      <c r="S488" s="93" t="str">
        <f>VLOOKUP(F488,DATABASE!C:P,11,false)</f>
        <v>Tire</v>
      </c>
      <c r="T488" s="93" t="str">
        <f>vlookup(F488,DATABASE!C:Q,8,false)</f>
        <v>BIAN</v>
      </c>
      <c r="Y488" s="81"/>
      <c r="Z488" s="9"/>
    </row>
    <row r="489" ht="22.5" customHeight="1">
      <c r="A489" s="49"/>
      <c r="C489" s="384">
        <v>45933.0</v>
      </c>
      <c r="D489" s="93">
        <v>45933.0</v>
      </c>
      <c r="E489" s="65" t="s">
        <v>74</v>
      </c>
      <c r="F489" s="74" t="s">
        <v>791</v>
      </c>
      <c r="G489" s="386">
        <v>2.0</v>
      </c>
      <c r="H489" s="74">
        <v>1300000.0</v>
      </c>
      <c r="I489" s="74">
        <v>1300000.0</v>
      </c>
      <c r="J489" s="60">
        <f t="shared" si="1"/>
        <v>45963</v>
      </c>
      <c r="K489" s="74">
        <f>if(F489="SERVICE",O489-(O489*50%),Vlookup(F489,DATABASE!C:Q,10,false)*G489)</f>
        <v>0</v>
      </c>
      <c r="L489" s="74">
        <f>VLOOKUP(F489,DATABASE!C:Q,7,FALSE)</f>
        <v>1210000</v>
      </c>
      <c r="M489" s="74">
        <v>1180000.0</v>
      </c>
      <c r="N489" s="74">
        <f t="shared" si="8"/>
        <v>1180000</v>
      </c>
      <c r="O489" s="74">
        <f t="shared" si="3"/>
        <v>2600000</v>
      </c>
      <c r="P489" s="63">
        <f t="shared" si="4"/>
        <v>2600000</v>
      </c>
      <c r="Q489" s="63">
        <f t="shared" si="5"/>
        <v>240000</v>
      </c>
      <c r="R489" s="93" t="str">
        <f>VLOOKUP(F489,DATABASE!C:Q,4,false)</f>
        <v>GT</v>
      </c>
      <c r="S489" s="93" t="str">
        <f>VLOOKUP(F489,DATABASE!C:P,11,false)</f>
        <v>Tire</v>
      </c>
      <c r="T489" s="93" t="str">
        <f>vlookup(F489,DATABASE!C:Q,8,false)</f>
        <v>BIAN</v>
      </c>
      <c r="Y489" s="81"/>
      <c r="Z489" s="9"/>
    </row>
    <row r="490" ht="22.5" customHeight="1">
      <c r="A490" s="49"/>
      <c r="C490" s="384">
        <v>45933.0</v>
      </c>
      <c r="D490" s="93">
        <v>45933.0</v>
      </c>
      <c r="E490" s="65" t="s">
        <v>74</v>
      </c>
      <c r="F490" s="74" t="s">
        <v>255</v>
      </c>
      <c r="G490" s="386">
        <v>2.0</v>
      </c>
      <c r="H490" s="74">
        <v>210000.0</v>
      </c>
      <c r="I490" s="74">
        <v>210000.0</v>
      </c>
      <c r="J490" s="60">
        <f t="shared" si="1"/>
        <v>45963</v>
      </c>
      <c r="K490" s="74">
        <f>if(F490="SERVICE",O490-(O490*50%),Vlookup(F490,DATABASE!C:Q,10,false)*G490)</f>
        <v>0</v>
      </c>
      <c r="L490" s="74">
        <f>VLOOKUP(F490,DATABASE!C:Q,7,FALSE)</f>
        <v>161840</v>
      </c>
      <c r="M490" s="74">
        <v>161840.0</v>
      </c>
      <c r="N490" s="74">
        <f t="shared" si="8"/>
        <v>165000</v>
      </c>
      <c r="O490" s="74">
        <f t="shared" si="3"/>
        <v>420000</v>
      </c>
      <c r="P490" s="63">
        <f t="shared" si="4"/>
        <v>420000</v>
      </c>
      <c r="Q490" s="63">
        <f t="shared" si="5"/>
        <v>90000</v>
      </c>
      <c r="R490" s="93" t="str">
        <f>VLOOKUP(F490,DATABASE!C:Q,4,false)</f>
        <v>BD</v>
      </c>
      <c r="S490" s="93" t="str">
        <f>VLOOKUP(F490,DATABASE!C:P,11,false)</f>
        <v>Tire</v>
      </c>
      <c r="T490" s="93" t="str">
        <f>vlookup(F490,DATABASE!C:Q,8,false)</f>
        <v>BIAN</v>
      </c>
      <c r="Y490" s="81"/>
      <c r="Z490" s="9"/>
    </row>
    <row r="491" ht="22.5" customHeight="1">
      <c r="A491" s="49"/>
      <c r="C491" s="384">
        <v>45933.0</v>
      </c>
      <c r="D491" s="93">
        <v>45933.0</v>
      </c>
      <c r="E491" s="65" t="s">
        <v>74</v>
      </c>
      <c r="F491" s="74" t="s">
        <v>1695</v>
      </c>
      <c r="G491" s="386">
        <v>2.0</v>
      </c>
      <c r="H491" s="74">
        <v>65000.0</v>
      </c>
      <c r="I491" s="74">
        <v>65000.0</v>
      </c>
      <c r="J491" s="60">
        <f t="shared" si="1"/>
        <v>45963</v>
      </c>
      <c r="K491" s="74">
        <f>if(F491="SERVICE",O491-(O491*50%),Vlookup(F491,DATABASE!C:Q,10,false)*G491)</f>
        <v>0</v>
      </c>
      <c r="L491" s="74">
        <f>VLOOKUP(F491,DATABASE!C:Q,7,FALSE)</f>
        <v>34000</v>
      </c>
      <c r="M491" s="74">
        <v>34000.0</v>
      </c>
      <c r="N491" s="74">
        <f t="shared" si="8"/>
        <v>35000</v>
      </c>
      <c r="O491" s="74">
        <f t="shared" si="3"/>
        <v>130000</v>
      </c>
      <c r="P491" s="63">
        <f t="shared" si="4"/>
        <v>130000</v>
      </c>
      <c r="Q491" s="63">
        <f t="shared" si="5"/>
        <v>60000</v>
      </c>
      <c r="R491" s="93" t="str">
        <f>VLOOKUP(F491,DATABASE!C:Q,4,false)</f>
        <v>Flap</v>
      </c>
      <c r="S491" s="93" t="str">
        <f>VLOOKUP(F491,DATABASE!C:P,11,false)</f>
        <v>Tire</v>
      </c>
      <c r="T491" s="93" t="str">
        <f>vlookup(F491,DATABASE!C:Q,8,false)</f>
        <v>BIAN</v>
      </c>
      <c r="Y491" s="81"/>
      <c r="Z491" s="9"/>
    </row>
    <row r="492" ht="22.5" customHeight="1">
      <c r="A492" s="49"/>
      <c r="C492" s="384">
        <v>45935.0</v>
      </c>
      <c r="D492" s="93">
        <v>45935.0</v>
      </c>
      <c r="E492" s="65" t="s">
        <v>867</v>
      </c>
      <c r="F492" s="93" t="s">
        <v>2345</v>
      </c>
      <c r="G492" s="386">
        <v>1.0</v>
      </c>
      <c r="H492" s="74">
        <v>775000.0</v>
      </c>
      <c r="I492" s="74">
        <v>875000.0</v>
      </c>
      <c r="J492" s="60">
        <f t="shared" si="1"/>
        <v>45965</v>
      </c>
      <c r="K492" s="74">
        <f>if(F492="SERVICE",O492-(O492*50%),Vlookup(F492,DATABASE!C:Q,10,false)*G492)</f>
        <v>0</v>
      </c>
      <c r="L492" s="74">
        <f>VLOOKUP(F492,DATABASE!C:Q,7,FALSE)</f>
        <v>680000</v>
      </c>
      <c r="M492" s="74">
        <v>650000.0</v>
      </c>
      <c r="N492" s="74">
        <f t="shared" si="8"/>
        <v>650000</v>
      </c>
      <c r="O492" s="74">
        <f t="shared" si="3"/>
        <v>775000</v>
      </c>
      <c r="P492" s="63">
        <f t="shared" si="4"/>
        <v>875000</v>
      </c>
      <c r="Q492" s="63">
        <f t="shared" si="5"/>
        <v>225000</v>
      </c>
      <c r="R492" s="93" t="str">
        <f>VLOOKUP(F492,DATABASE!C:Q,4,false)</f>
        <v>Velg</v>
      </c>
      <c r="S492" s="93" t="str">
        <f>VLOOKUP(F492,DATABASE!C:P,11,false)</f>
        <v>Tire</v>
      </c>
      <c r="T492" s="93" t="str">
        <f>vlookup(F492,DATABASE!C:Q,8,false)</f>
        <v>BIAN</v>
      </c>
      <c r="Y492" s="81"/>
      <c r="Z492" s="9"/>
    </row>
    <row r="493" ht="22.5" customHeight="1">
      <c r="A493" s="49"/>
      <c r="C493" s="384">
        <v>45937.0</v>
      </c>
      <c r="D493" s="93">
        <v>45937.0</v>
      </c>
      <c r="E493" s="65" t="s">
        <v>267</v>
      </c>
      <c r="F493" s="74" t="s">
        <v>391</v>
      </c>
      <c r="G493" s="386">
        <v>2.0</v>
      </c>
      <c r="H493" s="74">
        <v>1950000.0</v>
      </c>
      <c r="I493" s="74">
        <v>2050000.0</v>
      </c>
      <c r="J493" s="60">
        <f t="shared" si="1"/>
        <v>45967</v>
      </c>
      <c r="K493" s="74">
        <f>if(F493="SERVICE",O493-(O493*50%),Vlookup(F493,DATABASE!C:Q,10,false)*G493)</f>
        <v>0</v>
      </c>
      <c r="L493" s="74">
        <f>VLOOKUP(F493,DATABASE!C:Q,7,FALSE)</f>
        <v>1885000</v>
      </c>
      <c r="M493" s="74">
        <v>1840000.0</v>
      </c>
      <c r="N493" s="74">
        <f t="shared" si="8"/>
        <v>1840000</v>
      </c>
      <c r="O493" s="74">
        <f t="shared" si="3"/>
        <v>3900000</v>
      </c>
      <c r="P493" s="63">
        <f t="shared" si="4"/>
        <v>4100000</v>
      </c>
      <c r="Q493" s="63">
        <f t="shared" si="5"/>
        <v>420000</v>
      </c>
      <c r="R493" s="93" t="str">
        <f>VLOOKUP(F493,DATABASE!C:Q,4,false)</f>
        <v>Advance</v>
      </c>
      <c r="S493" s="93" t="str">
        <f>VLOOKUP(F493,DATABASE!C:P,11,false)</f>
        <v>Tire</v>
      </c>
      <c r="T493" s="93" t="str">
        <f>vlookup(F493,DATABASE!C:Q,8,false)</f>
        <v>BIAN</v>
      </c>
      <c r="Y493" s="81"/>
      <c r="Z493" s="9"/>
    </row>
    <row r="494" ht="22.5" customHeight="1">
      <c r="A494" s="49"/>
      <c r="C494" s="384">
        <v>45939.0</v>
      </c>
      <c r="D494" s="93">
        <v>45939.0</v>
      </c>
      <c r="E494" s="65" t="s">
        <v>346</v>
      </c>
      <c r="F494" s="74" t="s">
        <v>403</v>
      </c>
      <c r="G494" s="386">
        <v>4.0</v>
      </c>
      <c r="H494" s="74">
        <v>2260000.0</v>
      </c>
      <c r="I494" s="74">
        <v>2360000.0</v>
      </c>
      <c r="J494" s="60">
        <f t="shared" si="1"/>
        <v>45969</v>
      </c>
      <c r="K494" s="74">
        <f>if(F494="SERVICE",O494-(O494*50%),Vlookup(F494,DATABASE!C:Q,10,false)*G494)</f>
        <v>0</v>
      </c>
      <c r="L494" s="74">
        <f>VLOOKUP(F494,DATABASE!C:Q,7,FALSE)</f>
        <v>2160000</v>
      </c>
      <c r="M494" s="74">
        <v>2160000.0</v>
      </c>
      <c r="N494" s="74">
        <f t="shared" si="8"/>
        <v>2160000</v>
      </c>
      <c r="O494" s="74">
        <f t="shared" si="3"/>
        <v>9040000</v>
      </c>
      <c r="P494" s="63">
        <f t="shared" si="4"/>
        <v>9440000</v>
      </c>
      <c r="Q494" s="63">
        <f t="shared" si="5"/>
        <v>800000</v>
      </c>
      <c r="R494" s="93" t="str">
        <f>VLOOKUP(F494,DATABASE!C:Q,4,false)</f>
        <v>Advance</v>
      </c>
      <c r="S494" s="93" t="str">
        <f>VLOOKUP(F494,DATABASE!C:P,11,false)</f>
        <v>Tire</v>
      </c>
      <c r="T494" s="93" t="str">
        <f>vlookup(F494,DATABASE!C:Q,8,false)</f>
        <v>BIAN</v>
      </c>
      <c r="Y494" s="81"/>
      <c r="Z494" s="9"/>
    </row>
    <row r="495" ht="22.5" customHeight="1">
      <c r="A495" s="49"/>
      <c r="C495" s="384">
        <v>45941.0</v>
      </c>
      <c r="D495" s="93">
        <v>45941.0</v>
      </c>
      <c r="E495" s="65" t="s">
        <v>971</v>
      </c>
      <c r="F495" s="74" t="s">
        <v>924</v>
      </c>
      <c r="G495" s="386">
        <v>1.0</v>
      </c>
      <c r="H495" s="74">
        <v>1650000.0</v>
      </c>
      <c r="I495" s="74">
        <v>1750000.0</v>
      </c>
      <c r="J495" s="60">
        <f t="shared" si="1"/>
        <v>45971</v>
      </c>
      <c r="K495" s="74">
        <f>if(F495="SERVICE",O495-(O495*50%),Vlookup(F495,DATABASE!C:Q,10,false)*G495)</f>
        <v>0</v>
      </c>
      <c r="L495" s="74">
        <f>VLOOKUP(F495,DATABASE!C:Q,7,FALSE)</f>
        <v>1560000</v>
      </c>
      <c r="M495" s="74">
        <v>1545000.0</v>
      </c>
      <c r="N495" s="74">
        <f t="shared" si="8"/>
        <v>1545000</v>
      </c>
      <c r="O495" s="74">
        <f t="shared" si="3"/>
        <v>1650000</v>
      </c>
      <c r="P495" s="63">
        <f t="shared" si="4"/>
        <v>1750000</v>
      </c>
      <c r="Q495" s="63">
        <f t="shared" si="5"/>
        <v>205000</v>
      </c>
      <c r="R495" s="93" t="str">
        <f>VLOOKUP(F495,DATABASE!C:Q,4,false)</f>
        <v>TIRON</v>
      </c>
      <c r="S495" s="93" t="str">
        <f>VLOOKUP(F495,DATABASE!C:P,11,false)</f>
        <v>Tire</v>
      </c>
      <c r="T495" s="93" t="str">
        <f>vlookup(F495,DATABASE!C:Q,8,false)</f>
        <v>BIAN</v>
      </c>
      <c r="Y495" s="81"/>
      <c r="Z495" s="9"/>
    </row>
    <row r="496" ht="22.5" customHeight="1">
      <c r="A496" s="49"/>
      <c r="C496" s="384">
        <v>45941.0</v>
      </c>
      <c r="D496" s="93">
        <v>45941.0</v>
      </c>
      <c r="E496" s="65" t="s">
        <v>144</v>
      </c>
      <c r="F496" s="74" t="s">
        <v>924</v>
      </c>
      <c r="G496" s="386">
        <v>1.0</v>
      </c>
      <c r="H496" s="74">
        <v>1650000.0</v>
      </c>
      <c r="I496" s="74">
        <v>1750000.0</v>
      </c>
      <c r="J496" s="60">
        <f t="shared" si="1"/>
        <v>45971</v>
      </c>
      <c r="K496" s="74">
        <f>if(F496="SERVICE",O496-(O496*50%),Vlookup(F496,DATABASE!C:Q,10,false)*G496)</f>
        <v>0</v>
      </c>
      <c r="L496" s="74">
        <f>VLOOKUP(F496,DATABASE!C:Q,7,FALSE)</f>
        <v>1560000</v>
      </c>
      <c r="M496" s="74">
        <v>1545000.0</v>
      </c>
      <c r="N496" s="74">
        <f t="shared" si="8"/>
        <v>1545000</v>
      </c>
      <c r="O496" s="74">
        <f t="shared" si="3"/>
        <v>1650000</v>
      </c>
      <c r="P496" s="63">
        <f t="shared" si="4"/>
        <v>1750000</v>
      </c>
      <c r="Q496" s="63">
        <f t="shared" si="5"/>
        <v>205000</v>
      </c>
      <c r="R496" s="93" t="str">
        <f>VLOOKUP(F496,DATABASE!C:Q,4,false)</f>
        <v>TIRON</v>
      </c>
      <c r="S496" s="93" t="str">
        <f>VLOOKUP(F496,DATABASE!C:P,11,false)</f>
        <v>Tire</v>
      </c>
      <c r="T496" s="93" t="str">
        <f>vlookup(F496,DATABASE!C:Q,8,false)</f>
        <v>BIAN</v>
      </c>
      <c r="Y496" s="81"/>
      <c r="Z496" s="9"/>
    </row>
    <row r="497" ht="22.5" customHeight="1">
      <c r="A497" s="49"/>
      <c r="C497" s="384">
        <v>45941.0</v>
      </c>
      <c r="D497" s="93">
        <v>45941.0</v>
      </c>
      <c r="E497" s="65" t="s">
        <v>1061</v>
      </c>
      <c r="F497" s="74" t="s">
        <v>1051</v>
      </c>
      <c r="G497" s="386">
        <v>2.0</v>
      </c>
      <c r="H497" s="74">
        <v>995000.0</v>
      </c>
      <c r="I497" s="74">
        <v>995000.0</v>
      </c>
      <c r="J497" s="60">
        <f t="shared" si="1"/>
        <v>45971</v>
      </c>
      <c r="K497" s="74">
        <f>if(F497="SERVICE",O497-(O497*50%),Vlookup(F497,DATABASE!C:Q,10,false)*G497)</f>
        <v>0</v>
      </c>
      <c r="L497" s="74">
        <f>VLOOKUP(F497,DATABASE!C:Q,7,FALSE)</f>
        <v>895000</v>
      </c>
      <c r="M497" s="74">
        <v>895000.0</v>
      </c>
      <c r="N497" s="74">
        <f t="shared" si="8"/>
        <v>895000</v>
      </c>
      <c r="O497" s="74">
        <f t="shared" si="3"/>
        <v>1990000</v>
      </c>
      <c r="P497" s="63">
        <f t="shared" si="4"/>
        <v>1990000</v>
      </c>
      <c r="Q497" s="63">
        <f t="shared" si="5"/>
        <v>200000</v>
      </c>
      <c r="R497" s="93" t="str">
        <f>VLOOKUP(F497,DATABASE!C:Q,4,false)</f>
        <v>Dunlop</v>
      </c>
      <c r="S497" s="93" t="str">
        <f>VLOOKUP(F497,DATABASE!C:P,11,false)</f>
        <v>Tire</v>
      </c>
      <c r="T497" s="93" t="str">
        <f>vlookup(F497,DATABASE!C:Q,8,false)</f>
        <v>IBU</v>
      </c>
      <c r="Y497" s="81"/>
      <c r="Z497" s="9"/>
    </row>
    <row r="498" ht="22.5" customHeight="1">
      <c r="A498" s="49"/>
      <c r="C498" s="384">
        <v>45941.0</v>
      </c>
      <c r="D498" s="93">
        <v>45941.0</v>
      </c>
      <c r="E498" s="65" t="s">
        <v>1061</v>
      </c>
      <c r="F498" s="74" t="s">
        <v>604</v>
      </c>
      <c r="G498" s="386">
        <v>1.0</v>
      </c>
      <c r="H498" s="74">
        <v>160000.0</v>
      </c>
      <c r="I498" s="74">
        <v>160000.0</v>
      </c>
      <c r="J498" s="60">
        <f t="shared" si="1"/>
        <v>45971</v>
      </c>
      <c r="K498" s="74">
        <f>if(F498="SERVICE",O498-(O498*50%),Vlookup(F498,DATABASE!C:Q,10,false)*G498)</f>
        <v>0</v>
      </c>
      <c r="L498" s="74">
        <f>VLOOKUP(F498,DATABASE!C:Q,7,FALSE)</f>
        <v>124000</v>
      </c>
      <c r="M498" s="74">
        <v>124000.0</v>
      </c>
      <c r="N498" s="74">
        <f t="shared" si="8"/>
        <v>125000</v>
      </c>
      <c r="O498" s="74">
        <f t="shared" si="3"/>
        <v>160000</v>
      </c>
      <c r="P498" s="63">
        <f t="shared" si="4"/>
        <v>160000</v>
      </c>
      <c r="Q498" s="63">
        <f t="shared" si="5"/>
        <v>35000</v>
      </c>
      <c r="R498" s="93" t="str">
        <f>VLOOKUP(F498,DATABASE!C:Q,4,false)</f>
        <v>BD</v>
      </c>
      <c r="S498" s="93" t="str">
        <f>VLOOKUP(F498,DATABASE!C:P,11,false)</f>
        <v>Tire</v>
      </c>
      <c r="T498" s="93" t="str">
        <f>vlookup(F498,DATABASE!C:Q,8,false)</f>
        <v>BIAN</v>
      </c>
      <c r="Y498" s="81"/>
      <c r="Z498" s="9"/>
    </row>
    <row r="499" ht="22.5" customHeight="1">
      <c r="A499" s="49"/>
      <c r="C499" s="384">
        <v>45943.0</v>
      </c>
      <c r="D499" s="93">
        <v>45943.0</v>
      </c>
      <c r="E499" s="65" t="s">
        <v>962</v>
      </c>
      <c r="F499" s="74" t="s">
        <v>271</v>
      </c>
      <c r="G499" s="386">
        <v>2.0</v>
      </c>
      <c r="H499" s="74">
        <v>640000.0</v>
      </c>
      <c r="I499" s="74">
        <v>720000.0</v>
      </c>
      <c r="J499" s="60">
        <f t="shared" si="1"/>
        <v>45973</v>
      </c>
      <c r="K499" s="74">
        <f>if(F499="SERVICE",O499-(O499*50%),Vlookup(F499,DATABASE!C:Q,10,false)*G499)</f>
        <v>0</v>
      </c>
      <c r="L499" s="74">
        <f>VLOOKUP(F499,DATABASE!C:Q,7,FALSE)</f>
        <v>570000</v>
      </c>
      <c r="M499" s="74">
        <v>539000.0</v>
      </c>
      <c r="N499" s="74">
        <f t="shared" si="8"/>
        <v>540000</v>
      </c>
      <c r="O499" s="74">
        <f t="shared" si="3"/>
        <v>1280000</v>
      </c>
      <c r="P499" s="63">
        <f t="shared" si="4"/>
        <v>1440000</v>
      </c>
      <c r="Q499" s="63">
        <f t="shared" si="5"/>
        <v>360000</v>
      </c>
      <c r="R499" s="93" t="str">
        <f>VLOOKUP(F499,DATABASE!C:Q,4,false)</f>
        <v>Dunlop</v>
      </c>
      <c r="S499" s="93" t="str">
        <f>VLOOKUP(F499,DATABASE!C:P,11,false)</f>
        <v>Tire</v>
      </c>
      <c r="T499" s="93" t="str">
        <f>vlookup(F499,DATABASE!C:Q,8,false)</f>
        <v>IBU</v>
      </c>
      <c r="Y499" s="81"/>
      <c r="Z499" s="9"/>
    </row>
    <row r="500" ht="22.5" customHeight="1">
      <c r="A500" s="49"/>
      <c r="C500" s="384">
        <v>45945.0</v>
      </c>
      <c r="D500" s="93">
        <v>45945.0</v>
      </c>
      <c r="E500" s="65" t="s">
        <v>1031</v>
      </c>
      <c r="F500" s="74" t="s">
        <v>647</v>
      </c>
      <c r="G500" s="386">
        <v>2.0</v>
      </c>
      <c r="H500" s="74">
        <v>1520000.0</v>
      </c>
      <c r="I500" s="74">
        <v>1520000.0</v>
      </c>
      <c r="J500" s="60">
        <f t="shared" si="1"/>
        <v>45975</v>
      </c>
      <c r="K500" s="74">
        <f>if(F500="SERVICE",O500-(O500*50%),Vlookup(F500,DATABASE!C:Q,10,false)*G500)</f>
        <v>0</v>
      </c>
      <c r="L500" s="74">
        <f>VLOOKUP(F500,DATABASE!C:Q,7,FALSE)</f>
        <v>1420000</v>
      </c>
      <c r="M500" s="74">
        <v>1420000.0</v>
      </c>
      <c r="N500" s="74">
        <f t="shared" si="8"/>
        <v>1420000</v>
      </c>
      <c r="O500" s="74">
        <f t="shared" si="3"/>
        <v>3040000</v>
      </c>
      <c r="P500" s="63">
        <f t="shared" si="4"/>
        <v>3040000</v>
      </c>
      <c r="Q500" s="63">
        <f t="shared" si="5"/>
        <v>200000</v>
      </c>
      <c r="R500" s="93" t="str">
        <f>VLOOKUP(F500,DATABASE!C:Q,4,false)</f>
        <v>G. YEAR</v>
      </c>
      <c r="S500" s="93" t="str">
        <f>VLOOKUP(F500,DATABASE!C:P,11,false)</f>
        <v>Tire</v>
      </c>
      <c r="T500" s="93" t="str">
        <f>vlookup(F500,DATABASE!C:Q,8,false)</f>
        <v>BIAN</v>
      </c>
      <c r="Y500" s="81"/>
      <c r="Z500" s="9"/>
    </row>
    <row r="501" ht="22.5" customHeight="1">
      <c r="A501" s="49"/>
      <c r="C501" s="384">
        <v>45945.0</v>
      </c>
      <c r="D501" s="93">
        <v>45945.0</v>
      </c>
      <c r="E501" s="65" t="s">
        <v>1013</v>
      </c>
      <c r="F501" s="74" t="s">
        <v>924</v>
      </c>
      <c r="G501" s="386">
        <v>1.0</v>
      </c>
      <c r="H501" s="74">
        <v>1650000.0</v>
      </c>
      <c r="I501" s="74">
        <v>1750000.0</v>
      </c>
      <c r="J501" s="60">
        <f t="shared" si="1"/>
        <v>45975</v>
      </c>
      <c r="K501" s="74">
        <f>if(F501="SERVICE",O501-(O501*50%),Vlookup(F501,DATABASE!C:Q,10,false)*G501)</f>
        <v>0</v>
      </c>
      <c r="L501" s="74">
        <f>VLOOKUP(F501,DATABASE!C:Q,7,FALSE)</f>
        <v>1560000</v>
      </c>
      <c r="M501" s="74">
        <v>1545000.0</v>
      </c>
      <c r="N501" s="74">
        <f t="shared" si="8"/>
        <v>1545000</v>
      </c>
      <c r="O501" s="74">
        <f t="shared" si="3"/>
        <v>1650000</v>
      </c>
      <c r="P501" s="63">
        <f t="shared" si="4"/>
        <v>1750000</v>
      </c>
      <c r="Q501" s="63">
        <f t="shared" si="5"/>
        <v>205000</v>
      </c>
      <c r="R501" s="93" t="str">
        <f>VLOOKUP(F501,DATABASE!C:Q,4,false)</f>
        <v>TIRON</v>
      </c>
      <c r="S501" s="93" t="str">
        <f>VLOOKUP(F501,DATABASE!C:P,11,false)</f>
        <v>Tire</v>
      </c>
      <c r="T501" s="93" t="str">
        <f>vlookup(F501,DATABASE!C:Q,8,false)</f>
        <v>BIAN</v>
      </c>
      <c r="Y501" s="81"/>
      <c r="Z501" s="9"/>
    </row>
    <row r="502" ht="22.5" customHeight="1">
      <c r="A502" s="49"/>
      <c r="C502" s="384">
        <v>45945.0</v>
      </c>
      <c r="D502" s="93">
        <v>45945.0</v>
      </c>
      <c r="E502" s="65" t="s">
        <v>1013</v>
      </c>
      <c r="F502" s="74" t="s">
        <v>1862</v>
      </c>
      <c r="G502" s="386">
        <v>2.0</v>
      </c>
      <c r="H502" s="74">
        <v>2150000.0</v>
      </c>
      <c r="I502" s="74">
        <v>2250000.0</v>
      </c>
      <c r="J502" s="60">
        <f t="shared" si="1"/>
        <v>45975</v>
      </c>
      <c r="K502" s="74">
        <f>if(F502="SERVICE",O502-(O502*50%),Vlookup(F502,DATABASE!C:Q,10,false)*G502)</f>
        <v>0</v>
      </c>
      <c r="L502" s="74">
        <f>VLOOKUP(F502,DATABASE!C:Q,7,FALSE)</f>
        <v>2080000</v>
      </c>
      <c r="M502" s="74">
        <v>2050000.0</v>
      </c>
      <c r="N502" s="74">
        <f t="shared" si="8"/>
        <v>2050000</v>
      </c>
      <c r="O502" s="74">
        <f t="shared" si="3"/>
        <v>4300000</v>
      </c>
      <c r="P502" s="63">
        <f t="shared" si="4"/>
        <v>4500000</v>
      </c>
      <c r="Q502" s="63">
        <f t="shared" si="5"/>
        <v>400000</v>
      </c>
      <c r="R502" s="93" t="str">
        <f>VLOOKUP(F502,DATABASE!C:Q,4,false)</f>
        <v>GiTi</v>
      </c>
      <c r="S502" s="93" t="str">
        <f>VLOOKUP(F502,DATABASE!C:P,11,false)</f>
        <v>Tire</v>
      </c>
      <c r="T502" s="93" t="str">
        <f>vlookup(F502,DATABASE!C:Q,8,false)</f>
        <v>BIAN</v>
      </c>
      <c r="Y502" s="81"/>
      <c r="Z502" s="9"/>
    </row>
    <row r="503" ht="22.5" customHeight="1">
      <c r="A503" s="49"/>
      <c r="C503" s="384">
        <v>45946.0</v>
      </c>
      <c r="D503" s="93">
        <v>45946.0</v>
      </c>
      <c r="E503" s="65" t="s">
        <v>1013</v>
      </c>
      <c r="F503" s="74" t="s">
        <v>1858</v>
      </c>
      <c r="G503" s="386">
        <v>2.0</v>
      </c>
      <c r="H503" s="74">
        <v>2130000.0</v>
      </c>
      <c r="I503" s="74">
        <v>2230000.0</v>
      </c>
      <c r="J503" s="60">
        <f t="shared" si="1"/>
        <v>45976</v>
      </c>
      <c r="K503" s="74">
        <f>if(F503="SERVICE",O503-(O503*50%),Vlookup(F503,DATABASE!C:Q,10,false)*G503)</f>
        <v>0</v>
      </c>
      <c r="L503" s="74">
        <f>VLOOKUP(F503,DATABASE!C:Q,7,FALSE)</f>
        <v>2030000</v>
      </c>
      <c r="M503" s="74">
        <v>2030000.0</v>
      </c>
      <c r="N503" s="74">
        <f t="shared" si="8"/>
        <v>2030000</v>
      </c>
      <c r="O503" s="74">
        <f t="shared" si="3"/>
        <v>4260000</v>
      </c>
      <c r="P503" s="63">
        <f t="shared" si="4"/>
        <v>4460000</v>
      </c>
      <c r="Q503" s="63">
        <f t="shared" si="5"/>
        <v>400000</v>
      </c>
      <c r="R503" s="93" t="str">
        <f>VLOOKUP(F503,DATABASE!C:Q,4,false)</f>
        <v>GiTi</v>
      </c>
      <c r="S503" s="93" t="str">
        <f>VLOOKUP(F503,DATABASE!C:P,11,false)</f>
        <v>Tire</v>
      </c>
      <c r="T503" s="93" t="str">
        <f>vlookup(F503,DATABASE!C:Q,8,false)</f>
        <v>BIAN</v>
      </c>
      <c r="Y503" s="81"/>
      <c r="Z503" s="9"/>
    </row>
    <row r="504" ht="22.5" customHeight="1">
      <c r="A504" s="49"/>
      <c r="C504" s="384">
        <v>45947.0</v>
      </c>
      <c r="D504" s="93">
        <v>45947.0</v>
      </c>
      <c r="E504" s="65" t="s">
        <v>1073</v>
      </c>
      <c r="F504" s="74" t="s">
        <v>622</v>
      </c>
      <c r="G504" s="386">
        <v>4.0</v>
      </c>
      <c r="H504" s="74">
        <v>910000.0</v>
      </c>
      <c r="I504" s="74">
        <v>990000.0</v>
      </c>
      <c r="J504" s="60">
        <f t="shared" si="1"/>
        <v>45977</v>
      </c>
      <c r="K504" s="74">
        <f>if(F504="SERVICE",O504-(O504*50%),Vlookup(F504,DATABASE!C:Q,10,false)*G504)</f>
        <v>0</v>
      </c>
      <c r="L504" s="74">
        <f>VLOOKUP(F504,DATABASE!C:Q,7,FALSE)</f>
        <v>851110.375</v>
      </c>
      <c r="M504" s="74">
        <v>810342.44</v>
      </c>
      <c r="N504" s="74">
        <f t="shared" si="8"/>
        <v>815000</v>
      </c>
      <c r="O504" s="74">
        <f t="shared" si="3"/>
        <v>3640000</v>
      </c>
      <c r="P504" s="63">
        <f t="shared" si="4"/>
        <v>3960000</v>
      </c>
      <c r="Q504" s="63">
        <f t="shared" si="5"/>
        <v>700000</v>
      </c>
      <c r="R504" s="93" t="str">
        <f>VLOOKUP(F504,DATABASE!C:Q,4,false)</f>
        <v>Bridgestone</v>
      </c>
      <c r="S504" s="93" t="str">
        <f>VLOOKUP(F504,DATABASE!C:P,11,false)</f>
        <v>Tire</v>
      </c>
      <c r="T504" s="93" t="str">
        <f>vlookup(F504,DATABASE!C:Q,8,false)</f>
        <v>IBU</v>
      </c>
      <c r="Y504" s="81"/>
      <c r="Z504" s="9"/>
    </row>
    <row r="505" ht="22.5" customHeight="1">
      <c r="A505" s="49"/>
      <c r="C505" s="384">
        <v>45947.0</v>
      </c>
      <c r="D505" s="93">
        <v>45947.0</v>
      </c>
      <c r="E505" s="65" t="s">
        <v>901</v>
      </c>
      <c r="F505" s="74" t="s">
        <v>1862</v>
      </c>
      <c r="G505" s="386">
        <v>2.0</v>
      </c>
      <c r="H505" s="74">
        <v>2150000.0</v>
      </c>
      <c r="I505" s="74">
        <v>2250000.0</v>
      </c>
      <c r="J505" s="60">
        <f t="shared" si="1"/>
        <v>45977</v>
      </c>
      <c r="K505" s="74">
        <f>if(F505="SERVICE",O505-(O505*50%),Vlookup(F505,DATABASE!C:Q,10,false)*G505)</f>
        <v>0</v>
      </c>
      <c r="L505" s="74">
        <f>VLOOKUP(F505,DATABASE!C:Q,7,FALSE)</f>
        <v>2080000</v>
      </c>
      <c r="M505" s="74">
        <v>2050000.0</v>
      </c>
      <c r="N505" s="74">
        <f t="shared" si="8"/>
        <v>2050000</v>
      </c>
      <c r="O505" s="74">
        <f t="shared" si="3"/>
        <v>4300000</v>
      </c>
      <c r="P505" s="63">
        <f t="shared" si="4"/>
        <v>4500000</v>
      </c>
      <c r="Q505" s="63">
        <f t="shared" si="5"/>
        <v>400000</v>
      </c>
      <c r="R505" s="93" t="str">
        <f>VLOOKUP(F505,DATABASE!C:Q,4,false)</f>
        <v>GiTi</v>
      </c>
      <c r="S505" s="93" t="str">
        <f>VLOOKUP(F505,DATABASE!C:P,11,false)</f>
        <v>Tire</v>
      </c>
      <c r="T505" s="93" t="str">
        <f>vlookup(F505,DATABASE!C:Q,8,false)</f>
        <v>BIAN</v>
      </c>
      <c r="Y505" s="81"/>
      <c r="Z505" s="9"/>
    </row>
    <row r="506" ht="22.5" customHeight="1">
      <c r="A506" s="49"/>
      <c r="C506" s="384">
        <v>45948.0</v>
      </c>
      <c r="D506" s="93">
        <v>45948.0</v>
      </c>
      <c r="E506" s="65" t="s">
        <v>132</v>
      </c>
      <c r="F506" s="74" t="s">
        <v>566</v>
      </c>
      <c r="G506" s="386">
        <v>1.0</v>
      </c>
      <c r="H506" s="74">
        <v>1670000.0</v>
      </c>
      <c r="I506" s="74">
        <v>1770000.0</v>
      </c>
      <c r="J506" s="60">
        <f t="shared" si="1"/>
        <v>45978</v>
      </c>
      <c r="K506" s="74">
        <f>if(F506="SERVICE",O506-(O506*50%),Vlookup(F506,DATABASE!C:Q,10,false)*G506)</f>
        <v>0</v>
      </c>
      <c r="L506" s="74">
        <f>VLOOKUP(F506,DATABASE!C:Q,7,FALSE)</f>
        <v>1565000</v>
      </c>
      <c r="M506" s="74">
        <v>1545000.0</v>
      </c>
      <c r="N506" s="74">
        <f t="shared" si="8"/>
        <v>1545000</v>
      </c>
      <c r="O506" s="74">
        <f t="shared" si="3"/>
        <v>1670000</v>
      </c>
      <c r="P506" s="63">
        <f t="shared" si="4"/>
        <v>1770000</v>
      </c>
      <c r="Q506" s="63">
        <f t="shared" si="5"/>
        <v>225000</v>
      </c>
      <c r="R506" s="93" t="str">
        <f>VLOOKUP(F506,DATABASE!C:Q,4,false)</f>
        <v>Bridgestone</v>
      </c>
      <c r="S506" s="93" t="str">
        <f>VLOOKUP(F506,DATABASE!C:P,11,false)</f>
        <v>Tire</v>
      </c>
      <c r="T506" s="93" t="str">
        <f>vlookup(F506,DATABASE!C:Q,8,false)</f>
        <v>IBU</v>
      </c>
      <c r="Y506" s="81"/>
      <c r="Z506" s="9"/>
    </row>
    <row r="507" ht="22.5" customHeight="1">
      <c r="A507" s="49"/>
      <c r="C507" s="384">
        <v>45948.0</v>
      </c>
      <c r="D507" s="93">
        <v>45948.0</v>
      </c>
      <c r="E507" s="65" t="s">
        <v>132</v>
      </c>
      <c r="F507" s="74" t="s">
        <v>744</v>
      </c>
      <c r="G507" s="386">
        <v>1.0</v>
      </c>
      <c r="H507" s="74">
        <v>230000.0</v>
      </c>
      <c r="I507" s="74">
        <v>250000.0</v>
      </c>
      <c r="J507" s="60">
        <f t="shared" si="1"/>
        <v>45978</v>
      </c>
      <c r="K507" s="74">
        <f>if(F507="SERVICE",O507-(O507*50%),Vlookup(F507,DATABASE!C:Q,10,false)*G507)</f>
        <v>0</v>
      </c>
      <c r="L507" s="74">
        <f>VLOOKUP(F507,DATABASE!C:Q,7,FALSE)</f>
        <v>182200</v>
      </c>
      <c r="M507" s="74">
        <v>199920.0</v>
      </c>
      <c r="N507" s="74">
        <f t="shared" si="8"/>
        <v>200000</v>
      </c>
      <c r="O507" s="74">
        <f t="shared" si="3"/>
        <v>230000</v>
      </c>
      <c r="P507" s="63">
        <f t="shared" si="4"/>
        <v>250000</v>
      </c>
      <c r="Q507" s="63">
        <f t="shared" si="5"/>
        <v>50000</v>
      </c>
      <c r="R507" s="93" t="str">
        <f>VLOOKUP(F507,DATABASE!C:Q,4,false)</f>
        <v>BD</v>
      </c>
      <c r="S507" s="93" t="str">
        <f>VLOOKUP(F507,DATABASE!C:P,11,false)</f>
        <v>Tire</v>
      </c>
      <c r="T507" s="93" t="str">
        <f>vlookup(F507,DATABASE!C:Q,8,false)</f>
        <v>BIAN</v>
      </c>
      <c r="Y507" s="81"/>
      <c r="Z507" s="9"/>
    </row>
    <row r="508" ht="22.5" customHeight="1">
      <c r="A508" s="49"/>
      <c r="C508" s="384">
        <v>45948.0</v>
      </c>
      <c r="D508" s="93">
        <v>45948.0</v>
      </c>
      <c r="E508" s="65" t="s">
        <v>132</v>
      </c>
      <c r="F508" s="74" t="s">
        <v>821</v>
      </c>
      <c r="G508" s="386">
        <v>1.0</v>
      </c>
      <c r="H508" s="74">
        <v>85000.0</v>
      </c>
      <c r="I508" s="74">
        <v>100000.0</v>
      </c>
      <c r="J508" s="60">
        <f t="shared" si="1"/>
        <v>45978</v>
      </c>
      <c r="K508" s="74">
        <f>if(F508="SERVICE",O508-(O508*50%),Vlookup(F508,DATABASE!C:Q,10,false)*G508)</f>
        <v>0</v>
      </c>
      <c r="L508" s="74">
        <f>VLOOKUP(F508,DATABASE!C:Q,7,FALSE)</f>
        <v>43500</v>
      </c>
      <c r="M508" s="74">
        <v>43520.0</v>
      </c>
      <c r="N508" s="74">
        <f t="shared" si="8"/>
        <v>45000</v>
      </c>
      <c r="O508" s="74">
        <f t="shared" si="3"/>
        <v>85000</v>
      </c>
      <c r="P508" s="63">
        <f t="shared" si="4"/>
        <v>100000</v>
      </c>
      <c r="Q508" s="63">
        <f t="shared" si="5"/>
        <v>55000</v>
      </c>
      <c r="R508" s="93" t="str">
        <f>VLOOKUP(F508,DATABASE!C:Q,4,false)</f>
        <v>Flap</v>
      </c>
      <c r="S508" s="93" t="str">
        <f>VLOOKUP(F508,DATABASE!C:P,11,false)</f>
        <v>Tire</v>
      </c>
      <c r="T508" s="93" t="str">
        <f>vlookup(F508,DATABASE!C:Q,8,false)</f>
        <v>BIAN</v>
      </c>
      <c r="Y508" s="81"/>
      <c r="Z508" s="9"/>
    </row>
    <row r="509" ht="22.5" customHeight="1">
      <c r="A509" s="49"/>
      <c r="C509" s="384">
        <v>45948.0</v>
      </c>
      <c r="D509" s="93">
        <v>45948.0</v>
      </c>
      <c r="E509" s="65" t="s">
        <v>867</v>
      </c>
      <c r="F509" s="74" t="s">
        <v>566</v>
      </c>
      <c r="G509" s="386">
        <v>1.0</v>
      </c>
      <c r="H509" s="74">
        <v>1670000.0</v>
      </c>
      <c r="I509" s="74">
        <v>1770000.0</v>
      </c>
      <c r="J509" s="60">
        <f t="shared" si="1"/>
        <v>45978</v>
      </c>
      <c r="K509" s="74">
        <f>if(F509="SERVICE",O509-(O509*50%),Vlookup(F509,DATABASE!C:Q,10,false)*G509)</f>
        <v>0</v>
      </c>
      <c r="L509" s="74">
        <f>VLOOKUP(F509,DATABASE!C:Q,7,FALSE)</f>
        <v>1565000</v>
      </c>
      <c r="M509" s="74">
        <v>1545000.0</v>
      </c>
      <c r="N509" s="74">
        <f t="shared" si="8"/>
        <v>1545000</v>
      </c>
      <c r="O509" s="74">
        <f t="shared" si="3"/>
        <v>1670000</v>
      </c>
      <c r="P509" s="63">
        <f t="shared" si="4"/>
        <v>1770000</v>
      </c>
      <c r="Q509" s="63">
        <f t="shared" si="5"/>
        <v>225000</v>
      </c>
      <c r="R509" s="93" t="str">
        <f>VLOOKUP(F509,DATABASE!C:Q,4,false)</f>
        <v>Bridgestone</v>
      </c>
      <c r="S509" s="93" t="str">
        <f>VLOOKUP(F509,DATABASE!C:P,11,false)</f>
        <v>Tire</v>
      </c>
      <c r="T509" s="93" t="str">
        <f>vlookup(F509,DATABASE!C:Q,8,false)</f>
        <v>IBU</v>
      </c>
      <c r="Y509" s="81"/>
      <c r="Z509" s="9"/>
    </row>
    <row r="510" ht="22.5" customHeight="1">
      <c r="A510" s="49"/>
      <c r="C510" s="384">
        <v>45948.0</v>
      </c>
      <c r="D510" s="93">
        <v>45948.0</v>
      </c>
      <c r="E510" s="65" t="s">
        <v>867</v>
      </c>
      <c r="F510" s="74" t="s">
        <v>744</v>
      </c>
      <c r="G510" s="386">
        <v>1.0</v>
      </c>
      <c r="H510" s="74">
        <v>230000.0</v>
      </c>
      <c r="I510" s="74">
        <v>250000.0</v>
      </c>
      <c r="J510" s="60">
        <f t="shared" si="1"/>
        <v>45978</v>
      </c>
      <c r="K510" s="74">
        <f>if(F510="SERVICE",O510-(O510*50%),Vlookup(F510,DATABASE!C:Q,10,false)*G510)</f>
        <v>0</v>
      </c>
      <c r="L510" s="74">
        <f>VLOOKUP(F510,DATABASE!C:Q,7,FALSE)</f>
        <v>182200</v>
      </c>
      <c r="M510" s="74">
        <v>199920.0</v>
      </c>
      <c r="N510" s="74">
        <f t="shared" si="8"/>
        <v>200000</v>
      </c>
      <c r="O510" s="74">
        <f t="shared" si="3"/>
        <v>230000</v>
      </c>
      <c r="P510" s="63">
        <f t="shared" si="4"/>
        <v>250000</v>
      </c>
      <c r="Q510" s="63">
        <f t="shared" si="5"/>
        <v>50000</v>
      </c>
      <c r="R510" s="93" t="str">
        <f>VLOOKUP(F510,DATABASE!C:Q,4,false)</f>
        <v>BD</v>
      </c>
      <c r="S510" s="93" t="str">
        <f>VLOOKUP(F510,DATABASE!C:P,11,false)</f>
        <v>Tire</v>
      </c>
      <c r="T510" s="93" t="str">
        <f>vlookup(F510,DATABASE!C:Q,8,false)</f>
        <v>BIAN</v>
      </c>
      <c r="Y510" s="81"/>
      <c r="Z510" s="9"/>
    </row>
    <row r="511" ht="22.5" customHeight="1">
      <c r="A511" s="49"/>
      <c r="C511" s="384">
        <v>45948.0</v>
      </c>
      <c r="D511" s="93">
        <v>45948.0</v>
      </c>
      <c r="E511" s="65" t="s">
        <v>867</v>
      </c>
      <c r="F511" s="74" t="s">
        <v>821</v>
      </c>
      <c r="G511" s="386">
        <v>1.0</v>
      </c>
      <c r="H511" s="74">
        <v>85000.0</v>
      </c>
      <c r="I511" s="74">
        <v>100000.0</v>
      </c>
      <c r="J511" s="60">
        <f t="shared" si="1"/>
        <v>45978</v>
      </c>
      <c r="K511" s="74">
        <f>if(F511="SERVICE",O511-(O511*50%),Vlookup(F511,DATABASE!C:Q,10,false)*G511)</f>
        <v>0</v>
      </c>
      <c r="L511" s="74">
        <f>VLOOKUP(F511,DATABASE!C:Q,7,FALSE)</f>
        <v>43500</v>
      </c>
      <c r="M511" s="74">
        <v>43520.0</v>
      </c>
      <c r="N511" s="74">
        <f t="shared" si="8"/>
        <v>45000</v>
      </c>
      <c r="O511" s="74">
        <f t="shared" si="3"/>
        <v>85000</v>
      </c>
      <c r="P511" s="63">
        <f t="shared" si="4"/>
        <v>100000</v>
      </c>
      <c r="Q511" s="63">
        <f t="shared" si="5"/>
        <v>55000</v>
      </c>
      <c r="R511" s="93" t="str">
        <f>VLOOKUP(F511,DATABASE!C:Q,4,false)</f>
        <v>Flap</v>
      </c>
      <c r="S511" s="93" t="str">
        <f>VLOOKUP(F511,DATABASE!C:P,11,false)</f>
        <v>Tire</v>
      </c>
      <c r="T511" s="93" t="str">
        <f>vlookup(F511,DATABASE!C:Q,8,false)</f>
        <v>BIAN</v>
      </c>
      <c r="Y511" s="81"/>
      <c r="Z511" s="9"/>
    </row>
    <row r="512" ht="22.5" customHeight="1">
      <c r="A512" s="49"/>
      <c r="C512" s="384">
        <v>45950.0</v>
      </c>
      <c r="D512" s="93">
        <v>45950.0</v>
      </c>
      <c r="E512" s="65" t="s">
        <v>735</v>
      </c>
      <c r="F512" s="74" t="s">
        <v>1002</v>
      </c>
      <c r="G512" s="386">
        <v>2.0</v>
      </c>
      <c r="H512" s="74">
        <v>1550000.0</v>
      </c>
      <c r="I512" s="74">
        <v>1650000.0</v>
      </c>
      <c r="J512" s="60">
        <f t="shared" si="1"/>
        <v>45980</v>
      </c>
      <c r="K512" s="74">
        <f>if(F512="SERVICE",O512-(O512*50%),Vlookup(F512,DATABASE!C:Q,10,false)*G512)</f>
        <v>0</v>
      </c>
      <c r="L512" s="74">
        <f>VLOOKUP(F512,DATABASE!C:Q,7,FALSE)</f>
        <v>1447000</v>
      </c>
      <c r="M512" s="74">
        <v>1447000.0</v>
      </c>
      <c r="N512" s="74">
        <f t="shared" si="8"/>
        <v>1450000</v>
      </c>
      <c r="O512" s="74">
        <f t="shared" si="3"/>
        <v>3100000</v>
      </c>
      <c r="P512" s="63">
        <f t="shared" si="4"/>
        <v>3300000</v>
      </c>
      <c r="Q512" s="63">
        <f t="shared" si="5"/>
        <v>400000</v>
      </c>
      <c r="R512" s="93" t="str">
        <f>VLOOKUP(F512,DATABASE!C:Q,4,false)</f>
        <v>Dunlop</v>
      </c>
      <c r="S512" s="93" t="str">
        <f>VLOOKUP(F512,DATABASE!C:P,11,false)</f>
        <v>Tire</v>
      </c>
      <c r="T512" s="93" t="str">
        <f>vlookup(F512,DATABASE!C:Q,8,false)</f>
        <v>IBU</v>
      </c>
      <c r="Y512" s="81"/>
      <c r="Z512" s="9"/>
    </row>
    <row r="513" ht="22.5" customHeight="1">
      <c r="A513" s="49"/>
      <c r="C513" s="384">
        <v>45950.0</v>
      </c>
      <c r="D513" s="93">
        <v>45950.0</v>
      </c>
      <c r="E513" s="65" t="s">
        <v>422</v>
      </c>
      <c r="F513" s="74" t="s">
        <v>566</v>
      </c>
      <c r="G513" s="386">
        <v>1.0</v>
      </c>
      <c r="H513" s="74">
        <v>1670000.0</v>
      </c>
      <c r="I513" s="74">
        <v>1770000.0</v>
      </c>
      <c r="J513" s="60">
        <f t="shared" si="1"/>
        <v>45980</v>
      </c>
      <c r="K513" s="74">
        <f>if(F513="SERVICE",O513-(O513*50%),Vlookup(F513,DATABASE!C:Q,10,false)*G513)</f>
        <v>0</v>
      </c>
      <c r="L513" s="74">
        <f>VLOOKUP(F513,DATABASE!C:Q,7,FALSE)</f>
        <v>1565000</v>
      </c>
      <c r="M513" s="74">
        <v>1545000.0</v>
      </c>
      <c r="N513" s="74">
        <f t="shared" si="8"/>
        <v>1545000</v>
      </c>
      <c r="O513" s="74">
        <f t="shared" si="3"/>
        <v>1670000</v>
      </c>
      <c r="P513" s="63">
        <f t="shared" si="4"/>
        <v>1770000</v>
      </c>
      <c r="Q513" s="63">
        <f t="shared" si="5"/>
        <v>225000</v>
      </c>
      <c r="R513" s="93" t="str">
        <f>VLOOKUP(F513,DATABASE!C:Q,4,false)</f>
        <v>Bridgestone</v>
      </c>
      <c r="S513" s="93" t="str">
        <f>VLOOKUP(F513,DATABASE!C:P,11,false)</f>
        <v>Tire</v>
      </c>
      <c r="T513" s="93" t="str">
        <f>vlookup(F513,DATABASE!C:Q,8,false)</f>
        <v>IBU</v>
      </c>
      <c r="Y513" s="81"/>
      <c r="Z513" s="9"/>
    </row>
    <row r="514" ht="22.5" customHeight="1">
      <c r="A514" s="49"/>
      <c r="C514" s="384">
        <v>45952.0</v>
      </c>
      <c r="D514" s="93">
        <v>45952.0</v>
      </c>
      <c r="E514" s="65" t="s">
        <v>267</v>
      </c>
      <c r="F514" s="74" t="s">
        <v>403</v>
      </c>
      <c r="G514" s="386">
        <v>2.0</v>
      </c>
      <c r="H514" s="74">
        <v>2260000.0</v>
      </c>
      <c r="I514" s="74">
        <v>2360000.0</v>
      </c>
      <c r="J514" s="60">
        <f t="shared" si="1"/>
        <v>45982</v>
      </c>
      <c r="K514" s="74">
        <f>if(F514="SERVICE",O514-(O514*50%),Vlookup(F514,DATABASE!C:Q,10,false)*G514)</f>
        <v>0</v>
      </c>
      <c r="L514" s="74">
        <f>VLOOKUP(F514,DATABASE!C:Q,7,FALSE)</f>
        <v>2160000</v>
      </c>
      <c r="M514" s="74">
        <v>2160000.0</v>
      </c>
      <c r="N514" s="74">
        <f t="shared" si="8"/>
        <v>2160000</v>
      </c>
      <c r="O514" s="74">
        <f t="shared" si="3"/>
        <v>4520000</v>
      </c>
      <c r="P514" s="63">
        <f t="shared" si="4"/>
        <v>4720000</v>
      </c>
      <c r="Q514" s="63">
        <f t="shared" si="5"/>
        <v>400000</v>
      </c>
      <c r="R514" s="93" t="str">
        <f>VLOOKUP(F514,DATABASE!C:Q,4,false)</f>
        <v>Advance</v>
      </c>
      <c r="S514" s="93" t="str">
        <f>VLOOKUP(F514,DATABASE!C:P,11,false)</f>
        <v>Tire</v>
      </c>
      <c r="T514" s="93" t="str">
        <f>vlookup(F514,DATABASE!C:Q,8,false)</f>
        <v>BIAN</v>
      </c>
      <c r="Y514" s="81"/>
      <c r="Z514" s="9"/>
    </row>
    <row r="515" ht="22.5" customHeight="1">
      <c r="A515" s="49"/>
      <c r="C515" s="384">
        <v>45952.0</v>
      </c>
      <c r="D515" s="93">
        <v>45952.0</v>
      </c>
      <c r="E515" s="65" t="s">
        <v>267</v>
      </c>
      <c r="F515" s="93" t="s">
        <v>2215</v>
      </c>
      <c r="G515" s="386">
        <v>1.0</v>
      </c>
      <c r="H515" s="74">
        <v>1750000.0</v>
      </c>
      <c r="I515" s="74">
        <v>1850000.0</v>
      </c>
      <c r="J515" s="60">
        <f t="shared" si="1"/>
        <v>45982</v>
      </c>
      <c r="K515" s="74">
        <f>if(F515="SERVICE",O515-(O515*50%),Vlookup(F515,DATABASE!C:Q,10,false)*G515)</f>
        <v>0</v>
      </c>
      <c r="L515" s="74">
        <f>VLOOKUP(F515,DATABASE!C:Q,7,FALSE)</f>
        <v>1650000</v>
      </c>
      <c r="M515" s="74">
        <v>1650000.0</v>
      </c>
      <c r="N515" s="74">
        <f t="shared" si="8"/>
        <v>1650000</v>
      </c>
      <c r="O515" s="74">
        <f t="shared" si="3"/>
        <v>1750000</v>
      </c>
      <c r="P515" s="63">
        <f t="shared" si="4"/>
        <v>1850000</v>
      </c>
      <c r="Q515" s="63">
        <f t="shared" si="5"/>
        <v>200000</v>
      </c>
      <c r="R515" s="93" t="str">
        <f>VLOOKUP(F515,DATABASE!C:Q,4,false)</f>
        <v>TIRON</v>
      </c>
      <c r="S515" s="93" t="str">
        <f>VLOOKUP(F515,DATABASE!C:P,11,false)</f>
        <v>Tire</v>
      </c>
      <c r="T515" s="93" t="str">
        <f>vlookup(F515,DATABASE!C:Q,8,false)</f>
        <v>BIAN</v>
      </c>
      <c r="Y515" s="81"/>
      <c r="Z515" s="9"/>
    </row>
    <row r="516" ht="22.5" customHeight="1">
      <c r="A516" s="49"/>
      <c r="C516" s="384">
        <v>45952.0</v>
      </c>
      <c r="D516" s="93">
        <v>45952.0</v>
      </c>
      <c r="E516" s="65" t="s">
        <v>383</v>
      </c>
      <c r="F516" s="93" t="s">
        <v>2215</v>
      </c>
      <c r="G516" s="386">
        <v>1.0</v>
      </c>
      <c r="H516" s="74">
        <v>1750000.0</v>
      </c>
      <c r="I516" s="74">
        <v>1850000.0</v>
      </c>
      <c r="J516" s="60">
        <f t="shared" si="1"/>
        <v>45982</v>
      </c>
      <c r="K516" s="74">
        <f>if(F516="SERVICE",O516-(O516*50%),Vlookup(F516,DATABASE!C:Q,10,false)*G516)</f>
        <v>0</v>
      </c>
      <c r="L516" s="74">
        <f>VLOOKUP(F516,DATABASE!C:Q,7,FALSE)</f>
        <v>1650000</v>
      </c>
      <c r="M516" s="74">
        <v>1650000.0</v>
      </c>
      <c r="N516" s="74">
        <f t="shared" si="8"/>
        <v>1650000</v>
      </c>
      <c r="O516" s="74">
        <f t="shared" si="3"/>
        <v>1750000</v>
      </c>
      <c r="P516" s="63">
        <f t="shared" si="4"/>
        <v>1850000</v>
      </c>
      <c r="Q516" s="63">
        <f t="shared" si="5"/>
        <v>200000</v>
      </c>
      <c r="R516" s="93" t="str">
        <f>VLOOKUP(F516,DATABASE!C:Q,4,false)</f>
        <v>TIRON</v>
      </c>
      <c r="S516" s="93" t="str">
        <f>VLOOKUP(F516,DATABASE!C:P,11,false)</f>
        <v>Tire</v>
      </c>
      <c r="T516" s="93" t="str">
        <f>vlookup(F516,DATABASE!C:Q,8,false)</f>
        <v>BIAN</v>
      </c>
      <c r="Y516" s="81"/>
      <c r="Z516" s="9"/>
    </row>
    <row r="517" ht="22.5" customHeight="1">
      <c r="A517" s="49"/>
      <c r="C517" s="384">
        <v>45952.0</v>
      </c>
      <c r="D517" s="93">
        <v>45952.0</v>
      </c>
      <c r="E517" s="65" t="s">
        <v>661</v>
      </c>
      <c r="F517" s="74" t="s">
        <v>1862</v>
      </c>
      <c r="G517" s="386">
        <v>1.0</v>
      </c>
      <c r="H517" s="74">
        <v>2150000.0</v>
      </c>
      <c r="I517" s="74">
        <v>2250000.0</v>
      </c>
      <c r="J517" s="60">
        <f t="shared" si="1"/>
        <v>45982</v>
      </c>
      <c r="K517" s="74">
        <f>if(F517="SERVICE",O517-(O517*50%),Vlookup(F517,DATABASE!C:Q,10,false)*G517)</f>
        <v>0</v>
      </c>
      <c r="L517" s="74">
        <f>VLOOKUP(F517,DATABASE!C:Q,7,FALSE)</f>
        <v>2080000</v>
      </c>
      <c r="M517" s="74">
        <v>2050000.0</v>
      </c>
      <c r="N517" s="74">
        <f t="shared" si="8"/>
        <v>2050000</v>
      </c>
      <c r="O517" s="74">
        <f t="shared" si="3"/>
        <v>2150000</v>
      </c>
      <c r="P517" s="63">
        <f t="shared" si="4"/>
        <v>2250000</v>
      </c>
      <c r="Q517" s="63">
        <f t="shared" si="5"/>
        <v>200000</v>
      </c>
      <c r="R517" s="93" t="str">
        <f>VLOOKUP(F517,DATABASE!C:Q,4,false)</f>
        <v>GiTi</v>
      </c>
      <c r="S517" s="93" t="str">
        <f>VLOOKUP(F517,DATABASE!C:P,11,false)</f>
        <v>Tire</v>
      </c>
      <c r="T517" s="93" t="str">
        <f>vlookup(F517,DATABASE!C:Q,8,false)</f>
        <v>BIAN</v>
      </c>
      <c r="Y517" s="81"/>
      <c r="Z517" s="9"/>
    </row>
    <row r="518" ht="22.5" customHeight="1">
      <c r="A518" s="49"/>
      <c r="C518" s="384">
        <v>45953.0</v>
      </c>
      <c r="D518" s="93">
        <v>45953.0</v>
      </c>
      <c r="E518" s="65" t="s">
        <v>595</v>
      </c>
      <c r="F518" s="74" t="s">
        <v>374</v>
      </c>
      <c r="G518" s="386">
        <v>2.0</v>
      </c>
      <c r="H518" s="74">
        <v>1950000.0</v>
      </c>
      <c r="I518" s="74">
        <v>2050000.0</v>
      </c>
      <c r="J518" s="60">
        <f t="shared" si="1"/>
        <v>45983</v>
      </c>
      <c r="K518" s="74">
        <f>if(F518="SERVICE",O518-(O518*50%),Vlookup(F518,DATABASE!C:Q,10,false)*G518)</f>
        <v>0</v>
      </c>
      <c r="L518" s="74">
        <f>VLOOKUP(F518,DATABASE!C:Q,7,FALSE)</f>
        <v>1980000</v>
      </c>
      <c r="M518" s="74">
        <v>1850000.0</v>
      </c>
      <c r="N518" s="74">
        <f t="shared" si="8"/>
        <v>1850000</v>
      </c>
      <c r="O518" s="74">
        <f t="shared" si="3"/>
        <v>3900000</v>
      </c>
      <c r="P518" s="63">
        <f t="shared" si="4"/>
        <v>4100000</v>
      </c>
      <c r="Q518" s="63">
        <f t="shared" si="5"/>
        <v>400000</v>
      </c>
      <c r="R518" s="93" t="str">
        <f>VLOOKUP(F518,DATABASE!C:Q,4,false)</f>
        <v>Advance</v>
      </c>
      <c r="S518" s="93" t="str">
        <f>VLOOKUP(F518,DATABASE!C:P,11,false)</f>
        <v>Tire</v>
      </c>
      <c r="T518" s="93" t="str">
        <f>vlookup(F518,DATABASE!C:Q,8,false)</f>
        <v>BIAN</v>
      </c>
      <c r="Y518" s="81"/>
      <c r="Z518" s="9"/>
    </row>
    <row r="519" ht="22.5" customHeight="1">
      <c r="A519" s="49"/>
      <c r="C519" s="384">
        <v>45955.0</v>
      </c>
      <c r="D519" s="93">
        <v>45955.0</v>
      </c>
      <c r="E519" s="65" t="s">
        <v>891</v>
      </c>
      <c r="F519" s="74" t="s">
        <v>572</v>
      </c>
      <c r="G519" s="386">
        <v>2.0</v>
      </c>
      <c r="H519" s="74">
        <v>1370000.0</v>
      </c>
      <c r="I519" s="74">
        <v>1400000.0</v>
      </c>
      <c r="J519" s="60">
        <f t="shared" si="1"/>
        <v>45985</v>
      </c>
      <c r="K519" s="74">
        <f>if(F519="SERVICE",O519-(O519*50%),Vlookup(F519,DATABASE!C:Q,10,false)*G519)</f>
        <v>0</v>
      </c>
      <c r="L519" s="74">
        <f>VLOOKUP(F519,DATABASE!C:Q,7,FALSE)</f>
        <v>1265000</v>
      </c>
      <c r="M519" s="74">
        <v>1245000.0</v>
      </c>
      <c r="N519" s="74">
        <f t="shared" si="8"/>
        <v>1245000</v>
      </c>
      <c r="O519" s="74">
        <f t="shared" si="3"/>
        <v>2740000</v>
      </c>
      <c r="P519" s="63">
        <f t="shared" si="4"/>
        <v>2800000</v>
      </c>
      <c r="Q519" s="63">
        <f t="shared" si="5"/>
        <v>310000</v>
      </c>
      <c r="R519" s="93" t="str">
        <f>VLOOKUP(F519,DATABASE!C:Q,4,false)</f>
        <v>Bridgestone</v>
      </c>
      <c r="S519" s="93" t="str">
        <f>VLOOKUP(F519,DATABASE!C:P,11,false)</f>
        <v>Tire</v>
      </c>
      <c r="T519" s="93" t="str">
        <f>vlookup(F519,DATABASE!C:Q,8,false)</f>
        <v>IBU</v>
      </c>
      <c r="Y519" s="81"/>
      <c r="Z519" s="9"/>
    </row>
    <row r="520" ht="22.5" customHeight="1">
      <c r="A520" s="49"/>
      <c r="C520" s="384">
        <v>45955.0</v>
      </c>
      <c r="D520" s="93">
        <v>45955.0</v>
      </c>
      <c r="E520" s="65" t="s">
        <v>891</v>
      </c>
      <c r="F520" s="74" t="s">
        <v>652</v>
      </c>
      <c r="G520" s="386">
        <v>1.0</v>
      </c>
      <c r="H520" s="74">
        <v>260000.0</v>
      </c>
      <c r="I520" s="74">
        <v>270000.0</v>
      </c>
      <c r="J520" s="60">
        <f t="shared" si="1"/>
        <v>45985</v>
      </c>
      <c r="K520" s="74">
        <f>if(F520="SERVICE",O520-(O520*50%),Vlookup(F520,DATABASE!C:Q,10,false)*G520)</f>
        <v>0</v>
      </c>
      <c r="L520" s="74">
        <f>VLOOKUP(F520,DATABASE!C:Q,7,FALSE)</f>
        <v>231268</v>
      </c>
      <c r="M520" s="74">
        <v>227850.0</v>
      </c>
      <c r="N520" s="74">
        <f t="shared" si="8"/>
        <v>230000</v>
      </c>
      <c r="O520" s="74">
        <f t="shared" si="3"/>
        <v>260000</v>
      </c>
      <c r="P520" s="63">
        <f t="shared" si="4"/>
        <v>270000</v>
      </c>
      <c r="Q520" s="63">
        <f t="shared" si="5"/>
        <v>40000</v>
      </c>
      <c r="R520" s="93" t="str">
        <f>VLOOKUP(F520,DATABASE!C:Q,4,false)</f>
        <v>BD</v>
      </c>
      <c r="S520" s="93" t="str">
        <f>VLOOKUP(F520,DATABASE!C:P,11,false)</f>
        <v>Tire</v>
      </c>
      <c r="T520" s="93" t="str">
        <f>vlookup(F520,DATABASE!C:Q,8,false)</f>
        <v>IBU</v>
      </c>
      <c r="Y520" s="81"/>
      <c r="Z520" s="9"/>
    </row>
    <row r="521" ht="22.5" customHeight="1">
      <c r="A521" s="49"/>
      <c r="C521" s="384">
        <v>45955.0</v>
      </c>
      <c r="D521" s="93">
        <v>45955.0</v>
      </c>
      <c r="E521" s="65" t="s">
        <v>891</v>
      </c>
      <c r="F521" s="74" t="s">
        <v>814</v>
      </c>
      <c r="G521" s="386">
        <v>2.0</v>
      </c>
      <c r="H521" s="74">
        <v>65000.0</v>
      </c>
      <c r="I521" s="74">
        <v>75000.0</v>
      </c>
      <c r="J521" s="60">
        <f t="shared" si="1"/>
        <v>45985</v>
      </c>
      <c r="K521" s="74">
        <f>if(F521="SERVICE",O521-(O521*50%),Vlookup(F521,DATABASE!C:Q,10,false)*G521)</f>
        <v>0</v>
      </c>
      <c r="L521" s="74">
        <f>VLOOKUP(F521,DATABASE!C:Q,7,FALSE)</f>
        <v>39440</v>
      </c>
      <c r="M521" s="74">
        <v>39440.0</v>
      </c>
      <c r="N521" s="74">
        <f t="shared" si="8"/>
        <v>40000</v>
      </c>
      <c r="O521" s="74">
        <f t="shared" si="3"/>
        <v>130000</v>
      </c>
      <c r="P521" s="63">
        <f t="shared" si="4"/>
        <v>150000</v>
      </c>
      <c r="Q521" s="63">
        <f t="shared" si="5"/>
        <v>70000</v>
      </c>
      <c r="R521" s="93" t="str">
        <f>VLOOKUP(F521,DATABASE!C:Q,4,false)</f>
        <v>Flap</v>
      </c>
      <c r="S521" s="93" t="str">
        <f>VLOOKUP(F521,DATABASE!C:P,11,false)</f>
        <v>Tire</v>
      </c>
      <c r="T521" s="93" t="str">
        <f>vlookup(F521,DATABASE!C:Q,8,false)</f>
        <v>BIAN</v>
      </c>
      <c r="Y521" s="81"/>
      <c r="Z521" s="9"/>
    </row>
    <row r="522" ht="22.5" customHeight="1">
      <c r="A522" s="49"/>
      <c r="C522" s="400">
        <v>45957.0</v>
      </c>
      <c r="D522" s="69">
        <v>7621.0</v>
      </c>
      <c r="E522" s="69" t="s">
        <v>264</v>
      </c>
      <c r="F522" s="140" t="s">
        <v>403</v>
      </c>
      <c r="G522" s="524">
        <v>6.0</v>
      </c>
      <c r="H522" s="140">
        <v>2260000.0</v>
      </c>
      <c r="I522" s="140">
        <v>2360000.0</v>
      </c>
      <c r="J522" s="192">
        <v>46025.0</v>
      </c>
      <c r="K522" s="74">
        <f>if(F522="SERVICE",O522-(O522*50%),Vlookup(F522,DATABASE!C:Q,10,false)*G522)</f>
        <v>0</v>
      </c>
      <c r="L522" s="74">
        <f>VLOOKUP(F522,DATABASE!C:Q,7,FALSE)</f>
        <v>2160000</v>
      </c>
      <c r="M522" s="74">
        <v>2160000.0</v>
      </c>
      <c r="N522" s="74">
        <f t="shared" si="8"/>
        <v>2160000</v>
      </c>
      <c r="O522" s="74">
        <f t="shared" si="3"/>
        <v>13560000</v>
      </c>
      <c r="P522" s="63">
        <f t="shared" si="4"/>
        <v>14160000</v>
      </c>
      <c r="Q522" s="63">
        <f t="shared" si="5"/>
        <v>1200000</v>
      </c>
      <c r="R522" s="93" t="str">
        <f>VLOOKUP(F522,DATABASE!C:Q,4,false)</f>
        <v>Advance</v>
      </c>
      <c r="S522" s="93" t="str">
        <f>VLOOKUP(F522,DATABASE!C:P,11,false)</f>
        <v>Tire</v>
      </c>
      <c r="T522" s="93" t="str">
        <f>vlookup(F522,DATABASE!C:Q,8,false)</f>
        <v>BIAN</v>
      </c>
      <c r="Y522" s="81"/>
      <c r="Z522" s="9"/>
    </row>
    <row r="523" ht="22.5" customHeight="1">
      <c r="A523" s="49"/>
      <c r="C523" s="384">
        <v>45958.0</v>
      </c>
      <c r="D523" s="93">
        <v>45958.0</v>
      </c>
      <c r="E523" s="65" t="s">
        <v>303</v>
      </c>
      <c r="F523" s="74" t="s">
        <v>403</v>
      </c>
      <c r="G523" s="386">
        <v>2.0</v>
      </c>
      <c r="H523" s="74">
        <v>2260000.0</v>
      </c>
      <c r="I523" s="74">
        <v>2360000.0</v>
      </c>
      <c r="J523" s="60">
        <f t="shared" ref="J523:J533" si="9">C523+30</f>
        <v>45988</v>
      </c>
      <c r="K523" s="74">
        <f>if(F523="SERVICE",O523-(O523*50%),Vlookup(F523,DATABASE!C:Q,10,false)*G523)</f>
        <v>0</v>
      </c>
      <c r="L523" s="74">
        <f>VLOOKUP(F523,DATABASE!C:Q,7,FALSE)</f>
        <v>2160000</v>
      </c>
      <c r="M523" s="74">
        <v>2160000.0</v>
      </c>
      <c r="N523" s="74">
        <f t="shared" si="8"/>
        <v>2160000</v>
      </c>
      <c r="O523" s="74">
        <f t="shared" si="3"/>
        <v>4520000</v>
      </c>
      <c r="P523" s="63">
        <f t="shared" si="4"/>
        <v>4720000</v>
      </c>
      <c r="Q523" s="63">
        <f t="shared" si="5"/>
        <v>400000</v>
      </c>
      <c r="R523" s="93" t="str">
        <f>VLOOKUP(F523,DATABASE!C:Q,4,false)</f>
        <v>Advance</v>
      </c>
      <c r="S523" s="93" t="str">
        <f>VLOOKUP(F523,DATABASE!C:P,11,false)</f>
        <v>Tire</v>
      </c>
      <c r="T523" s="93" t="str">
        <f>vlookup(F523,DATABASE!C:Q,8,false)</f>
        <v>BIAN</v>
      </c>
      <c r="Y523" s="81"/>
      <c r="Z523" s="9"/>
    </row>
    <row r="524" ht="22.5" customHeight="1">
      <c r="A524" s="49"/>
      <c r="C524" s="384">
        <v>45959.0</v>
      </c>
      <c r="D524" s="93">
        <v>45959.0</v>
      </c>
      <c r="E524" s="65" t="s">
        <v>555</v>
      </c>
      <c r="F524" s="74" t="s">
        <v>1002</v>
      </c>
      <c r="G524" s="386">
        <v>2.0</v>
      </c>
      <c r="H524" s="74">
        <v>1550000.0</v>
      </c>
      <c r="I524" s="74">
        <v>1650000.0</v>
      </c>
      <c r="J524" s="60">
        <f t="shared" si="9"/>
        <v>45989</v>
      </c>
      <c r="K524" s="74">
        <f>if(F524="SERVICE",O524-(O524*50%),Vlookup(F524,DATABASE!C:Q,10,false)*G524)</f>
        <v>0</v>
      </c>
      <c r="L524" s="74">
        <f>VLOOKUP(F524,DATABASE!C:Q,7,FALSE)</f>
        <v>1447000</v>
      </c>
      <c r="M524" s="74">
        <v>1447000.0</v>
      </c>
      <c r="N524" s="74">
        <f t="shared" si="8"/>
        <v>1450000</v>
      </c>
      <c r="O524" s="74">
        <f t="shared" si="3"/>
        <v>3100000</v>
      </c>
      <c r="P524" s="63">
        <f t="shared" si="4"/>
        <v>3300000</v>
      </c>
      <c r="Q524" s="63">
        <f t="shared" si="5"/>
        <v>400000</v>
      </c>
      <c r="R524" s="93" t="str">
        <f>VLOOKUP(F524,DATABASE!C:Q,4,false)</f>
        <v>Dunlop</v>
      </c>
      <c r="S524" s="93" t="str">
        <f>VLOOKUP(F524,DATABASE!C:P,11,false)</f>
        <v>Tire</v>
      </c>
      <c r="T524" s="93" t="str">
        <f>vlookup(F524,DATABASE!C:Q,8,false)</f>
        <v>IBU</v>
      </c>
      <c r="Y524" s="81"/>
      <c r="Z524" s="9"/>
    </row>
    <row r="525" ht="22.5" customHeight="1">
      <c r="A525" s="49"/>
      <c r="C525" s="384">
        <v>45959.0</v>
      </c>
      <c r="D525" s="93">
        <v>45959.0</v>
      </c>
      <c r="E525" s="65" t="s">
        <v>555</v>
      </c>
      <c r="F525" s="74" t="s">
        <v>744</v>
      </c>
      <c r="G525" s="386">
        <v>2.0</v>
      </c>
      <c r="H525" s="74">
        <v>230000.0</v>
      </c>
      <c r="I525" s="74">
        <v>250000.0</v>
      </c>
      <c r="J525" s="60">
        <f t="shared" si="9"/>
        <v>45989</v>
      </c>
      <c r="K525" s="74">
        <f>if(F525="SERVICE",O525-(O525*50%),Vlookup(F525,DATABASE!C:Q,10,false)*G525)</f>
        <v>0</v>
      </c>
      <c r="L525" s="74">
        <f>VLOOKUP(F525,DATABASE!C:Q,7,FALSE)</f>
        <v>182200</v>
      </c>
      <c r="M525" s="74">
        <v>199920.0</v>
      </c>
      <c r="N525" s="74">
        <f t="shared" si="8"/>
        <v>200000</v>
      </c>
      <c r="O525" s="74">
        <f t="shared" si="3"/>
        <v>460000</v>
      </c>
      <c r="P525" s="63">
        <f t="shared" si="4"/>
        <v>500000</v>
      </c>
      <c r="Q525" s="63">
        <f t="shared" si="5"/>
        <v>100000</v>
      </c>
      <c r="R525" s="93" t="str">
        <f>VLOOKUP(F525,DATABASE!C:Q,4,false)</f>
        <v>BD</v>
      </c>
      <c r="S525" s="93" t="str">
        <f>VLOOKUP(F525,DATABASE!C:P,11,false)</f>
        <v>Tire</v>
      </c>
      <c r="T525" s="93" t="str">
        <f>vlookup(F525,DATABASE!C:Q,8,false)</f>
        <v>BIAN</v>
      </c>
      <c r="Y525" s="81"/>
      <c r="Z525" s="9"/>
    </row>
    <row r="526" ht="22.5" customHeight="1">
      <c r="A526" s="49"/>
      <c r="C526" s="384">
        <v>45959.0</v>
      </c>
      <c r="D526" s="93">
        <v>45959.0</v>
      </c>
      <c r="E526" s="65" t="s">
        <v>555</v>
      </c>
      <c r="F526" s="74" t="s">
        <v>821</v>
      </c>
      <c r="G526" s="386">
        <v>2.0</v>
      </c>
      <c r="H526" s="74">
        <v>90000.0</v>
      </c>
      <c r="I526" s="74">
        <v>100000.0</v>
      </c>
      <c r="J526" s="60">
        <f t="shared" si="9"/>
        <v>45989</v>
      </c>
      <c r="K526" s="74">
        <f>if(F526="SERVICE",O526-(O526*50%),Vlookup(F526,DATABASE!C:Q,10,false)*G526)</f>
        <v>0</v>
      </c>
      <c r="L526" s="74">
        <f>VLOOKUP(F526,DATABASE!C:Q,7,FALSE)</f>
        <v>43500</v>
      </c>
      <c r="M526" s="74">
        <v>43520.0</v>
      </c>
      <c r="N526" s="74">
        <f t="shared" si="8"/>
        <v>45000</v>
      </c>
      <c r="O526" s="74">
        <f t="shared" si="3"/>
        <v>180000</v>
      </c>
      <c r="P526" s="63">
        <f t="shared" si="4"/>
        <v>200000</v>
      </c>
      <c r="Q526" s="63">
        <f t="shared" si="5"/>
        <v>110000</v>
      </c>
      <c r="R526" s="93" t="str">
        <f>VLOOKUP(F526,DATABASE!C:Q,4,false)</f>
        <v>Flap</v>
      </c>
      <c r="S526" s="93" t="str">
        <f>VLOOKUP(F526,DATABASE!C:P,11,false)</f>
        <v>Tire</v>
      </c>
      <c r="T526" s="93" t="str">
        <f>vlookup(F526,DATABASE!C:Q,8,false)</f>
        <v>BIAN</v>
      </c>
      <c r="Z526" s="9"/>
    </row>
    <row r="527" ht="22.5" customHeight="1">
      <c r="A527" s="49"/>
      <c r="C527" s="447">
        <v>45962.0</v>
      </c>
      <c r="D527" s="246">
        <v>7668.0</v>
      </c>
      <c r="E527" s="425" t="s">
        <v>267</v>
      </c>
      <c r="F527" s="551" t="s">
        <v>374</v>
      </c>
      <c r="G527" s="514">
        <v>2.0</v>
      </c>
      <c r="H527" s="449">
        <v>1950000.0</v>
      </c>
      <c r="I527" s="449">
        <v>2050000.0</v>
      </c>
      <c r="J527" s="552">
        <f t="shared" si="9"/>
        <v>45992</v>
      </c>
      <c r="K527" s="74">
        <f>if(F527="SERVICE",O527-(O527*50%),Vlookup(F527,DATABASE!C:Q,10,false)*G527)</f>
        <v>0</v>
      </c>
      <c r="L527" s="74">
        <f>VLOOKUP(F527,DATABASE!C:Q,7,FALSE)</f>
        <v>1980000</v>
      </c>
      <c r="M527" s="74">
        <v>1850000.0</v>
      </c>
      <c r="N527" s="74">
        <f t="shared" si="8"/>
        <v>1850000</v>
      </c>
      <c r="O527" s="74">
        <f t="shared" si="3"/>
        <v>3900000</v>
      </c>
      <c r="P527" s="63">
        <f t="shared" si="4"/>
        <v>4100000</v>
      </c>
      <c r="Q527" s="63">
        <f t="shared" si="5"/>
        <v>400000</v>
      </c>
      <c r="R527" s="93" t="str">
        <f>VLOOKUP(F527,DATABASE!C:Q,4,false)</f>
        <v>Advance</v>
      </c>
      <c r="S527" s="93" t="str">
        <f>VLOOKUP(F527,DATABASE!C:P,11,false)</f>
        <v>Tire</v>
      </c>
      <c r="T527" s="93" t="str">
        <f>vlookup(F527,DATABASE!C:Q,8,false)</f>
        <v>BIAN</v>
      </c>
      <c r="X527" s="9">
        <v>7600000.0</v>
      </c>
      <c r="Z527" s="9"/>
    </row>
    <row r="528" ht="22.5" customHeight="1">
      <c r="A528" s="49"/>
      <c r="C528" s="553">
        <v>45964.0</v>
      </c>
      <c r="D528" s="426">
        <v>7700.0</v>
      </c>
      <c r="E528" s="411" t="s">
        <v>346</v>
      </c>
      <c r="F528" s="554" t="s">
        <v>1520</v>
      </c>
      <c r="G528" s="555">
        <v>4.0</v>
      </c>
      <c r="H528" s="556">
        <v>1800000.0</v>
      </c>
      <c r="I528" s="556">
        <v>1900000.0</v>
      </c>
      <c r="J528" s="552">
        <f t="shared" si="9"/>
        <v>45994</v>
      </c>
      <c r="K528" s="74">
        <f>if(F528="SERVICE",O528-(O528*50%),Vlookup(F528,DATABASE!C:Q,10,false)*G528)</f>
        <v>0</v>
      </c>
      <c r="L528" s="74">
        <f>VLOOKUP(F528,DATABASE!C:Q,7,FALSE)</f>
        <v>1926858.75</v>
      </c>
      <c r="M528" s="74">
        <v>1698000.0</v>
      </c>
      <c r="N528" s="74">
        <f t="shared" si="8"/>
        <v>1700000</v>
      </c>
      <c r="O528" s="74">
        <f t="shared" si="3"/>
        <v>7200000</v>
      </c>
      <c r="P528" s="63">
        <f t="shared" si="4"/>
        <v>7600000</v>
      </c>
      <c r="Q528" s="63">
        <f t="shared" si="5"/>
        <v>800000</v>
      </c>
      <c r="R528" s="93" t="str">
        <f>VLOOKUP(F528,DATABASE!C:Q,4,false)</f>
        <v>DURATUN</v>
      </c>
      <c r="S528" s="93" t="str">
        <f>VLOOKUP(F528,DATABASE!C:P,11,false)</f>
        <v>Tire</v>
      </c>
      <c r="T528" s="93" t="str">
        <f>vlookup(F528,DATABASE!C:Q,8,false)</f>
        <v>BIAN</v>
      </c>
      <c r="X528" s="9">
        <v>880000.0</v>
      </c>
      <c r="Z528" s="9"/>
    </row>
    <row r="529" ht="22.5" customHeight="1">
      <c r="A529" s="49"/>
      <c r="C529" s="447">
        <v>45964.0</v>
      </c>
      <c r="D529" s="426">
        <v>7700.0</v>
      </c>
      <c r="E529" s="425" t="s">
        <v>346</v>
      </c>
      <c r="F529" s="520" t="s">
        <v>830</v>
      </c>
      <c r="G529" s="514">
        <v>4.0</v>
      </c>
      <c r="H529" s="449">
        <v>200000.0</v>
      </c>
      <c r="I529" s="449">
        <v>220000.0</v>
      </c>
      <c r="J529" s="552">
        <f t="shared" si="9"/>
        <v>45994</v>
      </c>
      <c r="K529" s="74">
        <f>if(F529="SERVICE",O529-(O529*50%),Vlookup(F529,DATABASE!C:Q,10,false)*G529)</f>
        <v>0</v>
      </c>
      <c r="L529" s="74">
        <f>VLOOKUP(F529,DATABASE!C:Q,7,FALSE)</f>
        <v>184150</v>
      </c>
      <c r="M529" s="74">
        <v>184150.0</v>
      </c>
      <c r="N529" s="74">
        <f t="shared" si="8"/>
        <v>185000</v>
      </c>
      <c r="O529" s="74">
        <f t="shared" si="3"/>
        <v>800000</v>
      </c>
      <c r="P529" s="63">
        <f t="shared" si="4"/>
        <v>880000</v>
      </c>
      <c r="Q529" s="63">
        <f t="shared" si="5"/>
        <v>140000</v>
      </c>
      <c r="R529" s="93" t="str">
        <f>VLOOKUP(F529,DATABASE!C:Q,4,false)</f>
        <v>BD</v>
      </c>
      <c r="S529" s="93" t="str">
        <f>VLOOKUP(F529,DATABASE!C:P,11,false)</f>
        <v>Tire</v>
      </c>
      <c r="T529" s="93" t="str">
        <f>vlookup(F529,DATABASE!C:Q,8,false)</f>
        <v>BIAN</v>
      </c>
      <c r="X529" s="9">
        <v>400000.0</v>
      </c>
      <c r="Z529" s="9"/>
    </row>
    <row r="530" ht="22.5" customHeight="1">
      <c r="A530" s="49"/>
      <c r="C530" s="557">
        <v>45964.0</v>
      </c>
      <c r="D530" s="558">
        <v>7700.0</v>
      </c>
      <c r="E530" s="559" t="s">
        <v>346</v>
      </c>
      <c r="F530" s="560" t="s">
        <v>821</v>
      </c>
      <c r="G530" s="561">
        <v>4.0</v>
      </c>
      <c r="H530" s="505">
        <v>85000.0</v>
      </c>
      <c r="I530" s="505">
        <v>100000.0</v>
      </c>
      <c r="J530" s="562">
        <f t="shared" si="9"/>
        <v>45994</v>
      </c>
      <c r="K530" s="74">
        <f>if(F530="SERVICE",O530-(O530*50%),Vlookup(F530,DATABASE!C:Q,10,false)*G530)</f>
        <v>0</v>
      </c>
      <c r="L530" s="74">
        <f>VLOOKUP(F530,DATABASE!C:Q,7,FALSE)</f>
        <v>43500</v>
      </c>
      <c r="M530" s="74">
        <v>43520.0</v>
      </c>
      <c r="N530" s="74">
        <f t="shared" si="8"/>
        <v>45000</v>
      </c>
      <c r="O530" s="74">
        <f t="shared" si="3"/>
        <v>340000</v>
      </c>
      <c r="P530" s="63">
        <f t="shared" si="4"/>
        <v>400000</v>
      </c>
      <c r="Q530" s="63">
        <f t="shared" si="5"/>
        <v>220000</v>
      </c>
      <c r="R530" s="93" t="str">
        <f>VLOOKUP(F530,DATABASE!C:Q,4,false)</f>
        <v>Flap</v>
      </c>
      <c r="S530" s="93" t="str">
        <f>VLOOKUP(F530,DATABASE!C:P,11,false)</f>
        <v>Tire</v>
      </c>
      <c r="T530" s="93" t="str">
        <f>vlookup(F530,DATABASE!C:Q,8,false)</f>
        <v>BIAN</v>
      </c>
      <c r="X530" s="9">
        <v>500000.0</v>
      </c>
      <c r="Z530" s="9"/>
    </row>
    <row r="531" ht="22.5" customHeight="1">
      <c r="A531" s="49"/>
      <c r="C531" s="563">
        <v>45966.0</v>
      </c>
      <c r="D531" s="564">
        <v>7713.0</v>
      </c>
      <c r="E531" s="559" t="s">
        <v>1021</v>
      </c>
      <c r="F531" s="560" t="s">
        <v>744</v>
      </c>
      <c r="G531" s="561">
        <v>2.0</v>
      </c>
      <c r="H531" s="505">
        <v>230000.0</v>
      </c>
      <c r="I531" s="505">
        <v>250000.0</v>
      </c>
      <c r="J531" s="562">
        <f t="shared" si="9"/>
        <v>45996</v>
      </c>
      <c r="K531" s="74">
        <f>if(F531="SERVICE",O531-(O531*50%),Vlookup(F531,DATABASE!C:Q,10,false)*G531)</f>
        <v>0</v>
      </c>
      <c r="L531" s="74">
        <f>VLOOKUP(F531,DATABASE!C:Q,7,FALSE)</f>
        <v>182200</v>
      </c>
      <c r="M531" s="74">
        <v>199920.0</v>
      </c>
      <c r="N531" s="74">
        <f t="shared" si="8"/>
        <v>200000</v>
      </c>
      <c r="O531" s="74">
        <f t="shared" si="3"/>
        <v>460000</v>
      </c>
      <c r="P531" s="63">
        <f t="shared" si="4"/>
        <v>500000</v>
      </c>
      <c r="Q531" s="63">
        <f t="shared" si="5"/>
        <v>100000</v>
      </c>
      <c r="R531" s="93" t="str">
        <f>VLOOKUP(F531,DATABASE!C:Q,4,false)</f>
        <v>BD</v>
      </c>
      <c r="S531" s="93" t="str">
        <f>VLOOKUP(F531,DATABASE!C:P,11,false)</f>
        <v>Tire</v>
      </c>
      <c r="T531" s="93" t="str">
        <f>vlookup(F531,DATABASE!C:Q,8,false)</f>
        <v>BIAN</v>
      </c>
      <c r="X531" s="9">
        <v>200000.0</v>
      </c>
      <c r="Z531" s="9"/>
    </row>
    <row r="532" ht="22.5" customHeight="1">
      <c r="A532" s="49"/>
      <c r="C532" s="563">
        <v>45966.0</v>
      </c>
      <c r="D532" s="564">
        <v>7713.0</v>
      </c>
      <c r="E532" s="559" t="s">
        <v>1021</v>
      </c>
      <c r="F532" s="560" t="s">
        <v>821</v>
      </c>
      <c r="G532" s="561">
        <v>2.0</v>
      </c>
      <c r="H532" s="505">
        <v>85000.0</v>
      </c>
      <c r="I532" s="505">
        <v>100000.0</v>
      </c>
      <c r="J532" s="562">
        <f t="shared" si="9"/>
        <v>45996</v>
      </c>
      <c r="K532" s="74">
        <f>if(F532="SERVICE",O532-(O532*50%),Vlookup(F532,DATABASE!C:Q,10,false)*G532)</f>
        <v>0</v>
      </c>
      <c r="L532" s="74">
        <f>VLOOKUP(F532,DATABASE!C:Q,7,FALSE)</f>
        <v>43500</v>
      </c>
      <c r="M532" s="74">
        <v>43520.0</v>
      </c>
      <c r="N532" s="74">
        <f t="shared" si="8"/>
        <v>45000</v>
      </c>
      <c r="O532" s="74">
        <f t="shared" si="3"/>
        <v>170000</v>
      </c>
      <c r="P532" s="63">
        <f t="shared" si="4"/>
        <v>200000</v>
      </c>
      <c r="Q532" s="63">
        <f t="shared" si="5"/>
        <v>110000</v>
      </c>
      <c r="R532" s="93" t="str">
        <f>VLOOKUP(F532,DATABASE!C:Q,4,false)</f>
        <v>Flap</v>
      </c>
      <c r="S532" s="93" t="str">
        <f>VLOOKUP(F532,DATABASE!C:P,11,false)</f>
        <v>Tire</v>
      </c>
      <c r="T532" s="93" t="str">
        <f>vlookup(F532,DATABASE!C:Q,8,false)</f>
        <v>BIAN</v>
      </c>
      <c r="X532" s="9">
        <v>2050000.0</v>
      </c>
      <c r="Z532" s="9"/>
    </row>
    <row r="533" ht="22.5" customHeight="1">
      <c r="A533" s="49"/>
      <c r="C533" s="557">
        <v>45966.0</v>
      </c>
      <c r="D533" s="558">
        <v>7713.0</v>
      </c>
      <c r="E533" s="565" t="s">
        <v>1021</v>
      </c>
      <c r="F533" s="566" t="s">
        <v>566</v>
      </c>
      <c r="G533" s="567">
        <v>2.0</v>
      </c>
      <c r="H533" s="568">
        <v>1670000.0</v>
      </c>
      <c r="I533" s="569">
        <v>1770000.0</v>
      </c>
      <c r="J533" s="562">
        <f t="shared" si="9"/>
        <v>45996</v>
      </c>
      <c r="K533" s="74">
        <f>if(F533="SERVICE",O533-(O533*50%),Vlookup(F533,DATABASE!C:Q,10,false)*G533)</f>
        <v>0</v>
      </c>
      <c r="L533" s="74">
        <f>VLOOKUP(F533,DATABASE!C:Q,7,FALSE)</f>
        <v>1565000</v>
      </c>
      <c r="M533" s="74">
        <v>1545000.0</v>
      </c>
      <c r="N533" s="74">
        <f t="shared" si="8"/>
        <v>1545000</v>
      </c>
      <c r="O533" s="74">
        <f t="shared" si="3"/>
        <v>3340000</v>
      </c>
      <c r="P533" s="63">
        <f t="shared" si="4"/>
        <v>3540000</v>
      </c>
      <c r="Q533" s="63">
        <f t="shared" si="5"/>
        <v>450000</v>
      </c>
      <c r="R533" s="93" t="str">
        <f>VLOOKUP(F533,DATABASE!C:Q,4,false)</f>
        <v>Bridgestone</v>
      </c>
      <c r="S533" s="93" t="str">
        <f>VLOOKUP(F533,DATABASE!C:P,11,false)</f>
        <v>Tire</v>
      </c>
      <c r="T533" s="93" t="str">
        <f>vlookup(F533,DATABASE!C:Q,8,false)</f>
        <v>IBU</v>
      </c>
      <c r="X533" s="9">
        <v>2.15E7</v>
      </c>
      <c r="Z533" s="9"/>
    </row>
    <row r="534" ht="22.5" customHeight="1">
      <c r="A534" s="49"/>
      <c r="C534" s="563">
        <v>45967.0</v>
      </c>
      <c r="D534" s="564">
        <v>7726.0</v>
      </c>
      <c r="E534" s="570" t="s">
        <v>819</v>
      </c>
      <c r="F534" s="571" t="s">
        <v>374</v>
      </c>
      <c r="G534" s="572">
        <v>1.0</v>
      </c>
      <c r="H534" s="505">
        <v>1950000.0</v>
      </c>
      <c r="I534" s="573">
        <v>2050000.0</v>
      </c>
      <c r="J534" s="562">
        <v>45997.0</v>
      </c>
      <c r="K534" s="74">
        <f>if(F534="SERVICE",O534-(O534*50%),Vlookup(F534,DATABASE!C:Q,10,false)*G534)</f>
        <v>0</v>
      </c>
      <c r="L534" s="74">
        <f>VLOOKUP(F534,DATABASE!C:Q,7,FALSE)</f>
        <v>1980000</v>
      </c>
      <c r="M534" s="74">
        <v>1850000.0</v>
      </c>
      <c r="N534" s="74">
        <f t="shared" si="8"/>
        <v>1850000</v>
      </c>
      <c r="O534" s="74">
        <f t="shared" si="3"/>
        <v>1950000</v>
      </c>
      <c r="P534" s="63">
        <f t="shared" si="4"/>
        <v>2050000</v>
      </c>
      <c r="Q534" s="63">
        <f t="shared" si="5"/>
        <v>200000</v>
      </c>
      <c r="R534" s="93" t="str">
        <f>VLOOKUP(F534,DATABASE!C:Q,4,false)</f>
        <v>Advance</v>
      </c>
      <c r="S534" s="93" t="str">
        <f>VLOOKUP(F534,DATABASE!C:P,11,false)</f>
        <v>Tire</v>
      </c>
      <c r="T534" s="93" t="str">
        <f>vlookup(F534,DATABASE!C:Q,8,false)</f>
        <v>BIAN</v>
      </c>
      <c r="W534" s="9">
        <v>3340000.0</v>
      </c>
      <c r="Z534" s="9"/>
    </row>
    <row r="535" ht="22.5" customHeight="1">
      <c r="A535" s="49"/>
      <c r="C535" s="574">
        <v>45967.0</v>
      </c>
      <c r="D535" s="558">
        <v>7726.0</v>
      </c>
      <c r="E535" s="559" t="s">
        <v>470</v>
      </c>
      <c r="F535" s="560" t="s">
        <v>1851</v>
      </c>
      <c r="G535" s="561">
        <v>10.0</v>
      </c>
      <c r="H535" s="568">
        <v>2100000.0</v>
      </c>
      <c r="I535" s="568">
        <v>2150000.0</v>
      </c>
      <c r="J535" s="557">
        <v>45997.0</v>
      </c>
      <c r="K535" s="74">
        <f>if(F535="SERVICE",O535-(O535*50%),Vlookup(F535,DATABASE!C:Q,10,false)*G535)</f>
        <v>0</v>
      </c>
      <c r="L535" s="74">
        <f>VLOOKUP(F535,DATABASE!C:Q,7,FALSE)</f>
        <v>2020000</v>
      </c>
      <c r="M535" s="74">
        <v>2075000.0</v>
      </c>
      <c r="N535" s="74">
        <f t="shared" si="8"/>
        <v>2075000</v>
      </c>
      <c r="O535" s="74">
        <f t="shared" si="3"/>
        <v>21000000</v>
      </c>
      <c r="P535" s="63">
        <f t="shared" si="4"/>
        <v>21500000</v>
      </c>
      <c r="Q535" s="63">
        <f t="shared" si="5"/>
        <v>750000</v>
      </c>
      <c r="R535" s="93" t="str">
        <f>VLOOKUP(F535,DATABASE!C:Q,4,false)</f>
        <v>G. YEAR</v>
      </c>
      <c r="S535" s="93" t="str">
        <f>VLOOKUP(F535,DATABASE!C:P,11,false)</f>
        <v>Tire</v>
      </c>
      <c r="T535" s="93" t="str">
        <f>vlookup(F535,DATABASE!C:Q,8,false)</f>
        <v>BIAN</v>
      </c>
      <c r="X535" s="9">
        <v>1380000.0</v>
      </c>
      <c r="Z535" s="9"/>
    </row>
    <row r="536" ht="22.5" customHeight="1">
      <c r="A536" s="49"/>
      <c r="C536" s="563">
        <v>45968.0</v>
      </c>
      <c r="D536" s="564">
        <v>7743.0</v>
      </c>
      <c r="E536" s="575" t="s">
        <v>1085</v>
      </c>
      <c r="F536" s="576" t="s">
        <v>305</v>
      </c>
      <c r="G536" s="577">
        <v>1.0</v>
      </c>
      <c r="H536" s="505">
        <v>235000.0</v>
      </c>
      <c r="I536" s="505">
        <v>235000.0</v>
      </c>
      <c r="J536" s="562">
        <v>45998.0</v>
      </c>
      <c r="K536" s="74">
        <f>if(F536="SERVICE",O536-(O536*50%),Vlookup(F536,DATABASE!C:Q,10,false)*G536)</f>
        <v>40000</v>
      </c>
      <c r="L536" s="74">
        <f>VLOOKUP(F536,DATABASE!C:Q,7,FALSE)</f>
        <v>158530.2</v>
      </c>
      <c r="M536" s="74">
        <v>151890.0</v>
      </c>
      <c r="N536" s="74">
        <f t="shared" si="8"/>
        <v>155000</v>
      </c>
      <c r="O536" s="74">
        <f t="shared" si="3"/>
        <v>235000</v>
      </c>
      <c r="P536" s="63">
        <f t="shared" si="4"/>
        <v>235000</v>
      </c>
      <c r="Q536" s="63">
        <f t="shared" si="5"/>
        <v>40000</v>
      </c>
      <c r="R536" s="93" t="str">
        <f>VLOOKUP(F536,DATABASE!C:Q,4,false)</f>
        <v>Lower Arm</v>
      </c>
      <c r="S536" s="93" t="str">
        <f>VLOOKUP(F536,DATABASE!C:P,11,false)</f>
        <v>COMPLEMENTARY</v>
      </c>
      <c r="T536" s="93" t="str">
        <f>vlookup(F536,DATABASE!C:Q,8,false)</f>
        <v>BIAN</v>
      </c>
      <c r="X536" s="9">
        <v>85000.0</v>
      </c>
      <c r="Z536" s="9"/>
    </row>
    <row r="537" ht="22.5" customHeight="1">
      <c r="A537" s="49"/>
      <c r="C537" s="563">
        <v>45968.0</v>
      </c>
      <c r="D537" s="564">
        <v>7748.0</v>
      </c>
      <c r="E537" s="559" t="s">
        <v>1094</v>
      </c>
      <c r="F537" s="560" t="s">
        <v>566</v>
      </c>
      <c r="G537" s="561">
        <v>1.0</v>
      </c>
      <c r="H537" s="505">
        <v>1670000.0</v>
      </c>
      <c r="I537" s="578">
        <v>1670000.0</v>
      </c>
      <c r="J537" s="562">
        <v>45998.0</v>
      </c>
      <c r="K537" s="74">
        <f>if(F537="SERVICE",O537-(O537*50%),Vlookup(F537,DATABASE!C:Q,10,false)*G537)</f>
        <v>0</v>
      </c>
      <c r="L537" s="74">
        <f>VLOOKUP(F537,DATABASE!C:Q,7,FALSE)</f>
        <v>1565000</v>
      </c>
      <c r="M537" s="74">
        <v>1545000.0</v>
      </c>
      <c r="N537" s="74">
        <f t="shared" si="8"/>
        <v>1545000</v>
      </c>
      <c r="O537" s="74">
        <f t="shared" si="3"/>
        <v>1670000</v>
      </c>
      <c r="P537" s="63">
        <f t="shared" si="4"/>
        <v>1670000</v>
      </c>
      <c r="Q537" s="63">
        <f t="shared" si="5"/>
        <v>125000</v>
      </c>
      <c r="R537" s="93" t="str">
        <f>VLOOKUP(F537,DATABASE!C:Q,4,false)</f>
        <v>Bridgestone</v>
      </c>
      <c r="S537" s="93" t="str">
        <f>VLOOKUP(F537,DATABASE!C:P,11,false)</f>
        <v>Tire</v>
      </c>
      <c r="T537" s="93" t="str">
        <f>vlookup(F537,DATABASE!C:Q,8,false)</f>
        <v>IBU</v>
      </c>
      <c r="X537" s="9">
        <v>85000.0</v>
      </c>
      <c r="Z537" s="9"/>
    </row>
    <row r="538" ht="22.5" customHeight="1">
      <c r="A538" s="49"/>
      <c r="C538" s="447">
        <v>45970.0</v>
      </c>
      <c r="D538" s="246">
        <v>7763.0</v>
      </c>
      <c r="E538" s="579" t="s">
        <v>810</v>
      </c>
      <c r="F538" s="580" t="s">
        <v>791</v>
      </c>
      <c r="G538" s="581">
        <v>1.0</v>
      </c>
      <c r="H538" s="449">
        <v>1280000.0</v>
      </c>
      <c r="I538" s="449">
        <v>1380000.0</v>
      </c>
      <c r="J538" s="552">
        <v>46001.0</v>
      </c>
      <c r="K538" s="74">
        <f>if(F538="SERVICE",O538-(O538*50%),Vlookup(F538,DATABASE!C:Q,10,false)*G538)</f>
        <v>0</v>
      </c>
      <c r="L538" s="74">
        <f>VLOOKUP(F538,DATABASE!C:Q,7,FALSE)</f>
        <v>1210000</v>
      </c>
      <c r="M538" s="74">
        <v>1180000.0</v>
      </c>
      <c r="N538" s="74">
        <f t="shared" si="8"/>
        <v>1180000</v>
      </c>
      <c r="O538" s="74">
        <f t="shared" si="3"/>
        <v>1280000</v>
      </c>
      <c r="P538" s="63">
        <f t="shared" si="4"/>
        <v>1380000</v>
      </c>
      <c r="Q538" s="63">
        <f t="shared" si="5"/>
        <v>200000</v>
      </c>
      <c r="R538" s="93" t="str">
        <f>VLOOKUP(F538,DATABASE!C:Q,4,false)</f>
        <v>GT</v>
      </c>
      <c r="S538" s="93" t="str">
        <f>VLOOKUP(F538,DATABASE!C:P,11,false)</f>
        <v>Tire</v>
      </c>
      <c r="T538" s="93" t="str">
        <f>vlookup(F538,DATABASE!C:Q,8,false)</f>
        <v>BIAN</v>
      </c>
      <c r="X538" s="9">
        <v>1700000.0</v>
      </c>
      <c r="Z538" s="9"/>
    </row>
    <row r="539" ht="22.5" customHeight="1">
      <c r="A539" s="49"/>
      <c r="C539" s="563">
        <v>45970.0</v>
      </c>
      <c r="D539" s="564">
        <v>7763.0</v>
      </c>
      <c r="E539" s="559" t="s">
        <v>810</v>
      </c>
      <c r="F539" s="560" t="s">
        <v>255</v>
      </c>
      <c r="G539" s="561">
        <v>1.0</v>
      </c>
      <c r="H539" s="578">
        <v>200000.0</v>
      </c>
      <c r="I539" s="578">
        <v>220000.0</v>
      </c>
      <c r="J539" s="562">
        <v>46001.0</v>
      </c>
      <c r="K539" s="74">
        <f>if(F539="SERVICE",O539-(O539*50%),Vlookup(F539,DATABASE!C:Q,10,false)*G539)</f>
        <v>0</v>
      </c>
      <c r="L539" s="74">
        <f>VLOOKUP(F539,DATABASE!C:Q,7,FALSE)</f>
        <v>161840</v>
      </c>
      <c r="M539" s="74">
        <v>161840.0</v>
      </c>
      <c r="N539" s="74">
        <f t="shared" si="8"/>
        <v>165000</v>
      </c>
      <c r="O539" s="74">
        <f t="shared" si="3"/>
        <v>200000</v>
      </c>
      <c r="P539" s="63">
        <f t="shared" si="4"/>
        <v>220000</v>
      </c>
      <c r="Q539" s="63">
        <f t="shared" si="5"/>
        <v>55000</v>
      </c>
      <c r="R539" s="93" t="str">
        <f>VLOOKUP(F539,DATABASE!C:Q,4,false)</f>
        <v>BD</v>
      </c>
      <c r="S539" s="93" t="str">
        <f>VLOOKUP(F539,DATABASE!C:P,11,false)</f>
        <v>Tire</v>
      </c>
      <c r="T539" s="93" t="str">
        <f>vlookup(F539,DATABASE!C:Q,8,false)</f>
        <v>BIAN</v>
      </c>
      <c r="Z539" s="9"/>
    </row>
    <row r="540" ht="22.5" customHeight="1">
      <c r="A540" s="49"/>
      <c r="C540" s="563">
        <v>45970.0</v>
      </c>
      <c r="D540" s="564">
        <v>7763.0</v>
      </c>
      <c r="E540" s="582" t="s">
        <v>810</v>
      </c>
      <c r="F540" s="583" t="s">
        <v>814</v>
      </c>
      <c r="G540" s="577">
        <v>1.0</v>
      </c>
      <c r="H540" s="505">
        <v>65000.0</v>
      </c>
      <c r="I540" s="578">
        <v>85000.0</v>
      </c>
      <c r="J540" s="562">
        <v>46001.0</v>
      </c>
      <c r="K540" s="74">
        <f>if(F540="SERVICE",O540-(O540*50%),Vlookup(F540,DATABASE!C:Q,10,false)*G540)</f>
        <v>0</v>
      </c>
      <c r="L540" s="74">
        <f>VLOOKUP(F540,DATABASE!C:Q,7,FALSE)</f>
        <v>39440</v>
      </c>
      <c r="M540" s="74">
        <v>39440.0</v>
      </c>
      <c r="N540" s="74">
        <f t="shared" si="8"/>
        <v>40000</v>
      </c>
      <c r="O540" s="74">
        <f t="shared" si="3"/>
        <v>65000</v>
      </c>
      <c r="P540" s="63">
        <f t="shared" si="4"/>
        <v>85000</v>
      </c>
      <c r="Q540" s="63">
        <f t="shared" si="5"/>
        <v>45000</v>
      </c>
      <c r="R540" s="93" t="str">
        <f>VLOOKUP(F540,DATABASE!C:Q,4,false)</f>
        <v>Flap</v>
      </c>
      <c r="S540" s="93" t="str">
        <f>VLOOKUP(F540,DATABASE!C:P,11,false)</f>
        <v>Tire</v>
      </c>
      <c r="T540" s="93" t="str">
        <f>vlookup(F540,DATABASE!C:Q,8,false)</f>
        <v>BIAN</v>
      </c>
      <c r="W540" s="9">
        <v>1670000.0</v>
      </c>
      <c r="Z540" s="9"/>
    </row>
    <row r="541" ht="22.5" customHeight="1">
      <c r="A541" s="49"/>
      <c r="C541" s="563">
        <v>45972.0</v>
      </c>
      <c r="D541" s="564">
        <v>7781.0</v>
      </c>
      <c r="E541" s="559" t="s">
        <v>631</v>
      </c>
      <c r="F541" s="560" t="s">
        <v>275</v>
      </c>
      <c r="G541" s="561">
        <v>1.0</v>
      </c>
      <c r="H541" s="505">
        <v>830000.0</v>
      </c>
      <c r="I541" s="505">
        <v>910000.0</v>
      </c>
      <c r="J541" s="562">
        <v>46002.0</v>
      </c>
      <c r="K541" s="74">
        <f>if(F541="SERVICE",O541-(O541*50%),Vlookup(F541,DATABASE!C:Q,10,false)*G541)</f>
        <v>0</v>
      </c>
      <c r="L541" s="74">
        <f>VLOOKUP(F541,DATABASE!C:Q,7,FALSE)</f>
        <v>782000</v>
      </c>
      <c r="M541" s="74">
        <v>745000.0</v>
      </c>
      <c r="N541" s="74">
        <f t="shared" si="8"/>
        <v>745000</v>
      </c>
      <c r="O541" s="74">
        <f t="shared" si="3"/>
        <v>830000</v>
      </c>
      <c r="P541" s="63">
        <f t="shared" si="4"/>
        <v>910000</v>
      </c>
      <c r="Q541" s="63">
        <f t="shared" si="5"/>
        <v>165000</v>
      </c>
      <c r="R541" s="93" t="str">
        <f>VLOOKUP(F541,DATABASE!C:Q,4,false)</f>
        <v>Dunlop</v>
      </c>
      <c r="S541" s="93" t="str">
        <f>VLOOKUP(F541,DATABASE!C:P,11,false)</f>
        <v>Tire</v>
      </c>
      <c r="T541" s="93" t="str">
        <f>vlookup(F541,DATABASE!C:Q,8,false)</f>
        <v>IBU</v>
      </c>
      <c r="X541" s="9">
        <v>250000.0</v>
      </c>
      <c r="Z541" s="9"/>
    </row>
    <row r="542" ht="22.5" customHeight="1">
      <c r="A542" s="49"/>
      <c r="C542" s="563">
        <v>45972.0</v>
      </c>
      <c r="D542" s="564">
        <v>7788.0</v>
      </c>
      <c r="E542" s="582" t="s">
        <v>396</v>
      </c>
      <c r="F542" s="583" t="s">
        <v>1237</v>
      </c>
      <c r="G542" s="577">
        <v>1.0</v>
      </c>
      <c r="H542" s="505">
        <v>1235000.0</v>
      </c>
      <c r="I542" s="505">
        <v>1315000.0</v>
      </c>
      <c r="J542" s="562">
        <v>46002.0</v>
      </c>
      <c r="K542" s="74">
        <f>if(F542="SERVICE",O542-(O542*50%),Vlookup(F542,DATABASE!C:Q,10,false)*G542)</f>
        <v>0</v>
      </c>
      <c r="L542" s="74">
        <f>VLOOKUP(F542,DATABASE!C:Q,7,FALSE)</f>
        <v>1170353.16</v>
      </c>
      <c r="M542" s="74">
        <v>1113907.2</v>
      </c>
      <c r="N542" s="74">
        <f t="shared" si="8"/>
        <v>1115000</v>
      </c>
      <c r="O542" s="74">
        <f t="shared" si="3"/>
        <v>1235000</v>
      </c>
      <c r="P542" s="63">
        <f t="shared" si="4"/>
        <v>1315000</v>
      </c>
      <c r="Q542" s="63">
        <f t="shared" si="5"/>
        <v>200000</v>
      </c>
      <c r="R542" s="93" t="str">
        <f>VLOOKUP(F542,DATABASE!C:Q,4,false)</f>
        <v>Bridgestone</v>
      </c>
      <c r="S542" s="93" t="str">
        <f>VLOOKUP(F542,DATABASE!C:P,11,false)</f>
        <v>Tire</v>
      </c>
      <c r="T542" s="93" t="str">
        <f>vlookup(F542,DATABASE!C:Q,8,false)</f>
        <v>IBU</v>
      </c>
      <c r="X542" s="9">
        <v>100000.0</v>
      </c>
      <c r="Z542" s="9"/>
    </row>
    <row r="543" ht="22.5" customHeight="1">
      <c r="A543" s="49"/>
      <c r="C543" s="563">
        <v>45973.0</v>
      </c>
      <c r="D543" s="564">
        <v>7799.0</v>
      </c>
      <c r="E543" s="559" t="s">
        <v>515</v>
      </c>
      <c r="F543" s="560" t="s">
        <v>897</v>
      </c>
      <c r="G543" s="561">
        <v>1.0</v>
      </c>
      <c r="H543" s="505">
        <v>1600000.0</v>
      </c>
      <c r="I543" s="505">
        <v>1700000.0</v>
      </c>
      <c r="J543" s="562">
        <v>46003.0</v>
      </c>
      <c r="K543" s="74">
        <f>if(F543="SERVICE",O543-(O543*50%),Vlookup(F543,DATABASE!C:Q,10,false)*G543)</f>
        <v>0</v>
      </c>
      <c r="L543" s="74">
        <f>VLOOKUP(F543,DATABASE!C:Q,7,FALSE)</f>
        <v>1560000</v>
      </c>
      <c r="M543" s="74">
        <v>1500000.0</v>
      </c>
      <c r="N543" s="74">
        <f t="shared" si="8"/>
        <v>1500000</v>
      </c>
      <c r="O543" s="74">
        <f t="shared" si="3"/>
        <v>1600000</v>
      </c>
      <c r="P543" s="63">
        <f t="shared" si="4"/>
        <v>1700000</v>
      </c>
      <c r="Q543" s="63">
        <f t="shared" si="5"/>
        <v>200000</v>
      </c>
      <c r="R543" s="93" t="str">
        <f>VLOOKUP(F543,DATABASE!C:Q,4,false)</f>
        <v>GT</v>
      </c>
      <c r="S543" s="93" t="str">
        <f>VLOOKUP(F543,DATABASE!C:P,11,false)</f>
        <v>Tire</v>
      </c>
      <c r="T543" s="93" t="str">
        <f>vlookup(F543,DATABASE!C:Q,8,false)</f>
        <v>BIAN</v>
      </c>
      <c r="X543" s="9">
        <v>3400000.0</v>
      </c>
      <c r="Z543" s="9"/>
    </row>
    <row r="544" ht="22.5" customHeight="1">
      <c r="A544" s="49"/>
      <c r="C544" s="574">
        <v>45973.0</v>
      </c>
      <c r="D544" s="558">
        <v>7799.0</v>
      </c>
      <c r="E544" s="582" t="s">
        <v>515</v>
      </c>
      <c r="F544" s="583" t="s">
        <v>744</v>
      </c>
      <c r="G544" s="577">
        <v>1.0</v>
      </c>
      <c r="H544" s="584">
        <v>230000.0</v>
      </c>
      <c r="I544" s="584">
        <v>250000.0</v>
      </c>
      <c r="J544" s="585">
        <v>46003.0</v>
      </c>
      <c r="K544" s="74">
        <f>if(F544="SERVICE",O544-(O544*50%),Vlookup(F544,DATABASE!C:Q,10,false)*G544)</f>
        <v>0</v>
      </c>
      <c r="L544" s="74">
        <f>VLOOKUP(F544,DATABASE!C:Q,7,FALSE)</f>
        <v>182200</v>
      </c>
      <c r="M544" s="74">
        <v>199920.0</v>
      </c>
      <c r="N544" s="74">
        <f t="shared" si="8"/>
        <v>200000</v>
      </c>
      <c r="O544" s="74">
        <f t="shared" si="3"/>
        <v>230000</v>
      </c>
      <c r="P544" s="63">
        <f t="shared" si="4"/>
        <v>250000</v>
      </c>
      <c r="Q544" s="63">
        <f t="shared" si="5"/>
        <v>50000</v>
      </c>
      <c r="R544" s="93" t="str">
        <f>VLOOKUP(F544,DATABASE!C:Q,4,false)</f>
        <v>BD</v>
      </c>
      <c r="S544" s="93" t="str">
        <f>VLOOKUP(F544,DATABASE!C:P,11,false)</f>
        <v>Tire</v>
      </c>
      <c r="T544" s="93" t="str">
        <f>vlookup(F544,DATABASE!C:Q,8,false)</f>
        <v>BIAN</v>
      </c>
      <c r="W544" s="9">
        <v>830000.0</v>
      </c>
      <c r="Z544" s="9"/>
    </row>
    <row r="545" ht="22.5" customHeight="1">
      <c r="A545" s="49"/>
      <c r="C545" s="563">
        <v>45973.0</v>
      </c>
      <c r="D545" s="564">
        <v>7799.0</v>
      </c>
      <c r="E545" s="559" t="s">
        <v>515</v>
      </c>
      <c r="F545" s="560" t="s">
        <v>821</v>
      </c>
      <c r="G545" s="561">
        <v>1.0</v>
      </c>
      <c r="H545" s="505">
        <v>85000.0</v>
      </c>
      <c r="I545" s="505">
        <v>100000.0</v>
      </c>
      <c r="J545" s="562">
        <v>46003.0</v>
      </c>
      <c r="K545" s="74">
        <f>if(F545="SERVICE",O545-(O545*50%),Vlookup(F545,DATABASE!C:Q,10,false)*G545)</f>
        <v>0</v>
      </c>
      <c r="L545" s="74">
        <f>VLOOKUP(F545,DATABASE!C:Q,7,FALSE)</f>
        <v>43500</v>
      </c>
      <c r="M545" s="74">
        <v>43520.0</v>
      </c>
      <c r="N545" s="74">
        <f t="shared" si="8"/>
        <v>45000</v>
      </c>
      <c r="O545" s="74">
        <f t="shared" si="3"/>
        <v>85000</v>
      </c>
      <c r="P545" s="63">
        <f t="shared" si="4"/>
        <v>100000</v>
      </c>
      <c r="Q545" s="63">
        <f t="shared" si="5"/>
        <v>55000</v>
      </c>
      <c r="R545" s="93" t="str">
        <f>VLOOKUP(F545,DATABASE!C:Q,4,false)</f>
        <v>Flap</v>
      </c>
      <c r="S545" s="93" t="str">
        <f>VLOOKUP(F545,DATABASE!C:P,11,false)</f>
        <v>Tire</v>
      </c>
      <c r="T545" s="93" t="str">
        <f>vlookup(F545,DATABASE!C:Q,8,false)</f>
        <v>BIAN</v>
      </c>
      <c r="W545" s="9">
        <v>1235000.0</v>
      </c>
      <c r="Z545" s="9"/>
    </row>
    <row r="546" ht="22.5" customHeight="1">
      <c r="A546" s="49"/>
      <c r="C546" s="563">
        <v>45975.0</v>
      </c>
      <c r="D546" s="564">
        <v>7728.0</v>
      </c>
      <c r="E546" s="559" t="s">
        <v>595</v>
      </c>
      <c r="F546" s="586" t="s">
        <v>2345</v>
      </c>
      <c r="G546" s="561">
        <v>4.0</v>
      </c>
      <c r="H546" s="505">
        <v>775000.0</v>
      </c>
      <c r="I546" s="578">
        <v>800000.0</v>
      </c>
      <c r="J546" s="562">
        <v>46005.0</v>
      </c>
      <c r="K546" s="74">
        <f>if(F546="SERVICE",O546-(O546*50%),Vlookup(F546,DATABASE!C:Q,10,false)*G546)</f>
        <v>0</v>
      </c>
      <c r="L546" s="74">
        <f>VLOOKUP(F546,DATABASE!C:Q,7,FALSE)</f>
        <v>680000</v>
      </c>
      <c r="M546" s="74">
        <v>650000.0</v>
      </c>
      <c r="N546" s="74">
        <f t="shared" si="8"/>
        <v>650000</v>
      </c>
      <c r="O546" s="74">
        <f t="shared" si="3"/>
        <v>3100000</v>
      </c>
      <c r="P546" s="63">
        <f t="shared" si="4"/>
        <v>3200000</v>
      </c>
      <c r="Q546" s="63">
        <f t="shared" si="5"/>
        <v>600000</v>
      </c>
      <c r="R546" s="93" t="str">
        <f>VLOOKUP(F546,DATABASE!C:Q,4,false)</f>
        <v>Velg</v>
      </c>
      <c r="S546" s="93" t="str">
        <f>VLOOKUP(F546,DATABASE!C:P,11,false)</f>
        <v>Tire</v>
      </c>
      <c r="T546" s="93" t="str">
        <f>vlookup(F546,DATABASE!C:Q,8,false)</f>
        <v>BIAN</v>
      </c>
      <c r="X546" s="9">
        <v>3700000.0</v>
      </c>
      <c r="Z546" s="9"/>
    </row>
    <row r="547" ht="22.5" customHeight="1">
      <c r="A547" s="49"/>
      <c r="C547" s="563">
        <v>45975.0</v>
      </c>
      <c r="D547" s="564">
        <v>7829.0</v>
      </c>
      <c r="E547" s="582" t="s">
        <v>735</v>
      </c>
      <c r="F547" s="583" t="s">
        <v>924</v>
      </c>
      <c r="G547" s="577">
        <v>2.0</v>
      </c>
      <c r="H547" s="505">
        <v>1750000.0</v>
      </c>
      <c r="I547" s="505">
        <v>1850000.0</v>
      </c>
      <c r="J547" s="562">
        <v>46005.0</v>
      </c>
      <c r="K547" s="74">
        <f>if(F547="SERVICE",O547-(O547*50%),Vlookup(F547,DATABASE!C:Q,10,false)*G547)</f>
        <v>0</v>
      </c>
      <c r="L547" s="140">
        <v>1650000.0</v>
      </c>
      <c r="M547" s="140">
        <v>1650000.0</v>
      </c>
      <c r="N547" s="74">
        <f t="shared" si="8"/>
        <v>1650000</v>
      </c>
      <c r="O547" s="74">
        <f t="shared" si="3"/>
        <v>3500000</v>
      </c>
      <c r="P547" s="63">
        <f t="shared" si="4"/>
        <v>3700000</v>
      </c>
      <c r="Q547" s="63">
        <f t="shared" si="5"/>
        <v>400000</v>
      </c>
      <c r="R547" s="93" t="str">
        <f>VLOOKUP(F547,DATABASE!C:Q,4,false)</f>
        <v>TIRON</v>
      </c>
      <c r="S547" s="93" t="str">
        <f>VLOOKUP(F547,DATABASE!C:P,11,false)</f>
        <v>Tire</v>
      </c>
      <c r="T547" s="93" t="str">
        <f>vlookup(F547,DATABASE!C:Q,8,false)</f>
        <v>BIAN</v>
      </c>
      <c r="X547" s="9">
        <v>1700000.0</v>
      </c>
      <c r="Z547" s="9"/>
    </row>
    <row r="548" ht="22.5" customHeight="1">
      <c r="A548" s="49"/>
      <c r="C548" s="563">
        <v>45975.0</v>
      </c>
      <c r="D548" s="564">
        <v>7836.0</v>
      </c>
      <c r="E548" s="559" t="s">
        <v>536</v>
      </c>
      <c r="F548" s="560" t="s">
        <v>897</v>
      </c>
      <c r="G548" s="561">
        <v>1.0</v>
      </c>
      <c r="H548" s="505">
        <v>1600000.0</v>
      </c>
      <c r="I548" s="505">
        <v>1700000.0</v>
      </c>
      <c r="J548" s="562">
        <v>46005.0</v>
      </c>
      <c r="K548" s="74">
        <f>if(F548="SERVICE",O548-(O548*50%),Vlookup(F548,DATABASE!C:Q,10,false)*G548)</f>
        <v>0</v>
      </c>
      <c r="L548" s="74">
        <f>VLOOKUP(F548,DATABASE!C:Q,7,FALSE)</f>
        <v>1560000</v>
      </c>
      <c r="M548" s="74">
        <v>1500000.0</v>
      </c>
      <c r="N548" s="74">
        <f t="shared" si="8"/>
        <v>1500000</v>
      </c>
      <c r="O548" s="74">
        <f t="shared" si="3"/>
        <v>1600000</v>
      </c>
      <c r="P548" s="63">
        <f t="shared" si="4"/>
        <v>1700000</v>
      </c>
      <c r="Q548" s="63">
        <f t="shared" si="5"/>
        <v>200000</v>
      </c>
      <c r="R548" s="93" t="str">
        <f>VLOOKUP(F548,DATABASE!C:Q,4,false)</f>
        <v>GT</v>
      </c>
      <c r="S548" s="93" t="str">
        <f>VLOOKUP(F548,DATABASE!C:P,11,false)</f>
        <v>Tire</v>
      </c>
      <c r="T548" s="93" t="str">
        <f>vlookup(F548,DATABASE!C:Q,8,false)</f>
        <v>BIAN</v>
      </c>
      <c r="X548" s="9">
        <v>5320000.0</v>
      </c>
      <c r="Z548" s="9"/>
    </row>
    <row r="549" ht="22.5" customHeight="1">
      <c r="A549" s="49"/>
      <c r="C549" s="563">
        <v>45975.0</v>
      </c>
      <c r="D549" s="564">
        <v>7799.0</v>
      </c>
      <c r="E549" s="582" t="s">
        <v>1085</v>
      </c>
      <c r="F549" s="583" t="s">
        <v>265</v>
      </c>
      <c r="G549" s="577">
        <v>1.0</v>
      </c>
      <c r="H549" s="505">
        <v>680000.0</v>
      </c>
      <c r="I549" s="505">
        <v>700000.0</v>
      </c>
      <c r="J549" s="562">
        <v>46005.0</v>
      </c>
      <c r="K549" s="74">
        <f>if(F549="SERVICE",O549-(O549*50%),Vlookup(F549,DATABASE!C:Q,10,false)*G549)</f>
        <v>0</v>
      </c>
      <c r="L549" s="74">
        <f>VLOOKUP(F549,DATABASE!C:Q,7,FALSE)</f>
        <v>628000</v>
      </c>
      <c r="M549" s="74">
        <v>610000.0</v>
      </c>
      <c r="N549" s="74">
        <f t="shared" si="8"/>
        <v>610000</v>
      </c>
      <c r="O549" s="74">
        <f t="shared" si="3"/>
        <v>680000</v>
      </c>
      <c r="P549" s="63">
        <f t="shared" si="4"/>
        <v>700000</v>
      </c>
      <c r="Q549" s="63">
        <f t="shared" si="5"/>
        <v>90000</v>
      </c>
      <c r="R549" s="93" t="str">
        <f>VLOOKUP(F549,DATABASE!C:Q,4,false)</f>
        <v>Dunlop</v>
      </c>
      <c r="S549" s="93" t="str">
        <f>VLOOKUP(F549,DATABASE!C:P,11,false)</f>
        <v>Tire</v>
      </c>
      <c r="T549" s="93" t="str">
        <f>vlookup(F549,DATABASE!C:Q,8,false)</f>
        <v>IBU</v>
      </c>
      <c r="W549" s="9">
        <v>680000.0</v>
      </c>
      <c r="Z549" s="9"/>
    </row>
    <row r="550" ht="22.5" customHeight="1">
      <c r="A550" s="49"/>
      <c r="C550" s="563">
        <v>45976.0</v>
      </c>
      <c r="D550" s="564">
        <v>7854.0</v>
      </c>
      <c r="E550" s="582" t="s">
        <v>470</v>
      </c>
      <c r="F550" s="583" t="s">
        <v>791</v>
      </c>
      <c r="G550" s="577">
        <v>4.0</v>
      </c>
      <c r="H550" s="505">
        <v>1280000.0</v>
      </c>
      <c r="I550" s="568">
        <v>1330000.0</v>
      </c>
      <c r="J550" s="562">
        <v>46006.0</v>
      </c>
      <c r="K550" s="74">
        <f>if(F550="SERVICE",O550-(O550*50%),Vlookup(F550,DATABASE!C:Q,10,false)*G550)</f>
        <v>0</v>
      </c>
      <c r="L550" s="74">
        <f>VLOOKUP(F550,DATABASE!C:Q,7,FALSE)</f>
        <v>1210000</v>
      </c>
      <c r="M550" s="74">
        <v>1180000.0</v>
      </c>
      <c r="N550" s="74">
        <f t="shared" si="8"/>
        <v>1180000</v>
      </c>
      <c r="O550" s="74">
        <f t="shared" si="3"/>
        <v>5120000</v>
      </c>
      <c r="P550" s="63">
        <f t="shared" si="4"/>
        <v>5320000</v>
      </c>
      <c r="Q550" s="63">
        <f t="shared" si="5"/>
        <v>600000</v>
      </c>
      <c r="R550" s="93" t="str">
        <f>VLOOKUP(F550,DATABASE!C:Q,4,false)</f>
        <v>GT</v>
      </c>
      <c r="S550" s="93" t="str">
        <f>VLOOKUP(F550,DATABASE!C:P,11,false)</f>
        <v>Tire</v>
      </c>
      <c r="T550" s="93" t="str">
        <f>vlookup(F550,DATABASE!C:Q,8,false)</f>
        <v>BIAN</v>
      </c>
      <c r="X550" s="9">
        <v>880000.0</v>
      </c>
      <c r="Z550" s="9"/>
    </row>
    <row r="551" ht="22.5" customHeight="1">
      <c r="A551" s="49"/>
      <c r="C551" s="563">
        <v>45976.0</v>
      </c>
      <c r="D551" s="564">
        <v>7854.0</v>
      </c>
      <c r="E551" s="559" t="s">
        <v>470</v>
      </c>
      <c r="F551" s="560" t="s">
        <v>255</v>
      </c>
      <c r="G551" s="561">
        <v>4.0</v>
      </c>
      <c r="H551" s="505">
        <v>200000.0</v>
      </c>
      <c r="I551" s="505">
        <v>220000.0</v>
      </c>
      <c r="J551" s="562">
        <v>46006.0</v>
      </c>
      <c r="K551" s="74">
        <f>if(F551="SERVICE",O551-(O551*50%),Vlookup(F551,DATABASE!C:Q,10,false)*G551)</f>
        <v>0</v>
      </c>
      <c r="L551" s="74">
        <f>VLOOKUP(F551,DATABASE!C:Q,7,FALSE)</f>
        <v>161840</v>
      </c>
      <c r="M551" s="74">
        <v>161840.0</v>
      </c>
      <c r="N551" s="74">
        <f t="shared" si="8"/>
        <v>165000</v>
      </c>
      <c r="O551" s="74">
        <f t="shared" si="3"/>
        <v>800000</v>
      </c>
      <c r="P551" s="63">
        <f t="shared" si="4"/>
        <v>880000</v>
      </c>
      <c r="Q551" s="63">
        <f t="shared" si="5"/>
        <v>220000</v>
      </c>
      <c r="R551" s="93" t="str">
        <f>VLOOKUP(F551,DATABASE!C:Q,4,false)</f>
        <v>BD</v>
      </c>
      <c r="S551" s="93" t="str">
        <f>VLOOKUP(F551,DATABASE!C:P,11,false)</f>
        <v>Tire</v>
      </c>
      <c r="T551" s="93" t="str">
        <f>vlookup(F551,DATABASE!C:Q,8,false)</f>
        <v>BIAN</v>
      </c>
      <c r="X551" s="9">
        <v>340000.0</v>
      </c>
      <c r="Z551" s="9"/>
    </row>
    <row r="552" ht="22.5" customHeight="1">
      <c r="A552" s="49"/>
      <c r="C552" s="563">
        <v>45976.0</v>
      </c>
      <c r="D552" s="564">
        <v>7854.0</v>
      </c>
      <c r="E552" s="582" t="s">
        <v>470</v>
      </c>
      <c r="F552" s="583" t="s">
        <v>814</v>
      </c>
      <c r="G552" s="577">
        <v>4.0</v>
      </c>
      <c r="H552" s="505">
        <v>65000.0</v>
      </c>
      <c r="I552" s="505">
        <v>85000.0</v>
      </c>
      <c r="J552" s="562">
        <v>46006.0</v>
      </c>
      <c r="K552" s="74">
        <f>if(F552="SERVICE",O552-(O552*50%),Vlookup(F552,DATABASE!C:Q,10,false)*G552)</f>
        <v>0</v>
      </c>
      <c r="L552" s="74">
        <f>VLOOKUP(F552,DATABASE!C:Q,7,FALSE)</f>
        <v>39440</v>
      </c>
      <c r="M552" s="74">
        <v>39440.0</v>
      </c>
      <c r="N552" s="74">
        <f t="shared" si="8"/>
        <v>40000</v>
      </c>
      <c r="O552" s="74">
        <f t="shared" si="3"/>
        <v>260000</v>
      </c>
      <c r="P552" s="63">
        <f t="shared" si="4"/>
        <v>340000</v>
      </c>
      <c r="Q552" s="63">
        <f t="shared" si="5"/>
        <v>180000</v>
      </c>
      <c r="R552" s="93" t="str">
        <f>VLOOKUP(F552,DATABASE!C:Q,4,false)</f>
        <v>Flap</v>
      </c>
      <c r="S552" s="93" t="str">
        <f>VLOOKUP(F552,DATABASE!C:P,11,false)</f>
        <v>Tire</v>
      </c>
      <c r="T552" s="93" t="str">
        <f>vlookup(F552,DATABASE!C:Q,8,false)</f>
        <v>BIAN</v>
      </c>
      <c r="X552" s="9">
        <v>4720000.0</v>
      </c>
      <c r="Z552" s="9"/>
    </row>
    <row r="553" ht="22.5" customHeight="1">
      <c r="A553" s="49"/>
      <c r="C553" s="587">
        <v>45978.0</v>
      </c>
      <c r="D553" s="281">
        <v>8042.0</v>
      </c>
      <c r="E553" s="281" t="s">
        <v>1094</v>
      </c>
      <c r="F553" s="550" t="s">
        <v>566</v>
      </c>
      <c r="G553" s="588">
        <v>2.0</v>
      </c>
      <c r="H553" s="550">
        <v>1670000.0</v>
      </c>
      <c r="I553" s="550">
        <v>1770000.0</v>
      </c>
      <c r="J553" s="589">
        <v>46022.0</v>
      </c>
      <c r="K553" s="74">
        <f>if(F553="SERVICE",O553-(O553*50%),Vlookup(F553,DATABASE!C:Q,10,false)*G553)</f>
        <v>0</v>
      </c>
      <c r="L553" s="74">
        <f>VLOOKUP(F553,DATABASE!C:Q,7,FALSE)</f>
        <v>1565000</v>
      </c>
      <c r="M553" s="74">
        <v>1545000.0</v>
      </c>
      <c r="N553" s="74">
        <f t="shared" si="8"/>
        <v>1545000</v>
      </c>
      <c r="O553" s="74">
        <f t="shared" si="3"/>
        <v>3340000</v>
      </c>
      <c r="P553" s="63">
        <f t="shared" si="4"/>
        <v>3540000</v>
      </c>
      <c r="Q553" s="63">
        <f t="shared" si="5"/>
        <v>450000</v>
      </c>
      <c r="R553" s="93" t="str">
        <f>VLOOKUP(F553,DATABASE!C:Q,4,false)</f>
        <v>Bridgestone</v>
      </c>
      <c r="S553" s="93" t="str">
        <f>VLOOKUP(F553,DATABASE!C:P,11,false)</f>
        <v>Tire</v>
      </c>
      <c r="T553" s="93" t="str">
        <f>vlookup(F553,DATABASE!C:Q,8,false)</f>
        <v>IBU</v>
      </c>
      <c r="X553" s="9">
        <v>4500000.0</v>
      </c>
      <c r="Z553" s="9"/>
    </row>
    <row r="554" ht="22.5" customHeight="1">
      <c r="A554" s="49"/>
      <c r="C554" s="563">
        <v>45979.0</v>
      </c>
      <c r="D554" s="564">
        <v>7886.0</v>
      </c>
      <c r="E554" s="559" t="s">
        <v>991</v>
      </c>
      <c r="F554" s="560" t="s">
        <v>1565</v>
      </c>
      <c r="G554" s="561">
        <v>2.0</v>
      </c>
      <c r="H554" s="505">
        <v>1430000.0</v>
      </c>
      <c r="I554" s="505">
        <v>1480000.0</v>
      </c>
      <c r="J554" s="562">
        <v>46009.0</v>
      </c>
      <c r="K554" s="74">
        <f>if(F554="SERVICE",O554-(O554*50%),Vlookup(F554,DATABASE!C:Q,10,false)*G554)</f>
        <v>0</v>
      </c>
      <c r="L554" s="74">
        <f>VLOOKUP(F554,DATABASE!C:Q,7,FALSE)</f>
        <v>1292000</v>
      </c>
      <c r="M554" s="74">
        <v>1320000.0</v>
      </c>
      <c r="N554" s="74">
        <f t="shared" si="8"/>
        <v>1320000</v>
      </c>
      <c r="O554" s="74">
        <f t="shared" si="3"/>
        <v>2860000</v>
      </c>
      <c r="P554" s="63">
        <f t="shared" si="4"/>
        <v>2960000</v>
      </c>
      <c r="Q554" s="63">
        <f t="shared" si="5"/>
        <v>320000</v>
      </c>
      <c r="R554" s="93" t="str">
        <f>VLOOKUP(F554,DATABASE!C:Q,4,false)</f>
        <v>Dunlop</v>
      </c>
      <c r="S554" s="93" t="str">
        <f>VLOOKUP(F554,DATABASE!C:P,11,false)</f>
        <v>Tire</v>
      </c>
      <c r="T554" s="93" t="str">
        <f>vlookup(F554,DATABASE!C:Q,8,false)</f>
        <v>IBU</v>
      </c>
      <c r="X554" s="9">
        <v>3700000.0</v>
      </c>
      <c r="Z554" s="9"/>
    </row>
    <row r="555" ht="22.5" customHeight="1">
      <c r="A555" s="49"/>
      <c r="C555" s="563">
        <v>45979.0</v>
      </c>
      <c r="D555" s="564">
        <v>7886.0</v>
      </c>
      <c r="E555" s="582" t="s">
        <v>991</v>
      </c>
      <c r="F555" s="590" t="s">
        <v>299</v>
      </c>
      <c r="G555" s="577">
        <v>2.0</v>
      </c>
      <c r="H555" s="505">
        <v>30000.0</v>
      </c>
      <c r="I555" s="505">
        <v>40000.0</v>
      </c>
      <c r="J555" s="562">
        <v>46009.0</v>
      </c>
      <c r="K555" s="74">
        <f>if(F555="SERVICE",O555-(O555*50%),Vlookup(F555,DATABASE!C:Q,10,false)*G555)</f>
        <v>0</v>
      </c>
      <c r="L555" s="74">
        <f>VLOOKUP(F555,DATABASE!C:Q,7,FALSE)</f>
        <v>10000</v>
      </c>
      <c r="M555" s="74">
        <v>5000.0</v>
      </c>
      <c r="N555" s="74">
        <f t="shared" si="8"/>
        <v>5000</v>
      </c>
      <c r="O555" s="74">
        <f t="shared" si="3"/>
        <v>60000</v>
      </c>
      <c r="P555" s="63">
        <f t="shared" si="4"/>
        <v>80000</v>
      </c>
      <c r="Q555" s="63">
        <f t="shared" si="5"/>
        <v>70000</v>
      </c>
      <c r="R555" s="93" t="str">
        <f>VLOOKUP(F555,DATABASE!C:Q,4,false)</f>
        <v>Balancing</v>
      </c>
      <c r="S555" s="93" t="str">
        <f>VLOOKUP(F555,DATABASE!C:P,11,false)</f>
        <v>COMPLEMENTARY</v>
      </c>
      <c r="T555" s="93" t="str">
        <f>vlookup(F555,DATABASE!C:Q,8,false)</f>
        <v>BIAN</v>
      </c>
      <c r="X555" s="9">
        <v>2760000.0</v>
      </c>
      <c r="Z555" s="9"/>
    </row>
    <row r="556" ht="22.5" customHeight="1">
      <c r="A556" s="49"/>
      <c r="C556" s="563">
        <v>45980.0</v>
      </c>
      <c r="D556" s="564">
        <v>7900.0</v>
      </c>
      <c r="E556" s="582" t="s">
        <v>270</v>
      </c>
      <c r="F556" s="583" t="s">
        <v>403</v>
      </c>
      <c r="G556" s="577">
        <v>2.0</v>
      </c>
      <c r="H556" s="505">
        <v>2260000.0</v>
      </c>
      <c r="I556" s="505">
        <v>2360000.0</v>
      </c>
      <c r="J556" s="562">
        <v>46010.0</v>
      </c>
      <c r="K556" s="74">
        <f>if(F556="SERVICE",O556-(O556*50%),Vlookup(F556,DATABASE!C:Q,10,false)*G556)</f>
        <v>0</v>
      </c>
      <c r="L556" s="74">
        <f>VLOOKUP(F556,DATABASE!C:Q,7,FALSE)</f>
        <v>2160000</v>
      </c>
      <c r="M556" s="74">
        <v>2160000.0</v>
      </c>
      <c r="N556" s="74">
        <f t="shared" si="8"/>
        <v>2160000</v>
      </c>
      <c r="O556" s="74">
        <f t="shared" si="3"/>
        <v>4520000</v>
      </c>
      <c r="P556" s="63">
        <f t="shared" si="4"/>
        <v>4720000</v>
      </c>
      <c r="Q556" s="63">
        <f t="shared" si="5"/>
        <v>400000</v>
      </c>
      <c r="R556" s="93" t="str">
        <f>VLOOKUP(F556,DATABASE!C:Q,4,false)</f>
        <v>Advance</v>
      </c>
      <c r="S556" s="93" t="str">
        <f>VLOOKUP(F556,DATABASE!C:P,11,false)</f>
        <v>Tire</v>
      </c>
      <c r="T556" s="93" t="str">
        <f>vlookup(F556,DATABASE!C:Q,8,false)</f>
        <v>BIAN</v>
      </c>
      <c r="W556" s="9">
        <v>2860000.0</v>
      </c>
      <c r="Z556" s="9"/>
    </row>
    <row r="557" ht="22.5" customHeight="1">
      <c r="A557" s="49"/>
      <c r="C557" s="563">
        <v>45980.0</v>
      </c>
      <c r="D557" s="564">
        <v>7900.0</v>
      </c>
      <c r="E557" s="559" t="s">
        <v>270</v>
      </c>
      <c r="F557" s="560" t="s">
        <v>1862</v>
      </c>
      <c r="G557" s="561">
        <v>2.0</v>
      </c>
      <c r="H557" s="505">
        <v>2150000.0</v>
      </c>
      <c r="I557" s="505">
        <v>2250000.0</v>
      </c>
      <c r="J557" s="562">
        <v>46010.0</v>
      </c>
      <c r="K557" s="74">
        <f>if(F557="SERVICE",O557-(O557*50%),Vlookup(F557,DATABASE!C:Q,10,false)*G557)</f>
        <v>0</v>
      </c>
      <c r="L557" s="74">
        <f>VLOOKUP(F557,DATABASE!C:Q,7,FALSE)</f>
        <v>2080000</v>
      </c>
      <c r="M557" s="74">
        <v>2050000.0</v>
      </c>
      <c r="N557" s="74">
        <f t="shared" si="8"/>
        <v>2050000</v>
      </c>
      <c r="O557" s="74">
        <f t="shared" si="3"/>
        <v>4300000</v>
      </c>
      <c r="P557" s="63">
        <f t="shared" si="4"/>
        <v>4500000</v>
      </c>
      <c r="Q557" s="63">
        <f t="shared" si="5"/>
        <v>400000</v>
      </c>
      <c r="R557" s="93" t="str">
        <f>VLOOKUP(F557,DATABASE!C:Q,4,false)</f>
        <v>GiTi</v>
      </c>
      <c r="S557" s="93" t="str">
        <f>VLOOKUP(F557,DATABASE!C:P,11,false)</f>
        <v>Tire</v>
      </c>
      <c r="T557" s="93" t="str">
        <f>vlookup(F557,DATABASE!C:Q,8,false)</f>
        <v>BIAN</v>
      </c>
      <c r="Z557" s="9"/>
    </row>
    <row r="558" ht="22.5" customHeight="1">
      <c r="A558" s="49"/>
      <c r="C558" s="563">
        <v>45980.0</v>
      </c>
      <c r="D558" s="564">
        <v>7900.0</v>
      </c>
      <c r="E558" s="582" t="s">
        <v>270</v>
      </c>
      <c r="F558" s="583" t="s">
        <v>924</v>
      </c>
      <c r="G558" s="577">
        <v>2.0</v>
      </c>
      <c r="H558" s="505">
        <v>1750000.0</v>
      </c>
      <c r="I558" s="505">
        <v>1850000.0</v>
      </c>
      <c r="J558" s="562">
        <v>46010.0</v>
      </c>
      <c r="K558" s="74">
        <f>if(F558="SERVICE",O558-(O558*50%),Vlookup(F558,DATABASE!C:Q,10,false)*G558)</f>
        <v>0</v>
      </c>
      <c r="L558" s="74">
        <f>VLOOKUP(F558,DATABASE!C:Q,7,FALSE)</f>
        <v>1560000</v>
      </c>
      <c r="M558" s="74">
        <v>1545000.0</v>
      </c>
      <c r="N558" s="74">
        <f t="shared" si="8"/>
        <v>1545000</v>
      </c>
      <c r="O558" s="74">
        <f t="shared" si="3"/>
        <v>3500000</v>
      </c>
      <c r="P558" s="63">
        <f t="shared" si="4"/>
        <v>3700000</v>
      </c>
      <c r="Q558" s="63">
        <f t="shared" si="5"/>
        <v>610000</v>
      </c>
      <c r="R558" s="93" t="str">
        <f>VLOOKUP(F558,DATABASE!C:Q,4,false)</f>
        <v>TIRON</v>
      </c>
      <c r="S558" s="93" t="str">
        <f>VLOOKUP(F558,DATABASE!C:P,11,false)</f>
        <v>Tire</v>
      </c>
      <c r="T558" s="93" t="str">
        <f>vlookup(F558,DATABASE!C:Q,8,false)</f>
        <v>BIAN</v>
      </c>
      <c r="W558" s="9">
        <v>1235000.0</v>
      </c>
      <c r="Z558" s="9"/>
    </row>
    <row r="559" ht="22.5" customHeight="1">
      <c r="A559" s="49"/>
      <c r="C559" s="563">
        <v>45980.0</v>
      </c>
      <c r="D559" s="564">
        <v>7895.0</v>
      </c>
      <c r="E559" s="559" t="s">
        <v>1139</v>
      </c>
      <c r="F559" s="560" t="s">
        <v>1237</v>
      </c>
      <c r="G559" s="561">
        <v>1.0</v>
      </c>
      <c r="H559" s="505">
        <v>1235000.0</v>
      </c>
      <c r="I559" s="505">
        <v>1300000.0</v>
      </c>
      <c r="J559" s="562">
        <v>46010.0</v>
      </c>
      <c r="K559" s="74">
        <f>if(F559="SERVICE",O559-(O559*50%),Vlookup(F559,DATABASE!C:Q,10,false)*G559)</f>
        <v>0</v>
      </c>
      <c r="L559" s="74">
        <f>VLOOKUP(F559,DATABASE!C:Q,7,FALSE)</f>
        <v>1170353.16</v>
      </c>
      <c r="M559" s="74">
        <v>1113907.2</v>
      </c>
      <c r="N559" s="74">
        <f t="shared" si="8"/>
        <v>1115000</v>
      </c>
      <c r="O559" s="74">
        <f t="shared" si="3"/>
        <v>1235000</v>
      </c>
      <c r="P559" s="63">
        <f t="shared" si="4"/>
        <v>1300000</v>
      </c>
      <c r="Q559" s="63">
        <f t="shared" si="5"/>
        <v>185000</v>
      </c>
      <c r="R559" s="93" t="str">
        <f>VLOOKUP(F559,DATABASE!C:Q,4,false)</f>
        <v>Bridgestone</v>
      </c>
      <c r="S559" s="93" t="str">
        <f>VLOOKUP(F559,DATABASE!C:P,11,false)</f>
        <v>Tire</v>
      </c>
      <c r="T559" s="93" t="str">
        <f>vlookup(F559,DATABASE!C:Q,8,false)</f>
        <v>IBU</v>
      </c>
      <c r="X559" s="9">
        <v>440000.0</v>
      </c>
      <c r="Z559" s="9"/>
    </row>
    <row r="560" ht="22.5" customHeight="1">
      <c r="A560" s="49"/>
      <c r="C560" s="563">
        <v>45981.0</v>
      </c>
      <c r="D560" s="564">
        <v>7902.0</v>
      </c>
      <c r="E560" s="559" t="s">
        <v>536</v>
      </c>
      <c r="F560" s="560" t="s">
        <v>791</v>
      </c>
      <c r="G560" s="561">
        <v>2.0</v>
      </c>
      <c r="H560" s="505">
        <v>1280000.0</v>
      </c>
      <c r="I560" s="505">
        <v>1380000.0</v>
      </c>
      <c r="J560" s="562">
        <v>46011.0</v>
      </c>
      <c r="K560" s="74">
        <f>if(F560="SERVICE",O560-(O560*50%),Vlookup(F560,DATABASE!C:Q,10,false)*G560)</f>
        <v>0</v>
      </c>
      <c r="L560" s="74">
        <f>VLOOKUP(F560,DATABASE!C:Q,7,FALSE)</f>
        <v>1210000</v>
      </c>
      <c r="M560" s="74">
        <v>1180000.0</v>
      </c>
      <c r="N560" s="74">
        <f t="shared" si="8"/>
        <v>1180000</v>
      </c>
      <c r="O560" s="74">
        <f t="shared" si="3"/>
        <v>2560000</v>
      </c>
      <c r="P560" s="63">
        <f t="shared" si="4"/>
        <v>2760000</v>
      </c>
      <c r="Q560" s="63">
        <f t="shared" si="5"/>
        <v>400000</v>
      </c>
      <c r="R560" s="93" t="str">
        <f>VLOOKUP(F560,DATABASE!C:Q,4,false)</f>
        <v>GT</v>
      </c>
      <c r="S560" s="93" t="str">
        <f>VLOOKUP(F560,DATABASE!C:P,11,false)</f>
        <v>Tire</v>
      </c>
      <c r="T560" s="93" t="str">
        <f>vlookup(F560,DATABASE!C:Q,8,false)</f>
        <v>BIAN</v>
      </c>
      <c r="X560" s="9">
        <v>170000.0</v>
      </c>
      <c r="Z560" s="9"/>
    </row>
    <row r="561" ht="22.5" customHeight="1">
      <c r="A561" s="49"/>
      <c r="C561" s="563">
        <v>45981.0</v>
      </c>
      <c r="D561" s="564">
        <v>7902.0</v>
      </c>
      <c r="E561" s="582" t="s">
        <v>536</v>
      </c>
      <c r="F561" s="583" t="s">
        <v>255</v>
      </c>
      <c r="G561" s="577">
        <v>2.0</v>
      </c>
      <c r="H561" s="505">
        <v>200000.0</v>
      </c>
      <c r="I561" s="505">
        <v>220000.0</v>
      </c>
      <c r="J561" s="562">
        <v>46011.0</v>
      </c>
      <c r="K561" s="74">
        <f>if(F561="SERVICE",O561-(O561*50%),Vlookup(F561,DATABASE!C:Q,10,false)*G561)</f>
        <v>0</v>
      </c>
      <c r="L561" s="74">
        <f>VLOOKUP(F561,DATABASE!C:Q,7,FALSE)</f>
        <v>161840</v>
      </c>
      <c r="M561" s="74">
        <v>161840.0</v>
      </c>
      <c r="N561" s="74">
        <f t="shared" si="8"/>
        <v>165000</v>
      </c>
      <c r="O561" s="74">
        <f t="shared" si="3"/>
        <v>400000</v>
      </c>
      <c r="P561" s="63">
        <f t="shared" si="4"/>
        <v>440000</v>
      </c>
      <c r="Q561" s="63">
        <f t="shared" si="5"/>
        <v>110000</v>
      </c>
      <c r="R561" s="93" t="str">
        <f>VLOOKUP(F561,DATABASE!C:Q,4,false)</f>
        <v>BD</v>
      </c>
      <c r="S561" s="93" t="str">
        <f>VLOOKUP(F561,DATABASE!C:P,11,false)</f>
        <v>Tire</v>
      </c>
      <c r="T561" s="93" t="str">
        <f>vlookup(F561,DATABASE!C:Q,8,false)</f>
        <v>BIAN</v>
      </c>
      <c r="X561" s="9">
        <v>2050000.0</v>
      </c>
      <c r="Z561" s="9"/>
    </row>
    <row r="562" ht="22.5" customHeight="1">
      <c r="A562" s="49"/>
      <c r="C562" s="563">
        <v>45981.0</v>
      </c>
      <c r="D562" s="564">
        <v>7902.0</v>
      </c>
      <c r="E562" s="559" t="s">
        <v>536</v>
      </c>
      <c r="F562" s="560" t="s">
        <v>814</v>
      </c>
      <c r="G562" s="561">
        <v>2.0</v>
      </c>
      <c r="H562" s="505">
        <v>65000.0</v>
      </c>
      <c r="I562" s="505">
        <v>85000.0</v>
      </c>
      <c r="J562" s="562">
        <v>46011.0</v>
      </c>
      <c r="K562" s="74">
        <f>if(F562="SERVICE",O562-(O562*50%),Vlookup(F562,DATABASE!C:Q,10,false)*G562)</f>
        <v>0</v>
      </c>
      <c r="L562" s="74">
        <f>VLOOKUP(F562,DATABASE!C:Q,7,FALSE)</f>
        <v>39440</v>
      </c>
      <c r="M562" s="74">
        <v>39440.0</v>
      </c>
      <c r="N562" s="74">
        <f t="shared" si="8"/>
        <v>40000</v>
      </c>
      <c r="O562" s="74">
        <f t="shared" si="3"/>
        <v>130000</v>
      </c>
      <c r="P562" s="63">
        <f t="shared" si="4"/>
        <v>170000</v>
      </c>
      <c r="Q562" s="63">
        <f t="shared" si="5"/>
        <v>90000</v>
      </c>
      <c r="R562" s="93" t="str">
        <f>VLOOKUP(F562,DATABASE!C:Q,4,false)</f>
        <v>Flap</v>
      </c>
      <c r="S562" s="93" t="str">
        <f>VLOOKUP(F562,DATABASE!C:P,11,false)</f>
        <v>Tire</v>
      </c>
      <c r="T562" s="93" t="str">
        <f>vlookup(F562,DATABASE!C:Q,8,false)</f>
        <v>BIAN</v>
      </c>
      <c r="X562" s="9">
        <v>220000.0</v>
      </c>
      <c r="Z562" s="9"/>
    </row>
    <row r="563" ht="22.5" customHeight="1">
      <c r="A563" s="49"/>
      <c r="C563" s="563">
        <v>45981.0</v>
      </c>
      <c r="D563" s="564">
        <v>7906.0</v>
      </c>
      <c r="E563" s="582" t="s">
        <v>267</v>
      </c>
      <c r="F563" s="583" t="s">
        <v>374</v>
      </c>
      <c r="G563" s="577">
        <v>1.0</v>
      </c>
      <c r="H563" s="505">
        <v>1950000.0</v>
      </c>
      <c r="I563" s="505">
        <v>2050000.0</v>
      </c>
      <c r="J563" s="562">
        <v>46011.0</v>
      </c>
      <c r="K563" s="74">
        <f>if(F563="SERVICE",O563-(O563*50%),Vlookup(F563,DATABASE!C:Q,10,false)*G563)</f>
        <v>0</v>
      </c>
      <c r="L563" s="74">
        <f>VLOOKUP(F563,DATABASE!C:Q,7,FALSE)</f>
        <v>1980000</v>
      </c>
      <c r="M563" s="74">
        <v>1850000.0</v>
      </c>
      <c r="N563" s="74">
        <f t="shared" si="8"/>
        <v>1850000</v>
      </c>
      <c r="O563" s="74">
        <f t="shared" si="3"/>
        <v>1950000</v>
      </c>
      <c r="P563" s="63">
        <f t="shared" si="4"/>
        <v>2050000</v>
      </c>
      <c r="Q563" s="63">
        <f t="shared" si="5"/>
        <v>200000</v>
      </c>
      <c r="R563" s="93" t="str">
        <f>VLOOKUP(F563,DATABASE!C:Q,4,false)</f>
        <v>Advance</v>
      </c>
      <c r="S563" s="93" t="str">
        <f>VLOOKUP(F563,DATABASE!C:P,11,false)</f>
        <v>Tire</v>
      </c>
      <c r="T563" s="93" t="str">
        <f>vlookup(F563,DATABASE!C:Q,8,false)</f>
        <v>BIAN</v>
      </c>
      <c r="X563" s="9">
        <v>3700000.0</v>
      </c>
      <c r="Z563" s="9"/>
    </row>
    <row r="564" ht="22.5" customHeight="1">
      <c r="A564" s="49"/>
      <c r="C564" s="563">
        <v>45981.0</v>
      </c>
      <c r="D564" s="564">
        <v>7907.0</v>
      </c>
      <c r="E564" s="559" t="s">
        <v>234</v>
      </c>
      <c r="F564" s="560" t="s">
        <v>255</v>
      </c>
      <c r="G564" s="561">
        <v>1.0</v>
      </c>
      <c r="H564" s="505">
        <v>200000.0</v>
      </c>
      <c r="I564" s="505">
        <v>220000.0</v>
      </c>
      <c r="J564" s="562">
        <v>46011.0</v>
      </c>
      <c r="K564" s="74">
        <f>if(F564="SERVICE",O564-(O564*50%),Vlookup(F564,DATABASE!C:Q,10,false)*G564)</f>
        <v>0</v>
      </c>
      <c r="L564" s="74">
        <f>VLOOKUP(F564,DATABASE!C:Q,7,FALSE)</f>
        <v>161840</v>
      </c>
      <c r="M564" s="74">
        <v>161840.0</v>
      </c>
      <c r="N564" s="74">
        <f t="shared" si="8"/>
        <v>165000</v>
      </c>
      <c r="O564" s="74">
        <f t="shared" si="3"/>
        <v>200000</v>
      </c>
      <c r="P564" s="63">
        <f t="shared" si="4"/>
        <v>220000</v>
      </c>
      <c r="Q564" s="63">
        <f t="shared" si="5"/>
        <v>55000</v>
      </c>
      <c r="R564" s="93" t="str">
        <f>VLOOKUP(F564,DATABASE!C:Q,4,false)</f>
        <v>BD</v>
      </c>
      <c r="S564" s="93" t="str">
        <f>VLOOKUP(F564,DATABASE!C:P,11,false)</f>
        <v>Tire</v>
      </c>
      <c r="T564" s="93" t="str">
        <f>vlookup(F564,DATABASE!C:Q,8,false)</f>
        <v>BIAN</v>
      </c>
      <c r="X564" s="9">
        <v>1700000.0</v>
      </c>
      <c r="Z564" s="9"/>
    </row>
    <row r="565" ht="22.5" customHeight="1">
      <c r="A565" s="49"/>
      <c r="C565" s="563">
        <v>45982.0</v>
      </c>
      <c r="D565" s="564">
        <v>7911.0</v>
      </c>
      <c r="E565" s="582" t="s">
        <v>735</v>
      </c>
      <c r="F565" s="583" t="s">
        <v>924</v>
      </c>
      <c r="G565" s="577">
        <v>2.0</v>
      </c>
      <c r="H565" s="505">
        <v>1750000.0</v>
      </c>
      <c r="I565" s="505">
        <v>1850000.0</v>
      </c>
      <c r="J565" s="562">
        <v>46012.0</v>
      </c>
      <c r="K565" s="74">
        <f>if(F565="SERVICE",O565-(O565*50%),Vlookup(F565,DATABASE!C:Q,10,false)*G565)</f>
        <v>0</v>
      </c>
      <c r="L565" s="140">
        <v>1650000.0</v>
      </c>
      <c r="M565" s="140">
        <v>1650000.0</v>
      </c>
      <c r="N565" s="74">
        <f t="shared" si="8"/>
        <v>1650000</v>
      </c>
      <c r="O565" s="74">
        <f t="shared" si="3"/>
        <v>3500000</v>
      </c>
      <c r="P565" s="63">
        <f t="shared" si="4"/>
        <v>3700000</v>
      </c>
      <c r="Q565" s="63">
        <f t="shared" si="5"/>
        <v>400000</v>
      </c>
      <c r="R565" s="93" t="str">
        <f>VLOOKUP(F565,DATABASE!C:Q,4,false)</f>
        <v>TIRON</v>
      </c>
      <c r="S565" s="93" t="str">
        <f>VLOOKUP(F565,DATABASE!C:P,11,false)</f>
        <v>Tire</v>
      </c>
      <c r="T565" s="93" t="str">
        <f>vlookup(F565,DATABASE!C:Q,8,false)</f>
        <v>BIAN</v>
      </c>
      <c r="X565" s="9">
        <v>4100000.0</v>
      </c>
      <c r="Z565" s="9"/>
    </row>
    <row r="566" ht="22.5" customHeight="1">
      <c r="A566" s="49"/>
      <c r="C566" s="563">
        <v>45982.0</v>
      </c>
      <c r="D566" s="564">
        <v>7913.0</v>
      </c>
      <c r="E566" s="591" t="s">
        <v>661</v>
      </c>
      <c r="F566" s="560" t="s">
        <v>897</v>
      </c>
      <c r="G566" s="561">
        <v>1.0</v>
      </c>
      <c r="H566" s="505">
        <v>1600000.0</v>
      </c>
      <c r="I566" s="505">
        <v>1700000.0</v>
      </c>
      <c r="J566" s="562">
        <v>46012.0</v>
      </c>
      <c r="K566" s="74">
        <f>if(F566="SERVICE",O566-(O566*50%),Vlookup(F566,DATABASE!C:Q,10,false)*G566)</f>
        <v>0</v>
      </c>
      <c r="L566" s="74">
        <f>VLOOKUP(F566,DATABASE!C:Q,7,FALSE)</f>
        <v>1560000</v>
      </c>
      <c r="M566" s="74">
        <v>1500000.0</v>
      </c>
      <c r="N566" s="74">
        <f t="shared" si="8"/>
        <v>1500000</v>
      </c>
      <c r="O566" s="74">
        <f t="shared" si="3"/>
        <v>1600000</v>
      </c>
      <c r="P566" s="63">
        <f t="shared" si="4"/>
        <v>1700000</v>
      </c>
      <c r="Q566" s="63">
        <f t="shared" si="5"/>
        <v>200000</v>
      </c>
      <c r="R566" s="93" t="str">
        <f>VLOOKUP(F566,DATABASE!C:Q,4,false)</f>
        <v>GT</v>
      </c>
      <c r="S566" s="93" t="str">
        <f>VLOOKUP(F566,DATABASE!C:P,11,false)</f>
        <v>Tire</v>
      </c>
      <c r="T566" s="93" t="str">
        <f>vlookup(F566,DATABASE!C:Q,8,false)</f>
        <v>BIAN</v>
      </c>
      <c r="X566" s="9">
        <v>1750000.0</v>
      </c>
      <c r="Z566" s="9"/>
    </row>
    <row r="567" ht="22.5" customHeight="1">
      <c r="A567" s="49"/>
      <c r="C567" s="563">
        <v>45982.0</v>
      </c>
      <c r="D567" s="564">
        <v>7913.0</v>
      </c>
      <c r="E567" s="582" t="s">
        <v>267</v>
      </c>
      <c r="F567" s="583" t="s">
        <v>391</v>
      </c>
      <c r="G567" s="577">
        <v>2.0</v>
      </c>
      <c r="H567" s="505">
        <v>1950000.0</v>
      </c>
      <c r="I567" s="505">
        <v>2050000.0</v>
      </c>
      <c r="J567" s="562">
        <v>46012.0</v>
      </c>
      <c r="K567" s="74">
        <f>if(F567="SERVICE",O567-(O567*50%),Vlookup(F567,DATABASE!C:Q,10,false)*G567)</f>
        <v>0</v>
      </c>
      <c r="L567" s="74">
        <f>VLOOKUP(F567,DATABASE!C:Q,7,FALSE)</f>
        <v>1885000</v>
      </c>
      <c r="M567" s="74">
        <v>1840000.0</v>
      </c>
      <c r="N567" s="74">
        <f t="shared" si="8"/>
        <v>1840000</v>
      </c>
      <c r="O567" s="74">
        <f t="shared" si="3"/>
        <v>3900000</v>
      </c>
      <c r="P567" s="63">
        <f t="shared" si="4"/>
        <v>4100000</v>
      </c>
      <c r="Q567" s="63">
        <f t="shared" si="5"/>
        <v>420000</v>
      </c>
      <c r="R567" s="93" t="str">
        <f>VLOOKUP(F567,DATABASE!C:Q,4,false)</f>
        <v>Advance</v>
      </c>
      <c r="S567" s="93" t="str">
        <f>VLOOKUP(F567,DATABASE!C:P,11,false)</f>
        <v>Tire</v>
      </c>
      <c r="T567" s="93" t="str">
        <f>vlookup(F567,DATABASE!C:Q,8,false)</f>
        <v>BIAN</v>
      </c>
      <c r="X567" s="9">
        <v>4100000.0</v>
      </c>
      <c r="Z567" s="9"/>
    </row>
    <row r="568" ht="22.5" customHeight="1">
      <c r="A568" s="49"/>
      <c r="C568" s="563">
        <v>45983.0</v>
      </c>
      <c r="D568" s="564">
        <v>7932.0</v>
      </c>
      <c r="E568" s="131" t="s">
        <v>867</v>
      </c>
      <c r="F568" s="560" t="s">
        <v>566</v>
      </c>
      <c r="G568" s="561">
        <v>2.0</v>
      </c>
      <c r="H568" s="505">
        <v>1670000.0</v>
      </c>
      <c r="I568" s="505">
        <v>1770000.0</v>
      </c>
      <c r="J568" s="562">
        <v>46013.0</v>
      </c>
      <c r="K568" s="74">
        <f>if(F568="SERVICE",O568-(O568*50%),Vlookup(F568,DATABASE!C:Q,10,false)*G568)</f>
        <v>0</v>
      </c>
      <c r="L568" s="74">
        <f>VLOOKUP(F568,DATABASE!C:Q,7,FALSE)</f>
        <v>1565000</v>
      </c>
      <c r="M568" s="74">
        <v>1545000.0</v>
      </c>
      <c r="N568" s="74">
        <f t="shared" si="8"/>
        <v>1545000</v>
      </c>
      <c r="O568" s="74">
        <f t="shared" si="3"/>
        <v>3340000</v>
      </c>
      <c r="P568" s="63">
        <f t="shared" si="4"/>
        <v>3540000</v>
      </c>
      <c r="Q568" s="63">
        <f t="shared" si="5"/>
        <v>450000</v>
      </c>
      <c r="R568" s="93" t="str">
        <f>VLOOKUP(F568,DATABASE!C:Q,4,false)</f>
        <v>Bridgestone</v>
      </c>
      <c r="S568" s="93" t="str">
        <f>VLOOKUP(F568,DATABASE!C:P,11,false)</f>
        <v>Tire</v>
      </c>
      <c r="T568" s="93" t="str">
        <f>vlookup(F568,DATABASE!C:Q,8,false)</f>
        <v>IBU</v>
      </c>
      <c r="X568" s="9">
        <v>850000.0</v>
      </c>
      <c r="Z568" s="9"/>
    </row>
    <row r="569" ht="22.5" customHeight="1">
      <c r="A569" s="49"/>
      <c r="C569" s="563">
        <v>45987.0</v>
      </c>
      <c r="D569" s="564">
        <v>7986.0</v>
      </c>
      <c r="E569" s="582" t="s">
        <v>254</v>
      </c>
      <c r="F569" s="549" t="s">
        <v>924</v>
      </c>
      <c r="G569" s="577">
        <v>1.0</v>
      </c>
      <c r="H569" s="505">
        <v>1650000.0</v>
      </c>
      <c r="I569" s="505">
        <v>1750000.0</v>
      </c>
      <c r="J569" s="562">
        <v>46017.0</v>
      </c>
      <c r="K569" s="74">
        <f>if(F569="SERVICE",O569-(O569*50%),Vlookup(F569,DATABASE!C:Q,10,false)*G569)</f>
        <v>0</v>
      </c>
      <c r="L569" s="74">
        <f>VLOOKUP(F569,DATABASE!C:Q,7,FALSE)</f>
        <v>1560000</v>
      </c>
      <c r="M569" s="74">
        <v>1545000.0</v>
      </c>
      <c r="N569" s="74">
        <f t="shared" si="8"/>
        <v>1545000</v>
      </c>
      <c r="O569" s="74">
        <f t="shared" si="3"/>
        <v>1650000</v>
      </c>
      <c r="P569" s="63">
        <f t="shared" si="4"/>
        <v>1750000</v>
      </c>
      <c r="Q569" s="63">
        <f t="shared" si="5"/>
        <v>205000</v>
      </c>
      <c r="R569" s="93" t="str">
        <f>VLOOKUP(F569,DATABASE!C:Q,4,false)</f>
        <v>TIRON</v>
      </c>
      <c r="S569" s="93" t="str">
        <f>VLOOKUP(F569,DATABASE!C:P,11,false)</f>
        <v>Tire</v>
      </c>
      <c r="T569" s="93" t="str">
        <f>vlookup(F569,DATABASE!C:Q,8,false)</f>
        <v>BIAN</v>
      </c>
      <c r="X569" s="9">
        <v>200000.0</v>
      </c>
      <c r="Z569" s="9"/>
    </row>
    <row r="570" ht="22.5" customHeight="1">
      <c r="A570" s="49"/>
      <c r="C570" s="563">
        <v>45988.0</v>
      </c>
      <c r="D570" s="564">
        <v>7993.0</v>
      </c>
      <c r="E570" s="559" t="s">
        <v>132</v>
      </c>
      <c r="F570" s="560" t="s">
        <v>391</v>
      </c>
      <c r="G570" s="561">
        <v>2.0</v>
      </c>
      <c r="H570" s="505">
        <v>1950000.0</v>
      </c>
      <c r="I570" s="505">
        <v>2050000.0</v>
      </c>
      <c r="J570" s="562">
        <v>46018.0</v>
      </c>
      <c r="K570" s="74">
        <f>if(F570="SERVICE",O570-(O570*50%),Vlookup(F570,DATABASE!C:Q,10,false)*G570)</f>
        <v>0</v>
      </c>
      <c r="L570" s="74">
        <f>VLOOKUP(F570,DATABASE!C:Q,7,FALSE)</f>
        <v>1885000</v>
      </c>
      <c r="M570" s="74">
        <v>1840000.0</v>
      </c>
      <c r="N570" s="74">
        <f t="shared" si="8"/>
        <v>1840000</v>
      </c>
      <c r="O570" s="74">
        <f t="shared" si="3"/>
        <v>3900000</v>
      </c>
      <c r="P570" s="63">
        <f t="shared" si="4"/>
        <v>4100000</v>
      </c>
      <c r="Q570" s="63">
        <f t="shared" si="5"/>
        <v>420000</v>
      </c>
      <c r="R570" s="93" t="str">
        <f>VLOOKUP(F570,DATABASE!C:Q,4,false)</f>
        <v>Advance</v>
      </c>
      <c r="S570" s="93" t="str">
        <f>VLOOKUP(F570,DATABASE!C:P,11,false)</f>
        <v>Tire</v>
      </c>
      <c r="T570" s="93" t="str">
        <f>vlookup(F570,DATABASE!C:Q,8,false)</f>
        <v>BIAN</v>
      </c>
      <c r="W570" s="9">
        <v>3340000.0</v>
      </c>
      <c r="Z570" s="9"/>
    </row>
    <row r="571" ht="22.5" customHeight="1">
      <c r="A571" s="49"/>
      <c r="C571" s="563">
        <v>45988.0</v>
      </c>
      <c r="D571" s="564">
        <v>7993.0</v>
      </c>
      <c r="E571" s="582" t="s">
        <v>132</v>
      </c>
      <c r="F571" s="592" t="s">
        <v>2345</v>
      </c>
      <c r="G571" s="577">
        <v>1.0</v>
      </c>
      <c r="H571" s="505">
        <v>750000.0</v>
      </c>
      <c r="I571" s="505">
        <v>850000.0</v>
      </c>
      <c r="J571" s="562">
        <v>46018.0</v>
      </c>
      <c r="K571" s="74">
        <f>if(F571="SERVICE",O571-(O571*50%),Vlookup(F571,DATABASE!C:Q,10,false)*G571)</f>
        <v>0</v>
      </c>
      <c r="L571" s="74">
        <f>VLOOKUP(F571,DATABASE!C:Q,7,FALSE)</f>
        <v>680000</v>
      </c>
      <c r="M571" s="74">
        <v>650000.0</v>
      </c>
      <c r="N571" s="74">
        <f t="shared" si="8"/>
        <v>650000</v>
      </c>
      <c r="O571" s="74">
        <f t="shared" si="3"/>
        <v>750000</v>
      </c>
      <c r="P571" s="63">
        <f t="shared" si="4"/>
        <v>850000</v>
      </c>
      <c r="Q571" s="63">
        <f t="shared" si="5"/>
        <v>200000</v>
      </c>
      <c r="R571" s="93" t="str">
        <f>VLOOKUP(F571,DATABASE!C:Q,4,false)</f>
        <v>Velg</v>
      </c>
      <c r="S571" s="93" t="str">
        <f>VLOOKUP(F571,DATABASE!C:P,11,false)</f>
        <v>Tire</v>
      </c>
      <c r="T571" s="93" t="str">
        <f>vlookup(F571,DATABASE!C:Q,8,false)</f>
        <v>BIAN</v>
      </c>
      <c r="X571" s="9">
        <v>6700000.0</v>
      </c>
      <c r="Z571" s="9"/>
    </row>
    <row r="572" ht="22.5" customHeight="1">
      <c r="A572" s="49"/>
      <c r="C572" s="563">
        <v>45988.0</v>
      </c>
      <c r="D572" s="564">
        <v>7993.0</v>
      </c>
      <c r="E572" s="559" t="s">
        <v>132</v>
      </c>
      <c r="F572" s="560" t="s">
        <v>821</v>
      </c>
      <c r="G572" s="561">
        <v>2.0</v>
      </c>
      <c r="H572" s="505">
        <v>85000.0</v>
      </c>
      <c r="I572" s="505">
        <v>100000.0</v>
      </c>
      <c r="J572" s="562">
        <v>46018.0</v>
      </c>
      <c r="K572" s="74">
        <f>if(F572="SERVICE",O572-(O572*50%),Vlookup(F572,DATABASE!C:Q,10,false)*G572)</f>
        <v>0</v>
      </c>
      <c r="L572" s="74">
        <f>VLOOKUP(F572,DATABASE!C:Q,7,FALSE)</f>
        <v>43500</v>
      </c>
      <c r="M572" s="74">
        <v>43520.0</v>
      </c>
      <c r="N572" s="74">
        <f t="shared" si="8"/>
        <v>45000</v>
      </c>
      <c r="O572" s="74">
        <f t="shared" si="3"/>
        <v>170000</v>
      </c>
      <c r="P572" s="63">
        <f t="shared" si="4"/>
        <v>200000</v>
      </c>
      <c r="Q572" s="63">
        <f t="shared" si="5"/>
        <v>110000</v>
      </c>
      <c r="R572" s="93" t="str">
        <f>VLOOKUP(F572,DATABASE!C:Q,4,false)</f>
        <v>Flap</v>
      </c>
      <c r="S572" s="93" t="str">
        <f>VLOOKUP(F572,DATABASE!C:P,11,false)</f>
        <v>Tire</v>
      </c>
      <c r="T572" s="93" t="str">
        <f>vlookup(F572,DATABASE!C:Q,8,false)</f>
        <v>BIAN</v>
      </c>
      <c r="X572" s="9">
        <v>2800000.0</v>
      </c>
      <c r="Z572" s="9"/>
    </row>
    <row r="573" ht="22.5" customHeight="1">
      <c r="A573" s="49"/>
      <c r="C573" s="587">
        <v>45989.0</v>
      </c>
      <c r="D573" s="281">
        <v>8016.0</v>
      </c>
      <c r="E573" s="281" t="s">
        <v>1100</v>
      </c>
      <c r="F573" s="140" t="s">
        <v>1871</v>
      </c>
      <c r="G573" s="593">
        <v>2.0</v>
      </c>
      <c r="H573" s="550">
        <v>3300000.0</v>
      </c>
      <c r="I573" s="550">
        <v>3350000.0</v>
      </c>
      <c r="J573" s="589">
        <v>46019.0</v>
      </c>
      <c r="K573" s="74">
        <f>if(F573="SERVICE",O573-(O573*50%),Vlookup(F573,DATABASE!C:Q,10,false)*G573)</f>
        <v>0</v>
      </c>
      <c r="L573" s="74">
        <f>VLOOKUP(F573,DATABASE!C:Q,7,FALSE)</f>
        <v>3190000</v>
      </c>
      <c r="M573" s="74">
        <v>3160000.0</v>
      </c>
      <c r="N573" s="74">
        <f t="shared" si="8"/>
        <v>3160000</v>
      </c>
      <c r="O573" s="74">
        <f t="shared" si="3"/>
        <v>6600000</v>
      </c>
      <c r="P573" s="63">
        <f t="shared" si="4"/>
        <v>6700000</v>
      </c>
      <c r="Q573" s="63">
        <f t="shared" si="5"/>
        <v>380000</v>
      </c>
      <c r="R573" s="93" t="str">
        <f>VLOOKUP(F573,DATABASE!C:Q,4,false)</f>
        <v>GT</v>
      </c>
      <c r="S573" s="93" t="str">
        <f>VLOOKUP(F573,DATABASE!C:P,11,false)</f>
        <v>Tire</v>
      </c>
      <c r="T573" s="93" t="str">
        <f>vlookup(F573,DATABASE!C:Q,8,false)</f>
        <v>BIAN</v>
      </c>
      <c r="X573" s="9">
        <v>420000.0</v>
      </c>
      <c r="Z573" s="9"/>
    </row>
    <row r="574" ht="22.5" customHeight="1">
      <c r="A574" s="49"/>
      <c r="C574" s="587">
        <v>45990.0</v>
      </c>
      <c r="D574" s="281">
        <v>8033.0</v>
      </c>
      <c r="E574" s="281" t="s">
        <v>74</v>
      </c>
      <c r="F574" s="550" t="s">
        <v>791</v>
      </c>
      <c r="G574" s="588">
        <v>2.0</v>
      </c>
      <c r="H574" s="550">
        <v>1280000.0</v>
      </c>
      <c r="I574" s="550">
        <v>1300000.0</v>
      </c>
      <c r="J574" s="589">
        <v>46004.0</v>
      </c>
      <c r="K574" s="74">
        <f>if(F574="SERVICE",O574-(O574*50%),Vlookup(F574,DATABASE!C:Q,10,false)*G574)</f>
        <v>0</v>
      </c>
      <c r="L574" s="74">
        <f>VLOOKUP(F574,DATABASE!C:Q,7,FALSE)</f>
        <v>1210000</v>
      </c>
      <c r="M574" s="74">
        <v>1180000.0</v>
      </c>
      <c r="N574" s="74">
        <f t="shared" si="8"/>
        <v>1180000</v>
      </c>
      <c r="O574" s="74">
        <f t="shared" si="3"/>
        <v>2560000</v>
      </c>
      <c r="P574" s="63">
        <f t="shared" si="4"/>
        <v>2600000</v>
      </c>
      <c r="Q574" s="63">
        <f t="shared" si="5"/>
        <v>240000</v>
      </c>
      <c r="R574" s="93" t="str">
        <f>VLOOKUP(F574,DATABASE!C:Q,4,false)</f>
        <v>GT</v>
      </c>
      <c r="S574" s="93" t="str">
        <f>VLOOKUP(F574,DATABASE!C:P,11,false)</f>
        <v>Tire</v>
      </c>
      <c r="T574" s="93" t="str">
        <f>vlookup(F574,DATABASE!C:Q,8,false)</f>
        <v>BIAN</v>
      </c>
      <c r="X574" s="9">
        <v>150000.0</v>
      </c>
      <c r="Z574" s="9"/>
    </row>
    <row r="575" ht="22.5" customHeight="1">
      <c r="A575" s="49"/>
      <c r="C575" s="587">
        <v>45990.0</v>
      </c>
      <c r="D575" s="281">
        <v>8033.0</v>
      </c>
      <c r="E575" s="281" t="s">
        <v>74</v>
      </c>
      <c r="F575" s="550" t="s">
        <v>255</v>
      </c>
      <c r="G575" s="588">
        <v>2.0</v>
      </c>
      <c r="H575" s="550">
        <v>200000.0</v>
      </c>
      <c r="I575" s="550">
        <v>210000.0</v>
      </c>
      <c r="J575" s="589">
        <v>46004.0</v>
      </c>
      <c r="K575" s="74">
        <f>if(F575="SERVICE",O575-(O575*50%),Vlookup(F575,DATABASE!C:Q,10,false)*G575)</f>
        <v>0</v>
      </c>
      <c r="L575" s="74">
        <f>VLOOKUP(F575,DATABASE!C:Q,7,FALSE)</f>
        <v>161840</v>
      </c>
      <c r="M575" s="74">
        <v>161840.0</v>
      </c>
      <c r="N575" s="74">
        <f t="shared" si="8"/>
        <v>165000</v>
      </c>
      <c r="O575" s="74">
        <f t="shared" si="3"/>
        <v>400000</v>
      </c>
      <c r="P575" s="63">
        <f t="shared" si="4"/>
        <v>420000</v>
      </c>
      <c r="Q575" s="63">
        <f t="shared" si="5"/>
        <v>90000</v>
      </c>
      <c r="R575" s="93" t="str">
        <f>VLOOKUP(F575,DATABASE!C:Q,4,false)</f>
        <v>BD</v>
      </c>
      <c r="S575" s="93" t="str">
        <f>VLOOKUP(F575,DATABASE!C:P,11,false)</f>
        <v>Tire</v>
      </c>
      <c r="T575" s="93" t="str">
        <f>vlookup(F575,DATABASE!C:Q,8,false)</f>
        <v>BIAN</v>
      </c>
      <c r="Z575" s="9"/>
    </row>
    <row r="576" ht="22.5" customHeight="1">
      <c r="A576" s="49"/>
      <c r="C576" s="400">
        <v>45990.0</v>
      </c>
      <c r="D576" s="69">
        <v>8033.0</v>
      </c>
      <c r="E576" s="69" t="s">
        <v>74</v>
      </c>
      <c r="F576" s="140" t="s">
        <v>814</v>
      </c>
      <c r="G576" s="524">
        <v>2.0</v>
      </c>
      <c r="H576" s="140">
        <v>65000.0</v>
      </c>
      <c r="I576" s="140">
        <v>75000.0</v>
      </c>
      <c r="J576" s="192">
        <v>46004.0</v>
      </c>
      <c r="K576" s="74">
        <f>if(F576="SERVICE",O576-(O576*50%),Vlookup(F576,DATABASE!C:Q,10,false)*G576)</f>
        <v>0</v>
      </c>
      <c r="L576" s="74">
        <f>VLOOKUP(F576,DATABASE!C:Q,7,FALSE)</f>
        <v>39440</v>
      </c>
      <c r="M576" s="74">
        <v>39440.0</v>
      </c>
      <c r="N576" s="74">
        <f t="shared" si="8"/>
        <v>40000</v>
      </c>
      <c r="O576" s="74">
        <f t="shared" si="3"/>
        <v>130000</v>
      </c>
      <c r="P576" s="63">
        <f t="shared" si="4"/>
        <v>150000</v>
      </c>
      <c r="Q576" s="63">
        <f t="shared" si="5"/>
        <v>70000</v>
      </c>
      <c r="R576" s="93" t="str">
        <f>VLOOKUP(F576,DATABASE!C:Q,4,false)</f>
        <v>Flap</v>
      </c>
      <c r="S576" s="93" t="str">
        <f>VLOOKUP(F576,DATABASE!C:P,11,false)</f>
        <v>Tire</v>
      </c>
      <c r="T576" s="93" t="str">
        <f>vlookup(F576,DATABASE!C:Q,8,false)</f>
        <v>BIAN</v>
      </c>
      <c r="Z576" s="9"/>
    </row>
    <row r="577" ht="22.5" customHeight="1">
      <c r="A577" s="49"/>
      <c r="C577" s="400">
        <v>45992.0</v>
      </c>
      <c r="D577" s="69">
        <v>8042.0</v>
      </c>
      <c r="E577" s="69" t="s">
        <v>911</v>
      </c>
      <c r="F577" s="140" t="s">
        <v>391</v>
      </c>
      <c r="G577" s="524">
        <v>1.0</v>
      </c>
      <c r="H577" s="550">
        <v>1950000.0</v>
      </c>
      <c r="I577" s="550">
        <v>2050000.0</v>
      </c>
      <c r="J577" s="192">
        <f t="shared" ref="J577:J580" si="10">C577+30</f>
        <v>46022</v>
      </c>
      <c r="K577" s="74">
        <f>if(F577="SERVICE",O577-(O577*50%),Vlookup(F577,DATABASE!C:Q,10,false)*G577)</f>
        <v>0</v>
      </c>
      <c r="L577" s="74">
        <f>VLOOKUP(F577,DATABASE!C:Q,7,FALSE)</f>
        <v>1885000</v>
      </c>
      <c r="M577" s="74">
        <v>1840000.0</v>
      </c>
      <c r="N577" s="74">
        <f t="shared" si="8"/>
        <v>1840000</v>
      </c>
      <c r="O577" s="74">
        <f t="shared" si="3"/>
        <v>1950000</v>
      </c>
      <c r="P577" s="63">
        <f t="shared" si="4"/>
        <v>2050000</v>
      </c>
      <c r="Q577" s="63">
        <f t="shared" si="5"/>
        <v>210000</v>
      </c>
      <c r="R577" s="93" t="str">
        <f>VLOOKUP(F577,DATABASE!C:Q,4,false)</f>
        <v>Advance</v>
      </c>
      <c r="S577" s="93" t="str">
        <f>VLOOKUP(F577,DATABASE!C:P,11,false)</f>
        <v>Tire</v>
      </c>
      <c r="T577" s="93" t="str">
        <f>vlookup(F577,DATABASE!C:Q,8,false)</f>
        <v>BIAN</v>
      </c>
      <c r="Z577" s="9"/>
    </row>
    <row r="578" ht="22.5" customHeight="1">
      <c r="A578" s="49"/>
      <c r="C578" s="400">
        <v>45992.0</v>
      </c>
      <c r="D578" s="69">
        <v>8042.0</v>
      </c>
      <c r="E578" s="69" t="s">
        <v>74</v>
      </c>
      <c r="F578" s="140" t="s">
        <v>791</v>
      </c>
      <c r="G578" s="524">
        <v>2.0</v>
      </c>
      <c r="H578" s="140">
        <v>1280000.0</v>
      </c>
      <c r="I578" s="140">
        <v>1300000.0</v>
      </c>
      <c r="J578" s="192">
        <f t="shared" si="10"/>
        <v>46022</v>
      </c>
      <c r="K578" s="74">
        <f>if(F578="SERVICE",O578-(O578*50%),Vlookup(F578,DATABASE!C:Q,10,false)*G578)</f>
        <v>0</v>
      </c>
      <c r="L578" s="74">
        <f>VLOOKUP(F578,DATABASE!C:Q,7,FALSE)</f>
        <v>1210000</v>
      </c>
      <c r="M578" s="74">
        <v>1180000.0</v>
      </c>
      <c r="N578" s="74">
        <f t="shared" si="8"/>
        <v>1180000</v>
      </c>
      <c r="O578" s="74">
        <f t="shared" si="3"/>
        <v>2560000</v>
      </c>
      <c r="P578" s="63">
        <f t="shared" si="4"/>
        <v>2600000</v>
      </c>
      <c r="Q578" s="63">
        <f t="shared" si="5"/>
        <v>240000</v>
      </c>
      <c r="R578" s="93" t="str">
        <f>VLOOKUP(F578,DATABASE!C:Q,4,false)</f>
        <v>GT</v>
      </c>
      <c r="S578" s="93" t="str">
        <f>VLOOKUP(F578,DATABASE!C:P,11,false)</f>
        <v>Tire</v>
      </c>
      <c r="T578" s="93" t="str">
        <f>vlookup(F578,DATABASE!C:Q,8,false)</f>
        <v>BIAN</v>
      </c>
      <c r="Z578" s="9"/>
    </row>
    <row r="579" ht="22.5" customHeight="1">
      <c r="A579" s="49"/>
      <c r="C579" s="400">
        <v>45992.0</v>
      </c>
      <c r="D579" s="69">
        <v>8042.0</v>
      </c>
      <c r="E579" s="69" t="s">
        <v>74</v>
      </c>
      <c r="F579" s="140" t="s">
        <v>255</v>
      </c>
      <c r="G579" s="524">
        <v>2.0</v>
      </c>
      <c r="H579" s="140">
        <v>200000.0</v>
      </c>
      <c r="I579" s="140">
        <v>210000.0</v>
      </c>
      <c r="J579" s="192">
        <f t="shared" si="10"/>
        <v>46022</v>
      </c>
      <c r="K579" s="74">
        <f>if(F579="SERVICE",O579-(O579*50%),Vlookup(F579,DATABASE!C:Q,10,false)*G579)</f>
        <v>0</v>
      </c>
      <c r="L579" s="74">
        <f>VLOOKUP(F579,DATABASE!C:Q,7,FALSE)</f>
        <v>161840</v>
      </c>
      <c r="M579" s="74">
        <v>161840.0</v>
      </c>
      <c r="N579" s="74">
        <f t="shared" si="8"/>
        <v>165000</v>
      </c>
      <c r="O579" s="74">
        <f t="shared" si="3"/>
        <v>400000</v>
      </c>
      <c r="P579" s="63">
        <f t="shared" si="4"/>
        <v>420000</v>
      </c>
      <c r="Q579" s="63">
        <f t="shared" si="5"/>
        <v>90000</v>
      </c>
      <c r="R579" s="93" t="str">
        <f>VLOOKUP(F579,DATABASE!C:Q,4,false)</f>
        <v>BD</v>
      </c>
      <c r="S579" s="93" t="str">
        <f>VLOOKUP(F579,DATABASE!C:P,11,false)</f>
        <v>Tire</v>
      </c>
      <c r="T579" s="93" t="str">
        <f>vlookup(F579,DATABASE!C:Q,8,false)</f>
        <v>BIAN</v>
      </c>
      <c r="Z579" s="9"/>
    </row>
    <row r="580" ht="22.5" customHeight="1">
      <c r="A580" s="49"/>
      <c r="C580" s="400">
        <v>45992.0</v>
      </c>
      <c r="D580" s="69">
        <v>8042.0</v>
      </c>
      <c r="E580" s="69" t="s">
        <v>74</v>
      </c>
      <c r="F580" s="140" t="s">
        <v>814</v>
      </c>
      <c r="G580" s="524">
        <v>2.0</v>
      </c>
      <c r="H580" s="140">
        <v>65000.0</v>
      </c>
      <c r="I580" s="140">
        <v>75000.0</v>
      </c>
      <c r="J580" s="192">
        <f t="shared" si="10"/>
        <v>46022</v>
      </c>
      <c r="K580" s="74">
        <f>if(F580="SERVICE",O580-(O580*50%),Vlookup(F580,DATABASE!C:Q,10,false)*G580)</f>
        <v>0</v>
      </c>
      <c r="L580" s="74">
        <f>VLOOKUP(F580,DATABASE!C:Q,7,FALSE)</f>
        <v>39440</v>
      </c>
      <c r="M580" s="74">
        <v>39440.0</v>
      </c>
      <c r="N580" s="74">
        <f t="shared" si="8"/>
        <v>40000</v>
      </c>
      <c r="O580" s="74">
        <f t="shared" si="3"/>
        <v>130000</v>
      </c>
      <c r="P580" s="63">
        <f t="shared" si="4"/>
        <v>150000</v>
      </c>
      <c r="Q580" s="63">
        <f t="shared" si="5"/>
        <v>70000</v>
      </c>
      <c r="R580" s="93" t="str">
        <f>VLOOKUP(F580,DATABASE!C:Q,4,false)</f>
        <v>Flap</v>
      </c>
      <c r="S580" s="93" t="str">
        <f>VLOOKUP(F580,DATABASE!C:P,11,false)</f>
        <v>Tire</v>
      </c>
      <c r="T580" s="93" t="str">
        <f>vlookup(F580,DATABASE!C:Q,8,false)</f>
        <v>BIAN</v>
      </c>
      <c r="Z580" s="9"/>
    </row>
    <row r="581" ht="22.5" customHeight="1">
      <c r="A581" s="49"/>
      <c r="C581" s="400">
        <v>45996.0</v>
      </c>
      <c r="D581" s="69">
        <v>8090.0</v>
      </c>
      <c r="E581" s="69" t="s">
        <v>383</v>
      </c>
      <c r="F581" s="140" t="s">
        <v>1862</v>
      </c>
      <c r="G581" s="524">
        <v>2.0</v>
      </c>
      <c r="H581" s="140">
        <v>2150000.0</v>
      </c>
      <c r="I581" s="140">
        <v>2150000.0</v>
      </c>
      <c r="J581" s="192">
        <v>46026.0</v>
      </c>
      <c r="K581" s="74">
        <f>if(F581="SERVICE",O581-(O581*50%),Vlookup(F581,DATABASE!C:Q,10,false)*G581)</f>
        <v>0</v>
      </c>
      <c r="L581" s="74">
        <f>VLOOKUP(F581,DATABASE!C:Q,7,FALSE)</f>
        <v>2080000</v>
      </c>
      <c r="M581" s="74">
        <v>2050000.0</v>
      </c>
      <c r="N581" s="74">
        <f t="shared" si="8"/>
        <v>2050000</v>
      </c>
      <c r="O581" s="74">
        <f t="shared" si="3"/>
        <v>4300000</v>
      </c>
      <c r="P581" s="63">
        <f t="shared" si="4"/>
        <v>4300000</v>
      </c>
      <c r="Q581" s="63">
        <f t="shared" si="5"/>
        <v>200000</v>
      </c>
      <c r="R581" s="93" t="str">
        <f>VLOOKUP(F581,DATABASE!C:Q,4,false)</f>
        <v>GiTi</v>
      </c>
      <c r="S581" s="93" t="str">
        <f>VLOOKUP(F581,DATABASE!C:P,11,false)</f>
        <v>Tire</v>
      </c>
      <c r="T581" s="93" t="str">
        <f>vlookup(F581,DATABASE!C:Q,8,false)</f>
        <v>BIAN</v>
      </c>
      <c r="Z581" s="9"/>
    </row>
    <row r="582" ht="22.5" customHeight="1">
      <c r="A582" s="49"/>
      <c r="C582" s="400">
        <v>45996.0</v>
      </c>
      <c r="D582" s="69">
        <v>8091.0</v>
      </c>
      <c r="E582" s="69" t="s">
        <v>274</v>
      </c>
      <c r="F582" s="140" t="s">
        <v>391</v>
      </c>
      <c r="G582" s="524">
        <v>1.0</v>
      </c>
      <c r="H582" s="140">
        <v>1950000.0</v>
      </c>
      <c r="I582" s="140">
        <v>2050000.0</v>
      </c>
      <c r="J582" s="192">
        <v>46026.0</v>
      </c>
      <c r="K582" s="74">
        <f>if(F582="SERVICE",O582-(O582*50%),Vlookup(F582,DATABASE!C:Q,10,false)*G582)</f>
        <v>0</v>
      </c>
      <c r="L582" s="74">
        <f>VLOOKUP(F582,DATABASE!C:Q,7,FALSE)</f>
        <v>1885000</v>
      </c>
      <c r="M582" s="74">
        <v>1840000.0</v>
      </c>
      <c r="N582" s="74">
        <f t="shared" si="8"/>
        <v>1840000</v>
      </c>
      <c r="O582" s="74">
        <f t="shared" si="3"/>
        <v>1950000</v>
      </c>
      <c r="P582" s="63">
        <f t="shared" si="4"/>
        <v>2050000</v>
      </c>
      <c r="Q582" s="63">
        <f t="shared" si="5"/>
        <v>210000</v>
      </c>
      <c r="R582" s="93" t="str">
        <f>VLOOKUP(F582,DATABASE!C:Q,4,false)</f>
        <v>Advance</v>
      </c>
      <c r="S582" s="93" t="str">
        <f>VLOOKUP(F582,DATABASE!C:P,11,false)</f>
        <v>Tire</v>
      </c>
      <c r="T582" s="93" t="str">
        <f>vlookup(F582,DATABASE!C:Q,8,false)</f>
        <v>BIAN</v>
      </c>
      <c r="Z582" s="9"/>
    </row>
    <row r="583" ht="22.5" customHeight="1">
      <c r="A583" s="49"/>
      <c r="C583" s="400">
        <v>45997.0</v>
      </c>
      <c r="D583" s="69">
        <v>8106.0</v>
      </c>
      <c r="E583" s="69" t="s">
        <v>132</v>
      </c>
      <c r="F583" s="140" t="s">
        <v>1862</v>
      </c>
      <c r="G583" s="524">
        <v>2.0</v>
      </c>
      <c r="H583" s="140">
        <v>2150000.0</v>
      </c>
      <c r="I583" s="140">
        <v>2250000.0</v>
      </c>
      <c r="J583" s="192">
        <v>46027.0</v>
      </c>
      <c r="K583" s="74">
        <f>if(F583="SERVICE",O583-(O583*50%),Vlookup(F583,DATABASE!C:Q,10,false)*G583)</f>
        <v>0</v>
      </c>
      <c r="L583" s="74">
        <f>VLOOKUP(F583,DATABASE!C:Q,7,FALSE)</f>
        <v>2080000</v>
      </c>
      <c r="M583" s="74">
        <v>2050000.0</v>
      </c>
      <c r="N583" s="74">
        <f t="shared" si="8"/>
        <v>2050000</v>
      </c>
      <c r="O583" s="74">
        <f t="shared" si="3"/>
        <v>4300000</v>
      </c>
      <c r="P583" s="63">
        <f t="shared" si="4"/>
        <v>4500000</v>
      </c>
      <c r="Q583" s="63">
        <f t="shared" si="5"/>
        <v>400000</v>
      </c>
      <c r="R583" s="93" t="str">
        <f>VLOOKUP(F583,DATABASE!C:Q,4,false)</f>
        <v>GiTi</v>
      </c>
      <c r="S583" s="93" t="str">
        <f>VLOOKUP(F583,DATABASE!C:P,11,false)</f>
        <v>Tire</v>
      </c>
      <c r="T583" s="93" t="str">
        <f>vlookup(F583,DATABASE!C:Q,8,false)</f>
        <v>BIAN</v>
      </c>
      <c r="Z583" s="9"/>
    </row>
    <row r="584" ht="22.5" customHeight="1">
      <c r="A584" s="49"/>
      <c r="C584" s="400">
        <v>45997.0</v>
      </c>
      <c r="D584" s="69">
        <v>8105.0</v>
      </c>
      <c r="E584" s="69" t="s">
        <v>267</v>
      </c>
      <c r="F584" s="140" t="s">
        <v>791</v>
      </c>
      <c r="G584" s="524">
        <v>2.0</v>
      </c>
      <c r="H584" s="140">
        <v>1280000.0</v>
      </c>
      <c r="I584" s="140">
        <v>1380000.0</v>
      </c>
      <c r="J584" s="192">
        <v>46027.0</v>
      </c>
      <c r="K584" s="74">
        <f>if(F584="SERVICE",O584-(O584*50%),Vlookup(F584,DATABASE!C:Q,10,false)*G584)</f>
        <v>0</v>
      </c>
      <c r="L584" s="74">
        <f>VLOOKUP(F584,DATABASE!C:Q,7,FALSE)</f>
        <v>1210000</v>
      </c>
      <c r="M584" s="74">
        <v>1180000.0</v>
      </c>
      <c r="N584" s="74">
        <f t="shared" si="8"/>
        <v>1180000</v>
      </c>
      <c r="O584" s="74">
        <f t="shared" si="3"/>
        <v>2560000</v>
      </c>
      <c r="P584" s="63">
        <f t="shared" si="4"/>
        <v>2760000</v>
      </c>
      <c r="Q584" s="63">
        <f t="shared" si="5"/>
        <v>400000</v>
      </c>
      <c r="R584" s="93" t="str">
        <f>VLOOKUP(F584,DATABASE!C:Q,4,false)</f>
        <v>GT</v>
      </c>
      <c r="S584" s="93" t="str">
        <f>VLOOKUP(F584,DATABASE!C:P,11,false)</f>
        <v>Tire</v>
      </c>
      <c r="T584" s="93" t="str">
        <f>vlookup(F584,DATABASE!C:Q,8,false)</f>
        <v>BIAN</v>
      </c>
      <c r="Z584" s="9"/>
    </row>
    <row r="585" ht="22.5" customHeight="1">
      <c r="A585" s="49"/>
      <c r="C585" s="400">
        <v>45997.0</v>
      </c>
      <c r="D585" s="69">
        <v>8105.0</v>
      </c>
      <c r="E585" s="69" t="s">
        <v>267</v>
      </c>
      <c r="F585" s="140" t="s">
        <v>255</v>
      </c>
      <c r="G585" s="524">
        <v>2.0</v>
      </c>
      <c r="H585" s="140">
        <v>200000.0</v>
      </c>
      <c r="I585" s="140">
        <v>220000.0</v>
      </c>
      <c r="J585" s="192">
        <v>46027.0</v>
      </c>
      <c r="K585" s="74">
        <f>if(F585="SERVICE",O585-(O585*50%),Vlookup(F585,DATABASE!C:Q,10,false)*G585)</f>
        <v>0</v>
      </c>
      <c r="L585" s="74">
        <f>VLOOKUP(F585,DATABASE!C:Q,7,FALSE)</f>
        <v>161840</v>
      </c>
      <c r="M585" s="74">
        <v>161840.0</v>
      </c>
      <c r="N585" s="74">
        <f t="shared" si="8"/>
        <v>165000</v>
      </c>
      <c r="O585" s="74">
        <f t="shared" si="3"/>
        <v>400000</v>
      </c>
      <c r="P585" s="63">
        <f t="shared" si="4"/>
        <v>440000</v>
      </c>
      <c r="Q585" s="63">
        <f t="shared" si="5"/>
        <v>110000</v>
      </c>
      <c r="R585" s="93" t="str">
        <f>VLOOKUP(F585,DATABASE!C:Q,4,false)</f>
        <v>BD</v>
      </c>
      <c r="S585" s="93" t="str">
        <f>VLOOKUP(F585,DATABASE!C:P,11,false)</f>
        <v>Tire</v>
      </c>
      <c r="T585" s="93" t="str">
        <f>vlookup(F585,DATABASE!C:Q,8,false)</f>
        <v>BIAN</v>
      </c>
      <c r="Z585" s="9"/>
    </row>
    <row r="586" ht="22.5" customHeight="1">
      <c r="A586" s="49"/>
      <c r="C586" s="400">
        <v>45997.0</v>
      </c>
      <c r="D586" s="69">
        <v>8106.0</v>
      </c>
      <c r="E586" s="69" t="s">
        <v>267</v>
      </c>
      <c r="F586" s="140" t="s">
        <v>814</v>
      </c>
      <c r="G586" s="524">
        <v>2.0</v>
      </c>
      <c r="H586" s="140">
        <v>70000.0</v>
      </c>
      <c r="I586" s="140">
        <v>90000.0</v>
      </c>
      <c r="J586" s="192">
        <v>46027.0</v>
      </c>
      <c r="K586" s="74">
        <f>if(F586="SERVICE",O586-(O586*50%),Vlookup(F586,DATABASE!C:Q,10,false)*G586)</f>
        <v>0</v>
      </c>
      <c r="L586" s="74">
        <f>VLOOKUP(F586,DATABASE!C:Q,7,FALSE)</f>
        <v>39440</v>
      </c>
      <c r="M586" s="74">
        <v>39440.0</v>
      </c>
      <c r="N586" s="74">
        <f t="shared" si="8"/>
        <v>40000</v>
      </c>
      <c r="O586" s="74">
        <f t="shared" si="3"/>
        <v>140000</v>
      </c>
      <c r="P586" s="63">
        <f t="shared" si="4"/>
        <v>180000</v>
      </c>
      <c r="Q586" s="63">
        <f t="shared" si="5"/>
        <v>100000</v>
      </c>
      <c r="R586" s="93" t="str">
        <f>VLOOKUP(F586,DATABASE!C:Q,4,false)</f>
        <v>Flap</v>
      </c>
      <c r="S586" s="93" t="str">
        <f>VLOOKUP(F586,DATABASE!C:P,11,false)</f>
        <v>Tire</v>
      </c>
      <c r="T586" s="93" t="str">
        <f>vlookup(F586,DATABASE!C:Q,8,false)</f>
        <v>BIAN</v>
      </c>
      <c r="Z586" s="9"/>
    </row>
    <row r="587" ht="22.5" customHeight="1">
      <c r="A587" s="49"/>
      <c r="C587" s="400">
        <v>45997.0</v>
      </c>
      <c r="D587" s="69">
        <v>8109.0</v>
      </c>
      <c r="E587" s="69" t="s">
        <v>693</v>
      </c>
      <c r="F587" s="140" t="s">
        <v>932</v>
      </c>
      <c r="G587" s="524">
        <v>2.0</v>
      </c>
      <c r="H587" s="140">
        <v>680000.0</v>
      </c>
      <c r="I587" s="140">
        <v>780000.0</v>
      </c>
      <c r="J587" s="192">
        <v>46027.0</v>
      </c>
      <c r="K587" s="74">
        <f>if(F587="SERVICE",O587-(O587*50%),Vlookup(F587,DATABASE!C:Q,10,false)*G587)</f>
        <v>0</v>
      </c>
      <c r="L587" s="74">
        <f>VLOOKUP(F587,DATABASE!C:Q,7,FALSE)</f>
        <v>601000</v>
      </c>
      <c r="M587" s="74">
        <v>595000.0</v>
      </c>
      <c r="N587" s="74">
        <f t="shared" si="8"/>
        <v>595000</v>
      </c>
      <c r="O587" s="74">
        <f t="shared" si="3"/>
        <v>1360000</v>
      </c>
      <c r="P587" s="63">
        <f t="shared" si="4"/>
        <v>1560000</v>
      </c>
      <c r="Q587" s="63">
        <f t="shared" si="5"/>
        <v>370000</v>
      </c>
      <c r="R587" s="93" t="str">
        <f>VLOOKUP(F587,DATABASE!C:Q,4,false)</f>
        <v>Dunlop</v>
      </c>
      <c r="S587" s="93" t="str">
        <f>VLOOKUP(F587,DATABASE!C:P,11,false)</f>
        <v>Tire</v>
      </c>
      <c r="T587" s="93" t="str">
        <f>vlookup(F587,DATABASE!C:Q,8,false)</f>
        <v>IBU</v>
      </c>
      <c r="Z587" s="9"/>
    </row>
    <row r="588" ht="22.5" customHeight="1">
      <c r="A588" s="49"/>
      <c r="C588" s="400">
        <v>45997.0</v>
      </c>
      <c r="D588" s="69">
        <v>8116.0</v>
      </c>
      <c r="E588" s="69" t="s">
        <v>49</v>
      </c>
      <c r="F588" s="140" t="s">
        <v>2221</v>
      </c>
      <c r="G588" s="524">
        <v>1.0</v>
      </c>
      <c r="H588" s="140">
        <v>550000.0</v>
      </c>
      <c r="I588" s="140">
        <v>550000.0</v>
      </c>
      <c r="J588" s="192">
        <v>46027.0</v>
      </c>
      <c r="K588" s="74">
        <f>if(F588="SERVICE",O588-(O588*50%),Vlookup(F588,DATABASE!C:Q,10,false)*G588)</f>
        <v>0</v>
      </c>
      <c r="L588" s="74">
        <f>VLOOKUP(F588,DATABASE!C:Q,7,FALSE)</f>
        <v>450000</v>
      </c>
      <c r="M588" s="74">
        <v>450000.0</v>
      </c>
      <c r="N588" s="74">
        <f t="shared" si="8"/>
        <v>450000</v>
      </c>
      <c r="O588" s="74">
        <f t="shared" si="3"/>
        <v>550000</v>
      </c>
      <c r="P588" s="63">
        <f t="shared" si="4"/>
        <v>550000</v>
      </c>
      <c r="Q588" s="63">
        <f t="shared" si="5"/>
        <v>100000</v>
      </c>
      <c r="R588" s="93" t="str">
        <f>VLOOKUP(F588,DATABASE!C:Q,4,false)</f>
        <v>Velg</v>
      </c>
      <c r="S588" s="93" t="str">
        <f>VLOOKUP(F588,DATABASE!C:P,11,false)</f>
        <v>Tire</v>
      </c>
      <c r="T588" s="93" t="str">
        <f>vlookup(F588,DATABASE!C:Q,8,false)</f>
        <v>BIAN</v>
      </c>
      <c r="Z588" s="9"/>
    </row>
    <row r="589" ht="22.5" customHeight="1">
      <c r="A589" s="49"/>
      <c r="C589" s="400">
        <v>45997.0</v>
      </c>
      <c r="D589" s="69">
        <v>8116.0</v>
      </c>
      <c r="E589" s="69" t="s">
        <v>49</v>
      </c>
      <c r="F589" s="69" t="s">
        <v>275</v>
      </c>
      <c r="G589" s="69">
        <v>1.0</v>
      </c>
      <c r="H589" s="140">
        <v>830000.0</v>
      </c>
      <c r="I589" s="140">
        <v>830000.0</v>
      </c>
      <c r="J589" s="192">
        <v>46028.0</v>
      </c>
      <c r="K589" s="74">
        <f>if(F589="SERVICE",O589-(O589*50%),Vlookup(F589,DATABASE!C:Q,10,false)*G589)</f>
        <v>0</v>
      </c>
      <c r="L589" s="74">
        <f>VLOOKUP(F589,DATABASE!C:Q,7,FALSE)</f>
        <v>782000</v>
      </c>
      <c r="M589" s="74">
        <v>745000.0</v>
      </c>
      <c r="N589" s="74">
        <f t="shared" si="8"/>
        <v>745000</v>
      </c>
      <c r="O589" s="74">
        <f t="shared" si="3"/>
        <v>830000</v>
      </c>
      <c r="P589" s="63">
        <f t="shared" si="4"/>
        <v>830000</v>
      </c>
      <c r="Q589" s="63">
        <f t="shared" si="5"/>
        <v>85000</v>
      </c>
      <c r="R589" s="93" t="str">
        <f>VLOOKUP(F589,DATABASE!C:Q,4,false)</f>
        <v>Dunlop</v>
      </c>
      <c r="S589" s="93" t="str">
        <f>VLOOKUP(F589,DATABASE!C:P,11,false)</f>
        <v>Tire</v>
      </c>
      <c r="T589" s="93" t="str">
        <f>vlookup(F589,DATABASE!C:Q,8,false)</f>
        <v>IBU</v>
      </c>
      <c r="Z589" s="9"/>
    </row>
    <row r="590" ht="22.5" customHeight="1">
      <c r="A590" s="49"/>
      <c r="C590" s="400">
        <v>45998.0</v>
      </c>
      <c r="D590" s="419">
        <v>8124.0</v>
      </c>
      <c r="E590" s="594" t="s">
        <v>735</v>
      </c>
      <c r="F590" s="528" t="s">
        <v>924</v>
      </c>
      <c r="G590" s="595">
        <v>1.0</v>
      </c>
      <c r="H590" s="540">
        <v>1650000.0</v>
      </c>
      <c r="I590" s="540">
        <v>1750000.0</v>
      </c>
      <c r="J590" s="596">
        <v>46029.0</v>
      </c>
      <c r="K590" s="74">
        <f>if(F590="SERVICE",O590-(O590*50%),Vlookup(F590,DATABASE!C:Q,10,false)*G590)</f>
        <v>0</v>
      </c>
      <c r="L590" s="74">
        <f>VLOOKUP(F590,DATABASE!C:Q,7,FALSE)</f>
        <v>1560000</v>
      </c>
      <c r="M590" s="74">
        <v>1545000.0</v>
      </c>
      <c r="N590" s="74">
        <f t="shared" si="8"/>
        <v>1545000</v>
      </c>
      <c r="O590" s="74">
        <f t="shared" si="3"/>
        <v>1650000</v>
      </c>
      <c r="P590" s="63">
        <f t="shared" si="4"/>
        <v>1750000</v>
      </c>
      <c r="Q590" s="63">
        <f t="shared" si="5"/>
        <v>205000</v>
      </c>
      <c r="R590" s="93" t="str">
        <f>VLOOKUP(F590,DATABASE!C:Q,4,false)</f>
        <v>TIRON</v>
      </c>
      <c r="S590" s="93" t="str">
        <f>VLOOKUP(F590,DATABASE!C:P,11,false)</f>
        <v>Tire</v>
      </c>
      <c r="T590" s="93" t="str">
        <f>vlookup(F590,DATABASE!C:Q,8,false)</f>
        <v>BIAN</v>
      </c>
      <c r="Z590" s="9"/>
    </row>
    <row r="591" ht="22.5" customHeight="1">
      <c r="A591" s="49"/>
      <c r="C591" s="400">
        <v>45999.0</v>
      </c>
      <c r="D591" s="524">
        <v>8130.0</v>
      </c>
      <c r="E591" s="69" t="s">
        <v>267</v>
      </c>
      <c r="F591" s="140" t="s">
        <v>1862</v>
      </c>
      <c r="G591" s="524">
        <v>2.0</v>
      </c>
      <c r="H591" s="140">
        <v>2150000.0</v>
      </c>
      <c r="I591" s="140">
        <v>2250000.0</v>
      </c>
      <c r="J591" s="192">
        <v>46029.0</v>
      </c>
      <c r="K591" s="74">
        <f>if(F591="SERVICE",O591-(O591*50%),Vlookup(F591,DATABASE!C:Q,10,false)*G591)</f>
        <v>0</v>
      </c>
      <c r="L591" s="74">
        <f>VLOOKUP(F591,DATABASE!C:Q,7,FALSE)</f>
        <v>2080000</v>
      </c>
      <c r="M591" s="74">
        <v>2050000.0</v>
      </c>
      <c r="N591" s="74">
        <f t="shared" si="8"/>
        <v>2050000</v>
      </c>
      <c r="O591" s="74">
        <f t="shared" si="3"/>
        <v>4300000</v>
      </c>
      <c r="P591" s="63">
        <f t="shared" si="4"/>
        <v>4500000</v>
      </c>
      <c r="Q591" s="63">
        <f t="shared" si="5"/>
        <v>400000</v>
      </c>
      <c r="R591" s="93" t="str">
        <f>VLOOKUP(F591,DATABASE!C:Q,4,false)</f>
        <v>GiTi</v>
      </c>
      <c r="S591" s="93" t="str">
        <f>VLOOKUP(F591,DATABASE!C:P,11,false)</f>
        <v>Tire</v>
      </c>
      <c r="T591" s="93" t="str">
        <f>vlookup(F591,DATABASE!C:Q,8,false)</f>
        <v>BIAN</v>
      </c>
      <c r="Z591" s="9"/>
    </row>
    <row r="592" ht="22.5" customHeight="1">
      <c r="A592" s="49"/>
      <c r="C592" s="400">
        <v>45999.0</v>
      </c>
      <c r="D592" s="524">
        <v>8130.0</v>
      </c>
      <c r="E592" s="69" t="s">
        <v>267</v>
      </c>
      <c r="F592" s="140" t="s">
        <v>924</v>
      </c>
      <c r="G592" s="524">
        <v>1.0</v>
      </c>
      <c r="H592" s="140">
        <v>1650000.0</v>
      </c>
      <c r="I592" s="140">
        <v>1750000.0</v>
      </c>
      <c r="J592" s="192">
        <v>46029.0</v>
      </c>
      <c r="K592" s="74">
        <f>if(F592="SERVICE",O592-(O592*50%),Vlookup(F592,DATABASE!C:Q,10,false)*G592)</f>
        <v>0</v>
      </c>
      <c r="L592" s="74">
        <f>VLOOKUP(F592,DATABASE!C:Q,7,FALSE)</f>
        <v>1560000</v>
      </c>
      <c r="M592" s="74">
        <v>1545000.0</v>
      </c>
      <c r="N592" s="74">
        <f t="shared" si="8"/>
        <v>1545000</v>
      </c>
      <c r="O592" s="74">
        <f t="shared" si="3"/>
        <v>1650000</v>
      </c>
      <c r="P592" s="63">
        <f t="shared" si="4"/>
        <v>1750000</v>
      </c>
      <c r="Q592" s="63">
        <f t="shared" si="5"/>
        <v>205000</v>
      </c>
      <c r="R592" s="93" t="str">
        <f>VLOOKUP(F592,DATABASE!C:Q,4,false)</f>
        <v>TIRON</v>
      </c>
      <c r="S592" s="93" t="str">
        <f>VLOOKUP(F592,DATABASE!C:P,11,false)</f>
        <v>Tire</v>
      </c>
      <c r="T592" s="93" t="str">
        <f>vlookup(F592,DATABASE!C:Q,8,false)</f>
        <v>BIAN</v>
      </c>
      <c r="Z592" s="9"/>
    </row>
    <row r="593" ht="22.5" customHeight="1">
      <c r="A593" s="49"/>
      <c r="C593" s="400">
        <v>46000.0</v>
      </c>
      <c r="D593" s="69">
        <v>8147.0</v>
      </c>
      <c r="E593" s="69" t="s">
        <v>254</v>
      </c>
      <c r="F593" s="140" t="s">
        <v>403</v>
      </c>
      <c r="G593" s="524">
        <v>4.0</v>
      </c>
      <c r="H593" s="140">
        <v>2260000.0</v>
      </c>
      <c r="I593" s="140">
        <v>2360000.0</v>
      </c>
      <c r="J593" s="192">
        <v>46030.0</v>
      </c>
      <c r="K593" s="74">
        <f>if(F593="SERVICE",O593-(O593*50%),Vlookup(F593,DATABASE!C:Q,10,false)*G593)</f>
        <v>0</v>
      </c>
      <c r="L593" s="74">
        <f>VLOOKUP(F593,DATABASE!C:Q,7,FALSE)</f>
        <v>2160000</v>
      </c>
      <c r="M593" s="74">
        <v>2160000.0</v>
      </c>
      <c r="N593" s="74">
        <f t="shared" si="8"/>
        <v>2160000</v>
      </c>
      <c r="O593" s="74">
        <f t="shared" si="3"/>
        <v>9040000</v>
      </c>
      <c r="P593" s="63">
        <f t="shared" si="4"/>
        <v>9440000</v>
      </c>
      <c r="Q593" s="63">
        <f t="shared" si="5"/>
        <v>800000</v>
      </c>
      <c r="R593" s="93" t="str">
        <f>VLOOKUP(F593,DATABASE!C:Q,4,false)</f>
        <v>Advance</v>
      </c>
      <c r="S593" s="93" t="str">
        <f>VLOOKUP(F593,DATABASE!C:P,11,false)</f>
        <v>Tire</v>
      </c>
      <c r="T593" s="93" t="str">
        <f>vlookup(F593,DATABASE!C:Q,8,false)</f>
        <v>BIAN</v>
      </c>
      <c r="Z593" s="9"/>
    </row>
    <row r="594" ht="22.5" customHeight="1">
      <c r="A594" s="49"/>
      <c r="C594" s="400">
        <v>46002.0</v>
      </c>
      <c r="D594" s="69">
        <v>8165.0</v>
      </c>
      <c r="E594" s="69" t="s">
        <v>1094</v>
      </c>
      <c r="F594" s="140" t="s">
        <v>268</v>
      </c>
      <c r="G594" s="524">
        <v>4.0</v>
      </c>
      <c r="H594" s="140">
        <v>710000.0</v>
      </c>
      <c r="I594" s="140">
        <v>790000.0</v>
      </c>
      <c r="J594" s="192">
        <v>46032.0</v>
      </c>
      <c r="K594" s="74">
        <f>if(F594="SERVICE",O594-(O594*50%),Vlookup(F594,DATABASE!C:Q,10,false)*G594)</f>
        <v>0</v>
      </c>
      <c r="L594" s="74">
        <f>VLOOKUP(F594,DATABASE!C:Q,7,FALSE)</f>
        <v>653000</v>
      </c>
      <c r="M594" s="74">
        <v>622000.0</v>
      </c>
      <c r="N594" s="74">
        <f t="shared" si="8"/>
        <v>625000</v>
      </c>
      <c r="O594" s="74">
        <f t="shared" si="3"/>
        <v>2840000</v>
      </c>
      <c r="P594" s="63">
        <f t="shared" si="4"/>
        <v>3160000</v>
      </c>
      <c r="Q594" s="63">
        <f t="shared" si="5"/>
        <v>660000</v>
      </c>
      <c r="R594" s="93" t="str">
        <f>VLOOKUP(F594,DATABASE!C:Q,4,false)</f>
        <v>Dunlop</v>
      </c>
      <c r="S594" s="93" t="str">
        <f>VLOOKUP(F594,DATABASE!C:P,11,false)</f>
        <v>Tire</v>
      </c>
      <c r="T594" s="93" t="str">
        <f>vlookup(F594,DATABASE!C:Q,8,false)</f>
        <v>IBU</v>
      </c>
      <c r="Z594" s="9"/>
    </row>
    <row r="595" ht="22.5" customHeight="1">
      <c r="A595" s="49"/>
      <c r="C595" s="400">
        <v>46004.0</v>
      </c>
      <c r="D595" s="69">
        <v>8198.0</v>
      </c>
      <c r="E595" s="69" t="s">
        <v>208</v>
      </c>
      <c r="F595" s="140" t="s">
        <v>1237</v>
      </c>
      <c r="G595" s="69">
        <v>1.0</v>
      </c>
      <c r="H595" s="140">
        <v>1235000.0</v>
      </c>
      <c r="I595" s="140">
        <v>1315000.0</v>
      </c>
      <c r="J595" s="192">
        <v>46033.0</v>
      </c>
      <c r="K595" s="74">
        <f>if(F595="SERVICE",O595-(O595*50%),Vlookup(F595,DATABASE!C:Q,10,false)*G595)</f>
        <v>0</v>
      </c>
      <c r="L595" s="74">
        <f>VLOOKUP(F595,DATABASE!C:Q,7,FALSE)</f>
        <v>1170353.16</v>
      </c>
      <c r="M595" s="74">
        <v>1113907.2</v>
      </c>
      <c r="N595" s="74">
        <f t="shared" si="8"/>
        <v>1115000</v>
      </c>
      <c r="O595" s="74">
        <f t="shared" si="3"/>
        <v>1235000</v>
      </c>
      <c r="P595" s="63">
        <f t="shared" si="4"/>
        <v>1315000</v>
      </c>
      <c r="Q595" s="63">
        <f t="shared" si="5"/>
        <v>200000</v>
      </c>
      <c r="R595" s="93" t="str">
        <f>VLOOKUP(F595,DATABASE!C:Q,4,false)</f>
        <v>Bridgestone</v>
      </c>
      <c r="S595" s="93" t="str">
        <f>VLOOKUP(F595,DATABASE!C:P,11,false)</f>
        <v>Tire</v>
      </c>
      <c r="T595" s="93" t="str">
        <f>vlookup(F595,DATABASE!C:Q,8,false)</f>
        <v>IBU</v>
      </c>
      <c r="Z595" s="9"/>
    </row>
    <row r="596" ht="22.5" customHeight="1">
      <c r="A596" s="49"/>
      <c r="C596" s="400">
        <v>46004.0</v>
      </c>
      <c r="D596" s="69">
        <v>8189.0</v>
      </c>
      <c r="E596" s="69" t="s">
        <v>661</v>
      </c>
      <c r="F596" s="140" t="s">
        <v>1858</v>
      </c>
      <c r="G596" s="524">
        <v>1.0</v>
      </c>
      <c r="H596" s="140">
        <v>2130000.0</v>
      </c>
      <c r="I596" s="140">
        <v>2230000.0</v>
      </c>
      <c r="J596" s="192">
        <v>46034.0</v>
      </c>
      <c r="K596" s="74">
        <f>if(F596="SERVICE",O596-(O596*50%),Vlookup(F596,DATABASE!C:Q,10,false)*G596)</f>
        <v>0</v>
      </c>
      <c r="L596" s="74">
        <f>VLOOKUP(F596,DATABASE!C:Q,7,FALSE)</f>
        <v>2030000</v>
      </c>
      <c r="M596" s="206">
        <v>2030000.0</v>
      </c>
      <c r="N596" s="74">
        <f t="shared" si="8"/>
        <v>2030000</v>
      </c>
      <c r="O596" s="74">
        <f t="shared" si="3"/>
        <v>2130000</v>
      </c>
      <c r="P596" s="63">
        <f t="shared" si="4"/>
        <v>2230000</v>
      </c>
      <c r="Q596" s="63">
        <f t="shared" si="5"/>
        <v>200000</v>
      </c>
      <c r="R596" s="93" t="str">
        <f>VLOOKUP(F596,DATABASE!C:Q,4,false)</f>
        <v>GiTi</v>
      </c>
      <c r="S596" s="93" t="str">
        <f>VLOOKUP(F596,DATABASE!C:P,11,false)</f>
        <v>Tire</v>
      </c>
      <c r="T596" s="93" t="str">
        <f>vlookup(F596,DATABASE!C:Q,8,false)</f>
        <v>BIAN</v>
      </c>
      <c r="Z596" s="9"/>
    </row>
    <row r="597" ht="22.5" customHeight="1">
      <c r="A597" s="49"/>
      <c r="C597" s="400">
        <v>46004.0</v>
      </c>
      <c r="D597" s="69">
        <v>8192.0</v>
      </c>
      <c r="E597" s="69" t="s">
        <v>264</v>
      </c>
      <c r="F597" s="140" t="s">
        <v>647</v>
      </c>
      <c r="G597" s="524">
        <v>2.0</v>
      </c>
      <c r="H597" s="140">
        <v>1520000.0</v>
      </c>
      <c r="I597" s="140">
        <v>1620000.0</v>
      </c>
      <c r="J597" s="192">
        <v>46034.0</v>
      </c>
      <c r="K597" s="74">
        <f>if(F597="SERVICE",O597-(O597*50%),Vlookup(F597,DATABASE!C:Q,10,false)*G597)</f>
        <v>0</v>
      </c>
      <c r="L597" s="74">
        <f>VLOOKUP(F597,DATABASE!C:Q,7,FALSE)</f>
        <v>1420000</v>
      </c>
      <c r="M597" s="206">
        <v>1420000.0</v>
      </c>
      <c r="N597" s="74">
        <f t="shared" si="8"/>
        <v>1420000</v>
      </c>
      <c r="O597" s="74">
        <f t="shared" si="3"/>
        <v>3040000</v>
      </c>
      <c r="P597" s="63">
        <f t="shared" si="4"/>
        <v>3240000</v>
      </c>
      <c r="Q597" s="63">
        <f t="shared" si="5"/>
        <v>400000</v>
      </c>
      <c r="R597" s="93" t="str">
        <f>VLOOKUP(F597,DATABASE!C:Q,4,false)</f>
        <v>G. YEAR</v>
      </c>
      <c r="S597" s="93" t="str">
        <f>VLOOKUP(F597,DATABASE!C:P,11,false)</f>
        <v>Tire</v>
      </c>
      <c r="T597" s="93" t="str">
        <f>vlookup(F597,DATABASE!C:Q,8,false)</f>
        <v>BIAN</v>
      </c>
      <c r="Z597" s="9"/>
    </row>
    <row r="598" ht="22.5" customHeight="1">
      <c r="A598" s="49"/>
      <c r="C598" s="400">
        <v>46006.0</v>
      </c>
      <c r="D598" s="524">
        <v>8229.0</v>
      </c>
      <c r="E598" s="69" t="s">
        <v>555</v>
      </c>
      <c r="F598" s="140" t="s">
        <v>391</v>
      </c>
      <c r="G598" s="524">
        <v>2.0</v>
      </c>
      <c r="H598" s="140">
        <v>1950000.0</v>
      </c>
      <c r="I598" s="140">
        <v>2050000.0</v>
      </c>
      <c r="J598" s="192">
        <v>46036.0</v>
      </c>
      <c r="K598" s="74">
        <f>if(F598="SERVICE",O598-(O598*50%),Vlookup(F598,DATABASE!C:Q,10,false)*G598)</f>
        <v>0</v>
      </c>
      <c r="L598" s="74">
        <f>VLOOKUP(F598,DATABASE!C:Q,7,FALSE)</f>
        <v>1885000</v>
      </c>
      <c r="M598" s="206">
        <v>1840000.0</v>
      </c>
      <c r="N598" s="74">
        <f t="shared" si="8"/>
        <v>1840000</v>
      </c>
      <c r="O598" s="74">
        <f t="shared" si="3"/>
        <v>3900000</v>
      </c>
      <c r="P598" s="63">
        <f t="shared" si="4"/>
        <v>4100000</v>
      </c>
      <c r="Q598" s="63">
        <f t="shared" si="5"/>
        <v>420000</v>
      </c>
      <c r="R598" s="93" t="str">
        <f>VLOOKUP(F598,DATABASE!C:Q,4,false)</f>
        <v>Advance</v>
      </c>
      <c r="S598" s="93" t="str">
        <f>VLOOKUP(F598,DATABASE!C:P,11,false)</f>
        <v>Tire</v>
      </c>
      <c r="T598" s="93" t="str">
        <f>vlookup(F598,DATABASE!C:Q,8,false)</f>
        <v>BIAN</v>
      </c>
      <c r="Z598" s="9"/>
    </row>
    <row r="599" ht="22.5" customHeight="1">
      <c r="A599" s="49"/>
      <c r="C599" s="400">
        <v>46006.0</v>
      </c>
      <c r="D599" s="69">
        <v>8229.0</v>
      </c>
      <c r="E599" s="69" t="s">
        <v>555</v>
      </c>
      <c r="F599" s="140" t="s">
        <v>566</v>
      </c>
      <c r="G599" s="524">
        <v>1.0</v>
      </c>
      <c r="H599" s="140">
        <v>1670000.0</v>
      </c>
      <c r="I599" s="140">
        <v>1770000.0</v>
      </c>
      <c r="J599" s="192">
        <v>46036.0</v>
      </c>
      <c r="K599" s="74">
        <f>if(F599="SERVICE",O599-(O599*50%),Vlookup(F599,DATABASE!C:Q,10,false)*G599)</f>
        <v>0</v>
      </c>
      <c r="L599" s="74">
        <f>VLOOKUP(F599,DATABASE!C:Q,7,FALSE)</f>
        <v>1565000</v>
      </c>
      <c r="M599" s="74">
        <v>1545000.0</v>
      </c>
      <c r="N599" s="74">
        <f t="shared" si="8"/>
        <v>1545000</v>
      </c>
      <c r="O599" s="74">
        <f t="shared" si="3"/>
        <v>1670000</v>
      </c>
      <c r="P599" s="63">
        <f t="shared" si="4"/>
        <v>1770000</v>
      </c>
      <c r="Q599" s="63">
        <f t="shared" si="5"/>
        <v>225000</v>
      </c>
      <c r="R599" s="93" t="str">
        <f>VLOOKUP(F599,DATABASE!C:Q,4,false)</f>
        <v>Bridgestone</v>
      </c>
      <c r="S599" s="93" t="str">
        <f>VLOOKUP(F599,DATABASE!C:P,11,false)</f>
        <v>Tire</v>
      </c>
      <c r="T599" s="93" t="str">
        <f>vlookup(F599,DATABASE!C:Q,8,false)</f>
        <v>IBU</v>
      </c>
      <c r="Z599" s="9"/>
    </row>
    <row r="600" ht="22.5" customHeight="1">
      <c r="A600" s="49"/>
      <c r="C600" s="400">
        <v>46006.0</v>
      </c>
      <c r="D600" s="69">
        <v>8229.0</v>
      </c>
      <c r="E600" s="69" t="s">
        <v>555</v>
      </c>
      <c r="F600" s="140" t="s">
        <v>744</v>
      </c>
      <c r="G600" s="524">
        <v>1.0</v>
      </c>
      <c r="H600" s="140">
        <v>230000.0</v>
      </c>
      <c r="I600" s="140">
        <v>250000.0</v>
      </c>
      <c r="J600" s="192">
        <v>46036.0</v>
      </c>
      <c r="K600" s="74">
        <f>if(F600="SERVICE",O600-(O600*50%),Vlookup(F600,DATABASE!C:Q,10,false)*G600)</f>
        <v>0</v>
      </c>
      <c r="L600" s="74">
        <f>VLOOKUP(F600,DATABASE!C:Q,7,FALSE)</f>
        <v>182200</v>
      </c>
      <c r="M600" s="74">
        <v>199920.0</v>
      </c>
      <c r="N600" s="74">
        <f t="shared" si="8"/>
        <v>200000</v>
      </c>
      <c r="O600" s="74">
        <f t="shared" si="3"/>
        <v>230000</v>
      </c>
      <c r="P600" s="63">
        <f t="shared" si="4"/>
        <v>250000</v>
      </c>
      <c r="Q600" s="63">
        <f t="shared" si="5"/>
        <v>50000</v>
      </c>
      <c r="R600" s="93" t="str">
        <f>VLOOKUP(F600,DATABASE!C:Q,4,false)</f>
        <v>BD</v>
      </c>
      <c r="S600" s="93" t="str">
        <f>VLOOKUP(F600,DATABASE!C:P,11,false)</f>
        <v>Tire</v>
      </c>
      <c r="T600" s="93" t="str">
        <f>vlookup(F600,DATABASE!C:Q,8,false)</f>
        <v>BIAN</v>
      </c>
      <c r="Z600" s="9"/>
    </row>
    <row r="601" ht="22.5" customHeight="1">
      <c r="A601" s="49"/>
      <c r="C601" s="400">
        <v>46006.0</v>
      </c>
      <c r="D601" s="69">
        <v>8229.0</v>
      </c>
      <c r="E601" s="69" t="s">
        <v>555</v>
      </c>
      <c r="F601" s="140" t="s">
        <v>821</v>
      </c>
      <c r="G601" s="524">
        <v>1.0</v>
      </c>
      <c r="H601" s="140">
        <v>90000.0</v>
      </c>
      <c r="I601" s="140">
        <v>100000.0</v>
      </c>
      <c r="J601" s="192">
        <v>46036.0</v>
      </c>
      <c r="K601" s="74">
        <f>if(F601="SERVICE",O601-(O601*50%),Vlookup(F601,DATABASE!C:Q,10,false)*G601)</f>
        <v>0</v>
      </c>
      <c r="L601" s="74">
        <f>VLOOKUP(F601,DATABASE!C:Q,7,FALSE)</f>
        <v>43500</v>
      </c>
      <c r="M601" s="74">
        <v>43520.0</v>
      </c>
      <c r="N601" s="74">
        <f t="shared" si="8"/>
        <v>45000</v>
      </c>
      <c r="O601" s="74">
        <f t="shared" si="3"/>
        <v>90000</v>
      </c>
      <c r="P601" s="63">
        <f t="shared" si="4"/>
        <v>100000</v>
      </c>
      <c r="Q601" s="63">
        <f t="shared" si="5"/>
        <v>55000</v>
      </c>
      <c r="R601" s="93" t="str">
        <f>VLOOKUP(F601,DATABASE!C:Q,4,false)</f>
        <v>Flap</v>
      </c>
      <c r="S601" s="93" t="str">
        <f>VLOOKUP(F601,DATABASE!C:P,11,false)</f>
        <v>Tire</v>
      </c>
      <c r="T601" s="93" t="str">
        <f>vlookup(F601,DATABASE!C:Q,8,false)</f>
        <v>BIAN</v>
      </c>
      <c r="Z601" s="9"/>
    </row>
    <row r="602" ht="22.5" customHeight="1">
      <c r="A602" s="49"/>
      <c r="C602" s="400">
        <v>46007.0</v>
      </c>
      <c r="D602" s="69">
        <v>8224.0</v>
      </c>
      <c r="E602" s="69" t="s">
        <v>595</v>
      </c>
      <c r="F602" s="140" t="s">
        <v>403</v>
      </c>
      <c r="G602" s="524">
        <v>2.0</v>
      </c>
      <c r="H602" s="140">
        <v>2260000.0</v>
      </c>
      <c r="I602" s="140">
        <v>2360000.0</v>
      </c>
      <c r="J602" s="192">
        <v>46052.0</v>
      </c>
      <c r="K602" s="74">
        <f>if(F602="SERVICE",O602-(O602*50%),Vlookup(F602,DATABASE!C:Q,10,false)*G602)</f>
        <v>0</v>
      </c>
      <c r="L602" s="74">
        <f>VLOOKUP(F602,DATABASE!C:Q,7,FALSE)</f>
        <v>2160000</v>
      </c>
      <c r="M602" s="74">
        <v>2160000.0</v>
      </c>
      <c r="N602" s="74">
        <f t="shared" si="8"/>
        <v>2160000</v>
      </c>
      <c r="O602" s="74">
        <f t="shared" si="3"/>
        <v>4520000</v>
      </c>
      <c r="P602" s="63">
        <f t="shared" si="4"/>
        <v>4720000</v>
      </c>
      <c r="Q602" s="63">
        <f t="shared" si="5"/>
        <v>400000</v>
      </c>
      <c r="R602" s="93" t="str">
        <f>VLOOKUP(F602,DATABASE!C:Q,4,false)</f>
        <v>Advance</v>
      </c>
      <c r="S602" s="93" t="str">
        <f>VLOOKUP(F602,DATABASE!C:P,11,false)</f>
        <v>Tire</v>
      </c>
      <c r="T602" s="93" t="str">
        <f>vlookup(F602,DATABASE!C:Q,8,false)</f>
        <v>BIAN</v>
      </c>
      <c r="Z602" s="9"/>
    </row>
    <row r="603" ht="22.5" customHeight="1">
      <c r="A603" s="49"/>
      <c r="C603" s="400">
        <v>46007.0</v>
      </c>
      <c r="D603" s="69">
        <v>8224.0</v>
      </c>
      <c r="E603" s="69" t="s">
        <v>595</v>
      </c>
      <c r="F603" s="140" t="s">
        <v>566</v>
      </c>
      <c r="G603" s="524">
        <v>2.0</v>
      </c>
      <c r="H603" s="140">
        <v>1670000.0</v>
      </c>
      <c r="I603" s="140">
        <v>1750000.0</v>
      </c>
      <c r="J603" s="192">
        <v>46052.0</v>
      </c>
      <c r="K603" s="74">
        <f>if(F603="SERVICE",O603-(O603*50%),Vlookup(F603,DATABASE!C:Q,10,false)*G603)</f>
        <v>0</v>
      </c>
      <c r="L603" s="74">
        <f>VLOOKUP(F603,DATABASE!C:Q,7,FALSE)</f>
        <v>1565000</v>
      </c>
      <c r="M603" s="74">
        <v>1545000.0</v>
      </c>
      <c r="N603" s="74">
        <f t="shared" si="8"/>
        <v>1545000</v>
      </c>
      <c r="O603" s="74">
        <f t="shared" si="3"/>
        <v>3340000</v>
      </c>
      <c r="P603" s="63">
        <f t="shared" si="4"/>
        <v>3500000</v>
      </c>
      <c r="Q603" s="63">
        <f t="shared" si="5"/>
        <v>410000</v>
      </c>
      <c r="R603" s="93" t="str">
        <f>VLOOKUP(F603,DATABASE!C:Q,4,false)</f>
        <v>Bridgestone</v>
      </c>
      <c r="S603" s="93" t="str">
        <f>VLOOKUP(F603,DATABASE!C:P,11,false)</f>
        <v>Tire</v>
      </c>
      <c r="T603" s="93" t="str">
        <f>vlookup(F603,DATABASE!C:Q,8,false)</f>
        <v>IBU</v>
      </c>
      <c r="Z603" s="9"/>
    </row>
    <row r="604" ht="22.5" customHeight="1">
      <c r="A604" s="49"/>
      <c r="C604" s="400">
        <v>46007.0</v>
      </c>
      <c r="D604" s="69">
        <v>8225.0</v>
      </c>
      <c r="E604" s="69" t="s">
        <v>595</v>
      </c>
      <c r="F604" s="140" t="s">
        <v>2345</v>
      </c>
      <c r="G604" s="524">
        <v>4.0</v>
      </c>
      <c r="H604" s="140">
        <v>750000.0</v>
      </c>
      <c r="I604" s="140">
        <v>850000.0</v>
      </c>
      <c r="J604" s="192">
        <v>46052.0</v>
      </c>
      <c r="K604" s="74">
        <f>if(F604="SERVICE",O604-(O604*50%),Vlookup(F604,DATABASE!C:Q,10,false)*G604)</f>
        <v>0</v>
      </c>
      <c r="L604" s="74">
        <f>VLOOKUP(F604,DATABASE!C:Q,7,FALSE)</f>
        <v>680000</v>
      </c>
      <c r="M604" s="74">
        <v>650000.0</v>
      </c>
      <c r="N604" s="74">
        <f t="shared" si="8"/>
        <v>650000</v>
      </c>
      <c r="O604" s="74">
        <f t="shared" si="3"/>
        <v>3000000</v>
      </c>
      <c r="P604" s="63">
        <f t="shared" si="4"/>
        <v>3400000</v>
      </c>
      <c r="Q604" s="63">
        <f t="shared" si="5"/>
        <v>800000</v>
      </c>
      <c r="R604" s="93" t="str">
        <f>VLOOKUP(F604,DATABASE!C:Q,4,false)</f>
        <v>Velg</v>
      </c>
      <c r="S604" s="93" t="str">
        <f>VLOOKUP(F604,DATABASE!C:P,11,false)</f>
        <v>Tire</v>
      </c>
      <c r="T604" s="93" t="str">
        <f>vlookup(F604,DATABASE!C:Q,8,false)</f>
        <v>BIAN</v>
      </c>
      <c r="Z604" s="9"/>
    </row>
    <row r="605" ht="22.5" customHeight="1">
      <c r="A605" s="49"/>
      <c r="C605" s="400">
        <v>46007.0</v>
      </c>
      <c r="D605" s="69">
        <v>8239.0</v>
      </c>
      <c r="E605" s="69" t="s">
        <v>346</v>
      </c>
      <c r="F605" s="140" t="s">
        <v>566</v>
      </c>
      <c r="G605" s="524">
        <v>2.0</v>
      </c>
      <c r="H605" s="140">
        <v>1670000.0</v>
      </c>
      <c r="I605" s="140">
        <v>1770000.0</v>
      </c>
      <c r="J605" s="192">
        <v>46037.0</v>
      </c>
      <c r="K605" s="74">
        <f>if(F605="SERVICE",O605-(O605*50%),Vlookup(F605,DATABASE!C:Q,10,false)*G605)</f>
        <v>0</v>
      </c>
      <c r="L605" s="74">
        <f>VLOOKUP(F605,DATABASE!C:Q,7,FALSE)</f>
        <v>1565000</v>
      </c>
      <c r="M605" s="74">
        <v>1545000.0</v>
      </c>
      <c r="N605" s="74">
        <f t="shared" si="8"/>
        <v>1545000</v>
      </c>
      <c r="O605" s="74">
        <f t="shared" si="3"/>
        <v>3340000</v>
      </c>
      <c r="P605" s="63">
        <f t="shared" si="4"/>
        <v>3540000</v>
      </c>
      <c r="Q605" s="63">
        <f t="shared" si="5"/>
        <v>450000</v>
      </c>
      <c r="R605" s="93" t="str">
        <f>VLOOKUP(F605,DATABASE!C:Q,4,false)</f>
        <v>Bridgestone</v>
      </c>
      <c r="S605" s="93" t="str">
        <f>VLOOKUP(F605,DATABASE!C:P,11,false)</f>
        <v>Tire</v>
      </c>
      <c r="T605" s="93" t="str">
        <f>vlookup(F605,DATABASE!C:Q,8,false)</f>
        <v>IBU</v>
      </c>
      <c r="Z605" s="9"/>
    </row>
    <row r="606" ht="22.5" customHeight="1">
      <c r="A606" s="49"/>
      <c r="C606" s="400">
        <v>46007.0</v>
      </c>
      <c r="D606" s="69">
        <v>8239.0</v>
      </c>
      <c r="E606" s="69" t="s">
        <v>346</v>
      </c>
      <c r="F606" s="140" t="s">
        <v>821</v>
      </c>
      <c r="G606" s="524">
        <v>1.0</v>
      </c>
      <c r="H606" s="140">
        <v>90000.0</v>
      </c>
      <c r="I606" s="140">
        <v>100000.0</v>
      </c>
      <c r="J606" s="192">
        <v>46037.0</v>
      </c>
      <c r="K606" s="74">
        <f>if(F606="SERVICE",O606-(O606*50%),Vlookup(F606,DATABASE!C:Q,10,false)*G606)</f>
        <v>0</v>
      </c>
      <c r="L606" s="74">
        <f>VLOOKUP(F606,DATABASE!C:Q,7,FALSE)</f>
        <v>43500</v>
      </c>
      <c r="M606" s="74">
        <v>43520.0</v>
      </c>
      <c r="N606" s="74">
        <f t="shared" si="8"/>
        <v>45000</v>
      </c>
      <c r="O606" s="74">
        <f t="shared" si="3"/>
        <v>90000</v>
      </c>
      <c r="P606" s="63">
        <f t="shared" si="4"/>
        <v>100000</v>
      </c>
      <c r="Q606" s="63">
        <f t="shared" si="5"/>
        <v>55000</v>
      </c>
      <c r="R606" s="93" t="str">
        <f>VLOOKUP(F606,DATABASE!C:Q,4,false)</f>
        <v>Flap</v>
      </c>
      <c r="S606" s="93" t="str">
        <f>VLOOKUP(F606,DATABASE!C:P,11,false)</f>
        <v>Tire</v>
      </c>
      <c r="T606" s="93" t="str">
        <f>vlookup(F606,DATABASE!C:Q,8,false)</f>
        <v>BIAN</v>
      </c>
      <c r="Z606" s="9"/>
    </row>
    <row r="607" ht="22.5" customHeight="1">
      <c r="A607" s="49"/>
      <c r="C607" s="400">
        <v>46008.0</v>
      </c>
      <c r="D607" s="69">
        <v>8251.0</v>
      </c>
      <c r="E607" s="69" t="s">
        <v>962</v>
      </c>
      <c r="F607" s="140" t="s">
        <v>1526</v>
      </c>
      <c r="G607" s="524">
        <v>2.0</v>
      </c>
      <c r="H607" s="140">
        <v>540000.0</v>
      </c>
      <c r="I607" s="140">
        <v>620000.0</v>
      </c>
      <c r="J607" s="192">
        <v>46038.0</v>
      </c>
      <c r="K607" s="74">
        <f>if(F607="SERVICE",O607-(O607*50%),Vlookup(F607,DATABASE!C:Q,10,false)*G607)</f>
        <v>0</v>
      </c>
      <c r="L607" s="74">
        <f>VLOOKUP(F607,DATABASE!C:Q,7,FALSE)</f>
        <v>450000</v>
      </c>
      <c r="M607" s="74">
        <v>437000.0</v>
      </c>
      <c r="N607" s="74">
        <f t="shared" si="8"/>
        <v>440000</v>
      </c>
      <c r="O607" s="74">
        <f t="shared" si="3"/>
        <v>1080000</v>
      </c>
      <c r="P607" s="63">
        <f t="shared" si="4"/>
        <v>1240000</v>
      </c>
      <c r="Q607" s="63">
        <f t="shared" si="5"/>
        <v>360000</v>
      </c>
      <c r="R607" s="93" t="str">
        <f>VLOOKUP(F607,DATABASE!C:Q,4,false)</f>
        <v>Laufen</v>
      </c>
      <c r="S607" s="93" t="str">
        <f>VLOOKUP(F607,DATABASE!C:P,11,false)</f>
        <v>Tire</v>
      </c>
      <c r="T607" s="93" t="str">
        <f>vlookup(F607,DATABASE!C:Q,8,false)</f>
        <v>BIAN</v>
      </c>
      <c r="Z607" s="9"/>
    </row>
    <row r="608" ht="22.5" customHeight="1">
      <c r="A608" s="49"/>
      <c r="C608" s="400">
        <v>46013.0</v>
      </c>
      <c r="D608" s="69">
        <v>8236.0</v>
      </c>
      <c r="E608" s="69" t="s">
        <v>267</v>
      </c>
      <c r="F608" s="140" t="s">
        <v>403</v>
      </c>
      <c r="G608" s="524">
        <v>2.0</v>
      </c>
      <c r="H608" s="140">
        <v>2260000.0</v>
      </c>
      <c r="I608" s="140">
        <v>2360000.0</v>
      </c>
      <c r="J608" s="192">
        <v>46043.0</v>
      </c>
      <c r="K608" s="74">
        <f>if(F608="SERVICE",O608-(O608*50%),Vlookup(F608,DATABASE!C:Q,10,false)*G608)</f>
        <v>0</v>
      </c>
      <c r="L608" s="74">
        <f>VLOOKUP(F608,DATABASE!C:Q,7,FALSE)</f>
        <v>2160000</v>
      </c>
      <c r="M608" s="74">
        <v>2160000.0</v>
      </c>
      <c r="N608" s="74">
        <f t="shared" si="8"/>
        <v>2160000</v>
      </c>
      <c r="O608" s="74">
        <f t="shared" si="3"/>
        <v>4520000</v>
      </c>
      <c r="P608" s="63">
        <f t="shared" si="4"/>
        <v>4720000</v>
      </c>
      <c r="Q608" s="63">
        <f t="shared" si="5"/>
        <v>400000</v>
      </c>
      <c r="R608" s="93" t="str">
        <f>VLOOKUP(F608,DATABASE!C:Q,4,false)</f>
        <v>Advance</v>
      </c>
      <c r="S608" s="93" t="str">
        <f>VLOOKUP(F608,DATABASE!C:P,11,false)</f>
        <v>Tire</v>
      </c>
      <c r="T608" s="93" t="str">
        <f>vlookup(F608,DATABASE!C:Q,8,false)</f>
        <v>BIAN</v>
      </c>
      <c r="Z608" s="9"/>
    </row>
    <row r="609" ht="22.5" customHeight="1">
      <c r="A609" s="49"/>
      <c r="C609" s="400">
        <v>46013.0</v>
      </c>
      <c r="D609" s="69">
        <v>8299.0</v>
      </c>
      <c r="E609" s="69" t="s">
        <v>631</v>
      </c>
      <c r="F609" s="140" t="s">
        <v>268</v>
      </c>
      <c r="G609" s="524">
        <v>1.0</v>
      </c>
      <c r="H609" s="140">
        <v>710000.0</v>
      </c>
      <c r="I609" s="140">
        <v>790000.0</v>
      </c>
      <c r="J609" s="192">
        <v>46043.0</v>
      </c>
      <c r="K609" s="74">
        <f>if(F609="SERVICE",O609-(O609*50%),Vlookup(F609,DATABASE!C:Q,10,false)*G609)</f>
        <v>0</v>
      </c>
      <c r="L609" s="74">
        <f>VLOOKUP(F609,DATABASE!C:Q,7,FALSE)</f>
        <v>653000</v>
      </c>
      <c r="M609" s="74">
        <v>622000.0</v>
      </c>
      <c r="N609" s="74">
        <f t="shared" si="8"/>
        <v>625000</v>
      </c>
      <c r="O609" s="74">
        <f t="shared" si="3"/>
        <v>710000</v>
      </c>
      <c r="P609" s="63">
        <f t="shared" si="4"/>
        <v>790000</v>
      </c>
      <c r="Q609" s="63">
        <f t="shared" si="5"/>
        <v>165000</v>
      </c>
      <c r="R609" s="93" t="str">
        <f>VLOOKUP(F609,DATABASE!C:Q,4,false)</f>
        <v>Dunlop</v>
      </c>
      <c r="S609" s="93" t="str">
        <f>VLOOKUP(F609,DATABASE!C:P,11,false)</f>
        <v>Tire</v>
      </c>
      <c r="T609" s="93" t="str">
        <f>vlookup(F609,DATABASE!C:Q,8,false)</f>
        <v>IBU</v>
      </c>
      <c r="Z609" s="9"/>
    </row>
    <row r="610" ht="22.5" customHeight="1">
      <c r="A610" s="49"/>
      <c r="C610" s="400">
        <v>46013.0</v>
      </c>
      <c r="D610" s="69">
        <v>8303.0</v>
      </c>
      <c r="E610" s="69" t="s">
        <v>971</v>
      </c>
      <c r="F610" s="140" t="s">
        <v>374</v>
      </c>
      <c r="G610" s="524">
        <v>1.0</v>
      </c>
      <c r="H610" s="140">
        <v>1950000.0</v>
      </c>
      <c r="I610" s="140">
        <v>2050000.0</v>
      </c>
      <c r="J610" s="192">
        <v>46043.0</v>
      </c>
      <c r="K610" s="74">
        <f>if(F610="SERVICE",O610-(O610*50%),Vlookup(F610,DATABASE!C:Q,10,false)*G610)</f>
        <v>0</v>
      </c>
      <c r="L610" s="74">
        <f>VLOOKUP(F610,DATABASE!C:Q,7,FALSE)</f>
        <v>1980000</v>
      </c>
      <c r="M610" s="74">
        <v>1850000.0</v>
      </c>
      <c r="N610" s="74">
        <f t="shared" si="8"/>
        <v>1850000</v>
      </c>
      <c r="O610" s="74">
        <f t="shared" si="3"/>
        <v>1950000</v>
      </c>
      <c r="P610" s="63">
        <f t="shared" si="4"/>
        <v>2050000</v>
      </c>
      <c r="Q610" s="63">
        <f t="shared" si="5"/>
        <v>200000</v>
      </c>
      <c r="R610" s="93" t="str">
        <f>VLOOKUP(F610,DATABASE!C:Q,4,false)</f>
        <v>Advance</v>
      </c>
      <c r="S610" s="93" t="str">
        <f>VLOOKUP(F610,DATABASE!C:P,11,false)</f>
        <v>Tire</v>
      </c>
      <c r="T610" s="93" t="str">
        <f>vlookup(F610,DATABASE!C:Q,8,false)</f>
        <v>BIAN</v>
      </c>
      <c r="Z610" s="9"/>
    </row>
    <row r="611" ht="22.5" customHeight="1">
      <c r="A611" s="49"/>
      <c r="C611" s="400">
        <v>46014.0</v>
      </c>
      <c r="D611" s="69">
        <v>8307.0</v>
      </c>
      <c r="E611" s="69" t="s">
        <v>208</v>
      </c>
      <c r="F611" s="140" t="s">
        <v>1237</v>
      </c>
      <c r="G611" s="524">
        <v>1.0</v>
      </c>
      <c r="H611" s="140">
        <v>1235000.0</v>
      </c>
      <c r="I611" s="140">
        <v>1315000.0</v>
      </c>
      <c r="J611" s="192">
        <v>46044.0</v>
      </c>
      <c r="K611" s="74">
        <f>if(F611="SERVICE",O611-(O611*50%),Vlookup(F611,DATABASE!C:Q,10,false)*G611)</f>
        <v>0</v>
      </c>
      <c r="L611" s="74">
        <f>VLOOKUP(F611,DATABASE!C:Q,7,FALSE)</f>
        <v>1170353.16</v>
      </c>
      <c r="M611" s="74">
        <v>1113907.2</v>
      </c>
      <c r="N611" s="74">
        <f t="shared" si="8"/>
        <v>1115000</v>
      </c>
      <c r="O611" s="74">
        <f t="shared" si="3"/>
        <v>1235000</v>
      </c>
      <c r="P611" s="63">
        <f t="shared" si="4"/>
        <v>1315000</v>
      </c>
      <c r="Q611" s="63">
        <f t="shared" si="5"/>
        <v>200000</v>
      </c>
      <c r="R611" s="93" t="str">
        <f>VLOOKUP(F611,DATABASE!C:Q,4,false)</f>
        <v>Bridgestone</v>
      </c>
      <c r="S611" s="93" t="str">
        <f>VLOOKUP(F611,DATABASE!C:P,11,false)</f>
        <v>Tire</v>
      </c>
      <c r="T611" s="93" t="str">
        <f>vlookup(F611,DATABASE!C:Q,8,false)</f>
        <v>IBU</v>
      </c>
      <c r="Z611" s="9"/>
    </row>
    <row r="612" ht="22.5" customHeight="1">
      <c r="A612" s="49"/>
      <c r="C612" s="400">
        <v>46015.0</v>
      </c>
      <c r="D612" s="69">
        <v>8333.0</v>
      </c>
      <c r="E612" s="69" t="s">
        <v>1100</v>
      </c>
      <c r="F612" s="140" t="s">
        <v>1871</v>
      </c>
      <c r="G612" s="524">
        <v>2.0</v>
      </c>
      <c r="H612" s="140">
        <v>3300000.0</v>
      </c>
      <c r="I612" s="140">
        <v>3350000.0</v>
      </c>
      <c r="J612" s="192">
        <v>46045.0</v>
      </c>
      <c r="K612" s="74">
        <f>if(F612="SERVICE",O612-(O612*50%),Vlookup(F612,DATABASE!C:Q,10,false)*G612)</f>
        <v>0</v>
      </c>
      <c r="L612" s="74">
        <f>VLOOKUP(F612,DATABASE!C:Q,7,FALSE)</f>
        <v>3190000</v>
      </c>
      <c r="M612" s="74">
        <v>3160000.0</v>
      </c>
      <c r="N612" s="74">
        <f t="shared" si="8"/>
        <v>3160000</v>
      </c>
      <c r="O612" s="74">
        <f t="shared" si="3"/>
        <v>6600000</v>
      </c>
      <c r="P612" s="63">
        <f t="shared" si="4"/>
        <v>6700000</v>
      </c>
      <c r="Q612" s="63">
        <f t="shared" si="5"/>
        <v>380000</v>
      </c>
      <c r="R612" s="93" t="str">
        <f>VLOOKUP(F612,DATABASE!C:Q,4,false)</f>
        <v>GT</v>
      </c>
      <c r="S612" s="93" t="str">
        <f>VLOOKUP(F612,DATABASE!C:P,11,false)</f>
        <v>Tire</v>
      </c>
      <c r="T612" s="93" t="str">
        <f>vlookup(F612,DATABASE!C:Q,8,false)</f>
        <v>BIAN</v>
      </c>
      <c r="Z612" s="9"/>
    </row>
    <row r="613" ht="22.5" customHeight="1">
      <c r="A613" s="49"/>
      <c r="C613" s="400">
        <v>46016.0</v>
      </c>
      <c r="D613" s="69">
        <v>8339.0</v>
      </c>
      <c r="E613" s="69" t="s">
        <v>927</v>
      </c>
      <c r="F613" s="140" t="s">
        <v>374</v>
      </c>
      <c r="G613" s="524">
        <v>2.0</v>
      </c>
      <c r="H613" s="140">
        <v>1950000.0</v>
      </c>
      <c r="I613" s="140">
        <v>2050000.0</v>
      </c>
      <c r="J613" s="192">
        <v>46046.0</v>
      </c>
      <c r="K613" s="74">
        <f>if(F613="SERVICE",O613-(O613*50%),Vlookup(F613,DATABASE!C:Q,10,false)*G613)</f>
        <v>0</v>
      </c>
      <c r="L613" s="74">
        <f>VLOOKUP(F613,DATABASE!C:Q,7,FALSE)</f>
        <v>1980000</v>
      </c>
      <c r="M613" s="74">
        <v>1850000.0</v>
      </c>
      <c r="N613" s="74">
        <f t="shared" si="8"/>
        <v>1850000</v>
      </c>
      <c r="O613" s="74">
        <f t="shared" si="3"/>
        <v>3900000</v>
      </c>
      <c r="P613" s="63">
        <f t="shared" si="4"/>
        <v>4100000</v>
      </c>
      <c r="Q613" s="63">
        <f t="shared" si="5"/>
        <v>400000</v>
      </c>
      <c r="R613" s="93" t="str">
        <f>VLOOKUP(F613,DATABASE!C:Q,4,false)</f>
        <v>Advance</v>
      </c>
      <c r="S613" s="93" t="str">
        <f>VLOOKUP(F613,DATABASE!C:P,11,false)</f>
        <v>Tire</v>
      </c>
      <c r="T613" s="93" t="str">
        <f>vlookup(F613,DATABASE!C:Q,8,false)</f>
        <v>BIAN</v>
      </c>
      <c r="Z613" s="9"/>
    </row>
    <row r="614" ht="22.5" customHeight="1">
      <c r="A614" s="49"/>
      <c r="C614" s="400">
        <v>46017.0</v>
      </c>
      <c r="D614" s="69">
        <v>8357.0</v>
      </c>
      <c r="E614" s="69" t="s">
        <v>843</v>
      </c>
      <c r="F614" s="140" t="s">
        <v>1862</v>
      </c>
      <c r="G614" s="524">
        <v>2.0</v>
      </c>
      <c r="H614" s="140">
        <v>2150000.0</v>
      </c>
      <c r="I614" s="140">
        <v>2250000.0</v>
      </c>
      <c r="J614" s="192">
        <v>46047.0</v>
      </c>
      <c r="K614" s="74">
        <f>if(F614="SERVICE",O614-(O614*50%),Vlookup(F614,DATABASE!C:Q,10,false)*G614)</f>
        <v>0</v>
      </c>
      <c r="L614" s="74">
        <f>VLOOKUP(F614,DATABASE!C:Q,7,FALSE)</f>
        <v>2080000</v>
      </c>
      <c r="M614" s="74">
        <v>2050000.0</v>
      </c>
      <c r="N614" s="74">
        <f t="shared" si="8"/>
        <v>2050000</v>
      </c>
      <c r="O614" s="74">
        <f t="shared" si="3"/>
        <v>4300000</v>
      </c>
      <c r="P614" s="63">
        <f t="shared" si="4"/>
        <v>4500000</v>
      </c>
      <c r="Q614" s="63">
        <f t="shared" si="5"/>
        <v>400000</v>
      </c>
      <c r="R614" s="93" t="str">
        <f>VLOOKUP(F614,DATABASE!C:Q,4,false)</f>
        <v>GiTi</v>
      </c>
      <c r="S614" s="93" t="str">
        <f>VLOOKUP(F614,DATABASE!C:P,11,false)</f>
        <v>Tire</v>
      </c>
      <c r="T614" s="93" t="str">
        <f>vlookup(F614,DATABASE!C:Q,8,false)</f>
        <v>BIAN</v>
      </c>
      <c r="Z614" s="9"/>
    </row>
    <row r="615" ht="22.5" customHeight="1">
      <c r="A615" s="49"/>
      <c r="C615" s="400">
        <v>46018.0</v>
      </c>
      <c r="D615" s="69">
        <v>8362.0</v>
      </c>
      <c r="E615" s="69" t="s">
        <v>668</v>
      </c>
      <c r="F615" s="140" t="s">
        <v>282</v>
      </c>
      <c r="G615" s="524">
        <v>1.0</v>
      </c>
      <c r="H615" s="140">
        <v>870000.0</v>
      </c>
      <c r="I615" s="140">
        <v>950000.0</v>
      </c>
      <c r="J615" s="192">
        <v>46048.0</v>
      </c>
      <c r="K615" s="74">
        <f>if(F615="SERVICE",O615-(O615*50%),Vlookup(F615,DATABASE!C:Q,10,false)*G615)</f>
        <v>0</v>
      </c>
      <c r="L615" s="74">
        <f>VLOOKUP(F615,DATABASE!C:Q,7,FALSE)</f>
        <v>779500</v>
      </c>
      <c r="M615" s="74">
        <v>771000.0</v>
      </c>
      <c r="N615" s="74">
        <f t="shared" si="8"/>
        <v>775000</v>
      </c>
      <c r="O615" s="74">
        <f t="shared" si="3"/>
        <v>870000</v>
      </c>
      <c r="P615" s="63">
        <f t="shared" si="4"/>
        <v>950000</v>
      </c>
      <c r="Q615" s="63">
        <f t="shared" si="5"/>
        <v>175000</v>
      </c>
      <c r="R615" s="93" t="str">
        <f>VLOOKUP(F615,DATABASE!C:Q,4,false)</f>
        <v>Dunlop</v>
      </c>
      <c r="S615" s="93" t="str">
        <f>VLOOKUP(F615,DATABASE!C:P,11,false)</f>
        <v>Tire</v>
      </c>
      <c r="T615" s="93" t="str">
        <f>vlookup(F615,DATABASE!C:Q,8,false)</f>
        <v>IBU</v>
      </c>
      <c r="Z615" s="9"/>
    </row>
    <row r="616" ht="22.5" customHeight="1">
      <c r="A616" s="49"/>
      <c r="C616" s="400">
        <v>46018.0</v>
      </c>
      <c r="D616" s="69">
        <v>8365.0</v>
      </c>
      <c r="E616" s="69" t="s">
        <v>132</v>
      </c>
      <c r="F616" s="140" t="s">
        <v>1862</v>
      </c>
      <c r="G616" s="524">
        <v>2.0</v>
      </c>
      <c r="H616" s="140">
        <v>2150000.0</v>
      </c>
      <c r="I616" s="140">
        <v>2250000.0</v>
      </c>
      <c r="J616" s="192">
        <v>46048.0</v>
      </c>
      <c r="K616" s="74">
        <f>if(F616="SERVICE",O616-(O616*50%),Vlookup(F616,DATABASE!C:Q,10,false)*G616)</f>
        <v>0</v>
      </c>
      <c r="L616" s="74">
        <f>VLOOKUP(F616,DATABASE!C:Q,7,FALSE)</f>
        <v>2080000</v>
      </c>
      <c r="M616" s="74">
        <v>2050000.0</v>
      </c>
      <c r="N616" s="74">
        <f t="shared" si="8"/>
        <v>2050000</v>
      </c>
      <c r="O616" s="74">
        <f t="shared" si="3"/>
        <v>4300000</v>
      </c>
      <c r="P616" s="63">
        <f t="shared" si="4"/>
        <v>4500000</v>
      </c>
      <c r="Q616" s="63">
        <f t="shared" si="5"/>
        <v>400000</v>
      </c>
      <c r="R616" s="93" t="str">
        <f>VLOOKUP(F616,DATABASE!C:Q,4,false)</f>
        <v>GiTi</v>
      </c>
      <c r="S616" s="93" t="str">
        <f>VLOOKUP(F616,DATABASE!C:P,11,false)</f>
        <v>Tire</v>
      </c>
      <c r="T616" s="93" t="str">
        <f>vlookup(F616,DATABASE!C:Q,8,false)</f>
        <v>BIAN</v>
      </c>
      <c r="Z616" s="9"/>
    </row>
    <row r="617" ht="22.5" customHeight="1">
      <c r="A617" s="49"/>
      <c r="C617" s="400">
        <v>46018.0</v>
      </c>
      <c r="D617" s="69">
        <v>8365.0</v>
      </c>
      <c r="E617" s="69" t="s">
        <v>132</v>
      </c>
      <c r="F617" s="140" t="s">
        <v>821</v>
      </c>
      <c r="G617" s="524">
        <v>2.0</v>
      </c>
      <c r="H617" s="140">
        <v>90000.0</v>
      </c>
      <c r="I617" s="140">
        <v>100000.0</v>
      </c>
      <c r="J617" s="192">
        <v>46048.0</v>
      </c>
      <c r="K617" s="74">
        <f>if(F617="SERVICE",O617-(O617*50%),Vlookup(F617,DATABASE!C:Q,10,false)*G617)</f>
        <v>0</v>
      </c>
      <c r="L617" s="74">
        <f>VLOOKUP(F617,DATABASE!C:Q,7,FALSE)</f>
        <v>43500</v>
      </c>
      <c r="M617" s="74">
        <v>43520.0</v>
      </c>
      <c r="N617" s="74">
        <f t="shared" si="8"/>
        <v>45000</v>
      </c>
      <c r="O617" s="74">
        <f t="shared" si="3"/>
        <v>180000</v>
      </c>
      <c r="P617" s="63">
        <f t="shared" si="4"/>
        <v>200000</v>
      </c>
      <c r="Q617" s="63">
        <f t="shared" si="5"/>
        <v>110000</v>
      </c>
      <c r="R617" s="93" t="str">
        <f>VLOOKUP(F617,DATABASE!C:Q,4,false)</f>
        <v>Flap</v>
      </c>
      <c r="S617" s="93" t="str">
        <f>VLOOKUP(F617,DATABASE!C:P,11,false)</f>
        <v>Tire</v>
      </c>
      <c r="T617" s="93" t="str">
        <f>vlookup(F617,DATABASE!C:Q,8,false)</f>
        <v>BIAN</v>
      </c>
      <c r="Z617" s="9"/>
    </row>
    <row r="618" ht="22.5" customHeight="1">
      <c r="A618" s="49"/>
      <c r="C618" s="400">
        <v>46018.0</v>
      </c>
      <c r="D618" s="69">
        <v>8372.0</v>
      </c>
      <c r="E618" s="69" t="s">
        <v>264</v>
      </c>
      <c r="F618" s="140" t="s">
        <v>403</v>
      </c>
      <c r="G618" s="524">
        <v>2.0</v>
      </c>
      <c r="H618" s="140">
        <v>2260000.0</v>
      </c>
      <c r="I618" s="140">
        <v>2360000.0</v>
      </c>
      <c r="J618" s="192">
        <v>46048.0</v>
      </c>
      <c r="K618" s="74">
        <f>if(F618="SERVICE",O618-(O618*50%),Vlookup(F618,DATABASE!C:Q,10,false)*G618)</f>
        <v>0</v>
      </c>
      <c r="L618" s="74">
        <f>VLOOKUP(F618,DATABASE!C:Q,7,FALSE)</f>
        <v>2160000</v>
      </c>
      <c r="M618" s="74">
        <v>2160000.0</v>
      </c>
      <c r="N618" s="74">
        <f t="shared" si="8"/>
        <v>2160000</v>
      </c>
      <c r="O618" s="74">
        <f t="shared" si="3"/>
        <v>4520000</v>
      </c>
      <c r="P618" s="63">
        <f t="shared" si="4"/>
        <v>4720000</v>
      </c>
      <c r="Q618" s="63">
        <f t="shared" si="5"/>
        <v>400000</v>
      </c>
      <c r="R618" s="93" t="str">
        <f>VLOOKUP(F618,DATABASE!C:Q,4,false)</f>
        <v>Advance</v>
      </c>
      <c r="S618" s="93" t="str">
        <f>VLOOKUP(F618,DATABASE!C:P,11,false)</f>
        <v>Tire</v>
      </c>
      <c r="T618" s="93" t="str">
        <f>vlookup(F618,DATABASE!C:Q,8,false)</f>
        <v>BIAN</v>
      </c>
      <c r="Z618" s="9"/>
    </row>
    <row r="619" ht="22.5" customHeight="1">
      <c r="A619" s="49"/>
      <c r="C619" s="400">
        <v>46020.0</v>
      </c>
      <c r="D619" s="69">
        <v>8387.0</v>
      </c>
      <c r="E619" s="69" t="s">
        <v>193</v>
      </c>
      <c r="F619" s="140" t="s">
        <v>897</v>
      </c>
      <c r="G619" s="524">
        <v>4.0</v>
      </c>
      <c r="H619" s="140">
        <v>1600000.0</v>
      </c>
      <c r="I619" s="140">
        <v>1700000.0</v>
      </c>
      <c r="J619" s="192">
        <v>46050.0</v>
      </c>
      <c r="K619" s="74">
        <f>if(F619="SERVICE",O619-(O619*50%),Vlookup(F619,DATABASE!C:Q,10,false)*G619)</f>
        <v>0</v>
      </c>
      <c r="L619" s="74">
        <f>VLOOKUP(F619,DATABASE!C:Q,7,FALSE)</f>
        <v>1560000</v>
      </c>
      <c r="M619" s="74">
        <v>1500000.0</v>
      </c>
      <c r="N619" s="74">
        <f t="shared" si="8"/>
        <v>1500000</v>
      </c>
      <c r="O619" s="74">
        <f t="shared" si="3"/>
        <v>6400000</v>
      </c>
      <c r="P619" s="63">
        <f t="shared" si="4"/>
        <v>6800000</v>
      </c>
      <c r="Q619" s="63">
        <f t="shared" si="5"/>
        <v>800000</v>
      </c>
      <c r="R619" s="93" t="str">
        <f>VLOOKUP(F619,DATABASE!C:Q,4,false)</f>
        <v>GT</v>
      </c>
      <c r="S619" s="93" t="str">
        <f>VLOOKUP(F619,DATABASE!C:P,11,false)</f>
        <v>Tire</v>
      </c>
      <c r="T619" s="93" t="str">
        <f>vlookup(F619,DATABASE!C:Q,8,false)</f>
        <v>BIAN</v>
      </c>
      <c r="Z619" s="9"/>
    </row>
    <row r="620" ht="22.5" customHeight="1">
      <c r="A620" s="49"/>
      <c r="C620" s="400">
        <v>46020.0</v>
      </c>
      <c r="D620" s="69">
        <v>8387.0</v>
      </c>
      <c r="E620" s="69" t="s">
        <v>193</v>
      </c>
      <c r="F620" s="140" t="s">
        <v>744</v>
      </c>
      <c r="G620" s="69">
        <v>1.0</v>
      </c>
      <c r="H620" s="140">
        <v>230000.0</v>
      </c>
      <c r="I620" s="140">
        <v>250000.0</v>
      </c>
      <c r="J620" s="192">
        <v>46050.0</v>
      </c>
      <c r="K620" s="74">
        <f>if(F620="SERVICE",O620-(O620*50%),Vlookup(F620,DATABASE!C:Q,10,false)*G620)</f>
        <v>0</v>
      </c>
      <c r="L620" s="74">
        <f>VLOOKUP(F620,DATABASE!C:Q,7,FALSE)</f>
        <v>182200</v>
      </c>
      <c r="M620" s="74">
        <v>199920.0</v>
      </c>
      <c r="N620" s="74">
        <f t="shared" si="8"/>
        <v>200000</v>
      </c>
      <c r="O620" s="74">
        <f t="shared" si="3"/>
        <v>230000</v>
      </c>
      <c r="P620" s="63">
        <f t="shared" si="4"/>
        <v>250000</v>
      </c>
      <c r="Q620" s="63">
        <f t="shared" si="5"/>
        <v>50000</v>
      </c>
      <c r="R620" s="93" t="str">
        <f>VLOOKUP(F620,DATABASE!C:Q,4,false)</f>
        <v>BD</v>
      </c>
      <c r="S620" s="93" t="str">
        <f>VLOOKUP(F620,DATABASE!C:P,11,false)</f>
        <v>Tire</v>
      </c>
      <c r="T620" s="93" t="str">
        <f>vlookup(F620,DATABASE!C:Q,8,false)</f>
        <v>BIAN</v>
      </c>
      <c r="Z620" s="9"/>
    </row>
    <row r="621" ht="22.5" customHeight="1">
      <c r="A621" s="49"/>
      <c r="C621" s="400">
        <v>46020.0</v>
      </c>
      <c r="D621" s="69">
        <v>8387.0</v>
      </c>
      <c r="E621" s="69" t="s">
        <v>193</v>
      </c>
      <c r="F621" s="140" t="s">
        <v>821</v>
      </c>
      <c r="G621" s="524">
        <v>3.0</v>
      </c>
      <c r="H621" s="140">
        <v>90000.0</v>
      </c>
      <c r="I621" s="140">
        <v>100000.0</v>
      </c>
      <c r="J621" s="192">
        <v>46050.0</v>
      </c>
      <c r="K621" s="74">
        <f>if(F621="SERVICE",O621-(O621*50%),Vlookup(F621,DATABASE!C:Q,10,false)*G621)</f>
        <v>0</v>
      </c>
      <c r="L621" s="74">
        <f>VLOOKUP(F621,DATABASE!C:Q,7,FALSE)</f>
        <v>43500</v>
      </c>
      <c r="M621" s="74">
        <v>43520.0</v>
      </c>
      <c r="N621" s="74">
        <f t="shared" si="8"/>
        <v>45000</v>
      </c>
      <c r="O621" s="74">
        <f t="shared" si="3"/>
        <v>270000</v>
      </c>
      <c r="P621" s="63">
        <f t="shared" si="4"/>
        <v>300000</v>
      </c>
      <c r="Q621" s="63">
        <f t="shared" si="5"/>
        <v>165000</v>
      </c>
      <c r="R621" s="93" t="str">
        <f>VLOOKUP(F621,DATABASE!C:Q,4,false)</f>
        <v>Flap</v>
      </c>
      <c r="S621" s="93" t="str">
        <f>VLOOKUP(F621,DATABASE!C:P,11,false)</f>
        <v>Tire</v>
      </c>
      <c r="T621" s="93" t="str">
        <f>vlookup(F621,DATABASE!C:Q,8,false)</f>
        <v>BIAN</v>
      </c>
      <c r="Z621" s="9"/>
    </row>
    <row r="622" ht="22.5" customHeight="1">
      <c r="A622" s="49"/>
      <c r="C622" s="400">
        <v>46020.0</v>
      </c>
      <c r="D622" s="69">
        <v>8394.0</v>
      </c>
      <c r="E622" s="69" t="s">
        <v>810</v>
      </c>
      <c r="F622" s="140" t="s">
        <v>391</v>
      </c>
      <c r="G622" s="524">
        <v>1.0</v>
      </c>
      <c r="H622" s="140">
        <v>1950000.0</v>
      </c>
      <c r="I622" s="140">
        <v>2050000.0</v>
      </c>
      <c r="J622" s="192">
        <v>46050.0</v>
      </c>
      <c r="K622" s="74">
        <f>if(F622="SERVICE",O622-(O622*50%),Vlookup(F622,DATABASE!C:Q,10,false)*G622)</f>
        <v>0</v>
      </c>
      <c r="L622" s="74">
        <f>VLOOKUP(F622,DATABASE!C:Q,7,FALSE)</f>
        <v>1885000</v>
      </c>
      <c r="M622" s="74">
        <v>1840000.0</v>
      </c>
      <c r="N622" s="74">
        <f t="shared" si="8"/>
        <v>1840000</v>
      </c>
      <c r="O622" s="74">
        <f t="shared" si="3"/>
        <v>1950000</v>
      </c>
      <c r="P622" s="63">
        <f t="shared" si="4"/>
        <v>2050000</v>
      </c>
      <c r="Q622" s="63">
        <f t="shared" si="5"/>
        <v>210000</v>
      </c>
      <c r="R622" s="93" t="str">
        <f>VLOOKUP(F622,DATABASE!C:Q,4,false)</f>
        <v>Advance</v>
      </c>
      <c r="S622" s="93" t="str">
        <f>VLOOKUP(F622,DATABASE!C:P,11,false)</f>
        <v>Tire</v>
      </c>
      <c r="T622" s="93" t="str">
        <f>vlookup(F622,DATABASE!C:Q,8,false)</f>
        <v>BIAN</v>
      </c>
      <c r="Z622" s="9"/>
    </row>
    <row r="623" ht="22.5" customHeight="1">
      <c r="A623" s="49"/>
      <c r="C623" s="400">
        <v>46020.0</v>
      </c>
      <c r="D623" s="69">
        <v>8394.0</v>
      </c>
      <c r="E623" s="69" t="s">
        <v>867</v>
      </c>
      <c r="F623" s="140" t="s">
        <v>897</v>
      </c>
      <c r="G623" s="524">
        <v>2.0</v>
      </c>
      <c r="H623" s="140">
        <v>1600000.0</v>
      </c>
      <c r="I623" s="140">
        <v>1700000.0</v>
      </c>
      <c r="J623" s="192">
        <v>46050.0</v>
      </c>
      <c r="K623" s="74">
        <f>if(F623="SERVICE",O623-(O623*50%),Vlookup(F623,DATABASE!C:Q,10,false)*G623)</f>
        <v>0</v>
      </c>
      <c r="L623" s="74">
        <f>VLOOKUP(F623,DATABASE!C:Q,7,FALSE)</f>
        <v>1560000</v>
      </c>
      <c r="M623" s="74">
        <v>1500000.0</v>
      </c>
      <c r="N623" s="74">
        <f t="shared" si="8"/>
        <v>1500000</v>
      </c>
      <c r="O623" s="74">
        <f t="shared" si="3"/>
        <v>3200000</v>
      </c>
      <c r="P623" s="63">
        <f t="shared" si="4"/>
        <v>3400000</v>
      </c>
      <c r="Q623" s="63">
        <f t="shared" si="5"/>
        <v>400000</v>
      </c>
      <c r="R623" s="93" t="str">
        <f>VLOOKUP(F623,DATABASE!C:Q,4,false)</f>
        <v>GT</v>
      </c>
      <c r="S623" s="93" t="str">
        <f>VLOOKUP(F623,DATABASE!C:P,11,false)</f>
        <v>Tire</v>
      </c>
      <c r="T623" s="93" t="str">
        <f>vlookup(F623,DATABASE!C:Q,8,false)</f>
        <v>BIAN</v>
      </c>
      <c r="Z623" s="9"/>
    </row>
    <row r="624" ht="22.5" customHeight="1">
      <c r="A624" s="49"/>
      <c r="C624" s="400">
        <v>46020.0</v>
      </c>
      <c r="D624" s="69">
        <v>8394.0</v>
      </c>
      <c r="E624" s="69" t="s">
        <v>867</v>
      </c>
      <c r="F624" s="140" t="s">
        <v>744</v>
      </c>
      <c r="G624" s="524">
        <v>2.0</v>
      </c>
      <c r="H624" s="140">
        <v>230000.0</v>
      </c>
      <c r="I624" s="140">
        <v>250000.0</v>
      </c>
      <c r="J624" s="192">
        <v>46050.0</v>
      </c>
      <c r="K624" s="74">
        <f>if(F624="SERVICE",O624-(O624*50%),Vlookup(F624,DATABASE!C:Q,10,false)*G624)</f>
        <v>0</v>
      </c>
      <c r="L624" s="74">
        <f>VLOOKUP(F624,DATABASE!C:Q,7,FALSE)</f>
        <v>182200</v>
      </c>
      <c r="M624" s="74">
        <v>199920.0</v>
      </c>
      <c r="N624" s="74">
        <f t="shared" si="8"/>
        <v>200000</v>
      </c>
      <c r="O624" s="74">
        <f t="shared" si="3"/>
        <v>460000</v>
      </c>
      <c r="P624" s="63">
        <f t="shared" si="4"/>
        <v>500000</v>
      </c>
      <c r="Q624" s="63">
        <f t="shared" si="5"/>
        <v>100000</v>
      </c>
      <c r="R624" s="93" t="str">
        <f>VLOOKUP(F624,DATABASE!C:Q,4,false)</f>
        <v>BD</v>
      </c>
      <c r="S624" s="93" t="str">
        <f>VLOOKUP(F624,DATABASE!C:P,11,false)</f>
        <v>Tire</v>
      </c>
      <c r="T624" s="93" t="str">
        <f>vlookup(F624,DATABASE!C:Q,8,false)</f>
        <v>BIAN</v>
      </c>
      <c r="Z624" s="9"/>
    </row>
    <row r="625" ht="22.5" customHeight="1">
      <c r="A625" s="49"/>
      <c r="C625" s="400">
        <v>46020.0</v>
      </c>
      <c r="D625" s="69">
        <v>8394.0</v>
      </c>
      <c r="E625" s="69" t="s">
        <v>867</v>
      </c>
      <c r="F625" s="140" t="s">
        <v>821</v>
      </c>
      <c r="G625" s="524">
        <v>1.0</v>
      </c>
      <c r="H625" s="140">
        <v>90000.0</v>
      </c>
      <c r="I625" s="140">
        <v>100000.0</v>
      </c>
      <c r="J625" s="192">
        <v>46050.0</v>
      </c>
      <c r="K625" s="74">
        <f>if(F625="SERVICE",O625-(O625*50%),Vlookup(F625,DATABASE!C:Q,10,false)*G625)</f>
        <v>0</v>
      </c>
      <c r="L625" s="74">
        <f>VLOOKUP(F625,DATABASE!C:Q,7,FALSE)</f>
        <v>43500</v>
      </c>
      <c r="M625" s="74">
        <v>43520.0</v>
      </c>
      <c r="N625" s="74">
        <f t="shared" si="8"/>
        <v>45000</v>
      </c>
      <c r="O625" s="74">
        <f t="shared" si="3"/>
        <v>90000</v>
      </c>
      <c r="P625" s="63">
        <f t="shared" si="4"/>
        <v>100000</v>
      </c>
      <c r="Q625" s="63">
        <f t="shared" si="5"/>
        <v>55000</v>
      </c>
      <c r="R625" s="93" t="str">
        <f>VLOOKUP(F625,DATABASE!C:Q,4,false)</f>
        <v>Flap</v>
      </c>
      <c r="S625" s="93" t="str">
        <f>VLOOKUP(F625,DATABASE!C:P,11,false)</f>
        <v>Tire</v>
      </c>
      <c r="T625" s="93" t="str">
        <f>vlookup(F625,DATABASE!C:Q,8,false)</f>
        <v>BIAN</v>
      </c>
      <c r="Z625" s="9"/>
    </row>
    <row r="626" ht="22.5" customHeight="1">
      <c r="A626" s="49"/>
      <c r="C626" s="400">
        <v>46021.0</v>
      </c>
      <c r="D626" s="69">
        <v>8403.0</v>
      </c>
      <c r="E626" s="69" t="s">
        <v>193</v>
      </c>
      <c r="F626" s="140" t="s">
        <v>897</v>
      </c>
      <c r="G626" s="524">
        <v>1.0</v>
      </c>
      <c r="H626" s="140">
        <v>1600000.0</v>
      </c>
      <c r="I626" s="140">
        <v>1700000.0</v>
      </c>
      <c r="J626" s="192">
        <v>46051.0</v>
      </c>
      <c r="K626" s="74">
        <f>if(F626="SERVICE",O626-(O626*50%),Vlookup(F626,DATABASE!C:Q,10,false)*G626)</f>
        <v>0</v>
      </c>
      <c r="L626" s="74">
        <f>VLOOKUP(F626,DATABASE!C:Q,7,FALSE)</f>
        <v>1560000</v>
      </c>
      <c r="M626" s="74">
        <v>1500000.0</v>
      </c>
      <c r="N626" s="74">
        <f t="shared" si="8"/>
        <v>1500000</v>
      </c>
      <c r="O626" s="74">
        <f t="shared" si="3"/>
        <v>1600000</v>
      </c>
      <c r="P626" s="63">
        <f t="shared" si="4"/>
        <v>1700000</v>
      </c>
      <c r="Q626" s="63">
        <f t="shared" si="5"/>
        <v>200000</v>
      </c>
      <c r="R626" s="93" t="str">
        <f>VLOOKUP(F626,DATABASE!C:Q,4,false)</f>
        <v>GT</v>
      </c>
      <c r="S626" s="93" t="str">
        <f>VLOOKUP(F626,DATABASE!C:P,11,false)</f>
        <v>Tire</v>
      </c>
      <c r="T626" s="93" t="str">
        <f>vlookup(F626,DATABASE!C:Q,8,false)</f>
        <v>BIAN</v>
      </c>
      <c r="Z626" s="9"/>
    </row>
    <row r="627" ht="22.5" customHeight="1">
      <c r="A627" s="49"/>
      <c r="C627" s="400">
        <v>46021.0</v>
      </c>
      <c r="D627" s="69">
        <v>8403.0</v>
      </c>
      <c r="E627" s="69" t="s">
        <v>193</v>
      </c>
      <c r="F627" s="140" t="s">
        <v>744</v>
      </c>
      <c r="G627" s="524">
        <v>1.0</v>
      </c>
      <c r="H627" s="140">
        <v>230000.0</v>
      </c>
      <c r="I627" s="140">
        <v>250000.0</v>
      </c>
      <c r="J627" s="192">
        <v>46051.0</v>
      </c>
      <c r="K627" s="74">
        <f>if(F627="SERVICE",O627-(O627*50%),Vlookup(F627,DATABASE!C:Q,10,false)*G627)</f>
        <v>0</v>
      </c>
      <c r="L627" s="74">
        <f>VLOOKUP(F627,DATABASE!C:Q,7,FALSE)</f>
        <v>182200</v>
      </c>
      <c r="M627" s="74">
        <v>199920.0</v>
      </c>
      <c r="N627" s="74">
        <f t="shared" si="8"/>
        <v>200000</v>
      </c>
      <c r="O627" s="74">
        <f t="shared" si="3"/>
        <v>230000</v>
      </c>
      <c r="P627" s="63">
        <f t="shared" si="4"/>
        <v>250000</v>
      </c>
      <c r="Q627" s="63">
        <f t="shared" si="5"/>
        <v>50000</v>
      </c>
      <c r="R627" s="93" t="str">
        <f>VLOOKUP(F627,DATABASE!C:Q,4,false)</f>
        <v>BD</v>
      </c>
      <c r="S627" s="93" t="str">
        <f>VLOOKUP(F627,DATABASE!C:P,11,false)</f>
        <v>Tire</v>
      </c>
      <c r="T627" s="93" t="str">
        <f>vlookup(F627,DATABASE!C:Q,8,false)</f>
        <v>BIAN</v>
      </c>
      <c r="Z627" s="9"/>
    </row>
    <row r="628" ht="22.5" customHeight="1">
      <c r="A628" s="49"/>
      <c r="C628" s="400">
        <v>46021.0</v>
      </c>
      <c r="D628" s="69">
        <v>8403.0</v>
      </c>
      <c r="E628" s="69" t="s">
        <v>193</v>
      </c>
      <c r="F628" s="140" t="s">
        <v>821</v>
      </c>
      <c r="G628" s="524">
        <v>1.0</v>
      </c>
      <c r="H628" s="140">
        <v>90000.0</v>
      </c>
      <c r="I628" s="140">
        <v>100000.0</v>
      </c>
      <c r="J628" s="192">
        <v>46051.0</v>
      </c>
      <c r="K628" s="74">
        <f>if(F628="SERVICE",O628-(O628*50%),Vlookup(F628,DATABASE!C:Q,10,false)*G628)</f>
        <v>0</v>
      </c>
      <c r="L628" s="74">
        <f>VLOOKUP(F628,DATABASE!C:Q,7,FALSE)</f>
        <v>43500</v>
      </c>
      <c r="M628" s="74">
        <v>43520.0</v>
      </c>
      <c r="N628" s="74">
        <f t="shared" si="8"/>
        <v>45000</v>
      </c>
      <c r="O628" s="74">
        <f t="shared" si="3"/>
        <v>90000</v>
      </c>
      <c r="P628" s="63">
        <f t="shared" si="4"/>
        <v>100000</v>
      </c>
      <c r="Q628" s="63">
        <f t="shared" si="5"/>
        <v>55000</v>
      </c>
      <c r="R628" s="93" t="str">
        <f>VLOOKUP(F628,DATABASE!C:Q,4,false)</f>
        <v>Flap</v>
      </c>
      <c r="S628" s="93" t="str">
        <f>VLOOKUP(F628,DATABASE!C:P,11,false)</f>
        <v>Tire</v>
      </c>
      <c r="T628" s="93" t="str">
        <f>vlookup(F628,DATABASE!C:Q,8,false)</f>
        <v>BIAN</v>
      </c>
      <c r="Z628" s="9"/>
    </row>
    <row r="629" ht="22.5" customHeight="1">
      <c r="A629" s="49"/>
      <c r="C629" s="400">
        <v>46029.0</v>
      </c>
      <c r="D629" s="69">
        <v>8507.0</v>
      </c>
      <c r="E629" s="69" t="s">
        <v>267</v>
      </c>
      <c r="F629" s="140" t="s">
        <v>403</v>
      </c>
      <c r="G629" s="524">
        <v>1.0</v>
      </c>
      <c r="H629" s="140">
        <v>2260000.0</v>
      </c>
      <c r="I629" s="140">
        <v>2360000.0</v>
      </c>
      <c r="J629" s="192">
        <v>46059.0</v>
      </c>
      <c r="K629" s="74">
        <f>if(F629="SERVICE",O629-(O629*50%),Vlookup(F629,DATABASE!C:Q,10,false)*G629)</f>
        <v>0</v>
      </c>
      <c r="L629" s="74">
        <f>VLOOKUP(F629,DATABASE!C:Q,7,FALSE)</f>
        <v>2160000</v>
      </c>
      <c r="M629" s="74">
        <v>2160000.0</v>
      </c>
      <c r="N629" s="74">
        <f t="shared" si="8"/>
        <v>2160000</v>
      </c>
      <c r="O629" s="74">
        <f t="shared" si="3"/>
        <v>2260000</v>
      </c>
      <c r="P629" s="63">
        <f t="shared" si="4"/>
        <v>2360000</v>
      </c>
      <c r="Q629" s="63">
        <f t="shared" si="5"/>
        <v>200000</v>
      </c>
      <c r="R629" s="93" t="str">
        <f>VLOOKUP(F629,DATABASE!C:Q,4,false)</f>
        <v>Advance</v>
      </c>
      <c r="S629" s="93" t="str">
        <f>VLOOKUP(F629,DATABASE!C:P,11,false)</f>
        <v>Tire</v>
      </c>
      <c r="T629" s="93" t="str">
        <f>vlookup(F629,DATABASE!C:Q,8,false)</f>
        <v>BIAN</v>
      </c>
      <c r="Z629" s="9"/>
    </row>
    <row r="630" ht="22.5" customHeight="1">
      <c r="A630" s="49"/>
      <c r="C630" s="400">
        <v>46029.0</v>
      </c>
      <c r="D630" s="69">
        <v>8507.0</v>
      </c>
      <c r="E630" s="69" t="s">
        <v>422</v>
      </c>
      <c r="F630" s="140" t="s">
        <v>374</v>
      </c>
      <c r="G630" s="524">
        <v>2.0</v>
      </c>
      <c r="H630" s="140">
        <v>1950000.0</v>
      </c>
      <c r="I630" s="140">
        <v>2050000.0</v>
      </c>
      <c r="J630" s="192">
        <v>46059.0</v>
      </c>
      <c r="K630" s="74">
        <f>if(F630="SERVICE",O630-(O630*50%),Vlookup(F630,DATABASE!C:Q,10,false)*G630)</f>
        <v>0</v>
      </c>
      <c r="L630" s="74">
        <f>VLOOKUP(F630,DATABASE!C:Q,7,FALSE)</f>
        <v>1980000</v>
      </c>
      <c r="M630" s="74">
        <v>1850000.0</v>
      </c>
      <c r="N630" s="74">
        <f t="shared" si="8"/>
        <v>1850000</v>
      </c>
      <c r="O630" s="74">
        <f t="shared" si="3"/>
        <v>3900000</v>
      </c>
      <c r="P630" s="63">
        <f t="shared" si="4"/>
        <v>4100000</v>
      </c>
      <c r="Q630" s="63">
        <f t="shared" si="5"/>
        <v>400000</v>
      </c>
      <c r="R630" s="93" t="str">
        <f>VLOOKUP(F630,DATABASE!C:Q,4,false)</f>
        <v>Advance</v>
      </c>
      <c r="S630" s="93" t="str">
        <f>VLOOKUP(F630,DATABASE!C:P,11,false)</f>
        <v>Tire</v>
      </c>
      <c r="T630" s="93" t="str">
        <f>vlookup(F630,DATABASE!C:Q,8,false)</f>
        <v>BIAN</v>
      </c>
      <c r="Z630" s="9"/>
    </row>
    <row r="631" ht="22.5" customHeight="1">
      <c r="A631" s="49"/>
      <c r="C631" s="400">
        <v>46029.0</v>
      </c>
      <c r="D631" s="69">
        <v>8512.0</v>
      </c>
      <c r="E631" s="69" t="s">
        <v>1120</v>
      </c>
      <c r="F631" s="140" t="s">
        <v>275</v>
      </c>
      <c r="G631" s="524">
        <v>1.0</v>
      </c>
      <c r="H631" s="140">
        <v>830000.0</v>
      </c>
      <c r="I631" s="140">
        <v>910000.0</v>
      </c>
      <c r="J631" s="192">
        <v>46059.0</v>
      </c>
      <c r="K631" s="74">
        <f>if(F631="SERVICE",O631-(O631*50%),Vlookup(F631,DATABASE!C:Q,10,false)*G631)</f>
        <v>0</v>
      </c>
      <c r="L631" s="74">
        <f>VLOOKUP(F631,DATABASE!C:Q,7,FALSE)</f>
        <v>782000</v>
      </c>
      <c r="M631" s="74">
        <v>745000.0</v>
      </c>
      <c r="N631" s="74">
        <f t="shared" si="8"/>
        <v>745000</v>
      </c>
      <c r="O631" s="74">
        <f t="shared" si="3"/>
        <v>830000</v>
      </c>
      <c r="P631" s="63">
        <f t="shared" si="4"/>
        <v>910000</v>
      </c>
      <c r="Q631" s="63">
        <f t="shared" si="5"/>
        <v>165000</v>
      </c>
      <c r="R631" s="93" t="str">
        <f>VLOOKUP(F631,DATABASE!C:Q,4,false)</f>
        <v>Dunlop</v>
      </c>
      <c r="S631" s="93" t="str">
        <f>VLOOKUP(F631,DATABASE!C:P,11,false)</f>
        <v>Tire</v>
      </c>
      <c r="T631" s="93" t="str">
        <f>vlookup(F631,DATABASE!C:Q,8,false)</f>
        <v>IBU</v>
      </c>
      <c r="Z631" s="9"/>
    </row>
    <row r="632" ht="22.5" customHeight="1">
      <c r="A632" s="49"/>
      <c r="C632" s="400">
        <v>46030.0</v>
      </c>
      <c r="D632" s="69">
        <v>8512.0</v>
      </c>
      <c r="E632" s="69" t="s">
        <v>1130</v>
      </c>
      <c r="F632" s="140" t="s">
        <v>251</v>
      </c>
      <c r="G632" s="524">
        <v>1.0</v>
      </c>
      <c r="H632" s="140">
        <v>150000.0</v>
      </c>
      <c r="I632" s="140">
        <v>150000.0</v>
      </c>
      <c r="J632" s="192">
        <v>46060.0</v>
      </c>
      <c r="K632" s="74">
        <f>if(F632="SERVICE",O632-(O632*50%),Vlookup(F632,DATABASE!C:Q,10,false)*G632)</f>
        <v>75000</v>
      </c>
      <c r="L632" s="74">
        <f>VLOOKUP(F632,DATABASE!C:Q,7,FALSE)</f>
        <v>0</v>
      </c>
      <c r="M632" s="74">
        <v>0.0</v>
      </c>
      <c r="N632" s="74">
        <f t="shared" si="8"/>
        <v>0</v>
      </c>
      <c r="O632" s="74">
        <f t="shared" si="3"/>
        <v>150000</v>
      </c>
      <c r="P632" s="63">
        <f t="shared" si="4"/>
        <v>150000</v>
      </c>
      <c r="Q632" s="63">
        <f t="shared" si="5"/>
        <v>75000</v>
      </c>
      <c r="R632" s="93" t="str">
        <f>VLOOKUP(F632,DATABASE!C:Q,4,false)</f>
        <v>SERVICE</v>
      </c>
      <c r="S632" s="93" t="str">
        <f>VLOOKUP(F632,DATABASE!C:P,11,false)</f>
        <v>SERVICE</v>
      </c>
      <c r="T632" s="93" t="str">
        <f>vlookup(F632,DATABASE!C:Q,8,false)</f>
        <v>IBU</v>
      </c>
      <c r="Z632" s="9"/>
    </row>
    <row r="633" ht="22.5" customHeight="1">
      <c r="A633" s="49"/>
      <c r="C633" s="400">
        <v>46030.0</v>
      </c>
      <c r="D633" s="69">
        <v>8552.0</v>
      </c>
      <c r="E633" s="69" t="s">
        <v>74</v>
      </c>
      <c r="F633" s="140" t="s">
        <v>256</v>
      </c>
      <c r="G633" s="524">
        <v>1.0</v>
      </c>
      <c r="H633" s="140">
        <v>130000.0</v>
      </c>
      <c r="I633" s="140">
        <v>130000.0</v>
      </c>
      <c r="J633" s="192">
        <v>46060.0</v>
      </c>
      <c r="K633" s="74">
        <f>if(F633="SERVICE",O633-(O633*50%),Vlookup(F633,DATABASE!C:Q,10,false)*G633)</f>
        <v>10000</v>
      </c>
      <c r="L633" s="74">
        <f>VLOOKUP(F633,DATABASE!C:Q,7,FALSE)</f>
        <v>0</v>
      </c>
      <c r="M633" s="74">
        <v>0.0</v>
      </c>
      <c r="N633" s="74">
        <f t="shared" si="8"/>
        <v>0</v>
      </c>
      <c r="O633" s="74">
        <f t="shared" si="3"/>
        <v>130000</v>
      </c>
      <c r="P633" s="63">
        <f t="shared" si="4"/>
        <v>130000</v>
      </c>
      <c r="Q633" s="63">
        <f t="shared" si="5"/>
        <v>120000</v>
      </c>
      <c r="R633" s="93" t="str">
        <f>VLOOKUP(F633,DATABASE!C:Q,4,false)</f>
        <v>SPOORING</v>
      </c>
      <c r="S633" s="93" t="str">
        <f>VLOOKUP(F633,DATABASE!C:P,11,false)</f>
        <v>SERVICE</v>
      </c>
      <c r="T633" s="93" t="str">
        <f>vlookup(F633,DATABASE!C:Q,8,false)</f>
        <v>IBU</v>
      </c>
      <c r="Z633" s="9"/>
    </row>
    <row r="634" ht="22.5" customHeight="1">
      <c r="A634" s="49"/>
      <c r="C634" s="400">
        <v>46030.0</v>
      </c>
      <c r="D634" s="69">
        <v>8552.0</v>
      </c>
      <c r="E634" s="69" t="s">
        <v>74</v>
      </c>
      <c r="F634" s="140" t="s">
        <v>251</v>
      </c>
      <c r="G634" s="524">
        <v>1.0</v>
      </c>
      <c r="H634" s="140">
        <v>150000.0</v>
      </c>
      <c r="I634" s="140">
        <v>150000.0</v>
      </c>
      <c r="J634" s="192">
        <v>46060.0</v>
      </c>
      <c r="K634" s="74">
        <f>if(F634="SERVICE",O634-(O634*50%),Vlookup(F634,DATABASE!C:Q,10,false)*G634)</f>
        <v>75000</v>
      </c>
      <c r="L634" s="74">
        <f>VLOOKUP(F634,DATABASE!C:Q,7,FALSE)</f>
        <v>0</v>
      </c>
      <c r="M634" s="74">
        <v>0.0</v>
      </c>
      <c r="N634" s="74">
        <f t="shared" si="8"/>
        <v>0</v>
      </c>
      <c r="O634" s="74">
        <f t="shared" si="3"/>
        <v>150000</v>
      </c>
      <c r="P634" s="63">
        <f t="shared" si="4"/>
        <v>150000</v>
      </c>
      <c r="Q634" s="63">
        <f t="shared" si="5"/>
        <v>75000</v>
      </c>
      <c r="R634" s="93" t="str">
        <f>VLOOKUP(F634,DATABASE!C:Q,4,false)</f>
        <v>SERVICE</v>
      </c>
      <c r="S634" s="93" t="str">
        <f>VLOOKUP(F634,DATABASE!C:P,11,false)</f>
        <v>SERVICE</v>
      </c>
      <c r="T634" s="93" t="str">
        <f>vlookup(F634,DATABASE!C:Q,8,false)</f>
        <v>IBU</v>
      </c>
      <c r="Z634" s="9"/>
    </row>
    <row r="635" ht="22.5" customHeight="1">
      <c r="A635" s="49"/>
      <c r="C635" s="400">
        <v>46031.0</v>
      </c>
      <c r="D635" s="69">
        <v>8531.0</v>
      </c>
      <c r="E635" s="69" t="s">
        <v>422</v>
      </c>
      <c r="F635" s="140" t="s">
        <v>566</v>
      </c>
      <c r="G635" s="524">
        <v>1.0</v>
      </c>
      <c r="H635" s="140">
        <v>1650000.0</v>
      </c>
      <c r="I635" s="140">
        <v>1750000.0</v>
      </c>
      <c r="J635" s="192">
        <v>46061.0</v>
      </c>
      <c r="K635" s="74">
        <f>if(F635="SERVICE",O635-(O635*50%),Vlookup(F635,DATABASE!C:Q,10,false)*G635)</f>
        <v>0</v>
      </c>
      <c r="L635" s="74">
        <f>VLOOKUP(F635,DATABASE!C:Q,7,FALSE)</f>
        <v>1565000</v>
      </c>
      <c r="M635" s="74">
        <v>1545000.0</v>
      </c>
      <c r="N635" s="74">
        <f t="shared" si="8"/>
        <v>1545000</v>
      </c>
      <c r="O635" s="74">
        <f t="shared" si="3"/>
        <v>1650000</v>
      </c>
      <c r="P635" s="63">
        <f t="shared" si="4"/>
        <v>1750000</v>
      </c>
      <c r="Q635" s="63">
        <f t="shared" si="5"/>
        <v>205000</v>
      </c>
      <c r="R635" s="93" t="str">
        <f>VLOOKUP(F635,DATABASE!C:Q,4,false)</f>
        <v>Bridgestone</v>
      </c>
      <c r="S635" s="93" t="str">
        <f>VLOOKUP(F635,DATABASE!C:P,11,false)</f>
        <v>Tire</v>
      </c>
      <c r="T635" s="93" t="str">
        <f>vlookup(F635,DATABASE!C:Q,8,false)</f>
        <v>IBU</v>
      </c>
      <c r="Z635" s="9"/>
    </row>
    <row r="636" ht="22.5" customHeight="1">
      <c r="A636" s="49"/>
      <c r="C636" s="400">
        <v>46032.0</v>
      </c>
      <c r="D636" s="69">
        <v>8535.0</v>
      </c>
      <c r="E636" s="69" t="s">
        <v>422</v>
      </c>
      <c r="F636" s="140" t="s">
        <v>2249</v>
      </c>
      <c r="G636" s="524">
        <v>4.0</v>
      </c>
      <c r="H636" s="140">
        <v>1850000.0</v>
      </c>
      <c r="I636" s="140">
        <v>1950000.0</v>
      </c>
      <c r="J636" s="192">
        <v>46062.0</v>
      </c>
      <c r="K636" s="74">
        <f>if(F636="SERVICE",O636-(O636*50%),Vlookup(F636,DATABASE!C:Q,10,false)*G636)</f>
        <v>0</v>
      </c>
      <c r="L636" s="74">
        <f>VLOOKUP(F636,DATABASE!C:Q,7,FALSE)</f>
        <v>1800000</v>
      </c>
      <c r="M636" s="74">
        <v>1750000.0</v>
      </c>
      <c r="N636" s="74">
        <f t="shared" si="8"/>
        <v>1750000</v>
      </c>
      <c r="O636" s="74">
        <f t="shared" si="3"/>
        <v>7400000</v>
      </c>
      <c r="P636" s="63">
        <f t="shared" si="4"/>
        <v>7800000</v>
      </c>
      <c r="Q636" s="63">
        <f t="shared" si="5"/>
        <v>800000</v>
      </c>
      <c r="R636" s="93" t="str">
        <f>VLOOKUP(F636,DATABASE!C:Q,4,false)</f>
        <v>WESTLAKE</v>
      </c>
      <c r="S636" s="93" t="str">
        <f>VLOOKUP(F636,DATABASE!C:P,11,false)</f>
        <v>Tire</v>
      </c>
      <c r="T636" s="93" t="str">
        <f>vlookup(F636,DATABASE!C:Q,8,false)</f>
        <v>BIAN</v>
      </c>
      <c r="Z636" s="9"/>
    </row>
    <row r="637" ht="22.5" customHeight="1">
      <c r="A637" s="49"/>
      <c r="C637" s="400">
        <v>46032.0</v>
      </c>
      <c r="D637" s="69">
        <v>8540.0</v>
      </c>
      <c r="E637" s="69" t="s">
        <v>267</v>
      </c>
      <c r="F637" s="140" t="s">
        <v>1862</v>
      </c>
      <c r="G637" s="524">
        <v>1.0</v>
      </c>
      <c r="H637" s="140">
        <v>2150000.0</v>
      </c>
      <c r="I637" s="140">
        <v>2250000.0</v>
      </c>
      <c r="J637" s="192">
        <v>46062.0</v>
      </c>
      <c r="K637" s="74">
        <f>if(F637="SERVICE",O637-(O637*50%),Vlookup(F637,DATABASE!C:Q,10,false)*G637)</f>
        <v>0</v>
      </c>
      <c r="L637" s="74">
        <f>VLOOKUP(F637,DATABASE!C:Q,7,FALSE)</f>
        <v>2080000</v>
      </c>
      <c r="M637" s="74">
        <v>2050000.0</v>
      </c>
      <c r="N637" s="74">
        <f t="shared" si="8"/>
        <v>2050000</v>
      </c>
      <c r="O637" s="74">
        <f t="shared" si="3"/>
        <v>2150000</v>
      </c>
      <c r="P637" s="63">
        <f t="shared" si="4"/>
        <v>2250000</v>
      </c>
      <c r="Q637" s="63">
        <f t="shared" si="5"/>
        <v>200000</v>
      </c>
      <c r="R637" s="93" t="str">
        <f>VLOOKUP(F637,DATABASE!C:Q,4,false)</f>
        <v>GiTi</v>
      </c>
      <c r="S637" s="93" t="str">
        <f>VLOOKUP(F637,DATABASE!C:P,11,false)</f>
        <v>Tire</v>
      </c>
      <c r="T637" s="93" t="str">
        <f>vlookup(F637,DATABASE!C:Q,8,false)</f>
        <v>BIAN</v>
      </c>
      <c r="Z637" s="9"/>
    </row>
    <row r="638" ht="22.5" customHeight="1">
      <c r="A638" s="49"/>
      <c r="C638" s="400">
        <v>46033.0</v>
      </c>
      <c r="D638" s="69">
        <v>8567.0</v>
      </c>
      <c r="E638" s="69" t="s">
        <v>641</v>
      </c>
      <c r="F638" s="140" t="s">
        <v>391</v>
      </c>
      <c r="G638" s="524">
        <v>2.0</v>
      </c>
      <c r="H638" s="140">
        <v>1950000.0</v>
      </c>
      <c r="I638" s="140">
        <v>2050000.0</v>
      </c>
      <c r="J638" s="192">
        <v>46064.0</v>
      </c>
      <c r="K638" s="74">
        <f>if(F638="SERVICE",O638-(O638*50%),Vlookup(F638,DATABASE!C:Q,10,false)*G638)</f>
        <v>0</v>
      </c>
      <c r="L638" s="74">
        <f>VLOOKUP(F638,DATABASE!C:Q,7,FALSE)</f>
        <v>1885000</v>
      </c>
      <c r="M638" s="74">
        <v>1840000.0</v>
      </c>
      <c r="N638" s="74">
        <f t="shared" si="8"/>
        <v>1840000</v>
      </c>
      <c r="O638" s="74">
        <f t="shared" si="3"/>
        <v>3900000</v>
      </c>
      <c r="P638" s="63">
        <f t="shared" si="4"/>
        <v>4100000</v>
      </c>
      <c r="Q638" s="63">
        <f t="shared" si="5"/>
        <v>420000</v>
      </c>
      <c r="R638" s="93" t="str">
        <f>VLOOKUP(F638,DATABASE!C:Q,4,false)</f>
        <v>Advance</v>
      </c>
      <c r="S638" s="93" t="str">
        <f>VLOOKUP(F638,DATABASE!C:P,11,false)</f>
        <v>Tire</v>
      </c>
      <c r="T638" s="93" t="str">
        <f>vlookup(F638,DATABASE!C:Q,8,false)</f>
        <v>BIAN</v>
      </c>
      <c r="Z638" s="9"/>
    </row>
    <row r="639" ht="22.5" customHeight="1">
      <c r="A639" s="49"/>
      <c r="C639" s="400">
        <v>46033.0</v>
      </c>
      <c r="D639" s="69">
        <v>8567.0</v>
      </c>
      <c r="E639" s="69" t="s">
        <v>132</v>
      </c>
      <c r="F639" s="140" t="s">
        <v>1862</v>
      </c>
      <c r="G639" s="524">
        <v>2.0</v>
      </c>
      <c r="H639" s="140">
        <v>2150000.0</v>
      </c>
      <c r="I639" s="140">
        <v>2250000.0</v>
      </c>
      <c r="J639" s="192">
        <v>46064.0</v>
      </c>
      <c r="K639" s="74">
        <f>if(F639="SERVICE",O639-(O639*50%),Vlookup(F639,DATABASE!C:Q,10,false)*G639)</f>
        <v>0</v>
      </c>
      <c r="L639" s="74">
        <f>VLOOKUP(F639,DATABASE!C:Q,7,FALSE)</f>
        <v>2080000</v>
      </c>
      <c r="M639" s="74">
        <v>2050000.0</v>
      </c>
      <c r="N639" s="74">
        <f t="shared" si="8"/>
        <v>2050000</v>
      </c>
      <c r="O639" s="74">
        <f t="shared" si="3"/>
        <v>4300000</v>
      </c>
      <c r="P639" s="63">
        <f t="shared" si="4"/>
        <v>4500000</v>
      </c>
      <c r="Q639" s="63">
        <f t="shared" si="5"/>
        <v>400000</v>
      </c>
      <c r="R639" s="93" t="str">
        <f>VLOOKUP(F639,DATABASE!C:Q,4,false)</f>
        <v>GiTi</v>
      </c>
      <c r="S639" s="93" t="str">
        <f>VLOOKUP(F639,DATABASE!C:P,11,false)</f>
        <v>Tire</v>
      </c>
      <c r="T639" s="93" t="str">
        <f>vlookup(F639,DATABASE!C:Q,8,false)</f>
        <v>BIAN</v>
      </c>
      <c r="Z639" s="9"/>
    </row>
    <row r="640" ht="22.5" customHeight="1">
      <c r="A640" s="49"/>
      <c r="C640" s="400">
        <v>46033.0</v>
      </c>
      <c r="D640" s="69">
        <v>8567.0</v>
      </c>
      <c r="E640" s="69" t="s">
        <v>132</v>
      </c>
      <c r="F640" s="140" t="s">
        <v>2345</v>
      </c>
      <c r="G640" s="524">
        <v>1.0</v>
      </c>
      <c r="H640" s="140">
        <v>750000.0</v>
      </c>
      <c r="I640" s="140">
        <v>850000.0</v>
      </c>
      <c r="J640" s="192">
        <v>46064.0</v>
      </c>
      <c r="K640" s="74">
        <f>if(F640="SERVICE",O640-(O640*50%),Vlookup(F640,DATABASE!C:Q,10,false)*G640)</f>
        <v>0</v>
      </c>
      <c r="L640" s="74">
        <f>VLOOKUP(F640,DATABASE!C:Q,7,FALSE)</f>
        <v>680000</v>
      </c>
      <c r="M640" s="74">
        <v>650000.0</v>
      </c>
      <c r="N640" s="74">
        <f t="shared" si="8"/>
        <v>650000</v>
      </c>
      <c r="O640" s="74">
        <f t="shared" si="3"/>
        <v>750000</v>
      </c>
      <c r="P640" s="63">
        <f t="shared" si="4"/>
        <v>850000</v>
      </c>
      <c r="Q640" s="63">
        <f t="shared" si="5"/>
        <v>200000</v>
      </c>
      <c r="R640" s="93" t="str">
        <f>VLOOKUP(F640,DATABASE!C:Q,4,false)</f>
        <v>Velg</v>
      </c>
      <c r="S640" s="93" t="str">
        <f>VLOOKUP(F640,DATABASE!C:P,11,false)</f>
        <v>Tire</v>
      </c>
      <c r="T640" s="93" t="str">
        <f>vlookup(F640,DATABASE!C:Q,8,false)</f>
        <v>BIAN</v>
      </c>
      <c r="Z640" s="9"/>
    </row>
    <row r="641" ht="22.5" customHeight="1">
      <c r="A641" s="49"/>
      <c r="C641" s="400">
        <v>46034.0</v>
      </c>
      <c r="D641" s="69">
        <v>8571.0</v>
      </c>
      <c r="E641" s="69" t="s">
        <v>819</v>
      </c>
      <c r="F641" s="140" t="s">
        <v>374</v>
      </c>
      <c r="G641" s="524">
        <v>2.0</v>
      </c>
      <c r="H641" s="140">
        <v>1950000.0</v>
      </c>
      <c r="I641" s="140">
        <v>2000000.0</v>
      </c>
      <c r="J641" s="192">
        <v>46064.0</v>
      </c>
      <c r="K641" s="74">
        <f>if(F641="SERVICE",O641-(O641*50%),Vlookup(F641,DATABASE!C:Q,10,false)*G641)</f>
        <v>0</v>
      </c>
      <c r="L641" s="74">
        <f>VLOOKUP(F641,DATABASE!C:Q,7,FALSE)</f>
        <v>1980000</v>
      </c>
      <c r="M641" s="74">
        <v>1850000.0</v>
      </c>
      <c r="N641" s="74">
        <f t="shared" si="8"/>
        <v>1850000</v>
      </c>
      <c r="O641" s="74">
        <f t="shared" si="3"/>
        <v>3900000</v>
      </c>
      <c r="P641" s="63">
        <f t="shared" si="4"/>
        <v>4000000</v>
      </c>
      <c r="Q641" s="63">
        <f t="shared" si="5"/>
        <v>300000</v>
      </c>
      <c r="R641" s="93" t="str">
        <f>VLOOKUP(F641,DATABASE!C:Q,4,false)</f>
        <v>Advance</v>
      </c>
      <c r="S641" s="93" t="str">
        <f>VLOOKUP(F641,DATABASE!C:P,11,false)</f>
        <v>Tire</v>
      </c>
      <c r="T641" s="93" t="str">
        <f>vlookup(F641,DATABASE!C:Q,8,false)</f>
        <v>BIAN</v>
      </c>
      <c r="Z641" s="9"/>
    </row>
    <row r="642" ht="22.5" customHeight="1">
      <c r="A642" s="49"/>
      <c r="C642" s="400">
        <v>46034.0</v>
      </c>
      <c r="D642" s="69">
        <v>8571.0</v>
      </c>
      <c r="E642" s="69" t="s">
        <v>819</v>
      </c>
      <c r="F642" s="140" t="s">
        <v>2215</v>
      </c>
      <c r="G642" s="524">
        <v>1.0</v>
      </c>
      <c r="H642" s="140">
        <v>1750000.0</v>
      </c>
      <c r="I642" s="140">
        <v>1800000.0</v>
      </c>
      <c r="J642" s="192">
        <v>46064.0</v>
      </c>
      <c r="K642" s="74">
        <f>if(F642="SERVICE",O642-(O642*50%),Vlookup(F642,DATABASE!C:Q,10,false)*G642)</f>
        <v>0</v>
      </c>
      <c r="L642" s="74">
        <f>VLOOKUP(F642,DATABASE!C:Q,7,FALSE)</f>
        <v>1650000</v>
      </c>
      <c r="M642" s="74">
        <v>1650000.0</v>
      </c>
      <c r="N642" s="74">
        <f t="shared" si="8"/>
        <v>1650000</v>
      </c>
      <c r="O642" s="74">
        <f t="shared" si="3"/>
        <v>1750000</v>
      </c>
      <c r="P642" s="63">
        <f t="shared" si="4"/>
        <v>1800000</v>
      </c>
      <c r="Q642" s="63">
        <f t="shared" si="5"/>
        <v>150000</v>
      </c>
      <c r="R642" s="93" t="str">
        <f>VLOOKUP(F642,DATABASE!C:Q,4,false)</f>
        <v>TIRON</v>
      </c>
      <c r="S642" s="93" t="str">
        <f>VLOOKUP(F642,DATABASE!C:P,11,false)</f>
        <v>Tire</v>
      </c>
      <c r="T642" s="93" t="str">
        <f>vlookup(F642,DATABASE!C:Q,8,false)</f>
        <v>BIAN</v>
      </c>
      <c r="Z642" s="9"/>
    </row>
    <row r="643" ht="22.5" customHeight="1">
      <c r="A643" s="49"/>
      <c r="C643" s="400">
        <v>46035.0</v>
      </c>
      <c r="D643" s="69">
        <v>8584.0</v>
      </c>
      <c r="E643" s="69" t="s">
        <v>346</v>
      </c>
      <c r="F643" s="140" t="s">
        <v>566</v>
      </c>
      <c r="G643" s="524">
        <v>2.0</v>
      </c>
      <c r="H643" s="140">
        <v>1650000.0</v>
      </c>
      <c r="I643" s="140">
        <v>1750000.0</v>
      </c>
      <c r="J643" s="192">
        <v>46065.0</v>
      </c>
      <c r="K643" s="74">
        <f>if(F643="SERVICE",O643-(O643*50%),Vlookup(F643,DATABASE!C:Q,10,false)*G643)</f>
        <v>0</v>
      </c>
      <c r="L643" s="74">
        <f>VLOOKUP(F643,DATABASE!C:Q,7,FALSE)</f>
        <v>1565000</v>
      </c>
      <c r="M643" s="74">
        <v>1545000.0</v>
      </c>
      <c r="N643" s="74">
        <f t="shared" si="8"/>
        <v>1545000</v>
      </c>
      <c r="O643" s="74">
        <f t="shared" si="3"/>
        <v>3300000</v>
      </c>
      <c r="P643" s="63">
        <f t="shared" si="4"/>
        <v>3500000</v>
      </c>
      <c r="Q643" s="63">
        <f t="shared" si="5"/>
        <v>410000</v>
      </c>
      <c r="R643" s="93" t="str">
        <f>VLOOKUP(F643,DATABASE!C:Q,4,false)</f>
        <v>Bridgestone</v>
      </c>
      <c r="S643" s="93" t="str">
        <f>VLOOKUP(F643,DATABASE!C:P,11,false)</f>
        <v>Tire</v>
      </c>
      <c r="T643" s="93" t="str">
        <f>vlookup(F643,DATABASE!C:Q,8,false)</f>
        <v>IBU</v>
      </c>
      <c r="Z643" s="9"/>
    </row>
    <row r="644" ht="22.5" customHeight="1">
      <c r="A644" s="49"/>
      <c r="C644" s="400">
        <v>46035.0</v>
      </c>
      <c r="D644" s="69">
        <v>8584.0</v>
      </c>
      <c r="E644" s="69" t="s">
        <v>346</v>
      </c>
      <c r="F644" s="140" t="s">
        <v>744</v>
      </c>
      <c r="G644" s="524">
        <v>1.0</v>
      </c>
      <c r="H644" s="140">
        <v>230000.0</v>
      </c>
      <c r="I644" s="140">
        <v>250000.0</v>
      </c>
      <c r="J644" s="192">
        <v>46065.0</v>
      </c>
      <c r="K644" s="74">
        <f>if(F644="SERVICE",O644-(O644*50%),Vlookup(F644,DATABASE!C:Q,10,false)*G644)</f>
        <v>0</v>
      </c>
      <c r="L644" s="74">
        <f>VLOOKUP(F644,DATABASE!C:Q,7,FALSE)</f>
        <v>182200</v>
      </c>
      <c r="M644" s="74">
        <v>199920.0</v>
      </c>
      <c r="N644" s="74">
        <f t="shared" si="8"/>
        <v>200000</v>
      </c>
      <c r="O644" s="74">
        <f t="shared" si="3"/>
        <v>230000</v>
      </c>
      <c r="P644" s="63">
        <f t="shared" si="4"/>
        <v>250000</v>
      </c>
      <c r="Q644" s="63">
        <f t="shared" si="5"/>
        <v>50000</v>
      </c>
      <c r="R644" s="93" t="str">
        <f>VLOOKUP(F644,DATABASE!C:Q,4,false)</f>
        <v>BD</v>
      </c>
      <c r="S644" s="93" t="str">
        <f>VLOOKUP(F644,DATABASE!C:P,11,false)</f>
        <v>Tire</v>
      </c>
      <c r="T644" s="93" t="str">
        <f>vlookup(F644,DATABASE!C:Q,8,false)</f>
        <v>BIAN</v>
      </c>
      <c r="Z644" s="9"/>
    </row>
    <row r="645" ht="22.5" customHeight="1">
      <c r="A645" s="49"/>
      <c r="C645" s="400">
        <v>46035.0</v>
      </c>
      <c r="D645" s="69">
        <v>8584.0</v>
      </c>
      <c r="E645" s="69" t="s">
        <v>346</v>
      </c>
      <c r="F645" s="140" t="s">
        <v>821</v>
      </c>
      <c r="G645" s="524">
        <v>1.0</v>
      </c>
      <c r="H645" s="140">
        <v>90000.0</v>
      </c>
      <c r="I645" s="140">
        <v>100000.0</v>
      </c>
      <c r="J645" s="192">
        <v>46065.0</v>
      </c>
      <c r="K645" s="74">
        <f>if(F645="SERVICE",O645-(O645*50%),Vlookup(F645,DATABASE!C:Q,10,false)*G645)</f>
        <v>0</v>
      </c>
      <c r="L645" s="74">
        <f>VLOOKUP(F645,DATABASE!C:Q,7,FALSE)</f>
        <v>43500</v>
      </c>
      <c r="M645" s="74">
        <v>43520.0</v>
      </c>
      <c r="N645" s="74">
        <f t="shared" si="8"/>
        <v>45000</v>
      </c>
      <c r="O645" s="74">
        <f t="shared" si="3"/>
        <v>90000</v>
      </c>
      <c r="P645" s="63">
        <f t="shared" si="4"/>
        <v>100000</v>
      </c>
      <c r="Q645" s="63">
        <f t="shared" si="5"/>
        <v>55000</v>
      </c>
      <c r="R645" s="93" t="str">
        <f>VLOOKUP(F645,DATABASE!C:Q,4,false)</f>
        <v>Flap</v>
      </c>
      <c r="S645" s="93" t="str">
        <f>VLOOKUP(F645,DATABASE!C:P,11,false)</f>
        <v>Tire</v>
      </c>
      <c r="T645" s="93" t="str">
        <f>vlookup(F645,DATABASE!C:Q,8,false)</f>
        <v>BIAN</v>
      </c>
      <c r="Z645" s="9"/>
    </row>
    <row r="646" ht="22.5" customHeight="1">
      <c r="A646" s="49"/>
      <c r="C646" s="400">
        <v>46038.0</v>
      </c>
      <c r="D646" s="69">
        <v>23.0</v>
      </c>
      <c r="E646" s="69" t="s">
        <v>254</v>
      </c>
      <c r="F646" s="140" t="s">
        <v>275</v>
      </c>
      <c r="G646" s="524">
        <v>2.0</v>
      </c>
      <c r="H646" s="140">
        <v>830000.0</v>
      </c>
      <c r="I646" s="140">
        <v>910000.0</v>
      </c>
      <c r="J646" s="192">
        <v>46068.0</v>
      </c>
      <c r="K646" s="74">
        <f>if(F646="SERVICE",O646-(O646*50%),Vlookup(F646,DATABASE!C:Q,10,false)*G646)</f>
        <v>0</v>
      </c>
      <c r="L646" s="74">
        <f>VLOOKUP(F646,DATABASE!C:Q,7,FALSE)</f>
        <v>782000</v>
      </c>
      <c r="M646" s="74">
        <v>745000.0</v>
      </c>
      <c r="N646" s="74">
        <f t="shared" si="8"/>
        <v>745000</v>
      </c>
      <c r="O646" s="74">
        <f t="shared" si="3"/>
        <v>1660000</v>
      </c>
      <c r="P646" s="63">
        <f t="shared" si="4"/>
        <v>1820000</v>
      </c>
      <c r="Q646" s="63">
        <f t="shared" si="5"/>
        <v>330000</v>
      </c>
      <c r="R646" s="93" t="str">
        <f>VLOOKUP(F646,DATABASE!C:Q,4,false)</f>
        <v>Dunlop</v>
      </c>
      <c r="S646" s="93" t="str">
        <f>VLOOKUP(F646,DATABASE!C:P,11,false)</f>
        <v>Tire</v>
      </c>
      <c r="T646" s="93" t="str">
        <f>vlookup(F646,DATABASE!C:Q,8,false)</f>
        <v>IBU</v>
      </c>
      <c r="Z646" s="9"/>
    </row>
    <row r="647" ht="22.5" customHeight="1">
      <c r="A647" s="49"/>
      <c r="C647" s="400">
        <v>46038.0</v>
      </c>
      <c r="D647" s="69">
        <v>23.0</v>
      </c>
      <c r="E647" s="69" t="s">
        <v>254</v>
      </c>
      <c r="F647" s="140" t="s">
        <v>604</v>
      </c>
      <c r="G647" s="524">
        <v>2.0</v>
      </c>
      <c r="H647" s="140">
        <v>160000.0</v>
      </c>
      <c r="I647" s="140">
        <v>180000.0</v>
      </c>
      <c r="J647" s="192">
        <v>46068.0</v>
      </c>
      <c r="K647" s="74">
        <f>if(F647="SERVICE",O647-(O647*50%),Vlookup(F647,DATABASE!C:Q,10,false)*G647)</f>
        <v>0</v>
      </c>
      <c r="L647" s="74">
        <f>VLOOKUP(F647,DATABASE!C:Q,7,FALSE)</f>
        <v>124000</v>
      </c>
      <c r="M647" s="74">
        <v>124000.0</v>
      </c>
      <c r="N647" s="74">
        <f t="shared" si="8"/>
        <v>125000</v>
      </c>
      <c r="O647" s="74">
        <f t="shared" si="3"/>
        <v>320000</v>
      </c>
      <c r="P647" s="63">
        <f t="shared" si="4"/>
        <v>360000</v>
      </c>
      <c r="Q647" s="63">
        <f t="shared" si="5"/>
        <v>110000</v>
      </c>
      <c r="R647" s="93" t="str">
        <f>VLOOKUP(F647,DATABASE!C:Q,4,false)</f>
        <v>BD</v>
      </c>
      <c r="S647" s="93" t="str">
        <f>VLOOKUP(F647,DATABASE!C:P,11,false)</f>
        <v>Tire</v>
      </c>
      <c r="T647" s="93" t="str">
        <f>vlookup(F647,DATABASE!C:Q,8,false)</f>
        <v>BIAN</v>
      </c>
      <c r="Z647" s="9"/>
    </row>
    <row r="648" ht="22.5" customHeight="1">
      <c r="A648" s="49"/>
      <c r="C648" s="400">
        <v>46039.0</v>
      </c>
      <c r="D648" s="69">
        <v>40.0</v>
      </c>
      <c r="E648" s="69" t="s">
        <v>1085</v>
      </c>
      <c r="F648" s="140" t="s">
        <v>265</v>
      </c>
      <c r="G648" s="524">
        <v>1.0</v>
      </c>
      <c r="H648" s="140">
        <v>685000.0</v>
      </c>
      <c r="I648" s="140">
        <v>685000.0</v>
      </c>
      <c r="J648" s="192">
        <v>46069.0</v>
      </c>
      <c r="K648" s="74">
        <f>if(F648="SERVICE",O648-(O648*50%),Vlookup(F648,DATABASE!C:Q,10,false)*G648)</f>
        <v>0</v>
      </c>
      <c r="L648" s="74">
        <f>VLOOKUP(F648,DATABASE!C:Q,7,FALSE)</f>
        <v>628000</v>
      </c>
      <c r="M648" s="74">
        <v>600000.0</v>
      </c>
      <c r="N648" s="74">
        <f t="shared" si="8"/>
        <v>600000</v>
      </c>
      <c r="O648" s="74">
        <f t="shared" si="3"/>
        <v>685000</v>
      </c>
      <c r="P648" s="63">
        <f t="shared" si="4"/>
        <v>685000</v>
      </c>
      <c r="Q648" s="63">
        <f t="shared" si="5"/>
        <v>85000</v>
      </c>
      <c r="R648" s="93" t="str">
        <f>VLOOKUP(F648,DATABASE!C:Q,4,false)</f>
        <v>Dunlop</v>
      </c>
      <c r="S648" s="93" t="str">
        <f>VLOOKUP(F648,DATABASE!C:P,11,false)</f>
        <v>Tire</v>
      </c>
      <c r="T648" s="93" t="str">
        <f>vlookup(F648,DATABASE!C:Q,8,false)</f>
        <v>IBU</v>
      </c>
      <c r="Z648" s="9"/>
    </row>
    <row r="649" ht="22.5" customHeight="1">
      <c r="A649" s="49"/>
      <c r="C649" s="400">
        <v>46039.0</v>
      </c>
      <c r="D649" s="69">
        <v>44.0</v>
      </c>
      <c r="E649" s="69" t="s">
        <v>595</v>
      </c>
      <c r="F649" s="140" t="s">
        <v>403</v>
      </c>
      <c r="G649" s="524">
        <v>2.0</v>
      </c>
      <c r="H649" s="140">
        <v>2260000.0</v>
      </c>
      <c r="I649" s="140">
        <v>2360000.0</v>
      </c>
      <c r="J649" s="192">
        <v>46069.0</v>
      </c>
      <c r="K649" s="74">
        <f>if(F649="SERVICE",O649-(O649*50%),Vlookup(F649,DATABASE!C:Q,10,false)*G649)</f>
        <v>0</v>
      </c>
      <c r="L649" s="74">
        <f>VLOOKUP(F649,DATABASE!C:Q,7,FALSE)</f>
        <v>2160000</v>
      </c>
      <c r="M649" s="74">
        <v>2160000.0</v>
      </c>
      <c r="N649" s="74">
        <f t="shared" si="8"/>
        <v>2160000</v>
      </c>
      <c r="O649" s="74">
        <f t="shared" si="3"/>
        <v>4520000</v>
      </c>
      <c r="P649" s="63">
        <f t="shared" si="4"/>
        <v>4720000</v>
      </c>
      <c r="Q649" s="63">
        <f t="shared" si="5"/>
        <v>400000</v>
      </c>
      <c r="R649" s="93" t="str">
        <f>VLOOKUP(F649,DATABASE!C:Q,4,false)</f>
        <v>Advance</v>
      </c>
      <c r="S649" s="93" t="str">
        <f>VLOOKUP(F649,DATABASE!C:P,11,false)</f>
        <v>Tire</v>
      </c>
      <c r="T649" s="93" t="str">
        <f>vlookup(F649,DATABASE!C:Q,8,false)</f>
        <v>BIAN</v>
      </c>
      <c r="Z649" s="9"/>
    </row>
    <row r="650" ht="22.5" customHeight="1">
      <c r="A650" s="49"/>
      <c r="C650" s="400">
        <v>46039.0</v>
      </c>
      <c r="D650" s="69">
        <v>44.0</v>
      </c>
      <c r="E650" s="69" t="s">
        <v>595</v>
      </c>
      <c r="F650" s="140" t="s">
        <v>566</v>
      </c>
      <c r="G650" s="524">
        <v>1.0</v>
      </c>
      <c r="H650" s="140">
        <v>1650000.0</v>
      </c>
      <c r="I650" s="140">
        <v>1750000.0</v>
      </c>
      <c r="J650" s="192">
        <v>46069.0</v>
      </c>
      <c r="K650" s="74">
        <f>if(F650="SERVICE",O650-(O650*50%),Vlookup(F650,DATABASE!C:Q,10,false)*G650)</f>
        <v>0</v>
      </c>
      <c r="L650" s="74">
        <f>VLOOKUP(F650,DATABASE!C:Q,7,FALSE)</f>
        <v>1565000</v>
      </c>
      <c r="M650" s="74">
        <v>1545000.0</v>
      </c>
      <c r="N650" s="74">
        <f t="shared" si="8"/>
        <v>1545000</v>
      </c>
      <c r="O650" s="74">
        <f t="shared" si="3"/>
        <v>1650000</v>
      </c>
      <c r="P650" s="63">
        <f t="shared" si="4"/>
        <v>1750000</v>
      </c>
      <c r="Q650" s="63">
        <f t="shared" si="5"/>
        <v>205000</v>
      </c>
      <c r="R650" s="93" t="str">
        <f>VLOOKUP(F650,DATABASE!C:Q,4,false)</f>
        <v>Bridgestone</v>
      </c>
      <c r="S650" s="93" t="str">
        <f>VLOOKUP(F650,DATABASE!C:P,11,false)</f>
        <v>Tire</v>
      </c>
      <c r="T650" s="93" t="str">
        <f>vlookup(F650,DATABASE!C:Q,8,false)</f>
        <v>IBU</v>
      </c>
      <c r="Z650" s="9"/>
    </row>
    <row r="651" ht="22.5" customHeight="1">
      <c r="A651" s="49"/>
      <c r="C651" s="400">
        <v>46039.0</v>
      </c>
      <c r="D651" s="69">
        <v>44.0</v>
      </c>
      <c r="E651" s="69" t="s">
        <v>595</v>
      </c>
      <c r="F651" s="140" t="s">
        <v>744</v>
      </c>
      <c r="G651" s="524">
        <v>1.0</v>
      </c>
      <c r="H651" s="140">
        <v>230000.0</v>
      </c>
      <c r="I651" s="140">
        <v>250000.0</v>
      </c>
      <c r="J651" s="192">
        <v>46069.0</v>
      </c>
      <c r="K651" s="74">
        <f>if(F651="SERVICE",O651-(O651*50%),Vlookup(F651,DATABASE!C:Q,10,false)*G651)</f>
        <v>0</v>
      </c>
      <c r="L651" s="74">
        <f>VLOOKUP(F651,DATABASE!C:Q,7,FALSE)</f>
        <v>182200</v>
      </c>
      <c r="M651" s="74">
        <v>199920.0</v>
      </c>
      <c r="N651" s="74">
        <f t="shared" si="8"/>
        <v>200000</v>
      </c>
      <c r="O651" s="74">
        <f t="shared" si="3"/>
        <v>230000</v>
      </c>
      <c r="P651" s="63">
        <f t="shared" si="4"/>
        <v>250000</v>
      </c>
      <c r="Q651" s="63">
        <f t="shared" si="5"/>
        <v>50000</v>
      </c>
      <c r="R651" s="93" t="str">
        <f>VLOOKUP(F651,DATABASE!C:Q,4,false)</f>
        <v>BD</v>
      </c>
      <c r="S651" s="93" t="str">
        <f>VLOOKUP(F651,DATABASE!C:P,11,false)</f>
        <v>Tire</v>
      </c>
      <c r="T651" s="93" t="str">
        <f>vlookup(F651,DATABASE!C:Q,8,false)</f>
        <v>BIAN</v>
      </c>
      <c r="Z651" s="9"/>
    </row>
    <row r="652" ht="22.5" customHeight="1">
      <c r="A652" s="49"/>
      <c r="C652" s="400">
        <v>46039.0</v>
      </c>
      <c r="D652" s="69">
        <v>44.0</v>
      </c>
      <c r="E652" s="69" t="s">
        <v>595</v>
      </c>
      <c r="F652" s="140" t="s">
        <v>821</v>
      </c>
      <c r="G652" s="524">
        <v>1.0</v>
      </c>
      <c r="H652" s="140">
        <v>90000.0</v>
      </c>
      <c r="I652" s="140">
        <v>100000.0</v>
      </c>
      <c r="J652" s="192">
        <v>46069.0</v>
      </c>
      <c r="K652" s="74">
        <f>if(F652="SERVICE",O652-(O652*50%),Vlookup(F652,DATABASE!C:Q,10,false)*G652)</f>
        <v>0</v>
      </c>
      <c r="L652" s="74">
        <f>VLOOKUP(F652,DATABASE!C:Q,7,FALSE)</f>
        <v>43500</v>
      </c>
      <c r="M652" s="74">
        <v>43520.0</v>
      </c>
      <c r="N652" s="74">
        <f t="shared" si="8"/>
        <v>45000</v>
      </c>
      <c r="O652" s="74">
        <f t="shared" si="3"/>
        <v>90000</v>
      </c>
      <c r="P652" s="63">
        <f t="shared" si="4"/>
        <v>100000</v>
      </c>
      <c r="Q652" s="63">
        <f t="shared" si="5"/>
        <v>55000</v>
      </c>
      <c r="R652" s="93" t="str">
        <f>VLOOKUP(F652,DATABASE!C:Q,4,false)</f>
        <v>Flap</v>
      </c>
      <c r="S652" s="93" t="str">
        <f>VLOOKUP(F652,DATABASE!C:P,11,false)</f>
        <v>Tire</v>
      </c>
      <c r="T652" s="93" t="str">
        <f>vlookup(F652,DATABASE!C:Q,8,false)</f>
        <v>BIAN</v>
      </c>
      <c r="Z652" s="9"/>
    </row>
    <row r="653" ht="22.5" customHeight="1">
      <c r="A653" s="49"/>
      <c r="C653" s="400">
        <v>46041.0</v>
      </c>
      <c r="D653" s="69">
        <v>51.0</v>
      </c>
      <c r="E653" s="69" t="s">
        <v>709</v>
      </c>
      <c r="F653" s="140" t="s">
        <v>403</v>
      </c>
      <c r="G653" s="524">
        <v>2.0</v>
      </c>
      <c r="H653" s="140">
        <v>2260000.0</v>
      </c>
      <c r="I653" s="140">
        <v>2360000.0</v>
      </c>
      <c r="J653" s="192">
        <v>46071.0</v>
      </c>
      <c r="K653" s="74">
        <f>if(F653="SERVICE",O653-(O653*50%),Vlookup(F653,DATABASE!C:Q,10,false)*G653)</f>
        <v>0</v>
      </c>
      <c r="L653" s="74">
        <f>VLOOKUP(F653,DATABASE!C:Q,7,FALSE)</f>
        <v>2160000</v>
      </c>
      <c r="M653" s="74">
        <v>2160000.0</v>
      </c>
      <c r="N653" s="74">
        <f t="shared" si="8"/>
        <v>2160000</v>
      </c>
      <c r="O653" s="74">
        <f t="shared" si="3"/>
        <v>4520000</v>
      </c>
      <c r="P653" s="63">
        <f t="shared" si="4"/>
        <v>4720000</v>
      </c>
      <c r="Q653" s="63">
        <f t="shared" si="5"/>
        <v>400000</v>
      </c>
      <c r="R653" s="93" t="str">
        <f>VLOOKUP(F653,DATABASE!C:Q,4,false)</f>
        <v>Advance</v>
      </c>
      <c r="S653" s="93" t="str">
        <f>VLOOKUP(F653,DATABASE!C:P,11,false)</f>
        <v>Tire</v>
      </c>
      <c r="T653" s="93" t="str">
        <f>vlookup(F653,DATABASE!C:Q,8,false)</f>
        <v>BIAN</v>
      </c>
      <c r="Z653" s="9"/>
    </row>
    <row r="654" ht="22.5" customHeight="1">
      <c r="A654" s="49"/>
      <c r="C654" s="400">
        <v>46041.0</v>
      </c>
      <c r="D654" s="69">
        <v>56.0</v>
      </c>
      <c r="E654" s="69" t="s">
        <v>595</v>
      </c>
      <c r="F654" s="140" t="s">
        <v>374</v>
      </c>
      <c r="G654" s="524">
        <v>2.0</v>
      </c>
      <c r="H654" s="140">
        <v>1950000.0</v>
      </c>
      <c r="I654" s="140">
        <v>2050000.0</v>
      </c>
      <c r="J654" s="192">
        <v>46071.0</v>
      </c>
      <c r="K654" s="74">
        <f>if(F654="SERVICE",O654-(O654*50%),Vlookup(F654,DATABASE!C:Q,10,false)*G654)</f>
        <v>0</v>
      </c>
      <c r="L654" s="74">
        <f>VLOOKUP(F654,DATABASE!C:Q,7,FALSE)</f>
        <v>1980000</v>
      </c>
      <c r="M654" s="206">
        <v>1850000.0</v>
      </c>
      <c r="N654" s="74">
        <f t="shared" si="8"/>
        <v>1850000</v>
      </c>
      <c r="O654" s="74">
        <f t="shared" si="3"/>
        <v>3900000</v>
      </c>
      <c r="P654" s="63">
        <f t="shared" si="4"/>
        <v>4100000</v>
      </c>
      <c r="Q654" s="63">
        <f t="shared" si="5"/>
        <v>400000</v>
      </c>
      <c r="R654" s="93" t="str">
        <f>VLOOKUP(F654,DATABASE!C:Q,4,false)</f>
        <v>Advance</v>
      </c>
      <c r="S654" s="93" t="str">
        <f>VLOOKUP(F654,DATABASE!C:P,11,false)</f>
        <v>Tire</v>
      </c>
      <c r="T654" s="93" t="str">
        <f>vlookup(F654,DATABASE!C:Q,8,false)</f>
        <v>BIAN</v>
      </c>
      <c r="Z654" s="9"/>
    </row>
    <row r="655" ht="22.5" customHeight="1">
      <c r="A655" s="49"/>
      <c r="C655" s="400">
        <v>46042.0</v>
      </c>
      <c r="D655" s="69">
        <v>64.0</v>
      </c>
      <c r="E655" s="69" t="s">
        <v>1120</v>
      </c>
      <c r="F655" s="140" t="s">
        <v>275</v>
      </c>
      <c r="G655" s="524">
        <v>1.0</v>
      </c>
      <c r="H655" s="140">
        <v>830000.0</v>
      </c>
      <c r="I655" s="140">
        <v>910000.0</v>
      </c>
      <c r="J655" s="192">
        <v>46072.0</v>
      </c>
      <c r="K655" s="74">
        <f>if(F655="SERVICE",O655-(O655*50%),Vlookup(F655,DATABASE!C:Q,10,false)*G655)</f>
        <v>0</v>
      </c>
      <c r="L655" s="74">
        <f>VLOOKUP(F655,DATABASE!C:Q,7,FALSE)</f>
        <v>782000</v>
      </c>
      <c r="M655" s="206">
        <v>745000.0</v>
      </c>
      <c r="N655" s="74">
        <f t="shared" si="8"/>
        <v>745000</v>
      </c>
      <c r="O655" s="74">
        <f t="shared" si="3"/>
        <v>830000</v>
      </c>
      <c r="P655" s="63">
        <f t="shared" si="4"/>
        <v>910000</v>
      </c>
      <c r="Q655" s="63">
        <f t="shared" si="5"/>
        <v>165000</v>
      </c>
      <c r="R655" s="93" t="str">
        <f>VLOOKUP(F655,DATABASE!C:Q,4,false)</f>
        <v>Dunlop</v>
      </c>
      <c r="S655" s="93" t="str">
        <f>VLOOKUP(F655,DATABASE!C:P,11,false)</f>
        <v>Tire</v>
      </c>
      <c r="T655" s="93" t="str">
        <f>vlookup(F655,DATABASE!C:Q,8,false)</f>
        <v>IBU</v>
      </c>
      <c r="Z655" s="9"/>
    </row>
    <row r="656" ht="22.5" customHeight="1">
      <c r="A656" s="49"/>
      <c r="C656" s="400">
        <v>46042.0</v>
      </c>
      <c r="D656" s="69">
        <v>65.0</v>
      </c>
      <c r="E656" s="69" t="s">
        <v>254</v>
      </c>
      <c r="F656" s="140" t="s">
        <v>924</v>
      </c>
      <c r="G656" s="524">
        <v>2.0</v>
      </c>
      <c r="H656" s="140">
        <v>1650000.0</v>
      </c>
      <c r="I656" s="140">
        <v>1750000.0</v>
      </c>
      <c r="J656" s="192">
        <v>46072.0</v>
      </c>
      <c r="K656" s="74">
        <f>if(F656="SERVICE",O656-(O656*50%),Vlookup(F656,DATABASE!C:Q,10,false)*G656)</f>
        <v>0</v>
      </c>
      <c r="L656" s="74">
        <f>VLOOKUP(F656,DATABASE!C:Q,7,FALSE)</f>
        <v>1560000</v>
      </c>
      <c r="M656" s="206">
        <v>1545000.0</v>
      </c>
      <c r="N656" s="74">
        <f t="shared" si="8"/>
        <v>1545000</v>
      </c>
      <c r="O656" s="74">
        <f t="shared" si="3"/>
        <v>3300000</v>
      </c>
      <c r="P656" s="63">
        <f t="shared" si="4"/>
        <v>3500000</v>
      </c>
      <c r="Q656" s="63">
        <f t="shared" si="5"/>
        <v>410000</v>
      </c>
      <c r="R656" s="93" t="str">
        <f>VLOOKUP(F656,DATABASE!C:Q,4,false)</f>
        <v>TIRON</v>
      </c>
      <c r="S656" s="93" t="str">
        <f>VLOOKUP(F656,DATABASE!C:P,11,false)</f>
        <v>Tire</v>
      </c>
      <c r="T656" s="93" t="str">
        <f>vlookup(F656,DATABASE!C:Q,8,false)</f>
        <v>BIAN</v>
      </c>
      <c r="Z656" s="9"/>
    </row>
    <row r="657" ht="22.5" customHeight="1">
      <c r="A657" s="49"/>
      <c r="C657" s="400">
        <v>46043.0</v>
      </c>
      <c r="D657" s="69">
        <v>69.0</v>
      </c>
      <c r="E657" s="69" t="s">
        <v>264</v>
      </c>
      <c r="F657" s="140" t="s">
        <v>403</v>
      </c>
      <c r="G657" s="524">
        <v>4.0</v>
      </c>
      <c r="H657" s="140">
        <v>2260000.0</v>
      </c>
      <c r="I657" s="140">
        <v>2360000.0</v>
      </c>
      <c r="J657" s="192">
        <v>46073.0</v>
      </c>
      <c r="K657" s="74">
        <f>if(F657="SERVICE",O657-(O657*50%),Vlookup(F657,DATABASE!C:Q,10,false)*G657)</f>
        <v>0</v>
      </c>
      <c r="L657" s="74">
        <f>VLOOKUP(F657,DATABASE!C:Q,7,FALSE)</f>
        <v>2160000</v>
      </c>
      <c r="M657" s="74">
        <v>2160000.0</v>
      </c>
      <c r="N657" s="74">
        <f t="shared" si="8"/>
        <v>2160000</v>
      </c>
      <c r="O657" s="74">
        <f t="shared" si="3"/>
        <v>9040000</v>
      </c>
      <c r="P657" s="63">
        <f t="shared" si="4"/>
        <v>9440000</v>
      </c>
      <c r="Q657" s="63">
        <f t="shared" si="5"/>
        <v>800000</v>
      </c>
      <c r="R657" s="93" t="str">
        <f>VLOOKUP(F657,DATABASE!C:Q,4,false)</f>
        <v>Advance</v>
      </c>
      <c r="S657" s="93" t="str">
        <f>VLOOKUP(F657,DATABASE!C:P,11,false)</f>
        <v>Tire</v>
      </c>
      <c r="T657" s="93" t="str">
        <f>vlookup(F657,DATABASE!C:Q,8,false)</f>
        <v>BIAN</v>
      </c>
      <c r="Z657" s="9"/>
    </row>
    <row r="658" ht="22.5" customHeight="1">
      <c r="A658" s="49"/>
      <c r="C658" s="400">
        <v>46045.0</v>
      </c>
      <c r="D658" s="69">
        <v>99.0</v>
      </c>
      <c r="E658" s="69" t="s">
        <v>267</v>
      </c>
      <c r="F658" s="140" t="s">
        <v>403</v>
      </c>
      <c r="G658" s="524">
        <v>2.0</v>
      </c>
      <c r="H658" s="140">
        <v>2260000.0</v>
      </c>
      <c r="I658" s="140">
        <v>2360000.0</v>
      </c>
      <c r="J658" s="192">
        <v>46075.0</v>
      </c>
      <c r="K658" s="74">
        <f>if(F658="SERVICE",O658-(O658*50%),Vlookup(F658,DATABASE!C:Q,10,false)*G658)</f>
        <v>0</v>
      </c>
      <c r="L658" s="74">
        <f>VLOOKUP(F658,DATABASE!C:Q,7,FALSE)</f>
        <v>2160000</v>
      </c>
      <c r="M658" s="74">
        <v>2160000.0</v>
      </c>
      <c r="N658" s="74">
        <f t="shared" si="8"/>
        <v>2160000</v>
      </c>
      <c r="O658" s="74">
        <f t="shared" si="3"/>
        <v>4520000</v>
      </c>
      <c r="P658" s="63">
        <f t="shared" si="4"/>
        <v>4720000</v>
      </c>
      <c r="Q658" s="63">
        <f t="shared" si="5"/>
        <v>400000</v>
      </c>
      <c r="R658" s="93" t="str">
        <f>VLOOKUP(F658,DATABASE!C:Q,4,false)</f>
        <v>Advance</v>
      </c>
      <c r="S658" s="93" t="str">
        <f>VLOOKUP(F658,DATABASE!C:P,11,false)</f>
        <v>Tire</v>
      </c>
      <c r="T658" s="93" t="str">
        <f>vlookup(F658,DATABASE!C:Q,8,false)</f>
        <v>BIAN</v>
      </c>
      <c r="Z658" s="9"/>
    </row>
    <row r="659" ht="22.5" customHeight="1">
      <c r="A659" s="49"/>
      <c r="C659" s="400">
        <v>46045.0</v>
      </c>
      <c r="D659" s="69">
        <v>99.0</v>
      </c>
      <c r="E659" s="69" t="s">
        <v>267</v>
      </c>
      <c r="F659" s="140" t="s">
        <v>791</v>
      </c>
      <c r="G659" s="524">
        <v>1.0</v>
      </c>
      <c r="H659" s="140">
        <v>1280000.0</v>
      </c>
      <c r="I659" s="140">
        <v>1380000.0</v>
      </c>
      <c r="J659" s="192">
        <v>46075.0</v>
      </c>
      <c r="K659" s="74">
        <f>if(F659="SERVICE",O659-(O659*50%),Vlookup(F659,DATABASE!C:Q,10,false)*G659)</f>
        <v>0</v>
      </c>
      <c r="L659" s="74">
        <f>VLOOKUP(F659,DATABASE!C:Q,7,FALSE)</f>
        <v>1210000</v>
      </c>
      <c r="M659" s="74">
        <v>1180000.0</v>
      </c>
      <c r="N659" s="74">
        <f t="shared" si="8"/>
        <v>1180000</v>
      </c>
      <c r="O659" s="74">
        <f t="shared" si="3"/>
        <v>1280000</v>
      </c>
      <c r="P659" s="63">
        <f t="shared" si="4"/>
        <v>1380000</v>
      </c>
      <c r="Q659" s="63">
        <f t="shared" si="5"/>
        <v>200000</v>
      </c>
      <c r="R659" s="93" t="str">
        <f>VLOOKUP(F659,DATABASE!C:Q,4,false)</f>
        <v>GT</v>
      </c>
      <c r="S659" s="93" t="str">
        <f>VLOOKUP(F659,DATABASE!C:P,11,false)</f>
        <v>Tire</v>
      </c>
      <c r="T659" s="93" t="str">
        <f>vlookup(F659,DATABASE!C:Q,8,false)</f>
        <v>BIAN</v>
      </c>
      <c r="Z659" s="9"/>
    </row>
    <row r="660" ht="22.5" customHeight="1">
      <c r="A660" s="49"/>
      <c r="C660" s="400">
        <v>46045.0</v>
      </c>
      <c r="D660" s="69">
        <v>99.0</v>
      </c>
      <c r="E660" s="69" t="s">
        <v>267</v>
      </c>
      <c r="F660" s="140" t="s">
        <v>255</v>
      </c>
      <c r="G660" s="524">
        <v>1.0</v>
      </c>
      <c r="H660" s="140">
        <v>200000.0</v>
      </c>
      <c r="I660" s="140">
        <v>220000.0</v>
      </c>
      <c r="J660" s="192">
        <v>46075.0</v>
      </c>
      <c r="K660" s="74">
        <f>if(F660="SERVICE",O660-(O660*50%),Vlookup(F660,DATABASE!C:Q,10,false)*G660)</f>
        <v>0</v>
      </c>
      <c r="L660" s="74">
        <f>VLOOKUP(F660,DATABASE!C:Q,7,FALSE)</f>
        <v>161840</v>
      </c>
      <c r="M660" s="74">
        <v>161840.0</v>
      </c>
      <c r="N660" s="74">
        <f t="shared" si="8"/>
        <v>165000</v>
      </c>
      <c r="O660" s="74">
        <f t="shared" si="3"/>
        <v>200000</v>
      </c>
      <c r="P660" s="63">
        <f t="shared" si="4"/>
        <v>220000</v>
      </c>
      <c r="Q660" s="63">
        <f t="shared" si="5"/>
        <v>55000</v>
      </c>
      <c r="R660" s="93" t="str">
        <f>VLOOKUP(F660,DATABASE!C:Q,4,false)</f>
        <v>BD</v>
      </c>
      <c r="S660" s="93" t="str">
        <f>VLOOKUP(F660,DATABASE!C:P,11,false)</f>
        <v>Tire</v>
      </c>
      <c r="T660" s="93" t="str">
        <f>vlookup(F660,DATABASE!C:Q,8,false)</f>
        <v>BIAN</v>
      </c>
      <c r="Z660" s="9"/>
    </row>
    <row r="661" ht="22.5" customHeight="1">
      <c r="A661" s="49"/>
      <c r="C661" s="400">
        <v>46045.0</v>
      </c>
      <c r="D661" s="69">
        <v>99.0</v>
      </c>
      <c r="E661" s="69" t="s">
        <v>267</v>
      </c>
      <c r="F661" s="140" t="s">
        <v>814</v>
      </c>
      <c r="G661" s="524">
        <v>1.0</v>
      </c>
      <c r="H661" s="140">
        <v>70000.0</v>
      </c>
      <c r="I661" s="140">
        <v>80000.0</v>
      </c>
      <c r="J661" s="192">
        <v>46075.0</v>
      </c>
      <c r="K661" s="74">
        <f>if(F661="SERVICE",O661-(O661*50%),Vlookup(F661,DATABASE!C:Q,10,false)*G661)</f>
        <v>0</v>
      </c>
      <c r="L661" s="74">
        <f>VLOOKUP(F661,DATABASE!C:Q,7,FALSE)</f>
        <v>39440</v>
      </c>
      <c r="M661" s="74">
        <v>39440.0</v>
      </c>
      <c r="N661" s="74">
        <f t="shared" si="8"/>
        <v>40000</v>
      </c>
      <c r="O661" s="74">
        <f t="shared" si="3"/>
        <v>70000</v>
      </c>
      <c r="P661" s="63">
        <f t="shared" si="4"/>
        <v>80000</v>
      </c>
      <c r="Q661" s="63">
        <f t="shared" si="5"/>
        <v>40000</v>
      </c>
      <c r="R661" s="93" t="str">
        <f>VLOOKUP(F661,DATABASE!C:Q,4,false)</f>
        <v>Flap</v>
      </c>
      <c r="S661" s="93" t="str">
        <f>VLOOKUP(F661,DATABASE!C:P,11,false)</f>
        <v>Tire</v>
      </c>
      <c r="T661" s="93" t="str">
        <f>vlookup(F661,DATABASE!C:Q,8,false)</f>
        <v>BIAN</v>
      </c>
      <c r="Z661" s="9"/>
    </row>
    <row r="662" ht="22.5" customHeight="1">
      <c r="A662" s="49"/>
      <c r="C662" s="400">
        <v>46046.0</v>
      </c>
      <c r="D662" s="69">
        <v>108.0</v>
      </c>
      <c r="E662" s="69" t="s">
        <v>132</v>
      </c>
      <c r="F662" s="140" t="s">
        <v>566</v>
      </c>
      <c r="G662" s="524">
        <v>2.0</v>
      </c>
      <c r="H662" s="140">
        <v>1650000.0</v>
      </c>
      <c r="I662" s="140">
        <v>1750000.0</v>
      </c>
      <c r="J662" s="192">
        <v>46076.0</v>
      </c>
      <c r="K662" s="74">
        <f>if(F662="SERVICE",O662-(O662*50%),Vlookup(F662,DATABASE!C:Q,10,false)*G662)</f>
        <v>0</v>
      </c>
      <c r="L662" s="74">
        <f>VLOOKUP(F662,DATABASE!C:Q,7,FALSE)</f>
        <v>1565000</v>
      </c>
      <c r="M662" s="74">
        <v>1545000.0</v>
      </c>
      <c r="N662" s="74">
        <f t="shared" si="8"/>
        <v>1545000</v>
      </c>
      <c r="O662" s="74">
        <f t="shared" si="3"/>
        <v>3300000</v>
      </c>
      <c r="P662" s="63">
        <f t="shared" si="4"/>
        <v>3500000</v>
      </c>
      <c r="Q662" s="63">
        <f t="shared" si="5"/>
        <v>410000</v>
      </c>
      <c r="R662" s="93" t="str">
        <f>VLOOKUP(F662,DATABASE!C:Q,4,false)</f>
        <v>Bridgestone</v>
      </c>
      <c r="S662" s="93" t="str">
        <f>VLOOKUP(F662,DATABASE!C:P,11,false)</f>
        <v>Tire</v>
      </c>
      <c r="T662" s="93" t="str">
        <f>vlookup(F662,DATABASE!C:Q,8,false)</f>
        <v>IBU</v>
      </c>
      <c r="Z662" s="9"/>
    </row>
    <row r="663" ht="22.5" customHeight="1">
      <c r="A663" s="49"/>
      <c r="C663" s="400">
        <v>46046.0</v>
      </c>
      <c r="D663" s="69">
        <v>108.0</v>
      </c>
      <c r="E663" s="69" t="s">
        <v>132</v>
      </c>
      <c r="F663" s="140" t="s">
        <v>744</v>
      </c>
      <c r="G663" s="524">
        <v>2.0</v>
      </c>
      <c r="H663" s="140">
        <v>230000.0</v>
      </c>
      <c r="I663" s="140">
        <v>250000.0</v>
      </c>
      <c r="J663" s="192">
        <v>46076.0</v>
      </c>
      <c r="K663" s="74">
        <f>if(F663="SERVICE",O663-(O663*50%),Vlookup(F663,DATABASE!C:Q,10,false)*G663)</f>
        <v>0</v>
      </c>
      <c r="L663" s="74">
        <f>VLOOKUP(F663,DATABASE!C:Q,7,FALSE)</f>
        <v>182200</v>
      </c>
      <c r="M663" s="74">
        <v>199920.0</v>
      </c>
      <c r="N663" s="74">
        <f t="shared" si="8"/>
        <v>200000</v>
      </c>
      <c r="O663" s="74">
        <f t="shared" si="3"/>
        <v>460000</v>
      </c>
      <c r="P663" s="63">
        <f t="shared" si="4"/>
        <v>500000</v>
      </c>
      <c r="Q663" s="63">
        <f t="shared" si="5"/>
        <v>100000</v>
      </c>
      <c r="R663" s="93" t="str">
        <f>VLOOKUP(F663,DATABASE!C:Q,4,false)</f>
        <v>BD</v>
      </c>
      <c r="S663" s="93" t="str">
        <f>VLOOKUP(F663,DATABASE!C:P,11,false)</f>
        <v>Tire</v>
      </c>
      <c r="T663" s="93" t="str">
        <f>vlookup(F663,DATABASE!C:Q,8,false)</f>
        <v>BIAN</v>
      </c>
      <c r="Z663" s="9"/>
    </row>
    <row r="664" ht="22.5" customHeight="1">
      <c r="A664" s="49"/>
      <c r="C664" s="400">
        <v>46046.0</v>
      </c>
      <c r="D664" s="69">
        <v>108.0</v>
      </c>
      <c r="E664" s="69" t="s">
        <v>132</v>
      </c>
      <c r="F664" s="140" t="s">
        <v>821</v>
      </c>
      <c r="G664" s="524">
        <v>2.0</v>
      </c>
      <c r="H664" s="140">
        <v>90000.0</v>
      </c>
      <c r="I664" s="140">
        <v>100000.0</v>
      </c>
      <c r="J664" s="192">
        <v>46076.0</v>
      </c>
      <c r="K664" s="74">
        <f>if(F664="SERVICE",O664-(O664*50%),Vlookup(F664,DATABASE!C:Q,10,false)*G664)</f>
        <v>0</v>
      </c>
      <c r="L664" s="74">
        <f>VLOOKUP(F664,DATABASE!C:Q,7,FALSE)</f>
        <v>43500</v>
      </c>
      <c r="M664" s="74">
        <v>43520.0</v>
      </c>
      <c r="N664" s="74">
        <f t="shared" si="8"/>
        <v>45000</v>
      </c>
      <c r="O664" s="74">
        <f t="shared" si="3"/>
        <v>180000</v>
      </c>
      <c r="P664" s="63">
        <f t="shared" si="4"/>
        <v>200000</v>
      </c>
      <c r="Q664" s="63">
        <f t="shared" si="5"/>
        <v>110000</v>
      </c>
      <c r="R664" s="93" t="str">
        <f>VLOOKUP(F664,DATABASE!C:Q,4,false)</f>
        <v>Flap</v>
      </c>
      <c r="S664" s="93" t="str">
        <f>VLOOKUP(F664,DATABASE!C:P,11,false)</f>
        <v>Tire</v>
      </c>
      <c r="T664" s="93" t="str">
        <f>vlookup(F664,DATABASE!C:Q,8,false)</f>
        <v>BIAN</v>
      </c>
      <c r="Z664" s="9"/>
    </row>
    <row r="665" ht="22.5" customHeight="1">
      <c r="A665" s="49"/>
      <c r="C665" s="400">
        <v>46048.0</v>
      </c>
      <c r="D665" s="69">
        <v>129.0</v>
      </c>
      <c r="E665" s="69" t="s">
        <v>1040</v>
      </c>
      <c r="F665" s="140" t="s">
        <v>391</v>
      </c>
      <c r="G665" s="524">
        <v>1.0</v>
      </c>
      <c r="H665" s="140">
        <v>1950000.0</v>
      </c>
      <c r="I665" s="140">
        <v>2050000.0</v>
      </c>
      <c r="J665" s="192">
        <v>46078.0</v>
      </c>
      <c r="K665" s="74">
        <f>if(F665="SERVICE",O665-(O665*50%),Vlookup(F665,DATABASE!C:Q,10,false)*G665)</f>
        <v>0</v>
      </c>
      <c r="L665" s="74">
        <f>VLOOKUP(F665,DATABASE!C:Q,7,FALSE)</f>
        <v>1885000</v>
      </c>
      <c r="M665" s="74">
        <v>1840000.0</v>
      </c>
      <c r="N665" s="74">
        <f t="shared" si="8"/>
        <v>1840000</v>
      </c>
      <c r="O665" s="74">
        <f t="shared" si="3"/>
        <v>1950000</v>
      </c>
      <c r="P665" s="63">
        <f t="shared" si="4"/>
        <v>2050000</v>
      </c>
      <c r="Q665" s="63">
        <f t="shared" si="5"/>
        <v>210000</v>
      </c>
      <c r="R665" s="93" t="str">
        <f>VLOOKUP(F665,DATABASE!C:Q,4,false)</f>
        <v>Advance</v>
      </c>
      <c r="S665" s="93" t="str">
        <f>VLOOKUP(F665,DATABASE!C:P,11,false)</f>
        <v>Tire</v>
      </c>
      <c r="T665" s="93" t="str">
        <f>vlookup(F665,DATABASE!C:Q,8,false)</f>
        <v>BIAN</v>
      </c>
      <c r="Z665" s="9"/>
    </row>
    <row r="666" ht="22.5" customHeight="1">
      <c r="A666" s="49"/>
      <c r="C666" s="400">
        <v>46049.0</v>
      </c>
      <c r="D666" s="69">
        <v>135.0</v>
      </c>
      <c r="E666" s="69" t="s">
        <v>74</v>
      </c>
      <c r="F666" s="140" t="s">
        <v>791</v>
      </c>
      <c r="G666" s="524">
        <v>2.0</v>
      </c>
      <c r="H666" s="140">
        <v>1280000.0</v>
      </c>
      <c r="I666" s="140">
        <v>1300000.0</v>
      </c>
      <c r="J666" s="192">
        <v>46079.0</v>
      </c>
      <c r="K666" s="74">
        <f>if(F666="SERVICE",O666-(O666*50%),Vlookup(F666,DATABASE!C:Q,10,false)*G666)</f>
        <v>0</v>
      </c>
      <c r="L666" s="74">
        <f>VLOOKUP(F666,DATABASE!C:Q,7,FALSE)</f>
        <v>1210000</v>
      </c>
      <c r="M666" s="74">
        <v>1180000.0</v>
      </c>
      <c r="N666" s="74">
        <f t="shared" si="8"/>
        <v>1180000</v>
      </c>
      <c r="O666" s="74">
        <f t="shared" si="3"/>
        <v>2560000</v>
      </c>
      <c r="P666" s="63">
        <f t="shared" si="4"/>
        <v>2600000</v>
      </c>
      <c r="Q666" s="63">
        <f t="shared" si="5"/>
        <v>240000</v>
      </c>
      <c r="R666" s="93" t="str">
        <f>VLOOKUP(F666,DATABASE!C:Q,4,false)</f>
        <v>GT</v>
      </c>
      <c r="S666" s="93" t="str">
        <f>VLOOKUP(F666,DATABASE!C:P,11,false)</f>
        <v>Tire</v>
      </c>
      <c r="T666" s="93" t="str">
        <f>vlookup(F666,DATABASE!C:Q,8,false)</f>
        <v>BIAN</v>
      </c>
      <c r="Z666" s="9"/>
    </row>
    <row r="667" ht="22.5" customHeight="1">
      <c r="A667" s="49"/>
      <c r="C667" s="400">
        <v>46049.0</v>
      </c>
      <c r="D667" s="69">
        <v>135.0</v>
      </c>
      <c r="E667" s="69" t="s">
        <v>74</v>
      </c>
      <c r="F667" s="140" t="s">
        <v>255</v>
      </c>
      <c r="G667" s="524">
        <v>2.0</v>
      </c>
      <c r="H667" s="140">
        <v>200000.0</v>
      </c>
      <c r="I667" s="140">
        <v>210000.0</v>
      </c>
      <c r="J667" s="192">
        <v>46079.0</v>
      </c>
      <c r="K667" s="74">
        <f>if(F667="SERVICE",O667-(O667*50%),Vlookup(F667,DATABASE!C:Q,10,false)*G667)</f>
        <v>0</v>
      </c>
      <c r="L667" s="74">
        <f>VLOOKUP(F667,DATABASE!C:Q,7,FALSE)</f>
        <v>161840</v>
      </c>
      <c r="M667" s="74">
        <v>161840.0</v>
      </c>
      <c r="N667" s="74">
        <f t="shared" si="8"/>
        <v>165000</v>
      </c>
      <c r="O667" s="74">
        <f t="shared" si="3"/>
        <v>400000</v>
      </c>
      <c r="P667" s="63">
        <f t="shared" si="4"/>
        <v>420000</v>
      </c>
      <c r="Q667" s="63">
        <f t="shared" si="5"/>
        <v>90000</v>
      </c>
      <c r="R667" s="93" t="str">
        <f>VLOOKUP(F667,DATABASE!C:Q,4,false)</f>
        <v>BD</v>
      </c>
      <c r="S667" s="93" t="str">
        <f>VLOOKUP(F667,DATABASE!C:P,11,false)</f>
        <v>Tire</v>
      </c>
      <c r="T667" s="93" t="str">
        <f>vlookup(F667,DATABASE!C:Q,8,false)</f>
        <v>BIAN</v>
      </c>
      <c r="Z667" s="9"/>
    </row>
    <row r="668" ht="22.5" customHeight="1">
      <c r="A668" s="49"/>
      <c r="C668" s="400">
        <v>46049.0</v>
      </c>
      <c r="D668" s="69">
        <v>135.0</v>
      </c>
      <c r="E668" s="69" t="s">
        <v>74</v>
      </c>
      <c r="F668" s="140" t="s">
        <v>814</v>
      </c>
      <c r="G668" s="524">
        <v>2.0</v>
      </c>
      <c r="H668" s="140">
        <v>70000.0</v>
      </c>
      <c r="I668" s="140">
        <v>80000.0</v>
      </c>
      <c r="J668" s="192">
        <v>46079.0</v>
      </c>
      <c r="K668" s="74">
        <f>if(F668="SERVICE",O668-(O668*50%),Vlookup(F668,DATABASE!C:Q,10,false)*G668)</f>
        <v>0</v>
      </c>
      <c r="L668" s="74">
        <f>VLOOKUP(F668,DATABASE!C:Q,7,FALSE)</f>
        <v>39440</v>
      </c>
      <c r="M668" s="74">
        <v>39440.0</v>
      </c>
      <c r="N668" s="74">
        <f t="shared" si="8"/>
        <v>40000</v>
      </c>
      <c r="O668" s="74">
        <f t="shared" si="3"/>
        <v>140000</v>
      </c>
      <c r="P668" s="63">
        <f t="shared" si="4"/>
        <v>160000</v>
      </c>
      <c r="Q668" s="63">
        <f t="shared" si="5"/>
        <v>80000</v>
      </c>
      <c r="R668" s="93" t="str">
        <f>VLOOKUP(F668,DATABASE!C:Q,4,false)</f>
        <v>Flap</v>
      </c>
      <c r="S668" s="93" t="str">
        <f>VLOOKUP(F668,DATABASE!C:P,11,false)</f>
        <v>Tire</v>
      </c>
      <c r="T668" s="93" t="str">
        <f>vlookup(F668,DATABASE!C:Q,8,false)</f>
        <v>BIAN</v>
      </c>
      <c r="Z668" s="9"/>
    </row>
    <row r="669" ht="22.5" customHeight="1">
      <c r="A669" s="49"/>
      <c r="C669" s="400">
        <v>46050.0</v>
      </c>
      <c r="D669" s="69">
        <v>148.0</v>
      </c>
      <c r="E669" s="69" t="s">
        <v>935</v>
      </c>
      <c r="F669" s="140" t="s">
        <v>1976</v>
      </c>
      <c r="G669" s="524">
        <v>2.0</v>
      </c>
      <c r="H669" s="140">
        <v>1210000.0</v>
      </c>
      <c r="I669" s="140">
        <v>1310000.0</v>
      </c>
      <c r="J669" s="192">
        <v>46080.0</v>
      </c>
      <c r="K669" s="74">
        <f>if(F669="SERVICE",O669-(O669*50%),Vlookup(F669,DATABASE!C:Q,10,false)*G669)</f>
        <v>0</v>
      </c>
      <c r="L669" s="74">
        <f>VLOOKUP(F669,DATABASE!C:Q,7,FALSE)</f>
        <v>1108560</v>
      </c>
      <c r="M669" s="74">
        <v>1108560.0</v>
      </c>
      <c r="N669" s="74">
        <f t="shared" si="8"/>
        <v>1110000</v>
      </c>
      <c r="O669" s="74">
        <f t="shared" si="3"/>
        <v>2420000</v>
      </c>
      <c r="P669" s="63">
        <f t="shared" si="4"/>
        <v>2620000</v>
      </c>
      <c r="Q669" s="63">
        <f t="shared" si="5"/>
        <v>400000</v>
      </c>
      <c r="R669" s="93" t="str">
        <f>VLOOKUP(F669,DATABASE!C:Q,4,false)</f>
        <v>GT</v>
      </c>
      <c r="S669" s="93" t="str">
        <f>VLOOKUP(F669,DATABASE!C:P,11,false)</f>
        <v>Tire</v>
      </c>
      <c r="T669" s="93" t="str">
        <f>vlookup(F669,DATABASE!C:Q,8,false)</f>
        <v>BIAN</v>
      </c>
      <c r="Z669" s="9"/>
    </row>
    <row r="670" ht="22.5" customHeight="1">
      <c r="A670" s="49"/>
      <c r="C670" s="400">
        <v>46051.0</v>
      </c>
      <c r="D670" s="69">
        <v>159.0</v>
      </c>
      <c r="E670" s="69" t="s">
        <v>1100</v>
      </c>
      <c r="F670" s="140" t="s">
        <v>1871</v>
      </c>
      <c r="G670" s="524">
        <v>2.0</v>
      </c>
      <c r="H670" s="140">
        <v>3300000.0</v>
      </c>
      <c r="I670" s="140">
        <v>3350000.0</v>
      </c>
      <c r="J670" s="192">
        <v>46081.0</v>
      </c>
      <c r="K670" s="74">
        <f>if(F670="SERVICE",O670-(O670*50%),Vlookup(F670,DATABASE!C:Q,10,false)*G670)</f>
        <v>0</v>
      </c>
      <c r="L670" s="74">
        <f>VLOOKUP(F670,DATABASE!C:Q,7,FALSE)</f>
        <v>3190000</v>
      </c>
      <c r="M670" s="74">
        <v>3160000.0</v>
      </c>
      <c r="N670" s="74">
        <f t="shared" si="8"/>
        <v>3160000</v>
      </c>
      <c r="O670" s="74">
        <f t="shared" si="3"/>
        <v>6600000</v>
      </c>
      <c r="P670" s="63">
        <f t="shared" si="4"/>
        <v>6700000</v>
      </c>
      <c r="Q670" s="63">
        <f t="shared" si="5"/>
        <v>380000</v>
      </c>
      <c r="R670" s="93" t="str">
        <f>VLOOKUP(F670,DATABASE!C:Q,4,false)</f>
        <v>GT</v>
      </c>
      <c r="S670" s="93" t="str">
        <f>VLOOKUP(F670,DATABASE!C:P,11,false)</f>
        <v>Tire</v>
      </c>
      <c r="T670" s="93" t="str">
        <f>vlookup(F670,DATABASE!C:Q,8,false)</f>
        <v>BIAN</v>
      </c>
      <c r="Z670" s="9"/>
    </row>
    <row r="671" ht="22.5" customHeight="1">
      <c r="A671" s="49"/>
      <c r="C671" s="400">
        <v>46052.0</v>
      </c>
      <c r="D671" s="69">
        <v>173.0</v>
      </c>
      <c r="E671" s="69" t="s">
        <v>254</v>
      </c>
      <c r="F671" s="140" t="s">
        <v>403</v>
      </c>
      <c r="G671" s="69">
        <v>2.0</v>
      </c>
      <c r="H671" s="140">
        <v>2260000.0</v>
      </c>
      <c r="I671" s="140">
        <v>2360000.0</v>
      </c>
      <c r="J671" s="192">
        <v>46082.0</v>
      </c>
      <c r="K671" s="74">
        <f>if(F671="SERVICE",O671-(O671*50%),Vlookup(F671,DATABASE!C:Q,10,false)*G671)</f>
        <v>0</v>
      </c>
      <c r="L671" s="74">
        <f>VLOOKUP(F671,DATABASE!C:Q,7,FALSE)</f>
        <v>2160000</v>
      </c>
      <c r="M671" s="74">
        <v>2160000.0</v>
      </c>
      <c r="N671" s="74">
        <f t="shared" si="8"/>
        <v>2160000</v>
      </c>
      <c r="O671" s="74">
        <f t="shared" si="3"/>
        <v>4520000</v>
      </c>
      <c r="P671" s="63">
        <f t="shared" si="4"/>
        <v>4720000</v>
      </c>
      <c r="Q671" s="63">
        <f t="shared" si="5"/>
        <v>400000</v>
      </c>
      <c r="R671" s="93" t="str">
        <f>VLOOKUP(F671,DATABASE!C:Q,4,false)</f>
        <v>Advance</v>
      </c>
      <c r="S671" s="93" t="str">
        <f>VLOOKUP(F671,DATABASE!C:P,11,false)</f>
        <v>Tire</v>
      </c>
      <c r="T671" s="93" t="str">
        <f>vlookup(F671,DATABASE!C:Q,8,false)</f>
        <v>BIAN</v>
      </c>
      <c r="Z671" s="9"/>
    </row>
    <row r="672" ht="22.5" customHeight="1">
      <c r="A672" s="49"/>
      <c r="C672" s="400">
        <v>46055.0</v>
      </c>
      <c r="D672" s="69">
        <v>197.0</v>
      </c>
      <c r="E672" s="69" t="s">
        <v>555</v>
      </c>
      <c r="F672" s="140" t="s">
        <v>572</v>
      </c>
      <c r="G672" s="524">
        <v>2.0</v>
      </c>
      <c r="H672" s="140">
        <v>1350000.0</v>
      </c>
      <c r="I672" s="140">
        <v>1450000.0</v>
      </c>
      <c r="J672" s="192">
        <v>46085.0</v>
      </c>
      <c r="K672" s="74">
        <f>if(F672="SERVICE",O672-(O672*50%),Vlookup(F672,DATABASE!C:Q,10,false)*G672)</f>
        <v>0</v>
      </c>
      <c r="L672" s="74">
        <f>VLOOKUP(F672,DATABASE!C:Q,7,FALSE)</f>
        <v>1265000</v>
      </c>
      <c r="M672" s="74">
        <v>1245000.0</v>
      </c>
      <c r="N672" s="74">
        <f t="shared" si="8"/>
        <v>1245000</v>
      </c>
      <c r="O672" s="74">
        <f t="shared" si="3"/>
        <v>2700000</v>
      </c>
      <c r="P672" s="63">
        <f t="shared" si="4"/>
        <v>2900000</v>
      </c>
      <c r="Q672" s="63">
        <f t="shared" si="5"/>
        <v>410000</v>
      </c>
      <c r="R672" s="93" t="str">
        <f>VLOOKUP(F672,DATABASE!C:Q,4,false)</f>
        <v>Bridgestone</v>
      </c>
      <c r="S672" s="93" t="str">
        <f>VLOOKUP(F672,DATABASE!C:P,11,false)</f>
        <v>Tire</v>
      </c>
      <c r="T672" s="93" t="str">
        <f>vlookup(F672,DATABASE!C:Q,8,false)</f>
        <v>IBU</v>
      </c>
      <c r="Z672" s="9"/>
    </row>
    <row r="673" ht="22.5" customHeight="1">
      <c r="A673" s="49"/>
      <c r="C673" s="400">
        <v>46055.0</v>
      </c>
      <c r="D673" s="69">
        <v>197.0</v>
      </c>
      <c r="E673" s="69" t="s">
        <v>555</v>
      </c>
      <c r="F673" s="140" t="s">
        <v>652</v>
      </c>
      <c r="G673" s="524">
        <v>2.0</v>
      </c>
      <c r="H673" s="140">
        <v>260000.0</v>
      </c>
      <c r="I673" s="140">
        <v>280000.0</v>
      </c>
      <c r="J673" s="192">
        <v>46085.0</v>
      </c>
      <c r="K673" s="74">
        <f>if(F673="SERVICE",O673-(O673*50%),Vlookup(F673,DATABASE!C:Q,10,false)*G673)</f>
        <v>0</v>
      </c>
      <c r="L673" s="74">
        <f>VLOOKUP(F673,DATABASE!C:Q,7,FALSE)</f>
        <v>231268</v>
      </c>
      <c r="M673" s="74">
        <v>227850.0</v>
      </c>
      <c r="N673" s="74">
        <f t="shared" si="8"/>
        <v>230000</v>
      </c>
      <c r="O673" s="74">
        <f t="shared" si="3"/>
        <v>520000</v>
      </c>
      <c r="P673" s="63">
        <f t="shared" si="4"/>
        <v>560000</v>
      </c>
      <c r="Q673" s="63">
        <f t="shared" si="5"/>
        <v>100000</v>
      </c>
      <c r="R673" s="93" t="str">
        <f>VLOOKUP(F673,DATABASE!C:Q,4,false)</f>
        <v>BD</v>
      </c>
      <c r="S673" s="93" t="str">
        <f>VLOOKUP(F673,DATABASE!C:P,11,false)</f>
        <v>Tire</v>
      </c>
      <c r="T673" s="93" t="str">
        <f>vlookup(F673,DATABASE!C:Q,8,false)</f>
        <v>IBU</v>
      </c>
      <c r="Z673" s="9"/>
    </row>
    <row r="674" ht="22.5" customHeight="1">
      <c r="A674" s="49"/>
      <c r="C674" s="400">
        <v>46055.0</v>
      </c>
      <c r="D674" s="69">
        <v>197.0</v>
      </c>
      <c r="E674" s="69" t="s">
        <v>555</v>
      </c>
      <c r="F674" s="140" t="s">
        <v>814</v>
      </c>
      <c r="G674" s="524">
        <v>2.0</v>
      </c>
      <c r="H674" s="140">
        <v>70000.0</v>
      </c>
      <c r="I674" s="140">
        <v>80000.0</v>
      </c>
      <c r="J674" s="192">
        <v>46085.0</v>
      </c>
      <c r="K674" s="74">
        <f>if(F674="SERVICE",O674-(O674*50%),Vlookup(F674,DATABASE!C:Q,10,false)*G674)</f>
        <v>0</v>
      </c>
      <c r="L674" s="74">
        <f>VLOOKUP(F674,DATABASE!C:Q,7,FALSE)</f>
        <v>39440</v>
      </c>
      <c r="M674" s="74">
        <v>39440.0</v>
      </c>
      <c r="N674" s="74">
        <f t="shared" si="8"/>
        <v>40000</v>
      </c>
      <c r="O674" s="74">
        <f t="shared" si="3"/>
        <v>140000</v>
      </c>
      <c r="P674" s="63">
        <f t="shared" si="4"/>
        <v>160000</v>
      </c>
      <c r="Q674" s="63">
        <f t="shared" si="5"/>
        <v>80000</v>
      </c>
      <c r="R674" s="93" t="str">
        <f>VLOOKUP(F674,DATABASE!C:Q,4,false)</f>
        <v>Flap</v>
      </c>
      <c r="S674" s="93" t="str">
        <f>VLOOKUP(F674,DATABASE!C:P,11,false)</f>
        <v>Tire</v>
      </c>
      <c r="T674" s="93" t="str">
        <f>vlookup(F674,DATABASE!C:Q,8,false)</f>
        <v>BIAN</v>
      </c>
      <c r="Z674" s="9"/>
    </row>
    <row r="675" ht="22.5" customHeight="1">
      <c r="A675" s="49"/>
      <c r="C675" s="400">
        <v>46055.0</v>
      </c>
      <c r="D675" s="69">
        <v>198.0</v>
      </c>
      <c r="E675" s="69" t="s">
        <v>1156</v>
      </c>
      <c r="F675" s="140" t="s">
        <v>275</v>
      </c>
      <c r="G675" s="524">
        <v>2.0</v>
      </c>
      <c r="H675" s="140">
        <v>830000.0</v>
      </c>
      <c r="I675" s="140">
        <v>910000.0</v>
      </c>
      <c r="J675" s="192">
        <v>46085.0</v>
      </c>
      <c r="K675" s="74">
        <f>if(F675="SERVICE",O675-(O675*50%),Vlookup(F675,DATABASE!C:Q,10,false)*G675)</f>
        <v>0</v>
      </c>
      <c r="L675" s="74">
        <f>VLOOKUP(F675,DATABASE!C:Q,7,FALSE)</f>
        <v>782000</v>
      </c>
      <c r="M675" s="74">
        <v>745000.0</v>
      </c>
      <c r="N675" s="74">
        <f t="shared" si="8"/>
        <v>745000</v>
      </c>
      <c r="O675" s="74">
        <f t="shared" si="3"/>
        <v>1660000</v>
      </c>
      <c r="P675" s="63">
        <f t="shared" si="4"/>
        <v>1820000</v>
      </c>
      <c r="Q675" s="63">
        <f t="shared" si="5"/>
        <v>330000</v>
      </c>
      <c r="R675" s="93" t="str">
        <f>VLOOKUP(F675,DATABASE!C:Q,4,false)</f>
        <v>Dunlop</v>
      </c>
      <c r="S675" s="93" t="str">
        <f>VLOOKUP(F675,DATABASE!C:P,11,false)</f>
        <v>Tire</v>
      </c>
      <c r="T675" s="93" t="str">
        <f>vlookup(F675,DATABASE!C:Q,8,false)</f>
        <v>IBU</v>
      </c>
      <c r="Z675" s="9"/>
    </row>
    <row r="676" ht="22.5" customHeight="1">
      <c r="A676" s="49"/>
      <c r="C676" s="400">
        <v>46056.0</v>
      </c>
      <c r="D676" s="69">
        <v>220.0</v>
      </c>
      <c r="E676" s="69" t="s">
        <v>208</v>
      </c>
      <c r="F676" s="140" t="s">
        <v>1237</v>
      </c>
      <c r="G676" s="524">
        <v>1.0</v>
      </c>
      <c r="H676" s="140">
        <v>1235000.0</v>
      </c>
      <c r="I676" s="140">
        <v>1330000.0</v>
      </c>
      <c r="J676" s="192">
        <v>46086.0</v>
      </c>
      <c r="K676" s="74">
        <f>if(F676="SERVICE",O676-(O676*50%),Vlookup(F676,DATABASE!C:Q,10,false)*G676)</f>
        <v>0</v>
      </c>
      <c r="L676" s="74">
        <f>VLOOKUP(F676,DATABASE!C:Q,7,FALSE)</f>
        <v>1170353.16</v>
      </c>
      <c r="M676" s="74">
        <v>1130842.0</v>
      </c>
      <c r="N676" s="74">
        <f t="shared" si="8"/>
        <v>1135000</v>
      </c>
      <c r="O676" s="74">
        <f t="shared" si="3"/>
        <v>1235000</v>
      </c>
      <c r="P676" s="63">
        <f t="shared" si="4"/>
        <v>1330000</v>
      </c>
      <c r="Q676" s="63">
        <f t="shared" si="5"/>
        <v>195000</v>
      </c>
      <c r="R676" s="93" t="str">
        <f>VLOOKUP(F676,DATABASE!C:Q,4,false)</f>
        <v>Bridgestone</v>
      </c>
      <c r="S676" s="93" t="str">
        <f>VLOOKUP(F676,DATABASE!C:P,11,false)</f>
        <v>Tire</v>
      </c>
      <c r="T676" s="93" t="str">
        <f>vlookup(F676,DATABASE!C:Q,8,false)</f>
        <v>IBU</v>
      </c>
      <c r="Z676" s="9"/>
    </row>
    <row r="677" ht="22.5" customHeight="1">
      <c r="A677" s="49"/>
      <c r="C677" s="400">
        <v>46057.0</v>
      </c>
      <c r="D677" s="69">
        <v>230.0</v>
      </c>
      <c r="E677" s="69" t="s">
        <v>267</v>
      </c>
      <c r="F677" s="140" t="s">
        <v>295</v>
      </c>
      <c r="G677" s="524">
        <v>1.0</v>
      </c>
      <c r="H677" s="140">
        <v>1525000.0</v>
      </c>
      <c r="I677" s="140">
        <v>1625000.0</v>
      </c>
      <c r="J677" s="192">
        <v>46087.0</v>
      </c>
      <c r="K677" s="74">
        <f>if(F677="SERVICE",O677-(O677*50%),Vlookup(F677,DATABASE!C:Q,10,false)*G677)</f>
        <v>0</v>
      </c>
      <c r="L677" s="74">
        <f>VLOOKUP(F677,DATABASE!C:Q,7,FALSE)</f>
        <v>1475000</v>
      </c>
      <c r="M677" s="74">
        <v>1425000.0</v>
      </c>
      <c r="N677" s="74">
        <f t="shared" si="8"/>
        <v>1425000</v>
      </c>
      <c r="O677" s="74">
        <f t="shared" si="3"/>
        <v>1525000</v>
      </c>
      <c r="P677" s="63">
        <f t="shared" si="4"/>
        <v>1625000</v>
      </c>
      <c r="Q677" s="63">
        <f t="shared" si="5"/>
        <v>200000</v>
      </c>
      <c r="R677" s="93" t="str">
        <f>VLOOKUP(F677,DATABASE!C:Q,4,false)</f>
        <v>TIRON</v>
      </c>
      <c r="S677" s="93" t="str">
        <f>VLOOKUP(F677,DATABASE!C:P,11,false)</f>
        <v>Tire</v>
      </c>
      <c r="T677" s="93" t="str">
        <f>vlookup(F677,DATABASE!C:Q,8,false)</f>
        <v>BIAN</v>
      </c>
      <c r="Z677" s="9"/>
    </row>
    <row r="678" ht="22.5" customHeight="1">
      <c r="A678" s="49"/>
      <c r="C678" s="400">
        <v>46060.0</v>
      </c>
      <c r="D678" s="69">
        <v>262.0</v>
      </c>
      <c r="E678" s="69" t="s">
        <v>911</v>
      </c>
      <c r="F678" s="140" t="s">
        <v>391</v>
      </c>
      <c r="G678" s="524">
        <v>1.0</v>
      </c>
      <c r="H678" s="140">
        <v>1950000.0</v>
      </c>
      <c r="I678" s="140">
        <v>2050000.0</v>
      </c>
      <c r="J678" s="192">
        <v>46090.0</v>
      </c>
      <c r="K678" s="74">
        <f>if(F678="SERVICE",O678-(O678*50%),Vlookup(F678,DATABASE!C:Q,10,false)*G678)</f>
        <v>0</v>
      </c>
      <c r="L678" s="74">
        <f>VLOOKUP(F678,DATABASE!C:Q,7,FALSE)</f>
        <v>1885000</v>
      </c>
      <c r="M678" s="74">
        <v>1840000.0</v>
      </c>
      <c r="N678" s="74">
        <f t="shared" si="8"/>
        <v>1840000</v>
      </c>
      <c r="O678" s="74">
        <f t="shared" si="3"/>
        <v>1950000</v>
      </c>
      <c r="P678" s="63">
        <f t="shared" si="4"/>
        <v>2050000</v>
      </c>
      <c r="Q678" s="63">
        <f t="shared" si="5"/>
        <v>210000</v>
      </c>
      <c r="R678" s="93" t="str">
        <f>VLOOKUP(F678,DATABASE!C:Q,4,false)</f>
        <v>Advance</v>
      </c>
      <c r="S678" s="93" t="str">
        <f>VLOOKUP(F678,DATABASE!C:P,11,false)</f>
        <v>Tire</v>
      </c>
      <c r="T678" s="93" t="str">
        <f>vlookup(F678,DATABASE!C:Q,8,false)</f>
        <v>BIAN</v>
      </c>
      <c r="Z678" s="9"/>
    </row>
    <row r="679" ht="22.5" customHeight="1">
      <c r="A679" s="49"/>
      <c r="C679" s="400">
        <v>46061.0</v>
      </c>
      <c r="D679" s="524">
        <v>280.0</v>
      </c>
      <c r="E679" s="69" t="s">
        <v>544</v>
      </c>
      <c r="F679" s="140" t="s">
        <v>268</v>
      </c>
      <c r="G679" s="524">
        <v>4.0</v>
      </c>
      <c r="H679" s="140">
        <v>710000.0</v>
      </c>
      <c r="I679" s="140">
        <v>790000.0</v>
      </c>
      <c r="J679" s="192">
        <v>46092.0</v>
      </c>
      <c r="K679" s="74">
        <f>if(F679="SERVICE",O679-(O679*50%),Vlookup(F679,DATABASE!C:Q,10,false)*G679)</f>
        <v>0</v>
      </c>
      <c r="L679" s="74">
        <f>VLOOKUP(F679,DATABASE!C:Q,7,FALSE)</f>
        <v>653000</v>
      </c>
      <c r="M679" s="74">
        <v>622000.0</v>
      </c>
      <c r="N679" s="74">
        <f t="shared" si="8"/>
        <v>625000</v>
      </c>
      <c r="O679" s="74">
        <f t="shared" si="3"/>
        <v>2840000</v>
      </c>
      <c r="P679" s="63">
        <f t="shared" si="4"/>
        <v>3160000</v>
      </c>
      <c r="Q679" s="63">
        <f t="shared" si="5"/>
        <v>660000</v>
      </c>
      <c r="R679" s="93" t="str">
        <f>VLOOKUP(F679,DATABASE!C:Q,4,false)</f>
        <v>Dunlop</v>
      </c>
      <c r="S679" s="93" t="str">
        <f>VLOOKUP(F679,DATABASE!C:P,11,false)</f>
        <v>Tire</v>
      </c>
      <c r="T679" s="93" t="str">
        <f>vlookup(F679,DATABASE!C:Q,8,false)</f>
        <v>IBU</v>
      </c>
      <c r="Z679" s="9"/>
    </row>
    <row r="680" ht="22.5" customHeight="1">
      <c r="A680" s="49"/>
      <c r="C680" s="400">
        <v>46061.0</v>
      </c>
      <c r="D680" s="69">
        <v>280.0</v>
      </c>
      <c r="E680" s="69" t="s">
        <v>544</v>
      </c>
      <c r="F680" s="140" t="s">
        <v>246</v>
      </c>
      <c r="G680" s="524">
        <v>4.0</v>
      </c>
      <c r="H680" s="140">
        <v>30000.0</v>
      </c>
      <c r="I680" s="140">
        <v>30000.0</v>
      </c>
      <c r="J680" s="192">
        <v>46092.0</v>
      </c>
      <c r="K680" s="74">
        <f>if(F680="SERVICE",O680-(O680*50%),Vlookup(F680,DATABASE!C:Q,10,false)*G680)</f>
        <v>0</v>
      </c>
      <c r="L680" s="74">
        <f>VLOOKUP(F680,DATABASE!C:Q,7,FALSE)</f>
        <v>0</v>
      </c>
      <c r="M680" s="74">
        <v>0.0</v>
      </c>
      <c r="N680" s="74">
        <f t="shared" si="8"/>
        <v>0</v>
      </c>
      <c r="O680" s="74">
        <f t="shared" si="3"/>
        <v>120000</v>
      </c>
      <c r="P680" s="63">
        <f t="shared" si="4"/>
        <v>120000</v>
      </c>
      <c r="Q680" s="63">
        <f t="shared" si="5"/>
        <v>120000</v>
      </c>
      <c r="R680" s="93" t="str">
        <f>VLOOKUP(F680,DATABASE!C:Q,4,false)</f>
        <v>Bongkar Pasang</v>
      </c>
      <c r="S680" s="93" t="str">
        <f>VLOOKUP(F680,DATABASE!C:P,11,false)</f>
        <v>SERVICE</v>
      </c>
      <c r="T680" s="93" t="str">
        <f>vlookup(F680,DATABASE!C:Q,8,false)</f>
        <v>IBU</v>
      </c>
      <c r="Z680" s="9"/>
    </row>
    <row r="681" ht="22.5" customHeight="1">
      <c r="A681" s="49"/>
      <c r="C681" s="400">
        <v>46061.0</v>
      </c>
      <c r="D681" s="69">
        <v>280.0</v>
      </c>
      <c r="E681" s="69" t="s">
        <v>544</v>
      </c>
      <c r="F681" s="140" t="s">
        <v>299</v>
      </c>
      <c r="G681" s="524">
        <v>4.0</v>
      </c>
      <c r="H681" s="140">
        <v>30000.0</v>
      </c>
      <c r="I681" s="140">
        <v>35000.0</v>
      </c>
      <c r="J681" s="192">
        <v>46092.0</v>
      </c>
      <c r="K681" s="74">
        <f>if(F681="SERVICE",O681-(O681*50%),Vlookup(F681,DATABASE!C:Q,10,false)*G681)</f>
        <v>0</v>
      </c>
      <c r="L681" s="74">
        <f>VLOOKUP(F681,DATABASE!C:Q,7,FALSE)</f>
        <v>10000</v>
      </c>
      <c r="M681" s="74">
        <v>10000.0</v>
      </c>
      <c r="N681" s="74">
        <f t="shared" si="8"/>
        <v>10000</v>
      </c>
      <c r="O681" s="74">
        <f t="shared" si="3"/>
        <v>120000</v>
      </c>
      <c r="P681" s="63">
        <f t="shared" si="4"/>
        <v>140000</v>
      </c>
      <c r="Q681" s="63">
        <f t="shared" si="5"/>
        <v>100000</v>
      </c>
      <c r="R681" s="93" t="str">
        <f>VLOOKUP(F681,DATABASE!C:Q,4,false)</f>
        <v>Balancing</v>
      </c>
      <c r="S681" s="93" t="str">
        <f>VLOOKUP(F681,DATABASE!C:P,11,false)</f>
        <v>COMPLEMENTARY</v>
      </c>
      <c r="T681" s="93" t="str">
        <f>vlookup(F681,DATABASE!C:Q,8,false)</f>
        <v>BIAN</v>
      </c>
      <c r="Z681" s="9"/>
    </row>
    <row r="682" ht="22.5" customHeight="1">
      <c r="A682" s="49"/>
      <c r="C682" s="400">
        <v>46062.0</v>
      </c>
      <c r="D682" s="69">
        <v>272.0</v>
      </c>
      <c r="E682" s="69" t="s">
        <v>259</v>
      </c>
      <c r="F682" s="140" t="s">
        <v>940</v>
      </c>
      <c r="G682" s="524">
        <v>1.0</v>
      </c>
      <c r="H682" s="140">
        <v>800000.0</v>
      </c>
      <c r="I682" s="140">
        <v>880000.0</v>
      </c>
      <c r="J682" s="192">
        <v>46092.0</v>
      </c>
      <c r="K682" s="74">
        <f>if(F682="SERVICE",O682-(O682*50%),Vlookup(F682,DATABASE!C:Q,10,false)*G682)</f>
        <v>0</v>
      </c>
      <c r="L682" s="74">
        <f>VLOOKUP(F682,DATABASE!C:Q,7,FALSE)</f>
        <v>716500</v>
      </c>
      <c r="M682" s="74">
        <v>709000.0</v>
      </c>
      <c r="N682" s="74">
        <f t="shared" si="8"/>
        <v>710000</v>
      </c>
      <c r="O682" s="74">
        <f t="shared" si="3"/>
        <v>800000</v>
      </c>
      <c r="P682" s="63">
        <f t="shared" si="4"/>
        <v>880000</v>
      </c>
      <c r="Q682" s="63">
        <f t="shared" si="5"/>
        <v>170000</v>
      </c>
      <c r="R682" s="93" t="str">
        <f>VLOOKUP(F682,DATABASE!C:Q,4,false)</f>
        <v>Dunlop</v>
      </c>
      <c r="S682" s="93" t="str">
        <f>VLOOKUP(F682,DATABASE!C:P,11,false)</f>
        <v>Tire</v>
      </c>
      <c r="T682" s="93" t="str">
        <f>vlookup(F682,DATABASE!C:Q,8,false)</f>
        <v>IBU</v>
      </c>
      <c r="Z682" s="9"/>
    </row>
    <row r="683" ht="22.5" customHeight="1">
      <c r="A683" s="49"/>
      <c r="C683" s="400">
        <v>46063.0</v>
      </c>
      <c r="D683" s="69">
        <v>294.0</v>
      </c>
      <c r="E683" s="69" t="s">
        <v>1085</v>
      </c>
      <c r="F683" s="140" t="s">
        <v>265</v>
      </c>
      <c r="G683" s="524">
        <v>1.0</v>
      </c>
      <c r="H683" s="140">
        <v>685000.0</v>
      </c>
      <c r="I683" s="140">
        <v>685000.0</v>
      </c>
      <c r="J683" s="192">
        <v>46093.0</v>
      </c>
      <c r="K683" s="74">
        <f>if(F683="SERVICE",O683-(O683*50%),Vlookup(F683,DATABASE!C:Q,10,false)*G683)</f>
        <v>0</v>
      </c>
      <c r="L683" s="74">
        <f>VLOOKUP(F683,DATABASE!C:Q,7,FALSE)</f>
        <v>628000</v>
      </c>
      <c r="M683" s="74">
        <v>600000.0</v>
      </c>
      <c r="N683" s="74">
        <f t="shared" si="8"/>
        <v>600000</v>
      </c>
      <c r="O683" s="74">
        <f t="shared" si="3"/>
        <v>685000</v>
      </c>
      <c r="P683" s="63">
        <f t="shared" si="4"/>
        <v>685000</v>
      </c>
      <c r="Q683" s="63">
        <f t="shared" si="5"/>
        <v>85000</v>
      </c>
      <c r="R683" s="93" t="str">
        <f>VLOOKUP(F683,DATABASE!C:Q,4,false)</f>
        <v>Dunlop</v>
      </c>
      <c r="S683" s="93" t="str">
        <f>VLOOKUP(F683,DATABASE!C:P,11,false)</f>
        <v>Tire</v>
      </c>
      <c r="T683" s="93" t="str">
        <f>vlookup(F683,DATABASE!C:Q,8,false)</f>
        <v>IBU</v>
      </c>
      <c r="Z683" s="9"/>
    </row>
    <row r="684" ht="22.5" customHeight="1">
      <c r="A684" s="49"/>
      <c r="C684" s="400">
        <v>46064.0</v>
      </c>
      <c r="D684" s="69">
        <v>302.0</v>
      </c>
      <c r="E684" s="69" t="s">
        <v>962</v>
      </c>
      <c r="F684" s="140" t="s">
        <v>569</v>
      </c>
      <c r="G684" s="524">
        <v>1.0</v>
      </c>
      <c r="H684" s="140">
        <v>80000.0</v>
      </c>
      <c r="I684" s="140">
        <v>100000.0</v>
      </c>
      <c r="J684" s="192">
        <v>46094.0</v>
      </c>
      <c r="K684" s="74">
        <f>if(F684="SERVICE",O684-(O684*50%),Vlookup(F684,DATABASE!C:Q,10,false)*G684)</f>
        <v>0</v>
      </c>
      <c r="L684" s="74">
        <f>VLOOKUP(F684,DATABASE!C:Q,7,FALSE)</f>
        <v>45439.582</v>
      </c>
      <c r="M684" s="74">
        <v>45309.6</v>
      </c>
      <c r="N684" s="74">
        <f t="shared" si="8"/>
        <v>50000</v>
      </c>
      <c r="O684" s="74">
        <f t="shared" si="3"/>
        <v>80000</v>
      </c>
      <c r="P684" s="63">
        <f t="shared" si="4"/>
        <v>100000</v>
      </c>
      <c r="Q684" s="63">
        <f t="shared" si="5"/>
        <v>50000</v>
      </c>
      <c r="R684" s="93" t="str">
        <f>VLOOKUP(F684,DATABASE!C:Q,4,false)</f>
        <v>BD</v>
      </c>
      <c r="S684" s="93" t="str">
        <f>VLOOKUP(F684,DATABASE!C:P,11,false)</f>
        <v>Tire</v>
      </c>
      <c r="T684" s="93" t="str">
        <f>vlookup(F684,DATABASE!C:Q,8,false)</f>
        <v>BIAN</v>
      </c>
      <c r="Z684" s="9"/>
    </row>
    <row r="685" ht="22.5" customHeight="1">
      <c r="A685" s="49"/>
      <c r="C685" s="400">
        <v>46064.0</v>
      </c>
      <c r="D685" s="69">
        <v>302.0</v>
      </c>
      <c r="E685" s="69" t="s">
        <v>962</v>
      </c>
      <c r="F685" s="140" t="s">
        <v>781</v>
      </c>
      <c r="G685" s="524">
        <v>2.0</v>
      </c>
      <c r="H685" s="140">
        <v>530000.0</v>
      </c>
      <c r="I685" s="140">
        <v>610000.0</v>
      </c>
      <c r="J685" s="192">
        <v>46094.0</v>
      </c>
      <c r="K685" s="74">
        <f>if(F685="SERVICE",O685-(O685*50%),Vlookup(F685,DATABASE!C:Q,10,false)*G685)</f>
        <v>0</v>
      </c>
      <c r="L685" s="74">
        <f>VLOOKUP(F685,DATABASE!C:Q,7,FALSE)</f>
        <v>470000</v>
      </c>
      <c r="M685" s="74">
        <v>442500.0</v>
      </c>
      <c r="N685" s="74">
        <f t="shared" si="8"/>
        <v>445000</v>
      </c>
      <c r="O685" s="74">
        <f t="shared" si="3"/>
        <v>1060000</v>
      </c>
      <c r="P685" s="63">
        <f t="shared" si="4"/>
        <v>1220000</v>
      </c>
      <c r="Q685" s="63">
        <f t="shared" si="5"/>
        <v>330000</v>
      </c>
      <c r="R685" s="93" t="str">
        <f>VLOOKUP(F685,DATABASE!C:Q,4,false)</f>
        <v>GT</v>
      </c>
      <c r="S685" s="93" t="str">
        <f>VLOOKUP(F685,DATABASE!C:P,11,false)</f>
        <v>Tire</v>
      </c>
      <c r="T685" s="93" t="str">
        <f>vlookup(F685,DATABASE!C:Q,8,false)</f>
        <v>BIAN</v>
      </c>
      <c r="Z685" s="9"/>
    </row>
    <row r="686" ht="22.5" customHeight="1">
      <c r="A686" s="49"/>
      <c r="C686" s="400">
        <v>46065.0</v>
      </c>
      <c r="D686" s="93"/>
      <c r="E686" s="69" t="s">
        <v>641</v>
      </c>
      <c r="F686" s="140" t="s">
        <v>566</v>
      </c>
      <c r="G686" s="524">
        <v>1.0</v>
      </c>
      <c r="H686" s="140">
        <v>1650000.0</v>
      </c>
      <c r="I686" s="140">
        <v>1750000.0</v>
      </c>
      <c r="J686" s="192">
        <v>46112.0</v>
      </c>
      <c r="K686" s="74">
        <f>if(F686="SERVICE",O686-(O686*50%),Vlookup(F686,DATABASE!C:Q,10,false)*G686)</f>
        <v>0</v>
      </c>
      <c r="L686" s="74">
        <f>VLOOKUP(F686,DATABASE!C:Q,7,FALSE)</f>
        <v>1565000</v>
      </c>
      <c r="M686" s="74">
        <v>1545000.0</v>
      </c>
      <c r="N686" s="74">
        <f t="shared" si="8"/>
        <v>1545000</v>
      </c>
      <c r="O686" s="74">
        <f t="shared" si="3"/>
        <v>1650000</v>
      </c>
      <c r="P686" s="63">
        <f t="shared" si="4"/>
        <v>1750000</v>
      </c>
      <c r="Q686" s="63">
        <f t="shared" si="5"/>
        <v>205000</v>
      </c>
      <c r="R686" s="93" t="str">
        <f>VLOOKUP(F686,DATABASE!C:Q,4,false)</f>
        <v>Bridgestone</v>
      </c>
      <c r="S686" s="93" t="str">
        <f>VLOOKUP(F686,DATABASE!C:P,11,false)</f>
        <v>Tire</v>
      </c>
      <c r="T686" s="93" t="str">
        <f>vlookup(F686,DATABASE!C:Q,8,false)</f>
        <v>IBU</v>
      </c>
      <c r="Z686" s="9"/>
    </row>
    <row r="687" ht="22.5" customHeight="1">
      <c r="A687" s="49"/>
      <c r="C687" s="400">
        <v>46067.0</v>
      </c>
      <c r="D687" s="69">
        <v>344.0</v>
      </c>
      <c r="E687" s="69" t="s">
        <v>735</v>
      </c>
      <c r="F687" s="140" t="s">
        <v>391</v>
      </c>
      <c r="G687" s="524">
        <v>2.0</v>
      </c>
      <c r="H687" s="140">
        <v>1950000.0</v>
      </c>
      <c r="I687" s="140">
        <v>2050000.0</v>
      </c>
      <c r="J687" s="192">
        <v>46097.0</v>
      </c>
      <c r="K687" s="74">
        <f>if(F687="SERVICE",O687-(O687*50%),Vlookup(F687,DATABASE!C:Q,10,false)*G687)</f>
        <v>0</v>
      </c>
      <c r="L687" s="74">
        <f>VLOOKUP(F687,DATABASE!C:Q,7,FALSE)</f>
        <v>1885000</v>
      </c>
      <c r="M687" s="74">
        <v>1840000.0</v>
      </c>
      <c r="N687" s="74">
        <f t="shared" si="8"/>
        <v>1840000</v>
      </c>
      <c r="O687" s="74">
        <f t="shared" si="3"/>
        <v>3900000</v>
      </c>
      <c r="P687" s="63">
        <f t="shared" si="4"/>
        <v>4100000</v>
      </c>
      <c r="Q687" s="63">
        <f t="shared" si="5"/>
        <v>420000</v>
      </c>
      <c r="R687" s="93" t="str">
        <f>VLOOKUP(F687,DATABASE!C:Q,4,false)</f>
        <v>Advance</v>
      </c>
      <c r="S687" s="93" t="str">
        <f>VLOOKUP(F687,DATABASE!C:P,11,false)</f>
        <v>Tire</v>
      </c>
      <c r="T687" s="93" t="str">
        <f>vlookup(F687,DATABASE!C:Q,8,false)</f>
        <v>BIAN</v>
      </c>
      <c r="Z687" s="9"/>
    </row>
    <row r="688" ht="22.5" customHeight="1">
      <c r="A688" s="49"/>
      <c r="C688" s="400">
        <v>46067.0</v>
      </c>
      <c r="D688" s="69">
        <v>345.0</v>
      </c>
      <c r="E688" s="69" t="s">
        <v>267</v>
      </c>
      <c r="F688" s="140" t="s">
        <v>403</v>
      </c>
      <c r="G688" s="524">
        <v>2.0</v>
      </c>
      <c r="H688" s="140">
        <v>2260000.0</v>
      </c>
      <c r="I688" s="140">
        <v>2360000.0</v>
      </c>
      <c r="J688" s="192">
        <v>46097.0</v>
      </c>
      <c r="K688" s="74">
        <f>if(F688="SERVICE",O688-(O688*50%),Vlookup(F688,DATABASE!C:Q,10,false)*G688)</f>
        <v>0</v>
      </c>
      <c r="L688" s="74">
        <f>VLOOKUP(F688,DATABASE!C:Q,7,FALSE)</f>
        <v>2160000</v>
      </c>
      <c r="M688" s="74">
        <v>2160000.0</v>
      </c>
      <c r="N688" s="74">
        <f t="shared" si="8"/>
        <v>2160000</v>
      </c>
      <c r="O688" s="74">
        <f t="shared" si="3"/>
        <v>4520000</v>
      </c>
      <c r="P688" s="63">
        <f t="shared" si="4"/>
        <v>4720000</v>
      </c>
      <c r="Q688" s="63">
        <f t="shared" si="5"/>
        <v>400000</v>
      </c>
      <c r="R688" s="93" t="str">
        <f>VLOOKUP(F688,DATABASE!C:Q,4,false)</f>
        <v>Advance</v>
      </c>
      <c r="S688" s="93" t="str">
        <f>VLOOKUP(F688,DATABASE!C:P,11,false)</f>
        <v>Tire</v>
      </c>
      <c r="T688" s="93" t="str">
        <f>vlookup(F688,DATABASE!C:Q,8,false)</f>
        <v>BIAN</v>
      </c>
      <c r="Z688" s="9"/>
    </row>
    <row r="689" ht="22.5" customHeight="1">
      <c r="A689" s="49"/>
      <c r="C689" s="400">
        <v>46067.0</v>
      </c>
      <c r="D689" s="69">
        <v>351.0</v>
      </c>
      <c r="E689" s="69" t="s">
        <v>927</v>
      </c>
      <c r="F689" s="140" t="s">
        <v>391</v>
      </c>
      <c r="G689" s="524">
        <v>2.0</v>
      </c>
      <c r="H689" s="140">
        <v>1950000.0</v>
      </c>
      <c r="I689" s="140">
        <v>2050000.0</v>
      </c>
      <c r="J689" s="192">
        <v>46097.0</v>
      </c>
      <c r="K689" s="74">
        <f>if(F689="SERVICE",O689-(O689*50%),Vlookup(F689,DATABASE!C:Q,10,false)*G689)</f>
        <v>0</v>
      </c>
      <c r="L689" s="74">
        <f>VLOOKUP(F689,DATABASE!C:Q,7,FALSE)</f>
        <v>1885000</v>
      </c>
      <c r="M689" s="74">
        <v>1840000.0</v>
      </c>
      <c r="N689" s="74">
        <f t="shared" si="8"/>
        <v>1840000</v>
      </c>
      <c r="O689" s="74">
        <f t="shared" si="3"/>
        <v>3900000</v>
      </c>
      <c r="P689" s="63">
        <f t="shared" si="4"/>
        <v>4100000</v>
      </c>
      <c r="Q689" s="63">
        <f t="shared" si="5"/>
        <v>420000</v>
      </c>
      <c r="R689" s="93" t="str">
        <f>VLOOKUP(F689,DATABASE!C:Q,4,false)</f>
        <v>Advance</v>
      </c>
      <c r="S689" s="93" t="str">
        <f>VLOOKUP(F689,DATABASE!C:P,11,false)</f>
        <v>Tire</v>
      </c>
      <c r="T689" s="93" t="str">
        <f>vlookup(F689,DATABASE!C:Q,8,false)</f>
        <v>BIAN</v>
      </c>
      <c r="Z689" s="9"/>
    </row>
    <row r="690" ht="22.5" customHeight="1">
      <c r="A690" s="49"/>
      <c r="C690" s="400">
        <v>46069.0</v>
      </c>
      <c r="D690" s="69">
        <v>364.0</v>
      </c>
      <c r="E690" s="69" t="s">
        <v>1139</v>
      </c>
      <c r="F690" s="140" t="s">
        <v>1237</v>
      </c>
      <c r="G690" s="524">
        <v>1.0</v>
      </c>
      <c r="H690" s="140">
        <v>1235000.0</v>
      </c>
      <c r="I690" s="140">
        <v>1335000.0</v>
      </c>
      <c r="J690" s="192">
        <v>46099.0</v>
      </c>
      <c r="K690" s="74">
        <f>if(F690="SERVICE",O690-(O690*50%),Vlookup(F690,DATABASE!C:Q,10,false)*G690)</f>
        <v>0</v>
      </c>
      <c r="L690" s="74">
        <f>VLOOKUP(F690,DATABASE!C:Q,7,FALSE)</f>
        <v>1170353.16</v>
      </c>
      <c r="M690" s="74">
        <v>1130842.0</v>
      </c>
      <c r="N690" s="74">
        <f t="shared" si="8"/>
        <v>1135000</v>
      </c>
      <c r="O690" s="74">
        <f t="shared" si="3"/>
        <v>1235000</v>
      </c>
      <c r="P690" s="63">
        <f t="shared" si="4"/>
        <v>1335000</v>
      </c>
      <c r="Q690" s="63">
        <f t="shared" si="5"/>
        <v>200000</v>
      </c>
      <c r="R690" s="93" t="str">
        <f>VLOOKUP(F690,DATABASE!C:Q,4,false)</f>
        <v>Bridgestone</v>
      </c>
      <c r="S690" s="93" t="str">
        <f>VLOOKUP(F690,DATABASE!C:P,11,false)</f>
        <v>Tire</v>
      </c>
      <c r="T690" s="93" t="str">
        <f>vlookup(F690,DATABASE!C:Q,8,false)</f>
        <v>IBU</v>
      </c>
      <c r="Z690" s="9"/>
    </row>
    <row r="691" ht="22.5" customHeight="1">
      <c r="A691" s="49"/>
      <c r="C691" s="400">
        <v>46071.0</v>
      </c>
      <c r="D691" s="69">
        <v>379.0</v>
      </c>
      <c r="E691" s="69" t="s">
        <v>874</v>
      </c>
      <c r="F691" s="140" t="s">
        <v>647</v>
      </c>
      <c r="G691" s="524">
        <v>2.0</v>
      </c>
      <c r="H691" s="140">
        <v>1520000.0</v>
      </c>
      <c r="I691" s="140">
        <v>1620000.0</v>
      </c>
      <c r="J691" s="192">
        <v>46101.0</v>
      </c>
      <c r="K691" s="74">
        <f>if(F691="SERVICE",O691-(O691*50%),Vlookup(F691,DATABASE!C:Q,10,false)*G691)</f>
        <v>0</v>
      </c>
      <c r="L691" s="74">
        <f>VLOOKUP(F691,DATABASE!C:Q,7,FALSE)</f>
        <v>1420000</v>
      </c>
      <c r="M691" s="74">
        <v>1420000.0</v>
      </c>
      <c r="N691" s="74">
        <f t="shared" si="8"/>
        <v>1420000</v>
      </c>
      <c r="O691" s="74">
        <f t="shared" si="3"/>
        <v>3040000</v>
      </c>
      <c r="P691" s="63">
        <f t="shared" si="4"/>
        <v>3240000</v>
      </c>
      <c r="Q691" s="63">
        <f t="shared" si="5"/>
        <v>400000</v>
      </c>
      <c r="R691" s="93" t="str">
        <f>VLOOKUP(F691,DATABASE!C:Q,4,false)</f>
        <v>G. YEAR</v>
      </c>
      <c r="S691" s="93" t="str">
        <f>VLOOKUP(F691,DATABASE!C:P,11,false)</f>
        <v>Tire</v>
      </c>
      <c r="T691" s="93" t="str">
        <f>vlookup(F691,DATABASE!C:Q,8,false)</f>
        <v>BIAN</v>
      </c>
      <c r="Z691" s="9"/>
    </row>
    <row r="692" ht="22.5" customHeight="1">
      <c r="A692" s="49"/>
      <c r="C692" s="400">
        <v>46071.0</v>
      </c>
      <c r="D692" s="69">
        <v>379.0</v>
      </c>
      <c r="E692" s="69" t="s">
        <v>874</v>
      </c>
      <c r="F692" s="140" t="s">
        <v>791</v>
      </c>
      <c r="G692" s="524">
        <v>2.0</v>
      </c>
      <c r="H692" s="140">
        <v>1280000.0</v>
      </c>
      <c r="I692" s="140">
        <v>1380000.0</v>
      </c>
      <c r="J692" s="192">
        <v>46101.0</v>
      </c>
      <c r="K692" s="74">
        <f>if(F692="SERVICE",O692-(O692*50%),Vlookup(F692,DATABASE!C:Q,10,false)*G692)</f>
        <v>0</v>
      </c>
      <c r="L692" s="74">
        <f>VLOOKUP(F692,DATABASE!C:Q,7,FALSE)</f>
        <v>1210000</v>
      </c>
      <c r="M692" s="74">
        <v>1180000.0</v>
      </c>
      <c r="N692" s="74">
        <f t="shared" si="8"/>
        <v>1180000</v>
      </c>
      <c r="O692" s="74">
        <f t="shared" si="3"/>
        <v>2560000</v>
      </c>
      <c r="P692" s="63">
        <f t="shared" si="4"/>
        <v>2760000</v>
      </c>
      <c r="Q692" s="63">
        <f t="shared" si="5"/>
        <v>400000</v>
      </c>
      <c r="R692" s="93" t="str">
        <f>VLOOKUP(F692,DATABASE!C:Q,4,false)</f>
        <v>GT</v>
      </c>
      <c r="S692" s="93" t="str">
        <f>VLOOKUP(F692,DATABASE!C:P,11,false)</f>
        <v>Tire</v>
      </c>
      <c r="T692" s="93" t="str">
        <f>vlookup(F692,DATABASE!C:Q,8,false)</f>
        <v>BIAN</v>
      </c>
      <c r="Z692" s="9"/>
    </row>
    <row r="693" ht="22.5" customHeight="1">
      <c r="A693" s="49"/>
      <c r="C693" s="400">
        <v>46071.0</v>
      </c>
      <c r="D693" s="69">
        <v>379.0</v>
      </c>
      <c r="E693" s="69" t="s">
        <v>874</v>
      </c>
      <c r="F693" s="140" t="s">
        <v>275</v>
      </c>
      <c r="G693" s="524">
        <v>2.0</v>
      </c>
      <c r="H693" s="140">
        <v>830000.0</v>
      </c>
      <c r="I693" s="140">
        <v>910000.0</v>
      </c>
      <c r="J693" s="192">
        <v>46101.0</v>
      </c>
      <c r="K693" s="74">
        <f>if(F693="SERVICE",O693-(O693*50%),Vlookup(F693,DATABASE!C:Q,10,false)*G693)</f>
        <v>0</v>
      </c>
      <c r="L693" s="74">
        <f>VLOOKUP(F693,DATABASE!C:Q,7,FALSE)</f>
        <v>782000</v>
      </c>
      <c r="M693" s="74">
        <v>745000.0</v>
      </c>
      <c r="N693" s="74">
        <f t="shared" si="8"/>
        <v>745000</v>
      </c>
      <c r="O693" s="74">
        <f t="shared" si="3"/>
        <v>1660000</v>
      </c>
      <c r="P693" s="63">
        <f t="shared" si="4"/>
        <v>1820000</v>
      </c>
      <c r="Q693" s="63">
        <f t="shared" si="5"/>
        <v>330000</v>
      </c>
      <c r="R693" s="93" t="str">
        <f>VLOOKUP(F693,DATABASE!C:Q,4,false)</f>
        <v>Dunlop</v>
      </c>
      <c r="S693" s="93" t="str">
        <f>VLOOKUP(F693,DATABASE!C:P,11,false)</f>
        <v>Tire</v>
      </c>
      <c r="T693" s="93" t="str">
        <f>vlookup(F693,DATABASE!C:Q,8,false)</f>
        <v>IBU</v>
      </c>
      <c r="Z693" s="9"/>
    </row>
    <row r="694" ht="22.5" customHeight="1">
      <c r="A694" s="49"/>
      <c r="C694" s="400">
        <v>46071.0</v>
      </c>
      <c r="D694" s="69">
        <v>379.0</v>
      </c>
      <c r="E694" s="69" t="s">
        <v>874</v>
      </c>
      <c r="F694" s="140" t="s">
        <v>604</v>
      </c>
      <c r="G694" s="524">
        <v>2.0</v>
      </c>
      <c r="H694" s="140">
        <v>160000.0</v>
      </c>
      <c r="I694" s="140">
        <v>180000.0</v>
      </c>
      <c r="J694" s="192">
        <v>46101.0</v>
      </c>
      <c r="K694" s="74">
        <f>if(F694="SERVICE",O694-(O694*50%),Vlookup(F694,DATABASE!C:Q,10,false)*G694)</f>
        <v>0</v>
      </c>
      <c r="L694" s="74">
        <f>VLOOKUP(F694,DATABASE!C:Q,7,FALSE)</f>
        <v>124000</v>
      </c>
      <c r="M694" s="74">
        <v>124000.0</v>
      </c>
      <c r="N694" s="74">
        <f t="shared" si="8"/>
        <v>125000</v>
      </c>
      <c r="O694" s="74">
        <f t="shared" si="3"/>
        <v>320000</v>
      </c>
      <c r="P694" s="63">
        <f t="shared" si="4"/>
        <v>360000</v>
      </c>
      <c r="Q694" s="63">
        <f t="shared" si="5"/>
        <v>110000</v>
      </c>
      <c r="R694" s="93" t="str">
        <f>VLOOKUP(F694,DATABASE!C:Q,4,false)</f>
        <v>BD</v>
      </c>
      <c r="S694" s="93" t="str">
        <f>VLOOKUP(F694,DATABASE!C:P,11,false)</f>
        <v>Tire</v>
      </c>
      <c r="T694" s="93" t="str">
        <f>vlookup(F694,DATABASE!C:Q,8,false)</f>
        <v>BIAN</v>
      </c>
      <c r="Z694" s="9"/>
    </row>
    <row r="695" ht="22.5" customHeight="1">
      <c r="A695" s="49"/>
      <c r="C695" s="400">
        <v>46071.0</v>
      </c>
      <c r="D695" s="69">
        <v>384.0</v>
      </c>
      <c r="E695" s="69" t="s">
        <v>346</v>
      </c>
      <c r="F695" s="140" t="s">
        <v>1520</v>
      </c>
      <c r="G695" s="524">
        <v>1.0</v>
      </c>
      <c r="H695" s="140">
        <v>1800000.0</v>
      </c>
      <c r="I695" s="140">
        <v>1900000.0</v>
      </c>
      <c r="J695" s="192">
        <v>46101.0</v>
      </c>
      <c r="K695" s="74">
        <f>if(F695="SERVICE",O695-(O695*50%),Vlookup(F695,DATABASE!C:Q,10,false)*G695)</f>
        <v>0</v>
      </c>
      <c r="L695" s="74">
        <f>VLOOKUP(F695,DATABASE!C:Q,7,FALSE)</f>
        <v>1926858.75</v>
      </c>
      <c r="M695" s="74">
        <v>1698000.0</v>
      </c>
      <c r="N695" s="74">
        <f t="shared" si="8"/>
        <v>1700000</v>
      </c>
      <c r="O695" s="74">
        <f t="shared" si="3"/>
        <v>1800000</v>
      </c>
      <c r="P695" s="63">
        <f t="shared" si="4"/>
        <v>1900000</v>
      </c>
      <c r="Q695" s="63">
        <f t="shared" si="5"/>
        <v>200000</v>
      </c>
      <c r="R695" s="93" t="str">
        <f>VLOOKUP(F695,DATABASE!C:Q,4,false)</f>
        <v>DURATUN</v>
      </c>
      <c r="S695" s="93" t="str">
        <f>VLOOKUP(F695,DATABASE!C:P,11,false)</f>
        <v>Tire</v>
      </c>
      <c r="T695" s="93" t="str">
        <f>vlookup(F695,DATABASE!C:Q,8,false)</f>
        <v>BIAN</v>
      </c>
      <c r="Z695" s="9"/>
    </row>
    <row r="696" ht="22.5" customHeight="1">
      <c r="A696" s="49"/>
      <c r="C696" s="400">
        <v>46071.0</v>
      </c>
      <c r="D696" s="69">
        <v>384.0</v>
      </c>
      <c r="E696" s="69" t="s">
        <v>346</v>
      </c>
      <c r="F696" s="140" t="s">
        <v>2619</v>
      </c>
      <c r="G696" s="524">
        <v>4.0</v>
      </c>
      <c r="H696" s="140">
        <v>200000.0</v>
      </c>
      <c r="I696" s="140">
        <v>220000.0</v>
      </c>
      <c r="J696" s="192">
        <v>46101.0</v>
      </c>
      <c r="K696" s="74">
        <f>if(F696="SERVICE",O696-(O696*50%),Vlookup(F696,DATABASE!C:Q,10,false)*G696)</f>
        <v>0</v>
      </c>
      <c r="L696" s="74">
        <f>VLOOKUP(F696,DATABASE!C:Q,7,FALSE)</f>
        <v>153665.7804</v>
      </c>
      <c r="M696" s="74">
        <v>153665.7804</v>
      </c>
      <c r="N696" s="74">
        <f t="shared" si="8"/>
        <v>155000</v>
      </c>
      <c r="O696" s="74">
        <f t="shared" si="3"/>
        <v>800000</v>
      </c>
      <c r="P696" s="63">
        <f t="shared" si="4"/>
        <v>880000</v>
      </c>
      <c r="Q696" s="63">
        <f t="shared" si="5"/>
        <v>260000</v>
      </c>
      <c r="R696" s="93" t="str">
        <f>VLOOKUP(F696,DATABASE!C:Q,4,false)</f>
        <v>IBK</v>
      </c>
      <c r="S696" s="93" t="str">
        <f>VLOOKUP(F696,DATABASE!C:P,11,false)</f>
        <v>Tire</v>
      </c>
      <c r="T696" s="93" t="str">
        <f>vlookup(F696,DATABASE!C:Q,8,false)</f>
        <v>BIAN</v>
      </c>
      <c r="Z696" s="9"/>
    </row>
    <row r="697" ht="22.5" customHeight="1">
      <c r="A697" s="49"/>
      <c r="C697" s="400">
        <v>46071.0</v>
      </c>
      <c r="D697" s="69">
        <v>384.0</v>
      </c>
      <c r="E697" s="69" t="s">
        <v>346</v>
      </c>
      <c r="F697" s="140" t="s">
        <v>2620</v>
      </c>
      <c r="G697" s="524">
        <v>4.0</v>
      </c>
      <c r="H697" s="140">
        <v>80000.0</v>
      </c>
      <c r="I697" s="140">
        <v>90000.0</v>
      </c>
      <c r="J697" s="192">
        <v>46101.0</v>
      </c>
      <c r="K697" s="74">
        <f>if(F697="SERVICE",O697-(O697*50%),Vlookup(F697,DATABASE!C:Q,10,false)*G697)</f>
        <v>0</v>
      </c>
      <c r="L697" s="74">
        <f>VLOOKUP(F697,DATABASE!C:Q,7,FALSE)</f>
        <v>40438.4211</v>
      </c>
      <c r="M697" s="74">
        <v>40438.4211</v>
      </c>
      <c r="N697" s="74">
        <f t="shared" si="8"/>
        <v>45000</v>
      </c>
      <c r="O697" s="74">
        <f t="shared" si="3"/>
        <v>320000</v>
      </c>
      <c r="P697" s="63">
        <f t="shared" si="4"/>
        <v>360000</v>
      </c>
      <c r="Q697" s="63">
        <f t="shared" si="5"/>
        <v>180000</v>
      </c>
      <c r="R697" s="93" t="str">
        <f>VLOOKUP(F697,DATABASE!C:Q,4,false)</f>
        <v>IBK</v>
      </c>
      <c r="S697" s="93" t="str">
        <f>VLOOKUP(F697,DATABASE!C:P,11,false)</f>
        <v>Tire</v>
      </c>
      <c r="T697" s="93" t="str">
        <f>vlookup(F697,DATABASE!C:Q,8,false)</f>
        <v>BIAN</v>
      </c>
      <c r="Z697" s="9"/>
    </row>
    <row r="698" ht="22.5" customHeight="1">
      <c r="A698" s="49"/>
      <c r="C698" s="400">
        <v>46076.0</v>
      </c>
      <c r="D698" s="69">
        <v>423.0</v>
      </c>
      <c r="E698" s="69" t="s">
        <v>595</v>
      </c>
      <c r="F698" s="140" t="s">
        <v>566</v>
      </c>
      <c r="G698" s="524">
        <v>2.0</v>
      </c>
      <c r="H698" s="140">
        <v>1650000.0</v>
      </c>
      <c r="I698" s="140">
        <v>1750000.0</v>
      </c>
      <c r="J698" s="192">
        <v>46106.0</v>
      </c>
      <c r="K698" s="74">
        <f>if(F698="SERVICE",O698-(O698*50%),Vlookup(F698,DATABASE!C:Q,10,false)*G698)</f>
        <v>0</v>
      </c>
      <c r="L698" s="74">
        <f>VLOOKUP(F698,DATABASE!C:Q,7,FALSE)</f>
        <v>1565000</v>
      </c>
      <c r="M698" s="74">
        <v>1545000.0</v>
      </c>
      <c r="N698" s="74">
        <f t="shared" si="8"/>
        <v>1545000</v>
      </c>
      <c r="O698" s="74">
        <f t="shared" si="3"/>
        <v>3300000</v>
      </c>
      <c r="P698" s="63">
        <f t="shared" si="4"/>
        <v>3500000</v>
      </c>
      <c r="Q698" s="63">
        <f t="shared" si="5"/>
        <v>410000</v>
      </c>
      <c r="R698" s="93" t="str">
        <f>VLOOKUP(F698,DATABASE!C:Q,4,false)</f>
        <v>Bridgestone</v>
      </c>
      <c r="S698" s="93" t="str">
        <f>VLOOKUP(F698,DATABASE!C:P,11,false)</f>
        <v>Tire</v>
      </c>
      <c r="T698" s="93" t="str">
        <f>vlookup(F698,DATABASE!C:Q,8,false)</f>
        <v>IBU</v>
      </c>
      <c r="Z698" s="9"/>
    </row>
    <row r="699" ht="22.5" customHeight="1">
      <c r="A699" s="49"/>
      <c r="C699" s="400">
        <v>46076.0</v>
      </c>
      <c r="D699" s="69">
        <v>423.0</v>
      </c>
      <c r="E699" s="69" t="s">
        <v>595</v>
      </c>
      <c r="F699" s="140" t="s">
        <v>744</v>
      </c>
      <c r="G699" s="524">
        <v>1.0</v>
      </c>
      <c r="H699" s="140">
        <v>230000.0</v>
      </c>
      <c r="I699" s="140">
        <v>250000.0</v>
      </c>
      <c r="J699" s="192">
        <v>46106.0</v>
      </c>
      <c r="K699" s="74">
        <f>if(F699="SERVICE",O699-(O699*50%),Vlookup(F699,DATABASE!C:Q,10,false)*G699)</f>
        <v>0</v>
      </c>
      <c r="L699" s="74">
        <f>VLOOKUP(F699,DATABASE!C:Q,7,FALSE)</f>
        <v>182200</v>
      </c>
      <c r="M699" s="74">
        <v>199920.0</v>
      </c>
      <c r="N699" s="74">
        <f t="shared" si="8"/>
        <v>200000</v>
      </c>
      <c r="O699" s="74">
        <f t="shared" si="3"/>
        <v>230000</v>
      </c>
      <c r="P699" s="63">
        <f t="shared" si="4"/>
        <v>250000</v>
      </c>
      <c r="Q699" s="63">
        <f t="shared" si="5"/>
        <v>50000</v>
      </c>
      <c r="R699" s="93" t="str">
        <f>VLOOKUP(F699,DATABASE!C:Q,4,false)</f>
        <v>BD</v>
      </c>
      <c r="S699" s="93" t="str">
        <f>VLOOKUP(F699,DATABASE!C:P,11,false)</f>
        <v>Tire</v>
      </c>
      <c r="T699" s="93" t="str">
        <f>vlookup(F699,DATABASE!C:Q,8,false)</f>
        <v>BIAN</v>
      </c>
      <c r="Z699" s="9"/>
    </row>
    <row r="700" ht="22.5" customHeight="1">
      <c r="A700" s="49"/>
      <c r="C700" s="400">
        <v>46076.0</v>
      </c>
      <c r="D700" s="69">
        <v>423.0</v>
      </c>
      <c r="E700" s="69" t="s">
        <v>595</v>
      </c>
      <c r="F700" s="140" t="s">
        <v>821</v>
      </c>
      <c r="G700" s="524">
        <v>1.0</v>
      </c>
      <c r="H700" s="140">
        <v>90000.0</v>
      </c>
      <c r="I700" s="140">
        <v>100000.0</v>
      </c>
      <c r="J700" s="192">
        <v>46106.0</v>
      </c>
      <c r="K700" s="74">
        <f>if(F700="SERVICE",O700-(O700*50%),Vlookup(F700,DATABASE!C:Q,10,false)*G700)</f>
        <v>0</v>
      </c>
      <c r="L700" s="74">
        <f>VLOOKUP(F700,DATABASE!C:Q,7,FALSE)</f>
        <v>43500</v>
      </c>
      <c r="M700" s="74">
        <v>43520.0</v>
      </c>
      <c r="N700" s="74">
        <f t="shared" si="8"/>
        <v>45000</v>
      </c>
      <c r="O700" s="74">
        <f t="shared" si="3"/>
        <v>90000</v>
      </c>
      <c r="P700" s="63">
        <f t="shared" si="4"/>
        <v>100000</v>
      </c>
      <c r="Q700" s="63">
        <f t="shared" si="5"/>
        <v>55000</v>
      </c>
      <c r="R700" s="93" t="str">
        <f>VLOOKUP(F700,DATABASE!C:Q,4,false)</f>
        <v>Flap</v>
      </c>
      <c r="S700" s="93" t="str">
        <f>VLOOKUP(F700,DATABASE!C:P,11,false)</f>
        <v>Tire</v>
      </c>
      <c r="T700" s="93" t="str">
        <f>vlookup(F700,DATABASE!C:Q,8,false)</f>
        <v>BIAN</v>
      </c>
      <c r="Z700" s="9"/>
    </row>
    <row r="701" ht="22.5" customHeight="1">
      <c r="A701" s="49"/>
      <c r="C701" s="400">
        <v>46076.0</v>
      </c>
      <c r="D701" s="69">
        <v>424.0</v>
      </c>
      <c r="E701" s="69" t="s">
        <v>595</v>
      </c>
      <c r="F701" s="140" t="s">
        <v>2345</v>
      </c>
      <c r="G701" s="524">
        <v>2.0</v>
      </c>
      <c r="H701" s="140">
        <v>750000.0</v>
      </c>
      <c r="I701" s="140">
        <v>800000.0</v>
      </c>
      <c r="J701" s="192">
        <v>46106.0</v>
      </c>
      <c r="K701" s="74">
        <f>if(F701="SERVICE",O701-(O701*50%),Vlookup(F701,DATABASE!C:Q,10,false)*G701)</f>
        <v>0</v>
      </c>
      <c r="L701" s="74">
        <f>VLOOKUP(F701,DATABASE!C:Q,7,FALSE)</f>
        <v>680000</v>
      </c>
      <c r="M701" s="74">
        <v>650000.0</v>
      </c>
      <c r="N701" s="74">
        <f t="shared" si="8"/>
        <v>650000</v>
      </c>
      <c r="O701" s="74">
        <f t="shared" si="3"/>
        <v>1500000</v>
      </c>
      <c r="P701" s="63">
        <f t="shared" si="4"/>
        <v>1600000</v>
      </c>
      <c r="Q701" s="63">
        <f t="shared" si="5"/>
        <v>300000</v>
      </c>
      <c r="R701" s="93" t="str">
        <f>VLOOKUP(F701,DATABASE!C:Q,4,false)</f>
        <v>Velg</v>
      </c>
      <c r="S701" s="93" t="str">
        <f>VLOOKUP(F701,DATABASE!C:P,11,false)</f>
        <v>Tire</v>
      </c>
      <c r="T701" s="93" t="str">
        <f>vlookup(F701,DATABASE!C:Q,8,false)</f>
        <v>BIAN</v>
      </c>
      <c r="Z701" s="9"/>
    </row>
    <row r="702" ht="22.5" customHeight="1">
      <c r="A702" s="49"/>
      <c r="C702" s="400">
        <v>46078.0</v>
      </c>
      <c r="D702" s="69">
        <v>440.0</v>
      </c>
      <c r="E702" s="69" t="s">
        <v>267</v>
      </c>
      <c r="F702" s="140" t="s">
        <v>572</v>
      </c>
      <c r="G702" s="524">
        <v>2.0</v>
      </c>
      <c r="H702" s="140">
        <v>1350000.0</v>
      </c>
      <c r="I702" s="140">
        <v>1450000.0</v>
      </c>
      <c r="J702" s="192">
        <v>46108.0</v>
      </c>
      <c r="K702" s="74">
        <f>if(F702="SERVICE",O702-(O702*50%),Vlookup(F702,DATABASE!C:Q,10,false)*G702)</f>
        <v>0</v>
      </c>
      <c r="L702" s="74">
        <f>VLOOKUP(F702,DATABASE!C:Q,7,FALSE)</f>
        <v>1265000</v>
      </c>
      <c r="M702" s="74">
        <v>1245000.0</v>
      </c>
      <c r="N702" s="74">
        <f t="shared" si="8"/>
        <v>1245000</v>
      </c>
      <c r="O702" s="74">
        <f t="shared" si="3"/>
        <v>2700000</v>
      </c>
      <c r="P702" s="63">
        <f t="shared" si="4"/>
        <v>2900000</v>
      </c>
      <c r="Q702" s="63">
        <f t="shared" si="5"/>
        <v>410000</v>
      </c>
      <c r="R702" s="93" t="str">
        <f>VLOOKUP(F702,DATABASE!C:Q,4,false)</f>
        <v>Bridgestone</v>
      </c>
      <c r="S702" s="93" t="str">
        <f>VLOOKUP(F702,DATABASE!C:P,11,false)</f>
        <v>Tire</v>
      </c>
      <c r="T702" s="93" t="str">
        <f>vlookup(F702,DATABASE!C:Q,8,false)</f>
        <v>IBU</v>
      </c>
      <c r="Z702" s="9"/>
    </row>
    <row r="703" ht="22.5" customHeight="1">
      <c r="A703" s="49"/>
      <c r="C703" s="400">
        <v>46078.0</v>
      </c>
      <c r="D703" s="69">
        <v>440.0</v>
      </c>
      <c r="E703" s="69" t="s">
        <v>267</v>
      </c>
      <c r="F703" s="140" t="s">
        <v>255</v>
      </c>
      <c r="G703" s="524">
        <v>2.0</v>
      </c>
      <c r="H703" s="140">
        <v>200000.0</v>
      </c>
      <c r="I703" s="140">
        <v>210000.0</v>
      </c>
      <c r="J703" s="192">
        <v>46108.0</v>
      </c>
      <c r="K703" s="74">
        <f>if(F703="SERVICE",O703-(O703*50%),Vlookup(F703,DATABASE!C:Q,10,false)*G703)</f>
        <v>0</v>
      </c>
      <c r="L703" s="74">
        <f>VLOOKUP(F703,DATABASE!C:Q,7,FALSE)</f>
        <v>161840</v>
      </c>
      <c r="M703" s="74">
        <v>161840.0</v>
      </c>
      <c r="N703" s="74">
        <f t="shared" si="8"/>
        <v>165000</v>
      </c>
      <c r="O703" s="74">
        <f t="shared" si="3"/>
        <v>400000</v>
      </c>
      <c r="P703" s="63">
        <f t="shared" si="4"/>
        <v>420000</v>
      </c>
      <c r="Q703" s="63">
        <f t="shared" si="5"/>
        <v>90000</v>
      </c>
      <c r="R703" s="93" t="str">
        <f>VLOOKUP(F703,DATABASE!C:Q,4,false)</f>
        <v>BD</v>
      </c>
      <c r="S703" s="93" t="str">
        <f>VLOOKUP(F703,DATABASE!C:P,11,false)</f>
        <v>Tire</v>
      </c>
      <c r="T703" s="93" t="str">
        <f>vlookup(F703,DATABASE!C:Q,8,false)</f>
        <v>BIAN</v>
      </c>
      <c r="Z703" s="9"/>
    </row>
    <row r="704" ht="22.5" customHeight="1">
      <c r="A704" s="49"/>
      <c r="C704" s="400">
        <v>46078.0</v>
      </c>
      <c r="D704" s="69">
        <v>440.0</v>
      </c>
      <c r="E704" s="69" t="s">
        <v>267</v>
      </c>
      <c r="F704" s="140" t="s">
        <v>814</v>
      </c>
      <c r="G704" s="524">
        <v>2.0</v>
      </c>
      <c r="H704" s="140">
        <v>70000.0</v>
      </c>
      <c r="I704" s="140">
        <v>80000.0</v>
      </c>
      <c r="J704" s="192">
        <v>46108.0</v>
      </c>
      <c r="K704" s="74">
        <f>if(F704="SERVICE",O704-(O704*50%),Vlookup(F704,DATABASE!C:Q,10,false)*G704)</f>
        <v>0</v>
      </c>
      <c r="L704" s="74">
        <f>VLOOKUP(F704,DATABASE!C:Q,7,FALSE)</f>
        <v>39440</v>
      </c>
      <c r="M704" s="74">
        <v>39440.0</v>
      </c>
      <c r="N704" s="74">
        <f t="shared" si="8"/>
        <v>40000</v>
      </c>
      <c r="O704" s="74">
        <f t="shared" si="3"/>
        <v>140000</v>
      </c>
      <c r="P704" s="63">
        <f t="shared" si="4"/>
        <v>160000</v>
      </c>
      <c r="Q704" s="63">
        <f t="shared" si="5"/>
        <v>80000</v>
      </c>
      <c r="R704" s="93" t="str">
        <f>VLOOKUP(F704,DATABASE!C:Q,4,false)</f>
        <v>Flap</v>
      </c>
      <c r="S704" s="93" t="str">
        <f>VLOOKUP(F704,DATABASE!C:P,11,false)</f>
        <v>Tire</v>
      </c>
      <c r="T704" s="93" t="str">
        <f>vlookup(F704,DATABASE!C:Q,8,false)</f>
        <v>BIAN</v>
      </c>
      <c r="Z704" s="9"/>
    </row>
    <row r="705" ht="22.5" customHeight="1">
      <c r="A705" s="49"/>
      <c r="C705" s="400">
        <v>46079.0</v>
      </c>
      <c r="D705" s="69">
        <v>444.0</v>
      </c>
      <c r="E705" s="69" t="s">
        <v>74</v>
      </c>
      <c r="F705" s="140" t="s">
        <v>791</v>
      </c>
      <c r="G705" s="524">
        <v>1.0</v>
      </c>
      <c r="H705" s="140">
        <v>1280000.0</v>
      </c>
      <c r="I705" s="140">
        <v>1300000.0</v>
      </c>
      <c r="J705" s="192">
        <v>46109.0</v>
      </c>
      <c r="K705" s="74">
        <f>if(F705="SERVICE",O705-(O705*50%),Vlookup(F705,DATABASE!C:Q,10,false)*G705)</f>
        <v>0</v>
      </c>
      <c r="L705" s="74">
        <f>VLOOKUP(F705,DATABASE!C:Q,7,FALSE)</f>
        <v>1210000</v>
      </c>
      <c r="M705" s="74">
        <v>1180000.0</v>
      </c>
      <c r="N705" s="74">
        <f t="shared" si="8"/>
        <v>1180000</v>
      </c>
      <c r="O705" s="74">
        <f t="shared" si="3"/>
        <v>1280000</v>
      </c>
      <c r="P705" s="63">
        <f t="shared" si="4"/>
        <v>1300000</v>
      </c>
      <c r="Q705" s="63">
        <f t="shared" si="5"/>
        <v>120000</v>
      </c>
      <c r="R705" s="93" t="str">
        <f>VLOOKUP(F705,DATABASE!C:Q,4,false)</f>
        <v>GT</v>
      </c>
      <c r="S705" s="93" t="str">
        <f>VLOOKUP(F705,DATABASE!C:P,11,false)</f>
        <v>Tire</v>
      </c>
      <c r="T705" s="93" t="str">
        <f>vlookup(F705,DATABASE!C:Q,8,false)</f>
        <v>BIAN</v>
      </c>
      <c r="Z705" s="9"/>
    </row>
    <row r="706" ht="22.5" customHeight="1">
      <c r="A706" s="49"/>
      <c r="C706" s="400">
        <v>46079.0</v>
      </c>
      <c r="D706" s="69">
        <v>444.0</v>
      </c>
      <c r="E706" s="69" t="s">
        <v>74</v>
      </c>
      <c r="F706" s="140" t="s">
        <v>255</v>
      </c>
      <c r="G706" s="524">
        <v>1.0</v>
      </c>
      <c r="H706" s="140">
        <v>200000.0</v>
      </c>
      <c r="I706" s="140">
        <v>210000.0</v>
      </c>
      <c r="J706" s="192">
        <v>46109.0</v>
      </c>
      <c r="K706" s="74">
        <f>if(F706="SERVICE",O706-(O706*50%),Vlookup(F706,DATABASE!C:Q,10,false)*G706)</f>
        <v>0</v>
      </c>
      <c r="L706" s="74">
        <f>VLOOKUP(F706,DATABASE!C:Q,7,FALSE)</f>
        <v>161840</v>
      </c>
      <c r="M706" s="74">
        <v>161840.0</v>
      </c>
      <c r="N706" s="74">
        <f t="shared" si="8"/>
        <v>165000</v>
      </c>
      <c r="O706" s="74">
        <f t="shared" si="3"/>
        <v>200000</v>
      </c>
      <c r="P706" s="63">
        <f t="shared" si="4"/>
        <v>210000</v>
      </c>
      <c r="Q706" s="63">
        <f t="shared" si="5"/>
        <v>45000</v>
      </c>
      <c r="R706" s="93" t="str">
        <f>VLOOKUP(F706,DATABASE!C:Q,4,false)</f>
        <v>BD</v>
      </c>
      <c r="S706" s="93" t="str">
        <f>VLOOKUP(F706,DATABASE!C:P,11,false)</f>
        <v>Tire</v>
      </c>
      <c r="T706" s="93" t="str">
        <f>vlookup(F706,DATABASE!C:Q,8,false)</f>
        <v>BIAN</v>
      </c>
      <c r="Z706" s="9"/>
    </row>
    <row r="707" ht="22.5" customHeight="1">
      <c r="A707" s="49"/>
      <c r="C707" s="400">
        <v>46079.0</v>
      </c>
      <c r="D707" s="69">
        <v>444.0</v>
      </c>
      <c r="E707" s="69" t="s">
        <v>74</v>
      </c>
      <c r="F707" s="140" t="s">
        <v>814</v>
      </c>
      <c r="G707" s="524">
        <v>1.0</v>
      </c>
      <c r="H707" s="140">
        <v>70000.0</v>
      </c>
      <c r="I707" s="140">
        <v>80000.0</v>
      </c>
      <c r="J707" s="192">
        <v>46109.0</v>
      </c>
      <c r="K707" s="74">
        <f>if(F707="SERVICE",O707-(O707*50%),Vlookup(F707,DATABASE!C:Q,10,false)*G707)</f>
        <v>0</v>
      </c>
      <c r="L707" s="74">
        <f>VLOOKUP(F707,DATABASE!C:Q,7,FALSE)</f>
        <v>39440</v>
      </c>
      <c r="M707" s="74">
        <v>39440.0</v>
      </c>
      <c r="N707" s="74">
        <f t="shared" si="8"/>
        <v>40000</v>
      </c>
      <c r="O707" s="74">
        <f t="shared" si="3"/>
        <v>70000</v>
      </c>
      <c r="P707" s="63">
        <f t="shared" si="4"/>
        <v>80000</v>
      </c>
      <c r="Q707" s="63">
        <f t="shared" si="5"/>
        <v>40000</v>
      </c>
      <c r="R707" s="93" t="str">
        <f>VLOOKUP(F707,DATABASE!C:Q,4,false)</f>
        <v>Flap</v>
      </c>
      <c r="S707" s="93" t="str">
        <f>VLOOKUP(F707,DATABASE!C:P,11,false)</f>
        <v>Tire</v>
      </c>
      <c r="T707" s="93" t="str">
        <f>vlookup(F707,DATABASE!C:Q,8,false)</f>
        <v>BIAN</v>
      </c>
      <c r="Z707" s="9"/>
    </row>
    <row r="708" ht="22.5" customHeight="1">
      <c r="A708" s="49"/>
      <c r="C708" s="400">
        <v>46083.0</v>
      </c>
      <c r="D708" s="69">
        <v>486.0</v>
      </c>
      <c r="E708" s="69" t="s">
        <v>536</v>
      </c>
      <c r="F708" s="140" t="s">
        <v>897</v>
      </c>
      <c r="G708" s="524">
        <v>1.0</v>
      </c>
      <c r="H708" s="140">
        <v>1600000.0</v>
      </c>
      <c r="I708" s="140">
        <v>1700000.0</v>
      </c>
      <c r="J708" s="192">
        <v>46113.0</v>
      </c>
      <c r="K708" s="74">
        <f>if(F708="SERVICE",O708-(O708*50%),Vlookup(F708,DATABASE!C:Q,10,false)*G708)</f>
        <v>0</v>
      </c>
      <c r="L708" s="74">
        <f>VLOOKUP(F708,DATABASE!C:Q,7,FALSE)</f>
        <v>1560000</v>
      </c>
      <c r="M708" s="74">
        <v>1500000.0</v>
      </c>
      <c r="N708" s="74">
        <f t="shared" si="8"/>
        <v>1500000</v>
      </c>
      <c r="O708" s="74">
        <f t="shared" si="3"/>
        <v>1600000</v>
      </c>
      <c r="P708" s="63">
        <f t="shared" si="4"/>
        <v>1700000</v>
      </c>
      <c r="Q708" s="63">
        <f t="shared" si="5"/>
        <v>200000</v>
      </c>
      <c r="R708" s="93" t="str">
        <f>VLOOKUP(F708,DATABASE!C:Q,4,false)</f>
        <v>GT</v>
      </c>
      <c r="S708" s="93" t="str">
        <f>VLOOKUP(F708,DATABASE!C:P,11,false)</f>
        <v>Tire</v>
      </c>
      <c r="T708" s="93" t="str">
        <f>vlookup(F708,DATABASE!C:Q,8,false)</f>
        <v>BIAN</v>
      </c>
      <c r="Z708" s="9"/>
    </row>
    <row r="709" ht="22.5" customHeight="1">
      <c r="A709" s="49"/>
      <c r="C709" s="400">
        <v>46085.0</v>
      </c>
      <c r="D709" s="69">
        <v>510.0</v>
      </c>
      <c r="E709" s="69" t="s">
        <v>693</v>
      </c>
      <c r="F709" s="140" t="s">
        <v>932</v>
      </c>
      <c r="G709" s="524">
        <v>2.0</v>
      </c>
      <c r="H709" s="140">
        <v>680000.0</v>
      </c>
      <c r="I709" s="140">
        <v>760000.0</v>
      </c>
      <c r="J709" s="192">
        <v>46115.0</v>
      </c>
      <c r="K709" s="74">
        <f>if(F709="SERVICE",O709-(O709*50%),Vlookup(F709,DATABASE!C:Q,10,false)*G709)</f>
        <v>0</v>
      </c>
      <c r="L709" s="74">
        <f>VLOOKUP(F709,DATABASE!C:Q,7,FALSE)</f>
        <v>601000</v>
      </c>
      <c r="M709" s="74">
        <v>595000.0</v>
      </c>
      <c r="N709" s="74">
        <f t="shared" si="8"/>
        <v>595000</v>
      </c>
      <c r="O709" s="74">
        <f t="shared" si="3"/>
        <v>1360000</v>
      </c>
      <c r="P709" s="63">
        <f t="shared" si="4"/>
        <v>1520000</v>
      </c>
      <c r="Q709" s="63">
        <f t="shared" si="5"/>
        <v>330000</v>
      </c>
      <c r="R709" s="93" t="str">
        <f>VLOOKUP(F709,DATABASE!C:Q,4,false)</f>
        <v>Dunlop</v>
      </c>
      <c r="S709" s="93" t="str">
        <f>VLOOKUP(F709,DATABASE!C:P,11,false)</f>
        <v>Tire</v>
      </c>
      <c r="T709" s="93" t="str">
        <f>vlookup(F709,DATABASE!C:Q,8,false)</f>
        <v>IBU</v>
      </c>
      <c r="Z709" s="9"/>
    </row>
    <row r="710" ht="22.5" customHeight="1">
      <c r="A710" s="49"/>
      <c r="C710" s="400">
        <v>46086.0</v>
      </c>
      <c r="D710" s="69">
        <v>527.0</v>
      </c>
      <c r="E710" s="69" t="s">
        <v>267</v>
      </c>
      <c r="F710" s="140" t="s">
        <v>295</v>
      </c>
      <c r="G710" s="524">
        <v>2.0</v>
      </c>
      <c r="H710" s="140">
        <v>1525000.0</v>
      </c>
      <c r="I710" s="140">
        <v>1625000.0</v>
      </c>
      <c r="J710" s="192">
        <v>46116.0</v>
      </c>
      <c r="K710" s="74">
        <f>if(F710="SERVICE",O710-(O710*50%),Vlookup(F710,DATABASE!C:Q,10,false)*G710)</f>
        <v>0</v>
      </c>
      <c r="L710" s="74">
        <f>VLOOKUP(F710,DATABASE!C:Q,7,FALSE)</f>
        <v>1475000</v>
      </c>
      <c r="M710" s="74">
        <v>1425000.0</v>
      </c>
      <c r="N710" s="74">
        <f t="shared" si="8"/>
        <v>1425000</v>
      </c>
      <c r="O710" s="74">
        <f t="shared" si="3"/>
        <v>3050000</v>
      </c>
      <c r="P710" s="63">
        <f t="shared" si="4"/>
        <v>3250000</v>
      </c>
      <c r="Q710" s="63">
        <f t="shared" si="5"/>
        <v>400000</v>
      </c>
      <c r="R710" s="93" t="str">
        <f>VLOOKUP(F710,DATABASE!C:Q,4,false)</f>
        <v>TIRON</v>
      </c>
      <c r="S710" s="93" t="str">
        <f>VLOOKUP(F710,DATABASE!C:P,11,false)</f>
        <v>Tire</v>
      </c>
      <c r="T710" s="93" t="str">
        <f>vlookup(F710,DATABASE!C:Q,8,false)</f>
        <v>BIAN</v>
      </c>
      <c r="Z710" s="9"/>
    </row>
    <row r="711" ht="22.5" customHeight="1">
      <c r="A711" s="49"/>
      <c r="C711" s="400">
        <v>46086.0</v>
      </c>
      <c r="D711" s="69">
        <v>527.0</v>
      </c>
      <c r="E711" s="69" t="s">
        <v>267</v>
      </c>
      <c r="F711" s="140" t="s">
        <v>403</v>
      </c>
      <c r="G711" s="524">
        <v>2.0</v>
      </c>
      <c r="H711" s="140">
        <v>2260000.0</v>
      </c>
      <c r="I711" s="140">
        <v>2360000.0</v>
      </c>
      <c r="J711" s="192">
        <v>46116.0</v>
      </c>
      <c r="K711" s="74">
        <f>if(F711="SERVICE",O711-(O711*50%),Vlookup(F711,DATABASE!C:Q,10,false)*G711)</f>
        <v>0</v>
      </c>
      <c r="L711" s="74">
        <f>VLOOKUP(F711,DATABASE!C:Q,7,FALSE)</f>
        <v>2160000</v>
      </c>
      <c r="M711" s="74">
        <v>2160000.0</v>
      </c>
      <c r="N711" s="74">
        <f t="shared" si="8"/>
        <v>2160000</v>
      </c>
      <c r="O711" s="74">
        <f t="shared" si="3"/>
        <v>4520000</v>
      </c>
      <c r="P711" s="63">
        <f t="shared" si="4"/>
        <v>4720000</v>
      </c>
      <c r="Q711" s="63">
        <f t="shared" si="5"/>
        <v>400000</v>
      </c>
      <c r="R711" s="93" t="str">
        <f>VLOOKUP(F711,DATABASE!C:Q,4,false)</f>
        <v>Advance</v>
      </c>
      <c r="S711" s="93" t="str">
        <f>VLOOKUP(F711,DATABASE!C:P,11,false)</f>
        <v>Tire</v>
      </c>
      <c r="T711" s="93" t="str">
        <f>vlookup(F711,DATABASE!C:Q,8,false)</f>
        <v>BIAN</v>
      </c>
      <c r="Z711" s="9"/>
    </row>
    <row r="712" ht="22.5" customHeight="1">
      <c r="A712" s="49"/>
      <c r="C712" s="597">
        <v>46091.0</v>
      </c>
      <c r="D712" s="598">
        <v>590.0</v>
      </c>
      <c r="E712" s="282" t="s">
        <v>168</v>
      </c>
      <c r="F712" s="599" t="s">
        <v>1862</v>
      </c>
      <c r="G712" s="600">
        <v>2.0</v>
      </c>
      <c r="H712" s="161">
        <v>2150000.0</v>
      </c>
      <c r="I712" s="161">
        <v>2250000.0</v>
      </c>
      <c r="J712" s="192">
        <v>46122.0</v>
      </c>
      <c r="K712" s="74">
        <f>if(F712="SERVICE",O712-(O712*50%),Vlookup(F712,DATABASE!C:Q,10,false)*G712)</f>
        <v>0</v>
      </c>
      <c r="L712" s="74">
        <f>VLOOKUP(F712,DATABASE!C:Q,7,FALSE)</f>
        <v>2080000</v>
      </c>
      <c r="M712" s="74">
        <v>2050000.0</v>
      </c>
      <c r="N712" s="74">
        <f t="shared" si="8"/>
        <v>2050000</v>
      </c>
      <c r="O712" s="74">
        <f t="shared" si="3"/>
        <v>4300000</v>
      </c>
      <c r="P712" s="63">
        <f t="shared" si="4"/>
        <v>4500000</v>
      </c>
      <c r="Q712" s="63">
        <f t="shared" si="5"/>
        <v>400000</v>
      </c>
      <c r="R712" s="93" t="str">
        <f>VLOOKUP(F712,DATABASE!C:Q,4,false)</f>
        <v>GiTi</v>
      </c>
      <c r="S712" s="93" t="str">
        <f>VLOOKUP(F712,DATABASE!C:P,11,false)</f>
        <v>Tire</v>
      </c>
      <c r="T712" s="93" t="str">
        <f>vlookup(F712,DATABASE!C:Q,8,false)</f>
        <v>BIAN</v>
      </c>
      <c r="Z712" s="9"/>
    </row>
    <row r="713" ht="22.5" customHeight="1">
      <c r="A713" s="49"/>
      <c r="C713" s="601">
        <v>46092.0</v>
      </c>
      <c r="D713" s="238">
        <v>603.0</v>
      </c>
      <c r="E713" s="238" t="s">
        <v>267</v>
      </c>
      <c r="F713" s="602" t="s">
        <v>403</v>
      </c>
      <c r="G713" s="603">
        <v>2.0</v>
      </c>
      <c r="H713" s="602">
        <v>2260000.0</v>
      </c>
      <c r="I713" s="602">
        <v>2360000.0</v>
      </c>
      <c r="J713" s="192">
        <v>46122.0</v>
      </c>
      <c r="K713" s="74">
        <f>if(F713="SERVICE",O713-(O713*50%),Vlookup(F713,DATABASE!C:Q,10,false)*G713)</f>
        <v>0</v>
      </c>
      <c r="L713" s="74">
        <f>VLOOKUP(F713,DATABASE!C:Q,7,FALSE)</f>
        <v>2160000</v>
      </c>
      <c r="M713" s="74">
        <v>2160000.0</v>
      </c>
      <c r="N713" s="74">
        <f t="shared" si="8"/>
        <v>2160000</v>
      </c>
      <c r="O713" s="74">
        <f t="shared" si="3"/>
        <v>4520000</v>
      </c>
      <c r="P713" s="63">
        <f t="shared" si="4"/>
        <v>4720000</v>
      </c>
      <c r="Q713" s="63">
        <f t="shared" si="5"/>
        <v>400000</v>
      </c>
      <c r="R713" s="93" t="str">
        <f>VLOOKUP(F713,DATABASE!C:Q,4,false)</f>
        <v>Advance</v>
      </c>
      <c r="S713" s="93" t="str">
        <f>VLOOKUP(F713,DATABASE!C:P,11,false)</f>
        <v>Tire</v>
      </c>
      <c r="T713" s="93" t="str">
        <f>vlookup(F713,DATABASE!C:Q,8,false)</f>
        <v>BIAN</v>
      </c>
      <c r="Z713" s="9"/>
    </row>
    <row r="714" ht="22.5" customHeight="1">
      <c r="A714" s="49"/>
      <c r="C714" s="400">
        <v>46093.0</v>
      </c>
      <c r="D714" s="69">
        <v>620.0</v>
      </c>
      <c r="E714" s="69" t="s">
        <v>132</v>
      </c>
      <c r="F714" s="140" t="s">
        <v>830</v>
      </c>
      <c r="G714" s="524">
        <v>1.0</v>
      </c>
      <c r="H714" s="140">
        <v>230000.0</v>
      </c>
      <c r="I714" s="140">
        <v>250000.0</v>
      </c>
      <c r="J714" s="192">
        <v>46123.0</v>
      </c>
      <c r="K714" s="74">
        <f>if(F714="SERVICE",O714-(O714*50%),Vlookup(F714,DATABASE!C:Q,10,false)*G714)</f>
        <v>0</v>
      </c>
      <c r="L714" s="74">
        <f>VLOOKUP(F714,DATABASE!C:Q,7,FALSE)</f>
        <v>184150</v>
      </c>
      <c r="M714" s="74">
        <v>184150.0</v>
      </c>
      <c r="N714" s="74">
        <f t="shared" si="8"/>
        <v>185000</v>
      </c>
      <c r="O714" s="74">
        <f t="shared" si="3"/>
        <v>230000</v>
      </c>
      <c r="P714" s="63">
        <f t="shared" si="4"/>
        <v>250000</v>
      </c>
      <c r="Q714" s="63">
        <f t="shared" si="5"/>
        <v>65000</v>
      </c>
      <c r="R714" s="93" t="str">
        <f>VLOOKUP(F714,DATABASE!C:Q,4,false)</f>
        <v>BD</v>
      </c>
      <c r="S714" s="93" t="str">
        <f>VLOOKUP(F714,DATABASE!C:P,11,false)</f>
        <v>Tire</v>
      </c>
      <c r="T714" s="93" t="str">
        <f>vlookup(F714,DATABASE!C:Q,8,false)</f>
        <v>BIAN</v>
      </c>
      <c r="Z714" s="9"/>
    </row>
    <row r="715" ht="22.5" customHeight="1">
      <c r="A715" s="49"/>
      <c r="C715" s="400">
        <v>46093.0</v>
      </c>
      <c r="D715" s="69">
        <v>620.0</v>
      </c>
      <c r="E715" s="69" t="s">
        <v>132</v>
      </c>
      <c r="F715" s="140" t="s">
        <v>821</v>
      </c>
      <c r="G715" s="524">
        <v>1.0</v>
      </c>
      <c r="H715" s="140">
        <v>90000.0</v>
      </c>
      <c r="I715" s="140">
        <v>100000.0</v>
      </c>
      <c r="J715" s="192">
        <v>46123.0</v>
      </c>
      <c r="K715" s="74">
        <f>if(F715="SERVICE",O715-(O715*50%),Vlookup(F715,DATABASE!C:Q,10,false)*G715)</f>
        <v>0</v>
      </c>
      <c r="L715" s="74">
        <f>VLOOKUP(F715,DATABASE!C:Q,7,FALSE)</f>
        <v>43500</v>
      </c>
      <c r="M715" s="74">
        <v>43520.0</v>
      </c>
      <c r="N715" s="74">
        <f t="shared" si="8"/>
        <v>45000</v>
      </c>
      <c r="O715" s="74">
        <f t="shared" si="3"/>
        <v>90000</v>
      </c>
      <c r="P715" s="63">
        <f t="shared" si="4"/>
        <v>100000</v>
      </c>
      <c r="Q715" s="63">
        <f t="shared" si="5"/>
        <v>55000</v>
      </c>
      <c r="R715" s="93" t="str">
        <f>VLOOKUP(F715,DATABASE!C:Q,4,false)</f>
        <v>Flap</v>
      </c>
      <c r="S715" s="93" t="str">
        <f>VLOOKUP(F715,DATABASE!C:P,11,false)</f>
        <v>Tire</v>
      </c>
      <c r="T715" s="93" t="str">
        <f>vlookup(F715,DATABASE!C:Q,8,false)</f>
        <v>BIAN</v>
      </c>
      <c r="Z715" s="9"/>
    </row>
    <row r="716" ht="22.5" customHeight="1">
      <c r="A716" s="49"/>
      <c r="C716" s="400">
        <v>46093.0</v>
      </c>
      <c r="D716" s="69">
        <v>626.0</v>
      </c>
      <c r="E716" s="69" t="s">
        <v>1040</v>
      </c>
      <c r="F716" s="140" t="s">
        <v>1862</v>
      </c>
      <c r="G716" s="524">
        <v>2.0</v>
      </c>
      <c r="H716" s="140">
        <v>2150000.0</v>
      </c>
      <c r="I716" s="140">
        <v>2250000.0</v>
      </c>
      <c r="J716" s="192">
        <v>46123.0</v>
      </c>
      <c r="K716" s="74">
        <f>if(F716="SERVICE",O716-(O716*50%),Vlookup(F716,DATABASE!C:Q,10,false)*G716)</f>
        <v>0</v>
      </c>
      <c r="L716" s="74">
        <f>VLOOKUP(F716,DATABASE!C:Q,7,FALSE)</f>
        <v>2080000</v>
      </c>
      <c r="M716" s="74">
        <v>2050000.0</v>
      </c>
      <c r="N716" s="74">
        <f t="shared" si="8"/>
        <v>2050000</v>
      </c>
      <c r="O716" s="74">
        <f t="shared" si="3"/>
        <v>4300000</v>
      </c>
      <c r="P716" s="63">
        <f t="shared" si="4"/>
        <v>4500000</v>
      </c>
      <c r="Q716" s="63">
        <f t="shared" si="5"/>
        <v>400000</v>
      </c>
      <c r="R716" s="93" t="str">
        <f>VLOOKUP(F716,DATABASE!C:Q,4,false)</f>
        <v>GiTi</v>
      </c>
      <c r="S716" s="93" t="str">
        <f>VLOOKUP(F716,DATABASE!C:P,11,false)</f>
        <v>Tire</v>
      </c>
      <c r="T716" s="93" t="str">
        <f>vlookup(F716,DATABASE!C:Q,8,false)</f>
        <v>BIAN</v>
      </c>
      <c r="Z716" s="9"/>
    </row>
    <row r="717" ht="22.5" customHeight="1">
      <c r="A717" s="49"/>
      <c r="C717" s="400">
        <v>46093.0</v>
      </c>
      <c r="D717" s="69">
        <v>627.0</v>
      </c>
      <c r="E717" s="69" t="s">
        <v>515</v>
      </c>
      <c r="F717" s="140" t="s">
        <v>566</v>
      </c>
      <c r="G717" s="524">
        <v>2.0</v>
      </c>
      <c r="H717" s="140">
        <v>1650000.0</v>
      </c>
      <c r="I717" s="140">
        <v>1750000.0</v>
      </c>
      <c r="J717" s="192">
        <v>46123.0</v>
      </c>
      <c r="K717" s="74">
        <f>if(F717="SERVICE",O717-(O717*50%),Vlookup(F717,DATABASE!C:Q,10,false)*G717)</f>
        <v>0</v>
      </c>
      <c r="L717" s="74">
        <f>VLOOKUP(F717,DATABASE!C:Q,7,FALSE)</f>
        <v>1565000</v>
      </c>
      <c r="M717" s="74">
        <v>1545000.0</v>
      </c>
      <c r="N717" s="74">
        <f t="shared" si="8"/>
        <v>1545000</v>
      </c>
      <c r="O717" s="74">
        <f t="shared" si="3"/>
        <v>3300000</v>
      </c>
      <c r="P717" s="63">
        <f t="shared" si="4"/>
        <v>3500000</v>
      </c>
      <c r="Q717" s="63">
        <f t="shared" si="5"/>
        <v>410000</v>
      </c>
      <c r="R717" s="93" t="str">
        <f>VLOOKUP(F717,DATABASE!C:Q,4,false)</f>
        <v>Bridgestone</v>
      </c>
      <c r="S717" s="93" t="str">
        <f>VLOOKUP(F717,DATABASE!C:P,11,false)</f>
        <v>Tire</v>
      </c>
      <c r="T717" s="93" t="str">
        <f>vlookup(F717,DATABASE!C:Q,8,false)</f>
        <v>IBU</v>
      </c>
      <c r="Z717" s="9"/>
    </row>
    <row r="718" ht="22.5" customHeight="1">
      <c r="A718" s="49"/>
      <c r="C718" s="400">
        <v>46093.0</v>
      </c>
      <c r="D718" s="69">
        <v>627.0</v>
      </c>
      <c r="E718" s="69" t="s">
        <v>515</v>
      </c>
      <c r="F718" s="140" t="s">
        <v>744</v>
      </c>
      <c r="G718" s="524">
        <v>2.0</v>
      </c>
      <c r="H718" s="140">
        <v>230000.0</v>
      </c>
      <c r="I718" s="140">
        <v>250000.0</v>
      </c>
      <c r="J718" s="192">
        <v>46123.0</v>
      </c>
      <c r="K718" s="74">
        <f>if(F718="SERVICE",O718-(O718*50%),Vlookup(F718,DATABASE!C:Q,10,false)*G718)</f>
        <v>0</v>
      </c>
      <c r="L718" s="74">
        <f>VLOOKUP(F718,DATABASE!C:Q,7,FALSE)</f>
        <v>182200</v>
      </c>
      <c r="M718" s="74">
        <v>199920.0</v>
      </c>
      <c r="N718" s="74">
        <f t="shared" si="8"/>
        <v>200000</v>
      </c>
      <c r="O718" s="74">
        <f t="shared" si="3"/>
        <v>460000</v>
      </c>
      <c r="P718" s="63">
        <f t="shared" si="4"/>
        <v>500000</v>
      </c>
      <c r="Q718" s="63">
        <f t="shared" si="5"/>
        <v>100000</v>
      </c>
      <c r="R718" s="93" t="str">
        <f>VLOOKUP(F718,DATABASE!C:Q,4,false)</f>
        <v>BD</v>
      </c>
      <c r="S718" s="93" t="str">
        <f>VLOOKUP(F718,DATABASE!C:P,11,false)</f>
        <v>Tire</v>
      </c>
      <c r="T718" s="93" t="str">
        <f>vlookup(F718,DATABASE!C:Q,8,false)</f>
        <v>BIAN</v>
      </c>
      <c r="Z718" s="9"/>
    </row>
    <row r="719" ht="22.5" customHeight="1">
      <c r="A719" s="49"/>
      <c r="C719" s="400">
        <v>46093.0</v>
      </c>
      <c r="D719" s="69">
        <v>627.0</v>
      </c>
      <c r="E719" s="69" t="s">
        <v>515</v>
      </c>
      <c r="F719" s="140" t="s">
        <v>821</v>
      </c>
      <c r="G719" s="524">
        <v>2.0</v>
      </c>
      <c r="H719" s="140">
        <v>90000.0</v>
      </c>
      <c r="I719" s="140">
        <v>100000.0</v>
      </c>
      <c r="J719" s="192">
        <v>46123.0</v>
      </c>
      <c r="K719" s="74">
        <f>if(F719="SERVICE",O719-(O719*50%),Vlookup(F719,DATABASE!C:Q,10,false)*G719)</f>
        <v>0</v>
      </c>
      <c r="L719" s="74">
        <f>VLOOKUP(F719,DATABASE!C:Q,7,FALSE)</f>
        <v>43500</v>
      </c>
      <c r="M719" s="74">
        <v>43520.0</v>
      </c>
      <c r="N719" s="74">
        <f t="shared" si="8"/>
        <v>45000</v>
      </c>
      <c r="O719" s="74">
        <f t="shared" si="3"/>
        <v>180000</v>
      </c>
      <c r="P719" s="63">
        <f t="shared" si="4"/>
        <v>200000</v>
      </c>
      <c r="Q719" s="63">
        <f t="shared" si="5"/>
        <v>110000</v>
      </c>
      <c r="R719" s="93" t="str">
        <f>VLOOKUP(F719,DATABASE!C:Q,4,false)</f>
        <v>Flap</v>
      </c>
      <c r="S719" s="93" t="str">
        <f>VLOOKUP(F719,DATABASE!C:P,11,false)</f>
        <v>Tire</v>
      </c>
      <c r="T719" s="93" t="str">
        <f>vlookup(F719,DATABASE!C:Q,8,false)</f>
        <v>BIAN</v>
      </c>
      <c r="Z719" s="9"/>
    </row>
    <row r="720" ht="22.5" customHeight="1">
      <c r="A720" s="49"/>
      <c r="C720" s="400">
        <v>46097.0</v>
      </c>
      <c r="D720" s="524">
        <v>671.0</v>
      </c>
      <c r="E720" s="69" t="s">
        <v>208</v>
      </c>
      <c r="F720" s="140" t="s">
        <v>1237</v>
      </c>
      <c r="G720" s="524">
        <v>1.0</v>
      </c>
      <c r="H720" s="140">
        <v>1235000.0</v>
      </c>
      <c r="I720" s="140">
        <v>1330000.0</v>
      </c>
      <c r="J720" s="192">
        <v>46127.0</v>
      </c>
      <c r="K720" s="74">
        <f>if(F720="SERVICE",O720-(O720*50%),Vlookup(F720,DATABASE!C:Q,10,false)*G720)</f>
        <v>0</v>
      </c>
      <c r="L720" s="74">
        <f>VLOOKUP(F720,DATABASE!C:Q,7,FALSE)</f>
        <v>1170353.16</v>
      </c>
      <c r="M720" s="74">
        <v>1130842.0</v>
      </c>
      <c r="N720" s="74">
        <f t="shared" si="8"/>
        <v>1135000</v>
      </c>
      <c r="O720" s="74">
        <f t="shared" si="3"/>
        <v>1235000</v>
      </c>
      <c r="P720" s="63">
        <f t="shared" si="4"/>
        <v>1330000</v>
      </c>
      <c r="Q720" s="63">
        <f t="shared" si="5"/>
        <v>195000</v>
      </c>
      <c r="R720" s="93" t="str">
        <f>VLOOKUP(F720,DATABASE!C:Q,4,false)</f>
        <v>Bridgestone</v>
      </c>
      <c r="S720" s="93" t="str">
        <f>VLOOKUP(F720,DATABASE!C:P,11,false)</f>
        <v>Tire</v>
      </c>
      <c r="T720" s="93" t="str">
        <f>vlookup(F720,DATABASE!C:Q,8,false)</f>
        <v>IBU</v>
      </c>
      <c r="Z720" s="9"/>
    </row>
    <row r="721" ht="22.5" customHeight="1">
      <c r="A721" s="49"/>
      <c r="C721" s="400">
        <v>46097.0</v>
      </c>
      <c r="D721" s="69">
        <v>673.0</v>
      </c>
      <c r="E721" s="69" t="s">
        <v>854</v>
      </c>
      <c r="F721" s="140" t="s">
        <v>566</v>
      </c>
      <c r="G721" s="524">
        <v>1.0</v>
      </c>
      <c r="H721" s="140">
        <v>1650000.0</v>
      </c>
      <c r="I721" s="140">
        <v>1700000.0</v>
      </c>
      <c r="J721" s="192">
        <v>46127.0</v>
      </c>
      <c r="K721" s="74">
        <f>if(F721="SERVICE",O721-(O721*50%),Vlookup(F721,DATABASE!C:Q,10,false)*G721)</f>
        <v>0</v>
      </c>
      <c r="L721" s="74">
        <f>VLOOKUP(F721,DATABASE!C:Q,7,FALSE)</f>
        <v>1565000</v>
      </c>
      <c r="M721" s="74">
        <v>1545000.0</v>
      </c>
      <c r="N721" s="74">
        <f t="shared" si="8"/>
        <v>1545000</v>
      </c>
      <c r="O721" s="74">
        <f t="shared" si="3"/>
        <v>1650000</v>
      </c>
      <c r="P721" s="63">
        <f t="shared" si="4"/>
        <v>1700000</v>
      </c>
      <c r="Q721" s="63">
        <f t="shared" si="5"/>
        <v>155000</v>
      </c>
      <c r="R721" s="93" t="str">
        <f>VLOOKUP(F721,DATABASE!C:Q,4,false)</f>
        <v>Bridgestone</v>
      </c>
      <c r="S721" s="93" t="str">
        <f>VLOOKUP(F721,DATABASE!C:P,11,false)</f>
        <v>Tire</v>
      </c>
      <c r="T721" s="93" t="str">
        <f>vlookup(F721,DATABASE!C:Q,8,false)</f>
        <v>IBU</v>
      </c>
      <c r="Z721" s="9"/>
    </row>
    <row r="722" ht="22.5" customHeight="1">
      <c r="A722" s="49"/>
      <c r="C722" s="400">
        <v>46098.0</v>
      </c>
      <c r="D722" s="69">
        <v>673.0</v>
      </c>
      <c r="E722" s="69" t="s">
        <v>331</v>
      </c>
      <c r="F722" s="140" t="s">
        <v>374</v>
      </c>
      <c r="G722" s="524">
        <v>2.0</v>
      </c>
      <c r="H722" s="140">
        <v>2050000.0</v>
      </c>
      <c r="I722" s="140">
        <v>2150000.0</v>
      </c>
      <c r="J722" s="192">
        <v>46128.0</v>
      </c>
      <c r="K722" s="74">
        <f>if(F722="SERVICE",O722-(O722*50%),Vlookup(F722,DATABASE!C:Q,10,false)*G722)</f>
        <v>0</v>
      </c>
      <c r="L722" s="74">
        <f>VLOOKUP(F722,DATABASE!C:Q,7,FALSE)</f>
        <v>1980000</v>
      </c>
      <c r="M722" s="74">
        <v>1940000.0</v>
      </c>
      <c r="N722" s="74">
        <f t="shared" si="8"/>
        <v>1940000</v>
      </c>
      <c r="O722" s="74">
        <f t="shared" si="3"/>
        <v>4100000</v>
      </c>
      <c r="P722" s="63">
        <f t="shared" si="4"/>
        <v>4300000</v>
      </c>
      <c r="Q722" s="63">
        <f t="shared" si="5"/>
        <v>420000</v>
      </c>
      <c r="R722" s="93" t="str">
        <f>VLOOKUP(F722,DATABASE!C:Q,4,false)</f>
        <v>Advance</v>
      </c>
      <c r="S722" s="93" t="str">
        <f>VLOOKUP(F722,DATABASE!C:P,11,false)</f>
        <v>Tire</v>
      </c>
      <c r="T722" s="93" t="str">
        <f>vlookup(F722,DATABASE!C:Q,8,false)</f>
        <v>BIAN</v>
      </c>
      <c r="Z722" s="9"/>
    </row>
    <row r="723" ht="22.5" customHeight="1">
      <c r="A723" s="49"/>
      <c r="C723" s="400">
        <v>46098.0</v>
      </c>
      <c r="D723" s="69">
        <v>713.0</v>
      </c>
      <c r="E723" s="69" t="s">
        <v>119</v>
      </c>
      <c r="F723" s="140" t="s">
        <v>403</v>
      </c>
      <c r="G723" s="524">
        <v>4.0</v>
      </c>
      <c r="H723" s="140">
        <v>2260000.0</v>
      </c>
      <c r="I723" s="140">
        <v>2360000.0</v>
      </c>
      <c r="J723" s="192">
        <v>46128.0</v>
      </c>
      <c r="K723" s="74">
        <f>if(F723="SERVICE",O723-(O723*50%),Vlookup(F723,DATABASE!C:Q,10,false)*G723)</f>
        <v>0</v>
      </c>
      <c r="L723" s="74">
        <f>VLOOKUP(F723,DATABASE!C:Q,7,FALSE)</f>
        <v>2160000</v>
      </c>
      <c r="M723" s="74">
        <v>2160000.0</v>
      </c>
      <c r="N723" s="74">
        <f t="shared" si="8"/>
        <v>2160000</v>
      </c>
      <c r="O723" s="74">
        <f t="shared" si="3"/>
        <v>9040000</v>
      </c>
      <c r="P723" s="63">
        <f t="shared" si="4"/>
        <v>9440000</v>
      </c>
      <c r="Q723" s="63">
        <f t="shared" si="5"/>
        <v>800000</v>
      </c>
      <c r="R723" s="93" t="str">
        <f>VLOOKUP(F723,DATABASE!C:Q,4,false)</f>
        <v>Advance</v>
      </c>
      <c r="S723" s="93" t="str">
        <f>VLOOKUP(F723,DATABASE!C:P,11,false)</f>
        <v>Tire</v>
      </c>
      <c r="T723" s="93" t="str">
        <f>vlookup(F723,DATABASE!C:Q,8,false)</f>
        <v>BIAN</v>
      </c>
      <c r="Z723" s="9"/>
    </row>
    <row r="724" ht="22.5" customHeight="1">
      <c r="A724" s="49"/>
      <c r="C724" s="400">
        <v>46104.0</v>
      </c>
      <c r="D724" s="69">
        <v>769.0</v>
      </c>
      <c r="E724" s="69" t="s">
        <v>193</v>
      </c>
      <c r="F724" s="140" t="s">
        <v>2625</v>
      </c>
      <c r="G724" s="524">
        <v>2.0</v>
      </c>
      <c r="H724" s="140">
        <v>625000.0</v>
      </c>
      <c r="I724" s="140">
        <v>710000.0</v>
      </c>
      <c r="J724" s="192">
        <v>46136.0</v>
      </c>
      <c r="K724" s="74">
        <f>if(F724="SERVICE",O724-(O724*50%),Vlookup(F724,DATABASE!C:Q,10,false)*G724)</f>
        <v>0</v>
      </c>
      <c r="L724" s="74">
        <f>VLOOKUP(F724,DATABASE!C:Q,7,FALSE)</f>
        <v>532400</v>
      </c>
      <c r="M724" s="74">
        <v>532400.0</v>
      </c>
      <c r="N724" s="74">
        <f t="shared" si="8"/>
        <v>535000</v>
      </c>
      <c r="O724" s="74">
        <f t="shared" si="3"/>
        <v>1250000</v>
      </c>
      <c r="P724" s="63">
        <f t="shared" si="4"/>
        <v>1420000</v>
      </c>
      <c r="Q724" s="63">
        <f t="shared" si="5"/>
        <v>350000</v>
      </c>
      <c r="R724" s="93" t="str">
        <f>VLOOKUP(F724,DATABASE!C:Q,4,false)</f>
        <v>Sailun</v>
      </c>
      <c r="S724" s="93" t="str">
        <f>VLOOKUP(F724,DATABASE!C:P,11,false)</f>
        <v>Tire</v>
      </c>
      <c r="T724" s="93" t="str">
        <f>vlookup(F724,DATABASE!C:Q,8,false)</f>
        <v>BIAN</v>
      </c>
      <c r="Z724" s="9"/>
    </row>
    <row r="725" ht="22.5" customHeight="1">
      <c r="A725" s="49"/>
      <c r="C725" s="400">
        <v>46107.0</v>
      </c>
      <c r="D725" s="69">
        <v>810.0</v>
      </c>
      <c r="E725" s="69" t="s">
        <v>274</v>
      </c>
      <c r="F725" s="140" t="s">
        <v>924</v>
      </c>
      <c r="G725" s="524">
        <v>1.0</v>
      </c>
      <c r="H725" s="140">
        <v>1650000.0</v>
      </c>
      <c r="I725" s="140">
        <v>1750000.0</v>
      </c>
      <c r="J725" s="192">
        <v>46137.0</v>
      </c>
      <c r="K725" s="74">
        <f>if(F725="SERVICE",O725-(O725*50%),Vlookup(F725,DATABASE!C:Q,10,false)*G725)</f>
        <v>0</v>
      </c>
      <c r="L725" s="74">
        <f>VLOOKUP(F725,DATABASE!C:Q,7,FALSE)</f>
        <v>1560000</v>
      </c>
      <c r="M725" s="74">
        <v>1545000.0</v>
      </c>
      <c r="N725" s="74">
        <f t="shared" si="8"/>
        <v>1545000</v>
      </c>
      <c r="O725" s="74">
        <f t="shared" si="3"/>
        <v>1650000</v>
      </c>
      <c r="P725" s="63">
        <f t="shared" si="4"/>
        <v>1750000</v>
      </c>
      <c r="Q725" s="63">
        <f t="shared" si="5"/>
        <v>205000</v>
      </c>
      <c r="R725" s="93" t="str">
        <f>VLOOKUP(F725,DATABASE!C:Q,4,false)</f>
        <v>TIRON</v>
      </c>
      <c r="S725" s="93" t="str">
        <f>VLOOKUP(F725,DATABASE!C:P,11,false)</f>
        <v>Tire</v>
      </c>
      <c r="T725" s="93" t="str">
        <f>vlookup(F725,DATABASE!C:Q,8,false)</f>
        <v>BIAN</v>
      </c>
      <c r="Z725" s="9"/>
    </row>
    <row r="726" ht="22.5" customHeight="1">
      <c r="A726" s="49"/>
      <c r="C726" s="400">
        <v>46109.0</v>
      </c>
      <c r="D726" s="69">
        <v>836.0</v>
      </c>
      <c r="E726" s="69" t="s">
        <v>1100</v>
      </c>
      <c r="F726" s="140" t="s">
        <v>1871</v>
      </c>
      <c r="G726" s="524">
        <v>1.0</v>
      </c>
      <c r="H726" s="140">
        <v>3350000.0</v>
      </c>
      <c r="I726" s="140">
        <v>3350000.0</v>
      </c>
      <c r="J726" s="192">
        <v>46139.0</v>
      </c>
      <c r="K726" s="74">
        <f>if(F726="SERVICE",O726-(O726*50%),Vlookup(F726,DATABASE!C:Q,10,false)*G726)</f>
        <v>0</v>
      </c>
      <c r="L726" s="74">
        <f>VLOOKUP(F726,DATABASE!C:Q,7,FALSE)</f>
        <v>3190000</v>
      </c>
      <c r="M726" s="74">
        <v>3160000.0</v>
      </c>
      <c r="N726" s="74">
        <f t="shared" si="8"/>
        <v>3160000</v>
      </c>
      <c r="O726" s="74">
        <f t="shared" si="3"/>
        <v>3350000</v>
      </c>
      <c r="P726" s="63">
        <f t="shared" si="4"/>
        <v>3350000</v>
      </c>
      <c r="Q726" s="63">
        <f t="shared" si="5"/>
        <v>190000</v>
      </c>
      <c r="R726" s="93" t="str">
        <f>VLOOKUP(F726,DATABASE!C:Q,4,false)</f>
        <v>GT</v>
      </c>
      <c r="S726" s="93" t="str">
        <f>VLOOKUP(F726,DATABASE!C:P,11,false)</f>
        <v>Tire</v>
      </c>
      <c r="T726" s="93" t="str">
        <f>vlookup(F726,DATABASE!C:Q,8,false)</f>
        <v>BIAN</v>
      </c>
      <c r="Z726" s="9"/>
    </row>
    <row r="727" ht="22.5" customHeight="1">
      <c r="A727" s="49"/>
      <c r="C727" s="400">
        <v>46109.0</v>
      </c>
      <c r="D727" s="69">
        <v>836.0</v>
      </c>
      <c r="E727" s="69" t="s">
        <v>1100</v>
      </c>
      <c r="F727" s="140" t="s">
        <v>2037</v>
      </c>
      <c r="G727" s="524">
        <v>2.0</v>
      </c>
      <c r="H727" s="140">
        <v>2625000.0</v>
      </c>
      <c r="I727" s="140">
        <v>2600000.0</v>
      </c>
      <c r="J727" s="192">
        <v>46139.0</v>
      </c>
      <c r="K727" s="74">
        <f>if(F727="SERVICE",O727-(O727*50%),Vlookup(F727,DATABASE!C:Q,10,false)*G727)</f>
        <v>0</v>
      </c>
      <c r="L727" s="74">
        <f>VLOOKUP(F727,DATABASE!C:Q,7,FALSE)</f>
        <v>2575000</v>
      </c>
      <c r="M727" s="74">
        <v>2475000.0</v>
      </c>
      <c r="N727" s="74">
        <f t="shared" si="8"/>
        <v>2475000</v>
      </c>
      <c r="O727" s="74">
        <f t="shared" si="3"/>
        <v>5250000</v>
      </c>
      <c r="P727" s="63">
        <f t="shared" si="4"/>
        <v>5200000</v>
      </c>
      <c r="Q727" s="63">
        <f t="shared" si="5"/>
        <v>250000</v>
      </c>
      <c r="R727" s="93" t="str">
        <f>VLOOKUP(F727,DATABASE!C:Q,4,false)</f>
        <v>GT</v>
      </c>
      <c r="S727" s="93" t="str">
        <f>VLOOKUP(F727,DATABASE!C:P,11,false)</f>
        <v>Tire</v>
      </c>
      <c r="T727" s="93" t="str">
        <f>vlookup(F727,DATABASE!C:Q,8,false)</f>
        <v>BIAN</v>
      </c>
      <c r="Z727" s="9"/>
    </row>
    <row r="728" ht="22.5" customHeight="1">
      <c r="A728" s="49"/>
      <c r="C728" s="400">
        <v>46109.0</v>
      </c>
      <c r="D728" s="69">
        <v>851.0</v>
      </c>
      <c r="E728" s="69" t="s">
        <v>1164</v>
      </c>
      <c r="F728" s="140" t="s">
        <v>1048</v>
      </c>
      <c r="G728" s="524">
        <v>1.0</v>
      </c>
      <c r="H728" s="140">
        <v>1080000.0</v>
      </c>
      <c r="I728" s="140">
        <v>1170000.0</v>
      </c>
      <c r="J728" s="192">
        <v>46139.0</v>
      </c>
      <c r="K728" s="74">
        <f>if(F728="SERVICE",O728-(O728*50%),Vlookup(F728,DATABASE!C:Q,10,false)*G728)</f>
        <v>0</v>
      </c>
      <c r="L728" s="74">
        <f>VLOOKUP(F728,DATABASE!C:Q,7,FALSE)</f>
        <v>930000</v>
      </c>
      <c r="M728" s="74">
        <v>930000.0</v>
      </c>
      <c r="N728" s="74">
        <f t="shared" si="8"/>
        <v>930000</v>
      </c>
      <c r="O728" s="74">
        <f t="shared" si="3"/>
        <v>1080000</v>
      </c>
      <c r="P728" s="63">
        <f t="shared" si="4"/>
        <v>1170000</v>
      </c>
      <c r="Q728" s="63">
        <f t="shared" si="5"/>
        <v>240000</v>
      </c>
      <c r="R728" s="93" t="str">
        <f>VLOOKUP(F728,DATABASE!C:Q,4,false)</f>
        <v>Bridgestone</v>
      </c>
      <c r="S728" s="93" t="str">
        <f>VLOOKUP(F728,DATABASE!C:P,11,false)</f>
        <v>Tire</v>
      </c>
      <c r="T728" s="93" t="str">
        <f>vlookup(F728,DATABASE!C:Q,8,false)</f>
        <v>IBU</v>
      </c>
      <c r="Z728" s="9"/>
    </row>
    <row r="729" ht="22.5" customHeight="1">
      <c r="A729" s="49"/>
      <c r="C729" s="400">
        <v>46113.0</v>
      </c>
      <c r="D729" s="69">
        <v>898.0</v>
      </c>
      <c r="E729" s="69" t="s">
        <v>1164</v>
      </c>
      <c r="F729" s="140" t="s">
        <v>1383</v>
      </c>
      <c r="G729" s="524">
        <v>2.0</v>
      </c>
      <c r="H729" s="140">
        <v>910000.0</v>
      </c>
      <c r="I729" s="140">
        <v>990000.0</v>
      </c>
      <c r="J729" s="192">
        <v>46143.0</v>
      </c>
      <c r="K729" s="74">
        <f>if(F729="SERVICE",O729-(O729*50%),Vlookup(F729,DATABASE!C:Q,10,false)*G729)</f>
        <v>0</v>
      </c>
      <c r="L729" s="74">
        <f>VLOOKUP(F729,DATABASE!C:Q,7,FALSE)</f>
        <v>812000</v>
      </c>
      <c r="M729" s="74">
        <v>812000.0</v>
      </c>
      <c r="N729" s="74">
        <f t="shared" si="8"/>
        <v>815000</v>
      </c>
      <c r="O729" s="74">
        <f t="shared" si="3"/>
        <v>1820000</v>
      </c>
      <c r="P729" s="63">
        <f t="shared" si="4"/>
        <v>1980000</v>
      </c>
      <c r="Q729" s="63">
        <f t="shared" si="5"/>
        <v>350000</v>
      </c>
      <c r="R729" s="93" t="str">
        <f>VLOOKUP(F729,DATABASE!C:Q,4,false)</f>
        <v>Dunlop</v>
      </c>
      <c r="S729" s="93" t="str">
        <f>VLOOKUP(F729,DATABASE!C:P,11,false)</f>
        <v>Tire</v>
      </c>
      <c r="T729" s="93" t="str">
        <f>vlookup(F729,DATABASE!C:Q,8,false)</f>
        <v>IBU</v>
      </c>
      <c r="Z729" s="9"/>
    </row>
    <row r="730" ht="22.5" customHeight="1">
      <c r="A730" s="49"/>
      <c r="C730" s="400">
        <v>46114.0</v>
      </c>
      <c r="D730" s="69">
        <v>910.0</v>
      </c>
      <c r="E730" s="69" t="s">
        <v>208</v>
      </c>
      <c r="F730" s="140" t="s">
        <v>1237</v>
      </c>
      <c r="G730" s="524">
        <v>1.0</v>
      </c>
      <c r="H730" s="140">
        <v>1235000.0</v>
      </c>
      <c r="I730" s="140">
        <v>1330000.0</v>
      </c>
      <c r="J730" s="192">
        <v>46144.0</v>
      </c>
      <c r="K730" s="74">
        <f>if(F730="SERVICE",O730-(O730*50%),Vlookup(F730,DATABASE!C:Q,10,false)*G730)</f>
        <v>0</v>
      </c>
      <c r="L730" s="74">
        <f>VLOOKUP(F730,DATABASE!C:Q,7,FALSE)</f>
        <v>1170353.16</v>
      </c>
      <c r="M730" s="74">
        <v>1130842.0</v>
      </c>
      <c r="N730" s="74">
        <f t="shared" si="8"/>
        <v>1135000</v>
      </c>
      <c r="O730" s="74">
        <f t="shared" si="3"/>
        <v>1235000</v>
      </c>
      <c r="P730" s="63">
        <f t="shared" si="4"/>
        <v>1330000</v>
      </c>
      <c r="Q730" s="63">
        <f t="shared" si="5"/>
        <v>195000</v>
      </c>
      <c r="R730" s="93" t="str">
        <f>VLOOKUP(F730,DATABASE!C:Q,4,false)</f>
        <v>Bridgestone</v>
      </c>
      <c r="S730" s="93" t="str">
        <f>VLOOKUP(F730,DATABASE!C:P,11,false)</f>
        <v>Tire</v>
      </c>
      <c r="T730" s="93" t="str">
        <f>vlookup(F730,DATABASE!C:Q,8,false)</f>
        <v>IBU</v>
      </c>
      <c r="Z730" s="9"/>
    </row>
    <row r="731" ht="22.5" customHeight="1">
      <c r="A731" s="49"/>
      <c r="C731" s="400">
        <v>46114.0</v>
      </c>
      <c r="D731" s="69">
        <v>911.0</v>
      </c>
      <c r="E731" s="69" t="s">
        <v>208</v>
      </c>
      <c r="F731" s="140" t="s">
        <v>1237</v>
      </c>
      <c r="G731" s="524">
        <v>1.0</v>
      </c>
      <c r="H731" s="140">
        <v>1235000.0</v>
      </c>
      <c r="I731" s="140">
        <v>1330000.0</v>
      </c>
      <c r="J731" s="192">
        <v>46144.0</v>
      </c>
      <c r="K731" s="74">
        <f>if(F731="SERVICE",O731-(O731*50%),Vlookup(F731,DATABASE!C:Q,10,false)*G731)</f>
        <v>0</v>
      </c>
      <c r="L731" s="74">
        <f>VLOOKUP(F731,DATABASE!C:Q,7,FALSE)</f>
        <v>1170353.16</v>
      </c>
      <c r="M731" s="74">
        <v>1130842.0</v>
      </c>
      <c r="N731" s="74">
        <f t="shared" si="8"/>
        <v>1135000</v>
      </c>
      <c r="O731" s="74">
        <f t="shared" si="3"/>
        <v>1235000</v>
      </c>
      <c r="P731" s="63">
        <f t="shared" si="4"/>
        <v>1330000</v>
      </c>
      <c r="Q731" s="63">
        <f t="shared" si="5"/>
        <v>195000</v>
      </c>
      <c r="R731" s="93" t="str">
        <f>VLOOKUP(F731,DATABASE!C:Q,4,false)</f>
        <v>Bridgestone</v>
      </c>
      <c r="S731" s="93" t="str">
        <f>VLOOKUP(F731,DATABASE!C:P,11,false)</f>
        <v>Tire</v>
      </c>
      <c r="T731" s="93" t="str">
        <f>vlookup(F731,DATABASE!C:Q,8,false)</f>
        <v>IBU</v>
      </c>
      <c r="Z731" s="9"/>
    </row>
    <row r="732" ht="22.5" customHeight="1">
      <c r="A732" s="49"/>
      <c r="C732" s="400">
        <v>46115.0</v>
      </c>
      <c r="D732" s="69">
        <v>913.0</v>
      </c>
      <c r="E732" s="69" t="s">
        <v>264</v>
      </c>
      <c r="F732" s="140" t="s">
        <v>924</v>
      </c>
      <c r="G732" s="524">
        <v>2.0</v>
      </c>
      <c r="H732" s="140">
        <v>1650000.0</v>
      </c>
      <c r="I732" s="140">
        <v>1750000.0</v>
      </c>
      <c r="J732" s="192">
        <v>46145.0</v>
      </c>
      <c r="K732" s="74">
        <f>if(F732="SERVICE",O732-(O732*50%),Vlookup(F732,DATABASE!C:Q,10,false)*G732)</f>
        <v>0</v>
      </c>
      <c r="L732" s="74">
        <f>VLOOKUP(F732,DATABASE!C:Q,7,FALSE)</f>
        <v>1560000</v>
      </c>
      <c r="M732" s="74">
        <v>1545000.0</v>
      </c>
      <c r="N732" s="74">
        <f t="shared" si="8"/>
        <v>1545000</v>
      </c>
      <c r="O732" s="74">
        <f t="shared" si="3"/>
        <v>3300000</v>
      </c>
      <c r="P732" s="63">
        <f t="shared" si="4"/>
        <v>3500000</v>
      </c>
      <c r="Q732" s="63">
        <f t="shared" si="5"/>
        <v>410000</v>
      </c>
      <c r="R732" s="93" t="str">
        <f>VLOOKUP(F732,DATABASE!C:Q,4,false)</f>
        <v>TIRON</v>
      </c>
      <c r="S732" s="93" t="str">
        <f>VLOOKUP(F732,DATABASE!C:P,11,false)</f>
        <v>Tire</v>
      </c>
      <c r="T732" s="93" t="str">
        <f>vlookup(F732,DATABASE!C:Q,8,false)</f>
        <v>BIAN</v>
      </c>
      <c r="Z732" s="9"/>
    </row>
    <row r="733" ht="22.5" customHeight="1">
      <c r="A733" s="49"/>
      <c r="C733" s="400">
        <v>46116.0</v>
      </c>
      <c r="D733" s="69">
        <v>927.0</v>
      </c>
      <c r="E733" s="69" t="s">
        <v>254</v>
      </c>
      <c r="F733" s="140" t="s">
        <v>403</v>
      </c>
      <c r="G733" s="524">
        <v>2.0</v>
      </c>
      <c r="H733" s="140">
        <v>2260000.0</v>
      </c>
      <c r="I733" s="140">
        <v>2360000.0</v>
      </c>
      <c r="J733" s="192">
        <v>46146.0</v>
      </c>
      <c r="K733" s="74">
        <f>if(F733="SERVICE",O733-(O733*50%),Vlookup(F733,DATABASE!C:Q,10,false)*G733)</f>
        <v>0</v>
      </c>
      <c r="L733" s="74">
        <f>VLOOKUP(F733,DATABASE!C:Q,7,FALSE)</f>
        <v>2160000</v>
      </c>
      <c r="M733" s="74">
        <v>2160000.0</v>
      </c>
      <c r="N733" s="74">
        <f t="shared" si="8"/>
        <v>2160000</v>
      </c>
      <c r="O733" s="74">
        <f t="shared" si="3"/>
        <v>4520000</v>
      </c>
      <c r="P733" s="63">
        <f t="shared" si="4"/>
        <v>4720000</v>
      </c>
      <c r="Q733" s="63">
        <f t="shared" si="5"/>
        <v>400000</v>
      </c>
      <c r="R733" s="93" t="str">
        <f>VLOOKUP(F733,DATABASE!C:Q,4,false)</f>
        <v>Advance</v>
      </c>
      <c r="S733" s="93" t="str">
        <f>VLOOKUP(F733,DATABASE!C:P,11,false)</f>
        <v>Tire</v>
      </c>
      <c r="T733" s="93" t="str">
        <f>vlookup(F733,DATABASE!C:Q,8,false)</f>
        <v>BIAN</v>
      </c>
      <c r="Z733" s="9"/>
    </row>
    <row r="734" ht="22.5" customHeight="1">
      <c r="A734" s="49"/>
      <c r="C734" s="400">
        <v>46119.0</v>
      </c>
      <c r="D734" s="69">
        <v>959.0</v>
      </c>
      <c r="E734" s="69" t="s">
        <v>867</v>
      </c>
      <c r="F734" s="140" t="s">
        <v>924</v>
      </c>
      <c r="G734" s="524">
        <v>1.0</v>
      </c>
      <c r="H734" s="140">
        <v>1650000.0</v>
      </c>
      <c r="I734" s="140">
        <v>1750000.0</v>
      </c>
      <c r="J734" s="192">
        <v>46149.0</v>
      </c>
      <c r="K734" s="74">
        <f>if(F734="SERVICE",O734-(O734*50%),Vlookup(F734,DATABASE!C:Q,10,false)*G734)</f>
        <v>0</v>
      </c>
      <c r="L734" s="74">
        <f>VLOOKUP(F734,DATABASE!C:Q,7,FALSE)</f>
        <v>1560000</v>
      </c>
      <c r="M734" s="74">
        <v>1545000.0</v>
      </c>
      <c r="N734" s="74">
        <f t="shared" si="8"/>
        <v>1545000</v>
      </c>
      <c r="O734" s="74">
        <f t="shared" si="3"/>
        <v>1650000</v>
      </c>
      <c r="P734" s="63">
        <f t="shared" si="4"/>
        <v>1750000</v>
      </c>
      <c r="Q734" s="63">
        <f t="shared" si="5"/>
        <v>205000</v>
      </c>
      <c r="R734" s="93" t="str">
        <f>VLOOKUP(F734,DATABASE!C:Q,4,false)</f>
        <v>TIRON</v>
      </c>
      <c r="S734" s="93" t="str">
        <f>VLOOKUP(F734,DATABASE!C:P,11,false)</f>
        <v>Tire</v>
      </c>
      <c r="T734" s="93" t="str">
        <f>vlookup(F734,DATABASE!C:Q,8,false)</f>
        <v>BIAN</v>
      </c>
      <c r="Z734" s="9"/>
    </row>
    <row r="735" ht="22.5" customHeight="1">
      <c r="A735" s="49"/>
      <c r="C735" s="400">
        <v>46119.0</v>
      </c>
      <c r="D735" s="69">
        <v>959.0</v>
      </c>
      <c r="E735" s="69" t="s">
        <v>867</v>
      </c>
      <c r="F735" s="140" t="s">
        <v>821</v>
      </c>
      <c r="G735" s="524">
        <v>1.0</v>
      </c>
      <c r="H735" s="140">
        <v>90000.0</v>
      </c>
      <c r="I735" s="140">
        <v>100000.0</v>
      </c>
      <c r="J735" s="192">
        <v>46149.0</v>
      </c>
      <c r="K735" s="74">
        <f>if(F735="SERVICE",O735-(O735*50%),Vlookup(F735,DATABASE!C:Q,10,false)*G735)</f>
        <v>0</v>
      </c>
      <c r="L735" s="74">
        <f>VLOOKUP(F735,DATABASE!C:Q,7,FALSE)</f>
        <v>43500</v>
      </c>
      <c r="M735" s="74">
        <v>43520.0</v>
      </c>
      <c r="N735" s="74">
        <f t="shared" si="8"/>
        <v>45000</v>
      </c>
      <c r="O735" s="74">
        <f t="shared" si="3"/>
        <v>90000</v>
      </c>
      <c r="P735" s="63">
        <f t="shared" si="4"/>
        <v>100000</v>
      </c>
      <c r="Q735" s="63">
        <f t="shared" si="5"/>
        <v>55000</v>
      </c>
      <c r="R735" s="93" t="str">
        <f>VLOOKUP(F735,DATABASE!C:Q,4,false)</f>
        <v>Flap</v>
      </c>
      <c r="S735" s="93" t="str">
        <f>VLOOKUP(F735,DATABASE!C:P,11,false)</f>
        <v>Tire</v>
      </c>
      <c r="T735" s="93" t="str">
        <f>vlookup(F735,DATABASE!C:Q,8,false)</f>
        <v>BIAN</v>
      </c>
      <c r="Z735" s="9"/>
    </row>
    <row r="736" ht="22.5" customHeight="1">
      <c r="A736" s="49"/>
      <c r="C736" s="400">
        <v>46120.0</v>
      </c>
      <c r="D736" s="69">
        <v>959.0</v>
      </c>
      <c r="E736" s="69" t="s">
        <v>119</v>
      </c>
      <c r="F736" s="140" t="s">
        <v>1858</v>
      </c>
      <c r="G736" s="524">
        <v>2.0</v>
      </c>
      <c r="H736" s="140">
        <v>2130000.0</v>
      </c>
      <c r="I736" s="140">
        <v>2230000.0</v>
      </c>
      <c r="J736" s="192">
        <v>46150.0</v>
      </c>
      <c r="K736" s="74">
        <f>if(F736="SERVICE",O736-(O736*50%),Vlookup(F736,DATABASE!C:Q,10,false)*G736)</f>
        <v>0</v>
      </c>
      <c r="L736" s="74">
        <f>VLOOKUP(F736,DATABASE!C:Q,7,FALSE)</f>
        <v>2030000</v>
      </c>
      <c r="M736" s="74">
        <v>2030000.0</v>
      </c>
      <c r="N736" s="74">
        <f t="shared" si="8"/>
        <v>2030000</v>
      </c>
      <c r="O736" s="74">
        <f t="shared" si="3"/>
        <v>4260000</v>
      </c>
      <c r="P736" s="63">
        <f t="shared" si="4"/>
        <v>4460000</v>
      </c>
      <c r="Q736" s="63">
        <f t="shared" si="5"/>
        <v>400000</v>
      </c>
      <c r="R736" s="93" t="str">
        <f>VLOOKUP(F736,DATABASE!C:Q,4,false)</f>
        <v>GiTi</v>
      </c>
      <c r="S736" s="93" t="str">
        <f>VLOOKUP(F736,DATABASE!C:P,11,false)</f>
        <v>Tire</v>
      </c>
      <c r="T736" s="93" t="str">
        <f>vlookup(F736,DATABASE!C:Q,8,false)</f>
        <v>BIAN</v>
      </c>
      <c r="Z736" s="9"/>
    </row>
    <row r="737" ht="22.5" customHeight="1">
      <c r="A737" s="49"/>
      <c r="C737" s="400">
        <v>46120.0</v>
      </c>
      <c r="D737" s="69">
        <v>969.0</v>
      </c>
      <c r="E737" s="69" t="s">
        <v>661</v>
      </c>
      <c r="F737" s="140" t="s">
        <v>1862</v>
      </c>
      <c r="G737" s="524">
        <v>1.0</v>
      </c>
      <c r="H737" s="140">
        <v>2150000.0</v>
      </c>
      <c r="I737" s="140">
        <v>2250000.0</v>
      </c>
      <c r="J737" s="192">
        <v>46150.0</v>
      </c>
      <c r="K737" s="74">
        <f>if(F737="SERVICE",O737-(O737*50%),Vlookup(F737,DATABASE!C:Q,10,false)*G737)</f>
        <v>0</v>
      </c>
      <c r="L737" s="74">
        <f>VLOOKUP(F737,DATABASE!C:Q,7,FALSE)</f>
        <v>2080000</v>
      </c>
      <c r="M737" s="74">
        <v>2050000.0</v>
      </c>
      <c r="N737" s="74">
        <f t="shared" si="8"/>
        <v>2050000</v>
      </c>
      <c r="O737" s="74">
        <f t="shared" si="3"/>
        <v>2150000</v>
      </c>
      <c r="P737" s="63">
        <f t="shared" si="4"/>
        <v>2250000</v>
      </c>
      <c r="Q737" s="63">
        <f t="shared" si="5"/>
        <v>200000</v>
      </c>
      <c r="R737" s="93" t="str">
        <f>VLOOKUP(F737,DATABASE!C:Q,4,false)</f>
        <v>GiTi</v>
      </c>
      <c r="S737" s="93" t="str">
        <f>VLOOKUP(F737,DATABASE!C:P,11,false)</f>
        <v>Tire</v>
      </c>
      <c r="T737" s="93" t="str">
        <f>vlookup(F737,DATABASE!C:Q,8,false)</f>
        <v>BIAN</v>
      </c>
      <c r="Z737" s="9"/>
    </row>
    <row r="738" ht="22.5" customHeight="1">
      <c r="A738" s="49"/>
      <c r="C738" s="400">
        <v>46120.0</v>
      </c>
      <c r="D738" s="524">
        <v>977.0</v>
      </c>
      <c r="E738" s="69" t="s">
        <v>264</v>
      </c>
      <c r="F738" s="140" t="s">
        <v>403</v>
      </c>
      <c r="G738" s="524">
        <v>2.0</v>
      </c>
      <c r="H738" s="140">
        <v>2260000.0</v>
      </c>
      <c r="I738" s="140">
        <v>2360000.0</v>
      </c>
      <c r="J738" s="192">
        <v>46150.0</v>
      </c>
      <c r="K738" s="74">
        <f>if(F738="SERVICE",O738-(O738*50%),Vlookup(F738,DATABASE!C:Q,10,false)*G738)</f>
        <v>0</v>
      </c>
      <c r="L738" s="74">
        <f>VLOOKUP(F738,DATABASE!C:Q,7,FALSE)</f>
        <v>2160000</v>
      </c>
      <c r="M738" s="74">
        <v>2160000.0</v>
      </c>
      <c r="N738" s="74">
        <f t="shared" si="8"/>
        <v>2160000</v>
      </c>
      <c r="O738" s="74">
        <f t="shared" si="3"/>
        <v>4520000</v>
      </c>
      <c r="P738" s="63">
        <f t="shared" si="4"/>
        <v>4720000</v>
      </c>
      <c r="Q738" s="63">
        <f t="shared" si="5"/>
        <v>400000</v>
      </c>
      <c r="R738" s="93" t="str">
        <f>VLOOKUP(F738,DATABASE!C:Q,4,false)</f>
        <v>Advance</v>
      </c>
      <c r="S738" s="93" t="str">
        <f>VLOOKUP(F738,DATABASE!C:P,11,false)</f>
        <v>Tire</v>
      </c>
      <c r="T738" s="93" t="str">
        <f>vlookup(F738,DATABASE!C:Q,8,false)</f>
        <v>BIAN</v>
      </c>
      <c r="Z738" s="9"/>
    </row>
    <row r="739" ht="22.5" customHeight="1">
      <c r="A739" s="49"/>
      <c r="C739" s="400">
        <v>46120.0</v>
      </c>
      <c r="D739" s="69">
        <v>982.0</v>
      </c>
      <c r="E739" s="69" t="s">
        <v>422</v>
      </c>
      <c r="F739" s="140" t="s">
        <v>2249</v>
      </c>
      <c r="G739" s="524">
        <v>4.0</v>
      </c>
      <c r="H739" s="140">
        <v>1850000.0</v>
      </c>
      <c r="I739" s="140">
        <v>1950000.0</v>
      </c>
      <c r="J739" s="192">
        <v>46150.0</v>
      </c>
      <c r="K739" s="74">
        <f>if(F739="SERVICE",O739-(O739*50%),Vlookup(F739,DATABASE!C:Q,10,false)*G739)</f>
        <v>0</v>
      </c>
      <c r="L739" s="74">
        <f>VLOOKUP(F739,DATABASE!C:Q,7,FALSE)</f>
        <v>1800000</v>
      </c>
      <c r="M739" s="74">
        <v>1750000.0</v>
      </c>
      <c r="N739" s="74">
        <f t="shared" si="8"/>
        <v>1750000</v>
      </c>
      <c r="O739" s="74">
        <f t="shared" si="3"/>
        <v>7400000</v>
      </c>
      <c r="P739" s="63">
        <f t="shared" si="4"/>
        <v>7800000</v>
      </c>
      <c r="Q739" s="63">
        <f t="shared" si="5"/>
        <v>800000</v>
      </c>
      <c r="R739" s="93" t="str">
        <f>VLOOKUP(F739,DATABASE!C:Q,4,false)</f>
        <v>WESTLAKE</v>
      </c>
      <c r="S739" s="93" t="str">
        <f>VLOOKUP(F739,DATABASE!C:P,11,false)</f>
        <v>Tire</v>
      </c>
      <c r="T739" s="93" t="str">
        <f>vlookup(F739,DATABASE!C:Q,8,false)</f>
        <v>BIAN</v>
      </c>
      <c r="Z739" s="9"/>
    </row>
    <row r="740" ht="22.5" customHeight="1">
      <c r="A740" s="49"/>
      <c r="C740" s="400">
        <v>46122.0</v>
      </c>
      <c r="D740" s="69">
        <v>1003.0</v>
      </c>
      <c r="E740" s="69" t="s">
        <v>331</v>
      </c>
      <c r="F740" s="140" t="s">
        <v>275</v>
      </c>
      <c r="G740" s="69">
        <v>1.0</v>
      </c>
      <c r="H740" s="140">
        <v>830000.0</v>
      </c>
      <c r="I740" s="140">
        <v>910000.0</v>
      </c>
      <c r="J740" s="192">
        <v>46152.0</v>
      </c>
      <c r="K740" s="74">
        <f>if(F740="SERVICE",O740-(O740*50%),Vlookup(F740,DATABASE!C:Q,10,false)*G740)</f>
        <v>0</v>
      </c>
      <c r="L740" s="74">
        <f>VLOOKUP(F740,DATABASE!C:Q,7,FALSE)</f>
        <v>782000</v>
      </c>
      <c r="M740" s="74">
        <v>745000.0</v>
      </c>
      <c r="N740" s="74">
        <f t="shared" si="8"/>
        <v>745000</v>
      </c>
      <c r="O740" s="74">
        <f t="shared" si="3"/>
        <v>830000</v>
      </c>
      <c r="P740" s="63">
        <f t="shared" si="4"/>
        <v>910000</v>
      </c>
      <c r="Q740" s="63">
        <f t="shared" si="5"/>
        <v>165000</v>
      </c>
      <c r="R740" s="93" t="str">
        <f>VLOOKUP(F740,DATABASE!C:Q,4,false)</f>
        <v>Dunlop</v>
      </c>
      <c r="S740" s="93" t="str">
        <f>VLOOKUP(F740,DATABASE!C:P,11,false)</f>
        <v>Tire</v>
      </c>
      <c r="T740" s="69" t="s">
        <v>2629</v>
      </c>
      <c r="Z740" s="9"/>
    </row>
    <row r="741" ht="22.5" customHeight="1">
      <c r="A741" s="49"/>
      <c r="C741" s="400">
        <v>46126.0</v>
      </c>
      <c r="D741" s="69">
        <v>1037.0</v>
      </c>
      <c r="E741" s="69" t="s">
        <v>668</v>
      </c>
      <c r="F741" s="140" t="s">
        <v>282</v>
      </c>
      <c r="G741" s="524">
        <v>1.0</v>
      </c>
      <c r="H741" s="140">
        <v>870000.0</v>
      </c>
      <c r="I741" s="140">
        <v>950000.0</v>
      </c>
      <c r="J741" s="192">
        <v>46156.0</v>
      </c>
      <c r="K741" s="74">
        <f>if(F741="SERVICE",O741-(O741*50%),Vlookup(F741,DATABASE!C:Q,10,false)*G741)</f>
        <v>0</v>
      </c>
      <c r="L741" s="74">
        <f>VLOOKUP(F741,DATABASE!C:Q,7,FALSE)</f>
        <v>779500</v>
      </c>
      <c r="M741" s="74">
        <v>779500.0</v>
      </c>
      <c r="N741" s="74">
        <f t="shared" si="8"/>
        <v>780000</v>
      </c>
      <c r="O741" s="74">
        <f t="shared" si="3"/>
        <v>870000</v>
      </c>
      <c r="P741" s="63">
        <f t="shared" si="4"/>
        <v>950000</v>
      </c>
      <c r="Q741" s="63">
        <f t="shared" si="5"/>
        <v>170000</v>
      </c>
      <c r="R741" s="93" t="str">
        <f>VLOOKUP(F741,DATABASE!C:Q,4,false)</f>
        <v>Dunlop</v>
      </c>
      <c r="S741" s="93" t="str">
        <f>VLOOKUP(F741,DATABASE!C:P,11,false)</f>
        <v>Tire</v>
      </c>
      <c r="T741" s="93" t="str">
        <f>vlookup(F741,DATABASE!C:Q,8,false)</f>
        <v>IBU</v>
      </c>
      <c r="Z741" s="9"/>
    </row>
    <row r="742" ht="22.5" customHeight="1">
      <c r="A742" s="49"/>
      <c r="C742" s="400">
        <v>46128.0</v>
      </c>
      <c r="D742" s="69">
        <v>1049.0</v>
      </c>
      <c r="E742" s="69" t="s">
        <v>267</v>
      </c>
      <c r="F742" s="140" t="s">
        <v>403</v>
      </c>
      <c r="G742" s="524">
        <v>2.0</v>
      </c>
      <c r="H742" s="140">
        <v>2260000.0</v>
      </c>
      <c r="I742" s="140">
        <v>2360000.0</v>
      </c>
      <c r="J742" s="192">
        <v>46158.0</v>
      </c>
      <c r="K742" s="74">
        <f>if(F742="SERVICE",O742-(O742*50%),Vlookup(F742,DATABASE!C:Q,10,false)*G742)</f>
        <v>0</v>
      </c>
      <c r="L742" s="74">
        <f>VLOOKUP(F742,DATABASE!C:Q,7,FALSE)</f>
        <v>2160000</v>
      </c>
      <c r="M742" s="74">
        <v>2160000.0</v>
      </c>
      <c r="N742" s="74">
        <f t="shared" si="8"/>
        <v>2160000</v>
      </c>
      <c r="O742" s="74">
        <f t="shared" si="3"/>
        <v>4520000</v>
      </c>
      <c r="P742" s="63">
        <f t="shared" si="4"/>
        <v>4720000</v>
      </c>
      <c r="Q742" s="63">
        <f t="shared" si="5"/>
        <v>400000</v>
      </c>
      <c r="R742" s="93" t="str">
        <f>VLOOKUP(F742,DATABASE!C:Q,4,false)</f>
        <v>Advance</v>
      </c>
      <c r="S742" s="93" t="str">
        <f>VLOOKUP(F742,DATABASE!C:P,11,false)</f>
        <v>Tire</v>
      </c>
      <c r="T742" s="93" t="str">
        <f>vlookup(F742,DATABASE!C:Q,8,false)</f>
        <v>BIAN</v>
      </c>
      <c r="Z742" s="9"/>
    </row>
    <row r="743" ht="22.5" customHeight="1">
      <c r="A743" s="49"/>
      <c r="C743" s="400">
        <v>46129.0</v>
      </c>
      <c r="D743" s="69">
        <v>1055.0</v>
      </c>
      <c r="E743" s="69" t="s">
        <v>927</v>
      </c>
      <c r="F743" s="140" t="s">
        <v>924</v>
      </c>
      <c r="G743" s="524">
        <v>2.0</v>
      </c>
      <c r="H743" s="140">
        <v>1650000.0</v>
      </c>
      <c r="I743" s="140">
        <v>1750000.0</v>
      </c>
      <c r="J743" s="192">
        <v>46159.0</v>
      </c>
      <c r="K743" s="74">
        <f>if(F743="SERVICE",O743-(O743*50%),Vlookup(F743,DATABASE!C:Q,10,false)*G743)</f>
        <v>0</v>
      </c>
      <c r="L743" s="74">
        <f>VLOOKUP(F743,DATABASE!C:Q,7,FALSE)</f>
        <v>1560000</v>
      </c>
      <c r="M743" s="74">
        <v>1545000.0</v>
      </c>
      <c r="N743" s="74">
        <f t="shared" si="8"/>
        <v>1545000</v>
      </c>
      <c r="O743" s="74">
        <f t="shared" si="3"/>
        <v>3300000</v>
      </c>
      <c r="P743" s="63">
        <f t="shared" si="4"/>
        <v>3500000</v>
      </c>
      <c r="Q743" s="63">
        <f t="shared" si="5"/>
        <v>410000</v>
      </c>
      <c r="R743" s="93" t="str">
        <f>VLOOKUP(F743,DATABASE!C:Q,4,false)</f>
        <v>TIRON</v>
      </c>
      <c r="S743" s="93" t="str">
        <f>VLOOKUP(F743,DATABASE!C:P,11,false)</f>
        <v>Tire</v>
      </c>
      <c r="T743" s="93" t="str">
        <f>vlookup(F743,DATABASE!C:Q,8,false)</f>
        <v>BIAN</v>
      </c>
      <c r="Z743" s="9"/>
    </row>
    <row r="744" ht="22.5" customHeight="1">
      <c r="A744" s="49"/>
      <c r="C744" s="400">
        <v>46130.0</v>
      </c>
      <c r="D744" s="69">
        <v>1080.0</v>
      </c>
      <c r="E744" s="69" t="s">
        <v>264</v>
      </c>
      <c r="F744" s="140" t="s">
        <v>403</v>
      </c>
      <c r="G744" s="524">
        <v>2.0</v>
      </c>
      <c r="H744" s="140">
        <v>2260000.0</v>
      </c>
      <c r="I744" s="140">
        <v>2360000.0</v>
      </c>
      <c r="J744" s="192">
        <v>46160.0</v>
      </c>
      <c r="K744" s="74">
        <f>if(F744="SERVICE",O744-(O744*50%),Vlookup(F744,DATABASE!C:Q,10,false)*G744)</f>
        <v>0</v>
      </c>
      <c r="L744" s="74">
        <f>VLOOKUP(F744,DATABASE!C:Q,7,FALSE)</f>
        <v>2160000</v>
      </c>
      <c r="M744" s="74">
        <v>2160000.0</v>
      </c>
      <c r="N744" s="74">
        <f t="shared" si="8"/>
        <v>2160000</v>
      </c>
      <c r="O744" s="74">
        <f t="shared" si="3"/>
        <v>4520000</v>
      </c>
      <c r="P744" s="63">
        <f t="shared" si="4"/>
        <v>4720000</v>
      </c>
      <c r="Q744" s="63">
        <f t="shared" si="5"/>
        <v>400000</v>
      </c>
      <c r="R744" s="93" t="str">
        <f>VLOOKUP(F744,DATABASE!C:Q,4,false)</f>
        <v>Advance</v>
      </c>
      <c r="S744" s="93" t="str">
        <f>VLOOKUP(F744,DATABASE!C:P,11,false)</f>
        <v>Tire</v>
      </c>
      <c r="T744" s="93" t="str">
        <f>vlookup(F744,DATABASE!C:Q,8,false)</f>
        <v>BIAN</v>
      </c>
      <c r="Z744" s="9"/>
    </row>
    <row r="745" ht="22.5" customHeight="1">
      <c r="A745" s="49"/>
      <c r="C745" s="400">
        <v>46132.0</v>
      </c>
      <c r="D745" s="69">
        <v>1089.0</v>
      </c>
      <c r="E745" s="69" t="s">
        <v>267</v>
      </c>
      <c r="F745" s="140" t="s">
        <v>403</v>
      </c>
      <c r="G745" s="524">
        <v>2.0</v>
      </c>
      <c r="H745" s="140">
        <v>2260000.0</v>
      </c>
      <c r="I745" s="140">
        <v>2360000.0</v>
      </c>
      <c r="J745" s="192">
        <v>46162.0</v>
      </c>
      <c r="K745" s="74">
        <f>if(F745="SERVICE",O745-(O745*50%),Vlookup(F745,DATABASE!C:Q,10,false)*G745)</f>
        <v>0</v>
      </c>
      <c r="L745" s="74">
        <f>VLOOKUP(F745,DATABASE!C:Q,7,FALSE)</f>
        <v>2160000</v>
      </c>
      <c r="M745" s="74">
        <v>2160000.0</v>
      </c>
      <c r="N745" s="74">
        <f t="shared" si="8"/>
        <v>2160000</v>
      </c>
      <c r="O745" s="74">
        <f t="shared" si="3"/>
        <v>4520000</v>
      </c>
      <c r="P745" s="63">
        <f t="shared" si="4"/>
        <v>4720000</v>
      </c>
      <c r="Q745" s="63">
        <f t="shared" si="5"/>
        <v>400000</v>
      </c>
      <c r="R745" s="93" t="str">
        <f>VLOOKUP(F745,DATABASE!C:Q,4,false)</f>
        <v>Advance</v>
      </c>
      <c r="S745" s="93" t="str">
        <f>VLOOKUP(F745,DATABASE!C:P,11,false)</f>
        <v>Tire</v>
      </c>
      <c r="T745" s="93" t="str">
        <f>vlookup(F745,DATABASE!C:Q,8,false)</f>
        <v>BIAN</v>
      </c>
      <c r="Z745" s="9"/>
    </row>
    <row r="746" ht="22.5" customHeight="1">
      <c r="A746" s="49"/>
      <c r="C746" s="400">
        <v>46132.0</v>
      </c>
      <c r="D746" s="69">
        <v>1093.0</v>
      </c>
      <c r="E746" s="69" t="s">
        <v>595</v>
      </c>
      <c r="F746" s="140" t="s">
        <v>374</v>
      </c>
      <c r="G746" s="524">
        <v>2.0</v>
      </c>
      <c r="H746" s="140">
        <v>2050000.0</v>
      </c>
      <c r="I746" s="140">
        <v>2150000.0</v>
      </c>
      <c r="J746" s="192">
        <v>46162.0</v>
      </c>
      <c r="K746" s="74">
        <f>if(F746="SERVICE",O746-(O746*50%),Vlookup(F746,DATABASE!C:Q,10,false)*G746)</f>
        <v>0</v>
      </c>
      <c r="L746" s="74">
        <f>VLOOKUP(F746,DATABASE!C:Q,7,FALSE)</f>
        <v>1980000</v>
      </c>
      <c r="M746" s="74">
        <v>1940000.0</v>
      </c>
      <c r="N746" s="74">
        <f t="shared" si="8"/>
        <v>1940000</v>
      </c>
      <c r="O746" s="74">
        <f t="shared" si="3"/>
        <v>4100000</v>
      </c>
      <c r="P746" s="63">
        <f t="shared" si="4"/>
        <v>4300000</v>
      </c>
      <c r="Q746" s="63">
        <f t="shared" si="5"/>
        <v>420000</v>
      </c>
      <c r="R746" s="93" t="str">
        <f>VLOOKUP(F746,DATABASE!C:Q,4,false)</f>
        <v>Advance</v>
      </c>
      <c r="S746" s="93" t="str">
        <f>VLOOKUP(F746,DATABASE!C:P,11,false)</f>
        <v>Tire</v>
      </c>
      <c r="T746" s="93" t="str">
        <f>vlookup(F746,DATABASE!C:Q,8,false)</f>
        <v>BIAN</v>
      </c>
      <c r="Z746" s="9"/>
    </row>
    <row r="747" ht="22.5" customHeight="1">
      <c r="A747" s="49"/>
      <c r="C747" s="400">
        <v>46132.0</v>
      </c>
      <c r="D747" s="69">
        <v>1093.0</v>
      </c>
      <c r="E747" s="69" t="s">
        <v>595</v>
      </c>
      <c r="F747" s="140" t="s">
        <v>566</v>
      </c>
      <c r="G747" s="524">
        <v>2.0</v>
      </c>
      <c r="H747" s="140">
        <v>1650000.0</v>
      </c>
      <c r="I747" s="140">
        <v>1750000.0</v>
      </c>
      <c r="J747" s="192">
        <v>46162.0</v>
      </c>
      <c r="K747" s="74">
        <f>if(F747="SERVICE",O747-(O747*50%),Vlookup(F747,DATABASE!C:Q,10,false)*G747)</f>
        <v>0</v>
      </c>
      <c r="L747" s="74">
        <f>VLOOKUP(F747,DATABASE!C:Q,7,FALSE)</f>
        <v>1565000</v>
      </c>
      <c r="M747" s="74">
        <v>1545000.0</v>
      </c>
      <c r="N747" s="74">
        <f t="shared" si="8"/>
        <v>1545000</v>
      </c>
      <c r="O747" s="74">
        <f t="shared" si="3"/>
        <v>3300000</v>
      </c>
      <c r="P747" s="63">
        <f t="shared" si="4"/>
        <v>3500000</v>
      </c>
      <c r="Q747" s="63">
        <f t="shared" si="5"/>
        <v>410000</v>
      </c>
      <c r="R747" s="93" t="str">
        <f>VLOOKUP(F747,DATABASE!C:Q,4,false)</f>
        <v>Bridgestone</v>
      </c>
      <c r="S747" s="93" t="str">
        <f>VLOOKUP(F747,DATABASE!C:P,11,false)</f>
        <v>Tire</v>
      </c>
      <c r="T747" s="93" t="str">
        <f>vlookup(F747,DATABASE!C:Q,8,false)</f>
        <v>IBU</v>
      </c>
      <c r="Z747" s="9"/>
    </row>
    <row r="748" ht="22.5" customHeight="1">
      <c r="A748" s="49"/>
      <c r="C748" s="400">
        <v>46132.0</v>
      </c>
      <c r="D748" s="69">
        <v>1093.0</v>
      </c>
      <c r="E748" s="69" t="s">
        <v>595</v>
      </c>
      <c r="F748" s="140" t="s">
        <v>744</v>
      </c>
      <c r="G748" s="524">
        <v>1.0</v>
      </c>
      <c r="H748" s="140">
        <v>230000.0</v>
      </c>
      <c r="I748" s="140">
        <v>250000.0</v>
      </c>
      <c r="J748" s="192">
        <v>46162.0</v>
      </c>
      <c r="K748" s="74">
        <f>if(F748="SERVICE",O748-(O748*50%),Vlookup(F748,DATABASE!C:Q,10,false)*G748)</f>
        <v>0</v>
      </c>
      <c r="L748" s="74">
        <f>VLOOKUP(F748,DATABASE!C:Q,7,FALSE)</f>
        <v>182200</v>
      </c>
      <c r="M748" s="74">
        <v>199920.0</v>
      </c>
      <c r="N748" s="74">
        <f t="shared" si="8"/>
        <v>200000</v>
      </c>
      <c r="O748" s="74">
        <f t="shared" si="3"/>
        <v>230000</v>
      </c>
      <c r="P748" s="63">
        <f t="shared" si="4"/>
        <v>250000</v>
      </c>
      <c r="Q748" s="63">
        <f t="shared" si="5"/>
        <v>50000</v>
      </c>
      <c r="R748" s="93" t="str">
        <f>VLOOKUP(F748,DATABASE!C:Q,4,false)</f>
        <v>BD</v>
      </c>
      <c r="S748" s="93" t="str">
        <f>VLOOKUP(F748,DATABASE!C:P,11,false)</f>
        <v>Tire</v>
      </c>
      <c r="T748" s="93" t="str">
        <f>vlookup(F748,DATABASE!C:Q,8,false)</f>
        <v>BIAN</v>
      </c>
      <c r="Z748" s="9"/>
    </row>
    <row r="749" ht="22.5" customHeight="1">
      <c r="A749" s="49"/>
      <c r="C749" s="400">
        <v>46132.0</v>
      </c>
      <c r="D749" s="69">
        <v>1093.0</v>
      </c>
      <c r="E749" s="69" t="s">
        <v>595</v>
      </c>
      <c r="F749" s="140" t="s">
        <v>821</v>
      </c>
      <c r="G749" s="524">
        <v>1.0</v>
      </c>
      <c r="H749" s="140">
        <v>90000.0</v>
      </c>
      <c r="I749" s="140">
        <v>100000.0</v>
      </c>
      <c r="J749" s="192">
        <v>46162.0</v>
      </c>
      <c r="K749" s="74">
        <f>if(F749="SERVICE",O749-(O749*50%),Vlookup(F749,DATABASE!C:Q,10,false)*G749)</f>
        <v>0</v>
      </c>
      <c r="L749" s="74">
        <f>VLOOKUP(F749,DATABASE!C:Q,7,FALSE)</f>
        <v>43500</v>
      </c>
      <c r="M749" s="74">
        <v>43520.0</v>
      </c>
      <c r="N749" s="74">
        <f t="shared" si="8"/>
        <v>45000</v>
      </c>
      <c r="O749" s="74">
        <f t="shared" si="3"/>
        <v>90000</v>
      </c>
      <c r="P749" s="63">
        <f t="shared" si="4"/>
        <v>100000</v>
      </c>
      <c r="Q749" s="63">
        <f t="shared" si="5"/>
        <v>55000</v>
      </c>
      <c r="R749" s="93" t="str">
        <f>VLOOKUP(F749,DATABASE!C:Q,4,false)</f>
        <v>Flap</v>
      </c>
      <c r="S749" s="93" t="str">
        <f>VLOOKUP(F749,DATABASE!C:P,11,false)</f>
        <v>Tire</v>
      </c>
      <c r="T749" s="93" t="str">
        <f>vlookup(F749,DATABASE!C:Q,8,false)</f>
        <v>BIAN</v>
      </c>
      <c r="Z749" s="9"/>
    </row>
    <row r="750" ht="22.5" customHeight="1">
      <c r="A750" s="49"/>
      <c r="C750" s="400">
        <v>46134.0</v>
      </c>
      <c r="D750" s="69">
        <v>1120.0</v>
      </c>
      <c r="E750" s="69" t="s">
        <v>810</v>
      </c>
      <c r="F750" s="140" t="s">
        <v>391</v>
      </c>
      <c r="G750" s="524">
        <v>1.0</v>
      </c>
      <c r="H750" s="140">
        <v>1950000.0</v>
      </c>
      <c r="I750" s="140">
        <v>2050000.0</v>
      </c>
      <c r="J750" s="192">
        <v>46164.0</v>
      </c>
      <c r="K750" s="74">
        <f>if(F750="SERVICE",O750-(O750*50%),Vlookup(F750,DATABASE!C:Q,10,false)*G750)</f>
        <v>0</v>
      </c>
      <c r="L750" s="74">
        <f>VLOOKUP(F750,DATABASE!C:Q,7,FALSE)</f>
        <v>1885000</v>
      </c>
      <c r="M750" s="74">
        <v>1840000.0</v>
      </c>
      <c r="N750" s="74">
        <f t="shared" si="8"/>
        <v>1840000</v>
      </c>
      <c r="O750" s="74">
        <f t="shared" si="3"/>
        <v>1950000</v>
      </c>
      <c r="P750" s="63">
        <f t="shared" si="4"/>
        <v>2050000</v>
      </c>
      <c r="Q750" s="63">
        <f t="shared" si="5"/>
        <v>210000</v>
      </c>
      <c r="R750" s="93" t="str">
        <f>VLOOKUP(F750,DATABASE!C:Q,4,false)</f>
        <v>Advance</v>
      </c>
      <c r="S750" s="93" t="str">
        <f>VLOOKUP(F750,DATABASE!C:P,11,false)</f>
        <v>Tire</v>
      </c>
      <c r="T750" s="93" t="str">
        <f>vlookup(F750,DATABASE!C:Q,8,false)</f>
        <v>BIAN</v>
      </c>
      <c r="Z750" s="9"/>
    </row>
    <row r="751" ht="22.5" customHeight="1">
      <c r="A751" s="49"/>
      <c r="C751" s="400">
        <v>46134.0</v>
      </c>
      <c r="D751" s="69">
        <v>1126.0</v>
      </c>
      <c r="E751" s="69" t="s">
        <v>1170</v>
      </c>
      <c r="F751" s="140" t="s">
        <v>276</v>
      </c>
      <c r="G751" s="524">
        <v>2.0</v>
      </c>
      <c r="H751" s="140">
        <v>710000.0</v>
      </c>
      <c r="I751" s="140">
        <v>790000.0</v>
      </c>
      <c r="J751" s="192">
        <v>46164.0</v>
      </c>
      <c r="K751" s="74">
        <f>if(F751="SERVICE",O751-(O751*50%),Vlookup(F751,DATABASE!C:Q,10,false)*G751)</f>
        <v>0</v>
      </c>
      <c r="L751" s="74">
        <f>VLOOKUP(F751,DATABASE!C:Q,7,FALSE)</f>
        <v>620000</v>
      </c>
      <c r="M751" s="74">
        <v>620000.0</v>
      </c>
      <c r="N751" s="74">
        <f t="shared" si="8"/>
        <v>620000</v>
      </c>
      <c r="O751" s="74">
        <f t="shared" si="3"/>
        <v>1420000</v>
      </c>
      <c r="P751" s="63">
        <f t="shared" si="4"/>
        <v>1580000</v>
      </c>
      <c r="Q751" s="63">
        <f t="shared" si="5"/>
        <v>340000</v>
      </c>
      <c r="R751" s="93" t="str">
        <f>VLOOKUP(F751,DATABASE!C:Q,4,false)</f>
        <v>Dunlop</v>
      </c>
      <c r="S751" s="93" t="str">
        <f>VLOOKUP(F751,DATABASE!C:P,11,false)</f>
        <v>Tire</v>
      </c>
      <c r="T751" s="93" t="str">
        <f>vlookup(F751,DATABASE!C:Q,8,false)</f>
        <v>IBU</v>
      </c>
      <c r="Z751" s="9"/>
    </row>
    <row r="752" ht="22.5" customHeight="1">
      <c r="A752" s="49"/>
      <c r="C752" s="400">
        <v>46136.0</v>
      </c>
      <c r="D752" s="69">
        <v>1151.0</v>
      </c>
      <c r="E752" s="69" t="s">
        <v>544</v>
      </c>
      <c r="F752" s="140" t="s">
        <v>572</v>
      </c>
      <c r="G752" s="524">
        <v>2.0</v>
      </c>
      <c r="H752" s="140">
        <v>1350000.0</v>
      </c>
      <c r="I752" s="140">
        <v>1450000.0</v>
      </c>
      <c r="J752" s="192">
        <v>46166.0</v>
      </c>
      <c r="K752" s="74">
        <f>if(F752="SERVICE",O752-(O752*50%),Vlookup(F752,DATABASE!C:Q,10,false)*G752)</f>
        <v>0</v>
      </c>
      <c r="L752" s="74">
        <f>VLOOKUP(F752,DATABASE!C:Q,7,FALSE)</f>
        <v>1265000</v>
      </c>
      <c r="M752" s="74">
        <v>1245000.0</v>
      </c>
      <c r="N752" s="74">
        <f t="shared" si="8"/>
        <v>1245000</v>
      </c>
      <c r="O752" s="74">
        <f t="shared" si="3"/>
        <v>2700000</v>
      </c>
      <c r="P752" s="63">
        <f t="shared" si="4"/>
        <v>2900000</v>
      </c>
      <c r="Q752" s="63">
        <f t="shared" si="5"/>
        <v>410000</v>
      </c>
      <c r="R752" s="93" t="str">
        <f>VLOOKUP(F752,DATABASE!C:Q,4,false)</f>
        <v>Bridgestone</v>
      </c>
      <c r="S752" s="93" t="str">
        <f>VLOOKUP(F752,DATABASE!C:P,11,false)</f>
        <v>Tire</v>
      </c>
      <c r="T752" s="93" t="str">
        <f>vlookup(F752,DATABASE!C:Q,8,false)</f>
        <v>IBU</v>
      </c>
      <c r="Z752" s="9"/>
    </row>
    <row r="753" ht="22.5" customHeight="1">
      <c r="A753" s="49"/>
      <c r="C753" s="400">
        <v>46136.0</v>
      </c>
      <c r="D753" s="69">
        <v>1152.0</v>
      </c>
      <c r="E753" s="69" t="s">
        <v>544</v>
      </c>
      <c r="F753" s="140" t="s">
        <v>572</v>
      </c>
      <c r="G753" s="524">
        <v>1.0</v>
      </c>
      <c r="H753" s="140">
        <v>1350000.0</v>
      </c>
      <c r="I753" s="140">
        <v>1450000.0</v>
      </c>
      <c r="J753" s="192">
        <v>46166.0</v>
      </c>
      <c r="K753" s="74">
        <f>if(F753="SERVICE",O753-(O753*50%),Vlookup(F753,DATABASE!C:Q,10,false)*G753)</f>
        <v>0</v>
      </c>
      <c r="L753" s="74">
        <f>VLOOKUP(F753,DATABASE!C:Q,7,FALSE)</f>
        <v>1265000</v>
      </c>
      <c r="M753" s="74">
        <v>1245000.0</v>
      </c>
      <c r="N753" s="74">
        <f t="shared" si="8"/>
        <v>1245000</v>
      </c>
      <c r="O753" s="74">
        <f t="shared" si="3"/>
        <v>1350000</v>
      </c>
      <c r="P753" s="63">
        <f t="shared" si="4"/>
        <v>1450000</v>
      </c>
      <c r="Q753" s="63">
        <f t="shared" si="5"/>
        <v>205000</v>
      </c>
      <c r="R753" s="93" t="str">
        <f>VLOOKUP(F753,DATABASE!C:Q,4,false)</f>
        <v>Bridgestone</v>
      </c>
      <c r="S753" s="93" t="str">
        <f>VLOOKUP(F753,DATABASE!C:P,11,false)</f>
        <v>Tire</v>
      </c>
      <c r="T753" s="93" t="str">
        <f>vlookup(F753,DATABASE!C:Q,8,false)</f>
        <v>IBU</v>
      </c>
      <c r="Z753" s="9"/>
    </row>
    <row r="754" ht="22.5" customHeight="1">
      <c r="A754" s="49"/>
      <c r="C754" s="400">
        <v>46136.0</v>
      </c>
      <c r="D754" s="69">
        <v>1152.0</v>
      </c>
      <c r="E754" s="69" t="s">
        <v>544</v>
      </c>
      <c r="F754" s="140" t="s">
        <v>255</v>
      </c>
      <c r="G754" s="524">
        <v>1.0</v>
      </c>
      <c r="H754" s="140">
        <v>200000.0</v>
      </c>
      <c r="I754" s="140">
        <v>220000.0</v>
      </c>
      <c r="J754" s="192">
        <v>46166.0</v>
      </c>
      <c r="K754" s="74">
        <f>if(F754="SERVICE",O754-(O754*50%),Vlookup(F754,DATABASE!C:Q,10,false)*G754)</f>
        <v>0</v>
      </c>
      <c r="L754" s="74">
        <f>VLOOKUP(F754,DATABASE!C:Q,7,FALSE)</f>
        <v>161840</v>
      </c>
      <c r="M754" s="74">
        <v>161840.0</v>
      </c>
      <c r="N754" s="74">
        <f t="shared" si="8"/>
        <v>165000</v>
      </c>
      <c r="O754" s="74">
        <f t="shared" si="3"/>
        <v>200000</v>
      </c>
      <c r="P754" s="63">
        <f t="shared" si="4"/>
        <v>220000</v>
      </c>
      <c r="Q754" s="63">
        <f t="shared" si="5"/>
        <v>55000</v>
      </c>
      <c r="R754" s="93" t="str">
        <f>VLOOKUP(F754,DATABASE!C:Q,4,false)</f>
        <v>BD</v>
      </c>
      <c r="S754" s="93" t="str">
        <f>VLOOKUP(F754,DATABASE!C:P,11,false)</f>
        <v>Tire</v>
      </c>
      <c r="T754" s="93" t="str">
        <f>vlookup(F754,DATABASE!C:Q,8,false)</f>
        <v>BIAN</v>
      </c>
      <c r="Z754" s="9"/>
    </row>
    <row r="755" ht="22.5" customHeight="1">
      <c r="A755" s="49"/>
      <c r="C755" s="400">
        <v>46136.0</v>
      </c>
      <c r="D755" s="69">
        <v>1152.0</v>
      </c>
      <c r="E755" s="69" t="s">
        <v>544</v>
      </c>
      <c r="F755" s="140" t="s">
        <v>814</v>
      </c>
      <c r="G755" s="524">
        <v>1.0</v>
      </c>
      <c r="H755" s="140">
        <v>70000.0</v>
      </c>
      <c r="I755" s="140">
        <v>90000.0</v>
      </c>
      <c r="J755" s="192">
        <v>46166.0</v>
      </c>
      <c r="K755" s="74">
        <f>if(F755="SERVICE",O755-(O755*50%),Vlookup(F755,DATABASE!C:Q,10,false)*G755)</f>
        <v>0</v>
      </c>
      <c r="L755" s="74">
        <f>VLOOKUP(F755,DATABASE!C:Q,7,FALSE)</f>
        <v>39440</v>
      </c>
      <c r="M755" s="74">
        <v>39440.0</v>
      </c>
      <c r="N755" s="74">
        <f t="shared" si="8"/>
        <v>40000</v>
      </c>
      <c r="O755" s="74">
        <f t="shared" si="3"/>
        <v>70000</v>
      </c>
      <c r="P755" s="63">
        <f t="shared" si="4"/>
        <v>90000</v>
      </c>
      <c r="Q755" s="63">
        <f t="shared" si="5"/>
        <v>50000</v>
      </c>
      <c r="R755" s="93" t="str">
        <f>VLOOKUP(F755,DATABASE!C:Q,4,false)</f>
        <v>Flap</v>
      </c>
      <c r="S755" s="93" t="str">
        <f>VLOOKUP(F755,DATABASE!C:P,11,false)</f>
        <v>Tire</v>
      </c>
      <c r="T755" s="93" t="str">
        <f>vlookup(F755,DATABASE!C:Q,8,false)</f>
        <v>BIAN</v>
      </c>
      <c r="Z755" s="9"/>
    </row>
    <row r="756" ht="22.5" customHeight="1">
      <c r="A756" s="49"/>
      <c r="C756" s="400">
        <v>46136.0</v>
      </c>
      <c r="D756" s="69">
        <v>1152.0</v>
      </c>
      <c r="E756" s="69" t="s">
        <v>544</v>
      </c>
      <c r="F756" s="140" t="s">
        <v>814</v>
      </c>
      <c r="G756" s="524">
        <v>1.0</v>
      </c>
      <c r="H756" s="140">
        <v>70000.0</v>
      </c>
      <c r="I756" s="140">
        <v>90000.0</v>
      </c>
      <c r="J756" s="192">
        <v>46166.0</v>
      </c>
      <c r="K756" s="74">
        <f>if(F756="SERVICE",O756-(O756*50%),Vlookup(F756,DATABASE!C:Q,10,false)*G756)</f>
        <v>0</v>
      </c>
      <c r="L756" s="74">
        <f>VLOOKUP(F756,DATABASE!C:Q,7,FALSE)</f>
        <v>39440</v>
      </c>
      <c r="M756" s="74">
        <v>39440.0</v>
      </c>
      <c r="N756" s="74">
        <f t="shared" si="8"/>
        <v>40000</v>
      </c>
      <c r="O756" s="74">
        <f t="shared" si="3"/>
        <v>70000</v>
      </c>
      <c r="P756" s="63">
        <f t="shared" si="4"/>
        <v>90000</v>
      </c>
      <c r="Q756" s="63">
        <f t="shared" si="5"/>
        <v>50000</v>
      </c>
      <c r="R756" s="93" t="str">
        <f>VLOOKUP(F756,DATABASE!C:Q,4,false)</f>
        <v>Flap</v>
      </c>
      <c r="S756" s="93" t="str">
        <f>VLOOKUP(F756,DATABASE!C:P,11,false)</f>
        <v>Tire</v>
      </c>
      <c r="T756" s="93" t="str">
        <f>vlookup(F756,DATABASE!C:Q,8,false)</f>
        <v>BIAN</v>
      </c>
      <c r="Z756" s="9"/>
    </row>
    <row r="757" ht="22.5" customHeight="1">
      <c r="A757" s="49"/>
      <c r="C757" s="400">
        <v>46137.0</v>
      </c>
      <c r="D757" s="69">
        <v>1158.0</v>
      </c>
      <c r="E757" s="69" t="s">
        <v>867</v>
      </c>
      <c r="F757" s="140" t="s">
        <v>566</v>
      </c>
      <c r="G757" s="524">
        <v>1.0</v>
      </c>
      <c r="H757" s="140">
        <v>1650000.0</v>
      </c>
      <c r="I757" s="140">
        <v>1750000.0</v>
      </c>
      <c r="J757" s="192">
        <v>46167.0</v>
      </c>
      <c r="K757" s="74">
        <f>if(F757="SERVICE",O757-(O757*50%),Vlookup(F757,DATABASE!C:Q,10,false)*G757)</f>
        <v>0</v>
      </c>
      <c r="L757" s="74">
        <f>VLOOKUP(F757,DATABASE!C:Q,7,FALSE)</f>
        <v>1565000</v>
      </c>
      <c r="M757" s="74">
        <v>1545000.0</v>
      </c>
      <c r="N757" s="74">
        <f t="shared" si="8"/>
        <v>1545000</v>
      </c>
      <c r="O757" s="74">
        <f t="shared" si="3"/>
        <v>1650000</v>
      </c>
      <c r="P757" s="63">
        <f t="shared" si="4"/>
        <v>1750000</v>
      </c>
      <c r="Q757" s="63">
        <f t="shared" si="5"/>
        <v>205000</v>
      </c>
      <c r="R757" s="93" t="str">
        <f>VLOOKUP(F757,DATABASE!C:Q,4,false)</f>
        <v>Bridgestone</v>
      </c>
      <c r="S757" s="93" t="str">
        <f>VLOOKUP(F757,DATABASE!C:P,11,false)</f>
        <v>Tire</v>
      </c>
      <c r="T757" s="93" t="str">
        <f>vlookup(F757,DATABASE!C:Q,8,false)</f>
        <v>IBU</v>
      </c>
      <c r="Z757" s="9"/>
    </row>
    <row r="758" ht="22.5" customHeight="1">
      <c r="A758" s="49"/>
      <c r="C758" s="400">
        <v>46137.0</v>
      </c>
      <c r="D758" s="69">
        <v>1158.0</v>
      </c>
      <c r="E758" s="69" t="s">
        <v>867</v>
      </c>
      <c r="F758" s="140" t="s">
        <v>821</v>
      </c>
      <c r="G758" s="524">
        <v>1.0</v>
      </c>
      <c r="H758" s="140">
        <v>90000.0</v>
      </c>
      <c r="I758" s="140">
        <v>100000.0</v>
      </c>
      <c r="J758" s="192">
        <v>46167.0</v>
      </c>
      <c r="K758" s="74">
        <f>if(F758="SERVICE",O758-(O758*50%),Vlookup(F758,DATABASE!C:Q,10,false)*G758)</f>
        <v>0</v>
      </c>
      <c r="L758" s="74">
        <f>VLOOKUP(F758,DATABASE!C:Q,7,FALSE)</f>
        <v>43500</v>
      </c>
      <c r="M758" s="74">
        <v>43520.0</v>
      </c>
      <c r="N758" s="74">
        <f t="shared" si="8"/>
        <v>45000</v>
      </c>
      <c r="O758" s="74">
        <f t="shared" si="3"/>
        <v>90000</v>
      </c>
      <c r="P758" s="63">
        <f t="shared" si="4"/>
        <v>100000</v>
      </c>
      <c r="Q758" s="63">
        <f t="shared" si="5"/>
        <v>55000</v>
      </c>
      <c r="R758" s="93" t="str">
        <f>VLOOKUP(F758,DATABASE!C:Q,4,false)</f>
        <v>Flap</v>
      </c>
      <c r="S758" s="93" t="str">
        <f>VLOOKUP(F758,DATABASE!C:P,11,false)</f>
        <v>Tire</v>
      </c>
      <c r="T758" s="93" t="str">
        <f>vlookup(F758,DATABASE!C:Q,8,false)</f>
        <v>BIAN</v>
      </c>
      <c r="Z758" s="9"/>
    </row>
    <row r="759" ht="22.5" customHeight="1">
      <c r="A759" s="49"/>
      <c r="C759" s="400">
        <v>46139.0</v>
      </c>
      <c r="D759" s="69">
        <v>1185.0</v>
      </c>
      <c r="E759" s="69" t="s">
        <v>274</v>
      </c>
      <c r="F759" s="140" t="s">
        <v>391</v>
      </c>
      <c r="G759" s="524">
        <v>2.0</v>
      </c>
      <c r="H759" s="140">
        <v>1950000.0</v>
      </c>
      <c r="I759" s="140">
        <v>2050000.0</v>
      </c>
      <c r="J759" s="192">
        <v>46169.0</v>
      </c>
      <c r="K759" s="74">
        <f>if(F759="SERVICE",O759-(O759*50%),Vlookup(F759,DATABASE!C:Q,10,false)*G759)</f>
        <v>0</v>
      </c>
      <c r="L759" s="74">
        <f>VLOOKUP(F759,DATABASE!C:Q,7,FALSE)</f>
        <v>1885000</v>
      </c>
      <c r="M759" s="74">
        <v>1840000.0</v>
      </c>
      <c r="N759" s="74">
        <f t="shared" si="8"/>
        <v>1840000</v>
      </c>
      <c r="O759" s="74">
        <f t="shared" si="3"/>
        <v>3900000</v>
      </c>
      <c r="P759" s="63">
        <f t="shared" si="4"/>
        <v>4100000</v>
      </c>
      <c r="Q759" s="63">
        <f t="shared" si="5"/>
        <v>420000</v>
      </c>
      <c r="R759" s="93" t="str">
        <f>VLOOKUP(F759,DATABASE!C:Q,4,false)</f>
        <v>Advance</v>
      </c>
      <c r="S759" s="93" t="str">
        <f>VLOOKUP(F759,DATABASE!C:P,11,false)</f>
        <v>Tire</v>
      </c>
      <c r="T759" s="93" t="str">
        <f>vlookup(F759,DATABASE!C:Q,8,false)</f>
        <v>BIAN</v>
      </c>
      <c r="Z759" s="9"/>
    </row>
    <row r="760" ht="22.5" customHeight="1">
      <c r="A760" s="49"/>
      <c r="C760" s="400">
        <v>46140.0</v>
      </c>
      <c r="D760" s="69">
        <v>1195.0</v>
      </c>
      <c r="E760" s="69" t="s">
        <v>267</v>
      </c>
      <c r="F760" s="140" t="s">
        <v>295</v>
      </c>
      <c r="G760" s="524">
        <v>1.0</v>
      </c>
      <c r="H760" s="140">
        <v>1525000.0</v>
      </c>
      <c r="I760" s="140">
        <v>1625000.0</v>
      </c>
      <c r="J760" s="192">
        <v>46170.0</v>
      </c>
      <c r="K760" s="74">
        <f>if(F760="SERVICE",O760-(O760*50%),Vlookup(F760,DATABASE!C:Q,10,false)*G760)</f>
        <v>0</v>
      </c>
      <c r="L760" s="74">
        <f>VLOOKUP(F760,DATABASE!C:Q,7,FALSE)</f>
        <v>1475000</v>
      </c>
      <c r="M760" s="74">
        <v>1425000.0</v>
      </c>
      <c r="N760" s="74">
        <f t="shared" si="8"/>
        <v>1425000</v>
      </c>
      <c r="O760" s="74">
        <f t="shared" si="3"/>
        <v>1525000</v>
      </c>
      <c r="P760" s="63">
        <f t="shared" si="4"/>
        <v>1625000</v>
      </c>
      <c r="Q760" s="63">
        <f t="shared" si="5"/>
        <v>200000</v>
      </c>
      <c r="R760" s="93" t="str">
        <f>VLOOKUP(F760,DATABASE!C:Q,4,false)</f>
        <v>TIRON</v>
      </c>
      <c r="S760" s="93" t="str">
        <f>VLOOKUP(F760,DATABASE!C:P,11,false)</f>
        <v>Tire</v>
      </c>
      <c r="T760" s="93" t="str">
        <f>vlookup(F760,DATABASE!C:Q,8,false)</f>
        <v>BIAN</v>
      </c>
      <c r="Z760" s="9"/>
    </row>
    <row r="761" ht="22.5" customHeight="1">
      <c r="A761" s="49"/>
      <c r="C761" s="400">
        <v>46142.0</v>
      </c>
      <c r="D761" s="69">
        <v>1214.0</v>
      </c>
      <c r="E761" s="69" t="s">
        <v>208</v>
      </c>
      <c r="F761" s="140" t="s">
        <v>1237</v>
      </c>
      <c r="G761" s="524">
        <v>1.0</v>
      </c>
      <c r="H761" s="140">
        <v>1235000.0</v>
      </c>
      <c r="I761" s="140">
        <v>1330000.0</v>
      </c>
      <c r="J761" s="192">
        <v>46172.0</v>
      </c>
      <c r="K761" s="74">
        <f>if(F761="SERVICE",O761-(O761*50%),Vlookup(F761,DATABASE!C:Q,10,false)*G761)</f>
        <v>0</v>
      </c>
      <c r="L761" s="74">
        <f>VLOOKUP(F761,DATABASE!C:Q,7,FALSE)</f>
        <v>1170353.16</v>
      </c>
      <c r="M761" s="74">
        <v>1130842.0</v>
      </c>
      <c r="N761" s="74">
        <f t="shared" si="8"/>
        <v>1135000</v>
      </c>
      <c r="O761" s="74">
        <f t="shared" si="3"/>
        <v>1235000</v>
      </c>
      <c r="P761" s="63">
        <f t="shared" si="4"/>
        <v>1330000</v>
      </c>
      <c r="Q761" s="63">
        <f t="shared" si="5"/>
        <v>195000</v>
      </c>
      <c r="R761" s="93" t="str">
        <f>VLOOKUP(F761,DATABASE!C:Q,4,false)</f>
        <v>Bridgestone</v>
      </c>
      <c r="S761" s="93" t="str">
        <f>VLOOKUP(F761,DATABASE!C:P,11,false)</f>
        <v>Tire</v>
      </c>
      <c r="T761" s="93" t="str">
        <f>vlookup(F761,DATABASE!C:Q,8,false)</f>
        <v>IBU</v>
      </c>
      <c r="Z761" s="9"/>
    </row>
    <row r="762" ht="22.5" customHeight="1">
      <c r="A762" s="49"/>
      <c r="C762" s="400">
        <v>46144.0</v>
      </c>
      <c r="D762" s="69">
        <v>1230.0</v>
      </c>
      <c r="E762" s="69" t="s">
        <v>536</v>
      </c>
      <c r="F762" s="140" t="s">
        <v>391</v>
      </c>
      <c r="G762" s="524">
        <v>2.0</v>
      </c>
      <c r="H762" s="140">
        <v>1950000.0</v>
      </c>
      <c r="I762" s="140">
        <v>2050000.0</v>
      </c>
      <c r="J762" s="192">
        <v>46174.0</v>
      </c>
      <c r="K762" s="74">
        <f>if(F762="SERVICE",O762-(O762*50%),Vlookup(F762,DATABASE!C:Q,10,false)*G762)</f>
        <v>0</v>
      </c>
      <c r="L762" s="74">
        <f>VLOOKUP(F762,DATABASE!C:Q,7,FALSE)</f>
        <v>1885000</v>
      </c>
      <c r="M762" s="74">
        <v>1840000.0</v>
      </c>
      <c r="N762" s="74">
        <f t="shared" si="8"/>
        <v>1840000</v>
      </c>
      <c r="O762" s="74">
        <f t="shared" si="3"/>
        <v>3900000</v>
      </c>
      <c r="P762" s="63">
        <f t="shared" si="4"/>
        <v>4100000</v>
      </c>
      <c r="Q762" s="63">
        <f t="shared" si="5"/>
        <v>420000</v>
      </c>
      <c r="R762" s="93" t="str">
        <f>VLOOKUP(F762,DATABASE!C:Q,4,false)</f>
        <v>Advance</v>
      </c>
      <c r="S762" s="93" t="str">
        <f>VLOOKUP(F762,DATABASE!C:P,11,false)</f>
        <v>Tire</v>
      </c>
      <c r="T762" s="93" t="str">
        <f>vlookup(F762,DATABASE!C:Q,8,false)</f>
        <v>BIAN</v>
      </c>
      <c r="Z762" s="9"/>
    </row>
    <row r="763" ht="22.5" customHeight="1">
      <c r="A763" s="49"/>
      <c r="C763" s="400">
        <v>46147.0</v>
      </c>
      <c r="D763" s="69">
        <v>1261.0</v>
      </c>
      <c r="E763" s="69" t="s">
        <v>267</v>
      </c>
      <c r="F763" s="140" t="s">
        <v>924</v>
      </c>
      <c r="G763" s="524">
        <v>4.0</v>
      </c>
      <c r="H763" s="140">
        <v>1650000.0</v>
      </c>
      <c r="I763" s="140">
        <v>1750000.0</v>
      </c>
      <c r="J763" s="192">
        <v>46177.0</v>
      </c>
      <c r="K763" s="74">
        <f>if(F763="SERVICE",O763-(O763*50%),Vlookup(F763,DATABASE!C:Q,10,false)*G763)</f>
        <v>0</v>
      </c>
      <c r="L763" s="74">
        <f>VLOOKUP(F763,DATABASE!C:Q,7,FALSE)</f>
        <v>1560000</v>
      </c>
      <c r="M763" s="74">
        <v>1545000.0</v>
      </c>
      <c r="N763" s="74">
        <f t="shared" si="8"/>
        <v>1545000</v>
      </c>
      <c r="O763" s="74">
        <f t="shared" si="3"/>
        <v>6600000</v>
      </c>
      <c r="P763" s="63">
        <f t="shared" si="4"/>
        <v>7000000</v>
      </c>
      <c r="Q763" s="63">
        <f t="shared" si="5"/>
        <v>820000</v>
      </c>
      <c r="R763" s="93" t="str">
        <f>VLOOKUP(F763,DATABASE!C:Q,4,false)</f>
        <v>TIRON</v>
      </c>
      <c r="S763" s="93" t="str">
        <f>VLOOKUP(F763,DATABASE!C:P,11,false)</f>
        <v>Tire</v>
      </c>
      <c r="T763" s="93" t="str">
        <f>vlookup(F763,DATABASE!C:Q,8,false)</f>
        <v>BIAN</v>
      </c>
      <c r="Z763" s="9"/>
    </row>
    <row r="764" ht="22.5" customHeight="1">
      <c r="A764" s="49"/>
      <c r="C764" s="400">
        <v>46148.0</v>
      </c>
      <c r="D764" s="69">
        <v>1271.0</v>
      </c>
      <c r="E764" s="69" t="s">
        <v>346</v>
      </c>
      <c r="F764" s="140" t="s">
        <v>1520</v>
      </c>
      <c r="G764" s="524">
        <v>4.0</v>
      </c>
      <c r="H764" s="140">
        <v>2050000.0</v>
      </c>
      <c r="I764" s="140">
        <v>2150000.0</v>
      </c>
      <c r="J764" s="192">
        <v>46178.0</v>
      </c>
      <c r="K764" s="74">
        <f>if(F764="SERVICE",O764-(O764*50%),Vlookup(F764,DATABASE!C:Q,10,false)*G764)</f>
        <v>0</v>
      </c>
      <c r="L764" s="74">
        <f>VLOOKUP(F764,DATABASE!C:Q,7,FALSE)</f>
        <v>1926858.75</v>
      </c>
      <c r="M764" s="74">
        <v>1926858.75</v>
      </c>
      <c r="N764" s="74">
        <f t="shared" si="8"/>
        <v>1930000</v>
      </c>
      <c r="O764" s="74">
        <f t="shared" si="3"/>
        <v>8200000</v>
      </c>
      <c r="P764" s="63">
        <f t="shared" si="4"/>
        <v>8600000</v>
      </c>
      <c r="Q764" s="63">
        <f t="shared" si="5"/>
        <v>880000</v>
      </c>
      <c r="R764" s="93" t="str">
        <f>VLOOKUP(F764,DATABASE!C:Q,4,false)</f>
        <v>DURATUN</v>
      </c>
      <c r="S764" s="93" t="str">
        <f>VLOOKUP(F764,DATABASE!C:P,11,false)</f>
        <v>Tire</v>
      </c>
      <c r="T764" s="93" t="str">
        <f>vlookup(F764,DATABASE!C:Q,8,false)</f>
        <v>BIAN</v>
      </c>
      <c r="Z764" s="9"/>
    </row>
    <row r="765" ht="22.5" customHeight="1">
      <c r="A765" s="49"/>
      <c r="C765" s="400">
        <v>46149.0</v>
      </c>
      <c r="D765" s="69">
        <v>1285.0</v>
      </c>
      <c r="E765" s="69" t="s">
        <v>254</v>
      </c>
      <c r="F765" s="140" t="s">
        <v>391</v>
      </c>
      <c r="G765" s="524">
        <v>2.0</v>
      </c>
      <c r="H765" s="140">
        <v>1950000.0</v>
      </c>
      <c r="I765" s="140">
        <v>2050000.0</v>
      </c>
      <c r="J765" s="192">
        <v>46179.0</v>
      </c>
      <c r="K765" s="74">
        <f>if(F765="SERVICE",O765-(O765*50%),Vlookup(F765,DATABASE!C:Q,10,false)*G765)</f>
        <v>0</v>
      </c>
      <c r="L765" s="74">
        <f>VLOOKUP(F765,DATABASE!C:Q,7,FALSE)</f>
        <v>1885000</v>
      </c>
      <c r="M765" s="74">
        <v>1840000.0</v>
      </c>
      <c r="N765" s="74">
        <f t="shared" si="8"/>
        <v>1840000</v>
      </c>
      <c r="O765" s="74">
        <f t="shared" si="3"/>
        <v>3900000</v>
      </c>
      <c r="P765" s="63">
        <f t="shared" si="4"/>
        <v>4100000</v>
      </c>
      <c r="Q765" s="63">
        <f t="shared" si="5"/>
        <v>420000</v>
      </c>
      <c r="R765" s="93" t="str">
        <f>VLOOKUP(F765,DATABASE!C:Q,4,false)</f>
        <v>Advance</v>
      </c>
      <c r="S765" s="93" t="str">
        <f>VLOOKUP(F765,DATABASE!C:P,11,false)</f>
        <v>Tire</v>
      </c>
      <c r="T765" s="93" t="str">
        <f>vlookup(F765,DATABASE!C:Q,8,false)</f>
        <v>BIAN</v>
      </c>
      <c r="Z765" s="9"/>
    </row>
    <row r="766" ht="22.5" customHeight="1">
      <c r="A766" s="49"/>
      <c r="C766" s="400">
        <v>46150.0</v>
      </c>
      <c r="D766" s="69">
        <v>1297.0</v>
      </c>
      <c r="E766" s="69" t="s">
        <v>735</v>
      </c>
      <c r="F766" s="140" t="s">
        <v>924</v>
      </c>
      <c r="G766" s="524">
        <v>1.0</v>
      </c>
      <c r="H766" s="140">
        <v>1650000.0</v>
      </c>
      <c r="I766" s="140">
        <v>1750000.0</v>
      </c>
      <c r="J766" s="192">
        <v>46180.0</v>
      </c>
      <c r="K766" s="74">
        <f>if(F766="SERVICE",O766-(O766*50%),Vlookup(F766,DATABASE!C:Q,10,false)*G766)</f>
        <v>0</v>
      </c>
      <c r="L766" s="74">
        <f>VLOOKUP(F766,DATABASE!C:Q,7,FALSE)</f>
        <v>1560000</v>
      </c>
      <c r="M766" s="74">
        <v>1545000.0</v>
      </c>
      <c r="N766" s="74">
        <f t="shared" si="8"/>
        <v>1545000</v>
      </c>
      <c r="O766" s="74">
        <f t="shared" si="3"/>
        <v>1650000</v>
      </c>
      <c r="P766" s="63">
        <f t="shared" si="4"/>
        <v>1750000</v>
      </c>
      <c r="Q766" s="63">
        <f t="shared" si="5"/>
        <v>205000</v>
      </c>
      <c r="R766" s="93" t="str">
        <f>VLOOKUP(F766,DATABASE!C:Q,4,false)</f>
        <v>TIRON</v>
      </c>
      <c r="S766" s="93" t="str">
        <f>VLOOKUP(F766,DATABASE!C:P,11,false)</f>
        <v>Tire</v>
      </c>
      <c r="T766" s="93" t="str">
        <f>vlookup(F766,DATABASE!C:Q,8,false)</f>
        <v>BIAN</v>
      </c>
      <c r="Z766" s="9"/>
    </row>
    <row r="767" ht="22.5" customHeight="1">
      <c r="A767" s="49"/>
      <c r="C767" s="400">
        <v>46153.0</v>
      </c>
      <c r="D767" s="69">
        <v>1323.0</v>
      </c>
      <c r="E767" s="69" t="s">
        <v>1007</v>
      </c>
      <c r="F767" s="140" t="s">
        <v>282</v>
      </c>
      <c r="G767" s="524">
        <v>2.0</v>
      </c>
      <c r="H767" s="140">
        <v>880000.0</v>
      </c>
      <c r="I767" s="140">
        <v>960000.0</v>
      </c>
      <c r="J767" s="192">
        <v>46183.0</v>
      </c>
      <c r="K767" s="74">
        <f>if(F767="SERVICE",O767-(O767*50%),Vlookup(F767,DATABASE!C:Q,10,false)*G767)</f>
        <v>0</v>
      </c>
      <c r="L767" s="74">
        <f>VLOOKUP(F767,DATABASE!C:Q,7,FALSE)</f>
        <v>779500</v>
      </c>
      <c r="M767" s="74">
        <v>779500.0</v>
      </c>
      <c r="N767" s="74">
        <f t="shared" si="8"/>
        <v>780000</v>
      </c>
      <c r="O767" s="74">
        <f t="shared" si="3"/>
        <v>1760000</v>
      </c>
      <c r="P767" s="63">
        <f t="shared" si="4"/>
        <v>1920000</v>
      </c>
      <c r="Q767" s="63">
        <f t="shared" si="5"/>
        <v>360000</v>
      </c>
      <c r="R767" s="93" t="str">
        <f>VLOOKUP(F767,DATABASE!C:Q,4,false)</f>
        <v>Dunlop</v>
      </c>
      <c r="S767" s="93" t="str">
        <f>VLOOKUP(F767,DATABASE!C:P,11,false)</f>
        <v>Tire</v>
      </c>
      <c r="T767" s="93" t="str">
        <f>vlookup(F767,DATABASE!C:Q,8,false)</f>
        <v>IBU</v>
      </c>
      <c r="Z767" s="9"/>
    </row>
    <row r="768" ht="22.5" customHeight="1">
      <c r="A768" s="49"/>
      <c r="C768" s="400">
        <v>46154.0</v>
      </c>
      <c r="D768" s="69">
        <v>1345.0</v>
      </c>
      <c r="E768" s="69" t="s">
        <v>573</v>
      </c>
      <c r="F768" s="140" t="s">
        <v>924</v>
      </c>
      <c r="G768" s="524">
        <v>2.0</v>
      </c>
      <c r="H768" s="140">
        <v>1650000.0</v>
      </c>
      <c r="I768" s="140">
        <v>1750000.0</v>
      </c>
      <c r="J768" s="192">
        <v>46184.0</v>
      </c>
      <c r="K768" s="74">
        <f>if(F768="SERVICE",O768-(O768*50%),Vlookup(F768,DATABASE!C:Q,10,false)*G768)</f>
        <v>0</v>
      </c>
      <c r="L768" s="74">
        <f>VLOOKUP(F768,DATABASE!C:Q,7,FALSE)</f>
        <v>1560000</v>
      </c>
      <c r="M768" s="74">
        <v>1545000.0</v>
      </c>
      <c r="N768" s="74">
        <f t="shared" si="8"/>
        <v>1545000</v>
      </c>
      <c r="O768" s="74">
        <f t="shared" si="3"/>
        <v>3300000</v>
      </c>
      <c r="P768" s="63">
        <f t="shared" si="4"/>
        <v>3500000</v>
      </c>
      <c r="Q768" s="63">
        <f t="shared" si="5"/>
        <v>410000</v>
      </c>
      <c r="R768" s="93" t="str">
        <f>VLOOKUP(F768,DATABASE!C:Q,4,false)</f>
        <v>TIRON</v>
      </c>
      <c r="S768" s="93" t="str">
        <f>VLOOKUP(F768,DATABASE!C:P,11,false)</f>
        <v>Tire</v>
      </c>
      <c r="T768" s="93" t="str">
        <f>vlookup(F768,DATABASE!C:Q,8,false)</f>
        <v>BIAN</v>
      </c>
      <c r="Z768" s="9"/>
    </row>
    <row r="769" ht="22.5" customHeight="1">
      <c r="A769" s="49"/>
      <c r="C769" s="400">
        <v>46156.0</v>
      </c>
      <c r="D769" s="69">
        <v>1361.0</v>
      </c>
      <c r="E769" s="69" t="s">
        <v>595</v>
      </c>
      <c r="F769" s="140" t="s">
        <v>1858</v>
      </c>
      <c r="G769" s="524">
        <v>2.0</v>
      </c>
      <c r="H769" s="140">
        <v>2130000.0</v>
      </c>
      <c r="I769" s="140">
        <v>2230000.0</v>
      </c>
      <c r="J769" s="192">
        <v>46186.0</v>
      </c>
      <c r="K769" s="74">
        <f>if(F769="SERVICE",O769-(O769*50%),Vlookup(F769,DATABASE!C:Q,10,false)*G769)</f>
        <v>0</v>
      </c>
      <c r="L769" s="74">
        <f>VLOOKUP(F769,DATABASE!C:Q,7,FALSE)</f>
        <v>2030000</v>
      </c>
      <c r="M769" s="74">
        <v>2030000.0</v>
      </c>
      <c r="N769" s="74">
        <f t="shared" si="8"/>
        <v>2030000</v>
      </c>
      <c r="O769" s="74">
        <f t="shared" si="3"/>
        <v>4260000</v>
      </c>
      <c r="P769" s="63">
        <f t="shared" si="4"/>
        <v>4460000</v>
      </c>
      <c r="Q769" s="63">
        <f t="shared" si="5"/>
        <v>400000</v>
      </c>
      <c r="R769" s="93" t="str">
        <f>VLOOKUP(F769,DATABASE!C:Q,4,false)</f>
        <v>GiTi</v>
      </c>
      <c r="S769" s="93" t="str">
        <f>VLOOKUP(F769,DATABASE!C:P,11,false)</f>
        <v>Tire</v>
      </c>
      <c r="T769" s="93" t="str">
        <f>vlookup(F769,DATABASE!C:Q,8,false)</f>
        <v>BIAN</v>
      </c>
      <c r="Z769" s="9"/>
    </row>
    <row r="770" ht="22.5" customHeight="1">
      <c r="A770" s="49"/>
      <c r="C770" s="400">
        <v>46158.0</v>
      </c>
      <c r="D770" s="69">
        <v>1388.0</v>
      </c>
      <c r="E770" s="69" t="s">
        <v>470</v>
      </c>
      <c r="F770" s="140" t="s">
        <v>1851</v>
      </c>
      <c r="G770" s="524">
        <v>10.0</v>
      </c>
      <c r="H770" s="140">
        <v>2120000.0</v>
      </c>
      <c r="I770" s="140">
        <v>2170000.0</v>
      </c>
      <c r="J770" s="192">
        <v>46188.0</v>
      </c>
      <c r="K770" s="74">
        <f>if(F770="SERVICE",O770-(O770*50%),Vlookup(F770,DATABASE!C:Q,10,false)*G770)</f>
        <v>0</v>
      </c>
      <c r="L770" s="74">
        <f>VLOOKUP(F770,DATABASE!C:Q,7,FALSE)</f>
        <v>2020000</v>
      </c>
      <c r="M770" s="74">
        <v>2020000.0</v>
      </c>
      <c r="N770" s="74">
        <f t="shared" si="8"/>
        <v>2020000</v>
      </c>
      <c r="O770" s="74">
        <f t="shared" si="3"/>
        <v>21200000</v>
      </c>
      <c r="P770" s="63">
        <f t="shared" si="4"/>
        <v>21700000</v>
      </c>
      <c r="Q770" s="63">
        <f t="shared" si="5"/>
        <v>1500000</v>
      </c>
      <c r="R770" s="93" t="str">
        <f>VLOOKUP(F770,DATABASE!C:Q,4,false)</f>
        <v>G. YEAR</v>
      </c>
      <c r="S770" s="93" t="str">
        <f>VLOOKUP(F770,DATABASE!C:P,11,false)</f>
        <v>Tire</v>
      </c>
      <c r="T770" s="93" t="str">
        <f>vlookup(F770,DATABASE!C:Q,8,false)</f>
        <v>BIAN</v>
      </c>
      <c r="Z770" s="9"/>
    </row>
    <row r="771" ht="22.5" customHeight="1">
      <c r="A771" s="49"/>
      <c r="C771" s="400">
        <v>46158.0</v>
      </c>
      <c r="D771" s="69">
        <v>1388.0</v>
      </c>
      <c r="E771" s="69" t="s">
        <v>470</v>
      </c>
      <c r="F771" s="140" t="s">
        <v>897</v>
      </c>
      <c r="G771" s="524">
        <v>4.0</v>
      </c>
      <c r="H771" s="140">
        <v>1625000.0</v>
      </c>
      <c r="I771" s="140">
        <v>1675000.0</v>
      </c>
      <c r="J771" s="192">
        <v>46188.0</v>
      </c>
      <c r="K771" s="74">
        <f>if(F771="SERVICE",O771-(O771*50%),Vlookup(F771,DATABASE!C:Q,10,false)*G771)</f>
        <v>0</v>
      </c>
      <c r="L771" s="74">
        <f>VLOOKUP(F771,DATABASE!C:Q,7,FALSE)</f>
        <v>1560000</v>
      </c>
      <c r="M771" s="74">
        <v>1525000.0</v>
      </c>
      <c r="N771" s="74">
        <f t="shared" si="8"/>
        <v>1525000</v>
      </c>
      <c r="O771" s="74">
        <f t="shared" si="3"/>
        <v>6500000</v>
      </c>
      <c r="P771" s="63">
        <f t="shared" si="4"/>
        <v>6700000</v>
      </c>
      <c r="Q771" s="63">
        <f t="shared" si="5"/>
        <v>600000</v>
      </c>
      <c r="R771" s="93" t="str">
        <f>VLOOKUP(F771,DATABASE!C:Q,4,false)</f>
        <v>GT</v>
      </c>
      <c r="S771" s="93" t="str">
        <f>VLOOKUP(F771,DATABASE!C:P,11,false)</f>
        <v>Tire</v>
      </c>
      <c r="T771" s="93" t="str">
        <f>vlookup(F771,DATABASE!C:Q,8,false)</f>
        <v>BIAN</v>
      </c>
      <c r="Z771" s="9"/>
    </row>
    <row r="772" ht="22.5" customHeight="1">
      <c r="A772" s="49"/>
      <c r="C772" s="400">
        <v>46158.0</v>
      </c>
      <c r="D772" s="69">
        <v>1388.0</v>
      </c>
      <c r="E772" s="69" t="s">
        <v>470</v>
      </c>
      <c r="F772" s="140" t="s">
        <v>744</v>
      </c>
      <c r="G772" s="524">
        <v>4.0</v>
      </c>
      <c r="H772" s="140">
        <v>230000.0</v>
      </c>
      <c r="I772" s="140">
        <v>250000.0</v>
      </c>
      <c r="J772" s="192">
        <v>46188.0</v>
      </c>
      <c r="K772" s="74">
        <f>if(F772="SERVICE",O772-(O772*50%),Vlookup(F772,DATABASE!C:Q,10,false)*G772)</f>
        <v>0</v>
      </c>
      <c r="L772" s="74">
        <f>VLOOKUP(F772,DATABASE!C:Q,7,FALSE)</f>
        <v>182200</v>
      </c>
      <c r="M772" s="74">
        <v>182200.0</v>
      </c>
      <c r="N772" s="74">
        <f t="shared" si="8"/>
        <v>185000</v>
      </c>
      <c r="O772" s="74">
        <f t="shared" si="3"/>
        <v>920000</v>
      </c>
      <c r="P772" s="63">
        <f t="shared" si="4"/>
        <v>1000000</v>
      </c>
      <c r="Q772" s="63">
        <f t="shared" si="5"/>
        <v>260000</v>
      </c>
      <c r="R772" s="93" t="str">
        <f>VLOOKUP(F772,DATABASE!C:Q,4,false)</f>
        <v>BD</v>
      </c>
      <c r="S772" s="93" t="str">
        <f>VLOOKUP(F772,DATABASE!C:P,11,false)</f>
        <v>Tire</v>
      </c>
      <c r="T772" s="93" t="str">
        <f>vlookup(F772,DATABASE!C:Q,8,false)</f>
        <v>BIAN</v>
      </c>
      <c r="Z772" s="9"/>
    </row>
    <row r="773" ht="22.5" customHeight="1">
      <c r="A773" s="49"/>
      <c r="C773" s="400">
        <v>46158.0</v>
      </c>
      <c r="D773" s="69">
        <v>1388.0</v>
      </c>
      <c r="E773" s="69" t="s">
        <v>470</v>
      </c>
      <c r="F773" s="140" t="s">
        <v>821</v>
      </c>
      <c r="G773" s="524">
        <v>4.0</v>
      </c>
      <c r="H773" s="140">
        <v>90000.0</v>
      </c>
      <c r="I773" s="140">
        <v>100000.0</v>
      </c>
      <c r="J773" s="192">
        <v>46188.0</v>
      </c>
      <c r="K773" s="74">
        <f>if(F773="SERVICE",O773-(O773*50%),Vlookup(F773,DATABASE!C:Q,10,false)*G773)</f>
        <v>0</v>
      </c>
      <c r="L773" s="74">
        <f>VLOOKUP(F773,DATABASE!C:Q,7,FALSE)</f>
        <v>43500</v>
      </c>
      <c r="M773" s="74">
        <v>43500.0</v>
      </c>
      <c r="N773" s="74">
        <f t="shared" si="8"/>
        <v>45000</v>
      </c>
      <c r="O773" s="74">
        <f t="shared" si="3"/>
        <v>360000</v>
      </c>
      <c r="P773" s="63">
        <f t="shared" si="4"/>
        <v>400000</v>
      </c>
      <c r="Q773" s="63">
        <f t="shared" si="5"/>
        <v>220000</v>
      </c>
      <c r="R773" s="93" t="str">
        <f>VLOOKUP(F773,DATABASE!C:Q,4,false)</f>
        <v>Flap</v>
      </c>
      <c r="S773" s="93" t="str">
        <f>VLOOKUP(F773,DATABASE!C:P,11,false)</f>
        <v>Tire</v>
      </c>
      <c r="T773" s="93" t="str">
        <f>vlookup(F773,DATABASE!C:Q,8,false)</f>
        <v>BIAN</v>
      </c>
      <c r="Z773" s="9"/>
    </row>
    <row r="774" ht="22.5" customHeight="1">
      <c r="A774" s="49"/>
      <c r="C774" s="400">
        <v>46159.0</v>
      </c>
      <c r="D774" s="69">
        <v>1394.0</v>
      </c>
      <c r="E774" s="69" t="s">
        <v>264</v>
      </c>
      <c r="F774" s="140" t="s">
        <v>924</v>
      </c>
      <c r="G774" s="524">
        <v>1.0</v>
      </c>
      <c r="H774" s="140">
        <v>1650000.0</v>
      </c>
      <c r="I774" s="140">
        <v>1750000.0</v>
      </c>
      <c r="J774" s="192">
        <v>46190.0</v>
      </c>
      <c r="K774" s="74">
        <f>if(F774="SERVICE",O774-(O774*50%),Vlookup(F774,DATABASE!C:Q,10,false)*G774)</f>
        <v>0</v>
      </c>
      <c r="L774" s="74">
        <f>VLOOKUP(F774,DATABASE!C:Q,7,FALSE)</f>
        <v>1560000</v>
      </c>
      <c r="M774" s="74">
        <v>1545000.0</v>
      </c>
      <c r="N774" s="74">
        <f t="shared" si="8"/>
        <v>1545000</v>
      </c>
      <c r="O774" s="74">
        <f t="shared" si="3"/>
        <v>1650000</v>
      </c>
      <c r="P774" s="63">
        <f t="shared" si="4"/>
        <v>1750000</v>
      </c>
      <c r="Q774" s="63">
        <f t="shared" si="5"/>
        <v>205000</v>
      </c>
      <c r="R774" s="93" t="str">
        <f>VLOOKUP(F774,DATABASE!C:Q,4,false)</f>
        <v>TIRON</v>
      </c>
      <c r="S774" s="93" t="str">
        <f>VLOOKUP(F774,DATABASE!C:P,11,false)</f>
        <v>Tire</v>
      </c>
      <c r="T774" s="93" t="str">
        <f>vlookup(F774,DATABASE!C:Q,8,false)</f>
        <v>BIAN</v>
      </c>
      <c r="Z774" s="9"/>
    </row>
    <row r="775" ht="22.5" customHeight="1">
      <c r="A775" s="49"/>
      <c r="C775" s="400">
        <v>46159.0</v>
      </c>
      <c r="D775" s="69">
        <v>1394.0</v>
      </c>
      <c r="E775" s="69" t="s">
        <v>470</v>
      </c>
      <c r="F775" s="140" t="s">
        <v>572</v>
      </c>
      <c r="G775" s="524">
        <v>2.0</v>
      </c>
      <c r="H775" s="140">
        <v>1350000.0</v>
      </c>
      <c r="I775" s="140">
        <v>1450000.0</v>
      </c>
      <c r="J775" s="192">
        <v>46190.0</v>
      </c>
      <c r="K775" s="74">
        <f>if(F775="SERVICE",O775-(O775*50%),Vlookup(F775,DATABASE!C:Q,10,false)*G775)</f>
        <v>0</v>
      </c>
      <c r="L775" s="74">
        <f>VLOOKUP(F775,DATABASE!C:Q,7,FALSE)</f>
        <v>1265000</v>
      </c>
      <c r="M775" s="74">
        <v>1245000.0</v>
      </c>
      <c r="N775" s="74">
        <f t="shared" si="8"/>
        <v>1245000</v>
      </c>
      <c r="O775" s="74">
        <f t="shared" si="3"/>
        <v>2700000</v>
      </c>
      <c r="P775" s="63">
        <f t="shared" si="4"/>
        <v>2900000</v>
      </c>
      <c r="Q775" s="63">
        <f t="shared" si="5"/>
        <v>410000</v>
      </c>
      <c r="R775" s="93" t="str">
        <f>VLOOKUP(F775,DATABASE!C:Q,4,false)</f>
        <v>Bridgestone</v>
      </c>
      <c r="S775" s="93" t="str">
        <f>VLOOKUP(F775,DATABASE!C:P,11,false)</f>
        <v>Tire</v>
      </c>
      <c r="T775" s="93" t="str">
        <f>vlookup(F775,DATABASE!C:Q,8,false)</f>
        <v>IBU</v>
      </c>
      <c r="Z775" s="9"/>
    </row>
    <row r="776" ht="22.5" customHeight="1">
      <c r="A776" s="49"/>
      <c r="C776" s="400">
        <v>46159.0</v>
      </c>
      <c r="D776" s="69">
        <v>1394.0</v>
      </c>
      <c r="E776" s="69" t="s">
        <v>470</v>
      </c>
      <c r="F776" s="140" t="s">
        <v>255</v>
      </c>
      <c r="G776" s="524">
        <v>2.0</v>
      </c>
      <c r="H776" s="140">
        <v>200000.0</v>
      </c>
      <c r="I776" s="140">
        <v>220000.0</v>
      </c>
      <c r="J776" s="192">
        <v>46190.0</v>
      </c>
      <c r="K776" s="74">
        <f>if(F776="SERVICE",O776-(O776*50%),Vlookup(F776,DATABASE!C:Q,10,false)*G776)</f>
        <v>0</v>
      </c>
      <c r="L776" s="74">
        <f>VLOOKUP(F776,DATABASE!C:Q,7,FALSE)</f>
        <v>161840</v>
      </c>
      <c r="M776" s="74">
        <v>161840.0</v>
      </c>
      <c r="N776" s="74">
        <f t="shared" si="8"/>
        <v>165000</v>
      </c>
      <c r="O776" s="74">
        <f t="shared" si="3"/>
        <v>400000</v>
      </c>
      <c r="P776" s="63">
        <f t="shared" si="4"/>
        <v>440000</v>
      </c>
      <c r="Q776" s="63">
        <f t="shared" si="5"/>
        <v>110000</v>
      </c>
      <c r="R776" s="93" t="str">
        <f>VLOOKUP(F776,DATABASE!C:Q,4,false)</f>
        <v>BD</v>
      </c>
      <c r="S776" s="93" t="str">
        <f>VLOOKUP(F776,DATABASE!C:P,11,false)</f>
        <v>Tire</v>
      </c>
      <c r="T776" s="93" t="str">
        <f>vlookup(F776,DATABASE!C:Q,8,false)</f>
        <v>BIAN</v>
      </c>
      <c r="Z776" s="9"/>
    </row>
    <row r="777" ht="22.5" customHeight="1">
      <c r="A777" s="49"/>
      <c r="C777" s="400">
        <v>46159.0</v>
      </c>
      <c r="D777" s="69">
        <v>1394.0</v>
      </c>
      <c r="E777" s="69" t="s">
        <v>470</v>
      </c>
      <c r="F777" s="140" t="s">
        <v>814</v>
      </c>
      <c r="G777" s="524">
        <v>2.0</v>
      </c>
      <c r="H777" s="140">
        <v>70000.0</v>
      </c>
      <c r="I777" s="140">
        <v>90000.0</v>
      </c>
      <c r="J777" s="192">
        <v>46190.0</v>
      </c>
      <c r="K777" s="74">
        <f>if(F777="SERVICE",O777-(O777*50%),Vlookup(F777,DATABASE!C:Q,10,false)*G777)</f>
        <v>0</v>
      </c>
      <c r="L777" s="74">
        <f>VLOOKUP(F777,DATABASE!C:Q,7,FALSE)</f>
        <v>39440</v>
      </c>
      <c r="M777" s="74">
        <v>39440.0</v>
      </c>
      <c r="N777" s="74">
        <f t="shared" si="8"/>
        <v>40000</v>
      </c>
      <c r="O777" s="74">
        <f t="shared" si="3"/>
        <v>140000</v>
      </c>
      <c r="P777" s="63">
        <f t="shared" si="4"/>
        <v>180000</v>
      </c>
      <c r="Q777" s="63">
        <f t="shared" si="5"/>
        <v>100000</v>
      </c>
      <c r="R777" s="93" t="str">
        <f>VLOOKUP(F777,DATABASE!C:Q,4,false)</f>
        <v>Flap</v>
      </c>
      <c r="S777" s="93" t="str">
        <f>VLOOKUP(F777,DATABASE!C:P,11,false)</f>
        <v>Tire</v>
      </c>
      <c r="T777" s="93" t="str">
        <f>vlookup(F777,DATABASE!C:Q,8,false)</f>
        <v>BIAN</v>
      </c>
      <c r="Z777" s="9"/>
    </row>
    <row r="778" ht="22.5" customHeight="1">
      <c r="A778" s="49"/>
      <c r="C778" s="400">
        <v>46160.0</v>
      </c>
      <c r="D778" s="69">
        <v>1409.0</v>
      </c>
      <c r="E778" s="69" t="s">
        <v>267</v>
      </c>
      <c r="F778" s="140" t="s">
        <v>403</v>
      </c>
      <c r="G778" s="524">
        <v>2.0</v>
      </c>
      <c r="H778" s="140">
        <v>2260000.0</v>
      </c>
      <c r="I778" s="140">
        <v>2360000.0</v>
      </c>
      <c r="J778" s="192">
        <v>46190.0</v>
      </c>
      <c r="K778" s="74">
        <f>if(F778="SERVICE",O778-(O778*50%),Vlookup(F778,DATABASE!C:Q,10,false)*G778)</f>
        <v>0</v>
      </c>
      <c r="L778" s="74">
        <f>VLOOKUP(F778,DATABASE!C:Q,7,FALSE)</f>
        <v>2160000</v>
      </c>
      <c r="M778" s="74">
        <v>2160000.0</v>
      </c>
      <c r="N778" s="74">
        <f t="shared" si="8"/>
        <v>2160000</v>
      </c>
      <c r="O778" s="74">
        <f t="shared" si="3"/>
        <v>4520000</v>
      </c>
      <c r="P778" s="63">
        <f t="shared" si="4"/>
        <v>4720000</v>
      </c>
      <c r="Q778" s="63">
        <f t="shared" si="5"/>
        <v>400000</v>
      </c>
      <c r="R778" s="93" t="str">
        <f>VLOOKUP(F778,DATABASE!C:Q,4,false)</f>
        <v>Advance</v>
      </c>
      <c r="S778" s="93" t="str">
        <f>VLOOKUP(F778,DATABASE!C:P,11,false)</f>
        <v>Tire</v>
      </c>
      <c r="T778" s="93" t="str">
        <f>vlookup(F778,DATABASE!C:Q,8,false)</f>
        <v>BIAN</v>
      </c>
      <c r="Z778" s="9"/>
    </row>
    <row r="779" ht="22.5" customHeight="1">
      <c r="A779" s="49"/>
      <c r="C779" s="400">
        <v>46160.0</v>
      </c>
      <c r="D779" s="69">
        <v>1409.0</v>
      </c>
      <c r="E779" s="69" t="s">
        <v>267</v>
      </c>
      <c r="F779" s="140" t="s">
        <v>924</v>
      </c>
      <c r="G779" s="524">
        <v>1.0</v>
      </c>
      <c r="H779" s="140">
        <v>1650000.0</v>
      </c>
      <c r="I779" s="140">
        <v>1750000.0</v>
      </c>
      <c r="J779" s="192">
        <v>46190.0</v>
      </c>
      <c r="K779" s="74">
        <f>if(F779="SERVICE",O779-(O779*50%),Vlookup(F779,DATABASE!C:Q,10,false)*G779)</f>
        <v>0</v>
      </c>
      <c r="L779" s="74">
        <f>VLOOKUP(F779,DATABASE!C:Q,7,FALSE)</f>
        <v>1560000</v>
      </c>
      <c r="M779" s="74">
        <v>1545000.0</v>
      </c>
      <c r="N779" s="74">
        <f t="shared" si="8"/>
        <v>1545000</v>
      </c>
      <c r="O779" s="74">
        <f t="shared" si="3"/>
        <v>1650000</v>
      </c>
      <c r="P779" s="63">
        <f t="shared" si="4"/>
        <v>1750000</v>
      </c>
      <c r="Q779" s="63">
        <f t="shared" si="5"/>
        <v>205000</v>
      </c>
      <c r="R779" s="93" t="str">
        <f>VLOOKUP(F779,DATABASE!C:Q,4,false)</f>
        <v>TIRON</v>
      </c>
      <c r="S779" s="93" t="str">
        <f>VLOOKUP(F779,DATABASE!C:P,11,false)</f>
        <v>Tire</v>
      </c>
      <c r="T779" s="93" t="str">
        <f>vlookup(F779,DATABASE!C:Q,8,false)</f>
        <v>BIAN</v>
      </c>
      <c r="Z779" s="9"/>
    </row>
    <row r="780" ht="22.5" customHeight="1">
      <c r="A780" s="49"/>
      <c r="C780" s="400">
        <v>46162.0</v>
      </c>
      <c r="D780" s="69">
        <v>1437.0</v>
      </c>
      <c r="E780" s="69" t="s">
        <v>270</v>
      </c>
      <c r="F780" s="140" t="s">
        <v>1858</v>
      </c>
      <c r="G780" s="524">
        <v>2.0</v>
      </c>
      <c r="H780" s="140">
        <v>2130000.0</v>
      </c>
      <c r="I780" s="140">
        <v>2230000.0</v>
      </c>
      <c r="J780" s="192">
        <v>46192.0</v>
      </c>
      <c r="K780" s="74">
        <f>if(F780="SERVICE",O780-(O780*50%),Vlookup(F780,DATABASE!C:Q,10,false)*G780)</f>
        <v>0</v>
      </c>
      <c r="L780" s="74">
        <f>VLOOKUP(F780,DATABASE!C:Q,7,FALSE)</f>
        <v>2030000</v>
      </c>
      <c r="M780" s="74">
        <v>2030000.0</v>
      </c>
      <c r="N780" s="74">
        <f t="shared" si="8"/>
        <v>2030000</v>
      </c>
      <c r="O780" s="74">
        <f t="shared" si="3"/>
        <v>4260000</v>
      </c>
      <c r="P780" s="63">
        <f t="shared" si="4"/>
        <v>4460000</v>
      </c>
      <c r="Q780" s="63">
        <f t="shared" si="5"/>
        <v>400000</v>
      </c>
      <c r="R780" s="93" t="str">
        <f>VLOOKUP(F780,DATABASE!C:Q,4,false)</f>
        <v>GiTi</v>
      </c>
      <c r="S780" s="93" t="str">
        <f>VLOOKUP(F780,DATABASE!C:P,11,false)</f>
        <v>Tire</v>
      </c>
      <c r="T780" s="93" t="str">
        <f>vlookup(F780,DATABASE!C:Q,8,false)</f>
        <v>BIAN</v>
      </c>
      <c r="Z780" s="9"/>
    </row>
    <row r="781" ht="22.5" customHeight="1">
      <c r="A781" s="49"/>
      <c r="C781" s="400">
        <v>46162.0</v>
      </c>
      <c r="D781" s="69">
        <v>1437.0</v>
      </c>
      <c r="E781" s="69" t="s">
        <v>270</v>
      </c>
      <c r="F781" s="140" t="s">
        <v>1862</v>
      </c>
      <c r="G781" s="524">
        <v>2.0</v>
      </c>
      <c r="H781" s="140">
        <v>2180000.0</v>
      </c>
      <c r="I781" s="140">
        <v>2280000.0</v>
      </c>
      <c r="J781" s="192">
        <v>46192.0</v>
      </c>
      <c r="K781" s="74">
        <f>if(F781="SERVICE",O781-(O781*50%),Vlookup(F781,DATABASE!C:Q,10,false)*G781)</f>
        <v>0</v>
      </c>
      <c r="L781" s="74">
        <f>VLOOKUP(F781,DATABASE!C:Q,7,FALSE)</f>
        <v>2080000</v>
      </c>
      <c r="M781" s="74">
        <v>2080000.0</v>
      </c>
      <c r="N781" s="74">
        <f t="shared" si="8"/>
        <v>2080000</v>
      </c>
      <c r="O781" s="74">
        <f t="shared" si="3"/>
        <v>4360000</v>
      </c>
      <c r="P781" s="63">
        <f t="shared" si="4"/>
        <v>4560000</v>
      </c>
      <c r="Q781" s="63">
        <f t="shared" si="5"/>
        <v>400000</v>
      </c>
      <c r="R781" s="93" t="str">
        <f>VLOOKUP(F781,DATABASE!C:Q,4,false)</f>
        <v>GiTi</v>
      </c>
      <c r="S781" s="93" t="str">
        <f>VLOOKUP(F781,DATABASE!C:P,11,false)</f>
        <v>Tire</v>
      </c>
      <c r="T781" s="93" t="str">
        <f>vlookup(F781,DATABASE!C:Q,8,false)</f>
        <v>BIAN</v>
      </c>
      <c r="Z781" s="9"/>
    </row>
    <row r="782" ht="22.5" customHeight="1">
      <c r="A782" s="49"/>
      <c r="C782" s="400">
        <v>46162.0</v>
      </c>
      <c r="D782" s="69">
        <v>1431.0</v>
      </c>
      <c r="E782" s="69" t="s">
        <v>1179</v>
      </c>
      <c r="F782" s="140" t="s">
        <v>1858</v>
      </c>
      <c r="G782" s="524">
        <v>1.0</v>
      </c>
      <c r="H782" s="140">
        <v>2130000.0</v>
      </c>
      <c r="I782" s="140">
        <v>2230000.0</v>
      </c>
      <c r="J782" s="192">
        <v>46192.0</v>
      </c>
      <c r="K782" s="74">
        <f>if(F782="SERVICE",O782-(O782*50%),Vlookup(F782,DATABASE!C:Q,10,false)*G782)</f>
        <v>0</v>
      </c>
      <c r="L782" s="74">
        <f>VLOOKUP(F782,DATABASE!C:Q,7,FALSE)</f>
        <v>2030000</v>
      </c>
      <c r="M782" s="74">
        <v>2030000.0</v>
      </c>
      <c r="N782" s="74">
        <f t="shared" si="8"/>
        <v>2030000</v>
      </c>
      <c r="O782" s="74">
        <f t="shared" si="3"/>
        <v>2130000</v>
      </c>
      <c r="P782" s="63">
        <f t="shared" si="4"/>
        <v>2230000</v>
      </c>
      <c r="Q782" s="63">
        <f t="shared" si="5"/>
        <v>200000</v>
      </c>
      <c r="R782" s="93" t="str">
        <f>VLOOKUP(F782,DATABASE!C:Q,4,false)</f>
        <v>GiTi</v>
      </c>
      <c r="S782" s="93" t="str">
        <f>VLOOKUP(F782,DATABASE!C:P,11,false)</f>
        <v>Tire</v>
      </c>
      <c r="T782" s="93" t="str">
        <f>vlookup(F782,DATABASE!C:Q,8,false)</f>
        <v>BIAN</v>
      </c>
      <c r="Z782" s="9"/>
    </row>
    <row r="783" ht="22.5" customHeight="1">
      <c r="A783" s="49"/>
      <c r="C783" s="400">
        <v>46162.0</v>
      </c>
      <c r="D783" s="69">
        <v>1431.0</v>
      </c>
      <c r="E783" s="69" t="s">
        <v>1179</v>
      </c>
      <c r="F783" s="140" t="s">
        <v>2236</v>
      </c>
      <c r="G783" s="524">
        <v>1.0</v>
      </c>
      <c r="H783" s="140">
        <v>900000.0</v>
      </c>
      <c r="I783" s="140">
        <v>1000000.0</v>
      </c>
      <c r="J783" s="192">
        <v>46192.0</v>
      </c>
      <c r="K783" s="74">
        <f>if(F783="SERVICE",O783-(O783*50%),Vlookup(F783,DATABASE!C:Q,10,false)*G783)</f>
        <v>0</v>
      </c>
      <c r="L783" s="74">
        <f>VLOOKUP(F783,DATABASE!C:Q,7,FALSE)</f>
        <v>775000</v>
      </c>
      <c r="M783" s="74">
        <v>775000.0</v>
      </c>
      <c r="N783" s="74">
        <f t="shared" si="8"/>
        <v>775000</v>
      </c>
      <c r="O783" s="74">
        <f t="shared" si="3"/>
        <v>900000</v>
      </c>
      <c r="P783" s="63">
        <f t="shared" si="4"/>
        <v>1000000</v>
      </c>
      <c r="Q783" s="63">
        <f t="shared" si="5"/>
        <v>225000</v>
      </c>
      <c r="R783" s="93" t="str">
        <f>VLOOKUP(F783,DATABASE!C:Q,4,false)</f>
        <v>VELG</v>
      </c>
      <c r="S783" s="93" t="str">
        <f>VLOOKUP(F783,DATABASE!C:P,11,false)</f>
        <v>COMPLEMENTARY</v>
      </c>
      <c r="T783" s="93" t="str">
        <f>vlookup(F783,DATABASE!C:Q,8,false)</f>
        <v>BIAN</v>
      </c>
      <c r="Z783" s="9"/>
    </row>
    <row r="784" ht="22.5" customHeight="1">
      <c r="A784" s="49"/>
      <c r="C784" s="400">
        <v>46165.0</v>
      </c>
      <c r="D784" s="69">
        <v>1462.0</v>
      </c>
      <c r="E784" s="69" t="s">
        <v>132</v>
      </c>
      <c r="F784" s="140" t="s">
        <v>2345</v>
      </c>
      <c r="G784" s="524">
        <v>1.0</v>
      </c>
      <c r="H784" s="140">
        <v>750000.0</v>
      </c>
      <c r="I784" s="140">
        <v>850000.0</v>
      </c>
      <c r="J784" s="192">
        <v>46195.0</v>
      </c>
      <c r="K784" s="74">
        <f>if(F784="SERVICE",O784-(O784*50%),Vlookup(F784,DATABASE!C:Q,10,false)*G784)</f>
        <v>0</v>
      </c>
      <c r="L784" s="74">
        <f>VLOOKUP(F784,DATABASE!C:Q,7,FALSE)</f>
        <v>680000</v>
      </c>
      <c r="M784" s="74">
        <v>650000.0</v>
      </c>
      <c r="N784" s="74">
        <f t="shared" si="8"/>
        <v>650000</v>
      </c>
      <c r="O784" s="74">
        <f t="shared" si="3"/>
        <v>750000</v>
      </c>
      <c r="P784" s="63">
        <f t="shared" si="4"/>
        <v>850000</v>
      </c>
      <c r="Q784" s="63">
        <f t="shared" si="5"/>
        <v>200000</v>
      </c>
      <c r="R784" s="93" t="str">
        <f>VLOOKUP(F784,DATABASE!C:Q,4,false)</f>
        <v>Velg</v>
      </c>
      <c r="S784" s="93" t="str">
        <f>VLOOKUP(F784,DATABASE!C:P,11,false)</f>
        <v>Tire</v>
      </c>
      <c r="T784" s="93" t="str">
        <f>vlookup(F784,DATABASE!C:Q,8,false)</f>
        <v>BIAN</v>
      </c>
      <c r="Z784" s="9"/>
    </row>
    <row r="785" ht="22.5" customHeight="1">
      <c r="A785" s="49"/>
      <c r="C785" s="400">
        <v>46165.0</v>
      </c>
      <c r="D785" s="69">
        <v>1463.0</v>
      </c>
      <c r="E785" s="69" t="s">
        <v>819</v>
      </c>
      <c r="F785" s="140" t="s">
        <v>924</v>
      </c>
      <c r="G785" s="524">
        <v>1.0</v>
      </c>
      <c r="H785" s="140">
        <v>1650000.0</v>
      </c>
      <c r="I785" s="140">
        <v>1750000.0</v>
      </c>
      <c r="J785" s="192">
        <v>46195.0</v>
      </c>
      <c r="K785" s="74">
        <f>if(F785="SERVICE",O785-(O785*50%),Vlookup(F785,DATABASE!C:Q,10,false)*G785)</f>
        <v>0</v>
      </c>
      <c r="L785" s="74">
        <f>VLOOKUP(F785,DATABASE!C:Q,7,FALSE)</f>
        <v>1560000</v>
      </c>
      <c r="M785" s="74">
        <v>1545000.0</v>
      </c>
      <c r="N785" s="74">
        <f t="shared" si="8"/>
        <v>1545000</v>
      </c>
      <c r="O785" s="74">
        <f t="shared" si="3"/>
        <v>1650000</v>
      </c>
      <c r="P785" s="63">
        <f t="shared" si="4"/>
        <v>1750000</v>
      </c>
      <c r="Q785" s="63">
        <f t="shared" si="5"/>
        <v>205000</v>
      </c>
      <c r="R785" s="93" t="str">
        <f>VLOOKUP(F785,DATABASE!C:Q,4,false)</f>
        <v>TIRON</v>
      </c>
      <c r="S785" s="93" t="str">
        <f>VLOOKUP(F785,DATABASE!C:P,11,false)</f>
        <v>Tire</v>
      </c>
      <c r="T785" s="93" t="str">
        <f>vlookup(F785,DATABASE!C:Q,8,false)</f>
        <v>BIAN</v>
      </c>
      <c r="Z785" s="9"/>
    </row>
    <row r="786" ht="22.5" customHeight="1">
      <c r="A786" s="49"/>
      <c r="C786" s="400">
        <v>46167.0</v>
      </c>
      <c r="D786" s="69">
        <v>1479.0</v>
      </c>
      <c r="E786" s="69" t="s">
        <v>867</v>
      </c>
      <c r="F786" s="140" t="s">
        <v>924</v>
      </c>
      <c r="G786" s="524">
        <v>1.0</v>
      </c>
      <c r="H786" s="140">
        <v>1650000.0</v>
      </c>
      <c r="I786" s="140">
        <v>1750000.0</v>
      </c>
      <c r="J786" s="192">
        <v>46197.0</v>
      </c>
      <c r="K786" s="74">
        <f>if(F786="SERVICE",O786-(O786*50%),Vlookup(F786,DATABASE!C:Q,10,false)*G786)</f>
        <v>0</v>
      </c>
      <c r="L786" s="74">
        <f>VLOOKUP(F786,DATABASE!C:Q,7,FALSE)</f>
        <v>1560000</v>
      </c>
      <c r="M786" s="74">
        <v>1545000.0</v>
      </c>
      <c r="N786" s="74">
        <f t="shared" si="8"/>
        <v>1545000</v>
      </c>
      <c r="O786" s="74">
        <f t="shared" si="3"/>
        <v>1650000</v>
      </c>
      <c r="P786" s="63">
        <f t="shared" si="4"/>
        <v>1750000</v>
      </c>
      <c r="Q786" s="63">
        <f t="shared" si="5"/>
        <v>205000</v>
      </c>
      <c r="R786" s="93" t="str">
        <f>VLOOKUP(F786,DATABASE!C:Q,4,false)</f>
        <v>TIRON</v>
      </c>
      <c r="S786" s="93" t="str">
        <f>VLOOKUP(F786,DATABASE!C:P,11,false)</f>
        <v>Tire</v>
      </c>
      <c r="T786" s="93" t="str">
        <f>vlookup(F786,DATABASE!C:Q,8,false)</f>
        <v>BIAN</v>
      </c>
      <c r="Z786" s="9"/>
    </row>
    <row r="787" ht="22.5" customHeight="1">
      <c r="A787" s="49"/>
      <c r="C787" s="400">
        <v>46167.0</v>
      </c>
      <c r="D787" s="69">
        <v>1479.0</v>
      </c>
      <c r="E787" s="69" t="s">
        <v>867</v>
      </c>
      <c r="F787" s="140" t="s">
        <v>2605</v>
      </c>
      <c r="G787" s="524">
        <v>1.0</v>
      </c>
      <c r="H787" s="140">
        <v>720000.0</v>
      </c>
      <c r="I787" s="140">
        <v>820000.0</v>
      </c>
      <c r="J787" s="192">
        <v>46197.0</v>
      </c>
      <c r="K787" s="74">
        <f>if(F787="SERVICE",O787-(O787*50%),Vlookup(F787,DATABASE!C:Q,10,false)*G787)</f>
        <v>0</v>
      </c>
      <c r="L787" s="74">
        <f>VLOOKUP(F787,DATABASE!C:Q,7,FALSE)</f>
        <v>650000</v>
      </c>
      <c r="M787" s="74">
        <v>620000.0</v>
      </c>
      <c r="N787" s="74">
        <f t="shared" si="8"/>
        <v>620000</v>
      </c>
      <c r="O787" s="74">
        <f t="shared" si="3"/>
        <v>720000</v>
      </c>
      <c r="P787" s="63">
        <f t="shared" si="4"/>
        <v>820000</v>
      </c>
      <c r="Q787" s="63">
        <f t="shared" si="5"/>
        <v>200000</v>
      </c>
      <c r="R787" s="93" t="str">
        <f>VLOOKUP(F787,DATABASE!C:Q,4,false)</f>
        <v>Velg</v>
      </c>
      <c r="S787" s="93" t="str">
        <f>VLOOKUP(F787,DATABASE!C:P,11,false)</f>
        <v>Tire</v>
      </c>
      <c r="T787" s="93" t="str">
        <f>vlookup(F787,DATABASE!C:Q,8,false)</f>
        <v>BIAN</v>
      </c>
      <c r="Z787" s="9"/>
    </row>
    <row r="788" ht="22.5" customHeight="1">
      <c r="A788" s="49"/>
      <c r="C788" s="400">
        <v>46168.0</v>
      </c>
      <c r="D788" s="69">
        <v>1498.0</v>
      </c>
      <c r="E788" s="69" t="s">
        <v>144</v>
      </c>
      <c r="F788" s="140" t="s">
        <v>924</v>
      </c>
      <c r="G788" s="524">
        <v>1.0</v>
      </c>
      <c r="H788" s="140">
        <v>1650000.0</v>
      </c>
      <c r="I788" s="140">
        <v>1750000.0</v>
      </c>
      <c r="J788" s="192">
        <v>46198.0</v>
      </c>
      <c r="K788" s="74">
        <f>if(F788="SERVICE",O788-(O788*50%),Vlookup(F788,DATABASE!C:Q,10,false)*G788)</f>
        <v>0</v>
      </c>
      <c r="L788" s="74">
        <f>VLOOKUP(F788,DATABASE!C:Q,7,FALSE)</f>
        <v>1560000</v>
      </c>
      <c r="M788" s="74">
        <v>1545000.0</v>
      </c>
      <c r="N788" s="74">
        <f t="shared" si="8"/>
        <v>1545000</v>
      </c>
      <c r="O788" s="74">
        <f t="shared" si="3"/>
        <v>1650000</v>
      </c>
      <c r="P788" s="63">
        <f t="shared" si="4"/>
        <v>1750000</v>
      </c>
      <c r="Q788" s="63">
        <f t="shared" si="5"/>
        <v>205000</v>
      </c>
      <c r="R788" s="93" t="str">
        <f>VLOOKUP(F788,DATABASE!C:Q,4,false)</f>
        <v>TIRON</v>
      </c>
      <c r="S788" s="93" t="str">
        <f>VLOOKUP(F788,DATABASE!C:P,11,false)</f>
        <v>Tire</v>
      </c>
      <c r="T788" s="93" t="str">
        <f>vlookup(F788,DATABASE!C:Q,8,false)</f>
        <v>BIAN</v>
      </c>
      <c r="Z788" s="9"/>
    </row>
    <row r="789" ht="22.5" customHeight="1">
      <c r="A789" s="49"/>
      <c r="C789" s="400">
        <v>46168.0</v>
      </c>
      <c r="D789" s="69">
        <v>1500.0</v>
      </c>
      <c r="E789" s="69" t="s">
        <v>962</v>
      </c>
      <c r="F789" s="140" t="s">
        <v>839</v>
      </c>
      <c r="G789" s="524">
        <v>2.0</v>
      </c>
      <c r="H789" s="140">
        <v>580000.0</v>
      </c>
      <c r="I789" s="140">
        <v>650000.0</v>
      </c>
      <c r="J789" s="192">
        <v>46198.0</v>
      </c>
      <c r="K789" s="74">
        <f>if(F789="SERVICE",O789-(O789*50%),Vlookup(F789,DATABASE!C:Q,10,false)*G789)</f>
        <v>0</v>
      </c>
      <c r="L789" s="74">
        <f>VLOOKUP(F789,DATABASE!C:Q,7,FALSE)</f>
        <v>512640</v>
      </c>
      <c r="M789" s="74">
        <v>490000.0</v>
      </c>
      <c r="N789" s="74">
        <f t="shared" si="8"/>
        <v>490000</v>
      </c>
      <c r="O789" s="74">
        <f t="shared" si="3"/>
        <v>1160000</v>
      </c>
      <c r="P789" s="63">
        <f t="shared" si="4"/>
        <v>1300000</v>
      </c>
      <c r="Q789" s="63">
        <f t="shared" si="5"/>
        <v>320000</v>
      </c>
      <c r="R789" s="93" t="str">
        <f>VLOOKUP(F789,DATABASE!C:Q,4,false)</f>
        <v>GT</v>
      </c>
      <c r="S789" s="93" t="str">
        <f>VLOOKUP(F789,DATABASE!C:P,11,false)</f>
        <v>Tire</v>
      </c>
      <c r="T789" s="93" t="str">
        <f>vlookup(F789,DATABASE!C:Q,8,false)</f>
        <v>BIAN</v>
      </c>
      <c r="Z789" s="9"/>
    </row>
    <row r="790" ht="22.5" customHeight="1">
      <c r="A790" s="49"/>
      <c r="C790" s="400">
        <v>46170.0</v>
      </c>
      <c r="D790" s="93"/>
      <c r="E790" s="69" t="s">
        <v>1100</v>
      </c>
      <c r="F790" s="140" t="s">
        <v>1871</v>
      </c>
      <c r="G790" s="524">
        <v>2.0</v>
      </c>
      <c r="H790" s="140">
        <v>3300000.0</v>
      </c>
      <c r="I790" s="140">
        <v>3350000.0</v>
      </c>
      <c r="J790" s="192">
        <v>46200.0</v>
      </c>
      <c r="K790" s="74">
        <f>if(F790="SERVICE",O790-(O790*50%),Vlookup(F790,DATABASE!C:Q,10,false)*G790)</f>
        <v>0</v>
      </c>
      <c r="L790" s="74">
        <f>VLOOKUP(F790,DATABASE!C:Q,7,FALSE)</f>
        <v>3190000</v>
      </c>
      <c r="M790" s="74">
        <v>3190000.0</v>
      </c>
      <c r="N790" s="140">
        <v>3160000.0</v>
      </c>
      <c r="O790" s="74">
        <f t="shared" si="3"/>
        <v>6600000</v>
      </c>
      <c r="P790" s="63">
        <f t="shared" si="4"/>
        <v>6700000</v>
      </c>
      <c r="Q790" s="63">
        <f t="shared" si="5"/>
        <v>380000</v>
      </c>
      <c r="R790" s="93" t="str">
        <f>VLOOKUP(F790,DATABASE!C:Q,4,false)</f>
        <v>GT</v>
      </c>
      <c r="S790" s="93" t="str">
        <f>VLOOKUP(F790,DATABASE!C:P,11,false)</f>
        <v>Tire</v>
      </c>
      <c r="T790" s="93" t="str">
        <f>vlookup(F790,DATABASE!C:Q,8,false)</f>
        <v>BIAN</v>
      </c>
      <c r="Z790" s="9"/>
    </row>
    <row r="791" ht="22.5" customHeight="1">
      <c r="A791" s="49"/>
      <c r="C791" s="400">
        <v>46171.0</v>
      </c>
      <c r="D791" s="69">
        <v>1530.0</v>
      </c>
      <c r="E791" s="69" t="s">
        <v>267</v>
      </c>
      <c r="F791" s="140" t="s">
        <v>250</v>
      </c>
      <c r="G791" s="524">
        <v>1.0</v>
      </c>
      <c r="H791" s="140">
        <v>135000.0</v>
      </c>
      <c r="I791" s="140">
        <v>145000.0</v>
      </c>
      <c r="J791" s="192">
        <v>46201.0</v>
      </c>
      <c r="K791" s="74">
        <f>if(F791="SERVICE",O791-(O791*50%),Vlookup(F791,DATABASE!C:Q,10,false)*G791)</f>
        <v>0</v>
      </c>
      <c r="L791" s="74">
        <f>VLOOKUP(F791,DATABASE!C:Q,7,FALSE)</f>
        <v>102000</v>
      </c>
      <c r="M791" s="74">
        <v>102000.0</v>
      </c>
      <c r="N791" s="74">
        <f t="shared" ref="N791:N2002" si="11">CEILING(M791, 5000)</f>
        <v>105000</v>
      </c>
      <c r="O791" s="74">
        <f t="shared" si="3"/>
        <v>135000</v>
      </c>
      <c r="P791" s="63">
        <f t="shared" si="4"/>
        <v>145000</v>
      </c>
      <c r="Q791" s="63">
        <f t="shared" si="5"/>
        <v>40000</v>
      </c>
      <c r="R791" s="93" t="str">
        <f>VLOOKUP(F791,DATABASE!C:Q,4,false)</f>
        <v>BD</v>
      </c>
      <c r="S791" s="93" t="str">
        <f>VLOOKUP(F791,DATABASE!C:P,11,false)</f>
        <v>Tire</v>
      </c>
      <c r="T791" s="93" t="str">
        <f>vlookup(F791,DATABASE!C:Q,8,false)</f>
        <v>BIAN</v>
      </c>
      <c r="Z791" s="9"/>
    </row>
    <row r="792" ht="22.5" customHeight="1">
      <c r="A792" s="49"/>
      <c r="C792" s="400">
        <v>46171.0</v>
      </c>
      <c r="D792" s="69">
        <v>1529.0</v>
      </c>
      <c r="E792" s="69" t="s">
        <v>267</v>
      </c>
      <c r="F792" s="140" t="s">
        <v>856</v>
      </c>
      <c r="G792" s="524">
        <v>2.0</v>
      </c>
      <c r="H792" s="140">
        <v>690000.0</v>
      </c>
      <c r="I792" s="140">
        <v>770000.0</v>
      </c>
      <c r="J792" s="192">
        <v>46201.0</v>
      </c>
      <c r="K792" s="74">
        <f>if(F792="SERVICE",O792-(O792*50%),Vlookup(F792,DATABASE!C:Q,10,false)*G792)</f>
        <v>0</v>
      </c>
      <c r="L792" s="74">
        <f>VLOOKUP(F792,DATABASE!C:Q,7,FALSE)</f>
        <v>615300</v>
      </c>
      <c r="M792" s="74">
        <v>604200.0</v>
      </c>
      <c r="N792" s="74">
        <f t="shared" si="11"/>
        <v>605000</v>
      </c>
      <c r="O792" s="74">
        <f t="shared" si="3"/>
        <v>1380000</v>
      </c>
      <c r="P792" s="63">
        <f t="shared" si="4"/>
        <v>1540000</v>
      </c>
      <c r="Q792" s="63">
        <f t="shared" si="5"/>
        <v>330000</v>
      </c>
      <c r="R792" s="93" t="str">
        <f>VLOOKUP(F792,DATABASE!C:Q,4,false)</f>
        <v>GT</v>
      </c>
      <c r="S792" s="93" t="str">
        <f>VLOOKUP(F792,DATABASE!C:P,11,false)</f>
        <v>Tire</v>
      </c>
      <c r="T792" s="93" t="str">
        <f>vlookup(F792,DATABASE!C:Q,8,false)</f>
        <v>BIAN</v>
      </c>
      <c r="Z792" s="9"/>
    </row>
    <row r="793" ht="22.5" customHeight="1">
      <c r="A793" s="49"/>
      <c r="C793" s="400">
        <v>46171.0</v>
      </c>
      <c r="D793" s="69">
        <v>1529.0</v>
      </c>
      <c r="E793" s="69" t="s">
        <v>267</v>
      </c>
      <c r="F793" s="140" t="s">
        <v>968</v>
      </c>
      <c r="G793" s="524">
        <v>1.0</v>
      </c>
      <c r="H793" s="140">
        <v>675000.0</v>
      </c>
      <c r="I793" s="140">
        <v>755000.0</v>
      </c>
      <c r="J793" s="192">
        <v>46201.0</v>
      </c>
      <c r="K793" s="74">
        <f>if(F793="SERVICE",O793-(O793*50%),Vlookup(F793,DATABASE!C:Q,10,false)*G793)</f>
        <v>0</v>
      </c>
      <c r="L793" s="74">
        <f>VLOOKUP(F793,DATABASE!C:Q,7,FALSE)</f>
        <v>582500</v>
      </c>
      <c r="M793" s="74">
        <v>582500.0</v>
      </c>
      <c r="N793" s="74">
        <f t="shared" si="11"/>
        <v>585000</v>
      </c>
      <c r="O793" s="74">
        <f t="shared" si="3"/>
        <v>675000</v>
      </c>
      <c r="P793" s="63">
        <f t="shared" si="4"/>
        <v>755000</v>
      </c>
      <c r="Q793" s="63">
        <f t="shared" si="5"/>
        <v>170000</v>
      </c>
      <c r="R793" s="93" t="str">
        <f>VLOOKUP(F793,DATABASE!C:Q,4,false)</f>
        <v>Dunlop</v>
      </c>
      <c r="S793" s="93" t="str">
        <f>VLOOKUP(F793,DATABASE!C:P,11,false)</f>
        <v>Tire</v>
      </c>
      <c r="T793" s="93" t="str">
        <f>vlookup(F793,DATABASE!C:Q,8,false)</f>
        <v>IBU</v>
      </c>
      <c r="Z793" s="9"/>
    </row>
    <row r="794" ht="22.5" customHeight="1">
      <c r="A794" s="49"/>
      <c r="C794" s="400">
        <v>46171.0</v>
      </c>
      <c r="D794" s="69">
        <v>1528.0</v>
      </c>
      <c r="E794" s="69" t="s">
        <v>193</v>
      </c>
      <c r="F794" s="140" t="s">
        <v>897</v>
      </c>
      <c r="G794" s="524">
        <v>1.0</v>
      </c>
      <c r="H794" s="140">
        <v>1625000.0</v>
      </c>
      <c r="I794" s="140">
        <v>1725000.0</v>
      </c>
      <c r="J794" s="192">
        <v>46201.0</v>
      </c>
      <c r="K794" s="74">
        <f>if(F794="SERVICE",O794-(O794*50%),Vlookup(F794,DATABASE!C:Q,10,false)*G794)</f>
        <v>0</v>
      </c>
      <c r="L794" s="74">
        <f>VLOOKUP(F794,DATABASE!C:Q,7,FALSE)</f>
        <v>1560000</v>
      </c>
      <c r="M794" s="74">
        <v>1525000.0</v>
      </c>
      <c r="N794" s="74">
        <f t="shared" si="11"/>
        <v>1525000</v>
      </c>
      <c r="O794" s="74">
        <f t="shared" si="3"/>
        <v>1625000</v>
      </c>
      <c r="P794" s="63">
        <f t="shared" si="4"/>
        <v>1725000</v>
      </c>
      <c r="Q794" s="63">
        <f t="shared" si="5"/>
        <v>200000</v>
      </c>
      <c r="R794" s="93" t="str">
        <f>VLOOKUP(F794,DATABASE!C:Q,4,false)</f>
        <v>GT</v>
      </c>
      <c r="S794" s="93" t="str">
        <f>VLOOKUP(F794,DATABASE!C:P,11,false)</f>
        <v>Tire</v>
      </c>
      <c r="T794" s="93" t="str">
        <f>vlookup(F794,DATABASE!C:Q,8,false)</f>
        <v>BIAN</v>
      </c>
      <c r="Z794" s="9"/>
    </row>
    <row r="795" ht="22.5" customHeight="1">
      <c r="A795" s="49"/>
      <c r="C795" s="400">
        <v>46172.0</v>
      </c>
      <c r="D795" s="69">
        <v>1538.0</v>
      </c>
      <c r="E795" s="69" t="s">
        <v>1100</v>
      </c>
      <c r="F795" s="140" t="s">
        <v>1871</v>
      </c>
      <c r="G795" s="524">
        <v>2.0</v>
      </c>
      <c r="H795" s="140">
        <v>3390000.0</v>
      </c>
      <c r="I795" s="140">
        <v>3390000.0</v>
      </c>
      <c r="J795" s="192">
        <v>46202.0</v>
      </c>
      <c r="K795" s="74">
        <f>if(F795="SERVICE",O795-(O795*50%),Vlookup(F795,DATABASE!C:Q,10,false)*G795)</f>
        <v>0</v>
      </c>
      <c r="L795" s="74">
        <f>VLOOKUP(F795,DATABASE!C:Q,7,FALSE)</f>
        <v>3190000</v>
      </c>
      <c r="M795" s="74">
        <v>3190000.0</v>
      </c>
      <c r="N795" s="74">
        <f t="shared" si="11"/>
        <v>3190000</v>
      </c>
      <c r="O795" s="74">
        <f t="shared" si="3"/>
        <v>6780000</v>
      </c>
      <c r="P795" s="63">
        <f t="shared" si="4"/>
        <v>6780000</v>
      </c>
      <c r="Q795" s="63">
        <f t="shared" si="5"/>
        <v>400000</v>
      </c>
      <c r="R795" s="93" t="str">
        <f>VLOOKUP(F795,DATABASE!C:Q,4,false)</f>
        <v>GT</v>
      </c>
      <c r="S795" s="93" t="str">
        <f>VLOOKUP(F795,DATABASE!C:P,11,false)</f>
        <v>Tire</v>
      </c>
      <c r="T795" s="93" t="str">
        <f>vlookup(F795,DATABASE!C:Q,8,false)</f>
        <v>BIAN</v>
      </c>
      <c r="Z795" s="9"/>
    </row>
    <row r="796" ht="22.5" customHeight="1">
      <c r="A796" s="49"/>
      <c r="C796" s="400">
        <v>46172.0</v>
      </c>
      <c r="D796" s="69">
        <v>1539.0</v>
      </c>
      <c r="E796" s="69" t="s">
        <v>132</v>
      </c>
      <c r="F796" s="140" t="s">
        <v>1862</v>
      </c>
      <c r="G796" s="524">
        <v>2.0</v>
      </c>
      <c r="H796" s="140">
        <v>2180000.0</v>
      </c>
      <c r="I796" s="140">
        <v>2280000.0</v>
      </c>
      <c r="J796" s="192">
        <v>46202.0</v>
      </c>
      <c r="K796" s="74">
        <f>if(F796="SERVICE",O796-(O796*50%),Vlookup(F796,DATABASE!C:Q,10,false)*G796)</f>
        <v>0</v>
      </c>
      <c r="L796" s="74">
        <f>VLOOKUP(F796,DATABASE!C:Q,7,FALSE)</f>
        <v>2080000</v>
      </c>
      <c r="M796" s="74">
        <v>2080000.0</v>
      </c>
      <c r="N796" s="74">
        <f t="shared" si="11"/>
        <v>2080000</v>
      </c>
      <c r="O796" s="74">
        <f t="shared" si="3"/>
        <v>4360000</v>
      </c>
      <c r="P796" s="63">
        <f t="shared" si="4"/>
        <v>4560000</v>
      </c>
      <c r="Q796" s="63">
        <f t="shared" si="5"/>
        <v>400000</v>
      </c>
      <c r="R796" s="93" t="str">
        <f>VLOOKUP(F796,DATABASE!C:Q,4,false)</f>
        <v>GiTi</v>
      </c>
      <c r="S796" s="93" t="str">
        <f>VLOOKUP(F796,DATABASE!C:P,11,false)</f>
        <v>Tire</v>
      </c>
      <c r="T796" s="93" t="str">
        <f>vlookup(F796,DATABASE!C:Q,8,false)</f>
        <v>BIAN</v>
      </c>
      <c r="Z796" s="9"/>
    </row>
    <row r="797" ht="22.5" customHeight="1">
      <c r="A797" s="49"/>
      <c r="C797" s="400">
        <v>46174.0</v>
      </c>
      <c r="D797" s="69">
        <v>1562.0</v>
      </c>
      <c r="E797" s="69" t="s">
        <v>735</v>
      </c>
      <c r="F797" s="140" t="s">
        <v>403</v>
      </c>
      <c r="G797" s="524">
        <v>2.0</v>
      </c>
      <c r="H797" s="140">
        <v>2260000.0</v>
      </c>
      <c r="I797" s="140">
        <v>2360000.0</v>
      </c>
      <c r="J797" s="192">
        <v>46204.0</v>
      </c>
      <c r="K797" s="74">
        <f>if(F797="SERVICE",O797-(O797*50%),Vlookup(F797,DATABASE!C:Q,10,false)*G797)</f>
        <v>0</v>
      </c>
      <c r="L797" s="74">
        <f>VLOOKUP(F797,DATABASE!C:Q,7,FALSE)</f>
        <v>2160000</v>
      </c>
      <c r="M797" s="74">
        <v>2160000.0</v>
      </c>
      <c r="N797" s="74">
        <f t="shared" si="11"/>
        <v>2160000</v>
      </c>
      <c r="O797" s="74">
        <f t="shared" si="3"/>
        <v>4520000</v>
      </c>
      <c r="P797" s="63">
        <f t="shared" si="4"/>
        <v>4720000</v>
      </c>
      <c r="Q797" s="63">
        <f t="shared" si="5"/>
        <v>400000</v>
      </c>
      <c r="R797" s="93" t="str">
        <f>VLOOKUP(F797,DATABASE!C:Q,4,false)</f>
        <v>Advance</v>
      </c>
      <c r="S797" s="93" t="str">
        <f>VLOOKUP(F797,DATABASE!C:P,11,false)</f>
        <v>Tire</v>
      </c>
      <c r="T797" s="93" t="str">
        <f>vlookup(F797,DATABASE!C:Q,8,false)</f>
        <v>BIAN</v>
      </c>
      <c r="Z797" s="9"/>
    </row>
    <row r="798" ht="22.5" customHeight="1">
      <c r="A798" s="49"/>
      <c r="C798" s="400">
        <v>46174.0</v>
      </c>
      <c r="D798" s="69">
        <v>1554.0</v>
      </c>
      <c r="E798" s="69" t="s">
        <v>819</v>
      </c>
      <c r="F798" s="140" t="s">
        <v>1862</v>
      </c>
      <c r="G798" s="524">
        <v>2.0</v>
      </c>
      <c r="H798" s="140">
        <v>2180000.0</v>
      </c>
      <c r="I798" s="140">
        <v>2280000.0</v>
      </c>
      <c r="J798" s="192">
        <v>46204.0</v>
      </c>
      <c r="K798" s="74">
        <f>if(F798="SERVICE",O798-(O798*50%),Vlookup(F798,DATABASE!C:Q,10,false)*G798)</f>
        <v>0</v>
      </c>
      <c r="L798" s="74">
        <f>VLOOKUP(F798,DATABASE!C:Q,7,FALSE)</f>
        <v>2080000</v>
      </c>
      <c r="M798" s="74">
        <v>2080000.0</v>
      </c>
      <c r="N798" s="74">
        <f t="shared" si="11"/>
        <v>2080000</v>
      </c>
      <c r="O798" s="74">
        <f t="shared" si="3"/>
        <v>4360000</v>
      </c>
      <c r="P798" s="63">
        <f t="shared" si="4"/>
        <v>4560000</v>
      </c>
      <c r="Q798" s="63">
        <f t="shared" si="5"/>
        <v>400000</v>
      </c>
      <c r="R798" s="93" t="str">
        <f>VLOOKUP(F798,DATABASE!C:Q,4,false)</f>
        <v>GiTi</v>
      </c>
      <c r="S798" s="93" t="str">
        <f>VLOOKUP(F798,DATABASE!C:P,11,false)</f>
        <v>Tire</v>
      </c>
      <c r="T798" s="93" t="str">
        <f>vlookup(F798,DATABASE!C:Q,8,false)</f>
        <v>BIAN</v>
      </c>
      <c r="Z798" s="9"/>
    </row>
    <row r="799" ht="22.5" customHeight="1">
      <c r="A799" s="49"/>
      <c r="C799" s="400">
        <v>46174.0</v>
      </c>
      <c r="D799" s="69">
        <v>1565.0</v>
      </c>
      <c r="E799" s="69" t="s">
        <v>274</v>
      </c>
      <c r="F799" s="140" t="s">
        <v>268</v>
      </c>
      <c r="G799" s="524">
        <v>4.0</v>
      </c>
      <c r="H799" s="140">
        <v>720000.0</v>
      </c>
      <c r="I799" s="140">
        <v>800000.0</v>
      </c>
      <c r="J799" s="192">
        <v>46204.0</v>
      </c>
      <c r="K799" s="74">
        <f>if(F799="SERVICE",O799-(O799*50%),Vlookup(F799,DATABASE!C:Q,10,false)*G799)</f>
        <v>0</v>
      </c>
      <c r="L799" s="74">
        <f>VLOOKUP(F799,DATABASE!C:Q,7,FALSE)</f>
        <v>653000</v>
      </c>
      <c r="M799" s="74">
        <v>634500.0</v>
      </c>
      <c r="N799" s="74">
        <f t="shared" si="11"/>
        <v>635000</v>
      </c>
      <c r="O799" s="74">
        <f t="shared" si="3"/>
        <v>2880000</v>
      </c>
      <c r="P799" s="63">
        <f t="shared" si="4"/>
        <v>3200000</v>
      </c>
      <c r="Q799" s="63">
        <f t="shared" si="5"/>
        <v>660000</v>
      </c>
      <c r="R799" s="93" t="str">
        <f>VLOOKUP(F799,DATABASE!C:Q,4,false)</f>
        <v>Dunlop</v>
      </c>
      <c r="S799" s="93" t="str">
        <f>VLOOKUP(F799,DATABASE!C:P,11,false)</f>
        <v>Tire</v>
      </c>
      <c r="T799" s="93" t="str">
        <f>vlookup(F799,DATABASE!C:Q,8,false)</f>
        <v>IBU</v>
      </c>
      <c r="Z799" s="9"/>
    </row>
    <row r="800" ht="22.5" customHeight="1">
      <c r="A800" s="49"/>
      <c r="C800" s="400">
        <v>46176.0</v>
      </c>
      <c r="D800" s="69">
        <v>1580.0</v>
      </c>
      <c r="E800" s="69" t="s">
        <v>661</v>
      </c>
      <c r="F800" s="140" t="s">
        <v>1862</v>
      </c>
      <c r="G800" s="524">
        <v>1.0</v>
      </c>
      <c r="H800" s="140">
        <v>2180000.0</v>
      </c>
      <c r="I800" s="140">
        <v>2280000.0</v>
      </c>
      <c r="J800" s="192">
        <v>46206.0</v>
      </c>
      <c r="K800" s="74">
        <f>if(F800="SERVICE",O800-(O800*50%),Vlookup(F800,DATABASE!C:Q,10,false)*G800)</f>
        <v>0</v>
      </c>
      <c r="L800" s="74">
        <f>VLOOKUP(F800,DATABASE!C:Q,7,FALSE)</f>
        <v>2080000</v>
      </c>
      <c r="M800" s="74">
        <v>2080000.0</v>
      </c>
      <c r="N800" s="74">
        <f t="shared" si="11"/>
        <v>2080000</v>
      </c>
      <c r="O800" s="74">
        <f t="shared" si="3"/>
        <v>2180000</v>
      </c>
      <c r="P800" s="63">
        <f t="shared" si="4"/>
        <v>2280000</v>
      </c>
      <c r="Q800" s="63">
        <f t="shared" si="5"/>
        <v>200000</v>
      </c>
      <c r="R800" s="93" t="str">
        <f>VLOOKUP(F800,DATABASE!C:Q,4,false)</f>
        <v>GiTi</v>
      </c>
      <c r="S800" s="93" t="str">
        <f>VLOOKUP(F800,DATABASE!C:P,11,false)</f>
        <v>Tire</v>
      </c>
      <c r="T800" s="93" t="str">
        <f>vlookup(F800,DATABASE!C:Q,8,false)</f>
        <v>BIAN</v>
      </c>
      <c r="Z800" s="9"/>
    </row>
    <row r="801" ht="22.5" customHeight="1">
      <c r="A801" s="49"/>
      <c r="C801" s="400">
        <v>46178.0</v>
      </c>
      <c r="D801" s="69">
        <v>1601.0</v>
      </c>
      <c r="E801" s="69" t="s">
        <v>74</v>
      </c>
      <c r="F801" s="140" t="s">
        <v>1112</v>
      </c>
      <c r="G801" s="524">
        <v>2.0</v>
      </c>
      <c r="H801" s="140">
        <v>1080000.0</v>
      </c>
      <c r="I801" s="140">
        <v>1100000.0</v>
      </c>
      <c r="J801" s="192">
        <v>46208.0</v>
      </c>
      <c r="K801" s="74">
        <f>if(F801="SERVICE",O801-(O801*50%),Vlookup(F801,DATABASE!C:Q,10,false)*G801)</f>
        <v>0</v>
      </c>
      <c r="L801" s="74">
        <f>VLOOKUP(F801,DATABASE!C:Q,7,FALSE)</f>
        <v>980542.4</v>
      </c>
      <c r="M801" s="74">
        <v>980542.4</v>
      </c>
      <c r="N801" s="74">
        <f t="shared" si="11"/>
        <v>985000</v>
      </c>
      <c r="O801" s="74">
        <f t="shared" si="3"/>
        <v>2160000</v>
      </c>
      <c r="P801" s="63">
        <f t="shared" si="4"/>
        <v>2200000</v>
      </c>
      <c r="Q801" s="63">
        <f t="shared" si="5"/>
        <v>230000</v>
      </c>
      <c r="R801" s="93" t="str">
        <f>VLOOKUP(F801,DATABASE!C:Q,4,false)</f>
        <v>Bridgestone</v>
      </c>
      <c r="S801" s="93" t="str">
        <f>VLOOKUP(F801,DATABASE!C:P,11,false)</f>
        <v>Tire</v>
      </c>
      <c r="T801" s="93" t="str">
        <f>vlookup(F801,DATABASE!C:Q,8,false)</f>
        <v>IBU</v>
      </c>
      <c r="Z801" s="9"/>
    </row>
    <row r="802" ht="22.5" customHeight="1">
      <c r="A802" s="49"/>
      <c r="C802" s="400">
        <v>46181.0</v>
      </c>
      <c r="D802" s="69">
        <v>1635.0</v>
      </c>
      <c r="E802" s="69" t="s">
        <v>536</v>
      </c>
      <c r="F802" s="140" t="s">
        <v>1862</v>
      </c>
      <c r="G802" s="524">
        <v>2.0</v>
      </c>
      <c r="H802" s="140">
        <v>2180000.0</v>
      </c>
      <c r="I802" s="140">
        <v>2280000.0</v>
      </c>
      <c r="J802" s="192">
        <v>46211.0</v>
      </c>
      <c r="K802" s="74">
        <f>if(F802="SERVICE",O802-(O802*50%),Vlookup(F802,DATABASE!C:Q,10,false)*G802)</f>
        <v>0</v>
      </c>
      <c r="L802" s="74">
        <f>VLOOKUP(F802,DATABASE!C:Q,7,FALSE)</f>
        <v>2080000</v>
      </c>
      <c r="M802" s="74">
        <v>2080000.0</v>
      </c>
      <c r="N802" s="74">
        <f t="shared" si="11"/>
        <v>2080000</v>
      </c>
      <c r="O802" s="74">
        <f t="shared" si="3"/>
        <v>4360000</v>
      </c>
      <c r="P802" s="63">
        <f t="shared" si="4"/>
        <v>4560000</v>
      </c>
      <c r="Q802" s="63">
        <f t="shared" si="5"/>
        <v>400000</v>
      </c>
      <c r="R802" s="93" t="str">
        <f>VLOOKUP(F802,DATABASE!C:Q,4,false)</f>
        <v>GiTi</v>
      </c>
      <c r="S802" s="93" t="str">
        <f>VLOOKUP(F802,DATABASE!C:P,11,false)</f>
        <v>Tire</v>
      </c>
      <c r="T802" s="93" t="str">
        <f>vlookup(F802,DATABASE!C:Q,8,false)</f>
        <v>BIAN</v>
      </c>
      <c r="Z802" s="9"/>
    </row>
    <row r="803" ht="22.5" customHeight="1">
      <c r="A803" s="49"/>
      <c r="C803" s="400">
        <v>46182.0</v>
      </c>
      <c r="D803" s="69">
        <v>1659.0</v>
      </c>
      <c r="E803" s="69" t="s">
        <v>234</v>
      </c>
      <c r="F803" s="140" t="s">
        <v>572</v>
      </c>
      <c r="G803" s="524">
        <v>1.0</v>
      </c>
      <c r="H803" s="140">
        <v>1350000.0</v>
      </c>
      <c r="I803" s="140">
        <v>1450000.0</v>
      </c>
      <c r="J803" s="192">
        <v>46212.0</v>
      </c>
      <c r="K803" s="74">
        <f>if(F803="SERVICE",O803-(O803*50%),Vlookup(F803,DATABASE!C:Q,10,false)*G803)</f>
        <v>0</v>
      </c>
      <c r="L803" s="74">
        <f>VLOOKUP(F803,DATABASE!C:Q,7,FALSE)</f>
        <v>1265000</v>
      </c>
      <c r="M803" s="74">
        <v>1245000.0</v>
      </c>
      <c r="N803" s="74">
        <f t="shared" si="11"/>
        <v>1245000</v>
      </c>
      <c r="O803" s="74">
        <f t="shared" si="3"/>
        <v>1350000</v>
      </c>
      <c r="P803" s="63">
        <f t="shared" si="4"/>
        <v>1450000</v>
      </c>
      <c r="Q803" s="63">
        <f t="shared" si="5"/>
        <v>205000</v>
      </c>
      <c r="R803" s="93" t="str">
        <f>VLOOKUP(F803,DATABASE!C:Q,4,false)</f>
        <v>Bridgestone</v>
      </c>
      <c r="S803" s="93" t="str">
        <f>VLOOKUP(F803,DATABASE!C:P,11,false)</f>
        <v>Tire</v>
      </c>
      <c r="T803" s="93" t="str">
        <f>vlookup(F803,DATABASE!C:Q,8,false)</f>
        <v>IBU</v>
      </c>
      <c r="Z803" s="9"/>
    </row>
    <row r="804" ht="22.5" customHeight="1">
      <c r="A804" s="49"/>
      <c r="C804" s="400">
        <v>46182.0</v>
      </c>
      <c r="D804" s="69">
        <v>1659.0</v>
      </c>
      <c r="E804" s="69" t="s">
        <v>422</v>
      </c>
      <c r="F804" s="140" t="s">
        <v>2249</v>
      </c>
      <c r="G804" s="524">
        <v>2.0</v>
      </c>
      <c r="H804" s="140">
        <v>1900000.0</v>
      </c>
      <c r="I804" s="140">
        <v>2000000.0</v>
      </c>
      <c r="J804" s="192">
        <v>46212.0</v>
      </c>
      <c r="K804" s="74">
        <f>if(F804="SERVICE",O804-(O804*50%),Vlookup(F804,DATABASE!C:Q,10,false)*G804)</f>
        <v>0</v>
      </c>
      <c r="L804" s="74">
        <f>VLOOKUP(F804,DATABASE!C:Q,7,FALSE)</f>
        <v>1800000</v>
      </c>
      <c r="M804" s="74">
        <v>1800000.0</v>
      </c>
      <c r="N804" s="74">
        <f t="shared" si="11"/>
        <v>1800000</v>
      </c>
      <c r="O804" s="74">
        <f t="shared" si="3"/>
        <v>3800000</v>
      </c>
      <c r="P804" s="63">
        <f t="shared" si="4"/>
        <v>4000000</v>
      </c>
      <c r="Q804" s="63">
        <f t="shared" si="5"/>
        <v>400000</v>
      </c>
      <c r="R804" s="93" t="str">
        <f>VLOOKUP(F804,DATABASE!C:Q,4,false)</f>
        <v>WESTLAKE</v>
      </c>
      <c r="S804" s="93" t="str">
        <f>VLOOKUP(F804,DATABASE!C:P,11,false)</f>
        <v>Tire</v>
      </c>
      <c r="T804" s="93" t="str">
        <f>vlookup(F804,DATABASE!C:Q,8,false)</f>
        <v>BIAN</v>
      </c>
      <c r="Z804" s="9"/>
    </row>
    <row r="805" ht="22.5" customHeight="1">
      <c r="A805" s="49"/>
      <c r="C805" s="400">
        <v>46182.0</v>
      </c>
      <c r="D805" s="69">
        <v>1654.0</v>
      </c>
      <c r="E805" s="69" t="s">
        <v>346</v>
      </c>
      <c r="F805" s="140" t="s">
        <v>566</v>
      </c>
      <c r="G805" s="524">
        <v>2.0</v>
      </c>
      <c r="H805" s="140">
        <v>1650000.0</v>
      </c>
      <c r="I805" s="140">
        <v>1750000.0</v>
      </c>
      <c r="J805" s="192">
        <v>46212.0</v>
      </c>
      <c r="K805" s="74">
        <f>if(F805="SERVICE",O805-(O805*50%),Vlookup(F805,DATABASE!C:Q,10,false)*G805)</f>
        <v>0</v>
      </c>
      <c r="L805" s="74">
        <f>VLOOKUP(F805,DATABASE!C:Q,7,FALSE)</f>
        <v>1565000</v>
      </c>
      <c r="M805" s="74">
        <v>1545000.0</v>
      </c>
      <c r="N805" s="74">
        <f t="shared" si="11"/>
        <v>1545000</v>
      </c>
      <c r="O805" s="74">
        <f t="shared" si="3"/>
        <v>3300000</v>
      </c>
      <c r="P805" s="63">
        <f t="shared" si="4"/>
        <v>3500000</v>
      </c>
      <c r="Q805" s="63">
        <f t="shared" si="5"/>
        <v>410000</v>
      </c>
      <c r="R805" s="93" t="str">
        <f>VLOOKUP(F805,DATABASE!C:Q,4,false)</f>
        <v>Bridgestone</v>
      </c>
      <c r="S805" s="93" t="str">
        <f>VLOOKUP(F805,DATABASE!C:P,11,false)</f>
        <v>Tire</v>
      </c>
      <c r="T805" s="93" t="str">
        <f>vlookup(F805,DATABASE!C:Q,8,false)</f>
        <v>IBU</v>
      </c>
      <c r="Z805" s="9"/>
    </row>
    <row r="806" ht="22.5" customHeight="1">
      <c r="A806" s="49"/>
      <c r="C806" s="400">
        <v>46182.0</v>
      </c>
      <c r="D806" s="69">
        <v>1654.0</v>
      </c>
      <c r="E806" s="69" t="s">
        <v>346</v>
      </c>
      <c r="F806" s="140" t="s">
        <v>821</v>
      </c>
      <c r="G806" s="524">
        <v>1.0</v>
      </c>
      <c r="H806" s="140">
        <v>90000.0</v>
      </c>
      <c r="I806" s="140">
        <v>100000.0</v>
      </c>
      <c r="J806" s="192">
        <v>46212.0</v>
      </c>
      <c r="K806" s="74">
        <f>if(F806="SERVICE",O806-(O806*50%),Vlookup(F806,DATABASE!C:Q,10,false)*G806)</f>
        <v>0</v>
      </c>
      <c r="L806" s="74">
        <f>VLOOKUP(F806,DATABASE!C:Q,7,FALSE)</f>
        <v>43500</v>
      </c>
      <c r="M806" s="74">
        <v>43500.0</v>
      </c>
      <c r="N806" s="74">
        <f t="shared" si="11"/>
        <v>45000</v>
      </c>
      <c r="O806" s="74">
        <f t="shared" si="3"/>
        <v>90000</v>
      </c>
      <c r="P806" s="63">
        <f t="shared" si="4"/>
        <v>100000</v>
      </c>
      <c r="Q806" s="63">
        <f t="shared" si="5"/>
        <v>55000</v>
      </c>
      <c r="R806" s="93" t="str">
        <f>VLOOKUP(F806,DATABASE!C:Q,4,false)</f>
        <v>Flap</v>
      </c>
      <c r="S806" s="93" t="str">
        <f>VLOOKUP(F806,DATABASE!C:P,11,false)</f>
        <v>Tire</v>
      </c>
      <c r="T806" s="93" t="str">
        <f>vlookup(F806,DATABASE!C:Q,8,false)</f>
        <v>BIAN</v>
      </c>
      <c r="Z806" s="9"/>
    </row>
    <row r="807" ht="22.5" customHeight="1">
      <c r="A807" s="49"/>
      <c r="C807" s="400">
        <v>46185.0</v>
      </c>
      <c r="D807" s="69">
        <v>14.0</v>
      </c>
      <c r="E807" s="69" t="s">
        <v>775</v>
      </c>
      <c r="F807" s="140" t="s">
        <v>647</v>
      </c>
      <c r="G807" s="524">
        <v>2.0</v>
      </c>
      <c r="H807" s="140">
        <v>1520000.0</v>
      </c>
      <c r="I807" s="140">
        <v>1620000.0</v>
      </c>
      <c r="J807" s="192">
        <v>46215.0</v>
      </c>
      <c r="K807" s="74">
        <f>if(F807="SERVICE",O807-(O807*50%),Vlookup(F807,DATABASE!C:Q,10,false)*G807)</f>
        <v>0</v>
      </c>
      <c r="L807" s="74">
        <f>VLOOKUP(F807,DATABASE!C:Q,7,FALSE)</f>
        <v>1420000</v>
      </c>
      <c r="M807" s="74">
        <v>1420000.0</v>
      </c>
      <c r="N807" s="74">
        <f t="shared" si="11"/>
        <v>1420000</v>
      </c>
      <c r="O807" s="74">
        <f t="shared" si="3"/>
        <v>3040000</v>
      </c>
      <c r="P807" s="63">
        <f t="shared" si="4"/>
        <v>3240000</v>
      </c>
      <c r="Q807" s="63">
        <f t="shared" si="5"/>
        <v>400000</v>
      </c>
      <c r="R807" s="93" t="str">
        <f>VLOOKUP(F807,DATABASE!C:Q,4,false)</f>
        <v>G. YEAR</v>
      </c>
      <c r="S807" s="93" t="str">
        <f>VLOOKUP(F807,DATABASE!C:P,11,false)</f>
        <v>Tire</v>
      </c>
      <c r="T807" s="93" t="str">
        <f>vlookup(F807,DATABASE!C:Q,8,false)</f>
        <v>BIAN</v>
      </c>
      <c r="Z807" s="9"/>
    </row>
    <row r="808" ht="22.5" customHeight="1">
      <c r="A808" s="49"/>
      <c r="C808" s="400">
        <v>46185.0</v>
      </c>
      <c r="D808" s="69">
        <v>16.0</v>
      </c>
      <c r="E808" s="69" t="s">
        <v>810</v>
      </c>
      <c r="F808" s="140" t="s">
        <v>572</v>
      </c>
      <c r="G808" s="524">
        <v>2.0</v>
      </c>
      <c r="H808" s="140">
        <v>1350000.0</v>
      </c>
      <c r="I808" s="140">
        <v>1450000.0</v>
      </c>
      <c r="J808" s="192">
        <v>46215.0</v>
      </c>
      <c r="K808" s="74">
        <f>if(F808="SERVICE",O808-(O808*50%),Vlookup(F808,DATABASE!C:Q,10,false)*G808)</f>
        <v>0</v>
      </c>
      <c r="L808" s="74">
        <f>VLOOKUP(F808,DATABASE!C:Q,7,FALSE)</f>
        <v>1265000</v>
      </c>
      <c r="M808" s="74">
        <v>1245000.0</v>
      </c>
      <c r="N808" s="74">
        <f t="shared" si="11"/>
        <v>1245000</v>
      </c>
      <c r="O808" s="74">
        <f t="shared" si="3"/>
        <v>2700000</v>
      </c>
      <c r="P808" s="63">
        <f t="shared" si="4"/>
        <v>2900000</v>
      </c>
      <c r="Q808" s="63">
        <f t="shared" si="5"/>
        <v>410000</v>
      </c>
      <c r="R808" s="93" t="str">
        <f>VLOOKUP(F808,DATABASE!C:Q,4,false)</f>
        <v>Bridgestone</v>
      </c>
      <c r="S808" s="93" t="str">
        <f>VLOOKUP(F808,DATABASE!C:P,11,false)</f>
        <v>Tire</v>
      </c>
      <c r="T808" s="93" t="str">
        <f>vlookup(F808,DATABASE!C:Q,8,false)</f>
        <v>IBU</v>
      </c>
      <c r="Z808" s="9"/>
    </row>
    <row r="809" ht="22.5" customHeight="1">
      <c r="A809" s="49"/>
      <c r="C809" s="400">
        <v>46185.0</v>
      </c>
      <c r="D809" s="69">
        <v>16.0</v>
      </c>
      <c r="E809" s="69" t="s">
        <v>810</v>
      </c>
      <c r="F809" s="140" t="s">
        <v>255</v>
      </c>
      <c r="G809" s="524">
        <v>1.0</v>
      </c>
      <c r="H809" s="140">
        <v>200000.0</v>
      </c>
      <c r="I809" s="140">
        <v>220000.0</v>
      </c>
      <c r="J809" s="192">
        <v>46215.0</v>
      </c>
      <c r="K809" s="74">
        <f>if(F809="SERVICE",O809-(O809*50%),Vlookup(F809,DATABASE!C:Q,10,false)*G809)</f>
        <v>0</v>
      </c>
      <c r="L809" s="74">
        <f>VLOOKUP(F809,DATABASE!C:Q,7,FALSE)</f>
        <v>161840</v>
      </c>
      <c r="M809" s="74">
        <v>161840.0</v>
      </c>
      <c r="N809" s="74">
        <f t="shared" si="11"/>
        <v>165000</v>
      </c>
      <c r="O809" s="74">
        <f t="shared" si="3"/>
        <v>200000</v>
      </c>
      <c r="P809" s="63">
        <f t="shared" si="4"/>
        <v>220000</v>
      </c>
      <c r="Q809" s="63">
        <f t="shared" si="5"/>
        <v>55000</v>
      </c>
      <c r="R809" s="93" t="str">
        <f>VLOOKUP(F809,DATABASE!C:Q,4,false)</f>
        <v>BD</v>
      </c>
      <c r="S809" s="93" t="str">
        <f>VLOOKUP(F809,DATABASE!C:P,11,false)</f>
        <v>Tire</v>
      </c>
      <c r="T809" s="93" t="str">
        <f>vlookup(F809,DATABASE!C:Q,8,false)</f>
        <v>BIAN</v>
      </c>
      <c r="Z809" s="9"/>
    </row>
    <row r="810" ht="22.5" customHeight="1">
      <c r="A810" s="49"/>
      <c r="C810" s="400">
        <v>46185.0</v>
      </c>
      <c r="D810" s="69">
        <v>16.0</v>
      </c>
      <c r="E810" s="69" t="s">
        <v>810</v>
      </c>
      <c r="F810" s="140" t="s">
        <v>814</v>
      </c>
      <c r="G810" s="524">
        <v>2.0</v>
      </c>
      <c r="H810" s="140">
        <v>70000.0</v>
      </c>
      <c r="I810" s="140">
        <v>90000.0</v>
      </c>
      <c r="J810" s="192">
        <v>46215.0</v>
      </c>
      <c r="K810" s="74">
        <f>if(F810="SERVICE",O810-(O810*50%),Vlookup(F810,DATABASE!C:Q,10,false)*G810)</f>
        <v>0</v>
      </c>
      <c r="L810" s="74">
        <f>VLOOKUP(F810,DATABASE!C:Q,7,FALSE)</f>
        <v>39440</v>
      </c>
      <c r="M810" s="74">
        <v>39440.0</v>
      </c>
      <c r="N810" s="74">
        <f t="shared" si="11"/>
        <v>40000</v>
      </c>
      <c r="O810" s="74">
        <f t="shared" si="3"/>
        <v>140000</v>
      </c>
      <c r="P810" s="63">
        <f t="shared" si="4"/>
        <v>180000</v>
      </c>
      <c r="Q810" s="63">
        <f t="shared" si="5"/>
        <v>100000</v>
      </c>
      <c r="R810" s="93" t="str">
        <f>VLOOKUP(F810,DATABASE!C:Q,4,false)</f>
        <v>Flap</v>
      </c>
      <c r="S810" s="93" t="str">
        <f>VLOOKUP(F810,DATABASE!C:P,11,false)</f>
        <v>Tire</v>
      </c>
      <c r="T810" s="93" t="str">
        <f>vlookup(F810,DATABASE!C:Q,8,false)</f>
        <v>BIAN</v>
      </c>
      <c r="Z810" s="9"/>
    </row>
    <row r="811" ht="22.5" customHeight="1">
      <c r="A811" s="49"/>
      <c r="C811" s="400">
        <v>46185.0</v>
      </c>
      <c r="D811" s="69">
        <v>17.0</v>
      </c>
      <c r="E811" s="69" t="s">
        <v>470</v>
      </c>
      <c r="F811" s="140" t="s">
        <v>268</v>
      </c>
      <c r="G811" s="524">
        <v>2.0</v>
      </c>
      <c r="H811" s="140">
        <v>720000.0</v>
      </c>
      <c r="I811" s="140">
        <v>750000.0</v>
      </c>
      <c r="J811" s="192">
        <v>46215.0</v>
      </c>
      <c r="K811" s="74">
        <f>if(F811="SERVICE",O811-(O811*50%),Vlookup(F811,DATABASE!C:Q,10,false)*G811)</f>
        <v>0</v>
      </c>
      <c r="L811" s="74">
        <f>VLOOKUP(F811,DATABASE!C:Q,7,FALSE)</f>
        <v>653000</v>
      </c>
      <c r="M811" s="74">
        <v>634500.0</v>
      </c>
      <c r="N811" s="74">
        <f t="shared" si="11"/>
        <v>635000</v>
      </c>
      <c r="O811" s="74">
        <f t="shared" si="3"/>
        <v>1440000</v>
      </c>
      <c r="P811" s="63">
        <f t="shared" si="4"/>
        <v>1500000</v>
      </c>
      <c r="Q811" s="63">
        <f t="shared" si="5"/>
        <v>230000</v>
      </c>
      <c r="R811" s="93" t="str">
        <f>VLOOKUP(F811,DATABASE!C:Q,4,false)</f>
        <v>Dunlop</v>
      </c>
      <c r="S811" s="93" t="str">
        <f>VLOOKUP(F811,DATABASE!C:P,11,false)</f>
        <v>Tire</v>
      </c>
      <c r="T811" s="93" t="str">
        <f>vlookup(F811,DATABASE!C:Q,8,false)</f>
        <v>IBU</v>
      </c>
      <c r="Z811" s="9"/>
    </row>
    <row r="812" ht="22.5" customHeight="1">
      <c r="A812" s="49"/>
      <c r="C812" s="400">
        <v>46190.0</v>
      </c>
      <c r="D812" s="69">
        <v>56.0</v>
      </c>
      <c r="E812" s="69" t="s">
        <v>254</v>
      </c>
      <c r="F812" s="140" t="s">
        <v>403</v>
      </c>
      <c r="G812" s="524">
        <v>2.0</v>
      </c>
      <c r="H812" s="140">
        <v>2260000.0</v>
      </c>
      <c r="I812" s="140">
        <v>2360000.0</v>
      </c>
      <c r="J812" s="192">
        <v>46220.0</v>
      </c>
      <c r="K812" s="74">
        <f>if(F812="SERVICE",O812-(O812*50%),Vlookup(F812,DATABASE!C:Q,10,false)*G812)</f>
        <v>0</v>
      </c>
      <c r="L812" s="74">
        <f>VLOOKUP(F812,DATABASE!C:Q,7,FALSE)</f>
        <v>2160000</v>
      </c>
      <c r="M812" s="74">
        <v>2160000.0</v>
      </c>
      <c r="N812" s="74">
        <f t="shared" si="11"/>
        <v>2160000</v>
      </c>
      <c r="O812" s="74">
        <f t="shared" si="3"/>
        <v>4520000</v>
      </c>
      <c r="P812" s="63">
        <f t="shared" si="4"/>
        <v>4720000</v>
      </c>
      <c r="Q812" s="63">
        <f t="shared" si="5"/>
        <v>400000</v>
      </c>
      <c r="R812" s="93" t="str">
        <f>VLOOKUP(F812,DATABASE!C:Q,4,false)</f>
        <v>Advance</v>
      </c>
      <c r="S812" s="93" t="str">
        <f>VLOOKUP(F812,DATABASE!C:P,11,false)</f>
        <v>Tire</v>
      </c>
      <c r="T812" s="93" t="str">
        <f>vlookup(F812,DATABASE!C:Q,8,false)</f>
        <v>BIAN</v>
      </c>
      <c r="Z812" s="9"/>
    </row>
    <row r="813" ht="22.5" customHeight="1">
      <c r="A813" s="49"/>
      <c r="C813" s="400">
        <v>46191.0</v>
      </c>
      <c r="D813" s="69">
        <v>67.0</v>
      </c>
      <c r="E813" s="69" t="s">
        <v>595</v>
      </c>
      <c r="F813" s="140" t="s">
        <v>374</v>
      </c>
      <c r="G813" s="524">
        <v>2.0</v>
      </c>
      <c r="H813" s="140">
        <v>2080000.0</v>
      </c>
      <c r="I813" s="140">
        <v>2180000.0</v>
      </c>
      <c r="J813" s="192">
        <v>46221.0</v>
      </c>
      <c r="K813" s="74">
        <f>if(F813="SERVICE",O813-(O813*50%),Vlookup(F813,DATABASE!C:Q,10,false)*G813)</f>
        <v>0</v>
      </c>
      <c r="L813" s="74">
        <f>VLOOKUP(F813,DATABASE!C:Q,7,FALSE)</f>
        <v>1980000</v>
      </c>
      <c r="M813" s="74">
        <v>1980000.0</v>
      </c>
      <c r="N813" s="74">
        <f t="shared" si="11"/>
        <v>1980000</v>
      </c>
      <c r="O813" s="74">
        <f t="shared" si="3"/>
        <v>4160000</v>
      </c>
      <c r="P813" s="63">
        <f t="shared" si="4"/>
        <v>4360000</v>
      </c>
      <c r="Q813" s="63">
        <f t="shared" si="5"/>
        <v>400000</v>
      </c>
      <c r="R813" s="93" t="str">
        <f>VLOOKUP(F813,DATABASE!C:Q,4,false)</f>
        <v>Advance</v>
      </c>
      <c r="S813" s="93" t="str">
        <f>VLOOKUP(F813,DATABASE!C:P,11,false)</f>
        <v>Tire</v>
      </c>
      <c r="T813" s="93" t="str">
        <f>vlookup(F813,DATABASE!C:Q,8,false)</f>
        <v>BIAN</v>
      </c>
      <c r="Z813" s="9"/>
    </row>
    <row r="814" ht="22.5" customHeight="1">
      <c r="A814" s="49"/>
      <c r="C814" s="400">
        <v>46191.0</v>
      </c>
      <c r="D814" s="69">
        <v>67.0</v>
      </c>
      <c r="E814" s="69" t="s">
        <v>595</v>
      </c>
      <c r="F814" s="140" t="s">
        <v>2345</v>
      </c>
      <c r="G814" s="524">
        <v>2.0</v>
      </c>
      <c r="H814" s="140">
        <v>780000.0</v>
      </c>
      <c r="I814" s="140">
        <v>880000.0</v>
      </c>
      <c r="J814" s="192">
        <v>46221.0</v>
      </c>
      <c r="K814" s="74">
        <f>if(F814="SERVICE",O814-(O814*50%),Vlookup(F814,DATABASE!C:Q,10,false)*G814)</f>
        <v>0</v>
      </c>
      <c r="L814" s="74">
        <f>VLOOKUP(F814,DATABASE!C:Q,7,FALSE)</f>
        <v>680000</v>
      </c>
      <c r="M814" s="74">
        <v>680000.0</v>
      </c>
      <c r="N814" s="74">
        <f t="shared" si="11"/>
        <v>680000</v>
      </c>
      <c r="O814" s="74">
        <f t="shared" si="3"/>
        <v>1560000</v>
      </c>
      <c r="P814" s="63">
        <f t="shared" si="4"/>
        <v>1760000</v>
      </c>
      <c r="Q814" s="63">
        <f t="shared" si="5"/>
        <v>400000</v>
      </c>
      <c r="R814" s="93" t="str">
        <f>VLOOKUP(F814,DATABASE!C:Q,4,false)</f>
        <v>Velg</v>
      </c>
      <c r="S814" s="93" t="str">
        <f>VLOOKUP(F814,DATABASE!C:P,11,false)</f>
        <v>Tire</v>
      </c>
      <c r="T814" s="93" t="str">
        <f>vlookup(F814,DATABASE!C:Q,8,false)</f>
        <v>BIAN</v>
      </c>
      <c r="Z814" s="9"/>
    </row>
    <row r="815" ht="22.5" customHeight="1">
      <c r="A815" s="49"/>
      <c r="C815" s="400">
        <v>46192.0</v>
      </c>
      <c r="D815" s="69">
        <v>78.0</v>
      </c>
      <c r="E815" s="69" t="s">
        <v>267</v>
      </c>
      <c r="F815" s="140" t="s">
        <v>403</v>
      </c>
      <c r="G815" s="524">
        <v>2.0</v>
      </c>
      <c r="H815" s="140">
        <v>2260000.0</v>
      </c>
      <c r="I815" s="140">
        <v>2360000.0</v>
      </c>
      <c r="J815" s="192">
        <v>46222.0</v>
      </c>
      <c r="K815" s="74">
        <f>if(F815="SERVICE",O815-(O815*50%),Vlookup(F815,DATABASE!C:Q,10,false)*G815)</f>
        <v>0</v>
      </c>
      <c r="L815" s="74">
        <f>VLOOKUP(F815,DATABASE!C:Q,7,FALSE)</f>
        <v>2160000</v>
      </c>
      <c r="M815" s="74">
        <v>2160000.0</v>
      </c>
      <c r="N815" s="74">
        <f t="shared" si="11"/>
        <v>2160000</v>
      </c>
      <c r="O815" s="74">
        <f t="shared" si="3"/>
        <v>4520000</v>
      </c>
      <c r="P815" s="63">
        <f t="shared" si="4"/>
        <v>4720000</v>
      </c>
      <c r="Q815" s="63">
        <f t="shared" si="5"/>
        <v>400000</v>
      </c>
      <c r="R815" s="93" t="str">
        <f>VLOOKUP(F815,DATABASE!C:Q,4,false)</f>
        <v>Advance</v>
      </c>
      <c r="S815" s="93" t="str">
        <f>VLOOKUP(F815,DATABASE!C:P,11,false)</f>
        <v>Tire</v>
      </c>
      <c r="T815" s="93" t="str">
        <f>vlookup(F815,DATABASE!C:Q,8,false)</f>
        <v>BIAN</v>
      </c>
      <c r="Z815" s="9"/>
    </row>
    <row r="816" ht="22.5" customHeight="1">
      <c r="A816" s="49"/>
      <c r="C816" s="400">
        <v>46193.0</v>
      </c>
      <c r="D816" s="69">
        <v>87.0</v>
      </c>
      <c r="E816" s="69" t="s">
        <v>927</v>
      </c>
      <c r="F816" s="140" t="s">
        <v>374</v>
      </c>
      <c r="G816" s="524">
        <v>2.0</v>
      </c>
      <c r="H816" s="140">
        <v>2080000.0</v>
      </c>
      <c r="I816" s="140">
        <v>2180000.0</v>
      </c>
      <c r="J816" s="192">
        <v>46223.0</v>
      </c>
      <c r="K816" s="74">
        <f>if(F816="SERVICE",O816-(O816*50%),Vlookup(F816,DATABASE!C:Q,10,false)*G816)</f>
        <v>0</v>
      </c>
      <c r="L816" s="74">
        <f>VLOOKUP(F816,DATABASE!C:Q,7,FALSE)</f>
        <v>1980000</v>
      </c>
      <c r="M816" s="74">
        <v>1980000.0</v>
      </c>
      <c r="N816" s="74">
        <f t="shared" si="11"/>
        <v>1980000</v>
      </c>
      <c r="O816" s="74">
        <f t="shared" si="3"/>
        <v>4160000</v>
      </c>
      <c r="P816" s="63">
        <f t="shared" si="4"/>
        <v>4360000</v>
      </c>
      <c r="Q816" s="63">
        <f t="shared" si="5"/>
        <v>400000</v>
      </c>
      <c r="R816" s="93" t="str">
        <f>VLOOKUP(F816,DATABASE!C:Q,4,false)</f>
        <v>Advance</v>
      </c>
      <c r="S816" s="93" t="str">
        <f>VLOOKUP(F816,DATABASE!C:P,11,false)</f>
        <v>Tire</v>
      </c>
      <c r="T816" s="93" t="str">
        <f>vlookup(F816,DATABASE!C:Q,8,false)</f>
        <v>BIAN</v>
      </c>
      <c r="Z816" s="9"/>
    </row>
    <row r="817" ht="22.5" customHeight="1">
      <c r="A817" s="49"/>
      <c r="C817" s="400">
        <v>46193.0</v>
      </c>
      <c r="D817" s="69">
        <v>87.0</v>
      </c>
      <c r="E817" s="69" t="s">
        <v>935</v>
      </c>
      <c r="F817" s="140" t="s">
        <v>836</v>
      </c>
      <c r="G817" s="524">
        <v>2.0</v>
      </c>
      <c r="H817" s="140">
        <v>380000.0</v>
      </c>
      <c r="I817" s="140">
        <v>400000.0</v>
      </c>
      <c r="J817" s="192">
        <v>46223.0</v>
      </c>
      <c r="K817" s="74">
        <f>if(F817="SERVICE",O817-(O817*50%),Vlookup(F817,DATABASE!C:Q,10,false)*G817)</f>
        <v>0</v>
      </c>
      <c r="L817" s="74">
        <f>VLOOKUP(F817,DATABASE!C:Q,7,FALSE)</f>
        <v>348000</v>
      </c>
      <c r="M817" s="74">
        <v>348000.0</v>
      </c>
      <c r="N817" s="74">
        <f t="shared" si="11"/>
        <v>350000</v>
      </c>
      <c r="O817" s="74">
        <f t="shared" si="3"/>
        <v>760000</v>
      </c>
      <c r="P817" s="63">
        <f t="shared" si="4"/>
        <v>800000</v>
      </c>
      <c r="Q817" s="63">
        <f t="shared" si="5"/>
        <v>100000</v>
      </c>
      <c r="R817" s="93" t="str">
        <f>VLOOKUP(F817,DATABASE!C:Q,4,false)</f>
        <v>BD</v>
      </c>
      <c r="S817" s="93" t="str">
        <f>VLOOKUP(F817,DATABASE!C:P,11,false)</f>
        <v>Tire</v>
      </c>
      <c r="T817" s="93" t="str">
        <f>vlookup(F817,DATABASE!C:Q,8,false)</f>
        <v>BIAN</v>
      </c>
      <c r="Z817" s="9"/>
    </row>
    <row r="818" ht="22.5" customHeight="1">
      <c r="A818" s="49"/>
      <c r="C818" s="400">
        <v>46197.0</v>
      </c>
      <c r="D818" s="69">
        <v>132.0</v>
      </c>
      <c r="E818" s="69" t="s">
        <v>927</v>
      </c>
      <c r="F818" s="140" t="s">
        <v>2345</v>
      </c>
      <c r="G818" s="524">
        <v>1.0</v>
      </c>
      <c r="H818" s="140">
        <v>780000.0</v>
      </c>
      <c r="I818" s="140">
        <v>880000.0</v>
      </c>
      <c r="J818" s="192">
        <v>46227.0</v>
      </c>
      <c r="K818" s="74">
        <f>if(F818="SERVICE",O818-(O818*50%),Vlookup(F818,DATABASE!C:Q,10,false)*G818)</f>
        <v>0</v>
      </c>
      <c r="L818" s="74">
        <f>VLOOKUP(F818,DATABASE!C:Q,7,FALSE)</f>
        <v>680000</v>
      </c>
      <c r="M818" s="74">
        <v>680000.0</v>
      </c>
      <c r="N818" s="74">
        <f t="shared" si="11"/>
        <v>680000</v>
      </c>
      <c r="O818" s="74">
        <f t="shared" si="3"/>
        <v>780000</v>
      </c>
      <c r="P818" s="63">
        <f t="shared" si="4"/>
        <v>880000</v>
      </c>
      <c r="Q818" s="63">
        <f t="shared" si="5"/>
        <v>200000</v>
      </c>
      <c r="R818" s="93" t="str">
        <f>VLOOKUP(F818,DATABASE!C:Q,4,false)</f>
        <v>Velg</v>
      </c>
      <c r="S818" s="93" t="str">
        <f>VLOOKUP(F818,DATABASE!C:P,11,false)</f>
        <v>Tire</v>
      </c>
      <c r="T818" s="93" t="str">
        <f>vlookup(F818,DATABASE!C:Q,8,false)</f>
        <v>BIAN</v>
      </c>
      <c r="Z818" s="9"/>
    </row>
    <row r="819" ht="22.5" customHeight="1">
      <c r="A819" s="49"/>
      <c r="C819" s="400">
        <v>46198.0</v>
      </c>
      <c r="D819" s="69">
        <v>142.0</v>
      </c>
      <c r="E819" s="69" t="s">
        <v>1100</v>
      </c>
      <c r="F819" s="140" t="s">
        <v>1871</v>
      </c>
      <c r="G819" s="524">
        <v>3.0</v>
      </c>
      <c r="H819" s="140">
        <v>3390000.0</v>
      </c>
      <c r="I819" s="140">
        <v>3390000.0</v>
      </c>
      <c r="J819" s="192">
        <v>46228.0</v>
      </c>
      <c r="K819" s="74">
        <f>if(F819="SERVICE",O819-(O819*50%),Vlookup(F819,DATABASE!C:Q,10,false)*G819)</f>
        <v>0</v>
      </c>
      <c r="L819" s="74">
        <f>VLOOKUP(F819,DATABASE!C:Q,7,FALSE)</f>
        <v>3190000</v>
      </c>
      <c r="M819" s="74">
        <v>3190000.0</v>
      </c>
      <c r="N819" s="74">
        <f t="shared" si="11"/>
        <v>3190000</v>
      </c>
      <c r="O819" s="74">
        <f t="shared" si="3"/>
        <v>10170000</v>
      </c>
      <c r="P819" s="63">
        <f t="shared" si="4"/>
        <v>10170000</v>
      </c>
      <c r="Q819" s="63">
        <f t="shared" si="5"/>
        <v>600000</v>
      </c>
      <c r="R819" s="93" t="str">
        <f>VLOOKUP(F819,DATABASE!C:Q,4,false)</f>
        <v>GT</v>
      </c>
      <c r="S819" s="93" t="str">
        <f>VLOOKUP(F819,DATABASE!C:P,11,false)</f>
        <v>Tire</v>
      </c>
      <c r="T819" s="93" t="str">
        <f>vlookup(F819,DATABASE!C:Q,8,false)</f>
        <v>BIAN</v>
      </c>
      <c r="V819" s="11">
        <f>SUM(P819:P821)</f>
        <v>11450000</v>
      </c>
      <c r="Z819" s="9"/>
    </row>
    <row r="820" ht="22.5" customHeight="1">
      <c r="A820" s="49"/>
      <c r="C820" s="400">
        <v>46198.0</v>
      </c>
      <c r="D820" s="69">
        <v>142.0</v>
      </c>
      <c r="E820" s="69" t="s">
        <v>1100</v>
      </c>
      <c r="F820" s="140" t="s">
        <v>492</v>
      </c>
      <c r="G820" s="524">
        <v>2.0</v>
      </c>
      <c r="H820" s="140">
        <v>460000.0</v>
      </c>
      <c r="I820" s="140">
        <v>480000.0</v>
      </c>
      <c r="J820" s="192">
        <v>46228.0</v>
      </c>
      <c r="K820" s="74">
        <f>if(F820="SERVICE",O820-(O820*50%),Vlookup(F820,DATABASE!C:Q,10,false)*G820)</f>
        <v>0</v>
      </c>
      <c r="L820" s="74">
        <f>VLOOKUP(F820,DATABASE!C:Q,7,FALSE)</f>
        <v>405000</v>
      </c>
      <c r="M820" s="74">
        <v>405000.0</v>
      </c>
      <c r="N820" s="74">
        <f t="shared" si="11"/>
        <v>405000</v>
      </c>
      <c r="O820" s="74">
        <f t="shared" si="3"/>
        <v>920000</v>
      </c>
      <c r="P820" s="63">
        <f t="shared" si="4"/>
        <v>960000</v>
      </c>
      <c r="Q820" s="63">
        <f t="shared" si="5"/>
        <v>150000</v>
      </c>
      <c r="R820" s="93" t="str">
        <f>VLOOKUP(F820,DATABASE!C:Q,4,false)</f>
        <v>BD</v>
      </c>
      <c r="S820" s="93" t="str">
        <f>VLOOKUP(F820,DATABASE!C:P,11,false)</f>
        <v>Tire</v>
      </c>
      <c r="T820" s="93" t="str">
        <f>vlookup(F820,DATABASE!C:Q,8,false)</f>
        <v>BIAN</v>
      </c>
      <c r="Z820" s="9"/>
    </row>
    <row r="821" ht="22.5" customHeight="1">
      <c r="A821" s="49"/>
      <c r="C821" s="400">
        <v>46198.0</v>
      </c>
      <c r="D821" s="69">
        <v>142.0</v>
      </c>
      <c r="E821" s="69" t="s">
        <v>1100</v>
      </c>
      <c r="F821" s="549" t="s">
        <v>1673</v>
      </c>
      <c r="G821" s="524">
        <v>2.0</v>
      </c>
      <c r="H821" s="140">
        <v>150000.0</v>
      </c>
      <c r="I821" s="140">
        <v>160000.0</v>
      </c>
      <c r="J821" s="192">
        <v>46228.0</v>
      </c>
      <c r="K821" s="74">
        <f>if(F821="SERVICE",O821-(O821*50%),Vlookup(F821,DATABASE!C:Q,10,false)*G821)</f>
        <v>0</v>
      </c>
      <c r="L821" s="74">
        <f>VLOOKUP(F821,DATABASE!C:Q,7,FALSE)</f>
        <v>100500</v>
      </c>
      <c r="M821" s="74">
        <v>100500.0</v>
      </c>
      <c r="N821" s="74">
        <f t="shared" si="11"/>
        <v>105000</v>
      </c>
      <c r="O821" s="74">
        <f t="shared" si="3"/>
        <v>300000</v>
      </c>
      <c r="P821" s="63">
        <f t="shared" si="4"/>
        <v>320000</v>
      </c>
      <c r="Q821" s="63">
        <f t="shared" si="5"/>
        <v>110000</v>
      </c>
      <c r="R821" s="93" t="str">
        <f>VLOOKUP(F821,DATABASE!C:Q,4,false)</f>
        <v>Flap</v>
      </c>
      <c r="S821" s="93" t="str">
        <f>VLOOKUP(F821,DATABASE!C:P,11,false)</f>
        <v>Tire</v>
      </c>
      <c r="T821" s="93" t="str">
        <f>vlookup(F821,DATABASE!C:Q,8,false)</f>
        <v>BIAN</v>
      </c>
      <c r="Z821" s="9"/>
    </row>
    <row r="822" ht="22.5" customHeight="1">
      <c r="A822" s="49"/>
      <c r="C822" s="400">
        <v>46200.0</v>
      </c>
      <c r="D822" s="69">
        <v>164.0</v>
      </c>
      <c r="E822" s="69" t="s">
        <v>74</v>
      </c>
      <c r="F822" s="140" t="s">
        <v>572</v>
      </c>
      <c r="G822" s="524">
        <v>2.0</v>
      </c>
      <c r="H822" s="140">
        <v>1350000.0</v>
      </c>
      <c r="I822" s="140">
        <v>1400000.0</v>
      </c>
      <c r="J822" s="192">
        <v>46230.0</v>
      </c>
      <c r="K822" s="74">
        <f>if(F822="SERVICE",O822-(O822*50%),Vlookup(F822,DATABASE!C:Q,10,false)*G822)</f>
        <v>0</v>
      </c>
      <c r="L822" s="74">
        <f>VLOOKUP(F822,DATABASE!C:Q,7,FALSE)</f>
        <v>1265000</v>
      </c>
      <c r="M822" s="74">
        <v>1245000.0</v>
      </c>
      <c r="N822" s="74">
        <f t="shared" si="11"/>
        <v>1245000</v>
      </c>
      <c r="O822" s="74">
        <f t="shared" si="3"/>
        <v>2700000</v>
      </c>
      <c r="P822" s="63">
        <f t="shared" si="4"/>
        <v>2800000</v>
      </c>
      <c r="Q822" s="63">
        <f t="shared" si="5"/>
        <v>310000</v>
      </c>
      <c r="R822" s="93" t="str">
        <f>VLOOKUP(F822,DATABASE!C:Q,4,false)</f>
        <v>Bridgestone</v>
      </c>
      <c r="S822" s="93" t="str">
        <f>VLOOKUP(F822,DATABASE!C:P,11,false)</f>
        <v>Tire</v>
      </c>
      <c r="T822" s="93" t="str">
        <f>vlookup(F822,DATABASE!C:Q,8,false)</f>
        <v>IBU</v>
      </c>
      <c r="Z822" s="9"/>
    </row>
    <row r="823" ht="22.5" customHeight="1">
      <c r="A823" s="49"/>
      <c r="C823" s="400">
        <v>46200.0</v>
      </c>
      <c r="D823" s="69">
        <v>164.0</v>
      </c>
      <c r="E823" s="69" t="s">
        <v>74</v>
      </c>
      <c r="F823" s="140" t="s">
        <v>255</v>
      </c>
      <c r="G823" s="69">
        <v>2.0</v>
      </c>
      <c r="H823" s="140">
        <v>200000.0</v>
      </c>
      <c r="I823" s="140">
        <v>200000.0</v>
      </c>
      <c r="J823" s="192">
        <v>46230.0</v>
      </c>
      <c r="K823" s="74">
        <f>if(F823="SERVICE",O823-(O823*50%),Vlookup(F823,DATABASE!C:Q,10,false)*G823)</f>
        <v>0</v>
      </c>
      <c r="L823" s="74">
        <f>VLOOKUP(F823,DATABASE!C:Q,7,FALSE)</f>
        <v>161840</v>
      </c>
      <c r="M823" s="74">
        <v>161840.0</v>
      </c>
      <c r="N823" s="74">
        <f t="shared" si="11"/>
        <v>165000</v>
      </c>
      <c r="O823" s="74">
        <f t="shared" si="3"/>
        <v>400000</v>
      </c>
      <c r="P823" s="63">
        <f t="shared" si="4"/>
        <v>400000</v>
      </c>
      <c r="Q823" s="63">
        <f t="shared" si="5"/>
        <v>70000</v>
      </c>
      <c r="R823" s="93" t="str">
        <f>VLOOKUP(F823,DATABASE!C:Q,4,false)</f>
        <v>BD</v>
      </c>
      <c r="S823" s="93" t="str">
        <f>VLOOKUP(F823,DATABASE!C:P,11,false)</f>
        <v>Tire</v>
      </c>
      <c r="T823" s="93" t="str">
        <f>vlookup(F823,DATABASE!C:Q,8,false)</f>
        <v>BIAN</v>
      </c>
      <c r="Z823" s="9"/>
    </row>
    <row r="824" ht="22.5" customHeight="1">
      <c r="A824" s="49"/>
      <c r="C824" s="400">
        <v>46200.0</v>
      </c>
      <c r="D824" s="69">
        <v>164.0</v>
      </c>
      <c r="E824" s="69" t="s">
        <v>74</v>
      </c>
      <c r="F824" s="140" t="s">
        <v>814</v>
      </c>
      <c r="G824" s="69">
        <v>1.0</v>
      </c>
      <c r="H824" s="140">
        <v>70000.0</v>
      </c>
      <c r="I824" s="140">
        <v>80000.0</v>
      </c>
      <c r="J824" s="192">
        <v>46230.0</v>
      </c>
      <c r="K824" s="74">
        <f>if(F824="SERVICE",O824-(O824*50%),Vlookup(F824,DATABASE!C:Q,10,false)*G824)</f>
        <v>0</v>
      </c>
      <c r="L824" s="74">
        <f>VLOOKUP(F824,DATABASE!C:Q,7,FALSE)</f>
        <v>39440</v>
      </c>
      <c r="M824" s="74">
        <v>39440.0</v>
      </c>
      <c r="N824" s="74">
        <f t="shared" si="11"/>
        <v>40000</v>
      </c>
      <c r="O824" s="74">
        <f t="shared" si="3"/>
        <v>70000</v>
      </c>
      <c r="P824" s="63">
        <f t="shared" si="4"/>
        <v>80000</v>
      </c>
      <c r="Q824" s="63">
        <f t="shared" si="5"/>
        <v>40000</v>
      </c>
      <c r="R824" s="93" t="str">
        <f>VLOOKUP(F824,DATABASE!C:Q,4,false)</f>
        <v>Flap</v>
      </c>
      <c r="S824" s="93" t="str">
        <f>VLOOKUP(F824,DATABASE!C:P,11,false)</f>
        <v>Tire</v>
      </c>
      <c r="T824" s="93" t="str">
        <f>vlookup(F824,DATABASE!C:Q,8,false)</f>
        <v>BIAN</v>
      </c>
      <c r="Z824" s="9"/>
    </row>
    <row r="825" ht="22.5" customHeight="1">
      <c r="A825" s="49"/>
      <c r="C825" s="400">
        <v>46200.0</v>
      </c>
      <c r="D825" s="69">
        <v>177.0</v>
      </c>
      <c r="E825" s="69" t="s">
        <v>74</v>
      </c>
      <c r="F825" s="140" t="s">
        <v>1695</v>
      </c>
      <c r="G825" s="69">
        <v>1.0</v>
      </c>
      <c r="H825" s="140">
        <v>55000.0</v>
      </c>
      <c r="I825" s="140">
        <v>55000.0</v>
      </c>
      <c r="J825" s="192">
        <v>46231.0</v>
      </c>
      <c r="K825" s="74">
        <f>if(F825="SERVICE",O825-(O825*50%),Vlookup(F825,DATABASE!C:Q,10,false)*G825)</f>
        <v>0</v>
      </c>
      <c r="L825" s="74">
        <f>VLOOKUP(F825,DATABASE!C:Q,7,FALSE)</f>
        <v>34000</v>
      </c>
      <c r="M825" s="74">
        <v>34000.0</v>
      </c>
      <c r="N825" s="74">
        <f t="shared" si="11"/>
        <v>35000</v>
      </c>
      <c r="O825" s="74">
        <f t="shared" si="3"/>
        <v>55000</v>
      </c>
      <c r="P825" s="63">
        <f t="shared" si="4"/>
        <v>55000</v>
      </c>
      <c r="Q825" s="63">
        <f t="shared" si="5"/>
        <v>20000</v>
      </c>
      <c r="R825" s="93" t="str">
        <f>VLOOKUP(F825,DATABASE!C:Q,4,false)</f>
        <v>Flap</v>
      </c>
      <c r="S825" s="93" t="str">
        <f>VLOOKUP(F825,DATABASE!C:P,11,false)</f>
        <v>Tire</v>
      </c>
      <c r="T825" s="93" t="str">
        <f>vlookup(F825,DATABASE!C:Q,8,false)</f>
        <v>BIAN</v>
      </c>
      <c r="Z825" s="9"/>
    </row>
    <row r="826" ht="22.5" customHeight="1">
      <c r="A826" s="49"/>
      <c r="C826" s="400">
        <v>46202.0</v>
      </c>
      <c r="D826" s="69">
        <v>181.0</v>
      </c>
      <c r="E826" s="69" t="s">
        <v>132</v>
      </c>
      <c r="F826" s="140" t="s">
        <v>572</v>
      </c>
      <c r="G826" s="524">
        <v>1.0</v>
      </c>
      <c r="H826" s="140">
        <v>1650000.0</v>
      </c>
      <c r="I826" s="140">
        <v>1750000.0</v>
      </c>
      <c r="J826" s="192">
        <v>46232.0</v>
      </c>
      <c r="K826" s="74">
        <f>if(F826="SERVICE",O826-(O826*50%),Vlookup(F826,DATABASE!C:Q,10,false)*G826)</f>
        <v>0</v>
      </c>
      <c r="L826" s="74">
        <f>VLOOKUP(F826,DATABASE!C:Q,7,FALSE)</f>
        <v>1265000</v>
      </c>
      <c r="M826" s="74">
        <v>1245000.0</v>
      </c>
      <c r="N826" s="74">
        <f t="shared" si="11"/>
        <v>1245000</v>
      </c>
      <c r="O826" s="74">
        <f t="shared" si="3"/>
        <v>1650000</v>
      </c>
      <c r="P826" s="63">
        <f t="shared" si="4"/>
        <v>1750000</v>
      </c>
      <c r="Q826" s="63">
        <f t="shared" si="5"/>
        <v>505000</v>
      </c>
      <c r="R826" s="93" t="str">
        <f>VLOOKUP(F826,DATABASE!C:Q,4,false)</f>
        <v>Bridgestone</v>
      </c>
      <c r="S826" s="93" t="str">
        <f>VLOOKUP(F826,DATABASE!C:P,11,false)</f>
        <v>Tire</v>
      </c>
      <c r="T826" s="93" t="str">
        <f>vlookup(F826,DATABASE!C:Q,8,false)</f>
        <v>IBU</v>
      </c>
      <c r="Z826" s="9"/>
    </row>
    <row r="827" ht="22.5" customHeight="1">
      <c r="A827" s="49"/>
      <c r="C827" s="400">
        <v>46202.0</v>
      </c>
      <c r="D827" s="69">
        <v>181.0</v>
      </c>
      <c r="E827" s="69" t="s">
        <v>132</v>
      </c>
      <c r="F827" s="140" t="s">
        <v>821</v>
      </c>
      <c r="G827" s="524">
        <v>1.0</v>
      </c>
      <c r="H827" s="140">
        <v>90000.0</v>
      </c>
      <c r="I827" s="140">
        <v>100000.0</v>
      </c>
      <c r="J827" s="192">
        <v>46232.0</v>
      </c>
      <c r="K827" s="74">
        <f>if(F827="SERVICE",O827-(O827*50%),Vlookup(F827,DATABASE!C:Q,10,false)*G827)</f>
        <v>0</v>
      </c>
      <c r="L827" s="74">
        <f>VLOOKUP(F827,DATABASE!C:Q,7,FALSE)</f>
        <v>43500</v>
      </c>
      <c r="M827" s="74">
        <v>43500.0</v>
      </c>
      <c r="N827" s="74">
        <f t="shared" si="11"/>
        <v>45000</v>
      </c>
      <c r="O827" s="74">
        <f t="shared" si="3"/>
        <v>90000</v>
      </c>
      <c r="P827" s="63">
        <f t="shared" si="4"/>
        <v>100000</v>
      </c>
      <c r="Q827" s="63">
        <f t="shared" si="5"/>
        <v>55000</v>
      </c>
      <c r="R827" s="93" t="str">
        <f>VLOOKUP(F827,DATABASE!C:Q,4,false)</f>
        <v>Flap</v>
      </c>
      <c r="S827" s="93" t="str">
        <f>VLOOKUP(F827,DATABASE!C:P,11,false)</f>
        <v>Tire</v>
      </c>
      <c r="T827" s="93" t="str">
        <f>vlookup(F827,DATABASE!C:Q,8,false)</f>
        <v>BIAN</v>
      </c>
      <c r="Z827" s="9"/>
    </row>
    <row r="828" ht="22.5" customHeight="1">
      <c r="A828" s="49"/>
      <c r="C828" s="400">
        <v>46204.0</v>
      </c>
      <c r="D828" s="69">
        <v>209.0</v>
      </c>
      <c r="E828" s="69" t="s">
        <v>144</v>
      </c>
      <c r="F828" s="140" t="s">
        <v>2605</v>
      </c>
      <c r="G828" s="524">
        <v>1.0</v>
      </c>
      <c r="H828" s="140">
        <v>750000.0</v>
      </c>
      <c r="I828" s="140">
        <v>850000.0</v>
      </c>
      <c r="J828" s="192">
        <v>46234.0</v>
      </c>
      <c r="K828" s="74">
        <f>if(F828="SERVICE",O828-(O828*50%),Vlookup(F828,DATABASE!C:Q,10,false)*G828)</f>
        <v>0</v>
      </c>
      <c r="L828" s="74">
        <f>VLOOKUP(F828,DATABASE!C:Q,7,FALSE)</f>
        <v>650000</v>
      </c>
      <c r="M828" s="74">
        <v>650000.0</v>
      </c>
      <c r="N828" s="74">
        <f t="shared" si="11"/>
        <v>650000</v>
      </c>
      <c r="O828" s="74">
        <f t="shared" si="3"/>
        <v>750000</v>
      </c>
      <c r="P828" s="63">
        <f t="shared" si="4"/>
        <v>850000</v>
      </c>
      <c r="Q828" s="63">
        <f t="shared" si="5"/>
        <v>200000</v>
      </c>
      <c r="R828" s="93" t="str">
        <f>VLOOKUP(F828,DATABASE!C:Q,4,false)</f>
        <v>Velg</v>
      </c>
      <c r="S828" s="93" t="str">
        <f>VLOOKUP(F828,DATABASE!C:P,11,false)</f>
        <v>Tire</v>
      </c>
      <c r="T828" s="93" t="str">
        <f>vlookup(F828,DATABASE!C:Q,8,false)</f>
        <v>BIAN</v>
      </c>
      <c r="Z828" s="9"/>
    </row>
    <row r="829" ht="22.5" customHeight="1">
      <c r="A829" s="49"/>
      <c r="C829" s="400">
        <v>46204.0</v>
      </c>
      <c r="D829" s="69">
        <v>207.0</v>
      </c>
      <c r="E829" s="69" t="s">
        <v>234</v>
      </c>
      <c r="F829" s="140" t="s">
        <v>572</v>
      </c>
      <c r="G829" s="524">
        <v>1.0</v>
      </c>
      <c r="H829" s="140">
        <v>1350000.0</v>
      </c>
      <c r="I829" s="140">
        <v>1450000.0</v>
      </c>
      <c r="J829" s="192">
        <v>46234.0</v>
      </c>
      <c r="K829" s="74">
        <f>if(F829="SERVICE",O829-(O829*50%),Vlookup(F829,DATABASE!C:Q,10,false)*G829)</f>
        <v>0</v>
      </c>
      <c r="L829" s="74">
        <f>VLOOKUP(F829,DATABASE!C:Q,7,FALSE)</f>
        <v>1265000</v>
      </c>
      <c r="M829" s="74">
        <v>1245000.0</v>
      </c>
      <c r="N829" s="74">
        <f t="shared" si="11"/>
        <v>1245000</v>
      </c>
      <c r="O829" s="74">
        <f t="shared" si="3"/>
        <v>1350000</v>
      </c>
      <c r="P829" s="63">
        <f t="shared" si="4"/>
        <v>1450000</v>
      </c>
      <c r="Q829" s="63">
        <f t="shared" si="5"/>
        <v>205000</v>
      </c>
      <c r="R829" s="93" t="str">
        <f>VLOOKUP(F829,DATABASE!C:Q,4,false)</f>
        <v>Bridgestone</v>
      </c>
      <c r="S829" s="93" t="str">
        <f>VLOOKUP(F829,DATABASE!C:P,11,false)</f>
        <v>Tire</v>
      </c>
      <c r="T829" s="93" t="str">
        <f>vlookup(F829,DATABASE!C:Q,8,false)</f>
        <v>IBU</v>
      </c>
      <c r="Z829" s="9"/>
    </row>
    <row r="830" ht="22.5" customHeight="1">
      <c r="A830" s="49"/>
      <c r="C830" s="400">
        <v>46204.0</v>
      </c>
      <c r="D830" s="69">
        <v>207.0</v>
      </c>
      <c r="E830" s="69" t="s">
        <v>234</v>
      </c>
      <c r="F830" s="140" t="s">
        <v>255</v>
      </c>
      <c r="G830" s="524">
        <v>1.0</v>
      </c>
      <c r="H830" s="140">
        <v>200000.0</v>
      </c>
      <c r="I830" s="140">
        <v>220000.0</v>
      </c>
      <c r="J830" s="192">
        <v>46234.0</v>
      </c>
      <c r="K830" s="74">
        <f>if(F830="SERVICE",O830-(O830*50%),Vlookup(F830,DATABASE!C:Q,10,false)*G830)</f>
        <v>0</v>
      </c>
      <c r="L830" s="74">
        <f>VLOOKUP(F830,DATABASE!C:Q,7,FALSE)</f>
        <v>161840</v>
      </c>
      <c r="M830" s="74">
        <v>161840.0</v>
      </c>
      <c r="N830" s="74">
        <f t="shared" si="11"/>
        <v>165000</v>
      </c>
      <c r="O830" s="74">
        <f t="shared" si="3"/>
        <v>200000</v>
      </c>
      <c r="P830" s="63">
        <f t="shared" si="4"/>
        <v>220000</v>
      </c>
      <c r="Q830" s="63">
        <f t="shared" si="5"/>
        <v>55000</v>
      </c>
      <c r="R830" s="93" t="str">
        <f>VLOOKUP(F830,DATABASE!C:Q,4,false)</f>
        <v>BD</v>
      </c>
      <c r="S830" s="93" t="str">
        <f>VLOOKUP(F830,DATABASE!C:P,11,false)</f>
        <v>Tire</v>
      </c>
      <c r="T830" s="93" t="str">
        <f>vlookup(F830,DATABASE!C:Q,8,false)</f>
        <v>BIAN</v>
      </c>
      <c r="Z830" s="9"/>
    </row>
    <row r="831" ht="22.5" customHeight="1">
      <c r="A831" s="49"/>
      <c r="C831" s="400">
        <v>46204.0</v>
      </c>
      <c r="D831" s="69">
        <v>207.0</v>
      </c>
      <c r="E831" s="69" t="s">
        <v>234</v>
      </c>
      <c r="F831" s="140" t="s">
        <v>284</v>
      </c>
      <c r="G831" s="524">
        <v>1.0</v>
      </c>
      <c r="H831" s="140">
        <v>60000.0</v>
      </c>
      <c r="I831" s="140">
        <v>70000.0</v>
      </c>
      <c r="J831" s="192">
        <v>46234.0</v>
      </c>
      <c r="K831" s="74">
        <f>if(F831="SERVICE",O831-(O831*50%),Vlookup(F831,DATABASE!C:Q,10,false)*G831)</f>
        <v>0</v>
      </c>
      <c r="L831" s="74">
        <f>VLOOKUP(F831,DATABASE!C:Q,7,FALSE)</f>
        <v>36630</v>
      </c>
      <c r="M831" s="74">
        <v>36630.0</v>
      </c>
      <c r="N831" s="74">
        <f t="shared" si="11"/>
        <v>40000</v>
      </c>
      <c r="O831" s="74">
        <f t="shared" si="3"/>
        <v>60000</v>
      </c>
      <c r="P831" s="63">
        <f t="shared" si="4"/>
        <v>70000</v>
      </c>
      <c r="Q831" s="63">
        <f t="shared" si="5"/>
        <v>30000</v>
      </c>
      <c r="R831" s="93" t="str">
        <f>VLOOKUP(F831,DATABASE!C:Q,4,false)</f>
        <v>Flap</v>
      </c>
      <c r="S831" s="93" t="str">
        <f>VLOOKUP(F831,DATABASE!C:P,11,false)</f>
        <v>Tire</v>
      </c>
      <c r="T831" s="93" t="str">
        <f>vlookup(F831,DATABASE!C:Q,8,false)</f>
        <v>BIAN</v>
      </c>
      <c r="Z831" s="9"/>
    </row>
    <row r="832" ht="22.5" customHeight="1">
      <c r="A832" s="49"/>
      <c r="C832" s="400">
        <v>46206.0</v>
      </c>
      <c r="D832" s="69">
        <v>226.0</v>
      </c>
      <c r="E832" s="69" t="s">
        <v>346</v>
      </c>
      <c r="F832" s="140" t="s">
        <v>2345</v>
      </c>
      <c r="G832" s="524">
        <v>1.0</v>
      </c>
      <c r="H832" s="140">
        <v>780000.0</v>
      </c>
      <c r="I832" s="140">
        <v>880000.0</v>
      </c>
      <c r="J832" s="192">
        <v>46236.0</v>
      </c>
      <c r="K832" s="74">
        <f>if(F832="SERVICE",O832-(O832*50%),Vlookup(F832,DATABASE!C:Q,10,false)*G832)</f>
        <v>0</v>
      </c>
      <c r="L832" s="74">
        <f>VLOOKUP(F832,DATABASE!C:Q,7,FALSE)</f>
        <v>680000</v>
      </c>
      <c r="M832" s="74">
        <v>680000.0</v>
      </c>
      <c r="N832" s="74">
        <f t="shared" si="11"/>
        <v>680000</v>
      </c>
      <c r="O832" s="74">
        <f t="shared" si="3"/>
        <v>780000</v>
      </c>
      <c r="P832" s="63">
        <f t="shared" si="4"/>
        <v>880000</v>
      </c>
      <c r="Q832" s="63">
        <f t="shared" si="5"/>
        <v>200000</v>
      </c>
      <c r="R832" s="93" t="str">
        <f>VLOOKUP(F832,DATABASE!C:Q,4,false)</f>
        <v>Velg</v>
      </c>
      <c r="S832" s="93" t="str">
        <f>VLOOKUP(F832,DATABASE!C:P,11,false)</f>
        <v>Tire</v>
      </c>
      <c r="T832" s="93" t="str">
        <f>vlookup(F832,DATABASE!C:Q,8,false)</f>
        <v>BIAN</v>
      </c>
      <c r="Z832" s="9"/>
    </row>
    <row r="833" ht="22.5" customHeight="1">
      <c r="A833" s="49"/>
      <c r="C833" s="400">
        <v>46206.0</v>
      </c>
      <c r="D833" s="69">
        <v>226.0</v>
      </c>
      <c r="E833" s="69" t="s">
        <v>346</v>
      </c>
      <c r="F833" s="140" t="s">
        <v>744</v>
      </c>
      <c r="G833" s="524">
        <v>1.0</v>
      </c>
      <c r="H833" s="140">
        <v>230000.0</v>
      </c>
      <c r="I833" s="140">
        <v>220000.0</v>
      </c>
      <c r="J833" s="192">
        <v>46236.0</v>
      </c>
      <c r="K833" s="74">
        <f>if(F833="SERVICE",O833-(O833*50%),Vlookup(F833,DATABASE!C:Q,10,false)*G833)</f>
        <v>0</v>
      </c>
      <c r="L833" s="74">
        <f>VLOOKUP(F833,DATABASE!C:Q,7,FALSE)</f>
        <v>182200</v>
      </c>
      <c r="M833" s="74">
        <v>182200.0</v>
      </c>
      <c r="N833" s="74">
        <f t="shared" si="11"/>
        <v>185000</v>
      </c>
      <c r="O833" s="74">
        <f t="shared" si="3"/>
        <v>230000</v>
      </c>
      <c r="P833" s="63">
        <f t="shared" si="4"/>
        <v>220000</v>
      </c>
      <c r="Q833" s="63">
        <f t="shared" si="5"/>
        <v>35000</v>
      </c>
      <c r="R833" s="93" t="str">
        <f>VLOOKUP(F833,DATABASE!C:Q,4,false)</f>
        <v>BD</v>
      </c>
      <c r="S833" s="93" t="str">
        <f>VLOOKUP(F833,DATABASE!C:P,11,false)</f>
        <v>Tire</v>
      </c>
      <c r="T833" s="93" t="str">
        <f>vlookup(F833,DATABASE!C:Q,8,false)</f>
        <v>BIAN</v>
      </c>
      <c r="Z833" s="9"/>
    </row>
    <row r="834" ht="22.5" customHeight="1">
      <c r="A834" s="49"/>
      <c r="C834" s="400">
        <v>46206.0</v>
      </c>
      <c r="D834" s="69">
        <v>218.0</v>
      </c>
      <c r="E834" s="69" t="s">
        <v>74</v>
      </c>
      <c r="F834" s="140" t="s">
        <v>572</v>
      </c>
      <c r="G834" s="524">
        <v>2.0</v>
      </c>
      <c r="H834" s="140">
        <v>1350000.0</v>
      </c>
      <c r="I834" s="140">
        <v>1400000.0</v>
      </c>
      <c r="J834" s="192">
        <v>46236.0</v>
      </c>
      <c r="K834" s="74">
        <f>if(F834="SERVICE",O834-(O834*50%),Vlookup(F834,DATABASE!C:Q,10,false)*G834)</f>
        <v>0</v>
      </c>
      <c r="L834" s="74">
        <f>VLOOKUP(F834,DATABASE!C:Q,7,FALSE)</f>
        <v>1265000</v>
      </c>
      <c r="M834" s="74">
        <v>1245000.0</v>
      </c>
      <c r="N834" s="74">
        <f t="shared" si="11"/>
        <v>1245000</v>
      </c>
      <c r="O834" s="74">
        <f t="shared" si="3"/>
        <v>2700000</v>
      </c>
      <c r="P834" s="63">
        <f t="shared" si="4"/>
        <v>2800000</v>
      </c>
      <c r="Q834" s="195" t="s">
        <v>2</v>
      </c>
      <c r="R834" s="93" t="str">
        <f>VLOOKUP(F834,DATABASE!C:Q,4,false)</f>
        <v>Bridgestone</v>
      </c>
      <c r="S834" s="93" t="str">
        <f>VLOOKUP(F834,DATABASE!C:P,11,false)</f>
        <v>Tire</v>
      </c>
      <c r="T834" s="93" t="str">
        <f>vlookup(F834,DATABASE!C:Q,8,false)</f>
        <v>IBU</v>
      </c>
      <c r="Z834" s="9"/>
    </row>
    <row r="835" ht="22.5" customHeight="1">
      <c r="A835" s="49"/>
      <c r="C835" s="400">
        <v>46206.0</v>
      </c>
      <c r="D835" s="69">
        <v>218.0</v>
      </c>
      <c r="E835" s="69" t="s">
        <v>74</v>
      </c>
      <c r="F835" s="140" t="s">
        <v>255</v>
      </c>
      <c r="G835" s="524">
        <v>2.0</v>
      </c>
      <c r="H835" s="140">
        <v>200000.0</v>
      </c>
      <c r="I835" s="140">
        <v>210000.0</v>
      </c>
      <c r="J835" s="192">
        <v>46236.0</v>
      </c>
      <c r="K835" s="74">
        <f>if(F835="SERVICE",O835-(O835*50%),Vlookup(F835,DATABASE!C:Q,10,false)*G835)</f>
        <v>0</v>
      </c>
      <c r="L835" s="74">
        <f>VLOOKUP(F835,DATABASE!C:Q,7,FALSE)</f>
        <v>161840</v>
      </c>
      <c r="M835" s="74">
        <v>161840.0</v>
      </c>
      <c r="N835" s="74">
        <f t="shared" si="11"/>
        <v>165000</v>
      </c>
      <c r="O835" s="74">
        <f t="shared" si="3"/>
        <v>400000</v>
      </c>
      <c r="P835" s="63">
        <f t="shared" si="4"/>
        <v>420000</v>
      </c>
      <c r="Q835" s="63">
        <f t="shared" ref="Q835:Q893" si="12">if(S835="SERVICE",P835-(K835+N835),
    IF(S835="Tire",P835-(N835*G835),
      IF(S835="COMPLEMENTARY",P835-((N835*G835)+K835),0)))</f>
        <v>90000</v>
      </c>
      <c r="R835" s="93" t="str">
        <f>VLOOKUP(F835,DATABASE!C:Q,4,false)</f>
        <v>BD</v>
      </c>
      <c r="S835" s="93" t="str">
        <f>VLOOKUP(F835,DATABASE!C:P,11,false)</f>
        <v>Tire</v>
      </c>
      <c r="T835" s="93" t="str">
        <f>vlookup(F835,DATABASE!C:Q,8,false)</f>
        <v>BIAN</v>
      </c>
      <c r="Z835" s="9"/>
    </row>
    <row r="836" ht="22.5" customHeight="1">
      <c r="A836" s="49"/>
      <c r="C836" s="400">
        <v>46206.0</v>
      </c>
      <c r="D836" s="69">
        <v>218.0</v>
      </c>
      <c r="E836" s="69" t="s">
        <v>74</v>
      </c>
      <c r="F836" s="140" t="s">
        <v>284</v>
      </c>
      <c r="G836" s="524">
        <v>2.0</v>
      </c>
      <c r="H836" s="140">
        <v>60000.0</v>
      </c>
      <c r="I836" s="140">
        <v>70000.0</v>
      </c>
      <c r="J836" s="192">
        <v>46236.0</v>
      </c>
      <c r="K836" s="74">
        <f>if(F836="SERVICE",O836-(O836*50%),Vlookup(F836,DATABASE!C:Q,10,false)*G836)</f>
        <v>0</v>
      </c>
      <c r="L836" s="74">
        <f>VLOOKUP(F836,DATABASE!C:Q,7,FALSE)</f>
        <v>36630</v>
      </c>
      <c r="M836" s="74">
        <v>36630.0</v>
      </c>
      <c r="N836" s="74">
        <f t="shared" si="11"/>
        <v>40000</v>
      </c>
      <c r="O836" s="74">
        <f t="shared" si="3"/>
        <v>120000</v>
      </c>
      <c r="P836" s="63">
        <f t="shared" si="4"/>
        <v>140000</v>
      </c>
      <c r="Q836" s="63">
        <f t="shared" si="12"/>
        <v>60000</v>
      </c>
      <c r="R836" s="93" t="str">
        <f>VLOOKUP(F836,DATABASE!C:Q,4,false)</f>
        <v>Flap</v>
      </c>
      <c r="S836" s="93" t="str">
        <f>VLOOKUP(F836,DATABASE!C:P,11,false)</f>
        <v>Tire</v>
      </c>
      <c r="T836" s="93" t="str">
        <f>vlookup(F836,DATABASE!C:Q,8,false)</f>
        <v>BIAN</v>
      </c>
      <c r="Z836" s="9"/>
    </row>
    <row r="837" ht="22.5" customHeight="1">
      <c r="A837" s="49"/>
      <c r="C837" s="400">
        <v>46210.0</v>
      </c>
      <c r="D837" s="69">
        <v>260.0</v>
      </c>
      <c r="E837" s="69" t="s">
        <v>867</v>
      </c>
      <c r="F837" s="140" t="s">
        <v>566</v>
      </c>
      <c r="G837" s="524">
        <v>1.0</v>
      </c>
      <c r="H837" s="140">
        <v>1650000.0</v>
      </c>
      <c r="I837" s="140">
        <v>1750000.0</v>
      </c>
      <c r="J837" s="192">
        <v>46240.0</v>
      </c>
      <c r="K837" s="74">
        <f>if(F837="SERVICE",O837-(O837*50%),Vlookup(F837,DATABASE!C:Q,10,false)*G837)</f>
        <v>0</v>
      </c>
      <c r="L837" s="74">
        <f>VLOOKUP(F837,DATABASE!C:Q,7,FALSE)</f>
        <v>1565000</v>
      </c>
      <c r="M837" s="74">
        <v>1545000.0</v>
      </c>
      <c r="N837" s="74">
        <f t="shared" si="11"/>
        <v>1545000</v>
      </c>
      <c r="O837" s="74">
        <f t="shared" si="3"/>
        <v>1650000</v>
      </c>
      <c r="P837" s="63">
        <f t="shared" si="4"/>
        <v>1750000</v>
      </c>
      <c r="Q837" s="63">
        <f t="shared" si="12"/>
        <v>205000</v>
      </c>
      <c r="R837" s="93" t="str">
        <f>VLOOKUP(F837,DATABASE!C:Q,4,false)</f>
        <v>Bridgestone</v>
      </c>
      <c r="S837" s="93" t="str">
        <f>VLOOKUP(F837,DATABASE!C:P,11,false)</f>
        <v>Tire</v>
      </c>
      <c r="T837" s="93" t="str">
        <f>vlookup(F837,DATABASE!C:Q,8,false)</f>
        <v>IBU</v>
      </c>
      <c r="Z837" s="9"/>
    </row>
    <row r="838" ht="22.5" customHeight="1">
      <c r="A838" s="49"/>
      <c r="C838" s="400">
        <v>46210.0</v>
      </c>
      <c r="D838" s="69">
        <v>260.0</v>
      </c>
      <c r="E838" s="69" t="s">
        <v>867</v>
      </c>
      <c r="F838" s="140" t="s">
        <v>744</v>
      </c>
      <c r="G838" s="524">
        <v>1.0</v>
      </c>
      <c r="H838" s="140">
        <v>230000.0</v>
      </c>
      <c r="I838" s="140">
        <v>250000.0</v>
      </c>
      <c r="J838" s="192">
        <v>46240.0</v>
      </c>
      <c r="K838" s="74">
        <f>if(F838="SERVICE",O838-(O838*50%),Vlookup(F838,DATABASE!C:Q,10,false)*G838)</f>
        <v>0</v>
      </c>
      <c r="L838" s="74">
        <f>VLOOKUP(F838,DATABASE!C:Q,7,FALSE)</f>
        <v>182200</v>
      </c>
      <c r="M838" s="74">
        <v>182200.0</v>
      </c>
      <c r="N838" s="74">
        <f t="shared" si="11"/>
        <v>185000</v>
      </c>
      <c r="O838" s="74">
        <f t="shared" si="3"/>
        <v>230000</v>
      </c>
      <c r="P838" s="63">
        <f t="shared" si="4"/>
        <v>250000</v>
      </c>
      <c r="Q838" s="63">
        <f t="shared" si="12"/>
        <v>65000</v>
      </c>
      <c r="R838" s="93" t="str">
        <f>VLOOKUP(F838,DATABASE!C:Q,4,false)</f>
        <v>BD</v>
      </c>
      <c r="S838" s="93" t="str">
        <f>VLOOKUP(F838,DATABASE!C:P,11,false)</f>
        <v>Tire</v>
      </c>
      <c r="T838" s="93" t="str">
        <f>vlookup(F838,DATABASE!C:Q,8,false)</f>
        <v>BIAN</v>
      </c>
      <c r="Z838" s="9"/>
    </row>
    <row r="839" ht="22.5" customHeight="1">
      <c r="A839" s="49"/>
      <c r="C839" s="400">
        <v>46210.0</v>
      </c>
      <c r="D839" s="69">
        <v>260.0</v>
      </c>
      <c r="E839" s="69" t="s">
        <v>867</v>
      </c>
      <c r="F839" s="140" t="s">
        <v>821</v>
      </c>
      <c r="G839" s="524">
        <v>1.0</v>
      </c>
      <c r="H839" s="140">
        <v>90000.0</v>
      </c>
      <c r="I839" s="140">
        <v>100000.0</v>
      </c>
      <c r="J839" s="192">
        <v>46240.0</v>
      </c>
      <c r="K839" s="74">
        <f>if(F839="SERVICE",O839-(O839*50%),Vlookup(F839,DATABASE!C:Q,10,false)*G839)</f>
        <v>0</v>
      </c>
      <c r="L839" s="74">
        <f>VLOOKUP(F839,DATABASE!C:Q,7,FALSE)</f>
        <v>43500</v>
      </c>
      <c r="M839" s="74">
        <v>43500.0</v>
      </c>
      <c r="N839" s="74">
        <f t="shared" si="11"/>
        <v>45000</v>
      </c>
      <c r="O839" s="74">
        <f t="shared" si="3"/>
        <v>90000</v>
      </c>
      <c r="P839" s="63">
        <f t="shared" si="4"/>
        <v>100000</v>
      </c>
      <c r="Q839" s="63">
        <f t="shared" si="12"/>
        <v>55000</v>
      </c>
      <c r="R839" s="93" t="str">
        <f>VLOOKUP(F839,DATABASE!C:Q,4,false)</f>
        <v>Flap</v>
      </c>
      <c r="S839" s="93" t="str">
        <f>VLOOKUP(F839,DATABASE!C:P,11,false)</f>
        <v>Tire</v>
      </c>
      <c r="T839" s="93" t="str">
        <f>vlookup(F839,DATABASE!C:Q,8,false)</f>
        <v>BIAN</v>
      </c>
      <c r="Z839" s="9"/>
    </row>
    <row r="840" ht="22.5" customHeight="1">
      <c r="A840" s="49"/>
      <c r="C840" s="400">
        <v>46210.0</v>
      </c>
      <c r="D840" s="69">
        <v>260.0</v>
      </c>
      <c r="E840" s="69" t="s">
        <v>267</v>
      </c>
      <c r="F840" s="140" t="s">
        <v>924</v>
      </c>
      <c r="G840" s="524">
        <v>1.0</v>
      </c>
      <c r="H840" s="140">
        <v>1660000.0</v>
      </c>
      <c r="I840" s="140">
        <v>1760000.0</v>
      </c>
      <c r="J840" s="192">
        <v>46240.0</v>
      </c>
      <c r="K840" s="74">
        <f>if(F840="SERVICE",O840-(O840*50%),Vlookup(F840,DATABASE!C:Q,10,false)*G840)</f>
        <v>0</v>
      </c>
      <c r="L840" s="74">
        <f>VLOOKUP(F840,DATABASE!C:Q,7,FALSE)</f>
        <v>1560000</v>
      </c>
      <c r="M840" s="74">
        <v>1555000.0</v>
      </c>
      <c r="N840" s="74">
        <f t="shared" si="11"/>
        <v>1555000</v>
      </c>
      <c r="O840" s="74">
        <f t="shared" si="3"/>
        <v>1660000</v>
      </c>
      <c r="P840" s="63">
        <f t="shared" si="4"/>
        <v>1760000</v>
      </c>
      <c r="Q840" s="63">
        <f t="shared" si="12"/>
        <v>205000</v>
      </c>
      <c r="R840" s="93" t="str">
        <f>VLOOKUP(F840,DATABASE!C:Q,4,false)</f>
        <v>TIRON</v>
      </c>
      <c r="S840" s="93" t="str">
        <f>VLOOKUP(F840,DATABASE!C:P,11,false)</f>
        <v>Tire</v>
      </c>
      <c r="T840" s="93" t="str">
        <f>vlookup(F840,DATABASE!C:Q,8,false)</f>
        <v>BIAN</v>
      </c>
      <c r="Z840" s="9"/>
    </row>
    <row r="841" ht="22.5" customHeight="1">
      <c r="A841" s="49"/>
      <c r="C841" s="400">
        <v>46210.0</v>
      </c>
      <c r="D841" s="69">
        <v>268.0</v>
      </c>
      <c r="E841" s="69" t="s">
        <v>346</v>
      </c>
      <c r="F841" s="140" t="s">
        <v>403</v>
      </c>
      <c r="G841" s="524">
        <v>2.0</v>
      </c>
      <c r="H841" s="140">
        <v>2200000.0</v>
      </c>
      <c r="I841" s="140">
        <v>2300000.0</v>
      </c>
      <c r="J841" s="192">
        <v>46240.0</v>
      </c>
      <c r="K841" s="74">
        <f>if(F841="SERVICE",O841-(O841*50%),Vlookup(F841,DATABASE!C:Q,10,false)*G841)</f>
        <v>0</v>
      </c>
      <c r="L841" s="74">
        <f>VLOOKUP(F841,DATABASE!C:Q,7,FALSE)</f>
        <v>2160000</v>
      </c>
      <c r="M841" s="140">
        <v>2100000.0</v>
      </c>
      <c r="N841" s="74">
        <f t="shared" si="11"/>
        <v>2100000</v>
      </c>
      <c r="O841" s="74">
        <f t="shared" si="3"/>
        <v>4400000</v>
      </c>
      <c r="P841" s="63">
        <f t="shared" si="4"/>
        <v>4600000</v>
      </c>
      <c r="Q841" s="63">
        <f t="shared" si="12"/>
        <v>400000</v>
      </c>
      <c r="R841" s="93" t="str">
        <f>VLOOKUP(F841,DATABASE!C:Q,4,false)</f>
        <v>Advance</v>
      </c>
      <c r="S841" s="93" t="str">
        <f>VLOOKUP(F841,DATABASE!C:P,11,false)</f>
        <v>Tire</v>
      </c>
      <c r="T841" s="93" t="str">
        <f>vlookup(F841,DATABASE!C:Q,8,false)</f>
        <v>BIAN</v>
      </c>
      <c r="Z841" s="9"/>
    </row>
    <row r="842" ht="22.5" customHeight="1">
      <c r="A842" s="49"/>
      <c r="C842" s="400">
        <v>46217.0</v>
      </c>
      <c r="D842" s="69">
        <v>331.0</v>
      </c>
      <c r="E842" s="69" t="s">
        <v>132</v>
      </c>
      <c r="F842" s="140" t="s">
        <v>1862</v>
      </c>
      <c r="G842" s="524">
        <v>2.0</v>
      </c>
      <c r="H842" s="140">
        <v>2180000.0</v>
      </c>
      <c r="I842" s="140">
        <v>2280000.0</v>
      </c>
      <c r="J842" s="192">
        <v>46247.0</v>
      </c>
      <c r="K842" s="74">
        <f>if(F842="SERVICE",O842-(O842*50%),Vlookup(F842,DATABASE!C:Q,10,false)*G842)</f>
        <v>0</v>
      </c>
      <c r="L842" s="74">
        <f>VLOOKUP(F842,DATABASE!C:Q,7,FALSE)</f>
        <v>2080000</v>
      </c>
      <c r="M842" s="74">
        <v>2080000.0</v>
      </c>
      <c r="N842" s="74">
        <f t="shared" si="11"/>
        <v>2080000</v>
      </c>
      <c r="O842" s="74">
        <f t="shared" si="3"/>
        <v>4360000</v>
      </c>
      <c r="P842" s="63">
        <f t="shared" si="4"/>
        <v>4560000</v>
      </c>
      <c r="Q842" s="63">
        <f t="shared" si="12"/>
        <v>400000</v>
      </c>
      <c r="R842" s="93" t="str">
        <f>VLOOKUP(F842,DATABASE!C:Q,4,false)</f>
        <v>GiTi</v>
      </c>
      <c r="S842" s="93" t="str">
        <f>VLOOKUP(F842,DATABASE!C:P,11,false)</f>
        <v>Tire</v>
      </c>
      <c r="T842" s="93" t="str">
        <f>vlookup(F842,DATABASE!C:Q,8,false)</f>
        <v>BIAN</v>
      </c>
      <c r="Z842" s="9"/>
    </row>
    <row r="843" ht="22.5" customHeight="1">
      <c r="A843" s="49"/>
      <c r="C843" s="400">
        <v>46217.0</v>
      </c>
      <c r="D843" s="69">
        <v>335.0</v>
      </c>
      <c r="E843" s="69" t="s">
        <v>270</v>
      </c>
      <c r="F843" s="140" t="s">
        <v>566</v>
      </c>
      <c r="G843" s="524">
        <v>2.0</v>
      </c>
      <c r="H843" s="140">
        <v>1650000.0</v>
      </c>
      <c r="I843" s="140">
        <v>1750000.0</v>
      </c>
      <c r="J843" s="192">
        <v>46250.0</v>
      </c>
      <c r="K843" s="74">
        <f>if(F843="SERVICE",O843-(O843*50%),Vlookup(F843,DATABASE!C:Q,10,false)*G843)</f>
        <v>0</v>
      </c>
      <c r="L843" s="74">
        <f>VLOOKUP(F843,DATABASE!C:Q,7,FALSE)</f>
        <v>1565000</v>
      </c>
      <c r="M843" s="74">
        <v>1545000.0</v>
      </c>
      <c r="N843" s="74">
        <f t="shared" si="11"/>
        <v>1545000</v>
      </c>
      <c r="O843" s="74">
        <f t="shared" si="3"/>
        <v>3300000</v>
      </c>
      <c r="P843" s="63">
        <f t="shared" si="4"/>
        <v>3500000</v>
      </c>
      <c r="Q843" s="63">
        <f t="shared" si="12"/>
        <v>410000</v>
      </c>
      <c r="R843" s="93" t="str">
        <f>VLOOKUP(F843,DATABASE!C:Q,4,false)</f>
        <v>Bridgestone</v>
      </c>
      <c r="S843" s="93" t="str">
        <f>VLOOKUP(F843,DATABASE!C:P,11,false)</f>
        <v>Tire</v>
      </c>
      <c r="T843" s="93" t="str">
        <f>vlookup(F843,DATABASE!C:Q,8,false)</f>
        <v>IBU</v>
      </c>
      <c r="Z843" s="9"/>
    </row>
    <row r="844" ht="22.5" customHeight="1">
      <c r="A844" s="49"/>
      <c r="C844" s="400">
        <v>46220.0</v>
      </c>
      <c r="D844" s="69">
        <v>358.0</v>
      </c>
      <c r="E844" s="69" t="s">
        <v>346</v>
      </c>
      <c r="F844" s="140" t="s">
        <v>566</v>
      </c>
      <c r="G844" s="524">
        <v>2.0</v>
      </c>
      <c r="H844" s="140">
        <v>1650000.0</v>
      </c>
      <c r="I844" s="140">
        <v>1750000.0</v>
      </c>
      <c r="J844" s="192">
        <v>46250.0</v>
      </c>
      <c r="K844" s="74">
        <f>if(F844="SERVICE",O844-(O844*50%),Vlookup(F844,DATABASE!C:Q,10,false)*G844)</f>
        <v>0</v>
      </c>
      <c r="L844" s="74">
        <f>VLOOKUP(F844,DATABASE!C:Q,7,FALSE)</f>
        <v>1565000</v>
      </c>
      <c r="M844" s="74">
        <v>1545000.0</v>
      </c>
      <c r="N844" s="74">
        <f t="shared" si="11"/>
        <v>1545000</v>
      </c>
      <c r="O844" s="74">
        <f t="shared" si="3"/>
        <v>3300000</v>
      </c>
      <c r="P844" s="63">
        <f t="shared" si="4"/>
        <v>3500000</v>
      </c>
      <c r="Q844" s="63">
        <f t="shared" si="12"/>
        <v>410000</v>
      </c>
      <c r="R844" s="93" t="str">
        <f>VLOOKUP(F844,DATABASE!C:Q,4,false)</f>
        <v>Bridgestone</v>
      </c>
      <c r="S844" s="93" t="str">
        <f>VLOOKUP(F844,DATABASE!C:P,11,false)</f>
        <v>Tire</v>
      </c>
      <c r="T844" s="93" t="str">
        <f>vlookup(F844,DATABASE!C:Q,8,false)</f>
        <v>IBU</v>
      </c>
      <c r="Z844" s="9"/>
    </row>
    <row r="845" ht="22.5" customHeight="1">
      <c r="A845" s="49"/>
      <c r="C845" s="400">
        <v>46225.0</v>
      </c>
      <c r="D845" s="69">
        <v>379.0</v>
      </c>
      <c r="E845" s="69" t="s">
        <v>264</v>
      </c>
      <c r="F845" s="140" t="s">
        <v>924</v>
      </c>
      <c r="G845" s="524">
        <v>1.0</v>
      </c>
      <c r="H845" s="140">
        <v>1660000.0</v>
      </c>
      <c r="I845" s="140">
        <v>1760000.0</v>
      </c>
      <c r="J845" s="192">
        <v>46255.0</v>
      </c>
      <c r="K845" s="74">
        <f>if(F845="SERVICE",O845-(O845*50%),Vlookup(F845,DATABASE!C:Q,10,false)*G845)</f>
        <v>0</v>
      </c>
      <c r="L845" s="74">
        <f>VLOOKUP(F845,DATABASE!C:Q,7,FALSE)</f>
        <v>1560000</v>
      </c>
      <c r="M845" s="74">
        <v>1560000.0</v>
      </c>
      <c r="N845" s="74">
        <f t="shared" si="11"/>
        <v>1560000</v>
      </c>
      <c r="O845" s="74">
        <f t="shared" si="3"/>
        <v>1660000</v>
      </c>
      <c r="P845" s="63">
        <f t="shared" si="4"/>
        <v>1760000</v>
      </c>
      <c r="Q845" s="63">
        <f t="shared" si="12"/>
        <v>200000</v>
      </c>
      <c r="R845" s="93" t="str">
        <f>VLOOKUP(F845,DATABASE!C:Q,4,false)</f>
        <v>TIRON</v>
      </c>
      <c r="S845" s="93" t="str">
        <f>VLOOKUP(F845,DATABASE!C:P,11,false)</f>
        <v>Tire</v>
      </c>
      <c r="T845" s="93" t="str">
        <f>vlookup(F845,DATABASE!C:Q,8,false)</f>
        <v>BIAN</v>
      </c>
      <c r="Z845" s="9"/>
    </row>
    <row r="846" ht="22.5" customHeight="1">
      <c r="A846" s="49"/>
      <c r="C846" s="400">
        <v>46225.0</v>
      </c>
      <c r="D846" s="69">
        <v>380.0</v>
      </c>
      <c r="E846" s="69" t="s">
        <v>962</v>
      </c>
      <c r="F846" s="140" t="s">
        <v>839</v>
      </c>
      <c r="G846" s="524">
        <v>1.0</v>
      </c>
      <c r="H846" s="140">
        <v>585000.0</v>
      </c>
      <c r="I846" s="140">
        <v>655000.0</v>
      </c>
      <c r="J846" s="192">
        <v>46255.0</v>
      </c>
      <c r="K846" s="74">
        <f>if(F846="SERVICE",O846-(O846*50%),Vlookup(F846,DATABASE!C:Q,10,false)*G846)</f>
        <v>0</v>
      </c>
      <c r="L846" s="74">
        <f>VLOOKUP(F846,DATABASE!C:Q,7,FALSE)</f>
        <v>512640</v>
      </c>
      <c r="M846" s="74">
        <v>490000.0</v>
      </c>
      <c r="N846" s="74">
        <f t="shared" si="11"/>
        <v>490000</v>
      </c>
      <c r="O846" s="74">
        <f t="shared" si="3"/>
        <v>585000</v>
      </c>
      <c r="P846" s="63">
        <f t="shared" si="4"/>
        <v>655000</v>
      </c>
      <c r="Q846" s="63">
        <f t="shared" si="12"/>
        <v>165000</v>
      </c>
      <c r="R846" s="93" t="str">
        <f>VLOOKUP(F846,DATABASE!C:Q,4,false)</f>
        <v>GT</v>
      </c>
      <c r="S846" s="93" t="str">
        <f>VLOOKUP(F846,DATABASE!C:P,11,false)</f>
        <v>Tire</v>
      </c>
      <c r="T846" s="93" t="str">
        <f>vlookup(F846,DATABASE!C:Q,8,false)</f>
        <v>BIAN</v>
      </c>
      <c r="Z846" s="9"/>
    </row>
    <row r="847" ht="22.5" customHeight="1">
      <c r="A847" s="49"/>
      <c r="C847" s="400">
        <v>46226.0</v>
      </c>
      <c r="D847" s="69">
        <v>393.0</v>
      </c>
      <c r="E847" s="69" t="s">
        <v>810</v>
      </c>
      <c r="F847" s="140" t="s">
        <v>391</v>
      </c>
      <c r="G847" s="524">
        <v>1.0</v>
      </c>
      <c r="H847" s="140">
        <v>1985000.0</v>
      </c>
      <c r="I847" s="140">
        <v>2085000.0</v>
      </c>
      <c r="J847" s="192">
        <v>46256.0</v>
      </c>
      <c r="K847" s="74">
        <f>if(F847="SERVICE",O847-(O847*50%),Vlookup(F847,DATABASE!C:Q,10,false)*G847)</f>
        <v>0</v>
      </c>
      <c r="L847" s="74">
        <f>VLOOKUP(F847,DATABASE!C:Q,7,FALSE)</f>
        <v>1885000</v>
      </c>
      <c r="M847" s="74">
        <v>1885000.0</v>
      </c>
      <c r="N847" s="74">
        <f t="shared" si="11"/>
        <v>1885000</v>
      </c>
      <c r="O847" s="74">
        <f t="shared" si="3"/>
        <v>1985000</v>
      </c>
      <c r="P847" s="63">
        <f t="shared" si="4"/>
        <v>2085000</v>
      </c>
      <c r="Q847" s="63">
        <f t="shared" si="12"/>
        <v>200000</v>
      </c>
      <c r="R847" s="93" t="str">
        <f>VLOOKUP(F847,DATABASE!C:Q,4,false)</f>
        <v>Advance</v>
      </c>
      <c r="S847" s="93" t="str">
        <f>VLOOKUP(F847,DATABASE!C:P,11,false)</f>
        <v>Tire</v>
      </c>
      <c r="T847" s="93" t="str">
        <f>vlookup(F847,DATABASE!C:Q,8,false)</f>
        <v>BIAN</v>
      </c>
      <c r="Z847" s="9"/>
    </row>
    <row r="848" ht="22.5" customHeight="1">
      <c r="A848" s="49"/>
      <c r="C848" s="400">
        <v>46226.0</v>
      </c>
      <c r="D848" s="69">
        <v>391.0</v>
      </c>
      <c r="E848" s="69" t="s">
        <v>476</v>
      </c>
      <c r="F848" s="140" t="s">
        <v>294</v>
      </c>
      <c r="G848" s="524">
        <v>1.0</v>
      </c>
      <c r="H848" s="140">
        <v>590000.0</v>
      </c>
      <c r="I848" s="140">
        <v>670000.0</v>
      </c>
      <c r="J848" s="192">
        <v>46256.0</v>
      </c>
      <c r="K848" s="74">
        <f>if(F848="SERVICE",O848-(O848*50%),Vlookup(F848,DATABASE!C:Q,10,false)*G848)</f>
        <v>0</v>
      </c>
      <c r="L848" s="74">
        <f>VLOOKUP(F848,DATABASE!C:Q,7,FALSE)</f>
        <v>505000</v>
      </c>
      <c r="M848" s="74">
        <v>505000.0</v>
      </c>
      <c r="N848" s="74">
        <f t="shared" si="11"/>
        <v>505000</v>
      </c>
      <c r="O848" s="74">
        <f t="shared" si="3"/>
        <v>590000</v>
      </c>
      <c r="P848" s="63">
        <f t="shared" si="4"/>
        <v>670000</v>
      </c>
      <c r="Q848" s="63">
        <f t="shared" si="12"/>
        <v>165000</v>
      </c>
      <c r="R848" s="93" t="str">
        <f>VLOOKUP(F848,DATABASE!C:Q,4,false)</f>
        <v>GT</v>
      </c>
      <c r="S848" s="93" t="str">
        <f>VLOOKUP(F848,DATABASE!C:P,11,false)</f>
        <v>Tire</v>
      </c>
      <c r="T848" s="93" t="str">
        <f>vlookup(F848,DATABASE!C:Q,8,false)</f>
        <v>BIAN</v>
      </c>
      <c r="Z848" s="9"/>
    </row>
    <row r="849" ht="22.5" customHeight="1">
      <c r="A849" s="49"/>
      <c r="C849" s="400">
        <v>46226.0</v>
      </c>
      <c r="D849" s="69">
        <v>401.0</v>
      </c>
      <c r="E849" s="69" t="s">
        <v>267</v>
      </c>
      <c r="F849" s="140" t="s">
        <v>403</v>
      </c>
      <c r="G849" s="524">
        <v>2.0</v>
      </c>
      <c r="H849" s="140">
        <v>2260000.0</v>
      </c>
      <c r="I849" s="140">
        <v>2360000.0</v>
      </c>
      <c r="J849" s="192">
        <v>46256.0</v>
      </c>
      <c r="K849" s="74">
        <f>if(F849="SERVICE",O849-(O849*50%),Vlookup(F849,DATABASE!C:Q,10,false)*G849)</f>
        <v>0</v>
      </c>
      <c r="L849" s="74">
        <f>VLOOKUP(F849,DATABASE!C:Q,7,FALSE)</f>
        <v>2160000</v>
      </c>
      <c r="M849" s="74">
        <v>2160000.0</v>
      </c>
      <c r="N849" s="74">
        <f t="shared" si="11"/>
        <v>2160000</v>
      </c>
      <c r="O849" s="74">
        <f t="shared" si="3"/>
        <v>4520000</v>
      </c>
      <c r="P849" s="63">
        <f t="shared" si="4"/>
        <v>4720000</v>
      </c>
      <c r="Q849" s="63">
        <f t="shared" si="12"/>
        <v>400000</v>
      </c>
      <c r="R849" s="93" t="str">
        <f>VLOOKUP(F849,DATABASE!C:Q,4,false)</f>
        <v>Advance</v>
      </c>
      <c r="S849" s="93" t="str">
        <f>VLOOKUP(F849,DATABASE!C:P,11,false)</f>
        <v>Tire</v>
      </c>
      <c r="T849" s="93" t="str">
        <f>vlookup(F849,DATABASE!C:Q,8,false)</f>
        <v>BIAN</v>
      </c>
      <c r="Z849" s="9"/>
    </row>
    <row r="850" ht="22.5" customHeight="1">
      <c r="A850" s="49"/>
      <c r="C850" s="400">
        <v>46227.0</v>
      </c>
      <c r="D850" s="69">
        <v>410.0</v>
      </c>
      <c r="E850" s="69" t="s">
        <v>819</v>
      </c>
      <c r="F850" s="140" t="s">
        <v>924</v>
      </c>
      <c r="G850" s="524">
        <v>1.0</v>
      </c>
      <c r="H850" s="140">
        <v>1660000.0</v>
      </c>
      <c r="I850" s="140">
        <v>1760000.0</v>
      </c>
      <c r="J850" s="192">
        <v>46257.0</v>
      </c>
      <c r="K850" s="74">
        <f>if(F850="SERVICE",O850-(O850*50%),Vlookup(F850,DATABASE!C:Q,10,false)*G850)</f>
        <v>0</v>
      </c>
      <c r="L850" s="74">
        <f>VLOOKUP(F850,DATABASE!C:Q,7,FALSE)</f>
        <v>1560000</v>
      </c>
      <c r="M850" s="74">
        <v>1560000.0</v>
      </c>
      <c r="N850" s="74">
        <f t="shared" si="11"/>
        <v>1560000</v>
      </c>
      <c r="O850" s="74">
        <f t="shared" si="3"/>
        <v>1660000</v>
      </c>
      <c r="P850" s="63">
        <f t="shared" si="4"/>
        <v>1760000</v>
      </c>
      <c r="Q850" s="63">
        <f t="shared" si="12"/>
        <v>200000</v>
      </c>
      <c r="R850" s="93" t="str">
        <f>VLOOKUP(F850,DATABASE!C:Q,4,false)</f>
        <v>TIRON</v>
      </c>
      <c r="S850" s="93" t="str">
        <f>VLOOKUP(F850,DATABASE!C:P,11,false)</f>
        <v>Tire</v>
      </c>
      <c r="T850" s="93" t="str">
        <f>vlookup(F850,DATABASE!C:Q,8,false)</f>
        <v>BIAN</v>
      </c>
      <c r="Z850" s="9"/>
    </row>
    <row r="851" ht="22.5" customHeight="1">
      <c r="A851" s="49"/>
      <c r="C851" s="400">
        <v>46228.0</v>
      </c>
      <c r="D851" s="69">
        <v>414.0</v>
      </c>
      <c r="E851" s="69" t="s">
        <v>595</v>
      </c>
      <c r="F851" s="140" t="s">
        <v>374</v>
      </c>
      <c r="G851" s="524">
        <v>2.0</v>
      </c>
      <c r="H851" s="140">
        <v>2080000.0</v>
      </c>
      <c r="I851" s="140">
        <v>2180000.0</v>
      </c>
      <c r="J851" s="192">
        <v>46258.0</v>
      </c>
      <c r="K851" s="74">
        <f>if(F851="SERVICE",O851-(O851*50%),Vlookup(F851,DATABASE!C:Q,10,false)*G851)</f>
        <v>0</v>
      </c>
      <c r="L851" s="74">
        <f>VLOOKUP(F851,DATABASE!C:Q,7,FALSE)</f>
        <v>1980000</v>
      </c>
      <c r="M851" s="74">
        <v>1980000.0</v>
      </c>
      <c r="N851" s="74">
        <f t="shared" si="11"/>
        <v>1980000</v>
      </c>
      <c r="O851" s="74">
        <f t="shared" si="3"/>
        <v>4160000</v>
      </c>
      <c r="P851" s="63">
        <f t="shared" si="4"/>
        <v>4360000</v>
      </c>
      <c r="Q851" s="63">
        <f t="shared" si="12"/>
        <v>400000</v>
      </c>
      <c r="R851" s="93" t="str">
        <f>VLOOKUP(F851,DATABASE!C:Q,4,false)</f>
        <v>Advance</v>
      </c>
      <c r="S851" s="93" t="str">
        <f>VLOOKUP(F851,DATABASE!C:P,11,false)</f>
        <v>Tire</v>
      </c>
      <c r="T851" s="93" t="str">
        <f>vlookup(F851,DATABASE!C:Q,8,false)</f>
        <v>BIAN</v>
      </c>
      <c r="Z851" s="9"/>
    </row>
    <row r="852" ht="22.5" customHeight="1">
      <c r="A852" s="49"/>
      <c r="C852" s="400">
        <v>46228.0</v>
      </c>
      <c r="D852" s="69">
        <v>413.0</v>
      </c>
      <c r="E852" s="69" t="s">
        <v>595</v>
      </c>
      <c r="F852" s="140" t="s">
        <v>374</v>
      </c>
      <c r="G852" s="524">
        <v>2.0</v>
      </c>
      <c r="H852" s="140">
        <v>2080000.0</v>
      </c>
      <c r="I852" s="140">
        <v>2180000.0</v>
      </c>
      <c r="J852" s="192">
        <v>46258.0</v>
      </c>
      <c r="K852" s="74">
        <f>if(F852="SERVICE",O852-(O852*50%),Vlookup(F852,DATABASE!C:Q,10,false)*G852)</f>
        <v>0</v>
      </c>
      <c r="L852" s="74">
        <f>VLOOKUP(F852,DATABASE!C:Q,7,FALSE)</f>
        <v>1980000</v>
      </c>
      <c r="M852" s="74">
        <v>1980000.0</v>
      </c>
      <c r="N852" s="74">
        <f t="shared" si="11"/>
        <v>1980000</v>
      </c>
      <c r="O852" s="74">
        <f t="shared" si="3"/>
        <v>4160000</v>
      </c>
      <c r="P852" s="63">
        <f t="shared" si="4"/>
        <v>4360000</v>
      </c>
      <c r="Q852" s="63">
        <f t="shared" si="12"/>
        <v>400000</v>
      </c>
      <c r="R852" s="93" t="str">
        <f>VLOOKUP(F852,DATABASE!C:Q,4,false)</f>
        <v>Advance</v>
      </c>
      <c r="S852" s="93" t="str">
        <f>VLOOKUP(F852,DATABASE!C:P,11,false)</f>
        <v>Tire</v>
      </c>
      <c r="T852" s="93" t="str">
        <f>vlookup(F852,DATABASE!C:Q,8,false)</f>
        <v>BIAN</v>
      </c>
      <c r="Z852" s="9"/>
    </row>
    <row r="853" ht="22.5" customHeight="1">
      <c r="A853" s="49"/>
      <c r="C853" s="400">
        <v>46230.0</v>
      </c>
      <c r="D853" s="69">
        <v>427.0</v>
      </c>
      <c r="E853" s="69" t="s">
        <v>927</v>
      </c>
      <c r="F853" s="140" t="s">
        <v>897</v>
      </c>
      <c r="G853" s="524">
        <v>1.0</v>
      </c>
      <c r="H853" s="140">
        <v>1625000.0</v>
      </c>
      <c r="I853" s="140">
        <v>1725000.0</v>
      </c>
      <c r="J853" s="192">
        <v>46260.0</v>
      </c>
      <c r="K853" s="74">
        <f>if(F853="SERVICE",O853-(O853*50%),Vlookup(F853,DATABASE!C:Q,10,false)*G853)</f>
        <v>0</v>
      </c>
      <c r="L853" s="74">
        <f>VLOOKUP(F853,DATABASE!C:Q,7,FALSE)</f>
        <v>1560000</v>
      </c>
      <c r="M853" s="74">
        <v>1525000.0</v>
      </c>
      <c r="N853" s="74">
        <f t="shared" si="11"/>
        <v>1525000</v>
      </c>
      <c r="O853" s="74">
        <f t="shared" si="3"/>
        <v>1625000</v>
      </c>
      <c r="P853" s="63">
        <f t="shared" si="4"/>
        <v>1725000</v>
      </c>
      <c r="Q853" s="63">
        <f t="shared" si="12"/>
        <v>200000</v>
      </c>
      <c r="R853" s="93" t="str">
        <f>VLOOKUP(F853,DATABASE!C:Q,4,false)</f>
        <v>GT</v>
      </c>
      <c r="S853" s="93" t="str">
        <f>VLOOKUP(F853,DATABASE!C:P,11,false)</f>
        <v>Tire</v>
      </c>
      <c r="T853" s="93" t="str">
        <f>vlookup(F853,DATABASE!C:Q,8,false)</f>
        <v>BIAN</v>
      </c>
      <c r="Z853" s="9"/>
    </row>
    <row r="854" ht="22.5" customHeight="1">
      <c r="A854" s="49"/>
      <c r="C854" s="400">
        <v>46230.0</v>
      </c>
      <c r="D854" s="69">
        <v>432.0</v>
      </c>
      <c r="E854" s="69" t="s">
        <v>264</v>
      </c>
      <c r="F854" s="140" t="s">
        <v>2132</v>
      </c>
      <c r="G854" s="524">
        <v>2.0</v>
      </c>
      <c r="H854" s="140">
        <v>2085000.0</v>
      </c>
      <c r="I854" s="140">
        <v>2185000.0</v>
      </c>
      <c r="J854" s="192">
        <v>46260.0</v>
      </c>
      <c r="K854" s="74">
        <f>if(F854="SERVICE",O854-(O854*50%),Vlookup(F854,DATABASE!C:Q,10,false)*G854)</f>
        <v>0</v>
      </c>
      <c r="L854" s="74">
        <f>VLOOKUP(F854,DATABASE!C:Q,7,FALSE)</f>
        <v>2050000</v>
      </c>
      <c r="M854" s="74">
        <v>2050000.0</v>
      </c>
      <c r="N854" s="74">
        <f t="shared" si="11"/>
        <v>2050000</v>
      </c>
      <c r="O854" s="74">
        <f t="shared" si="3"/>
        <v>4170000</v>
      </c>
      <c r="P854" s="63">
        <f t="shared" si="4"/>
        <v>4370000</v>
      </c>
      <c r="Q854" s="63">
        <f t="shared" si="12"/>
        <v>270000</v>
      </c>
      <c r="R854" s="93" t="str">
        <f>VLOOKUP(F854,DATABASE!C:Q,4,false)</f>
        <v>MRF</v>
      </c>
      <c r="S854" s="93" t="str">
        <f>VLOOKUP(F854,DATABASE!C:P,11,false)</f>
        <v>Tire</v>
      </c>
      <c r="T854" s="93" t="str">
        <f>vlookup(F854,DATABASE!C:Q,8,false)</f>
        <v>BIAN</v>
      </c>
      <c r="Z854" s="9"/>
    </row>
    <row r="855" ht="22.5" customHeight="1">
      <c r="A855" s="49"/>
      <c r="C855" s="400">
        <v>46230.0</v>
      </c>
      <c r="D855" s="69">
        <v>435.0</v>
      </c>
      <c r="E855" s="69" t="s">
        <v>270</v>
      </c>
      <c r="F855" s="140" t="s">
        <v>924</v>
      </c>
      <c r="G855" s="524">
        <v>1.0</v>
      </c>
      <c r="H855" s="140">
        <v>1660000.0</v>
      </c>
      <c r="I855" s="140">
        <v>1760000.0</v>
      </c>
      <c r="J855" s="192">
        <v>46260.0</v>
      </c>
      <c r="K855" s="74">
        <f>if(F855="SERVICE",O855-(O855*50%),Vlookup(F855,DATABASE!C:Q,10,false)*G855)</f>
        <v>0</v>
      </c>
      <c r="L855" s="74">
        <f>VLOOKUP(F855,DATABASE!C:Q,7,FALSE)</f>
        <v>1560000</v>
      </c>
      <c r="M855" s="74">
        <v>1560000.0</v>
      </c>
      <c r="N855" s="74">
        <f t="shared" si="11"/>
        <v>1560000</v>
      </c>
      <c r="O855" s="74">
        <f t="shared" si="3"/>
        <v>1660000</v>
      </c>
      <c r="P855" s="63">
        <f t="shared" si="4"/>
        <v>1760000</v>
      </c>
      <c r="Q855" s="63">
        <f t="shared" si="12"/>
        <v>200000</v>
      </c>
      <c r="R855" s="93" t="str">
        <f>VLOOKUP(F855,DATABASE!C:Q,4,false)</f>
        <v>TIRON</v>
      </c>
      <c r="S855" s="93" t="str">
        <f>VLOOKUP(F855,DATABASE!C:P,11,false)</f>
        <v>Tire</v>
      </c>
      <c r="T855" s="93" t="str">
        <f>vlookup(F855,DATABASE!C:Q,8,false)</f>
        <v>BIAN</v>
      </c>
      <c r="Z855" s="9"/>
    </row>
    <row r="856" ht="22.5" customHeight="1">
      <c r="A856" s="49"/>
      <c r="C856" s="400">
        <v>46230.0</v>
      </c>
      <c r="D856" s="69">
        <v>435.0</v>
      </c>
      <c r="E856" s="69" t="s">
        <v>270</v>
      </c>
      <c r="F856" s="140" t="s">
        <v>1862</v>
      </c>
      <c r="G856" s="524">
        <v>2.0</v>
      </c>
      <c r="H856" s="140">
        <v>2180000.0</v>
      </c>
      <c r="I856" s="140">
        <v>2280000.0</v>
      </c>
      <c r="J856" s="192">
        <v>46260.0</v>
      </c>
      <c r="K856" s="74">
        <f>if(F856="SERVICE",O856-(O856*50%),Vlookup(F856,DATABASE!C:Q,10,false)*G856)</f>
        <v>0</v>
      </c>
      <c r="L856" s="74">
        <f>VLOOKUP(F856,DATABASE!C:Q,7,FALSE)</f>
        <v>2080000</v>
      </c>
      <c r="M856" s="74">
        <v>2080000.0</v>
      </c>
      <c r="N856" s="74">
        <f t="shared" si="11"/>
        <v>2080000</v>
      </c>
      <c r="O856" s="74">
        <f t="shared" si="3"/>
        <v>4360000</v>
      </c>
      <c r="P856" s="63">
        <f t="shared" si="4"/>
        <v>4560000</v>
      </c>
      <c r="Q856" s="63">
        <f t="shared" si="12"/>
        <v>400000</v>
      </c>
      <c r="R856" s="93" t="str">
        <f>VLOOKUP(F856,DATABASE!C:Q,4,false)</f>
        <v>GiTi</v>
      </c>
      <c r="S856" s="93" t="str">
        <f>VLOOKUP(F856,DATABASE!C:P,11,false)</f>
        <v>Tire</v>
      </c>
      <c r="T856" s="93" t="str">
        <f>vlookup(F856,DATABASE!C:Q,8,false)</f>
        <v>BIAN</v>
      </c>
      <c r="Z856" s="9"/>
    </row>
    <row r="857" ht="22.5" customHeight="1">
      <c r="A857" s="49"/>
      <c r="C857" s="400">
        <v>46230.0</v>
      </c>
      <c r="D857" s="69">
        <v>442.0</v>
      </c>
      <c r="E857" s="69" t="s">
        <v>119</v>
      </c>
      <c r="F857" s="140" t="s">
        <v>897</v>
      </c>
      <c r="G857" s="524">
        <v>2.0</v>
      </c>
      <c r="H857" s="140">
        <v>1625000.0</v>
      </c>
      <c r="I857" s="140">
        <v>1725000.0</v>
      </c>
      <c r="J857" s="192">
        <v>46260.0</v>
      </c>
      <c r="K857" s="74">
        <f>if(F857="SERVICE",O857-(O857*50%),Vlookup(F857,DATABASE!C:Q,10,false)*G857)</f>
        <v>0</v>
      </c>
      <c r="L857" s="74">
        <f>VLOOKUP(F857,DATABASE!C:Q,7,FALSE)</f>
        <v>1560000</v>
      </c>
      <c r="M857" s="74">
        <v>1525000.0</v>
      </c>
      <c r="N857" s="74">
        <f t="shared" si="11"/>
        <v>1525000</v>
      </c>
      <c r="O857" s="74">
        <f t="shared" si="3"/>
        <v>3250000</v>
      </c>
      <c r="P857" s="63">
        <f t="shared" si="4"/>
        <v>3450000</v>
      </c>
      <c r="Q857" s="63">
        <f t="shared" si="12"/>
        <v>400000</v>
      </c>
      <c r="R857" s="93" t="str">
        <f>VLOOKUP(F857,DATABASE!C:Q,4,false)</f>
        <v>GT</v>
      </c>
      <c r="S857" s="93" t="str">
        <f>VLOOKUP(F857,DATABASE!C:P,11,false)</f>
        <v>Tire</v>
      </c>
      <c r="T857" s="93" t="str">
        <f>vlookup(F857,DATABASE!C:Q,8,false)</f>
        <v>BIAN</v>
      </c>
      <c r="Z857" s="9"/>
    </row>
    <row r="858" ht="22.5" customHeight="1">
      <c r="A858" s="49"/>
      <c r="C858" s="400">
        <v>46230.0</v>
      </c>
      <c r="D858" s="69">
        <v>442.0</v>
      </c>
      <c r="E858" s="69" t="s">
        <v>119</v>
      </c>
      <c r="F858" s="140" t="s">
        <v>744</v>
      </c>
      <c r="G858" s="524">
        <v>2.0</v>
      </c>
      <c r="H858" s="140">
        <v>230000.0</v>
      </c>
      <c r="I858" s="140">
        <v>250000.0</v>
      </c>
      <c r="J858" s="192">
        <v>46260.0</v>
      </c>
      <c r="K858" s="74">
        <f>if(F858="SERVICE",O858-(O858*50%),Vlookup(F858,DATABASE!C:Q,10,false)*G858)</f>
        <v>0</v>
      </c>
      <c r="L858" s="74">
        <f>VLOOKUP(F858,DATABASE!C:Q,7,FALSE)</f>
        <v>182200</v>
      </c>
      <c r="M858" s="74">
        <v>182200.0</v>
      </c>
      <c r="N858" s="74">
        <f t="shared" si="11"/>
        <v>185000</v>
      </c>
      <c r="O858" s="74">
        <f t="shared" si="3"/>
        <v>460000</v>
      </c>
      <c r="P858" s="63">
        <f t="shared" si="4"/>
        <v>500000</v>
      </c>
      <c r="Q858" s="63">
        <f t="shared" si="12"/>
        <v>130000</v>
      </c>
      <c r="R858" s="93" t="str">
        <f>VLOOKUP(F858,DATABASE!C:Q,4,false)</f>
        <v>BD</v>
      </c>
      <c r="S858" s="93" t="str">
        <f>VLOOKUP(F858,DATABASE!C:P,11,false)</f>
        <v>Tire</v>
      </c>
      <c r="T858" s="93" t="str">
        <f>vlookup(F858,DATABASE!C:Q,8,false)</f>
        <v>BIAN</v>
      </c>
      <c r="Z858" s="9"/>
    </row>
    <row r="859" ht="22.5" customHeight="1">
      <c r="A859" s="49"/>
      <c r="C859" s="400">
        <v>46230.0</v>
      </c>
      <c r="D859" s="69">
        <v>442.0</v>
      </c>
      <c r="E859" s="69" t="s">
        <v>119</v>
      </c>
      <c r="F859" s="140" t="s">
        <v>821</v>
      </c>
      <c r="G859" s="524">
        <v>2.0</v>
      </c>
      <c r="H859" s="140">
        <v>90000.0</v>
      </c>
      <c r="I859" s="140">
        <v>100000.0</v>
      </c>
      <c r="J859" s="192">
        <v>46260.0</v>
      </c>
      <c r="K859" s="74">
        <f>if(F859="SERVICE",O859-(O859*50%),Vlookup(F859,DATABASE!C:Q,10,false)*G859)</f>
        <v>0</v>
      </c>
      <c r="L859" s="74">
        <f>VLOOKUP(F859,DATABASE!C:Q,7,FALSE)</f>
        <v>43500</v>
      </c>
      <c r="M859" s="74">
        <v>43500.0</v>
      </c>
      <c r="N859" s="74">
        <f t="shared" si="11"/>
        <v>45000</v>
      </c>
      <c r="O859" s="74">
        <f t="shared" si="3"/>
        <v>180000</v>
      </c>
      <c r="P859" s="63">
        <f t="shared" si="4"/>
        <v>200000</v>
      </c>
      <c r="Q859" s="63">
        <f t="shared" si="12"/>
        <v>110000</v>
      </c>
      <c r="R859" s="93" t="str">
        <f>VLOOKUP(F859,DATABASE!C:Q,4,false)</f>
        <v>Flap</v>
      </c>
      <c r="S859" s="93" t="str">
        <f>VLOOKUP(F859,DATABASE!C:P,11,false)</f>
        <v>Tire</v>
      </c>
      <c r="T859" s="93" t="str">
        <f>vlookup(F859,DATABASE!C:Q,8,false)</f>
        <v>BIAN</v>
      </c>
      <c r="Z859" s="9"/>
    </row>
    <row r="860" ht="22.5" customHeight="1">
      <c r="A860" s="49"/>
      <c r="C860" s="400">
        <v>46232.0</v>
      </c>
      <c r="D860" s="69">
        <v>454.0</v>
      </c>
      <c r="E860" s="69" t="s">
        <v>259</v>
      </c>
      <c r="F860" s="140" t="s">
        <v>391</v>
      </c>
      <c r="G860" s="524">
        <v>1.0</v>
      </c>
      <c r="H860" s="140">
        <v>1985000.0</v>
      </c>
      <c r="I860" s="140">
        <v>2085000.0</v>
      </c>
      <c r="J860" s="192">
        <v>46262.0</v>
      </c>
      <c r="K860" s="74">
        <f>if(F860="SERVICE",O860-(O860*50%),Vlookup(F860,DATABASE!C:Q,10,false)*G860)</f>
        <v>0</v>
      </c>
      <c r="L860" s="74">
        <f>VLOOKUP(F860,DATABASE!C:Q,7,FALSE)</f>
        <v>1885000</v>
      </c>
      <c r="M860" s="74">
        <v>1885000.0</v>
      </c>
      <c r="N860" s="74">
        <f t="shared" si="11"/>
        <v>1885000</v>
      </c>
      <c r="O860" s="74">
        <f t="shared" si="3"/>
        <v>1985000</v>
      </c>
      <c r="P860" s="63">
        <f t="shared" si="4"/>
        <v>2085000</v>
      </c>
      <c r="Q860" s="63">
        <f t="shared" si="12"/>
        <v>200000</v>
      </c>
      <c r="R860" s="93" t="str">
        <f>VLOOKUP(F860,DATABASE!C:Q,4,false)</f>
        <v>Advance</v>
      </c>
      <c r="S860" s="93" t="str">
        <f>VLOOKUP(F860,DATABASE!C:P,11,false)</f>
        <v>Tire</v>
      </c>
      <c r="T860" s="93" t="str">
        <f>vlookup(F860,DATABASE!C:Q,8,false)</f>
        <v>BIAN</v>
      </c>
      <c r="Z860" s="9"/>
    </row>
    <row r="861" ht="22.5" customHeight="1">
      <c r="A861" s="49"/>
      <c r="C861" s="400">
        <v>46235.0</v>
      </c>
      <c r="D861" s="69">
        <v>475.0</v>
      </c>
      <c r="E861" s="69" t="s">
        <v>119</v>
      </c>
      <c r="F861" s="140" t="s">
        <v>924</v>
      </c>
      <c r="G861" s="524">
        <v>2.0</v>
      </c>
      <c r="H861" s="140">
        <v>1660000.0</v>
      </c>
      <c r="I861" s="140">
        <v>1760000.0</v>
      </c>
      <c r="J861" s="192">
        <v>46265.0</v>
      </c>
      <c r="K861" s="74">
        <f>if(F861="SERVICE",O861-(O861*50%),Vlookup(F861,DATABASE!C:Q,10,false)*G861)</f>
        <v>0</v>
      </c>
      <c r="L861" s="74">
        <f>VLOOKUP(F861,DATABASE!C:Q,7,FALSE)</f>
        <v>1560000</v>
      </c>
      <c r="M861" s="74">
        <v>1560000.0</v>
      </c>
      <c r="N861" s="74">
        <f t="shared" si="11"/>
        <v>1560000</v>
      </c>
      <c r="O861" s="74">
        <f t="shared" si="3"/>
        <v>3320000</v>
      </c>
      <c r="P861" s="63">
        <f t="shared" si="4"/>
        <v>3520000</v>
      </c>
      <c r="Q861" s="63">
        <f t="shared" si="12"/>
        <v>400000</v>
      </c>
      <c r="R861" s="93" t="str">
        <f>VLOOKUP(F861,DATABASE!C:Q,4,false)</f>
        <v>TIRON</v>
      </c>
      <c r="S861" s="93" t="str">
        <f>VLOOKUP(F861,DATABASE!C:P,11,false)</f>
        <v>Tire</v>
      </c>
      <c r="T861" s="93" t="str">
        <f>vlookup(F861,DATABASE!C:Q,8,false)</f>
        <v>BIAN</v>
      </c>
      <c r="Z861" s="9"/>
    </row>
    <row r="862" ht="22.5" customHeight="1">
      <c r="A862" s="49"/>
      <c r="C862" s="400">
        <v>46237.0</v>
      </c>
      <c r="D862" s="69">
        <v>493.0</v>
      </c>
      <c r="E862" s="69" t="s">
        <v>331</v>
      </c>
      <c r="F862" s="140" t="s">
        <v>268</v>
      </c>
      <c r="G862" s="524">
        <v>2.0</v>
      </c>
      <c r="H862" s="140">
        <v>720000.0</v>
      </c>
      <c r="I862" s="140">
        <v>800000.0</v>
      </c>
      <c r="J862" s="192">
        <v>46267.0</v>
      </c>
      <c r="K862" s="74">
        <f>if(F862="SERVICE",O862-(O862*50%),Vlookup(F862,DATABASE!C:Q,10,false)*G862)</f>
        <v>0</v>
      </c>
      <c r="L862" s="74">
        <f>VLOOKUP(F862,DATABASE!C:Q,7,FALSE)</f>
        <v>653000</v>
      </c>
      <c r="M862" s="74">
        <v>634500.0</v>
      </c>
      <c r="N862" s="74">
        <f t="shared" si="11"/>
        <v>635000</v>
      </c>
      <c r="O862" s="74">
        <f t="shared" si="3"/>
        <v>1440000</v>
      </c>
      <c r="P862" s="63">
        <f t="shared" si="4"/>
        <v>1600000</v>
      </c>
      <c r="Q862" s="63">
        <f t="shared" si="12"/>
        <v>330000</v>
      </c>
      <c r="R862" s="93" t="str">
        <f>VLOOKUP(F862,DATABASE!C:Q,4,false)</f>
        <v>Dunlop</v>
      </c>
      <c r="S862" s="93" t="str">
        <f>VLOOKUP(F862,DATABASE!C:P,11,false)</f>
        <v>Tire</v>
      </c>
      <c r="T862" s="93" t="str">
        <f>vlookup(F862,DATABASE!C:Q,8,false)</f>
        <v>IBU</v>
      </c>
      <c r="Z862" s="9"/>
    </row>
    <row r="863" ht="22.5" customHeight="1">
      <c r="A863" s="49"/>
      <c r="C863" s="400">
        <v>46237.0</v>
      </c>
      <c r="D863" s="69">
        <v>493.0</v>
      </c>
      <c r="E863" s="69" t="s">
        <v>331</v>
      </c>
      <c r="F863" s="140" t="s">
        <v>299</v>
      </c>
      <c r="G863" s="524">
        <v>2.0</v>
      </c>
      <c r="H863" s="140">
        <v>30000.0</v>
      </c>
      <c r="I863" s="140">
        <v>40000.0</v>
      </c>
      <c r="J863" s="192">
        <v>46267.0</v>
      </c>
      <c r="K863" s="74">
        <f>if(F863="SERVICE",O863-(O863*50%),Vlookup(F863,DATABASE!C:Q,10,false)*G863)</f>
        <v>0</v>
      </c>
      <c r="L863" s="74">
        <f>VLOOKUP(F863,DATABASE!C:Q,7,FALSE)</f>
        <v>10000</v>
      </c>
      <c r="M863" s="74">
        <v>10000.0</v>
      </c>
      <c r="N863" s="74">
        <f t="shared" si="11"/>
        <v>10000</v>
      </c>
      <c r="O863" s="74">
        <f t="shared" si="3"/>
        <v>60000</v>
      </c>
      <c r="P863" s="63">
        <f t="shared" si="4"/>
        <v>80000</v>
      </c>
      <c r="Q863" s="63">
        <f t="shared" si="12"/>
        <v>60000</v>
      </c>
      <c r="R863" s="93" t="str">
        <f>VLOOKUP(F863,DATABASE!C:Q,4,false)</f>
        <v>Balancing</v>
      </c>
      <c r="S863" s="93" t="str">
        <f>VLOOKUP(F863,DATABASE!C:P,11,false)</f>
        <v>COMPLEMENTARY</v>
      </c>
      <c r="T863" s="93" t="str">
        <f>vlookup(F863,DATABASE!C:Q,8,false)</f>
        <v>BIAN</v>
      </c>
      <c r="Z863" s="9"/>
    </row>
    <row r="864" ht="22.5" customHeight="1">
      <c r="A864" s="49"/>
      <c r="C864" s="400">
        <v>46237.0</v>
      </c>
      <c r="D864" s="69">
        <v>493.0</v>
      </c>
      <c r="E864" s="69" t="s">
        <v>331</v>
      </c>
      <c r="F864" s="140" t="s">
        <v>262</v>
      </c>
      <c r="G864" s="524">
        <v>1.0</v>
      </c>
      <c r="H864" s="140">
        <v>130000.0</v>
      </c>
      <c r="I864" s="140">
        <v>130000.0</v>
      </c>
      <c r="J864" s="192">
        <v>46267.0</v>
      </c>
      <c r="K864" s="74">
        <f>if(F864="SERVICE",O864-(O864*50%),Vlookup(F864,DATABASE!C:Q,10,false)*G864)</f>
        <v>5000</v>
      </c>
      <c r="L864" s="74">
        <f>VLOOKUP(F864,DATABASE!C:Q,7,FALSE)</f>
        <v>0</v>
      </c>
      <c r="M864" s="74">
        <v>0.0</v>
      </c>
      <c r="N864" s="74">
        <f t="shared" si="11"/>
        <v>0</v>
      </c>
      <c r="O864" s="74">
        <f t="shared" si="3"/>
        <v>130000</v>
      </c>
      <c r="P864" s="63">
        <f t="shared" si="4"/>
        <v>130000</v>
      </c>
      <c r="Q864" s="63">
        <f t="shared" si="12"/>
        <v>125000</v>
      </c>
      <c r="R864" s="93" t="str">
        <f>VLOOKUP(F864,DATABASE!C:Q,4,false)</f>
        <v>SPOORING SS/CARRY LOS BAK</v>
      </c>
      <c r="S864" s="93" t="str">
        <f>VLOOKUP(F864,DATABASE!C:P,11,false)</f>
        <v>SERVICE</v>
      </c>
      <c r="T864" s="93" t="str">
        <f>vlookup(F864,DATABASE!C:Q,8,false)</f>
        <v>IBU</v>
      </c>
      <c r="Z864" s="9"/>
    </row>
    <row r="865" ht="22.5" customHeight="1">
      <c r="A865" s="49"/>
      <c r="C865" s="400">
        <v>46237.0</v>
      </c>
      <c r="D865" s="69">
        <v>493.0</v>
      </c>
      <c r="E865" s="69" t="s">
        <v>331</v>
      </c>
      <c r="F865" s="140" t="s">
        <v>604</v>
      </c>
      <c r="G865" s="524">
        <v>1.0</v>
      </c>
      <c r="H865" s="140">
        <v>160000.0</v>
      </c>
      <c r="I865" s="140">
        <v>170000.0</v>
      </c>
      <c r="J865" s="192">
        <v>46267.0</v>
      </c>
      <c r="K865" s="74">
        <f>if(F865="SERVICE",O865-(O865*50%),Vlookup(F865,DATABASE!C:Q,10,false)*G865)</f>
        <v>0</v>
      </c>
      <c r="L865" s="74">
        <f>VLOOKUP(F865,DATABASE!C:Q,7,FALSE)</f>
        <v>124000</v>
      </c>
      <c r="M865" s="74">
        <v>124000.0</v>
      </c>
      <c r="N865" s="74">
        <f t="shared" si="11"/>
        <v>125000</v>
      </c>
      <c r="O865" s="74">
        <f t="shared" si="3"/>
        <v>160000</v>
      </c>
      <c r="P865" s="63">
        <f t="shared" si="4"/>
        <v>170000</v>
      </c>
      <c r="Q865" s="63">
        <f t="shared" si="12"/>
        <v>45000</v>
      </c>
      <c r="R865" s="93" t="str">
        <f>VLOOKUP(F865,DATABASE!C:Q,4,false)</f>
        <v>BD</v>
      </c>
      <c r="S865" s="93" t="str">
        <f>VLOOKUP(F865,DATABASE!C:P,11,false)</f>
        <v>Tire</v>
      </c>
      <c r="T865" s="93" t="str">
        <f>vlookup(F865,DATABASE!C:Q,8,false)</f>
        <v>BIAN</v>
      </c>
      <c r="Z865" s="9"/>
    </row>
    <row r="866" ht="22.5" customHeight="1">
      <c r="A866" s="49"/>
      <c r="C866" s="400">
        <v>46238.0</v>
      </c>
      <c r="D866" s="69">
        <v>502.0</v>
      </c>
      <c r="E866" s="69" t="s">
        <v>274</v>
      </c>
      <c r="F866" s="140" t="s">
        <v>391</v>
      </c>
      <c r="G866" s="524">
        <v>2.0</v>
      </c>
      <c r="H866" s="140">
        <v>1985000.0</v>
      </c>
      <c r="I866" s="140">
        <v>2085000.0</v>
      </c>
      <c r="J866" s="192">
        <v>46268.0</v>
      </c>
      <c r="K866" s="74">
        <f>if(F866="SERVICE",O866-(O866*50%),Vlookup(F866,DATABASE!C:Q,10,false)*G866)</f>
        <v>0</v>
      </c>
      <c r="L866" s="74">
        <f>VLOOKUP(F866,DATABASE!C:Q,7,FALSE)</f>
        <v>1885000</v>
      </c>
      <c r="M866" s="74">
        <v>1885000.0</v>
      </c>
      <c r="N866" s="74">
        <f t="shared" si="11"/>
        <v>1885000</v>
      </c>
      <c r="O866" s="74">
        <f t="shared" si="3"/>
        <v>3970000</v>
      </c>
      <c r="P866" s="63">
        <f t="shared" si="4"/>
        <v>4170000</v>
      </c>
      <c r="Q866" s="63">
        <f t="shared" si="12"/>
        <v>400000</v>
      </c>
      <c r="R866" s="93" t="str">
        <f>VLOOKUP(F866,DATABASE!C:Q,4,false)</f>
        <v>Advance</v>
      </c>
      <c r="S866" s="93" t="str">
        <f>VLOOKUP(F866,DATABASE!C:P,11,false)</f>
        <v>Tire</v>
      </c>
      <c r="T866" s="93" t="str">
        <f>vlookup(F866,DATABASE!C:Q,8,false)</f>
        <v>BIAN</v>
      </c>
      <c r="Z866" s="9"/>
    </row>
    <row r="867" ht="22.5" customHeight="1">
      <c r="A867" s="49"/>
      <c r="C867" s="400">
        <v>46241.0</v>
      </c>
      <c r="D867" s="69">
        <v>536.0</v>
      </c>
      <c r="E867" s="69" t="s">
        <v>267</v>
      </c>
      <c r="F867" s="140" t="s">
        <v>924</v>
      </c>
      <c r="G867" s="524">
        <v>1.0</v>
      </c>
      <c r="H867" s="140">
        <v>1660000.0</v>
      </c>
      <c r="I867" s="140">
        <v>1760000.0</v>
      </c>
      <c r="J867" s="192">
        <v>46271.0</v>
      </c>
      <c r="K867" s="74">
        <f>if(F867="SERVICE",O867-(O867*50%),Vlookup(F867,DATABASE!C:Q,10,false)*G867)</f>
        <v>0</v>
      </c>
      <c r="L867" s="74">
        <f>VLOOKUP(F867,DATABASE!C:Q,7,FALSE)</f>
        <v>1560000</v>
      </c>
      <c r="M867" s="74">
        <v>1560000.0</v>
      </c>
      <c r="N867" s="74">
        <f t="shared" si="11"/>
        <v>1560000</v>
      </c>
      <c r="O867" s="74">
        <f t="shared" si="3"/>
        <v>1660000</v>
      </c>
      <c r="P867" s="63">
        <f t="shared" si="4"/>
        <v>1760000</v>
      </c>
      <c r="Q867" s="63">
        <f t="shared" si="12"/>
        <v>200000</v>
      </c>
      <c r="R867" s="93" t="str">
        <f>VLOOKUP(F867,DATABASE!C:Q,4,false)</f>
        <v>TIRON</v>
      </c>
      <c r="S867" s="93" t="str">
        <f>VLOOKUP(F867,DATABASE!C:P,11,false)</f>
        <v>Tire</v>
      </c>
      <c r="T867" s="93" t="str">
        <f>vlookup(F867,DATABASE!C:Q,8,false)</f>
        <v>BIAN</v>
      </c>
      <c r="Z867" s="9"/>
    </row>
    <row r="868" ht="22.5" customHeight="1">
      <c r="A868" s="49"/>
      <c r="C868" s="400">
        <v>46245.0</v>
      </c>
      <c r="D868" s="69">
        <v>571.0</v>
      </c>
      <c r="E868" s="69" t="s">
        <v>74</v>
      </c>
      <c r="F868" s="140" t="s">
        <v>1695</v>
      </c>
      <c r="G868" s="524">
        <v>1.0</v>
      </c>
      <c r="H868" s="140">
        <v>55000.0</v>
      </c>
      <c r="I868" s="140">
        <v>75000.0</v>
      </c>
      <c r="J868" s="192">
        <v>46275.0</v>
      </c>
      <c r="K868" s="74">
        <f>if(F868="SERVICE",O868-(O868*50%),Vlookup(F868,DATABASE!C:Q,10,false)*G868)</f>
        <v>0</v>
      </c>
      <c r="L868" s="74">
        <f>VLOOKUP(F868,DATABASE!C:Q,7,FALSE)</f>
        <v>34000</v>
      </c>
      <c r="M868" s="74">
        <v>34000.0</v>
      </c>
      <c r="N868" s="74">
        <f t="shared" si="11"/>
        <v>35000</v>
      </c>
      <c r="O868" s="74">
        <f t="shared" si="3"/>
        <v>55000</v>
      </c>
      <c r="P868" s="63">
        <f t="shared" si="4"/>
        <v>75000</v>
      </c>
      <c r="Q868" s="63">
        <f t="shared" si="12"/>
        <v>40000</v>
      </c>
      <c r="R868" s="93" t="str">
        <f>VLOOKUP(F868,DATABASE!C:Q,4,false)</f>
        <v>Flap</v>
      </c>
      <c r="S868" s="93" t="str">
        <f>VLOOKUP(F868,DATABASE!C:P,11,false)</f>
        <v>Tire</v>
      </c>
      <c r="T868" s="93" t="str">
        <f>vlookup(F868,DATABASE!C:Q,8,false)</f>
        <v>BIAN</v>
      </c>
      <c r="Z868" s="9"/>
    </row>
    <row r="869" ht="22.5" customHeight="1">
      <c r="A869" s="49"/>
      <c r="C869" s="400">
        <v>46252.0</v>
      </c>
      <c r="D869" s="69">
        <v>637.0</v>
      </c>
      <c r="E869" s="69" t="s">
        <v>595</v>
      </c>
      <c r="F869" s="140" t="s">
        <v>924</v>
      </c>
      <c r="G869" s="524">
        <v>2.0</v>
      </c>
      <c r="H869" s="140">
        <v>1660000.0</v>
      </c>
      <c r="I869" s="140">
        <v>1760000.0</v>
      </c>
      <c r="J869" s="192">
        <v>46282.0</v>
      </c>
      <c r="K869" s="74">
        <f>if(F869="SERVICE",O869-(O869*50%),Vlookup(F869,DATABASE!C:Q,10,false)*G869)</f>
        <v>0</v>
      </c>
      <c r="L869" s="74">
        <f>VLOOKUP(F869,DATABASE!C:Q,7,FALSE)</f>
        <v>1560000</v>
      </c>
      <c r="M869" s="74">
        <v>1560000.0</v>
      </c>
      <c r="N869" s="74">
        <f t="shared" si="11"/>
        <v>1560000</v>
      </c>
      <c r="O869" s="74">
        <f t="shared" si="3"/>
        <v>3320000</v>
      </c>
      <c r="P869" s="63">
        <f t="shared" si="4"/>
        <v>3520000</v>
      </c>
      <c r="Q869" s="63">
        <f t="shared" si="12"/>
        <v>400000</v>
      </c>
      <c r="R869" s="93" t="str">
        <f>VLOOKUP(F869,DATABASE!C:Q,4,false)</f>
        <v>TIRON</v>
      </c>
      <c r="S869" s="93" t="str">
        <f>VLOOKUP(F869,DATABASE!C:P,11,false)</f>
        <v>Tire</v>
      </c>
      <c r="T869" s="93" t="str">
        <f>vlookup(F869,DATABASE!C:Q,8,false)</f>
        <v>BIAN</v>
      </c>
      <c r="Z869" s="9"/>
    </row>
    <row r="870" ht="22.5" customHeight="1">
      <c r="A870" s="49"/>
      <c r="C870" s="400">
        <v>46252.0</v>
      </c>
      <c r="D870" s="69">
        <v>637.0</v>
      </c>
      <c r="E870" s="69" t="s">
        <v>595</v>
      </c>
      <c r="F870" s="140" t="s">
        <v>2345</v>
      </c>
      <c r="G870" s="524">
        <v>2.0</v>
      </c>
      <c r="H870" s="140">
        <v>780000.0</v>
      </c>
      <c r="I870" s="140">
        <v>880000.0</v>
      </c>
      <c r="J870" s="192">
        <v>46282.0</v>
      </c>
      <c r="K870" s="74">
        <f>if(F870="SERVICE",O870-(O870*50%),Vlookup(F870,DATABASE!C:Q,10,false)*G870)</f>
        <v>0</v>
      </c>
      <c r="L870" s="74">
        <f>VLOOKUP(F870,DATABASE!C:Q,7,FALSE)</f>
        <v>680000</v>
      </c>
      <c r="M870" s="74">
        <v>680000.0</v>
      </c>
      <c r="N870" s="74">
        <f t="shared" si="11"/>
        <v>680000</v>
      </c>
      <c r="O870" s="74">
        <f t="shared" si="3"/>
        <v>1560000</v>
      </c>
      <c r="P870" s="63">
        <f t="shared" si="4"/>
        <v>1760000</v>
      </c>
      <c r="Q870" s="63">
        <f t="shared" si="12"/>
        <v>400000</v>
      </c>
      <c r="R870" s="93" t="str">
        <f>VLOOKUP(F870,DATABASE!C:Q,4,false)</f>
        <v>Velg</v>
      </c>
      <c r="S870" s="93" t="str">
        <f>VLOOKUP(F870,DATABASE!C:P,11,false)</f>
        <v>Tire</v>
      </c>
      <c r="T870" s="93" t="str">
        <f>vlookup(F870,DATABASE!C:Q,8,false)</f>
        <v>BIAN</v>
      </c>
      <c r="Z870" s="9"/>
    </row>
    <row r="871" ht="22.5" customHeight="1">
      <c r="A871" s="49"/>
      <c r="C871" s="400">
        <v>46252.0</v>
      </c>
      <c r="D871" s="69">
        <v>636.0</v>
      </c>
      <c r="E871" s="69" t="s">
        <v>595</v>
      </c>
      <c r="F871" s="140" t="s">
        <v>403</v>
      </c>
      <c r="G871" s="524">
        <v>2.0</v>
      </c>
      <c r="H871" s="140">
        <v>2260000.0</v>
      </c>
      <c r="I871" s="140">
        <v>2360000.0</v>
      </c>
      <c r="J871" s="192">
        <v>46282.0</v>
      </c>
      <c r="K871" s="74">
        <f>if(F871="SERVICE",O871-(O871*50%),Vlookup(F871,DATABASE!C:Q,10,false)*G871)</f>
        <v>0</v>
      </c>
      <c r="L871" s="74">
        <f>VLOOKUP(F871,DATABASE!C:Q,7,FALSE)</f>
        <v>2160000</v>
      </c>
      <c r="M871" s="74">
        <v>2160000.0</v>
      </c>
      <c r="N871" s="74">
        <f t="shared" si="11"/>
        <v>2160000</v>
      </c>
      <c r="O871" s="74">
        <f t="shared" si="3"/>
        <v>4520000</v>
      </c>
      <c r="P871" s="63">
        <f t="shared" si="4"/>
        <v>4720000</v>
      </c>
      <c r="Q871" s="63">
        <f t="shared" si="12"/>
        <v>400000</v>
      </c>
      <c r="R871" s="93" t="str">
        <f>VLOOKUP(F871,DATABASE!C:Q,4,false)</f>
        <v>Advance</v>
      </c>
      <c r="S871" s="93" t="str">
        <f>VLOOKUP(F871,DATABASE!C:P,11,false)</f>
        <v>Tire</v>
      </c>
      <c r="T871" s="93" t="str">
        <f>vlookup(F871,DATABASE!C:Q,8,false)</f>
        <v>BIAN</v>
      </c>
      <c r="Z871" s="9"/>
    </row>
    <row r="872" ht="22.5" customHeight="1">
      <c r="A872" s="49"/>
      <c r="C872" s="400">
        <v>46252.0</v>
      </c>
      <c r="D872" s="69">
        <v>636.0</v>
      </c>
      <c r="E872" s="69" t="s">
        <v>595</v>
      </c>
      <c r="F872" s="140" t="s">
        <v>2345</v>
      </c>
      <c r="G872" s="69">
        <v>1.0</v>
      </c>
      <c r="H872" s="140">
        <v>780000.0</v>
      </c>
      <c r="I872" s="140">
        <v>880000.0</v>
      </c>
      <c r="J872" s="192">
        <v>46282.0</v>
      </c>
      <c r="K872" s="74">
        <f>if(F872="SERVICE",O872-(O872*50%),Vlookup(F872,DATABASE!C:Q,10,false)*G872)</f>
        <v>0</v>
      </c>
      <c r="L872" s="74">
        <f>VLOOKUP(F872,DATABASE!C:Q,7,FALSE)</f>
        <v>680000</v>
      </c>
      <c r="M872" s="74">
        <v>680000.0</v>
      </c>
      <c r="N872" s="74">
        <f t="shared" si="11"/>
        <v>680000</v>
      </c>
      <c r="O872" s="74">
        <f t="shared" si="3"/>
        <v>780000</v>
      </c>
      <c r="P872" s="63">
        <f t="shared" si="4"/>
        <v>880000</v>
      </c>
      <c r="Q872" s="63">
        <f t="shared" si="12"/>
        <v>200000</v>
      </c>
      <c r="R872" s="93" t="str">
        <f>VLOOKUP(F872,DATABASE!C:Q,4,false)</f>
        <v>Velg</v>
      </c>
      <c r="S872" s="93" t="str">
        <f>VLOOKUP(F872,DATABASE!C:P,11,false)</f>
        <v>Tire</v>
      </c>
      <c r="T872" s="93" t="str">
        <f>vlookup(F872,DATABASE!C:Q,8,false)</f>
        <v>BIAN</v>
      </c>
      <c r="Z872" s="9"/>
    </row>
    <row r="873" ht="22.5" customHeight="1">
      <c r="A873" s="49"/>
      <c r="C873" s="400">
        <v>46252.0</v>
      </c>
      <c r="D873" s="69">
        <v>641.0</v>
      </c>
      <c r="E873" s="69" t="s">
        <v>274</v>
      </c>
      <c r="F873" s="140" t="s">
        <v>2605</v>
      </c>
      <c r="G873" s="524">
        <v>1.0</v>
      </c>
      <c r="H873" s="140">
        <v>750000.0</v>
      </c>
      <c r="I873" s="140">
        <v>850000.0</v>
      </c>
      <c r="J873" s="192">
        <v>46282.0</v>
      </c>
      <c r="K873" s="74">
        <f>if(F873="SERVICE",O873-(O873*50%),Vlookup(F873,DATABASE!C:Q,10,false)*G873)</f>
        <v>0</v>
      </c>
      <c r="L873" s="74">
        <f>VLOOKUP(F873,DATABASE!C:Q,7,FALSE)</f>
        <v>650000</v>
      </c>
      <c r="M873" s="74">
        <v>650000.0</v>
      </c>
      <c r="N873" s="74">
        <f t="shared" si="11"/>
        <v>650000</v>
      </c>
      <c r="O873" s="74">
        <f t="shared" si="3"/>
        <v>750000</v>
      </c>
      <c r="P873" s="63">
        <f t="shared" si="4"/>
        <v>850000</v>
      </c>
      <c r="Q873" s="63">
        <f t="shared" si="12"/>
        <v>200000</v>
      </c>
      <c r="R873" s="93" t="str">
        <f>VLOOKUP(F873,DATABASE!C:Q,4,false)</f>
        <v>Velg</v>
      </c>
      <c r="S873" s="93" t="str">
        <f>VLOOKUP(F873,DATABASE!C:P,11,false)</f>
        <v>Tire</v>
      </c>
      <c r="T873" s="93" t="str">
        <f>vlookup(F873,DATABASE!C:Q,8,false)</f>
        <v>BIAN</v>
      </c>
      <c r="Z873" s="9"/>
    </row>
    <row r="874" ht="22.5" customHeight="1">
      <c r="A874" s="48">
        <f>sum(P874:P876)</f>
        <v>3380000</v>
      </c>
      <c r="C874" s="400">
        <v>46254.0</v>
      </c>
      <c r="D874" s="69">
        <v>651.0</v>
      </c>
      <c r="E874" s="69" t="s">
        <v>74</v>
      </c>
      <c r="F874" s="140" t="s">
        <v>791</v>
      </c>
      <c r="G874" s="524">
        <v>2.0</v>
      </c>
      <c r="H874" s="140">
        <v>1320000.0</v>
      </c>
      <c r="I874" s="140">
        <v>1350000.0</v>
      </c>
      <c r="J874" s="192">
        <v>46284.0</v>
      </c>
      <c r="K874" s="74">
        <f>if(F874="SERVICE",O874-(O874*50%),Vlookup(F874,DATABASE!C:Q,10,false)*G874)</f>
        <v>0</v>
      </c>
      <c r="L874" s="74">
        <f>VLOOKUP(F874,DATABASE!C:Q,7,FALSE)</f>
        <v>1210000</v>
      </c>
      <c r="M874" s="74">
        <v>1210000.0</v>
      </c>
      <c r="N874" s="74">
        <f t="shared" si="11"/>
        <v>1210000</v>
      </c>
      <c r="O874" s="74">
        <f t="shared" si="3"/>
        <v>2640000</v>
      </c>
      <c r="P874" s="63">
        <f t="shared" si="4"/>
        <v>2700000</v>
      </c>
      <c r="Q874" s="63">
        <f t="shared" si="12"/>
        <v>280000</v>
      </c>
      <c r="R874" s="93" t="str">
        <f>VLOOKUP(F874,DATABASE!C:Q,4,false)</f>
        <v>GT</v>
      </c>
      <c r="S874" s="93" t="str">
        <f>VLOOKUP(F874,DATABASE!C:P,11,false)</f>
        <v>Tire</v>
      </c>
      <c r="T874" s="93" t="str">
        <f>vlookup(F874,DATABASE!C:Q,8,false)</f>
        <v>BIAN</v>
      </c>
      <c r="Z874" s="9"/>
    </row>
    <row r="875" ht="22.5" customHeight="1">
      <c r="A875" s="49"/>
      <c r="C875" s="400">
        <v>46254.0</v>
      </c>
      <c r="D875" s="69">
        <v>651.0</v>
      </c>
      <c r="E875" s="69" t="s">
        <v>74</v>
      </c>
      <c r="F875" s="140" t="s">
        <v>652</v>
      </c>
      <c r="G875" s="524">
        <v>2.0</v>
      </c>
      <c r="H875" s="140">
        <v>260000.0</v>
      </c>
      <c r="I875" s="140">
        <v>270000.0</v>
      </c>
      <c r="J875" s="192">
        <v>46284.0</v>
      </c>
      <c r="K875" s="74">
        <f>if(F875="SERVICE",O875-(O875*50%),Vlookup(F875,DATABASE!C:Q,10,false)*G875)</f>
        <v>0</v>
      </c>
      <c r="L875" s="74">
        <f>VLOOKUP(F875,DATABASE!C:Q,7,FALSE)</f>
        <v>231268</v>
      </c>
      <c r="M875" s="74">
        <v>227850.0</v>
      </c>
      <c r="N875" s="74">
        <f t="shared" si="11"/>
        <v>230000</v>
      </c>
      <c r="O875" s="74">
        <f t="shared" si="3"/>
        <v>520000</v>
      </c>
      <c r="P875" s="63">
        <f t="shared" si="4"/>
        <v>540000</v>
      </c>
      <c r="Q875" s="63">
        <f t="shared" si="12"/>
        <v>80000</v>
      </c>
      <c r="R875" s="93" t="str">
        <f>VLOOKUP(F875,DATABASE!C:Q,4,false)</f>
        <v>BD</v>
      </c>
      <c r="S875" s="93" t="str">
        <f>VLOOKUP(F875,DATABASE!C:P,11,false)</f>
        <v>Tire</v>
      </c>
      <c r="T875" s="93" t="str">
        <f>vlookup(F875,DATABASE!C:Q,8,false)</f>
        <v>IBU</v>
      </c>
      <c r="Z875" s="9"/>
    </row>
    <row r="876" ht="22.5" customHeight="1">
      <c r="A876" s="49"/>
      <c r="C876" s="400">
        <v>46254.0</v>
      </c>
      <c r="D876" s="69">
        <v>651.0</v>
      </c>
      <c r="E876" s="69" t="s">
        <v>74</v>
      </c>
      <c r="F876" s="140" t="s">
        <v>284</v>
      </c>
      <c r="G876" s="524">
        <v>2.0</v>
      </c>
      <c r="H876" s="140">
        <v>60000.0</v>
      </c>
      <c r="I876" s="140">
        <v>70000.0</v>
      </c>
      <c r="J876" s="192">
        <v>46284.0</v>
      </c>
      <c r="K876" s="74">
        <f>if(F876="SERVICE",O876-(O876*50%),Vlookup(F876,DATABASE!C:Q,10,false)*G876)</f>
        <v>0</v>
      </c>
      <c r="L876" s="74">
        <f>VLOOKUP(F876,DATABASE!C:Q,7,FALSE)</f>
        <v>36630</v>
      </c>
      <c r="M876" s="74">
        <v>39440.0</v>
      </c>
      <c r="N876" s="74">
        <f t="shared" si="11"/>
        <v>40000</v>
      </c>
      <c r="O876" s="74">
        <f t="shared" si="3"/>
        <v>120000</v>
      </c>
      <c r="P876" s="63">
        <f t="shared" si="4"/>
        <v>140000</v>
      </c>
      <c r="Q876" s="63">
        <f t="shared" si="12"/>
        <v>60000</v>
      </c>
      <c r="R876" s="93" t="str">
        <f>VLOOKUP(F876,DATABASE!C:Q,4,false)</f>
        <v>Flap</v>
      </c>
      <c r="S876" s="93" t="str">
        <f>VLOOKUP(F876,DATABASE!C:P,11,false)</f>
        <v>Tire</v>
      </c>
      <c r="T876" s="93" t="str">
        <f>vlookup(F876,DATABASE!C:Q,8,false)</f>
        <v>BIAN</v>
      </c>
      <c r="Z876" s="9"/>
    </row>
    <row r="877" ht="22.5" customHeight="1">
      <c r="A877" s="49"/>
      <c r="C877" s="400">
        <v>46256.0</v>
      </c>
      <c r="D877" s="69">
        <v>677.0</v>
      </c>
      <c r="E877" s="69" t="s">
        <v>810</v>
      </c>
      <c r="F877" s="140" t="s">
        <v>374</v>
      </c>
      <c r="G877" s="524">
        <v>1.0</v>
      </c>
      <c r="H877" s="140">
        <v>2080000.0</v>
      </c>
      <c r="I877" s="140">
        <v>2180000.0</v>
      </c>
      <c r="J877" s="192">
        <v>46286.0</v>
      </c>
      <c r="K877" s="74">
        <f>if(F877="SERVICE",O877-(O877*50%),Vlookup(F877,DATABASE!C:Q,10,false)*G877)</f>
        <v>0</v>
      </c>
      <c r="L877" s="74">
        <f>VLOOKUP(F877,DATABASE!C:Q,7,FALSE)</f>
        <v>1980000</v>
      </c>
      <c r="M877" s="74">
        <v>1980000.0</v>
      </c>
      <c r="N877" s="74">
        <f t="shared" si="11"/>
        <v>1980000</v>
      </c>
      <c r="O877" s="74">
        <f t="shared" si="3"/>
        <v>2080000</v>
      </c>
      <c r="P877" s="63">
        <f t="shared" si="4"/>
        <v>2180000</v>
      </c>
      <c r="Q877" s="63">
        <f t="shared" si="12"/>
        <v>200000</v>
      </c>
      <c r="R877" s="93" t="str">
        <f>VLOOKUP(F877,DATABASE!C:Q,4,false)</f>
        <v>Advance</v>
      </c>
      <c r="S877" s="93" t="str">
        <f>VLOOKUP(F877,DATABASE!C:P,11,false)</f>
        <v>Tire</v>
      </c>
      <c r="T877" s="93" t="str">
        <f>vlookup(F877,DATABASE!C:Q,8,false)</f>
        <v>BIAN</v>
      </c>
      <c r="Z877" s="9"/>
    </row>
    <row r="878" ht="22.5" customHeight="1">
      <c r="A878" s="49"/>
      <c r="C878" s="400">
        <v>46259.0</v>
      </c>
      <c r="D878" s="69">
        <v>687.0</v>
      </c>
      <c r="E878" s="69" t="s">
        <v>735</v>
      </c>
      <c r="F878" s="140" t="s">
        <v>403</v>
      </c>
      <c r="G878" s="69">
        <v>3.0</v>
      </c>
      <c r="H878" s="140">
        <v>2200000.0</v>
      </c>
      <c r="I878" s="140">
        <v>2300000.0</v>
      </c>
      <c r="J878" s="192">
        <v>46289.0</v>
      </c>
      <c r="K878" s="74">
        <f>if(F878="SERVICE",O878-(O878*50%),Vlookup(F878,DATABASE!C:Q,10,false)*G878)</f>
        <v>0</v>
      </c>
      <c r="L878" s="74">
        <f>VLOOKUP(F878,DATABASE!C:Q,7,FALSE)</f>
        <v>2160000</v>
      </c>
      <c r="M878" s="140">
        <v>2100000.0</v>
      </c>
      <c r="N878" s="74">
        <f t="shared" si="11"/>
        <v>2100000</v>
      </c>
      <c r="O878" s="74">
        <f t="shared" si="3"/>
        <v>6600000</v>
      </c>
      <c r="P878" s="63">
        <f t="shared" si="4"/>
        <v>6900000</v>
      </c>
      <c r="Q878" s="63">
        <f t="shared" si="12"/>
        <v>600000</v>
      </c>
      <c r="R878" s="93" t="str">
        <f>VLOOKUP(F878,DATABASE!C:Q,4,false)</f>
        <v>Advance</v>
      </c>
      <c r="S878" s="93" t="str">
        <f>VLOOKUP(F878,DATABASE!C:P,11,false)</f>
        <v>Tire</v>
      </c>
      <c r="T878" s="93" t="str">
        <f>vlookup(F878,DATABASE!C:Q,8,false)</f>
        <v>BIAN</v>
      </c>
      <c r="Z878" s="9"/>
    </row>
    <row r="879" ht="22.5" customHeight="1">
      <c r="A879" s="49"/>
      <c r="C879" s="400">
        <v>46260.0</v>
      </c>
      <c r="D879" s="69">
        <v>705.0</v>
      </c>
      <c r="E879" s="69" t="s">
        <v>254</v>
      </c>
      <c r="F879" s="140" t="s">
        <v>924</v>
      </c>
      <c r="G879" s="524">
        <v>1.0</v>
      </c>
      <c r="H879" s="140">
        <v>1660000.0</v>
      </c>
      <c r="I879" s="140">
        <v>1760000.0</v>
      </c>
      <c r="J879" s="192">
        <v>46290.0</v>
      </c>
      <c r="K879" s="74">
        <f>if(F879="SERVICE",O879-(O879*50%),Vlookup(F879,DATABASE!C:Q,10,false)*G879)</f>
        <v>0</v>
      </c>
      <c r="L879" s="74">
        <f>VLOOKUP(F879,DATABASE!C:Q,7,FALSE)</f>
        <v>1560000</v>
      </c>
      <c r="M879" s="74">
        <v>1560000.0</v>
      </c>
      <c r="N879" s="74">
        <f t="shared" si="11"/>
        <v>1560000</v>
      </c>
      <c r="O879" s="74">
        <f t="shared" si="3"/>
        <v>1660000</v>
      </c>
      <c r="P879" s="63">
        <f t="shared" si="4"/>
        <v>1760000</v>
      </c>
      <c r="Q879" s="63">
        <f t="shared" si="12"/>
        <v>200000</v>
      </c>
      <c r="R879" s="93" t="str">
        <f>VLOOKUP(F879,DATABASE!C:Q,4,false)</f>
        <v>TIRON</v>
      </c>
      <c r="S879" s="93" t="str">
        <f>VLOOKUP(F879,DATABASE!C:P,11,false)</f>
        <v>Tire</v>
      </c>
      <c r="T879" s="93" t="str">
        <f>vlookup(F879,DATABASE!C:Q,8,false)</f>
        <v>BIAN</v>
      </c>
      <c r="Z879" s="9"/>
    </row>
    <row r="880" ht="22.5" customHeight="1">
      <c r="A880" s="49"/>
      <c r="C880" s="400">
        <v>46261.0</v>
      </c>
      <c r="D880" s="69">
        <v>714.0</v>
      </c>
      <c r="E880" s="69" t="s">
        <v>208</v>
      </c>
      <c r="F880" s="140" t="s">
        <v>1974</v>
      </c>
      <c r="G880" s="524">
        <v>2.0</v>
      </c>
      <c r="H880" s="140">
        <v>1325000.0</v>
      </c>
      <c r="I880" s="140">
        <v>1425000.0</v>
      </c>
      <c r="J880" s="192">
        <v>46291.0</v>
      </c>
      <c r="K880" s="74">
        <f>if(F880="SERVICE",O880-(O880*50%),Vlookup(F880,DATABASE!C:Q,10,false)*G880)</f>
        <v>0</v>
      </c>
      <c r="L880" s="74">
        <f>VLOOKUP(F880,DATABASE!C:Q,7,FALSE)</f>
        <v>1221100</v>
      </c>
      <c r="M880" s="74">
        <v>1221100.0</v>
      </c>
      <c r="N880" s="74">
        <f t="shared" si="11"/>
        <v>1225000</v>
      </c>
      <c r="O880" s="74">
        <f t="shared" si="3"/>
        <v>2650000</v>
      </c>
      <c r="P880" s="63">
        <f t="shared" si="4"/>
        <v>2850000</v>
      </c>
      <c r="Q880" s="63">
        <f t="shared" si="12"/>
        <v>400000</v>
      </c>
      <c r="R880" s="93" t="str">
        <f>VLOOKUP(F880,DATABASE!C:Q,4,false)</f>
        <v>GT</v>
      </c>
      <c r="S880" s="93" t="str">
        <f>VLOOKUP(F880,DATABASE!C:P,11,false)</f>
        <v>Tire</v>
      </c>
      <c r="T880" s="93" t="str">
        <f>vlookup(F880,DATABASE!C:Q,8,false)</f>
        <v>BIAN</v>
      </c>
      <c r="Z880" s="9"/>
    </row>
    <row r="881" ht="22.5" customHeight="1">
      <c r="A881" s="49"/>
      <c r="C881" s="400">
        <v>46261.0</v>
      </c>
      <c r="D881" s="69">
        <v>707.0</v>
      </c>
      <c r="E881" s="69" t="s">
        <v>74</v>
      </c>
      <c r="F881" s="140" t="s">
        <v>791</v>
      </c>
      <c r="G881" s="524">
        <v>2.0</v>
      </c>
      <c r="H881" s="140">
        <v>1350000.0</v>
      </c>
      <c r="I881" s="140">
        <v>1350000.0</v>
      </c>
      <c r="J881" s="192">
        <v>46291.0</v>
      </c>
      <c r="K881" s="74">
        <f>if(F881="SERVICE",O881-(O881*50%),Vlookup(F881,DATABASE!C:Q,10,false)*G881)</f>
        <v>0</v>
      </c>
      <c r="L881" s="74">
        <f>VLOOKUP(F881,DATABASE!C:Q,7,FALSE)</f>
        <v>1210000</v>
      </c>
      <c r="M881" s="74">
        <v>1210000.0</v>
      </c>
      <c r="N881" s="74">
        <f t="shared" si="11"/>
        <v>1210000</v>
      </c>
      <c r="O881" s="74">
        <f t="shared" si="3"/>
        <v>2700000</v>
      </c>
      <c r="P881" s="63">
        <f t="shared" si="4"/>
        <v>2700000</v>
      </c>
      <c r="Q881" s="63">
        <f t="shared" si="12"/>
        <v>280000</v>
      </c>
      <c r="R881" s="93" t="str">
        <f>VLOOKUP(F881,DATABASE!C:Q,4,false)</f>
        <v>GT</v>
      </c>
      <c r="S881" s="93" t="str">
        <f>VLOOKUP(F881,DATABASE!C:P,11,false)</f>
        <v>Tire</v>
      </c>
      <c r="T881" s="93" t="str">
        <f>vlookup(F881,DATABASE!C:Q,8,false)</f>
        <v>BIAN</v>
      </c>
      <c r="Z881" s="9"/>
    </row>
    <row r="882" ht="22.5" customHeight="1">
      <c r="A882" s="49"/>
      <c r="C882" s="400">
        <v>46261.0</v>
      </c>
      <c r="D882" s="69">
        <v>707.0</v>
      </c>
      <c r="E882" s="69" t="s">
        <v>74</v>
      </c>
      <c r="F882" s="140" t="s">
        <v>255</v>
      </c>
      <c r="G882" s="524">
        <v>2.0</v>
      </c>
      <c r="H882" s="140">
        <v>210000.0</v>
      </c>
      <c r="I882" s="140">
        <v>210000.0</v>
      </c>
      <c r="J882" s="192">
        <v>46291.0</v>
      </c>
      <c r="K882" s="74">
        <f>if(F882="SERVICE",O882-(O882*50%),Vlookup(F882,DATABASE!C:Q,10,false)*G882)</f>
        <v>0</v>
      </c>
      <c r="L882" s="74">
        <f>VLOOKUP(F882,DATABASE!C:Q,7,FALSE)</f>
        <v>161840</v>
      </c>
      <c r="M882" s="74">
        <v>161840.0</v>
      </c>
      <c r="N882" s="74">
        <f t="shared" si="11"/>
        <v>165000</v>
      </c>
      <c r="O882" s="74">
        <f t="shared" si="3"/>
        <v>420000</v>
      </c>
      <c r="P882" s="63">
        <f t="shared" si="4"/>
        <v>420000</v>
      </c>
      <c r="Q882" s="63">
        <f t="shared" si="12"/>
        <v>90000</v>
      </c>
      <c r="R882" s="93" t="str">
        <f>VLOOKUP(F882,DATABASE!C:Q,4,false)</f>
        <v>BD</v>
      </c>
      <c r="S882" s="93" t="str">
        <f>VLOOKUP(F882,DATABASE!C:P,11,false)</f>
        <v>Tire</v>
      </c>
      <c r="T882" s="93" t="str">
        <f>vlookup(F882,DATABASE!C:Q,8,false)</f>
        <v>BIAN</v>
      </c>
      <c r="Z882" s="9"/>
    </row>
    <row r="883" ht="22.5" customHeight="1">
      <c r="A883" s="49"/>
      <c r="C883" s="400">
        <v>46261.0</v>
      </c>
      <c r="D883" s="69">
        <v>707.0</v>
      </c>
      <c r="E883" s="69" t="s">
        <v>74</v>
      </c>
      <c r="F883" s="140" t="s">
        <v>284</v>
      </c>
      <c r="G883" s="524">
        <v>2.0</v>
      </c>
      <c r="H883" s="140">
        <v>70000.0</v>
      </c>
      <c r="I883" s="140">
        <v>70000.0</v>
      </c>
      <c r="J883" s="192">
        <v>46291.0</v>
      </c>
      <c r="K883" s="74">
        <f>if(F883="SERVICE",O883-(O883*50%),Vlookup(F883,DATABASE!C:Q,10,false)*G883)</f>
        <v>0</v>
      </c>
      <c r="L883" s="74">
        <f>VLOOKUP(F883,DATABASE!C:Q,7,FALSE)</f>
        <v>36630</v>
      </c>
      <c r="M883" s="74">
        <v>36630.0</v>
      </c>
      <c r="N883" s="74">
        <f t="shared" si="11"/>
        <v>40000</v>
      </c>
      <c r="O883" s="74">
        <f t="shared" si="3"/>
        <v>140000</v>
      </c>
      <c r="P883" s="63">
        <f t="shared" si="4"/>
        <v>140000</v>
      </c>
      <c r="Q883" s="63">
        <f t="shared" si="12"/>
        <v>60000</v>
      </c>
      <c r="R883" s="93" t="str">
        <f>VLOOKUP(F883,DATABASE!C:Q,4,false)</f>
        <v>Flap</v>
      </c>
      <c r="S883" s="93" t="str">
        <f>VLOOKUP(F883,DATABASE!C:P,11,false)</f>
        <v>Tire</v>
      </c>
      <c r="T883" s="93" t="str">
        <f>vlookup(F883,DATABASE!C:Q,8,false)</f>
        <v>BIAN</v>
      </c>
      <c r="Z883" s="9"/>
    </row>
    <row r="884" ht="22.5" customHeight="1">
      <c r="A884" s="49"/>
      <c r="C884" s="400">
        <v>46265.0</v>
      </c>
      <c r="D884" s="69">
        <v>753.0</v>
      </c>
      <c r="E884" s="69" t="s">
        <v>249</v>
      </c>
      <c r="F884" s="140" t="s">
        <v>286</v>
      </c>
      <c r="G884" s="524">
        <v>1.0</v>
      </c>
      <c r="H884" s="140">
        <v>580000.0</v>
      </c>
      <c r="I884" s="140">
        <v>660000.0</v>
      </c>
      <c r="J884" s="192">
        <v>46295.0</v>
      </c>
      <c r="K884" s="74">
        <f>if(F884="SERVICE",O884-(O884*50%),Vlookup(F884,DATABASE!C:Q,10,false)*G884)</f>
        <v>0</v>
      </c>
      <c r="L884" s="74">
        <f>VLOOKUP(F884,DATABASE!C:Q,7,FALSE)</f>
        <v>488320</v>
      </c>
      <c r="M884" s="74">
        <v>488320.0</v>
      </c>
      <c r="N884" s="74">
        <f t="shared" si="11"/>
        <v>490000</v>
      </c>
      <c r="O884" s="74">
        <f t="shared" si="3"/>
        <v>580000</v>
      </c>
      <c r="P884" s="63">
        <f t="shared" si="4"/>
        <v>660000</v>
      </c>
      <c r="Q884" s="63">
        <f t="shared" si="12"/>
        <v>170000</v>
      </c>
      <c r="R884" s="93" t="str">
        <f>VLOOKUP(F884,DATABASE!C:Q,4,false)</f>
        <v>GT</v>
      </c>
      <c r="S884" s="93" t="str">
        <f>VLOOKUP(F884,DATABASE!C:P,11,false)</f>
        <v>Tire</v>
      </c>
      <c r="T884" s="93" t="str">
        <f>vlookup(F884,DATABASE!C:Q,8,false)</f>
        <v>BIAN</v>
      </c>
      <c r="Z884" s="9"/>
    </row>
    <row r="885" ht="22.5" customHeight="1">
      <c r="A885" s="49"/>
      <c r="C885" s="400">
        <v>46266.0</v>
      </c>
      <c r="D885" s="69">
        <v>767.0</v>
      </c>
      <c r="E885" s="69" t="s">
        <v>661</v>
      </c>
      <c r="F885" s="140" t="s">
        <v>1862</v>
      </c>
      <c r="G885" s="524">
        <v>1.0</v>
      </c>
      <c r="H885" s="140">
        <v>2180000.0</v>
      </c>
      <c r="I885" s="140">
        <v>2280000.0</v>
      </c>
      <c r="J885" s="192">
        <v>46296.0</v>
      </c>
      <c r="K885" s="74">
        <f>if(F885="SERVICE",O885-(O885*50%),Vlookup(F885,DATABASE!C:Q,10,false)*G885)</f>
        <v>0</v>
      </c>
      <c r="L885" s="74">
        <f>VLOOKUP(F885,DATABASE!C:Q,7,FALSE)</f>
        <v>2080000</v>
      </c>
      <c r="M885" s="74"/>
      <c r="N885" s="74">
        <f t="shared" si="11"/>
        <v>0</v>
      </c>
      <c r="O885" s="74">
        <f t="shared" si="3"/>
        <v>2180000</v>
      </c>
      <c r="P885" s="63">
        <f t="shared" si="4"/>
        <v>2280000</v>
      </c>
      <c r="Q885" s="63">
        <f t="shared" si="12"/>
        <v>2280000</v>
      </c>
      <c r="R885" s="93" t="str">
        <f>VLOOKUP(F885,DATABASE!C:Q,4,false)</f>
        <v>GiTi</v>
      </c>
      <c r="S885" s="93" t="str">
        <f>VLOOKUP(F885,DATABASE!C:P,11,false)</f>
        <v>Tire</v>
      </c>
      <c r="T885" s="93" t="str">
        <f>vlookup(F885,DATABASE!C:Q,8,false)</f>
        <v>BIAN</v>
      </c>
      <c r="Z885" s="9"/>
    </row>
    <row r="886" ht="22.5" customHeight="1">
      <c r="A886" s="49"/>
      <c r="C886" s="400">
        <v>46266.0</v>
      </c>
      <c r="D886" s="69">
        <v>776.0</v>
      </c>
      <c r="E886" s="69" t="s">
        <v>270</v>
      </c>
      <c r="F886" s="140" t="s">
        <v>1862</v>
      </c>
      <c r="G886" s="524">
        <v>2.0</v>
      </c>
      <c r="H886" s="140">
        <v>2180000.0</v>
      </c>
      <c r="I886" s="140">
        <v>2280000.0</v>
      </c>
      <c r="J886" s="192">
        <v>46296.0</v>
      </c>
      <c r="K886" s="74">
        <f>if(F886="SERVICE",O886-(O886*50%),Vlookup(F886,DATABASE!C:Q,10,false)*G886)</f>
        <v>0</v>
      </c>
      <c r="L886" s="74">
        <f>VLOOKUP(F886,DATABASE!C:Q,7,FALSE)</f>
        <v>2080000</v>
      </c>
      <c r="M886" s="74"/>
      <c r="N886" s="74">
        <f t="shared" si="11"/>
        <v>0</v>
      </c>
      <c r="O886" s="74">
        <f t="shared" si="3"/>
        <v>4360000</v>
      </c>
      <c r="P886" s="63">
        <f t="shared" si="4"/>
        <v>4560000</v>
      </c>
      <c r="Q886" s="63">
        <f t="shared" si="12"/>
        <v>4560000</v>
      </c>
      <c r="R886" s="93" t="str">
        <f>VLOOKUP(F886,DATABASE!C:Q,4,false)</f>
        <v>GiTi</v>
      </c>
      <c r="S886" s="93" t="str">
        <f>VLOOKUP(F886,DATABASE!C:P,11,false)</f>
        <v>Tire</v>
      </c>
      <c r="T886" s="93" t="str">
        <f>vlookup(F886,DATABASE!C:Q,8,false)</f>
        <v>BIAN</v>
      </c>
      <c r="Z886" s="9"/>
    </row>
    <row r="887" ht="22.5" customHeight="1">
      <c r="A887" s="49"/>
      <c r="C887" s="400">
        <v>46266.0</v>
      </c>
      <c r="D887" s="69">
        <v>776.0</v>
      </c>
      <c r="E887" s="69" t="s">
        <v>270</v>
      </c>
      <c r="F887" s="140" t="s">
        <v>924</v>
      </c>
      <c r="G887" s="524">
        <v>1.0</v>
      </c>
      <c r="H887" s="140">
        <v>1660000.0</v>
      </c>
      <c r="I887" s="140">
        <v>1760000.0</v>
      </c>
      <c r="J887" s="192">
        <v>46296.0</v>
      </c>
      <c r="K887" s="74">
        <f>if(F887="SERVICE",O887-(O887*50%),Vlookup(F887,DATABASE!C:Q,10,false)*G887)</f>
        <v>0</v>
      </c>
      <c r="L887" s="74">
        <f>VLOOKUP(F887,DATABASE!C:Q,7,FALSE)</f>
        <v>1560000</v>
      </c>
      <c r="M887" s="74"/>
      <c r="N887" s="74">
        <f t="shared" si="11"/>
        <v>0</v>
      </c>
      <c r="O887" s="74">
        <f t="shared" si="3"/>
        <v>1660000</v>
      </c>
      <c r="P887" s="63">
        <f t="shared" si="4"/>
        <v>1760000</v>
      </c>
      <c r="Q887" s="63">
        <f t="shared" si="12"/>
        <v>1760000</v>
      </c>
      <c r="R887" s="93" t="str">
        <f>VLOOKUP(F887,DATABASE!C:Q,4,false)</f>
        <v>TIRON</v>
      </c>
      <c r="S887" s="93" t="str">
        <f>VLOOKUP(F887,DATABASE!C:P,11,false)</f>
        <v>Tire</v>
      </c>
      <c r="T887" s="93" t="str">
        <f>vlookup(F887,DATABASE!C:Q,8,false)</f>
        <v>BIAN</v>
      </c>
      <c r="Z887" s="9"/>
    </row>
    <row r="888" ht="22.5" customHeight="1">
      <c r="A888" s="49"/>
      <c r="C888" s="400">
        <v>46270.0</v>
      </c>
      <c r="D888" s="69">
        <v>806.0</v>
      </c>
      <c r="E888" s="69" t="s">
        <v>267</v>
      </c>
      <c r="F888" s="140" t="s">
        <v>295</v>
      </c>
      <c r="G888" s="524">
        <v>2.0</v>
      </c>
      <c r="H888" s="140">
        <v>1580000.0</v>
      </c>
      <c r="I888" s="140">
        <v>1680000.0</v>
      </c>
      <c r="J888" s="192">
        <v>46300.0</v>
      </c>
      <c r="K888" s="74">
        <f>if(F888="SERVICE",O888-(O888*50%),Vlookup(F888,DATABASE!C:Q,10,false)*G888)</f>
        <v>0</v>
      </c>
      <c r="L888" s="74">
        <f>VLOOKUP(F888,DATABASE!C:Q,7,FALSE)</f>
        <v>1475000</v>
      </c>
      <c r="M888" s="74"/>
      <c r="N888" s="74">
        <f t="shared" si="11"/>
        <v>0</v>
      </c>
      <c r="O888" s="74">
        <f t="shared" si="3"/>
        <v>3160000</v>
      </c>
      <c r="P888" s="63">
        <f t="shared" si="4"/>
        <v>3360000</v>
      </c>
      <c r="Q888" s="63">
        <f t="shared" si="12"/>
        <v>3360000</v>
      </c>
      <c r="R888" s="93" t="str">
        <f>VLOOKUP(F888,DATABASE!C:Q,4,false)</f>
        <v>TIRON</v>
      </c>
      <c r="S888" s="93" t="str">
        <f>VLOOKUP(F888,DATABASE!C:P,11,false)</f>
        <v>Tire</v>
      </c>
      <c r="T888" s="93" t="str">
        <f>vlookup(F888,DATABASE!C:Q,8,false)</f>
        <v>BIAN</v>
      </c>
      <c r="Z888" s="9"/>
    </row>
    <row r="889" ht="22.5" customHeight="1">
      <c r="A889" s="49"/>
      <c r="C889" s="400">
        <v>46270.0</v>
      </c>
      <c r="D889" s="69">
        <v>804.0</v>
      </c>
      <c r="E889" s="69" t="s">
        <v>346</v>
      </c>
      <c r="F889" s="140" t="s">
        <v>2345</v>
      </c>
      <c r="G889" s="524">
        <v>2.0</v>
      </c>
      <c r="H889" s="140">
        <v>780000.0</v>
      </c>
      <c r="I889" s="140">
        <v>880000.0</v>
      </c>
      <c r="J889" s="192">
        <v>46300.0</v>
      </c>
      <c r="K889" s="74">
        <f>if(F889="SERVICE",O889-(O889*50%),Vlookup(F889,DATABASE!C:Q,10,false)*G889)</f>
        <v>0</v>
      </c>
      <c r="L889" s="74">
        <f>VLOOKUP(F889,DATABASE!C:Q,7,FALSE)</f>
        <v>680000</v>
      </c>
      <c r="M889" s="74"/>
      <c r="N889" s="74">
        <f t="shared" si="11"/>
        <v>0</v>
      </c>
      <c r="O889" s="74">
        <f t="shared" si="3"/>
        <v>1560000</v>
      </c>
      <c r="P889" s="63">
        <f t="shared" si="4"/>
        <v>1760000</v>
      </c>
      <c r="Q889" s="63">
        <f t="shared" si="12"/>
        <v>1760000</v>
      </c>
      <c r="R889" s="93" t="str">
        <f>VLOOKUP(F889,DATABASE!C:Q,4,false)</f>
        <v>Velg</v>
      </c>
      <c r="S889" s="93" t="str">
        <f>VLOOKUP(F889,DATABASE!C:P,11,false)</f>
        <v>Tire</v>
      </c>
      <c r="T889" s="93" t="str">
        <f>vlookup(F889,DATABASE!C:Q,8,false)</f>
        <v>BIAN</v>
      </c>
      <c r="Z889" s="9"/>
    </row>
    <row r="890" ht="22.5" customHeight="1">
      <c r="A890" s="49"/>
      <c r="C890" s="400">
        <v>46270.0</v>
      </c>
      <c r="D890" s="69">
        <v>804.0</v>
      </c>
      <c r="E890" s="69" t="s">
        <v>346</v>
      </c>
      <c r="F890" s="140" t="s">
        <v>2605</v>
      </c>
      <c r="G890" s="524">
        <v>1.0</v>
      </c>
      <c r="H890" s="140">
        <v>750000.0</v>
      </c>
      <c r="I890" s="140">
        <v>780000.0</v>
      </c>
      <c r="J890" s="192">
        <v>46300.0</v>
      </c>
      <c r="K890" s="74">
        <f>if(F890="SERVICE",O890-(O890*50%),Vlookup(F890,DATABASE!C:Q,10,false)*G890)</f>
        <v>0</v>
      </c>
      <c r="L890" s="74">
        <f>VLOOKUP(F890,DATABASE!C:Q,7,FALSE)</f>
        <v>650000</v>
      </c>
      <c r="M890" s="74"/>
      <c r="N890" s="74">
        <f t="shared" si="11"/>
        <v>0</v>
      </c>
      <c r="O890" s="74">
        <f t="shared" si="3"/>
        <v>750000</v>
      </c>
      <c r="P890" s="63">
        <f t="shared" si="4"/>
        <v>780000</v>
      </c>
      <c r="Q890" s="63">
        <f t="shared" si="12"/>
        <v>780000</v>
      </c>
      <c r="R890" s="93" t="str">
        <f>VLOOKUP(F890,DATABASE!C:Q,4,false)</f>
        <v>Velg</v>
      </c>
      <c r="S890" s="93" t="str">
        <f>VLOOKUP(F890,DATABASE!C:P,11,false)</f>
        <v>Tire</v>
      </c>
      <c r="T890" s="93" t="str">
        <f>vlookup(F890,DATABASE!C:Q,8,false)</f>
        <v>BIAN</v>
      </c>
      <c r="Z890" s="9"/>
    </row>
    <row r="891" ht="22.5" customHeight="1">
      <c r="A891" s="49"/>
      <c r="C891" s="400">
        <v>46272.0</v>
      </c>
      <c r="D891" s="69">
        <v>827.0</v>
      </c>
      <c r="E891" s="69" t="s">
        <v>274</v>
      </c>
      <c r="F891" s="140" t="s">
        <v>924</v>
      </c>
      <c r="G891" s="524">
        <v>2.0</v>
      </c>
      <c r="H891" s="140">
        <v>1660000.0</v>
      </c>
      <c r="I891" s="140">
        <v>1760000.0</v>
      </c>
      <c r="J891" s="192">
        <v>46302.0</v>
      </c>
      <c r="K891" s="74">
        <f>if(F891="SERVICE",O891-(O891*50%),Vlookup(F891,DATABASE!C:Q,10,false)*G891)</f>
        <v>0</v>
      </c>
      <c r="L891" s="74">
        <f>VLOOKUP(F891,DATABASE!C:Q,7,FALSE)</f>
        <v>1560000</v>
      </c>
      <c r="M891" s="74"/>
      <c r="N891" s="74">
        <f t="shared" si="11"/>
        <v>0</v>
      </c>
      <c r="O891" s="74">
        <f t="shared" si="3"/>
        <v>3320000</v>
      </c>
      <c r="P891" s="63">
        <f t="shared" si="4"/>
        <v>3520000</v>
      </c>
      <c r="Q891" s="63">
        <f t="shared" si="12"/>
        <v>3520000</v>
      </c>
      <c r="R891" s="93" t="str">
        <f>VLOOKUP(F891,DATABASE!C:Q,4,false)</f>
        <v>TIRON</v>
      </c>
      <c r="S891" s="93" t="str">
        <f>VLOOKUP(F891,DATABASE!C:P,11,false)</f>
        <v>Tire</v>
      </c>
      <c r="T891" s="93" t="str">
        <f>vlookup(F891,DATABASE!C:Q,8,false)</f>
        <v>BIAN</v>
      </c>
      <c r="Z891" s="9"/>
    </row>
    <row r="892" ht="22.5" customHeight="1">
      <c r="A892" s="49"/>
      <c r="C892" s="400">
        <v>46276.0</v>
      </c>
      <c r="D892" s="69">
        <v>871.0</v>
      </c>
      <c r="E892" s="69" t="s">
        <v>911</v>
      </c>
      <c r="F892" s="140" t="s">
        <v>1862</v>
      </c>
      <c r="G892" s="524">
        <v>1.0</v>
      </c>
      <c r="H892" s="140">
        <v>2180000.0</v>
      </c>
      <c r="I892" s="140">
        <v>2280000.0</v>
      </c>
      <c r="J892" s="192">
        <v>46306.0</v>
      </c>
      <c r="K892" s="74">
        <f>if(F892="SERVICE",O892-(O892*50%),Vlookup(F892,DATABASE!C:Q,10,false)*G892)</f>
        <v>0</v>
      </c>
      <c r="L892" s="74">
        <f>VLOOKUP(F892,DATABASE!C:Q,7,FALSE)</f>
        <v>2080000</v>
      </c>
      <c r="M892" s="74"/>
      <c r="N892" s="74">
        <f t="shared" si="11"/>
        <v>0</v>
      </c>
      <c r="O892" s="74">
        <f t="shared" si="3"/>
        <v>2180000</v>
      </c>
      <c r="P892" s="63">
        <f t="shared" si="4"/>
        <v>2280000</v>
      </c>
      <c r="Q892" s="63">
        <f t="shared" si="12"/>
        <v>2280000</v>
      </c>
      <c r="R892" s="93" t="str">
        <f>VLOOKUP(F892,DATABASE!C:Q,4,false)</f>
        <v>GiTi</v>
      </c>
      <c r="S892" s="93" t="str">
        <f>VLOOKUP(F892,DATABASE!C:P,11,false)</f>
        <v>Tire</v>
      </c>
      <c r="T892" s="93" t="str">
        <f>vlookup(F892,DATABASE!C:Q,8,false)</f>
        <v>BIAN</v>
      </c>
      <c r="Z892" s="9"/>
    </row>
    <row r="893" ht="22.5" customHeight="1">
      <c r="A893" s="49"/>
      <c r="C893" s="400">
        <v>46277.0</v>
      </c>
      <c r="D893" s="69">
        <v>880.0</v>
      </c>
      <c r="E893" s="69" t="s">
        <v>267</v>
      </c>
      <c r="F893" s="140" t="s">
        <v>924</v>
      </c>
      <c r="G893" s="524">
        <v>2.0</v>
      </c>
      <c r="H893" s="140">
        <v>1660000.0</v>
      </c>
      <c r="I893" s="140">
        <v>1760000.0</v>
      </c>
      <c r="J893" s="192">
        <v>46307.0</v>
      </c>
      <c r="K893" s="74">
        <f>if(F893="SERVICE",O893-(O893*50%),Vlookup(F893,DATABASE!C:Q,10,false)*G893)</f>
        <v>0</v>
      </c>
      <c r="L893" s="74">
        <f>VLOOKUP(F893,DATABASE!C:Q,7,FALSE)</f>
        <v>1560000</v>
      </c>
      <c r="M893" s="74"/>
      <c r="N893" s="74">
        <f t="shared" si="11"/>
        <v>0</v>
      </c>
      <c r="O893" s="74">
        <f t="shared" si="3"/>
        <v>3320000</v>
      </c>
      <c r="P893" s="63">
        <f t="shared" si="4"/>
        <v>3520000</v>
      </c>
      <c r="Q893" s="63">
        <f t="shared" si="12"/>
        <v>3520000</v>
      </c>
      <c r="R893" s="93" t="str">
        <f>VLOOKUP(F893,DATABASE!C:Q,4,false)</f>
        <v>TIRON</v>
      </c>
      <c r="S893" s="93" t="str">
        <f>VLOOKUP(F893,DATABASE!C:P,11,false)</f>
        <v>Tire</v>
      </c>
      <c r="T893" s="93" t="str">
        <f>vlookup(F893,DATABASE!C:Q,8,false)</f>
        <v>BIAN</v>
      </c>
      <c r="Z893" s="9"/>
    </row>
    <row r="894" ht="22.5" customHeight="1">
      <c r="A894" s="49"/>
      <c r="C894" s="384"/>
      <c r="F894" s="400"/>
      <c r="H894" s="74"/>
      <c r="I894" s="140"/>
      <c r="K894" s="140"/>
      <c r="L894" s="74" t="str">
        <f>VLOOKUP(I894,DATABASE!C:Q,7,FALSE)</f>
        <v>#N/A</v>
      </c>
      <c r="M894" s="74"/>
      <c r="N894" s="74">
        <f t="shared" si="11"/>
        <v>0</v>
      </c>
      <c r="O894" s="74">
        <f>K894*J894</f>
        <v>0</v>
      </c>
      <c r="P894" s="63" t="str">
        <f>J894*#REF!</f>
        <v>#REF!</v>
      </c>
      <c r="Q894" s="63" t="str">
        <f>if(S894="SERVICE",P894-(#REF!+N894),
    IF(S894="Tire",P894-(N894*J894),
      IF(S894="COMPLEMENTARY",P894-((N894*J894)+#REF!),0)))</f>
        <v>#N/A</v>
      </c>
      <c r="R894" s="93" t="str">
        <f>VLOOKUP(I894,DATABASE!C:Q,4,false)</f>
        <v>#N/A</v>
      </c>
      <c r="S894" s="93" t="str">
        <f>VLOOKUP(I894,DATABASE!C:P,11,false)</f>
        <v>#N/A</v>
      </c>
      <c r="T894" s="93" t="str">
        <f>vlookup(I894,DATABASE!C:Q,8,false)</f>
        <v>#N/A</v>
      </c>
      <c r="Z894" s="9"/>
    </row>
    <row r="895" ht="22.5" customHeight="1">
      <c r="A895" s="49"/>
      <c r="C895" s="400">
        <v>46289.0</v>
      </c>
      <c r="D895" s="69">
        <v>985.0</v>
      </c>
      <c r="E895" s="69" t="s">
        <v>119</v>
      </c>
      <c r="F895" s="140" t="s">
        <v>2605</v>
      </c>
      <c r="G895" s="524">
        <v>2.0</v>
      </c>
      <c r="H895" s="140">
        <v>750000.0</v>
      </c>
      <c r="I895" s="140">
        <v>850000.0</v>
      </c>
      <c r="J895" s="192">
        <v>46319.0</v>
      </c>
      <c r="K895" s="74">
        <f>if(F895="SERVICE",O895-(O895*50%),Vlookup(F895,DATABASE!C:Q,10,false)*G895)</f>
        <v>0</v>
      </c>
      <c r="L895" s="74">
        <f>VLOOKUP(F895,DATABASE!C:Q,7,FALSE)</f>
        <v>650000</v>
      </c>
      <c r="M895" s="74"/>
      <c r="N895" s="74">
        <f t="shared" si="11"/>
        <v>0</v>
      </c>
      <c r="O895" s="74">
        <f t="shared" ref="O895:O2002" si="13">H895*G895</f>
        <v>1500000</v>
      </c>
      <c r="P895" s="63">
        <f t="shared" ref="P895:P2002" si="14">G895*I895</f>
        <v>1700000</v>
      </c>
      <c r="Q895" s="63">
        <f t="shared" ref="Q895:Q2002" si="15">if(S895="SERVICE",P895-(K895+N895),
    IF(S895="Tire",P895-(N895*G895),
      IF(S895="COMPLEMENTARY",P895-((N895*G895)+K895),0)))</f>
        <v>1700000</v>
      </c>
      <c r="R895" s="93" t="str">
        <f>VLOOKUP(F895,DATABASE!C:Q,4,false)</f>
        <v>Velg</v>
      </c>
      <c r="S895" s="93" t="str">
        <f>VLOOKUP(F895,DATABASE!C:P,11,false)</f>
        <v>Tire</v>
      </c>
      <c r="T895" s="93" t="str">
        <f>vlookup(F895,DATABASE!C:Q,8,false)</f>
        <v>BIAN</v>
      </c>
      <c r="Z895" s="9"/>
    </row>
    <row r="896" ht="22.5" customHeight="1">
      <c r="A896" s="49"/>
      <c r="C896" s="384"/>
      <c r="D896" s="93"/>
      <c r="F896" s="74"/>
      <c r="H896" s="74"/>
      <c r="I896" s="74"/>
      <c r="J896" s="74"/>
      <c r="K896" s="74" t="str">
        <f>if(F896="SERVICE",O896-(O896*50%),Vlookup(F896,DATABASE!C:Q,10,false)*G896)</f>
        <v>#N/A</v>
      </c>
      <c r="L896" s="74" t="str">
        <f>VLOOKUP(F896,DATABASE!C:Q,7,FALSE)</f>
        <v>#N/A</v>
      </c>
      <c r="M896" s="74"/>
      <c r="N896" s="74">
        <f t="shared" si="11"/>
        <v>0</v>
      </c>
      <c r="O896" s="74">
        <f t="shared" si="13"/>
        <v>0</v>
      </c>
      <c r="P896" s="63">
        <f t="shared" si="14"/>
        <v>0</v>
      </c>
      <c r="Q896" s="63" t="str">
        <f t="shared" si="15"/>
        <v>#N/A</v>
      </c>
      <c r="R896" s="93" t="str">
        <f>VLOOKUP(F896,DATABASE!C:Q,4,false)</f>
        <v>#N/A</v>
      </c>
      <c r="S896" s="93" t="str">
        <f>VLOOKUP(F896,DATABASE!C:P,11,false)</f>
        <v>#N/A</v>
      </c>
      <c r="T896" s="93" t="str">
        <f>vlookup(F896,DATABASE!C:Q,8,false)</f>
        <v>#N/A</v>
      </c>
      <c r="Z896" s="9"/>
    </row>
    <row r="897" ht="22.5" customHeight="1">
      <c r="A897" s="49"/>
      <c r="C897" s="384"/>
      <c r="D897" s="93"/>
      <c r="F897" s="74"/>
      <c r="H897" s="74"/>
      <c r="I897" s="74"/>
      <c r="J897" s="74"/>
      <c r="K897" s="74" t="str">
        <f>if(F897="SERVICE",O897-(O897*50%),Vlookup(F897,DATABASE!C:Q,10,false)*G897)</f>
        <v>#N/A</v>
      </c>
      <c r="L897" s="74" t="str">
        <f>VLOOKUP(F897,DATABASE!C:Q,7,FALSE)</f>
        <v>#N/A</v>
      </c>
      <c r="M897" s="74"/>
      <c r="N897" s="74">
        <f t="shared" si="11"/>
        <v>0</v>
      </c>
      <c r="O897" s="74">
        <f t="shared" si="13"/>
        <v>0</v>
      </c>
      <c r="P897" s="63">
        <f t="shared" si="14"/>
        <v>0</v>
      </c>
      <c r="Q897" s="63" t="str">
        <f t="shared" si="15"/>
        <v>#N/A</v>
      </c>
      <c r="R897" s="93" t="str">
        <f>VLOOKUP(F897,DATABASE!C:Q,4,false)</f>
        <v>#N/A</v>
      </c>
      <c r="S897" s="93" t="str">
        <f>VLOOKUP(F897,DATABASE!C:P,11,false)</f>
        <v>#N/A</v>
      </c>
      <c r="T897" s="93" t="str">
        <f>vlookup(F897,DATABASE!C:Q,8,false)</f>
        <v>#N/A</v>
      </c>
      <c r="Z897" s="9"/>
    </row>
    <row r="898" ht="22.5" customHeight="1">
      <c r="A898" s="49"/>
      <c r="C898" s="384"/>
      <c r="D898" s="93"/>
      <c r="F898" s="74"/>
      <c r="H898" s="74"/>
      <c r="I898" s="74"/>
      <c r="J898" s="74"/>
      <c r="K898" s="74" t="str">
        <f>if(F898="SERVICE",O898-(O898*50%),Vlookup(F898,DATABASE!C:Q,10,false)*G898)</f>
        <v>#N/A</v>
      </c>
      <c r="L898" s="74" t="str">
        <f>VLOOKUP(F898,DATABASE!C:Q,7,FALSE)</f>
        <v>#N/A</v>
      </c>
      <c r="M898" s="74"/>
      <c r="N898" s="74">
        <f t="shared" si="11"/>
        <v>0</v>
      </c>
      <c r="O898" s="74">
        <f t="shared" si="13"/>
        <v>0</v>
      </c>
      <c r="P898" s="63">
        <f t="shared" si="14"/>
        <v>0</v>
      </c>
      <c r="Q898" s="63" t="str">
        <f t="shared" si="15"/>
        <v>#N/A</v>
      </c>
      <c r="R898" s="93" t="str">
        <f>VLOOKUP(F898,DATABASE!C:Q,4,false)</f>
        <v>#N/A</v>
      </c>
      <c r="S898" s="93" t="str">
        <f>VLOOKUP(F898,DATABASE!C:P,11,false)</f>
        <v>#N/A</v>
      </c>
      <c r="T898" s="93" t="str">
        <f>vlookup(F898,DATABASE!C:Q,8,false)</f>
        <v>#N/A</v>
      </c>
      <c r="Z898" s="9"/>
    </row>
    <row r="899" ht="22.5" customHeight="1">
      <c r="A899" s="49"/>
      <c r="C899" s="384"/>
      <c r="D899" s="93"/>
      <c r="F899" s="74"/>
      <c r="H899" s="74"/>
      <c r="I899" s="74"/>
      <c r="J899" s="74"/>
      <c r="K899" s="74" t="str">
        <f>if(F899="SERVICE",O899-(O899*50%),Vlookup(F899,DATABASE!C:Q,10,false)*G899)</f>
        <v>#N/A</v>
      </c>
      <c r="L899" s="74" t="str">
        <f>VLOOKUP(F899,DATABASE!C:Q,7,FALSE)</f>
        <v>#N/A</v>
      </c>
      <c r="M899" s="74"/>
      <c r="N899" s="74">
        <f t="shared" si="11"/>
        <v>0</v>
      </c>
      <c r="O899" s="74">
        <f t="shared" si="13"/>
        <v>0</v>
      </c>
      <c r="P899" s="63">
        <f t="shared" si="14"/>
        <v>0</v>
      </c>
      <c r="Q899" s="63" t="str">
        <f t="shared" si="15"/>
        <v>#N/A</v>
      </c>
      <c r="R899" s="93" t="str">
        <f>VLOOKUP(F899,DATABASE!C:Q,4,false)</f>
        <v>#N/A</v>
      </c>
      <c r="S899" s="93" t="str">
        <f>VLOOKUP(F899,DATABASE!C:P,11,false)</f>
        <v>#N/A</v>
      </c>
      <c r="T899" s="93" t="str">
        <f>vlookup(F899,DATABASE!C:Q,8,false)</f>
        <v>#N/A</v>
      </c>
      <c r="Z899" s="9"/>
    </row>
    <row r="900" ht="22.5" customHeight="1">
      <c r="A900" s="49"/>
      <c r="C900" s="384"/>
      <c r="D900" s="93"/>
      <c r="F900" s="74"/>
      <c r="H900" s="74"/>
      <c r="I900" s="74"/>
      <c r="J900" s="74"/>
      <c r="K900" s="74" t="str">
        <f>if(F900="SERVICE",O900-(O900*50%),Vlookup(F900,DATABASE!C:Q,10,false)*G900)</f>
        <v>#N/A</v>
      </c>
      <c r="L900" s="74" t="str">
        <f>VLOOKUP(F900,DATABASE!C:Q,7,FALSE)</f>
        <v>#N/A</v>
      </c>
      <c r="M900" s="74"/>
      <c r="N900" s="74">
        <f t="shared" si="11"/>
        <v>0</v>
      </c>
      <c r="O900" s="74">
        <f t="shared" si="13"/>
        <v>0</v>
      </c>
      <c r="P900" s="63">
        <f t="shared" si="14"/>
        <v>0</v>
      </c>
      <c r="Q900" s="63" t="str">
        <f t="shared" si="15"/>
        <v>#N/A</v>
      </c>
      <c r="R900" s="93" t="str">
        <f>VLOOKUP(F900,DATABASE!C:Q,4,false)</f>
        <v>#N/A</v>
      </c>
      <c r="S900" s="93" t="str">
        <f>VLOOKUP(F900,DATABASE!C:P,11,false)</f>
        <v>#N/A</v>
      </c>
      <c r="T900" s="93" t="str">
        <f>vlookup(F900,DATABASE!C:Q,8,false)</f>
        <v>#N/A</v>
      </c>
      <c r="Z900" s="9"/>
    </row>
    <row r="901" ht="22.5" customHeight="1">
      <c r="A901" s="49"/>
      <c r="C901" s="384"/>
      <c r="D901" s="93"/>
      <c r="F901" s="74"/>
      <c r="H901" s="74"/>
      <c r="I901" s="74"/>
      <c r="J901" s="74"/>
      <c r="K901" s="74" t="str">
        <f>if(F901="SERVICE",O901-(O901*50%),Vlookup(F901,DATABASE!C:Q,10,false)*G901)</f>
        <v>#N/A</v>
      </c>
      <c r="L901" s="74" t="str">
        <f>VLOOKUP(F901,DATABASE!C:Q,7,FALSE)</f>
        <v>#N/A</v>
      </c>
      <c r="M901" s="74"/>
      <c r="N901" s="74">
        <f t="shared" si="11"/>
        <v>0</v>
      </c>
      <c r="O901" s="74">
        <f t="shared" si="13"/>
        <v>0</v>
      </c>
      <c r="P901" s="63">
        <f t="shared" si="14"/>
        <v>0</v>
      </c>
      <c r="Q901" s="63" t="str">
        <f t="shared" si="15"/>
        <v>#N/A</v>
      </c>
      <c r="R901" s="93" t="str">
        <f>VLOOKUP(F901,DATABASE!C:Q,4,false)</f>
        <v>#N/A</v>
      </c>
      <c r="S901" s="93" t="str">
        <f>VLOOKUP(F901,DATABASE!C:P,11,false)</f>
        <v>#N/A</v>
      </c>
      <c r="T901" s="93" t="str">
        <f>vlookup(F901,DATABASE!C:Q,8,false)</f>
        <v>#N/A</v>
      </c>
      <c r="Z901" s="9"/>
    </row>
    <row r="902" ht="22.5" customHeight="1">
      <c r="A902" s="49"/>
      <c r="C902" s="384"/>
      <c r="D902" s="93"/>
      <c r="F902" s="74"/>
      <c r="H902" s="74"/>
      <c r="I902" s="74"/>
      <c r="J902" s="74"/>
      <c r="K902" s="74" t="str">
        <f>if(F902="SERVICE",O902-(O902*50%),Vlookup(F902,DATABASE!C:Q,10,false)*G902)</f>
        <v>#N/A</v>
      </c>
      <c r="L902" s="74" t="str">
        <f>VLOOKUP(F902,DATABASE!C:Q,7,FALSE)</f>
        <v>#N/A</v>
      </c>
      <c r="M902" s="74"/>
      <c r="N902" s="74">
        <f t="shared" si="11"/>
        <v>0</v>
      </c>
      <c r="O902" s="74">
        <f t="shared" si="13"/>
        <v>0</v>
      </c>
      <c r="P902" s="63">
        <f t="shared" si="14"/>
        <v>0</v>
      </c>
      <c r="Q902" s="63" t="str">
        <f t="shared" si="15"/>
        <v>#N/A</v>
      </c>
      <c r="R902" s="93" t="str">
        <f>VLOOKUP(F902,DATABASE!C:Q,4,false)</f>
        <v>#N/A</v>
      </c>
      <c r="S902" s="93" t="str">
        <f>VLOOKUP(F902,DATABASE!C:P,11,false)</f>
        <v>#N/A</v>
      </c>
      <c r="T902" s="93" t="str">
        <f>vlookup(F902,DATABASE!C:Q,8,false)</f>
        <v>#N/A</v>
      </c>
      <c r="Z902" s="9"/>
    </row>
    <row r="903" ht="22.5" customHeight="1">
      <c r="A903" s="49"/>
      <c r="C903" s="384"/>
      <c r="D903" s="93"/>
      <c r="F903" s="74"/>
      <c r="H903" s="74"/>
      <c r="I903" s="74"/>
      <c r="J903" s="74"/>
      <c r="K903" s="74" t="str">
        <f>if(F903="SERVICE",O903-(O903*50%),Vlookup(F903,DATABASE!C:Q,10,false)*G903)</f>
        <v>#N/A</v>
      </c>
      <c r="L903" s="74" t="str">
        <f>VLOOKUP(F903,DATABASE!C:Q,7,FALSE)</f>
        <v>#N/A</v>
      </c>
      <c r="M903" s="74"/>
      <c r="N903" s="74">
        <f t="shared" si="11"/>
        <v>0</v>
      </c>
      <c r="O903" s="74">
        <f t="shared" si="13"/>
        <v>0</v>
      </c>
      <c r="P903" s="63">
        <f t="shared" si="14"/>
        <v>0</v>
      </c>
      <c r="Q903" s="63" t="str">
        <f t="shared" si="15"/>
        <v>#N/A</v>
      </c>
      <c r="R903" s="93" t="str">
        <f>VLOOKUP(F903,DATABASE!C:Q,4,false)</f>
        <v>#N/A</v>
      </c>
      <c r="S903" s="93" t="str">
        <f>VLOOKUP(F903,DATABASE!C:P,11,false)</f>
        <v>#N/A</v>
      </c>
      <c r="T903" s="93" t="str">
        <f>vlookup(F903,DATABASE!C:Q,8,false)</f>
        <v>#N/A</v>
      </c>
      <c r="Z903" s="9"/>
    </row>
    <row r="904" ht="22.5" customHeight="1">
      <c r="A904" s="49"/>
      <c r="C904" s="384"/>
      <c r="D904" s="93"/>
      <c r="F904" s="74"/>
      <c r="H904" s="74"/>
      <c r="I904" s="74"/>
      <c r="J904" s="74"/>
      <c r="K904" s="74" t="str">
        <f>if(F904="SERVICE",O904-(O904*50%),Vlookup(F904,DATABASE!C:Q,10,false)*G904)</f>
        <v>#N/A</v>
      </c>
      <c r="L904" s="74" t="str">
        <f>VLOOKUP(F904,DATABASE!C:Q,7,FALSE)</f>
        <v>#N/A</v>
      </c>
      <c r="M904" s="74"/>
      <c r="N904" s="74">
        <f t="shared" si="11"/>
        <v>0</v>
      </c>
      <c r="O904" s="74">
        <f t="shared" si="13"/>
        <v>0</v>
      </c>
      <c r="P904" s="63">
        <f t="shared" si="14"/>
        <v>0</v>
      </c>
      <c r="Q904" s="63" t="str">
        <f t="shared" si="15"/>
        <v>#N/A</v>
      </c>
      <c r="R904" s="93" t="str">
        <f>VLOOKUP(F904,DATABASE!C:Q,4,false)</f>
        <v>#N/A</v>
      </c>
      <c r="S904" s="93" t="str">
        <f>VLOOKUP(F904,DATABASE!C:P,11,false)</f>
        <v>#N/A</v>
      </c>
      <c r="T904" s="93" t="str">
        <f>vlookup(F904,DATABASE!C:Q,8,false)</f>
        <v>#N/A</v>
      </c>
      <c r="Z904" s="9"/>
    </row>
    <row r="905" ht="22.5" customHeight="1">
      <c r="A905" s="49"/>
      <c r="C905" s="384"/>
      <c r="D905" s="93"/>
      <c r="F905" s="74"/>
      <c r="H905" s="74"/>
      <c r="I905" s="74"/>
      <c r="J905" s="74"/>
      <c r="K905" s="74" t="str">
        <f>if(F905="SERVICE",O905-(O905*50%),Vlookup(F905,DATABASE!C:Q,10,false)*G905)</f>
        <v>#N/A</v>
      </c>
      <c r="L905" s="74" t="str">
        <f>VLOOKUP(F905,DATABASE!C:Q,7,FALSE)</f>
        <v>#N/A</v>
      </c>
      <c r="M905" s="74"/>
      <c r="N905" s="74">
        <f t="shared" si="11"/>
        <v>0</v>
      </c>
      <c r="O905" s="74">
        <f t="shared" si="13"/>
        <v>0</v>
      </c>
      <c r="P905" s="63">
        <f t="shared" si="14"/>
        <v>0</v>
      </c>
      <c r="Q905" s="63" t="str">
        <f t="shared" si="15"/>
        <v>#N/A</v>
      </c>
      <c r="R905" s="93" t="str">
        <f>VLOOKUP(F905,DATABASE!C:Q,4,false)</f>
        <v>#N/A</v>
      </c>
      <c r="S905" s="93" t="str">
        <f>VLOOKUP(F905,DATABASE!C:P,11,false)</f>
        <v>#N/A</v>
      </c>
      <c r="T905" s="93" t="str">
        <f>vlookup(F905,DATABASE!C:Q,8,false)</f>
        <v>#N/A</v>
      </c>
      <c r="Z905" s="9"/>
    </row>
    <row r="906" ht="22.5" customHeight="1">
      <c r="A906" s="49"/>
      <c r="C906" s="384"/>
      <c r="D906" s="93"/>
      <c r="F906" s="74"/>
      <c r="H906" s="74"/>
      <c r="I906" s="74"/>
      <c r="J906" s="74"/>
      <c r="K906" s="74" t="str">
        <f>if(F906="SERVICE",O906-(O906*50%),Vlookup(F906,DATABASE!C:Q,10,false)*G906)</f>
        <v>#N/A</v>
      </c>
      <c r="L906" s="74" t="str">
        <f>VLOOKUP(F906,DATABASE!C:Q,7,FALSE)</f>
        <v>#N/A</v>
      </c>
      <c r="M906" s="74"/>
      <c r="N906" s="74">
        <f t="shared" si="11"/>
        <v>0</v>
      </c>
      <c r="O906" s="74">
        <f t="shared" si="13"/>
        <v>0</v>
      </c>
      <c r="P906" s="63">
        <f t="shared" si="14"/>
        <v>0</v>
      </c>
      <c r="Q906" s="63" t="str">
        <f t="shared" si="15"/>
        <v>#N/A</v>
      </c>
      <c r="R906" s="93" t="str">
        <f>VLOOKUP(F906,DATABASE!C:Q,4,false)</f>
        <v>#N/A</v>
      </c>
      <c r="S906" s="93" t="str">
        <f>VLOOKUP(F906,DATABASE!C:P,11,false)</f>
        <v>#N/A</v>
      </c>
      <c r="T906" s="93" t="str">
        <f>vlookup(F906,DATABASE!C:Q,8,false)</f>
        <v>#N/A</v>
      </c>
      <c r="Z906" s="9"/>
    </row>
    <row r="907" ht="22.5" customHeight="1">
      <c r="A907" s="49"/>
      <c r="C907" s="384"/>
      <c r="D907" s="93"/>
      <c r="F907" s="74"/>
      <c r="H907" s="74"/>
      <c r="I907" s="74"/>
      <c r="J907" s="74"/>
      <c r="K907" s="74" t="str">
        <f>if(F907="SERVICE",O907-(O907*50%),Vlookup(F907,DATABASE!C:Q,10,false)*G907)</f>
        <v>#N/A</v>
      </c>
      <c r="L907" s="74" t="str">
        <f>VLOOKUP(F907,DATABASE!C:Q,7,FALSE)</f>
        <v>#N/A</v>
      </c>
      <c r="M907" s="74"/>
      <c r="N907" s="74">
        <f t="shared" si="11"/>
        <v>0</v>
      </c>
      <c r="O907" s="74">
        <f t="shared" si="13"/>
        <v>0</v>
      </c>
      <c r="P907" s="63">
        <f t="shared" si="14"/>
        <v>0</v>
      </c>
      <c r="Q907" s="63" t="str">
        <f t="shared" si="15"/>
        <v>#N/A</v>
      </c>
      <c r="R907" s="93" t="str">
        <f>VLOOKUP(F907,DATABASE!C:Q,4,false)</f>
        <v>#N/A</v>
      </c>
      <c r="S907" s="93" t="str">
        <f>VLOOKUP(F907,DATABASE!C:P,11,false)</f>
        <v>#N/A</v>
      </c>
      <c r="T907" s="93" t="str">
        <f>vlookup(F907,DATABASE!C:Q,8,false)</f>
        <v>#N/A</v>
      </c>
      <c r="Z907" s="9"/>
    </row>
    <row r="908" ht="22.5" customHeight="1">
      <c r="A908" s="49"/>
      <c r="C908" s="384"/>
      <c r="D908" s="93"/>
      <c r="F908" s="74"/>
      <c r="H908" s="74"/>
      <c r="I908" s="74"/>
      <c r="J908" s="74"/>
      <c r="K908" s="74" t="str">
        <f>if(F908="SERVICE",O908-(O908*50%),Vlookup(F908,DATABASE!C:Q,10,false)*G908)</f>
        <v>#N/A</v>
      </c>
      <c r="L908" s="74" t="str">
        <f>VLOOKUP(F908,DATABASE!C:Q,7,FALSE)</f>
        <v>#N/A</v>
      </c>
      <c r="M908" s="74"/>
      <c r="N908" s="74">
        <f t="shared" si="11"/>
        <v>0</v>
      </c>
      <c r="O908" s="74">
        <f t="shared" si="13"/>
        <v>0</v>
      </c>
      <c r="P908" s="63">
        <f t="shared" si="14"/>
        <v>0</v>
      </c>
      <c r="Q908" s="63" t="str">
        <f t="shared" si="15"/>
        <v>#N/A</v>
      </c>
      <c r="R908" s="93" t="str">
        <f>VLOOKUP(F908,DATABASE!C:Q,4,false)</f>
        <v>#N/A</v>
      </c>
      <c r="S908" s="93" t="str">
        <f>VLOOKUP(F908,DATABASE!C:P,11,false)</f>
        <v>#N/A</v>
      </c>
      <c r="T908" s="93" t="str">
        <f>vlookup(F908,DATABASE!C:Q,8,false)</f>
        <v>#N/A</v>
      </c>
      <c r="Z908" s="9"/>
    </row>
    <row r="909" ht="22.5" customHeight="1">
      <c r="A909" s="49"/>
      <c r="C909" s="384"/>
      <c r="D909" s="93"/>
      <c r="F909" s="74"/>
      <c r="H909" s="74"/>
      <c r="I909" s="74"/>
      <c r="J909" s="74"/>
      <c r="K909" s="74" t="str">
        <f>if(F909="SERVICE",O909-(O909*50%),Vlookup(F909,DATABASE!C:Q,10,false)*G909)</f>
        <v>#N/A</v>
      </c>
      <c r="L909" s="74" t="str">
        <f>VLOOKUP(F909,DATABASE!C:Q,7,FALSE)</f>
        <v>#N/A</v>
      </c>
      <c r="M909" s="74"/>
      <c r="N909" s="74">
        <f t="shared" si="11"/>
        <v>0</v>
      </c>
      <c r="O909" s="74">
        <f t="shared" si="13"/>
        <v>0</v>
      </c>
      <c r="P909" s="63">
        <f t="shared" si="14"/>
        <v>0</v>
      </c>
      <c r="Q909" s="63" t="str">
        <f t="shared" si="15"/>
        <v>#N/A</v>
      </c>
      <c r="R909" s="93" t="str">
        <f>VLOOKUP(F909,DATABASE!C:Q,4,false)</f>
        <v>#N/A</v>
      </c>
      <c r="S909" s="93" t="str">
        <f>VLOOKUP(F909,DATABASE!C:P,11,false)</f>
        <v>#N/A</v>
      </c>
      <c r="T909" s="93" t="str">
        <f>vlookup(F909,DATABASE!C:Q,8,false)</f>
        <v>#N/A</v>
      </c>
      <c r="Z909" s="9"/>
    </row>
    <row r="910" ht="22.5" customHeight="1">
      <c r="A910" s="49"/>
      <c r="C910" s="384"/>
      <c r="D910" s="93"/>
      <c r="F910" s="74"/>
      <c r="H910" s="74"/>
      <c r="I910" s="74"/>
      <c r="J910" s="74"/>
      <c r="K910" s="74" t="str">
        <f>if(F910="SERVICE",O910-(O910*50%),Vlookup(F910,DATABASE!C:Q,10,false)*G910)</f>
        <v>#N/A</v>
      </c>
      <c r="L910" s="74" t="str">
        <f>VLOOKUP(F910,DATABASE!C:Q,7,FALSE)</f>
        <v>#N/A</v>
      </c>
      <c r="M910" s="74"/>
      <c r="N910" s="74">
        <f t="shared" si="11"/>
        <v>0</v>
      </c>
      <c r="O910" s="74">
        <f t="shared" si="13"/>
        <v>0</v>
      </c>
      <c r="P910" s="63">
        <f t="shared" si="14"/>
        <v>0</v>
      </c>
      <c r="Q910" s="63" t="str">
        <f t="shared" si="15"/>
        <v>#N/A</v>
      </c>
      <c r="R910" s="93" t="str">
        <f>VLOOKUP(F910,DATABASE!C:Q,4,false)</f>
        <v>#N/A</v>
      </c>
      <c r="S910" s="93" t="str">
        <f>VLOOKUP(F910,DATABASE!C:P,11,false)</f>
        <v>#N/A</v>
      </c>
      <c r="T910" s="93" t="str">
        <f>vlookup(F910,DATABASE!C:Q,8,false)</f>
        <v>#N/A</v>
      </c>
      <c r="Z910" s="9"/>
    </row>
    <row r="911" ht="22.5" customHeight="1">
      <c r="A911" s="49"/>
      <c r="C911" s="384"/>
      <c r="D911" s="93"/>
      <c r="F911" s="74"/>
      <c r="H911" s="74"/>
      <c r="I911" s="74"/>
      <c r="J911" s="74"/>
      <c r="K911" s="74" t="str">
        <f>if(F911="SERVICE",O911-(O911*50%),Vlookup(F911,DATABASE!C:Q,10,false)*G911)</f>
        <v>#N/A</v>
      </c>
      <c r="L911" s="74" t="str">
        <f>VLOOKUP(F911,DATABASE!C:Q,7,FALSE)</f>
        <v>#N/A</v>
      </c>
      <c r="M911" s="74"/>
      <c r="N911" s="74">
        <f t="shared" si="11"/>
        <v>0</v>
      </c>
      <c r="O911" s="74">
        <f t="shared" si="13"/>
        <v>0</v>
      </c>
      <c r="P911" s="63">
        <f t="shared" si="14"/>
        <v>0</v>
      </c>
      <c r="Q911" s="63" t="str">
        <f t="shared" si="15"/>
        <v>#N/A</v>
      </c>
      <c r="R911" s="93" t="str">
        <f>VLOOKUP(F911,DATABASE!C:Q,4,false)</f>
        <v>#N/A</v>
      </c>
      <c r="S911" s="93" t="str">
        <f>VLOOKUP(F911,DATABASE!C:P,11,false)</f>
        <v>#N/A</v>
      </c>
      <c r="T911" s="93" t="str">
        <f>vlookup(F911,DATABASE!C:Q,8,false)</f>
        <v>#N/A</v>
      </c>
      <c r="Z911" s="9"/>
    </row>
    <row r="912" ht="22.5" customHeight="1">
      <c r="A912" s="49"/>
      <c r="C912" s="384"/>
      <c r="D912" s="93"/>
      <c r="F912" s="74"/>
      <c r="H912" s="74"/>
      <c r="I912" s="74"/>
      <c r="J912" s="74"/>
      <c r="K912" s="74" t="str">
        <f>if(F912="SERVICE",O912-(O912*50%),Vlookup(F912,DATABASE!C:Q,10,false)*G912)</f>
        <v>#N/A</v>
      </c>
      <c r="L912" s="74" t="str">
        <f>VLOOKUP(F912,DATABASE!C:Q,7,FALSE)</f>
        <v>#N/A</v>
      </c>
      <c r="M912" s="74"/>
      <c r="N912" s="74">
        <f t="shared" si="11"/>
        <v>0</v>
      </c>
      <c r="O912" s="74">
        <f t="shared" si="13"/>
        <v>0</v>
      </c>
      <c r="P912" s="63">
        <f t="shared" si="14"/>
        <v>0</v>
      </c>
      <c r="Q912" s="63" t="str">
        <f t="shared" si="15"/>
        <v>#N/A</v>
      </c>
      <c r="R912" s="93" t="str">
        <f>VLOOKUP(F912,DATABASE!C:Q,4,false)</f>
        <v>#N/A</v>
      </c>
      <c r="S912" s="93" t="str">
        <f>VLOOKUP(F912,DATABASE!C:P,11,false)</f>
        <v>#N/A</v>
      </c>
      <c r="T912" s="93" t="str">
        <f>vlookup(F912,DATABASE!C:Q,8,false)</f>
        <v>#N/A</v>
      </c>
      <c r="Z912" s="9"/>
    </row>
    <row r="913" ht="22.5" customHeight="1">
      <c r="A913" s="49"/>
      <c r="C913" s="384"/>
      <c r="D913" s="93"/>
      <c r="F913" s="74"/>
      <c r="H913" s="74"/>
      <c r="I913" s="74"/>
      <c r="J913" s="74"/>
      <c r="K913" s="74" t="str">
        <f>if(F913="SERVICE",O913-(O913*50%),Vlookup(F913,DATABASE!C:Q,10,false)*G913)</f>
        <v>#N/A</v>
      </c>
      <c r="L913" s="74" t="str">
        <f>VLOOKUP(F913,DATABASE!C:Q,7,FALSE)</f>
        <v>#N/A</v>
      </c>
      <c r="M913" s="74"/>
      <c r="N913" s="74">
        <f t="shared" si="11"/>
        <v>0</v>
      </c>
      <c r="O913" s="74">
        <f t="shared" si="13"/>
        <v>0</v>
      </c>
      <c r="P913" s="63">
        <f t="shared" si="14"/>
        <v>0</v>
      </c>
      <c r="Q913" s="63" t="str">
        <f t="shared" si="15"/>
        <v>#N/A</v>
      </c>
      <c r="R913" s="93" t="str">
        <f>VLOOKUP(F913,DATABASE!C:Q,4,false)</f>
        <v>#N/A</v>
      </c>
      <c r="S913" s="93" t="str">
        <f>VLOOKUP(F913,DATABASE!C:P,11,false)</f>
        <v>#N/A</v>
      </c>
      <c r="T913" s="93" t="str">
        <f>vlookup(F913,DATABASE!C:Q,8,false)</f>
        <v>#N/A</v>
      </c>
      <c r="Z913" s="9"/>
    </row>
    <row r="914" ht="22.5" customHeight="1">
      <c r="A914" s="49"/>
      <c r="C914" s="384"/>
      <c r="D914" s="93"/>
      <c r="F914" s="74"/>
      <c r="H914" s="74"/>
      <c r="I914" s="74"/>
      <c r="J914" s="74"/>
      <c r="K914" s="74" t="str">
        <f>if(F914="SERVICE",O914-(O914*50%),Vlookup(F914,DATABASE!C:Q,10,false)*G914)</f>
        <v>#N/A</v>
      </c>
      <c r="L914" s="74" t="str">
        <f>VLOOKUP(F914,DATABASE!C:Q,7,FALSE)</f>
        <v>#N/A</v>
      </c>
      <c r="M914" s="74"/>
      <c r="N914" s="74">
        <f t="shared" si="11"/>
        <v>0</v>
      </c>
      <c r="O914" s="74">
        <f t="shared" si="13"/>
        <v>0</v>
      </c>
      <c r="P914" s="63">
        <f t="shared" si="14"/>
        <v>0</v>
      </c>
      <c r="Q914" s="63" t="str">
        <f t="shared" si="15"/>
        <v>#N/A</v>
      </c>
      <c r="R914" s="93" t="str">
        <f>VLOOKUP(F914,DATABASE!C:Q,4,false)</f>
        <v>#N/A</v>
      </c>
      <c r="S914" s="93" t="str">
        <f>VLOOKUP(F914,DATABASE!C:P,11,false)</f>
        <v>#N/A</v>
      </c>
      <c r="T914" s="93" t="str">
        <f>vlookup(F914,DATABASE!C:Q,8,false)</f>
        <v>#N/A</v>
      </c>
      <c r="Z914" s="9"/>
    </row>
    <row r="915" ht="22.5" customHeight="1">
      <c r="A915" s="49"/>
      <c r="C915" s="384"/>
      <c r="D915" s="93"/>
      <c r="F915" s="74"/>
      <c r="H915" s="74"/>
      <c r="I915" s="74"/>
      <c r="J915" s="74"/>
      <c r="K915" s="74" t="str">
        <f>if(F915="SERVICE",O915-(O915*50%),Vlookup(F915,DATABASE!C:Q,10,false)*G915)</f>
        <v>#N/A</v>
      </c>
      <c r="L915" s="74" t="str">
        <f>VLOOKUP(F915,DATABASE!C:Q,7,FALSE)</f>
        <v>#N/A</v>
      </c>
      <c r="M915" s="74"/>
      <c r="N915" s="74">
        <f t="shared" si="11"/>
        <v>0</v>
      </c>
      <c r="O915" s="74">
        <f t="shared" si="13"/>
        <v>0</v>
      </c>
      <c r="P915" s="63">
        <f t="shared" si="14"/>
        <v>0</v>
      </c>
      <c r="Q915" s="63" t="str">
        <f t="shared" si="15"/>
        <v>#N/A</v>
      </c>
      <c r="R915" s="93" t="str">
        <f>VLOOKUP(F915,DATABASE!C:Q,4,false)</f>
        <v>#N/A</v>
      </c>
      <c r="S915" s="93" t="str">
        <f>VLOOKUP(F915,DATABASE!C:P,11,false)</f>
        <v>#N/A</v>
      </c>
      <c r="T915" s="93" t="str">
        <f>vlookup(F915,DATABASE!C:Q,8,false)</f>
        <v>#N/A</v>
      </c>
      <c r="Z915" s="9"/>
    </row>
    <row r="916" ht="22.5" customHeight="1">
      <c r="A916" s="49"/>
      <c r="C916" s="384"/>
      <c r="D916" s="93"/>
      <c r="F916" s="74"/>
      <c r="H916" s="74"/>
      <c r="I916" s="74"/>
      <c r="J916" s="74"/>
      <c r="K916" s="74" t="str">
        <f>if(F916="SERVICE",O916-(O916*50%),Vlookup(F916,DATABASE!C:Q,10,false)*G916)</f>
        <v>#N/A</v>
      </c>
      <c r="L916" s="74" t="str">
        <f>VLOOKUP(F916,DATABASE!C:Q,7,FALSE)</f>
        <v>#N/A</v>
      </c>
      <c r="M916" s="74"/>
      <c r="N916" s="74">
        <f t="shared" si="11"/>
        <v>0</v>
      </c>
      <c r="O916" s="74">
        <f t="shared" si="13"/>
        <v>0</v>
      </c>
      <c r="P916" s="63">
        <f t="shared" si="14"/>
        <v>0</v>
      </c>
      <c r="Q916" s="63" t="str">
        <f t="shared" si="15"/>
        <v>#N/A</v>
      </c>
      <c r="R916" s="93" t="str">
        <f>VLOOKUP(F916,DATABASE!C:Q,4,false)</f>
        <v>#N/A</v>
      </c>
      <c r="S916" s="93" t="str">
        <f>VLOOKUP(F916,DATABASE!C:P,11,false)</f>
        <v>#N/A</v>
      </c>
      <c r="T916" s="93" t="str">
        <f>vlookup(F916,DATABASE!C:Q,8,false)</f>
        <v>#N/A</v>
      </c>
      <c r="Z916" s="9"/>
    </row>
    <row r="917" ht="22.5" customHeight="1">
      <c r="A917" s="49"/>
      <c r="C917" s="384"/>
      <c r="D917" s="93"/>
      <c r="F917" s="74"/>
      <c r="H917" s="74"/>
      <c r="I917" s="74"/>
      <c r="J917" s="74"/>
      <c r="K917" s="74" t="str">
        <f>if(F917="SERVICE",O917-(O917*50%),Vlookup(F917,DATABASE!C:Q,10,false)*G917)</f>
        <v>#N/A</v>
      </c>
      <c r="L917" s="74" t="str">
        <f>VLOOKUP(F917,DATABASE!C:Q,7,FALSE)</f>
        <v>#N/A</v>
      </c>
      <c r="M917" s="74"/>
      <c r="N917" s="74">
        <f t="shared" si="11"/>
        <v>0</v>
      </c>
      <c r="O917" s="74">
        <f t="shared" si="13"/>
        <v>0</v>
      </c>
      <c r="P917" s="63">
        <f t="shared" si="14"/>
        <v>0</v>
      </c>
      <c r="Q917" s="63" t="str">
        <f t="shared" si="15"/>
        <v>#N/A</v>
      </c>
      <c r="R917" s="93" t="str">
        <f>VLOOKUP(F917,DATABASE!C:Q,4,false)</f>
        <v>#N/A</v>
      </c>
      <c r="S917" s="93" t="str">
        <f>VLOOKUP(F917,DATABASE!C:P,11,false)</f>
        <v>#N/A</v>
      </c>
      <c r="T917" s="93" t="str">
        <f>vlookup(F917,DATABASE!C:Q,8,false)</f>
        <v>#N/A</v>
      </c>
      <c r="Z917" s="9"/>
    </row>
    <row r="918" ht="22.5" customHeight="1">
      <c r="A918" s="49"/>
      <c r="C918" s="384"/>
      <c r="D918" s="93"/>
      <c r="F918" s="74"/>
      <c r="H918" s="74"/>
      <c r="I918" s="74"/>
      <c r="J918" s="74"/>
      <c r="K918" s="74" t="str">
        <f>if(F918="SERVICE",O918-(O918*50%),Vlookup(F918,DATABASE!C:Q,10,false)*G918)</f>
        <v>#N/A</v>
      </c>
      <c r="L918" s="74" t="str">
        <f>VLOOKUP(F918,DATABASE!C:Q,7,FALSE)</f>
        <v>#N/A</v>
      </c>
      <c r="M918" s="74"/>
      <c r="N918" s="74">
        <f t="shared" si="11"/>
        <v>0</v>
      </c>
      <c r="O918" s="74">
        <f t="shared" si="13"/>
        <v>0</v>
      </c>
      <c r="P918" s="63">
        <f t="shared" si="14"/>
        <v>0</v>
      </c>
      <c r="Q918" s="63" t="str">
        <f t="shared" si="15"/>
        <v>#N/A</v>
      </c>
      <c r="R918" s="93" t="str">
        <f>VLOOKUP(F918,DATABASE!C:Q,4,false)</f>
        <v>#N/A</v>
      </c>
      <c r="S918" s="93" t="str">
        <f>VLOOKUP(F918,DATABASE!C:P,11,false)</f>
        <v>#N/A</v>
      </c>
      <c r="T918" s="93" t="str">
        <f>vlookup(F918,DATABASE!C:Q,8,false)</f>
        <v>#N/A</v>
      </c>
      <c r="Z918" s="9"/>
    </row>
    <row r="919" ht="22.5" customHeight="1">
      <c r="A919" s="49"/>
      <c r="C919" s="384"/>
      <c r="D919" s="93"/>
      <c r="F919" s="74"/>
      <c r="H919" s="74"/>
      <c r="I919" s="74"/>
      <c r="J919" s="74"/>
      <c r="K919" s="74" t="str">
        <f>if(F919="SERVICE",O919-(O919*50%),Vlookup(F919,DATABASE!C:Q,10,false)*G919)</f>
        <v>#N/A</v>
      </c>
      <c r="L919" s="74" t="str">
        <f>VLOOKUP(F919,DATABASE!C:Q,7,FALSE)</f>
        <v>#N/A</v>
      </c>
      <c r="M919" s="74"/>
      <c r="N919" s="74">
        <f t="shared" si="11"/>
        <v>0</v>
      </c>
      <c r="O919" s="74">
        <f t="shared" si="13"/>
        <v>0</v>
      </c>
      <c r="P919" s="63">
        <f t="shared" si="14"/>
        <v>0</v>
      </c>
      <c r="Q919" s="63" t="str">
        <f t="shared" si="15"/>
        <v>#N/A</v>
      </c>
      <c r="R919" s="93" t="str">
        <f>VLOOKUP(F919,DATABASE!C:Q,4,false)</f>
        <v>#N/A</v>
      </c>
      <c r="S919" s="93" t="str">
        <f>VLOOKUP(F919,DATABASE!C:P,11,false)</f>
        <v>#N/A</v>
      </c>
      <c r="T919" s="93" t="str">
        <f>vlookup(F919,DATABASE!C:Q,8,false)</f>
        <v>#N/A</v>
      </c>
      <c r="Z919" s="9"/>
    </row>
    <row r="920" ht="22.5" customHeight="1">
      <c r="A920" s="49"/>
      <c r="C920" s="384"/>
      <c r="D920" s="93"/>
      <c r="F920" s="74"/>
      <c r="H920" s="74"/>
      <c r="I920" s="74"/>
      <c r="J920" s="74"/>
      <c r="K920" s="74" t="str">
        <f>if(F920="SERVICE",O920-(O920*50%),Vlookup(F920,DATABASE!C:Q,10,false)*G920)</f>
        <v>#N/A</v>
      </c>
      <c r="L920" s="74" t="str">
        <f>VLOOKUP(F920,DATABASE!C:Q,7,FALSE)</f>
        <v>#N/A</v>
      </c>
      <c r="M920" s="74"/>
      <c r="N920" s="74">
        <f t="shared" si="11"/>
        <v>0</v>
      </c>
      <c r="O920" s="74">
        <f t="shared" si="13"/>
        <v>0</v>
      </c>
      <c r="P920" s="63">
        <f t="shared" si="14"/>
        <v>0</v>
      </c>
      <c r="Q920" s="63" t="str">
        <f t="shared" si="15"/>
        <v>#N/A</v>
      </c>
      <c r="R920" s="93" t="str">
        <f>VLOOKUP(F920,DATABASE!C:Q,4,false)</f>
        <v>#N/A</v>
      </c>
      <c r="S920" s="93" t="str">
        <f>VLOOKUP(F920,DATABASE!C:P,11,false)</f>
        <v>#N/A</v>
      </c>
      <c r="T920" s="93" t="str">
        <f>vlookup(F920,DATABASE!C:Q,8,false)</f>
        <v>#N/A</v>
      </c>
      <c r="Z920" s="9"/>
    </row>
    <row r="921" ht="22.5" customHeight="1">
      <c r="A921" s="49"/>
      <c r="C921" s="384"/>
      <c r="D921" s="93"/>
      <c r="F921" s="74"/>
      <c r="H921" s="74"/>
      <c r="I921" s="74"/>
      <c r="J921" s="74"/>
      <c r="K921" s="74" t="str">
        <f>if(F921="SERVICE",O921-(O921*50%),Vlookup(F921,DATABASE!C:Q,10,false)*G921)</f>
        <v>#N/A</v>
      </c>
      <c r="L921" s="74" t="str">
        <f>VLOOKUP(F921,DATABASE!C:Q,7,FALSE)</f>
        <v>#N/A</v>
      </c>
      <c r="M921" s="74"/>
      <c r="N921" s="74">
        <f t="shared" si="11"/>
        <v>0</v>
      </c>
      <c r="O921" s="74">
        <f t="shared" si="13"/>
        <v>0</v>
      </c>
      <c r="P921" s="63">
        <f t="shared" si="14"/>
        <v>0</v>
      </c>
      <c r="Q921" s="63" t="str">
        <f t="shared" si="15"/>
        <v>#N/A</v>
      </c>
      <c r="R921" s="93" t="str">
        <f>VLOOKUP(F921,DATABASE!C:Q,4,false)</f>
        <v>#N/A</v>
      </c>
      <c r="S921" s="93" t="str">
        <f>VLOOKUP(F921,DATABASE!C:P,11,false)</f>
        <v>#N/A</v>
      </c>
      <c r="T921" s="93" t="str">
        <f>vlookup(F921,DATABASE!C:Q,8,false)</f>
        <v>#N/A</v>
      </c>
      <c r="Z921" s="9"/>
    </row>
    <row r="922" ht="22.5" customHeight="1">
      <c r="A922" s="49"/>
      <c r="C922" s="384"/>
      <c r="D922" s="93"/>
      <c r="F922" s="74"/>
      <c r="H922" s="74"/>
      <c r="I922" s="74"/>
      <c r="J922" s="74"/>
      <c r="K922" s="74" t="str">
        <f>if(F922="SERVICE",O922-(O922*50%),Vlookup(F922,DATABASE!C:Q,10,false)*G922)</f>
        <v>#N/A</v>
      </c>
      <c r="L922" s="74" t="str">
        <f>VLOOKUP(F922,DATABASE!C:Q,7,FALSE)</f>
        <v>#N/A</v>
      </c>
      <c r="M922" s="74"/>
      <c r="N922" s="74">
        <f t="shared" si="11"/>
        <v>0</v>
      </c>
      <c r="O922" s="74">
        <f t="shared" si="13"/>
        <v>0</v>
      </c>
      <c r="P922" s="63">
        <f t="shared" si="14"/>
        <v>0</v>
      </c>
      <c r="Q922" s="63" t="str">
        <f t="shared" si="15"/>
        <v>#N/A</v>
      </c>
      <c r="R922" s="93" t="str">
        <f>VLOOKUP(F922,DATABASE!C:Q,4,false)</f>
        <v>#N/A</v>
      </c>
      <c r="S922" s="93" t="str">
        <f>VLOOKUP(F922,DATABASE!C:P,11,false)</f>
        <v>#N/A</v>
      </c>
      <c r="T922" s="93" t="str">
        <f>vlookup(F922,DATABASE!C:Q,8,false)</f>
        <v>#N/A</v>
      </c>
      <c r="Z922" s="9"/>
    </row>
    <row r="923" ht="22.5" customHeight="1">
      <c r="A923" s="49"/>
      <c r="C923" s="384"/>
      <c r="D923" s="93"/>
      <c r="F923" s="74"/>
      <c r="H923" s="74"/>
      <c r="I923" s="74"/>
      <c r="J923" s="74"/>
      <c r="K923" s="74" t="str">
        <f>if(F923="SERVICE",O923-(O923*50%),Vlookup(F923,DATABASE!C:Q,10,false)*G923)</f>
        <v>#N/A</v>
      </c>
      <c r="L923" s="74" t="str">
        <f>VLOOKUP(F923,DATABASE!C:Q,7,FALSE)</f>
        <v>#N/A</v>
      </c>
      <c r="M923" s="74"/>
      <c r="N923" s="74">
        <f t="shared" si="11"/>
        <v>0</v>
      </c>
      <c r="O923" s="74">
        <f t="shared" si="13"/>
        <v>0</v>
      </c>
      <c r="P923" s="63">
        <f t="shared" si="14"/>
        <v>0</v>
      </c>
      <c r="Q923" s="63" t="str">
        <f t="shared" si="15"/>
        <v>#N/A</v>
      </c>
      <c r="R923" s="93" t="str">
        <f>VLOOKUP(F923,DATABASE!C:Q,4,false)</f>
        <v>#N/A</v>
      </c>
      <c r="S923" s="93" t="str">
        <f>VLOOKUP(F923,DATABASE!C:P,11,false)</f>
        <v>#N/A</v>
      </c>
      <c r="T923" s="93" t="str">
        <f>vlookup(F923,DATABASE!C:Q,8,false)</f>
        <v>#N/A</v>
      </c>
      <c r="Z923" s="9"/>
    </row>
    <row r="924" ht="22.5" customHeight="1">
      <c r="A924" s="49"/>
      <c r="C924" s="384"/>
      <c r="D924" s="93"/>
      <c r="F924" s="74"/>
      <c r="H924" s="74"/>
      <c r="I924" s="74"/>
      <c r="J924" s="74"/>
      <c r="K924" s="74" t="str">
        <f>if(F924="SERVICE",O924-(O924*50%),Vlookup(F924,DATABASE!C:Q,10,false)*G924)</f>
        <v>#N/A</v>
      </c>
      <c r="L924" s="74" t="str">
        <f>VLOOKUP(F924,DATABASE!C:Q,7,FALSE)</f>
        <v>#N/A</v>
      </c>
      <c r="M924" s="74"/>
      <c r="N924" s="74">
        <f t="shared" si="11"/>
        <v>0</v>
      </c>
      <c r="O924" s="74">
        <f t="shared" si="13"/>
        <v>0</v>
      </c>
      <c r="P924" s="63">
        <f t="shared" si="14"/>
        <v>0</v>
      </c>
      <c r="Q924" s="63" t="str">
        <f t="shared" si="15"/>
        <v>#N/A</v>
      </c>
      <c r="R924" s="93" t="str">
        <f>VLOOKUP(F924,DATABASE!C:Q,4,false)</f>
        <v>#N/A</v>
      </c>
      <c r="S924" s="93" t="str">
        <f>VLOOKUP(F924,DATABASE!C:P,11,false)</f>
        <v>#N/A</v>
      </c>
      <c r="T924" s="93" t="str">
        <f>vlookup(F924,DATABASE!C:Q,8,false)</f>
        <v>#N/A</v>
      </c>
      <c r="Z924" s="9"/>
    </row>
    <row r="925" ht="22.5" customHeight="1">
      <c r="A925" s="49"/>
      <c r="C925" s="384"/>
      <c r="D925" s="93"/>
      <c r="F925" s="74"/>
      <c r="H925" s="74"/>
      <c r="I925" s="74"/>
      <c r="J925" s="74"/>
      <c r="K925" s="74" t="str">
        <f>if(F925="SERVICE",O925-(O925*50%),Vlookup(F925,DATABASE!C:Q,10,false)*G925)</f>
        <v>#N/A</v>
      </c>
      <c r="L925" s="74" t="str">
        <f>VLOOKUP(F925,DATABASE!C:Q,7,FALSE)</f>
        <v>#N/A</v>
      </c>
      <c r="M925" s="74"/>
      <c r="N925" s="74">
        <f t="shared" si="11"/>
        <v>0</v>
      </c>
      <c r="O925" s="74">
        <f t="shared" si="13"/>
        <v>0</v>
      </c>
      <c r="P925" s="63">
        <f t="shared" si="14"/>
        <v>0</v>
      </c>
      <c r="Q925" s="63" t="str">
        <f t="shared" si="15"/>
        <v>#N/A</v>
      </c>
      <c r="R925" s="93" t="str">
        <f>VLOOKUP(F925,DATABASE!C:Q,4,false)</f>
        <v>#N/A</v>
      </c>
      <c r="S925" s="93" t="str">
        <f>VLOOKUP(F925,DATABASE!C:P,11,false)</f>
        <v>#N/A</v>
      </c>
      <c r="T925" s="93" t="str">
        <f>vlookup(F925,DATABASE!C:Q,8,false)</f>
        <v>#N/A</v>
      </c>
      <c r="Z925" s="9"/>
    </row>
    <row r="926" ht="22.5" customHeight="1">
      <c r="A926" s="49"/>
      <c r="C926" s="384"/>
      <c r="D926" s="93"/>
      <c r="F926" s="74"/>
      <c r="H926" s="74"/>
      <c r="I926" s="74"/>
      <c r="J926" s="74"/>
      <c r="K926" s="74" t="str">
        <f>if(F926="SERVICE",O926-(O926*50%),Vlookup(F926,DATABASE!C:Q,10,false)*G926)</f>
        <v>#N/A</v>
      </c>
      <c r="L926" s="74" t="str">
        <f>VLOOKUP(F926,DATABASE!C:Q,7,FALSE)</f>
        <v>#N/A</v>
      </c>
      <c r="M926" s="74"/>
      <c r="N926" s="74">
        <f t="shared" si="11"/>
        <v>0</v>
      </c>
      <c r="O926" s="74">
        <f t="shared" si="13"/>
        <v>0</v>
      </c>
      <c r="P926" s="63">
        <f t="shared" si="14"/>
        <v>0</v>
      </c>
      <c r="Q926" s="63" t="str">
        <f t="shared" si="15"/>
        <v>#N/A</v>
      </c>
      <c r="R926" s="93" t="str">
        <f>VLOOKUP(F926,DATABASE!C:Q,4,false)</f>
        <v>#N/A</v>
      </c>
      <c r="S926" s="93" t="str">
        <f>VLOOKUP(F926,DATABASE!C:P,11,false)</f>
        <v>#N/A</v>
      </c>
      <c r="T926" s="93" t="str">
        <f>vlookup(F926,DATABASE!C:Q,8,false)</f>
        <v>#N/A</v>
      </c>
      <c r="Z926" s="9"/>
    </row>
    <row r="927" ht="22.5" customHeight="1">
      <c r="A927" s="49"/>
      <c r="C927" s="384"/>
      <c r="D927" s="93"/>
      <c r="F927" s="74"/>
      <c r="H927" s="74"/>
      <c r="I927" s="74"/>
      <c r="J927" s="74"/>
      <c r="K927" s="74" t="str">
        <f>if(F927="SERVICE",O927-(O927*50%),Vlookup(F927,DATABASE!C:Q,10,false)*G927)</f>
        <v>#N/A</v>
      </c>
      <c r="L927" s="74" t="str">
        <f>VLOOKUP(F927,DATABASE!C:Q,7,FALSE)</f>
        <v>#N/A</v>
      </c>
      <c r="M927" s="74"/>
      <c r="N927" s="74">
        <f t="shared" si="11"/>
        <v>0</v>
      </c>
      <c r="O927" s="74">
        <f t="shared" si="13"/>
        <v>0</v>
      </c>
      <c r="P927" s="63">
        <f t="shared" si="14"/>
        <v>0</v>
      </c>
      <c r="Q927" s="63" t="str">
        <f t="shared" si="15"/>
        <v>#N/A</v>
      </c>
      <c r="R927" s="93" t="str">
        <f>VLOOKUP(F927,DATABASE!C:Q,4,false)</f>
        <v>#N/A</v>
      </c>
      <c r="S927" s="93" t="str">
        <f>VLOOKUP(F927,DATABASE!C:P,11,false)</f>
        <v>#N/A</v>
      </c>
      <c r="T927" s="93" t="str">
        <f>vlookup(F927,DATABASE!C:Q,8,false)</f>
        <v>#N/A</v>
      </c>
      <c r="Z927" s="9"/>
    </row>
    <row r="928" ht="22.5" customHeight="1">
      <c r="A928" s="49"/>
      <c r="C928" s="384"/>
      <c r="D928" s="93"/>
      <c r="F928" s="74"/>
      <c r="H928" s="74"/>
      <c r="I928" s="74"/>
      <c r="J928" s="74"/>
      <c r="K928" s="74" t="str">
        <f>if(F928="SERVICE",O928-(O928*50%),Vlookup(F928,DATABASE!C:Q,10,false)*G928)</f>
        <v>#N/A</v>
      </c>
      <c r="L928" s="74" t="str">
        <f>VLOOKUP(F928,DATABASE!C:Q,7,FALSE)</f>
        <v>#N/A</v>
      </c>
      <c r="M928" s="74"/>
      <c r="N928" s="74">
        <f t="shared" si="11"/>
        <v>0</v>
      </c>
      <c r="O928" s="74">
        <f t="shared" si="13"/>
        <v>0</v>
      </c>
      <c r="P928" s="63">
        <f t="shared" si="14"/>
        <v>0</v>
      </c>
      <c r="Q928" s="63" t="str">
        <f t="shared" si="15"/>
        <v>#N/A</v>
      </c>
      <c r="R928" s="93" t="str">
        <f>VLOOKUP(F928,DATABASE!C:Q,4,false)</f>
        <v>#N/A</v>
      </c>
      <c r="S928" s="93" t="str">
        <f>VLOOKUP(F928,DATABASE!C:P,11,false)</f>
        <v>#N/A</v>
      </c>
      <c r="T928" s="93" t="str">
        <f>vlookup(F928,DATABASE!C:Q,8,false)</f>
        <v>#N/A</v>
      </c>
      <c r="Z928" s="9"/>
    </row>
    <row r="929" ht="22.5" customHeight="1">
      <c r="A929" s="49"/>
      <c r="C929" s="384"/>
      <c r="D929" s="93"/>
      <c r="F929" s="74"/>
      <c r="H929" s="74"/>
      <c r="I929" s="74"/>
      <c r="J929" s="74"/>
      <c r="K929" s="74" t="str">
        <f>if(F929="SERVICE",O929-(O929*50%),Vlookup(F929,DATABASE!C:Q,10,false)*G929)</f>
        <v>#N/A</v>
      </c>
      <c r="L929" s="74" t="str">
        <f>VLOOKUP(F929,DATABASE!C:Q,7,FALSE)</f>
        <v>#N/A</v>
      </c>
      <c r="M929" s="74"/>
      <c r="N929" s="74">
        <f t="shared" si="11"/>
        <v>0</v>
      </c>
      <c r="O929" s="74">
        <f t="shared" si="13"/>
        <v>0</v>
      </c>
      <c r="P929" s="63">
        <f t="shared" si="14"/>
        <v>0</v>
      </c>
      <c r="Q929" s="63" t="str">
        <f t="shared" si="15"/>
        <v>#N/A</v>
      </c>
      <c r="R929" s="93" t="str">
        <f>VLOOKUP(F929,DATABASE!C:Q,4,false)</f>
        <v>#N/A</v>
      </c>
      <c r="S929" s="93" t="str">
        <f>VLOOKUP(F929,DATABASE!C:P,11,false)</f>
        <v>#N/A</v>
      </c>
      <c r="T929" s="93" t="str">
        <f>vlookup(F929,DATABASE!C:Q,8,false)</f>
        <v>#N/A</v>
      </c>
      <c r="Z929" s="9"/>
    </row>
    <row r="930" ht="22.5" customHeight="1">
      <c r="A930" s="49"/>
      <c r="C930" s="384"/>
      <c r="D930" s="93"/>
      <c r="F930" s="74"/>
      <c r="H930" s="74"/>
      <c r="I930" s="74"/>
      <c r="J930" s="74"/>
      <c r="K930" s="74" t="str">
        <f>if(F930="SERVICE",O930-(O930*50%),Vlookup(F930,DATABASE!C:Q,10,false)*G930)</f>
        <v>#N/A</v>
      </c>
      <c r="L930" s="74" t="str">
        <f>VLOOKUP(F930,DATABASE!C:Q,7,FALSE)</f>
        <v>#N/A</v>
      </c>
      <c r="M930" s="74"/>
      <c r="N930" s="74">
        <f t="shared" si="11"/>
        <v>0</v>
      </c>
      <c r="O930" s="74">
        <f t="shared" si="13"/>
        <v>0</v>
      </c>
      <c r="P930" s="63">
        <f t="shared" si="14"/>
        <v>0</v>
      </c>
      <c r="Q930" s="63" t="str">
        <f t="shared" si="15"/>
        <v>#N/A</v>
      </c>
      <c r="R930" s="93" t="str">
        <f>VLOOKUP(F930,DATABASE!C:Q,4,false)</f>
        <v>#N/A</v>
      </c>
      <c r="S930" s="93" t="str">
        <f>VLOOKUP(F930,DATABASE!C:P,11,false)</f>
        <v>#N/A</v>
      </c>
      <c r="T930" s="93" t="str">
        <f>vlookup(F930,DATABASE!C:Q,8,false)</f>
        <v>#N/A</v>
      </c>
      <c r="Z930" s="9"/>
    </row>
    <row r="931" ht="22.5" customHeight="1">
      <c r="A931" s="49"/>
      <c r="C931" s="384"/>
      <c r="D931" s="93"/>
      <c r="F931" s="74"/>
      <c r="H931" s="74"/>
      <c r="I931" s="74"/>
      <c r="J931" s="74"/>
      <c r="K931" s="74" t="str">
        <f>if(F931="SERVICE",O931-(O931*50%),Vlookup(F931,DATABASE!C:Q,10,false)*G931)</f>
        <v>#N/A</v>
      </c>
      <c r="L931" s="74" t="str">
        <f>VLOOKUP(F931,DATABASE!C:Q,7,FALSE)</f>
        <v>#N/A</v>
      </c>
      <c r="M931" s="74"/>
      <c r="N931" s="74">
        <f t="shared" si="11"/>
        <v>0</v>
      </c>
      <c r="O931" s="74">
        <f t="shared" si="13"/>
        <v>0</v>
      </c>
      <c r="P931" s="63">
        <f t="shared" si="14"/>
        <v>0</v>
      </c>
      <c r="Q931" s="63" t="str">
        <f t="shared" si="15"/>
        <v>#N/A</v>
      </c>
      <c r="R931" s="93" t="str">
        <f>VLOOKUP(F931,DATABASE!C:Q,4,false)</f>
        <v>#N/A</v>
      </c>
      <c r="S931" s="93" t="str">
        <f>VLOOKUP(F931,DATABASE!C:P,11,false)</f>
        <v>#N/A</v>
      </c>
      <c r="T931" s="93" t="str">
        <f>vlookup(F931,DATABASE!C:Q,8,false)</f>
        <v>#N/A</v>
      </c>
      <c r="Z931" s="9"/>
    </row>
    <row r="932" ht="22.5" customHeight="1">
      <c r="A932" s="49"/>
      <c r="C932" s="384"/>
      <c r="D932" s="93"/>
      <c r="F932" s="74"/>
      <c r="H932" s="74"/>
      <c r="I932" s="74"/>
      <c r="J932" s="74"/>
      <c r="K932" s="74" t="str">
        <f>if(F932="SERVICE",O932-(O932*50%),Vlookup(F932,DATABASE!C:Q,10,false)*G932)</f>
        <v>#N/A</v>
      </c>
      <c r="L932" s="74" t="str">
        <f>VLOOKUP(F932,DATABASE!C:Q,7,FALSE)</f>
        <v>#N/A</v>
      </c>
      <c r="M932" s="74"/>
      <c r="N932" s="74">
        <f t="shared" si="11"/>
        <v>0</v>
      </c>
      <c r="O932" s="74">
        <f t="shared" si="13"/>
        <v>0</v>
      </c>
      <c r="P932" s="63">
        <f t="shared" si="14"/>
        <v>0</v>
      </c>
      <c r="Q932" s="63" t="str">
        <f t="shared" si="15"/>
        <v>#N/A</v>
      </c>
      <c r="R932" s="93" t="str">
        <f>VLOOKUP(F932,DATABASE!C:Q,4,false)</f>
        <v>#N/A</v>
      </c>
      <c r="S932" s="93" t="str">
        <f>VLOOKUP(F932,DATABASE!C:P,11,false)</f>
        <v>#N/A</v>
      </c>
      <c r="T932" s="93" t="str">
        <f>vlookup(F932,DATABASE!C:Q,8,false)</f>
        <v>#N/A</v>
      </c>
      <c r="Z932" s="9"/>
    </row>
    <row r="933" ht="22.5" customHeight="1">
      <c r="A933" s="49"/>
      <c r="C933" s="384"/>
      <c r="D933" s="93"/>
      <c r="F933" s="74"/>
      <c r="H933" s="74"/>
      <c r="I933" s="74"/>
      <c r="J933" s="74"/>
      <c r="K933" s="74" t="str">
        <f>if(F933="SERVICE",O933-(O933*50%),Vlookup(F933,DATABASE!C:Q,10,false)*G933)</f>
        <v>#N/A</v>
      </c>
      <c r="L933" s="74" t="str">
        <f>VLOOKUP(F933,DATABASE!C:Q,7,FALSE)</f>
        <v>#N/A</v>
      </c>
      <c r="M933" s="74"/>
      <c r="N933" s="74">
        <f t="shared" si="11"/>
        <v>0</v>
      </c>
      <c r="O933" s="74">
        <f t="shared" si="13"/>
        <v>0</v>
      </c>
      <c r="P933" s="63">
        <f t="shared" si="14"/>
        <v>0</v>
      </c>
      <c r="Q933" s="63" t="str">
        <f t="shared" si="15"/>
        <v>#N/A</v>
      </c>
      <c r="R933" s="93" t="str">
        <f>VLOOKUP(F933,DATABASE!C:Q,4,false)</f>
        <v>#N/A</v>
      </c>
      <c r="S933" s="93" t="str">
        <f>VLOOKUP(F933,DATABASE!C:P,11,false)</f>
        <v>#N/A</v>
      </c>
      <c r="T933" s="93" t="str">
        <f>vlookup(F933,DATABASE!C:Q,8,false)</f>
        <v>#N/A</v>
      </c>
      <c r="Z933" s="9"/>
    </row>
    <row r="934" ht="22.5" customHeight="1">
      <c r="A934" s="49"/>
      <c r="C934" s="384"/>
      <c r="D934" s="93"/>
      <c r="F934" s="74"/>
      <c r="H934" s="74"/>
      <c r="I934" s="74"/>
      <c r="J934" s="74"/>
      <c r="K934" s="74" t="str">
        <f>if(F934="SERVICE",O934-(O934*50%),Vlookup(F934,DATABASE!C:Q,10,false)*G934)</f>
        <v>#N/A</v>
      </c>
      <c r="L934" s="74" t="str">
        <f>VLOOKUP(F934,DATABASE!C:Q,7,FALSE)</f>
        <v>#N/A</v>
      </c>
      <c r="M934" s="74"/>
      <c r="N934" s="74">
        <f t="shared" si="11"/>
        <v>0</v>
      </c>
      <c r="O934" s="74">
        <f t="shared" si="13"/>
        <v>0</v>
      </c>
      <c r="P934" s="63">
        <f t="shared" si="14"/>
        <v>0</v>
      </c>
      <c r="Q934" s="63" t="str">
        <f t="shared" si="15"/>
        <v>#N/A</v>
      </c>
      <c r="R934" s="93" t="str">
        <f>VLOOKUP(F934,DATABASE!C:Q,4,false)</f>
        <v>#N/A</v>
      </c>
      <c r="S934" s="93" t="str">
        <f>VLOOKUP(F934,DATABASE!C:P,11,false)</f>
        <v>#N/A</v>
      </c>
      <c r="T934" s="93" t="str">
        <f>vlookup(F934,DATABASE!C:Q,8,false)</f>
        <v>#N/A</v>
      </c>
      <c r="Z934" s="9"/>
    </row>
    <row r="935" ht="22.5" customHeight="1">
      <c r="A935" s="49"/>
      <c r="C935" s="384"/>
      <c r="D935" s="93"/>
      <c r="F935" s="74"/>
      <c r="H935" s="74"/>
      <c r="I935" s="74"/>
      <c r="J935" s="74"/>
      <c r="K935" s="74" t="str">
        <f>if(F935="SERVICE",O935-(O935*50%),Vlookup(F935,DATABASE!C:Q,10,false)*G935)</f>
        <v>#N/A</v>
      </c>
      <c r="L935" s="74" t="str">
        <f>VLOOKUP(F935,DATABASE!C:Q,7,FALSE)</f>
        <v>#N/A</v>
      </c>
      <c r="M935" s="74"/>
      <c r="N935" s="74">
        <f t="shared" si="11"/>
        <v>0</v>
      </c>
      <c r="O935" s="74">
        <f t="shared" si="13"/>
        <v>0</v>
      </c>
      <c r="P935" s="63">
        <f t="shared" si="14"/>
        <v>0</v>
      </c>
      <c r="Q935" s="63" t="str">
        <f t="shared" si="15"/>
        <v>#N/A</v>
      </c>
      <c r="R935" s="93" t="str">
        <f>VLOOKUP(F935,DATABASE!C:Q,4,false)</f>
        <v>#N/A</v>
      </c>
      <c r="S935" s="93" t="str">
        <f>VLOOKUP(F935,DATABASE!C:P,11,false)</f>
        <v>#N/A</v>
      </c>
      <c r="T935" s="93" t="str">
        <f>vlookup(F935,DATABASE!C:Q,8,false)</f>
        <v>#N/A</v>
      </c>
      <c r="Z935" s="9"/>
    </row>
    <row r="936" ht="22.5" customHeight="1">
      <c r="A936" s="49"/>
      <c r="C936" s="384"/>
      <c r="D936" s="93"/>
      <c r="F936" s="74"/>
      <c r="H936" s="74"/>
      <c r="I936" s="74"/>
      <c r="J936" s="74"/>
      <c r="K936" s="74" t="str">
        <f>if(F936="SERVICE",O936-(O936*50%),Vlookup(F936,DATABASE!C:Q,10,false)*G936)</f>
        <v>#N/A</v>
      </c>
      <c r="L936" s="74" t="str">
        <f>VLOOKUP(F936,DATABASE!C:Q,7,FALSE)</f>
        <v>#N/A</v>
      </c>
      <c r="M936" s="74"/>
      <c r="N936" s="74">
        <f t="shared" si="11"/>
        <v>0</v>
      </c>
      <c r="O936" s="74">
        <f t="shared" si="13"/>
        <v>0</v>
      </c>
      <c r="P936" s="63">
        <f t="shared" si="14"/>
        <v>0</v>
      </c>
      <c r="Q936" s="63" t="str">
        <f t="shared" si="15"/>
        <v>#N/A</v>
      </c>
      <c r="R936" s="93" t="str">
        <f>VLOOKUP(F936,DATABASE!C:Q,4,false)</f>
        <v>#N/A</v>
      </c>
      <c r="S936" s="93" t="str">
        <f>VLOOKUP(F936,DATABASE!C:P,11,false)</f>
        <v>#N/A</v>
      </c>
      <c r="T936" s="93" t="str">
        <f>vlookup(F936,DATABASE!C:Q,8,false)</f>
        <v>#N/A</v>
      </c>
      <c r="Z936" s="9"/>
    </row>
    <row r="937" ht="22.5" customHeight="1">
      <c r="A937" s="49"/>
      <c r="C937" s="384"/>
      <c r="D937" s="93"/>
      <c r="F937" s="74"/>
      <c r="H937" s="74"/>
      <c r="I937" s="74"/>
      <c r="J937" s="74"/>
      <c r="K937" s="74" t="str">
        <f>if(F937="SERVICE",O937-(O937*50%),Vlookup(F937,DATABASE!C:Q,10,false)*G937)</f>
        <v>#N/A</v>
      </c>
      <c r="L937" s="74" t="str">
        <f>VLOOKUP(F937,DATABASE!C:Q,7,FALSE)</f>
        <v>#N/A</v>
      </c>
      <c r="M937" s="74"/>
      <c r="N937" s="74">
        <f t="shared" si="11"/>
        <v>0</v>
      </c>
      <c r="O937" s="74">
        <f t="shared" si="13"/>
        <v>0</v>
      </c>
      <c r="P937" s="63">
        <f t="shared" si="14"/>
        <v>0</v>
      </c>
      <c r="Q937" s="63" t="str">
        <f t="shared" si="15"/>
        <v>#N/A</v>
      </c>
      <c r="R937" s="93" t="str">
        <f>VLOOKUP(F937,DATABASE!C:Q,4,false)</f>
        <v>#N/A</v>
      </c>
      <c r="S937" s="93" t="str">
        <f>VLOOKUP(F937,DATABASE!C:P,11,false)</f>
        <v>#N/A</v>
      </c>
      <c r="T937" s="93" t="str">
        <f>vlookup(F937,DATABASE!C:Q,8,false)</f>
        <v>#N/A</v>
      </c>
      <c r="Z937" s="9"/>
    </row>
    <row r="938" ht="22.5" customHeight="1">
      <c r="A938" s="49"/>
      <c r="C938" s="384"/>
      <c r="D938" s="93"/>
      <c r="F938" s="74"/>
      <c r="H938" s="74"/>
      <c r="I938" s="74"/>
      <c r="J938" s="74"/>
      <c r="K938" s="74" t="str">
        <f>if(F938="SERVICE",O938-(O938*50%),Vlookup(F938,DATABASE!C:Q,10,false)*G938)</f>
        <v>#N/A</v>
      </c>
      <c r="L938" s="74" t="str">
        <f>VLOOKUP(F938,DATABASE!C:Q,7,FALSE)</f>
        <v>#N/A</v>
      </c>
      <c r="M938" s="74"/>
      <c r="N938" s="74">
        <f t="shared" si="11"/>
        <v>0</v>
      </c>
      <c r="O938" s="74">
        <f t="shared" si="13"/>
        <v>0</v>
      </c>
      <c r="P938" s="63">
        <f t="shared" si="14"/>
        <v>0</v>
      </c>
      <c r="Q938" s="63" t="str">
        <f t="shared" si="15"/>
        <v>#N/A</v>
      </c>
      <c r="R938" s="93" t="str">
        <f>VLOOKUP(F938,DATABASE!C:Q,4,false)</f>
        <v>#N/A</v>
      </c>
      <c r="S938" s="93" t="str">
        <f>VLOOKUP(F938,DATABASE!C:P,11,false)</f>
        <v>#N/A</v>
      </c>
      <c r="T938" s="93" t="str">
        <f>vlookup(F938,DATABASE!C:Q,8,false)</f>
        <v>#N/A</v>
      </c>
      <c r="Z938" s="9"/>
    </row>
    <row r="939" ht="22.5" customHeight="1">
      <c r="A939" s="49"/>
      <c r="C939" s="384"/>
      <c r="D939" s="93"/>
      <c r="F939" s="74"/>
      <c r="H939" s="74"/>
      <c r="I939" s="74"/>
      <c r="J939" s="74"/>
      <c r="K939" s="74" t="str">
        <f>if(F939="SERVICE",O939-(O939*50%),Vlookup(F939,DATABASE!C:Q,10,false)*G939)</f>
        <v>#N/A</v>
      </c>
      <c r="L939" s="74" t="str">
        <f>VLOOKUP(F939,DATABASE!C:Q,7,FALSE)</f>
        <v>#N/A</v>
      </c>
      <c r="M939" s="74"/>
      <c r="N939" s="74">
        <f t="shared" si="11"/>
        <v>0</v>
      </c>
      <c r="O939" s="74">
        <f t="shared" si="13"/>
        <v>0</v>
      </c>
      <c r="P939" s="63">
        <f t="shared" si="14"/>
        <v>0</v>
      </c>
      <c r="Q939" s="63" t="str">
        <f t="shared" si="15"/>
        <v>#N/A</v>
      </c>
      <c r="R939" s="93" t="str">
        <f>VLOOKUP(F939,DATABASE!C:Q,4,false)</f>
        <v>#N/A</v>
      </c>
      <c r="S939" s="93" t="str">
        <f>VLOOKUP(F939,DATABASE!C:P,11,false)</f>
        <v>#N/A</v>
      </c>
      <c r="T939" s="93" t="str">
        <f>vlookup(F939,DATABASE!C:Q,8,false)</f>
        <v>#N/A</v>
      </c>
      <c r="Z939" s="9"/>
    </row>
    <row r="940" ht="22.5" customHeight="1">
      <c r="A940" s="49"/>
      <c r="C940" s="384"/>
      <c r="D940" s="93"/>
      <c r="F940" s="74"/>
      <c r="H940" s="74"/>
      <c r="I940" s="74"/>
      <c r="J940" s="74"/>
      <c r="K940" s="74" t="str">
        <f>if(F940="SERVICE",O940-(O940*50%),Vlookup(F940,DATABASE!C:Q,10,false)*G940)</f>
        <v>#N/A</v>
      </c>
      <c r="L940" s="74" t="str">
        <f>VLOOKUP(F940,DATABASE!C:Q,7,FALSE)</f>
        <v>#N/A</v>
      </c>
      <c r="M940" s="74"/>
      <c r="N940" s="74">
        <f t="shared" si="11"/>
        <v>0</v>
      </c>
      <c r="O940" s="74">
        <f t="shared" si="13"/>
        <v>0</v>
      </c>
      <c r="P940" s="63">
        <f t="shared" si="14"/>
        <v>0</v>
      </c>
      <c r="Q940" s="63" t="str">
        <f t="shared" si="15"/>
        <v>#N/A</v>
      </c>
      <c r="R940" s="93" t="str">
        <f>VLOOKUP(F940,DATABASE!C:Q,4,false)</f>
        <v>#N/A</v>
      </c>
      <c r="S940" s="93" t="str">
        <f>VLOOKUP(F940,DATABASE!C:P,11,false)</f>
        <v>#N/A</v>
      </c>
      <c r="T940" s="93" t="str">
        <f>vlookup(F940,DATABASE!C:Q,8,false)</f>
        <v>#N/A</v>
      </c>
      <c r="Z940" s="9"/>
    </row>
    <row r="941" ht="22.5" customHeight="1">
      <c r="A941" s="49"/>
      <c r="C941" s="384"/>
      <c r="D941" s="93"/>
      <c r="F941" s="74"/>
      <c r="H941" s="74"/>
      <c r="I941" s="74"/>
      <c r="J941" s="74"/>
      <c r="K941" s="74" t="str">
        <f>if(F941="SERVICE",O941-(O941*50%),Vlookup(F941,DATABASE!C:Q,10,false)*G941)</f>
        <v>#N/A</v>
      </c>
      <c r="L941" s="74" t="str">
        <f>VLOOKUP(F941,DATABASE!C:Q,7,FALSE)</f>
        <v>#N/A</v>
      </c>
      <c r="M941" s="74"/>
      <c r="N941" s="74">
        <f t="shared" si="11"/>
        <v>0</v>
      </c>
      <c r="O941" s="74">
        <f t="shared" si="13"/>
        <v>0</v>
      </c>
      <c r="P941" s="63">
        <f t="shared" si="14"/>
        <v>0</v>
      </c>
      <c r="Q941" s="63" t="str">
        <f t="shared" si="15"/>
        <v>#N/A</v>
      </c>
      <c r="R941" s="93" t="str">
        <f>VLOOKUP(F941,DATABASE!C:Q,4,false)</f>
        <v>#N/A</v>
      </c>
      <c r="S941" s="93" t="str">
        <f>VLOOKUP(F941,DATABASE!C:P,11,false)</f>
        <v>#N/A</v>
      </c>
      <c r="T941" s="93" t="str">
        <f>vlookup(F941,DATABASE!C:Q,8,false)</f>
        <v>#N/A</v>
      </c>
      <c r="Z941" s="9"/>
    </row>
    <row r="942" ht="22.5" customHeight="1">
      <c r="A942" s="49"/>
      <c r="C942" s="384"/>
      <c r="D942" s="93"/>
      <c r="F942" s="74"/>
      <c r="H942" s="74"/>
      <c r="I942" s="74"/>
      <c r="J942" s="74"/>
      <c r="K942" s="74" t="str">
        <f>if(F942="SERVICE",O942-(O942*50%),Vlookup(F942,DATABASE!C:Q,10,false)*G942)</f>
        <v>#N/A</v>
      </c>
      <c r="L942" s="74" t="str">
        <f>VLOOKUP(F942,DATABASE!C:Q,7,FALSE)</f>
        <v>#N/A</v>
      </c>
      <c r="M942" s="74"/>
      <c r="N942" s="74">
        <f t="shared" si="11"/>
        <v>0</v>
      </c>
      <c r="O942" s="74">
        <f t="shared" si="13"/>
        <v>0</v>
      </c>
      <c r="P942" s="63">
        <f t="shared" si="14"/>
        <v>0</v>
      </c>
      <c r="Q942" s="63" t="str">
        <f t="shared" si="15"/>
        <v>#N/A</v>
      </c>
      <c r="R942" s="93" t="str">
        <f>VLOOKUP(F942,DATABASE!C:Q,4,false)</f>
        <v>#N/A</v>
      </c>
      <c r="S942" s="93" t="str">
        <f>VLOOKUP(F942,DATABASE!C:P,11,false)</f>
        <v>#N/A</v>
      </c>
      <c r="T942" s="93" t="str">
        <f>vlookup(F942,DATABASE!C:Q,8,false)</f>
        <v>#N/A</v>
      </c>
      <c r="Z942" s="9"/>
    </row>
    <row r="943" ht="22.5" customHeight="1">
      <c r="A943" s="49"/>
      <c r="C943" s="384"/>
      <c r="D943" s="93"/>
      <c r="F943" s="74"/>
      <c r="H943" s="74"/>
      <c r="I943" s="74"/>
      <c r="J943" s="74"/>
      <c r="K943" s="74" t="str">
        <f>if(F943="SERVICE",O943-(O943*50%),Vlookup(F943,DATABASE!C:Q,10,false)*G943)</f>
        <v>#N/A</v>
      </c>
      <c r="L943" s="74" t="str">
        <f>VLOOKUP(F943,DATABASE!C:Q,7,FALSE)</f>
        <v>#N/A</v>
      </c>
      <c r="M943" s="74"/>
      <c r="N943" s="74">
        <f t="shared" si="11"/>
        <v>0</v>
      </c>
      <c r="O943" s="74">
        <f t="shared" si="13"/>
        <v>0</v>
      </c>
      <c r="P943" s="63">
        <f t="shared" si="14"/>
        <v>0</v>
      </c>
      <c r="Q943" s="63" t="str">
        <f t="shared" si="15"/>
        <v>#N/A</v>
      </c>
      <c r="R943" s="93" t="str">
        <f>VLOOKUP(F943,DATABASE!C:Q,4,false)</f>
        <v>#N/A</v>
      </c>
      <c r="S943" s="93" t="str">
        <f>VLOOKUP(F943,DATABASE!C:P,11,false)</f>
        <v>#N/A</v>
      </c>
      <c r="T943" s="93" t="str">
        <f>vlookup(F943,DATABASE!C:Q,8,false)</f>
        <v>#N/A</v>
      </c>
      <c r="Z943" s="9"/>
    </row>
    <row r="944" ht="22.5" customHeight="1">
      <c r="A944" s="49"/>
      <c r="C944" s="384"/>
      <c r="D944" s="93"/>
      <c r="F944" s="74"/>
      <c r="H944" s="74"/>
      <c r="I944" s="74"/>
      <c r="J944" s="74"/>
      <c r="K944" s="74" t="str">
        <f>if(F944="SERVICE",O944-(O944*50%),Vlookup(F944,DATABASE!C:Q,10,false)*G944)</f>
        <v>#N/A</v>
      </c>
      <c r="L944" s="74" t="str">
        <f>VLOOKUP(F944,DATABASE!C:Q,7,FALSE)</f>
        <v>#N/A</v>
      </c>
      <c r="M944" s="74"/>
      <c r="N944" s="74">
        <f t="shared" si="11"/>
        <v>0</v>
      </c>
      <c r="O944" s="74">
        <f t="shared" si="13"/>
        <v>0</v>
      </c>
      <c r="P944" s="63">
        <f t="shared" si="14"/>
        <v>0</v>
      </c>
      <c r="Q944" s="63" t="str">
        <f t="shared" si="15"/>
        <v>#N/A</v>
      </c>
      <c r="R944" s="93" t="str">
        <f>VLOOKUP(F944,DATABASE!C:Q,4,false)</f>
        <v>#N/A</v>
      </c>
      <c r="S944" s="93" t="str">
        <f>VLOOKUP(F944,DATABASE!C:P,11,false)</f>
        <v>#N/A</v>
      </c>
      <c r="T944" s="93" t="str">
        <f>vlookup(F944,DATABASE!C:Q,8,false)</f>
        <v>#N/A</v>
      </c>
      <c r="Z944" s="9"/>
    </row>
    <row r="945" ht="22.5" customHeight="1">
      <c r="A945" s="49"/>
      <c r="C945" s="384"/>
      <c r="D945" s="93"/>
      <c r="F945" s="74"/>
      <c r="H945" s="74"/>
      <c r="I945" s="74"/>
      <c r="J945" s="74"/>
      <c r="K945" s="74" t="str">
        <f>if(F945="SERVICE",O945-(O945*50%),Vlookup(F945,DATABASE!C:Q,10,false)*G945)</f>
        <v>#N/A</v>
      </c>
      <c r="L945" s="74" t="str">
        <f>VLOOKUP(F945,DATABASE!C:Q,7,FALSE)</f>
        <v>#N/A</v>
      </c>
      <c r="M945" s="74"/>
      <c r="N945" s="74">
        <f t="shared" si="11"/>
        <v>0</v>
      </c>
      <c r="O945" s="74">
        <f t="shared" si="13"/>
        <v>0</v>
      </c>
      <c r="P945" s="63">
        <f t="shared" si="14"/>
        <v>0</v>
      </c>
      <c r="Q945" s="63" t="str">
        <f t="shared" si="15"/>
        <v>#N/A</v>
      </c>
      <c r="R945" s="93" t="str">
        <f>VLOOKUP(F945,DATABASE!C:Q,4,false)</f>
        <v>#N/A</v>
      </c>
      <c r="S945" s="93" t="str">
        <f>VLOOKUP(F945,DATABASE!C:P,11,false)</f>
        <v>#N/A</v>
      </c>
      <c r="T945" s="93" t="str">
        <f>vlookup(F945,DATABASE!C:Q,8,false)</f>
        <v>#N/A</v>
      </c>
      <c r="Z945" s="9"/>
    </row>
    <row r="946" ht="22.5" customHeight="1">
      <c r="A946" s="49"/>
      <c r="C946" s="384"/>
      <c r="D946" s="93"/>
      <c r="F946" s="74"/>
      <c r="H946" s="74"/>
      <c r="I946" s="74"/>
      <c r="J946" s="74"/>
      <c r="K946" s="74" t="str">
        <f>if(F946="SERVICE",O946-(O946*50%),Vlookup(F946,DATABASE!C:Q,10,false)*G946)</f>
        <v>#N/A</v>
      </c>
      <c r="L946" s="74" t="str">
        <f>VLOOKUP(F946,DATABASE!C:Q,7,FALSE)</f>
        <v>#N/A</v>
      </c>
      <c r="M946" s="74"/>
      <c r="N946" s="74">
        <f t="shared" si="11"/>
        <v>0</v>
      </c>
      <c r="O946" s="74">
        <f t="shared" si="13"/>
        <v>0</v>
      </c>
      <c r="P946" s="63">
        <f t="shared" si="14"/>
        <v>0</v>
      </c>
      <c r="Q946" s="63" t="str">
        <f t="shared" si="15"/>
        <v>#N/A</v>
      </c>
      <c r="R946" s="93" t="str">
        <f>VLOOKUP(F946,DATABASE!C:Q,4,false)</f>
        <v>#N/A</v>
      </c>
      <c r="S946" s="93" t="str">
        <f>VLOOKUP(F946,DATABASE!C:P,11,false)</f>
        <v>#N/A</v>
      </c>
      <c r="T946" s="93" t="str">
        <f>vlookup(F946,DATABASE!C:Q,8,false)</f>
        <v>#N/A</v>
      </c>
      <c r="Z946" s="9"/>
    </row>
    <row r="947" ht="22.5" customHeight="1">
      <c r="A947" s="49"/>
      <c r="C947" s="384"/>
      <c r="D947" s="93"/>
      <c r="F947" s="74"/>
      <c r="H947" s="74"/>
      <c r="I947" s="74"/>
      <c r="J947" s="74"/>
      <c r="K947" s="74" t="str">
        <f>if(F947="SERVICE",O947-(O947*50%),Vlookup(F947,DATABASE!C:Q,10,false)*G947)</f>
        <v>#N/A</v>
      </c>
      <c r="L947" s="74" t="str">
        <f>VLOOKUP(F947,DATABASE!C:Q,7,FALSE)</f>
        <v>#N/A</v>
      </c>
      <c r="M947" s="74"/>
      <c r="N947" s="74">
        <f t="shared" si="11"/>
        <v>0</v>
      </c>
      <c r="O947" s="74">
        <f t="shared" si="13"/>
        <v>0</v>
      </c>
      <c r="P947" s="63">
        <f t="shared" si="14"/>
        <v>0</v>
      </c>
      <c r="Q947" s="63" t="str">
        <f t="shared" si="15"/>
        <v>#N/A</v>
      </c>
      <c r="R947" s="93" t="str">
        <f>VLOOKUP(F947,DATABASE!C:Q,4,false)</f>
        <v>#N/A</v>
      </c>
      <c r="S947" s="93" t="str">
        <f>VLOOKUP(F947,DATABASE!C:P,11,false)</f>
        <v>#N/A</v>
      </c>
      <c r="T947" s="93" t="str">
        <f>vlookup(F947,DATABASE!C:Q,8,false)</f>
        <v>#N/A</v>
      </c>
      <c r="Z947" s="9"/>
    </row>
    <row r="948" ht="22.5" customHeight="1">
      <c r="A948" s="49"/>
      <c r="C948" s="384"/>
      <c r="D948" s="93"/>
      <c r="F948" s="74"/>
      <c r="H948" s="74"/>
      <c r="I948" s="74"/>
      <c r="J948" s="74"/>
      <c r="K948" s="74" t="str">
        <f>if(F948="SERVICE",O948-(O948*50%),Vlookup(F948,DATABASE!C:Q,10,false)*G948)</f>
        <v>#N/A</v>
      </c>
      <c r="L948" s="74" t="str">
        <f>VLOOKUP(F948,DATABASE!C:Q,7,FALSE)</f>
        <v>#N/A</v>
      </c>
      <c r="M948" s="74"/>
      <c r="N948" s="74">
        <f t="shared" si="11"/>
        <v>0</v>
      </c>
      <c r="O948" s="74">
        <f t="shared" si="13"/>
        <v>0</v>
      </c>
      <c r="P948" s="63">
        <f t="shared" si="14"/>
        <v>0</v>
      </c>
      <c r="Q948" s="63" t="str">
        <f t="shared" si="15"/>
        <v>#N/A</v>
      </c>
      <c r="R948" s="93" t="str">
        <f>VLOOKUP(F948,DATABASE!C:Q,4,false)</f>
        <v>#N/A</v>
      </c>
      <c r="S948" s="93" t="str">
        <f>VLOOKUP(F948,DATABASE!C:P,11,false)</f>
        <v>#N/A</v>
      </c>
      <c r="T948" s="93" t="str">
        <f>vlookup(F948,DATABASE!C:Q,8,false)</f>
        <v>#N/A</v>
      </c>
      <c r="Z948" s="9"/>
    </row>
    <row r="949" ht="22.5" customHeight="1">
      <c r="A949" s="49"/>
      <c r="C949" s="384"/>
      <c r="D949" s="93"/>
      <c r="F949" s="74"/>
      <c r="H949" s="74"/>
      <c r="I949" s="74"/>
      <c r="J949" s="74"/>
      <c r="K949" s="74" t="str">
        <f>if(F949="SERVICE",O949-(O949*50%),Vlookup(F949,DATABASE!C:Q,10,false)*G949)</f>
        <v>#N/A</v>
      </c>
      <c r="L949" s="74" t="str">
        <f>VLOOKUP(F949,DATABASE!C:Q,7,FALSE)</f>
        <v>#N/A</v>
      </c>
      <c r="M949" s="74"/>
      <c r="N949" s="74">
        <f t="shared" si="11"/>
        <v>0</v>
      </c>
      <c r="O949" s="74">
        <f t="shared" si="13"/>
        <v>0</v>
      </c>
      <c r="P949" s="63">
        <f t="shared" si="14"/>
        <v>0</v>
      </c>
      <c r="Q949" s="63" t="str">
        <f t="shared" si="15"/>
        <v>#N/A</v>
      </c>
      <c r="R949" s="93" t="str">
        <f>VLOOKUP(F949,DATABASE!C:Q,4,false)</f>
        <v>#N/A</v>
      </c>
      <c r="S949" s="93" t="str">
        <f>VLOOKUP(F949,DATABASE!C:P,11,false)</f>
        <v>#N/A</v>
      </c>
      <c r="T949" s="93" t="str">
        <f>vlookup(F949,DATABASE!C:Q,8,false)</f>
        <v>#N/A</v>
      </c>
      <c r="Z949" s="9"/>
    </row>
    <row r="950" ht="22.5" customHeight="1">
      <c r="A950" s="49"/>
      <c r="C950" s="384"/>
      <c r="D950" s="93"/>
      <c r="F950" s="74"/>
      <c r="H950" s="74"/>
      <c r="I950" s="74"/>
      <c r="J950" s="74"/>
      <c r="K950" s="74" t="str">
        <f>if(F950="SERVICE",O950-(O950*50%),Vlookup(F950,DATABASE!C:Q,10,false)*G950)</f>
        <v>#N/A</v>
      </c>
      <c r="L950" s="74" t="str">
        <f>VLOOKUP(F950,DATABASE!C:Q,7,FALSE)</f>
        <v>#N/A</v>
      </c>
      <c r="M950" s="74"/>
      <c r="N950" s="74">
        <f t="shared" si="11"/>
        <v>0</v>
      </c>
      <c r="O950" s="74">
        <f t="shared" si="13"/>
        <v>0</v>
      </c>
      <c r="P950" s="63">
        <f t="shared" si="14"/>
        <v>0</v>
      </c>
      <c r="Q950" s="63" t="str">
        <f t="shared" si="15"/>
        <v>#N/A</v>
      </c>
      <c r="R950" s="93" t="str">
        <f>VLOOKUP(F950,DATABASE!C:Q,4,false)</f>
        <v>#N/A</v>
      </c>
      <c r="S950" s="93" t="str">
        <f>VLOOKUP(F950,DATABASE!C:P,11,false)</f>
        <v>#N/A</v>
      </c>
      <c r="T950" s="93" t="str">
        <f>vlookup(F950,DATABASE!C:Q,8,false)</f>
        <v>#N/A</v>
      </c>
      <c r="Z950" s="9"/>
    </row>
    <row r="951" ht="22.5" customHeight="1">
      <c r="A951" s="49"/>
      <c r="C951" s="384"/>
      <c r="D951" s="93"/>
      <c r="F951" s="74"/>
      <c r="H951" s="74"/>
      <c r="I951" s="74"/>
      <c r="J951" s="74"/>
      <c r="K951" s="74" t="str">
        <f>if(F951="SERVICE",O951-(O951*50%),Vlookup(F951,DATABASE!C:Q,10,false)*G951)</f>
        <v>#N/A</v>
      </c>
      <c r="L951" s="74" t="str">
        <f>VLOOKUP(F951,DATABASE!C:Q,7,FALSE)</f>
        <v>#N/A</v>
      </c>
      <c r="M951" s="74"/>
      <c r="N951" s="74">
        <f t="shared" si="11"/>
        <v>0</v>
      </c>
      <c r="O951" s="74">
        <f t="shared" si="13"/>
        <v>0</v>
      </c>
      <c r="P951" s="63">
        <f t="shared" si="14"/>
        <v>0</v>
      </c>
      <c r="Q951" s="63" t="str">
        <f t="shared" si="15"/>
        <v>#N/A</v>
      </c>
      <c r="R951" s="93" t="str">
        <f>VLOOKUP(F951,DATABASE!C:Q,4,false)</f>
        <v>#N/A</v>
      </c>
      <c r="S951" s="93" t="str">
        <f>VLOOKUP(F951,DATABASE!C:P,11,false)</f>
        <v>#N/A</v>
      </c>
      <c r="T951" s="93" t="str">
        <f>vlookup(F951,DATABASE!C:Q,8,false)</f>
        <v>#N/A</v>
      </c>
      <c r="Z951" s="9"/>
    </row>
    <row r="952" ht="22.5" customHeight="1">
      <c r="A952" s="49"/>
      <c r="C952" s="384"/>
      <c r="D952" s="93"/>
      <c r="F952" s="74"/>
      <c r="H952" s="74"/>
      <c r="I952" s="74"/>
      <c r="J952" s="74"/>
      <c r="K952" s="74" t="str">
        <f>if(F952="SERVICE",O952-(O952*50%),Vlookup(F952,DATABASE!C:Q,10,false)*G952)</f>
        <v>#N/A</v>
      </c>
      <c r="L952" s="74" t="str">
        <f>VLOOKUP(F952,DATABASE!C:Q,7,FALSE)</f>
        <v>#N/A</v>
      </c>
      <c r="M952" s="74"/>
      <c r="N952" s="74">
        <f t="shared" si="11"/>
        <v>0</v>
      </c>
      <c r="O952" s="74">
        <f t="shared" si="13"/>
        <v>0</v>
      </c>
      <c r="P952" s="63">
        <f t="shared" si="14"/>
        <v>0</v>
      </c>
      <c r="Q952" s="63" t="str">
        <f t="shared" si="15"/>
        <v>#N/A</v>
      </c>
      <c r="R952" s="93" t="str">
        <f>VLOOKUP(F952,DATABASE!C:Q,4,false)</f>
        <v>#N/A</v>
      </c>
      <c r="S952" s="93" t="str">
        <f>VLOOKUP(F952,DATABASE!C:P,11,false)</f>
        <v>#N/A</v>
      </c>
      <c r="T952" s="93" t="str">
        <f>vlookup(F952,DATABASE!C:Q,8,false)</f>
        <v>#N/A</v>
      </c>
      <c r="Z952" s="9"/>
    </row>
    <row r="953" ht="22.5" customHeight="1">
      <c r="A953" s="49"/>
      <c r="C953" s="384"/>
      <c r="D953" s="93"/>
      <c r="F953" s="74"/>
      <c r="H953" s="74"/>
      <c r="I953" s="74"/>
      <c r="J953" s="74"/>
      <c r="K953" s="74" t="str">
        <f>if(F953="SERVICE",O953-(O953*50%),Vlookup(F953,DATABASE!C:Q,10,false)*G953)</f>
        <v>#N/A</v>
      </c>
      <c r="L953" s="74" t="str">
        <f>VLOOKUP(F953,DATABASE!C:Q,7,FALSE)</f>
        <v>#N/A</v>
      </c>
      <c r="M953" s="74"/>
      <c r="N953" s="74">
        <f t="shared" si="11"/>
        <v>0</v>
      </c>
      <c r="O953" s="74">
        <f t="shared" si="13"/>
        <v>0</v>
      </c>
      <c r="P953" s="63">
        <f t="shared" si="14"/>
        <v>0</v>
      </c>
      <c r="Q953" s="63" t="str">
        <f t="shared" si="15"/>
        <v>#N/A</v>
      </c>
      <c r="R953" s="93" t="str">
        <f>VLOOKUP(F953,DATABASE!C:Q,4,false)</f>
        <v>#N/A</v>
      </c>
      <c r="S953" s="93" t="str">
        <f>VLOOKUP(F953,DATABASE!C:P,11,false)</f>
        <v>#N/A</v>
      </c>
      <c r="T953" s="93" t="str">
        <f>vlookup(F953,DATABASE!C:Q,8,false)</f>
        <v>#N/A</v>
      </c>
      <c r="Z953" s="9"/>
    </row>
    <row r="954" ht="22.5" customHeight="1">
      <c r="A954" s="49"/>
      <c r="C954" s="384"/>
      <c r="D954" s="93"/>
      <c r="F954" s="74"/>
      <c r="H954" s="74"/>
      <c r="I954" s="74"/>
      <c r="J954" s="74"/>
      <c r="K954" s="74" t="str">
        <f>if(F954="SERVICE",O954-(O954*50%),Vlookup(F954,DATABASE!C:Q,10,false)*G954)</f>
        <v>#N/A</v>
      </c>
      <c r="L954" s="74" t="str">
        <f>VLOOKUP(F954,DATABASE!C:Q,7,FALSE)</f>
        <v>#N/A</v>
      </c>
      <c r="M954" s="74"/>
      <c r="N954" s="74">
        <f t="shared" si="11"/>
        <v>0</v>
      </c>
      <c r="O954" s="74">
        <f t="shared" si="13"/>
        <v>0</v>
      </c>
      <c r="P954" s="63">
        <f t="shared" si="14"/>
        <v>0</v>
      </c>
      <c r="Q954" s="63" t="str">
        <f t="shared" si="15"/>
        <v>#N/A</v>
      </c>
      <c r="R954" s="93" t="str">
        <f>VLOOKUP(F954,DATABASE!C:Q,4,false)</f>
        <v>#N/A</v>
      </c>
      <c r="S954" s="93" t="str">
        <f>VLOOKUP(F954,DATABASE!C:P,11,false)</f>
        <v>#N/A</v>
      </c>
      <c r="T954" s="93" t="str">
        <f>vlookup(F954,DATABASE!C:Q,8,false)</f>
        <v>#N/A</v>
      </c>
      <c r="Z954" s="9"/>
    </row>
    <row r="955" ht="22.5" customHeight="1">
      <c r="A955" s="49"/>
      <c r="C955" s="384"/>
      <c r="D955" s="93"/>
      <c r="F955" s="74"/>
      <c r="H955" s="74"/>
      <c r="I955" s="74"/>
      <c r="J955" s="74"/>
      <c r="K955" s="74" t="str">
        <f>if(F955="SERVICE",O955-(O955*50%),Vlookup(F955,DATABASE!C:Q,10,false)*G955)</f>
        <v>#N/A</v>
      </c>
      <c r="L955" s="74" t="str">
        <f>VLOOKUP(F955,DATABASE!C:Q,7,FALSE)</f>
        <v>#N/A</v>
      </c>
      <c r="M955" s="74"/>
      <c r="N955" s="74">
        <f t="shared" si="11"/>
        <v>0</v>
      </c>
      <c r="O955" s="74">
        <f t="shared" si="13"/>
        <v>0</v>
      </c>
      <c r="P955" s="63">
        <f t="shared" si="14"/>
        <v>0</v>
      </c>
      <c r="Q955" s="63" t="str">
        <f t="shared" si="15"/>
        <v>#N/A</v>
      </c>
      <c r="R955" s="93" t="str">
        <f>VLOOKUP(F955,DATABASE!C:Q,4,false)</f>
        <v>#N/A</v>
      </c>
      <c r="S955" s="93" t="str">
        <f>VLOOKUP(F955,DATABASE!C:P,11,false)</f>
        <v>#N/A</v>
      </c>
      <c r="T955" s="93" t="str">
        <f>vlookup(F955,DATABASE!C:Q,8,false)</f>
        <v>#N/A</v>
      </c>
      <c r="Z955" s="9"/>
    </row>
    <row r="956" ht="22.5" customHeight="1">
      <c r="A956" s="49"/>
      <c r="C956" s="384"/>
      <c r="D956" s="93"/>
      <c r="F956" s="74"/>
      <c r="H956" s="74"/>
      <c r="I956" s="74"/>
      <c r="J956" s="74"/>
      <c r="K956" s="74" t="str">
        <f>if(F956="SERVICE",O956-(O956*50%),Vlookup(F956,DATABASE!C:Q,10,false)*G956)</f>
        <v>#N/A</v>
      </c>
      <c r="L956" s="74" t="str">
        <f>VLOOKUP(F956,DATABASE!C:Q,7,FALSE)</f>
        <v>#N/A</v>
      </c>
      <c r="M956" s="74"/>
      <c r="N956" s="74">
        <f t="shared" si="11"/>
        <v>0</v>
      </c>
      <c r="O956" s="74">
        <f t="shared" si="13"/>
        <v>0</v>
      </c>
      <c r="P956" s="63">
        <f t="shared" si="14"/>
        <v>0</v>
      </c>
      <c r="Q956" s="63" t="str">
        <f t="shared" si="15"/>
        <v>#N/A</v>
      </c>
      <c r="R956" s="93" t="str">
        <f>VLOOKUP(F956,DATABASE!C:Q,4,false)</f>
        <v>#N/A</v>
      </c>
      <c r="S956" s="93" t="str">
        <f>VLOOKUP(F956,DATABASE!C:P,11,false)</f>
        <v>#N/A</v>
      </c>
      <c r="T956" s="93" t="str">
        <f>vlookup(F956,DATABASE!C:Q,8,false)</f>
        <v>#N/A</v>
      </c>
      <c r="Z956" s="9"/>
    </row>
    <row r="957" ht="22.5" customHeight="1">
      <c r="A957" s="49"/>
      <c r="C957" s="384"/>
      <c r="D957" s="93"/>
      <c r="F957" s="74"/>
      <c r="H957" s="74"/>
      <c r="I957" s="74"/>
      <c r="J957" s="74"/>
      <c r="K957" s="74" t="str">
        <f>if(F957="SERVICE",O957-(O957*50%),Vlookup(F957,DATABASE!C:Q,10,false)*G957)</f>
        <v>#N/A</v>
      </c>
      <c r="L957" s="74" t="str">
        <f>VLOOKUP(F957,DATABASE!C:Q,7,FALSE)</f>
        <v>#N/A</v>
      </c>
      <c r="M957" s="74"/>
      <c r="N957" s="74">
        <f t="shared" si="11"/>
        <v>0</v>
      </c>
      <c r="O957" s="74">
        <f t="shared" si="13"/>
        <v>0</v>
      </c>
      <c r="P957" s="63">
        <f t="shared" si="14"/>
        <v>0</v>
      </c>
      <c r="Q957" s="63" t="str">
        <f t="shared" si="15"/>
        <v>#N/A</v>
      </c>
      <c r="R957" s="93" t="str">
        <f>VLOOKUP(F957,DATABASE!C:Q,4,false)</f>
        <v>#N/A</v>
      </c>
      <c r="S957" s="93" t="str">
        <f>VLOOKUP(F957,DATABASE!C:P,11,false)</f>
        <v>#N/A</v>
      </c>
      <c r="T957" s="93" t="str">
        <f>vlookup(F957,DATABASE!C:Q,8,false)</f>
        <v>#N/A</v>
      </c>
      <c r="Z957" s="9"/>
    </row>
    <row r="958" ht="22.5" customHeight="1">
      <c r="A958" s="49"/>
      <c r="C958" s="384"/>
      <c r="D958" s="93"/>
      <c r="F958" s="74"/>
      <c r="H958" s="74"/>
      <c r="I958" s="74"/>
      <c r="J958" s="74"/>
      <c r="K958" s="74" t="str">
        <f>if(F958="SERVICE",O958-(O958*50%),Vlookup(F958,DATABASE!C:Q,10,false)*G958)</f>
        <v>#N/A</v>
      </c>
      <c r="L958" s="74" t="str">
        <f>VLOOKUP(F958,DATABASE!C:Q,7,FALSE)</f>
        <v>#N/A</v>
      </c>
      <c r="M958" s="74"/>
      <c r="N958" s="74">
        <f t="shared" si="11"/>
        <v>0</v>
      </c>
      <c r="O958" s="74">
        <f t="shared" si="13"/>
        <v>0</v>
      </c>
      <c r="P958" s="63">
        <f t="shared" si="14"/>
        <v>0</v>
      </c>
      <c r="Q958" s="63" t="str">
        <f t="shared" si="15"/>
        <v>#N/A</v>
      </c>
      <c r="R958" s="93" t="str">
        <f>VLOOKUP(F958,DATABASE!C:Q,4,false)</f>
        <v>#N/A</v>
      </c>
      <c r="S958" s="93" t="str">
        <f>VLOOKUP(F958,DATABASE!C:P,11,false)</f>
        <v>#N/A</v>
      </c>
      <c r="T958" s="93" t="str">
        <f>vlookup(F958,DATABASE!C:Q,8,false)</f>
        <v>#N/A</v>
      </c>
      <c r="Z958" s="9"/>
    </row>
    <row r="959" ht="22.5" customHeight="1">
      <c r="A959" s="49"/>
      <c r="C959" s="384"/>
      <c r="D959" s="93"/>
      <c r="F959" s="74"/>
      <c r="H959" s="74"/>
      <c r="I959" s="74"/>
      <c r="J959" s="74"/>
      <c r="K959" s="74" t="str">
        <f>if(F959="SERVICE",O959-(O959*50%),Vlookup(F959,DATABASE!C:Q,10,false)*G959)</f>
        <v>#N/A</v>
      </c>
      <c r="L959" s="74" t="str">
        <f>VLOOKUP(F959,DATABASE!C:Q,7,FALSE)</f>
        <v>#N/A</v>
      </c>
      <c r="M959" s="74"/>
      <c r="N959" s="74">
        <f t="shared" si="11"/>
        <v>0</v>
      </c>
      <c r="O959" s="74">
        <f t="shared" si="13"/>
        <v>0</v>
      </c>
      <c r="P959" s="63">
        <f t="shared" si="14"/>
        <v>0</v>
      </c>
      <c r="Q959" s="63" t="str">
        <f t="shared" si="15"/>
        <v>#N/A</v>
      </c>
      <c r="R959" s="93" t="str">
        <f>VLOOKUP(F959,DATABASE!C:Q,4,false)</f>
        <v>#N/A</v>
      </c>
      <c r="S959" s="93" t="str">
        <f>VLOOKUP(F959,DATABASE!C:P,11,false)</f>
        <v>#N/A</v>
      </c>
      <c r="T959" s="93" t="str">
        <f>vlookup(F959,DATABASE!C:Q,8,false)</f>
        <v>#N/A</v>
      </c>
      <c r="Z959" s="9"/>
    </row>
    <row r="960" ht="22.5" customHeight="1">
      <c r="A960" s="49"/>
      <c r="C960" s="384"/>
      <c r="D960" s="93"/>
      <c r="F960" s="74"/>
      <c r="H960" s="74"/>
      <c r="I960" s="74"/>
      <c r="J960" s="74"/>
      <c r="K960" s="74" t="str">
        <f>if(F960="SERVICE",O960-(O960*50%),Vlookup(F960,DATABASE!C:Q,10,false)*G960)</f>
        <v>#N/A</v>
      </c>
      <c r="L960" s="74" t="str">
        <f>VLOOKUP(F960,DATABASE!C:Q,7,FALSE)</f>
        <v>#N/A</v>
      </c>
      <c r="M960" s="74"/>
      <c r="N960" s="74">
        <f t="shared" si="11"/>
        <v>0</v>
      </c>
      <c r="O960" s="74">
        <f t="shared" si="13"/>
        <v>0</v>
      </c>
      <c r="P960" s="63">
        <f t="shared" si="14"/>
        <v>0</v>
      </c>
      <c r="Q960" s="63" t="str">
        <f t="shared" si="15"/>
        <v>#N/A</v>
      </c>
      <c r="R960" s="93" t="str">
        <f>VLOOKUP(F960,DATABASE!C:Q,4,false)</f>
        <v>#N/A</v>
      </c>
      <c r="S960" s="93" t="str">
        <f>VLOOKUP(F960,DATABASE!C:P,11,false)</f>
        <v>#N/A</v>
      </c>
      <c r="T960" s="93" t="str">
        <f>vlookup(F960,DATABASE!C:Q,8,false)</f>
        <v>#N/A</v>
      </c>
      <c r="Z960" s="9"/>
    </row>
    <row r="961" ht="22.5" customHeight="1">
      <c r="A961" s="49"/>
      <c r="C961" s="384"/>
      <c r="D961" s="93"/>
      <c r="F961" s="74"/>
      <c r="H961" s="74"/>
      <c r="I961" s="74"/>
      <c r="J961" s="74"/>
      <c r="K961" s="74" t="str">
        <f>if(F961="SERVICE",O961-(O961*50%),Vlookup(F961,DATABASE!C:Q,10,false)*G961)</f>
        <v>#N/A</v>
      </c>
      <c r="L961" s="74" t="str">
        <f>VLOOKUP(F961,DATABASE!C:Q,7,FALSE)</f>
        <v>#N/A</v>
      </c>
      <c r="M961" s="74"/>
      <c r="N961" s="74">
        <f t="shared" si="11"/>
        <v>0</v>
      </c>
      <c r="O961" s="74">
        <f t="shared" si="13"/>
        <v>0</v>
      </c>
      <c r="P961" s="63">
        <f t="shared" si="14"/>
        <v>0</v>
      </c>
      <c r="Q961" s="63" t="str">
        <f t="shared" si="15"/>
        <v>#N/A</v>
      </c>
      <c r="R961" s="93" t="str">
        <f>VLOOKUP(F961,DATABASE!C:Q,4,false)</f>
        <v>#N/A</v>
      </c>
      <c r="S961" s="93" t="str">
        <f>VLOOKUP(F961,DATABASE!C:P,11,false)</f>
        <v>#N/A</v>
      </c>
      <c r="T961" s="93" t="str">
        <f>vlookup(F961,DATABASE!C:Q,8,false)</f>
        <v>#N/A</v>
      </c>
      <c r="Z961" s="9"/>
    </row>
    <row r="962" ht="22.5" customHeight="1">
      <c r="A962" s="49"/>
      <c r="C962" s="384"/>
      <c r="D962" s="93"/>
      <c r="F962" s="74"/>
      <c r="H962" s="74"/>
      <c r="I962" s="74"/>
      <c r="J962" s="74"/>
      <c r="K962" s="74" t="str">
        <f>if(F962="SERVICE",O962-(O962*50%),Vlookup(F962,DATABASE!C:Q,10,false)*G962)</f>
        <v>#N/A</v>
      </c>
      <c r="L962" s="74" t="str">
        <f>VLOOKUP(F962,DATABASE!C:Q,7,FALSE)</f>
        <v>#N/A</v>
      </c>
      <c r="M962" s="74"/>
      <c r="N962" s="74">
        <f t="shared" si="11"/>
        <v>0</v>
      </c>
      <c r="O962" s="74">
        <f t="shared" si="13"/>
        <v>0</v>
      </c>
      <c r="P962" s="63">
        <f t="shared" si="14"/>
        <v>0</v>
      </c>
      <c r="Q962" s="63" t="str">
        <f t="shared" si="15"/>
        <v>#N/A</v>
      </c>
      <c r="R962" s="93" t="str">
        <f>VLOOKUP(F962,DATABASE!C:Q,4,false)</f>
        <v>#N/A</v>
      </c>
      <c r="S962" s="93" t="str">
        <f>VLOOKUP(F962,DATABASE!C:P,11,false)</f>
        <v>#N/A</v>
      </c>
      <c r="T962" s="93" t="str">
        <f>vlookup(F962,DATABASE!C:Q,8,false)</f>
        <v>#N/A</v>
      </c>
      <c r="Z962" s="9"/>
    </row>
    <row r="963" ht="22.5" customHeight="1">
      <c r="A963" s="49"/>
      <c r="C963" s="384"/>
      <c r="D963" s="93"/>
      <c r="F963" s="74"/>
      <c r="H963" s="74"/>
      <c r="I963" s="74"/>
      <c r="J963" s="74"/>
      <c r="K963" s="74" t="str">
        <f>if(F963="SERVICE",O963-(O963*50%),Vlookup(F963,DATABASE!C:Q,10,false)*G963)</f>
        <v>#N/A</v>
      </c>
      <c r="L963" s="74" t="str">
        <f>VLOOKUP(F963,DATABASE!C:Q,7,FALSE)</f>
        <v>#N/A</v>
      </c>
      <c r="M963" s="74"/>
      <c r="N963" s="74">
        <f t="shared" si="11"/>
        <v>0</v>
      </c>
      <c r="O963" s="74">
        <f t="shared" si="13"/>
        <v>0</v>
      </c>
      <c r="P963" s="63">
        <f t="shared" si="14"/>
        <v>0</v>
      </c>
      <c r="Q963" s="63" t="str">
        <f t="shared" si="15"/>
        <v>#N/A</v>
      </c>
      <c r="R963" s="93" t="str">
        <f>VLOOKUP(F963,DATABASE!C:Q,4,false)</f>
        <v>#N/A</v>
      </c>
      <c r="S963" s="93" t="str">
        <f>VLOOKUP(F963,DATABASE!C:P,11,false)</f>
        <v>#N/A</v>
      </c>
      <c r="T963" s="93" t="str">
        <f>vlookup(F963,DATABASE!C:Q,8,false)</f>
        <v>#N/A</v>
      </c>
      <c r="Z963" s="9"/>
    </row>
    <row r="964" ht="22.5" customHeight="1">
      <c r="A964" s="49"/>
      <c r="C964" s="384"/>
      <c r="D964" s="93"/>
      <c r="F964" s="74"/>
      <c r="H964" s="74"/>
      <c r="I964" s="74"/>
      <c r="J964" s="74"/>
      <c r="K964" s="74" t="str">
        <f>if(F964="SERVICE",O964-(O964*50%),Vlookup(F964,DATABASE!C:Q,10,false)*G964)</f>
        <v>#N/A</v>
      </c>
      <c r="L964" s="74" t="str">
        <f>VLOOKUP(F964,DATABASE!C:Q,7,FALSE)</f>
        <v>#N/A</v>
      </c>
      <c r="M964" s="74"/>
      <c r="N964" s="74">
        <f t="shared" si="11"/>
        <v>0</v>
      </c>
      <c r="O964" s="74">
        <f t="shared" si="13"/>
        <v>0</v>
      </c>
      <c r="P964" s="63">
        <f t="shared" si="14"/>
        <v>0</v>
      </c>
      <c r="Q964" s="63" t="str">
        <f t="shared" si="15"/>
        <v>#N/A</v>
      </c>
      <c r="R964" s="93" t="str">
        <f>VLOOKUP(F964,DATABASE!C:Q,4,false)</f>
        <v>#N/A</v>
      </c>
      <c r="S964" s="93" t="str">
        <f>VLOOKUP(F964,DATABASE!C:P,11,false)</f>
        <v>#N/A</v>
      </c>
      <c r="T964" s="93" t="str">
        <f>vlookup(F964,DATABASE!C:Q,8,false)</f>
        <v>#N/A</v>
      </c>
      <c r="Z964" s="9"/>
    </row>
    <row r="965" ht="22.5" customHeight="1">
      <c r="A965" s="49"/>
      <c r="C965" s="384"/>
      <c r="D965" s="93"/>
      <c r="F965" s="74"/>
      <c r="H965" s="74"/>
      <c r="I965" s="74"/>
      <c r="J965" s="74"/>
      <c r="K965" s="74" t="str">
        <f>if(F965="SERVICE",O965-(O965*50%),Vlookup(F965,DATABASE!C:Q,10,false)*G965)</f>
        <v>#N/A</v>
      </c>
      <c r="L965" s="74" t="str">
        <f>VLOOKUP(F965,DATABASE!C:Q,7,FALSE)</f>
        <v>#N/A</v>
      </c>
      <c r="M965" s="74"/>
      <c r="N965" s="74">
        <f t="shared" si="11"/>
        <v>0</v>
      </c>
      <c r="O965" s="74">
        <f t="shared" si="13"/>
        <v>0</v>
      </c>
      <c r="P965" s="63">
        <f t="shared" si="14"/>
        <v>0</v>
      </c>
      <c r="Q965" s="63" t="str">
        <f t="shared" si="15"/>
        <v>#N/A</v>
      </c>
      <c r="R965" s="93" t="str">
        <f>VLOOKUP(F965,DATABASE!C:Q,4,false)</f>
        <v>#N/A</v>
      </c>
      <c r="S965" s="93" t="str">
        <f>VLOOKUP(F965,DATABASE!C:P,11,false)</f>
        <v>#N/A</v>
      </c>
      <c r="T965" s="93" t="str">
        <f>vlookup(F965,DATABASE!C:Q,8,false)</f>
        <v>#N/A</v>
      </c>
      <c r="Z965" s="9"/>
    </row>
    <row r="966" ht="22.5" customHeight="1">
      <c r="A966" s="49"/>
      <c r="C966" s="384"/>
      <c r="D966" s="93"/>
      <c r="F966" s="74"/>
      <c r="H966" s="74"/>
      <c r="I966" s="74"/>
      <c r="J966" s="74"/>
      <c r="K966" s="74" t="str">
        <f>if(F966="SERVICE",O966-(O966*50%),Vlookup(F966,DATABASE!C:Q,10,false)*G966)</f>
        <v>#N/A</v>
      </c>
      <c r="L966" s="74" t="str">
        <f>VLOOKUP(F966,DATABASE!C:Q,7,FALSE)</f>
        <v>#N/A</v>
      </c>
      <c r="M966" s="74"/>
      <c r="N966" s="74">
        <f t="shared" si="11"/>
        <v>0</v>
      </c>
      <c r="O966" s="74">
        <f t="shared" si="13"/>
        <v>0</v>
      </c>
      <c r="P966" s="63">
        <f t="shared" si="14"/>
        <v>0</v>
      </c>
      <c r="Q966" s="63" t="str">
        <f t="shared" si="15"/>
        <v>#N/A</v>
      </c>
      <c r="R966" s="93" t="str">
        <f>VLOOKUP(F966,DATABASE!C:Q,4,false)</f>
        <v>#N/A</v>
      </c>
      <c r="S966" s="93" t="str">
        <f>VLOOKUP(F966,DATABASE!C:P,11,false)</f>
        <v>#N/A</v>
      </c>
      <c r="T966" s="93" t="str">
        <f>vlookup(F966,DATABASE!C:Q,8,false)</f>
        <v>#N/A</v>
      </c>
      <c r="Z966" s="9"/>
    </row>
    <row r="967" ht="22.5" customHeight="1">
      <c r="A967" s="49"/>
      <c r="C967" s="384"/>
      <c r="D967" s="93"/>
      <c r="F967" s="74"/>
      <c r="H967" s="74"/>
      <c r="I967" s="74"/>
      <c r="J967" s="74"/>
      <c r="K967" s="74" t="str">
        <f>if(F967="SERVICE",O967-(O967*50%),Vlookup(F967,DATABASE!C:Q,10,false)*G967)</f>
        <v>#N/A</v>
      </c>
      <c r="L967" s="74" t="str">
        <f>VLOOKUP(F967,DATABASE!C:Q,7,FALSE)</f>
        <v>#N/A</v>
      </c>
      <c r="M967" s="74"/>
      <c r="N967" s="74">
        <f t="shared" si="11"/>
        <v>0</v>
      </c>
      <c r="O967" s="74">
        <f t="shared" si="13"/>
        <v>0</v>
      </c>
      <c r="P967" s="63">
        <f t="shared" si="14"/>
        <v>0</v>
      </c>
      <c r="Q967" s="63" t="str">
        <f t="shared" si="15"/>
        <v>#N/A</v>
      </c>
      <c r="R967" s="93" t="str">
        <f>VLOOKUP(F967,DATABASE!C:Q,4,false)</f>
        <v>#N/A</v>
      </c>
      <c r="S967" s="93" t="str">
        <f>VLOOKUP(F967,DATABASE!C:P,11,false)</f>
        <v>#N/A</v>
      </c>
      <c r="T967" s="93" t="str">
        <f>vlookup(F967,DATABASE!C:Q,8,false)</f>
        <v>#N/A</v>
      </c>
      <c r="Z967" s="9"/>
    </row>
    <row r="968" ht="22.5" customHeight="1">
      <c r="A968" s="49"/>
      <c r="C968" s="384"/>
      <c r="D968" s="93"/>
      <c r="F968" s="74"/>
      <c r="H968" s="74"/>
      <c r="I968" s="74"/>
      <c r="J968" s="74"/>
      <c r="K968" s="74" t="str">
        <f>if(F968="SERVICE",O968-(O968*50%),Vlookup(F968,DATABASE!C:Q,10,false)*G968)</f>
        <v>#N/A</v>
      </c>
      <c r="L968" s="74" t="str">
        <f>VLOOKUP(F968,DATABASE!C:Q,7,FALSE)</f>
        <v>#N/A</v>
      </c>
      <c r="M968" s="74"/>
      <c r="N968" s="74">
        <f t="shared" si="11"/>
        <v>0</v>
      </c>
      <c r="O968" s="74">
        <f t="shared" si="13"/>
        <v>0</v>
      </c>
      <c r="P968" s="63">
        <f t="shared" si="14"/>
        <v>0</v>
      </c>
      <c r="Q968" s="63" t="str">
        <f t="shared" si="15"/>
        <v>#N/A</v>
      </c>
      <c r="R968" s="93" t="str">
        <f>VLOOKUP(F968,DATABASE!C:Q,4,false)</f>
        <v>#N/A</v>
      </c>
      <c r="S968" s="93" t="str">
        <f>VLOOKUP(F968,DATABASE!C:P,11,false)</f>
        <v>#N/A</v>
      </c>
      <c r="T968" s="93" t="str">
        <f>vlookup(F968,DATABASE!C:Q,8,false)</f>
        <v>#N/A</v>
      </c>
      <c r="Z968" s="9"/>
    </row>
    <row r="969" ht="22.5" customHeight="1">
      <c r="A969" s="49"/>
      <c r="C969" s="384"/>
      <c r="D969" s="93"/>
      <c r="F969" s="74"/>
      <c r="H969" s="74"/>
      <c r="I969" s="74"/>
      <c r="J969" s="74"/>
      <c r="K969" s="74" t="str">
        <f>if(F969="SERVICE",O969-(O969*50%),Vlookup(F969,DATABASE!C:Q,10,false)*G969)</f>
        <v>#N/A</v>
      </c>
      <c r="L969" s="74" t="str">
        <f>VLOOKUP(F969,DATABASE!C:Q,7,FALSE)</f>
        <v>#N/A</v>
      </c>
      <c r="M969" s="74"/>
      <c r="N969" s="74">
        <f t="shared" si="11"/>
        <v>0</v>
      </c>
      <c r="O969" s="74">
        <f t="shared" si="13"/>
        <v>0</v>
      </c>
      <c r="P969" s="63">
        <f t="shared" si="14"/>
        <v>0</v>
      </c>
      <c r="Q969" s="63" t="str">
        <f t="shared" si="15"/>
        <v>#N/A</v>
      </c>
      <c r="R969" s="93" t="str">
        <f>VLOOKUP(F969,DATABASE!C:Q,4,false)</f>
        <v>#N/A</v>
      </c>
      <c r="S969" s="93" t="str">
        <f>VLOOKUP(F969,DATABASE!C:P,11,false)</f>
        <v>#N/A</v>
      </c>
      <c r="T969" s="93" t="str">
        <f>vlookup(F969,DATABASE!C:Q,8,false)</f>
        <v>#N/A</v>
      </c>
      <c r="Z969" s="9"/>
    </row>
    <row r="970" ht="22.5" customHeight="1">
      <c r="A970" s="49"/>
      <c r="C970" s="384"/>
      <c r="D970" s="93"/>
      <c r="F970" s="74"/>
      <c r="H970" s="74"/>
      <c r="I970" s="74"/>
      <c r="J970" s="74"/>
      <c r="K970" s="74" t="str">
        <f>if(F970="SERVICE",O970-(O970*50%),Vlookup(F970,DATABASE!C:Q,10,false)*G970)</f>
        <v>#N/A</v>
      </c>
      <c r="L970" s="74" t="str">
        <f>VLOOKUP(F970,DATABASE!C:Q,7,FALSE)</f>
        <v>#N/A</v>
      </c>
      <c r="M970" s="74"/>
      <c r="N970" s="74">
        <f t="shared" si="11"/>
        <v>0</v>
      </c>
      <c r="O970" s="74">
        <f t="shared" si="13"/>
        <v>0</v>
      </c>
      <c r="P970" s="63">
        <f t="shared" si="14"/>
        <v>0</v>
      </c>
      <c r="Q970" s="63" t="str">
        <f t="shared" si="15"/>
        <v>#N/A</v>
      </c>
      <c r="R970" s="93" t="str">
        <f>VLOOKUP(F970,DATABASE!C:Q,4,false)</f>
        <v>#N/A</v>
      </c>
      <c r="S970" s="93" t="str">
        <f>VLOOKUP(F970,DATABASE!C:P,11,false)</f>
        <v>#N/A</v>
      </c>
      <c r="T970" s="93" t="str">
        <f>vlookup(F970,DATABASE!C:Q,8,false)</f>
        <v>#N/A</v>
      </c>
      <c r="Z970" s="9"/>
    </row>
    <row r="971" ht="22.5" customHeight="1">
      <c r="A971" s="49"/>
      <c r="C971" s="384"/>
      <c r="D971" s="93"/>
      <c r="F971" s="74"/>
      <c r="H971" s="74"/>
      <c r="I971" s="74"/>
      <c r="J971" s="74"/>
      <c r="K971" s="74" t="str">
        <f>if(F971="SERVICE",O971-(O971*50%),Vlookup(F971,DATABASE!C:Q,10,false)*G971)</f>
        <v>#N/A</v>
      </c>
      <c r="L971" s="74" t="str">
        <f>VLOOKUP(F971,DATABASE!C:Q,7,FALSE)</f>
        <v>#N/A</v>
      </c>
      <c r="M971" s="74"/>
      <c r="N971" s="74">
        <f t="shared" si="11"/>
        <v>0</v>
      </c>
      <c r="O971" s="74">
        <f t="shared" si="13"/>
        <v>0</v>
      </c>
      <c r="P971" s="63">
        <f t="shared" si="14"/>
        <v>0</v>
      </c>
      <c r="Q971" s="63" t="str">
        <f t="shared" si="15"/>
        <v>#N/A</v>
      </c>
      <c r="R971" s="93" t="str">
        <f>VLOOKUP(F971,DATABASE!C:Q,4,false)</f>
        <v>#N/A</v>
      </c>
      <c r="S971" s="93" t="str">
        <f>VLOOKUP(F971,DATABASE!C:P,11,false)</f>
        <v>#N/A</v>
      </c>
      <c r="T971" s="93" t="str">
        <f>vlookup(F971,DATABASE!C:Q,8,false)</f>
        <v>#N/A</v>
      </c>
      <c r="Z971" s="9"/>
    </row>
    <row r="972" ht="22.5" customHeight="1">
      <c r="A972" s="49"/>
      <c r="C972" s="384"/>
      <c r="D972" s="93"/>
      <c r="F972" s="74"/>
      <c r="H972" s="74"/>
      <c r="I972" s="74"/>
      <c r="J972" s="74"/>
      <c r="K972" s="74" t="str">
        <f>if(F972="SERVICE",O972-(O972*50%),Vlookup(F972,DATABASE!C:Q,10,false)*G972)</f>
        <v>#N/A</v>
      </c>
      <c r="L972" s="74" t="str">
        <f>VLOOKUP(F972,DATABASE!C:Q,7,FALSE)</f>
        <v>#N/A</v>
      </c>
      <c r="M972" s="74"/>
      <c r="N972" s="74">
        <f t="shared" si="11"/>
        <v>0</v>
      </c>
      <c r="O972" s="74">
        <f t="shared" si="13"/>
        <v>0</v>
      </c>
      <c r="P972" s="63">
        <f t="shared" si="14"/>
        <v>0</v>
      </c>
      <c r="Q972" s="63" t="str">
        <f t="shared" si="15"/>
        <v>#N/A</v>
      </c>
      <c r="R972" s="93" t="str">
        <f>VLOOKUP(F972,DATABASE!C:Q,4,false)</f>
        <v>#N/A</v>
      </c>
      <c r="S972" s="93" t="str">
        <f>VLOOKUP(F972,DATABASE!C:P,11,false)</f>
        <v>#N/A</v>
      </c>
      <c r="T972" s="93" t="str">
        <f>vlookup(F972,DATABASE!C:Q,8,false)</f>
        <v>#N/A</v>
      </c>
      <c r="Z972" s="9"/>
    </row>
    <row r="973" ht="22.5" customHeight="1">
      <c r="A973" s="49"/>
      <c r="C973" s="384"/>
      <c r="D973" s="93"/>
      <c r="F973" s="74"/>
      <c r="H973" s="74"/>
      <c r="I973" s="74"/>
      <c r="J973" s="74"/>
      <c r="K973" s="74" t="str">
        <f>if(F973="SERVICE",O973-(O973*50%),Vlookup(F973,DATABASE!C:Q,10,false)*G973)</f>
        <v>#N/A</v>
      </c>
      <c r="L973" s="74" t="str">
        <f>VLOOKUP(F973,DATABASE!C:Q,7,FALSE)</f>
        <v>#N/A</v>
      </c>
      <c r="M973" s="74"/>
      <c r="N973" s="74">
        <f t="shared" si="11"/>
        <v>0</v>
      </c>
      <c r="O973" s="74">
        <f t="shared" si="13"/>
        <v>0</v>
      </c>
      <c r="P973" s="63">
        <f t="shared" si="14"/>
        <v>0</v>
      </c>
      <c r="Q973" s="63" t="str">
        <f t="shared" si="15"/>
        <v>#N/A</v>
      </c>
      <c r="R973" s="93" t="str">
        <f>VLOOKUP(F973,DATABASE!C:Q,4,false)</f>
        <v>#N/A</v>
      </c>
      <c r="S973" s="93" t="str">
        <f>VLOOKUP(F973,DATABASE!C:P,11,false)</f>
        <v>#N/A</v>
      </c>
      <c r="T973" s="93" t="str">
        <f>vlookup(F973,DATABASE!C:Q,8,false)</f>
        <v>#N/A</v>
      </c>
      <c r="Z973" s="9"/>
    </row>
    <row r="974" ht="22.5" customHeight="1">
      <c r="A974" s="49"/>
      <c r="C974" s="384"/>
      <c r="D974" s="93"/>
      <c r="F974" s="74"/>
      <c r="H974" s="74"/>
      <c r="I974" s="74"/>
      <c r="J974" s="74"/>
      <c r="K974" s="74" t="str">
        <f>if(F974="SERVICE",O974-(O974*50%),Vlookup(F974,DATABASE!C:Q,10,false)*G974)</f>
        <v>#N/A</v>
      </c>
      <c r="L974" s="74" t="str">
        <f>VLOOKUP(F974,DATABASE!C:Q,7,FALSE)</f>
        <v>#N/A</v>
      </c>
      <c r="M974" s="74"/>
      <c r="N974" s="74">
        <f t="shared" si="11"/>
        <v>0</v>
      </c>
      <c r="O974" s="74">
        <f t="shared" si="13"/>
        <v>0</v>
      </c>
      <c r="P974" s="63">
        <f t="shared" si="14"/>
        <v>0</v>
      </c>
      <c r="Q974" s="63" t="str">
        <f t="shared" si="15"/>
        <v>#N/A</v>
      </c>
      <c r="R974" s="93" t="str">
        <f>VLOOKUP(F974,DATABASE!C:Q,4,false)</f>
        <v>#N/A</v>
      </c>
      <c r="S974" s="93" t="str">
        <f>VLOOKUP(F974,DATABASE!C:P,11,false)</f>
        <v>#N/A</v>
      </c>
      <c r="T974" s="93" t="str">
        <f>vlookup(F974,DATABASE!C:Q,8,false)</f>
        <v>#N/A</v>
      </c>
      <c r="Z974" s="9"/>
    </row>
    <row r="975" ht="22.5" customHeight="1">
      <c r="A975" s="49"/>
      <c r="C975" s="384"/>
      <c r="D975" s="93"/>
      <c r="F975" s="74"/>
      <c r="H975" s="74"/>
      <c r="I975" s="74"/>
      <c r="J975" s="74"/>
      <c r="K975" s="74" t="str">
        <f>if(F975="SERVICE",O975-(O975*50%),Vlookup(F975,DATABASE!C:Q,10,false)*G975)</f>
        <v>#N/A</v>
      </c>
      <c r="L975" s="74" t="str">
        <f>VLOOKUP(F975,DATABASE!C:Q,7,FALSE)</f>
        <v>#N/A</v>
      </c>
      <c r="M975" s="74"/>
      <c r="N975" s="74">
        <f t="shared" si="11"/>
        <v>0</v>
      </c>
      <c r="O975" s="74">
        <f t="shared" si="13"/>
        <v>0</v>
      </c>
      <c r="P975" s="63">
        <f t="shared" si="14"/>
        <v>0</v>
      </c>
      <c r="Q975" s="63" t="str">
        <f t="shared" si="15"/>
        <v>#N/A</v>
      </c>
      <c r="R975" s="93" t="str">
        <f>VLOOKUP(F975,DATABASE!C:Q,4,false)</f>
        <v>#N/A</v>
      </c>
      <c r="S975" s="93" t="str">
        <f>VLOOKUP(F975,DATABASE!C:P,11,false)</f>
        <v>#N/A</v>
      </c>
      <c r="T975" s="93" t="str">
        <f>vlookup(F975,DATABASE!C:Q,8,false)</f>
        <v>#N/A</v>
      </c>
      <c r="Z975" s="9"/>
    </row>
    <row r="976" ht="22.5" customHeight="1">
      <c r="A976" s="49"/>
      <c r="C976" s="384"/>
      <c r="D976" s="93"/>
      <c r="F976" s="74"/>
      <c r="H976" s="74"/>
      <c r="I976" s="74"/>
      <c r="J976" s="74"/>
      <c r="K976" s="74" t="str">
        <f>if(F976="SERVICE",O976-(O976*50%),Vlookup(F976,DATABASE!C:Q,10,false)*G976)</f>
        <v>#N/A</v>
      </c>
      <c r="L976" s="74" t="str">
        <f>VLOOKUP(F976,DATABASE!C:Q,7,FALSE)</f>
        <v>#N/A</v>
      </c>
      <c r="M976" s="74"/>
      <c r="N976" s="74">
        <f t="shared" si="11"/>
        <v>0</v>
      </c>
      <c r="O976" s="74">
        <f t="shared" si="13"/>
        <v>0</v>
      </c>
      <c r="P976" s="63">
        <f t="shared" si="14"/>
        <v>0</v>
      </c>
      <c r="Q976" s="63" t="str">
        <f t="shared" si="15"/>
        <v>#N/A</v>
      </c>
      <c r="R976" s="93" t="str">
        <f>VLOOKUP(F976,DATABASE!C:Q,4,false)</f>
        <v>#N/A</v>
      </c>
      <c r="S976" s="93" t="str">
        <f>VLOOKUP(F976,DATABASE!C:P,11,false)</f>
        <v>#N/A</v>
      </c>
      <c r="T976" s="93" t="str">
        <f>vlookup(F976,DATABASE!C:Q,8,false)</f>
        <v>#N/A</v>
      </c>
      <c r="Z976" s="9"/>
    </row>
    <row r="977" ht="22.5" customHeight="1">
      <c r="A977" s="49"/>
      <c r="C977" s="384"/>
      <c r="D977" s="93"/>
      <c r="F977" s="74"/>
      <c r="H977" s="74"/>
      <c r="I977" s="74"/>
      <c r="J977" s="74"/>
      <c r="K977" s="74" t="str">
        <f>if(F977="SERVICE",O977-(O977*50%),Vlookup(F977,DATABASE!C:Q,10,false)*G977)</f>
        <v>#N/A</v>
      </c>
      <c r="L977" s="74" t="str">
        <f>VLOOKUP(F977,DATABASE!C:Q,7,FALSE)</f>
        <v>#N/A</v>
      </c>
      <c r="M977" s="74"/>
      <c r="N977" s="74">
        <f t="shared" si="11"/>
        <v>0</v>
      </c>
      <c r="O977" s="74">
        <f t="shared" si="13"/>
        <v>0</v>
      </c>
      <c r="P977" s="63">
        <f t="shared" si="14"/>
        <v>0</v>
      </c>
      <c r="Q977" s="63" t="str">
        <f t="shared" si="15"/>
        <v>#N/A</v>
      </c>
      <c r="R977" s="93" t="str">
        <f>VLOOKUP(F977,DATABASE!C:Q,4,false)</f>
        <v>#N/A</v>
      </c>
      <c r="S977" s="93" t="str">
        <f>VLOOKUP(F977,DATABASE!C:P,11,false)</f>
        <v>#N/A</v>
      </c>
      <c r="T977" s="93" t="str">
        <f>vlookup(F977,DATABASE!C:Q,8,false)</f>
        <v>#N/A</v>
      </c>
      <c r="Z977" s="9"/>
    </row>
    <row r="978" ht="22.5" customHeight="1">
      <c r="A978" s="49"/>
      <c r="C978" s="384"/>
      <c r="D978" s="93"/>
      <c r="F978" s="74"/>
      <c r="H978" s="74"/>
      <c r="I978" s="74"/>
      <c r="J978" s="74"/>
      <c r="K978" s="74" t="str">
        <f>if(F978="SERVICE",O978-(O978*50%),Vlookup(F978,DATABASE!C:Q,10,false)*G978)</f>
        <v>#N/A</v>
      </c>
      <c r="L978" s="74" t="str">
        <f>VLOOKUP(F978,DATABASE!C:Q,7,FALSE)</f>
        <v>#N/A</v>
      </c>
      <c r="M978" s="74"/>
      <c r="N978" s="74">
        <f t="shared" si="11"/>
        <v>0</v>
      </c>
      <c r="O978" s="74">
        <f t="shared" si="13"/>
        <v>0</v>
      </c>
      <c r="P978" s="63">
        <f t="shared" si="14"/>
        <v>0</v>
      </c>
      <c r="Q978" s="63" t="str">
        <f t="shared" si="15"/>
        <v>#N/A</v>
      </c>
      <c r="R978" s="93" t="str">
        <f>VLOOKUP(F978,DATABASE!C:Q,4,false)</f>
        <v>#N/A</v>
      </c>
      <c r="S978" s="93" t="str">
        <f>VLOOKUP(F978,DATABASE!C:P,11,false)</f>
        <v>#N/A</v>
      </c>
      <c r="T978" s="93" t="str">
        <f>vlookup(F978,DATABASE!C:Q,8,false)</f>
        <v>#N/A</v>
      </c>
      <c r="Z978" s="9"/>
    </row>
    <row r="979" ht="22.5" customHeight="1">
      <c r="A979" s="49"/>
      <c r="C979" s="384"/>
      <c r="D979" s="93"/>
      <c r="F979" s="74"/>
      <c r="H979" s="74"/>
      <c r="I979" s="74"/>
      <c r="J979" s="74"/>
      <c r="K979" s="74" t="str">
        <f>if(F979="SERVICE",O979-(O979*50%),Vlookup(F979,DATABASE!C:Q,10,false)*G979)</f>
        <v>#N/A</v>
      </c>
      <c r="L979" s="74" t="str">
        <f>VLOOKUP(F979,DATABASE!C:Q,7,FALSE)</f>
        <v>#N/A</v>
      </c>
      <c r="M979" s="74"/>
      <c r="N979" s="74">
        <f t="shared" si="11"/>
        <v>0</v>
      </c>
      <c r="O979" s="74">
        <f t="shared" si="13"/>
        <v>0</v>
      </c>
      <c r="P979" s="63">
        <f t="shared" si="14"/>
        <v>0</v>
      </c>
      <c r="Q979" s="63" t="str">
        <f t="shared" si="15"/>
        <v>#N/A</v>
      </c>
      <c r="R979" s="93" t="str">
        <f>VLOOKUP(F979,DATABASE!C:Q,4,false)</f>
        <v>#N/A</v>
      </c>
      <c r="S979" s="93" t="str">
        <f>VLOOKUP(F979,DATABASE!C:P,11,false)</f>
        <v>#N/A</v>
      </c>
      <c r="T979" s="93" t="str">
        <f>vlookup(F979,DATABASE!C:Q,8,false)</f>
        <v>#N/A</v>
      </c>
      <c r="Z979" s="9"/>
    </row>
    <row r="980" ht="22.5" customHeight="1">
      <c r="A980" s="49"/>
      <c r="C980" s="384"/>
      <c r="D980" s="93"/>
      <c r="F980" s="74"/>
      <c r="H980" s="74"/>
      <c r="I980" s="74"/>
      <c r="J980" s="74"/>
      <c r="K980" s="74" t="str">
        <f>if(F980="SERVICE",O980-(O980*50%),Vlookup(F980,DATABASE!C:Q,10,false)*G980)</f>
        <v>#N/A</v>
      </c>
      <c r="L980" s="74" t="str">
        <f>VLOOKUP(F980,DATABASE!C:Q,7,FALSE)</f>
        <v>#N/A</v>
      </c>
      <c r="M980" s="74"/>
      <c r="N980" s="74">
        <f t="shared" si="11"/>
        <v>0</v>
      </c>
      <c r="O980" s="74">
        <f t="shared" si="13"/>
        <v>0</v>
      </c>
      <c r="P980" s="63">
        <f t="shared" si="14"/>
        <v>0</v>
      </c>
      <c r="Q980" s="63" t="str">
        <f t="shared" si="15"/>
        <v>#N/A</v>
      </c>
      <c r="R980" s="93" t="str">
        <f>VLOOKUP(F980,DATABASE!C:Q,4,false)</f>
        <v>#N/A</v>
      </c>
      <c r="S980" s="93" t="str">
        <f>VLOOKUP(F980,DATABASE!C:P,11,false)</f>
        <v>#N/A</v>
      </c>
      <c r="T980" s="93" t="str">
        <f>vlookup(F980,DATABASE!C:Q,8,false)</f>
        <v>#N/A</v>
      </c>
      <c r="Z980" s="9"/>
    </row>
    <row r="981" ht="22.5" customHeight="1">
      <c r="A981" s="49"/>
      <c r="C981" s="384"/>
      <c r="D981" s="93"/>
      <c r="F981" s="74"/>
      <c r="H981" s="74"/>
      <c r="I981" s="74"/>
      <c r="J981" s="74"/>
      <c r="K981" s="74" t="str">
        <f>if(F981="SERVICE",O981-(O981*50%),Vlookup(F981,DATABASE!C:Q,10,false)*G981)</f>
        <v>#N/A</v>
      </c>
      <c r="L981" s="74" t="str">
        <f>VLOOKUP(F981,DATABASE!C:Q,7,FALSE)</f>
        <v>#N/A</v>
      </c>
      <c r="M981" s="74"/>
      <c r="N981" s="74">
        <f t="shared" si="11"/>
        <v>0</v>
      </c>
      <c r="O981" s="74">
        <f t="shared" si="13"/>
        <v>0</v>
      </c>
      <c r="P981" s="63">
        <f t="shared" si="14"/>
        <v>0</v>
      </c>
      <c r="Q981" s="63" t="str">
        <f t="shared" si="15"/>
        <v>#N/A</v>
      </c>
      <c r="R981" s="93" t="str">
        <f>VLOOKUP(F981,DATABASE!C:Q,4,false)</f>
        <v>#N/A</v>
      </c>
      <c r="S981" s="93" t="str">
        <f>VLOOKUP(F981,DATABASE!C:P,11,false)</f>
        <v>#N/A</v>
      </c>
      <c r="T981" s="93" t="str">
        <f>vlookup(F981,DATABASE!C:Q,8,false)</f>
        <v>#N/A</v>
      </c>
      <c r="Z981" s="9"/>
    </row>
    <row r="982" ht="22.5" customHeight="1">
      <c r="A982" s="49"/>
      <c r="C982" s="384"/>
      <c r="D982" s="93"/>
      <c r="F982" s="74"/>
      <c r="H982" s="74"/>
      <c r="I982" s="74"/>
      <c r="J982" s="74"/>
      <c r="K982" s="74" t="str">
        <f>if(F982="SERVICE",O982-(O982*50%),Vlookup(F982,DATABASE!C:Q,10,false)*G982)</f>
        <v>#N/A</v>
      </c>
      <c r="L982" s="74" t="str">
        <f>VLOOKUP(F982,DATABASE!C:Q,7,FALSE)</f>
        <v>#N/A</v>
      </c>
      <c r="M982" s="74"/>
      <c r="N982" s="74">
        <f t="shared" si="11"/>
        <v>0</v>
      </c>
      <c r="O982" s="74">
        <f t="shared" si="13"/>
        <v>0</v>
      </c>
      <c r="P982" s="63">
        <f t="shared" si="14"/>
        <v>0</v>
      </c>
      <c r="Q982" s="63" t="str">
        <f t="shared" si="15"/>
        <v>#N/A</v>
      </c>
      <c r="R982" s="93" t="str">
        <f>VLOOKUP(F982,DATABASE!C:Q,4,false)</f>
        <v>#N/A</v>
      </c>
      <c r="S982" s="93" t="str">
        <f>VLOOKUP(F982,DATABASE!C:P,11,false)</f>
        <v>#N/A</v>
      </c>
      <c r="T982" s="93" t="str">
        <f>vlookup(F982,DATABASE!C:Q,8,false)</f>
        <v>#N/A</v>
      </c>
      <c r="Z982" s="9"/>
    </row>
    <row r="983" ht="22.5" customHeight="1">
      <c r="A983" s="49"/>
      <c r="C983" s="384"/>
      <c r="D983" s="93"/>
      <c r="F983" s="74"/>
      <c r="H983" s="74"/>
      <c r="I983" s="74"/>
      <c r="J983" s="74"/>
      <c r="K983" s="74" t="str">
        <f>if(F983="SERVICE",O983-(O983*50%),Vlookup(F983,DATABASE!C:Q,10,false)*G983)</f>
        <v>#N/A</v>
      </c>
      <c r="L983" s="74" t="str">
        <f>VLOOKUP(F983,DATABASE!C:Q,7,FALSE)</f>
        <v>#N/A</v>
      </c>
      <c r="M983" s="74"/>
      <c r="N983" s="74">
        <f t="shared" si="11"/>
        <v>0</v>
      </c>
      <c r="O983" s="74">
        <f t="shared" si="13"/>
        <v>0</v>
      </c>
      <c r="P983" s="63">
        <f t="shared" si="14"/>
        <v>0</v>
      </c>
      <c r="Q983" s="63" t="str">
        <f t="shared" si="15"/>
        <v>#N/A</v>
      </c>
      <c r="R983" s="93" t="str">
        <f>VLOOKUP(F983,DATABASE!C:Q,4,false)</f>
        <v>#N/A</v>
      </c>
      <c r="S983" s="93" t="str">
        <f>VLOOKUP(F983,DATABASE!C:P,11,false)</f>
        <v>#N/A</v>
      </c>
      <c r="T983" s="93" t="str">
        <f>vlookup(F983,DATABASE!C:Q,8,false)</f>
        <v>#N/A</v>
      </c>
      <c r="Z983" s="9"/>
    </row>
    <row r="984" ht="22.5" customHeight="1">
      <c r="A984" s="49"/>
      <c r="C984" s="384"/>
      <c r="D984" s="93"/>
      <c r="F984" s="74"/>
      <c r="H984" s="74"/>
      <c r="I984" s="74"/>
      <c r="J984" s="74"/>
      <c r="K984" s="74" t="str">
        <f>if(F984="SERVICE",O984-(O984*50%),Vlookup(F984,DATABASE!C:Q,10,false)*G984)</f>
        <v>#N/A</v>
      </c>
      <c r="L984" s="74" t="str">
        <f>VLOOKUP(F984,DATABASE!C:Q,7,FALSE)</f>
        <v>#N/A</v>
      </c>
      <c r="M984" s="74"/>
      <c r="N984" s="74">
        <f t="shared" si="11"/>
        <v>0</v>
      </c>
      <c r="O984" s="74">
        <f t="shared" si="13"/>
        <v>0</v>
      </c>
      <c r="P984" s="63">
        <f t="shared" si="14"/>
        <v>0</v>
      </c>
      <c r="Q984" s="63" t="str">
        <f t="shared" si="15"/>
        <v>#N/A</v>
      </c>
      <c r="R984" s="93" t="str">
        <f>VLOOKUP(F984,DATABASE!C:Q,4,false)</f>
        <v>#N/A</v>
      </c>
      <c r="S984" s="93" t="str">
        <f>VLOOKUP(F984,DATABASE!C:P,11,false)</f>
        <v>#N/A</v>
      </c>
      <c r="T984" s="93" t="str">
        <f>vlookup(F984,DATABASE!C:Q,8,false)</f>
        <v>#N/A</v>
      </c>
      <c r="Z984" s="9"/>
    </row>
    <row r="985" ht="22.5" customHeight="1">
      <c r="A985" s="49"/>
      <c r="C985" s="384"/>
      <c r="D985" s="93"/>
      <c r="F985" s="74"/>
      <c r="H985" s="74"/>
      <c r="I985" s="74"/>
      <c r="J985" s="74"/>
      <c r="K985" s="74" t="str">
        <f>if(F985="SERVICE",O985-(O985*50%),Vlookup(F985,DATABASE!C:Q,10,false)*G985)</f>
        <v>#N/A</v>
      </c>
      <c r="L985" s="74" t="str">
        <f>VLOOKUP(F985,DATABASE!C:Q,7,FALSE)</f>
        <v>#N/A</v>
      </c>
      <c r="M985" s="74"/>
      <c r="N985" s="74">
        <f t="shared" si="11"/>
        <v>0</v>
      </c>
      <c r="O985" s="74">
        <f t="shared" si="13"/>
        <v>0</v>
      </c>
      <c r="P985" s="63">
        <f t="shared" si="14"/>
        <v>0</v>
      </c>
      <c r="Q985" s="63" t="str">
        <f t="shared" si="15"/>
        <v>#N/A</v>
      </c>
      <c r="R985" s="93" t="str">
        <f>VLOOKUP(F985,DATABASE!C:Q,4,false)</f>
        <v>#N/A</v>
      </c>
      <c r="S985" s="93" t="str">
        <f>VLOOKUP(F985,DATABASE!C:P,11,false)</f>
        <v>#N/A</v>
      </c>
      <c r="T985" s="93" t="str">
        <f>vlookup(F985,DATABASE!C:Q,8,false)</f>
        <v>#N/A</v>
      </c>
      <c r="Z985" s="9"/>
    </row>
    <row r="986" ht="22.5" customHeight="1">
      <c r="A986" s="49"/>
      <c r="C986" s="384"/>
      <c r="D986" s="93"/>
      <c r="F986" s="74"/>
      <c r="H986" s="74"/>
      <c r="I986" s="74"/>
      <c r="J986" s="74"/>
      <c r="K986" s="74" t="str">
        <f>if(F986="SERVICE",O986-(O986*50%),Vlookup(F986,DATABASE!C:Q,10,false)*G986)</f>
        <v>#N/A</v>
      </c>
      <c r="L986" s="74" t="str">
        <f>VLOOKUP(F986,DATABASE!C:Q,7,FALSE)</f>
        <v>#N/A</v>
      </c>
      <c r="M986" s="74"/>
      <c r="N986" s="74">
        <f t="shared" si="11"/>
        <v>0</v>
      </c>
      <c r="O986" s="74">
        <f t="shared" si="13"/>
        <v>0</v>
      </c>
      <c r="P986" s="63">
        <f t="shared" si="14"/>
        <v>0</v>
      </c>
      <c r="Q986" s="63" t="str">
        <f t="shared" si="15"/>
        <v>#N/A</v>
      </c>
      <c r="R986" s="93" t="str">
        <f>VLOOKUP(F986,DATABASE!C:Q,4,false)</f>
        <v>#N/A</v>
      </c>
      <c r="S986" s="93" t="str">
        <f>VLOOKUP(F986,DATABASE!C:P,11,false)</f>
        <v>#N/A</v>
      </c>
      <c r="T986" s="93" t="str">
        <f>vlookup(F986,DATABASE!C:Q,8,false)</f>
        <v>#N/A</v>
      </c>
      <c r="Z986" s="9"/>
    </row>
    <row r="987" ht="22.5" customHeight="1">
      <c r="A987" s="49"/>
      <c r="C987" s="384"/>
      <c r="D987" s="93"/>
      <c r="F987" s="74"/>
      <c r="H987" s="74"/>
      <c r="I987" s="74"/>
      <c r="J987" s="74"/>
      <c r="K987" s="74" t="str">
        <f>if(F987="SERVICE",O987-(O987*50%),Vlookup(F987,DATABASE!C:Q,10,false)*G987)</f>
        <v>#N/A</v>
      </c>
      <c r="L987" s="74" t="str">
        <f>VLOOKUP(F987,DATABASE!C:Q,7,FALSE)</f>
        <v>#N/A</v>
      </c>
      <c r="M987" s="74"/>
      <c r="N987" s="74">
        <f t="shared" si="11"/>
        <v>0</v>
      </c>
      <c r="O987" s="74">
        <f t="shared" si="13"/>
        <v>0</v>
      </c>
      <c r="P987" s="63">
        <f t="shared" si="14"/>
        <v>0</v>
      </c>
      <c r="Q987" s="63" t="str">
        <f t="shared" si="15"/>
        <v>#N/A</v>
      </c>
      <c r="R987" s="93" t="str">
        <f>VLOOKUP(F987,DATABASE!C:Q,4,false)</f>
        <v>#N/A</v>
      </c>
      <c r="S987" s="93" t="str">
        <f>VLOOKUP(F987,DATABASE!C:P,11,false)</f>
        <v>#N/A</v>
      </c>
      <c r="T987" s="93" t="str">
        <f>vlookup(F987,DATABASE!C:Q,8,false)</f>
        <v>#N/A</v>
      </c>
      <c r="Z987" s="9"/>
    </row>
    <row r="988" ht="22.5" customHeight="1">
      <c r="A988" s="49"/>
      <c r="C988" s="384"/>
      <c r="D988" s="93"/>
      <c r="F988" s="74"/>
      <c r="H988" s="74"/>
      <c r="I988" s="74"/>
      <c r="J988" s="74"/>
      <c r="K988" s="74" t="str">
        <f>if(F988="SERVICE",O988-(O988*50%),Vlookup(F988,DATABASE!C:Q,10,false)*G988)</f>
        <v>#N/A</v>
      </c>
      <c r="L988" s="74" t="str">
        <f>VLOOKUP(F988,DATABASE!C:Q,7,FALSE)</f>
        <v>#N/A</v>
      </c>
      <c r="M988" s="74"/>
      <c r="N988" s="74">
        <f t="shared" si="11"/>
        <v>0</v>
      </c>
      <c r="O988" s="74">
        <f t="shared" si="13"/>
        <v>0</v>
      </c>
      <c r="P988" s="63">
        <f t="shared" si="14"/>
        <v>0</v>
      </c>
      <c r="Q988" s="63" t="str">
        <f t="shared" si="15"/>
        <v>#N/A</v>
      </c>
      <c r="R988" s="93" t="str">
        <f>VLOOKUP(F988,DATABASE!C:Q,4,false)</f>
        <v>#N/A</v>
      </c>
      <c r="S988" s="93" t="str">
        <f>VLOOKUP(F988,DATABASE!C:P,11,false)</f>
        <v>#N/A</v>
      </c>
      <c r="T988" s="93" t="str">
        <f>vlookup(F988,DATABASE!C:Q,8,false)</f>
        <v>#N/A</v>
      </c>
      <c r="Z988" s="9"/>
    </row>
    <row r="989" ht="22.5" customHeight="1">
      <c r="A989" s="49"/>
      <c r="C989" s="384"/>
      <c r="D989" s="93"/>
      <c r="F989" s="74"/>
      <c r="H989" s="74"/>
      <c r="I989" s="74"/>
      <c r="J989" s="74"/>
      <c r="K989" s="74" t="str">
        <f>if(F989="SERVICE",O989-(O989*50%),Vlookup(F989,DATABASE!C:Q,10,false)*G989)</f>
        <v>#N/A</v>
      </c>
      <c r="L989" s="74" t="str">
        <f>VLOOKUP(F989,DATABASE!C:Q,7,FALSE)</f>
        <v>#N/A</v>
      </c>
      <c r="M989" s="74"/>
      <c r="N989" s="74">
        <f t="shared" si="11"/>
        <v>0</v>
      </c>
      <c r="O989" s="74">
        <f t="shared" si="13"/>
        <v>0</v>
      </c>
      <c r="P989" s="63">
        <f t="shared" si="14"/>
        <v>0</v>
      </c>
      <c r="Q989" s="63" t="str">
        <f t="shared" si="15"/>
        <v>#N/A</v>
      </c>
      <c r="R989" s="93" t="str">
        <f>VLOOKUP(F989,DATABASE!C:Q,4,false)</f>
        <v>#N/A</v>
      </c>
      <c r="S989" s="93" t="str">
        <f>VLOOKUP(F989,DATABASE!C:P,11,false)</f>
        <v>#N/A</v>
      </c>
      <c r="T989" s="93" t="str">
        <f>vlookup(F989,DATABASE!C:Q,8,false)</f>
        <v>#N/A</v>
      </c>
      <c r="Z989" s="9"/>
    </row>
    <row r="990" ht="22.5" customHeight="1">
      <c r="A990" s="49"/>
      <c r="C990" s="384"/>
      <c r="D990" s="93"/>
      <c r="F990" s="74"/>
      <c r="H990" s="74"/>
      <c r="I990" s="74"/>
      <c r="J990" s="74"/>
      <c r="K990" s="74" t="str">
        <f>if(F990="SERVICE",O990-(O990*50%),Vlookup(F990,DATABASE!C:Q,10,false)*G990)</f>
        <v>#N/A</v>
      </c>
      <c r="L990" s="74" t="str">
        <f>VLOOKUP(F990,DATABASE!C:Q,7,FALSE)</f>
        <v>#N/A</v>
      </c>
      <c r="M990" s="74"/>
      <c r="N990" s="74">
        <f t="shared" si="11"/>
        <v>0</v>
      </c>
      <c r="O990" s="74">
        <f t="shared" si="13"/>
        <v>0</v>
      </c>
      <c r="P990" s="63">
        <f t="shared" si="14"/>
        <v>0</v>
      </c>
      <c r="Q990" s="63" t="str">
        <f t="shared" si="15"/>
        <v>#N/A</v>
      </c>
      <c r="R990" s="93" t="str">
        <f>VLOOKUP(F990,DATABASE!C:Q,4,false)</f>
        <v>#N/A</v>
      </c>
      <c r="S990" s="93" t="str">
        <f>VLOOKUP(F990,DATABASE!C:P,11,false)</f>
        <v>#N/A</v>
      </c>
      <c r="T990" s="93" t="str">
        <f>vlookup(F990,DATABASE!C:Q,8,false)</f>
        <v>#N/A</v>
      </c>
      <c r="Z990" s="9"/>
    </row>
    <row r="991" ht="22.5" customHeight="1">
      <c r="A991" s="49"/>
      <c r="C991" s="384"/>
      <c r="D991" s="93"/>
      <c r="F991" s="74"/>
      <c r="H991" s="74"/>
      <c r="I991" s="74"/>
      <c r="J991" s="74"/>
      <c r="K991" s="74" t="str">
        <f>if(F991="SERVICE",O991-(O991*50%),Vlookup(F991,DATABASE!C:Q,10,false)*G991)</f>
        <v>#N/A</v>
      </c>
      <c r="L991" s="74" t="str">
        <f>VLOOKUP(F991,DATABASE!C:Q,7,FALSE)</f>
        <v>#N/A</v>
      </c>
      <c r="M991" s="74"/>
      <c r="N991" s="74">
        <f t="shared" si="11"/>
        <v>0</v>
      </c>
      <c r="O991" s="74">
        <f t="shared" si="13"/>
        <v>0</v>
      </c>
      <c r="P991" s="63">
        <f t="shared" si="14"/>
        <v>0</v>
      </c>
      <c r="Q991" s="63" t="str">
        <f t="shared" si="15"/>
        <v>#N/A</v>
      </c>
      <c r="R991" s="93" t="str">
        <f>VLOOKUP(F991,DATABASE!C:Q,4,false)</f>
        <v>#N/A</v>
      </c>
      <c r="S991" s="93" t="str">
        <f>VLOOKUP(F991,DATABASE!C:P,11,false)</f>
        <v>#N/A</v>
      </c>
      <c r="T991" s="93" t="str">
        <f>vlookup(F991,DATABASE!C:Q,8,false)</f>
        <v>#N/A</v>
      </c>
      <c r="Z991" s="9"/>
    </row>
    <row r="992" ht="22.5" customHeight="1">
      <c r="A992" s="49"/>
      <c r="C992" s="384"/>
      <c r="D992" s="93"/>
      <c r="F992" s="74"/>
      <c r="H992" s="74"/>
      <c r="I992" s="74"/>
      <c r="J992" s="74"/>
      <c r="K992" s="74" t="str">
        <f>if(F992="SERVICE",O992-(O992*50%),Vlookup(F992,DATABASE!C:Q,10,false)*G992)</f>
        <v>#N/A</v>
      </c>
      <c r="L992" s="74" t="str">
        <f>VLOOKUP(F992,DATABASE!C:Q,7,FALSE)</f>
        <v>#N/A</v>
      </c>
      <c r="M992" s="74"/>
      <c r="N992" s="74">
        <f t="shared" si="11"/>
        <v>0</v>
      </c>
      <c r="O992" s="74">
        <f t="shared" si="13"/>
        <v>0</v>
      </c>
      <c r="P992" s="63">
        <f t="shared" si="14"/>
        <v>0</v>
      </c>
      <c r="Q992" s="63" t="str">
        <f t="shared" si="15"/>
        <v>#N/A</v>
      </c>
      <c r="R992" s="93" t="str">
        <f>VLOOKUP(F992,DATABASE!C:Q,4,false)</f>
        <v>#N/A</v>
      </c>
      <c r="S992" s="93" t="str">
        <f>VLOOKUP(F992,DATABASE!C:P,11,false)</f>
        <v>#N/A</v>
      </c>
      <c r="T992" s="93" t="str">
        <f>vlookup(F992,DATABASE!C:Q,8,false)</f>
        <v>#N/A</v>
      </c>
      <c r="Z992" s="9"/>
    </row>
    <row r="993" ht="22.5" customHeight="1">
      <c r="A993" s="49"/>
      <c r="C993" s="384"/>
      <c r="D993" s="93"/>
      <c r="F993" s="74"/>
      <c r="H993" s="74"/>
      <c r="I993" s="74"/>
      <c r="J993" s="74"/>
      <c r="K993" s="74" t="str">
        <f>if(F993="SERVICE",O993-(O993*50%),Vlookup(F993,DATABASE!C:Q,10,false)*G993)</f>
        <v>#N/A</v>
      </c>
      <c r="L993" s="74" t="str">
        <f>VLOOKUP(F993,DATABASE!C:Q,7,FALSE)</f>
        <v>#N/A</v>
      </c>
      <c r="M993" s="74"/>
      <c r="N993" s="74">
        <f t="shared" si="11"/>
        <v>0</v>
      </c>
      <c r="O993" s="74">
        <f t="shared" si="13"/>
        <v>0</v>
      </c>
      <c r="P993" s="63">
        <f t="shared" si="14"/>
        <v>0</v>
      </c>
      <c r="Q993" s="63" t="str">
        <f t="shared" si="15"/>
        <v>#N/A</v>
      </c>
      <c r="R993" s="93" t="str">
        <f>VLOOKUP(F993,DATABASE!C:Q,4,false)</f>
        <v>#N/A</v>
      </c>
      <c r="S993" s="93" t="str">
        <f>VLOOKUP(F993,DATABASE!C:P,11,false)</f>
        <v>#N/A</v>
      </c>
      <c r="T993" s="93" t="str">
        <f>vlookup(F993,DATABASE!C:Q,8,false)</f>
        <v>#N/A</v>
      </c>
      <c r="Z993" s="9"/>
    </row>
    <row r="994" ht="22.5" customHeight="1">
      <c r="A994" s="49"/>
      <c r="C994" s="384"/>
      <c r="D994" s="93"/>
      <c r="F994" s="74"/>
      <c r="H994" s="74"/>
      <c r="I994" s="74"/>
      <c r="J994" s="74"/>
      <c r="K994" s="74" t="str">
        <f>if(F994="SERVICE",O994-(O994*50%),Vlookup(F994,DATABASE!C:Q,10,false)*G994)</f>
        <v>#N/A</v>
      </c>
      <c r="L994" s="74" t="str">
        <f>VLOOKUP(F994,DATABASE!C:Q,7,FALSE)</f>
        <v>#N/A</v>
      </c>
      <c r="M994" s="74"/>
      <c r="N994" s="74">
        <f t="shared" si="11"/>
        <v>0</v>
      </c>
      <c r="O994" s="74">
        <f t="shared" si="13"/>
        <v>0</v>
      </c>
      <c r="P994" s="63">
        <f t="shared" si="14"/>
        <v>0</v>
      </c>
      <c r="Q994" s="63" t="str">
        <f t="shared" si="15"/>
        <v>#N/A</v>
      </c>
      <c r="R994" s="93" t="str">
        <f>VLOOKUP(F994,DATABASE!C:Q,4,false)</f>
        <v>#N/A</v>
      </c>
      <c r="S994" s="93" t="str">
        <f>VLOOKUP(F994,DATABASE!C:P,11,false)</f>
        <v>#N/A</v>
      </c>
      <c r="T994" s="93" t="str">
        <f>vlookup(F994,DATABASE!C:Q,8,false)</f>
        <v>#N/A</v>
      </c>
      <c r="Z994" s="9"/>
    </row>
    <row r="995" ht="22.5" customHeight="1">
      <c r="A995" s="49"/>
      <c r="C995" s="384"/>
      <c r="D995" s="93"/>
      <c r="F995" s="74"/>
      <c r="H995" s="74"/>
      <c r="I995" s="74"/>
      <c r="J995" s="74"/>
      <c r="K995" s="74" t="str">
        <f>if(F995="SERVICE",O995-(O995*50%),Vlookup(F995,DATABASE!C:Q,10,false)*G995)</f>
        <v>#N/A</v>
      </c>
      <c r="L995" s="74" t="str">
        <f>VLOOKUP(F995,DATABASE!C:Q,7,FALSE)</f>
        <v>#N/A</v>
      </c>
      <c r="M995" s="74"/>
      <c r="N995" s="74">
        <f t="shared" si="11"/>
        <v>0</v>
      </c>
      <c r="O995" s="74">
        <f t="shared" si="13"/>
        <v>0</v>
      </c>
      <c r="P995" s="63">
        <f t="shared" si="14"/>
        <v>0</v>
      </c>
      <c r="Q995" s="63" t="str">
        <f t="shared" si="15"/>
        <v>#N/A</v>
      </c>
      <c r="R995" s="93" t="str">
        <f>VLOOKUP(F995,DATABASE!C:Q,4,false)</f>
        <v>#N/A</v>
      </c>
      <c r="S995" s="93" t="str">
        <f>VLOOKUP(F995,DATABASE!C:P,11,false)</f>
        <v>#N/A</v>
      </c>
      <c r="T995" s="93" t="str">
        <f>vlookup(F995,DATABASE!C:Q,8,false)</f>
        <v>#N/A</v>
      </c>
      <c r="Z995" s="9"/>
    </row>
    <row r="996" ht="22.5" customHeight="1">
      <c r="A996" s="49"/>
      <c r="C996" s="384"/>
      <c r="D996" s="93"/>
      <c r="F996" s="74"/>
      <c r="H996" s="74"/>
      <c r="I996" s="74"/>
      <c r="J996" s="74"/>
      <c r="K996" s="74" t="str">
        <f>if(F996="SERVICE",O996-(O996*50%),Vlookup(F996,DATABASE!C:Q,10,false)*G996)</f>
        <v>#N/A</v>
      </c>
      <c r="L996" s="74" t="str">
        <f>VLOOKUP(F996,DATABASE!C:Q,7,FALSE)</f>
        <v>#N/A</v>
      </c>
      <c r="M996" s="74"/>
      <c r="N996" s="74">
        <f t="shared" si="11"/>
        <v>0</v>
      </c>
      <c r="O996" s="74">
        <f t="shared" si="13"/>
        <v>0</v>
      </c>
      <c r="P996" s="63">
        <f t="shared" si="14"/>
        <v>0</v>
      </c>
      <c r="Q996" s="63" t="str">
        <f t="shared" si="15"/>
        <v>#N/A</v>
      </c>
      <c r="R996" s="93" t="str">
        <f>VLOOKUP(F996,DATABASE!C:Q,4,false)</f>
        <v>#N/A</v>
      </c>
      <c r="S996" s="93" t="str">
        <f>VLOOKUP(F996,DATABASE!C:P,11,false)</f>
        <v>#N/A</v>
      </c>
      <c r="T996" s="93" t="str">
        <f>vlookup(F996,DATABASE!C:Q,8,false)</f>
        <v>#N/A</v>
      </c>
      <c r="Z996" s="9"/>
    </row>
    <row r="997" ht="22.5" customHeight="1">
      <c r="A997" s="49"/>
      <c r="C997" s="384"/>
      <c r="D997" s="93"/>
      <c r="F997" s="74"/>
      <c r="H997" s="74"/>
      <c r="I997" s="74"/>
      <c r="J997" s="74"/>
      <c r="K997" s="74" t="str">
        <f>if(F997="SERVICE",O997-(O997*50%),Vlookup(F997,DATABASE!C:Q,10,false)*G997)</f>
        <v>#N/A</v>
      </c>
      <c r="L997" s="74" t="str">
        <f>VLOOKUP(F997,DATABASE!C:Q,7,FALSE)</f>
        <v>#N/A</v>
      </c>
      <c r="M997" s="74"/>
      <c r="N997" s="74">
        <f t="shared" si="11"/>
        <v>0</v>
      </c>
      <c r="O997" s="74">
        <f t="shared" si="13"/>
        <v>0</v>
      </c>
      <c r="P997" s="63">
        <f t="shared" si="14"/>
        <v>0</v>
      </c>
      <c r="Q997" s="63" t="str">
        <f t="shared" si="15"/>
        <v>#N/A</v>
      </c>
      <c r="R997" s="93" t="str">
        <f>VLOOKUP(F997,DATABASE!C:Q,4,false)</f>
        <v>#N/A</v>
      </c>
      <c r="S997" s="93" t="str">
        <f>VLOOKUP(F997,DATABASE!C:P,11,false)</f>
        <v>#N/A</v>
      </c>
      <c r="T997" s="93" t="str">
        <f>vlookup(F997,DATABASE!C:Q,8,false)</f>
        <v>#N/A</v>
      </c>
      <c r="Z997" s="9"/>
    </row>
    <row r="998" ht="22.5" customHeight="1">
      <c r="A998" s="49"/>
      <c r="C998" s="384"/>
      <c r="D998" s="93"/>
      <c r="F998" s="74"/>
      <c r="H998" s="74"/>
      <c r="I998" s="74"/>
      <c r="J998" s="74"/>
      <c r="K998" s="74" t="str">
        <f>if(F998="SERVICE",O998-(O998*50%),Vlookup(F998,DATABASE!C:Q,10,false)*G998)</f>
        <v>#N/A</v>
      </c>
      <c r="L998" s="74" t="str">
        <f>VLOOKUP(F998,DATABASE!C:Q,7,FALSE)</f>
        <v>#N/A</v>
      </c>
      <c r="M998" s="74"/>
      <c r="N998" s="74">
        <f t="shared" si="11"/>
        <v>0</v>
      </c>
      <c r="O998" s="74">
        <f t="shared" si="13"/>
        <v>0</v>
      </c>
      <c r="P998" s="63">
        <f t="shared" si="14"/>
        <v>0</v>
      </c>
      <c r="Q998" s="63" t="str">
        <f t="shared" si="15"/>
        <v>#N/A</v>
      </c>
      <c r="R998" s="93" t="str">
        <f>VLOOKUP(F998,DATABASE!C:Q,4,false)</f>
        <v>#N/A</v>
      </c>
      <c r="S998" s="93" t="str">
        <f>VLOOKUP(F998,DATABASE!C:P,11,false)</f>
        <v>#N/A</v>
      </c>
      <c r="T998" s="93" t="str">
        <f>vlookup(F998,DATABASE!C:Q,8,false)</f>
        <v>#N/A</v>
      </c>
      <c r="Z998" s="9"/>
    </row>
    <row r="999" ht="22.5" customHeight="1">
      <c r="A999" s="49"/>
      <c r="C999" s="384"/>
      <c r="D999" s="93"/>
      <c r="F999" s="74"/>
      <c r="H999" s="74"/>
      <c r="I999" s="74"/>
      <c r="J999" s="74"/>
      <c r="K999" s="74" t="str">
        <f>if(F999="SERVICE",O999-(O999*50%),Vlookup(F999,DATABASE!C:Q,10,false)*G999)</f>
        <v>#N/A</v>
      </c>
      <c r="L999" s="74" t="str">
        <f>VLOOKUP(F999,DATABASE!C:Q,7,FALSE)</f>
        <v>#N/A</v>
      </c>
      <c r="M999" s="74"/>
      <c r="N999" s="74">
        <f t="shared" si="11"/>
        <v>0</v>
      </c>
      <c r="O999" s="74">
        <f t="shared" si="13"/>
        <v>0</v>
      </c>
      <c r="P999" s="63">
        <f t="shared" si="14"/>
        <v>0</v>
      </c>
      <c r="Q999" s="63" t="str">
        <f t="shared" si="15"/>
        <v>#N/A</v>
      </c>
      <c r="R999" s="93" t="str">
        <f>VLOOKUP(F999,DATABASE!C:Q,4,false)</f>
        <v>#N/A</v>
      </c>
      <c r="S999" s="93" t="str">
        <f>VLOOKUP(F999,DATABASE!C:P,11,false)</f>
        <v>#N/A</v>
      </c>
      <c r="T999" s="93" t="str">
        <f>vlookup(F999,DATABASE!C:Q,8,false)</f>
        <v>#N/A</v>
      </c>
      <c r="Z999" s="9"/>
    </row>
    <row r="1000" ht="22.5" customHeight="1">
      <c r="A1000" s="49"/>
      <c r="C1000" s="384"/>
      <c r="D1000" s="93"/>
      <c r="F1000" s="74"/>
      <c r="H1000" s="74"/>
      <c r="I1000" s="74"/>
      <c r="J1000" s="74"/>
      <c r="K1000" s="74" t="str">
        <f>if(F1000="SERVICE",O1000-(O1000*50%),Vlookup(F1000,DATABASE!C:Q,10,false)*G1000)</f>
        <v>#N/A</v>
      </c>
      <c r="L1000" s="74" t="str">
        <f>VLOOKUP(F1000,DATABASE!C:Q,7,FALSE)</f>
        <v>#N/A</v>
      </c>
      <c r="M1000" s="74"/>
      <c r="N1000" s="74">
        <f t="shared" si="11"/>
        <v>0</v>
      </c>
      <c r="O1000" s="74">
        <f t="shared" si="13"/>
        <v>0</v>
      </c>
      <c r="P1000" s="63">
        <f t="shared" si="14"/>
        <v>0</v>
      </c>
      <c r="Q1000" s="63" t="str">
        <f t="shared" si="15"/>
        <v>#N/A</v>
      </c>
      <c r="R1000" s="93" t="str">
        <f>VLOOKUP(F1000,DATABASE!C:Q,4,false)</f>
        <v>#N/A</v>
      </c>
      <c r="S1000" s="93" t="str">
        <f>VLOOKUP(F1000,DATABASE!C:P,11,false)</f>
        <v>#N/A</v>
      </c>
      <c r="T1000" s="93" t="str">
        <f>vlookup(F1000,DATABASE!C:Q,8,false)</f>
        <v>#N/A</v>
      </c>
      <c r="Z1000" s="9"/>
    </row>
    <row r="1001" ht="22.5" customHeight="1">
      <c r="A1001" s="49"/>
      <c r="C1001" s="384"/>
      <c r="D1001" s="93"/>
      <c r="F1001" s="74"/>
      <c r="H1001" s="74"/>
      <c r="I1001" s="74"/>
      <c r="J1001" s="74"/>
      <c r="K1001" s="74" t="str">
        <f>if(F1001="SERVICE",O1001-(O1001*50%),Vlookup(F1001,DATABASE!C:Q,10,false)*G1001)</f>
        <v>#N/A</v>
      </c>
      <c r="L1001" s="74" t="str">
        <f>VLOOKUP(F1001,DATABASE!C:Q,7,FALSE)</f>
        <v>#N/A</v>
      </c>
      <c r="M1001" s="74"/>
      <c r="N1001" s="74">
        <f t="shared" si="11"/>
        <v>0</v>
      </c>
      <c r="O1001" s="74">
        <f t="shared" si="13"/>
        <v>0</v>
      </c>
      <c r="P1001" s="63">
        <f t="shared" si="14"/>
        <v>0</v>
      </c>
      <c r="Q1001" s="63" t="str">
        <f t="shared" si="15"/>
        <v>#N/A</v>
      </c>
      <c r="R1001" s="93" t="str">
        <f>VLOOKUP(F1001,DATABASE!C:Q,4,false)</f>
        <v>#N/A</v>
      </c>
      <c r="S1001" s="93" t="str">
        <f>VLOOKUP(F1001,DATABASE!C:P,11,false)</f>
        <v>#N/A</v>
      </c>
      <c r="T1001" s="93" t="str">
        <f>vlookup(F1001,DATABASE!C:Q,8,false)</f>
        <v>#N/A</v>
      </c>
      <c r="Z1001" s="9"/>
    </row>
    <row r="1002" ht="22.5" customHeight="1">
      <c r="A1002" s="49"/>
      <c r="C1002" s="384"/>
      <c r="D1002" s="93"/>
      <c r="F1002" s="74"/>
      <c r="H1002" s="74"/>
      <c r="I1002" s="74"/>
      <c r="J1002" s="74"/>
      <c r="K1002" s="74" t="str">
        <f>if(F1002="SERVICE",O1002-(O1002*50%),Vlookup(F1002,DATABASE!C:Q,10,false)*G1002)</f>
        <v>#N/A</v>
      </c>
      <c r="L1002" s="74" t="str">
        <f>VLOOKUP(F1002,DATABASE!C:Q,7,FALSE)</f>
        <v>#N/A</v>
      </c>
      <c r="M1002" s="74"/>
      <c r="N1002" s="74">
        <f t="shared" si="11"/>
        <v>0</v>
      </c>
      <c r="O1002" s="74">
        <f t="shared" si="13"/>
        <v>0</v>
      </c>
      <c r="P1002" s="63">
        <f t="shared" si="14"/>
        <v>0</v>
      </c>
      <c r="Q1002" s="63" t="str">
        <f t="shared" si="15"/>
        <v>#N/A</v>
      </c>
      <c r="R1002" s="93" t="str">
        <f>VLOOKUP(F1002,DATABASE!C:Q,4,false)</f>
        <v>#N/A</v>
      </c>
      <c r="S1002" s="93" t="str">
        <f>VLOOKUP(F1002,DATABASE!C:P,11,false)</f>
        <v>#N/A</v>
      </c>
      <c r="T1002" s="93" t="str">
        <f>vlookup(F1002,DATABASE!C:Q,8,false)</f>
        <v>#N/A</v>
      </c>
      <c r="Z1002" s="9"/>
    </row>
    <row r="1003" ht="22.5" customHeight="1">
      <c r="A1003" s="49"/>
      <c r="C1003" s="384"/>
      <c r="D1003" s="93"/>
      <c r="F1003" s="74"/>
      <c r="H1003" s="74"/>
      <c r="I1003" s="74"/>
      <c r="J1003" s="74"/>
      <c r="K1003" s="74" t="str">
        <f>if(F1003="SERVICE",O1003-(O1003*50%),Vlookup(F1003,DATABASE!C:Q,10,false)*G1003)</f>
        <v>#N/A</v>
      </c>
      <c r="L1003" s="74" t="str">
        <f>VLOOKUP(F1003,DATABASE!C:Q,7,FALSE)</f>
        <v>#N/A</v>
      </c>
      <c r="M1003" s="74"/>
      <c r="N1003" s="74">
        <f t="shared" si="11"/>
        <v>0</v>
      </c>
      <c r="O1003" s="74">
        <f t="shared" si="13"/>
        <v>0</v>
      </c>
      <c r="P1003" s="63">
        <f t="shared" si="14"/>
        <v>0</v>
      </c>
      <c r="Q1003" s="63" t="str">
        <f t="shared" si="15"/>
        <v>#N/A</v>
      </c>
      <c r="R1003" s="93" t="str">
        <f>VLOOKUP(F1003,DATABASE!C:Q,4,false)</f>
        <v>#N/A</v>
      </c>
      <c r="S1003" s="93" t="str">
        <f>VLOOKUP(F1003,DATABASE!C:P,11,false)</f>
        <v>#N/A</v>
      </c>
      <c r="T1003" s="93" t="str">
        <f>vlookup(F1003,DATABASE!C:Q,8,false)</f>
        <v>#N/A</v>
      </c>
      <c r="Z1003" s="9"/>
    </row>
    <row r="1004" ht="22.5" customHeight="1">
      <c r="A1004" s="49"/>
      <c r="C1004" s="384"/>
      <c r="D1004" s="93"/>
      <c r="F1004" s="74"/>
      <c r="H1004" s="74"/>
      <c r="I1004" s="74"/>
      <c r="J1004" s="74"/>
      <c r="K1004" s="74" t="str">
        <f>if(F1004="SERVICE",O1004-(O1004*50%),Vlookup(F1004,DATABASE!C:Q,10,false)*G1004)</f>
        <v>#N/A</v>
      </c>
      <c r="L1004" s="74" t="str">
        <f>VLOOKUP(F1004,DATABASE!C:Q,7,FALSE)</f>
        <v>#N/A</v>
      </c>
      <c r="M1004" s="74"/>
      <c r="N1004" s="74">
        <f t="shared" si="11"/>
        <v>0</v>
      </c>
      <c r="O1004" s="74">
        <f t="shared" si="13"/>
        <v>0</v>
      </c>
      <c r="P1004" s="63">
        <f t="shared" si="14"/>
        <v>0</v>
      </c>
      <c r="Q1004" s="63" t="str">
        <f t="shared" si="15"/>
        <v>#N/A</v>
      </c>
      <c r="R1004" s="93" t="str">
        <f>VLOOKUP(F1004,DATABASE!C:Q,4,false)</f>
        <v>#N/A</v>
      </c>
      <c r="S1004" s="93" t="str">
        <f>VLOOKUP(F1004,DATABASE!C:P,11,false)</f>
        <v>#N/A</v>
      </c>
      <c r="T1004" s="93" t="str">
        <f>vlookup(F1004,DATABASE!C:Q,8,false)</f>
        <v>#N/A</v>
      </c>
      <c r="Z1004" s="9"/>
    </row>
    <row r="1005" ht="22.5" customHeight="1">
      <c r="A1005" s="49"/>
      <c r="C1005" s="384"/>
      <c r="D1005" s="93"/>
      <c r="F1005" s="74"/>
      <c r="H1005" s="74"/>
      <c r="I1005" s="74"/>
      <c r="J1005" s="74"/>
      <c r="K1005" s="74" t="str">
        <f>if(F1005="SERVICE",O1005-(O1005*50%),Vlookup(F1005,DATABASE!C:Q,10,false)*G1005)</f>
        <v>#N/A</v>
      </c>
      <c r="L1005" s="74" t="str">
        <f>VLOOKUP(F1005,DATABASE!C:Q,7,FALSE)</f>
        <v>#N/A</v>
      </c>
      <c r="M1005" s="74"/>
      <c r="N1005" s="74">
        <f t="shared" si="11"/>
        <v>0</v>
      </c>
      <c r="O1005" s="74">
        <f t="shared" si="13"/>
        <v>0</v>
      </c>
      <c r="P1005" s="63">
        <f t="shared" si="14"/>
        <v>0</v>
      </c>
      <c r="Q1005" s="63" t="str">
        <f t="shared" si="15"/>
        <v>#N/A</v>
      </c>
      <c r="R1005" s="93" t="str">
        <f>VLOOKUP(F1005,DATABASE!C:Q,4,false)</f>
        <v>#N/A</v>
      </c>
      <c r="S1005" s="93" t="str">
        <f>VLOOKUP(F1005,DATABASE!C:P,11,false)</f>
        <v>#N/A</v>
      </c>
      <c r="T1005" s="93" t="str">
        <f>vlookup(F1005,DATABASE!C:Q,8,false)</f>
        <v>#N/A</v>
      </c>
      <c r="Z1005" s="9"/>
    </row>
    <row r="1006" ht="22.5" customHeight="1">
      <c r="A1006" s="49"/>
      <c r="C1006" s="384"/>
      <c r="D1006" s="93"/>
      <c r="F1006" s="74"/>
      <c r="H1006" s="74"/>
      <c r="I1006" s="74"/>
      <c r="J1006" s="74"/>
      <c r="K1006" s="74" t="str">
        <f>if(F1006="SERVICE",O1006-(O1006*50%),Vlookup(F1006,DATABASE!C:Q,10,false)*G1006)</f>
        <v>#N/A</v>
      </c>
      <c r="L1006" s="74" t="str">
        <f>VLOOKUP(F1006,DATABASE!C:Q,7,FALSE)</f>
        <v>#N/A</v>
      </c>
      <c r="M1006" s="74"/>
      <c r="N1006" s="74">
        <f t="shared" si="11"/>
        <v>0</v>
      </c>
      <c r="O1006" s="74">
        <f t="shared" si="13"/>
        <v>0</v>
      </c>
      <c r="P1006" s="63">
        <f t="shared" si="14"/>
        <v>0</v>
      </c>
      <c r="Q1006" s="63" t="str">
        <f t="shared" si="15"/>
        <v>#N/A</v>
      </c>
      <c r="R1006" s="93" t="str">
        <f>VLOOKUP(F1006,DATABASE!C:Q,4,false)</f>
        <v>#N/A</v>
      </c>
      <c r="S1006" s="93" t="str">
        <f>VLOOKUP(F1006,DATABASE!C:P,11,false)</f>
        <v>#N/A</v>
      </c>
      <c r="T1006" s="93" t="str">
        <f>vlookup(F1006,DATABASE!C:Q,8,false)</f>
        <v>#N/A</v>
      </c>
      <c r="Z1006" s="9"/>
    </row>
    <row r="1007" ht="22.5" customHeight="1">
      <c r="A1007" s="49"/>
      <c r="C1007" s="384"/>
      <c r="D1007" s="93"/>
      <c r="F1007" s="74"/>
      <c r="H1007" s="74"/>
      <c r="I1007" s="74"/>
      <c r="J1007" s="74"/>
      <c r="K1007" s="74" t="str">
        <f>if(F1007="SERVICE",O1007-(O1007*50%),Vlookup(F1007,DATABASE!C:Q,10,false)*G1007)</f>
        <v>#N/A</v>
      </c>
      <c r="L1007" s="74" t="str">
        <f>VLOOKUP(F1007,DATABASE!C:Q,7,FALSE)</f>
        <v>#N/A</v>
      </c>
      <c r="M1007" s="74"/>
      <c r="N1007" s="74">
        <f t="shared" si="11"/>
        <v>0</v>
      </c>
      <c r="O1007" s="74">
        <f t="shared" si="13"/>
        <v>0</v>
      </c>
      <c r="P1007" s="63">
        <f t="shared" si="14"/>
        <v>0</v>
      </c>
      <c r="Q1007" s="63" t="str">
        <f t="shared" si="15"/>
        <v>#N/A</v>
      </c>
      <c r="R1007" s="93" t="str">
        <f>VLOOKUP(F1007,DATABASE!C:Q,4,false)</f>
        <v>#N/A</v>
      </c>
      <c r="S1007" s="93" t="str">
        <f>VLOOKUP(F1007,DATABASE!C:P,11,false)</f>
        <v>#N/A</v>
      </c>
      <c r="T1007" s="93" t="str">
        <f>vlookup(F1007,DATABASE!C:Q,8,false)</f>
        <v>#N/A</v>
      </c>
      <c r="Z1007" s="9"/>
    </row>
    <row r="1008" ht="22.5" customHeight="1">
      <c r="A1008" s="49"/>
      <c r="C1008" s="384"/>
      <c r="D1008" s="93"/>
      <c r="F1008" s="74"/>
      <c r="H1008" s="74"/>
      <c r="I1008" s="74"/>
      <c r="J1008" s="74"/>
      <c r="K1008" s="74" t="str">
        <f>if(F1008="SERVICE",O1008-(O1008*50%),Vlookup(F1008,DATABASE!C:Q,10,false)*G1008)</f>
        <v>#N/A</v>
      </c>
      <c r="L1008" s="74" t="str">
        <f>VLOOKUP(F1008,DATABASE!C:Q,7,FALSE)</f>
        <v>#N/A</v>
      </c>
      <c r="M1008" s="74"/>
      <c r="N1008" s="74">
        <f t="shared" si="11"/>
        <v>0</v>
      </c>
      <c r="O1008" s="74">
        <f t="shared" si="13"/>
        <v>0</v>
      </c>
      <c r="P1008" s="63">
        <f t="shared" si="14"/>
        <v>0</v>
      </c>
      <c r="Q1008" s="63" t="str">
        <f t="shared" si="15"/>
        <v>#N/A</v>
      </c>
      <c r="R1008" s="93" t="str">
        <f>VLOOKUP(F1008,DATABASE!C:Q,4,false)</f>
        <v>#N/A</v>
      </c>
      <c r="S1008" s="93" t="str">
        <f>VLOOKUP(F1008,DATABASE!C:P,11,false)</f>
        <v>#N/A</v>
      </c>
      <c r="T1008" s="93" t="str">
        <f>vlookup(F1008,DATABASE!C:Q,8,false)</f>
        <v>#N/A</v>
      </c>
      <c r="Z1008" s="9"/>
    </row>
    <row r="1009" ht="22.5" customHeight="1">
      <c r="A1009" s="49"/>
      <c r="C1009" s="384"/>
      <c r="D1009" s="93"/>
      <c r="F1009" s="74"/>
      <c r="H1009" s="74"/>
      <c r="I1009" s="74"/>
      <c r="J1009" s="74"/>
      <c r="K1009" s="74" t="str">
        <f>if(F1009="SERVICE",O1009-(O1009*50%),Vlookup(F1009,DATABASE!C:Q,10,false)*G1009)</f>
        <v>#N/A</v>
      </c>
      <c r="L1009" s="74" t="str">
        <f>VLOOKUP(F1009,DATABASE!C:Q,7,FALSE)</f>
        <v>#N/A</v>
      </c>
      <c r="M1009" s="74"/>
      <c r="N1009" s="74">
        <f t="shared" si="11"/>
        <v>0</v>
      </c>
      <c r="O1009" s="74">
        <f t="shared" si="13"/>
        <v>0</v>
      </c>
      <c r="P1009" s="63">
        <f t="shared" si="14"/>
        <v>0</v>
      </c>
      <c r="Q1009" s="63" t="str">
        <f t="shared" si="15"/>
        <v>#N/A</v>
      </c>
      <c r="R1009" s="93" t="str">
        <f>VLOOKUP(F1009,DATABASE!C:Q,4,false)</f>
        <v>#N/A</v>
      </c>
      <c r="S1009" s="93" t="str">
        <f>VLOOKUP(F1009,DATABASE!C:P,11,false)</f>
        <v>#N/A</v>
      </c>
      <c r="T1009" s="93" t="str">
        <f>vlookup(F1009,DATABASE!C:Q,8,false)</f>
        <v>#N/A</v>
      </c>
      <c r="Z1009" s="9"/>
    </row>
    <row r="1010" ht="22.5" customHeight="1">
      <c r="A1010" s="49"/>
      <c r="C1010" s="384"/>
      <c r="D1010" s="93"/>
      <c r="F1010" s="74"/>
      <c r="H1010" s="74"/>
      <c r="I1010" s="74"/>
      <c r="J1010" s="74"/>
      <c r="K1010" s="74" t="str">
        <f>if(F1010="SERVICE",O1010-(O1010*50%),Vlookup(F1010,DATABASE!C:Q,10,false)*G1010)</f>
        <v>#N/A</v>
      </c>
      <c r="L1010" s="74" t="str">
        <f>VLOOKUP(F1010,DATABASE!C:Q,7,FALSE)</f>
        <v>#N/A</v>
      </c>
      <c r="M1010" s="74"/>
      <c r="N1010" s="74">
        <f t="shared" si="11"/>
        <v>0</v>
      </c>
      <c r="O1010" s="74">
        <f t="shared" si="13"/>
        <v>0</v>
      </c>
      <c r="P1010" s="63">
        <f t="shared" si="14"/>
        <v>0</v>
      </c>
      <c r="Q1010" s="63" t="str">
        <f t="shared" si="15"/>
        <v>#N/A</v>
      </c>
      <c r="R1010" s="93" t="str">
        <f>VLOOKUP(F1010,DATABASE!C:Q,4,false)</f>
        <v>#N/A</v>
      </c>
      <c r="S1010" s="93" t="str">
        <f>VLOOKUP(F1010,DATABASE!C:P,11,false)</f>
        <v>#N/A</v>
      </c>
      <c r="T1010" s="93" t="str">
        <f>vlookup(F1010,DATABASE!C:Q,8,false)</f>
        <v>#N/A</v>
      </c>
      <c r="Z1010" s="9"/>
    </row>
    <row r="1011" ht="22.5" customHeight="1">
      <c r="A1011" s="49"/>
      <c r="C1011" s="384"/>
      <c r="D1011" s="93"/>
      <c r="F1011" s="74"/>
      <c r="H1011" s="74"/>
      <c r="I1011" s="74"/>
      <c r="J1011" s="74"/>
      <c r="K1011" s="74" t="str">
        <f>if(F1011="SERVICE",O1011-(O1011*50%),Vlookup(F1011,DATABASE!C:Q,10,false)*G1011)</f>
        <v>#N/A</v>
      </c>
      <c r="L1011" s="74" t="str">
        <f>VLOOKUP(F1011,DATABASE!C:Q,7,FALSE)</f>
        <v>#N/A</v>
      </c>
      <c r="M1011" s="74"/>
      <c r="N1011" s="74">
        <f t="shared" si="11"/>
        <v>0</v>
      </c>
      <c r="O1011" s="74">
        <f t="shared" si="13"/>
        <v>0</v>
      </c>
      <c r="P1011" s="63">
        <f t="shared" si="14"/>
        <v>0</v>
      </c>
      <c r="Q1011" s="63" t="str">
        <f t="shared" si="15"/>
        <v>#N/A</v>
      </c>
      <c r="R1011" s="93" t="str">
        <f>VLOOKUP(F1011,DATABASE!C:Q,4,false)</f>
        <v>#N/A</v>
      </c>
      <c r="S1011" s="93" t="str">
        <f>VLOOKUP(F1011,DATABASE!C:P,11,false)</f>
        <v>#N/A</v>
      </c>
      <c r="T1011" s="93" t="str">
        <f>vlookup(F1011,DATABASE!C:Q,8,false)</f>
        <v>#N/A</v>
      </c>
      <c r="Z1011" s="9"/>
    </row>
    <row r="1012" ht="22.5" customHeight="1">
      <c r="A1012" s="49"/>
      <c r="C1012" s="384"/>
      <c r="D1012" s="93"/>
      <c r="F1012" s="74"/>
      <c r="H1012" s="74"/>
      <c r="I1012" s="74"/>
      <c r="J1012" s="74"/>
      <c r="K1012" s="74" t="str">
        <f>if(F1012="SERVICE",O1012-(O1012*50%),Vlookup(F1012,DATABASE!C:Q,10,false)*G1012)</f>
        <v>#N/A</v>
      </c>
      <c r="L1012" s="74" t="str">
        <f>VLOOKUP(F1012,DATABASE!C:Q,7,FALSE)</f>
        <v>#N/A</v>
      </c>
      <c r="M1012" s="74"/>
      <c r="N1012" s="74">
        <f t="shared" si="11"/>
        <v>0</v>
      </c>
      <c r="O1012" s="74">
        <f t="shared" si="13"/>
        <v>0</v>
      </c>
      <c r="P1012" s="63">
        <f t="shared" si="14"/>
        <v>0</v>
      </c>
      <c r="Q1012" s="63" t="str">
        <f t="shared" si="15"/>
        <v>#N/A</v>
      </c>
      <c r="R1012" s="93" t="str">
        <f>VLOOKUP(F1012,DATABASE!C:Q,4,false)</f>
        <v>#N/A</v>
      </c>
      <c r="S1012" s="93" t="str">
        <f>VLOOKUP(F1012,DATABASE!C:P,11,false)</f>
        <v>#N/A</v>
      </c>
      <c r="T1012" s="93" t="str">
        <f>vlookup(F1012,DATABASE!C:Q,8,false)</f>
        <v>#N/A</v>
      </c>
      <c r="Z1012" s="9"/>
    </row>
    <row r="1013" ht="22.5" customHeight="1">
      <c r="A1013" s="49"/>
      <c r="C1013" s="384"/>
      <c r="D1013" s="93"/>
      <c r="F1013" s="74"/>
      <c r="H1013" s="74"/>
      <c r="I1013" s="74"/>
      <c r="J1013" s="74"/>
      <c r="K1013" s="74" t="str">
        <f>if(F1013="SERVICE",O1013-(O1013*50%),Vlookup(F1013,DATABASE!C:Q,10,false)*G1013)</f>
        <v>#N/A</v>
      </c>
      <c r="L1013" s="74" t="str">
        <f>VLOOKUP(F1013,DATABASE!C:Q,7,FALSE)</f>
        <v>#N/A</v>
      </c>
      <c r="M1013" s="74"/>
      <c r="N1013" s="74">
        <f t="shared" si="11"/>
        <v>0</v>
      </c>
      <c r="O1013" s="74">
        <f t="shared" si="13"/>
        <v>0</v>
      </c>
      <c r="P1013" s="63">
        <f t="shared" si="14"/>
        <v>0</v>
      </c>
      <c r="Q1013" s="63" t="str">
        <f t="shared" si="15"/>
        <v>#N/A</v>
      </c>
      <c r="R1013" s="93" t="str">
        <f>VLOOKUP(F1013,DATABASE!C:Q,4,false)</f>
        <v>#N/A</v>
      </c>
      <c r="S1013" s="93" t="str">
        <f>VLOOKUP(F1013,DATABASE!C:P,11,false)</f>
        <v>#N/A</v>
      </c>
      <c r="T1013" s="93" t="str">
        <f>vlookup(F1013,DATABASE!C:Q,8,false)</f>
        <v>#N/A</v>
      </c>
      <c r="Z1013" s="9"/>
    </row>
    <row r="1014" ht="22.5" customHeight="1">
      <c r="A1014" s="49"/>
      <c r="C1014" s="384"/>
      <c r="D1014" s="93"/>
      <c r="F1014" s="74"/>
      <c r="H1014" s="74"/>
      <c r="I1014" s="74"/>
      <c r="J1014" s="74"/>
      <c r="K1014" s="74" t="str">
        <f>if(F1014="SERVICE",O1014-(O1014*50%),Vlookup(F1014,DATABASE!C:Q,10,false)*G1014)</f>
        <v>#N/A</v>
      </c>
      <c r="L1014" s="74" t="str">
        <f>VLOOKUP(F1014,DATABASE!C:Q,7,FALSE)</f>
        <v>#N/A</v>
      </c>
      <c r="M1014" s="74"/>
      <c r="N1014" s="74">
        <f t="shared" si="11"/>
        <v>0</v>
      </c>
      <c r="O1014" s="74">
        <f t="shared" si="13"/>
        <v>0</v>
      </c>
      <c r="P1014" s="63">
        <f t="shared" si="14"/>
        <v>0</v>
      </c>
      <c r="Q1014" s="63" t="str">
        <f t="shared" si="15"/>
        <v>#N/A</v>
      </c>
      <c r="R1014" s="93" t="str">
        <f>VLOOKUP(F1014,DATABASE!C:Q,4,false)</f>
        <v>#N/A</v>
      </c>
      <c r="S1014" s="93" t="str">
        <f>VLOOKUP(F1014,DATABASE!C:P,11,false)</f>
        <v>#N/A</v>
      </c>
      <c r="T1014" s="93" t="str">
        <f>vlookup(F1014,DATABASE!C:Q,8,false)</f>
        <v>#N/A</v>
      </c>
      <c r="Z1014" s="9"/>
    </row>
    <row r="1015" ht="22.5" customHeight="1">
      <c r="A1015" s="49"/>
      <c r="C1015" s="384"/>
      <c r="D1015" s="93"/>
      <c r="F1015" s="74"/>
      <c r="H1015" s="74"/>
      <c r="I1015" s="74"/>
      <c r="J1015" s="74"/>
      <c r="K1015" s="74" t="str">
        <f>if(F1015="SERVICE",O1015-(O1015*50%),Vlookup(F1015,DATABASE!C:Q,10,false)*G1015)</f>
        <v>#N/A</v>
      </c>
      <c r="L1015" s="74" t="str">
        <f>VLOOKUP(F1015,DATABASE!C:Q,7,FALSE)</f>
        <v>#N/A</v>
      </c>
      <c r="M1015" s="74"/>
      <c r="N1015" s="74">
        <f t="shared" si="11"/>
        <v>0</v>
      </c>
      <c r="O1015" s="74">
        <f t="shared" si="13"/>
        <v>0</v>
      </c>
      <c r="P1015" s="63">
        <f t="shared" si="14"/>
        <v>0</v>
      </c>
      <c r="Q1015" s="63" t="str">
        <f t="shared" si="15"/>
        <v>#N/A</v>
      </c>
      <c r="R1015" s="93" t="str">
        <f>VLOOKUP(F1015,DATABASE!C:Q,4,false)</f>
        <v>#N/A</v>
      </c>
      <c r="S1015" s="93" t="str">
        <f>VLOOKUP(F1015,DATABASE!C:P,11,false)</f>
        <v>#N/A</v>
      </c>
      <c r="T1015" s="93" t="str">
        <f>vlookup(F1015,DATABASE!C:Q,8,false)</f>
        <v>#N/A</v>
      </c>
      <c r="Z1015" s="9"/>
    </row>
    <row r="1016" ht="22.5" customHeight="1">
      <c r="A1016" s="49"/>
      <c r="C1016" s="384"/>
      <c r="D1016" s="93"/>
      <c r="F1016" s="74"/>
      <c r="H1016" s="74"/>
      <c r="I1016" s="74"/>
      <c r="J1016" s="74"/>
      <c r="K1016" s="74" t="str">
        <f>if(F1016="SERVICE",O1016-(O1016*50%),Vlookup(F1016,DATABASE!C:Q,10,false)*G1016)</f>
        <v>#N/A</v>
      </c>
      <c r="L1016" s="74" t="str">
        <f>VLOOKUP(F1016,DATABASE!C:Q,7,FALSE)</f>
        <v>#N/A</v>
      </c>
      <c r="M1016" s="74"/>
      <c r="N1016" s="74">
        <f t="shared" si="11"/>
        <v>0</v>
      </c>
      <c r="O1016" s="74">
        <f t="shared" si="13"/>
        <v>0</v>
      </c>
      <c r="P1016" s="63">
        <f t="shared" si="14"/>
        <v>0</v>
      </c>
      <c r="Q1016" s="63" t="str">
        <f t="shared" si="15"/>
        <v>#N/A</v>
      </c>
      <c r="R1016" s="93" t="str">
        <f>VLOOKUP(F1016,DATABASE!C:Q,4,false)</f>
        <v>#N/A</v>
      </c>
      <c r="S1016" s="93" t="str">
        <f>VLOOKUP(F1016,DATABASE!C:P,11,false)</f>
        <v>#N/A</v>
      </c>
      <c r="T1016" s="93" t="str">
        <f>vlookup(F1016,DATABASE!C:Q,8,false)</f>
        <v>#N/A</v>
      </c>
      <c r="Z1016" s="9"/>
    </row>
    <row r="1017" ht="22.5" customHeight="1">
      <c r="A1017" s="49"/>
      <c r="C1017" s="384"/>
      <c r="D1017" s="93"/>
      <c r="F1017" s="74"/>
      <c r="H1017" s="74"/>
      <c r="I1017" s="74"/>
      <c r="J1017" s="74"/>
      <c r="K1017" s="74" t="str">
        <f>if(F1017="SERVICE",O1017-(O1017*50%),Vlookup(F1017,DATABASE!C:Q,10,false)*G1017)</f>
        <v>#N/A</v>
      </c>
      <c r="L1017" s="74" t="str">
        <f>VLOOKUP(F1017,DATABASE!C:Q,7,FALSE)</f>
        <v>#N/A</v>
      </c>
      <c r="M1017" s="74"/>
      <c r="N1017" s="74">
        <f t="shared" si="11"/>
        <v>0</v>
      </c>
      <c r="O1017" s="74">
        <f t="shared" si="13"/>
        <v>0</v>
      </c>
      <c r="P1017" s="63">
        <f t="shared" si="14"/>
        <v>0</v>
      </c>
      <c r="Q1017" s="63" t="str">
        <f t="shared" si="15"/>
        <v>#N/A</v>
      </c>
      <c r="R1017" s="93" t="str">
        <f>VLOOKUP(F1017,DATABASE!C:Q,4,false)</f>
        <v>#N/A</v>
      </c>
      <c r="S1017" s="93" t="str">
        <f>VLOOKUP(F1017,DATABASE!C:P,11,false)</f>
        <v>#N/A</v>
      </c>
      <c r="T1017" s="93" t="str">
        <f>vlookup(F1017,DATABASE!C:Q,8,false)</f>
        <v>#N/A</v>
      </c>
      <c r="Z1017" s="9"/>
    </row>
    <row r="1018" ht="22.5" customHeight="1">
      <c r="A1018" s="49"/>
      <c r="C1018" s="384"/>
      <c r="D1018" s="93"/>
      <c r="F1018" s="74"/>
      <c r="H1018" s="74"/>
      <c r="I1018" s="74"/>
      <c r="J1018" s="74"/>
      <c r="K1018" s="74" t="str">
        <f>if(F1018="SERVICE",O1018-(O1018*50%),Vlookup(F1018,DATABASE!C:Q,10,false)*G1018)</f>
        <v>#N/A</v>
      </c>
      <c r="L1018" s="74" t="str">
        <f>VLOOKUP(F1018,DATABASE!C:Q,7,FALSE)</f>
        <v>#N/A</v>
      </c>
      <c r="M1018" s="74"/>
      <c r="N1018" s="74">
        <f t="shared" si="11"/>
        <v>0</v>
      </c>
      <c r="O1018" s="74">
        <f t="shared" si="13"/>
        <v>0</v>
      </c>
      <c r="P1018" s="63">
        <f t="shared" si="14"/>
        <v>0</v>
      </c>
      <c r="Q1018" s="63" t="str">
        <f t="shared" si="15"/>
        <v>#N/A</v>
      </c>
      <c r="R1018" s="93" t="str">
        <f>VLOOKUP(F1018,DATABASE!C:Q,4,false)</f>
        <v>#N/A</v>
      </c>
      <c r="S1018" s="93" t="str">
        <f>VLOOKUP(F1018,DATABASE!C:P,11,false)</f>
        <v>#N/A</v>
      </c>
      <c r="T1018" s="93" t="str">
        <f>vlookup(F1018,DATABASE!C:Q,8,false)</f>
        <v>#N/A</v>
      </c>
      <c r="Z1018" s="9"/>
    </row>
    <row r="1019" ht="22.5" customHeight="1">
      <c r="A1019" s="49"/>
      <c r="C1019" s="384"/>
      <c r="D1019" s="93"/>
      <c r="F1019" s="74"/>
      <c r="H1019" s="74"/>
      <c r="I1019" s="74"/>
      <c r="J1019" s="74"/>
      <c r="K1019" s="74" t="str">
        <f>if(F1019="SERVICE",O1019-(O1019*50%),Vlookup(F1019,DATABASE!C:Q,10,false)*G1019)</f>
        <v>#N/A</v>
      </c>
      <c r="L1019" s="74" t="str">
        <f>VLOOKUP(F1019,DATABASE!C:Q,7,FALSE)</f>
        <v>#N/A</v>
      </c>
      <c r="M1019" s="74"/>
      <c r="N1019" s="74">
        <f t="shared" si="11"/>
        <v>0</v>
      </c>
      <c r="O1019" s="74">
        <f t="shared" si="13"/>
        <v>0</v>
      </c>
      <c r="P1019" s="63">
        <f t="shared" si="14"/>
        <v>0</v>
      </c>
      <c r="Q1019" s="63" t="str">
        <f t="shared" si="15"/>
        <v>#N/A</v>
      </c>
      <c r="R1019" s="93" t="str">
        <f>VLOOKUP(F1019,DATABASE!C:Q,4,false)</f>
        <v>#N/A</v>
      </c>
      <c r="S1019" s="93" t="str">
        <f>VLOOKUP(F1019,DATABASE!C:P,11,false)</f>
        <v>#N/A</v>
      </c>
      <c r="T1019" s="93" t="str">
        <f>vlookup(F1019,DATABASE!C:Q,8,false)</f>
        <v>#N/A</v>
      </c>
      <c r="Z1019" s="9"/>
    </row>
    <row r="1020" ht="22.5" customHeight="1">
      <c r="A1020" s="49"/>
      <c r="C1020" s="384"/>
      <c r="D1020" s="93"/>
      <c r="F1020" s="74"/>
      <c r="H1020" s="74"/>
      <c r="I1020" s="74"/>
      <c r="J1020" s="74"/>
      <c r="K1020" s="74" t="str">
        <f>if(F1020="SERVICE",O1020-(O1020*50%),Vlookup(F1020,DATABASE!C:Q,10,false)*G1020)</f>
        <v>#N/A</v>
      </c>
      <c r="L1020" s="74" t="str">
        <f>VLOOKUP(F1020,DATABASE!C:Q,7,FALSE)</f>
        <v>#N/A</v>
      </c>
      <c r="M1020" s="74"/>
      <c r="N1020" s="74">
        <f t="shared" si="11"/>
        <v>0</v>
      </c>
      <c r="O1020" s="74">
        <f t="shared" si="13"/>
        <v>0</v>
      </c>
      <c r="P1020" s="63">
        <f t="shared" si="14"/>
        <v>0</v>
      </c>
      <c r="Q1020" s="63" t="str">
        <f t="shared" si="15"/>
        <v>#N/A</v>
      </c>
      <c r="R1020" s="93" t="str">
        <f>VLOOKUP(F1020,DATABASE!C:Q,4,false)</f>
        <v>#N/A</v>
      </c>
      <c r="S1020" s="93" t="str">
        <f>VLOOKUP(F1020,DATABASE!C:P,11,false)</f>
        <v>#N/A</v>
      </c>
      <c r="T1020" s="93" t="str">
        <f>vlookup(F1020,DATABASE!C:Q,8,false)</f>
        <v>#N/A</v>
      </c>
      <c r="Z1020" s="9"/>
    </row>
    <row r="1021" ht="22.5" customHeight="1">
      <c r="A1021" s="49"/>
      <c r="C1021" s="384"/>
      <c r="D1021" s="93"/>
      <c r="F1021" s="74"/>
      <c r="H1021" s="74"/>
      <c r="I1021" s="74"/>
      <c r="J1021" s="74"/>
      <c r="K1021" s="74" t="str">
        <f>if(F1021="SERVICE",O1021-(O1021*50%),Vlookup(F1021,DATABASE!C:Q,10,false)*G1021)</f>
        <v>#N/A</v>
      </c>
      <c r="L1021" s="74" t="str">
        <f>VLOOKUP(F1021,DATABASE!C:Q,7,FALSE)</f>
        <v>#N/A</v>
      </c>
      <c r="M1021" s="74"/>
      <c r="N1021" s="74">
        <f t="shared" si="11"/>
        <v>0</v>
      </c>
      <c r="O1021" s="74">
        <f t="shared" si="13"/>
        <v>0</v>
      </c>
      <c r="P1021" s="63">
        <f t="shared" si="14"/>
        <v>0</v>
      </c>
      <c r="Q1021" s="63" t="str">
        <f t="shared" si="15"/>
        <v>#N/A</v>
      </c>
      <c r="R1021" s="93" t="str">
        <f>VLOOKUP(F1021,DATABASE!C:Q,4,false)</f>
        <v>#N/A</v>
      </c>
      <c r="S1021" s="93" t="str">
        <f>VLOOKUP(F1021,DATABASE!C:P,11,false)</f>
        <v>#N/A</v>
      </c>
      <c r="T1021" s="93" t="str">
        <f>vlookup(F1021,DATABASE!C:Q,8,false)</f>
        <v>#N/A</v>
      </c>
      <c r="Z1021" s="9"/>
    </row>
    <row r="1022" ht="22.5" customHeight="1">
      <c r="A1022" s="49"/>
      <c r="C1022" s="384"/>
      <c r="D1022" s="93"/>
      <c r="F1022" s="74"/>
      <c r="H1022" s="74"/>
      <c r="I1022" s="74"/>
      <c r="J1022" s="74"/>
      <c r="K1022" s="74" t="str">
        <f>if(F1022="SERVICE",O1022-(O1022*50%),Vlookup(F1022,DATABASE!C:Q,10,false)*G1022)</f>
        <v>#N/A</v>
      </c>
      <c r="L1022" s="74" t="str">
        <f>VLOOKUP(F1022,DATABASE!C:Q,7,FALSE)</f>
        <v>#N/A</v>
      </c>
      <c r="M1022" s="74"/>
      <c r="N1022" s="74">
        <f t="shared" si="11"/>
        <v>0</v>
      </c>
      <c r="O1022" s="74">
        <f t="shared" si="13"/>
        <v>0</v>
      </c>
      <c r="P1022" s="63">
        <f t="shared" si="14"/>
        <v>0</v>
      </c>
      <c r="Q1022" s="63" t="str">
        <f t="shared" si="15"/>
        <v>#N/A</v>
      </c>
      <c r="R1022" s="93" t="str">
        <f>VLOOKUP(F1022,DATABASE!C:Q,4,false)</f>
        <v>#N/A</v>
      </c>
      <c r="S1022" s="93" t="str">
        <f>VLOOKUP(F1022,DATABASE!C:P,11,false)</f>
        <v>#N/A</v>
      </c>
      <c r="T1022" s="93" t="str">
        <f>vlookup(F1022,DATABASE!C:Q,8,false)</f>
        <v>#N/A</v>
      </c>
      <c r="Z1022" s="9"/>
    </row>
    <row r="1023" ht="22.5" customHeight="1">
      <c r="A1023" s="49"/>
      <c r="C1023" s="384"/>
      <c r="D1023" s="93"/>
      <c r="F1023" s="74"/>
      <c r="H1023" s="74"/>
      <c r="I1023" s="74"/>
      <c r="J1023" s="74"/>
      <c r="K1023" s="74" t="str">
        <f>if(F1023="SERVICE",O1023-(O1023*50%),Vlookup(F1023,DATABASE!C:Q,10,false)*G1023)</f>
        <v>#N/A</v>
      </c>
      <c r="L1023" s="74" t="str">
        <f>VLOOKUP(F1023,DATABASE!C:Q,7,FALSE)</f>
        <v>#N/A</v>
      </c>
      <c r="M1023" s="74"/>
      <c r="N1023" s="74">
        <f t="shared" si="11"/>
        <v>0</v>
      </c>
      <c r="O1023" s="74">
        <f t="shared" si="13"/>
        <v>0</v>
      </c>
      <c r="P1023" s="63">
        <f t="shared" si="14"/>
        <v>0</v>
      </c>
      <c r="Q1023" s="63" t="str">
        <f t="shared" si="15"/>
        <v>#N/A</v>
      </c>
      <c r="R1023" s="93" t="str">
        <f>VLOOKUP(F1023,DATABASE!C:Q,4,false)</f>
        <v>#N/A</v>
      </c>
      <c r="S1023" s="93" t="str">
        <f>VLOOKUP(F1023,DATABASE!C:P,11,false)</f>
        <v>#N/A</v>
      </c>
      <c r="T1023" s="93" t="str">
        <f>vlookup(F1023,DATABASE!C:Q,8,false)</f>
        <v>#N/A</v>
      </c>
      <c r="Z1023" s="9"/>
    </row>
    <row r="1024" ht="22.5" customHeight="1">
      <c r="A1024" s="49"/>
      <c r="C1024" s="384"/>
      <c r="D1024" s="93"/>
      <c r="F1024" s="74"/>
      <c r="H1024" s="74"/>
      <c r="I1024" s="74"/>
      <c r="J1024" s="74"/>
      <c r="K1024" s="74" t="str">
        <f>if(F1024="SERVICE",O1024-(O1024*50%),Vlookup(F1024,DATABASE!C:Q,10,false)*G1024)</f>
        <v>#N/A</v>
      </c>
      <c r="L1024" s="74" t="str">
        <f>VLOOKUP(F1024,DATABASE!C:Q,7,FALSE)</f>
        <v>#N/A</v>
      </c>
      <c r="M1024" s="74"/>
      <c r="N1024" s="74">
        <f t="shared" si="11"/>
        <v>0</v>
      </c>
      <c r="O1024" s="74">
        <f t="shared" si="13"/>
        <v>0</v>
      </c>
      <c r="P1024" s="63">
        <f t="shared" si="14"/>
        <v>0</v>
      </c>
      <c r="Q1024" s="63" t="str">
        <f t="shared" si="15"/>
        <v>#N/A</v>
      </c>
      <c r="R1024" s="93" t="str">
        <f>VLOOKUP(F1024,DATABASE!C:Q,4,false)</f>
        <v>#N/A</v>
      </c>
      <c r="S1024" s="93" t="str">
        <f>VLOOKUP(F1024,DATABASE!C:P,11,false)</f>
        <v>#N/A</v>
      </c>
      <c r="T1024" s="93" t="str">
        <f>vlookup(F1024,DATABASE!C:Q,8,false)</f>
        <v>#N/A</v>
      </c>
      <c r="Z1024" s="9"/>
    </row>
    <row r="1025" ht="22.5" customHeight="1">
      <c r="A1025" s="49"/>
      <c r="C1025" s="384"/>
      <c r="D1025" s="93"/>
      <c r="F1025" s="74"/>
      <c r="H1025" s="74"/>
      <c r="I1025" s="74"/>
      <c r="J1025" s="74"/>
      <c r="K1025" s="74" t="str">
        <f>if(F1025="SERVICE",O1025-(O1025*50%),Vlookup(F1025,DATABASE!C:Q,10,false)*G1025)</f>
        <v>#N/A</v>
      </c>
      <c r="L1025" s="74" t="str">
        <f>VLOOKUP(F1025,DATABASE!C:Q,7,FALSE)</f>
        <v>#N/A</v>
      </c>
      <c r="M1025" s="74"/>
      <c r="N1025" s="74">
        <f t="shared" si="11"/>
        <v>0</v>
      </c>
      <c r="O1025" s="74">
        <f t="shared" si="13"/>
        <v>0</v>
      </c>
      <c r="P1025" s="63">
        <f t="shared" si="14"/>
        <v>0</v>
      </c>
      <c r="Q1025" s="63" t="str">
        <f t="shared" si="15"/>
        <v>#N/A</v>
      </c>
      <c r="R1025" s="93" t="str">
        <f>VLOOKUP(F1025,DATABASE!C:Q,4,false)</f>
        <v>#N/A</v>
      </c>
      <c r="S1025" s="93" t="str">
        <f>VLOOKUP(F1025,DATABASE!C:P,11,false)</f>
        <v>#N/A</v>
      </c>
      <c r="T1025" s="93" t="str">
        <f>vlookup(F1025,DATABASE!C:Q,8,false)</f>
        <v>#N/A</v>
      </c>
      <c r="Z1025" s="9"/>
    </row>
    <row r="1026" ht="22.5" customHeight="1">
      <c r="A1026" s="49"/>
      <c r="C1026" s="384"/>
      <c r="D1026" s="93"/>
      <c r="F1026" s="74"/>
      <c r="H1026" s="74"/>
      <c r="I1026" s="74"/>
      <c r="J1026" s="74"/>
      <c r="K1026" s="74" t="str">
        <f>if(F1026="SERVICE",O1026-(O1026*50%),Vlookup(F1026,DATABASE!C:Q,10,false)*G1026)</f>
        <v>#N/A</v>
      </c>
      <c r="L1026" s="74" t="str">
        <f>VLOOKUP(F1026,DATABASE!C:Q,7,FALSE)</f>
        <v>#N/A</v>
      </c>
      <c r="M1026" s="74"/>
      <c r="N1026" s="74">
        <f t="shared" si="11"/>
        <v>0</v>
      </c>
      <c r="O1026" s="74">
        <f t="shared" si="13"/>
        <v>0</v>
      </c>
      <c r="P1026" s="63">
        <f t="shared" si="14"/>
        <v>0</v>
      </c>
      <c r="Q1026" s="63" t="str">
        <f t="shared" si="15"/>
        <v>#N/A</v>
      </c>
      <c r="R1026" s="93" t="str">
        <f>VLOOKUP(F1026,DATABASE!C:Q,4,false)</f>
        <v>#N/A</v>
      </c>
      <c r="S1026" s="93" t="str">
        <f>VLOOKUP(F1026,DATABASE!C:P,11,false)</f>
        <v>#N/A</v>
      </c>
      <c r="T1026" s="93" t="str">
        <f>vlookup(F1026,DATABASE!C:Q,8,false)</f>
        <v>#N/A</v>
      </c>
      <c r="Z1026" s="9"/>
    </row>
    <row r="1027" ht="22.5" customHeight="1">
      <c r="A1027" s="49"/>
      <c r="C1027" s="384"/>
      <c r="D1027" s="93"/>
      <c r="F1027" s="74"/>
      <c r="H1027" s="74"/>
      <c r="I1027" s="74"/>
      <c r="J1027" s="74"/>
      <c r="K1027" s="74" t="str">
        <f>if(F1027="SERVICE",O1027-(O1027*50%),Vlookup(F1027,DATABASE!C:Q,10,false)*G1027)</f>
        <v>#N/A</v>
      </c>
      <c r="L1027" s="74" t="str">
        <f>VLOOKUP(F1027,DATABASE!C:Q,7,FALSE)</f>
        <v>#N/A</v>
      </c>
      <c r="M1027" s="74"/>
      <c r="N1027" s="74">
        <f t="shared" si="11"/>
        <v>0</v>
      </c>
      <c r="O1027" s="74">
        <f t="shared" si="13"/>
        <v>0</v>
      </c>
      <c r="P1027" s="63">
        <f t="shared" si="14"/>
        <v>0</v>
      </c>
      <c r="Q1027" s="63" t="str">
        <f t="shared" si="15"/>
        <v>#N/A</v>
      </c>
      <c r="R1027" s="93" t="str">
        <f>VLOOKUP(F1027,DATABASE!C:Q,4,false)</f>
        <v>#N/A</v>
      </c>
      <c r="S1027" s="93" t="str">
        <f>VLOOKUP(F1027,DATABASE!C:P,11,false)</f>
        <v>#N/A</v>
      </c>
      <c r="T1027" s="93" t="str">
        <f>vlookup(F1027,DATABASE!C:Q,8,false)</f>
        <v>#N/A</v>
      </c>
      <c r="Z1027" s="9"/>
    </row>
    <row r="1028" ht="22.5" customHeight="1">
      <c r="A1028" s="49"/>
      <c r="C1028" s="384"/>
      <c r="D1028" s="93"/>
      <c r="F1028" s="74"/>
      <c r="H1028" s="74"/>
      <c r="I1028" s="74"/>
      <c r="J1028" s="74"/>
      <c r="K1028" s="74" t="str">
        <f>if(F1028="SERVICE",O1028-(O1028*50%),Vlookup(F1028,DATABASE!C:Q,10,false)*G1028)</f>
        <v>#N/A</v>
      </c>
      <c r="L1028" s="74" t="str">
        <f>VLOOKUP(F1028,DATABASE!C:Q,7,FALSE)</f>
        <v>#N/A</v>
      </c>
      <c r="M1028" s="74"/>
      <c r="N1028" s="74">
        <f t="shared" si="11"/>
        <v>0</v>
      </c>
      <c r="O1028" s="74">
        <f t="shared" si="13"/>
        <v>0</v>
      </c>
      <c r="P1028" s="63">
        <f t="shared" si="14"/>
        <v>0</v>
      </c>
      <c r="Q1028" s="63" t="str">
        <f t="shared" si="15"/>
        <v>#N/A</v>
      </c>
      <c r="R1028" s="93" t="str">
        <f>VLOOKUP(F1028,DATABASE!C:Q,4,false)</f>
        <v>#N/A</v>
      </c>
      <c r="S1028" s="93" t="str">
        <f>VLOOKUP(F1028,DATABASE!C:P,11,false)</f>
        <v>#N/A</v>
      </c>
      <c r="T1028" s="93" t="str">
        <f>vlookup(F1028,DATABASE!C:Q,8,false)</f>
        <v>#N/A</v>
      </c>
      <c r="Z1028" s="9"/>
    </row>
    <row r="1029" ht="22.5" customHeight="1">
      <c r="A1029" s="49"/>
      <c r="C1029" s="384"/>
      <c r="D1029" s="93"/>
      <c r="F1029" s="74"/>
      <c r="H1029" s="74"/>
      <c r="I1029" s="74"/>
      <c r="J1029" s="74"/>
      <c r="K1029" s="74" t="str">
        <f>if(F1029="SERVICE",O1029-(O1029*50%),Vlookup(F1029,DATABASE!C:Q,10,false)*G1029)</f>
        <v>#N/A</v>
      </c>
      <c r="L1029" s="74" t="str">
        <f>VLOOKUP(F1029,DATABASE!C:Q,7,FALSE)</f>
        <v>#N/A</v>
      </c>
      <c r="M1029" s="74"/>
      <c r="N1029" s="74">
        <f t="shared" si="11"/>
        <v>0</v>
      </c>
      <c r="O1029" s="74">
        <f t="shared" si="13"/>
        <v>0</v>
      </c>
      <c r="P1029" s="63">
        <f t="shared" si="14"/>
        <v>0</v>
      </c>
      <c r="Q1029" s="63" t="str">
        <f t="shared" si="15"/>
        <v>#N/A</v>
      </c>
      <c r="R1029" s="93" t="str">
        <f>VLOOKUP(F1029,DATABASE!C:Q,4,false)</f>
        <v>#N/A</v>
      </c>
      <c r="S1029" s="93" t="str">
        <f>VLOOKUP(F1029,DATABASE!C:P,11,false)</f>
        <v>#N/A</v>
      </c>
      <c r="T1029" s="93" t="str">
        <f>vlookup(F1029,DATABASE!C:Q,8,false)</f>
        <v>#N/A</v>
      </c>
      <c r="Z1029" s="9"/>
    </row>
    <row r="1030" ht="22.5" customHeight="1">
      <c r="A1030" s="49"/>
      <c r="C1030" s="384"/>
      <c r="D1030" s="93"/>
      <c r="F1030" s="74"/>
      <c r="H1030" s="74"/>
      <c r="I1030" s="74"/>
      <c r="J1030" s="74"/>
      <c r="K1030" s="74" t="str">
        <f>if(F1030="SERVICE",O1030-(O1030*50%),Vlookup(F1030,DATABASE!C:Q,10,false)*G1030)</f>
        <v>#N/A</v>
      </c>
      <c r="L1030" s="74" t="str">
        <f>VLOOKUP(F1030,DATABASE!C:Q,7,FALSE)</f>
        <v>#N/A</v>
      </c>
      <c r="M1030" s="74"/>
      <c r="N1030" s="74">
        <f t="shared" si="11"/>
        <v>0</v>
      </c>
      <c r="O1030" s="74">
        <f t="shared" si="13"/>
        <v>0</v>
      </c>
      <c r="P1030" s="63">
        <f t="shared" si="14"/>
        <v>0</v>
      </c>
      <c r="Q1030" s="63" t="str">
        <f t="shared" si="15"/>
        <v>#N/A</v>
      </c>
      <c r="R1030" s="93" t="str">
        <f>VLOOKUP(F1030,DATABASE!C:Q,4,false)</f>
        <v>#N/A</v>
      </c>
      <c r="S1030" s="93" t="str">
        <f>VLOOKUP(F1030,DATABASE!C:P,11,false)</f>
        <v>#N/A</v>
      </c>
      <c r="T1030" s="93" t="str">
        <f>vlookup(F1030,DATABASE!C:Q,8,false)</f>
        <v>#N/A</v>
      </c>
      <c r="Z1030" s="9"/>
    </row>
    <row r="1031" ht="22.5" customHeight="1">
      <c r="A1031" s="49"/>
      <c r="C1031" s="384"/>
      <c r="D1031" s="93"/>
      <c r="F1031" s="74"/>
      <c r="H1031" s="74"/>
      <c r="I1031" s="74"/>
      <c r="J1031" s="74"/>
      <c r="K1031" s="74" t="str">
        <f>if(F1031="SERVICE",O1031-(O1031*50%),Vlookup(F1031,DATABASE!C:Q,10,false)*G1031)</f>
        <v>#N/A</v>
      </c>
      <c r="L1031" s="74" t="str">
        <f>VLOOKUP(F1031,DATABASE!C:Q,7,FALSE)</f>
        <v>#N/A</v>
      </c>
      <c r="M1031" s="74"/>
      <c r="N1031" s="74">
        <f t="shared" si="11"/>
        <v>0</v>
      </c>
      <c r="O1031" s="74">
        <f t="shared" si="13"/>
        <v>0</v>
      </c>
      <c r="P1031" s="63">
        <f t="shared" si="14"/>
        <v>0</v>
      </c>
      <c r="Q1031" s="63" t="str">
        <f t="shared" si="15"/>
        <v>#N/A</v>
      </c>
      <c r="R1031" s="93" t="str">
        <f>VLOOKUP(F1031,DATABASE!C:Q,4,false)</f>
        <v>#N/A</v>
      </c>
      <c r="S1031" s="93" t="str">
        <f>VLOOKUP(F1031,DATABASE!C:P,11,false)</f>
        <v>#N/A</v>
      </c>
      <c r="T1031" s="93" t="str">
        <f>vlookup(F1031,DATABASE!C:Q,8,false)</f>
        <v>#N/A</v>
      </c>
      <c r="Z1031" s="9"/>
    </row>
    <row r="1032" ht="22.5" customHeight="1">
      <c r="A1032" s="49"/>
      <c r="C1032" s="384"/>
      <c r="D1032" s="93"/>
      <c r="F1032" s="74"/>
      <c r="H1032" s="74"/>
      <c r="I1032" s="74"/>
      <c r="J1032" s="74"/>
      <c r="K1032" s="74" t="str">
        <f>if(F1032="SERVICE",O1032-(O1032*50%),Vlookup(F1032,DATABASE!C:Q,10,false)*G1032)</f>
        <v>#N/A</v>
      </c>
      <c r="L1032" s="74" t="str">
        <f>VLOOKUP(F1032,DATABASE!C:Q,7,FALSE)</f>
        <v>#N/A</v>
      </c>
      <c r="M1032" s="74"/>
      <c r="N1032" s="74">
        <f t="shared" si="11"/>
        <v>0</v>
      </c>
      <c r="O1032" s="74">
        <f t="shared" si="13"/>
        <v>0</v>
      </c>
      <c r="P1032" s="63">
        <f t="shared" si="14"/>
        <v>0</v>
      </c>
      <c r="Q1032" s="63" t="str">
        <f t="shared" si="15"/>
        <v>#N/A</v>
      </c>
      <c r="R1032" s="93" t="str">
        <f>VLOOKUP(F1032,DATABASE!C:Q,4,false)</f>
        <v>#N/A</v>
      </c>
      <c r="S1032" s="93" t="str">
        <f>VLOOKUP(F1032,DATABASE!C:P,11,false)</f>
        <v>#N/A</v>
      </c>
      <c r="T1032" s="93" t="str">
        <f>vlookup(F1032,DATABASE!C:Q,8,false)</f>
        <v>#N/A</v>
      </c>
      <c r="Z1032" s="9"/>
    </row>
    <row r="1033" ht="22.5" customHeight="1">
      <c r="A1033" s="49"/>
      <c r="C1033" s="384"/>
      <c r="D1033" s="93"/>
      <c r="F1033" s="74"/>
      <c r="H1033" s="74"/>
      <c r="I1033" s="74"/>
      <c r="J1033" s="74"/>
      <c r="K1033" s="74" t="str">
        <f>if(F1033="SERVICE",O1033-(O1033*50%),Vlookup(F1033,DATABASE!C:Q,10,false)*G1033)</f>
        <v>#N/A</v>
      </c>
      <c r="L1033" s="74" t="str">
        <f>VLOOKUP(F1033,DATABASE!C:Q,7,FALSE)</f>
        <v>#N/A</v>
      </c>
      <c r="M1033" s="74"/>
      <c r="N1033" s="74">
        <f t="shared" si="11"/>
        <v>0</v>
      </c>
      <c r="O1033" s="74">
        <f t="shared" si="13"/>
        <v>0</v>
      </c>
      <c r="P1033" s="63">
        <f t="shared" si="14"/>
        <v>0</v>
      </c>
      <c r="Q1033" s="63" t="str">
        <f t="shared" si="15"/>
        <v>#N/A</v>
      </c>
      <c r="R1033" s="93" t="str">
        <f>VLOOKUP(F1033,DATABASE!C:Q,4,false)</f>
        <v>#N/A</v>
      </c>
      <c r="S1033" s="93" t="str">
        <f>VLOOKUP(F1033,DATABASE!C:P,11,false)</f>
        <v>#N/A</v>
      </c>
      <c r="T1033" s="93" t="str">
        <f>vlookup(F1033,DATABASE!C:Q,8,false)</f>
        <v>#N/A</v>
      </c>
      <c r="Z1033" s="9"/>
    </row>
    <row r="1034" ht="22.5" customHeight="1">
      <c r="A1034" s="49"/>
      <c r="C1034" s="384"/>
      <c r="D1034" s="93"/>
      <c r="F1034" s="74"/>
      <c r="H1034" s="74"/>
      <c r="I1034" s="74"/>
      <c r="J1034" s="74"/>
      <c r="K1034" s="74" t="str">
        <f>if(F1034="SERVICE",O1034-(O1034*50%),Vlookup(F1034,DATABASE!C:Q,10,false)*G1034)</f>
        <v>#N/A</v>
      </c>
      <c r="L1034" s="74" t="str">
        <f>VLOOKUP(F1034,DATABASE!C:Q,7,FALSE)</f>
        <v>#N/A</v>
      </c>
      <c r="M1034" s="74"/>
      <c r="N1034" s="74">
        <f t="shared" si="11"/>
        <v>0</v>
      </c>
      <c r="O1034" s="74">
        <f t="shared" si="13"/>
        <v>0</v>
      </c>
      <c r="P1034" s="63">
        <f t="shared" si="14"/>
        <v>0</v>
      </c>
      <c r="Q1034" s="63" t="str">
        <f t="shared" si="15"/>
        <v>#N/A</v>
      </c>
      <c r="R1034" s="93" t="str">
        <f>VLOOKUP(F1034,DATABASE!C:Q,4,false)</f>
        <v>#N/A</v>
      </c>
      <c r="S1034" s="93" t="str">
        <f>VLOOKUP(F1034,DATABASE!C:P,11,false)</f>
        <v>#N/A</v>
      </c>
      <c r="T1034" s="93" t="str">
        <f>vlookup(F1034,DATABASE!C:Q,8,false)</f>
        <v>#N/A</v>
      </c>
      <c r="Z1034" s="9"/>
    </row>
    <row r="1035" ht="22.5" customHeight="1">
      <c r="A1035" s="49"/>
      <c r="C1035" s="384"/>
      <c r="D1035" s="93"/>
      <c r="F1035" s="74"/>
      <c r="H1035" s="74"/>
      <c r="I1035" s="74"/>
      <c r="J1035" s="74"/>
      <c r="K1035" s="74" t="str">
        <f>if(F1035="SERVICE",O1035-(O1035*50%),Vlookup(F1035,DATABASE!C:Q,10,false)*G1035)</f>
        <v>#N/A</v>
      </c>
      <c r="L1035" s="74" t="str">
        <f>VLOOKUP(F1035,DATABASE!C:Q,7,FALSE)</f>
        <v>#N/A</v>
      </c>
      <c r="M1035" s="74"/>
      <c r="N1035" s="74">
        <f t="shared" si="11"/>
        <v>0</v>
      </c>
      <c r="O1035" s="74">
        <f t="shared" si="13"/>
        <v>0</v>
      </c>
      <c r="P1035" s="63">
        <f t="shared" si="14"/>
        <v>0</v>
      </c>
      <c r="Q1035" s="63" t="str">
        <f t="shared" si="15"/>
        <v>#N/A</v>
      </c>
      <c r="R1035" s="93" t="str">
        <f>VLOOKUP(F1035,DATABASE!C:Q,4,false)</f>
        <v>#N/A</v>
      </c>
      <c r="S1035" s="93" t="str">
        <f>VLOOKUP(F1035,DATABASE!C:P,11,false)</f>
        <v>#N/A</v>
      </c>
      <c r="T1035" s="93" t="str">
        <f>vlookup(F1035,DATABASE!C:Q,8,false)</f>
        <v>#N/A</v>
      </c>
      <c r="Z1035" s="9"/>
    </row>
    <row r="1036" ht="22.5" customHeight="1">
      <c r="A1036" s="49"/>
      <c r="C1036" s="384"/>
      <c r="D1036" s="93"/>
      <c r="F1036" s="74"/>
      <c r="H1036" s="74"/>
      <c r="I1036" s="74"/>
      <c r="J1036" s="74"/>
      <c r="K1036" s="74" t="str">
        <f>if(F1036="SERVICE",O1036-(O1036*50%),Vlookup(F1036,DATABASE!C:Q,10,false)*G1036)</f>
        <v>#N/A</v>
      </c>
      <c r="L1036" s="74" t="str">
        <f>VLOOKUP(F1036,DATABASE!C:Q,7,FALSE)</f>
        <v>#N/A</v>
      </c>
      <c r="M1036" s="74"/>
      <c r="N1036" s="74">
        <f t="shared" si="11"/>
        <v>0</v>
      </c>
      <c r="O1036" s="74">
        <f t="shared" si="13"/>
        <v>0</v>
      </c>
      <c r="P1036" s="63">
        <f t="shared" si="14"/>
        <v>0</v>
      </c>
      <c r="Q1036" s="63" t="str">
        <f t="shared" si="15"/>
        <v>#N/A</v>
      </c>
      <c r="R1036" s="93" t="str">
        <f>VLOOKUP(F1036,DATABASE!C:Q,4,false)</f>
        <v>#N/A</v>
      </c>
      <c r="S1036" s="93" t="str">
        <f>VLOOKUP(F1036,DATABASE!C:P,11,false)</f>
        <v>#N/A</v>
      </c>
      <c r="T1036" s="93" t="str">
        <f>vlookup(F1036,DATABASE!C:Q,8,false)</f>
        <v>#N/A</v>
      </c>
      <c r="Z1036" s="9"/>
    </row>
    <row r="1037" ht="22.5" customHeight="1">
      <c r="A1037" s="49"/>
      <c r="C1037" s="384"/>
      <c r="D1037" s="93"/>
      <c r="F1037" s="74"/>
      <c r="H1037" s="74"/>
      <c r="I1037" s="74"/>
      <c r="J1037" s="74"/>
      <c r="K1037" s="74" t="str">
        <f>if(F1037="SERVICE",O1037-(O1037*50%),Vlookup(F1037,DATABASE!C:Q,10,false)*G1037)</f>
        <v>#N/A</v>
      </c>
      <c r="L1037" s="74" t="str">
        <f>VLOOKUP(F1037,DATABASE!C:Q,7,FALSE)</f>
        <v>#N/A</v>
      </c>
      <c r="M1037" s="74"/>
      <c r="N1037" s="74">
        <f t="shared" si="11"/>
        <v>0</v>
      </c>
      <c r="O1037" s="74">
        <f t="shared" si="13"/>
        <v>0</v>
      </c>
      <c r="P1037" s="63">
        <f t="shared" si="14"/>
        <v>0</v>
      </c>
      <c r="Q1037" s="63" t="str">
        <f t="shared" si="15"/>
        <v>#N/A</v>
      </c>
      <c r="R1037" s="93" t="str">
        <f>VLOOKUP(F1037,DATABASE!C:Q,4,false)</f>
        <v>#N/A</v>
      </c>
      <c r="S1037" s="93" t="str">
        <f>VLOOKUP(F1037,DATABASE!C:P,11,false)</f>
        <v>#N/A</v>
      </c>
      <c r="T1037" s="93" t="str">
        <f>vlookup(F1037,DATABASE!C:Q,8,false)</f>
        <v>#N/A</v>
      </c>
      <c r="Z1037" s="9"/>
    </row>
    <row r="1038" ht="22.5" customHeight="1">
      <c r="A1038" s="49"/>
      <c r="C1038" s="384"/>
      <c r="D1038" s="93"/>
      <c r="F1038" s="74"/>
      <c r="H1038" s="74"/>
      <c r="I1038" s="74"/>
      <c r="J1038" s="74"/>
      <c r="K1038" s="74" t="str">
        <f>if(F1038="SERVICE",O1038-(O1038*50%),Vlookup(F1038,DATABASE!C:Q,10,false)*G1038)</f>
        <v>#N/A</v>
      </c>
      <c r="L1038" s="74" t="str">
        <f>VLOOKUP(F1038,DATABASE!C:Q,7,FALSE)</f>
        <v>#N/A</v>
      </c>
      <c r="M1038" s="74"/>
      <c r="N1038" s="74">
        <f t="shared" si="11"/>
        <v>0</v>
      </c>
      <c r="O1038" s="74">
        <f t="shared" si="13"/>
        <v>0</v>
      </c>
      <c r="P1038" s="63">
        <f t="shared" si="14"/>
        <v>0</v>
      </c>
      <c r="Q1038" s="63" t="str">
        <f t="shared" si="15"/>
        <v>#N/A</v>
      </c>
      <c r="R1038" s="93" t="str">
        <f>VLOOKUP(F1038,DATABASE!C:Q,4,false)</f>
        <v>#N/A</v>
      </c>
      <c r="S1038" s="93" t="str">
        <f>VLOOKUP(F1038,DATABASE!C:P,11,false)</f>
        <v>#N/A</v>
      </c>
      <c r="T1038" s="93" t="str">
        <f>vlookup(F1038,DATABASE!C:Q,8,false)</f>
        <v>#N/A</v>
      </c>
      <c r="Z1038" s="9"/>
    </row>
    <row r="1039" ht="22.5" customHeight="1">
      <c r="A1039" s="49"/>
      <c r="C1039" s="384"/>
      <c r="D1039" s="93"/>
      <c r="F1039" s="74"/>
      <c r="H1039" s="74"/>
      <c r="I1039" s="74"/>
      <c r="J1039" s="74"/>
      <c r="K1039" s="74" t="str">
        <f>if(F1039="SERVICE",O1039-(O1039*50%),Vlookup(F1039,DATABASE!C:Q,10,false)*G1039)</f>
        <v>#N/A</v>
      </c>
      <c r="L1039" s="74" t="str">
        <f>VLOOKUP(F1039,DATABASE!C:Q,7,FALSE)</f>
        <v>#N/A</v>
      </c>
      <c r="M1039" s="74"/>
      <c r="N1039" s="74">
        <f t="shared" si="11"/>
        <v>0</v>
      </c>
      <c r="O1039" s="74">
        <f t="shared" si="13"/>
        <v>0</v>
      </c>
      <c r="P1039" s="63">
        <f t="shared" si="14"/>
        <v>0</v>
      </c>
      <c r="Q1039" s="63" t="str">
        <f t="shared" si="15"/>
        <v>#N/A</v>
      </c>
      <c r="R1039" s="93" t="str">
        <f>VLOOKUP(F1039,DATABASE!C:Q,4,false)</f>
        <v>#N/A</v>
      </c>
      <c r="S1039" s="93" t="str">
        <f>VLOOKUP(F1039,DATABASE!C:P,11,false)</f>
        <v>#N/A</v>
      </c>
      <c r="T1039" s="93" t="str">
        <f>vlookup(F1039,DATABASE!C:Q,8,false)</f>
        <v>#N/A</v>
      </c>
      <c r="Z1039" s="9"/>
    </row>
    <row r="1040" ht="22.5" customHeight="1">
      <c r="A1040" s="49"/>
      <c r="C1040" s="384"/>
      <c r="D1040" s="93"/>
      <c r="F1040" s="74"/>
      <c r="H1040" s="74"/>
      <c r="I1040" s="74"/>
      <c r="J1040" s="74"/>
      <c r="K1040" s="74" t="str">
        <f>if(F1040="SERVICE",O1040-(O1040*50%),Vlookup(F1040,DATABASE!C:Q,10,false)*G1040)</f>
        <v>#N/A</v>
      </c>
      <c r="L1040" s="74" t="str">
        <f>VLOOKUP(F1040,DATABASE!C:Q,7,FALSE)</f>
        <v>#N/A</v>
      </c>
      <c r="M1040" s="74"/>
      <c r="N1040" s="74">
        <f t="shared" si="11"/>
        <v>0</v>
      </c>
      <c r="O1040" s="74">
        <f t="shared" si="13"/>
        <v>0</v>
      </c>
      <c r="P1040" s="63">
        <f t="shared" si="14"/>
        <v>0</v>
      </c>
      <c r="Q1040" s="63" t="str">
        <f t="shared" si="15"/>
        <v>#N/A</v>
      </c>
      <c r="R1040" s="93" t="str">
        <f>VLOOKUP(F1040,DATABASE!C:Q,4,false)</f>
        <v>#N/A</v>
      </c>
      <c r="S1040" s="93" t="str">
        <f>VLOOKUP(F1040,DATABASE!C:P,11,false)</f>
        <v>#N/A</v>
      </c>
      <c r="T1040" s="93" t="str">
        <f>vlookup(F1040,DATABASE!C:Q,8,false)</f>
        <v>#N/A</v>
      </c>
      <c r="Z1040" s="9"/>
    </row>
    <row r="1041" ht="22.5" customHeight="1">
      <c r="A1041" s="49"/>
      <c r="C1041" s="384"/>
      <c r="D1041" s="93"/>
      <c r="F1041" s="74"/>
      <c r="H1041" s="74"/>
      <c r="I1041" s="74"/>
      <c r="J1041" s="74"/>
      <c r="K1041" s="74" t="str">
        <f>if(F1041="SERVICE",O1041-(O1041*50%),Vlookup(F1041,DATABASE!C:Q,10,false)*G1041)</f>
        <v>#N/A</v>
      </c>
      <c r="L1041" s="74" t="str">
        <f>VLOOKUP(F1041,DATABASE!C:Q,7,FALSE)</f>
        <v>#N/A</v>
      </c>
      <c r="M1041" s="74"/>
      <c r="N1041" s="74">
        <f t="shared" si="11"/>
        <v>0</v>
      </c>
      <c r="O1041" s="74">
        <f t="shared" si="13"/>
        <v>0</v>
      </c>
      <c r="P1041" s="63">
        <f t="shared" si="14"/>
        <v>0</v>
      </c>
      <c r="Q1041" s="63" t="str">
        <f t="shared" si="15"/>
        <v>#N/A</v>
      </c>
      <c r="R1041" s="93" t="str">
        <f>VLOOKUP(F1041,DATABASE!C:Q,4,false)</f>
        <v>#N/A</v>
      </c>
      <c r="S1041" s="93" t="str">
        <f>VLOOKUP(F1041,DATABASE!C:P,11,false)</f>
        <v>#N/A</v>
      </c>
      <c r="T1041" s="93" t="str">
        <f>vlookup(F1041,DATABASE!C:Q,8,false)</f>
        <v>#N/A</v>
      </c>
      <c r="Z1041" s="9"/>
    </row>
    <row r="1042" ht="22.5" customHeight="1">
      <c r="A1042" s="49"/>
      <c r="C1042" s="384"/>
      <c r="D1042" s="93"/>
      <c r="F1042" s="74"/>
      <c r="H1042" s="74"/>
      <c r="I1042" s="74"/>
      <c r="J1042" s="74"/>
      <c r="K1042" s="74" t="str">
        <f>if(F1042="SERVICE",O1042-(O1042*50%),Vlookup(F1042,DATABASE!C:Q,10,false)*G1042)</f>
        <v>#N/A</v>
      </c>
      <c r="L1042" s="74" t="str">
        <f>VLOOKUP(F1042,DATABASE!C:Q,7,FALSE)</f>
        <v>#N/A</v>
      </c>
      <c r="M1042" s="74"/>
      <c r="N1042" s="74">
        <f t="shared" si="11"/>
        <v>0</v>
      </c>
      <c r="O1042" s="74">
        <f t="shared" si="13"/>
        <v>0</v>
      </c>
      <c r="P1042" s="63">
        <f t="shared" si="14"/>
        <v>0</v>
      </c>
      <c r="Q1042" s="63" t="str">
        <f t="shared" si="15"/>
        <v>#N/A</v>
      </c>
      <c r="R1042" s="93" t="str">
        <f>VLOOKUP(F1042,DATABASE!C:Q,4,false)</f>
        <v>#N/A</v>
      </c>
      <c r="S1042" s="93" t="str">
        <f>VLOOKUP(F1042,DATABASE!C:P,11,false)</f>
        <v>#N/A</v>
      </c>
      <c r="T1042" s="93" t="str">
        <f>vlookup(F1042,DATABASE!C:Q,8,false)</f>
        <v>#N/A</v>
      </c>
      <c r="Z1042" s="9"/>
    </row>
    <row r="1043" ht="22.5" customHeight="1">
      <c r="A1043" s="49"/>
      <c r="C1043" s="384"/>
      <c r="D1043" s="93"/>
      <c r="F1043" s="74"/>
      <c r="H1043" s="74"/>
      <c r="I1043" s="74"/>
      <c r="J1043" s="74"/>
      <c r="K1043" s="74" t="str">
        <f>if(F1043="SERVICE",O1043-(O1043*50%),Vlookup(F1043,DATABASE!C:Q,10,false)*G1043)</f>
        <v>#N/A</v>
      </c>
      <c r="L1043" s="74" t="str">
        <f>VLOOKUP(F1043,DATABASE!C:Q,7,FALSE)</f>
        <v>#N/A</v>
      </c>
      <c r="M1043" s="74"/>
      <c r="N1043" s="74">
        <f t="shared" si="11"/>
        <v>0</v>
      </c>
      <c r="O1043" s="74">
        <f t="shared" si="13"/>
        <v>0</v>
      </c>
      <c r="P1043" s="63">
        <f t="shared" si="14"/>
        <v>0</v>
      </c>
      <c r="Q1043" s="63" t="str">
        <f t="shared" si="15"/>
        <v>#N/A</v>
      </c>
      <c r="R1043" s="93" t="str">
        <f>VLOOKUP(F1043,DATABASE!C:Q,4,false)</f>
        <v>#N/A</v>
      </c>
      <c r="S1043" s="93" t="str">
        <f>VLOOKUP(F1043,DATABASE!C:P,11,false)</f>
        <v>#N/A</v>
      </c>
      <c r="T1043" s="93" t="str">
        <f>vlookup(F1043,DATABASE!C:Q,8,false)</f>
        <v>#N/A</v>
      </c>
      <c r="Z1043" s="9"/>
    </row>
    <row r="1044" ht="22.5" customHeight="1">
      <c r="A1044" s="49"/>
      <c r="C1044" s="384"/>
      <c r="D1044" s="93"/>
      <c r="F1044" s="74"/>
      <c r="H1044" s="74"/>
      <c r="I1044" s="74"/>
      <c r="J1044" s="74"/>
      <c r="K1044" s="74" t="str">
        <f>if(F1044="SERVICE",O1044-(O1044*50%),Vlookup(F1044,DATABASE!C:Q,10,false)*G1044)</f>
        <v>#N/A</v>
      </c>
      <c r="L1044" s="74" t="str">
        <f>VLOOKUP(F1044,DATABASE!C:Q,7,FALSE)</f>
        <v>#N/A</v>
      </c>
      <c r="M1044" s="74"/>
      <c r="N1044" s="74">
        <f t="shared" si="11"/>
        <v>0</v>
      </c>
      <c r="O1044" s="74">
        <f t="shared" si="13"/>
        <v>0</v>
      </c>
      <c r="P1044" s="63">
        <f t="shared" si="14"/>
        <v>0</v>
      </c>
      <c r="Q1044" s="63" t="str">
        <f t="shared" si="15"/>
        <v>#N/A</v>
      </c>
      <c r="R1044" s="93" t="str">
        <f>VLOOKUP(F1044,DATABASE!C:Q,4,false)</f>
        <v>#N/A</v>
      </c>
      <c r="S1044" s="93" t="str">
        <f>VLOOKUP(F1044,DATABASE!C:P,11,false)</f>
        <v>#N/A</v>
      </c>
      <c r="T1044" s="93" t="str">
        <f>vlookup(F1044,DATABASE!C:Q,8,false)</f>
        <v>#N/A</v>
      </c>
      <c r="Z1044" s="9"/>
    </row>
    <row r="1045" ht="22.5" customHeight="1">
      <c r="A1045" s="49"/>
      <c r="C1045" s="384"/>
      <c r="D1045" s="93"/>
      <c r="F1045" s="74"/>
      <c r="H1045" s="74"/>
      <c r="I1045" s="74"/>
      <c r="J1045" s="74"/>
      <c r="K1045" s="74" t="str">
        <f>if(F1045="SERVICE",O1045-(O1045*50%),Vlookup(F1045,DATABASE!C:Q,10,false)*G1045)</f>
        <v>#N/A</v>
      </c>
      <c r="L1045" s="74" t="str">
        <f>VLOOKUP(F1045,DATABASE!C:Q,7,FALSE)</f>
        <v>#N/A</v>
      </c>
      <c r="M1045" s="74"/>
      <c r="N1045" s="74">
        <f t="shared" si="11"/>
        <v>0</v>
      </c>
      <c r="O1045" s="74">
        <f t="shared" si="13"/>
        <v>0</v>
      </c>
      <c r="P1045" s="63">
        <f t="shared" si="14"/>
        <v>0</v>
      </c>
      <c r="Q1045" s="63" t="str">
        <f t="shared" si="15"/>
        <v>#N/A</v>
      </c>
      <c r="R1045" s="93" t="str">
        <f>VLOOKUP(F1045,DATABASE!C:Q,4,false)</f>
        <v>#N/A</v>
      </c>
      <c r="S1045" s="93" t="str">
        <f>VLOOKUP(F1045,DATABASE!C:P,11,false)</f>
        <v>#N/A</v>
      </c>
      <c r="T1045" s="93" t="str">
        <f>vlookup(F1045,DATABASE!C:Q,8,false)</f>
        <v>#N/A</v>
      </c>
      <c r="Z1045" s="9"/>
    </row>
    <row r="1046" ht="22.5" customHeight="1">
      <c r="A1046" s="49"/>
      <c r="C1046" s="384"/>
      <c r="D1046" s="93"/>
      <c r="F1046" s="74"/>
      <c r="H1046" s="74"/>
      <c r="I1046" s="74"/>
      <c r="J1046" s="74"/>
      <c r="K1046" s="74" t="str">
        <f>if(F1046="SERVICE",O1046-(O1046*50%),Vlookup(F1046,DATABASE!C:Q,10,false)*G1046)</f>
        <v>#N/A</v>
      </c>
      <c r="L1046" s="74" t="str">
        <f>VLOOKUP(F1046,DATABASE!C:Q,7,FALSE)</f>
        <v>#N/A</v>
      </c>
      <c r="M1046" s="74"/>
      <c r="N1046" s="74">
        <f t="shared" si="11"/>
        <v>0</v>
      </c>
      <c r="O1046" s="74">
        <f t="shared" si="13"/>
        <v>0</v>
      </c>
      <c r="P1046" s="63">
        <f t="shared" si="14"/>
        <v>0</v>
      </c>
      <c r="Q1046" s="63" t="str">
        <f t="shared" si="15"/>
        <v>#N/A</v>
      </c>
      <c r="R1046" s="93" t="str">
        <f>VLOOKUP(F1046,DATABASE!C:Q,4,false)</f>
        <v>#N/A</v>
      </c>
      <c r="S1046" s="93" t="str">
        <f>VLOOKUP(F1046,DATABASE!C:P,11,false)</f>
        <v>#N/A</v>
      </c>
      <c r="T1046" s="93" t="str">
        <f>vlookup(F1046,DATABASE!C:Q,8,false)</f>
        <v>#N/A</v>
      </c>
      <c r="Z1046" s="9"/>
    </row>
    <row r="1047" ht="22.5" customHeight="1">
      <c r="A1047" s="49"/>
      <c r="C1047" s="384"/>
      <c r="D1047" s="93"/>
      <c r="F1047" s="74"/>
      <c r="H1047" s="74"/>
      <c r="I1047" s="74"/>
      <c r="J1047" s="74"/>
      <c r="K1047" s="74" t="str">
        <f>if(F1047="SERVICE",O1047-(O1047*50%),Vlookup(F1047,DATABASE!C:Q,10,false)*G1047)</f>
        <v>#N/A</v>
      </c>
      <c r="L1047" s="74" t="str">
        <f>VLOOKUP(F1047,DATABASE!C:Q,7,FALSE)</f>
        <v>#N/A</v>
      </c>
      <c r="M1047" s="74"/>
      <c r="N1047" s="74">
        <f t="shared" si="11"/>
        <v>0</v>
      </c>
      <c r="O1047" s="74">
        <f t="shared" si="13"/>
        <v>0</v>
      </c>
      <c r="P1047" s="63">
        <f t="shared" si="14"/>
        <v>0</v>
      </c>
      <c r="Q1047" s="63" t="str">
        <f t="shared" si="15"/>
        <v>#N/A</v>
      </c>
      <c r="R1047" s="93" t="str">
        <f>VLOOKUP(F1047,DATABASE!C:Q,4,false)</f>
        <v>#N/A</v>
      </c>
      <c r="S1047" s="93" t="str">
        <f>VLOOKUP(F1047,DATABASE!C:P,11,false)</f>
        <v>#N/A</v>
      </c>
      <c r="T1047" s="93" t="str">
        <f>vlookup(F1047,DATABASE!C:Q,8,false)</f>
        <v>#N/A</v>
      </c>
      <c r="Z1047" s="9"/>
    </row>
    <row r="1048" ht="22.5" customHeight="1">
      <c r="A1048" s="49"/>
      <c r="C1048" s="384"/>
      <c r="D1048" s="93"/>
      <c r="F1048" s="74"/>
      <c r="H1048" s="74"/>
      <c r="I1048" s="74"/>
      <c r="J1048" s="74"/>
      <c r="K1048" s="74" t="str">
        <f>if(F1048="SERVICE",O1048-(O1048*50%),Vlookup(F1048,DATABASE!C:Q,10,false)*G1048)</f>
        <v>#N/A</v>
      </c>
      <c r="L1048" s="74" t="str">
        <f>VLOOKUP(F1048,DATABASE!C:Q,7,FALSE)</f>
        <v>#N/A</v>
      </c>
      <c r="M1048" s="74"/>
      <c r="N1048" s="74">
        <f t="shared" si="11"/>
        <v>0</v>
      </c>
      <c r="O1048" s="74">
        <f t="shared" si="13"/>
        <v>0</v>
      </c>
      <c r="P1048" s="63">
        <f t="shared" si="14"/>
        <v>0</v>
      </c>
      <c r="Q1048" s="63" t="str">
        <f t="shared" si="15"/>
        <v>#N/A</v>
      </c>
      <c r="R1048" s="93" t="str">
        <f>VLOOKUP(F1048,DATABASE!C:Q,4,false)</f>
        <v>#N/A</v>
      </c>
      <c r="S1048" s="93" t="str">
        <f>VLOOKUP(F1048,DATABASE!C:P,11,false)</f>
        <v>#N/A</v>
      </c>
      <c r="T1048" s="93" t="str">
        <f>vlookup(F1048,DATABASE!C:Q,8,false)</f>
        <v>#N/A</v>
      </c>
      <c r="Z1048" s="9"/>
    </row>
    <row r="1049" ht="22.5" customHeight="1">
      <c r="A1049" s="49"/>
      <c r="C1049" s="384"/>
      <c r="D1049" s="93"/>
      <c r="F1049" s="74"/>
      <c r="H1049" s="74"/>
      <c r="I1049" s="74"/>
      <c r="J1049" s="74"/>
      <c r="K1049" s="74" t="str">
        <f>if(F1049="SERVICE",O1049-(O1049*50%),Vlookup(F1049,DATABASE!C:Q,10,false)*G1049)</f>
        <v>#N/A</v>
      </c>
      <c r="L1049" s="74" t="str">
        <f>VLOOKUP(F1049,DATABASE!C:Q,7,FALSE)</f>
        <v>#N/A</v>
      </c>
      <c r="M1049" s="74"/>
      <c r="N1049" s="74">
        <f t="shared" si="11"/>
        <v>0</v>
      </c>
      <c r="O1049" s="74">
        <f t="shared" si="13"/>
        <v>0</v>
      </c>
      <c r="P1049" s="63">
        <f t="shared" si="14"/>
        <v>0</v>
      </c>
      <c r="Q1049" s="63" t="str">
        <f t="shared" si="15"/>
        <v>#N/A</v>
      </c>
      <c r="R1049" s="93" t="str">
        <f>VLOOKUP(F1049,DATABASE!C:Q,4,false)</f>
        <v>#N/A</v>
      </c>
      <c r="S1049" s="93" t="str">
        <f>VLOOKUP(F1049,DATABASE!C:P,11,false)</f>
        <v>#N/A</v>
      </c>
      <c r="T1049" s="93" t="str">
        <f>vlookup(F1049,DATABASE!C:Q,8,false)</f>
        <v>#N/A</v>
      </c>
      <c r="Z1049" s="9"/>
    </row>
    <row r="1050" ht="22.5" customHeight="1">
      <c r="A1050" s="49"/>
      <c r="C1050" s="384"/>
      <c r="D1050" s="93"/>
      <c r="F1050" s="74"/>
      <c r="H1050" s="74"/>
      <c r="I1050" s="74"/>
      <c r="J1050" s="74"/>
      <c r="K1050" s="74" t="str">
        <f>if(F1050="SERVICE",O1050-(O1050*50%),Vlookup(F1050,DATABASE!C:Q,10,false)*G1050)</f>
        <v>#N/A</v>
      </c>
      <c r="L1050" s="74" t="str">
        <f>VLOOKUP(F1050,DATABASE!C:Q,7,FALSE)</f>
        <v>#N/A</v>
      </c>
      <c r="M1050" s="74"/>
      <c r="N1050" s="74">
        <f t="shared" si="11"/>
        <v>0</v>
      </c>
      <c r="O1050" s="74">
        <f t="shared" si="13"/>
        <v>0</v>
      </c>
      <c r="P1050" s="63">
        <f t="shared" si="14"/>
        <v>0</v>
      </c>
      <c r="Q1050" s="63" t="str">
        <f t="shared" si="15"/>
        <v>#N/A</v>
      </c>
      <c r="R1050" s="93" t="str">
        <f>VLOOKUP(F1050,DATABASE!C:Q,4,false)</f>
        <v>#N/A</v>
      </c>
      <c r="S1050" s="93" t="str">
        <f>VLOOKUP(F1050,DATABASE!C:P,11,false)</f>
        <v>#N/A</v>
      </c>
      <c r="T1050" s="93" t="str">
        <f>vlookup(F1050,DATABASE!C:Q,8,false)</f>
        <v>#N/A</v>
      </c>
      <c r="Z1050" s="9"/>
    </row>
    <row r="1051" ht="22.5" customHeight="1">
      <c r="A1051" s="49"/>
      <c r="C1051" s="384"/>
      <c r="D1051" s="93"/>
      <c r="F1051" s="74"/>
      <c r="H1051" s="74"/>
      <c r="I1051" s="74"/>
      <c r="J1051" s="74"/>
      <c r="K1051" s="74" t="str">
        <f>if(F1051="SERVICE",O1051-(O1051*50%),Vlookup(F1051,DATABASE!C:Q,10,false)*G1051)</f>
        <v>#N/A</v>
      </c>
      <c r="L1051" s="74" t="str">
        <f>VLOOKUP(F1051,DATABASE!C:Q,7,FALSE)</f>
        <v>#N/A</v>
      </c>
      <c r="M1051" s="74"/>
      <c r="N1051" s="74">
        <f t="shared" si="11"/>
        <v>0</v>
      </c>
      <c r="O1051" s="74">
        <f t="shared" si="13"/>
        <v>0</v>
      </c>
      <c r="P1051" s="63">
        <f t="shared" si="14"/>
        <v>0</v>
      </c>
      <c r="Q1051" s="63" t="str">
        <f t="shared" si="15"/>
        <v>#N/A</v>
      </c>
      <c r="R1051" s="93" t="str">
        <f>VLOOKUP(F1051,DATABASE!C:Q,4,false)</f>
        <v>#N/A</v>
      </c>
      <c r="S1051" s="93" t="str">
        <f>VLOOKUP(F1051,DATABASE!C:P,11,false)</f>
        <v>#N/A</v>
      </c>
      <c r="T1051" s="93" t="str">
        <f>vlookup(F1051,DATABASE!C:Q,8,false)</f>
        <v>#N/A</v>
      </c>
      <c r="Z1051" s="9"/>
    </row>
    <row r="1052" ht="22.5" customHeight="1">
      <c r="A1052" s="49"/>
      <c r="C1052" s="384"/>
      <c r="D1052" s="93"/>
      <c r="F1052" s="74"/>
      <c r="H1052" s="74"/>
      <c r="I1052" s="74"/>
      <c r="J1052" s="74"/>
      <c r="K1052" s="74" t="str">
        <f>if(F1052="SERVICE",O1052-(O1052*50%),Vlookup(F1052,DATABASE!C:Q,10,false)*G1052)</f>
        <v>#N/A</v>
      </c>
      <c r="L1052" s="74" t="str">
        <f>VLOOKUP(F1052,DATABASE!C:Q,7,FALSE)</f>
        <v>#N/A</v>
      </c>
      <c r="M1052" s="74"/>
      <c r="N1052" s="74">
        <f t="shared" si="11"/>
        <v>0</v>
      </c>
      <c r="O1052" s="74">
        <f t="shared" si="13"/>
        <v>0</v>
      </c>
      <c r="P1052" s="63">
        <f t="shared" si="14"/>
        <v>0</v>
      </c>
      <c r="Q1052" s="63" t="str">
        <f t="shared" si="15"/>
        <v>#N/A</v>
      </c>
      <c r="R1052" s="93" t="str">
        <f>VLOOKUP(F1052,DATABASE!C:Q,4,false)</f>
        <v>#N/A</v>
      </c>
      <c r="S1052" s="93" t="str">
        <f>VLOOKUP(F1052,DATABASE!C:P,11,false)</f>
        <v>#N/A</v>
      </c>
      <c r="T1052" s="93" t="str">
        <f>vlookup(F1052,DATABASE!C:Q,8,false)</f>
        <v>#N/A</v>
      </c>
      <c r="Z1052" s="9"/>
    </row>
    <row r="1053" ht="22.5" customHeight="1">
      <c r="A1053" s="49"/>
      <c r="C1053" s="384"/>
      <c r="D1053" s="93"/>
      <c r="F1053" s="74"/>
      <c r="H1053" s="74"/>
      <c r="I1053" s="74"/>
      <c r="J1053" s="74"/>
      <c r="K1053" s="74" t="str">
        <f>if(F1053="SERVICE",O1053-(O1053*50%),Vlookup(F1053,DATABASE!C:Q,10,false)*G1053)</f>
        <v>#N/A</v>
      </c>
      <c r="L1053" s="74" t="str">
        <f>VLOOKUP(F1053,DATABASE!C:Q,7,FALSE)</f>
        <v>#N/A</v>
      </c>
      <c r="M1053" s="74"/>
      <c r="N1053" s="74">
        <f t="shared" si="11"/>
        <v>0</v>
      </c>
      <c r="O1053" s="74">
        <f t="shared" si="13"/>
        <v>0</v>
      </c>
      <c r="P1053" s="63">
        <f t="shared" si="14"/>
        <v>0</v>
      </c>
      <c r="Q1053" s="63" t="str">
        <f t="shared" si="15"/>
        <v>#N/A</v>
      </c>
      <c r="R1053" s="93" t="str">
        <f>VLOOKUP(F1053,DATABASE!C:Q,4,false)</f>
        <v>#N/A</v>
      </c>
      <c r="S1053" s="93" t="str">
        <f>VLOOKUP(F1053,DATABASE!C:P,11,false)</f>
        <v>#N/A</v>
      </c>
      <c r="T1053" s="93" t="str">
        <f>vlookup(F1053,DATABASE!C:Q,8,false)</f>
        <v>#N/A</v>
      </c>
      <c r="Z1053" s="9"/>
    </row>
    <row r="1054" ht="22.5" customHeight="1">
      <c r="A1054" s="49"/>
      <c r="C1054" s="384"/>
      <c r="D1054" s="93"/>
      <c r="F1054" s="74"/>
      <c r="H1054" s="74"/>
      <c r="I1054" s="74"/>
      <c r="J1054" s="74"/>
      <c r="K1054" s="74" t="str">
        <f>if(F1054="SERVICE",O1054-(O1054*50%),Vlookup(F1054,DATABASE!C:Q,10,false)*G1054)</f>
        <v>#N/A</v>
      </c>
      <c r="L1054" s="74" t="str">
        <f>VLOOKUP(F1054,DATABASE!C:Q,7,FALSE)</f>
        <v>#N/A</v>
      </c>
      <c r="M1054" s="74"/>
      <c r="N1054" s="74">
        <f t="shared" si="11"/>
        <v>0</v>
      </c>
      <c r="O1054" s="74">
        <f t="shared" si="13"/>
        <v>0</v>
      </c>
      <c r="P1054" s="63">
        <f t="shared" si="14"/>
        <v>0</v>
      </c>
      <c r="Q1054" s="63" t="str">
        <f t="shared" si="15"/>
        <v>#N/A</v>
      </c>
      <c r="R1054" s="93" t="str">
        <f>VLOOKUP(F1054,DATABASE!C:Q,4,false)</f>
        <v>#N/A</v>
      </c>
      <c r="S1054" s="93" t="str">
        <f>VLOOKUP(F1054,DATABASE!C:P,11,false)</f>
        <v>#N/A</v>
      </c>
      <c r="T1054" s="93" t="str">
        <f>vlookup(F1054,DATABASE!C:Q,8,false)</f>
        <v>#N/A</v>
      </c>
      <c r="Z1054" s="9"/>
    </row>
    <row r="1055" ht="22.5" customHeight="1">
      <c r="A1055" s="49"/>
      <c r="C1055" s="384"/>
      <c r="D1055" s="93"/>
      <c r="F1055" s="74"/>
      <c r="H1055" s="74"/>
      <c r="I1055" s="74"/>
      <c r="J1055" s="74"/>
      <c r="K1055" s="74" t="str">
        <f>if(F1055="SERVICE",O1055-(O1055*50%),Vlookup(F1055,DATABASE!C:Q,10,false)*G1055)</f>
        <v>#N/A</v>
      </c>
      <c r="L1055" s="74" t="str">
        <f>VLOOKUP(F1055,DATABASE!C:Q,7,FALSE)</f>
        <v>#N/A</v>
      </c>
      <c r="M1055" s="74"/>
      <c r="N1055" s="74">
        <f t="shared" si="11"/>
        <v>0</v>
      </c>
      <c r="O1055" s="74">
        <f t="shared" si="13"/>
        <v>0</v>
      </c>
      <c r="P1055" s="63">
        <f t="shared" si="14"/>
        <v>0</v>
      </c>
      <c r="Q1055" s="63" t="str">
        <f t="shared" si="15"/>
        <v>#N/A</v>
      </c>
      <c r="R1055" s="93" t="str">
        <f>VLOOKUP(F1055,DATABASE!C:Q,4,false)</f>
        <v>#N/A</v>
      </c>
      <c r="S1055" s="93" t="str">
        <f>VLOOKUP(F1055,DATABASE!C:P,11,false)</f>
        <v>#N/A</v>
      </c>
      <c r="T1055" s="93" t="str">
        <f>vlookup(F1055,DATABASE!C:Q,8,false)</f>
        <v>#N/A</v>
      </c>
      <c r="Z1055" s="9"/>
    </row>
    <row r="1056" ht="22.5" customHeight="1">
      <c r="A1056" s="49"/>
      <c r="C1056" s="384"/>
      <c r="D1056" s="93"/>
      <c r="F1056" s="74"/>
      <c r="H1056" s="74"/>
      <c r="I1056" s="74"/>
      <c r="J1056" s="74"/>
      <c r="K1056" s="74" t="str">
        <f>if(F1056="SERVICE",O1056-(O1056*50%),Vlookup(F1056,DATABASE!C:Q,10,false)*G1056)</f>
        <v>#N/A</v>
      </c>
      <c r="L1056" s="74" t="str">
        <f>VLOOKUP(F1056,DATABASE!C:Q,7,FALSE)</f>
        <v>#N/A</v>
      </c>
      <c r="M1056" s="74"/>
      <c r="N1056" s="74">
        <f t="shared" si="11"/>
        <v>0</v>
      </c>
      <c r="O1056" s="74">
        <f t="shared" si="13"/>
        <v>0</v>
      </c>
      <c r="P1056" s="63">
        <f t="shared" si="14"/>
        <v>0</v>
      </c>
      <c r="Q1056" s="63" t="str">
        <f t="shared" si="15"/>
        <v>#N/A</v>
      </c>
      <c r="R1056" s="93" t="str">
        <f>VLOOKUP(F1056,DATABASE!C:Q,4,false)</f>
        <v>#N/A</v>
      </c>
      <c r="S1056" s="93" t="str">
        <f>VLOOKUP(F1056,DATABASE!C:P,11,false)</f>
        <v>#N/A</v>
      </c>
      <c r="T1056" s="93" t="str">
        <f>vlookup(F1056,DATABASE!C:Q,8,false)</f>
        <v>#N/A</v>
      </c>
      <c r="Z1056" s="9"/>
    </row>
    <row r="1057" ht="22.5" customHeight="1">
      <c r="A1057" s="49"/>
      <c r="C1057" s="384"/>
      <c r="D1057" s="93"/>
      <c r="F1057" s="74"/>
      <c r="H1057" s="74"/>
      <c r="I1057" s="74"/>
      <c r="J1057" s="74"/>
      <c r="K1057" s="74" t="str">
        <f>if(F1057="SERVICE",O1057-(O1057*50%),Vlookup(F1057,DATABASE!C:Q,10,false)*G1057)</f>
        <v>#N/A</v>
      </c>
      <c r="L1057" s="74" t="str">
        <f>VLOOKUP(F1057,DATABASE!C:Q,7,FALSE)</f>
        <v>#N/A</v>
      </c>
      <c r="M1057" s="74"/>
      <c r="N1057" s="74">
        <f t="shared" si="11"/>
        <v>0</v>
      </c>
      <c r="O1057" s="74">
        <f t="shared" si="13"/>
        <v>0</v>
      </c>
      <c r="P1057" s="63">
        <f t="shared" si="14"/>
        <v>0</v>
      </c>
      <c r="Q1057" s="63" t="str">
        <f t="shared" si="15"/>
        <v>#N/A</v>
      </c>
      <c r="R1057" s="93" t="str">
        <f>VLOOKUP(F1057,DATABASE!C:Q,4,false)</f>
        <v>#N/A</v>
      </c>
      <c r="S1057" s="93" t="str">
        <f>VLOOKUP(F1057,DATABASE!C:P,11,false)</f>
        <v>#N/A</v>
      </c>
      <c r="T1057" s="93" t="str">
        <f>vlookup(F1057,DATABASE!C:Q,8,false)</f>
        <v>#N/A</v>
      </c>
      <c r="Z1057" s="9"/>
    </row>
    <row r="1058" ht="22.5" customHeight="1">
      <c r="A1058" s="49"/>
      <c r="C1058" s="384"/>
      <c r="D1058" s="93"/>
      <c r="F1058" s="74"/>
      <c r="H1058" s="74"/>
      <c r="I1058" s="74"/>
      <c r="J1058" s="74"/>
      <c r="K1058" s="74" t="str">
        <f>if(F1058="SERVICE",O1058-(O1058*50%),Vlookup(F1058,DATABASE!C:Q,10,false)*G1058)</f>
        <v>#N/A</v>
      </c>
      <c r="L1058" s="74" t="str">
        <f>VLOOKUP(F1058,DATABASE!C:Q,7,FALSE)</f>
        <v>#N/A</v>
      </c>
      <c r="M1058" s="74"/>
      <c r="N1058" s="74">
        <f t="shared" si="11"/>
        <v>0</v>
      </c>
      <c r="O1058" s="74">
        <f t="shared" si="13"/>
        <v>0</v>
      </c>
      <c r="P1058" s="63">
        <f t="shared" si="14"/>
        <v>0</v>
      </c>
      <c r="Q1058" s="63" t="str">
        <f t="shared" si="15"/>
        <v>#N/A</v>
      </c>
      <c r="R1058" s="93" t="str">
        <f>VLOOKUP(F1058,DATABASE!C:Q,4,false)</f>
        <v>#N/A</v>
      </c>
      <c r="S1058" s="93" t="str">
        <f>VLOOKUP(F1058,DATABASE!C:P,11,false)</f>
        <v>#N/A</v>
      </c>
      <c r="T1058" s="93" t="str">
        <f>vlookup(F1058,DATABASE!C:Q,8,false)</f>
        <v>#N/A</v>
      </c>
      <c r="Z1058" s="9"/>
    </row>
    <row r="1059" ht="22.5" customHeight="1">
      <c r="A1059" s="49"/>
      <c r="C1059" s="384"/>
      <c r="D1059" s="93"/>
      <c r="F1059" s="74"/>
      <c r="H1059" s="74"/>
      <c r="I1059" s="74"/>
      <c r="J1059" s="74"/>
      <c r="K1059" s="74" t="str">
        <f>if(F1059="SERVICE",O1059-(O1059*50%),Vlookup(F1059,DATABASE!C:Q,10,false)*G1059)</f>
        <v>#N/A</v>
      </c>
      <c r="L1059" s="74" t="str">
        <f>VLOOKUP(F1059,DATABASE!C:Q,7,FALSE)</f>
        <v>#N/A</v>
      </c>
      <c r="M1059" s="74"/>
      <c r="N1059" s="74">
        <f t="shared" si="11"/>
        <v>0</v>
      </c>
      <c r="O1059" s="74">
        <f t="shared" si="13"/>
        <v>0</v>
      </c>
      <c r="P1059" s="63">
        <f t="shared" si="14"/>
        <v>0</v>
      </c>
      <c r="Q1059" s="63" t="str">
        <f t="shared" si="15"/>
        <v>#N/A</v>
      </c>
      <c r="R1059" s="93" t="str">
        <f>VLOOKUP(F1059,DATABASE!C:Q,4,false)</f>
        <v>#N/A</v>
      </c>
      <c r="S1059" s="93" t="str">
        <f>VLOOKUP(F1059,DATABASE!C:P,11,false)</f>
        <v>#N/A</v>
      </c>
      <c r="T1059" s="93" t="str">
        <f>vlookup(F1059,DATABASE!C:Q,8,false)</f>
        <v>#N/A</v>
      </c>
      <c r="Z1059" s="9"/>
    </row>
    <row r="1060" ht="22.5" customHeight="1">
      <c r="A1060" s="49"/>
      <c r="C1060" s="384"/>
      <c r="D1060" s="93"/>
      <c r="F1060" s="74"/>
      <c r="H1060" s="74"/>
      <c r="I1060" s="74"/>
      <c r="J1060" s="74"/>
      <c r="K1060" s="74" t="str">
        <f>if(F1060="SERVICE",O1060-(O1060*50%),Vlookup(F1060,DATABASE!C:Q,10,false)*G1060)</f>
        <v>#N/A</v>
      </c>
      <c r="L1060" s="74" t="str">
        <f>VLOOKUP(F1060,DATABASE!C:Q,7,FALSE)</f>
        <v>#N/A</v>
      </c>
      <c r="M1060" s="74"/>
      <c r="N1060" s="74">
        <f t="shared" si="11"/>
        <v>0</v>
      </c>
      <c r="O1060" s="74">
        <f t="shared" si="13"/>
        <v>0</v>
      </c>
      <c r="P1060" s="63">
        <f t="shared" si="14"/>
        <v>0</v>
      </c>
      <c r="Q1060" s="63" t="str">
        <f t="shared" si="15"/>
        <v>#N/A</v>
      </c>
      <c r="R1060" s="93" t="str">
        <f>VLOOKUP(F1060,DATABASE!C:Q,4,false)</f>
        <v>#N/A</v>
      </c>
      <c r="S1060" s="93" t="str">
        <f>VLOOKUP(F1060,DATABASE!C:P,11,false)</f>
        <v>#N/A</v>
      </c>
      <c r="T1060" s="93" t="str">
        <f>vlookup(F1060,DATABASE!C:Q,8,false)</f>
        <v>#N/A</v>
      </c>
      <c r="Z1060" s="9"/>
    </row>
    <row r="1061" ht="22.5" customHeight="1">
      <c r="A1061" s="49"/>
      <c r="C1061" s="384"/>
      <c r="D1061" s="93"/>
      <c r="F1061" s="74"/>
      <c r="H1061" s="74"/>
      <c r="I1061" s="74"/>
      <c r="J1061" s="74"/>
      <c r="K1061" s="74" t="str">
        <f>if(F1061="SERVICE",O1061-(O1061*50%),Vlookup(F1061,DATABASE!C:Q,10,false)*G1061)</f>
        <v>#N/A</v>
      </c>
      <c r="L1061" s="74" t="str">
        <f>VLOOKUP(F1061,DATABASE!C:Q,7,FALSE)</f>
        <v>#N/A</v>
      </c>
      <c r="M1061" s="74"/>
      <c r="N1061" s="74">
        <f t="shared" si="11"/>
        <v>0</v>
      </c>
      <c r="O1061" s="74">
        <f t="shared" si="13"/>
        <v>0</v>
      </c>
      <c r="P1061" s="63">
        <f t="shared" si="14"/>
        <v>0</v>
      </c>
      <c r="Q1061" s="63" t="str">
        <f t="shared" si="15"/>
        <v>#N/A</v>
      </c>
      <c r="R1061" s="93" t="str">
        <f>VLOOKUP(F1061,DATABASE!C:Q,4,false)</f>
        <v>#N/A</v>
      </c>
      <c r="S1061" s="93" t="str">
        <f>VLOOKUP(F1061,DATABASE!C:P,11,false)</f>
        <v>#N/A</v>
      </c>
      <c r="T1061" s="93" t="str">
        <f>vlookup(F1061,DATABASE!C:Q,8,false)</f>
        <v>#N/A</v>
      </c>
      <c r="Z1061" s="9"/>
    </row>
    <row r="1062" ht="22.5" customHeight="1">
      <c r="A1062" s="49"/>
      <c r="C1062" s="384"/>
      <c r="D1062" s="93"/>
      <c r="F1062" s="74"/>
      <c r="H1062" s="74"/>
      <c r="I1062" s="74"/>
      <c r="J1062" s="74"/>
      <c r="K1062" s="74" t="str">
        <f>if(F1062="SERVICE",O1062-(O1062*50%),Vlookup(F1062,DATABASE!C:Q,10,false)*G1062)</f>
        <v>#N/A</v>
      </c>
      <c r="L1062" s="74" t="str">
        <f>VLOOKUP(F1062,DATABASE!C:Q,7,FALSE)</f>
        <v>#N/A</v>
      </c>
      <c r="M1062" s="74"/>
      <c r="N1062" s="74">
        <f t="shared" si="11"/>
        <v>0</v>
      </c>
      <c r="O1062" s="74">
        <f t="shared" si="13"/>
        <v>0</v>
      </c>
      <c r="P1062" s="63">
        <f t="shared" si="14"/>
        <v>0</v>
      </c>
      <c r="Q1062" s="63" t="str">
        <f t="shared" si="15"/>
        <v>#N/A</v>
      </c>
      <c r="R1062" s="93" t="str">
        <f>VLOOKUP(F1062,DATABASE!C:Q,4,false)</f>
        <v>#N/A</v>
      </c>
      <c r="S1062" s="93" t="str">
        <f>VLOOKUP(F1062,DATABASE!C:P,11,false)</f>
        <v>#N/A</v>
      </c>
      <c r="T1062" s="93" t="str">
        <f>vlookup(F1062,DATABASE!C:Q,8,false)</f>
        <v>#N/A</v>
      </c>
      <c r="Z1062" s="9"/>
    </row>
    <row r="1063" ht="22.5" customHeight="1">
      <c r="A1063" s="49"/>
      <c r="C1063" s="384"/>
      <c r="D1063" s="93"/>
      <c r="F1063" s="74"/>
      <c r="H1063" s="74"/>
      <c r="I1063" s="74"/>
      <c r="J1063" s="74"/>
      <c r="K1063" s="74" t="str">
        <f>if(F1063="SERVICE",O1063-(O1063*50%),Vlookup(F1063,DATABASE!C:Q,10,false)*G1063)</f>
        <v>#N/A</v>
      </c>
      <c r="L1063" s="74" t="str">
        <f>VLOOKUP(F1063,DATABASE!C:Q,7,FALSE)</f>
        <v>#N/A</v>
      </c>
      <c r="M1063" s="74"/>
      <c r="N1063" s="74">
        <f t="shared" si="11"/>
        <v>0</v>
      </c>
      <c r="O1063" s="74">
        <f t="shared" si="13"/>
        <v>0</v>
      </c>
      <c r="P1063" s="63">
        <f t="shared" si="14"/>
        <v>0</v>
      </c>
      <c r="Q1063" s="63" t="str">
        <f t="shared" si="15"/>
        <v>#N/A</v>
      </c>
      <c r="R1063" s="93" t="str">
        <f>VLOOKUP(F1063,DATABASE!C:Q,4,false)</f>
        <v>#N/A</v>
      </c>
      <c r="S1063" s="93" t="str">
        <f>VLOOKUP(F1063,DATABASE!C:P,11,false)</f>
        <v>#N/A</v>
      </c>
      <c r="T1063" s="93" t="str">
        <f>vlookup(F1063,DATABASE!C:Q,8,false)</f>
        <v>#N/A</v>
      </c>
      <c r="Z1063" s="9"/>
    </row>
    <row r="1064" ht="22.5" customHeight="1">
      <c r="A1064" s="49"/>
      <c r="C1064" s="384"/>
      <c r="D1064" s="93"/>
      <c r="F1064" s="74"/>
      <c r="H1064" s="74"/>
      <c r="I1064" s="74"/>
      <c r="J1064" s="74"/>
      <c r="K1064" s="74" t="str">
        <f>if(F1064="SERVICE",O1064-(O1064*50%),Vlookup(F1064,DATABASE!C:Q,10,false)*G1064)</f>
        <v>#N/A</v>
      </c>
      <c r="L1064" s="74" t="str">
        <f>VLOOKUP(F1064,DATABASE!C:Q,7,FALSE)</f>
        <v>#N/A</v>
      </c>
      <c r="M1064" s="74"/>
      <c r="N1064" s="74">
        <f t="shared" si="11"/>
        <v>0</v>
      </c>
      <c r="O1064" s="74">
        <f t="shared" si="13"/>
        <v>0</v>
      </c>
      <c r="P1064" s="63">
        <f t="shared" si="14"/>
        <v>0</v>
      </c>
      <c r="Q1064" s="63" t="str">
        <f t="shared" si="15"/>
        <v>#N/A</v>
      </c>
      <c r="R1064" s="93" t="str">
        <f>VLOOKUP(F1064,DATABASE!C:Q,4,false)</f>
        <v>#N/A</v>
      </c>
      <c r="S1064" s="93" t="str">
        <f>VLOOKUP(F1064,DATABASE!C:P,11,false)</f>
        <v>#N/A</v>
      </c>
      <c r="T1064" s="93" t="str">
        <f>vlookup(F1064,DATABASE!C:Q,8,false)</f>
        <v>#N/A</v>
      </c>
      <c r="Z1064" s="9"/>
    </row>
    <row r="1065" ht="22.5" customHeight="1">
      <c r="A1065" s="49"/>
      <c r="C1065" s="384"/>
      <c r="D1065" s="93"/>
      <c r="F1065" s="74"/>
      <c r="H1065" s="74"/>
      <c r="I1065" s="74"/>
      <c r="J1065" s="74"/>
      <c r="K1065" s="74" t="str">
        <f>if(F1065="SERVICE",O1065-(O1065*50%),Vlookup(F1065,DATABASE!C:Q,10,false)*G1065)</f>
        <v>#N/A</v>
      </c>
      <c r="L1065" s="74" t="str">
        <f>VLOOKUP(F1065,DATABASE!C:Q,7,FALSE)</f>
        <v>#N/A</v>
      </c>
      <c r="M1065" s="74"/>
      <c r="N1065" s="74">
        <f t="shared" si="11"/>
        <v>0</v>
      </c>
      <c r="O1065" s="74">
        <f t="shared" si="13"/>
        <v>0</v>
      </c>
      <c r="P1065" s="63">
        <f t="shared" si="14"/>
        <v>0</v>
      </c>
      <c r="Q1065" s="63" t="str">
        <f t="shared" si="15"/>
        <v>#N/A</v>
      </c>
      <c r="R1065" s="93" t="str">
        <f>VLOOKUP(F1065,DATABASE!C:Q,4,false)</f>
        <v>#N/A</v>
      </c>
      <c r="S1065" s="93" t="str">
        <f>VLOOKUP(F1065,DATABASE!C:P,11,false)</f>
        <v>#N/A</v>
      </c>
      <c r="T1065" s="93" t="str">
        <f>vlookup(F1065,DATABASE!C:Q,8,false)</f>
        <v>#N/A</v>
      </c>
      <c r="Z1065" s="9"/>
    </row>
    <row r="1066" ht="22.5" customHeight="1">
      <c r="A1066" s="49"/>
      <c r="C1066" s="384"/>
      <c r="D1066" s="93"/>
      <c r="F1066" s="74"/>
      <c r="H1066" s="74"/>
      <c r="I1066" s="74"/>
      <c r="J1066" s="74"/>
      <c r="K1066" s="74" t="str">
        <f>if(F1066="SERVICE",O1066-(O1066*50%),Vlookup(F1066,DATABASE!C:Q,10,false)*G1066)</f>
        <v>#N/A</v>
      </c>
      <c r="L1066" s="74" t="str">
        <f>VLOOKUP(F1066,DATABASE!C:Q,7,FALSE)</f>
        <v>#N/A</v>
      </c>
      <c r="M1066" s="74"/>
      <c r="N1066" s="74">
        <f t="shared" si="11"/>
        <v>0</v>
      </c>
      <c r="O1066" s="74">
        <f t="shared" si="13"/>
        <v>0</v>
      </c>
      <c r="P1066" s="63">
        <f t="shared" si="14"/>
        <v>0</v>
      </c>
      <c r="Q1066" s="63" t="str">
        <f t="shared" si="15"/>
        <v>#N/A</v>
      </c>
      <c r="R1066" s="93" t="str">
        <f>VLOOKUP(F1066,DATABASE!C:Q,4,false)</f>
        <v>#N/A</v>
      </c>
      <c r="S1066" s="93" t="str">
        <f>VLOOKUP(F1066,DATABASE!C:P,11,false)</f>
        <v>#N/A</v>
      </c>
      <c r="T1066" s="93" t="str">
        <f>vlookup(F1066,DATABASE!C:Q,8,false)</f>
        <v>#N/A</v>
      </c>
      <c r="Z1066" s="9"/>
    </row>
    <row r="1067" ht="22.5" customHeight="1">
      <c r="A1067" s="49"/>
      <c r="C1067" s="384"/>
      <c r="D1067" s="93"/>
      <c r="F1067" s="74"/>
      <c r="H1067" s="74"/>
      <c r="I1067" s="74"/>
      <c r="J1067" s="74"/>
      <c r="K1067" s="74" t="str">
        <f>if(F1067="SERVICE",O1067-(O1067*50%),Vlookup(F1067,DATABASE!C:Q,10,false)*G1067)</f>
        <v>#N/A</v>
      </c>
      <c r="L1067" s="74" t="str">
        <f>VLOOKUP(F1067,DATABASE!C:Q,7,FALSE)</f>
        <v>#N/A</v>
      </c>
      <c r="M1067" s="74"/>
      <c r="N1067" s="74">
        <f t="shared" si="11"/>
        <v>0</v>
      </c>
      <c r="O1067" s="74">
        <f t="shared" si="13"/>
        <v>0</v>
      </c>
      <c r="P1067" s="63">
        <f t="shared" si="14"/>
        <v>0</v>
      </c>
      <c r="Q1067" s="63" t="str">
        <f t="shared" si="15"/>
        <v>#N/A</v>
      </c>
      <c r="R1067" s="93" t="str">
        <f>VLOOKUP(F1067,DATABASE!C:Q,4,false)</f>
        <v>#N/A</v>
      </c>
      <c r="S1067" s="93" t="str">
        <f>VLOOKUP(F1067,DATABASE!C:P,11,false)</f>
        <v>#N/A</v>
      </c>
      <c r="T1067" s="93" t="str">
        <f>vlookup(F1067,DATABASE!C:Q,8,false)</f>
        <v>#N/A</v>
      </c>
      <c r="Z1067" s="9"/>
    </row>
    <row r="1068" ht="22.5" customHeight="1">
      <c r="A1068" s="49"/>
      <c r="C1068" s="384"/>
      <c r="D1068" s="93"/>
      <c r="F1068" s="74"/>
      <c r="H1068" s="74"/>
      <c r="I1068" s="74"/>
      <c r="J1068" s="74"/>
      <c r="K1068" s="74" t="str">
        <f>if(F1068="SERVICE",O1068-(O1068*50%),Vlookup(F1068,DATABASE!C:Q,10,false)*G1068)</f>
        <v>#N/A</v>
      </c>
      <c r="L1068" s="74" t="str">
        <f>VLOOKUP(F1068,DATABASE!C:Q,7,FALSE)</f>
        <v>#N/A</v>
      </c>
      <c r="M1068" s="74"/>
      <c r="N1068" s="74">
        <f t="shared" si="11"/>
        <v>0</v>
      </c>
      <c r="O1068" s="74">
        <f t="shared" si="13"/>
        <v>0</v>
      </c>
      <c r="P1068" s="63">
        <f t="shared" si="14"/>
        <v>0</v>
      </c>
      <c r="Q1068" s="63" t="str">
        <f t="shared" si="15"/>
        <v>#N/A</v>
      </c>
      <c r="R1068" s="93" t="str">
        <f>VLOOKUP(F1068,DATABASE!C:Q,4,false)</f>
        <v>#N/A</v>
      </c>
      <c r="S1068" s="93" t="str">
        <f>VLOOKUP(F1068,DATABASE!C:P,11,false)</f>
        <v>#N/A</v>
      </c>
      <c r="T1068" s="93" t="str">
        <f>vlookup(F1068,DATABASE!C:Q,8,false)</f>
        <v>#N/A</v>
      </c>
      <c r="Z1068" s="9"/>
    </row>
    <row r="1069" ht="22.5" customHeight="1">
      <c r="A1069" s="49"/>
      <c r="C1069" s="384"/>
      <c r="D1069" s="93"/>
      <c r="F1069" s="74"/>
      <c r="H1069" s="74"/>
      <c r="I1069" s="74"/>
      <c r="J1069" s="74"/>
      <c r="K1069" s="74" t="str">
        <f>if(F1069="SERVICE",O1069-(O1069*50%),Vlookup(F1069,DATABASE!C:Q,10,false)*G1069)</f>
        <v>#N/A</v>
      </c>
      <c r="L1069" s="74" t="str">
        <f>VLOOKUP(F1069,DATABASE!C:Q,7,FALSE)</f>
        <v>#N/A</v>
      </c>
      <c r="M1069" s="74"/>
      <c r="N1069" s="74">
        <f t="shared" si="11"/>
        <v>0</v>
      </c>
      <c r="O1069" s="74">
        <f t="shared" si="13"/>
        <v>0</v>
      </c>
      <c r="P1069" s="63">
        <f t="shared" si="14"/>
        <v>0</v>
      </c>
      <c r="Q1069" s="63" t="str">
        <f t="shared" si="15"/>
        <v>#N/A</v>
      </c>
      <c r="R1069" s="93" t="str">
        <f>VLOOKUP(F1069,DATABASE!C:Q,4,false)</f>
        <v>#N/A</v>
      </c>
      <c r="S1069" s="93" t="str">
        <f>VLOOKUP(F1069,DATABASE!C:P,11,false)</f>
        <v>#N/A</v>
      </c>
      <c r="T1069" s="93" t="str">
        <f>vlookup(F1069,DATABASE!C:Q,8,false)</f>
        <v>#N/A</v>
      </c>
      <c r="Z1069" s="9"/>
    </row>
    <row r="1070" ht="22.5" customHeight="1">
      <c r="A1070" s="49"/>
      <c r="C1070" s="384"/>
      <c r="D1070" s="93"/>
      <c r="F1070" s="74"/>
      <c r="H1070" s="74"/>
      <c r="I1070" s="74"/>
      <c r="J1070" s="74"/>
      <c r="K1070" s="74" t="str">
        <f>if(F1070="SERVICE",O1070-(O1070*50%),Vlookup(F1070,DATABASE!C:Q,10,false)*G1070)</f>
        <v>#N/A</v>
      </c>
      <c r="L1070" s="74" t="str">
        <f>VLOOKUP(F1070,DATABASE!C:Q,7,FALSE)</f>
        <v>#N/A</v>
      </c>
      <c r="M1070" s="74"/>
      <c r="N1070" s="74">
        <f t="shared" si="11"/>
        <v>0</v>
      </c>
      <c r="O1070" s="74">
        <f t="shared" si="13"/>
        <v>0</v>
      </c>
      <c r="P1070" s="63">
        <f t="shared" si="14"/>
        <v>0</v>
      </c>
      <c r="Q1070" s="63" t="str">
        <f t="shared" si="15"/>
        <v>#N/A</v>
      </c>
      <c r="R1070" s="93" t="str">
        <f>VLOOKUP(F1070,DATABASE!C:Q,4,false)</f>
        <v>#N/A</v>
      </c>
      <c r="S1070" s="93" t="str">
        <f>VLOOKUP(F1070,DATABASE!C:P,11,false)</f>
        <v>#N/A</v>
      </c>
      <c r="T1070" s="93" t="str">
        <f>vlookup(F1070,DATABASE!C:Q,8,false)</f>
        <v>#N/A</v>
      </c>
      <c r="Z1070" s="9"/>
    </row>
    <row r="1071" ht="22.5" customHeight="1">
      <c r="A1071" s="49"/>
      <c r="C1071" s="384"/>
      <c r="D1071" s="93"/>
      <c r="F1071" s="74"/>
      <c r="H1071" s="74"/>
      <c r="I1071" s="74"/>
      <c r="J1071" s="74"/>
      <c r="K1071" s="74" t="str">
        <f>if(F1071="SERVICE",O1071-(O1071*50%),Vlookup(F1071,DATABASE!C:Q,10,false)*G1071)</f>
        <v>#N/A</v>
      </c>
      <c r="L1071" s="74" t="str">
        <f>VLOOKUP(F1071,DATABASE!C:Q,7,FALSE)</f>
        <v>#N/A</v>
      </c>
      <c r="M1071" s="74"/>
      <c r="N1071" s="74">
        <f t="shared" si="11"/>
        <v>0</v>
      </c>
      <c r="O1071" s="74">
        <f t="shared" si="13"/>
        <v>0</v>
      </c>
      <c r="P1071" s="63">
        <f t="shared" si="14"/>
        <v>0</v>
      </c>
      <c r="Q1071" s="63" t="str">
        <f t="shared" si="15"/>
        <v>#N/A</v>
      </c>
      <c r="R1071" s="93" t="str">
        <f>VLOOKUP(F1071,DATABASE!C:Q,4,false)</f>
        <v>#N/A</v>
      </c>
      <c r="S1071" s="93" t="str">
        <f>VLOOKUP(F1071,DATABASE!C:P,11,false)</f>
        <v>#N/A</v>
      </c>
      <c r="T1071" s="93" t="str">
        <f>vlookup(F1071,DATABASE!C:Q,8,false)</f>
        <v>#N/A</v>
      </c>
      <c r="Z1071" s="9"/>
    </row>
    <row r="1072" ht="22.5" customHeight="1">
      <c r="A1072" s="49"/>
      <c r="C1072" s="384"/>
      <c r="D1072" s="93"/>
      <c r="F1072" s="74"/>
      <c r="H1072" s="74"/>
      <c r="I1072" s="74"/>
      <c r="J1072" s="74"/>
      <c r="K1072" s="74" t="str">
        <f>if(F1072="SERVICE",O1072-(O1072*50%),Vlookup(F1072,DATABASE!C:Q,10,false)*G1072)</f>
        <v>#N/A</v>
      </c>
      <c r="L1072" s="74" t="str">
        <f>VLOOKUP(F1072,DATABASE!C:Q,7,FALSE)</f>
        <v>#N/A</v>
      </c>
      <c r="M1072" s="74"/>
      <c r="N1072" s="74">
        <f t="shared" si="11"/>
        <v>0</v>
      </c>
      <c r="O1072" s="74">
        <f t="shared" si="13"/>
        <v>0</v>
      </c>
      <c r="P1072" s="63">
        <f t="shared" si="14"/>
        <v>0</v>
      </c>
      <c r="Q1072" s="63" t="str">
        <f t="shared" si="15"/>
        <v>#N/A</v>
      </c>
      <c r="R1072" s="93" t="str">
        <f>VLOOKUP(F1072,DATABASE!C:Q,4,false)</f>
        <v>#N/A</v>
      </c>
      <c r="S1072" s="93" t="str">
        <f>VLOOKUP(F1072,DATABASE!C:P,11,false)</f>
        <v>#N/A</v>
      </c>
      <c r="T1072" s="93" t="str">
        <f>vlookup(F1072,DATABASE!C:Q,8,false)</f>
        <v>#N/A</v>
      </c>
      <c r="Z1072" s="9"/>
    </row>
    <row r="1073" ht="22.5" customHeight="1">
      <c r="A1073" s="49"/>
      <c r="C1073" s="384"/>
      <c r="D1073" s="93"/>
      <c r="F1073" s="74"/>
      <c r="H1073" s="74"/>
      <c r="I1073" s="74"/>
      <c r="J1073" s="74"/>
      <c r="K1073" s="74" t="str">
        <f>if(F1073="SERVICE",O1073-(O1073*50%),Vlookup(F1073,DATABASE!C:Q,10,false)*G1073)</f>
        <v>#N/A</v>
      </c>
      <c r="L1073" s="74" t="str">
        <f>VLOOKUP(F1073,DATABASE!C:Q,7,FALSE)</f>
        <v>#N/A</v>
      </c>
      <c r="M1073" s="74"/>
      <c r="N1073" s="74">
        <f t="shared" si="11"/>
        <v>0</v>
      </c>
      <c r="O1073" s="74">
        <f t="shared" si="13"/>
        <v>0</v>
      </c>
      <c r="P1073" s="63">
        <f t="shared" si="14"/>
        <v>0</v>
      </c>
      <c r="Q1073" s="63" t="str">
        <f t="shared" si="15"/>
        <v>#N/A</v>
      </c>
      <c r="R1073" s="93" t="str">
        <f>VLOOKUP(F1073,DATABASE!C:Q,4,false)</f>
        <v>#N/A</v>
      </c>
      <c r="S1073" s="93" t="str">
        <f>VLOOKUP(F1073,DATABASE!C:P,11,false)</f>
        <v>#N/A</v>
      </c>
      <c r="T1073" s="93" t="str">
        <f>vlookup(F1073,DATABASE!C:Q,8,false)</f>
        <v>#N/A</v>
      </c>
      <c r="Z1073" s="9"/>
    </row>
    <row r="1074" ht="22.5" customHeight="1">
      <c r="A1074" s="49"/>
      <c r="C1074" s="384"/>
      <c r="D1074" s="93"/>
      <c r="F1074" s="74"/>
      <c r="H1074" s="74"/>
      <c r="I1074" s="74"/>
      <c r="J1074" s="74"/>
      <c r="K1074" s="74" t="str">
        <f>if(F1074="SERVICE",O1074-(O1074*50%),Vlookup(F1074,DATABASE!C:Q,10,false)*G1074)</f>
        <v>#N/A</v>
      </c>
      <c r="L1074" s="74" t="str">
        <f>VLOOKUP(F1074,DATABASE!C:Q,7,FALSE)</f>
        <v>#N/A</v>
      </c>
      <c r="M1074" s="74"/>
      <c r="N1074" s="74">
        <f t="shared" si="11"/>
        <v>0</v>
      </c>
      <c r="O1074" s="74">
        <f t="shared" si="13"/>
        <v>0</v>
      </c>
      <c r="P1074" s="63">
        <f t="shared" si="14"/>
        <v>0</v>
      </c>
      <c r="Q1074" s="63" t="str">
        <f t="shared" si="15"/>
        <v>#N/A</v>
      </c>
      <c r="R1074" s="93" t="str">
        <f>VLOOKUP(F1074,DATABASE!C:Q,4,false)</f>
        <v>#N/A</v>
      </c>
      <c r="S1074" s="93" t="str">
        <f>VLOOKUP(F1074,DATABASE!C:P,11,false)</f>
        <v>#N/A</v>
      </c>
      <c r="T1074" s="93" t="str">
        <f>vlookup(F1074,DATABASE!C:Q,8,false)</f>
        <v>#N/A</v>
      </c>
      <c r="Z1074" s="9"/>
    </row>
    <row r="1075" ht="22.5" customHeight="1">
      <c r="A1075" s="49"/>
      <c r="C1075" s="384"/>
      <c r="D1075" s="93"/>
      <c r="F1075" s="74"/>
      <c r="H1075" s="74"/>
      <c r="I1075" s="74"/>
      <c r="J1075" s="74"/>
      <c r="K1075" s="74" t="str">
        <f>if(F1075="SERVICE",O1075-(O1075*50%),Vlookup(F1075,DATABASE!C:Q,10,false)*G1075)</f>
        <v>#N/A</v>
      </c>
      <c r="L1075" s="74" t="str">
        <f>VLOOKUP(F1075,DATABASE!C:Q,7,FALSE)</f>
        <v>#N/A</v>
      </c>
      <c r="M1075" s="74"/>
      <c r="N1075" s="74">
        <f t="shared" si="11"/>
        <v>0</v>
      </c>
      <c r="O1075" s="74">
        <f t="shared" si="13"/>
        <v>0</v>
      </c>
      <c r="P1075" s="63">
        <f t="shared" si="14"/>
        <v>0</v>
      </c>
      <c r="Q1075" s="63" t="str">
        <f t="shared" si="15"/>
        <v>#N/A</v>
      </c>
      <c r="R1075" s="93" t="str">
        <f>VLOOKUP(F1075,DATABASE!C:Q,4,false)</f>
        <v>#N/A</v>
      </c>
      <c r="S1075" s="93" t="str">
        <f>VLOOKUP(F1075,DATABASE!C:P,11,false)</f>
        <v>#N/A</v>
      </c>
      <c r="T1075" s="93" t="str">
        <f>vlookup(F1075,DATABASE!C:Q,8,false)</f>
        <v>#N/A</v>
      </c>
      <c r="Z1075" s="9"/>
    </row>
    <row r="1076" ht="22.5" customHeight="1">
      <c r="A1076" s="49"/>
      <c r="C1076" s="384"/>
      <c r="D1076" s="93"/>
      <c r="F1076" s="74"/>
      <c r="H1076" s="74"/>
      <c r="I1076" s="74"/>
      <c r="J1076" s="74"/>
      <c r="K1076" s="74" t="str">
        <f>if(F1076="SERVICE",O1076-(O1076*50%),Vlookup(F1076,DATABASE!C:Q,10,false)*G1076)</f>
        <v>#N/A</v>
      </c>
      <c r="L1076" s="74" t="str">
        <f>VLOOKUP(F1076,DATABASE!C:Q,7,FALSE)</f>
        <v>#N/A</v>
      </c>
      <c r="M1076" s="74"/>
      <c r="N1076" s="74">
        <f t="shared" si="11"/>
        <v>0</v>
      </c>
      <c r="O1076" s="74">
        <f t="shared" si="13"/>
        <v>0</v>
      </c>
      <c r="P1076" s="63">
        <f t="shared" si="14"/>
        <v>0</v>
      </c>
      <c r="Q1076" s="63" t="str">
        <f t="shared" si="15"/>
        <v>#N/A</v>
      </c>
      <c r="R1076" s="93" t="str">
        <f>VLOOKUP(F1076,DATABASE!C:Q,4,false)</f>
        <v>#N/A</v>
      </c>
      <c r="S1076" s="93" t="str">
        <f>VLOOKUP(F1076,DATABASE!C:P,11,false)</f>
        <v>#N/A</v>
      </c>
      <c r="T1076" s="93" t="str">
        <f>vlookup(F1076,DATABASE!C:Q,8,false)</f>
        <v>#N/A</v>
      </c>
      <c r="Z1076" s="9"/>
    </row>
    <row r="1077" ht="22.5" customHeight="1">
      <c r="A1077" s="49"/>
      <c r="C1077" s="384"/>
      <c r="D1077" s="93"/>
      <c r="F1077" s="74"/>
      <c r="H1077" s="74"/>
      <c r="I1077" s="74"/>
      <c r="J1077" s="74"/>
      <c r="K1077" s="74" t="str">
        <f>if(F1077="SERVICE",O1077-(O1077*50%),Vlookup(F1077,DATABASE!C:Q,10,false)*G1077)</f>
        <v>#N/A</v>
      </c>
      <c r="L1077" s="74" t="str">
        <f>VLOOKUP(F1077,DATABASE!C:Q,7,FALSE)</f>
        <v>#N/A</v>
      </c>
      <c r="M1077" s="74"/>
      <c r="N1077" s="74">
        <f t="shared" si="11"/>
        <v>0</v>
      </c>
      <c r="O1077" s="74">
        <f t="shared" si="13"/>
        <v>0</v>
      </c>
      <c r="P1077" s="63">
        <f t="shared" si="14"/>
        <v>0</v>
      </c>
      <c r="Q1077" s="63" t="str">
        <f t="shared" si="15"/>
        <v>#N/A</v>
      </c>
      <c r="R1077" s="93" t="str">
        <f>VLOOKUP(F1077,DATABASE!C:Q,4,false)</f>
        <v>#N/A</v>
      </c>
      <c r="S1077" s="93" t="str">
        <f>VLOOKUP(F1077,DATABASE!C:P,11,false)</f>
        <v>#N/A</v>
      </c>
      <c r="T1077" s="93" t="str">
        <f>vlookup(F1077,DATABASE!C:Q,8,false)</f>
        <v>#N/A</v>
      </c>
      <c r="Z1077" s="9"/>
    </row>
    <row r="1078" ht="22.5" customHeight="1">
      <c r="A1078" s="49"/>
      <c r="C1078" s="384"/>
      <c r="D1078" s="93"/>
      <c r="F1078" s="74"/>
      <c r="H1078" s="74"/>
      <c r="I1078" s="74"/>
      <c r="J1078" s="74"/>
      <c r="K1078" s="74" t="str">
        <f>if(F1078="SERVICE",O1078-(O1078*50%),Vlookup(F1078,DATABASE!C:Q,10,false)*G1078)</f>
        <v>#N/A</v>
      </c>
      <c r="L1078" s="74" t="str">
        <f>VLOOKUP(F1078,DATABASE!C:Q,7,FALSE)</f>
        <v>#N/A</v>
      </c>
      <c r="M1078" s="74"/>
      <c r="N1078" s="74">
        <f t="shared" si="11"/>
        <v>0</v>
      </c>
      <c r="O1078" s="74">
        <f t="shared" si="13"/>
        <v>0</v>
      </c>
      <c r="P1078" s="63">
        <f t="shared" si="14"/>
        <v>0</v>
      </c>
      <c r="Q1078" s="63" t="str">
        <f t="shared" si="15"/>
        <v>#N/A</v>
      </c>
      <c r="R1078" s="93" t="str">
        <f>VLOOKUP(F1078,DATABASE!C:Q,4,false)</f>
        <v>#N/A</v>
      </c>
      <c r="S1078" s="93" t="str">
        <f>VLOOKUP(F1078,DATABASE!C:P,11,false)</f>
        <v>#N/A</v>
      </c>
      <c r="T1078" s="93" t="str">
        <f>vlookup(F1078,DATABASE!C:Q,8,false)</f>
        <v>#N/A</v>
      </c>
      <c r="Z1078" s="9"/>
    </row>
    <row r="1079" ht="22.5" customHeight="1">
      <c r="A1079" s="49"/>
      <c r="C1079" s="384"/>
      <c r="D1079" s="93"/>
      <c r="F1079" s="74"/>
      <c r="H1079" s="74"/>
      <c r="I1079" s="74"/>
      <c r="J1079" s="74"/>
      <c r="K1079" s="74" t="str">
        <f>if(F1079="SERVICE",O1079-(O1079*50%),Vlookup(F1079,DATABASE!C:Q,10,false)*G1079)</f>
        <v>#N/A</v>
      </c>
      <c r="L1079" s="74" t="str">
        <f>VLOOKUP(F1079,DATABASE!C:Q,7,FALSE)</f>
        <v>#N/A</v>
      </c>
      <c r="M1079" s="74"/>
      <c r="N1079" s="74">
        <f t="shared" si="11"/>
        <v>0</v>
      </c>
      <c r="O1079" s="74">
        <f t="shared" si="13"/>
        <v>0</v>
      </c>
      <c r="P1079" s="63">
        <f t="shared" si="14"/>
        <v>0</v>
      </c>
      <c r="Q1079" s="63" t="str">
        <f t="shared" si="15"/>
        <v>#N/A</v>
      </c>
      <c r="R1079" s="93" t="str">
        <f>VLOOKUP(F1079,DATABASE!C:Q,4,false)</f>
        <v>#N/A</v>
      </c>
      <c r="S1079" s="93" t="str">
        <f>VLOOKUP(F1079,DATABASE!C:P,11,false)</f>
        <v>#N/A</v>
      </c>
      <c r="T1079" s="93" t="str">
        <f>vlookup(F1079,DATABASE!C:Q,8,false)</f>
        <v>#N/A</v>
      </c>
      <c r="Z1079" s="9"/>
    </row>
    <row r="1080" ht="22.5" customHeight="1">
      <c r="A1080" s="49"/>
      <c r="C1080" s="384"/>
      <c r="D1080" s="93"/>
      <c r="F1080" s="74"/>
      <c r="H1080" s="74"/>
      <c r="I1080" s="74"/>
      <c r="J1080" s="74"/>
      <c r="K1080" s="74" t="str">
        <f>if(F1080="SERVICE",O1080-(O1080*50%),Vlookup(F1080,DATABASE!C:Q,10,false)*G1080)</f>
        <v>#N/A</v>
      </c>
      <c r="L1080" s="74" t="str">
        <f>VLOOKUP(F1080,DATABASE!C:Q,7,FALSE)</f>
        <v>#N/A</v>
      </c>
      <c r="M1080" s="74"/>
      <c r="N1080" s="74">
        <f t="shared" si="11"/>
        <v>0</v>
      </c>
      <c r="O1080" s="74">
        <f t="shared" si="13"/>
        <v>0</v>
      </c>
      <c r="P1080" s="63">
        <f t="shared" si="14"/>
        <v>0</v>
      </c>
      <c r="Q1080" s="63" t="str">
        <f t="shared" si="15"/>
        <v>#N/A</v>
      </c>
      <c r="R1080" s="93" t="str">
        <f>VLOOKUP(F1080,DATABASE!C:Q,4,false)</f>
        <v>#N/A</v>
      </c>
      <c r="S1080" s="93" t="str">
        <f>VLOOKUP(F1080,DATABASE!C:P,11,false)</f>
        <v>#N/A</v>
      </c>
      <c r="T1080" s="93" t="str">
        <f>vlookup(F1080,DATABASE!C:Q,8,false)</f>
        <v>#N/A</v>
      </c>
      <c r="Z1080" s="9"/>
    </row>
    <row r="1081" ht="22.5" customHeight="1">
      <c r="A1081" s="49"/>
      <c r="C1081" s="384"/>
      <c r="D1081" s="93"/>
      <c r="F1081" s="74"/>
      <c r="H1081" s="74"/>
      <c r="I1081" s="74"/>
      <c r="J1081" s="74"/>
      <c r="K1081" s="74" t="str">
        <f>if(F1081="SERVICE",O1081-(O1081*50%),Vlookup(F1081,DATABASE!C:Q,10,false)*G1081)</f>
        <v>#N/A</v>
      </c>
      <c r="L1081" s="74" t="str">
        <f>VLOOKUP(F1081,DATABASE!C:Q,7,FALSE)</f>
        <v>#N/A</v>
      </c>
      <c r="M1081" s="74"/>
      <c r="N1081" s="74">
        <f t="shared" si="11"/>
        <v>0</v>
      </c>
      <c r="O1081" s="74">
        <f t="shared" si="13"/>
        <v>0</v>
      </c>
      <c r="P1081" s="63">
        <f t="shared" si="14"/>
        <v>0</v>
      </c>
      <c r="Q1081" s="63" t="str">
        <f t="shared" si="15"/>
        <v>#N/A</v>
      </c>
      <c r="R1081" s="93" t="str">
        <f>VLOOKUP(F1081,DATABASE!C:Q,4,false)</f>
        <v>#N/A</v>
      </c>
      <c r="S1081" s="93" t="str">
        <f>VLOOKUP(F1081,DATABASE!C:P,11,false)</f>
        <v>#N/A</v>
      </c>
      <c r="T1081" s="93" t="str">
        <f>vlookup(F1081,DATABASE!C:Q,8,false)</f>
        <v>#N/A</v>
      </c>
      <c r="Z1081" s="9"/>
    </row>
    <row r="1082" ht="22.5" customHeight="1">
      <c r="A1082" s="49"/>
      <c r="C1082" s="384"/>
      <c r="D1082" s="93"/>
      <c r="F1082" s="74"/>
      <c r="H1082" s="74"/>
      <c r="I1082" s="74"/>
      <c r="J1082" s="74"/>
      <c r="K1082" s="74" t="str">
        <f>if(F1082="SERVICE",O1082-(O1082*50%),Vlookup(F1082,DATABASE!C:Q,10,false)*G1082)</f>
        <v>#N/A</v>
      </c>
      <c r="L1082" s="74" t="str">
        <f>VLOOKUP(F1082,DATABASE!C:Q,7,FALSE)</f>
        <v>#N/A</v>
      </c>
      <c r="M1082" s="74"/>
      <c r="N1082" s="74">
        <f t="shared" si="11"/>
        <v>0</v>
      </c>
      <c r="O1082" s="74">
        <f t="shared" si="13"/>
        <v>0</v>
      </c>
      <c r="P1082" s="63">
        <f t="shared" si="14"/>
        <v>0</v>
      </c>
      <c r="Q1082" s="63" t="str">
        <f t="shared" si="15"/>
        <v>#N/A</v>
      </c>
      <c r="R1082" s="93" t="str">
        <f>VLOOKUP(F1082,DATABASE!C:Q,4,false)</f>
        <v>#N/A</v>
      </c>
      <c r="S1082" s="93" t="str">
        <f>VLOOKUP(F1082,DATABASE!C:P,11,false)</f>
        <v>#N/A</v>
      </c>
      <c r="T1082" s="93" t="str">
        <f>vlookup(F1082,DATABASE!C:Q,8,false)</f>
        <v>#N/A</v>
      </c>
      <c r="Z1082" s="9"/>
    </row>
    <row r="1083" ht="22.5" customHeight="1">
      <c r="A1083" s="49"/>
      <c r="C1083" s="384"/>
      <c r="D1083" s="93"/>
      <c r="F1083" s="74"/>
      <c r="H1083" s="74"/>
      <c r="I1083" s="74"/>
      <c r="J1083" s="74"/>
      <c r="K1083" s="74" t="str">
        <f>if(F1083="SERVICE",O1083-(O1083*50%),Vlookup(F1083,DATABASE!C:Q,10,false)*G1083)</f>
        <v>#N/A</v>
      </c>
      <c r="L1083" s="74" t="str">
        <f>VLOOKUP(F1083,DATABASE!C:Q,7,FALSE)</f>
        <v>#N/A</v>
      </c>
      <c r="M1083" s="74"/>
      <c r="N1083" s="74">
        <f t="shared" si="11"/>
        <v>0</v>
      </c>
      <c r="O1083" s="74">
        <f t="shared" si="13"/>
        <v>0</v>
      </c>
      <c r="P1083" s="63">
        <f t="shared" si="14"/>
        <v>0</v>
      </c>
      <c r="Q1083" s="63" t="str">
        <f t="shared" si="15"/>
        <v>#N/A</v>
      </c>
      <c r="R1083" s="93" t="str">
        <f>VLOOKUP(F1083,DATABASE!C:Q,4,false)</f>
        <v>#N/A</v>
      </c>
      <c r="S1083" s="93" t="str">
        <f>VLOOKUP(F1083,DATABASE!C:P,11,false)</f>
        <v>#N/A</v>
      </c>
      <c r="T1083" s="93" t="str">
        <f>vlookup(F1083,DATABASE!C:Q,8,false)</f>
        <v>#N/A</v>
      </c>
      <c r="Z1083" s="9"/>
    </row>
    <row r="1084" ht="22.5" customHeight="1">
      <c r="A1084" s="49"/>
      <c r="C1084" s="384"/>
      <c r="D1084" s="93"/>
      <c r="F1084" s="74"/>
      <c r="H1084" s="74"/>
      <c r="I1084" s="74"/>
      <c r="J1084" s="74"/>
      <c r="K1084" s="74" t="str">
        <f>if(F1084="SERVICE",O1084-(O1084*50%),Vlookup(F1084,DATABASE!C:Q,10,false)*G1084)</f>
        <v>#N/A</v>
      </c>
      <c r="L1084" s="74" t="str">
        <f>VLOOKUP(F1084,DATABASE!C:Q,7,FALSE)</f>
        <v>#N/A</v>
      </c>
      <c r="M1084" s="74"/>
      <c r="N1084" s="74">
        <f t="shared" si="11"/>
        <v>0</v>
      </c>
      <c r="O1084" s="74">
        <f t="shared" si="13"/>
        <v>0</v>
      </c>
      <c r="P1084" s="63">
        <f t="shared" si="14"/>
        <v>0</v>
      </c>
      <c r="Q1084" s="63" t="str">
        <f t="shared" si="15"/>
        <v>#N/A</v>
      </c>
      <c r="R1084" s="93" t="str">
        <f>VLOOKUP(F1084,DATABASE!C:Q,4,false)</f>
        <v>#N/A</v>
      </c>
      <c r="S1084" s="93" t="str">
        <f>VLOOKUP(F1084,DATABASE!C:P,11,false)</f>
        <v>#N/A</v>
      </c>
      <c r="T1084" s="93" t="str">
        <f>vlookup(F1084,DATABASE!C:Q,8,false)</f>
        <v>#N/A</v>
      </c>
      <c r="Z1084" s="9"/>
    </row>
    <row r="1085" ht="22.5" customHeight="1">
      <c r="A1085" s="49"/>
      <c r="C1085" s="384"/>
      <c r="D1085" s="93"/>
      <c r="F1085" s="74"/>
      <c r="H1085" s="74"/>
      <c r="I1085" s="74"/>
      <c r="J1085" s="74"/>
      <c r="K1085" s="74" t="str">
        <f>if(F1085="SERVICE",O1085-(O1085*50%),Vlookup(F1085,DATABASE!C:Q,10,false)*G1085)</f>
        <v>#N/A</v>
      </c>
      <c r="L1085" s="74" t="str">
        <f>VLOOKUP(F1085,DATABASE!C:Q,7,FALSE)</f>
        <v>#N/A</v>
      </c>
      <c r="M1085" s="74"/>
      <c r="N1085" s="74">
        <f t="shared" si="11"/>
        <v>0</v>
      </c>
      <c r="O1085" s="74">
        <f t="shared" si="13"/>
        <v>0</v>
      </c>
      <c r="P1085" s="63">
        <f t="shared" si="14"/>
        <v>0</v>
      </c>
      <c r="Q1085" s="63" t="str">
        <f t="shared" si="15"/>
        <v>#N/A</v>
      </c>
      <c r="R1085" s="93" t="str">
        <f>VLOOKUP(F1085,DATABASE!C:Q,4,false)</f>
        <v>#N/A</v>
      </c>
      <c r="S1085" s="93" t="str">
        <f>VLOOKUP(F1085,DATABASE!C:P,11,false)</f>
        <v>#N/A</v>
      </c>
      <c r="T1085" s="93" t="str">
        <f>vlookup(F1085,DATABASE!C:Q,8,false)</f>
        <v>#N/A</v>
      </c>
      <c r="Z1085" s="9"/>
    </row>
    <row r="1086" ht="22.5" customHeight="1">
      <c r="A1086" s="49"/>
      <c r="C1086" s="384"/>
      <c r="D1086" s="93"/>
      <c r="F1086" s="74"/>
      <c r="H1086" s="74"/>
      <c r="I1086" s="74"/>
      <c r="J1086" s="74"/>
      <c r="K1086" s="74" t="str">
        <f>if(F1086="SERVICE",O1086-(O1086*50%),Vlookup(F1086,DATABASE!C:Q,10,false)*G1086)</f>
        <v>#N/A</v>
      </c>
      <c r="L1086" s="74" t="str">
        <f>VLOOKUP(F1086,DATABASE!C:Q,7,FALSE)</f>
        <v>#N/A</v>
      </c>
      <c r="M1086" s="74"/>
      <c r="N1086" s="74">
        <f t="shared" si="11"/>
        <v>0</v>
      </c>
      <c r="O1086" s="74">
        <f t="shared" si="13"/>
        <v>0</v>
      </c>
      <c r="P1086" s="63">
        <f t="shared" si="14"/>
        <v>0</v>
      </c>
      <c r="Q1086" s="63" t="str">
        <f t="shared" si="15"/>
        <v>#N/A</v>
      </c>
      <c r="R1086" s="93" t="str">
        <f>VLOOKUP(F1086,DATABASE!C:Q,4,false)</f>
        <v>#N/A</v>
      </c>
      <c r="S1086" s="93" t="str">
        <f>VLOOKUP(F1086,DATABASE!C:P,11,false)</f>
        <v>#N/A</v>
      </c>
      <c r="T1086" s="93" t="str">
        <f>vlookup(F1086,DATABASE!C:Q,8,false)</f>
        <v>#N/A</v>
      </c>
      <c r="Z1086" s="9"/>
    </row>
    <row r="1087" ht="22.5" customHeight="1">
      <c r="A1087" s="49"/>
      <c r="C1087" s="384"/>
      <c r="D1087" s="93"/>
      <c r="F1087" s="74"/>
      <c r="H1087" s="74"/>
      <c r="I1087" s="74"/>
      <c r="J1087" s="74"/>
      <c r="K1087" s="74" t="str">
        <f>if(F1087="SERVICE",O1087-(O1087*50%),Vlookup(F1087,DATABASE!C:Q,10,false)*G1087)</f>
        <v>#N/A</v>
      </c>
      <c r="L1087" s="74" t="str">
        <f>VLOOKUP(F1087,DATABASE!C:Q,7,FALSE)</f>
        <v>#N/A</v>
      </c>
      <c r="M1087" s="74"/>
      <c r="N1087" s="74">
        <f t="shared" si="11"/>
        <v>0</v>
      </c>
      <c r="O1087" s="74">
        <f t="shared" si="13"/>
        <v>0</v>
      </c>
      <c r="P1087" s="63">
        <f t="shared" si="14"/>
        <v>0</v>
      </c>
      <c r="Q1087" s="63" t="str">
        <f t="shared" si="15"/>
        <v>#N/A</v>
      </c>
      <c r="R1087" s="93" t="str">
        <f>VLOOKUP(F1087,DATABASE!C:Q,4,false)</f>
        <v>#N/A</v>
      </c>
      <c r="S1087" s="93" t="str">
        <f>VLOOKUP(F1087,DATABASE!C:P,11,false)</f>
        <v>#N/A</v>
      </c>
      <c r="T1087" s="93" t="str">
        <f>vlookup(F1087,DATABASE!C:Q,8,false)</f>
        <v>#N/A</v>
      </c>
      <c r="Z1087" s="9"/>
    </row>
    <row r="1088" ht="22.5" customHeight="1">
      <c r="A1088" s="49"/>
      <c r="C1088" s="384"/>
      <c r="D1088" s="93"/>
      <c r="F1088" s="74"/>
      <c r="H1088" s="74"/>
      <c r="I1088" s="74"/>
      <c r="J1088" s="74"/>
      <c r="K1088" s="74" t="str">
        <f>if(F1088="SERVICE",O1088-(O1088*50%),Vlookup(F1088,DATABASE!C:Q,10,false)*G1088)</f>
        <v>#N/A</v>
      </c>
      <c r="L1088" s="74" t="str">
        <f>VLOOKUP(F1088,DATABASE!C:Q,7,FALSE)</f>
        <v>#N/A</v>
      </c>
      <c r="M1088" s="74"/>
      <c r="N1088" s="74">
        <f t="shared" si="11"/>
        <v>0</v>
      </c>
      <c r="O1088" s="74">
        <f t="shared" si="13"/>
        <v>0</v>
      </c>
      <c r="P1088" s="63">
        <f t="shared" si="14"/>
        <v>0</v>
      </c>
      <c r="Q1088" s="63" t="str">
        <f t="shared" si="15"/>
        <v>#N/A</v>
      </c>
      <c r="R1088" s="93" t="str">
        <f>VLOOKUP(F1088,DATABASE!C:Q,4,false)</f>
        <v>#N/A</v>
      </c>
      <c r="S1088" s="93" t="str">
        <f>VLOOKUP(F1088,DATABASE!C:P,11,false)</f>
        <v>#N/A</v>
      </c>
      <c r="T1088" s="93" t="str">
        <f>vlookup(F1088,DATABASE!C:Q,8,false)</f>
        <v>#N/A</v>
      </c>
      <c r="Z1088" s="9"/>
    </row>
    <row r="1089" ht="22.5" customHeight="1">
      <c r="A1089" s="49"/>
      <c r="C1089" s="384"/>
      <c r="D1089" s="93"/>
      <c r="F1089" s="74"/>
      <c r="H1089" s="74"/>
      <c r="I1089" s="74"/>
      <c r="J1089" s="74"/>
      <c r="K1089" s="74" t="str">
        <f>if(F1089="SERVICE",O1089-(O1089*50%),Vlookup(F1089,DATABASE!C:Q,10,false)*G1089)</f>
        <v>#N/A</v>
      </c>
      <c r="L1089" s="74" t="str">
        <f>VLOOKUP(F1089,DATABASE!C:Q,7,FALSE)</f>
        <v>#N/A</v>
      </c>
      <c r="M1089" s="74"/>
      <c r="N1089" s="74">
        <f t="shared" si="11"/>
        <v>0</v>
      </c>
      <c r="O1089" s="74">
        <f t="shared" si="13"/>
        <v>0</v>
      </c>
      <c r="P1089" s="63">
        <f t="shared" si="14"/>
        <v>0</v>
      </c>
      <c r="Q1089" s="63" t="str">
        <f t="shared" si="15"/>
        <v>#N/A</v>
      </c>
      <c r="R1089" s="93" t="str">
        <f>VLOOKUP(F1089,DATABASE!C:Q,4,false)</f>
        <v>#N/A</v>
      </c>
      <c r="S1089" s="93" t="str">
        <f>VLOOKUP(F1089,DATABASE!C:P,11,false)</f>
        <v>#N/A</v>
      </c>
      <c r="T1089" s="93" t="str">
        <f>vlookup(F1089,DATABASE!C:Q,8,false)</f>
        <v>#N/A</v>
      </c>
      <c r="Z1089" s="9"/>
    </row>
    <row r="1090" ht="22.5" customHeight="1">
      <c r="A1090" s="49"/>
      <c r="C1090" s="384"/>
      <c r="D1090" s="93"/>
      <c r="F1090" s="74"/>
      <c r="H1090" s="74"/>
      <c r="I1090" s="74"/>
      <c r="J1090" s="74"/>
      <c r="K1090" s="74" t="str">
        <f>if(F1090="SERVICE",O1090-(O1090*50%),Vlookup(F1090,DATABASE!C:Q,10,false)*G1090)</f>
        <v>#N/A</v>
      </c>
      <c r="L1090" s="74" t="str">
        <f>VLOOKUP(F1090,DATABASE!C:Q,7,FALSE)</f>
        <v>#N/A</v>
      </c>
      <c r="M1090" s="74"/>
      <c r="N1090" s="74">
        <f t="shared" si="11"/>
        <v>0</v>
      </c>
      <c r="O1090" s="74">
        <f t="shared" si="13"/>
        <v>0</v>
      </c>
      <c r="P1090" s="63">
        <f t="shared" si="14"/>
        <v>0</v>
      </c>
      <c r="Q1090" s="63" t="str">
        <f t="shared" si="15"/>
        <v>#N/A</v>
      </c>
      <c r="R1090" s="93" t="str">
        <f>VLOOKUP(F1090,DATABASE!C:Q,4,false)</f>
        <v>#N/A</v>
      </c>
      <c r="S1090" s="93" t="str">
        <f>VLOOKUP(F1090,DATABASE!C:P,11,false)</f>
        <v>#N/A</v>
      </c>
      <c r="T1090" s="93" t="str">
        <f>vlookup(F1090,DATABASE!C:Q,8,false)</f>
        <v>#N/A</v>
      </c>
      <c r="Z1090" s="9"/>
    </row>
    <row r="1091" ht="22.5" customHeight="1">
      <c r="A1091" s="49"/>
      <c r="C1091" s="384"/>
      <c r="D1091" s="93"/>
      <c r="F1091" s="74"/>
      <c r="H1091" s="74"/>
      <c r="I1091" s="74"/>
      <c r="J1091" s="74"/>
      <c r="K1091" s="74" t="str">
        <f>if(F1091="SERVICE",O1091-(O1091*50%),Vlookup(F1091,DATABASE!C:Q,10,false)*G1091)</f>
        <v>#N/A</v>
      </c>
      <c r="L1091" s="74" t="str">
        <f>VLOOKUP(F1091,DATABASE!C:Q,7,FALSE)</f>
        <v>#N/A</v>
      </c>
      <c r="M1091" s="74"/>
      <c r="N1091" s="74">
        <f t="shared" si="11"/>
        <v>0</v>
      </c>
      <c r="O1091" s="74">
        <f t="shared" si="13"/>
        <v>0</v>
      </c>
      <c r="P1091" s="63">
        <f t="shared" si="14"/>
        <v>0</v>
      </c>
      <c r="Q1091" s="63" t="str">
        <f t="shared" si="15"/>
        <v>#N/A</v>
      </c>
      <c r="R1091" s="93" t="str">
        <f>VLOOKUP(F1091,DATABASE!C:Q,4,false)</f>
        <v>#N/A</v>
      </c>
      <c r="S1091" s="93" t="str">
        <f>VLOOKUP(F1091,DATABASE!C:P,11,false)</f>
        <v>#N/A</v>
      </c>
      <c r="T1091" s="93" t="str">
        <f>vlookup(F1091,DATABASE!C:Q,8,false)</f>
        <v>#N/A</v>
      </c>
      <c r="Z1091" s="9"/>
    </row>
    <row r="1092" ht="22.5" customHeight="1">
      <c r="A1092" s="49"/>
      <c r="C1092" s="384"/>
      <c r="D1092" s="93"/>
      <c r="F1092" s="74"/>
      <c r="H1092" s="74"/>
      <c r="I1092" s="74"/>
      <c r="J1092" s="74"/>
      <c r="K1092" s="74" t="str">
        <f>if(F1092="SERVICE",O1092-(O1092*50%),Vlookup(F1092,DATABASE!C:Q,10,false)*G1092)</f>
        <v>#N/A</v>
      </c>
      <c r="L1092" s="74" t="str">
        <f>VLOOKUP(F1092,DATABASE!C:Q,7,FALSE)</f>
        <v>#N/A</v>
      </c>
      <c r="M1092" s="74"/>
      <c r="N1092" s="74">
        <f t="shared" si="11"/>
        <v>0</v>
      </c>
      <c r="O1092" s="74">
        <f t="shared" si="13"/>
        <v>0</v>
      </c>
      <c r="P1092" s="63">
        <f t="shared" si="14"/>
        <v>0</v>
      </c>
      <c r="Q1092" s="63" t="str">
        <f t="shared" si="15"/>
        <v>#N/A</v>
      </c>
      <c r="R1092" s="93" t="str">
        <f>VLOOKUP(F1092,DATABASE!C:Q,4,false)</f>
        <v>#N/A</v>
      </c>
      <c r="S1092" s="93" t="str">
        <f>VLOOKUP(F1092,DATABASE!C:P,11,false)</f>
        <v>#N/A</v>
      </c>
      <c r="T1092" s="93" t="str">
        <f>vlookup(F1092,DATABASE!C:Q,8,false)</f>
        <v>#N/A</v>
      </c>
      <c r="Z1092" s="9"/>
    </row>
    <row r="1093" ht="22.5" customHeight="1">
      <c r="A1093" s="49"/>
      <c r="C1093" s="384"/>
      <c r="D1093" s="93"/>
      <c r="F1093" s="74"/>
      <c r="H1093" s="74"/>
      <c r="I1093" s="74"/>
      <c r="J1093" s="74"/>
      <c r="K1093" s="74" t="str">
        <f>if(F1093="SERVICE",O1093-(O1093*50%),Vlookup(F1093,DATABASE!C:Q,10,false)*G1093)</f>
        <v>#N/A</v>
      </c>
      <c r="L1093" s="74" t="str">
        <f>VLOOKUP(F1093,DATABASE!C:Q,7,FALSE)</f>
        <v>#N/A</v>
      </c>
      <c r="M1093" s="74"/>
      <c r="N1093" s="74">
        <f t="shared" si="11"/>
        <v>0</v>
      </c>
      <c r="O1093" s="74">
        <f t="shared" si="13"/>
        <v>0</v>
      </c>
      <c r="P1093" s="63">
        <f t="shared" si="14"/>
        <v>0</v>
      </c>
      <c r="Q1093" s="63" t="str">
        <f t="shared" si="15"/>
        <v>#N/A</v>
      </c>
      <c r="R1093" s="93" t="str">
        <f>VLOOKUP(F1093,DATABASE!C:Q,4,false)</f>
        <v>#N/A</v>
      </c>
      <c r="S1093" s="93" t="str">
        <f>VLOOKUP(F1093,DATABASE!C:P,11,false)</f>
        <v>#N/A</v>
      </c>
      <c r="T1093" s="93" t="str">
        <f>vlookup(F1093,DATABASE!C:Q,8,false)</f>
        <v>#N/A</v>
      </c>
      <c r="Z1093" s="9"/>
    </row>
    <row r="1094" ht="22.5" customHeight="1">
      <c r="A1094" s="49"/>
      <c r="C1094" s="384"/>
      <c r="D1094" s="93"/>
      <c r="F1094" s="74"/>
      <c r="H1094" s="74"/>
      <c r="I1094" s="74"/>
      <c r="J1094" s="74"/>
      <c r="K1094" s="74" t="str">
        <f>if(F1094="SERVICE",O1094-(O1094*50%),Vlookup(F1094,DATABASE!C:Q,10,false)*G1094)</f>
        <v>#N/A</v>
      </c>
      <c r="L1094" s="74" t="str">
        <f>VLOOKUP(F1094,DATABASE!C:Q,7,FALSE)</f>
        <v>#N/A</v>
      </c>
      <c r="M1094" s="74"/>
      <c r="N1094" s="74">
        <f t="shared" si="11"/>
        <v>0</v>
      </c>
      <c r="O1094" s="74">
        <f t="shared" si="13"/>
        <v>0</v>
      </c>
      <c r="P1094" s="63">
        <f t="shared" si="14"/>
        <v>0</v>
      </c>
      <c r="Q1094" s="63" t="str">
        <f t="shared" si="15"/>
        <v>#N/A</v>
      </c>
      <c r="R1094" s="93" t="str">
        <f>VLOOKUP(F1094,DATABASE!C:Q,4,false)</f>
        <v>#N/A</v>
      </c>
      <c r="S1094" s="93" t="str">
        <f>VLOOKUP(F1094,DATABASE!C:P,11,false)</f>
        <v>#N/A</v>
      </c>
      <c r="T1094" s="93" t="str">
        <f>vlookup(F1094,DATABASE!C:Q,8,false)</f>
        <v>#N/A</v>
      </c>
      <c r="Z1094" s="9"/>
    </row>
    <row r="1095" ht="22.5" customHeight="1">
      <c r="A1095" s="49"/>
      <c r="C1095" s="384"/>
      <c r="D1095" s="93"/>
      <c r="F1095" s="74"/>
      <c r="H1095" s="74"/>
      <c r="I1095" s="74"/>
      <c r="J1095" s="74"/>
      <c r="K1095" s="74" t="str">
        <f>if(F1095="SERVICE",O1095-(O1095*50%),Vlookup(F1095,DATABASE!C:Q,10,false)*G1095)</f>
        <v>#N/A</v>
      </c>
      <c r="L1095" s="74" t="str">
        <f>VLOOKUP(F1095,DATABASE!C:Q,7,FALSE)</f>
        <v>#N/A</v>
      </c>
      <c r="M1095" s="74"/>
      <c r="N1095" s="74">
        <f t="shared" si="11"/>
        <v>0</v>
      </c>
      <c r="O1095" s="74">
        <f t="shared" si="13"/>
        <v>0</v>
      </c>
      <c r="P1095" s="63">
        <f t="shared" si="14"/>
        <v>0</v>
      </c>
      <c r="Q1095" s="63" t="str">
        <f t="shared" si="15"/>
        <v>#N/A</v>
      </c>
      <c r="R1095" s="93" t="str">
        <f>VLOOKUP(F1095,DATABASE!C:Q,4,false)</f>
        <v>#N/A</v>
      </c>
      <c r="S1095" s="93" t="str">
        <f>VLOOKUP(F1095,DATABASE!C:P,11,false)</f>
        <v>#N/A</v>
      </c>
      <c r="T1095" s="93" t="str">
        <f>vlookup(F1095,DATABASE!C:Q,8,false)</f>
        <v>#N/A</v>
      </c>
      <c r="Z1095" s="9"/>
    </row>
    <row r="1096" ht="22.5" customHeight="1">
      <c r="A1096" s="49"/>
      <c r="C1096" s="384"/>
      <c r="D1096" s="93"/>
      <c r="F1096" s="74"/>
      <c r="H1096" s="74"/>
      <c r="I1096" s="74"/>
      <c r="J1096" s="74"/>
      <c r="K1096" s="74" t="str">
        <f>if(F1096="SERVICE",O1096-(O1096*50%),Vlookup(F1096,DATABASE!C:Q,10,false)*G1096)</f>
        <v>#N/A</v>
      </c>
      <c r="L1096" s="74" t="str">
        <f>VLOOKUP(F1096,DATABASE!C:Q,7,FALSE)</f>
        <v>#N/A</v>
      </c>
      <c r="M1096" s="74"/>
      <c r="N1096" s="74">
        <f t="shared" si="11"/>
        <v>0</v>
      </c>
      <c r="O1096" s="74">
        <f t="shared" si="13"/>
        <v>0</v>
      </c>
      <c r="P1096" s="63">
        <f t="shared" si="14"/>
        <v>0</v>
      </c>
      <c r="Q1096" s="63" t="str">
        <f t="shared" si="15"/>
        <v>#N/A</v>
      </c>
      <c r="R1096" s="93" t="str">
        <f>VLOOKUP(F1096,DATABASE!C:Q,4,false)</f>
        <v>#N/A</v>
      </c>
      <c r="S1096" s="93" t="str">
        <f>VLOOKUP(F1096,DATABASE!C:P,11,false)</f>
        <v>#N/A</v>
      </c>
      <c r="T1096" s="93" t="str">
        <f>vlookup(F1096,DATABASE!C:Q,8,false)</f>
        <v>#N/A</v>
      </c>
      <c r="Z1096" s="9"/>
    </row>
    <row r="1097" ht="22.5" customHeight="1">
      <c r="A1097" s="49"/>
      <c r="C1097" s="384"/>
      <c r="D1097" s="93"/>
      <c r="F1097" s="74"/>
      <c r="H1097" s="74"/>
      <c r="I1097" s="74"/>
      <c r="J1097" s="74"/>
      <c r="K1097" s="74" t="str">
        <f>if(F1097="SERVICE",O1097-(O1097*50%),Vlookup(F1097,DATABASE!C:Q,10,false)*G1097)</f>
        <v>#N/A</v>
      </c>
      <c r="L1097" s="74" t="str">
        <f>VLOOKUP(F1097,DATABASE!C:Q,7,FALSE)</f>
        <v>#N/A</v>
      </c>
      <c r="M1097" s="74"/>
      <c r="N1097" s="74">
        <f t="shared" si="11"/>
        <v>0</v>
      </c>
      <c r="O1097" s="74">
        <f t="shared" si="13"/>
        <v>0</v>
      </c>
      <c r="P1097" s="63">
        <f t="shared" si="14"/>
        <v>0</v>
      </c>
      <c r="Q1097" s="63" t="str">
        <f t="shared" si="15"/>
        <v>#N/A</v>
      </c>
      <c r="R1097" s="93" t="str">
        <f>VLOOKUP(F1097,DATABASE!C:Q,4,false)</f>
        <v>#N/A</v>
      </c>
      <c r="S1097" s="93" t="str">
        <f>VLOOKUP(F1097,DATABASE!C:P,11,false)</f>
        <v>#N/A</v>
      </c>
      <c r="T1097" s="93" t="str">
        <f>vlookup(F1097,DATABASE!C:Q,8,false)</f>
        <v>#N/A</v>
      </c>
      <c r="Z1097" s="9"/>
    </row>
    <row r="1098" ht="22.5" customHeight="1">
      <c r="A1098" s="49"/>
      <c r="C1098" s="384"/>
      <c r="D1098" s="93"/>
      <c r="F1098" s="74"/>
      <c r="H1098" s="74"/>
      <c r="I1098" s="74"/>
      <c r="J1098" s="74"/>
      <c r="K1098" s="74" t="str">
        <f>if(F1098="SERVICE",O1098-(O1098*50%),Vlookup(F1098,DATABASE!C:Q,10,false)*G1098)</f>
        <v>#N/A</v>
      </c>
      <c r="L1098" s="74" t="str">
        <f>VLOOKUP(F1098,DATABASE!C:Q,7,FALSE)</f>
        <v>#N/A</v>
      </c>
      <c r="M1098" s="74"/>
      <c r="N1098" s="74">
        <f t="shared" si="11"/>
        <v>0</v>
      </c>
      <c r="O1098" s="74">
        <f t="shared" si="13"/>
        <v>0</v>
      </c>
      <c r="P1098" s="63">
        <f t="shared" si="14"/>
        <v>0</v>
      </c>
      <c r="Q1098" s="63" t="str">
        <f t="shared" si="15"/>
        <v>#N/A</v>
      </c>
      <c r="R1098" s="93" t="str">
        <f>VLOOKUP(F1098,DATABASE!C:Q,4,false)</f>
        <v>#N/A</v>
      </c>
      <c r="S1098" s="93" t="str">
        <f>VLOOKUP(F1098,DATABASE!C:P,11,false)</f>
        <v>#N/A</v>
      </c>
      <c r="T1098" s="93" t="str">
        <f>vlookup(F1098,DATABASE!C:Q,8,false)</f>
        <v>#N/A</v>
      </c>
      <c r="Z1098" s="9"/>
    </row>
    <row r="1099" ht="22.5" customHeight="1">
      <c r="A1099" s="49"/>
      <c r="C1099" s="384"/>
      <c r="D1099" s="93"/>
      <c r="F1099" s="74"/>
      <c r="H1099" s="74"/>
      <c r="I1099" s="74"/>
      <c r="J1099" s="74"/>
      <c r="K1099" s="74" t="str">
        <f>if(F1099="SERVICE",O1099-(O1099*50%),Vlookup(F1099,DATABASE!C:Q,10,false)*G1099)</f>
        <v>#N/A</v>
      </c>
      <c r="L1099" s="74" t="str">
        <f>VLOOKUP(F1099,DATABASE!C:Q,7,FALSE)</f>
        <v>#N/A</v>
      </c>
      <c r="M1099" s="74"/>
      <c r="N1099" s="74">
        <f t="shared" si="11"/>
        <v>0</v>
      </c>
      <c r="O1099" s="74">
        <f t="shared" si="13"/>
        <v>0</v>
      </c>
      <c r="P1099" s="63">
        <f t="shared" si="14"/>
        <v>0</v>
      </c>
      <c r="Q1099" s="63" t="str">
        <f t="shared" si="15"/>
        <v>#N/A</v>
      </c>
      <c r="R1099" s="93" t="str">
        <f>VLOOKUP(F1099,DATABASE!C:Q,4,false)</f>
        <v>#N/A</v>
      </c>
      <c r="S1099" s="93" t="str">
        <f>VLOOKUP(F1099,DATABASE!C:P,11,false)</f>
        <v>#N/A</v>
      </c>
      <c r="T1099" s="93" t="str">
        <f>vlookup(F1099,DATABASE!C:Q,8,false)</f>
        <v>#N/A</v>
      </c>
      <c r="Z1099" s="9"/>
    </row>
    <row r="1100" ht="22.5" customHeight="1">
      <c r="A1100" s="49"/>
      <c r="C1100" s="384"/>
      <c r="D1100" s="93"/>
      <c r="F1100" s="74"/>
      <c r="H1100" s="74"/>
      <c r="I1100" s="74"/>
      <c r="J1100" s="74"/>
      <c r="K1100" s="74" t="str">
        <f>if(F1100="SERVICE",O1100-(O1100*50%),Vlookup(F1100,DATABASE!C:Q,10,false)*G1100)</f>
        <v>#N/A</v>
      </c>
      <c r="L1100" s="74" t="str">
        <f>VLOOKUP(F1100,DATABASE!C:Q,7,FALSE)</f>
        <v>#N/A</v>
      </c>
      <c r="M1100" s="74"/>
      <c r="N1100" s="74">
        <f t="shared" si="11"/>
        <v>0</v>
      </c>
      <c r="O1100" s="74">
        <f t="shared" si="13"/>
        <v>0</v>
      </c>
      <c r="P1100" s="63">
        <f t="shared" si="14"/>
        <v>0</v>
      </c>
      <c r="Q1100" s="63" t="str">
        <f t="shared" si="15"/>
        <v>#N/A</v>
      </c>
      <c r="R1100" s="93" t="str">
        <f>VLOOKUP(F1100,DATABASE!C:Q,4,false)</f>
        <v>#N/A</v>
      </c>
      <c r="S1100" s="93" t="str">
        <f>VLOOKUP(F1100,DATABASE!C:P,11,false)</f>
        <v>#N/A</v>
      </c>
      <c r="T1100" s="93" t="str">
        <f>vlookup(F1100,DATABASE!C:Q,8,false)</f>
        <v>#N/A</v>
      </c>
      <c r="Z1100" s="9"/>
    </row>
    <row r="1101" ht="22.5" customHeight="1">
      <c r="A1101" s="49"/>
      <c r="C1101" s="384"/>
      <c r="D1101" s="93"/>
      <c r="F1101" s="74"/>
      <c r="H1101" s="74"/>
      <c r="I1101" s="74"/>
      <c r="J1101" s="74"/>
      <c r="K1101" s="74" t="str">
        <f>if(F1101="SERVICE",O1101-(O1101*50%),Vlookup(F1101,DATABASE!C:Q,10,false)*G1101)</f>
        <v>#N/A</v>
      </c>
      <c r="L1101" s="74" t="str">
        <f>VLOOKUP(F1101,DATABASE!C:Q,7,FALSE)</f>
        <v>#N/A</v>
      </c>
      <c r="M1101" s="74"/>
      <c r="N1101" s="74">
        <f t="shared" si="11"/>
        <v>0</v>
      </c>
      <c r="O1101" s="74">
        <f t="shared" si="13"/>
        <v>0</v>
      </c>
      <c r="P1101" s="63">
        <f t="shared" si="14"/>
        <v>0</v>
      </c>
      <c r="Q1101" s="63" t="str">
        <f t="shared" si="15"/>
        <v>#N/A</v>
      </c>
      <c r="R1101" s="93" t="str">
        <f>VLOOKUP(F1101,DATABASE!C:Q,4,false)</f>
        <v>#N/A</v>
      </c>
      <c r="S1101" s="93" t="str">
        <f>VLOOKUP(F1101,DATABASE!C:P,11,false)</f>
        <v>#N/A</v>
      </c>
      <c r="T1101" s="93" t="str">
        <f>vlookup(F1101,DATABASE!C:Q,8,false)</f>
        <v>#N/A</v>
      </c>
      <c r="Z1101" s="9"/>
    </row>
    <row r="1102" ht="22.5" customHeight="1">
      <c r="A1102" s="49"/>
      <c r="C1102" s="384"/>
      <c r="D1102" s="93"/>
      <c r="F1102" s="74"/>
      <c r="H1102" s="74"/>
      <c r="I1102" s="74"/>
      <c r="J1102" s="74"/>
      <c r="K1102" s="74" t="str">
        <f>if(F1102="SERVICE",O1102-(O1102*50%),Vlookup(F1102,DATABASE!C:Q,10,false)*G1102)</f>
        <v>#N/A</v>
      </c>
      <c r="L1102" s="74" t="str">
        <f>VLOOKUP(F1102,DATABASE!C:Q,7,FALSE)</f>
        <v>#N/A</v>
      </c>
      <c r="M1102" s="74"/>
      <c r="N1102" s="74">
        <f t="shared" si="11"/>
        <v>0</v>
      </c>
      <c r="O1102" s="74">
        <f t="shared" si="13"/>
        <v>0</v>
      </c>
      <c r="P1102" s="63">
        <f t="shared" si="14"/>
        <v>0</v>
      </c>
      <c r="Q1102" s="63" t="str">
        <f t="shared" si="15"/>
        <v>#N/A</v>
      </c>
      <c r="R1102" s="93" t="str">
        <f>VLOOKUP(F1102,DATABASE!C:Q,4,false)</f>
        <v>#N/A</v>
      </c>
      <c r="S1102" s="93" t="str">
        <f>VLOOKUP(F1102,DATABASE!C:P,11,false)</f>
        <v>#N/A</v>
      </c>
      <c r="T1102" s="93" t="str">
        <f>vlookup(F1102,DATABASE!C:Q,8,false)</f>
        <v>#N/A</v>
      </c>
      <c r="Z1102" s="9"/>
    </row>
    <row r="1103" ht="22.5" customHeight="1">
      <c r="A1103" s="49"/>
      <c r="C1103" s="384"/>
      <c r="D1103" s="93"/>
      <c r="F1103" s="74"/>
      <c r="H1103" s="74"/>
      <c r="I1103" s="74"/>
      <c r="J1103" s="74"/>
      <c r="K1103" s="74" t="str">
        <f>if(F1103="SERVICE",O1103-(O1103*50%),Vlookup(F1103,DATABASE!C:Q,10,false)*G1103)</f>
        <v>#N/A</v>
      </c>
      <c r="L1103" s="74" t="str">
        <f>VLOOKUP(F1103,DATABASE!C:Q,7,FALSE)</f>
        <v>#N/A</v>
      </c>
      <c r="M1103" s="74"/>
      <c r="N1103" s="74">
        <f t="shared" si="11"/>
        <v>0</v>
      </c>
      <c r="O1103" s="74">
        <f t="shared" si="13"/>
        <v>0</v>
      </c>
      <c r="P1103" s="63">
        <f t="shared" si="14"/>
        <v>0</v>
      </c>
      <c r="Q1103" s="63" t="str">
        <f t="shared" si="15"/>
        <v>#N/A</v>
      </c>
      <c r="R1103" s="93" t="str">
        <f>VLOOKUP(F1103,DATABASE!C:Q,4,false)</f>
        <v>#N/A</v>
      </c>
      <c r="S1103" s="93" t="str">
        <f>VLOOKUP(F1103,DATABASE!C:P,11,false)</f>
        <v>#N/A</v>
      </c>
      <c r="T1103" s="93" t="str">
        <f>vlookup(F1103,DATABASE!C:Q,8,false)</f>
        <v>#N/A</v>
      </c>
      <c r="Z1103" s="9"/>
    </row>
    <row r="1104" ht="22.5" customHeight="1">
      <c r="A1104" s="49"/>
      <c r="C1104" s="384"/>
      <c r="D1104" s="93"/>
      <c r="F1104" s="74"/>
      <c r="H1104" s="74"/>
      <c r="I1104" s="74"/>
      <c r="J1104" s="74"/>
      <c r="K1104" s="74" t="str">
        <f>if(F1104="SERVICE",O1104-(O1104*50%),Vlookup(F1104,DATABASE!C:Q,10,false)*G1104)</f>
        <v>#N/A</v>
      </c>
      <c r="L1104" s="74" t="str">
        <f>VLOOKUP(F1104,DATABASE!C:Q,7,FALSE)</f>
        <v>#N/A</v>
      </c>
      <c r="M1104" s="74"/>
      <c r="N1104" s="74">
        <f t="shared" si="11"/>
        <v>0</v>
      </c>
      <c r="O1104" s="74">
        <f t="shared" si="13"/>
        <v>0</v>
      </c>
      <c r="P1104" s="63">
        <f t="shared" si="14"/>
        <v>0</v>
      </c>
      <c r="Q1104" s="63" t="str">
        <f t="shared" si="15"/>
        <v>#N/A</v>
      </c>
      <c r="R1104" s="93" t="str">
        <f>VLOOKUP(F1104,DATABASE!C:Q,4,false)</f>
        <v>#N/A</v>
      </c>
      <c r="S1104" s="93" t="str">
        <f>VLOOKUP(F1104,DATABASE!C:P,11,false)</f>
        <v>#N/A</v>
      </c>
      <c r="T1104" s="93" t="str">
        <f>vlookup(F1104,DATABASE!C:Q,8,false)</f>
        <v>#N/A</v>
      </c>
      <c r="Z1104" s="9"/>
    </row>
    <row r="1105" ht="22.5" customHeight="1">
      <c r="A1105" s="49"/>
      <c r="C1105" s="384"/>
      <c r="D1105" s="93"/>
      <c r="F1105" s="74"/>
      <c r="H1105" s="74"/>
      <c r="I1105" s="74"/>
      <c r="J1105" s="74"/>
      <c r="K1105" s="74" t="str">
        <f>if(F1105="SERVICE",O1105-(O1105*50%),Vlookup(F1105,DATABASE!C:Q,10,false)*G1105)</f>
        <v>#N/A</v>
      </c>
      <c r="L1105" s="74" t="str">
        <f>VLOOKUP(F1105,DATABASE!C:Q,7,FALSE)</f>
        <v>#N/A</v>
      </c>
      <c r="M1105" s="74"/>
      <c r="N1105" s="74">
        <f t="shared" si="11"/>
        <v>0</v>
      </c>
      <c r="O1105" s="74">
        <f t="shared" si="13"/>
        <v>0</v>
      </c>
      <c r="P1105" s="63">
        <f t="shared" si="14"/>
        <v>0</v>
      </c>
      <c r="Q1105" s="63" t="str">
        <f t="shared" si="15"/>
        <v>#N/A</v>
      </c>
      <c r="R1105" s="93" t="str">
        <f>VLOOKUP(F1105,DATABASE!C:Q,4,false)</f>
        <v>#N/A</v>
      </c>
      <c r="S1105" s="93" t="str">
        <f>VLOOKUP(F1105,DATABASE!C:P,11,false)</f>
        <v>#N/A</v>
      </c>
      <c r="T1105" s="93" t="str">
        <f>vlookup(F1105,DATABASE!C:Q,8,false)</f>
        <v>#N/A</v>
      </c>
      <c r="Z1105" s="9"/>
    </row>
    <row r="1106" ht="22.5" customHeight="1">
      <c r="A1106" s="49"/>
      <c r="C1106" s="384"/>
      <c r="D1106" s="93"/>
      <c r="F1106" s="74"/>
      <c r="H1106" s="74"/>
      <c r="I1106" s="74"/>
      <c r="J1106" s="74"/>
      <c r="K1106" s="74" t="str">
        <f>if(F1106="SERVICE",O1106-(O1106*50%),Vlookup(F1106,DATABASE!C:Q,10,false)*G1106)</f>
        <v>#N/A</v>
      </c>
      <c r="L1106" s="74" t="str">
        <f>VLOOKUP(F1106,DATABASE!C:Q,7,FALSE)</f>
        <v>#N/A</v>
      </c>
      <c r="M1106" s="74"/>
      <c r="N1106" s="74">
        <f t="shared" si="11"/>
        <v>0</v>
      </c>
      <c r="O1106" s="74">
        <f t="shared" si="13"/>
        <v>0</v>
      </c>
      <c r="P1106" s="63">
        <f t="shared" si="14"/>
        <v>0</v>
      </c>
      <c r="Q1106" s="63" t="str">
        <f t="shared" si="15"/>
        <v>#N/A</v>
      </c>
      <c r="R1106" s="93" t="str">
        <f>VLOOKUP(F1106,DATABASE!C:Q,4,false)</f>
        <v>#N/A</v>
      </c>
      <c r="S1106" s="93" t="str">
        <f>VLOOKUP(F1106,DATABASE!C:P,11,false)</f>
        <v>#N/A</v>
      </c>
      <c r="T1106" s="93" t="str">
        <f>vlookup(F1106,DATABASE!C:Q,8,false)</f>
        <v>#N/A</v>
      </c>
      <c r="Z1106" s="9"/>
    </row>
    <row r="1107" ht="22.5" customHeight="1">
      <c r="A1107" s="49"/>
      <c r="C1107" s="384"/>
      <c r="D1107" s="93"/>
      <c r="F1107" s="74"/>
      <c r="H1107" s="74"/>
      <c r="I1107" s="74"/>
      <c r="J1107" s="74"/>
      <c r="K1107" s="74" t="str">
        <f>if(F1107="SERVICE",O1107-(O1107*50%),Vlookup(F1107,DATABASE!C:Q,10,false)*G1107)</f>
        <v>#N/A</v>
      </c>
      <c r="L1107" s="74" t="str">
        <f>VLOOKUP(F1107,DATABASE!C:Q,7,FALSE)</f>
        <v>#N/A</v>
      </c>
      <c r="M1107" s="74"/>
      <c r="N1107" s="74">
        <f t="shared" si="11"/>
        <v>0</v>
      </c>
      <c r="O1107" s="74">
        <f t="shared" si="13"/>
        <v>0</v>
      </c>
      <c r="P1107" s="63">
        <f t="shared" si="14"/>
        <v>0</v>
      </c>
      <c r="Q1107" s="63" t="str">
        <f t="shared" si="15"/>
        <v>#N/A</v>
      </c>
      <c r="R1107" s="93" t="str">
        <f>VLOOKUP(F1107,DATABASE!C:Q,4,false)</f>
        <v>#N/A</v>
      </c>
      <c r="S1107" s="93" t="str">
        <f>VLOOKUP(F1107,DATABASE!C:P,11,false)</f>
        <v>#N/A</v>
      </c>
      <c r="T1107" s="93" t="str">
        <f>vlookup(F1107,DATABASE!C:Q,8,false)</f>
        <v>#N/A</v>
      </c>
      <c r="Z1107" s="9"/>
    </row>
    <row r="1108" ht="22.5" customHeight="1">
      <c r="A1108" s="49"/>
      <c r="C1108" s="384"/>
      <c r="D1108" s="93"/>
      <c r="F1108" s="74"/>
      <c r="H1108" s="74"/>
      <c r="I1108" s="74"/>
      <c r="J1108" s="74"/>
      <c r="K1108" s="74" t="str">
        <f>if(F1108="SERVICE",O1108-(O1108*50%),Vlookup(F1108,DATABASE!C:Q,10,false)*G1108)</f>
        <v>#N/A</v>
      </c>
      <c r="L1108" s="74" t="str">
        <f>VLOOKUP(F1108,DATABASE!C:Q,7,FALSE)</f>
        <v>#N/A</v>
      </c>
      <c r="M1108" s="74"/>
      <c r="N1108" s="74">
        <f t="shared" si="11"/>
        <v>0</v>
      </c>
      <c r="O1108" s="74">
        <f t="shared" si="13"/>
        <v>0</v>
      </c>
      <c r="P1108" s="63">
        <f t="shared" si="14"/>
        <v>0</v>
      </c>
      <c r="Q1108" s="63" t="str">
        <f t="shared" si="15"/>
        <v>#N/A</v>
      </c>
      <c r="R1108" s="93" t="str">
        <f>VLOOKUP(F1108,DATABASE!C:Q,4,false)</f>
        <v>#N/A</v>
      </c>
      <c r="S1108" s="93" t="str">
        <f>VLOOKUP(F1108,DATABASE!C:P,11,false)</f>
        <v>#N/A</v>
      </c>
      <c r="T1108" s="93" t="str">
        <f>vlookup(F1108,DATABASE!C:Q,8,false)</f>
        <v>#N/A</v>
      </c>
      <c r="Z1108" s="9"/>
    </row>
    <row r="1109" ht="22.5" customHeight="1">
      <c r="A1109" s="49"/>
      <c r="C1109" s="384"/>
      <c r="D1109" s="93"/>
      <c r="F1109" s="74"/>
      <c r="H1109" s="74"/>
      <c r="I1109" s="74"/>
      <c r="J1109" s="74"/>
      <c r="K1109" s="74" t="str">
        <f>if(F1109="SERVICE",O1109-(O1109*50%),Vlookup(F1109,DATABASE!C:Q,10,false)*G1109)</f>
        <v>#N/A</v>
      </c>
      <c r="L1109" s="74" t="str">
        <f>VLOOKUP(F1109,DATABASE!C:Q,7,FALSE)</f>
        <v>#N/A</v>
      </c>
      <c r="M1109" s="74"/>
      <c r="N1109" s="74">
        <f t="shared" si="11"/>
        <v>0</v>
      </c>
      <c r="O1109" s="74">
        <f t="shared" si="13"/>
        <v>0</v>
      </c>
      <c r="P1109" s="63">
        <f t="shared" si="14"/>
        <v>0</v>
      </c>
      <c r="Q1109" s="63" t="str">
        <f t="shared" si="15"/>
        <v>#N/A</v>
      </c>
      <c r="R1109" s="93" t="str">
        <f>VLOOKUP(F1109,DATABASE!C:Q,4,false)</f>
        <v>#N/A</v>
      </c>
      <c r="S1109" s="93" t="str">
        <f>VLOOKUP(F1109,DATABASE!C:P,11,false)</f>
        <v>#N/A</v>
      </c>
      <c r="T1109" s="93" t="str">
        <f>vlookup(F1109,DATABASE!C:Q,8,false)</f>
        <v>#N/A</v>
      </c>
      <c r="Z1109" s="9"/>
    </row>
    <row r="1110" ht="22.5" customHeight="1">
      <c r="A1110" s="49"/>
      <c r="C1110" s="384"/>
      <c r="D1110" s="93"/>
      <c r="F1110" s="74"/>
      <c r="H1110" s="74"/>
      <c r="I1110" s="74"/>
      <c r="J1110" s="74"/>
      <c r="K1110" s="74" t="str">
        <f>if(F1110="SERVICE",O1110-(O1110*50%),Vlookup(F1110,DATABASE!C:Q,10,false)*G1110)</f>
        <v>#N/A</v>
      </c>
      <c r="L1110" s="74" t="str">
        <f>VLOOKUP(F1110,DATABASE!C:Q,7,FALSE)</f>
        <v>#N/A</v>
      </c>
      <c r="M1110" s="74"/>
      <c r="N1110" s="74">
        <f t="shared" si="11"/>
        <v>0</v>
      </c>
      <c r="O1110" s="74">
        <f t="shared" si="13"/>
        <v>0</v>
      </c>
      <c r="P1110" s="63">
        <f t="shared" si="14"/>
        <v>0</v>
      </c>
      <c r="Q1110" s="63" t="str">
        <f t="shared" si="15"/>
        <v>#N/A</v>
      </c>
      <c r="R1110" s="93" t="str">
        <f>VLOOKUP(F1110,DATABASE!C:Q,4,false)</f>
        <v>#N/A</v>
      </c>
      <c r="S1110" s="93" t="str">
        <f>VLOOKUP(F1110,DATABASE!C:P,11,false)</f>
        <v>#N/A</v>
      </c>
      <c r="T1110" s="93" t="str">
        <f>vlookup(F1110,DATABASE!C:Q,8,false)</f>
        <v>#N/A</v>
      </c>
      <c r="Z1110" s="9"/>
    </row>
    <row r="1111" ht="22.5" customHeight="1">
      <c r="A1111" s="49"/>
      <c r="C1111" s="384"/>
      <c r="D1111" s="93"/>
      <c r="F1111" s="74"/>
      <c r="H1111" s="74"/>
      <c r="I1111" s="74"/>
      <c r="J1111" s="74"/>
      <c r="K1111" s="74" t="str">
        <f>if(F1111="SERVICE",O1111-(O1111*50%),Vlookup(F1111,DATABASE!C:Q,10,false)*G1111)</f>
        <v>#N/A</v>
      </c>
      <c r="L1111" s="74" t="str">
        <f>VLOOKUP(F1111,DATABASE!C:Q,7,FALSE)</f>
        <v>#N/A</v>
      </c>
      <c r="M1111" s="74"/>
      <c r="N1111" s="74">
        <f t="shared" si="11"/>
        <v>0</v>
      </c>
      <c r="O1111" s="74">
        <f t="shared" si="13"/>
        <v>0</v>
      </c>
      <c r="P1111" s="63">
        <f t="shared" si="14"/>
        <v>0</v>
      </c>
      <c r="Q1111" s="63" t="str">
        <f t="shared" si="15"/>
        <v>#N/A</v>
      </c>
      <c r="R1111" s="93" t="str">
        <f>VLOOKUP(F1111,DATABASE!C:Q,4,false)</f>
        <v>#N/A</v>
      </c>
      <c r="S1111" s="93" t="str">
        <f>VLOOKUP(F1111,DATABASE!C:P,11,false)</f>
        <v>#N/A</v>
      </c>
      <c r="T1111" s="93" t="str">
        <f>vlookup(F1111,DATABASE!C:Q,8,false)</f>
        <v>#N/A</v>
      </c>
      <c r="Z1111" s="9"/>
    </row>
    <row r="1112" ht="22.5" customHeight="1">
      <c r="A1112" s="49"/>
      <c r="C1112" s="384"/>
      <c r="D1112" s="93"/>
      <c r="F1112" s="74"/>
      <c r="H1112" s="74"/>
      <c r="I1112" s="74"/>
      <c r="J1112" s="74"/>
      <c r="K1112" s="74" t="str">
        <f>if(F1112="SERVICE",O1112-(O1112*50%),Vlookup(F1112,DATABASE!C:Q,10,false)*G1112)</f>
        <v>#N/A</v>
      </c>
      <c r="L1112" s="74" t="str">
        <f>VLOOKUP(F1112,DATABASE!C:Q,7,FALSE)</f>
        <v>#N/A</v>
      </c>
      <c r="M1112" s="74"/>
      <c r="N1112" s="74">
        <f t="shared" si="11"/>
        <v>0</v>
      </c>
      <c r="O1112" s="74">
        <f t="shared" si="13"/>
        <v>0</v>
      </c>
      <c r="P1112" s="63">
        <f t="shared" si="14"/>
        <v>0</v>
      </c>
      <c r="Q1112" s="63" t="str">
        <f t="shared" si="15"/>
        <v>#N/A</v>
      </c>
      <c r="R1112" s="93" t="str">
        <f>VLOOKUP(F1112,DATABASE!C:Q,4,false)</f>
        <v>#N/A</v>
      </c>
      <c r="S1112" s="93" t="str">
        <f>VLOOKUP(F1112,DATABASE!C:P,11,false)</f>
        <v>#N/A</v>
      </c>
      <c r="T1112" s="93" t="str">
        <f>vlookup(F1112,DATABASE!C:Q,8,false)</f>
        <v>#N/A</v>
      </c>
      <c r="Z1112" s="9"/>
    </row>
    <row r="1113" ht="22.5" customHeight="1">
      <c r="A1113" s="49"/>
      <c r="C1113" s="384"/>
      <c r="D1113" s="93"/>
      <c r="F1113" s="74"/>
      <c r="H1113" s="74"/>
      <c r="I1113" s="74"/>
      <c r="J1113" s="74"/>
      <c r="K1113" s="74" t="str">
        <f>if(F1113="SERVICE",O1113-(O1113*50%),Vlookup(F1113,DATABASE!C:Q,10,false)*G1113)</f>
        <v>#N/A</v>
      </c>
      <c r="L1113" s="74" t="str">
        <f>VLOOKUP(F1113,DATABASE!C:Q,7,FALSE)</f>
        <v>#N/A</v>
      </c>
      <c r="M1113" s="74"/>
      <c r="N1113" s="74">
        <f t="shared" si="11"/>
        <v>0</v>
      </c>
      <c r="O1113" s="74">
        <f t="shared" si="13"/>
        <v>0</v>
      </c>
      <c r="P1113" s="63">
        <f t="shared" si="14"/>
        <v>0</v>
      </c>
      <c r="Q1113" s="63" t="str">
        <f t="shared" si="15"/>
        <v>#N/A</v>
      </c>
      <c r="R1113" s="93" t="str">
        <f>VLOOKUP(F1113,DATABASE!C:Q,4,false)</f>
        <v>#N/A</v>
      </c>
      <c r="S1113" s="93" t="str">
        <f>VLOOKUP(F1113,DATABASE!C:P,11,false)</f>
        <v>#N/A</v>
      </c>
      <c r="T1113" s="93" t="str">
        <f>vlookup(F1113,DATABASE!C:Q,8,false)</f>
        <v>#N/A</v>
      </c>
      <c r="Z1113" s="9"/>
    </row>
    <row r="1114" ht="22.5" customHeight="1">
      <c r="A1114" s="49"/>
      <c r="C1114" s="384"/>
      <c r="D1114" s="93"/>
      <c r="F1114" s="74"/>
      <c r="H1114" s="74"/>
      <c r="I1114" s="74"/>
      <c r="J1114" s="74"/>
      <c r="K1114" s="74" t="str">
        <f>if(F1114="SERVICE",O1114-(O1114*50%),Vlookup(F1114,DATABASE!C:Q,10,false)*G1114)</f>
        <v>#N/A</v>
      </c>
      <c r="L1114" s="74" t="str">
        <f>VLOOKUP(F1114,DATABASE!C:Q,7,FALSE)</f>
        <v>#N/A</v>
      </c>
      <c r="M1114" s="74"/>
      <c r="N1114" s="74">
        <f t="shared" si="11"/>
        <v>0</v>
      </c>
      <c r="O1114" s="74">
        <f t="shared" si="13"/>
        <v>0</v>
      </c>
      <c r="P1114" s="63">
        <f t="shared" si="14"/>
        <v>0</v>
      </c>
      <c r="Q1114" s="63" t="str">
        <f t="shared" si="15"/>
        <v>#N/A</v>
      </c>
      <c r="R1114" s="93" t="str">
        <f>VLOOKUP(F1114,DATABASE!C:Q,4,false)</f>
        <v>#N/A</v>
      </c>
      <c r="S1114" s="93" t="str">
        <f>VLOOKUP(F1114,DATABASE!C:P,11,false)</f>
        <v>#N/A</v>
      </c>
      <c r="T1114" s="93" t="str">
        <f>vlookup(F1114,DATABASE!C:Q,8,false)</f>
        <v>#N/A</v>
      </c>
      <c r="Z1114" s="9"/>
    </row>
    <row r="1115" ht="22.5" customHeight="1">
      <c r="A1115" s="49"/>
      <c r="C1115" s="384"/>
      <c r="D1115" s="93"/>
      <c r="F1115" s="74"/>
      <c r="H1115" s="74"/>
      <c r="I1115" s="74"/>
      <c r="J1115" s="74"/>
      <c r="K1115" s="74" t="str">
        <f>if(F1115="SERVICE",O1115-(O1115*50%),Vlookup(F1115,DATABASE!C:Q,10,false)*G1115)</f>
        <v>#N/A</v>
      </c>
      <c r="L1115" s="74" t="str">
        <f>VLOOKUP(F1115,DATABASE!C:Q,7,FALSE)</f>
        <v>#N/A</v>
      </c>
      <c r="M1115" s="74"/>
      <c r="N1115" s="74">
        <f t="shared" si="11"/>
        <v>0</v>
      </c>
      <c r="O1115" s="74">
        <f t="shared" si="13"/>
        <v>0</v>
      </c>
      <c r="P1115" s="63">
        <f t="shared" si="14"/>
        <v>0</v>
      </c>
      <c r="Q1115" s="63" t="str">
        <f t="shared" si="15"/>
        <v>#N/A</v>
      </c>
      <c r="R1115" s="93" t="str">
        <f>VLOOKUP(F1115,DATABASE!C:Q,4,false)</f>
        <v>#N/A</v>
      </c>
      <c r="S1115" s="93" t="str">
        <f>VLOOKUP(F1115,DATABASE!C:P,11,false)</f>
        <v>#N/A</v>
      </c>
      <c r="T1115" s="93" t="str">
        <f>vlookup(F1115,DATABASE!C:Q,8,false)</f>
        <v>#N/A</v>
      </c>
      <c r="Z1115" s="9"/>
    </row>
    <row r="1116" ht="22.5" customHeight="1">
      <c r="A1116" s="49"/>
      <c r="C1116" s="384"/>
      <c r="D1116" s="93"/>
      <c r="F1116" s="74"/>
      <c r="H1116" s="74"/>
      <c r="I1116" s="74"/>
      <c r="J1116" s="74"/>
      <c r="K1116" s="74" t="str">
        <f>if(F1116="SERVICE",O1116-(O1116*50%),Vlookup(F1116,DATABASE!C:Q,10,false)*G1116)</f>
        <v>#N/A</v>
      </c>
      <c r="L1116" s="74" t="str">
        <f>VLOOKUP(F1116,DATABASE!C:Q,7,FALSE)</f>
        <v>#N/A</v>
      </c>
      <c r="M1116" s="74"/>
      <c r="N1116" s="74">
        <f t="shared" si="11"/>
        <v>0</v>
      </c>
      <c r="O1116" s="74">
        <f t="shared" si="13"/>
        <v>0</v>
      </c>
      <c r="P1116" s="63">
        <f t="shared" si="14"/>
        <v>0</v>
      </c>
      <c r="Q1116" s="63" t="str">
        <f t="shared" si="15"/>
        <v>#N/A</v>
      </c>
      <c r="R1116" s="93" t="str">
        <f>VLOOKUP(F1116,DATABASE!C:Q,4,false)</f>
        <v>#N/A</v>
      </c>
      <c r="S1116" s="93" t="str">
        <f>VLOOKUP(F1116,DATABASE!C:P,11,false)</f>
        <v>#N/A</v>
      </c>
      <c r="T1116" s="93" t="str">
        <f>vlookup(F1116,DATABASE!C:Q,8,false)</f>
        <v>#N/A</v>
      </c>
      <c r="Z1116" s="9"/>
    </row>
    <row r="1117" ht="22.5" customHeight="1">
      <c r="A1117" s="49"/>
      <c r="C1117" s="384"/>
      <c r="D1117" s="93"/>
      <c r="F1117" s="74"/>
      <c r="H1117" s="74"/>
      <c r="I1117" s="74"/>
      <c r="J1117" s="74"/>
      <c r="K1117" s="74" t="str">
        <f>if(F1117="SERVICE",O1117-(O1117*50%),Vlookup(F1117,DATABASE!C:Q,10,false)*G1117)</f>
        <v>#N/A</v>
      </c>
      <c r="L1117" s="74" t="str">
        <f>VLOOKUP(F1117,DATABASE!C:Q,7,FALSE)</f>
        <v>#N/A</v>
      </c>
      <c r="M1117" s="74"/>
      <c r="N1117" s="74">
        <f t="shared" si="11"/>
        <v>0</v>
      </c>
      <c r="O1117" s="74">
        <f t="shared" si="13"/>
        <v>0</v>
      </c>
      <c r="P1117" s="63">
        <f t="shared" si="14"/>
        <v>0</v>
      </c>
      <c r="Q1117" s="63" t="str">
        <f t="shared" si="15"/>
        <v>#N/A</v>
      </c>
      <c r="R1117" s="93" t="str">
        <f>VLOOKUP(F1117,DATABASE!C:Q,4,false)</f>
        <v>#N/A</v>
      </c>
      <c r="S1117" s="93" t="str">
        <f>VLOOKUP(F1117,DATABASE!C:P,11,false)</f>
        <v>#N/A</v>
      </c>
      <c r="T1117" s="93" t="str">
        <f>vlookup(F1117,DATABASE!C:Q,8,false)</f>
        <v>#N/A</v>
      </c>
      <c r="Z1117" s="9"/>
    </row>
    <row r="1118" ht="22.5" customHeight="1">
      <c r="A1118" s="49"/>
      <c r="C1118" s="384"/>
      <c r="D1118" s="93"/>
      <c r="F1118" s="74"/>
      <c r="H1118" s="74"/>
      <c r="I1118" s="74"/>
      <c r="J1118" s="74"/>
      <c r="K1118" s="74" t="str">
        <f>if(F1118="SERVICE",O1118-(O1118*50%),Vlookup(F1118,DATABASE!C:Q,10,false)*G1118)</f>
        <v>#N/A</v>
      </c>
      <c r="L1118" s="74" t="str">
        <f>VLOOKUP(F1118,DATABASE!C:Q,7,FALSE)</f>
        <v>#N/A</v>
      </c>
      <c r="M1118" s="74"/>
      <c r="N1118" s="74">
        <f t="shared" si="11"/>
        <v>0</v>
      </c>
      <c r="O1118" s="74">
        <f t="shared" si="13"/>
        <v>0</v>
      </c>
      <c r="P1118" s="63">
        <f t="shared" si="14"/>
        <v>0</v>
      </c>
      <c r="Q1118" s="63" t="str">
        <f t="shared" si="15"/>
        <v>#N/A</v>
      </c>
      <c r="R1118" s="93" t="str">
        <f>VLOOKUP(F1118,DATABASE!C:Q,4,false)</f>
        <v>#N/A</v>
      </c>
      <c r="S1118" s="93" t="str">
        <f>VLOOKUP(F1118,DATABASE!C:P,11,false)</f>
        <v>#N/A</v>
      </c>
      <c r="T1118" s="93" t="str">
        <f>vlookup(F1118,DATABASE!C:Q,8,false)</f>
        <v>#N/A</v>
      </c>
      <c r="Z1118" s="9"/>
    </row>
    <row r="1119" ht="22.5" customHeight="1">
      <c r="A1119" s="49"/>
      <c r="C1119" s="384"/>
      <c r="D1119" s="93"/>
      <c r="F1119" s="74"/>
      <c r="H1119" s="74"/>
      <c r="I1119" s="74"/>
      <c r="J1119" s="74"/>
      <c r="K1119" s="74" t="str">
        <f>if(F1119="SERVICE",O1119-(O1119*50%),Vlookup(F1119,DATABASE!C:Q,10,false)*G1119)</f>
        <v>#N/A</v>
      </c>
      <c r="L1119" s="74" t="str">
        <f>VLOOKUP(F1119,DATABASE!C:Q,7,FALSE)</f>
        <v>#N/A</v>
      </c>
      <c r="M1119" s="74"/>
      <c r="N1119" s="74">
        <f t="shared" si="11"/>
        <v>0</v>
      </c>
      <c r="O1119" s="74">
        <f t="shared" si="13"/>
        <v>0</v>
      </c>
      <c r="P1119" s="63">
        <f t="shared" si="14"/>
        <v>0</v>
      </c>
      <c r="Q1119" s="63" t="str">
        <f t="shared" si="15"/>
        <v>#N/A</v>
      </c>
      <c r="R1119" s="93" t="str">
        <f>VLOOKUP(F1119,DATABASE!C:Q,4,false)</f>
        <v>#N/A</v>
      </c>
      <c r="S1119" s="93" t="str">
        <f>VLOOKUP(F1119,DATABASE!C:P,11,false)</f>
        <v>#N/A</v>
      </c>
      <c r="T1119" s="93" t="str">
        <f>vlookup(F1119,DATABASE!C:Q,8,false)</f>
        <v>#N/A</v>
      </c>
      <c r="Z1119" s="9"/>
    </row>
    <row r="1120" ht="22.5" customHeight="1">
      <c r="A1120" s="49"/>
      <c r="C1120" s="384"/>
      <c r="D1120" s="93"/>
      <c r="F1120" s="74"/>
      <c r="H1120" s="74"/>
      <c r="I1120" s="74"/>
      <c r="J1120" s="74"/>
      <c r="K1120" s="74" t="str">
        <f>if(F1120="SERVICE",O1120-(O1120*50%),Vlookup(F1120,DATABASE!C:Q,10,false)*G1120)</f>
        <v>#N/A</v>
      </c>
      <c r="L1120" s="74" t="str">
        <f>VLOOKUP(F1120,DATABASE!C:Q,7,FALSE)</f>
        <v>#N/A</v>
      </c>
      <c r="M1120" s="74"/>
      <c r="N1120" s="74">
        <f t="shared" si="11"/>
        <v>0</v>
      </c>
      <c r="O1120" s="74">
        <f t="shared" si="13"/>
        <v>0</v>
      </c>
      <c r="P1120" s="63">
        <f t="shared" si="14"/>
        <v>0</v>
      </c>
      <c r="Q1120" s="63" t="str">
        <f t="shared" si="15"/>
        <v>#N/A</v>
      </c>
      <c r="R1120" s="93" t="str">
        <f>VLOOKUP(F1120,DATABASE!C:Q,4,false)</f>
        <v>#N/A</v>
      </c>
      <c r="S1120" s="93" t="str">
        <f>VLOOKUP(F1120,DATABASE!C:P,11,false)</f>
        <v>#N/A</v>
      </c>
      <c r="T1120" s="93" t="str">
        <f>vlookup(F1120,DATABASE!C:Q,8,false)</f>
        <v>#N/A</v>
      </c>
      <c r="Z1120" s="9"/>
    </row>
    <row r="1121" ht="22.5" customHeight="1">
      <c r="A1121" s="49"/>
      <c r="C1121" s="384"/>
      <c r="D1121" s="93"/>
      <c r="F1121" s="74"/>
      <c r="H1121" s="74"/>
      <c r="I1121" s="74"/>
      <c r="J1121" s="74"/>
      <c r="K1121" s="74" t="str">
        <f>if(F1121="SERVICE",O1121-(O1121*50%),Vlookup(F1121,DATABASE!C:Q,10,false)*G1121)</f>
        <v>#N/A</v>
      </c>
      <c r="L1121" s="74" t="str">
        <f>VLOOKUP(F1121,DATABASE!C:Q,7,FALSE)</f>
        <v>#N/A</v>
      </c>
      <c r="M1121" s="74"/>
      <c r="N1121" s="74">
        <f t="shared" si="11"/>
        <v>0</v>
      </c>
      <c r="O1121" s="74">
        <f t="shared" si="13"/>
        <v>0</v>
      </c>
      <c r="P1121" s="63">
        <f t="shared" si="14"/>
        <v>0</v>
      </c>
      <c r="Q1121" s="63" t="str">
        <f t="shared" si="15"/>
        <v>#N/A</v>
      </c>
      <c r="R1121" s="93" t="str">
        <f>VLOOKUP(F1121,DATABASE!C:Q,4,false)</f>
        <v>#N/A</v>
      </c>
      <c r="S1121" s="93" t="str">
        <f>VLOOKUP(F1121,DATABASE!C:P,11,false)</f>
        <v>#N/A</v>
      </c>
      <c r="T1121" s="93" t="str">
        <f>vlookup(F1121,DATABASE!C:Q,8,false)</f>
        <v>#N/A</v>
      </c>
      <c r="Z1121" s="9"/>
    </row>
    <row r="1122" ht="22.5" customHeight="1">
      <c r="A1122" s="49"/>
      <c r="C1122" s="384"/>
      <c r="D1122" s="93"/>
      <c r="F1122" s="74"/>
      <c r="H1122" s="74"/>
      <c r="I1122" s="74"/>
      <c r="J1122" s="74"/>
      <c r="K1122" s="74" t="str">
        <f>if(F1122="SERVICE",O1122-(O1122*50%),Vlookup(F1122,DATABASE!C:Q,10,false)*G1122)</f>
        <v>#N/A</v>
      </c>
      <c r="L1122" s="74" t="str">
        <f>VLOOKUP(F1122,DATABASE!C:Q,7,FALSE)</f>
        <v>#N/A</v>
      </c>
      <c r="M1122" s="74"/>
      <c r="N1122" s="74">
        <f t="shared" si="11"/>
        <v>0</v>
      </c>
      <c r="O1122" s="74">
        <f t="shared" si="13"/>
        <v>0</v>
      </c>
      <c r="P1122" s="63">
        <f t="shared" si="14"/>
        <v>0</v>
      </c>
      <c r="Q1122" s="63" t="str">
        <f t="shared" si="15"/>
        <v>#N/A</v>
      </c>
      <c r="R1122" s="93" t="str">
        <f>VLOOKUP(F1122,DATABASE!C:Q,4,false)</f>
        <v>#N/A</v>
      </c>
      <c r="S1122" s="93" t="str">
        <f>VLOOKUP(F1122,DATABASE!C:P,11,false)</f>
        <v>#N/A</v>
      </c>
      <c r="T1122" s="93" t="str">
        <f>vlookup(F1122,DATABASE!C:Q,8,false)</f>
        <v>#N/A</v>
      </c>
      <c r="Z1122" s="9"/>
    </row>
    <row r="1123" ht="22.5" customHeight="1">
      <c r="A1123" s="49"/>
      <c r="C1123" s="384"/>
      <c r="D1123" s="93"/>
      <c r="F1123" s="74"/>
      <c r="H1123" s="74"/>
      <c r="I1123" s="74"/>
      <c r="J1123" s="74"/>
      <c r="K1123" s="74" t="str">
        <f>if(F1123="SERVICE",O1123-(O1123*50%),Vlookup(F1123,DATABASE!C:Q,10,false)*G1123)</f>
        <v>#N/A</v>
      </c>
      <c r="L1123" s="74" t="str">
        <f>VLOOKUP(F1123,DATABASE!C:Q,7,FALSE)</f>
        <v>#N/A</v>
      </c>
      <c r="M1123" s="74"/>
      <c r="N1123" s="74">
        <f t="shared" si="11"/>
        <v>0</v>
      </c>
      <c r="O1123" s="74">
        <f t="shared" si="13"/>
        <v>0</v>
      </c>
      <c r="P1123" s="63">
        <f t="shared" si="14"/>
        <v>0</v>
      </c>
      <c r="Q1123" s="63" t="str">
        <f t="shared" si="15"/>
        <v>#N/A</v>
      </c>
      <c r="R1123" s="93" t="str">
        <f>VLOOKUP(F1123,DATABASE!C:Q,4,false)</f>
        <v>#N/A</v>
      </c>
      <c r="S1123" s="93" t="str">
        <f>VLOOKUP(F1123,DATABASE!C:P,11,false)</f>
        <v>#N/A</v>
      </c>
      <c r="T1123" s="93" t="str">
        <f>vlookup(F1123,DATABASE!C:Q,8,false)</f>
        <v>#N/A</v>
      </c>
      <c r="Z1123" s="9"/>
    </row>
    <row r="1124" ht="22.5" customHeight="1">
      <c r="A1124" s="49"/>
      <c r="C1124" s="384"/>
      <c r="D1124" s="93"/>
      <c r="F1124" s="74"/>
      <c r="H1124" s="74"/>
      <c r="I1124" s="74"/>
      <c r="J1124" s="74"/>
      <c r="K1124" s="74" t="str">
        <f>if(F1124="SERVICE",O1124-(O1124*50%),Vlookup(F1124,DATABASE!C:Q,10,false)*G1124)</f>
        <v>#N/A</v>
      </c>
      <c r="L1124" s="74" t="str">
        <f>VLOOKUP(F1124,DATABASE!C:Q,7,FALSE)</f>
        <v>#N/A</v>
      </c>
      <c r="M1124" s="74"/>
      <c r="N1124" s="74">
        <f t="shared" si="11"/>
        <v>0</v>
      </c>
      <c r="O1124" s="74">
        <f t="shared" si="13"/>
        <v>0</v>
      </c>
      <c r="P1124" s="63">
        <f t="shared" si="14"/>
        <v>0</v>
      </c>
      <c r="Q1124" s="63" t="str">
        <f t="shared" si="15"/>
        <v>#N/A</v>
      </c>
      <c r="R1124" s="93" t="str">
        <f>VLOOKUP(F1124,DATABASE!C:Q,4,false)</f>
        <v>#N/A</v>
      </c>
      <c r="S1124" s="93" t="str">
        <f>VLOOKUP(F1124,DATABASE!C:P,11,false)</f>
        <v>#N/A</v>
      </c>
      <c r="T1124" s="93" t="str">
        <f>vlookup(F1124,DATABASE!C:Q,8,false)</f>
        <v>#N/A</v>
      </c>
      <c r="Z1124" s="9"/>
    </row>
    <row r="1125" ht="22.5" customHeight="1">
      <c r="A1125" s="49"/>
      <c r="C1125" s="384"/>
      <c r="D1125" s="93"/>
      <c r="F1125" s="74"/>
      <c r="H1125" s="74"/>
      <c r="I1125" s="74"/>
      <c r="J1125" s="74"/>
      <c r="K1125" s="74" t="str">
        <f>if(F1125="SERVICE",O1125-(O1125*50%),Vlookup(F1125,DATABASE!C:Q,10,false)*G1125)</f>
        <v>#N/A</v>
      </c>
      <c r="L1125" s="74" t="str">
        <f>VLOOKUP(F1125,DATABASE!C:Q,7,FALSE)</f>
        <v>#N/A</v>
      </c>
      <c r="M1125" s="74"/>
      <c r="N1125" s="74">
        <f t="shared" si="11"/>
        <v>0</v>
      </c>
      <c r="O1125" s="74">
        <f t="shared" si="13"/>
        <v>0</v>
      </c>
      <c r="P1125" s="63">
        <f t="shared" si="14"/>
        <v>0</v>
      </c>
      <c r="Q1125" s="63" t="str">
        <f t="shared" si="15"/>
        <v>#N/A</v>
      </c>
      <c r="R1125" s="93" t="str">
        <f>VLOOKUP(F1125,DATABASE!C:Q,4,false)</f>
        <v>#N/A</v>
      </c>
      <c r="S1125" s="93" t="str">
        <f>VLOOKUP(F1125,DATABASE!C:P,11,false)</f>
        <v>#N/A</v>
      </c>
      <c r="T1125" s="93" t="str">
        <f>vlookup(F1125,DATABASE!C:Q,8,false)</f>
        <v>#N/A</v>
      </c>
      <c r="Z1125" s="9"/>
    </row>
    <row r="1126" ht="22.5" customHeight="1">
      <c r="A1126" s="49"/>
      <c r="C1126" s="384"/>
      <c r="D1126" s="93"/>
      <c r="F1126" s="74"/>
      <c r="H1126" s="74"/>
      <c r="I1126" s="74"/>
      <c r="J1126" s="74"/>
      <c r="K1126" s="74" t="str">
        <f>if(F1126="SERVICE",O1126-(O1126*50%),Vlookup(F1126,DATABASE!C:Q,10,false)*G1126)</f>
        <v>#N/A</v>
      </c>
      <c r="L1126" s="74" t="str">
        <f>VLOOKUP(F1126,DATABASE!C:Q,7,FALSE)</f>
        <v>#N/A</v>
      </c>
      <c r="M1126" s="74"/>
      <c r="N1126" s="74">
        <f t="shared" si="11"/>
        <v>0</v>
      </c>
      <c r="O1126" s="74">
        <f t="shared" si="13"/>
        <v>0</v>
      </c>
      <c r="P1126" s="63">
        <f t="shared" si="14"/>
        <v>0</v>
      </c>
      <c r="Q1126" s="63" t="str">
        <f t="shared" si="15"/>
        <v>#N/A</v>
      </c>
      <c r="R1126" s="93" t="str">
        <f>VLOOKUP(F1126,DATABASE!C:Q,4,false)</f>
        <v>#N/A</v>
      </c>
      <c r="S1126" s="93" t="str">
        <f>VLOOKUP(F1126,DATABASE!C:P,11,false)</f>
        <v>#N/A</v>
      </c>
      <c r="T1126" s="93" t="str">
        <f>vlookup(F1126,DATABASE!C:Q,8,false)</f>
        <v>#N/A</v>
      </c>
      <c r="Z1126" s="9"/>
    </row>
    <row r="1127" ht="22.5" customHeight="1">
      <c r="A1127" s="49"/>
      <c r="C1127" s="384"/>
      <c r="D1127" s="93"/>
      <c r="F1127" s="74"/>
      <c r="H1127" s="74"/>
      <c r="I1127" s="74"/>
      <c r="J1127" s="74"/>
      <c r="K1127" s="74" t="str">
        <f>if(F1127="SERVICE",O1127-(O1127*50%),Vlookup(F1127,DATABASE!C:Q,10,false)*G1127)</f>
        <v>#N/A</v>
      </c>
      <c r="L1127" s="74" t="str">
        <f>VLOOKUP(F1127,DATABASE!C:Q,7,FALSE)</f>
        <v>#N/A</v>
      </c>
      <c r="M1127" s="74"/>
      <c r="N1127" s="74">
        <f t="shared" si="11"/>
        <v>0</v>
      </c>
      <c r="O1127" s="74">
        <f t="shared" si="13"/>
        <v>0</v>
      </c>
      <c r="P1127" s="63">
        <f t="shared" si="14"/>
        <v>0</v>
      </c>
      <c r="Q1127" s="63" t="str">
        <f t="shared" si="15"/>
        <v>#N/A</v>
      </c>
      <c r="R1127" s="93" t="str">
        <f>VLOOKUP(F1127,DATABASE!C:Q,4,false)</f>
        <v>#N/A</v>
      </c>
      <c r="S1127" s="93" t="str">
        <f>VLOOKUP(F1127,DATABASE!C:P,11,false)</f>
        <v>#N/A</v>
      </c>
      <c r="T1127" s="93" t="str">
        <f>vlookup(F1127,DATABASE!C:Q,8,false)</f>
        <v>#N/A</v>
      </c>
      <c r="Z1127" s="9"/>
    </row>
    <row r="1128" ht="22.5" customHeight="1">
      <c r="A1128" s="49"/>
      <c r="C1128" s="384"/>
      <c r="D1128" s="93"/>
      <c r="F1128" s="74"/>
      <c r="H1128" s="74"/>
      <c r="I1128" s="74"/>
      <c r="J1128" s="74"/>
      <c r="K1128" s="74" t="str">
        <f>if(F1128="SERVICE",O1128-(O1128*50%),Vlookup(F1128,DATABASE!C:Q,10,false)*G1128)</f>
        <v>#N/A</v>
      </c>
      <c r="L1128" s="74" t="str">
        <f>VLOOKUP(F1128,DATABASE!C:Q,7,FALSE)</f>
        <v>#N/A</v>
      </c>
      <c r="M1128" s="74"/>
      <c r="N1128" s="74">
        <f t="shared" si="11"/>
        <v>0</v>
      </c>
      <c r="O1128" s="74">
        <f t="shared" si="13"/>
        <v>0</v>
      </c>
      <c r="P1128" s="63">
        <f t="shared" si="14"/>
        <v>0</v>
      </c>
      <c r="Q1128" s="63" t="str">
        <f t="shared" si="15"/>
        <v>#N/A</v>
      </c>
      <c r="R1128" s="93" t="str">
        <f>VLOOKUP(F1128,DATABASE!C:Q,4,false)</f>
        <v>#N/A</v>
      </c>
      <c r="S1128" s="93" t="str">
        <f>VLOOKUP(F1128,DATABASE!C:P,11,false)</f>
        <v>#N/A</v>
      </c>
      <c r="T1128" s="93" t="str">
        <f>vlookup(F1128,DATABASE!C:Q,8,false)</f>
        <v>#N/A</v>
      </c>
      <c r="Z1128" s="9"/>
    </row>
    <row r="1129" ht="22.5" customHeight="1">
      <c r="A1129" s="49"/>
      <c r="C1129" s="384"/>
      <c r="D1129" s="93"/>
      <c r="F1129" s="74"/>
      <c r="H1129" s="74"/>
      <c r="I1129" s="74"/>
      <c r="J1129" s="74"/>
      <c r="K1129" s="74" t="str">
        <f>if(F1129="SERVICE",O1129-(O1129*50%),Vlookup(F1129,DATABASE!C:Q,10,false)*G1129)</f>
        <v>#N/A</v>
      </c>
      <c r="L1129" s="74" t="str">
        <f>VLOOKUP(F1129,DATABASE!C:Q,7,FALSE)</f>
        <v>#N/A</v>
      </c>
      <c r="M1129" s="74"/>
      <c r="N1129" s="74">
        <f t="shared" si="11"/>
        <v>0</v>
      </c>
      <c r="O1129" s="74">
        <f t="shared" si="13"/>
        <v>0</v>
      </c>
      <c r="P1129" s="63">
        <f t="shared" si="14"/>
        <v>0</v>
      </c>
      <c r="Q1129" s="63" t="str">
        <f t="shared" si="15"/>
        <v>#N/A</v>
      </c>
      <c r="R1129" s="93" t="str">
        <f>VLOOKUP(F1129,DATABASE!C:Q,4,false)</f>
        <v>#N/A</v>
      </c>
      <c r="S1129" s="93" t="str">
        <f>VLOOKUP(F1129,DATABASE!C:P,11,false)</f>
        <v>#N/A</v>
      </c>
      <c r="T1129" s="93" t="str">
        <f>vlookup(F1129,DATABASE!C:Q,8,false)</f>
        <v>#N/A</v>
      </c>
      <c r="Z1129" s="9"/>
    </row>
    <row r="1130" ht="22.5" customHeight="1">
      <c r="A1130" s="49"/>
      <c r="C1130" s="384"/>
      <c r="D1130" s="93"/>
      <c r="F1130" s="74"/>
      <c r="H1130" s="74"/>
      <c r="I1130" s="74"/>
      <c r="J1130" s="74"/>
      <c r="K1130" s="74" t="str">
        <f>if(F1130="SERVICE",O1130-(O1130*50%),Vlookup(F1130,DATABASE!C:Q,10,false)*G1130)</f>
        <v>#N/A</v>
      </c>
      <c r="L1130" s="74" t="str">
        <f>VLOOKUP(F1130,DATABASE!C:Q,7,FALSE)</f>
        <v>#N/A</v>
      </c>
      <c r="M1130" s="74"/>
      <c r="N1130" s="74">
        <f t="shared" si="11"/>
        <v>0</v>
      </c>
      <c r="O1130" s="74">
        <f t="shared" si="13"/>
        <v>0</v>
      </c>
      <c r="P1130" s="63">
        <f t="shared" si="14"/>
        <v>0</v>
      </c>
      <c r="Q1130" s="63" t="str">
        <f t="shared" si="15"/>
        <v>#N/A</v>
      </c>
      <c r="R1130" s="93" t="str">
        <f>VLOOKUP(F1130,DATABASE!C:Q,4,false)</f>
        <v>#N/A</v>
      </c>
      <c r="S1130" s="93" t="str">
        <f>VLOOKUP(F1130,DATABASE!C:P,11,false)</f>
        <v>#N/A</v>
      </c>
      <c r="T1130" s="93" t="str">
        <f>vlookup(F1130,DATABASE!C:Q,8,false)</f>
        <v>#N/A</v>
      </c>
      <c r="Z1130" s="9"/>
    </row>
    <row r="1131" ht="22.5" customHeight="1">
      <c r="A1131" s="49"/>
      <c r="C1131" s="384"/>
      <c r="D1131" s="93"/>
      <c r="F1131" s="74"/>
      <c r="H1131" s="74"/>
      <c r="I1131" s="74"/>
      <c r="J1131" s="74"/>
      <c r="K1131" s="74" t="str">
        <f>if(F1131="SERVICE",O1131-(O1131*50%),Vlookup(F1131,DATABASE!C:Q,10,false)*G1131)</f>
        <v>#N/A</v>
      </c>
      <c r="L1131" s="74" t="str">
        <f>VLOOKUP(F1131,DATABASE!C:Q,7,FALSE)</f>
        <v>#N/A</v>
      </c>
      <c r="M1131" s="74"/>
      <c r="N1131" s="74">
        <f t="shared" si="11"/>
        <v>0</v>
      </c>
      <c r="O1131" s="74">
        <f t="shared" si="13"/>
        <v>0</v>
      </c>
      <c r="P1131" s="63">
        <f t="shared" si="14"/>
        <v>0</v>
      </c>
      <c r="Q1131" s="63" t="str">
        <f t="shared" si="15"/>
        <v>#N/A</v>
      </c>
      <c r="R1131" s="93" t="str">
        <f>VLOOKUP(F1131,DATABASE!C:Q,4,false)</f>
        <v>#N/A</v>
      </c>
      <c r="S1131" s="93" t="str">
        <f>VLOOKUP(F1131,DATABASE!C:P,11,false)</f>
        <v>#N/A</v>
      </c>
      <c r="T1131" s="93" t="str">
        <f>vlookup(F1131,DATABASE!C:Q,8,false)</f>
        <v>#N/A</v>
      </c>
      <c r="Z1131" s="9"/>
    </row>
    <row r="1132" ht="22.5" customHeight="1">
      <c r="A1132" s="49"/>
      <c r="C1132" s="384"/>
      <c r="D1132" s="93"/>
      <c r="F1132" s="74"/>
      <c r="H1132" s="74"/>
      <c r="I1132" s="74"/>
      <c r="J1132" s="74"/>
      <c r="K1132" s="74" t="str">
        <f>if(F1132="SERVICE",O1132-(O1132*50%),Vlookup(F1132,DATABASE!C:Q,10,false)*G1132)</f>
        <v>#N/A</v>
      </c>
      <c r="L1132" s="74" t="str">
        <f>VLOOKUP(F1132,DATABASE!C:Q,7,FALSE)</f>
        <v>#N/A</v>
      </c>
      <c r="M1132" s="74"/>
      <c r="N1132" s="74">
        <f t="shared" si="11"/>
        <v>0</v>
      </c>
      <c r="O1132" s="74">
        <f t="shared" si="13"/>
        <v>0</v>
      </c>
      <c r="P1132" s="63">
        <f t="shared" si="14"/>
        <v>0</v>
      </c>
      <c r="Q1132" s="63" t="str">
        <f t="shared" si="15"/>
        <v>#N/A</v>
      </c>
      <c r="R1132" s="93" t="str">
        <f>VLOOKUP(F1132,DATABASE!C:Q,4,false)</f>
        <v>#N/A</v>
      </c>
      <c r="S1132" s="93" t="str">
        <f>VLOOKUP(F1132,DATABASE!C:P,11,false)</f>
        <v>#N/A</v>
      </c>
      <c r="T1132" s="93" t="str">
        <f>vlookup(F1132,DATABASE!C:Q,8,false)</f>
        <v>#N/A</v>
      </c>
      <c r="Z1132" s="9"/>
    </row>
    <row r="1133" ht="22.5" customHeight="1">
      <c r="A1133" s="49"/>
      <c r="C1133" s="384"/>
      <c r="D1133" s="93"/>
      <c r="F1133" s="74"/>
      <c r="H1133" s="74"/>
      <c r="I1133" s="74"/>
      <c r="J1133" s="74"/>
      <c r="K1133" s="74" t="str">
        <f>if(F1133="SERVICE",O1133-(O1133*50%),Vlookup(F1133,DATABASE!C:Q,10,false)*G1133)</f>
        <v>#N/A</v>
      </c>
      <c r="L1133" s="74" t="str">
        <f>VLOOKUP(F1133,DATABASE!C:Q,7,FALSE)</f>
        <v>#N/A</v>
      </c>
      <c r="M1133" s="74"/>
      <c r="N1133" s="74">
        <f t="shared" si="11"/>
        <v>0</v>
      </c>
      <c r="O1133" s="74">
        <f t="shared" si="13"/>
        <v>0</v>
      </c>
      <c r="P1133" s="63">
        <f t="shared" si="14"/>
        <v>0</v>
      </c>
      <c r="Q1133" s="63" t="str">
        <f t="shared" si="15"/>
        <v>#N/A</v>
      </c>
      <c r="R1133" s="93" t="str">
        <f>VLOOKUP(F1133,DATABASE!C:Q,4,false)</f>
        <v>#N/A</v>
      </c>
      <c r="S1133" s="93" t="str">
        <f>VLOOKUP(F1133,DATABASE!C:P,11,false)</f>
        <v>#N/A</v>
      </c>
      <c r="T1133" s="93" t="str">
        <f>vlookup(F1133,DATABASE!C:Q,8,false)</f>
        <v>#N/A</v>
      </c>
      <c r="Z1133" s="9"/>
    </row>
    <row r="1134" ht="22.5" customHeight="1">
      <c r="A1134" s="49"/>
      <c r="C1134" s="384"/>
      <c r="D1134" s="93"/>
      <c r="F1134" s="74"/>
      <c r="H1134" s="74"/>
      <c r="I1134" s="74"/>
      <c r="J1134" s="74"/>
      <c r="K1134" s="74" t="str">
        <f>if(F1134="SERVICE",O1134-(O1134*50%),Vlookup(F1134,DATABASE!C:Q,10,false)*G1134)</f>
        <v>#N/A</v>
      </c>
      <c r="L1134" s="74" t="str">
        <f>VLOOKUP(F1134,DATABASE!C:Q,7,FALSE)</f>
        <v>#N/A</v>
      </c>
      <c r="M1134" s="74"/>
      <c r="N1134" s="74">
        <f t="shared" si="11"/>
        <v>0</v>
      </c>
      <c r="O1134" s="74">
        <f t="shared" si="13"/>
        <v>0</v>
      </c>
      <c r="P1134" s="63">
        <f t="shared" si="14"/>
        <v>0</v>
      </c>
      <c r="Q1134" s="63" t="str">
        <f t="shared" si="15"/>
        <v>#N/A</v>
      </c>
      <c r="R1134" s="93" t="str">
        <f>VLOOKUP(F1134,DATABASE!C:Q,4,false)</f>
        <v>#N/A</v>
      </c>
      <c r="S1134" s="93" t="str">
        <f>VLOOKUP(F1134,DATABASE!C:P,11,false)</f>
        <v>#N/A</v>
      </c>
      <c r="T1134" s="93" t="str">
        <f>vlookup(F1134,DATABASE!C:Q,8,false)</f>
        <v>#N/A</v>
      </c>
      <c r="Z1134" s="9"/>
    </row>
    <row r="1135" ht="22.5" customHeight="1">
      <c r="A1135" s="49"/>
      <c r="C1135" s="384"/>
      <c r="D1135" s="93"/>
      <c r="F1135" s="74"/>
      <c r="H1135" s="74"/>
      <c r="I1135" s="74"/>
      <c r="J1135" s="74"/>
      <c r="K1135" s="74" t="str">
        <f>if(F1135="SERVICE",O1135-(O1135*50%),Vlookup(F1135,DATABASE!C:Q,10,false)*G1135)</f>
        <v>#N/A</v>
      </c>
      <c r="L1135" s="74" t="str">
        <f>VLOOKUP(F1135,DATABASE!C:Q,7,FALSE)</f>
        <v>#N/A</v>
      </c>
      <c r="M1135" s="74"/>
      <c r="N1135" s="74">
        <f t="shared" si="11"/>
        <v>0</v>
      </c>
      <c r="O1135" s="74">
        <f t="shared" si="13"/>
        <v>0</v>
      </c>
      <c r="P1135" s="63">
        <f t="shared" si="14"/>
        <v>0</v>
      </c>
      <c r="Q1135" s="63" t="str">
        <f t="shared" si="15"/>
        <v>#N/A</v>
      </c>
      <c r="R1135" s="93" t="str">
        <f>VLOOKUP(F1135,DATABASE!C:Q,4,false)</f>
        <v>#N/A</v>
      </c>
      <c r="S1135" s="93" t="str">
        <f>VLOOKUP(F1135,DATABASE!C:P,11,false)</f>
        <v>#N/A</v>
      </c>
      <c r="T1135" s="93" t="str">
        <f>vlookup(F1135,DATABASE!C:Q,8,false)</f>
        <v>#N/A</v>
      </c>
      <c r="Z1135" s="9"/>
    </row>
    <row r="1136" ht="22.5" customHeight="1">
      <c r="A1136" s="49"/>
      <c r="C1136" s="384"/>
      <c r="D1136" s="93"/>
      <c r="F1136" s="74"/>
      <c r="H1136" s="74"/>
      <c r="I1136" s="74"/>
      <c r="J1136" s="74"/>
      <c r="K1136" s="74" t="str">
        <f>if(F1136="SERVICE",O1136-(O1136*50%),Vlookup(F1136,DATABASE!C:Q,10,false)*G1136)</f>
        <v>#N/A</v>
      </c>
      <c r="L1136" s="74" t="str">
        <f>VLOOKUP(F1136,DATABASE!C:Q,7,FALSE)</f>
        <v>#N/A</v>
      </c>
      <c r="M1136" s="74"/>
      <c r="N1136" s="74">
        <f t="shared" si="11"/>
        <v>0</v>
      </c>
      <c r="O1136" s="74">
        <f t="shared" si="13"/>
        <v>0</v>
      </c>
      <c r="P1136" s="63">
        <f t="shared" si="14"/>
        <v>0</v>
      </c>
      <c r="Q1136" s="63" t="str">
        <f t="shared" si="15"/>
        <v>#N/A</v>
      </c>
      <c r="R1136" s="93" t="str">
        <f>VLOOKUP(F1136,DATABASE!C:Q,4,false)</f>
        <v>#N/A</v>
      </c>
      <c r="S1136" s="93" t="str">
        <f>VLOOKUP(F1136,DATABASE!C:P,11,false)</f>
        <v>#N/A</v>
      </c>
      <c r="T1136" s="93" t="str">
        <f>vlookup(F1136,DATABASE!C:Q,8,false)</f>
        <v>#N/A</v>
      </c>
      <c r="Z1136" s="9"/>
    </row>
    <row r="1137" ht="22.5" customHeight="1">
      <c r="A1137" s="49"/>
      <c r="C1137" s="384"/>
      <c r="D1137" s="93"/>
      <c r="F1137" s="74"/>
      <c r="H1137" s="74"/>
      <c r="I1137" s="74"/>
      <c r="J1137" s="74"/>
      <c r="K1137" s="74" t="str">
        <f>if(F1137="SERVICE",O1137-(O1137*50%),Vlookup(F1137,DATABASE!C:Q,10,false)*G1137)</f>
        <v>#N/A</v>
      </c>
      <c r="L1137" s="74" t="str">
        <f>VLOOKUP(F1137,DATABASE!C:Q,7,FALSE)</f>
        <v>#N/A</v>
      </c>
      <c r="M1137" s="74"/>
      <c r="N1137" s="74">
        <f t="shared" si="11"/>
        <v>0</v>
      </c>
      <c r="O1137" s="74">
        <f t="shared" si="13"/>
        <v>0</v>
      </c>
      <c r="P1137" s="63">
        <f t="shared" si="14"/>
        <v>0</v>
      </c>
      <c r="Q1137" s="63" t="str">
        <f t="shared" si="15"/>
        <v>#N/A</v>
      </c>
      <c r="R1137" s="93" t="str">
        <f>VLOOKUP(F1137,DATABASE!C:Q,4,false)</f>
        <v>#N/A</v>
      </c>
      <c r="S1137" s="93" t="str">
        <f>VLOOKUP(F1137,DATABASE!C:P,11,false)</f>
        <v>#N/A</v>
      </c>
      <c r="T1137" s="93" t="str">
        <f>vlookup(F1137,DATABASE!C:Q,8,false)</f>
        <v>#N/A</v>
      </c>
      <c r="Z1137" s="9"/>
    </row>
    <row r="1138" ht="22.5" customHeight="1">
      <c r="A1138" s="49"/>
      <c r="C1138" s="384"/>
      <c r="D1138" s="93"/>
      <c r="F1138" s="74"/>
      <c r="H1138" s="74"/>
      <c r="I1138" s="74"/>
      <c r="J1138" s="74"/>
      <c r="K1138" s="74" t="str">
        <f>if(F1138="SERVICE",O1138-(O1138*50%),Vlookup(F1138,DATABASE!C:Q,10,false)*G1138)</f>
        <v>#N/A</v>
      </c>
      <c r="L1138" s="74" t="str">
        <f>VLOOKUP(F1138,DATABASE!C:Q,7,FALSE)</f>
        <v>#N/A</v>
      </c>
      <c r="M1138" s="74"/>
      <c r="N1138" s="74">
        <f t="shared" si="11"/>
        <v>0</v>
      </c>
      <c r="O1138" s="74">
        <f t="shared" si="13"/>
        <v>0</v>
      </c>
      <c r="P1138" s="63">
        <f t="shared" si="14"/>
        <v>0</v>
      </c>
      <c r="Q1138" s="63" t="str">
        <f t="shared" si="15"/>
        <v>#N/A</v>
      </c>
      <c r="R1138" s="93" t="str">
        <f>VLOOKUP(F1138,DATABASE!C:Q,4,false)</f>
        <v>#N/A</v>
      </c>
      <c r="S1138" s="93" t="str">
        <f>VLOOKUP(F1138,DATABASE!C:P,11,false)</f>
        <v>#N/A</v>
      </c>
      <c r="T1138" s="93" t="str">
        <f>vlookup(F1138,DATABASE!C:Q,8,false)</f>
        <v>#N/A</v>
      </c>
      <c r="Z1138" s="9"/>
    </row>
    <row r="1139" ht="22.5" customHeight="1">
      <c r="A1139" s="49"/>
      <c r="C1139" s="384"/>
      <c r="D1139" s="93"/>
      <c r="F1139" s="74"/>
      <c r="H1139" s="74"/>
      <c r="I1139" s="74"/>
      <c r="J1139" s="74"/>
      <c r="K1139" s="74" t="str">
        <f>if(F1139="SERVICE",O1139-(O1139*50%),Vlookup(F1139,DATABASE!C:Q,10,false)*G1139)</f>
        <v>#N/A</v>
      </c>
      <c r="L1139" s="74" t="str">
        <f>VLOOKUP(F1139,DATABASE!C:Q,7,FALSE)</f>
        <v>#N/A</v>
      </c>
      <c r="M1139" s="74"/>
      <c r="N1139" s="74">
        <f t="shared" si="11"/>
        <v>0</v>
      </c>
      <c r="O1139" s="74">
        <f t="shared" si="13"/>
        <v>0</v>
      </c>
      <c r="P1139" s="63">
        <f t="shared" si="14"/>
        <v>0</v>
      </c>
      <c r="Q1139" s="63" t="str">
        <f t="shared" si="15"/>
        <v>#N/A</v>
      </c>
      <c r="R1139" s="93" t="str">
        <f>VLOOKUP(F1139,DATABASE!C:Q,4,false)</f>
        <v>#N/A</v>
      </c>
      <c r="S1139" s="93" t="str">
        <f>VLOOKUP(F1139,DATABASE!C:P,11,false)</f>
        <v>#N/A</v>
      </c>
      <c r="T1139" s="93" t="str">
        <f>vlookup(F1139,DATABASE!C:Q,8,false)</f>
        <v>#N/A</v>
      </c>
      <c r="Z1139" s="9"/>
    </row>
    <row r="1140" ht="22.5" customHeight="1">
      <c r="A1140" s="49"/>
      <c r="C1140" s="384"/>
      <c r="D1140" s="93"/>
      <c r="F1140" s="74"/>
      <c r="H1140" s="74"/>
      <c r="I1140" s="74"/>
      <c r="J1140" s="74"/>
      <c r="K1140" s="74" t="str">
        <f>if(F1140="SERVICE",O1140-(O1140*50%),Vlookup(F1140,DATABASE!C:Q,10,false)*G1140)</f>
        <v>#N/A</v>
      </c>
      <c r="L1140" s="74" t="str">
        <f>VLOOKUP(F1140,DATABASE!C:Q,7,FALSE)</f>
        <v>#N/A</v>
      </c>
      <c r="M1140" s="74"/>
      <c r="N1140" s="74">
        <f t="shared" si="11"/>
        <v>0</v>
      </c>
      <c r="O1140" s="74">
        <f t="shared" si="13"/>
        <v>0</v>
      </c>
      <c r="P1140" s="63">
        <f t="shared" si="14"/>
        <v>0</v>
      </c>
      <c r="Q1140" s="63" t="str">
        <f t="shared" si="15"/>
        <v>#N/A</v>
      </c>
      <c r="R1140" s="93" t="str">
        <f>VLOOKUP(F1140,DATABASE!C:Q,4,false)</f>
        <v>#N/A</v>
      </c>
      <c r="S1140" s="93" t="str">
        <f>VLOOKUP(F1140,DATABASE!C:P,11,false)</f>
        <v>#N/A</v>
      </c>
      <c r="T1140" s="93" t="str">
        <f>vlookup(F1140,DATABASE!C:Q,8,false)</f>
        <v>#N/A</v>
      </c>
      <c r="Z1140" s="9"/>
    </row>
    <row r="1141" ht="22.5" customHeight="1">
      <c r="A1141" s="49"/>
      <c r="C1141" s="384"/>
      <c r="D1141" s="93"/>
      <c r="F1141" s="74"/>
      <c r="H1141" s="74"/>
      <c r="I1141" s="74"/>
      <c r="J1141" s="74"/>
      <c r="K1141" s="74" t="str">
        <f>if(F1141="SERVICE",O1141-(O1141*50%),Vlookup(F1141,DATABASE!C:Q,10,false)*G1141)</f>
        <v>#N/A</v>
      </c>
      <c r="L1141" s="74" t="str">
        <f>VLOOKUP(F1141,DATABASE!C:Q,7,FALSE)</f>
        <v>#N/A</v>
      </c>
      <c r="M1141" s="74"/>
      <c r="N1141" s="74">
        <f t="shared" si="11"/>
        <v>0</v>
      </c>
      <c r="O1141" s="74">
        <f t="shared" si="13"/>
        <v>0</v>
      </c>
      <c r="P1141" s="63">
        <f t="shared" si="14"/>
        <v>0</v>
      </c>
      <c r="Q1141" s="63" t="str">
        <f t="shared" si="15"/>
        <v>#N/A</v>
      </c>
      <c r="R1141" s="93" t="str">
        <f>VLOOKUP(F1141,DATABASE!C:Q,4,false)</f>
        <v>#N/A</v>
      </c>
      <c r="S1141" s="93" t="str">
        <f>VLOOKUP(F1141,DATABASE!C:P,11,false)</f>
        <v>#N/A</v>
      </c>
      <c r="T1141" s="93" t="str">
        <f>vlookup(F1141,DATABASE!C:Q,8,false)</f>
        <v>#N/A</v>
      </c>
      <c r="Z1141" s="9"/>
    </row>
    <row r="1142" ht="22.5" customHeight="1">
      <c r="A1142" s="49"/>
      <c r="C1142" s="384"/>
      <c r="D1142" s="93"/>
      <c r="F1142" s="74"/>
      <c r="H1142" s="74"/>
      <c r="I1142" s="74"/>
      <c r="J1142" s="74"/>
      <c r="K1142" s="74" t="str">
        <f>if(F1142="SERVICE",O1142-(O1142*50%),Vlookup(F1142,DATABASE!C:Q,10,false)*G1142)</f>
        <v>#N/A</v>
      </c>
      <c r="L1142" s="74" t="str">
        <f>VLOOKUP(F1142,DATABASE!C:Q,7,FALSE)</f>
        <v>#N/A</v>
      </c>
      <c r="M1142" s="74"/>
      <c r="N1142" s="74">
        <f t="shared" si="11"/>
        <v>0</v>
      </c>
      <c r="O1142" s="74">
        <f t="shared" si="13"/>
        <v>0</v>
      </c>
      <c r="P1142" s="63">
        <f t="shared" si="14"/>
        <v>0</v>
      </c>
      <c r="Q1142" s="63" t="str">
        <f t="shared" si="15"/>
        <v>#N/A</v>
      </c>
      <c r="R1142" s="93" t="str">
        <f>VLOOKUP(F1142,DATABASE!C:Q,4,false)</f>
        <v>#N/A</v>
      </c>
      <c r="S1142" s="93" t="str">
        <f>VLOOKUP(F1142,DATABASE!C:P,11,false)</f>
        <v>#N/A</v>
      </c>
      <c r="T1142" s="93" t="str">
        <f>vlookup(F1142,DATABASE!C:Q,8,false)</f>
        <v>#N/A</v>
      </c>
      <c r="Z1142" s="9"/>
    </row>
    <row r="1143" ht="22.5" customHeight="1">
      <c r="A1143" s="49"/>
      <c r="C1143" s="384"/>
      <c r="D1143" s="93"/>
      <c r="F1143" s="74"/>
      <c r="H1143" s="74"/>
      <c r="I1143" s="74"/>
      <c r="J1143" s="74"/>
      <c r="K1143" s="74" t="str">
        <f>if(F1143="SERVICE",O1143-(O1143*50%),Vlookup(F1143,DATABASE!C:Q,10,false)*G1143)</f>
        <v>#N/A</v>
      </c>
      <c r="L1143" s="74" t="str">
        <f>VLOOKUP(F1143,DATABASE!C:Q,7,FALSE)</f>
        <v>#N/A</v>
      </c>
      <c r="M1143" s="74"/>
      <c r="N1143" s="74">
        <f t="shared" si="11"/>
        <v>0</v>
      </c>
      <c r="O1143" s="74">
        <f t="shared" si="13"/>
        <v>0</v>
      </c>
      <c r="P1143" s="63">
        <f t="shared" si="14"/>
        <v>0</v>
      </c>
      <c r="Q1143" s="63" t="str">
        <f t="shared" si="15"/>
        <v>#N/A</v>
      </c>
      <c r="R1143" s="93" t="str">
        <f>VLOOKUP(F1143,DATABASE!C:Q,4,false)</f>
        <v>#N/A</v>
      </c>
      <c r="S1143" s="93" t="str">
        <f>VLOOKUP(F1143,DATABASE!C:P,11,false)</f>
        <v>#N/A</v>
      </c>
      <c r="T1143" s="93" t="str">
        <f>vlookup(F1143,DATABASE!C:Q,8,false)</f>
        <v>#N/A</v>
      </c>
      <c r="Z1143" s="9"/>
    </row>
    <row r="1144" ht="22.5" customHeight="1">
      <c r="A1144" s="49"/>
      <c r="C1144" s="384"/>
      <c r="D1144" s="93"/>
      <c r="F1144" s="74"/>
      <c r="H1144" s="74"/>
      <c r="I1144" s="74"/>
      <c r="J1144" s="74"/>
      <c r="K1144" s="74" t="str">
        <f>if(F1144="SERVICE",O1144-(O1144*50%),Vlookup(F1144,DATABASE!C:Q,10,false)*G1144)</f>
        <v>#N/A</v>
      </c>
      <c r="L1144" s="74" t="str">
        <f>VLOOKUP(F1144,DATABASE!C:Q,7,FALSE)</f>
        <v>#N/A</v>
      </c>
      <c r="M1144" s="74"/>
      <c r="N1144" s="74">
        <f t="shared" si="11"/>
        <v>0</v>
      </c>
      <c r="O1144" s="74">
        <f t="shared" si="13"/>
        <v>0</v>
      </c>
      <c r="P1144" s="63">
        <f t="shared" si="14"/>
        <v>0</v>
      </c>
      <c r="Q1144" s="63" t="str">
        <f t="shared" si="15"/>
        <v>#N/A</v>
      </c>
      <c r="R1144" s="93" t="str">
        <f>VLOOKUP(F1144,DATABASE!C:Q,4,false)</f>
        <v>#N/A</v>
      </c>
      <c r="S1144" s="93" t="str">
        <f>VLOOKUP(F1144,DATABASE!C:P,11,false)</f>
        <v>#N/A</v>
      </c>
      <c r="T1144" s="93" t="str">
        <f>vlookup(F1144,DATABASE!C:Q,8,false)</f>
        <v>#N/A</v>
      </c>
      <c r="Z1144" s="9"/>
    </row>
    <row r="1145" ht="22.5" customHeight="1">
      <c r="A1145" s="49"/>
      <c r="C1145" s="384"/>
      <c r="D1145" s="93"/>
      <c r="F1145" s="74"/>
      <c r="H1145" s="74"/>
      <c r="I1145" s="74"/>
      <c r="J1145" s="74"/>
      <c r="K1145" s="74" t="str">
        <f>if(F1145="SERVICE",O1145-(O1145*50%),Vlookup(F1145,DATABASE!C:Q,10,false)*G1145)</f>
        <v>#N/A</v>
      </c>
      <c r="L1145" s="74" t="str">
        <f>VLOOKUP(F1145,DATABASE!C:Q,7,FALSE)</f>
        <v>#N/A</v>
      </c>
      <c r="M1145" s="74"/>
      <c r="N1145" s="74">
        <f t="shared" si="11"/>
        <v>0</v>
      </c>
      <c r="O1145" s="74">
        <f t="shared" si="13"/>
        <v>0</v>
      </c>
      <c r="P1145" s="63">
        <f t="shared" si="14"/>
        <v>0</v>
      </c>
      <c r="Q1145" s="63" t="str">
        <f t="shared" si="15"/>
        <v>#N/A</v>
      </c>
      <c r="R1145" s="93" t="str">
        <f>VLOOKUP(F1145,DATABASE!C:Q,4,false)</f>
        <v>#N/A</v>
      </c>
      <c r="S1145" s="93" t="str">
        <f>VLOOKUP(F1145,DATABASE!C:P,11,false)</f>
        <v>#N/A</v>
      </c>
      <c r="T1145" s="93" t="str">
        <f>vlookup(F1145,DATABASE!C:Q,8,false)</f>
        <v>#N/A</v>
      </c>
      <c r="Z1145" s="9"/>
    </row>
    <row r="1146" ht="22.5" customHeight="1">
      <c r="A1146" s="49"/>
      <c r="C1146" s="384"/>
      <c r="D1146" s="93"/>
      <c r="F1146" s="74"/>
      <c r="H1146" s="74"/>
      <c r="I1146" s="74"/>
      <c r="J1146" s="74"/>
      <c r="K1146" s="74" t="str">
        <f>if(F1146="SERVICE",O1146-(O1146*50%),Vlookup(F1146,DATABASE!C:Q,10,false)*G1146)</f>
        <v>#N/A</v>
      </c>
      <c r="L1146" s="74" t="str">
        <f>VLOOKUP(F1146,DATABASE!C:Q,7,FALSE)</f>
        <v>#N/A</v>
      </c>
      <c r="M1146" s="74"/>
      <c r="N1146" s="74">
        <f t="shared" si="11"/>
        <v>0</v>
      </c>
      <c r="O1146" s="74">
        <f t="shared" si="13"/>
        <v>0</v>
      </c>
      <c r="P1146" s="63">
        <f t="shared" si="14"/>
        <v>0</v>
      </c>
      <c r="Q1146" s="63" t="str">
        <f t="shared" si="15"/>
        <v>#N/A</v>
      </c>
      <c r="R1146" s="93" t="str">
        <f>VLOOKUP(F1146,DATABASE!C:Q,4,false)</f>
        <v>#N/A</v>
      </c>
      <c r="S1146" s="93" t="str">
        <f>VLOOKUP(F1146,DATABASE!C:P,11,false)</f>
        <v>#N/A</v>
      </c>
      <c r="T1146" s="93" t="str">
        <f>vlookup(F1146,DATABASE!C:Q,8,false)</f>
        <v>#N/A</v>
      </c>
      <c r="Z1146" s="9"/>
    </row>
    <row r="1147" ht="22.5" customHeight="1">
      <c r="A1147" s="49"/>
      <c r="C1147" s="384"/>
      <c r="D1147" s="93"/>
      <c r="F1147" s="74"/>
      <c r="H1147" s="74"/>
      <c r="I1147" s="74"/>
      <c r="J1147" s="74"/>
      <c r="K1147" s="74" t="str">
        <f>if(F1147="SERVICE",O1147-(O1147*50%),Vlookup(F1147,DATABASE!C:Q,10,false)*G1147)</f>
        <v>#N/A</v>
      </c>
      <c r="L1147" s="74" t="str">
        <f>VLOOKUP(F1147,DATABASE!C:Q,7,FALSE)</f>
        <v>#N/A</v>
      </c>
      <c r="M1147" s="74"/>
      <c r="N1147" s="74">
        <f t="shared" si="11"/>
        <v>0</v>
      </c>
      <c r="O1147" s="74">
        <f t="shared" si="13"/>
        <v>0</v>
      </c>
      <c r="P1147" s="63">
        <f t="shared" si="14"/>
        <v>0</v>
      </c>
      <c r="Q1147" s="63" t="str">
        <f t="shared" si="15"/>
        <v>#N/A</v>
      </c>
      <c r="R1147" s="93" t="str">
        <f>VLOOKUP(F1147,DATABASE!C:Q,4,false)</f>
        <v>#N/A</v>
      </c>
      <c r="S1147" s="93" t="str">
        <f>VLOOKUP(F1147,DATABASE!C:P,11,false)</f>
        <v>#N/A</v>
      </c>
      <c r="T1147" s="93" t="str">
        <f>vlookup(F1147,DATABASE!C:Q,8,false)</f>
        <v>#N/A</v>
      </c>
      <c r="Z1147" s="9"/>
    </row>
    <row r="1148" ht="22.5" customHeight="1">
      <c r="A1148" s="49"/>
      <c r="C1148" s="384"/>
      <c r="D1148" s="93"/>
      <c r="F1148" s="74"/>
      <c r="H1148" s="74"/>
      <c r="I1148" s="74"/>
      <c r="J1148" s="74"/>
      <c r="K1148" s="74" t="str">
        <f>if(F1148="SERVICE",O1148-(O1148*50%),Vlookup(F1148,DATABASE!C:Q,10,false)*G1148)</f>
        <v>#N/A</v>
      </c>
      <c r="L1148" s="74" t="str">
        <f>VLOOKUP(F1148,DATABASE!C:Q,7,FALSE)</f>
        <v>#N/A</v>
      </c>
      <c r="M1148" s="74"/>
      <c r="N1148" s="74">
        <f t="shared" si="11"/>
        <v>0</v>
      </c>
      <c r="O1148" s="74">
        <f t="shared" si="13"/>
        <v>0</v>
      </c>
      <c r="P1148" s="63">
        <f t="shared" si="14"/>
        <v>0</v>
      </c>
      <c r="Q1148" s="63" t="str">
        <f t="shared" si="15"/>
        <v>#N/A</v>
      </c>
      <c r="R1148" s="93" t="str">
        <f>VLOOKUP(F1148,DATABASE!C:Q,4,false)</f>
        <v>#N/A</v>
      </c>
      <c r="S1148" s="93" t="str">
        <f>VLOOKUP(F1148,DATABASE!C:P,11,false)</f>
        <v>#N/A</v>
      </c>
      <c r="T1148" s="93" t="str">
        <f>vlookup(F1148,DATABASE!C:Q,8,false)</f>
        <v>#N/A</v>
      </c>
      <c r="Z1148" s="9"/>
    </row>
    <row r="1149" ht="22.5" customHeight="1">
      <c r="A1149" s="49"/>
      <c r="C1149" s="384"/>
      <c r="D1149" s="93"/>
      <c r="F1149" s="74"/>
      <c r="H1149" s="74"/>
      <c r="I1149" s="74"/>
      <c r="J1149" s="74"/>
      <c r="K1149" s="74" t="str">
        <f>if(F1149="SERVICE",O1149-(O1149*50%),Vlookup(F1149,DATABASE!C:Q,10,false)*G1149)</f>
        <v>#N/A</v>
      </c>
      <c r="L1149" s="74" t="str">
        <f>VLOOKUP(F1149,DATABASE!C:Q,7,FALSE)</f>
        <v>#N/A</v>
      </c>
      <c r="M1149" s="74"/>
      <c r="N1149" s="74">
        <f t="shared" si="11"/>
        <v>0</v>
      </c>
      <c r="O1149" s="74">
        <f t="shared" si="13"/>
        <v>0</v>
      </c>
      <c r="P1149" s="63">
        <f t="shared" si="14"/>
        <v>0</v>
      </c>
      <c r="Q1149" s="63" t="str">
        <f t="shared" si="15"/>
        <v>#N/A</v>
      </c>
      <c r="R1149" s="93" t="str">
        <f>VLOOKUP(F1149,DATABASE!C:Q,4,false)</f>
        <v>#N/A</v>
      </c>
      <c r="S1149" s="93" t="str">
        <f>VLOOKUP(F1149,DATABASE!C:P,11,false)</f>
        <v>#N/A</v>
      </c>
      <c r="T1149" s="93" t="str">
        <f>vlookup(F1149,DATABASE!C:Q,8,false)</f>
        <v>#N/A</v>
      </c>
      <c r="Z1149" s="9"/>
    </row>
    <row r="1150" ht="22.5" customHeight="1">
      <c r="A1150" s="49"/>
      <c r="C1150" s="384"/>
      <c r="D1150" s="93"/>
      <c r="F1150" s="74"/>
      <c r="H1150" s="74"/>
      <c r="I1150" s="74"/>
      <c r="J1150" s="74"/>
      <c r="K1150" s="74" t="str">
        <f>if(F1150="SERVICE",O1150-(O1150*50%),Vlookup(F1150,DATABASE!C:Q,10,false)*G1150)</f>
        <v>#N/A</v>
      </c>
      <c r="L1150" s="74" t="str">
        <f>VLOOKUP(F1150,DATABASE!C:Q,7,FALSE)</f>
        <v>#N/A</v>
      </c>
      <c r="M1150" s="74"/>
      <c r="N1150" s="74">
        <f t="shared" si="11"/>
        <v>0</v>
      </c>
      <c r="O1150" s="74">
        <f t="shared" si="13"/>
        <v>0</v>
      </c>
      <c r="P1150" s="63">
        <f t="shared" si="14"/>
        <v>0</v>
      </c>
      <c r="Q1150" s="63" t="str">
        <f t="shared" si="15"/>
        <v>#N/A</v>
      </c>
      <c r="R1150" s="93" t="str">
        <f>VLOOKUP(F1150,DATABASE!C:Q,4,false)</f>
        <v>#N/A</v>
      </c>
      <c r="S1150" s="93" t="str">
        <f>VLOOKUP(F1150,DATABASE!C:P,11,false)</f>
        <v>#N/A</v>
      </c>
      <c r="T1150" s="93" t="str">
        <f>vlookup(F1150,DATABASE!C:Q,8,false)</f>
        <v>#N/A</v>
      </c>
      <c r="Z1150" s="9"/>
    </row>
    <row r="1151" ht="22.5" customHeight="1">
      <c r="A1151" s="49"/>
      <c r="C1151" s="384"/>
      <c r="D1151" s="93"/>
      <c r="F1151" s="74"/>
      <c r="H1151" s="74"/>
      <c r="I1151" s="74"/>
      <c r="J1151" s="74"/>
      <c r="K1151" s="74" t="str">
        <f>if(F1151="SERVICE",O1151-(O1151*50%),Vlookup(F1151,DATABASE!C:Q,10,false)*G1151)</f>
        <v>#N/A</v>
      </c>
      <c r="L1151" s="74" t="str">
        <f>VLOOKUP(F1151,DATABASE!C:Q,7,FALSE)</f>
        <v>#N/A</v>
      </c>
      <c r="M1151" s="74"/>
      <c r="N1151" s="74">
        <f t="shared" si="11"/>
        <v>0</v>
      </c>
      <c r="O1151" s="74">
        <f t="shared" si="13"/>
        <v>0</v>
      </c>
      <c r="P1151" s="63">
        <f t="shared" si="14"/>
        <v>0</v>
      </c>
      <c r="Q1151" s="63" t="str">
        <f t="shared" si="15"/>
        <v>#N/A</v>
      </c>
      <c r="R1151" s="93" t="str">
        <f>VLOOKUP(F1151,DATABASE!C:Q,4,false)</f>
        <v>#N/A</v>
      </c>
      <c r="S1151" s="93" t="str">
        <f>VLOOKUP(F1151,DATABASE!C:P,11,false)</f>
        <v>#N/A</v>
      </c>
      <c r="T1151" s="93" t="str">
        <f>vlookup(F1151,DATABASE!C:Q,8,false)</f>
        <v>#N/A</v>
      </c>
      <c r="Z1151" s="9"/>
    </row>
    <row r="1152" ht="22.5" customHeight="1">
      <c r="A1152" s="49"/>
      <c r="C1152" s="384"/>
      <c r="D1152" s="93"/>
      <c r="F1152" s="74"/>
      <c r="H1152" s="74"/>
      <c r="I1152" s="74"/>
      <c r="J1152" s="74"/>
      <c r="K1152" s="74" t="str">
        <f>if(F1152="SERVICE",O1152-(O1152*50%),Vlookup(F1152,DATABASE!C:Q,10,false)*G1152)</f>
        <v>#N/A</v>
      </c>
      <c r="L1152" s="74" t="str">
        <f>VLOOKUP(F1152,DATABASE!C:Q,7,FALSE)</f>
        <v>#N/A</v>
      </c>
      <c r="M1152" s="74"/>
      <c r="N1152" s="74">
        <f t="shared" si="11"/>
        <v>0</v>
      </c>
      <c r="O1152" s="74">
        <f t="shared" si="13"/>
        <v>0</v>
      </c>
      <c r="P1152" s="63">
        <f t="shared" si="14"/>
        <v>0</v>
      </c>
      <c r="Q1152" s="63" t="str">
        <f t="shared" si="15"/>
        <v>#N/A</v>
      </c>
      <c r="R1152" s="93" t="str">
        <f>VLOOKUP(F1152,DATABASE!C:Q,4,false)</f>
        <v>#N/A</v>
      </c>
      <c r="S1152" s="93" t="str">
        <f>VLOOKUP(F1152,DATABASE!C:P,11,false)</f>
        <v>#N/A</v>
      </c>
      <c r="T1152" s="93" t="str">
        <f>vlookup(F1152,DATABASE!C:Q,8,false)</f>
        <v>#N/A</v>
      </c>
      <c r="Z1152" s="9"/>
    </row>
    <row r="1153" ht="22.5" customHeight="1">
      <c r="A1153" s="49"/>
      <c r="C1153" s="384"/>
      <c r="D1153" s="93"/>
      <c r="F1153" s="74"/>
      <c r="H1153" s="74"/>
      <c r="I1153" s="74"/>
      <c r="J1153" s="74"/>
      <c r="K1153" s="74" t="str">
        <f>if(F1153="SERVICE",O1153-(O1153*50%),Vlookup(F1153,DATABASE!C:Q,10,false)*G1153)</f>
        <v>#N/A</v>
      </c>
      <c r="L1153" s="74" t="str">
        <f>VLOOKUP(F1153,DATABASE!C:Q,7,FALSE)</f>
        <v>#N/A</v>
      </c>
      <c r="M1153" s="74"/>
      <c r="N1153" s="74">
        <f t="shared" si="11"/>
        <v>0</v>
      </c>
      <c r="O1153" s="74">
        <f t="shared" si="13"/>
        <v>0</v>
      </c>
      <c r="P1153" s="63">
        <f t="shared" si="14"/>
        <v>0</v>
      </c>
      <c r="Q1153" s="63" t="str">
        <f t="shared" si="15"/>
        <v>#N/A</v>
      </c>
      <c r="R1153" s="93" t="str">
        <f>VLOOKUP(F1153,DATABASE!C:Q,4,false)</f>
        <v>#N/A</v>
      </c>
      <c r="S1153" s="93" t="str">
        <f>VLOOKUP(F1153,DATABASE!C:P,11,false)</f>
        <v>#N/A</v>
      </c>
      <c r="T1153" s="93" t="str">
        <f>vlookup(F1153,DATABASE!C:Q,8,false)</f>
        <v>#N/A</v>
      </c>
      <c r="Z1153" s="9"/>
    </row>
    <row r="1154" ht="22.5" customHeight="1">
      <c r="A1154" s="49"/>
      <c r="C1154" s="384"/>
      <c r="D1154" s="93"/>
      <c r="F1154" s="74"/>
      <c r="H1154" s="74"/>
      <c r="I1154" s="74"/>
      <c r="J1154" s="74"/>
      <c r="K1154" s="74" t="str">
        <f>if(F1154="SERVICE",O1154-(O1154*50%),Vlookup(F1154,DATABASE!C:Q,10,false)*G1154)</f>
        <v>#N/A</v>
      </c>
      <c r="L1154" s="74" t="str">
        <f>VLOOKUP(F1154,DATABASE!C:Q,7,FALSE)</f>
        <v>#N/A</v>
      </c>
      <c r="M1154" s="74"/>
      <c r="N1154" s="74">
        <f t="shared" si="11"/>
        <v>0</v>
      </c>
      <c r="O1154" s="74">
        <f t="shared" si="13"/>
        <v>0</v>
      </c>
      <c r="P1154" s="63">
        <f t="shared" si="14"/>
        <v>0</v>
      </c>
      <c r="Q1154" s="63" t="str">
        <f t="shared" si="15"/>
        <v>#N/A</v>
      </c>
      <c r="R1154" s="93" t="str">
        <f>VLOOKUP(F1154,DATABASE!C:Q,4,false)</f>
        <v>#N/A</v>
      </c>
      <c r="S1154" s="93" t="str">
        <f>VLOOKUP(F1154,DATABASE!C:P,11,false)</f>
        <v>#N/A</v>
      </c>
      <c r="T1154" s="93" t="str">
        <f>vlookup(F1154,DATABASE!C:Q,8,false)</f>
        <v>#N/A</v>
      </c>
      <c r="Z1154" s="9"/>
    </row>
    <row r="1155" ht="22.5" customHeight="1">
      <c r="A1155" s="49"/>
      <c r="C1155" s="384"/>
      <c r="D1155" s="93"/>
      <c r="F1155" s="74"/>
      <c r="H1155" s="74"/>
      <c r="I1155" s="74"/>
      <c r="J1155" s="74"/>
      <c r="K1155" s="74" t="str">
        <f>if(F1155="SERVICE",O1155-(O1155*50%),Vlookup(F1155,DATABASE!C:Q,10,false)*G1155)</f>
        <v>#N/A</v>
      </c>
      <c r="L1155" s="74" t="str">
        <f>VLOOKUP(F1155,DATABASE!C:Q,7,FALSE)</f>
        <v>#N/A</v>
      </c>
      <c r="M1155" s="74"/>
      <c r="N1155" s="74">
        <f t="shared" si="11"/>
        <v>0</v>
      </c>
      <c r="O1155" s="74">
        <f t="shared" si="13"/>
        <v>0</v>
      </c>
      <c r="P1155" s="63">
        <f t="shared" si="14"/>
        <v>0</v>
      </c>
      <c r="Q1155" s="63" t="str">
        <f t="shared" si="15"/>
        <v>#N/A</v>
      </c>
      <c r="R1155" s="93" t="str">
        <f>VLOOKUP(F1155,DATABASE!C:Q,4,false)</f>
        <v>#N/A</v>
      </c>
      <c r="S1155" s="93" t="str">
        <f>VLOOKUP(F1155,DATABASE!C:P,11,false)</f>
        <v>#N/A</v>
      </c>
      <c r="T1155" s="93" t="str">
        <f>vlookup(F1155,DATABASE!C:Q,8,false)</f>
        <v>#N/A</v>
      </c>
      <c r="Z1155" s="9"/>
    </row>
    <row r="1156" ht="22.5" customHeight="1">
      <c r="A1156" s="49"/>
      <c r="C1156" s="384"/>
      <c r="D1156" s="93"/>
      <c r="F1156" s="74"/>
      <c r="H1156" s="74"/>
      <c r="I1156" s="74"/>
      <c r="J1156" s="74"/>
      <c r="K1156" s="74" t="str">
        <f>if(F1156="SERVICE",O1156-(O1156*50%),Vlookup(F1156,DATABASE!C:Q,10,false)*G1156)</f>
        <v>#N/A</v>
      </c>
      <c r="L1156" s="74" t="str">
        <f>VLOOKUP(F1156,DATABASE!C:Q,7,FALSE)</f>
        <v>#N/A</v>
      </c>
      <c r="M1156" s="74"/>
      <c r="N1156" s="74">
        <f t="shared" si="11"/>
        <v>0</v>
      </c>
      <c r="O1156" s="74">
        <f t="shared" si="13"/>
        <v>0</v>
      </c>
      <c r="P1156" s="63">
        <f t="shared" si="14"/>
        <v>0</v>
      </c>
      <c r="Q1156" s="63" t="str">
        <f t="shared" si="15"/>
        <v>#N/A</v>
      </c>
      <c r="R1156" s="93" t="str">
        <f>VLOOKUP(F1156,DATABASE!C:Q,4,false)</f>
        <v>#N/A</v>
      </c>
      <c r="S1156" s="93" t="str">
        <f>VLOOKUP(F1156,DATABASE!C:P,11,false)</f>
        <v>#N/A</v>
      </c>
      <c r="T1156" s="93" t="str">
        <f>vlookup(F1156,DATABASE!C:Q,8,false)</f>
        <v>#N/A</v>
      </c>
      <c r="Z1156" s="9"/>
    </row>
    <row r="1157" ht="22.5" customHeight="1">
      <c r="A1157" s="49"/>
      <c r="C1157" s="384"/>
      <c r="D1157" s="93"/>
      <c r="F1157" s="74"/>
      <c r="H1157" s="74"/>
      <c r="I1157" s="74"/>
      <c r="J1157" s="74"/>
      <c r="K1157" s="74" t="str">
        <f>if(F1157="SERVICE",O1157-(O1157*50%),Vlookup(F1157,DATABASE!C:Q,10,false)*G1157)</f>
        <v>#N/A</v>
      </c>
      <c r="L1157" s="74" t="str">
        <f>VLOOKUP(F1157,DATABASE!C:Q,7,FALSE)</f>
        <v>#N/A</v>
      </c>
      <c r="M1157" s="74"/>
      <c r="N1157" s="74">
        <f t="shared" si="11"/>
        <v>0</v>
      </c>
      <c r="O1157" s="74">
        <f t="shared" si="13"/>
        <v>0</v>
      </c>
      <c r="P1157" s="63">
        <f t="shared" si="14"/>
        <v>0</v>
      </c>
      <c r="Q1157" s="63" t="str">
        <f t="shared" si="15"/>
        <v>#N/A</v>
      </c>
      <c r="R1157" s="93" t="str">
        <f>VLOOKUP(F1157,DATABASE!C:Q,4,false)</f>
        <v>#N/A</v>
      </c>
      <c r="S1157" s="93" t="str">
        <f>VLOOKUP(F1157,DATABASE!C:P,11,false)</f>
        <v>#N/A</v>
      </c>
      <c r="T1157" s="93" t="str">
        <f>vlookup(F1157,DATABASE!C:Q,8,false)</f>
        <v>#N/A</v>
      </c>
      <c r="Z1157" s="9"/>
    </row>
    <row r="1158" ht="22.5" customHeight="1">
      <c r="A1158" s="49"/>
      <c r="C1158" s="384"/>
      <c r="D1158" s="93"/>
      <c r="F1158" s="74"/>
      <c r="H1158" s="74"/>
      <c r="I1158" s="74"/>
      <c r="J1158" s="74"/>
      <c r="K1158" s="74" t="str">
        <f>if(F1158="SERVICE",O1158-(O1158*50%),Vlookup(F1158,DATABASE!C:Q,10,false)*G1158)</f>
        <v>#N/A</v>
      </c>
      <c r="L1158" s="74" t="str">
        <f>VLOOKUP(F1158,DATABASE!C:Q,7,FALSE)</f>
        <v>#N/A</v>
      </c>
      <c r="M1158" s="74"/>
      <c r="N1158" s="74">
        <f t="shared" si="11"/>
        <v>0</v>
      </c>
      <c r="O1158" s="74">
        <f t="shared" si="13"/>
        <v>0</v>
      </c>
      <c r="P1158" s="63">
        <f t="shared" si="14"/>
        <v>0</v>
      </c>
      <c r="Q1158" s="63" t="str">
        <f t="shared" si="15"/>
        <v>#N/A</v>
      </c>
      <c r="R1158" s="93" t="str">
        <f>VLOOKUP(F1158,DATABASE!C:Q,4,false)</f>
        <v>#N/A</v>
      </c>
      <c r="S1158" s="93" t="str">
        <f>VLOOKUP(F1158,DATABASE!C:P,11,false)</f>
        <v>#N/A</v>
      </c>
      <c r="T1158" s="93" t="str">
        <f>vlookup(F1158,DATABASE!C:Q,8,false)</f>
        <v>#N/A</v>
      </c>
      <c r="Z1158" s="9"/>
    </row>
    <row r="1159" ht="22.5" customHeight="1">
      <c r="A1159" s="49"/>
      <c r="C1159" s="384"/>
      <c r="D1159" s="93"/>
      <c r="F1159" s="74"/>
      <c r="H1159" s="74"/>
      <c r="I1159" s="74"/>
      <c r="J1159" s="74"/>
      <c r="K1159" s="74" t="str">
        <f>if(F1159="SERVICE",O1159-(O1159*50%),Vlookup(F1159,DATABASE!C:Q,10,false)*G1159)</f>
        <v>#N/A</v>
      </c>
      <c r="L1159" s="74" t="str">
        <f>VLOOKUP(F1159,DATABASE!C:Q,7,FALSE)</f>
        <v>#N/A</v>
      </c>
      <c r="M1159" s="74"/>
      <c r="N1159" s="74">
        <f t="shared" si="11"/>
        <v>0</v>
      </c>
      <c r="O1159" s="74">
        <f t="shared" si="13"/>
        <v>0</v>
      </c>
      <c r="P1159" s="63">
        <f t="shared" si="14"/>
        <v>0</v>
      </c>
      <c r="Q1159" s="63" t="str">
        <f t="shared" si="15"/>
        <v>#N/A</v>
      </c>
      <c r="R1159" s="93" t="str">
        <f>VLOOKUP(F1159,DATABASE!C:Q,4,false)</f>
        <v>#N/A</v>
      </c>
      <c r="S1159" s="93" t="str">
        <f>VLOOKUP(F1159,DATABASE!C:P,11,false)</f>
        <v>#N/A</v>
      </c>
      <c r="T1159" s="93" t="str">
        <f>vlookup(F1159,DATABASE!C:Q,8,false)</f>
        <v>#N/A</v>
      </c>
      <c r="Z1159" s="9"/>
    </row>
    <row r="1160" ht="22.5" customHeight="1">
      <c r="A1160" s="49"/>
      <c r="C1160" s="384"/>
      <c r="D1160" s="93"/>
      <c r="F1160" s="74"/>
      <c r="H1160" s="74"/>
      <c r="I1160" s="74"/>
      <c r="J1160" s="74"/>
      <c r="K1160" s="74" t="str">
        <f>if(F1160="SERVICE",O1160-(O1160*50%),Vlookup(F1160,DATABASE!C:Q,10,false)*G1160)</f>
        <v>#N/A</v>
      </c>
      <c r="L1160" s="74" t="str">
        <f>VLOOKUP(F1160,DATABASE!C:Q,7,FALSE)</f>
        <v>#N/A</v>
      </c>
      <c r="M1160" s="74"/>
      <c r="N1160" s="74">
        <f t="shared" si="11"/>
        <v>0</v>
      </c>
      <c r="O1160" s="74">
        <f t="shared" si="13"/>
        <v>0</v>
      </c>
      <c r="P1160" s="63">
        <f t="shared" si="14"/>
        <v>0</v>
      </c>
      <c r="Q1160" s="63" t="str">
        <f t="shared" si="15"/>
        <v>#N/A</v>
      </c>
      <c r="R1160" s="93" t="str">
        <f>VLOOKUP(F1160,DATABASE!C:Q,4,false)</f>
        <v>#N/A</v>
      </c>
      <c r="S1160" s="93" t="str">
        <f>VLOOKUP(F1160,DATABASE!C:P,11,false)</f>
        <v>#N/A</v>
      </c>
      <c r="T1160" s="93" t="str">
        <f>vlookup(F1160,DATABASE!C:Q,8,false)</f>
        <v>#N/A</v>
      </c>
      <c r="Z1160" s="9"/>
    </row>
    <row r="1161" ht="22.5" customHeight="1">
      <c r="A1161" s="49"/>
      <c r="C1161" s="384"/>
      <c r="D1161" s="93"/>
      <c r="F1161" s="74"/>
      <c r="H1161" s="74"/>
      <c r="I1161" s="74"/>
      <c r="J1161" s="74"/>
      <c r="K1161" s="74" t="str">
        <f>if(F1161="SERVICE",O1161-(O1161*50%),Vlookup(F1161,DATABASE!C:Q,10,false)*G1161)</f>
        <v>#N/A</v>
      </c>
      <c r="L1161" s="74" t="str">
        <f>VLOOKUP(F1161,DATABASE!C:Q,7,FALSE)</f>
        <v>#N/A</v>
      </c>
      <c r="M1161" s="74"/>
      <c r="N1161" s="74">
        <f t="shared" si="11"/>
        <v>0</v>
      </c>
      <c r="O1161" s="74">
        <f t="shared" si="13"/>
        <v>0</v>
      </c>
      <c r="P1161" s="63">
        <f t="shared" si="14"/>
        <v>0</v>
      </c>
      <c r="Q1161" s="63" t="str">
        <f t="shared" si="15"/>
        <v>#N/A</v>
      </c>
      <c r="R1161" s="93" t="str">
        <f>VLOOKUP(F1161,DATABASE!C:Q,4,false)</f>
        <v>#N/A</v>
      </c>
      <c r="S1161" s="93" t="str">
        <f>VLOOKUP(F1161,DATABASE!C:P,11,false)</f>
        <v>#N/A</v>
      </c>
      <c r="T1161" s="93" t="str">
        <f>vlookup(F1161,DATABASE!C:Q,8,false)</f>
        <v>#N/A</v>
      </c>
      <c r="Z1161" s="9"/>
    </row>
    <row r="1162" ht="22.5" customHeight="1">
      <c r="A1162" s="49"/>
      <c r="C1162" s="384"/>
      <c r="D1162" s="93"/>
      <c r="F1162" s="74"/>
      <c r="H1162" s="74"/>
      <c r="I1162" s="74"/>
      <c r="J1162" s="74"/>
      <c r="K1162" s="74" t="str">
        <f>if(F1162="SERVICE",O1162-(O1162*50%),Vlookup(F1162,DATABASE!C:Q,10,false)*G1162)</f>
        <v>#N/A</v>
      </c>
      <c r="L1162" s="74" t="str">
        <f>VLOOKUP(F1162,DATABASE!C:Q,7,FALSE)</f>
        <v>#N/A</v>
      </c>
      <c r="M1162" s="74"/>
      <c r="N1162" s="74">
        <f t="shared" si="11"/>
        <v>0</v>
      </c>
      <c r="O1162" s="74">
        <f t="shared" si="13"/>
        <v>0</v>
      </c>
      <c r="P1162" s="63">
        <f t="shared" si="14"/>
        <v>0</v>
      </c>
      <c r="Q1162" s="63" t="str">
        <f t="shared" si="15"/>
        <v>#N/A</v>
      </c>
      <c r="R1162" s="93" t="str">
        <f>VLOOKUP(F1162,DATABASE!C:Q,4,false)</f>
        <v>#N/A</v>
      </c>
      <c r="S1162" s="93" t="str">
        <f>VLOOKUP(F1162,DATABASE!C:P,11,false)</f>
        <v>#N/A</v>
      </c>
      <c r="T1162" s="93" t="str">
        <f>vlookup(F1162,DATABASE!C:Q,8,false)</f>
        <v>#N/A</v>
      </c>
      <c r="Z1162" s="9"/>
    </row>
    <row r="1163" ht="22.5" customHeight="1">
      <c r="A1163" s="49"/>
      <c r="C1163" s="384"/>
      <c r="D1163" s="93"/>
      <c r="F1163" s="74"/>
      <c r="H1163" s="74"/>
      <c r="I1163" s="74"/>
      <c r="J1163" s="74"/>
      <c r="K1163" s="74" t="str">
        <f>if(F1163="SERVICE",O1163-(O1163*50%),Vlookup(F1163,DATABASE!C:Q,10,false)*G1163)</f>
        <v>#N/A</v>
      </c>
      <c r="L1163" s="74" t="str">
        <f>VLOOKUP(F1163,DATABASE!C:Q,7,FALSE)</f>
        <v>#N/A</v>
      </c>
      <c r="M1163" s="74"/>
      <c r="N1163" s="74">
        <f t="shared" si="11"/>
        <v>0</v>
      </c>
      <c r="O1163" s="74">
        <f t="shared" si="13"/>
        <v>0</v>
      </c>
      <c r="P1163" s="63">
        <f t="shared" si="14"/>
        <v>0</v>
      </c>
      <c r="Q1163" s="63" t="str">
        <f t="shared" si="15"/>
        <v>#N/A</v>
      </c>
      <c r="R1163" s="93" t="str">
        <f>VLOOKUP(F1163,DATABASE!C:Q,4,false)</f>
        <v>#N/A</v>
      </c>
      <c r="S1163" s="93" t="str">
        <f>VLOOKUP(F1163,DATABASE!C:P,11,false)</f>
        <v>#N/A</v>
      </c>
      <c r="T1163" s="93" t="str">
        <f>vlookup(F1163,DATABASE!C:Q,8,false)</f>
        <v>#N/A</v>
      </c>
      <c r="Z1163" s="9"/>
    </row>
    <row r="1164" ht="22.5" customHeight="1">
      <c r="A1164" s="49"/>
      <c r="C1164" s="384"/>
      <c r="D1164" s="93"/>
      <c r="F1164" s="74"/>
      <c r="H1164" s="74"/>
      <c r="I1164" s="74"/>
      <c r="J1164" s="74"/>
      <c r="K1164" s="74" t="str">
        <f>if(F1164="SERVICE",O1164-(O1164*50%),Vlookup(F1164,DATABASE!C:Q,10,false)*G1164)</f>
        <v>#N/A</v>
      </c>
      <c r="L1164" s="74" t="str">
        <f>VLOOKUP(F1164,DATABASE!C:Q,7,FALSE)</f>
        <v>#N/A</v>
      </c>
      <c r="M1164" s="74"/>
      <c r="N1164" s="74">
        <f t="shared" si="11"/>
        <v>0</v>
      </c>
      <c r="O1164" s="74">
        <f t="shared" si="13"/>
        <v>0</v>
      </c>
      <c r="P1164" s="63">
        <f t="shared" si="14"/>
        <v>0</v>
      </c>
      <c r="Q1164" s="63" t="str">
        <f t="shared" si="15"/>
        <v>#N/A</v>
      </c>
      <c r="R1164" s="93" t="str">
        <f>VLOOKUP(F1164,DATABASE!C:Q,4,false)</f>
        <v>#N/A</v>
      </c>
      <c r="S1164" s="93" t="str">
        <f>VLOOKUP(F1164,DATABASE!C:P,11,false)</f>
        <v>#N/A</v>
      </c>
      <c r="T1164" s="93" t="str">
        <f>vlookup(F1164,DATABASE!C:Q,8,false)</f>
        <v>#N/A</v>
      </c>
      <c r="Z1164" s="9"/>
    </row>
    <row r="1165" ht="22.5" customHeight="1">
      <c r="A1165" s="49"/>
      <c r="C1165" s="384"/>
      <c r="D1165" s="93"/>
      <c r="F1165" s="74"/>
      <c r="H1165" s="74"/>
      <c r="I1165" s="74"/>
      <c r="J1165" s="74"/>
      <c r="K1165" s="74" t="str">
        <f>if(F1165="SERVICE",O1165-(O1165*50%),Vlookup(F1165,DATABASE!C:Q,10,false)*G1165)</f>
        <v>#N/A</v>
      </c>
      <c r="L1165" s="74" t="str">
        <f>VLOOKUP(F1165,DATABASE!C:Q,7,FALSE)</f>
        <v>#N/A</v>
      </c>
      <c r="M1165" s="74"/>
      <c r="N1165" s="74">
        <f t="shared" si="11"/>
        <v>0</v>
      </c>
      <c r="O1165" s="74">
        <f t="shared" si="13"/>
        <v>0</v>
      </c>
      <c r="P1165" s="63">
        <f t="shared" si="14"/>
        <v>0</v>
      </c>
      <c r="Q1165" s="63" t="str">
        <f t="shared" si="15"/>
        <v>#N/A</v>
      </c>
      <c r="R1165" s="93" t="str">
        <f>VLOOKUP(F1165,DATABASE!C:Q,4,false)</f>
        <v>#N/A</v>
      </c>
      <c r="S1165" s="93" t="str">
        <f>VLOOKUP(F1165,DATABASE!C:P,11,false)</f>
        <v>#N/A</v>
      </c>
      <c r="T1165" s="93" t="str">
        <f>vlookup(F1165,DATABASE!C:Q,8,false)</f>
        <v>#N/A</v>
      </c>
      <c r="Z1165" s="9"/>
    </row>
    <row r="1166" ht="22.5" customHeight="1">
      <c r="A1166" s="49"/>
      <c r="C1166" s="384"/>
      <c r="D1166" s="93"/>
      <c r="F1166" s="74"/>
      <c r="H1166" s="74"/>
      <c r="I1166" s="74"/>
      <c r="J1166" s="74"/>
      <c r="K1166" s="74" t="str">
        <f>if(F1166="SERVICE",O1166-(O1166*50%),Vlookup(F1166,DATABASE!C:Q,10,false)*G1166)</f>
        <v>#N/A</v>
      </c>
      <c r="L1166" s="74" t="str">
        <f>VLOOKUP(F1166,DATABASE!C:Q,7,FALSE)</f>
        <v>#N/A</v>
      </c>
      <c r="M1166" s="74"/>
      <c r="N1166" s="74">
        <f t="shared" si="11"/>
        <v>0</v>
      </c>
      <c r="O1166" s="74">
        <f t="shared" si="13"/>
        <v>0</v>
      </c>
      <c r="P1166" s="63">
        <f t="shared" si="14"/>
        <v>0</v>
      </c>
      <c r="Q1166" s="63" t="str">
        <f t="shared" si="15"/>
        <v>#N/A</v>
      </c>
      <c r="R1166" s="93" t="str">
        <f>VLOOKUP(F1166,DATABASE!C:Q,4,false)</f>
        <v>#N/A</v>
      </c>
      <c r="S1166" s="93" t="str">
        <f>VLOOKUP(F1166,DATABASE!C:P,11,false)</f>
        <v>#N/A</v>
      </c>
      <c r="T1166" s="93" t="str">
        <f>vlookup(F1166,DATABASE!C:Q,8,false)</f>
        <v>#N/A</v>
      </c>
      <c r="Z1166" s="9"/>
    </row>
    <row r="1167" ht="22.5" customHeight="1">
      <c r="A1167" s="49"/>
      <c r="C1167" s="384"/>
      <c r="D1167" s="93"/>
      <c r="F1167" s="74"/>
      <c r="H1167" s="74"/>
      <c r="I1167" s="74"/>
      <c r="J1167" s="74"/>
      <c r="K1167" s="74" t="str">
        <f>if(F1167="SERVICE",O1167-(O1167*50%),Vlookup(F1167,DATABASE!C:Q,10,false)*G1167)</f>
        <v>#N/A</v>
      </c>
      <c r="L1167" s="74" t="str">
        <f>VLOOKUP(F1167,DATABASE!C:Q,7,FALSE)</f>
        <v>#N/A</v>
      </c>
      <c r="M1167" s="74"/>
      <c r="N1167" s="74">
        <f t="shared" si="11"/>
        <v>0</v>
      </c>
      <c r="O1167" s="74">
        <f t="shared" si="13"/>
        <v>0</v>
      </c>
      <c r="P1167" s="63">
        <f t="shared" si="14"/>
        <v>0</v>
      </c>
      <c r="Q1167" s="63" t="str">
        <f t="shared" si="15"/>
        <v>#N/A</v>
      </c>
      <c r="R1167" s="93" t="str">
        <f>VLOOKUP(F1167,DATABASE!C:Q,4,false)</f>
        <v>#N/A</v>
      </c>
      <c r="S1167" s="93" t="str">
        <f>VLOOKUP(F1167,DATABASE!C:P,11,false)</f>
        <v>#N/A</v>
      </c>
      <c r="T1167" s="93" t="str">
        <f>vlookup(F1167,DATABASE!C:Q,8,false)</f>
        <v>#N/A</v>
      </c>
      <c r="Z1167" s="9"/>
    </row>
    <row r="1168" ht="22.5" customHeight="1">
      <c r="A1168" s="49"/>
      <c r="C1168" s="384"/>
      <c r="D1168" s="93"/>
      <c r="F1168" s="74"/>
      <c r="H1168" s="74"/>
      <c r="I1168" s="74"/>
      <c r="J1168" s="74"/>
      <c r="K1168" s="74" t="str">
        <f>if(F1168="SERVICE",O1168-(O1168*50%),Vlookup(F1168,DATABASE!C:Q,10,false)*G1168)</f>
        <v>#N/A</v>
      </c>
      <c r="L1168" s="74" t="str">
        <f>VLOOKUP(F1168,DATABASE!C:Q,7,FALSE)</f>
        <v>#N/A</v>
      </c>
      <c r="M1168" s="74"/>
      <c r="N1168" s="74">
        <f t="shared" si="11"/>
        <v>0</v>
      </c>
      <c r="O1168" s="74">
        <f t="shared" si="13"/>
        <v>0</v>
      </c>
      <c r="P1168" s="63">
        <f t="shared" si="14"/>
        <v>0</v>
      </c>
      <c r="Q1168" s="63" t="str">
        <f t="shared" si="15"/>
        <v>#N/A</v>
      </c>
      <c r="R1168" s="93" t="str">
        <f>VLOOKUP(F1168,DATABASE!C:Q,4,false)</f>
        <v>#N/A</v>
      </c>
      <c r="S1168" s="93" t="str">
        <f>VLOOKUP(F1168,DATABASE!C:P,11,false)</f>
        <v>#N/A</v>
      </c>
      <c r="T1168" s="93" t="str">
        <f>vlookup(F1168,DATABASE!C:Q,8,false)</f>
        <v>#N/A</v>
      </c>
      <c r="Z1168" s="9"/>
    </row>
    <row r="1169" ht="22.5" customHeight="1">
      <c r="A1169" s="49"/>
      <c r="C1169" s="384"/>
      <c r="D1169" s="93"/>
      <c r="F1169" s="74"/>
      <c r="H1169" s="74"/>
      <c r="I1169" s="74"/>
      <c r="J1169" s="74"/>
      <c r="K1169" s="74" t="str">
        <f>if(F1169="SERVICE",O1169-(O1169*50%),Vlookup(F1169,DATABASE!C:Q,10,false)*G1169)</f>
        <v>#N/A</v>
      </c>
      <c r="L1169" s="74" t="str">
        <f>VLOOKUP(F1169,DATABASE!C:Q,7,FALSE)</f>
        <v>#N/A</v>
      </c>
      <c r="M1169" s="74"/>
      <c r="N1169" s="74">
        <f t="shared" si="11"/>
        <v>0</v>
      </c>
      <c r="O1169" s="74">
        <f t="shared" si="13"/>
        <v>0</v>
      </c>
      <c r="P1169" s="63">
        <f t="shared" si="14"/>
        <v>0</v>
      </c>
      <c r="Q1169" s="63" t="str">
        <f t="shared" si="15"/>
        <v>#N/A</v>
      </c>
      <c r="R1169" s="93" t="str">
        <f>VLOOKUP(F1169,DATABASE!C:Q,4,false)</f>
        <v>#N/A</v>
      </c>
      <c r="S1169" s="93" t="str">
        <f>VLOOKUP(F1169,DATABASE!C:P,11,false)</f>
        <v>#N/A</v>
      </c>
      <c r="T1169" s="93" t="str">
        <f>vlookup(F1169,DATABASE!C:Q,8,false)</f>
        <v>#N/A</v>
      </c>
      <c r="Z1169" s="9"/>
    </row>
    <row r="1170" ht="22.5" customHeight="1">
      <c r="A1170" s="49"/>
      <c r="C1170" s="384"/>
      <c r="D1170" s="93"/>
      <c r="F1170" s="74"/>
      <c r="H1170" s="74"/>
      <c r="I1170" s="74"/>
      <c r="J1170" s="74"/>
      <c r="K1170" s="74" t="str">
        <f>if(F1170="SERVICE",O1170-(O1170*50%),Vlookup(F1170,DATABASE!C:Q,10,false)*G1170)</f>
        <v>#N/A</v>
      </c>
      <c r="L1170" s="74" t="str">
        <f>VLOOKUP(F1170,DATABASE!C:Q,7,FALSE)</f>
        <v>#N/A</v>
      </c>
      <c r="M1170" s="74"/>
      <c r="N1170" s="74">
        <f t="shared" si="11"/>
        <v>0</v>
      </c>
      <c r="O1170" s="74">
        <f t="shared" si="13"/>
        <v>0</v>
      </c>
      <c r="P1170" s="63">
        <f t="shared" si="14"/>
        <v>0</v>
      </c>
      <c r="Q1170" s="63" t="str">
        <f t="shared" si="15"/>
        <v>#N/A</v>
      </c>
      <c r="R1170" s="93" t="str">
        <f>VLOOKUP(F1170,DATABASE!C:Q,4,false)</f>
        <v>#N/A</v>
      </c>
      <c r="S1170" s="93" t="str">
        <f>VLOOKUP(F1170,DATABASE!C:P,11,false)</f>
        <v>#N/A</v>
      </c>
      <c r="T1170" s="93" t="str">
        <f>vlookup(F1170,DATABASE!C:Q,8,false)</f>
        <v>#N/A</v>
      </c>
      <c r="Z1170" s="9"/>
    </row>
    <row r="1171" ht="22.5" customHeight="1">
      <c r="A1171" s="49"/>
      <c r="C1171" s="384"/>
      <c r="D1171" s="93"/>
      <c r="F1171" s="74"/>
      <c r="H1171" s="74"/>
      <c r="I1171" s="74"/>
      <c r="J1171" s="74"/>
      <c r="K1171" s="74" t="str">
        <f>if(F1171="SERVICE",O1171-(O1171*50%),Vlookup(F1171,DATABASE!C:Q,10,false)*G1171)</f>
        <v>#N/A</v>
      </c>
      <c r="L1171" s="74" t="str">
        <f>VLOOKUP(F1171,DATABASE!C:Q,7,FALSE)</f>
        <v>#N/A</v>
      </c>
      <c r="M1171" s="74"/>
      <c r="N1171" s="74">
        <f t="shared" si="11"/>
        <v>0</v>
      </c>
      <c r="O1171" s="74">
        <f t="shared" si="13"/>
        <v>0</v>
      </c>
      <c r="P1171" s="63">
        <f t="shared" si="14"/>
        <v>0</v>
      </c>
      <c r="Q1171" s="63" t="str">
        <f t="shared" si="15"/>
        <v>#N/A</v>
      </c>
      <c r="R1171" s="93" t="str">
        <f>VLOOKUP(F1171,DATABASE!C:Q,4,false)</f>
        <v>#N/A</v>
      </c>
      <c r="S1171" s="93" t="str">
        <f>VLOOKUP(F1171,DATABASE!C:P,11,false)</f>
        <v>#N/A</v>
      </c>
      <c r="T1171" s="93" t="str">
        <f>vlookup(F1171,DATABASE!C:Q,8,false)</f>
        <v>#N/A</v>
      </c>
      <c r="Z1171" s="9"/>
    </row>
    <row r="1172" ht="22.5" customHeight="1">
      <c r="A1172" s="49"/>
      <c r="C1172" s="384"/>
      <c r="D1172" s="93"/>
      <c r="F1172" s="74"/>
      <c r="H1172" s="74"/>
      <c r="I1172" s="74"/>
      <c r="J1172" s="74"/>
      <c r="K1172" s="74" t="str">
        <f>if(F1172="SERVICE",O1172-(O1172*50%),Vlookup(F1172,DATABASE!C:Q,10,false)*G1172)</f>
        <v>#N/A</v>
      </c>
      <c r="L1172" s="74" t="str">
        <f>VLOOKUP(F1172,DATABASE!C:Q,7,FALSE)</f>
        <v>#N/A</v>
      </c>
      <c r="M1172" s="74"/>
      <c r="N1172" s="74">
        <f t="shared" si="11"/>
        <v>0</v>
      </c>
      <c r="O1172" s="74">
        <f t="shared" si="13"/>
        <v>0</v>
      </c>
      <c r="P1172" s="63">
        <f t="shared" si="14"/>
        <v>0</v>
      </c>
      <c r="Q1172" s="63" t="str">
        <f t="shared" si="15"/>
        <v>#N/A</v>
      </c>
      <c r="R1172" s="93" t="str">
        <f>VLOOKUP(F1172,DATABASE!C:Q,4,false)</f>
        <v>#N/A</v>
      </c>
      <c r="S1172" s="93" t="str">
        <f>VLOOKUP(F1172,DATABASE!C:P,11,false)</f>
        <v>#N/A</v>
      </c>
      <c r="T1172" s="93" t="str">
        <f>vlookup(F1172,DATABASE!C:Q,8,false)</f>
        <v>#N/A</v>
      </c>
      <c r="Z1172" s="9"/>
    </row>
    <row r="1173" ht="22.5" customHeight="1">
      <c r="A1173" s="49"/>
      <c r="C1173" s="384"/>
      <c r="D1173" s="93"/>
      <c r="F1173" s="74"/>
      <c r="H1173" s="74"/>
      <c r="I1173" s="74"/>
      <c r="J1173" s="74"/>
      <c r="K1173" s="74" t="str">
        <f>if(F1173="SERVICE",O1173-(O1173*50%),Vlookup(F1173,DATABASE!C:Q,10,false)*G1173)</f>
        <v>#N/A</v>
      </c>
      <c r="L1173" s="74" t="str">
        <f>VLOOKUP(F1173,DATABASE!C:Q,7,FALSE)</f>
        <v>#N/A</v>
      </c>
      <c r="M1173" s="74"/>
      <c r="N1173" s="74">
        <f t="shared" si="11"/>
        <v>0</v>
      </c>
      <c r="O1173" s="74">
        <f t="shared" si="13"/>
        <v>0</v>
      </c>
      <c r="P1173" s="63">
        <f t="shared" si="14"/>
        <v>0</v>
      </c>
      <c r="Q1173" s="63" t="str">
        <f t="shared" si="15"/>
        <v>#N/A</v>
      </c>
      <c r="R1173" s="93" t="str">
        <f>VLOOKUP(F1173,DATABASE!C:Q,4,false)</f>
        <v>#N/A</v>
      </c>
      <c r="S1173" s="93" t="str">
        <f>VLOOKUP(F1173,DATABASE!C:P,11,false)</f>
        <v>#N/A</v>
      </c>
      <c r="T1173" s="93" t="str">
        <f>vlookup(F1173,DATABASE!C:Q,8,false)</f>
        <v>#N/A</v>
      </c>
      <c r="Z1173" s="9"/>
    </row>
    <row r="1174" ht="22.5" customHeight="1">
      <c r="A1174" s="49"/>
      <c r="C1174" s="384"/>
      <c r="D1174" s="93"/>
      <c r="F1174" s="74"/>
      <c r="H1174" s="74"/>
      <c r="I1174" s="74"/>
      <c r="J1174" s="74"/>
      <c r="K1174" s="74" t="str">
        <f>if(F1174="SERVICE",O1174-(O1174*50%),Vlookup(F1174,DATABASE!C:Q,10,false)*G1174)</f>
        <v>#N/A</v>
      </c>
      <c r="L1174" s="74" t="str">
        <f>VLOOKUP(F1174,DATABASE!C:Q,7,FALSE)</f>
        <v>#N/A</v>
      </c>
      <c r="M1174" s="74"/>
      <c r="N1174" s="74">
        <f t="shared" si="11"/>
        <v>0</v>
      </c>
      <c r="O1174" s="74">
        <f t="shared" si="13"/>
        <v>0</v>
      </c>
      <c r="P1174" s="63">
        <f t="shared" si="14"/>
        <v>0</v>
      </c>
      <c r="Q1174" s="63" t="str">
        <f t="shared" si="15"/>
        <v>#N/A</v>
      </c>
      <c r="R1174" s="93" t="str">
        <f>VLOOKUP(F1174,DATABASE!C:Q,4,false)</f>
        <v>#N/A</v>
      </c>
      <c r="S1174" s="93" t="str">
        <f>VLOOKUP(F1174,DATABASE!C:P,11,false)</f>
        <v>#N/A</v>
      </c>
      <c r="T1174" s="93" t="str">
        <f>vlookup(F1174,DATABASE!C:Q,8,false)</f>
        <v>#N/A</v>
      </c>
      <c r="Z1174" s="9"/>
    </row>
    <row r="1175" ht="22.5" customHeight="1">
      <c r="A1175" s="49"/>
      <c r="C1175" s="384"/>
      <c r="D1175" s="93"/>
      <c r="F1175" s="74"/>
      <c r="H1175" s="74"/>
      <c r="I1175" s="74"/>
      <c r="J1175" s="74"/>
      <c r="K1175" s="74" t="str">
        <f>if(F1175="SERVICE",O1175-(O1175*50%),Vlookup(F1175,DATABASE!C:Q,10,false)*G1175)</f>
        <v>#N/A</v>
      </c>
      <c r="L1175" s="74" t="str">
        <f>VLOOKUP(F1175,DATABASE!C:Q,7,FALSE)</f>
        <v>#N/A</v>
      </c>
      <c r="M1175" s="74"/>
      <c r="N1175" s="74">
        <f t="shared" si="11"/>
        <v>0</v>
      </c>
      <c r="O1175" s="74">
        <f t="shared" si="13"/>
        <v>0</v>
      </c>
      <c r="P1175" s="63">
        <f t="shared" si="14"/>
        <v>0</v>
      </c>
      <c r="Q1175" s="63" t="str">
        <f t="shared" si="15"/>
        <v>#N/A</v>
      </c>
      <c r="R1175" s="93" t="str">
        <f>VLOOKUP(F1175,DATABASE!C:Q,4,false)</f>
        <v>#N/A</v>
      </c>
      <c r="S1175" s="93" t="str">
        <f>VLOOKUP(F1175,DATABASE!C:P,11,false)</f>
        <v>#N/A</v>
      </c>
      <c r="T1175" s="93" t="str">
        <f>vlookup(F1175,DATABASE!C:Q,8,false)</f>
        <v>#N/A</v>
      </c>
      <c r="Z1175" s="9"/>
    </row>
    <row r="1176" ht="22.5" customHeight="1">
      <c r="A1176" s="49"/>
      <c r="C1176" s="384"/>
      <c r="D1176" s="93"/>
      <c r="F1176" s="74"/>
      <c r="H1176" s="74"/>
      <c r="I1176" s="74"/>
      <c r="J1176" s="74"/>
      <c r="K1176" s="74" t="str">
        <f>if(F1176="SERVICE",O1176-(O1176*50%),Vlookup(F1176,DATABASE!C:Q,10,false)*G1176)</f>
        <v>#N/A</v>
      </c>
      <c r="L1176" s="74" t="str">
        <f>VLOOKUP(F1176,DATABASE!C:Q,7,FALSE)</f>
        <v>#N/A</v>
      </c>
      <c r="M1176" s="74"/>
      <c r="N1176" s="74">
        <f t="shared" si="11"/>
        <v>0</v>
      </c>
      <c r="O1176" s="74">
        <f t="shared" si="13"/>
        <v>0</v>
      </c>
      <c r="P1176" s="63">
        <f t="shared" si="14"/>
        <v>0</v>
      </c>
      <c r="Q1176" s="63" t="str">
        <f t="shared" si="15"/>
        <v>#N/A</v>
      </c>
      <c r="R1176" s="93" t="str">
        <f>VLOOKUP(F1176,DATABASE!C:Q,4,false)</f>
        <v>#N/A</v>
      </c>
      <c r="S1176" s="93" t="str">
        <f>VLOOKUP(F1176,DATABASE!C:P,11,false)</f>
        <v>#N/A</v>
      </c>
      <c r="T1176" s="93" t="str">
        <f>vlookup(F1176,DATABASE!C:Q,8,false)</f>
        <v>#N/A</v>
      </c>
      <c r="Z1176" s="9"/>
    </row>
    <row r="1177" ht="22.5" customHeight="1">
      <c r="A1177" s="49"/>
      <c r="C1177" s="384"/>
      <c r="D1177" s="93"/>
      <c r="F1177" s="74"/>
      <c r="H1177" s="74"/>
      <c r="I1177" s="74"/>
      <c r="J1177" s="74"/>
      <c r="K1177" s="74" t="str">
        <f>if(F1177="SERVICE",O1177-(O1177*50%),Vlookup(F1177,DATABASE!C:Q,10,false)*G1177)</f>
        <v>#N/A</v>
      </c>
      <c r="L1177" s="74" t="str">
        <f>VLOOKUP(F1177,DATABASE!C:Q,7,FALSE)</f>
        <v>#N/A</v>
      </c>
      <c r="M1177" s="74"/>
      <c r="N1177" s="74">
        <f t="shared" si="11"/>
        <v>0</v>
      </c>
      <c r="O1177" s="74">
        <f t="shared" si="13"/>
        <v>0</v>
      </c>
      <c r="P1177" s="63">
        <f t="shared" si="14"/>
        <v>0</v>
      </c>
      <c r="Q1177" s="63" t="str">
        <f t="shared" si="15"/>
        <v>#N/A</v>
      </c>
      <c r="R1177" s="93" t="str">
        <f>VLOOKUP(F1177,DATABASE!C:Q,4,false)</f>
        <v>#N/A</v>
      </c>
      <c r="S1177" s="93" t="str">
        <f>VLOOKUP(F1177,DATABASE!C:P,11,false)</f>
        <v>#N/A</v>
      </c>
      <c r="T1177" s="93" t="str">
        <f>vlookup(F1177,DATABASE!C:Q,8,false)</f>
        <v>#N/A</v>
      </c>
      <c r="Z1177" s="9"/>
    </row>
    <row r="1178" ht="22.5" customHeight="1">
      <c r="A1178" s="49"/>
      <c r="C1178" s="384"/>
      <c r="D1178" s="93"/>
      <c r="F1178" s="74"/>
      <c r="H1178" s="74"/>
      <c r="I1178" s="74"/>
      <c r="J1178" s="74"/>
      <c r="K1178" s="74" t="str">
        <f>if(F1178="SERVICE",O1178-(O1178*50%),Vlookup(F1178,DATABASE!C:Q,10,false)*G1178)</f>
        <v>#N/A</v>
      </c>
      <c r="L1178" s="74" t="str">
        <f>VLOOKUP(F1178,DATABASE!C:Q,7,FALSE)</f>
        <v>#N/A</v>
      </c>
      <c r="M1178" s="74"/>
      <c r="N1178" s="74">
        <f t="shared" si="11"/>
        <v>0</v>
      </c>
      <c r="O1178" s="74">
        <f t="shared" si="13"/>
        <v>0</v>
      </c>
      <c r="P1178" s="63">
        <f t="shared" si="14"/>
        <v>0</v>
      </c>
      <c r="Q1178" s="63" t="str">
        <f t="shared" si="15"/>
        <v>#N/A</v>
      </c>
      <c r="R1178" s="93" t="str">
        <f>VLOOKUP(F1178,DATABASE!C:Q,4,false)</f>
        <v>#N/A</v>
      </c>
      <c r="S1178" s="93" t="str">
        <f>VLOOKUP(F1178,DATABASE!C:P,11,false)</f>
        <v>#N/A</v>
      </c>
      <c r="T1178" s="93" t="str">
        <f>vlookup(F1178,DATABASE!C:Q,8,false)</f>
        <v>#N/A</v>
      </c>
      <c r="Z1178" s="9"/>
    </row>
    <row r="1179" ht="22.5" customHeight="1">
      <c r="A1179" s="49"/>
      <c r="C1179" s="384"/>
      <c r="D1179" s="93"/>
      <c r="F1179" s="74"/>
      <c r="H1179" s="74"/>
      <c r="I1179" s="74"/>
      <c r="J1179" s="74"/>
      <c r="K1179" s="74" t="str">
        <f>if(F1179="SERVICE",O1179-(O1179*50%),Vlookup(F1179,DATABASE!C:Q,10,false)*G1179)</f>
        <v>#N/A</v>
      </c>
      <c r="L1179" s="74" t="str">
        <f>VLOOKUP(F1179,DATABASE!C:Q,7,FALSE)</f>
        <v>#N/A</v>
      </c>
      <c r="M1179" s="74"/>
      <c r="N1179" s="74">
        <f t="shared" si="11"/>
        <v>0</v>
      </c>
      <c r="O1179" s="74">
        <f t="shared" si="13"/>
        <v>0</v>
      </c>
      <c r="P1179" s="63">
        <f t="shared" si="14"/>
        <v>0</v>
      </c>
      <c r="Q1179" s="63" t="str">
        <f t="shared" si="15"/>
        <v>#N/A</v>
      </c>
      <c r="R1179" s="93" t="str">
        <f>VLOOKUP(F1179,DATABASE!C:Q,4,false)</f>
        <v>#N/A</v>
      </c>
      <c r="S1179" s="93" t="str">
        <f>VLOOKUP(F1179,DATABASE!C:P,11,false)</f>
        <v>#N/A</v>
      </c>
      <c r="T1179" s="93" t="str">
        <f>vlookup(F1179,DATABASE!C:Q,8,false)</f>
        <v>#N/A</v>
      </c>
      <c r="Z1179" s="9"/>
    </row>
    <row r="1180" ht="22.5" customHeight="1">
      <c r="A1180" s="49"/>
      <c r="C1180" s="384"/>
      <c r="D1180" s="93"/>
      <c r="F1180" s="74"/>
      <c r="H1180" s="74"/>
      <c r="I1180" s="74"/>
      <c r="J1180" s="74"/>
      <c r="K1180" s="74" t="str">
        <f>if(F1180="SERVICE",O1180-(O1180*50%),Vlookup(F1180,DATABASE!C:Q,10,false)*G1180)</f>
        <v>#N/A</v>
      </c>
      <c r="L1180" s="74" t="str">
        <f>VLOOKUP(F1180,DATABASE!C:Q,7,FALSE)</f>
        <v>#N/A</v>
      </c>
      <c r="M1180" s="74"/>
      <c r="N1180" s="74">
        <f t="shared" si="11"/>
        <v>0</v>
      </c>
      <c r="O1180" s="74">
        <f t="shared" si="13"/>
        <v>0</v>
      </c>
      <c r="P1180" s="63">
        <f t="shared" si="14"/>
        <v>0</v>
      </c>
      <c r="Q1180" s="63" t="str">
        <f t="shared" si="15"/>
        <v>#N/A</v>
      </c>
      <c r="R1180" s="93" t="str">
        <f>VLOOKUP(F1180,DATABASE!C:Q,4,false)</f>
        <v>#N/A</v>
      </c>
      <c r="S1180" s="93" t="str">
        <f>VLOOKUP(F1180,DATABASE!C:P,11,false)</f>
        <v>#N/A</v>
      </c>
      <c r="T1180" s="93" t="str">
        <f>vlookup(F1180,DATABASE!C:Q,8,false)</f>
        <v>#N/A</v>
      </c>
      <c r="Z1180" s="9"/>
    </row>
    <row r="1181" ht="22.5" customHeight="1">
      <c r="A1181" s="49"/>
      <c r="C1181" s="384"/>
      <c r="D1181" s="93"/>
      <c r="F1181" s="74"/>
      <c r="H1181" s="74"/>
      <c r="I1181" s="74"/>
      <c r="J1181" s="74"/>
      <c r="K1181" s="74" t="str">
        <f>if(F1181="SERVICE",O1181-(O1181*50%),Vlookup(F1181,DATABASE!C:Q,10,false)*G1181)</f>
        <v>#N/A</v>
      </c>
      <c r="L1181" s="74" t="str">
        <f>VLOOKUP(F1181,DATABASE!C:Q,7,FALSE)</f>
        <v>#N/A</v>
      </c>
      <c r="M1181" s="74"/>
      <c r="N1181" s="74">
        <f t="shared" si="11"/>
        <v>0</v>
      </c>
      <c r="O1181" s="74">
        <f t="shared" si="13"/>
        <v>0</v>
      </c>
      <c r="P1181" s="63">
        <f t="shared" si="14"/>
        <v>0</v>
      </c>
      <c r="Q1181" s="63" t="str">
        <f t="shared" si="15"/>
        <v>#N/A</v>
      </c>
      <c r="R1181" s="93" t="str">
        <f>VLOOKUP(F1181,DATABASE!C:Q,4,false)</f>
        <v>#N/A</v>
      </c>
      <c r="S1181" s="93" t="str">
        <f>VLOOKUP(F1181,DATABASE!C:P,11,false)</f>
        <v>#N/A</v>
      </c>
      <c r="T1181" s="93" t="str">
        <f>vlookup(F1181,DATABASE!C:Q,8,false)</f>
        <v>#N/A</v>
      </c>
      <c r="Z1181" s="9"/>
    </row>
    <row r="1182" ht="22.5" customHeight="1">
      <c r="A1182" s="49"/>
      <c r="C1182" s="384"/>
      <c r="D1182" s="93"/>
      <c r="F1182" s="74"/>
      <c r="H1182" s="74"/>
      <c r="I1182" s="74"/>
      <c r="J1182" s="74"/>
      <c r="K1182" s="74" t="str">
        <f>if(F1182="SERVICE",O1182-(O1182*50%),Vlookup(F1182,DATABASE!C:Q,10,false)*G1182)</f>
        <v>#N/A</v>
      </c>
      <c r="L1182" s="74" t="str">
        <f>VLOOKUP(F1182,DATABASE!C:Q,7,FALSE)</f>
        <v>#N/A</v>
      </c>
      <c r="M1182" s="74"/>
      <c r="N1182" s="74">
        <f t="shared" si="11"/>
        <v>0</v>
      </c>
      <c r="O1182" s="74">
        <f t="shared" si="13"/>
        <v>0</v>
      </c>
      <c r="P1182" s="63">
        <f t="shared" si="14"/>
        <v>0</v>
      </c>
      <c r="Q1182" s="63" t="str">
        <f t="shared" si="15"/>
        <v>#N/A</v>
      </c>
      <c r="R1182" s="93" t="str">
        <f>VLOOKUP(F1182,DATABASE!C:Q,4,false)</f>
        <v>#N/A</v>
      </c>
      <c r="S1182" s="93" t="str">
        <f>VLOOKUP(F1182,DATABASE!C:P,11,false)</f>
        <v>#N/A</v>
      </c>
      <c r="T1182" s="93" t="str">
        <f>vlookup(F1182,DATABASE!C:Q,8,false)</f>
        <v>#N/A</v>
      </c>
      <c r="Z1182" s="9"/>
    </row>
    <row r="1183" ht="22.5" customHeight="1">
      <c r="A1183" s="49"/>
      <c r="C1183" s="384"/>
      <c r="D1183" s="93"/>
      <c r="F1183" s="74"/>
      <c r="H1183" s="74"/>
      <c r="I1183" s="74"/>
      <c r="J1183" s="74"/>
      <c r="K1183" s="74" t="str">
        <f>if(F1183="SERVICE",O1183-(O1183*50%),Vlookup(F1183,DATABASE!C:Q,10,false)*G1183)</f>
        <v>#N/A</v>
      </c>
      <c r="L1183" s="74" t="str">
        <f>VLOOKUP(F1183,DATABASE!C:Q,7,FALSE)</f>
        <v>#N/A</v>
      </c>
      <c r="M1183" s="74"/>
      <c r="N1183" s="74">
        <f t="shared" si="11"/>
        <v>0</v>
      </c>
      <c r="O1183" s="74">
        <f t="shared" si="13"/>
        <v>0</v>
      </c>
      <c r="P1183" s="63">
        <f t="shared" si="14"/>
        <v>0</v>
      </c>
      <c r="Q1183" s="63" t="str">
        <f t="shared" si="15"/>
        <v>#N/A</v>
      </c>
      <c r="R1183" s="93" t="str">
        <f>VLOOKUP(F1183,DATABASE!C:Q,4,false)</f>
        <v>#N/A</v>
      </c>
      <c r="S1183" s="93" t="str">
        <f>VLOOKUP(F1183,DATABASE!C:P,11,false)</f>
        <v>#N/A</v>
      </c>
      <c r="T1183" s="93" t="str">
        <f>vlookup(F1183,DATABASE!C:Q,8,false)</f>
        <v>#N/A</v>
      </c>
      <c r="Z1183" s="9"/>
    </row>
    <row r="1184" ht="22.5" customHeight="1">
      <c r="A1184" s="49"/>
      <c r="C1184" s="384"/>
      <c r="D1184" s="93"/>
      <c r="F1184" s="74"/>
      <c r="H1184" s="74"/>
      <c r="I1184" s="74"/>
      <c r="J1184" s="74"/>
      <c r="K1184" s="74" t="str">
        <f>if(F1184="SERVICE",O1184-(O1184*50%),Vlookup(F1184,DATABASE!C:Q,10,false)*G1184)</f>
        <v>#N/A</v>
      </c>
      <c r="L1184" s="74" t="str">
        <f>VLOOKUP(F1184,DATABASE!C:Q,7,FALSE)</f>
        <v>#N/A</v>
      </c>
      <c r="M1184" s="74"/>
      <c r="N1184" s="74">
        <f t="shared" si="11"/>
        <v>0</v>
      </c>
      <c r="O1184" s="74">
        <f t="shared" si="13"/>
        <v>0</v>
      </c>
      <c r="P1184" s="63">
        <f t="shared" si="14"/>
        <v>0</v>
      </c>
      <c r="Q1184" s="63" t="str">
        <f t="shared" si="15"/>
        <v>#N/A</v>
      </c>
      <c r="R1184" s="93" t="str">
        <f>VLOOKUP(F1184,DATABASE!C:Q,4,false)</f>
        <v>#N/A</v>
      </c>
      <c r="S1184" s="93" t="str">
        <f>VLOOKUP(F1184,DATABASE!C:P,11,false)</f>
        <v>#N/A</v>
      </c>
      <c r="T1184" s="93" t="str">
        <f>vlookup(F1184,DATABASE!C:Q,8,false)</f>
        <v>#N/A</v>
      </c>
      <c r="Z1184" s="9"/>
    </row>
    <row r="1185" ht="22.5" customHeight="1">
      <c r="A1185" s="49"/>
      <c r="C1185" s="384"/>
      <c r="D1185" s="93"/>
      <c r="F1185" s="74"/>
      <c r="H1185" s="74"/>
      <c r="I1185" s="74"/>
      <c r="J1185" s="74"/>
      <c r="K1185" s="74" t="str">
        <f>if(F1185="SERVICE",O1185-(O1185*50%),Vlookup(F1185,DATABASE!C:Q,10,false)*G1185)</f>
        <v>#N/A</v>
      </c>
      <c r="L1185" s="74" t="str">
        <f>VLOOKUP(F1185,DATABASE!C:Q,7,FALSE)</f>
        <v>#N/A</v>
      </c>
      <c r="M1185" s="74"/>
      <c r="N1185" s="74">
        <f t="shared" si="11"/>
        <v>0</v>
      </c>
      <c r="O1185" s="74">
        <f t="shared" si="13"/>
        <v>0</v>
      </c>
      <c r="P1185" s="63">
        <f t="shared" si="14"/>
        <v>0</v>
      </c>
      <c r="Q1185" s="63" t="str">
        <f t="shared" si="15"/>
        <v>#N/A</v>
      </c>
      <c r="R1185" s="93" t="str">
        <f>VLOOKUP(F1185,DATABASE!C:Q,4,false)</f>
        <v>#N/A</v>
      </c>
      <c r="S1185" s="93" t="str">
        <f>VLOOKUP(F1185,DATABASE!C:P,11,false)</f>
        <v>#N/A</v>
      </c>
      <c r="T1185" s="93" t="str">
        <f>vlookup(F1185,DATABASE!C:Q,8,false)</f>
        <v>#N/A</v>
      </c>
      <c r="Z1185" s="9"/>
    </row>
    <row r="1186" ht="22.5" customHeight="1">
      <c r="A1186" s="49"/>
      <c r="C1186" s="384"/>
      <c r="D1186" s="93"/>
      <c r="F1186" s="74"/>
      <c r="H1186" s="74"/>
      <c r="I1186" s="74"/>
      <c r="J1186" s="74"/>
      <c r="K1186" s="74" t="str">
        <f>if(F1186="SERVICE",O1186-(O1186*50%),Vlookup(F1186,DATABASE!C:Q,10,false)*G1186)</f>
        <v>#N/A</v>
      </c>
      <c r="L1186" s="74" t="str">
        <f>VLOOKUP(F1186,DATABASE!C:Q,7,FALSE)</f>
        <v>#N/A</v>
      </c>
      <c r="M1186" s="74"/>
      <c r="N1186" s="74">
        <f t="shared" si="11"/>
        <v>0</v>
      </c>
      <c r="O1186" s="74">
        <f t="shared" si="13"/>
        <v>0</v>
      </c>
      <c r="P1186" s="63">
        <f t="shared" si="14"/>
        <v>0</v>
      </c>
      <c r="Q1186" s="63" t="str">
        <f t="shared" si="15"/>
        <v>#N/A</v>
      </c>
      <c r="R1186" s="93" t="str">
        <f>VLOOKUP(F1186,DATABASE!C:Q,4,false)</f>
        <v>#N/A</v>
      </c>
      <c r="S1186" s="93" t="str">
        <f>VLOOKUP(F1186,DATABASE!C:P,11,false)</f>
        <v>#N/A</v>
      </c>
      <c r="T1186" s="93" t="str">
        <f>vlookup(F1186,DATABASE!C:Q,8,false)</f>
        <v>#N/A</v>
      </c>
      <c r="Z1186" s="9"/>
    </row>
    <row r="1187" ht="22.5" customHeight="1">
      <c r="A1187" s="49"/>
      <c r="C1187" s="384"/>
      <c r="D1187" s="93"/>
      <c r="F1187" s="74"/>
      <c r="H1187" s="74"/>
      <c r="I1187" s="74"/>
      <c r="J1187" s="74"/>
      <c r="K1187" s="74" t="str">
        <f>if(F1187="SERVICE",O1187-(O1187*50%),Vlookup(F1187,DATABASE!C:Q,10,false)*G1187)</f>
        <v>#N/A</v>
      </c>
      <c r="L1187" s="74" t="str">
        <f>VLOOKUP(F1187,DATABASE!C:Q,7,FALSE)</f>
        <v>#N/A</v>
      </c>
      <c r="M1187" s="74"/>
      <c r="N1187" s="74">
        <f t="shared" si="11"/>
        <v>0</v>
      </c>
      <c r="O1187" s="74">
        <f t="shared" si="13"/>
        <v>0</v>
      </c>
      <c r="P1187" s="63">
        <f t="shared" si="14"/>
        <v>0</v>
      </c>
      <c r="Q1187" s="63" t="str">
        <f t="shared" si="15"/>
        <v>#N/A</v>
      </c>
      <c r="R1187" s="93" t="str">
        <f>VLOOKUP(F1187,DATABASE!C:Q,4,false)</f>
        <v>#N/A</v>
      </c>
      <c r="S1187" s="93" t="str">
        <f>VLOOKUP(F1187,DATABASE!C:P,11,false)</f>
        <v>#N/A</v>
      </c>
      <c r="T1187" s="93" t="str">
        <f>vlookup(F1187,DATABASE!C:Q,8,false)</f>
        <v>#N/A</v>
      </c>
      <c r="Z1187" s="9"/>
    </row>
    <row r="1188" ht="22.5" customHeight="1">
      <c r="A1188" s="49"/>
      <c r="C1188" s="384"/>
      <c r="D1188" s="93"/>
      <c r="F1188" s="74"/>
      <c r="H1188" s="74"/>
      <c r="I1188" s="74"/>
      <c r="J1188" s="74"/>
      <c r="K1188" s="74" t="str">
        <f>if(F1188="SERVICE",O1188-(O1188*50%),Vlookup(F1188,DATABASE!C:Q,10,false)*G1188)</f>
        <v>#N/A</v>
      </c>
      <c r="L1188" s="74" t="str">
        <f>VLOOKUP(F1188,DATABASE!C:Q,7,FALSE)</f>
        <v>#N/A</v>
      </c>
      <c r="M1188" s="74"/>
      <c r="N1188" s="74">
        <f t="shared" si="11"/>
        <v>0</v>
      </c>
      <c r="O1188" s="74">
        <f t="shared" si="13"/>
        <v>0</v>
      </c>
      <c r="P1188" s="63">
        <f t="shared" si="14"/>
        <v>0</v>
      </c>
      <c r="Q1188" s="63" t="str">
        <f t="shared" si="15"/>
        <v>#N/A</v>
      </c>
      <c r="R1188" s="93" t="str">
        <f>VLOOKUP(F1188,DATABASE!C:Q,4,false)</f>
        <v>#N/A</v>
      </c>
      <c r="S1188" s="93" t="str">
        <f>VLOOKUP(F1188,DATABASE!C:P,11,false)</f>
        <v>#N/A</v>
      </c>
      <c r="T1188" s="93" t="str">
        <f>vlookup(F1188,DATABASE!C:Q,8,false)</f>
        <v>#N/A</v>
      </c>
      <c r="Z1188" s="9"/>
    </row>
    <row r="1189" ht="22.5" customHeight="1">
      <c r="A1189" s="49"/>
      <c r="C1189" s="384"/>
      <c r="D1189" s="93"/>
      <c r="F1189" s="74"/>
      <c r="H1189" s="74"/>
      <c r="I1189" s="74"/>
      <c r="J1189" s="74"/>
      <c r="K1189" s="74" t="str">
        <f>if(F1189="SERVICE",O1189-(O1189*50%),Vlookup(F1189,DATABASE!C:Q,10,false)*G1189)</f>
        <v>#N/A</v>
      </c>
      <c r="L1189" s="74" t="str">
        <f>VLOOKUP(F1189,DATABASE!C:Q,7,FALSE)</f>
        <v>#N/A</v>
      </c>
      <c r="M1189" s="74"/>
      <c r="N1189" s="74">
        <f t="shared" si="11"/>
        <v>0</v>
      </c>
      <c r="O1189" s="74">
        <f t="shared" si="13"/>
        <v>0</v>
      </c>
      <c r="P1189" s="63">
        <f t="shared" si="14"/>
        <v>0</v>
      </c>
      <c r="Q1189" s="63" t="str">
        <f t="shared" si="15"/>
        <v>#N/A</v>
      </c>
      <c r="R1189" s="93" t="str">
        <f>VLOOKUP(F1189,DATABASE!C:Q,4,false)</f>
        <v>#N/A</v>
      </c>
      <c r="S1189" s="93" t="str">
        <f>VLOOKUP(F1189,DATABASE!C:P,11,false)</f>
        <v>#N/A</v>
      </c>
      <c r="T1189" s="93" t="str">
        <f>vlookup(F1189,DATABASE!C:Q,8,false)</f>
        <v>#N/A</v>
      </c>
      <c r="Z1189" s="9"/>
    </row>
    <row r="1190" ht="22.5" customHeight="1">
      <c r="A1190" s="49"/>
      <c r="C1190" s="384"/>
      <c r="D1190" s="93"/>
      <c r="F1190" s="74"/>
      <c r="H1190" s="74"/>
      <c r="I1190" s="74"/>
      <c r="J1190" s="74"/>
      <c r="K1190" s="74" t="str">
        <f>if(F1190="SERVICE",O1190-(O1190*50%),Vlookup(F1190,DATABASE!C:Q,10,false)*G1190)</f>
        <v>#N/A</v>
      </c>
      <c r="L1190" s="74" t="str">
        <f>VLOOKUP(F1190,DATABASE!C:Q,7,FALSE)</f>
        <v>#N/A</v>
      </c>
      <c r="M1190" s="74"/>
      <c r="N1190" s="74">
        <f t="shared" si="11"/>
        <v>0</v>
      </c>
      <c r="O1190" s="74">
        <f t="shared" si="13"/>
        <v>0</v>
      </c>
      <c r="P1190" s="63">
        <f t="shared" si="14"/>
        <v>0</v>
      </c>
      <c r="Q1190" s="63" t="str">
        <f t="shared" si="15"/>
        <v>#N/A</v>
      </c>
      <c r="R1190" s="93" t="str">
        <f>VLOOKUP(F1190,DATABASE!C:Q,4,false)</f>
        <v>#N/A</v>
      </c>
      <c r="S1190" s="93" t="str">
        <f>VLOOKUP(F1190,DATABASE!C:P,11,false)</f>
        <v>#N/A</v>
      </c>
      <c r="T1190" s="93" t="str">
        <f>vlookup(F1190,DATABASE!C:Q,8,false)</f>
        <v>#N/A</v>
      </c>
      <c r="Z1190" s="9"/>
    </row>
    <row r="1191" ht="22.5" customHeight="1">
      <c r="A1191" s="49"/>
      <c r="C1191" s="384"/>
      <c r="D1191" s="93"/>
      <c r="F1191" s="74"/>
      <c r="H1191" s="74"/>
      <c r="I1191" s="74"/>
      <c r="J1191" s="74"/>
      <c r="K1191" s="74" t="str">
        <f>if(F1191="SERVICE",O1191-(O1191*50%),Vlookup(F1191,DATABASE!C:Q,10,false)*G1191)</f>
        <v>#N/A</v>
      </c>
      <c r="L1191" s="74" t="str">
        <f>VLOOKUP(F1191,DATABASE!C:Q,7,FALSE)</f>
        <v>#N/A</v>
      </c>
      <c r="M1191" s="74"/>
      <c r="N1191" s="74">
        <f t="shared" si="11"/>
        <v>0</v>
      </c>
      <c r="O1191" s="74">
        <f t="shared" si="13"/>
        <v>0</v>
      </c>
      <c r="P1191" s="63">
        <f t="shared" si="14"/>
        <v>0</v>
      </c>
      <c r="Q1191" s="63" t="str">
        <f t="shared" si="15"/>
        <v>#N/A</v>
      </c>
      <c r="R1191" s="93" t="str">
        <f>VLOOKUP(F1191,DATABASE!C:Q,4,false)</f>
        <v>#N/A</v>
      </c>
      <c r="S1191" s="93" t="str">
        <f>VLOOKUP(F1191,DATABASE!C:P,11,false)</f>
        <v>#N/A</v>
      </c>
      <c r="T1191" s="93" t="str">
        <f>vlookup(F1191,DATABASE!C:Q,8,false)</f>
        <v>#N/A</v>
      </c>
      <c r="Z1191" s="9"/>
    </row>
    <row r="1192" ht="22.5" customHeight="1">
      <c r="A1192" s="49"/>
      <c r="C1192" s="384"/>
      <c r="D1192" s="93"/>
      <c r="F1192" s="74"/>
      <c r="H1192" s="74"/>
      <c r="I1192" s="74"/>
      <c r="J1192" s="74"/>
      <c r="K1192" s="74" t="str">
        <f>if(F1192="SERVICE",O1192-(O1192*50%),Vlookup(F1192,DATABASE!C:Q,10,false)*G1192)</f>
        <v>#N/A</v>
      </c>
      <c r="L1192" s="74" t="str">
        <f>VLOOKUP(F1192,DATABASE!C:Q,7,FALSE)</f>
        <v>#N/A</v>
      </c>
      <c r="M1192" s="74"/>
      <c r="N1192" s="74">
        <f t="shared" si="11"/>
        <v>0</v>
      </c>
      <c r="O1192" s="74">
        <f t="shared" si="13"/>
        <v>0</v>
      </c>
      <c r="P1192" s="63">
        <f t="shared" si="14"/>
        <v>0</v>
      </c>
      <c r="Q1192" s="63" t="str">
        <f t="shared" si="15"/>
        <v>#N/A</v>
      </c>
      <c r="R1192" s="93" t="str">
        <f>VLOOKUP(F1192,DATABASE!C:Q,4,false)</f>
        <v>#N/A</v>
      </c>
      <c r="S1192" s="93" t="str">
        <f>VLOOKUP(F1192,DATABASE!C:P,11,false)</f>
        <v>#N/A</v>
      </c>
      <c r="T1192" s="93" t="str">
        <f>vlookup(F1192,DATABASE!C:Q,8,false)</f>
        <v>#N/A</v>
      </c>
      <c r="Z1192" s="9"/>
    </row>
    <row r="1193" ht="22.5" customHeight="1">
      <c r="A1193" s="49"/>
      <c r="C1193" s="384"/>
      <c r="D1193" s="93"/>
      <c r="F1193" s="74"/>
      <c r="H1193" s="74"/>
      <c r="I1193" s="74"/>
      <c r="J1193" s="74"/>
      <c r="K1193" s="74" t="str">
        <f>if(F1193="SERVICE",O1193-(O1193*50%),Vlookup(F1193,DATABASE!C:Q,10,false)*G1193)</f>
        <v>#N/A</v>
      </c>
      <c r="L1193" s="74" t="str">
        <f>VLOOKUP(F1193,DATABASE!C:Q,7,FALSE)</f>
        <v>#N/A</v>
      </c>
      <c r="M1193" s="74"/>
      <c r="N1193" s="74">
        <f t="shared" si="11"/>
        <v>0</v>
      </c>
      <c r="O1193" s="74">
        <f t="shared" si="13"/>
        <v>0</v>
      </c>
      <c r="P1193" s="63">
        <f t="shared" si="14"/>
        <v>0</v>
      </c>
      <c r="Q1193" s="63" t="str">
        <f t="shared" si="15"/>
        <v>#N/A</v>
      </c>
      <c r="R1193" s="93" t="str">
        <f>VLOOKUP(F1193,DATABASE!C:Q,4,false)</f>
        <v>#N/A</v>
      </c>
      <c r="S1193" s="93" t="str">
        <f>VLOOKUP(F1193,DATABASE!C:P,11,false)</f>
        <v>#N/A</v>
      </c>
      <c r="T1193" s="93" t="str">
        <f>vlookup(F1193,DATABASE!C:Q,8,false)</f>
        <v>#N/A</v>
      </c>
      <c r="Z1193" s="9"/>
    </row>
    <row r="1194" ht="22.5" customHeight="1">
      <c r="A1194" s="49"/>
      <c r="C1194" s="384"/>
      <c r="D1194" s="93"/>
      <c r="F1194" s="74"/>
      <c r="H1194" s="74"/>
      <c r="I1194" s="74"/>
      <c r="J1194" s="74"/>
      <c r="K1194" s="74" t="str">
        <f>if(F1194="SERVICE",O1194-(O1194*50%),Vlookup(F1194,DATABASE!C:Q,10,false)*G1194)</f>
        <v>#N/A</v>
      </c>
      <c r="L1194" s="74" t="str">
        <f>VLOOKUP(F1194,DATABASE!C:Q,7,FALSE)</f>
        <v>#N/A</v>
      </c>
      <c r="M1194" s="74"/>
      <c r="N1194" s="74">
        <f t="shared" si="11"/>
        <v>0</v>
      </c>
      <c r="O1194" s="74">
        <f t="shared" si="13"/>
        <v>0</v>
      </c>
      <c r="P1194" s="63">
        <f t="shared" si="14"/>
        <v>0</v>
      </c>
      <c r="Q1194" s="63" t="str">
        <f t="shared" si="15"/>
        <v>#N/A</v>
      </c>
      <c r="R1194" s="93" t="str">
        <f>VLOOKUP(F1194,DATABASE!C:Q,4,false)</f>
        <v>#N/A</v>
      </c>
      <c r="S1194" s="93" t="str">
        <f>VLOOKUP(F1194,DATABASE!C:P,11,false)</f>
        <v>#N/A</v>
      </c>
      <c r="T1194" s="93" t="str">
        <f>vlookup(F1194,DATABASE!C:Q,8,false)</f>
        <v>#N/A</v>
      </c>
      <c r="Z1194" s="9"/>
    </row>
    <row r="1195" ht="22.5" customHeight="1">
      <c r="A1195" s="49"/>
      <c r="C1195" s="384"/>
      <c r="D1195" s="93"/>
      <c r="F1195" s="74"/>
      <c r="H1195" s="74"/>
      <c r="I1195" s="74"/>
      <c r="J1195" s="74"/>
      <c r="K1195" s="74" t="str">
        <f>if(F1195="SERVICE",O1195-(O1195*50%),Vlookup(F1195,DATABASE!C:Q,10,false)*G1195)</f>
        <v>#N/A</v>
      </c>
      <c r="L1195" s="74" t="str">
        <f>VLOOKUP(F1195,DATABASE!C:Q,7,FALSE)</f>
        <v>#N/A</v>
      </c>
      <c r="M1195" s="74"/>
      <c r="N1195" s="74">
        <f t="shared" si="11"/>
        <v>0</v>
      </c>
      <c r="O1195" s="74">
        <f t="shared" si="13"/>
        <v>0</v>
      </c>
      <c r="P1195" s="63">
        <f t="shared" si="14"/>
        <v>0</v>
      </c>
      <c r="Q1195" s="63" t="str">
        <f t="shared" si="15"/>
        <v>#N/A</v>
      </c>
      <c r="R1195" s="93" t="str">
        <f>VLOOKUP(F1195,DATABASE!C:Q,4,false)</f>
        <v>#N/A</v>
      </c>
      <c r="S1195" s="93" t="str">
        <f>VLOOKUP(F1195,DATABASE!C:P,11,false)</f>
        <v>#N/A</v>
      </c>
      <c r="T1195" s="93" t="str">
        <f>vlookup(F1195,DATABASE!C:Q,8,false)</f>
        <v>#N/A</v>
      </c>
      <c r="Z1195" s="9"/>
    </row>
    <row r="1196" ht="22.5" customHeight="1">
      <c r="A1196" s="49"/>
      <c r="C1196" s="384"/>
      <c r="D1196" s="93"/>
      <c r="F1196" s="74"/>
      <c r="H1196" s="74"/>
      <c r="I1196" s="74"/>
      <c r="J1196" s="74"/>
      <c r="K1196" s="74" t="str">
        <f>if(F1196="SERVICE",O1196-(O1196*50%),Vlookup(F1196,DATABASE!C:Q,10,false)*G1196)</f>
        <v>#N/A</v>
      </c>
      <c r="L1196" s="74" t="str">
        <f>VLOOKUP(F1196,DATABASE!C:Q,7,FALSE)</f>
        <v>#N/A</v>
      </c>
      <c r="M1196" s="74"/>
      <c r="N1196" s="74">
        <f t="shared" si="11"/>
        <v>0</v>
      </c>
      <c r="O1196" s="74">
        <f t="shared" si="13"/>
        <v>0</v>
      </c>
      <c r="P1196" s="63">
        <f t="shared" si="14"/>
        <v>0</v>
      </c>
      <c r="Q1196" s="63" t="str">
        <f t="shared" si="15"/>
        <v>#N/A</v>
      </c>
      <c r="R1196" s="93" t="str">
        <f>VLOOKUP(F1196,DATABASE!C:Q,4,false)</f>
        <v>#N/A</v>
      </c>
      <c r="S1196" s="93" t="str">
        <f>VLOOKUP(F1196,DATABASE!C:P,11,false)</f>
        <v>#N/A</v>
      </c>
      <c r="T1196" s="93" t="str">
        <f>vlookup(F1196,DATABASE!C:Q,8,false)</f>
        <v>#N/A</v>
      </c>
      <c r="Z1196" s="9"/>
    </row>
    <row r="1197" ht="22.5" customHeight="1">
      <c r="A1197" s="49"/>
      <c r="C1197" s="384"/>
      <c r="D1197" s="93"/>
      <c r="F1197" s="74"/>
      <c r="H1197" s="74"/>
      <c r="I1197" s="74"/>
      <c r="J1197" s="74"/>
      <c r="K1197" s="74" t="str">
        <f>if(F1197="SERVICE",O1197-(O1197*50%),Vlookup(F1197,DATABASE!C:Q,10,false)*G1197)</f>
        <v>#N/A</v>
      </c>
      <c r="L1197" s="74" t="str">
        <f>VLOOKUP(F1197,DATABASE!C:Q,7,FALSE)</f>
        <v>#N/A</v>
      </c>
      <c r="M1197" s="74"/>
      <c r="N1197" s="74">
        <f t="shared" si="11"/>
        <v>0</v>
      </c>
      <c r="O1197" s="74">
        <f t="shared" si="13"/>
        <v>0</v>
      </c>
      <c r="P1197" s="63">
        <f t="shared" si="14"/>
        <v>0</v>
      </c>
      <c r="Q1197" s="63" t="str">
        <f t="shared" si="15"/>
        <v>#N/A</v>
      </c>
      <c r="R1197" s="93" t="str">
        <f>VLOOKUP(F1197,DATABASE!C:Q,4,false)</f>
        <v>#N/A</v>
      </c>
      <c r="S1197" s="93" t="str">
        <f>VLOOKUP(F1197,DATABASE!C:P,11,false)</f>
        <v>#N/A</v>
      </c>
      <c r="T1197" s="93" t="str">
        <f>vlookup(F1197,DATABASE!C:Q,8,false)</f>
        <v>#N/A</v>
      </c>
      <c r="Z1197" s="9"/>
    </row>
    <row r="1198" ht="22.5" customHeight="1">
      <c r="A1198" s="49"/>
      <c r="C1198" s="384"/>
      <c r="D1198" s="93"/>
      <c r="F1198" s="74"/>
      <c r="H1198" s="74"/>
      <c r="I1198" s="74"/>
      <c r="J1198" s="74"/>
      <c r="K1198" s="74" t="str">
        <f>if(F1198="SERVICE",O1198-(O1198*50%),Vlookup(F1198,DATABASE!C:Q,10,false)*G1198)</f>
        <v>#N/A</v>
      </c>
      <c r="L1198" s="74" t="str">
        <f>VLOOKUP(F1198,DATABASE!C:Q,7,FALSE)</f>
        <v>#N/A</v>
      </c>
      <c r="M1198" s="74"/>
      <c r="N1198" s="74">
        <f t="shared" si="11"/>
        <v>0</v>
      </c>
      <c r="O1198" s="74">
        <f t="shared" si="13"/>
        <v>0</v>
      </c>
      <c r="P1198" s="63">
        <f t="shared" si="14"/>
        <v>0</v>
      </c>
      <c r="Q1198" s="63" t="str">
        <f t="shared" si="15"/>
        <v>#N/A</v>
      </c>
      <c r="R1198" s="93" t="str">
        <f>VLOOKUP(F1198,DATABASE!C:Q,4,false)</f>
        <v>#N/A</v>
      </c>
      <c r="S1198" s="93" t="str">
        <f>VLOOKUP(F1198,DATABASE!C:P,11,false)</f>
        <v>#N/A</v>
      </c>
      <c r="T1198" s="93" t="str">
        <f>vlookup(F1198,DATABASE!C:Q,8,false)</f>
        <v>#N/A</v>
      </c>
      <c r="Z1198" s="9"/>
    </row>
    <row r="1199" ht="22.5" customHeight="1">
      <c r="A1199" s="49"/>
      <c r="C1199" s="384"/>
      <c r="D1199" s="93"/>
      <c r="F1199" s="74"/>
      <c r="H1199" s="74"/>
      <c r="I1199" s="74"/>
      <c r="J1199" s="74"/>
      <c r="K1199" s="74" t="str">
        <f>if(F1199="SERVICE",O1199-(O1199*50%),Vlookup(F1199,DATABASE!C:Q,10,false)*G1199)</f>
        <v>#N/A</v>
      </c>
      <c r="L1199" s="74" t="str">
        <f>VLOOKUP(F1199,DATABASE!C:Q,7,FALSE)</f>
        <v>#N/A</v>
      </c>
      <c r="M1199" s="74"/>
      <c r="N1199" s="74">
        <f t="shared" si="11"/>
        <v>0</v>
      </c>
      <c r="O1199" s="74">
        <f t="shared" si="13"/>
        <v>0</v>
      </c>
      <c r="P1199" s="63">
        <f t="shared" si="14"/>
        <v>0</v>
      </c>
      <c r="Q1199" s="63" t="str">
        <f t="shared" si="15"/>
        <v>#N/A</v>
      </c>
      <c r="R1199" s="93" t="str">
        <f>VLOOKUP(F1199,DATABASE!C:Q,4,false)</f>
        <v>#N/A</v>
      </c>
      <c r="S1199" s="93" t="str">
        <f>VLOOKUP(F1199,DATABASE!C:P,11,false)</f>
        <v>#N/A</v>
      </c>
      <c r="T1199" s="93" t="str">
        <f>vlookup(F1199,DATABASE!C:Q,8,false)</f>
        <v>#N/A</v>
      </c>
      <c r="Z1199" s="9"/>
    </row>
    <row r="1200" ht="22.5" customHeight="1">
      <c r="A1200" s="49"/>
      <c r="C1200" s="384"/>
      <c r="D1200" s="93"/>
      <c r="F1200" s="74"/>
      <c r="H1200" s="74"/>
      <c r="I1200" s="74"/>
      <c r="J1200" s="74"/>
      <c r="K1200" s="74" t="str">
        <f>if(F1200="SERVICE",O1200-(O1200*50%),Vlookup(F1200,DATABASE!C:Q,10,false)*G1200)</f>
        <v>#N/A</v>
      </c>
      <c r="L1200" s="74" t="str">
        <f>VLOOKUP(F1200,DATABASE!C:Q,7,FALSE)</f>
        <v>#N/A</v>
      </c>
      <c r="M1200" s="74"/>
      <c r="N1200" s="74">
        <f t="shared" si="11"/>
        <v>0</v>
      </c>
      <c r="O1200" s="74">
        <f t="shared" si="13"/>
        <v>0</v>
      </c>
      <c r="P1200" s="63">
        <f t="shared" si="14"/>
        <v>0</v>
      </c>
      <c r="Q1200" s="63" t="str">
        <f t="shared" si="15"/>
        <v>#N/A</v>
      </c>
      <c r="R1200" s="93" t="str">
        <f>VLOOKUP(F1200,DATABASE!C:Q,4,false)</f>
        <v>#N/A</v>
      </c>
      <c r="S1200" s="93" t="str">
        <f>VLOOKUP(F1200,DATABASE!C:P,11,false)</f>
        <v>#N/A</v>
      </c>
      <c r="T1200" s="93" t="str">
        <f>vlookup(F1200,DATABASE!C:Q,8,false)</f>
        <v>#N/A</v>
      </c>
      <c r="Z1200" s="9"/>
    </row>
    <row r="1201" ht="22.5" customHeight="1">
      <c r="A1201" s="49"/>
      <c r="C1201" s="384"/>
      <c r="D1201" s="93"/>
      <c r="F1201" s="74"/>
      <c r="H1201" s="74"/>
      <c r="I1201" s="74"/>
      <c r="J1201" s="74"/>
      <c r="K1201" s="74" t="str">
        <f>if(F1201="SERVICE",O1201-(O1201*50%),Vlookup(F1201,DATABASE!C:Q,10,false)*G1201)</f>
        <v>#N/A</v>
      </c>
      <c r="L1201" s="74" t="str">
        <f>VLOOKUP(F1201,DATABASE!C:Q,7,FALSE)</f>
        <v>#N/A</v>
      </c>
      <c r="M1201" s="74"/>
      <c r="N1201" s="74">
        <f t="shared" si="11"/>
        <v>0</v>
      </c>
      <c r="O1201" s="74">
        <f t="shared" si="13"/>
        <v>0</v>
      </c>
      <c r="P1201" s="63">
        <f t="shared" si="14"/>
        <v>0</v>
      </c>
      <c r="Q1201" s="63" t="str">
        <f t="shared" si="15"/>
        <v>#N/A</v>
      </c>
      <c r="R1201" s="93" t="str">
        <f>VLOOKUP(F1201,DATABASE!C:Q,4,false)</f>
        <v>#N/A</v>
      </c>
      <c r="S1201" s="93" t="str">
        <f>VLOOKUP(F1201,DATABASE!C:P,11,false)</f>
        <v>#N/A</v>
      </c>
      <c r="T1201" s="93" t="str">
        <f>vlookup(F1201,DATABASE!C:Q,8,false)</f>
        <v>#N/A</v>
      </c>
      <c r="Z1201" s="9"/>
    </row>
    <row r="1202" ht="22.5" customHeight="1">
      <c r="A1202" s="49"/>
      <c r="C1202" s="384"/>
      <c r="D1202" s="93"/>
      <c r="F1202" s="74"/>
      <c r="H1202" s="74"/>
      <c r="I1202" s="74"/>
      <c r="J1202" s="74"/>
      <c r="K1202" s="74" t="str">
        <f>if(F1202="SERVICE",O1202-(O1202*50%),Vlookup(F1202,DATABASE!C:Q,10,false)*G1202)</f>
        <v>#N/A</v>
      </c>
      <c r="L1202" s="74" t="str">
        <f>VLOOKUP(F1202,DATABASE!C:Q,7,FALSE)</f>
        <v>#N/A</v>
      </c>
      <c r="M1202" s="74"/>
      <c r="N1202" s="74">
        <f t="shared" si="11"/>
        <v>0</v>
      </c>
      <c r="O1202" s="74">
        <f t="shared" si="13"/>
        <v>0</v>
      </c>
      <c r="P1202" s="63">
        <f t="shared" si="14"/>
        <v>0</v>
      </c>
      <c r="Q1202" s="63" t="str">
        <f t="shared" si="15"/>
        <v>#N/A</v>
      </c>
      <c r="R1202" s="93" t="str">
        <f>VLOOKUP(F1202,DATABASE!C:Q,4,false)</f>
        <v>#N/A</v>
      </c>
      <c r="S1202" s="93" t="str">
        <f>VLOOKUP(F1202,DATABASE!C:P,11,false)</f>
        <v>#N/A</v>
      </c>
      <c r="T1202" s="93" t="str">
        <f>vlookup(F1202,DATABASE!C:Q,8,false)</f>
        <v>#N/A</v>
      </c>
      <c r="Z1202" s="9"/>
    </row>
    <row r="1203" ht="22.5" customHeight="1">
      <c r="A1203" s="49"/>
      <c r="C1203" s="384"/>
      <c r="D1203" s="93"/>
      <c r="F1203" s="74"/>
      <c r="H1203" s="74"/>
      <c r="I1203" s="74"/>
      <c r="J1203" s="74"/>
      <c r="K1203" s="74" t="str">
        <f>if(F1203="SERVICE",O1203-(O1203*50%),Vlookup(F1203,DATABASE!C:Q,10,false)*G1203)</f>
        <v>#N/A</v>
      </c>
      <c r="L1203" s="74" t="str">
        <f>VLOOKUP(F1203,DATABASE!C:Q,7,FALSE)</f>
        <v>#N/A</v>
      </c>
      <c r="M1203" s="74"/>
      <c r="N1203" s="74">
        <f t="shared" si="11"/>
        <v>0</v>
      </c>
      <c r="O1203" s="74">
        <f t="shared" si="13"/>
        <v>0</v>
      </c>
      <c r="P1203" s="63">
        <f t="shared" si="14"/>
        <v>0</v>
      </c>
      <c r="Q1203" s="63" t="str">
        <f t="shared" si="15"/>
        <v>#N/A</v>
      </c>
      <c r="R1203" s="93" t="str">
        <f>VLOOKUP(F1203,DATABASE!C:Q,4,false)</f>
        <v>#N/A</v>
      </c>
      <c r="S1203" s="93" t="str">
        <f>VLOOKUP(F1203,DATABASE!C:P,11,false)</f>
        <v>#N/A</v>
      </c>
      <c r="T1203" s="93" t="str">
        <f>vlookup(F1203,DATABASE!C:Q,8,false)</f>
        <v>#N/A</v>
      </c>
      <c r="Z1203" s="9"/>
    </row>
    <row r="1204" ht="22.5" customHeight="1">
      <c r="A1204" s="49"/>
      <c r="C1204" s="384"/>
      <c r="D1204" s="93"/>
      <c r="F1204" s="74"/>
      <c r="H1204" s="74"/>
      <c r="I1204" s="74"/>
      <c r="J1204" s="74"/>
      <c r="K1204" s="74" t="str">
        <f>if(F1204="SERVICE",O1204-(O1204*50%),Vlookup(F1204,DATABASE!C:Q,10,false)*G1204)</f>
        <v>#N/A</v>
      </c>
      <c r="L1204" s="74" t="str">
        <f>VLOOKUP(F1204,DATABASE!C:Q,7,FALSE)</f>
        <v>#N/A</v>
      </c>
      <c r="M1204" s="74"/>
      <c r="N1204" s="74">
        <f t="shared" si="11"/>
        <v>0</v>
      </c>
      <c r="O1204" s="74">
        <f t="shared" si="13"/>
        <v>0</v>
      </c>
      <c r="P1204" s="63">
        <f t="shared" si="14"/>
        <v>0</v>
      </c>
      <c r="Q1204" s="63" t="str">
        <f t="shared" si="15"/>
        <v>#N/A</v>
      </c>
      <c r="R1204" s="93" t="str">
        <f>VLOOKUP(F1204,DATABASE!C:Q,4,false)</f>
        <v>#N/A</v>
      </c>
      <c r="S1204" s="93" t="str">
        <f>VLOOKUP(F1204,DATABASE!C:P,11,false)</f>
        <v>#N/A</v>
      </c>
      <c r="T1204" s="93" t="str">
        <f>vlookup(F1204,DATABASE!C:Q,8,false)</f>
        <v>#N/A</v>
      </c>
      <c r="Z1204" s="9"/>
    </row>
    <row r="1205" ht="22.5" customHeight="1">
      <c r="A1205" s="49"/>
      <c r="C1205" s="384"/>
      <c r="D1205" s="93"/>
      <c r="F1205" s="74"/>
      <c r="H1205" s="74"/>
      <c r="I1205" s="74"/>
      <c r="J1205" s="74"/>
      <c r="K1205" s="74" t="str">
        <f>if(F1205="SERVICE",O1205-(O1205*50%),Vlookup(F1205,DATABASE!C:Q,10,false)*G1205)</f>
        <v>#N/A</v>
      </c>
      <c r="L1205" s="74" t="str">
        <f>VLOOKUP(F1205,DATABASE!C:Q,7,FALSE)</f>
        <v>#N/A</v>
      </c>
      <c r="M1205" s="74"/>
      <c r="N1205" s="74">
        <f t="shared" si="11"/>
        <v>0</v>
      </c>
      <c r="O1205" s="74">
        <f t="shared" si="13"/>
        <v>0</v>
      </c>
      <c r="P1205" s="63">
        <f t="shared" si="14"/>
        <v>0</v>
      </c>
      <c r="Q1205" s="63" t="str">
        <f t="shared" si="15"/>
        <v>#N/A</v>
      </c>
      <c r="R1205" s="93" t="str">
        <f>VLOOKUP(F1205,DATABASE!C:Q,4,false)</f>
        <v>#N/A</v>
      </c>
      <c r="S1205" s="93" t="str">
        <f>VLOOKUP(F1205,DATABASE!C:P,11,false)</f>
        <v>#N/A</v>
      </c>
      <c r="T1205" s="93" t="str">
        <f>vlookup(F1205,DATABASE!C:Q,8,false)</f>
        <v>#N/A</v>
      </c>
      <c r="Z1205" s="9"/>
    </row>
    <row r="1206" ht="22.5" customHeight="1">
      <c r="A1206" s="49"/>
      <c r="C1206" s="384"/>
      <c r="D1206" s="93"/>
      <c r="F1206" s="74"/>
      <c r="H1206" s="74"/>
      <c r="I1206" s="74"/>
      <c r="J1206" s="74"/>
      <c r="K1206" s="74" t="str">
        <f>if(F1206="SERVICE",O1206-(O1206*50%),Vlookup(F1206,DATABASE!C:Q,10,false)*G1206)</f>
        <v>#N/A</v>
      </c>
      <c r="L1206" s="74" t="str">
        <f>VLOOKUP(F1206,DATABASE!C:Q,7,FALSE)</f>
        <v>#N/A</v>
      </c>
      <c r="M1206" s="74"/>
      <c r="N1206" s="74">
        <f t="shared" si="11"/>
        <v>0</v>
      </c>
      <c r="O1206" s="74">
        <f t="shared" si="13"/>
        <v>0</v>
      </c>
      <c r="P1206" s="63">
        <f t="shared" si="14"/>
        <v>0</v>
      </c>
      <c r="Q1206" s="63" t="str">
        <f t="shared" si="15"/>
        <v>#N/A</v>
      </c>
      <c r="R1206" s="93" t="str">
        <f>VLOOKUP(F1206,DATABASE!C:Q,4,false)</f>
        <v>#N/A</v>
      </c>
      <c r="S1206" s="93" t="str">
        <f>VLOOKUP(F1206,DATABASE!C:P,11,false)</f>
        <v>#N/A</v>
      </c>
      <c r="T1206" s="93" t="str">
        <f>vlookup(F1206,DATABASE!C:Q,8,false)</f>
        <v>#N/A</v>
      </c>
      <c r="Z1206" s="9"/>
    </row>
    <row r="1207" ht="22.5" customHeight="1">
      <c r="A1207" s="49"/>
      <c r="C1207" s="384"/>
      <c r="D1207" s="93"/>
      <c r="F1207" s="74"/>
      <c r="H1207" s="74"/>
      <c r="I1207" s="74"/>
      <c r="J1207" s="74"/>
      <c r="K1207" s="74" t="str">
        <f>if(F1207="SERVICE",O1207-(O1207*50%),Vlookup(F1207,DATABASE!C:Q,10,false)*G1207)</f>
        <v>#N/A</v>
      </c>
      <c r="L1207" s="74" t="str">
        <f>VLOOKUP(F1207,DATABASE!C:Q,7,FALSE)</f>
        <v>#N/A</v>
      </c>
      <c r="M1207" s="74"/>
      <c r="N1207" s="74">
        <f t="shared" si="11"/>
        <v>0</v>
      </c>
      <c r="O1207" s="74">
        <f t="shared" si="13"/>
        <v>0</v>
      </c>
      <c r="P1207" s="63">
        <f t="shared" si="14"/>
        <v>0</v>
      </c>
      <c r="Q1207" s="63" t="str">
        <f t="shared" si="15"/>
        <v>#N/A</v>
      </c>
      <c r="R1207" s="93" t="str">
        <f>VLOOKUP(F1207,DATABASE!C:Q,4,false)</f>
        <v>#N/A</v>
      </c>
      <c r="S1207" s="93" t="str">
        <f>VLOOKUP(F1207,DATABASE!C:P,11,false)</f>
        <v>#N/A</v>
      </c>
      <c r="T1207" s="93" t="str">
        <f>vlookup(F1207,DATABASE!C:Q,8,false)</f>
        <v>#N/A</v>
      </c>
      <c r="Z1207" s="9"/>
    </row>
    <row r="1208" ht="22.5" customHeight="1">
      <c r="A1208" s="49"/>
      <c r="C1208" s="384"/>
      <c r="D1208" s="93"/>
      <c r="F1208" s="74"/>
      <c r="H1208" s="74"/>
      <c r="I1208" s="74"/>
      <c r="J1208" s="74"/>
      <c r="K1208" s="74" t="str">
        <f>if(F1208="SERVICE",O1208-(O1208*50%),Vlookup(F1208,DATABASE!C:Q,10,false)*G1208)</f>
        <v>#N/A</v>
      </c>
      <c r="L1208" s="74" t="str">
        <f>VLOOKUP(F1208,DATABASE!C:Q,7,FALSE)</f>
        <v>#N/A</v>
      </c>
      <c r="M1208" s="74"/>
      <c r="N1208" s="74">
        <f t="shared" si="11"/>
        <v>0</v>
      </c>
      <c r="O1208" s="74">
        <f t="shared" si="13"/>
        <v>0</v>
      </c>
      <c r="P1208" s="63">
        <f t="shared" si="14"/>
        <v>0</v>
      </c>
      <c r="Q1208" s="63" t="str">
        <f t="shared" si="15"/>
        <v>#N/A</v>
      </c>
      <c r="R1208" s="93" t="str">
        <f>VLOOKUP(F1208,DATABASE!C:Q,4,false)</f>
        <v>#N/A</v>
      </c>
      <c r="S1208" s="93" t="str">
        <f>VLOOKUP(F1208,DATABASE!C:P,11,false)</f>
        <v>#N/A</v>
      </c>
      <c r="T1208" s="93" t="str">
        <f>vlookup(F1208,DATABASE!C:Q,8,false)</f>
        <v>#N/A</v>
      </c>
      <c r="Z1208" s="9"/>
    </row>
    <row r="1209" ht="22.5" customHeight="1">
      <c r="A1209" s="49"/>
      <c r="C1209" s="384"/>
      <c r="D1209" s="93"/>
      <c r="F1209" s="74"/>
      <c r="H1209" s="74"/>
      <c r="I1209" s="74"/>
      <c r="J1209" s="74"/>
      <c r="K1209" s="74" t="str">
        <f>if(F1209="SERVICE",O1209-(O1209*50%),Vlookup(F1209,DATABASE!C:Q,10,false)*G1209)</f>
        <v>#N/A</v>
      </c>
      <c r="L1209" s="74" t="str">
        <f>VLOOKUP(F1209,DATABASE!C:Q,7,FALSE)</f>
        <v>#N/A</v>
      </c>
      <c r="M1209" s="74"/>
      <c r="N1209" s="74">
        <f t="shared" si="11"/>
        <v>0</v>
      </c>
      <c r="O1209" s="74">
        <f t="shared" si="13"/>
        <v>0</v>
      </c>
      <c r="P1209" s="63">
        <f t="shared" si="14"/>
        <v>0</v>
      </c>
      <c r="Q1209" s="63" t="str">
        <f t="shared" si="15"/>
        <v>#N/A</v>
      </c>
      <c r="R1209" s="93" t="str">
        <f>VLOOKUP(F1209,DATABASE!C:Q,4,false)</f>
        <v>#N/A</v>
      </c>
      <c r="S1209" s="93" t="str">
        <f>VLOOKUP(F1209,DATABASE!C:P,11,false)</f>
        <v>#N/A</v>
      </c>
      <c r="T1209" s="93" t="str">
        <f>vlookup(F1209,DATABASE!C:Q,8,false)</f>
        <v>#N/A</v>
      </c>
      <c r="Z1209" s="9"/>
    </row>
    <row r="1210" ht="22.5" customHeight="1">
      <c r="A1210" s="49"/>
      <c r="C1210" s="384"/>
      <c r="D1210" s="93"/>
      <c r="F1210" s="74"/>
      <c r="H1210" s="74"/>
      <c r="I1210" s="74"/>
      <c r="J1210" s="74"/>
      <c r="K1210" s="74" t="str">
        <f>if(F1210="SERVICE",O1210-(O1210*50%),Vlookup(F1210,DATABASE!C:Q,10,false)*G1210)</f>
        <v>#N/A</v>
      </c>
      <c r="L1210" s="74" t="str">
        <f>VLOOKUP(F1210,DATABASE!C:Q,7,FALSE)</f>
        <v>#N/A</v>
      </c>
      <c r="M1210" s="74"/>
      <c r="N1210" s="74">
        <f t="shared" si="11"/>
        <v>0</v>
      </c>
      <c r="O1210" s="74">
        <f t="shared" si="13"/>
        <v>0</v>
      </c>
      <c r="P1210" s="63">
        <f t="shared" si="14"/>
        <v>0</v>
      </c>
      <c r="Q1210" s="63" t="str">
        <f t="shared" si="15"/>
        <v>#N/A</v>
      </c>
      <c r="R1210" s="93" t="str">
        <f>VLOOKUP(F1210,DATABASE!C:Q,4,false)</f>
        <v>#N/A</v>
      </c>
      <c r="S1210" s="93" t="str">
        <f>VLOOKUP(F1210,DATABASE!C:P,11,false)</f>
        <v>#N/A</v>
      </c>
      <c r="T1210" s="93" t="str">
        <f>vlookup(F1210,DATABASE!C:Q,8,false)</f>
        <v>#N/A</v>
      </c>
      <c r="Z1210" s="9"/>
    </row>
    <row r="1211" ht="22.5" customHeight="1">
      <c r="A1211" s="49"/>
      <c r="C1211" s="384"/>
      <c r="D1211" s="93"/>
      <c r="F1211" s="74"/>
      <c r="H1211" s="74"/>
      <c r="I1211" s="74"/>
      <c r="J1211" s="74"/>
      <c r="K1211" s="74" t="str">
        <f>if(F1211="SERVICE",O1211-(O1211*50%),Vlookup(F1211,DATABASE!C:Q,10,false)*G1211)</f>
        <v>#N/A</v>
      </c>
      <c r="L1211" s="74" t="str">
        <f>VLOOKUP(F1211,DATABASE!C:Q,7,FALSE)</f>
        <v>#N/A</v>
      </c>
      <c r="M1211" s="74"/>
      <c r="N1211" s="74">
        <f t="shared" si="11"/>
        <v>0</v>
      </c>
      <c r="O1211" s="74">
        <f t="shared" si="13"/>
        <v>0</v>
      </c>
      <c r="P1211" s="63">
        <f t="shared" si="14"/>
        <v>0</v>
      </c>
      <c r="Q1211" s="63" t="str">
        <f t="shared" si="15"/>
        <v>#N/A</v>
      </c>
      <c r="R1211" s="93" t="str">
        <f>VLOOKUP(F1211,DATABASE!C:Q,4,false)</f>
        <v>#N/A</v>
      </c>
      <c r="S1211" s="93" t="str">
        <f>VLOOKUP(F1211,DATABASE!C:P,11,false)</f>
        <v>#N/A</v>
      </c>
      <c r="T1211" s="93" t="str">
        <f>vlookup(F1211,DATABASE!C:Q,8,false)</f>
        <v>#N/A</v>
      </c>
      <c r="Z1211" s="9"/>
    </row>
    <row r="1212" ht="22.5" customHeight="1">
      <c r="A1212" s="49"/>
      <c r="C1212" s="384"/>
      <c r="D1212" s="93"/>
      <c r="F1212" s="74"/>
      <c r="H1212" s="74"/>
      <c r="I1212" s="74"/>
      <c r="J1212" s="74"/>
      <c r="K1212" s="74" t="str">
        <f>if(F1212="SERVICE",O1212-(O1212*50%),Vlookup(F1212,DATABASE!C:Q,10,false)*G1212)</f>
        <v>#N/A</v>
      </c>
      <c r="L1212" s="74" t="str">
        <f>VLOOKUP(F1212,DATABASE!C:Q,7,FALSE)</f>
        <v>#N/A</v>
      </c>
      <c r="M1212" s="74"/>
      <c r="N1212" s="74">
        <f t="shared" si="11"/>
        <v>0</v>
      </c>
      <c r="O1212" s="74">
        <f t="shared" si="13"/>
        <v>0</v>
      </c>
      <c r="P1212" s="63">
        <f t="shared" si="14"/>
        <v>0</v>
      </c>
      <c r="Q1212" s="63" t="str">
        <f t="shared" si="15"/>
        <v>#N/A</v>
      </c>
      <c r="R1212" s="93" t="str">
        <f>VLOOKUP(F1212,DATABASE!C:Q,4,false)</f>
        <v>#N/A</v>
      </c>
      <c r="S1212" s="93" t="str">
        <f>VLOOKUP(F1212,DATABASE!C:P,11,false)</f>
        <v>#N/A</v>
      </c>
      <c r="T1212" s="93" t="str">
        <f>vlookup(F1212,DATABASE!C:Q,8,false)</f>
        <v>#N/A</v>
      </c>
      <c r="Z1212" s="9"/>
    </row>
    <row r="1213" ht="22.5" customHeight="1">
      <c r="A1213" s="49"/>
      <c r="C1213" s="384"/>
      <c r="D1213" s="93"/>
      <c r="F1213" s="74"/>
      <c r="H1213" s="74"/>
      <c r="I1213" s="74"/>
      <c r="J1213" s="74"/>
      <c r="K1213" s="74" t="str">
        <f>if(F1213="SERVICE",O1213-(O1213*50%),Vlookup(F1213,DATABASE!C:Q,10,false)*G1213)</f>
        <v>#N/A</v>
      </c>
      <c r="L1213" s="74" t="str">
        <f>VLOOKUP(F1213,DATABASE!C:Q,7,FALSE)</f>
        <v>#N/A</v>
      </c>
      <c r="M1213" s="74"/>
      <c r="N1213" s="74">
        <f t="shared" si="11"/>
        <v>0</v>
      </c>
      <c r="O1213" s="74">
        <f t="shared" si="13"/>
        <v>0</v>
      </c>
      <c r="P1213" s="63">
        <f t="shared" si="14"/>
        <v>0</v>
      </c>
      <c r="Q1213" s="63" t="str">
        <f t="shared" si="15"/>
        <v>#N/A</v>
      </c>
      <c r="R1213" s="93" t="str">
        <f>VLOOKUP(F1213,DATABASE!C:Q,4,false)</f>
        <v>#N/A</v>
      </c>
      <c r="S1213" s="93" t="str">
        <f>VLOOKUP(F1213,DATABASE!C:P,11,false)</f>
        <v>#N/A</v>
      </c>
      <c r="T1213" s="93" t="str">
        <f>vlookup(F1213,DATABASE!C:Q,8,false)</f>
        <v>#N/A</v>
      </c>
      <c r="Z1213" s="9"/>
    </row>
    <row r="1214" ht="22.5" customHeight="1">
      <c r="A1214" s="49"/>
      <c r="C1214" s="384"/>
      <c r="D1214" s="93"/>
      <c r="F1214" s="74"/>
      <c r="H1214" s="74"/>
      <c r="I1214" s="74"/>
      <c r="J1214" s="74"/>
      <c r="K1214" s="74" t="str">
        <f>if(F1214="SERVICE",O1214-(O1214*50%),Vlookup(F1214,DATABASE!C:Q,10,false)*G1214)</f>
        <v>#N/A</v>
      </c>
      <c r="L1214" s="74" t="str">
        <f>VLOOKUP(F1214,DATABASE!C:Q,7,FALSE)</f>
        <v>#N/A</v>
      </c>
      <c r="M1214" s="74"/>
      <c r="N1214" s="74">
        <f t="shared" si="11"/>
        <v>0</v>
      </c>
      <c r="O1214" s="74">
        <f t="shared" si="13"/>
        <v>0</v>
      </c>
      <c r="P1214" s="63">
        <f t="shared" si="14"/>
        <v>0</v>
      </c>
      <c r="Q1214" s="63" t="str">
        <f t="shared" si="15"/>
        <v>#N/A</v>
      </c>
      <c r="R1214" s="93" t="str">
        <f>VLOOKUP(F1214,DATABASE!C:Q,4,false)</f>
        <v>#N/A</v>
      </c>
      <c r="S1214" s="93" t="str">
        <f>VLOOKUP(F1214,DATABASE!C:P,11,false)</f>
        <v>#N/A</v>
      </c>
      <c r="T1214" s="93" t="str">
        <f>vlookup(F1214,DATABASE!C:Q,8,false)</f>
        <v>#N/A</v>
      </c>
      <c r="Z1214" s="9"/>
    </row>
    <row r="1215" ht="22.5" customHeight="1">
      <c r="A1215" s="49"/>
      <c r="C1215" s="384"/>
      <c r="D1215" s="93"/>
      <c r="F1215" s="74"/>
      <c r="H1215" s="74"/>
      <c r="I1215" s="74"/>
      <c r="J1215" s="74"/>
      <c r="K1215" s="74" t="str">
        <f>if(F1215="SERVICE",O1215-(O1215*50%),Vlookup(F1215,DATABASE!C:Q,10,false)*G1215)</f>
        <v>#N/A</v>
      </c>
      <c r="L1215" s="74" t="str">
        <f>VLOOKUP(F1215,DATABASE!C:Q,7,FALSE)</f>
        <v>#N/A</v>
      </c>
      <c r="M1215" s="74"/>
      <c r="N1215" s="74">
        <f t="shared" si="11"/>
        <v>0</v>
      </c>
      <c r="O1215" s="74">
        <f t="shared" si="13"/>
        <v>0</v>
      </c>
      <c r="P1215" s="63">
        <f t="shared" si="14"/>
        <v>0</v>
      </c>
      <c r="Q1215" s="63" t="str">
        <f t="shared" si="15"/>
        <v>#N/A</v>
      </c>
      <c r="R1215" s="93" t="str">
        <f>VLOOKUP(F1215,DATABASE!C:Q,4,false)</f>
        <v>#N/A</v>
      </c>
      <c r="S1215" s="93" t="str">
        <f>VLOOKUP(F1215,DATABASE!C:P,11,false)</f>
        <v>#N/A</v>
      </c>
      <c r="T1215" s="93" t="str">
        <f>vlookup(F1215,DATABASE!C:Q,8,false)</f>
        <v>#N/A</v>
      </c>
      <c r="Z1215" s="9"/>
    </row>
    <row r="1216" ht="22.5" customHeight="1">
      <c r="A1216" s="49"/>
      <c r="C1216" s="384"/>
      <c r="D1216" s="93"/>
      <c r="F1216" s="74"/>
      <c r="H1216" s="74"/>
      <c r="I1216" s="74"/>
      <c r="J1216" s="74"/>
      <c r="K1216" s="74" t="str">
        <f>if(F1216="SERVICE",O1216-(O1216*50%),Vlookup(F1216,DATABASE!C:Q,10,false)*G1216)</f>
        <v>#N/A</v>
      </c>
      <c r="L1216" s="74" t="str">
        <f>VLOOKUP(F1216,DATABASE!C:Q,7,FALSE)</f>
        <v>#N/A</v>
      </c>
      <c r="M1216" s="74"/>
      <c r="N1216" s="74">
        <f t="shared" si="11"/>
        <v>0</v>
      </c>
      <c r="O1216" s="74">
        <f t="shared" si="13"/>
        <v>0</v>
      </c>
      <c r="P1216" s="63">
        <f t="shared" si="14"/>
        <v>0</v>
      </c>
      <c r="Q1216" s="63" t="str">
        <f t="shared" si="15"/>
        <v>#N/A</v>
      </c>
      <c r="R1216" s="93" t="str">
        <f>VLOOKUP(F1216,DATABASE!C:Q,4,false)</f>
        <v>#N/A</v>
      </c>
      <c r="S1216" s="93" t="str">
        <f>VLOOKUP(F1216,DATABASE!C:P,11,false)</f>
        <v>#N/A</v>
      </c>
      <c r="T1216" s="93" t="str">
        <f>vlookup(F1216,DATABASE!C:Q,8,false)</f>
        <v>#N/A</v>
      </c>
      <c r="Z1216" s="9"/>
    </row>
    <row r="1217" ht="22.5" customHeight="1">
      <c r="A1217" s="49"/>
      <c r="C1217" s="384"/>
      <c r="D1217" s="93"/>
      <c r="F1217" s="74"/>
      <c r="H1217" s="74"/>
      <c r="I1217" s="74"/>
      <c r="J1217" s="74"/>
      <c r="K1217" s="74" t="str">
        <f>if(F1217="SERVICE",O1217-(O1217*50%),Vlookup(F1217,DATABASE!C:Q,10,false)*G1217)</f>
        <v>#N/A</v>
      </c>
      <c r="L1217" s="74" t="str">
        <f>VLOOKUP(F1217,DATABASE!C:Q,7,FALSE)</f>
        <v>#N/A</v>
      </c>
      <c r="M1217" s="74"/>
      <c r="N1217" s="74">
        <f t="shared" si="11"/>
        <v>0</v>
      </c>
      <c r="O1217" s="74">
        <f t="shared" si="13"/>
        <v>0</v>
      </c>
      <c r="P1217" s="63">
        <f t="shared" si="14"/>
        <v>0</v>
      </c>
      <c r="Q1217" s="63" t="str">
        <f t="shared" si="15"/>
        <v>#N/A</v>
      </c>
      <c r="R1217" s="93" t="str">
        <f>VLOOKUP(F1217,DATABASE!C:Q,4,false)</f>
        <v>#N/A</v>
      </c>
      <c r="S1217" s="93" t="str">
        <f>VLOOKUP(F1217,DATABASE!C:P,11,false)</f>
        <v>#N/A</v>
      </c>
      <c r="T1217" s="93" t="str">
        <f>vlookup(F1217,DATABASE!C:Q,8,false)</f>
        <v>#N/A</v>
      </c>
      <c r="Z1217" s="9"/>
    </row>
    <row r="1218" ht="22.5" customHeight="1">
      <c r="A1218" s="49"/>
      <c r="C1218" s="384"/>
      <c r="D1218" s="93"/>
      <c r="F1218" s="74"/>
      <c r="H1218" s="74"/>
      <c r="I1218" s="74"/>
      <c r="J1218" s="74"/>
      <c r="K1218" s="74" t="str">
        <f>if(F1218="SERVICE",O1218-(O1218*50%),Vlookup(F1218,DATABASE!C:Q,10,false)*G1218)</f>
        <v>#N/A</v>
      </c>
      <c r="L1218" s="74" t="str">
        <f>VLOOKUP(F1218,DATABASE!C:Q,7,FALSE)</f>
        <v>#N/A</v>
      </c>
      <c r="M1218" s="74"/>
      <c r="N1218" s="74">
        <f t="shared" si="11"/>
        <v>0</v>
      </c>
      <c r="O1218" s="74">
        <f t="shared" si="13"/>
        <v>0</v>
      </c>
      <c r="P1218" s="63">
        <f t="shared" si="14"/>
        <v>0</v>
      </c>
      <c r="Q1218" s="63" t="str">
        <f t="shared" si="15"/>
        <v>#N/A</v>
      </c>
      <c r="R1218" s="93" t="str">
        <f>VLOOKUP(F1218,DATABASE!C:Q,4,false)</f>
        <v>#N/A</v>
      </c>
      <c r="S1218" s="93" t="str">
        <f>VLOOKUP(F1218,DATABASE!C:P,11,false)</f>
        <v>#N/A</v>
      </c>
      <c r="T1218" s="93" t="str">
        <f>vlookup(F1218,DATABASE!C:Q,8,false)</f>
        <v>#N/A</v>
      </c>
      <c r="Z1218" s="9"/>
    </row>
    <row r="1219" ht="22.5" customHeight="1">
      <c r="A1219" s="49"/>
      <c r="C1219" s="384"/>
      <c r="D1219" s="93"/>
      <c r="F1219" s="74"/>
      <c r="H1219" s="74"/>
      <c r="I1219" s="74"/>
      <c r="J1219" s="74"/>
      <c r="K1219" s="74" t="str">
        <f>if(F1219="SERVICE",O1219-(O1219*50%),Vlookup(F1219,DATABASE!C:Q,10,false)*G1219)</f>
        <v>#N/A</v>
      </c>
      <c r="L1219" s="74" t="str">
        <f>VLOOKUP(F1219,DATABASE!C:Q,7,FALSE)</f>
        <v>#N/A</v>
      </c>
      <c r="M1219" s="74"/>
      <c r="N1219" s="74">
        <f t="shared" si="11"/>
        <v>0</v>
      </c>
      <c r="O1219" s="74">
        <f t="shared" si="13"/>
        <v>0</v>
      </c>
      <c r="P1219" s="63">
        <f t="shared" si="14"/>
        <v>0</v>
      </c>
      <c r="Q1219" s="63" t="str">
        <f t="shared" si="15"/>
        <v>#N/A</v>
      </c>
      <c r="R1219" s="93" t="str">
        <f>VLOOKUP(F1219,DATABASE!C:Q,4,false)</f>
        <v>#N/A</v>
      </c>
      <c r="S1219" s="93" t="str">
        <f>VLOOKUP(F1219,DATABASE!C:P,11,false)</f>
        <v>#N/A</v>
      </c>
      <c r="T1219" s="93" t="str">
        <f>vlookup(F1219,DATABASE!C:Q,8,false)</f>
        <v>#N/A</v>
      </c>
      <c r="Z1219" s="9"/>
    </row>
    <row r="1220" ht="22.5" customHeight="1">
      <c r="A1220" s="49"/>
      <c r="C1220" s="384"/>
      <c r="D1220" s="93"/>
      <c r="F1220" s="74"/>
      <c r="H1220" s="74"/>
      <c r="I1220" s="74"/>
      <c r="J1220" s="74"/>
      <c r="K1220" s="74" t="str">
        <f>if(F1220="SERVICE",O1220-(O1220*50%),Vlookup(F1220,DATABASE!C:Q,10,false)*G1220)</f>
        <v>#N/A</v>
      </c>
      <c r="L1220" s="74" t="str">
        <f>VLOOKUP(F1220,DATABASE!C:Q,7,FALSE)</f>
        <v>#N/A</v>
      </c>
      <c r="M1220" s="74"/>
      <c r="N1220" s="74">
        <f t="shared" si="11"/>
        <v>0</v>
      </c>
      <c r="O1220" s="74">
        <f t="shared" si="13"/>
        <v>0</v>
      </c>
      <c r="P1220" s="63">
        <f t="shared" si="14"/>
        <v>0</v>
      </c>
      <c r="Q1220" s="63" t="str">
        <f t="shared" si="15"/>
        <v>#N/A</v>
      </c>
      <c r="R1220" s="93" t="str">
        <f>VLOOKUP(F1220,DATABASE!C:Q,4,false)</f>
        <v>#N/A</v>
      </c>
      <c r="S1220" s="93" t="str">
        <f>VLOOKUP(F1220,DATABASE!C:P,11,false)</f>
        <v>#N/A</v>
      </c>
      <c r="T1220" s="93" t="str">
        <f>vlookup(F1220,DATABASE!C:Q,8,false)</f>
        <v>#N/A</v>
      </c>
      <c r="Z1220" s="9"/>
    </row>
    <row r="1221" ht="22.5" customHeight="1">
      <c r="A1221" s="49"/>
      <c r="C1221" s="384"/>
      <c r="D1221" s="93"/>
      <c r="F1221" s="74"/>
      <c r="H1221" s="74"/>
      <c r="I1221" s="74"/>
      <c r="J1221" s="74"/>
      <c r="K1221" s="74" t="str">
        <f>if(F1221="SERVICE",O1221-(O1221*50%),Vlookup(F1221,DATABASE!C:Q,10,false)*G1221)</f>
        <v>#N/A</v>
      </c>
      <c r="L1221" s="74" t="str">
        <f>VLOOKUP(F1221,DATABASE!C:Q,7,FALSE)</f>
        <v>#N/A</v>
      </c>
      <c r="M1221" s="74"/>
      <c r="N1221" s="74">
        <f t="shared" si="11"/>
        <v>0</v>
      </c>
      <c r="O1221" s="74">
        <f t="shared" si="13"/>
        <v>0</v>
      </c>
      <c r="P1221" s="63">
        <f t="shared" si="14"/>
        <v>0</v>
      </c>
      <c r="Q1221" s="63" t="str">
        <f t="shared" si="15"/>
        <v>#N/A</v>
      </c>
      <c r="R1221" s="93" t="str">
        <f>VLOOKUP(F1221,DATABASE!C:Q,4,false)</f>
        <v>#N/A</v>
      </c>
      <c r="S1221" s="93" t="str">
        <f>VLOOKUP(F1221,DATABASE!C:P,11,false)</f>
        <v>#N/A</v>
      </c>
      <c r="T1221" s="93" t="str">
        <f>vlookup(F1221,DATABASE!C:Q,8,false)</f>
        <v>#N/A</v>
      </c>
      <c r="Z1221" s="9"/>
    </row>
    <row r="1222" ht="22.5" customHeight="1">
      <c r="A1222" s="49"/>
      <c r="C1222" s="384"/>
      <c r="D1222" s="93"/>
      <c r="F1222" s="74"/>
      <c r="H1222" s="74"/>
      <c r="I1222" s="74"/>
      <c r="J1222" s="74"/>
      <c r="K1222" s="74" t="str">
        <f>if(F1222="SERVICE",O1222-(O1222*50%),Vlookup(F1222,DATABASE!C:Q,10,false)*G1222)</f>
        <v>#N/A</v>
      </c>
      <c r="L1222" s="74" t="str">
        <f>VLOOKUP(F1222,DATABASE!C:Q,7,FALSE)</f>
        <v>#N/A</v>
      </c>
      <c r="M1222" s="74"/>
      <c r="N1222" s="74">
        <f t="shared" si="11"/>
        <v>0</v>
      </c>
      <c r="O1222" s="74">
        <f t="shared" si="13"/>
        <v>0</v>
      </c>
      <c r="P1222" s="63">
        <f t="shared" si="14"/>
        <v>0</v>
      </c>
      <c r="Q1222" s="63" t="str">
        <f t="shared" si="15"/>
        <v>#N/A</v>
      </c>
      <c r="R1222" s="93" t="str">
        <f>VLOOKUP(F1222,DATABASE!C:Q,4,false)</f>
        <v>#N/A</v>
      </c>
      <c r="S1222" s="93" t="str">
        <f>VLOOKUP(F1222,DATABASE!C:P,11,false)</f>
        <v>#N/A</v>
      </c>
      <c r="T1222" s="93" t="str">
        <f>vlookup(F1222,DATABASE!C:Q,8,false)</f>
        <v>#N/A</v>
      </c>
      <c r="Z1222" s="9"/>
    </row>
    <row r="1223" ht="22.5" customHeight="1">
      <c r="A1223" s="49"/>
      <c r="C1223" s="384"/>
      <c r="D1223" s="93"/>
      <c r="F1223" s="74"/>
      <c r="H1223" s="74"/>
      <c r="I1223" s="74"/>
      <c r="J1223" s="74"/>
      <c r="K1223" s="74" t="str">
        <f>if(F1223="SERVICE",O1223-(O1223*50%),Vlookup(F1223,DATABASE!C:Q,10,false)*G1223)</f>
        <v>#N/A</v>
      </c>
      <c r="L1223" s="74" t="str">
        <f>VLOOKUP(F1223,DATABASE!C:Q,7,FALSE)</f>
        <v>#N/A</v>
      </c>
      <c r="M1223" s="74"/>
      <c r="N1223" s="74">
        <f t="shared" si="11"/>
        <v>0</v>
      </c>
      <c r="O1223" s="74">
        <f t="shared" si="13"/>
        <v>0</v>
      </c>
      <c r="P1223" s="63">
        <f t="shared" si="14"/>
        <v>0</v>
      </c>
      <c r="Q1223" s="63" t="str">
        <f t="shared" si="15"/>
        <v>#N/A</v>
      </c>
      <c r="R1223" s="93" t="str">
        <f>VLOOKUP(F1223,DATABASE!C:Q,4,false)</f>
        <v>#N/A</v>
      </c>
      <c r="S1223" s="93" t="str">
        <f>VLOOKUP(F1223,DATABASE!C:P,11,false)</f>
        <v>#N/A</v>
      </c>
      <c r="T1223" s="93" t="str">
        <f>vlookup(F1223,DATABASE!C:Q,8,false)</f>
        <v>#N/A</v>
      </c>
      <c r="Z1223" s="9"/>
    </row>
    <row r="1224" ht="22.5" customHeight="1">
      <c r="A1224" s="49"/>
      <c r="C1224" s="384"/>
      <c r="D1224" s="93"/>
      <c r="F1224" s="74"/>
      <c r="H1224" s="74"/>
      <c r="I1224" s="74"/>
      <c r="J1224" s="74"/>
      <c r="K1224" s="74" t="str">
        <f>if(F1224="SERVICE",O1224-(O1224*50%),Vlookup(F1224,DATABASE!C:Q,10,false)*G1224)</f>
        <v>#N/A</v>
      </c>
      <c r="L1224" s="74" t="str">
        <f>VLOOKUP(F1224,DATABASE!C:Q,7,FALSE)</f>
        <v>#N/A</v>
      </c>
      <c r="M1224" s="74"/>
      <c r="N1224" s="74">
        <f t="shared" si="11"/>
        <v>0</v>
      </c>
      <c r="O1224" s="74">
        <f t="shared" si="13"/>
        <v>0</v>
      </c>
      <c r="P1224" s="63">
        <f t="shared" si="14"/>
        <v>0</v>
      </c>
      <c r="Q1224" s="63" t="str">
        <f t="shared" si="15"/>
        <v>#N/A</v>
      </c>
      <c r="R1224" s="93" t="str">
        <f>VLOOKUP(F1224,DATABASE!C:Q,4,false)</f>
        <v>#N/A</v>
      </c>
      <c r="S1224" s="93" t="str">
        <f>VLOOKUP(F1224,DATABASE!C:P,11,false)</f>
        <v>#N/A</v>
      </c>
      <c r="T1224" s="93" t="str">
        <f>vlookup(F1224,DATABASE!C:Q,8,false)</f>
        <v>#N/A</v>
      </c>
      <c r="Z1224" s="9"/>
    </row>
    <row r="1225" ht="22.5" customHeight="1">
      <c r="A1225" s="49"/>
      <c r="C1225" s="384"/>
      <c r="D1225" s="93"/>
      <c r="F1225" s="74"/>
      <c r="H1225" s="74"/>
      <c r="I1225" s="74"/>
      <c r="J1225" s="74"/>
      <c r="K1225" s="74" t="str">
        <f>if(F1225="SERVICE",O1225-(O1225*50%),Vlookup(F1225,DATABASE!C:Q,10,false)*G1225)</f>
        <v>#N/A</v>
      </c>
      <c r="L1225" s="74" t="str">
        <f>VLOOKUP(F1225,DATABASE!C:Q,7,FALSE)</f>
        <v>#N/A</v>
      </c>
      <c r="M1225" s="74"/>
      <c r="N1225" s="74">
        <f t="shared" si="11"/>
        <v>0</v>
      </c>
      <c r="O1225" s="74">
        <f t="shared" si="13"/>
        <v>0</v>
      </c>
      <c r="P1225" s="63">
        <f t="shared" si="14"/>
        <v>0</v>
      </c>
      <c r="Q1225" s="63" t="str">
        <f t="shared" si="15"/>
        <v>#N/A</v>
      </c>
      <c r="R1225" s="93" t="str">
        <f>VLOOKUP(F1225,DATABASE!C:Q,4,false)</f>
        <v>#N/A</v>
      </c>
      <c r="S1225" s="93" t="str">
        <f>VLOOKUP(F1225,DATABASE!C:P,11,false)</f>
        <v>#N/A</v>
      </c>
      <c r="T1225" s="93" t="str">
        <f>vlookup(F1225,DATABASE!C:Q,8,false)</f>
        <v>#N/A</v>
      </c>
      <c r="Z1225" s="9"/>
    </row>
    <row r="1226" ht="22.5" customHeight="1">
      <c r="A1226" s="49"/>
      <c r="C1226" s="384"/>
      <c r="D1226" s="93"/>
      <c r="F1226" s="74"/>
      <c r="H1226" s="74"/>
      <c r="I1226" s="74"/>
      <c r="J1226" s="74"/>
      <c r="K1226" s="74" t="str">
        <f>if(F1226="SERVICE",O1226-(O1226*50%),Vlookup(F1226,DATABASE!C:Q,10,false)*G1226)</f>
        <v>#N/A</v>
      </c>
      <c r="L1226" s="74" t="str">
        <f>VLOOKUP(F1226,DATABASE!C:Q,7,FALSE)</f>
        <v>#N/A</v>
      </c>
      <c r="M1226" s="74"/>
      <c r="N1226" s="74">
        <f t="shared" si="11"/>
        <v>0</v>
      </c>
      <c r="O1226" s="74">
        <f t="shared" si="13"/>
        <v>0</v>
      </c>
      <c r="P1226" s="63">
        <f t="shared" si="14"/>
        <v>0</v>
      </c>
      <c r="Q1226" s="63" t="str">
        <f t="shared" si="15"/>
        <v>#N/A</v>
      </c>
      <c r="R1226" s="93" t="str">
        <f>VLOOKUP(F1226,DATABASE!C:Q,4,false)</f>
        <v>#N/A</v>
      </c>
      <c r="S1226" s="93" t="str">
        <f>VLOOKUP(F1226,DATABASE!C:P,11,false)</f>
        <v>#N/A</v>
      </c>
      <c r="T1226" s="93" t="str">
        <f>vlookup(F1226,DATABASE!C:Q,8,false)</f>
        <v>#N/A</v>
      </c>
      <c r="Z1226" s="9"/>
    </row>
    <row r="1227" ht="22.5" customHeight="1">
      <c r="A1227" s="49"/>
      <c r="C1227" s="384"/>
      <c r="D1227" s="93"/>
      <c r="F1227" s="74"/>
      <c r="H1227" s="74"/>
      <c r="I1227" s="74"/>
      <c r="J1227" s="74"/>
      <c r="K1227" s="74" t="str">
        <f>if(F1227="SERVICE",O1227-(O1227*50%),Vlookup(F1227,DATABASE!C:Q,10,false)*G1227)</f>
        <v>#N/A</v>
      </c>
      <c r="L1227" s="74" t="str">
        <f>VLOOKUP(F1227,DATABASE!C:Q,7,FALSE)</f>
        <v>#N/A</v>
      </c>
      <c r="M1227" s="74"/>
      <c r="N1227" s="74">
        <f t="shared" si="11"/>
        <v>0</v>
      </c>
      <c r="O1227" s="74">
        <f t="shared" si="13"/>
        <v>0</v>
      </c>
      <c r="P1227" s="63">
        <f t="shared" si="14"/>
        <v>0</v>
      </c>
      <c r="Q1227" s="63" t="str">
        <f t="shared" si="15"/>
        <v>#N/A</v>
      </c>
      <c r="R1227" s="93" t="str">
        <f>VLOOKUP(F1227,DATABASE!C:Q,4,false)</f>
        <v>#N/A</v>
      </c>
      <c r="S1227" s="93" t="str">
        <f>VLOOKUP(F1227,DATABASE!C:P,11,false)</f>
        <v>#N/A</v>
      </c>
      <c r="T1227" s="93" t="str">
        <f>vlookup(F1227,DATABASE!C:Q,8,false)</f>
        <v>#N/A</v>
      </c>
      <c r="Z1227" s="9"/>
    </row>
    <row r="1228" ht="22.5" customHeight="1">
      <c r="A1228" s="49"/>
      <c r="C1228" s="384"/>
      <c r="D1228" s="93"/>
      <c r="F1228" s="74"/>
      <c r="H1228" s="74"/>
      <c r="I1228" s="74"/>
      <c r="J1228" s="74"/>
      <c r="K1228" s="74" t="str">
        <f>if(F1228="SERVICE",O1228-(O1228*50%),Vlookup(F1228,DATABASE!C:Q,10,false)*G1228)</f>
        <v>#N/A</v>
      </c>
      <c r="L1228" s="74" t="str">
        <f>VLOOKUP(F1228,DATABASE!C:Q,7,FALSE)</f>
        <v>#N/A</v>
      </c>
      <c r="M1228" s="74"/>
      <c r="N1228" s="74">
        <f t="shared" si="11"/>
        <v>0</v>
      </c>
      <c r="O1228" s="74">
        <f t="shared" si="13"/>
        <v>0</v>
      </c>
      <c r="P1228" s="63">
        <f t="shared" si="14"/>
        <v>0</v>
      </c>
      <c r="Q1228" s="63" t="str">
        <f t="shared" si="15"/>
        <v>#N/A</v>
      </c>
      <c r="R1228" s="93" t="str">
        <f>VLOOKUP(F1228,DATABASE!C:Q,4,false)</f>
        <v>#N/A</v>
      </c>
      <c r="S1228" s="93" t="str">
        <f>VLOOKUP(F1228,DATABASE!C:P,11,false)</f>
        <v>#N/A</v>
      </c>
      <c r="T1228" s="93" t="str">
        <f>vlookup(F1228,DATABASE!C:Q,8,false)</f>
        <v>#N/A</v>
      </c>
      <c r="Z1228" s="9"/>
    </row>
    <row r="1229" ht="22.5" customHeight="1">
      <c r="A1229" s="49"/>
      <c r="C1229" s="384"/>
      <c r="D1229" s="93"/>
      <c r="F1229" s="74"/>
      <c r="H1229" s="74"/>
      <c r="I1229" s="74"/>
      <c r="J1229" s="74"/>
      <c r="K1229" s="74" t="str">
        <f>if(F1229="SERVICE",O1229-(O1229*50%),Vlookup(F1229,DATABASE!C:Q,10,false)*G1229)</f>
        <v>#N/A</v>
      </c>
      <c r="L1229" s="74" t="str">
        <f>VLOOKUP(F1229,DATABASE!C:Q,7,FALSE)</f>
        <v>#N/A</v>
      </c>
      <c r="M1229" s="74"/>
      <c r="N1229" s="74">
        <f t="shared" si="11"/>
        <v>0</v>
      </c>
      <c r="O1229" s="74">
        <f t="shared" si="13"/>
        <v>0</v>
      </c>
      <c r="P1229" s="63">
        <f t="shared" si="14"/>
        <v>0</v>
      </c>
      <c r="Q1229" s="63" t="str">
        <f t="shared" si="15"/>
        <v>#N/A</v>
      </c>
      <c r="R1229" s="93" t="str">
        <f>VLOOKUP(F1229,DATABASE!C:Q,4,false)</f>
        <v>#N/A</v>
      </c>
      <c r="S1229" s="93" t="str">
        <f>VLOOKUP(F1229,DATABASE!C:P,11,false)</f>
        <v>#N/A</v>
      </c>
      <c r="T1229" s="93" t="str">
        <f>vlookup(F1229,DATABASE!C:Q,8,false)</f>
        <v>#N/A</v>
      </c>
      <c r="Z1229" s="9"/>
    </row>
    <row r="1230" ht="22.5" customHeight="1">
      <c r="A1230" s="49"/>
      <c r="C1230" s="384"/>
      <c r="D1230" s="93"/>
      <c r="F1230" s="74"/>
      <c r="H1230" s="74"/>
      <c r="I1230" s="74"/>
      <c r="J1230" s="74"/>
      <c r="K1230" s="74" t="str">
        <f>if(F1230="SERVICE",O1230-(O1230*50%),Vlookup(F1230,DATABASE!C:Q,10,false)*G1230)</f>
        <v>#N/A</v>
      </c>
      <c r="L1230" s="74" t="str">
        <f>VLOOKUP(F1230,DATABASE!C:Q,7,FALSE)</f>
        <v>#N/A</v>
      </c>
      <c r="M1230" s="74"/>
      <c r="N1230" s="74">
        <f t="shared" si="11"/>
        <v>0</v>
      </c>
      <c r="O1230" s="74">
        <f t="shared" si="13"/>
        <v>0</v>
      </c>
      <c r="P1230" s="63">
        <f t="shared" si="14"/>
        <v>0</v>
      </c>
      <c r="Q1230" s="63" t="str">
        <f t="shared" si="15"/>
        <v>#N/A</v>
      </c>
      <c r="R1230" s="93" t="str">
        <f>VLOOKUP(F1230,DATABASE!C:Q,4,false)</f>
        <v>#N/A</v>
      </c>
      <c r="S1230" s="93" t="str">
        <f>VLOOKUP(F1230,DATABASE!C:P,11,false)</f>
        <v>#N/A</v>
      </c>
      <c r="T1230" s="93" t="str">
        <f>vlookup(F1230,DATABASE!C:Q,8,false)</f>
        <v>#N/A</v>
      </c>
      <c r="Z1230" s="9"/>
    </row>
    <row r="1231" ht="22.5" customHeight="1">
      <c r="A1231" s="49"/>
      <c r="C1231" s="384"/>
      <c r="D1231" s="93"/>
      <c r="F1231" s="74"/>
      <c r="H1231" s="74"/>
      <c r="I1231" s="74"/>
      <c r="J1231" s="74"/>
      <c r="K1231" s="74" t="str">
        <f>if(F1231="SERVICE",O1231-(O1231*50%),Vlookup(F1231,DATABASE!C:Q,10,false)*G1231)</f>
        <v>#N/A</v>
      </c>
      <c r="L1231" s="74" t="str">
        <f>VLOOKUP(F1231,DATABASE!C:Q,7,FALSE)</f>
        <v>#N/A</v>
      </c>
      <c r="M1231" s="74"/>
      <c r="N1231" s="74">
        <f t="shared" si="11"/>
        <v>0</v>
      </c>
      <c r="O1231" s="74">
        <f t="shared" si="13"/>
        <v>0</v>
      </c>
      <c r="P1231" s="63">
        <f t="shared" si="14"/>
        <v>0</v>
      </c>
      <c r="Q1231" s="63" t="str">
        <f t="shared" si="15"/>
        <v>#N/A</v>
      </c>
      <c r="R1231" s="93" t="str">
        <f>VLOOKUP(F1231,DATABASE!C:Q,4,false)</f>
        <v>#N/A</v>
      </c>
      <c r="S1231" s="93" t="str">
        <f>VLOOKUP(F1231,DATABASE!C:P,11,false)</f>
        <v>#N/A</v>
      </c>
      <c r="T1231" s="93" t="str">
        <f>vlookup(F1231,DATABASE!C:Q,8,false)</f>
        <v>#N/A</v>
      </c>
      <c r="Z1231" s="9"/>
    </row>
    <row r="1232" ht="22.5" customHeight="1">
      <c r="A1232" s="49"/>
      <c r="C1232" s="384"/>
      <c r="D1232" s="93"/>
      <c r="F1232" s="74"/>
      <c r="H1232" s="74"/>
      <c r="I1232" s="74"/>
      <c r="J1232" s="74"/>
      <c r="K1232" s="74" t="str">
        <f>if(F1232="SERVICE",O1232-(O1232*50%),Vlookup(F1232,DATABASE!C:Q,10,false)*G1232)</f>
        <v>#N/A</v>
      </c>
      <c r="L1232" s="74" t="str">
        <f>VLOOKUP(F1232,DATABASE!C:Q,7,FALSE)</f>
        <v>#N/A</v>
      </c>
      <c r="M1232" s="74"/>
      <c r="N1232" s="74">
        <f t="shared" si="11"/>
        <v>0</v>
      </c>
      <c r="O1232" s="74">
        <f t="shared" si="13"/>
        <v>0</v>
      </c>
      <c r="P1232" s="63">
        <f t="shared" si="14"/>
        <v>0</v>
      </c>
      <c r="Q1232" s="63" t="str">
        <f t="shared" si="15"/>
        <v>#N/A</v>
      </c>
      <c r="R1232" s="93" t="str">
        <f>VLOOKUP(F1232,DATABASE!C:Q,4,false)</f>
        <v>#N/A</v>
      </c>
      <c r="S1232" s="93" t="str">
        <f>VLOOKUP(F1232,DATABASE!C:P,11,false)</f>
        <v>#N/A</v>
      </c>
      <c r="T1232" s="93" t="str">
        <f>vlookup(F1232,DATABASE!C:Q,8,false)</f>
        <v>#N/A</v>
      </c>
      <c r="Z1232" s="9"/>
    </row>
    <row r="1233" ht="22.5" customHeight="1">
      <c r="A1233" s="49"/>
      <c r="C1233" s="384"/>
      <c r="D1233" s="93"/>
      <c r="F1233" s="74"/>
      <c r="H1233" s="74"/>
      <c r="I1233" s="74"/>
      <c r="J1233" s="74"/>
      <c r="K1233" s="74" t="str">
        <f>if(F1233="SERVICE",O1233-(O1233*50%),Vlookup(F1233,DATABASE!C:Q,10,false)*G1233)</f>
        <v>#N/A</v>
      </c>
      <c r="L1233" s="74" t="str">
        <f>VLOOKUP(F1233,DATABASE!C:Q,7,FALSE)</f>
        <v>#N/A</v>
      </c>
      <c r="M1233" s="74"/>
      <c r="N1233" s="74">
        <f t="shared" si="11"/>
        <v>0</v>
      </c>
      <c r="O1233" s="74">
        <f t="shared" si="13"/>
        <v>0</v>
      </c>
      <c r="P1233" s="63">
        <f t="shared" si="14"/>
        <v>0</v>
      </c>
      <c r="Q1233" s="63" t="str">
        <f t="shared" si="15"/>
        <v>#N/A</v>
      </c>
      <c r="R1233" s="93" t="str">
        <f>VLOOKUP(F1233,DATABASE!C:Q,4,false)</f>
        <v>#N/A</v>
      </c>
      <c r="S1233" s="93" t="str">
        <f>VLOOKUP(F1233,DATABASE!C:P,11,false)</f>
        <v>#N/A</v>
      </c>
      <c r="T1233" s="93" t="str">
        <f>vlookup(F1233,DATABASE!C:Q,8,false)</f>
        <v>#N/A</v>
      </c>
      <c r="Z1233" s="9"/>
    </row>
    <row r="1234" ht="22.5" customHeight="1">
      <c r="A1234" s="49"/>
      <c r="C1234" s="384"/>
      <c r="D1234" s="93"/>
      <c r="F1234" s="74"/>
      <c r="H1234" s="74"/>
      <c r="I1234" s="74"/>
      <c r="J1234" s="74"/>
      <c r="K1234" s="74" t="str">
        <f>if(F1234="SERVICE",O1234-(O1234*50%),Vlookup(F1234,DATABASE!C:Q,10,false)*G1234)</f>
        <v>#N/A</v>
      </c>
      <c r="L1234" s="74" t="str">
        <f>VLOOKUP(F1234,DATABASE!C:Q,7,FALSE)</f>
        <v>#N/A</v>
      </c>
      <c r="M1234" s="74"/>
      <c r="N1234" s="74">
        <f t="shared" si="11"/>
        <v>0</v>
      </c>
      <c r="O1234" s="74">
        <f t="shared" si="13"/>
        <v>0</v>
      </c>
      <c r="P1234" s="63">
        <f t="shared" si="14"/>
        <v>0</v>
      </c>
      <c r="Q1234" s="63" t="str">
        <f t="shared" si="15"/>
        <v>#N/A</v>
      </c>
      <c r="R1234" s="93" t="str">
        <f>VLOOKUP(F1234,DATABASE!C:Q,4,false)</f>
        <v>#N/A</v>
      </c>
      <c r="S1234" s="93" t="str">
        <f>VLOOKUP(F1234,DATABASE!C:P,11,false)</f>
        <v>#N/A</v>
      </c>
      <c r="T1234" s="93" t="str">
        <f>vlookup(F1234,DATABASE!C:Q,8,false)</f>
        <v>#N/A</v>
      </c>
      <c r="Z1234" s="9"/>
    </row>
    <row r="1235" ht="22.5" customHeight="1">
      <c r="A1235" s="49"/>
      <c r="C1235" s="384"/>
      <c r="D1235" s="93"/>
      <c r="F1235" s="74"/>
      <c r="H1235" s="74"/>
      <c r="I1235" s="74"/>
      <c r="J1235" s="74"/>
      <c r="K1235" s="74" t="str">
        <f>if(F1235="SERVICE",O1235-(O1235*50%),Vlookup(F1235,DATABASE!C:Q,10,false)*G1235)</f>
        <v>#N/A</v>
      </c>
      <c r="L1235" s="74" t="str">
        <f>VLOOKUP(F1235,DATABASE!C:Q,7,FALSE)</f>
        <v>#N/A</v>
      </c>
      <c r="M1235" s="74"/>
      <c r="N1235" s="74">
        <f t="shared" si="11"/>
        <v>0</v>
      </c>
      <c r="O1235" s="74">
        <f t="shared" si="13"/>
        <v>0</v>
      </c>
      <c r="P1235" s="63">
        <f t="shared" si="14"/>
        <v>0</v>
      </c>
      <c r="Q1235" s="63" t="str">
        <f t="shared" si="15"/>
        <v>#N/A</v>
      </c>
      <c r="R1235" s="93" t="str">
        <f>VLOOKUP(F1235,DATABASE!C:Q,4,false)</f>
        <v>#N/A</v>
      </c>
      <c r="S1235" s="93" t="str">
        <f>VLOOKUP(F1235,DATABASE!C:P,11,false)</f>
        <v>#N/A</v>
      </c>
      <c r="T1235" s="93" t="str">
        <f>vlookup(F1235,DATABASE!C:Q,8,false)</f>
        <v>#N/A</v>
      </c>
      <c r="Z1235" s="9"/>
    </row>
    <row r="1236" ht="22.5" customHeight="1">
      <c r="A1236" s="49"/>
      <c r="C1236" s="384"/>
      <c r="D1236" s="93"/>
      <c r="F1236" s="74"/>
      <c r="H1236" s="74"/>
      <c r="I1236" s="74"/>
      <c r="J1236" s="74"/>
      <c r="K1236" s="74" t="str">
        <f>if(F1236="SERVICE",O1236-(O1236*50%),Vlookup(F1236,DATABASE!C:Q,10,false)*G1236)</f>
        <v>#N/A</v>
      </c>
      <c r="L1236" s="74" t="str">
        <f>VLOOKUP(F1236,DATABASE!C:Q,7,FALSE)</f>
        <v>#N/A</v>
      </c>
      <c r="M1236" s="74"/>
      <c r="N1236" s="74">
        <f t="shared" si="11"/>
        <v>0</v>
      </c>
      <c r="O1236" s="74">
        <f t="shared" si="13"/>
        <v>0</v>
      </c>
      <c r="P1236" s="63">
        <f t="shared" si="14"/>
        <v>0</v>
      </c>
      <c r="Q1236" s="63" t="str">
        <f t="shared" si="15"/>
        <v>#N/A</v>
      </c>
      <c r="R1236" s="93" t="str">
        <f>VLOOKUP(F1236,DATABASE!C:Q,4,false)</f>
        <v>#N/A</v>
      </c>
      <c r="S1236" s="93" t="str">
        <f>VLOOKUP(F1236,DATABASE!C:P,11,false)</f>
        <v>#N/A</v>
      </c>
      <c r="T1236" s="93" t="str">
        <f>vlookup(F1236,DATABASE!C:Q,8,false)</f>
        <v>#N/A</v>
      </c>
      <c r="Z1236" s="9"/>
    </row>
    <row r="1237" ht="22.5" customHeight="1">
      <c r="A1237" s="49"/>
      <c r="C1237" s="384"/>
      <c r="D1237" s="93"/>
      <c r="F1237" s="74"/>
      <c r="H1237" s="74"/>
      <c r="I1237" s="74"/>
      <c r="J1237" s="74"/>
      <c r="K1237" s="74" t="str">
        <f>if(F1237="SERVICE",O1237-(O1237*50%),Vlookup(F1237,DATABASE!C:Q,10,false)*G1237)</f>
        <v>#N/A</v>
      </c>
      <c r="L1237" s="74" t="str">
        <f>VLOOKUP(F1237,DATABASE!C:Q,7,FALSE)</f>
        <v>#N/A</v>
      </c>
      <c r="M1237" s="74"/>
      <c r="N1237" s="74">
        <f t="shared" si="11"/>
        <v>0</v>
      </c>
      <c r="O1237" s="74">
        <f t="shared" si="13"/>
        <v>0</v>
      </c>
      <c r="P1237" s="63">
        <f t="shared" si="14"/>
        <v>0</v>
      </c>
      <c r="Q1237" s="63" t="str">
        <f t="shared" si="15"/>
        <v>#N/A</v>
      </c>
      <c r="R1237" s="93" t="str">
        <f>VLOOKUP(F1237,DATABASE!C:Q,4,false)</f>
        <v>#N/A</v>
      </c>
      <c r="S1237" s="93" t="str">
        <f>VLOOKUP(F1237,DATABASE!C:P,11,false)</f>
        <v>#N/A</v>
      </c>
      <c r="T1237" s="93" t="str">
        <f>vlookup(F1237,DATABASE!C:Q,8,false)</f>
        <v>#N/A</v>
      </c>
      <c r="Z1237" s="9"/>
    </row>
    <row r="1238" ht="22.5" customHeight="1">
      <c r="A1238" s="49"/>
      <c r="C1238" s="384"/>
      <c r="D1238" s="93"/>
      <c r="F1238" s="74"/>
      <c r="H1238" s="74"/>
      <c r="I1238" s="74"/>
      <c r="J1238" s="74"/>
      <c r="K1238" s="74" t="str">
        <f>if(F1238="SERVICE",O1238-(O1238*50%),Vlookup(F1238,DATABASE!C:Q,10,false)*G1238)</f>
        <v>#N/A</v>
      </c>
      <c r="L1238" s="74" t="str">
        <f>VLOOKUP(F1238,DATABASE!C:Q,7,FALSE)</f>
        <v>#N/A</v>
      </c>
      <c r="M1238" s="74"/>
      <c r="N1238" s="74">
        <f t="shared" si="11"/>
        <v>0</v>
      </c>
      <c r="O1238" s="74">
        <f t="shared" si="13"/>
        <v>0</v>
      </c>
      <c r="P1238" s="63">
        <f t="shared" si="14"/>
        <v>0</v>
      </c>
      <c r="Q1238" s="63" t="str">
        <f t="shared" si="15"/>
        <v>#N/A</v>
      </c>
      <c r="R1238" s="93" t="str">
        <f>VLOOKUP(F1238,DATABASE!C:Q,4,false)</f>
        <v>#N/A</v>
      </c>
      <c r="S1238" s="93" t="str">
        <f>VLOOKUP(F1238,DATABASE!C:P,11,false)</f>
        <v>#N/A</v>
      </c>
      <c r="T1238" s="93" t="str">
        <f>vlookup(F1238,DATABASE!C:Q,8,false)</f>
        <v>#N/A</v>
      </c>
      <c r="Z1238" s="9"/>
    </row>
    <row r="1239" ht="22.5" customHeight="1">
      <c r="A1239" s="49"/>
      <c r="C1239" s="384"/>
      <c r="D1239" s="93"/>
      <c r="F1239" s="74"/>
      <c r="H1239" s="74"/>
      <c r="I1239" s="74"/>
      <c r="J1239" s="74"/>
      <c r="K1239" s="74" t="str">
        <f>if(F1239="SERVICE",O1239-(O1239*50%),Vlookup(F1239,DATABASE!C:Q,10,false)*G1239)</f>
        <v>#N/A</v>
      </c>
      <c r="L1239" s="74" t="str">
        <f>VLOOKUP(F1239,DATABASE!C:Q,7,FALSE)</f>
        <v>#N/A</v>
      </c>
      <c r="M1239" s="74"/>
      <c r="N1239" s="74">
        <f t="shared" si="11"/>
        <v>0</v>
      </c>
      <c r="O1239" s="74">
        <f t="shared" si="13"/>
        <v>0</v>
      </c>
      <c r="P1239" s="63">
        <f t="shared" si="14"/>
        <v>0</v>
      </c>
      <c r="Q1239" s="63" t="str">
        <f t="shared" si="15"/>
        <v>#N/A</v>
      </c>
      <c r="R1239" s="93" t="str">
        <f>VLOOKUP(F1239,DATABASE!C:Q,4,false)</f>
        <v>#N/A</v>
      </c>
      <c r="S1239" s="93" t="str">
        <f>VLOOKUP(F1239,DATABASE!C:P,11,false)</f>
        <v>#N/A</v>
      </c>
      <c r="T1239" s="93" t="str">
        <f>vlookup(F1239,DATABASE!C:Q,8,false)</f>
        <v>#N/A</v>
      </c>
      <c r="Z1239" s="9"/>
    </row>
    <row r="1240" ht="22.5" customHeight="1">
      <c r="A1240" s="49"/>
      <c r="C1240" s="384"/>
      <c r="D1240" s="93"/>
      <c r="F1240" s="74"/>
      <c r="H1240" s="74"/>
      <c r="I1240" s="74"/>
      <c r="J1240" s="74"/>
      <c r="K1240" s="74" t="str">
        <f>if(F1240="SERVICE",O1240-(O1240*50%),Vlookup(F1240,DATABASE!C:Q,10,false)*G1240)</f>
        <v>#N/A</v>
      </c>
      <c r="L1240" s="74" t="str">
        <f>VLOOKUP(F1240,DATABASE!C:Q,7,FALSE)</f>
        <v>#N/A</v>
      </c>
      <c r="M1240" s="74"/>
      <c r="N1240" s="74">
        <f t="shared" si="11"/>
        <v>0</v>
      </c>
      <c r="O1240" s="74">
        <f t="shared" si="13"/>
        <v>0</v>
      </c>
      <c r="P1240" s="63">
        <f t="shared" si="14"/>
        <v>0</v>
      </c>
      <c r="Q1240" s="63" t="str">
        <f t="shared" si="15"/>
        <v>#N/A</v>
      </c>
      <c r="R1240" s="93" t="str">
        <f>VLOOKUP(F1240,DATABASE!C:Q,4,false)</f>
        <v>#N/A</v>
      </c>
      <c r="S1240" s="93" t="str">
        <f>VLOOKUP(F1240,DATABASE!C:P,11,false)</f>
        <v>#N/A</v>
      </c>
      <c r="T1240" s="93" t="str">
        <f>vlookup(F1240,DATABASE!C:Q,8,false)</f>
        <v>#N/A</v>
      </c>
      <c r="Z1240" s="9"/>
    </row>
    <row r="1241" ht="22.5" customHeight="1">
      <c r="A1241" s="49"/>
      <c r="C1241" s="384"/>
      <c r="D1241" s="93"/>
      <c r="F1241" s="74"/>
      <c r="H1241" s="74"/>
      <c r="I1241" s="74"/>
      <c r="J1241" s="74"/>
      <c r="K1241" s="74" t="str">
        <f>if(F1241="SERVICE",O1241-(O1241*50%),Vlookup(F1241,DATABASE!C:Q,10,false)*G1241)</f>
        <v>#N/A</v>
      </c>
      <c r="L1241" s="74" t="str">
        <f>VLOOKUP(F1241,DATABASE!C:Q,7,FALSE)</f>
        <v>#N/A</v>
      </c>
      <c r="M1241" s="74"/>
      <c r="N1241" s="74">
        <f t="shared" si="11"/>
        <v>0</v>
      </c>
      <c r="O1241" s="74">
        <f t="shared" si="13"/>
        <v>0</v>
      </c>
      <c r="P1241" s="63">
        <f t="shared" si="14"/>
        <v>0</v>
      </c>
      <c r="Q1241" s="63" t="str">
        <f t="shared" si="15"/>
        <v>#N/A</v>
      </c>
      <c r="R1241" s="93" t="str">
        <f>VLOOKUP(F1241,DATABASE!C:Q,4,false)</f>
        <v>#N/A</v>
      </c>
      <c r="S1241" s="93" t="str">
        <f>VLOOKUP(F1241,DATABASE!C:P,11,false)</f>
        <v>#N/A</v>
      </c>
      <c r="T1241" s="93" t="str">
        <f>vlookup(F1241,DATABASE!C:Q,8,false)</f>
        <v>#N/A</v>
      </c>
      <c r="Z1241" s="9"/>
    </row>
    <row r="1242" ht="22.5" customHeight="1">
      <c r="A1242" s="49"/>
      <c r="C1242" s="384"/>
      <c r="D1242" s="93"/>
      <c r="F1242" s="74"/>
      <c r="H1242" s="74"/>
      <c r="I1242" s="74"/>
      <c r="J1242" s="74"/>
      <c r="K1242" s="74" t="str">
        <f>if(F1242="SERVICE",O1242-(O1242*50%),Vlookup(F1242,DATABASE!C:Q,10,false)*G1242)</f>
        <v>#N/A</v>
      </c>
      <c r="L1242" s="74" t="str">
        <f>VLOOKUP(F1242,DATABASE!C:Q,7,FALSE)</f>
        <v>#N/A</v>
      </c>
      <c r="M1242" s="74"/>
      <c r="N1242" s="74">
        <f t="shared" si="11"/>
        <v>0</v>
      </c>
      <c r="O1242" s="74">
        <f t="shared" si="13"/>
        <v>0</v>
      </c>
      <c r="P1242" s="63">
        <f t="shared" si="14"/>
        <v>0</v>
      </c>
      <c r="Q1242" s="63" t="str">
        <f t="shared" si="15"/>
        <v>#N/A</v>
      </c>
      <c r="R1242" s="93" t="str">
        <f>VLOOKUP(F1242,DATABASE!C:Q,4,false)</f>
        <v>#N/A</v>
      </c>
      <c r="S1242" s="93" t="str">
        <f>VLOOKUP(F1242,DATABASE!C:P,11,false)</f>
        <v>#N/A</v>
      </c>
      <c r="T1242" s="93" t="str">
        <f>vlookup(F1242,DATABASE!C:Q,8,false)</f>
        <v>#N/A</v>
      </c>
      <c r="Z1242" s="9"/>
    </row>
    <row r="1243" ht="22.5" customHeight="1">
      <c r="A1243" s="49"/>
      <c r="C1243" s="384"/>
      <c r="D1243" s="93"/>
      <c r="F1243" s="74"/>
      <c r="H1243" s="74"/>
      <c r="I1243" s="74"/>
      <c r="J1243" s="74"/>
      <c r="K1243" s="74" t="str">
        <f>if(F1243="SERVICE",O1243-(O1243*50%),Vlookup(F1243,DATABASE!C:Q,10,false)*G1243)</f>
        <v>#N/A</v>
      </c>
      <c r="L1243" s="74" t="str">
        <f>VLOOKUP(F1243,DATABASE!C:Q,7,FALSE)</f>
        <v>#N/A</v>
      </c>
      <c r="M1243" s="74"/>
      <c r="N1243" s="74">
        <f t="shared" si="11"/>
        <v>0</v>
      </c>
      <c r="O1243" s="74">
        <f t="shared" si="13"/>
        <v>0</v>
      </c>
      <c r="P1243" s="63">
        <f t="shared" si="14"/>
        <v>0</v>
      </c>
      <c r="Q1243" s="63" t="str">
        <f t="shared" si="15"/>
        <v>#N/A</v>
      </c>
      <c r="R1243" s="93" t="str">
        <f>VLOOKUP(F1243,DATABASE!C:Q,4,false)</f>
        <v>#N/A</v>
      </c>
      <c r="S1243" s="93" t="str">
        <f>VLOOKUP(F1243,DATABASE!C:P,11,false)</f>
        <v>#N/A</v>
      </c>
      <c r="T1243" s="93" t="str">
        <f>vlookup(F1243,DATABASE!C:Q,8,false)</f>
        <v>#N/A</v>
      </c>
      <c r="Z1243" s="9"/>
    </row>
    <row r="1244" ht="22.5" customHeight="1">
      <c r="A1244" s="49"/>
      <c r="C1244" s="384"/>
      <c r="D1244" s="93"/>
      <c r="F1244" s="74"/>
      <c r="H1244" s="74"/>
      <c r="I1244" s="74"/>
      <c r="J1244" s="74"/>
      <c r="K1244" s="74" t="str">
        <f>if(F1244="SERVICE",O1244-(O1244*50%),Vlookup(F1244,DATABASE!C:Q,10,false)*G1244)</f>
        <v>#N/A</v>
      </c>
      <c r="L1244" s="74" t="str">
        <f>VLOOKUP(F1244,DATABASE!C:Q,7,FALSE)</f>
        <v>#N/A</v>
      </c>
      <c r="M1244" s="74"/>
      <c r="N1244" s="74">
        <f t="shared" si="11"/>
        <v>0</v>
      </c>
      <c r="O1244" s="74">
        <f t="shared" si="13"/>
        <v>0</v>
      </c>
      <c r="P1244" s="63">
        <f t="shared" si="14"/>
        <v>0</v>
      </c>
      <c r="Q1244" s="63" t="str">
        <f t="shared" si="15"/>
        <v>#N/A</v>
      </c>
      <c r="R1244" s="93" t="str">
        <f>VLOOKUP(F1244,DATABASE!C:Q,4,false)</f>
        <v>#N/A</v>
      </c>
      <c r="S1244" s="93" t="str">
        <f>VLOOKUP(F1244,DATABASE!C:P,11,false)</f>
        <v>#N/A</v>
      </c>
      <c r="T1244" s="93" t="str">
        <f>vlookup(F1244,DATABASE!C:Q,8,false)</f>
        <v>#N/A</v>
      </c>
      <c r="Z1244" s="9"/>
    </row>
    <row r="1245" ht="22.5" customHeight="1">
      <c r="A1245" s="49"/>
      <c r="C1245" s="384"/>
      <c r="D1245" s="93"/>
      <c r="F1245" s="74"/>
      <c r="H1245" s="74"/>
      <c r="I1245" s="74"/>
      <c r="J1245" s="74"/>
      <c r="K1245" s="74" t="str">
        <f>if(F1245="SERVICE",O1245-(O1245*50%),Vlookup(F1245,DATABASE!C:Q,10,false)*G1245)</f>
        <v>#N/A</v>
      </c>
      <c r="L1245" s="74" t="str">
        <f>VLOOKUP(F1245,DATABASE!C:Q,7,FALSE)</f>
        <v>#N/A</v>
      </c>
      <c r="M1245" s="74"/>
      <c r="N1245" s="74">
        <f t="shared" si="11"/>
        <v>0</v>
      </c>
      <c r="O1245" s="74">
        <f t="shared" si="13"/>
        <v>0</v>
      </c>
      <c r="P1245" s="63">
        <f t="shared" si="14"/>
        <v>0</v>
      </c>
      <c r="Q1245" s="63" t="str">
        <f t="shared" si="15"/>
        <v>#N/A</v>
      </c>
      <c r="R1245" s="93" t="str">
        <f>VLOOKUP(F1245,DATABASE!C:Q,4,false)</f>
        <v>#N/A</v>
      </c>
      <c r="S1245" s="93" t="str">
        <f>VLOOKUP(F1245,DATABASE!C:P,11,false)</f>
        <v>#N/A</v>
      </c>
      <c r="T1245" s="93" t="str">
        <f>vlookup(F1245,DATABASE!C:Q,8,false)</f>
        <v>#N/A</v>
      </c>
      <c r="Z1245" s="9"/>
    </row>
    <row r="1246" ht="22.5" customHeight="1">
      <c r="A1246" s="49"/>
      <c r="C1246" s="384"/>
      <c r="D1246" s="93"/>
      <c r="F1246" s="74"/>
      <c r="H1246" s="74"/>
      <c r="I1246" s="74"/>
      <c r="J1246" s="74"/>
      <c r="K1246" s="74" t="str">
        <f>if(F1246="SERVICE",O1246-(O1246*50%),Vlookup(F1246,DATABASE!C:Q,10,false)*G1246)</f>
        <v>#N/A</v>
      </c>
      <c r="L1246" s="74" t="str">
        <f>VLOOKUP(F1246,DATABASE!C:Q,7,FALSE)</f>
        <v>#N/A</v>
      </c>
      <c r="M1246" s="74"/>
      <c r="N1246" s="74">
        <f t="shared" si="11"/>
        <v>0</v>
      </c>
      <c r="O1246" s="74">
        <f t="shared" si="13"/>
        <v>0</v>
      </c>
      <c r="P1246" s="63">
        <f t="shared" si="14"/>
        <v>0</v>
      </c>
      <c r="Q1246" s="63" t="str">
        <f t="shared" si="15"/>
        <v>#N/A</v>
      </c>
      <c r="R1246" s="93" t="str">
        <f>VLOOKUP(F1246,DATABASE!C:Q,4,false)</f>
        <v>#N/A</v>
      </c>
      <c r="S1246" s="93" t="str">
        <f>VLOOKUP(F1246,DATABASE!C:P,11,false)</f>
        <v>#N/A</v>
      </c>
      <c r="T1246" s="93" t="str">
        <f>vlookup(F1246,DATABASE!C:Q,8,false)</f>
        <v>#N/A</v>
      </c>
      <c r="Z1246" s="9"/>
    </row>
    <row r="1247" ht="22.5" customHeight="1">
      <c r="A1247" s="49"/>
      <c r="C1247" s="384"/>
      <c r="D1247" s="93"/>
      <c r="F1247" s="74"/>
      <c r="H1247" s="74"/>
      <c r="I1247" s="74"/>
      <c r="J1247" s="74"/>
      <c r="K1247" s="74" t="str">
        <f>if(F1247="SERVICE",O1247-(O1247*50%),Vlookup(F1247,DATABASE!C:Q,10,false)*G1247)</f>
        <v>#N/A</v>
      </c>
      <c r="L1247" s="74" t="str">
        <f>VLOOKUP(F1247,DATABASE!C:Q,7,FALSE)</f>
        <v>#N/A</v>
      </c>
      <c r="M1247" s="74"/>
      <c r="N1247" s="74">
        <f t="shared" si="11"/>
        <v>0</v>
      </c>
      <c r="O1247" s="74">
        <f t="shared" si="13"/>
        <v>0</v>
      </c>
      <c r="P1247" s="63">
        <f t="shared" si="14"/>
        <v>0</v>
      </c>
      <c r="Q1247" s="63" t="str">
        <f t="shared" si="15"/>
        <v>#N/A</v>
      </c>
      <c r="R1247" s="93" t="str">
        <f>VLOOKUP(F1247,DATABASE!C:Q,4,false)</f>
        <v>#N/A</v>
      </c>
      <c r="S1247" s="93" t="str">
        <f>VLOOKUP(F1247,DATABASE!C:P,11,false)</f>
        <v>#N/A</v>
      </c>
      <c r="T1247" s="93" t="str">
        <f>vlookup(F1247,DATABASE!C:Q,8,false)</f>
        <v>#N/A</v>
      </c>
      <c r="Z1247" s="9"/>
    </row>
    <row r="1248" ht="22.5" customHeight="1">
      <c r="A1248" s="49"/>
      <c r="C1248" s="384"/>
      <c r="D1248" s="93"/>
      <c r="F1248" s="74"/>
      <c r="H1248" s="74"/>
      <c r="I1248" s="74"/>
      <c r="J1248" s="74"/>
      <c r="K1248" s="74" t="str">
        <f>if(F1248="SERVICE",O1248-(O1248*50%),Vlookup(F1248,DATABASE!C:Q,10,false)*G1248)</f>
        <v>#N/A</v>
      </c>
      <c r="L1248" s="74" t="str">
        <f>VLOOKUP(F1248,DATABASE!C:Q,7,FALSE)</f>
        <v>#N/A</v>
      </c>
      <c r="M1248" s="74"/>
      <c r="N1248" s="74">
        <f t="shared" si="11"/>
        <v>0</v>
      </c>
      <c r="O1248" s="74">
        <f t="shared" si="13"/>
        <v>0</v>
      </c>
      <c r="P1248" s="63">
        <f t="shared" si="14"/>
        <v>0</v>
      </c>
      <c r="Q1248" s="63" t="str">
        <f t="shared" si="15"/>
        <v>#N/A</v>
      </c>
      <c r="R1248" s="93" t="str">
        <f>VLOOKUP(F1248,DATABASE!C:Q,4,false)</f>
        <v>#N/A</v>
      </c>
      <c r="S1248" s="93" t="str">
        <f>VLOOKUP(F1248,DATABASE!C:P,11,false)</f>
        <v>#N/A</v>
      </c>
      <c r="T1248" s="93" t="str">
        <f>vlookup(F1248,DATABASE!C:Q,8,false)</f>
        <v>#N/A</v>
      </c>
      <c r="Z1248" s="9"/>
    </row>
    <row r="1249" ht="22.5" customHeight="1">
      <c r="A1249" s="49"/>
      <c r="C1249" s="384"/>
      <c r="D1249" s="93"/>
      <c r="F1249" s="74"/>
      <c r="H1249" s="74"/>
      <c r="I1249" s="74"/>
      <c r="J1249" s="74"/>
      <c r="K1249" s="74" t="str">
        <f>if(F1249="SERVICE",O1249-(O1249*50%),Vlookup(F1249,DATABASE!C:Q,10,false)*G1249)</f>
        <v>#N/A</v>
      </c>
      <c r="L1249" s="74" t="str">
        <f>VLOOKUP(F1249,DATABASE!C:Q,7,FALSE)</f>
        <v>#N/A</v>
      </c>
      <c r="M1249" s="74"/>
      <c r="N1249" s="74">
        <f t="shared" si="11"/>
        <v>0</v>
      </c>
      <c r="O1249" s="74">
        <f t="shared" si="13"/>
        <v>0</v>
      </c>
      <c r="P1249" s="63">
        <f t="shared" si="14"/>
        <v>0</v>
      </c>
      <c r="Q1249" s="63" t="str">
        <f t="shared" si="15"/>
        <v>#N/A</v>
      </c>
      <c r="R1249" s="93" t="str">
        <f>VLOOKUP(F1249,DATABASE!C:Q,4,false)</f>
        <v>#N/A</v>
      </c>
      <c r="S1249" s="93" t="str">
        <f>VLOOKUP(F1249,DATABASE!C:P,11,false)</f>
        <v>#N/A</v>
      </c>
      <c r="T1249" s="93" t="str">
        <f>vlookup(F1249,DATABASE!C:Q,8,false)</f>
        <v>#N/A</v>
      </c>
      <c r="Z1249" s="9"/>
    </row>
    <row r="1250" ht="22.5" customHeight="1">
      <c r="A1250" s="49"/>
      <c r="C1250" s="384"/>
      <c r="D1250" s="93"/>
      <c r="F1250" s="74"/>
      <c r="H1250" s="74"/>
      <c r="I1250" s="74"/>
      <c r="J1250" s="74"/>
      <c r="K1250" s="74" t="str">
        <f>if(F1250="SERVICE",O1250-(O1250*50%),Vlookup(F1250,DATABASE!C:Q,10,false)*G1250)</f>
        <v>#N/A</v>
      </c>
      <c r="L1250" s="74" t="str">
        <f>VLOOKUP(F1250,DATABASE!C:Q,7,FALSE)</f>
        <v>#N/A</v>
      </c>
      <c r="M1250" s="74"/>
      <c r="N1250" s="74">
        <f t="shared" si="11"/>
        <v>0</v>
      </c>
      <c r="O1250" s="74">
        <f t="shared" si="13"/>
        <v>0</v>
      </c>
      <c r="P1250" s="63">
        <f t="shared" si="14"/>
        <v>0</v>
      </c>
      <c r="Q1250" s="63" t="str">
        <f t="shared" si="15"/>
        <v>#N/A</v>
      </c>
      <c r="R1250" s="93" t="str">
        <f>VLOOKUP(F1250,DATABASE!C:Q,4,false)</f>
        <v>#N/A</v>
      </c>
      <c r="S1250" s="93" t="str">
        <f>VLOOKUP(F1250,DATABASE!C:P,11,false)</f>
        <v>#N/A</v>
      </c>
      <c r="T1250" s="93" t="str">
        <f>vlookup(F1250,DATABASE!C:Q,8,false)</f>
        <v>#N/A</v>
      </c>
      <c r="Z1250" s="9"/>
    </row>
    <row r="1251" ht="22.5" customHeight="1">
      <c r="A1251" s="49"/>
      <c r="C1251" s="384"/>
      <c r="D1251" s="93"/>
      <c r="F1251" s="74"/>
      <c r="H1251" s="74"/>
      <c r="I1251" s="74"/>
      <c r="J1251" s="74"/>
      <c r="K1251" s="74" t="str">
        <f>if(F1251="SERVICE",O1251-(O1251*50%),Vlookup(F1251,DATABASE!C:Q,10,false)*G1251)</f>
        <v>#N/A</v>
      </c>
      <c r="L1251" s="74" t="str">
        <f>VLOOKUP(F1251,DATABASE!C:Q,7,FALSE)</f>
        <v>#N/A</v>
      </c>
      <c r="M1251" s="74"/>
      <c r="N1251" s="74">
        <f t="shared" si="11"/>
        <v>0</v>
      </c>
      <c r="O1251" s="74">
        <f t="shared" si="13"/>
        <v>0</v>
      </c>
      <c r="P1251" s="63">
        <f t="shared" si="14"/>
        <v>0</v>
      </c>
      <c r="Q1251" s="63" t="str">
        <f t="shared" si="15"/>
        <v>#N/A</v>
      </c>
      <c r="R1251" s="93" t="str">
        <f>VLOOKUP(F1251,DATABASE!C:Q,4,false)</f>
        <v>#N/A</v>
      </c>
      <c r="S1251" s="93" t="str">
        <f>VLOOKUP(F1251,DATABASE!C:P,11,false)</f>
        <v>#N/A</v>
      </c>
      <c r="T1251" s="93" t="str">
        <f>vlookup(F1251,DATABASE!C:Q,8,false)</f>
        <v>#N/A</v>
      </c>
      <c r="Z1251" s="9"/>
    </row>
    <row r="1252" ht="22.5" customHeight="1">
      <c r="A1252" s="49"/>
      <c r="C1252" s="384"/>
      <c r="D1252" s="93"/>
      <c r="F1252" s="74"/>
      <c r="H1252" s="74"/>
      <c r="I1252" s="74"/>
      <c r="J1252" s="74"/>
      <c r="K1252" s="74" t="str">
        <f>if(F1252="SERVICE",O1252-(O1252*50%),Vlookup(F1252,DATABASE!C:Q,10,false)*G1252)</f>
        <v>#N/A</v>
      </c>
      <c r="L1252" s="74" t="str">
        <f>VLOOKUP(F1252,DATABASE!C:Q,7,FALSE)</f>
        <v>#N/A</v>
      </c>
      <c r="M1252" s="74"/>
      <c r="N1252" s="74">
        <f t="shared" si="11"/>
        <v>0</v>
      </c>
      <c r="O1252" s="74">
        <f t="shared" si="13"/>
        <v>0</v>
      </c>
      <c r="P1252" s="63">
        <f t="shared" si="14"/>
        <v>0</v>
      </c>
      <c r="Q1252" s="63" t="str">
        <f t="shared" si="15"/>
        <v>#N/A</v>
      </c>
      <c r="R1252" s="93" t="str">
        <f>VLOOKUP(F1252,DATABASE!C:Q,4,false)</f>
        <v>#N/A</v>
      </c>
      <c r="S1252" s="93" t="str">
        <f>VLOOKUP(F1252,DATABASE!C:P,11,false)</f>
        <v>#N/A</v>
      </c>
      <c r="T1252" s="93" t="str">
        <f>vlookup(F1252,DATABASE!C:Q,8,false)</f>
        <v>#N/A</v>
      </c>
      <c r="Z1252" s="9"/>
    </row>
    <row r="1253" ht="22.5" customHeight="1">
      <c r="A1253" s="49"/>
      <c r="C1253" s="384"/>
      <c r="D1253" s="93"/>
      <c r="F1253" s="74"/>
      <c r="H1253" s="74"/>
      <c r="I1253" s="74"/>
      <c r="J1253" s="74"/>
      <c r="K1253" s="74" t="str">
        <f>if(F1253="SERVICE",O1253-(O1253*50%),Vlookup(F1253,DATABASE!C:Q,10,false)*G1253)</f>
        <v>#N/A</v>
      </c>
      <c r="L1253" s="74" t="str">
        <f>VLOOKUP(F1253,DATABASE!C:Q,7,FALSE)</f>
        <v>#N/A</v>
      </c>
      <c r="M1253" s="74"/>
      <c r="N1253" s="74">
        <f t="shared" si="11"/>
        <v>0</v>
      </c>
      <c r="O1253" s="74">
        <f t="shared" si="13"/>
        <v>0</v>
      </c>
      <c r="P1253" s="63">
        <f t="shared" si="14"/>
        <v>0</v>
      </c>
      <c r="Q1253" s="63" t="str">
        <f t="shared" si="15"/>
        <v>#N/A</v>
      </c>
      <c r="R1253" s="93" t="str">
        <f>VLOOKUP(F1253,DATABASE!C:Q,4,false)</f>
        <v>#N/A</v>
      </c>
      <c r="S1253" s="93" t="str">
        <f>VLOOKUP(F1253,DATABASE!C:P,11,false)</f>
        <v>#N/A</v>
      </c>
      <c r="T1253" s="93" t="str">
        <f>vlookup(F1253,DATABASE!C:Q,8,false)</f>
        <v>#N/A</v>
      </c>
      <c r="Z1253" s="9"/>
    </row>
    <row r="1254" ht="22.5" customHeight="1">
      <c r="A1254" s="49"/>
      <c r="C1254" s="384"/>
      <c r="D1254" s="93"/>
      <c r="F1254" s="74"/>
      <c r="H1254" s="74"/>
      <c r="I1254" s="74"/>
      <c r="J1254" s="74"/>
      <c r="K1254" s="74" t="str">
        <f>if(F1254="SERVICE",O1254-(O1254*50%),Vlookup(F1254,DATABASE!C:Q,10,false)*G1254)</f>
        <v>#N/A</v>
      </c>
      <c r="L1254" s="74" t="str">
        <f>VLOOKUP(F1254,DATABASE!C:Q,7,FALSE)</f>
        <v>#N/A</v>
      </c>
      <c r="M1254" s="74"/>
      <c r="N1254" s="74">
        <f t="shared" si="11"/>
        <v>0</v>
      </c>
      <c r="O1254" s="74">
        <f t="shared" si="13"/>
        <v>0</v>
      </c>
      <c r="P1254" s="63">
        <f t="shared" si="14"/>
        <v>0</v>
      </c>
      <c r="Q1254" s="63" t="str">
        <f t="shared" si="15"/>
        <v>#N/A</v>
      </c>
      <c r="R1254" s="93" t="str">
        <f>VLOOKUP(F1254,DATABASE!C:Q,4,false)</f>
        <v>#N/A</v>
      </c>
      <c r="S1254" s="93" t="str">
        <f>VLOOKUP(F1254,DATABASE!C:P,11,false)</f>
        <v>#N/A</v>
      </c>
      <c r="T1254" s="93" t="str">
        <f>vlookup(F1254,DATABASE!C:Q,8,false)</f>
        <v>#N/A</v>
      </c>
      <c r="Z1254" s="9"/>
    </row>
    <row r="1255" ht="22.5" customHeight="1">
      <c r="A1255" s="49"/>
      <c r="C1255" s="384"/>
      <c r="D1255" s="93"/>
      <c r="F1255" s="74"/>
      <c r="H1255" s="74"/>
      <c r="I1255" s="74"/>
      <c r="J1255" s="74"/>
      <c r="K1255" s="74" t="str">
        <f>if(F1255="SERVICE",O1255-(O1255*50%),Vlookup(F1255,DATABASE!C:Q,10,false)*G1255)</f>
        <v>#N/A</v>
      </c>
      <c r="L1255" s="74" t="str">
        <f>VLOOKUP(F1255,DATABASE!C:Q,7,FALSE)</f>
        <v>#N/A</v>
      </c>
      <c r="M1255" s="74"/>
      <c r="N1255" s="74">
        <f t="shared" si="11"/>
        <v>0</v>
      </c>
      <c r="O1255" s="74">
        <f t="shared" si="13"/>
        <v>0</v>
      </c>
      <c r="P1255" s="63">
        <f t="shared" si="14"/>
        <v>0</v>
      </c>
      <c r="Q1255" s="63" t="str">
        <f t="shared" si="15"/>
        <v>#N/A</v>
      </c>
      <c r="R1255" s="93" t="str">
        <f>VLOOKUP(F1255,DATABASE!C:Q,4,false)</f>
        <v>#N/A</v>
      </c>
      <c r="S1255" s="93" t="str">
        <f>VLOOKUP(F1255,DATABASE!C:P,11,false)</f>
        <v>#N/A</v>
      </c>
      <c r="T1255" s="93" t="str">
        <f>vlookup(F1255,DATABASE!C:Q,8,false)</f>
        <v>#N/A</v>
      </c>
      <c r="Z1255" s="9"/>
    </row>
    <row r="1256" ht="22.5" customHeight="1">
      <c r="A1256" s="49"/>
      <c r="C1256" s="384"/>
      <c r="D1256" s="93"/>
      <c r="F1256" s="74"/>
      <c r="H1256" s="74"/>
      <c r="I1256" s="74"/>
      <c r="J1256" s="74"/>
      <c r="K1256" s="74" t="str">
        <f>if(F1256="SERVICE",O1256-(O1256*50%),Vlookup(F1256,DATABASE!C:Q,10,false)*G1256)</f>
        <v>#N/A</v>
      </c>
      <c r="L1256" s="74" t="str">
        <f>VLOOKUP(F1256,DATABASE!C:Q,7,FALSE)</f>
        <v>#N/A</v>
      </c>
      <c r="M1256" s="74"/>
      <c r="N1256" s="74">
        <f t="shared" si="11"/>
        <v>0</v>
      </c>
      <c r="O1256" s="74">
        <f t="shared" si="13"/>
        <v>0</v>
      </c>
      <c r="P1256" s="63">
        <f t="shared" si="14"/>
        <v>0</v>
      </c>
      <c r="Q1256" s="63" t="str">
        <f t="shared" si="15"/>
        <v>#N/A</v>
      </c>
      <c r="R1256" s="93" t="str">
        <f>VLOOKUP(F1256,DATABASE!C:Q,4,false)</f>
        <v>#N/A</v>
      </c>
      <c r="S1256" s="93" t="str">
        <f>VLOOKUP(F1256,DATABASE!C:P,11,false)</f>
        <v>#N/A</v>
      </c>
      <c r="T1256" s="93" t="str">
        <f>vlookup(F1256,DATABASE!C:Q,8,false)</f>
        <v>#N/A</v>
      </c>
      <c r="Z1256" s="9"/>
    </row>
    <row r="1257" ht="22.5" customHeight="1">
      <c r="A1257" s="49"/>
      <c r="C1257" s="384"/>
      <c r="D1257" s="93"/>
      <c r="F1257" s="74"/>
      <c r="H1257" s="74"/>
      <c r="I1257" s="74"/>
      <c r="J1257" s="74"/>
      <c r="K1257" s="74" t="str">
        <f>if(F1257="SERVICE",O1257-(O1257*50%),Vlookup(F1257,DATABASE!C:Q,10,false)*G1257)</f>
        <v>#N/A</v>
      </c>
      <c r="L1257" s="74" t="str">
        <f>VLOOKUP(F1257,DATABASE!C:Q,7,FALSE)</f>
        <v>#N/A</v>
      </c>
      <c r="M1257" s="74"/>
      <c r="N1257" s="74">
        <f t="shared" si="11"/>
        <v>0</v>
      </c>
      <c r="O1257" s="74">
        <f t="shared" si="13"/>
        <v>0</v>
      </c>
      <c r="P1257" s="63">
        <f t="shared" si="14"/>
        <v>0</v>
      </c>
      <c r="Q1257" s="63" t="str">
        <f t="shared" si="15"/>
        <v>#N/A</v>
      </c>
      <c r="R1257" s="93" t="str">
        <f>VLOOKUP(F1257,DATABASE!C:Q,4,false)</f>
        <v>#N/A</v>
      </c>
      <c r="S1257" s="93" t="str">
        <f>VLOOKUP(F1257,DATABASE!C:P,11,false)</f>
        <v>#N/A</v>
      </c>
      <c r="T1257" s="93" t="str">
        <f>vlookup(F1257,DATABASE!C:Q,8,false)</f>
        <v>#N/A</v>
      </c>
      <c r="Z1257" s="9"/>
    </row>
    <row r="1258" ht="22.5" customHeight="1">
      <c r="A1258" s="49"/>
      <c r="C1258" s="384"/>
      <c r="D1258" s="93"/>
      <c r="F1258" s="74"/>
      <c r="H1258" s="74"/>
      <c r="I1258" s="74"/>
      <c r="J1258" s="74"/>
      <c r="K1258" s="74" t="str">
        <f>if(F1258="SERVICE",O1258-(O1258*50%),Vlookup(F1258,DATABASE!C:Q,10,false)*G1258)</f>
        <v>#N/A</v>
      </c>
      <c r="L1258" s="74" t="str">
        <f>VLOOKUP(F1258,DATABASE!C:Q,7,FALSE)</f>
        <v>#N/A</v>
      </c>
      <c r="M1258" s="74"/>
      <c r="N1258" s="74">
        <f t="shared" si="11"/>
        <v>0</v>
      </c>
      <c r="O1258" s="74">
        <f t="shared" si="13"/>
        <v>0</v>
      </c>
      <c r="P1258" s="63">
        <f t="shared" si="14"/>
        <v>0</v>
      </c>
      <c r="Q1258" s="63" t="str">
        <f t="shared" si="15"/>
        <v>#N/A</v>
      </c>
      <c r="R1258" s="93" t="str">
        <f>VLOOKUP(F1258,DATABASE!C:Q,4,false)</f>
        <v>#N/A</v>
      </c>
      <c r="S1258" s="93" t="str">
        <f>VLOOKUP(F1258,DATABASE!C:P,11,false)</f>
        <v>#N/A</v>
      </c>
      <c r="T1258" s="93" t="str">
        <f>vlookup(F1258,DATABASE!C:Q,8,false)</f>
        <v>#N/A</v>
      </c>
      <c r="Z1258" s="9"/>
    </row>
    <row r="1259" ht="22.5" customHeight="1">
      <c r="A1259" s="49"/>
      <c r="C1259" s="384"/>
      <c r="D1259" s="93"/>
      <c r="F1259" s="74"/>
      <c r="H1259" s="74"/>
      <c r="I1259" s="74"/>
      <c r="J1259" s="74"/>
      <c r="K1259" s="74" t="str">
        <f>if(F1259="SERVICE",O1259-(O1259*50%),Vlookup(F1259,DATABASE!C:Q,10,false)*G1259)</f>
        <v>#N/A</v>
      </c>
      <c r="L1259" s="74" t="str">
        <f>VLOOKUP(F1259,DATABASE!C:Q,7,FALSE)</f>
        <v>#N/A</v>
      </c>
      <c r="M1259" s="74"/>
      <c r="N1259" s="74">
        <f t="shared" si="11"/>
        <v>0</v>
      </c>
      <c r="O1259" s="74">
        <f t="shared" si="13"/>
        <v>0</v>
      </c>
      <c r="P1259" s="63">
        <f t="shared" si="14"/>
        <v>0</v>
      </c>
      <c r="Q1259" s="63" t="str">
        <f t="shared" si="15"/>
        <v>#N/A</v>
      </c>
      <c r="R1259" s="93" t="str">
        <f>VLOOKUP(F1259,DATABASE!C:Q,4,false)</f>
        <v>#N/A</v>
      </c>
      <c r="S1259" s="93" t="str">
        <f>VLOOKUP(F1259,DATABASE!C:P,11,false)</f>
        <v>#N/A</v>
      </c>
      <c r="T1259" s="93" t="str">
        <f>vlookup(F1259,DATABASE!C:Q,8,false)</f>
        <v>#N/A</v>
      </c>
      <c r="Z1259" s="9"/>
    </row>
    <row r="1260" ht="22.5" customHeight="1">
      <c r="A1260" s="49"/>
      <c r="C1260" s="384"/>
      <c r="D1260" s="93"/>
      <c r="F1260" s="74"/>
      <c r="H1260" s="74"/>
      <c r="I1260" s="74"/>
      <c r="J1260" s="74"/>
      <c r="K1260" s="74" t="str">
        <f>if(F1260="SERVICE",O1260-(O1260*50%),Vlookup(F1260,DATABASE!C:Q,10,false)*G1260)</f>
        <v>#N/A</v>
      </c>
      <c r="L1260" s="74" t="str">
        <f>VLOOKUP(F1260,DATABASE!C:Q,7,FALSE)</f>
        <v>#N/A</v>
      </c>
      <c r="M1260" s="74"/>
      <c r="N1260" s="74">
        <f t="shared" si="11"/>
        <v>0</v>
      </c>
      <c r="O1260" s="74">
        <f t="shared" si="13"/>
        <v>0</v>
      </c>
      <c r="P1260" s="63">
        <f t="shared" si="14"/>
        <v>0</v>
      </c>
      <c r="Q1260" s="63" t="str">
        <f t="shared" si="15"/>
        <v>#N/A</v>
      </c>
      <c r="R1260" s="93" t="str">
        <f>VLOOKUP(F1260,DATABASE!C:Q,4,false)</f>
        <v>#N/A</v>
      </c>
      <c r="S1260" s="93" t="str">
        <f>VLOOKUP(F1260,DATABASE!C:P,11,false)</f>
        <v>#N/A</v>
      </c>
      <c r="T1260" s="93" t="str">
        <f>vlookup(F1260,DATABASE!C:Q,8,false)</f>
        <v>#N/A</v>
      </c>
      <c r="Z1260" s="9"/>
    </row>
    <row r="1261" ht="22.5" customHeight="1">
      <c r="A1261" s="49"/>
      <c r="C1261" s="384"/>
      <c r="D1261" s="93"/>
      <c r="F1261" s="74"/>
      <c r="H1261" s="74"/>
      <c r="I1261" s="74"/>
      <c r="J1261" s="74"/>
      <c r="K1261" s="74" t="str">
        <f>if(F1261="SERVICE",O1261-(O1261*50%),Vlookup(F1261,DATABASE!C:Q,10,false)*G1261)</f>
        <v>#N/A</v>
      </c>
      <c r="L1261" s="74" t="str">
        <f>VLOOKUP(F1261,DATABASE!C:Q,7,FALSE)</f>
        <v>#N/A</v>
      </c>
      <c r="M1261" s="74"/>
      <c r="N1261" s="74">
        <f t="shared" si="11"/>
        <v>0</v>
      </c>
      <c r="O1261" s="74">
        <f t="shared" si="13"/>
        <v>0</v>
      </c>
      <c r="P1261" s="63">
        <f t="shared" si="14"/>
        <v>0</v>
      </c>
      <c r="Q1261" s="63" t="str">
        <f t="shared" si="15"/>
        <v>#N/A</v>
      </c>
      <c r="R1261" s="93" t="str">
        <f>VLOOKUP(F1261,DATABASE!C:Q,4,false)</f>
        <v>#N/A</v>
      </c>
      <c r="S1261" s="93" t="str">
        <f>VLOOKUP(F1261,DATABASE!C:P,11,false)</f>
        <v>#N/A</v>
      </c>
      <c r="T1261" s="93" t="str">
        <f>vlookup(F1261,DATABASE!C:Q,8,false)</f>
        <v>#N/A</v>
      </c>
      <c r="Z1261" s="9"/>
    </row>
    <row r="1262" ht="22.5" customHeight="1">
      <c r="A1262" s="49"/>
      <c r="C1262" s="384"/>
      <c r="D1262" s="93"/>
      <c r="F1262" s="74"/>
      <c r="H1262" s="74"/>
      <c r="I1262" s="74"/>
      <c r="J1262" s="74"/>
      <c r="K1262" s="74" t="str">
        <f>if(F1262="SERVICE",O1262-(O1262*50%),Vlookup(F1262,DATABASE!C:Q,10,false)*G1262)</f>
        <v>#N/A</v>
      </c>
      <c r="L1262" s="74" t="str">
        <f>VLOOKUP(F1262,DATABASE!C:Q,7,FALSE)</f>
        <v>#N/A</v>
      </c>
      <c r="M1262" s="74"/>
      <c r="N1262" s="74">
        <f t="shared" si="11"/>
        <v>0</v>
      </c>
      <c r="O1262" s="74">
        <f t="shared" si="13"/>
        <v>0</v>
      </c>
      <c r="P1262" s="63">
        <f t="shared" si="14"/>
        <v>0</v>
      </c>
      <c r="Q1262" s="63" t="str">
        <f t="shared" si="15"/>
        <v>#N/A</v>
      </c>
      <c r="R1262" s="93" t="str">
        <f>VLOOKUP(F1262,DATABASE!C:Q,4,false)</f>
        <v>#N/A</v>
      </c>
      <c r="S1262" s="93" t="str">
        <f>VLOOKUP(F1262,DATABASE!C:P,11,false)</f>
        <v>#N/A</v>
      </c>
      <c r="T1262" s="93" t="str">
        <f>vlookup(F1262,DATABASE!C:Q,8,false)</f>
        <v>#N/A</v>
      </c>
      <c r="Z1262" s="9"/>
    </row>
    <row r="1263" ht="22.5" customHeight="1">
      <c r="A1263" s="49"/>
      <c r="C1263" s="384"/>
      <c r="D1263" s="93"/>
      <c r="F1263" s="74"/>
      <c r="H1263" s="74"/>
      <c r="I1263" s="74"/>
      <c r="J1263" s="74"/>
      <c r="K1263" s="74" t="str">
        <f>if(F1263="SERVICE",O1263-(O1263*50%),Vlookup(F1263,DATABASE!C:Q,10,false)*G1263)</f>
        <v>#N/A</v>
      </c>
      <c r="L1263" s="74" t="str">
        <f>VLOOKUP(F1263,DATABASE!C:Q,7,FALSE)</f>
        <v>#N/A</v>
      </c>
      <c r="M1263" s="74"/>
      <c r="N1263" s="74">
        <f t="shared" si="11"/>
        <v>0</v>
      </c>
      <c r="O1263" s="74">
        <f t="shared" si="13"/>
        <v>0</v>
      </c>
      <c r="P1263" s="63">
        <f t="shared" si="14"/>
        <v>0</v>
      </c>
      <c r="Q1263" s="63" t="str">
        <f t="shared" si="15"/>
        <v>#N/A</v>
      </c>
      <c r="R1263" s="93" t="str">
        <f>VLOOKUP(F1263,DATABASE!C:Q,4,false)</f>
        <v>#N/A</v>
      </c>
      <c r="S1263" s="93" t="str">
        <f>VLOOKUP(F1263,DATABASE!C:P,11,false)</f>
        <v>#N/A</v>
      </c>
      <c r="T1263" s="93" t="str">
        <f>vlookup(F1263,DATABASE!C:Q,8,false)</f>
        <v>#N/A</v>
      </c>
      <c r="Z1263" s="9"/>
    </row>
    <row r="1264" ht="22.5" customHeight="1">
      <c r="A1264" s="49"/>
      <c r="C1264" s="384"/>
      <c r="D1264" s="93"/>
      <c r="F1264" s="74"/>
      <c r="H1264" s="74"/>
      <c r="I1264" s="74"/>
      <c r="J1264" s="74"/>
      <c r="K1264" s="74" t="str">
        <f>if(F1264="SERVICE",O1264-(O1264*50%),Vlookup(F1264,DATABASE!C:Q,10,false)*G1264)</f>
        <v>#N/A</v>
      </c>
      <c r="L1264" s="74" t="str">
        <f>VLOOKUP(F1264,DATABASE!C:Q,7,FALSE)</f>
        <v>#N/A</v>
      </c>
      <c r="M1264" s="74"/>
      <c r="N1264" s="74">
        <f t="shared" si="11"/>
        <v>0</v>
      </c>
      <c r="O1264" s="74">
        <f t="shared" si="13"/>
        <v>0</v>
      </c>
      <c r="P1264" s="63">
        <f t="shared" si="14"/>
        <v>0</v>
      </c>
      <c r="Q1264" s="63" t="str">
        <f t="shared" si="15"/>
        <v>#N/A</v>
      </c>
      <c r="R1264" s="93" t="str">
        <f>VLOOKUP(F1264,DATABASE!C:Q,4,false)</f>
        <v>#N/A</v>
      </c>
      <c r="S1264" s="93" t="str">
        <f>VLOOKUP(F1264,DATABASE!C:P,11,false)</f>
        <v>#N/A</v>
      </c>
      <c r="T1264" s="93" t="str">
        <f>vlookup(F1264,DATABASE!C:Q,8,false)</f>
        <v>#N/A</v>
      </c>
      <c r="Z1264" s="9"/>
    </row>
    <row r="1265" ht="22.5" customHeight="1">
      <c r="A1265" s="49"/>
      <c r="C1265" s="384"/>
      <c r="D1265" s="93"/>
      <c r="F1265" s="74"/>
      <c r="H1265" s="74"/>
      <c r="I1265" s="74"/>
      <c r="J1265" s="74"/>
      <c r="K1265" s="74" t="str">
        <f>if(F1265="SERVICE",O1265-(O1265*50%),Vlookup(F1265,DATABASE!C:Q,10,false)*G1265)</f>
        <v>#N/A</v>
      </c>
      <c r="L1265" s="74" t="str">
        <f>VLOOKUP(F1265,DATABASE!C:Q,7,FALSE)</f>
        <v>#N/A</v>
      </c>
      <c r="M1265" s="74"/>
      <c r="N1265" s="74">
        <f t="shared" si="11"/>
        <v>0</v>
      </c>
      <c r="O1265" s="74">
        <f t="shared" si="13"/>
        <v>0</v>
      </c>
      <c r="P1265" s="63">
        <f t="shared" si="14"/>
        <v>0</v>
      </c>
      <c r="Q1265" s="63" t="str">
        <f t="shared" si="15"/>
        <v>#N/A</v>
      </c>
      <c r="R1265" s="93" t="str">
        <f>VLOOKUP(F1265,DATABASE!C:Q,4,false)</f>
        <v>#N/A</v>
      </c>
      <c r="S1265" s="93" t="str">
        <f>VLOOKUP(F1265,DATABASE!C:P,11,false)</f>
        <v>#N/A</v>
      </c>
      <c r="T1265" s="93" t="str">
        <f>vlookup(F1265,DATABASE!C:Q,8,false)</f>
        <v>#N/A</v>
      </c>
      <c r="Z1265" s="9"/>
    </row>
    <row r="1266" ht="22.5" customHeight="1">
      <c r="A1266" s="49"/>
      <c r="C1266" s="384"/>
      <c r="D1266" s="93"/>
      <c r="F1266" s="74"/>
      <c r="H1266" s="74"/>
      <c r="I1266" s="74"/>
      <c r="J1266" s="74"/>
      <c r="K1266" s="74" t="str">
        <f>if(F1266="SERVICE",O1266-(O1266*50%),Vlookup(F1266,DATABASE!C:Q,10,false)*G1266)</f>
        <v>#N/A</v>
      </c>
      <c r="L1266" s="74" t="str">
        <f>VLOOKUP(F1266,DATABASE!C:Q,7,FALSE)</f>
        <v>#N/A</v>
      </c>
      <c r="M1266" s="74"/>
      <c r="N1266" s="74">
        <f t="shared" si="11"/>
        <v>0</v>
      </c>
      <c r="O1266" s="74">
        <f t="shared" si="13"/>
        <v>0</v>
      </c>
      <c r="P1266" s="63">
        <f t="shared" si="14"/>
        <v>0</v>
      </c>
      <c r="Q1266" s="63" t="str">
        <f t="shared" si="15"/>
        <v>#N/A</v>
      </c>
      <c r="R1266" s="93" t="str">
        <f>VLOOKUP(F1266,DATABASE!C:Q,4,false)</f>
        <v>#N/A</v>
      </c>
      <c r="S1266" s="93" t="str">
        <f>VLOOKUP(F1266,DATABASE!C:P,11,false)</f>
        <v>#N/A</v>
      </c>
      <c r="T1266" s="93" t="str">
        <f>vlookup(F1266,DATABASE!C:Q,8,false)</f>
        <v>#N/A</v>
      </c>
      <c r="Z1266" s="9"/>
    </row>
    <row r="1267" ht="22.5" customHeight="1">
      <c r="A1267" s="49"/>
      <c r="C1267" s="384"/>
      <c r="D1267" s="93"/>
      <c r="F1267" s="74"/>
      <c r="H1267" s="74"/>
      <c r="I1267" s="74"/>
      <c r="J1267" s="74"/>
      <c r="K1267" s="74" t="str">
        <f>if(F1267="SERVICE",O1267-(O1267*50%),Vlookup(F1267,DATABASE!C:Q,10,false)*G1267)</f>
        <v>#N/A</v>
      </c>
      <c r="L1267" s="74" t="str">
        <f>VLOOKUP(F1267,DATABASE!C:Q,7,FALSE)</f>
        <v>#N/A</v>
      </c>
      <c r="M1267" s="74"/>
      <c r="N1267" s="74">
        <f t="shared" si="11"/>
        <v>0</v>
      </c>
      <c r="O1267" s="74">
        <f t="shared" si="13"/>
        <v>0</v>
      </c>
      <c r="P1267" s="63">
        <f t="shared" si="14"/>
        <v>0</v>
      </c>
      <c r="Q1267" s="63" t="str">
        <f t="shared" si="15"/>
        <v>#N/A</v>
      </c>
      <c r="R1267" s="93" t="str">
        <f>VLOOKUP(F1267,DATABASE!C:Q,4,false)</f>
        <v>#N/A</v>
      </c>
      <c r="S1267" s="93" t="str">
        <f>VLOOKUP(F1267,DATABASE!C:P,11,false)</f>
        <v>#N/A</v>
      </c>
      <c r="T1267" s="93" t="str">
        <f>vlookup(F1267,DATABASE!C:Q,8,false)</f>
        <v>#N/A</v>
      </c>
      <c r="Z1267" s="9"/>
    </row>
    <row r="1268" ht="22.5" customHeight="1">
      <c r="A1268" s="49"/>
      <c r="C1268" s="384"/>
      <c r="D1268" s="93"/>
      <c r="F1268" s="74"/>
      <c r="H1268" s="74"/>
      <c r="I1268" s="74"/>
      <c r="J1268" s="74"/>
      <c r="K1268" s="74" t="str">
        <f>if(F1268="SERVICE",O1268-(O1268*50%),Vlookup(F1268,DATABASE!C:Q,10,false)*G1268)</f>
        <v>#N/A</v>
      </c>
      <c r="L1268" s="74" t="str">
        <f>VLOOKUP(F1268,DATABASE!C:Q,7,FALSE)</f>
        <v>#N/A</v>
      </c>
      <c r="M1268" s="74"/>
      <c r="N1268" s="74">
        <f t="shared" si="11"/>
        <v>0</v>
      </c>
      <c r="O1268" s="74">
        <f t="shared" si="13"/>
        <v>0</v>
      </c>
      <c r="P1268" s="63">
        <f t="shared" si="14"/>
        <v>0</v>
      </c>
      <c r="Q1268" s="63" t="str">
        <f t="shared" si="15"/>
        <v>#N/A</v>
      </c>
      <c r="R1268" s="93" t="str">
        <f>VLOOKUP(F1268,DATABASE!C:Q,4,false)</f>
        <v>#N/A</v>
      </c>
      <c r="S1268" s="93" t="str">
        <f>VLOOKUP(F1268,DATABASE!C:P,11,false)</f>
        <v>#N/A</v>
      </c>
      <c r="T1268" s="93" t="str">
        <f>vlookup(F1268,DATABASE!C:Q,8,false)</f>
        <v>#N/A</v>
      </c>
      <c r="Z1268" s="9"/>
    </row>
    <row r="1269" ht="22.5" customHeight="1">
      <c r="A1269" s="49"/>
      <c r="C1269" s="384"/>
      <c r="D1269" s="93"/>
      <c r="F1269" s="74"/>
      <c r="H1269" s="74"/>
      <c r="I1269" s="74"/>
      <c r="J1269" s="74"/>
      <c r="K1269" s="74" t="str">
        <f>if(F1269="SERVICE",O1269-(O1269*50%),Vlookup(F1269,DATABASE!C:Q,10,false)*G1269)</f>
        <v>#N/A</v>
      </c>
      <c r="L1269" s="74" t="str">
        <f>VLOOKUP(F1269,DATABASE!C:Q,7,FALSE)</f>
        <v>#N/A</v>
      </c>
      <c r="M1269" s="74"/>
      <c r="N1269" s="74">
        <f t="shared" si="11"/>
        <v>0</v>
      </c>
      <c r="O1269" s="74">
        <f t="shared" si="13"/>
        <v>0</v>
      </c>
      <c r="P1269" s="63">
        <f t="shared" si="14"/>
        <v>0</v>
      </c>
      <c r="Q1269" s="63" t="str">
        <f t="shared" si="15"/>
        <v>#N/A</v>
      </c>
      <c r="R1269" s="93" t="str">
        <f>VLOOKUP(F1269,DATABASE!C:Q,4,false)</f>
        <v>#N/A</v>
      </c>
      <c r="S1269" s="93" t="str">
        <f>VLOOKUP(F1269,DATABASE!C:P,11,false)</f>
        <v>#N/A</v>
      </c>
      <c r="T1269" s="93" t="str">
        <f>vlookup(F1269,DATABASE!C:Q,8,false)</f>
        <v>#N/A</v>
      </c>
      <c r="Z1269" s="9"/>
    </row>
    <row r="1270" ht="22.5" customHeight="1">
      <c r="A1270" s="49"/>
      <c r="C1270" s="384"/>
      <c r="D1270" s="93"/>
      <c r="F1270" s="74"/>
      <c r="H1270" s="74"/>
      <c r="I1270" s="74"/>
      <c r="J1270" s="74"/>
      <c r="K1270" s="74" t="str">
        <f>if(F1270="SERVICE",O1270-(O1270*50%),Vlookup(F1270,DATABASE!C:Q,10,false)*G1270)</f>
        <v>#N/A</v>
      </c>
      <c r="L1270" s="74" t="str">
        <f>VLOOKUP(F1270,DATABASE!C:Q,7,FALSE)</f>
        <v>#N/A</v>
      </c>
      <c r="M1270" s="74"/>
      <c r="N1270" s="74">
        <f t="shared" si="11"/>
        <v>0</v>
      </c>
      <c r="O1270" s="74">
        <f t="shared" si="13"/>
        <v>0</v>
      </c>
      <c r="P1270" s="63">
        <f t="shared" si="14"/>
        <v>0</v>
      </c>
      <c r="Q1270" s="63" t="str">
        <f t="shared" si="15"/>
        <v>#N/A</v>
      </c>
      <c r="R1270" s="93" t="str">
        <f>VLOOKUP(F1270,DATABASE!C:Q,4,false)</f>
        <v>#N/A</v>
      </c>
      <c r="S1270" s="93" t="str">
        <f>VLOOKUP(F1270,DATABASE!C:P,11,false)</f>
        <v>#N/A</v>
      </c>
      <c r="T1270" s="93" t="str">
        <f>vlookup(F1270,DATABASE!C:Q,8,false)</f>
        <v>#N/A</v>
      </c>
      <c r="Z1270" s="9"/>
    </row>
    <row r="1271" ht="22.5" customHeight="1">
      <c r="A1271" s="49"/>
      <c r="C1271" s="384"/>
      <c r="D1271" s="93"/>
      <c r="F1271" s="74"/>
      <c r="H1271" s="74"/>
      <c r="I1271" s="74"/>
      <c r="J1271" s="74"/>
      <c r="K1271" s="74" t="str">
        <f>if(F1271="SERVICE",O1271-(O1271*50%),Vlookup(F1271,DATABASE!C:Q,10,false)*G1271)</f>
        <v>#N/A</v>
      </c>
      <c r="L1271" s="74" t="str">
        <f>VLOOKUP(F1271,DATABASE!C:Q,7,FALSE)</f>
        <v>#N/A</v>
      </c>
      <c r="M1271" s="74"/>
      <c r="N1271" s="74">
        <f t="shared" si="11"/>
        <v>0</v>
      </c>
      <c r="O1271" s="74">
        <f t="shared" si="13"/>
        <v>0</v>
      </c>
      <c r="P1271" s="63">
        <f t="shared" si="14"/>
        <v>0</v>
      </c>
      <c r="Q1271" s="63" t="str">
        <f t="shared" si="15"/>
        <v>#N/A</v>
      </c>
      <c r="R1271" s="93" t="str">
        <f>VLOOKUP(F1271,DATABASE!C:Q,4,false)</f>
        <v>#N/A</v>
      </c>
      <c r="S1271" s="93" t="str">
        <f>VLOOKUP(F1271,DATABASE!C:P,11,false)</f>
        <v>#N/A</v>
      </c>
      <c r="T1271" s="93" t="str">
        <f>vlookup(F1271,DATABASE!C:Q,8,false)</f>
        <v>#N/A</v>
      </c>
      <c r="Z1271" s="9"/>
    </row>
    <row r="1272" ht="22.5" customHeight="1">
      <c r="A1272" s="49"/>
      <c r="C1272" s="384"/>
      <c r="D1272" s="93"/>
      <c r="F1272" s="74"/>
      <c r="H1272" s="74"/>
      <c r="I1272" s="74"/>
      <c r="J1272" s="74"/>
      <c r="K1272" s="74" t="str">
        <f>if(F1272="SERVICE",O1272-(O1272*50%),Vlookup(F1272,DATABASE!C:Q,10,false)*G1272)</f>
        <v>#N/A</v>
      </c>
      <c r="L1272" s="74" t="str">
        <f>VLOOKUP(F1272,DATABASE!C:Q,7,FALSE)</f>
        <v>#N/A</v>
      </c>
      <c r="M1272" s="74"/>
      <c r="N1272" s="74">
        <f t="shared" si="11"/>
        <v>0</v>
      </c>
      <c r="O1272" s="74">
        <f t="shared" si="13"/>
        <v>0</v>
      </c>
      <c r="P1272" s="63">
        <f t="shared" si="14"/>
        <v>0</v>
      </c>
      <c r="Q1272" s="63" t="str">
        <f t="shared" si="15"/>
        <v>#N/A</v>
      </c>
      <c r="R1272" s="93" t="str">
        <f>VLOOKUP(F1272,DATABASE!C:Q,4,false)</f>
        <v>#N/A</v>
      </c>
      <c r="S1272" s="93" t="str">
        <f>VLOOKUP(F1272,DATABASE!C:P,11,false)</f>
        <v>#N/A</v>
      </c>
      <c r="T1272" s="93" t="str">
        <f>vlookup(F1272,DATABASE!C:Q,8,false)</f>
        <v>#N/A</v>
      </c>
      <c r="Z1272" s="9"/>
    </row>
    <row r="1273" ht="22.5" customHeight="1">
      <c r="A1273" s="49"/>
      <c r="C1273" s="384"/>
      <c r="D1273" s="93"/>
      <c r="F1273" s="74"/>
      <c r="H1273" s="74"/>
      <c r="I1273" s="74"/>
      <c r="J1273" s="74"/>
      <c r="K1273" s="74" t="str">
        <f>if(F1273="SERVICE",O1273-(O1273*50%),Vlookup(F1273,DATABASE!C:Q,10,false)*G1273)</f>
        <v>#N/A</v>
      </c>
      <c r="L1273" s="74" t="str">
        <f>VLOOKUP(F1273,DATABASE!C:Q,7,FALSE)</f>
        <v>#N/A</v>
      </c>
      <c r="M1273" s="74"/>
      <c r="N1273" s="74">
        <f t="shared" si="11"/>
        <v>0</v>
      </c>
      <c r="O1273" s="74">
        <f t="shared" si="13"/>
        <v>0</v>
      </c>
      <c r="P1273" s="63">
        <f t="shared" si="14"/>
        <v>0</v>
      </c>
      <c r="Q1273" s="63" t="str">
        <f t="shared" si="15"/>
        <v>#N/A</v>
      </c>
      <c r="R1273" s="93" t="str">
        <f>VLOOKUP(F1273,DATABASE!C:Q,4,false)</f>
        <v>#N/A</v>
      </c>
      <c r="S1273" s="93" t="str">
        <f>VLOOKUP(F1273,DATABASE!C:P,11,false)</f>
        <v>#N/A</v>
      </c>
      <c r="T1273" s="93" t="str">
        <f>vlookup(F1273,DATABASE!C:Q,8,false)</f>
        <v>#N/A</v>
      </c>
      <c r="Z1273" s="9"/>
    </row>
    <row r="1274" ht="22.5" customHeight="1">
      <c r="A1274" s="49"/>
      <c r="C1274" s="384"/>
      <c r="D1274" s="93"/>
      <c r="F1274" s="74"/>
      <c r="H1274" s="74"/>
      <c r="I1274" s="74"/>
      <c r="J1274" s="74"/>
      <c r="K1274" s="74" t="str">
        <f>if(F1274="SERVICE",O1274-(O1274*50%),Vlookup(F1274,DATABASE!C:Q,10,false)*G1274)</f>
        <v>#N/A</v>
      </c>
      <c r="L1274" s="74" t="str">
        <f>VLOOKUP(F1274,DATABASE!C:Q,7,FALSE)</f>
        <v>#N/A</v>
      </c>
      <c r="M1274" s="74"/>
      <c r="N1274" s="74">
        <f t="shared" si="11"/>
        <v>0</v>
      </c>
      <c r="O1274" s="74">
        <f t="shared" si="13"/>
        <v>0</v>
      </c>
      <c r="P1274" s="63">
        <f t="shared" si="14"/>
        <v>0</v>
      </c>
      <c r="Q1274" s="63" t="str">
        <f t="shared" si="15"/>
        <v>#N/A</v>
      </c>
      <c r="R1274" s="93" t="str">
        <f>VLOOKUP(F1274,DATABASE!C:Q,4,false)</f>
        <v>#N/A</v>
      </c>
      <c r="S1274" s="93" t="str">
        <f>VLOOKUP(F1274,DATABASE!C:P,11,false)</f>
        <v>#N/A</v>
      </c>
      <c r="T1274" s="93" t="str">
        <f>vlookup(F1274,DATABASE!C:Q,8,false)</f>
        <v>#N/A</v>
      </c>
      <c r="Z1274" s="9"/>
    </row>
    <row r="1275" ht="22.5" customHeight="1">
      <c r="A1275" s="49"/>
      <c r="C1275" s="384"/>
      <c r="D1275" s="93"/>
      <c r="F1275" s="74"/>
      <c r="H1275" s="74"/>
      <c r="I1275" s="74"/>
      <c r="J1275" s="74"/>
      <c r="K1275" s="74" t="str">
        <f>if(F1275="SERVICE",O1275-(O1275*50%),Vlookup(F1275,DATABASE!C:Q,10,false)*G1275)</f>
        <v>#N/A</v>
      </c>
      <c r="L1275" s="74" t="str">
        <f>VLOOKUP(F1275,DATABASE!C:Q,7,FALSE)</f>
        <v>#N/A</v>
      </c>
      <c r="M1275" s="74"/>
      <c r="N1275" s="74">
        <f t="shared" si="11"/>
        <v>0</v>
      </c>
      <c r="O1275" s="74">
        <f t="shared" si="13"/>
        <v>0</v>
      </c>
      <c r="P1275" s="63">
        <f t="shared" si="14"/>
        <v>0</v>
      </c>
      <c r="Q1275" s="63" t="str">
        <f t="shared" si="15"/>
        <v>#N/A</v>
      </c>
      <c r="R1275" s="93" t="str">
        <f>VLOOKUP(F1275,DATABASE!C:Q,4,false)</f>
        <v>#N/A</v>
      </c>
      <c r="S1275" s="93" t="str">
        <f>VLOOKUP(F1275,DATABASE!C:P,11,false)</f>
        <v>#N/A</v>
      </c>
      <c r="T1275" s="93" t="str">
        <f>vlookup(F1275,DATABASE!C:Q,8,false)</f>
        <v>#N/A</v>
      </c>
      <c r="Z1275" s="9"/>
    </row>
    <row r="1276" ht="22.5" customHeight="1">
      <c r="A1276" s="49"/>
      <c r="C1276" s="384"/>
      <c r="D1276" s="93"/>
      <c r="F1276" s="74"/>
      <c r="H1276" s="74"/>
      <c r="I1276" s="74"/>
      <c r="J1276" s="74"/>
      <c r="K1276" s="74" t="str">
        <f>if(F1276="SERVICE",O1276-(O1276*50%),Vlookup(F1276,DATABASE!C:Q,10,false)*G1276)</f>
        <v>#N/A</v>
      </c>
      <c r="L1276" s="74" t="str">
        <f>VLOOKUP(F1276,DATABASE!C:Q,7,FALSE)</f>
        <v>#N/A</v>
      </c>
      <c r="M1276" s="74"/>
      <c r="N1276" s="74">
        <f t="shared" si="11"/>
        <v>0</v>
      </c>
      <c r="O1276" s="74">
        <f t="shared" si="13"/>
        <v>0</v>
      </c>
      <c r="P1276" s="63">
        <f t="shared" si="14"/>
        <v>0</v>
      </c>
      <c r="Q1276" s="63" t="str">
        <f t="shared" si="15"/>
        <v>#N/A</v>
      </c>
      <c r="R1276" s="93" t="str">
        <f>VLOOKUP(F1276,DATABASE!C:Q,4,false)</f>
        <v>#N/A</v>
      </c>
      <c r="S1276" s="93" t="str">
        <f>VLOOKUP(F1276,DATABASE!C:P,11,false)</f>
        <v>#N/A</v>
      </c>
      <c r="T1276" s="93" t="str">
        <f>vlookup(F1276,DATABASE!C:Q,8,false)</f>
        <v>#N/A</v>
      </c>
      <c r="Z1276" s="9"/>
    </row>
    <row r="1277" ht="22.5" customHeight="1">
      <c r="A1277" s="49"/>
      <c r="C1277" s="384"/>
      <c r="D1277" s="93"/>
      <c r="F1277" s="74"/>
      <c r="H1277" s="74"/>
      <c r="I1277" s="74"/>
      <c r="J1277" s="74"/>
      <c r="K1277" s="74" t="str">
        <f>if(F1277="SERVICE",O1277-(O1277*50%),Vlookup(F1277,DATABASE!C:Q,10,false)*G1277)</f>
        <v>#N/A</v>
      </c>
      <c r="L1277" s="74" t="str">
        <f>VLOOKUP(F1277,DATABASE!C:Q,7,FALSE)</f>
        <v>#N/A</v>
      </c>
      <c r="M1277" s="74"/>
      <c r="N1277" s="74">
        <f t="shared" si="11"/>
        <v>0</v>
      </c>
      <c r="O1277" s="74">
        <f t="shared" si="13"/>
        <v>0</v>
      </c>
      <c r="P1277" s="63">
        <f t="shared" si="14"/>
        <v>0</v>
      </c>
      <c r="Q1277" s="63" t="str">
        <f t="shared" si="15"/>
        <v>#N/A</v>
      </c>
      <c r="R1277" s="93" t="str">
        <f>VLOOKUP(F1277,DATABASE!C:Q,4,false)</f>
        <v>#N/A</v>
      </c>
      <c r="S1277" s="93" t="str">
        <f>VLOOKUP(F1277,DATABASE!C:P,11,false)</f>
        <v>#N/A</v>
      </c>
      <c r="T1277" s="93" t="str">
        <f>vlookup(F1277,DATABASE!C:Q,8,false)</f>
        <v>#N/A</v>
      </c>
      <c r="Z1277" s="9"/>
    </row>
    <row r="1278" ht="22.5" customHeight="1">
      <c r="A1278" s="49"/>
      <c r="C1278" s="384"/>
      <c r="D1278" s="93"/>
      <c r="F1278" s="74"/>
      <c r="H1278" s="74"/>
      <c r="I1278" s="74"/>
      <c r="J1278" s="74"/>
      <c r="K1278" s="74" t="str">
        <f>if(F1278="SERVICE",O1278-(O1278*50%),Vlookup(F1278,DATABASE!C:Q,10,false)*G1278)</f>
        <v>#N/A</v>
      </c>
      <c r="L1278" s="74" t="str">
        <f>VLOOKUP(F1278,DATABASE!C:Q,7,FALSE)</f>
        <v>#N/A</v>
      </c>
      <c r="M1278" s="74"/>
      <c r="N1278" s="74">
        <f t="shared" si="11"/>
        <v>0</v>
      </c>
      <c r="O1278" s="74">
        <f t="shared" si="13"/>
        <v>0</v>
      </c>
      <c r="P1278" s="63">
        <f t="shared" si="14"/>
        <v>0</v>
      </c>
      <c r="Q1278" s="63" t="str">
        <f t="shared" si="15"/>
        <v>#N/A</v>
      </c>
      <c r="R1278" s="93" t="str">
        <f>VLOOKUP(F1278,DATABASE!C:Q,4,false)</f>
        <v>#N/A</v>
      </c>
      <c r="S1278" s="93" t="str">
        <f>VLOOKUP(F1278,DATABASE!C:P,11,false)</f>
        <v>#N/A</v>
      </c>
      <c r="T1278" s="93" t="str">
        <f>vlookup(F1278,DATABASE!C:Q,8,false)</f>
        <v>#N/A</v>
      </c>
      <c r="Z1278" s="9"/>
    </row>
    <row r="1279" ht="22.5" customHeight="1">
      <c r="A1279" s="49"/>
      <c r="C1279" s="384"/>
      <c r="D1279" s="93"/>
      <c r="F1279" s="74"/>
      <c r="H1279" s="74"/>
      <c r="I1279" s="74"/>
      <c r="J1279" s="74"/>
      <c r="K1279" s="74" t="str">
        <f>if(F1279="SERVICE",O1279-(O1279*50%),Vlookup(F1279,DATABASE!C:Q,10,false)*G1279)</f>
        <v>#N/A</v>
      </c>
      <c r="L1279" s="74" t="str">
        <f>VLOOKUP(F1279,DATABASE!C:Q,7,FALSE)</f>
        <v>#N/A</v>
      </c>
      <c r="M1279" s="74"/>
      <c r="N1279" s="74">
        <f t="shared" si="11"/>
        <v>0</v>
      </c>
      <c r="O1279" s="74">
        <f t="shared" si="13"/>
        <v>0</v>
      </c>
      <c r="P1279" s="63">
        <f t="shared" si="14"/>
        <v>0</v>
      </c>
      <c r="Q1279" s="63" t="str">
        <f t="shared" si="15"/>
        <v>#N/A</v>
      </c>
      <c r="R1279" s="93" t="str">
        <f>VLOOKUP(F1279,DATABASE!C:Q,4,false)</f>
        <v>#N/A</v>
      </c>
      <c r="S1279" s="93" t="str">
        <f>VLOOKUP(F1279,DATABASE!C:P,11,false)</f>
        <v>#N/A</v>
      </c>
      <c r="T1279" s="93" t="str">
        <f>vlookup(F1279,DATABASE!C:Q,8,false)</f>
        <v>#N/A</v>
      </c>
      <c r="Z1279" s="9"/>
    </row>
    <row r="1280" ht="22.5" customHeight="1">
      <c r="A1280" s="49"/>
      <c r="C1280" s="384"/>
      <c r="D1280" s="93"/>
      <c r="F1280" s="74"/>
      <c r="H1280" s="74"/>
      <c r="I1280" s="74"/>
      <c r="J1280" s="74"/>
      <c r="K1280" s="74" t="str">
        <f>if(F1280="SERVICE",O1280-(O1280*50%),Vlookup(F1280,DATABASE!C:Q,10,false)*G1280)</f>
        <v>#N/A</v>
      </c>
      <c r="L1280" s="74" t="str">
        <f>VLOOKUP(F1280,DATABASE!C:Q,7,FALSE)</f>
        <v>#N/A</v>
      </c>
      <c r="M1280" s="74"/>
      <c r="N1280" s="74">
        <f t="shared" si="11"/>
        <v>0</v>
      </c>
      <c r="O1280" s="74">
        <f t="shared" si="13"/>
        <v>0</v>
      </c>
      <c r="P1280" s="63">
        <f t="shared" si="14"/>
        <v>0</v>
      </c>
      <c r="Q1280" s="63" t="str">
        <f t="shared" si="15"/>
        <v>#N/A</v>
      </c>
      <c r="R1280" s="93" t="str">
        <f>VLOOKUP(F1280,DATABASE!C:Q,4,false)</f>
        <v>#N/A</v>
      </c>
      <c r="S1280" s="93" t="str">
        <f>VLOOKUP(F1280,DATABASE!C:P,11,false)</f>
        <v>#N/A</v>
      </c>
      <c r="T1280" s="93" t="str">
        <f>vlookup(F1280,DATABASE!C:Q,8,false)</f>
        <v>#N/A</v>
      </c>
      <c r="Z1280" s="9"/>
    </row>
    <row r="1281" ht="22.5" customHeight="1">
      <c r="A1281" s="49"/>
      <c r="C1281" s="384"/>
      <c r="D1281" s="93"/>
      <c r="F1281" s="74"/>
      <c r="H1281" s="74"/>
      <c r="I1281" s="74"/>
      <c r="J1281" s="74"/>
      <c r="K1281" s="74" t="str">
        <f>if(F1281="SERVICE",O1281-(O1281*50%),Vlookup(F1281,DATABASE!C:Q,10,false)*G1281)</f>
        <v>#N/A</v>
      </c>
      <c r="L1281" s="74" t="str">
        <f>VLOOKUP(F1281,DATABASE!C:Q,7,FALSE)</f>
        <v>#N/A</v>
      </c>
      <c r="M1281" s="74"/>
      <c r="N1281" s="74">
        <f t="shared" si="11"/>
        <v>0</v>
      </c>
      <c r="O1281" s="74">
        <f t="shared" si="13"/>
        <v>0</v>
      </c>
      <c r="P1281" s="63">
        <f t="shared" si="14"/>
        <v>0</v>
      </c>
      <c r="Q1281" s="63" t="str">
        <f t="shared" si="15"/>
        <v>#N/A</v>
      </c>
      <c r="R1281" s="93" t="str">
        <f>VLOOKUP(F1281,DATABASE!C:Q,4,false)</f>
        <v>#N/A</v>
      </c>
      <c r="S1281" s="93" t="str">
        <f>VLOOKUP(F1281,DATABASE!C:P,11,false)</f>
        <v>#N/A</v>
      </c>
      <c r="T1281" s="93" t="str">
        <f>vlookup(F1281,DATABASE!C:Q,8,false)</f>
        <v>#N/A</v>
      </c>
      <c r="Z1281" s="9"/>
    </row>
    <row r="1282" ht="22.5" customHeight="1">
      <c r="A1282" s="49"/>
      <c r="C1282" s="384"/>
      <c r="D1282" s="93"/>
      <c r="F1282" s="74"/>
      <c r="H1282" s="74"/>
      <c r="I1282" s="74"/>
      <c r="J1282" s="74"/>
      <c r="K1282" s="74" t="str">
        <f>if(F1282="SERVICE",O1282-(O1282*50%),Vlookup(F1282,DATABASE!C:Q,10,false)*G1282)</f>
        <v>#N/A</v>
      </c>
      <c r="L1282" s="74" t="str">
        <f>VLOOKUP(F1282,DATABASE!C:Q,7,FALSE)</f>
        <v>#N/A</v>
      </c>
      <c r="M1282" s="74"/>
      <c r="N1282" s="74">
        <f t="shared" si="11"/>
        <v>0</v>
      </c>
      <c r="O1282" s="74">
        <f t="shared" si="13"/>
        <v>0</v>
      </c>
      <c r="P1282" s="63">
        <f t="shared" si="14"/>
        <v>0</v>
      </c>
      <c r="Q1282" s="63" t="str">
        <f t="shared" si="15"/>
        <v>#N/A</v>
      </c>
      <c r="R1282" s="93" t="str">
        <f>VLOOKUP(F1282,DATABASE!C:Q,4,false)</f>
        <v>#N/A</v>
      </c>
      <c r="S1282" s="93" t="str">
        <f>VLOOKUP(F1282,DATABASE!C:P,11,false)</f>
        <v>#N/A</v>
      </c>
      <c r="T1282" s="93" t="str">
        <f>vlookup(F1282,DATABASE!C:Q,8,false)</f>
        <v>#N/A</v>
      </c>
      <c r="Z1282" s="9"/>
    </row>
    <row r="1283" ht="22.5" customHeight="1">
      <c r="A1283" s="49"/>
      <c r="C1283" s="384"/>
      <c r="D1283" s="93"/>
      <c r="F1283" s="74"/>
      <c r="H1283" s="74"/>
      <c r="I1283" s="74"/>
      <c r="J1283" s="74"/>
      <c r="K1283" s="74" t="str">
        <f>if(F1283="SERVICE",O1283-(O1283*50%),Vlookup(F1283,DATABASE!C:Q,10,false)*G1283)</f>
        <v>#N/A</v>
      </c>
      <c r="L1283" s="74" t="str">
        <f>VLOOKUP(F1283,DATABASE!C:Q,7,FALSE)</f>
        <v>#N/A</v>
      </c>
      <c r="M1283" s="74"/>
      <c r="N1283" s="74">
        <f t="shared" si="11"/>
        <v>0</v>
      </c>
      <c r="O1283" s="74">
        <f t="shared" si="13"/>
        <v>0</v>
      </c>
      <c r="P1283" s="63">
        <f t="shared" si="14"/>
        <v>0</v>
      </c>
      <c r="Q1283" s="63" t="str">
        <f t="shared" si="15"/>
        <v>#N/A</v>
      </c>
      <c r="R1283" s="93" t="str">
        <f>VLOOKUP(F1283,DATABASE!C:Q,4,false)</f>
        <v>#N/A</v>
      </c>
      <c r="S1283" s="93" t="str">
        <f>VLOOKUP(F1283,DATABASE!C:P,11,false)</f>
        <v>#N/A</v>
      </c>
      <c r="T1283" s="93" t="str">
        <f>vlookup(F1283,DATABASE!C:Q,8,false)</f>
        <v>#N/A</v>
      </c>
      <c r="Z1283" s="9"/>
    </row>
    <row r="1284" ht="22.5" customHeight="1">
      <c r="A1284" s="49"/>
      <c r="C1284" s="384"/>
      <c r="D1284" s="93"/>
      <c r="F1284" s="74"/>
      <c r="H1284" s="74"/>
      <c r="I1284" s="74"/>
      <c r="J1284" s="74"/>
      <c r="K1284" s="74" t="str">
        <f>if(F1284="SERVICE",O1284-(O1284*50%),Vlookup(F1284,DATABASE!C:Q,10,false)*G1284)</f>
        <v>#N/A</v>
      </c>
      <c r="L1284" s="74" t="str">
        <f>VLOOKUP(F1284,DATABASE!C:Q,7,FALSE)</f>
        <v>#N/A</v>
      </c>
      <c r="M1284" s="74"/>
      <c r="N1284" s="74">
        <f t="shared" si="11"/>
        <v>0</v>
      </c>
      <c r="O1284" s="74">
        <f t="shared" si="13"/>
        <v>0</v>
      </c>
      <c r="P1284" s="63">
        <f t="shared" si="14"/>
        <v>0</v>
      </c>
      <c r="Q1284" s="63" t="str">
        <f t="shared" si="15"/>
        <v>#N/A</v>
      </c>
      <c r="R1284" s="93" t="str">
        <f>VLOOKUP(F1284,DATABASE!C:Q,4,false)</f>
        <v>#N/A</v>
      </c>
      <c r="S1284" s="93" t="str">
        <f>VLOOKUP(F1284,DATABASE!C:P,11,false)</f>
        <v>#N/A</v>
      </c>
      <c r="T1284" s="93" t="str">
        <f>vlookup(F1284,DATABASE!C:Q,8,false)</f>
        <v>#N/A</v>
      </c>
      <c r="Z1284" s="9"/>
    </row>
    <row r="1285" ht="22.5" customHeight="1">
      <c r="A1285" s="49"/>
      <c r="C1285" s="384"/>
      <c r="D1285" s="93"/>
      <c r="F1285" s="74"/>
      <c r="H1285" s="74"/>
      <c r="I1285" s="74"/>
      <c r="J1285" s="74"/>
      <c r="K1285" s="74" t="str">
        <f>if(F1285="SERVICE",O1285-(O1285*50%),Vlookup(F1285,DATABASE!C:Q,10,false)*G1285)</f>
        <v>#N/A</v>
      </c>
      <c r="L1285" s="74" t="str">
        <f>VLOOKUP(F1285,DATABASE!C:Q,7,FALSE)</f>
        <v>#N/A</v>
      </c>
      <c r="M1285" s="74"/>
      <c r="N1285" s="74">
        <f t="shared" si="11"/>
        <v>0</v>
      </c>
      <c r="O1285" s="74">
        <f t="shared" si="13"/>
        <v>0</v>
      </c>
      <c r="P1285" s="63">
        <f t="shared" si="14"/>
        <v>0</v>
      </c>
      <c r="Q1285" s="63" t="str">
        <f t="shared" si="15"/>
        <v>#N/A</v>
      </c>
      <c r="R1285" s="93" t="str">
        <f>VLOOKUP(F1285,DATABASE!C:Q,4,false)</f>
        <v>#N/A</v>
      </c>
      <c r="S1285" s="93" t="str">
        <f>VLOOKUP(F1285,DATABASE!C:P,11,false)</f>
        <v>#N/A</v>
      </c>
      <c r="T1285" s="93" t="str">
        <f>vlookup(F1285,DATABASE!C:Q,8,false)</f>
        <v>#N/A</v>
      </c>
      <c r="Z1285" s="9"/>
    </row>
    <row r="1286" ht="22.5" customHeight="1">
      <c r="A1286" s="49"/>
      <c r="C1286" s="384"/>
      <c r="D1286" s="93"/>
      <c r="F1286" s="74"/>
      <c r="H1286" s="74"/>
      <c r="I1286" s="74"/>
      <c r="J1286" s="74"/>
      <c r="K1286" s="74" t="str">
        <f>if(F1286="SERVICE",O1286-(O1286*50%),Vlookup(F1286,DATABASE!C:Q,10,false)*G1286)</f>
        <v>#N/A</v>
      </c>
      <c r="L1286" s="74" t="str">
        <f>VLOOKUP(F1286,DATABASE!C:Q,7,FALSE)</f>
        <v>#N/A</v>
      </c>
      <c r="M1286" s="74"/>
      <c r="N1286" s="74">
        <f t="shared" si="11"/>
        <v>0</v>
      </c>
      <c r="O1286" s="74">
        <f t="shared" si="13"/>
        <v>0</v>
      </c>
      <c r="P1286" s="63">
        <f t="shared" si="14"/>
        <v>0</v>
      </c>
      <c r="Q1286" s="63" t="str">
        <f t="shared" si="15"/>
        <v>#N/A</v>
      </c>
      <c r="R1286" s="93" t="str">
        <f>VLOOKUP(F1286,DATABASE!C:Q,4,false)</f>
        <v>#N/A</v>
      </c>
      <c r="S1286" s="93" t="str">
        <f>VLOOKUP(F1286,DATABASE!C:P,11,false)</f>
        <v>#N/A</v>
      </c>
      <c r="T1286" s="93" t="str">
        <f>vlookup(F1286,DATABASE!C:Q,8,false)</f>
        <v>#N/A</v>
      </c>
      <c r="Z1286" s="9"/>
    </row>
    <row r="1287" ht="22.5" customHeight="1">
      <c r="A1287" s="49"/>
      <c r="C1287" s="384"/>
      <c r="D1287" s="93"/>
      <c r="F1287" s="74"/>
      <c r="H1287" s="74"/>
      <c r="I1287" s="74"/>
      <c r="J1287" s="74"/>
      <c r="K1287" s="74" t="str">
        <f>if(F1287="SERVICE",O1287-(O1287*50%),Vlookup(F1287,DATABASE!C:Q,10,false)*G1287)</f>
        <v>#N/A</v>
      </c>
      <c r="L1287" s="74" t="str">
        <f>VLOOKUP(F1287,DATABASE!C:Q,7,FALSE)</f>
        <v>#N/A</v>
      </c>
      <c r="M1287" s="74"/>
      <c r="N1287" s="74">
        <f t="shared" si="11"/>
        <v>0</v>
      </c>
      <c r="O1287" s="74">
        <f t="shared" si="13"/>
        <v>0</v>
      </c>
      <c r="P1287" s="63">
        <f t="shared" si="14"/>
        <v>0</v>
      </c>
      <c r="Q1287" s="63" t="str">
        <f t="shared" si="15"/>
        <v>#N/A</v>
      </c>
      <c r="R1287" s="93" t="str">
        <f>VLOOKUP(F1287,DATABASE!C:Q,4,false)</f>
        <v>#N/A</v>
      </c>
      <c r="S1287" s="93" t="str">
        <f>VLOOKUP(F1287,DATABASE!C:P,11,false)</f>
        <v>#N/A</v>
      </c>
      <c r="T1287" s="93" t="str">
        <f>vlookup(F1287,DATABASE!C:Q,8,false)</f>
        <v>#N/A</v>
      </c>
      <c r="Z1287" s="9"/>
    </row>
    <row r="1288" ht="22.5" customHeight="1">
      <c r="A1288" s="49"/>
      <c r="C1288" s="384"/>
      <c r="D1288" s="93"/>
      <c r="F1288" s="74"/>
      <c r="H1288" s="74"/>
      <c r="I1288" s="74"/>
      <c r="J1288" s="74"/>
      <c r="K1288" s="74" t="str">
        <f>if(F1288="SERVICE",O1288-(O1288*50%),Vlookup(F1288,DATABASE!C:Q,10,false)*G1288)</f>
        <v>#N/A</v>
      </c>
      <c r="L1288" s="74" t="str">
        <f>VLOOKUP(F1288,DATABASE!C:Q,7,FALSE)</f>
        <v>#N/A</v>
      </c>
      <c r="M1288" s="74"/>
      <c r="N1288" s="74">
        <f t="shared" si="11"/>
        <v>0</v>
      </c>
      <c r="O1288" s="74">
        <f t="shared" si="13"/>
        <v>0</v>
      </c>
      <c r="P1288" s="63">
        <f t="shared" si="14"/>
        <v>0</v>
      </c>
      <c r="Q1288" s="63" t="str">
        <f t="shared" si="15"/>
        <v>#N/A</v>
      </c>
      <c r="R1288" s="93" t="str">
        <f>VLOOKUP(F1288,DATABASE!C:Q,4,false)</f>
        <v>#N/A</v>
      </c>
      <c r="S1288" s="93" t="str">
        <f>VLOOKUP(F1288,DATABASE!C:P,11,false)</f>
        <v>#N/A</v>
      </c>
      <c r="T1288" s="93" t="str">
        <f>vlookup(F1288,DATABASE!C:Q,8,false)</f>
        <v>#N/A</v>
      </c>
      <c r="Z1288" s="9"/>
    </row>
    <row r="1289" ht="22.5" customHeight="1">
      <c r="A1289" s="49"/>
      <c r="C1289" s="384"/>
      <c r="D1289" s="93"/>
      <c r="F1289" s="74"/>
      <c r="H1289" s="74"/>
      <c r="I1289" s="74"/>
      <c r="J1289" s="74"/>
      <c r="K1289" s="74" t="str">
        <f>if(F1289="SERVICE",O1289-(O1289*50%),Vlookup(F1289,DATABASE!C:Q,10,false)*G1289)</f>
        <v>#N/A</v>
      </c>
      <c r="L1289" s="74" t="str">
        <f>VLOOKUP(F1289,DATABASE!C:Q,7,FALSE)</f>
        <v>#N/A</v>
      </c>
      <c r="M1289" s="74"/>
      <c r="N1289" s="74">
        <f t="shared" si="11"/>
        <v>0</v>
      </c>
      <c r="O1289" s="74">
        <f t="shared" si="13"/>
        <v>0</v>
      </c>
      <c r="P1289" s="63">
        <f t="shared" si="14"/>
        <v>0</v>
      </c>
      <c r="Q1289" s="63" t="str">
        <f t="shared" si="15"/>
        <v>#N/A</v>
      </c>
      <c r="R1289" s="93" t="str">
        <f>VLOOKUP(F1289,DATABASE!C:Q,4,false)</f>
        <v>#N/A</v>
      </c>
      <c r="S1289" s="93" t="str">
        <f>VLOOKUP(F1289,DATABASE!C:P,11,false)</f>
        <v>#N/A</v>
      </c>
      <c r="T1289" s="93" t="str">
        <f>vlookup(F1289,DATABASE!C:Q,8,false)</f>
        <v>#N/A</v>
      </c>
      <c r="Z1289" s="9"/>
    </row>
    <row r="1290" ht="22.5" customHeight="1">
      <c r="A1290" s="49"/>
      <c r="C1290" s="384"/>
      <c r="D1290" s="93"/>
      <c r="F1290" s="74"/>
      <c r="H1290" s="74"/>
      <c r="I1290" s="74"/>
      <c r="J1290" s="74"/>
      <c r="K1290" s="74" t="str">
        <f>if(F1290="SERVICE",O1290-(O1290*50%),Vlookup(F1290,DATABASE!C:Q,10,false)*G1290)</f>
        <v>#N/A</v>
      </c>
      <c r="L1290" s="74" t="str">
        <f>VLOOKUP(F1290,DATABASE!C:Q,7,FALSE)</f>
        <v>#N/A</v>
      </c>
      <c r="M1290" s="74"/>
      <c r="N1290" s="74">
        <f t="shared" si="11"/>
        <v>0</v>
      </c>
      <c r="O1290" s="74">
        <f t="shared" si="13"/>
        <v>0</v>
      </c>
      <c r="P1290" s="63">
        <f t="shared" si="14"/>
        <v>0</v>
      </c>
      <c r="Q1290" s="63" t="str">
        <f t="shared" si="15"/>
        <v>#N/A</v>
      </c>
      <c r="R1290" s="93" t="str">
        <f>VLOOKUP(F1290,DATABASE!C:Q,4,false)</f>
        <v>#N/A</v>
      </c>
      <c r="S1290" s="93" t="str">
        <f>VLOOKUP(F1290,DATABASE!C:P,11,false)</f>
        <v>#N/A</v>
      </c>
      <c r="T1290" s="93" t="str">
        <f>vlookup(F1290,DATABASE!C:Q,8,false)</f>
        <v>#N/A</v>
      </c>
      <c r="Z1290" s="9"/>
    </row>
    <row r="1291" ht="22.5" customHeight="1">
      <c r="A1291" s="49"/>
      <c r="C1291" s="384"/>
      <c r="D1291" s="93"/>
      <c r="F1291" s="74"/>
      <c r="H1291" s="74"/>
      <c r="I1291" s="74"/>
      <c r="J1291" s="74"/>
      <c r="K1291" s="74" t="str">
        <f>if(F1291="SERVICE",O1291-(O1291*50%),Vlookup(F1291,DATABASE!C:Q,10,false)*G1291)</f>
        <v>#N/A</v>
      </c>
      <c r="L1291" s="74" t="str">
        <f>VLOOKUP(F1291,DATABASE!C:Q,7,FALSE)</f>
        <v>#N/A</v>
      </c>
      <c r="M1291" s="74"/>
      <c r="N1291" s="74">
        <f t="shared" si="11"/>
        <v>0</v>
      </c>
      <c r="O1291" s="74">
        <f t="shared" si="13"/>
        <v>0</v>
      </c>
      <c r="P1291" s="63">
        <f t="shared" si="14"/>
        <v>0</v>
      </c>
      <c r="Q1291" s="63" t="str">
        <f t="shared" si="15"/>
        <v>#N/A</v>
      </c>
      <c r="R1291" s="93" t="str">
        <f>VLOOKUP(F1291,DATABASE!C:Q,4,false)</f>
        <v>#N/A</v>
      </c>
      <c r="S1291" s="93" t="str">
        <f>VLOOKUP(F1291,DATABASE!C:P,11,false)</f>
        <v>#N/A</v>
      </c>
      <c r="T1291" s="93" t="str">
        <f>vlookup(F1291,DATABASE!C:Q,8,false)</f>
        <v>#N/A</v>
      </c>
      <c r="Z1291" s="9"/>
    </row>
    <row r="1292" ht="22.5" customHeight="1">
      <c r="A1292" s="49"/>
      <c r="C1292" s="384"/>
      <c r="D1292" s="93"/>
      <c r="F1292" s="74"/>
      <c r="H1292" s="74"/>
      <c r="I1292" s="74"/>
      <c r="J1292" s="74"/>
      <c r="K1292" s="74" t="str">
        <f>if(F1292="SERVICE",O1292-(O1292*50%),Vlookup(F1292,DATABASE!C:Q,10,false)*G1292)</f>
        <v>#N/A</v>
      </c>
      <c r="L1292" s="74" t="str">
        <f>VLOOKUP(F1292,DATABASE!C:Q,7,FALSE)</f>
        <v>#N/A</v>
      </c>
      <c r="M1292" s="74"/>
      <c r="N1292" s="74">
        <f t="shared" si="11"/>
        <v>0</v>
      </c>
      <c r="O1292" s="74">
        <f t="shared" si="13"/>
        <v>0</v>
      </c>
      <c r="P1292" s="63">
        <f t="shared" si="14"/>
        <v>0</v>
      </c>
      <c r="Q1292" s="63" t="str">
        <f t="shared" si="15"/>
        <v>#N/A</v>
      </c>
      <c r="R1292" s="93" t="str">
        <f>VLOOKUP(F1292,DATABASE!C:Q,4,false)</f>
        <v>#N/A</v>
      </c>
      <c r="S1292" s="93" t="str">
        <f>VLOOKUP(F1292,DATABASE!C:P,11,false)</f>
        <v>#N/A</v>
      </c>
      <c r="T1292" s="93" t="str">
        <f>vlookup(F1292,DATABASE!C:Q,8,false)</f>
        <v>#N/A</v>
      </c>
      <c r="Z1292" s="9"/>
    </row>
    <row r="1293" ht="22.5" customHeight="1">
      <c r="A1293" s="49"/>
      <c r="C1293" s="384"/>
      <c r="D1293" s="93"/>
      <c r="F1293" s="74"/>
      <c r="H1293" s="74"/>
      <c r="I1293" s="74"/>
      <c r="J1293" s="74"/>
      <c r="K1293" s="74" t="str">
        <f>if(F1293="SERVICE",O1293-(O1293*50%),Vlookup(F1293,DATABASE!C:Q,10,false)*G1293)</f>
        <v>#N/A</v>
      </c>
      <c r="L1293" s="74" t="str">
        <f>VLOOKUP(F1293,DATABASE!C:Q,7,FALSE)</f>
        <v>#N/A</v>
      </c>
      <c r="M1293" s="74"/>
      <c r="N1293" s="74">
        <f t="shared" si="11"/>
        <v>0</v>
      </c>
      <c r="O1293" s="74">
        <f t="shared" si="13"/>
        <v>0</v>
      </c>
      <c r="P1293" s="63">
        <f t="shared" si="14"/>
        <v>0</v>
      </c>
      <c r="Q1293" s="63" t="str">
        <f t="shared" si="15"/>
        <v>#N/A</v>
      </c>
      <c r="R1293" s="93" t="str">
        <f>VLOOKUP(F1293,DATABASE!C:Q,4,false)</f>
        <v>#N/A</v>
      </c>
      <c r="S1293" s="93" t="str">
        <f>VLOOKUP(F1293,DATABASE!C:P,11,false)</f>
        <v>#N/A</v>
      </c>
      <c r="T1293" s="93" t="str">
        <f>vlookup(F1293,DATABASE!C:Q,8,false)</f>
        <v>#N/A</v>
      </c>
      <c r="Z1293" s="9"/>
    </row>
    <row r="1294" ht="22.5" customHeight="1">
      <c r="A1294" s="49"/>
      <c r="C1294" s="384"/>
      <c r="D1294" s="93"/>
      <c r="F1294" s="74"/>
      <c r="H1294" s="74"/>
      <c r="I1294" s="74"/>
      <c r="J1294" s="74"/>
      <c r="K1294" s="74" t="str">
        <f>if(F1294="SERVICE",O1294-(O1294*50%),Vlookup(F1294,DATABASE!C:Q,10,false)*G1294)</f>
        <v>#N/A</v>
      </c>
      <c r="L1294" s="74" t="str">
        <f>VLOOKUP(F1294,DATABASE!C:Q,7,FALSE)</f>
        <v>#N/A</v>
      </c>
      <c r="M1294" s="74"/>
      <c r="N1294" s="74">
        <f t="shared" si="11"/>
        <v>0</v>
      </c>
      <c r="O1294" s="74">
        <f t="shared" si="13"/>
        <v>0</v>
      </c>
      <c r="P1294" s="63">
        <f t="shared" si="14"/>
        <v>0</v>
      </c>
      <c r="Q1294" s="63" t="str">
        <f t="shared" si="15"/>
        <v>#N/A</v>
      </c>
      <c r="R1294" s="93" t="str">
        <f>VLOOKUP(F1294,DATABASE!C:Q,4,false)</f>
        <v>#N/A</v>
      </c>
      <c r="S1294" s="93" t="str">
        <f>VLOOKUP(F1294,DATABASE!C:P,11,false)</f>
        <v>#N/A</v>
      </c>
      <c r="T1294" s="93" t="str">
        <f>vlookup(F1294,DATABASE!C:Q,8,false)</f>
        <v>#N/A</v>
      </c>
      <c r="Z1294" s="9"/>
    </row>
    <row r="1295" ht="22.5" customHeight="1">
      <c r="A1295" s="49"/>
      <c r="C1295" s="384"/>
      <c r="D1295" s="93"/>
      <c r="F1295" s="74"/>
      <c r="H1295" s="74"/>
      <c r="I1295" s="74"/>
      <c r="J1295" s="74"/>
      <c r="K1295" s="74" t="str">
        <f>if(F1295="SERVICE",O1295-(O1295*50%),Vlookup(F1295,DATABASE!C:Q,10,false)*G1295)</f>
        <v>#N/A</v>
      </c>
      <c r="L1295" s="74" t="str">
        <f>VLOOKUP(F1295,DATABASE!C:Q,7,FALSE)</f>
        <v>#N/A</v>
      </c>
      <c r="M1295" s="74"/>
      <c r="N1295" s="74">
        <f t="shared" si="11"/>
        <v>0</v>
      </c>
      <c r="O1295" s="74">
        <f t="shared" si="13"/>
        <v>0</v>
      </c>
      <c r="P1295" s="63">
        <f t="shared" si="14"/>
        <v>0</v>
      </c>
      <c r="Q1295" s="63" t="str">
        <f t="shared" si="15"/>
        <v>#N/A</v>
      </c>
      <c r="R1295" s="93" t="str">
        <f>VLOOKUP(F1295,DATABASE!C:Q,4,false)</f>
        <v>#N/A</v>
      </c>
      <c r="S1295" s="93" t="str">
        <f>VLOOKUP(F1295,DATABASE!C:P,11,false)</f>
        <v>#N/A</v>
      </c>
      <c r="T1295" s="93" t="str">
        <f>vlookup(F1295,DATABASE!C:Q,8,false)</f>
        <v>#N/A</v>
      </c>
      <c r="Z1295" s="9"/>
    </row>
    <row r="1296" ht="22.5" customHeight="1">
      <c r="A1296" s="49"/>
      <c r="C1296" s="384"/>
      <c r="D1296" s="93"/>
      <c r="F1296" s="74"/>
      <c r="H1296" s="74"/>
      <c r="I1296" s="74"/>
      <c r="J1296" s="74"/>
      <c r="K1296" s="74" t="str">
        <f>if(F1296="SERVICE",O1296-(O1296*50%),Vlookup(F1296,DATABASE!C:Q,10,false)*G1296)</f>
        <v>#N/A</v>
      </c>
      <c r="L1296" s="74" t="str">
        <f>VLOOKUP(F1296,DATABASE!C:Q,7,FALSE)</f>
        <v>#N/A</v>
      </c>
      <c r="M1296" s="74"/>
      <c r="N1296" s="74">
        <f t="shared" si="11"/>
        <v>0</v>
      </c>
      <c r="O1296" s="74">
        <f t="shared" si="13"/>
        <v>0</v>
      </c>
      <c r="P1296" s="63">
        <f t="shared" si="14"/>
        <v>0</v>
      </c>
      <c r="Q1296" s="63" t="str">
        <f t="shared" si="15"/>
        <v>#N/A</v>
      </c>
      <c r="R1296" s="93" t="str">
        <f>VLOOKUP(F1296,DATABASE!C:Q,4,false)</f>
        <v>#N/A</v>
      </c>
      <c r="S1296" s="93" t="str">
        <f>VLOOKUP(F1296,DATABASE!C:P,11,false)</f>
        <v>#N/A</v>
      </c>
      <c r="T1296" s="93" t="str">
        <f>vlookup(F1296,DATABASE!C:Q,8,false)</f>
        <v>#N/A</v>
      </c>
      <c r="Z1296" s="9"/>
    </row>
    <row r="1297" ht="22.5" customHeight="1">
      <c r="A1297" s="49"/>
      <c r="C1297" s="384"/>
      <c r="D1297" s="93"/>
      <c r="F1297" s="74"/>
      <c r="H1297" s="74"/>
      <c r="I1297" s="74"/>
      <c r="J1297" s="74"/>
      <c r="K1297" s="74" t="str">
        <f>if(F1297="SERVICE",O1297-(O1297*50%),Vlookup(F1297,DATABASE!C:Q,10,false)*G1297)</f>
        <v>#N/A</v>
      </c>
      <c r="L1297" s="74" t="str">
        <f>VLOOKUP(F1297,DATABASE!C:Q,7,FALSE)</f>
        <v>#N/A</v>
      </c>
      <c r="M1297" s="74"/>
      <c r="N1297" s="74">
        <f t="shared" si="11"/>
        <v>0</v>
      </c>
      <c r="O1297" s="74">
        <f t="shared" si="13"/>
        <v>0</v>
      </c>
      <c r="P1297" s="63">
        <f t="shared" si="14"/>
        <v>0</v>
      </c>
      <c r="Q1297" s="63" t="str">
        <f t="shared" si="15"/>
        <v>#N/A</v>
      </c>
      <c r="R1297" s="93" t="str">
        <f>VLOOKUP(F1297,DATABASE!C:Q,4,false)</f>
        <v>#N/A</v>
      </c>
      <c r="S1297" s="93" t="str">
        <f>VLOOKUP(F1297,DATABASE!C:P,11,false)</f>
        <v>#N/A</v>
      </c>
      <c r="T1297" s="93" t="str">
        <f>vlookup(F1297,DATABASE!C:Q,8,false)</f>
        <v>#N/A</v>
      </c>
      <c r="Z1297" s="9"/>
    </row>
    <row r="1298" ht="22.5" customHeight="1">
      <c r="A1298" s="49"/>
      <c r="C1298" s="384"/>
      <c r="D1298" s="93"/>
      <c r="F1298" s="74"/>
      <c r="H1298" s="74"/>
      <c r="I1298" s="74"/>
      <c r="J1298" s="74"/>
      <c r="K1298" s="74" t="str">
        <f>if(F1298="SERVICE",O1298-(O1298*50%),Vlookup(F1298,DATABASE!C:Q,10,false)*G1298)</f>
        <v>#N/A</v>
      </c>
      <c r="L1298" s="74" t="str">
        <f>VLOOKUP(F1298,DATABASE!C:Q,7,FALSE)</f>
        <v>#N/A</v>
      </c>
      <c r="M1298" s="74"/>
      <c r="N1298" s="74">
        <f t="shared" si="11"/>
        <v>0</v>
      </c>
      <c r="O1298" s="74">
        <f t="shared" si="13"/>
        <v>0</v>
      </c>
      <c r="P1298" s="63">
        <f t="shared" si="14"/>
        <v>0</v>
      </c>
      <c r="Q1298" s="63" t="str">
        <f t="shared" si="15"/>
        <v>#N/A</v>
      </c>
      <c r="R1298" s="93" t="str">
        <f>VLOOKUP(F1298,DATABASE!C:Q,4,false)</f>
        <v>#N/A</v>
      </c>
      <c r="S1298" s="93" t="str">
        <f>VLOOKUP(F1298,DATABASE!C:P,11,false)</f>
        <v>#N/A</v>
      </c>
      <c r="T1298" s="93" t="str">
        <f>vlookup(F1298,DATABASE!C:Q,8,false)</f>
        <v>#N/A</v>
      </c>
      <c r="Z1298" s="9"/>
    </row>
    <row r="1299" ht="22.5" customHeight="1">
      <c r="A1299" s="49"/>
      <c r="C1299" s="384"/>
      <c r="D1299" s="93"/>
      <c r="F1299" s="74"/>
      <c r="H1299" s="74"/>
      <c r="I1299" s="74"/>
      <c r="J1299" s="74"/>
      <c r="K1299" s="74" t="str">
        <f>if(F1299="SERVICE",O1299-(O1299*50%),Vlookup(F1299,DATABASE!C:Q,10,false)*G1299)</f>
        <v>#N/A</v>
      </c>
      <c r="L1299" s="74" t="str">
        <f>VLOOKUP(F1299,DATABASE!C:Q,7,FALSE)</f>
        <v>#N/A</v>
      </c>
      <c r="M1299" s="74"/>
      <c r="N1299" s="74">
        <f t="shared" si="11"/>
        <v>0</v>
      </c>
      <c r="O1299" s="74">
        <f t="shared" si="13"/>
        <v>0</v>
      </c>
      <c r="P1299" s="63">
        <f t="shared" si="14"/>
        <v>0</v>
      </c>
      <c r="Q1299" s="63" t="str">
        <f t="shared" si="15"/>
        <v>#N/A</v>
      </c>
      <c r="R1299" s="93" t="str">
        <f>VLOOKUP(F1299,DATABASE!C:Q,4,false)</f>
        <v>#N/A</v>
      </c>
      <c r="S1299" s="93" t="str">
        <f>VLOOKUP(F1299,DATABASE!C:P,11,false)</f>
        <v>#N/A</v>
      </c>
      <c r="T1299" s="93" t="str">
        <f>vlookup(F1299,DATABASE!C:Q,8,false)</f>
        <v>#N/A</v>
      </c>
      <c r="Z1299" s="9"/>
    </row>
    <row r="1300" ht="22.5" customHeight="1">
      <c r="A1300" s="49"/>
      <c r="C1300" s="384"/>
      <c r="D1300" s="93"/>
      <c r="F1300" s="74"/>
      <c r="H1300" s="74"/>
      <c r="I1300" s="74"/>
      <c r="J1300" s="74"/>
      <c r="K1300" s="74" t="str">
        <f>if(F1300="SERVICE",O1300-(O1300*50%),Vlookup(F1300,DATABASE!C:Q,10,false)*G1300)</f>
        <v>#N/A</v>
      </c>
      <c r="L1300" s="74" t="str">
        <f>VLOOKUP(F1300,DATABASE!C:Q,7,FALSE)</f>
        <v>#N/A</v>
      </c>
      <c r="M1300" s="74"/>
      <c r="N1300" s="74">
        <f t="shared" si="11"/>
        <v>0</v>
      </c>
      <c r="O1300" s="74">
        <f t="shared" si="13"/>
        <v>0</v>
      </c>
      <c r="P1300" s="63">
        <f t="shared" si="14"/>
        <v>0</v>
      </c>
      <c r="Q1300" s="63" t="str">
        <f t="shared" si="15"/>
        <v>#N/A</v>
      </c>
      <c r="R1300" s="93" t="str">
        <f>VLOOKUP(F1300,DATABASE!C:Q,4,false)</f>
        <v>#N/A</v>
      </c>
      <c r="S1300" s="93" t="str">
        <f>VLOOKUP(F1300,DATABASE!C:P,11,false)</f>
        <v>#N/A</v>
      </c>
      <c r="T1300" s="93" t="str">
        <f>vlookup(F1300,DATABASE!C:Q,8,false)</f>
        <v>#N/A</v>
      </c>
      <c r="Z1300" s="9"/>
    </row>
    <row r="1301" ht="22.5" customHeight="1">
      <c r="A1301" s="49"/>
      <c r="C1301" s="384"/>
      <c r="D1301" s="93"/>
      <c r="F1301" s="74"/>
      <c r="H1301" s="74"/>
      <c r="I1301" s="74"/>
      <c r="J1301" s="74"/>
      <c r="K1301" s="74" t="str">
        <f>if(F1301="SERVICE",O1301-(O1301*50%),Vlookup(F1301,DATABASE!C:Q,10,false)*G1301)</f>
        <v>#N/A</v>
      </c>
      <c r="L1301" s="74" t="str">
        <f>VLOOKUP(F1301,DATABASE!C:Q,7,FALSE)</f>
        <v>#N/A</v>
      </c>
      <c r="M1301" s="74"/>
      <c r="N1301" s="74">
        <f t="shared" si="11"/>
        <v>0</v>
      </c>
      <c r="O1301" s="74">
        <f t="shared" si="13"/>
        <v>0</v>
      </c>
      <c r="P1301" s="63">
        <f t="shared" si="14"/>
        <v>0</v>
      </c>
      <c r="Q1301" s="63" t="str">
        <f t="shared" si="15"/>
        <v>#N/A</v>
      </c>
      <c r="R1301" s="93" t="str">
        <f>VLOOKUP(F1301,DATABASE!C:Q,4,false)</f>
        <v>#N/A</v>
      </c>
      <c r="S1301" s="93" t="str">
        <f>VLOOKUP(F1301,DATABASE!C:P,11,false)</f>
        <v>#N/A</v>
      </c>
      <c r="T1301" s="93" t="str">
        <f>vlookup(F1301,DATABASE!C:Q,8,false)</f>
        <v>#N/A</v>
      </c>
      <c r="Z1301" s="9"/>
    </row>
    <row r="1302" ht="22.5" customHeight="1">
      <c r="A1302" s="49"/>
      <c r="C1302" s="384"/>
      <c r="D1302" s="93"/>
      <c r="F1302" s="74"/>
      <c r="H1302" s="74"/>
      <c r="I1302" s="74"/>
      <c r="J1302" s="74"/>
      <c r="K1302" s="74" t="str">
        <f>if(F1302="SERVICE",O1302-(O1302*50%),Vlookup(F1302,DATABASE!C:Q,10,false)*G1302)</f>
        <v>#N/A</v>
      </c>
      <c r="L1302" s="74" t="str">
        <f>VLOOKUP(F1302,DATABASE!C:Q,7,FALSE)</f>
        <v>#N/A</v>
      </c>
      <c r="M1302" s="74"/>
      <c r="N1302" s="74">
        <f t="shared" si="11"/>
        <v>0</v>
      </c>
      <c r="O1302" s="74">
        <f t="shared" si="13"/>
        <v>0</v>
      </c>
      <c r="P1302" s="63">
        <f t="shared" si="14"/>
        <v>0</v>
      </c>
      <c r="Q1302" s="63" t="str">
        <f t="shared" si="15"/>
        <v>#N/A</v>
      </c>
      <c r="R1302" s="93" t="str">
        <f>VLOOKUP(F1302,DATABASE!C:Q,4,false)</f>
        <v>#N/A</v>
      </c>
      <c r="S1302" s="93" t="str">
        <f>VLOOKUP(F1302,DATABASE!C:P,11,false)</f>
        <v>#N/A</v>
      </c>
      <c r="T1302" s="93" t="str">
        <f>vlookup(F1302,DATABASE!C:Q,8,false)</f>
        <v>#N/A</v>
      </c>
      <c r="Z1302" s="9"/>
    </row>
    <row r="1303" ht="22.5" customHeight="1">
      <c r="A1303" s="49"/>
      <c r="C1303" s="384"/>
      <c r="D1303" s="93"/>
      <c r="F1303" s="74"/>
      <c r="H1303" s="74"/>
      <c r="I1303" s="74"/>
      <c r="J1303" s="74"/>
      <c r="K1303" s="74" t="str">
        <f>if(F1303="SERVICE",O1303-(O1303*50%),Vlookup(F1303,DATABASE!C:Q,10,false)*G1303)</f>
        <v>#N/A</v>
      </c>
      <c r="L1303" s="74" t="str">
        <f>VLOOKUP(F1303,DATABASE!C:Q,7,FALSE)</f>
        <v>#N/A</v>
      </c>
      <c r="M1303" s="74"/>
      <c r="N1303" s="74">
        <f t="shared" si="11"/>
        <v>0</v>
      </c>
      <c r="O1303" s="74">
        <f t="shared" si="13"/>
        <v>0</v>
      </c>
      <c r="P1303" s="63">
        <f t="shared" si="14"/>
        <v>0</v>
      </c>
      <c r="Q1303" s="63" t="str">
        <f t="shared" si="15"/>
        <v>#N/A</v>
      </c>
      <c r="R1303" s="93" t="str">
        <f>VLOOKUP(F1303,DATABASE!C:Q,4,false)</f>
        <v>#N/A</v>
      </c>
      <c r="S1303" s="93" t="str">
        <f>VLOOKUP(F1303,DATABASE!C:P,11,false)</f>
        <v>#N/A</v>
      </c>
      <c r="T1303" s="93" t="str">
        <f>vlookup(F1303,DATABASE!C:Q,8,false)</f>
        <v>#N/A</v>
      </c>
      <c r="Z1303" s="9"/>
    </row>
    <row r="1304" ht="22.5" customHeight="1">
      <c r="A1304" s="49"/>
      <c r="C1304" s="384"/>
      <c r="D1304" s="93"/>
      <c r="F1304" s="74"/>
      <c r="H1304" s="74"/>
      <c r="I1304" s="74"/>
      <c r="J1304" s="74"/>
      <c r="K1304" s="74" t="str">
        <f>if(F1304="SERVICE",O1304-(O1304*50%),Vlookup(F1304,DATABASE!C:Q,10,false)*G1304)</f>
        <v>#N/A</v>
      </c>
      <c r="L1304" s="74" t="str">
        <f>VLOOKUP(F1304,DATABASE!C:Q,7,FALSE)</f>
        <v>#N/A</v>
      </c>
      <c r="M1304" s="74"/>
      <c r="N1304" s="74">
        <f t="shared" si="11"/>
        <v>0</v>
      </c>
      <c r="O1304" s="74">
        <f t="shared" si="13"/>
        <v>0</v>
      </c>
      <c r="P1304" s="63">
        <f t="shared" si="14"/>
        <v>0</v>
      </c>
      <c r="Q1304" s="63" t="str">
        <f t="shared" si="15"/>
        <v>#N/A</v>
      </c>
      <c r="R1304" s="93" t="str">
        <f>VLOOKUP(F1304,DATABASE!C:Q,4,false)</f>
        <v>#N/A</v>
      </c>
      <c r="S1304" s="93" t="str">
        <f>VLOOKUP(F1304,DATABASE!C:P,11,false)</f>
        <v>#N/A</v>
      </c>
      <c r="T1304" s="93" t="str">
        <f>vlookup(F1304,DATABASE!C:Q,8,false)</f>
        <v>#N/A</v>
      </c>
      <c r="Z1304" s="9"/>
    </row>
    <row r="1305" ht="22.5" customHeight="1">
      <c r="A1305" s="49"/>
      <c r="C1305" s="384"/>
      <c r="D1305" s="93"/>
      <c r="F1305" s="74"/>
      <c r="H1305" s="74"/>
      <c r="I1305" s="74"/>
      <c r="J1305" s="74"/>
      <c r="K1305" s="74" t="str">
        <f>if(F1305="SERVICE",O1305-(O1305*50%),Vlookup(F1305,DATABASE!C:Q,10,false)*G1305)</f>
        <v>#N/A</v>
      </c>
      <c r="L1305" s="74" t="str">
        <f>VLOOKUP(F1305,DATABASE!C:Q,7,FALSE)</f>
        <v>#N/A</v>
      </c>
      <c r="M1305" s="74"/>
      <c r="N1305" s="74">
        <f t="shared" si="11"/>
        <v>0</v>
      </c>
      <c r="O1305" s="74">
        <f t="shared" si="13"/>
        <v>0</v>
      </c>
      <c r="P1305" s="63">
        <f t="shared" si="14"/>
        <v>0</v>
      </c>
      <c r="Q1305" s="63" t="str">
        <f t="shared" si="15"/>
        <v>#N/A</v>
      </c>
      <c r="R1305" s="93" t="str">
        <f>VLOOKUP(F1305,DATABASE!C:Q,4,false)</f>
        <v>#N/A</v>
      </c>
      <c r="S1305" s="93" t="str">
        <f>VLOOKUP(F1305,DATABASE!C:P,11,false)</f>
        <v>#N/A</v>
      </c>
      <c r="T1305" s="93" t="str">
        <f>vlookup(F1305,DATABASE!C:Q,8,false)</f>
        <v>#N/A</v>
      </c>
      <c r="Z1305" s="9"/>
    </row>
    <row r="1306" ht="22.5" customHeight="1">
      <c r="A1306" s="49"/>
      <c r="C1306" s="384"/>
      <c r="D1306" s="93"/>
      <c r="F1306" s="74"/>
      <c r="H1306" s="74"/>
      <c r="I1306" s="74"/>
      <c r="J1306" s="74"/>
      <c r="K1306" s="74" t="str">
        <f>if(F1306="SERVICE",O1306-(O1306*50%),Vlookup(F1306,DATABASE!C:Q,10,false)*G1306)</f>
        <v>#N/A</v>
      </c>
      <c r="L1306" s="74" t="str">
        <f>VLOOKUP(F1306,DATABASE!C:Q,7,FALSE)</f>
        <v>#N/A</v>
      </c>
      <c r="M1306" s="74"/>
      <c r="N1306" s="74">
        <f t="shared" si="11"/>
        <v>0</v>
      </c>
      <c r="O1306" s="74">
        <f t="shared" si="13"/>
        <v>0</v>
      </c>
      <c r="P1306" s="63">
        <f t="shared" si="14"/>
        <v>0</v>
      </c>
      <c r="Q1306" s="63" t="str">
        <f t="shared" si="15"/>
        <v>#N/A</v>
      </c>
      <c r="R1306" s="93" t="str">
        <f>VLOOKUP(F1306,DATABASE!C:Q,4,false)</f>
        <v>#N/A</v>
      </c>
      <c r="S1306" s="93" t="str">
        <f>VLOOKUP(F1306,DATABASE!C:P,11,false)</f>
        <v>#N/A</v>
      </c>
      <c r="T1306" s="93" t="str">
        <f>vlookup(F1306,DATABASE!C:Q,8,false)</f>
        <v>#N/A</v>
      </c>
      <c r="Z1306" s="9"/>
    </row>
    <row r="1307" ht="22.5" customHeight="1">
      <c r="A1307" s="49"/>
      <c r="C1307" s="384"/>
      <c r="D1307" s="93"/>
      <c r="F1307" s="74"/>
      <c r="H1307" s="74"/>
      <c r="I1307" s="74"/>
      <c r="J1307" s="74"/>
      <c r="K1307" s="74" t="str">
        <f>if(F1307="SERVICE",O1307-(O1307*50%),Vlookup(F1307,DATABASE!C:Q,10,false)*G1307)</f>
        <v>#N/A</v>
      </c>
      <c r="L1307" s="74" t="str">
        <f>VLOOKUP(F1307,DATABASE!C:Q,7,FALSE)</f>
        <v>#N/A</v>
      </c>
      <c r="M1307" s="74"/>
      <c r="N1307" s="74">
        <f t="shared" si="11"/>
        <v>0</v>
      </c>
      <c r="O1307" s="74">
        <f t="shared" si="13"/>
        <v>0</v>
      </c>
      <c r="P1307" s="63">
        <f t="shared" si="14"/>
        <v>0</v>
      </c>
      <c r="Q1307" s="63" t="str">
        <f t="shared" si="15"/>
        <v>#N/A</v>
      </c>
      <c r="R1307" s="93" t="str">
        <f>VLOOKUP(F1307,DATABASE!C:Q,4,false)</f>
        <v>#N/A</v>
      </c>
      <c r="S1307" s="93" t="str">
        <f>VLOOKUP(F1307,DATABASE!C:P,11,false)</f>
        <v>#N/A</v>
      </c>
      <c r="T1307" s="93" t="str">
        <f>vlookup(F1307,DATABASE!C:Q,8,false)</f>
        <v>#N/A</v>
      </c>
      <c r="Z1307" s="9"/>
    </row>
    <row r="1308" ht="22.5" customHeight="1">
      <c r="A1308" s="49"/>
      <c r="C1308" s="384"/>
      <c r="D1308" s="93"/>
      <c r="F1308" s="74"/>
      <c r="H1308" s="74"/>
      <c r="I1308" s="74"/>
      <c r="J1308" s="74"/>
      <c r="K1308" s="74" t="str">
        <f>if(F1308="SERVICE",O1308-(O1308*50%),Vlookup(F1308,DATABASE!C:Q,10,false)*G1308)</f>
        <v>#N/A</v>
      </c>
      <c r="L1308" s="74" t="str">
        <f>VLOOKUP(F1308,DATABASE!C:Q,7,FALSE)</f>
        <v>#N/A</v>
      </c>
      <c r="M1308" s="74"/>
      <c r="N1308" s="74">
        <f t="shared" si="11"/>
        <v>0</v>
      </c>
      <c r="O1308" s="74">
        <f t="shared" si="13"/>
        <v>0</v>
      </c>
      <c r="P1308" s="63">
        <f t="shared" si="14"/>
        <v>0</v>
      </c>
      <c r="Q1308" s="63" t="str">
        <f t="shared" si="15"/>
        <v>#N/A</v>
      </c>
      <c r="R1308" s="93" t="str">
        <f>VLOOKUP(F1308,DATABASE!C:Q,4,false)</f>
        <v>#N/A</v>
      </c>
      <c r="S1308" s="93" t="str">
        <f>VLOOKUP(F1308,DATABASE!C:P,11,false)</f>
        <v>#N/A</v>
      </c>
      <c r="T1308" s="93" t="str">
        <f>vlookup(F1308,DATABASE!C:Q,8,false)</f>
        <v>#N/A</v>
      </c>
      <c r="Z1308" s="9"/>
    </row>
    <row r="1309" ht="22.5" customHeight="1">
      <c r="A1309" s="49"/>
      <c r="C1309" s="384"/>
      <c r="D1309" s="93"/>
      <c r="F1309" s="74"/>
      <c r="H1309" s="74"/>
      <c r="I1309" s="74"/>
      <c r="J1309" s="74"/>
      <c r="K1309" s="74" t="str">
        <f>if(F1309="SERVICE",O1309-(O1309*50%),Vlookup(F1309,DATABASE!C:Q,10,false)*G1309)</f>
        <v>#N/A</v>
      </c>
      <c r="L1309" s="74" t="str">
        <f>VLOOKUP(F1309,DATABASE!C:Q,7,FALSE)</f>
        <v>#N/A</v>
      </c>
      <c r="M1309" s="74"/>
      <c r="N1309" s="74">
        <f t="shared" si="11"/>
        <v>0</v>
      </c>
      <c r="O1309" s="74">
        <f t="shared" si="13"/>
        <v>0</v>
      </c>
      <c r="P1309" s="63">
        <f t="shared" si="14"/>
        <v>0</v>
      </c>
      <c r="Q1309" s="63" t="str">
        <f t="shared" si="15"/>
        <v>#N/A</v>
      </c>
      <c r="R1309" s="93" t="str">
        <f>VLOOKUP(F1309,DATABASE!C:Q,4,false)</f>
        <v>#N/A</v>
      </c>
      <c r="S1309" s="93" t="str">
        <f>VLOOKUP(F1309,DATABASE!C:P,11,false)</f>
        <v>#N/A</v>
      </c>
      <c r="T1309" s="93" t="str">
        <f>vlookup(F1309,DATABASE!C:Q,8,false)</f>
        <v>#N/A</v>
      </c>
      <c r="Z1309" s="9"/>
    </row>
    <row r="1310" ht="22.5" customHeight="1">
      <c r="A1310" s="49"/>
      <c r="C1310" s="384"/>
      <c r="D1310" s="93"/>
      <c r="F1310" s="74"/>
      <c r="H1310" s="74"/>
      <c r="I1310" s="74"/>
      <c r="J1310" s="74"/>
      <c r="K1310" s="74" t="str">
        <f>if(F1310="SERVICE",O1310-(O1310*50%),Vlookup(F1310,DATABASE!C:Q,10,false)*G1310)</f>
        <v>#N/A</v>
      </c>
      <c r="L1310" s="74" t="str">
        <f>VLOOKUP(F1310,DATABASE!C:Q,7,FALSE)</f>
        <v>#N/A</v>
      </c>
      <c r="M1310" s="74"/>
      <c r="N1310" s="74">
        <f t="shared" si="11"/>
        <v>0</v>
      </c>
      <c r="O1310" s="74">
        <f t="shared" si="13"/>
        <v>0</v>
      </c>
      <c r="P1310" s="63">
        <f t="shared" si="14"/>
        <v>0</v>
      </c>
      <c r="Q1310" s="63" t="str">
        <f t="shared" si="15"/>
        <v>#N/A</v>
      </c>
      <c r="R1310" s="93" t="str">
        <f>VLOOKUP(F1310,DATABASE!C:Q,4,false)</f>
        <v>#N/A</v>
      </c>
      <c r="S1310" s="93" t="str">
        <f>VLOOKUP(F1310,DATABASE!C:P,11,false)</f>
        <v>#N/A</v>
      </c>
      <c r="T1310" s="93" t="str">
        <f>vlookup(F1310,DATABASE!C:Q,8,false)</f>
        <v>#N/A</v>
      </c>
      <c r="Z1310" s="9"/>
    </row>
    <row r="1311" ht="22.5" customHeight="1">
      <c r="A1311" s="49"/>
      <c r="C1311" s="384"/>
      <c r="D1311" s="93"/>
      <c r="F1311" s="74"/>
      <c r="H1311" s="74"/>
      <c r="I1311" s="74"/>
      <c r="J1311" s="74"/>
      <c r="K1311" s="74" t="str">
        <f>if(F1311="SERVICE",O1311-(O1311*50%),Vlookup(F1311,DATABASE!C:Q,10,false)*G1311)</f>
        <v>#N/A</v>
      </c>
      <c r="L1311" s="74" t="str">
        <f>VLOOKUP(F1311,DATABASE!C:Q,7,FALSE)</f>
        <v>#N/A</v>
      </c>
      <c r="M1311" s="74"/>
      <c r="N1311" s="74">
        <f t="shared" si="11"/>
        <v>0</v>
      </c>
      <c r="O1311" s="74">
        <f t="shared" si="13"/>
        <v>0</v>
      </c>
      <c r="P1311" s="63">
        <f t="shared" si="14"/>
        <v>0</v>
      </c>
      <c r="Q1311" s="63" t="str">
        <f t="shared" si="15"/>
        <v>#N/A</v>
      </c>
      <c r="R1311" s="93" t="str">
        <f>VLOOKUP(F1311,DATABASE!C:Q,4,false)</f>
        <v>#N/A</v>
      </c>
      <c r="S1311" s="93" t="str">
        <f>VLOOKUP(F1311,DATABASE!C:P,11,false)</f>
        <v>#N/A</v>
      </c>
      <c r="T1311" s="93" t="str">
        <f>vlookup(F1311,DATABASE!C:Q,8,false)</f>
        <v>#N/A</v>
      </c>
      <c r="Z1311" s="9"/>
    </row>
    <row r="1312" ht="22.5" customHeight="1">
      <c r="A1312" s="49"/>
      <c r="C1312" s="384"/>
      <c r="D1312" s="93"/>
      <c r="F1312" s="74"/>
      <c r="H1312" s="74"/>
      <c r="I1312" s="74"/>
      <c r="J1312" s="74"/>
      <c r="K1312" s="74" t="str">
        <f>if(F1312="SERVICE",O1312-(O1312*50%),Vlookup(F1312,DATABASE!C:Q,10,false)*G1312)</f>
        <v>#N/A</v>
      </c>
      <c r="L1312" s="74" t="str">
        <f>VLOOKUP(F1312,DATABASE!C:Q,7,FALSE)</f>
        <v>#N/A</v>
      </c>
      <c r="M1312" s="74"/>
      <c r="N1312" s="74">
        <f t="shared" si="11"/>
        <v>0</v>
      </c>
      <c r="O1312" s="74">
        <f t="shared" si="13"/>
        <v>0</v>
      </c>
      <c r="P1312" s="63">
        <f t="shared" si="14"/>
        <v>0</v>
      </c>
      <c r="Q1312" s="63" t="str">
        <f t="shared" si="15"/>
        <v>#N/A</v>
      </c>
      <c r="R1312" s="93" t="str">
        <f>VLOOKUP(F1312,DATABASE!C:Q,4,false)</f>
        <v>#N/A</v>
      </c>
      <c r="S1312" s="93" t="str">
        <f>VLOOKUP(F1312,DATABASE!C:P,11,false)</f>
        <v>#N/A</v>
      </c>
      <c r="T1312" s="93" t="str">
        <f>vlookup(F1312,DATABASE!C:Q,8,false)</f>
        <v>#N/A</v>
      </c>
      <c r="Z1312" s="9"/>
    </row>
    <row r="1313" ht="22.5" customHeight="1">
      <c r="A1313" s="49"/>
      <c r="C1313" s="384"/>
      <c r="D1313" s="93"/>
      <c r="F1313" s="74"/>
      <c r="H1313" s="74"/>
      <c r="I1313" s="74"/>
      <c r="J1313" s="74"/>
      <c r="K1313" s="74" t="str">
        <f>if(F1313="SERVICE",O1313-(O1313*50%),Vlookup(F1313,DATABASE!C:Q,10,false)*G1313)</f>
        <v>#N/A</v>
      </c>
      <c r="L1313" s="74" t="str">
        <f>VLOOKUP(F1313,DATABASE!C:Q,7,FALSE)</f>
        <v>#N/A</v>
      </c>
      <c r="M1313" s="74"/>
      <c r="N1313" s="74">
        <f t="shared" si="11"/>
        <v>0</v>
      </c>
      <c r="O1313" s="74">
        <f t="shared" si="13"/>
        <v>0</v>
      </c>
      <c r="P1313" s="63">
        <f t="shared" si="14"/>
        <v>0</v>
      </c>
      <c r="Q1313" s="63" t="str">
        <f t="shared" si="15"/>
        <v>#N/A</v>
      </c>
      <c r="R1313" s="93" t="str">
        <f>VLOOKUP(F1313,DATABASE!C:Q,4,false)</f>
        <v>#N/A</v>
      </c>
      <c r="S1313" s="93" t="str">
        <f>VLOOKUP(F1313,DATABASE!C:P,11,false)</f>
        <v>#N/A</v>
      </c>
      <c r="T1313" s="93" t="str">
        <f>vlookup(F1313,DATABASE!C:Q,8,false)</f>
        <v>#N/A</v>
      </c>
      <c r="Z1313" s="9"/>
    </row>
    <row r="1314" ht="22.5" customHeight="1">
      <c r="A1314" s="49"/>
      <c r="C1314" s="384"/>
      <c r="D1314" s="93"/>
      <c r="F1314" s="74"/>
      <c r="H1314" s="74"/>
      <c r="I1314" s="74"/>
      <c r="J1314" s="74"/>
      <c r="K1314" s="74" t="str">
        <f>if(F1314="SERVICE",O1314-(O1314*50%),Vlookup(F1314,DATABASE!C:Q,10,false)*G1314)</f>
        <v>#N/A</v>
      </c>
      <c r="L1314" s="74" t="str">
        <f>VLOOKUP(F1314,DATABASE!C:Q,7,FALSE)</f>
        <v>#N/A</v>
      </c>
      <c r="M1314" s="74"/>
      <c r="N1314" s="74">
        <f t="shared" si="11"/>
        <v>0</v>
      </c>
      <c r="O1314" s="74">
        <f t="shared" si="13"/>
        <v>0</v>
      </c>
      <c r="P1314" s="63">
        <f t="shared" si="14"/>
        <v>0</v>
      </c>
      <c r="Q1314" s="63" t="str">
        <f t="shared" si="15"/>
        <v>#N/A</v>
      </c>
      <c r="R1314" s="93" t="str">
        <f>VLOOKUP(F1314,DATABASE!C:Q,4,false)</f>
        <v>#N/A</v>
      </c>
      <c r="S1314" s="93" t="str">
        <f>VLOOKUP(F1314,DATABASE!C:P,11,false)</f>
        <v>#N/A</v>
      </c>
      <c r="T1314" s="93" t="str">
        <f>vlookup(F1314,DATABASE!C:Q,8,false)</f>
        <v>#N/A</v>
      </c>
      <c r="Z1314" s="9"/>
    </row>
    <row r="1315" ht="22.5" customHeight="1">
      <c r="A1315" s="49"/>
      <c r="C1315" s="384"/>
      <c r="D1315" s="93"/>
      <c r="F1315" s="74"/>
      <c r="H1315" s="74"/>
      <c r="I1315" s="74"/>
      <c r="J1315" s="74"/>
      <c r="K1315" s="74" t="str">
        <f>if(F1315="SERVICE",O1315-(O1315*50%),Vlookup(F1315,DATABASE!C:Q,10,false)*G1315)</f>
        <v>#N/A</v>
      </c>
      <c r="L1315" s="74" t="str">
        <f>VLOOKUP(F1315,DATABASE!C:Q,7,FALSE)</f>
        <v>#N/A</v>
      </c>
      <c r="M1315" s="74"/>
      <c r="N1315" s="74">
        <f t="shared" si="11"/>
        <v>0</v>
      </c>
      <c r="O1315" s="74">
        <f t="shared" si="13"/>
        <v>0</v>
      </c>
      <c r="P1315" s="63">
        <f t="shared" si="14"/>
        <v>0</v>
      </c>
      <c r="Q1315" s="63" t="str">
        <f t="shared" si="15"/>
        <v>#N/A</v>
      </c>
      <c r="R1315" s="93" t="str">
        <f>VLOOKUP(F1315,DATABASE!C:Q,4,false)</f>
        <v>#N/A</v>
      </c>
      <c r="S1315" s="93" t="str">
        <f>VLOOKUP(F1315,DATABASE!C:P,11,false)</f>
        <v>#N/A</v>
      </c>
      <c r="T1315" s="93" t="str">
        <f>vlookup(F1315,DATABASE!C:Q,8,false)</f>
        <v>#N/A</v>
      </c>
      <c r="Z1315" s="9"/>
    </row>
    <row r="1316" ht="22.5" customHeight="1">
      <c r="A1316" s="49"/>
      <c r="C1316" s="384"/>
      <c r="D1316" s="93"/>
      <c r="F1316" s="74"/>
      <c r="H1316" s="74"/>
      <c r="I1316" s="74"/>
      <c r="J1316" s="74"/>
      <c r="K1316" s="74" t="str">
        <f>if(F1316="SERVICE",O1316-(O1316*50%),Vlookup(F1316,DATABASE!C:Q,10,false)*G1316)</f>
        <v>#N/A</v>
      </c>
      <c r="L1316" s="74" t="str">
        <f>VLOOKUP(F1316,DATABASE!C:Q,7,FALSE)</f>
        <v>#N/A</v>
      </c>
      <c r="M1316" s="74"/>
      <c r="N1316" s="74">
        <f t="shared" si="11"/>
        <v>0</v>
      </c>
      <c r="O1316" s="74">
        <f t="shared" si="13"/>
        <v>0</v>
      </c>
      <c r="P1316" s="63">
        <f t="shared" si="14"/>
        <v>0</v>
      </c>
      <c r="Q1316" s="63" t="str">
        <f t="shared" si="15"/>
        <v>#N/A</v>
      </c>
      <c r="R1316" s="93" t="str">
        <f>VLOOKUP(F1316,DATABASE!C:Q,4,false)</f>
        <v>#N/A</v>
      </c>
      <c r="S1316" s="93" t="str">
        <f>VLOOKUP(F1316,DATABASE!C:P,11,false)</f>
        <v>#N/A</v>
      </c>
      <c r="T1316" s="93" t="str">
        <f>vlookup(F1316,DATABASE!C:Q,8,false)</f>
        <v>#N/A</v>
      </c>
      <c r="Z1316" s="9"/>
    </row>
    <row r="1317" ht="22.5" customHeight="1">
      <c r="A1317" s="49"/>
      <c r="C1317" s="384"/>
      <c r="D1317" s="93"/>
      <c r="F1317" s="74"/>
      <c r="H1317" s="74"/>
      <c r="I1317" s="74"/>
      <c r="J1317" s="74"/>
      <c r="K1317" s="74" t="str">
        <f>if(F1317="SERVICE",O1317-(O1317*50%),Vlookup(F1317,DATABASE!C:Q,10,false)*G1317)</f>
        <v>#N/A</v>
      </c>
      <c r="L1317" s="74" t="str">
        <f>VLOOKUP(F1317,DATABASE!C:Q,7,FALSE)</f>
        <v>#N/A</v>
      </c>
      <c r="M1317" s="74"/>
      <c r="N1317" s="74">
        <f t="shared" si="11"/>
        <v>0</v>
      </c>
      <c r="O1317" s="74">
        <f t="shared" si="13"/>
        <v>0</v>
      </c>
      <c r="P1317" s="63">
        <f t="shared" si="14"/>
        <v>0</v>
      </c>
      <c r="Q1317" s="63" t="str">
        <f t="shared" si="15"/>
        <v>#N/A</v>
      </c>
      <c r="R1317" s="93" t="str">
        <f>VLOOKUP(F1317,DATABASE!C:Q,4,false)</f>
        <v>#N/A</v>
      </c>
      <c r="S1317" s="93" t="str">
        <f>VLOOKUP(F1317,DATABASE!C:P,11,false)</f>
        <v>#N/A</v>
      </c>
      <c r="T1317" s="93" t="str">
        <f>vlookup(F1317,DATABASE!C:Q,8,false)</f>
        <v>#N/A</v>
      </c>
      <c r="Z1317" s="9"/>
    </row>
    <row r="1318" ht="22.5" customHeight="1">
      <c r="A1318" s="49"/>
      <c r="C1318" s="384"/>
      <c r="D1318" s="93"/>
      <c r="F1318" s="74"/>
      <c r="H1318" s="74"/>
      <c r="I1318" s="74"/>
      <c r="J1318" s="74"/>
      <c r="K1318" s="74" t="str">
        <f>if(F1318="SERVICE",O1318-(O1318*50%),Vlookup(F1318,DATABASE!C:Q,10,false)*G1318)</f>
        <v>#N/A</v>
      </c>
      <c r="L1318" s="74" t="str">
        <f>VLOOKUP(F1318,DATABASE!C:Q,7,FALSE)</f>
        <v>#N/A</v>
      </c>
      <c r="M1318" s="74"/>
      <c r="N1318" s="74">
        <f t="shared" si="11"/>
        <v>0</v>
      </c>
      <c r="O1318" s="74">
        <f t="shared" si="13"/>
        <v>0</v>
      </c>
      <c r="P1318" s="63">
        <f t="shared" si="14"/>
        <v>0</v>
      </c>
      <c r="Q1318" s="63" t="str">
        <f t="shared" si="15"/>
        <v>#N/A</v>
      </c>
      <c r="R1318" s="93" t="str">
        <f>VLOOKUP(F1318,DATABASE!C:Q,4,false)</f>
        <v>#N/A</v>
      </c>
      <c r="S1318" s="93" t="str">
        <f>VLOOKUP(F1318,DATABASE!C:P,11,false)</f>
        <v>#N/A</v>
      </c>
      <c r="T1318" s="93" t="str">
        <f>vlookup(F1318,DATABASE!C:Q,8,false)</f>
        <v>#N/A</v>
      </c>
      <c r="Z1318" s="9"/>
    </row>
    <row r="1319" ht="22.5" customHeight="1">
      <c r="A1319" s="49"/>
      <c r="C1319" s="384"/>
      <c r="D1319" s="93"/>
      <c r="F1319" s="74"/>
      <c r="H1319" s="74"/>
      <c r="I1319" s="74"/>
      <c r="J1319" s="74"/>
      <c r="K1319" s="74" t="str">
        <f>if(F1319="SERVICE",O1319-(O1319*50%),Vlookup(F1319,DATABASE!C:Q,10,false)*G1319)</f>
        <v>#N/A</v>
      </c>
      <c r="L1319" s="74" t="str">
        <f>VLOOKUP(F1319,DATABASE!C:Q,7,FALSE)</f>
        <v>#N/A</v>
      </c>
      <c r="M1319" s="74"/>
      <c r="N1319" s="74">
        <f t="shared" si="11"/>
        <v>0</v>
      </c>
      <c r="O1319" s="74">
        <f t="shared" si="13"/>
        <v>0</v>
      </c>
      <c r="P1319" s="63">
        <f t="shared" si="14"/>
        <v>0</v>
      </c>
      <c r="Q1319" s="63" t="str">
        <f t="shared" si="15"/>
        <v>#N/A</v>
      </c>
      <c r="R1319" s="93" t="str">
        <f>VLOOKUP(F1319,DATABASE!C:Q,4,false)</f>
        <v>#N/A</v>
      </c>
      <c r="S1319" s="93" t="str">
        <f>VLOOKUP(F1319,DATABASE!C:P,11,false)</f>
        <v>#N/A</v>
      </c>
      <c r="T1319" s="93" t="str">
        <f>vlookup(F1319,DATABASE!C:Q,8,false)</f>
        <v>#N/A</v>
      </c>
      <c r="Z1319" s="9"/>
    </row>
    <row r="1320" ht="22.5" customHeight="1">
      <c r="A1320" s="49"/>
      <c r="C1320" s="384"/>
      <c r="D1320" s="93"/>
      <c r="F1320" s="74"/>
      <c r="H1320" s="74"/>
      <c r="I1320" s="74"/>
      <c r="J1320" s="74"/>
      <c r="K1320" s="74" t="str">
        <f>if(F1320="SERVICE",O1320-(O1320*50%),Vlookup(F1320,DATABASE!C:Q,10,false)*G1320)</f>
        <v>#N/A</v>
      </c>
      <c r="L1320" s="74" t="str">
        <f>VLOOKUP(F1320,DATABASE!C:Q,7,FALSE)</f>
        <v>#N/A</v>
      </c>
      <c r="M1320" s="74"/>
      <c r="N1320" s="74">
        <f t="shared" si="11"/>
        <v>0</v>
      </c>
      <c r="O1320" s="74">
        <f t="shared" si="13"/>
        <v>0</v>
      </c>
      <c r="P1320" s="63">
        <f t="shared" si="14"/>
        <v>0</v>
      </c>
      <c r="Q1320" s="63" t="str">
        <f t="shared" si="15"/>
        <v>#N/A</v>
      </c>
      <c r="R1320" s="93" t="str">
        <f>VLOOKUP(F1320,DATABASE!C:Q,4,false)</f>
        <v>#N/A</v>
      </c>
      <c r="S1320" s="93" t="str">
        <f>VLOOKUP(F1320,DATABASE!C:P,11,false)</f>
        <v>#N/A</v>
      </c>
      <c r="T1320" s="93" t="str">
        <f>vlookup(F1320,DATABASE!C:Q,8,false)</f>
        <v>#N/A</v>
      </c>
      <c r="Z1320" s="9"/>
    </row>
    <row r="1321" ht="22.5" customHeight="1">
      <c r="A1321" s="49"/>
      <c r="C1321" s="384"/>
      <c r="D1321" s="93"/>
      <c r="F1321" s="74"/>
      <c r="H1321" s="74"/>
      <c r="I1321" s="74"/>
      <c r="J1321" s="74"/>
      <c r="K1321" s="74" t="str">
        <f>if(F1321="SERVICE",O1321-(O1321*50%),Vlookup(F1321,DATABASE!C:Q,10,false)*G1321)</f>
        <v>#N/A</v>
      </c>
      <c r="L1321" s="74" t="str">
        <f>VLOOKUP(F1321,DATABASE!C:Q,7,FALSE)</f>
        <v>#N/A</v>
      </c>
      <c r="M1321" s="74"/>
      <c r="N1321" s="74">
        <f t="shared" si="11"/>
        <v>0</v>
      </c>
      <c r="O1321" s="74">
        <f t="shared" si="13"/>
        <v>0</v>
      </c>
      <c r="P1321" s="63">
        <f t="shared" si="14"/>
        <v>0</v>
      </c>
      <c r="Q1321" s="63" t="str">
        <f t="shared" si="15"/>
        <v>#N/A</v>
      </c>
      <c r="R1321" s="93" t="str">
        <f>VLOOKUP(F1321,DATABASE!C:Q,4,false)</f>
        <v>#N/A</v>
      </c>
      <c r="S1321" s="93" t="str">
        <f>VLOOKUP(F1321,DATABASE!C:P,11,false)</f>
        <v>#N/A</v>
      </c>
      <c r="T1321" s="93" t="str">
        <f>vlookup(F1321,DATABASE!C:Q,8,false)</f>
        <v>#N/A</v>
      </c>
      <c r="Z1321" s="9"/>
    </row>
    <row r="1322" ht="22.5" customHeight="1">
      <c r="A1322" s="49"/>
      <c r="C1322" s="384"/>
      <c r="D1322" s="93"/>
      <c r="F1322" s="74"/>
      <c r="H1322" s="74"/>
      <c r="I1322" s="74"/>
      <c r="J1322" s="74"/>
      <c r="K1322" s="74" t="str">
        <f>if(F1322="SERVICE",O1322-(O1322*50%),Vlookup(F1322,DATABASE!C:Q,10,false)*G1322)</f>
        <v>#N/A</v>
      </c>
      <c r="L1322" s="74" t="str">
        <f>VLOOKUP(F1322,DATABASE!C:Q,7,FALSE)</f>
        <v>#N/A</v>
      </c>
      <c r="M1322" s="74"/>
      <c r="N1322" s="74">
        <f t="shared" si="11"/>
        <v>0</v>
      </c>
      <c r="O1322" s="74">
        <f t="shared" si="13"/>
        <v>0</v>
      </c>
      <c r="P1322" s="63">
        <f t="shared" si="14"/>
        <v>0</v>
      </c>
      <c r="Q1322" s="63" t="str">
        <f t="shared" si="15"/>
        <v>#N/A</v>
      </c>
      <c r="R1322" s="93" t="str">
        <f>VLOOKUP(F1322,DATABASE!C:Q,4,false)</f>
        <v>#N/A</v>
      </c>
      <c r="S1322" s="93" t="str">
        <f>VLOOKUP(F1322,DATABASE!C:P,11,false)</f>
        <v>#N/A</v>
      </c>
      <c r="T1322" s="93" t="str">
        <f>vlookup(F1322,DATABASE!C:Q,8,false)</f>
        <v>#N/A</v>
      </c>
      <c r="Z1322" s="9"/>
    </row>
    <row r="1323" ht="22.5" customHeight="1">
      <c r="A1323" s="49"/>
      <c r="C1323" s="384"/>
      <c r="D1323" s="93"/>
      <c r="F1323" s="74"/>
      <c r="H1323" s="74"/>
      <c r="I1323" s="74"/>
      <c r="J1323" s="74"/>
      <c r="K1323" s="74" t="str">
        <f>if(F1323="SERVICE",O1323-(O1323*50%),Vlookup(F1323,DATABASE!C:Q,10,false)*G1323)</f>
        <v>#N/A</v>
      </c>
      <c r="L1323" s="74" t="str">
        <f>VLOOKUP(F1323,DATABASE!C:Q,7,FALSE)</f>
        <v>#N/A</v>
      </c>
      <c r="M1323" s="74"/>
      <c r="N1323" s="74">
        <f t="shared" si="11"/>
        <v>0</v>
      </c>
      <c r="O1323" s="74">
        <f t="shared" si="13"/>
        <v>0</v>
      </c>
      <c r="P1323" s="63">
        <f t="shared" si="14"/>
        <v>0</v>
      </c>
      <c r="Q1323" s="63" t="str">
        <f t="shared" si="15"/>
        <v>#N/A</v>
      </c>
      <c r="R1323" s="93" t="str">
        <f>VLOOKUP(F1323,DATABASE!C:Q,4,false)</f>
        <v>#N/A</v>
      </c>
      <c r="S1323" s="93" t="str">
        <f>VLOOKUP(F1323,DATABASE!C:P,11,false)</f>
        <v>#N/A</v>
      </c>
      <c r="T1323" s="93" t="str">
        <f>vlookup(F1323,DATABASE!C:Q,8,false)</f>
        <v>#N/A</v>
      </c>
      <c r="Z1323" s="9"/>
    </row>
    <row r="1324" ht="22.5" customHeight="1">
      <c r="A1324" s="49"/>
      <c r="C1324" s="384"/>
      <c r="D1324" s="93"/>
      <c r="F1324" s="74"/>
      <c r="H1324" s="74"/>
      <c r="I1324" s="74"/>
      <c r="J1324" s="74"/>
      <c r="K1324" s="74" t="str">
        <f>if(F1324="SERVICE",O1324-(O1324*50%),Vlookup(F1324,DATABASE!C:Q,10,false)*G1324)</f>
        <v>#N/A</v>
      </c>
      <c r="L1324" s="74" t="str">
        <f>VLOOKUP(F1324,DATABASE!C:Q,7,FALSE)</f>
        <v>#N/A</v>
      </c>
      <c r="M1324" s="74"/>
      <c r="N1324" s="74">
        <f t="shared" si="11"/>
        <v>0</v>
      </c>
      <c r="O1324" s="74">
        <f t="shared" si="13"/>
        <v>0</v>
      </c>
      <c r="P1324" s="63">
        <f t="shared" si="14"/>
        <v>0</v>
      </c>
      <c r="Q1324" s="63" t="str">
        <f t="shared" si="15"/>
        <v>#N/A</v>
      </c>
      <c r="R1324" s="93" t="str">
        <f>VLOOKUP(F1324,DATABASE!C:Q,4,false)</f>
        <v>#N/A</v>
      </c>
      <c r="S1324" s="93" t="str">
        <f>VLOOKUP(F1324,DATABASE!C:P,11,false)</f>
        <v>#N/A</v>
      </c>
      <c r="T1324" s="93" t="str">
        <f>vlookup(F1324,DATABASE!C:Q,8,false)</f>
        <v>#N/A</v>
      </c>
      <c r="Z1324" s="9"/>
    </row>
    <row r="1325" ht="22.5" customHeight="1">
      <c r="A1325" s="49"/>
      <c r="C1325" s="384"/>
      <c r="D1325" s="93"/>
      <c r="F1325" s="74"/>
      <c r="H1325" s="74"/>
      <c r="I1325" s="74"/>
      <c r="J1325" s="74"/>
      <c r="K1325" s="74" t="str">
        <f>if(F1325="SERVICE",O1325-(O1325*50%),Vlookup(F1325,DATABASE!C:Q,10,false)*G1325)</f>
        <v>#N/A</v>
      </c>
      <c r="L1325" s="74" t="str">
        <f>VLOOKUP(F1325,DATABASE!C:Q,7,FALSE)</f>
        <v>#N/A</v>
      </c>
      <c r="M1325" s="74"/>
      <c r="N1325" s="74">
        <f t="shared" si="11"/>
        <v>0</v>
      </c>
      <c r="O1325" s="74">
        <f t="shared" si="13"/>
        <v>0</v>
      </c>
      <c r="P1325" s="63">
        <f t="shared" si="14"/>
        <v>0</v>
      </c>
      <c r="Q1325" s="63" t="str">
        <f t="shared" si="15"/>
        <v>#N/A</v>
      </c>
      <c r="R1325" s="93" t="str">
        <f>VLOOKUP(F1325,DATABASE!C:Q,4,false)</f>
        <v>#N/A</v>
      </c>
      <c r="S1325" s="93" t="str">
        <f>VLOOKUP(F1325,DATABASE!C:P,11,false)</f>
        <v>#N/A</v>
      </c>
      <c r="T1325" s="93" t="str">
        <f>vlookup(F1325,DATABASE!C:Q,8,false)</f>
        <v>#N/A</v>
      </c>
      <c r="Z1325" s="9"/>
    </row>
    <row r="1326" ht="22.5" customHeight="1">
      <c r="A1326" s="49"/>
      <c r="C1326" s="384"/>
      <c r="D1326" s="93"/>
      <c r="F1326" s="74"/>
      <c r="H1326" s="74"/>
      <c r="I1326" s="74"/>
      <c r="J1326" s="74"/>
      <c r="K1326" s="74" t="str">
        <f>if(F1326="SERVICE",O1326-(O1326*50%),Vlookup(F1326,DATABASE!C:Q,10,false)*G1326)</f>
        <v>#N/A</v>
      </c>
      <c r="L1326" s="74" t="str">
        <f>VLOOKUP(F1326,DATABASE!C:Q,7,FALSE)</f>
        <v>#N/A</v>
      </c>
      <c r="M1326" s="74"/>
      <c r="N1326" s="74">
        <f t="shared" si="11"/>
        <v>0</v>
      </c>
      <c r="O1326" s="74">
        <f t="shared" si="13"/>
        <v>0</v>
      </c>
      <c r="P1326" s="63">
        <f t="shared" si="14"/>
        <v>0</v>
      </c>
      <c r="Q1326" s="63" t="str">
        <f t="shared" si="15"/>
        <v>#N/A</v>
      </c>
      <c r="R1326" s="93" t="str">
        <f>VLOOKUP(F1326,DATABASE!C:Q,4,false)</f>
        <v>#N/A</v>
      </c>
      <c r="S1326" s="93" t="str">
        <f>VLOOKUP(F1326,DATABASE!C:P,11,false)</f>
        <v>#N/A</v>
      </c>
      <c r="T1326" s="93" t="str">
        <f>vlookup(F1326,DATABASE!C:Q,8,false)</f>
        <v>#N/A</v>
      </c>
      <c r="Z1326" s="9"/>
    </row>
    <row r="1327" ht="22.5" customHeight="1">
      <c r="A1327" s="49"/>
      <c r="C1327" s="384"/>
      <c r="D1327" s="93"/>
      <c r="F1327" s="74"/>
      <c r="H1327" s="74"/>
      <c r="I1327" s="74"/>
      <c r="J1327" s="74"/>
      <c r="K1327" s="74" t="str">
        <f>if(F1327="SERVICE",O1327-(O1327*50%),Vlookup(F1327,DATABASE!C:Q,10,false)*G1327)</f>
        <v>#N/A</v>
      </c>
      <c r="L1327" s="74" t="str">
        <f>VLOOKUP(F1327,DATABASE!C:Q,7,FALSE)</f>
        <v>#N/A</v>
      </c>
      <c r="M1327" s="74"/>
      <c r="N1327" s="74">
        <f t="shared" si="11"/>
        <v>0</v>
      </c>
      <c r="O1327" s="74">
        <f t="shared" si="13"/>
        <v>0</v>
      </c>
      <c r="P1327" s="63">
        <f t="shared" si="14"/>
        <v>0</v>
      </c>
      <c r="Q1327" s="63" t="str">
        <f t="shared" si="15"/>
        <v>#N/A</v>
      </c>
      <c r="R1327" s="93" t="str">
        <f>VLOOKUP(F1327,DATABASE!C:Q,4,false)</f>
        <v>#N/A</v>
      </c>
      <c r="S1327" s="93" t="str">
        <f>VLOOKUP(F1327,DATABASE!C:P,11,false)</f>
        <v>#N/A</v>
      </c>
      <c r="T1327" s="93" t="str">
        <f>vlookup(F1327,DATABASE!C:Q,8,false)</f>
        <v>#N/A</v>
      </c>
      <c r="Z1327" s="9"/>
    </row>
    <row r="1328" ht="22.5" customHeight="1">
      <c r="A1328" s="49"/>
      <c r="C1328" s="384"/>
      <c r="D1328" s="93"/>
      <c r="F1328" s="74"/>
      <c r="H1328" s="74"/>
      <c r="I1328" s="74"/>
      <c r="J1328" s="74"/>
      <c r="K1328" s="74" t="str">
        <f>if(F1328="SERVICE",O1328-(O1328*50%),Vlookup(F1328,DATABASE!C:Q,10,false)*G1328)</f>
        <v>#N/A</v>
      </c>
      <c r="L1328" s="74" t="str">
        <f>VLOOKUP(F1328,DATABASE!C:Q,7,FALSE)</f>
        <v>#N/A</v>
      </c>
      <c r="M1328" s="74"/>
      <c r="N1328" s="74">
        <f t="shared" si="11"/>
        <v>0</v>
      </c>
      <c r="O1328" s="74">
        <f t="shared" si="13"/>
        <v>0</v>
      </c>
      <c r="P1328" s="63">
        <f t="shared" si="14"/>
        <v>0</v>
      </c>
      <c r="Q1328" s="63" t="str">
        <f t="shared" si="15"/>
        <v>#N/A</v>
      </c>
      <c r="R1328" s="93" t="str">
        <f>VLOOKUP(F1328,DATABASE!C:Q,4,false)</f>
        <v>#N/A</v>
      </c>
      <c r="S1328" s="93" t="str">
        <f>VLOOKUP(F1328,DATABASE!C:P,11,false)</f>
        <v>#N/A</v>
      </c>
      <c r="T1328" s="93" t="str">
        <f>vlookup(F1328,DATABASE!C:Q,8,false)</f>
        <v>#N/A</v>
      </c>
      <c r="Z1328" s="9"/>
    </row>
    <row r="1329" ht="22.5" customHeight="1">
      <c r="A1329" s="49"/>
      <c r="C1329" s="384"/>
      <c r="D1329" s="93"/>
      <c r="F1329" s="74"/>
      <c r="H1329" s="74"/>
      <c r="I1329" s="74"/>
      <c r="J1329" s="74"/>
      <c r="K1329" s="74" t="str">
        <f>if(F1329="SERVICE",O1329-(O1329*50%),Vlookup(F1329,DATABASE!C:Q,10,false)*G1329)</f>
        <v>#N/A</v>
      </c>
      <c r="L1329" s="74" t="str">
        <f>VLOOKUP(F1329,DATABASE!C:Q,7,FALSE)</f>
        <v>#N/A</v>
      </c>
      <c r="M1329" s="74"/>
      <c r="N1329" s="74">
        <f t="shared" si="11"/>
        <v>0</v>
      </c>
      <c r="O1329" s="74">
        <f t="shared" si="13"/>
        <v>0</v>
      </c>
      <c r="P1329" s="63">
        <f t="shared" si="14"/>
        <v>0</v>
      </c>
      <c r="Q1329" s="63" t="str">
        <f t="shared" si="15"/>
        <v>#N/A</v>
      </c>
      <c r="R1329" s="93" t="str">
        <f>VLOOKUP(F1329,DATABASE!C:Q,4,false)</f>
        <v>#N/A</v>
      </c>
      <c r="S1329" s="93" t="str">
        <f>VLOOKUP(F1329,DATABASE!C:P,11,false)</f>
        <v>#N/A</v>
      </c>
      <c r="T1329" s="93" t="str">
        <f>vlookup(F1329,DATABASE!C:Q,8,false)</f>
        <v>#N/A</v>
      </c>
      <c r="Z1329" s="9"/>
    </row>
    <row r="1330" ht="22.5" customHeight="1">
      <c r="A1330" s="49"/>
      <c r="C1330" s="384"/>
      <c r="D1330" s="93"/>
      <c r="F1330" s="74"/>
      <c r="H1330" s="74"/>
      <c r="I1330" s="74"/>
      <c r="J1330" s="74"/>
      <c r="K1330" s="74" t="str">
        <f>if(F1330="SERVICE",O1330-(O1330*50%),Vlookup(F1330,DATABASE!C:Q,10,false)*G1330)</f>
        <v>#N/A</v>
      </c>
      <c r="L1330" s="74" t="str">
        <f>VLOOKUP(F1330,DATABASE!C:Q,7,FALSE)</f>
        <v>#N/A</v>
      </c>
      <c r="M1330" s="74"/>
      <c r="N1330" s="74">
        <f t="shared" si="11"/>
        <v>0</v>
      </c>
      <c r="O1330" s="74">
        <f t="shared" si="13"/>
        <v>0</v>
      </c>
      <c r="P1330" s="63">
        <f t="shared" si="14"/>
        <v>0</v>
      </c>
      <c r="Q1330" s="63" t="str">
        <f t="shared" si="15"/>
        <v>#N/A</v>
      </c>
      <c r="R1330" s="93" t="str">
        <f>VLOOKUP(F1330,DATABASE!C:Q,4,false)</f>
        <v>#N/A</v>
      </c>
      <c r="S1330" s="93" t="str">
        <f>VLOOKUP(F1330,DATABASE!C:P,11,false)</f>
        <v>#N/A</v>
      </c>
      <c r="T1330" s="93" t="str">
        <f>vlookup(F1330,DATABASE!C:Q,8,false)</f>
        <v>#N/A</v>
      </c>
      <c r="Z1330" s="9"/>
    </row>
    <row r="1331" ht="22.5" customHeight="1">
      <c r="A1331" s="49"/>
      <c r="C1331" s="384"/>
      <c r="D1331" s="93"/>
      <c r="F1331" s="74"/>
      <c r="H1331" s="74"/>
      <c r="I1331" s="74"/>
      <c r="J1331" s="74"/>
      <c r="K1331" s="74" t="str">
        <f>if(F1331="SERVICE",O1331-(O1331*50%),Vlookup(F1331,DATABASE!C:Q,10,false)*G1331)</f>
        <v>#N/A</v>
      </c>
      <c r="L1331" s="74" t="str">
        <f>VLOOKUP(F1331,DATABASE!C:Q,7,FALSE)</f>
        <v>#N/A</v>
      </c>
      <c r="M1331" s="74"/>
      <c r="N1331" s="74">
        <f t="shared" si="11"/>
        <v>0</v>
      </c>
      <c r="O1331" s="74">
        <f t="shared" si="13"/>
        <v>0</v>
      </c>
      <c r="P1331" s="63">
        <f t="shared" si="14"/>
        <v>0</v>
      </c>
      <c r="Q1331" s="63" t="str">
        <f t="shared" si="15"/>
        <v>#N/A</v>
      </c>
      <c r="R1331" s="93" t="str">
        <f>VLOOKUP(F1331,DATABASE!C:Q,4,false)</f>
        <v>#N/A</v>
      </c>
      <c r="S1331" s="93" t="str">
        <f>VLOOKUP(F1331,DATABASE!C:P,11,false)</f>
        <v>#N/A</v>
      </c>
      <c r="T1331" s="93" t="str">
        <f>vlookup(F1331,DATABASE!C:Q,8,false)</f>
        <v>#N/A</v>
      </c>
      <c r="Z1331" s="9"/>
    </row>
    <row r="1332" ht="22.5" customHeight="1">
      <c r="A1332" s="49"/>
      <c r="C1332" s="384"/>
      <c r="D1332" s="93"/>
      <c r="F1332" s="74"/>
      <c r="H1332" s="74"/>
      <c r="I1332" s="74"/>
      <c r="J1332" s="74"/>
      <c r="K1332" s="74" t="str">
        <f>if(F1332="SERVICE",O1332-(O1332*50%),Vlookup(F1332,DATABASE!C:Q,10,false)*G1332)</f>
        <v>#N/A</v>
      </c>
      <c r="L1332" s="74" t="str">
        <f>VLOOKUP(F1332,DATABASE!C:Q,7,FALSE)</f>
        <v>#N/A</v>
      </c>
      <c r="M1332" s="74"/>
      <c r="N1332" s="74">
        <f t="shared" si="11"/>
        <v>0</v>
      </c>
      <c r="O1332" s="74">
        <f t="shared" si="13"/>
        <v>0</v>
      </c>
      <c r="P1332" s="63">
        <f t="shared" si="14"/>
        <v>0</v>
      </c>
      <c r="Q1332" s="63" t="str">
        <f t="shared" si="15"/>
        <v>#N/A</v>
      </c>
      <c r="R1332" s="93" t="str">
        <f>VLOOKUP(F1332,DATABASE!C:Q,4,false)</f>
        <v>#N/A</v>
      </c>
      <c r="S1332" s="93" t="str">
        <f>VLOOKUP(F1332,DATABASE!C:P,11,false)</f>
        <v>#N/A</v>
      </c>
      <c r="T1332" s="93" t="str">
        <f>vlookup(F1332,DATABASE!C:Q,8,false)</f>
        <v>#N/A</v>
      </c>
      <c r="Z1332" s="9"/>
    </row>
    <row r="1333" ht="22.5" customHeight="1">
      <c r="A1333" s="49"/>
      <c r="C1333" s="384"/>
      <c r="D1333" s="93"/>
      <c r="F1333" s="74"/>
      <c r="H1333" s="74"/>
      <c r="I1333" s="74"/>
      <c r="J1333" s="74"/>
      <c r="K1333" s="74" t="str">
        <f>if(F1333="SERVICE",O1333-(O1333*50%),Vlookup(F1333,DATABASE!C:Q,10,false)*G1333)</f>
        <v>#N/A</v>
      </c>
      <c r="L1333" s="74" t="str">
        <f>VLOOKUP(F1333,DATABASE!C:Q,7,FALSE)</f>
        <v>#N/A</v>
      </c>
      <c r="M1333" s="74"/>
      <c r="N1333" s="74">
        <f t="shared" si="11"/>
        <v>0</v>
      </c>
      <c r="O1333" s="74">
        <f t="shared" si="13"/>
        <v>0</v>
      </c>
      <c r="P1333" s="63">
        <f t="shared" si="14"/>
        <v>0</v>
      </c>
      <c r="Q1333" s="63" t="str">
        <f t="shared" si="15"/>
        <v>#N/A</v>
      </c>
      <c r="R1333" s="93" t="str">
        <f>VLOOKUP(F1333,DATABASE!C:Q,4,false)</f>
        <v>#N/A</v>
      </c>
      <c r="S1333" s="93" t="str">
        <f>VLOOKUP(F1333,DATABASE!C:P,11,false)</f>
        <v>#N/A</v>
      </c>
      <c r="T1333" s="93" t="str">
        <f>vlookup(F1333,DATABASE!C:Q,8,false)</f>
        <v>#N/A</v>
      </c>
      <c r="Z1333" s="9"/>
    </row>
    <row r="1334" ht="22.5" customHeight="1">
      <c r="A1334" s="49"/>
      <c r="C1334" s="384"/>
      <c r="D1334" s="93"/>
      <c r="F1334" s="74"/>
      <c r="H1334" s="74"/>
      <c r="I1334" s="74"/>
      <c r="J1334" s="74"/>
      <c r="K1334" s="74" t="str">
        <f>if(F1334="SERVICE",O1334-(O1334*50%),Vlookup(F1334,DATABASE!C:Q,10,false)*G1334)</f>
        <v>#N/A</v>
      </c>
      <c r="L1334" s="74" t="str">
        <f>VLOOKUP(F1334,DATABASE!C:Q,7,FALSE)</f>
        <v>#N/A</v>
      </c>
      <c r="M1334" s="74"/>
      <c r="N1334" s="74">
        <f t="shared" si="11"/>
        <v>0</v>
      </c>
      <c r="O1334" s="74">
        <f t="shared" si="13"/>
        <v>0</v>
      </c>
      <c r="P1334" s="63">
        <f t="shared" si="14"/>
        <v>0</v>
      </c>
      <c r="Q1334" s="63" t="str">
        <f t="shared" si="15"/>
        <v>#N/A</v>
      </c>
      <c r="R1334" s="93" t="str">
        <f>VLOOKUP(F1334,DATABASE!C:Q,4,false)</f>
        <v>#N/A</v>
      </c>
      <c r="S1334" s="93" t="str">
        <f>VLOOKUP(F1334,DATABASE!C:P,11,false)</f>
        <v>#N/A</v>
      </c>
      <c r="T1334" s="93" t="str">
        <f>vlookup(F1334,DATABASE!C:Q,8,false)</f>
        <v>#N/A</v>
      </c>
      <c r="Z1334" s="9"/>
    </row>
    <row r="1335" ht="22.5" customHeight="1">
      <c r="A1335" s="49"/>
      <c r="C1335" s="384"/>
      <c r="D1335" s="93"/>
      <c r="F1335" s="74"/>
      <c r="H1335" s="74"/>
      <c r="I1335" s="74"/>
      <c r="J1335" s="74"/>
      <c r="K1335" s="74" t="str">
        <f>if(F1335="SERVICE",O1335-(O1335*50%),Vlookup(F1335,DATABASE!C:Q,10,false)*G1335)</f>
        <v>#N/A</v>
      </c>
      <c r="L1335" s="74" t="str">
        <f>VLOOKUP(F1335,DATABASE!C:Q,7,FALSE)</f>
        <v>#N/A</v>
      </c>
      <c r="M1335" s="74"/>
      <c r="N1335" s="74">
        <f t="shared" si="11"/>
        <v>0</v>
      </c>
      <c r="O1335" s="74">
        <f t="shared" si="13"/>
        <v>0</v>
      </c>
      <c r="P1335" s="63">
        <f t="shared" si="14"/>
        <v>0</v>
      </c>
      <c r="Q1335" s="63" t="str">
        <f t="shared" si="15"/>
        <v>#N/A</v>
      </c>
      <c r="R1335" s="93" t="str">
        <f>VLOOKUP(F1335,DATABASE!C:Q,4,false)</f>
        <v>#N/A</v>
      </c>
      <c r="S1335" s="93" t="str">
        <f>VLOOKUP(F1335,DATABASE!C:P,11,false)</f>
        <v>#N/A</v>
      </c>
      <c r="T1335" s="93" t="str">
        <f>vlookup(F1335,DATABASE!C:Q,8,false)</f>
        <v>#N/A</v>
      </c>
      <c r="Z1335" s="9"/>
    </row>
    <row r="1336" ht="22.5" customHeight="1">
      <c r="A1336" s="49"/>
      <c r="C1336" s="384"/>
      <c r="D1336" s="93"/>
      <c r="F1336" s="74"/>
      <c r="H1336" s="74"/>
      <c r="I1336" s="74"/>
      <c r="J1336" s="74"/>
      <c r="K1336" s="74" t="str">
        <f>if(F1336="SERVICE",O1336-(O1336*50%),Vlookup(F1336,DATABASE!C:Q,10,false)*G1336)</f>
        <v>#N/A</v>
      </c>
      <c r="L1336" s="74" t="str">
        <f>VLOOKUP(F1336,DATABASE!C:Q,7,FALSE)</f>
        <v>#N/A</v>
      </c>
      <c r="M1336" s="74"/>
      <c r="N1336" s="74">
        <f t="shared" si="11"/>
        <v>0</v>
      </c>
      <c r="O1336" s="74">
        <f t="shared" si="13"/>
        <v>0</v>
      </c>
      <c r="P1336" s="63">
        <f t="shared" si="14"/>
        <v>0</v>
      </c>
      <c r="Q1336" s="63" t="str">
        <f t="shared" si="15"/>
        <v>#N/A</v>
      </c>
      <c r="R1336" s="93" t="str">
        <f>VLOOKUP(F1336,DATABASE!C:Q,4,false)</f>
        <v>#N/A</v>
      </c>
      <c r="S1336" s="93" t="str">
        <f>VLOOKUP(F1336,DATABASE!C:P,11,false)</f>
        <v>#N/A</v>
      </c>
      <c r="T1336" s="93" t="str">
        <f>vlookup(F1336,DATABASE!C:Q,8,false)</f>
        <v>#N/A</v>
      </c>
      <c r="Z1336" s="9"/>
    </row>
    <row r="1337" ht="22.5" customHeight="1">
      <c r="A1337" s="49"/>
      <c r="C1337" s="384"/>
      <c r="D1337" s="93"/>
      <c r="F1337" s="74"/>
      <c r="H1337" s="74"/>
      <c r="I1337" s="74"/>
      <c r="J1337" s="74"/>
      <c r="K1337" s="74" t="str">
        <f>if(F1337="SERVICE",O1337-(O1337*50%),Vlookup(F1337,DATABASE!C:Q,10,false)*G1337)</f>
        <v>#N/A</v>
      </c>
      <c r="L1337" s="74" t="str">
        <f>VLOOKUP(F1337,DATABASE!C:Q,7,FALSE)</f>
        <v>#N/A</v>
      </c>
      <c r="M1337" s="74"/>
      <c r="N1337" s="74">
        <f t="shared" si="11"/>
        <v>0</v>
      </c>
      <c r="O1337" s="74">
        <f t="shared" si="13"/>
        <v>0</v>
      </c>
      <c r="P1337" s="63">
        <f t="shared" si="14"/>
        <v>0</v>
      </c>
      <c r="Q1337" s="63" t="str">
        <f t="shared" si="15"/>
        <v>#N/A</v>
      </c>
      <c r="R1337" s="93" t="str">
        <f>VLOOKUP(F1337,DATABASE!C:Q,4,false)</f>
        <v>#N/A</v>
      </c>
      <c r="S1337" s="93" t="str">
        <f>VLOOKUP(F1337,DATABASE!C:P,11,false)</f>
        <v>#N/A</v>
      </c>
      <c r="T1337" s="93" t="str">
        <f>vlookup(F1337,DATABASE!C:Q,8,false)</f>
        <v>#N/A</v>
      </c>
      <c r="Z1337" s="9"/>
    </row>
    <row r="1338" ht="22.5" customHeight="1">
      <c r="A1338" s="49"/>
      <c r="C1338" s="384"/>
      <c r="D1338" s="93"/>
      <c r="F1338" s="74"/>
      <c r="H1338" s="74"/>
      <c r="I1338" s="74"/>
      <c r="J1338" s="74"/>
      <c r="K1338" s="74" t="str">
        <f>if(F1338="SERVICE",O1338-(O1338*50%),Vlookup(F1338,DATABASE!C:Q,10,false)*G1338)</f>
        <v>#N/A</v>
      </c>
      <c r="L1338" s="74" t="str">
        <f>VLOOKUP(F1338,DATABASE!C:Q,7,FALSE)</f>
        <v>#N/A</v>
      </c>
      <c r="M1338" s="74"/>
      <c r="N1338" s="74">
        <f t="shared" si="11"/>
        <v>0</v>
      </c>
      <c r="O1338" s="74">
        <f t="shared" si="13"/>
        <v>0</v>
      </c>
      <c r="P1338" s="63">
        <f t="shared" si="14"/>
        <v>0</v>
      </c>
      <c r="Q1338" s="63" t="str">
        <f t="shared" si="15"/>
        <v>#N/A</v>
      </c>
      <c r="R1338" s="93" t="str">
        <f>VLOOKUP(F1338,DATABASE!C:Q,4,false)</f>
        <v>#N/A</v>
      </c>
      <c r="S1338" s="93" t="str">
        <f>VLOOKUP(F1338,DATABASE!C:P,11,false)</f>
        <v>#N/A</v>
      </c>
      <c r="T1338" s="93" t="str">
        <f>vlookup(F1338,DATABASE!C:Q,8,false)</f>
        <v>#N/A</v>
      </c>
      <c r="Z1338" s="9"/>
    </row>
    <row r="1339" ht="22.5" customHeight="1">
      <c r="A1339" s="49"/>
      <c r="C1339" s="384"/>
      <c r="D1339" s="93"/>
      <c r="F1339" s="74"/>
      <c r="H1339" s="74"/>
      <c r="I1339" s="74"/>
      <c r="J1339" s="74"/>
      <c r="K1339" s="74" t="str">
        <f>if(F1339="SERVICE",O1339-(O1339*50%),Vlookup(F1339,DATABASE!C:Q,10,false)*G1339)</f>
        <v>#N/A</v>
      </c>
      <c r="L1339" s="74" t="str">
        <f>VLOOKUP(F1339,DATABASE!C:Q,7,FALSE)</f>
        <v>#N/A</v>
      </c>
      <c r="M1339" s="74"/>
      <c r="N1339" s="74">
        <f t="shared" si="11"/>
        <v>0</v>
      </c>
      <c r="O1339" s="74">
        <f t="shared" si="13"/>
        <v>0</v>
      </c>
      <c r="P1339" s="63">
        <f t="shared" si="14"/>
        <v>0</v>
      </c>
      <c r="Q1339" s="63" t="str">
        <f t="shared" si="15"/>
        <v>#N/A</v>
      </c>
      <c r="R1339" s="93" t="str">
        <f>VLOOKUP(F1339,DATABASE!C:Q,4,false)</f>
        <v>#N/A</v>
      </c>
      <c r="S1339" s="93" t="str">
        <f>VLOOKUP(F1339,DATABASE!C:P,11,false)</f>
        <v>#N/A</v>
      </c>
      <c r="T1339" s="93" t="str">
        <f>vlookup(F1339,DATABASE!C:Q,8,false)</f>
        <v>#N/A</v>
      </c>
      <c r="Z1339" s="9"/>
    </row>
    <row r="1340" ht="22.5" customHeight="1">
      <c r="A1340" s="49"/>
      <c r="C1340" s="384"/>
      <c r="D1340" s="93"/>
      <c r="F1340" s="74"/>
      <c r="H1340" s="74"/>
      <c r="I1340" s="74"/>
      <c r="J1340" s="74"/>
      <c r="K1340" s="74" t="str">
        <f>if(F1340="SERVICE",O1340-(O1340*50%),Vlookup(F1340,DATABASE!C:Q,10,false)*G1340)</f>
        <v>#N/A</v>
      </c>
      <c r="L1340" s="74" t="str">
        <f>VLOOKUP(F1340,DATABASE!C:Q,7,FALSE)</f>
        <v>#N/A</v>
      </c>
      <c r="M1340" s="74"/>
      <c r="N1340" s="74">
        <f t="shared" si="11"/>
        <v>0</v>
      </c>
      <c r="O1340" s="74">
        <f t="shared" si="13"/>
        <v>0</v>
      </c>
      <c r="P1340" s="63">
        <f t="shared" si="14"/>
        <v>0</v>
      </c>
      <c r="Q1340" s="63" t="str">
        <f t="shared" si="15"/>
        <v>#N/A</v>
      </c>
      <c r="R1340" s="93" t="str">
        <f>VLOOKUP(F1340,DATABASE!C:Q,4,false)</f>
        <v>#N/A</v>
      </c>
      <c r="S1340" s="93" t="str">
        <f>VLOOKUP(F1340,DATABASE!C:P,11,false)</f>
        <v>#N/A</v>
      </c>
      <c r="T1340" s="93" t="str">
        <f>vlookup(F1340,DATABASE!C:Q,8,false)</f>
        <v>#N/A</v>
      </c>
      <c r="Z1340" s="9"/>
    </row>
    <row r="1341" ht="22.5" customHeight="1">
      <c r="A1341" s="49"/>
      <c r="C1341" s="384"/>
      <c r="D1341" s="93"/>
      <c r="F1341" s="74"/>
      <c r="H1341" s="74"/>
      <c r="I1341" s="74"/>
      <c r="J1341" s="74"/>
      <c r="K1341" s="74" t="str">
        <f>if(F1341="SERVICE",O1341-(O1341*50%),Vlookup(F1341,DATABASE!C:Q,10,false)*G1341)</f>
        <v>#N/A</v>
      </c>
      <c r="L1341" s="74" t="str">
        <f>VLOOKUP(F1341,DATABASE!C:Q,7,FALSE)</f>
        <v>#N/A</v>
      </c>
      <c r="M1341" s="74"/>
      <c r="N1341" s="74">
        <f t="shared" si="11"/>
        <v>0</v>
      </c>
      <c r="O1341" s="74">
        <f t="shared" si="13"/>
        <v>0</v>
      </c>
      <c r="P1341" s="63">
        <f t="shared" si="14"/>
        <v>0</v>
      </c>
      <c r="Q1341" s="63" t="str">
        <f t="shared" si="15"/>
        <v>#N/A</v>
      </c>
      <c r="R1341" s="93" t="str">
        <f>VLOOKUP(F1341,DATABASE!C:Q,4,false)</f>
        <v>#N/A</v>
      </c>
      <c r="S1341" s="93" t="str">
        <f>VLOOKUP(F1341,DATABASE!C:P,11,false)</f>
        <v>#N/A</v>
      </c>
      <c r="T1341" s="93" t="str">
        <f>vlookup(F1341,DATABASE!C:Q,8,false)</f>
        <v>#N/A</v>
      </c>
      <c r="Z1341" s="9"/>
    </row>
    <row r="1342" ht="22.5" customHeight="1">
      <c r="A1342" s="49"/>
      <c r="C1342" s="384"/>
      <c r="D1342" s="93"/>
      <c r="F1342" s="74"/>
      <c r="H1342" s="74"/>
      <c r="I1342" s="74"/>
      <c r="J1342" s="74"/>
      <c r="K1342" s="74" t="str">
        <f>if(F1342="SERVICE",O1342-(O1342*50%),Vlookup(F1342,DATABASE!C:Q,10,false)*G1342)</f>
        <v>#N/A</v>
      </c>
      <c r="L1342" s="74" t="str">
        <f>VLOOKUP(F1342,DATABASE!C:Q,7,FALSE)</f>
        <v>#N/A</v>
      </c>
      <c r="M1342" s="74"/>
      <c r="N1342" s="74">
        <f t="shared" si="11"/>
        <v>0</v>
      </c>
      <c r="O1342" s="74">
        <f t="shared" si="13"/>
        <v>0</v>
      </c>
      <c r="P1342" s="63">
        <f t="shared" si="14"/>
        <v>0</v>
      </c>
      <c r="Q1342" s="63" t="str">
        <f t="shared" si="15"/>
        <v>#N/A</v>
      </c>
      <c r="R1342" s="93" t="str">
        <f>VLOOKUP(F1342,DATABASE!C:Q,4,false)</f>
        <v>#N/A</v>
      </c>
      <c r="S1342" s="93" t="str">
        <f>VLOOKUP(F1342,DATABASE!C:P,11,false)</f>
        <v>#N/A</v>
      </c>
      <c r="T1342" s="93" t="str">
        <f>vlookup(F1342,DATABASE!C:Q,8,false)</f>
        <v>#N/A</v>
      </c>
      <c r="Z1342" s="9"/>
    </row>
    <row r="1343" ht="22.5" customHeight="1">
      <c r="A1343" s="49"/>
      <c r="C1343" s="384"/>
      <c r="D1343" s="93"/>
      <c r="F1343" s="74"/>
      <c r="H1343" s="74"/>
      <c r="I1343" s="74"/>
      <c r="J1343" s="74"/>
      <c r="K1343" s="74" t="str">
        <f>if(F1343="SERVICE",O1343-(O1343*50%),Vlookup(F1343,DATABASE!C:Q,10,false)*G1343)</f>
        <v>#N/A</v>
      </c>
      <c r="L1343" s="74" t="str">
        <f>VLOOKUP(F1343,DATABASE!C:Q,7,FALSE)</f>
        <v>#N/A</v>
      </c>
      <c r="M1343" s="74"/>
      <c r="N1343" s="74">
        <f t="shared" si="11"/>
        <v>0</v>
      </c>
      <c r="O1343" s="74">
        <f t="shared" si="13"/>
        <v>0</v>
      </c>
      <c r="P1343" s="63">
        <f t="shared" si="14"/>
        <v>0</v>
      </c>
      <c r="Q1343" s="63" t="str">
        <f t="shared" si="15"/>
        <v>#N/A</v>
      </c>
      <c r="R1343" s="93" t="str">
        <f>VLOOKUP(F1343,DATABASE!C:Q,4,false)</f>
        <v>#N/A</v>
      </c>
      <c r="S1343" s="93" t="str">
        <f>VLOOKUP(F1343,DATABASE!C:P,11,false)</f>
        <v>#N/A</v>
      </c>
      <c r="T1343" s="93" t="str">
        <f>vlookup(F1343,DATABASE!C:Q,8,false)</f>
        <v>#N/A</v>
      </c>
      <c r="Z1343" s="9"/>
    </row>
    <row r="1344" ht="22.5" customHeight="1">
      <c r="A1344" s="49"/>
      <c r="C1344" s="384"/>
      <c r="D1344" s="93"/>
      <c r="F1344" s="74"/>
      <c r="H1344" s="74"/>
      <c r="I1344" s="74"/>
      <c r="J1344" s="74"/>
      <c r="K1344" s="74" t="str">
        <f>if(F1344="SERVICE",O1344-(O1344*50%),Vlookup(F1344,DATABASE!C:Q,10,false)*G1344)</f>
        <v>#N/A</v>
      </c>
      <c r="L1344" s="74" t="str">
        <f>VLOOKUP(F1344,DATABASE!C:Q,7,FALSE)</f>
        <v>#N/A</v>
      </c>
      <c r="M1344" s="74"/>
      <c r="N1344" s="74">
        <f t="shared" si="11"/>
        <v>0</v>
      </c>
      <c r="O1344" s="74">
        <f t="shared" si="13"/>
        <v>0</v>
      </c>
      <c r="P1344" s="63">
        <f t="shared" si="14"/>
        <v>0</v>
      </c>
      <c r="Q1344" s="63" t="str">
        <f t="shared" si="15"/>
        <v>#N/A</v>
      </c>
      <c r="R1344" s="93" t="str">
        <f>VLOOKUP(F1344,DATABASE!C:Q,4,false)</f>
        <v>#N/A</v>
      </c>
      <c r="S1344" s="93" t="str">
        <f>VLOOKUP(F1344,DATABASE!C:P,11,false)</f>
        <v>#N/A</v>
      </c>
      <c r="T1344" s="93" t="str">
        <f>vlookup(F1344,DATABASE!C:Q,8,false)</f>
        <v>#N/A</v>
      </c>
      <c r="Z1344" s="9"/>
    </row>
    <row r="1345" ht="22.5" customHeight="1">
      <c r="A1345" s="49"/>
      <c r="C1345" s="384"/>
      <c r="D1345" s="93"/>
      <c r="F1345" s="74"/>
      <c r="H1345" s="74"/>
      <c r="I1345" s="74"/>
      <c r="J1345" s="74"/>
      <c r="K1345" s="74" t="str">
        <f>if(F1345="SERVICE",O1345-(O1345*50%),Vlookup(F1345,DATABASE!C:Q,10,false)*G1345)</f>
        <v>#N/A</v>
      </c>
      <c r="L1345" s="74" t="str">
        <f>VLOOKUP(F1345,DATABASE!C:Q,7,FALSE)</f>
        <v>#N/A</v>
      </c>
      <c r="M1345" s="74"/>
      <c r="N1345" s="74">
        <f t="shared" si="11"/>
        <v>0</v>
      </c>
      <c r="O1345" s="74">
        <f t="shared" si="13"/>
        <v>0</v>
      </c>
      <c r="P1345" s="63">
        <f t="shared" si="14"/>
        <v>0</v>
      </c>
      <c r="Q1345" s="63" t="str">
        <f t="shared" si="15"/>
        <v>#N/A</v>
      </c>
      <c r="R1345" s="93" t="str">
        <f>VLOOKUP(F1345,DATABASE!C:Q,4,false)</f>
        <v>#N/A</v>
      </c>
      <c r="S1345" s="93" t="str">
        <f>VLOOKUP(F1345,DATABASE!C:P,11,false)</f>
        <v>#N/A</v>
      </c>
      <c r="T1345" s="93" t="str">
        <f>vlookup(F1345,DATABASE!C:Q,8,false)</f>
        <v>#N/A</v>
      </c>
      <c r="Z1345" s="9"/>
    </row>
    <row r="1346" ht="22.5" customHeight="1">
      <c r="A1346" s="49"/>
      <c r="C1346" s="384"/>
      <c r="D1346" s="93"/>
      <c r="F1346" s="74"/>
      <c r="H1346" s="74"/>
      <c r="I1346" s="74"/>
      <c r="J1346" s="74"/>
      <c r="K1346" s="74" t="str">
        <f>if(F1346="SERVICE",O1346-(O1346*50%),Vlookup(F1346,DATABASE!C:Q,10,false)*G1346)</f>
        <v>#N/A</v>
      </c>
      <c r="L1346" s="74" t="str">
        <f>VLOOKUP(F1346,DATABASE!C:Q,7,FALSE)</f>
        <v>#N/A</v>
      </c>
      <c r="M1346" s="74"/>
      <c r="N1346" s="74">
        <f t="shared" si="11"/>
        <v>0</v>
      </c>
      <c r="O1346" s="74">
        <f t="shared" si="13"/>
        <v>0</v>
      </c>
      <c r="P1346" s="63">
        <f t="shared" si="14"/>
        <v>0</v>
      </c>
      <c r="Q1346" s="63" t="str">
        <f t="shared" si="15"/>
        <v>#N/A</v>
      </c>
      <c r="R1346" s="93" t="str">
        <f>VLOOKUP(F1346,DATABASE!C:Q,4,false)</f>
        <v>#N/A</v>
      </c>
      <c r="S1346" s="93" t="str">
        <f>VLOOKUP(F1346,DATABASE!C:P,11,false)</f>
        <v>#N/A</v>
      </c>
      <c r="T1346" s="93" t="str">
        <f>vlookup(F1346,DATABASE!C:Q,8,false)</f>
        <v>#N/A</v>
      </c>
      <c r="Z1346" s="9"/>
    </row>
    <row r="1347" ht="22.5" customHeight="1">
      <c r="A1347" s="49"/>
      <c r="C1347" s="384"/>
      <c r="D1347" s="93"/>
      <c r="F1347" s="74"/>
      <c r="H1347" s="74"/>
      <c r="I1347" s="74"/>
      <c r="J1347" s="74"/>
      <c r="K1347" s="74" t="str">
        <f>if(F1347="SERVICE",O1347-(O1347*50%),Vlookup(F1347,DATABASE!C:Q,10,false)*G1347)</f>
        <v>#N/A</v>
      </c>
      <c r="L1347" s="74" t="str">
        <f>VLOOKUP(F1347,DATABASE!C:Q,7,FALSE)</f>
        <v>#N/A</v>
      </c>
      <c r="M1347" s="74"/>
      <c r="N1347" s="74">
        <f t="shared" si="11"/>
        <v>0</v>
      </c>
      <c r="O1347" s="74">
        <f t="shared" si="13"/>
        <v>0</v>
      </c>
      <c r="P1347" s="63">
        <f t="shared" si="14"/>
        <v>0</v>
      </c>
      <c r="Q1347" s="63" t="str">
        <f t="shared" si="15"/>
        <v>#N/A</v>
      </c>
      <c r="R1347" s="93" t="str">
        <f>VLOOKUP(F1347,DATABASE!C:Q,4,false)</f>
        <v>#N/A</v>
      </c>
      <c r="S1347" s="93" t="str">
        <f>VLOOKUP(F1347,DATABASE!C:P,11,false)</f>
        <v>#N/A</v>
      </c>
      <c r="T1347" s="93" t="str">
        <f>vlookup(F1347,DATABASE!C:Q,8,false)</f>
        <v>#N/A</v>
      </c>
      <c r="Z1347" s="9"/>
    </row>
    <row r="1348" ht="22.5" customHeight="1">
      <c r="A1348" s="49"/>
      <c r="C1348" s="384"/>
      <c r="D1348" s="93"/>
      <c r="F1348" s="74"/>
      <c r="H1348" s="74"/>
      <c r="I1348" s="74"/>
      <c r="J1348" s="74"/>
      <c r="K1348" s="74" t="str">
        <f>if(F1348="SERVICE",O1348-(O1348*50%),Vlookup(F1348,DATABASE!C:Q,10,false)*G1348)</f>
        <v>#N/A</v>
      </c>
      <c r="L1348" s="74" t="str">
        <f>VLOOKUP(F1348,DATABASE!C:Q,7,FALSE)</f>
        <v>#N/A</v>
      </c>
      <c r="M1348" s="74"/>
      <c r="N1348" s="74">
        <f t="shared" si="11"/>
        <v>0</v>
      </c>
      <c r="O1348" s="74">
        <f t="shared" si="13"/>
        <v>0</v>
      </c>
      <c r="P1348" s="63">
        <f t="shared" si="14"/>
        <v>0</v>
      </c>
      <c r="Q1348" s="63" t="str">
        <f t="shared" si="15"/>
        <v>#N/A</v>
      </c>
      <c r="R1348" s="93" t="str">
        <f>VLOOKUP(F1348,DATABASE!C:Q,4,false)</f>
        <v>#N/A</v>
      </c>
      <c r="S1348" s="93" t="str">
        <f>VLOOKUP(F1348,DATABASE!C:P,11,false)</f>
        <v>#N/A</v>
      </c>
      <c r="T1348" s="93" t="str">
        <f>vlookup(F1348,DATABASE!C:Q,8,false)</f>
        <v>#N/A</v>
      </c>
      <c r="Z1348" s="9"/>
    </row>
    <row r="1349" ht="22.5" customHeight="1">
      <c r="A1349" s="49"/>
      <c r="C1349" s="384"/>
      <c r="D1349" s="93"/>
      <c r="F1349" s="74"/>
      <c r="H1349" s="74"/>
      <c r="I1349" s="74"/>
      <c r="J1349" s="74"/>
      <c r="K1349" s="74" t="str">
        <f>if(F1349="SERVICE",O1349-(O1349*50%),Vlookup(F1349,DATABASE!C:Q,10,false)*G1349)</f>
        <v>#N/A</v>
      </c>
      <c r="L1349" s="74" t="str">
        <f>VLOOKUP(F1349,DATABASE!C:Q,7,FALSE)</f>
        <v>#N/A</v>
      </c>
      <c r="M1349" s="74"/>
      <c r="N1349" s="74">
        <f t="shared" si="11"/>
        <v>0</v>
      </c>
      <c r="O1349" s="74">
        <f t="shared" si="13"/>
        <v>0</v>
      </c>
      <c r="P1349" s="63">
        <f t="shared" si="14"/>
        <v>0</v>
      </c>
      <c r="Q1349" s="63" t="str">
        <f t="shared" si="15"/>
        <v>#N/A</v>
      </c>
      <c r="R1349" s="93" t="str">
        <f>VLOOKUP(F1349,DATABASE!C:Q,4,false)</f>
        <v>#N/A</v>
      </c>
      <c r="S1349" s="93" t="str">
        <f>VLOOKUP(F1349,DATABASE!C:P,11,false)</f>
        <v>#N/A</v>
      </c>
      <c r="T1349" s="93" t="str">
        <f>vlookup(F1349,DATABASE!C:Q,8,false)</f>
        <v>#N/A</v>
      </c>
      <c r="Z1349" s="9"/>
    </row>
    <row r="1350" ht="22.5" customHeight="1">
      <c r="A1350" s="49"/>
      <c r="C1350" s="384"/>
      <c r="D1350" s="93"/>
      <c r="F1350" s="74"/>
      <c r="H1350" s="74"/>
      <c r="I1350" s="74"/>
      <c r="J1350" s="74"/>
      <c r="K1350" s="74" t="str">
        <f>if(F1350="SERVICE",O1350-(O1350*50%),Vlookup(F1350,DATABASE!C:Q,10,false)*G1350)</f>
        <v>#N/A</v>
      </c>
      <c r="L1350" s="74" t="str">
        <f>VLOOKUP(F1350,DATABASE!C:Q,7,FALSE)</f>
        <v>#N/A</v>
      </c>
      <c r="M1350" s="74"/>
      <c r="N1350" s="74">
        <f t="shared" si="11"/>
        <v>0</v>
      </c>
      <c r="O1350" s="74">
        <f t="shared" si="13"/>
        <v>0</v>
      </c>
      <c r="P1350" s="63">
        <f t="shared" si="14"/>
        <v>0</v>
      </c>
      <c r="Q1350" s="63" t="str">
        <f t="shared" si="15"/>
        <v>#N/A</v>
      </c>
      <c r="R1350" s="93" t="str">
        <f>VLOOKUP(F1350,DATABASE!C:Q,4,false)</f>
        <v>#N/A</v>
      </c>
      <c r="S1350" s="93" t="str">
        <f>VLOOKUP(F1350,DATABASE!C:P,11,false)</f>
        <v>#N/A</v>
      </c>
      <c r="T1350" s="93" t="str">
        <f>vlookup(F1350,DATABASE!C:Q,8,false)</f>
        <v>#N/A</v>
      </c>
      <c r="Z1350" s="9"/>
    </row>
    <row r="1351" ht="22.5" customHeight="1">
      <c r="A1351" s="49"/>
      <c r="C1351" s="384"/>
      <c r="D1351" s="93"/>
      <c r="F1351" s="74"/>
      <c r="H1351" s="74"/>
      <c r="I1351" s="74"/>
      <c r="J1351" s="74"/>
      <c r="K1351" s="74" t="str">
        <f>if(F1351="SERVICE",O1351-(O1351*50%),Vlookup(F1351,DATABASE!C:Q,10,false)*G1351)</f>
        <v>#N/A</v>
      </c>
      <c r="L1351" s="74" t="str">
        <f>VLOOKUP(F1351,DATABASE!C:Q,7,FALSE)</f>
        <v>#N/A</v>
      </c>
      <c r="M1351" s="74"/>
      <c r="N1351" s="74">
        <f t="shared" si="11"/>
        <v>0</v>
      </c>
      <c r="O1351" s="74">
        <f t="shared" si="13"/>
        <v>0</v>
      </c>
      <c r="P1351" s="63">
        <f t="shared" si="14"/>
        <v>0</v>
      </c>
      <c r="Q1351" s="63" t="str">
        <f t="shared" si="15"/>
        <v>#N/A</v>
      </c>
      <c r="R1351" s="93" t="str">
        <f>VLOOKUP(F1351,DATABASE!C:Q,4,false)</f>
        <v>#N/A</v>
      </c>
      <c r="S1351" s="93" t="str">
        <f>VLOOKUP(F1351,DATABASE!C:P,11,false)</f>
        <v>#N/A</v>
      </c>
      <c r="T1351" s="93" t="str">
        <f>vlookup(F1351,DATABASE!C:Q,8,false)</f>
        <v>#N/A</v>
      </c>
      <c r="Z1351" s="9"/>
    </row>
    <row r="1352" ht="22.5" customHeight="1">
      <c r="A1352" s="49"/>
      <c r="C1352" s="384"/>
      <c r="D1352" s="93"/>
      <c r="F1352" s="74"/>
      <c r="H1352" s="74"/>
      <c r="I1352" s="74"/>
      <c r="J1352" s="74"/>
      <c r="K1352" s="74" t="str">
        <f>if(F1352="SERVICE",O1352-(O1352*50%),Vlookup(F1352,DATABASE!C:Q,10,false)*G1352)</f>
        <v>#N/A</v>
      </c>
      <c r="L1352" s="74" t="str">
        <f>VLOOKUP(F1352,DATABASE!C:Q,7,FALSE)</f>
        <v>#N/A</v>
      </c>
      <c r="M1352" s="74"/>
      <c r="N1352" s="74">
        <f t="shared" si="11"/>
        <v>0</v>
      </c>
      <c r="O1352" s="74">
        <f t="shared" si="13"/>
        <v>0</v>
      </c>
      <c r="P1352" s="63">
        <f t="shared" si="14"/>
        <v>0</v>
      </c>
      <c r="Q1352" s="63" t="str">
        <f t="shared" si="15"/>
        <v>#N/A</v>
      </c>
      <c r="R1352" s="93" t="str">
        <f>VLOOKUP(F1352,DATABASE!C:Q,4,false)</f>
        <v>#N/A</v>
      </c>
      <c r="S1352" s="93" t="str">
        <f>VLOOKUP(F1352,DATABASE!C:P,11,false)</f>
        <v>#N/A</v>
      </c>
      <c r="T1352" s="93" t="str">
        <f>vlookup(F1352,DATABASE!C:Q,8,false)</f>
        <v>#N/A</v>
      </c>
      <c r="Z1352" s="9"/>
    </row>
    <row r="1353" ht="22.5" customHeight="1">
      <c r="A1353" s="49"/>
      <c r="C1353" s="384"/>
      <c r="D1353" s="93"/>
      <c r="F1353" s="74"/>
      <c r="H1353" s="74"/>
      <c r="I1353" s="74"/>
      <c r="J1353" s="74"/>
      <c r="K1353" s="74" t="str">
        <f>if(F1353="SERVICE",O1353-(O1353*50%),Vlookup(F1353,DATABASE!C:Q,10,false)*G1353)</f>
        <v>#N/A</v>
      </c>
      <c r="L1353" s="74" t="str">
        <f>VLOOKUP(F1353,DATABASE!C:Q,7,FALSE)</f>
        <v>#N/A</v>
      </c>
      <c r="M1353" s="74"/>
      <c r="N1353" s="74">
        <f t="shared" si="11"/>
        <v>0</v>
      </c>
      <c r="O1353" s="74">
        <f t="shared" si="13"/>
        <v>0</v>
      </c>
      <c r="P1353" s="63">
        <f t="shared" si="14"/>
        <v>0</v>
      </c>
      <c r="Q1353" s="63" t="str">
        <f t="shared" si="15"/>
        <v>#N/A</v>
      </c>
      <c r="R1353" s="93" t="str">
        <f>VLOOKUP(F1353,DATABASE!C:Q,4,false)</f>
        <v>#N/A</v>
      </c>
      <c r="S1353" s="93" t="str">
        <f>VLOOKUP(F1353,DATABASE!C:P,11,false)</f>
        <v>#N/A</v>
      </c>
      <c r="T1353" s="93" t="str">
        <f>vlookup(F1353,DATABASE!C:Q,8,false)</f>
        <v>#N/A</v>
      </c>
      <c r="Z1353" s="9"/>
    </row>
    <row r="1354" ht="22.5" customHeight="1">
      <c r="A1354" s="49"/>
      <c r="C1354" s="384"/>
      <c r="D1354" s="93"/>
      <c r="F1354" s="74"/>
      <c r="H1354" s="74"/>
      <c r="I1354" s="74"/>
      <c r="J1354" s="74"/>
      <c r="K1354" s="74" t="str">
        <f>if(F1354="SERVICE",O1354-(O1354*50%),Vlookup(F1354,DATABASE!C:Q,10,false)*G1354)</f>
        <v>#N/A</v>
      </c>
      <c r="L1354" s="74" t="str">
        <f>VLOOKUP(F1354,DATABASE!C:Q,7,FALSE)</f>
        <v>#N/A</v>
      </c>
      <c r="M1354" s="74"/>
      <c r="N1354" s="74">
        <f t="shared" si="11"/>
        <v>0</v>
      </c>
      <c r="O1354" s="74">
        <f t="shared" si="13"/>
        <v>0</v>
      </c>
      <c r="P1354" s="63">
        <f t="shared" si="14"/>
        <v>0</v>
      </c>
      <c r="Q1354" s="63" t="str">
        <f t="shared" si="15"/>
        <v>#N/A</v>
      </c>
      <c r="R1354" s="93" t="str">
        <f>VLOOKUP(F1354,DATABASE!C:Q,4,false)</f>
        <v>#N/A</v>
      </c>
      <c r="S1354" s="93" t="str">
        <f>VLOOKUP(F1354,DATABASE!C:P,11,false)</f>
        <v>#N/A</v>
      </c>
      <c r="T1354" s="93" t="str">
        <f>vlookup(F1354,DATABASE!C:Q,8,false)</f>
        <v>#N/A</v>
      </c>
      <c r="Z1354" s="9"/>
    </row>
    <row r="1355" ht="22.5" customHeight="1">
      <c r="A1355" s="49"/>
      <c r="C1355" s="384"/>
      <c r="D1355" s="93"/>
      <c r="F1355" s="74"/>
      <c r="H1355" s="74"/>
      <c r="I1355" s="74"/>
      <c r="J1355" s="74"/>
      <c r="K1355" s="74" t="str">
        <f>if(F1355="SERVICE",O1355-(O1355*50%),Vlookup(F1355,DATABASE!C:Q,10,false)*G1355)</f>
        <v>#N/A</v>
      </c>
      <c r="L1355" s="74" t="str">
        <f>VLOOKUP(F1355,DATABASE!C:Q,7,FALSE)</f>
        <v>#N/A</v>
      </c>
      <c r="M1355" s="74"/>
      <c r="N1355" s="74">
        <f t="shared" si="11"/>
        <v>0</v>
      </c>
      <c r="O1355" s="74">
        <f t="shared" si="13"/>
        <v>0</v>
      </c>
      <c r="P1355" s="63">
        <f t="shared" si="14"/>
        <v>0</v>
      </c>
      <c r="Q1355" s="63" t="str">
        <f t="shared" si="15"/>
        <v>#N/A</v>
      </c>
      <c r="R1355" s="93" t="str">
        <f>VLOOKUP(F1355,DATABASE!C:Q,4,false)</f>
        <v>#N/A</v>
      </c>
      <c r="S1355" s="93" t="str">
        <f>VLOOKUP(F1355,DATABASE!C:P,11,false)</f>
        <v>#N/A</v>
      </c>
      <c r="T1355" s="93" t="str">
        <f>vlookup(F1355,DATABASE!C:Q,8,false)</f>
        <v>#N/A</v>
      </c>
      <c r="Z1355" s="9"/>
    </row>
    <row r="1356" ht="22.5" customHeight="1">
      <c r="A1356" s="49"/>
      <c r="C1356" s="384"/>
      <c r="D1356" s="93"/>
      <c r="F1356" s="74"/>
      <c r="H1356" s="74"/>
      <c r="I1356" s="74"/>
      <c r="J1356" s="74"/>
      <c r="K1356" s="74" t="str">
        <f>if(F1356="SERVICE",O1356-(O1356*50%),Vlookup(F1356,DATABASE!C:Q,10,false)*G1356)</f>
        <v>#N/A</v>
      </c>
      <c r="L1356" s="74" t="str">
        <f>VLOOKUP(F1356,DATABASE!C:Q,7,FALSE)</f>
        <v>#N/A</v>
      </c>
      <c r="M1356" s="74"/>
      <c r="N1356" s="74">
        <f t="shared" si="11"/>
        <v>0</v>
      </c>
      <c r="O1356" s="74">
        <f t="shared" si="13"/>
        <v>0</v>
      </c>
      <c r="P1356" s="63">
        <f t="shared" si="14"/>
        <v>0</v>
      </c>
      <c r="Q1356" s="63" t="str">
        <f t="shared" si="15"/>
        <v>#N/A</v>
      </c>
      <c r="R1356" s="93" t="str">
        <f>VLOOKUP(F1356,DATABASE!C:Q,4,false)</f>
        <v>#N/A</v>
      </c>
      <c r="S1356" s="93" t="str">
        <f>VLOOKUP(F1356,DATABASE!C:P,11,false)</f>
        <v>#N/A</v>
      </c>
      <c r="T1356" s="93" t="str">
        <f>vlookup(F1356,DATABASE!C:Q,8,false)</f>
        <v>#N/A</v>
      </c>
      <c r="Z1356" s="9"/>
    </row>
    <row r="1357" ht="22.5" customHeight="1">
      <c r="A1357" s="49"/>
      <c r="C1357" s="384"/>
      <c r="D1357" s="93"/>
      <c r="F1357" s="74"/>
      <c r="H1357" s="74"/>
      <c r="I1357" s="74"/>
      <c r="J1357" s="74"/>
      <c r="K1357" s="74" t="str">
        <f>if(F1357="SERVICE",O1357-(O1357*50%),Vlookup(F1357,DATABASE!C:Q,10,false)*G1357)</f>
        <v>#N/A</v>
      </c>
      <c r="L1357" s="74" t="str">
        <f>VLOOKUP(F1357,DATABASE!C:Q,7,FALSE)</f>
        <v>#N/A</v>
      </c>
      <c r="M1357" s="74"/>
      <c r="N1357" s="74">
        <f t="shared" si="11"/>
        <v>0</v>
      </c>
      <c r="O1357" s="74">
        <f t="shared" si="13"/>
        <v>0</v>
      </c>
      <c r="P1357" s="63">
        <f t="shared" si="14"/>
        <v>0</v>
      </c>
      <c r="Q1357" s="63" t="str">
        <f t="shared" si="15"/>
        <v>#N/A</v>
      </c>
      <c r="R1357" s="93" t="str">
        <f>VLOOKUP(F1357,DATABASE!C:Q,4,false)</f>
        <v>#N/A</v>
      </c>
      <c r="S1357" s="93" t="str">
        <f>VLOOKUP(F1357,DATABASE!C:P,11,false)</f>
        <v>#N/A</v>
      </c>
      <c r="T1357" s="93" t="str">
        <f>vlookup(F1357,DATABASE!C:Q,8,false)</f>
        <v>#N/A</v>
      </c>
      <c r="Z1357" s="9"/>
    </row>
    <row r="1358" ht="22.5" customHeight="1">
      <c r="A1358" s="49"/>
      <c r="C1358" s="384"/>
      <c r="D1358" s="93"/>
      <c r="F1358" s="74"/>
      <c r="H1358" s="74"/>
      <c r="I1358" s="74"/>
      <c r="J1358" s="74"/>
      <c r="K1358" s="74" t="str">
        <f>if(F1358="SERVICE",O1358-(O1358*50%),Vlookup(F1358,DATABASE!C:Q,10,false)*G1358)</f>
        <v>#N/A</v>
      </c>
      <c r="L1358" s="74" t="str">
        <f>VLOOKUP(F1358,DATABASE!C:Q,7,FALSE)</f>
        <v>#N/A</v>
      </c>
      <c r="M1358" s="74"/>
      <c r="N1358" s="74">
        <f t="shared" si="11"/>
        <v>0</v>
      </c>
      <c r="O1358" s="74">
        <f t="shared" si="13"/>
        <v>0</v>
      </c>
      <c r="P1358" s="63">
        <f t="shared" si="14"/>
        <v>0</v>
      </c>
      <c r="Q1358" s="63" t="str">
        <f t="shared" si="15"/>
        <v>#N/A</v>
      </c>
      <c r="R1358" s="93" t="str">
        <f>VLOOKUP(F1358,DATABASE!C:Q,4,false)</f>
        <v>#N/A</v>
      </c>
      <c r="S1358" s="93" t="str">
        <f>VLOOKUP(F1358,DATABASE!C:P,11,false)</f>
        <v>#N/A</v>
      </c>
      <c r="T1358" s="93" t="str">
        <f>vlookup(F1358,DATABASE!C:Q,8,false)</f>
        <v>#N/A</v>
      </c>
      <c r="Z1358" s="9"/>
    </row>
    <row r="1359" ht="22.5" customHeight="1">
      <c r="A1359" s="49"/>
      <c r="C1359" s="384"/>
      <c r="D1359" s="93"/>
      <c r="F1359" s="74"/>
      <c r="H1359" s="74"/>
      <c r="I1359" s="74"/>
      <c r="J1359" s="74"/>
      <c r="K1359" s="74" t="str">
        <f>if(F1359="SERVICE",O1359-(O1359*50%),Vlookup(F1359,DATABASE!C:Q,10,false)*G1359)</f>
        <v>#N/A</v>
      </c>
      <c r="L1359" s="74" t="str">
        <f>VLOOKUP(F1359,DATABASE!C:Q,7,FALSE)</f>
        <v>#N/A</v>
      </c>
      <c r="M1359" s="74"/>
      <c r="N1359" s="74">
        <f t="shared" si="11"/>
        <v>0</v>
      </c>
      <c r="O1359" s="74">
        <f t="shared" si="13"/>
        <v>0</v>
      </c>
      <c r="P1359" s="63">
        <f t="shared" si="14"/>
        <v>0</v>
      </c>
      <c r="Q1359" s="63" t="str">
        <f t="shared" si="15"/>
        <v>#N/A</v>
      </c>
      <c r="R1359" s="93" t="str">
        <f>VLOOKUP(F1359,DATABASE!C:Q,4,false)</f>
        <v>#N/A</v>
      </c>
      <c r="S1359" s="93" t="str">
        <f>VLOOKUP(F1359,DATABASE!C:P,11,false)</f>
        <v>#N/A</v>
      </c>
      <c r="T1359" s="93" t="str">
        <f>vlookup(F1359,DATABASE!C:Q,8,false)</f>
        <v>#N/A</v>
      </c>
      <c r="Z1359" s="9"/>
    </row>
    <row r="1360" ht="22.5" customHeight="1">
      <c r="A1360" s="49"/>
      <c r="C1360" s="384"/>
      <c r="D1360" s="93"/>
      <c r="F1360" s="74"/>
      <c r="H1360" s="74"/>
      <c r="I1360" s="74"/>
      <c r="J1360" s="74"/>
      <c r="K1360" s="74" t="str">
        <f>if(F1360="SERVICE",O1360-(O1360*50%),Vlookup(F1360,DATABASE!C:Q,10,false)*G1360)</f>
        <v>#N/A</v>
      </c>
      <c r="L1360" s="74" t="str">
        <f>VLOOKUP(F1360,DATABASE!C:Q,7,FALSE)</f>
        <v>#N/A</v>
      </c>
      <c r="M1360" s="74"/>
      <c r="N1360" s="74">
        <f t="shared" si="11"/>
        <v>0</v>
      </c>
      <c r="O1360" s="74">
        <f t="shared" si="13"/>
        <v>0</v>
      </c>
      <c r="P1360" s="63">
        <f t="shared" si="14"/>
        <v>0</v>
      </c>
      <c r="Q1360" s="63" t="str">
        <f t="shared" si="15"/>
        <v>#N/A</v>
      </c>
      <c r="R1360" s="93" t="str">
        <f>VLOOKUP(F1360,DATABASE!C:Q,4,false)</f>
        <v>#N/A</v>
      </c>
      <c r="S1360" s="93" t="str">
        <f>VLOOKUP(F1360,DATABASE!C:P,11,false)</f>
        <v>#N/A</v>
      </c>
      <c r="T1360" s="93" t="str">
        <f>vlookup(F1360,DATABASE!C:Q,8,false)</f>
        <v>#N/A</v>
      </c>
      <c r="Z1360" s="9"/>
    </row>
    <row r="1361" ht="22.5" customHeight="1">
      <c r="A1361" s="49"/>
      <c r="C1361" s="384"/>
      <c r="D1361" s="93"/>
      <c r="F1361" s="74"/>
      <c r="H1361" s="74"/>
      <c r="I1361" s="74"/>
      <c r="J1361" s="74"/>
      <c r="K1361" s="74" t="str">
        <f>if(F1361="SERVICE",O1361-(O1361*50%),Vlookup(F1361,DATABASE!C:Q,10,false)*G1361)</f>
        <v>#N/A</v>
      </c>
      <c r="L1361" s="74" t="str">
        <f>VLOOKUP(F1361,DATABASE!C:Q,7,FALSE)</f>
        <v>#N/A</v>
      </c>
      <c r="M1361" s="74"/>
      <c r="N1361" s="74">
        <f t="shared" si="11"/>
        <v>0</v>
      </c>
      <c r="O1361" s="74">
        <f t="shared" si="13"/>
        <v>0</v>
      </c>
      <c r="P1361" s="63">
        <f t="shared" si="14"/>
        <v>0</v>
      </c>
      <c r="Q1361" s="63" t="str">
        <f t="shared" si="15"/>
        <v>#N/A</v>
      </c>
      <c r="R1361" s="93" t="str">
        <f>VLOOKUP(F1361,DATABASE!C:Q,4,false)</f>
        <v>#N/A</v>
      </c>
      <c r="S1361" s="93" t="str">
        <f>VLOOKUP(F1361,DATABASE!C:P,11,false)</f>
        <v>#N/A</v>
      </c>
      <c r="T1361" s="93" t="str">
        <f>vlookup(F1361,DATABASE!C:Q,8,false)</f>
        <v>#N/A</v>
      </c>
      <c r="Z1361" s="9"/>
    </row>
    <row r="1362" ht="22.5" customHeight="1">
      <c r="A1362" s="49"/>
      <c r="C1362" s="384"/>
      <c r="D1362" s="93"/>
      <c r="F1362" s="74"/>
      <c r="H1362" s="74"/>
      <c r="I1362" s="74"/>
      <c r="J1362" s="74"/>
      <c r="K1362" s="74" t="str">
        <f>if(F1362="SERVICE",O1362-(O1362*50%),Vlookup(F1362,DATABASE!C:Q,10,false)*G1362)</f>
        <v>#N/A</v>
      </c>
      <c r="L1362" s="74" t="str">
        <f>VLOOKUP(F1362,DATABASE!C:Q,7,FALSE)</f>
        <v>#N/A</v>
      </c>
      <c r="M1362" s="74"/>
      <c r="N1362" s="74">
        <f t="shared" si="11"/>
        <v>0</v>
      </c>
      <c r="O1362" s="74">
        <f t="shared" si="13"/>
        <v>0</v>
      </c>
      <c r="P1362" s="63">
        <f t="shared" si="14"/>
        <v>0</v>
      </c>
      <c r="Q1362" s="63" t="str">
        <f t="shared" si="15"/>
        <v>#N/A</v>
      </c>
      <c r="R1362" s="93" t="str">
        <f>VLOOKUP(F1362,DATABASE!C:Q,4,false)</f>
        <v>#N/A</v>
      </c>
      <c r="S1362" s="93" t="str">
        <f>VLOOKUP(F1362,DATABASE!C:P,11,false)</f>
        <v>#N/A</v>
      </c>
      <c r="T1362" s="93" t="str">
        <f>vlookup(F1362,DATABASE!C:Q,8,false)</f>
        <v>#N/A</v>
      </c>
      <c r="Z1362" s="9"/>
    </row>
    <row r="1363" ht="22.5" customHeight="1">
      <c r="A1363" s="49"/>
      <c r="C1363" s="384"/>
      <c r="D1363" s="93"/>
      <c r="F1363" s="74"/>
      <c r="H1363" s="74"/>
      <c r="I1363" s="74"/>
      <c r="J1363" s="74"/>
      <c r="K1363" s="74" t="str">
        <f>if(F1363="SERVICE",O1363-(O1363*50%),Vlookup(F1363,DATABASE!C:Q,10,false)*G1363)</f>
        <v>#N/A</v>
      </c>
      <c r="L1363" s="74" t="str">
        <f>VLOOKUP(F1363,DATABASE!C:Q,7,FALSE)</f>
        <v>#N/A</v>
      </c>
      <c r="M1363" s="74"/>
      <c r="N1363" s="74">
        <f t="shared" si="11"/>
        <v>0</v>
      </c>
      <c r="O1363" s="74">
        <f t="shared" si="13"/>
        <v>0</v>
      </c>
      <c r="P1363" s="63">
        <f t="shared" si="14"/>
        <v>0</v>
      </c>
      <c r="Q1363" s="63" t="str">
        <f t="shared" si="15"/>
        <v>#N/A</v>
      </c>
      <c r="R1363" s="93" t="str">
        <f>VLOOKUP(F1363,DATABASE!C:Q,4,false)</f>
        <v>#N/A</v>
      </c>
      <c r="S1363" s="93" t="str">
        <f>VLOOKUP(F1363,DATABASE!C:P,11,false)</f>
        <v>#N/A</v>
      </c>
      <c r="T1363" s="93" t="str">
        <f>vlookup(F1363,DATABASE!C:Q,8,false)</f>
        <v>#N/A</v>
      </c>
      <c r="Z1363" s="9"/>
    </row>
    <row r="1364" ht="22.5" customHeight="1">
      <c r="A1364" s="49"/>
      <c r="C1364" s="384"/>
      <c r="D1364" s="93"/>
      <c r="F1364" s="74"/>
      <c r="H1364" s="74"/>
      <c r="I1364" s="74"/>
      <c r="J1364" s="74"/>
      <c r="K1364" s="74" t="str">
        <f>if(F1364="SERVICE",O1364-(O1364*50%),Vlookup(F1364,DATABASE!C:Q,10,false)*G1364)</f>
        <v>#N/A</v>
      </c>
      <c r="L1364" s="74" t="str">
        <f>VLOOKUP(F1364,DATABASE!C:Q,7,FALSE)</f>
        <v>#N/A</v>
      </c>
      <c r="M1364" s="74"/>
      <c r="N1364" s="74">
        <f t="shared" si="11"/>
        <v>0</v>
      </c>
      <c r="O1364" s="74">
        <f t="shared" si="13"/>
        <v>0</v>
      </c>
      <c r="P1364" s="63">
        <f t="shared" si="14"/>
        <v>0</v>
      </c>
      <c r="Q1364" s="63" t="str">
        <f t="shared" si="15"/>
        <v>#N/A</v>
      </c>
      <c r="R1364" s="93" t="str">
        <f>VLOOKUP(F1364,DATABASE!C:Q,4,false)</f>
        <v>#N/A</v>
      </c>
      <c r="S1364" s="93" t="str">
        <f>VLOOKUP(F1364,DATABASE!C:P,11,false)</f>
        <v>#N/A</v>
      </c>
      <c r="T1364" s="93" t="str">
        <f>vlookup(F1364,DATABASE!C:Q,8,false)</f>
        <v>#N/A</v>
      </c>
      <c r="Z1364" s="9"/>
    </row>
    <row r="1365" ht="22.5" customHeight="1">
      <c r="A1365" s="49"/>
      <c r="C1365" s="384"/>
      <c r="D1365" s="93"/>
      <c r="F1365" s="74"/>
      <c r="H1365" s="74"/>
      <c r="I1365" s="74"/>
      <c r="J1365" s="74"/>
      <c r="K1365" s="74" t="str">
        <f>if(F1365="SERVICE",O1365-(O1365*50%),Vlookup(F1365,DATABASE!C:Q,10,false)*G1365)</f>
        <v>#N/A</v>
      </c>
      <c r="L1365" s="74" t="str">
        <f>VLOOKUP(F1365,DATABASE!C:Q,7,FALSE)</f>
        <v>#N/A</v>
      </c>
      <c r="M1365" s="74"/>
      <c r="N1365" s="74">
        <f t="shared" si="11"/>
        <v>0</v>
      </c>
      <c r="O1365" s="74">
        <f t="shared" si="13"/>
        <v>0</v>
      </c>
      <c r="P1365" s="63">
        <f t="shared" si="14"/>
        <v>0</v>
      </c>
      <c r="Q1365" s="63" t="str">
        <f t="shared" si="15"/>
        <v>#N/A</v>
      </c>
      <c r="R1365" s="93" t="str">
        <f>VLOOKUP(F1365,DATABASE!C:Q,4,false)</f>
        <v>#N/A</v>
      </c>
      <c r="S1365" s="93" t="str">
        <f>VLOOKUP(F1365,DATABASE!C:P,11,false)</f>
        <v>#N/A</v>
      </c>
      <c r="T1365" s="93" t="str">
        <f>vlookup(F1365,DATABASE!C:Q,8,false)</f>
        <v>#N/A</v>
      </c>
      <c r="Z1365" s="9"/>
    </row>
    <row r="1366" ht="22.5" customHeight="1">
      <c r="A1366" s="49"/>
      <c r="C1366" s="384"/>
      <c r="D1366" s="93"/>
      <c r="F1366" s="74"/>
      <c r="H1366" s="74"/>
      <c r="I1366" s="74"/>
      <c r="J1366" s="74"/>
      <c r="K1366" s="74" t="str">
        <f>if(F1366="SERVICE",O1366-(O1366*50%),Vlookup(F1366,DATABASE!C:Q,10,false)*G1366)</f>
        <v>#N/A</v>
      </c>
      <c r="L1366" s="74" t="str">
        <f>VLOOKUP(F1366,DATABASE!C:Q,7,FALSE)</f>
        <v>#N/A</v>
      </c>
      <c r="M1366" s="74"/>
      <c r="N1366" s="74">
        <f t="shared" si="11"/>
        <v>0</v>
      </c>
      <c r="O1366" s="74">
        <f t="shared" si="13"/>
        <v>0</v>
      </c>
      <c r="P1366" s="63">
        <f t="shared" si="14"/>
        <v>0</v>
      </c>
      <c r="Q1366" s="63" t="str">
        <f t="shared" si="15"/>
        <v>#N/A</v>
      </c>
      <c r="R1366" s="93" t="str">
        <f>VLOOKUP(F1366,DATABASE!C:Q,4,false)</f>
        <v>#N/A</v>
      </c>
      <c r="S1366" s="93" t="str">
        <f>VLOOKUP(F1366,DATABASE!C:P,11,false)</f>
        <v>#N/A</v>
      </c>
      <c r="T1366" s="93" t="str">
        <f>vlookup(F1366,DATABASE!C:Q,8,false)</f>
        <v>#N/A</v>
      </c>
      <c r="Z1366" s="9"/>
    </row>
    <row r="1367" ht="22.5" customHeight="1">
      <c r="A1367" s="49"/>
      <c r="C1367" s="384"/>
      <c r="D1367" s="93"/>
      <c r="F1367" s="74"/>
      <c r="H1367" s="74"/>
      <c r="I1367" s="74"/>
      <c r="J1367" s="74"/>
      <c r="K1367" s="74" t="str">
        <f>if(F1367="SERVICE",O1367-(O1367*50%),Vlookup(F1367,DATABASE!C:Q,10,false)*G1367)</f>
        <v>#N/A</v>
      </c>
      <c r="L1367" s="74" t="str">
        <f>VLOOKUP(F1367,DATABASE!C:Q,7,FALSE)</f>
        <v>#N/A</v>
      </c>
      <c r="M1367" s="74"/>
      <c r="N1367" s="74">
        <f t="shared" si="11"/>
        <v>0</v>
      </c>
      <c r="O1367" s="74">
        <f t="shared" si="13"/>
        <v>0</v>
      </c>
      <c r="P1367" s="63">
        <f t="shared" si="14"/>
        <v>0</v>
      </c>
      <c r="Q1367" s="63" t="str">
        <f t="shared" si="15"/>
        <v>#N/A</v>
      </c>
      <c r="R1367" s="93" t="str">
        <f>VLOOKUP(F1367,DATABASE!C:Q,4,false)</f>
        <v>#N/A</v>
      </c>
      <c r="S1367" s="93" t="str">
        <f>VLOOKUP(F1367,DATABASE!C:P,11,false)</f>
        <v>#N/A</v>
      </c>
      <c r="T1367" s="93" t="str">
        <f>vlookup(F1367,DATABASE!C:Q,8,false)</f>
        <v>#N/A</v>
      </c>
      <c r="Z1367" s="9"/>
    </row>
    <row r="1368" ht="22.5" customHeight="1">
      <c r="A1368" s="49"/>
      <c r="C1368" s="384"/>
      <c r="D1368" s="93"/>
      <c r="F1368" s="74"/>
      <c r="H1368" s="74"/>
      <c r="I1368" s="74"/>
      <c r="J1368" s="74"/>
      <c r="K1368" s="74" t="str">
        <f>if(F1368="SERVICE",O1368-(O1368*50%),Vlookup(F1368,DATABASE!C:Q,10,false)*G1368)</f>
        <v>#N/A</v>
      </c>
      <c r="L1368" s="74" t="str">
        <f>VLOOKUP(F1368,DATABASE!C:Q,7,FALSE)</f>
        <v>#N/A</v>
      </c>
      <c r="M1368" s="74"/>
      <c r="N1368" s="74">
        <f t="shared" si="11"/>
        <v>0</v>
      </c>
      <c r="O1368" s="74">
        <f t="shared" si="13"/>
        <v>0</v>
      </c>
      <c r="P1368" s="63">
        <f t="shared" si="14"/>
        <v>0</v>
      </c>
      <c r="Q1368" s="63" t="str">
        <f t="shared" si="15"/>
        <v>#N/A</v>
      </c>
      <c r="R1368" s="93" t="str">
        <f>VLOOKUP(F1368,DATABASE!C:Q,4,false)</f>
        <v>#N/A</v>
      </c>
      <c r="S1368" s="93" t="str">
        <f>VLOOKUP(F1368,DATABASE!C:P,11,false)</f>
        <v>#N/A</v>
      </c>
      <c r="T1368" s="93" t="str">
        <f>vlookup(F1368,DATABASE!C:Q,8,false)</f>
        <v>#N/A</v>
      </c>
      <c r="Z1368" s="9"/>
    </row>
    <row r="1369" ht="22.5" customHeight="1">
      <c r="A1369" s="49"/>
      <c r="C1369" s="384"/>
      <c r="D1369" s="93"/>
      <c r="F1369" s="74"/>
      <c r="H1369" s="74"/>
      <c r="I1369" s="74"/>
      <c r="J1369" s="74"/>
      <c r="K1369" s="74" t="str">
        <f>if(F1369="SERVICE",O1369-(O1369*50%),Vlookup(F1369,DATABASE!C:Q,10,false)*G1369)</f>
        <v>#N/A</v>
      </c>
      <c r="L1369" s="74" t="str">
        <f>VLOOKUP(F1369,DATABASE!C:Q,7,FALSE)</f>
        <v>#N/A</v>
      </c>
      <c r="M1369" s="74"/>
      <c r="N1369" s="74">
        <f t="shared" si="11"/>
        <v>0</v>
      </c>
      <c r="O1369" s="74">
        <f t="shared" si="13"/>
        <v>0</v>
      </c>
      <c r="P1369" s="63">
        <f t="shared" si="14"/>
        <v>0</v>
      </c>
      <c r="Q1369" s="63" t="str">
        <f t="shared" si="15"/>
        <v>#N/A</v>
      </c>
      <c r="R1369" s="93" t="str">
        <f>VLOOKUP(F1369,DATABASE!C:Q,4,false)</f>
        <v>#N/A</v>
      </c>
      <c r="S1369" s="93" t="str">
        <f>VLOOKUP(F1369,DATABASE!C:P,11,false)</f>
        <v>#N/A</v>
      </c>
      <c r="T1369" s="93" t="str">
        <f>vlookup(F1369,DATABASE!C:Q,8,false)</f>
        <v>#N/A</v>
      </c>
      <c r="Z1369" s="9"/>
    </row>
    <row r="1370" ht="22.5" customHeight="1">
      <c r="A1370" s="49"/>
      <c r="C1370" s="384"/>
      <c r="D1370" s="93"/>
      <c r="F1370" s="74"/>
      <c r="H1370" s="74"/>
      <c r="I1370" s="74"/>
      <c r="J1370" s="74"/>
      <c r="K1370" s="74" t="str">
        <f>if(F1370="SERVICE",O1370-(O1370*50%),Vlookup(F1370,DATABASE!C:Q,10,false)*G1370)</f>
        <v>#N/A</v>
      </c>
      <c r="L1370" s="74" t="str">
        <f>VLOOKUP(F1370,DATABASE!C:Q,7,FALSE)</f>
        <v>#N/A</v>
      </c>
      <c r="M1370" s="74"/>
      <c r="N1370" s="74">
        <f t="shared" si="11"/>
        <v>0</v>
      </c>
      <c r="O1370" s="74">
        <f t="shared" si="13"/>
        <v>0</v>
      </c>
      <c r="P1370" s="63">
        <f t="shared" si="14"/>
        <v>0</v>
      </c>
      <c r="Q1370" s="63" t="str">
        <f t="shared" si="15"/>
        <v>#N/A</v>
      </c>
      <c r="R1370" s="93" t="str">
        <f>VLOOKUP(F1370,DATABASE!C:Q,4,false)</f>
        <v>#N/A</v>
      </c>
      <c r="S1370" s="93" t="str">
        <f>VLOOKUP(F1370,DATABASE!C:P,11,false)</f>
        <v>#N/A</v>
      </c>
      <c r="T1370" s="93" t="str">
        <f>vlookup(F1370,DATABASE!C:Q,8,false)</f>
        <v>#N/A</v>
      </c>
      <c r="Z1370" s="9"/>
    </row>
    <row r="1371" ht="22.5" customHeight="1">
      <c r="A1371" s="49"/>
      <c r="C1371" s="384"/>
      <c r="D1371" s="93"/>
      <c r="F1371" s="74"/>
      <c r="H1371" s="74"/>
      <c r="I1371" s="74"/>
      <c r="J1371" s="74"/>
      <c r="K1371" s="74" t="str">
        <f>if(F1371="SERVICE",O1371-(O1371*50%),Vlookup(F1371,DATABASE!C:Q,10,false)*G1371)</f>
        <v>#N/A</v>
      </c>
      <c r="L1371" s="74" t="str">
        <f>VLOOKUP(F1371,DATABASE!C:Q,7,FALSE)</f>
        <v>#N/A</v>
      </c>
      <c r="M1371" s="74"/>
      <c r="N1371" s="74">
        <f t="shared" si="11"/>
        <v>0</v>
      </c>
      <c r="O1371" s="74">
        <f t="shared" si="13"/>
        <v>0</v>
      </c>
      <c r="P1371" s="63">
        <f t="shared" si="14"/>
        <v>0</v>
      </c>
      <c r="Q1371" s="63" t="str">
        <f t="shared" si="15"/>
        <v>#N/A</v>
      </c>
      <c r="R1371" s="93" t="str">
        <f>VLOOKUP(F1371,DATABASE!C:Q,4,false)</f>
        <v>#N/A</v>
      </c>
      <c r="S1371" s="93" t="str">
        <f>VLOOKUP(F1371,DATABASE!C:P,11,false)</f>
        <v>#N/A</v>
      </c>
      <c r="T1371" s="93" t="str">
        <f>vlookup(F1371,DATABASE!C:Q,8,false)</f>
        <v>#N/A</v>
      </c>
      <c r="Z1371" s="9"/>
    </row>
    <row r="1372" ht="22.5" customHeight="1">
      <c r="A1372" s="49"/>
      <c r="C1372" s="384"/>
      <c r="D1372" s="93"/>
      <c r="F1372" s="74"/>
      <c r="H1372" s="74"/>
      <c r="I1372" s="74"/>
      <c r="J1372" s="74"/>
      <c r="K1372" s="74" t="str">
        <f>if(F1372="SERVICE",O1372-(O1372*50%),Vlookup(F1372,DATABASE!C:Q,10,false)*G1372)</f>
        <v>#N/A</v>
      </c>
      <c r="L1372" s="74" t="str">
        <f>VLOOKUP(F1372,DATABASE!C:Q,7,FALSE)</f>
        <v>#N/A</v>
      </c>
      <c r="M1372" s="74"/>
      <c r="N1372" s="74">
        <f t="shared" si="11"/>
        <v>0</v>
      </c>
      <c r="O1372" s="74">
        <f t="shared" si="13"/>
        <v>0</v>
      </c>
      <c r="P1372" s="63">
        <f t="shared" si="14"/>
        <v>0</v>
      </c>
      <c r="Q1372" s="63" t="str">
        <f t="shared" si="15"/>
        <v>#N/A</v>
      </c>
      <c r="R1372" s="93" t="str">
        <f>VLOOKUP(F1372,DATABASE!C:Q,4,false)</f>
        <v>#N/A</v>
      </c>
      <c r="S1372" s="93" t="str">
        <f>VLOOKUP(F1372,DATABASE!C:P,11,false)</f>
        <v>#N/A</v>
      </c>
      <c r="T1372" s="93" t="str">
        <f>vlookup(F1372,DATABASE!C:Q,8,false)</f>
        <v>#N/A</v>
      </c>
      <c r="Z1372" s="9"/>
    </row>
    <row r="1373" ht="22.5" customHeight="1">
      <c r="A1373" s="49"/>
      <c r="C1373" s="384"/>
      <c r="D1373" s="93"/>
      <c r="F1373" s="74"/>
      <c r="H1373" s="74"/>
      <c r="I1373" s="74"/>
      <c r="J1373" s="74"/>
      <c r="K1373" s="74" t="str">
        <f>if(F1373="SERVICE",O1373-(O1373*50%),Vlookup(F1373,DATABASE!C:Q,10,false)*G1373)</f>
        <v>#N/A</v>
      </c>
      <c r="L1373" s="74" t="str">
        <f>VLOOKUP(F1373,DATABASE!C:Q,7,FALSE)</f>
        <v>#N/A</v>
      </c>
      <c r="M1373" s="74"/>
      <c r="N1373" s="74">
        <f t="shared" si="11"/>
        <v>0</v>
      </c>
      <c r="O1373" s="74">
        <f t="shared" si="13"/>
        <v>0</v>
      </c>
      <c r="P1373" s="63">
        <f t="shared" si="14"/>
        <v>0</v>
      </c>
      <c r="Q1373" s="63" t="str">
        <f t="shared" si="15"/>
        <v>#N/A</v>
      </c>
      <c r="R1373" s="93" t="str">
        <f>VLOOKUP(F1373,DATABASE!C:Q,4,false)</f>
        <v>#N/A</v>
      </c>
      <c r="S1373" s="93" t="str">
        <f>VLOOKUP(F1373,DATABASE!C:P,11,false)</f>
        <v>#N/A</v>
      </c>
      <c r="T1373" s="93" t="str">
        <f>vlookup(F1373,DATABASE!C:Q,8,false)</f>
        <v>#N/A</v>
      </c>
      <c r="Z1373" s="9"/>
    </row>
    <row r="1374" ht="22.5" customHeight="1">
      <c r="A1374" s="49"/>
      <c r="C1374" s="384"/>
      <c r="D1374" s="93"/>
      <c r="F1374" s="74"/>
      <c r="H1374" s="74"/>
      <c r="I1374" s="74"/>
      <c r="J1374" s="74"/>
      <c r="K1374" s="74" t="str">
        <f>if(F1374="SERVICE",O1374-(O1374*50%),Vlookup(F1374,DATABASE!C:Q,10,false)*G1374)</f>
        <v>#N/A</v>
      </c>
      <c r="L1374" s="74" t="str">
        <f>VLOOKUP(F1374,DATABASE!C:Q,7,FALSE)</f>
        <v>#N/A</v>
      </c>
      <c r="M1374" s="74"/>
      <c r="N1374" s="74">
        <f t="shared" si="11"/>
        <v>0</v>
      </c>
      <c r="O1374" s="74">
        <f t="shared" si="13"/>
        <v>0</v>
      </c>
      <c r="P1374" s="63">
        <f t="shared" si="14"/>
        <v>0</v>
      </c>
      <c r="Q1374" s="63" t="str">
        <f t="shared" si="15"/>
        <v>#N/A</v>
      </c>
      <c r="R1374" s="93" t="str">
        <f>VLOOKUP(F1374,DATABASE!C:Q,4,false)</f>
        <v>#N/A</v>
      </c>
      <c r="S1374" s="93" t="str">
        <f>VLOOKUP(F1374,DATABASE!C:P,11,false)</f>
        <v>#N/A</v>
      </c>
      <c r="T1374" s="93" t="str">
        <f>vlookup(F1374,DATABASE!C:Q,8,false)</f>
        <v>#N/A</v>
      </c>
      <c r="Z1374" s="9"/>
    </row>
    <row r="1375" ht="22.5" customHeight="1">
      <c r="A1375" s="49"/>
      <c r="C1375" s="384"/>
      <c r="D1375" s="93"/>
      <c r="F1375" s="74"/>
      <c r="H1375" s="74"/>
      <c r="I1375" s="74"/>
      <c r="J1375" s="74"/>
      <c r="K1375" s="74" t="str">
        <f>if(F1375="SERVICE",O1375-(O1375*50%),Vlookup(F1375,DATABASE!C:Q,10,false)*G1375)</f>
        <v>#N/A</v>
      </c>
      <c r="L1375" s="74" t="str">
        <f>VLOOKUP(F1375,DATABASE!C:Q,7,FALSE)</f>
        <v>#N/A</v>
      </c>
      <c r="M1375" s="74"/>
      <c r="N1375" s="74">
        <f t="shared" si="11"/>
        <v>0</v>
      </c>
      <c r="O1375" s="74">
        <f t="shared" si="13"/>
        <v>0</v>
      </c>
      <c r="P1375" s="63">
        <f t="shared" si="14"/>
        <v>0</v>
      </c>
      <c r="Q1375" s="63" t="str">
        <f t="shared" si="15"/>
        <v>#N/A</v>
      </c>
      <c r="R1375" s="93" t="str">
        <f>VLOOKUP(F1375,DATABASE!C:Q,4,false)</f>
        <v>#N/A</v>
      </c>
      <c r="S1375" s="93" t="str">
        <f>VLOOKUP(F1375,DATABASE!C:P,11,false)</f>
        <v>#N/A</v>
      </c>
      <c r="T1375" s="93" t="str">
        <f>vlookup(F1375,DATABASE!C:Q,8,false)</f>
        <v>#N/A</v>
      </c>
      <c r="Z1375" s="9"/>
    </row>
    <row r="1376" ht="22.5" customHeight="1">
      <c r="A1376" s="49"/>
      <c r="C1376" s="384"/>
      <c r="D1376" s="93"/>
      <c r="F1376" s="74"/>
      <c r="H1376" s="74"/>
      <c r="I1376" s="74"/>
      <c r="J1376" s="74"/>
      <c r="K1376" s="74" t="str">
        <f>if(F1376="SERVICE",O1376-(O1376*50%),Vlookup(F1376,DATABASE!C:Q,10,false)*G1376)</f>
        <v>#N/A</v>
      </c>
      <c r="L1376" s="74" t="str">
        <f>VLOOKUP(F1376,DATABASE!C:Q,7,FALSE)</f>
        <v>#N/A</v>
      </c>
      <c r="M1376" s="74"/>
      <c r="N1376" s="74">
        <f t="shared" si="11"/>
        <v>0</v>
      </c>
      <c r="O1376" s="74">
        <f t="shared" si="13"/>
        <v>0</v>
      </c>
      <c r="P1376" s="63">
        <f t="shared" si="14"/>
        <v>0</v>
      </c>
      <c r="Q1376" s="63" t="str">
        <f t="shared" si="15"/>
        <v>#N/A</v>
      </c>
      <c r="R1376" s="93" t="str">
        <f>VLOOKUP(F1376,DATABASE!C:Q,4,false)</f>
        <v>#N/A</v>
      </c>
      <c r="S1376" s="93" t="str">
        <f>VLOOKUP(F1376,DATABASE!C:P,11,false)</f>
        <v>#N/A</v>
      </c>
      <c r="T1376" s="93" t="str">
        <f>vlookup(F1376,DATABASE!C:Q,8,false)</f>
        <v>#N/A</v>
      </c>
      <c r="Z1376" s="9"/>
    </row>
    <row r="1377" ht="22.5" customHeight="1">
      <c r="A1377" s="49"/>
      <c r="C1377" s="384"/>
      <c r="D1377" s="93"/>
      <c r="F1377" s="74"/>
      <c r="H1377" s="74"/>
      <c r="I1377" s="74"/>
      <c r="J1377" s="74"/>
      <c r="K1377" s="74" t="str">
        <f>if(F1377="SERVICE",O1377-(O1377*50%),Vlookup(F1377,DATABASE!C:Q,10,false)*G1377)</f>
        <v>#N/A</v>
      </c>
      <c r="L1377" s="74" t="str">
        <f>VLOOKUP(F1377,DATABASE!C:Q,7,FALSE)</f>
        <v>#N/A</v>
      </c>
      <c r="M1377" s="74"/>
      <c r="N1377" s="74">
        <f t="shared" si="11"/>
        <v>0</v>
      </c>
      <c r="O1377" s="74">
        <f t="shared" si="13"/>
        <v>0</v>
      </c>
      <c r="P1377" s="63">
        <f t="shared" si="14"/>
        <v>0</v>
      </c>
      <c r="Q1377" s="63" t="str">
        <f t="shared" si="15"/>
        <v>#N/A</v>
      </c>
      <c r="R1377" s="93" t="str">
        <f>VLOOKUP(F1377,DATABASE!C:Q,4,false)</f>
        <v>#N/A</v>
      </c>
      <c r="S1377" s="93" t="str">
        <f>VLOOKUP(F1377,DATABASE!C:P,11,false)</f>
        <v>#N/A</v>
      </c>
      <c r="T1377" s="93" t="str">
        <f>vlookup(F1377,DATABASE!C:Q,8,false)</f>
        <v>#N/A</v>
      </c>
      <c r="Z1377" s="9"/>
    </row>
    <row r="1378" ht="22.5" customHeight="1">
      <c r="A1378" s="49"/>
      <c r="C1378" s="384"/>
      <c r="D1378" s="93"/>
      <c r="F1378" s="74"/>
      <c r="H1378" s="74"/>
      <c r="I1378" s="74"/>
      <c r="J1378" s="74"/>
      <c r="K1378" s="74" t="str">
        <f>if(F1378="SERVICE",O1378-(O1378*50%),Vlookup(F1378,DATABASE!C:Q,10,false)*G1378)</f>
        <v>#N/A</v>
      </c>
      <c r="L1378" s="74" t="str">
        <f>VLOOKUP(F1378,DATABASE!C:Q,7,FALSE)</f>
        <v>#N/A</v>
      </c>
      <c r="M1378" s="74"/>
      <c r="N1378" s="74">
        <f t="shared" si="11"/>
        <v>0</v>
      </c>
      <c r="O1378" s="74">
        <f t="shared" si="13"/>
        <v>0</v>
      </c>
      <c r="P1378" s="63">
        <f t="shared" si="14"/>
        <v>0</v>
      </c>
      <c r="Q1378" s="63" t="str">
        <f t="shared" si="15"/>
        <v>#N/A</v>
      </c>
      <c r="R1378" s="93" t="str">
        <f>VLOOKUP(F1378,DATABASE!C:Q,4,false)</f>
        <v>#N/A</v>
      </c>
      <c r="S1378" s="93" t="str">
        <f>VLOOKUP(F1378,DATABASE!C:P,11,false)</f>
        <v>#N/A</v>
      </c>
      <c r="T1378" s="93" t="str">
        <f>vlookup(F1378,DATABASE!C:Q,8,false)</f>
        <v>#N/A</v>
      </c>
      <c r="Z1378" s="9"/>
    </row>
    <row r="1379" ht="22.5" customHeight="1">
      <c r="A1379" s="49"/>
      <c r="C1379" s="384"/>
      <c r="D1379" s="93"/>
      <c r="F1379" s="74"/>
      <c r="H1379" s="74"/>
      <c r="I1379" s="74"/>
      <c r="J1379" s="74"/>
      <c r="K1379" s="74" t="str">
        <f>if(F1379="SERVICE",O1379-(O1379*50%),Vlookup(F1379,DATABASE!C:Q,10,false)*G1379)</f>
        <v>#N/A</v>
      </c>
      <c r="L1379" s="74" t="str">
        <f>VLOOKUP(F1379,DATABASE!C:Q,7,FALSE)</f>
        <v>#N/A</v>
      </c>
      <c r="M1379" s="74"/>
      <c r="N1379" s="74">
        <f t="shared" si="11"/>
        <v>0</v>
      </c>
      <c r="O1379" s="74">
        <f t="shared" si="13"/>
        <v>0</v>
      </c>
      <c r="P1379" s="63">
        <f t="shared" si="14"/>
        <v>0</v>
      </c>
      <c r="Q1379" s="63" t="str">
        <f t="shared" si="15"/>
        <v>#N/A</v>
      </c>
      <c r="R1379" s="93" t="str">
        <f>VLOOKUP(F1379,DATABASE!C:Q,4,false)</f>
        <v>#N/A</v>
      </c>
      <c r="S1379" s="93" t="str">
        <f>VLOOKUP(F1379,DATABASE!C:P,11,false)</f>
        <v>#N/A</v>
      </c>
      <c r="T1379" s="93" t="str">
        <f>vlookup(F1379,DATABASE!C:Q,8,false)</f>
        <v>#N/A</v>
      </c>
      <c r="Z1379" s="9"/>
    </row>
    <row r="1380" ht="22.5" customHeight="1">
      <c r="A1380" s="49"/>
      <c r="C1380" s="384"/>
      <c r="D1380" s="93"/>
      <c r="F1380" s="74"/>
      <c r="H1380" s="74"/>
      <c r="I1380" s="74"/>
      <c r="J1380" s="74"/>
      <c r="K1380" s="74" t="str">
        <f>if(F1380="SERVICE",O1380-(O1380*50%),Vlookup(F1380,DATABASE!C:Q,10,false)*G1380)</f>
        <v>#N/A</v>
      </c>
      <c r="L1380" s="74" t="str">
        <f>VLOOKUP(F1380,DATABASE!C:Q,7,FALSE)</f>
        <v>#N/A</v>
      </c>
      <c r="M1380" s="74"/>
      <c r="N1380" s="74">
        <f t="shared" si="11"/>
        <v>0</v>
      </c>
      <c r="O1380" s="74">
        <f t="shared" si="13"/>
        <v>0</v>
      </c>
      <c r="P1380" s="63">
        <f t="shared" si="14"/>
        <v>0</v>
      </c>
      <c r="Q1380" s="63" t="str">
        <f t="shared" si="15"/>
        <v>#N/A</v>
      </c>
      <c r="R1380" s="93" t="str">
        <f>VLOOKUP(F1380,DATABASE!C:Q,4,false)</f>
        <v>#N/A</v>
      </c>
      <c r="S1380" s="93" t="str">
        <f>VLOOKUP(F1380,DATABASE!C:P,11,false)</f>
        <v>#N/A</v>
      </c>
      <c r="T1380" s="93" t="str">
        <f>vlookup(F1380,DATABASE!C:Q,8,false)</f>
        <v>#N/A</v>
      </c>
      <c r="Z1380" s="9"/>
    </row>
    <row r="1381" ht="22.5" customHeight="1">
      <c r="A1381" s="49"/>
      <c r="C1381" s="384"/>
      <c r="D1381" s="93"/>
      <c r="F1381" s="74"/>
      <c r="H1381" s="74"/>
      <c r="I1381" s="74"/>
      <c r="J1381" s="74"/>
      <c r="K1381" s="74" t="str">
        <f>if(F1381="SERVICE",O1381-(O1381*50%),Vlookup(F1381,DATABASE!C:Q,10,false)*G1381)</f>
        <v>#N/A</v>
      </c>
      <c r="L1381" s="74" t="str">
        <f>VLOOKUP(F1381,DATABASE!C:Q,7,FALSE)</f>
        <v>#N/A</v>
      </c>
      <c r="M1381" s="74"/>
      <c r="N1381" s="74">
        <f t="shared" si="11"/>
        <v>0</v>
      </c>
      <c r="O1381" s="74">
        <f t="shared" si="13"/>
        <v>0</v>
      </c>
      <c r="P1381" s="63">
        <f t="shared" si="14"/>
        <v>0</v>
      </c>
      <c r="Q1381" s="63" t="str">
        <f t="shared" si="15"/>
        <v>#N/A</v>
      </c>
      <c r="R1381" s="93" t="str">
        <f>VLOOKUP(F1381,DATABASE!C:Q,4,false)</f>
        <v>#N/A</v>
      </c>
      <c r="S1381" s="93" t="str">
        <f>VLOOKUP(F1381,DATABASE!C:P,11,false)</f>
        <v>#N/A</v>
      </c>
      <c r="T1381" s="93" t="str">
        <f>vlookup(F1381,DATABASE!C:Q,8,false)</f>
        <v>#N/A</v>
      </c>
      <c r="Z1381" s="9"/>
    </row>
    <row r="1382" ht="22.5" customHeight="1">
      <c r="A1382" s="49"/>
      <c r="C1382" s="384"/>
      <c r="D1382" s="93"/>
      <c r="F1382" s="74"/>
      <c r="H1382" s="74"/>
      <c r="I1382" s="74"/>
      <c r="J1382" s="74"/>
      <c r="K1382" s="74" t="str">
        <f>if(F1382="SERVICE",O1382-(O1382*50%),Vlookup(F1382,DATABASE!C:Q,10,false)*G1382)</f>
        <v>#N/A</v>
      </c>
      <c r="L1382" s="74" t="str">
        <f>VLOOKUP(F1382,DATABASE!C:Q,7,FALSE)</f>
        <v>#N/A</v>
      </c>
      <c r="M1382" s="74"/>
      <c r="N1382" s="74">
        <f t="shared" si="11"/>
        <v>0</v>
      </c>
      <c r="O1382" s="74">
        <f t="shared" si="13"/>
        <v>0</v>
      </c>
      <c r="P1382" s="63">
        <f t="shared" si="14"/>
        <v>0</v>
      </c>
      <c r="Q1382" s="63" t="str">
        <f t="shared" si="15"/>
        <v>#N/A</v>
      </c>
      <c r="R1382" s="93" t="str">
        <f>VLOOKUP(F1382,DATABASE!C:Q,4,false)</f>
        <v>#N/A</v>
      </c>
      <c r="S1382" s="93" t="str">
        <f>VLOOKUP(F1382,DATABASE!C:P,11,false)</f>
        <v>#N/A</v>
      </c>
      <c r="T1382" s="93" t="str">
        <f>vlookup(F1382,DATABASE!C:Q,8,false)</f>
        <v>#N/A</v>
      </c>
      <c r="Z1382" s="9"/>
    </row>
    <row r="1383" ht="22.5" customHeight="1">
      <c r="A1383" s="49"/>
      <c r="C1383" s="384"/>
      <c r="D1383" s="93"/>
      <c r="F1383" s="74"/>
      <c r="H1383" s="74"/>
      <c r="I1383" s="74"/>
      <c r="J1383" s="74"/>
      <c r="K1383" s="74" t="str">
        <f>if(F1383="SERVICE",O1383-(O1383*50%),Vlookup(F1383,DATABASE!C:Q,10,false)*G1383)</f>
        <v>#N/A</v>
      </c>
      <c r="L1383" s="74" t="str">
        <f>VLOOKUP(F1383,DATABASE!C:Q,7,FALSE)</f>
        <v>#N/A</v>
      </c>
      <c r="M1383" s="74"/>
      <c r="N1383" s="74">
        <f t="shared" si="11"/>
        <v>0</v>
      </c>
      <c r="O1383" s="74">
        <f t="shared" si="13"/>
        <v>0</v>
      </c>
      <c r="P1383" s="63">
        <f t="shared" si="14"/>
        <v>0</v>
      </c>
      <c r="Q1383" s="63" t="str">
        <f t="shared" si="15"/>
        <v>#N/A</v>
      </c>
      <c r="R1383" s="93" t="str">
        <f>VLOOKUP(F1383,DATABASE!C:Q,4,false)</f>
        <v>#N/A</v>
      </c>
      <c r="S1383" s="93" t="str">
        <f>VLOOKUP(F1383,DATABASE!C:P,11,false)</f>
        <v>#N/A</v>
      </c>
      <c r="T1383" s="93" t="str">
        <f>vlookup(F1383,DATABASE!C:Q,8,false)</f>
        <v>#N/A</v>
      </c>
      <c r="Z1383" s="9"/>
    </row>
    <row r="1384" ht="22.5" customHeight="1">
      <c r="A1384" s="49"/>
      <c r="C1384" s="384"/>
      <c r="D1384" s="93"/>
      <c r="F1384" s="74"/>
      <c r="H1384" s="74"/>
      <c r="I1384" s="74"/>
      <c r="J1384" s="74"/>
      <c r="K1384" s="74" t="str">
        <f>if(F1384="SERVICE",O1384-(O1384*50%),Vlookup(F1384,DATABASE!C:Q,10,false)*G1384)</f>
        <v>#N/A</v>
      </c>
      <c r="L1384" s="74" t="str">
        <f>VLOOKUP(F1384,DATABASE!C:Q,7,FALSE)</f>
        <v>#N/A</v>
      </c>
      <c r="M1384" s="74"/>
      <c r="N1384" s="74">
        <f t="shared" si="11"/>
        <v>0</v>
      </c>
      <c r="O1384" s="74">
        <f t="shared" si="13"/>
        <v>0</v>
      </c>
      <c r="P1384" s="63">
        <f t="shared" si="14"/>
        <v>0</v>
      </c>
      <c r="Q1384" s="63" t="str">
        <f t="shared" si="15"/>
        <v>#N/A</v>
      </c>
      <c r="R1384" s="93" t="str">
        <f>VLOOKUP(F1384,DATABASE!C:Q,4,false)</f>
        <v>#N/A</v>
      </c>
      <c r="S1384" s="93" t="str">
        <f>VLOOKUP(F1384,DATABASE!C:P,11,false)</f>
        <v>#N/A</v>
      </c>
      <c r="T1384" s="93" t="str">
        <f>vlookup(F1384,DATABASE!C:Q,8,false)</f>
        <v>#N/A</v>
      </c>
      <c r="Z1384" s="9"/>
    </row>
    <row r="1385" ht="22.5" customHeight="1">
      <c r="A1385" s="49"/>
      <c r="C1385" s="384"/>
      <c r="D1385" s="93"/>
      <c r="F1385" s="74"/>
      <c r="H1385" s="74"/>
      <c r="I1385" s="74"/>
      <c r="J1385" s="74"/>
      <c r="K1385" s="74" t="str">
        <f>if(F1385="SERVICE",O1385-(O1385*50%),Vlookup(F1385,DATABASE!C:Q,10,false)*G1385)</f>
        <v>#N/A</v>
      </c>
      <c r="L1385" s="74" t="str">
        <f>VLOOKUP(F1385,DATABASE!C:Q,7,FALSE)</f>
        <v>#N/A</v>
      </c>
      <c r="M1385" s="74"/>
      <c r="N1385" s="74">
        <f t="shared" si="11"/>
        <v>0</v>
      </c>
      <c r="O1385" s="74">
        <f t="shared" si="13"/>
        <v>0</v>
      </c>
      <c r="P1385" s="63">
        <f t="shared" si="14"/>
        <v>0</v>
      </c>
      <c r="Q1385" s="63" t="str">
        <f t="shared" si="15"/>
        <v>#N/A</v>
      </c>
      <c r="R1385" s="93" t="str">
        <f>VLOOKUP(F1385,DATABASE!C:Q,4,false)</f>
        <v>#N/A</v>
      </c>
      <c r="S1385" s="93" t="str">
        <f>VLOOKUP(F1385,DATABASE!C:P,11,false)</f>
        <v>#N/A</v>
      </c>
      <c r="T1385" s="93" t="str">
        <f>vlookup(F1385,DATABASE!C:Q,8,false)</f>
        <v>#N/A</v>
      </c>
      <c r="Z1385" s="9"/>
    </row>
    <row r="1386" ht="22.5" customHeight="1">
      <c r="A1386" s="49"/>
      <c r="C1386" s="384"/>
      <c r="D1386" s="93"/>
      <c r="F1386" s="74"/>
      <c r="H1386" s="74"/>
      <c r="I1386" s="74"/>
      <c r="J1386" s="74"/>
      <c r="K1386" s="74" t="str">
        <f>if(F1386="SERVICE",O1386-(O1386*50%),Vlookup(F1386,DATABASE!C:Q,10,false)*G1386)</f>
        <v>#N/A</v>
      </c>
      <c r="L1386" s="74" t="str">
        <f>VLOOKUP(F1386,DATABASE!C:Q,7,FALSE)</f>
        <v>#N/A</v>
      </c>
      <c r="M1386" s="74"/>
      <c r="N1386" s="74">
        <f t="shared" si="11"/>
        <v>0</v>
      </c>
      <c r="O1386" s="74">
        <f t="shared" si="13"/>
        <v>0</v>
      </c>
      <c r="P1386" s="63">
        <f t="shared" si="14"/>
        <v>0</v>
      </c>
      <c r="Q1386" s="63" t="str">
        <f t="shared" si="15"/>
        <v>#N/A</v>
      </c>
      <c r="R1386" s="93" t="str">
        <f>VLOOKUP(F1386,DATABASE!C:Q,4,false)</f>
        <v>#N/A</v>
      </c>
      <c r="S1386" s="93" t="str">
        <f>VLOOKUP(F1386,DATABASE!C:P,11,false)</f>
        <v>#N/A</v>
      </c>
      <c r="T1386" s="93" t="str">
        <f>vlookup(F1386,DATABASE!C:Q,8,false)</f>
        <v>#N/A</v>
      </c>
      <c r="Z1386" s="9"/>
    </row>
    <row r="1387" ht="22.5" customHeight="1">
      <c r="A1387" s="49"/>
      <c r="C1387" s="384"/>
      <c r="D1387" s="93"/>
      <c r="F1387" s="74"/>
      <c r="H1387" s="74"/>
      <c r="I1387" s="74"/>
      <c r="J1387" s="74"/>
      <c r="K1387" s="74" t="str">
        <f>if(F1387="SERVICE",O1387-(O1387*50%),Vlookup(F1387,DATABASE!C:Q,10,false)*G1387)</f>
        <v>#N/A</v>
      </c>
      <c r="L1387" s="74" t="str">
        <f>VLOOKUP(F1387,DATABASE!C:Q,7,FALSE)</f>
        <v>#N/A</v>
      </c>
      <c r="M1387" s="74"/>
      <c r="N1387" s="74">
        <f t="shared" si="11"/>
        <v>0</v>
      </c>
      <c r="O1387" s="74">
        <f t="shared" si="13"/>
        <v>0</v>
      </c>
      <c r="P1387" s="63">
        <f t="shared" si="14"/>
        <v>0</v>
      </c>
      <c r="Q1387" s="63" t="str">
        <f t="shared" si="15"/>
        <v>#N/A</v>
      </c>
      <c r="R1387" s="93" t="str">
        <f>VLOOKUP(F1387,DATABASE!C:Q,4,false)</f>
        <v>#N/A</v>
      </c>
      <c r="S1387" s="93" t="str">
        <f>VLOOKUP(F1387,DATABASE!C:P,11,false)</f>
        <v>#N/A</v>
      </c>
      <c r="T1387" s="93" t="str">
        <f>vlookup(F1387,DATABASE!C:Q,8,false)</f>
        <v>#N/A</v>
      </c>
      <c r="Z1387" s="9"/>
    </row>
    <row r="1388" ht="22.5" customHeight="1">
      <c r="A1388" s="49"/>
      <c r="C1388" s="384"/>
      <c r="D1388" s="93"/>
      <c r="F1388" s="74"/>
      <c r="H1388" s="74"/>
      <c r="I1388" s="74"/>
      <c r="J1388" s="74"/>
      <c r="K1388" s="74" t="str">
        <f>if(F1388="SERVICE",O1388-(O1388*50%),Vlookup(F1388,DATABASE!C:Q,10,false)*G1388)</f>
        <v>#N/A</v>
      </c>
      <c r="L1388" s="74" t="str">
        <f>VLOOKUP(F1388,DATABASE!C:Q,7,FALSE)</f>
        <v>#N/A</v>
      </c>
      <c r="M1388" s="74"/>
      <c r="N1388" s="74">
        <f t="shared" si="11"/>
        <v>0</v>
      </c>
      <c r="O1388" s="74">
        <f t="shared" si="13"/>
        <v>0</v>
      </c>
      <c r="P1388" s="63">
        <f t="shared" si="14"/>
        <v>0</v>
      </c>
      <c r="Q1388" s="63" t="str">
        <f t="shared" si="15"/>
        <v>#N/A</v>
      </c>
      <c r="R1388" s="93" t="str">
        <f>VLOOKUP(F1388,DATABASE!C:Q,4,false)</f>
        <v>#N/A</v>
      </c>
      <c r="S1388" s="93" t="str">
        <f>VLOOKUP(F1388,DATABASE!C:P,11,false)</f>
        <v>#N/A</v>
      </c>
      <c r="T1388" s="93" t="str">
        <f>vlookup(F1388,DATABASE!C:Q,8,false)</f>
        <v>#N/A</v>
      </c>
      <c r="Z1388" s="9"/>
    </row>
    <row r="1389" ht="22.5" customHeight="1">
      <c r="A1389" s="49"/>
      <c r="C1389" s="384"/>
      <c r="D1389" s="93"/>
      <c r="F1389" s="74"/>
      <c r="H1389" s="74"/>
      <c r="I1389" s="74"/>
      <c r="J1389" s="74"/>
      <c r="K1389" s="74" t="str">
        <f>if(F1389="SERVICE",O1389-(O1389*50%),Vlookup(F1389,DATABASE!C:Q,10,false)*G1389)</f>
        <v>#N/A</v>
      </c>
      <c r="L1389" s="74" t="str">
        <f>VLOOKUP(F1389,DATABASE!C:Q,7,FALSE)</f>
        <v>#N/A</v>
      </c>
      <c r="M1389" s="74"/>
      <c r="N1389" s="74">
        <f t="shared" si="11"/>
        <v>0</v>
      </c>
      <c r="O1389" s="74">
        <f t="shared" si="13"/>
        <v>0</v>
      </c>
      <c r="P1389" s="63">
        <f t="shared" si="14"/>
        <v>0</v>
      </c>
      <c r="Q1389" s="63" t="str">
        <f t="shared" si="15"/>
        <v>#N/A</v>
      </c>
      <c r="R1389" s="93" t="str">
        <f>VLOOKUP(F1389,DATABASE!C:Q,4,false)</f>
        <v>#N/A</v>
      </c>
      <c r="S1389" s="93" t="str">
        <f>VLOOKUP(F1389,DATABASE!C:P,11,false)</f>
        <v>#N/A</v>
      </c>
      <c r="T1389" s="93" t="str">
        <f>vlookup(F1389,DATABASE!C:Q,8,false)</f>
        <v>#N/A</v>
      </c>
      <c r="Z1389" s="9"/>
    </row>
    <row r="1390" ht="22.5" customHeight="1">
      <c r="A1390" s="49"/>
      <c r="C1390" s="384"/>
      <c r="D1390" s="93"/>
      <c r="F1390" s="74"/>
      <c r="H1390" s="74"/>
      <c r="I1390" s="74"/>
      <c r="J1390" s="74"/>
      <c r="K1390" s="74" t="str">
        <f>if(F1390="SERVICE",O1390-(O1390*50%),Vlookup(F1390,DATABASE!C:Q,10,false)*G1390)</f>
        <v>#N/A</v>
      </c>
      <c r="L1390" s="74" t="str">
        <f>VLOOKUP(F1390,DATABASE!C:Q,7,FALSE)</f>
        <v>#N/A</v>
      </c>
      <c r="M1390" s="74"/>
      <c r="N1390" s="74">
        <f t="shared" si="11"/>
        <v>0</v>
      </c>
      <c r="O1390" s="74">
        <f t="shared" si="13"/>
        <v>0</v>
      </c>
      <c r="P1390" s="63">
        <f t="shared" si="14"/>
        <v>0</v>
      </c>
      <c r="Q1390" s="63" t="str">
        <f t="shared" si="15"/>
        <v>#N/A</v>
      </c>
      <c r="R1390" s="93" t="str">
        <f>VLOOKUP(F1390,DATABASE!C:Q,4,false)</f>
        <v>#N/A</v>
      </c>
      <c r="S1390" s="93" t="str">
        <f>VLOOKUP(F1390,DATABASE!C:P,11,false)</f>
        <v>#N/A</v>
      </c>
      <c r="T1390" s="93" t="str">
        <f>vlookup(F1390,DATABASE!C:Q,8,false)</f>
        <v>#N/A</v>
      </c>
      <c r="Z1390" s="9"/>
    </row>
    <row r="1391" ht="22.5" customHeight="1">
      <c r="A1391" s="49"/>
      <c r="C1391" s="384"/>
      <c r="D1391" s="93"/>
      <c r="F1391" s="74"/>
      <c r="H1391" s="74"/>
      <c r="I1391" s="74"/>
      <c r="J1391" s="74"/>
      <c r="K1391" s="74" t="str">
        <f>if(F1391="SERVICE",O1391-(O1391*50%),Vlookup(F1391,DATABASE!C:Q,10,false)*G1391)</f>
        <v>#N/A</v>
      </c>
      <c r="L1391" s="74" t="str">
        <f>VLOOKUP(F1391,DATABASE!C:Q,7,FALSE)</f>
        <v>#N/A</v>
      </c>
      <c r="M1391" s="74"/>
      <c r="N1391" s="74">
        <f t="shared" si="11"/>
        <v>0</v>
      </c>
      <c r="O1391" s="74">
        <f t="shared" si="13"/>
        <v>0</v>
      </c>
      <c r="P1391" s="63">
        <f t="shared" si="14"/>
        <v>0</v>
      </c>
      <c r="Q1391" s="63" t="str">
        <f t="shared" si="15"/>
        <v>#N/A</v>
      </c>
      <c r="R1391" s="93" t="str">
        <f>VLOOKUP(F1391,DATABASE!C:Q,4,false)</f>
        <v>#N/A</v>
      </c>
      <c r="S1391" s="93" t="str">
        <f>VLOOKUP(F1391,DATABASE!C:P,11,false)</f>
        <v>#N/A</v>
      </c>
      <c r="T1391" s="93" t="str">
        <f>vlookup(F1391,DATABASE!C:Q,8,false)</f>
        <v>#N/A</v>
      </c>
      <c r="Z1391" s="9"/>
    </row>
    <row r="1392" ht="22.5" customHeight="1">
      <c r="A1392" s="49"/>
      <c r="C1392" s="384"/>
      <c r="D1392" s="93"/>
      <c r="F1392" s="74"/>
      <c r="H1392" s="74"/>
      <c r="I1392" s="74"/>
      <c r="J1392" s="74"/>
      <c r="K1392" s="74" t="str">
        <f>if(F1392="SERVICE",O1392-(O1392*50%),Vlookup(F1392,DATABASE!C:Q,10,false)*G1392)</f>
        <v>#N/A</v>
      </c>
      <c r="L1392" s="74" t="str">
        <f>VLOOKUP(F1392,DATABASE!C:Q,7,FALSE)</f>
        <v>#N/A</v>
      </c>
      <c r="M1392" s="74"/>
      <c r="N1392" s="74">
        <f t="shared" si="11"/>
        <v>0</v>
      </c>
      <c r="O1392" s="74">
        <f t="shared" si="13"/>
        <v>0</v>
      </c>
      <c r="P1392" s="63">
        <f t="shared" si="14"/>
        <v>0</v>
      </c>
      <c r="Q1392" s="63" t="str">
        <f t="shared" si="15"/>
        <v>#N/A</v>
      </c>
      <c r="R1392" s="93" t="str">
        <f>VLOOKUP(F1392,DATABASE!C:Q,4,false)</f>
        <v>#N/A</v>
      </c>
      <c r="S1392" s="93" t="str">
        <f>VLOOKUP(F1392,DATABASE!C:P,11,false)</f>
        <v>#N/A</v>
      </c>
      <c r="T1392" s="93" t="str">
        <f>vlookup(F1392,DATABASE!C:Q,8,false)</f>
        <v>#N/A</v>
      </c>
      <c r="Z1392" s="9"/>
    </row>
    <row r="1393" ht="22.5" customHeight="1">
      <c r="A1393" s="49"/>
      <c r="C1393" s="384"/>
      <c r="D1393" s="93"/>
      <c r="F1393" s="74"/>
      <c r="H1393" s="74"/>
      <c r="I1393" s="74"/>
      <c r="J1393" s="74"/>
      <c r="K1393" s="74" t="str">
        <f>if(F1393="SERVICE",O1393-(O1393*50%),Vlookup(F1393,DATABASE!C:Q,10,false)*G1393)</f>
        <v>#N/A</v>
      </c>
      <c r="L1393" s="74" t="str">
        <f>VLOOKUP(F1393,DATABASE!C:Q,7,FALSE)</f>
        <v>#N/A</v>
      </c>
      <c r="M1393" s="74"/>
      <c r="N1393" s="74">
        <f t="shared" si="11"/>
        <v>0</v>
      </c>
      <c r="O1393" s="74">
        <f t="shared" si="13"/>
        <v>0</v>
      </c>
      <c r="P1393" s="63">
        <f t="shared" si="14"/>
        <v>0</v>
      </c>
      <c r="Q1393" s="63" t="str">
        <f t="shared" si="15"/>
        <v>#N/A</v>
      </c>
      <c r="R1393" s="93" t="str">
        <f>VLOOKUP(F1393,DATABASE!C:Q,4,false)</f>
        <v>#N/A</v>
      </c>
      <c r="S1393" s="93" t="str">
        <f>VLOOKUP(F1393,DATABASE!C:P,11,false)</f>
        <v>#N/A</v>
      </c>
      <c r="T1393" s="93" t="str">
        <f>vlookup(F1393,DATABASE!C:Q,8,false)</f>
        <v>#N/A</v>
      </c>
      <c r="Z1393" s="9"/>
    </row>
    <row r="1394" ht="22.5" customHeight="1">
      <c r="A1394" s="49"/>
      <c r="C1394" s="384"/>
      <c r="D1394" s="93"/>
      <c r="F1394" s="74"/>
      <c r="H1394" s="74"/>
      <c r="I1394" s="74"/>
      <c r="J1394" s="74"/>
      <c r="K1394" s="74" t="str">
        <f>if(F1394="SERVICE",O1394-(O1394*50%),Vlookup(F1394,DATABASE!C:Q,10,false)*G1394)</f>
        <v>#N/A</v>
      </c>
      <c r="L1394" s="74" t="str">
        <f>VLOOKUP(F1394,DATABASE!C:Q,7,FALSE)</f>
        <v>#N/A</v>
      </c>
      <c r="M1394" s="74"/>
      <c r="N1394" s="74">
        <f t="shared" si="11"/>
        <v>0</v>
      </c>
      <c r="O1394" s="74">
        <f t="shared" si="13"/>
        <v>0</v>
      </c>
      <c r="P1394" s="63">
        <f t="shared" si="14"/>
        <v>0</v>
      </c>
      <c r="Q1394" s="63" t="str">
        <f t="shared" si="15"/>
        <v>#N/A</v>
      </c>
      <c r="R1394" s="93" t="str">
        <f>VLOOKUP(F1394,DATABASE!C:Q,4,false)</f>
        <v>#N/A</v>
      </c>
      <c r="S1394" s="93" t="str">
        <f>VLOOKUP(F1394,DATABASE!C:P,11,false)</f>
        <v>#N/A</v>
      </c>
      <c r="T1394" s="93" t="str">
        <f>vlookup(F1394,DATABASE!C:Q,8,false)</f>
        <v>#N/A</v>
      </c>
      <c r="Z1394" s="9"/>
    </row>
    <row r="1395" ht="22.5" customHeight="1">
      <c r="A1395" s="49"/>
      <c r="C1395" s="384"/>
      <c r="D1395" s="93"/>
      <c r="F1395" s="74"/>
      <c r="H1395" s="74"/>
      <c r="I1395" s="74"/>
      <c r="J1395" s="74"/>
      <c r="K1395" s="74" t="str">
        <f>if(F1395="SERVICE",O1395-(O1395*50%),Vlookup(F1395,DATABASE!C:Q,10,false)*G1395)</f>
        <v>#N/A</v>
      </c>
      <c r="L1395" s="74" t="str">
        <f>VLOOKUP(F1395,DATABASE!C:Q,7,FALSE)</f>
        <v>#N/A</v>
      </c>
      <c r="M1395" s="74"/>
      <c r="N1395" s="74">
        <f t="shared" si="11"/>
        <v>0</v>
      </c>
      <c r="O1395" s="74">
        <f t="shared" si="13"/>
        <v>0</v>
      </c>
      <c r="P1395" s="63">
        <f t="shared" si="14"/>
        <v>0</v>
      </c>
      <c r="Q1395" s="63" t="str">
        <f t="shared" si="15"/>
        <v>#N/A</v>
      </c>
      <c r="R1395" s="93" t="str">
        <f>VLOOKUP(F1395,DATABASE!C:Q,4,false)</f>
        <v>#N/A</v>
      </c>
      <c r="S1395" s="93" t="str">
        <f>VLOOKUP(F1395,DATABASE!C:P,11,false)</f>
        <v>#N/A</v>
      </c>
      <c r="T1395" s="93" t="str">
        <f>vlookup(F1395,DATABASE!C:Q,8,false)</f>
        <v>#N/A</v>
      </c>
      <c r="Z1395" s="9"/>
    </row>
    <row r="1396" ht="22.5" customHeight="1">
      <c r="A1396" s="49"/>
      <c r="C1396" s="384"/>
      <c r="D1396" s="93"/>
      <c r="F1396" s="74"/>
      <c r="H1396" s="74"/>
      <c r="I1396" s="74"/>
      <c r="J1396" s="74"/>
      <c r="K1396" s="74" t="str">
        <f>if(F1396="SERVICE",O1396-(O1396*50%),Vlookup(F1396,DATABASE!C:Q,10,false)*G1396)</f>
        <v>#N/A</v>
      </c>
      <c r="L1396" s="74" t="str">
        <f>VLOOKUP(F1396,DATABASE!C:Q,7,FALSE)</f>
        <v>#N/A</v>
      </c>
      <c r="M1396" s="74"/>
      <c r="N1396" s="74">
        <f t="shared" si="11"/>
        <v>0</v>
      </c>
      <c r="O1396" s="74">
        <f t="shared" si="13"/>
        <v>0</v>
      </c>
      <c r="P1396" s="63">
        <f t="shared" si="14"/>
        <v>0</v>
      </c>
      <c r="Q1396" s="63" t="str">
        <f t="shared" si="15"/>
        <v>#N/A</v>
      </c>
      <c r="R1396" s="93" t="str">
        <f>VLOOKUP(F1396,DATABASE!C:Q,4,false)</f>
        <v>#N/A</v>
      </c>
      <c r="S1396" s="93" t="str">
        <f>VLOOKUP(F1396,DATABASE!C:P,11,false)</f>
        <v>#N/A</v>
      </c>
      <c r="T1396" s="93" t="str">
        <f>vlookup(F1396,DATABASE!C:Q,8,false)</f>
        <v>#N/A</v>
      </c>
      <c r="Z1396" s="9"/>
    </row>
    <row r="1397" ht="22.5" customHeight="1">
      <c r="A1397" s="49"/>
      <c r="C1397" s="384"/>
      <c r="D1397" s="93"/>
      <c r="F1397" s="74"/>
      <c r="H1397" s="74"/>
      <c r="I1397" s="74"/>
      <c r="J1397" s="74"/>
      <c r="K1397" s="74" t="str">
        <f>if(F1397="SERVICE",O1397-(O1397*50%),Vlookup(F1397,DATABASE!C:Q,10,false)*G1397)</f>
        <v>#N/A</v>
      </c>
      <c r="L1397" s="74" t="str">
        <f>VLOOKUP(F1397,DATABASE!C:Q,7,FALSE)</f>
        <v>#N/A</v>
      </c>
      <c r="M1397" s="74"/>
      <c r="N1397" s="74">
        <f t="shared" si="11"/>
        <v>0</v>
      </c>
      <c r="O1397" s="74">
        <f t="shared" si="13"/>
        <v>0</v>
      </c>
      <c r="P1397" s="63">
        <f t="shared" si="14"/>
        <v>0</v>
      </c>
      <c r="Q1397" s="63" t="str">
        <f t="shared" si="15"/>
        <v>#N/A</v>
      </c>
      <c r="R1397" s="93" t="str">
        <f>VLOOKUP(F1397,DATABASE!C:Q,4,false)</f>
        <v>#N/A</v>
      </c>
      <c r="S1397" s="93" t="str">
        <f>VLOOKUP(F1397,DATABASE!C:P,11,false)</f>
        <v>#N/A</v>
      </c>
      <c r="T1397" s="93" t="str">
        <f>vlookup(F1397,DATABASE!C:Q,8,false)</f>
        <v>#N/A</v>
      </c>
      <c r="Z1397" s="9"/>
    </row>
    <row r="1398" ht="22.5" customHeight="1">
      <c r="A1398" s="49"/>
      <c r="C1398" s="384"/>
      <c r="D1398" s="93"/>
      <c r="F1398" s="74"/>
      <c r="H1398" s="74"/>
      <c r="I1398" s="74"/>
      <c r="J1398" s="74"/>
      <c r="K1398" s="74" t="str">
        <f>if(F1398="SERVICE",O1398-(O1398*50%),Vlookup(F1398,DATABASE!C:Q,10,false)*G1398)</f>
        <v>#N/A</v>
      </c>
      <c r="L1398" s="74" t="str">
        <f>VLOOKUP(F1398,DATABASE!C:Q,7,FALSE)</f>
        <v>#N/A</v>
      </c>
      <c r="M1398" s="74"/>
      <c r="N1398" s="74">
        <f t="shared" si="11"/>
        <v>0</v>
      </c>
      <c r="O1398" s="74">
        <f t="shared" si="13"/>
        <v>0</v>
      </c>
      <c r="P1398" s="63">
        <f t="shared" si="14"/>
        <v>0</v>
      </c>
      <c r="Q1398" s="63" t="str">
        <f t="shared" si="15"/>
        <v>#N/A</v>
      </c>
      <c r="R1398" s="93" t="str">
        <f>VLOOKUP(F1398,DATABASE!C:Q,4,false)</f>
        <v>#N/A</v>
      </c>
      <c r="S1398" s="93" t="str">
        <f>VLOOKUP(F1398,DATABASE!C:P,11,false)</f>
        <v>#N/A</v>
      </c>
      <c r="T1398" s="93" t="str">
        <f>vlookup(F1398,DATABASE!C:Q,8,false)</f>
        <v>#N/A</v>
      </c>
      <c r="Z1398" s="9"/>
    </row>
    <row r="1399" ht="22.5" customHeight="1">
      <c r="A1399" s="49"/>
      <c r="C1399" s="384"/>
      <c r="D1399" s="93"/>
      <c r="F1399" s="74"/>
      <c r="H1399" s="74"/>
      <c r="I1399" s="74"/>
      <c r="J1399" s="74"/>
      <c r="K1399" s="74" t="str">
        <f>if(F1399="SERVICE",O1399-(O1399*50%),Vlookup(F1399,DATABASE!C:Q,10,false)*G1399)</f>
        <v>#N/A</v>
      </c>
      <c r="L1399" s="74" t="str">
        <f>VLOOKUP(F1399,DATABASE!C:Q,7,FALSE)</f>
        <v>#N/A</v>
      </c>
      <c r="M1399" s="74"/>
      <c r="N1399" s="74">
        <f t="shared" si="11"/>
        <v>0</v>
      </c>
      <c r="O1399" s="74">
        <f t="shared" si="13"/>
        <v>0</v>
      </c>
      <c r="P1399" s="63">
        <f t="shared" si="14"/>
        <v>0</v>
      </c>
      <c r="Q1399" s="63" t="str">
        <f t="shared" si="15"/>
        <v>#N/A</v>
      </c>
      <c r="R1399" s="93" t="str">
        <f>VLOOKUP(F1399,DATABASE!C:Q,4,false)</f>
        <v>#N/A</v>
      </c>
      <c r="S1399" s="93" t="str">
        <f>VLOOKUP(F1399,DATABASE!C:P,11,false)</f>
        <v>#N/A</v>
      </c>
      <c r="T1399" s="93" t="str">
        <f>vlookup(F1399,DATABASE!C:Q,8,false)</f>
        <v>#N/A</v>
      </c>
      <c r="Z1399" s="9"/>
    </row>
    <row r="1400" ht="22.5" customHeight="1">
      <c r="A1400" s="49"/>
      <c r="C1400" s="384"/>
      <c r="D1400" s="93"/>
      <c r="F1400" s="74"/>
      <c r="H1400" s="74"/>
      <c r="I1400" s="74"/>
      <c r="J1400" s="74"/>
      <c r="K1400" s="74" t="str">
        <f>if(F1400="SERVICE",O1400-(O1400*50%),Vlookup(F1400,DATABASE!C:Q,10,false)*G1400)</f>
        <v>#N/A</v>
      </c>
      <c r="L1400" s="74" t="str">
        <f>VLOOKUP(F1400,DATABASE!C:Q,7,FALSE)</f>
        <v>#N/A</v>
      </c>
      <c r="M1400" s="74"/>
      <c r="N1400" s="74">
        <f t="shared" si="11"/>
        <v>0</v>
      </c>
      <c r="O1400" s="74">
        <f t="shared" si="13"/>
        <v>0</v>
      </c>
      <c r="P1400" s="63">
        <f t="shared" si="14"/>
        <v>0</v>
      </c>
      <c r="Q1400" s="63" t="str">
        <f t="shared" si="15"/>
        <v>#N/A</v>
      </c>
      <c r="R1400" s="93" t="str">
        <f>VLOOKUP(F1400,DATABASE!C:Q,4,false)</f>
        <v>#N/A</v>
      </c>
      <c r="S1400" s="93" t="str">
        <f>VLOOKUP(F1400,DATABASE!C:P,11,false)</f>
        <v>#N/A</v>
      </c>
      <c r="T1400" s="93" t="str">
        <f>vlookup(F1400,DATABASE!C:Q,8,false)</f>
        <v>#N/A</v>
      </c>
      <c r="Z1400" s="9"/>
    </row>
    <row r="1401" ht="22.5" customHeight="1">
      <c r="A1401" s="49"/>
      <c r="C1401" s="384"/>
      <c r="D1401" s="93"/>
      <c r="F1401" s="74"/>
      <c r="H1401" s="74"/>
      <c r="I1401" s="74"/>
      <c r="J1401" s="74"/>
      <c r="K1401" s="74" t="str">
        <f>if(F1401="SERVICE",O1401-(O1401*50%),Vlookup(F1401,DATABASE!C:Q,10,false)*G1401)</f>
        <v>#N/A</v>
      </c>
      <c r="L1401" s="74" t="str">
        <f>VLOOKUP(F1401,DATABASE!C:Q,7,FALSE)</f>
        <v>#N/A</v>
      </c>
      <c r="M1401" s="74"/>
      <c r="N1401" s="74">
        <f t="shared" si="11"/>
        <v>0</v>
      </c>
      <c r="O1401" s="74">
        <f t="shared" si="13"/>
        <v>0</v>
      </c>
      <c r="P1401" s="63">
        <f t="shared" si="14"/>
        <v>0</v>
      </c>
      <c r="Q1401" s="63" t="str">
        <f t="shared" si="15"/>
        <v>#N/A</v>
      </c>
      <c r="R1401" s="93" t="str">
        <f>VLOOKUP(F1401,DATABASE!C:Q,4,false)</f>
        <v>#N/A</v>
      </c>
      <c r="S1401" s="93" t="str">
        <f>VLOOKUP(F1401,DATABASE!C:P,11,false)</f>
        <v>#N/A</v>
      </c>
      <c r="T1401" s="93" t="str">
        <f>vlookup(F1401,DATABASE!C:Q,8,false)</f>
        <v>#N/A</v>
      </c>
      <c r="Z1401" s="9"/>
    </row>
    <row r="1402" ht="22.5" customHeight="1">
      <c r="A1402" s="49"/>
      <c r="C1402" s="384"/>
      <c r="D1402" s="93"/>
      <c r="F1402" s="74"/>
      <c r="H1402" s="74"/>
      <c r="I1402" s="74"/>
      <c r="J1402" s="74"/>
      <c r="K1402" s="74" t="str">
        <f>if(F1402="SERVICE",O1402-(O1402*50%),Vlookup(F1402,DATABASE!C:Q,10,false)*G1402)</f>
        <v>#N/A</v>
      </c>
      <c r="L1402" s="74" t="str">
        <f>VLOOKUP(F1402,DATABASE!C:Q,7,FALSE)</f>
        <v>#N/A</v>
      </c>
      <c r="M1402" s="74"/>
      <c r="N1402" s="74">
        <f t="shared" si="11"/>
        <v>0</v>
      </c>
      <c r="O1402" s="74">
        <f t="shared" si="13"/>
        <v>0</v>
      </c>
      <c r="P1402" s="63">
        <f t="shared" si="14"/>
        <v>0</v>
      </c>
      <c r="Q1402" s="63" t="str">
        <f t="shared" si="15"/>
        <v>#N/A</v>
      </c>
      <c r="R1402" s="93" t="str">
        <f>VLOOKUP(F1402,DATABASE!C:Q,4,false)</f>
        <v>#N/A</v>
      </c>
      <c r="S1402" s="93" t="str">
        <f>VLOOKUP(F1402,DATABASE!C:P,11,false)</f>
        <v>#N/A</v>
      </c>
      <c r="T1402" s="93" t="str">
        <f>vlookup(F1402,DATABASE!C:Q,8,false)</f>
        <v>#N/A</v>
      </c>
      <c r="Z1402" s="9"/>
    </row>
    <row r="1403" ht="22.5" customHeight="1">
      <c r="A1403" s="49"/>
      <c r="C1403" s="384"/>
      <c r="D1403" s="93"/>
      <c r="F1403" s="74"/>
      <c r="H1403" s="74"/>
      <c r="I1403" s="74"/>
      <c r="J1403" s="74"/>
      <c r="K1403" s="74" t="str">
        <f>if(F1403="SERVICE",O1403-(O1403*50%),Vlookup(F1403,DATABASE!C:Q,10,false)*G1403)</f>
        <v>#N/A</v>
      </c>
      <c r="L1403" s="74" t="str">
        <f>VLOOKUP(F1403,DATABASE!C:Q,7,FALSE)</f>
        <v>#N/A</v>
      </c>
      <c r="M1403" s="74"/>
      <c r="N1403" s="74">
        <f t="shared" si="11"/>
        <v>0</v>
      </c>
      <c r="O1403" s="74">
        <f t="shared" si="13"/>
        <v>0</v>
      </c>
      <c r="P1403" s="63">
        <f t="shared" si="14"/>
        <v>0</v>
      </c>
      <c r="Q1403" s="63" t="str">
        <f t="shared" si="15"/>
        <v>#N/A</v>
      </c>
      <c r="R1403" s="93" t="str">
        <f>VLOOKUP(F1403,DATABASE!C:Q,4,false)</f>
        <v>#N/A</v>
      </c>
      <c r="S1403" s="93" t="str">
        <f>VLOOKUP(F1403,DATABASE!C:P,11,false)</f>
        <v>#N/A</v>
      </c>
      <c r="T1403" s="93" t="str">
        <f>vlookup(F1403,DATABASE!C:Q,8,false)</f>
        <v>#N/A</v>
      </c>
      <c r="Z1403" s="9"/>
    </row>
    <row r="1404" ht="22.5" customHeight="1">
      <c r="A1404" s="49"/>
      <c r="C1404" s="384"/>
      <c r="D1404" s="93"/>
      <c r="F1404" s="74"/>
      <c r="H1404" s="74"/>
      <c r="I1404" s="74"/>
      <c r="J1404" s="74"/>
      <c r="K1404" s="74" t="str">
        <f>if(F1404="SERVICE",O1404-(O1404*50%),Vlookup(F1404,DATABASE!C:Q,10,false)*G1404)</f>
        <v>#N/A</v>
      </c>
      <c r="L1404" s="74" t="str">
        <f>VLOOKUP(F1404,DATABASE!C:Q,7,FALSE)</f>
        <v>#N/A</v>
      </c>
      <c r="M1404" s="74"/>
      <c r="N1404" s="74">
        <f t="shared" si="11"/>
        <v>0</v>
      </c>
      <c r="O1404" s="74">
        <f t="shared" si="13"/>
        <v>0</v>
      </c>
      <c r="P1404" s="63">
        <f t="shared" si="14"/>
        <v>0</v>
      </c>
      <c r="Q1404" s="63" t="str">
        <f t="shared" si="15"/>
        <v>#N/A</v>
      </c>
      <c r="R1404" s="93" t="str">
        <f>VLOOKUP(F1404,DATABASE!C:Q,4,false)</f>
        <v>#N/A</v>
      </c>
      <c r="S1404" s="93" t="str">
        <f>VLOOKUP(F1404,DATABASE!C:P,11,false)</f>
        <v>#N/A</v>
      </c>
      <c r="T1404" s="93" t="str">
        <f>vlookup(F1404,DATABASE!C:Q,8,false)</f>
        <v>#N/A</v>
      </c>
      <c r="Z1404" s="9"/>
    </row>
    <row r="1405" ht="22.5" customHeight="1">
      <c r="A1405" s="49"/>
      <c r="C1405" s="384"/>
      <c r="D1405" s="93"/>
      <c r="F1405" s="74"/>
      <c r="H1405" s="74"/>
      <c r="I1405" s="74"/>
      <c r="J1405" s="74"/>
      <c r="K1405" s="74" t="str">
        <f>if(F1405="SERVICE",O1405-(O1405*50%),Vlookup(F1405,DATABASE!C:Q,10,false)*G1405)</f>
        <v>#N/A</v>
      </c>
      <c r="L1405" s="74" t="str">
        <f>VLOOKUP(F1405,DATABASE!C:Q,7,FALSE)</f>
        <v>#N/A</v>
      </c>
      <c r="M1405" s="74"/>
      <c r="N1405" s="74">
        <f t="shared" si="11"/>
        <v>0</v>
      </c>
      <c r="O1405" s="74">
        <f t="shared" si="13"/>
        <v>0</v>
      </c>
      <c r="P1405" s="63">
        <f t="shared" si="14"/>
        <v>0</v>
      </c>
      <c r="Q1405" s="63" t="str">
        <f t="shared" si="15"/>
        <v>#N/A</v>
      </c>
      <c r="R1405" s="93" t="str">
        <f>VLOOKUP(F1405,DATABASE!C:Q,4,false)</f>
        <v>#N/A</v>
      </c>
      <c r="S1405" s="93" t="str">
        <f>VLOOKUP(F1405,DATABASE!C:P,11,false)</f>
        <v>#N/A</v>
      </c>
      <c r="T1405" s="93" t="str">
        <f>vlookup(F1405,DATABASE!C:Q,8,false)</f>
        <v>#N/A</v>
      </c>
      <c r="Z1405" s="9"/>
    </row>
    <row r="1406" ht="22.5" customHeight="1">
      <c r="A1406" s="49"/>
      <c r="C1406" s="384"/>
      <c r="D1406" s="93"/>
      <c r="F1406" s="74"/>
      <c r="H1406" s="74"/>
      <c r="I1406" s="74"/>
      <c r="J1406" s="74"/>
      <c r="K1406" s="74" t="str">
        <f>if(F1406="SERVICE",O1406-(O1406*50%),Vlookup(F1406,DATABASE!C:Q,10,false)*G1406)</f>
        <v>#N/A</v>
      </c>
      <c r="L1406" s="74" t="str">
        <f>VLOOKUP(F1406,DATABASE!C:Q,7,FALSE)</f>
        <v>#N/A</v>
      </c>
      <c r="M1406" s="74"/>
      <c r="N1406" s="74">
        <f t="shared" si="11"/>
        <v>0</v>
      </c>
      <c r="O1406" s="74">
        <f t="shared" si="13"/>
        <v>0</v>
      </c>
      <c r="P1406" s="63">
        <f t="shared" si="14"/>
        <v>0</v>
      </c>
      <c r="Q1406" s="63" t="str">
        <f t="shared" si="15"/>
        <v>#N/A</v>
      </c>
      <c r="R1406" s="93" t="str">
        <f>VLOOKUP(F1406,DATABASE!C:Q,4,false)</f>
        <v>#N/A</v>
      </c>
      <c r="S1406" s="93" t="str">
        <f>VLOOKUP(F1406,DATABASE!C:P,11,false)</f>
        <v>#N/A</v>
      </c>
      <c r="T1406" s="93" t="str">
        <f>vlookup(F1406,DATABASE!C:Q,8,false)</f>
        <v>#N/A</v>
      </c>
      <c r="Z1406" s="9"/>
    </row>
    <row r="1407" ht="22.5" customHeight="1">
      <c r="A1407" s="49"/>
      <c r="C1407" s="384"/>
      <c r="D1407" s="93"/>
      <c r="F1407" s="74"/>
      <c r="H1407" s="74"/>
      <c r="I1407" s="74"/>
      <c r="J1407" s="74"/>
      <c r="K1407" s="74" t="str">
        <f>if(F1407="SERVICE",O1407-(O1407*50%),Vlookup(F1407,DATABASE!C:Q,10,false)*G1407)</f>
        <v>#N/A</v>
      </c>
      <c r="L1407" s="74" t="str">
        <f>VLOOKUP(F1407,DATABASE!C:Q,7,FALSE)</f>
        <v>#N/A</v>
      </c>
      <c r="M1407" s="74"/>
      <c r="N1407" s="74">
        <f t="shared" si="11"/>
        <v>0</v>
      </c>
      <c r="O1407" s="74">
        <f t="shared" si="13"/>
        <v>0</v>
      </c>
      <c r="P1407" s="63">
        <f t="shared" si="14"/>
        <v>0</v>
      </c>
      <c r="Q1407" s="63" t="str">
        <f t="shared" si="15"/>
        <v>#N/A</v>
      </c>
      <c r="R1407" s="93" t="str">
        <f>VLOOKUP(F1407,DATABASE!C:Q,4,false)</f>
        <v>#N/A</v>
      </c>
      <c r="S1407" s="93" t="str">
        <f>VLOOKUP(F1407,DATABASE!C:P,11,false)</f>
        <v>#N/A</v>
      </c>
      <c r="T1407" s="93" t="str">
        <f>vlookup(F1407,DATABASE!C:Q,8,false)</f>
        <v>#N/A</v>
      </c>
      <c r="Z1407" s="9"/>
    </row>
    <row r="1408" ht="22.5" customHeight="1">
      <c r="A1408" s="49"/>
      <c r="C1408" s="384"/>
      <c r="D1408" s="93"/>
      <c r="F1408" s="74"/>
      <c r="H1408" s="74"/>
      <c r="I1408" s="74"/>
      <c r="J1408" s="74"/>
      <c r="K1408" s="74" t="str">
        <f>if(F1408="SERVICE",O1408-(O1408*50%),Vlookup(F1408,DATABASE!C:Q,10,false)*G1408)</f>
        <v>#N/A</v>
      </c>
      <c r="L1408" s="74" t="str">
        <f>VLOOKUP(F1408,DATABASE!C:Q,7,FALSE)</f>
        <v>#N/A</v>
      </c>
      <c r="M1408" s="74"/>
      <c r="N1408" s="74">
        <f t="shared" si="11"/>
        <v>0</v>
      </c>
      <c r="O1408" s="74">
        <f t="shared" si="13"/>
        <v>0</v>
      </c>
      <c r="P1408" s="63">
        <f t="shared" si="14"/>
        <v>0</v>
      </c>
      <c r="Q1408" s="63" t="str">
        <f t="shared" si="15"/>
        <v>#N/A</v>
      </c>
      <c r="R1408" s="93" t="str">
        <f>VLOOKUP(F1408,DATABASE!C:Q,4,false)</f>
        <v>#N/A</v>
      </c>
      <c r="S1408" s="93" t="str">
        <f>VLOOKUP(F1408,DATABASE!C:P,11,false)</f>
        <v>#N/A</v>
      </c>
      <c r="T1408" s="93" t="str">
        <f>vlookup(F1408,DATABASE!C:Q,8,false)</f>
        <v>#N/A</v>
      </c>
      <c r="Z1408" s="9"/>
    </row>
    <row r="1409" ht="22.5" customHeight="1">
      <c r="A1409" s="49"/>
      <c r="C1409" s="384"/>
      <c r="D1409" s="93"/>
      <c r="F1409" s="74"/>
      <c r="H1409" s="74"/>
      <c r="I1409" s="74"/>
      <c r="J1409" s="74"/>
      <c r="K1409" s="74" t="str">
        <f>if(F1409="SERVICE",O1409-(O1409*50%),Vlookup(F1409,DATABASE!C:Q,10,false)*G1409)</f>
        <v>#N/A</v>
      </c>
      <c r="L1409" s="74" t="str">
        <f>VLOOKUP(F1409,DATABASE!C:Q,7,FALSE)</f>
        <v>#N/A</v>
      </c>
      <c r="M1409" s="74"/>
      <c r="N1409" s="74">
        <f t="shared" si="11"/>
        <v>0</v>
      </c>
      <c r="O1409" s="74">
        <f t="shared" si="13"/>
        <v>0</v>
      </c>
      <c r="P1409" s="63">
        <f t="shared" si="14"/>
        <v>0</v>
      </c>
      <c r="Q1409" s="63" t="str">
        <f t="shared" si="15"/>
        <v>#N/A</v>
      </c>
      <c r="R1409" s="93" t="str">
        <f>VLOOKUP(F1409,DATABASE!C:Q,4,false)</f>
        <v>#N/A</v>
      </c>
      <c r="S1409" s="93" t="str">
        <f>VLOOKUP(F1409,DATABASE!C:P,11,false)</f>
        <v>#N/A</v>
      </c>
      <c r="T1409" s="93" t="str">
        <f>vlookup(F1409,DATABASE!C:Q,8,false)</f>
        <v>#N/A</v>
      </c>
      <c r="Z1409" s="9"/>
    </row>
    <row r="1410" ht="22.5" customHeight="1">
      <c r="A1410" s="49"/>
      <c r="C1410" s="384"/>
      <c r="D1410" s="93"/>
      <c r="F1410" s="74"/>
      <c r="H1410" s="74"/>
      <c r="I1410" s="74"/>
      <c r="J1410" s="74"/>
      <c r="K1410" s="74" t="str">
        <f>if(F1410="SERVICE",O1410-(O1410*50%),Vlookup(F1410,DATABASE!C:Q,10,false)*G1410)</f>
        <v>#N/A</v>
      </c>
      <c r="L1410" s="74" t="str">
        <f>VLOOKUP(F1410,DATABASE!C:Q,7,FALSE)</f>
        <v>#N/A</v>
      </c>
      <c r="M1410" s="74"/>
      <c r="N1410" s="74">
        <f t="shared" si="11"/>
        <v>0</v>
      </c>
      <c r="O1410" s="74">
        <f t="shared" si="13"/>
        <v>0</v>
      </c>
      <c r="P1410" s="63">
        <f t="shared" si="14"/>
        <v>0</v>
      </c>
      <c r="Q1410" s="63" t="str">
        <f t="shared" si="15"/>
        <v>#N/A</v>
      </c>
      <c r="R1410" s="93" t="str">
        <f>VLOOKUP(F1410,DATABASE!C:Q,4,false)</f>
        <v>#N/A</v>
      </c>
      <c r="S1410" s="93" t="str">
        <f>VLOOKUP(F1410,DATABASE!C:P,11,false)</f>
        <v>#N/A</v>
      </c>
      <c r="T1410" s="93" t="str">
        <f>vlookup(F1410,DATABASE!C:Q,8,false)</f>
        <v>#N/A</v>
      </c>
      <c r="Z1410" s="9"/>
    </row>
    <row r="1411" ht="22.5" customHeight="1">
      <c r="A1411" s="49"/>
      <c r="C1411" s="384"/>
      <c r="D1411" s="93"/>
      <c r="F1411" s="74"/>
      <c r="H1411" s="74"/>
      <c r="I1411" s="74"/>
      <c r="J1411" s="74"/>
      <c r="K1411" s="74" t="str">
        <f>if(F1411="SERVICE",O1411-(O1411*50%),Vlookup(F1411,DATABASE!C:Q,10,false)*G1411)</f>
        <v>#N/A</v>
      </c>
      <c r="L1411" s="74" t="str">
        <f>VLOOKUP(F1411,DATABASE!C:Q,7,FALSE)</f>
        <v>#N/A</v>
      </c>
      <c r="M1411" s="74"/>
      <c r="N1411" s="74">
        <f t="shared" si="11"/>
        <v>0</v>
      </c>
      <c r="O1411" s="74">
        <f t="shared" si="13"/>
        <v>0</v>
      </c>
      <c r="P1411" s="63">
        <f t="shared" si="14"/>
        <v>0</v>
      </c>
      <c r="Q1411" s="63" t="str">
        <f t="shared" si="15"/>
        <v>#N/A</v>
      </c>
      <c r="R1411" s="93" t="str">
        <f>VLOOKUP(F1411,DATABASE!C:Q,4,false)</f>
        <v>#N/A</v>
      </c>
      <c r="S1411" s="93" t="str">
        <f>VLOOKUP(F1411,DATABASE!C:P,11,false)</f>
        <v>#N/A</v>
      </c>
      <c r="T1411" s="93" t="str">
        <f>vlookup(F1411,DATABASE!C:Q,8,false)</f>
        <v>#N/A</v>
      </c>
      <c r="Z1411" s="9"/>
    </row>
    <row r="1412" ht="22.5" customHeight="1">
      <c r="A1412" s="49"/>
      <c r="C1412" s="384"/>
      <c r="D1412" s="93"/>
      <c r="F1412" s="74"/>
      <c r="H1412" s="74"/>
      <c r="I1412" s="74"/>
      <c r="J1412" s="74"/>
      <c r="K1412" s="74" t="str">
        <f>if(F1412="SERVICE",O1412-(O1412*50%),Vlookup(F1412,DATABASE!C:Q,10,false)*G1412)</f>
        <v>#N/A</v>
      </c>
      <c r="L1412" s="74" t="str">
        <f>VLOOKUP(F1412,DATABASE!C:Q,7,FALSE)</f>
        <v>#N/A</v>
      </c>
      <c r="M1412" s="74"/>
      <c r="N1412" s="74">
        <f t="shared" si="11"/>
        <v>0</v>
      </c>
      <c r="O1412" s="74">
        <f t="shared" si="13"/>
        <v>0</v>
      </c>
      <c r="P1412" s="63">
        <f t="shared" si="14"/>
        <v>0</v>
      </c>
      <c r="Q1412" s="63" t="str">
        <f t="shared" si="15"/>
        <v>#N/A</v>
      </c>
      <c r="R1412" s="93" t="str">
        <f>VLOOKUP(F1412,DATABASE!C:Q,4,false)</f>
        <v>#N/A</v>
      </c>
      <c r="S1412" s="93" t="str">
        <f>VLOOKUP(F1412,DATABASE!C:P,11,false)</f>
        <v>#N/A</v>
      </c>
      <c r="T1412" s="93" t="str">
        <f>vlookup(F1412,DATABASE!C:Q,8,false)</f>
        <v>#N/A</v>
      </c>
      <c r="Z1412" s="9"/>
    </row>
    <row r="1413" ht="22.5" customHeight="1">
      <c r="A1413" s="49"/>
      <c r="C1413" s="384"/>
      <c r="D1413" s="93"/>
      <c r="F1413" s="74"/>
      <c r="H1413" s="74"/>
      <c r="I1413" s="74"/>
      <c r="J1413" s="74"/>
      <c r="K1413" s="74" t="str">
        <f>if(F1413="SERVICE",O1413-(O1413*50%),Vlookup(F1413,DATABASE!C:Q,10,false)*G1413)</f>
        <v>#N/A</v>
      </c>
      <c r="L1413" s="74" t="str">
        <f>VLOOKUP(F1413,DATABASE!C:Q,7,FALSE)</f>
        <v>#N/A</v>
      </c>
      <c r="M1413" s="74"/>
      <c r="N1413" s="74">
        <f t="shared" si="11"/>
        <v>0</v>
      </c>
      <c r="O1413" s="74">
        <f t="shared" si="13"/>
        <v>0</v>
      </c>
      <c r="P1413" s="63">
        <f t="shared" si="14"/>
        <v>0</v>
      </c>
      <c r="Q1413" s="63" t="str">
        <f t="shared" si="15"/>
        <v>#N/A</v>
      </c>
      <c r="R1413" s="93" t="str">
        <f>VLOOKUP(F1413,DATABASE!C:Q,4,false)</f>
        <v>#N/A</v>
      </c>
      <c r="S1413" s="93" t="str">
        <f>VLOOKUP(F1413,DATABASE!C:P,11,false)</f>
        <v>#N/A</v>
      </c>
      <c r="T1413" s="93" t="str">
        <f>vlookup(F1413,DATABASE!C:Q,8,false)</f>
        <v>#N/A</v>
      </c>
      <c r="Z1413" s="9"/>
    </row>
    <row r="1414" ht="22.5" customHeight="1">
      <c r="A1414" s="49"/>
      <c r="C1414" s="384"/>
      <c r="D1414" s="93"/>
      <c r="F1414" s="74"/>
      <c r="H1414" s="74"/>
      <c r="I1414" s="74"/>
      <c r="J1414" s="74"/>
      <c r="K1414" s="74" t="str">
        <f>if(F1414="SERVICE",O1414-(O1414*50%),Vlookup(F1414,DATABASE!C:Q,10,false)*G1414)</f>
        <v>#N/A</v>
      </c>
      <c r="L1414" s="74" t="str">
        <f>VLOOKUP(F1414,DATABASE!C:Q,7,FALSE)</f>
        <v>#N/A</v>
      </c>
      <c r="M1414" s="74"/>
      <c r="N1414" s="74">
        <f t="shared" si="11"/>
        <v>0</v>
      </c>
      <c r="O1414" s="74">
        <f t="shared" si="13"/>
        <v>0</v>
      </c>
      <c r="P1414" s="63">
        <f t="shared" si="14"/>
        <v>0</v>
      </c>
      <c r="Q1414" s="63" t="str">
        <f t="shared" si="15"/>
        <v>#N/A</v>
      </c>
      <c r="R1414" s="93" t="str">
        <f>VLOOKUP(F1414,DATABASE!C:Q,4,false)</f>
        <v>#N/A</v>
      </c>
      <c r="S1414" s="93" t="str">
        <f>VLOOKUP(F1414,DATABASE!C:P,11,false)</f>
        <v>#N/A</v>
      </c>
      <c r="T1414" s="93" t="str">
        <f>vlookup(F1414,DATABASE!C:Q,8,false)</f>
        <v>#N/A</v>
      </c>
      <c r="Z1414" s="9"/>
    </row>
    <row r="1415" ht="22.5" customHeight="1">
      <c r="A1415" s="49"/>
      <c r="C1415" s="384"/>
      <c r="D1415" s="93"/>
      <c r="F1415" s="74"/>
      <c r="H1415" s="74"/>
      <c r="I1415" s="74"/>
      <c r="J1415" s="74"/>
      <c r="K1415" s="74" t="str">
        <f>if(F1415="SERVICE",O1415-(O1415*50%),Vlookup(F1415,DATABASE!C:Q,10,false)*G1415)</f>
        <v>#N/A</v>
      </c>
      <c r="L1415" s="74" t="str">
        <f>VLOOKUP(F1415,DATABASE!C:Q,7,FALSE)</f>
        <v>#N/A</v>
      </c>
      <c r="M1415" s="74"/>
      <c r="N1415" s="74">
        <f t="shared" si="11"/>
        <v>0</v>
      </c>
      <c r="O1415" s="74">
        <f t="shared" si="13"/>
        <v>0</v>
      </c>
      <c r="P1415" s="63">
        <f t="shared" si="14"/>
        <v>0</v>
      </c>
      <c r="Q1415" s="63" t="str">
        <f t="shared" si="15"/>
        <v>#N/A</v>
      </c>
      <c r="R1415" s="93" t="str">
        <f>VLOOKUP(F1415,DATABASE!C:Q,4,false)</f>
        <v>#N/A</v>
      </c>
      <c r="S1415" s="93" t="str">
        <f>VLOOKUP(F1415,DATABASE!C:P,11,false)</f>
        <v>#N/A</v>
      </c>
      <c r="T1415" s="93" t="str">
        <f>vlookup(F1415,DATABASE!C:Q,8,false)</f>
        <v>#N/A</v>
      </c>
      <c r="Z1415" s="9"/>
    </row>
    <row r="1416" ht="22.5" customHeight="1">
      <c r="A1416" s="49"/>
      <c r="C1416" s="384"/>
      <c r="D1416" s="93"/>
      <c r="F1416" s="74"/>
      <c r="H1416" s="74"/>
      <c r="I1416" s="74"/>
      <c r="J1416" s="74"/>
      <c r="K1416" s="74" t="str">
        <f>if(F1416="SERVICE",O1416-(O1416*50%),Vlookup(F1416,DATABASE!C:Q,10,false)*G1416)</f>
        <v>#N/A</v>
      </c>
      <c r="L1416" s="74" t="str">
        <f>VLOOKUP(F1416,DATABASE!C:Q,7,FALSE)</f>
        <v>#N/A</v>
      </c>
      <c r="M1416" s="74"/>
      <c r="N1416" s="74">
        <f t="shared" si="11"/>
        <v>0</v>
      </c>
      <c r="O1416" s="74">
        <f t="shared" si="13"/>
        <v>0</v>
      </c>
      <c r="P1416" s="63">
        <f t="shared" si="14"/>
        <v>0</v>
      </c>
      <c r="Q1416" s="63" t="str">
        <f t="shared" si="15"/>
        <v>#N/A</v>
      </c>
      <c r="R1416" s="93" t="str">
        <f>VLOOKUP(F1416,DATABASE!C:Q,4,false)</f>
        <v>#N/A</v>
      </c>
      <c r="S1416" s="93" t="str">
        <f>VLOOKUP(F1416,DATABASE!C:P,11,false)</f>
        <v>#N/A</v>
      </c>
      <c r="T1416" s="93" t="str">
        <f>vlookup(F1416,DATABASE!C:Q,8,false)</f>
        <v>#N/A</v>
      </c>
      <c r="Z1416" s="9"/>
    </row>
    <row r="1417" ht="22.5" customHeight="1">
      <c r="A1417" s="49"/>
      <c r="C1417" s="384"/>
      <c r="D1417" s="93"/>
      <c r="F1417" s="74"/>
      <c r="H1417" s="74"/>
      <c r="I1417" s="74"/>
      <c r="J1417" s="74"/>
      <c r="K1417" s="74" t="str">
        <f>if(F1417="SERVICE",O1417-(O1417*50%),Vlookup(F1417,DATABASE!C:Q,10,false)*G1417)</f>
        <v>#N/A</v>
      </c>
      <c r="L1417" s="74" t="str">
        <f>VLOOKUP(F1417,DATABASE!C:Q,7,FALSE)</f>
        <v>#N/A</v>
      </c>
      <c r="M1417" s="74"/>
      <c r="N1417" s="74">
        <f t="shared" si="11"/>
        <v>0</v>
      </c>
      <c r="O1417" s="74">
        <f t="shared" si="13"/>
        <v>0</v>
      </c>
      <c r="P1417" s="63">
        <f t="shared" si="14"/>
        <v>0</v>
      </c>
      <c r="Q1417" s="63" t="str">
        <f t="shared" si="15"/>
        <v>#N/A</v>
      </c>
      <c r="R1417" s="93" t="str">
        <f>VLOOKUP(F1417,DATABASE!C:Q,4,false)</f>
        <v>#N/A</v>
      </c>
      <c r="S1417" s="93" t="str">
        <f>VLOOKUP(F1417,DATABASE!C:P,11,false)</f>
        <v>#N/A</v>
      </c>
      <c r="T1417" s="93" t="str">
        <f>vlookup(F1417,DATABASE!C:Q,8,false)</f>
        <v>#N/A</v>
      </c>
      <c r="Z1417" s="9"/>
    </row>
    <row r="1418" ht="22.5" customHeight="1">
      <c r="A1418" s="49"/>
      <c r="C1418" s="384"/>
      <c r="D1418" s="93"/>
      <c r="F1418" s="74"/>
      <c r="H1418" s="74"/>
      <c r="I1418" s="74"/>
      <c r="J1418" s="74"/>
      <c r="K1418" s="74" t="str">
        <f>if(F1418="SERVICE",O1418-(O1418*50%),Vlookup(F1418,DATABASE!C:Q,10,false)*G1418)</f>
        <v>#N/A</v>
      </c>
      <c r="L1418" s="74" t="str">
        <f>VLOOKUP(F1418,DATABASE!C:Q,7,FALSE)</f>
        <v>#N/A</v>
      </c>
      <c r="M1418" s="74"/>
      <c r="N1418" s="74">
        <f t="shared" si="11"/>
        <v>0</v>
      </c>
      <c r="O1418" s="74">
        <f t="shared" si="13"/>
        <v>0</v>
      </c>
      <c r="P1418" s="63">
        <f t="shared" si="14"/>
        <v>0</v>
      </c>
      <c r="Q1418" s="63" t="str">
        <f t="shared" si="15"/>
        <v>#N/A</v>
      </c>
      <c r="R1418" s="93" t="str">
        <f>VLOOKUP(F1418,DATABASE!C:Q,4,false)</f>
        <v>#N/A</v>
      </c>
      <c r="S1418" s="93" t="str">
        <f>VLOOKUP(F1418,DATABASE!C:P,11,false)</f>
        <v>#N/A</v>
      </c>
      <c r="T1418" s="93" t="str">
        <f>vlookup(F1418,DATABASE!C:Q,8,false)</f>
        <v>#N/A</v>
      </c>
      <c r="Z1418" s="9"/>
    </row>
    <row r="1419" ht="22.5" customHeight="1">
      <c r="A1419" s="49"/>
      <c r="C1419" s="384"/>
      <c r="D1419" s="93"/>
      <c r="F1419" s="74"/>
      <c r="H1419" s="74"/>
      <c r="I1419" s="74"/>
      <c r="J1419" s="74"/>
      <c r="K1419" s="74" t="str">
        <f>if(F1419="SERVICE",O1419-(O1419*50%),Vlookup(F1419,DATABASE!C:Q,10,false)*G1419)</f>
        <v>#N/A</v>
      </c>
      <c r="L1419" s="74" t="str">
        <f>VLOOKUP(F1419,DATABASE!C:Q,7,FALSE)</f>
        <v>#N/A</v>
      </c>
      <c r="M1419" s="74"/>
      <c r="N1419" s="74">
        <f t="shared" si="11"/>
        <v>0</v>
      </c>
      <c r="O1419" s="74">
        <f t="shared" si="13"/>
        <v>0</v>
      </c>
      <c r="P1419" s="63">
        <f t="shared" si="14"/>
        <v>0</v>
      </c>
      <c r="Q1419" s="63" t="str">
        <f t="shared" si="15"/>
        <v>#N/A</v>
      </c>
      <c r="R1419" s="93" t="str">
        <f>VLOOKUP(F1419,DATABASE!C:Q,4,false)</f>
        <v>#N/A</v>
      </c>
      <c r="S1419" s="93" t="str">
        <f>VLOOKUP(F1419,DATABASE!C:P,11,false)</f>
        <v>#N/A</v>
      </c>
      <c r="T1419" s="93" t="str">
        <f>vlookup(F1419,DATABASE!C:Q,8,false)</f>
        <v>#N/A</v>
      </c>
      <c r="Z1419" s="9"/>
    </row>
    <row r="1420" ht="22.5" customHeight="1">
      <c r="A1420" s="49"/>
      <c r="C1420" s="384"/>
      <c r="D1420" s="93"/>
      <c r="F1420" s="74"/>
      <c r="H1420" s="74"/>
      <c r="I1420" s="74"/>
      <c r="J1420" s="74"/>
      <c r="K1420" s="74" t="str">
        <f>if(F1420="SERVICE",O1420-(O1420*50%),Vlookup(F1420,DATABASE!C:Q,10,false)*G1420)</f>
        <v>#N/A</v>
      </c>
      <c r="L1420" s="74" t="str">
        <f>VLOOKUP(F1420,DATABASE!C:Q,7,FALSE)</f>
        <v>#N/A</v>
      </c>
      <c r="M1420" s="74"/>
      <c r="N1420" s="74">
        <f t="shared" si="11"/>
        <v>0</v>
      </c>
      <c r="O1420" s="74">
        <f t="shared" si="13"/>
        <v>0</v>
      </c>
      <c r="P1420" s="63">
        <f t="shared" si="14"/>
        <v>0</v>
      </c>
      <c r="Q1420" s="63" t="str">
        <f t="shared" si="15"/>
        <v>#N/A</v>
      </c>
      <c r="R1420" s="93" t="str">
        <f>VLOOKUP(F1420,DATABASE!C:Q,4,false)</f>
        <v>#N/A</v>
      </c>
      <c r="S1420" s="93" t="str">
        <f>VLOOKUP(F1420,DATABASE!C:P,11,false)</f>
        <v>#N/A</v>
      </c>
      <c r="T1420" s="93" t="str">
        <f>vlookup(F1420,DATABASE!C:Q,8,false)</f>
        <v>#N/A</v>
      </c>
      <c r="Z1420" s="9"/>
    </row>
    <row r="1421" ht="22.5" customHeight="1">
      <c r="A1421" s="49"/>
      <c r="C1421" s="384"/>
      <c r="D1421" s="93"/>
      <c r="F1421" s="74"/>
      <c r="H1421" s="74"/>
      <c r="I1421" s="74"/>
      <c r="J1421" s="74"/>
      <c r="K1421" s="74" t="str">
        <f>if(F1421="SERVICE",O1421-(O1421*50%),Vlookup(F1421,DATABASE!C:Q,10,false)*G1421)</f>
        <v>#N/A</v>
      </c>
      <c r="L1421" s="74" t="str">
        <f>VLOOKUP(F1421,DATABASE!C:Q,7,FALSE)</f>
        <v>#N/A</v>
      </c>
      <c r="M1421" s="74"/>
      <c r="N1421" s="74">
        <f t="shared" si="11"/>
        <v>0</v>
      </c>
      <c r="O1421" s="74">
        <f t="shared" si="13"/>
        <v>0</v>
      </c>
      <c r="P1421" s="63">
        <f t="shared" si="14"/>
        <v>0</v>
      </c>
      <c r="Q1421" s="63" t="str">
        <f t="shared" si="15"/>
        <v>#N/A</v>
      </c>
      <c r="R1421" s="93" t="str">
        <f>VLOOKUP(F1421,DATABASE!C:Q,4,false)</f>
        <v>#N/A</v>
      </c>
      <c r="S1421" s="93" t="str">
        <f>VLOOKUP(F1421,DATABASE!C:P,11,false)</f>
        <v>#N/A</v>
      </c>
      <c r="T1421" s="93" t="str">
        <f>vlookup(F1421,DATABASE!C:Q,8,false)</f>
        <v>#N/A</v>
      </c>
      <c r="Z1421" s="9"/>
    </row>
    <row r="1422" ht="22.5" customHeight="1">
      <c r="A1422" s="49"/>
      <c r="C1422" s="384"/>
      <c r="D1422" s="93"/>
      <c r="F1422" s="74"/>
      <c r="H1422" s="74"/>
      <c r="I1422" s="74"/>
      <c r="J1422" s="74"/>
      <c r="K1422" s="74" t="str">
        <f>if(F1422="SERVICE",O1422-(O1422*50%),Vlookup(F1422,DATABASE!C:Q,10,false)*G1422)</f>
        <v>#N/A</v>
      </c>
      <c r="L1422" s="74" t="str">
        <f>VLOOKUP(F1422,DATABASE!C:Q,7,FALSE)</f>
        <v>#N/A</v>
      </c>
      <c r="M1422" s="74"/>
      <c r="N1422" s="74">
        <f t="shared" si="11"/>
        <v>0</v>
      </c>
      <c r="O1422" s="74">
        <f t="shared" si="13"/>
        <v>0</v>
      </c>
      <c r="P1422" s="63">
        <f t="shared" si="14"/>
        <v>0</v>
      </c>
      <c r="Q1422" s="63" t="str">
        <f t="shared" si="15"/>
        <v>#N/A</v>
      </c>
      <c r="R1422" s="93" t="str">
        <f>VLOOKUP(F1422,DATABASE!C:Q,4,false)</f>
        <v>#N/A</v>
      </c>
      <c r="S1422" s="93" t="str">
        <f>VLOOKUP(F1422,DATABASE!C:P,11,false)</f>
        <v>#N/A</v>
      </c>
      <c r="T1422" s="93" t="str">
        <f>vlookup(F1422,DATABASE!C:Q,8,false)</f>
        <v>#N/A</v>
      </c>
      <c r="Z1422" s="9"/>
    </row>
    <row r="1423" ht="22.5" customHeight="1">
      <c r="A1423" s="49"/>
      <c r="C1423" s="384"/>
      <c r="D1423" s="93"/>
      <c r="F1423" s="74"/>
      <c r="H1423" s="74"/>
      <c r="I1423" s="74"/>
      <c r="J1423" s="74"/>
      <c r="K1423" s="74" t="str">
        <f>if(F1423="SERVICE",O1423-(O1423*50%),Vlookup(F1423,DATABASE!C:Q,10,false)*G1423)</f>
        <v>#N/A</v>
      </c>
      <c r="L1423" s="74" t="str">
        <f>VLOOKUP(F1423,DATABASE!C:Q,7,FALSE)</f>
        <v>#N/A</v>
      </c>
      <c r="M1423" s="74"/>
      <c r="N1423" s="74">
        <f t="shared" si="11"/>
        <v>0</v>
      </c>
      <c r="O1423" s="74">
        <f t="shared" si="13"/>
        <v>0</v>
      </c>
      <c r="P1423" s="63">
        <f t="shared" si="14"/>
        <v>0</v>
      </c>
      <c r="Q1423" s="63" t="str">
        <f t="shared" si="15"/>
        <v>#N/A</v>
      </c>
      <c r="R1423" s="93" t="str">
        <f>VLOOKUP(F1423,DATABASE!C:Q,4,false)</f>
        <v>#N/A</v>
      </c>
      <c r="S1423" s="93" t="str">
        <f>VLOOKUP(F1423,DATABASE!C:P,11,false)</f>
        <v>#N/A</v>
      </c>
      <c r="T1423" s="93" t="str">
        <f>vlookup(F1423,DATABASE!C:Q,8,false)</f>
        <v>#N/A</v>
      </c>
      <c r="Z1423" s="9"/>
    </row>
    <row r="1424" ht="22.5" customHeight="1">
      <c r="A1424" s="49"/>
      <c r="C1424" s="384"/>
      <c r="D1424" s="93"/>
      <c r="F1424" s="74"/>
      <c r="H1424" s="74"/>
      <c r="I1424" s="74"/>
      <c r="J1424" s="74"/>
      <c r="K1424" s="74" t="str">
        <f>if(F1424="SERVICE",O1424-(O1424*50%),Vlookup(F1424,DATABASE!C:Q,10,false)*G1424)</f>
        <v>#N/A</v>
      </c>
      <c r="L1424" s="74" t="str">
        <f>VLOOKUP(F1424,DATABASE!C:Q,7,FALSE)</f>
        <v>#N/A</v>
      </c>
      <c r="M1424" s="74"/>
      <c r="N1424" s="74">
        <f t="shared" si="11"/>
        <v>0</v>
      </c>
      <c r="O1424" s="74">
        <f t="shared" si="13"/>
        <v>0</v>
      </c>
      <c r="P1424" s="63">
        <f t="shared" si="14"/>
        <v>0</v>
      </c>
      <c r="Q1424" s="63" t="str">
        <f t="shared" si="15"/>
        <v>#N/A</v>
      </c>
      <c r="R1424" s="93" t="str">
        <f>VLOOKUP(F1424,DATABASE!C:Q,4,false)</f>
        <v>#N/A</v>
      </c>
      <c r="S1424" s="93" t="str">
        <f>VLOOKUP(F1424,DATABASE!C:P,11,false)</f>
        <v>#N/A</v>
      </c>
      <c r="T1424" s="93" t="str">
        <f>vlookup(F1424,DATABASE!C:Q,8,false)</f>
        <v>#N/A</v>
      </c>
      <c r="Z1424" s="9"/>
    </row>
    <row r="1425" ht="22.5" customHeight="1">
      <c r="A1425" s="49"/>
      <c r="C1425" s="384"/>
      <c r="D1425" s="93"/>
      <c r="F1425" s="74"/>
      <c r="H1425" s="74"/>
      <c r="I1425" s="74"/>
      <c r="J1425" s="74"/>
      <c r="K1425" s="74" t="str">
        <f>if(F1425="SERVICE",O1425-(O1425*50%),Vlookup(F1425,DATABASE!C:Q,10,false)*G1425)</f>
        <v>#N/A</v>
      </c>
      <c r="L1425" s="74" t="str">
        <f>VLOOKUP(F1425,DATABASE!C:Q,7,FALSE)</f>
        <v>#N/A</v>
      </c>
      <c r="M1425" s="74"/>
      <c r="N1425" s="74">
        <f t="shared" si="11"/>
        <v>0</v>
      </c>
      <c r="O1425" s="74">
        <f t="shared" si="13"/>
        <v>0</v>
      </c>
      <c r="P1425" s="63">
        <f t="shared" si="14"/>
        <v>0</v>
      </c>
      <c r="Q1425" s="63" t="str">
        <f t="shared" si="15"/>
        <v>#N/A</v>
      </c>
      <c r="R1425" s="93" t="str">
        <f>VLOOKUP(F1425,DATABASE!C:Q,4,false)</f>
        <v>#N/A</v>
      </c>
      <c r="S1425" s="93" t="str">
        <f>VLOOKUP(F1425,DATABASE!C:P,11,false)</f>
        <v>#N/A</v>
      </c>
      <c r="T1425" s="93" t="str">
        <f>vlookup(F1425,DATABASE!C:Q,8,false)</f>
        <v>#N/A</v>
      </c>
      <c r="Z1425" s="9"/>
    </row>
    <row r="1426" ht="22.5" customHeight="1">
      <c r="A1426" s="49"/>
      <c r="C1426" s="384"/>
      <c r="D1426" s="93"/>
      <c r="F1426" s="74"/>
      <c r="H1426" s="74"/>
      <c r="I1426" s="74"/>
      <c r="J1426" s="74"/>
      <c r="K1426" s="74" t="str">
        <f>if(F1426="SERVICE",O1426-(O1426*50%),Vlookup(F1426,DATABASE!C:Q,10,false)*G1426)</f>
        <v>#N/A</v>
      </c>
      <c r="L1426" s="74" t="str">
        <f>VLOOKUP(F1426,DATABASE!C:Q,7,FALSE)</f>
        <v>#N/A</v>
      </c>
      <c r="M1426" s="74"/>
      <c r="N1426" s="74">
        <f t="shared" si="11"/>
        <v>0</v>
      </c>
      <c r="O1426" s="74">
        <f t="shared" si="13"/>
        <v>0</v>
      </c>
      <c r="P1426" s="63">
        <f t="shared" si="14"/>
        <v>0</v>
      </c>
      <c r="Q1426" s="63" t="str">
        <f t="shared" si="15"/>
        <v>#N/A</v>
      </c>
      <c r="R1426" s="93" t="str">
        <f>VLOOKUP(F1426,DATABASE!C:Q,4,false)</f>
        <v>#N/A</v>
      </c>
      <c r="S1426" s="93" t="str">
        <f>VLOOKUP(F1426,DATABASE!C:P,11,false)</f>
        <v>#N/A</v>
      </c>
      <c r="T1426" s="93" t="str">
        <f>vlookup(F1426,DATABASE!C:Q,8,false)</f>
        <v>#N/A</v>
      </c>
      <c r="Z1426" s="9"/>
    </row>
    <row r="1427" ht="22.5" customHeight="1">
      <c r="A1427" s="49"/>
      <c r="C1427" s="384"/>
      <c r="D1427" s="93"/>
      <c r="F1427" s="74"/>
      <c r="H1427" s="74"/>
      <c r="I1427" s="74"/>
      <c r="J1427" s="74"/>
      <c r="K1427" s="74" t="str">
        <f>if(F1427="SERVICE",O1427-(O1427*50%),Vlookup(F1427,DATABASE!C:Q,10,false)*G1427)</f>
        <v>#N/A</v>
      </c>
      <c r="L1427" s="74" t="str">
        <f>VLOOKUP(F1427,DATABASE!C:Q,7,FALSE)</f>
        <v>#N/A</v>
      </c>
      <c r="M1427" s="74"/>
      <c r="N1427" s="74">
        <f t="shared" si="11"/>
        <v>0</v>
      </c>
      <c r="O1427" s="74">
        <f t="shared" si="13"/>
        <v>0</v>
      </c>
      <c r="P1427" s="63">
        <f t="shared" si="14"/>
        <v>0</v>
      </c>
      <c r="Q1427" s="63" t="str">
        <f t="shared" si="15"/>
        <v>#N/A</v>
      </c>
      <c r="R1427" s="93" t="str">
        <f>VLOOKUP(F1427,DATABASE!C:Q,4,false)</f>
        <v>#N/A</v>
      </c>
      <c r="S1427" s="93" t="str">
        <f>VLOOKUP(F1427,DATABASE!C:P,11,false)</f>
        <v>#N/A</v>
      </c>
      <c r="T1427" s="93" t="str">
        <f>vlookup(F1427,DATABASE!C:Q,8,false)</f>
        <v>#N/A</v>
      </c>
      <c r="Z1427" s="9"/>
    </row>
    <row r="1428" ht="22.5" customHeight="1">
      <c r="A1428" s="49"/>
      <c r="C1428" s="384"/>
      <c r="D1428" s="93"/>
      <c r="F1428" s="74"/>
      <c r="H1428" s="74"/>
      <c r="I1428" s="74"/>
      <c r="J1428" s="74"/>
      <c r="K1428" s="74" t="str">
        <f>if(F1428="SERVICE",O1428-(O1428*50%),Vlookup(F1428,DATABASE!C:Q,10,false)*G1428)</f>
        <v>#N/A</v>
      </c>
      <c r="L1428" s="74" t="str">
        <f>VLOOKUP(F1428,DATABASE!C:Q,7,FALSE)</f>
        <v>#N/A</v>
      </c>
      <c r="M1428" s="74"/>
      <c r="N1428" s="74">
        <f t="shared" si="11"/>
        <v>0</v>
      </c>
      <c r="O1428" s="74">
        <f t="shared" si="13"/>
        <v>0</v>
      </c>
      <c r="P1428" s="63">
        <f t="shared" si="14"/>
        <v>0</v>
      </c>
      <c r="Q1428" s="63" t="str">
        <f t="shared" si="15"/>
        <v>#N/A</v>
      </c>
      <c r="R1428" s="93" t="str">
        <f>VLOOKUP(F1428,DATABASE!C:Q,4,false)</f>
        <v>#N/A</v>
      </c>
      <c r="S1428" s="93" t="str">
        <f>VLOOKUP(F1428,DATABASE!C:P,11,false)</f>
        <v>#N/A</v>
      </c>
      <c r="T1428" s="93" t="str">
        <f>vlookup(F1428,DATABASE!C:Q,8,false)</f>
        <v>#N/A</v>
      </c>
      <c r="Z1428" s="9"/>
    </row>
    <row r="1429" ht="22.5" customHeight="1">
      <c r="A1429" s="49"/>
      <c r="C1429" s="384"/>
      <c r="D1429" s="93"/>
      <c r="F1429" s="74"/>
      <c r="H1429" s="74"/>
      <c r="I1429" s="74"/>
      <c r="J1429" s="74"/>
      <c r="K1429" s="74" t="str">
        <f>if(F1429="SERVICE",O1429-(O1429*50%),Vlookup(F1429,DATABASE!C:Q,10,false)*G1429)</f>
        <v>#N/A</v>
      </c>
      <c r="L1429" s="74" t="str">
        <f>VLOOKUP(F1429,DATABASE!C:Q,7,FALSE)</f>
        <v>#N/A</v>
      </c>
      <c r="M1429" s="74"/>
      <c r="N1429" s="74">
        <f t="shared" si="11"/>
        <v>0</v>
      </c>
      <c r="O1429" s="74">
        <f t="shared" si="13"/>
        <v>0</v>
      </c>
      <c r="P1429" s="63">
        <f t="shared" si="14"/>
        <v>0</v>
      </c>
      <c r="Q1429" s="63" t="str">
        <f t="shared" si="15"/>
        <v>#N/A</v>
      </c>
      <c r="R1429" s="93" t="str">
        <f>VLOOKUP(F1429,DATABASE!C:Q,4,false)</f>
        <v>#N/A</v>
      </c>
      <c r="S1429" s="93" t="str">
        <f>VLOOKUP(F1429,DATABASE!C:P,11,false)</f>
        <v>#N/A</v>
      </c>
      <c r="T1429" s="93" t="str">
        <f>vlookup(F1429,DATABASE!C:Q,8,false)</f>
        <v>#N/A</v>
      </c>
      <c r="Z1429" s="9"/>
    </row>
    <row r="1430" ht="22.5" customHeight="1">
      <c r="A1430" s="49"/>
      <c r="C1430" s="384"/>
      <c r="D1430" s="93"/>
      <c r="F1430" s="74"/>
      <c r="H1430" s="74"/>
      <c r="I1430" s="74"/>
      <c r="J1430" s="74"/>
      <c r="K1430" s="74" t="str">
        <f>if(F1430="SERVICE",O1430-(O1430*50%),Vlookup(F1430,DATABASE!C:Q,10,false)*G1430)</f>
        <v>#N/A</v>
      </c>
      <c r="L1430" s="74" t="str">
        <f>VLOOKUP(F1430,DATABASE!C:Q,7,FALSE)</f>
        <v>#N/A</v>
      </c>
      <c r="M1430" s="74"/>
      <c r="N1430" s="74">
        <f t="shared" si="11"/>
        <v>0</v>
      </c>
      <c r="O1430" s="74">
        <f t="shared" si="13"/>
        <v>0</v>
      </c>
      <c r="P1430" s="63">
        <f t="shared" si="14"/>
        <v>0</v>
      </c>
      <c r="Q1430" s="63" t="str">
        <f t="shared" si="15"/>
        <v>#N/A</v>
      </c>
      <c r="R1430" s="93" t="str">
        <f>VLOOKUP(F1430,DATABASE!C:Q,4,false)</f>
        <v>#N/A</v>
      </c>
      <c r="S1430" s="93" t="str">
        <f>VLOOKUP(F1430,DATABASE!C:P,11,false)</f>
        <v>#N/A</v>
      </c>
      <c r="T1430" s="93" t="str">
        <f>vlookup(F1430,DATABASE!C:Q,8,false)</f>
        <v>#N/A</v>
      </c>
      <c r="Z1430" s="9"/>
    </row>
    <row r="1431" ht="22.5" customHeight="1">
      <c r="A1431" s="49"/>
      <c r="C1431" s="384"/>
      <c r="D1431" s="93"/>
      <c r="F1431" s="74"/>
      <c r="H1431" s="74"/>
      <c r="I1431" s="74"/>
      <c r="J1431" s="74"/>
      <c r="K1431" s="74" t="str">
        <f>if(F1431="SERVICE",O1431-(O1431*50%),Vlookup(F1431,DATABASE!C:Q,10,false)*G1431)</f>
        <v>#N/A</v>
      </c>
      <c r="L1431" s="74" t="str">
        <f>VLOOKUP(F1431,DATABASE!C:Q,7,FALSE)</f>
        <v>#N/A</v>
      </c>
      <c r="M1431" s="74"/>
      <c r="N1431" s="74">
        <f t="shared" si="11"/>
        <v>0</v>
      </c>
      <c r="O1431" s="74">
        <f t="shared" si="13"/>
        <v>0</v>
      </c>
      <c r="P1431" s="63">
        <f t="shared" si="14"/>
        <v>0</v>
      </c>
      <c r="Q1431" s="63" t="str">
        <f t="shared" si="15"/>
        <v>#N/A</v>
      </c>
      <c r="R1431" s="93" t="str">
        <f>VLOOKUP(F1431,DATABASE!C:Q,4,false)</f>
        <v>#N/A</v>
      </c>
      <c r="S1431" s="93" t="str">
        <f>VLOOKUP(F1431,DATABASE!C:P,11,false)</f>
        <v>#N/A</v>
      </c>
      <c r="T1431" s="93" t="str">
        <f>vlookup(F1431,DATABASE!C:Q,8,false)</f>
        <v>#N/A</v>
      </c>
      <c r="Z1431" s="9"/>
    </row>
    <row r="1432" ht="22.5" customHeight="1">
      <c r="A1432" s="49"/>
      <c r="C1432" s="384"/>
      <c r="D1432" s="93"/>
      <c r="F1432" s="74"/>
      <c r="H1432" s="74"/>
      <c r="I1432" s="74"/>
      <c r="J1432" s="74"/>
      <c r="K1432" s="74" t="str">
        <f>if(F1432="SERVICE",O1432-(O1432*50%),Vlookup(F1432,DATABASE!C:Q,10,false)*G1432)</f>
        <v>#N/A</v>
      </c>
      <c r="L1432" s="74" t="str">
        <f>VLOOKUP(F1432,DATABASE!C:Q,7,FALSE)</f>
        <v>#N/A</v>
      </c>
      <c r="M1432" s="74"/>
      <c r="N1432" s="74">
        <f t="shared" si="11"/>
        <v>0</v>
      </c>
      <c r="O1432" s="74">
        <f t="shared" si="13"/>
        <v>0</v>
      </c>
      <c r="P1432" s="63">
        <f t="shared" si="14"/>
        <v>0</v>
      </c>
      <c r="Q1432" s="63" t="str">
        <f t="shared" si="15"/>
        <v>#N/A</v>
      </c>
      <c r="R1432" s="93" t="str">
        <f>VLOOKUP(F1432,DATABASE!C:Q,4,false)</f>
        <v>#N/A</v>
      </c>
      <c r="S1432" s="93" t="str">
        <f>VLOOKUP(F1432,DATABASE!C:P,11,false)</f>
        <v>#N/A</v>
      </c>
      <c r="T1432" s="93" t="str">
        <f>vlookup(F1432,DATABASE!C:Q,8,false)</f>
        <v>#N/A</v>
      </c>
      <c r="Z1432" s="9"/>
    </row>
    <row r="1433" ht="22.5" customHeight="1">
      <c r="A1433" s="49"/>
      <c r="C1433" s="384"/>
      <c r="D1433" s="93"/>
      <c r="F1433" s="74"/>
      <c r="H1433" s="74"/>
      <c r="I1433" s="74"/>
      <c r="J1433" s="74"/>
      <c r="K1433" s="74" t="str">
        <f>if(F1433="SERVICE",O1433-(O1433*50%),Vlookup(F1433,DATABASE!C:Q,10,false)*G1433)</f>
        <v>#N/A</v>
      </c>
      <c r="L1433" s="74" t="str">
        <f>VLOOKUP(F1433,DATABASE!C:Q,7,FALSE)</f>
        <v>#N/A</v>
      </c>
      <c r="M1433" s="74"/>
      <c r="N1433" s="74">
        <f t="shared" si="11"/>
        <v>0</v>
      </c>
      <c r="O1433" s="74">
        <f t="shared" si="13"/>
        <v>0</v>
      </c>
      <c r="P1433" s="63">
        <f t="shared" si="14"/>
        <v>0</v>
      </c>
      <c r="Q1433" s="63" t="str">
        <f t="shared" si="15"/>
        <v>#N/A</v>
      </c>
      <c r="R1433" s="93" t="str">
        <f>VLOOKUP(F1433,DATABASE!C:Q,4,false)</f>
        <v>#N/A</v>
      </c>
      <c r="S1433" s="93" t="str">
        <f>VLOOKUP(F1433,DATABASE!C:P,11,false)</f>
        <v>#N/A</v>
      </c>
      <c r="T1433" s="93" t="str">
        <f>vlookup(F1433,DATABASE!C:Q,8,false)</f>
        <v>#N/A</v>
      </c>
      <c r="Z1433" s="9"/>
    </row>
    <row r="1434" ht="22.5" customHeight="1">
      <c r="A1434" s="49"/>
      <c r="C1434" s="384"/>
      <c r="D1434" s="93"/>
      <c r="F1434" s="74"/>
      <c r="H1434" s="74"/>
      <c r="I1434" s="74"/>
      <c r="J1434" s="74"/>
      <c r="K1434" s="74" t="str">
        <f>if(F1434="SERVICE",O1434-(O1434*50%),Vlookup(F1434,DATABASE!C:Q,10,false)*G1434)</f>
        <v>#N/A</v>
      </c>
      <c r="L1434" s="74" t="str">
        <f>VLOOKUP(F1434,DATABASE!C:Q,7,FALSE)</f>
        <v>#N/A</v>
      </c>
      <c r="M1434" s="74"/>
      <c r="N1434" s="74">
        <f t="shared" si="11"/>
        <v>0</v>
      </c>
      <c r="O1434" s="74">
        <f t="shared" si="13"/>
        <v>0</v>
      </c>
      <c r="P1434" s="63">
        <f t="shared" si="14"/>
        <v>0</v>
      </c>
      <c r="Q1434" s="63" t="str">
        <f t="shared" si="15"/>
        <v>#N/A</v>
      </c>
      <c r="R1434" s="93" t="str">
        <f>VLOOKUP(F1434,DATABASE!C:Q,4,false)</f>
        <v>#N/A</v>
      </c>
      <c r="S1434" s="93" t="str">
        <f>VLOOKUP(F1434,DATABASE!C:P,11,false)</f>
        <v>#N/A</v>
      </c>
      <c r="T1434" s="93" t="str">
        <f>vlookup(F1434,DATABASE!C:Q,8,false)</f>
        <v>#N/A</v>
      </c>
      <c r="Z1434" s="9"/>
    </row>
    <row r="1435" ht="22.5" customHeight="1">
      <c r="A1435" s="49"/>
      <c r="C1435" s="384"/>
      <c r="D1435" s="93"/>
      <c r="F1435" s="74"/>
      <c r="H1435" s="74"/>
      <c r="I1435" s="74"/>
      <c r="J1435" s="74"/>
      <c r="K1435" s="74" t="str">
        <f>if(F1435="SERVICE",O1435-(O1435*50%),Vlookup(F1435,DATABASE!C:Q,10,false)*G1435)</f>
        <v>#N/A</v>
      </c>
      <c r="L1435" s="74" t="str">
        <f>VLOOKUP(F1435,DATABASE!C:Q,7,FALSE)</f>
        <v>#N/A</v>
      </c>
      <c r="M1435" s="74"/>
      <c r="N1435" s="74">
        <f t="shared" si="11"/>
        <v>0</v>
      </c>
      <c r="O1435" s="74">
        <f t="shared" si="13"/>
        <v>0</v>
      </c>
      <c r="P1435" s="63">
        <f t="shared" si="14"/>
        <v>0</v>
      </c>
      <c r="Q1435" s="63" t="str">
        <f t="shared" si="15"/>
        <v>#N/A</v>
      </c>
      <c r="R1435" s="93" t="str">
        <f>VLOOKUP(F1435,DATABASE!C:Q,4,false)</f>
        <v>#N/A</v>
      </c>
      <c r="S1435" s="93" t="str">
        <f>VLOOKUP(F1435,DATABASE!C:P,11,false)</f>
        <v>#N/A</v>
      </c>
      <c r="T1435" s="93" t="str">
        <f>vlookup(F1435,DATABASE!C:Q,8,false)</f>
        <v>#N/A</v>
      </c>
      <c r="Z1435" s="9"/>
    </row>
    <row r="1436" ht="22.5" customHeight="1">
      <c r="A1436" s="49"/>
      <c r="C1436" s="384"/>
      <c r="D1436" s="93"/>
      <c r="F1436" s="74"/>
      <c r="H1436" s="74"/>
      <c r="I1436" s="74"/>
      <c r="J1436" s="74"/>
      <c r="K1436" s="74" t="str">
        <f>if(F1436="SERVICE",O1436-(O1436*50%),Vlookup(F1436,DATABASE!C:Q,10,false)*G1436)</f>
        <v>#N/A</v>
      </c>
      <c r="L1436" s="74" t="str">
        <f>VLOOKUP(F1436,DATABASE!C:Q,7,FALSE)</f>
        <v>#N/A</v>
      </c>
      <c r="M1436" s="74"/>
      <c r="N1436" s="74">
        <f t="shared" si="11"/>
        <v>0</v>
      </c>
      <c r="O1436" s="74">
        <f t="shared" si="13"/>
        <v>0</v>
      </c>
      <c r="P1436" s="63">
        <f t="shared" si="14"/>
        <v>0</v>
      </c>
      <c r="Q1436" s="63" t="str">
        <f t="shared" si="15"/>
        <v>#N/A</v>
      </c>
      <c r="R1436" s="93" t="str">
        <f>VLOOKUP(F1436,DATABASE!C:Q,4,false)</f>
        <v>#N/A</v>
      </c>
      <c r="S1436" s="93" t="str">
        <f>VLOOKUP(F1436,DATABASE!C:P,11,false)</f>
        <v>#N/A</v>
      </c>
      <c r="T1436" s="93" t="str">
        <f>vlookup(F1436,DATABASE!C:Q,8,false)</f>
        <v>#N/A</v>
      </c>
      <c r="Z1436" s="9"/>
    </row>
    <row r="1437" ht="22.5" customHeight="1">
      <c r="A1437" s="49"/>
      <c r="C1437" s="384"/>
      <c r="D1437" s="93"/>
      <c r="F1437" s="74"/>
      <c r="H1437" s="74"/>
      <c r="I1437" s="74"/>
      <c r="J1437" s="74"/>
      <c r="K1437" s="74" t="str">
        <f>if(F1437="SERVICE",O1437-(O1437*50%),Vlookup(F1437,DATABASE!C:Q,10,false)*G1437)</f>
        <v>#N/A</v>
      </c>
      <c r="L1437" s="74" t="str">
        <f>VLOOKUP(F1437,DATABASE!C:Q,7,FALSE)</f>
        <v>#N/A</v>
      </c>
      <c r="M1437" s="74"/>
      <c r="N1437" s="74">
        <f t="shared" si="11"/>
        <v>0</v>
      </c>
      <c r="O1437" s="74">
        <f t="shared" si="13"/>
        <v>0</v>
      </c>
      <c r="P1437" s="63">
        <f t="shared" si="14"/>
        <v>0</v>
      </c>
      <c r="Q1437" s="63" t="str">
        <f t="shared" si="15"/>
        <v>#N/A</v>
      </c>
      <c r="R1437" s="93" t="str">
        <f>VLOOKUP(F1437,DATABASE!C:Q,4,false)</f>
        <v>#N/A</v>
      </c>
      <c r="S1437" s="93" t="str">
        <f>VLOOKUP(F1437,DATABASE!C:P,11,false)</f>
        <v>#N/A</v>
      </c>
      <c r="T1437" s="93" t="str">
        <f>vlookup(F1437,DATABASE!C:Q,8,false)</f>
        <v>#N/A</v>
      </c>
      <c r="Z1437" s="9"/>
    </row>
    <row r="1438" ht="22.5" customHeight="1">
      <c r="A1438" s="49"/>
      <c r="C1438" s="384"/>
      <c r="D1438" s="93"/>
      <c r="F1438" s="74"/>
      <c r="H1438" s="74"/>
      <c r="I1438" s="74"/>
      <c r="J1438" s="74"/>
      <c r="K1438" s="74" t="str">
        <f>if(F1438="SERVICE",O1438-(O1438*50%),Vlookup(F1438,DATABASE!C:Q,10,false)*G1438)</f>
        <v>#N/A</v>
      </c>
      <c r="L1438" s="74" t="str">
        <f>VLOOKUP(F1438,DATABASE!C:Q,7,FALSE)</f>
        <v>#N/A</v>
      </c>
      <c r="M1438" s="74"/>
      <c r="N1438" s="74">
        <f t="shared" si="11"/>
        <v>0</v>
      </c>
      <c r="O1438" s="74">
        <f t="shared" si="13"/>
        <v>0</v>
      </c>
      <c r="P1438" s="63">
        <f t="shared" si="14"/>
        <v>0</v>
      </c>
      <c r="Q1438" s="63" t="str">
        <f t="shared" si="15"/>
        <v>#N/A</v>
      </c>
      <c r="R1438" s="93" t="str">
        <f>VLOOKUP(F1438,DATABASE!C:Q,4,false)</f>
        <v>#N/A</v>
      </c>
      <c r="S1438" s="93" t="str">
        <f>VLOOKUP(F1438,DATABASE!C:P,11,false)</f>
        <v>#N/A</v>
      </c>
      <c r="T1438" s="93" t="str">
        <f>vlookup(F1438,DATABASE!C:Q,8,false)</f>
        <v>#N/A</v>
      </c>
      <c r="Z1438" s="9"/>
    </row>
    <row r="1439" ht="22.5" customHeight="1">
      <c r="A1439" s="49"/>
      <c r="C1439" s="384"/>
      <c r="D1439" s="93"/>
      <c r="F1439" s="74"/>
      <c r="H1439" s="74"/>
      <c r="I1439" s="74"/>
      <c r="J1439" s="74"/>
      <c r="K1439" s="74" t="str">
        <f>if(F1439="SERVICE",O1439-(O1439*50%),Vlookup(F1439,DATABASE!C:Q,10,false)*G1439)</f>
        <v>#N/A</v>
      </c>
      <c r="L1439" s="74" t="str">
        <f>VLOOKUP(F1439,DATABASE!C:Q,7,FALSE)</f>
        <v>#N/A</v>
      </c>
      <c r="M1439" s="74"/>
      <c r="N1439" s="74">
        <f t="shared" si="11"/>
        <v>0</v>
      </c>
      <c r="O1439" s="74">
        <f t="shared" si="13"/>
        <v>0</v>
      </c>
      <c r="P1439" s="63">
        <f t="shared" si="14"/>
        <v>0</v>
      </c>
      <c r="Q1439" s="63" t="str">
        <f t="shared" si="15"/>
        <v>#N/A</v>
      </c>
      <c r="R1439" s="93" t="str">
        <f>VLOOKUP(F1439,DATABASE!C:Q,4,false)</f>
        <v>#N/A</v>
      </c>
      <c r="S1439" s="93" t="str">
        <f>VLOOKUP(F1439,DATABASE!C:P,11,false)</f>
        <v>#N/A</v>
      </c>
      <c r="T1439" s="93" t="str">
        <f>vlookup(F1439,DATABASE!C:Q,8,false)</f>
        <v>#N/A</v>
      </c>
      <c r="Z1439" s="9"/>
    </row>
    <row r="1440" ht="22.5" customHeight="1">
      <c r="A1440" s="49"/>
      <c r="C1440" s="384"/>
      <c r="D1440" s="93"/>
      <c r="F1440" s="74"/>
      <c r="H1440" s="74"/>
      <c r="I1440" s="74"/>
      <c r="J1440" s="74"/>
      <c r="K1440" s="74" t="str">
        <f>if(F1440="SERVICE",O1440-(O1440*50%),Vlookup(F1440,DATABASE!C:Q,10,false)*G1440)</f>
        <v>#N/A</v>
      </c>
      <c r="L1440" s="74" t="str">
        <f>VLOOKUP(F1440,DATABASE!C:Q,7,FALSE)</f>
        <v>#N/A</v>
      </c>
      <c r="M1440" s="74"/>
      <c r="N1440" s="74">
        <f t="shared" si="11"/>
        <v>0</v>
      </c>
      <c r="O1440" s="74">
        <f t="shared" si="13"/>
        <v>0</v>
      </c>
      <c r="P1440" s="63">
        <f t="shared" si="14"/>
        <v>0</v>
      </c>
      <c r="Q1440" s="63" t="str">
        <f t="shared" si="15"/>
        <v>#N/A</v>
      </c>
      <c r="R1440" s="93" t="str">
        <f>VLOOKUP(F1440,DATABASE!C:Q,4,false)</f>
        <v>#N/A</v>
      </c>
      <c r="S1440" s="93" t="str">
        <f>VLOOKUP(F1440,DATABASE!C:P,11,false)</f>
        <v>#N/A</v>
      </c>
      <c r="T1440" s="93" t="str">
        <f>vlookup(F1440,DATABASE!C:Q,8,false)</f>
        <v>#N/A</v>
      </c>
      <c r="Z1440" s="9"/>
    </row>
    <row r="1441" ht="22.5" customHeight="1">
      <c r="A1441" s="49"/>
      <c r="C1441" s="384"/>
      <c r="D1441" s="93"/>
      <c r="F1441" s="74"/>
      <c r="H1441" s="74"/>
      <c r="I1441" s="74"/>
      <c r="J1441" s="74"/>
      <c r="K1441" s="74" t="str">
        <f>if(F1441="SERVICE",O1441-(O1441*50%),Vlookup(F1441,DATABASE!C:Q,10,false)*G1441)</f>
        <v>#N/A</v>
      </c>
      <c r="L1441" s="74" t="str">
        <f>VLOOKUP(F1441,DATABASE!C:Q,7,FALSE)</f>
        <v>#N/A</v>
      </c>
      <c r="M1441" s="74"/>
      <c r="N1441" s="74">
        <f t="shared" si="11"/>
        <v>0</v>
      </c>
      <c r="O1441" s="74">
        <f t="shared" si="13"/>
        <v>0</v>
      </c>
      <c r="P1441" s="63">
        <f t="shared" si="14"/>
        <v>0</v>
      </c>
      <c r="Q1441" s="63" t="str">
        <f t="shared" si="15"/>
        <v>#N/A</v>
      </c>
      <c r="R1441" s="93" t="str">
        <f>VLOOKUP(F1441,DATABASE!C:Q,4,false)</f>
        <v>#N/A</v>
      </c>
      <c r="S1441" s="93" t="str">
        <f>VLOOKUP(F1441,DATABASE!C:P,11,false)</f>
        <v>#N/A</v>
      </c>
      <c r="T1441" s="93" t="str">
        <f>vlookup(F1441,DATABASE!C:Q,8,false)</f>
        <v>#N/A</v>
      </c>
      <c r="Z1441" s="9"/>
    </row>
    <row r="1442" ht="22.5" customHeight="1">
      <c r="A1442" s="49"/>
      <c r="C1442" s="384"/>
      <c r="D1442" s="93"/>
      <c r="F1442" s="74"/>
      <c r="H1442" s="74"/>
      <c r="I1442" s="74"/>
      <c r="J1442" s="74"/>
      <c r="K1442" s="74" t="str">
        <f>if(F1442="SERVICE",O1442-(O1442*50%),Vlookup(F1442,DATABASE!C:Q,10,false)*G1442)</f>
        <v>#N/A</v>
      </c>
      <c r="L1442" s="74" t="str">
        <f>VLOOKUP(F1442,DATABASE!C:Q,7,FALSE)</f>
        <v>#N/A</v>
      </c>
      <c r="M1442" s="74"/>
      <c r="N1442" s="74">
        <f t="shared" si="11"/>
        <v>0</v>
      </c>
      <c r="O1442" s="74">
        <f t="shared" si="13"/>
        <v>0</v>
      </c>
      <c r="P1442" s="63">
        <f t="shared" si="14"/>
        <v>0</v>
      </c>
      <c r="Q1442" s="63" t="str">
        <f t="shared" si="15"/>
        <v>#N/A</v>
      </c>
      <c r="R1442" s="93" t="str">
        <f>VLOOKUP(F1442,DATABASE!C:Q,4,false)</f>
        <v>#N/A</v>
      </c>
      <c r="S1442" s="93" t="str">
        <f>VLOOKUP(F1442,DATABASE!C:P,11,false)</f>
        <v>#N/A</v>
      </c>
      <c r="T1442" s="93" t="str">
        <f>vlookup(F1442,DATABASE!C:Q,8,false)</f>
        <v>#N/A</v>
      </c>
      <c r="Z1442" s="9"/>
    </row>
    <row r="1443" ht="22.5" customHeight="1">
      <c r="A1443" s="49"/>
      <c r="C1443" s="384"/>
      <c r="D1443" s="93"/>
      <c r="F1443" s="74"/>
      <c r="H1443" s="74"/>
      <c r="I1443" s="74"/>
      <c r="J1443" s="74"/>
      <c r="K1443" s="74" t="str">
        <f>if(F1443="SERVICE",O1443-(O1443*50%),Vlookup(F1443,DATABASE!C:Q,10,false)*G1443)</f>
        <v>#N/A</v>
      </c>
      <c r="L1443" s="74" t="str">
        <f>VLOOKUP(F1443,DATABASE!C:Q,7,FALSE)</f>
        <v>#N/A</v>
      </c>
      <c r="M1443" s="74"/>
      <c r="N1443" s="74">
        <f t="shared" si="11"/>
        <v>0</v>
      </c>
      <c r="O1443" s="74">
        <f t="shared" si="13"/>
        <v>0</v>
      </c>
      <c r="P1443" s="63">
        <f t="shared" si="14"/>
        <v>0</v>
      </c>
      <c r="Q1443" s="63" t="str">
        <f t="shared" si="15"/>
        <v>#N/A</v>
      </c>
      <c r="R1443" s="93" t="str">
        <f>VLOOKUP(F1443,DATABASE!C:Q,4,false)</f>
        <v>#N/A</v>
      </c>
      <c r="S1443" s="93" t="str">
        <f>VLOOKUP(F1443,DATABASE!C:P,11,false)</f>
        <v>#N/A</v>
      </c>
      <c r="T1443" s="93" t="str">
        <f>vlookup(F1443,DATABASE!C:Q,8,false)</f>
        <v>#N/A</v>
      </c>
      <c r="Z1443" s="9"/>
    </row>
    <row r="1444" ht="22.5" customHeight="1">
      <c r="A1444" s="49"/>
      <c r="C1444" s="384"/>
      <c r="D1444" s="93"/>
      <c r="F1444" s="74"/>
      <c r="H1444" s="74"/>
      <c r="I1444" s="74"/>
      <c r="J1444" s="74"/>
      <c r="K1444" s="74" t="str">
        <f>if(F1444="SERVICE",O1444-(O1444*50%),Vlookup(F1444,DATABASE!C:Q,10,false)*G1444)</f>
        <v>#N/A</v>
      </c>
      <c r="L1444" s="74" t="str">
        <f>VLOOKUP(F1444,DATABASE!C:Q,7,FALSE)</f>
        <v>#N/A</v>
      </c>
      <c r="M1444" s="74"/>
      <c r="N1444" s="74">
        <f t="shared" si="11"/>
        <v>0</v>
      </c>
      <c r="O1444" s="74">
        <f t="shared" si="13"/>
        <v>0</v>
      </c>
      <c r="P1444" s="63">
        <f t="shared" si="14"/>
        <v>0</v>
      </c>
      <c r="Q1444" s="63" t="str">
        <f t="shared" si="15"/>
        <v>#N/A</v>
      </c>
      <c r="R1444" s="93" t="str">
        <f>VLOOKUP(F1444,DATABASE!C:Q,4,false)</f>
        <v>#N/A</v>
      </c>
      <c r="S1444" s="93" t="str">
        <f>VLOOKUP(F1444,DATABASE!C:P,11,false)</f>
        <v>#N/A</v>
      </c>
      <c r="T1444" s="93" t="str">
        <f>vlookup(F1444,DATABASE!C:Q,8,false)</f>
        <v>#N/A</v>
      </c>
      <c r="Z1444" s="9"/>
    </row>
    <row r="1445" ht="22.5" customHeight="1">
      <c r="A1445" s="49"/>
      <c r="C1445" s="384"/>
      <c r="D1445" s="93"/>
      <c r="F1445" s="74"/>
      <c r="H1445" s="74"/>
      <c r="I1445" s="74"/>
      <c r="J1445" s="74"/>
      <c r="K1445" s="74" t="str">
        <f>if(F1445="SERVICE",O1445-(O1445*50%),Vlookup(F1445,DATABASE!C:Q,10,false)*G1445)</f>
        <v>#N/A</v>
      </c>
      <c r="L1445" s="74" t="str">
        <f>VLOOKUP(F1445,DATABASE!C:Q,7,FALSE)</f>
        <v>#N/A</v>
      </c>
      <c r="M1445" s="74"/>
      <c r="N1445" s="74">
        <f t="shared" si="11"/>
        <v>0</v>
      </c>
      <c r="O1445" s="74">
        <f t="shared" si="13"/>
        <v>0</v>
      </c>
      <c r="P1445" s="63">
        <f t="shared" si="14"/>
        <v>0</v>
      </c>
      <c r="Q1445" s="63" t="str">
        <f t="shared" si="15"/>
        <v>#N/A</v>
      </c>
      <c r="R1445" s="93" t="str">
        <f>VLOOKUP(F1445,DATABASE!C:Q,4,false)</f>
        <v>#N/A</v>
      </c>
      <c r="S1445" s="93" t="str">
        <f>VLOOKUP(F1445,DATABASE!C:P,11,false)</f>
        <v>#N/A</v>
      </c>
      <c r="T1445" s="93" t="str">
        <f>vlookup(F1445,DATABASE!C:Q,8,false)</f>
        <v>#N/A</v>
      </c>
      <c r="Z1445" s="9"/>
    </row>
    <row r="1446" ht="22.5" customHeight="1">
      <c r="A1446" s="49"/>
      <c r="C1446" s="384"/>
      <c r="D1446" s="93"/>
      <c r="F1446" s="74"/>
      <c r="H1446" s="74"/>
      <c r="I1446" s="74"/>
      <c r="J1446" s="74"/>
      <c r="K1446" s="74" t="str">
        <f>if(F1446="SERVICE",O1446-(O1446*50%),Vlookup(F1446,DATABASE!C:Q,10,false)*G1446)</f>
        <v>#N/A</v>
      </c>
      <c r="L1446" s="74" t="str">
        <f>VLOOKUP(F1446,DATABASE!C:Q,7,FALSE)</f>
        <v>#N/A</v>
      </c>
      <c r="M1446" s="74"/>
      <c r="N1446" s="74">
        <f t="shared" si="11"/>
        <v>0</v>
      </c>
      <c r="O1446" s="74">
        <f t="shared" si="13"/>
        <v>0</v>
      </c>
      <c r="P1446" s="63">
        <f t="shared" si="14"/>
        <v>0</v>
      </c>
      <c r="Q1446" s="63" t="str">
        <f t="shared" si="15"/>
        <v>#N/A</v>
      </c>
      <c r="R1446" s="93" t="str">
        <f>VLOOKUP(F1446,DATABASE!C:Q,4,false)</f>
        <v>#N/A</v>
      </c>
      <c r="S1446" s="93" t="str">
        <f>VLOOKUP(F1446,DATABASE!C:P,11,false)</f>
        <v>#N/A</v>
      </c>
      <c r="T1446" s="93" t="str">
        <f>vlookup(F1446,DATABASE!C:Q,8,false)</f>
        <v>#N/A</v>
      </c>
      <c r="Z1446" s="9"/>
    </row>
    <row r="1447" ht="22.5" customHeight="1">
      <c r="A1447" s="49"/>
      <c r="C1447" s="384"/>
      <c r="D1447" s="93"/>
      <c r="F1447" s="74"/>
      <c r="H1447" s="74"/>
      <c r="I1447" s="74"/>
      <c r="J1447" s="74"/>
      <c r="K1447" s="74" t="str">
        <f>if(F1447="SERVICE",O1447-(O1447*50%),Vlookup(F1447,DATABASE!C:Q,10,false)*G1447)</f>
        <v>#N/A</v>
      </c>
      <c r="L1447" s="74" t="str">
        <f>VLOOKUP(F1447,DATABASE!C:Q,7,FALSE)</f>
        <v>#N/A</v>
      </c>
      <c r="M1447" s="74"/>
      <c r="N1447" s="74">
        <f t="shared" si="11"/>
        <v>0</v>
      </c>
      <c r="O1447" s="74">
        <f t="shared" si="13"/>
        <v>0</v>
      </c>
      <c r="P1447" s="63">
        <f t="shared" si="14"/>
        <v>0</v>
      </c>
      <c r="Q1447" s="63" t="str">
        <f t="shared" si="15"/>
        <v>#N/A</v>
      </c>
      <c r="R1447" s="93" t="str">
        <f>VLOOKUP(F1447,DATABASE!C:Q,4,false)</f>
        <v>#N/A</v>
      </c>
      <c r="S1447" s="93" t="str">
        <f>VLOOKUP(F1447,DATABASE!C:P,11,false)</f>
        <v>#N/A</v>
      </c>
      <c r="T1447" s="93" t="str">
        <f>vlookup(F1447,DATABASE!C:Q,8,false)</f>
        <v>#N/A</v>
      </c>
      <c r="Z1447" s="9"/>
    </row>
    <row r="1448" ht="22.5" customHeight="1">
      <c r="A1448" s="49"/>
      <c r="C1448" s="384"/>
      <c r="D1448" s="93"/>
      <c r="F1448" s="74"/>
      <c r="H1448" s="74"/>
      <c r="I1448" s="74"/>
      <c r="J1448" s="74"/>
      <c r="K1448" s="74" t="str">
        <f>if(F1448="SERVICE",O1448-(O1448*50%),Vlookup(F1448,DATABASE!C:Q,10,false)*G1448)</f>
        <v>#N/A</v>
      </c>
      <c r="L1448" s="74" t="str">
        <f>VLOOKUP(F1448,DATABASE!C:Q,7,FALSE)</f>
        <v>#N/A</v>
      </c>
      <c r="M1448" s="74"/>
      <c r="N1448" s="74">
        <f t="shared" si="11"/>
        <v>0</v>
      </c>
      <c r="O1448" s="74">
        <f t="shared" si="13"/>
        <v>0</v>
      </c>
      <c r="P1448" s="63">
        <f t="shared" si="14"/>
        <v>0</v>
      </c>
      <c r="Q1448" s="63" t="str">
        <f t="shared" si="15"/>
        <v>#N/A</v>
      </c>
      <c r="R1448" s="93" t="str">
        <f>VLOOKUP(F1448,DATABASE!C:Q,4,false)</f>
        <v>#N/A</v>
      </c>
      <c r="S1448" s="93" t="str">
        <f>VLOOKUP(F1448,DATABASE!C:P,11,false)</f>
        <v>#N/A</v>
      </c>
      <c r="T1448" s="93" t="str">
        <f>vlookup(F1448,DATABASE!C:Q,8,false)</f>
        <v>#N/A</v>
      </c>
      <c r="Z1448" s="9"/>
    </row>
    <row r="1449" ht="22.5" customHeight="1">
      <c r="A1449" s="49"/>
      <c r="C1449" s="384"/>
      <c r="D1449" s="93"/>
      <c r="F1449" s="74"/>
      <c r="H1449" s="74"/>
      <c r="I1449" s="74"/>
      <c r="J1449" s="74"/>
      <c r="K1449" s="74" t="str">
        <f>if(F1449="SERVICE",O1449-(O1449*50%),Vlookup(F1449,DATABASE!C:Q,10,false)*G1449)</f>
        <v>#N/A</v>
      </c>
      <c r="L1449" s="74" t="str">
        <f>VLOOKUP(F1449,DATABASE!C:Q,7,FALSE)</f>
        <v>#N/A</v>
      </c>
      <c r="M1449" s="74"/>
      <c r="N1449" s="74">
        <f t="shared" si="11"/>
        <v>0</v>
      </c>
      <c r="O1449" s="74">
        <f t="shared" si="13"/>
        <v>0</v>
      </c>
      <c r="P1449" s="63">
        <f t="shared" si="14"/>
        <v>0</v>
      </c>
      <c r="Q1449" s="63" t="str">
        <f t="shared" si="15"/>
        <v>#N/A</v>
      </c>
      <c r="R1449" s="93" t="str">
        <f>VLOOKUP(F1449,DATABASE!C:Q,4,false)</f>
        <v>#N/A</v>
      </c>
      <c r="S1449" s="93" t="str">
        <f>VLOOKUP(F1449,DATABASE!C:P,11,false)</f>
        <v>#N/A</v>
      </c>
      <c r="T1449" s="93" t="str">
        <f>vlookup(F1449,DATABASE!C:Q,8,false)</f>
        <v>#N/A</v>
      </c>
      <c r="Z1449" s="9"/>
    </row>
    <row r="1450" ht="22.5" customHeight="1">
      <c r="A1450" s="49"/>
      <c r="C1450" s="384"/>
      <c r="D1450" s="93"/>
      <c r="F1450" s="74"/>
      <c r="H1450" s="74"/>
      <c r="I1450" s="74"/>
      <c r="J1450" s="74"/>
      <c r="K1450" s="74" t="str">
        <f>if(F1450="SERVICE",O1450-(O1450*50%),Vlookup(F1450,DATABASE!C:Q,10,false)*G1450)</f>
        <v>#N/A</v>
      </c>
      <c r="L1450" s="74" t="str">
        <f>VLOOKUP(F1450,DATABASE!C:Q,7,FALSE)</f>
        <v>#N/A</v>
      </c>
      <c r="M1450" s="74"/>
      <c r="N1450" s="74">
        <f t="shared" si="11"/>
        <v>0</v>
      </c>
      <c r="O1450" s="74">
        <f t="shared" si="13"/>
        <v>0</v>
      </c>
      <c r="P1450" s="63">
        <f t="shared" si="14"/>
        <v>0</v>
      </c>
      <c r="Q1450" s="63" t="str">
        <f t="shared" si="15"/>
        <v>#N/A</v>
      </c>
      <c r="R1450" s="93" t="str">
        <f>VLOOKUP(F1450,DATABASE!C:Q,4,false)</f>
        <v>#N/A</v>
      </c>
      <c r="S1450" s="93" t="str">
        <f>VLOOKUP(F1450,DATABASE!C:P,11,false)</f>
        <v>#N/A</v>
      </c>
      <c r="T1450" s="93" t="str">
        <f>vlookup(F1450,DATABASE!C:Q,8,false)</f>
        <v>#N/A</v>
      </c>
      <c r="Z1450" s="9"/>
    </row>
    <row r="1451" ht="22.5" customHeight="1">
      <c r="A1451" s="49"/>
      <c r="C1451" s="384"/>
      <c r="D1451" s="93"/>
      <c r="F1451" s="74"/>
      <c r="H1451" s="74"/>
      <c r="I1451" s="74"/>
      <c r="J1451" s="74"/>
      <c r="K1451" s="74" t="str">
        <f>if(F1451="SERVICE",O1451-(O1451*50%),Vlookup(F1451,DATABASE!C:Q,10,false)*G1451)</f>
        <v>#N/A</v>
      </c>
      <c r="L1451" s="74" t="str">
        <f>VLOOKUP(F1451,DATABASE!C:Q,7,FALSE)</f>
        <v>#N/A</v>
      </c>
      <c r="M1451" s="74"/>
      <c r="N1451" s="74">
        <f t="shared" si="11"/>
        <v>0</v>
      </c>
      <c r="O1451" s="74">
        <f t="shared" si="13"/>
        <v>0</v>
      </c>
      <c r="P1451" s="63">
        <f t="shared" si="14"/>
        <v>0</v>
      </c>
      <c r="Q1451" s="63" t="str">
        <f t="shared" si="15"/>
        <v>#N/A</v>
      </c>
      <c r="R1451" s="93" t="str">
        <f>VLOOKUP(F1451,DATABASE!C:Q,4,false)</f>
        <v>#N/A</v>
      </c>
      <c r="S1451" s="93" t="str">
        <f>VLOOKUP(F1451,DATABASE!C:P,11,false)</f>
        <v>#N/A</v>
      </c>
      <c r="T1451" s="93" t="str">
        <f>vlookup(F1451,DATABASE!C:Q,8,false)</f>
        <v>#N/A</v>
      </c>
      <c r="Z1451" s="9"/>
    </row>
    <row r="1452" ht="22.5" customHeight="1">
      <c r="A1452" s="49"/>
      <c r="C1452" s="384"/>
      <c r="D1452" s="93"/>
      <c r="F1452" s="74"/>
      <c r="H1452" s="74"/>
      <c r="I1452" s="74"/>
      <c r="J1452" s="74"/>
      <c r="K1452" s="74" t="str">
        <f>if(F1452="SERVICE",O1452-(O1452*50%),Vlookup(F1452,DATABASE!C:Q,10,false)*G1452)</f>
        <v>#N/A</v>
      </c>
      <c r="L1452" s="74" t="str">
        <f>VLOOKUP(F1452,DATABASE!C:Q,7,FALSE)</f>
        <v>#N/A</v>
      </c>
      <c r="M1452" s="74"/>
      <c r="N1452" s="74">
        <f t="shared" si="11"/>
        <v>0</v>
      </c>
      <c r="O1452" s="74">
        <f t="shared" si="13"/>
        <v>0</v>
      </c>
      <c r="P1452" s="63">
        <f t="shared" si="14"/>
        <v>0</v>
      </c>
      <c r="Q1452" s="63" t="str">
        <f t="shared" si="15"/>
        <v>#N/A</v>
      </c>
      <c r="R1452" s="93" t="str">
        <f>VLOOKUP(F1452,DATABASE!C:Q,4,false)</f>
        <v>#N/A</v>
      </c>
      <c r="S1452" s="93" t="str">
        <f>VLOOKUP(F1452,DATABASE!C:P,11,false)</f>
        <v>#N/A</v>
      </c>
      <c r="T1452" s="93" t="str">
        <f>vlookup(F1452,DATABASE!C:Q,8,false)</f>
        <v>#N/A</v>
      </c>
      <c r="Z1452" s="9"/>
    </row>
    <row r="1453" ht="22.5" customHeight="1">
      <c r="A1453" s="49"/>
      <c r="C1453" s="384"/>
      <c r="D1453" s="93"/>
      <c r="F1453" s="74"/>
      <c r="H1453" s="74"/>
      <c r="I1453" s="74"/>
      <c r="J1453" s="74"/>
      <c r="K1453" s="74" t="str">
        <f>if(F1453="SERVICE",O1453-(O1453*50%),Vlookup(F1453,DATABASE!C:Q,10,false)*G1453)</f>
        <v>#N/A</v>
      </c>
      <c r="L1453" s="74" t="str">
        <f>VLOOKUP(F1453,DATABASE!C:Q,7,FALSE)</f>
        <v>#N/A</v>
      </c>
      <c r="M1453" s="74"/>
      <c r="N1453" s="74">
        <f t="shared" si="11"/>
        <v>0</v>
      </c>
      <c r="O1453" s="74">
        <f t="shared" si="13"/>
        <v>0</v>
      </c>
      <c r="P1453" s="63">
        <f t="shared" si="14"/>
        <v>0</v>
      </c>
      <c r="Q1453" s="63" t="str">
        <f t="shared" si="15"/>
        <v>#N/A</v>
      </c>
      <c r="R1453" s="93" t="str">
        <f>VLOOKUP(F1453,DATABASE!C:Q,4,false)</f>
        <v>#N/A</v>
      </c>
      <c r="S1453" s="93" t="str">
        <f>VLOOKUP(F1453,DATABASE!C:P,11,false)</f>
        <v>#N/A</v>
      </c>
      <c r="T1453" s="93" t="str">
        <f>vlookup(F1453,DATABASE!C:Q,8,false)</f>
        <v>#N/A</v>
      </c>
      <c r="Z1453" s="9"/>
    </row>
    <row r="1454" ht="22.5" customHeight="1">
      <c r="A1454" s="49"/>
      <c r="C1454" s="384"/>
      <c r="D1454" s="93"/>
      <c r="F1454" s="74"/>
      <c r="H1454" s="74"/>
      <c r="I1454" s="74"/>
      <c r="J1454" s="74"/>
      <c r="K1454" s="74" t="str">
        <f>if(F1454="SERVICE",O1454-(O1454*50%),Vlookup(F1454,DATABASE!C:Q,10,false)*G1454)</f>
        <v>#N/A</v>
      </c>
      <c r="L1454" s="74" t="str">
        <f>VLOOKUP(F1454,DATABASE!C:Q,7,FALSE)</f>
        <v>#N/A</v>
      </c>
      <c r="M1454" s="74"/>
      <c r="N1454" s="74">
        <f t="shared" si="11"/>
        <v>0</v>
      </c>
      <c r="O1454" s="74">
        <f t="shared" si="13"/>
        <v>0</v>
      </c>
      <c r="P1454" s="63">
        <f t="shared" si="14"/>
        <v>0</v>
      </c>
      <c r="Q1454" s="63" t="str">
        <f t="shared" si="15"/>
        <v>#N/A</v>
      </c>
      <c r="R1454" s="93" t="str">
        <f>VLOOKUP(F1454,DATABASE!C:Q,4,false)</f>
        <v>#N/A</v>
      </c>
      <c r="S1454" s="93" t="str">
        <f>VLOOKUP(F1454,DATABASE!C:P,11,false)</f>
        <v>#N/A</v>
      </c>
      <c r="T1454" s="93" t="str">
        <f>vlookup(F1454,DATABASE!C:Q,8,false)</f>
        <v>#N/A</v>
      </c>
      <c r="Z1454" s="9"/>
    </row>
    <row r="1455" ht="22.5" customHeight="1">
      <c r="A1455" s="49"/>
      <c r="C1455" s="384"/>
      <c r="D1455" s="93"/>
      <c r="F1455" s="74"/>
      <c r="H1455" s="74"/>
      <c r="I1455" s="74"/>
      <c r="J1455" s="74"/>
      <c r="K1455" s="74" t="str">
        <f>if(F1455="SERVICE",O1455-(O1455*50%),Vlookup(F1455,DATABASE!C:Q,10,false)*G1455)</f>
        <v>#N/A</v>
      </c>
      <c r="L1455" s="74" t="str">
        <f>VLOOKUP(F1455,DATABASE!C:Q,7,FALSE)</f>
        <v>#N/A</v>
      </c>
      <c r="M1455" s="74"/>
      <c r="N1455" s="74">
        <f t="shared" si="11"/>
        <v>0</v>
      </c>
      <c r="O1455" s="74">
        <f t="shared" si="13"/>
        <v>0</v>
      </c>
      <c r="P1455" s="63">
        <f t="shared" si="14"/>
        <v>0</v>
      </c>
      <c r="Q1455" s="63" t="str">
        <f t="shared" si="15"/>
        <v>#N/A</v>
      </c>
      <c r="R1455" s="93" t="str">
        <f>VLOOKUP(F1455,DATABASE!C:Q,4,false)</f>
        <v>#N/A</v>
      </c>
      <c r="S1455" s="93" t="str">
        <f>VLOOKUP(F1455,DATABASE!C:P,11,false)</f>
        <v>#N/A</v>
      </c>
      <c r="T1455" s="93" t="str">
        <f>vlookup(F1455,DATABASE!C:Q,8,false)</f>
        <v>#N/A</v>
      </c>
      <c r="Z1455" s="9"/>
    </row>
    <row r="1456" ht="22.5" customHeight="1">
      <c r="A1456" s="49"/>
      <c r="C1456" s="384"/>
      <c r="D1456" s="93"/>
      <c r="F1456" s="74"/>
      <c r="H1456" s="74"/>
      <c r="I1456" s="74"/>
      <c r="J1456" s="74"/>
      <c r="K1456" s="74" t="str">
        <f>if(F1456="SERVICE",O1456-(O1456*50%),Vlookup(F1456,DATABASE!C:Q,10,false)*G1456)</f>
        <v>#N/A</v>
      </c>
      <c r="L1456" s="74" t="str">
        <f>VLOOKUP(F1456,DATABASE!C:Q,7,FALSE)</f>
        <v>#N/A</v>
      </c>
      <c r="M1456" s="74"/>
      <c r="N1456" s="74">
        <f t="shared" si="11"/>
        <v>0</v>
      </c>
      <c r="O1456" s="74">
        <f t="shared" si="13"/>
        <v>0</v>
      </c>
      <c r="P1456" s="63">
        <f t="shared" si="14"/>
        <v>0</v>
      </c>
      <c r="Q1456" s="63" t="str">
        <f t="shared" si="15"/>
        <v>#N/A</v>
      </c>
      <c r="R1456" s="93" t="str">
        <f>VLOOKUP(F1456,DATABASE!C:Q,4,false)</f>
        <v>#N/A</v>
      </c>
      <c r="S1456" s="93" t="str">
        <f>VLOOKUP(F1456,DATABASE!C:P,11,false)</f>
        <v>#N/A</v>
      </c>
      <c r="T1456" s="93" t="str">
        <f>vlookup(F1456,DATABASE!C:Q,8,false)</f>
        <v>#N/A</v>
      </c>
      <c r="Z1456" s="9"/>
    </row>
    <row r="1457" ht="22.5" customHeight="1">
      <c r="A1457" s="49"/>
      <c r="C1457" s="384"/>
      <c r="D1457" s="93"/>
      <c r="F1457" s="74"/>
      <c r="H1457" s="74"/>
      <c r="I1457" s="74"/>
      <c r="J1457" s="74"/>
      <c r="K1457" s="74" t="str">
        <f>if(F1457="SERVICE",O1457-(O1457*50%),Vlookup(F1457,DATABASE!C:Q,10,false)*G1457)</f>
        <v>#N/A</v>
      </c>
      <c r="L1457" s="74" t="str">
        <f>VLOOKUP(F1457,DATABASE!C:Q,7,FALSE)</f>
        <v>#N/A</v>
      </c>
      <c r="M1457" s="74"/>
      <c r="N1457" s="74">
        <f t="shared" si="11"/>
        <v>0</v>
      </c>
      <c r="O1457" s="74">
        <f t="shared" si="13"/>
        <v>0</v>
      </c>
      <c r="P1457" s="63">
        <f t="shared" si="14"/>
        <v>0</v>
      </c>
      <c r="Q1457" s="63" t="str">
        <f t="shared" si="15"/>
        <v>#N/A</v>
      </c>
      <c r="R1457" s="93" t="str">
        <f>VLOOKUP(F1457,DATABASE!C:Q,4,false)</f>
        <v>#N/A</v>
      </c>
      <c r="S1457" s="93" t="str">
        <f>VLOOKUP(F1457,DATABASE!C:P,11,false)</f>
        <v>#N/A</v>
      </c>
      <c r="T1457" s="93" t="str">
        <f>vlookup(F1457,DATABASE!C:Q,8,false)</f>
        <v>#N/A</v>
      </c>
      <c r="Z1457" s="9"/>
    </row>
    <row r="1458" ht="22.5" customHeight="1">
      <c r="A1458" s="49"/>
      <c r="C1458" s="384"/>
      <c r="D1458" s="93"/>
      <c r="F1458" s="74"/>
      <c r="H1458" s="74"/>
      <c r="I1458" s="74"/>
      <c r="J1458" s="74"/>
      <c r="K1458" s="74" t="str">
        <f>if(F1458="SERVICE",O1458-(O1458*50%),Vlookup(F1458,DATABASE!C:Q,10,false)*G1458)</f>
        <v>#N/A</v>
      </c>
      <c r="L1458" s="74" t="str">
        <f>VLOOKUP(F1458,DATABASE!C:Q,7,FALSE)</f>
        <v>#N/A</v>
      </c>
      <c r="M1458" s="74"/>
      <c r="N1458" s="74">
        <f t="shared" si="11"/>
        <v>0</v>
      </c>
      <c r="O1458" s="74">
        <f t="shared" si="13"/>
        <v>0</v>
      </c>
      <c r="P1458" s="63">
        <f t="shared" si="14"/>
        <v>0</v>
      </c>
      <c r="Q1458" s="63" t="str">
        <f t="shared" si="15"/>
        <v>#N/A</v>
      </c>
      <c r="R1458" s="93" t="str">
        <f>VLOOKUP(F1458,DATABASE!C:Q,4,false)</f>
        <v>#N/A</v>
      </c>
      <c r="S1458" s="93" t="str">
        <f>VLOOKUP(F1458,DATABASE!C:P,11,false)</f>
        <v>#N/A</v>
      </c>
      <c r="T1458" s="93" t="str">
        <f>vlookup(F1458,DATABASE!C:Q,8,false)</f>
        <v>#N/A</v>
      </c>
      <c r="Z1458" s="9"/>
    </row>
    <row r="1459" ht="22.5" customHeight="1">
      <c r="A1459" s="49"/>
      <c r="C1459" s="384"/>
      <c r="D1459" s="93"/>
      <c r="F1459" s="74"/>
      <c r="H1459" s="74"/>
      <c r="I1459" s="74"/>
      <c r="J1459" s="74"/>
      <c r="K1459" s="74" t="str">
        <f>if(F1459="SERVICE",O1459-(O1459*50%),Vlookup(F1459,DATABASE!C:Q,10,false)*G1459)</f>
        <v>#N/A</v>
      </c>
      <c r="L1459" s="74" t="str">
        <f>VLOOKUP(F1459,DATABASE!C:Q,7,FALSE)</f>
        <v>#N/A</v>
      </c>
      <c r="M1459" s="74"/>
      <c r="N1459" s="74">
        <f t="shared" si="11"/>
        <v>0</v>
      </c>
      <c r="O1459" s="74">
        <f t="shared" si="13"/>
        <v>0</v>
      </c>
      <c r="P1459" s="63">
        <f t="shared" si="14"/>
        <v>0</v>
      </c>
      <c r="Q1459" s="63" t="str">
        <f t="shared" si="15"/>
        <v>#N/A</v>
      </c>
      <c r="R1459" s="93" t="str">
        <f>VLOOKUP(F1459,DATABASE!C:Q,4,false)</f>
        <v>#N/A</v>
      </c>
      <c r="S1459" s="93" t="str">
        <f>VLOOKUP(F1459,DATABASE!C:P,11,false)</f>
        <v>#N/A</v>
      </c>
      <c r="T1459" s="93" t="str">
        <f>vlookup(F1459,DATABASE!C:Q,8,false)</f>
        <v>#N/A</v>
      </c>
      <c r="Z1459" s="9"/>
    </row>
    <row r="1460" ht="22.5" customHeight="1">
      <c r="A1460" s="49"/>
      <c r="C1460" s="384"/>
      <c r="D1460" s="93"/>
      <c r="F1460" s="74"/>
      <c r="H1460" s="74"/>
      <c r="I1460" s="74"/>
      <c r="J1460" s="74"/>
      <c r="K1460" s="74" t="str">
        <f>if(F1460="SERVICE",O1460-(O1460*50%),Vlookup(F1460,DATABASE!C:Q,10,false)*G1460)</f>
        <v>#N/A</v>
      </c>
      <c r="L1460" s="74" t="str">
        <f>VLOOKUP(F1460,DATABASE!C:Q,7,FALSE)</f>
        <v>#N/A</v>
      </c>
      <c r="M1460" s="74"/>
      <c r="N1460" s="74">
        <f t="shared" si="11"/>
        <v>0</v>
      </c>
      <c r="O1460" s="74">
        <f t="shared" si="13"/>
        <v>0</v>
      </c>
      <c r="P1460" s="63">
        <f t="shared" si="14"/>
        <v>0</v>
      </c>
      <c r="Q1460" s="63" t="str">
        <f t="shared" si="15"/>
        <v>#N/A</v>
      </c>
      <c r="R1460" s="93" t="str">
        <f>VLOOKUP(F1460,DATABASE!C:Q,4,false)</f>
        <v>#N/A</v>
      </c>
      <c r="S1460" s="93" t="str">
        <f>VLOOKUP(F1460,DATABASE!C:P,11,false)</f>
        <v>#N/A</v>
      </c>
      <c r="T1460" s="93" t="str">
        <f>vlookup(F1460,DATABASE!C:Q,8,false)</f>
        <v>#N/A</v>
      </c>
      <c r="Z1460" s="9"/>
    </row>
    <row r="1461" ht="22.5" customHeight="1">
      <c r="A1461" s="49"/>
      <c r="C1461" s="384"/>
      <c r="D1461" s="93"/>
      <c r="F1461" s="74"/>
      <c r="H1461" s="74"/>
      <c r="I1461" s="74"/>
      <c r="J1461" s="74"/>
      <c r="K1461" s="74" t="str">
        <f>if(F1461="SERVICE",O1461-(O1461*50%),Vlookup(F1461,DATABASE!C:Q,10,false)*G1461)</f>
        <v>#N/A</v>
      </c>
      <c r="L1461" s="74" t="str">
        <f>VLOOKUP(F1461,DATABASE!C:Q,7,FALSE)</f>
        <v>#N/A</v>
      </c>
      <c r="M1461" s="74"/>
      <c r="N1461" s="74">
        <f t="shared" si="11"/>
        <v>0</v>
      </c>
      <c r="O1461" s="74">
        <f t="shared" si="13"/>
        <v>0</v>
      </c>
      <c r="P1461" s="63">
        <f t="shared" si="14"/>
        <v>0</v>
      </c>
      <c r="Q1461" s="63" t="str">
        <f t="shared" si="15"/>
        <v>#N/A</v>
      </c>
      <c r="R1461" s="93" t="str">
        <f>VLOOKUP(F1461,DATABASE!C:Q,4,false)</f>
        <v>#N/A</v>
      </c>
      <c r="S1461" s="93" t="str">
        <f>VLOOKUP(F1461,DATABASE!C:P,11,false)</f>
        <v>#N/A</v>
      </c>
      <c r="T1461" s="93" t="str">
        <f>vlookup(F1461,DATABASE!C:Q,8,false)</f>
        <v>#N/A</v>
      </c>
      <c r="Z1461" s="9"/>
    </row>
    <row r="1462" ht="22.5" customHeight="1">
      <c r="A1462" s="49"/>
      <c r="C1462" s="384"/>
      <c r="D1462" s="93"/>
      <c r="F1462" s="74"/>
      <c r="H1462" s="74"/>
      <c r="I1462" s="74"/>
      <c r="J1462" s="74"/>
      <c r="K1462" s="74" t="str">
        <f>if(F1462="SERVICE",O1462-(O1462*50%),Vlookup(F1462,DATABASE!C:Q,10,false)*G1462)</f>
        <v>#N/A</v>
      </c>
      <c r="L1462" s="74" t="str">
        <f>VLOOKUP(F1462,DATABASE!C:Q,7,FALSE)</f>
        <v>#N/A</v>
      </c>
      <c r="M1462" s="74"/>
      <c r="N1462" s="74">
        <f t="shared" si="11"/>
        <v>0</v>
      </c>
      <c r="O1462" s="74">
        <f t="shared" si="13"/>
        <v>0</v>
      </c>
      <c r="P1462" s="63">
        <f t="shared" si="14"/>
        <v>0</v>
      </c>
      <c r="Q1462" s="63" t="str">
        <f t="shared" si="15"/>
        <v>#N/A</v>
      </c>
      <c r="R1462" s="93" t="str">
        <f>VLOOKUP(F1462,DATABASE!C:Q,4,false)</f>
        <v>#N/A</v>
      </c>
      <c r="S1462" s="93" t="str">
        <f>VLOOKUP(F1462,DATABASE!C:P,11,false)</f>
        <v>#N/A</v>
      </c>
      <c r="T1462" s="93" t="str">
        <f>vlookup(F1462,DATABASE!C:Q,8,false)</f>
        <v>#N/A</v>
      </c>
      <c r="Z1462" s="9"/>
    </row>
    <row r="1463" ht="22.5" customHeight="1">
      <c r="A1463" s="49"/>
      <c r="C1463" s="384"/>
      <c r="D1463" s="93"/>
      <c r="F1463" s="74"/>
      <c r="H1463" s="74"/>
      <c r="I1463" s="74"/>
      <c r="J1463" s="74"/>
      <c r="K1463" s="74" t="str">
        <f>if(F1463="SERVICE",O1463-(O1463*50%),Vlookup(F1463,DATABASE!C:Q,10,false)*G1463)</f>
        <v>#N/A</v>
      </c>
      <c r="L1463" s="74" t="str">
        <f>VLOOKUP(F1463,DATABASE!C:Q,7,FALSE)</f>
        <v>#N/A</v>
      </c>
      <c r="M1463" s="74"/>
      <c r="N1463" s="74">
        <f t="shared" si="11"/>
        <v>0</v>
      </c>
      <c r="O1463" s="74">
        <f t="shared" si="13"/>
        <v>0</v>
      </c>
      <c r="P1463" s="63">
        <f t="shared" si="14"/>
        <v>0</v>
      </c>
      <c r="Q1463" s="63" t="str">
        <f t="shared" si="15"/>
        <v>#N/A</v>
      </c>
      <c r="R1463" s="93" t="str">
        <f>VLOOKUP(F1463,DATABASE!C:Q,4,false)</f>
        <v>#N/A</v>
      </c>
      <c r="S1463" s="93" t="str">
        <f>VLOOKUP(F1463,DATABASE!C:P,11,false)</f>
        <v>#N/A</v>
      </c>
      <c r="T1463" s="93" t="str">
        <f>vlookup(F1463,DATABASE!C:Q,8,false)</f>
        <v>#N/A</v>
      </c>
      <c r="Z1463" s="9"/>
    </row>
    <row r="1464" ht="22.5" customHeight="1">
      <c r="A1464" s="49"/>
      <c r="C1464" s="384"/>
      <c r="D1464" s="93"/>
      <c r="F1464" s="74"/>
      <c r="H1464" s="74"/>
      <c r="I1464" s="74"/>
      <c r="J1464" s="74"/>
      <c r="K1464" s="74" t="str">
        <f>if(F1464="SERVICE",O1464-(O1464*50%),Vlookup(F1464,DATABASE!C:Q,10,false)*G1464)</f>
        <v>#N/A</v>
      </c>
      <c r="L1464" s="74" t="str">
        <f>VLOOKUP(F1464,DATABASE!C:Q,7,FALSE)</f>
        <v>#N/A</v>
      </c>
      <c r="M1464" s="74"/>
      <c r="N1464" s="74">
        <f t="shared" si="11"/>
        <v>0</v>
      </c>
      <c r="O1464" s="74">
        <f t="shared" si="13"/>
        <v>0</v>
      </c>
      <c r="P1464" s="63">
        <f t="shared" si="14"/>
        <v>0</v>
      </c>
      <c r="Q1464" s="63" t="str">
        <f t="shared" si="15"/>
        <v>#N/A</v>
      </c>
      <c r="R1464" s="93" t="str">
        <f>VLOOKUP(F1464,DATABASE!C:Q,4,false)</f>
        <v>#N/A</v>
      </c>
      <c r="S1464" s="93" t="str">
        <f>VLOOKUP(F1464,DATABASE!C:P,11,false)</f>
        <v>#N/A</v>
      </c>
      <c r="T1464" s="93" t="str">
        <f>vlookup(F1464,DATABASE!C:Q,8,false)</f>
        <v>#N/A</v>
      </c>
      <c r="Z1464" s="9"/>
    </row>
    <row r="1465" ht="22.5" customHeight="1">
      <c r="A1465" s="49"/>
      <c r="C1465" s="384"/>
      <c r="D1465" s="93"/>
      <c r="F1465" s="74"/>
      <c r="H1465" s="74"/>
      <c r="I1465" s="74"/>
      <c r="J1465" s="74"/>
      <c r="K1465" s="74" t="str">
        <f>if(F1465="SERVICE",O1465-(O1465*50%),Vlookup(F1465,DATABASE!C:Q,10,false)*G1465)</f>
        <v>#N/A</v>
      </c>
      <c r="L1465" s="74" t="str">
        <f>VLOOKUP(F1465,DATABASE!C:Q,7,FALSE)</f>
        <v>#N/A</v>
      </c>
      <c r="M1465" s="74"/>
      <c r="N1465" s="74">
        <f t="shared" si="11"/>
        <v>0</v>
      </c>
      <c r="O1465" s="74">
        <f t="shared" si="13"/>
        <v>0</v>
      </c>
      <c r="P1465" s="63">
        <f t="shared" si="14"/>
        <v>0</v>
      </c>
      <c r="Q1465" s="63" t="str">
        <f t="shared" si="15"/>
        <v>#N/A</v>
      </c>
      <c r="R1465" s="93" t="str">
        <f>VLOOKUP(F1465,DATABASE!C:Q,4,false)</f>
        <v>#N/A</v>
      </c>
      <c r="S1465" s="93" t="str">
        <f>VLOOKUP(F1465,DATABASE!C:P,11,false)</f>
        <v>#N/A</v>
      </c>
      <c r="T1465" s="93" t="str">
        <f>vlookup(F1465,DATABASE!C:Q,8,false)</f>
        <v>#N/A</v>
      </c>
      <c r="Z1465" s="9"/>
    </row>
    <row r="1466" ht="22.5" customHeight="1">
      <c r="A1466" s="49"/>
      <c r="C1466" s="384"/>
      <c r="D1466" s="93"/>
      <c r="F1466" s="74"/>
      <c r="H1466" s="74"/>
      <c r="I1466" s="74"/>
      <c r="J1466" s="74"/>
      <c r="K1466" s="74" t="str">
        <f>if(F1466="SERVICE",O1466-(O1466*50%),Vlookup(F1466,DATABASE!C:Q,10,false)*G1466)</f>
        <v>#N/A</v>
      </c>
      <c r="L1466" s="74" t="str">
        <f>VLOOKUP(F1466,DATABASE!C:Q,7,FALSE)</f>
        <v>#N/A</v>
      </c>
      <c r="M1466" s="74"/>
      <c r="N1466" s="74">
        <f t="shared" si="11"/>
        <v>0</v>
      </c>
      <c r="O1466" s="74">
        <f t="shared" si="13"/>
        <v>0</v>
      </c>
      <c r="P1466" s="63">
        <f t="shared" si="14"/>
        <v>0</v>
      </c>
      <c r="Q1466" s="63" t="str">
        <f t="shared" si="15"/>
        <v>#N/A</v>
      </c>
      <c r="R1466" s="93" t="str">
        <f>VLOOKUP(F1466,DATABASE!C:Q,4,false)</f>
        <v>#N/A</v>
      </c>
      <c r="S1466" s="93" t="str">
        <f>VLOOKUP(F1466,DATABASE!C:P,11,false)</f>
        <v>#N/A</v>
      </c>
      <c r="T1466" s="93" t="str">
        <f>vlookup(F1466,DATABASE!C:Q,8,false)</f>
        <v>#N/A</v>
      </c>
      <c r="Z1466" s="9"/>
    </row>
    <row r="1467" ht="22.5" customHeight="1">
      <c r="A1467" s="49"/>
      <c r="C1467" s="384"/>
      <c r="D1467" s="93"/>
      <c r="F1467" s="74"/>
      <c r="H1467" s="74"/>
      <c r="I1467" s="74"/>
      <c r="J1467" s="74"/>
      <c r="K1467" s="74" t="str">
        <f>if(F1467="SERVICE",O1467-(O1467*50%),Vlookup(F1467,DATABASE!C:Q,10,false)*G1467)</f>
        <v>#N/A</v>
      </c>
      <c r="L1467" s="74" t="str">
        <f>VLOOKUP(F1467,DATABASE!C:Q,7,FALSE)</f>
        <v>#N/A</v>
      </c>
      <c r="M1467" s="74"/>
      <c r="N1467" s="74">
        <f t="shared" si="11"/>
        <v>0</v>
      </c>
      <c r="O1467" s="74">
        <f t="shared" si="13"/>
        <v>0</v>
      </c>
      <c r="P1467" s="63">
        <f t="shared" si="14"/>
        <v>0</v>
      </c>
      <c r="Q1467" s="63" t="str">
        <f t="shared" si="15"/>
        <v>#N/A</v>
      </c>
      <c r="R1467" s="93" t="str">
        <f>VLOOKUP(F1467,DATABASE!C:Q,4,false)</f>
        <v>#N/A</v>
      </c>
      <c r="S1467" s="93" t="str">
        <f>VLOOKUP(F1467,DATABASE!C:P,11,false)</f>
        <v>#N/A</v>
      </c>
      <c r="T1467" s="93" t="str">
        <f>vlookup(F1467,DATABASE!C:Q,8,false)</f>
        <v>#N/A</v>
      </c>
      <c r="Z1467" s="9"/>
    </row>
    <row r="1468" ht="22.5" customHeight="1">
      <c r="A1468" s="49"/>
      <c r="C1468" s="384"/>
      <c r="D1468" s="93"/>
      <c r="F1468" s="74"/>
      <c r="H1468" s="74"/>
      <c r="I1468" s="74"/>
      <c r="J1468" s="74"/>
      <c r="K1468" s="74" t="str">
        <f>if(F1468="SERVICE",O1468-(O1468*50%),Vlookup(F1468,DATABASE!C:Q,10,false)*G1468)</f>
        <v>#N/A</v>
      </c>
      <c r="L1468" s="74" t="str">
        <f>VLOOKUP(F1468,DATABASE!C:Q,7,FALSE)</f>
        <v>#N/A</v>
      </c>
      <c r="M1468" s="74"/>
      <c r="N1468" s="74">
        <f t="shared" si="11"/>
        <v>0</v>
      </c>
      <c r="O1468" s="74">
        <f t="shared" si="13"/>
        <v>0</v>
      </c>
      <c r="P1468" s="63">
        <f t="shared" si="14"/>
        <v>0</v>
      </c>
      <c r="Q1468" s="63" t="str">
        <f t="shared" si="15"/>
        <v>#N/A</v>
      </c>
      <c r="R1468" s="93" t="str">
        <f>VLOOKUP(F1468,DATABASE!C:Q,4,false)</f>
        <v>#N/A</v>
      </c>
      <c r="S1468" s="93" t="str">
        <f>VLOOKUP(F1468,DATABASE!C:P,11,false)</f>
        <v>#N/A</v>
      </c>
      <c r="T1468" s="93" t="str">
        <f>vlookup(F1468,DATABASE!C:Q,8,false)</f>
        <v>#N/A</v>
      </c>
      <c r="Z1468" s="9"/>
    </row>
    <row r="1469" ht="22.5" customHeight="1">
      <c r="A1469" s="49"/>
      <c r="C1469" s="384"/>
      <c r="D1469" s="93"/>
      <c r="F1469" s="74"/>
      <c r="H1469" s="74"/>
      <c r="I1469" s="74"/>
      <c r="J1469" s="74"/>
      <c r="K1469" s="74" t="str">
        <f>if(F1469="SERVICE",O1469-(O1469*50%),Vlookup(F1469,DATABASE!C:Q,10,false)*G1469)</f>
        <v>#N/A</v>
      </c>
      <c r="L1469" s="74" t="str">
        <f>VLOOKUP(F1469,DATABASE!C:Q,7,FALSE)</f>
        <v>#N/A</v>
      </c>
      <c r="M1469" s="74"/>
      <c r="N1469" s="74">
        <f t="shared" si="11"/>
        <v>0</v>
      </c>
      <c r="O1469" s="74">
        <f t="shared" si="13"/>
        <v>0</v>
      </c>
      <c r="P1469" s="63">
        <f t="shared" si="14"/>
        <v>0</v>
      </c>
      <c r="Q1469" s="63" t="str">
        <f t="shared" si="15"/>
        <v>#N/A</v>
      </c>
      <c r="R1469" s="93" t="str">
        <f>VLOOKUP(F1469,DATABASE!C:Q,4,false)</f>
        <v>#N/A</v>
      </c>
      <c r="S1469" s="93" t="str">
        <f>VLOOKUP(F1469,DATABASE!C:P,11,false)</f>
        <v>#N/A</v>
      </c>
      <c r="T1469" s="93" t="str">
        <f>vlookup(F1469,DATABASE!C:Q,8,false)</f>
        <v>#N/A</v>
      </c>
      <c r="Z1469" s="9"/>
    </row>
    <row r="1470" ht="22.5" customHeight="1">
      <c r="A1470" s="49"/>
      <c r="C1470" s="384"/>
      <c r="D1470" s="93"/>
      <c r="F1470" s="74"/>
      <c r="H1470" s="74"/>
      <c r="I1470" s="74"/>
      <c r="J1470" s="74"/>
      <c r="K1470" s="74" t="str">
        <f>if(F1470="SERVICE",O1470-(O1470*50%),Vlookup(F1470,DATABASE!C:Q,10,false)*G1470)</f>
        <v>#N/A</v>
      </c>
      <c r="L1470" s="74" t="str">
        <f>VLOOKUP(F1470,DATABASE!C:Q,7,FALSE)</f>
        <v>#N/A</v>
      </c>
      <c r="M1470" s="74"/>
      <c r="N1470" s="74">
        <f t="shared" si="11"/>
        <v>0</v>
      </c>
      <c r="O1470" s="74">
        <f t="shared" si="13"/>
        <v>0</v>
      </c>
      <c r="P1470" s="63">
        <f t="shared" si="14"/>
        <v>0</v>
      </c>
      <c r="Q1470" s="63" t="str">
        <f t="shared" si="15"/>
        <v>#N/A</v>
      </c>
      <c r="R1470" s="93" t="str">
        <f>VLOOKUP(F1470,DATABASE!C:Q,4,false)</f>
        <v>#N/A</v>
      </c>
      <c r="S1470" s="93" t="str">
        <f>VLOOKUP(F1470,DATABASE!C:P,11,false)</f>
        <v>#N/A</v>
      </c>
      <c r="T1470" s="93" t="str">
        <f>vlookup(F1470,DATABASE!C:Q,8,false)</f>
        <v>#N/A</v>
      </c>
      <c r="Z1470" s="9"/>
    </row>
    <row r="1471" ht="22.5" customHeight="1">
      <c r="A1471" s="49"/>
      <c r="C1471" s="384"/>
      <c r="D1471" s="93"/>
      <c r="F1471" s="74"/>
      <c r="H1471" s="74"/>
      <c r="I1471" s="74"/>
      <c r="J1471" s="74"/>
      <c r="K1471" s="74" t="str">
        <f>if(F1471="SERVICE",O1471-(O1471*50%),Vlookup(F1471,DATABASE!C:Q,10,false)*G1471)</f>
        <v>#N/A</v>
      </c>
      <c r="L1471" s="74" t="str">
        <f>VLOOKUP(F1471,DATABASE!C:Q,7,FALSE)</f>
        <v>#N/A</v>
      </c>
      <c r="M1471" s="74"/>
      <c r="N1471" s="74">
        <f t="shared" si="11"/>
        <v>0</v>
      </c>
      <c r="O1471" s="74">
        <f t="shared" si="13"/>
        <v>0</v>
      </c>
      <c r="P1471" s="63">
        <f t="shared" si="14"/>
        <v>0</v>
      </c>
      <c r="Q1471" s="63" t="str">
        <f t="shared" si="15"/>
        <v>#N/A</v>
      </c>
      <c r="R1471" s="93" t="str">
        <f>VLOOKUP(F1471,DATABASE!C:Q,4,false)</f>
        <v>#N/A</v>
      </c>
      <c r="S1471" s="93" t="str">
        <f>VLOOKUP(F1471,DATABASE!C:P,11,false)</f>
        <v>#N/A</v>
      </c>
      <c r="T1471" s="93" t="str">
        <f>vlookup(F1471,DATABASE!C:Q,8,false)</f>
        <v>#N/A</v>
      </c>
      <c r="Z1471" s="9"/>
    </row>
    <row r="1472" ht="22.5" customHeight="1">
      <c r="A1472" s="49"/>
      <c r="C1472" s="384"/>
      <c r="D1472" s="93"/>
      <c r="F1472" s="74"/>
      <c r="H1472" s="74"/>
      <c r="I1472" s="74"/>
      <c r="J1472" s="74"/>
      <c r="K1472" s="74" t="str">
        <f>if(F1472="SERVICE",O1472-(O1472*50%),Vlookup(F1472,DATABASE!C:Q,10,false)*G1472)</f>
        <v>#N/A</v>
      </c>
      <c r="L1472" s="74" t="str">
        <f>VLOOKUP(F1472,DATABASE!C:Q,7,FALSE)</f>
        <v>#N/A</v>
      </c>
      <c r="M1472" s="74"/>
      <c r="N1472" s="74">
        <f t="shared" si="11"/>
        <v>0</v>
      </c>
      <c r="O1472" s="74">
        <f t="shared" si="13"/>
        <v>0</v>
      </c>
      <c r="P1472" s="63">
        <f t="shared" si="14"/>
        <v>0</v>
      </c>
      <c r="Q1472" s="63" t="str">
        <f t="shared" si="15"/>
        <v>#N/A</v>
      </c>
      <c r="R1472" s="93" t="str">
        <f>VLOOKUP(F1472,DATABASE!C:Q,4,false)</f>
        <v>#N/A</v>
      </c>
      <c r="S1472" s="93" t="str">
        <f>VLOOKUP(F1472,DATABASE!C:P,11,false)</f>
        <v>#N/A</v>
      </c>
      <c r="T1472" s="93" t="str">
        <f>vlookup(F1472,DATABASE!C:Q,8,false)</f>
        <v>#N/A</v>
      </c>
      <c r="Z1472" s="9"/>
    </row>
    <row r="1473" ht="22.5" customHeight="1">
      <c r="A1473" s="49"/>
      <c r="C1473" s="384"/>
      <c r="D1473" s="93"/>
      <c r="F1473" s="74"/>
      <c r="H1473" s="74"/>
      <c r="I1473" s="74"/>
      <c r="J1473" s="74"/>
      <c r="K1473" s="74" t="str">
        <f>if(F1473="SERVICE",O1473-(O1473*50%),Vlookup(F1473,DATABASE!C:Q,10,false)*G1473)</f>
        <v>#N/A</v>
      </c>
      <c r="L1473" s="74" t="str">
        <f>VLOOKUP(F1473,DATABASE!C:Q,7,FALSE)</f>
        <v>#N/A</v>
      </c>
      <c r="M1473" s="74"/>
      <c r="N1473" s="74">
        <f t="shared" si="11"/>
        <v>0</v>
      </c>
      <c r="O1473" s="74">
        <f t="shared" si="13"/>
        <v>0</v>
      </c>
      <c r="P1473" s="63">
        <f t="shared" si="14"/>
        <v>0</v>
      </c>
      <c r="Q1473" s="63" t="str">
        <f t="shared" si="15"/>
        <v>#N/A</v>
      </c>
      <c r="R1473" s="93" t="str">
        <f>VLOOKUP(F1473,DATABASE!C:Q,4,false)</f>
        <v>#N/A</v>
      </c>
      <c r="S1473" s="93" t="str">
        <f>VLOOKUP(F1473,DATABASE!C:P,11,false)</f>
        <v>#N/A</v>
      </c>
      <c r="T1473" s="93" t="str">
        <f>vlookup(F1473,DATABASE!C:Q,8,false)</f>
        <v>#N/A</v>
      </c>
      <c r="Z1473" s="9"/>
    </row>
    <row r="1474" ht="22.5" customHeight="1">
      <c r="A1474" s="49"/>
      <c r="C1474" s="384"/>
      <c r="D1474" s="93"/>
      <c r="F1474" s="74"/>
      <c r="H1474" s="74"/>
      <c r="I1474" s="74"/>
      <c r="J1474" s="74"/>
      <c r="K1474" s="74" t="str">
        <f>if(F1474="SERVICE",O1474-(O1474*50%),Vlookup(F1474,DATABASE!C:Q,10,false)*G1474)</f>
        <v>#N/A</v>
      </c>
      <c r="L1474" s="74" t="str">
        <f>VLOOKUP(F1474,DATABASE!C:Q,7,FALSE)</f>
        <v>#N/A</v>
      </c>
      <c r="M1474" s="74"/>
      <c r="N1474" s="74">
        <f t="shared" si="11"/>
        <v>0</v>
      </c>
      <c r="O1474" s="74">
        <f t="shared" si="13"/>
        <v>0</v>
      </c>
      <c r="P1474" s="63">
        <f t="shared" si="14"/>
        <v>0</v>
      </c>
      <c r="Q1474" s="63" t="str">
        <f t="shared" si="15"/>
        <v>#N/A</v>
      </c>
      <c r="R1474" s="93" t="str">
        <f>VLOOKUP(F1474,DATABASE!C:Q,4,false)</f>
        <v>#N/A</v>
      </c>
      <c r="S1474" s="93" t="str">
        <f>VLOOKUP(F1474,DATABASE!C:P,11,false)</f>
        <v>#N/A</v>
      </c>
      <c r="T1474" s="93" t="str">
        <f>vlookup(F1474,DATABASE!C:Q,8,false)</f>
        <v>#N/A</v>
      </c>
      <c r="Z1474" s="9"/>
    </row>
    <row r="1475" ht="22.5" customHeight="1">
      <c r="A1475" s="49"/>
      <c r="C1475" s="384"/>
      <c r="D1475" s="93"/>
      <c r="F1475" s="74"/>
      <c r="H1475" s="74"/>
      <c r="I1475" s="74"/>
      <c r="J1475" s="74"/>
      <c r="K1475" s="74" t="str">
        <f>if(F1475="SERVICE",O1475-(O1475*50%),Vlookup(F1475,DATABASE!C:Q,10,false)*G1475)</f>
        <v>#N/A</v>
      </c>
      <c r="L1475" s="74" t="str">
        <f>VLOOKUP(F1475,DATABASE!C:Q,7,FALSE)</f>
        <v>#N/A</v>
      </c>
      <c r="M1475" s="74"/>
      <c r="N1475" s="74">
        <f t="shared" si="11"/>
        <v>0</v>
      </c>
      <c r="O1475" s="74">
        <f t="shared" si="13"/>
        <v>0</v>
      </c>
      <c r="P1475" s="63">
        <f t="shared" si="14"/>
        <v>0</v>
      </c>
      <c r="Q1475" s="63" t="str">
        <f t="shared" si="15"/>
        <v>#N/A</v>
      </c>
      <c r="R1475" s="93" t="str">
        <f>VLOOKUP(F1475,DATABASE!C:Q,4,false)</f>
        <v>#N/A</v>
      </c>
      <c r="S1475" s="93" t="str">
        <f>VLOOKUP(F1475,DATABASE!C:P,11,false)</f>
        <v>#N/A</v>
      </c>
      <c r="T1475" s="93" t="str">
        <f>vlookup(F1475,DATABASE!C:Q,8,false)</f>
        <v>#N/A</v>
      </c>
      <c r="Z1475" s="9"/>
    </row>
    <row r="1476" ht="22.5" customHeight="1">
      <c r="A1476" s="49"/>
      <c r="C1476" s="384"/>
      <c r="D1476" s="93"/>
      <c r="F1476" s="74"/>
      <c r="H1476" s="74"/>
      <c r="I1476" s="74"/>
      <c r="J1476" s="74"/>
      <c r="K1476" s="74" t="str">
        <f>if(F1476="SERVICE",O1476-(O1476*50%),Vlookup(F1476,DATABASE!C:Q,10,false)*G1476)</f>
        <v>#N/A</v>
      </c>
      <c r="L1476" s="74" t="str">
        <f>VLOOKUP(F1476,DATABASE!C:Q,7,FALSE)</f>
        <v>#N/A</v>
      </c>
      <c r="M1476" s="74"/>
      <c r="N1476" s="74">
        <f t="shared" si="11"/>
        <v>0</v>
      </c>
      <c r="O1476" s="74">
        <f t="shared" si="13"/>
        <v>0</v>
      </c>
      <c r="P1476" s="63">
        <f t="shared" si="14"/>
        <v>0</v>
      </c>
      <c r="Q1476" s="63" t="str">
        <f t="shared" si="15"/>
        <v>#N/A</v>
      </c>
      <c r="R1476" s="93" t="str">
        <f>VLOOKUP(F1476,DATABASE!C:Q,4,false)</f>
        <v>#N/A</v>
      </c>
      <c r="S1476" s="93" t="str">
        <f>VLOOKUP(F1476,DATABASE!C:P,11,false)</f>
        <v>#N/A</v>
      </c>
      <c r="T1476" s="93" t="str">
        <f>vlookup(F1476,DATABASE!C:Q,8,false)</f>
        <v>#N/A</v>
      </c>
      <c r="Z1476" s="9"/>
    </row>
    <row r="1477" ht="22.5" customHeight="1">
      <c r="A1477" s="49"/>
      <c r="C1477" s="384"/>
      <c r="D1477" s="93"/>
      <c r="F1477" s="74"/>
      <c r="H1477" s="74"/>
      <c r="I1477" s="74"/>
      <c r="J1477" s="74"/>
      <c r="K1477" s="74" t="str">
        <f>if(F1477="SERVICE",O1477-(O1477*50%),Vlookup(F1477,DATABASE!C:Q,10,false)*G1477)</f>
        <v>#N/A</v>
      </c>
      <c r="L1477" s="74" t="str">
        <f>VLOOKUP(F1477,DATABASE!C:Q,7,FALSE)</f>
        <v>#N/A</v>
      </c>
      <c r="M1477" s="74"/>
      <c r="N1477" s="74">
        <f t="shared" si="11"/>
        <v>0</v>
      </c>
      <c r="O1477" s="74">
        <f t="shared" si="13"/>
        <v>0</v>
      </c>
      <c r="P1477" s="63">
        <f t="shared" si="14"/>
        <v>0</v>
      </c>
      <c r="Q1477" s="63" t="str">
        <f t="shared" si="15"/>
        <v>#N/A</v>
      </c>
      <c r="R1477" s="93" t="str">
        <f>VLOOKUP(F1477,DATABASE!C:Q,4,false)</f>
        <v>#N/A</v>
      </c>
      <c r="S1477" s="93" t="str">
        <f>VLOOKUP(F1477,DATABASE!C:P,11,false)</f>
        <v>#N/A</v>
      </c>
      <c r="T1477" s="93" t="str">
        <f>vlookup(F1477,DATABASE!C:Q,8,false)</f>
        <v>#N/A</v>
      </c>
      <c r="Z1477" s="9"/>
    </row>
    <row r="1478" ht="22.5" customHeight="1">
      <c r="A1478" s="49"/>
      <c r="C1478" s="384"/>
      <c r="D1478" s="93"/>
      <c r="F1478" s="74"/>
      <c r="H1478" s="74"/>
      <c r="I1478" s="74"/>
      <c r="J1478" s="74"/>
      <c r="K1478" s="74" t="str">
        <f>if(F1478="SERVICE",O1478-(O1478*50%),Vlookup(F1478,DATABASE!C:Q,10,false)*G1478)</f>
        <v>#N/A</v>
      </c>
      <c r="L1478" s="74" t="str">
        <f>VLOOKUP(F1478,DATABASE!C:Q,7,FALSE)</f>
        <v>#N/A</v>
      </c>
      <c r="M1478" s="74"/>
      <c r="N1478" s="74">
        <f t="shared" si="11"/>
        <v>0</v>
      </c>
      <c r="O1478" s="74">
        <f t="shared" si="13"/>
        <v>0</v>
      </c>
      <c r="P1478" s="63">
        <f t="shared" si="14"/>
        <v>0</v>
      </c>
      <c r="Q1478" s="63" t="str">
        <f t="shared" si="15"/>
        <v>#N/A</v>
      </c>
      <c r="R1478" s="93" t="str">
        <f>VLOOKUP(F1478,DATABASE!C:Q,4,false)</f>
        <v>#N/A</v>
      </c>
      <c r="S1478" s="93" t="str">
        <f>VLOOKUP(F1478,DATABASE!C:P,11,false)</f>
        <v>#N/A</v>
      </c>
      <c r="T1478" s="93" t="str">
        <f>vlookup(F1478,DATABASE!C:Q,8,false)</f>
        <v>#N/A</v>
      </c>
      <c r="Z1478" s="9"/>
    </row>
    <row r="1479" ht="22.5" customHeight="1">
      <c r="A1479" s="49"/>
      <c r="C1479" s="384"/>
      <c r="D1479" s="93"/>
      <c r="F1479" s="74"/>
      <c r="H1479" s="74"/>
      <c r="I1479" s="74"/>
      <c r="J1479" s="74"/>
      <c r="K1479" s="74" t="str">
        <f>if(F1479="SERVICE",O1479-(O1479*50%),Vlookup(F1479,DATABASE!C:Q,10,false)*G1479)</f>
        <v>#N/A</v>
      </c>
      <c r="L1479" s="74" t="str">
        <f>VLOOKUP(F1479,DATABASE!C:Q,7,FALSE)</f>
        <v>#N/A</v>
      </c>
      <c r="M1479" s="74"/>
      <c r="N1479" s="74">
        <f t="shared" si="11"/>
        <v>0</v>
      </c>
      <c r="O1479" s="74">
        <f t="shared" si="13"/>
        <v>0</v>
      </c>
      <c r="P1479" s="63">
        <f t="shared" si="14"/>
        <v>0</v>
      </c>
      <c r="Q1479" s="63" t="str">
        <f t="shared" si="15"/>
        <v>#N/A</v>
      </c>
      <c r="R1479" s="93" t="str">
        <f>VLOOKUP(F1479,DATABASE!C:Q,4,false)</f>
        <v>#N/A</v>
      </c>
      <c r="S1479" s="93" t="str">
        <f>VLOOKUP(F1479,DATABASE!C:P,11,false)</f>
        <v>#N/A</v>
      </c>
      <c r="T1479" s="93" t="str">
        <f>vlookup(F1479,DATABASE!C:Q,8,false)</f>
        <v>#N/A</v>
      </c>
      <c r="Z1479" s="9"/>
    </row>
    <row r="1480" ht="22.5" customHeight="1">
      <c r="A1480" s="49"/>
      <c r="C1480" s="384"/>
      <c r="D1480" s="93"/>
      <c r="F1480" s="74"/>
      <c r="H1480" s="74"/>
      <c r="I1480" s="74"/>
      <c r="J1480" s="74"/>
      <c r="K1480" s="74" t="str">
        <f>if(F1480="SERVICE",O1480-(O1480*50%),Vlookup(F1480,DATABASE!C:Q,10,false)*G1480)</f>
        <v>#N/A</v>
      </c>
      <c r="L1480" s="74" t="str">
        <f>VLOOKUP(F1480,DATABASE!C:Q,7,FALSE)</f>
        <v>#N/A</v>
      </c>
      <c r="M1480" s="74"/>
      <c r="N1480" s="74">
        <f t="shared" si="11"/>
        <v>0</v>
      </c>
      <c r="O1480" s="74">
        <f t="shared" si="13"/>
        <v>0</v>
      </c>
      <c r="P1480" s="63">
        <f t="shared" si="14"/>
        <v>0</v>
      </c>
      <c r="Q1480" s="63" t="str">
        <f t="shared" si="15"/>
        <v>#N/A</v>
      </c>
      <c r="R1480" s="93" t="str">
        <f>VLOOKUP(F1480,DATABASE!C:Q,4,false)</f>
        <v>#N/A</v>
      </c>
      <c r="S1480" s="93" t="str">
        <f>VLOOKUP(F1480,DATABASE!C:P,11,false)</f>
        <v>#N/A</v>
      </c>
      <c r="T1480" s="93" t="str">
        <f>vlookup(F1480,DATABASE!C:Q,8,false)</f>
        <v>#N/A</v>
      </c>
      <c r="Z1480" s="9"/>
    </row>
    <row r="1481" ht="22.5" customHeight="1">
      <c r="A1481" s="49"/>
      <c r="C1481" s="384"/>
      <c r="D1481" s="93"/>
      <c r="F1481" s="74"/>
      <c r="H1481" s="74"/>
      <c r="I1481" s="74"/>
      <c r="J1481" s="74"/>
      <c r="K1481" s="74" t="str">
        <f>if(F1481="SERVICE",O1481-(O1481*50%),Vlookup(F1481,DATABASE!C:Q,10,false)*G1481)</f>
        <v>#N/A</v>
      </c>
      <c r="L1481" s="74" t="str">
        <f>VLOOKUP(F1481,DATABASE!C:Q,7,FALSE)</f>
        <v>#N/A</v>
      </c>
      <c r="M1481" s="74"/>
      <c r="N1481" s="74">
        <f t="shared" si="11"/>
        <v>0</v>
      </c>
      <c r="O1481" s="74">
        <f t="shared" si="13"/>
        <v>0</v>
      </c>
      <c r="P1481" s="63">
        <f t="shared" si="14"/>
        <v>0</v>
      </c>
      <c r="Q1481" s="63" t="str">
        <f t="shared" si="15"/>
        <v>#N/A</v>
      </c>
      <c r="R1481" s="93" t="str">
        <f>VLOOKUP(F1481,DATABASE!C:Q,4,false)</f>
        <v>#N/A</v>
      </c>
      <c r="S1481" s="93" t="str">
        <f>VLOOKUP(F1481,DATABASE!C:P,11,false)</f>
        <v>#N/A</v>
      </c>
      <c r="T1481" s="93" t="str">
        <f>vlookup(F1481,DATABASE!C:Q,8,false)</f>
        <v>#N/A</v>
      </c>
      <c r="Z1481" s="9"/>
    </row>
    <row r="1482" ht="22.5" customHeight="1">
      <c r="A1482" s="49"/>
      <c r="C1482" s="384"/>
      <c r="D1482" s="93"/>
      <c r="F1482" s="74"/>
      <c r="H1482" s="74"/>
      <c r="I1482" s="74"/>
      <c r="J1482" s="74"/>
      <c r="K1482" s="74" t="str">
        <f>if(F1482="SERVICE",O1482-(O1482*50%),Vlookup(F1482,DATABASE!C:Q,10,false)*G1482)</f>
        <v>#N/A</v>
      </c>
      <c r="L1482" s="74" t="str">
        <f>VLOOKUP(F1482,DATABASE!C:Q,7,FALSE)</f>
        <v>#N/A</v>
      </c>
      <c r="M1482" s="74"/>
      <c r="N1482" s="74">
        <f t="shared" si="11"/>
        <v>0</v>
      </c>
      <c r="O1482" s="74">
        <f t="shared" si="13"/>
        <v>0</v>
      </c>
      <c r="P1482" s="63">
        <f t="shared" si="14"/>
        <v>0</v>
      </c>
      <c r="Q1482" s="63" t="str">
        <f t="shared" si="15"/>
        <v>#N/A</v>
      </c>
      <c r="R1482" s="93" t="str">
        <f>VLOOKUP(F1482,DATABASE!C:Q,4,false)</f>
        <v>#N/A</v>
      </c>
      <c r="S1482" s="93" t="str">
        <f>VLOOKUP(F1482,DATABASE!C:P,11,false)</f>
        <v>#N/A</v>
      </c>
      <c r="T1482" s="93" t="str">
        <f>vlookup(F1482,DATABASE!C:Q,8,false)</f>
        <v>#N/A</v>
      </c>
      <c r="Z1482" s="9"/>
    </row>
    <row r="1483" ht="22.5" customHeight="1">
      <c r="A1483" s="49"/>
      <c r="C1483" s="384"/>
      <c r="D1483" s="93"/>
      <c r="F1483" s="74"/>
      <c r="H1483" s="74"/>
      <c r="I1483" s="74"/>
      <c r="J1483" s="74"/>
      <c r="K1483" s="74" t="str">
        <f>if(F1483="SERVICE",O1483-(O1483*50%),Vlookup(F1483,DATABASE!C:Q,10,false)*G1483)</f>
        <v>#N/A</v>
      </c>
      <c r="L1483" s="74" t="str">
        <f>VLOOKUP(F1483,DATABASE!C:Q,7,FALSE)</f>
        <v>#N/A</v>
      </c>
      <c r="M1483" s="74"/>
      <c r="N1483" s="74">
        <f t="shared" si="11"/>
        <v>0</v>
      </c>
      <c r="O1483" s="74">
        <f t="shared" si="13"/>
        <v>0</v>
      </c>
      <c r="P1483" s="63">
        <f t="shared" si="14"/>
        <v>0</v>
      </c>
      <c r="Q1483" s="63" t="str">
        <f t="shared" si="15"/>
        <v>#N/A</v>
      </c>
      <c r="R1483" s="93" t="str">
        <f>VLOOKUP(F1483,DATABASE!C:Q,4,false)</f>
        <v>#N/A</v>
      </c>
      <c r="S1483" s="93" t="str">
        <f>VLOOKUP(F1483,DATABASE!C:P,11,false)</f>
        <v>#N/A</v>
      </c>
      <c r="T1483" s="93" t="str">
        <f>vlookup(F1483,DATABASE!C:Q,8,false)</f>
        <v>#N/A</v>
      </c>
      <c r="Z1483" s="9"/>
    </row>
    <row r="1484" ht="22.5" customHeight="1">
      <c r="A1484" s="49"/>
      <c r="C1484" s="384"/>
      <c r="D1484" s="93"/>
      <c r="F1484" s="74"/>
      <c r="H1484" s="74"/>
      <c r="I1484" s="74"/>
      <c r="J1484" s="74"/>
      <c r="K1484" s="74" t="str">
        <f>if(F1484="SERVICE",O1484-(O1484*50%),Vlookup(F1484,DATABASE!C:Q,10,false)*G1484)</f>
        <v>#N/A</v>
      </c>
      <c r="L1484" s="74" t="str">
        <f>VLOOKUP(F1484,DATABASE!C:Q,7,FALSE)</f>
        <v>#N/A</v>
      </c>
      <c r="M1484" s="74"/>
      <c r="N1484" s="74">
        <f t="shared" si="11"/>
        <v>0</v>
      </c>
      <c r="O1484" s="74">
        <f t="shared" si="13"/>
        <v>0</v>
      </c>
      <c r="P1484" s="63">
        <f t="shared" si="14"/>
        <v>0</v>
      </c>
      <c r="Q1484" s="63" t="str">
        <f t="shared" si="15"/>
        <v>#N/A</v>
      </c>
      <c r="R1484" s="93" t="str">
        <f>VLOOKUP(F1484,DATABASE!C:Q,4,false)</f>
        <v>#N/A</v>
      </c>
      <c r="S1484" s="93" t="str">
        <f>VLOOKUP(F1484,DATABASE!C:P,11,false)</f>
        <v>#N/A</v>
      </c>
      <c r="T1484" s="93" t="str">
        <f>vlookup(F1484,DATABASE!C:Q,8,false)</f>
        <v>#N/A</v>
      </c>
      <c r="Z1484" s="9"/>
    </row>
    <row r="1485" ht="22.5" customHeight="1">
      <c r="A1485" s="49"/>
      <c r="C1485" s="384"/>
      <c r="D1485" s="93"/>
      <c r="F1485" s="74"/>
      <c r="H1485" s="74"/>
      <c r="I1485" s="74"/>
      <c r="J1485" s="74"/>
      <c r="K1485" s="74" t="str">
        <f>if(F1485="SERVICE",O1485-(O1485*50%),Vlookup(F1485,DATABASE!C:Q,10,false)*G1485)</f>
        <v>#N/A</v>
      </c>
      <c r="L1485" s="74" t="str">
        <f>VLOOKUP(F1485,DATABASE!C:Q,7,FALSE)</f>
        <v>#N/A</v>
      </c>
      <c r="M1485" s="74"/>
      <c r="N1485" s="74">
        <f t="shared" si="11"/>
        <v>0</v>
      </c>
      <c r="O1485" s="74">
        <f t="shared" si="13"/>
        <v>0</v>
      </c>
      <c r="P1485" s="63">
        <f t="shared" si="14"/>
        <v>0</v>
      </c>
      <c r="Q1485" s="63" t="str">
        <f t="shared" si="15"/>
        <v>#N/A</v>
      </c>
      <c r="R1485" s="93" t="str">
        <f>VLOOKUP(F1485,DATABASE!C:Q,4,false)</f>
        <v>#N/A</v>
      </c>
      <c r="S1485" s="93" t="str">
        <f>VLOOKUP(F1485,DATABASE!C:P,11,false)</f>
        <v>#N/A</v>
      </c>
      <c r="T1485" s="93" t="str">
        <f>vlookup(F1485,DATABASE!C:Q,8,false)</f>
        <v>#N/A</v>
      </c>
      <c r="Z1485" s="9"/>
    </row>
    <row r="1486" ht="22.5" customHeight="1">
      <c r="A1486" s="49"/>
      <c r="C1486" s="384"/>
      <c r="D1486" s="93"/>
      <c r="F1486" s="74"/>
      <c r="H1486" s="74"/>
      <c r="I1486" s="74"/>
      <c r="J1486" s="74"/>
      <c r="K1486" s="74" t="str">
        <f>if(F1486="SERVICE",O1486-(O1486*50%),Vlookup(F1486,DATABASE!C:Q,10,false)*G1486)</f>
        <v>#N/A</v>
      </c>
      <c r="L1486" s="74" t="str">
        <f>VLOOKUP(F1486,DATABASE!C:Q,7,FALSE)</f>
        <v>#N/A</v>
      </c>
      <c r="M1486" s="74"/>
      <c r="N1486" s="74">
        <f t="shared" si="11"/>
        <v>0</v>
      </c>
      <c r="O1486" s="74">
        <f t="shared" si="13"/>
        <v>0</v>
      </c>
      <c r="P1486" s="63">
        <f t="shared" si="14"/>
        <v>0</v>
      </c>
      <c r="Q1486" s="63" t="str">
        <f t="shared" si="15"/>
        <v>#N/A</v>
      </c>
      <c r="R1486" s="93" t="str">
        <f>VLOOKUP(F1486,DATABASE!C:Q,4,false)</f>
        <v>#N/A</v>
      </c>
      <c r="S1486" s="93" t="str">
        <f>VLOOKUP(F1486,DATABASE!C:P,11,false)</f>
        <v>#N/A</v>
      </c>
      <c r="T1486" s="93" t="str">
        <f>vlookup(F1486,DATABASE!C:Q,8,false)</f>
        <v>#N/A</v>
      </c>
      <c r="Z1486" s="9"/>
    </row>
    <row r="1487" ht="22.5" customHeight="1">
      <c r="A1487" s="49"/>
      <c r="C1487" s="384"/>
      <c r="D1487" s="93"/>
      <c r="F1487" s="74"/>
      <c r="H1487" s="74"/>
      <c r="I1487" s="74"/>
      <c r="J1487" s="74"/>
      <c r="K1487" s="74" t="str">
        <f>if(F1487="SERVICE",O1487-(O1487*50%),Vlookup(F1487,DATABASE!C:Q,10,false)*G1487)</f>
        <v>#N/A</v>
      </c>
      <c r="L1487" s="74" t="str">
        <f>VLOOKUP(F1487,DATABASE!C:Q,7,FALSE)</f>
        <v>#N/A</v>
      </c>
      <c r="M1487" s="74"/>
      <c r="N1487" s="74">
        <f t="shared" si="11"/>
        <v>0</v>
      </c>
      <c r="O1487" s="74">
        <f t="shared" si="13"/>
        <v>0</v>
      </c>
      <c r="P1487" s="63">
        <f t="shared" si="14"/>
        <v>0</v>
      </c>
      <c r="Q1487" s="63" t="str">
        <f t="shared" si="15"/>
        <v>#N/A</v>
      </c>
      <c r="R1487" s="93" t="str">
        <f>VLOOKUP(F1487,DATABASE!C:Q,4,false)</f>
        <v>#N/A</v>
      </c>
      <c r="S1487" s="93" t="str">
        <f>VLOOKUP(F1487,DATABASE!C:P,11,false)</f>
        <v>#N/A</v>
      </c>
      <c r="T1487" s="93" t="str">
        <f>vlookup(F1487,DATABASE!C:Q,8,false)</f>
        <v>#N/A</v>
      </c>
      <c r="Z1487" s="9"/>
    </row>
    <row r="1488" ht="22.5" customHeight="1">
      <c r="A1488" s="49"/>
      <c r="C1488" s="384"/>
      <c r="D1488" s="93"/>
      <c r="F1488" s="74"/>
      <c r="H1488" s="74"/>
      <c r="I1488" s="74"/>
      <c r="J1488" s="74"/>
      <c r="K1488" s="74" t="str">
        <f>if(F1488="SERVICE",O1488-(O1488*50%),Vlookup(F1488,DATABASE!C:Q,10,false)*G1488)</f>
        <v>#N/A</v>
      </c>
      <c r="L1488" s="74" t="str">
        <f>VLOOKUP(F1488,DATABASE!C:Q,7,FALSE)</f>
        <v>#N/A</v>
      </c>
      <c r="M1488" s="74"/>
      <c r="N1488" s="74">
        <f t="shared" si="11"/>
        <v>0</v>
      </c>
      <c r="O1488" s="74">
        <f t="shared" si="13"/>
        <v>0</v>
      </c>
      <c r="P1488" s="63">
        <f t="shared" si="14"/>
        <v>0</v>
      </c>
      <c r="Q1488" s="63" t="str">
        <f t="shared" si="15"/>
        <v>#N/A</v>
      </c>
      <c r="R1488" s="93" t="str">
        <f>VLOOKUP(F1488,DATABASE!C:Q,4,false)</f>
        <v>#N/A</v>
      </c>
      <c r="S1488" s="93" t="str">
        <f>VLOOKUP(F1488,DATABASE!C:P,11,false)</f>
        <v>#N/A</v>
      </c>
      <c r="T1488" s="93" t="str">
        <f>vlookup(F1488,DATABASE!C:Q,8,false)</f>
        <v>#N/A</v>
      </c>
      <c r="Z1488" s="9"/>
    </row>
    <row r="1489" ht="22.5" customHeight="1">
      <c r="A1489" s="49"/>
      <c r="C1489" s="384"/>
      <c r="D1489" s="93"/>
      <c r="F1489" s="74"/>
      <c r="H1489" s="74"/>
      <c r="I1489" s="74"/>
      <c r="J1489" s="74"/>
      <c r="K1489" s="74" t="str">
        <f>if(F1489="SERVICE",O1489-(O1489*50%),Vlookup(F1489,DATABASE!C:Q,10,false)*G1489)</f>
        <v>#N/A</v>
      </c>
      <c r="L1489" s="74" t="str">
        <f>VLOOKUP(F1489,DATABASE!C:Q,7,FALSE)</f>
        <v>#N/A</v>
      </c>
      <c r="M1489" s="74"/>
      <c r="N1489" s="74">
        <f t="shared" si="11"/>
        <v>0</v>
      </c>
      <c r="O1489" s="74">
        <f t="shared" si="13"/>
        <v>0</v>
      </c>
      <c r="P1489" s="63">
        <f t="shared" si="14"/>
        <v>0</v>
      </c>
      <c r="Q1489" s="63" t="str">
        <f t="shared" si="15"/>
        <v>#N/A</v>
      </c>
      <c r="R1489" s="93" t="str">
        <f>VLOOKUP(F1489,DATABASE!C:Q,4,false)</f>
        <v>#N/A</v>
      </c>
      <c r="S1489" s="93" t="str">
        <f>VLOOKUP(F1489,DATABASE!C:P,11,false)</f>
        <v>#N/A</v>
      </c>
      <c r="T1489" s="93" t="str">
        <f>vlookup(F1489,DATABASE!C:Q,8,false)</f>
        <v>#N/A</v>
      </c>
      <c r="Z1489" s="9"/>
    </row>
    <row r="1490" ht="22.5" customHeight="1">
      <c r="A1490" s="49"/>
      <c r="C1490" s="384"/>
      <c r="D1490" s="93"/>
      <c r="F1490" s="74"/>
      <c r="H1490" s="74"/>
      <c r="I1490" s="74"/>
      <c r="J1490" s="74"/>
      <c r="K1490" s="74" t="str">
        <f>if(F1490="SERVICE",O1490-(O1490*50%),Vlookup(F1490,DATABASE!C:Q,10,false)*G1490)</f>
        <v>#N/A</v>
      </c>
      <c r="L1490" s="74" t="str">
        <f>VLOOKUP(F1490,DATABASE!C:Q,7,FALSE)</f>
        <v>#N/A</v>
      </c>
      <c r="M1490" s="74"/>
      <c r="N1490" s="74">
        <f t="shared" si="11"/>
        <v>0</v>
      </c>
      <c r="O1490" s="74">
        <f t="shared" si="13"/>
        <v>0</v>
      </c>
      <c r="P1490" s="63">
        <f t="shared" si="14"/>
        <v>0</v>
      </c>
      <c r="Q1490" s="63" t="str">
        <f t="shared" si="15"/>
        <v>#N/A</v>
      </c>
      <c r="R1490" s="93" t="str">
        <f>VLOOKUP(F1490,DATABASE!C:Q,4,false)</f>
        <v>#N/A</v>
      </c>
      <c r="S1490" s="93" t="str">
        <f>VLOOKUP(F1490,DATABASE!C:P,11,false)</f>
        <v>#N/A</v>
      </c>
      <c r="T1490" s="93" t="str">
        <f>vlookup(F1490,DATABASE!C:Q,8,false)</f>
        <v>#N/A</v>
      </c>
      <c r="Z1490" s="9"/>
    </row>
    <row r="1491" ht="22.5" customHeight="1">
      <c r="A1491" s="49"/>
      <c r="C1491" s="384"/>
      <c r="D1491" s="93"/>
      <c r="F1491" s="74"/>
      <c r="H1491" s="74"/>
      <c r="I1491" s="74"/>
      <c r="J1491" s="74"/>
      <c r="K1491" s="74" t="str">
        <f>if(F1491="SERVICE",O1491-(O1491*50%),Vlookup(F1491,DATABASE!C:Q,10,false)*G1491)</f>
        <v>#N/A</v>
      </c>
      <c r="L1491" s="74" t="str">
        <f>VLOOKUP(F1491,DATABASE!C:Q,7,FALSE)</f>
        <v>#N/A</v>
      </c>
      <c r="M1491" s="74"/>
      <c r="N1491" s="74">
        <f t="shared" si="11"/>
        <v>0</v>
      </c>
      <c r="O1491" s="74">
        <f t="shared" si="13"/>
        <v>0</v>
      </c>
      <c r="P1491" s="63">
        <f t="shared" si="14"/>
        <v>0</v>
      </c>
      <c r="Q1491" s="63" t="str">
        <f t="shared" si="15"/>
        <v>#N/A</v>
      </c>
      <c r="R1491" s="93" t="str">
        <f>VLOOKUP(F1491,DATABASE!C:Q,4,false)</f>
        <v>#N/A</v>
      </c>
      <c r="S1491" s="93" t="str">
        <f>VLOOKUP(F1491,DATABASE!C:P,11,false)</f>
        <v>#N/A</v>
      </c>
      <c r="T1491" s="93" t="str">
        <f>vlookup(F1491,DATABASE!C:Q,8,false)</f>
        <v>#N/A</v>
      </c>
      <c r="Z1491" s="9"/>
    </row>
    <row r="1492" ht="22.5" customHeight="1">
      <c r="A1492" s="49"/>
      <c r="C1492" s="384"/>
      <c r="D1492" s="93"/>
      <c r="F1492" s="74"/>
      <c r="H1492" s="74"/>
      <c r="I1492" s="74"/>
      <c r="J1492" s="74"/>
      <c r="K1492" s="74" t="str">
        <f>if(F1492="SERVICE",O1492-(O1492*50%),Vlookup(F1492,DATABASE!C:Q,10,false)*G1492)</f>
        <v>#N/A</v>
      </c>
      <c r="L1492" s="74" t="str">
        <f>VLOOKUP(F1492,DATABASE!C:Q,7,FALSE)</f>
        <v>#N/A</v>
      </c>
      <c r="M1492" s="74"/>
      <c r="N1492" s="74">
        <f t="shared" si="11"/>
        <v>0</v>
      </c>
      <c r="O1492" s="74">
        <f t="shared" si="13"/>
        <v>0</v>
      </c>
      <c r="P1492" s="63">
        <f t="shared" si="14"/>
        <v>0</v>
      </c>
      <c r="Q1492" s="63" t="str">
        <f t="shared" si="15"/>
        <v>#N/A</v>
      </c>
      <c r="R1492" s="93" t="str">
        <f>VLOOKUP(F1492,DATABASE!C:Q,4,false)</f>
        <v>#N/A</v>
      </c>
      <c r="S1492" s="93" t="str">
        <f>VLOOKUP(F1492,DATABASE!C:P,11,false)</f>
        <v>#N/A</v>
      </c>
      <c r="T1492" s="93" t="str">
        <f>vlookup(F1492,DATABASE!C:Q,8,false)</f>
        <v>#N/A</v>
      </c>
      <c r="Z1492" s="9"/>
    </row>
    <row r="1493" ht="22.5" customHeight="1">
      <c r="A1493" s="49"/>
      <c r="C1493" s="384"/>
      <c r="D1493" s="93"/>
      <c r="F1493" s="74"/>
      <c r="H1493" s="74"/>
      <c r="I1493" s="74"/>
      <c r="J1493" s="74"/>
      <c r="K1493" s="74" t="str">
        <f>if(F1493="SERVICE",O1493-(O1493*50%),Vlookup(F1493,DATABASE!C:Q,10,false)*G1493)</f>
        <v>#N/A</v>
      </c>
      <c r="L1493" s="74" t="str">
        <f>VLOOKUP(F1493,DATABASE!C:Q,7,FALSE)</f>
        <v>#N/A</v>
      </c>
      <c r="M1493" s="74"/>
      <c r="N1493" s="74">
        <f t="shared" si="11"/>
        <v>0</v>
      </c>
      <c r="O1493" s="74">
        <f t="shared" si="13"/>
        <v>0</v>
      </c>
      <c r="P1493" s="63">
        <f t="shared" si="14"/>
        <v>0</v>
      </c>
      <c r="Q1493" s="63" t="str">
        <f t="shared" si="15"/>
        <v>#N/A</v>
      </c>
      <c r="R1493" s="93" t="str">
        <f>VLOOKUP(F1493,DATABASE!C:Q,4,false)</f>
        <v>#N/A</v>
      </c>
      <c r="S1493" s="93" t="str">
        <f>VLOOKUP(F1493,DATABASE!C:P,11,false)</f>
        <v>#N/A</v>
      </c>
      <c r="T1493" s="93" t="str">
        <f>vlookup(F1493,DATABASE!C:Q,8,false)</f>
        <v>#N/A</v>
      </c>
      <c r="Z1493" s="9"/>
    </row>
    <row r="1494" ht="22.5" customHeight="1">
      <c r="A1494" s="49"/>
      <c r="C1494" s="384"/>
      <c r="D1494" s="93"/>
      <c r="F1494" s="74"/>
      <c r="H1494" s="74"/>
      <c r="I1494" s="74"/>
      <c r="J1494" s="74"/>
      <c r="K1494" s="74" t="str">
        <f>if(F1494="SERVICE",O1494-(O1494*50%),Vlookup(F1494,DATABASE!C:Q,10,false)*G1494)</f>
        <v>#N/A</v>
      </c>
      <c r="L1494" s="74" t="str">
        <f>VLOOKUP(F1494,DATABASE!C:Q,7,FALSE)</f>
        <v>#N/A</v>
      </c>
      <c r="M1494" s="74"/>
      <c r="N1494" s="74">
        <f t="shared" si="11"/>
        <v>0</v>
      </c>
      <c r="O1494" s="74">
        <f t="shared" si="13"/>
        <v>0</v>
      </c>
      <c r="P1494" s="63">
        <f t="shared" si="14"/>
        <v>0</v>
      </c>
      <c r="Q1494" s="63" t="str">
        <f t="shared" si="15"/>
        <v>#N/A</v>
      </c>
      <c r="R1494" s="93" t="str">
        <f>VLOOKUP(F1494,DATABASE!C:Q,4,false)</f>
        <v>#N/A</v>
      </c>
      <c r="S1494" s="93" t="str">
        <f>VLOOKUP(F1494,DATABASE!C:P,11,false)</f>
        <v>#N/A</v>
      </c>
      <c r="T1494" s="93" t="str">
        <f>vlookup(F1494,DATABASE!C:Q,8,false)</f>
        <v>#N/A</v>
      </c>
      <c r="Z1494" s="9"/>
    </row>
    <row r="1495" ht="22.5" customHeight="1">
      <c r="A1495" s="49"/>
      <c r="C1495" s="384"/>
      <c r="D1495" s="93"/>
      <c r="F1495" s="74"/>
      <c r="H1495" s="74"/>
      <c r="I1495" s="74"/>
      <c r="J1495" s="74"/>
      <c r="K1495" s="74" t="str">
        <f>if(F1495="SERVICE",O1495-(O1495*50%),Vlookup(F1495,DATABASE!C:Q,10,false)*G1495)</f>
        <v>#N/A</v>
      </c>
      <c r="L1495" s="74" t="str">
        <f>VLOOKUP(F1495,DATABASE!C:Q,7,FALSE)</f>
        <v>#N/A</v>
      </c>
      <c r="M1495" s="74"/>
      <c r="N1495" s="74">
        <f t="shared" si="11"/>
        <v>0</v>
      </c>
      <c r="O1495" s="74">
        <f t="shared" si="13"/>
        <v>0</v>
      </c>
      <c r="P1495" s="63">
        <f t="shared" si="14"/>
        <v>0</v>
      </c>
      <c r="Q1495" s="63" t="str">
        <f t="shared" si="15"/>
        <v>#N/A</v>
      </c>
      <c r="R1495" s="93" t="str">
        <f>VLOOKUP(F1495,DATABASE!C:Q,4,false)</f>
        <v>#N/A</v>
      </c>
      <c r="S1495" s="93" t="str">
        <f>VLOOKUP(F1495,DATABASE!C:P,11,false)</f>
        <v>#N/A</v>
      </c>
      <c r="T1495" s="93" t="str">
        <f>vlookup(F1495,DATABASE!C:Q,8,false)</f>
        <v>#N/A</v>
      </c>
      <c r="Z1495" s="9"/>
    </row>
    <row r="1496" ht="22.5" customHeight="1">
      <c r="A1496" s="49"/>
      <c r="C1496" s="384"/>
      <c r="D1496" s="93"/>
      <c r="F1496" s="74"/>
      <c r="H1496" s="74"/>
      <c r="I1496" s="74"/>
      <c r="J1496" s="74"/>
      <c r="K1496" s="74" t="str">
        <f>if(F1496="SERVICE",O1496-(O1496*50%),Vlookup(F1496,DATABASE!C:Q,10,false)*G1496)</f>
        <v>#N/A</v>
      </c>
      <c r="L1496" s="74" t="str">
        <f>VLOOKUP(F1496,DATABASE!C:Q,7,FALSE)</f>
        <v>#N/A</v>
      </c>
      <c r="M1496" s="74"/>
      <c r="N1496" s="74">
        <f t="shared" si="11"/>
        <v>0</v>
      </c>
      <c r="O1496" s="74">
        <f t="shared" si="13"/>
        <v>0</v>
      </c>
      <c r="P1496" s="63">
        <f t="shared" si="14"/>
        <v>0</v>
      </c>
      <c r="Q1496" s="63" t="str">
        <f t="shared" si="15"/>
        <v>#N/A</v>
      </c>
      <c r="R1496" s="93" t="str">
        <f>VLOOKUP(F1496,DATABASE!C:Q,4,false)</f>
        <v>#N/A</v>
      </c>
      <c r="S1496" s="93" t="str">
        <f>VLOOKUP(F1496,DATABASE!C:P,11,false)</f>
        <v>#N/A</v>
      </c>
      <c r="T1496" s="93" t="str">
        <f>vlookup(F1496,DATABASE!C:Q,8,false)</f>
        <v>#N/A</v>
      </c>
      <c r="Z1496" s="9"/>
    </row>
    <row r="1497" ht="22.5" customHeight="1">
      <c r="A1497" s="49"/>
      <c r="C1497" s="384"/>
      <c r="D1497" s="93"/>
      <c r="F1497" s="74"/>
      <c r="H1497" s="74"/>
      <c r="I1497" s="74"/>
      <c r="J1497" s="74"/>
      <c r="K1497" s="74" t="str">
        <f>if(F1497="SERVICE",O1497-(O1497*50%),Vlookup(F1497,DATABASE!C:Q,10,false)*G1497)</f>
        <v>#N/A</v>
      </c>
      <c r="L1497" s="74" t="str">
        <f>VLOOKUP(F1497,DATABASE!C:Q,7,FALSE)</f>
        <v>#N/A</v>
      </c>
      <c r="M1497" s="74"/>
      <c r="N1497" s="74">
        <f t="shared" si="11"/>
        <v>0</v>
      </c>
      <c r="O1497" s="74">
        <f t="shared" si="13"/>
        <v>0</v>
      </c>
      <c r="P1497" s="63">
        <f t="shared" si="14"/>
        <v>0</v>
      </c>
      <c r="Q1497" s="63" t="str">
        <f t="shared" si="15"/>
        <v>#N/A</v>
      </c>
      <c r="R1497" s="93" t="str">
        <f>VLOOKUP(F1497,DATABASE!C:Q,4,false)</f>
        <v>#N/A</v>
      </c>
      <c r="S1497" s="93" t="str">
        <f>VLOOKUP(F1497,DATABASE!C:P,11,false)</f>
        <v>#N/A</v>
      </c>
      <c r="T1497" s="93" t="str">
        <f>vlookup(F1497,DATABASE!C:Q,8,false)</f>
        <v>#N/A</v>
      </c>
      <c r="Z1497" s="9"/>
    </row>
    <row r="1498" ht="22.5" customHeight="1">
      <c r="A1498" s="49"/>
      <c r="C1498" s="384"/>
      <c r="D1498" s="93"/>
      <c r="F1498" s="74"/>
      <c r="H1498" s="74"/>
      <c r="I1498" s="74"/>
      <c r="J1498" s="74"/>
      <c r="K1498" s="74" t="str">
        <f>if(F1498="SERVICE",O1498-(O1498*50%),Vlookup(F1498,DATABASE!C:Q,10,false)*G1498)</f>
        <v>#N/A</v>
      </c>
      <c r="L1498" s="74" t="str">
        <f>VLOOKUP(F1498,DATABASE!C:Q,7,FALSE)</f>
        <v>#N/A</v>
      </c>
      <c r="M1498" s="74"/>
      <c r="N1498" s="74">
        <f t="shared" si="11"/>
        <v>0</v>
      </c>
      <c r="O1498" s="74">
        <f t="shared" si="13"/>
        <v>0</v>
      </c>
      <c r="P1498" s="63">
        <f t="shared" si="14"/>
        <v>0</v>
      </c>
      <c r="Q1498" s="63" t="str">
        <f t="shared" si="15"/>
        <v>#N/A</v>
      </c>
      <c r="R1498" s="93" t="str">
        <f>VLOOKUP(F1498,DATABASE!C:Q,4,false)</f>
        <v>#N/A</v>
      </c>
      <c r="S1498" s="93" t="str">
        <f>VLOOKUP(F1498,DATABASE!C:P,11,false)</f>
        <v>#N/A</v>
      </c>
      <c r="T1498" s="93" t="str">
        <f>vlookup(F1498,DATABASE!C:Q,8,false)</f>
        <v>#N/A</v>
      </c>
      <c r="Z1498" s="9"/>
    </row>
    <row r="1499" ht="22.5" customHeight="1">
      <c r="A1499" s="49"/>
      <c r="C1499" s="384"/>
      <c r="D1499" s="93"/>
      <c r="F1499" s="74"/>
      <c r="H1499" s="74"/>
      <c r="I1499" s="74"/>
      <c r="J1499" s="74"/>
      <c r="K1499" s="74" t="str">
        <f>if(F1499="SERVICE",O1499-(O1499*50%),Vlookup(F1499,DATABASE!C:Q,10,false)*G1499)</f>
        <v>#N/A</v>
      </c>
      <c r="L1499" s="74" t="str">
        <f>VLOOKUP(F1499,DATABASE!C:Q,7,FALSE)</f>
        <v>#N/A</v>
      </c>
      <c r="M1499" s="74"/>
      <c r="N1499" s="74">
        <f t="shared" si="11"/>
        <v>0</v>
      </c>
      <c r="O1499" s="74">
        <f t="shared" si="13"/>
        <v>0</v>
      </c>
      <c r="P1499" s="63">
        <f t="shared" si="14"/>
        <v>0</v>
      </c>
      <c r="Q1499" s="63" t="str">
        <f t="shared" si="15"/>
        <v>#N/A</v>
      </c>
      <c r="R1499" s="93" t="str">
        <f>VLOOKUP(F1499,DATABASE!C:Q,4,false)</f>
        <v>#N/A</v>
      </c>
      <c r="S1499" s="93" t="str">
        <f>VLOOKUP(F1499,DATABASE!C:P,11,false)</f>
        <v>#N/A</v>
      </c>
      <c r="T1499" s="93" t="str">
        <f>vlookup(F1499,DATABASE!C:Q,8,false)</f>
        <v>#N/A</v>
      </c>
      <c r="Z1499" s="9"/>
    </row>
    <row r="1500" ht="22.5" customHeight="1">
      <c r="A1500" s="49"/>
      <c r="C1500" s="384"/>
      <c r="D1500" s="93"/>
      <c r="F1500" s="74"/>
      <c r="H1500" s="74"/>
      <c r="I1500" s="74"/>
      <c r="J1500" s="74"/>
      <c r="K1500" s="74" t="str">
        <f>if(F1500="SERVICE",O1500-(O1500*50%),Vlookup(F1500,DATABASE!C:Q,10,false)*G1500)</f>
        <v>#N/A</v>
      </c>
      <c r="L1500" s="74" t="str">
        <f>VLOOKUP(F1500,DATABASE!C:Q,7,FALSE)</f>
        <v>#N/A</v>
      </c>
      <c r="M1500" s="74"/>
      <c r="N1500" s="74">
        <f t="shared" si="11"/>
        <v>0</v>
      </c>
      <c r="O1500" s="74">
        <f t="shared" si="13"/>
        <v>0</v>
      </c>
      <c r="P1500" s="63">
        <f t="shared" si="14"/>
        <v>0</v>
      </c>
      <c r="Q1500" s="63" t="str">
        <f t="shared" si="15"/>
        <v>#N/A</v>
      </c>
      <c r="R1500" s="93" t="str">
        <f>VLOOKUP(F1500,DATABASE!C:Q,4,false)</f>
        <v>#N/A</v>
      </c>
      <c r="S1500" s="93" t="str">
        <f>VLOOKUP(F1500,DATABASE!C:P,11,false)</f>
        <v>#N/A</v>
      </c>
      <c r="T1500" s="93" t="str">
        <f>vlookup(F1500,DATABASE!C:Q,8,false)</f>
        <v>#N/A</v>
      </c>
      <c r="Z1500" s="9"/>
    </row>
    <row r="1501" ht="22.5" customHeight="1">
      <c r="A1501" s="49"/>
      <c r="C1501" s="384"/>
      <c r="D1501" s="93"/>
      <c r="F1501" s="74"/>
      <c r="H1501" s="74"/>
      <c r="I1501" s="74"/>
      <c r="J1501" s="74"/>
      <c r="K1501" s="74" t="str">
        <f>if(F1501="SERVICE",O1501-(O1501*50%),Vlookup(F1501,DATABASE!C:Q,10,false)*G1501)</f>
        <v>#N/A</v>
      </c>
      <c r="L1501" s="74" t="str">
        <f>VLOOKUP(F1501,DATABASE!C:Q,7,FALSE)</f>
        <v>#N/A</v>
      </c>
      <c r="M1501" s="74"/>
      <c r="N1501" s="74">
        <f t="shared" si="11"/>
        <v>0</v>
      </c>
      <c r="O1501" s="74">
        <f t="shared" si="13"/>
        <v>0</v>
      </c>
      <c r="P1501" s="63">
        <f t="shared" si="14"/>
        <v>0</v>
      </c>
      <c r="Q1501" s="63" t="str">
        <f t="shared" si="15"/>
        <v>#N/A</v>
      </c>
      <c r="R1501" s="93" t="str">
        <f>VLOOKUP(F1501,DATABASE!C:Q,4,false)</f>
        <v>#N/A</v>
      </c>
      <c r="S1501" s="93" t="str">
        <f>VLOOKUP(F1501,DATABASE!C:P,11,false)</f>
        <v>#N/A</v>
      </c>
      <c r="T1501" s="93" t="str">
        <f>vlookup(F1501,DATABASE!C:Q,8,false)</f>
        <v>#N/A</v>
      </c>
      <c r="Z1501" s="9"/>
    </row>
    <row r="1502" ht="22.5" customHeight="1">
      <c r="A1502" s="49"/>
      <c r="C1502" s="384"/>
      <c r="D1502" s="93"/>
      <c r="F1502" s="74"/>
      <c r="H1502" s="74"/>
      <c r="I1502" s="74"/>
      <c r="J1502" s="74"/>
      <c r="K1502" s="74" t="str">
        <f>if(F1502="SERVICE",O1502-(O1502*50%),Vlookup(F1502,DATABASE!C:Q,10,false)*G1502)</f>
        <v>#N/A</v>
      </c>
      <c r="L1502" s="74" t="str">
        <f>VLOOKUP(F1502,DATABASE!C:Q,7,FALSE)</f>
        <v>#N/A</v>
      </c>
      <c r="M1502" s="74"/>
      <c r="N1502" s="74">
        <f t="shared" si="11"/>
        <v>0</v>
      </c>
      <c r="O1502" s="74">
        <f t="shared" si="13"/>
        <v>0</v>
      </c>
      <c r="P1502" s="63">
        <f t="shared" si="14"/>
        <v>0</v>
      </c>
      <c r="Q1502" s="63" t="str">
        <f t="shared" si="15"/>
        <v>#N/A</v>
      </c>
      <c r="R1502" s="93" t="str">
        <f>VLOOKUP(F1502,DATABASE!C:Q,4,false)</f>
        <v>#N/A</v>
      </c>
      <c r="S1502" s="93" t="str">
        <f>VLOOKUP(F1502,DATABASE!C:P,11,false)</f>
        <v>#N/A</v>
      </c>
      <c r="T1502" s="93" t="str">
        <f>vlookup(F1502,DATABASE!C:Q,8,false)</f>
        <v>#N/A</v>
      </c>
      <c r="Z1502" s="9"/>
    </row>
    <row r="1503" ht="22.5" customHeight="1">
      <c r="A1503" s="49"/>
      <c r="C1503" s="384"/>
      <c r="D1503" s="93"/>
      <c r="F1503" s="74"/>
      <c r="H1503" s="74"/>
      <c r="I1503" s="74"/>
      <c r="J1503" s="74"/>
      <c r="K1503" s="74" t="str">
        <f>if(F1503="SERVICE",O1503-(O1503*50%),Vlookup(F1503,DATABASE!C:Q,10,false)*G1503)</f>
        <v>#N/A</v>
      </c>
      <c r="L1503" s="74" t="str">
        <f>VLOOKUP(F1503,DATABASE!C:Q,7,FALSE)</f>
        <v>#N/A</v>
      </c>
      <c r="M1503" s="74"/>
      <c r="N1503" s="74">
        <f t="shared" si="11"/>
        <v>0</v>
      </c>
      <c r="O1503" s="74">
        <f t="shared" si="13"/>
        <v>0</v>
      </c>
      <c r="P1503" s="63">
        <f t="shared" si="14"/>
        <v>0</v>
      </c>
      <c r="Q1503" s="63" t="str">
        <f t="shared" si="15"/>
        <v>#N/A</v>
      </c>
      <c r="R1503" s="93" t="str">
        <f>VLOOKUP(F1503,DATABASE!C:Q,4,false)</f>
        <v>#N/A</v>
      </c>
      <c r="S1503" s="93" t="str">
        <f>VLOOKUP(F1503,DATABASE!C:P,11,false)</f>
        <v>#N/A</v>
      </c>
      <c r="T1503" s="93" t="str">
        <f>vlookup(F1503,DATABASE!C:Q,8,false)</f>
        <v>#N/A</v>
      </c>
      <c r="Z1503" s="9"/>
    </row>
    <row r="1504" ht="22.5" customHeight="1">
      <c r="A1504" s="49"/>
      <c r="C1504" s="384"/>
      <c r="D1504" s="93"/>
      <c r="F1504" s="74"/>
      <c r="H1504" s="74"/>
      <c r="I1504" s="74"/>
      <c r="J1504" s="74"/>
      <c r="K1504" s="74" t="str">
        <f>if(F1504="SERVICE",O1504-(O1504*50%),Vlookup(F1504,DATABASE!C:Q,10,false)*G1504)</f>
        <v>#N/A</v>
      </c>
      <c r="L1504" s="74" t="str">
        <f>VLOOKUP(F1504,DATABASE!C:Q,7,FALSE)</f>
        <v>#N/A</v>
      </c>
      <c r="M1504" s="74"/>
      <c r="N1504" s="74">
        <f t="shared" si="11"/>
        <v>0</v>
      </c>
      <c r="O1504" s="74">
        <f t="shared" si="13"/>
        <v>0</v>
      </c>
      <c r="P1504" s="63">
        <f t="shared" si="14"/>
        <v>0</v>
      </c>
      <c r="Q1504" s="63" t="str">
        <f t="shared" si="15"/>
        <v>#N/A</v>
      </c>
      <c r="R1504" s="93" t="str">
        <f>VLOOKUP(F1504,DATABASE!C:Q,4,false)</f>
        <v>#N/A</v>
      </c>
      <c r="S1504" s="93" t="str">
        <f>VLOOKUP(F1504,DATABASE!C:P,11,false)</f>
        <v>#N/A</v>
      </c>
      <c r="T1504" s="93" t="str">
        <f>vlookup(F1504,DATABASE!C:Q,8,false)</f>
        <v>#N/A</v>
      </c>
      <c r="Z1504" s="9"/>
    </row>
    <row r="1505" ht="22.5" customHeight="1">
      <c r="A1505" s="49"/>
      <c r="C1505" s="384"/>
      <c r="D1505" s="93"/>
      <c r="F1505" s="74"/>
      <c r="H1505" s="74"/>
      <c r="I1505" s="74"/>
      <c r="J1505" s="74"/>
      <c r="K1505" s="74" t="str">
        <f>if(F1505="SERVICE",O1505-(O1505*50%),Vlookup(F1505,DATABASE!C:Q,10,false)*G1505)</f>
        <v>#N/A</v>
      </c>
      <c r="L1505" s="74" t="str">
        <f>VLOOKUP(F1505,DATABASE!C:Q,7,FALSE)</f>
        <v>#N/A</v>
      </c>
      <c r="M1505" s="74"/>
      <c r="N1505" s="74">
        <f t="shared" si="11"/>
        <v>0</v>
      </c>
      <c r="O1505" s="74">
        <f t="shared" si="13"/>
        <v>0</v>
      </c>
      <c r="P1505" s="63">
        <f t="shared" si="14"/>
        <v>0</v>
      </c>
      <c r="Q1505" s="63" t="str">
        <f t="shared" si="15"/>
        <v>#N/A</v>
      </c>
      <c r="R1505" s="93" t="str">
        <f>VLOOKUP(F1505,DATABASE!C:Q,4,false)</f>
        <v>#N/A</v>
      </c>
      <c r="S1505" s="93" t="str">
        <f>VLOOKUP(F1505,DATABASE!C:P,11,false)</f>
        <v>#N/A</v>
      </c>
      <c r="T1505" s="93" t="str">
        <f>vlookup(F1505,DATABASE!C:Q,8,false)</f>
        <v>#N/A</v>
      </c>
      <c r="Z1505" s="9"/>
    </row>
    <row r="1506" ht="22.5" customHeight="1">
      <c r="A1506" s="49"/>
      <c r="C1506" s="384"/>
      <c r="D1506" s="93"/>
      <c r="F1506" s="74"/>
      <c r="H1506" s="74"/>
      <c r="I1506" s="74"/>
      <c r="J1506" s="74"/>
      <c r="K1506" s="74" t="str">
        <f>if(F1506="SERVICE",O1506-(O1506*50%),Vlookup(F1506,DATABASE!C:Q,10,false)*G1506)</f>
        <v>#N/A</v>
      </c>
      <c r="L1506" s="74" t="str">
        <f>VLOOKUP(F1506,DATABASE!C:Q,7,FALSE)</f>
        <v>#N/A</v>
      </c>
      <c r="M1506" s="74"/>
      <c r="N1506" s="74">
        <f t="shared" si="11"/>
        <v>0</v>
      </c>
      <c r="O1506" s="74">
        <f t="shared" si="13"/>
        <v>0</v>
      </c>
      <c r="P1506" s="63">
        <f t="shared" si="14"/>
        <v>0</v>
      </c>
      <c r="Q1506" s="63" t="str">
        <f t="shared" si="15"/>
        <v>#N/A</v>
      </c>
      <c r="R1506" s="93" t="str">
        <f>VLOOKUP(F1506,DATABASE!C:Q,4,false)</f>
        <v>#N/A</v>
      </c>
      <c r="S1506" s="93" t="str">
        <f>VLOOKUP(F1506,DATABASE!C:P,11,false)</f>
        <v>#N/A</v>
      </c>
      <c r="T1506" s="93" t="str">
        <f>vlookup(F1506,DATABASE!C:Q,8,false)</f>
        <v>#N/A</v>
      </c>
      <c r="Z1506" s="9"/>
    </row>
    <row r="1507" ht="22.5" customHeight="1">
      <c r="A1507" s="49"/>
      <c r="C1507" s="384"/>
      <c r="D1507" s="93"/>
      <c r="F1507" s="74"/>
      <c r="H1507" s="74"/>
      <c r="I1507" s="74"/>
      <c r="J1507" s="74"/>
      <c r="K1507" s="74" t="str">
        <f>if(F1507="SERVICE",O1507-(O1507*50%),Vlookup(F1507,DATABASE!C:Q,10,false)*G1507)</f>
        <v>#N/A</v>
      </c>
      <c r="L1507" s="74" t="str">
        <f>VLOOKUP(F1507,DATABASE!C:Q,7,FALSE)</f>
        <v>#N/A</v>
      </c>
      <c r="M1507" s="74"/>
      <c r="N1507" s="74">
        <f t="shared" si="11"/>
        <v>0</v>
      </c>
      <c r="O1507" s="74">
        <f t="shared" si="13"/>
        <v>0</v>
      </c>
      <c r="P1507" s="63">
        <f t="shared" si="14"/>
        <v>0</v>
      </c>
      <c r="Q1507" s="63" t="str">
        <f t="shared" si="15"/>
        <v>#N/A</v>
      </c>
      <c r="R1507" s="93" t="str">
        <f>VLOOKUP(F1507,DATABASE!C:Q,4,false)</f>
        <v>#N/A</v>
      </c>
      <c r="S1507" s="93" t="str">
        <f>VLOOKUP(F1507,DATABASE!C:P,11,false)</f>
        <v>#N/A</v>
      </c>
      <c r="T1507" s="93" t="str">
        <f>vlookup(F1507,DATABASE!C:Q,8,false)</f>
        <v>#N/A</v>
      </c>
      <c r="Z1507" s="9"/>
    </row>
    <row r="1508" ht="22.5" customHeight="1">
      <c r="A1508" s="49"/>
      <c r="C1508" s="384"/>
      <c r="D1508" s="93"/>
      <c r="F1508" s="74"/>
      <c r="H1508" s="74"/>
      <c r="I1508" s="74"/>
      <c r="J1508" s="74"/>
      <c r="K1508" s="74" t="str">
        <f>if(F1508="SERVICE",O1508-(O1508*50%),Vlookup(F1508,DATABASE!C:Q,10,false)*G1508)</f>
        <v>#N/A</v>
      </c>
      <c r="L1508" s="74" t="str">
        <f>VLOOKUP(F1508,DATABASE!C:Q,7,FALSE)</f>
        <v>#N/A</v>
      </c>
      <c r="M1508" s="74"/>
      <c r="N1508" s="74">
        <f t="shared" si="11"/>
        <v>0</v>
      </c>
      <c r="O1508" s="74">
        <f t="shared" si="13"/>
        <v>0</v>
      </c>
      <c r="P1508" s="63">
        <f t="shared" si="14"/>
        <v>0</v>
      </c>
      <c r="Q1508" s="63" t="str">
        <f t="shared" si="15"/>
        <v>#N/A</v>
      </c>
      <c r="R1508" s="93" t="str">
        <f>VLOOKUP(F1508,DATABASE!C:Q,4,false)</f>
        <v>#N/A</v>
      </c>
      <c r="S1508" s="93" t="str">
        <f>VLOOKUP(F1508,DATABASE!C:P,11,false)</f>
        <v>#N/A</v>
      </c>
      <c r="T1508" s="93" t="str">
        <f>vlookup(F1508,DATABASE!C:Q,8,false)</f>
        <v>#N/A</v>
      </c>
      <c r="Z1508" s="9"/>
    </row>
    <row r="1509" ht="22.5" customHeight="1">
      <c r="A1509" s="49"/>
      <c r="C1509" s="384"/>
      <c r="D1509" s="93"/>
      <c r="F1509" s="74"/>
      <c r="H1509" s="74"/>
      <c r="I1509" s="74"/>
      <c r="J1509" s="74"/>
      <c r="K1509" s="74" t="str">
        <f>if(F1509="SERVICE",O1509-(O1509*50%),Vlookup(F1509,DATABASE!C:Q,10,false)*G1509)</f>
        <v>#N/A</v>
      </c>
      <c r="L1509" s="74" t="str">
        <f>VLOOKUP(F1509,DATABASE!C:Q,7,FALSE)</f>
        <v>#N/A</v>
      </c>
      <c r="M1509" s="74"/>
      <c r="N1509" s="74">
        <f t="shared" si="11"/>
        <v>0</v>
      </c>
      <c r="O1509" s="74">
        <f t="shared" si="13"/>
        <v>0</v>
      </c>
      <c r="P1509" s="63">
        <f t="shared" si="14"/>
        <v>0</v>
      </c>
      <c r="Q1509" s="63" t="str">
        <f t="shared" si="15"/>
        <v>#N/A</v>
      </c>
      <c r="R1509" s="93" t="str">
        <f>VLOOKUP(F1509,DATABASE!C:Q,4,false)</f>
        <v>#N/A</v>
      </c>
      <c r="S1509" s="93" t="str">
        <f>VLOOKUP(F1509,DATABASE!C:P,11,false)</f>
        <v>#N/A</v>
      </c>
      <c r="T1509" s="93" t="str">
        <f>vlookup(F1509,DATABASE!C:Q,8,false)</f>
        <v>#N/A</v>
      </c>
      <c r="Z1509" s="9"/>
    </row>
    <row r="1510" ht="22.5" customHeight="1">
      <c r="A1510" s="49"/>
      <c r="C1510" s="384"/>
      <c r="D1510" s="93"/>
      <c r="F1510" s="74"/>
      <c r="H1510" s="74"/>
      <c r="I1510" s="74"/>
      <c r="J1510" s="74"/>
      <c r="K1510" s="74" t="str">
        <f>if(F1510="SERVICE",O1510-(O1510*50%),Vlookup(F1510,DATABASE!C:Q,10,false)*G1510)</f>
        <v>#N/A</v>
      </c>
      <c r="L1510" s="74" t="str">
        <f>VLOOKUP(F1510,DATABASE!C:Q,7,FALSE)</f>
        <v>#N/A</v>
      </c>
      <c r="M1510" s="74"/>
      <c r="N1510" s="74">
        <f t="shared" si="11"/>
        <v>0</v>
      </c>
      <c r="O1510" s="74">
        <f t="shared" si="13"/>
        <v>0</v>
      </c>
      <c r="P1510" s="63">
        <f t="shared" si="14"/>
        <v>0</v>
      </c>
      <c r="Q1510" s="63" t="str">
        <f t="shared" si="15"/>
        <v>#N/A</v>
      </c>
      <c r="R1510" s="93" t="str">
        <f>VLOOKUP(F1510,DATABASE!C:Q,4,false)</f>
        <v>#N/A</v>
      </c>
      <c r="S1510" s="93" t="str">
        <f>VLOOKUP(F1510,DATABASE!C:P,11,false)</f>
        <v>#N/A</v>
      </c>
      <c r="T1510" s="93" t="str">
        <f>vlookup(F1510,DATABASE!C:Q,8,false)</f>
        <v>#N/A</v>
      </c>
      <c r="Z1510" s="9"/>
    </row>
    <row r="1511" ht="22.5" customHeight="1">
      <c r="A1511" s="49"/>
      <c r="C1511" s="384"/>
      <c r="D1511" s="93"/>
      <c r="F1511" s="74"/>
      <c r="H1511" s="74"/>
      <c r="I1511" s="74"/>
      <c r="J1511" s="74"/>
      <c r="K1511" s="74" t="str">
        <f>if(F1511="SERVICE",O1511-(O1511*50%),Vlookup(F1511,DATABASE!C:Q,10,false)*G1511)</f>
        <v>#N/A</v>
      </c>
      <c r="L1511" s="74" t="str">
        <f>VLOOKUP(F1511,DATABASE!C:Q,7,FALSE)</f>
        <v>#N/A</v>
      </c>
      <c r="M1511" s="74"/>
      <c r="N1511" s="74">
        <f t="shared" si="11"/>
        <v>0</v>
      </c>
      <c r="O1511" s="74">
        <f t="shared" si="13"/>
        <v>0</v>
      </c>
      <c r="P1511" s="63">
        <f t="shared" si="14"/>
        <v>0</v>
      </c>
      <c r="Q1511" s="63" t="str">
        <f t="shared" si="15"/>
        <v>#N/A</v>
      </c>
      <c r="R1511" s="93" t="str">
        <f>VLOOKUP(F1511,DATABASE!C:Q,4,false)</f>
        <v>#N/A</v>
      </c>
      <c r="S1511" s="93" t="str">
        <f>VLOOKUP(F1511,DATABASE!C:P,11,false)</f>
        <v>#N/A</v>
      </c>
      <c r="T1511" s="93" t="str">
        <f>vlookup(F1511,DATABASE!C:Q,8,false)</f>
        <v>#N/A</v>
      </c>
      <c r="Z1511" s="9"/>
    </row>
    <row r="1512" ht="22.5" customHeight="1">
      <c r="A1512" s="49"/>
      <c r="C1512" s="384"/>
      <c r="D1512" s="93"/>
      <c r="F1512" s="74"/>
      <c r="H1512" s="74"/>
      <c r="I1512" s="74"/>
      <c r="J1512" s="74"/>
      <c r="K1512" s="74" t="str">
        <f>if(F1512="SERVICE",O1512-(O1512*50%),Vlookup(F1512,DATABASE!C:Q,10,false)*G1512)</f>
        <v>#N/A</v>
      </c>
      <c r="L1512" s="74" t="str">
        <f>VLOOKUP(F1512,DATABASE!C:Q,7,FALSE)</f>
        <v>#N/A</v>
      </c>
      <c r="M1512" s="74"/>
      <c r="N1512" s="74">
        <f t="shared" si="11"/>
        <v>0</v>
      </c>
      <c r="O1512" s="74">
        <f t="shared" si="13"/>
        <v>0</v>
      </c>
      <c r="P1512" s="63">
        <f t="shared" si="14"/>
        <v>0</v>
      </c>
      <c r="Q1512" s="63" t="str">
        <f t="shared" si="15"/>
        <v>#N/A</v>
      </c>
      <c r="R1512" s="93" t="str">
        <f>VLOOKUP(F1512,DATABASE!C:Q,4,false)</f>
        <v>#N/A</v>
      </c>
      <c r="S1512" s="93" t="str">
        <f>VLOOKUP(F1512,DATABASE!C:P,11,false)</f>
        <v>#N/A</v>
      </c>
      <c r="T1512" s="93" t="str">
        <f>vlookup(F1512,DATABASE!C:Q,8,false)</f>
        <v>#N/A</v>
      </c>
      <c r="Z1512" s="9"/>
    </row>
    <row r="1513" ht="22.5" customHeight="1">
      <c r="A1513" s="49"/>
      <c r="C1513" s="384"/>
      <c r="D1513" s="93"/>
      <c r="F1513" s="74"/>
      <c r="H1513" s="74"/>
      <c r="I1513" s="74"/>
      <c r="J1513" s="74"/>
      <c r="K1513" s="74" t="str">
        <f>if(F1513="SERVICE",O1513-(O1513*50%),Vlookup(F1513,DATABASE!C:Q,10,false)*G1513)</f>
        <v>#N/A</v>
      </c>
      <c r="L1513" s="74" t="str">
        <f>VLOOKUP(F1513,DATABASE!C:Q,7,FALSE)</f>
        <v>#N/A</v>
      </c>
      <c r="M1513" s="74"/>
      <c r="N1513" s="74">
        <f t="shared" si="11"/>
        <v>0</v>
      </c>
      <c r="O1513" s="74">
        <f t="shared" si="13"/>
        <v>0</v>
      </c>
      <c r="P1513" s="63">
        <f t="shared" si="14"/>
        <v>0</v>
      </c>
      <c r="Q1513" s="63" t="str">
        <f t="shared" si="15"/>
        <v>#N/A</v>
      </c>
      <c r="R1513" s="93" t="str">
        <f>VLOOKUP(F1513,DATABASE!C:Q,4,false)</f>
        <v>#N/A</v>
      </c>
      <c r="S1513" s="93" t="str">
        <f>VLOOKUP(F1513,DATABASE!C:P,11,false)</f>
        <v>#N/A</v>
      </c>
      <c r="T1513" s="93" t="str">
        <f>vlookup(F1513,DATABASE!C:Q,8,false)</f>
        <v>#N/A</v>
      </c>
      <c r="Z1513" s="9"/>
    </row>
    <row r="1514" ht="22.5" customHeight="1">
      <c r="A1514" s="49"/>
      <c r="C1514" s="384"/>
      <c r="D1514" s="93"/>
      <c r="F1514" s="74"/>
      <c r="H1514" s="74"/>
      <c r="I1514" s="74"/>
      <c r="J1514" s="74"/>
      <c r="K1514" s="74" t="str">
        <f>if(F1514="SERVICE",O1514-(O1514*50%),Vlookup(F1514,DATABASE!C:Q,10,false)*G1514)</f>
        <v>#N/A</v>
      </c>
      <c r="L1514" s="74" t="str">
        <f>VLOOKUP(F1514,DATABASE!C:Q,7,FALSE)</f>
        <v>#N/A</v>
      </c>
      <c r="M1514" s="74"/>
      <c r="N1514" s="74">
        <f t="shared" si="11"/>
        <v>0</v>
      </c>
      <c r="O1514" s="74">
        <f t="shared" si="13"/>
        <v>0</v>
      </c>
      <c r="P1514" s="63">
        <f t="shared" si="14"/>
        <v>0</v>
      </c>
      <c r="Q1514" s="63" t="str">
        <f t="shared" si="15"/>
        <v>#N/A</v>
      </c>
      <c r="R1514" s="93" t="str">
        <f>VLOOKUP(F1514,DATABASE!C:Q,4,false)</f>
        <v>#N/A</v>
      </c>
      <c r="S1514" s="93" t="str">
        <f>VLOOKUP(F1514,DATABASE!C:P,11,false)</f>
        <v>#N/A</v>
      </c>
      <c r="T1514" s="93" t="str">
        <f>vlookup(F1514,DATABASE!C:Q,8,false)</f>
        <v>#N/A</v>
      </c>
      <c r="Z1514" s="9"/>
    </row>
    <row r="1515" ht="22.5" customHeight="1">
      <c r="A1515" s="49"/>
      <c r="C1515" s="384"/>
      <c r="D1515" s="93"/>
      <c r="F1515" s="74"/>
      <c r="H1515" s="74"/>
      <c r="I1515" s="74"/>
      <c r="J1515" s="74"/>
      <c r="K1515" s="74" t="str">
        <f>if(F1515="SERVICE",O1515-(O1515*50%),Vlookup(F1515,DATABASE!C:Q,10,false)*G1515)</f>
        <v>#N/A</v>
      </c>
      <c r="L1515" s="74" t="str">
        <f>VLOOKUP(F1515,DATABASE!C:Q,7,FALSE)</f>
        <v>#N/A</v>
      </c>
      <c r="M1515" s="74"/>
      <c r="N1515" s="74">
        <f t="shared" si="11"/>
        <v>0</v>
      </c>
      <c r="O1515" s="74">
        <f t="shared" si="13"/>
        <v>0</v>
      </c>
      <c r="P1515" s="63">
        <f t="shared" si="14"/>
        <v>0</v>
      </c>
      <c r="Q1515" s="63" t="str">
        <f t="shared" si="15"/>
        <v>#N/A</v>
      </c>
      <c r="R1515" s="93" t="str">
        <f>VLOOKUP(F1515,DATABASE!C:Q,4,false)</f>
        <v>#N/A</v>
      </c>
      <c r="S1515" s="93" t="str">
        <f>VLOOKUP(F1515,DATABASE!C:P,11,false)</f>
        <v>#N/A</v>
      </c>
      <c r="T1515" s="93" t="str">
        <f>vlookup(F1515,DATABASE!C:Q,8,false)</f>
        <v>#N/A</v>
      </c>
      <c r="Z1515" s="9"/>
    </row>
    <row r="1516" ht="22.5" customHeight="1">
      <c r="A1516" s="49"/>
      <c r="C1516" s="384"/>
      <c r="D1516" s="93"/>
      <c r="F1516" s="74"/>
      <c r="H1516" s="74"/>
      <c r="I1516" s="74"/>
      <c r="J1516" s="74"/>
      <c r="K1516" s="74" t="str">
        <f>if(F1516="SERVICE",O1516-(O1516*50%),Vlookup(F1516,DATABASE!C:Q,10,false)*G1516)</f>
        <v>#N/A</v>
      </c>
      <c r="L1516" s="74" t="str">
        <f>VLOOKUP(F1516,DATABASE!C:Q,7,FALSE)</f>
        <v>#N/A</v>
      </c>
      <c r="M1516" s="74"/>
      <c r="N1516" s="74">
        <f t="shared" si="11"/>
        <v>0</v>
      </c>
      <c r="O1516" s="74">
        <f t="shared" si="13"/>
        <v>0</v>
      </c>
      <c r="P1516" s="63">
        <f t="shared" si="14"/>
        <v>0</v>
      </c>
      <c r="Q1516" s="63" t="str">
        <f t="shared" si="15"/>
        <v>#N/A</v>
      </c>
      <c r="R1516" s="93" t="str">
        <f>VLOOKUP(F1516,DATABASE!C:Q,4,false)</f>
        <v>#N/A</v>
      </c>
      <c r="S1516" s="93" t="str">
        <f>VLOOKUP(F1516,DATABASE!C:P,11,false)</f>
        <v>#N/A</v>
      </c>
      <c r="T1516" s="93" t="str">
        <f>vlookup(F1516,DATABASE!C:Q,8,false)</f>
        <v>#N/A</v>
      </c>
      <c r="Z1516" s="9"/>
    </row>
    <row r="1517" ht="22.5" customHeight="1">
      <c r="A1517" s="49"/>
      <c r="C1517" s="384"/>
      <c r="D1517" s="93"/>
      <c r="F1517" s="74"/>
      <c r="H1517" s="74"/>
      <c r="I1517" s="74"/>
      <c r="J1517" s="74"/>
      <c r="K1517" s="74" t="str">
        <f>if(F1517="SERVICE",O1517-(O1517*50%),Vlookup(F1517,DATABASE!C:Q,10,false)*G1517)</f>
        <v>#N/A</v>
      </c>
      <c r="L1517" s="74" t="str">
        <f>VLOOKUP(F1517,DATABASE!C:Q,7,FALSE)</f>
        <v>#N/A</v>
      </c>
      <c r="M1517" s="74"/>
      <c r="N1517" s="74">
        <f t="shared" si="11"/>
        <v>0</v>
      </c>
      <c r="O1517" s="74">
        <f t="shared" si="13"/>
        <v>0</v>
      </c>
      <c r="P1517" s="63">
        <f t="shared" si="14"/>
        <v>0</v>
      </c>
      <c r="Q1517" s="63" t="str">
        <f t="shared" si="15"/>
        <v>#N/A</v>
      </c>
      <c r="R1517" s="93" t="str">
        <f>VLOOKUP(F1517,DATABASE!C:Q,4,false)</f>
        <v>#N/A</v>
      </c>
      <c r="S1517" s="93" t="str">
        <f>VLOOKUP(F1517,DATABASE!C:P,11,false)</f>
        <v>#N/A</v>
      </c>
      <c r="T1517" s="93" t="str">
        <f>vlookup(F1517,DATABASE!C:Q,8,false)</f>
        <v>#N/A</v>
      </c>
      <c r="Z1517" s="9"/>
    </row>
    <row r="1518" ht="22.5" customHeight="1">
      <c r="A1518" s="49"/>
      <c r="C1518" s="384"/>
      <c r="D1518" s="93"/>
      <c r="F1518" s="74"/>
      <c r="H1518" s="74"/>
      <c r="I1518" s="74"/>
      <c r="J1518" s="74"/>
      <c r="K1518" s="74" t="str">
        <f>if(F1518="SERVICE",O1518-(O1518*50%),Vlookup(F1518,DATABASE!C:Q,10,false)*G1518)</f>
        <v>#N/A</v>
      </c>
      <c r="L1518" s="74" t="str">
        <f>VLOOKUP(F1518,DATABASE!C:Q,7,FALSE)</f>
        <v>#N/A</v>
      </c>
      <c r="M1518" s="74"/>
      <c r="N1518" s="74">
        <f t="shared" si="11"/>
        <v>0</v>
      </c>
      <c r="O1518" s="74">
        <f t="shared" si="13"/>
        <v>0</v>
      </c>
      <c r="P1518" s="63">
        <f t="shared" si="14"/>
        <v>0</v>
      </c>
      <c r="Q1518" s="63" t="str">
        <f t="shared" si="15"/>
        <v>#N/A</v>
      </c>
      <c r="R1518" s="93" t="str">
        <f>VLOOKUP(F1518,DATABASE!C:Q,4,false)</f>
        <v>#N/A</v>
      </c>
      <c r="S1518" s="93" t="str">
        <f>VLOOKUP(F1518,DATABASE!C:P,11,false)</f>
        <v>#N/A</v>
      </c>
      <c r="T1518" s="93" t="str">
        <f>vlookup(F1518,DATABASE!C:Q,8,false)</f>
        <v>#N/A</v>
      </c>
      <c r="Z1518" s="9"/>
    </row>
    <row r="1519" ht="22.5" customHeight="1">
      <c r="A1519" s="49"/>
      <c r="C1519" s="384"/>
      <c r="D1519" s="93"/>
      <c r="F1519" s="74"/>
      <c r="H1519" s="74"/>
      <c r="I1519" s="74"/>
      <c r="J1519" s="74"/>
      <c r="K1519" s="74" t="str">
        <f>if(F1519="SERVICE",O1519-(O1519*50%),Vlookup(F1519,DATABASE!C:Q,10,false)*G1519)</f>
        <v>#N/A</v>
      </c>
      <c r="L1519" s="74" t="str">
        <f>VLOOKUP(F1519,DATABASE!C:Q,7,FALSE)</f>
        <v>#N/A</v>
      </c>
      <c r="M1519" s="74"/>
      <c r="N1519" s="74">
        <f t="shared" si="11"/>
        <v>0</v>
      </c>
      <c r="O1519" s="74">
        <f t="shared" si="13"/>
        <v>0</v>
      </c>
      <c r="P1519" s="63">
        <f t="shared" si="14"/>
        <v>0</v>
      </c>
      <c r="Q1519" s="63" t="str">
        <f t="shared" si="15"/>
        <v>#N/A</v>
      </c>
      <c r="R1519" s="93" t="str">
        <f>VLOOKUP(F1519,DATABASE!C:Q,4,false)</f>
        <v>#N/A</v>
      </c>
      <c r="S1519" s="93" t="str">
        <f>VLOOKUP(F1519,DATABASE!C:P,11,false)</f>
        <v>#N/A</v>
      </c>
      <c r="T1519" s="93" t="str">
        <f>vlookup(F1519,DATABASE!C:Q,8,false)</f>
        <v>#N/A</v>
      </c>
      <c r="Z1519" s="9"/>
    </row>
    <row r="1520" ht="22.5" customHeight="1">
      <c r="A1520" s="49"/>
      <c r="C1520" s="384"/>
      <c r="D1520" s="93"/>
      <c r="F1520" s="74"/>
      <c r="H1520" s="74"/>
      <c r="I1520" s="74"/>
      <c r="J1520" s="74"/>
      <c r="K1520" s="74" t="str">
        <f>if(F1520="SERVICE",O1520-(O1520*50%),Vlookup(F1520,DATABASE!C:Q,10,false)*G1520)</f>
        <v>#N/A</v>
      </c>
      <c r="L1520" s="74" t="str">
        <f>VLOOKUP(F1520,DATABASE!C:Q,7,FALSE)</f>
        <v>#N/A</v>
      </c>
      <c r="M1520" s="74"/>
      <c r="N1520" s="74">
        <f t="shared" si="11"/>
        <v>0</v>
      </c>
      <c r="O1520" s="74">
        <f t="shared" si="13"/>
        <v>0</v>
      </c>
      <c r="P1520" s="63">
        <f t="shared" si="14"/>
        <v>0</v>
      </c>
      <c r="Q1520" s="63" t="str">
        <f t="shared" si="15"/>
        <v>#N/A</v>
      </c>
      <c r="R1520" s="93" t="str">
        <f>VLOOKUP(F1520,DATABASE!C:Q,4,false)</f>
        <v>#N/A</v>
      </c>
      <c r="S1520" s="93" t="str">
        <f>VLOOKUP(F1520,DATABASE!C:P,11,false)</f>
        <v>#N/A</v>
      </c>
      <c r="T1520" s="93" t="str">
        <f>vlookup(F1520,DATABASE!C:Q,8,false)</f>
        <v>#N/A</v>
      </c>
      <c r="Z1520" s="9"/>
    </row>
    <row r="1521" ht="22.5" customHeight="1">
      <c r="A1521" s="49"/>
      <c r="C1521" s="384"/>
      <c r="D1521" s="93"/>
      <c r="F1521" s="74"/>
      <c r="H1521" s="74"/>
      <c r="I1521" s="74"/>
      <c r="J1521" s="74"/>
      <c r="K1521" s="74" t="str">
        <f>if(F1521="SERVICE",O1521-(O1521*50%),Vlookup(F1521,DATABASE!C:Q,10,false)*G1521)</f>
        <v>#N/A</v>
      </c>
      <c r="L1521" s="74" t="str">
        <f>VLOOKUP(F1521,DATABASE!C:Q,7,FALSE)</f>
        <v>#N/A</v>
      </c>
      <c r="M1521" s="74"/>
      <c r="N1521" s="74">
        <f t="shared" si="11"/>
        <v>0</v>
      </c>
      <c r="O1521" s="74">
        <f t="shared" si="13"/>
        <v>0</v>
      </c>
      <c r="P1521" s="63">
        <f t="shared" si="14"/>
        <v>0</v>
      </c>
      <c r="Q1521" s="63" t="str">
        <f t="shared" si="15"/>
        <v>#N/A</v>
      </c>
      <c r="R1521" s="93" t="str">
        <f>VLOOKUP(F1521,DATABASE!C:Q,4,false)</f>
        <v>#N/A</v>
      </c>
      <c r="S1521" s="93" t="str">
        <f>VLOOKUP(F1521,DATABASE!C:P,11,false)</f>
        <v>#N/A</v>
      </c>
      <c r="T1521" s="93" t="str">
        <f>vlookup(F1521,DATABASE!C:Q,8,false)</f>
        <v>#N/A</v>
      </c>
      <c r="Z1521" s="9"/>
    </row>
    <row r="1522" ht="22.5" customHeight="1">
      <c r="A1522" s="49"/>
      <c r="C1522" s="384"/>
      <c r="D1522" s="93"/>
      <c r="F1522" s="74"/>
      <c r="H1522" s="74"/>
      <c r="I1522" s="74"/>
      <c r="J1522" s="74"/>
      <c r="K1522" s="74" t="str">
        <f>if(F1522="SERVICE",O1522-(O1522*50%),Vlookup(F1522,DATABASE!C:Q,10,false)*G1522)</f>
        <v>#N/A</v>
      </c>
      <c r="L1522" s="74" t="str">
        <f>VLOOKUP(F1522,DATABASE!C:Q,7,FALSE)</f>
        <v>#N/A</v>
      </c>
      <c r="M1522" s="74"/>
      <c r="N1522" s="74">
        <f t="shared" si="11"/>
        <v>0</v>
      </c>
      <c r="O1522" s="74">
        <f t="shared" si="13"/>
        <v>0</v>
      </c>
      <c r="P1522" s="63">
        <f t="shared" si="14"/>
        <v>0</v>
      </c>
      <c r="Q1522" s="63" t="str">
        <f t="shared" si="15"/>
        <v>#N/A</v>
      </c>
      <c r="R1522" s="93" t="str">
        <f>VLOOKUP(F1522,DATABASE!C:Q,4,false)</f>
        <v>#N/A</v>
      </c>
      <c r="S1522" s="93" t="str">
        <f>VLOOKUP(F1522,DATABASE!C:P,11,false)</f>
        <v>#N/A</v>
      </c>
      <c r="T1522" s="93" t="str">
        <f>vlookup(F1522,DATABASE!C:Q,8,false)</f>
        <v>#N/A</v>
      </c>
      <c r="Z1522" s="9"/>
    </row>
    <row r="1523" ht="22.5" customHeight="1">
      <c r="A1523" s="49"/>
      <c r="C1523" s="384"/>
      <c r="D1523" s="93"/>
      <c r="F1523" s="74"/>
      <c r="H1523" s="74"/>
      <c r="I1523" s="74"/>
      <c r="J1523" s="74"/>
      <c r="K1523" s="74" t="str">
        <f>if(F1523="SERVICE",O1523-(O1523*50%),Vlookup(F1523,DATABASE!C:Q,10,false)*G1523)</f>
        <v>#N/A</v>
      </c>
      <c r="L1523" s="74" t="str">
        <f>VLOOKUP(F1523,DATABASE!C:Q,7,FALSE)</f>
        <v>#N/A</v>
      </c>
      <c r="M1523" s="74"/>
      <c r="N1523" s="74">
        <f t="shared" si="11"/>
        <v>0</v>
      </c>
      <c r="O1523" s="74">
        <f t="shared" si="13"/>
        <v>0</v>
      </c>
      <c r="P1523" s="63">
        <f t="shared" si="14"/>
        <v>0</v>
      </c>
      <c r="Q1523" s="63" t="str">
        <f t="shared" si="15"/>
        <v>#N/A</v>
      </c>
      <c r="R1523" s="93" t="str">
        <f>VLOOKUP(F1523,DATABASE!C:Q,4,false)</f>
        <v>#N/A</v>
      </c>
      <c r="S1523" s="93" t="str">
        <f>VLOOKUP(F1523,DATABASE!C:P,11,false)</f>
        <v>#N/A</v>
      </c>
      <c r="T1523" s="93" t="str">
        <f>vlookup(F1523,DATABASE!C:Q,8,false)</f>
        <v>#N/A</v>
      </c>
      <c r="Z1523" s="9"/>
    </row>
    <row r="1524" ht="22.5" customHeight="1">
      <c r="A1524" s="49"/>
      <c r="C1524" s="384"/>
      <c r="D1524" s="93"/>
      <c r="F1524" s="74"/>
      <c r="H1524" s="74"/>
      <c r="I1524" s="74"/>
      <c r="J1524" s="74"/>
      <c r="K1524" s="74" t="str">
        <f>if(F1524="SERVICE",O1524-(O1524*50%),Vlookup(F1524,DATABASE!C:Q,10,false)*G1524)</f>
        <v>#N/A</v>
      </c>
      <c r="L1524" s="74" t="str">
        <f>VLOOKUP(F1524,DATABASE!C:Q,7,FALSE)</f>
        <v>#N/A</v>
      </c>
      <c r="M1524" s="74"/>
      <c r="N1524" s="74">
        <f t="shared" si="11"/>
        <v>0</v>
      </c>
      <c r="O1524" s="74">
        <f t="shared" si="13"/>
        <v>0</v>
      </c>
      <c r="P1524" s="63">
        <f t="shared" si="14"/>
        <v>0</v>
      </c>
      <c r="Q1524" s="63" t="str">
        <f t="shared" si="15"/>
        <v>#N/A</v>
      </c>
      <c r="R1524" s="93" t="str">
        <f>VLOOKUP(F1524,DATABASE!C:Q,4,false)</f>
        <v>#N/A</v>
      </c>
      <c r="S1524" s="93" t="str">
        <f>VLOOKUP(F1524,DATABASE!C:P,11,false)</f>
        <v>#N/A</v>
      </c>
      <c r="T1524" s="93" t="str">
        <f>vlookup(F1524,DATABASE!C:Q,8,false)</f>
        <v>#N/A</v>
      </c>
      <c r="Z1524" s="9"/>
    </row>
    <row r="1525" ht="22.5" customHeight="1">
      <c r="A1525" s="49"/>
      <c r="C1525" s="384"/>
      <c r="D1525" s="93"/>
      <c r="F1525" s="74"/>
      <c r="H1525" s="74"/>
      <c r="I1525" s="74"/>
      <c r="J1525" s="74"/>
      <c r="K1525" s="74" t="str">
        <f>if(F1525="SERVICE",O1525-(O1525*50%),Vlookup(F1525,DATABASE!C:Q,10,false)*G1525)</f>
        <v>#N/A</v>
      </c>
      <c r="L1525" s="74" t="str">
        <f>VLOOKUP(F1525,DATABASE!C:Q,7,FALSE)</f>
        <v>#N/A</v>
      </c>
      <c r="M1525" s="74"/>
      <c r="N1525" s="74">
        <f t="shared" si="11"/>
        <v>0</v>
      </c>
      <c r="O1525" s="74">
        <f t="shared" si="13"/>
        <v>0</v>
      </c>
      <c r="P1525" s="63">
        <f t="shared" si="14"/>
        <v>0</v>
      </c>
      <c r="Q1525" s="63" t="str">
        <f t="shared" si="15"/>
        <v>#N/A</v>
      </c>
      <c r="R1525" s="93" t="str">
        <f>VLOOKUP(F1525,DATABASE!C:Q,4,false)</f>
        <v>#N/A</v>
      </c>
      <c r="S1525" s="93" t="str">
        <f>VLOOKUP(F1525,DATABASE!C:P,11,false)</f>
        <v>#N/A</v>
      </c>
      <c r="T1525" s="93" t="str">
        <f>vlookup(F1525,DATABASE!C:Q,8,false)</f>
        <v>#N/A</v>
      </c>
      <c r="Z1525" s="9"/>
    </row>
    <row r="1526" ht="22.5" customHeight="1">
      <c r="A1526" s="49"/>
      <c r="C1526" s="384"/>
      <c r="D1526" s="93"/>
      <c r="F1526" s="74"/>
      <c r="H1526" s="74"/>
      <c r="I1526" s="74"/>
      <c r="J1526" s="74"/>
      <c r="K1526" s="74" t="str">
        <f>if(F1526="SERVICE",O1526-(O1526*50%),Vlookup(F1526,DATABASE!C:Q,10,false)*G1526)</f>
        <v>#N/A</v>
      </c>
      <c r="L1526" s="74" t="str">
        <f>VLOOKUP(F1526,DATABASE!C:Q,7,FALSE)</f>
        <v>#N/A</v>
      </c>
      <c r="M1526" s="74"/>
      <c r="N1526" s="74">
        <f t="shared" si="11"/>
        <v>0</v>
      </c>
      <c r="O1526" s="74">
        <f t="shared" si="13"/>
        <v>0</v>
      </c>
      <c r="P1526" s="63">
        <f t="shared" si="14"/>
        <v>0</v>
      </c>
      <c r="Q1526" s="63" t="str">
        <f t="shared" si="15"/>
        <v>#N/A</v>
      </c>
      <c r="R1526" s="93" t="str">
        <f>VLOOKUP(F1526,DATABASE!C:Q,4,false)</f>
        <v>#N/A</v>
      </c>
      <c r="S1526" s="93" t="str">
        <f>VLOOKUP(F1526,DATABASE!C:P,11,false)</f>
        <v>#N/A</v>
      </c>
      <c r="T1526" s="93" t="str">
        <f>vlookup(F1526,DATABASE!C:Q,8,false)</f>
        <v>#N/A</v>
      </c>
      <c r="Z1526" s="9"/>
    </row>
    <row r="1527" ht="22.5" customHeight="1">
      <c r="A1527" s="49"/>
      <c r="C1527" s="384"/>
      <c r="D1527" s="93"/>
      <c r="F1527" s="74"/>
      <c r="H1527" s="74"/>
      <c r="I1527" s="74"/>
      <c r="J1527" s="74"/>
      <c r="K1527" s="74" t="str">
        <f>if(F1527="SERVICE",O1527-(O1527*50%),Vlookup(F1527,DATABASE!C:Q,10,false)*G1527)</f>
        <v>#N/A</v>
      </c>
      <c r="L1527" s="74" t="str">
        <f>VLOOKUP(F1527,DATABASE!C:Q,7,FALSE)</f>
        <v>#N/A</v>
      </c>
      <c r="M1527" s="74"/>
      <c r="N1527" s="74">
        <f t="shared" si="11"/>
        <v>0</v>
      </c>
      <c r="O1527" s="74">
        <f t="shared" si="13"/>
        <v>0</v>
      </c>
      <c r="P1527" s="63">
        <f t="shared" si="14"/>
        <v>0</v>
      </c>
      <c r="Q1527" s="63" t="str">
        <f t="shared" si="15"/>
        <v>#N/A</v>
      </c>
      <c r="R1527" s="93" t="str">
        <f>VLOOKUP(F1527,DATABASE!C:Q,4,false)</f>
        <v>#N/A</v>
      </c>
      <c r="S1527" s="93" t="str">
        <f>VLOOKUP(F1527,DATABASE!C:P,11,false)</f>
        <v>#N/A</v>
      </c>
      <c r="T1527" s="93" t="str">
        <f>vlookup(F1527,DATABASE!C:Q,8,false)</f>
        <v>#N/A</v>
      </c>
      <c r="Z1527" s="9"/>
    </row>
    <row r="1528" ht="22.5" customHeight="1">
      <c r="A1528" s="49"/>
      <c r="C1528" s="384"/>
      <c r="D1528" s="93"/>
      <c r="F1528" s="74"/>
      <c r="H1528" s="74"/>
      <c r="I1528" s="74"/>
      <c r="J1528" s="74"/>
      <c r="K1528" s="74" t="str">
        <f>if(F1528="SERVICE",O1528-(O1528*50%),Vlookup(F1528,DATABASE!C:Q,10,false)*G1528)</f>
        <v>#N/A</v>
      </c>
      <c r="L1528" s="74" t="str">
        <f>VLOOKUP(F1528,DATABASE!C:Q,7,FALSE)</f>
        <v>#N/A</v>
      </c>
      <c r="M1528" s="74"/>
      <c r="N1528" s="74">
        <f t="shared" si="11"/>
        <v>0</v>
      </c>
      <c r="O1528" s="74">
        <f t="shared" si="13"/>
        <v>0</v>
      </c>
      <c r="P1528" s="63">
        <f t="shared" si="14"/>
        <v>0</v>
      </c>
      <c r="Q1528" s="63" t="str">
        <f t="shared" si="15"/>
        <v>#N/A</v>
      </c>
      <c r="R1528" s="93" t="str">
        <f>VLOOKUP(F1528,DATABASE!C:Q,4,false)</f>
        <v>#N/A</v>
      </c>
      <c r="S1528" s="93" t="str">
        <f>VLOOKUP(F1528,DATABASE!C:P,11,false)</f>
        <v>#N/A</v>
      </c>
      <c r="T1528" s="93" t="str">
        <f>vlookup(F1528,DATABASE!C:Q,8,false)</f>
        <v>#N/A</v>
      </c>
      <c r="Z1528" s="9"/>
    </row>
    <row r="1529" ht="22.5" customHeight="1">
      <c r="A1529" s="49"/>
      <c r="C1529" s="384"/>
      <c r="D1529" s="93"/>
      <c r="F1529" s="74"/>
      <c r="H1529" s="74"/>
      <c r="I1529" s="74"/>
      <c r="J1529" s="74"/>
      <c r="K1529" s="74" t="str">
        <f>if(F1529="SERVICE",O1529-(O1529*50%),Vlookup(F1529,DATABASE!C:Q,10,false)*G1529)</f>
        <v>#N/A</v>
      </c>
      <c r="L1529" s="74" t="str">
        <f>VLOOKUP(F1529,DATABASE!C:Q,7,FALSE)</f>
        <v>#N/A</v>
      </c>
      <c r="M1529" s="74"/>
      <c r="N1529" s="74">
        <f t="shared" si="11"/>
        <v>0</v>
      </c>
      <c r="O1529" s="74">
        <f t="shared" si="13"/>
        <v>0</v>
      </c>
      <c r="P1529" s="63">
        <f t="shared" si="14"/>
        <v>0</v>
      </c>
      <c r="Q1529" s="63" t="str">
        <f t="shared" si="15"/>
        <v>#N/A</v>
      </c>
      <c r="R1529" s="93" t="str">
        <f>VLOOKUP(F1529,DATABASE!C:Q,4,false)</f>
        <v>#N/A</v>
      </c>
      <c r="S1529" s="93" t="str">
        <f>VLOOKUP(F1529,DATABASE!C:P,11,false)</f>
        <v>#N/A</v>
      </c>
      <c r="T1529" s="93" t="str">
        <f>vlookup(F1529,DATABASE!C:Q,8,false)</f>
        <v>#N/A</v>
      </c>
      <c r="Z1529" s="9"/>
    </row>
    <row r="1530" ht="22.5" customHeight="1">
      <c r="A1530" s="49"/>
      <c r="C1530" s="384"/>
      <c r="D1530" s="93"/>
      <c r="F1530" s="74"/>
      <c r="H1530" s="74"/>
      <c r="I1530" s="74"/>
      <c r="J1530" s="74"/>
      <c r="K1530" s="74" t="str">
        <f>if(F1530="SERVICE",O1530-(O1530*50%),Vlookup(F1530,DATABASE!C:Q,10,false)*G1530)</f>
        <v>#N/A</v>
      </c>
      <c r="L1530" s="74" t="str">
        <f>VLOOKUP(F1530,DATABASE!C:Q,7,FALSE)</f>
        <v>#N/A</v>
      </c>
      <c r="M1530" s="74"/>
      <c r="N1530" s="74">
        <f t="shared" si="11"/>
        <v>0</v>
      </c>
      <c r="O1530" s="74">
        <f t="shared" si="13"/>
        <v>0</v>
      </c>
      <c r="P1530" s="63">
        <f t="shared" si="14"/>
        <v>0</v>
      </c>
      <c r="Q1530" s="63" t="str">
        <f t="shared" si="15"/>
        <v>#N/A</v>
      </c>
      <c r="R1530" s="93" t="str">
        <f>VLOOKUP(F1530,DATABASE!C:Q,4,false)</f>
        <v>#N/A</v>
      </c>
      <c r="S1530" s="93" t="str">
        <f>VLOOKUP(F1530,DATABASE!C:P,11,false)</f>
        <v>#N/A</v>
      </c>
      <c r="T1530" s="93" t="str">
        <f>vlookup(F1530,DATABASE!C:Q,8,false)</f>
        <v>#N/A</v>
      </c>
      <c r="Z1530" s="9"/>
    </row>
    <row r="1531" ht="22.5" customHeight="1">
      <c r="A1531" s="49"/>
      <c r="C1531" s="384"/>
      <c r="D1531" s="93"/>
      <c r="F1531" s="74"/>
      <c r="H1531" s="74"/>
      <c r="I1531" s="74"/>
      <c r="J1531" s="74"/>
      <c r="K1531" s="74" t="str">
        <f>if(F1531="SERVICE",O1531-(O1531*50%),Vlookup(F1531,DATABASE!C:Q,10,false)*G1531)</f>
        <v>#N/A</v>
      </c>
      <c r="L1531" s="74" t="str">
        <f>VLOOKUP(F1531,DATABASE!C:Q,7,FALSE)</f>
        <v>#N/A</v>
      </c>
      <c r="M1531" s="74"/>
      <c r="N1531" s="74">
        <f t="shared" si="11"/>
        <v>0</v>
      </c>
      <c r="O1531" s="74">
        <f t="shared" si="13"/>
        <v>0</v>
      </c>
      <c r="P1531" s="63">
        <f t="shared" si="14"/>
        <v>0</v>
      </c>
      <c r="Q1531" s="63" t="str">
        <f t="shared" si="15"/>
        <v>#N/A</v>
      </c>
      <c r="R1531" s="93" t="str">
        <f>VLOOKUP(F1531,DATABASE!C:Q,4,false)</f>
        <v>#N/A</v>
      </c>
      <c r="S1531" s="93" t="str">
        <f>VLOOKUP(F1531,DATABASE!C:P,11,false)</f>
        <v>#N/A</v>
      </c>
      <c r="T1531" s="93" t="str">
        <f>vlookup(F1531,DATABASE!C:Q,8,false)</f>
        <v>#N/A</v>
      </c>
      <c r="Z1531" s="9"/>
    </row>
    <row r="1532" ht="22.5" customHeight="1">
      <c r="A1532" s="49"/>
      <c r="C1532" s="384"/>
      <c r="D1532" s="93"/>
      <c r="F1532" s="74"/>
      <c r="H1532" s="74"/>
      <c r="I1532" s="74"/>
      <c r="J1532" s="74"/>
      <c r="K1532" s="74" t="str">
        <f>if(F1532="SERVICE",O1532-(O1532*50%),Vlookup(F1532,DATABASE!C:Q,10,false)*G1532)</f>
        <v>#N/A</v>
      </c>
      <c r="L1532" s="74" t="str">
        <f>VLOOKUP(F1532,DATABASE!C:Q,7,FALSE)</f>
        <v>#N/A</v>
      </c>
      <c r="M1532" s="74"/>
      <c r="N1532" s="74">
        <f t="shared" si="11"/>
        <v>0</v>
      </c>
      <c r="O1532" s="74">
        <f t="shared" si="13"/>
        <v>0</v>
      </c>
      <c r="P1532" s="63">
        <f t="shared" si="14"/>
        <v>0</v>
      </c>
      <c r="Q1532" s="63" t="str">
        <f t="shared" si="15"/>
        <v>#N/A</v>
      </c>
      <c r="R1532" s="93" t="str">
        <f>VLOOKUP(F1532,DATABASE!C:Q,4,false)</f>
        <v>#N/A</v>
      </c>
      <c r="S1532" s="93" t="str">
        <f>VLOOKUP(F1532,DATABASE!C:P,11,false)</f>
        <v>#N/A</v>
      </c>
      <c r="T1532" s="93" t="str">
        <f>vlookup(F1532,DATABASE!C:Q,8,false)</f>
        <v>#N/A</v>
      </c>
      <c r="Z1532" s="9"/>
    </row>
    <row r="1533" ht="22.5" customHeight="1">
      <c r="A1533" s="49"/>
      <c r="C1533" s="384"/>
      <c r="D1533" s="93"/>
      <c r="F1533" s="74"/>
      <c r="H1533" s="74"/>
      <c r="I1533" s="74"/>
      <c r="J1533" s="74"/>
      <c r="K1533" s="74" t="str">
        <f>if(F1533="SERVICE",O1533-(O1533*50%),Vlookup(F1533,DATABASE!C:Q,10,false)*G1533)</f>
        <v>#N/A</v>
      </c>
      <c r="L1533" s="74" t="str">
        <f>VLOOKUP(F1533,DATABASE!C:Q,7,FALSE)</f>
        <v>#N/A</v>
      </c>
      <c r="M1533" s="74"/>
      <c r="N1533" s="74">
        <f t="shared" si="11"/>
        <v>0</v>
      </c>
      <c r="O1533" s="74">
        <f t="shared" si="13"/>
        <v>0</v>
      </c>
      <c r="P1533" s="63">
        <f t="shared" si="14"/>
        <v>0</v>
      </c>
      <c r="Q1533" s="63" t="str">
        <f t="shared" si="15"/>
        <v>#N/A</v>
      </c>
      <c r="R1533" s="93" t="str">
        <f>VLOOKUP(F1533,DATABASE!C:Q,4,false)</f>
        <v>#N/A</v>
      </c>
      <c r="S1533" s="93" t="str">
        <f>VLOOKUP(F1533,DATABASE!C:P,11,false)</f>
        <v>#N/A</v>
      </c>
      <c r="T1533" s="93" t="str">
        <f>vlookup(F1533,DATABASE!C:Q,8,false)</f>
        <v>#N/A</v>
      </c>
      <c r="Z1533" s="9"/>
    </row>
    <row r="1534" ht="22.5" customHeight="1">
      <c r="A1534" s="49"/>
      <c r="C1534" s="384"/>
      <c r="D1534" s="93"/>
      <c r="F1534" s="74"/>
      <c r="H1534" s="74"/>
      <c r="I1534" s="74"/>
      <c r="J1534" s="74"/>
      <c r="K1534" s="74" t="str">
        <f>if(F1534="SERVICE",O1534-(O1534*50%),Vlookup(F1534,DATABASE!C:Q,10,false)*G1534)</f>
        <v>#N/A</v>
      </c>
      <c r="L1534" s="74" t="str">
        <f>VLOOKUP(F1534,DATABASE!C:Q,7,FALSE)</f>
        <v>#N/A</v>
      </c>
      <c r="M1534" s="74"/>
      <c r="N1534" s="74">
        <f t="shared" si="11"/>
        <v>0</v>
      </c>
      <c r="O1534" s="74">
        <f t="shared" si="13"/>
        <v>0</v>
      </c>
      <c r="P1534" s="63">
        <f t="shared" si="14"/>
        <v>0</v>
      </c>
      <c r="Q1534" s="63" t="str">
        <f t="shared" si="15"/>
        <v>#N/A</v>
      </c>
      <c r="R1534" s="93" t="str">
        <f>VLOOKUP(F1534,DATABASE!C:Q,4,false)</f>
        <v>#N/A</v>
      </c>
      <c r="S1534" s="93" t="str">
        <f>VLOOKUP(F1534,DATABASE!C:P,11,false)</f>
        <v>#N/A</v>
      </c>
      <c r="T1534" s="93" t="str">
        <f>vlookup(F1534,DATABASE!C:Q,8,false)</f>
        <v>#N/A</v>
      </c>
      <c r="Z1534" s="9"/>
    </row>
    <row r="1535" ht="22.5" customHeight="1">
      <c r="A1535" s="49"/>
      <c r="C1535" s="384"/>
      <c r="D1535" s="93"/>
      <c r="F1535" s="74"/>
      <c r="H1535" s="74"/>
      <c r="I1535" s="74"/>
      <c r="J1535" s="74"/>
      <c r="K1535" s="74" t="str">
        <f>if(F1535="SERVICE",O1535-(O1535*50%),Vlookup(F1535,DATABASE!C:Q,10,false)*G1535)</f>
        <v>#N/A</v>
      </c>
      <c r="L1535" s="74" t="str">
        <f>VLOOKUP(F1535,DATABASE!C:Q,7,FALSE)</f>
        <v>#N/A</v>
      </c>
      <c r="M1535" s="74"/>
      <c r="N1535" s="74">
        <f t="shared" si="11"/>
        <v>0</v>
      </c>
      <c r="O1535" s="74">
        <f t="shared" si="13"/>
        <v>0</v>
      </c>
      <c r="P1535" s="63">
        <f t="shared" si="14"/>
        <v>0</v>
      </c>
      <c r="Q1535" s="63" t="str">
        <f t="shared" si="15"/>
        <v>#N/A</v>
      </c>
      <c r="R1535" s="93" t="str">
        <f>VLOOKUP(F1535,DATABASE!C:Q,4,false)</f>
        <v>#N/A</v>
      </c>
      <c r="S1535" s="93" t="str">
        <f>VLOOKUP(F1535,DATABASE!C:P,11,false)</f>
        <v>#N/A</v>
      </c>
      <c r="T1535" s="93" t="str">
        <f>vlookup(F1535,DATABASE!C:Q,8,false)</f>
        <v>#N/A</v>
      </c>
      <c r="Z1535" s="9"/>
    </row>
    <row r="1536" ht="22.5" customHeight="1">
      <c r="A1536" s="49"/>
      <c r="C1536" s="384"/>
      <c r="D1536" s="93"/>
      <c r="F1536" s="74"/>
      <c r="H1536" s="74"/>
      <c r="I1536" s="74"/>
      <c r="J1536" s="74"/>
      <c r="K1536" s="74" t="str">
        <f>if(F1536="SERVICE",O1536-(O1536*50%),Vlookup(F1536,DATABASE!C:Q,10,false)*G1536)</f>
        <v>#N/A</v>
      </c>
      <c r="L1536" s="74" t="str">
        <f>VLOOKUP(F1536,DATABASE!C:Q,7,FALSE)</f>
        <v>#N/A</v>
      </c>
      <c r="M1536" s="74"/>
      <c r="N1536" s="74">
        <f t="shared" si="11"/>
        <v>0</v>
      </c>
      <c r="O1536" s="74">
        <f t="shared" si="13"/>
        <v>0</v>
      </c>
      <c r="P1536" s="63">
        <f t="shared" si="14"/>
        <v>0</v>
      </c>
      <c r="Q1536" s="63" t="str">
        <f t="shared" si="15"/>
        <v>#N/A</v>
      </c>
      <c r="R1536" s="93" t="str">
        <f>VLOOKUP(F1536,DATABASE!C:Q,4,false)</f>
        <v>#N/A</v>
      </c>
      <c r="S1536" s="93" t="str">
        <f>VLOOKUP(F1536,DATABASE!C:P,11,false)</f>
        <v>#N/A</v>
      </c>
      <c r="T1536" s="93" t="str">
        <f>vlookup(F1536,DATABASE!C:Q,8,false)</f>
        <v>#N/A</v>
      </c>
      <c r="Z1536" s="9"/>
    </row>
    <row r="1537" ht="22.5" customHeight="1">
      <c r="A1537" s="49"/>
      <c r="C1537" s="384"/>
      <c r="D1537" s="93"/>
      <c r="F1537" s="74"/>
      <c r="H1537" s="74"/>
      <c r="I1537" s="74"/>
      <c r="J1537" s="74"/>
      <c r="K1537" s="74" t="str">
        <f>if(F1537="SERVICE",O1537-(O1537*50%),Vlookup(F1537,DATABASE!C:Q,10,false)*G1537)</f>
        <v>#N/A</v>
      </c>
      <c r="L1537" s="74" t="str">
        <f>VLOOKUP(F1537,DATABASE!C:Q,7,FALSE)</f>
        <v>#N/A</v>
      </c>
      <c r="M1537" s="74"/>
      <c r="N1537" s="74">
        <f t="shared" si="11"/>
        <v>0</v>
      </c>
      <c r="O1537" s="74">
        <f t="shared" si="13"/>
        <v>0</v>
      </c>
      <c r="P1537" s="63">
        <f t="shared" si="14"/>
        <v>0</v>
      </c>
      <c r="Q1537" s="63" t="str">
        <f t="shared" si="15"/>
        <v>#N/A</v>
      </c>
      <c r="R1537" s="93" t="str">
        <f>VLOOKUP(F1537,DATABASE!C:Q,4,false)</f>
        <v>#N/A</v>
      </c>
      <c r="S1537" s="93" t="str">
        <f>VLOOKUP(F1537,DATABASE!C:P,11,false)</f>
        <v>#N/A</v>
      </c>
      <c r="T1537" s="93" t="str">
        <f>vlookup(F1537,DATABASE!C:Q,8,false)</f>
        <v>#N/A</v>
      </c>
      <c r="Z1537" s="9"/>
    </row>
    <row r="1538" ht="22.5" customHeight="1">
      <c r="A1538" s="49"/>
      <c r="C1538" s="384"/>
      <c r="D1538" s="93"/>
      <c r="F1538" s="74"/>
      <c r="H1538" s="74"/>
      <c r="I1538" s="74"/>
      <c r="J1538" s="74"/>
      <c r="K1538" s="74" t="str">
        <f>if(F1538="SERVICE",O1538-(O1538*50%),Vlookup(F1538,DATABASE!C:Q,10,false)*G1538)</f>
        <v>#N/A</v>
      </c>
      <c r="L1538" s="74" t="str">
        <f>VLOOKUP(F1538,DATABASE!C:Q,7,FALSE)</f>
        <v>#N/A</v>
      </c>
      <c r="M1538" s="74"/>
      <c r="N1538" s="74">
        <f t="shared" si="11"/>
        <v>0</v>
      </c>
      <c r="O1538" s="74">
        <f t="shared" si="13"/>
        <v>0</v>
      </c>
      <c r="P1538" s="63">
        <f t="shared" si="14"/>
        <v>0</v>
      </c>
      <c r="Q1538" s="63" t="str">
        <f t="shared" si="15"/>
        <v>#N/A</v>
      </c>
      <c r="R1538" s="93" t="str">
        <f>VLOOKUP(F1538,DATABASE!C:Q,4,false)</f>
        <v>#N/A</v>
      </c>
      <c r="S1538" s="93" t="str">
        <f>VLOOKUP(F1538,DATABASE!C:P,11,false)</f>
        <v>#N/A</v>
      </c>
      <c r="T1538" s="93" t="str">
        <f>vlookup(F1538,DATABASE!C:Q,8,false)</f>
        <v>#N/A</v>
      </c>
      <c r="Z1538" s="9"/>
    </row>
    <row r="1539" ht="22.5" customHeight="1">
      <c r="A1539" s="49"/>
      <c r="C1539" s="384"/>
      <c r="D1539" s="93"/>
      <c r="F1539" s="74"/>
      <c r="H1539" s="74"/>
      <c r="I1539" s="74"/>
      <c r="J1539" s="74"/>
      <c r="K1539" s="74" t="str">
        <f>if(F1539="SERVICE",O1539-(O1539*50%),Vlookup(F1539,DATABASE!C:Q,10,false)*G1539)</f>
        <v>#N/A</v>
      </c>
      <c r="L1539" s="74" t="str">
        <f>VLOOKUP(F1539,DATABASE!C:Q,7,FALSE)</f>
        <v>#N/A</v>
      </c>
      <c r="M1539" s="74"/>
      <c r="N1539" s="74">
        <f t="shared" si="11"/>
        <v>0</v>
      </c>
      <c r="O1539" s="74">
        <f t="shared" si="13"/>
        <v>0</v>
      </c>
      <c r="P1539" s="63">
        <f t="shared" si="14"/>
        <v>0</v>
      </c>
      <c r="Q1539" s="63" t="str">
        <f t="shared" si="15"/>
        <v>#N/A</v>
      </c>
      <c r="R1539" s="93" t="str">
        <f>VLOOKUP(F1539,DATABASE!C:Q,4,false)</f>
        <v>#N/A</v>
      </c>
      <c r="S1539" s="93" t="str">
        <f>VLOOKUP(F1539,DATABASE!C:P,11,false)</f>
        <v>#N/A</v>
      </c>
      <c r="T1539" s="93" t="str">
        <f>vlookup(F1539,DATABASE!C:Q,8,false)</f>
        <v>#N/A</v>
      </c>
      <c r="Z1539" s="9"/>
    </row>
    <row r="1540" ht="22.5" customHeight="1">
      <c r="A1540" s="49"/>
      <c r="C1540" s="384"/>
      <c r="D1540" s="93"/>
      <c r="F1540" s="74"/>
      <c r="H1540" s="74"/>
      <c r="I1540" s="74"/>
      <c r="J1540" s="74"/>
      <c r="K1540" s="74" t="str">
        <f>if(F1540="SERVICE",O1540-(O1540*50%),Vlookup(F1540,DATABASE!C:Q,10,false)*G1540)</f>
        <v>#N/A</v>
      </c>
      <c r="L1540" s="74" t="str">
        <f>VLOOKUP(F1540,DATABASE!C:Q,7,FALSE)</f>
        <v>#N/A</v>
      </c>
      <c r="M1540" s="74"/>
      <c r="N1540" s="74">
        <f t="shared" si="11"/>
        <v>0</v>
      </c>
      <c r="O1540" s="74">
        <f t="shared" si="13"/>
        <v>0</v>
      </c>
      <c r="P1540" s="63">
        <f t="shared" si="14"/>
        <v>0</v>
      </c>
      <c r="Q1540" s="63" t="str">
        <f t="shared" si="15"/>
        <v>#N/A</v>
      </c>
      <c r="R1540" s="93" t="str">
        <f>VLOOKUP(F1540,DATABASE!C:Q,4,false)</f>
        <v>#N/A</v>
      </c>
      <c r="S1540" s="93" t="str">
        <f>VLOOKUP(F1540,DATABASE!C:P,11,false)</f>
        <v>#N/A</v>
      </c>
      <c r="T1540" s="93" t="str">
        <f>vlookup(F1540,DATABASE!C:Q,8,false)</f>
        <v>#N/A</v>
      </c>
      <c r="Z1540" s="9"/>
    </row>
    <row r="1541" ht="22.5" customHeight="1">
      <c r="A1541" s="49"/>
      <c r="C1541" s="384"/>
      <c r="D1541" s="93"/>
      <c r="F1541" s="74"/>
      <c r="H1541" s="74"/>
      <c r="I1541" s="74"/>
      <c r="J1541" s="74"/>
      <c r="K1541" s="74" t="str">
        <f>if(F1541="SERVICE",O1541-(O1541*50%),Vlookup(F1541,DATABASE!C:Q,10,false)*G1541)</f>
        <v>#N/A</v>
      </c>
      <c r="L1541" s="74" t="str">
        <f>VLOOKUP(F1541,DATABASE!C:Q,7,FALSE)</f>
        <v>#N/A</v>
      </c>
      <c r="M1541" s="74"/>
      <c r="N1541" s="74">
        <f t="shared" si="11"/>
        <v>0</v>
      </c>
      <c r="O1541" s="74">
        <f t="shared" si="13"/>
        <v>0</v>
      </c>
      <c r="P1541" s="63">
        <f t="shared" si="14"/>
        <v>0</v>
      </c>
      <c r="Q1541" s="63" t="str">
        <f t="shared" si="15"/>
        <v>#N/A</v>
      </c>
      <c r="R1541" s="93" t="str">
        <f>VLOOKUP(F1541,DATABASE!C:Q,4,false)</f>
        <v>#N/A</v>
      </c>
      <c r="S1541" s="93" t="str">
        <f>VLOOKUP(F1541,DATABASE!C:P,11,false)</f>
        <v>#N/A</v>
      </c>
      <c r="T1541" s="93" t="str">
        <f>vlookup(F1541,DATABASE!C:Q,8,false)</f>
        <v>#N/A</v>
      </c>
      <c r="Z1541" s="9"/>
    </row>
    <row r="1542" ht="22.5" customHeight="1">
      <c r="A1542" s="49"/>
      <c r="C1542" s="384"/>
      <c r="D1542" s="93"/>
      <c r="F1542" s="74"/>
      <c r="H1542" s="74"/>
      <c r="I1542" s="74"/>
      <c r="J1542" s="74"/>
      <c r="K1542" s="74" t="str">
        <f>if(F1542="SERVICE",O1542-(O1542*50%),Vlookup(F1542,DATABASE!C:Q,10,false)*G1542)</f>
        <v>#N/A</v>
      </c>
      <c r="L1542" s="74" t="str">
        <f>VLOOKUP(F1542,DATABASE!C:Q,7,FALSE)</f>
        <v>#N/A</v>
      </c>
      <c r="M1542" s="74"/>
      <c r="N1542" s="74">
        <f t="shared" si="11"/>
        <v>0</v>
      </c>
      <c r="O1542" s="74">
        <f t="shared" si="13"/>
        <v>0</v>
      </c>
      <c r="P1542" s="63">
        <f t="shared" si="14"/>
        <v>0</v>
      </c>
      <c r="Q1542" s="63" t="str">
        <f t="shared" si="15"/>
        <v>#N/A</v>
      </c>
      <c r="R1542" s="93" t="str">
        <f>VLOOKUP(F1542,DATABASE!C:Q,4,false)</f>
        <v>#N/A</v>
      </c>
      <c r="S1542" s="93" t="str">
        <f>VLOOKUP(F1542,DATABASE!C:P,11,false)</f>
        <v>#N/A</v>
      </c>
      <c r="T1542" s="93" t="str">
        <f>vlookup(F1542,DATABASE!C:Q,8,false)</f>
        <v>#N/A</v>
      </c>
      <c r="Z1542" s="9"/>
    </row>
    <row r="1543" ht="22.5" customHeight="1">
      <c r="A1543" s="49"/>
      <c r="C1543" s="384"/>
      <c r="D1543" s="93"/>
      <c r="F1543" s="74"/>
      <c r="H1543" s="74"/>
      <c r="I1543" s="74"/>
      <c r="J1543" s="74"/>
      <c r="K1543" s="74" t="str">
        <f>if(F1543="SERVICE",O1543-(O1543*50%),Vlookup(F1543,DATABASE!C:Q,10,false)*G1543)</f>
        <v>#N/A</v>
      </c>
      <c r="L1543" s="74" t="str">
        <f>VLOOKUP(F1543,DATABASE!C:Q,7,FALSE)</f>
        <v>#N/A</v>
      </c>
      <c r="M1543" s="74"/>
      <c r="N1543" s="74">
        <f t="shared" si="11"/>
        <v>0</v>
      </c>
      <c r="O1543" s="74">
        <f t="shared" si="13"/>
        <v>0</v>
      </c>
      <c r="P1543" s="63">
        <f t="shared" si="14"/>
        <v>0</v>
      </c>
      <c r="Q1543" s="63" t="str">
        <f t="shared" si="15"/>
        <v>#N/A</v>
      </c>
      <c r="R1543" s="93" t="str">
        <f>VLOOKUP(F1543,DATABASE!C:Q,4,false)</f>
        <v>#N/A</v>
      </c>
      <c r="S1543" s="93" t="str">
        <f>VLOOKUP(F1543,DATABASE!C:P,11,false)</f>
        <v>#N/A</v>
      </c>
      <c r="T1543" s="93" t="str">
        <f>vlookup(F1543,DATABASE!C:Q,8,false)</f>
        <v>#N/A</v>
      </c>
      <c r="Z1543" s="9"/>
    </row>
    <row r="1544" ht="22.5" customHeight="1">
      <c r="A1544" s="49"/>
      <c r="C1544" s="384"/>
      <c r="D1544" s="93"/>
      <c r="F1544" s="74"/>
      <c r="H1544" s="74"/>
      <c r="I1544" s="74"/>
      <c r="J1544" s="74"/>
      <c r="K1544" s="74" t="str">
        <f>if(F1544="SERVICE",O1544-(O1544*50%),Vlookup(F1544,DATABASE!C:Q,10,false)*G1544)</f>
        <v>#N/A</v>
      </c>
      <c r="L1544" s="74" t="str">
        <f>VLOOKUP(F1544,DATABASE!C:Q,7,FALSE)</f>
        <v>#N/A</v>
      </c>
      <c r="M1544" s="74"/>
      <c r="N1544" s="74">
        <f t="shared" si="11"/>
        <v>0</v>
      </c>
      <c r="O1544" s="74">
        <f t="shared" si="13"/>
        <v>0</v>
      </c>
      <c r="P1544" s="63">
        <f t="shared" si="14"/>
        <v>0</v>
      </c>
      <c r="Q1544" s="63" t="str">
        <f t="shared" si="15"/>
        <v>#N/A</v>
      </c>
      <c r="R1544" s="93" t="str">
        <f>VLOOKUP(F1544,DATABASE!C:Q,4,false)</f>
        <v>#N/A</v>
      </c>
      <c r="S1544" s="93" t="str">
        <f>VLOOKUP(F1544,DATABASE!C:P,11,false)</f>
        <v>#N/A</v>
      </c>
      <c r="T1544" s="93" t="str">
        <f>vlookup(F1544,DATABASE!C:Q,8,false)</f>
        <v>#N/A</v>
      </c>
      <c r="Z1544" s="9"/>
    </row>
    <row r="1545" ht="22.5" customHeight="1">
      <c r="A1545" s="49"/>
      <c r="C1545" s="384"/>
      <c r="D1545" s="93"/>
      <c r="F1545" s="74"/>
      <c r="H1545" s="74"/>
      <c r="I1545" s="74"/>
      <c r="J1545" s="74"/>
      <c r="K1545" s="74" t="str">
        <f>if(F1545="SERVICE",O1545-(O1545*50%),Vlookup(F1545,DATABASE!C:Q,10,false)*G1545)</f>
        <v>#N/A</v>
      </c>
      <c r="L1545" s="74" t="str">
        <f>VLOOKUP(F1545,DATABASE!C:Q,7,FALSE)</f>
        <v>#N/A</v>
      </c>
      <c r="M1545" s="74"/>
      <c r="N1545" s="74">
        <f t="shared" si="11"/>
        <v>0</v>
      </c>
      <c r="O1545" s="74">
        <f t="shared" si="13"/>
        <v>0</v>
      </c>
      <c r="P1545" s="63">
        <f t="shared" si="14"/>
        <v>0</v>
      </c>
      <c r="Q1545" s="63" t="str">
        <f t="shared" si="15"/>
        <v>#N/A</v>
      </c>
      <c r="R1545" s="93" t="str">
        <f>VLOOKUP(F1545,DATABASE!C:Q,4,false)</f>
        <v>#N/A</v>
      </c>
      <c r="S1545" s="93" t="str">
        <f>VLOOKUP(F1545,DATABASE!C:P,11,false)</f>
        <v>#N/A</v>
      </c>
      <c r="T1545" s="93" t="str">
        <f>vlookup(F1545,DATABASE!C:Q,8,false)</f>
        <v>#N/A</v>
      </c>
      <c r="Z1545" s="9"/>
    </row>
    <row r="1546" ht="22.5" customHeight="1">
      <c r="A1546" s="49"/>
      <c r="C1546" s="384"/>
      <c r="D1546" s="93"/>
      <c r="F1546" s="74"/>
      <c r="H1546" s="74"/>
      <c r="I1546" s="74"/>
      <c r="J1546" s="74"/>
      <c r="K1546" s="74" t="str">
        <f>if(F1546="SERVICE",O1546-(O1546*50%),Vlookup(F1546,DATABASE!C:Q,10,false)*G1546)</f>
        <v>#N/A</v>
      </c>
      <c r="L1546" s="74" t="str">
        <f>VLOOKUP(F1546,DATABASE!C:Q,7,FALSE)</f>
        <v>#N/A</v>
      </c>
      <c r="M1546" s="74"/>
      <c r="N1546" s="74">
        <f t="shared" si="11"/>
        <v>0</v>
      </c>
      <c r="O1546" s="74">
        <f t="shared" si="13"/>
        <v>0</v>
      </c>
      <c r="P1546" s="63">
        <f t="shared" si="14"/>
        <v>0</v>
      </c>
      <c r="Q1546" s="63" t="str">
        <f t="shared" si="15"/>
        <v>#N/A</v>
      </c>
      <c r="R1546" s="93" t="str">
        <f>VLOOKUP(F1546,DATABASE!C:Q,4,false)</f>
        <v>#N/A</v>
      </c>
      <c r="S1546" s="93" t="str">
        <f>VLOOKUP(F1546,DATABASE!C:P,11,false)</f>
        <v>#N/A</v>
      </c>
      <c r="T1546" s="93" t="str">
        <f>vlookup(F1546,DATABASE!C:Q,8,false)</f>
        <v>#N/A</v>
      </c>
      <c r="Z1546" s="9"/>
    </row>
    <row r="1547" ht="22.5" customHeight="1">
      <c r="A1547" s="49"/>
      <c r="C1547" s="384"/>
      <c r="D1547" s="93"/>
      <c r="F1547" s="74"/>
      <c r="H1547" s="74"/>
      <c r="I1547" s="74"/>
      <c r="J1547" s="74"/>
      <c r="K1547" s="74" t="str">
        <f>if(F1547="SERVICE",O1547-(O1547*50%),Vlookup(F1547,DATABASE!C:Q,10,false)*G1547)</f>
        <v>#N/A</v>
      </c>
      <c r="L1547" s="74" t="str">
        <f>VLOOKUP(F1547,DATABASE!C:Q,7,FALSE)</f>
        <v>#N/A</v>
      </c>
      <c r="M1547" s="74"/>
      <c r="N1547" s="74">
        <f t="shared" si="11"/>
        <v>0</v>
      </c>
      <c r="O1547" s="74">
        <f t="shared" si="13"/>
        <v>0</v>
      </c>
      <c r="P1547" s="63">
        <f t="shared" si="14"/>
        <v>0</v>
      </c>
      <c r="Q1547" s="63" t="str">
        <f t="shared" si="15"/>
        <v>#N/A</v>
      </c>
      <c r="R1547" s="93" t="str">
        <f>VLOOKUP(F1547,DATABASE!C:Q,4,false)</f>
        <v>#N/A</v>
      </c>
      <c r="S1547" s="93" t="str">
        <f>VLOOKUP(F1547,DATABASE!C:P,11,false)</f>
        <v>#N/A</v>
      </c>
      <c r="T1547" s="93" t="str">
        <f>vlookup(F1547,DATABASE!C:Q,8,false)</f>
        <v>#N/A</v>
      </c>
      <c r="Z1547" s="9"/>
    </row>
    <row r="1548" ht="22.5" customHeight="1">
      <c r="A1548" s="49"/>
      <c r="C1548" s="384"/>
      <c r="D1548" s="93"/>
      <c r="F1548" s="74"/>
      <c r="H1548" s="74"/>
      <c r="I1548" s="74"/>
      <c r="J1548" s="74"/>
      <c r="K1548" s="74" t="str">
        <f>if(F1548="SERVICE",O1548-(O1548*50%),Vlookup(F1548,DATABASE!C:Q,10,false)*G1548)</f>
        <v>#N/A</v>
      </c>
      <c r="L1548" s="74" t="str">
        <f>VLOOKUP(F1548,DATABASE!C:Q,7,FALSE)</f>
        <v>#N/A</v>
      </c>
      <c r="M1548" s="74"/>
      <c r="N1548" s="74">
        <f t="shared" si="11"/>
        <v>0</v>
      </c>
      <c r="O1548" s="74">
        <f t="shared" si="13"/>
        <v>0</v>
      </c>
      <c r="P1548" s="63">
        <f t="shared" si="14"/>
        <v>0</v>
      </c>
      <c r="Q1548" s="63" t="str">
        <f t="shared" si="15"/>
        <v>#N/A</v>
      </c>
      <c r="R1548" s="93" t="str">
        <f>VLOOKUP(F1548,DATABASE!C:Q,4,false)</f>
        <v>#N/A</v>
      </c>
      <c r="S1548" s="93" t="str">
        <f>VLOOKUP(F1548,DATABASE!C:P,11,false)</f>
        <v>#N/A</v>
      </c>
      <c r="T1548" s="93" t="str">
        <f>vlookup(F1548,DATABASE!C:Q,8,false)</f>
        <v>#N/A</v>
      </c>
      <c r="Z1548" s="9"/>
    </row>
    <row r="1549" ht="22.5" customHeight="1">
      <c r="A1549" s="49"/>
      <c r="C1549" s="384"/>
      <c r="D1549" s="93"/>
      <c r="F1549" s="74"/>
      <c r="H1549" s="74"/>
      <c r="I1549" s="74"/>
      <c r="J1549" s="74"/>
      <c r="K1549" s="74" t="str">
        <f>if(F1549="SERVICE",O1549-(O1549*50%),Vlookup(F1549,DATABASE!C:Q,10,false)*G1549)</f>
        <v>#N/A</v>
      </c>
      <c r="L1549" s="74" t="str">
        <f>VLOOKUP(F1549,DATABASE!C:Q,7,FALSE)</f>
        <v>#N/A</v>
      </c>
      <c r="M1549" s="74"/>
      <c r="N1549" s="74">
        <f t="shared" si="11"/>
        <v>0</v>
      </c>
      <c r="O1549" s="74">
        <f t="shared" si="13"/>
        <v>0</v>
      </c>
      <c r="P1549" s="63">
        <f t="shared" si="14"/>
        <v>0</v>
      </c>
      <c r="Q1549" s="63" t="str">
        <f t="shared" si="15"/>
        <v>#N/A</v>
      </c>
      <c r="R1549" s="93" t="str">
        <f>VLOOKUP(F1549,DATABASE!C:Q,4,false)</f>
        <v>#N/A</v>
      </c>
      <c r="S1549" s="93" t="str">
        <f>VLOOKUP(F1549,DATABASE!C:P,11,false)</f>
        <v>#N/A</v>
      </c>
      <c r="T1549" s="93" t="str">
        <f>vlookup(F1549,DATABASE!C:Q,8,false)</f>
        <v>#N/A</v>
      </c>
      <c r="Z1549" s="9"/>
    </row>
    <row r="1550" ht="22.5" customHeight="1">
      <c r="A1550" s="49"/>
      <c r="C1550" s="384"/>
      <c r="D1550" s="93"/>
      <c r="F1550" s="74"/>
      <c r="H1550" s="74"/>
      <c r="I1550" s="74"/>
      <c r="J1550" s="74"/>
      <c r="K1550" s="74" t="str">
        <f>if(F1550="SERVICE",O1550-(O1550*50%),Vlookup(F1550,DATABASE!C:Q,10,false)*G1550)</f>
        <v>#N/A</v>
      </c>
      <c r="L1550" s="74" t="str">
        <f>VLOOKUP(F1550,DATABASE!C:Q,7,FALSE)</f>
        <v>#N/A</v>
      </c>
      <c r="M1550" s="74"/>
      <c r="N1550" s="74">
        <f t="shared" si="11"/>
        <v>0</v>
      </c>
      <c r="O1550" s="74">
        <f t="shared" si="13"/>
        <v>0</v>
      </c>
      <c r="P1550" s="63">
        <f t="shared" si="14"/>
        <v>0</v>
      </c>
      <c r="Q1550" s="63" t="str">
        <f t="shared" si="15"/>
        <v>#N/A</v>
      </c>
      <c r="R1550" s="93" t="str">
        <f>VLOOKUP(F1550,DATABASE!C:Q,4,false)</f>
        <v>#N/A</v>
      </c>
      <c r="S1550" s="93" t="str">
        <f>VLOOKUP(F1550,DATABASE!C:P,11,false)</f>
        <v>#N/A</v>
      </c>
      <c r="T1550" s="93" t="str">
        <f>vlookup(F1550,DATABASE!C:Q,8,false)</f>
        <v>#N/A</v>
      </c>
      <c r="Z1550" s="9"/>
    </row>
    <row r="1551" ht="22.5" customHeight="1">
      <c r="A1551" s="49"/>
      <c r="C1551" s="384"/>
      <c r="D1551" s="93"/>
      <c r="F1551" s="74"/>
      <c r="H1551" s="74"/>
      <c r="I1551" s="74"/>
      <c r="J1551" s="74"/>
      <c r="K1551" s="74" t="str">
        <f>if(F1551="SERVICE",O1551-(O1551*50%),Vlookup(F1551,DATABASE!C:Q,10,false)*G1551)</f>
        <v>#N/A</v>
      </c>
      <c r="L1551" s="74" t="str">
        <f>VLOOKUP(F1551,DATABASE!C:Q,7,FALSE)</f>
        <v>#N/A</v>
      </c>
      <c r="M1551" s="74"/>
      <c r="N1551" s="74">
        <f t="shared" si="11"/>
        <v>0</v>
      </c>
      <c r="O1551" s="74">
        <f t="shared" si="13"/>
        <v>0</v>
      </c>
      <c r="P1551" s="63">
        <f t="shared" si="14"/>
        <v>0</v>
      </c>
      <c r="Q1551" s="63" t="str">
        <f t="shared" si="15"/>
        <v>#N/A</v>
      </c>
      <c r="R1551" s="93" t="str">
        <f>VLOOKUP(F1551,DATABASE!C:Q,4,false)</f>
        <v>#N/A</v>
      </c>
      <c r="S1551" s="93" t="str">
        <f>VLOOKUP(F1551,DATABASE!C:P,11,false)</f>
        <v>#N/A</v>
      </c>
      <c r="T1551" s="93" t="str">
        <f>vlookup(F1551,DATABASE!C:Q,8,false)</f>
        <v>#N/A</v>
      </c>
      <c r="Z1551" s="9"/>
    </row>
    <row r="1552" ht="22.5" customHeight="1">
      <c r="A1552" s="49"/>
      <c r="C1552" s="384"/>
      <c r="D1552" s="93"/>
      <c r="F1552" s="74"/>
      <c r="H1552" s="74"/>
      <c r="I1552" s="74"/>
      <c r="J1552" s="74"/>
      <c r="K1552" s="74" t="str">
        <f>if(F1552="SERVICE",O1552-(O1552*50%),Vlookup(F1552,DATABASE!C:Q,10,false)*G1552)</f>
        <v>#N/A</v>
      </c>
      <c r="L1552" s="74" t="str">
        <f>VLOOKUP(F1552,DATABASE!C:Q,7,FALSE)</f>
        <v>#N/A</v>
      </c>
      <c r="M1552" s="74"/>
      <c r="N1552" s="74">
        <f t="shared" si="11"/>
        <v>0</v>
      </c>
      <c r="O1552" s="74">
        <f t="shared" si="13"/>
        <v>0</v>
      </c>
      <c r="P1552" s="63">
        <f t="shared" si="14"/>
        <v>0</v>
      </c>
      <c r="Q1552" s="63" t="str">
        <f t="shared" si="15"/>
        <v>#N/A</v>
      </c>
      <c r="R1552" s="93" t="str">
        <f>VLOOKUP(F1552,DATABASE!C:Q,4,false)</f>
        <v>#N/A</v>
      </c>
      <c r="S1552" s="93" t="str">
        <f>VLOOKUP(F1552,DATABASE!C:P,11,false)</f>
        <v>#N/A</v>
      </c>
      <c r="T1552" s="93" t="str">
        <f>vlookup(F1552,DATABASE!C:Q,8,false)</f>
        <v>#N/A</v>
      </c>
      <c r="Z1552" s="9"/>
    </row>
    <row r="1553" ht="22.5" customHeight="1">
      <c r="A1553" s="49"/>
      <c r="C1553" s="384"/>
      <c r="D1553" s="93"/>
      <c r="F1553" s="74"/>
      <c r="H1553" s="74"/>
      <c r="I1553" s="74"/>
      <c r="J1553" s="74"/>
      <c r="K1553" s="74" t="str">
        <f>if(F1553="SERVICE",O1553-(O1553*50%),Vlookup(F1553,DATABASE!C:Q,10,false)*G1553)</f>
        <v>#N/A</v>
      </c>
      <c r="L1553" s="74" t="str">
        <f>VLOOKUP(F1553,DATABASE!C:Q,7,FALSE)</f>
        <v>#N/A</v>
      </c>
      <c r="M1553" s="74"/>
      <c r="N1553" s="74">
        <f t="shared" si="11"/>
        <v>0</v>
      </c>
      <c r="O1553" s="74">
        <f t="shared" si="13"/>
        <v>0</v>
      </c>
      <c r="P1553" s="63">
        <f t="shared" si="14"/>
        <v>0</v>
      </c>
      <c r="Q1553" s="63" t="str">
        <f t="shared" si="15"/>
        <v>#N/A</v>
      </c>
      <c r="R1553" s="93" t="str">
        <f>VLOOKUP(F1553,DATABASE!C:Q,4,false)</f>
        <v>#N/A</v>
      </c>
      <c r="S1553" s="93" t="str">
        <f>VLOOKUP(F1553,DATABASE!C:P,11,false)</f>
        <v>#N/A</v>
      </c>
      <c r="T1553" s="93" t="str">
        <f>vlookup(F1553,DATABASE!C:Q,8,false)</f>
        <v>#N/A</v>
      </c>
      <c r="Z1553" s="9"/>
    </row>
    <row r="1554" ht="22.5" customHeight="1">
      <c r="A1554" s="49"/>
      <c r="C1554" s="384"/>
      <c r="D1554" s="93"/>
      <c r="F1554" s="74"/>
      <c r="H1554" s="74"/>
      <c r="I1554" s="74"/>
      <c r="J1554" s="74"/>
      <c r="K1554" s="74" t="str">
        <f>if(F1554="SERVICE",O1554-(O1554*50%),Vlookup(F1554,DATABASE!C:Q,10,false)*G1554)</f>
        <v>#N/A</v>
      </c>
      <c r="L1554" s="74" t="str">
        <f>VLOOKUP(F1554,DATABASE!C:Q,7,FALSE)</f>
        <v>#N/A</v>
      </c>
      <c r="M1554" s="74"/>
      <c r="N1554" s="74">
        <f t="shared" si="11"/>
        <v>0</v>
      </c>
      <c r="O1554" s="74">
        <f t="shared" si="13"/>
        <v>0</v>
      </c>
      <c r="P1554" s="63">
        <f t="shared" si="14"/>
        <v>0</v>
      </c>
      <c r="Q1554" s="63" t="str">
        <f t="shared" si="15"/>
        <v>#N/A</v>
      </c>
      <c r="R1554" s="93" t="str">
        <f>VLOOKUP(F1554,DATABASE!C:Q,4,false)</f>
        <v>#N/A</v>
      </c>
      <c r="S1554" s="93" t="str">
        <f>VLOOKUP(F1554,DATABASE!C:P,11,false)</f>
        <v>#N/A</v>
      </c>
      <c r="T1554" s="93" t="str">
        <f>vlookup(F1554,DATABASE!C:Q,8,false)</f>
        <v>#N/A</v>
      </c>
      <c r="Z1554" s="9"/>
    </row>
    <row r="1555" ht="22.5" customHeight="1">
      <c r="A1555" s="49"/>
      <c r="C1555" s="384"/>
      <c r="D1555" s="93"/>
      <c r="F1555" s="74"/>
      <c r="H1555" s="74"/>
      <c r="I1555" s="74"/>
      <c r="J1555" s="74"/>
      <c r="K1555" s="74" t="str">
        <f>if(F1555="SERVICE",O1555-(O1555*50%),Vlookup(F1555,DATABASE!C:Q,10,false)*G1555)</f>
        <v>#N/A</v>
      </c>
      <c r="L1555" s="74" t="str">
        <f>VLOOKUP(F1555,DATABASE!C:Q,7,FALSE)</f>
        <v>#N/A</v>
      </c>
      <c r="M1555" s="74"/>
      <c r="N1555" s="74">
        <f t="shared" si="11"/>
        <v>0</v>
      </c>
      <c r="O1555" s="74">
        <f t="shared" si="13"/>
        <v>0</v>
      </c>
      <c r="P1555" s="63">
        <f t="shared" si="14"/>
        <v>0</v>
      </c>
      <c r="Q1555" s="63" t="str">
        <f t="shared" si="15"/>
        <v>#N/A</v>
      </c>
      <c r="R1555" s="93" t="str">
        <f>VLOOKUP(F1555,DATABASE!C:Q,4,false)</f>
        <v>#N/A</v>
      </c>
      <c r="S1555" s="93" t="str">
        <f>VLOOKUP(F1555,DATABASE!C:P,11,false)</f>
        <v>#N/A</v>
      </c>
      <c r="T1555" s="93" t="str">
        <f>vlookup(F1555,DATABASE!C:Q,8,false)</f>
        <v>#N/A</v>
      </c>
      <c r="Z1555" s="9"/>
    </row>
    <row r="1556" ht="22.5" customHeight="1">
      <c r="A1556" s="49"/>
      <c r="C1556" s="384"/>
      <c r="D1556" s="93"/>
      <c r="F1556" s="74"/>
      <c r="H1556" s="74"/>
      <c r="I1556" s="74"/>
      <c r="J1556" s="74"/>
      <c r="K1556" s="74" t="str">
        <f>if(F1556="SERVICE",O1556-(O1556*50%),Vlookup(F1556,DATABASE!C:Q,10,false)*G1556)</f>
        <v>#N/A</v>
      </c>
      <c r="L1556" s="74" t="str">
        <f>VLOOKUP(F1556,DATABASE!C:Q,7,FALSE)</f>
        <v>#N/A</v>
      </c>
      <c r="M1556" s="74"/>
      <c r="N1556" s="74">
        <f t="shared" si="11"/>
        <v>0</v>
      </c>
      <c r="O1556" s="74">
        <f t="shared" si="13"/>
        <v>0</v>
      </c>
      <c r="P1556" s="63">
        <f t="shared" si="14"/>
        <v>0</v>
      </c>
      <c r="Q1556" s="63" t="str">
        <f t="shared" si="15"/>
        <v>#N/A</v>
      </c>
      <c r="R1556" s="93" t="str">
        <f>VLOOKUP(F1556,DATABASE!C:Q,4,false)</f>
        <v>#N/A</v>
      </c>
      <c r="S1556" s="93" t="str">
        <f>VLOOKUP(F1556,DATABASE!C:P,11,false)</f>
        <v>#N/A</v>
      </c>
      <c r="T1556" s="93" t="str">
        <f>vlookup(F1556,DATABASE!C:Q,8,false)</f>
        <v>#N/A</v>
      </c>
      <c r="Z1556" s="9"/>
    </row>
    <row r="1557" ht="22.5" customHeight="1">
      <c r="A1557" s="49"/>
      <c r="C1557" s="384"/>
      <c r="D1557" s="93"/>
      <c r="F1557" s="74"/>
      <c r="H1557" s="74"/>
      <c r="I1557" s="74"/>
      <c r="J1557" s="74"/>
      <c r="K1557" s="74" t="str">
        <f>if(F1557="SERVICE",O1557-(O1557*50%),Vlookup(F1557,DATABASE!C:Q,10,false)*G1557)</f>
        <v>#N/A</v>
      </c>
      <c r="L1557" s="74" t="str">
        <f>VLOOKUP(F1557,DATABASE!C:Q,7,FALSE)</f>
        <v>#N/A</v>
      </c>
      <c r="M1557" s="74"/>
      <c r="N1557" s="74">
        <f t="shared" si="11"/>
        <v>0</v>
      </c>
      <c r="O1557" s="74">
        <f t="shared" si="13"/>
        <v>0</v>
      </c>
      <c r="P1557" s="63">
        <f t="shared" si="14"/>
        <v>0</v>
      </c>
      <c r="Q1557" s="63" t="str">
        <f t="shared" si="15"/>
        <v>#N/A</v>
      </c>
      <c r="R1557" s="93" t="str">
        <f>VLOOKUP(F1557,DATABASE!C:Q,4,false)</f>
        <v>#N/A</v>
      </c>
      <c r="S1557" s="93" t="str">
        <f>VLOOKUP(F1557,DATABASE!C:P,11,false)</f>
        <v>#N/A</v>
      </c>
      <c r="T1557" s="93" t="str">
        <f>vlookup(F1557,DATABASE!C:Q,8,false)</f>
        <v>#N/A</v>
      </c>
      <c r="Z1557" s="9"/>
    </row>
    <row r="1558" ht="22.5" customHeight="1">
      <c r="A1558" s="49"/>
      <c r="C1558" s="384"/>
      <c r="D1558" s="93"/>
      <c r="F1558" s="74"/>
      <c r="H1558" s="74"/>
      <c r="I1558" s="74"/>
      <c r="J1558" s="74"/>
      <c r="K1558" s="74" t="str">
        <f>if(F1558="SERVICE",O1558-(O1558*50%),Vlookup(F1558,DATABASE!C:Q,10,false)*G1558)</f>
        <v>#N/A</v>
      </c>
      <c r="L1558" s="74" t="str">
        <f>VLOOKUP(F1558,DATABASE!C:Q,7,FALSE)</f>
        <v>#N/A</v>
      </c>
      <c r="M1558" s="74"/>
      <c r="N1558" s="74">
        <f t="shared" si="11"/>
        <v>0</v>
      </c>
      <c r="O1558" s="74">
        <f t="shared" si="13"/>
        <v>0</v>
      </c>
      <c r="P1558" s="63">
        <f t="shared" si="14"/>
        <v>0</v>
      </c>
      <c r="Q1558" s="63" t="str">
        <f t="shared" si="15"/>
        <v>#N/A</v>
      </c>
      <c r="R1558" s="93" t="str">
        <f>VLOOKUP(F1558,DATABASE!C:Q,4,false)</f>
        <v>#N/A</v>
      </c>
      <c r="S1558" s="93" t="str">
        <f>VLOOKUP(F1558,DATABASE!C:P,11,false)</f>
        <v>#N/A</v>
      </c>
      <c r="T1558" s="93" t="str">
        <f>vlookup(F1558,DATABASE!C:Q,8,false)</f>
        <v>#N/A</v>
      </c>
      <c r="Z1558" s="9"/>
    </row>
    <row r="1559" ht="22.5" customHeight="1">
      <c r="A1559" s="49"/>
      <c r="C1559" s="384"/>
      <c r="D1559" s="93"/>
      <c r="F1559" s="74"/>
      <c r="H1559" s="74"/>
      <c r="I1559" s="74"/>
      <c r="J1559" s="74"/>
      <c r="K1559" s="74" t="str">
        <f>if(F1559="SERVICE",O1559-(O1559*50%),Vlookup(F1559,DATABASE!C:Q,10,false)*G1559)</f>
        <v>#N/A</v>
      </c>
      <c r="L1559" s="74" t="str">
        <f>VLOOKUP(F1559,DATABASE!C:Q,7,FALSE)</f>
        <v>#N/A</v>
      </c>
      <c r="M1559" s="74"/>
      <c r="N1559" s="74">
        <f t="shared" si="11"/>
        <v>0</v>
      </c>
      <c r="O1559" s="74">
        <f t="shared" si="13"/>
        <v>0</v>
      </c>
      <c r="P1559" s="63">
        <f t="shared" si="14"/>
        <v>0</v>
      </c>
      <c r="Q1559" s="63" t="str">
        <f t="shared" si="15"/>
        <v>#N/A</v>
      </c>
      <c r="R1559" s="93" t="str">
        <f>VLOOKUP(F1559,DATABASE!C:Q,4,false)</f>
        <v>#N/A</v>
      </c>
      <c r="S1559" s="93" t="str">
        <f>VLOOKUP(F1559,DATABASE!C:P,11,false)</f>
        <v>#N/A</v>
      </c>
      <c r="T1559" s="93" t="str">
        <f>vlookup(F1559,DATABASE!C:Q,8,false)</f>
        <v>#N/A</v>
      </c>
      <c r="Z1559" s="9"/>
    </row>
    <row r="1560" ht="22.5" customHeight="1">
      <c r="A1560" s="49"/>
      <c r="C1560" s="384"/>
      <c r="D1560" s="93"/>
      <c r="F1560" s="74"/>
      <c r="H1560" s="74"/>
      <c r="I1560" s="74"/>
      <c r="J1560" s="74"/>
      <c r="K1560" s="74" t="str">
        <f>if(F1560="SERVICE",O1560-(O1560*50%),Vlookup(F1560,DATABASE!C:Q,10,false)*G1560)</f>
        <v>#N/A</v>
      </c>
      <c r="L1560" s="74" t="str">
        <f>VLOOKUP(F1560,DATABASE!C:Q,7,FALSE)</f>
        <v>#N/A</v>
      </c>
      <c r="M1560" s="74"/>
      <c r="N1560" s="74">
        <f t="shared" si="11"/>
        <v>0</v>
      </c>
      <c r="O1560" s="74">
        <f t="shared" si="13"/>
        <v>0</v>
      </c>
      <c r="P1560" s="63">
        <f t="shared" si="14"/>
        <v>0</v>
      </c>
      <c r="Q1560" s="63" t="str">
        <f t="shared" si="15"/>
        <v>#N/A</v>
      </c>
      <c r="R1560" s="93" t="str">
        <f>VLOOKUP(F1560,DATABASE!C:Q,4,false)</f>
        <v>#N/A</v>
      </c>
      <c r="S1560" s="93" t="str">
        <f>VLOOKUP(F1560,DATABASE!C:P,11,false)</f>
        <v>#N/A</v>
      </c>
      <c r="T1560" s="93" t="str">
        <f>vlookup(F1560,DATABASE!C:Q,8,false)</f>
        <v>#N/A</v>
      </c>
      <c r="Z1560" s="9"/>
    </row>
    <row r="1561" ht="22.5" customHeight="1">
      <c r="A1561" s="49"/>
      <c r="C1561" s="384"/>
      <c r="D1561" s="93"/>
      <c r="F1561" s="74"/>
      <c r="H1561" s="74"/>
      <c r="I1561" s="74"/>
      <c r="J1561" s="74"/>
      <c r="K1561" s="74" t="str">
        <f>if(F1561="SERVICE",O1561-(O1561*50%),Vlookup(F1561,DATABASE!C:Q,10,false)*G1561)</f>
        <v>#N/A</v>
      </c>
      <c r="L1561" s="74" t="str">
        <f>VLOOKUP(F1561,DATABASE!C:Q,7,FALSE)</f>
        <v>#N/A</v>
      </c>
      <c r="M1561" s="74"/>
      <c r="N1561" s="74">
        <f t="shared" si="11"/>
        <v>0</v>
      </c>
      <c r="O1561" s="74">
        <f t="shared" si="13"/>
        <v>0</v>
      </c>
      <c r="P1561" s="63">
        <f t="shared" si="14"/>
        <v>0</v>
      </c>
      <c r="Q1561" s="63" t="str">
        <f t="shared" si="15"/>
        <v>#N/A</v>
      </c>
      <c r="R1561" s="93" t="str">
        <f>VLOOKUP(F1561,DATABASE!C:Q,4,false)</f>
        <v>#N/A</v>
      </c>
      <c r="S1561" s="93" t="str">
        <f>VLOOKUP(F1561,DATABASE!C:P,11,false)</f>
        <v>#N/A</v>
      </c>
      <c r="T1561" s="93" t="str">
        <f>vlookup(F1561,DATABASE!C:Q,8,false)</f>
        <v>#N/A</v>
      </c>
      <c r="Z1561" s="9"/>
    </row>
    <row r="1562" ht="22.5" customHeight="1">
      <c r="A1562" s="49"/>
      <c r="C1562" s="384"/>
      <c r="D1562" s="93"/>
      <c r="F1562" s="74"/>
      <c r="H1562" s="74"/>
      <c r="I1562" s="74"/>
      <c r="J1562" s="74"/>
      <c r="K1562" s="74" t="str">
        <f>if(F1562="SERVICE",O1562-(O1562*50%),Vlookup(F1562,DATABASE!C:Q,10,false)*G1562)</f>
        <v>#N/A</v>
      </c>
      <c r="L1562" s="74" t="str">
        <f>VLOOKUP(F1562,DATABASE!C:Q,7,FALSE)</f>
        <v>#N/A</v>
      </c>
      <c r="M1562" s="74"/>
      <c r="N1562" s="74">
        <f t="shared" si="11"/>
        <v>0</v>
      </c>
      <c r="O1562" s="74">
        <f t="shared" si="13"/>
        <v>0</v>
      </c>
      <c r="P1562" s="63">
        <f t="shared" si="14"/>
        <v>0</v>
      </c>
      <c r="Q1562" s="63" t="str">
        <f t="shared" si="15"/>
        <v>#N/A</v>
      </c>
      <c r="R1562" s="93" t="str">
        <f>VLOOKUP(F1562,DATABASE!C:Q,4,false)</f>
        <v>#N/A</v>
      </c>
      <c r="S1562" s="93" t="str">
        <f>VLOOKUP(F1562,DATABASE!C:P,11,false)</f>
        <v>#N/A</v>
      </c>
      <c r="T1562" s="93" t="str">
        <f>vlookup(F1562,DATABASE!C:Q,8,false)</f>
        <v>#N/A</v>
      </c>
      <c r="Z1562" s="9"/>
    </row>
    <row r="1563" ht="22.5" customHeight="1">
      <c r="A1563" s="49"/>
      <c r="C1563" s="384"/>
      <c r="D1563" s="93"/>
      <c r="F1563" s="74"/>
      <c r="H1563" s="74"/>
      <c r="I1563" s="74"/>
      <c r="J1563" s="74"/>
      <c r="K1563" s="74" t="str">
        <f>if(F1563="SERVICE",O1563-(O1563*50%),Vlookup(F1563,DATABASE!C:Q,10,false)*G1563)</f>
        <v>#N/A</v>
      </c>
      <c r="L1563" s="74" t="str">
        <f>VLOOKUP(F1563,DATABASE!C:Q,7,FALSE)</f>
        <v>#N/A</v>
      </c>
      <c r="M1563" s="74"/>
      <c r="N1563" s="74">
        <f t="shared" si="11"/>
        <v>0</v>
      </c>
      <c r="O1563" s="74">
        <f t="shared" si="13"/>
        <v>0</v>
      </c>
      <c r="P1563" s="63">
        <f t="shared" si="14"/>
        <v>0</v>
      </c>
      <c r="Q1563" s="63" t="str">
        <f t="shared" si="15"/>
        <v>#N/A</v>
      </c>
      <c r="R1563" s="93" t="str">
        <f>VLOOKUP(F1563,DATABASE!C:Q,4,false)</f>
        <v>#N/A</v>
      </c>
      <c r="S1563" s="93" t="str">
        <f>VLOOKUP(F1563,DATABASE!C:P,11,false)</f>
        <v>#N/A</v>
      </c>
      <c r="T1563" s="93" t="str">
        <f>vlookup(F1563,DATABASE!C:Q,8,false)</f>
        <v>#N/A</v>
      </c>
      <c r="Z1563" s="9"/>
    </row>
    <row r="1564" ht="22.5" customHeight="1">
      <c r="A1564" s="49"/>
      <c r="C1564" s="384"/>
      <c r="D1564" s="93"/>
      <c r="F1564" s="74"/>
      <c r="H1564" s="74"/>
      <c r="I1564" s="74"/>
      <c r="J1564" s="74"/>
      <c r="K1564" s="74" t="str">
        <f>if(F1564="SERVICE",O1564-(O1564*50%),Vlookup(F1564,DATABASE!C:Q,10,false)*G1564)</f>
        <v>#N/A</v>
      </c>
      <c r="L1564" s="74" t="str">
        <f>VLOOKUP(F1564,DATABASE!C:Q,7,FALSE)</f>
        <v>#N/A</v>
      </c>
      <c r="M1564" s="74"/>
      <c r="N1564" s="74">
        <f t="shared" si="11"/>
        <v>0</v>
      </c>
      <c r="O1564" s="74">
        <f t="shared" si="13"/>
        <v>0</v>
      </c>
      <c r="P1564" s="63">
        <f t="shared" si="14"/>
        <v>0</v>
      </c>
      <c r="Q1564" s="63" t="str">
        <f t="shared" si="15"/>
        <v>#N/A</v>
      </c>
      <c r="R1564" s="93" t="str">
        <f>VLOOKUP(F1564,DATABASE!C:Q,4,false)</f>
        <v>#N/A</v>
      </c>
      <c r="S1564" s="93" t="str">
        <f>VLOOKUP(F1564,DATABASE!C:P,11,false)</f>
        <v>#N/A</v>
      </c>
      <c r="T1564" s="93" t="str">
        <f>vlookup(F1564,DATABASE!C:Q,8,false)</f>
        <v>#N/A</v>
      </c>
      <c r="Z1564" s="9"/>
    </row>
    <row r="1565" ht="22.5" customHeight="1">
      <c r="A1565" s="49"/>
      <c r="C1565" s="384"/>
      <c r="D1565" s="93"/>
      <c r="F1565" s="74"/>
      <c r="H1565" s="74"/>
      <c r="I1565" s="74"/>
      <c r="J1565" s="74"/>
      <c r="K1565" s="74" t="str">
        <f>if(F1565="SERVICE",O1565-(O1565*50%),Vlookup(F1565,DATABASE!C:Q,10,false)*G1565)</f>
        <v>#N/A</v>
      </c>
      <c r="L1565" s="74" t="str">
        <f>VLOOKUP(F1565,DATABASE!C:Q,7,FALSE)</f>
        <v>#N/A</v>
      </c>
      <c r="M1565" s="74"/>
      <c r="N1565" s="74">
        <f t="shared" si="11"/>
        <v>0</v>
      </c>
      <c r="O1565" s="74">
        <f t="shared" si="13"/>
        <v>0</v>
      </c>
      <c r="P1565" s="63">
        <f t="shared" si="14"/>
        <v>0</v>
      </c>
      <c r="Q1565" s="63" t="str">
        <f t="shared" si="15"/>
        <v>#N/A</v>
      </c>
      <c r="R1565" s="93" t="str">
        <f>VLOOKUP(F1565,DATABASE!C:Q,4,false)</f>
        <v>#N/A</v>
      </c>
      <c r="S1565" s="93" t="str">
        <f>VLOOKUP(F1565,DATABASE!C:P,11,false)</f>
        <v>#N/A</v>
      </c>
      <c r="T1565" s="93" t="str">
        <f>vlookup(F1565,DATABASE!C:Q,8,false)</f>
        <v>#N/A</v>
      </c>
      <c r="Z1565" s="9"/>
    </row>
    <row r="1566" ht="22.5" customHeight="1">
      <c r="A1566" s="49"/>
      <c r="C1566" s="384"/>
      <c r="D1566" s="93"/>
      <c r="F1566" s="74"/>
      <c r="H1566" s="74"/>
      <c r="I1566" s="74"/>
      <c r="J1566" s="74"/>
      <c r="K1566" s="74" t="str">
        <f>if(F1566="SERVICE",O1566-(O1566*50%),Vlookup(F1566,DATABASE!C:Q,10,false)*G1566)</f>
        <v>#N/A</v>
      </c>
      <c r="L1566" s="74" t="str">
        <f>VLOOKUP(F1566,DATABASE!C:Q,7,FALSE)</f>
        <v>#N/A</v>
      </c>
      <c r="M1566" s="74"/>
      <c r="N1566" s="74">
        <f t="shared" si="11"/>
        <v>0</v>
      </c>
      <c r="O1566" s="74">
        <f t="shared" si="13"/>
        <v>0</v>
      </c>
      <c r="P1566" s="63">
        <f t="shared" si="14"/>
        <v>0</v>
      </c>
      <c r="Q1566" s="63" t="str">
        <f t="shared" si="15"/>
        <v>#N/A</v>
      </c>
      <c r="R1566" s="93" t="str">
        <f>VLOOKUP(F1566,DATABASE!C:Q,4,false)</f>
        <v>#N/A</v>
      </c>
      <c r="S1566" s="93" t="str">
        <f>VLOOKUP(F1566,DATABASE!C:P,11,false)</f>
        <v>#N/A</v>
      </c>
      <c r="T1566" s="93" t="str">
        <f>vlookup(F1566,DATABASE!C:Q,8,false)</f>
        <v>#N/A</v>
      </c>
      <c r="Z1566" s="9"/>
    </row>
    <row r="1567" ht="22.5" customHeight="1">
      <c r="A1567" s="49"/>
      <c r="C1567" s="384"/>
      <c r="D1567" s="93"/>
      <c r="F1567" s="74"/>
      <c r="H1567" s="74"/>
      <c r="I1567" s="74"/>
      <c r="J1567" s="74"/>
      <c r="K1567" s="74" t="str">
        <f>if(F1567="SERVICE",O1567-(O1567*50%),Vlookup(F1567,DATABASE!C:Q,10,false)*G1567)</f>
        <v>#N/A</v>
      </c>
      <c r="L1567" s="74" t="str">
        <f>VLOOKUP(F1567,DATABASE!C:Q,7,FALSE)</f>
        <v>#N/A</v>
      </c>
      <c r="M1567" s="74"/>
      <c r="N1567" s="74">
        <f t="shared" si="11"/>
        <v>0</v>
      </c>
      <c r="O1567" s="74">
        <f t="shared" si="13"/>
        <v>0</v>
      </c>
      <c r="P1567" s="63">
        <f t="shared" si="14"/>
        <v>0</v>
      </c>
      <c r="Q1567" s="63" t="str">
        <f t="shared" si="15"/>
        <v>#N/A</v>
      </c>
      <c r="R1567" s="93" t="str">
        <f>VLOOKUP(F1567,DATABASE!C:Q,4,false)</f>
        <v>#N/A</v>
      </c>
      <c r="S1567" s="93" t="str">
        <f>VLOOKUP(F1567,DATABASE!C:P,11,false)</f>
        <v>#N/A</v>
      </c>
      <c r="T1567" s="93" t="str">
        <f>vlookup(F1567,DATABASE!C:Q,8,false)</f>
        <v>#N/A</v>
      </c>
      <c r="Z1567" s="9"/>
    </row>
    <row r="1568" ht="22.5" customHeight="1">
      <c r="A1568" s="49"/>
      <c r="C1568" s="384"/>
      <c r="D1568" s="93"/>
      <c r="F1568" s="74"/>
      <c r="H1568" s="74"/>
      <c r="I1568" s="74"/>
      <c r="J1568" s="74"/>
      <c r="K1568" s="74" t="str">
        <f>if(F1568="SERVICE",O1568-(O1568*50%),Vlookup(F1568,DATABASE!C:Q,10,false)*G1568)</f>
        <v>#N/A</v>
      </c>
      <c r="L1568" s="74" t="str">
        <f>VLOOKUP(F1568,DATABASE!C:Q,7,FALSE)</f>
        <v>#N/A</v>
      </c>
      <c r="M1568" s="74"/>
      <c r="N1568" s="74">
        <f t="shared" si="11"/>
        <v>0</v>
      </c>
      <c r="O1568" s="74">
        <f t="shared" si="13"/>
        <v>0</v>
      </c>
      <c r="P1568" s="63">
        <f t="shared" si="14"/>
        <v>0</v>
      </c>
      <c r="Q1568" s="63" t="str">
        <f t="shared" si="15"/>
        <v>#N/A</v>
      </c>
      <c r="R1568" s="93" t="str">
        <f>VLOOKUP(F1568,DATABASE!C:Q,4,false)</f>
        <v>#N/A</v>
      </c>
      <c r="S1568" s="93" t="str">
        <f>VLOOKUP(F1568,DATABASE!C:P,11,false)</f>
        <v>#N/A</v>
      </c>
      <c r="T1568" s="93" t="str">
        <f>vlookup(F1568,DATABASE!C:Q,8,false)</f>
        <v>#N/A</v>
      </c>
      <c r="Z1568" s="9"/>
    </row>
    <row r="1569" ht="22.5" customHeight="1">
      <c r="A1569" s="49"/>
      <c r="C1569" s="384"/>
      <c r="D1569" s="93"/>
      <c r="F1569" s="74"/>
      <c r="H1569" s="74"/>
      <c r="I1569" s="74"/>
      <c r="J1569" s="74"/>
      <c r="K1569" s="74" t="str">
        <f>if(F1569="SERVICE",O1569-(O1569*50%),Vlookup(F1569,DATABASE!C:Q,10,false)*G1569)</f>
        <v>#N/A</v>
      </c>
      <c r="L1569" s="74" t="str">
        <f>VLOOKUP(F1569,DATABASE!C:Q,7,FALSE)</f>
        <v>#N/A</v>
      </c>
      <c r="M1569" s="74"/>
      <c r="N1569" s="74">
        <f t="shared" si="11"/>
        <v>0</v>
      </c>
      <c r="O1569" s="74">
        <f t="shared" si="13"/>
        <v>0</v>
      </c>
      <c r="P1569" s="63">
        <f t="shared" si="14"/>
        <v>0</v>
      </c>
      <c r="Q1569" s="63" t="str">
        <f t="shared" si="15"/>
        <v>#N/A</v>
      </c>
      <c r="R1569" s="93" t="str">
        <f>VLOOKUP(F1569,DATABASE!C:Q,4,false)</f>
        <v>#N/A</v>
      </c>
      <c r="S1569" s="93" t="str">
        <f>VLOOKUP(F1569,DATABASE!C:P,11,false)</f>
        <v>#N/A</v>
      </c>
      <c r="T1569" s="93" t="str">
        <f>vlookup(F1569,DATABASE!C:Q,8,false)</f>
        <v>#N/A</v>
      </c>
      <c r="Z1569" s="9"/>
    </row>
    <row r="1570" ht="22.5" customHeight="1">
      <c r="A1570" s="49"/>
      <c r="C1570" s="384"/>
      <c r="D1570" s="93"/>
      <c r="F1570" s="74"/>
      <c r="H1570" s="74"/>
      <c r="I1570" s="74"/>
      <c r="J1570" s="74"/>
      <c r="K1570" s="74" t="str">
        <f>if(F1570="SERVICE",O1570-(O1570*50%),Vlookup(F1570,DATABASE!C:Q,10,false)*G1570)</f>
        <v>#N/A</v>
      </c>
      <c r="L1570" s="74" t="str">
        <f>VLOOKUP(F1570,DATABASE!C:Q,7,FALSE)</f>
        <v>#N/A</v>
      </c>
      <c r="M1570" s="74"/>
      <c r="N1570" s="74">
        <f t="shared" si="11"/>
        <v>0</v>
      </c>
      <c r="O1570" s="74">
        <f t="shared" si="13"/>
        <v>0</v>
      </c>
      <c r="P1570" s="63">
        <f t="shared" si="14"/>
        <v>0</v>
      </c>
      <c r="Q1570" s="63" t="str">
        <f t="shared" si="15"/>
        <v>#N/A</v>
      </c>
      <c r="R1570" s="93" t="str">
        <f>VLOOKUP(F1570,DATABASE!C:Q,4,false)</f>
        <v>#N/A</v>
      </c>
      <c r="S1570" s="93" t="str">
        <f>VLOOKUP(F1570,DATABASE!C:P,11,false)</f>
        <v>#N/A</v>
      </c>
      <c r="T1570" s="93" t="str">
        <f>vlookup(F1570,DATABASE!C:Q,8,false)</f>
        <v>#N/A</v>
      </c>
      <c r="Z1570" s="9"/>
    </row>
    <row r="1571" ht="22.5" customHeight="1">
      <c r="A1571" s="49"/>
      <c r="C1571" s="384"/>
      <c r="D1571" s="93"/>
      <c r="F1571" s="74"/>
      <c r="H1571" s="74"/>
      <c r="I1571" s="74"/>
      <c r="J1571" s="74"/>
      <c r="K1571" s="74" t="str">
        <f>if(F1571="SERVICE",O1571-(O1571*50%),Vlookup(F1571,DATABASE!C:Q,10,false)*G1571)</f>
        <v>#N/A</v>
      </c>
      <c r="L1571" s="74" t="str">
        <f>VLOOKUP(F1571,DATABASE!C:Q,7,FALSE)</f>
        <v>#N/A</v>
      </c>
      <c r="M1571" s="74"/>
      <c r="N1571" s="74">
        <f t="shared" si="11"/>
        <v>0</v>
      </c>
      <c r="O1571" s="74">
        <f t="shared" si="13"/>
        <v>0</v>
      </c>
      <c r="P1571" s="63">
        <f t="shared" si="14"/>
        <v>0</v>
      </c>
      <c r="Q1571" s="63" t="str">
        <f t="shared" si="15"/>
        <v>#N/A</v>
      </c>
      <c r="R1571" s="93" t="str">
        <f>VLOOKUP(F1571,DATABASE!C:Q,4,false)</f>
        <v>#N/A</v>
      </c>
      <c r="S1571" s="93" t="str">
        <f>VLOOKUP(F1571,DATABASE!C:P,11,false)</f>
        <v>#N/A</v>
      </c>
      <c r="T1571" s="93" t="str">
        <f>vlookup(F1571,DATABASE!C:Q,8,false)</f>
        <v>#N/A</v>
      </c>
      <c r="Z1571" s="9"/>
    </row>
    <row r="1572" ht="22.5" customHeight="1">
      <c r="A1572" s="49"/>
      <c r="C1572" s="384"/>
      <c r="D1572" s="93"/>
      <c r="F1572" s="74"/>
      <c r="H1572" s="74"/>
      <c r="I1572" s="74"/>
      <c r="J1572" s="74"/>
      <c r="K1572" s="74" t="str">
        <f>if(F1572="SERVICE",O1572-(O1572*50%),Vlookup(F1572,DATABASE!C:Q,10,false)*G1572)</f>
        <v>#N/A</v>
      </c>
      <c r="L1572" s="74" t="str">
        <f>VLOOKUP(F1572,DATABASE!C:Q,7,FALSE)</f>
        <v>#N/A</v>
      </c>
      <c r="M1572" s="74"/>
      <c r="N1572" s="74">
        <f t="shared" si="11"/>
        <v>0</v>
      </c>
      <c r="O1572" s="74">
        <f t="shared" si="13"/>
        <v>0</v>
      </c>
      <c r="P1572" s="63">
        <f t="shared" si="14"/>
        <v>0</v>
      </c>
      <c r="Q1572" s="63" t="str">
        <f t="shared" si="15"/>
        <v>#N/A</v>
      </c>
      <c r="R1572" s="93" t="str">
        <f>VLOOKUP(F1572,DATABASE!C:Q,4,false)</f>
        <v>#N/A</v>
      </c>
      <c r="S1572" s="93" t="str">
        <f>VLOOKUP(F1572,DATABASE!C:P,11,false)</f>
        <v>#N/A</v>
      </c>
      <c r="T1572" s="93" t="str">
        <f>vlookup(F1572,DATABASE!C:Q,8,false)</f>
        <v>#N/A</v>
      </c>
      <c r="Z1572" s="9"/>
    </row>
    <row r="1573" ht="22.5" customHeight="1">
      <c r="A1573" s="49"/>
      <c r="C1573" s="384"/>
      <c r="D1573" s="93"/>
      <c r="F1573" s="74"/>
      <c r="H1573" s="74"/>
      <c r="I1573" s="74"/>
      <c r="J1573" s="74"/>
      <c r="K1573" s="74" t="str">
        <f>if(F1573="SERVICE",O1573-(O1573*50%),Vlookup(F1573,DATABASE!C:Q,10,false)*G1573)</f>
        <v>#N/A</v>
      </c>
      <c r="L1573" s="74" t="str">
        <f>VLOOKUP(F1573,DATABASE!C:Q,7,FALSE)</f>
        <v>#N/A</v>
      </c>
      <c r="M1573" s="74"/>
      <c r="N1573" s="74">
        <f t="shared" si="11"/>
        <v>0</v>
      </c>
      <c r="O1573" s="74">
        <f t="shared" si="13"/>
        <v>0</v>
      </c>
      <c r="P1573" s="63">
        <f t="shared" si="14"/>
        <v>0</v>
      </c>
      <c r="Q1573" s="63" t="str">
        <f t="shared" si="15"/>
        <v>#N/A</v>
      </c>
      <c r="R1573" s="93" t="str">
        <f>VLOOKUP(F1573,DATABASE!C:Q,4,false)</f>
        <v>#N/A</v>
      </c>
      <c r="S1573" s="93" t="str">
        <f>VLOOKUP(F1573,DATABASE!C:P,11,false)</f>
        <v>#N/A</v>
      </c>
      <c r="T1573" s="93" t="str">
        <f>vlookup(F1573,DATABASE!C:Q,8,false)</f>
        <v>#N/A</v>
      </c>
      <c r="Z1573" s="9"/>
    </row>
    <row r="1574" ht="22.5" customHeight="1">
      <c r="A1574" s="49"/>
      <c r="C1574" s="384"/>
      <c r="D1574" s="93"/>
      <c r="F1574" s="74"/>
      <c r="H1574" s="74"/>
      <c r="I1574" s="74"/>
      <c r="J1574" s="74"/>
      <c r="K1574" s="74" t="str">
        <f>if(F1574="SERVICE",O1574-(O1574*50%),Vlookup(F1574,DATABASE!C:Q,10,false)*G1574)</f>
        <v>#N/A</v>
      </c>
      <c r="L1574" s="74" t="str">
        <f>VLOOKUP(F1574,DATABASE!C:Q,7,FALSE)</f>
        <v>#N/A</v>
      </c>
      <c r="M1574" s="74"/>
      <c r="N1574" s="74">
        <f t="shared" si="11"/>
        <v>0</v>
      </c>
      <c r="O1574" s="74">
        <f t="shared" si="13"/>
        <v>0</v>
      </c>
      <c r="P1574" s="63">
        <f t="shared" si="14"/>
        <v>0</v>
      </c>
      <c r="Q1574" s="63" t="str">
        <f t="shared" si="15"/>
        <v>#N/A</v>
      </c>
      <c r="R1574" s="93" t="str">
        <f>VLOOKUP(F1574,DATABASE!C:Q,4,false)</f>
        <v>#N/A</v>
      </c>
      <c r="S1574" s="93" t="str">
        <f>VLOOKUP(F1574,DATABASE!C:P,11,false)</f>
        <v>#N/A</v>
      </c>
      <c r="T1574" s="93" t="str">
        <f>vlookup(F1574,DATABASE!C:Q,8,false)</f>
        <v>#N/A</v>
      </c>
      <c r="Z1574" s="9"/>
    </row>
    <row r="1575" ht="22.5" customHeight="1">
      <c r="A1575" s="49"/>
      <c r="C1575" s="384"/>
      <c r="D1575" s="93"/>
      <c r="F1575" s="74"/>
      <c r="H1575" s="74"/>
      <c r="I1575" s="74"/>
      <c r="J1575" s="74"/>
      <c r="K1575" s="74" t="str">
        <f>if(F1575="SERVICE",O1575-(O1575*50%),Vlookup(F1575,DATABASE!C:Q,10,false)*G1575)</f>
        <v>#N/A</v>
      </c>
      <c r="L1575" s="74" t="str">
        <f>VLOOKUP(F1575,DATABASE!C:Q,7,FALSE)</f>
        <v>#N/A</v>
      </c>
      <c r="M1575" s="74"/>
      <c r="N1575" s="74">
        <f t="shared" si="11"/>
        <v>0</v>
      </c>
      <c r="O1575" s="74">
        <f t="shared" si="13"/>
        <v>0</v>
      </c>
      <c r="P1575" s="63">
        <f t="shared" si="14"/>
        <v>0</v>
      </c>
      <c r="Q1575" s="63" t="str">
        <f t="shared" si="15"/>
        <v>#N/A</v>
      </c>
      <c r="R1575" s="93" t="str">
        <f>VLOOKUP(F1575,DATABASE!C:Q,4,false)</f>
        <v>#N/A</v>
      </c>
      <c r="S1575" s="93" t="str">
        <f>VLOOKUP(F1575,DATABASE!C:P,11,false)</f>
        <v>#N/A</v>
      </c>
      <c r="T1575" s="93" t="str">
        <f>vlookup(F1575,DATABASE!C:Q,8,false)</f>
        <v>#N/A</v>
      </c>
      <c r="Z1575" s="9"/>
    </row>
    <row r="1576" ht="22.5" customHeight="1">
      <c r="A1576" s="49"/>
      <c r="C1576" s="384"/>
      <c r="D1576" s="93"/>
      <c r="F1576" s="74"/>
      <c r="H1576" s="74"/>
      <c r="I1576" s="74"/>
      <c r="J1576" s="74"/>
      <c r="K1576" s="74" t="str">
        <f>if(F1576="SERVICE",O1576-(O1576*50%),Vlookup(F1576,DATABASE!C:Q,10,false)*G1576)</f>
        <v>#N/A</v>
      </c>
      <c r="L1576" s="74" t="str">
        <f>VLOOKUP(F1576,DATABASE!C:Q,7,FALSE)</f>
        <v>#N/A</v>
      </c>
      <c r="M1576" s="74"/>
      <c r="N1576" s="74">
        <f t="shared" si="11"/>
        <v>0</v>
      </c>
      <c r="O1576" s="74">
        <f t="shared" si="13"/>
        <v>0</v>
      </c>
      <c r="P1576" s="63">
        <f t="shared" si="14"/>
        <v>0</v>
      </c>
      <c r="Q1576" s="63" t="str">
        <f t="shared" si="15"/>
        <v>#N/A</v>
      </c>
      <c r="R1576" s="93" t="str">
        <f>VLOOKUP(F1576,DATABASE!C:Q,4,false)</f>
        <v>#N/A</v>
      </c>
      <c r="S1576" s="93" t="str">
        <f>VLOOKUP(F1576,DATABASE!C:P,11,false)</f>
        <v>#N/A</v>
      </c>
      <c r="T1576" s="93" t="str">
        <f>vlookup(F1576,DATABASE!C:Q,8,false)</f>
        <v>#N/A</v>
      </c>
      <c r="Z1576" s="9"/>
    </row>
    <row r="1577" ht="22.5" customHeight="1">
      <c r="A1577" s="49"/>
      <c r="C1577" s="384"/>
      <c r="D1577" s="93"/>
      <c r="F1577" s="74"/>
      <c r="H1577" s="74"/>
      <c r="I1577" s="74"/>
      <c r="J1577" s="74"/>
      <c r="K1577" s="74" t="str">
        <f>if(F1577="SERVICE",O1577-(O1577*50%),Vlookup(F1577,DATABASE!C:Q,10,false)*G1577)</f>
        <v>#N/A</v>
      </c>
      <c r="L1577" s="74" t="str">
        <f>VLOOKUP(F1577,DATABASE!C:Q,7,FALSE)</f>
        <v>#N/A</v>
      </c>
      <c r="M1577" s="74"/>
      <c r="N1577" s="74">
        <f t="shared" si="11"/>
        <v>0</v>
      </c>
      <c r="O1577" s="74">
        <f t="shared" si="13"/>
        <v>0</v>
      </c>
      <c r="P1577" s="63">
        <f t="shared" si="14"/>
        <v>0</v>
      </c>
      <c r="Q1577" s="63" t="str">
        <f t="shared" si="15"/>
        <v>#N/A</v>
      </c>
      <c r="R1577" s="93" t="str">
        <f>VLOOKUP(F1577,DATABASE!C:Q,4,false)</f>
        <v>#N/A</v>
      </c>
      <c r="S1577" s="93" t="str">
        <f>VLOOKUP(F1577,DATABASE!C:P,11,false)</f>
        <v>#N/A</v>
      </c>
      <c r="T1577" s="93" t="str">
        <f>vlookup(F1577,DATABASE!C:Q,8,false)</f>
        <v>#N/A</v>
      </c>
      <c r="Z1577" s="9"/>
    </row>
    <row r="1578" ht="22.5" customHeight="1">
      <c r="A1578" s="49"/>
      <c r="C1578" s="384"/>
      <c r="D1578" s="93"/>
      <c r="F1578" s="74"/>
      <c r="H1578" s="74"/>
      <c r="I1578" s="74"/>
      <c r="J1578" s="74"/>
      <c r="K1578" s="74" t="str">
        <f>if(F1578="SERVICE",O1578-(O1578*50%),Vlookup(F1578,DATABASE!C:Q,10,false)*G1578)</f>
        <v>#N/A</v>
      </c>
      <c r="L1578" s="74" t="str">
        <f>VLOOKUP(F1578,DATABASE!C:Q,7,FALSE)</f>
        <v>#N/A</v>
      </c>
      <c r="M1578" s="74"/>
      <c r="N1578" s="74">
        <f t="shared" si="11"/>
        <v>0</v>
      </c>
      <c r="O1578" s="74">
        <f t="shared" si="13"/>
        <v>0</v>
      </c>
      <c r="P1578" s="63">
        <f t="shared" si="14"/>
        <v>0</v>
      </c>
      <c r="Q1578" s="63" t="str">
        <f t="shared" si="15"/>
        <v>#N/A</v>
      </c>
      <c r="R1578" s="93" t="str">
        <f>VLOOKUP(F1578,DATABASE!C:Q,4,false)</f>
        <v>#N/A</v>
      </c>
      <c r="S1578" s="93" t="str">
        <f>VLOOKUP(F1578,DATABASE!C:P,11,false)</f>
        <v>#N/A</v>
      </c>
      <c r="T1578" s="93" t="str">
        <f>vlookup(F1578,DATABASE!C:Q,8,false)</f>
        <v>#N/A</v>
      </c>
      <c r="Z1578" s="9"/>
    </row>
    <row r="1579" ht="22.5" customHeight="1">
      <c r="A1579" s="49"/>
      <c r="C1579" s="384"/>
      <c r="D1579" s="93"/>
      <c r="F1579" s="74"/>
      <c r="H1579" s="74"/>
      <c r="I1579" s="74"/>
      <c r="J1579" s="74"/>
      <c r="K1579" s="74" t="str">
        <f>if(F1579="SERVICE",O1579-(O1579*50%),Vlookup(F1579,DATABASE!C:Q,10,false)*G1579)</f>
        <v>#N/A</v>
      </c>
      <c r="L1579" s="74" t="str">
        <f>VLOOKUP(F1579,DATABASE!C:Q,7,FALSE)</f>
        <v>#N/A</v>
      </c>
      <c r="M1579" s="74"/>
      <c r="N1579" s="74">
        <f t="shared" si="11"/>
        <v>0</v>
      </c>
      <c r="O1579" s="74">
        <f t="shared" si="13"/>
        <v>0</v>
      </c>
      <c r="P1579" s="63">
        <f t="shared" si="14"/>
        <v>0</v>
      </c>
      <c r="Q1579" s="63" t="str">
        <f t="shared" si="15"/>
        <v>#N/A</v>
      </c>
      <c r="R1579" s="93" t="str">
        <f>VLOOKUP(F1579,DATABASE!C:Q,4,false)</f>
        <v>#N/A</v>
      </c>
      <c r="S1579" s="93" t="str">
        <f>VLOOKUP(F1579,DATABASE!C:P,11,false)</f>
        <v>#N/A</v>
      </c>
      <c r="T1579" s="93" t="str">
        <f>vlookup(F1579,DATABASE!C:Q,8,false)</f>
        <v>#N/A</v>
      </c>
      <c r="Z1579" s="9"/>
    </row>
    <row r="1580" ht="22.5" customHeight="1">
      <c r="A1580" s="49"/>
      <c r="C1580" s="384"/>
      <c r="D1580" s="93"/>
      <c r="F1580" s="74"/>
      <c r="H1580" s="74"/>
      <c r="I1580" s="74"/>
      <c r="J1580" s="74"/>
      <c r="K1580" s="74" t="str">
        <f>if(F1580="SERVICE",O1580-(O1580*50%),Vlookup(F1580,DATABASE!C:Q,10,false)*G1580)</f>
        <v>#N/A</v>
      </c>
      <c r="L1580" s="74" t="str">
        <f>VLOOKUP(F1580,DATABASE!C:Q,7,FALSE)</f>
        <v>#N/A</v>
      </c>
      <c r="M1580" s="74"/>
      <c r="N1580" s="74">
        <f t="shared" si="11"/>
        <v>0</v>
      </c>
      <c r="O1580" s="74">
        <f t="shared" si="13"/>
        <v>0</v>
      </c>
      <c r="P1580" s="63">
        <f t="shared" si="14"/>
        <v>0</v>
      </c>
      <c r="Q1580" s="63" t="str">
        <f t="shared" si="15"/>
        <v>#N/A</v>
      </c>
      <c r="R1580" s="93" t="str">
        <f>VLOOKUP(F1580,DATABASE!C:Q,4,false)</f>
        <v>#N/A</v>
      </c>
      <c r="S1580" s="93" t="str">
        <f>VLOOKUP(F1580,DATABASE!C:P,11,false)</f>
        <v>#N/A</v>
      </c>
      <c r="T1580" s="93" t="str">
        <f>vlookup(F1580,DATABASE!C:Q,8,false)</f>
        <v>#N/A</v>
      </c>
      <c r="Z1580" s="9"/>
    </row>
    <row r="1581" ht="22.5" customHeight="1">
      <c r="A1581" s="49"/>
      <c r="C1581" s="384"/>
      <c r="D1581" s="93"/>
      <c r="F1581" s="74"/>
      <c r="H1581" s="74"/>
      <c r="I1581" s="74"/>
      <c r="J1581" s="74"/>
      <c r="K1581" s="74" t="str">
        <f>if(F1581="SERVICE",O1581-(O1581*50%),Vlookup(F1581,DATABASE!C:Q,10,false)*G1581)</f>
        <v>#N/A</v>
      </c>
      <c r="L1581" s="74" t="str">
        <f>VLOOKUP(F1581,DATABASE!C:Q,7,FALSE)</f>
        <v>#N/A</v>
      </c>
      <c r="M1581" s="74"/>
      <c r="N1581" s="74">
        <f t="shared" si="11"/>
        <v>0</v>
      </c>
      <c r="O1581" s="74">
        <f t="shared" si="13"/>
        <v>0</v>
      </c>
      <c r="P1581" s="63">
        <f t="shared" si="14"/>
        <v>0</v>
      </c>
      <c r="Q1581" s="63" t="str">
        <f t="shared" si="15"/>
        <v>#N/A</v>
      </c>
      <c r="R1581" s="93" t="str">
        <f>VLOOKUP(F1581,DATABASE!C:Q,4,false)</f>
        <v>#N/A</v>
      </c>
      <c r="S1581" s="93" t="str">
        <f>VLOOKUP(F1581,DATABASE!C:P,11,false)</f>
        <v>#N/A</v>
      </c>
      <c r="T1581" s="93" t="str">
        <f>vlookup(F1581,DATABASE!C:Q,8,false)</f>
        <v>#N/A</v>
      </c>
      <c r="Z1581" s="9"/>
    </row>
    <row r="1582" ht="22.5" customHeight="1">
      <c r="A1582" s="49"/>
      <c r="C1582" s="384"/>
      <c r="D1582" s="93"/>
      <c r="F1582" s="74"/>
      <c r="H1582" s="74"/>
      <c r="I1582" s="74"/>
      <c r="J1582" s="74"/>
      <c r="K1582" s="74" t="str">
        <f>if(F1582="SERVICE",O1582-(O1582*50%),Vlookup(F1582,DATABASE!C:Q,10,false)*G1582)</f>
        <v>#N/A</v>
      </c>
      <c r="L1582" s="74" t="str">
        <f>VLOOKUP(F1582,DATABASE!C:Q,7,FALSE)</f>
        <v>#N/A</v>
      </c>
      <c r="M1582" s="74"/>
      <c r="N1582" s="74">
        <f t="shared" si="11"/>
        <v>0</v>
      </c>
      <c r="O1582" s="74">
        <f t="shared" si="13"/>
        <v>0</v>
      </c>
      <c r="P1582" s="63">
        <f t="shared" si="14"/>
        <v>0</v>
      </c>
      <c r="Q1582" s="63" t="str">
        <f t="shared" si="15"/>
        <v>#N/A</v>
      </c>
      <c r="R1582" s="93" t="str">
        <f>VLOOKUP(F1582,DATABASE!C:Q,4,false)</f>
        <v>#N/A</v>
      </c>
      <c r="S1582" s="93" t="str">
        <f>VLOOKUP(F1582,DATABASE!C:P,11,false)</f>
        <v>#N/A</v>
      </c>
      <c r="T1582" s="93" t="str">
        <f>vlookup(F1582,DATABASE!C:Q,8,false)</f>
        <v>#N/A</v>
      </c>
      <c r="Z1582" s="9"/>
    </row>
    <row r="1583" ht="22.5" customHeight="1">
      <c r="A1583" s="49"/>
      <c r="C1583" s="384"/>
      <c r="D1583" s="93"/>
      <c r="F1583" s="74"/>
      <c r="H1583" s="74"/>
      <c r="I1583" s="74"/>
      <c r="J1583" s="74"/>
      <c r="K1583" s="74" t="str">
        <f>if(F1583="SERVICE",O1583-(O1583*50%),Vlookup(F1583,DATABASE!C:Q,10,false)*G1583)</f>
        <v>#N/A</v>
      </c>
      <c r="L1583" s="74" t="str">
        <f>VLOOKUP(F1583,DATABASE!C:Q,7,FALSE)</f>
        <v>#N/A</v>
      </c>
      <c r="M1583" s="74"/>
      <c r="N1583" s="74">
        <f t="shared" si="11"/>
        <v>0</v>
      </c>
      <c r="O1583" s="74">
        <f t="shared" si="13"/>
        <v>0</v>
      </c>
      <c r="P1583" s="63">
        <f t="shared" si="14"/>
        <v>0</v>
      </c>
      <c r="Q1583" s="63" t="str">
        <f t="shared" si="15"/>
        <v>#N/A</v>
      </c>
      <c r="R1583" s="93" t="str">
        <f>VLOOKUP(F1583,DATABASE!C:Q,4,false)</f>
        <v>#N/A</v>
      </c>
      <c r="S1583" s="93" t="str">
        <f>VLOOKUP(F1583,DATABASE!C:P,11,false)</f>
        <v>#N/A</v>
      </c>
      <c r="T1583" s="93" t="str">
        <f>vlookup(F1583,DATABASE!C:Q,8,false)</f>
        <v>#N/A</v>
      </c>
      <c r="Z1583" s="9"/>
    </row>
    <row r="1584" ht="22.5" customHeight="1">
      <c r="A1584" s="49"/>
      <c r="C1584" s="384"/>
      <c r="D1584" s="93"/>
      <c r="F1584" s="74"/>
      <c r="H1584" s="74"/>
      <c r="I1584" s="74"/>
      <c r="J1584" s="74"/>
      <c r="K1584" s="74" t="str">
        <f>if(F1584="SERVICE",O1584-(O1584*50%),Vlookup(F1584,DATABASE!C:Q,10,false)*G1584)</f>
        <v>#N/A</v>
      </c>
      <c r="L1584" s="74" t="str">
        <f>VLOOKUP(F1584,DATABASE!C:Q,7,FALSE)</f>
        <v>#N/A</v>
      </c>
      <c r="M1584" s="74"/>
      <c r="N1584" s="74">
        <f t="shared" si="11"/>
        <v>0</v>
      </c>
      <c r="O1584" s="74">
        <f t="shared" si="13"/>
        <v>0</v>
      </c>
      <c r="P1584" s="63">
        <f t="shared" si="14"/>
        <v>0</v>
      </c>
      <c r="Q1584" s="63" t="str">
        <f t="shared" si="15"/>
        <v>#N/A</v>
      </c>
      <c r="R1584" s="93" t="str">
        <f>VLOOKUP(F1584,DATABASE!C:Q,4,false)</f>
        <v>#N/A</v>
      </c>
      <c r="S1584" s="93" t="str">
        <f>VLOOKUP(F1584,DATABASE!C:P,11,false)</f>
        <v>#N/A</v>
      </c>
      <c r="T1584" s="93" t="str">
        <f>vlookup(F1584,DATABASE!C:Q,8,false)</f>
        <v>#N/A</v>
      </c>
      <c r="Z1584" s="9"/>
    </row>
    <row r="1585" ht="22.5" customHeight="1">
      <c r="A1585" s="49"/>
      <c r="C1585" s="384"/>
      <c r="D1585" s="93"/>
      <c r="F1585" s="74"/>
      <c r="H1585" s="74"/>
      <c r="I1585" s="74"/>
      <c r="J1585" s="74"/>
      <c r="K1585" s="74" t="str">
        <f>if(F1585="SERVICE",O1585-(O1585*50%),Vlookup(F1585,DATABASE!C:Q,10,false)*G1585)</f>
        <v>#N/A</v>
      </c>
      <c r="L1585" s="74" t="str">
        <f>VLOOKUP(F1585,DATABASE!C:Q,7,FALSE)</f>
        <v>#N/A</v>
      </c>
      <c r="M1585" s="74"/>
      <c r="N1585" s="74">
        <f t="shared" si="11"/>
        <v>0</v>
      </c>
      <c r="O1585" s="74">
        <f t="shared" si="13"/>
        <v>0</v>
      </c>
      <c r="P1585" s="63">
        <f t="shared" si="14"/>
        <v>0</v>
      </c>
      <c r="Q1585" s="63" t="str">
        <f t="shared" si="15"/>
        <v>#N/A</v>
      </c>
      <c r="R1585" s="93" t="str">
        <f>VLOOKUP(F1585,DATABASE!C:Q,4,false)</f>
        <v>#N/A</v>
      </c>
      <c r="S1585" s="93" t="str">
        <f>VLOOKUP(F1585,DATABASE!C:P,11,false)</f>
        <v>#N/A</v>
      </c>
      <c r="T1585" s="93" t="str">
        <f>vlookup(F1585,DATABASE!C:Q,8,false)</f>
        <v>#N/A</v>
      </c>
      <c r="Z1585" s="9"/>
    </row>
    <row r="1586" ht="22.5" customHeight="1">
      <c r="A1586" s="49"/>
      <c r="C1586" s="384"/>
      <c r="D1586" s="93"/>
      <c r="F1586" s="74"/>
      <c r="H1586" s="74"/>
      <c r="I1586" s="74"/>
      <c r="J1586" s="74"/>
      <c r="K1586" s="74" t="str">
        <f>if(F1586="SERVICE",O1586-(O1586*50%),Vlookup(F1586,DATABASE!C:Q,10,false)*G1586)</f>
        <v>#N/A</v>
      </c>
      <c r="L1586" s="74" t="str">
        <f>VLOOKUP(F1586,DATABASE!C:Q,7,FALSE)</f>
        <v>#N/A</v>
      </c>
      <c r="M1586" s="74"/>
      <c r="N1586" s="74">
        <f t="shared" si="11"/>
        <v>0</v>
      </c>
      <c r="O1586" s="74">
        <f t="shared" si="13"/>
        <v>0</v>
      </c>
      <c r="P1586" s="63">
        <f t="shared" si="14"/>
        <v>0</v>
      </c>
      <c r="Q1586" s="63" t="str">
        <f t="shared" si="15"/>
        <v>#N/A</v>
      </c>
      <c r="R1586" s="93" t="str">
        <f>VLOOKUP(F1586,DATABASE!C:Q,4,false)</f>
        <v>#N/A</v>
      </c>
      <c r="S1586" s="93" t="str">
        <f>VLOOKUP(F1586,DATABASE!C:P,11,false)</f>
        <v>#N/A</v>
      </c>
      <c r="T1586" s="93" t="str">
        <f>vlookup(F1586,DATABASE!C:Q,8,false)</f>
        <v>#N/A</v>
      </c>
      <c r="Z1586" s="9"/>
    </row>
    <row r="1587" ht="22.5" customHeight="1">
      <c r="A1587" s="49"/>
      <c r="C1587" s="384"/>
      <c r="D1587" s="93"/>
      <c r="F1587" s="74"/>
      <c r="H1587" s="74"/>
      <c r="I1587" s="74"/>
      <c r="J1587" s="74"/>
      <c r="K1587" s="74" t="str">
        <f>if(F1587="SERVICE",O1587-(O1587*50%),Vlookup(F1587,DATABASE!C:Q,10,false)*G1587)</f>
        <v>#N/A</v>
      </c>
      <c r="L1587" s="74" t="str">
        <f>VLOOKUP(F1587,DATABASE!C:Q,7,FALSE)</f>
        <v>#N/A</v>
      </c>
      <c r="M1587" s="74"/>
      <c r="N1587" s="74">
        <f t="shared" si="11"/>
        <v>0</v>
      </c>
      <c r="O1587" s="74">
        <f t="shared" si="13"/>
        <v>0</v>
      </c>
      <c r="P1587" s="63">
        <f t="shared" si="14"/>
        <v>0</v>
      </c>
      <c r="Q1587" s="63" t="str">
        <f t="shared" si="15"/>
        <v>#N/A</v>
      </c>
      <c r="R1587" s="93" t="str">
        <f>VLOOKUP(F1587,DATABASE!C:Q,4,false)</f>
        <v>#N/A</v>
      </c>
      <c r="S1587" s="93" t="str">
        <f>VLOOKUP(F1587,DATABASE!C:P,11,false)</f>
        <v>#N/A</v>
      </c>
      <c r="T1587" s="93" t="str">
        <f>vlookup(F1587,DATABASE!C:Q,8,false)</f>
        <v>#N/A</v>
      </c>
      <c r="Z1587" s="9"/>
    </row>
    <row r="1588" ht="22.5" customHeight="1">
      <c r="A1588" s="49"/>
      <c r="C1588" s="384"/>
      <c r="D1588" s="93"/>
      <c r="F1588" s="74"/>
      <c r="H1588" s="74"/>
      <c r="I1588" s="74"/>
      <c r="J1588" s="74"/>
      <c r="K1588" s="74" t="str">
        <f>if(F1588="SERVICE",O1588-(O1588*50%),Vlookup(F1588,DATABASE!C:Q,10,false)*G1588)</f>
        <v>#N/A</v>
      </c>
      <c r="L1588" s="74" t="str">
        <f>VLOOKUP(F1588,DATABASE!C:Q,7,FALSE)</f>
        <v>#N/A</v>
      </c>
      <c r="M1588" s="74"/>
      <c r="N1588" s="74">
        <f t="shared" si="11"/>
        <v>0</v>
      </c>
      <c r="O1588" s="74">
        <f t="shared" si="13"/>
        <v>0</v>
      </c>
      <c r="P1588" s="63">
        <f t="shared" si="14"/>
        <v>0</v>
      </c>
      <c r="Q1588" s="63" t="str">
        <f t="shared" si="15"/>
        <v>#N/A</v>
      </c>
      <c r="R1588" s="93" t="str">
        <f>VLOOKUP(F1588,DATABASE!C:Q,4,false)</f>
        <v>#N/A</v>
      </c>
      <c r="S1588" s="93" t="str">
        <f>VLOOKUP(F1588,DATABASE!C:P,11,false)</f>
        <v>#N/A</v>
      </c>
      <c r="T1588" s="93" t="str">
        <f>vlookup(F1588,DATABASE!C:Q,8,false)</f>
        <v>#N/A</v>
      </c>
      <c r="Z1588" s="9"/>
    </row>
    <row r="1589" ht="22.5" customHeight="1">
      <c r="A1589" s="49"/>
      <c r="C1589" s="384"/>
      <c r="D1589" s="93"/>
      <c r="F1589" s="74"/>
      <c r="H1589" s="74"/>
      <c r="I1589" s="74"/>
      <c r="J1589" s="74"/>
      <c r="K1589" s="74" t="str">
        <f>if(F1589="SERVICE",O1589-(O1589*50%),Vlookup(F1589,DATABASE!C:Q,10,false)*G1589)</f>
        <v>#N/A</v>
      </c>
      <c r="L1589" s="74" t="str">
        <f>VLOOKUP(F1589,DATABASE!C:Q,7,FALSE)</f>
        <v>#N/A</v>
      </c>
      <c r="M1589" s="74"/>
      <c r="N1589" s="74">
        <f t="shared" si="11"/>
        <v>0</v>
      </c>
      <c r="O1589" s="74">
        <f t="shared" si="13"/>
        <v>0</v>
      </c>
      <c r="P1589" s="63">
        <f t="shared" si="14"/>
        <v>0</v>
      </c>
      <c r="Q1589" s="63" t="str">
        <f t="shared" si="15"/>
        <v>#N/A</v>
      </c>
      <c r="R1589" s="93" t="str">
        <f>VLOOKUP(F1589,DATABASE!C:Q,4,false)</f>
        <v>#N/A</v>
      </c>
      <c r="S1589" s="93" t="str">
        <f>VLOOKUP(F1589,DATABASE!C:P,11,false)</f>
        <v>#N/A</v>
      </c>
      <c r="T1589" s="93" t="str">
        <f>vlookup(F1589,DATABASE!C:Q,8,false)</f>
        <v>#N/A</v>
      </c>
      <c r="Z1589" s="9"/>
    </row>
    <row r="1590" ht="22.5" customHeight="1">
      <c r="A1590" s="49"/>
      <c r="C1590" s="384"/>
      <c r="D1590" s="93"/>
      <c r="F1590" s="74"/>
      <c r="H1590" s="74"/>
      <c r="I1590" s="74"/>
      <c r="J1590" s="74"/>
      <c r="K1590" s="74" t="str">
        <f>if(F1590="SERVICE",O1590-(O1590*50%),Vlookup(F1590,DATABASE!C:Q,10,false)*G1590)</f>
        <v>#N/A</v>
      </c>
      <c r="L1590" s="74" t="str">
        <f>VLOOKUP(F1590,DATABASE!C:Q,7,FALSE)</f>
        <v>#N/A</v>
      </c>
      <c r="M1590" s="74"/>
      <c r="N1590" s="74">
        <f t="shared" si="11"/>
        <v>0</v>
      </c>
      <c r="O1590" s="74">
        <f t="shared" si="13"/>
        <v>0</v>
      </c>
      <c r="P1590" s="63">
        <f t="shared" si="14"/>
        <v>0</v>
      </c>
      <c r="Q1590" s="63" t="str">
        <f t="shared" si="15"/>
        <v>#N/A</v>
      </c>
      <c r="R1590" s="93" t="str">
        <f>VLOOKUP(F1590,DATABASE!C:Q,4,false)</f>
        <v>#N/A</v>
      </c>
      <c r="S1590" s="93" t="str">
        <f>VLOOKUP(F1590,DATABASE!C:P,11,false)</f>
        <v>#N/A</v>
      </c>
      <c r="T1590" s="93" t="str">
        <f>vlookup(F1590,DATABASE!C:Q,8,false)</f>
        <v>#N/A</v>
      </c>
      <c r="Z1590" s="9"/>
    </row>
    <row r="1591" ht="22.5" customHeight="1">
      <c r="A1591" s="49"/>
      <c r="C1591" s="384"/>
      <c r="D1591" s="93"/>
      <c r="F1591" s="74"/>
      <c r="H1591" s="74"/>
      <c r="I1591" s="74"/>
      <c r="J1591" s="74"/>
      <c r="K1591" s="74" t="str">
        <f>if(F1591="SERVICE",O1591-(O1591*50%),Vlookup(F1591,DATABASE!C:Q,10,false)*G1591)</f>
        <v>#N/A</v>
      </c>
      <c r="L1591" s="74" t="str">
        <f>VLOOKUP(F1591,DATABASE!C:Q,7,FALSE)</f>
        <v>#N/A</v>
      </c>
      <c r="M1591" s="74"/>
      <c r="N1591" s="74">
        <f t="shared" si="11"/>
        <v>0</v>
      </c>
      <c r="O1591" s="74">
        <f t="shared" si="13"/>
        <v>0</v>
      </c>
      <c r="P1591" s="63">
        <f t="shared" si="14"/>
        <v>0</v>
      </c>
      <c r="Q1591" s="63" t="str">
        <f t="shared" si="15"/>
        <v>#N/A</v>
      </c>
      <c r="R1591" s="93" t="str">
        <f>VLOOKUP(F1591,DATABASE!C:Q,4,false)</f>
        <v>#N/A</v>
      </c>
      <c r="S1591" s="93" t="str">
        <f>VLOOKUP(F1591,DATABASE!C:P,11,false)</f>
        <v>#N/A</v>
      </c>
      <c r="T1591" s="93" t="str">
        <f>vlookup(F1591,DATABASE!C:Q,8,false)</f>
        <v>#N/A</v>
      </c>
      <c r="Z1591" s="9"/>
    </row>
    <row r="1592" ht="22.5" customHeight="1">
      <c r="A1592" s="49"/>
      <c r="C1592" s="384"/>
      <c r="D1592" s="93"/>
      <c r="F1592" s="74"/>
      <c r="H1592" s="74"/>
      <c r="I1592" s="74"/>
      <c r="J1592" s="74"/>
      <c r="K1592" s="74" t="str">
        <f>if(F1592="SERVICE",O1592-(O1592*50%),Vlookup(F1592,DATABASE!C:Q,10,false)*G1592)</f>
        <v>#N/A</v>
      </c>
      <c r="L1592" s="74" t="str">
        <f>VLOOKUP(F1592,DATABASE!C:Q,7,FALSE)</f>
        <v>#N/A</v>
      </c>
      <c r="M1592" s="74"/>
      <c r="N1592" s="74">
        <f t="shared" si="11"/>
        <v>0</v>
      </c>
      <c r="O1592" s="74">
        <f t="shared" si="13"/>
        <v>0</v>
      </c>
      <c r="P1592" s="63">
        <f t="shared" si="14"/>
        <v>0</v>
      </c>
      <c r="Q1592" s="63" t="str">
        <f t="shared" si="15"/>
        <v>#N/A</v>
      </c>
      <c r="R1592" s="93" t="str">
        <f>VLOOKUP(F1592,DATABASE!C:Q,4,false)</f>
        <v>#N/A</v>
      </c>
      <c r="S1592" s="93" t="str">
        <f>VLOOKUP(F1592,DATABASE!C:P,11,false)</f>
        <v>#N/A</v>
      </c>
      <c r="T1592" s="93" t="str">
        <f>vlookup(F1592,DATABASE!C:Q,8,false)</f>
        <v>#N/A</v>
      </c>
      <c r="Z1592" s="9"/>
    </row>
    <row r="1593" ht="22.5" customHeight="1">
      <c r="A1593" s="49"/>
      <c r="C1593" s="384"/>
      <c r="D1593" s="93"/>
      <c r="F1593" s="74"/>
      <c r="H1593" s="74"/>
      <c r="I1593" s="74"/>
      <c r="J1593" s="74"/>
      <c r="K1593" s="74" t="str">
        <f>if(F1593="SERVICE",O1593-(O1593*50%),Vlookup(F1593,DATABASE!C:Q,10,false)*G1593)</f>
        <v>#N/A</v>
      </c>
      <c r="L1593" s="74" t="str">
        <f>VLOOKUP(F1593,DATABASE!C:Q,7,FALSE)</f>
        <v>#N/A</v>
      </c>
      <c r="M1593" s="74"/>
      <c r="N1593" s="74">
        <f t="shared" si="11"/>
        <v>0</v>
      </c>
      <c r="O1593" s="74">
        <f t="shared" si="13"/>
        <v>0</v>
      </c>
      <c r="P1593" s="63">
        <f t="shared" si="14"/>
        <v>0</v>
      </c>
      <c r="Q1593" s="63" t="str">
        <f t="shared" si="15"/>
        <v>#N/A</v>
      </c>
      <c r="R1593" s="93" t="str">
        <f>VLOOKUP(F1593,DATABASE!C:Q,4,false)</f>
        <v>#N/A</v>
      </c>
      <c r="S1593" s="93" t="str">
        <f>VLOOKUP(F1593,DATABASE!C:P,11,false)</f>
        <v>#N/A</v>
      </c>
      <c r="T1593" s="93" t="str">
        <f>vlookup(F1593,DATABASE!C:Q,8,false)</f>
        <v>#N/A</v>
      </c>
      <c r="Z1593" s="9"/>
    </row>
    <row r="1594" ht="22.5" customHeight="1">
      <c r="A1594" s="49"/>
      <c r="C1594" s="384"/>
      <c r="D1594" s="93"/>
      <c r="F1594" s="74"/>
      <c r="H1594" s="74"/>
      <c r="I1594" s="74"/>
      <c r="J1594" s="74"/>
      <c r="K1594" s="74" t="str">
        <f>if(F1594="SERVICE",O1594-(O1594*50%),Vlookup(F1594,DATABASE!C:Q,10,false)*G1594)</f>
        <v>#N/A</v>
      </c>
      <c r="L1594" s="74" t="str">
        <f>VLOOKUP(F1594,DATABASE!C:Q,7,FALSE)</f>
        <v>#N/A</v>
      </c>
      <c r="M1594" s="74"/>
      <c r="N1594" s="74">
        <f t="shared" si="11"/>
        <v>0</v>
      </c>
      <c r="O1594" s="74">
        <f t="shared" si="13"/>
        <v>0</v>
      </c>
      <c r="P1594" s="63">
        <f t="shared" si="14"/>
        <v>0</v>
      </c>
      <c r="Q1594" s="63" t="str">
        <f t="shared" si="15"/>
        <v>#N/A</v>
      </c>
      <c r="R1594" s="93" t="str">
        <f>VLOOKUP(F1594,DATABASE!C:Q,4,false)</f>
        <v>#N/A</v>
      </c>
      <c r="S1594" s="93" t="str">
        <f>VLOOKUP(F1594,DATABASE!C:P,11,false)</f>
        <v>#N/A</v>
      </c>
      <c r="T1594" s="93" t="str">
        <f>vlookup(F1594,DATABASE!C:Q,8,false)</f>
        <v>#N/A</v>
      </c>
      <c r="Z1594" s="9"/>
    </row>
    <row r="1595" ht="22.5" customHeight="1">
      <c r="A1595" s="49"/>
      <c r="C1595" s="384"/>
      <c r="D1595" s="93"/>
      <c r="F1595" s="74"/>
      <c r="H1595" s="74"/>
      <c r="I1595" s="74"/>
      <c r="J1595" s="74"/>
      <c r="K1595" s="74" t="str">
        <f>if(F1595="SERVICE",O1595-(O1595*50%),Vlookup(F1595,DATABASE!C:Q,10,false)*G1595)</f>
        <v>#N/A</v>
      </c>
      <c r="L1595" s="74" t="str">
        <f>VLOOKUP(F1595,DATABASE!C:Q,7,FALSE)</f>
        <v>#N/A</v>
      </c>
      <c r="M1595" s="74"/>
      <c r="N1595" s="74">
        <f t="shared" si="11"/>
        <v>0</v>
      </c>
      <c r="O1595" s="74">
        <f t="shared" si="13"/>
        <v>0</v>
      </c>
      <c r="P1595" s="63">
        <f t="shared" si="14"/>
        <v>0</v>
      </c>
      <c r="Q1595" s="63" t="str">
        <f t="shared" si="15"/>
        <v>#N/A</v>
      </c>
      <c r="R1595" s="93" t="str">
        <f>VLOOKUP(F1595,DATABASE!C:Q,4,false)</f>
        <v>#N/A</v>
      </c>
      <c r="S1595" s="93" t="str">
        <f>VLOOKUP(F1595,DATABASE!C:P,11,false)</f>
        <v>#N/A</v>
      </c>
      <c r="T1595" s="93" t="str">
        <f>vlookup(F1595,DATABASE!C:Q,8,false)</f>
        <v>#N/A</v>
      </c>
      <c r="Z1595" s="9"/>
    </row>
    <row r="1596" ht="22.5" customHeight="1">
      <c r="A1596" s="49"/>
      <c r="C1596" s="384"/>
      <c r="D1596" s="93"/>
      <c r="F1596" s="74"/>
      <c r="H1596" s="74"/>
      <c r="I1596" s="74"/>
      <c r="J1596" s="74"/>
      <c r="K1596" s="74" t="str">
        <f>if(F1596="SERVICE",O1596-(O1596*50%),Vlookup(F1596,DATABASE!C:Q,10,false)*G1596)</f>
        <v>#N/A</v>
      </c>
      <c r="L1596" s="74" t="str">
        <f>VLOOKUP(F1596,DATABASE!C:Q,7,FALSE)</f>
        <v>#N/A</v>
      </c>
      <c r="M1596" s="74"/>
      <c r="N1596" s="74">
        <f t="shared" si="11"/>
        <v>0</v>
      </c>
      <c r="O1596" s="74">
        <f t="shared" si="13"/>
        <v>0</v>
      </c>
      <c r="P1596" s="63">
        <f t="shared" si="14"/>
        <v>0</v>
      </c>
      <c r="Q1596" s="63" t="str">
        <f t="shared" si="15"/>
        <v>#N/A</v>
      </c>
      <c r="R1596" s="93" t="str">
        <f>VLOOKUP(F1596,DATABASE!C:Q,4,false)</f>
        <v>#N/A</v>
      </c>
      <c r="S1596" s="93" t="str">
        <f>VLOOKUP(F1596,DATABASE!C:P,11,false)</f>
        <v>#N/A</v>
      </c>
      <c r="T1596" s="93" t="str">
        <f>vlookup(F1596,DATABASE!C:Q,8,false)</f>
        <v>#N/A</v>
      </c>
      <c r="Z1596" s="9"/>
    </row>
    <row r="1597" ht="22.5" customHeight="1">
      <c r="A1597" s="49"/>
      <c r="C1597" s="384"/>
      <c r="D1597" s="93"/>
      <c r="F1597" s="74"/>
      <c r="H1597" s="74"/>
      <c r="I1597" s="74"/>
      <c r="J1597" s="74"/>
      <c r="K1597" s="74" t="str">
        <f>if(F1597="SERVICE",O1597-(O1597*50%),Vlookup(F1597,DATABASE!C:Q,10,false)*G1597)</f>
        <v>#N/A</v>
      </c>
      <c r="L1597" s="74" t="str">
        <f>VLOOKUP(F1597,DATABASE!C:Q,7,FALSE)</f>
        <v>#N/A</v>
      </c>
      <c r="M1597" s="74"/>
      <c r="N1597" s="74">
        <f t="shared" si="11"/>
        <v>0</v>
      </c>
      <c r="O1597" s="74">
        <f t="shared" si="13"/>
        <v>0</v>
      </c>
      <c r="P1597" s="63">
        <f t="shared" si="14"/>
        <v>0</v>
      </c>
      <c r="Q1597" s="63" t="str">
        <f t="shared" si="15"/>
        <v>#N/A</v>
      </c>
      <c r="R1597" s="93" t="str">
        <f>VLOOKUP(F1597,DATABASE!C:Q,4,false)</f>
        <v>#N/A</v>
      </c>
      <c r="S1597" s="93" t="str">
        <f>VLOOKUP(F1597,DATABASE!C:P,11,false)</f>
        <v>#N/A</v>
      </c>
      <c r="T1597" s="93" t="str">
        <f>vlookup(F1597,DATABASE!C:Q,8,false)</f>
        <v>#N/A</v>
      </c>
      <c r="Z1597" s="9"/>
    </row>
    <row r="1598" ht="22.5" customHeight="1">
      <c r="A1598" s="49"/>
      <c r="C1598" s="384"/>
      <c r="D1598" s="93"/>
      <c r="F1598" s="74"/>
      <c r="H1598" s="74"/>
      <c r="I1598" s="74"/>
      <c r="J1598" s="74"/>
      <c r="K1598" s="74" t="str">
        <f>if(F1598="SERVICE",O1598-(O1598*50%),Vlookup(F1598,DATABASE!C:Q,10,false)*G1598)</f>
        <v>#N/A</v>
      </c>
      <c r="L1598" s="74" t="str">
        <f>VLOOKUP(F1598,DATABASE!C:Q,7,FALSE)</f>
        <v>#N/A</v>
      </c>
      <c r="M1598" s="74"/>
      <c r="N1598" s="74">
        <f t="shared" si="11"/>
        <v>0</v>
      </c>
      <c r="O1598" s="74">
        <f t="shared" si="13"/>
        <v>0</v>
      </c>
      <c r="P1598" s="63">
        <f t="shared" si="14"/>
        <v>0</v>
      </c>
      <c r="Q1598" s="63" t="str">
        <f t="shared" si="15"/>
        <v>#N/A</v>
      </c>
      <c r="R1598" s="93" t="str">
        <f>VLOOKUP(F1598,DATABASE!C:Q,4,false)</f>
        <v>#N/A</v>
      </c>
      <c r="S1598" s="93" t="str">
        <f>VLOOKUP(F1598,DATABASE!C:P,11,false)</f>
        <v>#N/A</v>
      </c>
      <c r="T1598" s="93" t="str">
        <f>vlookup(F1598,DATABASE!C:Q,8,false)</f>
        <v>#N/A</v>
      </c>
      <c r="Z1598" s="9"/>
    </row>
    <row r="1599" ht="22.5" customHeight="1">
      <c r="A1599" s="49"/>
      <c r="C1599" s="384"/>
      <c r="D1599" s="93"/>
      <c r="F1599" s="74"/>
      <c r="H1599" s="74"/>
      <c r="I1599" s="74"/>
      <c r="J1599" s="74"/>
      <c r="K1599" s="74" t="str">
        <f>if(F1599="SERVICE",O1599-(O1599*50%),Vlookup(F1599,DATABASE!C:Q,10,false)*G1599)</f>
        <v>#N/A</v>
      </c>
      <c r="L1599" s="74" t="str">
        <f>VLOOKUP(F1599,DATABASE!C:Q,7,FALSE)</f>
        <v>#N/A</v>
      </c>
      <c r="M1599" s="74"/>
      <c r="N1599" s="74">
        <f t="shared" si="11"/>
        <v>0</v>
      </c>
      <c r="O1599" s="74">
        <f t="shared" si="13"/>
        <v>0</v>
      </c>
      <c r="P1599" s="63">
        <f t="shared" si="14"/>
        <v>0</v>
      </c>
      <c r="Q1599" s="63" t="str">
        <f t="shared" si="15"/>
        <v>#N/A</v>
      </c>
      <c r="R1599" s="93" t="str">
        <f>VLOOKUP(F1599,DATABASE!C:Q,4,false)</f>
        <v>#N/A</v>
      </c>
      <c r="S1599" s="93" t="str">
        <f>VLOOKUP(F1599,DATABASE!C:P,11,false)</f>
        <v>#N/A</v>
      </c>
      <c r="T1599" s="93" t="str">
        <f>vlookup(F1599,DATABASE!C:Q,8,false)</f>
        <v>#N/A</v>
      </c>
      <c r="Z1599" s="9"/>
    </row>
    <row r="1600" ht="22.5" customHeight="1">
      <c r="A1600" s="49"/>
      <c r="C1600" s="384"/>
      <c r="D1600" s="93"/>
      <c r="F1600" s="74"/>
      <c r="H1600" s="74"/>
      <c r="I1600" s="74"/>
      <c r="J1600" s="74"/>
      <c r="K1600" s="74" t="str">
        <f>if(F1600="SERVICE",O1600-(O1600*50%),Vlookup(F1600,DATABASE!C:Q,10,false)*G1600)</f>
        <v>#N/A</v>
      </c>
      <c r="L1600" s="74" t="str">
        <f>VLOOKUP(F1600,DATABASE!C:Q,7,FALSE)</f>
        <v>#N/A</v>
      </c>
      <c r="M1600" s="74"/>
      <c r="N1600" s="74">
        <f t="shared" si="11"/>
        <v>0</v>
      </c>
      <c r="O1600" s="74">
        <f t="shared" si="13"/>
        <v>0</v>
      </c>
      <c r="P1600" s="63">
        <f t="shared" si="14"/>
        <v>0</v>
      </c>
      <c r="Q1600" s="63" t="str">
        <f t="shared" si="15"/>
        <v>#N/A</v>
      </c>
      <c r="R1600" s="93" t="str">
        <f>VLOOKUP(F1600,DATABASE!C:Q,4,false)</f>
        <v>#N/A</v>
      </c>
      <c r="S1600" s="93" t="str">
        <f>VLOOKUP(F1600,DATABASE!C:P,11,false)</f>
        <v>#N/A</v>
      </c>
      <c r="T1600" s="93" t="str">
        <f>vlookup(F1600,DATABASE!C:Q,8,false)</f>
        <v>#N/A</v>
      </c>
      <c r="Z1600" s="9"/>
    </row>
    <row r="1601" ht="22.5" customHeight="1">
      <c r="A1601" s="49"/>
      <c r="C1601" s="384"/>
      <c r="D1601" s="93"/>
      <c r="F1601" s="74"/>
      <c r="H1601" s="74"/>
      <c r="I1601" s="74"/>
      <c r="J1601" s="74"/>
      <c r="K1601" s="74" t="str">
        <f>if(F1601="SERVICE",O1601-(O1601*50%),Vlookup(F1601,DATABASE!C:Q,10,false)*G1601)</f>
        <v>#N/A</v>
      </c>
      <c r="L1601" s="74" t="str">
        <f>VLOOKUP(F1601,DATABASE!C:Q,7,FALSE)</f>
        <v>#N/A</v>
      </c>
      <c r="M1601" s="74"/>
      <c r="N1601" s="74">
        <f t="shared" si="11"/>
        <v>0</v>
      </c>
      <c r="O1601" s="74">
        <f t="shared" si="13"/>
        <v>0</v>
      </c>
      <c r="P1601" s="63">
        <f t="shared" si="14"/>
        <v>0</v>
      </c>
      <c r="Q1601" s="63" t="str">
        <f t="shared" si="15"/>
        <v>#N/A</v>
      </c>
      <c r="R1601" s="93" t="str">
        <f>VLOOKUP(F1601,DATABASE!C:Q,4,false)</f>
        <v>#N/A</v>
      </c>
      <c r="S1601" s="93" t="str">
        <f>VLOOKUP(F1601,DATABASE!C:P,11,false)</f>
        <v>#N/A</v>
      </c>
      <c r="T1601" s="93" t="str">
        <f>vlookup(F1601,DATABASE!C:Q,8,false)</f>
        <v>#N/A</v>
      </c>
      <c r="Z1601" s="9"/>
    </row>
    <row r="1602" ht="22.5" customHeight="1">
      <c r="A1602" s="49"/>
      <c r="C1602" s="384"/>
      <c r="D1602" s="93"/>
      <c r="F1602" s="74"/>
      <c r="H1602" s="74"/>
      <c r="I1602" s="74"/>
      <c r="J1602" s="74"/>
      <c r="K1602" s="74" t="str">
        <f>if(F1602="SERVICE",O1602-(O1602*50%),Vlookup(F1602,DATABASE!C:Q,10,false)*G1602)</f>
        <v>#N/A</v>
      </c>
      <c r="L1602" s="74" t="str">
        <f>VLOOKUP(F1602,DATABASE!C:Q,7,FALSE)</f>
        <v>#N/A</v>
      </c>
      <c r="M1602" s="74"/>
      <c r="N1602" s="74">
        <f t="shared" si="11"/>
        <v>0</v>
      </c>
      <c r="O1602" s="74">
        <f t="shared" si="13"/>
        <v>0</v>
      </c>
      <c r="P1602" s="63">
        <f t="shared" si="14"/>
        <v>0</v>
      </c>
      <c r="Q1602" s="63" t="str">
        <f t="shared" si="15"/>
        <v>#N/A</v>
      </c>
      <c r="R1602" s="93" t="str">
        <f>VLOOKUP(F1602,DATABASE!C:Q,4,false)</f>
        <v>#N/A</v>
      </c>
      <c r="S1602" s="93" t="str">
        <f>VLOOKUP(F1602,DATABASE!C:P,11,false)</f>
        <v>#N/A</v>
      </c>
      <c r="T1602" s="93" t="str">
        <f>vlookup(F1602,DATABASE!C:Q,8,false)</f>
        <v>#N/A</v>
      </c>
      <c r="Z1602" s="9"/>
    </row>
    <row r="1603" ht="22.5" customHeight="1">
      <c r="A1603" s="49"/>
      <c r="C1603" s="384"/>
      <c r="D1603" s="93"/>
      <c r="F1603" s="74"/>
      <c r="H1603" s="74"/>
      <c r="I1603" s="74"/>
      <c r="J1603" s="74"/>
      <c r="K1603" s="74" t="str">
        <f>if(F1603="SERVICE",O1603-(O1603*50%),Vlookup(F1603,DATABASE!C:Q,10,false)*G1603)</f>
        <v>#N/A</v>
      </c>
      <c r="L1603" s="74" t="str">
        <f>VLOOKUP(F1603,DATABASE!C:Q,7,FALSE)</f>
        <v>#N/A</v>
      </c>
      <c r="M1603" s="74"/>
      <c r="N1603" s="74">
        <f t="shared" si="11"/>
        <v>0</v>
      </c>
      <c r="O1603" s="74">
        <f t="shared" si="13"/>
        <v>0</v>
      </c>
      <c r="P1603" s="63">
        <f t="shared" si="14"/>
        <v>0</v>
      </c>
      <c r="Q1603" s="63" t="str">
        <f t="shared" si="15"/>
        <v>#N/A</v>
      </c>
      <c r="R1603" s="93" t="str">
        <f>VLOOKUP(F1603,DATABASE!C:Q,4,false)</f>
        <v>#N/A</v>
      </c>
      <c r="S1603" s="93" t="str">
        <f>VLOOKUP(F1603,DATABASE!C:P,11,false)</f>
        <v>#N/A</v>
      </c>
      <c r="T1603" s="93" t="str">
        <f>vlookup(F1603,DATABASE!C:Q,8,false)</f>
        <v>#N/A</v>
      </c>
      <c r="Z1603" s="9"/>
    </row>
    <row r="1604" ht="22.5" customHeight="1">
      <c r="A1604" s="49"/>
      <c r="C1604" s="384"/>
      <c r="D1604" s="93"/>
      <c r="F1604" s="74"/>
      <c r="H1604" s="74"/>
      <c r="I1604" s="74"/>
      <c r="J1604" s="74"/>
      <c r="K1604" s="74" t="str">
        <f>if(F1604="SERVICE",O1604-(O1604*50%),Vlookup(F1604,DATABASE!C:Q,10,false)*G1604)</f>
        <v>#N/A</v>
      </c>
      <c r="L1604" s="74" t="str">
        <f>VLOOKUP(F1604,DATABASE!C:Q,7,FALSE)</f>
        <v>#N/A</v>
      </c>
      <c r="M1604" s="74"/>
      <c r="N1604" s="74">
        <f t="shared" si="11"/>
        <v>0</v>
      </c>
      <c r="O1604" s="74">
        <f t="shared" si="13"/>
        <v>0</v>
      </c>
      <c r="P1604" s="63">
        <f t="shared" si="14"/>
        <v>0</v>
      </c>
      <c r="Q1604" s="63" t="str">
        <f t="shared" si="15"/>
        <v>#N/A</v>
      </c>
      <c r="R1604" s="93" t="str">
        <f>VLOOKUP(F1604,DATABASE!C:Q,4,false)</f>
        <v>#N/A</v>
      </c>
      <c r="S1604" s="93" t="str">
        <f>VLOOKUP(F1604,DATABASE!C:P,11,false)</f>
        <v>#N/A</v>
      </c>
      <c r="T1604" s="93" t="str">
        <f>vlookup(F1604,DATABASE!C:Q,8,false)</f>
        <v>#N/A</v>
      </c>
      <c r="Z1604" s="9"/>
    </row>
    <row r="1605" ht="22.5" customHeight="1">
      <c r="A1605" s="49"/>
      <c r="C1605" s="384"/>
      <c r="D1605" s="93"/>
      <c r="F1605" s="74"/>
      <c r="H1605" s="74"/>
      <c r="I1605" s="74"/>
      <c r="J1605" s="74"/>
      <c r="K1605" s="74" t="str">
        <f>if(F1605="SERVICE",O1605-(O1605*50%),Vlookup(F1605,DATABASE!C:Q,10,false)*G1605)</f>
        <v>#N/A</v>
      </c>
      <c r="L1605" s="74" t="str">
        <f>VLOOKUP(F1605,DATABASE!C:Q,7,FALSE)</f>
        <v>#N/A</v>
      </c>
      <c r="M1605" s="74"/>
      <c r="N1605" s="74">
        <f t="shared" si="11"/>
        <v>0</v>
      </c>
      <c r="O1605" s="74">
        <f t="shared" si="13"/>
        <v>0</v>
      </c>
      <c r="P1605" s="63">
        <f t="shared" si="14"/>
        <v>0</v>
      </c>
      <c r="Q1605" s="63" t="str">
        <f t="shared" si="15"/>
        <v>#N/A</v>
      </c>
      <c r="R1605" s="93" t="str">
        <f>VLOOKUP(F1605,DATABASE!C:Q,4,false)</f>
        <v>#N/A</v>
      </c>
      <c r="S1605" s="93" t="str">
        <f>VLOOKUP(F1605,DATABASE!C:P,11,false)</f>
        <v>#N/A</v>
      </c>
      <c r="T1605" s="93" t="str">
        <f>vlookup(F1605,DATABASE!C:Q,8,false)</f>
        <v>#N/A</v>
      </c>
      <c r="Z1605" s="9"/>
    </row>
    <row r="1606" ht="22.5" customHeight="1">
      <c r="A1606" s="49"/>
      <c r="C1606" s="384"/>
      <c r="D1606" s="93"/>
      <c r="F1606" s="74"/>
      <c r="H1606" s="74"/>
      <c r="I1606" s="74"/>
      <c r="J1606" s="74"/>
      <c r="K1606" s="74" t="str">
        <f>if(F1606="SERVICE",O1606-(O1606*50%),Vlookup(F1606,DATABASE!C:Q,10,false)*G1606)</f>
        <v>#N/A</v>
      </c>
      <c r="L1606" s="74" t="str">
        <f>VLOOKUP(F1606,DATABASE!C:Q,7,FALSE)</f>
        <v>#N/A</v>
      </c>
      <c r="M1606" s="74"/>
      <c r="N1606" s="74">
        <f t="shared" si="11"/>
        <v>0</v>
      </c>
      <c r="O1606" s="74">
        <f t="shared" si="13"/>
        <v>0</v>
      </c>
      <c r="P1606" s="63">
        <f t="shared" si="14"/>
        <v>0</v>
      </c>
      <c r="Q1606" s="63" t="str">
        <f t="shared" si="15"/>
        <v>#N/A</v>
      </c>
      <c r="R1606" s="93" t="str">
        <f>VLOOKUP(F1606,DATABASE!C:Q,4,false)</f>
        <v>#N/A</v>
      </c>
      <c r="S1606" s="93" t="str">
        <f>VLOOKUP(F1606,DATABASE!C:P,11,false)</f>
        <v>#N/A</v>
      </c>
      <c r="T1606" s="93" t="str">
        <f>vlookup(F1606,DATABASE!C:Q,8,false)</f>
        <v>#N/A</v>
      </c>
      <c r="Z1606" s="9"/>
    </row>
    <row r="1607" ht="22.5" customHeight="1">
      <c r="A1607" s="49"/>
      <c r="C1607" s="384"/>
      <c r="D1607" s="93"/>
      <c r="F1607" s="74"/>
      <c r="H1607" s="74"/>
      <c r="I1607" s="74"/>
      <c r="J1607" s="74"/>
      <c r="K1607" s="74" t="str">
        <f>if(F1607="SERVICE",O1607-(O1607*50%),Vlookup(F1607,DATABASE!C:Q,10,false)*G1607)</f>
        <v>#N/A</v>
      </c>
      <c r="L1607" s="74" t="str">
        <f>VLOOKUP(F1607,DATABASE!C:Q,7,FALSE)</f>
        <v>#N/A</v>
      </c>
      <c r="M1607" s="74"/>
      <c r="N1607" s="74">
        <f t="shared" si="11"/>
        <v>0</v>
      </c>
      <c r="O1607" s="74">
        <f t="shared" si="13"/>
        <v>0</v>
      </c>
      <c r="P1607" s="63">
        <f t="shared" si="14"/>
        <v>0</v>
      </c>
      <c r="Q1607" s="63" t="str">
        <f t="shared" si="15"/>
        <v>#N/A</v>
      </c>
      <c r="R1607" s="93" t="str">
        <f>VLOOKUP(F1607,DATABASE!C:Q,4,false)</f>
        <v>#N/A</v>
      </c>
      <c r="S1607" s="93" t="str">
        <f>VLOOKUP(F1607,DATABASE!C:P,11,false)</f>
        <v>#N/A</v>
      </c>
      <c r="T1607" s="93" t="str">
        <f>vlookup(F1607,DATABASE!C:Q,8,false)</f>
        <v>#N/A</v>
      </c>
      <c r="Z1607" s="9"/>
    </row>
    <row r="1608" ht="22.5" customHeight="1">
      <c r="A1608" s="49"/>
      <c r="C1608" s="384"/>
      <c r="D1608" s="93"/>
      <c r="F1608" s="74"/>
      <c r="H1608" s="74"/>
      <c r="I1608" s="74"/>
      <c r="J1608" s="74"/>
      <c r="K1608" s="74" t="str">
        <f>if(F1608="SERVICE",O1608-(O1608*50%),Vlookup(F1608,DATABASE!C:Q,10,false)*G1608)</f>
        <v>#N/A</v>
      </c>
      <c r="L1608" s="74" t="str">
        <f>VLOOKUP(F1608,DATABASE!C:Q,7,FALSE)</f>
        <v>#N/A</v>
      </c>
      <c r="M1608" s="74"/>
      <c r="N1608" s="74">
        <f t="shared" si="11"/>
        <v>0</v>
      </c>
      <c r="O1608" s="74">
        <f t="shared" si="13"/>
        <v>0</v>
      </c>
      <c r="P1608" s="63">
        <f t="shared" si="14"/>
        <v>0</v>
      </c>
      <c r="Q1608" s="63" t="str">
        <f t="shared" si="15"/>
        <v>#N/A</v>
      </c>
      <c r="R1608" s="93" t="str">
        <f>VLOOKUP(F1608,DATABASE!C:Q,4,false)</f>
        <v>#N/A</v>
      </c>
      <c r="S1608" s="93" t="str">
        <f>VLOOKUP(F1608,DATABASE!C:P,11,false)</f>
        <v>#N/A</v>
      </c>
      <c r="T1608" s="93" t="str">
        <f>vlookup(F1608,DATABASE!C:Q,8,false)</f>
        <v>#N/A</v>
      </c>
      <c r="Z1608" s="9"/>
    </row>
    <row r="1609" ht="22.5" customHeight="1">
      <c r="A1609" s="49"/>
      <c r="C1609" s="384"/>
      <c r="D1609" s="93"/>
      <c r="F1609" s="74"/>
      <c r="H1609" s="74"/>
      <c r="I1609" s="74"/>
      <c r="J1609" s="74"/>
      <c r="K1609" s="74" t="str">
        <f>if(F1609="SERVICE",O1609-(O1609*50%),Vlookup(F1609,DATABASE!C:Q,10,false)*G1609)</f>
        <v>#N/A</v>
      </c>
      <c r="L1609" s="74" t="str">
        <f>VLOOKUP(F1609,DATABASE!C:Q,7,FALSE)</f>
        <v>#N/A</v>
      </c>
      <c r="M1609" s="74"/>
      <c r="N1609" s="74">
        <f t="shared" si="11"/>
        <v>0</v>
      </c>
      <c r="O1609" s="74">
        <f t="shared" si="13"/>
        <v>0</v>
      </c>
      <c r="P1609" s="63">
        <f t="shared" si="14"/>
        <v>0</v>
      </c>
      <c r="Q1609" s="63" t="str">
        <f t="shared" si="15"/>
        <v>#N/A</v>
      </c>
      <c r="R1609" s="93" t="str">
        <f>VLOOKUP(F1609,DATABASE!C:Q,4,false)</f>
        <v>#N/A</v>
      </c>
      <c r="S1609" s="93" t="str">
        <f>VLOOKUP(F1609,DATABASE!C:P,11,false)</f>
        <v>#N/A</v>
      </c>
      <c r="T1609" s="93" t="str">
        <f>vlookup(F1609,DATABASE!C:Q,8,false)</f>
        <v>#N/A</v>
      </c>
      <c r="Z1609" s="9"/>
    </row>
    <row r="1610" ht="22.5" customHeight="1">
      <c r="A1610" s="49"/>
      <c r="C1610" s="384"/>
      <c r="D1610" s="93"/>
      <c r="F1610" s="74"/>
      <c r="H1610" s="74"/>
      <c r="I1610" s="74"/>
      <c r="J1610" s="74"/>
      <c r="K1610" s="74" t="str">
        <f>if(F1610="SERVICE",O1610-(O1610*50%),Vlookup(F1610,DATABASE!C:Q,10,false)*G1610)</f>
        <v>#N/A</v>
      </c>
      <c r="L1610" s="74" t="str">
        <f>VLOOKUP(F1610,DATABASE!C:Q,7,FALSE)</f>
        <v>#N/A</v>
      </c>
      <c r="M1610" s="74"/>
      <c r="N1610" s="74">
        <f t="shared" si="11"/>
        <v>0</v>
      </c>
      <c r="O1610" s="74">
        <f t="shared" si="13"/>
        <v>0</v>
      </c>
      <c r="P1610" s="63">
        <f t="shared" si="14"/>
        <v>0</v>
      </c>
      <c r="Q1610" s="63" t="str">
        <f t="shared" si="15"/>
        <v>#N/A</v>
      </c>
      <c r="R1610" s="93" t="str">
        <f>VLOOKUP(F1610,DATABASE!C:Q,4,false)</f>
        <v>#N/A</v>
      </c>
      <c r="S1610" s="93" t="str">
        <f>VLOOKUP(F1610,DATABASE!C:P,11,false)</f>
        <v>#N/A</v>
      </c>
      <c r="T1610" s="93" t="str">
        <f>vlookup(F1610,DATABASE!C:Q,8,false)</f>
        <v>#N/A</v>
      </c>
      <c r="Z1610" s="9"/>
    </row>
    <row r="1611" ht="22.5" customHeight="1">
      <c r="A1611" s="49"/>
      <c r="C1611" s="384"/>
      <c r="D1611" s="93"/>
      <c r="F1611" s="74"/>
      <c r="H1611" s="74"/>
      <c r="I1611" s="74"/>
      <c r="J1611" s="74"/>
      <c r="K1611" s="74" t="str">
        <f>if(F1611="SERVICE",O1611-(O1611*50%),Vlookup(F1611,DATABASE!C:Q,10,false)*G1611)</f>
        <v>#N/A</v>
      </c>
      <c r="L1611" s="74" t="str">
        <f>VLOOKUP(F1611,DATABASE!C:Q,7,FALSE)</f>
        <v>#N/A</v>
      </c>
      <c r="M1611" s="74"/>
      <c r="N1611" s="74">
        <f t="shared" si="11"/>
        <v>0</v>
      </c>
      <c r="O1611" s="74">
        <f t="shared" si="13"/>
        <v>0</v>
      </c>
      <c r="P1611" s="63">
        <f t="shared" si="14"/>
        <v>0</v>
      </c>
      <c r="Q1611" s="63" t="str">
        <f t="shared" si="15"/>
        <v>#N/A</v>
      </c>
      <c r="R1611" s="93" t="str">
        <f>VLOOKUP(F1611,DATABASE!C:Q,4,false)</f>
        <v>#N/A</v>
      </c>
      <c r="S1611" s="93" t="str">
        <f>VLOOKUP(F1611,DATABASE!C:P,11,false)</f>
        <v>#N/A</v>
      </c>
      <c r="T1611" s="93" t="str">
        <f>vlookup(F1611,DATABASE!C:Q,8,false)</f>
        <v>#N/A</v>
      </c>
      <c r="Z1611" s="9"/>
    </row>
    <row r="1612" ht="22.5" customHeight="1">
      <c r="A1612" s="49"/>
      <c r="C1612" s="384"/>
      <c r="D1612" s="93"/>
      <c r="F1612" s="74"/>
      <c r="H1612" s="74"/>
      <c r="I1612" s="74"/>
      <c r="J1612" s="74"/>
      <c r="K1612" s="74" t="str">
        <f>if(F1612="SERVICE",O1612-(O1612*50%),Vlookup(F1612,DATABASE!C:Q,10,false)*G1612)</f>
        <v>#N/A</v>
      </c>
      <c r="L1612" s="74" t="str">
        <f>VLOOKUP(F1612,DATABASE!C:Q,7,FALSE)</f>
        <v>#N/A</v>
      </c>
      <c r="M1612" s="74"/>
      <c r="N1612" s="74">
        <f t="shared" si="11"/>
        <v>0</v>
      </c>
      <c r="O1612" s="74">
        <f t="shared" si="13"/>
        <v>0</v>
      </c>
      <c r="P1612" s="63">
        <f t="shared" si="14"/>
        <v>0</v>
      </c>
      <c r="Q1612" s="63" t="str">
        <f t="shared" si="15"/>
        <v>#N/A</v>
      </c>
      <c r="R1612" s="93" t="str">
        <f>VLOOKUP(F1612,DATABASE!C:Q,4,false)</f>
        <v>#N/A</v>
      </c>
      <c r="S1612" s="93" t="str">
        <f>VLOOKUP(F1612,DATABASE!C:P,11,false)</f>
        <v>#N/A</v>
      </c>
      <c r="T1612" s="93" t="str">
        <f>vlookup(F1612,DATABASE!C:Q,8,false)</f>
        <v>#N/A</v>
      </c>
      <c r="Z1612" s="9"/>
    </row>
    <row r="1613" ht="22.5" customHeight="1">
      <c r="A1613" s="49"/>
      <c r="C1613" s="384"/>
      <c r="D1613" s="93"/>
      <c r="F1613" s="74"/>
      <c r="H1613" s="74"/>
      <c r="I1613" s="74"/>
      <c r="J1613" s="74"/>
      <c r="K1613" s="74" t="str">
        <f>if(F1613="SERVICE",O1613-(O1613*50%),Vlookup(F1613,DATABASE!C:Q,10,false)*G1613)</f>
        <v>#N/A</v>
      </c>
      <c r="L1613" s="74" t="str">
        <f>VLOOKUP(F1613,DATABASE!C:Q,7,FALSE)</f>
        <v>#N/A</v>
      </c>
      <c r="M1613" s="74"/>
      <c r="N1613" s="74">
        <f t="shared" si="11"/>
        <v>0</v>
      </c>
      <c r="O1613" s="74">
        <f t="shared" si="13"/>
        <v>0</v>
      </c>
      <c r="P1613" s="63">
        <f t="shared" si="14"/>
        <v>0</v>
      </c>
      <c r="Q1613" s="63" t="str">
        <f t="shared" si="15"/>
        <v>#N/A</v>
      </c>
      <c r="R1613" s="93" t="str">
        <f>VLOOKUP(F1613,DATABASE!C:Q,4,false)</f>
        <v>#N/A</v>
      </c>
      <c r="S1613" s="93" t="str">
        <f>VLOOKUP(F1613,DATABASE!C:P,11,false)</f>
        <v>#N/A</v>
      </c>
      <c r="T1613" s="93" t="str">
        <f>vlookup(F1613,DATABASE!C:Q,8,false)</f>
        <v>#N/A</v>
      </c>
      <c r="Z1613" s="9"/>
    </row>
    <row r="1614" ht="22.5" customHeight="1">
      <c r="A1614" s="49"/>
      <c r="C1614" s="384"/>
      <c r="D1614" s="93"/>
      <c r="F1614" s="74"/>
      <c r="H1614" s="74"/>
      <c r="I1614" s="74"/>
      <c r="J1614" s="74"/>
      <c r="K1614" s="74" t="str">
        <f>if(F1614="SERVICE",O1614-(O1614*50%),Vlookup(F1614,DATABASE!C:Q,10,false)*G1614)</f>
        <v>#N/A</v>
      </c>
      <c r="L1614" s="74" t="str">
        <f>VLOOKUP(F1614,DATABASE!C:Q,7,FALSE)</f>
        <v>#N/A</v>
      </c>
      <c r="M1614" s="74"/>
      <c r="N1614" s="74">
        <f t="shared" si="11"/>
        <v>0</v>
      </c>
      <c r="O1614" s="74">
        <f t="shared" si="13"/>
        <v>0</v>
      </c>
      <c r="P1614" s="63">
        <f t="shared" si="14"/>
        <v>0</v>
      </c>
      <c r="Q1614" s="63" t="str">
        <f t="shared" si="15"/>
        <v>#N/A</v>
      </c>
      <c r="R1614" s="93" t="str">
        <f>VLOOKUP(F1614,DATABASE!C:Q,4,false)</f>
        <v>#N/A</v>
      </c>
      <c r="S1614" s="93" t="str">
        <f>VLOOKUP(F1614,DATABASE!C:P,11,false)</f>
        <v>#N/A</v>
      </c>
      <c r="T1614" s="93" t="str">
        <f>vlookup(F1614,DATABASE!C:Q,8,false)</f>
        <v>#N/A</v>
      </c>
      <c r="Z1614" s="9"/>
    </row>
    <row r="1615" ht="22.5" customHeight="1">
      <c r="A1615" s="49"/>
      <c r="C1615" s="384"/>
      <c r="D1615" s="93"/>
      <c r="F1615" s="74"/>
      <c r="H1615" s="74"/>
      <c r="I1615" s="74"/>
      <c r="J1615" s="74"/>
      <c r="K1615" s="74" t="str">
        <f>if(F1615="SERVICE",O1615-(O1615*50%),Vlookup(F1615,DATABASE!C:Q,10,false)*G1615)</f>
        <v>#N/A</v>
      </c>
      <c r="L1615" s="74" t="str">
        <f>VLOOKUP(F1615,DATABASE!C:Q,7,FALSE)</f>
        <v>#N/A</v>
      </c>
      <c r="M1615" s="74"/>
      <c r="N1615" s="74">
        <f t="shared" si="11"/>
        <v>0</v>
      </c>
      <c r="O1615" s="74">
        <f t="shared" si="13"/>
        <v>0</v>
      </c>
      <c r="P1615" s="63">
        <f t="shared" si="14"/>
        <v>0</v>
      </c>
      <c r="Q1615" s="63" t="str">
        <f t="shared" si="15"/>
        <v>#N/A</v>
      </c>
      <c r="R1615" s="93" t="str">
        <f>VLOOKUP(F1615,DATABASE!C:Q,4,false)</f>
        <v>#N/A</v>
      </c>
      <c r="S1615" s="93" t="str">
        <f>VLOOKUP(F1615,DATABASE!C:P,11,false)</f>
        <v>#N/A</v>
      </c>
      <c r="T1615" s="93" t="str">
        <f>vlookup(F1615,DATABASE!C:Q,8,false)</f>
        <v>#N/A</v>
      </c>
      <c r="Z1615" s="9"/>
    </row>
    <row r="1616" ht="22.5" customHeight="1">
      <c r="A1616" s="49"/>
      <c r="C1616" s="384"/>
      <c r="D1616" s="93"/>
      <c r="F1616" s="74"/>
      <c r="H1616" s="74"/>
      <c r="I1616" s="74"/>
      <c r="J1616" s="74"/>
      <c r="K1616" s="74" t="str">
        <f>if(F1616="SERVICE",O1616-(O1616*50%),Vlookup(F1616,DATABASE!C:Q,10,false)*G1616)</f>
        <v>#N/A</v>
      </c>
      <c r="L1616" s="74" t="str">
        <f>VLOOKUP(F1616,DATABASE!C:Q,7,FALSE)</f>
        <v>#N/A</v>
      </c>
      <c r="M1616" s="74"/>
      <c r="N1616" s="74">
        <f t="shared" si="11"/>
        <v>0</v>
      </c>
      <c r="O1616" s="74">
        <f t="shared" si="13"/>
        <v>0</v>
      </c>
      <c r="P1616" s="63">
        <f t="shared" si="14"/>
        <v>0</v>
      </c>
      <c r="Q1616" s="63" t="str">
        <f t="shared" si="15"/>
        <v>#N/A</v>
      </c>
      <c r="R1616" s="93" t="str">
        <f>VLOOKUP(F1616,DATABASE!C:Q,4,false)</f>
        <v>#N/A</v>
      </c>
      <c r="S1616" s="93" t="str">
        <f>VLOOKUP(F1616,DATABASE!C:P,11,false)</f>
        <v>#N/A</v>
      </c>
      <c r="T1616" s="93" t="str">
        <f>vlookup(F1616,DATABASE!C:Q,8,false)</f>
        <v>#N/A</v>
      </c>
      <c r="Z1616" s="9"/>
    </row>
    <row r="1617" ht="22.5" customHeight="1">
      <c r="A1617" s="49"/>
      <c r="C1617" s="384"/>
      <c r="D1617" s="93"/>
      <c r="F1617" s="74"/>
      <c r="H1617" s="74"/>
      <c r="I1617" s="74"/>
      <c r="J1617" s="74"/>
      <c r="K1617" s="74" t="str">
        <f>if(F1617="SERVICE",O1617-(O1617*50%),Vlookup(F1617,DATABASE!C:Q,10,false)*G1617)</f>
        <v>#N/A</v>
      </c>
      <c r="L1617" s="74" t="str">
        <f>VLOOKUP(F1617,DATABASE!C:Q,7,FALSE)</f>
        <v>#N/A</v>
      </c>
      <c r="M1617" s="74"/>
      <c r="N1617" s="74">
        <f t="shared" si="11"/>
        <v>0</v>
      </c>
      <c r="O1617" s="74">
        <f t="shared" si="13"/>
        <v>0</v>
      </c>
      <c r="P1617" s="63">
        <f t="shared" si="14"/>
        <v>0</v>
      </c>
      <c r="Q1617" s="63" t="str">
        <f t="shared" si="15"/>
        <v>#N/A</v>
      </c>
      <c r="R1617" s="93" t="str">
        <f>VLOOKUP(F1617,DATABASE!C:Q,4,false)</f>
        <v>#N/A</v>
      </c>
      <c r="S1617" s="93" t="str">
        <f>VLOOKUP(F1617,DATABASE!C:P,11,false)</f>
        <v>#N/A</v>
      </c>
      <c r="T1617" s="93" t="str">
        <f>vlookup(F1617,DATABASE!C:Q,8,false)</f>
        <v>#N/A</v>
      </c>
      <c r="Z1617" s="9"/>
    </row>
    <row r="1618" ht="22.5" customHeight="1">
      <c r="A1618" s="49"/>
      <c r="C1618" s="384"/>
      <c r="D1618" s="93"/>
      <c r="F1618" s="74"/>
      <c r="H1618" s="74"/>
      <c r="I1618" s="74"/>
      <c r="J1618" s="74"/>
      <c r="K1618" s="74" t="str">
        <f>if(F1618="SERVICE",O1618-(O1618*50%),Vlookup(F1618,DATABASE!C:Q,10,false)*G1618)</f>
        <v>#N/A</v>
      </c>
      <c r="L1618" s="74" t="str">
        <f>VLOOKUP(F1618,DATABASE!C:Q,7,FALSE)</f>
        <v>#N/A</v>
      </c>
      <c r="M1618" s="74"/>
      <c r="N1618" s="74">
        <f t="shared" si="11"/>
        <v>0</v>
      </c>
      <c r="O1618" s="74">
        <f t="shared" si="13"/>
        <v>0</v>
      </c>
      <c r="P1618" s="63">
        <f t="shared" si="14"/>
        <v>0</v>
      </c>
      <c r="Q1618" s="63" t="str">
        <f t="shared" si="15"/>
        <v>#N/A</v>
      </c>
      <c r="R1618" s="93" t="str">
        <f>VLOOKUP(F1618,DATABASE!C:Q,4,false)</f>
        <v>#N/A</v>
      </c>
      <c r="S1618" s="93" t="str">
        <f>VLOOKUP(F1618,DATABASE!C:P,11,false)</f>
        <v>#N/A</v>
      </c>
      <c r="T1618" s="93" t="str">
        <f>vlookup(F1618,DATABASE!C:Q,8,false)</f>
        <v>#N/A</v>
      </c>
      <c r="Z1618" s="9"/>
    </row>
    <row r="1619" ht="22.5" customHeight="1">
      <c r="A1619" s="49"/>
      <c r="C1619" s="384"/>
      <c r="D1619" s="93"/>
      <c r="F1619" s="74"/>
      <c r="H1619" s="74"/>
      <c r="I1619" s="74"/>
      <c r="J1619" s="74"/>
      <c r="K1619" s="74" t="str">
        <f>if(F1619="SERVICE",O1619-(O1619*50%),Vlookup(F1619,DATABASE!C:Q,10,false)*G1619)</f>
        <v>#N/A</v>
      </c>
      <c r="L1619" s="74" t="str">
        <f>VLOOKUP(F1619,DATABASE!C:Q,7,FALSE)</f>
        <v>#N/A</v>
      </c>
      <c r="M1619" s="74"/>
      <c r="N1619" s="74">
        <f t="shared" si="11"/>
        <v>0</v>
      </c>
      <c r="O1619" s="74">
        <f t="shared" si="13"/>
        <v>0</v>
      </c>
      <c r="P1619" s="63">
        <f t="shared" si="14"/>
        <v>0</v>
      </c>
      <c r="Q1619" s="63" t="str">
        <f t="shared" si="15"/>
        <v>#N/A</v>
      </c>
      <c r="R1619" s="93" t="str">
        <f>VLOOKUP(F1619,DATABASE!C:Q,4,false)</f>
        <v>#N/A</v>
      </c>
      <c r="S1619" s="93" t="str">
        <f>VLOOKUP(F1619,DATABASE!C:P,11,false)</f>
        <v>#N/A</v>
      </c>
      <c r="T1619" s="93" t="str">
        <f>vlookup(F1619,DATABASE!C:Q,8,false)</f>
        <v>#N/A</v>
      </c>
      <c r="Z1619" s="9"/>
    </row>
    <row r="1620" ht="22.5" customHeight="1">
      <c r="A1620" s="49"/>
      <c r="C1620" s="384"/>
      <c r="D1620" s="93"/>
      <c r="F1620" s="74"/>
      <c r="H1620" s="74"/>
      <c r="I1620" s="74"/>
      <c r="J1620" s="74"/>
      <c r="K1620" s="74" t="str">
        <f>if(F1620="SERVICE",O1620-(O1620*50%),Vlookup(F1620,DATABASE!C:Q,10,false)*G1620)</f>
        <v>#N/A</v>
      </c>
      <c r="L1620" s="74" t="str">
        <f>VLOOKUP(F1620,DATABASE!C:Q,7,FALSE)</f>
        <v>#N/A</v>
      </c>
      <c r="M1620" s="74"/>
      <c r="N1620" s="74">
        <f t="shared" si="11"/>
        <v>0</v>
      </c>
      <c r="O1620" s="74">
        <f t="shared" si="13"/>
        <v>0</v>
      </c>
      <c r="P1620" s="63">
        <f t="shared" si="14"/>
        <v>0</v>
      </c>
      <c r="Q1620" s="63" t="str">
        <f t="shared" si="15"/>
        <v>#N/A</v>
      </c>
      <c r="R1620" s="93" t="str">
        <f>VLOOKUP(F1620,DATABASE!C:Q,4,false)</f>
        <v>#N/A</v>
      </c>
      <c r="S1620" s="93" t="str">
        <f>VLOOKUP(F1620,DATABASE!C:P,11,false)</f>
        <v>#N/A</v>
      </c>
      <c r="T1620" s="93" t="str">
        <f>vlookup(F1620,DATABASE!C:Q,8,false)</f>
        <v>#N/A</v>
      </c>
      <c r="Z1620" s="9"/>
    </row>
    <row r="1621" ht="22.5" customHeight="1">
      <c r="A1621" s="49"/>
      <c r="C1621" s="384"/>
      <c r="D1621" s="93"/>
      <c r="F1621" s="74"/>
      <c r="H1621" s="74"/>
      <c r="I1621" s="74"/>
      <c r="J1621" s="74"/>
      <c r="K1621" s="74" t="str">
        <f>if(F1621="SERVICE",O1621-(O1621*50%),Vlookup(F1621,DATABASE!C:Q,10,false)*G1621)</f>
        <v>#N/A</v>
      </c>
      <c r="L1621" s="74" t="str">
        <f>VLOOKUP(F1621,DATABASE!C:Q,7,FALSE)</f>
        <v>#N/A</v>
      </c>
      <c r="M1621" s="74"/>
      <c r="N1621" s="74">
        <f t="shared" si="11"/>
        <v>0</v>
      </c>
      <c r="O1621" s="74">
        <f t="shared" si="13"/>
        <v>0</v>
      </c>
      <c r="P1621" s="63">
        <f t="shared" si="14"/>
        <v>0</v>
      </c>
      <c r="Q1621" s="63" t="str">
        <f t="shared" si="15"/>
        <v>#N/A</v>
      </c>
      <c r="R1621" s="93" t="str">
        <f>VLOOKUP(F1621,DATABASE!C:Q,4,false)</f>
        <v>#N/A</v>
      </c>
      <c r="S1621" s="93" t="str">
        <f>VLOOKUP(F1621,DATABASE!C:P,11,false)</f>
        <v>#N/A</v>
      </c>
      <c r="T1621" s="93" t="str">
        <f>vlookup(F1621,DATABASE!C:Q,8,false)</f>
        <v>#N/A</v>
      </c>
      <c r="Z1621" s="9"/>
    </row>
    <row r="1622" ht="22.5" customHeight="1">
      <c r="A1622" s="49"/>
      <c r="C1622" s="384"/>
      <c r="D1622" s="93"/>
      <c r="F1622" s="74"/>
      <c r="H1622" s="74"/>
      <c r="I1622" s="74"/>
      <c r="J1622" s="74"/>
      <c r="K1622" s="74" t="str">
        <f>if(F1622="SERVICE",O1622-(O1622*50%),Vlookup(F1622,DATABASE!C:Q,10,false)*G1622)</f>
        <v>#N/A</v>
      </c>
      <c r="L1622" s="74" t="str">
        <f>VLOOKUP(F1622,DATABASE!C:Q,7,FALSE)</f>
        <v>#N/A</v>
      </c>
      <c r="M1622" s="74"/>
      <c r="N1622" s="74">
        <f t="shared" si="11"/>
        <v>0</v>
      </c>
      <c r="O1622" s="74">
        <f t="shared" si="13"/>
        <v>0</v>
      </c>
      <c r="P1622" s="63">
        <f t="shared" si="14"/>
        <v>0</v>
      </c>
      <c r="Q1622" s="63" t="str">
        <f t="shared" si="15"/>
        <v>#N/A</v>
      </c>
      <c r="R1622" s="93" t="str">
        <f>VLOOKUP(F1622,DATABASE!C:Q,4,false)</f>
        <v>#N/A</v>
      </c>
      <c r="S1622" s="93" t="str">
        <f>VLOOKUP(F1622,DATABASE!C:P,11,false)</f>
        <v>#N/A</v>
      </c>
      <c r="T1622" s="93" t="str">
        <f>vlookup(F1622,DATABASE!C:Q,8,false)</f>
        <v>#N/A</v>
      </c>
      <c r="Z1622" s="9"/>
    </row>
    <row r="1623" ht="22.5" customHeight="1">
      <c r="A1623" s="49"/>
      <c r="C1623" s="384"/>
      <c r="D1623" s="93"/>
      <c r="F1623" s="74"/>
      <c r="H1623" s="74"/>
      <c r="I1623" s="74"/>
      <c r="J1623" s="74"/>
      <c r="K1623" s="74" t="str">
        <f>if(F1623="SERVICE",O1623-(O1623*50%),Vlookup(F1623,DATABASE!C:Q,10,false)*G1623)</f>
        <v>#N/A</v>
      </c>
      <c r="L1623" s="74" t="str">
        <f>VLOOKUP(F1623,DATABASE!C:Q,7,FALSE)</f>
        <v>#N/A</v>
      </c>
      <c r="M1623" s="74"/>
      <c r="N1623" s="74">
        <f t="shared" si="11"/>
        <v>0</v>
      </c>
      <c r="O1623" s="74">
        <f t="shared" si="13"/>
        <v>0</v>
      </c>
      <c r="P1623" s="63">
        <f t="shared" si="14"/>
        <v>0</v>
      </c>
      <c r="Q1623" s="63" t="str">
        <f t="shared" si="15"/>
        <v>#N/A</v>
      </c>
      <c r="R1623" s="93" t="str">
        <f>VLOOKUP(F1623,DATABASE!C:Q,4,false)</f>
        <v>#N/A</v>
      </c>
      <c r="S1623" s="93" t="str">
        <f>VLOOKUP(F1623,DATABASE!C:P,11,false)</f>
        <v>#N/A</v>
      </c>
      <c r="T1623" s="93" t="str">
        <f>vlookup(F1623,DATABASE!C:Q,8,false)</f>
        <v>#N/A</v>
      </c>
      <c r="Z1623" s="9"/>
    </row>
    <row r="1624" ht="22.5" customHeight="1">
      <c r="A1624" s="49"/>
      <c r="C1624" s="384"/>
      <c r="D1624" s="93"/>
      <c r="F1624" s="74"/>
      <c r="H1624" s="74"/>
      <c r="I1624" s="74"/>
      <c r="J1624" s="74"/>
      <c r="K1624" s="74" t="str">
        <f>if(F1624="SERVICE",O1624-(O1624*50%),Vlookup(F1624,DATABASE!C:Q,10,false)*G1624)</f>
        <v>#N/A</v>
      </c>
      <c r="L1624" s="74" t="str">
        <f>VLOOKUP(F1624,DATABASE!C:Q,7,FALSE)</f>
        <v>#N/A</v>
      </c>
      <c r="M1624" s="74"/>
      <c r="N1624" s="74">
        <f t="shared" si="11"/>
        <v>0</v>
      </c>
      <c r="O1624" s="74">
        <f t="shared" si="13"/>
        <v>0</v>
      </c>
      <c r="P1624" s="63">
        <f t="shared" si="14"/>
        <v>0</v>
      </c>
      <c r="Q1624" s="63" t="str">
        <f t="shared" si="15"/>
        <v>#N/A</v>
      </c>
      <c r="R1624" s="93" t="str">
        <f>VLOOKUP(F1624,DATABASE!C:Q,4,false)</f>
        <v>#N/A</v>
      </c>
      <c r="S1624" s="93" t="str">
        <f>VLOOKUP(F1624,DATABASE!C:P,11,false)</f>
        <v>#N/A</v>
      </c>
      <c r="T1624" s="93" t="str">
        <f>vlookup(F1624,DATABASE!C:Q,8,false)</f>
        <v>#N/A</v>
      </c>
      <c r="Z1624" s="9"/>
    </row>
    <row r="1625" ht="22.5" customHeight="1">
      <c r="A1625" s="49"/>
      <c r="C1625" s="384"/>
      <c r="D1625" s="93"/>
      <c r="F1625" s="74"/>
      <c r="H1625" s="74"/>
      <c r="I1625" s="74"/>
      <c r="J1625" s="74"/>
      <c r="K1625" s="74" t="str">
        <f>if(F1625="SERVICE",O1625-(O1625*50%),Vlookup(F1625,DATABASE!C:Q,10,false)*G1625)</f>
        <v>#N/A</v>
      </c>
      <c r="L1625" s="74" t="str">
        <f>VLOOKUP(F1625,DATABASE!C:Q,7,FALSE)</f>
        <v>#N/A</v>
      </c>
      <c r="M1625" s="74"/>
      <c r="N1625" s="74">
        <f t="shared" si="11"/>
        <v>0</v>
      </c>
      <c r="O1625" s="74">
        <f t="shared" si="13"/>
        <v>0</v>
      </c>
      <c r="P1625" s="63">
        <f t="shared" si="14"/>
        <v>0</v>
      </c>
      <c r="Q1625" s="63" t="str">
        <f t="shared" si="15"/>
        <v>#N/A</v>
      </c>
      <c r="R1625" s="93" t="str">
        <f>VLOOKUP(F1625,DATABASE!C:Q,4,false)</f>
        <v>#N/A</v>
      </c>
      <c r="S1625" s="93" t="str">
        <f>VLOOKUP(F1625,DATABASE!C:P,11,false)</f>
        <v>#N/A</v>
      </c>
      <c r="T1625" s="93" t="str">
        <f>vlookup(F1625,DATABASE!C:Q,8,false)</f>
        <v>#N/A</v>
      </c>
      <c r="Z1625" s="9"/>
    </row>
    <row r="1626" ht="22.5" customHeight="1">
      <c r="A1626" s="49"/>
      <c r="C1626" s="384"/>
      <c r="D1626" s="93"/>
      <c r="F1626" s="74"/>
      <c r="H1626" s="74"/>
      <c r="I1626" s="74"/>
      <c r="J1626" s="74"/>
      <c r="K1626" s="74" t="str">
        <f>if(F1626="SERVICE",O1626-(O1626*50%),Vlookup(F1626,DATABASE!C:Q,10,false)*G1626)</f>
        <v>#N/A</v>
      </c>
      <c r="L1626" s="74" t="str">
        <f>VLOOKUP(F1626,DATABASE!C:Q,7,FALSE)</f>
        <v>#N/A</v>
      </c>
      <c r="M1626" s="74"/>
      <c r="N1626" s="74">
        <f t="shared" si="11"/>
        <v>0</v>
      </c>
      <c r="O1626" s="74">
        <f t="shared" si="13"/>
        <v>0</v>
      </c>
      <c r="P1626" s="63">
        <f t="shared" si="14"/>
        <v>0</v>
      </c>
      <c r="Q1626" s="63" t="str">
        <f t="shared" si="15"/>
        <v>#N/A</v>
      </c>
      <c r="R1626" s="93" t="str">
        <f>VLOOKUP(F1626,DATABASE!C:Q,4,false)</f>
        <v>#N/A</v>
      </c>
      <c r="S1626" s="93" t="str">
        <f>VLOOKUP(F1626,DATABASE!C:P,11,false)</f>
        <v>#N/A</v>
      </c>
      <c r="T1626" s="93" t="str">
        <f>vlookup(F1626,DATABASE!C:Q,8,false)</f>
        <v>#N/A</v>
      </c>
      <c r="Z1626" s="9"/>
    </row>
    <row r="1627" ht="22.5" customHeight="1">
      <c r="A1627" s="49"/>
      <c r="C1627" s="384"/>
      <c r="D1627" s="93"/>
      <c r="F1627" s="74"/>
      <c r="H1627" s="74"/>
      <c r="I1627" s="74"/>
      <c r="J1627" s="74"/>
      <c r="K1627" s="74" t="str">
        <f>if(F1627="SERVICE",O1627-(O1627*50%),Vlookup(F1627,DATABASE!C:Q,10,false)*G1627)</f>
        <v>#N/A</v>
      </c>
      <c r="L1627" s="74" t="str">
        <f>VLOOKUP(F1627,DATABASE!C:Q,7,FALSE)</f>
        <v>#N/A</v>
      </c>
      <c r="M1627" s="74"/>
      <c r="N1627" s="74">
        <f t="shared" si="11"/>
        <v>0</v>
      </c>
      <c r="O1627" s="74">
        <f t="shared" si="13"/>
        <v>0</v>
      </c>
      <c r="P1627" s="63">
        <f t="shared" si="14"/>
        <v>0</v>
      </c>
      <c r="Q1627" s="63" t="str">
        <f t="shared" si="15"/>
        <v>#N/A</v>
      </c>
      <c r="R1627" s="93" t="str">
        <f>VLOOKUP(F1627,DATABASE!C:Q,4,false)</f>
        <v>#N/A</v>
      </c>
      <c r="S1627" s="93" t="str">
        <f>VLOOKUP(F1627,DATABASE!C:P,11,false)</f>
        <v>#N/A</v>
      </c>
      <c r="T1627" s="93" t="str">
        <f>vlookup(F1627,DATABASE!C:Q,8,false)</f>
        <v>#N/A</v>
      </c>
      <c r="Z1627" s="9"/>
    </row>
    <row r="1628" ht="22.5" customHeight="1">
      <c r="A1628" s="49"/>
      <c r="C1628" s="384"/>
      <c r="D1628" s="93"/>
      <c r="F1628" s="74"/>
      <c r="H1628" s="74"/>
      <c r="I1628" s="74"/>
      <c r="J1628" s="74"/>
      <c r="K1628" s="74" t="str">
        <f>if(F1628="SERVICE",O1628-(O1628*50%),Vlookup(F1628,DATABASE!C:Q,10,false)*G1628)</f>
        <v>#N/A</v>
      </c>
      <c r="L1628" s="74" t="str">
        <f>VLOOKUP(F1628,DATABASE!C:Q,7,FALSE)</f>
        <v>#N/A</v>
      </c>
      <c r="M1628" s="74"/>
      <c r="N1628" s="74">
        <f t="shared" si="11"/>
        <v>0</v>
      </c>
      <c r="O1628" s="74">
        <f t="shared" si="13"/>
        <v>0</v>
      </c>
      <c r="P1628" s="63">
        <f t="shared" si="14"/>
        <v>0</v>
      </c>
      <c r="Q1628" s="63" t="str">
        <f t="shared" si="15"/>
        <v>#N/A</v>
      </c>
      <c r="R1628" s="93" t="str">
        <f>VLOOKUP(F1628,DATABASE!C:Q,4,false)</f>
        <v>#N/A</v>
      </c>
      <c r="S1628" s="93" t="str">
        <f>VLOOKUP(F1628,DATABASE!C:P,11,false)</f>
        <v>#N/A</v>
      </c>
      <c r="T1628" s="93" t="str">
        <f>vlookup(F1628,DATABASE!C:Q,8,false)</f>
        <v>#N/A</v>
      </c>
      <c r="Z1628" s="9"/>
    </row>
    <row r="1629" ht="22.5" customHeight="1">
      <c r="A1629" s="49"/>
      <c r="C1629" s="384"/>
      <c r="D1629" s="93"/>
      <c r="F1629" s="74"/>
      <c r="H1629" s="74"/>
      <c r="I1629" s="74"/>
      <c r="J1629" s="74"/>
      <c r="K1629" s="74" t="str">
        <f>if(F1629="SERVICE",O1629-(O1629*50%),Vlookup(F1629,DATABASE!C:Q,10,false)*G1629)</f>
        <v>#N/A</v>
      </c>
      <c r="L1629" s="74" t="str">
        <f>VLOOKUP(F1629,DATABASE!C:Q,7,FALSE)</f>
        <v>#N/A</v>
      </c>
      <c r="M1629" s="74"/>
      <c r="N1629" s="74">
        <f t="shared" si="11"/>
        <v>0</v>
      </c>
      <c r="O1629" s="74">
        <f t="shared" si="13"/>
        <v>0</v>
      </c>
      <c r="P1629" s="63">
        <f t="shared" si="14"/>
        <v>0</v>
      </c>
      <c r="Q1629" s="63" t="str">
        <f t="shared" si="15"/>
        <v>#N/A</v>
      </c>
      <c r="R1629" s="93" t="str">
        <f>VLOOKUP(F1629,DATABASE!C:Q,4,false)</f>
        <v>#N/A</v>
      </c>
      <c r="S1629" s="93" t="str">
        <f>VLOOKUP(F1629,DATABASE!C:P,11,false)</f>
        <v>#N/A</v>
      </c>
      <c r="T1629" s="93" t="str">
        <f>vlookup(F1629,DATABASE!C:Q,8,false)</f>
        <v>#N/A</v>
      </c>
      <c r="Z1629" s="9"/>
    </row>
    <row r="1630" ht="22.5" customHeight="1">
      <c r="A1630" s="49"/>
      <c r="C1630" s="384"/>
      <c r="D1630" s="93"/>
      <c r="F1630" s="74"/>
      <c r="H1630" s="74"/>
      <c r="I1630" s="74"/>
      <c r="J1630" s="74"/>
      <c r="K1630" s="74" t="str">
        <f>if(F1630="SERVICE",O1630-(O1630*50%),Vlookup(F1630,DATABASE!C:Q,10,false)*G1630)</f>
        <v>#N/A</v>
      </c>
      <c r="L1630" s="74" t="str">
        <f>VLOOKUP(F1630,DATABASE!C:Q,7,FALSE)</f>
        <v>#N/A</v>
      </c>
      <c r="M1630" s="74"/>
      <c r="N1630" s="74">
        <f t="shared" si="11"/>
        <v>0</v>
      </c>
      <c r="O1630" s="74">
        <f t="shared" si="13"/>
        <v>0</v>
      </c>
      <c r="P1630" s="63">
        <f t="shared" si="14"/>
        <v>0</v>
      </c>
      <c r="Q1630" s="63" t="str">
        <f t="shared" si="15"/>
        <v>#N/A</v>
      </c>
      <c r="R1630" s="93" t="str">
        <f>VLOOKUP(F1630,DATABASE!C:Q,4,false)</f>
        <v>#N/A</v>
      </c>
      <c r="S1630" s="93" t="str">
        <f>VLOOKUP(F1630,DATABASE!C:P,11,false)</f>
        <v>#N/A</v>
      </c>
      <c r="T1630" s="93" t="str">
        <f>vlookup(F1630,DATABASE!C:Q,8,false)</f>
        <v>#N/A</v>
      </c>
      <c r="Z1630" s="9"/>
    </row>
    <row r="1631" ht="22.5" customHeight="1">
      <c r="A1631" s="49"/>
      <c r="C1631" s="384"/>
      <c r="D1631" s="93"/>
      <c r="F1631" s="74"/>
      <c r="H1631" s="74"/>
      <c r="I1631" s="74"/>
      <c r="J1631" s="74"/>
      <c r="K1631" s="74" t="str">
        <f>if(F1631="SERVICE",O1631-(O1631*50%),Vlookup(F1631,DATABASE!C:Q,10,false)*G1631)</f>
        <v>#N/A</v>
      </c>
      <c r="L1631" s="74" t="str">
        <f>VLOOKUP(F1631,DATABASE!C:Q,7,FALSE)</f>
        <v>#N/A</v>
      </c>
      <c r="M1631" s="74"/>
      <c r="N1631" s="74">
        <f t="shared" si="11"/>
        <v>0</v>
      </c>
      <c r="O1631" s="74">
        <f t="shared" si="13"/>
        <v>0</v>
      </c>
      <c r="P1631" s="63">
        <f t="shared" si="14"/>
        <v>0</v>
      </c>
      <c r="Q1631" s="63" t="str">
        <f t="shared" si="15"/>
        <v>#N/A</v>
      </c>
      <c r="R1631" s="93" t="str">
        <f>VLOOKUP(F1631,DATABASE!C:Q,4,false)</f>
        <v>#N/A</v>
      </c>
      <c r="S1631" s="93" t="str">
        <f>VLOOKUP(F1631,DATABASE!C:P,11,false)</f>
        <v>#N/A</v>
      </c>
      <c r="T1631" s="93" t="str">
        <f>vlookup(F1631,DATABASE!C:Q,8,false)</f>
        <v>#N/A</v>
      </c>
      <c r="Z1631" s="9"/>
    </row>
    <row r="1632" ht="22.5" customHeight="1">
      <c r="A1632" s="49"/>
      <c r="C1632" s="384"/>
      <c r="D1632" s="93"/>
      <c r="F1632" s="74"/>
      <c r="H1632" s="74"/>
      <c r="I1632" s="74"/>
      <c r="J1632" s="74"/>
      <c r="K1632" s="74" t="str">
        <f>if(F1632="SERVICE",O1632-(O1632*50%),Vlookup(F1632,DATABASE!C:Q,10,false)*G1632)</f>
        <v>#N/A</v>
      </c>
      <c r="L1632" s="74" t="str">
        <f>VLOOKUP(F1632,DATABASE!C:Q,7,FALSE)</f>
        <v>#N/A</v>
      </c>
      <c r="M1632" s="74"/>
      <c r="N1632" s="74">
        <f t="shared" si="11"/>
        <v>0</v>
      </c>
      <c r="O1632" s="74">
        <f t="shared" si="13"/>
        <v>0</v>
      </c>
      <c r="P1632" s="63">
        <f t="shared" si="14"/>
        <v>0</v>
      </c>
      <c r="Q1632" s="63" t="str">
        <f t="shared" si="15"/>
        <v>#N/A</v>
      </c>
      <c r="R1632" s="93" t="str">
        <f>VLOOKUP(F1632,DATABASE!C:Q,4,false)</f>
        <v>#N/A</v>
      </c>
      <c r="S1632" s="93" t="str">
        <f>VLOOKUP(F1632,DATABASE!C:P,11,false)</f>
        <v>#N/A</v>
      </c>
      <c r="T1632" s="93" t="str">
        <f>vlookup(F1632,DATABASE!C:Q,8,false)</f>
        <v>#N/A</v>
      </c>
      <c r="Z1632" s="9"/>
    </row>
    <row r="1633" ht="22.5" customHeight="1">
      <c r="A1633" s="49"/>
      <c r="C1633" s="384"/>
      <c r="D1633" s="93"/>
      <c r="F1633" s="74"/>
      <c r="H1633" s="74"/>
      <c r="I1633" s="74"/>
      <c r="J1633" s="74"/>
      <c r="K1633" s="74" t="str">
        <f>if(F1633="SERVICE",O1633-(O1633*50%),Vlookup(F1633,DATABASE!C:Q,10,false)*G1633)</f>
        <v>#N/A</v>
      </c>
      <c r="L1633" s="74" t="str">
        <f>VLOOKUP(F1633,DATABASE!C:Q,7,FALSE)</f>
        <v>#N/A</v>
      </c>
      <c r="M1633" s="74"/>
      <c r="N1633" s="74">
        <f t="shared" si="11"/>
        <v>0</v>
      </c>
      <c r="O1633" s="74">
        <f t="shared" si="13"/>
        <v>0</v>
      </c>
      <c r="P1633" s="63">
        <f t="shared" si="14"/>
        <v>0</v>
      </c>
      <c r="Q1633" s="63" t="str">
        <f t="shared" si="15"/>
        <v>#N/A</v>
      </c>
      <c r="R1633" s="93" t="str">
        <f>VLOOKUP(F1633,DATABASE!C:Q,4,false)</f>
        <v>#N/A</v>
      </c>
      <c r="S1633" s="93" t="str">
        <f>VLOOKUP(F1633,DATABASE!C:P,11,false)</f>
        <v>#N/A</v>
      </c>
      <c r="T1633" s="93" t="str">
        <f>vlookup(F1633,DATABASE!C:Q,8,false)</f>
        <v>#N/A</v>
      </c>
      <c r="Z1633" s="9"/>
    </row>
    <row r="1634" ht="22.5" customHeight="1">
      <c r="A1634" s="49"/>
      <c r="C1634" s="384"/>
      <c r="D1634" s="93"/>
      <c r="F1634" s="74"/>
      <c r="H1634" s="74"/>
      <c r="I1634" s="74"/>
      <c r="J1634" s="74"/>
      <c r="K1634" s="74" t="str">
        <f>if(F1634="SERVICE",O1634-(O1634*50%),Vlookup(F1634,DATABASE!C:Q,10,false)*G1634)</f>
        <v>#N/A</v>
      </c>
      <c r="L1634" s="74" t="str">
        <f>VLOOKUP(F1634,DATABASE!C:Q,7,FALSE)</f>
        <v>#N/A</v>
      </c>
      <c r="M1634" s="74"/>
      <c r="N1634" s="74">
        <f t="shared" si="11"/>
        <v>0</v>
      </c>
      <c r="O1634" s="74">
        <f t="shared" si="13"/>
        <v>0</v>
      </c>
      <c r="P1634" s="63">
        <f t="shared" si="14"/>
        <v>0</v>
      </c>
      <c r="Q1634" s="63" t="str">
        <f t="shared" si="15"/>
        <v>#N/A</v>
      </c>
      <c r="R1634" s="93" t="str">
        <f>VLOOKUP(F1634,DATABASE!C:Q,4,false)</f>
        <v>#N/A</v>
      </c>
      <c r="S1634" s="93" t="str">
        <f>VLOOKUP(F1634,DATABASE!C:P,11,false)</f>
        <v>#N/A</v>
      </c>
      <c r="T1634" s="93" t="str">
        <f>vlookup(F1634,DATABASE!C:Q,8,false)</f>
        <v>#N/A</v>
      </c>
      <c r="Z1634" s="9"/>
    </row>
    <row r="1635" ht="22.5" customHeight="1">
      <c r="A1635" s="49"/>
      <c r="C1635" s="384"/>
      <c r="D1635" s="93"/>
      <c r="F1635" s="74"/>
      <c r="H1635" s="74"/>
      <c r="I1635" s="74"/>
      <c r="J1635" s="74"/>
      <c r="K1635" s="74" t="str">
        <f>if(F1635="SERVICE",O1635-(O1635*50%),Vlookup(F1635,DATABASE!C:Q,10,false)*G1635)</f>
        <v>#N/A</v>
      </c>
      <c r="L1635" s="74" t="str">
        <f>VLOOKUP(F1635,DATABASE!C:Q,7,FALSE)</f>
        <v>#N/A</v>
      </c>
      <c r="M1635" s="74"/>
      <c r="N1635" s="74">
        <f t="shared" si="11"/>
        <v>0</v>
      </c>
      <c r="O1635" s="74">
        <f t="shared" si="13"/>
        <v>0</v>
      </c>
      <c r="P1635" s="63">
        <f t="shared" si="14"/>
        <v>0</v>
      </c>
      <c r="Q1635" s="63" t="str">
        <f t="shared" si="15"/>
        <v>#N/A</v>
      </c>
      <c r="R1635" s="93" t="str">
        <f>VLOOKUP(F1635,DATABASE!C:Q,4,false)</f>
        <v>#N/A</v>
      </c>
      <c r="S1635" s="93" t="str">
        <f>VLOOKUP(F1635,DATABASE!C:P,11,false)</f>
        <v>#N/A</v>
      </c>
      <c r="T1635" s="93" t="str">
        <f>vlookup(F1635,DATABASE!C:Q,8,false)</f>
        <v>#N/A</v>
      </c>
      <c r="Z1635" s="9"/>
    </row>
    <row r="1636" ht="22.5" customHeight="1">
      <c r="A1636" s="49"/>
      <c r="C1636" s="384"/>
      <c r="D1636" s="93"/>
      <c r="F1636" s="74"/>
      <c r="H1636" s="74"/>
      <c r="I1636" s="74"/>
      <c r="J1636" s="74"/>
      <c r="K1636" s="74" t="str">
        <f>if(F1636="SERVICE",O1636-(O1636*50%),Vlookup(F1636,DATABASE!C:Q,10,false)*G1636)</f>
        <v>#N/A</v>
      </c>
      <c r="L1636" s="74" t="str">
        <f>VLOOKUP(F1636,DATABASE!C:Q,7,FALSE)</f>
        <v>#N/A</v>
      </c>
      <c r="M1636" s="74"/>
      <c r="N1636" s="74">
        <f t="shared" si="11"/>
        <v>0</v>
      </c>
      <c r="O1636" s="74">
        <f t="shared" si="13"/>
        <v>0</v>
      </c>
      <c r="P1636" s="63">
        <f t="shared" si="14"/>
        <v>0</v>
      </c>
      <c r="Q1636" s="63" t="str">
        <f t="shared" si="15"/>
        <v>#N/A</v>
      </c>
      <c r="R1636" s="93" t="str">
        <f>VLOOKUP(F1636,DATABASE!C:Q,4,false)</f>
        <v>#N/A</v>
      </c>
      <c r="S1636" s="93" t="str">
        <f>VLOOKUP(F1636,DATABASE!C:P,11,false)</f>
        <v>#N/A</v>
      </c>
      <c r="T1636" s="93" t="str">
        <f>vlookup(F1636,DATABASE!C:Q,8,false)</f>
        <v>#N/A</v>
      </c>
      <c r="Z1636" s="9"/>
    </row>
    <row r="1637" ht="22.5" customHeight="1">
      <c r="A1637" s="49"/>
      <c r="C1637" s="384"/>
      <c r="D1637" s="93"/>
      <c r="F1637" s="74"/>
      <c r="H1637" s="74"/>
      <c r="I1637" s="74"/>
      <c r="J1637" s="74"/>
      <c r="K1637" s="74" t="str">
        <f>if(F1637="SERVICE",O1637-(O1637*50%),Vlookup(F1637,DATABASE!C:Q,10,false)*G1637)</f>
        <v>#N/A</v>
      </c>
      <c r="L1637" s="74" t="str">
        <f>VLOOKUP(F1637,DATABASE!C:Q,7,FALSE)</f>
        <v>#N/A</v>
      </c>
      <c r="M1637" s="74"/>
      <c r="N1637" s="74">
        <f t="shared" si="11"/>
        <v>0</v>
      </c>
      <c r="O1637" s="74">
        <f t="shared" si="13"/>
        <v>0</v>
      </c>
      <c r="P1637" s="63">
        <f t="shared" si="14"/>
        <v>0</v>
      </c>
      <c r="Q1637" s="63" t="str">
        <f t="shared" si="15"/>
        <v>#N/A</v>
      </c>
      <c r="R1637" s="93" t="str">
        <f>VLOOKUP(F1637,DATABASE!C:Q,4,false)</f>
        <v>#N/A</v>
      </c>
      <c r="S1637" s="93" t="str">
        <f>VLOOKUP(F1637,DATABASE!C:P,11,false)</f>
        <v>#N/A</v>
      </c>
      <c r="T1637" s="93" t="str">
        <f>vlookup(F1637,DATABASE!C:Q,8,false)</f>
        <v>#N/A</v>
      </c>
      <c r="Z1637" s="9"/>
    </row>
    <row r="1638" ht="22.5" customHeight="1">
      <c r="A1638" s="49"/>
      <c r="C1638" s="384"/>
      <c r="D1638" s="93"/>
      <c r="F1638" s="74"/>
      <c r="H1638" s="74"/>
      <c r="I1638" s="74"/>
      <c r="J1638" s="74"/>
      <c r="K1638" s="74" t="str">
        <f>if(F1638="SERVICE",O1638-(O1638*50%),Vlookup(F1638,DATABASE!C:Q,10,false)*G1638)</f>
        <v>#N/A</v>
      </c>
      <c r="L1638" s="74" t="str">
        <f>VLOOKUP(F1638,DATABASE!C:Q,7,FALSE)</f>
        <v>#N/A</v>
      </c>
      <c r="M1638" s="74"/>
      <c r="N1638" s="74">
        <f t="shared" si="11"/>
        <v>0</v>
      </c>
      <c r="O1638" s="74">
        <f t="shared" si="13"/>
        <v>0</v>
      </c>
      <c r="P1638" s="63">
        <f t="shared" si="14"/>
        <v>0</v>
      </c>
      <c r="Q1638" s="63" t="str">
        <f t="shared" si="15"/>
        <v>#N/A</v>
      </c>
      <c r="R1638" s="93" t="str">
        <f>VLOOKUP(F1638,DATABASE!C:Q,4,false)</f>
        <v>#N/A</v>
      </c>
      <c r="S1638" s="93" t="str">
        <f>VLOOKUP(F1638,DATABASE!C:P,11,false)</f>
        <v>#N/A</v>
      </c>
      <c r="T1638" s="93" t="str">
        <f>vlookup(F1638,DATABASE!C:Q,8,false)</f>
        <v>#N/A</v>
      </c>
      <c r="Z1638" s="9"/>
    </row>
    <row r="1639" ht="22.5" customHeight="1">
      <c r="A1639" s="49"/>
      <c r="C1639" s="384"/>
      <c r="D1639" s="93"/>
      <c r="F1639" s="74"/>
      <c r="H1639" s="74"/>
      <c r="I1639" s="74"/>
      <c r="J1639" s="74"/>
      <c r="K1639" s="74" t="str">
        <f>if(F1639="SERVICE",O1639-(O1639*50%),Vlookup(F1639,DATABASE!C:Q,10,false)*G1639)</f>
        <v>#N/A</v>
      </c>
      <c r="L1639" s="74" t="str">
        <f>VLOOKUP(F1639,DATABASE!C:Q,7,FALSE)</f>
        <v>#N/A</v>
      </c>
      <c r="M1639" s="74"/>
      <c r="N1639" s="74">
        <f t="shared" si="11"/>
        <v>0</v>
      </c>
      <c r="O1639" s="74">
        <f t="shared" si="13"/>
        <v>0</v>
      </c>
      <c r="P1639" s="63">
        <f t="shared" si="14"/>
        <v>0</v>
      </c>
      <c r="Q1639" s="63" t="str">
        <f t="shared" si="15"/>
        <v>#N/A</v>
      </c>
      <c r="R1639" s="93" t="str">
        <f>VLOOKUP(F1639,DATABASE!C:Q,4,false)</f>
        <v>#N/A</v>
      </c>
      <c r="S1639" s="93" t="str">
        <f>VLOOKUP(F1639,DATABASE!C:P,11,false)</f>
        <v>#N/A</v>
      </c>
      <c r="T1639" s="93" t="str">
        <f>vlookup(F1639,DATABASE!C:Q,8,false)</f>
        <v>#N/A</v>
      </c>
      <c r="Z1639" s="9"/>
    </row>
    <row r="1640" ht="22.5" customHeight="1">
      <c r="A1640" s="49"/>
      <c r="C1640" s="384"/>
      <c r="D1640" s="93"/>
      <c r="F1640" s="74"/>
      <c r="H1640" s="74"/>
      <c r="I1640" s="74"/>
      <c r="J1640" s="74"/>
      <c r="K1640" s="74" t="str">
        <f>if(F1640="SERVICE",O1640-(O1640*50%),Vlookup(F1640,DATABASE!C:Q,10,false)*G1640)</f>
        <v>#N/A</v>
      </c>
      <c r="L1640" s="74" t="str">
        <f>VLOOKUP(F1640,DATABASE!C:Q,7,FALSE)</f>
        <v>#N/A</v>
      </c>
      <c r="M1640" s="74"/>
      <c r="N1640" s="74">
        <f t="shared" si="11"/>
        <v>0</v>
      </c>
      <c r="O1640" s="74">
        <f t="shared" si="13"/>
        <v>0</v>
      </c>
      <c r="P1640" s="63">
        <f t="shared" si="14"/>
        <v>0</v>
      </c>
      <c r="Q1640" s="63" t="str">
        <f t="shared" si="15"/>
        <v>#N/A</v>
      </c>
      <c r="R1640" s="93" t="str">
        <f>VLOOKUP(F1640,DATABASE!C:Q,4,false)</f>
        <v>#N/A</v>
      </c>
      <c r="S1640" s="93" t="str">
        <f>VLOOKUP(F1640,DATABASE!C:P,11,false)</f>
        <v>#N/A</v>
      </c>
      <c r="T1640" s="93" t="str">
        <f>vlookup(F1640,DATABASE!C:Q,8,false)</f>
        <v>#N/A</v>
      </c>
      <c r="Z1640" s="9"/>
    </row>
    <row r="1641" ht="22.5" customHeight="1">
      <c r="A1641" s="49"/>
      <c r="C1641" s="384"/>
      <c r="D1641" s="93"/>
      <c r="F1641" s="74"/>
      <c r="H1641" s="74"/>
      <c r="I1641" s="74"/>
      <c r="J1641" s="74"/>
      <c r="K1641" s="74" t="str">
        <f>if(F1641="SERVICE",O1641-(O1641*50%),Vlookup(F1641,DATABASE!C:Q,10,false)*G1641)</f>
        <v>#N/A</v>
      </c>
      <c r="L1641" s="74" t="str">
        <f>VLOOKUP(F1641,DATABASE!C:Q,7,FALSE)</f>
        <v>#N/A</v>
      </c>
      <c r="M1641" s="74"/>
      <c r="N1641" s="74">
        <f t="shared" si="11"/>
        <v>0</v>
      </c>
      <c r="O1641" s="74">
        <f t="shared" si="13"/>
        <v>0</v>
      </c>
      <c r="P1641" s="63">
        <f t="shared" si="14"/>
        <v>0</v>
      </c>
      <c r="Q1641" s="63" t="str">
        <f t="shared" si="15"/>
        <v>#N/A</v>
      </c>
      <c r="R1641" s="93" t="str">
        <f>VLOOKUP(F1641,DATABASE!C:Q,4,false)</f>
        <v>#N/A</v>
      </c>
      <c r="S1641" s="93" t="str">
        <f>VLOOKUP(F1641,DATABASE!C:P,11,false)</f>
        <v>#N/A</v>
      </c>
      <c r="T1641" s="93" t="str">
        <f>vlookup(F1641,DATABASE!C:Q,8,false)</f>
        <v>#N/A</v>
      </c>
      <c r="Z1641" s="9"/>
    </row>
    <row r="1642" ht="22.5" customHeight="1">
      <c r="A1642" s="49"/>
      <c r="C1642" s="384"/>
      <c r="D1642" s="93"/>
      <c r="F1642" s="74"/>
      <c r="H1642" s="74"/>
      <c r="I1642" s="74"/>
      <c r="J1642" s="74"/>
      <c r="K1642" s="74" t="str">
        <f>if(F1642="SERVICE",O1642-(O1642*50%),Vlookup(F1642,DATABASE!C:Q,10,false)*G1642)</f>
        <v>#N/A</v>
      </c>
      <c r="L1642" s="74" t="str">
        <f>VLOOKUP(F1642,DATABASE!C:Q,7,FALSE)</f>
        <v>#N/A</v>
      </c>
      <c r="M1642" s="74"/>
      <c r="N1642" s="74">
        <f t="shared" si="11"/>
        <v>0</v>
      </c>
      <c r="O1642" s="74">
        <f t="shared" si="13"/>
        <v>0</v>
      </c>
      <c r="P1642" s="63">
        <f t="shared" si="14"/>
        <v>0</v>
      </c>
      <c r="Q1642" s="63" t="str">
        <f t="shared" si="15"/>
        <v>#N/A</v>
      </c>
      <c r="R1642" s="93" t="str">
        <f>VLOOKUP(F1642,DATABASE!C:Q,4,false)</f>
        <v>#N/A</v>
      </c>
      <c r="S1642" s="93" t="str">
        <f>VLOOKUP(F1642,DATABASE!C:P,11,false)</f>
        <v>#N/A</v>
      </c>
      <c r="T1642" s="93" t="str">
        <f>vlookup(F1642,DATABASE!C:Q,8,false)</f>
        <v>#N/A</v>
      </c>
      <c r="Z1642" s="9"/>
    </row>
    <row r="1643" ht="22.5" customHeight="1">
      <c r="A1643" s="49"/>
      <c r="C1643" s="384"/>
      <c r="D1643" s="93"/>
      <c r="F1643" s="74"/>
      <c r="H1643" s="74"/>
      <c r="I1643" s="74"/>
      <c r="J1643" s="74"/>
      <c r="K1643" s="74" t="str">
        <f>if(F1643="SERVICE",O1643-(O1643*50%),Vlookup(F1643,DATABASE!C:Q,10,false)*G1643)</f>
        <v>#N/A</v>
      </c>
      <c r="L1643" s="74" t="str">
        <f>VLOOKUP(F1643,DATABASE!C:Q,7,FALSE)</f>
        <v>#N/A</v>
      </c>
      <c r="M1643" s="74"/>
      <c r="N1643" s="74">
        <f t="shared" si="11"/>
        <v>0</v>
      </c>
      <c r="O1643" s="74">
        <f t="shared" si="13"/>
        <v>0</v>
      </c>
      <c r="P1643" s="63">
        <f t="shared" si="14"/>
        <v>0</v>
      </c>
      <c r="Q1643" s="63" t="str">
        <f t="shared" si="15"/>
        <v>#N/A</v>
      </c>
      <c r="R1643" s="93" t="str">
        <f>VLOOKUP(F1643,DATABASE!C:Q,4,false)</f>
        <v>#N/A</v>
      </c>
      <c r="S1643" s="93" t="str">
        <f>VLOOKUP(F1643,DATABASE!C:P,11,false)</f>
        <v>#N/A</v>
      </c>
      <c r="T1643" s="93" t="str">
        <f>vlookup(F1643,DATABASE!C:Q,8,false)</f>
        <v>#N/A</v>
      </c>
      <c r="Z1643" s="9"/>
    </row>
    <row r="1644" ht="22.5" customHeight="1">
      <c r="A1644" s="49"/>
      <c r="C1644" s="384"/>
      <c r="D1644" s="93"/>
      <c r="F1644" s="74"/>
      <c r="H1644" s="74"/>
      <c r="I1644" s="74"/>
      <c r="J1644" s="74"/>
      <c r="K1644" s="74" t="str">
        <f>if(F1644="SERVICE",O1644-(O1644*50%),Vlookup(F1644,DATABASE!C:Q,10,false)*G1644)</f>
        <v>#N/A</v>
      </c>
      <c r="L1644" s="74" t="str">
        <f>VLOOKUP(F1644,DATABASE!C:Q,7,FALSE)</f>
        <v>#N/A</v>
      </c>
      <c r="M1644" s="74"/>
      <c r="N1644" s="74">
        <f t="shared" si="11"/>
        <v>0</v>
      </c>
      <c r="O1644" s="74">
        <f t="shared" si="13"/>
        <v>0</v>
      </c>
      <c r="P1644" s="63">
        <f t="shared" si="14"/>
        <v>0</v>
      </c>
      <c r="Q1644" s="63" t="str">
        <f t="shared" si="15"/>
        <v>#N/A</v>
      </c>
      <c r="R1644" s="93" t="str">
        <f>VLOOKUP(F1644,DATABASE!C:Q,4,false)</f>
        <v>#N/A</v>
      </c>
      <c r="S1644" s="93" t="str">
        <f>VLOOKUP(F1644,DATABASE!C:P,11,false)</f>
        <v>#N/A</v>
      </c>
      <c r="T1644" s="93" t="str">
        <f>vlookup(F1644,DATABASE!C:Q,8,false)</f>
        <v>#N/A</v>
      </c>
      <c r="Z1644" s="9"/>
    </row>
    <row r="1645" ht="22.5" customHeight="1">
      <c r="A1645" s="49"/>
      <c r="C1645" s="384"/>
      <c r="D1645" s="93"/>
      <c r="F1645" s="74"/>
      <c r="H1645" s="74"/>
      <c r="I1645" s="74"/>
      <c r="J1645" s="74"/>
      <c r="K1645" s="74" t="str">
        <f>if(F1645="SERVICE",O1645-(O1645*50%),Vlookup(F1645,DATABASE!C:Q,10,false)*G1645)</f>
        <v>#N/A</v>
      </c>
      <c r="L1645" s="74" t="str">
        <f>VLOOKUP(F1645,DATABASE!C:Q,7,FALSE)</f>
        <v>#N/A</v>
      </c>
      <c r="M1645" s="74"/>
      <c r="N1645" s="74">
        <f t="shared" si="11"/>
        <v>0</v>
      </c>
      <c r="O1645" s="74">
        <f t="shared" si="13"/>
        <v>0</v>
      </c>
      <c r="P1645" s="63">
        <f t="shared" si="14"/>
        <v>0</v>
      </c>
      <c r="Q1645" s="63" t="str">
        <f t="shared" si="15"/>
        <v>#N/A</v>
      </c>
      <c r="R1645" s="93" t="str">
        <f>VLOOKUP(F1645,DATABASE!C:Q,4,false)</f>
        <v>#N/A</v>
      </c>
      <c r="S1645" s="93" t="str">
        <f>VLOOKUP(F1645,DATABASE!C:P,11,false)</f>
        <v>#N/A</v>
      </c>
      <c r="T1645" s="93" t="str">
        <f>vlookup(F1645,DATABASE!C:Q,8,false)</f>
        <v>#N/A</v>
      </c>
      <c r="Z1645" s="9"/>
    </row>
    <row r="1646" ht="22.5" customHeight="1">
      <c r="A1646" s="49"/>
      <c r="C1646" s="384"/>
      <c r="D1646" s="93"/>
      <c r="F1646" s="74"/>
      <c r="H1646" s="74"/>
      <c r="I1646" s="74"/>
      <c r="J1646" s="74"/>
      <c r="K1646" s="74" t="str">
        <f>if(F1646="SERVICE",O1646-(O1646*50%),Vlookup(F1646,DATABASE!C:Q,10,false)*G1646)</f>
        <v>#N/A</v>
      </c>
      <c r="L1646" s="74" t="str">
        <f>VLOOKUP(F1646,DATABASE!C:Q,7,FALSE)</f>
        <v>#N/A</v>
      </c>
      <c r="M1646" s="74"/>
      <c r="N1646" s="74">
        <f t="shared" si="11"/>
        <v>0</v>
      </c>
      <c r="O1646" s="74">
        <f t="shared" si="13"/>
        <v>0</v>
      </c>
      <c r="P1646" s="63">
        <f t="shared" si="14"/>
        <v>0</v>
      </c>
      <c r="Q1646" s="63" t="str">
        <f t="shared" si="15"/>
        <v>#N/A</v>
      </c>
      <c r="R1646" s="93" t="str">
        <f>VLOOKUP(F1646,DATABASE!C:Q,4,false)</f>
        <v>#N/A</v>
      </c>
      <c r="S1646" s="93" t="str">
        <f>VLOOKUP(F1646,DATABASE!C:P,11,false)</f>
        <v>#N/A</v>
      </c>
      <c r="T1646" s="93" t="str">
        <f>vlookup(F1646,DATABASE!C:Q,8,false)</f>
        <v>#N/A</v>
      </c>
      <c r="Z1646" s="9"/>
    </row>
    <row r="1647" ht="22.5" customHeight="1">
      <c r="A1647" s="49"/>
      <c r="C1647" s="384"/>
      <c r="D1647" s="93"/>
      <c r="F1647" s="74"/>
      <c r="H1647" s="74"/>
      <c r="I1647" s="74"/>
      <c r="J1647" s="74"/>
      <c r="K1647" s="74" t="str">
        <f>if(F1647="SERVICE",O1647-(O1647*50%),Vlookup(F1647,DATABASE!C:Q,10,false)*G1647)</f>
        <v>#N/A</v>
      </c>
      <c r="L1647" s="74" t="str">
        <f>VLOOKUP(F1647,DATABASE!C:Q,7,FALSE)</f>
        <v>#N/A</v>
      </c>
      <c r="M1647" s="74"/>
      <c r="N1647" s="74">
        <f t="shared" si="11"/>
        <v>0</v>
      </c>
      <c r="O1647" s="74">
        <f t="shared" si="13"/>
        <v>0</v>
      </c>
      <c r="P1647" s="63">
        <f t="shared" si="14"/>
        <v>0</v>
      </c>
      <c r="Q1647" s="63" t="str">
        <f t="shared" si="15"/>
        <v>#N/A</v>
      </c>
      <c r="R1647" s="93" t="str">
        <f>VLOOKUP(F1647,DATABASE!C:Q,4,false)</f>
        <v>#N/A</v>
      </c>
      <c r="S1647" s="93" t="str">
        <f>VLOOKUP(F1647,DATABASE!C:P,11,false)</f>
        <v>#N/A</v>
      </c>
      <c r="T1647" s="93" t="str">
        <f>vlookup(F1647,DATABASE!C:Q,8,false)</f>
        <v>#N/A</v>
      </c>
      <c r="Z1647" s="9"/>
    </row>
    <row r="1648" ht="22.5" customHeight="1">
      <c r="A1648" s="49"/>
      <c r="C1648" s="384"/>
      <c r="D1648" s="93"/>
      <c r="F1648" s="74"/>
      <c r="H1648" s="74"/>
      <c r="I1648" s="74"/>
      <c r="J1648" s="74"/>
      <c r="K1648" s="74" t="str">
        <f>if(F1648="SERVICE",O1648-(O1648*50%),Vlookup(F1648,DATABASE!C:Q,10,false)*G1648)</f>
        <v>#N/A</v>
      </c>
      <c r="L1648" s="74" t="str">
        <f>VLOOKUP(F1648,DATABASE!C:Q,7,FALSE)</f>
        <v>#N/A</v>
      </c>
      <c r="M1648" s="74"/>
      <c r="N1648" s="74">
        <f t="shared" si="11"/>
        <v>0</v>
      </c>
      <c r="O1648" s="74">
        <f t="shared" si="13"/>
        <v>0</v>
      </c>
      <c r="P1648" s="63">
        <f t="shared" si="14"/>
        <v>0</v>
      </c>
      <c r="Q1648" s="63" t="str">
        <f t="shared" si="15"/>
        <v>#N/A</v>
      </c>
      <c r="R1648" s="93" t="str">
        <f>VLOOKUP(F1648,DATABASE!C:Q,4,false)</f>
        <v>#N/A</v>
      </c>
      <c r="S1648" s="93" t="str">
        <f>VLOOKUP(F1648,DATABASE!C:P,11,false)</f>
        <v>#N/A</v>
      </c>
      <c r="T1648" s="93" t="str">
        <f>vlookup(F1648,DATABASE!C:Q,8,false)</f>
        <v>#N/A</v>
      </c>
      <c r="Z1648" s="9"/>
    </row>
    <row r="1649" ht="22.5" customHeight="1">
      <c r="A1649" s="49"/>
      <c r="C1649" s="384"/>
      <c r="D1649" s="93"/>
      <c r="F1649" s="74"/>
      <c r="H1649" s="74"/>
      <c r="I1649" s="74"/>
      <c r="J1649" s="74"/>
      <c r="K1649" s="74" t="str">
        <f>if(F1649="SERVICE",O1649-(O1649*50%),Vlookup(F1649,DATABASE!C:Q,10,false)*G1649)</f>
        <v>#N/A</v>
      </c>
      <c r="L1649" s="74" t="str">
        <f>VLOOKUP(F1649,DATABASE!C:Q,7,FALSE)</f>
        <v>#N/A</v>
      </c>
      <c r="M1649" s="74"/>
      <c r="N1649" s="74">
        <f t="shared" si="11"/>
        <v>0</v>
      </c>
      <c r="O1649" s="74">
        <f t="shared" si="13"/>
        <v>0</v>
      </c>
      <c r="P1649" s="63">
        <f t="shared" si="14"/>
        <v>0</v>
      </c>
      <c r="Q1649" s="63" t="str">
        <f t="shared" si="15"/>
        <v>#N/A</v>
      </c>
      <c r="R1649" s="93" t="str">
        <f>VLOOKUP(F1649,DATABASE!C:Q,4,false)</f>
        <v>#N/A</v>
      </c>
      <c r="S1649" s="93" t="str">
        <f>VLOOKUP(F1649,DATABASE!C:P,11,false)</f>
        <v>#N/A</v>
      </c>
      <c r="T1649" s="93" t="str">
        <f>vlookup(F1649,DATABASE!C:Q,8,false)</f>
        <v>#N/A</v>
      </c>
      <c r="Z1649" s="9"/>
    </row>
    <row r="1650" ht="22.5" customHeight="1">
      <c r="A1650" s="49"/>
      <c r="C1650" s="384"/>
      <c r="D1650" s="93"/>
      <c r="F1650" s="74"/>
      <c r="H1650" s="74"/>
      <c r="I1650" s="74"/>
      <c r="J1650" s="74"/>
      <c r="K1650" s="74" t="str">
        <f>if(F1650="SERVICE",O1650-(O1650*50%),Vlookup(F1650,DATABASE!C:Q,10,false)*G1650)</f>
        <v>#N/A</v>
      </c>
      <c r="L1650" s="74" t="str">
        <f>VLOOKUP(F1650,DATABASE!C:Q,7,FALSE)</f>
        <v>#N/A</v>
      </c>
      <c r="M1650" s="74"/>
      <c r="N1650" s="74">
        <f t="shared" si="11"/>
        <v>0</v>
      </c>
      <c r="O1650" s="74">
        <f t="shared" si="13"/>
        <v>0</v>
      </c>
      <c r="P1650" s="63">
        <f t="shared" si="14"/>
        <v>0</v>
      </c>
      <c r="Q1650" s="63" t="str">
        <f t="shared" si="15"/>
        <v>#N/A</v>
      </c>
      <c r="R1650" s="93" t="str">
        <f>VLOOKUP(F1650,DATABASE!C:Q,4,false)</f>
        <v>#N/A</v>
      </c>
      <c r="S1650" s="93" t="str">
        <f>VLOOKUP(F1650,DATABASE!C:P,11,false)</f>
        <v>#N/A</v>
      </c>
      <c r="T1650" s="93" t="str">
        <f>vlookup(F1650,DATABASE!C:Q,8,false)</f>
        <v>#N/A</v>
      </c>
      <c r="Z1650" s="9"/>
    </row>
    <row r="1651" ht="22.5" customHeight="1">
      <c r="A1651" s="49"/>
      <c r="C1651" s="384"/>
      <c r="D1651" s="93"/>
      <c r="F1651" s="74"/>
      <c r="H1651" s="74"/>
      <c r="I1651" s="74"/>
      <c r="J1651" s="74"/>
      <c r="K1651" s="74" t="str">
        <f>if(F1651="SERVICE",O1651-(O1651*50%),Vlookup(F1651,DATABASE!C:Q,10,false)*G1651)</f>
        <v>#N/A</v>
      </c>
      <c r="L1651" s="74" t="str">
        <f>VLOOKUP(F1651,DATABASE!C:Q,7,FALSE)</f>
        <v>#N/A</v>
      </c>
      <c r="M1651" s="74"/>
      <c r="N1651" s="74">
        <f t="shared" si="11"/>
        <v>0</v>
      </c>
      <c r="O1651" s="74">
        <f t="shared" si="13"/>
        <v>0</v>
      </c>
      <c r="P1651" s="63">
        <f t="shared" si="14"/>
        <v>0</v>
      </c>
      <c r="Q1651" s="63" t="str">
        <f t="shared" si="15"/>
        <v>#N/A</v>
      </c>
      <c r="R1651" s="93" t="str">
        <f>VLOOKUP(F1651,DATABASE!C:Q,4,false)</f>
        <v>#N/A</v>
      </c>
      <c r="S1651" s="93" t="str">
        <f>VLOOKUP(F1651,DATABASE!C:P,11,false)</f>
        <v>#N/A</v>
      </c>
      <c r="T1651" s="93" t="str">
        <f>vlookup(F1651,DATABASE!C:Q,8,false)</f>
        <v>#N/A</v>
      </c>
      <c r="Z1651" s="9"/>
    </row>
    <row r="1652" ht="22.5" customHeight="1">
      <c r="A1652" s="49"/>
      <c r="C1652" s="384"/>
      <c r="D1652" s="93"/>
      <c r="F1652" s="74"/>
      <c r="H1652" s="74"/>
      <c r="I1652" s="74"/>
      <c r="J1652" s="74"/>
      <c r="K1652" s="74" t="str">
        <f>if(F1652="SERVICE",O1652-(O1652*50%),Vlookup(F1652,DATABASE!C:Q,10,false)*G1652)</f>
        <v>#N/A</v>
      </c>
      <c r="L1652" s="74" t="str">
        <f>VLOOKUP(F1652,DATABASE!C:Q,7,FALSE)</f>
        <v>#N/A</v>
      </c>
      <c r="M1652" s="74"/>
      <c r="N1652" s="74">
        <f t="shared" si="11"/>
        <v>0</v>
      </c>
      <c r="O1652" s="74">
        <f t="shared" si="13"/>
        <v>0</v>
      </c>
      <c r="P1652" s="63">
        <f t="shared" si="14"/>
        <v>0</v>
      </c>
      <c r="Q1652" s="63" t="str">
        <f t="shared" si="15"/>
        <v>#N/A</v>
      </c>
      <c r="R1652" s="93" t="str">
        <f>VLOOKUP(F1652,DATABASE!C:Q,4,false)</f>
        <v>#N/A</v>
      </c>
      <c r="S1652" s="93" t="str">
        <f>VLOOKUP(F1652,DATABASE!C:P,11,false)</f>
        <v>#N/A</v>
      </c>
      <c r="T1652" s="93" t="str">
        <f>vlookup(F1652,DATABASE!C:Q,8,false)</f>
        <v>#N/A</v>
      </c>
      <c r="Z1652" s="9"/>
    </row>
    <row r="1653" ht="22.5" customHeight="1">
      <c r="A1653" s="49"/>
      <c r="C1653" s="384"/>
      <c r="D1653" s="93"/>
      <c r="F1653" s="74"/>
      <c r="H1653" s="74"/>
      <c r="I1653" s="74"/>
      <c r="J1653" s="74"/>
      <c r="K1653" s="74" t="str">
        <f>if(F1653="SERVICE",O1653-(O1653*50%),Vlookup(F1653,DATABASE!C:Q,10,false)*G1653)</f>
        <v>#N/A</v>
      </c>
      <c r="L1653" s="74" t="str">
        <f>VLOOKUP(F1653,DATABASE!C:Q,7,FALSE)</f>
        <v>#N/A</v>
      </c>
      <c r="M1653" s="74"/>
      <c r="N1653" s="74">
        <f t="shared" si="11"/>
        <v>0</v>
      </c>
      <c r="O1653" s="74">
        <f t="shared" si="13"/>
        <v>0</v>
      </c>
      <c r="P1653" s="63">
        <f t="shared" si="14"/>
        <v>0</v>
      </c>
      <c r="Q1653" s="63" t="str">
        <f t="shared" si="15"/>
        <v>#N/A</v>
      </c>
      <c r="R1653" s="93" t="str">
        <f>VLOOKUP(F1653,DATABASE!C:Q,4,false)</f>
        <v>#N/A</v>
      </c>
      <c r="S1653" s="93" t="str">
        <f>VLOOKUP(F1653,DATABASE!C:P,11,false)</f>
        <v>#N/A</v>
      </c>
      <c r="T1653" s="93" t="str">
        <f>vlookup(F1653,DATABASE!C:Q,8,false)</f>
        <v>#N/A</v>
      </c>
      <c r="Z1653" s="9"/>
    </row>
    <row r="1654" ht="22.5" customHeight="1">
      <c r="A1654" s="49"/>
      <c r="C1654" s="384"/>
      <c r="D1654" s="93"/>
      <c r="F1654" s="74"/>
      <c r="H1654" s="74"/>
      <c r="I1654" s="74"/>
      <c r="J1654" s="74"/>
      <c r="K1654" s="74" t="str">
        <f>if(F1654="SERVICE",O1654-(O1654*50%),Vlookup(F1654,DATABASE!C:Q,10,false)*G1654)</f>
        <v>#N/A</v>
      </c>
      <c r="L1654" s="74" t="str">
        <f>VLOOKUP(F1654,DATABASE!C:Q,7,FALSE)</f>
        <v>#N/A</v>
      </c>
      <c r="M1654" s="74"/>
      <c r="N1654" s="74">
        <f t="shared" si="11"/>
        <v>0</v>
      </c>
      <c r="O1654" s="74">
        <f t="shared" si="13"/>
        <v>0</v>
      </c>
      <c r="P1654" s="63">
        <f t="shared" si="14"/>
        <v>0</v>
      </c>
      <c r="Q1654" s="63" t="str">
        <f t="shared" si="15"/>
        <v>#N/A</v>
      </c>
      <c r="R1654" s="93" t="str">
        <f>VLOOKUP(F1654,DATABASE!C:Q,4,false)</f>
        <v>#N/A</v>
      </c>
      <c r="S1654" s="93" t="str">
        <f>VLOOKUP(F1654,DATABASE!C:P,11,false)</f>
        <v>#N/A</v>
      </c>
      <c r="T1654" s="93" t="str">
        <f>vlookup(F1654,DATABASE!C:Q,8,false)</f>
        <v>#N/A</v>
      </c>
      <c r="Z1654" s="9"/>
    </row>
    <row r="1655" ht="22.5" customHeight="1">
      <c r="A1655" s="49"/>
      <c r="C1655" s="384"/>
      <c r="D1655" s="93"/>
      <c r="F1655" s="74"/>
      <c r="H1655" s="74"/>
      <c r="I1655" s="74"/>
      <c r="J1655" s="74"/>
      <c r="K1655" s="74" t="str">
        <f>if(F1655="SERVICE",O1655-(O1655*50%),Vlookup(F1655,DATABASE!C:Q,10,false)*G1655)</f>
        <v>#N/A</v>
      </c>
      <c r="L1655" s="74" t="str">
        <f>VLOOKUP(F1655,DATABASE!C:Q,7,FALSE)</f>
        <v>#N/A</v>
      </c>
      <c r="M1655" s="74"/>
      <c r="N1655" s="74">
        <f t="shared" si="11"/>
        <v>0</v>
      </c>
      <c r="O1655" s="74">
        <f t="shared" si="13"/>
        <v>0</v>
      </c>
      <c r="P1655" s="63">
        <f t="shared" si="14"/>
        <v>0</v>
      </c>
      <c r="Q1655" s="63" t="str">
        <f t="shared" si="15"/>
        <v>#N/A</v>
      </c>
      <c r="R1655" s="93" t="str">
        <f>VLOOKUP(F1655,DATABASE!C:Q,4,false)</f>
        <v>#N/A</v>
      </c>
      <c r="S1655" s="93" t="str">
        <f>VLOOKUP(F1655,DATABASE!C:P,11,false)</f>
        <v>#N/A</v>
      </c>
      <c r="T1655" s="93" t="str">
        <f>vlookup(F1655,DATABASE!C:Q,8,false)</f>
        <v>#N/A</v>
      </c>
      <c r="Z1655" s="9"/>
    </row>
    <row r="1656" ht="22.5" customHeight="1">
      <c r="A1656" s="49"/>
      <c r="C1656" s="384"/>
      <c r="D1656" s="93"/>
      <c r="F1656" s="74"/>
      <c r="H1656" s="74"/>
      <c r="I1656" s="74"/>
      <c r="J1656" s="74"/>
      <c r="K1656" s="74" t="str">
        <f>if(F1656="SERVICE",O1656-(O1656*50%),Vlookup(F1656,DATABASE!C:Q,10,false)*G1656)</f>
        <v>#N/A</v>
      </c>
      <c r="L1656" s="74" t="str">
        <f>VLOOKUP(F1656,DATABASE!C:Q,7,FALSE)</f>
        <v>#N/A</v>
      </c>
      <c r="M1656" s="74"/>
      <c r="N1656" s="74">
        <f t="shared" si="11"/>
        <v>0</v>
      </c>
      <c r="O1656" s="74">
        <f t="shared" si="13"/>
        <v>0</v>
      </c>
      <c r="P1656" s="63">
        <f t="shared" si="14"/>
        <v>0</v>
      </c>
      <c r="Q1656" s="63" t="str">
        <f t="shared" si="15"/>
        <v>#N/A</v>
      </c>
      <c r="R1656" s="93" t="str">
        <f>VLOOKUP(F1656,DATABASE!C:Q,4,false)</f>
        <v>#N/A</v>
      </c>
      <c r="S1656" s="93" t="str">
        <f>VLOOKUP(F1656,DATABASE!C:P,11,false)</f>
        <v>#N/A</v>
      </c>
      <c r="T1656" s="93" t="str">
        <f>vlookup(F1656,DATABASE!C:Q,8,false)</f>
        <v>#N/A</v>
      </c>
      <c r="Z1656" s="9"/>
    </row>
    <row r="1657" ht="22.5" customHeight="1">
      <c r="A1657" s="49"/>
      <c r="C1657" s="384"/>
      <c r="D1657" s="93"/>
      <c r="F1657" s="74"/>
      <c r="H1657" s="74"/>
      <c r="I1657" s="74"/>
      <c r="J1657" s="74"/>
      <c r="K1657" s="74" t="str">
        <f>if(F1657="SERVICE",O1657-(O1657*50%),Vlookup(F1657,DATABASE!C:Q,10,false)*G1657)</f>
        <v>#N/A</v>
      </c>
      <c r="L1657" s="74" t="str">
        <f>VLOOKUP(F1657,DATABASE!C:Q,7,FALSE)</f>
        <v>#N/A</v>
      </c>
      <c r="M1657" s="74"/>
      <c r="N1657" s="74">
        <f t="shared" si="11"/>
        <v>0</v>
      </c>
      <c r="O1657" s="74">
        <f t="shared" si="13"/>
        <v>0</v>
      </c>
      <c r="P1657" s="63">
        <f t="shared" si="14"/>
        <v>0</v>
      </c>
      <c r="Q1657" s="63" t="str">
        <f t="shared" si="15"/>
        <v>#N/A</v>
      </c>
      <c r="R1657" s="93" t="str">
        <f>VLOOKUP(F1657,DATABASE!C:Q,4,false)</f>
        <v>#N/A</v>
      </c>
      <c r="S1657" s="93" t="str">
        <f>VLOOKUP(F1657,DATABASE!C:P,11,false)</f>
        <v>#N/A</v>
      </c>
      <c r="T1657" s="93" t="str">
        <f>vlookup(F1657,DATABASE!C:Q,8,false)</f>
        <v>#N/A</v>
      </c>
      <c r="Z1657" s="9"/>
    </row>
    <row r="1658" ht="22.5" customHeight="1">
      <c r="A1658" s="49"/>
      <c r="C1658" s="384"/>
      <c r="D1658" s="93"/>
      <c r="F1658" s="74"/>
      <c r="H1658" s="74"/>
      <c r="I1658" s="74"/>
      <c r="J1658" s="74"/>
      <c r="K1658" s="74" t="str">
        <f>if(F1658="SERVICE",O1658-(O1658*50%),Vlookup(F1658,DATABASE!C:Q,10,false)*G1658)</f>
        <v>#N/A</v>
      </c>
      <c r="L1658" s="74" t="str">
        <f>VLOOKUP(F1658,DATABASE!C:Q,7,FALSE)</f>
        <v>#N/A</v>
      </c>
      <c r="M1658" s="74"/>
      <c r="N1658" s="74">
        <f t="shared" si="11"/>
        <v>0</v>
      </c>
      <c r="O1658" s="74">
        <f t="shared" si="13"/>
        <v>0</v>
      </c>
      <c r="P1658" s="63">
        <f t="shared" si="14"/>
        <v>0</v>
      </c>
      <c r="Q1658" s="63" t="str">
        <f t="shared" si="15"/>
        <v>#N/A</v>
      </c>
      <c r="R1658" s="93" t="str">
        <f>VLOOKUP(F1658,DATABASE!C:Q,4,false)</f>
        <v>#N/A</v>
      </c>
      <c r="S1658" s="93" t="str">
        <f>VLOOKUP(F1658,DATABASE!C:P,11,false)</f>
        <v>#N/A</v>
      </c>
      <c r="T1658" s="93" t="str">
        <f>vlookup(F1658,DATABASE!C:Q,8,false)</f>
        <v>#N/A</v>
      </c>
      <c r="Z1658" s="9"/>
    </row>
    <row r="1659" ht="22.5" customHeight="1">
      <c r="A1659" s="49"/>
      <c r="C1659" s="384"/>
      <c r="D1659" s="93"/>
      <c r="F1659" s="74"/>
      <c r="H1659" s="74"/>
      <c r="I1659" s="74"/>
      <c r="J1659" s="74"/>
      <c r="K1659" s="74" t="str">
        <f>if(F1659="SERVICE",O1659-(O1659*50%),Vlookup(F1659,DATABASE!C:Q,10,false)*G1659)</f>
        <v>#N/A</v>
      </c>
      <c r="L1659" s="74" t="str">
        <f>VLOOKUP(F1659,DATABASE!C:Q,7,FALSE)</f>
        <v>#N/A</v>
      </c>
      <c r="M1659" s="74"/>
      <c r="N1659" s="74">
        <f t="shared" si="11"/>
        <v>0</v>
      </c>
      <c r="O1659" s="74">
        <f t="shared" si="13"/>
        <v>0</v>
      </c>
      <c r="P1659" s="63">
        <f t="shared" si="14"/>
        <v>0</v>
      </c>
      <c r="Q1659" s="63" t="str">
        <f t="shared" si="15"/>
        <v>#N/A</v>
      </c>
      <c r="R1659" s="93" t="str">
        <f>VLOOKUP(F1659,DATABASE!C:Q,4,false)</f>
        <v>#N/A</v>
      </c>
      <c r="S1659" s="93" t="str">
        <f>VLOOKUP(F1659,DATABASE!C:P,11,false)</f>
        <v>#N/A</v>
      </c>
      <c r="T1659" s="93" t="str">
        <f>vlookup(F1659,DATABASE!C:Q,8,false)</f>
        <v>#N/A</v>
      </c>
      <c r="Z1659" s="9"/>
    </row>
    <row r="1660" ht="22.5" customHeight="1">
      <c r="A1660" s="49"/>
      <c r="C1660" s="384"/>
      <c r="D1660" s="93"/>
      <c r="F1660" s="74"/>
      <c r="H1660" s="74"/>
      <c r="I1660" s="74"/>
      <c r="J1660" s="74"/>
      <c r="K1660" s="74" t="str">
        <f>if(F1660="SERVICE",O1660-(O1660*50%),Vlookup(F1660,DATABASE!C:Q,10,false)*G1660)</f>
        <v>#N/A</v>
      </c>
      <c r="L1660" s="74" t="str">
        <f>VLOOKUP(F1660,DATABASE!C:Q,7,FALSE)</f>
        <v>#N/A</v>
      </c>
      <c r="M1660" s="74"/>
      <c r="N1660" s="74">
        <f t="shared" si="11"/>
        <v>0</v>
      </c>
      <c r="O1660" s="74">
        <f t="shared" si="13"/>
        <v>0</v>
      </c>
      <c r="P1660" s="63">
        <f t="shared" si="14"/>
        <v>0</v>
      </c>
      <c r="Q1660" s="63" t="str">
        <f t="shared" si="15"/>
        <v>#N/A</v>
      </c>
      <c r="R1660" s="93" t="str">
        <f>VLOOKUP(F1660,DATABASE!C:Q,4,false)</f>
        <v>#N/A</v>
      </c>
      <c r="S1660" s="93" t="str">
        <f>VLOOKUP(F1660,DATABASE!C:P,11,false)</f>
        <v>#N/A</v>
      </c>
      <c r="T1660" s="93" t="str">
        <f>vlookup(F1660,DATABASE!C:Q,8,false)</f>
        <v>#N/A</v>
      </c>
      <c r="Z1660" s="9"/>
    </row>
    <row r="1661" ht="22.5" customHeight="1">
      <c r="A1661" s="49"/>
      <c r="C1661" s="384"/>
      <c r="D1661" s="93"/>
      <c r="F1661" s="74"/>
      <c r="H1661" s="74"/>
      <c r="I1661" s="74"/>
      <c r="J1661" s="74"/>
      <c r="K1661" s="74" t="str">
        <f>if(F1661="SERVICE",O1661-(O1661*50%),Vlookup(F1661,DATABASE!C:Q,10,false)*G1661)</f>
        <v>#N/A</v>
      </c>
      <c r="L1661" s="74" t="str">
        <f>VLOOKUP(F1661,DATABASE!C:Q,7,FALSE)</f>
        <v>#N/A</v>
      </c>
      <c r="M1661" s="74"/>
      <c r="N1661" s="74">
        <f t="shared" si="11"/>
        <v>0</v>
      </c>
      <c r="O1661" s="74">
        <f t="shared" si="13"/>
        <v>0</v>
      </c>
      <c r="P1661" s="63">
        <f t="shared" si="14"/>
        <v>0</v>
      </c>
      <c r="Q1661" s="63" t="str">
        <f t="shared" si="15"/>
        <v>#N/A</v>
      </c>
      <c r="R1661" s="93" t="str">
        <f>VLOOKUP(F1661,DATABASE!C:Q,4,false)</f>
        <v>#N/A</v>
      </c>
      <c r="S1661" s="93" t="str">
        <f>VLOOKUP(F1661,DATABASE!C:P,11,false)</f>
        <v>#N/A</v>
      </c>
      <c r="T1661" s="93" t="str">
        <f>vlookup(F1661,DATABASE!C:Q,8,false)</f>
        <v>#N/A</v>
      </c>
      <c r="Z1661" s="9"/>
    </row>
    <row r="1662" ht="22.5" customHeight="1">
      <c r="A1662" s="49"/>
      <c r="C1662" s="384"/>
      <c r="D1662" s="93"/>
      <c r="F1662" s="74"/>
      <c r="H1662" s="74"/>
      <c r="I1662" s="74"/>
      <c r="J1662" s="74"/>
      <c r="K1662" s="74" t="str">
        <f>if(F1662="SERVICE",O1662-(O1662*50%),Vlookup(F1662,DATABASE!C:Q,10,false)*G1662)</f>
        <v>#N/A</v>
      </c>
      <c r="L1662" s="74" t="str">
        <f>VLOOKUP(F1662,DATABASE!C:Q,7,FALSE)</f>
        <v>#N/A</v>
      </c>
      <c r="M1662" s="74"/>
      <c r="N1662" s="74">
        <f t="shared" si="11"/>
        <v>0</v>
      </c>
      <c r="O1662" s="74">
        <f t="shared" si="13"/>
        <v>0</v>
      </c>
      <c r="P1662" s="63">
        <f t="shared" si="14"/>
        <v>0</v>
      </c>
      <c r="Q1662" s="63" t="str">
        <f t="shared" si="15"/>
        <v>#N/A</v>
      </c>
      <c r="R1662" s="93" t="str">
        <f>VLOOKUP(F1662,DATABASE!C:Q,4,false)</f>
        <v>#N/A</v>
      </c>
      <c r="S1662" s="93" t="str">
        <f>VLOOKUP(F1662,DATABASE!C:P,11,false)</f>
        <v>#N/A</v>
      </c>
      <c r="T1662" s="93" t="str">
        <f>vlookup(F1662,DATABASE!C:Q,8,false)</f>
        <v>#N/A</v>
      </c>
      <c r="Z1662" s="9"/>
    </row>
    <row r="1663" ht="22.5" customHeight="1">
      <c r="A1663" s="49"/>
      <c r="C1663" s="384"/>
      <c r="D1663" s="93"/>
      <c r="F1663" s="74"/>
      <c r="H1663" s="74"/>
      <c r="I1663" s="74"/>
      <c r="J1663" s="74"/>
      <c r="K1663" s="74" t="str">
        <f>if(F1663="SERVICE",O1663-(O1663*50%),Vlookup(F1663,DATABASE!C:Q,10,false)*G1663)</f>
        <v>#N/A</v>
      </c>
      <c r="L1663" s="74" t="str">
        <f>VLOOKUP(F1663,DATABASE!C:Q,7,FALSE)</f>
        <v>#N/A</v>
      </c>
      <c r="M1663" s="74"/>
      <c r="N1663" s="74">
        <f t="shared" si="11"/>
        <v>0</v>
      </c>
      <c r="O1663" s="74">
        <f t="shared" si="13"/>
        <v>0</v>
      </c>
      <c r="P1663" s="63">
        <f t="shared" si="14"/>
        <v>0</v>
      </c>
      <c r="Q1663" s="63" t="str">
        <f t="shared" si="15"/>
        <v>#N/A</v>
      </c>
      <c r="R1663" s="93" t="str">
        <f>VLOOKUP(F1663,DATABASE!C:Q,4,false)</f>
        <v>#N/A</v>
      </c>
      <c r="S1663" s="93" t="str">
        <f>VLOOKUP(F1663,DATABASE!C:P,11,false)</f>
        <v>#N/A</v>
      </c>
      <c r="T1663" s="93" t="str">
        <f>vlookup(F1663,DATABASE!C:Q,8,false)</f>
        <v>#N/A</v>
      </c>
      <c r="Z1663" s="9"/>
    </row>
    <row r="1664" ht="22.5" customHeight="1">
      <c r="A1664" s="49"/>
      <c r="C1664" s="384"/>
      <c r="D1664" s="93"/>
      <c r="F1664" s="74"/>
      <c r="H1664" s="74"/>
      <c r="I1664" s="74"/>
      <c r="J1664" s="74"/>
      <c r="K1664" s="74" t="str">
        <f>if(F1664="SERVICE",O1664-(O1664*50%),Vlookup(F1664,DATABASE!C:Q,10,false)*G1664)</f>
        <v>#N/A</v>
      </c>
      <c r="L1664" s="74" t="str">
        <f>VLOOKUP(F1664,DATABASE!C:Q,7,FALSE)</f>
        <v>#N/A</v>
      </c>
      <c r="M1664" s="74"/>
      <c r="N1664" s="74">
        <f t="shared" si="11"/>
        <v>0</v>
      </c>
      <c r="O1664" s="74">
        <f t="shared" si="13"/>
        <v>0</v>
      </c>
      <c r="P1664" s="63">
        <f t="shared" si="14"/>
        <v>0</v>
      </c>
      <c r="Q1664" s="63" t="str">
        <f t="shared" si="15"/>
        <v>#N/A</v>
      </c>
      <c r="R1664" s="93" t="str">
        <f>VLOOKUP(F1664,DATABASE!C:Q,4,false)</f>
        <v>#N/A</v>
      </c>
      <c r="S1664" s="93" t="str">
        <f>VLOOKUP(F1664,DATABASE!C:P,11,false)</f>
        <v>#N/A</v>
      </c>
      <c r="T1664" s="93" t="str">
        <f>vlookup(F1664,DATABASE!C:Q,8,false)</f>
        <v>#N/A</v>
      </c>
      <c r="Z1664" s="9"/>
    </row>
    <row r="1665" ht="22.5" customHeight="1">
      <c r="A1665" s="49"/>
      <c r="C1665" s="384"/>
      <c r="D1665" s="93"/>
      <c r="F1665" s="74"/>
      <c r="H1665" s="74"/>
      <c r="I1665" s="74"/>
      <c r="J1665" s="74"/>
      <c r="K1665" s="74" t="str">
        <f>if(F1665="SERVICE",O1665-(O1665*50%),Vlookup(F1665,DATABASE!C:Q,10,false)*G1665)</f>
        <v>#N/A</v>
      </c>
      <c r="L1665" s="74" t="str">
        <f>VLOOKUP(F1665,DATABASE!C:Q,7,FALSE)</f>
        <v>#N/A</v>
      </c>
      <c r="M1665" s="74"/>
      <c r="N1665" s="74">
        <f t="shared" si="11"/>
        <v>0</v>
      </c>
      <c r="O1665" s="74">
        <f t="shared" si="13"/>
        <v>0</v>
      </c>
      <c r="P1665" s="63">
        <f t="shared" si="14"/>
        <v>0</v>
      </c>
      <c r="Q1665" s="63" t="str">
        <f t="shared" si="15"/>
        <v>#N/A</v>
      </c>
      <c r="R1665" s="93" t="str">
        <f>VLOOKUP(F1665,DATABASE!C:Q,4,false)</f>
        <v>#N/A</v>
      </c>
      <c r="S1665" s="93" t="str">
        <f>VLOOKUP(F1665,DATABASE!C:P,11,false)</f>
        <v>#N/A</v>
      </c>
      <c r="T1665" s="93" t="str">
        <f>vlookup(F1665,DATABASE!C:Q,8,false)</f>
        <v>#N/A</v>
      </c>
      <c r="Z1665" s="9"/>
    </row>
    <row r="1666" ht="22.5" customHeight="1">
      <c r="A1666" s="49"/>
      <c r="C1666" s="384"/>
      <c r="D1666" s="93"/>
      <c r="F1666" s="74"/>
      <c r="H1666" s="74"/>
      <c r="I1666" s="74"/>
      <c r="J1666" s="74"/>
      <c r="K1666" s="74" t="str">
        <f>if(F1666="SERVICE",O1666-(O1666*50%),Vlookup(F1666,DATABASE!C:Q,10,false)*G1666)</f>
        <v>#N/A</v>
      </c>
      <c r="L1666" s="74" t="str">
        <f>VLOOKUP(F1666,DATABASE!C:Q,7,FALSE)</f>
        <v>#N/A</v>
      </c>
      <c r="M1666" s="74"/>
      <c r="N1666" s="74">
        <f t="shared" si="11"/>
        <v>0</v>
      </c>
      <c r="O1666" s="74">
        <f t="shared" si="13"/>
        <v>0</v>
      </c>
      <c r="P1666" s="63">
        <f t="shared" si="14"/>
        <v>0</v>
      </c>
      <c r="Q1666" s="63" t="str">
        <f t="shared" si="15"/>
        <v>#N/A</v>
      </c>
      <c r="R1666" s="93" t="str">
        <f>VLOOKUP(F1666,DATABASE!C:Q,4,false)</f>
        <v>#N/A</v>
      </c>
      <c r="S1666" s="93" t="str">
        <f>VLOOKUP(F1666,DATABASE!C:P,11,false)</f>
        <v>#N/A</v>
      </c>
      <c r="T1666" s="93" t="str">
        <f>vlookup(F1666,DATABASE!C:Q,8,false)</f>
        <v>#N/A</v>
      </c>
      <c r="Z1666" s="9"/>
    </row>
    <row r="1667" ht="22.5" customHeight="1">
      <c r="A1667" s="49"/>
      <c r="C1667" s="384"/>
      <c r="D1667" s="93"/>
      <c r="F1667" s="74"/>
      <c r="H1667" s="74"/>
      <c r="I1667" s="74"/>
      <c r="J1667" s="74"/>
      <c r="K1667" s="74" t="str">
        <f>if(F1667="SERVICE",O1667-(O1667*50%),Vlookup(F1667,DATABASE!C:Q,10,false)*G1667)</f>
        <v>#N/A</v>
      </c>
      <c r="L1667" s="74" t="str">
        <f>VLOOKUP(F1667,DATABASE!C:Q,7,FALSE)</f>
        <v>#N/A</v>
      </c>
      <c r="M1667" s="74"/>
      <c r="N1667" s="74">
        <f t="shared" si="11"/>
        <v>0</v>
      </c>
      <c r="O1667" s="74">
        <f t="shared" si="13"/>
        <v>0</v>
      </c>
      <c r="P1667" s="63">
        <f t="shared" si="14"/>
        <v>0</v>
      </c>
      <c r="Q1667" s="63" t="str">
        <f t="shared" si="15"/>
        <v>#N/A</v>
      </c>
      <c r="R1667" s="93" t="str">
        <f>VLOOKUP(F1667,DATABASE!C:Q,4,false)</f>
        <v>#N/A</v>
      </c>
      <c r="S1667" s="93" t="str">
        <f>VLOOKUP(F1667,DATABASE!C:P,11,false)</f>
        <v>#N/A</v>
      </c>
      <c r="T1667" s="93" t="str">
        <f>vlookup(F1667,DATABASE!C:Q,8,false)</f>
        <v>#N/A</v>
      </c>
      <c r="Z1667" s="9"/>
    </row>
    <row r="1668" ht="22.5" customHeight="1">
      <c r="A1668" s="49"/>
      <c r="C1668" s="384"/>
      <c r="D1668" s="93"/>
      <c r="F1668" s="74"/>
      <c r="H1668" s="74"/>
      <c r="I1668" s="74"/>
      <c r="J1668" s="74"/>
      <c r="K1668" s="74" t="str">
        <f>if(F1668="SERVICE",O1668-(O1668*50%),Vlookup(F1668,DATABASE!C:Q,10,false)*G1668)</f>
        <v>#N/A</v>
      </c>
      <c r="L1668" s="74" t="str">
        <f>VLOOKUP(F1668,DATABASE!C:Q,7,FALSE)</f>
        <v>#N/A</v>
      </c>
      <c r="M1668" s="74"/>
      <c r="N1668" s="74">
        <f t="shared" si="11"/>
        <v>0</v>
      </c>
      <c r="O1668" s="74">
        <f t="shared" si="13"/>
        <v>0</v>
      </c>
      <c r="P1668" s="63">
        <f t="shared" si="14"/>
        <v>0</v>
      </c>
      <c r="Q1668" s="63" t="str">
        <f t="shared" si="15"/>
        <v>#N/A</v>
      </c>
      <c r="R1668" s="93" t="str">
        <f>VLOOKUP(F1668,DATABASE!C:Q,4,false)</f>
        <v>#N/A</v>
      </c>
      <c r="S1668" s="93" t="str">
        <f>VLOOKUP(F1668,DATABASE!C:P,11,false)</f>
        <v>#N/A</v>
      </c>
      <c r="T1668" s="93" t="str">
        <f>vlookup(F1668,DATABASE!C:Q,8,false)</f>
        <v>#N/A</v>
      </c>
      <c r="Z1668" s="9"/>
    </row>
    <row r="1669" ht="22.5" customHeight="1">
      <c r="A1669" s="49"/>
      <c r="C1669" s="384"/>
      <c r="D1669" s="93"/>
      <c r="F1669" s="74"/>
      <c r="H1669" s="74"/>
      <c r="I1669" s="74"/>
      <c r="J1669" s="74"/>
      <c r="K1669" s="74" t="str">
        <f>if(F1669="SERVICE",O1669-(O1669*50%),Vlookup(F1669,DATABASE!C:Q,10,false)*G1669)</f>
        <v>#N/A</v>
      </c>
      <c r="L1669" s="74" t="str">
        <f>VLOOKUP(F1669,DATABASE!C:Q,7,FALSE)</f>
        <v>#N/A</v>
      </c>
      <c r="M1669" s="74"/>
      <c r="N1669" s="74">
        <f t="shared" si="11"/>
        <v>0</v>
      </c>
      <c r="O1669" s="74">
        <f t="shared" si="13"/>
        <v>0</v>
      </c>
      <c r="P1669" s="63">
        <f t="shared" si="14"/>
        <v>0</v>
      </c>
      <c r="Q1669" s="63" t="str">
        <f t="shared" si="15"/>
        <v>#N/A</v>
      </c>
      <c r="R1669" s="93" t="str">
        <f>VLOOKUP(F1669,DATABASE!C:Q,4,false)</f>
        <v>#N/A</v>
      </c>
      <c r="S1669" s="93" t="str">
        <f>VLOOKUP(F1669,DATABASE!C:P,11,false)</f>
        <v>#N/A</v>
      </c>
      <c r="T1669" s="93" t="str">
        <f>vlookup(F1669,DATABASE!C:Q,8,false)</f>
        <v>#N/A</v>
      </c>
      <c r="Z1669" s="9"/>
    </row>
    <row r="1670" ht="22.5" customHeight="1">
      <c r="A1670" s="49"/>
      <c r="C1670" s="384"/>
      <c r="D1670" s="93"/>
      <c r="F1670" s="74"/>
      <c r="H1670" s="74"/>
      <c r="I1670" s="74"/>
      <c r="J1670" s="74"/>
      <c r="K1670" s="74" t="str">
        <f>if(F1670="SERVICE",O1670-(O1670*50%),Vlookup(F1670,DATABASE!C:Q,10,false)*G1670)</f>
        <v>#N/A</v>
      </c>
      <c r="L1670" s="74" t="str">
        <f>VLOOKUP(F1670,DATABASE!C:Q,7,FALSE)</f>
        <v>#N/A</v>
      </c>
      <c r="M1670" s="74"/>
      <c r="N1670" s="74">
        <f t="shared" si="11"/>
        <v>0</v>
      </c>
      <c r="O1670" s="74">
        <f t="shared" si="13"/>
        <v>0</v>
      </c>
      <c r="P1670" s="63">
        <f t="shared" si="14"/>
        <v>0</v>
      </c>
      <c r="Q1670" s="63" t="str">
        <f t="shared" si="15"/>
        <v>#N/A</v>
      </c>
      <c r="R1670" s="93" t="str">
        <f>VLOOKUP(F1670,DATABASE!C:Q,4,false)</f>
        <v>#N/A</v>
      </c>
      <c r="S1670" s="93" t="str">
        <f>VLOOKUP(F1670,DATABASE!C:P,11,false)</f>
        <v>#N/A</v>
      </c>
      <c r="T1670" s="93" t="str">
        <f>vlookup(F1670,DATABASE!C:Q,8,false)</f>
        <v>#N/A</v>
      </c>
      <c r="Z1670" s="9"/>
    </row>
    <row r="1671" ht="22.5" customHeight="1">
      <c r="A1671" s="49"/>
      <c r="C1671" s="384"/>
      <c r="D1671" s="93"/>
      <c r="F1671" s="74"/>
      <c r="H1671" s="74"/>
      <c r="I1671" s="74"/>
      <c r="J1671" s="74"/>
      <c r="K1671" s="74" t="str">
        <f>if(F1671="SERVICE",O1671-(O1671*50%),Vlookup(F1671,DATABASE!C:Q,10,false)*G1671)</f>
        <v>#N/A</v>
      </c>
      <c r="L1671" s="74" t="str">
        <f>VLOOKUP(F1671,DATABASE!C:Q,7,FALSE)</f>
        <v>#N/A</v>
      </c>
      <c r="M1671" s="74"/>
      <c r="N1671" s="74">
        <f t="shared" si="11"/>
        <v>0</v>
      </c>
      <c r="O1671" s="74">
        <f t="shared" si="13"/>
        <v>0</v>
      </c>
      <c r="P1671" s="63">
        <f t="shared" si="14"/>
        <v>0</v>
      </c>
      <c r="Q1671" s="63" t="str">
        <f t="shared" si="15"/>
        <v>#N/A</v>
      </c>
      <c r="R1671" s="93" t="str">
        <f>VLOOKUP(F1671,DATABASE!C:Q,4,false)</f>
        <v>#N/A</v>
      </c>
      <c r="S1671" s="93" t="str">
        <f>VLOOKUP(F1671,DATABASE!C:P,11,false)</f>
        <v>#N/A</v>
      </c>
      <c r="T1671" s="93" t="str">
        <f>vlookup(F1671,DATABASE!C:Q,8,false)</f>
        <v>#N/A</v>
      </c>
      <c r="Z1671" s="9"/>
    </row>
    <row r="1672" ht="22.5" customHeight="1">
      <c r="A1672" s="49"/>
      <c r="C1672" s="384"/>
      <c r="D1672" s="93"/>
      <c r="F1672" s="74"/>
      <c r="H1672" s="74"/>
      <c r="I1672" s="74"/>
      <c r="J1672" s="74"/>
      <c r="K1672" s="74" t="str">
        <f>if(F1672="SERVICE",O1672-(O1672*50%),Vlookup(F1672,DATABASE!C:Q,10,false)*G1672)</f>
        <v>#N/A</v>
      </c>
      <c r="L1672" s="74" t="str">
        <f>VLOOKUP(F1672,DATABASE!C:Q,7,FALSE)</f>
        <v>#N/A</v>
      </c>
      <c r="M1672" s="74"/>
      <c r="N1672" s="74">
        <f t="shared" si="11"/>
        <v>0</v>
      </c>
      <c r="O1672" s="74">
        <f t="shared" si="13"/>
        <v>0</v>
      </c>
      <c r="P1672" s="63">
        <f t="shared" si="14"/>
        <v>0</v>
      </c>
      <c r="Q1672" s="63" t="str">
        <f t="shared" si="15"/>
        <v>#N/A</v>
      </c>
      <c r="R1672" s="93" t="str">
        <f>VLOOKUP(F1672,DATABASE!C:Q,4,false)</f>
        <v>#N/A</v>
      </c>
      <c r="S1672" s="93" t="str">
        <f>VLOOKUP(F1672,DATABASE!C:P,11,false)</f>
        <v>#N/A</v>
      </c>
      <c r="T1672" s="93" t="str">
        <f>vlookup(F1672,DATABASE!C:Q,8,false)</f>
        <v>#N/A</v>
      </c>
      <c r="Z1672" s="9"/>
    </row>
    <row r="1673" ht="22.5" customHeight="1">
      <c r="A1673" s="49"/>
      <c r="C1673" s="384"/>
      <c r="D1673" s="93"/>
      <c r="F1673" s="74"/>
      <c r="H1673" s="74"/>
      <c r="I1673" s="74"/>
      <c r="J1673" s="74"/>
      <c r="K1673" s="74" t="str">
        <f>if(F1673="SERVICE",O1673-(O1673*50%),Vlookup(F1673,DATABASE!C:Q,10,false)*G1673)</f>
        <v>#N/A</v>
      </c>
      <c r="L1673" s="74" t="str">
        <f>VLOOKUP(F1673,DATABASE!C:Q,7,FALSE)</f>
        <v>#N/A</v>
      </c>
      <c r="M1673" s="74"/>
      <c r="N1673" s="74">
        <f t="shared" si="11"/>
        <v>0</v>
      </c>
      <c r="O1673" s="74">
        <f t="shared" si="13"/>
        <v>0</v>
      </c>
      <c r="P1673" s="63">
        <f t="shared" si="14"/>
        <v>0</v>
      </c>
      <c r="Q1673" s="63" t="str">
        <f t="shared" si="15"/>
        <v>#N/A</v>
      </c>
      <c r="R1673" s="93" t="str">
        <f>VLOOKUP(F1673,DATABASE!C:Q,4,false)</f>
        <v>#N/A</v>
      </c>
      <c r="S1673" s="93" t="str">
        <f>VLOOKUP(F1673,DATABASE!C:P,11,false)</f>
        <v>#N/A</v>
      </c>
      <c r="T1673" s="93" t="str">
        <f>vlookup(F1673,DATABASE!C:Q,8,false)</f>
        <v>#N/A</v>
      </c>
      <c r="Z1673" s="9"/>
    </row>
    <row r="1674" ht="22.5" customHeight="1">
      <c r="A1674" s="49"/>
      <c r="C1674" s="384"/>
      <c r="D1674" s="93"/>
      <c r="F1674" s="74"/>
      <c r="H1674" s="74"/>
      <c r="I1674" s="74"/>
      <c r="J1674" s="74"/>
      <c r="K1674" s="74" t="str">
        <f>if(F1674="SERVICE",O1674-(O1674*50%),Vlookup(F1674,DATABASE!C:Q,10,false)*G1674)</f>
        <v>#N/A</v>
      </c>
      <c r="L1674" s="74" t="str">
        <f>VLOOKUP(F1674,DATABASE!C:Q,7,FALSE)</f>
        <v>#N/A</v>
      </c>
      <c r="M1674" s="74"/>
      <c r="N1674" s="74">
        <f t="shared" si="11"/>
        <v>0</v>
      </c>
      <c r="O1674" s="74">
        <f t="shared" si="13"/>
        <v>0</v>
      </c>
      <c r="P1674" s="63">
        <f t="shared" si="14"/>
        <v>0</v>
      </c>
      <c r="Q1674" s="63" t="str">
        <f t="shared" si="15"/>
        <v>#N/A</v>
      </c>
      <c r="R1674" s="93" t="str">
        <f>VLOOKUP(F1674,DATABASE!C:Q,4,false)</f>
        <v>#N/A</v>
      </c>
      <c r="S1674" s="93" t="str">
        <f>VLOOKUP(F1674,DATABASE!C:P,11,false)</f>
        <v>#N/A</v>
      </c>
      <c r="T1674" s="93" t="str">
        <f>vlookup(F1674,DATABASE!C:Q,8,false)</f>
        <v>#N/A</v>
      </c>
      <c r="Z1674" s="9"/>
    </row>
    <row r="1675" ht="22.5" customHeight="1">
      <c r="A1675" s="49"/>
      <c r="C1675" s="384"/>
      <c r="D1675" s="93"/>
      <c r="F1675" s="74"/>
      <c r="H1675" s="74"/>
      <c r="I1675" s="74"/>
      <c r="J1675" s="74"/>
      <c r="K1675" s="74" t="str">
        <f>if(F1675="SERVICE",O1675-(O1675*50%),Vlookup(F1675,DATABASE!C:Q,10,false)*G1675)</f>
        <v>#N/A</v>
      </c>
      <c r="L1675" s="74" t="str">
        <f>VLOOKUP(F1675,DATABASE!C:Q,7,FALSE)</f>
        <v>#N/A</v>
      </c>
      <c r="M1675" s="74"/>
      <c r="N1675" s="74">
        <f t="shared" si="11"/>
        <v>0</v>
      </c>
      <c r="O1675" s="74">
        <f t="shared" si="13"/>
        <v>0</v>
      </c>
      <c r="P1675" s="63">
        <f t="shared" si="14"/>
        <v>0</v>
      </c>
      <c r="Q1675" s="63" t="str">
        <f t="shared" si="15"/>
        <v>#N/A</v>
      </c>
      <c r="R1675" s="93" t="str">
        <f>VLOOKUP(F1675,DATABASE!C:Q,4,false)</f>
        <v>#N/A</v>
      </c>
      <c r="S1675" s="93" t="str">
        <f>VLOOKUP(F1675,DATABASE!C:P,11,false)</f>
        <v>#N/A</v>
      </c>
      <c r="T1675" s="93" t="str">
        <f>vlookup(F1675,DATABASE!C:Q,8,false)</f>
        <v>#N/A</v>
      </c>
      <c r="Z1675" s="9"/>
    </row>
    <row r="1676" ht="22.5" customHeight="1">
      <c r="A1676" s="49"/>
      <c r="C1676" s="384"/>
      <c r="D1676" s="93"/>
      <c r="F1676" s="74"/>
      <c r="H1676" s="74"/>
      <c r="I1676" s="74"/>
      <c r="J1676" s="74"/>
      <c r="K1676" s="74" t="str">
        <f>if(F1676="SERVICE",O1676-(O1676*50%),Vlookup(F1676,DATABASE!C:Q,10,false)*G1676)</f>
        <v>#N/A</v>
      </c>
      <c r="L1676" s="74" t="str">
        <f>VLOOKUP(F1676,DATABASE!C:Q,7,FALSE)</f>
        <v>#N/A</v>
      </c>
      <c r="M1676" s="74"/>
      <c r="N1676" s="74">
        <f t="shared" si="11"/>
        <v>0</v>
      </c>
      <c r="O1676" s="74">
        <f t="shared" si="13"/>
        <v>0</v>
      </c>
      <c r="P1676" s="63">
        <f t="shared" si="14"/>
        <v>0</v>
      </c>
      <c r="Q1676" s="63" t="str">
        <f t="shared" si="15"/>
        <v>#N/A</v>
      </c>
      <c r="R1676" s="93" t="str">
        <f>VLOOKUP(F1676,DATABASE!C:Q,4,false)</f>
        <v>#N/A</v>
      </c>
      <c r="S1676" s="93" t="str">
        <f>VLOOKUP(F1676,DATABASE!C:P,11,false)</f>
        <v>#N/A</v>
      </c>
      <c r="T1676" s="93" t="str">
        <f>vlookup(F1676,DATABASE!C:Q,8,false)</f>
        <v>#N/A</v>
      </c>
      <c r="Z1676" s="9"/>
    </row>
    <row r="1677" ht="22.5" customHeight="1">
      <c r="A1677" s="49"/>
      <c r="C1677" s="384"/>
      <c r="D1677" s="93"/>
      <c r="F1677" s="74"/>
      <c r="H1677" s="74"/>
      <c r="I1677" s="74"/>
      <c r="J1677" s="74"/>
      <c r="K1677" s="74" t="str">
        <f>if(F1677="SERVICE",O1677-(O1677*50%),Vlookup(F1677,DATABASE!C:Q,10,false)*G1677)</f>
        <v>#N/A</v>
      </c>
      <c r="L1677" s="74" t="str">
        <f>VLOOKUP(F1677,DATABASE!C:Q,7,FALSE)</f>
        <v>#N/A</v>
      </c>
      <c r="M1677" s="74"/>
      <c r="N1677" s="74">
        <f t="shared" si="11"/>
        <v>0</v>
      </c>
      <c r="O1677" s="74">
        <f t="shared" si="13"/>
        <v>0</v>
      </c>
      <c r="P1677" s="63">
        <f t="shared" si="14"/>
        <v>0</v>
      </c>
      <c r="Q1677" s="63" t="str">
        <f t="shared" si="15"/>
        <v>#N/A</v>
      </c>
      <c r="R1677" s="93" t="str">
        <f>VLOOKUP(F1677,DATABASE!C:Q,4,false)</f>
        <v>#N/A</v>
      </c>
      <c r="S1677" s="93" t="str">
        <f>VLOOKUP(F1677,DATABASE!C:P,11,false)</f>
        <v>#N/A</v>
      </c>
      <c r="T1677" s="93" t="str">
        <f>vlookup(F1677,DATABASE!C:Q,8,false)</f>
        <v>#N/A</v>
      </c>
      <c r="Z1677" s="9"/>
    </row>
    <row r="1678" ht="22.5" customHeight="1">
      <c r="A1678" s="49"/>
      <c r="C1678" s="384"/>
      <c r="D1678" s="93"/>
      <c r="F1678" s="74"/>
      <c r="H1678" s="74"/>
      <c r="I1678" s="74"/>
      <c r="J1678" s="74"/>
      <c r="K1678" s="74" t="str">
        <f>if(F1678="SERVICE",O1678-(O1678*50%),Vlookup(F1678,DATABASE!C:Q,10,false)*G1678)</f>
        <v>#N/A</v>
      </c>
      <c r="L1678" s="74" t="str">
        <f>VLOOKUP(F1678,DATABASE!C:Q,7,FALSE)</f>
        <v>#N/A</v>
      </c>
      <c r="M1678" s="74"/>
      <c r="N1678" s="74">
        <f t="shared" si="11"/>
        <v>0</v>
      </c>
      <c r="O1678" s="74">
        <f t="shared" si="13"/>
        <v>0</v>
      </c>
      <c r="P1678" s="63">
        <f t="shared" si="14"/>
        <v>0</v>
      </c>
      <c r="Q1678" s="63" t="str">
        <f t="shared" si="15"/>
        <v>#N/A</v>
      </c>
      <c r="R1678" s="93" t="str">
        <f>VLOOKUP(F1678,DATABASE!C:Q,4,false)</f>
        <v>#N/A</v>
      </c>
      <c r="S1678" s="93" t="str">
        <f>VLOOKUP(F1678,DATABASE!C:P,11,false)</f>
        <v>#N/A</v>
      </c>
      <c r="T1678" s="93" t="str">
        <f>vlookup(F1678,DATABASE!C:Q,8,false)</f>
        <v>#N/A</v>
      </c>
      <c r="Z1678" s="9"/>
    </row>
    <row r="1679" ht="22.5" customHeight="1">
      <c r="A1679" s="49"/>
      <c r="C1679" s="384"/>
      <c r="D1679" s="93"/>
      <c r="F1679" s="74"/>
      <c r="H1679" s="74"/>
      <c r="I1679" s="74"/>
      <c r="J1679" s="74"/>
      <c r="K1679" s="74" t="str">
        <f>if(F1679="SERVICE",O1679-(O1679*50%),Vlookup(F1679,DATABASE!C:Q,10,false)*G1679)</f>
        <v>#N/A</v>
      </c>
      <c r="L1679" s="74" t="str">
        <f>VLOOKUP(F1679,DATABASE!C:Q,7,FALSE)</f>
        <v>#N/A</v>
      </c>
      <c r="M1679" s="74"/>
      <c r="N1679" s="74">
        <f t="shared" si="11"/>
        <v>0</v>
      </c>
      <c r="O1679" s="74">
        <f t="shared" si="13"/>
        <v>0</v>
      </c>
      <c r="P1679" s="63">
        <f t="shared" si="14"/>
        <v>0</v>
      </c>
      <c r="Q1679" s="63" t="str">
        <f t="shared" si="15"/>
        <v>#N/A</v>
      </c>
      <c r="R1679" s="93" t="str">
        <f>VLOOKUP(F1679,DATABASE!C:Q,4,false)</f>
        <v>#N/A</v>
      </c>
      <c r="S1679" s="93" t="str">
        <f>VLOOKUP(F1679,DATABASE!C:P,11,false)</f>
        <v>#N/A</v>
      </c>
      <c r="T1679" s="93" t="str">
        <f>vlookup(F1679,DATABASE!C:Q,8,false)</f>
        <v>#N/A</v>
      </c>
      <c r="Z1679" s="9"/>
    </row>
    <row r="1680" ht="22.5" customHeight="1">
      <c r="A1680" s="49"/>
      <c r="C1680" s="384"/>
      <c r="D1680" s="93"/>
      <c r="F1680" s="74"/>
      <c r="H1680" s="74"/>
      <c r="I1680" s="74"/>
      <c r="J1680" s="74"/>
      <c r="K1680" s="74" t="str">
        <f>if(F1680="SERVICE",O1680-(O1680*50%),Vlookup(F1680,DATABASE!C:Q,10,false)*G1680)</f>
        <v>#N/A</v>
      </c>
      <c r="L1680" s="74" t="str">
        <f>VLOOKUP(F1680,DATABASE!C:Q,7,FALSE)</f>
        <v>#N/A</v>
      </c>
      <c r="M1680" s="74"/>
      <c r="N1680" s="74">
        <f t="shared" si="11"/>
        <v>0</v>
      </c>
      <c r="O1680" s="74">
        <f t="shared" si="13"/>
        <v>0</v>
      </c>
      <c r="P1680" s="63">
        <f t="shared" si="14"/>
        <v>0</v>
      </c>
      <c r="Q1680" s="63" t="str">
        <f t="shared" si="15"/>
        <v>#N/A</v>
      </c>
      <c r="R1680" s="93" t="str">
        <f>VLOOKUP(F1680,DATABASE!C:Q,4,false)</f>
        <v>#N/A</v>
      </c>
      <c r="S1680" s="93" t="str">
        <f>VLOOKUP(F1680,DATABASE!C:P,11,false)</f>
        <v>#N/A</v>
      </c>
      <c r="T1680" s="93" t="str">
        <f>vlookup(F1680,DATABASE!C:Q,8,false)</f>
        <v>#N/A</v>
      </c>
      <c r="Z1680" s="9"/>
    </row>
    <row r="1681" ht="22.5" customHeight="1">
      <c r="A1681" s="49"/>
      <c r="C1681" s="384"/>
      <c r="D1681" s="93"/>
      <c r="F1681" s="74"/>
      <c r="H1681" s="74"/>
      <c r="I1681" s="74"/>
      <c r="J1681" s="74"/>
      <c r="K1681" s="74" t="str">
        <f>if(F1681="SERVICE",O1681-(O1681*50%),Vlookup(F1681,DATABASE!C:Q,10,false)*G1681)</f>
        <v>#N/A</v>
      </c>
      <c r="L1681" s="74" t="str">
        <f>VLOOKUP(F1681,DATABASE!C:Q,7,FALSE)</f>
        <v>#N/A</v>
      </c>
      <c r="M1681" s="74"/>
      <c r="N1681" s="74">
        <f t="shared" si="11"/>
        <v>0</v>
      </c>
      <c r="O1681" s="74">
        <f t="shared" si="13"/>
        <v>0</v>
      </c>
      <c r="P1681" s="63">
        <f t="shared" si="14"/>
        <v>0</v>
      </c>
      <c r="Q1681" s="63" t="str">
        <f t="shared" si="15"/>
        <v>#N/A</v>
      </c>
      <c r="R1681" s="93" t="str">
        <f>VLOOKUP(F1681,DATABASE!C:Q,4,false)</f>
        <v>#N/A</v>
      </c>
      <c r="S1681" s="93" t="str">
        <f>VLOOKUP(F1681,DATABASE!C:P,11,false)</f>
        <v>#N/A</v>
      </c>
      <c r="T1681" s="93" t="str">
        <f>vlookup(F1681,DATABASE!C:Q,8,false)</f>
        <v>#N/A</v>
      </c>
      <c r="Z1681" s="9"/>
    </row>
    <row r="1682" ht="22.5" customHeight="1">
      <c r="A1682" s="49"/>
      <c r="C1682" s="384"/>
      <c r="D1682" s="93"/>
      <c r="F1682" s="74"/>
      <c r="H1682" s="74"/>
      <c r="I1682" s="74"/>
      <c r="J1682" s="74"/>
      <c r="K1682" s="74" t="str">
        <f>if(F1682="SERVICE",O1682-(O1682*50%),Vlookup(F1682,DATABASE!C:Q,10,false)*G1682)</f>
        <v>#N/A</v>
      </c>
      <c r="L1682" s="74" t="str">
        <f>VLOOKUP(F1682,DATABASE!C:Q,7,FALSE)</f>
        <v>#N/A</v>
      </c>
      <c r="M1682" s="74"/>
      <c r="N1682" s="74">
        <f t="shared" si="11"/>
        <v>0</v>
      </c>
      <c r="O1682" s="74">
        <f t="shared" si="13"/>
        <v>0</v>
      </c>
      <c r="P1682" s="63">
        <f t="shared" si="14"/>
        <v>0</v>
      </c>
      <c r="Q1682" s="63" t="str">
        <f t="shared" si="15"/>
        <v>#N/A</v>
      </c>
      <c r="R1682" s="93" t="str">
        <f>VLOOKUP(F1682,DATABASE!C:Q,4,false)</f>
        <v>#N/A</v>
      </c>
      <c r="S1682" s="93" t="str">
        <f>VLOOKUP(F1682,DATABASE!C:P,11,false)</f>
        <v>#N/A</v>
      </c>
      <c r="T1682" s="93" t="str">
        <f>vlookup(F1682,DATABASE!C:Q,8,false)</f>
        <v>#N/A</v>
      </c>
      <c r="Z1682" s="9"/>
    </row>
    <row r="1683" ht="22.5" customHeight="1">
      <c r="A1683" s="49"/>
      <c r="C1683" s="384"/>
      <c r="D1683" s="93"/>
      <c r="F1683" s="74"/>
      <c r="H1683" s="74"/>
      <c r="I1683" s="74"/>
      <c r="J1683" s="74"/>
      <c r="K1683" s="74" t="str">
        <f>if(F1683="SERVICE",O1683-(O1683*50%),Vlookup(F1683,DATABASE!C:Q,10,false)*G1683)</f>
        <v>#N/A</v>
      </c>
      <c r="L1683" s="74" t="str">
        <f>VLOOKUP(F1683,DATABASE!C:Q,7,FALSE)</f>
        <v>#N/A</v>
      </c>
      <c r="M1683" s="74"/>
      <c r="N1683" s="74">
        <f t="shared" si="11"/>
        <v>0</v>
      </c>
      <c r="O1683" s="74">
        <f t="shared" si="13"/>
        <v>0</v>
      </c>
      <c r="P1683" s="63">
        <f t="shared" si="14"/>
        <v>0</v>
      </c>
      <c r="Q1683" s="63" t="str">
        <f t="shared" si="15"/>
        <v>#N/A</v>
      </c>
      <c r="R1683" s="93" t="str">
        <f>VLOOKUP(F1683,DATABASE!C:Q,4,false)</f>
        <v>#N/A</v>
      </c>
      <c r="S1683" s="93" t="str">
        <f>VLOOKUP(F1683,DATABASE!C:P,11,false)</f>
        <v>#N/A</v>
      </c>
      <c r="T1683" s="93" t="str">
        <f>vlookup(F1683,DATABASE!C:Q,8,false)</f>
        <v>#N/A</v>
      </c>
      <c r="Z1683" s="9"/>
    </row>
    <row r="1684" ht="22.5" customHeight="1">
      <c r="A1684" s="49"/>
      <c r="C1684" s="384"/>
      <c r="D1684" s="93"/>
      <c r="F1684" s="74"/>
      <c r="H1684" s="74"/>
      <c r="I1684" s="74"/>
      <c r="J1684" s="74"/>
      <c r="K1684" s="74" t="str">
        <f>if(F1684="SERVICE",O1684-(O1684*50%),Vlookup(F1684,DATABASE!C:Q,10,false)*G1684)</f>
        <v>#N/A</v>
      </c>
      <c r="L1684" s="74" t="str">
        <f>VLOOKUP(F1684,DATABASE!C:Q,7,FALSE)</f>
        <v>#N/A</v>
      </c>
      <c r="M1684" s="74"/>
      <c r="N1684" s="74">
        <f t="shared" si="11"/>
        <v>0</v>
      </c>
      <c r="O1684" s="74">
        <f t="shared" si="13"/>
        <v>0</v>
      </c>
      <c r="P1684" s="63">
        <f t="shared" si="14"/>
        <v>0</v>
      </c>
      <c r="Q1684" s="63" t="str">
        <f t="shared" si="15"/>
        <v>#N/A</v>
      </c>
      <c r="R1684" s="93" t="str">
        <f>VLOOKUP(F1684,DATABASE!C:Q,4,false)</f>
        <v>#N/A</v>
      </c>
      <c r="S1684" s="93" t="str">
        <f>VLOOKUP(F1684,DATABASE!C:P,11,false)</f>
        <v>#N/A</v>
      </c>
      <c r="T1684" s="93" t="str">
        <f>vlookup(F1684,DATABASE!C:Q,8,false)</f>
        <v>#N/A</v>
      </c>
      <c r="Z1684" s="9"/>
    </row>
    <row r="1685" ht="22.5" customHeight="1">
      <c r="A1685" s="49"/>
      <c r="C1685" s="384"/>
      <c r="D1685" s="93"/>
      <c r="F1685" s="74"/>
      <c r="H1685" s="74"/>
      <c r="I1685" s="74"/>
      <c r="J1685" s="74"/>
      <c r="K1685" s="74" t="str">
        <f>if(F1685="SERVICE",O1685-(O1685*50%),Vlookup(F1685,DATABASE!C:Q,10,false)*G1685)</f>
        <v>#N/A</v>
      </c>
      <c r="L1685" s="74" t="str">
        <f>VLOOKUP(F1685,DATABASE!C:Q,7,FALSE)</f>
        <v>#N/A</v>
      </c>
      <c r="M1685" s="74"/>
      <c r="N1685" s="74">
        <f t="shared" si="11"/>
        <v>0</v>
      </c>
      <c r="O1685" s="74">
        <f t="shared" si="13"/>
        <v>0</v>
      </c>
      <c r="P1685" s="63">
        <f t="shared" si="14"/>
        <v>0</v>
      </c>
      <c r="Q1685" s="63" t="str">
        <f t="shared" si="15"/>
        <v>#N/A</v>
      </c>
      <c r="R1685" s="93" t="str">
        <f>VLOOKUP(F1685,DATABASE!C:Q,4,false)</f>
        <v>#N/A</v>
      </c>
      <c r="S1685" s="93" t="str">
        <f>VLOOKUP(F1685,DATABASE!C:P,11,false)</f>
        <v>#N/A</v>
      </c>
      <c r="T1685" s="93" t="str">
        <f>vlookup(F1685,DATABASE!C:Q,8,false)</f>
        <v>#N/A</v>
      </c>
      <c r="Z1685" s="9"/>
    </row>
    <row r="1686" ht="22.5" customHeight="1">
      <c r="A1686" s="49"/>
      <c r="C1686" s="384"/>
      <c r="D1686" s="93"/>
      <c r="F1686" s="74"/>
      <c r="H1686" s="74"/>
      <c r="I1686" s="74"/>
      <c r="J1686" s="74"/>
      <c r="K1686" s="74" t="str">
        <f>if(F1686="SERVICE",O1686-(O1686*50%),Vlookup(F1686,DATABASE!C:Q,10,false)*G1686)</f>
        <v>#N/A</v>
      </c>
      <c r="L1686" s="74" t="str">
        <f>VLOOKUP(F1686,DATABASE!C:Q,7,FALSE)</f>
        <v>#N/A</v>
      </c>
      <c r="M1686" s="74"/>
      <c r="N1686" s="74">
        <f t="shared" si="11"/>
        <v>0</v>
      </c>
      <c r="O1686" s="74">
        <f t="shared" si="13"/>
        <v>0</v>
      </c>
      <c r="P1686" s="63">
        <f t="shared" si="14"/>
        <v>0</v>
      </c>
      <c r="Q1686" s="63" t="str">
        <f t="shared" si="15"/>
        <v>#N/A</v>
      </c>
      <c r="R1686" s="93" t="str">
        <f>VLOOKUP(F1686,DATABASE!C:Q,4,false)</f>
        <v>#N/A</v>
      </c>
      <c r="S1686" s="93" t="str">
        <f>VLOOKUP(F1686,DATABASE!C:P,11,false)</f>
        <v>#N/A</v>
      </c>
      <c r="T1686" s="93" t="str">
        <f>vlookup(F1686,DATABASE!C:Q,8,false)</f>
        <v>#N/A</v>
      </c>
      <c r="Z1686" s="9"/>
    </row>
    <row r="1687" ht="22.5" customHeight="1">
      <c r="A1687" s="49"/>
      <c r="C1687" s="384"/>
      <c r="D1687" s="93"/>
      <c r="F1687" s="74"/>
      <c r="H1687" s="74"/>
      <c r="I1687" s="74"/>
      <c r="J1687" s="74"/>
      <c r="K1687" s="74" t="str">
        <f>if(F1687="SERVICE",O1687-(O1687*50%),Vlookup(F1687,DATABASE!C:Q,10,false)*G1687)</f>
        <v>#N/A</v>
      </c>
      <c r="L1687" s="74" t="str">
        <f>VLOOKUP(F1687,DATABASE!C:Q,7,FALSE)</f>
        <v>#N/A</v>
      </c>
      <c r="M1687" s="74"/>
      <c r="N1687" s="74">
        <f t="shared" si="11"/>
        <v>0</v>
      </c>
      <c r="O1687" s="74">
        <f t="shared" si="13"/>
        <v>0</v>
      </c>
      <c r="P1687" s="63">
        <f t="shared" si="14"/>
        <v>0</v>
      </c>
      <c r="Q1687" s="63" t="str">
        <f t="shared" si="15"/>
        <v>#N/A</v>
      </c>
      <c r="R1687" s="93" t="str">
        <f>VLOOKUP(F1687,DATABASE!C:Q,4,false)</f>
        <v>#N/A</v>
      </c>
      <c r="S1687" s="93" t="str">
        <f>VLOOKUP(F1687,DATABASE!C:P,11,false)</f>
        <v>#N/A</v>
      </c>
      <c r="T1687" s="93" t="str">
        <f>vlookup(F1687,DATABASE!C:Q,8,false)</f>
        <v>#N/A</v>
      </c>
      <c r="Z1687" s="9"/>
    </row>
    <row r="1688" ht="22.5" customHeight="1">
      <c r="A1688" s="49"/>
      <c r="C1688" s="384"/>
      <c r="D1688" s="93"/>
      <c r="F1688" s="74"/>
      <c r="H1688" s="74"/>
      <c r="I1688" s="74"/>
      <c r="J1688" s="74"/>
      <c r="K1688" s="74" t="str">
        <f>if(F1688="SERVICE",O1688-(O1688*50%),Vlookup(F1688,DATABASE!C:Q,10,false)*G1688)</f>
        <v>#N/A</v>
      </c>
      <c r="L1688" s="74" t="str">
        <f>VLOOKUP(F1688,DATABASE!C:Q,7,FALSE)</f>
        <v>#N/A</v>
      </c>
      <c r="M1688" s="74"/>
      <c r="N1688" s="74">
        <f t="shared" si="11"/>
        <v>0</v>
      </c>
      <c r="O1688" s="74">
        <f t="shared" si="13"/>
        <v>0</v>
      </c>
      <c r="P1688" s="63">
        <f t="shared" si="14"/>
        <v>0</v>
      </c>
      <c r="Q1688" s="63" t="str">
        <f t="shared" si="15"/>
        <v>#N/A</v>
      </c>
      <c r="R1688" s="93" t="str">
        <f>VLOOKUP(F1688,DATABASE!C:Q,4,false)</f>
        <v>#N/A</v>
      </c>
      <c r="S1688" s="93" t="str">
        <f>VLOOKUP(F1688,DATABASE!C:P,11,false)</f>
        <v>#N/A</v>
      </c>
      <c r="T1688" s="93" t="str">
        <f>vlookup(F1688,DATABASE!C:Q,8,false)</f>
        <v>#N/A</v>
      </c>
      <c r="Z1688" s="9"/>
    </row>
    <row r="1689" ht="22.5" customHeight="1">
      <c r="A1689" s="49"/>
      <c r="C1689" s="384"/>
      <c r="D1689" s="93"/>
      <c r="F1689" s="74"/>
      <c r="H1689" s="74"/>
      <c r="I1689" s="74"/>
      <c r="J1689" s="74"/>
      <c r="K1689" s="74" t="str">
        <f>if(F1689="SERVICE",O1689-(O1689*50%),Vlookup(F1689,DATABASE!C:Q,10,false)*G1689)</f>
        <v>#N/A</v>
      </c>
      <c r="L1689" s="74" t="str">
        <f>VLOOKUP(F1689,DATABASE!C:Q,7,FALSE)</f>
        <v>#N/A</v>
      </c>
      <c r="M1689" s="74"/>
      <c r="N1689" s="74">
        <f t="shared" si="11"/>
        <v>0</v>
      </c>
      <c r="O1689" s="74">
        <f t="shared" si="13"/>
        <v>0</v>
      </c>
      <c r="P1689" s="63">
        <f t="shared" si="14"/>
        <v>0</v>
      </c>
      <c r="Q1689" s="63" t="str">
        <f t="shared" si="15"/>
        <v>#N/A</v>
      </c>
      <c r="R1689" s="93" t="str">
        <f>VLOOKUP(F1689,DATABASE!C:Q,4,false)</f>
        <v>#N/A</v>
      </c>
      <c r="S1689" s="93" t="str">
        <f>VLOOKUP(F1689,DATABASE!C:P,11,false)</f>
        <v>#N/A</v>
      </c>
      <c r="T1689" s="93" t="str">
        <f>vlookup(F1689,DATABASE!C:Q,8,false)</f>
        <v>#N/A</v>
      </c>
      <c r="Z1689" s="9"/>
    </row>
    <row r="1690" ht="22.5" customHeight="1">
      <c r="A1690" s="49"/>
      <c r="C1690" s="384"/>
      <c r="D1690" s="93"/>
      <c r="F1690" s="74"/>
      <c r="H1690" s="74"/>
      <c r="I1690" s="74"/>
      <c r="J1690" s="74"/>
      <c r="K1690" s="74" t="str">
        <f>if(F1690="SERVICE",O1690-(O1690*50%),Vlookup(F1690,DATABASE!C:Q,10,false)*G1690)</f>
        <v>#N/A</v>
      </c>
      <c r="L1690" s="74" t="str">
        <f>VLOOKUP(F1690,DATABASE!C:Q,7,FALSE)</f>
        <v>#N/A</v>
      </c>
      <c r="M1690" s="74"/>
      <c r="N1690" s="74">
        <f t="shared" si="11"/>
        <v>0</v>
      </c>
      <c r="O1690" s="74">
        <f t="shared" si="13"/>
        <v>0</v>
      </c>
      <c r="P1690" s="63">
        <f t="shared" si="14"/>
        <v>0</v>
      </c>
      <c r="Q1690" s="63" t="str">
        <f t="shared" si="15"/>
        <v>#N/A</v>
      </c>
      <c r="R1690" s="93" t="str">
        <f>VLOOKUP(F1690,DATABASE!C:Q,4,false)</f>
        <v>#N/A</v>
      </c>
      <c r="S1690" s="93" t="str">
        <f>VLOOKUP(F1690,DATABASE!C:P,11,false)</f>
        <v>#N/A</v>
      </c>
      <c r="T1690" s="93" t="str">
        <f>vlookup(F1690,DATABASE!C:Q,8,false)</f>
        <v>#N/A</v>
      </c>
      <c r="Z1690" s="9"/>
    </row>
    <row r="1691" ht="22.5" customHeight="1">
      <c r="A1691" s="49"/>
      <c r="C1691" s="384"/>
      <c r="D1691" s="93"/>
      <c r="F1691" s="74"/>
      <c r="H1691" s="74"/>
      <c r="I1691" s="74"/>
      <c r="J1691" s="74"/>
      <c r="K1691" s="74" t="str">
        <f>if(F1691="SERVICE",O1691-(O1691*50%),Vlookup(F1691,DATABASE!C:Q,10,false)*G1691)</f>
        <v>#N/A</v>
      </c>
      <c r="L1691" s="74" t="str">
        <f>VLOOKUP(F1691,DATABASE!C:Q,7,FALSE)</f>
        <v>#N/A</v>
      </c>
      <c r="M1691" s="74"/>
      <c r="N1691" s="74">
        <f t="shared" si="11"/>
        <v>0</v>
      </c>
      <c r="O1691" s="74">
        <f t="shared" si="13"/>
        <v>0</v>
      </c>
      <c r="P1691" s="63">
        <f t="shared" si="14"/>
        <v>0</v>
      </c>
      <c r="Q1691" s="63" t="str">
        <f t="shared" si="15"/>
        <v>#N/A</v>
      </c>
      <c r="R1691" s="93" t="str">
        <f>VLOOKUP(F1691,DATABASE!C:Q,4,false)</f>
        <v>#N/A</v>
      </c>
      <c r="S1691" s="93" t="str">
        <f>VLOOKUP(F1691,DATABASE!C:P,11,false)</f>
        <v>#N/A</v>
      </c>
      <c r="T1691" s="93" t="str">
        <f>vlookup(F1691,DATABASE!C:Q,8,false)</f>
        <v>#N/A</v>
      </c>
      <c r="Z1691" s="9"/>
    </row>
    <row r="1692" ht="22.5" customHeight="1">
      <c r="A1692" s="49"/>
      <c r="C1692" s="384"/>
      <c r="D1692" s="93"/>
      <c r="F1692" s="74"/>
      <c r="H1692" s="74"/>
      <c r="I1692" s="74"/>
      <c r="J1692" s="74"/>
      <c r="K1692" s="74" t="str">
        <f>if(F1692="SERVICE",O1692-(O1692*50%),Vlookup(F1692,DATABASE!C:Q,10,false)*G1692)</f>
        <v>#N/A</v>
      </c>
      <c r="L1692" s="74" t="str">
        <f>VLOOKUP(F1692,DATABASE!C:Q,7,FALSE)</f>
        <v>#N/A</v>
      </c>
      <c r="M1692" s="74"/>
      <c r="N1692" s="74">
        <f t="shared" si="11"/>
        <v>0</v>
      </c>
      <c r="O1692" s="74">
        <f t="shared" si="13"/>
        <v>0</v>
      </c>
      <c r="P1692" s="63">
        <f t="shared" si="14"/>
        <v>0</v>
      </c>
      <c r="Q1692" s="63" t="str">
        <f t="shared" si="15"/>
        <v>#N/A</v>
      </c>
      <c r="R1692" s="93" t="str">
        <f>VLOOKUP(F1692,DATABASE!C:Q,4,false)</f>
        <v>#N/A</v>
      </c>
      <c r="S1692" s="93" t="str">
        <f>VLOOKUP(F1692,DATABASE!C:P,11,false)</f>
        <v>#N/A</v>
      </c>
      <c r="T1692" s="93" t="str">
        <f>vlookup(F1692,DATABASE!C:Q,8,false)</f>
        <v>#N/A</v>
      </c>
      <c r="Z1692" s="9"/>
    </row>
    <row r="1693" ht="22.5" customHeight="1">
      <c r="A1693" s="49"/>
      <c r="C1693" s="384"/>
      <c r="D1693" s="93"/>
      <c r="F1693" s="74"/>
      <c r="H1693" s="74"/>
      <c r="I1693" s="74"/>
      <c r="J1693" s="74"/>
      <c r="K1693" s="74" t="str">
        <f>if(F1693="SERVICE",O1693-(O1693*50%),Vlookup(F1693,DATABASE!C:Q,10,false)*G1693)</f>
        <v>#N/A</v>
      </c>
      <c r="L1693" s="74" t="str">
        <f>VLOOKUP(F1693,DATABASE!C:Q,7,FALSE)</f>
        <v>#N/A</v>
      </c>
      <c r="M1693" s="74"/>
      <c r="N1693" s="74">
        <f t="shared" si="11"/>
        <v>0</v>
      </c>
      <c r="O1693" s="74">
        <f t="shared" si="13"/>
        <v>0</v>
      </c>
      <c r="P1693" s="63">
        <f t="shared" si="14"/>
        <v>0</v>
      </c>
      <c r="Q1693" s="63" t="str">
        <f t="shared" si="15"/>
        <v>#N/A</v>
      </c>
      <c r="R1693" s="93" t="str">
        <f>VLOOKUP(F1693,DATABASE!C:Q,4,false)</f>
        <v>#N/A</v>
      </c>
      <c r="S1693" s="93" t="str">
        <f>VLOOKUP(F1693,DATABASE!C:P,11,false)</f>
        <v>#N/A</v>
      </c>
      <c r="T1693" s="93" t="str">
        <f>vlookup(F1693,DATABASE!C:Q,8,false)</f>
        <v>#N/A</v>
      </c>
      <c r="Z1693" s="9"/>
    </row>
    <row r="1694" ht="22.5" customHeight="1">
      <c r="A1694" s="49"/>
      <c r="C1694" s="384"/>
      <c r="D1694" s="93"/>
      <c r="F1694" s="74"/>
      <c r="H1694" s="74"/>
      <c r="I1694" s="74"/>
      <c r="J1694" s="74"/>
      <c r="K1694" s="74" t="str">
        <f>if(F1694="SERVICE",O1694-(O1694*50%),Vlookup(F1694,DATABASE!C:Q,10,false)*G1694)</f>
        <v>#N/A</v>
      </c>
      <c r="L1694" s="74" t="str">
        <f>VLOOKUP(F1694,DATABASE!C:Q,7,FALSE)</f>
        <v>#N/A</v>
      </c>
      <c r="M1694" s="74"/>
      <c r="N1694" s="74">
        <f t="shared" si="11"/>
        <v>0</v>
      </c>
      <c r="O1694" s="74">
        <f t="shared" si="13"/>
        <v>0</v>
      </c>
      <c r="P1694" s="63">
        <f t="shared" si="14"/>
        <v>0</v>
      </c>
      <c r="Q1694" s="63" t="str">
        <f t="shared" si="15"/>
        <v>#N/A</v>
      </c>
      <c r="R1694" s="93" t="str">
        <f>VLOOKUP(F1694,DATABASE!C:Q,4,false)</f>
        <v>#N/A</v>
      </c>
      <c r="S1694" s="93" t="str">
        <f>VLOOKUP(F1694,DATABASE!C:P,11,false)</f>
        <v>#N/A</v>
      </c>
      <c r="T1694" s="93" t="str">
        <f>vlookup(F1694,DATABASE!C:Q,8,false)</f>
        <v>#N/A</v>
      </c>
      <c r="Z1694" s="9"/>
    </row>
    <row r="1695" ht="22.5" customHeight="1">
      <c r="A1695" s="49"/>
      <c r="C1695" s="384"/>
      <c r="D1695" s="93"/>
      <c r="F1695" s="74"/>
      <c r="H1695" s="74"/>
      <c r="I1695" s="74"/>
      <c r="J1695" s="74"/>
      <c r="K1695" s="74" t="str">
        <f>if(F1695="SERVICE",O1695-(O1695*50%),Vlookup(F1695,DATABASE!C:Q,10,false)*G1695)</f>
        <v>#N/A</v>
      </c>
      <c r="L1695" s="74" t="str">
        <f>VLOOKUP(F1695,DATABASE!C:Q,7,FALSE)</f>
        <v>#N/A</v>
      </c>
      <c r="M1695" s="74"/>
      <c r="N1695" s="74">
        <f t="shared" si="11"/>
        <v>0</v>
      </c>
      <c r="O1695" s="74">
        <f t="shared" si="13"/>
        <v>0</v>
      </c>
      <c r="P1695" s="63">
        <f t="shared" si="14"/>
        <v>0</v>
      </c>
      <c r="Q1695" s="63" t="str">
        <f t="shared" si="15"/>
        <v>#N/A</v>
      </c>
      <c r="R1695" s="93" t="str">
        <f>VLOOKUP(F1695,DATABASE!C:Q,4,false)</f>
        <v>#N/A</v>
      </c>
      <c r="S1695" s="93" t="str">
        <f>VLOOKUP(F1695,DATABASE!C:P,11,false)</f>
        <v>#N/A</v>
      </c>
      <c r="T1695" s="93" t="str">
        <f>vlookup(F1695,DATABASE!C:Q,8,false)</f>
        <v>#N/A</v>
      </c>
      <c r="Z1695" s="9"/>
    </row>
    <row r="1696" ht="22.5" customHeight="1">
      <c r="A1696" s="49"/>
      <c r="C1696" s="384"/>
      <c r="D1696" s="93"/>
      <c r="F1696" s="74"/>
      <c r="H1696" s="74"/>
      <c r="I1696" s="74"/>
      <c r="J1696" s="74"/>
      <c r="K1696" s="74" t="str">
        <f>if(F1696="SERVICE",O1696-(O1696*50%),Vlookup(F1696,DATABASE!C:Q,10,false)*G1696)</f>
        <v>#N/A</v>
      </c>
      <c r="L1696" s="74" t="str">
        <f>VLOOKUP(F1696,DATABASE!C:Q,7,FALSE)</f>
        <v>#N/A</v>
      </c>
      <c r="M1696" s="74"/>
      <c r="N1696" s="74">
        <f t="shared" si="11"/>
        <v>0</v>
      </c>
      <c r="O1696" s="74">
        <f t="shared" si="13"/>
        <v>0</v>
      </c>
      <c r="P1696" s="63">
        <f t="shared" si="14"/>
        <v>0</v>
      </c>
      <c r="Q1696" s="63" t="str">
        <f t="shared" si="15"/>
        <v>#N/A</v>
      </c>
      <c r="R1696" s="93" t="str">
        <f>VLOOKUP(F1696,DATABASE!C:Q,4,false)</f>
        <v>#N/A</v>
      </c>
      <c r="S1696" s="93" t="str">
        <f>VLOOKUP(F1696,DATABASE!C:P,11,false)</f>
        <v>#N/A</v>
      </c>
      <c r="T1696" s="93" t="str">
        <f>vlookup(F1696,DATABASE!C:Q,8,false)</f>
        <v>#N/A</v>
      </c>
      <c r="Z1696" s="9"/>
    </row>
    <row r="1697" ht="22.5" customHeight="1">
      <c r="A1697" s="49"/>
      <c r="C1697" s="384"/>
      <c r="D1697" s="93"/>
      <c r="F1697" s="74"/>
      <c r="H1697" s="74"/>
      <c r="I1697" s="74"/>
      <c r="J1697" s="74"/>
      <c r="K1697" s="74" t="str">
        <f>if(F1697="SERVICE",O1697-(O1697*50%),Vlookup(F1697,DATABASE!C:Q,10,false)*G1697)</f>
        <v>#N/A</v>
      </c>
      <c r="L1697" s="74" t="str">
        <f>VLOOKUP(F1697,DATABASE!C:Q,7,FALSE)</f>
        <v>#N/A</v>
      </c>
      <c r="M1697" s="74"/>
      <c r="N1697" s="74">
        <f t="shared" si="11"/>
        <v>0</v>
      </c>
      <c r="O1697" s="74">
        <f t="shared" si="13"/>
        <v>0</v>
      </c>
      <c r="P1697" s="63">
        <f t="shared" si="14"/>
        <v>0</v>
      </c>
      <c r="Q1697" s="63" t="str">
        <f t="shared" si="15"/>
        <v>#N/A</v>
      </c>
      <c r="R1697" s="93" t="str">
        <f>VLOOKUP(F1697,DATABASE!C:Q,4,false)</f>
        <v>#N/A</v>
      </c>
      <c r="S1697" s="93" t="str">
        <f>VLOOKUP(F1697,DATABASE!C:P,11,false)</f>
        <v>#N/A</v>
      </c>
      <c r="T1697" s="93" t="str">
        <f>vlookup(F1697,DATABASE!C:Q,8,false)</f>
        <v>#N/A</v>
      </c>
      <c r="Z1697" s="9"/>
    </row>
    <row r="1698" ht="22.5" customHeight="1">
      <c r="A1698" s="49"/>
      <c r="C1698" s="384"/>
      <c r="D1698" s="93"/>
      <c r="F1698" s="74"/>
      <c r="H1698" s="74"/>
      <c r="I1698" s="74"/>
      <c r="J1698" s="74"/>
      <c r="K1698" s="74" t="str">
        <f>if(F1698="SERVICE",O1698-(O1698*50%),Vlookup(F1698,DATABASE!C:Q,10,false)*G1698)</f>
        <v>#N/A</v>
      </c>
      <c r="L1698" s="74" t="str">
        <f>VLOOKUP(F1698,DATABASE!C:Q,7,FALSE)</f>
        <v>#N/A</v>
      </c>
      <c r="M1698" s="74"/>
      <c r="N1698" s="74">
        <f t="shared" si="11"/>
        <v>0</v>
      </c>
      <c r="O1698" s="74">
        <f t="shared" si="13"/>
        <v>0</v>
      </c>
      <c r="P1698" s="63">
        <f t="shared" si="14"/>
        <v>0</v>
      </c>
      <c r="Q1698" s="63" t="str">
        <f t="shared" si="15"/>
        <v>#N/A</v>
      </c>
      <c r="R1698" s="93" t="str">
        <f>VLOOKUP(F1698,DATABASE!C:Q,4,false)</f>
        <v>#N/A</v>
      </c>
      <c r="S1698" s="93" t="str">
        <f>VLOOKUP(F1698,DATABASE!C:P,11,false)</f>
        <v>#N/A</v>
      </c>
      <c r="T1698" s="93" t="str">
        <f>vlookup(F1698,DATABASE!C:Q,8,false)</f>
        <v>#N/A</v>
      </c>
      <c r="Z1698" s="9"/>
    </row>
    <row r="1699" ht="22.5" customHeight="1">
      <c r="A1699" s="49"/>
      <c r="C1699" s="384"/>
      <c r="D1699" s="93"/>
      <c r="F1699" s="74"/>
      <c r="H1699" s="74"/>
      <c r="I1699" s="74"/>
      <c r="J1699" s="74"/>
      <c r="K1699" s="74" t="str">
        <f>if(F1699="SERVICE",O1699-(O1699*50%),Vlookup(F1699,DATABASE!C:Q,10,false)*G1699)</f>
        <v>#N/A</v>
      </c>
      <c r="L1699" s="74" t="str">
        <f>VLOOKUP(F1699,DATABASE!C:Q,7,FALSE)</f>
        <v>#N/A</v>
      </c>
      <c r="M1699" s="74"/>
      <c r="N1699" s="74">
        <f t="shared" si="11"/>
        <v>0</v>
      </c>
      <c r="O1699" s="74">
        <f t="shared" si="13"/>
        <v>0</v>
      </c>
      <c r="P1699" s="63">
        <f t="shared" si="14"/>
        <v>0</v>
      </c>
      <c r="Q1699" s="63" t="str">
        <f t="shared" si="15"/>
        <v>#N/A</v>
      </c>
      <c r="R1699" s="93" t="str">
        <f>VLOOKUP(F1699,DATABASE!C:Q,4,false)</f>
        <v>#N/A</v>
      </c>
      <c r="S1699" s="93" t="str">
        <f>VLOOKUP(F1699,DATABASE!C:P,11,false)</f>
        <v>#N/A</v>
      </c>
      <c r="T1699" s="93" t="str">
        <f>vlookup(F1699,DATABASE!C:Q,8,false)</f>
        <v>#N/A</v>
      </c>
      <c r="Z1699" s="9"/>
    </row>
    <row r="1700" ht="22.5" customHeight="1">
      <c r="A1700" s="49"/>
      <c r="C1700" s="384"/>
      <c r="D1700" s="93"/>
      <c r="F1700" s="74"/>
      <c r="H1700" s="74"/>
      <c r="I1700" s="74"/>
      <c r="J1700" s="74"/>
      <c r="K1700" s="74" t="str">
        <f>if(F1700="SERVICE",O1700-(O1700*50%),Vlookup(F1700,DATABASE!C:Q,10,false)*G1700)</f>
        <v>#N/A</v>
      </c>
      <c r="L1700" s="74" t="str">
        <f>VLOOKUP(F1700,DATABASE!C:Q,7,FALSE)</f>
        <v>#N/A</v>
      </c>
      <c r="M1700" s="74"/>
      <c r="N1700" s="74">
        <f t="shared" si="11"/>
        <v>0</v>
      </c>
      <c r="O1700" s="74">
        <f t="shared" si="13"/>
        <v>0</v>
      </c>
      <c r="P1700" s="63">
        <f t="shared" si="14"/>
        <v>0</v>
      </c>
      <c r="Q1700" s="63" t="str">
        <f t="shared" si="15"/>
        <v>#N/A</v>
      </c>
      <c r="R1700" s="93" t="str">
        <f>VLOOKUP(F1700,DATABASE!C:Q,4,false)</f>
        <v>#N/A</v>
      </c>
      <c r="S1700" s="93" t="str">
        <f>VLOOKUP(F1700,DATABASE!C:P,11,false)</f>
        <v>#N/A</v>
      </c>
      <c r="T1700" s="93" t="str">
        <f>vlookup(F1700,DATABASE!C:Q,8,false)</f>
        <v>#N/A</v>
      </c>
      <c r="Z1700" s="9"/>
    </row>
    <row r="1701" ht="22.5" customHeight="1">
      <c r="A1701" s="49"/>
      <c r="C1701" s="384"/>
      <c r="D1701" s="93"/>
      <c r="F1701" s="74"/>
      <c r="H1701" s="74"/>
      <c r="I1701" s="74"/>
      <c r="J1701" s="74"/>
      <c r="K1701" s="74" t="str">
        <f>if(F1701="SERVICE",O1701-(O1701*50%),Vlookup(F1701,DATABASE!C:Q,10,false)*G1701)</f>
        <v>#N/A</v>
      </c>
      <c r="L1701" s="74" t="str">
        <f>VLOOKUP(F1701,DATABASE!C:Q,7,FALSE)</f>
        <v>#N/A</v>
      </c>
      <c r="M1701" s="74"/>
      <c r="N1701" s="74">
        <f t="shared" si="11"/>
        <v>0</v>
      </c>
      <c r="O1701" s="74">
        <f t="shared" si="13"/>
        <v>0</v>
      </c>
      <c r="P1701" s="63">
        <f t="shared" si="14"/>
        <v>0</v>
      </c>
      <c r="Q1701" s="63" t="str">
        <f t="shared" si="15"/>
        <v>#N/A</v>
      </c>
      <c r="R1701" s="93" t="str">
        <f>VLOOKUP(F1701,DATABASE!C:Q,4,false)</f>
        <v>#N/A</v>
      </c>
      <c r="S1701" s="93" t="str">
        <f>VLOOKUP(F1701,DATABASE!C:P,11,false)</f>
        <v>#N/A</v>
      </c>
      <c r="T1701" s="93" t="str">
        <f>vlookup(F1701,DATABASE!C:Q,8,false)</f>
        <v>#N/A</v>
      </c>
      <c r="Z1701" s="9"/>
    </row>
    <row r="1702" ht="22.5" customHeight="1">
      <c r="A1702" s="49"/>
      <c r="C1702" s="384"/>
      <c r="D1702" s="93"/>
      <c r="F1702" s="74"/>
      <c r="H1702" s="74"/>
      <c r="I1702" s="74"/>
      <c r="J1702" s="74"/>
      <c r="K1702" s="74" t="str">
        <f>if(F1702="SERVICE",O1702-(O1702*50%),Vlookup(F1702,DATABASE!C:Q,10,false)*G1702)</f>
        <v>#N/A</v>
      </c>
      <c r="L1702" s="74" t="str">
        <f>VLOOKUP(F1702,DATABASE!C:Q,7,FALSE)</f>
        <v>#N/A</v>
      </c>
      <c r="M1702" s="74"/>
      <c r="N1702" s="74">
        <f t="shared" si="11"/>
        <v>0</v>
      </c>
      <c r="O1702" s="74">
        <f t="shared" si="13"/>
        <v>0</v>
      </c>
      <c r="P1702" s="63">
        <f t="shared" si="14"/>
        <v>0</v>
      </c>
      <c r="Q1702" s="63" t="str">
        <f t="shared" si="15"/>
        <v>#N/A</v>
      </c>
      <c r="R1702" s="93" t="str">
        <f>VLOOKUP(F1702,DATABASE!C:Q,4,false)</f>
        <v>#N/A</v>
      </c>
      <c r="S1702" s="93" t="str">
        <f>VLOOKUP(F1702,DATABASE!C:P,11,false)</f>
        <v>#N/A</v>
      </c>
      <c r="T1702" s="93" t="str">
        <f>vlookup(F1702,DATABASE!C:Q,8,false)</f>
        <v>#N/A</v>
      </c>
      <c r="Z1702" s="9"/>
    </row>
    <row r="1703" ht="22.5" customHeight="1">
      <c r="A1703" s="49"/>
      <c r="C1703" s="384"/>
      <c r="D1703" s="93"/>
      <c r="F1703" s="74"/>
      <c r="H1703" s="74"/>
      <c r="I1703" s="74"/>
      <c r="J1703" s="74"/>
      <c r="K1703" s="74" t="str">
        <f>if(F1703="SERVICE",O1703-(O1703*50%),Vlookup(F1703,DATABASE!C:Q,10,false)*G1703)</f>
        <v>#N/A</v>
      </c>
      <c r="L1703" s="74" t="str">
        <f>VLOOKUP(F1703,DATABASE!C:Q,7,FALSE)</f>
        <v>#N/A</v>
      </c>
      <c r="M1703" s="74"/>
      <c r="N1703" s="74">
        <f t="shared" si="11"/>
        <v>0</v>
      </c>
      <c r="O1703" s="74">
        <f t="shared" si="13"/>
        <v>0</v>
      </c>
      <c r="P1703" s="63">
        <f t="shared" si="14"/>
        <v>0</v>
      </c>
      <c r="Q1703" s="63" t="str">
        <f t="shared" si="15"/>
        <v>#N/A</v>
      </c>
      <c r="R1703" s="93" t="str">
        <f>VLOOKUP(F1703,DATABASE!C:Q,4,false)</f>
        <v>#N/A</v>
      </c>
      <c r="S1703" s="93" t="str">
        <f>VLOOKUP(F1703,DATABASE!C:P,11,false)</f>
        <v>#N/A</v>
      </c>
      <c r="T1703" s="93" t="str">
        <f>vlookup(F1703,DATABASE!C:Q,8,false)</f>
        <v>#N/A</v>
      </c>
      <c r="Z1703" s="9"/>
    </row>
    <row r="1704" ht="22.5" customHeight="1">
      <c r="A1704" s="49"/>
      <c r="C1704" s="384"/>
      <c r="D1704" s="93"/>
      <c r="F1704" s="74"/>
      <c r="H1704" s="74"/>
      <c r="I1704" s="74"/>
      <c r="J1704" s="74"/>
      <c r="K1704" s="74" t="str">
        <f>if(F1704="SERVICE",O1704-(O1704*50%),Vlookup(F1704,DATABASE!C:Q,10,false)*G1704)</f>
        <v>#N/A</v>
      </c>
      <c r="L1704" s="74" t="str">
        <f>VLOOKUP(F1704,DATABASE!C:Q,7,FALSE)</f>
        <v>#N/A</v>
      </c>
      <c r="M1704" s="74"/>
      <c r="N1704" s="74">
        <f t="shared" si="11"/>
        <v>0</v>
      </c>
      <c r="O1704" s="74">
        <f t="shared" si="13"/>
        <v>0</v>
      </c>
      <c r="P1704" s="63">
        <f t="shared" si="14"/>
        <v>0</v>
      </c>
      <c r="Q1704" s="63" t="str">
        <f t="shared" si="15"/>
        <v>#N/A</v>
      </c>
      <c r="R1704" s="93" t="str">
        <f>VLOOKUP(F1704,DATABASE!C:Q,4,false)</f>
        <v>#N/A</v>
      </c>
      <c r="S1704" s="93" t="str">
        <f>VLOOKUP(F1704,DATABASE!C:P,11,false)</f>
        <v>#N/A</v>
      </c>
      <c r="T1704" s="93" t="str">
        <f>vlookup(F1704,DATABASE!C:Q,8,false)</f>
        <v>#N/A</v>
      </c>
      <c r="Z1704" s="9"/>
    </row>
    <row r="1705" ht="22.5" customHeight="1">
      <c r="A1705" s="49"/>
      <c r="C1705" s="384"/>
      <c r="D1705" s="93"/>
      <c r="F1705" s="74"/>
      <c r="H1705" s="74"/>
      <c r="I1705" s="74"/>
      <c r="J1705" s="74"/>
      <c r="K1705" s="74" t="str">
        <f>if(F1705="SERVICE",O1705-(O1705*50%),Vlookup(F1705,DATABASE!C:Q,10,false)*G1705)</f>
        <v>#N/A</v>
      </c>
      <c r="L1705" s="74" t="str">
        <f>VLOOKUP(F1705,DATABASE!C:Q,7,FALSE)</f>
        <v>#N/A</v>
      </c>
      <c r="M1705" s="74"/>
      <c r="N1705" s="74">
        <f t="shared" si="11"/>
        <v>0</v>
      </c>
      <c r="O1705" s="74">
        <f t="shared" si="13"/>
        <v>0</v>
      </c>
      <c r="P1705" s="63">
        <f t="shared" si="14"/>
        <v>0</v>
      </c>
      <c r="Q1705" s="63" t="str">
        <f t="shared" si="15"/>
        <v>#N/A</v>
      </c>
      <c r="R1705" s="93" t="str">
        <f>VLOOKUP(F1705,DATABASE!C:Q,4,false)</f>
        <v>#N/A</v>
      </c>
      <c r="S1705" s="93" t="str">
        <f>VLOOKUP(F1705,DATABASE!C:P,11,false)</f>
        <v>#N/A</v>
      </c>
      <c r="T1705" s="93" t="str">
        <f>vlookup(F1705,DATABASE!C:Q,8,false)</f>
        <v>#N/A</v>
      </c>
      <c r="Z1705" s="9"/>
    </row>
    <row r="1706" ht="22.5" customHeight="1">
      <c r="A1706" s="49"/>
      <c r="C1706" s="384"/>
      <c r="D1706" s="93"/>
      <c r="F1706" s="74"/>
      <c r="H1706" s="74"/>
      <c r="I1706" s="74"/>
      <c r="J1706" s="74"/>
      <c r="K1706" s="74" t="str">
        <f>if(F1706="SERVICE",O1706-(O1706*50%),Vlookup(F1706,DATABASE!C:Q,10,false)*G1706)</f>
        <v>#N/A</v>
      </c>
      <c r="L1706" s="74" t="str">
        <f>VLOOKUP(F1706,DATABASE!C:Q,7,FALSE)</f>
        <v>#N/A</v>
      </c>
      <c r="M1706" s="74"/>
      <c r="N1706" s="74">
        <f t="shared" si="11"/>
        <v>0</v>
      </c>
      <c r="O1706" s="74">
        <f t="shared" si="13"/>
        <v>0</v>
      </c>
      <c r="P1706" s="63">
        <f t="shared" si="14"/>
        <v>0</v>
      </c>
      <c r="Q1706" s="63" t="str">
        <f t="shared" si="15"/>
        <v>#N/A</v>
      </c>
      <c r="R1706" s="93" t="str">
        <f>VLOOKUP(F1706,DATABASE!C:Q,4,false)</f>
        <v>#N/A</v>
      </c>
      <c r="S1706" s="93" t="str">
        <f>VLOOKUP(F1706,DATABASE!C:P,11,false)</f>
        <v>#N/A</v>
      </c>
      <c r="T1706" s="93" t="str">
        <f>vlookup(F1706,DATABASE!C:Q,8,false)</f>
        <v>#N/A</v>
      </c>
      <c r="Z1706" s="9"/>
    </row>
    <row r="1707" ht="22.5" customHeight="1">
      <c r="A1707" s="49"/>
      <c r="C1707" s="384"/>
      <c r="D1707" s="93"/>
      <c r="F1707" s="74"/>
      <c r="H1707" s="74"/>
      <c r="I1707" s="74"/>
      <c r="J1707" s="74"/>
      <c r="K1707" s="74" t="str">
        <f>if(F1707="SERVICE",O1707-(O1707*50%),Vlookup(F1707,DATABASE!C:Q,10,false)*G1707)</f>
        <v>#N/A</v>
      </c>
      <c r="L1707" s="74" t="str">
        <f>VLOOKUP(F1707,DATABASE!C:Q,7,FALSE)</f>
        <v>#N/A</v>
      </c>
      <c r="M1707" s="74"/>
      <c r="N1707" s="74">
        <f t="shared" si="11"/>
        <v>0</v>
      </c>
      <c r="O1707" s="74">
        <f t="shared" si="13"/>
        <v>0</v>
      </c>
      <c r="P1707" s="63">
        <f t="shared" si="14"/>
        <v>0</v>
      </c>
      <c r="Q1707" s="63" t="str">
        <f t="shared" si="15"/>
        <v>#N/A</v>
      </c>
      <c r="R1707" s="93" t="str">
        <f>VLOOKUP(F1707,DATABASE!C:Q,4,false)</f>
        <v>#N/A</v>
      </c>
      <c r="S1707" s="93" t="str">
        <f>VLOOKUP(F1707,DATABASE!C:P,11,false)</f>
        <v>#N/A</v>
      </c>
      <c r="T1707" s="93" t="str">
        <f>vlookup(F1707,DATABASE!C:Q,8,false)</f>
        <v>#N/A</v>
      </c>
      <c r="Z1707" s="9"/>
    </row>
    <row r="1708" ht="22.5" customHeight="1">
      <c r="A1708" s="49"/>
      <c r="C1708" s="384"/>
      <c r="D1708" s="93"/>
      <c r="F1708" s="74"/>
      <c r="H1708" s="74"/>
      <c r="I1708" s="74"/>
      <c r="J1708" s="74"/>
      <c r="K1708" s="74" t="str">
        <f>if(F1708="SERVICE",O1708-(O1708*50%),Vlookup(F1708,DATABASE!C:Q,10,false)*G1708)</f>
        <v>#N/A</v>
      </c>
      <c r="L1708" s="74" t="str">
        <f>VLOOKUP(F1708,DATABASE!C:Q,7,FALSE)</f>
        <v>#N/A</v>
      </c>
      <c r="M1708" s="74"/>
      <c r="N1708" s="74">
        <f t="shared" si="11"/>
        <v>0</v>
      </c>
      <c r="O1708" s="74">
        <f t="shared" si="13"/>
        <v>0</v>
      </c>
      <c r="P1708" s="63">
        <f t="shared" si="14"/>
        <v>0</v>
      </c>
      <c r="Q1708" s="63" t="str">
        <f t="shared" si="15"/>
        <v>#N/A</v>
      </c>
      <c r="R1708" s="93" t="str">
        <f>VLOOKUP(F1708,DATABASE!C:Q,4,false)</f>
        <v>#N/A</v>
      </c>
      <c r="S1708" s="93" t="str">
        <f>VLOOKUP(F1708,DATABASE!C:P,11,false)</f>
        <v>#N/A</v>
      </c>
      <c r="T1708" s="93" t="str">
        <f>vlookup(F1708,DATABASE!C:Q,8,false)</f>
        <v>#N/A</v>
      </c>
      <c r="Z1708" s="9"/>
    </row>
    <row r="1709" ht="22.5" customHeight="1">
      <c r="A1709" s="49"/>
      <c r="C1709" s="384"/>
      <c r="D1709" s="93"/>
      <c r="F1709" s="74"/>
      <c r="H1709" s="74"/>
      <c r="I1709" s="74"/>
      <c r="J1709" s="74"/>
      <c r="K1709" s="74" t="str">
        <f>if(F1709="SERVICE",O1709-(O1709*50%),Vlookup(F1709,DATABASE!C:Q,10,false)*G1709)</f>
        <v>#N/A</v>
      </c>
      <c r="L1709" s="74" t="str">
        <f>VLOOKUP(F1709,DATABASE!C:Q,7,FALSE)</f>
        <v>#N/A</v>
      </c>
      <c r="M1709" s="74"/>
      <c r="N1709" s="74">
        <f t="shared" si="11"/>
        <v>0</v>
      </c>
      <c r="O1709" s="74">
        <f t="shared" si="13"/>
        <v>0</v>
      </c>
      <c r="P1709" s="63">
        <f t="shared" si="14"/>
        <v>0</v>
      </c>
      <c r="Q1709" s="63" t="str">
        <f t="shared" si="15"/>
        <v>#N/A</v>
      </c>
      <c r="R1709" s="93" t="str">
        <f>VLOOKUP(F1709,DATABASE!C:Q,4,false)</f>
        <v>#N/A</v>
      </c>
      <c r="S1709" s="93" t="str">
        <f>VLOOKUP(F1709,DATABASE!C:P,11,false)</f>
        <v>#N/A</v>
      </c>
      <c r="T1709" s="93" t="str">
        <f>vlookup(F1709,DATABASE!C:Q,8,false)</f>
        <v>#N/A</v>
      </c>
      <c r="Z1709" s="9"/>
    </row>
    <row r="1710" ht="22.5" customHeight="1">
      <c r="A1710" s="49"/>
      <c r="C1710" s="384"/>
      <c r="D1710" s="93"/>
      <c r="F1710" s="74"/>
      <c r="H1710" s="74"/>
      <c r="I1710" s="74"/>
      <c r="J1710" s="74"/>
      <c r="K1710" s="74" t="str">
        <f>if(F1710="SERVICE",O1710-(O1710*50%),Vlookup(F1710,DATABASE!C:Q,10,false)*G1710)</f>
        <v>#N/A</v>
      </c>
      <c r="L1710" s="74" t="str">
        <f>VLOOKUP(F1710,DATABASE!C:Q,7,FALSE)</f>
        <v>#N/A</v>
      </c>
      <c r="M1710" s="74"/>
      <c r="N1710" s="74">
        <f t="shared" si="11"/>
        <v>0</v>
      </c>
      <c r="O1710" s="74">
        <f t="shared" si="13"/>
        <v>0</v>
      </c>
      <c r="P1710" s="63">
        <f t="shared" si="14"/>
        <v>0</v>
      </c>
      <c r="Q1710" s="63" t="str">
        <f t="shared" si="15"/>
        <v>#N/A</v>
      </c>
      <c r="R1710" s="93" t="str">
        <f>VLOOKUP(F1710,DATABASE!C:Q,4,false)</f>
        <v>#N/A</v>
      </c>
      <c r="S1710" s="93" t="str">
        <f>VLOOKUP(F1710,DATABASE!C:P,11,false)</f>
        <v>#N/A</v>
      </c>
      <c r="T1710" s="93" t="str">
        <f>vlookup(F1710,DATABASE!C:Q,8,false)</f>
        <v>#N/A</v>
      </c>
      <c r="Z1710" s="9"/>
    </row>
    <row r="1711" ht="22.5" customHeight="1">
      <c r="A1711" s="49"/>
      <c r="C1711" s="384"/>
      <c r="D1711" s="93"/>
      <c r="F1711" s="74"/>
      <c r="H1711" s="74"/>
      <c r="I1711" s="74"/>
      <c r="J1711" s="74"/>
      <c r="K1711" s="74" t="str">
        <f>if(F1711="SERVICE",O1711-(O1711*50%),Vlookup(F1711,DATABASE!C:Q,10,false)*G1711)</f>
        <v>#N/A</v>
      </c>
      <c r="L1711" s="74" t="str">
        <f>VLOOKUP(F1711,DATABASE!C:Q,7,FALSE)</f>
        <v>#N/A</v>
      </c>
      <c r="M1711" s="74"/>
      <c r="N1711" s="74">
        <f t="shared" si="11"/>
        <v>0</v>
      </c>
      <c r="O1711" s="74">
        <f t="shared" si="13"/>
        <v>0</v>
      </c>
      <c r="P1711" s="63">
        <f t="shared" si="14"/>
        <v>0</v>
      </c>
      <c r="Q1711" s="63" t="str">
        <f t="shared" si="15"/>
        <v>#N/A</v>
      </c>
      <c r="R1711" s="93" t="str">
        <f>VLOOKUP(F1711,DATABASE!C:Q,4,false)</f>
        <v>#N/A</v>
      </c>
      <c r="S1711" s="93" t="str">
        <f>VLOOKUP(F1711,DATABASE!C:P,11,false)</f>
        <v>#N/A</v>
      </c>
      <c r="T1711" s="93" t="str">
        <f>vlookup(F1711,DATABASE!C:Q,8,false)</f>
        <v>#N/A</v>
      </c>
      <c r="Z1711" s="9"/>
    </row>
    <row r="1712" ht="22.5" customHeight="1">
      <c r="A1712" s="49"/>
      <c r="C1712" s="384"/>
      <c r="D1712" s="93"/>
      <c r="F1712" s="74"/>
      <c r="H1712" s="74"/>
      <c r="I1712" s="74"/>
      <c r="J1712" s="74"/>
      <c r="K1712" s="74" t="str">
        <f>if(F1712="SERVICE",O1712-(O1712*50%),Vlookup(F1712,DATABASE!C:Q,10,false)*G1712)</f>
        <v>#N/A</v>
      </c>
      <c r="L1712" s="74" t="str">
        <f>VLOOKUP(F1712,DATABASE!C:Q,7,FALSE)</f>
        <v>#N/A</v>
      </c>
      <c r="M1712" s="74"/>
      <c r="N1712" s="74">
        <f t="shared" si="11"/>
        <v>0</v>
      </c>
      <c r="O1712" s="74">
        <f t="shared" si="13"/>
        <v>0</v>
      </c>
      <c r="P1712" s="63">
        <f t="shared" si="14"/>
        <v>0</v>
      </c>
      <c r="Q1712" s="63" t="str">
        <f t="shared" si="15"/>
        <v>#N/A</v>
      </c>
      <c r="R1712" s="93" t="str">
        <f>VLOOKUP(F1712,DATABASE!C:Q,4,false)</f>
        <v>#N/A</v>
      </c>
      <c r="S1712" s="93" t="str">
        <f>VLOOKUP(F1712,DATABASE!C:P,11,false)</f>
        <v>#N/A</v>
      </c>
      <c r="T1712" s="93" t="str">
        <f>vlookup(F1712,DATABASE!C:Q,8,false)</f>
        <v>#N/A</v>
      </c>
      <c r="Z1712" s="9"/>
    </row>
    <row r="1713" ht="22.5" customHeight="1">
      <c r="A1713" s="49"/>
      <c r="C1713" s="384"/>
      <c r="D1713" s="93"/>
      <c r="F1713" s="74"/>
      <c r="H1713" s="74"/>
      <c r="I1713" s="74"/>
      <c r="J1713" s="74"/>
      <c r="K1713" s="74" t="str">
        <f>if(F1713="SERVICE",O1713-(O1713*50%),Vlookup(F1713,DATABASE!C:Q,10,false)*G1713)</f>
        <v>#N/A</v>
      </c>
      <c r="L1713" s="74" t="str">
        <f>VLOOKUP(F1713,DATABASE!C:Q,7,FALSE)</f>
        <v>#N/A</v>
      </c>
      <c r="M1713" s="74"/>
      <c r="N1713" s="74">
        <f t="shared" si="11"/>
        <v>0</v>
      </c>
      <c r="O1713" s="74">
        <f t="shared" si="13"/>
        <v>0</v>
      </c>
      <c r="P1713" s="63">
        <f t="shared" si="14"/>
        <v>0</v>
      </c>
      <c r="Q1713" s="63" t="str">
        <f t="shared" si="15"/>
        <v>#N/A</v>
      </c>
      <c r="R1713" s="93" t="str">
        <f>VLOOKUP(F1713,DATABASE!C:Q,4,false)</f>
        <v>#N/A</v>
      </c>
      <c r="S1713" s="93" t="str">
        <f>VLOOKUP(F1713,DATABASE!C:P,11,false)</f>
        <v>#N/A</v>
      </c>
      <c r="T1713" s="93" t="str">
        <f>vlookup(F1713,DATABASE!C:Q,8,false)</f>
        <v>#N/A</v>
      </c>
      <c r="Z1713" s="9"/>
    </row>
    <row r="1714" ht="22.5" customHeight="1">
      <c r="A1714" s="49"/>
      <c r="C1714" s="384"/>
      <c r="D1714" s="93"/>
      <c r="F1714" s="74"/>
      <c r="H1714" s="74"/>
      <c r="I1714" s="74"/>
      <c r="J1714" s="74"/>
      <c r="K1714" s="74" t="str">
        <f>if(F1714="SERVICE",O1714-(O1714*50%),Vlookup(F1714,DATABASE!C:Q,10,false)*G1714)</f>
        <v>#N/A</v>
      </c>
      <c r="L1714" s="74" t="str">
        <f>VLOOKUP(F1714,DATABASE!C:Q,7,FALSE)</f>
        <v>#N/A</v>
      </c>
      <c r="M1714" s="74"/>
      <c r="N1714" s="74">
        <f t="shared" si="11"/>
        <v>0</v>
      </c>
      <c r="O1714" s="74">
        <f t="shared" si="13"/>
        <v>0</v>
      </c>
      <c r="P1714" s="63">
        <f t="shared" si="14"/>
        <v>0</v>
      </c>
      <c r="Q1714" s="63" t="str">
        <f t="shared" si="15"/>
        <v>#N/A</v>
      </c>
      <c r="R1714" s="93" t="str">
        <f>VLOOKUP(F1714,DATABASE!C:Q,4,false)</f>
        <v>#N/A</v>
      </c>
      <c r="S1714" s="93" t="str">
        <f>VLOOKUP(F1714,DATABASE!C:P,11,false)</f>
        <v>#N/A</v>
      </c>
      <c r="T1714" s="93" t="str">
        <f>vlookup(F1714,DATABASE!C:Q,8,false)</f>
        <v>#N/A</v>
      </c>
      <c r="Z1714" s="9"/>
    </row>
    <row r="1715" ht="22.5" customHeight="1">
      <c r="A1715" s="49"/>
      <c r="C1715" s="384"/>
      <c r="D1715" s="93"/>
      <c r="F1715" s="74"/>
      <c r="H1715" s="74"/>
      <c r="I1715" s="74"/>
      <c r="J1715" s="74"/>
      <c r="K1715" s="74" t="str">
        <f>if(F1715="SERVICE",O1715-(O1715*50%),Vlookup(F1715,DATABASE!C:Q,10,false)*G1715)</f>
        <v>#N/A</v>
      </c>
      <c r="L1715" s="74" t="str">
        <f>VLOOKUP(F1715,DATABASE!C:Q,7,FALSE)</f>
        <v>#N/A</v>
      </c>
      <c r="M1715" s="74"/>
      <c r="N1715" s="74">
        <f t="shared" si="11"/>
        <v>0</v>
      </c>
      <c r="O1715" s="74">
        <f t="shared" si="13"/>
        <v>0</v>
      </c>
      <c r="P1715" s="63">
        <f t="shared" si="14"/>
        <v>0</v>
      </c>
      <c r="Q1715" s="63" t="str">
        <f t="shared" si="15"/>
        <v>#N/A</v>
      </c>
      <c r="R1715" s="93" t="str">
        <f>VLOOKUP(F1715,DATABASE!C:Q,4,false)</f>
        <v>#N/A</v>
      </c>
      <c r="S1715" s="93" t="str">
        <f>VLOOKUP(F1715,DATABASE!C:P,11,false)</f>
        <v>#N/A</v>
      </c>
      <c r="T1715" s="93" t="str">
        <f>vlookup(F1715,DATABASE!C:Q,8,false)</f>
        <v>#N/A</v>
      </c>
      <c r="Z1715" s="9"/>
    </row>
    <row r="1716" ht="22.5" customHeight="1">
      <c r="A1716" s="49"/>
      <c r="C1716" s="384"/>
      <c r="D1716" s="93"/>
      <c r="F1716" s="74"/>
      <c r="H1716" s="74"/>
      <c r="I1716" s="74"/>
      <c r="J1716" s="74"/>
      <c r="K1716" s="74" t="str">
        <f>if(F1716="SERVICE",O1716-(O1716*50%),Vlookup(F1716,DATABASE!C:Q,10,false)*G1716)</f>
        <v>#N/A</v>
      </c>
      <c r="L1716" s="74" t="str">
        <f>VLOOKUP(F1716,DATABASE!C:Q,7,FALSE)</f>
        <v>#N/A</v>
      </c>
      <c r="M1716" s="74"/>
      <c r="N1716" s="74">
        <f t="shared" si="11"/>
        <v>0</v>
      </c>
      <c r="O1716" s="74">
        <f t="shared" si="13"/>
        <v>0</v>
      </c>
      <c r="P1716" s="63">
        <f t="shared" si="14"/>
        <v>0</v>
      </c>
      <c r="Q1716" s="63" t="str">
        <f t="shared" si="15"/>
        <v>#N/A</v>
      </c>
      <c r="R1716" s="93" t="str">
        <f>VLOOKUP(F1716,DATABASE!C:Q,4,false)</f>
        <v>#N/A</v>
      </c>
      <c r="S1716" s="93" t="str">
        <f>VLOOKUP(F1716,DATABASE!C:P,11,false)</f>
        <v>#N/A</v>
      </c>
      <c r="T1716" s="93" t="str">
        <f>vlookup(F1716,DATABASE!C:Q,8,false)</f>
        <v>#N/A</v>
      </c>
      <c r="Z1716" s="9"/>
    </row>
    <row r="1717" ht="22.5" customHeight="1">
      <c r="A1717" s="49"/>
      <c r="C1717" s="384"/>
      <c r="D1717" s="93"/>
      <c r="F1717" s="74"/>
      <c r="H1717" s="74"/>
      <c r="I1717" s="74"/>
      <c r="J1717" s="74"/>
      <c r="K1717" s="74" t="str">
        <f>if(F1717="SERVICE",O1717-(O1717*50%),Vlookup(F1717,DATABASE!C:Q,10,false)*G1717)</f>
        <v>#N/A</v>
      </c>
      <c r="L1717" s="74" t="str">
        <f>VLOOKUP(F1717,DATABASE!C:Q,7,FALSE)</f>
        <v>#N/A</v>
      </c>
      <c r="M1717" s="74"/>
      <c r="N1717" s="74">
        <f t="shared" si="11"/>
        <v>0</v>
      </c>
      <c r="O1717" s="74">
        <f t="shared" si="13"/>
        <v>0</v>
      </c>
      <c r="P1717" s="63">
        <f t="shared" si="14"/>
        <v>0</v>
      </c>
      <c r="Q1717" s="63" t="str">
        <f t="shared" si="15"/>
        <v>#N/A</v>
      </c>
      <c r="R1717" s="93" t="str">
        <f>VLOOKUP(F1717,DATABASE!C:Q,4,false)</f>
        <v>#N/A</v>
      </c>
      <c r="S1717" s="93" t="str">
        <f>VLOOKUP(F1717,DATABASE!C:P,11,false)</f>
        <v>#N/A</v>
      </c>
      <c r="T1717" s="93" t="str">
        <f>vlookup(F1717,DATABASE!C:Q,8,false)</f>
        <v>#N/A</v>
      </c>
      <c r="Z1717" s="9"/>
    </row>
    <row r="1718" ht="22.5" customHeight="1">
      <c r="A1718" s="49"/>
      <c r="C1718" s="384"/>
      <c r="D1718" s="93"/>
      <c r="F1718" s="74"/>
      <c r="H1718" s="74"/>
      <c r="I1718" s="74"/>
      <c r="J1718" s="74"/>
      <c r="K1718" s="74" t="str">
        <f>if(F1718="SERVICE",O1718-(O1718*50%),Vlookup(F1718,DATABASE!C:Q,10,false)*G1718)</f>
        <v>#N/A</v>
      </c>
      <c r="L1718" s="74" t="str">
        <f>VLOOKUP(F1718,DATABASE!C:Q,7,FALSE)</f>
        <v>#N/A</v>
      </c>
      <c r="M1718" s="74"/>
      <c r="N1718" s="74">
        <f t="shared" si="11"/>
        <v>0</v>
      </c>
      <c r="O1718" s="74">
        <f t="shared" si="13"/>
        <v>0</v>
      </c>
      <c r="P1718" s="63">
        <f t="shared" si="14"/>
        <v>0</v>
      </c>
      <c r="Q1718" s="63" t="str">
        <f t="shared" si="15"/>
        <v>#N/A</v>
      </c>
      <c r="R1718" s="93" t="str">
        <f>VLOOKUP(F1718,DATABASE!C:Q,4,false)</f>
        <v>#N/A</v>
      </c>
      <c r="S1718" s="93" t="str">
        <f>VLOOKUP(F1718,DATABASE!C:P,11,false)</f>
        <v>#N/A</v>
      </c>
      <c r="T1718" s="93" t="str">
        <f>vlookup(F1718,DATABASE!C:Q,8,false)</f>
        <v>#N/A</v>
      </c>
      <c r="Z1718" s="9"/>
    </row>
    <row r="1719" ht="22.5" customHeight="1">
      <c r="A1719" s="49"/>
      <c r="C1719" s="384"/>
      <c r="D1719" s="93"/>
      <c r="F1719" s="74"/>
      <c r="H1719" s="74"/>
      <c r="I1719" s="74"/>
      <c r="J1719" s="74"/>
      <c r="K1719" s="74" t="str">
        <f>if(F1719="SERVICE",O1719-(O1719*50%),Vlookup(F1719,DATABASE!C:Q,10,false)*G1719)</f>
        <v>#N/A</v>
      </c>
      <c r="L1719" s="74" t="str">
        <f>VLOOKUP(F1719,DATABASE!C:Q,7,FALSE)</f>
        <v>#N/A</v>
      </c>
      <c r="M1719" s="74"/>
      <c r="N1719" s="74">
        <f t="shared" si="11"/>
        <v>0</v>
      </c>
      <c r="O1719" s="74">
        <f t="shared" si="13"/>
        <v>0</v>
      </c>
      <c r="P1719" s="63">
        <f t="shared" si="14"/>
        <v>0</v>
      </c>
      <c r="Q1719" s="63" t="str">
        <f t="shared" si="15"/>
        <v>#N/A</v>
      </c>
      <c r="R1719" s="93" t="str">
        <f>VLOOKUP(F1719,DATABASE!C:Q,4,false)</f>
        <v>#N/A</v>
      </c>
      <c r="S1719" s="93" t="str">
        <f>VLOOKUP(F1719,DATABASE!C:P,11,false)</f>
        <v>#N/A</v>
      </c>
      <c r="T1719" s="93" t="str">
        <f>vlookup(F1719,DATABASE!C:Q,8,false)</f>
        <v>#N/A</v>
      </c>
      <c r="Z1719" s="9"/>
    </row>
    <row r="1720" ht="22.5" customHeight="1">
      <c r="A1720" s="49"/>
      <c r="C1720" s="384"/>
      <c r="D1720" s="93"/>
      <c r="F1720" s="74"/>
      <c r="H1720" s="74"/>
      <c r="I1720" s="74"/>
      <c r="J1720" s="74"/>
      <c r="K1720" s="74" t="str">
        <f>if(F1720="SERVICE",O1720-(O1720*50%),Vlookup(F1720,DATABASE!C:Q,10,false)*G1720)</f>
        <v>#N/A</v>
      </c>
      <c r="L1720" s="74" t="str">
        <f>VLOOKUP(F1720,DATABASE!C:Q,7,FALSE)</f>
        <v>#N/A</v>
      </c>
      <c r="M1720" s="74"/>
      <c r="N1720" s="74">
        <f t="shared" si="11"/>
        <v>0</v>
      </c>
      <c r="O1720" s="74">
        <f t="shared" si="13"/>
        <v>0</v>
      </c>
      <c r="P1720" s="63">
        <f t="shared" si="14"/>
        <v>0</v>
      </c>
      <c r="Q1720" s="63" t="str">
        <f t="shared" si="15"/>
        <v>#N/A</v>
      </c>
      <c r="R1720" s="93" t="str">
        <f>VLOOKUP(F1720,DATABASE!C:Q,4,false)</f>
        <v>#N/A</v>
      </c>
      <c r="S1720" s="93" t="str">
        <f>VLOOKUP(F1720,DATABASE!C:P,11,false)</f>
        <v>#N/A</v>
      </c>
      <c r="T1720" s="93" t="str">
        <f>vlookup(F1720,DATABASE!C:Q,8,false)</f>
        <v>#N/A</v>
      </c>
      <c r="Z1720" s="9"/>
    </row>
    <row r="1721" ht="22.5" customHeight="1">
      <c r="A1721" s="49"/>
      <c r="C1721" s="384"/>
      <c r="D1721" s="93"/>
      <c r="F1721" s="74"/>
      <c r="H1721" s="74"/>
      <c r="I1721" s="74"/>
      <c r="J1721" s="74"/>
      <c r="K1721" s="74" t="str">
        <f>if(F1721="SERVICE",O1721-(O1721*50%),Vlookup(F1721,DATABASE!C:Q,10,false)*G1721)</f>
        <v>#N/A</v>
      </c>
      <c r="L1721" s="74" t="str">
        <f>VLOOKUP(F1721,DATABASE!C:Q,7,FALSE)</f>
        <v>#N/A</v>
      </c>
      <c r="M1721" s="74"/>
      <c r="N1721" s="74">
        <f t="shared" si="11"/>
        <v>0</v>
      </c>
      <c r="O1721" s="74">
        <f t="shared" si="13"/>
        <v>0</v>
      </c>
      <c r="P1721" s="63">
        <f t="shared" si="14"/>
        <v>0</v>
      </c>
      <c r="Q1721" s="63" t="str">
        <f t="shared" si="15"/>
        <v>#N/A</v>
      </c>
      <c r="R1721" s="93" t="str">
        <f>VLOOKUP(F1721,DATABASE!C:Q,4,false)</f>
        <v>#N/A</v>
      </c>
      <c r="S1721" s="93" t="str">
        <f>VLOOKUP(F1721,DATABASE!C:P,11,false)</f>
        <v>#N/A</v>
      </c>
      <c r="T1721" s="93" t="str">
        <f>vlookup(F1721,DATABASE!C:Q,8,false)</f>
        <v>#N/A</v>
      </c>
      <c r="Z1721" s="9"/>
    </row>
    <row r="1722" ht="22.5" customHeight="1">
      <c r="A1722" s="49"/>
      <c r="C1722" s="384"/>
      <c r="D1722" s="93"/>
      <c r="F1722" s="74"/>
      <c r="H1722" s="74"/>
      <c r="I1722" s="74"/>
      <c r="J1722" s="74"/>
      <c r="K1722" s="74" t="str">
        <f>if(F1722="SERVICE",O1722-(O1722*50%),Vlookup(F1722,DATABASE!C:Q,10,false)*G1722)</f>
        <v>#N/A</v>
      </c>
      <c r="L1722" s="74" t="str">
        <f>VLOOKUP(F1722,DATABASE!C:Q,7,FALSE)</f>
        <v>#N/A</v>
      </c>
      <c r="M1722" s="74"/>
      <c r="N1722" s="74">
        <f t="shared" si="11"/>
        <v>0</v>
      </c>
      <c r="O1722" s="74">
        <f t="shared" si="13"/>
        <v>0</v>
      </c>
      <c r="P1722" s="63">
        <f t="shared" si="14"/>
        <v>0</v>
      </c>
      <c r="Q1722" s="63" t="str">
        <f t="shared" si="15"/>
        <v>#N/A</v>
      </c>
      <c r="R1722" s="93" t="str">
        <f>VLOOKUP(F1722,DATABASE!C:Q,4,false)</f>
        <v>#N/A</v>
      </c>
      <c r="S1722" s="93" t="str">
        <f>VLOOKUP(F1722,DATABASE!C:P,11,false)</f>
        <v>#N/A</v>
      </c>
      <c r="T1722" s="93" t="str">
        <f>vlookup(F1722,DATABASE!C:Q,8,false)</f>
        <v>#N/A</v>
      </c>
      <c r="Z1722" s="9"/>
    </row>
    <row r="1723" ht="22.5" customHeight="1">
      <c r="A1723" s="49"/>
      <c r="C1723" s="384"/>
      <c r="D1723" s="93"/>
      <c r="F1723" s="74"/>
      <c r="H1723" s="74"/>
      <c r="I1723" s="74"/>
      <c r="J1723" s="74"/>
      <c r="K1723" s="74" t="str">
        <f>if(F1723="SERVICE",O1723-(O1723*50%),Vlookup(F1723,DATABASE!C:Q,10,false)*G1723)</f>
        <v>#N/A</v>
      </c>
      <c r="L1723" s="74" t="str">
        <f>VLOOKUP(F1723,DATABASE!C:Q,7,FALSE)</f>
        <v>#N/A</v>
      </c>
      <c r="M1723" s="74"/>
      <c r="N1723" s="74">
        <f t="shared" si="11"/>
        <v>0</v>
      </c>
      <c r="O1723" s="74">
        <f t="shared" si="13"/>
        <v>0</v>
      </c>
      <c r="P1723" s="63">
        <f t="shared" si="14"/>
        <v>0</v>
      </c>
      <c r="Q1723" s="63" t="str">
        <f t="shared" si="15"/>
        <v>#N/A</v>
      </c>
      <c r="R1723" s="93" t="str">
        <f>VLOOKUP(F1723,DATABASE!C:Q,4,false)</f>
        <v>#N/A</v>
      </c>
      <c r="S1723" s="93" t="str">
        <f>VLOOKUP(F1723,DATABASE!C:P,11,false)</f>
        <v>#N/A</v>
      </c>
      <c r="T1723" s="93" t="str">
        <f>vlookup(F1723,DATABASE!C:Q,8,false)</f>
        <v>#N/A</v>
      </c>
      <c r="Z1723" s="9"/>
    </row>
    <row r="1724" ht="22.5" customHeight="1">
      <c r="A1724" s="49"/>
      <c r="C1724" s="384"/>
      <c r="D1724" s="93"/>
      <c r="F1724" s="74"/>
      <c r="H1724" s="74"/>
      <c r="I1724" s="74"/>
      <c r="J1724" s="74"/>
      <c r="K1724" s="74" t="str">
        <f>if(F1724="SERVICE",O1724-(O1724*50%),Vlookup(F1724,DATABASE!C:Q,10,false)*G1724)</f>
        <v>#N/A</v>
      </c>
      <c r="L1724" s="74" t="str">
        <f>VLOOKUP(F1724,DATABASE!C:Q,7,FALSE)</f>
        <v>#N/A</v>
      </c>
      <c r="M1724" s="74"/>
      <c r="N1724" s="74">
        <f t="shared" si="11"/>
        <v>0</v>
      </c>
      <c r="O1724" s="74">
        <f t="shared" si="13"/>
        <v>0</v>
      </c>
      <c r="P1724" s="63">
        <f t="shared" si="14"/>
        <v>0</v>
      </c>
      <c r="Q1724" s="63" t="str">
        <f t="shared" si="15"/>
        <v>#N/A</v>
      </c>
      <c r="R1724" s="93" t="str">
        <f>VLOOKUP(F1724,DATABASE!C:Q,4,false)</f>
        <v>#N/A</v>
      </c>
      <c r="S1724" s="93" t="str">
        <f>VLOOKUP(F1724,DATABASE!C:P,11,false)</f>
        <v>#N/A</v>
      </c>
      <c r="T1724" s="93" t="str">
        <f>vlookup(F1724,DATABASE!C:Q,8,false)</f>
        <v>#N/A</v>
      </c>
      <c r="Z1724" s="9"/>
    </row>
    <row r="1725" ht="22.5" customHeight="1">
      <c r="A1725" s="49"/>
      <c r="C1725" s="384"/>
      <c r="D1725" s="93"/>
      <c r="F1725" s="74"/>
      <c r="H1725" s="74"/>
      <c r="I1725" s="74"/>
      <c r="J1725" s="74"/>
      <c r="K1725" s="74" t="str">
        <f>if(F1725="SERVICE",O1725-(O1725*50%),Vlookup(F1725,DATABASE!C:Q,10,false)*G1725)</f>
        <v>#N/A</v>
      </c>
      <c r="L1725" s="74" t="str">
        <f>VLOOKUP(F1725,DATABASE!C:Q,7,FALSE)</f>
        <v>#N/A</v>
      </c>
      <c r="M1725" s="74"/>
      <c r="N1725" s="74">
        <f t="shared" si="11"/>
        <v>0</v>
      </c>
      <c r="O1725" s="74">
        <f t="shared" si="13"/>
        <v>0</v>
      </c>
      <c r="P1725" s="63">
        <f t="shared" si="14"/>
        <v>0</v>
      </c>
      <c r="Q1725" s="63" t="str">
        <f t="shared" si="15"/>
        <v>#N/A</v>
      </c>
      <c r="R1725" s="93" t="str">
        <f>VLOOKUP(F1725,DATABASE!C:Q,4,false)</f>
        <v>#N/A</v>
      </c>
      <c r="S1725" s="93" t="str">
        <f>VLOOKUP(F1725,DATABASE!C:P,11,false)</f>
        <v>#N/A</v>
      </c>
      <c r="T1725" s="93" t="str">
        <f>vlookup(F1725,DATABASE!C:Q,8,false)</f>
        <v>#N/A</v>
      </c>
      <c r="Z1725" s="9"/>
    </row>
    <row r="1726" ht="22.5" customHeight="1">
      <c r="A1726" s="49"/>
      <c r="C1726" s="384"/>
      <c r="D1726" s="93"/>
      <c r="F1726" s="74"/>
      <c r="H1726" s="74"/>
      <c r="I1726" s="74"/>
      <c r="J1726" s="74"/>
      <c r="K1726" s="74" t="str">
        <f>if(F1726="SERVICE",O1726-(O1726*50%),Vlookup(F1726,DATABASE!C:Q,10,false)*G1726)</f>
        <v>#N/A</v>
      </c>
      <c r="L1726" s="74" t="str">
        <f>VLOOKUP(F1726,DATABASE!C:Q,7,FALSE)</f>
        <v>#N/A</v>
      </c>
      <c r="M1726" s="74"/>
      <c r="N1726" s="74">
        <f t="shared" si="11"/>
        <v>0</v>
      </c>
      <c r="O1726" s="74">
        <f t="shared" si="13"/>
        <v>0</v>
      </c>
      <c r="P1726" s="63">
        <f t="shared" si="14"/>
        <v>0</v>
      </c>
      <c r="Q1726" s="63" t="str">
        <f t="shared" si="15"/>
        <v>#N/A</v>
      </c>
      <c r="R1726" s="93" t="str">
        <f>VLOOKUP(F1726,DATABASE!C:Q,4,false)</f>
        <v>#N/A</v>
      </c>
      <c r="S1726" s="93" t="str">
        <f>VLOOKUP(F1726,DATABASE!C:P,11,false)</f>
        <v>#N/A</v>
      </c>
      <c r="T1726" s="93" t="str">
        <f>vlookup(F1726,DATABASE!C:Q,8,false)</f>
        <v>#N/A</v>
      </c>
      <c r="Z1726" s="9"/>
    </row>
    <row r="1727" ht="22.5" customHeight="1">
      <c r="A1727" s="49"/>
      <c r="C1727" s="384"/>
      <c r="D1727" s="93"/>
      <c r="F1727" s="74"/>
      <c r="H1727" s="74"/>
      <c r="I1727" s="74"/>
      <c r="J1727" s="74"/>
      <c r="K1727" s="74" t="str">
        <f>if(F1727="SERVICE",O1727-(O1727*50%),Vlookup(F1727,DATABASE!C:Q,10,false)*G1727)</f>
        <v>#N/A</v>
      </c>
      <c r="L1727" s="74" t="str">
        <f>VLOOKUP(F1727,DATABASE!C:Q,7,FALSE)</f>
        <v>#N/A</v>
      </c>
      <c r="M1727" s="74"/>
      <c r="N1727" s="74">
        <f t="shared" si="11"/>
        <v>0</v>
      </c>
      <c r="O1727" s="74">
        <f t="shared" si="13"/>
        <v>0</v>
      </c>
      <c r="P1727" s="63">
        <f t="shared" si="14"/>
        <v>0</v>
      </c>
      <c r="Q1727" s="63" t="str">
        <f t="shared" si="15"/>
        <v>#N/A</v>
      </c>
      <c r="R1727" s="93" t="str">
        <f>VLOOKUP(F1727,DATABASE!C:Q,4,false)</f>
        <v>#N/A</v>
      </c>
      <c r="S1727" s="93" t="str">
        <f>VLOOKUP(F1727,DATABASE!C:P,11,false)</f>
        <v>#N/A</v>
      </c>
      <c r="T1727" s="93" t="str">
        <f>vlookup(F1727,DATABASE!C:Q,8,false)</f>
        <v>#N/A</v>
      </c>
      <c r="Z1727" s="9"/>
    </row>
    <row r="1728" ht="22.5" customHeight="1">
      <c r="A1728" s="49"/>
      <c r="C1728" s="384"/>
      <c r="D1728" s="93"/>
      <c r="F1728" s="74"/>
      <c r="H1728" s="74"/>
      <c r="I1728" s="74"/>
      <c r="J1728" s="74"/>
      <c r="K1728" s="74" t="str">
        <f>if(F1728="SERVICE",O1728-(O1728*50%),Vlookup(F1728,DATABASE!C:Q,10,false)*G1728)</f>
        <v>#N/A</v>
      </c>
      <c r="L1728" s="74" t="str">
        <f>VLOOKUP(F1728,DATABASE!C:Q,7,FALSE)</f>
        <v>#N/A</v>
      </c>
      <c r="M1728" s="74"/>
      <c r="N1728" s="74">
        <f t="shared" si="11"/>
        <v>0</v>
      </c>
      <c r="O1728" s="74">
        <f t="shared" si="13"/>
        <v>0</v>
      </c>
      <c r="P1728" s="63">
        <f t="shared" si="14"/>
        <v>0</v>
      </c>
      <c r="Q1728" s="63" t="str">
        <f t="shared" si="15"/>
        <v>#N/A</v>
      </c>
      <c r="R1728" s="93" t="str">
        <f>VLOOKUP(F1728,DATABASE!C:Q,4,false)</f>
        <v>#N/A</v>
      </c>
      <c r="S1728" s="93" t="str">
        <f>VLOOKUP(F1728,DATABASE!C:P,11,false)</f>
        <v>#N/A</v>
      </c>
      <c r="T1728" s="93" t="str">
        <f>vlookup(F1728,DATABASE!C:Q,8,false)</f>
        <v>#N/A</v>
      </c>
      <c r="Z1728" s="9"/>
    </row>
    <row r="1729" ht="22.5" customHeight="1">
      <c r="A1729" s="49"/>
      <c r="C1729" s="384"/>
      <c r="D1729" s="93"/>
      <c r="F1729" s="74"/>
      <c r="H1729" s="74"/>
      <c r="I1729" s="74"/>
      <c r="J1729" s="74"/>
      <c r="K1729" s="74" t="str">
        <f>if(F1729="SERVICE",O1729-(O1729*50%),Vlookup(F1729,DATABASE!C:Q,10,false)*G1729)</f>
        <v>#N/A</v>
      </c>
      <c r="L1729" s="74" t="str">
        <f>VLOOKUP(F1729,DATABASE!C:Q,7,FALSE)</f>
        <v>#N/A</v>
      </c>
      <c r="M1729" s="74"/>
      <c r="N1729" s="74">
        <f t="shared" si="11"/>
        <v>0</v>
      </c>
      <c r="O1729" s="74">
        <f t="shared" si="13"/>
        <v>0</v>
      </c>
      <c r="P1729" s="63">
        <f t="shared" si="14"/>
        <v>0</v>
      </c>
      <c r="Q1729" s="63" t="str">
        <f t="shared" si="15"/>
        <v>#N/A</v>
      </c>
      <c r="R1729" s="93" t="str">
        <f>VLOOKUP(F1729,DATABASE!C:Q,4,false)</f>
        <v>#N/A</v>
      </c>
      <c r="S1729" s="93" t="str">
        <f>VLOOKUP(F1729,DATABASE!C:P,11,false)</f>
        <v>#N/A</v>
      </c>
      <c r="T1729" s="93" t="str">
        <f>vlookup(F1729,DATABASE!C:Q,8,false)</f>
        <v>#N/A</v>
      </c>
      <c r="Z1729" s="9"/>
    </row>
    <row r="1730" ht="22.5" customHeight="1">
      <c r="A1730" s="49"/>
      <c r="C1730" s="384"/>
      <c r="D1730" s="93"/>
      <c r="F1730" s="74"/>
      <c r="H1730" s="74"/>
      <c r="I1730" s="74"/>
      <c r="J1730" s="74"/>
      <c r="K1730" s="74" t="str">
        <f>if(F1730="SERVICE",O1730-(O1730*50%),Vlookup(F1730,DATABASE!C:Q,10,false)*G1730)</f>
        <v>#N/A</v>
      </c>
      <c r="L1730" s="74" t="str">
        <f>VLOOKUP(F1730,DATABASE!C:Q,7,FALSE)</f>
        <v>#N/A</v>
      </c>
      <c r="M1730" s="74"/>
      <c r="N1730" s="74">
        <f t="shared" si="11"/>
        <v>0</v>
      </c>
      <c r="O1730" s="74">
        <f t="shared" si="13"/>
        <v>0</v>
      </c>
      <c r="P1730" s="63">
        <f t="shared" si="14"/>
        <v>0</v>
      </c>
      <c r="Q1730" s="63" t="str">
        <f t="shared" si="15"/>
        <v>#N/A</v>
      </c>
      <c r="R1730" s="93" t="str">
        <f>VLOOKUP(F1730,DATABASE!C:Q,4,false)</f>
        <v>#N/A</v>
      </c>
      <c r="S1730" s="93" t="str">
        <f>VLOOKUP(F1730,DATABASE!C:P,11,false)</f>
        <v>#N/A</v>
      </c>
      <c r="T1730" s="93" t="str">
        <f>vlookup(F1730,DATABASE!C:Q,8,false)</f>
        <v>#N/A</v>
      </c>
      <c r="Z1730" s="9"/>
    </row>
    <row r="1731" ht="22.5" customHeight="1">
      <c r="A1731" s="49"/>
      <c r="C1731" s="384"/>
      <c r="D1731" s="93"/>
      <c r="F1731" s="74"/>
      <c r="H1731" s="74"/>
      <c r="I1731" s="74"/>
      <c r="J1731" s="74"/>
      <c r="K1731" s="74" t="str">
        <f>if(F1731="SERVICE",O1731-(O1731*50%),Vlookup(F1731,DATABASE!C:Q,10,false)*G1731)</f>
        <v>#N/A</v>
      </c>
      <c r="L1731" s="74" t="str">
        <f>VLOOKUP(F1731,DATABASE!C:Q,7,FALSE)</f>
        <v>#N/A</v>
      </c>
      <c r="M1731" s="74"/>
      <c r="N1731" s="74">
        <f t="shared" si="11"/>
        <v>0</v>
      </c>
      <c r="O1731" s="74">
        <f t="shared" si="13"/>
        <v>0</v>
      </c>
      <c r="P1731" s="63">
        <f t="shared" si="14"/>
        <v>0</v>
      </c>
      <c r="Q1731" s="63" t="str">
        <f t="shared" si="15"/>
        <v>#N/A</v>
      </c>
      <c r="R1731" s="93" t="str">
        <f>VLOOKUP(F1731,DATABASE!C:Q,4,false)</f>
        <v>#N/A</v>
      </c>
      <c r="S1731" s="93" t="str">
        <f>VLOOKUP(F1731,DATABASE!C:P,11,false)</f>
        <v>#N/A</v>
      </c>
      <c r="T1731" s="93" t="str">
        <f>vlookup(F1731,DATABASE!C:Q,8,false)</f>
        <v>#N/A</v>
      </c>
      <c r="Z1731" s="9"/>
    </row>
    <row r="1732" ht="22.5" customHeight="1">
      <c r="A1732" s="49"/>
      <c r="C1732" s="384"/>
      <c r="D1732" s="93"/>
      <c r="F1732" s="74"/>
      <c r="H1732" s="74"/>
      <c r="I1732" s="74"/>
      <c r="J1732" s="74"/>
      <c r="K1732" s="74" t="str">
        <f>if(F1732="SERVICE",O1732-(O1732*50%),Vlookup(F1732,DATABASE!C:Q,10,false)*G1732)</f>
        <v>#N/A</v>
      </c>
      <c r="L1732" s="74" t="str">
        <f>VLOOKUP(F1732,DATABASE!C:Q,7,FALSE)</f>
        <v>#N/A</v>
      </c>
      <c r="M1732" s="74"/>
      <c r="N1732" s="74">
        <f t="shared" si="11"/>
        <v>0</v>
      </c>
      <c r="O1732" s="74">
        <f t="shared" si="13"/>
        <v>0</v>
      </c>
      <c r="P1732" s="63">
        <f t="shared" si="14"/>
        <v>0</v>
      </c>
      <c r="Q1732" s="63" t="str">
        <f t="shared" si="15"/>
        <v>#N/A</v>
      </c>
      <c r="R1732" s="93" t="str">
        <f>VLOOKUP(F1732,DATABASE!C:Q,4,false)</f>
        <v>#N/A</v>
      </c>
      <c r="S1732" s="93" t="str">
        <f>VLOOKUP(F1732,DATABASE!C:P,11,false)</f>
        <v>#N/A</v>
      </c>
      <c r="T1732" s="93" t="str">
        <f>vlookup(F1732,DATABASE!C:Q,8,false)</f>
        <v>#N/A</v>
      </c>
      <c r="Z1732" s="9"/>
    </row>
    <row r="1733" ht="22.5" customHeight="1">
      <c r="A1733" s="49"/>
      <c r="C1733" s="384"/>
      <c r="D1733" s="93"/>
      <c r="F1733" s="74"/>
      <c r="H1733" s="74"/>
      <c r="I1733" s="74"/>
      <c r="J1733" s="74"/>
      <c r="K1733" s="74" t="str">
        <f>if(F1733="SERVICE",O1733-(O1733*50%),Vlookup(F1733,DATABASE!C:Q,10,false)*G1733)</f>
        <v>#N/A</v>
      </c>
      <c r="L1733" s="74" t="str">
        <f>VLOOKUP(F1733,DATABASE!C:Q,7,FALSE)</f>
        <v>#N/A</v>
      </c>
      <c r="M1733" s="74"/>
      <c r="N1733" s="74">
        <f t="shared" si="11"/>
        <v>0</v>
      </c>
      <c r="O1733" s="74">
        <f t="shared" si="13"/>
        <v>0</v>
      </c>
      <c r="P1733" s="63">
        <f t="shared" si="14"/>
        <v>0</v>
      </c>
      <c r="Q1733" s="63" t="str">
        <f t="shared" si="15"/>
        <v>#N/A</v>
      </c>
      <c r="R1733" s="93" t="str">
        <f>VLOOKUP(F1733,DATABASE!C:Q,4,false)</f>
        <v>#N/A</v>
      </c>
      <c r="S1733" s="93" t="str">
        <f>VLOOKUP(F1733,DATABASE!C:P,11,false)</f>
        <v>#N/A</v>
      </c>
      <c r="T1733" s="93" t="str">
        <f>vlookup(F1733,DATABASE!C:Q,8,false)</f>
        <v>#N/A</v>
      </c>
      <c r="Z1733" s="9"/>
    </row>
    <row r="1734" ht="22.5" customHeight="1">
      <c r="A1734" s="49"/>
      <c r="C1734" s="384"/>
      <c r="D1734" s="93"/>
      <c r="F1734" s="74"/>
      <c r="H1734" s="74"/>
      <c r="I1734" s="74"/>
      <c r="J1734" s="74"/>
      <c r="K1734" s="74" t="str">
        <f>if(F1734="SERVICE",O1734-(O1734*50%),Vlookup(F1734,DATABASE!C:Q,10,false)*G1734)</f>
        <v>#N/A</v>
      </c>
      <c r="L1734" s="74" t="str">
        <f>VLOOKUP(F1734,DATABASE!C:Q,7,FALSE)</f>
        <v>#N/A</v>
      </c>
      <c r="M1734" s="74"/>
      <c r="N1734" s="74">
        <f t="shared" si="11"/>
        <v>0</v>
      </c>
      <c r="O1734" s="74">
        <f t="shared" si="13"/>
        <v>0</v>
      </c>
      <c r="P1734" s="63">
        <f t="shared" si="14"/>
        <v>0</v>
      </c>
      <c r="Q1734" s="63" t="str">
        <f t="shared" si="15"/>
        <v>#N/A</v>
      </c>
      <c r="R1734" s="93" t="str">
        <f>VLOOKUP(F1734,DATABASE!C:Q,4,false)</f>
        <v>#N/A</v>
      </c>
      <c r="S1734" s="93" t="str">
        <f>VLOOKUP(F1734,DATABASE!C:P,11,false)</f>
        <v>#N/A</v>
      </c>
      <c r="T1734" s="93" t="str">
        <f>vlookup(F1734,DATABASE!C:Q,8,false)</f>
        <v>#N/A</v>
      </c>
      <c r="Z1734" s="9"/>
    </row>
    <row r="1735" ht="22.5" customHeight="1">
      <c r="A1735" s="49"/>
      <c r="C1735" s="384"/>
      <c r="D1735" s="93"/>
      <c r="F1735" s="74"/>
      <c r="H1735" s="74"/>
      <c r="I1735" s="74"/>
      <c r="J1735" s="74"/>
      <c r="K1735" s="74" t="str">
        <f>if(F1735="SERVICE",O1735-(O1735*50%),Vlookup(F1735,DATABASE!C:Q,10,false)*G1735)</f>
        <v>#N/A</v>
      </c>
      <c r="L1735" s="74" t="str">
        <f>VLOOKUP(F1735,DATABASE!C:Q,7,FALSE)</f>
        <v>#N/A</v>
      </c>
      <c r="M1735" s="74"/>
      <c r="N1735" s="74">
        <f t="shared" si="11"/>
        <v>0</v>
      </c>
      <c r="O1735" s="74">
        <f t="shared" si="13"/>
        <v>0</v>
      </c>
      <c r="P1735" s="63">
        <f t="shared" si="14"/>
        <v>0</v>
      </c>
      <c r="Q1735" s="63" t="str">
        <f t="shared" si="15"/>
        <v>#N/A</v>
      </c>
      <c r="R1735" s="93" t="str">
        <f>VLOOKUP(F1735,DATABASE!C:Q,4,false)</f>
        <v>#N/A</v>
      </c>
      <c r="S1735" s="93" t="str">
        <f>VLOOKUP(F1735,DATABASE!C:P,11,false)</f>
        <v>#N/A</v>
      </c>
      <c r="T1735" s="93" t="str">
        <f>vlookup(F1735,DATABASE!C:Q,8,false)</f>
        <v>#N/A</v>
      </c>
      <c r="Z1735" s="9"/>
    </row>
    <row r="1736" ht="22.5" customHeight="1">
      <c r="A1736" s="49"/>
      <c r="C1736" s="384"/>
      <c r="D1736" s="93"/>
      <c r="F1736" s="74"/>
      <c r="H1736" s="74"/>
      <c r="I1736" s="74"/>
      <c r="J1736" s="74"/>
      <c r="K1736" s="74" t="str">
        <f>if(F1736="SERVICE",O1736-(O1736*50%),Vlookup(F1736,DATABASE!C:Q,10,false)*G1736)</f>
        <v>#N/A</v>
      </c>
      <c r="L1736" s="74" t="str">
        <f>VLOOKUP(F1736,DATABASE!C:Q,7,FALSE)</f>
        <v>#N/A</v>
      </c>
      <c r="M1736" s="74"/>
      <c r="N1736" s="74">
        <f t="shared" si="11"/>
        <v>0</v>
      </c>
      <c r="O1736" s="74">
        <f t="shared" si="13"/>
        <v>0</v>
      </c>
      <c r="P1736" s="63">
        <f t="shared" si="14"/>
        <v>0</v>
      </c>
      <c r="Q1736" s="63" t="str">
        <f t="shared" si="15"/>
        <v>#N/A</v>
      </c>
      <c r="R1736" s="93" t="str">
        <f>VLOOKUP(F1736,DATABASE!C:Q,4,false)</f>
        <v>#N/A</v>
      </c>
      <c r="S1736" s="93" t="str">
        <f>VLOOKUP(F1736,DATABASE!C:P,11,false)</f>
        <v>#N/A</v>
      </c>
      <c r="T1736" s="93" t="str">
        <f>vlookup(F1736,DATABASE!C:Q,8,false)</f>
        <v>#N/A</v>
      </c>
      <c r="Z1736" s="9"/>
    </row>
    <row r="1737" ht="22.5" customHeight="1">
      <c r="A1737" s="49"/>
      <c r="C1737" s="384"/>
      <c r="D1737" s="93"/>
      <c r="F1737" s="74"/>
      <c r="H1737" s="74"/>
      <c r="I1737" s="74"/>
      <c r="J1737" s="74"/>
      <c r="K1737" s="74" t="str">
        <f>if(F1737="SERVICE",O1737-(O1737*50%),Vlookup(F1737,DATABASE!C:Q,10,false)*G1737)</f>
        <v>#N/A</v>
      </c>
      <c r="L1737" s="74" t="str">
        <f>VLOOKUP(F1737,DATABASE!C:Q,7,FALSE)</f>
        <v>#N/A</v>
      </c>
      <c r="M1737" s="74"/>
      <c r="N1737" s="74">
        <f t="shared" si="11"/>
        <v>0</v>
      </c>
      <c r="O1737" s="74">
        <f t="shared" si="13"/>
        <v>0</v>
      </c>
      <c r="P1737" s="63">
        <f t="shared" si="14"/>
        <v>0</v>
      </c>
      <c r="Q1737" s="63" t="str">
        <f t="shared" si="15"/>
        <v>#N/A</v>
      </c>
      <c r="R1737" s="93" t="str">
        <f>VLOOKUP(F1737,DATABASE!C:Q,4,false)</f>
        <v>#N/A</v>
      </c>
      <c r="S1737" s="93" t="str">
        <f>VLOOKUP(F1737,DATABASE!C:P,11,false)</f>
        <v>#N/A</v>
      </c>
      <c r="T1737" s="93" t="str">
        <f>vlookup(F1737,DATABASE!C:Q,8,false)</f>
        <v>#N/A</v>
      </c>
      <c r="Z1737" s="9"/>
    </row>
    <row r="1738" ht="22.5" customHeight="1">
      <c r="A1738" s="49"/>
      <c r="C1738" s="384"/>
      <c r="D1738" s="93"/>
      <c r="F1738" s="74"/>
      <c r="H1738" s="74"/>
      <c r="I1738" s="74"/>
      <c r="J1738" s="74"/>
      <c r="K1738" s="74" t="str">
        <f>if(F1738="SERVICE",O1738-(O1738*50%),Vlookup(F1738,DATABASE!C:Q,10,false)*G1738)</f>
        <v>#N/A</v>
      </c>
      <c r="L1738" s="74" t="str">
        <f>VLOOKUP(F1738,DATABASE!C:Q,7,FALSE)</f>
        <v>#N/A</v>
      </c>
      <c r="M1738" s="74"/>
      <c r="N1738" s="74">
        <f t="shared" si="11"/>
        <v>0</v>
      </c>
      <c r="O1738" s="74">
        <f t="shared" si="13"/>
        <v>0</v>
      </c>
      <c r="P1738" s="63">
        <f t="shared" si="14"/>
        <v>0</v>
      </c>
      <c r="Q1738" s="63" t="str">
        <f t="shared" si="15"/>
        <v>#N/A</v>
      </c>
      <c r="R1738" s="93" t="str">
        <f>VLOOKUP(F1738,DATABASE!C:Q,4,false)</f>
        <v>#N/A</v>
      </c>
      <c r="S1738" s="93" t="str">
        <f>VLOOKUP(F1738,DATABASE!C:P,11,false)</f>
        <v>#N/A</v>
      </c>
      <c r="T1738" s="93" t="str">
        <f>vlookup(F1738,DATABASE!C:Q,8,false)</f>
        <v>#N/A</v>
      </c>
      <c r="Z1738" s="9"/>
    </row>
    <row r="1739" ht="22.5" customHeight="1">
      <c r="A1739" s="49"/>
      <c r="C1739" s="384"/>
      <c r="D1739" s="93"/>
      <c r="F1739" s="74"/>
      <c r="H1739" s="74"/>
      <c r="I1739" s="74"/>
      <c r="J1739" s="74"/>
      <c r="K1739" s="74" t="str">
        <f>if(F1739="SERVICE",O1739-(O1739*50%),Vlookup(F1739,DATABASE!C:Q,10,false)*G1739)</f>
        <v>#N/A</v>
      </c>
      <c r="L1739" s="74" t="str">
        <f>VLOOKUP(F1739,DATABASE!C:Q,7,FALSE)</f>
        <v>#N/A</v>
      </c>
      <c r="M1739" s="74"/>
      <c r="N1739" s="74">
        <f t="shared" si="11"/>
        <v>0</v>
      </c>
      <c r="O1739" s="74">
        <f t="shared" si="13"/>
        <v>0</v>
      </c>
      <c r="P1739" s="63">
        <f t="shared" si="14"/>
        <v>0</v>
      </c>
      <c r="Q1739" s="63" t="str">
        <f t="shared" si="15"/>
        <v>#N/A</v>
      </c>
      <c r="R1739" s="93" t="str">
        <f>VLOOKUP(F1739,DATABASE!C:Q,4,false)</f>
        <v>#N/A</v>
      </c>
      <c r="S1739" s="93" t="str">
        <f>VLOOKUP(F1739,DATABASE!C:P,11,false)</f>
        <v>#N/A</v>
      </c>
      <c r="T1739" s="93" t="str">
        <f>vlookup(F1739,DATABASE!C:Q,8,false)</f>
        <v>#N/A</v>
      </c>
      <c r="Z1739" s="9"/>
    </row>
    <row r="1740" ht="22.5" customHeight="1">
      <c r="A1740" s="49"/>
      <c r="C1740" s="384"/>
      <c r="D1740" s="93"/>
      <c r="F1740" s="74"/>
      <c r="H1740" s="74"/>
      <c r="I1740" s="74"/>
      <c r="J1740" s="74"/>
      <c r="K1740" s="74" t="str">
        <f>if(F1740="SERVICE",O1740-(O1740*50%),Vlookup(F1740,DATABASE!C:Q,10,false)*G1740)</f>
        <v>#N/A</v>
      </c>
      <c r="L1740" s="74" t="str">
        <f>VLOOKUP(F1740,DATABASE!C:Q,7,FALSE)</f>
        <v>#N/A</v>
      </c>
      <c r="M1740" s="74"/>
      <c r="N1740" s="74">
        <f t="shared" si="11"/>
        <v>0</v>
      </c>
      <c r="O1740" s="74">
        <f t="shared" si="13"/>
        <v>0</v>
      </c>
      <c r="P1740" s="63">
        <f t="shared" si="14"/>
        <v>0</v>
      </c>
      <c r="Q1740" s="63" t="str">
        <f t="shared" si="15"/>
        <v>#N/A</v>
      </c>
      <c r="R1740" s="93" t="str">
        <f>VLOOKUP(F1740,DATABASE!C:Q,4,false)</f>
        <v>#N/A</v>
      </c>
      <c r="S1740" s="93" t="str">
        <f>VLOOKUP(F1740,DATABASE!C:P,11,false)</f>
        <v>#N/A</v>
      </c>
      <c r="T1740" s="93" t="str">
        <f>vlookup(F1740,DATABASE!C:Q,8,false)</f>
        <v>#N/A</v>
      </c>
      <c r="Z1740" s="9"/>
    </row>
    <row r="1741" ht="22.5" customHeight="1">
      <c r="A1741" s="49"/>
      <c r="C1741" s="384"/>
      <c r="D1741" s="93"/>
      <c r="F1741" s="74"/>
      <c r="H1741" s="74"/>
      <c r="I1741" s="74"/>
      <c r="J1741" s="74"/>
      <c r="K1741" s="74" t="str">
        <f>if(F1741="SERVICE",O1741-(O1741*50%),Vlookup(F1741,DATABASE!C:Q,10,false)*G1741)</f>
        <v>#N/A</v>
      </c>
      <c r="L1741" s="74" t="str">
        <f>VLOOKUP(F1741,DATABASE!C:Q,7,FALSE)</f>
        <v>#N/A</v>
      </c>
      <c r="M1741" s="74"/>
      <c r="N1741" s="74">
        <f t="shared" si="11"/>
        <v>0</v>
      </c>
      <c r="O1741" s="74">
        <f t="shared" si="13"/>
        <v>0</v>
      </c>
      <c r="P1741" s="63">
        <f t="shared" si="14"/>
        <v>0</v>
      </c>
      <c r="Q1741" s="63" t="str">
        <f t="shared" si="15"/>
        <v>#N/A</v>
      </c>
      <c r="R1741" s="93" t="str">
        <f>VLOOKUP(F1741,DATABASE!C:Q,4,false)</f>
        <v>#N/A</v>
      </c>
      <c r="S1741" s="93" t="str">
        <f>VLOOKUP(F1741,DATABASE!C:P,11,false)</f>
        <v>#N/A</v>
      </c>
      <c r="T1741" s="93" t="str">
        <f>vlookup(F1741,DATABASE!C:Q,8,false)</f>
        <v>#N/A</v>
      </c>
      <c r="Z1741" s="9"/>
    </row>
    <row r="1742" ht="22.5" customHeight="1">
      <c r="A1742" s="49"/>
      <c r="C1742" s="384"/>
      <c r="D1742" s="93"/>
      <c r="F1742" s="74"/>
      <c r="H1742" s="74"/>
      <c r="I1742" s="74"/>
      <c r="J1742" s="74"/>
      <c r="K1742" s="74" t="str">
        <f>if(F1742="SERVICE",O1742-(O1742*50%),Vlookup(F1742,DATABASE!C:Q,10,false)*G1742)</f>
        <v>#N/A</v>
      </c>
      <c r="L1742" s="74" t="str">
        <f>VLOOKUP(F1742,DATABASE!C:Q,7,FALSE)</f>
        <v>#N/A</v>
      </c>
      <c r="M1742" s="74"/>
      <c r="N1742" s="74">
        <f t="shared" si="11"/>
        <v>0</v>
      </c>
      <c r="O1742" s="74">
        <f t="shared" si="13"/>
        <v>0</v>
      </c>
      <c r="P1742" s="63">
        <f t="shared" si="14"/>
        <v>0</v>
      </c>
      <c r="Q1742" s="63" t="str">
        <f t="shared" si="15"/>
        <v>#N/A</v>
      </c>
      <c r="R1742" s="93" t="str">
        <f>VLOOKUP(F1742,DATABASE!C:Q,4,false)</f>
        <v>#N/A</v>
      </c>
      <c r="S1742" s="93" t="str">
        <f>VLOOKUP(F1742,DATABASE!C:P,11,false)</f>
        <v>#N/A</v>
      </c>
      <c r="T1742" s="93" t="str">
        <f>vlookup(F1742,DATABASE!C:Q,8,false)</f>
        <v>#N/A</v>
      </c>
      <c r="Z1742" s="9"/>
    </row>
    <row r="1743" ht="22.5" customHeight="1">
      <c r="A1743" s="49"/>
      <c r="C1743" s="384"/>
      <c r="D1743" s="93"/>
      <c r="F1743" s="74"/>
      <c r="H1743" s="74"/>
      <c r="I1743" s="74"/>
      <c r="J1743" s="74"/>
      <c r="K1743" s="74" t="str">
        <f>if(F1743="SERVICE",O1743-(O1743*50%),Vlookup(F1743,DATABASE!C:Q,10,false)*G1743)</f>
        <v>#N/A</v>
      </c>
      <c r="L1743" s="74" t="str">
        <f>VLOOKUP(F1743,DATABASE!C:Q,7,FALSE)</f>
        <v>#N/A</v>
      </c>
      <c r="M1743" s="74"/>
      <c r="N1743" s="74">
        <f t="shared" si="11"/>
        <v>0</v>
      </c>
      <c r="O1743" s="74">
        <f t="shared" si="13"/>
        <v>0</v>
      </c>
      <c r="P1743" s="63">
        <f t="shared" si="14"/>
        <v>0</v>
      </c>
      <c r="Q1743" s="63" t="str">
        <f t="shared" si="15"/>
        <v>#N/A</v>
      </c>
      <c r="R1743" s="93" t="str">
        <f>VLOOKUP(F1743,DATABASE!C:Q,4,false)</f>
        <v>#N/A</v>
      </c>
      <c r="S1743" s="93" t="str">
        <f>VLOOKUP(F1743,DATABASE!C:P,11,false)</f>
        <v>#N/A</v>
      </c>
      <c r="T1743" s="93" t="str">
        <f>vlookup(F1743,DATABASE!C:Q,8,false)</f>
        <v>#N/A</v>
      </c>
      <c r="Z1743" s="9"/>
    </row>
    <row r="1744" ht="22.5" customHeight="1">
      <c r="A1744" s="49"/>
      <c r="C1744" s="384"/>
      <c r="D1744" s="93"/>
      <c r="F1744" s="74"/>
      <c r="H1744" s="74"/>
      <c r="I1744" s="74"/>
      <c r="J1744" s="74"/>
      <c r="K1744" s="74" t="str">
        <f>if(F1744="SERVICE",O1744-(O1744*50%),Vlookup(F1744,DATABASE!C:Q,10,false)*G1744)</f>
        <v>#N/A</v>
      </c>
      <c r="L1744" s="74" t="str">
        <f>VLOOKUP(F1744,DATABASE!C:Q,7,FALSE)</f>
        <v>#N/A</v>
      </c>
      <c r="M1744" s="74"/>
      <c r="N1744" s="74">
        <f t="shared" si="11"/>
        <v>0</v>
      </c>
      <c r="O1744" s="74">
        <f t="shared" si="13"/>
        <v>0</v>
      </c>
      <c r="P1744" s="63">
        <f t="shared" si="14"/>
        <v>0</v>
      </c>
      <c r="Q1744" s="63" t="str">
        <f t="shared" si="15"/>
        <v>#N/A</v>
      </c>
      <c r="R1744" s="93" t="str">
        <f>VLOOKUP(F1744,DATABASE!C:Q,4,false)</f>
        <v>#N/A</v>
      </c>
      <c r="S1744" s="93" t="str">
        <f>VLOOKUP(F1744,DATABASE!C:P,11,false)</f>
        <v>#N/A</v>
      </c>
      <c r="T1744" s="93" t="str">
        <f>vlookup(F1744,DATABASE!C:Q,8,false)</f>
        <v>#N/A</v>
      </c>
      <c r="Z1744" s="9"/>
    </row>
    <row r="1745" ht="22.5" customHeight="1">
      <c r="A1745" s="49"/>
      <c r="C1745" s="384"/>
      <c r="D1745" s="93"/>
      <c r="F1745" s="74"/>
      <c r="H1745" s="74"/>
      <c r="I1745" s="74"/>
      <c r="J1745" s="74"/>
      <c r="K1745" s="74" t="str">
        <f>if(F1745="SERVICE",O1745-(O1745*50%),Vlookup(F1745,DATABASE!C:Q,10,false)*G1745)</f>
        <v>#N/A</v>
      </c>
      <c r="L1745" s="74" t="str">
        <f>VLOOKUP(F1745,DATABASE!C:Q,7,FALSE)</f>
        <v>#N/A</v>
      </c>
      <c r="M1745" s="74"/>
      <c r="N1745" s="74">
        <f t="shared" si="11"/>
        <v>0</v>
      </c>
      <c r="O1745" s="74">
        <f t="shared" si="13"/>
        <v>0</v>
      </c>
      <c r="P1745" s="63">
        <f t="shared" si="14"/>
        <v>0</v>
      </c>
      <c r="Q1745" s="63" t="str">
        <f t="shared" si="15"/>
        <v>#N/A</v>
      </c>
      <c r="R1745" s="93" t="str">
        <f>VLOOKUP(F1745,DATABASE!C:Q,4,false)</f>
        <v>#N/A</v>
      </c>
      <c r="S1745" s="93" t="str">
        <f>VLOOKUP(F1745,DATABASE!C:P,11,false)</f>
        <v>#N/A</v>
      </c>
      <c r="T1745" s="93" t="str">
        <f>vlookup(F1745,DATABASE!C:Q,8,false)</f>
        <v>#N/A</v>
      </c>
      <c r="Z1745" s="9"/>
    </row>
    <row r="1746" ht="22.5" customHeight="1">
      <c r="A1746" s="49"/>
      <c r="C1746" s="384"/>
      <c r="D1746" s="93"/>
      <c r="F1746" s="74"/>
      <c r="H1746" s="74"/>
      <c r="I1746" s="74"/>
      <c r="J1746" s="74"/>
      <c r="K1746" s="74" t="str">
        <f>if(F1746="SERVICE",O1746-(O1746*50%),Vlookup(F1746,DATABASE!C:Q,10,false)*G1746)</f>
        <v>#N/A</v>
      </c>
      <c r="L1746" s="74" t="str">
        <f>VLOOKUP(F1746,DATABASE!C:Q,7,FALSE)</f>
        <v>#N/A</v>
      </c>
      <c r="M1746" s="74"/>
      <c r="N1746" s="74">
        <f t="shared" si="11"/>
        <v>0</v>
      </c>
      <c r="O1746" s="74">
        <f t="shared" si="13"/>
        <v>0</v>
      </c>
      <c r="P1746" s="63">
        <f t="shared" si="14"/>
        <v>0</v>
      </c>
      <c r="Q1746" s="63" t="str">
        <f t="shared" si="15"/>
        <v>#N/A</v>
      </c>
      <c r="R1746" s="93" t="str">
        <f>VLOOKUP(F1746,DATABASE!C:Q,4,false)</f>
        <v>#N/A</v>
      </c>
      <c r="S1746" s="93" t="str">
        <f>VLOOKUP(F1746,DATABASE!C:P,11,false)</f>
        <v>#N/A</v>
      </c>
      <c r="T1746" s="93" t="str">
        <f>vlookup(F1746,DATABASE!C:Q,8,false)</f>
        <v>#N/A</v>
      </c>
      <c r="Z1746" s="9"/>
    </row>
    <row r="1747" ht="22.5" customHeight="1">
      <c r="A1747" s="49"/>
      <c r="C1747" s="384"/>
      <c r="D1747" s="93"/>
      <c r="F1747" s="74"/>
      <c r="H1747" s="74"/>
      <c r="I1747" s="74"/>
      <c r="J1747" s="74"/>
      <c r="K1747" s="74" t="str">
        <f>if(F1747="SERVICE",O1747-(O1747*50%),Vlookup(F1747,DATABASE!C:Q,10,false)*G1747)</f>
        <v>#N/A</v>
      </c>
      <c r="L1747" s="74" t="str">
        <f>VLOOKUP(F1747,DATABASE!C:Q,7,FALSE)</f>
        <v>#N/A</v>
      </c>
      <c r="M1747" s="74"/>
      <c r="N1747" s="74">
        <f t="shared" si="11"/>
        <v>0</v>
      </c>
      <c r="O1747" s="74">
        <f t="shared" si="13"/>
        <v>0</v>
      </c>
      <c r="P1747" s="63">
        <f t="shared" si="14"/>
        <v>0</v>
      </c>
      <c r="Q1747" s="63" t="str">
        <f t="shared" si="15"/>
        <v>#N/A</v>
      </c>
      <c r="R1747" s="93" t="str">
        <f>VLOOKUP(F1747,DATABASE!C:Q,4,false)</f>
        <v>#N/A</v>
      </c>
      <c r="S1747" s="93" t="str">
        <f>VLOOKUP(F1747,DATABASE!C:P,11,false)</f>
        <v>#N/A</v>
      </c>
      <c r="T1747" s="93" t="str">
        <f>vlookup(F1747,DATABASE!C:Q,8,false)</f>
        <v>#N/A</v>
      </c>
      <c r="Z1747" s="9"/>
    </row>
    <row r="1748" ht="22.5" customHeight="1">
      <c r="A1748" s="49"/>
      <c r="C1748" s="384"/>
      <c r="D1748" s="93"/>
      <c r="F1748" s="74"/>
      <c r="H1748" s="74"/>
      <c r="I1748" s="74"/>
      <c r="J1748" s="74"/>
      <c r="K1748" s="74" t="str">
        <f>if(F1748="SERVICE",O1748-(O1748*50%),Vlookup(F1748,DATABASE!C:Q,10,false)*G1748)</f>
        <v>#N/A</v>
      </c>
      <c r="L1748" s="74" t="str">
        <f>VLOOKUP(F1748,DATABASE!C:Q,7,FALSE)</f>
        <v>#N/A</v>
      </c>
      <c r="M1748" s="74"/>
      <c r="N1748" s="74">
        <f t="shared" si="11"/>
        <v>0</v>
      </c>
      <c r="O1748" s="74">
        <f t="shared" si="13"/>
        <v>0</v>
      </c>
      <c r="P1748" s="63">
        <f t="shared" si="14"/>
        <v>0</v>
      </c>
      <c r="Q1748" s="63" t="str">
        <f t="shared" si="15"/>
        <v>#N/A</v>
      </c>
      <c r="R1748" s="93" t="str">
        <f>VLOOKUP(F1748,DATABASE!C:Q,4,false)</f>
        <v>#N/A</v>
      </c>
      <c r="S1748" s="93" t="str">
        <f>VLOOKUP(F1748,DATABASE!C:P,11,false)</f>
        <v>#N/A</v>
      </c>
      <c r="T1748" s="93" t="str">
        <f>vlookup(F1748,DATABASE!C:Q,8,false)</f>
        <v>#N/A</v>
      </c>
      <c r="Z1748" s="9"/>
    </row>
    <row r="1749" ht="22.5" customHeight="1">
      <c r="A1749" s="49"/>
      <c r="C1749" s="384"/>
      <c r="D1749" s="93"/>
      <c r="F1749" s="74"/>
      <c r="H1749" s="74"/>
      <c r="I1749" s="74"/>
      <c r="J1749" s="74"/>
      <c r="K1749" s="74" t="str">
        <f>if(F1749="SERVICE",O1749-(O1749*50%),Vlookup(F1749,DATABASE!C:Q,10,false)*G1749)</f>
        <v>#N/A</v>
      </c>
      <c r="L1749" s="74" t="str">
        <f>VLOOKUP(F1749,DATABASE!C:Q,7,FALSE)</f>
        <v>#N/A</v>
      </c>
      <c r="M1749" s="74"/>
      <c r="N1749" s="74">
        <f t="shared" si="11"/>
        <v>0</v>
      </c>
      <c r="O1749" s="74">
        <f t="shared" si="13"/>
        <v>0</v>
      </c>
      <c r="P1749" s="63">
        <f t="shared" si="14"/>
        <v>0</v>
      </c>
      <c r="Q1749" s="63" t="str">
        <f t="shared" si="15"/>
        <v>#N/A</v>
      </c>
      <c r="R1749" s="93" t="str">
        <f>VLOOKUP(F1749,DATABASE!C:Q,4,false)</f>
        <v>#N/A</v>
      </c>
      <c r="S1749" s="93" t="str">
        <f>VLOOKUP(F1749,DATABASE!C:P,11,false)</f>
        <v>#N/A</v>
      </c>
      <c r="T1749" s="93" t="str">
        <f>vlookup(F1749,DATABASE!C:Q,8,false)</f>
        <v>#N/A</v>
      </c>
      <c r="Z1749" s="9"/>
    </row>
    <row r="1750" ht="22.5" customHeight="1">
      <c r="A1750" s="49"/>
      <c r="C1750" s="384"/>
      <c r="D1750" s="93"/>
      <c r="F1750" s="74"/>
      <c r="H1750" s="74"/>
      <c r="I1750" s="74"/>
      <c r="J1750" s="74"/>
      <c r="K1750" s="74" t="str">
        <f>if(F1750="SERVICE",O1750-(O1750*50%),Vlookup(F1750,DATABASE!C:Q,10,false)*G1750)</f>
        <v>#N/A</v>
      </c>
      <c r="L1750" s="74" t="str">
        <f>VLOOKUP(F1750,DATABASE!C:Q,7,FALSE)</f>
        <v>#N/A</v>
      </c>
      <c r="M1750" s="74"/>
      <c r="N1750" s="74">
        <f t="shared" si="11"/>
        <v>0</v>
      </c>
      <c r="O1750" s="74">
        <f t="shared" si="13"/>
        <v>0</v>
      </c>
      <c r="P1750" s="63">
        <f t="shared" si="14"/>
        <v>0</v>
      </c>
      <c r="Q1750" s="63" t="str">
        <f t="shared" si="15"/>
        <v>#N/A</v>
      </c>
      <c r="R1750" s="93" t="str">
        <f>VLOOKUP(F1750,DATABASE!C:Q,4,false)</f>
        <v>#N/A</v>
      </c>
      <c r="S1750" s="93" t="str">
        <f>VLOOKUP(F1750,DATABASE!C:P,11,false)</f>
        <v>#N/A</v>
      </c>
      <c r="T1750" s="93" t="str">
        <f>vlookup(F1750,DATABASE!C:Q,8,false)</f>
        <v>#N/A</v>
      </c>
      <c r="Z1750" s="9"/>
    </row>
    <row r="1751" ht="22.5" customHeight="1">
      <c r="A1751" s="49"/>
      <c r="C1751" s="384"/>
      <c r="D1751" s="93"/>
      <c r="F1751" s="74"/>
      <c r="H1751" s="74"/>
      <c r="I1751" s="74"/>
      <c r="J1751" s="74"/>
      <c r="K1751" s="74" t="str">
        <f>if(F1751="SERVICE",O1751-(O1751*50%),Vlookup(F1751,DATABASE!C:Q,10,false)*G1751)</f>
        <v>#N/A</v>
      </c>
      <c r="L1751" s="74" t="str">
        <f>VLOOKUP(F1751,DATABASE!C:Q,7,FALSE)</f>
        <v>#N/A</v>
      </c>
      <c r="M1751" s="74"/>
      <c r="N1751" s="74">
        <f t="shared" si="11"/>
        <v>0</v>
      </c>
      <c r="O1751" s="74">
        <f t="shared" si="13"/>
        <v>0</v>
      </c>
      <c r="P1751" s="63">
        <f t="shared" si="14"/>
        <v>0</v>
      </c>
      <c r="Q1751" s="63" t="str">
        <f t="shared" si="15"/>
        <v>#N/A</v>
      </c>
      <c r="R1751" s="93" t="str">
        <f>VLOOKUP(F1751,DATABASE!C:Q,4,false)</f>
        <v>#N/A</v>
      </c>
      <c r="S1751" s="93" t="str">
        <f>VLOOKUP(F1751,DATABASE!C:P,11,false)</f>
        <v>#N/A</v>
      </c>
      <c r="T1751" s="93" t="str">
        <f>vlookup(F1751,DATABASE!C:Q,8,false)</f>
        <v>#N/A</v>
      </c>
      <c r="Z1751" s="9"/>
    </row>
    <row r="1752" ht="22.5" customHeight="1">
      <c r="A1752" s="49"/>
      <c r="C1752" s="384"/>
      <c r="D1752" s="93"/>
      <c r="F1752" s="74"/>
      <c r="H1752" s="74"/>
      <c r="I1752" s="74"/>
      <c r="J1752" s="74"/>
      <c r="K1752" s="74" t="str">
        <f>if(F1752="SERVICE",O1752-(O1752*50%),Vlookup(F1752,DATABASE!C:Q,10,false)*G1752)</f>
        <v>#N/A</v>
      </c>
      <c r="L1752" s="74" t="str">
        <f>VLOOKUP(F1752,DATABASE!C:Q,7,FALSE)</f>
        <v>#N/A</v>
      </c>
      <c r="M1752" s="74"/>
      <c r="N1752" s="74">
        <f t="shared" si="11"/>
        <v>0</v>
      </c>
      <c r="O1752" s="74">
        <f t="shared" si="13"/>
        <v>0</v>
      </c>
      <c r="P1752" s="63">
        <f t="shared" si="14"/>
        <v>0</v>
      </c>
      <c r="Q1752" s="63" t="str">
        <f t="shared" si="15"/>
        <v>#N/A</v>
      </c>
      <c r="R1752" s="93" t="str">
        <f>VLOOKUP(F1752,DATABASE!C:Q,4,false)</f>
        <v>#N/A</v>
      </c>
      <c r="S1752" s="93" t="str">
        <f>VLOOKUP(F1752,DATABASE!C:P,11,false)</f>
        <v>#N/A</v>
      </c>
      <c r="T1752" s="93" t="str">
        <f>vlookup(F1752,DATABASE!C:Q,8,false)</f>
        <v>#N/A</v>
      </c>
      <c r="Z1752" s="9"/>
    </row>
    <row r="1753" ht="22.5" customHeight="1">
      <c r="A1753" s="49"/>
      <c r="C1753" s="384"/>
      <c r="D1753" s="93"/>
      <c r="F1753" s="74"/>
      <c r="H1753" s="74"/>
      <c r="I1753" s="74"/>
      <c r="J1753" s="74"/>
      <c r="K1753" s="74" t="str">
        <f>if(F1753="SERVICE",O1753-(O1753*50%),Vlookup(F1753,DATABASE!C:Q,10,false)*G1753)</f>
        <v>#N/A</v>
      </c>
      <c r="L1753" s="74" t="str">
        <f>VLOOKUP(F1753,DATABASE!C:Q,7,FALSE)</f>
        <v>#N/A</v>
      </c>
      <c r="M1753" s="74"/>
      <c r="N1753" s="74">
        <f t="shared" si="11"/>
        <v>0</v>
      </c>
      <c r="O1753" s="74">
        <f t="shared" si="13"/>
        <v>0</v>
      </c>
      <c r="P1753" s="63">
        <f t="shared" si="14"/>
        <v>0</v>
      </c>
      <c r="Q1753" s="63" t="str">
        <f t="shared" si="15"/>
        <v>#N/A</v>
      </c>
      <c r="R1753" s="93" t="str">
        <f>VLOOKUP(F1753,DATABASE!C:Q,4,false)</f>
        <v>#N/A</v>
      </c>
      <c r="S1753" s="93" t="str">
        <f>VLOOKUP(F1753,DATABASE!C:P,11,false)</f>
        <v>#N/A</v>
      </c>
      <c r="T1753" s="93" t="str">
        <f>vlookup(F1753,DATABASE!C:Q,8,false)</f>
        <v>#N/A</v>
      </c>
      <c r="Z1753" s="9"/>
    </row>
    <row r="1754" ht="22.5" customHeight="1">
      <c r="A1754" s="49"/>
      <c r="C1754" s="384"/>
      <c r="D1754" s="93"/>
      <c r="F1754" s="74"/>
      <c r="H1754" s="74"/>
      <c r="I1754" s="74"/>
      <c r="J1754" s="74"/>
      <c r="K1754" s="74" t="str">
        <f>if(F1754="SERVICE",O1754-(O1754*50%),Vlookup(F1754,DATABASE!C:Q,10,false)*G1754)</f>
        <v>#N/A</v>
      </c>
      <c r="L1754" s="74" t="str">
        <f>VLOOKUP(F1754,DATABASE!C:Q,7,FALSE)</f>
        <v>#N/A</v>
      </c>
      <c r="M1754" s="74"/>
      <c r="N1754" s="74">
        <f t="shared" si="11"/>
        <v>0</v>
      </c>
      <c r="O1754" s="74">
        <f t="shared" si="13"/>
        <v>0</v>
      </c>
      <c r="P1754" s="63">
        <f t="shared" si="14"/>
        <v>0</v>
      </c>
      <c r="Q1754" s="63" t="str">
        <f t="shared" si="15"/>
        <v>#N/A</v>
      </c>
      <c r="R1754" s="93" t="str">
        <f>VLOOKUP(F1754,DATABASE!C:Q,4,false)</f>
        <v>#N/A</v>
      </c>
      <c r="S1754" s="93" t="str">
        <f>VLOOKUP(F1754,DATABASE!C:P,11,false)</f>
        <v>#N/A</v>
      </c>
      <c r="T1754" s="93" t="str">
        <f>vlookup(F1754,DATABASE!C:Q,8,false)</f>
        <v>#N/A</v>
      </c>
      <c r="Z1754" s="9"/>
    </row>
    <row r="1755" ht="22.5" customHeight="1">
      <c r="A1755" s="49"/>
      <c r="C1755" s="384"/>
      <c r="D1755" s="93"/>
      <c r="F1755" s="74"/>
      <c r="H1755" s="74"/>
      <c r="I1755" s="74"/>
      <c r="J1755" s="74"/>
      <c r="K1755" s="74" t="str">
        <f>if(F1755="SERVICE",O1755-(O1755*50%),Vlookup(F1755,DATABASE!C:Q,10,false)*G1755)</f>
        <v>#N/A</v>
      </c>
      <c r="L1755" s="74" t="str">
        <f>VLOOKUP(F1755,DATABASE!C:Q,7,FALSE)</f>
        <v>#N/A</v>
      </c>
      <c r="M1755" s="74"/>
      <c r="N1755" s="74">
        <f t="shared" si="11"/>
        <v>0</v>
      </c>
      <c r="O1755" s="74">
        <f t="shared" si="13"/>
        <v>0</v>
      </c>
      <c r="P1755" s="63">
        <f t="shared" si="14"/>
        <v>0</v>
      </c>
      <c r="Q1755" s="63" t="str">
        <f t="shared" si="15"/>
        <v>#N/A</v>
      </c>
      <c r="R1755" s="93" t="str">
        <f>VLOOKUP(F1755,DATABASE!C:Q,4,false)</f>
        <v>#N/A</v>
      </c>
      <c r="S1755" s="93" t="str">
        <f>VLOOKUP(F1755,DATABASE!C:P,11,false)</f>
        <v>#N/A</v>
      </c>
      <c r="T1755" s="93" t="str">
        <f>vlookup(F1755,DATABASE!C:Q,8,false)</f>
        <v>#N/A</v>
      </c>
      <c r="Z1755" s="9"/>
    </row>
    <row r="1756" ht="22.5" customHeight="1">
      <c r="A1756" s="49"/>
      <c r="C1756" s="384"/>
      <c r="D1756" s="93"/>
      <c r="F1756" s="74"/>
      <c r="H1756" s="74"/>
      <c r="I1756" s="74"/>
      <c r="J1756" s="74"/>
      <c r="K1756" s="74" t="str">
        <f>if(F1756="SERVICE",O1756-(O1756*50%),Vlookup(F1756,DATABASE!C:Q,10,false)*G1756)</f>
        <v>#N/A</v>
      </c>
      <c r="L1756" s="74" t="str">
        <f>VLOOKUP(F1756,DATABASE!C:Q,7,FALSE)</f>
        <v>#N/A</v>
      </c>
      <c r="M1756" s="74"/>
      <c r="N1756" s="74">
        <f t="shared" si="11"/>
        <v>0</v>
      </c>
      <c r="O1756" s="74">
        <f t="shared" si="13"/>
        <v>0</v>
      </c>
      <c r="P1756" s="63">
        <f t="shared" si="14"/>
        <v>0</v>
      </c>
      <c r="Q1756" s="63" t="str">
        <f t="shared" si="15"/>
        <v>#N/A</v>
      </c>
      <c r="R1756" s="93" t="str">
        <f>VLOOKUP(F1756,DATABASE!C:Q,4,false)</f>
        <v>#N/A</v>
      </c>
      <c r="S1756" s="93" t="str">
        <f>VLOOKUP(F1756,DATABASE!C:P,11,false)</f>
        <v>#N/A</v>
      </c>
      <c r="T1756" s="93" t="str">
        <f>vlookup(F1756,DATABASE!C:Q,8,false)</f>
        <v>#N/A</v>
      </c>
      <c r="Z1756" s="9"/>
    </row>
    <row r="1757" ht="22.5" customHeight="1">
      <c r="A1757" s="49"/>
      <c r="C1757" s="384"/>
      <c r="D1757" s="93"/>
      <c r="F1757" s="74"/>
      <c r="H1757" s="74"/>
      <c r="I1757" s="74"/>
      <c r="J1757" s="74"/>
      <c r="K1757" s="74" t="str">
        <f>if(F1757="SERVICE",O1757-(O1757*50%),Vlookup(F1757,DATABASE!C:Q,10,false)*G1757)</f>
        <v>#N/A</v>
      </c>
      <c r="L1757" s="74" t="str">
        <f>VLOOKUP(F1757,DATABASE!C:Q,7,FALSE)</f>
        <v>#N/A</v>
      </c>
      <c r="M1757" s="74"/>
      <c r="N1757" s="74">
        <f t="shared" si="11"/>
        <v>0</v>
      </c>
      <c r="O1757" s="74">
        <f t="shared" si="13"/>
        <v>0</v>
      </c>
      <c r="P1757" s="63">
        <f t="shared" si="14"/>
        <v>0</v>
      </c>
      <c r="Q1757" s="63" t="str">
        <f t="shared" si="15"/>
        <v>#N/A</v>
      </c>
      <c r="R1757" s="93" t="str">
        <f>VLOOKUP(F1757,DATABASE!C:Q,4,false)</f>
        <v>#N/A</v>
      </c>
      <c r="S1757" s="93" t="str">
        <f>VLOOKUP(F1757,DATABASE!C:P,11,false)</f>
        <v>#N/A</v>
      </c>
      <c r="T1757" s="93" t="str">
        <f>vlookup(F1757,DATABASE!C:Q,8,false)</f>
        <v>#N/A</v>
      </c>
      <c r="Z1757" s="9"/>
    </row>
    <row r="1758" ht="22.5" customHeight="1">
      <c r="A1758" s="49"/>
      <c r="C1758" s="384"/>
      <c r="D1758" s="93"/>
      <c r="F1758" s="74"/>
      <c r="H1758" s="74"/>
      <c r="I1758" s="74"/>
      <c r="J1758" s="74"/>
      <c r="K1758" s="74" t="str">
        <f>if(F1758="SERVICE",O1758-(O1758*50%),Vlookup(F1758,DATABASE!C:Q,10,false)*G1758)</f>
        <v>#N/A</v>
      </c>
      <c r="L1758" s="74" t="str">
        <f>VLOOKUP(F1758,DATABASE!C:Q,7,FALSE)</f>
        <v>#N/A</v>
      </c>
      <c r="M1758" s="74"/>
      <c r="N1758" s="74">
        <f t="shared" si="11"/>
        <v>0</v>
      </c>
      <c r="O1758" s="74">
        <f t="shared" si="13"/>
        <v>0</v>
      </c>
      <c r="P1758" s="63">
        <f t="shared" si="14"/>
        <v>0</v>
      </c>
      <c r="Q1758" s="63" t="str">
        <f t="shared" si="15"/>
        <v>#N/A</v>
      </c>
      <c r="R1758" s="93" t="str">
        <f>VLOOKUP(F1758,DATABASE!C:Q,4,false)</f>
        <v>#N/A</v>
      </c>
      <c r="S1758" s="93" t="str">
        <f>VLOOKUP(F1758,DATABASE!C:P,11,false)</f>
        <v>#N/A</v>
      </c>
      <c r="T1758" s="93" t="str">
        <f>vlookup(F1758,DATABASE!C:Q,8,false)</f>
        <v>#N/A</v>
      </c>
      <c r="Z1758" s="9"/>
    </row>
    <row r="1759" ht="22.5" customHeight="1">
      <c r="A1759" s="49"/>
      <c r="C1759" s="384"/>
      <c r="D1759" s="93"/>
      <c r="F1759" s="74"/>
      <c r="H1759" s="74"/>
      <c r="I1759" s="74"/>
      <c r="J1759" s="74"/>
      <c r="K1759" s="74" t="str">
        <f>if(F1759="SERVICE",O1759-(O1759*50%),Vlookup(F1759,DATABASE!C:Q,10,false)*G1759)</f>
        <v>#N/A</v>
      </c>
      <c r="L1759" s="74" t="str">
        <f>VLOOKUP(F1759,DATABASE!C:Q,7,FALSE)</f>
        <v>#N/A</v>
      </c>
      <c r="M1759" s="74"/>
      <c r="N1759" s="74">
        <f t="shared" si="11"/>
        <v>0</v>
      </c>
      <c r="O1759" s="74">
        <f t="shared" si="13"/>
        <v>0</v>
      </c>
      <c r="P1759" s="63">
        <f t="shared" si="14"/>
        <v>0</v>
      </c>
      <c r="Q1759" s="63" t="str">
        <f t="shared" si="15"/>
        <v>#N/A</v>
      </c>
      <c r="R1759" s="93" t="str">
        <f>VLOOKUP(F1759,DATABASE!C:Q,4,false)</f>
        <v>#N/A</v>
      </c>
      <c r="S1759" s="93" t="str">
        <f>VLOOKUP(F1759,DATABASE!C:P,11,false)</f>
        <v>#N/A</v>
      </c>
      <c r="T1759" s="93" t="str">
        <f>vlookup(F1759,DATABASE!C:Q,8,false)</f>
        <v>#N/A</v>
      </c>
      <c r="Z1759" s="9"/>
    </row>
    <row r="1760" ht="22.5" customHeight="1">
      <c r="A1760" s="49"/>
      <c r="C1760" s="384"/>
      <c r="D1760" s="93"/>
      <c r="F1760" s="74"/>
      <c r="H1760" s="74"/>
      <c r="I1760" s="74"/>
      <c r="J1760" s="74"/>
      <c r="K1760" s="74" t="str">
        <f>if(F1760="SERVICE",O1760-(O1760*50%),Vlookup(F1760,DATABASE!C:Q,10,false)*G1760)</f>
        <v>#N/A</v>
      </c>
      <c r="L1760" s="74" t="str">
        <f>VLOOKUP(F1760,DATABASE!C:Q,7,FALSE)</f>
        <v>#N/A</v>
      </c>
      <c r="M1760" s="74"/>
      <c r="N1760" s="74">
        <f t="shared" si="11"/>
        <v>0</v>
      </c>
      <c r="O1760" s="74">
        <f t="shared" si="13"/>
        <v>0</v>
      </c>
      <c r="P1760" s="63">
        <f t="shared" si="14"/>
        <v>0</v>
      </c>
      <c r="Q1760" s="63" t="str">
        <f t="shared" si="15"/>
        <v>#N/A</v>
      </c>
      <c r="R1760" s="93" t="str">
        <f>VLOOKUP(F1760,DATABASE!C:Q,4,false)</f>
        <v>#N/A</v>
      </c>
      <c r="S1760" s="93" t="str">
        <f>VLOOKUP(F1760,DATABASE!C:P,11,false)</f>
        <v>#N/A</v>
      </c>
      <c r="T1760" s="93" t="str">
        <f>vlookup(F1760,DATABASE!C:Q,8,false)</f>
        <v>#N/A</v>
      </c>
      <c r="Z1760" s="9"/>
    </row>
    <row r="1761" ht="22.5" customHeight="1">
      <c r="A1761" s="49"/>
      <c r="C1761" s="384"/>
      <c r="D1761" s="93"/>
      <c r="F1761" s="74"/>
      <c r="H1761" s="74"/>
      <c r="I1761" s="74"/>
      <c r="J1761" s="74"/>
      <c r="K1761" s="74" t="str">
        <f>if(F1761="SERVICE",O1761-(O1761*50%),Vlookup(F1761,DATABASE!C:Q,10,false)*G1761)</f>
        <v>#N/A</v>
      </c>
      <c r="L1761" s="74" t="str">
        <f>VLOOKUP(F1761,DATABASE!C:Q,7,FALSE)</f>
        <v>#N/A</v>
      </c>
      <c r="M1761" s="74"/>
      <c r="N1761" s="74">
        <f t="shared" si="11"/>
        <v>0</v>
      </c>
      <c r="O1761" s="74">
        <f t="shared" si="13"/>
        <v>0</v>
      </c>
      <c r="P1761" s="63">
        <f t="shared" si="14"/>
        <v>0</v>
      </c>
      <c r="Q1761" s="63" t="str">
        <f t="shared" si="15"/>
        <v>#N/A</v>
      </c>
      <c r="R1761" s="93" t="str">
        <f>VLOOKUP(F1761,DATABASE!C:Q,4,false)</f>
        <v>#N/A</v>
      </c>
      <c r="S1761" s="93" t="str">
        <f>VLOOKUP(F1761,DATABASE!C:P,11,false)</f>
        <v>#N/A</v>
      </c>
      <c r="T1761" s="93" t="str">
        <f>vlookup(F1761,DATABASE!C:Q,8,false)</f>
        <v>#N/A</v>
      </c>
      <c r="Z1761" s="9"/>
    </row>
    <row r="1762" ht="22.5" customHeight="1">
      <c r="A1762" s="49"/>
      <c r="C1762" s="384"/>
      <c r="D1762" s="93"/>
      <c r="F1762" s="74"/>
      <c r="H1762" s="74"/>
      <c r="I1762" s="74"/>
      <c r="J1762" s="74"/>
      <c r="K1762" s="74" t="str">
        <f>if(F1762="SERVICE",O1762-(O1762*50%),Vlookup(F1762,DATABASE!C:Q,10,false)*G1762)</f>
        <v>#N/A</v>
      </c>
      <c r="L1762" s="74" t="str">
        <f>VLOOKUP(F1762,DATABASE!C:Q,7,FALSE)</f>
        <v>#N/A</v>
      </c>
      <c r="M1762" s="74"/>
      <c r="N1762" s="74">
        <f t="shared" si="11"/>
        <v>0</v>
      </c>
      <c r="O1762" s="74">
        <f t="shared" si="13"/>
        <v>0</v>
      </c>
      <c r="P1762" s="63">
        <f t="shared" si="14"/>
        <v>0</v>
      </c>
      <c r="Q1762" s="63" t="str">
        <f t="shared" si="15"/>
        <v>#N/A</v>
      </c>
      <c r="R1762" s="93" t="str">
        <f>VLOOKUP(F1762,DATABASE!C:Q,4,false)</f>
        <v>#N/A</v>
      </c>
      <c r="S1762" s="93" t="str">
        <f>VLOOKUP(F1762,DATABASE!C:P,11,false)</f>
        <v>#N/A</v>
      </c>
      <c r="T1762" s="93" t="str">
        <f>vlookup(F1762,DATABASE!C:Q,8,false)</f>
        <v>#N/A</v>
      </c>
      <c r="Z1762" s="9"/>
    </row>
    <row r="1763" ht="22.5" customHeight="1">
      <c r="A1763" s="49"/>
      <c r="C1763" s="384"/>
      <c r="D1763" s="93"/>
      <c r="F1763" s="74"/>
      <c r="H1763" s="74"/>
      <c r="I1763" s="74"/>
      <c r="J1763" s="74"/>
      <c r="K1763" s="74" t="str">
        <f>if(F1763="SERVICE",O1763-(O1763*50%),Vlookup(F1763,DATABASE!C:Q,10,false)*G1763)</f>
        <v>#N/A</v>
      </c>
      <c r="L1763" s="74" t="str">
        <f>VLOOKUP(F1763,DATABASE!C:Q,7,FALSE)</f>
        <v>#N/A</v>
      </c>
      <c r="M1763" s="74"/>
      <c r="N1763" s="74">
        <f t="shared" si="11"/>
        <v>0</v>
      </c>
      <c r="O1763" s="74">
        <f t="shared" si="13"/>
        <v>0</v>
      </c>
      <c r="P1763" s="63">
        <f t="shared" si="14"/>
        <v>0</v>
      </c>
      <c r="Q1763" s="63" t="str">
        <f t="shared" si="15"/>
        <v>#N/A</v>
      </c>
      <c r="R1763" s="93" t="str">
        <f>VLOOKUP(F1763,DATABASE!C:Q,4,false)</f>
        <v>#N/A</v>
      </c>
      <c r="S1763" s="93" t="str">
        <f>VLOOKUP(F1763,DATABASE!C:P,11,false)</f>
        <v>#N/A</v>
      </c>
      <c r="T1763" s="93" t="str">
        <f>vlookup(F1763,DATABASE!C:Q,8,false)</f>
        <v>#N/A</v>
      </c>
      <c r="Z1763" s="9"/>
    </row>
    <row r="1764" ht="22.5" customHeight="1">
      <c r="A1764" s="49"/>
      <c r="C1764" s="384"/>
      <c r="D1764" s="93"/>
      <c r="F1764" s="74"/>
      <c r="H1764" s="74"/>
      <c r="I1764" s="74"/>
      <c r="J1764" s="74"/>
      <c r="K1764" s="74" t="str">
        <f>if(F1764="SERVICE",O1764-(O1764*50%),Vlookup(F1764,DATABASE!C:Q,10,false)*G1764)</f>
        <v>#N/A</v>
      </c>
      <c r="L1764" s="74" t="str">
        <f>VLOOKUP(F1764,DATABASE!C:Q,7,FALSE)</f>
        <v>#N/A</v>
      </c>
      <c r="M1764" s="74"/>
      <c r="N1764" s="74">
        <f t="shared" si="11"/>
        <v>0</v>
      </c>
      <c r="O1764" s="74">
        <f t="shared" si="13"/>
        <v>0</v>
      </c>
      <c r="P1764" s="63">
        <f t="shared" si="14"/>
        <v>0</v>
      </c>
      <c r="Q1764" s="63" t="str">
        <f t="shared" si="15"/>
        <v>#N/A</v>
      </c>
      <c r="R1764" s="93" t="str">
        <f>VLOOKUP(F1764,DATABASE!C:Q,4,false)</f>
        <v>#N/A</v>
      </c>
      <c r="S1764" s="93" t="str">
        <f>VLOOKUP(F1764,DATABASE!C:P,11,false)</f>
        <v>#N/A</v>
      </c>
      <c r="T1764" s="93" t="str">
        <f>vlookup(F1764,DATABASE!C:Q,8,false)</f>
        <v>#N/A</v>
      </c>
      <c r="Z1764" s="9"/>
    </row>
    <row r="1765" ht="22.5" customHeight="1">
      <c r="A1765" s="49"/>
      <c r="C1765" s="384"/>
      <c r="D1765" s="93"/>
      <c r="F1765" s="74"/>
      <c r="H1765" s="74"/>
      <c r="I1765" s="74"/>
      <c r="J1765" s="74"/>
      <c r="K1765" s="74" t="str">
        <f>if(F1765="SERVICE",O1765-(O1765*50%),Vlookup(F1765,DATABASE!C:Q,10,false)*G1765)</f>
        <v>#N/A</v>
      </c>
      <c r="L1765" s="74" t="str">
        <f>VLOOKUP(F1765,DATABASE!C:Q,7,FALSE)</f>
        <v>#N/A</v>
      </c>
      <c r="M1765" s="74"/>
      <c r="N1765" s="74">
        <f t="shared" si="11"/>
        <v>0</v>
      </c>
      <c r="O1765" s="74">
        <f t="shared" si="13"/>
        <v>0</v>
      </c>
      <c r="P1765" s="63">
        <f t="shared" si="14"/>
        <v>0</v>
      </c>
      <c r="Q1765" s="63" t="str">
        <f t="shared" si="15"/>
        <v>#N/A</v>
      </c>
      <c r="R1765" s="93" t="str">
        <f>VLOOKUP(F1765,DATABASE!C:Q,4,false)</f>
        <v>#N/A</v>
      </c>
      <c r="S1765" s="93" t="str">
        <f>VLOOKUP(F1765,DATABASE!C:P,11,false)</f>
        <v>#N/A</v>
      </c>
      <c r="T1765" s="93" t="str">
        <f>vlookup(F1765,DATABASE!C:Q,8,false)</f>
        <v>#N/A</v>
      </c>
      <c r="Z1765" s="9"/>
    </row>
    <row r="1766" ht="22.5" customHeight="1">
      <c r="A1766" s="49"/>
      <c r="C1766" s="384"/>
      <c r="D1766" s="93"/>
      <c r="F1766" s="74"/>
      <c r="H1766" s="74"/>
      <c r="I1766" s="74"/>
      <c r="J1766" s="74"/>
      <c r="K1766" s="74" t="str">
        <f>if(F1766="SERVICE",O1766-(O1766*50%),Vlookup(F1766,DATABASE!C:Q,10,false)*G1766)</f>
        <v>#N/A</v>
      </c>
      <c r="L1766" s="74" t="str">
        <f>VLOOKUP(F1766,DATABASE!C:Q,7,FALSE)</f>
        <v>#N/A</v>
      </c>
      <c r="M1766" s="74"/>
      <c r="N1766" s="74">
        <f t="shared" si="11"/>
        <v>0</v>
      </c>
      <c r="O1766" s="74">
        <f t="shared" si="13"/>
        <v>0</v>
      </c>
      <c r="P1766" s="63">
        <f t="shared" si="14"/>
        <v>0</v>
      </c>
      <c r="Q1766" s="63" t="str">
        <f t="shared" si="15"/>
        <v>#N/A</v>
      </c>
      <c r="R1766" s="93" t="str">
        <f>VLOOKUP(F1766,DATABASE!C:Q,4,false)</f>
        <v>#N/A</v>
      </c>
      <c r="S1766" s="93" t="str">
        <f>VLOOKUP(F1766,DATABASE!C:P,11,false)</f>
        <v>#N/A</v>
      </c>
      <c r="T1766" s="93" t="str">
        <f>vlookup(F1766,DATABASE!C:Q,8,false)</f>
        <v>#N/A</v>
      </c>
      <c r="Z1766" s="9"/>
    </row>
    <row r="1767" ht="22.5" customHeight="1">
      <c r="A1767" s="49"/>
      <c r="C1767" s="384"/>
      <c r="D1767" s="93"/>
      <c r="F1767" s="74"/>
      <c r="H1767" s="74"/>
      <c r="I1767" s="74"/>
      <c r="J1767" s="74"/>
      <c r="K1767" s="74" t="str">
        <f>if(F1767="SERVICE",O1767-(O1767*50%),Vlookup(F1767,DATABASE!C:Q,10,false)*G1767)</f>
        <v>#N/A</v>
      </c>
      <c r="L1767" s="74" t="str">
        <f>VLOOKUP(F1767,DATABASE!C:Q,7,FALSE)</f>
        <v>#N/A</v>
      </c>
      <c r="M1767" s="74"/>
      <c r="N1767" s="74">
        <f t="shared" si="11"/>
        <v>0</v>
      </c>
      <c r="O1767" s="74">
        <f t="shared" si="13"/>
        <v>0</v>
      </c>
      <c r="P1767" s="63">
        <f t="shared" si="14"/>
        <v>0</v>
      </c>
      <c r="Q1767" s="63" t="str">
        <f t="shared" si="15"/>
        <v>#N/A</v>
      </c>
      <c r="R1767" s="93" t="str">
        <f>VLOOKUP(F1767,DATABASE!C:Q,4,false)</f>
        <v>#N/A</v>
      </c>
      <c r="S1767" s="93" t="str">
        <f>VLOOKUP(F1767,DATABASE!C:P,11,false)</f>
        <v>#N/A</v>
      </c>
      <c r="T1767" s="93" t="str">
        <f>vlookup(F1767,DATABASE!C:Q,8,false)</f>
        <v>#N/A</v>
      </c>
      <c r="Z1767" s="9"/>
    </row>
    <row r="1768" ht="22.5" customHeight="1">
      <c r="A1768" s="49"/>
      <c r="C1768" s="384"/>
      <c r="D1768" s="93"/>
      <c r="F1768" s="74"/>
      <c r="H1768" s="74"/>
      <c r="I1768" s="74"/>
      <c r="J1768" s="74"/>
      <c r="K1768" s="74" t="str">
        <f>if(F1768="SERVICE",O1768-(O1768*50%),Vlookup(F1768,DATABASE!C:Q,10,false)*G1768)</f>
        <v>#N/A</v>
      </c>
      <c r="L1768" s="74" t="str">
        <f>VLOOKUP(F1768,DATABASE!C:Q,7,FALSE)</f>
        <v>#N/A</v>
      </c>
      <c r="M1768" s="74"/>
      <c r="N1768" s="74">
        <f t="shared" si="11"/>
        <v>0</v>
      </c>
      <c r="O1768" s="74">
        <f t="shared" si="13"/>
        <v>0</v>
      </c>
      <c r="P1768" s="63">
        <f t="shared" si="14"/>
        <v>0</v>
      </c>
      <c r="Q1768" s="63" t="str">
        <f t="shared" si="15"/>
        <v>#N/A</v>
      </c>
      <c r="R1768" s="93" t="str">
        <f>VLOOKUP(F1768,DATABASE!C:Q,4,false)</f>
        <v>#N/A</v>
      </c>
      <c r="S1768" s="93" t="str">
        <f>VLOOKUP(F1768,DATABASE!C:P,11,false)</f>
        <v>#N/A</v>
      </c>
      <c r="T1768" s="93" t="str">
        <f>vlookup(F1768,DATABASE!C:Q,8,false)</f>
        <v>#N/A</v>
      </c>
      <c r="Z1768" s="9"/>
    </row>
    <row r="1769" ht="22.5" customHeight="1">
      <c r="A1769" s="49"/>
      <c r="C1769" s="384"/>
      <c r="D1769" s="93"/>
      <c r="F1769" s="74"/>
      <c r="H1769" s="74"/>
      <c r="I1769" s="74"/>
      <c r="J1769" s="74"/>
      <c r="K1769" s="74" t="str">
        <f>if(F1769="SERVICE",O1769-(O1769*50%),Vlookup(F1769,DATABASE!C:Q,10,false)*G1769)</f>
        <v>#N/A</v>
      </c>
      <c r="L1769" s="74" t="str">
        <f>VLOOKUP(F1769,DATABASE!C:Q,7,FALSE)</f>
        <v>#N/A</v>
      </c>
      <c r="M1769" s="74"/>
      <c r="N1769" s="74">
        <f t="shared" si="11"/>
        <v>0</v>
      </c>
      <c r="O1769" s="74">
        <f t="shared" si="13"/>
        <v>0</v>
      </c>
      <c r="P1769" s="63">
        <f t="shared" si="14"/>
        <v>0</v>
      </c>
      <c r="Q1769" s="63" t="str">
        <f t="shared" si="15"/>
        <v>#N/A</v>
      </c>
      <c r="R1769" s="93" t="str">
        <f>VLOOKUP(F1769,DATABASE!C:Q,4,false)</f>
        <v>#N/A</v>
      </c>
      <c r="S1769" s="93" t="str">
        <f>VLOOKUP(F1769,DATABASE!C:P,11,false)</f>
        <v>#N/A</v>
      </c>
      <c r="T1769" s="93" t="str">
        <f>vlookup(F1769,DATABASE!C:Q,8,false)</f>
        <v>#N/A</v>
      </c>
      <c r="Z1769" s="9"/>
    </row>
    <row r="1770" ht="22.5" customHeight="1">
      <c r="A1770" s="49"/>
      <c r="C1770" s="384"/>
      <c r="D1770" s="93"/>
      <c r="F1770" s="74"/>
      <c r="H1770" s="74"/>
      <c r="I1770" s="74"/>
      <c r="J1770" s="74"/>
      <c r="K1770" s="74" t="str">
        <f>if(F1770="SERVICE",O1770-(O1770*50%),Vlookup(F1770,DATABASE!C:Q,10,false)*G1770)</f>
        <v>#N/A</v>
      </c>
      <c r="L1770" s="74" t="str">
        <f>VLOOKUP(F1770,DATABASE!C:Q,7,FALSE)</f>
        <v>#N/A</v>
      </c>
      <c r="M1770" s="74"/>
      <c r="N1770" s="74">
        <f t="shared" si="11"/>
        <v>0</v>
      </c>
      <c r="O1770" s="74">
        <f t="shared" si="13"/>
        <v>0</v>
      </c>
      <c r="P1770" s="63">
        <f t="shared" si="14"/>
        <v>0</v>
      </c>
      <c r="Q1770" s="63" t="str">
        <f t="shared" si="15"/>
        <v>#N/A</v>
      </c>
      <c r="R1770" s="93" t="str">
        <f>VLOOKUP(F1770,DATABASE!C:Q,4,false)</f>
        <v>#N/A</v>
      </c>
      <c r="S1770" s="93" t="str">
        <f>VLOOKUP(F1770,DATABASE!C:P,11,false)</f>
        <v>#N/A</v>
      </c>
      <c r="T1770" s="93" t="str">
        <f>vlookup(F1770,DATABASE!C:Q,8,false)</f>
        <v>#N/A</v>
      </c>
      <c r="Z1770" s="9"/>
    </row>
    <row r="1771" ht="22.5" customHeight="1">
      <c r="A1771" s="49"/>
      <c r="C1771" s="384"/>
      <c r="D1771" s="93"/>
      <c r="F1771" s="74"/>
      <c r="H1771" s="74"/>
      <c r="I1771" s="74"/>
      <c r="J1771" s="74"/>
      <c r="K1771" s="74" t="str">
        <f>if(F1771="SERVICE",O1771-(O1771*50%),Vlookup(F1771,DATABASE!C:Q,10,false)*G1771)</f>
        <v>#N/A</v>
      </c>
      <c r="L1771" s="74" t="str">
        <f>VLOOKUP(F1771,DATABASE!C:Q,7,FALSE)</f>
        <v>#N/A</v>
      </c>
      <c r="M1771" s="74"/>
      <c r="N1771" s="74">
        <f t="shared" si="11"/>
        <v>0</v>
      </c>
      <c r="O1771" s="74">
        <f t="shared" si="13"/>
        <v>0</v>
      </c>
      <c r="P1771" s="63">
        <f t="shared" si="14"/>
        <v>0</v>
      </c>
      <c r="Q1771" s="63" t="str">
        <f t="shared" si="15"/>
        <v>#N/A</v>
      </c>
      <c r="R1771" s="93" t="str">
        <f>VLOOKUP(F1771,DATABASE!C:Q,4,false)</f>
        <v>#N/A</v>
      </c>
      <c r="S1771" s="93" t="str">
        <f>VLOOKUP(F1771,DATABASE!C:P,11,false)</f>
        <v>#N/A</v>
      </c>
      <c r="T1771" s="93" t="str">
        <f>vlookup(F1771,DATABASE!C:Q,8,false)</f>
        <v>#N/A</v>
      </c>
      <c r="Z1771" s="9"/>
    </row>
    <row r="1772" ht="22.5" customHeight="1">
      <c r="A1772" s="49"/>
      <c r="C1772" s="384"/>
      <c r="D1772" s="93"/>
      <c r="F1772" s="74"/>
      <c r="H1772" s="74"/>
      <c r="I1772" s="74"/>
      <c r="J1772" s="74"/>
      <c r="K1772" s="74" t="str">
        <f>if(F1772="SERVICE",O1772-(O1772*50%),Vlookup(F1772,DATABASE!C:Q,10,false)*G1772)</f>
        <v>#N/A</v>
      </c>
      <c r="L1772" s="74" t="str">
        <f>VLOOKUP(F1772,DATABASE!C:Q,7,FALSE)</f>
        <v>#N/A</v>
      </c>
      <c r="M1772" s="74"/>
      <c r="N1772" s="74">
        <f t="shared" si="11"/>
        <v>0</v>
      </c>
      <c r="O1772" s="74">
        <f t="shared" si="13"/>
        <v>0</v>
      </c>
      <c r="P1772" s="63">
        <f t="shared" si="14"/>
        <v>0</v>
      </c>
      <c r="Q1772" s="63" t="str">
        <f t="shared" si="15"/>
        <v>#N/A</v>
      </c>
      <c r="R1772" s="93" t="str">
        <f>VLOOKUP(F1772,DATABASE!C:Q,4,false)</f>
        <v>#N/A</v>
      </c>
      <c r="S1772" s="93" t="str">
        <f>VLOOKUP(F1772,DATABASE!C:P,11,false)</f>
        <v>#N/A</v>
      </c>
      <c r="T1772" s="93" t="str">
        <f>vlookup(F1772,DATABASE!C:Q,8,false)</f>
        <v>#N/A</v>
      </c>
      <c r="Z1772" s="9"/>
    </row>
    <row r="1773" ht="22.5" customHeight="1">
      <c r="A1773" s="49"/>
      <c r="C1773" s="384"/>
      <c r="D1773" s="93"/>
      <c r="F1773" s="74"/>
      <c r="H1773" s="74"/>
      <c r="I1773" s="74"/>
      <c r="J1773" s="74"/>
      <c r="K1773" s="74" t="str">
        <f>if(F1773="SERVICE",O1773-(O1773*50%),Vlookup(F1773,DATABASE!C:Q,10,false)*G1773)</f>
        <v>#N/A</v>
      </c>
      <c r="L1773" s="74" t="str">
        <f>VLOOKUP(F1773,DATABASE!C:Q,7,FALSE)</f>
        <v>#N/A</v>
      </c>
      <c r="M1773" s="74"/>
      <c r="N1773" s="74">
        <f t="shared" si="11"/>
        <v>0</v>
      </c>
      <c r="O1773" s="74">
        <f t="shared" si="13"/>
        <v>0</v>
      </c>
      <c r="P1773" s="63">
        <f t="shared" si="14"/>
        <v>0</v>
      </c>
      <c r="Q1773" s="63" t="str">
        <f t="shared" si="15"/>
        <v>#N/A</v>
      </c>
      <c r="R1773" s="93" t="str">
        <f>VLOOKUP(F1773,DATABASE!C:Q,4,false)</f>
        <v>#N/A</v>
      </c>
      <c r="S1773" s="93" t="str">
        <f>VLOOKUP(F1773,DATABASE!C:P,11,false)</f>
        <v>#N/A</v>
      </c>
      <c r="T1773" s="93" t="str">
        <f>vlookup(F1773,DATABASE!C:Q,8,false)</f>
        <v>#N/A</v>
      </c>
      <c r="Z1773" s="9"/>
    </row>
    <row r="1774" ht="22.5" customHeight="1">
      <c r="A1774" s="49"/>
      <c r="C1774" s="384"/>
      <c r="D1774" s="93"/>
      <c r="F1774" s="74"/>
      <c r="H1774" s="74"/>
      <c r="I1774" s="74"/>
      <c r="J1774" s="74"/>
      <c r="K1774" s="74" t="str">
        <f>if(F1774="SERVICE",O1774-(O1774*50%),Vlookup(F1774,DATABASE!C:Q,10,false)*G1774)</f>
        <v>#N/A</v>
      </c>
      <c r="L1774" s="74" t="str">
        <f>VLOOKUP(F1774,DATABASE!C:Q,7,FALSE)</f>
        <v>#N/A</v>
      </c>
      <c r="M1774" s="74"/>
      <c r="N1774" s="74">
        <f t="shared" si="11"/>
        <v>0</v>
      </c>
      <c r="O1774" s="74">
        <f t="shared" si="13"/>
        <v>0</v>
      </c>
      <c r="P1774" s="63">
        <f t="shared" si="14"/>
        <v>0</v>
      </c>
      <c r="Q1774" s="63" t="str">
        <f t="shared" si="15"/>
        <v>#N/A</v>
      </c>
      <c r="R1774" s="93" t="str">
        <f>VLOOKUP(F1774,DATABASE!C:Q,4,false)</f>
        <v>#N/A</v>
      </c>
      <c r="S1774" s="93" t="str">
        <f>VLOOKUP(F1774,DATABASE!C:P,11,false)</f>
        <v>#N/A</v>
      </c>
      <c r="T1774" s="93" t="str">
        <f>vlookup(F1774,DATABASE!C:Q,8,false)</f>
        <v>#N/A</v>
      </c>
      <c r="Z1774" s="9"/>
    </row>
    <row r="1775" ht="22.5" customHeight="1">
      <c r="A1775" s="49"/>
      <c r="C1775" s="384"/>
      <c r="D1775" s="93"/>
      <c r="F1775" s="74"/>
      <c r="H1775" s="74"/>
      <c r="I1775" s="74"/>
      <c r="J1775" s="74"/>
      <c r="K1775" s="74" t="str">
        <f>if(F1775="SERVICE",O1775-(O1775*50%),Vlookup(F1775,DATABASE!C:Q,10,false)*G1775)</f>
        <v>#N/A</v>
      </c>
      <c r="L1775" s="74" t="str">
        <f>VLOOKUP(F1775,DATABASE!C:Q,7,FALSE)</f>
        <v>#N/A</v>
      </c>
      <c r="M1775" s="74"/>
      <c r="N1775" s="74">
        <f t="shared" si="11"/>
        <v>0</v>
      </c>
      <c r="O1775" s="74">
        <f t="shared" si="13"/>
        <v>0</v>
      </c>
      <c r="P1775" s="63">
        <f t="shared" si="14"/>
        <v>0</v>
      </c>
      <c r="Q1775" s="63" t="str">
        <f t="shared" si="15"/>
        <v>#N/A</v>
      </c>
      <c r="R1775" s="93" t="str">
        <f>VLOOKUP(F1775,DATABASE!C:Q,4,false)</f>
        <v>#N/A</v>
      </c>
      <c r="S1775" s="93" t="str">
        <f>VLOOKUP(F1775,DATABASE!C:P,11,false)</f>
        <v>#N/A</v>
      </c>
      <c r="T1775" s="93" t="str">
        <f>vlookup(F1775,DATABASE!C:Q,8,false)</f>
        <v>#N/A</v>
      </c>
      <c r="Z1775" s="9"/>
    </row>
    <row r="1776" ht="22.5" customHeight="1">
      <c r="A1776" s="49"/>
      <c r="C1776" s="384"/>
      <c r="D1776" s="93"/>
      <c r="F1776" s="74"/>
      <c r="H1776" s="74"/>
      <c r="I1776" s="74"/>
      <c r="J1776" s="74"/>
      <c r="K1776" s="74" t="str">
        <f>if(F1776="SERVICE",O1776-(O1776*50%),Vlookup(F1776,DATABASE!C:Q,10,false)*G1776)</f>
        <v>#N/A</v>
      </c>
      <c r="L1776" s="74" t="str">
        <f>VLOOKUP(F1776,DATABASE!C:Q,7,FALSE)</f>
        <v>#N/A</v>
      </c>
      <c r="M1776" s="74"/>
      <c r="N1776" s="74">
        <f t="shared" si="11"/>
        <v>0</v>
      </c>
      <c r="O1776" s="74">
        <f t="shared" si="13"/>
        <v>0</v>
      </c>
      <c r="P1776" s="63">
        <f t="shared" si="14"/>
        <v>0</v>
      </c>
      <c r="Q1776" s="63" t="str">
        <f t="shared" si="15"/>
        <v>#N/A</v>
      </c>
      <c r="R1776" s="93" t="str">
        <f>VLOOKUP(F1776,DATABASE!C:Q,4,false)</f>
        <v>#N/A</v>
      </c>
      <c r="S1776" s="93" t="str">
        <f>VLOOKUP(F1776,DATABASE!C:P,11,false)</f>
        <v>#N/A</v>
      </c>
      <c r="T1776" s="93" t="str">
        <f>vlookup(F1776,DATABASE!C:Q,8,false)</f>
        <v>#N/A</v>
      </c>
      <c r="Z1776" s="9"/>
    </row>
    <row r="1777" ht="22.5" customHeight="1">
      <c r="A1777" s="49"/>
      <c r="C1777" s="384"/>
      <c r="D1777" s="93"/>
      <c r="F1777" s="74"/>
      <c r="H1777" s="74"/>
      <c r="I1777" s="74"/>
      <c r="J1777" s="74"/>
      <c r="K1777" s="74" t="str">
        <f>if(F1777="SERVICE",O1777-(O1777*50%),Vlookup(F1777,DATABASE!C:Q,10,false)*G1777)</f>
        <v>#N/A</v>
      </c>
      <c r="L1777" s="74" t="str">
        <f>VLOOKUP(F1777,DATABASE!C:Q,7,FALSE)</f>
        <v>#N/A</v>
      </c>
      <c r="M1777" s="74"/>
      <c r="N1777" s="74">
        <f t="shared" si="11"/>
        <v>0</v>
      </c>
      <c r="O1777" s="74">
        <f t="shared" si="13"/>
        <v>0</v>
      </c>
      <c r="P1777" s="63">
        <f t="shared" si="14"/>
        <v>0</v>
      </c>
      <c r="Q1777" s="63" t="str">
        <f t="shared" si="15"/>
        <v>#N/A</v>
      </c>
      <c r="R1777" s="93" t="str">
        <f>VLOOKUP(F1777,DATABASE!C:Q,4,false)</f>
        <v>#N/A</v>
      </c>
      <c r="S1777" s="93" t="str">
        <f>VLOOKUP(F1777,DATABASE!C:P,11,false)</f>
        <v>#N/A</v>
      </c>
      <c r="T1777" s="93" t="str">
        <f>vlookup(F1777,DATABASE!C:Q,8,false)</f>
        <v>#N/A</v>
      </c>
      <c r="Z1777" s="9"/>
    </row>
    <row r="1778" ht="22.5" customHeight="1">
      <c r="A1778" s="49"/>
      <c r="C1778" s="384"/>
      <c r="D1778" s="93"/>
      <c r="F1778" s="74"/>
      <c r="H1778" s="74"/>
      <c r="I1778" s="74"/>
      <c r="J1778" s="74"/>
      <c r="K1778" s="74" t="str">
        <f>if(F1778="SERVICE",O1778-(O1778*50%),Vlookup(F1778,DATABASE!C:Q,10,false)*G1778)</f>
        <v>#N/A</v>
      </c>
      <c r="L1778" s="74" t="str">
        <f>VLOOKUP(F1778,DATABASE!C:Q,7,FALSE)</f>
        <v>#N/A</v>
      </c>
      <c r="M1778" s="74"/>
      <c r="N1778" s="74">
        <f t="shared" si="11"/>
        <v>0</v>
      </c>
      <c r="O1778" s="74">
        <f t="shared" si="13"/>
        <v>0</v>
      </c>
      <c r="P1778" s="63">
        <f t="shared" si="14"/>
        <v>0</v>
      </c>
      <c r="Q1778" s="63" t="str">
        <f t="shared" si="15"/>
        <v>#N/A</v>
      </c>
      <c r="R1778" s="93" t="str">
        <f>VLOOKUP(F1778,DATABASE!C:Q,4,false)</f>
        <v>#N/A</v>
      </c>
      <c r="S1778" s="93" t="str">
        <f>VLOOKUP(F1778,DATABASE!C:P,11,false)</f>
        <v>#N/A</v>
      </c>
      <c r="T1778" s="93" t="str">
        <f>vlookup(F1778,DATABASE!C:Q,8,false)</f>
        <v>#N/A</v>
      </c>
      <c r="Z1778" s="9"/>
    </row>
    <row r="1779" ht="22.5" customHeight="1">
      <c r="A1779" s="49"/>
      <c r="C1779" s="384"/>
      <c r="D1779" s="93"/>
      <c r="F1779" s="74"/>
      <c r="H1779" s="74"/>
      <c r="I1779" s="74"/>
      <c r="J1779" s="74"/>
      <c r="K1779" s="74" t="str">
        <f>if(F1779="SERVICE",O1779-(O1779*50%),Vlookup(F1779,DATABASE!C:Q,10,false)*G1779)</f>
        <v>#N/A</v>
      </c>
      <c r="L1779" s="74" t="str">
        <f>VLOOKUP(F1779,DATABASE!C:Q,7,FALSE)</f>
        <v>#N/A</v>
      </c>
      <c r="M1779" s="74"/>
      <c r="N1779" s="74">
        <f t="shared" si="11"/>
        <v>0</v>
      </c>
      <c r="O1779" s="74">
        <f t="shared" si="13"/>
        <v>0</v>
      </c>
      <c r="P1779" s="63">
        <f t="shared" si="14"/>
        <v>0</v>
      </c>
      <c r="Q1779" s="63" t="str">
        <f t="shared" si="15"/>
        <v>#N/A</v>
      </c>
      <c r="R1779" s="93" t="str">
        <f>VLOOKUP(F1779,DATABASE!C:Q,4,false)</f>
        <v>#N/A</v>
      </c>
      <c r="S1779" s="93" t="str">
        <f>VLOOKUP(F1779,DATABASE!C:P,11,false)</f>
        <v>#N/A</v>
      </c>
      <c r="T1779" s="93" t="str">
        <f>vlookup(F1779,DATABASE!C:Q,8,false)</f>
        <v>#N/A</v>
      </c>
      <c r="Z1779" s="9"/>
    </row>
    <row r="1780" ht="22.5" customHeight="1">
      <c r="A1780" s="49"/>
      <c r="C1780" s="384"/>
      <c r="D1780" s="93"/>
      <c r="F1780" s="74"/>
      <c r="H1780" s="74"/>
      <c r="I1780" s="74"/>
      <c r="J1780" s="74"/>
      <c r="K1780" s="74" t="str">
        <f>if(F1780="SERVICE",O1780-(O1780*50%),Vlookup(F1780,DATABASE!C:Q,10,false)*G1780)</f>
        <v>#N/A</v>
      </c>
      <c r="L1780" s="74" t="str">
        <f>VLOOKUP(F1780,DATABASE!C:Q,7,FALSE)</f>
        <v>#N/A</v>
      </c>
      <c r="M1780" s="74"/>
      <c r="N1780" s="74">
        <f t="shared" si="11"/>
        <v>0</v>
      </c>
      <c r="O1780" s="74">
        <f t="shared" si="13"/>
        <v>0</v>
      </c>
      <c r="P1780" s="63">
        <f t="shared" si="14"/>
        <v>0</v>
      </c>
      <c r="Q1780" s="63" t="str">
        <f t="shared" si="15"/>
        <v>#N/A</v>
      </c>
      <c r="R1780" s="93" t="str">
        <f>VLOOKUP(F1780,DATABASE!C:Q,4,false)</f>
        <v>#N/A</v>
      </c>
      <c r="S1780" s="93" t="str">
        <f>VLOOKUP(F1780,DATABASE!C:P,11,false)</f>
        <v>#N/A</v>
      </c>
      <c r="T1780" s="93" t="str">
        <f>vlookup(F1780,DATABASE!C:Q,8,false)</f>
        <v>#N/A</v>
      </c>
      <c r="Z1780" s="9"/>
    </row>
    <row r="1781" ht="22.5" customHeight="1">
      <c r="A1781" s="49"/>
      <c r="C1781" s="384"/>
      <c r="D1781" s="93"/>
      <c r="F1781" s="74"/>
      <c r="H1781" s="74"/>
      <c r="I1781" s="74"/>
      <c r="J1781" s="74"/>
      <c r="K1781" s="74" t="str">
        <f>if(F1781="SERVICE",O1781-(O1781*50%),Vlookup(F1781,DATABASE!C:Q,10,false)*G1781)</f>
        <v>#N/A</v>
      </c>
      <c r="L1781" s="74" t="str">
        <f>VLOOKUP(F1781,DATABASE!C:Q,7,FALSE)</f>
        <v>#N/A</v>
      </c>
      <c r="M1781" s="74"/>
      <c r="N1781" s="74">
        <f t="shared" si="11"/>
        <v>0</v>
      </c>
      <c r="O1781" s="74">
        <f t="shared" si="13"/>
        <v>0</v>
      </c>
      <c r="P1781" s="63">
        <f t="shared" si="14"/>
        <v>0</v>
      </c>
      <c r="Q1781" s="63" t="str">
        <f t="shared" si="15"/>
        <v>#N/A</v>
      </c>
      <c r="R1781" s="93" t="str">
        <f>VLOOKUP(F1781,DATABASE!C:Q,4,false)</f>
        <v>#N/A</v>
      </c>
      <c r="S1781" s="93" t="str">
        <f>VLOOKUP(F1781,DATABASE!C:P,11,false)</f>
        <v>#N/A</v>
      </c>
      <c r="T1781" s="93" t="str">
        <f>vlookup(F1781,DATABASE!C:Q,8,false)</f>
        <v>#N/A</v>
      </c>
      <c r="Z1781" s="9"/>
    </row>
    <row r="1782" ht="22.5" customHeight="1">
      <c r="A1782" s="49"/>
      <c r="C1782" s="384"/>
      <c r="D1782" s="93"/>
      <c r="F1782" s="74"/>
      <c r="H1782" s="74"/>
      <c r="I1782" s="74"/>
      <c r="J1782" s="74"/>
      <c r="K1782" s="74" t="str">
        <f>if(F1782="SERVICE",O1782-(O1782*50%),Vlookup(F1782,DATABASE!C:Q,10,false)*G1782)</f>
        <v>#N/A</v>
      </c>
      <c r="L1782" s="74" t="str">
        <f>VLOOKUP(F1782,DATABASE!C:Q,7,FALSE)</f>
        <v>#N/A</v>
      </c>
      <c r="M1782" s="74"/>
      <c r="N1782" s="74">
        <f t="shared" si="11"/>
        <v>0</v>
      </c>
      <c r="O1782" s="74">
        <f t="shared" si="13"/>
        <v>0</v>
      </c>
      <c r="P1782" s="63">
        <f t="shared" si="14"/>
        <v>0</v>
      </c>
      <c r="Q1782" s="63" t="str">
        <f t="shared" si="15"/>
        <v>#N/A</v>
      </c>
      <c r="R1782" s="93" t="str">
        <f>VLOOKUP(F1782,DATABASE!C:Q,4,false)</f>
        <v>#N/A</v>
      </c>
      <c r="S1782" s="93" t="str">
        <f>VLOOKUP(F1782,DATABASE!C:P,11,false)</f>
        <v>#N/A</v>
      </c>
      <c r="T1782" s="93" t="str">
        <f>vlookup(F1782,DATABASE!C:Q,8,false)</f>
        <v>#N/A</v>
      </c>
      <c r="Z1782" s="9"/>
    </row>
    <row r="1783" ht="22.5" customHeight="1">
      <c r="A1783" s="49"/>
      <c r="C1783" s="384"/>
      <c r="D1783" s="93"/>
      <c r="F1783" s="74"/>
      <c r="H1783" s="74"/>
      <c r="I1783" s="74"/>
      <c r="J1783" s="74"/>
      <c r="K1783" s="74" t="str">
        <f>if(F1783="SERVICE",O1783-(O1783*50%),Vlookup(F1783,DATABASE!C:Q,10,false)*G1783)</f>
        <v>#N/A</v>
      </c>
      <c r="L1783" s="74" t="str">
        <f>VLOOKUP(F1783,DATABASE!C:Q,7,FALSE)</f>
        <v>#N/A</v>
      </c>
      <c r="M1783" s="74"/>
      <c r="N1783" s="74">
        <f t="shared" si="11"/>
        <v>0</v>
      </c>
      <c r="O1783" s="74">
        <f t="shared" si="13"/>
        <v>0</v>
      </c>
      <c r="P1783" s="63">
        <f t="shared" si="14"/>
        <v>0</v>
      </c>
      <c r="Q1783" s="63" t="str">
        <f t="shared" si="15"/>
        <v>#N/A</v>
      </c>
      <c r="R1783" s="93" t="str">
        <f>VLOOKUP(F1783,DATABASE!C:Q,4,false)</f>
        <v>#N/A</v>
      </c>
      <c r="S1783" s="93" t="str">
        <f>VLOOKUP(F1783,DATABASE!C:P,11,false)</f>
        <v>#N/A</v>
      </c>
      <c r="T1783" s="93" t="str">
        <f>vlookup(F1783,DATABASE!C:Q,8,false)</f>
        <v>#N/A</v>
      </c>
      <c r="Z1783" s="9"/>
    </row>
    <row r="1784" ht="22.5" customHeight="1">
      <c r="A1784" s="49"/>
      <c r="C1784" s="384"/>
      <c r="D1784" s="93"/>
      <c r="F1784" s="74"/>
      <c r="H1784" s="74"/>
      <c r="I1784" s="74"/>
      <c r="J1784" s="74"/>
      <c r="K1784" s="74" t="str">
        <f>if(F1784="SERVICE",O1784-(O1784*50%),Vlookup(F1784,DATABASE!C:Q,10,false)*G1784)</f>
        <v>#N/A</v>
      </c>
      <c r="L1784" s="74" t="str">
        <f>VLOOKUP(F1784,DATABASE!C:Q,7,FALSE)</f>
        <v>#N/A</v>
      </c>
      <c r="M1784" s="74"/>
      <c r="N1784" s="74">
        <f t="shared" si="11"/>
        <v>0</v>
      </c>
      <c r="O1784" s="74">
        <f t="shared" si="13"/>
        <v>0</v>
      </c>
      <c r="P1784" s="63">
        <f t="shared" si="14"/>
        <v>0</v>
      </c>
      <c r="Q1784" s="63" t="str">
        <f t="shared" si="15"/>
        <v>#N/A</v>
      </c>
      <c r="R1784" s="93" t="str">
        <f>VLOOKUP(F1784,DATABASE!C:Q,4,false)</f>
        <v>#N/A</v>
      </c>
      <c r="S1784" s="93" t="str">
        <f>VLOOKUP(F1784,DATABASE!C:P,11,false)</f>
        <v>#N/A</v>
      </c>
      <c r="T1784" s="93" t="str">
        <f>vlookup(F1784,DATABASE!C:Q,8,false)</f>
        <v>#N/A</v>
      </c>
      <c r="Z1784" s="9"/>
    </row>
    <row r="1785" ht="22.5" customHeight="1">
      <c r="A1785" s="49"/>
      <c r="C1785" s="384"/>
      <c r="D1785" s="93"/>
      <c r="F1785" s="74"/>
      <c r="H1785" s="74"/>
      <c r="I1785" s="74"/>
      <c r="J1785" s="74"/>
      <c r="K1785" s="74" t="str">
        <f>if(F1785="SERVICE",O1785-(O1785*50%),Vlookup(F1785,DATABASE!C:Q,10,false)*G1785)</f>
        <v>#N/A</v>
      </c>
      <c r="L1785" s="74" t="str">
        <f>VLOOKUP(F1785,DATABASE!C:Q,7,FALSE)</f>
        <v>#N/A</v>
      </c>
      <c r="M1785" s="74"/>
      <c r="N1785" s="74">
        <f t="shared" si="11"/>
        <v>0</v>
      </c>
      <c r="O1785" s="74">
        <f t="shared" si="13"/>
        <v>0</v>
      </c>
      <c r="P1785" s="63">
        <f t="shared" si="14"/>
        <v>0</v>
      </c>
      <c r="Q1785" s="63" t="str">
        <f t="shared" si="15"/>
        <v>#N/A</v>
      </c>
      <c r="R1785" s="93" t="str">
        <f>VLOOKUP(F1785,DATABASE!C:Q,4,false)</f>
        <v>#N/A</v>
      </c>
      <c r="S1785" s="93" t="str">
        <f>VLOOKUP(F1785,DATABASE!C:P,11,false)</f>
        <v>#N/A</v>
      </c>
      <c r="T1785" s="93" t="str">
        <f>vlookup(F1785,DATABASE!C:Q,8,false)</f>
        <v>#N/A</v>
      </c>
      <c r="Z1785" s="9"/>
    </row>
    <row r="1786" ht="22.5" customHeight="1">
      <c r="A1786" s="49"/>
      <c r="C1786" s="384"/>
      <c r="D1786" s="93"/>
      <c r="F1786" s="74"/>
      <c r="H1786" s="74"/>
      <c r="I1786" s="74"/>
      <c r="J1786" s="74"/>
      <c r="K1786" s="74" t="str">
        <f>if(F1786="SERVICE",O1786-(O1786*50%),Vlookup(F1786,DATABASE!C:Q,10,false)*G1786)</f>
        <v>#N/A</v>
      </c>
      <c r="L1786" s="74" t="str">
        <f>VLOOKUP(F1786,DATABASE!C:Q,7,FALSE)</f>
        <v>#N/A</v>
      </c>
      <c r="M1786" s="74"/>
      <c r="N1786" s="74">
        <f t="shared" si="11"/>
        <v>0</v>
      </c>
      <c r="O1786" s="74">
        <f t="shared" si="13"/>
        <v>0</v>
      </c>
      <c r="P1786" s="63">
        <f t="shared" si="14"/>
        <v>0</v>
      </c>
      <c r="Q1786" s="63" t="str">
        <f t="shared" si="15"/>
        <v>#N/A</v>
      </c>
      <c r="R1786" s="93" t="str">
        <f>VLOOKUP(F1786,DATABASE!C:Q,4,false)</f>
        <v>#N/A</v>
      </c>
      <c r="S1786" s="93" t="str">
        <f>VLOOKUP(F1786,DATABASE!C:P,11,false)</f>
        <v>#N/A</v>
      </c>
      <c r="T1786" s="93" t="str">
        <f>vlookup(F1786,DATABASE!C:Q,8,false)</f>
        <v>#N/A</v>
      </c>
      <c r="Z1786" s="9"/>
    </row>
    <row r="1787" ht="22.5" customHeight="1">
      <c r="A1787" s="49"/>
      <c r="C1787" s="384"/>
      <c r="D1787" s="93"/>
      <c r="F1787" s="74"/>
      <c r="H1787" s="74"/>
      <c r="I1787" s="74"/>
      <c r="J1787" s="74"/>
      <c r="K1787" s="74" t="str">
        <f>if(F1787="SERVICE",O1787-(O1787*50%),Vlookup(F1787,DATABASE!C:Q,10,false)*G1787)</f>
        <v>#N/A</v>
      </c>
      <c r="L1787" s="74" t="str">
        <f>VLOOKUP(F1787,DATABASE!C:Q,7,FALSE)</f>
        <v>#N/A</v>
      </c>
      <c r="M1787" s="74"/>
      <c r="N1787" s="74">
        <f t="shared" si="11"/>
        <v>0</v>
      </c>
      <c r="O1787" s="74">
        <f t="shared" si="13"/>
        <v>0</v>
      </c>
      <c r="P1787" s="63">
        <f t="shared" si="14"/>
        <v>0</v>
      </c>
      <c r="Q1787" s="63" t="str">
        <f t="shared" si="15"/>
        <v>#N/A</v>
      </c>
      <c r="R1787" s="93" t="str">
        <f>VLOOKUP(F1787,DATABASE!C:Q,4,false)</f>
        <v>#N/A</v>
      </c>
      <c r="S1787" s="93" t="str">
        <f>VLOOKUP(F1787,DATABASE!C:P,11,false)</f>
        <v>#N/A</v>
      </c>
      <c r="T1787" s="93" t="str">
        <f>vlookup(F1787,DATABASE!C:Q,8,false)</f>
        <v>#N/A</v>
      </c>
      <c r="Z1787" s="9"/>
    </row>
    <row r="1788" ht="22.5" customHeight="1">
      <c r="A1788" s="49"/>
      <c r="C1788" s="384"/>
      <c r="D1788" s="93"/>
      <c r="F1788" s="74"/>
      <c r="H1788" s="74"/>
      <c r="I1788" s="74"/>
      <c r="J1788" s="74"/>
      <c r="K1788" s="74" t="str">
        <f>if(F1788="SERVICE",O1788-(O1788*50%),Vlookup(F1788,DATABASE!C:Q,10,false)*G1788)</f>
        <v>#N/A</v>
      </c>
      <c r="L1788" s="74" t="str">
        <f>VLOOKUP(F1788,DATABASE!C:Q,7,FALSE)</f>
        <v>#N/A</v>
      </c>
      <c r="M1788" s="74"/>
      <c r="N1788" s="74">
        <f t="shared" si="11"/>
        <v>0</v>
      </c>
      <c r="O1788" s="74">
        <f t="shared" si="13"/>
        <v>0</v>
      </c>
      <c r="P1788" s="63">
        <f t="shared" si="14"/>
        <v>0</v>
      </c>
      <c r="Q1788" s="63" t="str">
        <f t="shared" si="15"/>
        <v>#N/A</v>
      </c>
      <c r="R1788" s="93" t="str">
        <f>VLOOKUP(F1788,DATABASE!C:Q,4,false)</f>
        <v>#N/A</v>
      </c>
      <c r="S1788" s="93" t="str">
        <f>VLOOKUP(F1788,DATABASE!C:P,11,false)</f>
        <v>#N/A</v>
      </c>
      <c r="T1788" s="93" t="str">
        <f>vlookup(F1788,DATABASE!C:Q,8,false)</f>
        <v>#N/A</v>
      </c>
      <c r="Z1788" s="9"/>
    </row>
    <row r="1789" ht="22.5" customHeight="1">
      <c r="A1789" s="49"/>
      <c r="C1789" s="384"/>
      <c r="D1789" s="93"/>
      <c r="F1789" s="74"/>
      <c r="H1789" s="74"/>
      <c r="I1789" s="74"/>
      <c r="J1789" s="74"/>
      <c r="K1789" s="74" t="str">
        <f>if(F1789="SERVICE",O1789-(O1789*50%),Vlookup(F1789,DATABASE!C:Q,10,false)*G1789)</f>
        <v>#N/A</v>
      </c>
      <c r="L1789" s="74" t="str">
        <f>VLOOKUP(F1789,DATABASE!C:Q,7,FALSE)</f>
        <v>#N/A</v>
      </c>
      <c r="M1789" s="74"/>
      <c r="N1789" s="74">
        <f t="shared" si="11"/>
        <v>0</v>
      </c>
      <c r="O1789" s="74">
        <f t="shared" si="13"/>
        <v>0</v>
      </c>
      <c r="P1789" s="63">
        <f t="shared" si="14"/>
        <v>0</v>
      </c>
      <c r="Q1789" s="63" t="str">
        <f t="shared" si="15"/>
        <v>#N/A</v>
      </c>
      <c r="R1789" s="93" t="str">
        <f>VLOOKUP(F1789,DATABASE!C:Q,4,false)</f>
        <v>#N/A</v>
      </c>
      <c r="S1789" s="93" t="str">
        <f>VLOOKUP(F1789,DATABASE!C:P,11,false)</f>
        <v>#N/A</v>
      </c>
      <c r="T1789" s="93" t="str">
        <f>vlookup(F1789,DATABASE!C:Q,8,false)</f>
        <v>#N/A</v>
      </c>
      <c r="Z1789" s="9"/>
    </row>
    <row r="1790" ht="22.5" customHeight="1">
      <c r="A1790" s="49"/>
      <c r="C1790" s="384"/>
      <c r="D1790" s="93"/>
      <c r="F1790" s="74"/>
      <c r="H1790" s="74"/>
      <c r="I1790" s="74"/>
      <c r="J1790" s="74"/>
      <c r="K1790" s="74" t="str">
        <f>if(F1790="SERVICE",O1790-(O1790*50%),Vlookup(F1790,DATABASE!C:Q,10,false)*G1790)</f>
        <v>#N/A</v>
      </c>
      <c r="L1790" s="74" t="str">
        <f>VLOOKUP(F1790,DATABASE!C:Q,7,FALSE)</f>
        <v>#N/A</v>
      </c>
      <c r="M1790" s="74"/>
      <c r="N1790" s="74">
        <f t="shared" si="11"/>
        <v>0</v>
      </c>
      <c r="O1790" s="74">
        <f t="shared" si="13"/>
        <v>0</v>
      </c>
      <c r="P1790" s="63">
        <f t="shared" si="14"/>
        <v>0</v>
      </c>
      <c r="Q1790" s="63" t="str">
        <f t="shared" si="15"/>
        <v>#N/A</v>
      </c>
      <c r="R1790" s="93" t="str">
        <f>VLOOKUP(F1790,DATABASE!C:Q,4,false)</f>
        <v>#N/A</v>
      </c>
      <c r="S1790" s="93" t="str">
        <f>VLOOKUP(F1790,DATABASE!C:P,11,false)</f>
        <v>#N/A</v>
      </c>
      <c r="T1790" s="93" t="str">
        <f>vlookup(F1790,DATABASE!C:Q,8,false)</f>
        <v>#N/A</v>
      </c>
      <c r="Z1790" s="9"/>
    </row>
    <row r="1791" ht="22.5" customHeight="1">
      <c r="A1791" s="49"/>
      <c r="C1791" s="384"/>
      <c r="D1791" s="93"/>
      <c r="F1791" s="74"/>
      <c r="H1791" s="74"/>
      <c r="I1791" s="74"/>
      <c r="J1791" s="74"/>
      <c r="K1791" s="74" t="str">
        <f>if(F1791="SERVICE",O1791-(O1791*50%),Vlookup(F1791,DATABASE!C:Q,10,false)*G1791)</f>
        <v>#N/A</v>
      </c>
      <c r="L1791" s="74" t="str">
        <f>VLOOKUP(F1791,DATABASE!C:Q,7,FALSE)</f>
        <v>#N/A</v>
      </c>
      <c r="M1791" s="74"/>
      <c r="N1791" s="74">
        <f t="shared" si="11"/>
        <v>0</v>
      </c>
      <c r="O1791" s="74">
        <f t="shared" si="13"/>
        <v>0</v>
      </c>
      <c r="P1791" s="63">
        <f t="shared" si="14"/>
        <v>0</v>
      </c>
      <c r="Q1791" s="63" t="str">
        <f t="shared" si="15"/>
        <v>#N/A</v>
      </c>
      <c r="R1791" s="93" t="str">
        <f>VLOOKUP(F1791,DATABASE!C:Q,4,false)</f>
        <v>#N/A</v>
      </c>
      <c r="S1791" s="93" t="str">
        <f>VLOOKUP(F1791,DATABASE!C:P,11,false)</f>
        <v>#N/A</v>
      </c>
      <c r="T1791" s="93" t="str">
        <f>vlookup(F1791,DATABASE!C:Q,8,false)</f>
        <v>#N/A</v>
      </c>
      <c r="Z1791" s="9"/>
    </row>
    <row r="1792" ht="22.5" customHeight="1">
      <c r="A1792" s="49"/>
      <c r="C1792" s="384"/>
      <c r="D1792" s="93"/>
      <c r="F1792" s="74"/>
      <c r="H1792" s="74"/>
      <c r="I1792" s="74"/>
      <c r="J1792" s="74"/>
      <c r="K1792" s="74" t="str">
        <f>if(F1792="SERVICE",O1792-(O1792*50%),Vlookup(F1792,DATABASE!C:Q,10,false)*G1792)</f>
        <v>#N/A</v>
      </c>
      <c r="L1792" s="74" t="str">
        <f>VLOOKUP(F1792,DATABASE!C:Q,7,FALSE)</f>
        <v>#N/A</v>
      </c>
      <c r="M1792" s="74"/>
      <c r="N1792" s="74">
        <f t="shared" si="11"/>
        <v>0</v>
      </c>
      <c r="O1792" s="74">
        <f t="shared" si="13"/>
        <v>0</v>
      </c>
      <c r="P1792" s="63">
        <f t="shared" si="14"/>
        <v>0</v>
      </c>
      <c r="Q1792" s="63" t="str">
        <f t="shared" si="15"/>
        <v>#N/A</v>
      </c>
      <c r="R1792" s="93" t="str">
        <f>VLOOKUP(F1792,DATABASE!C:Q,4,false)</f>
        <v>#N/A</v>
      </c>
      <c r="S1792" s="93" t="str">
        <f>VLOOKUP(F1792,DATABASE!C:P,11,false)</f>
        <v>#N/A</v>
      </c>
      <c r="T1792" s="93" t="str">
        <f>vlookup(F1792,DATABASE!C:Q,8,false)</f>
        <v>#N/A</v>
      </c>
      <c r="Z1792" s="9"/>
    </row>
    <row r="1793" ht="22.5" customHeight="1">
      <c r="A1793" s="49"/>
      <c r="C1793" s="384"/>
      <c r="D1793" s="93"/>
      <c r="F1793" s="74"/>
      <c r="H1793" s="74"/>
      <c r="I1793" s="74"/>
      <c r="J1793" s="74"/>
      <c r="K1793" s="74" t="str">
        <f>if(F1793="SERVICE",O1793-(O1793*50%),Vlookup(F1793,DATABASE!C:Q,10,false)*G1793)</f>
        <v>#N/A</v>
      </c>
      <c r="L1793" s="74" t="str">
        <f>VLOOKUP(F1793,DATABASE!C:Q,7,FALSE)</f>
        <v>#N/A</v>
      </c>
      <c r="M1793" s="74"/>
      <c r="N1793" s="74">
        <f t="shared" si="11"/>
        <v>0</v>
      </c>
      <c r="O1793" s="74">
        <f t="shared" si="13"/>
        <v>0</v>
      </c>
      <c r="P1793" s="63">
        <f t="shared" si="14"/>
        <v>0</v>
      </c>
      <c r="Q1793" s="63" t="str">
        <f t="shared" si="15"/>
        <v>#N/A</v>
      </c>
      <c r="R1793" s="93" t="str">
        <f>VLOOKUP(F1793,DATABASE!C:Q,4,false)</f>
        <v>#N/A</v>
      </c>
      <c r="S1793" s="93" t="str">
        <f>VLOOKUP(F1793,DATABASE!C:P,11,false)</f>
        <v>#N/A</v>
      </c>
      <c r="T1793" s="93" t="str">
        <f>vlookup(F1793,DATABASE!C:Q,8,false)</f>
        <v>#N/A</v>
      </c>
      <c r="Z1793" s="9"/>
    </row>
    <row r="1794" ht="22.5" customHeight="1">
      <c r="A1794" s="49"/>
      <c r="C1794" s="384"/>
      <c r="D1794" s="93"/>
      <c r="F1794" s="74"/>
      <c r="H1794" s="74"/>
      <c r="I1794" s="74"/>
      <c r="J1794" s="74"/>
      <c r="K1794" s="74" t="str">
        <f>if(F1794="SERVICE",O1794-(O1794*50%),Vlookup(F1794,DATABASE!C:Q,10,false)*G1794)</f>
        <v>#N/A</v>
      </c>
      <c r="L1794" s="74" t="str">
        <f>VLOOKUP(F1794,DATABASE!C:Q,7,FALSE)</f>
        <v>#N/A</v>
      </c>
      <c r="M1794" s="74"/>
      <c r="N1794" s="74">
        <f t="shared" si="11"/>
        <v>0</v>
      </c>
      <c r="O1794" s="74">
        <f t="shared" si="13"/>
        <v>0</v>
      </c>
      <c r="P1794" s="63">
        <f t="shared" si="14"/>
        <v>0</v>
      </c>
      <c r="Q1794" s="63" t="str">
        <f t="shared" si="15"/>
        <v>#N/A</v>
      </c>
      <c r="R1794" s="93" t="str">
        <f>VLOOKUP(F1794,DATABASE!C:Q,4,false)</f>
        <v>#N/A</v>
      </c>
      <c r="S1794" s="93" t="str">
        <f>VLOOKUP(F1794,DATABASE!C:P,11,false)</f>
        <v>#N/A</v>
      </c>
      <c r="T1794" s="93" t="str">
        <f>vlookup(F1794,DATABASE!C:Q,8,false)</f>
        <v>#N/A</v>
      </c>
      <c r="Z1794" s="9"/>
    </row>
    <row r="1795" ht="22.5" customHeight="1">
      <c r="A1795" s="49"/>
      <c r="C1795" s="384"/>
      <c r="D1795" s="93"/>
      <c r="F1795" s="74"/>
      <c r="H1795" s="74"/>
      <c r="I1795" s="74"/>
      <c r="J1795" s="74"/>
      <c r="K1795" s="74" t="str">
        <f>if(F1795="SERVICE",O1795-(O1795*50%),Vlookup(F1795,DATABASE!C:Q,10,false)*G1795)</f>
        <v>#N/A</v>
      </c>
      <c r="L1795" s="74" t="str">
        <f>VLOOKUP(F1795,DATABASE!C:Q,7,FALSE)</f>
        <v>#N/A</v>
      </c>
      <c r="M1795" s="74"/>
      <c r="N1795" s="74">
        <f t="shared" si="11"/>
        <v>0</v>
      </c>
      <c r="O1795" s="74">
        <f t="shared" si="13"/>
        <v>0</v>
      </c>
      <c r="P1795" s="63">
        <f t="shared" si="14"/>
        <v>0</v>
      </c>
      <c r="Q1795" s="63" t="str">
        <f t="shared" si="15"/>
        <v>#N/A</v>
      </c>
      <c r="R1795" s="93" t="str">
        <f>VLOOKUP(F1795,DATABASE!C:Q,4,false)</f>
        <v>#N/A</v>
      </c>
      <c r="S1795" s="93" t="str">
        <f>VLOOKUP(F1795,DATABASE!C:P,11,false)</f>
        <v>#N/A</v>
      </c>
      <c r="T1795" s="93" t="str">
        <f>vlookup(F1795,DATABASE!C:Q,8,false)</f>
        <v>#N/A</v>
      </c>
      <c r="Z1795" s="9"/>
    </row>
    <row r="1796" ht="22.5" customHeight="1">
      <c r="A1796" s="49"/>
      <c r="C1796" s="384"/>
      <c r="D1796" s="93"/>
      <c r="F1796" s="74"/>
      <c r="H1796" s="74"/>
      <c r="I1796" s="74"/>
      <c r="J1796" s="74"/>
      <c r="K1796" s="74" t="str">
        <f>if(F1796="SERVICE",O1796-(O1796*50%),Vlookup(F1796,DATABASE!C:Q,10,false)*G1796)</f>
        <v>#N/A</v>
      </c>
      <c r="L1796" s="74" t="str">
        <f>VLOOKUP(F1796,DATABASE!C:Q,7,FALSE)</f>
        <v>#N/A</v>
      </c>
      <c r="M1796" s="74"/>
      <c r="N1796" s="74">
        <f t="shared" si="11"/>
        <v>0</v>
      </c>
      <c r="O1796" s="74">
        <f t="shared" si="13"/>
        <v>0</v>
      </c>
      <c r="P1796" s="63">
        <f t="shared" si="14"/>
        <v>0</v>
      </c>
      <c r="Q1796" s="63" t="str">
        <f t="shared" si="15"/>
        <v>#N/A</v>
      </c>
      <c r="R1796" s="93" t="str">
        <f>VLOOKUP(F1796,DATABASE!C:Q,4,false)</f>
        <v>#N/A</v>
      </c>
      <c r="S1796" s="93" t="str">
        <f>VLOOKUP(F1796,DATABASE!C:P,11,false)</f>
        <v>#N/A</v>
      </c>
      <c r="T1796" s="93" t="str">
        <f>vlookup(F1796,DATABASE!C:Q,8,false)</f>
        <v>#N/A</v>
      </c>
      <c r="Z1796" s="9"/>
    </row>
    <row r="1797" ht="22.5" customHeight="1">
      <c r="A1797" s="49"/>
      <c r="C1797" s="384"/>
      <c r="D1797" s="93"/>
      <c r="F1797" s="74"/>
      <c r="H1797" s="74"/>
      <c r="I1797" s="74"/>
      <c r="J1797" s="74"/>
      <c r="K1797" s="74" t="str">
        <f>if(F1797="SERVICE",O1797-(O1797*50%),Vlookup(F1797,DATABASE!C:Q,10,false)*G1797)</f>
        <v>#N/A</v>
      </c>
      <c r="L1797" s="74" t="str">
        <f>VLOOKUP(F1797,DATABASE!C:Q,7,FALSE)</f>
        <v>#N/A</v>
      </c>
      <c r="M1797" s="74"/>
      <c r="N1797" s="74">
        <f t="shared" si="11"/>
        <v>0</v>
      </c>
      <c r="O1797" s="74">
        <f t="shared" si="13"/>
        <v>0</v>
      </c>
      <c r="P1797" s="63">
        <f t="shared" si="14"/>
        <v>0</v>
      </c>
      <c r="Q1797" s="63" t="str">
        <f t="shared" si="15"/>
        <v>#N/A</v>
      </c>
      <c r="R1797" s="93" t="str">
        <f>VLOOKUP(F1797,DATABASE!C:Q,4,false)</f>
        <v>#N/A</v>
      </c>
      <c r="S1797" s="93" t="str">
        <f>VLOOKUP(F1797,DATABASE!C:P,11,false)</f>
        <v>#N/A</v>
      </c>
      <c r="T1797" s="93" t="str">
        <f>vlookup(F1797,DATABASE!C:Q,8,false)</f>
        <v>#N/A</v>
      </c>
      <c r="Z1797" s="9"/>
    </row>
    <row r="1798" ht="22.5" customHeight="1">
      <c r="A1798" s="49"/>
      <c r="C1798" s="384"/>
      <c r="D1798" s="93"/>
      <c r="F1798" s="74"/>
      <c r="H1798" s="74"/>
      <c r="I1798" s="74"/>
      <c r="J1798" s="74"/>
      <c r="K1798" s="74" t="str">
        <f>if(F1798="SERVICE",O1798-(O1798*50%),Vlookup(F1798,DATABASE!C:Q,10,false)*G1798)</f>
        <v>#N/A</v>
      </c>
      <c r="L1798" s="74" t="str">
        <f>VLOOKUP(F1798,DATABASE!C:Q,7,FALSE)</f>
        <v>#N/A</v>
      </c>
      <c r="M1798" s="74"/>
      <c r="N1798" s="74">
        <f t="shared" si="11"/>
        <v>0</v>
      </c>
      <c r="O1798" s="74">
        <f t="shared" si="13"/>
        <v>0</v>
      </c>
      <c r="P1798" s="63">
        <f t="shared" si="14"/>
        <v>0</v>
      </c>
      <c r="Q1798" s="63" t="str">
        <f t="shared" si="15"/>
        <v>#N/A</v>
      </c>
      <c r="R1798" s="93" t="str">
        <f>VLOOKUP(F1798,DATABASE!C:Q,4,false)</f>
        <v>#N/A</v>
      </c>
      <c r="S1798" s="93" t="str">
        <f>VLOOKUP(F1798,DATABASE!C:P,11,false)</f>
        <v>#N/A</v>
      </c>
      <c r="T1798" s="93" t="str">
        <f>vlookup(F1798,DATABASE!C:Q,8,false)</f>
        <v>#N/A</v>
      </c>
      <c r="Z1798" s="9"/>
    </row>
    <row r="1799" ht="22.5" customHeight="1">
      <c r="A1799" s="49"/>
      <c r="C1799" s="384"/>
      <c r="D1799" s="93"/>
      <c r="F1799" s="74"/>
      <c r="H1799" s="74"/>
      <c r="I1799" s="74"/>
      <c r="J1799" s="74"/>
      <c r="K1799" s="74" t="str">
        <f>if(F1799="SERVICE",O1799-(O1799*50%),Vlookup(F1799,DATABASE!C:Q,10,false)*G1799)</f>
        <v>#N/A</v>
      </c>
      <c r="L1799" s="74" t="str">
        <f>VLOOKUP(F1799,DATABASE!C:Q,7,FALSE)</f>
        <v>#N/A</v>
      </c>
      <c r="M1799" s="74"/>
      <c r="N1799" s="74">
        <f t="shared" si="11"/>
        <v>0</v>
      </c>
      <c r="O1799" s="74">
        <f t="shared" si="13"/>
        <v>0</v>
      </c>
      <c r="P1799" s="63">
        <f t="shared" si="14"/>
        <v>0</v>
      </c>
      <c r="Q1799" s="63" t="str">
        <f t="shared" si="15"/>
        <v>#N/A</v>
      </c>
      <c r="R1799" s="93" t="str">
        <f>VLOOKUP(F1799,DATABASE!C:Q,4,false)</f>
        <v>#N/A</v>
      </c>
      <c r="S1799" s="93" t="str">
        <f>VLOOKUP(F1799,DATABASE!C:P,11,false)</f>
        <v>#N/A</v>
      </c>
      <c r="T1799" s="93" t="str">
        <f>vlookup(F1799,DATABASE!C:Q,8,false)</f>
        <v>#N/A</v>
      </c>
      <c r="Z1799" s="9"/>
    </row>
    <row r="1800" ht="22.5" customHeight="1">
      <c r="A1800" s="49"/>
      <c r="C1800" s="384"/>
      <c r="D1800" s="93"/>
      <c r="F1800" s="74"/>
      <c r="H1800" s="74"/>
      <c r="I1800" s="74"/>
      <c r="J1800" s="74"/>
      <c r="K1800" s="74" t="str">
        <f>if(F1800="SERVICE",O1800-(O1800*50%),Vlookup(F1800,DATABASE!C:Q,10,false)*G1800)</f>
        <v>#N/A</v>
      </c>
      <c r="L1800" s="74" t="str">
        <f>VLOOKUP(F1800,DATABASE!C:Q,7,FALSE)</f>
        <v>#N/A</v>
      </c>
      <c r="M1800" s="74"/>
      <c r="N1800" s="74">
        <f t="shared" si="11"/>
        <v>0</v>
      </c>
      <c r="O1800" s="74">
        <f t="shared" si="13"/>
        <v>0</v>
      </c>
      <c r="P1800" s="63">
        <f t="shared" si="14"/>
        <v>0</v>
      </c>
      <c r="Q1800" s="63" t="str">
        <f t="shared" si="15"/>
        <v>#N/A</v>
      </c>
      <c r="R1800" s="93" t="str">
        <f>VLOOKUP(F1800,DATABASE!C:Q,4,false)</f>
        <v>#N/A</v>
      </c>
      <c r="S1800" s="93" t="str">
        <f>VLOOKUP(F1800,DATABASE!C:P,11,false)</f>
        <v>#N/A</v>
      </c>
      <c r="T1800" s="93" t="str">
        <f>vlookup(F1800,DATABASE!C:Q,8,false)</f>
        <v>#N/A</v>
      </c>
      <c r="Z1800" s="9"/>
    </row>
    <row r="1801" ht="22.5" customHeight="1">
      <c r="A1801" s="49"/>
      <c r="C1801" s="384"/>
      <c r="D1801" s="93"/>
      <c r="F1801" s="74"/>
      <c r="H1801" s="74"/>
      <c r="I1801" s="74"/>
      <c r="J1801" s="74"/>
      <c r="K1801" s="74" t="str">
        <f>if(F1801="SERVICE",O1801-(O1801*50%),Vlookup(F1801,DATABASE!C:Q,10,false)*G1801)</f>
        <v>#N/A</v>
      </c>
      <c r="L1801" s="74" t="str">
        <f>VLOOKUP(F1801,DATABASE!C:Q,7,FALSE)</f>
        <v>#N/A</v>
      </c>
      <c r="M1801" s="74"/>
      <c r="N1801" s="74">
        <f t="shared" si="11"/>
        <v>0</v>
      </c>
      <c r="O1801" s="74">
        <f t="shared" si="13"/>
        <v>0</v>
      </c>
      <c r="P1801" s="63">
        <f t="shared" si="14"/>
        <v>0</v>
      </c>
      <c r="Q1801" s="63" t="str">
        <f t="shared" si="15"/>
        <v>#N/A</v>
      </c>
      <c r="R1801" s="93" t="str">
        <f>VLOOKUP(F1801,DATABASE!C:Q,4,false)</f>
        <v>#N/A</v>
      </c>
      <c r="S1801" s="93" t="str">
        <f>VLOOKUP(F1801,DATABASE!C:P,11,false)</f>
        <v>#N/A</v>
      </c>
      <c r="T1801" s="93" t="str">
        <f>vlookup(F1801,DATABASE!C:Q,8,false)</f>
        <v>#N/A</v>
      </c>
      <c r="Z1801" s="9"/>
    </row>
    <row r="1802" ht="22.5" customHeight="1">
      <c r="A1802" s="49"/>
      <c r="C1802" s="384"/>
      <c r="D1802" s="93"/>
      <c r="F1802" s="74"/>
      <c r="H1802" s="74"/>
      <c r="I1802" s="74"/>
      <c r="J1802" s="74"/>
      <c r="K1802" s="74" t="str">
        <f>if(F1802="SERVICE",O1802-(O1802*50%),Vlookup(F1802,DATABASE!C:Q,10,false)*G1802)</f>
        <v>#N/A</v>
      </c>
      <c r="L1802" s="74" t="str">
        <f>VLOOKUP(F1802,DATABASE!C:Q,7,FALSE)</f>
        <v>#N/A</v>
      </c>
      <c r="M1802" s="74"/>
      <c r="N1802" s="74">
        <f t="shared" si="11"/>
        <v>0</v>
      </c>
      <c r="O1802" s="74">
        <f t="shared" si="13"/>
        <v>0</v>
      </c>
      <c r="P1802" s="63">
        <f t="shared" si="14"/>
        <v>0</v>
      </c>
      <c r="Q1802" s="63" t="str">
        <f t="shared" si="15"/>
        <v>#N/A</v>
      </c>
      <c r="R1802" s="93" t="str">
        <f>VLOOKUP(F1802,DATABASE!C:Q,4,false)</f>
        <v>#N/A</v>
      </c>
      <c r="S1802" s="93" t="str">
        <f>VLOOKUP(F1802,DATABASE!C:P,11,false)</f>
        <v>#N/A</v>
      </c>
      <c r="T1802" s="93" t="str">
        <f>vlookup(F1802,DATABASE!C:Q,8,false)</f>
        <v>#N/A</v>
      </c>
      <c r="Z1802" s="9"/>
    </row>
    <row r="1803" ht="22.5" customHeight="1">
      <c r="A1803" s="49"/>
      <c r="C1803" s="384"/>
      <c r="D1803" s="93"/>
      <c r="F1803" s="74"/>
      <c r="H1803" s="74"/>
      <c r="I1803" s="74"/>
      <c r="J1803" s="74"/>
      <c r="K1803" s="74" t="str">
        <f>if(F1803="SERVICE",O1803-(O1803*50%),Vlookup(F1803,DATABASE!C:Q,10,false)*G1803)</f>
        <v>#N/A</v>
      </c>
      <c r="L1803" s="74" t="str">
        <f>VLOOKUP(F1803,DATABASE!C:Q,7,FALSE)</f>
        <v>#N/A</v>
      </c>
      <c r="M1803" s="74"/>
      <c r="N1803" s="74">
        <f t="shared" si="11"/>
        <v>0</v>
      </c>
      <c r="O1803" s="74">
        <f t="shared" si="13"/>
        <v>0</v>
      </c>
      <c r="P1803" s="63">
        <f t="shared" si="14"/>
        <v>0</v>
      </c>
      <c r="Q1803" s="63" t="str">
        <f t="shared" si="15"/>
        <v>#N/A</v>
      </c>
      <c r="R1803" s="93" t="str">
        <f>VLOOKUP(F1803,DATABASE!C:Q,4,false)</f>
        <v>#N/A</v>
      </c>
      <c r="S1803" s="93" t="str">
        <f>VLOOKUP(F1803,DATABASE!C:P,11,false)</f>
        <v>#N/A</v>
      </c>
      <c r="T1803" s="93" t="str">
        <f>vlookup(F1803,DATABASE!C:Q,8,false)</f>
        <v>#N/A</v>
      </c>
      <c r="Z1803" s="9"/>
    </row>
    <row r="1804" ht="22.5" customHeight="1">
      <c r="A1804" s="49"/>
      <c r="C1804" s="384"/>
      <c r="D1804" s="93"/>
      <c r="F1804" s="74"/>
      <c r="H1804" s="74"/>
      <c r="I1804" s="74"/>
      <c r="J1804" s="74"/>
      <c r="K1804" s="74" t="str">
        <f>if(F1804="SERVICE",O1804-(O1804*50%),Vlookup(F1804,DATABASE!C:Q,10,false)*G1804)</f>
        <v>#N/A</v>
      </c>
      <c r="L1804" s="74" t="str">
        <f>VLOOKUP(F1804,DATABASE!C:Q,7,FALSE)</f>
        <v>#N/A</v>
      </c>
      <c r="M1804" s="74"/>
      <c r="N1804" s="74">
        <f t="shared" si="11"/>
        <v>0</v>
      </c>
      <c r="O1804" s="74">
        <f t="shared" si="13"/>
        <v>0</v>
      </c>
      <c r="P1804" s="63">
        <f t="shared" si="14"/>
        <v>0</v>
      </c>
      <c r="Q1804" s="63" t="str">
        <f t="shared" si="15"/>
        <v>#N/A</v>
      </c>
      <c r="R1804" s="93" t="str">
        <f>VLOOKUP(F1804,DATABASE!C:Q,4,false)</f>
        <v>#N/A</v>
      </c>
      <c r="S1804" s="93" t="str">
        <f>VLOOKUP(F1804,DATABASE!C:P,11,false)</f>
        <v>#N/A</v>
      </c>
      <c r="T1804" s="93" t="str">
        <f>vlookup(F1804,DATABASE!C:Q,8,false)</f>
        <v>#N/A</v>
      </c>
      <c r="Z1804" s="9"/>
    </row>
    <row r="1805" ht="22.5" customHeight="1">
      <c r="A1805" s="49"/>
      <c r="C1805" s="384"/>
      <c r="D1805" s="93"/>
      <c r="F1805" s="74"/>
      <c r="H1805" s="74"/>
      <c r="I1805" s="74"/>
      <c r="J1805" s="74"/>
      <c r="K1805" s="74" t="str">
        <f>if(F1805="SERVICE",O1805-(O1805*50%),Vlookup(F1805,DATABASE!C:Q,10,false)*G1805)</f>
        <v>#N/A</v>
      </c>
      <c r="L1805" s="74" t="str">
        <f>VLOOKUP(F1805,DATABASE!C:Q,7,FALSE)</f>
        <v>#N/A</v>
      </c>
      <c r="M1805" s="74"/>
      <c r="N1805" s="74">
        <f t="shared" si="11"/>
        <v>0</v>
      </c>
      <c r="O1805" s="74">
        <f t="shared" si="13"/>
        <v>0</v>
      </c>
      <c r="P1805" s="63">
        <f t="shared" si="14"/>
        <v>0</v>
      </c>
      <c r="Q1805" s="63" t="str">
        <f t="shared" si="15"/>
        <v>#N/A</v>
      </c>
      <c r="R1805" s="93" t="str">
        <f>VLOOKUP(F1805,DATABASE!C:Q,4,false)</f>
        <v>#N/A</v>
      </c>
      <c r="S1805" s="93" t="str">
        <f>VLOOKUP(F1805,DATABASE!C:P,11,false)</f>
        <v>#N/A</v>
      </c>
      <c r="T1805" s="93" t="str">
        <f>vlookup(F1805,DATABASE!C:Q,8,false)</f>
        <v>#N/A</v>
      </c>
      <c r="Z1805" s="9"/>
    </row>
    <row r="1806" ht="22.5" customHeight="1">
      <c r="A1806" s="49"/>
      <c r="C1806" s="384"/>
      <c r="D1806" s="93"/>
      <c r="F1806" s="74"/>
      <c r="H1806" s="74"/>
      <c r="I1806" s="74"/>
      <c r="J1806" s="74"/>
      <c r="K1806" s="74" t="str">
        <f>if(F1806="SERVICE",O1806-(O1806*50%),Vlookup(F1806,DATABASE!C:Q,10,false)*G1806)</f>
        <v>#N/A</v>
      </c>
      <c r="L1806" s="74" t="str">
        <f>VLOOKUP(F1806,DATABASE!C:Q,7,FALSE)</f>
        <v>#N/A</v>
      </c>
      <c r="M1806" s="74"/>
      <c r="N1806" s="74">
        <f t="shared" si="11"/>
        <v>0</v>
      </c>
      <c r="O1806" s="74">
        <f t="shared" si="13"/>
        <v>0</v>
      </c>
      <c r="P1806" s="63">
        <f t="shared" si="14"/>
        <v>0</v>
      </c>
      <c r="Q1806" s="63" t="str">
        <f t="shared" si="15"/>
        <v>#N/A</v>
      </c>
      <c r="R1806" s="93" t="str">
        <f>VLOOKUP(F1806,DATABASE!C:Q,4,false)</f>
        <v>#N/A</v>
      </c>
      <c r="S1806" s="93" t="str">
        <f>VLOOKUP(F1806,DATABASE!C:P,11,false)</f>
        <v>#N/A</v>
      </c>
      <c r="T1806" s="93" t="str">
        <f>vlookup(F1806,DATABASE!C:Q,8,false)</f>
        <v>#N/A</v>
      </c>
      <c r="Z1806" s="9"/>
    </row>
    <row r="1807" ht="22.5" customHeight="1">
      <c r="A1807" s="49"/>
      <c r="C1807" s="384"/>
      <c r="D1807" s="93"/>
      <c r="F1807" s="74"/>
      <c r="H1807" s="74"/>
      <c r="I1807" s="74"/>
      <c r="J1807" s="74"/>
      <c r="K1807" s="74" t="str">
        <f>if(F1807="SERVICE",O1807-(O1807*50%),Vlookup(F1807,DATABASE!C:Q,10,false)*G1807)</f>
        <v>#N/A</v>
      </c>
      <c r="L1807" s="74" t="str">
        <f>VLOOKUP(F1807,DATABASE!C:Q,7,FALSE)</f>
        <v>#N/A</v>
      </c>
      <c r="M1807" s="74"/>
      <c r="N1807" s="74">
        <f t="shared" si="11"/>
        <v>0</v>
      </c>
      <c r="O1807" s="74">
        <f t="shared" si="13"/>
        <v>0</v>
      </c>
      <c r="P1807" s="63">
        <f t="shared" si="14"/>
        <v>0</v>
      </c>
      <c r="Q1807" s="63" t="str">
        <f t="shared" si="15"/>
        <v>#N/A</v>
      </c>
      <c r="R1807" s="93" t="str">
        <f>VLOOKUP(F1807,DATABASE!C:Q,4,false)</f>
        <v>#N/A</v>
      </c>
      <c r="S1807" s="93" t="str">
        <f>VLOOKUP(F1807,DATABASE!C:P,11,false)</f>
        <v>#N/A</v>
      </c>
      <c r="T1807" s="93" t="str">
        <f>vlookup(F1807,DATABASE!C:Q,8,false)</f>
        <v>#N/A</v>
      </c>
      <c r="Z1807" s="9"/>
    </row>
    <row r="1808" ht="22.5" customHeight="1">
      <c r="A1808" s="49"/>
      <c r="C1808" s="384"/>
      <c r="D1808" s="93"/>
      <c r="F1808" s="74"/>
      <c r="H1808" s="74"/>
      <c r="I1808" s="74"/>
      <c r="J1808" s="74"/>
      <c r="K1808" s="74" t="str">
        <f>if(F1808="SERVICE",O1808-(O1808*50%),Vlookup(F1808,DATABASE!C:Q,10,false)*G1808)</f>
        <v>#N/A</v>
      </c>
      <c r="L1808" s="74" t="str">
        <f>VLOOKUP(F1808,DATABASE!C:Q,7,FALSE)</f>
        <v>#N/A</v>
      </c>
      <c r="M1808" s="74"/>
      <c r="N1808" s="74">
        <f t="shared" si="11"/>
        <v>0</v>
      </c>
      <c r="O1808" s="74">
        <f t="shared" si="13"/>
        <v>0</v>
      </c>
      <c r="P1808" s="63">
        <f t="shared" si="14"/>
        <v>0</v>
      </c>
      <c r="Q1808" s="63" t="str">
        <f t="shared" si="15"/>
        <v>#N/A</v>
      </c>
      <c r="R1808" s="93" t="str">
        <f>VLOOKUP(F1808,DATABASE!C:Q,4,false)</f>
        <v>#N/A</v>
      </c>
      <c r="S1808" s="93" t="str">
        <f>VLOOKUP(F1808,DATABASE!C:P,11,false)</f>
        <v>#N/A</v>
      </c>
      <c r="T1808" s="93" t="str">
        <f>vlookup(F1808,DATABASE!C:Q,8,false)</f>
        <v>#N/A</v>
      </c>
      <c r="Z1808" s="9"/>
    </row>
    <row r="1809" ht="22.5" customHeight="1">
      <c r="A1809" s="49"/>
      <c r="C1809" s="384"/>
      <c r="D1809" s="93"/>
      <c r="F1809" s="74"/>
      <c r="H1809" s="74"/>
      <c r="I1809" s="74"/>
      <c r="J1809" s="74"/>
      <c r="K1809" s="74" t="str">
        <f>if(F1809="SERVICE",O1809-(O1809*50%),Vlookup(F1809,DATABASE!C:Q,10,false)*G1809)</f>
        <v>#N/A</v>
      </c>
      <c r="L1809" s="74" t="str">
        <f>VLOOKUP(F1809,DATABASE!C:Q,7,FALSE)</f>
        <v>#N/A</v>
      </c>
      <c r="M1809" s="74"/>
      <c r="N1809" s="74">
        <f t="shared" si="11"/>
        <v>0</v>
      </c>
      <c r="O1809" s="74">
        <f t="shared" si="13"/>
        <v>0</v>
      </c>
      <c r="P1809" s="63">
        <f t="shared" si="14"/>
        <v>0</v>
      </c>
      <c r="Q1809" s="63" t="str">
        <f t="shared" si="15"/>
        <v>#N/A</v>
      </c>
      <c r="R1809" s="93" t="str">
        <f>VLOOKUP(F1809,DATABASE!C:Q,4,false)</f>
        <v>#N/A</v>
      </c>
      <c r="S1809" s="93" t="str">
        <f>VLOOKUP(F1809,DATABASE!C:P,11,false)</f>
        <v>#N/A</v>
      </c>
      <c r="T1809" s="93" t="str">
        <f>vlookup(F1809,DATABASE!C:Q,8,false)</f>
        <v>#N/A</v>
      </c>
      <c r="Z1809" s="9"/>
    </row>
    <row r="1810" ht="22.5" customHeight="1">
      <c r="A1810" s="49"/>
      <c r="C1810" s="384"/>
      <c r="D1810" s="93"/>
      <c r="F1810" s="74"/>
      <c r="H1810" s="74"/>
      <c r="I1810" s="74"/>
      <c r="J1810" s="74"/>
      <c r="K1810" s="74" t="str">
        <f>if(F1810="SERVICE",O1810-(O1810*50%),Vlookup(F1810,DATABASE!C:Q,10,false)*G1810)</f>
        <v>#N/A</v>
      </c>
      <c r="L1810" s="74" t="str">
        <f>VLOOKUP(F1810,DATABASE!C:Q,7,FALSE)</f>
        <v>#N/A</v>
      </c>
      <c r="M1810" s="74"/>
      <c r="N1810" s="74">
        <f t="shared" si="11"/>
        <v>0</v>
      </c>
      <c r="O1810" s="74">
        <f t="shared" si="13"/>
        <v>0</v>
      </c>
      <c r="P1810" s="63">
        <f t="shared" si="14"/>
        <v>0</v>
      </c>
      <c r="Q1810" s="63" t="str">
        <f t="shared" si="15"/>
        <v>#N/A</v>
      </c>
      <c r="R1810" s="93" t="str">
        <f>VLOOKUP(F1810,DATABASE!C:Q,4,false)</f>
        <v>#N/A</v>
      </c>
      <c r="S1810" s="93" t="str">
        <f>VLOOKUP(F1810,DATABASE!C:P,11,false)</f>
        <v>#N/A</v>
      </c>
      <c r="T1810" s="93" t="str">
        <f>vlookup(F1810,DATABASE!C:Q,8,false)</f>
        <v>#N/A</v>
      </c>
      <c r="Z1810" s="9"/>
    </row>
    <row r="1811" ht="22.5" customHeight="1">
      <c r="A1811" s="49"/>
      <c r="C1811" s="384"/>
      <c r="D1811" s="93"/>
      <c r="F1811" s="74"/>
      <c r="H1811" s="74"/>
      <c r="I1811" s="74"/>
      <c r="J1811" s="74"/>
      <c r="K1811" s="74" t="str">
        <f>if(F1811="SERVICE",O1811-(O1811*50%),Vlookup(F1811,DATABASE!C:Q,10,false)*G1811)</f>
        <v>#N/A</v>
      </c>
      <c r="L1811" s="74" t="str">
        <f>VLOOKUP(F1811,DATABASE!C:Q,7,FALSE)</f>
        <v>#N/A</v>
      </c>
      <c r="M1811" s="74"/>
      <c r="N1811" s="74">
        <f t="shared" si="11"/>
        <v>0</v>
      </c>
      <c r="O1811" s="74">
        <f t="shared" si="13"/>
        <v>0</v>
      </c>
      <c r="P1811" s="63">
        <f t="shared" si="14"/>
        <v>0</v>
      </c>
      <c r="Q1811" s="63" t="str">
        <f t="shared" si="15"/>
        <v>#N/A</v>
      </c>
      <c r="R1811" s="93" t="str">
        <f>VLOOKUP(F1811,DATABASE!C:Q,4,false)</f>
        <v>#N/A</v>
      </c>
      <c r="S1811" s="93" t="str">
        <f>VLOOKUP(F1811,DATABASE!C:P,11,false)</f>
        <v>#N/A</v>
      </c>
      <c r="T1811" s="93" t="str">
        <f>vlookup(F1811,DATABASE!C:Q,8,false)</f>
        <v>#N/A</v>
      </c>
      <c r="Z1811" s="9"/>
    </row>
    <row r="1812" ht="22.5" customHeight="1">
      <c r="A1812" s="49"/>
      <c r="C1812" s="384"/>
      <c r="D1812" s="93"/>
      <c r="F1812" s="74"/>
      <c r="H1812" s="74"/>
      <c r="I1812" s="74"/>
      <c r="J1812" s="74"/>
      <c r="K1812" s="74" t="str">
        <f>if(F1812="SERVICE",O1812-(O1812*50%),Vlookup(F1812,DATABASE!C:Q,10,false)*G1812)</f>
        <v>#N/A</v>
      </c>
      <c r="L1812" s="74" t="str">
        <f>VLOOKUP(F1812,DATABASE!C:Q,7,FALSE)</f>
        <v>#N/A</v>
      </c>
      <c r="M1812" s="74"/>
      <c r="N1812" s="74">
        <f t="shared" si="11"/>
        <v>0</v>
      </c>
      <c r="O1812" s="74">
        <f t="shared" si="13"/>
        <v>0</v>
      </c>
      <c r="P1812" s="63">
        <f t="shared" si="14"/>
        <v>0</v>
      </c>
      <c r="Q1812" s="63" t="str">
        <f t="shared" si="15"/>
        <v>#N/A</v>
      </c>
      <c r="R1812" s="93" t="str">
        <f>VLOOKUP(F1812,DATABASE!C:Q,4,false)</f>
        <v>#N/A</v>
      </c>
      <c r="S1812" s="93" t="str">
        <f>VLOOKUP(F1812,DATABASE!C:P,11,false)</f>
        <v>#N/A</v>
      </c>
      <c r="T1812" s="93" t="str">
        <f>vlookup(F1812,DATABASE!C:Q,8,false)</f>
        <v>#N/A</v>
      </c>
      <c r="Z1812" s="9"/>
    </row>
    <row r="1813" ht="22.5" customHeight="1">
      <c r="A1813" s="49"/>
      <c r="C1813" s="384"/>
      <c r="D1813" s="93"/>
      <c r="F1813" s="74"/>
      <c r="H1813" s="74"/>
      <c r="I1813" s="74"/>
      <c r="J1813" s="74"/>
      <c r="K1813" s="74" t="str">
        <f>if(F1813="SERVICE",O1813-(O1813*50%),Vlookup(F1813,DATABASE!C:Q,10,false)*G1813)</f>
        <v>#N/A</v>
      </c>
      <c r="L1813" s="74" t="str">
        <f>VLOOKUP(F1813,DATABASE!C:Q,7,FALSE)</f>
        <v>#N/A</v>
      </c>
      <c r="M1813" s="74"/>
      <c r="N1813" s="74">
        <f t="shared" si="11"/>
        <v>0</v>
      </c>
      <c r="O1813" s="74">
        <f t="shared" si="13"/>
        <v>0</v>
      </c>
      <c r="P1813" s="63">
        <f t="shared" si="14"/>
        <v>0</v>
      </c>
      <c r="Q1813" s="63" t="str">
        <f t="shared" si="15"/>
        <v>#N/A</v>
      </c>
      <c r="R1813" s="93" t="str">
        <f>VLOOKUP(F1813,DATABASE!C:Q,4,false)</f>
        <v>#N/A</v>
      </c>
      <c r="S1813" s="93" t="str">
        <f>VLOOKUP(F1813,DATABASE!C:P,11,false)</f>
        <v>#N/A</v>
      </c>
      <c r="T1813" s="93" t="str">
        <f>vlookup(F1813,DATABASE!C:Q,8,false)</f>
        <v>#N/A</v>
      </c>
      <c r="Z1813" s="9"/>
    </row>
    <row r="1814" ht="22.5" customHeight="1">
      <c r="A1814" s="49"/>
      <c r="C1814" s="384"/>
      <c r="D1814" s="93"/>
      <c r="F1814" s="74"/>
      <c r="H1814" s="74"/>
      <c r="I1814" s="74"/>
      <c r="J1814" s="74"/>
      <c r="K1814" s="74" t="str">
        <f>if(F1814="SERVICE",O1814-(O1814*50%),Vlookup(F1814,DATABASE!C:Q,10,false)*G1814)</f>
        <v>#N/A</v>
      </c>
      <c r="L1814" s="74" t="str">
        <f>VLOOKUP(F1814,DATABASE!C:Q,7,FALSE)</f>
        <v>#N/A</v>
      </c>
      <c r="M1814" s="74"/>
      <c r="N1814" s="74">
        <f t="shared" si="11"/>
        <v>0</v>
      </c>
      <c r="O1814" s="74">
        <f t="shared" si="13"/>
        <v>0</v>
      </c>
      <c r="P1814" s="63">
        <f t="shared" si="14"/>
        <v>0</v>
      </c>
      <c r="Q1814" s="63" t="str">
        <f t="shared" si="15"/>
        <v>#N/A</v>
      </c>
      <c r="R1814" s="93" t="str">
        <f>VLOOKUP(F1814,DATABASE!C:Q,4,false)</f>
        <v>#N/A</v>
      </c>
      <c r="S1814" s="93" t="str">
        <f>VLOOKUP(F1814,DATABASE!C:P,11,false)</f>
        <v>#N/A</v>
      </c>
      <c r="T1814" s="93" t="str">
        <f>vlookup(F1814,DATABASE!C:Q,8,false)</f>
        <v>#N/A</v>
      </c>
      <c r="Z1814" s="9"/>
    </row>
    <row r="1815" ht="22.5" customHeight="1">
      <c r="A1815" s="49"/>
      <c r="C1815" s="384"/>
      <c r="D1815" s="93"/>
      <c r="F1815" s="74"/>
      <c r="H1815" s="74"/>
      <c r="I1815" s="74"/>
      <c r="J1815" s="74"/>
      <c r="K1815" s="74" t="str">
        <f>if(F1815="SERVICE",O1815-(O1815*50%),Vlookup(F1815,DATABASE!C:Q,10,false)*G1815)</f>
        <v>#N/A</v>
      </c>
      <c r="L1815" s="74" t="str">
        <f>VLOOKUP(F1815,DATABASE!C:Q,7,FALSE)</f>
        <v>#N/A</v>
      </c>
      <c r="M1815" s="74"/>
      <c r="N1815" s="74">
        <f t="shared" si="11"/>
        <v>0</v>
      </c>
      <c r="O1815" s="74">
        <f t="shared" si="13"/>
        <v>0</v>
      </c>
      <c r="P1815" s="63">
        <f t="shared" si="14"/>
        <v>0</v>
      </c>
      <c r="Q1815" s="63" t="str">
        <f t="shared" si="15"/>
        <v>#N/A</v>
      </c>
      <c r="R1815" s="93" t="str">
        <f>VLOOKUP(F1815,DATABASE!C:Q,4,false)</f>
        <v>#N/A</v>
      </c>
      <c r="S1815" s="93" t="str">
        <f>VLOOKUP(F1815,DATABASE!C:P,11,false)</f>
        <v>#N/A</v>
      </c>
      <c r="T1815" s="93" t="str">
        <f>vlookup(F1815,DATABASE!C:Q,8,false)</f>
        <v>#N/A</v>
      </c>
      <c r="Z1815" s="9"/>
    </row>
    <row r="1816" ht="22.5" customHeight="1">
      <c r="A1816" s="49"/>
      <c r="C1816" s="384"/>
      <c r="D1816" s="93"/>
      <c r="F1816" s="74"/>
      <c r="H1816" s="74"/>
      <c r="I1816" s="74"/>
      <c r="J1816" s="74"/>
      <c r="K1816" s="74" t="str">
        <f>if(F1816="SERVICE",O1816-(O1816*50%),Vlookup(F1816,DATABASE!C:Q,10,false)*G1816)</f>
        <v>#N/A</v>
      </c>
      <c r="L1816" s="74" t="str">
        <f>VLOOKUP(F1816,DATABASE!C:Q,7,FALSE)</f>
        <v>#N/A</v>
      </c>
      <c r="M1816" s="74"/>
      <c r="N1816" s="74">
        <f t="shared" si="11"/>
        <v>0</v>
      </c>
      <c r="O1816" s="74">
        <f t="shared" si="13"/>
        <v>0</v>
      </c>
      <c r="P1816" s="63">
        <f t="shared" si="14"/>
        <v>0</v>
      </c>
      <c r="Q1816" s="63" t="str">
        <f t="shared" si="15"/>
        <v>#N/A</v>
      </c>
      <c r="R1816" s="93" t="str">
        <f>VLOOKUP(F1816,DATABASE!C:Q,4,false)</f>
        <v>#N/A</v>
      </c>
      <c r="S1816" s="93" t="str">
        <f>VLOOKUP(F1816,DATABASE!C:P,11,false)</f>
        <v>#N/A</v>
      </c>
      <c r="T1816" s="93" t="str">
        <f>vlookup(F1816,DATABASE!C:Q,8,false)</f>
        <v>#N/A</v>
      </c>
      <c r="Z1816" s="9"/>
    </row>
    <row r="1817" ht="22.5" customHeight="1">
      <c r="A1817" s="49"/>
      <c r="C1817" s="384"/>
      <c r="D1817" s="93"/>
      <c r="F1817" s="74"/>
      <c r="H1817" s="74"/>
      <c r="I1817" s="74"/>
      <c r="J1817" s="74"/>
      <c r="K1817" s="74" t="str">
        <f>if(F1817="SERVICE",O1817-(O1817*50%),Vlookup(F1817,DATABASE!C:Q,10,false)*G1817)</f>
        <v>#N/A</v>
      </c>
      <c r="L1817" s="74" t="str">
        <f>VLOOKUP(F1817,DATABASE!C:Q,7,FALSE)</f>
        <v>#N/A</v>
      </c>
      <c r="M1817" s="74"/>
      <c r="N1817" s="74">
        <f t="shared" si="11"/>
        <v>0</v>
      </c>
      <c r="O1817" s="74">
        <f t="shared" si="13"/>
        <v>0</v>
      </c>
      <c r="P1817" s="63">
        <f t="shared" si="14"/>
        <v>0</v>
      </c>
      <c r="Q1817" s="63" t="str">
        <f t="shared" si="15"/>
        <v>#N/A</v>
      </c>
      <c r="R1817" s="93" t="str">
        <f>VLOOKUP(F1817,DATABASE!C:Q,4,false)</f>
        <v>#N/A</v>
      </c>
      <c r="S1817" s="93" t="str">
        <f>VLOOKUP(F1817,DATABASE!C:P,11,false)</f>
        <v>#N/A</v>
      </c>
      <c r="T1817" s="93" t="str">
        <f>vlookup(F1817,DATABASE!C:Q,8,false)</f>
        <v>#N/A</v>
      </c>
      <c r="Z1817" s="9"/>
    </row>
    <row r="1818" ht="22.5" customHeight="1">
      <c r="A1818" s="49"/>
      <c r="C1818" s="384"/>
      <c r="D1818" s="93"/>
      <c r="F1818" s="74"/>
      <c r="H1818" s="74"/>
      <c r="I1818" s="74"/>
      <c r="J1818" s="74"/>
      <c r="K1818" s="74" t="str">
        <f>if(F1818="SERVICE",O1818-(O1818*50%),Vlookup(F1818,DATABASE!C:Q,10,false)*G1818)</f>
        <v>#N/A</v>
      </c>
      <c r="L1818" s="74" t="str">
        <f>VLOOKUP(F1818,DATABASE!C:Q,7,FALSE)</f>
        <v>#N/A</v>
      </c>
      <c r="M1818" s="74"/>
      <c r="N1818" s="74">
        <f t="shared" si="11"/>
        <v>0</v>
      </c>
      <c r="O1818" s="74">
        <f t="shared" si="13"/>
        <v>0</v>
      </c>
      <c r="P1818" s="63">
        <f t="shared" si="14"/>
        <v>0</v>
      </c>
      <c r="Q1818" s="63" t="str">
        <f t="shared" si="15"/>
        <v>#N/A</v>
      </c>
      <c r="R1818" s="93" t="str">
        <f>VLOOKUP(F1818,DATABASE!C:Q,4,false)</f>
        <v>#N/A</v>
      </c>
      <c r="S1818" s="93" t="str">
        <f>VLOOKUP(F1818,DATABASE!C:P,11,false)</f>
        <v>#N/A</v>
      </c>
      <c r="T1818" s="93" t="str">
        <f>vlookup(F1818,DATABASE!C:Q,8,false)</f>
        <v>#N/A</v>
      </c>
      <c r="Z1818" s="9"/>
    </row>
    <row r="1819" ht="22.5" customHeight="1">
      <c r="A1819" s="49"/>
      <c r="C1819" s="384"/>
      <c r="D1819" s="93"/>
      <c r="F1819" s="74"/>
      <c r="H1819" s="74"/>
      <c r="I1819" s="74"/>
      <c r="J1819" s="74"/>
      <c r="K1819" s="74" t="str">
        <f>if(F1819="SERVICE",O1819-(O1819*50%),Vlookup(F1819,DATABASE!C:Q,10,false)*G1819)</f>
        <v>#N/A</v>
      </c>
      <c r="L1819" s="74" t="str">
        <f>VLOOKUP(F1819,DATABASE!C:Q,7,FALSE)</f>
        <v>#N/A</v>
      </c>
      <c r="M1819" s="74"/>
      <c r="N1819" s="74">
        <f t="shared" si="11"/>
        <v>0</v>
      </c>
      <c r="O1819" s="74">
        <f t="shared" si="13"/>
        <v>0</v>
      </c>
      <c r="P1819" s="63">
        <f t="shared" si="14"/>
        <v>0</v>
      </c>
      <c r="Q1819" s="63" t="str">
        <f t="shared" si="15"/>
        <v>#N/A</v>
      </c>
      <c r="R1819" s="93" t="str">
        <f>VLOOKUP(F1819,DATABASE!C:Q,4,false)</f>
        <v>#N/A</v>
      </c>
      <c r="S1819" s="93" t="str">
        <f>VLOOKUP(F1819,DATABASE!C:P,11,false)</f>
        <v>#N/A</v>
      </c>
      <c r="T1819" s="93" t="str">
        <f>vlookup(F1819,DATABASE!C:Q,8,false)</f>
        <v>#N/A</v>
      </c>
      <c r="Z1819" s="9"/>
    </row>
    <row r="1820" ht="22.5" customHeight="1">
      <c r="A1820" s="49"/>
      <c r="C1820" s="384"/>
      <c r="D1820" s="93"/>
      <c r="F1820" s="74"/>
      <c r="H1820" s="74"/>
      <c r="I1820" s="74"/>
      <c r="J1820" s="74"/>
      <c r="K1820" s="74" t="str">
        <f>if(F1820="SERVICE",O1820-(O1820*50%),Vlookup(F1820,DATABASE!C:Q,10,false)*G1820)</f>
        <v>#N/A</v>
      </c>
      <c r="L1820" s="74" t="str">
        <f>VLOOKUP(F1820,DATABASE!C:Q,7,FALSE)</f>
        <v>#N/A</v>
      </c>
      <c r="M1820" s="74"/>
      <c r="N1820" s="74">
        <f t="shared" si="11"/>
        <v>0</v>
      </c>
      <c r="O1820" s="74">
        <f t="shared" si="13"/>
        <v>0</v>
      </c>
      <c r="P1820" s="63">
        <f t="shared" si="14"/>
        <v>0</v>
      </c>
      <c r="Q1820" s="63" t="str">
        <f t="shared" si="15"/>
        <v>#N/A</v>
      </c>
      <c r="R1820" s="93" t="str">
        <f>VLOOKUP(F1820,DATABASE!C:Q,4,false)</f>
        <v>#N/A</v>
      </c>
      <c r="S1820" s="93" t="str">
        <f>VLOOKUP(F1820,DATABASE!C:P,11,false)</f>
        <v>#N/A</v>
      </c>
      <c r="T1820" s="93" t="str">
        <f>vlookup(F1820,DATABASE!C:Q,8,false)</f>
        <v>#N/A</v>
      </c>
      <c r="Z1820" s="9"/>
    </row>
    <row r="1821" ht="22.5" customHeight="1">
      <c r="A1821" s="49"/>
      <c r="C1821" s="384"/>
      <c r="D1821" s="93"/>
      <c r="F1821" s="74"/>
      <c r="H1821" s="74"/>
      <c r="I1821" s="74"/>
      <c r="J1821" s="74"/>
      <c r="K1821" s="74" t="str">
        <f>if(F1821="SERVICE",O1821-(O1821*50%),Vlookup(F1821,DATABASE!C:Q,10,false)*G1821)</f>
        <v>#N/A</v>
      </c>
      <c r="L1821" s="74" t="str">
        <f>VLOOKUP(F1821,DATABASE!C:Q,7,FALSE)</f>
        <v>#N/A</v>
      </c>
      <c r="M1821" s="74"/>
      <c r="N1821" s="74">
        <f t="shared" si="11"/>
        <v>0</v>
      </c>
      <c r="O1821" s="74">
        <f t="shared" si="13"/>
        <v>0</v>
      </c>
      <c r="P1821" s="63">
        <f t="shared" si="14"/>
        <v>0</v>
      </c>
      <c r="Q1821" s="63" t="str">
        <f t="shared" si="15"/>
        <v>#N/A</v>
      </c>
      <c r="R1821" s="93" t="str">
        <f>VLOOKUP(F1821,DATABASE!C:Q,4,false)</f>
        <v>#N/A</v>
      </c>
      <c r="S1821" s="93" t="str">
        <f>VLOOKUP(F1821,DATABASE!C:P,11,false)</f>
        <v>#N/A</v>
      </c>
      <c r="T1821" s="93" t="str">
        <f>vlookup(F1821,DATABASE!C:Q,8,false)</f>
        <v>#N/A</v>
      </c>
      <c r="Z1821" s="9"/>
    </row>
    <row r="1822" ht="22.5" customHeight="1">
      <c r="A1822" s="49"/>
      <c r="C1822" s="384"/>
      <c r="D1822" s="93"/>
      <c r="F1822" s="74"/>
      <c r="H1822" s="74"/>
      <c r="I1822" s="74"/>
      <c r="J1822" s="74"/>
      <c r="K1822" s="74" t="str">
        <f>if(F1822="SERVICE",O1822-(O1822*50%),Vlookup(F1822,DATABASE!C:Q,10,false)*G1822)</f>
        <v>#N/A</v>
      </c>
      <c r="L1822" s="74" t="str">
        <f>VLOOKUP(F1822,DATABASE!C:Q,7,FALSE)</f>
        <v>#N/A</v>
      </c>
      <c r="M1822" s="74"/>
      <c r="N1822" s="74">
        <f t="shared" si="11"/>
        <v>0</v>
      </c>
      <c r="O1822" s="74">
        <f t="shared" si="13"/>
        <v>0</v>
      </c>
      <c r="P1822" s="63">
        <f t="shared" si="14"/>
        <v>0</v>
      </c>
      <c r="Q1822" s="63" t="str">
        <f t="shared" si="15"/>
        <v>#N/A</v>
      </c>
      <c r="R1822" s="93" t="str">
        <f>VLOOKUP(F1822,DATABASE!C:Q,4,false)</f>
        <v>#N/A</v>
      </c>
      <c r="S1822" s="93" t="str">
        <f>VLOOKUP(F1822,DATABASE!C:P,11,false)</f>
        <v>#N/A</v>
      </c>
      <c r="T1822" s="93" t="str">
        <f>vlookup(F1822,DATABASE!C:Q,8,false)</f>
        <v>#N/A</v>
      </c>
      <c r="Z1822" s="9"/>
    </row>
    <row r="1823" ht="22.5" customHeight="1">
      <c r="A1823" s="49"/>
      <c r="C1823" s="384"/>
      <c r="D1823" s="93"/>
      <c r="F1823" s="74"/>
      <c r="H1823" s="74"/>
      <c r="I1823" s="74"/>
      <c r="J1823" s="74"/>
      <c r="K1823" s="74" t="str">
        <f>if(F1823="SERVICE",O1823-(O1823*50%),Vlookup(F1823,DATABASE!C:Q,10,false)*G1823)</f>
        <v>#N/A</v>
      </c>
      <c r="L1823" s="74" t="str">
        <f>VLOOKUP(F1823,DATABASE!C:Q,7,FALSE)</f>
        <v>#N/A</v>
      </c>
      <c r="M1823" s="74"/>
      <c r="N1823" s="74">
        <f t="shared" si="11"/>
        <v>0</v>
      </c>
      <c r="O1823" s="74">
        <f t="shared" si="13"/>
        <v>0</v>
      </c>
      <c r="P1823" s="63">
        <f t="shared" si="14"/>
        <v>0</v>
      </c>
      <c r="Q1823" s="63" t="str">
        <f t="shared" si="15"/>
        <v>#N/A</v>
      </c>
      <c r="R1823" s="93" t="str">
        <f>VLOOKUP(F1823,DATABASE!C:Q,4,false)</f>
        <v>#N/A</v>
      </c>
      <c r="S1823" s="93" t="str">
        <f>VLOOKUP(F1823,DATABASE!C:P,11,false)</f>
        <v>#N/A</v>
      </c>
      <c r="T1823" s="93" t="str">
        <f>vlookup(F1823,DATABASE!C:Q,8,false)</f>
        <v>#N/A</v>
      </c>
      <c r="Z1823" s="9"/>
    </row>
    <row r="1824" ht="22.5" customHeight="1">
      <c r="A1824" s="49"/>
      <c r="C1824" s="384"/>
      <c r="D1824" s="93"/>
      <c r="F1824" s="74"/>
      <c r="H1824" s="74"/>
      <c r="I1824" s="74"/>
      <c r="J1824" s="74"/>
      <c r="K1824" s="74" t="str">
        <f>if(F1824="SERVICE",O1824-(O1824*50%),Vlookup(F1824,DATABASE!C:Q,10,false)*G1824)</f>
        <v>#N/A</v>
      </c>
      <c r="L1824" s="74" t="str">
        <f>VLOOKUP(F1824,DATABASE!C:Q,7,FALSE)</f>
        <v>#N/A</v>
      </c>
      <c r="M1824" s="74"/>
      <c r="N1824" s="74">
        <f t="shared" si="11"/>
        <v>0</v>
      </c>
      <c r="O1824" s="74">
        <f t="shared" si="13"/>
        <v>0</v>
      </c>
      <c r="P1824" s="63">
        <f t="shared" si="14"/>
        <v>0</v>
      </c>
      <c r="Q1824" s="63" t="str">
        <f t="shared" si="15"/>
        <v>#N/A</v>
      </c>
      <c r="R1824" s="93" t="str">
        <f>VLOOKUP(F1824,DATABASE!C:Q,4,false)</f>
        <v>#N/A</v>
      </c>
      <c r="S1824" s="93" t="str">
        <f>VLOOKUP(F1824,DATABASE!C:P,11,false)</f>
        <v>#N/A</v>
      </c>
      <c r="T1824" s="93" t="str">
        <f>vlookup(F1824,DATABASE!C:Q,8,false)</f>
        <v>#N/A</v>
      </c>
      <c r="Z1824" s="9"/>
    </row>
    <row r="1825" ht="22.5" customHeight="1">
      <c r="A1825" s="49"/>
      <c r="C1825" s="384"/>
      <c r="D1825" s="93"/>
      <c r="F1825" s="74"/>
      <c r="H1825" s="74"/>
      <c r="I1825" s="74"/>
      <c r="J1825" s="74"/>
      <c r="K1825" s="74" t="str">
        <f>if(F1825="SERVICE",O1825-(O1825*50%),Vlookup(F1825,DATABASE!C:Q,10,false)*G1825)</f>
        <v>#N/A</v>
      </c>
      <c r="L1825" s="74" t="str">
        <f>VLOOKUP(F1825,DATABASE!C:Q,7,FALSE)</f>
        <v>#N/A</v>
      </c>
      <c r="M1825" s="74"/>
      <c r="N1825" s="74">
        <f t="shared" si="11"/>
        <v>0</v>
      </c>
      <c r="O1825" s="74">
        <f t="shared" si="13"/>
        <v>0</v>
      </c>
      <c r="P1825" s="63">
        <f t="shared" si="14"/>
        <v>0</v>
      </c>
      <c r="Q1825" s="63" t="str">
        <f t="shared" si="15"/>
        <v>#N/A</v>
      </c>
      <c r="R1825" s="93" t="str">
        <f>VLOOKUP(F1825,DATABASE!C:Q,4,false)</f>
        <v>#N/A</v>
      </c>
      <c r="S1825" s="93" t="str">
        <f>VLOOKUP(F1825,DATABASE!C:P,11,false)</f>
        <v>#N/A</v>
      </c>
      <c r="T1825" s="93" t="str">
        <f>vlookup(F1825,DATABASE!C:Q,8,false)</f>
        <v>#N/A</v>
      </c>
      <c r="Z1825" s="9"/>
    </row>
    <row r="1826" ht="22.5" customHeight="1">
      <c r="A1826" s="49"/>
      <c r="C1826" s="384"/>
      <c r="D1826" s="93"/>
      <c r="F1826" s="74"/>
      <c r="H1826" s="74"/>
      <c r="I1826" s="74"/>
      <c r="J1826" s="74"/>
      <c r="K1826" s="74" t="str">
        <f>if(F1826="SERVICE",O1826-(O1826*50%),Vlookup(F1826,DATABASE!C:Q,10,false)*G1826)</f>
        <v>#N/A</v>
      </c>
      <c r="L1826" s="74" t="str">
        <f>VLOOKUP(F1826,DATABASE!C:Q,7,FALSE)</f>
        <v>#N/A</v>
      </c>
      <c r="M1826" s="74"/>
      <c r="N1826" s="74">
        <f t="shared" si="11"/>
        <v>0</v>
      </c>
      <c r="O1826" s="74">
        <f t="shared" si="13"/>
        <v>0</v>
      </c>
      <c r="P1826" s="63">
        <f t="shared" si="14"/>
        <v>0</v>
      </c>
      <c r="Q1826" s="63" t="str">
        <f t="shared" si="15"/>
        <v>#N/A</v>
      </c>
      <c r="R1826" s="93" t="str">
        <f>VLOOKUP(F1826,DATABASE!C:Q,4,false)</f>
        <v>#N/A</v>
      </c>
      <c r="S1826" s="93" t="str">
        <f>VLOOKUP(F1826,DATABASE!C:P,11,false)</f>
        <v>#N/A</v>
      </c>
      <c r="T1826" s="93" t="str">
        <f>vlookup(F1826,DATABASE!C:Q,8,false)</f>
        <v>#N/A</v>
      </c>
      <c r="Z1826" s="9"/>
    </row>
    <row r="1827" ht="22.5" customHeight="1">
      <c r="A1827" s="49"/>
      <c r="C1827" s="384"/>
      <c r="D1827" s="93"/>
      <c r="F1827" s="74"/>
      <c r="H1827" s="74"/>
      <c r="I1827" s="74"/>
      <c r="J1827" s="74"/>
      <c r="K1827" s="74" t="str">
        <f>if(F1827="SERVICE",O1827-(O1827*50%),Vlookup(F1827,DATABASE!C:Q,10,false)*G1827)</f>
        <v>#N/A</v>
      </c>
      <c r="L1827" s="74" t="str">
        <f>VLOOKUP(F1827,DATABASE!C:Q,7,FALSE)</f>
        <v>#N/A</v>
      </c>
      <c r="M1827" s="74"/>
      <c r="N1827" s="74">
        <f t="shared" si="11"/>
        <v>0</v>
      </c>
      <c r="O1827" s="74">
        <f t="shared" si="13"/>
        <v>0</v>
      </c>
      <c r="P1827" s="63">
        <f t="shared" si="14"/>
        <v>0</v>
      </c>
      <c r="Q1827" s="63" t="str">
        <f t="shared" si="15"/>
        <v>#N/A</v>
      </c>
      <c r="R1827" s="93" t="str">
        <f>VLOOKUP(F1827,DATABASE!C:Q,4,false)</f>
        <v>#N/A</v>
      </c>
      <c r="S1827" s="93" t="str">
        <f>VLOOKUP(F1827,DATABASE!C:P,11,false)</f>
        <v>#N/A</v>
      </c>
      <c r="T1827" s="93" t="str">
        <f>vlookup(F1827,DATABASE!C:Q,8,false)</f>
        <v>#N/A</v>
      </c>
      <c r="Z1827" s="9"/>
    </row>
    <row r="1828" ht="22.5" customHeight="1">
      <c r="A1828" s="49"/>
      <c r="C1828" s="384"/>
      <c r="D1828" s="93"/>
      <c r="F1828" s="74"/>
      <c r="H1828" s="74"/>
      <c r="I1828" s="74"/>
      <c r="J1828" s="74"/>
      <c r="K1828" s="74" t="str">
        <f>if(F1828="SERVICE",O1828-(O1828*50%),Vlookup(F1828,DATABASE!C:Q,10,false)*G1828)</f>
        <v>#N/A</v>
      </c>
      <c r="L1828" s="74" t="str">
        <f>VLOOKUP(F1828,DATABASE!C:Q,7,FALSE)</f>
        <v>#N/A</v>
      </c>
      <c r="M1828" s="74"/>
      <c r="N1828" s="74">
        <f t="shared" si="11"/>
        <v>0</v>
      </c>
      <c r="O1828" s="74">
        <f t="shared" si="13"/>
        <v>0</v>
      </c>
      <c r="P1828" s="63">
        <f t="shared" si="14"/>
        <v>0</v>
      </c>
      <c r="Q1828" s="63" t="str">
        <f t="shared" si="15"/>
        <v>#N/A</v>
      </c>
      <c r="R1828" s="93" t="str">
        <f>VLOOKUP(F1828,DATABASE!C:Q,4,false)</f>
        <v>#N/A</v>
      </c>
      <c r="S1828" s="93" t="str">
        <f>VLOOKUP(F1828,DATABASE!C:P,11,false)</f>
        <v>#N/A</v>
      </c>
      <c r="T1828" s="93" t="str">
        <f>vlookup(F1828,DATABASE!C:Q,8,false)</f>
        <v>#N/A</v>
      </c>
      <c r="Z1828" s="9"/>
    </row>
    <row r="1829" ht="22.5" customHeight="1">
      <c r="A1829" s="49"/>
      <c r="C1829" s="384"/>
      <c r="D1829" s="93"/>
      <c r="F1829" s="74"/>
      <c r="H1829" s="74"/>
      <c r="I1829" s="74"/>
      <c r="J1829" s="74"/>
      <c r="K1829" s="74" t="str">
        <f>if(F1829="SERVICE",O1829-(O1829*50%),Vlookup(F1829,DATABASE!C:Q,10,false)*G1829)</f>
        <v>#N/A</v>
      </c>
      <c r="L1829" s="74" t="str">
        <f>VLOOKUP(F1829,DATABASE!C:Q,7,FALSE)</f>
        <v>#N/A</v>
      </c>
      <c r="M1829" s="74"/>
      <c r="N1829" s="74">
        <f t="shared" si="11"/>
        <v>0</v>
      </c>
      <c r="O1829" s="74">
        <f t="shared" si="13"/>
        <v>0</v>
      </c>
      <c r="P1829" s="63">
        <f t="shared" si="14"/>
        <v>0</v>
      </c>
      <c r="Q1829" s="63" t="str">
        <f t="shared" si="15"/>
        <v>#N/A</v>
      </c>
      <c r="R1829" s="93" t="str">
        <f>VLOOKUP(F1829,DATABASE!C:Q,4,false)</f>
        <v>#N/A</v>
      </c>
      <c r="S1829" s="93" t="str">
        <f>VLOOKUP(F1829,DATABASE!C:P,11,false)</f>
        <v>#N/A</v>
      </c>
      <c r="T1829" s="93" t="str">
        <f>vlookup(F1829,DATABASE!C:Q,8,false)</f>
        <v>#N/A</v>
      </c>
      <c r="Z1829" s="9"/>
    </row>
    <row r="1830" ht="22.5" customHeight="1">
      <c r="A1830" s="49"/>
      <c r="C1830" s="384"/>
      <c r="D1830" s="93"/>
      <c r="F1830" s="74"/>
      <c r="H1830" s="74"/>
      <c r="I1830" s="74"/>
      <c r="J1830" s="74"/>
      <c r="K1830" s="74" t="str">
        <f>if(F1830="SERVICE",O1830-(O1830*50%),Vlookup(F1830,DATABASE!C:Q,10,false)*G1830)</f>
        <v>#N/A</v>
      </c>
      <c r="L1830" s="74" t="str">
        <f>VLOOKUP(F1830,DATABASE!C:Q,7,FALSE)</f>
        <v>#N/A</v>
      </c>
      <c r="M1830" s="74"/>
      <c r="N1830" s="74">
        <f t="shared" si="11"/>
        <v>0</v>
      </c>
      <c r="O1830" s="74">
        <f t="shared" si="13"/>
        <v>0</v>
      </c>
      <c r="P1830" s="63">
        <f t="shared" si="14"/>
        <v>0</v>
      </c>
      <c r="Q1830" s="63" t="str">
        <f t="shared" si="15"/>
        <v>#N/A</v>
      </c>
      <c r="R1830" s="93" t="str">
        <f>VLOOKUP(F1830,DATABASE!C:Q,4,false)</f>
        <v>#N/A</v>
      </c>
      <c r="S1830" s="93" t="str">
        <f>VLOOKUP(F1830,DATABASE!C:P,11,false)</f>
        <v>#N/A</v>
      </c>
      <c r="T1830" s="93" t="str">
        <f>vlookup(F1830,DATABASE!C:Q,8,false)</f>
        <v>#N/A</v>
      </c>
      <c r="Z1830" s="9"/>
    </row>
    <row r="1831" ht="22.5" customHeight="1">
      <c r="A1831" s="49"/>
      <c r="C1831" s="384"/>
      <c r="D1831" s="93"/>
      <c r="F1831" s="74"/>
      <c r="H1831" s="74"/>
      <c r="I1831" s="74"/>
      <c r="J1831" s="74"/>
      <c r="K1831" s="74" t="str">
        <f>if(F1831="SERVICE",O1831-(O1831*50%),Vlookup(F1831,DATABASE!C:Q,10,false)*G1831)</f>
        <v>#N/A</v>
      </c>
      <c r="L1831" s="74" t="str">
        <f>VLOOKUP(F1831,DATABASE!C:Q,7,FALSE)</f>
        <v>#N/A</v>
      </c>
      <c r="M1831" s="74"/>
      <c r="N1831" s="74">
        <f t="shared" si="11"/>
        <v>0</v>
      </c>
      <c r="O1831" s="74">
        <f t="shared" si="13"/>
        <v>0</v>
      </c>
      <c r="P1831" s="63">
        <f t="shared" si="14"/>
        <v>0</v>
      </c>
      <c r="Q1831" s="63" t="str">
        <f t="shared" si="15"/>
        <v>#N/A</v>
      </c>
      <c r="R1831" s="93" t="str">
        <f>VLOOKUP(F1831,DATABASE!C:Q,4,false)</f>
        <v>#N/A</v>
      </c>
      <c r="S1831" s="93" t="str">
        <f>VLOOKUP(F1831,DATABASE!C:P,11,false)</f>
        <v>#N/A</v>
      </c>
      <c r="T1831" s="93" t="str">
        <f>vlookup(F1831,DATABASE!C:Q,8,false)</f>
        <v>#N/A</v>
      </c>
      <c r="Z1831" s="9"/>
    </row>
    <row r="1832" ht="22.5" customHeight="1">
      <c r="A1832" s="49"/>
      <c r="C1832" s="384"/>
      <c r="D1832" s="93"/>
      <c r="F1832" s="74"/>
      <c r="H1832" s="74"/>
      <c r="I1832" s="74"/>
      <c r="J1832" s="74"/>
      <c r="K1832" s="74" t="str">
        <f>if(F1832="SERVICE",O1832-(O1832*50%),Vlookup(F1832,DATABASE!C:Q,10,false)*G1832)</f>
        <v>#N/A</v>
      </c>
      <c r="L1832" s="74" t="str">
        <f>VLOOKUP(F1832,DATABASE!C:Q,7,FALSE)</f>
        <v>#N/A</v>
      </c>
      <c r="M1832" s="74"/>
      <c r="N1832" s="74">
        <f t="shared" si="11"/>
        <v>0</v>
      </c>
      <c r="O1832" s="74">
        <f t="shared" si="13"/>
        <v>0</v>
      </c>
      <c r="P1832" s="63">
        <f t="shared" si="14"/>
        <v>0</v>
      </c>
      <c r="Q1832" s="63" t="str">
        <f t="shared" si="15"/>
        <v>#N/A</v>
      </c>
      <c r="R1832" s="93" t="str">
        <f>VLOOKUP(F1832,DATABASE!C:Q,4,false)</f>
        <v>#N/A</v>
      </c>
      <c r="S1832" s="93" t="str">
        <f>VLOOKUP(F1832,DATABASE!C:P,11,false)</f>
        <v>#N/A</v>
      </c>
      <c r="T1832" s="93" t="str">
        <f>vlookup(F1832,DATABASE!C:Q,8,false)</f>
        <v>#N/A</v>
      </c>
      <c r="Z1832" s="9"/>
    </row>
    <row r="1833" ht="22.5" customHeight="1">
      <c r="A1833" s="49"/>
      <c r="C1833" s="384"/>
      <c r="D1833" s="93"/>
      <c r="F1833" s="74"/>
      <c r="H1833" s="74"/>
      <c r="I1833" s="74"/>
      <c r="J1833" s="74"/>
      <c r="K1833" s="74" t="str">
        <f>if(F1833="SERVICE",O1833-(O1833*50%),Vlookup(F1833,DATABASE!C:Q,10,false)*G1833)</f>
        <v>#N/A</v>
      </c>
      <c r="L1833" s="74" t="str">
        <f>VLOOKUP(F1833,DATABASE!C:Q,7,FALSE)</f>
        <v>#N/A</v>
      </c>
      <c r="M1833" s="74"/>
      <c r="N1833" s="74">
        <f t="shared" si="11"/>
        <v>0</v>
      </c>
      <c r="O1833" s="74">
        <f t="shared" si="13"/>
        <v>0</v>
      </c>
      <c r="P1833" s="63">
        <f t="shared" si="14"/>
        <v>0</v>
      </c>
      <c r="Q1833" s="63" t="str">
        <f t="shared" si="15"/>
        <v>#N/A</v>
      </c>
      <c r="R1833" s="93" t="str">
        <f>VLOOKUP(F1833,DATABASE!C:Q,4,false)</f>
        <v>#N/A</v>
      </c>
      <c r="S1833" s="93" t="str">
        <f>VLOOKUP(F1833,DATABASE!C:P,11,false)</f>
        <v>#N/A</v>
      </c>
      <c r="T1833" s="93" t="str">
        <f>vlookup(F1833,DATABASE!C:Q,8,false)</f>
        <v>#N/A</v>
      </c>
      <c r="Z1833" s="9"/>
    </row>
    <row r="1834" ht="22.5" customHeight="1">
      <c r="A1834" s="49"/>
      <c r="C1834" s="384"/>
      <c r="D1834" s="93"/>
      <c r="F1834" s="74"/>
      <c r="H1834" s="74"/>
      <c r="I1834" s="74"/>
      <c r="J1834" s="74"/>
      <c r="K1834" s="74" t="str">
        <f>if(F1834="SERVICE",O1834-(O1834*50%),Vlookup(F1834,DATABASE!C:Q,10,false)*G1834)</f>
        <v>#N/A</v>
      </c>
      <c r="L1834" s="74" t="str">
        <f>VLOOKUP(F1834,DATABASE!C:Q,7,FALSE)</f>
        <v>#N/A</v>
      </c>
      <c r="M1834" s="74"/>
      <c r="N1834" s="74">
        <f t="shared" si="11"/>
        <v>0</v>
      </c>
      <c r="O1834" s="74">
        <f t="shared" si="13"/>
        <v>0</v>
      </c>
      <c r="P1834" s="63">
        <f t="shared" si="14"/>
        <v>0</v>
      </c>
      <c r="Q1834" s="63" t="str">
        <f t="shared" si="15"/>
        <v>#N/A</v>
      </c>
      <c r="R1834" s="93" t="str">
        <f>VLOOKUP(F1834,DATABASE!C:Q,4,false)</f>
        <v>#N/A</v>
      </c>
      <c r="S1834" s="93" t="str">
        <f>VLOOKUP(F1834,DATABASE!C:P,11,false)</f>
        <v>#N/A</v>
      </c>
      <c r="T1834" s="93" t="str">
        <f>vlookup(F1834,DATABASE!C:Q,8,false)</f>
        <v>#N/A</v>
      </c>
      <c r="Z1834" s="9"/>
    </row>
    <row r="1835" ht="22.5" customHeight="1">
      <c r="A1835" s="49"/>
      <c r="C1835" s="384"/>
      <c r="D1835" s="93"/>
      <c r="F1835" s="74"/>
      <c r="H1835" s="74"/>
      <c r="I1835" s="74"/>
      <c r="J1835" s="74"/>
      <c r="K1835" s="74" t="str">
        <f>if(F1835="SERVICE",O1835-(O1835*50%),Vlookup(F1835,DATABASE!C:Q,10,false)*G1835)</f>
        <v>#N/A</v>
      </c>
      <c r="L1835" s="74" t="str">
        <f>VLOOKUP(F1835,DATABASE!C:Q,7,FALSE)</f>
        <v>#N/A</v>
      </c>
      <c r="M1835" s="74"/>
      <c r="N1835" s="74">
        <f t="shared" si="11"/>
        <v>0</v>
      </c>
      <c r="O1835" s="74">
        <f t="shared" si="13"/>
        <v>0</v>
      </c>
      <c r="P1835" s="63">
        <f t="shared" si="14"/>
        <v>0</v>
      </c>
      <c r="Q1835" s="63" t="str">
        <f t="shared" si="15"/>
        <v>#N/A</v>
      </c>
      <c r="R1835" s="93" t="str">
        <f>VLOOKUP(F1835,DATABASE!C:Q,4,false)</f>
        <v>#N/A</v>
      </c>
      <c r="S1835" s="93" t="str">
        <f>VLOOKUP(F1835,DATABASE!C:P,11,false)</f>
        <v>#N/A</v>
      </c>
      <c r="T1835" s="93" t="str">
        <f>vlookup(F1835,DATABASE!C:Q,8,false)</f>
        <v>#N/A</v>
      </c>
      <c r="Z1835" s="9"/>
    </row>
    <row r="1836" ht="22.5" customHeight="1">
      <c r="A1836" s="49"/>
      <c r="C1836" s="384"/>
      <c r="D1836" s="93"/>
      <c r="F1836" s="74"/>
      <c r="H1836" s="74"/>
      <c r="I1836" s="74"/>
      <c r="J1836" s="74"/>
      <c r="K1836" s="74" t="str">
        <f>if(F1836="SERVICE",O1836-(O1836*50%),Vlookup(F1836,DATABASE!C:Q,10,false)*G1836)</f>
        <v>#N/A</v>
      </c>
      <c r="L1836" s="74" t="str">
        <f>VLOOKUP(F1836,DATABASE!C:Q,7,FALSE)</f>
        <v>#N/A</v>
      </c>
      <c r="M1836" s="74"/>
      <c r="N1836" s="74">
        <f t="shared" si="11"/>
        <v>0</v>
      </c>
      <c r="O1836" s="74">
        <f t="shared" si="13"/>
        <v>0</v>
      </c>
      <c r="P1836" s="63">
        <f t="shared" si="14"/>
        <v>0</v>
      </c>
      <c r="Q1836" s="63" t="str">
        <f t="shared" si="15"/>
        <v>#N/A</v>
      </c>
      <c r="R1836" s="93" t="str">
        <f>VLOOKUP(F1836,DATABASE!C:Q,4,false)</f>
        <v>#N/A</v>
      </c>
      <c r="S1836" s="93" t="str">
        <f>VLOOKUP(F1836,DATABASE!C:P,11,false)</f>
        <v>#N/A</v>
      </c>
      <c r="T1836" s="93" t="str">
        <f>vlookup(F1836,DATABASE!C:Q,8,false)</f>
        <v>#N/A</v>
      </c>
      <c r="Z1836" s="9"/>
    </row>
    <row r="1837" ht="22.5" customHeight="1">
      <c r="A1837" s="49"/>
      <c r="C1837" s="384"/>
      <c r="D1837" s="93"/>
      <c r="F1837" s="74"/>
      <c r="H1837" s="74"/>
      <c r="I1837" s="74"/>
      <c r="J1837" s="74"/>
      <c r="K1837" s="74" t="str">
        <f>if(F1837="SERVICE",O1837-(O1837*50%),Vlookup(F1837,DATABASE!C:Q,10,false)*G1837)</f>
        <v>#N/A</v>
      </c>
      <c r="L1837" s="74" t="str">
        <f>VLOOKUP(F1837,DATABASE!C:Q,7,FALSE)</f>
        <v>#N/A</v>
      </c>
      <c r="M1837" s="74"/>
      <c r="N1837" s="74">
        <f t="shared" si="11"/>
        <v>0</v>
      </c>
      <c r="O1837" s="74">
        <f t="shared" si="13"/>
        <v>0</v>
      </c>
      <c r="P1837" s="63">
        <f t="shared" si="14"/>
        <v>0</v>
      </c>
      <c r="Q1837" s="63" t="str">
        <f t="shared" si="15"/>
        <v>#N/A</v>
      </c>
      <c r="R1837" s="93" t="str">
        <f>VLOOKUP(F1837,DATABASE!C:Q,4,false)</f>
        <v>#N/A</v>
      </c>
      <c r="S1837" s="93" t="str">
        <f>VLOOKUP(F1837,DATABASE!C:P,11,false)</f>
        <v>#N/A</v>
      </c>
      <c r="T1837" s="93" t="str">
        <f>vlookup(F1837,DATABASE!C:Q,8,false)</f>
        <v>#N/A</v>
      </c>
      <c r="Z1837" s="9"/>
    </row>
    <row r="1838" ht="22.5" customHeight="1">
      <c r="A1838" s="49"/>
      <c r="C1838" s="384"/>
      <c r="D1838" s="93"/>
      <c r="F1838" s="74"/>
      <c r="H1838" s="74"/>
      <c r="I1838" s="74"/>
      <c r="J1838" s="74"/>
      <c r="K1838" s="74" t="str">
        <f>if(F1838="SERVICE",O1838-(O1838*50%),Vlookup(F1838,DATABASE!C:Q,10,false)*G1838)</f>
        <v>#N/A</v>
      </c>
      <c r="L1838" s="74" t="str">
        <f>VLOOKUP(F1838,DATABASE!C:Q,7,FALSE)</f>
        <v>#N/A</v>
      </c>
      <c r="M1838" s="74"/>
      <c r="N1838" s="74">
        <f t="shared" si="11"/>
        <v>0</v>
      </c>
      <c r="O1838" s="74">
        <f t="shared" si="13"/>
        <v>0</v>
      </c>
      <c r="P1838" s="63">
        <f t="shared" si="14"/>
        <v>0</v>
      </c>
      <c r="Q1838" s="63" t="str">
        <f t="shared" si="15"/>
        <v>#N/A</v>
      </c>
      <c r="R1838" s="93" t="str">
        <f>VLOOKUP(F1838,DATABASE!C:Q,4,false)</f>
        <v>#N/A</v>
      </c>
      <c r="S1838" s="93" t="str">
        <f>VLOOKUP(F1838,DATABASE!C:P,11,false)</f>
        <v>#N/A</v>
      </c>
      <c r="T1838" s="93" t="str">
        <f>vlookup(F1838,DATABASE!C:Q,8,false)</f>
        <v>#N/A</v>
      </c>
      <c r="Z1838" s="9"/>
    </row>
    <row r="1839" ht="22.5" customHeight="1">
      <c r="A1839" s="49"/>
      <c r="C1839" s="384"/>
      <c r="D1839" s="93"/>
      <c r="F1839" s="74"/>
      <c r="H1839" s="74"/>
      <c r="I1839" s="74"/>
      <c r="J1839" s="74"/>
      <c r="K1839" s="74" t="str">
        <f>if(F1839="SERVICE",O1839-(O1839*50%),Vlookup(F1839,DATABASE!C:Q,10,false)*G1839)</f>
        <v>#N/A</v>
      </c>
      <c r="L1839" s="74" t="str">
        <f>VLOOKUP(F1839,DATABASE!C:Q,7,FALSE)</f>
        <v>#N/A</v>
      </c>
      <c r="M1839" s="74"/>
      <c r="N1839" s="74">
        <f t="shared" si="11"/>
        <v>0</v>
      </c>
      <c r="O1839" s="74">
        <f t="shared" si="13"/>
        <v>0</v>
      </c>
      <c r="P1839" s="63">
        <f t="shared" si="14"/>
        <v>0</v>
      </c>
      <c r="Q1839" s="63" t="str">
        <f t="shared" si="15"/>
        <v>#N/A</v>
      </c>
      <c r="R1839" s="93" t="str">
        <f>VLOOKUP(F1839,DATABASE!C:Q,4,false)</f>
        <v>#N/A</v>
      </c>
      <c r="S1839" s="93" t="str">
        <f>VLOOKUP(F1839,DATABASE!C:P,11,false)</f>
        <v>#N/A</v>
      </c>
      <c r="T1839" s="93" t="str">
        <f>vlookup(F1839,DATABASE!C:Q,8,false)</f>
        <v>#N/A</v>
      </c>
      <c r="Z1839" s="9"/>
    </row>
    <row r="1840" ht="22.5" customHeight="1">
      <c r="A1840" s="49"/>
      <c r="C1840" s="384"/>
      <c r="D1840" s="93"/>
      <c r="F1840" s="74"/>
      <c r="H1840" s="74"/>
      <c r="I1840" s="74"/>
      <c r="J1840" s="74"/>
      <c r="K1840" s="74" t="str">
        <f>if(F1840="SERVICE",O1840-(O1840*50%),Vlookup(F1840,DATABASE!C:Q,10,false)*G1840)</f>
        <v>#N/A</v>
      </c>
      <c r="L1840" s="74" t="str">
        <f>VLOOKUP(F1840,DATABASE!C:Q,7,FALSE)</f>
        <v>#N/A</v>
      </c>
      <c r="M1840" s="74"/>
      <c r="N1840" s="74">
        <f t="shared" si="11"/>
        <v>0</v>
      </c>
      <c r="O1840" s="74">
        <f t="shared" si="13"/>
        <v>0</v>
      </c>
      <c r="P1840" s="63">
        <f t="shared" si="14"/>
        <v>0</v>
      </c>
      <c r="Q1840" s="63" t="str">
        <f t="shared" si="15"/>
        <v>#N/A</v>
      </c>
      <c r="R1840" s="93" t="str">
        <f>VLOOKUP(F1840,DATABASE!C:Q,4,false)</f>
        <v>#N/A</v>
      </c>
      <c r="S1840" s="93" t="str">
        <f>VLOOKUP(F1840,DATABASE!C:P,11,false)</f>
        <v>#N/A</v>
      </c>
      <c r="T1840" s="93" t="str">
        <f>vlookup(F1840,DATABASE!C:Q,8,false)</f>
        <v>#N/A</v>
      </c>
      <c r="Z1840" s="9"/>
    </row>
    <row r="1841" ht="22.5" customHeight="1">
      <c r="A1841" s="49"/>
      <c r="C1841" s="384"/>
      <c r="D1841" s="93"/>
      <c r="F1841" s="74"/>
      <c r="H1841" s="74"/>
      <c r="I1841" s="74"/>
      <c r="J1841" s="74"/>
      <c r="K1841" s="74" t="str">
        <f>if(F1841="SERVICE",O1841-(O1841*50%),Vlookup(F1841,DATABASE!C:Q,10,false)*G1841)</f>
        <v>#N/A</v>
      </c>
      <c r="L1841" s="74" t="str">
        <f>VLOOKUP(F1841,DATABASE!C:Q,7,FALSE)</f>
        <v>#N/A</v>
      </c>
      <c r="M1841" s="74"/>
      <c r="N1841" s="74">
        <f t="shared" si="11"/>
        <v>0</v>
      </c>
      <c r="O1841" s="74">
        <f t="shared" si="13"/>
        <v>0</v>
      </c>
      <c r="P1841" s="63">
        <f t="shared" si="14"/>
        <v>0</v>
      </c>
      <c r="Q1841" s="63" t="str">
        <f t="shared" si="15"/>
        <v>#N/A</v>
      </c>
      <c r="R1841" s="93" t="str">
        <f>VLOOKUP(F1841,DATABASE!C:Q,4,false)</f>
        <v>#N/A</v>
      </c>
      <c r="S1841" s="93" t="str">
        <f>VLOOKUP(F1841,DATABASE!C:P,11,false)</f>
        <v>#N/A</v>
      </c>
      <c r="T1841" s="93" t="str">
        <f>vlookup(F1841,DATABASE!C:Q,8,false)</f>
        <v>#N/A</v>
      </c>
      <c r="Z1841" s="9"/>
    </row>
    <row r="1842" ht="22.5" customHeight="1">
      <c r="A1842" s="49"/>
      <c r="C1842" s="384"/>
      <c r="D1842" s="93"/>
      <c r="F1842" s="74"/>
      <c r="H1842" s="74"/>
      <c r="I1842" s="74"/>
      <c r="J1842" s="74"/>
      <c r="K1842" s="74" t="str">
        <f>if(F1842="SERVICE",O1842-(O1842*50%),Vlookup(F1842,DATABASE!C:Q,10,false)*G1842)</f>
        <v>#N/A</v>
      </c>
      <c r="L1842" s="74" t="str">
        <f>VLOOKUP(F1842,DATABASE!C:Q,7,FALSE)</f>
        <v>#N/A</v>
      </c>
      <c r="M1842" s="74"/>
      <c r="N1842" s="74">
        <f t="shared" si="11"/>
        <v>0</v>
      </c>
      <c r="O1842" s="74">
        <f t="shared" si="13"/>
        <v>0</v>
      </c>
      <c r="P1842" s="63">
        <f t="shared" si="14"/>
        <v>0</v>
      </c>
      <c r="Q1842" s="63" t="str">
        <f t="shared" si="15"/>
        <v>#N/A</v>
      </c>
      <c r="R1842" s="93" t="str">
        <f>VLOOKUP(F1842,DATABASE!C:Q,4,false)</f>
        <v>#N/A</v>
      </c>
      <c r="S1842" s="93" t="str">
        <f>VLOOKUP(F1842,DATABASE!C:P,11,false)</f>
        <v>#N/A</v>
      </c>
      <c r="T1842" s="93" t="str">
        <f>vlookup(F1842,DATABASE!C:Q,8,false)</f>
        <v>#N/A</v>
      </c>
      <c r="Z1842" s="9"/>
    </row>
    <row r="1843" ht="22.5" customHeight="1">
      <c r="A1843" s="49"/>
      <c r="C1843" s="384"/>
      <c r="D1843" s="93"/>
      <c r="F1843" s="74"/>
      <c r="H1843" s="74"/>
      <c r="I1843" s="74"/>
      <c r="J1843" s="74"/>
      <c r="K1843" s="74" t="str">
        <f>if(F1843="SERVICE",O1843-(O1843*50%),Vlookup(F1843,DATABASE!C:Q,10,false)*G1843)</f>
        <v>#N/A</v>
      </c>
      <c r="L1843" s="74" t="str">
        <f>VLOOKUP(F1843,DATABASE!C:Q,7,FALSE)</f>
        <v>#N/A</v>
      </c>
      <c r="M1843" s="74"/>
      <c r="N1843" s="74">
        <f t="shared" si="11"/>
        <v>0</v>
      </c>
      <c r="O1843" s="74">
        <f t="shared" si="13"/>
        <v>0</v>
      </c>
      <c r="P1843" s="63">
        <f t="shared" si="14"/>
        <v>0</v>
      </c>
      <c r="Q1843" s="63" t="str">
        <f t="shared" si="15"/>
        <v>#N/A</v>
      </c>
      <c r="R1843" s="93" t="str">
        <f>VLOOKUP(F1843,DATABASE!C:Q,4,false)</f>
        <v>#N/A</v>
      </c>
      <c r="S1843" s="93" t="str">
        <f>VLOOKUP(F1843,DATABASE!C:P,11,false)</f>
        <v>#N/A</v>
      </c>
      <c r="T1843" s="93" t="str">
        <f>vlookup(F1843,DATABASE!C:Q,8,false)</f>
        <v>#N/A</v>
      </c>
      <c r="Z1843" s="9"/>
    </row>
    <row r="1844" ht="22.5" customHeight="1">
      <c r="A1844" s="49"/>
      <c r="C1844" s="384"/>
      <c r="D1844" s="93"/>
      <c r="F1844" s="74"/>
      <c r="H1844" s="74"/>
      <c r="I1844" s="74"/>
      <c r="J1844" s="74"/>
      <c r="K1844" s="74" t="str">
        <f>if(F1844="SERVICE",O1844-(O1844*50%),Vlookup(F1844,DATABASE!C:Q,10,false)*G1844)</f>
        <v>#N/A</v>
      </c>
      <c r="L1844" s="74" t="str">
        <f>VLOOKUP(F1844,DATABASE!C:Q,7,FALSE)</f>
        <v>#N/A</v>
      </c>
      <c r="M1844" s="74"/>
      <c r="N1844" s="74">
        <f t="shared" si="11"/>
        <v>0</v>
      </c>
      <c r="O1844" s="74">
        <f t="shared" si="13"/>
        <v>0</v>
      </c>
      <c r="P1844" s="63">
        <f t="shared" si="14"/>
        <v>0</v>
      </c>
      <c r="Q1844" s="63" t="str">
        <f t="shared" si="15"/>
        <v>#N/A</v>
      </c>
      <c r="R1844" s="93" t="str">
        <f>VLOOKUP(F1844,DATABASE!C:Q,4,false)</f>
        <v>#N/A</v>
      </c>
      <c r="S1844" s="93" t="str">
        <f>VLOOKUP(F1844,DATABASE!C:P,11,false)</f>
        <v>#N/A</v>
      </c>
      <c r="T1844" s="93" t="str">
        <f>vlookup(F1844,DATABASE!C:Q,8,false)</f>
        <v>#N/A</v>
      </c>
      <c r="Z1844" s="9"/>
    </row>
    <row r="1845" ht="22.5" customHeight="1">
      <c r="A1845" s="49"/>
      <c r="C1845" s="384"/>
      <c r="D1845" s="93"/>
      <c r="F1845" s="74"/>
      <c r="H1845" s="74"/>
      <c r="I1845" s="74"/>
      <c r="J1845" s="74"/>
      <c r="K1845" s="74" t="str">
        <f>if(F1845="SERVICE",O1845-(O1845*50%),Vlookup(F1845,DATABASE!C:Q,10,false)*G1845)</f>
        <v>#N/A</v>
      </c>
      <c r="L1845" s="74" t="str">
        <f>VLOOKUP(F1845,DATABASE!C:Q,7,FALSE)</f>
        <v>#N/A</v>
      </c>
      <c r="M1845" s="74"/>
      <c r="N1845" s="74">
        <f t="shared" si="11"/>
        <v>0</v>
      </c>
      <c r="O1845" s="74">
        <f t="shared" si="13"/>
        <v>0</v>
      </c>
      <c r="P1845" s="63">
        <f t="shared" si="14"/>
        <v>0</v>
      </c>
      <c r="Q1845" s="63" t="str">
        <f t="shared" si="15"/>
        <v>#N/A</v>
      </c>
      <c r="R1845" s="93" t="str">
        <f>VLOOKUP(F1845,DATABASE!C:Q,4,false)</f>
        <v>#N/A</v>
      </c>
      <c r="S1845" s="93" t="str">
        <f>VLOOKUP(F1845,DATABASE!C:P,11,false)</f>
        <v>#N/A</v>
      </c>
      <c r="T1845" s="93" t="str">
        <f>vlookup(F1845,DATABASE!C:Q,8,false)</f>
        <v>#N/A</v>
      </c>
      <c r="Z1845" s="9"/>
    </row>
    <row r="1846" ht="22.5" customHeight="1">
      <c r="A1846" s="49"/>
      <c r="C1846" s="384"/>
      <c r="D1846" s="93"/>
      <c r="F1846" s="74"/>
      <c r="H1846" s="74"/>
      <c r="I1846" s="74"/>
      <c r="J1846" s="74"/>
      <c r="K1846" s="74" t="str">
        <f>if(F1846="SERVICE",O1846-(O1846*50%),Vlookup(F1846,DATABASE!C:Q,10,false)*G1846)</f>
        <v>#N/A</v>
      </c>
      <c r="L1846" s="74" t="str">
        <f>VLOOKUP(F1846,DATABASE!C:Q,7,FALSE)</f>
        <v>#N/A</v>
      </c>
      <c r="M1846" s="74"/>
      <c r="N1846" s="74">
        <f t="shared" si="11"/>
        <v>0</v>
      </c>
      <c r="O1846" s="74">
        <f t="shared" si="13"/>
        <v>0</v>
      </c>
      <c r="P1846" s="63">
        <f t="shared" si="14"/>
        <v>0</v>
      </c>
      <c r="Q1846" s="63" t="str">
        <f t="shared" si="15"/>
        <v>#N/A</v>
      </c>
      <c r="R1846" s="93" t="str">
        <f>VLOOKUP(F1846,DATABASE!C:Q,4,false)</f>
        <v>#N/A</v>
      </c>
      <c r="S1846" s="93" t="str">
        <f>VLOOKUP(F1846,DATABASE!C:P,11,false)</f>
        <v>#N/A</v>
      </c>
      <c r="T1846" s="93" t="str">
        <f>vlookup(F1846,DATABASE!C:Q,8,false)</f>
        <v>#N/A</v>
      </c>
      <c r="Z1846" s="9"/>
    </row>
    <row r="1847" ht="22.5" customHeight="1">
      <c r="A1847" s="49"/>
      <c r="C1847" s="384"/>
      <c r="D1847" s="93"/>
      <c r="F1847" s="74"/>
      <c r="H1847" s="74"/>
      <c r="I1847" s="74"/>
      <c r="J1847" s="74"/>
      <c r="K1847" s="74" t="str">
        <f>if(F1847="SERVICE",O1847-(O1847*50%),Vlookup(F1847,DATABASE!C:Q,10,false)*G1847)</f>
        <v>#N/A</v>
      </c>
      <c r="L1847" s="74" t="str">
        <f>VLOOKUP(F1847,DATABASE!C:Q,7,FALSE)</f>
        <v>#N/A</v>
      </c>
      <c r="M1847" s="74"/>
      <c r="N1847" s="74">
        <f t="shared" si="11"/>
        <v>0</v>
      </c>
      <c r="O1847" s="74">
        <f t="shared" si="13"/>
        <v>0</v>
      </c>
      <c r="P1847" s="63">
        <f t="shared" si="14"/>
        <v>0</v>
      </c>
      <c r="Q1847" s="63" t="str">
        <f t="shared" si="15"/>
        <v>#N/A</v>
      </c>
      <c r="R1847" s="93" t="str">
        <f>VLOOKUP(F1847,DATABASE!C:Q,4,false)</f>
        <v>#N/A</v>
      </c>
      <c r="S1847" s="93" t="str">
        <f>VLOOKUP(F1847,DATABASE!C:P,11,false)</f>
        <v>#N/A</v>
      </c>
      <c r="T1847" s="93" t="str">
        <f>vlookup(F1847,DATABASE!C:Q,8,false)</f>
        <v>#N/A</v>
      </c>
      <c r="Z1847" s="9"/>
    </row>
    <row r="1848" ht="22.5" customHeight="1">
      <c r="A1848" s="49"/>
      <c r="C1848" s="384"/>
      <c r="D1848" s="93"/>
      <c r="F1848" s="74"/>
      <c r="H1848" s="74"/>
      <c r="I1848" s="74"/>
      <c r="J1848" s="74"/>
      <c r="K1848" s="74" t="str">
        <f>if(F1848="SERVICE",O1848-(O1848*50%),Vlookup(F1848,DATABASE!C:Q,10,false)*G1848)</f>
        <v>#N/A</v>
      </c>
      <c r="L1848" s="74" t="str">
        <f>VLOOKUP(F1848,DATABASE!C:Q,7,FALSE)</f>
        <v>#N/A</v>
      </c>
      <c r="M1848" s="74"/>
      <c r="N1848" s="74">
        <f t="shared" si="11"/>
        <v>0</v>
      </c>
      <c r="O1848" s="74">
        <f t="shared" si="13"/>
        <v>0</v>
      </c>
      <c r="P1848" s="63">
        <f t="shared" si="14"/>
        <v>0</v>
      </c>
      <c r="Q1848" s="63" t="str">
        <f t="shared" si="15"/>
        <v>#N/A</v>
      </c>
      <c r="R1848" s="93" t="str">
        <f>VLOOKUP(F1848,DATABASE!C:Q,4,false)</f>
        <v>#N/A</v>
      </c>
      <c r="S1848" s="93" t="str">
        <f>VLOOKUP(F1848,DATABASE!C:P,11,false)</f>
        <v>#N/A</v>
      </c>
      <c r="T1848" s="93" t="str">
        <f>vlookup(F1848,DATABASE!C:Q,8,false)</f>
        <v>#N/A</v>
      </c>
      <c r="Z1848" s="9"/>
    </row>
    <row r="1849" ht="22.5" customHeight="1">
      <c r="A1849" s="49"/>
      <c r="C1849" s="384"/>
      <c r="D1849" s="93"/>
      <c r="F1849" s="74"/>
      <c r="H1849" s="74"/>
      <c r="I1849" s="74"/>
      <c r="J1849" s="74"/>
      <c r="K1849" s="74" t="str">
        <f>if(F1849="SERVICE",O1849-(O1849*50%),Vlookup(F1849,DATABASE!C:Q,10,false)*G1849)</f>
        <v>#N/A</v>
      </c>
      <c r="L1849" s="74" t="str">
        <f>VLOOKUP(F1849,DATABASE!C:Q,7,FALSE)</f>
        <v>#N/A</v>
      </c>
      <c r="M1849" s="74"/>
      <c r="N1849" s="74">
        <f t="shared" si="11"/>
        <v>0</v>
      </c>
      <c r="O1849" s="74">
        <f t="shared" si="13"/>
        <v>0</v>
      </c>
      <c r="P1849" s="63">
        <f t="shared" si="14"/>
        <v>0</v>
      </c>
      <c r="Q1849" s="63" t="str">
        <f t="shared" si="15"/>
        <v>#N/A</v>
      </c>
      <c r="R1849" s="93" t="str">
        <f>VLOOKUP(F1849,DATABASE!C:Q,4,false)</f>
        <v>#N/A</v>
      </c>
      <c r="S1849" s="93" t="str">
        <f>VLOOKUP(F1849,DATABASE!C:P,11,false)</f>
        <v>#N/A</v>
      </c>
      <c r="T1849" s="93" t="str">
        <f>vlookup(F1849,DATABASE!C:Q,8,false)</f>
        <v>#N/A</v>
      </c>
      <c r="Z1849" s="9"/>
    </row>
    <row r="1850" ht="22.5" customHeight="1">
      <c r="A1850" s="49"/>
      <c r="C1850" s="384"/>
      <c r="D1850" s="93"/>
      <c r="F1850" s="74"/>
      <c r="H1850" s="74"/>
      <c r="I1850" s="74"/>
      <c r="J1850" s="74"/>
      <c r="K1850" s="74" t="str">
        <f>if(F1850="SERVICE",O1850-(O1850*50%),Vlookup(F1850,DATABASE!C:Q,10,false)*G1850)</f>
        <v>#N/A</v>
      </c>
      <c r="L1850" s="74" t="str">
        <f>VLOOKUP(F1850,DATABASE!C:Q,7,FALSE)</f>
        <v>#N/A</v>
      </c>
      <c r="M1850" s="74"/>
      <c r="N1850" s="74">
        <f t="shared" si="11"/>
        <v>0</v>
      </c>
      <c r="O1850" s="74">
        <f t="shared" si="13"/>
        <v>0</v>
      </c>
      <c r="P1850" s="63">
        <f t="shared" si="14"/>
        <v>0</v>
      </c>
      <c r="Q1850" s="63" t="str">
        <f t="shared" si="15"/>
        <v>#N/A</v>
      </c>
      <c r="R1850" s="93" t="str">
        <f>VLOOKUP(F1850,DATABASE!C:Q,4,false)</f>
        <v>#N/A</v>
      </c>
      <c r="S1850" s="93" t="str">
        <f>VLOOKUP(F1850,DATABASE!C:P,11,false)</f>
        <v>#N/A</v>
      </c>
      <c r="T1850" s="93" t="str">
        <f>vlookup(F1850,DATABASE!C:Q,8,false)</f>
        <v>#N/A</v>
      </c>
      <c r="Z1850" s="9"/>
    </row>
    <row r="1851" ht="22.5" customHeight="1">
      <c r="A1851" s="49"/>
      <c r="C1851" s="384"/>
      <c r="D1851" s="93"/>
      <c r="F1851" s="74"/>
      <c r="H1851" s="74"/>
      <c r="I1851" s="74"/>
      <c r="J1851" s="74"/>
      <c r="K1851" s="74" t="str">
        <f>if(F1851="SERVICE",O1851-(O1851*50%),Vlookup(F1851,DATABASE!C:Q,10,false)*G1851)</f>
        <v>#N/A</v>
      </c>
      <c r="L1851" s="74" t="str">
        <f>VLOOKUP(F1851,DATABASE!C:Q,7,FALSE)</f>
        <v>#N/A</v>
      </c>
      <c r="M1851" s="74"/>
      <c r="N1851" s="74">
        <f t="shared" si="11"/>
        <v>0</v>
      </c>
      <c r="O1851" s="74">
        <f t="shared" si="13"/>
        <v>0</v>
      </c>
      <c r="P1851" s="63">
        <f t="shared" si="14"/>
        <v>0</v>
      </c>
      <c r="Q1851" s="63" t="str">
        <f t="shared" si="15"/>
        <v>#N/A</v>
      </c>
      <c r="R1851" s="93" t="str">
        <f>VLOOKUP(F1851,DATABASE!C:Q,4,false)</f>
        <v>#N/A</v>
      </c>
      <c r="S1851" s="93" t="str">
        <f>VLOOKUP(F1851,DATABASE!C:P,11,false)</f>
        <v>#N/A</v>
      </c>
      <c r="T1851" s="93" t="str">
        <f>vlookup(F1851,DATABASE!C:Q,8,false)</f>
        <v>#N/A</v>
      </c>
      <c r="Z1851" s="9"/>
    </row>
    <row r="1852" ht="22.5" customHeight="1">
      <c r="A1852" s="49"/>
      <c r="C1852" s="384"/>
      <c r="D1852" s="93"/>
      <c r="F1852" s="74"/>
      <c r="H1852" s="74"/>
      <c r="I1852" s="74"/>
      <c r="J1852" s="74"/>
      <c r="K1852" s="74" t="str">
        <f>if(F1852="SERVICE",O1852-(O1852*50%),Vlookup(F1852,DATABASE!C:Q,10,false)*G1852)</f>
        <v>#N/A</v>
      </c>
      <c r="L1852" s="74" t="str">
        <f>VLOOKUP(F1852,DATABASE!C:Q,7,FALSE)</f>
        <v>#N/A</v>
      </c>
      <c r="M1852" s="74"/>
      <c r="N1852" s="74">
        <f t="shared" si="11"/>
        <v>0</v>
      </c>
      <c r="O1852" s="74">
        <f t="shared" si="13"/>
        <v>0</v>
      </c>
      <c r="P1852" s="63">
        <f t="shared" si="14"/>
        <v>0</v>
      </c>
      <c r="Q1852" s="63" t="str">
        <f t="shared" si="15"/>
        <v>#N/A</v>
      </c>
      <c r="R1852" s="93" t="str">
        <f>VLOOKUP(F1852,DATABASE!C:Q,4,false)</f>
        <v>#N/A</v>
      </c>
      <c r="S1852" s="93" t="str">
        <f>VLOOKUP(F1852,DATABASE!C:P,11,false)</f>
        <v>#N/A</v>
      </c>
      <c r="T1852" s="93" t="str">
        <f>vlookup(F1852,DATABASE!C:Q,8,false)</f>
        <v>#N/A</v>
      </c>
      <c r="Z1852" s="9"/>
    </row>
    <row r="1853" ht="22.5" customHeight="1">
      <c r="A1853" s="49"/>
      <c r="C1853" s="384"/>
      <c r="D1853" s="93"/>
      <c r="F1853" s="74"/>
      <c r="H1853" s="74"/>
      <c r="I1853" s="74"/>
      <c r="J1853" s="74"/>
      <c r="K1853" s="74" t="str">
        <f>if(F1853="SERVICE",O1853-(O1853*50%),Vlookup(F1853,DATABASE!C:Q,10,false)*G1853)</f>
        <v>#N/A</v>
      </c>
      <c r="L1853" s="74" t="str">
        <f>VLOOKUP(F1853,DATABASE!C:Q,7,FALSE)</f>
        <v>#N/A</v>
      </c>
      <c r="M1853" s="74"/>
      <c r="N1853" s="74">
        <f t="shared" si="11"/>
        <v>0</v>
      </c>
      <c r="O1853" s="74">
        <f t="shared" si="13"/>
        <v>0</v>
      </c>
      <c r="P1853" s="63">
        <f t="shared" si="14"/>
        <v>0</v>
      </c>
      <c r="Q1853" s="63" t="str">
        <f t="shared" si="15"/>
        <v>#N/A</v>
      </c>
      <c r="R1853" s="93" t="str">
        <f>VLOOKUP(F1853,DATABASE!C:Q,4,false)</f>
        <v>#N/A</v>
      </c>
      <c r="S1853" s="93" t="str">
        <f>VLOOKUP(F1853,DATABASE!C:P,11,false)</f>
        <v>#N/A</v>
      </c>
      <c r="T1853" s="93" t="str">
        <f>vlookup(F1853,DATABASE!C:Q,8,false)</f>
        <v>#N/A</v>
      </c>
      <c r="Z1853" s="9"/>
    </row>
    <row r="1854" ht="22.5" customHeight="1">
      <c r="A1854" s="49"/>
      <c r="C1854" s="384"/>
      <c r="D1854" s="93"/>
      <c r="F1854" s="74"/>
      <c r="H1854" s="74"/>
      <c r="I1854" s="74"/>
      <c r="J1854" s="74"/>
      <c r="K1854" s="74" t="str">
        <f>if(F1854="SERVICE",O1854-(O1854*50%),Vlookup(F1854,DATABASE!C:Q,10,false)*G1854)</f>
        <v>#N/A</v>
      </c>
      <c r="L1854" s="74" t="str">
        <f>VLOOKUP(F1854,DATABASE!C:Q,7,FALSE)</f>
        <v>#N/A</v>
      </c>
      <c r="M1854" s="74"/>
      <c r="N1854" s="74">
        <f t="shared" si="11"/>
        <v>0</v>
      </c>
      <c r="O1854" s="74">
        <f t="shared" si="13"/>
        <v>0</v>
      </c>
      <c r="P1854" s="63">
        <f t="shared" si="14"/>
        <v>0</v>
      </c>
      <c r="Q1854" s="63" t="str">
        <f t="shared" si="15"/>
        <v>#N/A</v>
      </c>
      <c r="R1854" s="93" t="str">
        <f>VLOOKUP(F1854,DATABASE!C:Q,4,false)</f>
        <v>#N/A</v>
      </c>
      <c r="S1854" s="93" t="str">
        <f>VLOOKUP(F1854,DATABASE!C:P,11,false)</f>
        <v>#N/A</v>
      </c>
      <c r="T1854" s="93" t="str">
        <f>vlookup(F1854,DATABASE!C:Q,8,false)</f>
        <v>#N/A</v>
      </c>
      <c r="Z1854" s="9"/>
    </row>
    <row r="1855" ht="22.5" customHeight="1">
      <c r="A1855" s="49"/>
      <c r="C1855" s="384"/>
      <c r="D1855" s="93"/>
      <c r="F1855" s="74"/>
      <c r="H1855" s="74"/>
      <c r="I1855" s="74"/>
      <c r="J1855" s="74"/>
      <c r="K1855" s="74" t="str">
        <f>if(F1855="SERVICE",O1855-(O1855*50%),Vlookup(F1855,DATABASE!C:Q,10,false)*G1855)</f>
        <v>#N/A</v>
      </c>
      <c r="L1855" s="74" t="str">
        <f>VLOOKUP(F1855,DATABASE!C:Q,7,FALSE)</f>
        <v>#N/A</v>
      </c>
      <c r="M1855" s="74"/>
      <c r="N1855" s="74">
        <f t="shared" si="11"/>
        <v>0</v>
      </c>
      <c r="O1855" s="74">
        <f t="shared" si="13"/>
        <v>0</v>
      </c>
      <c r="P1855" s="63">
        <f t="shared" si="14"/>
        <v>0</v>
      </c>
      <c r="Q1855" s="63" t="str">
        <f t="shared" si="15"/>
        <v>#N/A</v>
      </c>
      <c r="R1855" s="93" t="str">
        <f>VLOOKUP(F1855,DATABASE!C:Q,4,false)</f>
        <v>#N/A</v>
      </c>
      <c r="S1855" s="93" t="str">
        <f>VLOOKUP(F1855,DATABASE!C:P,11,false)</f>
        <v>#N/A</v>
      </c>
      <c r="T1855" s="93" t="str">
        <f>vlookup(F1855,DATABASE!C:Q,8,false)</f>
        <v>#N/A</v>
      </c>
      <c r="Z1855" s="9"/>
    </row>
    <row r="1856" ht="22.5" customHeight="1">
      <c r="A1856" s="49"/>
      <c r="C1856" s="384"/>
      <c r="D1856" s="93"/>
      <c r="F1856" s="74"/>
      <c r="H1856" s="74"/>
      <c r="I1856" s="74"/>
      <c r="J1856" s="74"/>
      <c r="K1856" s="74" t="str">
        <f>if(F1856="SERVICE",O1856-(O1856*50%),Vlookup(F1856,DATABASE!C:Q,10,false)*G1856)</f>
        <v>#N/A</v>
      </c>
      <c r="L1856" s="74" t="str">
        <f>VLOOKUP(F1856,DATABASE!C:Q,7,FALSE)</f>
        <v>#N/A</v>
      </c>
      <c r="M1856" s="74"/>
      <c r="N1856" s="74">
        <f t="shared" si="11"/>
        <v>0</v>
      </c>
      <c r="O1856" s="74">
        <f t="shared" si="13"/>
        <v>0</v>
      </c>
      <c r="P1856" s="63">
        <f t="shared" si="14"/>
        <v>0</v>
      </c>
      <c r="Q1856" s="63" t="str">
        <f t="shared" si="15"/>
        <v>#N/A</v>
      </c>
      <c r="R1856" s="93" t="str">
        <f>VLOOKUP(F1856,DATABASE!C:Q,4,false)</f>
        <v>#N/A</v>
      </c>
      <c r="S1856" s="93" t="str">
        <f>VLOOKUP(F1856,DATABASE!C:P,11,false)</f>
        <v>#N/A</v>
      </c>
      <c r="T1856" s="93" t="str">
        <f>vlookup(F1856,DATABASE!C:Q,8,false)</f>
        <v>#N/A</v>
      </c>
      <c r="Z1856" s="9"/>
    </row>
    <row r="1857" ht="22.5" customHeight="1">
      <c r="A1857" s="49"/>
      <c r="C1857" s="384"/>
      <c r="D1857" s="93"/>
      <c r="F1857" s="74"/>
      <c r="H1857" s="74"/>
      <c r="I1857" s="74"/>
      <c r="J1857" s="74"/>
      <c r="K1857" s="74" t="str">
        <f>if(F1857="SERVICE",O1857-(O1857*50%),Vlookup(F1857,DATABASE!C:Q,10,false)*G1857)</f>
        <v>#N/A</v>
      </c>
      <c r="L1857" s="74" t="str">
        <f>VLOOKUP(F1857,DATABASE!C:Q,7,FALSE)</f>
        <v>#N/A</v>
      </c>
      <c r="M1857" s="74"/>
      <c r="N1857" s="74">
        <f t="shared" si="11"/>
        <v>0</v>
      </c>
      <c r="O1857" s="74">
        <f t="shared" si="13"/>
        <v>0</v>
      </c>
      <c r="P1857" s="63">
        <f t="shared" si="14"/>
        <v>0</v>
      </c>
      <c r="Q1857" s="63" t="str">
        <f t="shared" si="15"/>
        <v>#N/A</v>
      </c>
      <c r="R1857" s="93" t="str">
        <f>VLOOKUP(F1857,DATABASE!C:Q,4,false)</f>
        <v>#N/A</v>
      </c>
      <c r="S1857" s="93" t="str">
        <f>VLOOKUP(F1857,DATABASE!C:P,11,false)</f>
        <v>#N/A</v>
      </c>
      <c r="T1857" s="93" t="str">
        <f>vlookup(F1857,DATABASE!C:Q,8,false)</f>
        <v>#N/A</v>
      </c>
      <c r="Z1857" s="9"/>
    </row>
    <row r="1858" ht="22.5" customHeight="1">
      <c r="A1858" s="49"/>
      <c r="C1858" s="384"/>
      <c r="D1858" s="93"/>
      <c r="F1858" s="74"/>
      <c r="H1858" s="74"/>
      <c r="I1858" s="74"/>
      <c r="J1858" s="74"/>
      <c r="K1858" s="74" t="str">
        <f>if(F1858="SERVICE",O1858-(O1858*50%),Vlookup(F1858,DATABASE!C:Q,10,false)*G1858)</f>
        <v>#N/A</v>
      </c>
      <c r="L1858" s="74" t="str">
        <f>VLOOKUP(F1858,DATABASE!C:Q,7,FALSE)</f>
        <v>#N/A</v>
      </c>
      <c r="M1858" s="74"/>
      <c r="N1858" s="74">
        <f t="shared" si="11"/>
        <v>0</v>
      </c>
      <c r="O1858" s="74">
        <f t="shared" si="13"/>
        <v>0</v>
      </c>
      <c r="P1858" s="63">
        <f t="shared" si="14"/>
        <v>0</v>
      </c>
      <c r="Q1858" s="63" t="str">
        <f t="shared" si="15"/>
        <v>#N/A</v>
      </c>
      <c r="R1858" s="93" t="str">
        <f>VLOOKUP(F1858,DATABASE!C:Q,4,false)</f>
        <v>#N/A</v>
      </c>
      <c r="S1858" s="93" t="str">
        <f>VLOOKUP(F1858,DATABASE!C:P,11,false)</f>
        <v>#N/A</v>
      </c>
      <c r="T1858" s="93" t="str">
        <f>vlookup(F1858,DATABASE!C:Q,8,false)</f>
        <v>#N/A</v>
      </c>
      <c r="Z1858" s="9"/>
    </row>
    <row r="1859" ht="22.5" customHeight="1">
      <c r="A1859" s="49"/>
      <c r="C1859" s="384"/>
      <c r="D1859" s="93"/>
      <c r="F1859" s="74"/>
      <c r="H1859" s="74"/>
      <c r="I1859" s="74"/>
      <c r="J1859" s="74"/>
      <c r="K1859" s="74" t="str">
        <f>if(F1859="SERVICE",O1859-(O1859*50%),Vlookup(F1859,DATABASE!C:Q,10,false)*G1859)</f>
        <v>#N/A</v>
      </c>
      <c r="L1859" s="74" t="str">
        <f>VLOOKUP(F1859,DATABASE!C:Q,7,FALSE)</f>
        <v>#N/A</v>
      </c>
      <c r="M1859" s="74"/>
      <c r="N1859" s="74">
        <f t="shared" si="11"/>
        <v>0</v>
      </c>
      <c r="O1859" s="74">
        <f t="shared" si="13"/>
        <v>0</v>
      </c>
      <c r="P1859" s="63">
        <f t="shared" si="14"/>
        <v>0</v>
      </c>
      <c r="Q1859" s="63" t="str">
        <f t="shared" si="15"/>
        <v>#N/A</v>
      </c>
      <c r="R1859" s="93" t="str">
        <f>VLOOKUP(F1859,DATABASE!C:Q,4,false)</f>
        <v>#N/A</v>
      </c>
      <c r="S1859" s="93" t="str">
        <f>VLOOKUP(F1859,DATABASE!C:P,11,false)</f>
        <v>#N/A</v>
      </c>
      <c r="T1859" s="93" t="str">
        <f>vlookup(F1859,DATABASE!C:Q,8,false)</f>
        <v>#N/A</v>
      </c>
      <c r="Z1859" s="9"/>
    </row>
    <row r="1860" ht="22.5" customHeight="1">
      <c r="A1860" s="49"/>
      <c r="C1860" s="384"/>
      <c r="D1860" s="93"/>
      <c r="F1860" s="74"/>
      <c r="H1860" s="74"/>
      <c r="I1860" s="74"/>
      <c r="J1860" s="74"/>
      <c r="K1860" s="74" t="str">
        <f>if(F1860="SERVICE",O1860-(O1860*50%),Vlookup(F1860,DATABASE!C:Q,10,false)*G1860)</f>
        <v>#N/A</v>
      </c>
      <c r="L1860" s="74" t="str">
        <f>VLOOKUP(F1860,DATABASE!C:Q,7,FALSE)</f>
        <v>#N/A</v>
      </c>
      <c r="M1860" s="74"/>
      <c r="N1860" s="74">
        <f t="shared" si="11"/>
        <v>0</v>
      </c>
      <c r="O1860" s="74">
        <f t="shared" si="13"/>
        <v>0</v>
      </c>
      <c r="P1860" s="63">
        <f t="shared" si="14"/>
        <v>0</v>
      </c>
      <c r="Q1860" s="63" t="str">
        <f t="shared" si="15"/>
        <v>#N/A</v>
      </c>
      <c r="R1860" s="93" t="str">
        <f>VLOOKUP(F1860,DATABASE!C:Q,4,false)</f>
        <v>#N/A</v>
      </c>
      <c r="S1860" s="93" t="str">
        <f>VLOOKUP(F1860,DATABASE!C:P,11,false)</f>
        <v>#N/A</v>
      </c>
      <c r="T1860" s="93" t="str">
        <f>vlookup(F1860,DATABASE!C:Q,8,false)</f>
        <v>#N/A</v>
      </c>
      <c r="Z1860" s="9"/>
    </row>
    <row r="1861" ht="22.5" customHeight="1">
      <c r="A1861" s="49"/>
      <c r="C1861" s="384"/>
      <c r="D1861" s="93"/>
      <c r="F1861" s="74"/>
      <c r="H1861" s="74"/>
      <c r="I1861" s="74"/>
      <c r="J1861" s="74"/>
      <c r="K1861" s="74" t="str">
        <f>if(F1861="SERVICE",O1861-(O1861*50%),Vlookup(F1861,DATABASE!C:Q,10,false)*G1861)</f>
        <v>#N/A</v>
      </c>
      <c r="L1861" s="74" t="str">
        <f>VLOOKUP(F1861,DATABASE!C:Q,7,FALSE)</f>
        <v>#N/A</v>
      </c>
      <c r="M1861" s="74"/>
      <c r="N1861" s="74">
        <f t="shared" si="11"/>
        <v>0</v>
      </c>
      <c r="O1861" s="74">
        <f t="shared" si="13"/>
        <v>0</v>
      </c>
      <c r="P1861" s="63">
        <f t="shared" si="14"/>
        <v>0</v>
      </c>
      <c r="Q1861" s="63" t="str">
        <f t="shared" si="15"/>
        <v>#N/A</v>
      </c>
      <c r="R1861" s="93" t="str">
        <f>VLOOKUP(F1861,DATABASE!C:Q,4,false)</f>
        <v>#N/A</v>
      </c>
      <c r="S1861" s="93" t="str">
        <f>VLOOKUP(F1861,DATABASE!C:P,11,false)</f>
        <v>#N/A</v>
      </c>
      <c r="T1861" s="93" t="str">
        <f>vlookup(F1861,DATABASE!C:Q,8,false)</f>
        <v>#N/A</v>
      </c>
      <c r="Z1861" s="9"/>
    </row>
    <row r="1862" ht="22.5" customHeight="1">
      <c r="A1862" s="49"/>
      <c r="C1862" s="384"/>
      <c r="D1862" s="93"/>
      <c r="F1862" s="74"/>
      <c r="H1862" s="74"/>
      <c r="I1862" s="74"/>
      <c r="J1862" s="74"/>
      <c r="K1862" s="74" t="str">
        <f>if(F1862="SERVICE",O1862-(O1862*50%),Vlookup(F1862,DATABASE!C:Q,10,false)*G1862)</f>
        <v>#N/A</v>
      </c>
      <c r="L1862" s="74" t="str">
        <f>VLOOKUP(F1862,DATABASE!C:Q,7,FALSE)</f>
        <v>#N/A</v>
      </c>
      <c r="M1862" s="74"/>
      <c r="N1862" s="74">
        <f t="shared" si="11"/>
        <v>0</v>
      </c>
      <c r="O1862" s="74">
        <f t="shared" si="13"/>
        <v>0</v>
      </c>
      <c r="P1862" s="63">
        <f t="shared" si="14"/>
        <v>0</v>
      </c>
      <c r="Q1862" s="63" t="str">
        <f t="shared" si="15"/>
        <v>#N/A</v>
      </c>
      <c r="R1862" s="93" t="str">
        <f>VLOOKUP(F1862,DATABASE!C:Q,4,false)</f>
        <v>#N/A</v>
      </c>
      <c r="S1862" s="93" t="str">
        <f>VLOOKUP(F1862,DATABASE!C:P,11,false)</f>
        <v>#N/A</v>
      </c>
      <c r="T1862" s="93" t="str">
        <f>vlookup(F1862,DATABASE!C:Q,8,false)</f>
        <v>#N/A</v>
      </c>
      <c r="Z1862" s="9"/>
    </row>
    <row r="1863" ht="22.5" customHeight="1">
      <c r="A1863" s="49"/>
      <c r="C1863" s="384"/>
      <c r="D1863" s="93"/>
      <c r="F1863" s="74"/>
      <c r="H1863" s="74"/>
      <c r="I1863" s="74"/>
      <c r="J1863" s="74"/>
      <c r="K1863" s="74" t="str">
        <f>if(F1863="SERVICE",O1863-(O1863*50%),Vlookup(F1863,DATABASE!C:Q,10,false)*G1863)</f>
        <v>#N/A</v>
      </c>
      <c r="L1863" s="74" t="str">
        <f>VLOOKUP(F1863,DATABASE!C:Q,7,FALSE)</f>
        <v>#N/A</v>
      </c>
      <c r="M1863" s="74"/>
      <c r="N1863" s="74">
        <f t="shared" si="11"/>
        <v>0</v>
      </c>
      <c r="O1863" s="74">
        <f t="shared" si="13"/>
        <v>0</v>
      </c>
      <c r="P1863" s="63">
        <f t="shared" si="14"/>
        <v>0</v>
      </c>
      <c r="Q1863" s="63" t="str">
        <f t="shared" si="15"/>
        <v>#N/A</v>
      </c>
      <c r="R1863" s="93" t="str">
        <f>VLOOKUP(F1863,DATABASE!C:Q,4,false)</f>
        <v>#N/A</v>
      </c>
      <c r="S1863" s="93" t="str">
        <f>VLOOKUP(F1863,DATABASE!C:P,11,false)</f>
        <v>#N/A</v>
      </c>
      <c r="T1863" s="93" t="str">
        <f>vlookup(F1863,DATABASE!C:Q,8,false)</f>
        <v>#N/A</v>
      </c>
      <c r="Z1863" s="9"/>
    </row>
    <row r="1864" ht="22.5" customHeight="1">
      <c r="A1864" s="49"/>
      <c r="C1864" s="384"/>
      <c r="D1864" s="93"/>
      <c r="F1864" s="74"/>
      <c r="H1864" s="74"/>
      <c r="I1864" s="74"/>
      <c r="J1864" s="74"/>
      <c r="K1864" s="74" t="str">
        <f>if(F1864="SERVICE",O1864-(O1864*50%),Vlookup(F1864,DATABASE!C:Q,10,false)*G1864)</f>
        <v>#N/A</v>
      </c>
      <c r="L1864" s="74" t="str">
        <f>VLOOKUP(F1864,DATABASE!C:Q,7,FALSE)</f>
        <v>#N/A</v>
      </c>
      <c r="M1864" s="74"/>
      <c r="N1864" s="74">
        <f t="shared" si="11"/>
        <v>0</v>
      </c>
      <c r="O1864" s="74">
        <f t="shared" si="13"/>
        <v>0</v>
      </c>
      <c r="P1864" s="63">
        <f t="shared" si="14"/>
        <v>0</v>
      </c>
      <c r="Q1864" s="63" t="str">
        <f t="shared" si="15"/>
        <v>#N/A</v>
      </c>
      <c r="R1864" s="93" t="str">
        <f>VLOOKUP(F1864,DATABASE!C:Q,4,false)</f>
        <v>#N/A</v>
      </c>
      <c r="S1864" s="93" t="str">
        <f>VLOOKUP(F1864,DATABASE!C:P,11,false)</f>
        <v>#N/A</v>
      </c>
      <c r="T1864" s="93" t="str">
        <f>vlookup(F1864,DATABASE!C:Q,8,false)</f>
        <v>#N/A</v>
      </c>
      <c r="Z1864" s="9"/>
    </row>
    <row r="1865" ht="22.5" customHeight="1">
      <c r="A1865" s="49"/>
      <c r="C1865" s="384"/>
      <c r="D1865" s="93"/>
      <c r="F1865" s="74"/>
      <c r="H1865" s="74"/>
      <c r="I1865" s="74"/>
      <c r="J1865" s="74"/>
      <c r="K1865" s="74" t="str">
        <f>if(F1865="SERVICE",O1865-(O1865*50%),Vlookup(F1865,DATABASE!C:Q,10,false)*G1865)</f>
        <v>#N/A</v>
      </c>
      <c r="L1865" s="74" t="str">
        <f>VLOOKUP(F1865,DATABASE!C:Q,7,FALSE)</f>
        <v>#N/A</v>
      </c>
      <c r="M1865" s="74"/>
      <c r="N1865" s="74">
        <f t="shared" si="11"/>
        <v>0</v>
      </c>
      <c r="O1865" s="74">
        <f t="shared" si="13"/>
        <v>0</v>
      </c>
      <c r="P1865" s="63">
        <f t="shared" si="14"/>
        <v>0</v>
      </c>
      <c r="Q1865" s="63" t="str">
        <f t="shared" si="15"/>
        <v>#N/A</v>
      </c>
      <c r="R1865" s="93" t="str">
        <f>VLOOKUP(F1865,DATABASE!C:Q,4,false)</f>
        <v>#N/A</v>
      </c>
      <c r="S1865" s="93" t="str">
        <f>VLOOKUP(F1865,DATABASE!C:P,11,false)</f>
        <v>#N/A</v>
      </c>
      <c r="T1865" s="93" t="str">
        <f>vlookup(F1865,DATABASE!C:Q,8,false)</f>
        <v>#N/A</v>
      </c>
      <c r="Z1865" s="9"/>
    </row>
    <row r="1866" ht="22.5" customHeight="1">
      <c r="A1866" s="49"/>
      <c r="C1866" s="384"/>
      <c r="D1866" s="93"/>
      <c r="F1866" s="74"/>
      <c r="H1866" s="74"/>
      <c r="I1866" s="74"/>
      <c r="J1866" s="74"/>
      <c r="K1866" s="74" t="str">
        <f>if(F1866="SERVICE",O1866-(O1866*50%),Vlookup(F1866,DATABASE!C:Q,10,false)*G1866)</f>
        <v>#N/A</v>
      </c>
      <c r="L1866" s="74" t="str">
        <f>VLOOKUP(F1866,DATABASE!C:Q,7,FALSE)</f>
        <v>#N/A</v>
      </c>
      <c r="M1866" s="74"/>
      <c r="N1866" s="74">
        <f t="shared" si="11"/>
        <v>0</v>
      </c>
      <c r="O1866" s="74">
        <f t="shared" si="13"/>
        <v>0</v>
      </c>
      <c r="P1866" s="63">
        <f t="shared" si="14"/>
        <v>0</v>
      </c>
      <c r="Q1866" s="63" t="str">
        <f t="shared" si="15"/>
        <v>#N/A</v>
      </c>
      <c r="R1866" s="93" t="str">
        <f>VLOOKUP(F1866,DATABASE!C:Q,4,false)</f>
        <v>#N/A</v>
      </c>
      <c r="S1866" s="93" t="str">
        <f>VLOOKUP(F1866,DATABASE!C:P,11,false)</f>
        <v>#N/A</v>
      </c>
      <c r="T1866" s="93" t="str">
        <f>vlookup(F1866,DATABASE!C:Q,8,false)</f>
        <v>#N/A</v>
      </c>
      <c r="Z1866" s="9"/>
    </row>
    <row r="1867" ht="22.5" customHeight="1">
      <c r="A1867" s="49"/>
      <c r="C1867" s="384"/>
      <c r="D1867" s="93"/>
      <c r="F1867" s="74"/>
      <c r="H1867" s="74"/>
      <c r="I1867" s="74"/>
      <c r="J1867" s="74"/>
      <c r="K1867" s="74" t="str">
        <f>if(F1867="SERVICE",O1867-(O1867*50%),Vlookup(F1867,DATABASE!C:Q,10,false)*G1867)</f>
        <v>#N/A</v>
      </c>
      <c r="L1867" s="74" t="str">
        <f>VLOOKUP(F1867,DATABASE!C:Q,7,FALSE)</f>
        <v>#N/A</v>
      </c>
      <c r="M1867" s="74"/>
      <c r="N1867" s="74">
        <f t="shared" si="11"/>
        <v>0</v>
      </c>
      <c r="O1867" s="74">
        <f t="shared" si="13"/>
        <v>0</v>
      </c>
      <c r="P1867" s="63">
        <f t="shared" si="14"/>
        <v>0</v>
      </c>
      <c r="Q1867" s="63" t="str">
        <f t="shared" si="15"/>
        <v>#N/A</v>
      </c>
      <c r="R1867" s="93" t="str">
        <f>VLOOKUP(F1867,DATABASE!C:Q,4,false)</f>
        <v>#N/A</v>
      </c>
      <c r="S1867" s="93" t="str">
        <f>VLOOKUP(F1867,DATABASE!C:P,11,false)</f>
        <v>#N/A</v>
      </c>
      <c r="T1867" s="93" t="str">
        <f>vlookup(F1867,DATABASE!C:Q,8,false)</f>
        <v>#N/A</v>
      </c>
      <c r="Z1867" s="9"/>
    </row>
    <row r="1868" ht="22.5" customHeight="1">
      <c r="A1868" s="49"/>
      <c r="C1868" s="384"/>
      <c r="D1868" s="93"/>
      <c r="F1868" s="74"/>
      <c r="H1868" s="74"/>
      <c r="I1868" s="74"/>
      <c r="J1868" s="74"/>
      <c r="K1868" s="74" t="str">
        <f>if(F1868="SERVICE",O1868-(O1868*50%),Vlookup(F1868,DATABASE!C:Q,10,false)*G1868)</f>
        <v>#N/A</v>
      </c>
      <c r="L1868" s="74" t="str">
        <f>VLOOKUP(F1868,DATABASE!C:Q,7,FALSE)</f>
        <v>#N/A</v>
      </c>
      <c r="M1868" s="74"/>
      <c r="N1868" s="74">
        <f t="shared" si="11"/>
        <v>0</v>
      </c>
      <c r="O1868" s="74">
        <f t="shared" si="13"/>
        <v>0</v>
      </c>
      <c r="P1868" s="63">
        <f t="shared" si="14"/>
        <v>0</v>
      </c>
      <c r="Q1868" s="63" t="str">
        <f t="shared" si="15"/>
        <v>#N/A</v>
      </c>
      <c r="R1868" s="93" t="str">
        <f>VLOOKUP(F1868,DATABASE!C:Q,4,false)</f>
        <v>#N/A</v>
      </c>
      <c r="S1868" s="93" t="str">
        <f>VLOOKUP(F1868,DATABASE!C:P,11,false)</f>
        <v>#N/A</v>
      </c>
      <c r="T1868" s="93" t="str">
        <f>vlookup(F1868,DATABASE!C:Q,8,false)</f>
        <v>#N/A</v>
      </c>
      <c r="Z1868" s="9"/>
    </row>
    <row r="1869" ht="22.5" customHeight="1">
      <c r="A1869" s="49"/>
      <c r="C1869" s="384"/>
      <c r="D1869" s="93"/>
      <c r="F1869" s="74"/>
      <c r="H1869" s="74"/>
      <c r="I1869" s="74"/>
      <c r="J1869" s="74"/>
      <c r="K1869" s="74" t="str">
        <f>if(F1869="SERVICE",O1869-(O1869*50%),Vlookup(F1869,DATABASE!C:Q,10,false)*G1869)</f>
        <v>#N/A</v>
      </c>
      <c r="L1869" s="74" t="str">
        <f>VLOOKUP(F1869,DATABASE!C:Q,7,FALSE)</f>
        <v>#N/A</v>
      </c>
      <c r="M1869" s="74"/>
      <c r="N1869" s="74">
        <f t="shared" si="11"/>
        <v>0</v>
      </c>
      <c r="O1869" s="74">
        <f t="shared" si="13"/>
        <v>0</v>
      </c>
      <c r="P1869" s="63">
        <f t="shared" si="14"/>
        <v>0</v>
      </c>
      <c r="Q1869" s="63" t="str">
        <f t="shared" si="15"/>
        <v>#N/A</v>
      </c>
      <c r="R1869" s="93" t="str">
        <f>VLOOKUP(F1869,DATABASE!C:Q,4,false)</f>
        <v>#N/A</v>
      </c>
      <c r="S1869" s="93" t="str">
        <f>VLOOKUP(F1869,DATABASE!C:P,11,false)</f>
        <v>#N/A</v>
      </c>
      <c r="T1869" s="93" t="str">
        <f>vlookup(F1869,DATABASE!C:Q,8,false)</f>
        <v>#N/A</v>
      </c>
      <c r="Z1869" s="9"/>
    </row>
    <row r="1870" ht="22.5" customHeight="1">
      <c r="A1870" s="49"/>
      <c r="C1870" s="384"/>
      <c r="D1870" s="93"/>
      <c r="F1870" s="74"/>
      <c r="H1870" s="74"/>
      <c r="I1870" s="74"/>
      <c r="J1870" s="74"/>
      <c r="K1870" s="74" t="str">
        <f>if(F1870="SERVICE",O1870-(O1870*50%),Vlookup(F1870,DATABASE!C:Q,10,false)*G1870)</f>
        <v>#N/A</v>
      </c>
      <c r="L1870" s="74" t="str">
        <f>VLOOKUP(F1870,DATABASE!C:Q,7,FALSE)</f>
        <v>#N/A</v>
      </c>
      <c r="M1870" s="74"/>
      <c r="N1870" s="74">
        <f t="shared" si="11"/>
        <v>0</v>
      </c>
      <c r="O1870" s="74">
        <f t="shared" si="13"/>
        <v>0</v>
      </c>
      <c r="P1870" s="63">
        <f t="shared" si="14"/>
        <v>0</v>
      </c>
      <c r="Q1870" s="63" t="str">
        <f t="shared" si="15"/>
        <v>#N/A</v>
      </c>
      <c r="R1870" s="93" t="str">
        <f>VLOOKUP(F1870,DATABASE!C:Q,4,false)</f>
        <v>#N/A</v>
      </c>
      <c r="S1870" s="93" t="str">
        <f>VLOOKUP(F1870,DATABASE!C:P,11,false)</f>
        <v>#N/A</v>
      </c>
      <c r="T1870" s="93" t="str">
        <f>vlookup(F1870,DATABASE!C:Q,8,false)</f>
        <v>#N/A</v>
      </c>
      <c r="Z1870" s="9"/>
    </row>
    <row r="1871" ht="22.5" customHeight="1">
      <c r="A1871" s="49"/>
      <c r="C1871" s="384"/>
      <c r="D1871" s="93"/>
      <c r="F1871" s="74"/>
      <c r="H1871" s="74"/>
      <c r="I1871" s="74"/>
      <c r="J1871" s="74"/>
      <c r="K1871" s="74" t="str">
        <f>if(F1871="SERVICE",O1871-(O1871*50%),Vlookup(F1871,DATABASE!C:Q,10,false)*G1871)</f>
        <v>#N/A</v>
      </c>
      <c r="L1871" s="74" t="str">
        <f>VLOOKUP(F1871,DATABASE!C:Q,7,FALSE)</f>
        <v>#N/A</v>
      </c>
      <c r="M1871" s="74"/>
      <c r="N1871" s="74">
        <f t="shared" si="11"/>
        <v>0</v>
      </c>
      <c r="O1871" s="74">
        <f t="shared" si="13"/>
        <v>0</v>
      </c>
      <c r="P1871" s="63">
        <f t="shared" si="14"/>
        <v>0</v>
      </c>
      <c r="Q1871" s="63" t="str">
        <f t="shared" si="15"/>
        <v>#N/A</v>
      </c>
      <c r="R1871" s="93" t="str">
        <f>VLOOKUP(F1871,DATABASE!C:Q,4,false)</f>
        <v>#N/A</v>
      </c>
      <c r="S1871" s="93" t="str">
        <f>VLOOKUP(F1871,DATABASE!C:P,11,false)</f>
        <v>#N/A</v>
      </c>
      <c r="T1871" s="93" t="str">
        <f>vlookup(F1871,DATABASE!C:Q,8,false)</f>
        <v>#N/A</v>
      </c>
      <c r="Z1871" s="9"/>
    </row>
    <row r="1872" ht="22.5" customHeight="1">
      <c r="A1872" s="49"/>
      <c r="C1872" s="384"/>
      <c r="D1872" s="93"/>
      <c r="F1872" s="74"/>
      <c r="H1872" s="74"/>
      <c r="I1872" s="74"/>
      <c r="J1872" s="74"/>
      <c r="K1872" s="74" t="str">
        <f>if(F1872="SERVICE",O1872-(O1872*50%),Vlookup(F1872,DATABASE!C:Q,10,false)*G1872)</f>
        <v>#N/A</v>
      </c>
      <c r="L1872" s="74" t="str">
        <f>VLOOKUP(F1872,DATABASE!C:Q,7,FALSE)</f>
        <v>#N/A</v>
      </c>
      <c r="M1872" s="74"/>
      <c r="N1872" s="74">
        <f t="shared" si="11"/>
        <v>0</v>
      </c>
      <c r="O1872" s="74">
        <f t="shared" si="13"/>
        <v>0</v>
      </c>
      <c r="P1872" s="63">
        <f t="shared" si="14"/>
        <v>0</v>
      </c>
      <c r="Q1872" s="63" t="str">
        <f t="shared" si="15"/>
        <v>#N/A</v>
      </c>
      <c r="R1872" s="93" t="str">
        <f>VLOOKUP(F1872,DATABASE!C:Q,4,false)</f>
        <v>#N/A</v>
      </c>
      <c r="S1872" s="93" t="str">
        <f>VLOOKUP(F1872,DATABASE!C:P,11,false)</f>
        <v>#N/A</v>
      </c>
      <c r="T1872" s="93" t="str">
        <f>vlookup(F1872,DATABASE!C:Q,8,false)</f>
        <v>#N/A</v>
      </c>
      <c r="Z1872" s="9"/>
    </row>
    <row r="1873" ht="22.5" customHeight="1">
      <c r="A1873" s="49"/>
      <c r="C1873" s="384"/>
      <c r="D1873" s="93"/>
      <c r="F1873" s="74"/>
      <c r="H1873" s="74"/>
      <c r="I1873" s="74"/>
      <c r="J1873" s="74"/>
      <c r="K1873" s="74" t="str">
        <f>if(F1873="SERVICE",O1873-(O1873*50%),Vlookup(F1873,DATABASE!C:Q,10,false)*G1873)</f>
        <v>#N/A</v>
      </c>
      <c r="L1873" s="74" t="str">
        <f>VLOOKUP(F1873,DATABASE!C:Q,7,FALSE)</f>
        <v>#N/A</v>
      </c>
      <c r="M1873" s="74"/>
      <c r="N1873" s="74">
        <f t="shared" si="11"/>
        <v>0</v>
      </c>
      <c r="O1873" s="74">
        <f t="shared" si="13"/>
        <v>0</v>
      </c>
      <c r="P1873" s="63">
        <f t="shared" si="14"/>
        <v>0</v>
      </c>
      <c r="Q1873" s="63" t="str">
        <f t="shared" si="15"/>
        <v>#N/A</v>
      </c>
      <c r="R1873" s="93" t="str">
        <f>VLOOKUP(F1873,DATABASE!C:Q,4,false)</f>
        <v>#N/A</v>
      </c>
      <c r="S1873" s="93" t="str">
        <f>VLOOKUP(F1873,DATABASE!C:P,11,false)</f>
        <v>#N/A</v>
      </c>
      <c r="T1873" s="93" t="str">
        <f>vlookup(F1873,DATABASE!C:Q,8,false)</f>
        <v>#N/A</v>
      </c>
      <c r="Z1873" s="9"/>
    </row>
    <row r="1874" ht="22.5" customHeight="1">
      <c r="A1874" s="49"/>
      <c r="C1874" s="384"/>
      <c r="D1874" s="93"/>
      <c r="F1874" s="74"/>
      <c r="H1874" s="74"/>
      <c r="I1874" s="74"/>
      <c r="J1874" s="74"/>
      <c r="K1874" s="74" t="str">
        <f>if(F1874="SERVICE",O1874-(O1874*50%),Vlookup(F1874,DATABASE!C:Q,10,false)*G1874)</f>
        <v>#N/A</v>
      </c>
      <c r="L1874" s="74" t="str">
        <f>VLOOKUP(F1874,DATABASE!C:Q,7,FALSE)</f>
        <v>#N/A</v>
      </c>
      <c r="M1874" s="74"/>
      <c r="N1874" s="74">
        <f t="shared" si="11"/>
        <v>0</v>
      </c>
      <c r="O1874" s="74">
        <f t="shared" si="13"/>
        <v>0</v>
      </c>
      <c r="P1874" s="63">
        <f t="shared" si="14"/>
        <v>0</v>
      </c>
      <c r="Q1874" s="63" t="str">
        <f t="shared" si="15"/>
        <v>#N/A</v>
      </c>
      <c r="R1874" s="93" t="str">
        <f>VLOOKUP(F1874,DATABASE!C:Q,4,false)</f>
        <v>#N/A</v>
      </c>
      <c r="S1874" s="93" t="str">
        <f>VLOOKUP(F1874,DATABASE!C:P,11,false)</f>
        <v>#N/A</v>
      </c>
      <c r="T1874" s="93" t="str">
        <f>vlookup(F1874,DATABASE!C:Q,8,false)</f>
        <v>#N/A</v>
      </c>
      <c r="Z1874" s="9"/>
    </row>
    <row r="1875" ht="22.5" customHeight="1">
      <c r="A1875" s="49"/>
      <c r="C1875" s="384"/>
      <c r="D1875" s="93"/>
      <c r="F1875" s="74"/>
      <c r="H1875" s="74"/>
      <c r="I1875" s="74"/>
      <c r="J1875" s="74"/>
      <c r="K1875" s="74" t="str">
        <f>if(F1875="SERVICE",O1875-(O1875*50%),Vlookup(F1875,DATABASE!C:Q,10,false)*G1875)</f>
        <v>#N/A</v>
      </c>
      <c r="L1875" s="74" t="str">
        <f>VLOOKUP(F1875,DATABASE!C:Q,7,FALSE)</f>
        <v>#N/A</v>
      </c>
      <c r="M1875" s="74"/>
      <c r="N1875" s="74">
        <f t="shared" si="11"/>
        <v>0</v>
      </c>
      <c r="O1875" s="74">
        <f t="shared" si="13"/>
        <v>0</v>
      </c>
      <c r="P1875" s="63">
        <f t="shared" si="14"/>
        <v>0</v>
      </c>
      <c r="Q1875" s="63" t="str">
        <f t="shared" si="15"/>
        <v>#N/A</v>
      </c>
      <c r="R1875" s="93" t="str">
        <f>VLOOKUP(F1875,DATABASE!C:Q,4,false)</f>
        <v>#N/A</v>
      </c>
      <c r="S1875" s="93" t="str">
        <f>VLOOKUP(F1875,DATABASE!C:P,11,false)</f>
        <v>#N/A</v>
      </c>
      <c r="T1875" s="93" t="str">
        <f>vlookup(F1875,DATABASE!C:Q,8,false)</f>
        <v>#N/A</v>
      </c>
      <c r="Z1875" s="9"/>
    </row>
    <row r="1876" ht="22.5" customHeight="1">
      <c r="A1876" s="49"/>
      <c r="C1876" s="384"/>
      <c r="D1876" s="93"/>
      <c r="F1876" s="74"/>
      <c r="H1876" s="74"/>
      <c r="I1876" s="74"/>
      <c r="J1876" s="74"/>
      <c r="K1876" s="74" t="str">
        <f>if(F1876="SERVICE",O1876-(O1876*50%),Vlookup(F1876,DATABASE!C:Q,10,false)*G1876)</f>
        <v>#N/A</v>
      </c>
      <c r="L1876" s="74" t="str">
        <f>VLOOKUP(F1876,DATABASE!C:Q,7,FALSE)</f>
        <v>#N/A</v>
      </c>
      <c r="M1876" s="74"/>
      <c r="N1876" s="74">
        <f t="shared" si="11"/>
        <v>0</v>
      </c>
      <c r="O1876" s="74">
        <f t="shared" si="13"/>
        <v>0</v>
      </c>
      <c r="P1876" s="63">
        <f t="shared" si="14"/>
        <v>0</v>
      </c>
      <c r="Q1876" s="63" t="str">
        <f t="shared" si="15"/>
        <v>#N/A</v>
      </c>
      <c r="R1876" s="93" t="str">
        <f>VLOOKUP(F1876,DATABASE!C:Q,4,false)</f>
        <v>#N/A</v>
      </c>
      <c r="S1876" s="93" t="str">
        <f>VLOOKUP(F1876,DATABASE!C:P,11,false)</f>
        <v>#N/A</v>
      </c>
      <c r="T1876" s="93" t="str">
        <f>vlookup(F1876,DATABASE!C:Q,8,false)</f>
        <v>#N/A</v>
      </c>
      <c r="Z1876" s="9"/>
    </row>
    <row r="1877" ht="22.5" customHeight="1">
      <c r="A1877" s="49"/>
      <c r="C1877" s="384"/>
      <c r="D1877" s="93"/>
      <c r="F1877" s="74"/>
      <c r="H1877" s="74"/>
      <c r="I1877" s="74"/>
      <c r="J1877" s="74"/>
      <c r="K1877" s="74" t="str">
        <f>if(F1877="SERVICE",O1877-(O1877*50%),Vlookup(F1877,DATABASE!C:Q,10,false)*G1877)</f>
        <v>#N/A</v>
      </c>
      <c r="L1877" s="74" t="str">
        <f>VLOOKUP(F1877,DATABASE!C:Q,7,FALSE)</f>
        <v>#N/A</v>
      </c>
      <c r="M1877" s="74"/>
      <c r="N1877" s="74">
        <f t="shared" si="11"/>
        <v>0</v>
      </c>
      <c r="O1877" s="74">
        <f t="shared" si="13"/>
        <v>0</v>
      </c>
      <c r="P1877" s="63">
        <f t="shared" si="14"/>
        <v>0</v>
      </c>
      <c r="Q1877" s="63" t="str">
        <f t="shared" si="15"/>
        <v>#N/A</v>
      </c>
      <c r="R1877" s="93" t="str">
        <f>VLOOKUP(F1877,DATABASE!C:Q,4,false)</f>
        <v>#N/A</v>
      </c>
      <c r="S1877" s="93" t="str">
        <f>VLOOKUP(F1877,DATABASE!C:P,11,false)</f>
        <v>#N/A</v>
      </c>
      <c r="T1877" s="93" t="str">
        <f>vlookup(F1877,DATABASE!C:Q,8,false)</f>
        <v>#N/A</v>
      </c>
      <c r="Z1877" s="9"/>
    </row>
    <row r="1878" ht="22.5" customHeight="1">
      <c r="A1878" s="49"/>
      <c r="C1878" s="384"/>
      <c r="D1878" s="93"/>
      <c r="F1878" s="74"/>
      <c r="H1878" s="74"/>
      <c r="I1878" s="74"/>
      <c r="J1878" s="74"/>
      <c r="K1878" s="74" t="str">
        <f>if(F1878="SERVICE",O1878-(O1878*50%),Vlookup(F1878,DATABASE!C:Q,10,false)*G1878)</f>
        <v>#N/A</v>
      </c>
      <c r="L1878" s="74" t="str">
        <f>VLOOKUP(F1878,DATABASE!C:Q,7,FALSE)</f>
        <v>#N/A</v>
      </c>
      <c r="M1878" s="74"/>
      <c r="N1878" s="74">
        <f t="shared" si="11"/>
        <v>0</v>
      </c>
      <c r="O1878" s="74">
        <f t="shared" si="13"/>
        <v>0</v>
      </c>
      <c r="P1878" s="63">
        <f t="shared" si="14"/>
        <v>0</v>
      </c>
      <c r="Q1878" s="63" t="str">
        <f t="shared" si="15"/>
        <v>#N/A</v>
      </c>
      <c r="R1878" s="93" t="str">
        <f>VLOOKUP(F1878,DATABASE!C:Q,4,false)</f>
        <v>#N/A</v>
      </c>
      <c r="S1878" s="93" t="str">
        <f>VLOOKUP(F1878,DATABASE!C:P,11,false)</f>
        <v>#N/A</v>
      </c>
      <c r="T1878" s="93" t="str">
        <f>vlookup(F1878,DATABASE!C:Q,8,false)</f>
        <v>#N/A</v>
      </c>
      <c r="Z1878" s="9"/>
    </row>
    <row r="1879" ht="22.5" customHeight="1">
      <c r="A1879" s="49"/>
      <c r="C1879" s="384"/>
      <c r="D1879" s="93"/>
      <c r="F1879" s="74"/>
      <c r="H1879" s="74"/>
      <c r="I1879" s="74"/>
      <c r="J1879" s="74"/>
      <c r="K1879" s="74" t="str">
        <f>if(F1879="SERVICE",O1879-(O1879*50%),Vlookup(F1879,DATABASE!C:Q,10,false)*G1879)</f>
        <v>#N/A</v>
      </c>
      <c r="L1879" s="74" t="str">
        <f>VLOOKUP(F1879,DATABASE!C:Q,7,FALSE)</f>
        <v>#N/A</v>
      </c>
      <c r="M1879" s="74"/>
      <c r="N1879" s="74">
        <f t="shared" si="11"/>
        <v>0</v>
      </c>
      <c r="O1879" s="74">
        <f t="shared" si="13"/>
        <v>0</v>
      </c>
      <c r="P1879" s="63">
        <f t="shared" si="14"/>
        <v>0</v>
      </c>
      <c r="Q1879" s="63" t="str">
        <f t="shared" si="15"/>
        <v>#N/A</v>
      </c>
      <c r="R1879" s="93" t="str">
        <f>VLOOKUP(F1879,DATABASE!C:Q,4,false)</f>
        <v>#N/A</v>
      </c>
      <c r="S1879" s="93" t="str">
        <f>VLOOKUP(F1879,DATABASE!C:P,11,false)</f>
        <v>#N/A</v>
      </c>
      <c r="T1879" s="93" t="str">
        <f>vlookup(F1879,DATABASE!C:Q,8,false)</f>
        <v>#N/A</v>
      </c>
      <c r="Z1879" s="9"/>
    </row>
    <row r="1880" ht="22.5" customHeight="1">
      <c r="A1880" s="49"/>
      <c r="C1880" s="384"/>
      <c r="D1880" s="93"/>
      <c r="F1880" s="74"/>
      <c r="H1880" s="74"/>
      <c r="I1880" s="74"/>
      <c r="J1880" s="74"/>
      <c r="K1880" s="74" t="str">
        <f>if(F1880="SERVICE",O1880-(O1880*50%),Vlookup(F1880,DATABASE!C:Q,10,false)*G1880)</f>
        <v>#N/A</v>
      </c>
      <c r="L1880" s="74" t="str">
        <f>VLOOKUP(F1880,DATABASE!C:Q,7,FALSE)</f>
        <v>#N/A</v>
      </c>
      <c r="M1880" s="74"/>
      <c r="N1880" s="74">
        <f t="shared" si="11"/>
        <v>0</v>
      </c>
      <c r="O1880" s="74">
        <f t="shared" si="13"/>
        <v>0</v>
      </c>
      <c r="P1880" s="63">
        <f t="shared" si="14"/>
        <v>0</v>
      </c>
      <c r="Q1880" s="63" t="str">
        <f t="shared" si="15"/>
        <v>#N/A</v>
      </c>
      <c r="R1880" s="93" t="str">
        <f>VLOOKUP(F1880,DATABASE!C:Q,4,false)</f>
        <v>#N/A</v>
      </c>
      <c r="S1880" s="93" t="str">
        <f>VLOOKUP(F1880,DATABASE!C:P,11,false)</f>
        <v>#N/A</v>
      </c>
      <c r="T1880" s="93" t="str">
        <f>vlookup(F1880,DATABASE!C:Q,8,false)</f>
        <v>#N/A</v>
      </c>
      <c r="Z1880" s="9"/>
    </row>
    <row r="1881" ht="22.5" customHeight="1">
      <c r="A1881" s="49"/>
      <c r="C1881" s="384"/>
      <c r="D1881" s="93"/>
      <c r="F1881" s="74"/>
      <c r="H1881" s="74"/>
      <c r="I1881" s="74"/>
      <c r="J1881" s="74"/>
      <c r="K1881" s="74" t="str">
        <f>if(F1881="SERVICE",O1881-(O1881*50%),Vlookup(F1881,DATABASE!C:Q,10,false)*G1881)</f>
        <v>#N/A</v>
      </c>
      <c r="L1881" s="74" t="str">
        <f>VLOOKUP(F1881,DATABASE!C:Q,7,FALSE)</f>
        <v>#N/A</v>
      </c>
      <c r="M1881" s="74"/>
      <c r="N1881" s="74">
        <f t="shared" si="11"/>
        <v>0</v>
      </c>
      <c r="O1881" s="74">
        <f t="shared" si="13"/>
        <v>0</v>
      </c>
      <c r="P1881" s="63">
        <f t="shared" si="14"/>
        <v>0</v>
      </c>
      <c r="Q1881" s="63" t="str">
        <f t="shared" si="15"/>
        <v>#N/A</v>
      </c>
      <c r="R1881" s="93" t="str">
        <f>VLOOKUP(F1881,DATABASE!C:Q,4,false)</f>
        <v>#N/A</v>
      </c>
      <c r="S1881" s="93" t="str">
        <f>VLOOKUP(F1881,DATABASE!C:P,11,false)</f>
        <v>#N/A</v>
      </c>
      <c r="T1881" s="93" t="str">
        <f>vlookup(F1881,DATABASE!C:Q,8,false)</f>
        <v>#N/A</v>
      </c>
      <c r="Z1881" s="9"/>
    </row>
    <row r="1882" ht="22.5" customHeight="1">
      <c r="A1882" s="49"/>
      <c r="C1882" s="384"/>
      <c r="D1882" s="93"/>
      <c r="F1882" s="74"/>
      <c r="H1882" s="74"/>
      <c r="I1882" s="74"/>
      <c r="J1882" s="74"/>
      <c r="K1882" s="74" t="str">
        <f>if(F1882="SERVICE",O1882-(O1882*50%),Vlookup(F1882,DATABASE!C:Q,10,false)*G1882)</f>
        <v>#N/A</v>
      </c>
      <c r="L1882" s="74" t="str">
        <f>VLOOKUP(F1882,DATABASE!C:Q,7,FALSE)</f>
        <v>#N/A</v>
      </c>
      <c r="M1882" s="74"/>
      <c r="N1882" s="74">
        <f t="shared" si="11"/>
        <v>0</v>
      </c>
      <c r="O1882" s="74">
        <f t="shared" si="13"/>
        <v>0</v>
      </c>
      <c r="P1882" s="63">
        <f t="shared" si="14"/>
        <v>0</v>
      </c>
      <c r="Q1882" s="63" t="str">
        <f t="shared" si="15"/>
        <v>#N/A</v>
      </c>
      <c r="R1882" s="93" t="str">
        <f>VLOOKUP(F1882,DATABASE!C:Q,4,false)</f>
        <v>#N/A</v>
      </c>
      <c r="S1882" s="93" t="str">
        <f>VLOOKUP(F1882,DATABASE!C:P,11,false)</f>
        <v>#N/A</v>
      </c>
      <c r="T1882" s="93" t="str">
        <f>vlookup(F1882,DATABASE!C:Q,8,false)</f>
        <v>#N/A</v>
      </c>
      <c r="Z1882" s="9"/>
    </row>
    <row r="1883" ht="22.5" customHeight="1">
      <c r="A1883" s="49"/>
      <c r="C1883" s="384"/>
      <c r="D1883" s="93"/>
      <c r="F1883" s="74"/>
      <c r="H1883" s="74"/>
      <c r="I1883" s="74"/>
      <c r="J1883" s="74"/>
      <c r="K1883" s="74" t="str">
        <f>if(F1883="SERVICE",O1883-(O1883*50%),Vlookup(F1883,DATABASE!C:Q,10,false)*G1883)</f>
        <v>#N/A</v>
      </c>
      <c r="L1883" s="74" t="str">
        <f>VLOOKUP(F1883,DATABASE!C:Q,7,FALSE)</f>
        <v>#N/A</v>
      </c>
      <c r="M1883" s="74"/>
      <c r="N1883" s="74">
        <f t="shared" si="11"/>
        <v>0</v>
      </c>
      <c r="O1883" s="74">
        <f t="shared" si="13"/>
        <v>0</v>
      </c>
      <c r="P1883" s="63">
        <f t="shared" si="14"/>
        <v>0</v>
      </c>
      <c r="Q1883" s="63" t="str">
        <f t="shared" si="15"/>
        <v>#N/A</v>
      </c>
      <c r="R1883" s="93" t="str">
        <f>VLOOKUP(F1883,DATABASE!C:Q,4,false)</f>
        <v>#N/A</v>
      </c>
      <c r="S1883" s="93" t="str">
        <f>VLOOKUP(F1883,DATABASE!C:P,11,false)</f>
        <v>#N/A</v>
      </c>
      <c r="T1883" s="93" t="str">
        <f>vlookup(F1883,DATABASE!C:Q,8,false)</f>
        <v>#N/A</v>
      </c>
      <c r="Z1883" s="9"/>
    </row>
    <row r="1884" ht="22.5" customHeight="1">
      <c r="A1884" s="49"/>
      <c r="C1884" s="384"/>
      <c r="D1884" s="93"/>
      <c r="F1884" s="74"/>
      <c r="H1884" s="74"/>
      <c r="I1884" s="74"/>
      <c r="J1884" s="74"/>
      <c r="K1884" s="74" t="str">
        <f>if(F1884="SERVICE",O1884-(O1884*50%),Vlookup(F1884,DATABASE!C:Q,10,false)*G1884)</f>
        <v>#N/A</v>
      </c>
      <c r="L1884" s="74" t="str">
        <f>VLOOKUP(F1884,DATABASE!C:Q,7,FALSE)</f>
        <v>#N/A</v>
      </c>
      <c r="M1884" s="74"/>
      <c r="N1884" s="74">
        <f t="shared" si="11"/>
        <v>0</v>
      </c>
      <c r="O1884" s="74">
        <f t="shared" si="13"/>
        <v>0</v>
      </c>
      <c r="P1884" s="63">
        <f t="shared" si="14"/>
        <v>0</v>
      </c>
      <c r="Q1884" s="63" t="str">
        <f t="shared" si="15"/>
        <v>#N/A</v>
      </c>
      <c r="R1884" s="93" t="str">
        <f>VLOOKUP(F1884,DATABASE!C:Q,4,false)</f>
        <v>#N/A</v>
      </c>
      <c r="S1884" s="93" t="str">
        <f>VLOOKUP(F1884,DATABASE!C:P,11,false)</f>
        <v>#N/A</v>
      </c>
      <c r="T1884" s="93" t="str">
        <f>vlookup(F1884,DATABASE!C:Q,8,false)</f>
        <v>#N/A</v>
      </c>
      <c r="Z1884" s="9"/>
    </row>
    <row r="1885" ht="22.5" customHeight="1">
      <c r="A1885" s="49"/>
      <c r="C1885" s="384"/>
      <c r="D1885" s="93"/>
      <c r="F1885" s="74"/>
      <c r="H1885" s="74"/>
      <c r="I1885" s="74"/>
      <c r="J1885" s="74"/>
      <c r="K1885" s="74" t="str">
        <f>if(F1885="SERVICE",O1885-(O1885*50%),Vlookup(F1885,DATABASE!C:Q,10,false)*G1885)</f>
        <v>#N/A</v>
      </c>
      <c r="L1885" s="74" t="str">
        <f>VLOOKUP(F1885,DATABASE!C:Q,7,FALSE)</f>
        <v>#N/A</v>
      </c>
      <c r="M1885" s="74"/>
      <c r="N1885" s="74">
        <f t="shared" si="11"/>
        <v>0</v>
      </c>
      <c r="O1885" s="74">
        <f t="shared" si="13"/>
        <v>0</v>
      </c>
      <c r="P1885" s="63">
        <f t="shared" si="14"/>
        <v>0</v>
      </c>
      <c r="Q1885" s="63" t="str">
        <f t="shared" si="15"/>
        <v>#N/A</v>
      </c>
      <c r="R1885" s="93" t="str">
        <f>VLOOKUP(F1885,DATABASE!C:Q,4,false)</f>
        <v>#N/A</v>
      </c>
      <c r="S1885" s="93" t="str">
        <f>VLOOKUP(F1885,DATABASE!C:P,11,false)</f>
        <v>#N/A</v>
      </c>
      <c r="T1885" s="93" t="str">
        <f>vlookup(F1885,DATABASE!C:Q,8,false)</f>
        <v>#N/A</v>
      </c>
      <c r="Z1885" s="9"/>
    </row>
    <row r="1886" ht="22.5" customHeight="1">
      <c r="A1886" s="49"/>
      <c r="C1886" s="384"/>
      <c r="D1886" s="93"/>
      <c r="F1886" s="74"/>
      <c r="H1886" s="74"/>
      <c r="I1886" s="74"/>
      <c r="J1886" s="74"/>
      <c r="K1886" s="74" t="str">
        <f>if(F1886="SERVICE",O1886-(O1886*50%),Vlookup(F1886,DATABASE!C:Q,10,false)*G1886)</f>
        <v>#N/A</v>
      </c>
      <c r="L1886" s="74" t="str">
        <f>VLOOKUP(F1886,DATABASE!C:Q,7,FALSE)</f>
        <v>#N/A</v>
      </c>
      <c r="M1886" s="74"/>
      <c r="N1886" s="74">
        <f t="shared" si="11"/>
        <v>0</v>
      </c>
      <c r="O1886" s="74">
        <f t="shared" si="13"/>
        <v>0</v>
      </c>
      <c r="P1886" s="63">
        <f t="shared" si="14"/>
        <v>0</v>
      </c>
      <c r="Q1886" s="63" t="str">
        <f t="shared" si="15"/>
        <v>#N/A</v>
      </c>
      <c r="R1886" s="93" t="str">
        <f>VLOOKUP(F1886,DATABASE!C:Q,4,false)</f>
        <v>#N/A</v>
      </c>
      <c r="S1886" s="93" t="str">
        <f>VLOOKUP(F1886,DATABASE!C:P,11,false)</f>
        <v>#N/A</v>
      </c>
      <c r="T1886" s="93" t="str">
        <f>vlookup(F1886,DATABASE!C:Q,8,false)</f>
        <v>#N/A</v>
      </c>
      <c r="Z1886" s="9"/>
    </row>
    <row r="1887" ht="22.5" customHeight="1">
      <c r="A1887" s="49"/>
      <c r="C1887" s="384"/>
      <c r="D1887" s="93"/>
      <c r="F1887" s="74"/>
      <c r="H1887" s="74"/>
      <c r="I1887" s="74"/>
      <c r="J1887" s="74"/>
      <c r="K1887" s="74" t="str">
        <f>if(F1887="SERVICE",O1887-(O1887*50%),Vlookup(F1887,DATABASE!C:Q,10,false)*G1887)</f>
        <v>#N/A</v>
      </c>
      <c r="L1887" s="74" t="str">
        <f>VLOOKUP(F1887,DATABASE!C:Q,7,FALSE)</f>
        <v>#N/A</v>
      </c>
      <c r="M1887" s="74"/>
      <c r="N1887" s="74">
        <f t="shared" si="11"/>
        <v>0</v>
      </c>
      <c r="O1887" s="74">
        <f t="shared" si="13"/>
        <v>0</v>
      </c>
      <c r="P1887" s="63">
        <f t="shared" si="14"/>
        <v>0</v>
      </c>
      <c r="Q1887" s="63" t="str">
        <f t="shared" si="15"/>
        <v>#N/A</v>
      </c>
      <c r="R1887" s="93" t="str">
        <f>VLOOKUP(F1887,DATABASE!C:Q,4,false)</f>
        <v>#N/A</v>
      </c>
      <c r="S1887" s="93" t="str">
        <f>VLOOKUP(F1887,DATABASE!C:P,11,false)</f>
        <v>#N/A</v>
      </c>
      <c r="T1887" s="93" t="str">
        <f>vlookup(F1887,DATABASE!C:Q,8,false)</f>
        <v>#N/A</v>
      </c>
      <c r="Z1887" s="9"/>
    </row>
    <row r="1888" ht="22.5" customHeight="1">
      <c r="A1888" s="49"/>
      <c r="C1888" s="384"/>
      <c r="D1888" s="93"/>
      <c r="F1888" s="74"/>
      <c r="H1888" s="74"/>
      <c r="I1888" s="74"/>
      <c r="J1888" s="74"/>
      <c r="K1888" s="74" t="str">
        <f>if(F1888="SERVICE",O1888-(O1888*50%),Vlookup(F1888,DATABASE!C:Q,10,false)*G1888)</f>
        <v>#N/A</v>
      </c>
      <c r="L1888" s="74" t="str">
        <f>VLOOKUP(F1888,DATABASE!C:Q,7,FALSE)</f>
        <v>#N/A</v>
      </c>
      <c r="M1888" s="74"/>
      <c r="N1888" s="74">
        <f t="shared" si="11"/>
        <v>0</v>
      </c>
      <c r="O1888" s="74">
        <f t="shared" si="13"/>
        <v>0</v>
      </c>
      <c r="P1888" s="63">
        <f t="shared" si="14"/>
        <v>0</v>
      </c>
      <c r="Q1888" s="63" t="str">
        <f t="shared" si="15"/>
        <v>#N/A</v>
      </c>
      <c r="R1888" s="93" t="str">
        <f>VLOOKUP(F1888,DATABASE!C:Q,4,false)</f>
        <v>#N/A</v>
      </c>
      <c r="S1888" s="93" t="str">
        <f>VLOOKUP(F1888,DATABASE!C:P,11,false)</f>
        <v>#N/A</v>
      </c>
      <c r="T1888" s="93" t="str">
        <f>vlookup(F1888,DATABASE!C:Q,8,false)</f>
        <v>#N/A</v>
      </c>
      <c r="Z1888" s="9"/>
    </row>
    <row r="1889" ht="22.5" customHeight="1">
      <c r="A1889" s="49"/>
      <c r="C1889" s="384"/>
      <c r="D1889" s="93"/>
      <c r="F1889" s="74"/>
      <c r="H1889" s="74"/>
      <c r="I1889" s="74"/>
      <c r="J1889" s="74"/>
      <c r="K1889" s="74" t="str">
        <f>if(F1889="SERVICE",O1889-(O1889*50%),Vlookup(F1889,DATABASE!C:Q,10,false)*G1889)</f>
        <v>#N/A</v>
      </c>
      <c r="L1889" s="74" t="str">
        <f>VLOOKUP(F1889,DATABASE!C:Q,7,FALSE)</f>
        <v>#N/A</v>
      </c>
      <c r="M1889" s="74"/>
      <c r="N1889" s="74">
        <f t="shared" si="11"/>
        <v>0</v>
      </c>
      <c r="O1889" s="74">
        <f t="shared" si="13"/>
        <v>0</v>
      </c>
      <c r="P1889" s="63">
        <f t="shared" si="14"/>
        <v>0</v>
      </c>
      <c r="Q1889" s="63" t="str">
        <f t="shared" si="15"/>
        <v>#N/A</v>
      </c>
      <c r="R1889" s="93" t="str">
        <f>VLOOKUP(F1889,DATABASE!C:Q,4,false)</f>
        <v>#N/A</v>
      </c>
      <c r="S1889" s="93" t="str">
        <f>VLOOKUP(F1889,DATABASE!C:P,11,false)</f>
        <v>#N/A</v>
      </c>
      <c r="T1889" s="93" t="str">
        <f>vlookup(F1889,DATABASE!C:Q,8,false)</f>
        <v>#N/A</v>
      </c>
      <c r="Z1889" s="9"/>
    </row>
    <row r="1890" ht="22.5" customHeight="1">
      <c r="A1890" s="49"/>
      <c r="C1890" s="384"/>
      <c r="D1890" s="93"/>
      <c r="F1890" s="74"/>
      <c r="H1890" s="74"/>
      <c r="I1890" s="74"/>
      <c r="J1890" s="74"/>
      <c r="K1890" s="74" t="str">
        <f>if(F1890="SERVICE",O1890-(O1890*50%),Vlookup(F1890,DATABASE!C:Q,10,false)*G1890)</f>
        <v>#N/A</v>
      </c>
      <c r="L1890" s="74" t="str">
        <f>VLOOKUP(F1890,DATABASE!C:Q,7,FALSE)</f>
        <v>#N/A</v>
      </c>
      <c r="M1890" s="74"/>
      <c r="N1890" s="74">
        <f t="shared" si="11"/>
        <v>0</v>
      </c>
      <c r="O1890" s="74">
        <f t="shared" si="13"/>
        <v>0</v>
      </c>
      <c r="P1890" s="63">
        <f t="shared" si="14"/>
        <v>0</v>
      </c>
      <c r="Q1890" s="63" t="str">
        <f t="shared" si="15"/>
        <v>#N/A</v>
      </c>
      <c r="R1890" s="93" t="str">
        <f>VLOOKUP(F1890,DATABASE!C:Q,4,false)</f>
        <v>#N/A</v>
      </c>
      <c r="S1890" s="93" t="str">
        <f>VLOOKUP(F1890,DATABASE!C:P,11,false)</f>
        <v>#N/A</v>
      </c>
      <c r="T1890" s="93" t="str">
        <f>vlookup(F1890,DATABASE!C:Q,8,false)</f>
        <v>#N/A</v>
      </c>
      <c r="Z1890" s="9"/>
    </row>
    <row r="1891" ht="22.5" customHeight="1">
      <c r="A1891" s="49"/>
      <c r="C1891" s="384"/>
      <c r="D1891" s="93"/>
      <c r="F1891" s="74"/>
      <c r="H1891" s="74"/>
      <c r="I1891" s="74"/>
      <c r="J1891" s="74"/>
      <c r="K1891" s="74" t="str">
        <f>if(F1891="SERVICE",O1891-(O1891*50%),Vlookup(F1891,DATABASE!C:Q,10,false)*G1891)</f>
        <v>#N/A</v>
      </c>
      <c r="L1891" s="74" t="str">
        <f>VLOOKUP(F1891,DATABASE!C:Q,7,FALSE)</f>
        <v>#N/A</v>
      </c>
      <c r="M1891" s="74"/>
      <c r="N1891" s="74">
        <f t="shared" si="11"/>
        <v>0</v>
      </c>
      <c r="O1891" s="74">
        <f t="shared" si="13"/>
        <v>0</v>
      </c>
      <c r="P1891" s="63">
        <f t="shared" si="14"/>
        <v>0</v>
      </c>
      <c r="Q1891" s="63" t="str">
        <f t="shared" si="15"/>
        <v>#N/A</v>
      </c>
      <c r="R1891" s="93" t="str">
        <f>VLOOKUP(F1891,DATABASE!C:Q,4,false)</f>
        <v>#N/A</v>
      </c>
      <c r="S1891" s="93" t="str">
        <f>VLOOKUP(F1891,DATABASE!C:P,11,false)</f>
        <v>#N/A</v>
      </c>
      <c r="T1891" s="93" t="str">
        <f>vlookup(F1891,DATABASE!C:Q,8,false)</f>
        <v>#N/A</v>
      </c>
      <c r="Z1891" s="9"/>
    </row>
    <row r="1892" ht="22.5" customHeight="1">
      <c r="A1892" s="49"/>
      <c r="C1892" s="384"/>
      <c r="D1892" s="93"/>
      <c r="F1892" s="74"/>
      <c r="H1892" s="74"/>
      <c r="I1892" s="74"/>
      <c r="J1892" s="74"/>
      <c r="K1892" s="74" t="str">
        <f>if(F1892="SERVICE",O1892-(O1892*50%),Vlookup(F1892,DATABASE!C:Q,10,false)*G1892)</f>
        <v>#N/A</v>
      </c>
      <c r="L1892" s="74" t="str">
        <f>VLOOKUP(F1892,DATABASE!C:Q,7,FALSE)</f>
        <v>#N/A</v>
      </c>
      <c r="M1892" s="74"/>
      <c r="N1892" s="74">
        <f t="shared" si="11"/>
        <v>0</v>
      </c>
      <c r="O1892" s="74">
        <f t="shared" si="13"/>
        <v>0</v>
      </c>
      <c r="P1892" s="63">
        <f t="shared" si="14"/>
        <v>0</v>
      </c>
      <c r="Q1892" s="63" t="str">
        <f t="shared" si="15"/>
        <v>#N/A</v>
      </c>
      <c r="R1892" s="93" t="str">
        <f>VLOOKUP(F1892,DATABASE!C:Q,4,false)</f>
        <v>#N/A</v>
      </c>
      <c r="S1892" s="93" t="str">
        <f>VLOOKUP(F1892,DATABASE!C:P,11,false)</f>
        <v>#N/A</v>
      </c>
      <c r="T1892" s="93" t="str">
        <f>vlookup(F1892,DATABASE!C:Q,8,false)</f>
        <v>#N/A</v>
      </c>
      <c r="Z1892" s="9"/>
    </row>
    <row r="1893" ht="22.5" customHeight="1">
      <c r="A1893" s="49"/>
      <c r="C1893" s="384"/>
      <c r="D1893" s="93"/>
      <c r="F1893" s="74"/>
      <c r="H1893" s="74"/>
      <c r="I1893" s="74"/>
      <c r="J1893" s="74"/>
      <c r="K1893" s="74" t="str">
        <f>if(F1893="SERVICE",O1893-(O1893*50%),Vlookup(F1893,DATABASE!C:Q,10,false)*G1893)</f>
        <v>#N/A</v>
      </c>
      <c r="L1893" s="74" t="str">
        <f>VLOOKUP(F1893,DATABASE!C:Q,7,FALSE)</f>
        <v>#N/A</v>
      </c>
      <c r="M1893" s="74"/>
      <c r="N1893" s="74">
        <f t="shared" si="11"/>
        <v>0</v>
      </c>
      <c r="O1893" s="74">
        <f t="shared" si="13"/>
        <v>0</v>
      </c>
      <c r="P1893" s="63">
        <f t="shared" si="14"/>
        <v>0</v>
      </c>
      <c r="Q1893" s="63" t="str">
        <f t="shared" si="15"/>
        <v>#N/A</v>
      </c>
      <c r="R1893" s="93" t="str">
        <f>VLOOKUP(F1893,DATABASE!C:Q,4,false)</f>
        <v>#N/A</v>
      </c>
      <c r="S1893" s="93" t="str">
        <f>VLOOKUP(F1893,DATABASE!C:P,11,false)</f>
        <v>#N/A</v>
      </c>
      <c r="T1893" s="93" t="str">
        <f>vlookup(F1893,DATABASE!C:Q,8,false)</f>
        <v>#N/A</v>
      </c>
      <c r="Z1893" s="9"/>
    </row>
    <row r="1894" ht="22.5" customHeight="1">
      <c r="A1894" s="49"/>
      <c r="C1894" s="384"/>
      <c r="D1894" s="93"/>
      <c r="F1894" s="74"/>
      <c r="H1894" s="74"/>
      <c r="I1894" s="74"/>
      <c r="J1894" s="74"/>
      <c r="K1894" s="74" t="str">
        <f>if(F1894="SERVICE",O1894-(O1894*50%),Vlookup(F1894,DATABASE!C:Q,10,false)*G1894)</f>
        <v>#N/A</v>
      </c>
      <c r="L1894" s="74" t="str">
        <f>VLOOKUP(F1894,DATABASE!C:Q,7,FALSE)</f>
        <v>#N/A</v>
      </c>
      <c r="M1894" s="74"/>
      <c r="N1894" s="74">
        <f t="shared" si="11"/>
        <v>0</v>
      </c>
      <c r="O1894" s="74">
        <f t="shared" si="13"/>
        <v>0</v>
      </c>
      <c r="P1894" s="63">
        <f t="shared" si="14"/>
        <v>0</v>
      </c>
      <c r="Q1894" s="63" t="str">
        <f t="shared" si="15"/>
        <v>#N/A</v>
      </c>
      <c r="R1894" s="93" t="str">
        <f>VLOOKUP(F1894,DATABASE!C:Q,4,false)</f>
        <v>#N/A</v>
      </c>
      <c r="S1894" s="93" t="str">
        <f>VLOOKUP(F1894,DATABASE!C:P,11,false)</f>
        <v>#N/A</v>
      </c>
      <c r="T1894" s="93" t="str">
        <f>vlookup(F1894,DATABASE!C:Q,8,false)</f>
        <v>#N/A</v>
      </c>
      <c r="Z1894" s="9"/>
    </row>
    <row r="1895" ht="22.5" customHeight="1">
      <c r="A1895" s="49"/>
      <c r="C1895" s="384"/>
      <c r="D1895" s="93"/>
      <c r="F1895" s="74"/>
      <c r="H1895" s="74"/>
      <c r="I1895" s="74"/>
      <c r="J1895" s="74"/>
      <c r="K1895" s="74" t="str">
        <f>if(F1895="SERVICE",O1895-(O1895*50%),Vlookup(F1895,DATABASE!C:Q,10,false)*G1895)</f>
        <v>#N/A</v>
      </c>
      <c r="L1895" s="74" t="str">
        <f>VLOOKUP(F1895,DATABASE!C:Q,7,FALSE)</f>
        <v>#N/A</v>
      </c>
      <c r="M1895" s="74"/>
      <c r="N1895" s="74">
        <f t="shared" si="11"/>
        <v>0</v>
      </c>
      <c r="O1895" s="74">
        <f t="shared" si="13"/>
        <v>0</v>
      </c>
      <c r="P1895" s="63">
        <f t="shared" si="14"/>
        <v>0</v>
      </c>
      <c r="Q1895" s="63" t="str">
        <f t="shared" si="15"/>
        <v>#N/A</v>
      </c>
      <c r="R1895" s="93" t="str">
        <f>VLOOKUP(F1895,DATABASE!C:Q,4,false)</f>
        <v>#N/A</v>
      </c>
      <c r="S1895" s="93" t="str">
        <f>VLOOKUP(F1895,DATABASE!C:P,11,false)</f>
        <v>#N/A</v>
      </c>
      <c r="T1895" s="93" t="str">
        <f>vlookup(F1895,DATABASE!C:Q,8,false)</f>
        <v>#N/A</v>
      </c>
      <c r="Z1895" s="9"/>
    </row>
    <row r="1896" ht="22.5" customHeight="1">
      <c r="A1896" s="49"/>
      <c r="C1896" s="384"/>
      <c r="D1896" s="93"/>
      <c r="F1896" s="74"/>
      <c r="H1896" s="74"/>
      <c r="I1896" s="74"/>
      <c r="J1896" s="74"/>
      <c r="K1896" s="74" t="str">
        <f>if(F1896="SERVICE",O1896-(O1896*50%),Vlookup(F1896,DATABASE!C:Q,10,false)*G1896)</f>
        <v>#N/A</v>
      </c>
      <c r="L1896" s="74" t="str">
        <f>VLOOKUP(F1896,DATABASE!C:Q,7,FALSE)</f>
        <v>#N/A</v>
      </c>
      <c r="M1896" s="74"/>
      <c r="N1896" s="74">
        <f t="shared" si="11"/>
        <v>0</v>
      </c>
      <c r="O1896" s="74">
        <f t="shared" si="13"/>
        <v>0</v>
      </c>
      <c r="P1896" s="63">
        <f t="shared" si="14"/>
        <v>0</v>
      </c>
      <c r="Q1896" s="63" t="str">
        <f t="shared" si="15"/>
        <v>#N/A</v>
      </c>
      <c r="R1896" s="93" t="str">
        <f>VLOOKUP(F1896,DATABASE!C:Q,4,false)</f>
        <v>#N/A</v>
      </c>
      <c r="S1896" s="93" t="str">
        <f>VLOOKUP(F1896,DATABASE!C:P,11,false)</f>
        <v>#N/A</v>
      </c>
      <c r="T1896" s="93" t="str">
        <f>vlookup(F1896,DATABASE!C:Q,8,false)</f>
        <v>#N/A</v>
      </c>
      <c r="Z1896" s="9"/>
    </row>
    <row r="1897" ht="22.5" customHeight="1">
      <c r="A1897" s="49"/>
      <c r="C1897" s="384"/>
      <c r="D1897" s="93"/>
      <c r="F1897" s="74"/>
      <c r="H1897" s="74"/>
      <c r="I1897" s="74"/>
      <c r="J1897" s="74"/>
      <c r="K1897" s="74" t="str">
        <f>if(F1897="SERVICE",O1897-(O1897*50%),Vlookup(F1897,DATABASE!C:Q,10,false)*G1897)</f>
        <v>#N/A</v>
      </c>
      <c r="L1897" s="74" t="str">
        <f>VLOOKUP(F1897,DATABASE!C:Q,7,FALSE)</f>
        <v>#N/A</v>
      </c>
      <c r="M1897" s="74"/>
      <c r="N1897" s="74">
        <f t="shared" si="11"/>
        <v>0</v>
      </c>
      <c r="O1897" s="74">
        <f t="shared" si="13"/>
        <v>0</v>
      </c>
      <c r="P1897" s="63">
        <f t="shared" si="14"/>
        <v>0</v>
      </c>
      <c r="Q1897" s="63" t="str">
        <f t="shared" si="15"/>
        <v>#N/A</v>
      </c>
      <c r="R1897" s="93" t="str">
        <f>VLOOKUP(F1897,DATABASE!C:Q,4,false)</f>
        <v>#N/A</v>
      </c>
      <c r="S1897" s="93" t="str">
        <f>VLOOKUP(F1897,DATABASE!C:P,11,false)</f>
        <v>#N/A</v>
      </c>
      <c r="T1897" s="93" t="str">
        <f>vlookup(F1897,DATABASE!C:Q,8,false)</f>
        <v>#N/A</v>
      </c>
      <c r="Z1897" s="9"/>
    </row>
    <row r="1898" ht="22.5" customHeight="1">
      <c r="A1898" s="49"/>
      <c r="C1898" s="384"/>
      <c r="D1898" s="93"/>
      <c r="F1898" s="74"/>
      <c r="H1898" s="74"/>
      <c r="I1898" s="74"/>
      <c r="J1898" s="74"/>
      <c r="K1898" s="74" t="str">
        <f>if(F1898="SERVICE",O1898-(O1898*50%),Vlookup(F1898,DATABASE!C:Q,10,false)*G1898)</f>
        <v>#N/A</v>
      </c>
      <c r="L1898" s="74" t="str">
        <f>VLOOKUP(F1898,DATABASE!C:Q,7,FALSE)</f>
        <v>#N/A</v>
      </c>
      <c r="M1898" s="74"/>
      <c r="N1898" s="74">
        <f t="shared" si="11"/>
        <v>0</v>
      </c>
      <c r="O1898" s="74">
        <f t="shared" si="13"/>
        <v>0</v>
      </c>
      <c r="P1898" s="63">
        <f t="shared" si="14"/>
        <v>0</v>
      </c>
      <c r="Q1898" s="63" t="str">
        <f t="shared" si="15"/>
        <v>#N/A</v>
      </c>
      <c r="R1898" s="93" t="str">
        <f>VLOOKUP(F1898,DATABASE!C:Q,4,false)</f>
        <v>#N/A</v>
      </c>
      <c r="S1898" s="93" t="str">
        <f>VLOOKUP(F1898,DATABASE!C:P,11,false)</f>
        <v>#N/A</v>
      </c>
      <c r="T1898" s="93" t="str">
        <f>vlookup(F1898,DATABASE!C:Q,8,false)</f>
        <v>#N/A</v>
      </c>
      <c r="Z1898" s="9"/>
    </row>
    <row r="1899" ht="22.5" customHeight="1">
      <c r="A1899" s="49"/>
      <c r="C1899" s="384"/>
      <c r="D1899" s="93"/>
      <c r="F1899" s="74"/>
      <c r="H1899" s="74"/>
      <c r="I1899" s="74"/>
      <c r="J1899" s="74"/>
      <c r="K1899" s="74" t="str">
        <f>if(F1899="SERVICE",O1899-(O1899*50%),Vlookup(F1899,DATABASE!C:Q,10,false)*G1899)</f>
        <v>#N/A</v>
      </c>
      <c r="L1899" s="74" t="str">
        <f>VLOOKUP(F1899,DATABASE!C:Q,7,FALSE)</f>
        <v>#N/A</v>
      </c>
      <c r="M1899" s="74"/>
      <c r="N1899" s="74">
        <f t="shared" si="11"/>
        <v>0</v>
      </c>
      <c r="O1899" s="74">
        <f t="shared" si="13"/>
        <v>0</v>
      </c>
      <c r="P1899" s="63">
        <f t="shared" si="14"/>
        <v>0</v>
      </c>
      <c r="Q1899" s="63" t="str">
        <f t="shared" si="15"/>
        <v>#N/A</v>
      </c>
      <c r="R1899" s="93" t="str">
        <f>VLOOKUP(F1899,DATABASE!C:Q,4,false)</f>
        <v>#N/A</v>
      </c>
      <c r="S1899" s="93" t="str">
        <f>VLOOKUP(F1899,DATABASE!C:P,11,false)</f>
        <v>#N/A</v>
      </c>
      <c r="T1899" s="93" t="str">
        <f>vlookup(F1899,DATABASE!C:Q,8,false)</f>
        <v>#N/A</v>
      </c>
      <c r="Z1899" s="9"/>
    </row>
    <row r="1900" ht="22.5" customHeight="1">
      <c r="A1900" s="49"/>
      <c r="C1900" s="384"/>
      <c r="D1900" s="93"/>
      <c r="F1900" s="74"/>
      <c r="H1900" s="74"/>
      <c r="I1900" s="74"/>
      <c r="J1900" s="74"/>
      <c r="K1900" s="74" t="str">
        <f>if(F1900="SERVICE",O1900-(O1900*50%),Vlookup(F1900,DATABASE!C:Q,10,false)*G1900)</f>
        <v>#N/A</v>
      </c>
      <c r="L1900" s="74" t="str">
        <f>VLOOKUP(F1900,DATABASE!C:Q,7,FALSE)</f>
        <v>#N/A</v>
      </c>
      <c r="M1900" s="74"/>
      <c r="N1900" s="74">
        <f t="shared" si="11"/>
        <v>0</v>
      </c>
      <c r="O1900" s="74">
        <f t="shared" si="13"/>
        <v>0</v>
      </c>
      <c r="P1900" s="63">
        <f t="shared" si="14"/>
        <v>0</v>
      </c>
      <c r="Q1900" s="63" t="str">
        <f t="shared" si="15"/>
        <v>#N/A</v>
      </c>
      <c r="R1900" s="93" t="str">
        <f>VLOOKUP(F1900,DATABASE!C:Q,4,false)</f>
        <v>#N/A</v>
      </c>
      <c r="S1900" s="93" t="str">
        <f>VLOOKUP(F1900,DATABASE!C:P,11,false)</f>
        <v>#N/A</v>
      </c>
      <c r="T1900" s="93" t="str">
        <f>vlookup(F1900,DATABASE!C:Q,8,false)</f>
        <v>#N/A</v>
      </c>
      <c r="Z1900" s="9"/>
    </row>
    <row r="1901" ht="22.5" customHeight="1">
      <c r="A1901" s="49"/>
      <c r="C1901" s="384"/>
      <c r="D1901" s="93"/>
      <c r="F1901" s="74"/>
      <c r="H1901" s="74"/>
      <c r="I1901" s="74"/>
      <c r="J1901" s="74"/>
      <c r="K1901" s="74" t="str">
        <f>if(F1901="SERVICE",O1901-(O1901*50%),Vlookup(F1901,DATABASE!C:Q,10,false)*G1901)</f>
        <v>#N/A</v>
      </c>
      <c r="L1901" s="74" t="str">
        <f>VLOOKUP(F1901,DATABASE!C:Q,7,FALSE)</f>
        <v>#N/A</v>
      </c>
      <c r="M1901" s="74"/>
      <c r="N1901" s="74">
        <f t="shared" si="11"/>
        <v>0</v>
      </c>
      <c r="O1901" s="74">
        <f t="shared" si="13"/>
        <v>0</v>
      </c>
      <c r="P1901" s="63">
        <f t="shared" si="14"/>
        <v>0</v>
      </c>
      <c r="Q1901" s="63" t="str">
        <f t="shared" si="15"/>
        <v>#N/A</v>
      </c>
      <c r="R1901" s="93" t="str">
        <f>VLOOKUP(F1901,DATABASE!C:Q,4,false)</f>
        <v>#N/A</v>
      </c>
      <c r="S1901" s="93" t="str">
        <f>VLOOKUP(F1901,DATABASE!C:P,11,false)</f>
        <v>#N/A</v>
      </c>
      <c r="T1901" s="93" t="str">
        <f>vlookup(F1901,DATABASE!C:Q,8,false)</f>
        <v>#N/A</v>
      </c>
      <c r="Z1901" s="9"/>
    </row>
    <row r="1902" ht="22.5" customHeight="1">
      <c r="A1902" s="49"/>
      <c r="C1902" s="384"/>
      <c r="D1902" s="93"/>
      <c r="F1902" s="74"/>
      <c r="H1902" s="74"/>
      <c r="I1902" s="74"/>
      <c r="J1902" s="74"/>
      <c r="K1902" s="74" t="str">
        <f>if(F1902="SERVICE",O1902-(O1902*50%),Vlookup(F1902,DATABASE!C:Q,10,false)*G1902)</f>
        <v>#N/A</v>
      </c>
      <c r="L1902" s="74" t="str">
        <f>VLOOKUP(F1902,DATABASE!C:Q,7,FALSE)</f>
        <v>#N/A</v>
      </c>
      <c r="M1902" s="74"/>
      <c r="N1902" s="74">
        <f t="shared" si="11"/>
        <v>0</v>
      </c>
      <c r="O1902" s="74">
        <f t="shared" si="13"/>
        <v>0</v>
      </c>
      <c r="P1902" s="63">
        <f t="shared" si="14"/>
        <v>0</v>
      </c>
      <c r="Q1902" s="63" t="str">
        <f t="shared" si="15"/>
        <v>#N/A</v>
      </c>
      <c r="R1902" s="93" t="str">
        <f>VLOOKUP(F1902,DATABASE!C:Q,4,false)</f>
        <v>#N/A</v>
      </c>
      <c r="S1902" s="93" t="str">
        <f>VLOOKUP(F1902,DATABASE!C:P,11,false)</f>
        <v>#N/A</v>
      </c>
      <c r="T1902" s="93" t="str">
        <f>vlookup(F1902,DATABASE!C:Q,8,false)</f>
        <v>#N/A</v>
      </c>
      <c r="Z1902" s="9"/>
    </row>
    <row r="1903" ht="22.5" customHeight="1">
      <c r="A1903" s="49"/>
      <c r="C1903" s="384"/>
      <c r="D1903" s="93"/>
      <c r="F1903" s="74"/>
      <c r="H1903" s="74"/>
      <c r="I1903" s="74"/>
      <c r="J1903" s="74"/>
      <c r="K1903" s="74" t="str">
        <f>if(F1903="SERVICE",O1903-(O1903*50%),Vlookup(F1903,DATABASE!C:Q,10,false)*G1903)</f>
        <v>#N/A</v>
      </c>
      <c r="L1903" s="74" t="str">
        <f>VLOOKUP(F1903,DATABASE!C:Q,7,FALSE)</f>
        <v>#N/A</v>
      </c>
      <c r="M1903" s="74"/>
      <c r="N1903" s="74">
        <f t="shared" si="11"/>
        <v>0</v>
      </c>
      <c r="O1903" s="74">
        <f t="shared" si="13"/>
        <v>0</v>
      </c>
      <c r="P1903" s="63">
        <f t="shared" si="14"/>
        <v>0</v>
      </c>
      <c r="Q1903" s="63" t="str">
        <f t="shared" si="15"/>
        <v>#N/A</v>
      </c>
      <c r="R1903" s="93" t="str">
        <f>VLOOKUP(F1903,DATABASE!C:Q,4,false)</f>
        <v>#N/A</v>
      </c>
      <c r="S1903" s="93" t="str">
        <f>VLOOKUP(F1903,DATABASE!C:P,11,false)</f>
        <v>#N/A</v>
      </c>
      <c r="T1903" s="93" t="str">
        <f>vlookup(F1903,DATABASE!C:Q,8,false)</f>
        <v>#N/A</v>
      </c>
      <c r="Z1903" s="9"/>
    </row>
    <row r="1904" ht="22.5" customHeight="1">
      <c r="A1904" s="49"/>
      <c r="C1904" s="384"/>
      <c r="D1904" s="93"/>
      <c r="F1904" s="74"/>
      <c r="H1904" s="74"/>
      <c r="I1904" s="74"/>
      <c r="J1904" s="74"/>
      <c r="K1904" s="74" t="str">
        <f>if(F1904="SERVICE",O1904-(O1904*50%),Vlookup(F1904,DATABASE!C:Q,10,false)*G1904)</f>
        <v>#N/A</v>
      </c>
      <c r="L1904" s="74" t="str">
        <f>VLOOKUP(F1904,DATABASE!C:Q,7,FALSE)</f>
        <v>#N/A</v>
      </c>
      <c r="M1904" s="74"/>
      <c r="N1904" s="74">
        <f t="shared" si="11"/>
        <v>0</v>
      </c>
      <c r="O1904" s="74">
        <f t="shared" si="13"/>
        <v>0</v>
      </c>
      <c r="P1904" s="63">
        <f t="shared" si="14"/>
        <v>0</v>
      </c>
      <c r="Q1904" s="63" t="str">
        <f t="shared" si="15"/>
        <v>#N/A</v>
      </c>
      <c r="R1904" s="93" t="str">
        <f>VLOOKUP(F1904,DATABASE!C:Q,4,false)</f>
        <v>#N/A</v>
      </c>
      <c r="S1904" s="93" t="str">
        <f>VLOOKUP(F1904,DATABASE!C:P,11,false)</f>
        <v>#N/A</v>
      </c>
      <c r="T1904" s="93" t="str">
        <f>vlookup(F1904,DATABASE!C:Q,8,false)</f>
        <v>#N/A</v>
      </c>
      <c r="Z1904" s="9"/>
    </row>
    <row r="1905" ht="22.5" customHeight="1">
      <c r="A1905" s="49"/>
      <c r="C1905" s="384"/>
      <c r="D1905" s="93"/>
      <c r="F1905" s="74"/>
      <c r="H1905" s="74"/>
      <c r="I1905" s="74"/>
      <c r="J1905" s="74"/>
      <c r="K1905" s="74" t="str">
        <f>if(F1905="SERVICE",O1905-(O1905*50%),Vlookup(F1905,DATABASE!C:Q,10,false)*G1905)</f>
        <v>#N/A</v>
      </c>
      <c r="L1905" s="74" t="str">
        <f>VLOOKUP(F1905,DATABASE!C:Q,7,FALSE)</f>
        <v>#N/A</v>
      </c>
      <c r="M1905" s="74"/>
      <c r="N1905" s="74">
        <f t="shared" si="11"/>
        <v>0</v>
      </c>
      <c r="O1905" s="74">
        <f t="shared" si="13"/>
        <v>0</v>
      </c>
      <c r="P1905" s="63">
        <f t="shared" si="14"/>
        <v>0</v>
      </c>
      <c r="Q1905" s="63" t="str">
        <f t="shared" si="15"/>
        <v>#N/A</v>
      </c>
      <c r="R1905" s="93" t="str">
        <f>VLOOKUP(F1905,DATABASE!C:Q,4,false)</f>
        <v>#N/A</v>
      </c>
      <c r="S1905" s="93" t="str">
        <f>VLOOKUP(F1905,DATABASE!C:P,11,false)</f>
        <v>#N/A</v>
      </c>
      <c r="T1905" s="93" t="str">
        <f>vlookup(F1905,DATABASE!C:Q,8,false)</f>
        <v>#N/A</v>
      </c>
      <c r="Z1905" s="9"/>
    </row>
    <row r="1906" ht="22.5" customHeight="1">
      <c r="A1906" s="49"/>
      <c r="C1906" s="384"/>
      <c r="D1906" s="93"/>
      <c r="F1906" s="74"/>
      <c r="H1906" s="74"/>
      <c r="I1906" s="74"/>
      <c r="J1906" s="74"/>
      <c r="K1906" s="74" t="str">
        <f>if(F1906="SERVICE",O1906-(O1906*50%),Vlookup(F1906,DATABASE!C:Q,10,false)*G1906)</f>
        <v>#N/A</v>
      </c>
      <c r="L1906" s="74" t="str">
        <f>VLOOKUP(F1906,DATABASE!C:Q,7,FALSE)</f>
        <v>#N/A</v>
      </c>
      <c r="M1906" s="74"/>
      <c r="N1906" s="74">
        <f t="shared" si="11"/>
        <v>0</v>
      </c>
      <c r="O1906" s="74">
        <f t="shared" si="13"/>
        <v>0</v>
      </c>
      <c r="P1906" s="63">
        <f t="shared" si="14"/>
        <v>0</v>
      </c>
      <c r="Q1906" s="63" t="str">
        <f t="shared" si="15"/>
        <v>#N/A</v>
      </c>
      <c r="R1906" s="93" t="str">
        <f>VLOOKUP(F1906,DATABASE!C:Q,4,false)</f>
        <v>#N/A</v>
      </c>
      <c r="S1906" s="93" t="str">
        <f>VLOOKUP(F1906,DATABASE!C:P,11,false)</f>
        <v>#N/A</v>
      </c>
      <c r="T1906" s="93" t="str">
        <f>vlookup(F1906,DATABASE!C:Q,8,false)</f>
        <v>#N/A</v>
      </c>
      <c r="Z1906" s="9"/>
    </row>
    <row r="1907" ht="22.5" customHeight="1">
      <c r="A1907" s="49"/>
      <c r="C1907" s="384"/>
      <c r="D1907" s="93"/>
      <c r="F1907" s="74"/>
      <c r="H1907" s="74"/>
      <c r="I1907" s="74"/>
      <c r="J1907" s="74"/>
      <c r="K1907" s="74" t="str">
        <f>if(F1907="SERVICE",O1907-(O1907*50%),Vlookup(F1907,DATABASE!C:Q,10,false)*G1907)</f>
        <v>#N/A</v>
      </c>
      <c r="L1907" s="74" t="str">
        <f>VLOOKUP(F1907,DATABASE!C:Q,7,FALSE)</f>
        <v>#N/A</v>
      </c>
      <c r="M1907" s="74"/>
      <c r="N1907" s="74">
        <f t="shared" si="11"/>
        <v>0</v>
      </c>
      <c r="O1907" s="74">
        <f t="shared" si="13"/>
        <v>0</v>
      </c>
      <c r="P1907" s="63">
        <f t="shared" si="14"/>
        <v>0</v>
      </c>
      <c r="Q1907" s="63" t="str">
        <f t="shared" si="15"/>
        <v>#N/A</v>
      </c>
      <c r="R1907" s="93" t="str">
        <f>VLOOKUP(F1907,DATABASE!C:Q,4,false)</f>
        <v>#N/A</v>
      </c>
      <c r="S1907" s="93" t="str">
        <f>VLOOKUP(F1907,DATABASE!C:P,11,false)</f>
        <v>#N/A</v>
      </c>
      <c r="T1907" s="93" t="str">
        <f>vlookup(F1907,DATABASE!C:Q,8,false)</f>
        <v>#N/A</v>
      </c>
      <c r="Z1907" s="9"/>
    </row>
    <row r="1908" ht="22.5" customHeight="1">
      <c r="A1908" s="49"/>
      <c r="C1908" s="384"/>
      <c r="D1908" s="93"/>
      <c r="F1908" s="74"/>
      <c r="H1908" s="74"/>
      <c r="I1908" s="74"/>
      <c r="J1908" s="74"/>
      <c r="K1908" s="74" t="str">
        <f>if(F1908="SERVICE",O1908-(O1908*50%),Vlookup(F1908,DATABASE!C:Q,10,false)*G1908)</f>
        <v>#N/A</v>
      </c>
      <c r="L1908" s="74" t="str">
        <f>VLOOKUP(F1908,DATABASE!C:Q,7,FALSE)</f>
        <v>#N/A</v>
      </c>
      <c r="M1908" s="74"/>
      <c r="N1908" s="74">
        <f t="shared" si="11"/>
        <v>0</v>
      </c>
      <c r="O1908" s="74">
        <f t="shared" si="13"/>
        <v>0</v>
      </c>
      <c r="P1908" s="63">
        <f t="shared" si="14"/>
        <v>0</v>
      </c>
      <c r="Q1908" s="63" t="str">
        <f t="shared" si="15"/>
        <v>#N/A</v>
      </c>
      <c r="R1908" s="93" t="str">
        <f>VLOOKUP(F1908,DATABASE!C:Q,4,false)</f>
        <v>#N/A</v>
      </c>
      <c r="S1908" s="93" t="str">
        <f>VLOOKUP(F1908,DATABASE!C:P,11,false)</f>
        <v>#N/A</v>
      </c>
      <c r="T1908" s="93" t="str">
        <f>vlookup(F1908,DATABASE!C:Q,8,false)</f>
        <v>#N/A</v>
      </c>
      <c r="Z1908" s="9"/>
    </row>
    <row r="1909" ht="22.5" customHeight="1">
      <c r="A1909" s="49"/>
      <c r="C1909" s="384"/>
      <c r="D1909" s="93"/>
      <c r="F1909" s="74"/>
      <c r="H1909" s="74"/>
      <c r="I1909" s="74"/>
      <c r="J1909" s="74"/>
      <c r="K1909" s="74" t="str">
        <f>if(F1909="SERVICE",O1909-(O1909*50%),Vlookup(F1909,DATABASE!C:Q,10,false)*G1909)</f>
        <v>#N/A</v>
      </c>
      <c r="L1909" s="74" t="str">
        <f>VLOOKUP(F1909,DATABASE!C:Q,7,FALSE)</f>
        <v>#N/A</v>
      </c>
      <c r="M1909" s="74"/>
      <c r="N1909" s="74">
        <f t="shared" si="11"/>
        <v>0</v>
      </c>
      <c r="O1909" s="74">
        <f t="shared" si="13"/>
        <v>0</v>
      </c>
      <c r="P1909" s="63">
        <f t="shared" si="14"/>
        <v>0</v>
      </c>
      <c r="Q1909" s="63" t="str">
        <f t="shared" si="15"/>
        <v>#N/A</v>
      </c>
      <c r="R1909" s="93" t="str">
        <f>VLOOKUP(F1909,DATABASE!C:Q,4,false)</f>
        <v>#N/A</v>
      </c>
      <c r="S1909" s="93" t="str">
        <f>VLOOKUP(F1909,DATABASE!C:P,11,false)</f>
        <v>#N/A</v>
      </c>
      <c r="T1909" s="93" t="str">
        <f>vlookup(F1909,DATABASE!C:Q,8,false)</f>
        <v>#N/A</v>
      </c>
      <c r="Z1909" s="9"/>
    </row>
    <row r="1910" ht="22.5" customHeight="1">
      <c r="A1910" s="49"/>
      <c r="C1910" s="384"/>
      <c r="D1910" s="93"/>
      <c r="F1910" s="74"/>
      <c r="H1910" s="74"/>
      <c r="I1910" s="74"/>
      <c r="J1910" s="74"/>
      <c r="K1910" s="74" t="str">
        <f>if(F1910="SERVICE",O1910-(O1910*50%),Vlookup(F1910,DATABASE!C:Q,10,false)*G1910)</f>
        <v>#N/A</v>
      </c>
      <c r="L1910" s="74" t="str">
        <f>VLOOKUP(F1910,DATABASE!C:Q,7,FALSE)</f>
        <v>#N/A</v>
      </c>
      <c r="M1910" s="74"/>
      <c r="N1910" s="74">
        <f t="shared" si="11"/>
        <v>0</v>
      </c>
      <c r="O1910" s="74">
        <f t="shared" si="13"/>
        <v>0</v>
      </c>
      <c r="P1910" s="63">
        <f t="shared" si="14"/>
        <v>0</v>
      </c>
      <c r="Q1910" s="63" t="str">
        <f t="shared" si="15"/>
        <v>#N/A</v>
      </c>
      <c r="R1910" s="93" t="str">
        <f>VLOOKUP(F1910,DATABASE!C:Q,4,false)</f>
        <v>#N/A</v>
      </c>
      <c r="S1910" s="93" t="str">
        <f>VLOOKUP(F1910,DATABASE!C:P,11,false)</f>
        <v>#N/A</v>
      </c>
      <c r="T1910" s="93" t="str">
        <f>vlookup(F1910,DATABASE!C:Q,8,false)</f>
        <v>#N/A</v>
      </c>
      <c r="Z1910" s="9"/>
    </row>
    <row r="1911" ht="22.5" customHeight="1">
      <c r="A1911" s="49"/>
      <c r="C1911" s="384"/>
      <c r="D1911" s="93"/>
      <c r="F1911" s="74"/>
      <c r="H1911" s="74"/>
      <c r="I1911" s="74"/>
      <c r="J1911" s="74"/>
      <c r="K1911" s="74" t="str">
        <f>if(F1911="SERVICE",O1911-(O1911*50%),Vlookup(F1911,DATABASE!C:Q,10,false)*G1911)</f>
        <v>#N/A</v>
      </c>
      <c r="L1911" s="74" t="str">
        <f>VLOOKUP(F1911,DATABASE!C:Q,7,FALSE)</f>
        <v>#N/A</v>
      </c>
      <c r="M1911" s="74"/>
      <c r="N1911" s="74">
        <f t="shared" si="11"/>
        <v>0</v>
      </c>
      <c r="O1911" s="74">
        <f t="shared" si="13"/>
        <v>0</v>
      </c>
      <c r="P1911" s="63">
        <f t="shared" si="14"/>
        <v>0</v>
      </c>
      <c r="Q1911" s="63" t="str">
        <f t="shared" si="15"/>
        <v>#N/A</v>
      </c>
      <c r="R1911" s="93" t="str">
        <f>VLOOKUP(F1911,DATABASE!C:Q,4,false)</f>
        <v>#N/A</v>
      </c>
      <c r="S1911" s="93" t="str">
        <f>VLOOKUP(F1911,DATABASE!C:P,11,false)</f>
        <v>#N/A</v>
      </c>
      <c r="T1911" s="93" t="str">
        <f>vlookup(F1911,DATABASE!C:Q,8,false)</f>
        <v>#N/A</v>
      </c>
      <c r="Z1911" s="9"/>
    </row>
    <row r="1912" ht="22.5" customHeight="1">
      <c r="A1912" s="49"/>
      <c r="C1912" s="384"/>
      <c r="D1912" s="93"/>
      <c r="F1912" s="74"/>
      <c r="H1912" s="74"/>
      <c r="I1912" s="74"/>
      <c r="J1912" s="74"/>
      <c r="K1912" s="74" t="str">
        <f>if(F1912="SERVICE",O1912-(O1912*50%),Vlookup(F1912,DATABASE!C:Q,10,false)*G1912)</f>
        <v>#N/A</v>
      </c>
      <c r="L1912" s="74" t="str">
        <f>VLOOKUP(F1912,DATABASE!C:Q,7,FALSE)</f>
        <v>#N/A</v>
      </c>
      <c r="M1912" s="74"/>
      <c r="N1912" s="74">
        <f t="shared" si="11"/>
        <v>0</v>
      </c>
      <c r="O1912" s="74">
        <f t="shared" si="13"/>
        <v>0</v>
      </c>
      <c r="P1912" s="63">
        <f t="shared" si="14"/>
        <v>0</v>
      </c>
      <c r="Q1912" s="63" t="str">
        <f t="shared" si="15"/>
        <v>#N/A</v>
      </c>
      <c r="R1912" s="93" t="str">
        <f>VLOOKUP(F1912,DATABASE!C:Q,4,false)</f>
        <v>#N/A</v>
      </c>
      <c r="S1912" s="93" t="str">
        <f>VLOOKUP(F1912,DATABASE!C:P,11,false)</f>
        <v>#N/A</v>
      </c>
      <c r="T1912" s="93" t="str">
        <f>vlookup(F1912,DATABASE!C:Q,8,false)</f>
        <v>#N/A</v>
      </c>
      <c r="Z1912" s="9"/>
    </row>
    <row r="1913" ht="22.5" customHeight="1">
      <c r="A1913" s="49"/>
      <c r="C1913" s="384"/>
      <c r="D1913" s="93"/>
      <c r="F1913" s="74"/>
      <c r="H1913" s="74"/>
      <c r="I1913" s="74"/>
      <c r="J1913" s="74"/>
      <c r="K1913" s="74" t="str">
        <f>if(F1913="SERVICE",O1913-(O1913*50%),Vlookup(F1913,DATABASE!C:Q,10,false)*G1913)</f>
        <v>#N/A</v>
      </c>
      <c r="L1913" s="74" t="str">
        <f>VLOOKUP(F1913,DATABASE!C:Q,7,FALSE)</f>
        <v>#N/A</v>
      </c>
      <c r="M1913" s="74"/>
      <c r="N1913" s="74">
        <f t="shared" si="11"/>
        <v>0</v>
      </c>
      <c r="O1913" s="74">
        <f t="shared" si="13"/>
        <v>0</v>
      </c>
      <c r="P1913" s="63">
        <f t="shared" si="14"/>
        <v>0</v>
      </c>
      <c r="Q1913" s="63" t="str">
        <f t="shared" si="15"/>
        <v>#N/A</v>
      </c>
      <c r="R1913" s="93" t="str">
        <f>VLOOKUP(F1913,DATABASE!C:Q,4,false)</f>
        <v>#N/A</v>
      </c>
      <c r="S1913" s="93" t="str">
        <f>VLOOKUP(F1913,DATABASE!C:P,11,false)</f>
        <v>#N/A</v>
      </c>
      <c r="T1913" s="93" t="str">
        <f>vlookup(F1913,DATABASE!C:Q,8,false)</f>
        <v>#N/A</v>
      </c>
      <c r="Z1913" s="9"/>
    </row>
    <row r="1914" ht="22.5" customHeight="1">
      <c r="A1914" s="49"/>
      <c r="C1914" s="384"/>
      <c r="D1914" s="93"/>
      <c r="F1914" s="74"/>
      <c r="H1914" s="74"/>
      <c r="I1914" s="74"/>
      <c r="J1914" s="74"/>
      <c r="K1914" s="74" t="str">
        <f>if(F1914="SERVICE",O1914-(O1914*50%),Vlookup(F1914,DATABASE!C:Q,10,false)*G1914)</f>
        <v>#N/A</v>
      </c>
      <c r="L1914" s="74" t="str">
        <f>VLOOKUP(F1914,DATABASE!C:Q,7,FALSE)</f>
        <v>#N/A</v>
      </c>
      <c r="M1914" s="74"/>
      <c r="N1914" s="74">
        <f t="shared" si="11"/>
        <v>0</v>
      </c>
      <c r="O1914" s="74">
        <f t="shared" si="13"/>
        <v>0</v>
      </c>
      <c r="P1914" s="63">
        <f t="shared" si="14"/>
        <v>0</v>
      </c>
      <c r="Q1914" s="63" t="str">
        <f t="shared" si="15"/>
        <v>#N/A</v>
      </c>
      <c r="R1914" s="93" t="str">
        <f>VLOOKUP(F1914,DATABASE!C:Q,4,false)</f>
        <v>#N/A</v>
      </c>
      <c r="S1914" s="93" t="str">
        <f>VLOOKUP(F1914,DATABASE!C:P,11,false)</f>
        <v>#N/A</v>
      </c>
      <c r="T1914" s="93" t="str">
        <f>vlookup(F1914,DATABASE!C:Q,8,false)</f>
        <v>#N/A</v>
      </c>
      <c r="Z1914" s="9"/>
    </row>
    <row r="1915" ht="22.5" customHeight="1">
      <c r="A1915" s="49"/>
      <c r="C1915" s="384"/>
      <c r="D1915" s="93"/>
      <c r="F1915" s="74"/>
      <c r="H1915" s="74"/>
      <c r="I1915" s="74"/>
      <c r="J1915" s="74"/>
      <c r="K1915" s="74" t="str">
        <f>if(F1915="SERVICE",O1915-(O1915*50%),Vlookup(F1915,DATABASE!C:Q,10,false)*G1915)</f>
        <v>#N/A</v>
      </c>
      <c r="L1915" s="74" t="str">
        <f>VLOOKUP(F1915,DATABASE!C:Q,7,FALSE)</f>
        <v>#N/A</v>
      </c>
      <c r="M1915" s="74"/>
      <c r="N1915" s="74">
        <f t="shared" si="11"/>
        <v>0</v>
      </c>
      <c r="O1915" s="74">
        <f t="shared" si="13"/>
        <v>0</v>
      </c>
      <c r="P1915" s="63">
        <f t="shared" si="14"/>
        <v>0</v>
      </c>
      <c r="Q1915" s="63" t="str">
        <f t="shared" si="15"/>
        <v>#N/A</v>
      </c>
      <c r="R1915" s="93" t="str">
        <f>VLOOKUP(F1915,DATABASE!C:Q,4,false)</f>
        <v>#N/A</v>
      </c>
      <c r="S1915" s="93" t="str">
        <f>VLOOKUP(F1915,DATABASE!C:P,11,false)</f>
        <v>#N/A</v>
      </c>
      <c r="T1915" s="93" t="str">
        <f>vlookup(F1915,DATABASE!C:Q,8,false)</f>
        <v>#N/A</v>
      </c>
      <c r="Z1915" s="9"/>
    </row>
    <row r="1916" ht="22.5" customHeight="1">
      <c r="A1916" s="49"/>
      <c r="C1916" s="384"/>
      <c r="D1916" s="93"/>
      <c r="F1916" s="74"/>
      <c r="H1916" s="74"/>
      <c r="I1916" s="74"/>
      <c r="J1916" s="74"/>
      <c r="K1916" s="74" t="str">
        <f>if(F1916="SERVICE",O1916-(O1916*50%),Vlookup(F1916,DATABASE!C:Q,10,false)*G1916)</f>
        <v>#N/A</v>
      </c>
      <c r="L1916" s="74" t="str">
        <f>VLOOKUP(F1916,DATABASE!C:Q,7,FALSE)</f>
        <v>#N/A</v>
      </c>
      <c r="M1916" s="74"/>
      <c r="N1916" s="74">
        <f t="shared" si="11"/>
        <v>0</v>
      </c>
      <c r="O1916" s="74">
        <f t="shared" si="13"/>
        <v>0</v>
      </c>
      <c r="P1916" s="63">
        <f t="shared" si="14"/>
        <v>0</v>
      </c>
      <c r="Q1916" s="63" t="str">
        <f t="shared" si="15"/>
        <v>#N/A</v>
      </c>
      <c r="R1916" s="93" t="str">
        <f>VLOOKUP(F1916,DATABASE!C:Q,4,false)</f>
        <v>#N/A</v>
      </c>
      <c r="S1916" s="93" t="str">
        <f>VLOOKUP(F1916,DATABASE!C:P,11,false)</f>
        <v>#N/A</v>
      </c>
      <c r="T1916" s="93" t="str">
        <f>vlookup(F1916,DATABASE!C:Q,8,false)</f>
        <v>#N/A</v>
      </c>
      <c r="Z1916" s="9"/>
    </row>
    <row r="1917" ht="22.5" customHeight="1">
      <c r="A1917" s="49"/>
      <c r="C1917" s="384"/>
      <c r="D1917" s="93"/>
      <c r="F1917" s="74"/>
      <c r="H1917" s="74"/>
      <c r="I1917" s="74"/>
      <c r="J1917" s="74"/>
      <c r="K1917" s="74" t="str">
        <f>if(F1917="SERVICE",O1917-(O1917*50%),Vlookup(F1917,DATABASE!C:Q,10,false)*G1917)</f>
        <v>#N/A</v>
      </c>
      <c r="L1917" s="74" t="str">
        <f>VLOOKUP(F1917,DATABASE!C:Q,7,FALSE)</f>
        <v>#N/A</v>
      </c>
      <c r="M1917" s="74"/>
      <c r="N1917" s="74">
        <f t="shared" si="11"/>
        <v>0</v>
      </c>
      <c r="O1917" s="74">
        <f t="shared" si="13"/>
        <v>0</v>
      </c>
      <c r="P1917" s="63">
        <f t="shared" si="14"/>
        <v>0</v>
      </c>
      <c r="Q1917" s="63" t="str">
        <f t="shared" si="15"/>
        <v>#N/A</v>
      </c>
      <c r="R1917" s="93" t="str">
        <f>VLOOKUP(F1917,DATABASE!C:Q,4,false)</f>
        <v>#N/A</v>
      </c>
      <c r="S1917" s="93" t="str">
        <f>VLOOKUP(F1917,DATABASE!C:P,11,false)</f>
        <v>#N/A</v>
      </c>
      <c r="T1917" s="93" t="str">
        <f>vlookup(F1917,DATABASE!C:Q,8,false)</f>
        <v>#N/A</v>
      </c>
      <c r="Z1917" s="9"/>
    </row>
    <row r="1918" ht="22.5" customHeight="1">
      <c r="A1918" s="49"/>
      <c r="C1918" s="384"/>
      <c r="D1918" s="93"/>
      <c r="F1918" s="74"/>
      <c r="H1918" s="74"/>
      <c r="I1918" s="74"/>
      <c r="J1918" s="74"/>
      <c r="K1918" s="74" t="str">
        <f>if(F1918="SERVICE",O1918-(O1918*50%),Vlookup(F1918,DATABASE!C:Q,10,false)*G1918)</f>
        <v>#N/A</v>
      </c>
      <c r="L1918" s="74" t="str">
        <f>VLOOKUP(F1918,DATABASE!C:Q,7,FALSE)</f>
        <v>#N/A</v>
      </c>
      <c r="M1918" s="74"/>
      <c r="N1918" s="74">
        <f t="shared" si="11"/>
        <v>0</v>
      </c>
      <c r="O1918" s="74">
        <f t="shared" si="13"/>
        <v>0</v>
      </c>
      <c r="P1918" s="63">
        <f t="shared" si="14"/>
        <v>0</v>
      </c>
      <c r="Q1918" s="63" t="str">
        <f t="shared" si="15"/>
        <v>#N/A</v>
      </c>
      <c r="R1918" s="93" t="str">
        <f>VLOOKUP(F1918,DATABASE!C:Q,4,false)</f>
        <v>#N/A</v>
      </c>
      <c r="S1918" s="93" t="str">
        <f>VLOOKUP(F1918,DATABASE!C:P,11,false)</f>
        <v>#N/A</v>
      </c>
      <c r="T1918" s="93" t="str">
        <f>vlookup(F1918,DATABASE!C:Q,8,false)</f>
        <v>#N/A</v>
      </c>
      <c r="Z1918" s="9"/>
    </row>
    <row r="1919" ht="22.5" customHeight="1">
      <c r="A1919" s="49"/>
      <c r="C1919" s="384"/>
      <c r="D1919" s="93"/>
      <c r="F1919" s="74"/>
      <c r="H1919" s="74"/>
      <c r="I1919" s="74"/>
      <c r="J1919" s="74"/>
      <c r="K1919" s="74" t="str">
        <f>if(F1919="SERVICE",O1919-(O1919*50%),Vlookup(F1919,DATABASE!C:Q,10,false)*G1919)</f>
        <v>#N/A</v>
      </c>
      <c r="L1919" s="74" t="str">
        <f>VLOOKUP(F1919,DATABASE!C:Q,7,FALSE)</f>
        <v>#N/A</v>
      </c>
      <c r="M1919" s="74"/>
      <c r="N1919" s="74">
        <f t="shared" si="11"/>
        <v>0</v>
      </c>
      <c r="O1919" s="74">
        <f t="shared" si="13"/>
        <v>0</v>
      </c>
      <c r="P1919" s="63">
        <f t="shared" si="14"/>
        <v>0</v>
      </c>
      <c r="Q1919" s="63" t="str">
        <f t="shared" si="15"/>
        <v>#N/A</v>
      </c>
      <c r="R1919" s="93" t="str">
        <f>VLOOKUP(F1919,DATABASE!C:Q,4,false)</f>
        <v>#N/A</v>
      </c>
      <c r="S1919" s="93" t="str">
        <f>VLOOKUP(F1919,DATABASE!C:P,11,false)</f>
        <v>#N/A</v>
      </c>
      <c r="T1919" s="93" t="str">
        <f>vlookup(F1919,DATABASE!C:Q,8,false)</f>
        <v>#N/A</v>
      </c>
      <c r="Z1919" s="9"/>
    </row>
    <row r="1920" ht="22.5" customHeight="1">
      <c r="A1920" s="49"/>
      <c r="C1920" s="384"/>
      <c r="D1920" s="93"/>
      <c r="F1920" s="74"/>
      <c r="H1920" s="74"/>
      <c r="I1920" s="74"/>
      <c r="J1920" s="74"/>
      <c r="K1920" s="74" t="str">
        <f>if(F1920="SERVICE",O1920-(O1920*50%),Vlookup(F1920,DATABASE!C:Q,10,false)*G1920)</f>
        <v>#N/A</v>
      </c>
      <c r="L1920" s="74" t="str">
        <f>VLOOKUP(F1920,DATABASE!C:Q,7,FALSE)</f>
        <v>#N/A</v>
      </c>
      <c r="M1920" s="74"/>
      <c r="N1920" s="74">
        <f t="shared" si="11"/>
        <v>0</v>
      </c>
      <c r="O1920" s="74">
        <f t="shared" si="13"/>
        <v>0</v>
      </c>
      <c r="P1920" s="63">
        <f t="shared" si="14"/>
        <v>0</v>
      </c>
      <c r="Q1920" s="63" t="str">
        <f t="shared" si="15"/>
        <v>#N/A</v>
      </c>
      <c r="R1920" s="93" t="str">
        <f>VLOOKUP(F1920,DATABASE!C:Q,4,false)</f>
        <v>#N/A</v>
      </c>
      <c r="S1920" s="93" t="str">
        <f>VLOOKUP(F1920,DATABASE!C:P,11,false)</f>
        <v>#N/A</v>
      </c>
      <c r="T1920" s="93" t="str">
        <f>vlookup(F1920,DATABASE!C:Q,8,false)</f>
        <v>#N/A</v>
      </c>
      <c r="Z1920" s="9"/>
    </row>
    <row r="1921" ht="22.5" customHeight="1">
      <c r="A1921" s="49"/>
      <c r="C1921" s="384"/>
      <c r="D1921" s="93"/>
      <c r="F1921" s="74"/>
      <c r="H1921" s="74"/>
      <c r="I1921" s="74"/>
      <c r="J1921" s="74"/>
      <c r="K1921" s="74" t="str">
        <f>if(F1921="SERVICE",O1921-(O1921*50%),Vlookup(F1921,DATABASE!C:Q,10,false)*G1921)</f>
        <v>#N/A</v>
      </c>
      <c r="L1921" s="74" t="str">
        <f>VLOOKUP(F1921,DATABASE!C:Q,7,FALSE)</f>
        <v>#N/A</v>
      </c>
      <c r="M1921" s="74"/>
      <c r="N1921" s="74">
        <f t="shared" si="11"/>
        <v>0</v>
      </c>
      <c r="O1921" s="74">
        <f t="shared" si="13"/>
        <v>0</v>
      </c>
      <c r="P1921" s="63">
        <f t="shared" si="14"/>
        <v>0</v>
      </c>
      <c r="Q1921" s="63" t="str">
        <f t="shared" si="15"/>
        <v>#N/A</v>
      </c>
      <c r="R1921" s="93" t="str">
        <f>VLOOKUP(F1921,DATABASE!C:Q,4,false)</f>
        <v>#N/A</v>
      </c>
      <c r="S1921" s="93" t="str">
        <f>VLOOKUP(F1921,DATABASE!C:P,11,false)</f>
        <v>#N/A</v>
      </c>
      <c r="T1921" s="93" t="str">
        <f>vlookup(F1921,DATABASE!C:Q,8,false)</f>
        <v>#N/A</v>
      </c>
      <c r="Z1921" s="9"/>
    </row>
    <row r="1922" ht="22.5" customHeight="1">
      <c r="A1922" s="49"/>
      <c r="C1922" s="384"/>
      <c r="D1922" s="93"/>
      <c r="F1922" s="74"/>
      <c r="H1922" s="74"/>
      <c r="I1922" s="74"/>
      <c r="J1922" s="74"/>
      <c r="K1922" s="74" t="str">
        <f>if(F1922="SERVICE",O1922-(O1922*50%),Vlookup(F1922,DATABASE!C:Q,10,false)*G1922)</f>
        <v>#N/A</v>
      </c>
      <c r="L1922" s="74" t="str">
        <f>VLOOKUP(F1922,DATABASE!C:Q,7,FALSE)</f>
        <v>#N/A</v>
      </c>
      <c r="M1922" s="74"/>
      <c r="N1922" s="74">
        <f t="shared" si="11"/>
        <v>0</v>
      </c>
      <c r="O1922" s="74">
        <f t="shared" si="13"/>
        <v>0</v>
      </c>
      <c r="P1922" s="63">
        <f t="shared" si="14"/>
        <v>0</v>
      </c>
      <c r="Q1922" s="63" t="str">
        <f t="shared" si="15"/>
        <v>#N/A</v>
      </c>
      <c r="R1922" s="93" t="str">
        <f>VLOOKUP(F1922,DATABASE!C:Q,4,false)</f>
        <v>#N/A</v>
      </c>
      <c r="S1922" s="93" t="str">
        <f>VLOOKUP(F1922,DATABASE!C:P,11,false)</f>
        <v>#N/A</v>
      </c>
      <c r="T1922" s="93" t="str">
        <f>vlookup(F1922,DATABASE!C:Q,8,false)</f>
        <v>#N/A</v>
      </c>
      <c r="Z1922" s="9"/>
    </row>
    <row r="1923" ht="22.5" customHeight="1">
      <c r="A1923" s="49"/>
      <c r="C1923" s="384"/>
      <c r="D1923" s="93"/>
      <c r="F1923" s="74"/>
      <c r="H1923" s="74"/>
      <c r="I1923" s="74"/>
      <c r="J1923" s="74"/>
      <c r="K1923" s="74" t="str">
        <f>if(F1923="SERVICE",O1923-(O1923*50%),Vlookup(F1923,DATABASE!C:Q,10,false)*G1923)</f>
        <v>#N/A</v>
      </c>
      <c r="L1923" s="74" t="str">
        <f>VLOOKUP(F1923,DATABASE!C:Q,7,FALSE)</f>
        <v>#N/A</v>
      </c>
      <c r="M1923" s="74"/>
      <c r="N1923" s="74">
        <f t="shared" si="11"/>
        <v>0</v>
      </c>
      <c r="O1923" s="74">
        <f t="shared" si="13"/>
        <v>0</v>
      </c>
      <c r="P1923" s="63">
        <f t="shared" si="14"/>
        <v>0</v>
      </c>
      <c r="Q1923" s="63" t="str">
        <f t="shared" si="15"/>
        <v>#N/A</v>
      </c>
      <c r="R1923" s="93" t="str">
        <f>VLOOKUP(F1923,DATABASE!C:Q,4,false)</f>
        <v>#N/A</v>
      </c>
      <c r="S1923" s="93" t="str">
        <f>VLOOKUP(F1923,DATABASE!C:P,11,false)</f>
        <v>#N/A</v>
      </c>
      <c r="T1923" s="93" t="str">
        <f>vlookup(F1923,DATABASE!C:Q,8,false)</f>
        <v>#N/A</v>
      </c>
      <c r="Z1923" s="9"/>
    </row>
    <row r="1924" ht="22.5" customHeight="1">
      <c r="A1924" s="49"/>
      <c r="C1924" s="384"/>
      <c r="D1924" s="93"/>
      <c r="F1924" s="74"/>
      <c r="H1924" s="74"/>
      <c r="I1924" s="74"/>
      <c r="J1924" s="74"/>
      <c r="K1924" s="74" t="str">
        <f>if(F1924="SERVICE",O1924-(O1924*50%),Vlookup(F1924,DATABASE!C:Q,10,false)*G1924)</f>
        <v>#N/A</v>
      </c>
      <c r="L1924" s="74" t="str">
        <f>VLOOKUP(F1924,DATABASE!C:Q,7,FALSE)</f>
        <v>#N/A</v>
      </c>
      <c r="M1924" s="74"/>
      <c r="N1924" s="74">
        <f t="shared" si="11"/>
        <v>0</v>
      </c>
      <c r="O1924" s="74">
        <f t="shared" si="13"/>
        <v>0</v>
      </c>
      <c r="P1924" s="63">
        <f t="shared" si="14"/>
        <v>0</v>
      </c>
      <c r="Q1924" s="63" t="str">
        <f t="shared" si="15"/>
        <v>#N/A</v>
      </c>
      <c r="R1924" s="93" t="str">
        <f>VLOOKUP(F1924,DATABASE!C:Q,4,false)</f>
        <v>#N/A</v>
      </c>
      <c r="S1924" s="93" t="str">
        <f>VLOOKUP(F1924,DATABASE!C:P,11,false)</f>
        <v>#N/A</v>
      </c>
      <c r="T1924" s="93" t="str">
        <f>vlookup(F1924,DATABASE!C:Q,8,false)</f>
        <v>#N/A</v>
      </c>
      <c r="Z1924" s="9"/>
    </row>
    <row r="1925" ht="22.5" customHeight="1">
      <c r="A1925" s="49"/>
      <c r="C1925" s="384"/>
      <c r="D1925" s="93"/>
      <c r="F1925" s="74"/>
      <c r="H1925" s="74"/>
      <c r="I1925" s="74"/>
      <c r="J1925" s="74"/>
      <c r="K1925" s="74" t="str">
        <f>if(F1925="SERVICE",O1925-(O1925*50%),Vlookup(F1925,DATABASE!C:Q,10,false)*G1925)</f>
        <v>#N/A</v>
      </c>
      <c r="L1925" s="74" t="str">
        <f>VLOOKUP(F1925,DATABASE!C:Q,7,FALSE)</f>
        <v>#N/A</v>
      </c>
      <c r="M1925" s="74"/>
      <c r="N1925" s="74">
        <f t="shared" si="11"/>
        <v>0</v>
      </c>
      <c r="O1925" s="74">
        <f t="shared" si="13"/>
        <v>0</v>
      </c>
      <c r="P1925" s="63">
        <f t="shared" si="14"/>
        <v>0</v>
      </c>
      <c r="Q1925" s="63" t="str">
        <f t="shared" si="15"/>
        <v>#N/A</v>
      </c>
      <c r="R1925" s="93" t="str">
        <f>VLOOKUP(F1925,DATABASE!C:Q,4,false)</f>
        <v>#N/A</v>
      </c>
      <c r="S1925" s="93" t="str">
        <f>VLOOKUP(F1925,DATABASE!C:P,11,false)</f>
        <v>#N/A</v>
      </c>
      <c r="T1925" s="93" t="str">
        <f>vlookup(F1925,DATABASE!C:Q,8,false)</f>
        <v>#N/A</v>
      </c>
      <c r="Z1925" s="9"/>
    </row>
    <row r="1926" ht="22.5" customHeight="1">
      <c r="A1926" s="49"/>
      <c r="C1926" s="384"/>
      <c r="D1926" s="93"/>
      <c r="F1926" s="74"/>
      <c r="H1926" s="74"/>
      <c r="I1926" s="74"/>
      <c r="J1926" s="74"/>
      <c r="K1926" s="74" t="str">
        <f>if(F1926="SERVICE",O1926-(O1926*50%),Vlookup(F1926,DATABASE!C:Q,10,false)*G1926)</f>
        <v>#N/A</v>
      </c>
      <c r="L1926" s="74" t="str">
        <f>VLOOKUP(F1926,DATABASE!C:Q,7,FALSE)</f>
        <v>#N/A</v>
      </c>
      <c r="M1926" s="74"/>
      <c r="N1926" s="74">
        <f t="shared" si="11"/>
        <v>0</v>
      </c>
      <c r="O1926" s="74">
        <f t="shared" si="13"/>
        <v>0</v>
      </c>
      <c r="P1926" s="63">
        <f t="shared" si="14"/>
        <v>0</v>
      </c>
      <c r="Q1926" s="63" t="str">
        <f t="shared" si="15"/>
        <v>#N/A</v>
      </c>
      <c r="R1926" s="93" t="str">
        <f>VLOOKUP(F1926,DATABASE!C:Q,4,false)</f>
        <v>#N/A</v>
      </c>
      <c r="S1926" s="93" t="str">
        <f>VLOOKUP(F1926,DATABASE!C:P,11,false)</f>
        <v>#N/A</v>
      </c>
      <c r="T1926" s="93" t="str">
        <f>vlookup(F1926,DATABASE!C:Q,8,false)</f>
        <v>#N/A</v>
      </c>
      <c r="Z1926" s="9"/>
    </row>
    <row r="1927" ht="22.5" customHeight="1">
      <c r="A1927" s="49"/>
      <c r="C1927" s="384"/>
      <c r="D1927" s="93"/>
      <c r="F1927" s="74"/>
      <c r="H1927" s="74"/>
      <c r="I1927" s="74"/>
      <c r="J1927" s="74"/>
      <c r="K1927" s="74" t="str">
        <f>if(F1927="SERVICE",O1927-(O1927*50%),Vlookup(F1927,DATABASE!C:Q,10,false)*G1927)</f>
        <v>#N/A</v>
      </c>
      <c r="L1927" s="74" t="str">
        <f>VLOOKUP(F1927,DATABASE!C:Q,7,FALSE)</f>
        <v>#N/A</v>
      </c>
      <c r="M1927" s="74"/>
      <c r="N1927" s="74">
        <f t="shared" si="11"/>
        <v>0</v>
      </c>
      <c r="O1927" s="74">
        <f t="shared" si="13"/>
        <v>0</v>
      </c>
      <c r="P1927" s="63">
        <f t="shared" si="14"/>
        <v>0</v>
      </c>
      <c r="Q1927" s="63" t="str">
        <f t="shared" si="15"/>
        <v>#N/A</v>
      </c>
      <c r="R1927" s="93" t="str">
        <f>VLOOKUP(F1927,DATABASE!C:Q,4,false)</f>
        <v>#N/A</v>
      </c>
      <c r="S1927" s="93" t="str">
        <f>VLOOKUP(F1927,DATABASE!C:P,11,false)</f>
        <v>#N/A</v>
      </c>
      <c r="T1927" s="93" t="str">
        <f>vlookup(F1927,DATABASE!C:Q,8,false)</f>
        <v>#N/A</v>
      </c>
      <c r="Z1927" s="9"/>
    </row>
    <row r="1928" ht="22.5" customHeight="1">
      <c r="A1928" s="49"/>
      <c r="C1928" s="384"/>
      <c r="D1928" s="93"/>
      <c r="F1928" s="74"/>
      <c r="H1928" s="74"/>
      <c r="I1928" s="74"/>
      <c r="J1928" s="74"/>
      <c r="K1928" s="74" t="str">
        <f>if(F1928="SERVICE",O1928-(O1928*50%),Vlookup(F1928,DATABASE!C:Q,10,false)*G1928)</f>
        <v>#N/A</v>
      </c>
      <c r="L1928" s="74" t="str">
        <f>VLOOKUP(F1928,DATABASE!C:Q,7,FALSE)</f>
        <v>#N/A</v>
      </c>
      <c r="M1928" s="74"/>
      <c r="N1928" s="74">
        <f t="shared" si="11"/>
        <v>0</v>
      </c>
      <c r="O1928" s="74">
        <f t="shared" si="13"/>
        <v>0</v>
      </c>
      <c r="P1928" s="63">
        <f t="shared" si="14"/>
        <v>0</v>
      </c>
      <c r="Q1928" s="63" t="str">
        <f t="shared" si="15"/>
        <v>#N/A</v>
      </c>
      <c r="R1928" s="93" t="str">
        <f>VLOOKUP(F1928,DATABASE!C:Q,4,false)</f>
        <v>#N/A</v>
      </c>
      <c r="S1928" s="93" t="str">
        <f>VLOOKUP(F1928,DATABASE!C:P,11,false)</f>
        <v>#N/A</v>
      </c>
      <c r="T1928" s="93" t="str">
        <f>vlookup(F1928,DATABASE!C:Q,8,false)</f>
        <v>#N/A</v>
      </c>
      <c r="Z1928" s="9"/>
    </row>
    <row r="1929" ht="22.5" customHeight="1">
      <c r="A1929" s="49"/>
      <c r="C1929" s="384"/>
      <c r="D1929" s="93"/>
      <c r="F1929" s="74"/>
      <c r="H1929" s="74"/>
      <c r="I1929" s="74"/>
      <c r="J1929" s="74"/>
      <c r="K1929" s="74" t="str">
        <f>if(F1929="SERVICE",O1929-(O1929*50%),Vlookup(F1929,DATABASE!C:Q,10,false)*G1929)</f>
        <v>#N/A</v>
      </c>
      <c r="L1929" s="74" t="str">
        <f>VLOOKUP(F1929,DATABASE!C:Q,7,FALSE)</f>
        <v>#N/A</v>
      </c>
      <c r="M1929" s="74"/>
      <c r="N1929" s="74">
        <f t="shared" si="11"/>
        <v>0</v>
      </c>
      <c r="O1929" s="74">
        <f t="shared" si="13"/>
        <v>0</v>
      </c>
      <c r="P1929" s="63">
        <f t="shared" si="14"/>
        <v>0</v>
      </c>
      <c r="Q1929" s="63" t="str">
        <f t="shared" si="15"/>
        <v>#N/A</v>
      </c>
      <c r="R1929" s="93" t="str">
        <f>VLOOKUP(F1929,DATABASE!C:Q,4,false)</f>
        <v>#N/A</v>
      </c>
      <c r="S1929" s="93" t="str">
        <f>VLOOKUP(F1929,DATABASE!C:P,11,false)</f>
        <v>#N/A</v>
      </c>
      <c r="T1929" s="93" t="str">
        <f>vlookup(F1929,DATABASE!C:Q,8,false)</f>
        <v>#N/A</v>
      </c>
      <c r="Z1929" s="9"/>
    </row>
    <row r="1930" ht="22.5" customHeight="1">
      <c r="A1930" s="49"/>
      <c r="C1930" s="384"/>
      <c r="D1930" s="93"/>
      <c r="F1930" s="74"/>
      <c r="H1930" s="74"/>
      <c r="I1930" s="74"/>
      <c r="J1930" s="74"/>
      <c r="K1930" s="74" t="str">
        <f>if(F1930="SERVICE",O1930-(O1930*50%),Vlookup(F1930,DATABASE!C:Q,10,false)*G1930)</f>
        <v>#N/A</v>
      </c>
      <c r="L1930" s="74" t="str">
        <f>VLOOKUP(F1930,DATABASE!C:Q,7,FALSE)</f>
        <v>#N/A</v>
      </c>
      <c r="M1930" s="74"/>
      <c r="N1930" s="74">
        <f t="shared" si="11"/>
        <v>0</v>
      </c>
      <c r="O1930" s="74">
        <f t="shared" si="13"/>
        <v>0</v>
      </c>
      <c r="P1930" s="63">
        <f t="shared" si="14"/>
        <v>0</v>
      </c>
      <c r="Q1930" s="63" t="str">
        <f t="shared" si="15"/>
        <v>#N/A</v>
      </c>
      <c r="R1930" s="93" t="str">
        <f>VLOOKUP(F1930,DATABASE!C:Q,4,false)</f>
        <v>#N/A</v>
      </c>
      <c r="S1930" s="93" t="str">
        <f>VLOOKUP(F1930,DATABASE!C:P,11,false)</f>
        <v>#N/A</v>
      </c>
      <c r="T1930" s="93" t="str">
        <f>vlookup(F1930,DATABASE!C:Q,8,false)</f>
        <v>#N/A</v>
      </c>
      <c r="Z1930" s="9"/>
    </row>
    <row r="1931" ht="22.5" customHeight="1">
      <c r="A1931" s="49"/>
      <c r="C1931" s="384"/>
      <c r="D1931" s="93"/>
      <c r="F1931" s="74"/>
      <c r="H1931" s="74"/>
      <c r="I1931" s="74"/>
      <c r="J1931" s="74"/>
      <c r="K1931" s="74" t="str">
        <f>if(F1931="SERVICE",O1931-(O1931*50%),Vlookup(F1931,DATABASE!C:Q,10,false)*G1931)</f>
        <v>#N/A</v>
      </c>
      <c r="L1931" s="74" t="str">
        <f>VLOOKUP(F1931,DATABASE!C:Q,7,FALSE)</f>
        <v>#N/A</v>
      </c>
      <c r="M1931" s="74"/>
      <c r="N1931" s="74">
        <f t="shared" si="11"/>
        <v>0</v>
      </c>
      <c r="O1931" s="74">
        <f t="shared" si="13"/>
        <v>0</v>
      </c>
      <c r="P1931" s="63">
        <f t="shared" si="14"/>
        <v>0</v>
      </c>
      <c r="Q1931" s="63" t="str">
        <f t="shared" si="15"/>
        <v>#N/A</v>
      </c>
      <c r="R1931" s="93" t="str">
        <f>VLOOKUP(F1931,DATABASE!C:Q,4,false)</f>
        <v>#N/A</v>
      </c>
      <c r="S1931" s="93" t="str">
        <f>VLOOKUP(F1931,DATABASE!C:P,11,false)</f>
        <v>#N/A</v>
      </c>
      <c r="T1931" s="93" t="str">
        <f>vlookup(F1931,DATABASE!C:Q,8,false)</f>
        <v>#N/A</v>
      </c>
      <c r="Z1931" s="9"/>
    </row>
    <row r="1932" ht="22.5" customHeight="1">
      <c r="A1932" s="49"/>
      <c r="C1932" s="384"/>
      <c r="D1932" s="93"/>
      <c r="F1932" s="74"/>
      <c r="H1932" s="74"/>
      <c r="I1932" s="74"/>
      <c r="J1932" s="74"/>
      <c r="K1932" s="74" t="str">
        <f>if(F1932="SERVICE",O1932-(O1932*50%),Vlookup(F1932,DATABASE!C:Q,10,false)*G1932)</f>
        <v>#N/A</v>
      </c>
      <c r="L1932" s="74" t="str">
        <f>VLOOKUP(F1932,DATABASE!C:Q,7,FALSE)</f>
        <v>#N/A</v>
      </c>
      <c r="M1932" s="74"/>
      <c r="N1932" s="74">
        <f t="shared" si="11"/>
        <v>0</v>
      </c>
      <c r="O1932" s="74">
        <f t="shared" si="13"/>
        <v>0</v>
      </c>
      <c r="P1932" s="63">
        <f t="shared" si="14"/>
        <v>0</v>
      </c>
      <c r="Q1932" s="63" t="str">
        <f t="shared" si="15"/>
        <v>#N/A</v>
      </c>
      <c r="R1932" s="93" t="str">
        <f>VLOOKUP(F1932,DATABASE!C:Q,4,false)</f>
        <v>#N/A</v>
      </c>
      <c r="S1932" s="93" t="str">
        <f>VLOOKUP(F1932,DATABASE!C:P,11,false)</f>
        <v>#N/A</v>
      </c>
      <c r="T1932" s="93" t="str">
        <f>vlookup(F1932,DATABASE!C:Q,8,false)</f>
        <v>#N/A</v>
      </c>
      <c r="Z1932" s="9"/>
    </row>
    <row r="1933" ht="22.5" customHeight="1">
      <c r="A1933" s="49"/>
      <c r="C1933" s="384"/>
      <c r="D1933" s="93"/>
      <c r="F1933" s="74"/>
      <c r="H1933" s="74"/>
      <c r="I1933" s="74"/>
      <c r="J1933" s="74"/>
      <c r="K1933" s="74" t="str">
        <f>if(F1933="SERVICE",O1933-(O1933*50%),Vlookup(F1933,DATABASE!C:Q,10,false)*G1933)</f>
        <v>#N/A</v>
      </c>
      <c r="L1933" s="74" t="str">
        <f>VLOOKUP(F1933,DATABASE!C:Q,7,FALSE)</f>
        <v>#N/A</v>
      </c>
      <c r="M1933" s="74"/>
      <c r="N1933" s="74">
        <f t="shared" si="11"/>
        <v>0</v>
      </c>
      <c r="O1933" s="74">
        <f t="shared" si="13"/>
        <v>0</v>
      </c>
      <c r="P1933" s="63">
        <f t="shared" si="14"/>
        <v>0</v>
      </c>
      <c r="Q1933" s="63" t="str">
        <f t="shared" si="15"/>
        <v>#N/A</v>
      </c>
      <c r="R1933" s="93" t="str">
        <f>VLOOKUP(F1933,DATABASE!C:Q,4,false)</f>
        <v>#N/A</v>
      </c>
      <c r="S1933" s="93" t="str">
        <f>VLOOKUP(F1933,DATABASE!C:P,11,false)</f>
        <v>#N/A</v>
      </c>
      <c r="T1933" s="93" t="str">
        <f>vlookup(F1933,DATABASE!C:Q,8,false)</f>
        <v>#N/A</v>
      </c>
      <c r="Z1933" s="9"/>
    </row>
    <row r="1934" ht="22.5" customHeight="1">
      <c r="A1934" s="49"/>
      <c r="C1934" s="384"/>
      <c r="D1934" s="93"/>
      <c r="F1934" s="74"/>
      <c r="H1934" s="74"/>
      <c r="I1934" s="74"/>
      <c r="J1934" s="74"/>
      <c r="K1934" s="74" t="str">
        <f>if(F1934="SERVICE",O1934-(O1934*50%),Vlookup(F1934,DATABASE!C:Q,10,false)*G1934)</f>
        <v>#N/A</v>
      </c>
      <c r="L1934" s="74" t="str">
        <f>VLOOKUP(F1934,DATABASE!C:Q,7,FALSE)</f>
        <v>#N/A</v>
      </c>
      <c r="M1934" s="74"/>
      <c r="N1934" s="74">
        <f t="shared" si="11"/>
        <v>0</v>
      </c>
      <c r="O1934" s="74">
        <f t="shared" si="13"/>
        <v>0</v>
      </c>
      <c r="P1934" s="63">
        <f t="shared" si="14"/>
        <v>0</v>
      </c>
      <c r="Q1934" s="63" t="str">
        <f t="shared" si="15"/>
        <v>#N/A</v>
      </c>
      <c r="R1934" s="93" t="str">
        <f>VLOOKUP(F1934,DATABASE!C:Q,4,false)</f>
        <v>#N/A</v>
      </c>
      <c r="S1934" s="93" t="str">
        <f>VLOOKUP(F1934,DATABASE!C:P,11,false)</f>
        <v>#N/A</v>
      </c>
      <c r="T1934" s="93" t="str">
        <f>vlookup(F1934,DATABASE!C:Q,8,false)</f>
        <v>#N/A</v>
      </c>
      <c r="Z1934" s="9"/>
    </row>
    <row r="1935" ht="22.5" customHeight="1">
      <c r="A1935" s="49"/>
      <c r="C1935" s="384"/>
      <c r="D1935" s="93"/>
      <c r="F1935" s="74"/>
      <c r="H1935" s="74"/>
      <c r="I1935" s="74"/>
      <c r="J1935" s="74"/>
      <c r="K1935" s="74" t="str">
        <f>if(F1935="SERVICE",O1935-(O1935*50%),Vlookup(F1935,DATABASE!C:Q,10,false)*G1935)</f>
        <v>#N/A</v>
      </c>
      <c r="L1935" s="74" t="str">
        <f>VLOOKUP(F1935,DATABASE!C:Q,7,FALSE)</f>
        <v>#N/A</v>
      </c>
      <c r="M1935" s="74"/>
      <c r="N1935" s="74">
        <f t="shared" si="11"/>
        <v>0</v>
      </c>
      <c r="O1935" s="74">
        <f t="shared" si="13"/>
        <v>0</v>
      </c>
      <c r="P1935" s="63">
        <f t="shared" si="14"/>
        <v>0</v>
      </c>
      <c r="Q1935" s="63" t="str">
        <f t="shared" si="15"/>
        <v>#N/A</v>
      </c>
      <c r="R1935" s="93" t="str">
        <f>VLOOKUP(F1935,DATABASE!C:Q,4,false)</f>
        <v>#N/A</v>
      </c>
      <c r="S1935" s="93" t="str">
        <f>VLOOKUP(F1935,DATABASE!C:P,11,false)</f>
        <v>#N/A</v>
      </c>
      <c r="T1935" s="93" t="str">
        <f>vlookup(F1935,DATABASE!C:Q,8,false)</f>
        <v>#N/A</v>
      </c>
      <c r="Z1935" s="9"/>
    </row>
    <row r="1936" ht="22.5" customHeight="1">
      <c r="A1936" s="49"/>
      <c r="C1936" s="384"/>
      <c r="D1936" s="93"/>
      <c r="F1936" s="74"/>
      <c r="H1936" s="74"/>
      <c r="I1936" s="74"/>
      <c r="J1936" s="74"/>
      <c r="K1936" s="74" t="str">
        <f>if(F1936="SERVICE",O1936-(O1936*50%),Vlookup(F1936,DATABASE!C:Q,10,false)*G1936)</f>
        <v>#N/A</v>
      </c>
      <c r="L1936" s="74" t="str">
        <f>VLOOKUP(F1936,DATABASE!C:Q,7,FALSE)</f>
        <v>#N/A</v>
      </c>
      <c r="M1936" s="74"/>
      <c r="N1936" s="74">
        <f t="shared" si="11"/>
        <v>0</v>
      </c>
      <c r="O1936" s="74">
        <f t="shared" si="13"/>
        <v>0</v>
      </c>
      <c r="P1936" s="63">
        <f t="shared" si="14"/>
        <v>0</v>
      </c>
      <c r="Q1936" s="63" t="str">
        <f t="shared" si="15"/>
        <v>#N/A</v>
      </c>
      <c r="R1936" s="93" t="str">
        <f>VLOOKUP(F1936,DATABASE!C:Q,4,false)</f>
        <v>#N/A</v>
      </c>
      <c r="S1936" s="93" t="str">
        <f>VLOOKUP(F1936,DATABASE!C:P,11,false)</f>
        <v>#N/A</v>
      </c>
      <c r="T1936" s="93" t="str">
        <f>vlookup(F1936,DATABASE!C:Q,8,false)</f>
        <v>#N/A</v>
      </c>
      <c r="Z1936" s="9"/>
    </row>
    <row r="1937" ht="22.5" customHeight="1">
      <c r="A1937" s="49"/>
      <c r="C1937" s="384"/>
      <c r="D1937" s="93"/>
      <c r="F1937" s="74"/>
      <c r="H1937" s="74"/>
      <c r="I1937" s="74"/>
      <c r="J1937" s="74"/>
      <c r="K1937" s="74" t="str">
        <f>if(F1937="SERVICE",O1937-(O1937*50%),Vlookup(F1937,DATABASE!C:Q,10,false)*G1937)</f>
        <v>#N/A</v>
      </c>
      <c r="L1937" s="74" t="str">
        <f>VLOOKUP(F1937,DATABASE!C:Q,7,FALSE)</f>
        <v>#N/A</v>
      </c>
      <c r="M1937" s="74"/>
      <c r="N1937" s="74">
        <f t="shared" si="11"/>
        <v>0</v>
      </c>
      <c r="O1937" s="74">
        <f t="shared" si="13"/>
        <v>0</v>
      </c>
      <c r="P1937" s="63">
        <f t="shared" si="14"/>
        <v>0</v>
      </c>
      <c r="Q1937" s="63" t="str">
        <f t="shared" si="15"/>
        <v>#N/A</v>
      </c>
      <c r="R1937" s="93" t="str">
        <f>VLOOKUP(F1937,DATABASE!C:Q,4,false)</f>
        <v>#N/A</v>
      </c>
      <c r="S1937" s="93" t="str">
        <f>VLOOKUP(F1937,DATABASE!C:P,11,false)</f>
        <v>#N/A</v>
      </c>
      <c r="T1937" s="93" t="str">
        <f>vlookup(F1937,DATABASE!C:Q,8,false)</f>
        <v>#N/A</v>
      </c>
      <c r="Z1937" s="9"/>
    </row>
    <row r="1938" ht="22.5" customHeight="1">
      <c r="A1938" s="49"/>
      <c r="C1938" s="384"/>
      <c r="D1938" s="93"/>
      <c r="F1938" s="74"/>
      <c r="H1938" s="74"/>
      <c r="I1938" s="74"/>
      <c r="J1938" s="74"/>
      <c r="K1938" s="74" t="str">
        <f>if(F1938="SERVICE",O1938-(O1938*50%),Vlookup(F1938,DATABASE!C:Q,10,false)*G1938)</f>
        <v>#N/A</v>
      </c>
      <c r="L1938" s="74" t="str">
        <f>VLOOKUP(F1938,DATABASE!C:Q,7,FALSE)</f>
        <v>#N/A</v>
      </c>
      <c r="M1938" s="74"/>
      <c r="N1938" s="74">
        <f t="shared" si="11"/>
        <v>0</v>
      </c>
      <c r="O1938" s="74">
        <f t="shared" si="13"/>
        <v>0</v>
      </c>
      <c r="P1938" s="63">
        <f t="shared" si="14"/>
        <v>0</v>
      </c>
      <c r="Q1938" s="63" t="str">
        <f t="shared" si="15"/>
        <v>#N/A</v>
      </c>
      <c r="R1938" s="93" t="str">
        <f>VLOOKUP(F1938,DATABASE!C:Q,4,false)</f>
        <v>#N/A</v>
      </c>
      <c r="S1938" s="93" t="str">
        <f>VLOOKUP(F1938,DATABASE!C:P,11,false)</f>
        <v>#N/A</v>
      </c>
      <c r="T1938" s="93" t="str">
        <f>vlookup(F1938,DATABASE!C:Q,8,false)</f>
        <v>#N/A</v>
      </c>
      <c r="Z1938" s="9"/>
    </row>
    <row r="1939" ht="22.5" customHeight="1">
      <c r="A1939" s="49"/>
      <c r="C1939" s="384"/>
      <c r="D1939" s="93"/>
      <c r="F1939" s="74"/>
      <c r="H1939" s="74"/>
      <c r="I1939" s="74"/>
      <c r="J1939" s="74"/>
      <c r="K1939" s="74" t="str">
        <f>if(F1939="SERVICE",O1939-(O1939*50%),Vlookup(F1939,DATABASE!C:Q,10,false)*G1939)</f>
        <v>#N/A</v>
      </c>
      <c r="L1939" s="74" t="str">
        <f>VLOOKUP(F1939,DATABASE!C:Q,7,FALSE)</f>
        <v>#N/A</v>
      </c>
      <c r="M1939" s="74"/>
      <c r="N1939" s="74">
        <f t="shared" si="11"/>
        <v>0</v>
      </c>
      <c r="O1939" s="74">
        <f t="shared" si="13"/>
        <v>0</v>
      </c>
      <c r="P1939" s="63">
        <f t="shared" si="14"/>
        <v>0</v>
      </c>
      <c r="Q1939" s="63" t="str">
        <f t="shared" si="15"/>
        <v>#N/A</v>
      </c>
      <c r="R1939" s="93" t="str">
        <f>VLOOKUP(F1939,DATABASE!C:Q,4,false)</f>
        <v>#N/A</v>
      </c>
      <c r="S1939" s="93" t="str">
        <f>VLOOKUP(F1939,DATABASE!C:P,11,false)</f>
        <v>#N/A</v>
      </c>
      <c r="T1939" s="93" t="str">
        <f>vlookup(F1939,DATABASE!C:Q,8,false)</f>
        <v>#N/A</v>
      </c>
      <c r="Z1939" s="9"/>
    </row>
    <row r="1940" ht="22.5" customHeight="1">
      <c r="A1940" s="49"/>
      <c r="C1940" s="384"/>
      <c r="D1940" s="93"/>
      <c r="F1940" s="74"/>
      <c r="H1940" s="74"/>
      <c r="I1940" s="74"/>
      <c r="J1940" s="74"/>
      <c r="K1940" s="74" t="str">
        <f>if(F1940="SERVICE",O1940-(O1940*50%),Vlookup(F1940,DATABASE!C:Q,10,false)*G1940)</f>
        <v>#N/A</v>
      </c>
      <c r="L1940" s="74" t="str">
        <f>VLOOKUP(F1940,DATABASE!C:Q,7,FALSE)</f>
        <v>#N/A</v>
      </c>
      <c r="M1940" s="74"/>
      <c r="N1940" s="74">
        <f t="shared" si="11"/>
        <v>0</v>
      </c>
      <c r="O1940" s="74">
        <f t="shared" si="13"/>
        <v>0</v>
      </c>
      <c r="P1940" s="63">
        <f t="shared" si="14"/>
        <v>0</v>
      </c>
      <c r="Q1940" s="63" t="str">
        <f t="shared" si="15"/>
        <v>#N/A</v>
      </c>
      <c r="R1940" s="93" t="str">
        <f>VLOOKUP(F1940,DATABASE!C:Q,4,false)</f>
        <v>#N/A</v>
      </c>
      <c r="S1940" s="93" t="str">
        <f>VLOOKUP(F1940,DATABASE!C:P,11,false)</f>
        <v>#N/A</v>
      </c>
      <c r="T1940" s="93" t="str">
        <f>vlookup(F1940,DATABASE!C:Q,8,false)</f>
        <v>#N/A</v>
      </c>
      <c r="Z1940" s="9"/>
    </row>
    <row r="1941" ht="22.5" customHeight="1">
      <c r="A1941" s="49"/>
      <c r="C1941" s="384"/>
      <c r="D1941" s="93"/>
      <c r="F1941" s="74"/>
      <c r="H1941" s="74"/>
      <c r="I1941" s="74"/>
      <c r="J1941" s="74"/>
      <c r="K1941" s="74" t="str">
        <f>if(F1941="SERVICE",O1941-(O1941*50%),Vlookup(F1941,DATABASE!C:Q,10,false)*G1941)</f>
        <v>#N/A</v>
      </c>
      <c r="L1941" s="74" t="str">
        <f>VLOOKUP(F1941,DATABASE!C:Q,7,FALSE)</f>
        <v>#N/A</v>
      </c>
      <c r="M1941" s="74"/>
      <c r="N1941" s="74">
        <f t="shared" si="11"/>
        <v>0</v>
      </c>
      <c r="O1941" s="74">
        <f t="shared" si="13"/>
        <v>0</v>
      </c>
      <c r="P1941" s="63">
        <f t="shared" si="14"/>
        <v>0</v>
      </c>
      <c r="Q1941" s="63" t="str">
        <f t="shared" si="15"/>
        <v>#N/A</v>
      </c>
      <c r="R1941" s="93" t="str">
        <f>VLOOKUP(F1941,DATABASE!C:Q,4,false)</f>
        <v>#N/A</v>
      </c>
      <c r="S1941" s="93" t="str">
        <f>VLOOKUP(F1941,DATABASE!C:P,11,false)</f>
        <v>#N/A</v>
      </c>
      <c r="T1941" s="93" t="str">
        <f>vlookup(F1941,DATABASE!C:Q,8,false)</f>
        <v>#N/A</v>
      </c>
      <c r="Z1941" s="9"/>
    </row>
    <row r="1942" ht="22.5" customHeight="1">
      <c r="A1942" s="49"/>
      <c r="C1942" s="384"/>
      <c r="D1942" s="93"/>
      <c r="F1942" s="74"/>
      <c r="H1942" s="74"/>
      <c r="I1942" s="74"/>
      <c r="J1942" s="74"/>
      <c r="K1942" s="74" t="str">
        <f>if(F1942="SERVICE",O1942-(O1942*50%),Vlookup(F1942,DATABASE!C:Q,10,false)*G1942)</f>
        <v>#N/A</v>
      </c>
      <c r="L1942" s="74" t="str">
        <f>VLOOKUP(F1942,DATABASE!C:Q,7,FALSE)</f>
        <v>#N/A</v>
      </c>
      <c r="M1942" s="74"/>
      <c r="N1942" s="74">
        <f t="shared" si="11"/>
        <v>0</v>
      </c>
      <c r="O1942" s="74">
        <f t="shared" si="13"/>
        <v>0</v>
      </c>
      <c r="P1942" s="63">
        <f t="shared" si="14"/>
        <v>0</v>
      </c>
      <c r="Q1942" s="63" t="str">
        <f t="shared" si="15"/>
        <v>#N/A</v>
      </c>
      <c r="R1942" s="93" t="str">
        <f>VLOOKUP(F1942,DATABASE!C:Q,4,false)</f>
        <v>#N/A</v>
      </c>
      <c r="S1942" s="93" t="str">
        <f>VLOOKUP(F1942,DATABASE!C:P,11,false)</f>
        <v>#N/A</v>
      </c>
      <c r="T1942" s="93" t="str">
        <f>vlookup(F1942,DATABASE!C:Q,8,false)</f>
        <v>#N/A</v>
      </c>
      <c r="Z1942" s="9"/>
    </row>
    <row r="1943" ht="22.5" customHeight="1">
      <c r="A1943" s="49"/>
      <c r="C1943" s="384"/>
      <c r="D1943" s="93"/>
      <c r="F1943" s="74"/>
      <c r="H1943" s="74"/>
      <c r="I1943" s="74"/>
      <c r="J1943" s="74"/>
      <c r="K1943" s="74" t="str">
        <f>if(F1943="SERVICE",O1943-(O1943*50%),Vlookup(F1943,DATABASE!C:Q,10,false)*G1943)</f>
        <v>#N/A</v>
      </c>
      <c r="L1943" s="74" t="str">
        <f>VLOOKUP(F1943,DATABASE!C:Q,7,FALSE)</f>
        <v>#N/A</v>
      </c>
      <c r="M1943" s="74"/>
      <c r="N1943" s="74">
        <f t="shared" si="11"/>
        <v>0</v>
      </c>
      <c r="O1943" s="74">
        <f t="shared" si="13"/>
        <v>0</v>
      </c>
      <c r="P1943" s="63">
        <f t="shared" si="14"/>
        <v>0</v>
      </c>
      <c r="Q1943" s="63" t="str">
        <f t="shared" si="15"/>
        <v>#N/A</v>
      </c>
      <c r="R1943" s="93" t="str">
        <f>VLOOKUP(F1943,DATABASE!C:Q,4,false)</f>
        <v>#N/A</v>
      </c>
      <c r="S1943" s="93" t="str">
        <f>VLOOKUP(F1943,DATABASE!C:P,11,false)</f>
        <v>#N/A</v>
      </c>
      <c r="T1943" s="93" t="str">
        <f>vlookup(F1943,DATABASE!C:Q,8,false)</f>
        <v>#N/A</v>
      </c>
      <c r="Z1943" s="9"/>
    </row>
    <row r="1944" ht="22.5" customHeight="1">
      <c r="A1944" s="49"/>
      <c r="C1944" s="384"/>
      <c r="D1944" s="93"/>
      <c r="F1944" s="74"/>
      <c r="H1944" s="74"/>
      <c r="I1944" s="74"/>
      <c r="J1944" s="74"/>
      <c r="K1944" s="74" t="str">
        <f>if(F1944="SERVICE",O1944-(O1944*50%),Vlookup(F1944,DATABASE!C:Q,10,false)*G1944)</f>
        <v>#N/A</v>
      </c>
      <c r="L1944" s="74" t="str">
        <f>VLOOKUP(F1944,DATABASE!C:Q,7,FALSE)</f>
        <v>#N/A</v>
      </c>
      <c r="M1944" s="74"/>
      <c r="N1944" s="74">
        <f t="shared" si="11"/>
        <v>0</v>
      </c>
      <c r="O1944" s="74">
        <f t="shared" si="13"/>
        <v>0</v>
      </c>
      <c r="P1944" s="63">
        <f t="shared" si="14"/>
        <v>0</v>
      </c>
      <c r="Q1944" s="63" t="str">
        <f t="shared" si="15"/>
        <v>#N/A</v>
      </c>
      <c r="R1944" s="93" t="str">
        <f>VLOOKUP(F1944,DATABASE!C:Q,4,false)</f>
        <v>#N/A</v>
      </c>
      <c r="S1944" s="93" t="str">
        <f>VLOOKUP(F1944,DATABASE!C:P,11,false)</f>
        <v>#N/A</v>
      </c>
      <c r="T1944" s="93" t="str">
        <f>vlookup(F1944,DATABASE!C:Q,8,false)</f>
        <v>#N/A</v>
      </c>
      <c r="Z1944" s="9"/>
    </row>
    <row r="1945" ht="22.5" customHeight="1">
      <c r="A1945" s="49"/>
      <c r="C1945" s="384"/>
      <c r="D1945" s="93"/>
      <c r="F1945" s="74"/>
      <c r="H1945" s="74"/>
      <c r="I1945" s="74"/>
      <c r="J1945" s="74"/>
      <c r="K1945" s="74" t="str">
        <f>if(F1945="SERVICE",O1945-(O1945*50%),Vlookup(F1945,DATABASE!C:Q,10,false)*G1945)</f>
        <v>#N/A</v>
      </c>
      <c r="L1945" s="74" t="str">
        <f>VLOOKUP(F1945,DATABASE!C:Q,7,FALSE)</f>
        <v>#N/A</v>
      </c>
      <c r="M1945" s="74"/>
      <c r="N1945" s="74">
        <f t="shared" si="11"/>
        <v>0</v>
      </c>
      <c r="O1945" s="74">
        <f t="shared" si="13"/>
        <v>0</v>
      </c>
      <c r="P1945" s="63">
        <f t="shared" si="14"/>
        <v>0</v>
      </c>
      <c r="Q1945" s="63" t="str">
        <f t="shared" si="15"/>
        <v>#N/A</v>
      </c>
      <c r="R1945" s="93" t="str">
        <f>VLOOKUP(F1945,DATABASE!C:Q,4,false)</f>
        <v>#N/A</v>
      </c>
      <c r="S1945" s="93" t="str">
        <f>VLOOKUP(F1945,DATABASE!C:P,11,false)</f>
        <v>#N/A</v>
      </c>
      <c r="T1945" s="93" t="str">
        <f>vlookup(F1945,DATABASE!C:Q,8,false)</f>
        <v>#N/A</v>
      </c>
      <c r="Z1945" s="9"/>
    </row>
    <row r="1946" ht="22.5" customHeight="1">
      <c r="A1946" s="49"/>
      <c r="C1946" s="384"/>
      <c r="D1946" s="93"/>
      <c r="F1946" s="74"/>
      <c r="H1946" s="74"/>
      <c r="I1946" s="74"/>
      <c r="J1946" s="74"/>
      <c r="K1946" s="74" t="str">
        <f>if(F1946="SERVICE",O1946-(O1946*50%),Vlookup(F1946,DATABASE!C:Q,10,false)*G1946)</f>
        <v>#N/A</v>
      </c>
      <c r="L1946" s="74" t="str">
        <f>VLOOKUP(F1946,DATABASE!C:Q,7,FALSE)</f>
        <v>#N/A</v>
      </c>
      <c r="M1946" s="74"/>
      <c r="N1946" s="74">
        <f t="shared" si="11"/>
        <v>0</v>
      </c>
      <c r="O1946" s="74">
        <f t="shared" si="13"/>
        <v>0</v>
      </c>
      <c r="P1946" s="63">
        <f t="shared" si="14"/>
        <v>0</v>
      </c>
      <c r="Q1946" s="63" t="str">
        <f t="shared" si="15"/>
        <v>#N/A</v>
      </c>
      <c r="R1946" s="93" t="str">
        <f>VLOOKUP(F1946,DATABASE!C:Q,4,false)</f>
        <v>#N/A</v>
      </c>
      <c r="S1946" s="93" t="str">
        <f>VLOOKUP(F1946,DATABASE!C:P,11,false)</f>
        <v>#N/A</v>
      </c>
      <c r="T1946" s="93" t="str">
        <f>vlookup(F1946,DATABASE!C:Q,8,false)</f>
        <v>#N/A</v>
      </c>
      <c r="Z1946" s="9"/>
    </row>
    <row r="1947" ht="22.5" customHeight="1">
      <c r="A1947" s="49"/>
      <c r="C1947" s="384"/>
      <c r="D1947" s="93"/>
      <c r="F1947" s="74"/>
      <c r="H1947" s="74"/>
      <c r="I1947" s="74"/>
      <c r="J1947" s="74"/>
      <c r="K1947" s="74" t="str">
        <f>if(F1947="SERVICE",O1947-(O1947*50%),Vlookup(F1947,DATABASE!C:Q,10,false)*G1947)</f>
        <v>#N/A</v>
      </c>
      <c r="L1947" s="74" t="str">
        <f>VLOOKUP(F1947,DATABASE!C:Q,7,FALSE)</f>
        <v>#N/A</v>
      </c>
      <c r="M1947" s="74"/>
      <c r="N1947" s="74">
        <f t="shared" si="11"/>
        <v>0</v>
      </c>
      <c r="O1947" s="74">
        <f t="shared" si="13"/>
        <v>0</v>
      </c>
      <c r="P1947" s="63">
        <f t="shared" si="14"/>
        <v>0</v>
      </c>
      <c r="Q1947" s="63" t="str">
        <f t="shared" si="15"/>
        <v>#N/A</v>
      </c>
      <c r="R1947" s="93" t="str">
        <f>VLOOKUP(F1947,DATABASE!C:Q,4,false)</f>
        <v>#N/A</v>
      </c>
      <c r="S1947" s="93" t="str">
        <f>VLOOKUP(F1947,DATABASE!C:P,11,false)</f>
        <v>#N/A</v>
      </c>
      <c r="T1947" s="93" t="str">
        <f>vlookup(F1947,DATABASE!C:Q,8,false)</f>
        <v>#N/A</v>
      </c>
      <c r="Z1947" s="9"/>
    </row>
    <row r="1948" ht="22.5" customHeight="1">
      <c r="A1948" s="49"/>
      <c r="C1948" s="384"/>
      <c r="D1948" s="93"/>
      <c r="F1948" s="74"/>
      <c r="H1948" s="74"/>
      <c r="I1948" s="74"/>
      <c r="J1948" s="74"/>
      <c r="K1948" s="74" t="str">
        <f>if(F1948="SERVICE",O1948-(O1948*50%),Vlookup(F1948,DATABASE!C:Q,10,false)*G1948)</f>
        <v>#N/A</v>
      </c>
      <c r="L1948" s="74" t="str">
        <f>VLOOKUP(F1948,DATABASE!C:Q,7,FALSE)</f>
        <v>#N/A</v>
      </c>
      <c r="M1948" s="74"/>
      <c r="N1948" s="74">
        <f t="shared" si="11"/>
        <v>0</v>
      </c>
      <c r="O1948" s="74">
        <f t="shared" si="13"/>
        <v>0</v>
      </c>
      <c r="P1948" s="63">
        <f t="shared" si="14"/>
        <v>0</v>
      </c>
      <c r="Q1948" s="63" t="str">
        <f t="shared" si="15"/>
        <v>#N/A</v>
      </c>
      <c r="R1948" s="93" t="str">
        <f>VLOOKUP(F1948,DATABASE!C:Q,4,false)</f>
        <v>#N/A</v>
      </c>
      <c r="S1948" s="93" t="str">
        <f>VLOOKUP(F1948,DATABASE!C:P,11,false)</f>
        <v>#N/A</v>
      </c>
      <c r="T1948" s="93" t="str">
        <f>vlookup(F1948,DATABASE!C:Q,8,false)</f>
        <v>#N/A</v>
      </c>
      <c r="Z1948" s="9"/>
    </row>
    <row r="1949" ht="22.5" customHeight="1">
      <c r="A1949" s="49"/>
      <c r="C1949" s="384"/>
      <c r="D1949" s="93"/>
      <c r="F1949" s="74"/>
      <c r="H1949" s="74"/>
      <c r="I1949" s="74"/>
      <c r="J1949" s="74"/>
      <c r="K1949" s="74" t="str">
        <f>if(F1949="SERVICE",O1949-(O1949*50%),Vlookup(F1949,DATABASE!C:Q,10,false)*G1949)</f>
        <v>#N/A</v>
      </c>
      <c r="L1949" s="74" t="str">
        <f>VLOOKUP(F1949,DATABASE!C:Q,7,FALSE)</f>
        <v>#N/A</v>
      </c>
      <c r="M1949" s="74"/>
      <c r="N1949" s="74">
        <f t="shared" si="11"/>
        <v>0</v>
      </c>
      <c r="O1949" s="74">
        <f t="shared" si="13"/>
        <v>0</v>
      </c>
      <c r="P1949" s="63">
        <f t="shared" si="14"/>
        <v>0</v>
      </c>
      <c r="Q1949" s="63" t="str">
        <f t="shared" si="15"/>
        <v>#N/A</v>
      </c>
      <c r="R1949" s="93" t="str">
        <f>VLOOKUP(F1949,DATABASE!C:Q,4,false)</f>
        <v>#N/A</v>
      </c>
      <c r="S1949" s="93" t="str">
        <f>VLOOKUP(F1949,DATABASE!C:P,11,false)</f>
        <v>#N/A</v>
      </c>
      <c r="T1949" s="93" t="str">
        <f>vlookup(F1949,DATABASE!C:Q,8,false)</f>
        <v>#N/A</v>
      </c>
      <c r="Z1949" s="9"/>
    </row>
    <row r="1950" ht="22.5" customHeight="1">
      <c r="A1950" s="49"/>
      <c r="C1950" s="384"/>
      <c r="D1950" s="93"/>
      <c r="F1950" s="74"/>
      <c r="H1950" s="74"/>
      <c r="I1950" s="74"/>
      <c r="J1950" s="74"/>
      <c r="K1950" s="74" t="str">
        <f>if(F1950="SERVICE",O1950-(O1950*50%),Vlookup(F1950,DATABASE!C:Q,10,false)*G1950)</f>
        <v>#N/A</v>
      </c>
      <c r="L1950" s="74" t="str">
        <f>VLOOKUP(F1950,DATABASE!C:Q,7,FALSE)</f>
        <v>#N/A</v>
      </c>
      <c r="M1950" s="74"/>
      <c r="N1950" s="74">
        <f t="shared" si="11"/>
        <v>0</v>
      </c>
      <c r="O1950" s="74">
        <f t="shared" si="13"/>
        <v>0</v>
      </c>
      <c r="P1950" s="63">
        <f t="shared" si="14"/>
        <v>0</v>
      </c>
      <c r="Q1950" s="63" t="str">
        <f t="shared" si="15"/>
        <v>#N/A</v>
      </c>
      <c r="R1950" s="93" t="str">
        <f>VLOOKUP(F1950,DATABASE!C:Q,4,false)</f>
        <v>#N/A</v>
      </c>
      <c r="S1950" s="93" t="str">
        <f>VLOOKUP(F1950,DATABASE!C:P,11,false)</f>
        <v>#N/A</v>
      </c>
      <c r="T1950" s="93" t="str">
        <f>vlookup(F1950,DATABASE!C:Q,8,false)</f>
        <v>#N/A</v>
      </c>
      <c r="Z1950" s="9"/>
    </row>
    <row r="1951" ht="22.5" customHeight="1">
      <c r="A1951" s="49"/>
      <c r="C1951" s="384"/>
      <c r="D1951" s="93"/>
      <c r="F1951" s="74"/>
      <c r="H1951" s="74"/>
      <c r="I1951" s="74"/>
      <c r="J1951" s="74"/>
      <c r="K1951" s="74" t="str">
        <f>if(F1951="SERVICE",O1951-(O1951*50%),Vlookup(F1951,DATABASE!C:Q,10,false)*G1951)</f>
        <v>#N/A</v>
      </c>
      <c r="L1951" s="74" t="str">
        <f>VLOOKUP(F1951,DATABASE!C:Q,7,FALSE)</f>
        <v>#N/A</v>
      </c>
      <c r="M1951" s="74"/>
      <c r="N1951" s="74">
        <f t="shared" si="11"/>
        <v>0</v>
      </c>
      <c r="O1951" s="74">
        <f t="shared" si="13"/>
        <v>0</v>
      </c>
      <c r="P1951" s="63">
        <f t="shared" si="14"/>
        <v>0</v>
      </c>
      <c r="Q1951" s="63" t="str">
        <f t="shared" si="15"/>
        <v>#N/A</v>
      </c>
      <c r="R1951" s="93" t="str">
        <f>VLOOKUP(F1951,DATABASE!C:Q,4,false)</f>
        <v>#N/A</v>
      </c>
      <c r="S1951" s="93" t="str">
        <f>VLOOKUP(F1951,DATABASE!C:P,11,false)</f>
        <v>#N/A</v>
      </c>
      <c r="T1951" s="93" t="str">
        <f>vlookup(F1951,DATABASE!C:Q,8,false)</f>
        <v>#N/A</v>
      </c>
      <c r="Z1951" s="9"/>
    </row>
    <row r="1952" ht="22.5" customHeight="1">
      <c r="A1952" s="49"/>
      <c r="C1952" s="384"/>
      <c r="D1952" s="93"/>
      <c r="F1952" s="74"/>
      <c r="H1952" s="74"/>
      <c r="I1952" s="74"/>
      <c r="J1952" s="74"/>
      <c r="K1952" s="74" t="str">
        <f>if(F1952="SERVICE",O1952-(O1952*50%),Vlookup(F1952,DATABASE!C:Q,10,false)*G1952)</f>
        <v>#N/A</v>
      </c>
      <c r="L1952" s="74" t="str">
        <f>VLOOKUP(F1952,DATABASE!C:Q,7,FALSE)</f>
        <v>#N/A</v>
      </c>
      <c r="M1952" s="74"/>
      <c r="N1952" s="74">
        <f t="shared" si="11"/>
        <v>0</v>
      </c>
      <c r="O1952" s="74">
        <f t="shared" si="13"/>
        <v>0</v>
      </c>
      <c r="P1952" s="63">
        <f t="shared" si="14"/>
        <v>0</v>
      </c>
      <c r="Q1952" s="63" t="str">
        <f t="shared" si="15"/>
        <v>#N/A</v>
      </c>
      <c r="R1952" s="93" t="str">
        <f>VLOOKUP(F1952,DATABASE!C:Q,4,false)</f>
        <v>#N/A</v>
      </c>
      <c r="S1952" s="93" t="str">
        <f>VLOOKUP(F1952,DATABASE!C:P,11,false)</f>
        <v>#N/A</v>
      </c>
      <c r="T1952" s="93" t="str">
        <f>vlookup(F1952,DATABASE!C:Q,8,false)</f>
        <v>#N/A</v>
      </c>
      <c r="Z1952" s="9"/>
    </row>
    <row r="1953" ht="22.5" customHeight="1">
      <c r="A1953" s="49"/>
      <c r="C1953" s="384"/>
      <c r="D1953" s="93"/>
      <c r="F1953" s="74"/>
      <c r="H1953" s="74"/>
      <c r="I1953" s="74"/>
      <c r="J1953" s="74"/>
      <c r="K1953" s="74" t="str">
        <f>if(F1953="SERVICE",O1953-(O1953*50%),Vlookup(F1953,DATABASE!C:Q,10,false)*G1953)</f>
        <v>#N/A</v>
      </c>
      <c r="L1953" s="74" t="str">
        <f>VLOOKUP(F1953,DATABASE!C:Q,7,FALSE)</f>
        <v>#N/A</v>
      </c>
      <c r="M1953" s="74"/>
      <c r="N1953" s="74">
        <f t="shared" si="11"/>
        <v>0</v>
      </c>
      <c r="O1953" s="74">
        <f t="shared" si="13"/>
        <v>0</v>
      </c>
      <c r="P1953" s="63">
        <f t="shared" si="14"/>
        <v>0</v>
      </c>
      <c r="Q1953" s="63" t="str">
        <f t="shared" si="15"/>
        <v>#N/A</v>
      </c>
      <c r="R1953" s="93" t="str">
        <f>VLOOKUP(F1953,DATABASE!C:Q,4,false)</f>
        <v>#N/A</v>
      </c>
      <c r="S1953" s="93" t="str">
        <f>VLOOKUP(F1953,DATABASE!C:P,11,false)</f>
        <v>#N/A</v>
      </c>
      <c r="T1953" s="93" t="str">
        <f>vlookup(F1953,DATABASE!C:Q,8,false)</f>
        <v>#N/A</v>
      </c>
      <c r="Z1953" s="9"/>
    </row>
    <row r="1954" ht="22.5" customHeight="1">
      <c r="A1954" s="49"/>
      <c r="C1954" s="384"/>
      <c r="D1954" s="93"/>
      <c r="F1954" s="74"/>
      <c r="H1954" s="74"/>
      <c r="I1954" s="74"/>
      <c r="J1954" s="74"/>
      <c r="K1954" s="74" t="str">
        <f>if(F1954="SERVICE",O1954-(O1954*50%),Vlookup(F1954,DATABASE!C:Q,10,false)*G1954)</f>
        <v>#N/A</v>
      </c>
      <c r="L1954" s="74" t="str">
        <f>VLOOKUP(F1954,DATABASE!C:Q,7,FALSE)</f>
        <v>#N/A</v>
      </c>
      <c r="M1954" s="74"/>
      <c r="N1954" s="74">
        <f t="shared" si="11"/>
        <v>0</v>
      </c>
      <c r="O1954" s="74">
        <f t="shared" si="13"/>
        <v>0</v>
      </c>
      <c r="P1954" s="63">
        <f t="shared" si="14"/>
        <v>0</v>
      </c>
      <c r="Q1954" s="63" t="str">
        <f t="shared" si="15"/>
        <v>#N/A</v>
      </c>
      <c r="R1954" s="93" t="str">
        <f>VLOOKUP(F1954,DATABASE!C:Q,4,false)</f>
        <v>#N/A</v>
      </c>
      <c r="S1954" s="93" t="str">
        <f>VLOOKUP(F1954,DATABASE!C:P,11,false)</f>
        <v>#N/A</v>
      </c>
      <c r="T1954" s="93" t="str">
        <f>vlookup(F1954,DATABASE!C:Q,8,false)</f>
        <v>#N/A</v>
      </c>
      <c r="Z1954" s="9"/>
    </row>
    <row r="1955" ht="22.5" customHeight="1">
      <c r="A1955" s="49"/>
      <c r="C1955" s="384"/>
      <c r="D1955" s="93"/>
      <c r="F1955" s="74"/>
      <c r="H1955" s="74"/>
      <c r="I1955" s="74"/>
      <c r="J1955" s="74"/>
      <c r="K1955" s="74" t="str">
        <f>if(F1955="SERVICE",O1955-(O1955*50%),Vlookup(F1955,DATABASE!C:Q,10,false)*G1955)</f>
        <v>#N/A</v>
      </c>
      <c r="L1955" s="74" t="str">
        <f>VLOOKUP(F1955,DATABASE!C:Q,7,FALSE)</f>
        <v>#N/A</v>
      </c>
      <c r="M1955" s="74"/>
      <c r="N1955" s="74">
        <f t="shared" si="11"/>
        <v>0</v>
      </c>
      <c r="O1955" s="74">
        <f t="shared" si="13"/>
        <v>0</v>
      </c>
      <c r="P1955" s="63">
        <f t="shared" si="14"/>
        <v>0</v>
      </c>
      <c r="Q1955" s="63" t="str">
        <f t="shared" si="15"/>
        <v>#N/A</v>
      </c>
      <c r="R1955" s="93" t="str">
        <f>VLOOKUP(F1955,DATABASE!C:Q,4,false)</f>
        <v>#N/A</v>
      </c>
      <c r="S1955" s="93" t="str">
        <f>VLOOKUP(F1955,DATABASE!C:P,11,false)</f>
        <v>#N/A</v>
      </c>
      <c r="T1955" s="93" t="str">
        <f>vlookup(F1955,DATABASE!C:Q,8,false)</f>
        <v>#N/A</v>
      </c>
      <c r="Z1955" s="9"/>
    </row>
    <row r="1956" ht="22.5" customHeight="1">
      <c r="A1956" s="49"/>
      <c r="C1956" s="384"/>
      <c r="D1956" s="93"/>
      <c r="F1956" s="74"/>
      <c r="H1956" s="74"/>
      <c r="I1956" s="74"/>
      <c r="J1956" s="74"/>
      <c r="K1956" s="74" t="str">
        <f>if(F1956="SERVICE",O1956-(O1956*50%),Vlookup(F1956,DATABASE!C:Q,10,false)*G1956)</f>
        <v>#N/A</v>
      </c>
      <c r="L1956" s="74" t="str">
        <f>VLOOKUP(F1956,DATABASE!C:Q,7,FALSE)</f>
        <v>#N/A</v>
      </c>
      <c r="M1956" s="74"/>
      <c r="N1956" s="74">
        <f t="shared" si="11"/>
        <v>0</v>
      </c>
      <c r="O1956" s="74">
        <f t="shared" si="13"/>
        <v>0</v>
      </c>
      <c r="P1956" s="63">
        <f t="shared" si="14"/>
        <v>0</v>
      </c>
      <c r="Q1956" s="63" t="str">
        <f t="shared" si="15"/>
        <v>#N/A</v>
      </c>
      <c r="R1956" s="93" t="str">
        <f>VLOOKUP(F1956,DATABASE!C:Q,4,false)</f>
        <v>#N/A</v>
      </c>
      <c r="S1956" s="93" t="str">
        <f>VLOOKUP(F1956,DATABASE!C:P,11,false)</f>
        <v>#N/A</v>
      </c>
      <c r="T1956" s="93" t="str">
        <f>vlookup(F1956,DATABASE!C:Q,8,false)</f>
        <v>#N/A</v>
      </c>
      <c r="Z1956" s="9"/>
    </row>
    <row r="1957" ht="22.5" customHeight="1">
      <c r="A1957" s="49"/>
      <c r="C1957" s="384"/>
      <c r="D1957" s="93"/>
      <c r="F1957" s="74"/>
      <c r="H1957" s="74"/>
      <c r="I1957" s="74"/>
      <c r="J1957" s="74"/>
      <c r="K1957" s="74" t="str">
        <f>if(F1957="SERVICE",O1957-(O1957*50%),Vlookup(F1957,DATABASE!C:Q,10,false)*G1957)</f>
        <v>#N/A</v>
      </c>
      <c r="L1957" s="74" t="str">
        <f>VLOOKUP(F1957,DATABASE!C:Q,7,FALSE)</f>
        <v>#N/A</v>
      </c>
      <c r="M1957" s="74"/>
      <c r="N1957" s="74">
        <f t="shared" si="11"/>
        <v>0</v>
      </c>
      <c r="O1957" s="74">
        <f t="shared" si="13"/>
        <v>0</v>
      </c>
      <c r="P1957" s="63">
        <f t="shared" si="14"/>
        <v>0</v>
      </c>
      <c r="Q1957" s="63" t="str">
        <f t="shared" si="15"/>
        <v>#N/A</v>
      </c>
      <c r="R1957" s="93" t="str">
        <f>VLOOKUP(F1957,DATABASE!C:Q,4,false)</f>
        <v>#N/A</v>
      </c>
      <c r="S1957" s="93" t="str">
        <f>VLOOKUP(F1957,DATABASE!C:P,11,false)</f>
        <v>#N/A</v>
      </c>
      <c r="T1957" s="93" t="str">
        <f>vlookup(F1957,DATABASE!C:Q,8,false)</f>
        <v>#N/A</v>
      </c>
      <c r="Z1957" s="9"/>
    </row>
    <row r="1958" ht="22.5" customHeight="1">
      <c r="A1958" s="49"/>
      <c r="C1958" s="384"/>
      <c r="D1958" s="93"/>
      <c r="F1958" s="74"/>
      <c r="H1958" s="74"/>
      <c r="I1958" s="74"/>
      <c r="J1958" s="74"/>
      <c r="K1958" s="74" t="str">
        <f>if(F1958="SERVICE",O1958-(O1958*50%),Vlookup(F1958,DATABASE!C:Q,10,false)*G1958)</f>
        <v>#N/A</v>
      </c>
      <c r="L1958" s="74" t="str">
        <f>VLOOKUP(F1958,DATABASE!C:Q,7,FALSE)</f>
        <v>#N/A</v>
      </c>
      <c r="M1958" s="74"/>
      <c r="N1958" s="74">
        <f t="shared" si="11"/>
        <v>0</v>
      </c>
      <c r="O1958" s="74">
        <f t="shared" si="13"/>
        <v>0</v>
      </c>
      <c r="P1958" s="63">
        <f t="shared" si="14"/>
        <v>0</v>
      </c>
      <c r="Q1958" s="63" t="str">
        <f t="shared" si="15"/>
        <v>#N/A</v>
      </c>
      <c r="R1958" s="93" t="str">
        <f>VLOOKUP(F1958,DATABASE!C:Q,4,false)</f>
        <v>#N/A</v>
      </c>
      <c r="S1958" s="93" t="str">
        <f>VLOOKUP(F1958,DATABASE!C:P,11,false)</f>
        <v>#N/A</v>
      </c>
      <c r="T1958" s="93" t="str">
        <f>vlookup(F1958,DATABASE!C:Q,8,false)</f>
        <v>#N/A</v>
      </c>
      <c r="Z1958" s="9"/>
    </row>
    <row r="1959" ht="22.5" customHeight="1">
      <c r="A1959" s="49"/>
      <c r="C1959" s="384"/>
      <c r="D1959" s="93"/>
      <c r="F1959" s="74"/>
      <c r="H1959" s="74"/>
      <c r="I1959" s="74"/>
      <c r="J1959" s="74"/>
      <c r="K1959" s="74" t="str">
        <f>if(F1959="SERVICE",O1959-(O1959*50%),Vlookup(F1959,DATABASE!C:Q,10,false)*G1959)</f>
        <v>#N/A</v>
      </c>
      <c r="L1959" s="74" t="str">
        <f>VLOOKUP(F1959,DATABASE!C:Q,7,FALSE)</f>
        <v>#N/A</v>
      </c>
      <c r="M1959" s="74"/>
      <c r="N1959" s="74">
        <f t="shared" si="11"/>
        <v>0</v>
      </c>
      <c r="O1959" s="74">
        <f t="shared" si="13"/>
        <v>0</v>
      </c>
      <c r="P1959" s="63">
        <f t="shared" si="14"/>
        <v>0</v>
      </c>
      <c r="Q1959" s="63" t="str">
        <f t="shared" si="15"/>
        <v>#N/A</v>
      </c>
      <c r="R1959" s="93" t="str">
        <f>VLOOKUP(F1959,DATABASE!C:Q,4,false)</f>
        <v>#N/A</v>
      </c>
      <c r="S1959" s="93" t="str">
        <f>VLOOKUP(F1959,DATABASE!C:P,11,false)</f>
        <v>#N/A</v>
      </c>
      <c r="T1959" s="93" t="str">
        <f>vlookup(F1959,DATABASE!C:Q,8,false)</f>
        <v>#N/A</v>
      </c>
      <c r="Z1959" s="9"/>
    </row>
    <row r="1960" ht="22.5" customHeight="1">
      <c r="A1960" s="49"/>
      <c r="C1960" s="384"/>
      <c r="D1960" s="93"/>
      <c r="F1960" s="74"/>
      <c r="H1960" s="74"/>
      <c r="I1960" s="74"/>
      <c r="J1960" s="74"/>
      <c r="K1960" s="74" t="str">
        <f>if(F1960="SERVICE",O1960-(O1960*50%),Vlookup(F1960,DATABASE!C:Q,10,false)*G1960)</f>
        <v>#N/A</v>
      </c>
      <c r="L1960" s="74" t="str">
        <f>VLOOKUP(F1960,DATABASE!C:Q,7,FALSE)</f>
        <v>#N/A</v>
      </c>
      <c r="M1960" s="74"/>
      <c r="N1960" s="74">
        <f t="shared" si="11"/>
        <v>0</v>
      </c>
      <c r="O1960" s="74">
        <f t="shared" si="13"/>
        <v>0</v>
      </c>
      <c r="P1960" s="63">
        <f t="shared" si="14"/>
        <v>0</v>
      </c>
      <c r="Q1960" s="63" t="str">
        <f t="shared" si="15"/>
        <v>#N/A</v>
      </c>
      <c r="R1960" s="93" t="str">
        <f>VLOOKUP(F1960,DATABASE!C:Q,4,false)</f>
        <v>#N/A</v>
      </c>
      <c r="S1960" s="93" t="str">
        <f>VLOOKUP(F1960,DATABASE!C:P,11,false)</f>
        <v>#N/A</v>
      </c>
      <c r="T1960" s="93" t="str">
        <f>vlookup(F1960,DATABASE!C:Q,8,false)</f>
        <v>#N/A</v>
      </c>
      <c r="Z1960" s="9"/>
    </row>
    <row r="1961" ht="22.5" customHeight="1">
      <c r="A1961" s="49"/>
      <c r="C1961" s="384"/>
      <c r="D1961" s="93"/>
      <c r="F1961" s="74"/>
      <c r="H1961" s="74"/>
      <c r="I1961" s="74"/>
      <c r="J1961" s="74"/>
      <c r="K1961" s="74" t="str">
        <f>if(F1961="SERVICE",O1961-(O1961*50%),Vlookup(F1961,DATABASE!C:Q,10,false)*G1961)</f>
        <v>#N/A</v>
      </c>
      <c r="L1961" s="74" t="str">
        <f>VLOOKUP(F1961,DATABASE!C:Q,7,FALSE)</f>
        <v>#N/A</v>
      </c>
      <c r="M1961" s="74"/>
      <c r="N1961" s="74">
        <f t="shared" si="11"/>
        <v>0</v>
      </c>
      <c r="O1961" s="74">
        <f t="shared" si="13"/>
        <v>0</v>
      </c>
      <c r="P1961" s="63">
        <f t="shared" si="14"/>
        <v>0</v>
      </c>
      <c r="Q1961" s="63" t="str">
        <f t="shared" si="15"/>
        <v>#N/A</v>
      </c>
      <c r="R1961" s="93" t="str">
        <f>VLOOKUP(F1961,DATABASE!C:Q,4,false)</f>
        <v>#N/A</v>
      </c>
      <c r="S1961" s="93" t="str">
        <f>VLOOKUP(F1961,DATABASE!C:P,11,false)</f>
        <v>#N/A</v>
      </c>
      <c r="T1961" s="93" t="str">
        <f>vlookup(F1961,DATABASE!C:Q,8,false)</f>
        <v>#N/A</v>
      </c>
      <c r="Z1961" s="9"/>
    </row>
    <row r="1962" ht="22.5" customHeight="1">
      <c r="A1962" s="49"/>
      <c r="C1962" s="384"/>
      <c r="D1962" s="93"/>
      <c r="F1962" s="74"/>
      <c r="H1962" s="74"/>
      <c r="I1962" s="74"/>
      <c r="J1962" s="74"/>
      <c r="K1962" s="74" t="str">
        <f>if(F1962="SERVICE",O1962-(O1962*50%),Vlookup(F1962,DATABASE!C:Q,10,false)*G1962)</f>
        <v>#N/A</v>
      </c>
      <c r="L1962" s="74" t="str">
        <f>VLOOKUP(F1962,DATABASE!C:Q,7,FALSE)</f>
        <v>#N/A</v>
      </c>
      <c r="M1962" s="74"/>
      <c r="N1962" s="74">
        <f t="shared" si="11"/>
        <v>0</v>
      </c>
      <c r="O1962" s="74">
        <f t="shared" si="13"/>
        <v>0</v>
      </c>
      <c r="P1962" s="63">
        <f t="shared" si="14"/>
        <v>0</v>
      </c>
      <c r="Q1962" s="63" t="str">
        <f t="shared" si="15"/>
        <v>#N/A</v>
      </c>
      <c r="R1962" s="93" t="str">
        <f>VLOOKUP(F1962,DATABASE!C:Q,4,false)</f>
        <v>#N/A</v>
      </c>
      <c r="S1962" s="93" t="str">
        <f>VLOOKUP(F1962,DATABASE!C:P,11,false)</f>
        <v>#N/A</v>
      </c>
      <c r="T1962" s="93" t="str">
        <f>vlookup(F1962,DATABASE!C:Q,8,false)</f>
        <v>#N/A</v>
      </c>
      <c r="Z1962" s="9"/>
    </row>
    <row r="1963" ht="22.5" customHeight="1">
      <c r="A1963" s="49"/>
      <c r="C1963" s="384"/>
      <c r="D1963" s="93"/>
      <c r="F1963" s="74"/>
      <c r="H1963" s="74"/>
      <c r="I1963" s="74"/>
      <c r="J1963" s="74"/>
      <c r="K1963" s="74" t="str">
        <f>if(F1963="SERVICE",O1963-(O1963*50%),Vlookup(F1963,DATABASE!C:Q,10,false)*G1963)</f>
        <v>#N/A</v>
      </c>
      <c r="L1963" s="74" t="str">
        <f>VLOOKUP(F1963,DATABASE!C:Q,7,FALSE)</f>
        <v>#N/A</v>
      </c>
      <c r="M1963" s="74"/>
      <c r="N1963" s="74">
        <f t="shared" si="11"/>
        <v>0</v>
      </c>
      <c r="O1963" s="74">
        <f t="shared" si="13"/>
        <v>0</v>
      </c>
      <c r="P1963" s="63">
        <f t="shared" si="14"/>
        <v>0</v>
      </c>
      <c r="Q1963" s="63" t="str">
        <f t="shared" si="15"/>
        <v>#N/A</v>
      </c>
      <c r="R1963" s="93" t="str">
        <f>VLOOKUP(F1963,DATABASE!C:Q,4,false)</f>
        <v>#N/A</v>
      </c>
      <c r="S1963" s="93" t="str">
        <f>VLOOKUP(F1963,DATABASE!C:P,11,false)</f>
        <v>#N/A</v>
      </c>
      <c r="T1963" s="93" t="str">
        <f>vlookup(F1963,DATABASE!C:Q,8,false)</f>
        <v>#N/A</v>
      </c>
      <c r="Z1963" s="9"/>
    </row>
    <row r="1964" ht="22.5" customHeight="1">
      <c r="A1964" s="49"/>
      <c r="C1964" s="384"/>
      <c r="D1964" s="93"/>
      <c r="F1964" s="74"/>
      <c r="H1964" s="74"/>
      <c r="I1964" s="74"/>
      <c r="J1964" s="74"/>
      <c r="K1964" s="74" t="str">
        <f>if(F1964="SERVICE",O1964-(O1964*50%),Vlookup(F1964,DATABASE!C:Q,10,false)*G1964)</f>
        <v>#N/A</v>
      </c>
      <c r="L1964" s="74" t="str">
        <f>VLOOKUP(F1964,DATABASE!C:Q,7,FALSE)</f>
        <v>#N/A</v>
      </c>
      <c r="M1964" s="74"/>
      <c r="N1964" s="74">
        <f t="shared" si="11"/>
        <v>0</v>
      </c>
      <c r="O1964" s="74">
        <f t="shared" si="13"/>
        <v>0</v>
      </c>
      <c r="P1964" s="63">
        <f t="shared" si="14"/>
        <v>0</v>
      </c>
      <c r="Q1964" s="63" t="str">
        <f t="shared" si="15"/>
        <v>#N/A</v>
      </c>
      <c r="R1964" s="93" t="str">
        <f>VLOOKUP(F1964,DATABASE!C:Q,4,false)</f>
        <v>#N/A</v>
      </c>
      <c r="S1964" s="93" t="str">
        <f>VLOOKUP(F1964,DATABASE!C:P,11,false)</f>
        <v>#N/A</v>
      </c>
      <c r="T1964" s="93" t="str">
        <f>vlookup(F1964,DATABASE!C:Q,8,false)</f>
        <v>#N/A</v>
      </c>
      <c r="Z1964" s="9"/>
    </row>
    <row r="1965" ht="22.5" customHeight="1">
      <c r="A1965" s="49"/>
      <c r="C1965" s="384"/>
      <c r="D1965" s="93"/>
      <c r="F1965" s="74"/>
      <c r="H1965" s="74"/>
      <c r="I1965" s="74"/>
      <c r="J1965" s="74"/>
      <c r="K1965" s="74" t="str">
        <f>if(F1965="SERVICE",O1965-(O1965*50%),Vlookup(F1965,DATABASE!C:Q,10,false)*G1965)</f>
        <v>#N/A</v>
      </c>
      <c r="L1965" s="74" t="str">
        <f>VLOOKUP(F1965,DATABASE!C:Q,7,FALSE)</f>
        <v>#N/A</v>
      </c>
      <c r="M1965" s="74"/>
      <c r="N1965" s="74">
        <f t="shared" si="11"/>
        <v>0</v>
      </c>
      <c r="O1965" s="74">
        <f t="shared" si="13"/>
        <v>0</v>
      </c>
      <c r="P1965" s="63">
        <f t="shared" si="14"/>
        <v>0</v>
      </c>
      <c r="Q1965" s="63" t="str">
        <f t="shared" si="15"/>
        <v>#N/A</v>
      </c>
      <c r="R1965" s="93" t="str">
        <f>VLOOKUP(F1965,DATABASE!C:Q,4,false)</f>
        <v>#N/A</v>
      </c>
      <c r="S1965" s="93" t="str">
        <f>VLOOKUP(F1965,DATABASE!C:P,11,false)</f>
        <v>#N/A</v>
      </c>
      <c r="T1965" s="93" t="str">
        <f>vlookup(F1965,DATABASE!C:Q,8,false)</f>
        <v>#N/A</v>
      </c>
      <c r="Z1965" s="9"/>
    </row>
    <row r="1966" ht="22.5" customHeight="1">
      <c r="A1966" s="49"/>
      <c r="C1966" s="384"/>
      <c r="D1966" s="93"/>
      <c r="F1966" s="74"/>
      <c r="H1966" s="74"/>
      <c r="I1966" s="74"/>
      <c r="J1966" s="74"/>
      <c r="K1966" s="74" t="str">
        <f>if(F1966="SERVICE",O1966-(O1966*50%),Vlookup(F1966,DATABASE!C:Q,10,false)*G1966)</f>
        <v>#N/A</v>
      </c>
      <c r="L1966" s="74" t="str">
        <f>VLOOKUP(F1966,DATABASE!C:Q,7,FALSE)</f>
        <v>#N/A</v>
      </c>
      <c r="M1966" s="74"/>
      <c r="N1966" s="74">
        <f t="shared" si="11"/>
        <v>0</v>
      </c>
      <c r="O1966" s="74">
        <f t="shared" si="13"/>
        <v>0</v>
      </c>
      <c r="P1966" s="63">
        <f t="shared" si="14"/>
        <v>0</v>
      </c>
      <c r="Q1966" s="63" t="str">
        <f t="shared" si="15"/>
        <v>#N/A</v>
      </c>
      <c r="R1966" s="93" t="str">
        <f>VLOOKUP(F1966,DATABASE!C:Q,4,false)</f>
        <v>#N/A</v>
      </c>
      <c r="S1966" s="93" t="str">
        <f>VLOOKUP(F1966,DATABASE!C:P,11,false)</f>
        <v>#N/A</v>
      </c>
      <c r="T1966" s="93" t="str">
        <f>vlookup(F1966,DATABASE!C:Q,8,false)</f>
        <v>#N/A</v>
      </c>
      <c r="Z1966" s="9"/>
    </row>
    <row r="1967" ht="22.5" customHeight="1">
      <c r="A1967" s="49"/>
      <c r="C1967" s="384"/>
      <c r="D1967" s="93"/>
      <c r="F1967" s="74"/>
      <c r="H1967" s="74"/>
      <c r="I1967" s="74"/>
      <c r="J1967" s="74"/>
      <c r="K1967" s="74" t="str">
        <f>if(F1967="SERVICE",O1967-(O1967*50%),Vlookup(F1967,DATABASE!C:Q,10,false)*G1967)</f>
        <v>#N/A</v>
      </c>
      <c r="L1967" s="74" t="str">
        <f>VLOOKUP(F1967,DATABASE!C:Q,7,FALSE)</f>
        <v>#N/A</v>
      </c>
      <c r="M1967" s="74"/>
      <c r="N1967" s="74">
        <f t="shared" si="11"/>
        <v>0</v>
      </c>
      <c r="O1967" s="74">
        <f t="shared" si="13"/>
        <v>0</v>
      </c>
      <c r="P1967" s="63">
        <f t="shared" si="14"/>
        <v>0</v>
      </c>
      <c r="Q1967" s="63" t="str">
        <f t="shared" si="15"/>
        <v>#N/A</v>
      </c>
      <c r="R1967" s="93" t="str">
        <f>VLOOKUP(F1967,DATABASE!C:Q,4,false)</f>
        <v>#N/A</v>
      </c>
      <c r="S1967" s="93" t="str">
        <f>VLOOKUP(F1967,DATABASE!C:P,11,false)</f>
        <v>#N/A</v>
      </c>
      <c r="T1967" s="93" t="str">
        <f>vlookup(F1967,DATABASE!C:Q,8,false)</f>
        <v>#N/A</v>
      </c>
      <c r="Z1967" s="9"/>
    </row>
    <row r="1968" ht="22.5" customHeight="1">
      <c r="A1968" s="49"/>
      <c r="C1968" s="384"/>
      <c r="D1968" s="93"/>
      <c r="F1968" s="74"/>
      <c r="H1968" s="74"/>
      <c r="I1968" s="74"/>
      <c r="J1968" s="74"/>
      <c r="K1968" s="74" t="str">
        <f>if(F1968="SERVICE",O1968-(O1968*50%),Vlookup(F1968,DATABASE!C:Q,10,false)*G1968)</f>
        <v>#N/A</v>
      </c>
      <c r="L1968" s="74" t="str">
        <f>VLOOKUP(F1968,DATABASE!C:Q,7,FALSE)</f>
        <v>#N/A</v>
      </c>
      <c r="M1968" s="74"/>
      <c r="N1968" s="74">
        <f t="shared" si="11"/>
        <v>0</v>
      </c>
      <c r="O1968" s="74">
        <f t="shared" si="13"/>
        <v>0</v>
      </c>
      <c r="P1968" s="63">
        <f t="shared" si="14"/>
        <v>0</v>
      </c>
      <c r="Q1968" s="63" t="str">
        <f t="shared" si="15"/>
        <v>#N/A</v>
      </c>
      <c r="R1968" s="93" t="str">
        <f>VLOOKUP(F1968,DATABASE!C:Q,4,false)</f>
        <v>#N/A</v>
      </c>
      <c r="S1968" s="93" t="str">
        <f>VLOOKUP(F1968,DATABASE!C:P,11,false)</f>
        <v>#N/A</v>
      </c>
      <c r="T1968" s="93" t="str">
        <f>vlookup(F1968,DATABASE!C:Q,8,false)</f>
        <v>#N/A</v>
      </c>
      <c r="Z1968" s="9"/>
    </row>
    <row r="1969" ht="22.5" customHeight="1">
      <c r="A1969" s="49"/>
      <c r="C1969" s="384"/>
      <c r="D1969" s="93"/>
      <c r="F1969" s="74"/>
      <c r="H1969" s="74"/>
      <c r="I1969" s="74"/>
      <c r="J1969" s="74"/>
      <c r="K1969" s="74" t="str">
        <f>if(F1969="SERVICE",O1969-(O1969*50%),Vlookup(F1969,DATABASE!C:Q,10,false)*G1969)</f>
        <v>#N/A</v>
      </c>
      <c r="L1969" s="74" t="str">
        <f>VLOOKUP(F1969,DATABASE!C:Q,7,FALSE)</f>
        <v>#N/A</v>
      </c>
      <c r="M1969" s="74"/>
      <c r="N1969" s="74">
        <f t="shared" si="11"/>
        <v>0</v>
      </c>
      <c r="O1969" s="74">
        <f t="shared" si="13"/>
        <v>0</v>
      </c>
      <c r="P1969" s="63">
        <f t="shared" si="14"/>
        <v>0</v>
      </c>
      <c r="Q1969" s="63" t="str">
        <f t="shared" si="15"/>
        <v>#N/A</v>
      </c>
      <c r="R1969" s="93" t="str">
        <f>VLOOKUP(F1969,DATABASE!C:Q,4,false)</f>
        <v>#N/A</v>
      </c>
      <c r="S1969" s="93" t="str">
        <f>VLOOKUP(F1969,DATABASE!C:P,11,false)</f>
        <v>#N/A</v>
      </c>
      <c r="T1969" s="93" t="str">
        <f>vlookup(F1969,DATABASE!C:Q,8,false)</f>
        <v>#N/A</v>
      </c>
      <c r="Z1969" s="9"/>
    </row>
    <row r="1970" ht="22.5" customHeight="1">
      <c r="A1970" s="49"/>
      <c r="C1970" s="384"/>
      <c r="D1970" s="93"/>
      <c r="F1970" s="74"/>
      <c r="H1970" s="74"/>
      <c r="I1970" s="74"/>
      <c r="J1970" s="74"/>
      <c r="K1970" s="74" t="str">
        <f>if(F1970="SERVICE",O1970-(O1970*50%),Vlookup(F1970,DATABASE!C:Q,10,false)*G1970)</f>
        <v>#N/A</v>
      </c>
      <c r="L1970" s="74" t="str">
        <f>VLOOKUP(F1970,DATABASE!C:Q,7,FALSE)</f>
        <v>#N/A</v>
      </c>
      <c r="M1970" s="74"/>
      <c r="N1970" s="74">
        <f t="shared" si="11"/>
        <v>0</v>
      </c>
      <c r="O1970" s="74">
        <f t="shared" si="13"/>
        <v>0</v>
      </c>
      <c r="P1970" s="63">
        <f t="shared" si="14"/>
        <v>0</v>
      </c>
      <c r="Q1970" s="63" t="str">
        <f t="shared" si="15"/>
        <v>#N/A</v>
      </c>
      <c r="R1970" s="93" t="str">
        <f>VLOOKUP(F1970,DATABASE!C:Q,4,false)</f>
        <v>#N/A</v>
      </c>
      <c r="S1970" s="93" t="str">
        <f>VLOOKUP(F1970,DATABASE!C:P,11,false)</f>
        <v>#N/A</v>
      </c>
      <c r="T1970" s="93" t="str">
        <f>vlookup(F1970,DATABASE!C:Q,8,false)</f>
        <v>#N/A</v>
      </c>
      <c r="Z1970" s="9"/>
    </row>
    <row r="1971" ht="22.5" customHeight="1">
      <c r="A1971" s="49"/>
      <c r="C1971" s="384"/>
      <c r="D1971" s="93"/>
      <c r="F1971" s="74"/>
      <c r="H1971" s="74"/>
      <c r="I1971" s="74"/>
      <c r="J1971" s="74"/>
      <c r="K1971" s="74" t="str">
        <f>if(F1971="SERVICE",O1971-(O1971*50%),Vlookup(F1971,DATABASE!C:Q,10,false)*G1971)</f>
        <v>#N/A</v>
      </c>
      <c r="L1971" s="74" t="str">
        <f>VLOOKUP(F1971,DATABASE!C:Q,7,FALSE)</f>
        <v>#N/A</v>
      </c>
      <c r="M1971" s="74"/>
      <c r="N1971" s="74">
        <f t="shared" si="11"/>
        <v>0</v>
      </c>
      <c r="O1971" s="74">
        <f t="shared" si="13"/>
        <v>0</v>
      </c>
      <c r="P1971" s="63">
        <f t="shared" si="14"/>
        <v>0</v>
      </c>
      <c r="Q1971" s="63" t="str">
        <f t="shared" si="15"/>
        <v>#N/A</v>
      </c>
      <c r="R1971" s="93" t="str">
        <f>VLOOKUP(F1971,DATABASE!C:Q,4,false)</f>
        <v>#N/A</v>
      </c>
      <c r="S1971" s="93" t="str">
        <f>VLOOKUP(F1971,DATABASE!C:P,11,false)</f>
        <v>#N/A</v>
      </c>
      <c r="T1971" s="93" t="str">
        <f>vlookup(F1971,DATABASE!C:Q,8,false)</f>
        <v>#N/A</v>
      </c>
      <c r="Z1971" s="9"/>
    </row>
    <row r="1972" ht="22.5" customHeight="1">
      <c r="A1972" s="49"/>
      <c r="C1972" s="384"/>
      <c r="D1972" s="93"/>
      <c r="F1972" s="74"/>
      <c r="H1972" s="74"/>
      <c r="I1972" s="74"/>
      <c r="J1972" s="74"/>
      <c r="K1972" s="74" t="str">
        <f>if(F1972="SERVICE",O1972-(O1972*50%),Vlookup(F1972,DATABASE!C:Q,10,false)*G1972)</f>
        <v>#N/A</v>
      </c>
      <c r="L1972" s="74" t="str">
        <f>VLOOKUP(F1972,DATABASE!C:Q,7,FALSE)</f>
        <v>#N/A</v>
      </c>
      <c r="M1972" s="74"/>
      <c r="N1972" s="74">
        <f t="shared" si="11"/>
        <v>0</v>
      </c>
      <c r="O1972" s="74">
        <f t="shared" si="13"/>
        <v>0</v>
      </c>
      <c r="P1972" s="63">
        <f t="shared" si="14"/>
        <v>0</v>
      </c>
      <c r="Q1972" s="63" t="str">
        <f t="shared" si="15"/>
        <v>#N/A</v>
      </c>
      <c r="R1972" s="93" t="str">
        <f>VLOOKUP(F1972,DATABASE!C:Q,4,false)</f>
        <v>#N/A</v>
      </c>
      <c r="S1972" s="93" t="str">
        <f>VLOOKUP(F1972,DATABASE!C:P,11,false)</f>
        <v>#N/A</v>
      </c>
      <c r="T1972" s="93" t="str">
        <f>vlookup(F1972,DATABASE!C:Q,8,false)</f>
        <v>#N/A</v>
      </c>
      <c r="Z1972" s="9"/>
    </row>
    <row r="1973" ht="22.5" customHeight="1">
      <c r="A1973" s="49"/>
      <c r="C1973" s="384"/>
      <c r="D1973" s="93"/>
      <c r="F1973" s="74"/>
      <c r="H1973" s="74"/>
      <c r="I1973" s="74"/>
      <c r="J1973" s="74"/>
      <c r="K1973" s="74" t="str">
        <f>if(F1973="SERVICE",O1973-(O1973*50%),Vlookup(F1973,DATABASE!C:Q,10,false)*G1973)</f>
        <v>#N/A</v>
      </c>
      <c r="L1973" s="74" t="str">
        <f>VLOOKUP(F1973,DATABASE!C:Q,7,FALSE)</f>
        <v>#N/A</v>
      </c>
      <c r="M1973" s="74"/>
      <c r="N1973" s="74">
        <f t="shared" si="11"/>
        <v>0</v>
      </c>
      <c r="O1973" s="74">
        <f t="shared" si="13"/>
        <v>0</v>
      </c>
      <c r="P1973" s="63">
        <f t="shared" si="14"/>
        <v>0</v>
      </c>
      <c r="Q1973" s="63" t="str">
        <f t="shared" si="15"/>
        <v>#N/A</v>
      </c>
      <c r="R1973" s="93" t="str">
        <f>VLOOKUP(F1973,DATABASE!C:Q,4,false)</f>
        <v>#N/A</v>
      </c>
      <c r="S1973" s="93" t="str">
        <f>VLOOKUP(F1973,DATABASE!C:P,11,false)</f>
        <v>#N/A</v>
      </c>
      <c r="T1973" s="93" t="str">
        <f>vlookup(F1973,DATABASE!C:Q,8,false)</f>
        <v>#N/A</v>
      </c>
      <c r="Z1973" s="9"/>
    </row>
    <row r="1974" ht="22.5" customHeight="1">
      <c r="A1974" s="49"/>
      <c r="C1974" s="384"/>
      <c r="D1974" s="93"/>
      <c r="F1974" s="74"/>
      <c r="H1974" s="74"/>
      <c r="I1974" s="74"/>
      <c r="J1974" s="74"/>
      <c r="K1974" s="74" t="str">
        <f>if(F1974="SERVICE",O1974-(O1974*50%),Vlookup(F1974,DATABASE!C:Q,10,false)*G1974)</f>
        <v>#N/A</v>
      </c>
      <c r="L1974" s="74" t="str">
        <f>VLOOKUP(F1974,DATABASE!C:Q,7,FALSE)</f>
        <v>#N/A</v>
      </c>
      <c r="M1974" s="74"/>
      <c r="N1974" s="74">
        <f t="shared" si="11"/>
        <v>0</v>
      </c>
      <c r="O1974" s="74">
        <f t="shared" si="13"/>
        <v>0</v>
      </c>
      <c r="P1974" s="63">
        <f t="shared" si="14"/>
        <v>0</v>
      </c>
      <c r="Q1974" s="63" t="str">
        <f t="shared" si="15"/>
        <v>#N/A</v>
      </c>
      <c r="R1974" s="93" t="str">
        <f>VLOOKUP(F1974,DATABASE!C:Q,4,false)</f>
        <v>#N/A</v>
      </c>
      <c r="S1974" s="93" t="str">
        <f>VLOOKUP(F1974,DATABASE!C:P,11,false)</f>
        <v>#N/A</v>
      </c>
      <c r="T1974" s="93" t="str">
        <f>vlookup(F1974,DATABASE!C:Q,8,false)</f>
        <v>#N/A</v>
      </c>
      <c r="Z1974" s="9"/>
    </row>
    <row r="1975" ht="22.5" customHeight="1">
      <c r="A1975" s="49"/>
      <c r="C1975" s="384"/>
      <c r="D1975" s="93"/>
      <c r="F1975" s="74"/>
      <c r="H1975" s="74"/>
      <c r="I1975" s="74"/>
      <c r="J1975" s="74"/>
      <c r="K1975" s="74" t="str">
        <f>if(F1975="SERVICE",O1975-(O1975*50%),Vlookup(F1975,DATABASE!C:Q,10,false)*G1975)</f>
        <v>#N/A</v>
      </c>
      <c r="L1975" s="74" t="str">
        <f>VLOOKUP(F1975,DATABASE!C:Q,7,FALSE)</f>
        <v>#N/A</v>
      </c>
      <c r="M1975" s="74"/>
      <c r="N1975" s="74">
        <f t="shared" si="11"/>
        <v>0</v>
      </c>
      <c r="O1975" s="74">
        <f t="shared" si="13"/>
        <v>0</v>
      </c>
      <c r="P1975" s="63">
        <f t="shared" si="14"/>
        <v>0</v>
      </c>
      <c r="Q1975" s="63" t="str">
        <f t="shared" si="15"/>
        <v>#N/A</v>
      </c>
      <c r="R1975" s="93" t="str">
        <f>VLOOKUP(F1975,DATABASE!C:Q,4,false)</f>
        <v>#N/A</v>
      </c>
      <c r="S1975" s="93" t="str">
        <f>VLOOKUP(F1975,DATABASE!C:P,11,false)</f>
        <v>#N/A</v>
      </c>
      <c r="T1975" s="93" t="str">
        <f>vlookup(F1975,DATABASE!C:Q,8,false)</f>
        <v>#N/A</v>
      </c>
      <c r="Z1975" s="9"/>
    </row>
    <row r="1976" ht="22.5" customHeight="1">
      <c r="A1976" s="49"/>
      <c r="C1976" s="384"/>
      <c r="D1976" s="93"/>
      <c r="F1976" s="74"/>
      <c r="H1976" s="74"/>
      <c r="I1976" s="74"/>
      <c r="J1976" s="74"/>
      <c r="K1976" s="74" t="str">
        <f>if(F1976="SERVICE",O1976-(O1976*50%),Vlookup(F1976,DATABASE!C:Q,10,false)*G1976)</f>
        <v>#N/A</v>
      </c>
      <c r="L1976" s="74" t="str">
        <f>VLOOKUP(F1976,DATABASE!C:Q,7,FALSE)</f>
        <v>#N/A</v>
      </c>
      <c r="M1976" s="74"/>
      <c r="N1976" s="74">
        <f t="shared" si="11"/>
        <v>0</v>
      </c>
      <c r="O1976" s="74">
        <f t="shared" si="13"/>
        <v>0</v>
      </c>
      <c r="P1976" s="63">
        <f t="shared" si="14"/>
        <v>0</v>
      </c>
      <c r="Q1976" s="63" t="str">
        <f t="shared" si="15"/>
        <v>#N/A</v>
      </c>
      <c r="R1976" s="93" t="str">
        <f>VLOOKUP(F1976,DATABASE!C:Q,4,false)</f>
        <v>#N/A</v>
      </c>
      <c r="S1976" s="93" t="str">
        <f>VLOOKUP(F1976,DATABASE!C:P,11,false)</f>
        <v>#N/A</v>
      </c>
      <c r="T1976" s="93" t="str">
        <f>vlookup(F1976,DATABASE!C:Q,8,false)</f>
        <v>#N/A</v>
      </c>
      <c r="Z1976" s="9"/>
    </row>
    <row r="1977" ht="22.5" customHeight="1">
      <c r="A1977" s="49"/>
      <c r="C1977" s="384"/>
      <c r="D1977" s="93"/>
      <c r="F1977" s="74"/>
      <c r="H1977" s="74"/>
      <c r="I1977" s="74"/>
      <c r="J1977" s="74"/>
      <c r="K1977" s="74" t="str">
        <f>if(F1977="SERVICE",O1977-(O1977*50%),Vlookup(F1977,DATABASE!C:Q,10,false)*G1977)</f>
        <v>#N/A</v>
      </c>
      <c r="L1977" s="74" t="str">
        <f>VLOOKUP(F1977,DATABASE!C:Q,7,FALSE)</f>
        <v>#N/A</v>
      </c>
      <c r="M1977" s="74"/>
      <c r="N1977" s="74">
        <f t="shared" si="11"/>
        <v>0</v>
      </c>
      <c r="O1977" s="74">
        <f t="shared" si="13"/>
        <v>0</v>
      </c>
      <c r="P1977" s="63">
        <f t="shared" si="14"/>
        <v>0</v>
      </c>
      <c r="Q1977" s="63" t="str">
        <f t="shared" si="15"/>
        <v>#N/A</v>
      </c>
      <c r="R1977" s="93" t="str">
        <f>VLOOKUP(F1977,DATABASE!C:Q,4,false)</f>
        <v>#N/A</v>
      </c>
      <c r="S1977" s="93" t="str">
        <f>VLOOKUP(F1977,DATABASE!C:P,11,false)</f>
        <v>#N/A</v>
      </c>
      <c r="T1977" s="93" t="str">
        <f>vlookup(F1977,DATABASE!C:Q,8,false)</f>
        <v>#N/A</v>
      </c>
      <c r="Z1977" s="9"/>
    </row>
    <row r="1978" ht="22.5" customHeight="1">
      <c r="A1978" s="49"/>
      <c r="C1978" s="384"/>
      <c r="D1978" s="93"/>
      <c r="F1978" s="74"/>
      <c r="H1978" s="74"/>
      <c r="I1978" s="74"/>
      <c r="J1978" s="74"/>
      <c r="K1978" s="74" t="str">
        <f>if(F1978="SERVICE",O1978-(O1978*50%),Vlookup(F1978,DATABASE!C:Q,10,false)*G1978)</f>
        <v>#N/A</v>
      </c>
      <c r="L1978" s="74" t="str">
        <f>VLOOKUP(F1978,DATABASE!C:Q,7,FALSE)</f>
        <v>#N/A</v>
      </c>
      <c r="M1978" s="74"/>
      <c r="N1978" s="74">
        <f t="shared" si="11"/>
        <v>0</v>
      </c>
      <c r="O1978" s="74">
        <f t="shared" si="13"/>
        <v>0</v>
      </c>
      <c r="P1978" s="63">
        <f t="shared" si="14"/>
        <v>0</v>
      </c>
      <c r="Q1978" s="63" t="str">
        <f t="shared" si="15"/>
        <v>#N/A</v>
      </c>
      <c r="R1978" s="93" t="str">
        <f>VLOOKUP(F1978,DATABASE!C:Q,4,false)</f>
        <v>#N/A</v>
      </c>
      <c r="S1978" s="93" t="str">
        <f>VLOOKUP(F1978,DATABASE!C:P,11,false)</f>
        <v>#N/A</v>
      </c>
      <c r="T1978" s="93" t="str">
        <f>vlookup(F1978,DATABASE!C:Q,8,false)</f>
        <v>#N/A</v>
      </c>
      <c r="Z1978" s="9"/>
    </row>
    <row r="1979" ht="22.5" customHeight="1">
      <c r="A1979" s="49"/>
      <c r="C1979" s="384"/>
      <c r="D1979" s="93"/>
      <c r="F1979" s="74"/>
      <c r="H1979" s="74"/>
      <c r="I1979" s="74"/>
      <c r="J1979" s="74"/>
      <c r="K1979" s="74" t="str">
        <f>if(F1979="SERVICE",O1979-(O1979*50%),Vlookup(F1979,DATABASE!C:Q,10,false)*G1979)</f>
        <v>#N/A</v>
      </c>
      <c r="L1979" s="74" t="str">
        <f>VLOOKUP(F1979,DATABASE!C:Q,7,FALSE)</f>
        <v>#N/A</v>
      </c>
      <c r="M1979" s="74"/>
      <c r="N1979" s="74">
        <f t="shared" si="11"/>
        <v>0</v>
      </c>
      <c r="O1979" s="74">
        <f t="shared" si="13"/>
        <v>0</v>
      </c>
      <c r="P1979" s="63">
        <f t="shared" si="14"/>
        <v>0</v>
      </c>
      <c r="Q1979" s="63" t="str">
        <f t="shared" si="15"/>
        <v>#N/A</v>
      </c>
      <c r="R1979" s="93" t="str">
        <f>VLOOKUP(F1979,DATABASE!C:Q,4,false)</f>
        <v>#N/A</v>
      </c>
      <c r="S1979" s="93" t="str">
        <f>VLOOKUP(F1979,DATABASE!C:P,11,false)</f>
        <v>#N/A</v>
      </c>
      <c r="T1979" s="93" t="str">
        <f>vlookup(F1979,DATABASE!C:Q,8,false)</f>
        <v>#N/A</v>
      </c>
      <c r="Z1979" s="9"/>
    </row>
    <row r="1980" ht="22.5" customHeight="1">
      <c r="A1980" s="49"/>
      <c r="C1980" s="384"/>
      <c r="D1980" s="93"/>
      <c r="F1980" s="74"/>
      <c r="H1980" s="74"/>
      <c r="I1980" s="74"/>
      <c r="J1980" s="74"/>
      <c r="K1980" s="74" t="str">
        <f>if(F1980="SERVICE",O1980-(O1980*50%),Vlookup(F1980,DATABASE!C:Q,10,false)*G1980)</f>
        <v>#N/A</v>
      </c>
      <c r="L1980" s="74" t="str">
        <f>VLOOKUP(F1980,DATABASE!C:Q,7,FALSE)</f>
        <v>#N/A</v>
      </c>
      <c r="M1980" s="74"/>
      <c r="N1980" s="74">
        <f t="shared" si="11"/>
        <v>0</v>
      </c>
      <c r="O1980" s="74">
        <f t="shared" si="13"/>
        <v>0</v>
      </c>
      <c r="P1980" s="63">
        <f t="shared" si="14"/>
        <v>0</v>
      </c>
      <c r="Q1980" s="63" t="str">
        <f t="shared" si="15"/>
        <v>#N/A</v>
      </c>
      <c r="R1980" s="93" t="str">
        <f>VLOOKUP(F1980,DATABASE!C:Q,4,false)</f>
        <v>#N/A</v>
      </c>
      <c r="S1980" s="93" t="str">
        <f>VLOOKUP(F1980,DATABASE!C:P,11,false)</f>
        <v>#N/A</v>
      </c>
      <c r="T1980" s="93" t="str">
        <f>vlookup(F1980,DATABASE!C:Q,8,false)</f>
        <v>#N/A</v>
      </c>
      <c r="Z1980" s="9"/>
    </row>
    <row r="1981" ht="22.5" customHeight="1">
      <c r="A1981" s="49"/>
      <c r="C1981" s="384"/>
      <c r="D1981" s="93"/>
      <c r="F1981" s="74"/>
      <c r="H1981" s="74"/>
      <c r="I1981" s="74"/>
      <c r="J1981" s="74"/>
      <c r="K1981" s="74" t="str">
        <f>if(F1981="SERVICE",O1981-(O1981*50%),Vlookup(F1981,DATABASE!C:Q,10,false)*G1981)</f>
        <v>#N/A</v>
      </c>
      <c r="L1981" s="74" t="str">
        <f>VLOOKUP(F1981,DATABASE!C:Q,7,FALSE)</f>
        <v>#N/A</v>
      </c>
      <c r="M1981" s="74"/>
      <c r="N1981" s="74">
        <f t="shared" si="11"/>
        <v>0</v>
      </c>
      <c r="O1981" s="74">
        <f t="shared" si="13"/>
        <v>0</v>
      </c>
      <c r="P1981" s="63">
        <f t="shared" si="14"/>
        <v>0</v>
      </c>
      <c r="Q1981" s="63" t="str">
        <f t="shared" si="15"/>
        <v>#N/A</v>
      </c>
      <c r="R1981" s="93" t="str">
        <f>VLOOKUP(F1981,DATABASE!C:Q,4,false)</f>
        <v>#N/A</v>
      </c>
      <c r="S1981" s="93" t="str">
        <f>VLOOKUP(F1981,DATABASE!C:P,11,false)</f>
        <v>#N/A</v>
      </c>
      <c r="T1981" s="93" t="str">
        <f>vlookup(F1981,DATABASE!C:Q,8,false)</f>
        <v>#N/A</v>
      </c>
      <c r="Z1981" s="9"/>
    </row>
    <row r="1982" ht="22.5" customHeight="1">
      <c r="A1982" s="49"/>
      <c r="C1982" s="384"/>
      <c r="D1982" s="93"/>
      <c r="F1982" s="74"/>
      <c r="H1982" s="74"/>
      <c r="I1982" s="74"/>
      <c r="J1982" s="74"/>
      <c r="K1982" s="74" t="str">
        <f>if(F1982="SERVICE",O1982-(O1982*50%),Vlookup(F1982,DATABASE!C:Q,10,false)*G1982)</f>
        <v>#N/A</v>
      </c>
      <c r="L1982" s="74" t="str">
        <f>VLOOKUP(F1982,DATABASE!C:Q,7,FALSE)</f>
        <v>#N/A</v>
      </c>
      <c r="M1982" s="74"/>
      <c r="N1982" s="74">
        <f t="shared" si="11"/>
        <v>0</v>
      </c>
      <c r="O1982" s="74">
        <f t="shared" si="13"/>
        <v>0</v>
      </c>
      <c r="P1982" s="63">
        <f t="shared" si="14"/>
        <v>0</v>
      </c>
      <c r="Q1982" s="63" t="str">
        <f t="shared" si="15"/>
        <v>#N/A</v>
      </c>
      <c r="R1982" s="93" t="str">
        <f>VLOOKUP(F1982,DATABASE!C:Q,4,false)</f>
        <v>#N/A</v>
      </c>
      <c r="S1982" s="93" t="str">
        <f>VLOOKUP(F1982,DATABASE!C:P,11,false)</f>
        <v>#N/A</v>
      </c>
      <c r="T1982" s="93" t="str">
        <f>vlookup(F1982,DATABASE!C:Q,8,false)</f>
        <v>#N/A</v>
      </c>
      <c r="Z1982" s="9"/>
    </row>
    <row r="1983" ht="22.5" customHeight="1">
      <c r="A1983" s="49"/>
      <c r="C1983" s="384"/>
      <c r="D1983" s="93"/>
      <c r="F1983" s="74"/>
      <c r="H1983" s="74"/>
      <c r="I1983" s="74"/>
      <c r="J1983" s="74"/>
      <c r="K1983" s="74" t="str">
        <f>if(F1983="SERVICE",O1983-(O1983*50%),Vlookup(F1983,DATABASE!C:Q,10,false)*G1983)</f>
        <v>#N/A</v>
      </c>
      <c r="L1983" s="74" t="str">
        <f>VLOOKUP(F1983,DATABASE!C:Q,7,FALSE)</f>
        <v>#N/A</v>
      </c>
      <c r="M1983" s="74"/>
      <c r="N1983" s="74">
        <f t="shared" si="11"/>
        <v>0</v>
      </c>
      <c r="O1983" s="74">
        <f t="shared" si="13"/>
        <v>0</v>
      </c>
      <c r="P1983" s="63">
        <f t="shared" si="14"/>
        <v>0</v>
      </c>
      <c r="Q1983" s="63" t="str">
        <f t="shared" si="15"/>
        <v>#N/A</v>
      </c>
      <c r="R1983" s="93" t="str">
        <f>VLOOKUP(F1983,DATABASE!C:Q,4,false)</f>
        <v>#N/A</v>
      </c>
      <c r="S1983" s="93" t="str">
        <f>VLOOKUP(F1983,DATABASE!C:P,11,false)</f>
        <v>#N/A</v>
      </c>
      <c r="T1983" s="93" t="str">
        <f>vlookup(F1983,DATABASE!C:Q,8,false)</f>
        <v>#N/A</v>
      </c>
      <c r="Z1983" s="9"/>
    </row>
    <row r="1984" ht="22.5" customHeight="1">
      <c r="A1984" s="49"/>
      <c r="C1984" s="384"/>
      <c r="D1984" s="93"/>
      <c r="F1984" s="74"/>
      <c r="H1984" s="74"/>
      <c r="I1984" s="74"/>
      <c r="J1984" s="74"/>
      <c r="K1984" s="74" t="str">
        <f>if(F1984="SERVICE",O1984-(O1984*50%),Vlookup(F1984,DATABASE!C:Q,10,false)*G1984)</f>
        <v>#N/A</v>
      </c>
      <c r="L1984" s="74" t="str">
        <f>VLOOKUP(F1984,DATABASE!C:Q,7,FALSE)</f>
        <v>#N/A</v>
      </c>
      <c r="M1984" s="74"/>
      <c r="N1984" s="74">
        <f t="shared" si="11"/>
        <v>0</v>
      </c>
      <c r="O1984" s="74">
        <f t="shared" si="13"/>
        <v>0</v>
      </c>
      <c r="P1984" s="63">
        <f t="shared" si="14"/>
        <v>0</v>
      </c>
      <c r="Q1984" s="63" t="str">
        <f t="shared" si="15"/>
        <v>#N/A</v>
      </c>
      <c r="R1984" s="93" t="str">
        <f>VLOOKUP(F1984,DATABASE!C:Q,4,false)</f>
        <v>#N/A</v>
      </c>
      <c r="S1984" s="93" t="str">
        <f>VLOOKUP(F1984,DATABASE!C:P,11,false)</f>
        <v>#N/A</v>
      </c>
      <c r="T1984" s="93" t="str">
        <f>vlookup(F1984,DATABASE!C:Q,8,false)</f>
        <v>#N/A</v>
      </c>
      <c r="Z1984" s="9"/>
    </row>
    <row r="1985" ht="22.5" customHeight="1">
      <c r="A1985" s="49"/>
      <c r="C1985" s="384"/>
      <c r="D1985" s="93"/>
      <c r="F1985" s="74"/>
      <c r="H1985" s="74"/>
      <c r="I1985" s="74"/>
      <c r="J1985" s="74"/>
      <c r="K1985" s="74" t="str">
        <f>if(F1985="SERVICE",O1985-(O1985*50%),Vlookup(F1985,DATABASE!C:Q,10,false)*G1985)</f>
        <v>#N/A</v>
      </c>
      <c r="L1985" s="74" t="str">
        <f>VLOOKUP(F1985,DATABASE!C:Q,7,FALSE)</f>
        <v>#N/A</v>
      </c>
      <c r="M1985" s="74"/>
      <c r="N1985" s="74">
        <f t="shared" si="11"/>
        <v>0</v>
      </c>
      <c r="O1985" s="74">
        <f t="shared" si="13"/>
        <v>0</v>
      </c>
      <c r="P1985" s="63">
        <f t="shared" si="14"/>
        <v>0</v>
      </c>
      <c r="Q1985" s="63" t="str">
        <f t="shared" si="15"/>
        <v>#N/A</v>
      </c>
      <c r="R1985" s="93" t="str">
        <f>VLOOKUP(F1985,DATABASE!C:Q,4,false)</f>
        <v>#N/A</v>
      </c>
      <c r="S1985" s="93" t="str">
        <f>VLOOKUP(F1985,DATABASE!C:P,11,false)</f>
        <v>#N/A</v>
      </c>
      <c r="T1985" s="93" t="str">
        <f>vlookup(F1985,DATABASE!C:Q,8,false)</f>
        <v>#N/A</v>
      </c>
      <c r="Z1985" s="9"/>
    </row>
    <row r="1986" ht="22.5" customHeight="1">
      <c r="A1986" s="49"/>
      <c r="C1986" s="384"/>
      <c r="D1986" s="93"/>
      <c r="F1986" s="74"/>
      <c r="H1986" s="74"/>
      <c r="I1986" s="74"/>
      <c r="J1986" s="74"/>
      <c r="K1986" s="74" t="str">
        <f>if(F1986="SERVICE",O1986-(O1986*50%),Vlookup(F1986,DATABASE!C:Q,10,false)*G1986)</f>
        <v>#N/A</v>
      </c>
      <c r="L1986" s="74" t="str">
        <f>VLOOKUP(F1986,DATABASE!C:Q,7,FALSE)</f>
        <v>#N/A</v>
      </c>
      <c r="M1986" s="74"/>
      <c r="N1986" s="74">
        <f t="shared" si="11"/>
        <v>0</v>
      </c>
      <c r="O1986" s="74">
        <f t="shared" si="13"/>
        <v>0</v>
      </c>
      <c r="P1986" s="63">
        <f t="shared" si="14"/>
        <v>0</v>
      </c>
      <c r="Q1986" s="63" t="str">
        <f t="shared" si="15"/>
        <v>#N/A</v>
      </c>
      <c r="R1986" s="93" t="str">
        <f>VLOOKUP(F1986,DATABASE!C:Q,4,false)</f>
        <v>#N/A</v>
      </c>
      <c r="S1986" s="93" t="str">
        <f>VLOOKUP(F1986,DATABASE!C:P,11,false)</f>
        <v>#N/A</v>
      </c>
      <c r="T1986" s="93" t="str">
        <f>vlookup(F1986,DATABASE!C:Q,8,false)</f>
        <v>#N/A</v>
      </c>
      <c r="Z1986" s="9"/>
    </row>
    <row r="1987" ht="22.5" customHeight="1">
      <c r="A1987" s="49"/>
      <c r="C1987" s="384"/>
      <c r="D1987" s="93"/>
      <c r="F1987" s="74"/>
      <c r="H1987" s="74"/>
      <c r="I1987" s="74"/>
      <c r="J1987" s="74"/>
      <c r="K1987" s="74" t="str">
        <f>if(F1987="SERVICE",O1987-(O1987*50%),Vlookup(F1987,DATABASE!C:Q,10,false)*G1987)</f>
        <v>#N/A</v>
      </c>
      <c r="L1987" s="74" t="str">
        <f>VLOOKUP(F1987,DATABASE!C:Q,7,FALSE)</f>
        <v>#N/A</v>
      </c>
      <c r="M1987" s="74"/>
      <c r="N1987" s="74">
        <f t="shared" si="11"/>
        <v>0</v>
      </c>
      <c r="O1987" s="74">
        <f t="shared" si="13"/>
        <v>0</v>
      </c>
      <c r="P1987" s="63">
        <f t="shared" si="14"/>
        <v>0</v>
      </c>
      <c r="Q1987" s="63" t="str">
        <f t="shared" si="15"/>
        <v>#N/A</v>
      </c>
      <c r="R1987" s="93" t="str">
        <f>VLOOKUP(F1987,DATABASE!C:Q,4,false)</f>
        <v>#N/A</v>
      </c>
      <c r="S1987" s="93" t="str">
        <f>VLOOKUP(F1987,DATABASE!C:P,11,false)</f>
        <v>#N/A</v>
      </c>
      <c r="T1987" s="93" t="str">
        <f>vlookup(F1987,DATABASE!C:Q,8,false)</f>
        <v>#N/A</v>
      </c>
      <c r="Z1987" s="9"/>
    </row>
    <row r="1988" ht="22.5" customHeight="1">
      <c r="A1988" s="49"/>
      <c r="C1988" s="384"/>
      <c r="D1988" s="93"/>
      <c r="F1988" s="74"/>
      <c r="H1988" s="74"/>
      <c r="I1988" s="74"/>
      <c r="J1988" s="74"/>
      <c r="K1988" s="74" t="str">
        <f>if(F1988="SERVICE",O1988-(O1988*50%),Vlookup(F1988,DATABASE!C:Q,10,false)*G1988)</f>
        <v>#N/A</v>
      </c>
      <c r="L1988" s="74" t="str">
        <f>VLOOKUP(F1988,DATABASE!C:Q,7,FALSE)</f>
        <v>#N/A</v>
      </c>
      <c r="M1988" s="74"/>
      <c r="N1988" s="74">
        <f t="shared" si="11"/>
        <v>0</v>
      </c>
      <c r="O1988" s="74">
        <f t="shared" si="13"/>
        <v>0</v>
      </c>
      <c r="P1988" s="63">
        <f t="shared" si="14"/>
        <v>0</v>
      </c>
      <c r="Q1988" s="63" t="str">
        <f t="shared" si="15"/>
        <v>#N/A</v>
      </c>
      <c r="R1988" s="93" t="str">
        <f>VLOOKUP(F1988,DATABASE!C:Q,4,false)</f>
        <v>#N/A</v>
      </c>
      <c r="S1988" s="93" t="str">
        <f>VLOOKUP(F1988,DATABASE!C:P,11,false)</f>
        <v>#N/A</v>
      </c>
      <c r="T1988" s="93" t="str">
        <f>vlookup(F1988,DATABASE!C:Q,8,false)</f>
        <v>#N/A</v>
      </c>
      <c r="Z1988" s="9"/>
    </row>
    <row r="1989" ht="22.5" customHeight="1">
      <c r="A1989" s="49"/>
      <c r="C1989" s="384"/>
      <c r="D1989" s="93"/>
      <c r="F1989" s="74"/>
      <c r="H1989" s="74"/>
      <c r="I1989" s="74"/>
      <c r="J1989" s="74"/>
      <c r="K1989" s="74" t="str">
        <f>if(F1989="SERVICE",O1989-(O1989*50%),Vlookup(F1989,DATABASE!C:Q,10,false)*G1989)</f>
        <v>#N/A</v>
      </c>
      <c r="L1989" s="74" t="str">
        <f>VLOOKUP(F1989,DATABASE!C:Q,7,FALSE)</f>
        <v>#N/A</v>
      </c>
      <c r="M1989" s="74"/>
      <c r="N1989" s="74">
        <f t="shared" si="11"/>
        <v>0</v>
      </c>
      <c r="O1989" s="74">
        <f t="shared" si="13"/>
        <v>0</v>
      </c>
      <c r="P1989" s="63">
        <f t="shared" si="14"/>
        <v>0</v>
      </c>
      <c r="Q1989" s="63" t="str">
        <f t="shared" si="15"/>
        <v>#N/A</v>
      </c>
      <c r="R1989" s="93" t="str">
        <f>VLOOKUP(F1989,DATABASE!C:Q,4,false)</f>
        <v>#N/A</v>
      </c>
      <c r="S1989" s="93" t="str">
        <f>VLOOKUP(F1989,DATABASE!C:P,11,false)</f>
        <v>#N/A</v>
      </c>
      <c r="T1989" s="93" t="str">
        <f>vlookup(F1989,DATABASE!C:Q,8,false)</f>
        <v>#N/A</v>
      </c>
      <c r="Z1989" s="9"/>
    </row>
    <row r="1990" ht="22.5" customHeight="1">
      <c r="A1990" s="49"/>
      <c r="C1990" s="384"/>
      <c r="D1990" s="93"/>
      <c r="F1990" s="74"/>
      <c r="H1990" s="74"/>
      <c r="I1990" s="74"/>
      <c r="J1990" s="74"/>
      <c r="K1990" s="74" t="str">
        <f>if(F1990="SERVICE",O1990-(O1990*50%),Vlookup(F1990,DATABASE!C:Q,10,false)*G1990)</f>
        <v>#N/A</v>
      </c>
      <c r="L1990" s="74" t="str">
        <f>VLOOKUP(F1990,DATABASE!C:Q,7,FALSE)</f>
        <v>#N/A</v>
      </c>
      <c r="M1990" s="74"/>
      <c r="N1990" s="74">
        <f t="shared" si="11"/>
        <v>0</v>
      </c>
      <c r="O1990" s="74">
        <f t="shared" si="13"/>
        <v>0</v>
      </c>
      <c r="P1990" s="63">
        <f t="shared" si="14"/>
        <v>0</v>
      </c>
      <c r="Q1990" s="63" t="str">
        <f t="shared" si="15"/>
        <v>#N/A</v>
      </c>
      <c r="R1990" s="93" t="str">
        <f>VLOOKUP(F1990,DATABASE!C:Q,4,false)</f>
        <v>#N/A</v>
      </c>
      <c r="S1990" s="93" t="str">
        <f>VLOOKUP(F1990,DATABASE!C:P,11,false)</f>
        <v>#N/A</v>
      </c>
      <c r="T1990" s="93" t="str">
        <f>vlookup(F1990,DATABASE!C:Q,8,false)</f>
        <v>#N/A</v>
      </c>
      <c r="Z1990" s="9"/>
    </row>
    <row r="1991" ht="22.5" customHeight="1">
      <c r="A1991" s="49"/>
      <c r="C1991" s="384"/>
      <c r="D1991" s="93"/>
      <c r="F1991" s="74"/>
      <c r="H1991" s="74"/>
      <c r="I1991" s="74"/>
      <c r="J1991" s="74"/>
      <c r="K1991" s="74" t="str">
        <f>if(F1991="SERVICE",O1991-(O1991*50%),Vlookup(F1991,DATABASE!C:Q,10,false)*G1991)</f>
        <v>#N/A</v>
      </c>
      <c r="L1991" s="74" t="str">
        <f>VLOOKUP(F1991,DATABASE!C:Q,7,FALSE)</f>
        <v>#N/A</v>
      </c>
      <c r="M1991" s="74"/>
      <c r="N1991" s="74">
        <f t="shared" si="11"/>
        <v>0</v>
      </c>
      <c r="O1991" s="74">
        <f t="shared" si="13"/>
        <v>0</v>
      </c>
      <c r="P1991" s="63">
        <f t="shared" si="14"/>
        <v>0</v>
      </c>
      <c r="Q1991" s="63" t="str">
        <f t="shared" si="15"/>
        <v>#N/A</v>
      </c>
      <c r="R1991" s="93" t="str">
        <f>VLOOKUP(F1991,DATABASE!C:Q,4,false)</f>
        <v>#N/A</v>
      </c>
      <c r="S1991" s="93" t="str">
        <f>VLOOKUP(F1991,DATABASE!C:P,11,false)</f>
        <v>#N/A</v>
      </c>
      <c r="T1991" s="93" t="str">
        <f>vlookup(F1991,DATABASE!C:Q,8,false)</f>
        <v>#N/A</v>
      </c>
      <c r="Z1991" s="9"/>
    </row>
    <row r="1992" ht="22.5" customHeight="1">
      <c r="A1992" s="49"/>
      <c r="C1992" s="384"/>
      <c r="D1992" s="93"/>
      <c r="F1992" s="74"/>
      <c r="H1992" s="74"/>
      <c r="I1992" s="74"/>
      <c r="J1992" s="74"/>
      <c r="K1992" s="74" t="str">
        <f>if(F1992="SERVICE",O1992-(O1992*50%),Vlookup(F1992,DATABASE!C:Q,10,false)*G1992)</f>
        <v>#N/A</v>
      </c>
      <c r="L1992" s="74" t="str">
        <f>VLOOKUP(F1992,DATABASE!C:Q,7,FALSE)</f>
        <v>#N/A</v>
      </c>
      <c r="M1992" s="74"/>
      <c r="N1992" s="74">
        <f t="shared" si="11"/>
        <v>0</v>
      </c>
      <c r="O1992" s="74">
        <f t="shared" si="13"/>
        <v>0</v>
      </c>
      <c r="P1992" s="63">
        <f t="shared" si="14"/>
        <v>0</v>
      </c>
      <c r="Q1992" s="63" t="str">
        <f t="shared" si="15"/>
        <v>#N/A</v>
      </c>
      <c r="R1992" s="93" t="str">
        <f>VLOOKUP(F1992,DATABASE!C:Q,4,false)</f>
        <v>#N/A</v>
      </c>
      <c r="S1992" s="93" t="str">
        <f>VLOOKUP(F1992,DATABASE!C:P,11,false)</f>
        <v>#N/A</v>
      </c>
      <c r="T1992" s="93" t="str">
        <f>vlookup(F1992,DATABASE!C:Q,8,false)</f>
        <v>#N/A</v>
      </c>
      <c r="Z1992" s="9"/>
    </row>
    <row r="1993" ht="22.5" customHeight="1">
      <c r="A1993" s="49"/>
      <c r="C1993" s="384"/>
      <c r="D1993" s="93"/>
      <c r="F1993" s="74"/>
      <c r="H1993" s="74"/>
      <c r="I1993" s="74"/>
      <c r="J1993" s="74"/>
      <c r="K1993" s="74" t="str">
        <f>if(F1993="SERVICE",O1993-(O1993*50%),Vlookup(F1993,DATABASE!C:Q,10,false)*G1993)</f>
        <v>#N/A</v>
      </c>
      <c r="L1993" s="74" t="str">
        <f>VLOOKUP(F1993,DATABASE!C:Q,7,FALSE)</f>
        <v>#N/A</v>
      </c>
      <c r="M1993" s="74"/>
      <c r="N1993" s="74">
        <f t="shared" si="11"/>
        <v>0</v>
      </c>
      <c r="O1993" s="74">
        <f t="shared" si="13"/>
        <v>0</v>
      </c>
      <c r="P1993" s="63">
        <f t="shared" si="14"/>
        <v>0</v>
      </c>
      <c r="Q1993" s="63" t="str">
        <f t="shared" si="15"/>
        <v>#N/A</v>
      </c>
      <c r="R1993" s="93" t="str">
        <f>VLOOKUP(F1993,DATABASE!C:Q,4,false)</f>
        <v>#N/A</v>
      </c>
      <c r="S1993" s="93" t="str">
        <f>VLOOKUP(F1993,DATABASE!C:P,11,false)</f>
        <v>#N/A</v>
      </c>
      <c r="T1993" s="93" t="str">
        <f>vlookup(F1993,DATABASE!C:Q,8,false)</f>
        <v>#N/A</v>
      </c>
      <c r="Z1993" s="9"/>
    </row>
    <row r="1994" ht="22.5" customHeight="1">
      <c r="A1994" s="49"/>
      <c r="C1994" s="384"/>
      <c r="D1994" s="93"/>
      <c r="F1994" s="74"/>
      <c r="H1994" s="74"/>
      <c r="I1994" s="74"/>
      <c r="J1994" s="74"/>
      <c r="K1994" s="74" t="str">
        <f>if(F1994="SERVICE",O1994-(O1994*50%),Vlookup(F1994,DATABASE!C:Q,10,false)*G1994)</f>
        <v>#N/A</v>
      </c>
      <c r="L1994" s="74" t="str">
        <f>VLOOKUP(F1994,DATABASE!C:Q,7,FALSE)</f>
        <v>#N/A</v>
      </c>
      <c r="M1994" s="74"/>
      <c r="N1994" s="74">
        <f t="shared" si="11"/>
        <v>0</v>
      </c>
      <c r="O1994" s="74">
        <f t="shared" si="13"/>
        <v>0</v>
      </c>
      <c r="P1994" s="63">
        <f t="shared" si="14"/>
        <v>0</v>
      </c>
      <c r="Q1994" s="63" t="str">
        <f t="shared" si="15"/>
        <v>#N/A</v>
      </c>
      <c r="R1994" s="93" t="str">
        <f>VLOOKUP(F1994,DATABASE!C:Q,4,false)</f>
        <v>#N/A</v>
      </c>
      <c r="S1994" s="93" t="str">
        <f>VLOOKUP(F1994,DATABASE!C:P,11,false)</f>
        <v>#N/A</v>
      </c>
      <c r="T1994" s="93" t="str">
        <f>vlookup(F1994,DATABASE!C:Q,8,false)</f>
        <v>#N/A</v>
      </c>
      <c r="Z1994" s="9"/>
    </row>
    <row r="1995" ht="22.5" customHeight="1">
      <c r="A1995" s="49"/>
      <c r="C1995" s="384"/>
      <c r="D1995" s="93"/>
      <c r="F1995" s="74"/>
      <c r="H1995" s="74"/>
      <c r="I1995" s="74"/>
      <c r="J1995" s="74"/>
      <c r="K1995" s="74" t="str">
        <f>if(F1995="SERVICE",O1995-(O1995*50%),Vlookup(F1995,DATABASE!C:Q,10,false)*G1995)</f>
        <v>#N/A</v>
      </c>
      <c r="L1995" s="74" t="str">
        <f>VLOOKUP(F1995,DATABASE!C:Q,7,FALSE)</f>
        <v>#N/A</v>
      </c>
      <c r="M1995" s="74"/>
      <c r="N1995" s="74">
        <f t="shared" si="11"/>
        <v>0</v>
      </c>
      <c r="O1995" s="74">
        <f t="shared" si="13"/>
        <v>0</v>
      </c>
      <c r="P1995" s="63">
        <f t="shared" si="14"/>
        <v>0</v>
      </c>
      <c r="Q1995" s="63" t="str">
        <f t="shared" si="15"/>
        <v>#N/A</v>
      </c>
      <c r="R1995" s="93" t="str">
        <f>VLOOKUP(F1995,DATABASE!C:Q,4,false)</f>
        <v>#N/A</v>
      </c>
      <c r="S1995" s="93" t="str">
        <f>VLOOKUP(F1995,DATABASE!C:P,11,false)</f>
        <v>#N/A</v>
      </c>
      <c r="T1995" s="93" t="str">
        <f>vlookup(F1995,DATABASE!C:Q,8,false)</f>
        <v>#N/A</v>
      </c>
      <c r="Z1995" s="9"/>
    </row>
    <row r="1996" ht="22.5" customHeight="1">
      <c r="A1996" s="49"/>
      <c r="C1996" s="384"/>
      <c r="D1996" s="93"/>
      <c r="F1996" s="74"/>
      <c r="H1996" s="74"/>
      <c r="I1996" s="74"/>
      <c r="J1996" s="74"/>
      <c r="K1996" s="74" t="str">
        <f>if(F1996="SERVICE",O1996-(O1996*50%),Vlookup(F1996,DATABASE!C:Q,10,false)*G1996)</f>
        <v>#N/A</v>
      </c>
      <c r="L1996" s="74" t="str">
        <f>VLOOKUP(F1996,DATABASE!C:Q,7,FALSE)</f>
        <v>#N/A</v>
      </c>
      <c r="M1996" s="74"/>
      <c r="N1996" s="74">
        <f t="shared" si="11"/>
        <v>0</v>
      </c>
      <c r="O1996" s="74">
        <f t="shared" si="13"/>
        <v>0</v>
      </c>
      <c r="P1996" s="63">
        <f t="shared" si="14"/>
        <v>0</v>
      </c>
      <c r="Q1996" s="63" t="str">
        <f t="shared" si="15"/>
        <v>#N/A</v>
      </c>
      <c r="R1996" s="93" t="str">
        <f>VLOOKUP(F1996,DATABASE!C:Q,4,false)</f>
        <v>#N/A</v>
      </c>
      <c r="S1996" s="93" t="str">
        <f>VLOOKUP(F1996,DATABASE!C:P,11,false)</f>
        <v>#N/A</v>
      </c>
      <c r="T1996" s="93" t="str">
        <f>vlookup(F1996,DATABASE!C:Q,8,false)</f>
        <v>#N/A</v>
      </c>
      <c r="Z1996" s="9"/>
    </row>
    <row r="1997" ht="22.5" customHeight="1">
      <c r="A1997" s="49"/>
      <c r="C1997" s="384"/>
      <c r="D1997" s="93"/>
      <c r="F1997" s="74"/>
      <c r="H1997" s="74"/>
      <c r="I1997" s="74"/>
      <c r="J1997" s="74"/>
      <c r="K1997" s="74" t="str">
        <f>if(F1997="SERVICE",O1997-(O1997*50%),Vlookup(F1997,DATABASE!C:Q,10,false)*G1997)</f>
        <v>#N/A</v>
      </c>
      <c r="L1997" s="74" t="str">
        <f>VLOOKUP(F1997,DATABASE!C:Q,7,FALSE)</f>
        <v>#N/A</v>
      </c>
      <c r="M1997" s="74"/>
      <c r="N1997" s="74">
        <f t="shared" si="11"/>
        <v>0</v>
      </c>
      <c r="O1997" s="74">
        <f t="shared" si="13"/>
        <v>0</v>
      </c>
      <c r="P1997" s="63">
        <f t="shared" si="14"/>
        <v>0</v>
      </c>
      <c r="Q1997" s="63" t="str">
        <f t="shared" si="15"/>
        <v>#N/A</v>
      </c>
      <c r="R1997" s="93" t="str">
        <f>VLOOKUP(F1997,DATABASE!C:Q,4,false)</f>
        <v>#N/A</v>
      </c>
      <c r="S1997" s="93" t="str">
        <f>VLOOKUP(F1997,DATABASE!C:P,11,false)</f>
        <v>#N/A</v>
      </c>
      <c r="T1997" s="93" t="str">
        <f>vlookup(F1997,DATABASE!C:Q,8,false)</f>
        <v>#N/A</v>
      </c>
      <c r="Z1997" s="9"/>
    </row>
    <row r="1998" ht="22.5" customHeight="1">
      <c r="A1998" s="49"/>
      <c r="C1998" s="384"/>
      <c r="D1998" s="93"/>
      <c r="F1998" s="74"/>
      <c r="H1998" s="74"/>
      <c r="I1998" s="74"/>
      <c r="J1998" s="74"/>
      <c r="K1998" s="74" t="str">
        <f>if(F1998="SERVICE",O1998-(O1998*50%),Vlookup(F1998,DATABASE!C:Q,10,false)*G1998)</f>
        <v>#N/A</v>
      </c>
      <c r="L1998" s="74" t="str">
        <f>VLOOKUP(F1998,DATABASE!C:Q,7,FALSE)</f>
        <v>#N/A</v>
      </c>
      <c r="M1998" s="74"/>
      <c r="N1998" s="74">
        <f t="shared" si="11"/>
        <v>0</v>
      </c>
      <c r="O1998" s="74">
        <f t="shared" si="13"/>
        <v>0</v>
      </c>
      <c r="P1998" s="63">
        <f t="shared" si="14"/>
        <v>0</v>
      </c>
      <c r="Q1998" s="63" t="str">
        <f t="shared" si="15"/>
        <v>#N/A</v>
      </c>
      <c r="R1998" s="93" t="str">
        <f>VLOOKUP(F1998,DATABASE!C:Q,4,false)</f>
        <v>#N/A</v>
      </c>
      <c r="S1998" s="93" t="str">
        <f>VLOOKUP(F1998,DATABASE!C:P,11,false)</f>
        <v>#N/A</v>
      </c>
      <c r="T1998" s="93" t="str">
        <f>vlookup(F1998,DATABASE!C:Q,8,false)</f>
        <v>#N/A</v>
      </c>
      <c r="Z1998" s="9"/>
    </row>
    <row r="1999" ht="22.5" customHeight="1">
      <c r="A1999" s="49"/>
      <c r="C1999" s="384"/>
      <c r="D1999" s="93"/>
      <c r="F1999" s="74"/>
      <c r="H1999" s="74"/>
      <c r="I1999" s="74"/>
      <c r="J1999" s="74"/>
      <c r="K1999" s="74" t="str">
        <f>if(F1999="SERVICE",O1999-(O1999*50%),Vlookup(F1999,DATABASE!C:Q,10,false)*G1999)</f>
        <v>#N/A</v>
      </c>
      <c r="L1999" s="74" t="str">
        <f>VLOOKUP(F1999,DATABASE!C:Q,7,FALSE)</f>
        <v>#N/A</v>
      </c>
      <c r="M1999" s="74"/>
      <c r="N1999" s="74">
        <f t="shared" si="11"/>
        <v>0</v>
      </c>
      <c r="O1999" s="74">
        <f t="shared" si="13"/>
        <v>0</v>
      </c>
      <c r="P1999" s="63">
        <f t="shared" si="14"/>
        <v>0</v>
      </c>
      <c r="Q1999" s="63" t="str">
        <f t="shared" si="15"/>
        <v>#N/A</v>
      </c>
      <c r="R1999" s="93" t="str">
        <f>VLOOKUP(F1999,DATABASE!C:Q,4,false)</f>
        <v>#N/A</v>
      </c>
      <c r="S1999" s="93" t="str">
        <f>VLOOKUP(F1999,DATABASE!C:P,11,false)</f>
        <v>#N/A</v>
      </c>
      <c r="T1999" s="93" t="str">
        <f>vlookup(F1999,DATABASE!C:Q,8,false)</f>
        <v>#N/A</v>
      </c>
      <c r="Z1999" s="9"/>
    </row>
    <row r="2000" ht="22.5" customHeight="1">
      <c r="A2000" s="49"/>
      <c r="C2000" s="384"/>
      <c r="D2000" s="93"/>
      <c r="F2000" s="74"/>
      <c r="H2000" s="74"/>
      <c r="I2000" s="74"/>
      <c r="J2000" s="74"/>
      <c r="K2000" s="74" t="str">
        <f>if(F2000="SERVICE",O2000-(O2000*50%),Vlookup(F2000,DATABASE!C:Q,10,false)*G2000)</f>
        <v>#N/A</v>
      </c>
      <c r="L2000" s="74" t="str">
        <f>VLOOKUP(F2000,DATABASE!C:Q,7,FALSE)</f>
        <v>#N/A</v>
      </c>
      <c r="M2000" s="74"/>
      <c r="N2000" s="74">
        <f t="shared" si="11"/>
        <v>0</v>
      </c>
      <c r="O2000" s="74">
        <f t="shared" si="13"/>
        <v>0</v>
      </c>
      <c r="P2000" s="63">
        <f t="shared" si="14"/>
        <v>0</v>
      </c>
      <c r="Q2000" s="63" t="str">
        <f t="shared" si="15"/>
        <v>#N/A</v>
      </c>
      <c r="R2000" s="93" t="str">
        <f>VLOOKUP(F2000,DATABASE!C:Q,4,false)</f>
        <v>#N/A</v>
      </c>
      <c r="S2000" s="93" t="str">
        <f>VLOOKUP(F2000,DATABASE!C:P,11,false)</f>
        <v>#N/A</v>
      </c>
      <c r="T2000" s="93" t="str">
        <f>vlookup(F2000,DATABASE!C:Q,8,false)</f>
        <v>#N/A</v>
      </c>
      <c r="Z2000" s="9"/>
    </row>
    <row r="2001" ht="22.5" customHeight="1">
      <c r="A2001" s="49"/>
      <c r="C2001" s="384"/>
      <c r="D2001" s="93"/>
      <c r="F2001" s="74"/>
      <c r="H2001" s="74"/>
      <c r="I2001" s="74"/>
      <c r="J2001" s="74"/>
      <c r="K2001" s="74" t="str">
        <f>if(F2001="SERVICE",O2001-(O2001*50%),Vlookup(F2001,DATABASE!C:Q,10,false)*G2001)</f>
        <v>#N/A</v>
      </c>
      <c r="L2001" s="74" t="str">
        <f>VLOOKUP(F2001,DATABASE!C:Q,7,FALSE)</f>
        <v>#N/A</v>
      </c>
      <c r="M2001" s="74"/>
      <c r="N2001" s="74">
        <f t="shared" si="11"/>
        <v>0</v>
      </c>
      <c r="O2001" s="74">
        <f t="shared" si="13"/>
        <v>0</v>
      </c>
      <c r="P2001" s="63">
        <f t="shared" si="14"/>
        <v>0</v>
      </c>
      <c r="Q2001" s="63" t="str">
        <f t="shared" si="15"/>
        <v>#N/A</v>
      </c>
      <c r="R2001" s="93" t="str">
        <f>VLOOKUP(F2001,DATABASE!C:Q,4,false)</f>
        <v>#N/A</v>
      </c>
      <c r="S2001" s="93" t="str">
        <f>VLOOKUP(F2001,DATABASE!C:P,11,false)</f>
        <v>#N/A</v>
      </c>
      <c r="T2001" s="93" t="str">
        <f>vlookup(F2001,DATABASE!C:Q,8,false)</f>
        <v>#N/A</v>
      </c>
      <c r="Z2001" s="9"/>
    </row>
    <row r="2002" ht="22.5" customHeight="1">
      <c r="A2002" s="49"/>
      <c r="C2002" s="384"/>
      <c r="D2002" s="93"/>
      <c r="F2002" s="74"/>
      <c r="H2002" s="74"/>
      <c r="I2002" s="74"/>
      <c r="J2002" s="74"/>
      <c r="K2002" s="74" t="str">
        <f>if(F2002="SERVICE",O2002-(O2002*50%),Vlookup(F2002,DATABASE!C:Q,10,false)*G2002)</f>
        <v>#N/A</v>
      </c>
      <c r="L2002" s="74" t="str">
        <f>VLOOKUP(F2002,DATABASE!C:Q,7,FALSE)</f>
        <v>#N/A</v>
      </c>
      <c r="M2002" s="74"/>
      <c r="N2002" s="74">
        <f t="shared" si="11"/>
        <v>0</v>
      </c>
      <c r="O2002" s="74">
        <f t="shared" si="13"/>
        <v>0</v>
      </c>
      <c r="P2002" s="63">
        <f t="shared" si="14"/>
        <v>0</v>
      </c>
      <c r="Q2002" s="63" t="str">
        <f t="shared" si="15"/>
        <v>#N/A</v>
      </c>
      <c r="R2002" s="93" t="str">
        <f>VLOOKUP(F2002,DATABASE!C:Q,4,false)</f>
        <v>#N/A</v>
      </c>
      <c r="S2002" s="93" t="str">
        <f>VLOOKUP(F2002,DATABASE!C:P,11,false)</f>
        <v>#N/A</v>
      </c>
      <c r="T2002" s="93" t="str">
        <f>vlookup(F2002,DATABASE!C:Q,8,false)</f>
        <v>#N/A</v>
      </c>
      <c r="Z2002" s="9"/>
    </row>
  </sheetData>
  <dataValidations>
    <dataValidation type="list" allowBlank="1" showErrorMessage="1" sqref="F2">
      <formula1>DATABASE!$C:$C</formula1>
    </dataValidation>
    <dataValidation type="custom" allowBlank="1" showDropDown="1" sqref="C2:C2002">
      <formula1>OR(NOT(ISERROR(DATEVALUE(C2))), AND(ISNUMBER(C2), LEFT(CELL("format", C2))="D"))</formula1>
    </dataValidation>
    <dataValidation type="list" allowBlank="1" showErrorMessage="1" sqref="F12">
      <formula1>#REF!</formula1>
    </dataValidation>
    <dataValidation type="custom" allowBlank="1" showDropDown="1" sqref="H2:I2002 K2:L2002 N2:Q2002">
      <formula1>AND(ISNUMBER(H2),(NOT(OR(NOT(ISERROR(DATEVALUE(H2))), AND(ISNUMBER(H2), LEFT(CELL("format", H2))="D")))))</formula1>
    </dataValidation>
  </dataValidations>
  <drawing r:id="rId2"/>
  <tableParts count="1">
    <tablePart r:id="rId4"/>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0"/>
    <col customWidth="1" min="2" max="2" width="2.13"/>
    <col customWidth="1" min="3" max="3" width="3.63"/>
    <col customWidth="1" min="4" max="4" width="17.5"/>
    <col customWidth="1" min="5" max="5" width="15.38"/>
    <col customWidth="1" min="6" max="6" width="13.63"/>
    <col customWidth="1" min="7" max="7" width="11.38"/>
    <col customWidth="1" min="9" max="9" width="13.25"/>
    <col customWidth="1" min="10" max="11" width="14.88"/>
    <col customWidth="1" min="12" max="12" width="12.63"/>
    <col customWidth="1" min="14" max="14" width="4.25"/>
    <col customWidth="1" min="15" max="15" width="2.63"/>
    <col customWidth="1" min="16" max="16" width="10.75"/>
    <col customWidth="1" min="17" max="17" width="29.5"/>
    <col customWidth="1" min="18" max="18" width="11.0"/>
    <col customWidth="1" min="19" max="19" width="19.38"/>
    <col customWidth="1" min="20" max="20" width="16.5"/>
    <col customWidth="1" min="21" max="21" width="23.25"/>
    <col customWidth="1" min="22" max="22" width="21.88"/>
    <col customWidth="1" min="23" max="23" width="20.88"/>
    <col customWidth="1" min="24" max="24" width="31.13"/>
    <col customWidth="1" min="25" max="25" width="4.25"/>
    <col customWidth="1" min="26" max="28" width="9.13"/>
  </cols>
  <sheetData>
    <row r="1" ht="33.0" customHeight="1">
      <c r="A1" s="29" t="s">
        <v>2588</v>
      </c>
      <c r="B1" s="2"/>
      <c r="C1" s="3"/>
      <c r="F1" s="4"/>
      <c r="G1" s="9"/>
      <c r="H1" s="378"/>
      <c r="I1" s="453"/>
      <c r="J1" s="453"/>
      <c r="K1" s="9"/>
      <c r="L1" s="11"/>
      <c r="U1" s="9"/>
      <c r="V1" s="9"/>
      <c r="W1" s="9"/>
    </row>
    <row r="2" ht="16.5" customHeight="1">
      <c r="A2" s="39"/>
      <c r="D2" s="29" t="s">
        <v>2589</v>
      </c>
      <c r="E2" s="29">
        <v>2026.0</v>
      </c>
      <c r="F2" s="12"/>
      <c r="G2" s="1"/>
      <c r="H2" s="454"/>
      <c r="I2" s="455"/>
      <c r="J2" s="455"/>
      <c r="K2" s="456"/>
      <c r="L2" s="19"/>
      <c r="M2" s="457"/>
      <c r="N2" s="457"/>
      <c r="P2" s="458" t="s">
        <v>3</v>
      </c>
      <c r="Q2" s="459" t="s">
        <v>4</v>
      </c>
      <c r="S2" s="460" t="s">
        <v>30</v>
      </c>
      <c r="T2" s="461" t="s">
        <v>2590</v>
      </c>
      <c r="U2" s="9"/>
      <c r="V2" s="9"/>
      <c r="W2" s="9"/>
    </row>
    <row r="3" ht="14.25" customHeight="1">
      <c r="A3" s="49"/>
      <c r="D3" s="39"/>
      <c r="E3" s="12"/>
      <c r="F3" s="12"/>
      <c r="G3" s="12"/>
      <c r="H3" s="462"/>
      <c r="I3" s="463"/>
      <c r="J3" s="463"/>
      <c r="K3" s="12"/>
      <c r="L3" s="48"/>
      <c r="M3" s="49"/>
      <c r="N3" s="49"/>
      <c r="O3" s="49"/>
      <c r="P3" s="464" t="s">
        <v>2589</v>
      </c>
      <c r="Q3" s="465">
        <v>2026.0</v>
      </c>
      <c r="S3" s="466" t="s">
        <v>26</v>
      </c>
      <c r="T3" s="467" t="s">
        <v>87</v>
      </c>
      <c r="U3" s="9"/>
      <c r="X3" s="13"/>
    </row>
    <row r="4" ht="38.25" customHeight="1">
      <c r="A4" s="49"/>
      <c r="D4" s="196"/>
      <c r="E4" s="232"/>
      <c r="F4" s="232"/>
      <c r="G4" s="232"/>
      <c r="H4" s="462"/>
      <c r="I4" s="463"/>
      <c r="J4" s="463"/>
      <c r="K4" s="12"/>
      <c r="L4" s="48"/>
      <c r="M4" s="39"/>
      <c r="N4" s="39"/>
      <c r="O4" s="49"/>
      <c r="U4" s="9">
        <f>SUM(U7:U1002)</f>
        <v>118087613.8</v>
      </c>
      <c r="V4" s="9"/>
      <c r="W4" s="9"/>
      <c r="X4" s="9">
        <f>U4*(0.5/100)</f>
        <v>590438.069</v>
      </c>
    </row>
    <row r="5" ht="15.0" customHeight="1">
      <c r="A5" s="49"/>
      <c r="D5" s="469" t="s">
        <v>2323</v>
      </c>
      <c r="E5" s="470" t="s">
        <v>2591</v>
      </c>
      <c r="F5" s="471" t="s">
        <v>2592</v>
      </c>
      <c r="G5" s="472"/>
      <c r="H5" s="25"/>
      <c r="I5" s="473" t="s">
        <v>2593</v>
      </c>
      <c r="J5" s="473" t="s">
        <v>70</v>
      </c>
      <c r="K5" s="471" t="s">
        <v>2594</v>
      </c>
      <c r="L5" s="472"/>
      <c r="M5" s="25"/>
      <c r="N5" s="39"/>
      <c r="O5" s="49"/>
      <c r="P5" s="474" t="s">
        <v>2595</v>
      </c>
      <c r="Q5" s="475" t="s">
        <v>2596</v>
      </c>
      <c r="R5" s="476"/>
      <c r="S5" s="477" t="s">
        <v>2597</v>
      </c>
      <c r="T5" s="477" t="s">
        <v>2598</v>
      </c>
      <c r="U5" s="478" t="s">
        <v>2599</v>
      </c>
      <c r="V5" s="478" t="s">
        <v>2600</v>
      </c>
      <c r="W5" s="478" t="s">
        <v>2601</v>
      </c>
      <c r="X5" s="479" t="s">
        <v>2602</v>
      </c>
    </row>
    <row r="6" ht="15.0" customHeight="1">
      <c r="A6" s="49"/>
      <c r="D6" s="481"/>
      <c r="E6" s="482"/>
      <c r="F6" s="483" t="s">
        <v>35</v>
      </c>
      <c r="G6" s="484" t="s">
        <v>36</v>
      </c>
      <c r="H6" s="485" t="s">
        <v>37</v>
      </c>
      <c r="I6" s="482"/>
      <c r="J6" s="482"/>
      <c r="K6" s="483" t="s">
        <v>35</v>
      </c>
      <c r="L6" s="484" t="s">
        <v>36</v>
      </c>
      <c r="M6" s="485" t="s">
        <v>37</v>
      </c>
      <c r="O6" s="49"/>
      <c r="P6" s="486"/>
      <c r="Q6" s="487" t="s">
        <v>2603</v>
      </c>
      <c r="R6" s="487" t="s">
        <v>2604</v>
      </c>
      <c r="S6" s="486"/>
      <c r="T6" s="486"/>
      <c r="U6" s="486"/>
      <c r="V6" s="486"/>
      <c r="W6" s="486"/>
      <c r="X6" s="486"/>
    </row>
    <row r="7" ht="15.0" customHeight="1">
      <c r="A7" s="49"/>
      <c r="D7" s="488" t="str">
        <f t="shared" ref="D7:D18" si="2">IF(E$2="","",TEXT(DATE(E$2,ROW(A1),1),"mmmm yyyy"))</f>
        <v>January 2026</v>
      </c>
      <c r="E7" s="489">
        <f>IF(D7="", "", 
    SUMIFS('SELLING CASH'!$I:$I, 
           'SELLING CASH'!$C:$C, "&gt;=" &amp; D7,
           'SELLING CASH'!$C:$C, "&lt;" &amp; EDATE(D7, 1),
           'SELLING CASH'!$R:$R,"&lt;&gt;OIL")+
    SUMIFS('PAYMENT CREDIT'!$F:$F, 
           'PAYMENT CREDIT'!$C:$C, "&gt;=" &amp; D7,
           'PAYMENT CREDIT'!$C:$C, "&lt;" &amp; EDATE(D7, 1))-
    SUMIFS('SELLING CASH'!$J:$J, 
           'SELLING CASH'!$C:$C, "&gt;=" &amp; D7,
           'SELLING CASH'!$C:$C, "&lt;" &amp; EDATE(D7, 1)
))</f>
        <v>513570000</v>
      </c>
      <c r="F7" s="489">
        <f t="shared" ref="F7:F18" si="3">E7-(G7+H7)</f>
        <v>440070000</v>
      </c>
      <c r="G7" s="489">
        <f>IF(D7="", "", 
    SUMIFS('SELLING CASH'!$N:$N, 
           'SELLING CASH'!$C:$C, "&gt;=" &amp; D7,
           'SELLING CASH'!$C:$C, "&lt;" &amp; EDATE(D7, 1),
           'SELLING CASH'!$R:$R,"&lt;&gt;OIL",
           'SELLING CASH'!$R:$R,"&lt;&gt;SERVICE")+
    SUMIFS('PAYMENT CREDIT'!$G:$G, 
           'PAYMENT CREDIT'!$C:$C, "&gt;=" &amp; D7,
           'PAYMENT CREDIT'!$C:$C, "&lt;" &amp; EDATE(D7, 1))-
    SUMIFS('SELLING CREDIT'!$K:$K, 
           'SELLING CREDIT'!$C:$C, "&gt;=" &amp; D7,
           'SELLING CREDIT'!$C:$C, "&lt;" &amp; EDATE(D7, 1)
))</f>
        <v>60335000</v>
      </c>
      <c r="H7" s="490">
        <f>IF(D7="", "", 
    SUMIFS('SELLING CASH'!$N:$N, 
           'SELLING CASH'!$C:$C, "&gt;=" &amp; D7,
           'SELLING CASH'!$C:$C, "&lt;" &amp; EDATE(D7, 1),
           'SELLING CASH'!$R:$R,"SERVICE"))</f>
        <v>13165000</v>
      </c>
      <c r="I7" s="491">
        <f>IF(D7="", "", 
    SUMIFS('PAYMENT SUPPLIER'!$E:$E, 
           'PAYMENT SUPPLIER'!$C:$C, "&gt;=" &amp; D7,
           'PAYMENT SUPPLIER'!$C:$C, "&lt;" &amp; EDATE(D7, 1)
           ))</f>
        <v>351570710</v>
      </c>
      <c r="J7" s="491">
        <f>IF(D7="", "", 
    SUMIFS(EXPENSES!$D:$D, 
           EXPENSES!$C:$C, "&gt;=" &amp; D7,
           EXPENSES!$C:$C, "&lt;" &amp; EDATE(D7, 1)
           ))</f>
        <v>65240247</v>
      </c>
      <c r="K7" s="489">
        <f t="shared" ref="K7:L7" si="1">F7-I7</f>
        <v>88499290</v>
      </c>
      <c r="L7" s="490">
        <f t="shared" si="1"/>
        <v>-4905247</v>
      </c>
      <c r="M7" s="492">
        <f t="shared" ref="M7:M18" si="5">H7</f>
        <v>13165000</v>
      </c>
      <c r="N7" s="49"/>
      <c r="O7" s="49"/>
      <c r="P7" s="493">
        <v>46268.0</v>
      </c>
      <c r="Q7" s="494" t="s">
        <v>281</v>
      </c>
      <c r="R7" s="495"/>
      <c r="S7" s="494" t="s">
        <v>1853</v>
      </c>
      <c r="T7" s="493">
        <v>46268.0</v>
      </c>
      <c r="U7" s="496">
        <v>814000.0</v>
      </c>
      <c r="V7" s="497"/>
      <c r="W7" s="497"/>
      <c r="X7" s="498" t="s">
        <v>81</v>
      </c>
    </row>
    <row r="8" ht="15.0" customHeight="1">
      <c r="A8" s="49"/>
      <c r="D8" s="499" t="str">
        <f t="shared" si="2"/>
        <v>February 2026</v>
      </c>
      <c r="E8" s="489">
        <f>IF(D8="", "", 
    SUMIFS('SELLING CASH'!$I:$I, 
           'SELLING CASH'!$C:$C, "&gt;=" &amp; D8,
           'SELLING CASH'!$C:$C, "&lt;" &amp; EDATE(D8, 1),
           'SELLING CASH'!$R:$R,"&lt;&gt;OIL")+
    SUMIFS('PAYMENT CREDIT'!$F:$F, 
           'PAYMENT CREDIT'!$C:$C, "&gt;=" &amp; D8,
           'PAYMENT CREDIT'!$C:$C, "&lt;" &amp; EDATE(D8, 1))-
    SUMIFS('SELLING CASH'!$J:$J, 
           'SELLING CASH'!$C:$C, "&gt;=" &amp; D8,
           'SELLING CASH'!$C:$C, "&lt;" &amp; EDATE(D8, 1)
))</f>
        <v>448895000</v>
      </c>
      <c r="F8" s="500">
        <f t="shared" si="3"/>
        <v>393950000</v>
      </c>
      <c r="G8" s="500">
        <f>IF(D8="", "", 
    SUMIFS('SELLING CASH'!$N:$N, 
           'SELLING CASH'!$C:$C, "&gt;=" &amp; D8,
           'SELLING CASH'!$C:$C, "&lt;" &amp; EDATE(D8, 1),
           'SELLING CASH'!$R:$R,"&lt;&gt;OIL",
           'SELLING CASH'!$R:$R,"&lt;&gt;SERVICE")+
    SUMIFS('PAYMENT CREDIT'!$G:$G, 
           'PAYMENT CREDIT'!$C:$C, "&gt;=" &amp; D8,
           'PAYMENT CREDIT'!$C:$C, "&lt;" &amp; EDATE(D8, 1))-
    SUMIFS('SELLING CREDIT'!$K:$K, 
           'SELLING CREDIT'!$C:$C, "&gt;=" &amp; D8,
           'SELLING CREDIT'!$C:$C, "&lt;" &amp; EDATE(D8, 1)
))</f>
        <v>50185000</v>
      </c>
      <c r="H8" s="501">
        <f>IF(D8="", "", 
    SUMIFS('SELLING CASH'!$N:$N, 
           'SELLING CASH'!$C:$C, "&gt;=" &amp; D8,
           'SELLING CASH'!$C:$C, "&lt;" &amp; EDATE(D8, 1),
           'SELLING CASH'!$R:$R,"SERVICE"))</f>
        <v>4760000</v>
      </c>
      <c r="I8" s="502">
        <f>IF(D8="", "", 
    SUMIFS('PAYMENT SUPPLIER'!$E:$E, 
           'PAYMENT SUPPLIER'!$C:$C, "&gt;=" &amp; D8,
           'PAYMENT SUPPLIER'!$C:$C, "&lt;" &amp; EDATE(D8, 1)
           ))</f>
        <v>303746290</v>
      </c>
      <c r="J8" s="502">
        <f>IF(D8="", "", 
    SUMIFS(EXPENSES!$D:$D, 
           EXPENSES!$C:$C, "&gt;=" &amp; D8,
           EXPENSES!$C:$C, "&lt;" &amp; EDATE(D8, 1)
           ))</f>
        <v>58216747</v>
      </c>
      <c r="K8" s="500">
        <f t="shared" ref="K8:L8" si="4">F8-I8</f>
        <v>90203710</v>
      </c>
      <c r="L8" s="501">
        <f t="shared" si="4"/>
        <v>-8031747</v>
      </c>
      <c r="M8" s="503">
        <f t="shared" si="5"/>
        <v>4760000</v>
      </c>
      <c r="N8" s="49"/>
      <c r="O8" s="49"/>
      <c r="P8" s="493">
        <v>46269.0</v>
      </c>
      <c r="Q8" s="494" t="s">
        <v>566</v>
      </c>
      <c r="R8" s="495"/>
      <c r="S8" s="494" t="s">
        <v>2514</v>
      </c>
      <c r="T8" s="493">
        <v>46268.0</v>
      </c>
      <c r="U8" s="496">
        <v>1.252E7</v>
      </c>
      <c r="V8" s="497"/>
      <c r="W8" s="497"/>
      <c r="X8" s="498" t="s">
        <v>97</v>
      </c>
    </row>
    <row r="9" ht="15.0" customHeight="1">
      <c r="A9" s="49"/>
      <c r="D9" s="499" t="str">
        <f t="shared" si="2"/>
        <v>March 2026</v>
      </c>
      <c r="E9" s="489">
        <f>IF(D9="", "", 
    SUMIFS('SELLING CASH'!$I:$I, 
           'SELLING CASH'!$C:$C, "&gt;=" &amp; D9,
           'SELLING CASH'!$C:$C, "&lt;" &amp; EDATE(D9, 1),
           'SELLING CASH'!$R:$R,"&lt;&gt;OIL")+
    SUMIFS('PAYMENT CREDIT'!$F:$F, 
           'PAYMENT CREDIT'!$C:$C, "&gt;=" &amp; D9,
           'PAYMENT CREDIT'!$C:$C, "&lt;" &amp; EDATE(D9, 1))-
    SUMIFS('SELLING CASH'!$J:$J, 
           'SELLING CASH'!$C:$C, "&gt;=" &amp; D9,
           'SELLING CASH'!$C:$C, "&lt;" &amp; EDATE(D9, 1)
))</f>
        <v>501291000</v>
      </c>
      <c r="F9" s="500">
        <f t="shared" si="3"/>
        <v>421640000</v>
      </c>
      <c r="G9" s="500">
        <f>IF(D9="", "", 
    SUMIFS('SELLING CASH'!$N:$N, 
           'SELLING CASH'!$C:$C, "&gt;=" &amp; D9,
           'SELLING CASH'!$C:$C, "&lt;" &amp; EDATE(D9, 1),
           'SELLING CASH'!$R:$R,"&lt;&gt;OIL",
           'SELLING CASH'!$R:$R,"&lt;&gt;SERVICE")+
    SUMIFS('PAYMENT CREDIT'!$G:$G, 
           'PAYMENT CREDIT'!$C:$C, "&gt;=" &amp; D9,
           'PAYMENT CREDIT'!$C:$C, "&lt;" &amp; EDATE(D9, 1))-
    SUMIFS('SELLING CREDIT'!$K:$K, 
           'SELLING CREDIT'!$C:$C, "&gt;=" &amp; D9,
           'SELLING CREDIT'!$C:$C, "&lt;" &amp; EDATE(D9, 1)
))</f>
        <v>63941000</v>
      </c>
      <c r="H9" s="501">
        <f>IF(D9="", "", 
    SUMIFS('SELLING CASH'!$N:$N, 
           'SELLING CASH'!$C:$C, "&gt;=" &amp; D9,
           'SELLING CASH'!$C:$C, "&lt;" &amp; EDATE(D9, 1),
           'SELLING CASH'!$R:$R,"SERVICE"))</f>
        <v>15710000</v>
      </c>
      <c r="I9" s="502">
        <f>IF(D9="", "", 
    SUMIFS('PAYMENT SUPPLIER'!$E:$E, 
           'PAYMENT SUPPLIER'!$C:$C, "&gt;=" &amp; D9,
           'PAYMENT SUPPLIER'!$C:$C, "&lt;" &amp; EDATE(D9, 1)
           ))</f>
        <v>434179000</v>
      </c>
      <c r="J9" s="502">
        <f>IF(D9="", "", 
    SUMIFS(EXPENSES!$D:$D, 
           EXPENSES!$C:$C, "&gt;=" &amp; D9,
           EXPENSES!$C:$C, "&lt;" &amp; EDATE(D9, 1)
           ))</f>
        <v>54973247</v>
      </c>
      <c r="K9" s="500">
        <f t="shared" ref="K9:L9" si="6">F9-I9</f>
        <v>-12539000</v>
      </c>
      <c r="L9" s="501">
        <f t="shared" si="6"/>
        <v>8967753</v>
      </c>
      <c r="M9" s="503">
        <f t="shared" si="5"/>
        <v>15710000</v>
      </c>
      <c r="N9" s="49"/>
      <c r="O9" s="49"/>
      <c r="P9" s="493">
        <v>46269.0</v>
      </c>
      <c r="Q9" s="494" t="s">
        <v>572</v>
      </c>
      <c r="R9" s="495"/>
      <c r="S9" s="494" t="s">
        <v>2514</v>
      </c>
      <c r="T9" s="493">
        <v>46268.0</v>
      </c>
      <c r="U9" s="496">
        <v>1.265E7</v>
      </c>
      <c r="V9" s="497"/>
      <c r="W9" s="497"/>
      <c r="X9" s="498" t="s">
        <v>97</v>
      </c>
    </row>
    <row r="10" ht="15.0" customHeight="1">
      <c r="A10" s="49"/>
      <c r="D10" s="499" t="str">
        <f t="shared" si="2"/>
        <v>April 2026</v>
      </c>
      <c r="E10" s="500">
        <f>IF(D10="", "", 
    SUMIFS('SELLING CASH'!$I:$I, 
           'SELLING CASH'!$C:$C, "&gt;=" &amp; D10,
           'SELLING CASH'!$C:$C, "&lt;" &amp; EDATE(D10, 1),
           'SELLING CASH'!$R:$R,"&lt;&gt;OIL")+
    SUMIFS('PAYMENT CREDIT'!$F:$F, 
           'PAYMENT CREDIT'!$C:$C, "&gt;=" &amp; D10,
           'PAYMENT CREDIT'!$C:$C, "&lt;" &amp; EDATE(D10, 1))-
    SUMIFS('SELLING CASH'!$J:$J, 
           'SELLING CASH'!$C:$C, "&gt;=" &amp; D10,
           'SELLING CASH'!$C:$C, "&lt;" &amp; EDATE(D10, 1)
))</f>
        <v>434058000</v>
      </c>
      <c r="F10" s="500">
        <f t="shared" si="3"/>
        <v>368445000</v>
      </c>
      <c r="G10" s="500">
        <f>IF(D10="", "", 
    SUMIFS('SELLING CASH'!$N:$N, 
           'SELLING CASH'!$C:$C, "&gt;=" &amp; D10,
           'SELLING CASH'!$C:$C, "&lt;" &amp; EDATE(D10, 1),
           'SELLING CASH'!$R:$R,"&lt;&gt;OIL",
           'SELLING CASH'!$R:$R,"&lt;&gt;SERVICE")+
    SUMIFS('PAYMENT CREDIT'!$G:$G, 
           'PAYMENT CREDIT'!$C:$C, "&gt;=" &amp; D10,
           'PAYMENT CREDIT'!$C:$C, "&lt;" &amp; EDATE(D10, 1))-
    SUMIFS('SELLING CREDIT'!$K:$K, 
           'SELLING CREDIT'!$C:$C, "&gt;=" &amp; D10,
           'SELLING CREDIT'!$C:$C, "&lt;" &amp; EDATE(D10, 1)
))</f>
        <v>50463000</v>
      </c>
      <c r="H10" s="501">
        <f>IF(D10="", "", 
    SUMIFS('SELLING CASH'!$N:$N, 
           'SELLING CASH'!$C:$C, "&gt;=" &amp; D10,
           'SELLING CASH'!$C:$C, "&lt;" &amp; EDATE(D10, 1),
           'SELLING CASH'!$R:$R,"SERVICE"))</f>
        <v>15150000</v>
      </c>
      <c r="I10" s="502">
        <f>IF(D10="", "", 
    SUMIFS('PAYMENT SUPPLIER'!$E:$E, 
           'PAYMENT SUPPLIER'!$C:$C, "&gt;=" &amp; D10,
           'PAYMENT SUPPLIER'!$C:$C, "&lt;" &amp; EDATE(D10, 1)
           ))</f>
        <v>403630148</v>
      </c>
      <c r="J10" s="502">
        <f>IF(D10="", "", 
    SUMIFS(EXPENSES!$D:$D, 
           EXPENSES!$C:$C, "&gt;=" &amp; D10,
           EXPENSES!$C:$C, "&lt;" &amp; EDATE(D10, 1)
           ))</f>
        <v>52607350</v>
      </c>
      <c r="K10" s="500">
        <f t="shared" ref="K10:L10" si="7">F10-I10</f>
        <v>-35185148</v>
      </c>
      <c r="L10" s="501">
        <f t="shared" si="7"/>
        <v>-2144350</v>
      </c>
      <c r="M10" s="503">
        <f t="shared" si="5"/>
        <v>15150000</v>
      </c>
      <c r="N10" s="49"/>
      <c r="O10" s="49"/>
      <c r="P10" s="493">
        <v>46269.0</v>
      </c>
      <c r="Q10" s="494" t="s">
        <v>1237</v>
      </c>
      <c r="R10" s="495"/>
      <c r="S10" s="494" t="s">
        <v>2515</v>
      </c>
      <c r="T10" s="493">
        <v>46269.0</v>
      </c>
      <c r="U10" s="496">
        <v>7022118.959999999</v>
      </c>
      <c r="V10" s="497"/>
      <c r="W10" s="497"/>
      <c r="X10" s="498" t="s">
        <v>97</v>
      </c>
    </row>
    <row r="11" ht="15.0" customHeight="1">
      <c r="A11" s="49"/>
      <c r="D11" s="499" t="str">
        <f t="shared" si="2"/>
        <v>May 2026</v>
      </c>
      <c r="E11" s="500">
        <f>IF(D11="", "", 
    SUMIFS('SELLING CASH'!$I:$I, 
           'SELLING CASH'!$C:$C, "&gt;=" &amp; D11,
           'SELLING CASH'!$C:$C, "&lt;" &amp; EDATE(D11, 1),
           'SELLING CASH'!$R:$R,"&lt;&gt;OIL")+
    SUMIFS('PAYMENT CREDIT'!$F:$F, 
           'PAYMENT CREDIT'!$C:$C, "&gt;=" &amp; D11,
           'PAYMENT CREDIT'!$C:$C, "&lt;" &amp; EDATE(D11, 1))-
    SUMIFS('SELLING CASH'!$J:$J, 
           'SELLING CASH'!$C:$C, "&gt;=" &amp; D11,
           'SELLING CASH'!$C:$C, "&lt;" &amp; EDATE(D11, 1)
))</f>
        <v>411914000</v>
      </c>
      <c r="F11" s="500">
        <f t="shared" si="3"/>
        <v>348960000</v>
      </c>
      <c r="G11" s="500">
        <f>IF(D11="", "", 
    SUMIFS('SELLING CASH'!$N:$N, 
           'SELLING CASH'!$C:$C, "&gt;=" &amp; D11,
           'SELLING CASH'!$C:$C, "&lt;" &amp; EDATE(D11, 1),
           'SELLING CASH'!$R:$R,"&lt;&gt;OIL",
           'SELLING CASH'!$R:$R,"&lt;&gt;SERVICE")+
    SUMIFS('PAYMENT CREDIT'!$G:$G, 
           'PAYMENT CREDIT'!$C:$C, "&gt;=" &amp; D11,
           'PAYMENT CREDIT'!$C:$C, "&lt;" &amp; EDATE(D11, 1))-
    SUMIFS('SELLING CREDIT'!$K:$K, 
           'SELLING CREDIT'!$C:$C, "&gt;=" &amp; D11,
           'SELLING CREDIT'!$C:$C, "&lt;" &amp; EDATE(D11, 1)
))</f>
        <v>51089000</v>
      </c>
      <c r="H11" s="501">
        <f>IF(D11="", "", 
    SUMIFS('SELLING CASH'!$N:$N, 
           'SELLING CASH'!$C:$C, "&gt;=" &amp; D11,
           'SELLING CASH'!$C:$C, "&lt;" &amp; EDATE(D11, 1),
           'SELLING CASH'!$R:$R,"SERVICE"))</f>
        <v>11865000</v>
      </c>
      <c r="I11" s="502">
        <f>IF(D11="", "", 
    SUMIFS('PAYMENT SUPPLIER'!$E:$E, 
           'PAYMENT SUPPLIER'!$C:$C, "&gt;=" &amp; D11,
           'PAYMENT SUPPLIER'!$C:$C, "&lt;" &amp; EDATE(D11, 1)
           ))</f>
        <v>415320132</v>
      </c>
      <c r="J11" s="502">
        <f>IF(D11="", "", 
    SUMIFS(EXPENSES!$D:$D, 
           EXPENSES!$C:$C, "&gt;=" &amp; D11,
           EXPENSES!$C:$C, "&lt;" &amp; EDATE(D11, 1)
           ))</f>
        <v>49450000</v>
      </c>
      <c r="K11" s="500">
        <f t="shared" ref="K11:L11" si="8">F11-I11</f>
        <v>-66360132</v>
      </c>
      <c r="L11" s="501">
        <f t="shared" si="8"/>
        <v>1639000</v>
      </c>
      <c r="M11" s="503">
        <f t="shared" si="5"/>
        <v>11865000</v>
      </c>
      <c r="N11" s="49"/>
      <c r="O11" s="49"/>
      <c r="P11" s="493">
        <v>46269.0</v>
      </c>
      <c r="Q11" s="494" t="s">
        <v>591</v>
      </c>
      <c r="R11" s="495"/>
      <c r="S11" s="494" t="s">
        <v>2515</v>
      </c>
      <c r="T11" s="493">
        <v>46269.0</v>
      </c>
      <c r="U11" s="496">
        <v>7596421.92</v>
      </c>
      <c r="V11" s="497"/>
      <c r="W11" s="497"/>
      <c r="X11" s="498" t="s">
        <v>97</v>
      </c>
    </row>
    <row r="12" ht="15.0" customHeight="1">
      <c r="A12" s="49"/>
      <c r="D12" s="499" t="str">
        <f t="shared" si="2"/>
        <v>June 2026</v>
      </c>
      <c r="E12" s="500">
        <f>IF(D12="", "", 
    SUMIFS('SELLING CASH'!$I:$I, 
           'SELLING CASH'!$C:$C, "&gt;=" &amp; D12,
           'SELLING CASH'!$C:$C, "&lt;" &amp; EDATE(D12, 1),
           'SELLING CASH'!$R:$R,"&lt;&gt;OIL")+
    SUMIFS('PAYMENT CREDIT'!$F:$F, 
           'PAYMENT CREDIT'!$C:$C, "&gt;=" &amp; D12,
           'PAYMENT CREDIT'!$C:$C, "&lt;" &amp; EDATE(D12, 1))-
    SUMIFS('SELLING CASH'!$J:$J, 
           'SELLING CASH'!$C:$C, "&gt;=" &amp; D12,
           'SELLING CASH'!$C:$C, "&lt;" &amp; EDATE(D12, 1)
))</f>
        <v>432835000</v>
      </c>
      <c r="F12" s="500">
        <f t="shared" si="3"/>
        <v>369670000</v>
      </c>
      <c r="G12" s="500">
        <f>IF(D12="", "", 
    SUMIFS('SELLING CASH'!$N:$N, 
           'SELLING CASH'!$C:$C, "&gt;=" &amp; D12,
           'SELLING CASH'!$C:$C, "&lt;" &amp; EDATE(D12, 1),
           'SELLING CASH'!$R:$R,"&lt;&gt;OIL",
           'SELLING CASH'!$R:$R,"&lt;&gt;SERVICE")+
    SUMIFS('PAYMENT CREDIT'!$G:$G, 
           'PAYMENT CREDIT'!$C:$C, "&gt;=" &amp; D12,
           'PAYMENT CREDIT'!$C:$C, "&lt;" &amp; EDATE(D12, 1))-
    SUMIFS('SELLING CREDIT'!$K:$K, 
           'SELLING CREDIT'!$C:$C, "&gt;=" &amp; D12,
           'SELLING CREDIT'!$C:$C, "&lt;" &amp; EDATE(D12, 1)
))</f>
        <v>49940000</v>
      </c>
      <c r="H12" s="501">
        <f>IF(D12="", "", 
    SUMIFS('SELLING CASH'!$N:$N, 
           'SELLING CASH'!$C:$C, "&gt;=" &amp; D12,
           'SELLING CASH'!$C:$C, "&lt;" &amp; EDATE(D12, 1),
           'SELLING CASH'!$R:$R,"SERVICE"))</f>
        <v>13225000</v>
      </c>
      <c r="I12" s="502">
        <f>IF(D12="", "", 
    SUMIFS('PAYMENT SUPPLIER'!$E:$E, 
           'PAYMENT SUPPLIER'!$C:$C, "&gt;=" &amp; D12,
           'PAYMENT SUPPLIER'!$C:$C, "&lt;" &amp; EDATE(D12, 1)
           ))</f>
        <v>341491801</v>
      </c>
      <c r="J12" s="502">
        <f>IF(D12="", "", 
    SUMIFS(EXPENSES!$D:$D, 
           EXPENSES!$C:$C, "&gt;=" &amp; D12,
           EXPENSES!$C:$C, "&lt;" &amp; EDATE(D12, 1)
           ))</f>
        <v>42140000</v>
      </c>
      <c r="K12" s="500">
        <f t="shared" ref="K12:L12" si="9">F12-I12</f>
        <v>28178199</v>
      </c>
      <c r="L12" s="501">
        <f t="shared" si="9"/>
        <v>7800000</v>
      </c>
      <c r="M12" s="503">
        <f t="shared" si="5"/>
        <v>13225000</v>
      </c>
      <c r="N12" s="49"/>
      <c r="O12" s="49"/>
      <c r="P12" s="493">
        <v>46269.0</v>
      </c>
      <c r="Q12" s="494" t="s">
        <v>600</v>
      </c>
      <c r="R12" s="495"/>
      <c r="S12" s="494" t="s">
        <v>2515</v>
      </c>
      <c r="T12" s="493">
        <v>46269.0</v>
      </c>
      <c r="U12" s="496">
        <v>7333309.92</v>
      </c>
      <c r="V12" s="497"/>
      <c r="W12" s="497"/>
      <c r="X12" s="498" t="s">
        <v>97</v>
      </c>
    </row>
    <row r="13" ht="15.0" customHeight="1">
      <c r="A13" s="49"/>
      <c r="D13" s="499" t="str">
        <f t="shared" si="2"/>
        <v>July 2026</v>
      </c>
      <c r="E13" s="500">
        <f>IF(D13="", "", 
    SUMIFS('SELLING CASH'!$I:$I, 
           'SELLING CASH'!$C:$C, "&gt;=" &amp; D13,
           'SELLING CASH'!$C:$C, "&lt;" &amp; EDATE(D13, 1),
           'SELLING CASH'!$R:$R,"&lt;&gt;OIL")+
    SUMIFS('PAYMENT CREDIT'!$F:$F, 
           'PAYMENT CREDIT'!$C:$C, "&gt;=" &amp; D13,
           'PAYMENT CREDIT'!$C:$C, "&lt;" &amp; EDATE(D13, 1))-
    SUMIFS('SELLING CASH'!$J:$J, 
           'SELLING CASH'!$C:$C, "&gt;=" &amp; D13,
           'SELLING CASH'!$C:$C, "&lt;" &amp; EDATE(D13, 1)
))</f>
        <v>398765000</v>
      </c>
      <c r="F13" s="500">
        <f t="shared" si="3"/>
        <v>344645000</v>
      </c>
      <c r="G13" s="500">
        <f>IF(D13="", "", 
    SUMIFS('SELLING CASH'!$N:$N, 
           'SELLING CASH'!$C:$C, "&gt;=" &amp; D13,
           'SELLING CASH'!$C:$C, "&lt;" &amp; EDATE(D13, 1),
           'SELLING CASH'!$R:$R,"&lt;&gt;OIL",
           'SELLING CASH'!$R:$R,"&lt;&gt;SERVICE")+
    SUMIFS('PAYMENT CREDIT'!$G:$G, 
           'PAYMENT CREDIT'!$C:$C, "&gt;=" &amp; D13,
           'PAYMENT CREDIT'!$C:$C, "&lt;" &amp; EDATE(D13, 1))-
    SUMIFS('SELLING CREDIT'!$K:$K, 
           'SELLING CREDIT'!$C:$C, "&gt;=" &amp; D13,
           'SELLING CREDIT'!$C:$C, "&lt;" &amp; EDATE(D13, 1)
))</f>
        <v>43345000</v>
      </c>
      <c r="H13" s="501">
        <f>IF(D13="", "", 
    SUMIFS('SELLING CASH'!$N:$N, 
           'SELLING CASH'!$C:$C, "&gt;=" &amp; D13,
           'SELLING CASH'!$C:$C, "&lt;" &amp; EDATE(D13, 1),
           'SELLING CASH'!$R:$R,"SERVICE"))</f>
        <v>10775000</v>
      </c>
      <c r="I13" s="502">
        <f>IF(D13="", "", 
    SUMIFS('PAYMENT SUPPLIER'!$E:$E, 
           'PAYMENT SUPPLIER'!$C:$C, "&gt;=" &amp; D13,
           'PAYMENT SUPPLIER'!$C:$C, "&lt;" &amp; EDATE(D13, 1)
           ))</f>
        <v>266096798</v>
      </c>
      <c r="J13" s="502">
        <f>IF(D13="", "", 
    SUMIFS(EXPENSES!$D:$D, 
           EXPENSES!$C:$C, "&gt;=" &amp; D13,
           EXPENSES!$C:$C, "&lt;" &amp; EDATE(D13, 1)
           ))</f>
        <v>39900000</v>
      </c>
      <c r="K13" s="500">
        <f t="shared" ref="K13:L13" si="10">F13-I13</f>
        <v>78548202</v>
      </c>
      <c r="L13" s="501">
        <f t="shared" si="10"/>
        <v>3445000</v>
      </c>
      <c r="M13" s="503">
        <f t="shared" si="5"/>
        <v>10775000</v>
      </c>
      <c r="N13" s="49"/>
      <c r="O13" s="49"/>
      <c r="P13" s="493">
        <v>46269.0</v>
      </c>
      <c r="Q13" s="494" t="s">
        <v>605</v>
      </c>
      <c r="R13" s="495"/>
      <c r="S13" s="494" t="s">
        <v>2515</v>
      </c>
      <c r="T13" s="493">
        <v>46269.0</v>
      </c>
      <c r="U13" s="496">
        <v>6750000.0</v>
      </c>
      <c r="V13" s="497"/>
      <c r="W13" s="497"/>
      <c r="X13" s="498" t="s">
        <v>97</v>
      </c>
    </row>
    <row r="14" ht="15.0" customHeight="1">
      <c r="A14" s="49"/>
      <c r="D14" s="499" t="str">
        <f t="shared" si="2"/>
        <v>August 2026</v>
      </c>
      <c r="E14" s="500">
        <f>IF(D14="", "", 
    SUMIFS('SELLING CASH'!$I:$I, 
           'SELLING CASH'!$C:$C, "&gt;=" &amp; D14,
           'SELLING CASH'!$C:$C, "&lt;" &amp; EDATE(D14, 1),
           'SELLING CASH'!$R:$R,"&lt;&gt;OIL")+
    SUMIFS('PAYMENT CREDIT'!$F:$F, 
           'PAYMENT CREDIT'!$C:$C, "&gt;=" &amp; D14,
           'PAYMENT CREDIT'!$C:$C, "&lt;" &amp; EDATE(D14, 1))-
    SUMIFS('SELLING CASH'!$J:$J, 
           'SELLING CASH'!$C:$C, "&gt;=" &amp; D14,
           'SELLING CASH'!$C:$C, "&lt;" &amp; EDATE(D14, 1)
))</f>
        <v>334602000</v>
      </c>
      <c r="F14" s="500">
        <f t="shared" si="3"/>
        <v>284895000</v>
      </c>
      <c r="G14" s="500">
        <f>IF(D14="", "", 
    SUMIFS('SELLING CASH'!$N:$N, 
           'SELLING CASH'!$C:$C, "&gt;=" &amp; D14,
           'SELLING CASH'!$C:$C, "&lt;" &amp; EDATE(D14, 1),
           'SELLING CASH'!$R:$R,"&lt;&gt;OIL",
           'SELLING CASH'!$R:$R,"&lt;&gt;SERVICE")+
    SUMIFS('PAYMENT CREDIT'!$G:$G, 
           'PAYMENT CREDIT'!$C:$C, "&gt;=" &amp; D14,
           'PAYMENT CREDIT'!$C:$C, "&lt;" &amp; EDATE(D14, 1))-
    SUMIFS('SELLING CREDIT'!$K:$K, 
           'SELLING CREDIT'!$C:$C, "&gt;=" &amp; D14,
           'SELLING CREDIT'!$C:$C, "&lt;" &amp; EDATE(D14, 1)
))</f>
        <v>39262000</v>
      </c>
      <c r="H14" s="501">
        <f>IF(D14="", "", 
    SUMIFS('SELLING CASH'!$N:$N, 
           'SELLING CASH'!$C:$C, "&gt;=" &amp; D14,
           'SELLING CASH'!$C:$C, "&lt;" &amp; EDATE(D14, 1),
           'SELLING CASH'!$R:$R,"SERVICE"))</f>
        <v>10445000</v>
      </c>
      <c r="I14" s="502">
        <f>IF(D14="", "", 
    SUMIFS('PAYMENT SUPPLIER'!$E:$E, 
           'PAYMENT SUPPLIER'!$C:$C, "&gt;=" &amp; D14,
           'PAYMENT SUPPLIER'!$C:$C, "&lt;" &amp; EDATE(D14, 1)
           ))</f>
        <v>295583930</v>
      </c>
      <c r="J14" s="502">
        <f>IF(D14="", "", 
    SUMIFS(EXPENSES!$D:$D, 
           EXPENSES!$C:$C, "&gt;=" &amp; D14,
           EXPENSES!$C:$C, "&lt;" &amp; EDATE(D14, 1)
           ))</f>
        <v>38780500</v>
      </c>
      <c r="K14" s="500">
        <f t="shared" ref="K14:L14" si="11">F14-I14</f>
        <v>-10688930</v>
      </c>
      <c r="L14" s="501">
        <f t="shared" si="11"/>
        <v>481500</v>
      </c>
      <c r="M14" s="503">
        <f t="shared" si="5"/>
        <v>10445000</v>
      </c>
      <c r="N14" s="49"/>
      <c r="O14" s="49"/>
      <c r="P14" s="493">
        <v>46269.0</v>
      </c>
      <c r="Q14" s="494" t="s">
        <v>554</v>
      </c>
      <c r="R14" s="495"/>
      <c r="S14" s="494" t="s">
        <v>2515</v>
      </c>
      <c r="T14" s="493">
        <v>46269.0</v>
      </c>
      <c r="U14" s="496">
        <v>8520000.0</v>
      </c>
      <c r="V14" s="497"/>
      <c r="W14" s="497"/>
      <c r="X14" s="498" t="s">
        <v>97</v>
      </c>
    </row>
    <row r="15" ht="15.0" customHeight="1">
      <c r="A15" s="49"/>
      <c r="D15" s="499" t="str">
        <f t="shared" si="2"/>
        <v>September 2026</v>
      </c>
      <c r="E15" s="500">
        <f>IF(D15="", "", 
    SUMIFS('SELLING CASH'!$I:$I, 
           'SELLING CASH'!$C:$C, "&gt;=" &amp; D15,
           'SELLING CASH'!$C:$C, "&lt;" &amp; EDATE(D15, 1),
           'SELLING CASH'!$R:$R,"&lt;&gt;OIL")+
    SUMIFS('PAYMENT CREDIT'!$F:$F, 
           'PAYMENT CREDIT'!$C:$C, "&gt;=" &amp; D15,
           'PAYMENT CREDIT'!$C:$C, "&lt;" &amp; EDATE(D15, 1))-
    SUMIFS('SELLING CASH'!$J:$J, 
           'SELLING CASH'!$C:$C, "&gt;=" &amp; D15,
           'SELLING CASH'!$C:$C, "&lt;" &amp; EDATE(D15, 1)
))</f>
        <v>339208000</v>
      </c>
      <c r="F15" s="500">
        <f t="shared" si="3"/>
        <v>290510000</v>
      </c>
      <c r="G15" s="500">
        <f>IF(D15="", "", 
    SUMIFS('SELLING CASH'!$N:$N, 
           'SELLING CASH'!$C:$C, "&gt;=" &amp; D15,
           'SELLING CASH'!$C:$C, "&lt;" &amp; EDATE(D15, 1),
           'SELLING CASH'!$R:$R,"&lt;&gt;OIL",
           'SELLING CASH'!$R:$R,"&lt;&gt;SERVICE")+
    SUMIFS('PAYMENT CREDIT'!$G:$G, 
           'PAYMENT CREDIT'!$C:$C, "&gt;=" &amp; D15,
           'PAYMENT CREDIT'!$C:$C, "&lt;" &amp; EDATE(D15, 1))-
    SUMIFS('SELLING CREDIT'!$K:$K, 
           'SELLING CREDIT'!$C:$C, "&gt;=" &amp; D15,
           'SELLING CREDIT'!$C:$C, "&lt;" &amp; EDATE(D15, 1)
))</f>
        <v>38538000</v>
      </c>
      <c r="H15" s="501">
        <f>IF(D15="", "", 
    SUMIFS('SELLING CASH'!$N:$N, 
           'SELLING CASH'!$C:$C, "&gt;=" &amp; D15,
           'SELLING CASH'!$C:$C, "&lt;" &amp; EDATE(D15, 1),
           'SELLING CASH'!$R:$R,"SERVICE"))</f>
        <v>10160000</v>
      </c>
      <c r="I15" s="502">
        <f>IF(D15="", "", 
    SUMIFS('PAYMENT SUPPLIER'!$E:$E, 
           'PAYMENT SUPPLIER'!$C:$C, "&gt;=" &amp; D15,
           'PAYMENT SUPPLIER'!$C:$C, "&lt;" &amp; EDATE(D15, 1)
           ))</f>
        <v>234355200</v>
      </c>
      <c r="J15" s="502">
        <f>IF(D15="", "", 
    SUMIFS(EXPENSES!$D:$D, 
           EXPENSES!$C:$C, "&gt;=" &amp; D15,
           EXPENSES!$C:$C, "&lt;" &amp; EDATE(D15, 1)
           ))</f>
        <v>34634000</v>
      </c>
      <c r="K15" s="500">
        <f t="shared" ref="K15:L15" si="12">F15-I15</f>
        <v>56154800</v>
      </c>
      <c r="L15" s="501">
        <f t="shared" si="12"/>
        <v>3904000</v>
      </c>
      <c r="M15" s="503">
        <f t="shared" si="5"/>
        <v>10160000</v>
      </c>
      <c r="N15" s="49"/>
      <c r="O15" s="49"/>
      <c r="P15" s="493">
        <v>46269.0</v>
      </c>
      <c r="Q15" s="494" t="s">
        <v>937</v>
      </c>
      <c r="R15" s="495"/>
      <c r="S15" s="494" t="s">
        <v>2515</v>
      </c>
      <c r="T15" s="493">
        <v>46269.0</v>
      </c>
      <c r="U15" s="496">
        <v>9900000.0</v>
      </c>
      <c r="V15" s="497"/>
      <c r="W15" s="497"/>
      <c r="X15" s="498" t="s">
        <v>97</v>
      </c>
    </row>
    <row r="16" ht="15.0" customHeight="1">
      <c r="A16" s="49"/>
      <c r="D16" s="499" t="str">
        <f t="shared" si="2"/>
        <v>October 2026</v>
      </c>
      <c r="E16" s="500">
        <f>IF(D16="", "", 
    SUMIFS('SELLING CASH'!$I:$I, 
           'SELLING CASH'!$C:$C, "&gt;=" &amp; D16,
           'SELLING CASH'!$C:$C, "&lt;" &amp; EDATE(D16, 1),
           'SELLING CASH'!$R:$R,"&lt;&gt;OIL")+
    SUMIFS('PAYMENT CREDIT'!$F:$F, 
           'PAYMENT CREDIT'!$C:$C, "&gt;=" &amp; D16,
           'PAYMENT CREDIT'!$C:$C, "&lt;" &amp; EDATE(D16, 1))-
    SUMIFS('SELLING CASH'!$J:$J, 
           'SELLING CASH'!$C:$C, "&gt;=" &amp; D16,
           'SELLING CASH'!$C:$C, "&lt;" &amp; EDATE(D16, 1)
))</f>
        <v>0</v>
      </c>
      <c r="F16" s="500">
        <f t="shared" si="3"/>
        <v>0</v>
      </c>
      <c r="G16" s="500">
        <f>IF(D16="", "", 
    SUMIFS('SELLING CASH'!$N:$N, 
           'SELLING CASH'!$C:$C, "&gt;=" &amp; D16,
           'SELLING CASH'!$C:$C, "&lt;" &amp; EDATE(D16, 1),
           'SELLING CASH'!$R:$R,"&lt;&gt;OIL",
           'SELLING CASH'!$R:$R,"&lt;&gt;SERVICE")+
    SUMIFS('PAYMENT CREDIT'!$G:$G, 
           'PAYMENT CREDIT'!$C:$C, "&gt;=" &amp; D16,
           'PAYMENT CREDIT'!$C:$C, "&lt;" &amp; EDATE(D16, 1))-
    SUMIFS('SELLING CREDIT'!$K:$K, 
           'SELLING CREDIT'!$C:$C, "&gt;=" &amp; D16,
           'SELLING CREDIT'!$C:$C, "&lt;" &amp; EDATE(D16, 1)
))</f>
        <v>0</v>
      </c>
      <c r="H16" s="501">
        <f>IF(D16="", "", 
    SUMIFS('SELLING CASH'!$N:$N, 
           'SELLING CASH'!$C:$C, "&gt;=" &amp; D16,
           'SELLING CASH'!$C:$C, "&lt;" &amp; EDATE(D16, 1),
           'SELLING CASH'!$R:$R,"SERVICE"))</f>
        <v>0</v>
      </c>
      <c r="I16" s="502">
        <f>IF(D16="", "", 
    SUMIFS('PAYMENT SUPPLIER'!$E:$E, 
           'PAYMENT SUPPLIER'!$C:$C, "&gt;=" &amp; D16,
           'PAYMENT SUPPLIER'!$C:$C, "&lt;" &amp; EDATE(D16, 1)
           ))</f>
        <v>0</v>
      </c>
      <c r="J16" s="502">
        <f>IF(D16="", "", 
    SUMIFS(EXPENSES!$D:$D, 
           EXPENSES!$C:$C, "&gt;=" &amp; D16,
           EXPENSES!$C:$C, "&lt;" &amp; EDATE(D16, 1)
           ))</f>
        <v>0</v>
      </c>
      <c r="K16" s="500">
        <f t="shared" ref="K16:L16" si="13">F16-I16</f>
        <v>0</v>
      </c>
      <c r="L16" s="501">
        <f t="shared" si="13"/>
        <v>0</v>
      </c>
      <c r="M16" s="503">
        <f t="shared" si="5"/>
        <v>0</v>
      </c>
      <c r="N16" s="49"/>
      <c r="O16" s="49"/>
      <c r="P16" s="493">
        <v>46269.0</v>
      </c>
      <c r="Q16" s="494" t="s">
        <v>1104</v>
      </c>
      <c r="R16" s="495"/>
      <c r="S16" s="494" t="s">
        <v>2515</v>
      </c>
      <c r="T16" s="493">
        <v>46269.0</v>
      </c>
      <c r="U16" s="496">
        <v>2847488.0</v>
      </c>
      <c r="V16" s="497"/>
      <c r="W16" s="497"/>
      <c r="X16" s="498" t="s">
        <v>97</v>
      </c>
    </row>
    <row r="17" ht="15.0" customHeight="1">
      <c r="A17" s="49"/>
      <c r="D17" s="499" t="str">
        <f t="shared" si="2"/>
        <v>November 2026</v>
      </c>
      <c r="E17" s="500">
        <f>IF(D17="", "", 
    SUMIFS('SELLING CASH'!$I:$I, 
           'SELLING CASH'!$C:$C, "&gt;=" &amp; D17,
           'SELLING CASH'!$C:$C, "&lt;" &amp; EDATE(D17, 1),
           'SELLING CASH'!$R:$R,"&lt;&gt;OIL")+
    SUMIFS('PAYMENT CREDIT'!$F:$F, 
           'PAYMENT CREDIT'!$C:$C, "&gt;=" &amp; D17,
           'PAYMENT CREDIT'!$C:$C, "&lt;" &amp; EDATE(D17, 1))-
    SUMIFS('SELLING CASH'!$J:$J, 
           'SELLING CASH'!$C:$C, "&gt;=" &amp; D17,
           'SELLING CASH'!$C:$C, "&lt;" &amp; EDATE(D17, 1)
))</f>
        <v>0</v>
      </c>
      <c r="F17" s="500">
        <f t="shared" si="3"/>
        <v>0</v>
      </c>
      <c r="G17" s="500">
        <f>IF(D17="", "", 
    SUMIFS('SELLING CASH'!$N:$N, 
           'SELLING CASH'!$C:$C, "&gt;=" &amp; D17,
           'SELLING CASH'!$C:$C, "&lt;" &amp; EDATE(D17, 1),
           'SELLING CASH'!$R:$R,"&lt;&gt;OIL",
           'SELLING CASH'!$R:$R,"&lt;&gt;SERVICE")+
    SUMIFS('PAYMENT CREDIT'!$G:$G, 
           'PAYMENT CREDIT'!$C:$C, "&gt;=" &amp; D17,
           'PAYMENT CREDIT'!$C:$C, "&lt;" &amp; EDATE(D17, 1))-
    SUMIFS('SELLING CREDIT'!$K:$K, 
           'SELLING CREDIT'!$C:$C, "&gt;=" &amp; D17,
           'SELLING CREDIT'!$C:$C, "&lt;" &amp; EDATE(D17, 1)
))</f>
        <v>0</v>
      </c>
      <c r="H17" s="501">
        <f>IF(D17="", "", 
    SUMIFS('SELLING CASH'!$N:$N, 
           'SELLING CASH'!$C:$C, "&gt;=" &amp; D17,
           'SELLING CASH'!$C:$C, "&lt;" &amp; EDATE(D17, 1),
           'SELLING CASH'!$R:$R,"SERVICE"))</f>
        <v>0</v>
      </c>
      <c r="I17" s="502">
        <f>IF(D17="", "", 
    SUMIFS('PAYMENT SUPPLIER'!$E:$E, 
           'PAYMENT SUPPLIER'!$C:$C, "&gt;=" &amp; D17,
           'PAYMENT SUPPLIER'!$C:$C, "&lt;" &amp; EDATE(D17, 1)
           ))</f>
        <v>0</v>
      </c>
      <c r="J17" s="502">
        <f>IF(D17="", "", 
    SUMIFS(EXPENSES!$D:$D, 
           EXPENSES!$C:$C, "&gt;=" &amp; D17,
           EXPENSES!$C:$C, "&lt;" &amp; EDATE(D17, 1)
           ))</f>
        <v>0</v>
      </c>
      <c r="K17" s="500">
        <f t="shared" ref="K17:L17" si="14">F17-I17</f>
        <v>0</v>
      </c>
      <c r="L17" s="501">
        <f t="shared" si="14"/>
        <v>0</v>
      </c>
      <c r="M17" s="503">
        <f t="shared" si="5"/>
        <v>0</v>
      </c>
      <c r="N17" s="49"/>
      <c r="O17" s="49"/>
      <c r="P17" s="493">
        <v>46269.0</v>
      </c>
      <c r="Q17" s="494" t="s">
        <v>1033</v>
      </c>
      <c r="R17" s="495"/>
      <c r="S17" s="494" t="s">
        <v>2515</v>
      </c>
      <c r="T17" s="493">
        <v>46269.0</v>
      </c>
      <c r="U17" s="496">
        <v>2722048.0</v>
      </c>
      <c r="V17" s="497"/>
      <c r="W17" s="497"/>
      <c r="X17" s="498" t="s">
        <v>97</v>
      </c>
    </row>
    <row r="18" ht="15.0" customHeight="1">
      <c r="A18" s="49"/>
      <c r="D18" s="506" t="str">
        <f t="shared" si="2"/>
        <v>December 2026</v>
      </c>
      <c r="E18" s="507">
        <f>IF(D18="", "", 
    SUMIFS('SELLING CASH'!$I:$I, 
           'SELLING CASH'!$C:$C, "&gt;=" &amp; D18,
           'SELLING CASH'!$C:$C, "&lt;" &amp; EDATE(D18, 1),
           'SELLING CASH'!$R:$R,"&lt;&gt;OIL")+
    SUMIFS('PAYMENT CREDIT'!$F:$F, 
           'PAYMENT CREDIT'!$C:$C, "&gt;=" &amp; D18,
           'PAYMENT CREDIT'!$C:$C, "&lt;" &amp; EDATE(D18, 1))-
    SUMIFS('SELLING CASH'!$J:$J, 
           'SELLING CASH'!$C:$C, "&gt;=" &amp; D18,
           'SELLING CASH'!$C:$C, "&lt;" &amp; EDATE(D18, 1)
))</f>
        <v>0</v>
      </c>
      <c r="F18" s="507">
        <f t="shared" si="3"/>
        <v>0</v>
      </c>
      <c r="G18" s="507">
        <f>IF(D18="", "", 
    SUMIFS('SELLING CASH'!$N:$N, 
           'SELLING CASH'!$C:$C, "&gt;=" &amp; D18,
           'SELLING CASH'!$C:$C, "&lt;" &amp; EDATE(D18, 1),
           'SELLING CASH'!$R:$R,"&lt;&gt;OIL",
           'SELLING CASH'!$R:$R,"&lt;&gt;SERVICE")+
    SUMIFS('PAYMENT CREDIT'!$G:$G, 
           'PAYMENT CREDIT'!$C:$C, "&gt;=" &amp; D18,
           'PAYMENT CREDIT'!$C:$C, "&lt;" &amp; EDATE(D18, 1))-
    SUMIFS('SELLING CREDIT'!$K:$K, 
           'SELLING CREDIT'!$C:$C, "&gt;=" &amp; D18,
           'SELLING CREDIT'!$C:$C, "&lt;" &amp; EDATE(D18, 1)
))</f>
        <v>0</v>
      </c>
      <c r="H18" s="509">
        <f>IF(D18="", "", 
    SUMIFS('SELLING CASH'!$N:$N, 
           'SELLING CASH'!$C:$C, "&gt;=" &amp; D18,
           'SELLING CASH'!$C:$C, "&lt;" &amp; EDATE(D18, 1),
           'SELLING CASH'!$R:$R,"SERVICE"))</f>
        <v>0</v>
      </c>
      <c r="I18" s="510">
        <f>IF(D18="", "", 
    SUMIFS('PAYMENT SUPPLIER'!$E:$E, 
           'PAYMENT SUPPLIER'!$C:$C, "&gt;=" &amp; D18,
           'PAYMENT SUPPLIER'!$C:$C, "&lt;" &amp; EDATE(D18, 1)
           ))</f>
        <v>0</v>
      </c>
      <c r="J18" s="510">
        <f>IF(D18="", "", 
    SUMIFS(EXPENSES!$D:$D, 
           EXPENSES!$C:$C, "&gt;=" &amp; D18,
           EXPENSES!$C:$C, "&lt;" &amp; EDATE(D18, 1)
           ))</f>
        <v>0</v>
      </c>
      <c r="K18" s="507">
        <f t="shared" ref="K18:L18" si="15">F18-I18</f>
        <v>0</v>
      </c>
      <c r="L18" s="509">
        <f t="shared" si="15"/>
        <v>0</v>
      </c>
      <c r="M18" s="511">
        <f t="shared" si="5"/>
        <v>0</v>
      </c>
      <c r="N18" s="49"/>
      <c r="O18" s="49"/>
      <c r="P18" s="493">
        <v>46269.0</v>
      </c>
      <c r="Q18" s="494" t="s">
        <v>1097</v>
      </c>
      <c r="R18" s="495"/>
      <c r="S18" s="494" t="s">
        <v>2515</v>
      </c>
      <c r="T18" s="493">
        <v>46269.0</v>
      </c>
      <c r="U18" s="496">
        <v>3379354.0</v>
      </c>
      <c r="V18" s="497"/>
      <c r="W18" s="497"/>
      <c r="X18" s="498" t="s">
        <v>97</v>
      </c>
    </row>
    <row r="19" ht="15.0" customHeight="1">
      <c r="A19" s="49"/>
      <c r="D19" s="513"/>
      <c r="E19" s="12">
        <f t="shared" ref="E19:M19" si="16">sum(E7:E18)</f>
        <v>3815138000</v>
      </c>
      <c r="F19" s="12">
        <f t="shared" si="16"/>
        <v>3262785000</v>
      </c>
      <c r="G19" s="12">
        <f t="shared" si="16"/>
        <v>447098000</v>
      </c>
      <c r="H19" s="12">
        <f t="shared" si="16"/>
        <v>105255000</v>
      </c>
      <c r="I19" s="12">
        <f t="shared" si="16"/>
        <v>3045974009</v>
      </c>
      <c r="J19" s="12">
        <f t="shared" si="16"/>
        <v>435942091</v>
      </c>
      <c r="K19" s="12">
        <f t="shared" si="16"/>
        <v>216810991</v>
      </c>
      <c r="L19" s="48">
        <f t="shared" si="16"/>
        <v>11155909</v>
      </c>
      <c r="M19" s="48">
        <f t="shared" si="16"/>
        <v>105255000</v>
      </c>
      <c r="N19" s="49"/>
      <c r="O19" s="49"/>
      <c r="P19" s="493">
        <v>46269.0</v>
      </c>
      <c r="Q19" s="494" t="s">
        <v>1175</v>
      </c>
      <c r="R19" s="495"/>
      <c r="S19" s="494" t="s">
        <v>2515</v>
      </c>
      <c r="T19" s="493">
        <v>46269.0</v>
      </c>
      <c r="U19" s="496">
        <v>3557478.0</v>
      </c>
      <c r="V19" s="497"/>
      <c r="W19" s="497"/>
      <c r="X19" s="498" t="s">
        <v>97</v>
      </c>
    </row>
    <row r="20" ht="15.0" customHeight="1">
      <c r="A20" s="49"/>
      <c r="D20" s="513"/>
      <c r="E20" s="12"/>
      <c r="F20" s="12"/>
      <c r="G20" s="12"/>
      <c r="H20" s="462"/>
      <c r="I20" s="463"/>
      <c r="J20" s="463"/>
      <c r="K20" s="12"/>
      <c r="L20" s="48"/>
      <c r="M20" s="49"/>
      <c r="N20" s="49"/>
      <c r="O20" s="49"/>
      <c r="P20" s="493">
        <v>46269.0</v>
      </c>
      <c r="Q20" s="494" t="s">
        <v>614</v>
      </c>
      <c r="R20" s="495"/>
      <c r="S20" s="494" t="s">
        <v>2515</v>
      </c>
      <c r="T20" s="493">
        <v>46269.0</v>
      </c>
      <c r="U20" s="496">
        <v>7546606.0</v>
      </c>
      <c r="V20" s="497"/>
      <c r="W20" s="497"/>
      <c r="X20" s="498" t="s">
        <v>97</v>
      </c>
    </row>
    <row r="21" ht="15.0" customHeight="1">
      <c r="A21" s="49"/>
      <c r="D21" s="513"/>
      <c r="E21" s="12"/>
      <c r="F21" s="12"/>
      <c r="G21" s="12"/>
      <c r="H21" s="462"/>
      <c r="I21" s="463"/>
      <c r="J21" s="463"/>
      <c r="K21" s="12"/>
      <c r="L21" s="48"/>
      <c r="M21" s="49"/>
      <c r="N21" s="49"/>
      <c r="O21" s="49"/>
      <c r="P21" s="493">
        <v>46269.0</v>
      </c>
      <c r="Q21" s="494" t="s">
        <v>627</v>
      </c>
      <c r="R21" s="495"/>
      <c r="S21" s="494" t="s">
        <v>2515</v>
      </c>
      <c r="T21" s="493">
        <v>46269.0</v>
      </c>
      <c r="U21" s="496">
        <v>3518268.0</v>
      </c>
      <c r="V21" s="497"/>
      <c r="W21" s="497"/>
      <c r="X21" s="498" t="s">
        <v>97</v>
      </c>
    </row>
    <row r="22" ht="15.0" customHeight="1">
      <c r="A22" s="49"/>
      <c r="D22" s="513"/>
      <c r="E22" s="12"/>
      <c r="F22" s="1" t="s">
        <v>2606</v>
      </c>
      <c r="G22" s="12"/>
      <c r="H22" s="462"/>
      <c r="I22" s="463"/>
      <c r="J22" s="463"/>
      <c r="K22" s="12"/>
      <c r="L22" s="48"/>
      <c r="M22" s="49"/>
      <c r="N22" s="49"/>
      <c r="O22" s="49"/>
      <c r="P22" s="493">
        <v>46269.0</v>
      </c>
      <c r="Q22" s="494" t="s">
        <v>622</v>
      </c>
      <c r="R22" s="495"/>
      <c r="S22" s="494" t="s">
        <v>2515</v>
      </c>
      <c r="T22" s="493">
        <v>46269.0</v>
      </c>
      <c r="U22" s="496">
        <v>6808883.0</v>
      </c>
      <c r="V22" s="497"/>
      <c r="W22" s="497"/>
      <c r="X22" s="498" t="s">
        <v>97</v>
      </c>
    </row>
    <row r="23" ht="15.0" customHeight="1">
      <c r="A23" s="49"/>
      <c r="D23" s="513"/>
      <c r="E23" s="12"/>
      <c r="F23" s="12"/>
      <c r="G23" s="12"/>
      <c r="H23" s="462"/>
      <c r="I23" s="463"/>
      <c r="J23" s="463"/>
      <c r="K23" s="12"/>
      <c r="L23" s="48"/>
      <c r="M23" s="49"/>
      <c r="N23" s="49"/>
      <c r="O23" s="49"/>
      <c r="P23" s="493">
        <v>46269.0</v>
      </c>
      <c r="Q23" s="494" t="s">
        <v>1196</v>
      </c>
      <c r="R23" s="495"/>
      <c r="S23" s="494" t="s">
        <v>2515</v>
      </c>
      <c r="T23" s="493">
        <v>46269.0</v>
      </c>
      <c r="U23" s="496">
        <v>1886861.0</v>
      </c>
      <c r="V23" s="497"/>
      <c r="W23" s="497"/>
      <c r="X23" s="498" t="s">
        <v>97</v>
      </c>
    </row>
    <row r="24" ht="15.0" customHeight="1">
      <c r="A24" s="49"/>
      <c r="D24" s="513"/>
      <c r="E24" s="12"/>
      <c r="F24" s="12"/>
      <c r="G24" s="12"/>
      <c r="H24" s="462"/>
      <c r="I24" s="463"/>
      <c r="J24" s="463"/>
      <c r="K24" s="12"/>
      <c r="L24" s="48"/>
      <c r="M24" s="49"/>
      <c r="N24" s="49"/>
      <c r="O24" s="49"/>
      <c r="P24" s="493">
        <v>46269.0</v>
      </c>
      <c r="Q24" s="494" t="s">
        <v>652</v>
      </c>
      <c r="R24" s="495"/>
      <c r="S24" s="494" t="s">
        <v>2517</v>
      </c>
      <c r="T24" s="493">
        <v>46269.0</v>
      </c>
      <c r="U24" s="496">
        <v>3469020.0</v>
      </c>
      <c r="V24" s="497"/>
      <c r="W24" s="497"/>
      <c r="X24" s="498" t="s">
        <v>97</v>
      </c>
    </row>
    <row r="25" ht="15.0" customHeight="1">
      <c r="A25" s="49"/>
      <c r="D25" s="513"/>
      <c r="E25" s="12"/>
      <c r="F25" s="12"/>
      <c r="G25" s="12"/>
      <c r="H25" s="462"/>
      <c r="I25" s="463"/>
      <c r="J25" s="463"/>
      <c r="K25" s="12"/>
      <c r="L25" s="48"/>
      <c r="M25" s="49"/>
      <c r="N25" s="49"/>
      <c r="O25" s="49"/>
      <c r="P25" s="493">
        <v>46269.0</v>
      </c>
      <c r="Q25" s="494" t="s">
        <v>737</v>
      </c>
      <c r="R25" s="495"/>
      <c r="S25" s="494" t="s">
        <v>2517</v>
      </c>
      <c r="T25" s="493">
        <v>46269.0</v>
      </c>
      <c r="U25" s="496">
        <v>3615024.0</v>
      </c>
      <c r="V25" s="497"/>
      <c r="W25" s="497"/>
      <c r="X25" s="498" t="s">
        <v>97</v>
      </c>
    </row>
    <row r="26" ht="15.0" customHeight="1">
      <c r="A26" s="49"/>
      <c r="D26" s="513"/>
      <c r="E26" s="12"/>
      <c r="F26" s="12"/>
      <c r="G26" s="12"/>
      <c r="H26" s="462"/>
      <c r="I26" s="463"/>
      <c r="J26" s="463"/>
      <c r="K26" s="12"/>
      <c r="L26" s="48"/>
      <c r="M26" s="49"/>
      <c r="N26" s="49"/>
      <c r="O26" s="49"/>
      <c r="P26" s="493">
        <v>46269.0</v>
      </c>
      <c r="Q26" s="494" t="s">
        <v>1133</v>
      </c>
      <c r="R26" s="495"/>
      <c r="S26" s="494" t="s">
        <v>2518</v>
      </c>
      <c r="T26" s="493">
        <v>46269.0</v>
      </c>
      <c r="U26" s="496">
        <v>3517695.0</v>
      </c>
      <c r="V26" s="497"/>
      <c r="W26" s="497"/>
      <c r="X26" s="498" t="s">
        <v>97</v>
      </c>
    </row>
    <row r="27" ht="15.0" customHeight="1">
      <c r="A27" s="49"/>
      <c r="D27" s="513"/>
      <c r="E27" s="12"/>
      <c r="F27" s="12"/>
      <c r="G27" s="12"/>
      <c r="H27" s="462"/>
      <c r="I27" s="463"/>
      <c r="J27" s="463"/>
      <c r="K27" s="12"/>
      <c r="L27" s="48"/>
      <c r="M27" s="49"/>
      <c r="N27" s="49"/>
      <c r="O27" s="49"/>
      <c r="P27" s="493">
        <v>46269.0</v>
      </c>
      <c r="Q27" s="494" t="s">
        <v>947</v>
      </c>
      <c r="R27" s="495"/>
      <c r="S27" s="494" t="s">
        <v>2518</v>
      </c>
      <c r="T27" s="493">
        <v>46269.0</v>
      </c>
      <c r="U27" s="496">
        <v>2113038.0</v>
      </c>
      <c r="V27" s="497"/>
      <c r="W27" s="497"/>
      <c r="X27" s="498" t="s">
        <v>97</v>
      </c>
    </row>
  </sheetData>
  <mergeCells count="15">
    <mergeCell ref="P5:P6"/>
    <mergeCell ref="Q5:R5"/>
    <mergeCell ref="S5:S6"/>
    <mergeCell ref="T5:T6"/>
    <mergeCell ref="U5:U6"/>
    <mergeCell ref="V5:V6"/>
    <mergeCell ref="W5:W6"/>
    <mergeCell ref="X5:X6"/>
    <mergeCell ref="D5:D6"/>
    <mergeCell ref="E5:E6"/>
    <mergeCell ref="F5:H5"/>
    <mergeCell ref="I5:I6"/>
    <mergeCell ref="J5:J6"/>
    <mergeCell ref="K5:M5"/>
    <mergeCell ref="N5:N6"/>
  </mergeCells>
  <dataValidations>
    <dataValidation type="list" allowBlank="1" showErrorMessage="1" sqref="E2">
      <formula1>"2025,2026,2027"</formula1>
    </dataValidation>
    <dataValidation type="list" allowBlank="1" showErrorMessage="1" sqref="Q3">
      <formula1>"2025,2026,2027,2028,2029,2030"</formula1>
    </dataValidation>
    <dataValidation type="list" allowBlank="1" showErrorMessage="1" sqref="T3">
      <formula1>"BIAN,IBU"</formula1>
    </dataValidation>
    <dataValidation type="list" allowBlank="1" showErrorMessage="1" sqref="Q2">
      <formula1>"Januari,Februari,Maret,April,Mei,Juni,Juli,Agustus,September,Oktober,November,Desember"</formula1>
    </dataValidation>
    <dataValidation type="list" allowBlank="1" showErrorMessage="1" sqref="T2">
      <formula1>"PENJUALAN,PEMBELIAN"</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0"/>
    <col customWidth="1" min="2" max="2" width="2.13"/>
    <col customWidth="1" min="3" max="3" width="12.25"/>
    <col customWidth="1" min="4" max="4" width="14.63"/>
    <col customWidth="1" min="5" max="5" width="13.13"/>
    <col customWidth="1" min="7" max="7" width="9.38"/>
    <col customWidth="1" min="8" max="8" width="30.75"/>
    <col customWidth="1" min="9" max="9" width="17.13"/>
    <col customWidth="1" min="10" max="10" width="15.5"/>
  </cols>
  <sheetData>
    <row r="1" ht="33.0" customHeight="1">
      <c r="A1" s="39"/>
      <c r="B1" s="2"/>
      <c r="C1" s="37" t="s">
        <v>8</v>
      </c>
      <c r="D1" s="542" t="s">
        <v>10</v>
      </c>
      <c r="E1" s="542" t="s">
        <v>2614</v>
      </c>
      <c r="F1" s="543" t="s">
        <v>2615</v>
      </c>
    </row>
    <row r="2" ht="16.5" customHeight="1">
      <c r="A2" s="39"/>
      <c r="B2" s="2"/>
      <c r="C2" s="138">
        <v>45902.0</v>
      </c>
      <c r="D2" s="195">
        <v>1850000.0</v>
      </c>
      <c r="E2" s="544" t="s">
        <v>133</v>
      </c>
      <c r="F2" s="288">
        <f>COUNTA(C:C)</f>
        <v>1252</v>
      </c>
    </row>
    <row r="3" ht="14.25" customHeight="1">
      <c r="A3" s="49"/>
      <c r="C3" s="138">
        <v>45902.0</v>
      </c>
      <c r="D3" s="195">
        <v>1350000.0</v>
      </c>
      <c r="E3" s="544" t="s">
        <v>133</v>
      </c>
      <c r="F3" s="545"/>
    </row>
    <row r="4" ht="17.25" customHeight="1">
      <c r="A4" s="49"/>
      <c r="C4" s="138">
        <v>45902.0</v>
      </c>
      <c r="D4" s="195">
        <v>130000.0</v>
      </c>
      <c r="E4" s="544" t="s">
        <v>142</v>
      </c>
      <c r="F4" s="288"/>
    </row>
    <row r="5" ht="15.0" customHeight="1">
      <c r="A5" s="49"/>
      <c r="C5" s="138">
        <v>45902.0</v>
      </c>
      <c r="D5" s="195">
        <v>1740000.0</v>
      </c>
      <c r="E5" s="544" t="s">
        <v>133</v>
      </c>
      <c r="F5" s="545"/>
    </row>
    <row r="6" ht="15.0" customHeight="1">
      <c r="A6" s="49"/>
      <c r="C6" s="138">
        <v>45904.0</v>
      </c>
      <c r="D6" s="195">
        <v>3930000.0</v>
      </c>
      <c r="E6" s="544" t="s">
        <v>133</v>
      </c>
      <c r="F6" s="288"/>
    </row>
    <row r="7" ht="15.0" customHeight="1">
      <c r="A7" s="49"/>
      <c r="C7" s="138">
        <v>45904.0</v>
      </c>
      <c r="D7" s="195">
        <v>1080000.0</v>
      </c>
      <c r="E7" s="544" t="s">
        <v>133</v>
      </c>
      <c r="F7" s="545"/>
    </row>
    <row r="8" ht="15.0" customHeight="1">
      <c r="A8" s="49"/>
      <c r="C8" s="138">
        <v>45904.0</v>
      </c>
      <c r="D8" s="195">
        <v>2100000.0</v>
      </c>
      <c r="E8" s="544" t="s">
        <v>133</v>
      </c>
      <c r="F8" s="545"/>
    </row>
    <row r="9" ht="15.0" customHeight="1">
      <c r="A9" s="49"/>
      <c r="C9" s="138">
        <v>45905.0</v>
      </c>
      <c r="D9" s="195">
        <v>440000.0</v>
      </c>
      <c r="E9" s="544" t="s">
        <v>133</v>
      </c>
      <c r="F9" s="545"/>
    </row>
    <row r="10" ht="15.0" customHeight="1">
      <c r="A10" s="49"/>
      <c r="C10" s="138">
        <v>45908.0</v>
      </c>
      <c r="D10" s="195">
        <v>1100000.0</v>
      </c>
      <c r="E10" s="544" t="s">
        <v>133</v>
      </c>
      <c r="F10" s="545"/>
    </row>
    <row r="11" ht="15.0" customHeight="1">
      <c r="A11" s="49"/>
      <c r="C11" s="138">
        <v>45908.0</v>
      </c>
      <c r="D11" s="195">
        <v>1000000.0</v>
      </c>
      <c r="E11" s="544" t="s">
        <v>133</v>
      </c>
      <c r="F11" s="545"/>
    </row>
    <row r="12" ht="15.0" customHeight="1">
      <c r="A12" s="49"/>
      <c r="C12" s="138">
        <v>45989.0</v>
      </c>
      <c r="D12" s="195">
        <v>1240000.0</v>
      </c>
      <c r="E12" s="544" t="s">
        <v>133</v>
      </c>
      <c r="F12" s="545"/>
    </row>
    <row r="13" ht="15.0" customHeight="1">
      <c r="A13" s="49"/>
      <c r="C13" s="185">
        <v>45989.0</v>
      </c>
      <c r="D13" s="195">
        <v>3155000.0</v>
      </c>
      <c r="E13" s="544" t="s">
        <v>173</v>
      </c>
      <c r="F13" s="545"/>
    </row>
    <row r="14" ht="15.0" customHeight="1">
      <c r="A14" s="49"/>
      <c r="C14" s="185">
        <v>45989.0</v>
      </c>
      <c r="D14" s="195">
        <v>440000.0</v>
      </c>
      <c r="E14" s="544" t="s">
        <v>173</v>
      </c>
      <c r="F14" s="546"/>
    </row>
    <row r="15" ht="15.0" customHeight="1">
      <c r="A15" s="49"/>
      <c r="C15" s="185">
        <v>45989.0</v>
      </c>
      <c r="D15" s="195">
        <v>3300000.0</v>
      </c>
      <c r="E15" s="544" t="s">
        <v>133</v>
      </c>
      <c r="F15" s="546"/>
    </row>
    <row r="16" ht="15.0" customHeight="1">
      <c r="A16" s="49"/>
      <c r="C16" s="185">
        <v>45989.0</v>
      </c>
      <c r="D16" s="195">
        <v>30000.0</v>
      </c>
      <c r="E16" s="544" t="s">
        <v>133</v>
      </c>
      <c r="F16" s="546"/>
    </row>
    <row r="17" ht="15.0" customHeight="1">
      <c r="A17" s="49"/>
      <c r="C17" s="192">
        <v>45990.0</v>
      </c>
      <c r="D17" s="195">
        <v>100000.0</v>
      </c>
      <c r="E17" s="544" t="s">
        <v>173</v>
      </c>
      <c r="F17" s="546"/>
    </row>
    <row r="18" ht="15.0" customHeight="1">
      <c r="A18" s="49"/>
      <c r="C18" s="192">
        <v>45990.0</v>
      </c>
      <c r="D18" s="195">
        <v>130000.0</v>
      </c>
      <c r="E18" s="544" t="s">
        <v>133</v>
      </c>
      <c r="F18" s="546"/>
    </row>
    <row r="19" ht="15.0" customHeight="1">
      <c r="A19" s="49"/>
      <c r="C19" s="192">
        <v>45990.0</v>
      </c>
      <c r="D19" s="195">
        <v>2300000.0</v>
      </c>
      <c r="E19" s="544" t="s">
        <v>133</v>
      </c>
      <c r="F19" s="546"/>
    </row>
    <row r="20" ht="15.0" customHeight="1">
      <c r="A20" s="49"/>
      <c r="C20" s="192">
        <v>45990.0</v>
      </c>
      <c r="D20" s="195">
        <v>1560000.0</v>
      </c>
      <c r="E20" s="544" t="s">
        <v>173</v>
      </c>
      <c r="F20" s="546"/>
    </row>
    <row r="21" ht="15.0" customHeight="1">
      <c r="A21" s="49"/>
      <c r="C21" s="192">
        <v>45991.0</v>
      </c>
      <c r="D21" s="195">
        <v>1700000.0</v>
      </c>
      <c r="E21" s="544" t="s">
        <v>133</v>
      </c>
      <c r="F21" s="546"/>
    </row>
    <row r="22" ht="15.0" customHeight="1">
      <c r="A22" s="49"/>
      <c r="C22" s="192">
        <v>45991.0</v>
      </c>
      <c r="D22" s="195">
        <v>630000.0</v>
      </c>
      <c r="E22" s="544" t="s">
        <v>173</v>
      </c>
      <c r="F22" s="546"/>
    </row>
    <row r="23" ht="15.0" customHeight="1">
      <c r="A23" s="49"/>
      <c r="C23" s="192">
        <v>45992.0</v>
      </c>
      <c r="D23" s="195">
        <v>2800000.0</v>
      </c>
      <c r="E23" s="544" t="s">
        <v>133</v>
      </c>
      <c r="F23" s="546"/>
    </row>
    <row r="24" ht="15.0" customHeight="1">
      <c r="A24" s="49"/>
      <c r="C24" s="192">
        <v>45992.0</v>
      </c>
      <c r="D24" s="195">
        <v>1420000.0</v>
      </c>
      <c r="E24" s="544" t="s">
        <v>173</v>
      </c>
      <c r="F24" s="546"/>
    </row>
    <row r="25" ht="15.0" customHeight="1">
      <c r="A25" s="49"/>
      <c r="C25" s="192">
        <v>45992.0</v>
      </c>
      <c r="D25" s="195">
        <v>1750000.0</v>
      </c>
      <c r="E25" s="544" t="s">
        <v>142</v>
      </c>
      <c r="F25" s="546"/>
    </row>
    <row r="26" ht="15.0" customHeight="1">
      <c r="A26" s="49"/>
      <c r="C26" s="192">
        <v>45993.0</v>
      </c>
      <c r="D26" s="195">
        <v>4000000.0</v>
      </c>
      <c r="E26" s="544" t="s">
        <v>142</v>
      </c>
      <c r="F26" s="546"/>
    </row>
    <row r="27" ht="15.0" customHeight="1">
      <c r="A27" s="49"/>
      <c r="C27" s="192">
        <v>45993.0</v>
      </c>
      <c r="D27" s="195">
        <v>2110000.0</v>
      </c>
      <c r="E27" s="544" t="s">
        <v>133</v>
      </c>
      <c r="F27" s="546"/>
    </row>
    <row r="28" ht="15.0" customHeight="1">
      <c r="A28" s="49"/>
      <c r="C28" s="192">
        <v>45993.0</v>
      </c>
      <c r="D28" s="195">
        <v>1400000.0</v>
      </c>
      <c r="E28" s="544" t="s">
        <v>133</v>
      </c>
      <c r="F28" s="546"/>
    </row>
    <row r="29" ht="15.0" customHeight="1">
      <c r="A29" s="49"/>
      <c r="C29" s="192">
        <v>45994.0</v>
      </c>
      <c r="D29" s="195">
        <v>600000.0</v>
      </c>
      <c r="E29" s="544" t="s">
        <v>142</v>
      </c>
      <c r="F29" s="546"/>
    </row>
    <row r="30" ht="15.0" customHeight="1">
      <c r="A30" s="49"/>
      <c r="C30" s="192">
        <v>45994.0</v>
      </c>
      <c r="D30" s="195">
        <v>2850000.0</v>
      </c>
      <c r="E30" s="445"/>
      <c r="F30" s="546"/>
    </row>
    <row r="31" ht="15.0" customHeight="1">
      <c r="A31" s="49"/>
      <c r="C31" s="192">
        <v>45994.0</v>
      </c>
      <c r="D31" s="195">
        <v>320000.0</v>
      </c>
      <c r="E31" s="544" t="s">
        <v>173</v>
      </c>
      <c r="F31" s="546"/>
    </row>
    <row r="32" ht="15.0" customHeight="1">
      <c r="A32" s="49"/>
      <c r="C32" s="192">
        <v>45995.0</v>
      </c>
      <c r="D32" s="195">
        <v>1.416E7</v>
      </c>
      <c r="E32" s="544" t="s">
        <v>142</v>
      </c>
      <c r="F32" s="546"/>
    </row>
    <row r="33" ht="15.0" customHeight="1">
      <c r="A33" s="49"/>
      <c r="C33" s="192">
        <v>45995.0</v>
      </c>
      <c r="D33" s="195">
        <v>645000.0</v>
      </c>
      <c r="E33" s="544" t="s">
        <v>173</v>
      </c>
      <c r="F33" s="546"/>
    </row>
    <row r="34" ht="15.0" customHeight="1">
      <c r="A34" s="49"/>
      <c r="C34" s="192">
        <v>45995.0</v>
      </c>
      <c r="D34" s="195">
        <v>1670000.0</v>
      </c>
      <c r="E34" s="544" t="s">
        <v>133</v>
      </c>
      <c r="F34" s="546"/>
    </row>
    <row r="35" ht="15.0" customHeight="1">
      <c r="A35" s="49"/>
      <c r="C35" s="192">
        <v>45995.0</v>
      </c>
      <c r="D35" s="195">
        <v>630000.0</v>
      </c>
      <c r="E35" s="544" t="s">
        <v>173</v>
      </c>
      <c r="F35" s="547"/>
    </row>
    <row r="36" ht="15.0" customHeight="1">
      <c r="A36" s="49"/>
      <c r="C36" s="192">
        <v>45996.0</v>
      </c>
      <c r="D36" s="195">
        <v>1840000.0</v>
      </c>
      <c r="E36" s="544" t="s">
        <v>133</v>
      </c>
      <c r="F36" s="546"/>
    </row>
    <row r="37" ht="15.0" customHeight="1">
      <c r="A37" s="49"/>
      <c r="C37" s="192">
        <v>45996.0</v>
      </c>
      <c r="D37" s="195">
        <v>100000.0</v>
      </c>
      <c r="E37" s="544" t="s">
        <v>133</v>
      </c>
      <c r="F37" s="547"/>
    </row>
    <row r="38" ht="15.0" customHeight="1">
      <c r="A38" s="49"/>
      <c r="C38" s="192">
        <v>45997.0</v>
      </c>
      <c r="D38" s="195">
        <v>1360000.0</v>
      </c>
      <c r="E38" s="544" t="s">
        <v>133</v>
      </c>
      <c r="F38" s="547"/>
    </row>
    <row r="39" ht="15.0" customHeight="1">
      <c r="A39" s="49"/>
      <c r="C39" s="192">
        <v>45997.0</v>
      </c>
      <c r="D39" s="195">
        <v>820000.0</v>
      </c>
      <c r="E39" s="544" t="s">
        <v>133</v>
      </c>
      <c r="F39" s="546"/>
    </row>
    <row r="40" ht="15.0" customHeight="1">
      <c r="A40" s="49"/>
      <c r="C40" s="192">
        <v>45997.0</v>
      </c>
      <c r="D40" s="195">
        <v>2100000.0</v>
      </c>
      <c r="E40" s="544" t="s">
        <v>142</v>
      </c>
      <c r="F40" s="546"/>
    </row>
    <row r="41" ht="15.0" customHeight="1">
      <c r="A41" s="49"/>
      <c r="C41" s="192">
        <v>45997.0</v>
      </c>
      <c r="D41" s="195">
        <v>500000.0</v>
      </c>
      <c r="E41" s="544" t="s">
        <v>133</v>
      </c>
      <c r="F41" s="547"/>
    </row>
    <row r="42" ht="15.0" customHeight="1">
      <c r="A42" s="49"/>
      <c r="C42" s="192">
        <v>45999.0</v>
      </c>
      <c r="D42" s="195">
        <v>1130000.0</v>
      </c>
      <c r="E42" s="544" t="s">
        <v>133</v>
      </c>
      <c r="F42" s="546"/>
    </row>
    <row r="43" ht="15.0" customHeight="1">
      <c r="A43" s="49"/>
      <c r="C43" s="192">
        <v>45999.0</v>
      </c>
      <c r="D43" s="195">
        <v>1560000.0</v>
      </c>
      <c r="E43" s="544" t="s">
        <v>133</v>
      </c>
      <c r="F43" s="547"/>
    </row>
    <row r="44" ht="15.0" customHeight="1">
      <c r="A44" s="49"/>
      <c r="C44" s="192">
        <v>45999.0</v>
      </c>
      <c r="D44" s="195">
        <v>4100000.0</v>
      </c>
      <c r="E44" s="544" t="s">
        <v>142</v>
      </c>
      <c r="F44" s="546"/>
    </row>
    <row r="45" ht="15.0" customHeight="1">
      <c r="A45" s="49"/>
      <c r="C45" s="192">
        <v>45999.0</v>
      </c>
      <c r="D45" s="195">
        <v>1535000.0</v>
      </c>
      <c r="E45" s="544" t="s">
        <v>133</v>
      </c>
      <c r="F45" s="547"/>
    </row>
    <row r="46" ht="15.0" customHeight="1">
      <c r="A46" s="49"/>
      <c r="C46" s="192">
        <v>45999.0</v>
      </c>
      <c r="D46" s="195">
        <v>1660000.0</v>
      </c>
      <c r="E46" s="544" t="s">
        <v>173</v>
      </c>
      <c r="F46" s="546"/>
    </row>
    <row r="47" ht="15.0" customHeight="1">
      <c r="A47" s="49"/>
      <c r="C47" s="192">
        <v>45999.0</v>
      </c>
      <c r="D47" s="195">
        <v>680000.0</v>
      </c>
      <c r="E47" s="544" t="s">
        <v>133</v>
      </c>
      <c r="F47" s="546"/>
    </row>
    <row r="48" ht="15.0" customHeight="1">
      <c r="A48" s="49"/>
      <c r="C48" s="192">
        <v>45999.0</v>
      </c>
      <c r="D48" s="195">
        <v>710000.0</v>
      </c>
      <c r="E48" s="544" t="s">
        <v>173</v>
      </c>
      <c r="F48" s="546"/>
    </row>
    <row r="49" ht="15.0" customHeight="1">
      <c r="A49" s="49"/>
      <c r="C49" s="192">
        <v>45999.0</v>
      </c>
      <c r="D49" s="195">
        <v>210000.0</v>
      </c>
      <c r="E49" s="544" t="s">
        <v>173</v>
      </c>
      <c r="F49" s="546"/>
    </row>
    <row r="50" ht="15.0" customHeight="1">
      <c r="A50" s="49"/>
      <c r="C50" s="192">
        <v>46000.0</v>
      </c>
      <c r="D50" s="195">
        <v>4535000.0</v>
      </c>
      <c r="E50" s="544" t="s">
        <v>133</v>
      </c>
      <c r="F50" s="546"/>
    </row>
    <row r="51" ht="15.0" customHeight="1">
      <c r="A51" s="49"/>
      <c r="C51" s="192">
        <v>46000.0</v>
      </c>
      <c r="D51" s="195">
        <v>1485000.0</v>
      </c>
      <c r="E51" s="544" t="s">
        <v>133</v>
      </c>
      <c r="F51" s="546"/>
    </row>
    <row r="52" ht="15.0" customHeight="1">
      <c r="A52" s="49"/>
      <c r="C52" s="192">
        <v>46001.0</v>
      </c>
      <c r="D52" s="195">
        <v>150000.0</v>
      </c>
      <c r="E52" s="544" t="s">
        <v>133</v>
      </c>
      <c r="F52" s="546"/>
    </row>
    <row r="53" ht="15.0" customHeight="1">
      <c r="A53" s="49"/>
      <c r="C53" s="192">
        <v>46001.0</v>
      </c>
      <c r="D53" s="195">
        <v>1750000.0</v>
      </c>
      <c r="E53" s="544" t="s">
        <v>133</v>
      </c>
      <c r="F53" s="546"/>
    </row>
    <row r="54" ht="15.0" customHeight="1">
      <c r="A54" s="49"/>
      <c r="C54" s="192">
        <v>46001.0</v>
      </c>
      <c r="D54" s="195">
        <v>3370000.0</v>
      </c>
      <c r="E54" s="544" t="s">
        <v>133</v>
      </c>
      <c r="F54" s="546"/>
    </row>
    <row r="55" ht="15.0" customHeight="1">
      <c r="A55" s="49"/>
      <c r="C55" s="192">
        <v>46001.0</v>
      </c>
      <c r="D55" s="195">
        <v>130000.0</v>
      </c>
      <c r="E55" s="544" t="s">
        <v>133</v>
      </c>
      <c r="F55" s="546"/>
    </row>
    <row r="56" ht="15.0" customHeight="1">
      <c r="A56" s="49"/>
      <c r="C56" s="192">
        <v>46001.0</v>
      </c>
      <c r="D56" s="195">
        <v>1970000.0</v>
      </c>
      <c r="E56" s="544" t="s">
        <v>133</v>
      </c>
      <c r="F56" s="546"/>
    </row>
    <row r="57" ht="15.0" customHeight="1">
      <c r="A57" s="49"/>
      <c r="C57" s="192">
        <v>46001.0</v>
      </c>
      <c r="D57" s="195">
        <v>675000.0</v>
      </c>
      <c r="E57" s="544" t="s">
        <v>173</v>
      </c>
      <c r="F57" s="546"/>
    </row>
    <row r="58" ht="15.0" customHeight="1">
      <c r="A58" s="49"/>
      <c r="C58" s="192">
        <v>46001.0</v>
      </c>
      <c r="D58" s="195">
        <v>5585000.0</v>
      </c>
      <c r="E58" s="544" t="s">
        <v>173</v>
      </c>
      <c r="F58" s="546"/>
    </row>
    <row r="59" ht="15.0" customHeight="1">
      <c r="A59" s="49"/>
      <c r="C59" s="548">
        <v>46002.0</v>
      </c>
      <c r="D59" s="195">
        <v>3130000.0</v>
      </c>
      <c r="E59" s="544" t="s">
        <v>133</v>
      </c>
      <c r="F59" s="546"/>
    </row>
    <row r="60" ht="15.0" customHeight="1">
      <c r="A60" s="49"/>
      <c r="C60" s="548">
        <v>46002.0</v>
      </c>
      <c r="D60" s="195">
        <v>1000000.0</v>
      </c>
      <c r="E60" s="544" t="s">
        <v>133</v>
      </c>
      <c r="F60" s="546"/>
    </row>
    <row r="61" ht="15.0" customHeight="1">
      <c r="A61" s="49"/>
      <c r="C61" s="548">
        <v>46002.0</v>
      </c>
      <c r="D61" s="195">
        <v>3400000.0</v>
      </c>
      <c r="E61" s="544" t="s">
        <v>133</v>
      </c>
      <c r="F61" s="546"/>
    </row>
    <row r="62" ht="15.0" customHeight="1">
      <c r="A62" s="49"/>
      <c r="C62" s="548">
        <v>46002.0</v>
      </c>
      <c r="D62" s="195">
        <v>3280000.0</v>
      </c>
      <c r="E62" s="544" t="s">
        <v>173</v>
      </c>
      <c r="F62" s="546"/>
    </row>
    <row r="63" ht="15.0" customHeight="1">
      <c r="A63" s="49"/>
      <c r="C63" s="548">
        <v>46002.0</v>
      </c>
      <c r="D63" s="195">
        <v>6600000.0</v>
      </c>
      <c r="E63" s="544" t="s">
        <v>162</v>
      </c>
      <c r="F63" s="546"/>
    </row>
    <row r="64" ht="15.0" customHeight="1">
      <c r="A64" s="49"/>
      <c r="C64" s="548">
        <v>46003.0</v>
      </c>
      <c r="D64" s="195">
        <v>1760000.0</v>
      </c>
      <c r="E64" s="544" t="s">
        <v>173</v>
      </c>
      <c r="F64" s="546"/>
    </row>
    <row r="65" ht="15.0" customHeight="1">
      <c r="A65" s="49"/>
      <c r="C65" s="548">
        <v>46003.0</v>
      </c>
      <c r="D65" s="195">
        <v>4160000.0</v>
      </c>
      <c r="E65" s="544" t="s">
        <v>173</v>
      </c>
      <c r="F65" s="546"/>
    </row>
    <row r="66" ht="15.0" customHeight="1">
      <c r="A66" s="49"/>
      <c r="C66" s="192">
        <v>46003.0</v>
      </c>
      <c r="D66" s="195">
        <v>1260000.0</v>
      </c>
      <c r="E66" s="544" t="s">
        <v>173</v>
      </c>
      <c r="F66" s="546"/>
    </row>
    <row r="67" ht="15.0" customHeight="1">
      <c r="A67" s="49"/>
      <c r="C67" s="548">
        <v>46004.0</v>
      </c>
      <c r="D67" s="195">
        <v>800000.0</v>
      </c>
      <c r="E67" s="544" t="s">
        <v>162</v>
      </c>
      <c r="F67" s="546"/>
    </row>
    <row r="68" ht="15.0" customHeight="1">
      <c r="A68" s="49"/>
      <c r="C68" s="548">
        <v>46004.0</v>
      </c>
      <c r="D68" s="195">
        <v>2167000.0</v>
      </c>
      <c r="E68" s="544" t="s">
        <v>133</v>
      </c>
      <c r="F68" s="546"/>
    </row>
    <row r="69" ht="15.0" customHeight="1">
      <c r="A69" s="49"/>
      <c r="C69" s="548">
        <v>46004.0</v>
      </c>
      <c r="D69" s="195">
        <v>2180000.0</v>
      </c>
      <c r="E69" s="544" t="s">
        <v>133</v>
      </c>
      <c r="F69" s="546"/>
    </row>
    <row r="70" ht="15.0" customHeight="1">
      <c r="A70" s="49"/>
      <c r="C70" s="548">
        <v>46004.0</v>
      </c>
      <c r="D70" s="195">
        <v>440000.0</v>
      </c>
      <c r="E70" s="544" t="s">
        <v>133</v>
      </c>
      <c r="F70" s="546"/>
    </row>
    <row r="71" ht="15.0" customHeight="1">
      <c r="A71" s="49"/>
      <c r="C71" s="192">
        <v>46004.0</v>
      </c>
      <c r="D71" s="195">
        <v>2300000.0</v>
      </c>
      <c r="E71" s="544" t="s">
        <v>162</v>
      </c>
      <c r="F71" s="546"/>
    </row>
    <row r="72" ht="15.0" customHeight="1">
      <c r="A72" s="49"/>
      <c r="C72" s="548">
        <v>46004.0</v>
      </c>
      <c r="D72" s="195">
        <v>324000.0</v>
      </c>
      <c r="E72" s="544" t="s">
        <v>173</v>
      </c>
      <c r="F72" s="546"/>
    </row>
    <row r="73" ht="15.0" customHeight="1">
      <c r="A73" s="49"/>
      <c r="C73" s="548">
        <v>46004.0</v>
      </c>
      <c r="D73" s="195">
        <v>770000.0</v>
      </c>
      <c r="E73" s="544" t="s">
        <v>173</v>
      </c>
      <c r="F73" s="546"/>
    </row>
    <row r="74" ht="15.0" customHeight="1">
      <c r="A74" s="49"/>
      <c r="C74" s="192">
        <v>46005.0</v>
      </c>
      <c r="D74" s="195">
        <v>700000.0</v>
      </c>
      <c r="E74" s="544" t="s">
        <v>173</v>
      </c>
      <c r="F74" s="546"/>
    </row>
    <row r="75" ht="15.0" customHeight="1">
      <c r="A75" s="49"/>
      <c r="C75" s="192">
        <v>46005.0</v>
      </c>
      <c r="D75" s="195">
        <v>3880000.0</v>
      </c>
      <c r="E75" s="544" t="s">
        <v>142</v>
      </c>
      <c r="F75" s="546"/>
    </row>
    <row r="76" ht="15.0" customHeight="1">
      <c r="A76" s="49"/>
      <c r="C76" s="192">
        <v>46005.0</v>
      </c>
      <c r="D76" s="195">
        <v>2000000.0</v>
      </c>
      <c r="E76" s="544" t="s">
        <v>142</v>
      </c>
      <c r="F76" s="546"/>
    </row>
    <row r="77" ht="15.0" customHeight="1">
      <c r="A77" s="49"/>
      <c r="C77" s="548">
        <v>46005.0</v>
      </c>
      <c r="D77" s="195">
        <v>500000.0</v>
      </c>
      <c r="E77" s="544" t="s">
        <v>133</v>
      </c>
      <c r="F77" s="546"/>
    </row>
    <row r="78" ht="15.0" customHeight="1">
      <c r="A78" s="49"/>
      <c r="C78" s="548">
        <v>46006.0</v>
      </c>
      <c r="D78" s="195">
        <v>980000.0</v>
      </c>
      <c r="E78" s="544" t="s">
        <v>173</v>
      </c>
      <c r="F78" s="546"/>
    </row>
    <row r="79" ht="15.0" customHeight="1">
      <c r="A79" s="49"/>
      <c r="C79" s="192">
        <v>46006.0</v>
      </c>
      <c r="D79" s="195">
        <v>1170000.0</v>
      </c>
      <c r="E79" s="544" t="s">
        <v>133</v>
      </c>
      <c r="F79" s="546"/>
    </row>
    <row r="80" ht="15.0" customHeight="1">
      <c r="A80" s="49"/>
      <c r="C80" s="548">
        <v>46006.0</v>
      </c>
      <c r="D80" s="195">
        <v>440000.0</v>
      </c>
      <c r="E80" s="544" t="s">
        <v>133</v>
      </c>
      <c r="F80" s="546"/>
    </row>
    <row r="81" ht="15.0" customHeight="1">
      <c r="A81" s="49"/>
      <c r="C81" s="192">
        <v>46006.0</v>
      </c>
      <c r="D81" s="195">
        <v>670000.0</v>
      </c>
      <c r="E81" s="544" t="s">
        <v>142</v>
      </c>
      <c r="F81" s="546"/>
    </row>
    <row r="82" ht="15.0" customHeight="1">
      <c r="A82" s="49"/>
      <c r="C82" s="548">
        <v>46006.0</v>
      </c>
      <c r="D82" s="195">
        <v>350000.0</v>
      </c>
      <c r="E82" s="544" t="s">
        <v>173</v>
      </c>
      <c r="F82" s="546"/>
    </row>
    <row r="83" ht="22.5" customHeight="1">
      <c r="A83" s="49"/>
      <c r="C83" s="548">
        <v>46007.0</v>
      </c>
      <c r="D83" s="195">
        <v>446000.0</v>
      </c>
      <c r="E83" s="544" t="s">
        <v>2616</v>
      </c>
      <c r="F83" s="546"/>
    </row>
    <row r="84" ht="22.5" customHeight="1">
      <c r="A84" s="49"/>
      <c r="C84" s="192">
        <v>46007.0</v>
      </c>
      <c r="D84" s="195">
        <v>2820000.0</v>
      </c>
      <c r="E84" s="544" t="s">
        <v>133</v>
      </c>
      <c r="F84" s="546"/>
    </row>
    <row r="85" ht="22.5" customHeight="1">
      <c r="A85" s="49"/>
      <c r="C85" s="548">
        <v>46007.0</v>
      </c>
      <c r="D85" s="195">
        <v>380000.0</v>
      </c>
      <c r="E85" s="544" t="s">
        <v>173</v>
      </c>
      <c r="F85" s="546"/>
    </row>
    <row r="86" ht="22.5" customHeight="1">
      <c r="A86" s="49"/>
      <c r="C86" s="548">
        <v>46008.0</v>
      </c>
      <c r="D86" s="195">
        <v>1660000.0</v>
      </c>
      <c r="E86" s="544" t="s">
        <v>133</v>
      </c>
      <c r="F86" s="546"/>
    </row>
    <row r="87" ht="22.5" customHeight="1">
      <c r="A87" s="49"/>
      <c r="C87" s="548">
        <v>46008.0</v>
      </c>
      <c r="D87" s="195">
        <v>1340000.0</v>
      </c>
      <c r="E87" s="544" t="s">
        <v>133</v>
      </c>
      <c r="F87" s="546"/>
    </row>
    <row r="88" ht="22.5" customHeight="1">
      <c r="A88" s="49"/>
      <c r="C88" s="192">
        <v>46008.0</v>
      </c>
      <c r="D88" s="195">
        <v>1800000.0</v>
      </c>
      <c r="E88" s="544" t="s">
        <v>142</v>
      </c>
      <c r="F88" s="546"/>
    </row>
    <row r="89" ht="22.5" customHeight="1">
      <c r="A89" s="49"/>
      <c r="C89" s="548">
        <v>46008.0</v>
      </c>
      <c r="D89" s="195">
        <v>1500000.0</v>
      </c>
      <c r="E89" s="544" t="s">
        <v>133</v>
      </c>
      <c r="F89" s="546"/>
    </row>
    <row r="90" ht="22.5" customHeight="1">
      <c r="A90" s="49"/>
      <c r="C90" s="548">
        <v>46009.0</v>
      </c>
      <c r="D90" s="195">
        <v>2050000.0</v>
      </c>
      <c r="E90" s="544" t="s">
        <v>133</v>
      </c>
      <c r="F90" s="546"/>
    </row>
    <row r="91" ht="22.5" customHeight="1">
      <c r="A91" s="49"/>
      <c r="C91" s="548">
        <v>46009.0</v>
      </c>
      <c r="D91" s="195">
        <v>1830000.0</v>
      </c>
      <c r="E91" s="544" t="s">
        <v>173</v>
      </c>
      <c r="F91" s="546"/>
    </row>
    <row r="92" ht="22.5" customHeight="1">
      <c r="A92" s="49"/>
      <c r="C92" s="548">
        <v>46009.0</v>
      </c>
      <c r="D92" s="195">
        <v>710000.0</v>
      </c>
      <c r="E92" s="544" t="s">
        <v>173</v>
      </c>
      <c r="F92" s="546"/>
    </row>
    <row r="93" ht="22.5" customHeight="1">
      <c r="A93" s="49"/>
      <c r="C93" s="548">
        <v>46009.0</v>
      </c>
      <c r="D93" s="195">
        <v>770000.0</v>
      </c>
      <c r="E93" s="544" t="s">
        <v>173</v>
      </c>
      <c r="F93" s="546"/>
    </row>
    <row r="94" ht="22.5" customHeight="1">
      <c r="A94" s="49"/>
      <c r="C94" s="548">
        <v>46009.0</v>
      </c>
      <c r="D94" s="195">
        <v>685000.0</v>
      </c>
      <c r="E94" s="544" t="s">
        <v>173</v>
      </c>
      <c r="F94" s="546"/>
    </row>
    <row r="95" ht="22.5" customHeight="1">
      <c r="A95" s="49"/>
      <c r="C95" s="548">
        <v>46009.0</v>
      </c>
      <c r="D95" s="195">
        <v>1660000.0</v>
      </c>
      <c r="E95" s="544" t="s">
        <v>142</v>
      </c>
      <c r="F95" s="546"/>
    </row>
    <row r="96" ht="22.5" customHeight="1">
      <c r="A96" s="49"/>
      <c r="C96" s="548">
        <v>46009.0</v>
      </c>
      <c r="D96" s="195">
        <v>760000.0</v>
      </c>
      <c r="E96" s="544" t="s">
        <v>133</v>
      </c>
      <c r="F96" s="546"/>
    </row>
    <row r="97" ht="22.5" customHeight="1">
      <c r="A97" s="49"/>
      <c r="C97" s="548">
        <v>46009.0</v>
      </c>
      <c r="D97" s="195">
        <v>340000.0</v>
      </c>
      <c r="E97" s="544" t="s">
        <v>173</v>
      </c>
      <c r="F97" s="546"/>
    </row>
    <row r="98" ht="22.5" customHeight="1">
      <c r="A98" s="49"/>
      <c r="C98" s="192">
        <v>46010.0</v>
      </c>
      <c r="D98" s="195">
        <v>400000.0</v>
      </c>
      <c r="E98" s="544" t="s">
        <v>173</v>
      </c>
      <c r="F98" s="546"/>
    </row>
    <row r="99" ht="22.5" customHeight="1">
      <c r="A99" s="49"/>
      <c r="C99" s="548">
        <v>46010.0</v>
      </c>
      <c r="D99" s="195">
        <v>485000.0</v>
      </c>
      <c r="E99" s="544" t="s">
        <v>173</v>
      </c>
      <c r="F99" s="546"/>
    </row>
    <row r="100" ht="22.5" customHeight="1">
      <c r="A100" s="49"/>
      <c r="C100" s="548">
        <v>46010.0</v>
      </c>
      <c r="D100" s="195">
        <v>860000.0</v>
      </c>
      <c r="E100" s="544" t="s">
        <v>173</v>
      </c>
      <c r="F100" s="546"/>
    </row>
    <row r="101" ht="22.5" customHeight="1">
      <c r="A101" s="49"/>
      <c r="C101" s="548">
        <v>46010.0</v>
      </c>
      <c r="D101" s="195">
        <v>730000.0</v>
      </c>
      <c r="E101" s="544" t="s">
        <v>133</v>
      </c>
      <c r="F101" s="546"/>
    </row>
    <row r="102" ht="22.5" customHeight="1">
      <c r="A102" s="49"/>
      <c r="C102" s="192">
        <v>46010.0</v>
      </c>
      <c r="D102" s="195">
        <v>1600000.0</v>
      </c>
      <c r="E102" s="544" t="s">
        <v>142</v>
      </c>
      <c r="F102" s="546"/>
    </row>
    <row r="103" ht="22.5" customHeight="1">
      <c r="A103" s="49"/>
      <c r="C103" s="548">
        <v>46010.0</v>
      </c>
      <c r="D103" s="195">
        <v>3160000.0</v>
      </c>
      <c r="E103" s="544" t="s">
        <v>173</v>
      </c>
      <c r="F103" s="546"/>
    </row>
    <row r="104" ht="22.5" customHeight="1">
      <c r="A104" s="49"/>
      <c r="C104" s="548">
        <v>46010.0</v>
      </c>
      <c r="D104" s="195">
        <v>4520000.0</v>
      </c>
      <c r="E104" s="544" t="s">
        <v>173</v>
      </c>
      <c r="F104" s="546"/>
    </row>
    <row r="105" ht="22.5" customHeight="1">
      <c r="A105" s="49"/>
      <c r="C105" s="192">
        <v>46011.0</v>
      </c>
      <c r="D105" s="195">
        <v>3450000.0</v>
      </c>
      <c r="E105" s="544" t="s">
        <v>133</v>
      </c>
      <c r="F105" s="546"/>
    </row>
    <row r="106" ht="22.5" customHeight="1">
      <c r="A106" s="49"/>
      <c r="C106" s="548">
        <v>46011.0</v>
      </c>
      <c r="D106" s="195">
        <v>4520000.0</v>
      </c>
      <c r="E106" s="544" t="s">
        <v>142</v>
      </c>
      <c r="F106" s="546"/>
    </row>
    <row r="107" ht="22.5" customHeight="1">
      <c r="A107" s="49"/>
      <c r="C107" s="548">
        <v>46011.0</v>
      </c>
      <c r="D107" s="195">
        <v>200000.0</v>
      </c>
      <c r="E107" s="544" t="s">
        <v>173</v>
      </c>
      <c r="F107" s="546"/>
    </row>
    <row r="108" ht="22.5" customHeight="1">
      <c r="A108" s="49"/>
      <c r="C108" s="548">
        <v>46011.0</v>
      </c>
      <c r="D108" s="195">
        <v>1340000.0</v>
      </c>
      <c r="E108" s="544" t="s">
        <v>173</v>
      </c>
      <c r="F108" s="546"/>
    </row>
    <row r="109" ht="22.5" customHeight="1">
      <c r="A109" s="49"/>
      <c r="C109" s="548">
        <v>46013.0</v>
      </c>
      <c r="D109" s="195">
        <v>1420000.0</v>
      </c>
      <c r="E109" s="544" t="s">
        <v>133</v>
      </c>
      <c r="F109" s="546"/>
    </row>
    <row r="110" ht="22.5" customHeight="1">
      <c r="A110" s="49"/>
      <c r="C110" s="548">
        <v>46013.0</v>
      </c>
      <c r="D110" s="195">
        <v>380000.0</v>
      </c>
      <c r="E110" s="544" t="s">
        <v>133</v>
      </c>
      <c r="F110" s="546"/>
    </row>
    <row r="111" ht="22.5" customHeight="1">
      <c r="A111" s="49"/>
      <c r="C111" s="548">
        <v>46013.0</v>
      </c>
      <c r="D111" s="195">
        <v>1950000.0</v>
      </c>
      <c r="E111" s="544" t="s">
        <v>173</v>
      </c>
      <c r="F111" s="546"/>
    </row>
    <row r="112" ht="22.5" customHeight="1">
      <c r="A112" s="49"/>
      <c r="C112" s="192">
        <v>46013.0</v>
      </c>
      <c r="D112" s="195">
        <v>2840000.0</v>
      </c>
      <c r="E112" s="544" t="s">
        <v>173</v>
      </c>
      <c r="F112" s="546"/>
    </row>
    <row r="113" ht="22.5" customHeight="1">
      <c r="A113" s="49"/>
      <c r="C113" s="548">
        <v>46013.0</v>
      </c>
      <c r="D113" s="195">
        <v>735000.0</v>
      </c>
      <c r="E113" s="544" t="s">
        <v>173</v>
      </c>
      <c r="F113" s="546"/>
    </row>
    <row r="114" ht="22.5" customHeight="1">
      <c r="A114" s="49"/>
      <c r="C114" s="548">
        <v>46014.0</v>
      </c>
      <c r="D114" s="195">
        <v>320000.0</v>
      </c>
      <c r="E114" s="544" t="s">
        <v>173</v>
      </c>
      <c r="F114" s="546"/>
    </row>
    <row r="115" ht="22.5" customHeight="1">
      <c r="A115" s="49"/>
      <c r="C115" s="192">
        <v>46014.0</v>
      </c>
      <c r="D115" s="195">
        <v>2140000.0</v>
      </c>
      <c r="E115" s="544" t="s">
        <v>133</v>
      </c>
      <c r="F115" s="546"/>
    </row>
    <row r="116" ht="22.5" customHeight="1">
      <c r="A116" s="49"/>
      <c r="C116" s="192">
        <v>46014.0</v>
      </c>
      <c r="D116" s="195">
        <v>685000.0</v>
      </c>
      <c r="E116" s="544" t="s">
        <v>173</v>
      </c>
      <c r="F116" s="546"/>
    </row>
    <row r="117" ht="22.5" customHeight="1">
      <c r="A117" s="49"/>
      <c r="C117" s="192">
        <v>46014.0</v>
      </c>
      <c r="D117" s="195">
        <v>500000.0</v>
      </c>
      <c r="E117" s="544" t="s">
        <v>133</v>
      </c>
      <c r="F117" s="546"/>
    </row>
    <row r="118" ht="22.5" customHeight="1">
      <c r="A118" s="49"/>
      <c r="C118" s="192">
        <v>46015.0</v>
      </c>
      <c r="D118" s="195">
        <v>1420000.0</v>
      </c>
      <c r="E118" s="544" t="s">
        <v>133</v>
      </c>
      <c r="F118" s="546"/>
    </row>
    <row r="119" ht="22.5" customHeight="1">
      <c r="A119" s="49"/>
      <c r="C119" s="192">
        <v>46015.0</v>
      </c>
      <c r="D119" s="195">
        <v>1720000.0</v>
      </c>
      <c r="E119" s="544" t="s">
        <v>162</v>
      </c>
      <c r="F119" s="546"/>
    </row>
    <row r="120" ht="22.5" customHeight="1">
      <c r="A120" s="49"/>
      <c r="C120" s="192">
        <v>46015.0</v>
      </c>
      <c r="D120" s="195">
        <v>1015000.0</v>
      </c>
      <c r="E120" s="544" t="s">
        <v>173</v>
      </c>
      <c r="F120" s="546"/>
    </row>
    <row r="121" ht="22.5" customHeight="1">
      <c r="A121" s="49"/>
      <c r="C121" s="192">
        <v>46015.0</v>
      </c>
      <c r="D121" s="195">
        <v>280000.0</v>
      </c>
      <c r="E121" s="544" t="s">
        <v>133</v>
      </c>
      <c r="F121" s="546"/>
    </row>
    <row r="122" ht="22.5" customHeight="1">
      <c r="A122" s="49"/>
      <c r="C122" s="192">
        <v>46016.0</v>
      </c>
      <c r="D122" s="195">
        <v>2980000.0</v>
      </c>
      <c r="E122" s="544" t="s">
        <v>173</v>
      </c>
      <c r="F122" s="546"/>
    </row>
    <row r="123" ht="22.5" customHeight="1">
      <c r="A123" s="49"/>
      <c r="C123" s="192">
        <v>46016.0</v>
      </c>
      <c r="D123" s="195">
        <v>300000.0</v>
      </c>
      <c r="E123" s="544" t="s">
        <v>173</v>
      </c>
      <c r="F123" s="546"/>
    </row>
    <row r="124" ht="22.5" customHeight="1">
      <c r="A124" s="49"/>
      <c r="C124" s="192">
        <v>46016.0</v>
      </c>
      <c r="D124" s="195">
        <v>2900000.0</v>
      </c>
      <c r="E124" s="544" t="s">
        <v>173</v>
      </c>
      <c r="F124" s="546"/>
    </row>
    <row r="125" ht="22.5" customHeight="1">
      <c r="A125" s="49"/>
      <c r="C125" s="192">
        <v>46017.0</v>
      </c>
      <c r="D125" s="195">
        <v>540000.0</v>
      </c>
      <c r="E125" s="544" t="s">
        <v>173</v>
      </c>
      <c r="F125" s="546"/>
    </row>
    <row r="126" ht="22.5" customHeight="1">
      <c r="A126" s="49"/>
      <c r="C126" s="192">
        <v>46017.0</v>
      </c>
      <c r="D126" s="195">
        <v>2640000.0</v>
      </c>
      <c r="E126" s="544" t="s">
        <v>173</v>
      </c>
      <c r="F126" s="546"/>
    </row>
    <row r="127" ht="22.5" customHeight="1">
      <c r="A127" s="49"/>
      <c r="C127" s="192">
        <v>46018.0</v>
      </c>
      <c r="D127" s="195">
        <v>2150000.0</v>
      </c>
      <c r="E127" s="544" t="s">
        <v>173</v>
      </c>
      <c r="F127" s="546"/>
    </row>
    <row r="128" ht="22.5" customHeight="1">
      <c r="A128" s="49"/>
      <c r="C128" s="192">
        <v>46018.0</v>
      </c>
      <c r="D128" s="195">
        <v>680000.0</v>
      </c>
      <c r="E128" s="544" t="s">
        <v>173</v>
      </c>
      <c r="F128" s="546"/>
    </row>
    <row r="129" ht="22.5" customHeight="1">
      <c r="A129" s="49"/>
      <c r="C129" s="192">
        <v>46018.0</v>
      </c>
      <c r="D129" s="195">
        <v>1450000.0</v>
      </c>
      <c r="E129" s="544" t="s">
        <v>173</v>
      </c>
      <c r="F129" s="546"/>
    </row>
    <row r="130" ht="22.5" customHeight="1">
      <c r="A130" s="49"/>
      <c r="C130" s="192">
        <v>46018.0</v>
      </c>
      <c r="D130" s="195">
        <v>527000.0</v>
      </c>
      <c r="E130" s="544" t="s">
        <v>133</v>
      </c>
      <c r="F130" s="546"/>
    </row>
    <row r="131" ht="22.5" customHeight="1">
      <c r="A131" s="49"/>
      <c r="C131" s="192">
        <v>46018.0</v>
      </c>
      <c r="D131" s="195">
        <v>2350000.0</v>
      </c>
      <c r="E131" s="544" t="s">
        <v>142</v>
      </c>
      <c r="F131" s="546"/>
    </row>
    <row r="132" ht="22.5" customHeight="1">
      <c r="A132" s="49"/>
      <c r="C132" s="192">
        <v>46018.0</v>
      </c>
      <c r="D132" s="195">
        <v>1710000.0</v>
      </c>
      <c r="E132" s="544" t="s">
        <v>173</v>
      </c>
      <c r="F132" s="546"/>
    </row>
    <row r="133" ht="22.5" customHeight="1">
      <c r="A133" s="49"/>
      <c r="C133" s="192">
        <v>46019.0</v>
      </c>
      <c r="D133" s="195">
        <v>2520000.0</v>
      </c>
      <c r="E133" s="544" t="s">
        <v>173</v>
      </c>
      <c r="F133" s="546"/>
    </row>
    <row r="134" ht="22.5" customHeight="1">
      <c r="A134" s="49"/>
      <c r="C134" s="192">
        <v>46019.0</v>
      </c>
      <c r="D134" s="195">
        <v>1470000.0</v>
      </c>
      <c r="E134" s="544" t="s">
        <v>173</v>
      </c>
      <c r="F134" s="546"/>
    </row>
    <row r="135" ht="22.5" customHeight="1">
      <c r="A135" s="49"/>
      <c r="C135" s="192">
        <v>46019.0</v>
      </c>
      <c r="D135" s="195">
        <v>250000.0</v>
      </c>
      <c r="E135" s="544" t="s">
        <v>173</v>
      </c>
      <c r="F135" s="546"/>
    </row>
    <row r="136" ht="22.5" customHeight="1">
      <c r="A136" s="49"/>
      <c r="C136" s="192">
        <v>46020.0</v>
      </c>
      <c r="D136" s="195">
        <v>1470000.0</v>
      </c>
      <c r="E136" s="544" t="s">
        <v>142</v>
      </c>
      <c r="F136" s="546"/>
    </row>
    <row r="137" ht="22.5" customHeight="1">
      <c r="A137" s="49"/>
      <c r="C137" s="192">
        <v>46020.0</v>
      </c>
      <c r="D137" s="195">
        <v>6700000.0</v>
      </c>
      <c r="E137" s="544" t="s">
        <v>133</v>
      </c>
      <c r="F137" s="546"/>
    </row>
    <row r="138" ht="22.5" customHeight="1">
      <c r="A138" s="49"/>
      <c r="C138" s="192">
        <v>46021.0</v>
      </c>
      <c r="D138" s="195">
        <v>685000.0</v>
      </c>
      <c r="E138" s="544" t="s">
        <v>142</v>
      </c>
      <c r="F138" s="546"/>
    </row>
    <row r="139" ht="22.5" customHeight="1">
      <c r="A139" s="49"/>
      <c r="C139" s="192">
        <v>46021.0</v>
      </c>
      <c r="D139" s="195">
        <v>540000.0</v>
      </c>
      <c r="E139" s="544" t="s">
        <v>173</v>
      </c>
      <c r="F139" s="546"/>
    </row>
    <row r="140" ht="22.5" customHeight="1">
      <c r="A140" s="49"/>
      <c r="C140" s="192">
        <v>46021.0</v>
      </c>
      <c r="D140" s="195">
        <v>1900000.0</v>
      </c>
      <c r="E140" s="544" t="s">
        <v>173</v>
      </c>
      <c r="F140" s="546"/>
    </row>
    <row r="141" ht="22.5" customHeight="1">
      <c r="A141" s="49"/>
      <c r="C141" s="192">
        <v>46021.0</v>
      </c>
      <c r="D141" s="195">
        <v>506000.0</v>
      </c>
      <c r="E141" s="544" t="s">
        <v>173</v>
      </c>
      <c r="F141" s="546"/>
    </row>
    <row r="142" ht="22.5" customHeight="1">
      <c r="A142" s="49"/>
      <c r="C142" s="192">
        <v>46021.0</v>
      </c>
      <c r="D142" s="195">
        <v>875000.0</v>
      </c>
      <c r="E142" s="544" t="s">
        <v>173</v>
      </c>
      <c r="F142" s="546"/>
    </row>
    <row r="143" ht="22.5" customHeight="1">
      <c r="A143" s="49"/>
      <c r="C143" s="192">
        <v>46021.0</v>
      </c>
      <c r="D143" s="195">
        <v>800000.0</v>
      </c>
      <c r="E143" s="544" t="s">
        <v>133</v>
      </c>
      <c r="F143" s="546"/>
    </row>
    <row r="144" ht="22.5" customHeight="1">
      <c r="A144" s="49"/>
      <c r="C144" s="192">
        <v>46022.0</v>
      </c>
      <c r="D144" s="195">
        <v>1340000.0</v>
      </c>
      <c r="E144" s="544" t="s">
        <v>142</v>
      </c>
      <c r="F144" s="546"/>
    </row>
    <row r="145" ht="22.5" customHeight="1">
      <c r="A145" s="49"/>
      <c r="C145" s="192">
        <v>46022.0</v>
      </c>
      <c r="D145" s="195">
        <v>3000000.0</v>
      </c>
      <c r="E145" s="544" t="s">
        <v>133</v>
      </c>
      <c r="F145" s="546"/>
    </row>
    <row r="146" ht="22.5" customHeight="1">
      <c r="A146" s="49"/>
      <c r="C146" s="192">
        <v>46022.0</v>
      </c>
      <c r="D146" s="195">
        <v>630000.0</v>
      </c>
      <c r="E146" s="544" t="s">
        <v>173</v>
      </c>
      <c r="F146" s="546"/>
    </row>
    <row r="147" ht="22.5" customHeight="1">
      <c r="A147" s="49"/>
      <c r="C147" s="192">
        <v>46022.0</v>
      </c>
      <c r="D147" s="195">
        <v>1000000.0</v>
      </c>
      <c r="E147" s="544" t="s">
        <v>173</v>
      </c>
      <c r="F147" s="546"/>
    </row>
    <row r="148" ht="22.5" customHeight="1">
      <c r="A148" s="49"/>
      <c r="C148" s="192">
        <v>46024.0</v>
      </c>
      <c r="D148" s="195">
        <v>1990000.0</v>
      </c>
      <c r="E148" s="544" t="s">
        <v>173</v>
      </c>
      <c r="F148" s="546"/>
    </row>
    <row r="149" ht="22.5" customHeight="1">
      <c r="A149" s="49"/>
      <c r="C149" s="192">
        <v>46024.0</v>
      </c>
      <c r="D149" s="195">
        <v>2920000.0</v>
      </c>
      <c r="E149" s="544" t="s">
        <v>173</v>
      </c>
      <c r="F149" s="546"/>
    </row>
    <row r="150" ht="22.5" customHeight="1">
      <c r="A150" s="49"/>
      <c r="C150" s="192">
        <v>46024.0</v>
      </c>
      <c r="D150" s="195">
        <v>4520000.0</v>
      </c>
      <c r="E150" s="544" t="s">
        <v>142</v>
      </c>
      <c r="F150" s="546"/>
    </row>
    <row r="151" ht="22.5" customHeight="1">
      <c r="A151" s="49"/>
      <c r="C151" s="192">
        <v>46024.0</v>
      </c>
      <c r="D151" s="195">
        <v>1250000.0</v>
      </c>
      <c r="E151" s="544" t="s">
        <v>173</v>
      </c>
      <c r="F151" s="546"/>
    </row>
    <row r="152" ht="22.5" customHeight="1">
      <c r="A152" s="49"/>
      <c r="C152" s="192">
        <v>46024.0</v>
      </c>
      <c r="D152" s="195">
        <v>3000000.0</v>
      </c>
      <c r="E152" s="544" t="s">
        <v>133</v>
      </c>
      <c r="F152" s="546"/>
    </row>
    <row r="153" ht="22.5" customHeight="1">
      <c r="A153" s="49"/>
      <c r="C153" s="192">
        <v>46024.0</v>
      </c>
      <c r="D153" s="195">
        <v>1560000.0</v>
      </c>
      <c r="E153" s="544" t="s">
        <v>162</v>
      </c>
      <c r="F153" s="546"/>
    </row>
    <row r="154" ht="22.5" customHeight="1">
      <c r="A154" s="49"/>
      <c r="C154" s="192">
        <v>46024.0</v>
      </c>
      <c r="D154" s="195">
        <v>380000.0</v>
      </c>
      <c r="E154" s="544" t="s">
        <v>173</v>
      </c>
      <c r="F154" s="546"/>
    </row>
    <row r="155" ht="22.5" customHeight="1">
      <c r="A155" s="49"/>
      <c r="C155" s="192">
        <v>46025.0</v>
      </c>
      <c r="D155" s="195">
        <v>1830000.0</v>
      </c>
      <c r="E155" s="544" t="s">
        <v>142</v>
      </c>
      <c r="F155" s="546"/>
    </row>
    <row r="156" ht="22.5" customHeight="1">
      <c r="A156" s="49"/>
      <c r="C156" s="192">
        <v>46025.0</v>
      </c>
      <c r="D156" s="195">
        <v>440000.0</v>
      </c>
      <c r="E156" s="544" t="s">
        <v>173</v>
      </c>
      <c r="F156" s="546"/>
    </row>
    <row r="157" ht="22.5" customHeight="1">
      <c r="A157" s="49"/>
      <c r="C157" s="192">
        <v>46025.0</v>
      </c>
      <c r="D157" s="195">
        <v>2800000.0</v>
      </c>
      <c r="E157" s="544" t="s">
        <v>173</v>
      </c>
      <c r="F157" s="546"/>
    </row>
    <row r="158" ht="22.5" customHeight="1">
      <c r="A158" s="49"/>
      <c r="C158" s="192">
        <v>46025.0</v>
      </c>
      <c r="D158" s="195">
        <v>440000.0</v>
      </c>
      <c r="E158" s="544" t="s">
        <v>173</v>
      </c>
      <c r="F158" s="546"/>
    </row>
    <row r="159" ht="22.5" customHeight="1">
      <c r="A159" s="49"/>
      <c r="C159" s="192">
        <v>46026.0</v>
      </c>
      <c r="D159" s="195">
        <v>450000.0</v>
      </c>
      <c r="E159" s="544" t="s">
        <v>133</v>
      </c>
      <c r="F159" s="546"/>
    </row>
    <row r="160" ht="22.5" customHeight="1">
      <c r="A160" s="49"/>
      <c r="C160" s="192">
        <v>46026.0</v>
      </c>
      <c r="D160" s="195">
        <v>5070000.0</v>
      </c>
      <c r="E160" s="544" t="s">
        <v>142</v>
      </c>
      <c r="F160" s="546"/>
    </row>
    <row r="161" ht="22.5" customHeight="1">
      <c r="A161" s="49"/>
      <c r="C161" s="192">
        <v>46026.0</v>
      </c>
      <c r="D161" s="195">
        <v>1020000.0</v>
      </c>
      <c r="E161" s="544" t="s">
        <v>173</v>
      </c>
      <c r="F161" s="546"/>
    </row>
    <row r="162" ht="22.5" customHeight="1">
      <c r="A162" s="49"/>
      <c r="C162" s="192">
        <v>46026.0</v>
      </c>
      <c r="D162" s="195">
        <v>340000.0</v>
      </c>
      <c r="E162" s="544" t="s">
        <v>173</v>
      </c>
      <c r="F162" s="546"/>
    </row>
    <row r="163" ht="22.5" customHeight="1">
      <c r="A163" s="49"/>
      <c r="C163" s="192">
        <v>46027.0</v>
      </c>
      <c r="D163" s="195">
        <v>2560000.0</v>
      </c>
      <c r="E163" s="544" t="s">
        <v>133</v>
      </c>
      <c r="F163" s="546"/>
    </row>
    <row r="164" ht="22.5" customHeight="1">
      <c r="A164" s="49"/>
      <c r="C164" s="192">
        <v>46027.0</v>
      </c>
      <c r="D164" s="195">
        <v>1800000.0</v>
      </c>
      <c r="E164" s="544" t="s">
        <v>133</v>
      </c>
      <c r="F164" s="546"/>
    </row>
    <row r="165" ht="22.5" customHeight="1">
      <c r="A165" s="49"/>
      <c r="C165" s="192">
        <v>46027.0</v>
      </c>
      <c r="D165" s="195">
        <v>160000.0</v>
      </c>
      <c r="E165" s="544" t="s">
        <v>162</v>
      </c>
      <c r="F165" s="546"/>
    </row>
    <row r="166" ht="22.5" customHeight="1">
      <c r="A166" s="49"/>
      <c r="C166" s="192">
        <v>46027.0</v>
      </c>
      <c r="D166" s="195">
        <v>2050000.0</v>
      </c>
      <c r="E166" s="544" t="s">
        <v>173</v>
      </c>
      <c r="F166" s="546"/>
    </row>
    <row r="167" ht="22.5" customHeight="1">
      <c r="A167" s="49"/>
      <c r="C167" s="192">
        <v>46027.0</v>
      </c>
      <c r="D167" s="195">
        <v>820000.0</v>
      </c>
      <c r="E167" s="544" t="s">
        <v>133</v>
      </c>
      <c r="F167" s="546"/>
    </row>
    <row r="168" ht="22.5" customHeight="1">
      <c r="A168" s="49"/>
      <c r="C168" s="192">
        <v>46028.0</v>
      </c>
      <c r="D168" s="195">
        <v>6150000.0</v>
      </c>
      <c r="E168" s="544" t="s">
        <v>142</v>
      </c>
      <c r="F168" s="546"/>
    </row>
    <row r="169" ht="22.5" customHeight="1">
      <c r="A169" s="49"/>
      <c r="C169" s="192">
        <v>46028.0</v>
      </c>
      <c r="D169" s="195">
        <v>1520000.0</v>
      </c>
      <c r="E169" s="544" t="s">
        <v>133</v>
      </c>
      <c r="F169" s="546"/>
    </row>
    <row r="170" ht="22.5" customHeight="1">
      <c r="A170" s="49"/>
      <c r="C170" s="192">
        <v>46028.0</v>
      </c>
      <c r="D170" s="195">
        <v>710000.0</v>
      </c>
      <c r="E170" s="544" t="s">
        <v>133</v>
      </c>
      <c r="F170" s="546"/>
    </row>
    <row r="171" ht="22.5" customHeight="1">
      <c r="A171" s="49"/>
      <c r="C171" s="192">
        <v>46028.0</v>
      </c>
      <c r="D171" s="195">
        <v>150000.0</v>
      </c>
      <c r="E171" s="544" t="s">
        <v>173</v>
      </c>
      <c r="F171" s="546"/>
    </row>
    <row r="172" ht="22.5" customHeight="1">
      <c r="A172" s="49"/>
      <c r="C172" s="192">
        <v>46029.0</v>
      </c>
      <c r="D172" s="195">
        <v>1.042E7</v>
      </c>
      <c r="E172" s="544" t="s">
        <v>133</v>
      </c>
      <c r="F172" s="546"/>
    </row>
    <row r="173" ht="22.5" customHeight="1">
      <c r="A173" s="49"/>
      <c r="C173" s="192">
        <v>46029.0</v>
      </c>
      <c r="D173" s="195">
        <v>710000.0</v>
      </c>
      <c r="E173" s="544" t="s">
        <v>133</v>
      </c>
      <c r="F173" s="546"/>
    </row>
    <row r="174" ht="22.5" customHeight="1">
      <c r="A174" s="49"/>
      <c r="C174" s="192">
        <v>46029.0</v>
      </c>
      <c r="D174" s="195">
        <v>100000.0</v>
      </c>
      <c r="E174" s="544" t="s">
        <v>173</v>
      </c>
      <c r="F174" s="546"/>
    </row>
    <row r="175" ht="22.5" customHeight="1">
      <c r="A175" s="49"/>
      <c r="C175" s="192">
        <v>46029.0</v>
      </c>
      <c r="D175" s="195">
        <v>700000.0</v>
      </c>
      <c r="E175" s="544" t="s">
        <v>133</v>
      </c>
      <c r="F175" s="546"/>
    </row>
    <row r="176" ht="22.5" customHeight="1">
      <c r="A176" s="49"/>
      <c r="C176" s="192">
        <v>46029.0</v>
      </c>
      <c r="D176" s="195">
        <v>2050000.0</v>
      </c>
      <c r="E176" s="544" t="s">
        <v>133</v>
      </c>
      <c r="F176" s="546"/>
    </row>
    <row r="177" ht="22.5" customHeight="1">
      <c r="A177" s="49"/>
      <c r="C177" s="192">
        <v>46029.0</v>
      </c>
      <c r="D177" s="195">
        <v>380000.0</v>
      </c>
      <c r="E177" s="544" t="s">
        <v>142</v>
      </c>
      <c r="F177" s="546"/>
    </row>
    <row r="178" ht="22.5" customHeight="1">
      <c r="A178" s="49"/>
      <c r="C178" s="192">
        <v>46030.0</v>
      </c>
      <c r="D178" s="195">
        <v>1370000.0</v>
      </c>
      <c r="E178" s="544" t="s">
        <v>133</v>
      </c>
      <c r="F178" s="546"/>
    </row>
    <row r="179" ht="22.5" customHeight="1">
      <c r="A179" s="49"/>
      <c r="C179" s="192">
        <v>46031.0</v>
      </c>
      <c r="D179" s="195">
        <v>830000.0</v>
      </c>
      <c r="E179" s="544" t="s">
        <v>133</v>
      </c>
      <c r="F179" s="546"/>
    </row>
    <row r="180" ht="22.5" customHeight="1">
      <c r="A180" s="49"/>
      <c r="C180" s="192">
        <v>46031.0</v>
      </c>
      <c r="D180" s="195">
        <v>275000.0</v>
      </c>
      <c r="E180" s="544" t="s">
        <v>133</v>
      </c>
      <c r="F180" s="546"/>
    </row>
    <row r="181" ht="22.5" customHeight="1">
      <c r="A181" s="49"/>
      <c r="C181" s="192">
        <v>46032.0</v>
      </c>
      <c r="D181" s="195">
        <v>710000.0</v>
      </c>
      <c r="E181" s="544" t="s">
        <v>133</v>
      </c>
      <c r="F181" s="546"/>
    </row>
    <row r="182" ht="22.5" customHeight="1">
      <c r="A182" s="49"/>
      <c r="C182" s="192">
        <v>46032.0</v>
      </c>
      <c r="D182" s="195">
        <v>1790000.0</v>
      </c>
      <c r="E182" s="544" t="s">
        <v>162</v>
      </c>
      <c r="F182" s="546"/>
    </row>
    <row r="183" ht="22.5" customHeight="1">
      <c r="A183" s="49"/>
      <c r="C183" s="192">
        <v>46032.0</v>
      </c>
      <c r="D183" s="195">
        <v>670000.0</v>
      </c>
      <c r="E183" s="544" t="s">
        <v>133</v>
      </c>
      <c r="F183" s="546"/>
    </row>
    <row r="184" ht="22.5" customHeight="1">
      <c r="A184" s="49"/>
      <c r="C184" s="192">
        <v>46032.0</v>
      </c>
      <c r="D184" s="195">
        <v>1400000.0</v>
      </c>
      <c r="E184" s="544" t="s">
        <v>133</v>
      </c>
      <c r="F184" s="546"/>
    </row>
    <row r="185" ht="22.5" customHeight="1">
      <c r="A185" s="49"/>
      <c r="C185" s="192">
        <v>46032.0</v>
      </c>
      <c r="D185" s="195">
        <v>530000.0</v>
      </c>
      <c r="E185" s="544" t="s">
        <v>173</v>
      </c>
      <c r="F185" s="546"/>
    </row>
    <row r="186" ht="22.5" customHeight="1">
      <c r="A186" s="49"/>
      <c r="C186" s="192">
        <v>46034.0</v>
      </c>
      <c r="D186" s="195">
        <v>940000.0</v>
      </c>
      <c r="E186" s="544" t="s">
        <v>173</v>
      </c>
      <c r="F186" s="546"/>
    </row>
    <row r="187" ht="22.5" customHeight="1">
      <c r="A187" s="49"/>
      <c r="C187" s="192">
        <v>46034.0</v>
      </c>
      <c r="D187" s="195">
        <v>145000.0</v>
      </c>
      <c r="E187" s="544" t="s">
        <v>173</v>
      </c>
      <c r="F187" s="546"/>
    </row>
    <row r="188" ht="22.5" customHeight="1">
      <c r="A188" s="49"/>
      <c r="C188" s="548">
        <v>46034.0</v>
      </c>
      <c r="D188" s="195">
        <v>300000.0</v>
      </c>
      <c r="E188" s="544" t="s">
        <v>173</v>
      </c>
      <c r="F188" s="546"/>
    </row>
    <row r="189" ht="22.5" customHeight="1">
      <c r="A189" s="49"/>
      <c r="C189" s="548">
        <v>46035.0</v>
      </c>
      <c r="D189" s="195">
        <v>1370000.0</v>
      </c>
      <c r="E189" s="544" t="s">
        <v>133</v>
      </c>
      <c r="F189" s="546"/>
    </row>
    <row r="190" ht="22.5" customHeight="1">
      <c r="A190" s="49"/>
      <c r="C190" s="548">
        <v>46035.0</v>
      </c>
      <c r="D190" s="195">
        <v>2010000.0</v>
      </c>
      <c r="E190" s="544" t="s">
        <v>173</v>
      </c>
      <c r="F190" s="546"/>
    </row>
    <row r="191" ht="22.5" customHeight="1">
      <c r="A191" s="49"/>
      <c r="C191" s="548">
        <v>46035.0</v>
      </c>
      <c r="D191" s="195">
        <v>2700000.0</v>
      </c>
      <c r="E191" s="544" t="s">
        <v>133</v>
      </c>
      <c r="F191" s="546"/>
    </row>
    <row r="192" ht="22.5" customHeight="1">
      <c r="A192" s="49"/>
      <c r="C192" s="548">
        <v>46035.0</v>
      </c>
      <c r="D192" s="195">
        <v>550000.0</v>
      </c>
      <c r="E192" s="544" t="s">
        <v>173</v>
      </c>
      <c r="F192" s="546"/>
    </row>
    <row r="193" ht="22.5" customHeight="1">
      <c r="A193" s="49"/>
      <c r="C193" s="548">
        <v>46035.0</v>
      </c>
      <c r="D193" s="195">
        <v>1950000.0</v>
      </c>
      <c r="E193" s="544" t="s">
        <v>142</v>
      </c>
      <c r="F193" s="546"/>
    </row>
    <row r="194" ht="22.5" customHeight="1">
      <c r="A194" s="49"/>
      <c r="C194" s="548">
        <v>46036.0</v>
      </c>
      <c r="D194" s="195">
        <v>280000.0</v>
      </c>
      <c r="E194" s="544" t="s">
        <v>142</v>
      </c>
      <c r="F194" s="546"/>
    </row>
    <row r="195" ht="22.5" customHeight="1">
      <c r="A195" s="49"/>
      <c r="C195" s="548">
        <v>46036.0</v>
      </c>
      <c r="D195" s="195">
        <v>1360000.0</v>
      </c>
      <c r="E195" s="544" t="s">
        <v>173</v>
      </c>
      <c r="F195" s="546"/>
    </row>
    <row r="196" ht="22.5" customHeight="1">
      <c r="A196" s="49"/>
      <c r="C196" s="548">
        <v>46036.0</v>
      </c>
      <c r="D196" s="195">
        <v>1880000.0</v>
      </c>
      <c r="E196" s="544" t="s">
        <v>133</v>
      </c>
      <c r="F196" s="546"/>
    </row>
    <row r="197" ht="22.5" customHeight="1">
      <c r="A197" s="49"/>
      <c r="C197" s="548">
        <v>46036.0</v>
      </c>
      <c r="D197" s="195">
        <v>1120000.0</v>
      </c>
      <c r="E197" s="544" t="s">
        <v>173</v>
      </c>
      <c r="F197" s="546"/>
    </row>
    <row r="198" ht="22.5" customHeight="1">
      <c r="A198" s="49"/>
      <c r="C198" s="548">
        <v>46036.0</v>
      </c>
      <c r="D198" s="195">
        <v>190000.0</v>
      </c>
      <c r="E198" s="544" t="s">
        <v>133</v>
      </c>
      <c r="F198" s="546"/>
    </row>
    <row r="199" ht="22.5" customHeight="1">
      <c r="A199" s="49"/>
      <c r="C199" s="548">
        <v>46037.0</v>
      </c>
      <c r="D199" s="195">
        <v>300000.0</v>
      </c>
      <c r="E199" s="544" t="s">
        <v>173</v>
      </c>
      <c r="F199" s="546"/>
    </row>
    <row r="200" ht="22.5" customHeight="1">
      <c r="A200" s="49"/>
      <c r="C200" s="548">
        <v>46037.0</v>
      </c>
      <c r="D200" s="195">
        <v>1000000.0</v>
      </c>
      <c r="E200" s="544" t="s">
        <v>142</v>
      </c>
      <c r="F200" s="546"/>
    </row>
    <row r="201" ht="22.5" customHeight="1">
      <c r="A201" s="49"/>
      <c r="C201" s="548">
        <v>46037.0</v>
      </c>
      <c r="D201" s="195">
        <v>2160000.0</v>
      </c>
      <c r="E201" s="544" t="s">
        <v>133</v>
      </c>
      <c r="F201" s="546"/>
    </row>
    <row r="202" ht="22.5" customHeight="1">
      <c r="A202" s="49"/>
      <c r="C202" s="548">
        <v>46037.0</v>
      </c>
      <c r="D202" s="195">
        <v>100000.0</v>
      </c>
      <c r="E202" s="544" t="s">
        <v>133</v>
      </c>
      <c r="F202" s="546"/>
    </row>
    <row r="203" ht="22.5" customHeight="1">
      <c r="A203" s="49"/>
      <c r="C203" s="548">
        <v>46038.0</v>
      </c>
      <c r="D203" s="195">
        <v>340000.0</v>
      </c>
      <c r="E203" s="544" t="s">
        <v>173</v>
      </c>
      <c r="F203" s="546"/>
    </row>
    <row r="204" ht="22.5" customHeight="1">
      <c r="A204" s="49"/>
      <c r="C204" s="548">
        <v>46038.0</v>
      </c>
      <c r="D204" s="195">
        <v>2560000.0</v>
      </c>
      <c r="E204" s="544" t="s">
        <v>173</v>
      </c>
      <c r="F204" s="546"/>
    </row>
    <row r="205" ht="22.5" customHeight="1">
      <c r="A205" s="49"/>
      <c r="C205" s="548">
        <v>46039.0</v>
      </c>
      <c r="D205" s="195">
        <v>3240000.0</v>
      </c>
      <c r="E205" s="544" t="s">
        <v>133</v>
      </c>
      <c r="F205" s="546"/>
    </row>
    <row r="206" ht="22.5" customHeight="1">
      <c r="A206" s="49"/>
      <c r="C206" s="548">
        <v>46039.0</v>
      </c>
      <c r="D206" s="195">
        <v>2470000.0</v>
      </c>
      <c r="E206" s="544" t="s">
        <v>173</v>
      </c>
      <c r="F206" s="546"/>
    </row>
    <row r="207" ht="22.5" customHeight="1">
      <c r="A207" s="49"/>
      <c r="C207" s="548">
        <v>46039.0</v>
      </c>
      <c r="D207" s="195">
        <v>400000.0</v>
      </c>
      <c r="E207" s="544" t="s">
        <v>173</v>
      </c>
      <c r="F207" s="546"/>
    </row>
    <row r="208" ht="22.5" customHeight="1">
      <c r="A208" s="49"/>
      <c r="C208" s="548">
        <v>46040.0</v>
      </c>
      <c r="D208" s="195">
        <v>940000.0</v>
      </c>
      <c r="E208" s="544" t="s">
        <v>142</v>
      </c>
      <c r="F208" s="546"/>
    </row>
    <row r="209" ht="22.5" customHeight="1">
      <c r="A209" s="49"/>
      <c r="C209" s="548">
        <v>46040.0</v>
      </c>
      <c r="D209" s="195">
        <v>2230000.0</v>
      </c>
      <c r="E209" s="544" t="s">
        <v>142</v>
      </c>
      <c r="F209" s="546"/>
    </row>
    <row r="210" ht="22.5" customHeight="1">
      <c r="A210" s="49"/>
      <c r="C210" s="548">
        <v>46041.0</v>
      </c>
      <c r="D210" s="195">
        <v>1520000.0</v>
      </c>
      <c r="E210" s="544" t="s">
        <v>142</v>
      </c>
      <c r="F210" s="546"/>
    </row>
    <row r="211" ht="22.5" customHeight="1">
      <c r="A211" s="49"/>
      <c r="C211" s="548">
        <v>46041.0</v>
      </c>
      <c r="D211" s="195">
        <v>5000000.0</v>
      </c>
      <c r="E211" s="544" t="s">
        <v>142</v>
      </c>
      <c r="F211" s="546"/>
    </row>
    <row r="212" ht="22.5" customHeight="1">
      <c r="A212" s="49"/>
      <c r="C212" s="548">
        <v>46041.0</v>
      </c>
      <c r="D212" s="195">
        <v>1420000.0</v>
      </c>
      <c r="E212" s="544" t="s">
        <v>133</v>
      </c>
      <c r="F212" s="546"/>
    </row>
    <row r="213" ht="22.5" customHeight="1">
      <c r="A213" s="49"/>
      <c r="C213" s="548">
        <v>46042.0</v>
      </c>
      <c r="D213" s="195">
        <v>1540000.0</v>
      </c>
      <c r="E213" s="544" t="s">
        <v>133</v>
      </c>
      <c r="F213" s="546"/>
    </row>
    <row r="214" ht="22.5" customHeight="1">
      <c r="A214" s="49"/>
      <c r="C214" s="548">
        <v>46042.0</v>
      </c>
      <c r="D214" s="195">
        <v>280000.0</v>
      </c>
      <c r="E214" s="544" t="s">
        <v>173</v>
      </c>
      <c r="F214" s="546"/>
    </row>
    <row r="215" ht="22.5" customHeight="1">
      <c r="A215" s="49"/>
      <c r="C215" s="548">
        <v>46043.0</v>
      </c>
      <c r="D215" s="195">
        <v>3160000.0</v>
      </c>
      <c r="E215" s="544" t="s">
        <v>133</v>
      </c>
      <c r="F215" s="546"/>
    </row>
    <row r="216" ht="22.5" customHeight="1">
      <c r="A216" s="49"/>
      <c r="C216" s="548">
        <v>46043.0</v>
      </c>
      <c r="D216" s="195">
        <v>9440000.0</v>
      </c>
      <c r="E216" s="544" t="s">
        <v>133</v>
      </c>
      <c r="F216" s="546"/>
    </row>
    <row r="217" ht="22.5" customHeight="1">
      <c r="A217" s="49"/>
      <c r="C217" s="548">
        <v>46044.0</v>
      </c>
      <c r="D217" s="195">
        <v>6120000.0</v>
      </c>
      <c r="E217" s="544" t="s">
        <v>142</v>
      </c>
      <c r="F217" s="546"/>
    </row>
    <row r="218" ht="22.5" customHeight="1">
      <c r="A218" s="49"/>
      <c r="C218" s="548">
        <v>46044.0</v>
      </c>
      <c r="D218" s="195">
        <v>500000.0</v>
      </c>
      <c r="E218" s="544" t="s">
        <v>173</v>
      </c>
      <c r="F218" s="546"/>
    </row>
    <row r="219" ht="22.5" customHeight="1">
      <c r="A219" s="49"/>
      <c r="C219" s="548">
        <v>46044.0</v>
      </c>
      <c r="D219" s="195">
        <v>1540000.0</v>
      </c>
      <c r="E219" s="544" t="s">
        <v>133</v>
      </c>
      <c r="F219" s="546"/>
    </row>
    <row r="220" ht="22.5" customHeight="1">
      <c r="A220" s="49"/>
      <c r="C220" s="548">
        <v>46044.0</v>
      </c>
      <c r="D220" s="195">
        <v>500000.0</v>
      </c>
      <c r="E220" s="544" t="s">
        <v>173</v>
      </c>
      <c r="F220" s="546"/>
    </row>
    <row r="221" ht="22.5" customHeight="1">
      <c r="A221" s="49"/>
      <c r="C221" s="548">
        <v>46044.0</v>
      </c>
      <c r="D221" s="195">
        <v>130000.0</v>
      </c>
      <c r="E221" s="544" t="s">
        <v>133</v>
      </c>
      <c r="F221" s="546"/>
    </row>
    <row r="222" ht="22.5" customHeight="1">
      <c r="A222" s="49"/>
      <c r="C222" s="548">
        <v>46044.0</v>
      </c>
      <c r="D222" s="195">
        <v>735000.0</v>
      </c>
      <c r="E222" s="544" t="s">
        <v>133</v>
      </c>
      <c r="F222" s="546"/>
    </row>
    <row r="223" ht="22.5" customHeight="1">
      <c r="A223" s="49"/>
      <c r="C223" s="548">
        <v>46045.0</v>
      </c>
      <c r="D223" s="195">
        <v>830000.0</v>
      </c>
      <c r="E223" s="544" t="s">
        <v>133</v>
      </c>
      <c r="F223" s="546"/>
    </row>
    <row r="224" ht="22.5" customHeight="1">
      <c r="A224" s="49"/>
      <c r="C224" s="548">
        <v>46045.0</v>
      </c>
      <c r="D224" s="195">
        <v>5000000.0</v>
      </c>
      <c r="E224" s="544" t="s">
        <v>142</v>
      </c>
      <c r="F224" s="546"/>
    </row>
    <row r="225" ht="22.5" customHeight="1">
      <c r="A225" s="49"/>
      <c r="C225" s="548">
        <v>46045.0</v>
      </c>
      <c r="D225" s="195">
        <v>300000.0</v>
      </c>
      <c r="E225" s="544" t="s">
        <v>173</v>
      </c>
      <c r="F225" s="546"/>
    </row>
    <row r="226" ht="22.5" customHeight="1">
      <c r="A226" s="49"/>
      <c r="C226" s="548">
        <v>46046.0</v>
      </c>
      <c r="D226" s="195">
        <v>1540000.0</v>
      </c>
      <c r="E226" s="544" t="s">
        <v>133</v>
      </c>
      <c r="F226" s="546"/>
    </row>
    <row r="227" ht="22.5" customHeight="1">
      <c r="A227" s="49"/>
      <c r="C227" s="548">
        <v>46046.0</v>
      </c>
      <c r="D227" s="195">
        <v>660000.0</v>
      </c>
      <c r="E227" s="544" t="s">
        <v>173</v>
      </c>
      <c r="F227" s="546"/>
    </row>
    <row r="228" ht="22.5" customHeight="1">
      <c r="A228" s="49"/>
      <c r="C228" s="548">
        <v>46048.0</v>
      </c>
      <c r="D228" s="195">
        <v>1470000.0</v>
      </c>
      <c r="E228" s="544" t="s">
        <v>173</v>
      </c>
      <c r="F228" s="546"/>
    </row>
    <row r="229" ht="22.5" customHeight="1">
      <c r="A229" s="49"/>
      <c r="C229" s="548">
        <v>46048.0</v>
      </c>
      <c r="D229" s="195">
        <v>370000.0</v>
      </c>
      <c r="E229" s="544" t="s">
        <v>173</v>
      </c>
      <c r="F229" s="546"/>
    </row>
    <row r="230" ht="22.5" customHeight="1">
      <c r="A230" s="49"/>
      <c r="C230" s="548">
        <v>46048.0</v>
      </c>
      <c r="D230" s="195">
        <v>1420000.0</v>
      </c>
      <c r="E230" s="544" t="s">
        <v>173</v>
      </c>
      <c r="F230" s="546"/>
    </row>
    <row r="231" ht="22.5" customHeight="1">
      <c r="A231" s="49"/>
      <c r="C231" s="548">
        <v>46048.0</v>
      </c>
      <c r="D231" s="195">
        <v>5000000.0</v>
      </c>
      <c r="E231" s="544" t="s">
        <v>142</v>
      </c>
      <c r="F231" s="546"/>
    </row>
    <row r="232" ht="22.5" customHeight="1">
      <c r="A232" s="49"/>
      <c r="C232" s="548">
        <v>46048.0</v>
      </c>
      <c r="D232" s="195">
        <v>900000.0</v>
      </c>
      <c r="E232" s="544" t="s">
        <v>133</v>
      </c>
      <c r="F232" s="546"/>
    </row>
    <row r="233" ht="22.5" customHeight="1">
      <c r="A233" s="49"/>
      <c r="C233" s="548">
        <v>46049.0</v>
      </c>
      <c r="D233" s="195">
        <v>800000.0</v>
      </c>
      <c r="E233" s="544" t="s">
        <v>133</v>
      </c>
      <c r="F233" s="546"/>
    </row>
    <row r="234" ht="22.5" customHeight="1">
      <c r="A234" s="49"/>
      <c r="C234" s="548">
        <v>46049.0</v>
      </c>
      <c r="D234" s="195">
        <v>4520000.0</v>
      </c>
      <c r="E234" s="544" t="s">
        <v>133</v>
      </c>
      <c r="F234" s="546"/>
    </row>
    <row r="235" ht="22.5" customHeight="1">
      <c r="A235" s="49"/>
      <c r="C235" s="548">
        <v>46049.0</v>
      </c>
      <c r="D235" s="195">
        <v>1780000.0</v>
      </c>
      <c r="E235" s="544" t="s">
        <v>173</v>
      </c>
      <c r="F235" s="546"/>
    </row>
    <row r="236" ht="22.5" customHeight="1">
      <c r="A236" s="49"/>
      <c r="C236" s="548">
        <v>46049.0</v>
      </c>
      <c r="D236" s="195">
        <v>1285000.0</v>
      </c>
      <c r="E236" s="544" t="s">
        <v>173</v>
      </c>
      <c r="F236" s="546"/>
    </row>
    <row r="237" ht="22.5" customHeight="1">
      <c r="A237" s="49"/>
      <c r="C237" s="548">
        <v>46049.0</v>
      </c>
      <c r="D237" s="195">
        <v>100000.0</v>
      </c>
      <c r="E237" s="544" t="s">
        <v>133</v>
      </c>
      <c r="F237" s="546"/>
    </row>
    <row r="238" ht="22.5" customHeight="1">
      <c r="A238" s="49"/>
      <c r="C238" s="548">
        <v>46049.0</v>
      </c>
      <c r="D238" s="195">
        <v>1260000.0</v>
      </c>
      <c r="E238" s="544" t="s">
        <v>173</v>
      </c>
      <c r="F238" s="546"/>
    </row>
    <row r="239" ht="22.5" customHeight="1">
      <c r="A239" s="49"/>
      <c r="C239" s="548">
        <v>46049.0</v>
      </c>
      <c r="D239" s="195">
        <v>370000.0</v>
      </c>
      <c r="E239" s="544" t="s">
        <v>142</v>
      </c>
      <c r="F239" s="546"/>
    </row>
    <row r="240" ht="22.5" customHeight="1">
      <c r="A240" s="49"/>
      <c r="C240" s="548">
        <v>46050.0</v>
      </c>
      <c r="D240" s="195">
        <v>6700000.0</v>
      </c>
      <c r="E240" s="544" t="s">
        <v>133</v>
      </c>
      <c r="F240" s="546"/>
    </row>
    <row r="241" ht="22.5" customHeight="1">
      <c r="A241" s="49"/>
      <c r="C241" s="548">
        <v>46050.0</v>
      </c>
      <c r="D241" s="195">
        <v>700000.0</v>
      </c>
      <c r="E241" s="544" t="s">
        <v>173</v>
      </c>
      <c r="F241" s="546"/>
    </row>
    <row r="242" ht="22.5" customHeight="1">
      <c r="A242" s="49"/>
      <c r="C242" s="548">
        <v>46050.0</v>
      </c>
      <c r="D242" s="195">
        <v>1800000.0</v>
      </c>
      <c r="E242" s="544" t="s">
        <v>173</v>
      </c>
      <c r="F242" s="546"/>
    </row>
    <row r="243" ht="22.5" customHeight="1">
      <c r="A243" s="49"/>
      <c r="C243" s="548">
        <v>46051.0</v>
      </c>
      <c r="D243" s="195">
        <v>1650000.0</v>
      </c>
      <c r="E243" s="544" t="s">
        <v>142</v>
      </c>
      <c r="F243" s="546"/>
    </row>
    <row r="244" ht="22.5" customHeight="1">
      <c r="A244" s="49"/>
      <c r="C244" s="548">
        <v>46051.0</v>
      </c>
      <c r="D244" s="195">
        <v>1000000.0</v>
      </c>
      <c r="E244" s="544" t="s">
        <v>173</v>
      </c>
      <c r="F244" s="546"/>
    </row>
    <row r="245" ht="22.5" customHeight="1">
      <c r="A245" s="49"/>
      <c r="C245" s="548">
        <v>46051.0</v>
      </c>
      <c r="D245" s="195">
        <v>280000.0</v>
      </c>
      <c r="E245" s="544" t="s">
        <v>173</v>
      </c>
      <c r="F245" s="546"/>
    </row>
    <row r="246" ht="22.5" customHeight="1">
      <c r="A246" s="49"/>
      <c r="C246" s="548">
        <v>46051.0</v>
      </c>
      <c r="D246" s="195">
        <v>2000000.0</v>
      </c>
      <c r="E246" s="544" t="s">
        <v>142</v>
      </c>
      <c r="F246" s="546"/>
    </row>
    <row r="247" ht="22.5" customHeight="1">
      <c r="A247" s="49"/>
      <c r="C247" s="548">
        <v>46051.0</v>
      </c>
      <c r="D247" s="195">
        <v>3450000.0</v>
      </c>
      <c r="E247" s="544" t="s">
        <v>133</v>
      </c>
      <c r="F247" s="546"/>
    </row>
    <row r="248" ht="22.5" customHeight="1">
      <c r="A248" s="49"/>
      <c r="C248" s="548">
        <v>46052.0</v>
      </c>
      <c r="D248" s="195">
        <v>925000.0</v>
      </c>
      <c r="E248" s="544" t="s">
        <v>142</v>
      </c>
      <c r="F248" s="546"/>
    </row>
    <row r="249" ht="22.5" customHeight="1">
      <c r="A249" s="49"/>
      <c r="C249" s="548">
        <v>46052.0</v>
      </c>
      <c r="D249" s="195">
        <v>720000.0</v>
      </c>
      <c r="E249" s="544" t="s">
        <v>173</v>
      </c>
      <c r="F249" s="546"/>
    </row>
    <row r="250" ht="22.5" customHeight="1">
      <c r="A250" s="49"/>
      <c r="C250" s="548">
        <v>46052.0</v>
      </c>
      <c r="D250" s="195">
        <v>780000.0</v>
      </c>
      <c r="E250" s="544" t="s">
        <v>173</v>
      </c>
      <c r="F250" s="546"/>
    </row>
    <row r="251" ht="22.5" customHeight="1">
      <c r="A251" s="49"/>
      <c r="C251" s="548">
        <v>46052.0</v>
      </c>
      <c r="D251" s="195">
        <v>550000.0</v>
      </c>
      <c r="E251" s="544" t="s">
        <v>133</v>
      </c>
      <c r="F251" s="546"/>
    </row>
    <row r="252" ht="22.5" customHeight="1">
      <c r="A252" s="49"/>
      <c r="C252" s="548">
        <v>46052.0</v>
      </c>
      <c r="D252" s="195">
        <v>1240000.0</v>
      </c>
      <c r="E252" s="544" t="s">
        <v>133</v>
      </c>
      <c r="F252" s="546"/>
    </row>
    <row r="253" ht="22.5" customHeight="1">
      <c r="A253" s="49"/>
      <c r="C253" s="548">
        <v>46053.0</v>
      </c>
      <c r="D253" s="195">
        <v>1660000.0</v>
      </c>
      <c r="E253" s="544" t="s">
        <v>133</v>
      </c>
      <c r="F253" s="546"/>
    </row>
    <row r="254" ht="22.5" customHeight="1">
      <c r="A254" s="49"/>
      <c r="C254" s="548">
        <v>46053.0</v>
      </c>
      <c r="D254" s="195">
        <v>630000.0</v>
      </c>
      <c r="E254" s="544" t="s">
        <v>173</v>
      </c>
      <c r="F254" s="546"/>
    </row>
    <row r="255" ht="22.5" customHeight="1">
      <c r="A255" s="49"/>
      <c r="C255" s="548">
        <v>46053.0</v>
      </c>
      <c r="D255" s="195">
        <v>4350000.0</v>
      </c>
      <c r="E255" s="544" t="s">
        <v>142</v>
      </c>
      <c r="F255" s="546"/>
    </row>
    <row r="256" ht="22.5" customHeight="1">
      <c r="A256" s="49"/>
      <c r="C256" s="548">
        <v>46053.0</v>
      </c>
      <c r="D256" s="195">
        <v>280000.0</v>
      </c>
      <c r="E256" s="544" t="s">
        <v>173</v>
      </c>
      <c r="F256" s="546"/>
    </row>
    <row r="257" ht="22.5" customHeight="1">
      <c r="A257" s="49"/>
      <c r="C257" s="548">
        <v>46053.0</v>
      </c>
      <c r="D257" s="195">
        <v>1920000.0</v>
      </c>
      <c r="E257" s="544" t="s">
        <v>173</v>
      </c>
      <c r="F257" s="546"/>
    </row>
    <row r="258" ht="22.5" customHeight="1">
      <c r="A258" s="49"/>
      <c r="C258" s="548">
        <v>46053.0</v>
      </c>
      <c r="D258" s="195">
        <v>380000.0</v>
      </c>
      <c r="E258" s="544" t="s">
        <v>133</v>
      </c>
      <c r="F258" s="546"/>
    </row>
    <row r="259" ht="22.5" customHeight="1">
      <c r="A259" s="49"/>
      <c r="C259" s="548">
        <v>46054.0</v>
      </c>
      <c r="D259" s="195">
        <v>1150000.0</v>
      </c>
      <c r="E259" s="544" t="s">
        <v>173</v>
      </c>
      <c r="F259" s="546"/>
    </row>
    <row r="260" ht="22.5" customHeight="1">
      <c r="A260" s="49"/>
      <c r="C260" s="548">
        <v>46054.0</v>
      </c>
      <c r="D260" s="195">
        <v>960000.0</v>
      </c>
      <c r="E260" s="544" t="s">
        <v>173</v>
      </c>
      <c r="F260" s="546"/>
    </row>
    <row r="261" ht="22.5" customHeight="1">
      <c r="A261" s="49"/>
      <c r="C261" s="548">
        <v>46054.0</v>
      </c>
      <c r="D261" s="195">
        <v>100000.0</v>
      </c>
      <c r="E261" s="544" t="s">
        <v>173</v>
      </c>
      <c r="F261" s="546"/>
    </row>
    <row r="262" ht="22.5" customHeight="1">
      <c r="A262" s="49"/>
      <c r="C262" s="548">
        <v>46054.0</v>
      </c>
      <c r="D262" s="195">
        <v>60000.0</v>
      </c>
      <c r="E262" s="544" t="s">
        <v>173</v>
      </c>
      <c r="F262" s="546"/>
    </row>
    <row r="263" ht="22.5" customHeight="1">
      <c r="A263" s="49"/>
      <c r="C263" s="548">
        <v>46054.0</v>
      </c>
      <c r="D263" s="195">
        <v>1700000.0</v>
      </c>
      <c r="E263" s="544" t="s">
        <v>142</v>
      </c>
      <c r="F263" s="546"/>
    </row>
    <row r="264" ht="22.5" customHeight="1">
      <c r="A264" s="49"/>
      <c r="C264" s="548">
        <v>46054.0</v>
      </c>
      <c r="D264" s="195">
        <v>4720000.0</v>
      </c>
      <c r="E264" s="544" t="s">
        <v>133</v>
      </c>
      <c r="F264" s="546"/>
    </row>
    <row r="265" ht="22.5" customHeight="1">
      <c r="A265" s="49"/>
      <c r="C265" s="548">
        <v>46055.0</v>
      </c>
      <c r="D265" s="195">
        <v>1370000.0</v>
      </c>
      <c r="E265" s="544" t="s">
        <v>133</v>
      </c>
      <c r="F265" s="546"/>
    </row>
    <row r="266" ht="22.5" customHeight="1">
      <c r="A266" s="49"/>
      <c r="C266" s="548">
        <v>46055.0</v>
      </c>
      <c r="D266" s="195">
        <v>2560000.0</v>
      </c>
      <c r="E266" s="544" t="s">
        <v>133</v>
      </c>
      <c r="F266" s="546"/>
    </row>
    <row r="267" ht="22.5" customHeight="1">
      <c r="A267" s="49"/>
      <c r="C267" s="548">
        <v>46055.0</v>
      </c>
      <c r="D267" s="195">
        <v>1260000.0</v>
      </c>
      <c r="E267" s="544" t="s">
        <v>133</v>
      </c>
      <c r="F267" s="546"/>
    </row>
    <row r="268" ht="22.5" customHeight="1">
      <c r="A268" s="49"/>
      <c r="C268" s="548">
        <v>46056.0</v>
      </c>
      <c r="D268" s="195">
        <v>1400000.0</v>
      </c>
      <c r="E268" s="544" t="s">
        <v>173</v>
      </c>
      <c r="F268" s="546"/>
    </row>
    <row r="269" ht="22.5" customHeight="1">
      <c r="A269" s="49"/>
      <c r="C269" s="548">
        <v>46056.0</v>
      </c>
      <c r="D269" s="195">
        <v>2000000.0</v>
      </c>
      <c r="E269" s="544" t="s">
        <v>142</v>
      </c>
      <c r="F269" s="546"/>
    </row>
    <row r="270" ht="22.5" customHeight="1">
      <c r="A270" s="49"/>
      <c r="C270" s="548">
        <v>46057.0</v>
      </c>
      <c r="D270" s="195">
        <v>685000.0</v>
      </c>
      <c r="E270" s="544" t="s">
        <v>173</v>
      </c>
      <c r="F270" s="546"/>
    </row>
    <row r="271" ht="22.5" customHeight="1">
      <c r="A271" s="49"/>
      <c r="C271" s="548">
        <v>46057.0</v>
      </c>
      <c r="D271" s="195">
        <v>700000.0</v>
      </c>
      <c r="E271" s="544" t="s">
        <v>173</v>
      </c>
      <c r="F271" s="546"/>
    </row>
    <row r="272" ht="22.5" customHeight="1">
      <c r="A272" s="49"/>
      <c r="C272" s="192">
        <v>46057.0</v>
      </c>
      <c r="D272" s="63"/>
      <c r="E272" s="445"/>
      <c r="F272" s="546"/>
    </row>
    <row r="273" ht="22.5" customHeight="1">
      <c r="A273" s="49"/>
      <c r="C273" s="548">
        <v>46057.0</v>
      </c>
      <c r="D273" s="195">
        <v>530000.0</v>
      </c>
      <c r="E273" s="544" t="s">
        <v>173</v>
      </c>
      <c r="F273" s="546"/>
    </row>
    <row r="274" ht="22.5" customHeight="1">
      <c r="A274" s="49"/>
      <c r="C274" s="548">
        <v>46058.0</v>
      </c>
      <c r="D274" s="195">
        <v>2300000.0</v>
      </c>
      <c r="E274" s="544" t="s">
        <v>173</v>
      </c>
      <c r="F274" s="546"/>
    </row>
    <row r="275" ht="22.5" customHeight="1">
      <c r="A275" s="49"/>
      <c r="C275" s="548">
        <v>46058.0</v>
      </c>
      <c r="D275" s="195">
        <v>5650000.0</v>
      </c>
      <c r="E275" s="544" t="s">
        <v>133</v>
      </c>
      <c r="F275" s="546"/>
    </row>
    <row r="276" ht="22.5" customHeight="1">
      <c r="A276" s="49"/>
      <c r="C276" s="548">
        <v>46058.0</v>
      </c>
      <c r="D276" s="195">
        <v>3250000.0</v>
      </c>
      <c r="E276" s="544" t="s">
        <v>133</v>
      </c>
      <c r="F276" s="546"/>
    </row>
    <row r="277" ht="22.5" customHeight="1">
      <c r="A277" s="49"/>
      <c r="C277" s="548">
        <v>46059.0</v>
      </c>
      <c r="D277" s="195">
        <v>820000.0</v>
      </c>
      <c r="E277" s="544" t="s">
        <v>173</v>
      </c>
      <c r="F277" s="546"/>
    </row>
    <row r="278" ht="22.5" customHeight="1">
      <c r="A278" s="49"/>
      <c r="C278" s="548">
        <v>46059.0</v>
      </c>
      <c r="D278" s="195">
        <v>340000.0</v>
      </c>
      <c r="E278" s="544" t="s">
        <v>173</v>
      </c>
      <c r="F278" s="546"/>
    </row>
    <row r="279" ht="22.5" customHeight="1">
      <c r="A279" s="49"/>
      <c r="C279" s="548">
        <v>46059.0</v>
      </c>
      <c r="D279" s="195">
        <v>370000.0</v>
      </c>
      <c r="E279" s="544" t="s">
        <v>142</v>
      </c>
      <c r="F279" s="546"/>
    </row>
    <row r="280" ht="22.5" customHeight="1">
      <c r="A280" s="49"/>
      <c r="C280" s="548">
        <v>46060.0</v>
      </c>
      <c r="D280" s="195">
        <v>1650000.0</v>
      </c>
      <c r="E280" s="544" t="s">
        <v>142</v>
      </c>
      <c r="F280" s="546"/>
    </row>
    <row r="281" ht="22.5" customHeight="1">
      <c r="A281" s="49"/>
      <c r="C281" s="548">
        <v>46060.0</v>
      </c>
      <c r="D281" s="195">
        <v>4250000.0</v>
      </c>
      <c r="E281" s="544" t="s">
        <v>133</v>
      </c>
      <c r="F281" s="546"/>
    </row>
    <row r="282" ht="22.5" customHeight="1">
      <c r="A282" s="49"/>
      <c r="C282" s="548">
        <v>46060.0</v>
      </c>
      <c r="D282" s="195">
        <v>3610000.0</v>
      </c>
      <c r="E282" s="544" t="s">
        <v>173</v>
      </c>
      <c r="F282" s="546"/>
    </row>
    <row r="283" ht="22.5" customHeight="1">
      <c r="A283" s="49"/>
      <c r="C283" s="548">
        <v>46062.0</v>
      </c>
      <c r="D283" s="195">
        <v>1370000.0</v>
      </c>
      <c r="E283" s="544" t="s">
        <v>133</v>
      </c>
      <c r="F283" s="546"/>
    </row>
    <row r="284" ht="22.5" customHeight="1">
      <c r="A284" s="49"/>
      <c r="C284" s="548">
        <v>46062.0</v>
      </c>
      <c r="D284" s="195">
        <v>680000.0</v>
      </c>
      <c r="E284" s="544" t="s">
        <v>173</v>
      </c>
      <c r="F284" s="546"/>
    </row>
    <row r="285" ht="22.5" customHeight="1">
      <c r="A285" s="49"/>
      <c r="C285" s="548">
        <v>46062.0</v>
      </c>
      <c r="D285" s="195">
        <v>425000.0</v>
      </c>
      <c r="E285" s="544" t="s">
        <v>173</v>
      </c>
      <c r="F285" s="546"/>
    </row>
    <row r="286" ht="22.5" customHeight="1">
      <c r="A286" s="49"/>
      <c r="C286" s="548">
        <v>46063.0</v>
      </c>
      <c r="D286" s="195">
        <v>4100000.0</v>
      </c>
      <c r="E286" s="544" t="s">
        <v>133</v>
      </c>
      <c r="F286" s="546"/>
    </row>
    <row r="287" ht="22.5" customHeight="1">
      <c r="A287" s="49"/>
      <c r="C287" s="548">
        <v>46063.0</v>
      </c>
      <c r="D287" s="195">
        <v>950000.0</v>
      </c>
      <c r="E287" s="544" t="s">
        <v>133</v>
      </c>
      <c r="F287" s="546"/>
    </row>
    <row r="288" ht="22.5" customHeight="1">
      <c r="A288" s="49"/>
      <c r="C288" s="548">
        <v>46063.0</v>
      </c>
      <c r="D288" s="195">
        <v>3200000.0</v>
      </c>
      <c r="E288" s="544" t="s">
        <v>133</v>
      </c>
      <c r="F288" s="546"/>
    </row>
    <row r="289" ht="22.5" customHeight="1">
      <c r="A289" s="49"/>
      <c r="C289" s="548">
        <v>46063.0</v>
      </c>
      <c r="D289" s="195">
        <v>1000000.0</v>
      </c>
      <c r="E289" s="544" t="s">
        <v>142</v>
      </c>
      <c r="F289" s="546"/>
    </row>
    <row r="290" ht="22.5" customHeight="1">
      <c r="A290" s="49"/>
      <c r="C290" s="548">
        <v>46063.0</v>
      </c>
      <c r="D290" s="195">
        <v>3850000.0</v>
      </c>
      <c r="E290" s="544" t="s">
        <v>142</v>
      </c>
      <c r="F290" s="546"/>
    </row>
    <row r="291" ht="22.5" customHeight="1">
      <c r="A291" s="49"/>
      <c r="C291" s="548">
        <v>46063.0</v>
      </c>
      <c r="D291" s="195">
        <v>135000.0</v>
      </c>
      <c r="E291" s="544" t="s">
        <v>173</v>
      </c>
      <c r="F291" s="546"/>
    </row>
    <row r="292" ht="22.5" customHeight="1">
      <c r="A292" s="49"/>
      <c r="C292" s="548">
        <v>46063.0</v>
      </c>
      <c r="D292" s="195">
        <v>350000.0</v>
      </c>
      <c r="E292" s="544" t="s">
        <v>173</v>
      </c>
      <c r="F292" s="546"/>
    </row>
    <row r="293" ht="22.5" customHeight="1">
      <c r="A293" s="49"/>
      <c r="C293" s="548">
        <v>46063.0</v>
      </c>
      <c r="D293" s="195">
        <v>3860000.0</v>
      </c>
      <c r="E293" s="544" t="s">
        <v>173</v>
      </c>
      <c r="F293" s="546"/>
    </row>
    <row r="294" ht="22.5" customHeight="1">
      <c r="A294" s="49"/>
      <c r="C294" s="548">
        <v>46064.0</v>
      </c>
      <c r="D294" s="195">
        <v>2600000.0</v>
      </c>
      <c r="E294" s="544" t="s">
        <v>142</v>
      </c>
      <c r="F294" s="546"/>
    </row>
    <row r="295" ht="22.5" customHeight="1">
      <c r="A295" s="49"/>
      <c r="C295" s="548">
        <v>46064.0</v>
      </c>
      <c r="D295" s="195">
        <v>1850000.0</v>
      </c>
      <c r="E295" s="544" t="s">
        <v>173</v>
      </c>
      <c r="F295" s="546"/>
    </row>
    <row r="296" ht="22.5" customHeight="1">
      <c r="A296" s="49"/>
      <c r="C296" s="548">
        <v>46064.0</v>
      </c>
      <c r="D296" s="195">
        <v>1360000.0</v>
      </c>
      <c r="E296" s="544" t="s">
        <v>133</v>
      </c>
      <c r="F296" s="546"/>
    </row>
    <row r="297" ht="22.5" customHeight="1">
      <c r="A297" s="49"/>
      <c r="C297" s="548">
        <v>46064.0</v>
      </c>
      <c r="D297" s="195">
        <v>410000.0</v>
      </c>
      <c r="E297" s="544" t="s">
        <v>173</v>
      </c>
      <c r="F297" s="546"/>
    </row>
    <row r="298" ht="22.5" customHeight="1">
      <c r="A298" s="49"/>
      <c r="C298" s="548">
        <v>46065.0</v>
      </c>
      <c r="D298" s="195">
        <v>660000.0</v>
      </c>
      <c r="E298" s="544" t="s">
        <v>142</v>
      </c>
      <c r="F298" s="546"/>
    </row>
    <row r="299" ht="22.5" customHeight="1">
      <c r="A299" s="49"/>
      <c r="C299" s="548">
        <v>46065.0</v>
      </c>
      <c r="D299" s="195">
        <v>200000.0</v>
      </c>
      <c r="E299" s="544" t="s">
        <v>173</v>
      </c>
      <c r="F299" s="546"/>
    </row>
    <row r="300" ht="22.5" customHeight="1">
      <c r="A300" s="49"/>
      <c r="C300" s="548">
        <v>46065.0</v>
      </c>
      <c r="D300" s="195">
        <v>1080000.0</v>
      </c>
      <c r="E300" s="544" t="s">
        <v>173</v>
      </c>
      <c r="F300" s="546"/>
    </row>
    <row r="301" ht="22.5" customHeight="1">
      <c r="A301" s="49"/>
      <c r="C301" s="548">
        <v>46065.0</v>
      </c>
      <c r="D301" s="195">
        <v>3275000.0</v>
      </c>
      <c r="E301" s="544" t="s">
        <v>173</v>
      </c>
      <c r="F301" s="546"/>
    </row>
    <row r="302" ht="22.5" customHeight="1">
      <c r="A302" s="49"/>
      <c r="C302" s="548">
        <v>46066.0</v>
      </c>
      <c r="D302" s="195">
        <v>1470000.0</v>
      </c>
      <c r="E302" s="544" t="s">
        <v>173</v>
      </c>
      <c r="F302" s="546"/>
    </row>
    <row r="303" ht="22.5" customHeight="1">
      <c r="A303" s="49"/>
      <c r="C303" s="548">
        <v>46066.0</v>
      </c>
      <c r="D303" s="195">
        <v>645000.0</v>
      </c>
      <c r="E303" s="544" t="s">
        <v>162</v>
      </c>
      <c r="F303" s="546"/>
    </row>
    <row r="304" ht="22.5" customHeight="1">
      <c r="A304" s="49"/>
      <c r="C304" s="548">
        <v>46066.0</v>
      </c>
      <c r="D304" s="195">
        <v>1360000.0</v>
      </c>
      <c r="E304" s="544" t="s">
        <v>173</v>
      </c>
      <c r="F304" s="546"/>
    </row>
    <row r="305" ht="22.5" customHeight="1">
      <c r="A305" s="49"/>
      <c r="C305" s="548">
        <v>46066.0</v>
      </c>
      <c r="D305" s="195">
        <v>1360000.0</v>
      </c>
      <c r="E305" s="544" t="s">
        <v>173</v>
      </c>
      <c r="F305" s="546"/>
    </row>
    <row r="306" ht="22.5" customHeight="1">
      <c r="A306" s="49"/>
      <c r="C306" s="548">
        <v>46066.0</v>
      </c>
      <c r="D306" s="195">
        <v>50000.0</v>
      </c>
      <c r="E306" s="544" t="s">
        <v>173</v>
      </c>
      <c r="F306" s="546"/>
    </row>
    <row r="307" ht="22.5" customHeight="1">
      <c r="A307" s="49"/>
      <c r="C307" s="192">
        <v>46066.0</v>
      </c>
      <c r="D307" s="195">
        <v>14000.0</v>
      </c>
      <c r="E307" s="544" t="s">
        <v>173</v>
      </c>
      <c r="F307" s="546"/>
    </row>
    <row r="308" ht="22.5" customHeight="1">
      <c r="A308" s="49"/>
      <c r="C308" s="548">
        <v>46066.0</v>
      </c>
      <c r="D308" s="195">
        <v>1260000.0</v>
      </c>
      <c r="E308" s="544" t="s">
        <v>133</v>
      </c>
      <c r="F308" s="546"/>
    </row>
    <row r="309" ht="22.5" customHeight="1">
      <c r="A309" s="49"/>
      <c r="C309" s="548">
        <v>46066.0</v>
      </c>
      <c r="D309" s="195">
        <v>4335000.0</v>
      </c>
      <c r="E309" s="544" t="s">
        <v>142</v>
      </c>
      <c r="F309" s="546"/>
    </row>
    <row r="310" ht="22.5" customHeight="1">
      <c r="A310" s="49"/>
      <c r="C310" s="548">
        <v>46066.0</v>
      </c>
      <c r="D310" s="195">
        <v>500000.0</v>
      </c>
      <c r="E310" s="544" t="s">
        <v>142</v>
      </c>
      <c r="F310" s="546"/>
    </row>
    <row r="311" ht="22.5" customHeight="1">
      <c r="A311" s="49"/>
      <c r="C311" s="548">
        <v>46066.0</v>
      </c>
      <c r="D311" s="195">
        <v>3070000.0</v>
      </c>
      <c r="E311" s="544" t="s">
        <v>133</v>
      </c>
      <c r="F311" s="546"/>
    </row>
    <row r="312" ht="22.5" customHeight="1">
      <c r="A312" s="49"/>
      <c r="C312" s="548">
        <v>46068.0</v>
      </c>
      <c r="D312" s="195">
        <v>3230000.0</v>
      </c>
      <c r="E312" s="544" t="s">
        <v>173</v>
      </c>
      <c r="F312" s="546"/>
    </row>
    <row r="313" ht="22.5" customHeight="1">
      <c r="A313" s="49"/>
      <c r="C313" s="548">
        <v>46068.0</v>
      </c>
      <c r="D313" s="195">
        <v>1600000.0</v>
      </c>
      <c r="E313" s="544" t="s">
        <v>173</v>
      </c>
      <c r="F313" s="546"/>
    </row>
    <row r="314" ht="22.5" customHeight="1">
      <c r="A314" s="49"/>
      <c r="C314" s="548">
        <v>46069.0</v>
      </c>
      <c r="D314" s="195">
        <v>1.74E7</v>
      </c>
      <c r="E314" s="544" t="s">
        <v>133</v>
      </c>
      <c r="F314" s="546"/>
    </row>
    <row r="315" ht="22.5" customHeight="1">
      <c r="A315" s="49"/>
      <c r="C315" s="548">
        <v>46069.0</v>
      </c>
      <c r="D315" s="195">
        <v>6520000.0</v>
      </c>
      <c r="E315" s="544" t="s">
        <v>142</v>
      </c>
      <c r="F315" s="546"/>
    </row>
    <row r="316" ht="22.5" customHeight="1">
      <c r="A316" s="49"/>
      <c r="C316" s="548">
        <v>46069.0</v>
      </c>
      <c r="D316" s="195">
        <v>2300000.0</v>
      </c>
      <c r="E316" s="544" t="s">
        <v>173</v>
      </c>
      <c r="F316" s="546"/>
    </row>
    <row r="317" ht="22.5" customHeight="1">
      <c r="A317" s="49"/>
      <c r="C317" s="548">
        <v>46069.0</v>
      </c>
      <c r="D317" s="195">
        <v>1650000.0</v>
      </c>
      <c r="E317" s="544" t="s">
        <v>133</v>
      </c>
      <c r="F317" s="546"/>
    </row>
    <row r="318" ht="22.5" customHeight="1">
      <c r="A318" s="49"/>
      <c r="C318" s="548">
        <v>46070.0</v>
      </c>
      <c r="D318" s="195">
        <v>630000.0</v>
      </c>
      <c r="E318" s="544" t="s">
        <v>133</v>
      </c>
      <c r="F318" s="546"/>
    </row>
    <row r="319" ht="22.5" customHeight="1">
      <c r="A319" s="49"/>
      <c r="C319" s="548">
        <v>46070.0</v>
      </c>
      <c r="D319" s="63"/>
      <c r="E319" s="445"/>
      <c r="F319" s="546"/>
    </row>
    <row r="320" ht="22.5" customHeight="1">
      <c r="A320" s="49"/>
      <c r="C320" s="548">
        <v>46070.0</v>
      </c>
      <c r="D320" s="195">
        <v>2940000.0</v>
      </c>
      <c r="E320" s="544" t="s">
        <v>173</v>
      </c>
      <c r="F320" s="546"/>
    </row>
    <row r="321" ht="22.5" customHeight="1">
      <c r="A321" s="49"/>
      <c r="C321" s="548">
        <v>46070.0</v>
      </c>
      <c r="D321" s="195">
        <v>7800000.0</v>
      </c>
      <c r="E321" s="544" t="s">
        <v>142</v>
      </c>
      <c r="F321" s="546"/>
    </row>
    <row r="322" ht="22.5" customHeight="1">
      <c r="A322" s="49"/>
      <c r="C322" s="548">
        <v>46070.0</v>
      </c>
      <c r="D322" s="195">
        <v>1500000.0</v>
      </c>
      <c r="E322" s="544" t="s">
        <v>173</v>
      </c>
      <c r="F322" s="546"/>
    </row>
    <row r="323" ht="22.5" customHeight="1">
      <c r="A323" s="49"/>
      <c r="C323" s="548">
        <v>46070.0</v>
      </c>
      <c r="D323" s="195">
        <v>715000.0</v>
      </c>
      <c r="E323" s="544" t="s">
        <v>173</v>
      </c>
      <c r="F323" s="546"/>
    </row>
    <row r="324" ht="22.5" customHeight="1">
      <c r="A324" s="49"/>
      <c r="C324" s="548">
        <v>46072.0</v>
      </c>
      <c r="D324" s="195">
        <v>6860000.0</v>
      </c>
      <c r="E324" s="544" t="s">
        <v>142</v>
      </c>
      <c r="F324" s="546"/>
    </row>
    <row r="325" ht="22.5" customHeight="1">
      <c r="A325" s="49"/>
      <c r="C325" s="548">
        <v>46073.0</v>
      </c>
      <c r="D325" s="195">
        <v>1370000.0</v>
      </c>
      <c r="E325" s="544" t="s">
        <v>173</v>
      </c>
      <c r="F325" s="546"/>
    </row>
    <row r="326" ht="22.5" customHeight="1">
      <c r="A326" s="49"/>
      <c r="C326" s="548">
        <v>46073.0</v>
      </c>
      <c r="D326" s="195">
        <v>1420000.0</v>
      </c>
      <c r="E326" s="544" t="s">
        <v>173</v>
      </c>
      <c r="F326" s="546"/>
    </row>
    <row r="327" ht="22.5" customHeight="1">
      <c r="A327" s="49"/>
      <c r="C327" s="548">
        <v>46073.0</v>
      </c>
      <c r="D327" s="195">
        <v>4400000.0</v>
      </c>
      <c r="E327" s="544" t="s">
        <v>133</v>
      </c>
      <c r="F327" s="546"/>
    </row>
    <row r="328" ht="22.5" customHeight="1">
      <c r="A328" s="49"/>
      <c r="C328" s="548">
        <v>46074.0</v>
      </c>
      <c r="D328" s="195">
        <v>3320000.0</v>
      </c>
      <c r="E328" s="544" t="s">
        <v>133</v>
      </c>
      <c r="F328" s="546"/>
    </row>
    <row r="329" ht="22.5" customHeight="1">
      <c r="A329" s="49"/>
      <c r="C329" s="548">
        <v>46074.0</v>
      </c>
      <c r="D329" s="195">
        <v>1850000.0</v>
      </c>
      <c r="E329" s="544" t="s">
        <v>173</v>
      </c>
      <c r="F329" s="546"/>
    </row>
    <row r="330" ht="22.5" customHeight="1">
      <c r="A330" s="49"/>
      <c r="C330" s="548">
        <v>46074.0</v>
      </c>
      <c r="D330" s="195">
        <v>460000.0</v>
      </c>
      <c r="E330" s="544" t="s">
        <v>173</v>
      </c>
      <c r="F330" s="546"/>
    </row>
    <row r="331" ht="22.5" customHeight="1">
      <c r="A331" s="49"/>
      <c r="C331" s="548">
        <v>46074.0</v>
      </c>
      <c r="D331" s="195">
        <v>785000.0</v>
      </c>
      <c r="E331" s="544" t="s">
        <v>173</v>
      </c>
      <c r="F331" s="546"/>
    </row>
    <row r="332" ht="22.5" customHeight="1">
      <c r="A332" s="49"/>
      <c r="C332" s="548">
        <v>46074.0</v>
      </c>
      <c r="D332" s="195">
        <v>620000.0</v>
      </c>
      <c r="E332" s="544" t="s">
        <v>173</v>
      </c>
      <c r="F332" s="546"/>
    </row>
    <row r="333" ht="22.5" customHeight="1">
      <c r="A333" s="49"/>
      <c r="C333" s="548">
        <v>46076.0</v>
      </c>
      <c r="D333" s="195">
        <v>500000.0</v>
      </c>
      <c r="E333" s="544" t="s">
        <v>133</v>
      </c>
      <c r="F333" s="546"/>
    </row>
    <row r="334" ht="22.5" customHeight="1">
      <c r="A334" s="49"/>
      <c r="C334" s="548">
        <v>46076.0</v>
      </c>
      <c r="D334" s="195">
        <v>120000.0</v>
      </c>
      <c r="E334" s="544" t="s">
        <v>133</v>
      </c>
      <c r="F334" s="546"/>
    </row>
    <row r="335" ht="22.5" customHeight="1">
      <c r="A335" s="49"/>
      <c r="C335" s="548">
        <v>46077.0</v>
      </c>
      <c r="D335" s="195">
        <v>3340000.0</v>
      </c>
      <c r="E335" s="544" t="s">
        <v>173</v>
      </c>
      <c r="F335" s="546"/>
    </row>
    <row r="336" ht="22.5" customHeight="1">
      <c r="A336" s="49"/>
      <c r="C336" s="548">
        <v>46077.0</v>
      </c>
      <c r="D336" s="195">
        <v>950000.0</v>
      </c>
      <c r="E336" s="544" t="s">
        <v>133</v>
      </c>
      <c r="F336" s="546"/>
    </row>
    <row r="337" ht="22.5" customHeight="1">
      <c r="A337" s="49"/>
      <c r="C337" s="548">
        <v>46077.0</v>
      </c>
      <c r="D337" s="195">
        <v>685000.0</v>
      </c>
      <c r="E337" s="544" t="s">
        <v>133</v>
      </c>
      <c r="F337" s="546"/>
    </row>
    <row r="338" ht="22.5" customHeight="1">
      <c r="A338" s="49"/>
      <c r="C338" s="548">
        <v>46077.0</v>
      </c>
      <c r="D338" s="195">
        <v>1000000.0</v>
      </c>
      <c r="E338" s="544" t="s">
        <v>173</v>
      </c>
      <c r="F338" s="546"/>
    </row>
    <row r="339" ht="22.5" customHeight="1">
      <c r="A339" s="49"/>
      <c r="C339" s="548">
        <v>46078.0</v>
      </c>
      <c r="D339" s="195">
        <v>50000.0</v>
      </c>
      <c r="E339" s="544" t="s">
        <v>173</v>
      </c>
      <c r="F339" s="546"/>
    </row>
    <row r="340" ht="22.5" customHeight="1">
      <c r="A340" s="49"/>
      <c r="C340" s="548">
        <v>46078.0</v>
      </c>
      <c r="D340" s="195">
        <v>1370000.0</v>
      </c>
      <c r="E340" s="544" t="s">
        <v>173</v>
      </c>
      <c r="F340" s="546"/>
    </row>
    <row r="341" ht="22.5" customHeight="1">
      <c r="A341" s="49"/>
      <c r="C341" s="548">
        <v>46078.0</v>
      </c>
      <c r="D341" s="195">
        <v>910000.0</v>
      </c>
      <c r="E341" s="544" t="s">
        <v>173</v>
      </c>
      <c r="F341" s="546"/>
    </row>
    <row r="342" ht="22.5" customHeight="1">
      <c r="A342" s="49"/>
      <c r="C342" s="548">
        <v>46078.0</v>
      </c>
      <c r="D342" s="195">
        <v>300000.0</v>
      </c>
      <c r="E342" s="544" t="s">
        <v>133</v>
      </c>
      <c r="F342" s="546"/>
    </row>
    <row r="343" ht="22.5" customHeight="1">
      <c r="A343" s="49"/>
      <c r="C343" s="548">
        <v>46079.0</v>
      </c>
      <c r="D343" s="195">
        <v>300000.0</v>
      </c>
      <c r="E343" s="544" t="s">
        <v>173</v>
      </c>
      <c r="F343" s="546"/>
    </row>
    <row r="344" ht="22.5" customHeight="1">
      <c r="A344" s="49"/>
      <c r="C344" s="548">
        <v>46079.0</v>
      </c>
      <c r="D344" s="195">
        <v>50000.0</v>
      </c>
      <c r="E344" s="544" t="s">
        <v>173</v>
      </c>
      <c r="F344" s="546"/>
    </row>
    <row r="345" ht="22.5" customHeight="1">
      <c r="A345" s="49"/>
      <c r="C345" s="548">
        <v>46079.0</v>
      </c>
      <c r="D345" s="195">
        <v>1445000.0</v>
      </c>
      <c r="E345" s="544" t="s">
        <v>133</v>
      </c>
      <c r="F345" s="546"/>
    </row>
    <row r="346" ht="22.5" customHeight="1">
      <c r="A346" s="49"/>
      <c r="C346" s="548">
        <v>46080.0</v>
      </c>
      <c r="D346" s="195">
        <v>1050000.0</v>
      </c>
      <c r="E346" s="544" t="s">
        <v>173</v>
      </c>
      <c r="F346" s="546"/>
    </row>
    <row r="347" ht="22.5" customHeight="1">
      <c r="A347" s="49"/>
      <c r="C347" s="548">
        <v>46080.0</v>
      </c>
      <c r="D347" s="195">
        <v>3060000.0</v>
      </c>
      <c r="E347" s="544" t="s">
        <v>173</v>
      </c>
      <c r="F347" s="546"/>
    </row>
    <row r="348" ht="22.5" customHeight="1">
      <c r="A348" s="49"/>
      <c r="C348" s="548">
        <v>46080.0</v>
      </c>
      <c r="D348" s="195">
        <v>1820000.0</v>
      </c>
      <c r="E348" s="544" t="s">
        <v>173</v>
      </c>
      <c r="F348" s="546"/>
    </row>
    <row r="349" ht="22.5" customHeight="1">
      <c r="A349" s="49"/>
      <c r="C349" s="548">
        <v>46080.0</v>
      </c>
      <c r="D349" s="195">
        <v>765000.0</v>
      </c>
      <c r="E349" s="544" t="s">
        <v>133</v>
      </c>
      <c r="F349" s="546"/>
    </row>
    <row r="350" ht="22.5" customHeight="1">
      <c r="A350" s="49"/>
      <c r="C350" s="548">
        <v>46080.0</v>
      </c>
      <c r="D350" s="195">
        <v>320000.0</v>
      </c>
      <c r="E350" s="544" t="s">
        <v>173</v>
      </c>
      <c r="F350" s="546"/>
    </row>
    <row r="351" ht="22.5" customHeight="1">
      <c r="A351" s="49"/>
      <c r="C351" s="548">
        <v>46080.0</v>
      </c>
      <c r="D351" s="195">
        <v>610000.0</v>
      </c>
      <c r="E351" s="544" t="s">
        <v>133</v>
      </c>
      <c r="F351" s="546"/>
    </row>
    <row r="352" ht="22.5" customHeight="1">
      <c r="A352" s="49"/>
      <c r="C352" s="548">
        <v>46080.0</v>
      </c>
      <c r="D352" s="195">
        <v>1740000.0</v>
      </c>
      <c r="E352" s="544" t="s">
        <v>133</v>
      </c>
      <c r="F352" s="546"/>
    </row>
    <row r="353" ht="22.5" customHeight="1">
      <c r="A353" s="49"/>
      <c r="C353" s="548">
        <v>46081.0</v>
      </c>
      <c r="D353" s="195">
        <v>2050000.0</v>
      </c>
      <c r="E353" s="544" t="s">
        <v>133</v>
      </c>
      <c r="F353" s="546"/>
    </row>
    <row r="354" ht="22.5" customHeight="1">
      <c r="A354" s="49"/>
      <c r="C354" s="548">
        <v>46081.0</v>
      </c>
      <c r="D354" s="195">
        <v>720000.0</v>
      </c>
      <c r="E354" s="544" t="s">
        <v>173</v>
      </c>
      <c r="F354" s="546"/>
    </row>
    <row r="355" ht="22.5" customHeight="1">
      <c r="A355" s="49"/>
      <c r="C355" s="548">
        <v>46081.0</v>
      </c>
      <c r="D355" s="195">
        <v>1420000.0</v>
      </c>
      <c r="E355" s="544" t="s">
        <v>173</v>
      </c>
      <c r="F355" s="546"/>
    </row>
    <row r="356" ht="22.5" customHeight="1">
      <c r="A356" s="49"/>
      <c r="C356" s="548">
        <v>46081.0</v>
      </c>
      <c r="D356" s="195">
        <v>1560000.0</v>
      </c>
      <c r="E356" s="544" t="s">
        <v>133</v>
      </c>
      <c r="F356" s="546"/>
    </row>
    <row r="357" ht="22.5" customHeight="1">
      <c r="A357" s="49"/>
      <c r="C357" s="548">
        <v>46081.0</v>
      </c>
      <c r="D357" s="195">
        <v>3000000.0</v>
      </c>
      <c r="E357" s="544" t="s">
        <v>173</v>
      </c>
      <c r="F357" s="546"/>
    </row>
    <row r="358" ht="22.5" customHeight="1">
      <c r="A358" s="49"/>
      <c r="C358" s="548">
        <v>46081.0</v>
      </c>
      <c r="D358" s="195">
        <v>900000.0</v>
      </c>
      <c r="E358" s="544" t="s">
        <v>173</v>
      </c>
      <c r="F358" s="546"/>
    </row>
    <row r="359" ht="22.5" customHeight="1">
      <c r="A359" s="49"/>
      <c r="C359" s="548">
        <v>46082.0</v>
      </c>
      <c r="D359" s="195">
        <v>1360000.0</v>
      </c>
      <c r="E359" s="544" t="s">
        <v>173</v>
      </c>
      <c r="F359" s="546"/>
    </row>
    <row r="360" ht="22.5" customHeight="1">
      <c r="A360" s="49"/>
      <c r="C360" s="548">
        <v>46082.0</v>
      </c>
      <c r="D360" s="195">
        <v>1260000.0</v>
      </c>
      <c r="E360" s="544" t="s">
        <v>173</v>
      </c>
      <c r="F360" s="546"/>
    </row>
    <row r="361" ht="22.5" customHeight="1">
      <c r="A361" s="49"/>
      <c r="C361" s="548">
        <v>46082.0</v>
      </c>
      <c r="D361" s="195">
        <v>2620000.0</v>
      </c>
      <c r="E361" s="544" t="s">
        <v>173</v>
      </c>
      <c r="F361" s="546"/>
    </row>
    <row r="362" ht="22.5" customHeight="1">
      <c r="A362" s="49"/>
      <c r="C362" s="548">
        <v>46082.0</v>
      </c>
      <c r="D362" s="195">
        <v>6700000.0</v>
      </c>
      <c r="E362" s="544" t="s">
        <v>133</v>
      </c>
      <c r="F362" s="546"/>
    </row>
    <row r="363" ht="22.5" customHeight="1">
      <c r="A363" s="49"/>
      <c r="C363" s="548">
        <v>46082.0</v>
      </c>
      <c r="D363" s="195">
        <v>1640000.0</v>
      </c>
      <c r="E363" s="445"/>
      <c r="F363" s="546"/>
    </row>
    <row r="364" ht="22.5" customHeight="1">
      <c r="A364" s="49"/>
      <c r="C364" s="548">
        <v>46083.0</v>
      </c>
      <c r="D364" s="195">
        <v>700000.0</v>
      </c>
      <c r="E364" s="544" t="s">
        <v>142</v>
      </c>
      <c r="F364" s="546"/>
    </row>
    <row r="365" ht="22.5" customHeight="1">
      <c r="A365" s="49"/>
      <c r="C365" s="548">
        <v>46084.0</v>
      </c>
      <c r="D365" s="195">
        <v>4800000.0</v>
      </c>
      <c r="E365" s="544" t="s">
        <v>133</v>
      </c>
      <c r="F365" s="546"/>
    </row>
    <row r="366" ht="22.5" customHeight="1">
      <c r="A366" s="49"/>
      <c r="C366" s="548">
        <v>46084.0</v>
      </c>
      <c r="D366" s="195">
        <v>1370000.0</v>
      </c>
      <c r="E366" s="544" t="s">
        <v>173</v>
      </c>
      <c r="F366" s="546"/>
    </row>
    <row r="367" ht="22.5" customHeight="1">
      <c r="A367" s="49"/>
      <c r="C367" s="548">
        <v>46084.0</v>
      </c>
      <c r="D367" s="195">
        <v>1820000.0</v>
      </c>
      <c r="E367" s="544" t="s">
        <v>142</v>
      </c>
      <c r="F367" s="546"/>
    </row>
    <row r="368" ht="22.5" customHeight="1">
      <c r="A368" s="49"/>
      <c r="C368" s="548">
        <v>46084.0</v>
      </c>
      <c r="D368" s="195">
        <v>2620000.0</v>
      </c>
      <c r="E368" s="544" t="s">
        <v>133</v>
      </c>
      <c r="F368" s="546"/>
    </row>
    <row r="369" ht="22.5" customHeight="1">
      <c r="A369" s="49"/>
      <c r="C369" s="548">
        <v>46085.0</v>
      </c>
      <c r="D369" s="195">
        <v>1120000.0</v>
      </c>
      <c r="E369" s="544" t="s">
        <v>173</v>
      </c>
      <c r="F369" s="546"/>
    </row>
    <row r="370" ht="22.5" customHeight="1">
      <c r="A370" s="49"/>
      <c r="C370" s="548">
        <v>46085.0</v>
      </c>
      <c r="D370" s="195">
        <v>1240000.0</v>
      </c>
      <c r="E370" s="544" t="s">
        <v>133</v>
      </c>
      <c r="F370" s="546"/>
    </row>
    <row r="371" ht="22.5" customHeight="1">
      <c r="A371" s="49"/>
      <c r="C371" s="548">
        <v>46085.0</v>
      </c>
      <c r="D371" s="195">
        <v>1000000.0</v>
      </c>
      <c r="E371" s="544" t="s">
        <v>133</v>
      </c>
      <c r="F371" s="546"/>
    </row>
    <row r="372" ht="22.5" customHeight="1">
      <c r="A372" s="49"/>
      <c r="C372" s="548">
        <v>46085.0</v>
      </c>
      <c r="D372" s="195">
        <v>400000.0</v>
      </c>
      <c r="E372" s="544" t="s">
        <v>133</v>
      </c>
      <c r="F372" s="546"/>
    </row>
    <row r="373" ht="22.5" customHeight="1">
      <c r="A373" s="49"/>
      <c r="C373" s="548">
        <v>46085.0</v>
      </c>
      <c r="D373" s="195">
        <v>1370000.0</v>
      </c>
      <c r="E373" s="544" t="s">
        <v>142</v>
      </c>
      <c r="F373" s="546"/>
    </row>
    <row r="374" ht="22.5" customHeight="1">
      <c r="A374" s="49"/>
      <c r="C374" s="548">
        <v>46086.0</v>
      </c>
      <c r="D374" s="195">
        <v>6400000.0</v>
      </c>
      <c r="E374" s="544" t="s">
        <v>142</v>
      </c>
      <c r="F374" s="546"/>
    </row>
    <row r="375" ht="22.5" customHeight="1">
      <c r="A375" s="49"/>
      <c r="C375" s="548">
        <v>46086.0</v>
      </c>
      <c r="D375" s="195">
        <v>7070000.0</v>
      </c>
      <c r="E375" s="544" t="s">
        <v>133</v>
      </c>
      <c r="F375" s="546"/>
    </row>
    <row r="376" ht="22.5" customHeight="1">
      <c r="A376" s="49"/>
      <c r="C376" s="548">
        <v>46086.0</v>
      </c>
      <c r="D376" s="195">
        <v>1560000.0</v>
      </c>
      <c r="E376" s="544" t="s">
        <v>142</v>
      </c>
      <c r="F376" s="546"/>
    </row>
    <row r="377" ht="22.5" customHeight="1">
      <c r="A377" s="49"/>
      <c r="C377" s="548">
        <v>46086.0</v>
      </c>
      <c r="D377" s="195">
        <v>1640000.0</v>
      </c>
      <c r="E377" s="544" t="s">
        <v>133</v>
      </c>
      <c r="F377" s="546"/>
    </row>
    <row r="378" ht="22.5" customHeight="1">
      <c r="A378" s="49"/>
      <c r="C378" s="548">
        <v>46086.0</v>
      </c>
      <c r="D378" s="195">
        <v>10000.0</v>
      </c>
      <c r="E378" s="544" t="s">
        <v>133</v>
      </c>
      <c r="F378" s="546"/>
    </row>
    <row r="379" ht="22.5" customHeight="1">
      <c r="A379" s="49"/>
      <c r="C379" s="548">
        <v>46086.0</v>
      </c>
      <c r="D379" s="195">
        <v>610000.0</v>
      </c>
      <c r="E379" s="544" t="s">
        <v>133</v>
      </c>
      <c r="F379" s="546"/>
    </row>
    <row r="380" ht="22.5" customHeight="1">
      <c r="A380" s="49"/>
      <c r="C380" s="548">
        <v>46087.0</v>
      </c>
      <c r="D380" s="195">
        <v>3620000.0</v>
      </c>
      <c r="E380" s="544" t="s">
        <v>133</v>
      </c>
      <c r="F380" s="546"/>
    </row>
    <row r="381" ht="22.5" customHeight="1">
      <c r="A381" s="49"/>
      <c r="C381" s="548">
        <v>46087.0</v>
      </c>
      <c r="D381" s="195">
        <v>800000.0</v>
      </c>
      <c r="E381" s="544" t="s">
        <v>133</v>
      </c>
      <c r="F381" s="546"/>
    </row>
    <row r="382" ht="22.5" customHeight="1">
      <c r="A382" s="49"/>
      <c r="C382" s="548">
        <v>46087.0</v>
      </c>
      <c r="D382" s="195">
        <v>1080000.0</v>
      </c>
      <c r="E382" s="544" t="s">
        <v>142</v>
      </c>
      <c r="F382" s="546"/>
    </row>
    <row r="383" ht="22.5" customHeight="1">
      <c r="A383" s="49"/>
      <c r="C383" s="548">
        <v>46087.0</v>
      </c>
      <c r="D383" s="195">
        <v>1000000.0</v>
      </c>
      <c r="E383" s="544" t="s">
        <v>173</v>
      </c>
      <c r="F383" s="546"/>
    </row>
    <row r="384" ht="22.5" customHeight="1">
      <c r="A384" s="49"/>
      <c r="C384" s="548">
        <v>46088.0</v>
      </c>
      <c r="D384" s="195">
        <v>1840000.0</v>
      </c>
      <c r="E384" s="544" t="s">
        <v>173</v>
      </c>
      <c r="F384" s="546"/>
    </row>
    <row r="385" ht="22.5" customHeight="1">
      <c r="A385" s="49"/>
      <c r="C385" s="548">
        <v>46088.0</v>
      </c>
      <c r="D385" s="195">
        <v>685000.0</v>
      </c>
      <c r="E385" s="544" t="s">
        <v>133</v>
      </c>
      <c r="F385" s="546"/>
    </row>
    <row r="386" ht="22.5" customHeight="1">
      <c r="A386" s="49"/>
      <c r="C386" s="548">
        <v>46088.0</v>
      </c>
      <c r="D386" s="195">
        <v>300000.0</v>
      </c>
      <c r="E386" s="544" t="s">
        <v>133</v>
      </c>
      <c r="F386" s="546"/>
    </row>
    <row r="387" ht="22.5" customHeight="1">
      <c r="A387" s="49"/>
      <c r="C387" s="548">
        <v>46089.0</v>
      </c>
      <c r="D387" s="195">
        <v>1120000.0</v>
      </c>
      <c r="E387" s="544" t="s">
        <v>133</v>
      </c>
      <c r="F387" s="546"/>
    </row>
    <row r="388" ht="22.5" customHeight="1">
      <c r="A388" s="49"/>
      <c r="C388" s="548">
        <v>46089.0</v>
      </c>
      <c r="D388" s="195">
        <v>710000.0</v>
      </c>
      <c r="E388" s="544" t="s">
        <v>173</v>
      </c>
      <c r="F388" s="546"/>
    </row>
    <row r="389" ht="22.5" customHeight="1">
      <c r="A389" s="49"/>
      <c r="C389" s="548">
        <v>46089.0</v>
      </c>
      <c r="D389" s="195">
        <v>150000.0</v>
      </c>
      <c r="E389" s="544" t="s">
        <v>173</v>
      </c>
      <c r="F389" s="546"/>
    </row>
    <row r="390" ht="22.5" customHeight="1">
      <c r="A390" s="49"/>
      <c r="C390" s="548">
        <v>46089.0</v>
      </c>
      <c r="D390" s="195">
        <v>300000.0</v>
      </c>
      <c r="E390" s="544" t="s">
        <v>133</v>
      </c>
      <c r="F390" s="546"/>
    </row>
    <row r="391" ht="22.5" customHeight="1">
      <c r="A391" s="49"/>
      <c r="C391" s="548">
        <v>46090.0</v>
      </c>
      <c r="D391" s="195">
        <v>300000.0</v>
      </c>
      <c r="E391" s="544" t="s">
        <v>133</v>
      </c>
      <c r="F391" s="546"/>
    </row>
    <row r="392" ht="22.5" customHeight="1">
      <c r="A392" s="49"/>
      <c r="C392" s="548">
        <v>46090.0</v>
      </c>
      <c r="D392" s="195">
        <v>300000.0</v>
      </c>
      <c r="E392" s="544" t="s">
        <v>142</v>
      </c>
      <c r="F392" s="546"/>
    </row>
    <row r="393" ht="22.5" customHeight="1">
      <c r="A393" s="49"/>
      <c r="C393" s="548">
        <v>46090.0</v>
      </c>
      <c r="D393" s="195">
        <v>1500000.0</v>
      </c>
      <c r="E393" s="544" t="s">
        <v>133</v>
      </c>
      <c r="F393" s="546"/>
    </row>
    <row r="394" ht="22.5" customHeight="1">
      <c r="A394" s="49"/>
      <c r="C394" s="548">
        <v>46090.0</v>
      </c>
      <c r="D394" s="195">
        <v>2200000.0</v>
      </c>
      <c r="E394" s="544" t="s">
        <v>173</v>
      </c>
      <c r="F394" s="546"/>
    </row>
    <row r="395" ht="22.5" customHeight="1">
      <c r="A395" s="49"/>
      <c r="C395" s="548">
        <v>46090.0</v>
      </c>
      <c r="D395" s="195">
        <v>2195000.0</v>
      </c>
      <c r="E395" s="544" t="s">
        <v>173</v>
      </c>
      <c r="F395" s="546"/>
    </row>
    <row r="396" ht="22.5" customHeight="1">
      <c r="A396" s="49"/>
      <c r="C396" s="548">
        <v>46090.0</v>
      </c>
      <c r="D396" s="195">
        <v>1400000.0</v>
      </c>
      <c r="E396" s="544" t="s">
        <v>133</v>
      </c>
      <c r="F396" s="546"/>
    </row>
    <row r="397" ht="22.5" customHeight="1">
      <c r="A397" s="49"/>
      <c r="C397" s="548">
        <v>46090.0</v>
      </c>
      <c r="D397" s="195">
        <v>400000.0</v>
      </c>
      <c r="E397" s="544" t="s">
        <v>173</v>
      </c>
      <c r="F397" s="546"/>
    </row>
    <row r="398" ht="22.5" customHeight="1">
      <c r="A398" s="49"/>
      <c r="C398" s="548">
        <v>46091.0</v>
      </c>
      <c r="D398" s="195">
        <v>1110000.0</v>
      </c>
      <c r="E398" s="544" t="s">
        <v>133</v>
      </c>
      <c r="F398" s="546"/>
    </row>
    <row r="399" ht="22.5" customHeight="1">
      <c r="A399" s="49"/>
      <c r="C399" s="548">
        <v>46091.0</v>
      </c>
      <c r="D399" s="195">
        <v>345000.0</v>
      </c>
      <c r="E399" s="544" t="s">
        <v>173</v>
      </c>
      <c r="F399" s="546"/>
    </row>
    <row r="400" ht="22.5" customHeight="1">
      <c r="A400" s="49"/>
      <c r="C400" s="548">
        <v>46091.0</v>
      </c>
      <c r="D400" s="195">
        <v>335000.0</v>
      </c>
      <c r="E400" s="544" t="s">
        <v>173</v>
      </c>
      <c r="F400" s="546"/>
    </row>
    <row r="401" ht="22.5" customHeight="1">
      <c r="A401" s="49"/>
      <c r="C401" s="548">
        <v>46091.0</v>
      </c>
      <c r="D401" s="195">
        <v>1950000.0</v>
      </c>
      <c r="E401" s="544" t="s">
        <v>173</v>
      </c>
      <c r="F401" s="546"/>
    </row>
    <row r="402" ht="22.5" customHeight="1">
      <c r="A402" s="49"/>
      <c r="C402" s="548">
        <v>46092.0</v>
      </c>
      <c r="D402" s="195">
        <v>1730000.0</v>
      </c>
      <c r="E402" s="544" t="s">
        <v>142</v>
      </c>
      <c r="F402" s="546"/>
    </row>
    <row r="403" ht="22.5" customHeight="1">
      <c r="A403" s="49"/>
      <c r="C403" s="548">
        <v>46092.0</v>
      </c>
      <c r="D403" s="195">
        <v>430000.0</v>
      </c>
      <c r="E403" s="544" t="s">
        <v>173</v>
      </c>
      <c r="F403" s="546"/>
    </row>
    <row r="404" ht="22.5" customHeight="1">
      <c r="A404" s="49"/>
      <c r="C404" s="548">
        <v>46093.0</v>
      </c>
      <c r="D404" s="195">
        <v>2100000.0</v>
      </c>
      <c r="E404" s="544" t="s">
        <v>133</v>
      </c>
      <c r="F404" s="546"/>
    </row>
    <row r="405" ht="22.5" customHeight="1">
      <c r="A405" s="49"/>
      <c r="C405" s="548">
        <v>46093.0</v>
      </c>
      <c r="D405" s="195">
        <v>9440000.0</v>
      </c>
      <c r="E405" s="544" t="s">
        <v>142</v>
      </c>
      <c r="F405" s="546"/>
    </row>
    <row r="406" ht="22.5" customHeight="1">
      <c r="A406" s="49"/>
      <c r="C406" s="548">
        <v>46093.0</v>
      </c>
      <c r="D406" s="195">
        <v>950000.0</v>
      </c>
      <c r="E406" s="544" t="s">
        <v>173</v>
      </c>
      <c r="F406" s="546"/>
    </row>
    <row r="407" ht="22.5" customHeight="1">
      <c r="A407" s="49"/>
      <c r="C407" s="548">
        <v>46093.0</v>
      </c>
      <c r="D407" s="195">
        <v>1910000.0</v>
      </c>
      <c r="E407" s="544" t="s">
        <v>173</v>
      </c>
      <c r="F407" s="546"/>
    </row>
    <row r="408" ht="22.5" customHeight="1">
      <c r="A408" s="49"/>
      <c r="C408" s="548">
        <v>46093.0</v>
      </c>
      <c r="D408" s="195">
        <v>1025000.0</v>
      </c>
      <c r="E408" s="544" t="s">
        <v>173</v>
      </c>
      <c r="F408" s="546"/>
    </row>
    <row r="409" ht="22.5" customHeight="1">
      <c r="A409" s="49"/>
      <c r="C409" s="548">
        <v>46093.0</v>
      </c>
      <c r="D409" s="195">
        <v>520000.0</v>
      </c>
      <c r="E409" s="544" t="s">
        <v>173</v>
      </c>
      <c r="F409" s="546"/>
    </row>
    <row r="410" ht="22.5" customHeight="1">
      <c r="A410" s="49"/>
      <c r="C410" s="548">
        <v>46094.0</v>
      </c>
      <c r="D410" s="195">
        <v>3420000.0</v>
      </c>
      <c r="E410" s="544" t="s">
        <v>133</v>
      </c>
      <c r="F410" s="546"/>
    </row>
    <row r="411" ht="22.5" customHeight="1">
      <c r="A411" s="49"/>
      <c r="C411" s="548">
        <v>46094.0</v>
      </c>
      <c r="D411" s="195">
        <v>5615000.0</v>
      </c>
      <c r="E411" s="544" t="s">
        <v>133</v>
      </c>
      <c r="F411" s="546"/>
    </row>
    <row r="412" ht="22.5" customHeight="1">
      <c r="A412" s="49"/>
      <c r="C412" s="548">
        <v>46094.0</v>
      </c>
      <c r="D412" s="195">
        <v>1920000.0</v>
      </c>
      <c r="E412" s="544" t="s">
        <v>173</v>
      </c>
      <c r="F412" s="546"/>
    </row>
    <row r="413" ht="22.5" customHeight="1">
      <c r="A413" s="49"/>
      <c r="C413" s="548">
        <v>46094.0</v>
      </c>
      <c r="D413" s="195">
        <v>8180000.0</v>
      </c>
      <c r="E413" s="544" t="s">
        <v>142</v>
      </c>
      <c r="F413" s="546"/>
    </row>
    <row r="414" ht="22.5" customHeight="1">
      <c r="A414" s="49"/>
      <c r="C414" s="548">
        <v>46094.0</v>
      </c>
      <c r="D414" s="195">
        <v>2020000.0</v>
      </c>
      <c r="E414" s="544" t="s">
        <v>142</v>
      </c>
      <c r="F414" s="546"/>
    </row>
    <row r="415" ht="22.5" customHeight="1">
      <c r="A415" s="49"/>
      <c r="C415" s="548">
        <v>46094.0</v>
      </c>
      <c r="D415" s="195">
        <v>200000.0</v>
      </c>
      <c r="E415" s="544" t="s">
        <v>142</v>
      </c>
      <c r="F415" s="546"/>
    </row>
    <row r="416" ht="22.5" customHeight="1">
      <c r="A416" s="49"/>
      <c r="C416" s="548">
        <v>46094.0</v>
      </c>
      <c r="D416" s="195">
        <v>4300000.0</v>
      </c>
      <c r="E416" s="544" t="s">
        <v>142</v>
      </c>
      <c r="F416" s="546"/>
    </row>
    <row r="417" ht="22.5" customHeight="1">
      <c r="A417" s="49"/>
      <c r="C417" s="548">
        <v>46094.0</v>
      </c>
      <c r="D417" s="195">
        <v>150000.0</v>
      </c>
      <c r="E417" s="544" t="s">
        <v>173</v>
      </c>
      <c r="F417" s="546"/>
    </row>
    <row r="418" ht="22.5" customHeight="1">
      <c r="A418" s="49"/>
      <c r="C418" s="548">
        <v>46095.0</v>
      </c>
      <c r="D418" s="195">
        <v>565000.0</v>
      </c>
      <c r="E418" s="544" t="s">
        <v>173</v>
      </c>
      <c r="F418" s="546"/>
    </row>
    <row r="419" ht="22.5" customHeight="1">
      <c r="A419" s="49"/>
      <c r="C419" s="548">
        <v>46095.0</v>
      </c>
      <c r="D419" s="195">
        <v>400000.0</v>
      </c>
      <c r="E419" s="544" t="s">
        <v>173</v>
      </c>
      <c r="F419" s="546"/>
    </row>
    <row r="420" ht="22.5" customHeight="1">
      <c r="A420" s="49"/>
      <c r="C420" s="548">
        <v>46095.0</v>
      </c>
      <c r="D420" s="195">
        <v>2720000.0</v>
      </c>
      <c r="E420" s="544" t="s">
        <v>142</v>
      </c>
      <c r="F420" s="546"/>
    </row>
    <row r="421" ht="22.5" customHeight="1">
      <c r="A421" s="49"/>
      <c r="C421" s="548">
        <v>46095.0</v>
      </c>
      <c r="D421" s="195">
        <v>750000.0</v>
      </c>
      <c r="E421" s="544" t="s">
        <v>173</v>
      </c>
      <c r="F421" s="546"/>
    </row>
    <row r="422" ht="22.5" customHeight="1">
      <c r="A422" s="49"/>
      <c r="C422" s="548">
        <v>46095.0</v>
      </c>
      <c r="D422" s="195">
        <v>680000.0</v>
      </c>
      <c r="E422" s="544" t="s">
        <v>173</v>
      </c>
      <c r="F422" s="546"/>
    </row>
    <row r="423" ht="22.5" customHeight="1">
      <c r="A423" s="49"/>
      <c r="C423" s="548">
        <v>46095.0</v>
      </c>
      <c r="D423" s="195">
        <v>460000.0</v>
      </c>
      <c r="E423" s="544" t="s">
        <v>173</v>
      </c>
      <c r="F423" s="546"/>
    </row>
    <row r="424" ht="22.5" customHeight="1">
      <c r="A424" s="49"/>
      <c r="C424" s="548">
        <v>46095.0</v>
      </c>
      <c r="D424" s="195">
        <v>685000.0</v>
      </c>
      <c r="E424" s="544" t="s">
        <v>173</v>
      </c>
      <c r="F424" s="546"/>
    </row>
    <row r="425" ht="22.5" customHeight="1">
      <c r="A425" s="49"/>
      <c r="C425" s="548">
        <v>46095.0</v>
      </c>
      <c r="D425" s="195">
        <v>1480000.0</v>
      </c>
      <c r="E425" s="544" t="s">
        <v>173</v>
      </c>
      <c r="F425" s="546"/>
    </row>
    <row r="426" ht="22.5" customHeight="1">
      <c r="A426" s="49"/>
      <c r="C426" s="548">
        <v>46096.0</v>
      </c>
      <c r="D426" s="195">
        <v>1900000.0</v>
      </c>
      <c r="E426" s="544" t="s">
        <v>133</v>
      </c>
      <c r="F426" s="546"/>
    </row>
    <row r="427" ht="22.5" customHeight="1">
      <c r="A427" s="49"/>
      <c r="C427" s="548">
        <v>46096.0</v>
      </c>
      <c r="D427" s="195">
        <v>1280000.0</v>
      </c>
      <c r="E427" s="544" t="s">
        <v>173</v>
      </c>
      <c r="F427" s="546"/>
    </row>
    <row r="428" ht="22.5" customHeight="1">
      <c r="A428" s="49"/>
      <c r="C428" s="548">
        <v>46096.0</v>
      </c>
      <c r="D428" s="195">
        <v>840000.0</v>
      </c>
      <c r="E428" s="544" t="s">
        <v>173</v>
      </c>
      <c r="F428" s="546"/>
    </row>
    <row r="429" ht="22.5" customHeight="1">
      <c r="A429" s="49"/>
      <c r="C429" s="548">
        <v>46096.0</v>
      </c>
      <c r="D429" s="195">
        <v>1420000.0</v>
      </c>
      <c r="E429" s="544" t="s">
        <v>173</v>
      </c>
      <c r="F429" s="546"/>
    </row>
    <row r="430" ht="22.5" customHeight="1">
      <c r="A430" s="49"/>
      <c r="C430" s="548">
        <v>46097.0</v>
      </c>
      <c r="D430" s="195">
        <v>1520000.0</v>
      </c>
      <c r="E430" s="544" t="s">
        <v>133</v>
      </c>
      <c r="F430" s="546"/>
    </row>
    <row r="431" ht="22.5" customHeight="1">
      <c r="A431" s="49"/>
      <c r="C431" s="548">
        <v>46097.0</v>
      </c>
      <c r="D431" s="195">
        <v>2740000.0</v>
      </c>
      <c r="E431" s="544" t="s">
        <v>173</v>
      </c>
      <c r="F431" s="546"/>
    </row>
    <row r="432" ht="22.5" customHeight="1">
      <c r="A432" s="49"/>
      <c r="C432" s="548">
        <v>46097.0</v>
      </c>
      <c r="D432" s="195">
        <v>930000.0</v>
      </c>
      <c r="E432" s="544" t="s">
        <v>133</v>
      </c>
      <c r="F432" s="546"/>
    </row>
    <row r="433" ht="22.5" customHeight="1">
      <c r="A433" s="49"/>
      <c r="C433" s="548">
        <v>46097.0</v>
      </c>
      <c r="D433" s="195">
        <v>3570000.0</v>
      </c>
      <c r="E433" s="544" t="s">
        <v>162</v>
      </c>
      <c r="F433" s="546"/>
    </row>
    <row r="434" ht="22.5" customHeight="1">
      <c r="A434" s="49"/>
      <c r="C434" s="548">
        <v>46097.0</v>
      </c>
      <c r="D434" s="195">
        <v>3050000.0</v>
      </c>
      <c r="E434" s="544" t="s">
        <v>173</v>
      </c>
      <c r="F434" s="546"/>
    </row>
    <row r="435" ht="22.5" customHeight="1">
      <c r="A435" s="49"/>
      <c r="C435" s="548">
        <v>46097.0</v>
      </c>
      <c r="D435" s="195">
        <v>260000.0</v>
      </c>
      <c r="E435" s="544" t="s">
        <v>133</v>
      </c>
      <c r="F435" s="546"/>
    </row>
    <row r="436" ht="22.5" customHeight="1">
      <c r="A436" s="49"/>
      <c r="C436" s="548">
        <v>46098.0</v>
      </c>
      <c r="D436" s="195">
        <v>3440000.0</v>
      </c>
      <c r="E436" s="544" t="s">
        <v>133</v>
      </c>
      <c r="F436" s="546"/>
    </row>
    <row r="437" ht="22.5" customHeight="1">
      <c r="A437" s="49"/>
      <c r="C437" s="548">
        <v>46098.0</v>
      </c>
      <c r="D437" s="195">
        <v>970000.0</v>
      </c>
      <c r="E437" s="544" t="s">
        <v>173</v>
      </c>
      <c r="F437" s="546"/>
    </row>
    <row r="438" ht="22.5" customHeight="1">
      <c r="A438" s="49"/>
      <c r="C438" s="548">
        <v>46098.0</v>
      </c>
      <c r="D438" s="195">
        <v>550000.0</v>
      </c>
      <c r="E438" s="544" t="s">
        <v>173</v>
      </c>
      <c r="F438" s="546"/>
    </row>
    <row r="439" ht="22.5" customHeight="1">
      <c r="A439" s="49"/>
      <c r="C439" s="548">
        <v>46098.0</v>
      </c>
      <c r="D439" s="195">
        <v>810000.0</v>
      </c>
      <c r="E439" s="544" t="s">
        <v>173</v>
      </c>
      <c r="F439" s="546"/>
    </row>
    <row r="440" ht="22.5" customHeight="1">
      <c r="A440" s="49"/>
      <c r="C440" s="548">
        <v>46098.0</v>
      </c>
      <c r="D440" s="195">
        <v>1820000.0</v>
      </c>
      <c r="E440" s="544" t="s">
        <v>173</v>
      </c>
      <c r="F440" s="546"/>
    </row>
    <row r="441" ht="22.5" customHeight="1">
      <c r="A441" s="49"/>
      <c r="C441" s="548">
        <v>46098.0</v>
      </c>
      <c r="D441" s="195">
        <v>1640000.0</v>
      </c>
      <c r="E441" s="544" t="s">
        <v>173</v>
      </c>
      <c r="F441" s="546"/>
    </row>
    <row r="442" ht="22.5" customHeight="1">
      <c r="A442" s="49"/>
      <c r="C442" s="548">
        <v>46098.0</v>
      </c>
      <c r="D442" s="195">
        <v>160000.0</v>
      </c>
      <c r="E442" s="544" t="s">
        <v>142</v>
      </c>
      <c r="F442" s="546"/>
    </row>
    <row r="443" ht="22.5" customHeight="1">
      <c r="A443" s="49"/>
      <c r="C443" s="548">
        <v>46099.0</v>
      </c>
      <c r="D443" s="195">
        <v>3940000.0</v>
      </c>
      <c r="E443" s="544" t="s">
        <v>133</v>
      </c>
      <c r="F443" s="546"/>
    </row>
    <row r="444" ht="22.5" customHeight="1">
      <c r="A444" s="49"/>
      <c r="C444" s="548">
        <v>46099.0</v>
      </c>
      <c r="D444" s="195">
        <v>1080000.0</v>
      </c>
      <c r="E444" s="544" t="s">
        <v>133</v>
      </c>
      <c r="F444" s="546"/>
    </row>
    <row r="445" ht="22.5" customHeight="1">
      <c r="A445" s="49"/>
      <c r="C445" s="548">
        <v>46099.0</v>
      </c>
      <c r="D445" s="195">
        <v>1660000.0</v>
      </c>
      <c r="E445" s="544" t="s">
        <v>133</v>
      </c>
      <c r="F445" s="546"/>
    </row>
    <row r="446" ht="22.5" customHeight="1">
      <c r="A446" s="49"/>
      <c r="C446" s="548">
        <v>46099.0</v>
      </c>
      <c r="D446" s="195">
        <v>1560000.0</v>
      </c>
      <c r="E446" s="544" t="s">
        <v>173</v>
      </c>
      <c r="F446" s="546"/>
    </row>
    <row r="447" ht="22.5" customHeight="1">
      <c r="A447" s="49"/>
      <c r="C447" s="548">
        <v>46099.0</v>
      </c>
      <c r="D447" s="195">
        <v>1600000.0</v>
      </c>
      <c r="E447" s="544" t="s">
        <v>173</v>
      </c>
      <c r="F447" s="546"/>
    </row>
    <row r="448" ht="22.5" customHeight="1">
      <c r="A448" s="49"/>
      <c r="C448" s="548">
        <v>46099.0</v>
      </c>
      <c r="D448" s="195">
        <v>1560000.0</v>
      </c>
      <c r="E448" s="544" t="s">
        <v>173</v>
      </c>
      <c r="F448" s="546"/>
    </row>
    <row r="449" ht="22.5" customHeight="1">
      <c r="A449" s="49"/>
      <c r="C449" s="548">
        <v>46100.0</v>
      </c>
      <c r="D449" s="195">
        <v>500000.0</v>
      </c>
      <c r="E449" s="544" t="s">
        <v>142</v>
      </c>
      <c r="F449" s="546"/>
    </row>
    <row r="450" ht="22.5" customHeight="1">
      <c r="A450" s="49"/>
      <c r="C450" s="548">
        <v>46100.0</v>
      </c>
      <c r="D450" s="195">
        <v>4350000.0</v>
      </c>
      <c r="E450" s="544" t="s">
        <v>142</v>
      </c>
      <c r="F450" s="546"/>
    </row>
    <row r="451" ht="22.5" customHeight="1">
      <c r="A451" s="49"/>
      <c r="C451" s="548">
        <v>46100.0</v>
      </c>
      <c r="D451" s="195">
        <v>775000.0</v>
      </c>
      <c r="E451" s="544" t="s">
        <v>173</v>
      </c>
      <c r="F451" s="546"/>
    </row>
    <row r="452" ht="22.5" customHeight="1">
      <c r="A452" s="49"/>
      <c r="C452" s="548">
        <v>46100.0</v>
      </c>
      <c r="D452" s="195">
        <v>1370000.0</v>
      </c>
      <c r="E452" s="544" t="s">
        <v>173</v>
      </c>
      <c r="F452" s="546"/>
    </row>
    <row r="453" ht="22.5" customHeight="1">
      <c r="A453" s="49"/>
      <c r="C453" s="548">
        <v>46100.0</v>
      </c>
      <c r="D453" s="195">
        <v>2240000.0</v>
      </c>
      <c r="E453" s="544" t="s">
        <v>173</v>
      </c>
      <c r="F453" s="546"/>
    </row>
    <row r="454" ht="22.5" customHeight="1">
      <c r="A454" s="49"/>
      <c r="C454" s="548">
        <v>46100.0</v>
      </c>
      <c r="D454" s="195">
        <v>465000.0</v>
      </c>
      <c r="E454" s="544" t="s">
        <v>173</v>
      </c>
      <c r="F454" s="546"/>
    </row>
    <row r="455" ht="22.5" customHeight="1">
      <c r="A455" s="49"/>
      <c r="C455" s="548">
        <v>46100.0</v>
      </c>
      <c r="D455" s="195">
        <v>300000.0</v>
      </c>
      <c r="E455" s="544" t="s">
        <v>173</v>
      </c>
      <c r="F455" s="546"/>
    </row>
    <row r="456" ht="22.5" customHeight="1">
      <c r="A456" s="49"/>
      <c r="C456" s="548">
        <v>46100.0</v>
      </c>
      <c r="D456" s="195">
        <v>1240000.0</v>
      </c>
      <c r="E456" s="544" t="s">
        <v>173</v>
      </c>
      <c r="F456" s="546"/>
    </row>
    <row r="457" ht="22.5" customHeight="1">
      <c r="A457" s="49"/>
      <c r="C457" s="548">
        <v>46100.0</v>
      </c>
      <c r="D457" s="195">
        <v>840000.0</v>
      </c>
      <c r="E457" s="544" t="s">
        <v>173</v>
      </c>
      <c r="F457" s="546"/>
    </row>
    <row r="458" ht="22.5" customHeight="1">
      <c r="A458" s="49"/>
      <c r="C458" s="548">
        <v>46100.0</v>
      </c>
      <c r="D458" s="195">
        <v>770000.0</v>
      </c>
      <c r="E458" s="544" t="s">
        <v>173</v>
      </c>
      <c r="F458" s="546"/>
    </row>
    <row r="459" ht="22.5" customHeight="1">
      <c r="A459" s="49"/>
      <c r="C459" s="548">
        <v>46100.0</v>
      </c>
      <c r="D459" s="195">
        <v>1160000.0</v>
      </c>
      <c r="E459" s="544" t="s">
        <v>173</v>
      </c>
      <c r="F459" s="546"/>
    </row>
    <row r="460" ht="22.5" customHeight="1">
      <c r="A460" s="49"/>
      <c r="C460" s="548">
        <v>46100.0</v>
      </c>
      <c r="D460" s="195">
        <v>940000.0</v>
      </c>
      <c r="E460" s="544" t="s">
        <v>173</v>
      </c>
      <c r="F460" s="546"/>
    </row>
    <row r="461" ht="22.5" customHeight="1">
      <c r="A461" s="49"/>
      <c r="C461" s="548">
        <v>46100.0</v>
      </c>
      <c r="D461" s="195">
        <v>870000.0</v>
      </c>
      <c r="E461" s="544" t="s">
        <v>133</v>
      </c>
      <c r="F461" s="546"/>
    </row>
    <row r="462" ht="22.5" customHeight="1">
      <c r="A462" s="49"/>
      <c r="C462" s="548">
        <v>46100.0</v>
      </c>
      <c r="D462" s="195">
        <v>40000.0</v>
      </c>
      <c r="E462" s="544" t="s">
        <v>173</v>
      </c>
      <c r="F462" s="546"/>
    </row>
    <row r="463" ht="22.5" customHeight="1">
      <c r="A463" s="49"/>
      <c r="C463" s="548">
        <v>46100.0</v>
      </c>
      <c r="D463" s="195">
        <v>1280000.0</v>
      </c>
      <c r="E463" s="544" t="s">
        <v>173</v>
      </c>
      <c r="F463" s="546"/>
    </row>
    <row r="464" ht="22.5" customHeight="1">
      <c r="A464" s="49"/>
      <c r="C464" s="548">
        <v>46100.0</v>
      </c>
      <c r="D464" s="195">
        <v>2100000.0</v>
      </c>
      <c r="E464" s="544" t="s">
        <v>173</v>
      </c>
      <c r="F464" s="546"/>
    </row>
    <row r="465" ht="22.5" customHeight="1">
      <c r="A465" s="49"/>
      <c r="C465" s="548">
        <v>46100.0</v>
      </c>
      <c r="D465" s="195">
        <v>250000.0</v>
      </c>
      <c r="E465" s="544" t="s">
        <v>173</v>
      </c>
      <c r="F465" s="546"/>
    </row>
    <row r="466" ht="22.5" customHeight="1">
      <c r="A466" s="49"/>
      <c r="C466" s="548">
        <v>46100.0</v>
      </c>
      <c r="D466" s="195">
        <v>660000.0</v>
      </c>
      <c r="E466" s="544" t="s">
        <v>173</v>
      </c>
      <c r="F466" s="546"/>
    </row>
    <row r="467" ht="22.5" customHeight="1">
      <c r="A467" s="49"/>
      <c r="C467" s="548">
        <v>46100.0</v>
      </c>
      <c r="D467" s="195">
        <v>400000.0</v>
      </c>
      <c r="E467" s="544" t="s">
        <v>173</v>
      </c>
      <c r="F467" s="546"/>
    </row>
    <row r="468" ht="22.5" customHeight="1">
      <c r="A468" s="49"/>
      <c r="C468" s="548">
        <v>46101.0</v>
      </c>
      <c r="D468" s="195">
        <v>1160000.0</v>
      </c>
      <c r="E468" s="544" t="s">
        <v>173</v>
      </c>
      <c r="F468" s="546"/>
    </row>
    <row r="469" ht="22.5" customHeight="1">
      <c r="A469" s="49"/>
      <c r="C469" s="548">
        <v>46101.0</v>
      </c>
      <c r="D469" s="195">
        <v>1000000.0</v>
      </c>
      <c r="E469" s="544" t="s">
        <v>173</v>
      </c>
      <c r="F469" s="546"/>
    </row>
    <row r="470" ht="22.5" customHeight="1">
      <c r="A470" s="49"/>
      <c r="C470" s="548">
        <v>46101.0</v>
      </c>
      <c r="D470" s="195">
        <v>50000.0</v>
      </c>
      <c r="E470" s="544" t="s">
        <v>173</v>
      </c>
      <c r="F470" s="546"/>
    </row>
    <row r="471" ht="22.5" customHeight="1">
      <c r="A471" s="49"/>
      <c r="C471" s="548">
        <v>46106.0</v>
      </c>
      <c r="D471" s="195">
        <v>1625000.0</v>
      </c>
      <c r="E471" s="544" t="s">
        <v>142</v>
      </c>
      <c r="F471" s="546"/>
    </row>
    <row r="472" ht="22.5" customHeight="1">
      <c r="A472" s="49"/>
      <c r="C472" s="548">
        <v>46106.0</v>
      </c>
      <c r="D472" s="195">
        <v>435000.0</v>
      </c>
      <c r="E472" s="544" t="s">
        <v>133</v>
      </c>
      <c r="F472" s="546"/>
    </row>
    <row r="473" ht="22.5" customHeight="1">
      <c r="A473" s="49"/>
      <c r="C473" s="548">
        <v>46106.0</v>
      </c>
      <c r="D473" s="195">
        <v>3140000.0</v>
      </c>
      <c r="E473" s="544" t="s">
        <v>142</v>
      </c>
      <c r="F473" s="546"/>
    </row>
    <row r="474" ht="22.5" customHeight="1">
      <c r="A474" s="49"/>
      <c r="C474" s="548">
        <v>46106.0</v>
      </c>
      <c r="D474" s="195">
        <v>1920000.0</v>
      </c>
      <c r="E474" s="544" t="s">
        <v>173</v>
      </c>
      <c r="F474" s="546"/>
    </row>
    <row r="475" ht="22.5" customHeight="1">
      <c r="A475" s="49"/>
      <c r="C475" s="548">
        <v>46106.0</v>
      </c>
      <c r="D475" s="195">
        <v>1370000.0</v>
      </c>
      <c r="E475" s="544" t="s">
        <v>173</v>
      </c>
      <c r="F475" s="546"/>
    </row>
    <row r="476" ht="22.5" customHeight="1">
      <c r="A476" s="49"/>
      <c r="C476" s="548">
        <v>46106.0</v>
      </c>
      <c r="D476" s="195">
        <v>300000.0</v>
      </c>
      <c r="E476" s="544" t="s">
        <v>173</v>
      </c>
      <c r="F476" s="546"/>
    </row>
    <row r="477" ht="22.5" customHeight="1">
      <c r="A477" s="49"/>
      <c r="C477" s="548">
        <v>46106.0</v>
      </c>
      <c r="D477" s="195">
        <v>3280000.0</v>
      </c>
      <c r="E477" s="544" t="s">
        <v>173</v>
      </c>
      <c r="F477" s="546"/>
    </row>
    <row r="478" ht="22.5" customHeight="1">
      <c r="A478" s="49"/>
      <c r="C478" s="548">
        <v>46106.0</v>
      </c>
      <c r="D478" s="195">
        <v>660000.0</v>
      </c>
      <c r="E478" s="544" t="s">
        <v>173</v>
      </c>
      <c r="F478" s="546"/>
    </row>
    <row r="479" ht="22.5" customHeight="1">
      <c r="A479" s="49"/>
      <c r="C479" s="548">
        <v>46106.0</v>
      </c>
      <c r="D479" s="195">
        <v>200000.0</v>
      </c>
      <c r="E479" s="544" t="s">
        <v>142</v>
      </c>
      <c r="F479" s="546"/>
    </row>
    <row r="480" ht="22.5" customHeight="1">
      <c r="A480" s="49"/>
      <c r="C480" s="548">
        <v>46106.0</v>
      </c>
      <c r="D480" s="195">
        <v>1290000.0</v>
      </c>
      <c r="E480" s="544" t="s">
        <v>173</v>
      </c>
      <c r="F480" s="546"/>
    </row>
    <row r="481" ht="22.5" customHeight="1">
      <c r="A481" s="49"/>
      <c r="C481" s="548">
        <v>46107.0</v>
      </c>
      <c r="D481" s="195">
        <v>1850000.0</v>
      </c>
      <c r="E481" s="544" t="s">
        <v>173</v>
      </c>
      <c r="F481" s="546"/>
    </row>
    <row r="482" ht="22.5" customHeight="1">
      <c r="A482" s="49"/>
      <c r="C482" s="548">
        <v>46107.0</v>
      </c>
      <c r="D482" s="195">
        <v>140000.0</v>
      </c>
      <c r="E482" s="544" t="s">
        <v>173</v>
      </c>
      <c r="F482" s="546"/>
    </row>
    <row r="483" ht="22.5" customHeight="1">
      <c r="A483" s="49"/>
      <c r="C483" s="548">
        <v>46107.0</v>
      </c>
      <c r="D483" s="195">
        <v>1400000.0</v>
      </c>
      <c r="E483" s="544" t="s">
        <v>142</v>
      </c>
      <c r="F483" s="546"/>
    </row>
    <row r="484" ht="22.5" customHeight="1">
      <c r="A484" s="49"/>
      <c r="C484" s="548">
        <v>46107.0</v>
      </c>
      <c r="D484" s="195">
        <v>600000.0</v>
      </c>
      <c r="E484" s="544" t="s">
        <v>133</v>
      </c>
      <c r="F484" s="546"/>
    </row>
    <row r="485" ht="22.5" customHeight="1">
      <c r="A485" s="49"/>
      <c r="C485" s="548">
        <v>46107.0</v>
      </c>
      <c r="D485" s="195">
        <v>2900000.0</v>
      </c>
      <c r="E485" s="544" t="s">
        <v>133</v>
      </c>
      <c r="F485" s="546"/>
    </row>
    <row r="486" ht="22.5" customHeight="1">
      <c r="A486" s="49"/>
      <c r="C486" s="548">
        <v>46107.0</v>
      </c>
      <c r="D486" s="195">
        <v>685000.0</v>
      </c>
      <c r="E486" s="544" t="s">
        <v>173</v>
      </c>
      <c r="F486" s="546"/>
    </row>
    <row r="487" ht="22.5" customHeight="1">
      <c r="A487" s="49"/>
      <c r="C487" s="548">
        <v>46107.0</v>
      </c>
      <c r="D487" s="195">
        <v>320000.0</v>
      </c>
      <c r="E487" s="544" t="s">
        <v>173</v>
      </c>
      <c r="F487" s="546"/>
    </row>
    <row r="488" ht="22.5" customHeight="1">
      <c r="A488" s="49"/>
      <c r="C488" s="548">
        <v>46108.0</v>
      </c>
      <c r="D488" s="195">
        <v>685000.0</v>
      </c>
      <c r="E488" s="544" t="s">
        <v>173</v>
      </c>
      <c r="F488" s="546"/>
    </row>
    <row r="489" ht="22.5" customHeight="1">
      <c r="A489" s="49"/>
      <c r="C489" s="548">
        <v>46108.0</v>
      </c>
      <c r="D489" s="195">
        <v>1540000.0</v>
      </c>
      <c r="E489" s="544" t="s">
        <v>173</v>
      </c>
      <c r="F489" s="546"/>
    </row>
    <row r="490" ht="22.5" customHeight="1">
      <c r="A490" s="49"/>
      <c r="C490" s="548">
        <v>46108.0</v>
      </c>
      <c r="D490" s="195">
        <v>600000.0</v>
      </c>
      <c r="E490" s="544" t="s">
        <v>173</v>
      </c>
      <c r="F490" s="546"/>
    </row>
    <row r="491" ht="22.5" customHeight="1">
      <c r="A491" s="49"/>
      <c r="C491" s="548">
        <v>46108.0</v>
      </c>
      <c r="D491" s="195">
        <v>1500000.0</v>
      </c>
      <c r="E491" s="544" t="s">
        <v>173</v>
      </c>
      <c r="F491" s="546"/>
    </row>
    <row r="492" ht="22.5" customHeight="1">
      <c r="A492" s="49"/>
      <c r="C492" s="548">
        <v>46108.0</v>
      </c>
      <c r="D492" s="195">
        <v>2700000.0</v>
      </c>
      <c r="E492" s="544" t="s">
        <v>133</v>
      </c>
      <c r="F492" s="546"/>
    </row>
    <row r="493" ht="22.5" customHeight="1">
      <c r="A493" s="49"/>
      <c r="C493" s="548">
        <v>46108.0</v>
      </c>
      <c r="D493" s="195">
        <v>1670000.0</v>
      </c>
      <c r="E493" s="544" t="s">
        <v>162</v>
      </c>
      <c r="F493" s="546"/>
    </row>
    <row r="494" ht="22.5" customHeight="1">
      <c r="A494" s="49"/>
      <c r="C494" s="548">
        <v>46108.0</v>
      </c>
      <c r="D494" s="195">
        <v>400000.0</v>
      </c>
      <c r="E494" s="544" t="s">
        <v>173</v>
      </c>
      <c r="F494" s="546"/>
    </row>
    <row r="495" ht="22.5" customHeight="1">
      <c r="A495" s="49"/>
      <c r="C495" s="548">
        <v>46108.0</v>
      </c>
      <c r="D495" s="195">
        <v>20000.0</v>
      </c>
      <c r="E495" s="544" t="s">
        <v>173</v>
      </c>
      <c r="F495" s="546"/>
    </row>
    <row r="496" ht="22.5" customHeight="1">
      <c r="A496" s="49"/>
      <c r="C496" s="548">
        <v>46108.0</v>
      </c>
      <c r="D496" s="195">
        <v>320000.0</v>
      </c>
      <c r="E496" s="544" t="s">
        <v>173</v>
      </c>
      <c r="F496" s="546"/>
    </row>
    <row r="497" ht="22.5" customHeight="1">
      <c r="A497" s="49"/>
      <c r="C497" s="548">
        <v>46108.0</v>
      </c>
      <c r="D497" s="195">
        <v>1090000.0</v>
      </c>
      <c r="E497" s="544" t="s">
        <v>133</v>
      </c>
      <c r="F497" s="546"/>
    </row>
    <row r="498" ht="22.5" customHeight="1">
      <c r="A498" s="49"/>
      <c r="C498" s="548">
        <v>46108.0</v>
      </c>
      <c r="D498" s="195">
        <v>320000.0</v>
      </c>
      <c r="E498" s="544" t="s">
        <v>173</v>
      </c>
      <c r="F498" s="546"/>
    </row>
    <row r="499" ht="22.5" customHeight="1">
      <c r="A499" s="49"/>
      <c r="C499" s="548">
        <v>46109.0</v>
      </c>
      <c r="D499" s="195">
        <v>710000.0</v>
      </c>
      <c r="E499" s="544" t="s">
        <v>162</v>
      </c>
      <c r="F499" s="546"/>
    </row>
    <row r="500" ht="22.5" customHeight="1">
      <c r="A500" s="49"/>
      <c r="C500" s="548">
        <v>46109.0</v>
      </c>
      <c r="D500" s="195">
        <v>2380000.0</v>
      </c>
      <c r="E500" s="544" t="s">
        <v>173</v>
      </c>
      <c r="F500" s="546"/>
    </row>
    <row r="501" ht="22.5" customHeight="1">
      <c r="A501" s="49"/>
      <c r="C501" s="548">
        <v>46109.0</v>
      </c>
      <c r="D501" s="195">
        <v>400000.0</v>
      </c>
      <c r="E501" s="544" t="s">
        <v>173</v>
      </c>
      <c r="F501" s="546"/>
    </row>
    <row r="502" ht="22.5" customHeight="1">
      <c r="A502" s="49"/>
      <c r="C502" s="548">
        <v>46109.0</v>
      </c>
      <c r="D502" s="195">
        <v>685000.0</v>
      </c>
      <c r="E502" s="544" t="s">
        <v>133</v>
      </c>
      <c r="F502" s="546"/>
    </row>
    <row r="503" ht="22.5" customHeight="1">
      <c r="A503" s="49"/>
      <c r="C503" s="548">
        <v>46109.0</v>
      </c>
      <c r="D503" s="195">
        <v>2370000.0</v>
      </c>
      <c r="E503" s="544" t="s">
        <v>173</v>
      </c>
      <c r="F503" s="546"/>
    </row>
    <row r="504" ht="22.5" customHeight="1">
      <c r="A504" s="49"/>
      <c r="C504" s="548">
        <v>46109.0</v>
      </c>
      <c r="D504" s="195">
        <v>670000.0</v>
      </c>
      <c r="E504" s="544" t="s">
        <v>173</v>
      </c>
      <c r="F504" s="546"/>
    </row>
    <row r="505" ht="22.5" customHeight="1">
      <c r="A505" s="49"/>
      <c r="C505" s="548">
        <v>46109.0</v>
      </c>
      <c r="D505" s="195">
        <v>910000.0</v>
      </c>
      <c r="E505" s="544" t="s">
        <v>133</v>
      </c>
      <c r="F505" s="546"/>
    </row>
    <row r="506" ht="22.5" customHeight="1">
      <c r="A506" s="49"/>
      <c r="C506" s="548">
        <v>46109.0</v>
      </c>
      <c r="D506" s="195">
        <v>400000.0</v>
      </c>
      <c r="E506" s="544" t="s">
        <v>173</v>
      </c>
      <c r="F506" s="546"/>
    </row>
    <row r="507" ht="22.5" customHeight="1">
      <c r="A507" s="49"/>
      <c r="C507" s="548">
        <v>46109.0</v>
      </c>
      <c r="D507" s="195">
        <v>150000.0</v>
      </c>
      <c r="E507" s="544" t="s">
        <v>173</v>
      </c>
      <c r="F507" s="546"/>
    </row>
    <row r="508" ht="22.5" customHeight="1">
      <c r="A508" s="49"/>
      <c r="C508" s="548">
        <v>46109.0</v>
      </c>
      <c r="D508" s="195">
        <v>50000.0</v>
      </c>
      <c r="E508" s="544" t="s">
        <v>173</v>
      </c>
      <c r="F508" s="546"/>
    </row>
    <row r="509" ht="22.5" customHeight="1">
      <c r="A509" s="49"/>
      <c r="C509" s="548">
        <v>46110.0</v>
      </c>
      <c r="D509" s="195">
        <v>1600000.0</v>
      </c>
      <c r="E509" s="544" t="s">
        <v>173</v>
      </c>
      <c r="F509" s="546"/>
    </row>
    <row r="510" ht="22.5" customHeight="1">
      <c r="A510" s="49"/>
      <c r="C510" s="548">
        <v>46110.0</v>
      </c>
      <c r="D510" s="195">
        <v>720000.0</v>
      </c>
      <c r="E510" s="544" t="s">
        <v>173</v>
      </c>
      <c r="F510" s="546"/>
    </row>
    <row r="511" ht="22.5" customHeight="1">
      <c r="A511" s="49"/>
      <c r="C511" s="548">
        <v>46111.0</v>
      </c>
      <c r="D511" s="195">
        <v>1370000.0</v>
      </c>
      <c r="E511" s="544" t="s">
        <v>173</v>
      </c>
      <c r="F511" s="546"/>
    </row>
    <row r="512" ht="22.5" customHeight="1">
      <c r="A512" s="49"/>
      <c r="C512" s="548">
        <v>46111.0</v>
      </c>
      <c r="D512" s="195">
        <v>630000.0</v>
      </c>
      <c r="E512" s="544" t="s">
        <v>133</v>
      </c>
      <c r="F512" s="546"/>
    </row>
    <row r="513" ht="22.5" customHeight="1">
      <c r="A513" s="49"/>
      <c r="C513" s="548">
        <v>46112.0</v>
      </c>
      <c r="D513" s="195">
        <v>200000.0</v>
      </c>
      <c r="E513" s="544" t="s">
        <v>133</v>
      </c>
      <c r="F513" s="546"/>
    </row>
    <row r="514" ht="22.5" customHeight="1">
      <c r="A514" s="49"/>
      <c r="C514" s="548">
        <v>46112.0</v>
      </c>
      <c r="D514" s="195">
        <v>1420000.0</v>
      </c>
      <c r="E514" s="544" t="s">
        <v>142</v>
      </c>
      <c r="F514" s="546"/>
    </row>
    <row r="515" ht="22.5" customHeight="1">
      <c r="A515" s="49"/>
      <c r="C515" s="548">
        <v>46113.0</v>
      </c>
      <c r="D515" s="195">
        <v>55000.0</v>
      </c>
      <c r="E515" s="544" t="s">
        <v>173</v>
      </c>
      <c r="F515" s="546"/>
    </row>
    <row r="516" ht="22.5" customHeight="1">
      <c r="A516" s="49"/>
      <c r="C516" s="548">
        <v>46113.0</v>
      </c>
      <c r="D516" s="195">
        <v>3590000.0</v>
      </c>
      <c r="E516" s="544" t="s">
        <v>133</v>
      </c>
      <c r="F516" s="546"/>
    </row>
    <row r="517" ht="22.5" customHeight="1">
      <c r="A517" s="49"/>
      <c r="C517" s="548">
        <v>46113.0</v>
      </c>
      <c r="D517" s="195">
        <v>300000.0</v>
      </c>
      <c r="E517" s="544" t="s">
        <v>133</v>
      </c>
      <c r="F517" s="546"/>
    </row>
    <row r="518" ht="22.5" customHeight="1">
      <c r="A518" s="49"/>
      <c r="C518" s="548">
        <v>46113.0</v>
      </c>
      <c r="D518" s="195">
        <v>1830000.0</v>
      </c>
      <c r="E518" s="544" t="s">
        <v>142</v>
      </c>
      <c r="F518" s="546"/>
    </row>
    <row r="519" ht="22.5" customHeight="1">
      <c r="A519" s="49"/>
      <c r="C519" s="548">
        <v>46114.0</v>
      </c>
      <c r="D519" s="195">
        <v>1550000.0</v>
      </c>
      <c r="E519" s="544" t="s">
        <v>173</v>
      </c>
      <c r="F519" s="546"/>
    </row>
    <row r="520" ht="22.5" customHeight="1">
      <c r="A520" s="49"/>
      <c r="C520" s="548">
        <v>46114.0</v>
      </c>
      <c r="D520" s="195">
        <v>1960000.0</v>
      </c>
      <c r="E520" s="544" t="s">
        <v>133</v>
      </c>
      <c r="F520" s="546"/>
    </row>
    <row r="521" ht="22.5" customHeight="1">
      <c r="A521" s="49"/>
      <c r="C521" s="548">
        <v>46114.0</v>
      </c>
      <c r="D521" s="195">
        <v>1720000.0</v>
      </c>
      <c r="E521" s="544" t="s">
        <v>133</v>
      </c>
      <c r="F521" s="546"/>
    </row>
    <row r="522" ht="22.5" customHeight="1">
      <c r="A522" s="49"/>
      <c r="C522" s="548">
        <v>46115.0</v>
      </c>
      <c r="D522" s="195">
        <v>1200000.0</v>
      </c>
      <c r="E522" s="544" t="s">
        <v>133</v>
      </c>
      <c r="F522" s="546"/>
    </row>
    <row r="523" ht="22.5" customHeight="1">
      <c r="A523" s="49"/>
      <c r="C523" s="548">
        <v>46115.0</v>
      </c>
      <c r="D523" s="195">
        <v>1040000.0</v>
      </c>
      <c r="E523" s="544" t="s">
        <v>133</v>
      </c>
      <c r="F523" s="546"/>
    </row>
    <row r="524" ht="22.5" customHeight="1">
      <c r="A524" s="49"/>
      <c r="C524" s="548">
        <v>46115.0</v>
      </c>
      <c r="D524" s="195">
        <v>3700000.0</v>
      </c>
      <c r="E524" s="544" t="s">
        <v>173</v>
      </c>
      <c r="F524" s="546"/>
    </row>
    <row r="525" ht="22.5" customHeight="1">
      <c r="A525" s="49"/>
      <c r="C525" s="548">
        <v>46115.0</v>
      </c>
      <c r="D525" s="195">
        <v>400000.0</v>
      </c>
      <c r="E525" s="544" t="s">
        <v>173</v>
      </c>
      <c r="F525" s="546"/>
    </row>
    <row r="526" ht="22.5" customHeight="1">
      <c r="A526" s="49"/>
      <c r="C526" s="548">
        <v>46116.0</v>
      </c>
      <c r="D526" s="195">
        <v>45000.0</v>
      </c>
      <c r="E526" s="544" t="s">
        <v>133</v>
      </c>
      <c r="F526" s="546"/>
    </row>
    <row r="527" ht="22.5" customHeight="1">
      <c r="A527" s="49"/>
      <c r="C527" s="192">
        <v>46116.0</v>
      </c>
      <c r="D527" s="195">
        <v>50000.0</v>
      </c>
      <c r="E527" s="544" t="s">
        <v>173</v>
      </c>
      <c r="F527" s="546"/>
    </row>
    <row r="528" ht="22.5" customHeight="1">
      <c r="A528" s="49"/>
      <c r="C528" s="192">
        <v>46116.0</v>
      </c>
      <c r="D528" s="195">
        <v>400000.0</v>
      </c>
      <c r="E528" s="544" t="s">
        <v>173</v>
      </c>
      <c r="F528" s="546"/>
    </row>
    <row r="529" ht="22.5" customHeight="1">
      <c r="A529" s="49"/>
      <c r="C529" s="192">
        <v>46116.0</v>
      </c>
      <c r="D529" s="195">
        <v>7730000.0</v>
      </c>
      <c r="E529" s="544" t="s">
        <v>142</v>
      </c>
      <c r="F529" s="546"/>
    </row>
    <row r="530" ht="22.5" customHeight="1">
      <c r="A530" s="49"/>
      <c r="C530" s="192">
        <v>46116.0</v>
      </c>
      <c r="D530" s="195">
        <v>650000.0</v>
      </c>
      <c r="E530" s="544" t="s">
        <v>142</v>
      </c>
      <c r="F530" s="546"/>
    </row>
    <row r="531" ht="22.5" customHeight="1">
      <c r="A531" s="49"/>
      <c r="C531" s="192">
        <v>46116.0</v>
      </c>
      <c r="D531" s="195">
        <v>1280000.0</v>
      </c>
      <c r="E531" s="544" t="s">
        <v>173</v>
      </c>
      <c r="F531" s="546"/>
    </row>
    <row r="532" ht="22.5" customHeight="1">
      <c r="A532" s="49"/>
      <c r="C532" s="192">
        <v>46116.0</v>
      </c>
      <c r="D532" s="195">
        <v>650000.0</v>
      </c>
      <c r="E532" s="544" t="s">
        <v>142</v>
      </c>
      <c r="F532" s="546"/>
    </row>
    <row r="533" ht="22.5" customHeight="1">
      <c r="A533" s="49"/>
      <c r="C533" s="192">
        <v>46117.0</v>
      </c>
      <c r="D533" s="195">
        <v>400000.0</v>
      </c>
      <c r="E533" s="544" t="s">
        <v>173</v>
      </c>
      <c r="F533" s="546"/>
    </row>
    <row r="534" ht="22.5" customHeight="1">
      <c r="A534" s="49"/>
      <c r="C534" s="192">
        <v>46117.0</v>
      </c>
      <c r="D534" s="195">
        <v>300000.0</v>
      </c>
      <c r="E534" s="544" t="s">
        <v>133</v>
      </c>
      <c r="F534" s="546"/>
    </row>
    <row r="535" ht="22.5" customHeight="1">
      <c r="A535" s="49"/>
      <c r="C535" s="192">
        <v>46117.0</v>
      </c>
      <c r="D535" s="195">
        <v>1000000.0</v>
      </c>
      <c r="E535" s="544" t="s">
        <v>142</v>
      </c>
      <c r="F535" s="546"/>
    </row>
    <row r="536" ht="22.5" customHeight="1">
      <c r="A536" s="49"/>
      <c r="C536" s="192">
        <v>46117.0</v>
      </c>
      <c r="D536" s="195">
        <v>1120000.0</v>
      </c>
      <c r="E536" s="544" t="s">
        <v>133</v>
      </c>
      <c r="F536" s="546"/>
    </row>
    <row r="537" ht="22.5" customHeight="1">
      <c r="A537" s="49"/>
      <c r="C537" s="192">
        <v>46117.0</v>
      </c>
      <c r="D537" s="195">
        <v>30000.0</v>
      </c>
      <c r="E537" s="544" t="s">
        <v>173</v>
      </c>
      <c r="F537" s="546"/>
    </row>
    <row r="538" ht="22.5" customHeight="1">
      <c r="A538" s="49"/>
      <c r="C538" s="192">
        <v>46117.0</v>
      </c>
      <c r="D538" s="195">
        <v>570000.0</v>
      </c>
      <c r="E538" s="544" t="s">
        <v>173</v>
      </c>
      <c r="F538" s="546"/>
    </row>
    <row r="539" ht="22.5" customHeight="1">
      <c r="A539" s="49"/>
      <c r="C539" s="138">
        <v>46117.0</v>
      </c>
      <c r="D539" s="195">
        <v>325000.0</v>
      </c>
      <c r="E539" s="544" t="s">
        <v>173</v>
      </c>
      <c r="F539" s="546"/>
    </row>
    <row r="540" ht="22.5" customHeight="1">
      <c r="A540" s="49"/>
      <c r="C540" s="138">
        <v>46118.0</v>
      </c>
      <c r="D540" s="195">
        <v>1520000.0</v>
      </c>
      <c r="E540" s="544" t="s">
        <v>133</v>
      </c>
      <c r="F540" s="546"/>
    </row>
    <row r="541" ht="22.5" customHeight="1">
      <c r="A541" s="49"/>
      <c r="C541" s="192">
        <v>46118.0</v>
      </c>
      <c r="D541" s="195">
        <v>300000.0</v>
      </c>
      <c r="E541" s="544" t="s">
        <v>173</v>
      </c>
      <c r="F541" s="546"/>
    </row>
    <row r="542" ht="22.5" customHeight="1">
      <c r="A542" s="49"/>
      <c r="C542" s="192">
        <v>46118.0</v>
      </c>
      <c r="D542" s="195">
        <v>150000.0</v>
      </c>
      <c r="E542" s="544" t="s">
        <v>173</v>
      </c>
      <c r="F542" s="546"/>
    </row>
    <row r="543" ht="22.5" customHeight="1">
      <c r="A543" s="49"/>
      <c r="C543" s="192">
        <v>46118.0</v>
      </c>
      <c r="D543" s="195">
        <v>30000.0</v>
      </c>
      <c r="E543" s="544" t="s">
        <v>173</v>
      </c>
      <c r="F543" s="546"/>
    </row>
    <row r="544" ht="22.5" customHeight="1">
      <c r="A544" s="49"/>
      <c r="C544" s="192">
        <v>46118.0</v>
      </c>
      <c r="D544" s="195">
        <v>1500000.0</v>
      </c>
      <c r="E544" s="544" t="s">
        <v>173</v>
      </c>
      <c r="F544" s="546"/>
    </row>
    <row r="545" ht="22.5" customHeight="1">
      <c r="A545" s="49"/>
      <c r="C545" s="192">
        <v>46118.0</v>
      </c>
      <c r="D545" s="195">
        <v>600000.0</v>
      </c>
      <c r="E545" s="544" t="s">
        <v>173</v>
      </c>
      <c r="F545" s="546"/>
    </row>
    <row r="546" ht="22.5" customHeight="1">
      <c r="A546" s="49"/>
      <c r="C546" s="192">
        <v>46118.0</v>
      </c>
      <c r="D546" s="195">
        <v>910000.0</v>
      </c>
      <c r="E546" s="544" t="s">
        <v>142</v>
      </c>
      <c r="F546" s="546"/>
    </row>
    <row r="547" ht="22.5" customHeight="1">
      <c r="A547" s="49"/>
      <c r="C547" s="192">
        <v>46118.0</v>
      </c>
      <c r="D547" s="195">
        <v>2220000.0</v>
      </c>
      <c r="E547" s="544" t="s">
        <v>173</v>
      </c>
      <c r="F547" s="546"/>
    </row>
    <row r="548" ht="22.5" customHeight="1">
      <c r="A548" s="49"/>
      <c r="C548" s="192">
        <v>46118.0</v>
      </c>
      <c r="D548" s="195">
        <v>315000.0</v>
      </c>
      <c r="E548" s="544" t="s">
        <v>173</v>
      </c>
      <c r="F548" s="546"/>
    </row>
    <row r="549" ht="22.5" customHeight="1">
      <c r="A549" s="49"/>
      <c r="C549" s="192">
        <v>46119.0</v>
      </c>
      <c r="D549" s="195">
        <v>1000000.0</v>
      </c>
      <c r="E549" s="544" t="s">
        <v>133</v>
      </c>
      <c r="F549" s="546"/>
    </row>
    <row r="550" ht="22.5" customHeight="1">
      <c r="A550" s="49"/>
      <c r="C550" s="192">
        <v>46119.0</v>
      </c>
      <c r="D550" s="195">
        <v>8200000.0</v>
      </c>
      <c r="E550" s="544" t="s">
        <v>142</v>
      </c>
      <c r="F550" s="546"/>
    </row>
    <row r="551" ht="22.5" customHeight="1">
      <c r="A551" s="49"/>
      <c r="C551" s="192">
        <v>46119.0</v>
      </c>
      <c r="D551" s="195">
        <v>415000.0</v>
      </c>
      <c r="E551" s="544" t="s">
        <v>173</v>
      </c>
      <c r="F551" s="546"/>
    </row>
    <row r="552" ht="22.5" customHeight="1">
      <c r="A552" s="49"/>
      <c r="C552" s="192">
        <v>46119.0</v>
      </c>
      <c r="D552" s="195">
        <v>160000.0</v>
      </c>
      <c r="E552" s="544" t="s">
        <v>173</v>
      </c>
      <c r="F552" s="546"/>
    </row>
    <row r="553" ht="22.5" customHeight="1">
      <c r="A553" s="49"/>
      <c r="C553" s="192">
        <v>46119.0</v>
      </c>
      <c r="D553" s="195">
        <v>160000.0</v>
      </c>
      <c r="E553" s="544" t="s">
        <v>173</v>
      </c>
      <c r="F553" s="546"/>
    </row>
    <row r="554" ht="22.5" customHeight="1">
      <c r="A554" s="49"/>
      <c r="C554" s="192">
        <v>46119.0</v>
      </c>
      <c r="D554" s="195">
        <v>1900000.0</v>
      </c>
      <c r="E554" s="544" t="s">
        <v>173</v>
      </c>
      <c r="F554" s="546"/>
    </row>
    <row r="555" ht="22.5" customHeight="1">
      <c r="A555" s="49"/>
      <c r="C555" s="192">
        <v>46119.0</v>
      </c>
      <c r="D555" s="195">
        <v>1400000.0</v>
      </c>
      <c r="E555" s="544" t="s">
        <v>133</v>
      </c>
      <c r="F555" s="546"/>
    </row>
    <row r="556" ht="22.5" customHeight="1">
      <c r="A556" s="49"/>
      <c r="C556" s="192">
        <v>46120.0</v>
      </c>
      <c r="D556" s="195">
        <v>1500000.0</v>
      </c>
      <c r="E556" s="544" t="s">
        <v>133</v>
      </c>
      <c r="F556" s="546"/>
    </row>
    <row r="557" ht="22.5" customHeight="1">
      <c r="A557" s="49"/>
      <c r="C557" s="192">
        <v>46120.0</v>
      </c>
      <c r="D557" s="195">
        <v>4460000.0</v>
      </c>
      <c r="E557" s="544" t="s">
        <v>142</v>
      </c>
      <c r="F557" s="546"/>
    </row>
    <row r="558" ht="22.5" customHeight="1">
      <c r="A558" s="49"/>
      <c r="C558" s="192">
        <v>46120.0</v>
      </c>
      <c r="D558" s="195">
        <v>630000.0</v>
      </c>
      <c r="E558" s="544" t="s">
        <v>133</v>
      </c>
      <c r="F558" s="546"/>
    </row>
    <row r="559" ht="22.5" customHeight="1">
      <c r="A559" s="49"/>
      <c r="C559" s="192">
        <v>46120.0</v>
      </c>
      <c r="D559" s="195">
        <v>200000.0</v>
      </c>
      <c r="E559" s="544" t="s">
        <v>142</v>
      </c>
      <c r="F559" s="546"/>
    </row>
    <row r="560" ht="22.5" customHeight="1">
      <c r="A560" s="49"/>
      <c r="C560" s="192">
        <v>46120.0</v>
      </c>
      <c r="D560" s="195">
        <v>1840000.0</v>
      </c>
      <c r="E560" s="544" t="s">
        <v>133</v>
      </c>
      <c r="F560" s="546"/>
    </row>
    <row r="561" ht="22.5" customHeight="1">
      <c r="A561" s="49"/>
      <c r="C561" s="192">
        <v>46120.0</v>
      </c>
      <c r="D561" s="195">
        <v>1615000.0</v>
      </c>
      <c r="E561" s="544" t="s">
        <v>173</v>
      </c>
      <c r="F561" s="546"/>
    </row>
    <row r="562" ht="22.5" customHeight="1">
      <c r="A562" s="49"/>
      <c r="C562" s="192">
        <v>46120.0</v>
      </c>
      <c r="D562" s="195">
        <v>50000.0</v>
      </c>
      <c r="E562" s="544" t="s">
        <v>173</v>
      </c>
      <c r="F562" s="546"/>
    </row>
    <row r="563" ht="22.5" customHeight="1">
      <c r="A563" s="49"/>
      <c r="C563" s="192">
        <v>46121.0</v>
      </c>
      <c r="D563" s="195">
        <v>675000.0</v>
      </c>
      <c r="E563" s="544" t="s">
        <v>173</v>
      </c>
      <c r="F563" s="546"/>
    </row>
    <row r="564" ht="22.5" customHeight="1">
      <c r="A564" s="49"/>
      <c r="C564" s="192">
        <v>46121.0</v>
      </c>
      <c r="D564" s="195">
        <v>1350000.0</v>
      </c>
      <c r="E564" s="544" t="s">
        <v>133</v>
      </c>
      <c r="F564" s="546"/>
    </row>
    <row r="565" ht="22.5" customHeight="1">
      <c r="A565" s="49"/>
      <c r="C565" s="192">
        <v>46121.0</v>
      </c>
      <c r="D565" s="195">
        <v>1200000.0</v>
      </c>
      <c r="E565" s="544" t="s">
        <v>133</v>
      </c>
      <c r="F565" s="546"/>
    </row>
    <row r="566" ht="22.5" customHeight="1">
      <c r="A566" s="49"/>
      <c r="C566" s="192">
        <v>46121.0</v>
      </c>
      <c r="D566" s="195">
        <v>2300000.0</v>
      </c>
      <c r="E566" s="544" t="s">
        <v>133</v>
      </c>
      <c r="F566" s="546"/>
    </row>
    <row r="567" ht="22.5" customHeight="1">
      <c r="A567" s="49"/>
      <c r="C567" s="192">
        <v>46121.0</v>
      </c>
      <c r="D567" s="195">
        <v>2715000.0</v>
      </c>
      <c r="E567" s="544" t="s">
        <v>133</v>
      </c>
      <c r="F567" s="546"/>
    </row>
    <row r="568" ht="22.5" customHeight="1">
      <c r="A568" s="49"/>
      <c r="C568" s="192">
        <v>46121.0</v>
      </c>
      <c r="D568" s="195">
        <v>210000.0</v>
      </c>
      <c r="E568" s="544" t="s">
        <v>173</v>
      </c>
      <c r="F568" s="546"/>
    </row>
    <row r="569" ht="22.5" customHeight="1">
      <c r="A569" s="49"/>
      <c r="C569" s="192">
        <v>46121.0</v>
      </c>
      <c r="D569" s="195">
        <v>1350000.0</v>
      </c>
      <c r="E569" s="544" t="s">
        <v>173</v>
      </c>
      <c r="F569" s="546"/>
    </row>
    <row r="570" ht="22.5" customHeight="1">
      <c r="A570" s="49"/>
      <c r="C570" s="192">
        <v>46121.0</v>
      </c>
      <c r="D570" s="195">
        <v>400000.0</v>
      </c>
      <c r="E570" s="544" t="s">
        <v>173</v>
      </c>
      <c r="F570" s="546"/>
    </row>
    <row r="571" ht="22.5" customHeight="1">
      <c r="A571" s="49"/>
      <c r="C571" s="192">
        <v>46121.0</v>
      </c>
      <c r="D571" s="195">
        <v>460000.0</v>
      </c>
      <c r="E571" s="544" t="s">
        <v>173</v>
      </c>
      <c r="F571" s="546"/>
    </row>
    <row r="572" ht="22.5" customHeight="1">
      <c r="A572" s="49"/>
      <c r="C572" s="192">
        <v>46121.0</v>
      </c>
      <c r="D572" s="195">
        <v>130000.0</v>
      </c>
      <c r="E572" s="544" t="s">
        <v>173</v>
      </c>
      <c r="F572" s="546"/>
    </row>
    <row r="573" ht="22.5" customHeight="1">
      <c r="A573" s="49"/>
      <c r="C573" s="192">
        <v>46121.0</v>
      </c>
      <c r="D573" s="195">
        <v>385000.0</v>
      </c>
      <c r="E573" s="544" t="s">
        <v>173</v>
      </c>
      <c r="F573" s="546"/>
    </row>
    <row r="574" ht="22.5" customHeight="1">
      <c r="A574" s="49"/>
      <c r="C574" s="192">
        <v>46122.0</v>
      </c>
      <c r="D574" s="195">
        <v>2000000.0</v>
      </c>
      <c r="E574" s="544" t="s">
        <v>133</v>
      </c>
      <c r="F574" s="546"/>
    </row>
    <row r="575" ht="22.5" customHeight="1">
      <c r="A575" s="49"/>
      <c r="C575" s="192">
        <v>46122.0</v>
      </c>
      <c r="D575" s="195">
        <v>980000.0</v>
      </c>
      <c r="E575" s="544" t="s">
        <v>173</v>
      </c>
      <c r="F575" s="546"/>
    </row>
    <row r="576" ht="22.5" customHeight="1">
      <c r="A576" s="49"/>
      <c r="C576" s="192">
        <v>46122.0</v>
      </c>
      <c r="D576" s="195">
        <v>910000.0</v>
      </c>
      <c r="E576" s="544" t="s">
        <v>133</v>
      </c>
      <c r="F576" s="546"/>
    </row>
    <row r="577" ht="22.5" customHeight="1">
      <c r="A577" s="49"/>
      <c r="C577" s="192">
        <v>46123.0</v>
      </c>
      <c r="D577" s="195">
        <v>3160000.0</v>
      </c>
      <c r="E577" s="544" t="s">
        <v>173</v>
      </c>
      <c r="F577" s="546"/>
    </row>
    <row r="578" ht="22.5" customHeight="1">
      <c r="A578" s="49"/>
      <c r="C578" s="192">
        <v>46123.0</v>
      </c>
      <c r="D578" s="195">
        <v>2150000.0</v>
      </c>
      <c r="E578" s="544" t="s">
        <v>142</v>
      </c>
      <c r="F578" s="546"/>
    </row>
    <row r="579" ht="22.5" customHeight="1">
      <c r="A579" s="49"/>
      <c r="C579" s="192">
        <v>46123.0</v>
      </c>
      <c r="D579" s="195">
        <v>2295000.0</v>
      </c>
      <c r="E579" s="544" t="s">
        <v>142</v>
      </c>
      <c r="F579" s="546"/>
    </row>
    <row r="580" ht="22.5" customHeight="1">
      <c r="A580" s="49"/>
      <c r="C580" s="192">
        <v>46125.0</v>
      </c>
      <c r="D580" s="195">
        <v>2150000.0</v>
      </c>
      <c r="E580" s="544" t="s">
        <v>133</v>
      </c>
      <c r="F580" s="546"/>
    </row>
    <row r="581" ht="22.5" customHeight="1">
      <c r="A581" s="49"/>
      <c r="C581" s="192">
        <v>46125.0</v>
      </c>
      <c r="D581" s="195">
        <v>1000000.0</v>
      </c>
      <c r="E581" s="544" t="s">
        <v>133</v>
      </c>
      <c r="F581" s="546"/>
    </row>
    <row r="582" ht="22.5" customHeight="1">
      <c r="A582" s="49"/>
      <c r="C582" s="192">
        <v>46125.0</v>
      </c>
      <c r="D582" s="195">
        <v>1650000.0</v>
      </c>
      <c r="E582" s="544" t="s">
        <v>142</v>
      </c>
      <c r="F582" s="546"/>
    </row>
    <row r="583" ht="22.5" customHeight="1">
      <c r="A583" s="49"/>
      <c r="C583" s="192">
        <v>46125.0</v>
      </c>
      <c r="D583" s="195">
        <v>2395000.0</v>
      </c>
      <c r="E583" s="544" t="s">
        <v>173</v>
      </c>
      <c r="F583" s="546"/>
    </row>
    <row r="584" ht="22.5" customHeight="1">
      <c r="A584" s="49"/>
      <c r="C584" s="192">
        <v>46125.0</v>
      </c>
      <c r="D584" s="195">
        <v>250000.0</v>
      </c>
      <c r="E584" s="544" t="s">
        <v>133</v>
      </c>
      <c r="F584" s="546"/>
    </row>
    <row r="585" ht="22.5" customHeight="1">
      <c r="A585" s="49"/>
      <c r="C585" s="192">
        <v>46125.0</v>
      </c>
      <c r="D585" s="195">
        <v>135000.0</v>
      </c>
      <c r="E585" s="544" t="s">
        <v>133</v>
      </c>
      <c r="F585" s="546"/>
    </row>
    <row r="586" ht="22.5" customHeight="1">
      <c r="A586" s="49"/>
      <c r="C586" s="192">
        <v>46126.0</v>
      </c>
      <c r="D586" s="195">
        <v>4100000.0</v>
      </c>
      <c r="E586" s="544" t="s">
        <v>173</v>
      </c>
      <c r="F586" s="546"/>
    </row>
    <row r="587" ht="22.5" customHeight="1">
      <c r="A587" s="49"/>
      <c r="C587" s="192">
        <v>46127.0</v>
      </c>
      <c r="D587" s="195">
        <v>150000.0</v>
      </c>
      <c r="E587" s="544" t="s">
        <v>173</v>
      </c>
      <c r="F587" s="546"/>
    </row>
    <row r="588" ht="22.5" customHeight="1">
      <c r="A588" s="49"/>
      <c r="C588" s="192">
        <v>46128.0</v>
      </c>
      <c r="D588" s="195">
        <v>1.269E7</v>
      </c>
      <c r="E588" s="544" t="s">
        <v>142</v>
      </c>
      <c r="F588" s="546"/>
    </row>
    <row r="589" ht="22.5" customHeight="1">
      <c r="A589" s="49"/>
      <c r="C589" s="192">
        <v>46128.0</v>
      </c>
      <c r="D589" s="195">
        <v>4700000.0</v>
      </c>
      <c r="E589" s="544" t="s">
        <v>133</v>
      </c>
      <c r="F589" s="546"/>
    </row>
    <row r="590" ht="22.5" customHeight="1">
      <c r="A590" s="49"/>
      <c r="C590" s="192">
        <v>46128.0</v>
      </c>
      <c r="D590" s="195">
        <v>550000.0</v>
      </c>
      <c r="E590" s="544" t="s">
        <v>173</v>
      </c>
      <c r="F590" s="546"/>
    </row>
    <row r="591" ht="22.5" customHeight="1">
      <c r="A591" s="49"/>
      <c r="C591" s="192">
        <v>46129.0</v>
      </c>
      <c r="D591" s="195">
        <v>2260000.0</v>
      </c>
      <c r="E591" s="544" t="s">
        <v>133</v>
      </c>
      <c r="F591" s="546"/>
    </row>
    <row r="592" ht="22.5" customHeight="1">
      <c r="A592" s="49"/>
      <c r="C592" s="192">
        <v>46129.0</v>
      </c>
      <c r="D592" s="195">
        <v>850000.0</v>
      </c>
      <c r="E592" s="544" t="s">
        <v>173</v>
      </c>
      <c r="F592" s="546"/>
    </row>
    <row r="593" ht="22.5" customHeight="1">
      <c r="A593" s="49"/>
      <c r="C593" s="192">
        <v>46129.0</v>
      </c>
      <c r="D593" s="195">
        <v>1730000.0</v>
      </c>
      <c r="E593" s="544" t="s">
        <v>173</v>
      </c>
      <c r="F593" s="546"/>
    </row>
    <row r="594" ht="22.5" customHeight="1">
      <c r="A594" s="49"/>
      <c r="C594" s="192">
        <v>46129.0</v>
      </c>
      <c r="D594" s="195">
        <v>850000.0</v>
      </c>
      <c r="E594" s="544" t="s">
        <v>173</v>
      </c>
      <c r="F594" s="546"/>
    </row>
    <row r="595" ht="22.5" customHeight="1">
      <c r="A595" s="49"/>
      <c r="C595" s="192">
        <v>46129.0</v>
      </c>
      <c r="D595" s="195">
        <v>80000.0</v>
      </c>
      <c r="E595" s="544" t="s">
        <v>133</v>
      </c>
      <c r="F595" s="546"/>
    </row>
    <row r="596" ht="22.5" customHeight="1">
      <c r="A596" s="49"/>
      <c r="C596" s="192">
        <v>46129.0</v>
      </c>
      <c r="D596" s="195">
        <v>360000.0</v>
      </c>
      <c r="E596" s="544" t="s">
        <v>142</v>
      </c>
      <c r="F596" s="546"/>
    </row>
    <row r="597" ht="22.5" customHeight="1">
      <c r="A597" s="49"/>
      <c r="C597" s="192">
        <v>46130.0</v>
      </c>
      <c r="D597" s="195">
        <v>1380000.0</v>
      </c>
      <c r="E597" s="544" t="s">
        <v>173</v>
      </c>
      <c r="F597" s="546"/>
    </row>
    <row r="598" ht="22.5" customHeight="1">
      <c r="A598" s="49"/>
      <c r="C598" s="192">
        <v>46130.0</v>
      </c>
      <c r="D598" s="195">
        <v>785000.0</v>
      </c>
      <c r="E598" s="544" t="s">
        <v>173</v>
      </c>
      <c r="F598" s="546"/>
    </row>
    <row r="599" ht="22.5" customHeight="1">
      <c r="A599" s="49"/>
      <c r="C599" s="192">
        <v>46130.0</v>
      </c>
      <c r="D599" s="195">
        <v>50000.0</v>
      </c>
      <c r="E599" s="544" t="s">
        <v>173</v>
      </c>
      <c r="F599" s="546"/>
    </row>
    <row r="600" ht="22.5" customHeight="1">
      <c r="A600" s="49"/>
      <c r="C600" s="192">
        <v>46130.0</v>
      </c>
      <c r="D600" s="195">
        <v>100000.0</v>
      </c>
      <c r="E600" s="544" t="s">
        <v>173</v>
      </c>
      <c r="F600" s="546"/>
    </row>
    <row r="601" ht="22.5" customHeight="1">
      <c r="A601" s="49"/>
      <c r="C601" s="192">
        <v>46130.0</v>
      </c>
      <c r="D601" s="195">
        <v>4300000.0</v>
      </c>
      <c r="E601" s="544" t="s">
        <v>133</v>
      </c>
      <c r="F601" s="546"/>
    </row>
    <row r="602" ht="22.5" customHeight="1">
      <c r="A602" s="49"/>
      <c r="C602" s="192">
        <v>46131.0</v>
      </c>
      <c r="D602" s="195">
        <v>1580000.0</v>
      </c>
      <c r="E602" s="544" t="s">
        <v>173</v>
      </c>
      <c r="F602" s="546"/>
    </row>
    <row r="603" ht="22.5" customHeight="1">
      <c r="A603" s="49"/>
      <c r="C603" s="192">
        <v>46132.0</v>
      </c>
      <c r="D603" s="195">
        <v>830000.0</v>
      </c>
      <c r="E603" s="544" t="s">
        <v>133</v>
      </c>
      <c r="F603" s="546"/>
    </row>
    <row r="604" ht="22.5" customHeight="1">
      <c r="A604" s="49"/>
      <c r="C604" s="192">
        <v>46132.0</v>
      </c>
      <c r="D604" s="195">
        <v>2800000.0</v>
      </c>
      <c r="E604" s="544" t="s">
        <v>173</v>
      </c>
      <c r="F604" s="546"/>
    </row>
    <row r="605" ht="22.5" customHeight="1">
      <c r="A605" s="49"/>
      <c r="C605" s="192">
        <v>46132.0</v>
      </c>
      <c r="D605" s="195">
        <v>250000.0</v>
      </c>
      <c r="E605" s="544" t="s">
        <v>173</v>
      </c>
      <c r="F605" s="546"/>
    </row>
    <row r="606" ht="22.5" customHeight="1">
      <c r="A606" s="49"/>
      <c r="C606" s="192">
        <v>46132.0</v>
      </c>
      <c r="D606" s="195">
        <v>300000.0</v>
      </c>
      <c r="E606" s="544" t="s">
        <v>173</v>
      </c>
      <c r="F606" s="546"/>
    </row>
    <row r="607" ht="22.5" customHeight="1">
      <c r="A607" s="49"/>
      <c r="C607" s="192">
        <v>46132.0</v>
      </c>
      <c r="D607" s="195">
        <v>1020000.0</v>
      </c>
      <c r="E607" s="544" t="s">
        <v>173</v>
      </c>
      <c r="F607" s="546"/>
    </row>
    <row r="608" ht="22.5" customHeight="1">
      <c r="A608" s="49"/>
      <c r="C608" s="192">
        <v>46132.0</v>
      </c>
      <c r="D608" s="195">
        <v>350000.0</v>
      </c>
      <c r="E608" s="544" t="s">
        <v>173</v>
      </c>
      <c r="F608" s="546"/>
    </row>
    <row r="609" ht="22.5" customHeight="1">
      <c r="A609" s="49"/>
      <c r="C609" s="192">
        <v>46132.0</v>
      </c>
      <c r="D609" s="195">
        <v>2870000.0</v>
      </c>
      <c r="E609" s="544" t="s">
        <v>133</v>
      </c>
      <c r="F609" s="546"/>
    </row>
    <row r="610" ht="22.5" customHeight="1">
      <c r="A610" s="49"/>
      <c r="C610" s="192">
        <v>46132.0</v>
      </c>
      <c r="D610" s="195">
        <v>1740000.0</v>
      </c>
      <c r="E610" s="544" t="s">
        <v>133</v>
      </c>
      <c r="F610" s="546"/>
    </row>
    <row r="611" ht="22.5" customHeight="1">
      <c r="A611" s="49"/>
      <c r="C611" s="192">
        <v>46132.0</v>
      </c>
      <c r="D611" s="195">
        <v>1700000.0</v>
      </c>
      <c r="E611" s="544" t="s">
        <v>142</v>
      </c>
      <c r="F611" s="546"/>
    </row>
    <row r="612" ht="22.5" customHeight="1">
      <c r="A612" s="49"/>
      <c r="C612" s="192">
        <v>46132.0</v>
      </c>
      <c r="D612" s="195">
        <v>2000000.0</v>
      </c>
      <c r="E612" s="544" t="s">
        <v>173</v>
      </c>
      <c r="F612" s="546"/>
    </row>
    <row r="613" ht="22.5" customHeight="1">
      <c r="A613" s="49"/>
      <c r="C613" s="192">
        <v>46133.0</v>
      </c>
      <c r="D613" s="195">
        <v>6920000.0</v>
      </c>
      <c r="E613" s="544" t="s">
        <v>133</v>
      </c>
      <c r="F613" s="546"/>
    </row>
    <row r="614" ht="22.5" customHeight="1">
      <c r="A614" s="49"/>
      <c r="C614" s="192">
        <v>46133.0</v>
      </c>
      <c r="D614" s="195">
        <v>4500000.0</v>
      </c>
      <c r="E614" s="544" t="s">
        <v>133</v>
      </c>
      <c r="F614" s="546"/>
    </row>
    <row r="615" ht="22.5" customHeight="1">
      <c r="A615" s="49"/>
      <c r="C615" s="192">
        <v>46133.0</v>
      </c>
      <c r="D615" s="195">
        <v>1660000.0</v>
      </c>
      <c r="E615" s="544" t="s">
        <v>173</v>
      </c>
      <c r="F615" s="546"/>
    </row>
    <row r="616" ht="22.5" customHeight="1">
      <c r="A616" s="49"/>
      <c r="C616" s="192">
        <v>46133.0</v>
      </c>
      <c r="D616" s="195">
        <v>250000.0</v>
      </c>
      <c r="E616" s="544" t="s">
        <v>173</v>
      </c>
      <c r="F616" s="546"/>
    </row>
    <row r="617" ht="22.5" customHeight="1">
      <c r="A617" s="49"/>
      <c r="C617" s="192">
        <v>46133.0</v>
      </c>
      <c r="D617" s="195">
        <v>480000.0</v>
      </c>
      <c r="E617" s="544" t="s">
        <v>142</v>
      </c>
      <c r="F617" s="546"/>
    </row>
    <row r="618" ht="22.5" customHeight="1">
      <c r="A618" s="49"/>
      <c r="C618" s="192">
        <v>46133.0</v>
      </c>
      <c r="D618" s="195">
        <v>820000.0</v>
      </c>
      <c r="E618" s="544" t="s">
        <v>142</v>
      </c>
      <c r="F618" s="546"/>
    </row>
    <row r="619" ht="22.5" customHeight="1">
      <c r="A619" s="49"/>
      <c r="C619" s="192">
        <v>46134.0</v>
      </c>
      <c r="D619" s="195">
        <v>2490000.0</v>
      </c>
      <c r="E619" s="544" t="s">
        <v>133</v>
      </c>
      <c r="F619" s="546"/>
    </row>
    <row r="620" ht="22.5" customHeight="1">
      <c r="A620" s="49"/>
      <c r="C620" s="192">
        <v>46134.0</v>
      </c>
      <c r="D620" s="195">
        <v>4070000.0</v>
      </c>
      <c r="E620" s="544" t="s">
        <v>133</v>
      </c>
      <c r="F620" s="546"/>
    </row>
    <row r="621" ht="22.5" customHeight="1">
      <c r="A621" s="49"/>
      <c r="C621" s="192">
        <v>46134.0</v>
      </c>
      <c r="D621" s="195">
        <v>100000.0</v>
      </c>
      <c r="E621" s="544" t="s">
        <v>173</v>
      </c>
      <c r="F621" s="546"/>
    </row>
    <row r="622" ht="22.5" customHeight="1">
      <c r="A622" s="49"/>
      <c r="C622" s="192">
        <v>46134.0</v>
      </c>
      <c r="D622" s="195">
        <v>460000.0</v>
      </c>
      <c r="E622" s="544" t="s">
        <v>173</v>
      </c>
      <c r="F622" s="546"/>
    </row>
    <row r="623" ht="22.5" customHeight="1">
      <c r="A623" s="49"/>
      <c r="C623" s="192">
        <v>46134.0</v>
      </c>
      <c r="D623" s="195">
        <v>700000.0</v>
      </c>
      <c r="E623" s="544" t="s">
        <v>133</v>
      </c>
      <c r="F623" s="546"/>
    </row>
    <row r="624" ht="22.5" customHeight="1">
      <c r="A624" s="49"/>
      <c r="C624" s="192">
        <v>46134.0</v>
      </c>
      <c r="D624" s="195">
        <v>300000.0</v>
      </c>
      <c r="E624" s="544" t="s">
        <v>173</v>
      </c>
      <c r="F624" s="546"/>
    </row>
    <row r="625" ht="22.5" customHeight="1">
      <c r="A625" s="49"/>
      <c r="C625" s="192">
        <v>46134.0</v>
      </c>
      <c r="D625" s="195">
        <v>1640000.0</v>
      </c>
      <c r="E625" s="544" t="s">
        <v>133</v>
      </c>
      <c r="F625" s="546"/>
    </row>
    <row r="626" ht="22.5" customHeight="1">
      <c r="A626" s="49"/>
      <c r="C626" s="192">
        <v>46135.0</v>
      </c>
      <c r="D626" s="195">
        <v>4200000.0</v>
      </c>
      <c r="E626" s="544" t="s">
        <v>133</v>
      </c>
      <c r="F626" s="546"/>
    </row>
    <row r="627" ht="22.5" customHeight="1">
      <c r="A627" s="49"/>
      <c r="C627" s="192">
        <v>46135.0</v>
      </c>
      <c r="D627" s="195">
        <v>2335000.0</v>
      </c>
      <c r="E627" s="544" t="s">
        <v>133</v>
      </c>
      <c r="F627" s="546"/>
    </row>
    <row r="628" ht="22.5" customHeight="1">
      <c r="A628" s="49"/>
      <c r="C628" s="192">
        <v>46135.0</v>
      </c>
      <c r="D628" s="195">
        <v>1180000.0</v>
      </c>
      <c r="E628" s="544" t="s">
        <v>173</v>
      </c>
      <c r="F628" s="546"/>
    </row>
    <row r="629" ht="22.5" customHeight="1">
      <c r="A629" s="49"/>
      <c r="C629" s="192">
        <v>46135.0</v>
      </c>
      <c r="D629" s="195">
        <v>1380000.0</v>
      </c>
      <c r="E629" s="544" t="s">
        <v>173</v>
      </c>
      <c r="F629" s="546"/>
    </row>
    <row r="630" ht="22.5" customHeight="1">
      <c r="A630" s="49"/>
      <c r="C630" s="192">
        <v>46136.0</v>
      </c>
      <c r="D630" s="195">
        <v>2000000.0</v>
      </c>
      <c r="E630" s="544" t="s">
        <v>142</v>
      </c>
      <c r="F630" s="546"/>
    </row>
    <row r="631" ht="22.5" customHeight="1">
      <c r="A631" s="49"/>
      <c r="C631" s="192">
        <v>46136.0</v>
      </c>
      <c r="D631" s="195">
        <v>1450000.0</v>
      </c>
      <c r="E631" s="544" t="s">
        <v>173</v>
      </c>
      <c r="F631" s="546"/>
    </row>
    <row r="632" ht="22.5" customHeight="1">
      <c r="A632" s="49"/>
      <c r="C632" s="192">
        <v>46136.0</v>
      </c>
      <c r="D632" s="195">
        <v>350000.0</v>
      </c>
      <c r="E632" s="544" t="s">
        <v>173</v>
      </c>
      <c r="F632" s="546"/>
    </row>
    <row r="633" ht="22.5" customHeight="1">
      <c r="A633" s="49"/>
      <c r="C633" s="192">
        <v>46137.0</v>
      </c>
      <c r="D633" s="195">
        <v>1440000.0</v>
      </c>
      <c r="E633" s="544" t="s">
        <v>142</v>
      </c>
      <c r="F633" s="546"/>
    </row>
    <row r="634" ht="22.5" customHeight="1">
      <c r="A634" s="49"/>
      <c r="C634" s="192">
        <v>46137.0</v>
      </c>
      <c r="D634" s="195">
        <v>330000.0</v>
      </c>
      <c r="E634" s="544" t="s">
        <v>173</v>
      </c>
      <c r="F634" s="546"/>
    </row>
    <row r="635" ht="22.5" customHeight="1">
      <c r="A635" s="49"/>
      <c r="C635" s="192">
        <v>46137.0</v>
      </c>
      <c r="D635" s="195">
        <v>500000.0</v>
      </c>
      <c r="E635" s="544" t="s">
        <v>173</v>
      </c>
      <c r="F635" s="546"/>
    </row>
    <row r="636" ht="22.5" customHeight="1">
      <c r="A636" s="49"/>
      <c r="C636" s="192">
        <v>46137.0</v>
      </c>
      <c r="D636" s="195">
        <v>60000.0</v>
      </c>
      <c r="E636" s="544" t="s">
        <v>173</v>
      </c>
      <c r="F636" s="546"/>
    </row>
    <row r="637" ht="22.5" customHeight="1">
      <c r="A637" s="49"/>
      <c r="C637" s="192">
        <v>46137.0</v>
      </c>
      <c r="D637" s="195">
        <v>345000.0</v>
      </c>
      <c r="E637" s="544" t="s">
        <v>173</v>
      </c>
      <c r="F637" s="546"/>
    </row>
    <row r="638" ht="22.5" customHeight="1">
      <c r="A638" s="49"/>
      <c r="C638" s="192">
        <v>46137.0</v>
      </c>
      <c r="D638" s="195">
        <v>1285000.0</v>
      </c>
      <c r="E638" s="544" t="s">
        <v>142</v>
      </c>
      <c r="F638" s="546"/>
    </row>
    <row r="639" ht="22.5" customHeight="1">
      <c r="A639" s="49"/>
      <c r="C639" s="192">
        <v>46139.0</v>
      </c>
      <c r="D639" s="195">
        <v>210000.0</v>
      </c>
      <c r="E639" s="544" t="s">
        <v>133</v>
      </c>
      <c r="F639" s="546"/>
    </row>
    <row r="640" ht="22.5" customHeight="1">
      <c r="A640" s="49"/>
      <c r="C640" s="192">
        <v>46139.0</v>
      </c>
      <c r="D640" s="195">
        <v>100000.0</v>
      </c>
      <c r="E640" s="544" t="s">
        <v>133</v>
      </c>
      <c r="F640" s="546"/>
    </row>
    <row r="641" ht="22.5" customHeight="1">
      <c r="A641" s="49"/>
      <c r="C641" s="192">
        <v>46139.0</v>
      </c>
      <c r="D641" s="195">
        <v>1900000.0</v>
      </c>
      <c r="E641" s="544" t="s">
        <v>173</v>
      </c>
      <c r="F641" s="546"/>
    </row>
    <row r="642" ht="22.5" customHeight="1">
      <c r="A642" s="49"/>
      <c r="C642" s="192">
        <v>46139.0</v>
      </c>
      <c r="D642" s="195">
        <v>7400000.0</v>
      </c>
      <c r="E642" s="544" t="s">
        <v>133</v>
      </c>
      <c r="F642" s="546"/>
    </row>
    <row r="643" ht="22.5" customHeight="1">
      <c r="A643" s="49"/>
      <c r="C643" s="192">
        <v>46139.0</v>
      </c>
      <c r="D643" s="195">
        <v>1590000.0</v>
      </c>
      <c r="E643" s="544" t="s">
        <v>173</v>
      </c>
      <c r="F643" s="546"/>
    </row>
    <row r="644" ht="22.5" customHeight="1">
      <c r="A644" s="49"/>
      <c r="C644" s="192">
        <v>46139.0</v>
      </c>
      <c r="D644" s="195">
        <v>1590000.0</v>
      </c>
      <c r="E644" s="544" t="s">
        <v>133</v>
      </c>
      <c r="F644" s="546"/>
    </row>
    <row r="645" ht="22.5" customHeight="1">
      <c r="A645" s="49"/>
      <c r="C645" s="192">
        <v>46140.0</v>
      </c>
      <c r="D645" s="195">
        <v>405000.0</v>
      </c>
      <c r="E645" s="544" t="s">
        <v>173</v>
      </c>
      <c r="F645" s="546"/>
    </row>
    <row r="646" ht="22.5" customHeight="1">
      <c r="A646" s="49"/>
      <c r="C646" s="192">
        <v>46140.0</v>
      </c>
      <c r="D646" s="195">
        <v>2800000.0</v>
      </c>
      <c r="E646" s="544" t="s">
        <v>142</v>
      </c>
      <c r="F646" s="546"/>
    </row>
    <row r="647" ht="22.5" customHeight="1">
      <c r="A647" s="49"/>
      <c r="C647" s="192">
        <v>46140.0</v>
      </c>
      <c r="D647" s="195">
        <v>5950000.0</v>
      </c>
      <c r="E647" s="544" t="s">
        <v>133</v>
      </c>
      <c r="F647" s="546"/>
    </row>
    <row r="648" ht="22.5" customHeight="1">
      <c r="A648" s="49"/>
      <c r="C648" s="192">
        <v>46140.0</v>
      </c>
      <c r="D648" s="195">
        <v>400000.0</v>
      </c>
      <c r="E648" s="544" t="s">
        <v>173</v>
      </c>
      <c r="F648" s="546"/>
    </row>
    <row r="649" ht="22.5" customHeight="1">
      <c r="A649" s="49"/>
      <c r="C649" s="192">
        <v>46141.0</v>
      </c>
      <c r="D649" s="195">
        <v>400000.0</v>
      </c>
      <c r="E649" s="544" t="s">
        <v>173</v>
      </c>
      <c r="F649" s="546"/>
    </row>
    <row r="650" ht="22.5" customHeight="1">
      <c r="A650" s="49"/>
      <c r="C650" s="192">
        <v>46141.0</v>
      </c>
      <c r="D650" s="195">
        <v>1850000.0</v>
      </c>
      <c r="E650" s="544" t="s">
        <v>133</v>
      </c>
      <c r="F650" s="546"/>
    </row>
    <row r="651" ht="22.5" customHeight="1">
      <c r="A651" s="49"/>
      <c r="C651" s="192">
        <v>46141.0</v>
      </c>
      <c r="D651" s="195">
        <v>925000.0</v>
      </c>
      <c r="E651" s="544" t="s">
        <v>133</v>
      </c>
      <c r="F651" s="546"/>
    </row>
    <row r="652" ht="22.5" customHeight="1">
      <c r="A652" s="49"/>
      <c r="C652" s="192">
        <v>46141.0</v>
      </c>
      <c r="D652" s="195">
        <v>200000.0</v>
      </c>
      <c r="E652" s="544" t="s">
        <v>173</v>
      </c>
      <c r="F652" s="546"/>
    </row>
    <row r="653" ht="22.5" customHeight="1">
      <c r="A653" s="49"/>
      <c r="C653" s="192">
        <v>46141.0</v>
      </c>
      <c r="D653" s="195">
        <v>700000.0</v>
      </c>
      <c r="E653" s="544" t="s">
        <v>173</v>
      </c>
      <c r="F653" s="546"/>
    </row>
    <row r="654" ht="22.5" customHeight="1">
      <c r="A654" s="49"/>
      <c r="C654" s="192">
        <v>46142.0</v>
      </c>
      <c r="D654" s="195">
        <v>1280000.0</v>
      </c>
      <c r="E654" s="544" t="s">
        <v>173</v>
      </c>
      <c r="F654" s="546"/>
    </row>
    <row r="655" ht="22.5" customHeight="1">
      <c r="A655" s="49"/>
      <c r="C655" s="192">
        <v>46142.0</v>
      </c>
      <c r="D655" s="195">
        <v>1650000.0</v>
      </c>
      <c r="E655" s="544" t="s">
        <v>133</v>
      </c>
      <c r="F655" s="546"/>
    </row>
    <row r="656" ht="22.5" customHeight="1">
      <c r="A656" s="49"/>
      <c r="C656" s="192">
        <v>46142.0</v>
      </c>
      <c r="D656" s="195">
        <v>2145000.0</v>
      </c>
      <c r="E656" s="544" t="s">
        <v>173</v>
      </c>
      <c r="F656" s="546"/>
    </row>
    <row r="657" ht="22.5" customHeight="1">
      <c r="A657" s="49"/>
      <c r="C657" s="192">
        <v>46142.0</v>
      </c>
      <c r="D657" s="63"/>
      <c r="E657" s="445"/>
      <c r="F657" s="546"/>
    </row>
    <row r="658" ht="22.5" customHeight="1">
      <c r="A658" s="49"/>
      <c r="C658" s="192">
        <v>46142.0</v>
      </c>
      <c r="D658" s="195">
        <v>250000.0</v>
      </c>
      <c r="E658" s="544" t="s">
        <v>133</v>
      </c>
      <c r="F658" s="546"/>
    </row>
    <row r="659" ht="22.5" customHeight="1">
      <c r="A659" s="49"/>
      <c r="C659" s="192">
        <v>46143.0</v>
      </c>
      <c r="D659" s="195">
        <v>925000.0</v>
      </c>
      <c r="E659" s="544" t="s">
        <v>133</v>
      </c>
      <c r="F659" s="546"/>
    </row>
    <row r="660" ht="22.5" customHeight="1">
      <c r="A660" s="49"/>
      <c r="C660" s="192">
        <v>46143.0</v>
      </c>
      <c r="D660" s="195">
        <v>990000.0</v>
      </c>
      <c r="E660" s="544" t="s">
        <v>133</v>
      </c>
      <c r="F660" s="546"/>
    </row>
    <row r="661" ht="22.5" customHeight="1">
      <c r="A661" s="49"/>
      <c r="C661" s="192">
        <v>46143.0</v>
      </c>
      <c r="D661" s="195">
        <v>460000.0</v>
      </c>
      <c r="E661" s="544" t="s">
        <v>173</v>
      </c>
      <c r="F661" s="546"/>
    </row>
    <row r="662" ht="22.5" customHeight="1">
      <c r="A662" s="49"/>
      <c r="C662" s="192">
        <v>46143.0</v>
      </c>
      <c r="D662" s="195">
        <v>250000.0</v>
      </c>
      <c r="E662" s="544" t="s">
        <v>133</v>
      </c>
      <c r="F662" s="546"/>
    </row>
    <row r="663" ht="22.5" customHeight="1">
      <c r="A663" s="49"/>
      <c r="C663" s="192">
        <v>46143.0</v>
      </c>
      <c r="D663" s="195">
        <v>850000.0</v>
      </c>
      <c r="E663" s="544" t="s">
        <v>133</v>
      </c>
      <c r="F663" s="546"/>
    </row>
    <row r="664" ht="22.5" customHeight="1">
      <c r="A664" s="49"/>
      <c r="C664" s="192">
        <v>46143.0</v>
      </c>
      <c r="D664" s="195">
        <v>690000.0</v>
      </c>
      <c r="E664" s="544" t="s">
        <v>142</v>
      </c>
      <c r="F664" s="546"/>
    </row>
    <row r="665" ht="22.5" customHeight="1">
      <c r="A665" s="49"/>
      <c r="C665" s="192">
        <v>46143.0</v>
      </c>
      <c r="D665" s="195">
        <v>15000.0</v>
      </c>
      <c r="E665" s="544" t="s">
        <v>173</v>
      </c>
      <c r="F665" s="546"/>
    </row>
    <row r="666" ht="22.5" customHeight="1">
      <c r="A666" s="49"/>
      <c r="C666" s="192">
        <v>46143.0</v>
      </c>
      <c r="D666" s="195">
        <v>4520000.0</v>
      </c>
      <c r="E666" s="544" t="s">
        <v>142</v>
      </c>
      <c r="F666" s="546"/>
    </row>
    <row r="667" ht="22.5" customHeight="1">
      <c r="A667" s="49"/>
      <c r="C667" s="192">
        <v>46143.0</v>
      </c>
      <c r="D667" s="195">
        <v>1270000.0</v>
      </c>
      <c r="E667" s="544" t="s">
        <v>173</v>
      </c>
      <c r="F667" s="546"/>
    </row>
    <row r="668" ht="22.5" customHeight="1">
      <c r="A668" s="49"/>
      <c r="C668" s="192">
        <v>46144.0</v>
      </c>
      <c r="D668" s="195">
        <v>1410000.0</v>
      </c>
      <c r="E668" s="544" t="s">
        <v>173</v>
      </c>
      <c r="F668" s="546"/>
    </row>
    <row r="669" ht="22.5" customHeight="1">
      <c r="A669" s="49"/>
      <c r="C669" s="192">
        <v>46144.0</v>
      </c>
      <c r="D669" s="195">
        <v>330000.0</v>
      </c>
      <c r="E669" s="544" t="s">
        <v>173</v>
      </c>
      <c r="F669" s="546"/>
    </row>
    <row r="670" ht="22.5" customHeight="1">
      <c r="A670" s="49"/>
      <c r="C670" s="192">
        <v>46144.0</v>
      </c>
      <c r="D670" s="195">
        <v>1760000.0</v>
      </c>
      <c r="E670" s="544" t="s">
        <v>133</v>
      </c>
      <c r="F670" s="546"/>
    </row>
    <row r="671" ht="22.5" customHeight="1">
      <c r="A671" s="49"/>
      <c r="C671" s="192">
        <v>46145.0</v>
      </c>
      <c r="D671" s="195">
        <v>465000.0</v>
      </c>
      <c r="E671" s="544" t="s">
        <v>173</v>
      </c>
      <c r="F671" s="546"/>
    </row>
    <row r="672" ht="22.5" customHeight="1">
      <c r="A672" s="49"/>
      <c r="C672" s="192">
        <v>46145.0</v>
      </c>
      <c r="D672" s="195">
        <v>2880000.0</v>
      </c>
      <c r="E672" s="544" t="s">
        <v>133</v>
      </c>
      <c r="F672" s="546"/>
    </row>
    <row r="673" ht="22.5" customHeight="1">
      <c r="A673" s="49"/>
      <c r="C673" s="192">
        <v>46145.0</v>
      </c>
      <c r="D673" s="195">
        <v>2300000.0</v>
      </c>
      <c r="E673" s="544" t="s">
        <v>133</v>
      </c>
      <c r="F673" s="546"/>
    </row>
    <row r="674" ht="22.5" customHeight="1">
      <c r="A674" s="49"/>
      <c r="C674" s="192">
        <v>46146.0</v>
      </c>
      <c r="D674" s="195">
        <v>1120000.0</v>
      </c>
      <c r="E674" s="544" t="s">
        <v>173</v>
      </c>
      <c r="F674" s="546"/>
    </row>
    <row r="675" ht="22.5" customHeight="1">
      <c r="A675" s="49"/>
      <c r="C675" s="192">
        <v>46146.0</v>
      </c>
      <c r="D675" s="195">
        <v>1480000.0</v>
      </c>
      <c r="E675" s="544" t="s">
        <v>133</v>
      </c>
      <c r="F675" s="546"/>
    </row>
    <row r="676" ht="22.5" customHeight="1">
      <c r="A676" s="49"/>
      <c r="C676" s="192">
        <v>46146.0</v>
      </c>
      <c r="D676" s="195">
        <v>300000.0</v>
      </c>
      <c r="E676" s="544" t="s">
        <v>133</v>
      </c>
      <c r="F676" s="546"/>
    </row>
    <row r="677" ht="22.5" customHeight="1">
      <c r="A677" s="49"/>
      <c r="C677" s="192">
        <v>46146.0</v>
      </c>
      <c r="D677" s="63"/>
      <c r="E677" s="445"/>
      <c r="F677" s="546"/>
    </row>
    <row r="678" ht="22.5" customHeight="1">
      <c r="A678" s="49"/>
      <c r="C678" s="192">
        <v>46147.0</v>
      </c>
      <c r="D678" s="195">
        <v>4400000.0</v>
      </c>
      <c r="E678" s="544" t="s">
        <v>142</v>
      </c>
      <c r="F678" s="546"/>
    </row>
    <row r="679" ht="22.5" customHeight="1">
      <c r="A679" s="49"/>
      <c r="C679" s="192">
        <v>46148.0</v>
      </c>
      <c r="D679" s="195">
        <v>3150000.0</v>
      </c>
      <c r="E679" s="544" t="s">
        <v>173</v>
      </c>
      <c r="F679" s="546"/>
    </row>
    <row r="680" ht="22.5" customHeight="1">
      <c r="A680" s="49"/>
      <c r="C680" s="192">
        <v>46148.0</v>
      </c>
      <c r="D680" s="195">
        <v>315000.0</v>
      </c>
      <c r="E680" s="544" t="s">
        <v>173</v>
      </c>
      <c r="F680" s="546"/>
    </row>
    <row r="681" ht="22.5" customHeight="1">
      <c r="A681" s="49"/>
      <c r="C681" s="192">
        <v>46148.0</v>
      </c>
      <c r="D681" s="195">
        <v>820000.0</v>
      </c>
      <c r="E681" s="544" t="s">
        <v>173</v>
      </c>
      <c r="F681" s="546"/>
    </row>
    <row r="682" ht="22.5" customHeight="1">
      <c r="A682" s="49"/>
      <c r="C682" s="192">
        <v>46148.0</v>
      </c>
      <c r="D682" s="195">
        <v>2050000.0</v>
      </c>
      <c r="E682" s="544" t="s">
        <v>142</v>
      </c>
      <c r="F682" s="546"/>
    </row>
    <row r="683" ht="22.5" customHeight="1">
      <c r="A683" s="49"/>
      <c r="C683" s="192">
        <v>46148.0</v>
      </c>
      <c r="D683" s="195">
        <v>3300000.0</v>
      </c>
      <c r="E683" s="544" t="s">
        <v>142</v>
      </c>
      <c r="F683" s="546"/>
    </row>
    <row r="684" ht="22.5" customHeight="1">
      <c r="A684" s="49"/>
      <c r="C684" s="192">
        <v>46148.0</v>
      </c>
      <c r="D684" s="195">
        <v>2040000.0</v>
      </c>
      <c r="E684" s="544" t="s">
        <v>133</v>
      </c>
      <c r="F684" s="546"/>
    </row>
    <row r="685" ht="22.5" customHeight="1">
      <c r="A685" s="49"/>
      <c r="C685" s="192">
        <v>46148.0</v>
      </c>
      <c r="D685" s="195">
        <v>1960000.0</v>
      </c>
      <c r="E685" s="544" t="s">
        <v>173</v>
      </c>
      <c r="F685" s="546"/>
    </row>
    <row r="686" ht="22.5" customHeight="1">
      <c r="A686" s="49"/>
      <c r="C686" s="192">
        <v>46148.0</v>
      </c>
      <c r="D686" s="195">
        <v>400000.0</v>
      </c>
      <c r="E686" s="544" t="s">
        <v>173</v>
      </c>
      <c r="F686" s="546"/>
    </row>
    <row r="687" ht="22.5" customHeight="1">
      <c r="A687" s="49"/>
      <c r="C687" s="192">
        <v>46149.0</v>
      </c>
      <c r="D687" s="195">
        <v>340000.0</v>
      </c>
      <c r="E687" s="544" t="s">
        <v>173</v>
      </c>
      <c r="F687" s="546"/>
    </row>
    <row r="688" ht="22.5" customHeight="1">
      <c r="A688" s="49"/>
      <c r="C688" s="192">
        <v>46149.0</v>
      </c>
      <c r="D688" s="195">
        <v>825000.0</v>
      </c>
      <c r="E688" s="544" t="s">
        <v>133</v>
      </c>
      <c r="F688" s="546"/>
    </row>
    <row r="689" ht="22.5" customHeight="1">
      <c r="A689" s="49"/>
      <c r="C689" s="192">
        <v>46149.0</v>
      </c>
      <c r="D689" s="195">
        <v>150000.0</v>
      </c>
      <c r="E689" s="544" t="s">
        <v>133</v>
      </c>
      <c r="F689" s="546"/>
    </row>
    <row r="690" ht="22.5" customHeight="1">
      <c r="A690" s="49"/>
      <c r="C690" s="192">
        <v>46149.0</v>
      </c>
      <c r="D690" s="195">
        <v>900000.0</v>
      </c>
      <c r="E690" s="544" t="s">
        <v>142</v>
      </c>
      <c r="F690" s="546"/>
    </row>
    <row r="691" ht="22.5" customHeight="1">
      <c r="A691" s="49"/>
      <c r="C691" s="192">
        <v>46149.0</v>
      </c>
      <c r="D691" s="195">
        <v>645000.0</v>
      </c>
      <c r="E691" s="544" t="s">
        <v>173</v>
      </c>
      <c r="F691" s="546"/>
    </row>
    <row r="692" ht="22.5" customHeight="1">
      <c r="A692" s="49"/>
      <c r="C692" s="192">
        <v>46149.0</v>
      </c>
      <c r="D692" s="195">
        <v>755000.0</v>
      </c>
      <c r="E692" s="544" t="s">
        <v>173</v>
      </c>
      <c r="F692" s="546"/>
    </row>
    <row r="693" ht="22.5" customHeight="1">
      <c r="A693" s="49"/>
      <c r="C693" s="192">
        <v>46150.0</v>
      </c>
      <c r="D693" s="195">
        <v>1440000.0</v>
      </c>
      <c r="E693" s="544" t="s">
        <v>173</v>
      </c>
      <c r="F693" s="546"/>
    </row>
    <row r="694" ht="22.5" customHeight="1">
      <c r="A694" s="49"/>
      <c r="C694" s="192">
        <v>46150.0</v>
      </c>
      <c r="D694" s="195">
        <v>1420000.0</v>
      </c>
      <c r="E694" s="544" t="s">
        <v>133</v>
      </c>
      <c r="F694" s="546"/>
    </row>
    <row r="695" ht="22.5" customHeight="1">
      <c r="A695" s="49"/>
      <c r="C695" s="192">
        <v>46150.0</v>
      </c>
      <c r="D695" s="195">
        <v>1700000.0</v>
      </c>
      <c r="E695" s="544" t="s">
        <v>173</v>
      </c>
      <c r="F695" s="546"/>
    </row>
    <row r="696" ht="22.5" customHeight="1">
      <c r="A696" s="49"/>
      <c r="C696" s="192">
        <v>46150.0</v>
      </c>
      <c r="D696" s="195">
        <v>670000.0</v>
      </c>
      <c r="E696" s="544" t="s">
        <v>173</v>
      </c>
      <c r="F696" s="546"/>
    </row>
    <row r="697" ht="22.5" customHeight="1">
      <c r="A697" s="49"/>
      <c r="C697" s="192">
        <v>46151.0</v>
      </c>
      <c r="D697" s="195">
        <v>1855000.0</v>
      </c>
      <c r="E697" s="544" t="s">
        <v>133</v>
      </c>
      <c r="F697" s="546"/>
    </row>
    <row r="698" ht="22.5" customHeight="1">
      <c r="A698" s="49"/>
      <c r="C698" s="192">
        <v>46151.0</v>
      </c>
      <c r="D698" s="195">
        <v>300000.0</v>
      </c>
      <c r="E698" s="544" t="s">
        <v>173</v>
      </c>
      <c r="F698" s="546"/>
    </row>
    <row r="699" ht="22.5" customHeight="1">
      <c r="A699" s="49"/>
      <c r="C699" s="192">
        <v>46151.0</v>
      </c>
      <c r="D699" s="195">
        <v>4000000.0</v>
      </c>
      <c r="E699" s="544" t="s">
        <v>133</v>
      </c>
      <c r="F699" s="546"/>
    </row>
    <row r="700" ht="22.5" customHeight="1">
      <c r="A700" s="49"/>
      <c r="C700" s="192">
        <v>46151.0</v>
      </c>
      <c r="D700" s="195">
        <v>1600000.0</v>
      </c>
      <c r="E700" s="544" t="s">
        <v>133</v>
      </c>
      <c r="F700" s="546"/>
    </row>
    <row r="701" ht="22.5" customHeight="1">
      <c r="A701" s="49"/>
      <c r="C701" s="192">
        <v>46151.0</v>
      </c>
      <c r="D701" s="195">
        <v>460000.0</v>
      </c>
      <c r="E701" s="544" t="s">
        <v>173</v>
      </c>
      <c r="F701" s="546"/>
    </row>
    <row r="702" ht="22.5" customHeight="1">
      <c r="A702" s="49"/>
      <c r="C702" s="192">
        <v>46153.0</v>
      </c>
      <c r="D702" s="195">
        <v>740000.0</v>
      </c>
      <c r="E702" s="544" t="s">
        <v>173</v>
      </c>
      <c r="F702" s="546"/>
    </row>
    <row r="703" ht="22.5" customHeight="1">
      <c r="A703" s="49"/>
      <c r="C703" s="192">
        <v>46153.0</v>
      </c>
      <c r="D703" s="195">
        <v>270000.0</v>
      </c>
      <c r="E703" s="544" t="s">
        <v>173</v>
      </c>
      <c r="F703" s="546"/>
    </row>
    <row r="704" ht="22.5" customHeight="1">
      <c r="A704" s="49"/>
      <c r="C704" s="192">
        <v>46153.0</v>
      </c>
      <c r="D704" s="195">
        <v>190000.0</v>
      </c>
      <c r="E704" s="544" t="s">
        <v>173</v>
      </c>
      <c r="F704" s="546"/>
    </row>
    <row r="705" ht="22.5" customHeight="1">
      <c r="A705" s="49"/>
      <c r="C705" s="192">
        <v>46153.0</v>
      </c>
      <c r="D705" s="195">
        <v>10000.0</v>
      </c>
      <c r="E705" s="544" t="s">
        <v>173</v>
      </c>
      <c r="F705" s="546"/>
    </row>
    <row r="706" ht="22.5" customHeight="1">
      <c r="A706" s="49"/>
      <c r="C706" s="192">
        <v>46154.0</v>
      </c>
      <c r="D706" s="195">
        <v>400000.0</v>
      </c>
      <c r="E706" s="544" t="s">
        <v>142</v>
      </c>
      <c r="F706" s="546"/>
    </row>
    <row r="707" ht="22.5" customHeight="1">
      <c r="A707" s="49"/>
      <c r="C707" s="192">
        <v>46154.0</v>
      </c>
      <c r="D707" s="195">
        <v>1440000.0</v>
      </c>
      <c r="E707" s="544" t="s">
        <v>173</v>
      </c>
      <c r="F707" s="546"/>
    </row>
    <row r="708" ht="22.5" customHeight="1">
      <c r="A708" s="49"/>
      <c r="C708" s="192">
        <v>46154.0</v>
      </c>
      <c r="D708" s="195">
        <v>15000.0</v>
      </c>
      <c r="E708" s="544" t="s">
        <v>173</v>
      </c>
      <c r="F708" s="546"/>
    </row>
    <row r="709" ht="22.5" customHeight="1">
      <c r="A709" s="49"/>
      <c r="C709" s="192">
        <v>46155.0</v>
      </c>
      <c r="D709" s="195">
        <v>615000.0</v>
      </c>
      <c r="E709" s="544" t="s">
        <v>173</v>
      </c>
      <c r="F709" s="546"/>
    </row>
    <row r="710" ht="22.5" customHeight="1">
      <c r="A710" s="49"/>
      <c r="C710" s="192">
        <v>46155.0</v>
      </c>
      <c r="D710" s="195">
        <v>1000000.0</v>
      </c>
      <c r="E710" s="544" t="s">
        <v>133</v>
      </c>
      <c r="F710" s="546"/>
    </row>
    <row r="711" ht="22.5" customHeight="1">
      <c r="A711" s="49"/>
      <c r="C711" s="192">
        <v>46156.0</v>
      </c>
      <c r="D711" s="195">
        <v>1780000.0</v>
      </c>
      <c r="E711" s="544" t="s">
        <v>133</v>
      </c>
      <c r="F711" s="546"/>
    </row>
    <row r="712" ht="22.5" customHeight="1">
      <c r="A712" s="49"/>
      <c r="C712" s="192">
        <v>46156.0</v>
      </c>
      <c r="D712" s="195">
        <v>90000.0</v>
      </c>
      <c r="E712" s="544" t="s">
        <v>133</v>
      </c>
      <c r="F712" s="546"/>
    </row>
    <row r="713" ht="22.5" customHeight="1">
      <c r="A713" s="49"/>
      <c r="C713" s="192">
        <v>46156.0</v>
      </c>
      <c r="D713" s="195">
        <v>1900000.0</v>
      </c>
      <c r="E713" s="544" t="s">
        <v>142</v>
      </c>
      <c r="F713" s="546"/>
    </row>
    <row r="714" ht="22.5" customHeight="1">
      <c r="A714" s="49"/>
      <c r="C714" s="192">
        <v>46156.0</v>
      </c>
      <c r="D714" s="195">
        <v>3600000.0</v>
      </c>
      <c r="E714" s="544" t="s">
        <v>133</v>
      </c>
      <c r="F714" s="546"/>
    </row>
    <row r="715" ht="22.5" customHeight="1">
      <c r="A715" s="49"/>
      <c r="C715" s="192">
        <v>46156.0</v>
      </c>
      <c r="D715" s="195">
        <v>135000.0</v>
      </c>
      <c r="E715" s="544" t="s">
        <v>133</v>
      </c>
      <c r="F715" s="546"/>
    </row>
    <row r="716" ht="22.5" customHeight="1">
      <c r="A716" s="49"/>
      <c r="C716" s="192">
        <v>46156.0</v>
      </c>
      <c r="D716" s="195">
        <v>1260000.0</v>
      </c>
      <c r="E716" s="544" t="s">
        <v>173</v>
      </c>
      <c r="F716" s="546"/>
    </row>
    <row r="717" ht="22.5" customHeight="1">
      <c r="A717" s="49"/>
      <c r="C717" s="192">
        <v>46156.0</v>
      </c>
      <c r="D717" s="195">
        <v>1440000.0</v>
      </c>
      <c r="E717" s="544" t="s">
        <v>173</v>
      </c>
      <c r="F717" s="546"/>
    </row>
    <row r="718" ht="22.5" customHeight="1">
      <c r="A718" s="49"/>
      <c r="C718" s="192">
        <v>46157.0</v>
      </c>
      <c r="D718" s="195">
        <v>690000.0</v>
      </c>
      <c r="E718" s="544" t="s">
        <v>133</v>
      </c>
      <c r="F718" s="546"/>
    </row>
    <row r="719" ht="22.5" customHeight="1">
      <c r="A719" s="49"/>
      <c r="C719" s="192">
        <v>46157.0</v>
      </c>
      <c r="D719" s="195">
        <v>690000.0</v>
      </c>
      <c r="E719" s="544" t="s">
        <v>133</v>
      </c>
      <c r="F719" s="546"/>
    </row>
    <row r="720" ht="22.5" customHeight="1">
      <c r="A720" s="49"/>
      <c r="C720" s="192">
        <v>46157.0</v>
      </c>
      <c r="D720" s="195">
        <v>1600000.0</v>
      </c>
      <c r="E720" s="544" t="s">
        <v>133</v>
      </c>
      <c r="F720" s="546"/>
    </row>
    <row r="721" ht="22.5" customHeight="1">
      <c r="A721" s="49"/>
      <c r="C721" s="192">
        <v>46157.0</v>
      </c>
      <c r="D721" s="195">
        <v>368000.0</v>
      </c>
      <c r="E721" s="544" t="s">
        <v>173</v>
      </c>
      <c r="F721" s="546"/>
    </row>
    <row r="722" ht="22.5" customHeight="1">
      <c r="A722" s="49"/>
      <c r="C722" s="192">
        <v>46158.0</v>
      </c>
      <c r="D722" s="195">
        <v>690000.0</v>
      </c>
      <c r="E722" s="544" t="s">
        <v>173</v>
      </c>
      <c r="F722" s="546"/>
    </row>
    <row r="723" ht="22.5" customHeight="1">
      <c r="A723" s="49"/>
      <c r="C723" s="192">
        <v>46158.0</v>
      </c>
      <c r="D723" s="195">
        <v>40000.0</v>
      </c>
      <c r="E723" s="544" t="s">
        <v>173</v>
      </c>
      <c r="F723" s="546"/>
    </row>
    <row r="724" ht="22.5" customHeight="1">
      <c r="A724" s="49"/>
      <c r="C724" s="192">
        <v>46158.0</v>
      </c>
      <c r="D724" s="195">
        <v>692000.0</v>
      </c>
      <c r="E724" s="544" t="s">
        <v>173</v>
      </c>
      <c r="F724" s="546"/>
    </row>
    <row r="725" ht="22.5" customHeight="1">
      <c r="A725" s="49"/>
      <c r="C725" s="192">
        <v>46158.0</v>
      </c>
      <c r="D725" s="195">
        <v>1200000.0</v>
      </c>
      <c r="E725" s="544" t="s">
        <v>173</v>
      </c>
      <c r="F725" s="546"/>
    </row>
    <row r="726" ht="22.5" customHeight="1">
      <c r="A726" s="49"/>
      <c r="C726" s="192">
        <v>46158.0</v>
      </c>
      <c r="D726" s="195">
        <v>700000.0</v>
      </c>
      <c r="E726" s="544" t="s">
        <v>133</v>
      </c>
      <c r="F726" s="546"/>
    </row>
    <row r="727" ht="22.5" customHeight="1">
      <c r="A727" s="49"/>
      <c r="C727" s="192">
        <v>46158.0</v>
      </c>
      <c r="D727" s="195">
        <v>80000.0</v>
      </c>
      <c r="E727" s="544" t="s">
        <v>173</v>
      </c>
      <c r="F727" s="546"/>
    </row>
    <row r="728" ht="22.5" customHeight="1">
      <c r="A728" s="49"/>
      <c r="C728" s="192">
        <v>46159.0</v>
      </c>
      <c r="D728" s="195">
        <v>1555000.0</v>
      </c>
      <c r="E728" s="544" t="s">
        <v>173</v>
      </c>
      <c r="F728" s="546"/>
    </row>
    <row r="729" ht="22.5" customHeight="1">
      <c r="A729" s="49"/>
      <c r="C729" s="192">
        <v>46160.0</v>
      </c>
      <c r="D729" s="195">
        <v>1800000.0</v>
      </c>
      <c r="E729" s="544" t="s">
        <v>173</v>
      </c>
      <c r="F729" s="546"/>
    </row>
    <row r="730" ht="22.5" customHeight="1">
      <c r="A730" s="49"/>
      <c r="C730" s="192">
        <v>46160.0</v>
      </c>
      <c r="D730" s="195">
        <v>185000.0</v>
      </c>
      <c r="E730" s="544" t="s">
        <v>133</v>
      </c>
      <c r="F730" s="546"/>
    </row>
    <row r="731" ht="22.5" customHeight="1">
      <c r="A731" s="49"/>
      <c r="C731" s="192">
        <v>46160.0</v>
      </c>
      <c r="D731" s="195">
        <v>4720000.0</v>
      </c>
      <c r="E731" s="544" t="s">
        <v>142</v>
      </c>
      <c r="F731" s="546"/>
    </row>
    <row r="732" ht="22.5" customHeight="1">
      <c r="A732" s="49"/>
      <c r="C732" s="192">
        <v>46160.0</v>
      </c>
      <c r="D732" s="195">
        <v>400000.0</v>
      </c>
      <c r="E732" s="544" t="s">
        <v>142</v>
      </c>
      <c r="F732" s="546"/>
    </row>
    <row r="733" ht="22.5" customHeight="1">
      <c r="A733" s="49"/>
      <c r="C733" s="192">
        <v>46160.0</v>
      </c>
      <c r="D733" s="195">
        <v>140000.0</v>
      </c>
      <c r="E733" s="544" t="s">
        <v>142</v>
      </c>
      <c r="F733" s="546"/>
    </row>
    <row r="734" ht="22.5" customHeight="1">
      <c r="A734" s="49"/>
      <c r="C734" s="192">
        <v>46160.0</v>
      </c>
      <c r="D734" s="195">
        <v>610000.0</v>
      </c>
      <c r="E734" s="544" t="s">
        <v>133</v>
      </c>
      <c r="F734" s="546"/>
    </row>
    <row r="735" ht="22.5" customHeight="1">
      <c r="A735" s="49"/>
      <c r="C735" s="192">
        <v>46160.0</v>
      </c>
      <c r="D735" s="195">
        <v>100000.0</v>
      </c>
      <c r="E735" s="544" t="s">
        <v>133</v>
      </c>
      <c r="F735" s="546"/>
    </row>
    <row r="736" ht="22.5" customHeight="1">
      <c r="A736" s="49"/>
      <c r="C736" s="192">
        <v>46160.0</v>
      </c>
      <c r="D736" s="195">
        <v>1400000.0</v>
      </c>
      <c r="E736" s="544" t="s">
        <v>133</v>
      </c>
      <c r="F736" s="546"/>
    </row>
    <row r="737" ht="22.5" customHeight="1">
      <c r="A737" s="49"/>
      <c r="C737" s="192">
        <v>46160.0</v>
      </c>
      <c r="D737" s="195">
        <v>150000.0</v>
      </c>
      <c r="E737" s="544" t="s">
        <v>142</v>
      </c>
      <c r="F737" s="546"/>
    </row>
    <row r="738" ht="22.5" customHeight="1">
      <c r="A738" s="49"/>
      <c r="C738" s="192">
        <v>46160.0</v>
      </c>
      <c r="D738" s="195">
        <v>4080000.0</v>
      </c>
      <c r="E738" s="544" t="s">
        <v>133</v>
      </c>
      <c r="F738" s="546"/>
    </row>
    <row r="739" ht="22.5" customHeight="1">
      <c r="A739" s="49"/>
      <c r="C739" s="192">
        <v>46162.0</v>
      </c>
      <c r="D739" s="195">
        <v>380000.0</v>
      </c>
      <c r="E739" s="544" t="s">
        <v>173</v>
      </c>
      <c r="F739" s="546"/>
    </row>
    <row r="740" ht="22.5" customHeight="1">
      <c r="A740" s="49"/>
      <c r="C740" s="192">
        <v>46162.0</v>
      </c>
      <c r="D740" s="195">
        <v>760000.0</v>
      </c>
      <c r="E740" s="544" t="s">
        <v>173</v>
      </c>
      <c r="F740" s="546"/>
    </row>
    <row r="741" ht="22.5" customHeight="1">
      <c r="A741" s="49"/>
      <c r="C741" s="192">
        <v>46162.0</v>
      </c>
      <c r="D741" s="195">
        <v>15000.0</v>
      </c>
      <c r="E741" s="544" t="s">
        <v>173</v>
      </c>
      <c r="F741" s="546"/>
    </row>
    <row r="742" ht="22.5" customHeight="1">
      <c r="A742" s="49"/>
      <c r="C742" s="192">
        <v>46162.0</v>
      </c>
      <c r="D742" s="195">
        <v>2130000.0</v>
      </c>
      <c r="E742" s="544" t="s">
        <v>133</v>
      </c>
      <c r="F742" s="546"/>
    </row>
    <row r="743" ht="22.5" customHeight="1">
      <c r="A743" s="49"/>
      <c r="C743" s="192">
        <v>46162.0</v>
      </c>
      <c r="D743" s="195">
        <v>1235000.0</v>
      </c>
      <c r="E743" s="544" t="s">
        <v>133</v>
      </c>
      <c r="F743" s="546"/>
    </row>
    <row r="744" ht="22.5" customHeight="1">
      <c r="A744" s="49"/>
      <c r="C744" s="192">
        <v>46162.0</v>
      </c>
      <c r="D744" s="195">
        <v>3060000.0</v>
      </c>
      <c r="E744" s="544" t="s">
        <v>133</v>
      </c>
      <c r="F744" s="546"/>
    </row>
    <row r="745" ht="22.5" customHeight="1">
      <c r="A745" s="49"/>
      <c r="C745" s="192">
        <v>46162.0</v>
      </c>
      <c r="D745" s="195">
        <v>5000000.0</v>
      </c>
      <c r="E745" s="544" t="s">
        <v>133</v>
      </c>
      <c r="F745" s="546"/>
    </row>
    <row r="746" ht="22.5" customHeight="1">
      <c r="A746" s="49"/>
      <c r="C746" s="192">
        <v>46162.0</v>
      </c>
      <c r="D746" s="195">
        <v>400000.0</v>
      </c>
      <c r="E746" s="544" t="s">
        <v>173</v>
      </c>
      <c r="F746" s="546"/>
    </row>
    <row r="747" ht="22.5" customHeight="1">
      <c r="A747" s="49"/>
      <c r="C747" s="192">
        <v>46163.0</v>
      </c>
      <c r="D747" s="195">
        <v>1360000.0</v>
      </c>
      <c r="E747" s="544" t="s">
        <v>133</v>
      </c>
      <c r="F747" s="546"/>
    </row>
    <row r="748" ht="22.5" customHeight="1">
      <c r="A748" s="49"/>
      <c r="C748" s="192">
        <v>46163.0</v>
      </c>
      <c r="D748" s="195">
        <v>880000.0</v>
      </c>
      <c r="E748" s="544" t="s">
        <v>133</v>
      </c>
      <c r="F748" s="546"/>
    </row>
    <row r="749" ht="22.5" customHeight="1">
      <c r="A749" s="49"/>
      <c r="C749" s="192">
        <v>46163.0</v>
      </c>
      <c r="D749" s="195">
        <v>950000.0</v>
      </c>
      <c r="E749" s="544" t="s">
        <v>133</v>
      </c>
      <c r="F749" s="546"/>
    </row>
    <row r="750" ht="22.5" customHeight="1">
      <c r="A750" s="49"/>
      <c r="C750" s="192">
        <v>46163.0</v>
      </c>
      <c r="D750" s="195">
        <v>910000.0</v>
      </c>
      <c r="E750" s="544" t="s">
        <v>142</v>
      </c>
      <c r="F750" s="546"/>
    </row>
    <row r="751" ht="22.5" customHeight="1">
      <c r="A751" s="49"/>
      <c r="C751" s="192">
        <v>46163.0</v>
      </c>
      <c r="D751" s="195">
        <v>1160000.0</v>
      </c>
      <c r="E751" s="544" t="s">
        <v>173</v>
      </c>
      <c r="F751" s="546"/>
    </row>
    <row r="752" ht="22.5" customHeight="1">
      <c r="A752" s="49"/>
      <c r="C752" s="192">
        <v>46164.0</v>
      </c>
      <c r="D752" s="195">
        <v>200000.0</v>
      </c>
      <c r="E752" s="544" t="s">
        <v>173</v>
      </c>
      <c r="F752" s="546"/>
    </row>
    <row r="753" ht="22.5" customHeight="1">
      <c r="A753" s="49"/>
      <c r="C753" s="192">
        <v>46164.0</v>
      </c>
      <c r="D753" s="195">
        <v>210000.0</v>
      </c>
      <c r="E753" s="544" t="s">
        <v>173</v>
      </c>
      <c r="F753" s="546"/>
    </row>
    <row r="754" ht="22.5" customHeight="1">
      <c r="A754" s="49"/>
      <c r="C754" s="192">
        <v>46164.0</v>
      </c>
      <c r="D754" s="195">
        <v>1580000.0</v>
      </c>
      <c r="E754" s="544" t="s">
        <v>142</v>
      </c>
      <c r="F754" s="546"/>
    </row>
    <row r="755" ht="22.5" customHeight="1">
      <c r="A755" s="49"/>
      <c r="C755" s="192">
        <v>46164.0</v>
      </c>
      <c r="D755" s="195">
        <v>1180000.0</v>
      </c>
      <c r="E755" s="544" t="s">
        <v>173</v>
      </c>
      <c r="F755" s="546"/>
    </row>
    <row r="756" ht="22.5" customHeight="1">
      <c r="A756" s="49"/>
      <c r="C756" s="192">
        <v>46165.0</v>
      </c>
      <c r="D756" s="195">
        <v>720000.0</v>
      </c>
      <c r="E756" s="544" t="s">
        <v>173</v>
      </c>
      <c r="F756" s="546"/>
    </row>
    <row r="757" ht="22.5" customHeight="1">
      <c r="A757" s="49"/>
      <c r="C757" s="192">
        <v>46165.0</v>
      </c>
      <c r="D757" s="195">
        <v>1750000.0</v>
      </c>
      <c r="E757" s="544" t="s">
        <v>133</v>
      </c>
      <c r="F757" s="546"/>
    </row>
    <row r="758" ht="22.5" customHeight="1">
      <c r="A758" s="49"/>
      <c r="C758" s="192">
        <v>46165.0</v>
      </c>
      <c r="D758" s="195">
        <v>3800000.0</v>
      </c>
      <c r="E758" s="544" t="s">
        <v>142</v>
      </c>
      <c r="F758" s="546"/>
    </row>
    <row r="759" ht="22.5" customHeight="1">
      <c r="A759" s="49"/>
      <c r="C759" s="192">
        <v>46165.0</v>
      </c>
      <c r="D759" s="195">
        <v>790000.0</v>
      </c>
      <c r="E759" s="544" t="s">
        <v>133</v>
      </c>
      <c r="F759" s="546"/>
    </row>
    <row r="760" ht="22.5" customHeight="1">
      <c r="A760" s="49"/>
      <c r="C760" s="192">
        <v>46166.0</v>
      </c>
      <c r="D760" s="195">
        <v>300000.0</v>
      </c>
      <c r="E760" s="544" t="s">
        <v>173</v>
      </c>
      <c r="F760" s="546"/>
    </row>
    <row r="761" ht="22.5" customHeight="1">
      <c r="A761" s="49"/>
      <c r="C761" s="192">
        <v>46166.0</v>
      </c>
      <c r="D761" s="195">
        <v>235000.0</v>
      </c>
      <c r="E761" s="544" t="s">
        <v>162</v>
      </c>
      <c r="F761" s="546"/>
    </row>
    <row r="762" ht="22.5" customHeight="1">
      <c r="A762" s="49"/>
      <c r="C762" s="192">
        <v>46166.0</v>
      </c>
      <c r="D762" s="195">
        <v>700000.0</v>
      </c>
      <c r="E762" s="544" t="s">
        <v>162</v>
      </c>
      <c r="F762" s="546"/>
    </row>
    <row r="763" ht="22.5" customHeight="1">
      <c r="A763" s="49"/>
      <c r="C763" s="192">
        <v>46166.0</v>
      </c>
      <c r="D763" s="195">
        <v>2880000.0</v>
      </c>
      <c r="E763" s="544" t="s">
        <v>133</v>
      </c>
      <c r="F763" s="546"/>
    </row>
    <row r="764" ht="22.5" customHeight="1">
      <c r="A764" s="49"/>
      <c r="C764" s="192">
        <v>46167.0</v>
      </c>
      <c r="D764" s="195">
        <v>390000.0</v>
      </c>
      <c r="E764" s="544" t="s">
        <v>173</v>
      </c>
      <c r="F764" s="546"/>
    </row>
    <row r="765" ht="22.5" customHeight="1">
      <c r="A765" s="49"/>
      <c r="C765" s="192">
        <v>46167.0</v>
      </c>
      <c r="D765" s="195">
        <v>820000.0</v>
      </c>
      <c r="E765" s="544" t="s">
        <v>133</v>
      </c>
      <c r="F765" s="546"/>
    </row>
    <row r="766" ht="22.5" customHeight="1">
      <c r="A766" s="49"/>
      <c r="C766" s="192">
        <v>46167.0</v>
      </c>
      <c r="D766" s="195">
        <v>55000.0</v>
      </c>
      <c r="E766" s="544" t="s">
        <v>173</v>
      </c>
      <c r="F766" s="546"/>
    </row>
    <row r="767" ht="22.5" customHeight="1">
      <c r="A767" s="49"/>
      <c r="C767" s="192">
        <v>46168.0</v>
      </c>
      <c r="D767" s="195">
        <v>2050000.0</v>
      </c>
      <c r="E767" s="544" t="s">
        <v>133</v>
      </c>
      <c r="F767" s="546"/>
    </row>
    <row r="768" ht="22.5" customHeight="1">
      <c r="A768" s="49"/>
      <c r="C768" s="192">
        <v>46168.0</v>
      </c>
      <c r="D768" s="195">
        <v>1200000.0</v>
      </c>
      <c r="E768" s="544" t="s">
        <v>133</v>
      </c>
      <c r="F768" s="546"/>
    </row>
    <row r="769" ht="22.5" customHeight="1">
      <c r="A769" s="49"/>
      <c r="C769" s="192">
        <v>46168.0</v>
      </c>
      <c r="D769" s="195">
        <v>780000.0</v>
      </c>
      <c r="E769" s="544" t="s">
        <v>173</v>
      </c>
      <c r="F769" s="546"/>
    </row>
    <row r="770" ht="22.5" customHeight="1">
      <c r="A770" s="49"/>
      <c r="C770" s="192">
        <v>46168.0</v>
      </c>
      <c r="D770" s="195">
        <v>1160000.0</v>
      </c>
      <c r="E770" s="544" t="s">
        <v>173</v>
      </c>
      <c r="F770" s="546"/>
    </row>
    <row r="771" ht="22.5" customHeight="1">
      <c r="A771" s="49"/>
      <c r="C771" s="192">
        <v>46168.0</v>
      </c>
      <c r="D771" s="195">
        <v>1800000.0</v>
      </c>
      <c r="E771" s="544" t="s">
        <v>173</v>
      </c>
      <c r="F771" s="546"/>
    </row>
    <row r="772" ht="22.5" customHeight="1">
      <c r="A772" s="49"/>
      <c r="C772" s="192">
        <v>46170.0</v>
      </c>
      <c r="D772" s="195">
        <v>2650000.0</v>
      </c>
      <c r="E772" s="544" t="s">
        <v>173</v>
      </c>
      <c r="F772" s="546"/>
    </row>
    <row r="773" ht="22.5" customHeight="1">
      <c r="A773" s="49"/>
      <c r="C773" s="192">
        <v>46170.0</v>
      </c>
      <c r="D773" s="195">
        <v>1433000.0</v>
      </c>
      <c r="E773" s="544" t="s">
        <v>173</v>
      </c>
      <c r="F773" s="546"/>
    </row>
    <row r="774" ht="22.5" customHeight="1">
      <c r="A774" s="49"/>
      <c r="C774" s="192">
        <v>46170.0</v>
      </c>
      <c r="D774" s="195">
        <v>25000.0</v>
      </c>
      <c r="E774" s="544" t="s">
        <v>173</v>
      </c>
      <c r="F774" s="546"/>
    </row>
    <row r="775" ht="22.5" customHeight="1">
      <c r="A775" s="49"/>
      <c r="C775" s="192">
        <v>46170.0</v>
      </c>
      <c r="D775" s="195">
        <v>630000.0</v>
      </c>
      <c r="E775" s="544" t="s">
        <v>173</v>
      </c>
      <c r="F775" s="546"/>
    </row>
    <row r="776" ht="22.5" customHeight="1">
      <c r="A776" s="49"/>
      <c r="C776" s="192">
        <v>46170.0</v>
      </c>
      <c r="D776" s="195">
        <v>1620000.0</v>
      </c>
      <c r="E776" s="544" t="s">
        <v>133</v>
      </c>
      <c r="F776" s="546"/>
    </row>
    <row r="777" ht="22.5" customHeight="1">
      <c r="A777" s="49"/>
      <c r="C777" s="192">
        <v>46170.0</v>
      </c>
      <c r="D777" s="195">
        <v>880000.0</v>
      </c>
      <c r="E777" s="544" t="s">
        <v>142</v>
      </c>
      <c r="F777" s="546"/>
    </row>
    <row r="778" ht="22.5" customHeight="1">
      <c r="A778" s="49"/>
      <c r="C778" s="192">
        <v>46171.0</v>
      </c>
      <c r="D778" s="195">
        <v>6345000.0</v>
      </c>
      <c r="E778" s="544" t="s">
        <v>142</v>
      </c>
      <c r="F778" s="546"/>
    </row>
    <row r="779" ht="22.5" customHeight="1">
      <c r="A779" s="49"/>
      <c r="C779" s="192">
        <v>46171.0</v>
      </c>
      <c r="D779" s="195">
        <v>350000.0</v>
      </c>
      <c r="E779" s="544" t="s">
        <v>173</v>
      </c>
      <c r="F779" s="546"/>
    </row>
    <row r="780" ht="22.5" customHeight="1">
      <c r="A780" s="49"/>
      <c r="C780" s="192">
        <v>46171.0</v>
      </c>
      <c r="D780" s="195">
        <v>750000.0</v>
      </c>
      <c r="E780" s="544" t="s">
        <v>133</v>
      </c>
      <c r="F780" s="546"/>
    </row>
    <row r="781" ht="22.5" customHeight="1">
      <c r="A781" s="49"/>
      <c r="C781" s="192">
        <v>46171.0</v>
      </c>
      <c r="D781" s="195">
        <v>280000.0</v>
      </c>
      <c r="E781" s="544" t="s">
        <v>173</v>
      </c>
      <c r="F781" s="546"/>
    </row>
    <row r="782" ht="22.5" customHeight="1">
      <c r="A782" s="49"/>
      <c r="C782" s="192">
        <v>46171.0</v>
      </c>
      <c r="D782" s="63"/>
      <c r="E782" s="445"/>
      <c r="F782" s="546"/>
    </row>
    <row r="783" ht="22.5" customHeight="1">
      <c r="A783" s="49"/>
      <c r="C783" s="192">
        <v>46171.0</v>
      </c>
      <c r="D783" s="195">
        <v>250000.0</v>
      </c>
      <c r="E783" s="544" t="s">
        <v>173</v>
      </c>
      <c r="F783" s="546"/>
    </row>
    <row r="784" ht="22.5" customHeight="1">
      <c r="A784" s="49"/>
      <c r="C784" s="192">
        <v>46171.0</v>
      </c>
      <c r="D784" s="195">
        <v>150000.0</v>
      </c>
      <c r="E784" s="544" t="s">
        <v>173</v>
      </c>
      <c r="F784" s="546"/>
    </row>
    <row r="785" ht="22.5" customHeight="1">
      <c r="A785" s="49"/>
      <c r="C785" s="192">
        <v>46171.0</v>
      </c>
      <c r="D785" s="195">
        <v>1590000.0</v>
      </c>
      <c r="E785" s="544" t="s">
        <v>173</v>
      </c>
      <c r="F785" s="546"/>
    </row>
    <row r="786" ht="22.5" customHeight="1">
      <c r="A786" s="49"/>
      <c r="C786" s="192">
        <v>46172.0</v>
      </c>
      <c r="D786" s="195">
        <v>850000.0</v>
      </c>
      <c r="E786" s="544" t="s">
        <v>173</v>
      </c>
      <c r="F786" s="546"/>
    </row>
    <row r="787" ht="22.5" customHeight="1">
      <c r="A787" s="49"/>
      <c r="C787" s="192">
        <v>46172.0</v>
      </c>
      <c r="D787" s="195">
        <v>2000000.0</v>
      </c>
      <c r="E787" s="544" t="s">
        <v>133</v>
      </c>
      <c r="F787" s="546"/>
    </row>
    <row r="788" ht="22.5" customHeight="1">
      <c r="A788" s="49"/>
      <c r="C788" s="192">
        <v>46172.0</v>
      </c>
      <c r="D788" s="195">
        <v>3890000.0</v>
      </c>
      <c r="E788" s="544" t="s">
        <v>162</v>
      </c>
      <c r="F788" s="546"/>
    </row>
    <row r="789" ht="22.5" customHeight="1">
      <c r="A789" s="49"/>
      <c r="C789" s="192">
        <v>46172.0</v>
      </c>
      <c r="D789" s="195">
        <v>820000.0</v>
      </c>
      <c r="E789" s="544" t="s">
        <v>173</v>
      </c>
      <c r="F789" s="546"/>
    </row>
    <row r="790" ht="22.5" customHeight="1">
      <c r="A790" s="49"/>
      <c r="C790" s="192">
        <v>46172.0</v>
      </c>
      <c r="D790" s="195">
        <v>690000.0</v>
      </c>
      <c r="E790" s="544" t="s">
        <v>173</v>
      </c>
      <c r="F790" s="546"/>
    </row>
    <row r="791" ht="22.5" customHeight="1">
      <c r="A791" s="49"/>
      <c r="C791" s="192">
        <v>46174.0</v>
      </c>
      <c r="D791" s="195">
        <v>455000.0</v>
      </c>
      <c r="E791" s="544" t="s">
        <v>173</v>
      </c>
      <c r="F791" s="546"/>
    </row>
    <row r="792" ht="22.5" customHeight="1">
      <c r="A792" s="49"/>
      <c r="C792" s="192">
        <v>46174.0</v>
      </c>
      <c r="D792" s="195">
        <v>780000.0</v>
      </c>
      <c r="E792" s="544" t="s">
        <v>133</v>
      </c>
      <c r="F792" s="546"/>
    </row>
    <row r="793" ht="22.5" customHeight="1">
      <c r="A793" s="49"/>
      <c r="C793" s="192">
        <v>46174.0</v>
      </c>
      <c r="D793" s="195">
        <v>250000.0</v>
      </c>
      <c r="E793" s="544" t="s">
        <v>173</v>
      </c>
      <c r="F793" s="546"/>
    </row>
    <row r="794" ht="22.5" customHeight="1">
      <c r="A794" s="49"/>
      <c r="C794" s="192">
        <v>46175.0</v>
      </c>
      <c r="D794" s="195">
        <v>690000.0</v>
      </c>
      <c r="E794" s="544" t="s">
        <v>133</v>
      </c>
      <c r="F794" s="546"/>
    </row>
    <row r="795" ht="22.5" customHeight="1">
      <c r="A795" s="49"/>
      <c r="C795" s="192">
        <v>46175.0</v>
      </c>
      <c r="D795" s="195">
        <v>3680000.0</v>
      </c>
      <c r="E795" s="544" t="s">
        <v>133</v>
      </c>
      <c r="F795" s="546"/>
    </row>
    <row r="796" ht="22.5" customHeight="1">
      <c r="A796" s="49"/>
      <c r="C796" s="192">
        <v>46175.0</v>
      </c>
      <c r="D796" s="195">
        <v>2272000.0</v>
      </c>
      <c r="E796" s="544" t="s">
        <v>173</v>
      </c>
      <c r="F796" s="546"/>
    </row>
    <row r="797" ht="22.5" customHeight="1">
      <c r="A797" s="49"/>
      <c r="C797" s="192">
        <v>46176.0</v>
      </c>
      <c r="D797" s="195">
        <v>1440000.0</v>
      </c>
      <c r="E797" s="544" t="s">
        <v>173</v>
      </c>
      <c r="F797" s="546"/>
    </row>
    <row r="798" ht="22.5" customHeight="1">
      <c r="A798" s="49"/>
      <c r="C798" s="192">
        <v>46176.0</v>
      </c>
      <c r="D798" s="195">
        <v>940000.0</v>
      </c>
      <c r="E798" s="544" t="s">
        <v>173</v>
      </c>
      <c r="F798" s="546"/>
    </row>
    <row r="799" ht="22.5" customHeight="1">
      <c r="A799" s="49"/>
      <c r="C799" s="192">
        <v>46176.0</v>
      </c>
      <c r="D799" s="195">
        <v>50000.0</v>
      </c>
      <c r="E799" s="544" t="s">
        <v>173</v>
      </c>
      <c r="F799" s="546"/>
    </row>
    <row r="800" ht="22.5" customHeight="1">
      <c r="A800" s="49"/>
      <c r="C800" s="192">
        <v>46176.0</v>
      </c>
      <c r="D800" s="195">
        <v>1440000.0</v>
      </c>
      <c r="E800" s="544" t="s">
        <v>133</v>
      </c>
      <c r="F800" s="546"/>
    </row>
    <row r="801" ht="22.5" customHeight="1">
      <c r="A801" s="49"/>
      <c r="C801" s="192">
        <v>46176.0</v>
      </c>
      <c r="D801" s="195">
        <v>400000.0</v>
      </c>
      <c r="E801" s="544" t="s">
        <v>173</v>
      </c>
      <c r="F801" s="546"/>
    </row>
    <row r="802" ht="22.5" customHeight="1">
      <c r="A802" s="49"/>
      <c r="C802" s="192">
        <v>46176.0</v>
      </c>
      <c r="D802" s="195">
        <v>1520000.0</v>
      </c>
      <c r="E802" s="544" t="s">
        <v>133</v>
      </c>
      <c r="F802" s="546"/>
    </row>
    <row r="803" ht="22.5" customHeight="1">
      <c r="A803" s="49"/>
      <c r="C803" s="192">
        <v>46176.0</v>
      </c>
      <c r="D803" s="195">
        <v>150000.0</v>
      </c>
      <c r="E803" s="544" t="s">
        <v>133</v>
      </c>
      <c r="F803" s="546"/>
    </row>
    <row r="804" ht="22.5" customHeight="1">
      <c r="A804" s="49"/>
      <c r="C804" s="192">
        <v>46177.0</v>
      </c>
      <c r="D804" s="195">
        <v>1900000.0</v>
      </c>
      <c r="E804" s="544" t="s">
        <v>133</v>
      </c>
      <c r="F804" s="546"/>
    </row>
    <row r="805" ht="22.5" customHeight="1">
      <c r="A805" s="49"/>
      <c r="C805" s="192">
        <v>46177.0</v>
      </c>
      <c r="D805" s="195">
        <v>1220000.0</v>
      </c>
      <c r="E805" s="544" t="s">
        <v>173</v>
      </c>
      <c r="F805" s="546"/>
    </row>
    <row r="806" ht="22.5" customHeight="1">
      <c r="A806" s="49"/>
      <c r="C806" s="192">
        <v>46177.0</v>
      </c>
      <c r="D806" s="195">
        <v>135000.0</v>
      </c>
      <c r="E806" s="544" t="s">
        <v>173</v>
      </c>
      <c r="F806" s="546"/>
    </row>
    <row r="807" ht="22.5" customHeight="1">
      <c r="A807" s="49"/>
      <c r="C807" s="192">
        <v>46177.0</v>
      </c>
      <c r="D807" s="195">
        <v>30000.0</v>
      </c>
      <c r="E807" s="544" t="s">
        <v>173</v>
      </c>
      <c r="F807" s="546"/>
    </row>
    <row r="808" ht="22.5" customHeight="1">
      <c r="A808" s="49"/>
      <c r="C808" s="192">
        <v>46178.0</v>
      </c>
      <c r="D808" s="195">
        <v>1360000.0</v>
      </c>
      <c r="E808" s="544" t="s">
        <v>133</v>
      </c>
      <c r="F808" s="546"/>
    </row>
    <row r="809" ht="22.5" customHeight="1">
      <c r="A809" s="49"/>
      <c r="C809" s="192">
        <v>46178.0</v>
      </c>
      <c r="D809" s="195">
        <v>1720000.0</v>
      </c>
      <c r="E809" s="544" t="s">
        <v>133</v>
      </c>
      <c r="F809" s="546"/>
    </row>
    <row r="810" ht="22.5" customHeight="1">
      <c r="A810" s="49"/>
      <c r="C810" s="192">
        <v>46178.0</v>
      </c>
      <c r="D810" s="195">
        <v>530000.0</v>
      </c>
      <c r="E810" s="544" t="s">
        <v>133</v>
      </c>
      <c r="F810" s="546"/>
    </row>
    <row r="811" ht="22.5" customHeight="1">
      <c r="A811" s="49"/>
      <c r="C811" s="192">
        <v>46178.0</v>
      </c>
      <c r="D811" s="195">
        <v>1180000.0</v>
      </c>
      <c r="E811" s="544" t="s">
        <v>133</v>
      </c>
      <c r="F811" s="546"/>
    </row>
    <row r="812" ht="22.5" customHeight="1">
      <c r="A812" s="49"/>
      <c r="C812" s="192">
        <v>46178.0</v>
      </c>
      <c r="D812" s="195">
        <v>2700000.0</v>
      </c>
      <c r="E812" s="544" t="s">
        <v>133</v>
      </c>
      <c r="F812" s="546"/>
    </row>
    <row r="813" ht="22.5" customHeight="1">
      <c r="A813" s="49"/>
      <c r="C813" s="192">
        <v>46178.0</v>
      </c>
      <c r="D813" s="195">
        <v>35000.0</v>
      </c>
      <c r="E813" s="544" t="s">
        <v>173</v>
      </c>
      <c r="F813" s="546"/>
    </row>
    <row r="814" ht="22.5" customHeight="1">
      <c r="A814" s="49"/>
      <c r="C814" s="192">
        <v>46178.0</v>
      </c>
      <c r="D814" s="195">
        <v>795000.0</v>
      </c>
      <c r="E814" s="544" t="s">
        <v>173</v>
      </c>
      <c r="F814" s="546"/>
    </row>
    <row r="815" ht="22.5" customHeight="1">
      <c r="A815" s="49"/>
      <c r="C815" s="192">
        <v>46179.0</v>
      </c>
      <c r="D815" s="195">
        <v>4720000.0</v>
      </c>
      <c r="E815" s="544" t="s">
        <v>142</v>
      </c>
      <c r="F815" s="546"/>
    </row>
    <row r="816" ht="22.5" customHeight="1">
      <c r="A816" s="49"/>
      <c r="C816" s="192">
        <v>46179.0</v>
      </c>
      <c r="D816" s="195">
        <v>2190000.0</v>
      </c>
      <c r="E816" s="544" t="s">
        <v>173</v>
      </c>
      <c r="F816" s="546"/>
    </row>
    <row r="817" ht="22.5" customHeight="1">
      <c r="A817" s="49"/>
      <c r="C817" s="192">
        <v>46179.0</v>
      </c>
      <c r="D817" s="195">
        <v>1550000.0</v>
      </c>
      <c r="E817" s="544" t="s">
        <v>173</v>
      </c>
      <c r="F817" s="546"/>
    </row>
    <row r="818" ht="22.5" customHeight="1">
      <c r="A818" s="49"/>
      <c r="C818" s="192">
        <v>46179.0</v>
      </c>
      <c r="D818" s="195">
        <v>400000.0</v>
      </c>
      <c r="E818" s="544" t="s">
        <v>173</v>
      </c>
      <c r="F818" s="546"/>
    </row>
    <row r="819" ht="22.5" customHeight="1">
      <c r="A819" s="49"/>
      <c r="C819" s="192">
        <v>46179.0</v>
      </c>
      <c r="D819" s="195">
        <v>3300000.0</v>
      </c>
      <c r="E819" s="544" t="s">
        <v>142</v>
      </c>
      <c r="F819" s="546"/>
    </row>
    <row r="820" ht="22.5" customHeight="1">
      <c r="A820" s="49"/>
      <c r="C820" s="192">
        <v>46179.0</v>
      </c>
      <c r="D820" s="195">
        <v>790000.0</v>
      </c>
      <c r="E820" s="544" t="s">
        <v>142</v>
      </c>
      <c r="F820" s="546"/>
    </row>
    <row r="821" ht="22.5" customHeight="1">
      <c r="A821" s="49"/>
      <c r="C821" s="192">
        <v>46179.0</v>
      </c>
      <c r="D821" s="195">
        <v>20000.0</v>
      </c>
      <c r="E821" s="544" t="s">
        <v>173</v>
      </c>
      <c r="F821" s="546"/>
    </row>
    <row r="822" ht="22.5" customHeight="1">
      <c r="A822" s="49"/>
      <c r="C822" s="192">
        <v>46179.0</v>
      </c>
      <c r="D822" s="195">
        <v>320000.0</v>
      </c>
      <c r="E822" s="544" t="s">
        <v>133</v>
      </c>
      <c r="F822" s="546"/>
    </row>
    <row r="823" ht="22.5" customHeight="1">
      <c r="A823" s="49"/>
      <c r="C823" s="192">
        <v>46181.0</v>
      </c>
      <c r="D823" s="195">
        <v>4100000.0</v>
      </c>
      <c r="E823" s="544" t="s">
        <v>142</v>
      </c>
      <c r="F823" s="546"/>
    </row>
    <row r="824" ht="22.5" customHeight="1">
      <c r="A824" s="49"/>
      <c r="C824" s="192">
        <v>46181.0</v>
      </c>
      <c r="D824" s="195">
        <v>3500000.0</v>
      </c>
      <c r="E824" s="544" t="s">
        <v>133</v>
      </c>
      <c r="F824" s="546"/>
    </row>
    <row r="825" ht="22.5" customHeight="1">
      <c r="A825" s="49"/>
      <c r="C825" s="192">
        <v>46181.0</v>
      </c>
      <c r="D825" s="195">
        <v>8600000.0</v>
      </c>
      <c r="E825" s="544" t="s">
        <v>142</v>
      </c>
      <c r="F825" s="546"/>
    </row>
    <row r="826" ht="22.5" customHeight="1">
      <c r="A826" s="49"/>
      <c r="C826" s="192">
        <v>46181.0</v>
      </c>
      <c r="D826" s="195">
        <v>50000.0</v>
      </c>
      <c r="E826" s="544" t="s">
        <v>133</v>
      </c>
      <c r="F826" s="546"/>
    </row>
    <row r="827" ht="22.5" customHeight="1">
      <c r="A827" s="49"/>
      <c r="C827" s="192">
        <v>46181.0</v>
      </c>
      <c r="D827" s="195">
        <v>3570000.0</v>
      </c>
      <c r="E827" s="544" t="s">
        <v>162</v>
      </c>
      <c r="F827" s="546"/>
    </row>
    <row r="828" ht="22.5" customHeight="1">
      <c r="A828" s="49"/>
      <c r="C828" s="192">
        <v>46181.0</v>
      </c>
      <c r="D828" s="195">
        <v>3260000.0</v>
      </c>
      <c r="E828" s="544" t="s">
        <v>173</v>
      </c>
      <c r="F828" s="546"/>
    </row>
    <row r="829" ht="22.5" customHeight="1">
      <c r="A829" s="49"/>
      <c r="C829" s="192">
        <v>46181.0</v>
      </c>
      <c r="D829" s="195">
        <v>1200000.0</v>
      </c>
      <c r="E829" s="544" t="s">
        <v>133</v>
      </c>
      <c r="F829" s="546"/>
    </row>
    <row r="830" ht="22.5" customHeight="1">
      <c r="A830" s="49"/>
      <c r="C830" s="192">
        <v>46182.0</v>
      </c>
      <c r="D830" s="195">
        <v>2200000.0</v>
      </c>
      <c r="E830" s="544" t="s">
        <v>173</v>
      </c>
      <c r="F830" s="546"/>
    </row>
    <row r="831" ht="22.5" customHeight="1">
      <c r="A831" s="49"/>
      <c r="C831" s="192">
        <v>46182.0</v>
      </c>
      <c r="D831" s="195">
        <v>650000.0</v>
      </c>
      <c r="E831" s="544" t="s">
        <v>173</v>
      </c>
      <c r="F831" s="546"/>
    </row>
    <row r="832" ht="22.5" customHeight="1">
      <c r="A832" s="49"/>
      <c r="C832" s="192">
        <v>46182.0</v>
      </c>
      <c r="D832" s="195">
        <v>1400000.0</v>
      </c>
      <c r="E832" s="544" t="s">
        <v>173</v>
      </c>
      <c r="F832" s="546"/>
    </row>
    <row r="833" ht="22.5" customHeight="1">
      <c r="A833" s="49"/>
      <c r="C833" s="192">
        <v>46182.0</v>
      </c>
      <c r="D833" s="195">
        <v>550000.0</v>
      </c>
      <c r="E833" s="544" t="s">
        <v>173</v>
      </c>
      <c r="F833" s="546"/>
    </row>
    <row r="834" ht="22.5" customHeight="1">
      <c r="A834" s="49"/>
      <c r="C834" s="192">
        <v>46182.0</v>
      </c>
      <c r="D834" s="195">
        <v>630000.0</v>
      </c>
      <c r="E834" s="544" t="s">
        <v>133</v>
      </c>
      <c r="F834" s="546"/>
    </row>
    <row r="835" ht="22.5" customHeight="1">
      <c r="A835" s="49"/>
      <c r="C835" s="192">
        <v>46182.0</v>
      </c>
      <c r="D835" s="195">
        <v>3250000.0</v>
      </c>
      <c r="E835" s="544" t="s">
        <v>133</v>
      </c>
      <c r="F835" s="546"/>
    </row>
    <row r="836" ht="22.5" customHeight="1">
      <c r="A836" s="49"/>
      <c r="C836" s="192">
        <v>46182.0</v>
      </c>
      <c r="D836" s="195">
        <v>7940000.0</v>
      </c>
      <c r="E836" s="544" t="s">
        <v>133</v>
      </c>
      <c r="F836" s="546"/>
    </row>
    <row r="837" ht="22.5" customHeight="1">
      <c r="A837" s="49"/>
      <c r="C837" s="192">
        <v>46182.0</v>
      </c>
      <c r="D837" s="195">
        <v>800000.0</v>
      </c>
      <c r="E837" s="544" t="s">
        <v>173</v>
      </c>
      <c r="F837" s="546"/>
    </row>
    <row r="838" ht="22.5" customHeight="1">
      <c r="A838" s="49"/>
      <c r="C838" s="192">
        <v>46183.0</v>
      </c>
      <c r="D838" s="195">
        <v>200000.0</v>
      </c>
      <c r="E838" s="544" t="s">
        <v>142</v>
      </c>
      <c r="F838" s="546"/>
    </row>
    <row r="839" ht="22.5" customHeight="1">
      <c r="A839" s="49"/>
      <c r="C839" s="192">
        <v>46183.0</v>
      </c>
      <c r="D839" s="195">
        <v>560000.0</v>
      </c>
      <c r="E839" s="544" t="s">
        <v>142</v>
      </c>
      <c r="F839" s="546"/>
    </row>
    <row r="840" ht="22.5" customHeight="1">
      <c r="A840" s="49"/>
      <c r="C840" s="192">
        <v>46183.0</v>
      </c>
      <c r="D840" s="195">
        <v>15000.0</v>
      </c>
      <c r="E840" s="544" t="s">
        <v>173</v>
      </c>
      <c r="F840" s="546"/>
    </row>
    <row r="841" ht="22.5" customHeight="1">
      <c r="A841" s="49"/>
      <c r="C841" s="192">
        <v>46183.0</v>
      </c>
      <c r="D841" s="195">
        <v>830000.0</v>
      </c>
      <c r="E841" s="544" t="s">
        <v>173</v>
      </c>
      <c r="F841" s="546"/>
    </row>
    <row r="842" ht="22.5" customHeight="1">
      <c r="A842" s="49"/>
      <c r="C842" s="192">
        <v>46183.0</v>
      </c>
      <c r="D842" s="195">
        <v>430000.0</v>
      </c>
      <c r="E842" s="544" t="s">
        <v>173</v>
      </c>
      <c r="F842" s="546"/>
    </row>
    <row r="843" ht="22.5" customHeight="1">
      <c r="A843" s="49"/>
      <c r="C843" s="192">
        <v>46184.0</v>
      </c>
      <c r="D843" s="195">
        <v>600000.0</v>
      </c>
      <c r="E843" s="544" t="s">
        <v>162</v>
      </c>
      <c r="F843" s="546"/>
    </row>
    <row r="844" ht="22.5" customHeight="1">
      <c r="A844" s="49"/>
      <c r="C844" s="192">
        <v>46184.0</v>
      </c>
      <c r="D844" s="195">
        <v>200000.0</v>
      </c>
      <c r="E844" s="544" t="s">
        <v>173</v>
      </c>
      <c r="F844" s="546"/>
    </row>
    <row r="845" ht="22.5" customHeight="1">
      <c r="A845" s="49"/>
      <c r="C845" s="192">
        <v>46184.0</v>
      </c>
      <c r="D845" s="195">
        <v>1630000.0</v>
      </c>
      <c r="E845" s="544" t="s">
        <v>173</v>
      </c>
      <c r="F845" s="546"/>
    </row>
    <row r="846" ht="22.5" customHeight="1">
      <c r="A846" s="49"/>
      <c r="C846" s="192">
        <v>46184.0</v>
      </c>
      <c r="D846" s="195">
        <v>1440000.0</v>
      </c>
      <c r="E846" s="544" t="s">
        <v>142</v>
      </c>
      <c r="F846" s="546"/>
    </row>
    <row r="847" ht="22.5" customHeight="1">
      <c r="A847" s="49"/>
      <c r="C847" s="192">
        <v>46184.0</v>
      </c>
      <c r="D847" s="195">
        <v>460000.0</v>
      </c>
      <c r="E847" s="544" t="s">
        <v>173</v>
      </c>
      <c r="F847" s="546"/>
    </row>
    <row r="848" ht="22.5" customHeight="1">
      <c r="A848" s="49"/>
      <c r="C848" s="192">
        <v>46185.0</v>
      </c>
      <c r="D848" s="195">
        <v>1800000.0</v>
      </c>
      <c r="E848" s="544" t="s">
        <v>142</v>
      </c>
      <c r="F848" s="546"/>
    </row>
    <row r="849" ht="22.5" customHeight="1">
      <c r="A849" s="49"/>
      <c r="C849" s="192">
        <v>46185.0</v>
      </c>
      <c r="D849" s="195">
        <v>670000.0</v>
      </c>
      <c r="E849" s="544" t="s">
        <v>173</v>
      </c>
      <c r="F849" s="546"/>
    </row>
    <row r="850" ht="22.5" customHeight="1">
      <c r="A850" s="49"/>
      <c r="C850" s="192">
        <v>46185.0</v>
      </c>
      <c r="D850" s="195">
        <v>250000.0</v>
      </c>
      <c r="E850" s="544" t="s">
        <v>173</v>
      </c>
      <c r="F850" s="546"/>
    </row>
    <row r="851" ht="22.5" customHeight="1">
      <c r="A851" s="49"/>
      <c r="C851" s="192">
        <v>46185.0</v>
      </c>
      <c r="D851" s="195">
        <v>1440000.0</v>
      </c>
      <c r="E851" s="544" t="s">
        <v>173</v>
      </c>
      <c r="F851" s="546"/>
    </row>
    <row r="852" ht="22.5" customHeight="1">
      <c r="A852" s="49"/>
      <c r="C852" s="192">
        <v>46186.0</v>
      </c>
      <c r="D852" s="195">
        <v>365000.0</v>
      </c>
      <c r="E852" s="544" t="s">
        <v>173</v>
      </c>
      <c r="F852" s="546"/>
    </row>
    <row r="853" ht="22.5" customHeight="1">
      <c r="A853" s="49"/>
      <c r="C853" s="192">
        <v>46186.0</v>
      </c>
      <c r="D853" s="195">
        <v>945000.0</v>
      </c>
      <c r="E853" s="544" t="s">
        <v>173</v>
      </c>
      <c r="F853" s="546"/>
    </row>
    <row r="854" ht="22.5" customHeight="1">
      <c r="A854" s="49"/>
      <c r="C854" s="192">
        <v>46186.0</v>
      </c>
      <c r="D854" s="195">
        <v>430000.0</v>
      </c>
      <c r="E854" s="544" t="s">
        <v>162</v>
      </c>
      <c r="F854" s="546"/>
    </row>
    <row r="855" ht="22.5" customHeight="1">
      <c r="A855" s="49"/>
      <c r="C855" s="192">
        <v>46186.0</v>
      </c>
      <c r="D855" s="195">
        <v>1730000.0</v>
      </c>
      <c r="E855" s="544" t="s">
        <v>133</v>
      </c>
      <c r="F855" s="546"/>
    </row>
    <row r="856" ht="22.5" customHeight="1">
      <c r="A856" s="49"/>
      <c r="C856" s="192">
        <v>46188.0</v>
      </c>
      <c r="D856" s="195">
        <v>1030000.0</v>
      </c>
      <c r="E856" s="544" t="s">
        <v>173</v>
      </c>
      <c r="F856" s="546"/>
    </row>
    <row r="857" ht="22.5" customHeight="1">
      <c r="A857" s="49"/>
      <c r="C857" s="192">
        <v>46189.0</v>
      </c>
      <c r="D857" s="195">
        <v>1200000.0</v>
      </c>
      <c r="E857" s="544" t="s">
        <v>173</v>
      </c>
      <c r="F857" s="546"/>
    </row>
    <row r="858" ht="22.5" customHeight="1">
      <c r="A858" s="49"/>
      <c r="C858" s="192">
        <v>46189.0</v>
      </c>
      <c r="D858" s="195">
        <v>15000.0</v>
      </c>
      <c r="E858" s="544" t="s">
        <v>173</v>
      </c>
      <c r="F858" s="546"/>
    </row>
    <row r="859" ht="22.5" customHeight="1">
      <c r="A859" s="49"/>
      <c r="C859" s="192">
        <v>46189.0</v>
      </c>
      <c r="D859" s="195">
        <v>3280000.0</v>
      </c>
      <c r="E859" s="544" t="s">
        <v>173</v>
      </c>
      <c r="F859" s="546"/>
    </row>
    <row r="860" ht="22.5" customHeight="1">
      <c r="A860" s="49"/>
      <c r="C860" s="192">
        <v>46189.0</v>
      </c>
      <c r="D860" s="195">
        <v>830000.0</v>
      </c>
      <c r="E860" s="544" t="s">
        <v>173</v>
      </c>
      <c r="F860" s="546"/>
    </row>
    <row r="861" ht="22.5" customHeight="1">
      <c r="A861" s="49"/>
      <c r="C861" s="192">
        <v>46189.0</v>
      </c>
      <c r="D861" s="195">
        <v>195000.0</v>
      </c>
      <c r="E861" s="544" t="s">
        <v>133</v>
      </c>
      <c r="F861" s="546"/>
    </row>
    <row r="862" ht="22.5" customHeight="1">
      <c r="A862" s="49"/>
      <c r="C862" s="192">
        <v>46189.0</v>
      </c>
      <c r="D862" s="195">
        <v>720000.0</v>
      </c>
      <c r="E862" s="544" t="s">
        <v>142</v>
      </c>
      <c r="F862" s="546"/>
    </row>
    <row r="863" ht="22.5" customHeight="1">
      <c r="A863" s="49"/>
      <c r="C863" s="192">
        <v>46190.0</v>
      </c>
      <c r="D863" s="195">
        <v>3200000.0</v>
      </c>
      <c r="E863" s="544" t="s">
        <v>142</v>
      </c>
      <c r="F863" s="546"/>
    </row>
    <row r="864" ht="22.5" customHeight="1">
      <c r="A864" s="49"/>
      <c r="C864" s="192">
        <v>46190.0</v>
      </c>
      <c r="D864" s="195">
        <v>25000.0</v>
      </c>
      <c r="E864" s="544" t="s">
        <v>173</v>
      </c>
      <c r="F864" s="546"/>
    </row>
    <row r="865" ht="22.5" customHeight="1">
      <c r="A865" s="49"/>
      <c r="C865" s="192">
        <v>46190.0</v>
      </c>
      <c r="D865" s="195">
        <v>610000.0</v>
      </c>
      <c r="E865" s="544" t="s">
        <v>173</v>
      </c>
      <c r="F865" s="546"/>
    </row>
    <row r="866" ht="22.5" customHeight="1">
      <c r="A866" s="49"/>
      <c r="C866" s="192">
        <v>46190.0</v>
      </c>
      <c r="D866" s="195">
        <v>215000.0</v>
      </c>
      <c r="E866" s="544" t="s">
        <v>173</v>
      </c>
      <c r="F866" s="546"/>
    </row>
    <row r="867" ht="22.5" customHeight="1">
      <c r="A867" s="49"/>
      <c r="C867" s="192">
        <v>46191.0</v>
      </c>
      <c r="D867" s="195">
        <v>25000.0</v>
      </c>
      <c r="E867" s="544" t="s">
        <v>173</v>
      </c>
      <c r="F867" s="546"/>
    </row>
    <row r="868" ht="22.5" customHeight="1">
      <c r="A868" s="49"/>
      <c r="C868" s="192">
        <v>46191.0</v>
      </c>
      <c r="D868" s="195">
        <v>300000.0</v>
      </c>
      <c r="E868" s="544" t="s">
        <v>173</v>
      </c>
      <c r="F868" s="546"/>
    </row>
    <row r="869" ht="22.5" customHeight="1">
      <c r="A869" s="49"/>
      <c r="C869" s="192">
        <v>46191.0</v>
      </c>
      <c r="D869" s="195">
        <v>75000.0</v>
      </c>
      <c r="E869" s="544" t="s">
        <v>142</v>
      </c>
      <c r="F869" s="546"/>
    </row>
    <row r="870" ht="22.5" customHeight="1">
      <c r="A870" s="49"/>
      <c r="C870" s="192">
        <v>46191.0</v>
      </c>
      <c r="D870" s="195">
        <v>4800000.0</v>
      </c>
      <c r="E870" s="544" t="s">
        <v>133</v>
      </c>
      <c r="F870" s="546"/>
    </row>
    <row r="871" ht="22.5" customHeight="1">
      <c r="A871" s="49"/>
      <c r="C871" s="192">
        <v>46191.0</v>
      </c>
      <c r="D871" s="195">
        <v>1985000.0</v>
      </c>
      <c r="E871" s="544" t="s">
        <v>133</v>
      </c>
      <c r="F871" s="546"/>
    </row>
    <row r="872" ht="22.5" customHeight="1">
      <c r="A872" s="49"/>
      <c r="C872" s="192">
        <v>46191.0</v>
      </c>
      <c r="D872" s="195">
        <v>380000.0</v>
      </c>
      <c r="E872" s="544" t="s">
        <v>173</v>
      </c>
      <c r="F872" s="546"/>
    </row>
    <row r="873" ht="22.5" customHeight="1">
      <c r="A873" s="49"/>
      <c r="C873" s="192">
        <v>46192.0</v>
      </c>
      <c r="D873" s="195">
        <v>7000000.0</v>
      </c>
      <c r="E873" s="544" t="s">
        <v>142</v>
      </c>
      <c r="F873" s="546"/>
    </row>
    <row r="874" ht="22.5" customHeight="1">
      <c r="A874" s="49"/>
      <c r="C874" s="192">
        <v>46192.0</v>
      </c>
      <c r="D874" s="195">
        <v>500000.0</v>
      </c>
      <c r="E874" s="544" t="s">
        <v>142</v>
      </c>
      <c r="F874" s="546"/>
    </row>
    <row r="875" ht="22.5" customHeight="1">
      <c r="A875" s="49"/>
      <c r="C875" s="192">
        <v>46192.0</v>
      </c>
      <c r="D875" s="195">
        <v>1350000.0</v>
      </c>
      <c r="E875" s="544" t="s">
        <v>133</v>
      </c>
      <c r="F875" s="546"/>
    </row>
    <row r="876" ht="22.5" customHeight="1">
      <c r="A876" s="49"/>
      <c r="C876" s="192">
        <v>46192.0</v>
      </c>
      <c r="D876" s="195">
        <v>1400000.0</v>
      </c>
      <c r="E876" s="544" t="s">
        <v>133</v>
      </c>
      <c r="F876" s="546"/>
    </row>
    <row r="877" ht="22.5" customHeight="1">
      <c r="A877" s="49"/>
      <c r="C877" s="192">
        <v>46192.0</v>
      </c>
      <c r="D877" s="195">
        <v>150000.0</v>
      </c>
      <c r="E877" s="544" t="s">
        <v>173</v>
      </c>
      <c r="F877" s="546"/>
    </row>
    <row r="878" ht="22.5" customHeight="1">
      <c r="A878" s="49"/>
      <c r="C878" s="192">
        <v>46192.0</v>
      </c>
      <c r="D878" s="195">
        <v>800000.0</v>
      </c>
      <c r="E878" s="544" t="s">
        <v>173</v>
      </c>
      <c r="F878" s="546"/>
    </row>
    <row r="879" ht="22.5" customHeight="1">
      <c r="A879" s="49"/>
      <c r="C879" s="192">
        <v>46192.0</v>
      </c>
      <c r="D879" s="195">
        <v>1400000.0</v>
      </c>
      <c r="E879" s="544" t="s">
        <v>173</v>
      </c>
      <c r="F879" s="546"/>
    </row>
    <row r="880" ht="22.5" customHeight="1">
      <c r="A880" s="49"/>
      <c r="C880" s="192">
        <v>46192.0</v>
      </c>
      <c r="D880" s="195">
        <v>200000.0</v>
      </c>
      <c r="E880" s="544" t="s">
        <v>133</v>
      </c>
      <c r="F880" s="546"/>
    </row>
    <row r="881" ht="22.5" customHeight="1">
      <c r="A881" s="49"/>
      <c r="C881" s="192">
        <v>46192.0</v>
      </c>
      <c r="D881" s="195">
        <v>1380000.0</v>
      </c>
      <c r="E881" s="544" t="s">
        <v>133</v>
      </c>
      <c r="F881" s="546"/>
    </row>
    <row r="882" ht="22.5" customHeight="1">
      <c r="A882" s="49"/>
      <c r="C882" s="192">
        <v>46192.0</v>
      </c>
      <c r="D882" s="195">
        <v>390000.0</v>
      </c>
      <c r="E882" s="544" t="s">
        <v>173</v>
      </c>
      <c r="F882" s="546"/>
    </row>
    <row r="883" ht="22.5" customHeight="1">
      <c r="A883" s="49"/>
      <c r="C883" s="192">
        <v>46193.0</v>
      </c>
      <c r="D883" s="195">
        <v>1850000.0</v>
      </c>
      <c r="E883" s="544" t="s">
        <v>133</v>
      </c>
      <c r="F883" s="546"/>
    </row>
    <row r="884" ht="22.5" customHeight="1">
      <c r="A884" s="49"/>
      <c r="C884" s="192">
        <v>46195.0</v>
      </c>
      <c r="D884" s="195">
        <v>5000000.0</v>
      </c>
      <c r="E884" s="544" t="s">
        <v>133</v>
      </c>
      <c r="F884" s="546"/>
    </row>
    <row r="885" ht="22.5" customHeight="1">
      <c r="A885" s="49"/>
      <c r="C885" s="192">
        <v>46195.0</v>
      </c>
      <c r="D885" s="195">
        <v>1440000.0</v>
      </c>
      <c r="E885" s="544" t="s">
        <v>133</v>
      </c>
      <c r="F885" s="546"/>
    </row>
    <row r="886" ht="22.5" customHeight="1">
      <c r="A886" s="49"/>
      <c r="C886" s="192">
        <v>46195.0</v>
      </c>
      <c r="D886" s="195">
        <v>1530000.0</v>
      </c>
      <c r="E886" s="544" t="s">
        <v>173</v>
      </c>
      <c r="F886" s="546"/>
    </row>
    <row r="887" ht="22.5" customHeight="1">
      <c r="A887" s="49"/>
      <c r="C887" s="192">
        <v>46195.0</v>
      </c>
      <c r="D887" s="195">
        <v>15000.0</v>
      </c>
      <c r="E887" s="544" t="s">
        <v>173</v>
      </c>
      <c r="F887" s="546"/>
    </row>
    <row r="888" ht="22.5" customHeight="1">
      <c r="A888" s="49"/>
      <c r="C888" s="192">
        <v>46195.0</v>
      </c>
      <c r="D888" s="195">
        <v>300000.0</v>
      </c>
      <c r="E888" s="544" t="s">
        <v>173</v>
      </c>
      <c r="F888" s="546"/>
    </row>
    <row r="889" ht="22.5" customHeight="1">
      <c r="A889" s="49"/>
      <c r="C889" s="192">
        <v>46195.0</v>
      </c>
      <c r="D889" s="195">
        <v>50000.0</v>
      </c>
      <c r="E889" s="544" t="s">
        <v>173</v>
      </c>
      <c r="F889" s="546"/>
    </row>
    <row r="890" ht="22.5" customHeight="1">
      <c r="A890" s="49"/>
      <c r="C890" s="192">
        <v>46195.0</v>
      </c>
      <c r="D890" s="195">
        <v>720000.0</v>
      </c>
      <c r="E890" s="544" t="s">
        <v>133</v>
      </c>
      <c r="F890" s="546"/>
    </row>
    <row r="891" ht="22.5" customHeight="1">
      <c r="A891" s="49"/>
      <c r="C891" s="192">
        <v>46196.0</v>
      </c>
      <c r="D891" s="195">
        <v>1280000.0</v>
      </c>
      <c r="E891" s="544" t="s">
        <v>173</v>
      </c>
      <c r="F891" s="546"/>
    </row>
    <row r="892" ht="22.5" customHeight="1">
      <c r="A892" s="49"/>
      <c r="C892" s="192">
        <v>46196.0</v>
      </c>
      <c r="D892" s="195">
        <v>1420000.0</v>
      </c>
      <c r="E892" s="544" t="s">
        <v>133</v>
      </c>
      <c r="F892" s="546"/>
    </row>
    <row r="893" ht="22.5" customHeight="1">
      <c r="A893" s="49"/>
      <c r="C893" s="192">
        <v>46196.0</v>
      </c>
      <c r="D893" s="195">
        <v>280000.0</v>
      </c>
      <c r="E893" s="544" t="s">
        <v>173</v>
      </c>
      <c r="F893" s="546"/>
    </row>
    <row r="894" ht="22.5" customHeight="1">
      <c r="A894" s="49"/>
      <c r="C894" s="192">
        <v>46196.0</v>
      </c>
      <c r="D894" s="195">
        <v>60000.0</v>
      </c>
      <c r="E894" s="544" t="s">
        <v>173</v>
      </c>
      <c r="F894" s="546"/>
    </row>
    <row r="895" ht="22.5" customHeight="1">
      <c r="A895" s="49"/>
      <c r="C895" s="192">
        <v>46196.0</v>
      </c>
      <c r="D895" s="195">
        <v>850000.0</v>
      </c>
      <c r="E895" s="544" t="s">
        <v>133</v>
      </c>
      <c r="F895" s="546"/>
    </row>
    <row r="896" ht="22.5" customHeight="1">
      <c r="A896" s="49"/>
      <c r="C896" s="192">
        <v>46197.0</v>
      </c>
      <c r="D896" s="195">
        <v>335000.0</v>
      </c>
      <c r="E896" s="544" t="s">
        <v>133</v>
      </c>
      <c r="F896" s="546"/>
    </row>
    <row r="897" ht="22.5" customHeight="1">
      <c r="A897" s="49"/>
      <c r="C897" s="192">
        <v>46197.0</v>
      </c>
      <c r="D897" s="195">
        <v>2720000.0</v>
      </c>
      <c r="E897" s="544" t="s">
        <v>173</v>
      </c>
      <c r="F897" s="546"/>
    </row>
    <row r="898" ht="22.5" customHeight="1">
      <c r="A898" s="49"/>
      <c r="C898" s="192">
        <v>46197.0</v>
      </c>
      <c r="D898" s="195">
        <v>1440000.0</v>
      </c>
      <c r="E898" s="544" t="s">
        <v>173</v>
      </c>
      <c r="F898" s="546"/>
    </row>
    <row r="899" ht="22.5" customHeight="1">
      <c r="A899" s="49"/>
      <c r="C899" s="192">
        <v>46197.0</v>
      </c>
      <c r="D899" s="195">
        <v>850000.0</v>
      </c>
      <c r="E899" s="544" t="s">
        <v>133</v>
      </c>
      <c r="F899" s="546"/>
    </row>
    <row r="900" ht="22.5" customHeight="1">
      <c r="A900" s="49"/>
      <c r="C900" s="192">
        <v>46198.0</v>
      </c>
      <c r="D900" s="195">
        <v>430000.0</v>
      </c>
      <c r="E900" s="544" t="s">
        <v>173</v>
      </c>
      <c r="F900" s="546"/>
    </row>
    <row r="901" ht="22.5" customHeight="1">
      <c r="A901" s="49"/>
      <c r="C901" s="192">
        <v>46198.0</v>
      </c>
      <c r="D901" s="195">
        <v>50000.0</v>
      </c>
      <c r="E901" s="544" t="s">
        <v>173</v>
      </c>
      <c r="F901" s="546"/>
    </row>
    <row r="902" ht="22.5" customHeight="1">
      <c r="A902" s="49"/>
      <c r="C902" s="192">
        <v>46198.0</v>
      </c>
      <c r="D902" s="195">
        <v>400000.0</v>
      </c>
      <c r="E902" s="544" t="s">
        <v>173</v>
      </c>
      <c r="F902" s="546"/>
    </row>
    <row r="903" ht="22.5" customHeight="1">
      <c r="A903" s="49"/>
      <c r="C903" s="192">
        <v>46198.0</v>
      </c>
      <c r="D903" s="195">
        <v>6780000.0</v>
      </c>
      <c r="E903" s="544" t="s">
        <v>133</v>
      </c>
      <c r="F903" s="546"/>
    </row>
    <row r="904" ht="22.5" customHeight="1">
      <c r="A904" s="49"/>
      <c r="C904" s="192">
        <v>46198.0</v>
      </c>
      <c r="D904" s="195">
        <v>2550000.0</v>
      </c>
      <c r="E904" s="544" t="s">
        <v>133</v>
      </c>
      <c r="F904" s="546"/>
    </row>
    <row r="905" ht="22.5" customHeight="1">
      <c r="A905" s="49"/>
      <c r="C905" s="192">
        <v>46198.0</v>
      </c>
      <c r="D905" s="195">
        <v>1280000.0</v>
      </c>
      <c r="E905" s="544" t="s">
        <v>173</v>
      </c>
      <c r="F905" s="546"/>
    </row>
    <row r="906" ht="22.5" customHeight="1">
      <c r="A906" s="49"/>
      <c r="C906" s="192">
        <v>46199.0</v>
      </c>
      <c r="D906" s="195">
        <v>4400000.0</v>
      </c>
      <c r="E906" s="544" t="s">
        <v>133</v>
      </c>
      <c r="F906" s="546"/>
    </row>
    <row r="907" ht="22.5" customHeight="1">
      <c r="A907" s="49"/>
      <c r="C907" s="192">
        <v>46199.0</v>
      </c>
      <c r="D907" s="195">
        <v>1440000.0</v>
      </c>
      <c r="E907" s="544" t="s">
        <v>173</v>
      </c>
      <c r="F907" s="546"/>
    </row>
    <row r="908" ht="22.5" customHeight="1">
      <c r="A908" s="49"/>
      <c r="C908" s="192">
        <v>46200.0</v>
      </c>
      <c r="D908" s="195">
        <v>1180000.0</v>
      </c>
      <c r="E908" s="544" t="s">
        <v>173</v>
      </c>
      <c r="F908" s="546"/>
    </row>
    <row r="909" ht="22.5" customHeight="1">
      <c r="A909" s="49"/>
      <c r="C909" s="192">
        <v>46200.0</v>
      </c>
      <c r="D909" s="195">
        <v>120000.0</v>
      </c>
      <c r="E909" s="544" t="s">
        <v>173</v>
      </c>
      <c r="F909" s="546"/>
    </row>
    <row r="910" ht="22.5" customHeight="1">
      <c r="A910" s="49"/>
      <c r="C910" s="192">
        <v>46200.0</v>
      </c>
      <c r="D910" s="195">
        <v>675000.0</v>
      </c>
      <c r="E910" s="544" t="s">
        <v>173</v>
      </c>
      <c r="F910" s="546"/>
    </row>
    <row r="911" ht="22.5" customHeight="1">
      <c r="A911" s="49"/>
      <c r="C911" s="192">
        <v>46200.0</v>
      </c>
      <c r="D911" s="195">
        <v>1750000.0</v>
      </c>
      <c r="E911" s="544" t="s">
        <v>173</v>
      </c>
      <c r="F911" s="546"/>
    </row>
    <row r="912" ht="22.5" customHeight="1">
      <c r="A912" s="49"/>
      <c r="C912" s="192">
        <v>46200.0</v>
      </c>
      <c r="D912" s="195">
        <v>1100000.0</v>
      </c>
      <c r="E912" s="544" t="s">
        <v>173</v>
      </c>
      <c r="F912" s="546"/>
    </row>
    <row r="913" ht="22.5" customHeight="1">
      <c r="A913" s="49"/>
      <c r="C913" s="192">
        <v>46202.0</v>
      </c>
      <c r="D913" s="195">
        <v>20000.0</v>
      </c>
      <c r="E913" s="544" t="s">
        <v>142</v>
      </c>
      <c r="F913" s="546"/>
    </row>
    <row r="914" ht="22.5" customHeight="1">
      <c r="A914" s="49"/>
      <c r="C914" s="192">
        <v>46202.0</v>
      </c>
      <c r="D914" s="195">
        <v>1380000.0</v>
      </c>
      <c r="E914" s="544" t="s">
        <v>173</v>
      </c>
      <c r="F914" s="546"/>
    </row>
    <row r="915" ht="22.5" customHeight="1">
      <c r="A915" s="49"/>
      <c r="C915" s="192">
        <v>46202.0</v>
      </c>
      <c r="D915" s="195">
        <v>345000.0</v>
      </c>
      <c r="E915" s="544" t="s">
        <v>133</v>
      </c>
      <c r="F915" s="546"/>
    </row>
    <row r="916" ht="22.5" customHeight="1">
      <c r="A916" s="49"/>
      <c r="C916" s="192">
        <v>46202.0</v>
      </c>
      <c r="D916" s="195">
        <v>400000.0</v>
      </c>
      <c r="E916" s="544" t="s">
        <v>133</v>
      </c>
      <c r="F916" s="546"/>
    </row>
    <row r="917" ht="22.5" customHeight="1">
      <c r="A917" s="49"/>
      <c r="C917" s="192">
        <v>46202.0</v>
      </c>
      <c r="D917" s="195">
        <v>1070000.0</v>
      </c>
      <c r="E917" s="544" t="s">
        <v>133</v>
      </c>
      <c r="F917" s="546"/>
    </row>
    <row r="918" ht="22.5" customHeight="1">
      <c r="A918" s="49"/>
      <c r="C918" s="192">
        <v>46202.0</v>
      </c>
      <c r="D918" s="195">
        <v>850000.0</v>
      </c>
      <c r="E918" s="544" t="s">
        <v>133</v>
      </c>
      <c r="F918" s="546"/>
    </row>
    <row r="919" ht="22.5" customHeight="1">
      <c r="A919" s="49"/>
      <c r="C919" s="192">
        <v>46203.0</v>
      </c>
      <c r="D919" s="195">
        <v>280000.0</v>
      </c>
      <c r="E919" s="544" t="s">
        <v>173</v>
      </c>
      <c r="F919" s="546"/>
    </row>
    <row r="920" ht="22.5" customHeight="1">
      <c r="A920" s="49"/>
      <c r="C920" s="192">
        <v>46203.0</v>
      </c>
      <c r="D920" s="195">
        <v>1360000.0</v>
      </c>
      <c r="E920" s="544" t="s">
        <v>173</v>
      </c>
      <c r="F920" s="546"/>
    </row>
    <row r="921" ht="22.5" customHeight="1">
      <c r="A921" s="49"/>
      <c r="C921" s="192">
        <v>46203.0</v>
      </c>
      <c r="D921" s="195">
        <v>25000.0</v>
      </c>
      <c r="E921" s="544" t="s">
        <v>173</v>
      </c>
      <c r="F921" s="546"/>
    </row>
    <row r="922" ht="22.5" customHeight="1">
      <c r="A922" s="49"/>
      <c r="C922" s="192">
        <v>46203.0</v>
      </c>
      <c r="D922" s="195">
        <v>1200000.0</v>
      </c>
      <c r="E922" s="544" t="s">
        <v>133</v>
      </c>
      <c r="F922" s="546"/>
    </row>
    <row r="923" ht="22.5" customHeight="1">
      <c r="A923" s="49"/>
      <c r="C923" s="192">
        <v>46204.0</v>
      </c>
      <c r="D923" s="195">
        <v>30000.0</v>
      </c>
      <c r="E923" s="544" t="s">
        <v>173</v>
      </c>
      <c r="F923" s="546"/>
    </row>
    <row r="924" ht="22.5" customHeight="1">
      <c r="A924" s="49"/>
      <c r="C924" s="192">
        <v>46205.0</v>
      </c>
      <c r="D924" s="195">
        <v>3500000.0</v>
      </c>
      <c r="E924" s="544" t="s">
        <v>173</v>
      </c>
      <c r="F924" s="546"/>
    </row>
    <row r="925" ht="22.5" customHeight="1">
      <c r="A925" s="49"/>
      <c r="C925" s="192">
        <v>46205.0</v>
      </c>
      <c r="D925" s="195">
        <v>660000.0</v>
      </c>
      <c r="E925" s="544" t="s">
        <v>173</v>
      </c>
      <c r="F925" s="546"/>
    </row>
    <row r="926" ht="22.5" customHeight="1">
      <c r="A926" s="49"/>
      <c r="C926" s="192">
        <v>46205.0</v>
      </c>
      <c r="D926" s="195">
        <v>150000.0</v>
      </c>
      <c r="E926" s="544" t="s">
        <v>173</v>
      </c>
      <c r="F926" s="546"/>
    </row>
    <row r="927" ht="22.5" customHeight="1">
      <c r="A927" s="49"/>
      <c r="C927" s="192">
        <v>46205.0</v>
      </c>
      <c r="D927" s="195">
        <v>1000000.0</v>
      </c>
      <c r="E927" s="544" t="s">
        <v>173</v>
      </c>
      <c r="F927" s="546"/>
    </row>
    <row r="928" ht="22.5" customHeight="1">
      <c r="A928" s="49"/>
      <c r="C928" s="192">
        <v>46205.0</v>
      </c>
      <c r="D928" s="195">
        <v>1750000.0</v>
      </c>
      <c r="E928" s="544" t="s">
        <v>142</v>
      </c>
      <c r="F928" s="546"/>
    </row>
    <row r="929" ht="22.5" customHeight="1">
      <c r="A929" s="49"/>
      <c r="C929" s="192">
        <v>46205.0</v>
      </c>
      <c r="D929" s="195">
        <v>400000.0</v>
      </c>
      <c r="E929" s="544" t="s">
        <v>133</v>
      </c>
      <c r="F929" s="546"/>
    </row>
    <row r="930" ht="22.5" customHeight="1">
      <c r="A930" s="49"/>
      <c r="C930" s="192">
        <v>46206.0</v>
      </c>
      <c r="D930" s="195">
        <v>5410000.0</v>
      </c>
      <c r="E930" s="544" t="s">
        <v>133</v>
      </c>
      <c r="F930" s="546"/>
    </row>
    <row r="931" ht="22.5" customHeight="1">
      <c r="A931" s="49"/>
      <c r="C931" s="192">
        <v>46206.0</v>
      </c>
      <c r="D931" s="195">
        <v>1760000.0</v>
      </c>
      <c r="E931" s="544" t="s">
        <v>133</v>
      </c>
      <c r="F931" s="546"/>
    </row>
    <row r="932" ht="22.5" customHeight="1">
      <c r="A932" s="49"/>
      <c r="C932" s="192">
        <v>46206.0</v>
      </c>
      <c r="D932" s="195">
        <v>400000.0</v>
      </c>
      <c r="E932" s="544" t="s">
        <v>173</v>
      </c>
      <c r="F932" s="546"/>
    </row>
    <row r="933" ht="22.5" customHeight="1">
      <c r="A933" s="49"/>
      <c r="C933" s="192">
        <v>46209.0</v>
      </c>
      <c r="D933" s="195">
        <v>1365000.0</v>
      </c>
      <c r="E933" s="544" t="s">
        <v>133</v>
      </c>
      <c r="F933" s="546"/>
    </row>
    <row r="934" ht="22.5" customHeight="1">
      <c r="A934" s="49"/>
      <c r="C934" s="192">
        <v>46209.0</v>
      </c>
      <c r="D934" s="195">
        <v>4060000.0</v>
      </c>
      <c r="E934" s="544" t="s">
        <v>133</v>
      </c>
      <c r="F934" s="546"/>
    </row>
    <row r="935" ht="22.5" customHeight="1">
      <c r="A935" s="49"/>
      <c r="C935" s="192">
        <v>46209.0</v>
      </c>
      <c r="D935" s="195">
        <v>45000.0</v>
      </c>
      <c r="E935" s="544" t="s">
        <v>173</v>
      </c>
      <c r="F935" s="546"/>
    </row>
    <row r="936" ht="22.5" customHeight="1">
      <c r="A936" s="49"/>
      <c r="C936" s="192">
        <v>46209.0</v>
      </c>
      <c r="D936" s="195">
        <v>200000.0</v>
      </c>
      <c r="E936" s="544" t="s">
        <v>133</v>
      </c>
      <c r="F936" s="546"/>
    </row>
    <row r="937" ht="22.5" customHeight="1">
      <c r="A937" s="49"/>
      <c r="C937" s="192">
        <v>46210.0</v>
      </c>
      <c r="D937" s="195">
        <v>400000.0</v>
      </c>
      <c r="E937" s="544" t="s">
        <v>173</v>
      </c>
      <c r="F937" s="546"/>
    </row>
    <row r="938" ht="22.5" customHeight="1">
      <c r="A938" s="49"/>
      <c r="C938" s="192">
        <v>46210.0</v>
      </c>
      <c r="D938" s="195">
        <v>4150000.0</v>
      </c>
      <c r="E938" s="544" t="s">
        <v>173</v>
      </c>
      <c r="F938" s="546"/>
    </row>
    <row r="939" ht="22.5" customHeight="1">
      <c r="A939" s="49"/>
      <c r="C939" s="192">
        <v>46210.0</v>
      </c>
      <c r="D939" s="195">
        <v>1100000.0</v>
      </c>
      <c r="E939" s="544" t="s">
        <v>133</v>
      </c>
      <c r="F939" s="546"/>
    </row>
    <row r="940" ht="22.5" customHeight="1">
      <c r="A940" s="49"/>
      <c r="C940" s="192">
        <v>46210.0</v>
      </c>
      <c r="D940" s="195">
        <v>2300000.0</v>
      </c>
      <c r="E940" s="544" t="s">
        <v>173</v>
      </c>
      <c r="F940" s="546"/>
    </row>
    <row r="941" ht="22.5" customHeight="1">
      <c r="A941" s="49"/>
      <c r="C941" s="192">
        <v>46210.0</v>
      </c>
      <c r="D941" s="195">
        <v>1650000.0</v>
      </c>
      <c r="E941" s="544" t="s">
        <v>133</v>
      </c>
      <c r="F941" s="546"/>
    </row>
    <row r="942" ht="22.5" customHeight="1">
      <c r="A942" s="49"/>
      <c r="C942" s="192">
        <v>46211.0</v>
      </c>
      <c r="D942" s="195">
        <v>3100000.0</v>
      </c>
      <c r="E942" s="544" t="s">
        <v>133</v>
      </c>
      <c r="F942" s="546"/>
    </row>
    <row r="943" ht="22.5" customHeight="1">
      <c r="A943" s="49"/>
      <c r="C943" s="192">
        <v>46211.0</v>
      </c>
      <c r="D943" s="195">
        <v>1150000.0</v>
      </c>
      <c r="E943" s="544" t="s">
        <v>173</v>
      </c>
      <c r="F943" s="546"/>
    </row>
    <row r="944" ht="22.5" customHeight="1">
      <c r="A944" s="49"/>
      <c r="C944" s="192">
        <v>46211.0</v>
      </c>
      <c r="D944" s="195">
        <v>1600000.0</v>
      </c>
      <c r="E944" s="544" t="s">
        <v>133</v>
      </c>
      <c r="F944" s="546"/>
    </row>
    <row r="945" ht="22.5" customHeight="1">
      <c r="A945" s="49"/>
      <c r="C945" s="192">
        <v>46211.0</v>
      </c>
      <c r="D945" s="195">
        <v>850000.0</v>
      </c>
      <c r="E945" s="544" t="s">
        <v>133</v>
      </c>
      <c r="F945" s="546"/>
    </row>
    <row r="946" ht="22.5" customHeight="1">
      <c r="A946" s="49"/>
      <c r="C946" s="192">
        <v>46211.0</v>
      </c>
      <c r="D946" s="195">
        <v>3400000.0</v>
      </c>
      <c r="E946" s="544" t="s">
        <v>133</v>
      </c>
      <c r="F946" s="546"/>
    </row>
    <row r="947" ht="22.5" customHeight="1">
      <c r="A947" s="49"/>
      <c r="C947" s="192">
        <v>46212.0</v>
      </c>
      <c r="D947" s="195">
        <v>1970000.0</v>
      </c>
      <c r="E947" s="544" t="s">
        <v>133</v>
      </c>
      <c r="F947" s="546"/>
    </row>
    <row r="948" ht="22.5" customHeight="1">
      <c r="A948" s="49"/>
      <c r="C948" s="192">
        <v>46212.0</v>
      </c>
      <c r="D948" s="195">
        <v>20000.0</v>
      </c>
      <c r="E948" s="544" t="s">
        <v>173</v>
      </c>
      <c r="F948" s="546"/>
    </row>
    <row r="949" ht="22.5" customHeight="1">
      <c r="A949" s="49"/>
      <c r="C949" s="192">
        <v>46212.0</v>
      </c>
      <c r="D949" s="195">
        <v>765000.0</v>
      </c>
      <c r="E949" s="544" t="s">
        <v>173</v>
      </c>
      <c r="F949" s="546"/>
    </row>
    <row r="950" ht="22.5" customHeight="1">
      <c r="A950" s="49"/>
      <c r="C950" s="192">
        <v>46212.0</v>
      </c>
      <c r="D950" s="195">
        <v>250000.0</v>
      </c>
      <c r="E950" s="544" t="s">
        <v>173</v>
      </c>
      <c r="F950" s="546"/>
    </row>
    <row r="951" ht="22.5" customHeight="1">
      <c r="A951" s="49"/>
      <c r="C951" s="192">
        <v>46212.0</v>
      </c>
      <c r="D951" s="195">
        <v>135000.0</v>
      </c>
      <c r="E951" s="544" t="s">
        <v>173</v>
      </c>
      <c r="F951" s="546"/>
    </row>
    <row r="952" ht="22.5" customHeight="1">
      <c r="A952" s="49"/>
      <c r="C952" s="192">
        <v>46213.0</v>
      </c>
      <c r="D952" s="195">
        <v>1420000.0</v>
      </c>
      <c r="E952" s="544" t="s">
        <v>133</v>
      </c>
      <c r="F952" s="546"/>
    </row>
    <row r="953" ht="22.5" customHeight="1">
      <c r="A953" s="49"/>
      <c r="C953" s="192">
        <v>46213.0</v>
      </c>
      <c r="D953" s="195">
        <v>2280000.0</v>
      </c>
      <c r="E953" s="544" t="s">
        <v>133</v>
      </c>
      <c r="F953" s="546"/>
    </row>
    <row r="954" ht="22.5" customHeight="1">
      <c r="A954" s="49"/>
      <c r="C954" s="192">
        <v>46213.0</v>
      </c>
      <c r="D954" s="195">
        <v>1400000.0</v>
      </c>
      <c r="E954" s="544" t="s">
        <v>133</v>
      </c>
      <c r="F954" s="546"/>
    </row>
    <row r="955" ht="22.5" customHeight="1">
      <c r="A955" s="49"/>
      <c r="C955" s="192">
        <v>46213.0</v>
      </c>
      <c r="D955" s="195">
        <v>8910000.0</v>
      </c>
      <c r="E955" s="544" t="s">
        <v>142</v>
      </c>
      <c r="F955" s="546"/>
    </row>
    <row r="956" ht="22.5" customHeight="1">
      <c r="A956" s="49"/>
      <c r="C956" s="192">
        <v>46213.0</v>
      </c>
      <c r="D956" s="195">
        <v>3960000.0</v>
      </c>
      <c r="E956" s="544" t="s">
        <v>173</v>
      </c>
      <c r="F956" s="546"/>
    </row>
    <row r="957" ht="22.5" customHeight="1">
      <c r="A957" s="49"/>
      <c r="C957" s="192">
        <v>46213.0</v>
      </c>
      <c r="D957" s="195">
        <v>395000.0</v>
      </c>
      <c r="E957" s="544" t="s">
        <v>173</v>
      </c>
      <c r="F957" s="546"/>
    </row>
    <row r="958" ht="22.5" customHeight="1">
      <c r="A958" s="49"/>
      <c r="C958" s="192">
        <v>46213.0</v>
      </c>
      <c r="D958" s="195">
        <v>1360000.0</v>
      </c>
      <c r="E958" s="544" t="s">
        <v>173</v>
      </c>
      <c r="F958" s="546"/>
    </row>
    <row r="959" ht="22.5" customHeight="1">
      <c r="A959" s="49"/>
      <c r="C959" s="192">
        <v>46213.0</v>
      </c>
      <c r="D959" s="195">
        <v>100000.0</v>
      </c>
      <c r="E959" s="544" t="s">
        <v>173</v>
      </c>
      <c r="F959" s="546"/>
    </row>
    <row r="960" ht="22.5" customHeight="1">
      <c r="A960" s="49"/>
      <c r="C960" s="192">
        <v>46214.0</v>
      </c>
      <c r="D960" s="195">
        <v>475000.0</v>
      </c>
      <c r="E960" s="544" t="s">
        <v>173</v>
      </c>
      <c r="F960" s="546"/>
    </row>
    <row r="961" ht="22.5" customHeight="1">
      <c r="A961" s="49"/>
      <c r="C961" s="192">
        <v>46214.0</v>
      </c>
      <c r="D961" s="195">
        <v>875000.0</v>
      </c>
      <c r="E961" s="544" t="s">
        <v>173</v>
      </c>
      <c r="F961" s="546"/>
    </row>
    <row r="962" ht="22.5" customHeight="1">
      <c r="A962" s="49"/>
      <c r="C962" s="192">
        <v>46214.0</v>
      </c>
      <c r="D962" s="195">
        <v>3320000.0</v>
      </c>
      <c r="E962" s="544" t="s">
        <v>133</v>
      </c>
      <c r="F962" s="546"/>
    </row>
    <row r="963" ht="22.5" customHeight="1">
      <c r="A963" s="49"/>
      <c r="C963" s="192">
        <v>46214.0</v>
      </c>
      <c r="D963" s="195">
        <v>4000000.0</v>
      </c>
      <c r="E963" s="544" t="s">
        <v>142</v>
      </c>
      <c r="F963" s="546"/>
    </row>
    <row r="964" ht="22.5" customHeight="1">
      <c r="A964" s="49"/>
      <c r="C964" s="192">
        <v>46214.0</v>
      </c>
      <c r="D964" s="195">
        <v>3360000.0</v>
      </c>
      <c r="E964" s="544" t="s">
        <v>133</v>
      </c>
      <c r="F964" s="546"/>
    </row>
    <row r="965" ht="22.5" customHeight="1">
      <c r="A965" s="49"/>
      <c r="C965" s="192">
        <v>46214.0</v>
      </c>
      <c r="D965" s="195">
        <v>1690000.0</v>
      </c>
      <c r="E965" s="544" t="s">
        <v>133</v>
      </c>
      <c r="F965" s="546"/>
    </row>
    <row r="966" ht="22.5" customHeight="1">
      <c r="A966" s="49"/>
      <c r="C966" s="192">
        <v>46215.0</v>
      </c>
      <c r="D966" s="195">
        <v>3240000.0</v>
      </c>
      <c r="E966" s="544" t="s">
        <v>133</v>
      </c>
      <c r="F966" s="546"/>
    </row>
    <row r="967" ht="22.5" customHeight="1">
      <c r="A967" s="49"/>
      <c r="C967" s="192">
        <v>46215.0</v>
      </c>
      <c r="D967" s="195">
        <v>250000.0</v>
      </c>
      <c r="E967" s="544" t="s">
        <v>173</v>
      </c>
      <c r="F967" s="546"/>
    </row>
    <row r="968" ht="22.5" customHeight="1">
      <c r="A968" s="49"/>
      <c r="C968" s="192">
        <v>46216.0</v>
      </c>
      <c r="D968" s="195">
        <v>500000.0</v>
      </c>
      <c r="E968" s="544" t="s">
        <v>133</v>
      </c>
      <c r="F968" s="546"/>
    </row>
    <row r="969" ht="22.5" customHeight="1">
      <c r="A969" s="49"/>
      <c r="C969" s="192">
        <v>46216.0</v>
      </c>
      <c r="D969" s="195">
        <v>820000.0</v>
      </c>
      <c r="E969" s="544" t="s">
        <v>133</v>
      </c>
      <c r="F969" s="546"/>
    </row>
    <row r="970" ht="22.5" customHeight="1">
      <c r="A970" s="49"/>
      <c r="C970" s="192">
        <v>46216.0</v>
      </c>
      <c r="D970" s="195">
        <v>30000.0</v>
      </c>
      <c r="E970" s="544" t="s">
        <v>173</v>
      </c>
      <c r="F970" s="546"/>
    </row>
    <row r="971" ht="22.5" customHeight="1">
      <c r="A971" s="49"/>
      <c r="C971" s="192">
        <v>46216.0</v>
      </c>
      <c r="D971" s="195">
        <v>100000.0</v>
      </c>
      <c r="E971" s="544" t="s">
        <v>173</v>
      </c>
      <c r="F971" s="546"/>
    </row>
    <row r="972" ht="22.5" customHeight="1">
      <c r="A972" s="49"/>
      <c r="C972" s="192">
        <v>46217.0</v>
      </c>
      <c r="D972" s="195">
        <v>1440000.0</v>
      </c>
      <c r="E972" s="544" t="s">
        <v>133</v>
      </c>
      <c r="F972" s="546"/>
    </row>
    <row r="973" ht="22.5" customHeight="1">
      <c r="A973" s="49"/>
      <c r="C973" s="192">
        <v>46217.0</v>
      </c>
      <c r="D973" s="195">
        <v>475000.0</v>
      </c>
      <c r="E973" s="544" t="s">
        <v>173</v>
      </c>
      <c r="F973" s="546"/>
    </row>
    <row r="974" ht="22.5" customHeight="1">
      <c r="A974" s="49"/>
      <c r="C974" s="192">
        <v>46217.0</v>
      </c>
      <c r="D974" s="195">
        <v>150000.0</v>
      </c>
      <c r="E974" s="544" t="s">
        <v>173</v>
      </c>
      <c r="F974" s="546"/>
    </row>
    <row r="975" ht="22.5" customHeight="1">
      <c r="A975" s="49"/>
      <c r="C975" s="192">
        <v>46217.0</v>
      </c>
      <c r="D975" s="195">
        <v>15000.0</v>
      </c>
      <c r="E975" s="544" t="s">
        <v>173</v>
      </c>
      <c r="F975" s="546"/>
    </row>
    <row r="976" ht="22.5" customHeight="1">
      <c r="A976" s="49"/>
      <c r="C976" s="192">
        <v>46217.0</v>
      </c>
      <c r="D976" s="195">
        <v>30000.0</v>
      </c>
      <c r="E976" s="544" t="s">
        <v>173</v>
      </c>
      <c r="F976" s="546"/>
    </row>
    <row r="977" ht="22.5" customHeight="1">
      <c r="A977" s="49"/>
      <c r="C977" s="192">
        <v>46217.0</v>
      </c>
      <c r="D977" s="195">
        <v>820000.0</v>
      </c>
      <c r="E977" s="544" t="s">
        <v>173</v>
      </c>
      <c r="F977" s="546"/>
    </row>
    <row r="978" ht="22.5" customHeight="1">
      <c r="A978" s="49"/>
      <c r="C978" s="192">
        <v>46218.0</v>
      </c>
      <c r="D978" s="195">
        <v>1700000.0</v>
      </c>
      <c r="E978" s="544" t="s">
        <v>133</v>
      </c>
      <c r="F978" s="546"/>
    </row>
    <row r="979" ht="22.5" customHeight="1">
      <c r="A979" s="49"/>
      <c r="C979" s="192">
        <v>46218.0</v>
      </c>
      <c r="D979" s="195">
        <v>400000.0</v>
      </c>
      <c r="E979" s="544" t="s">
        <v>133</v>
      </c>
      <c r="F979" s="546"/>
    </row>
    <row r="980" ht="22.5" customHeight="1">
      <c r="A980" s="49"/>
      <c r="C980" s="192">
        <v>46218.0</v>
      </c>
      <c r="D980" s="195">
        <v>1660000.0</v>
      </c>
      <c r="E980" s="544" t="s">
        <v>173</v>
      </c>
      <c r="F980" s="546"/>
    </row>
    <row r="981" ht="22.5" customHeight="1">
      <c r="A981" s="49"/>
      <c r="C981" s="192">
        <v>46218.0</v>
      </c>
      <c r="D981" s="195">
        <v>50000.0</v>
      </c>
      <c r="E981" s="544" t="s">
        <v>173</v>
      </c>
      <c r="F981" s="546"/>
    </row>
    <row r="982" ht="22.5" customHeight="1">
      <c r="A982" s="49"/>
      <c r="C982" s="192">
        <v>46218.0</v>
      </c>
      <c r="D982" s="195">
        <v>25000.0</v>
      </c>
      <c r="E982" s="544" t="s">
        <v>173</v>
      </c>
      <c r="F982" s="546"/>
    </row>
    <row r="983" ht="22.5" customHeight="1">
      <c r="A983" s="49"/>
      <c r="C983" s="192">
        <v>46219.0</v>
      </c>
      <c r="D983" s="195">
        <v>3000000.0</v>
      </c>
      <c r="E983" s="544" t="s">
        <v>173</v>
      </c>
      <c r="F983" s="546"/>
    </row>
    <row r="984" ht="22.5" customHeight="1">
      <c r="A984" s="49"/>
      <c r="C984" s="192">
        <v>46219.0</v>
      </c>
      <c r="D984" s="195">
        <v>600000.0</v>
      </c>
      <c r="E984" s="544" t="s">
        <v>133</v>
      </c>
      <c r="F984" s="546"/>
    </row>
    <row r="985" ht="22.5" customHeight="1">
      <c r="A985" s="49"/>
      <c r="C985" s="192">
        <v>46219.0</v>
      </c>
      <c r="D985" s="195">
        <v>985000.0</v>
      </c>
      <c r="E985" s="544" t="s">
        <v>133</v>
      </c>
      <c r="F985" s="546"/>
    </row>
    <row r="986" ht="22.5" customHeight="1">
      <c r="A986" s="49"/>
      <c r="C986" s="192">
        <v>46219.0</v>
      </c>
      <c r="D986" s="195">
        <v>1980000.0</v>
      </c>
      <c r="E986" s="544" t="s">
        <v>173</v>
      </c>
      <c r="F986" s="546"/>
    </row>
    <row r="987" ht="22.5" customHeight="1">
      <c r="A987" s="49"/>
      <c r="C987" s="192">
        <v>46219.0</v>
      </c>
      <c r="D987" s="195">
        <v>1440000.0</v>
      </c>
      <c r="E987" s="544" t="s">
        <v>133</v>
      </c>
      <c r="F987" s="546"/>
    </row>
    <row r="988" ht="22.5" customHeight="1">
      <c r="A988" s="49"/>
      <c r="C988" s="192">
        <v>46219.0</v>
      </c>
      <c r="D988" s="195">
        <v>1380000.0</v>
      </c>
      <c r="E988" s="544" t="s">
        <v>173</v>
      </c>
      <c r="F988" s="546"/>
    </row>
    <row r="989" ht="22.5" customHeight="1">
      <c r="A989" s="49"/>
      <c r="C989" s="192">
        <v>46221.0</v>
      </c>
      <c r="D989" s="195">
        <v>150000.0</v>
      </c>
      <c r="E989" s="544" t="s">
        <v>133</v>
      </c>
      <c r="F989" s="546"/>
    </row>
    <row r="990" ht="22.5" customHeight="1">
      <c r="A990" s="49"/>
      <c r="C990" s="192">
        <v>46221.0</v>
      </c>
      <c r="D990" s="195">
        <v>850000.0</v>
      </c>
      <c r="E990" s="544" t="s">
        <v>133</v>
      </c>
      <c r="F990" s="546"/>
    </row>
    <row r="991" ht="22.5" customHeight="1">
      <c r="A991" s="49"/>
      <c r="C991" s="192">
        <v>46221.0</v>
      </c>
      <c r="D991" s="195">
        <v>690000.0</v>
      </c>
      <c r="E991" s="544" t="s">
        <v>133</v>
      </c>
      <c r="F991" s="546"/>
    </row>
    <row r="992" ht="22.5" customHeight="1">
      <c r="A992" s="49"/>
      <c r="C992" s="192">
        <v>46221.0</v>
      </c>
      <c r="D992" s="195">
        <v>315000.0</v>
      </c>
      <c r="E992" s="544" t="s">
        <v>173</v>
      </c>
      <c r="F992" s="546"/>
    </row>
    <row r="993" ht="22.5" customHeight="1">
      <c r="A993" s="49"/>
      <c r="C993" s="192">
        <v>46221.0</v>
      </c>
      <c r="D993" s="195">
        <v>1005000.0</v>
      </c>
      <c r="E993" s="544" t="s">
        <v>173</v>
      </c>
      <c r="F993" s="546"/>
    </row>
    <row r="994" ht="22.5" customHeight="1">
      <c r="A994" s="49"/>
      <c r="C994" s="192">
        <v>46221.0</v>
      </c>
      <c r="D994" s="195">
        <v>1450000.0</v>
      </c>
      <c r="E994" s="544" t="s">
        <v>133</v>
      </c>
      <c r="F994" s="546"/>
    </row>
    <row r="995" ht="22.5" customHeight="1">
      <c r="A995" s="49"/>
      <c r="C995" s="192">
        <v>46221.0</v>
      </c>
      <c r="D995" s="195">
        <v>1160000.0</v>
      </c>
      <c r="E995" s="544" t="s">
        <v>173</v>
      </c>
      <c r="F995" s="546"/>
    </row>
    <row r="996" ht="22.5" customHeight="1">
      <c r="A996" s="49"/>
      <c r="C996" s="192">
        <v>46225.0</v>
      </c>
      <c r="D996" s="195">
        <v>4600000.0</v>
      </c>
      <c r="E996" s="544" t="s">
        <v>133</v>
      </c>
      <c r="F996" s="546"/>
    </row>
    <row r="997" ht="22.5" customHeight="1">
      <c r="A997" s="49"/>
      <c r="C997" s="192">
        <v>46225.0</v>
      </c>
      <c r="D997" s="195">
        <v>4000000.0</v>
      </c>
      <c r="E997" s="544" t="s">
        <v>133</v>
      </c>
      <c r="F997" s="546"/>
    </row>
    <row r="998" ht="22.5" customHeight="1">
      <c r="A998" s="49"/>
      <c r="C998" s="192">
        <v>46225.0</v>
      </c>
      <c r="D998" s="195">
        <v>4560000.0</v>
      </c>
      <c r="E998" s="544" t="s">
        <v>133</v>
      </c>
      <c r="F998" s="546"/>
    </row>
    <row r="999" ht="22.5" customHeight="1">
      <c r="A999" s="49"/>
      <c r="C999" s="192">
        <v>46225.0</v>
      </c>
      <c r="D999" s="195">
        <v>385000.0</v>
      </c>
      <c r="E999" s="544" t="s">
        <v>173</v>
      </c>
      <c r="F999" s="546"/>
    </row>
    <row r="1000" ht="22.5" customHeight="1">
      <c r="A1000" s="49"/>
      <c r="C1000" s="192">
        <v>46225.0</v>
      </c>
      <c r="D1000" s="195">
        <v>10000.0</v>
      </c>
      <c r="E1000" s="544" t="s">
        <v>173</v>
      </c>
      <c r="F1000" s="546"/>
    </row>
    <row r="1001" ht="22.5" customHeight="1">
      <c r="A1001" s="49"/>
      <c r="C1001" s="192">
        <v>46226.0</v>
      </c>
      <c r="D1001" s="195">
        <v>1570000.0</v>
      </c>
      <c r="E1001" s="544" t="s">
        <v>173</v>
      </c>
      <c r="F1001" s="546"/>
    </row>
    <row r="1002" ht="22.5" customHeight="1">
      <c r="A1002" s="49"/>
      <c r="C1002" s="192">
        <v>46226.0</v>
      </c>
      <c r="D1002" s="195">
        <v>655000.0</v>
      </c>
      <c r="E1002" s="544" t="s">
        <v>173</v>
      </c>
      <c r="F1002" s="546"/>
    </row>
    <row r="1003" ht="22.5" customHeight="1">
      <c r="A1003" s="49"/>
      <c r="C1003" s="192">
        <v>46226.0</v>
      </c>
      <c r="D1003" s="195">
        <v>30000.0</v>
      </c>
      <c r="E1003" s="544" t="s">
        <v>173</v>
      </c>
      <c r="F1003" s="546"/>
    </row>
    <row r="1004" ht="22.5" customHeight="1">
      <c r="A1004" s="49"/>
      <c r="C1004" s="192">
        <v>46226.0</v>
      </c>
      <c r="D1004" s="195">
        <v>1500000.0</v>
      </c>
      <c r="E1004" s="544" t="s">
        <v>173</v>
      </c>
      <c r="F1004" s="546"/>
    </row>
    <row r="1005" ht="22.5" customHeight="1">
      <c r="A1005" s="49"/>
      <c r="C1005" s="192">
        <v>46226.0</v>
      </c>
      <c r="D1005" s="195">
        <v>4720000.0</v>
      </c>
      <c r="E1005" s="544" t="s">
        <v>142</v>
      </c>
      <c r="F1005" s="546"/>
    </row>
    <row r="1006" ht="22.5" customHeight="1">
      <c r="A1006" s="49"/>
      <c r="C1006" s="192">
        <v>46226.0</v>
      </c>
      <c r="D1006" s="195">
        <v>1640000.0</v>
      </c>
      <c r="E1006" s="544" t="s">
        <v>173</v>
      </c>
      <c r="F1006" s="546"/>
    </row>
    <row r="1007" ht="22.5" customHeight="1">
      <c r="A1007" s="49"/>
      <c r="C1007" s="192">
        <v>46227.0</v>
      </c>
      <c r="D1007" s="195">
        <v>2332000.0</v>
      </c>
      <c r="E1007" s="544" t="s">
        <v>133</v>
      </c>
      <c r="F1007" s="546"/>
    </row>
    <row r="1008" ht="22.5" customHeight="1">
      <c r="A1008" s="49"/>
      <c r="C1008" s="192">
        <v>46227.0</v>
      </c>
      <c r="D1008" s="195">
        <v>1360000.0</v>
      </c>
      <c r="E1008" s="544" t="s">
        <v>173</v>
      </c>
      <c r="F1008" s="546"/>
    </row>
    <row r="1009" ht="22.5" customHeight="1">
      <c r="A1009" s="49"/>
      <c r="C1009" s="192">
        <v>46227.0</v>
      </c>
      <c r="D1009" s="195">
        <v>3300000.0</v>
      </c>
      <c r="E1009" s="544" t="s">
        <v>173</v>
      </c>
      <c r="F1009" s="546"/>
    </row>
    <row r="1010" ht="22.5" customHeight="1">
      <c r="A1010" s="49"/>
      <c r="C1010" s="192">
        <v>46228.0</v>
      </c>
      <c r="D1010" s="195">
        <v>25000.0</v>
      </c>
      <c r="E1010" s="544" t="s">
        <v>173</v>
      </c>
      <c r="F1010" s="546"/>
    </row>
    <row r="1011" ht="22.5" customHeight="1">
      <c r="A1011" s="49"/>
      <c r="C1011" s="192">
        <v>46230.0</v>
      </c>
      <c r="D1011" s="195">
        <v>1.145E7</v>
      </c>
      <c r="E1011" s="544" t="s">
        <v>133</v>
      </c>
      <c r="F1011" s="546"/>
    </row>
    <row r="1012" ht="22.5" customHeight="1">
      <c r="A1012" s="49"/>
      <c r="C1012" s="192">
        <v>46230.0</v>
      </c>
      <c r="D1012" s="195">
        <v>1440000.0</v>
      </c>
      <c r="E1012" s="544" t="s">
        <v>173</v>
      </c>
      <c r="F1012" s="546"/>
    </row>
    <row r="1013" ht="22.5" customHeight="1">
      <c r="A1013" s="49"/>
      <c r="C1013" s="192">
        <v>46230.0</v>
      </c>
      <c r="D1013" s="195">
        <v>460000.0</v>
      </c>
      <c r="E1013" s="544" t="s">
        <v>173</v>
      </c>
      <c r="F1013" s="546"/>
    </row>
    <row r="1014" ht="22.5" customHeight="1">
      <c r="A1014" s="49"/>
      <c r="C1014" s="192">
        <v>46231.0</v>
      </c>
      <c r="D1014" s="195">
        <v>1170000.0</v>
      </c>
      <c r="E1014" s="544" t="s">
        <v>133</v>
      </c>
      <c r="F1014" s="546"/>
    </row>
    <row r="1015" ht="22.5" customHeight="1">
      <c r="A1015" s="49"/>
      <c r="C1015" s="192">
        <v>46231.0</v>
      </c>
      <c r="D1015" s="195">
        <v>380000.0</v>
      </c>
      <c r="E1015" s="544" t="s">
        <v>173</v>
      </c>
      <c r="F1015" s="546"/>
    </row>
    <row r="1016" ht="22.5" customHeight="1">
      <c r="A1016" s="49"/>
      <c r="C1016" s="192">
        <v>46231.0</v>
      </c>
      <c r="D1016" s="195">
        <v>30000.0</v>
      </c>
      <c r="E1016" s="544" t="s">
        <v>182</v>
      </c>
      <c r="F1016" s="546"/>
    </row>
    <row r="1017" ht="22.5" customHeight="1">
      <c r="A1017" s="49"/>
      <c r="C1017" s="192">
        <v>46232.0</v>
      </c>
      <c r="D1017" s="195">
        <v>3390000.0</v>
      </c>
      <c r="E1017" s="544" t="s">
        <v>133</v>
      </c>
      <c r="F1017" s="546"/>
    </row>
    <row r="1018" ht="22.5" customHeight="1">
      <c r="A1018" s="49"/>
      <c r="C1018" s="192">
        <v>46232.0</v>
      </c>
      <c r="D1018" s="195">
        <v>700000.0</v>
      </c>
      <c r="E1018" s="544" t="s">
        <v>173</v>
      </c>
      <c r="F1018" s="546"/>
    </row>
    <row r="1019" ht="22.5" customHeight="1">
      <c r="A1019" s="49"/>
      <c r="C1019" s="192">
        <v>46232.0</v>
      </c>
      <c r="D1019" s="195">
        <v>180000.0</v>
      </c>
      <c r="E1019" s="544" t="s">
        <v>173</v>
      </c>
      <c r="F1019" s="546"/>
    </row>
    <row r="1020" ht="22.5" customHeight="1">
      <c r="A1020" s="49"/>
      <c r="C1020" s="192">
        <v>46233.0</v>
      </c>
      <c r="D1020" s="195">
        <v>1850000.0</v>
      </c>
      <c r="E1020" s="544" t="s">
        <v>133</v>
      </c>
      <c r="F1020" s="546"/>
    </row>
    <row r="1021" ht="22.5" customHeight="1">
      <c r="A1021" s="49"/>
      <c r="C1021" s="192">
        <v>46233.0</v>
      </c>
      <c r="D1021" s="195">
        <v>420000.0</v>
      </c>
      <c r="E1021" s="544" t="s">
        <v>133</v>
      </c>
      <c r="F1021" s="546"/>
    </row>
    <row r="1022" ht="22.5" customHeight="1">
      <c r="A1022" s="49"/>
      <c r="C1022" s="192">
        <v>46233.0</v>
      </c>
      <c r="D1022" s="195">
        <v>1985000.0</v>
      </c>
      <c r="E1022" s="544" t="s">
        <v>133</v>
      </c>
      <c r="F1022" s="546"/>
    </row>
    <row r="1023" ht="22.5" customHeight="1">
      <c r="A1023" s="49"/>
      <c r="C1023" s="192">
        <v>46233.0</v>
      </c>
      <c r="D1023" s="195">
        <v>300000.0</v>
      </c>
      <c r="E1023" s="544" t="s">
        <v>173</v>
      </c>
      <c r="F1023" s="546"/>
    </row>
    <row r="1024" ht="22.5" customHeight="1">
      <c r="A1024" s="49"/>
      <c r="C1024" s="192">
        <v>46233.0</v>
      </c>
      <c r="D1024" s="195">
        <v>1380000.0</v>
      </c>
      <c r="E1024" s="544" t="s">
        <v>173</v>
      </c>
      <c r="F1024" s="546"/>
    </row>
    <row r="1025" ht="22.5" customHeight="1">
      <c r="A1025" s="49"/>
      <c r="C1025" s="192">
        <v>46233.0</v>
      </c>
      <c r="D1025" s="195">
        <v>370000.0</v>
      </c>
      <c r="E1025" s="544" t="s">
        <v>133</v>
      </c>
      <c r="F1025" s="546"/>
    </row>
    <row r="1026" ht="22.5" customHeight="1">
      <c r="A1026" s="49"/>
      <c r="C1026" s="192">
        <v>46234.0</v>
      </c>
      <c r="D1026" s="195">
        <v>1440000.0</v>
      </c>
      <c r="E1026" s="544" t="s">
        <v>173</v>
      </c>
      <c r="F1026" s="546"/>
    </row>
    <row r="1027" ht="22.5" customHeight="1">
      <c r="A1027" s="49"/>
      <c r="C1027" s="192">
        <v>46234.0</v>
      </c>
      <c r="D1027" s="195">
        <v>385000.0</v>
      </c>
      <c r="E1027" s="544" t="s">
        <v>173</v>
      </c>
      <c r="F1027" s="546"/>
    </row>
    <row r="1028" ht="22.5" customHeight="1">
      <c r="A1028" s="49"/>
      <c r="C1028" s="192">
        <v>46235.0</v>
      </c>
      <c r="D1028" s="195">
        <v>1100000.0</v>
      </c>
      <c r="E1028" s="544" t="s">
        <v>142</v>
      </c>
      <c r="F1028" s="546"/>
    </row>
    <row r="1029" ht="22.5" customHeight="1">
      <c r="A1029" s="49"/>
      <c r="C1029" s="192">
        <v>46237.0</v>
      </c>
      <c r="D1029" s="195">
        <v>590000.0</v>
      </c>
      <c r="E1029" s="544" t="s">
        <v>173</v>
      </c>
      <c r="F1029" s="546"/>
    </row>
    <row r="1030" ht="22.5" customHeight="1">
      <c r="A1030" s="49"/>
      <c r="C1030" s="192">
        <v>46237.0</v>
      </c>
      <c r="D1030" s="195">
        <v>100000.0</v>
      </c>
      <c r="E1030" s="544" t="s">
        <v>173</v>
      </c>
      <c r="F1030" s="546"/>
    </row>
    <row r="1031" ht="22.5" customHeight="1">
      <c r="A1031" s="49"/>
      <c r="C1031" s="192">
        <v>46237.0</v>
      </c>
      <c r="D1031" s="195">
        <v>4520000.0</v>
      </c>
      <c r="E1031" s="544" t="s">
        <v>133</v>
      </c>
      <c r="F1031" s="546"/>
    </row>
    <row r="1032" ht="22.5" customHeight="1">
      <c r="A1032" s="49"/>
      <c r="C1032" s="192">
        <v>46237.0</v>
      </c>
      <c r="D1032" s="195">
        <v>675000.0</v>
      </c>
      <c r="E1032" s="544" t="s">
        <v>173</v>
      </c>
      <c r="F1032" s="546"/>
    </row>
    <row r="1033" ht="22.5" customHeight="1">
      <c r="A1033" s="49"/>
      <c r="C1033" s="192">
        <v>46237.0</v>
      </c>
      <c r="D1033" s="195">
        <v>2700000.0</v>
      </c>
      <c r="E1033" s="544" t="s">
        <v>133</v>
      </c>
      <c r="F1033" s="546"/>
    </row>
    <row r="1034" ht="22.5" customHeight="1">
      <c r="A1034" s="49"/>
      <c r="C1034" s="192">
        <v>46237.0</v>
      </c>
      <c r="D1034" s="195">
        <v>1330000.0</v>
      </c>
      <c r="E1034" s="544" t="s">
        <v>133</v>
      </c>
      <c r="F1034" s="546"/>
    </row>
    <row r="1035" ht="22.5" customHeight="1">
      <c r="A1035" s="49"/>
      <c r="C1035" s="192">
        <v>46237.0</v>
      </c>
      <c r="D1035" s="195">
        <v>300000.0</v>
      </c>
      <c r="E1035" s="544" t="s">
        <v>173</v>
      </c>
      <c r="F1035" s="546"/>
    </row>
    <row r="1036" ht="22.5" customHeight="1">
      <c r="A1036" s="49"/>
      <c r="C1036" s="192">
        <v>46237.0</v>
      </c>
      <c r="D1036" s="195">
        <v>2130000.0</v>
      </c>
      <c r="E1036" s="544" t="s">
        <v>133</v>
      </c>
      <c r="F1036" s="546"/>
    </row>
    <row r="1037" ht="22.5" customHeight="1">
      <c r="A1037" s="49"/>
      <c r="C1037" s="192">
        <v>46238.0</v>
      </c>
      <c r="D1037" s="195">
        <v>7490000.0</v>
      </c>
      <c r="E1037" s="544" t="s">
        <v>133</v>
      </c>
      <c r="F1037" s="546"/>
    </row>
    <row r="1038" ht="22.5" customHeight="1">
      <c r="A1038" s="49"/>
      <c r="C1038" s="192">
        <v>46238.0</v>
      </c>
      <c r="D1038" s="195">
        <v>585000.0</v>
      </c>
      <c r="E1038" s="544" t="s">
        <v>133</v>
      </c>
      <c r="F1038" s="546"/>
    </row>
    <row r="1039" ht="22.5" customHeight="1">
      <c r="A1039" s="49"/>
      <c r="C1039" s="192">
        <v>46238.0</v>
      </c>
      <c r="D1039" s="195">
        <v>20000.0</v>
      </c>
      <c r="E1039" s="544" t="s">
        <v>173</v>
      </c>
      <c r="F1039" s="546"/>
    </row>
    <row r="1040" ht="22.5" customHeight="1">
      <c r="A1040" s="49"/>
      <c r="C1040" s="192">
        <v>46239.0</v>
      </c>
      <c r="D1040" s="195">
        <v>2300000.0</v>
      </c>
      <c r="E1040" s="544" t="s">
        <v>173</v>
      </c>
      <c r="F1040" s="546"/>
    </row>
    <row r="1041" ht="22.5" customHeight="1">
      <c r="A1041" s="49"/>
      <c r="C1041" s="192">
        <v>46239.0</v>
      </c>
      <c r="D1041" s="195">
        <v>1400000.0</v>
      </c>
      <c r="E1041" s="544" t="s">
        <v>133</v>
      </c>
      <c r="F1041" s="546"/>
    </row>
    <row r="1042" ht="22.5" customHeight="1">
      <c r="A1042" s="49"/>
      <c r="C1042" s="192">
        <v>46239.0</v>
      </c>
      <c r="D1042" s="195">
        <v>340000.0</v>
      </c>
      <c r="E1042" s="544" t="s">
        <v>133</v>
      </c>
      <c r="F1042" s="546"/>
    </row>
    <row r="1043" ht="22.5" customHeight="1">
      <c r="A1043" s="49"/>
      <c r="C1043" s="192">
        <v>46239.0</v>
      </c>
      <c r="D1043" s="195">
        <v>130000.0</v>
      </c>
      <c r="E1043" s="544" t="s">
        <v>133</v>
      </c>
      <c r="F1043" s="546"/>
    </row>
    <row r="1044" ht="22.5" customHeight="1">
      <c r="A1044" s="49"/>
      <c r="C1044" s="192">
        <v>46240.0</v>
      </c>
      <c r="D1044" s="195">
        <v>1600000.0</v>
      </c>
      <c r="E1044" s="544" t="s">
        <v>133</v>
      </c>
      <c r="F1044" s="546"/>
    </row>
    <row r="1045" ht="22.5" customHeight="1">
      <c r="A1045" s="49"/>
      <c r="C1045" s="192">
        <v>46240.0</v>
      </c>
      <c r="D1045" s="195">
        <v>2400000.0</v>
      </c>
      <c r="E1045" s="544" t="s">
        <v>173</v>
      </c>
      <c r="F1045" s="546"/>
    </row>
    <row r="1046" ht="22.5" customHeight="1">
      <c r="A1046" s="49"/>
      <c r="C1046" s="192">
        <v>46240.0</v>
      </c>
      <c r="D1046" s="195">
        <v>18000.0</v>
      </c>
      <c r="E1046" s="544" t="s">
        <v>173</v>
      </c>
      <c r="F1046" s="546"/>
    </row>
    <row r="1047" ht="22.5" customHeight="1">
      <c r="A1047" s="49"/>
      <c r="C1047" s="192">
        <v>46240.0</v>
      </c>
      <c r="D1047" s="195">
        <v>15000.0</v>
      </c>
      <c r="E1047" s="544" t="s">
        <v>173</v>
      </c>
      <c r="F1047" s="546"/>
    </row>
    <row r="1048" ht="22.5" customHeight="1">
      <c r="A1048" s="49"/>
      <c r="C1048" s="192">
        <v>46241.0</v>
      </c>
      <c r="D1048" s="195">
        <v>1000000.0</v>
      </c>
      <c r="E1048" s="544" t="s">
        <v>173</v>
      </c>
      <c r="F1048" s="546"/>
    </row>
    <row r="1049" ht="22.5" customHeight="1">
      <c r="A1049" s="49"/>
      <c r="C1049" s="192">
        <v>46241.0</v>
      </c>
      <c r="D1049" s="195">
        <v>250000.0</v>
      </c>
      <c r="E1049" s="544" t="s">
        <v>173</v>
      </c>
      <c r="F1049" s="546"/>
    </row>
    <row r="1050" ht="22.5" customHeight="1">
      <c r="A1050" s="49"/>
      <c r="C1050" s="192">
        <v>46241.0</v>
      </c>
      <c r="D1050" s="195">
        <v>880000.0</v>
      </c>
      <c r="E1050" s="544" t="s">
        <v>133</v>
      </c>
      <c r="F1050" s="546"/>
    </row>
    <row r="1051" ht="22.5" customHeight="1">
      <c r="A1051" s="49"/>
      <c r="C1051" s="192">
        <v>46241.0</v>
      </c>
      <c r="D1051" s="195">
        <v>720000.0</v>
      </c>
      <c r="E1051" s="544" t="s">
        <v>133</v>
      </c>
      <c r="F1051" s="546"/>
    </row>
    <row r="1052" ht="22.5" customHeight="1">
      <c r="A1052" s="49"/>
      <c r="C1052" s="192">
        <v>46242.0</v>
      </c>
      <c r="D1052" s="195">
        <v>2880000.0</v>
      </c>
      <c r="E1052" s="544" t="s">
        <v>133</v>
      </c>
      <c r="F1052" s="546"/>
    </row>
    <row r="1053" ht="22.5" customHeight="1">
      <c r="A1053" s="49"/>
      <c r="C1053" s="192">
        <v>46242.0</v>
      </c>
      <c r="D1053" s="195">
        <v>2410000.0</v>
      </c>
      <c r="E1053" s="544" t="s">
        <v>133</v>
      </c>
      <c r="F1053" s="546"/>
    </row>
    <row r="1054" ht="22.5" customHeight="1">
      <c r="A1054" s="49"/>
      <c r="C1054" s="192">
        <v>46242.0</v>
      </c>
      <c r="D1054" s="195">
        <v>410000.0</v>
      </c>
      <c r="E1054" s="544" t="s">
        <v>173</v>
      </c>
      <c r="F1054" s="546"/>
    </row>
    <row r="1055" ht="22.5" customHeight="1">
      <c r="A1055" s="49"/>
      <c r="C1055" s="192">
        <v>46242.0</v>
      </c>
      <c r="D1055" s="195">
        <v>1520000.0</v>
      </c>
      <c r="E1055" s="544" t="s">
        <v>142</v>
      </c>
      <c r="F1055" s="546"/>
    </row>
    <row r="1056" ht="22.5" customHeight="1">
      <c r="A1056" s="49"/>
      <c r="C1056" s="192">
        <v>46242.0</v>
      </c>
      <c r="D1056" s="195">
        <v>50000.0</v>
      </c>
      <c r="E1056" s="544" t="s">
        <v>173</v>
      </c>
      <c r="F1056" s="546"/>
    </row>
    <row r="1057" ht="22.5" customHeight="1">
      <c r="A1057" s="49"/>
      <c r="C1057" s="192">
        <v>46242.0</v>
      </c>
      <c r="D1057" s="195">
        <v>750000.0</v>
      </c>
      <c r="E1057" s="544" t="s">
        <v>173</v>
      </c>
      <c r="F1057" s="546"/>
    </row>
    <row r="1058" ht="22.5" customHeight="1">
      <c r="A1058" s="49"/>
      <c r="C1058" s="192">
        <v>46243.0</v>
      </c>
      <c r="D1058" s="195">
        <v>335000.0</v>
      </c>
      <c r="E1058" s="544" t="s">
        <v>173</v>
      </c>
      <c r="F1058" s="546"/>
    </row>
    <row r="1059" ht="22.5" customHeight="1">
      <c r="A1059" s="49"/>
      <c r="C1059" s="192">
        <v>46244.0</v>
      </c>
      <c r="D1059" s="195">
        <v>1760000.0</v>
      </c>
      <c r="E1059" s="544" t="s">
        <v>142</v>
      </c>
      <c r="F1059" s="546"/>
    </row>
    <row r="1060" ht="22.5" customHeight="1">
      <c r="A1060" s="49"/>
      <c r="C1060" s="192">
        <v>46244.0</v>
      </c>
      <c r="D1060" s="195">
        <v>2170000.0</v>
      </c>
      <c r="E1060" s="544" t="s">
        <v>133</v>
      </c>
      <c r="F1060" s="546"/>
    </row>
    <row r="1061" ht="22.5" customHeight="1">
      <c r="A1061" s="49"/>
      <c r="C1061" s="192">
        <v>46244.0</v>
      </c>
      <c r="D1061" s="195">
        <v>1400000.0</v>
      </c>
      <c r="E1061" s="544" t="s">
        <v>133</v>
      </c>
      <c r="F1061" s="546"/>
    </row>
    <row r="1062" ht="22.5" customHeight="1">
      <c r="A1062" s="49"/>
      <c r="C1062" s="192">
        <v>46244.0</v>
      </c>
      <c r="D1062" s="195">
        <v>136000.0</v>
      </c>
      <c r="E1062" s="544" t="s">
        <v>173</v>
      </c>
      <c r="F1062" s="546"/>
    </row>
    <row r="1063" ht="22.5" customHeight="1">
      <c r="A1063" s="49"/>
      <c r="C1063" s="192">
        <v>46244.0</v>
      </c>
      <c r="D1063" s="195">
        <v>600000.0</v>
      </c>
      <c r="E1063" s="544" t="s">
        <v>133</v>
      </c>
      <c r="F1063" s="546"/>
    </row>
    <row r="1064" ht="22.5" customHeight="1">
      <c r="A1064" s="49"/>
      <c r="C1064" s="192">
        <v>46244.0</v>
      </c>
      <c r="D1064" s="195">
        <v>120000.0</v>
      </c>
      <c r="E1064" s="544" t="s">
        <v>133</v>
      </c>
      <c r="F1064" s="546"/>
    </row>
    <row r="1065" ht="22.5" customHeight="1">
      <c r="A1065" s="49"/>
      <c r="C1065" s="192">
        <v>46244.0</v>
      </c>
      <c r="D1065" s="195">
        <v>1740000.0</v>
      </c>
      <c r="E1065" s="544" t="s">
        <v>142</v>
      </c>
      <c r="F1065" s="546"/>
    </row>
    <row r="1066" ht="22.5" customHeight="1">
      <c r="A1066" s="49"/>
      <c r="C1066" s="192">
        <v>46244.0</v>
      </c>
      <c r="D1066" s="195">
        <v>1170000.0</v>
      </c>
      <c r="E1066" s="544" t="s">
        <v>173</v>
      </c>
      <c r="F1066" s="546"/>
    </row>
    <row r="1067" ht="22.5" customHeight="1">
      <c r="A1067" s="49"/>
      <c r="C1067" s="192">
        <v>46244.0</v>
      </c>
      <c r="D1067" s="195">
        <v>700000.0</v>
      </c>
      <c r="E1067" s="544" t="s">
        <v>133</v>
      </c>
      <c r="F1067" s="546"/>
    </row>
    <row r="1068" ht="22.5" customHeight="1">
      <c r="A1068" s="49"/>
      <c r="C1068" s="192">
        <v>46245.0</v>
      </c>
      <c r="D1068" s="195">
        <v>3615000.0</v>
      </c>
      <c r="E1068" s="544" t="s">
        <v>173</v>
      </c>
      <c r="F1068" s="546"/>
    </row>
    <row r="1069" ht="22.5" customHeight="1">
      <c r="A1069" s="49"/>
      <c r="C1069" s="192">
        <v>46245.0</v>
      </c>
      <c r="D1069" s="195">
        <v>7940000.0</v>
      </c>
      <c r="E1069" s="544" t="s">
        <v>133</v>
      </c>
      <c r="F1069" s="546"/>
    </row>
    <row r="1070" ht="22.5" customHeight="1">
      <c r="A1070" s="49"/>
      <c r="C1070" s="192">
        <v>46245.0</v>
      </c>
      <c r="D1070" s="195">
        <v>640000.0</v>
      </c>
      <c r="E1070" s="544" t="s">
        <v>173</v>
      </c>
      <c r="F1070" s="546"/>
    </row>
    <row r="1071" ht="22.5" customHeight="1">
      <c r="A1071" s="49"/>
      <c r="C1071" s="192">
        <v>46245.0</v>
      </c>
      <c r="D1071" s="195">
        <v>800000.0</v>
      </c>
      <c r="E1071" s="544" t="s">
        <v>133</v>
      </c>
      <c r="F1071" s="546"/>
    </row>
    <row r="1072" ht="22.5" customHeight="1">
      <c r="A1072" s="49"/>
      <c r="C1072" s="192">
        <v>46245.0</v>
      </c>
      <c r="D1072" s="195">
        <v>60000.0</v>
      </c>
      <c r="E1072" s="544" t="s">
        <v>173</v>
      </c>
      <c r="F1072" s="546"/>
    </row>
    <row r="1073" ht="22.5" customHeight="1">
      <c r="A1073" s="49"/>
      <c r="C1073" s="192">
        <v>46245.0</v>
      </c>
      <c r="D1073" s="195">
        <v>1260000.0</v>
      </c>
      <c r="E1073" s="544" t="s">
        <v>173</v>
      </c>
      <c r="F1073" s="546"/>
    </row>
    <row r="1074" ht="22.5" customHeight="1">
      <c r="A1074" s="49"/>
      <c r="C1074" s="192">
        <v>46245.0</v>
      </c>
      <c r="D1074" s="195">
        <v>320000.0</v>
      </c>
      <c r="E1074" s="544" t="s">
        <v>173</v>
      </c>
      <c r="F1074" s="546"/>
    </row>
    <row r="1075" ht="22.5" customHeight="1">
      <c r="A1075" s="49"/>
      <c r="C1075" s="192">
        <v>46246.0</v>
      </c>
      <c r="D1075" s="195">
        <v>50000.0</v>
      </c>
      <c r="E1075" s="544" t="s">
        <v>173</v>
      </c>
      <c r="F1075" s="546"/>
    </row>
    <row r="1076" ht="22.5" customHeight="1">
      <c r="A1076" s="49"/>
      <c r="C1076" s="192">
        <v>46246.0</v>
      </c>
      <c r="D1076" s="195">
        <v>710000.0</v>
      </c>
      <c r="E1076" s="544" t="s">
        <v>173</v>
      </c>
      <c r="F1076" s="546"/>
    </row>
    <row r="1077" ht="22.5" customHeight="1">
      <c r="A1077" s="49"/>
      <c r="C1077" s="192">
        <v>46246.0</v>
      </c>
      <c r="D1077" s="195">
        <v>430000.0</v>
      </c>
      <c r="E1077" s="544" t="s">
        <v>173</v>
      </c>
      <c r="F1077" s="546"/>
    </row>
    <row r="1078" ht="22.5" customHeight="1">
      <c r="A1078" s="49"/>
      <c r="C1078" s="192">
        <v>46246.0</v>
      </c>
      <c r="D1078" s="195">
        <v>1843000.0</v>
      </c>
      <c r="E1078" s="544" t="s">
        <v>173</v>
      </c>
      <c r="F1078" s="546"/>
    </row>
    <row r="1079" ht="22.5" customHeight="1">
      <c r="A1079" s="49"/>
      <c r="C1079" s="192">
        <v>46246.0</v>
      </c>
      <c r="D1079" s="195">
        <v>1440000.0</v>
      </c>
      <c r="E1079" s="544" t="s">
        <v>173</v>
      </c>
      <c r="F1079" s="546"/>
    </row>
    <row r="1080" ht="22.5" customHeight="1">
      <c r="A1080" s="49"/>
      <c r="C1080" s="192">
        <v>46246.0</v>
      </c>
      <c r="D1080" s="195">
        <v>3010000.0</v>
      </c>
      <c r="E1080" s="544" t="s">
        <v>173</v>
      </c>
      <c r="F1080" s="546"/>
    </row>
    <row r="1081" ht="22.5" customHeight="1">
      <c r="A1081" s="49"/>
      <c r="C1081" s="192">
        <v>46247.0</v>
      </c>
      <c r="D1081" s="195">
        <v>1600000.0</v>
      </c>
      <c r="E1081" s="544" t="s">
        <v>133</v>
      </c>
      <c r="F1081" s="546"/>
    </row>
    <row r="1082" ht="22.5" customHeight="1">
      <c r="A1082" s="49"/>
      <c r="C1082" s="192">
        <v>46247.0</v>
      </c>
      <c r="D1082" s="195">
        <v>850000.0</v>
      </c>
      <c r="E1082" s="544" t="s">
        <v>133</v>
      </c>
      <c r="F1082" s="546"/>
    </row>
    <row r="1083" ht="22.5" customHeight="1">
      <c r="A1083" s="49"/>
      <c r="C1083" s="192">
        <v>46247.0</v>
      </c>
      <c r="D1083" s="195">
        <v>720000.0</v>
      </c>
      <c r="E1083" s="544" t="s">
        <v>133</v>
      </c>
      <c r="F1083" s="546"/>
    </row>
    <row r="1084" ht="22.5" customHeight="1">
      <c r="A1084" s="49"/>
      <c r="C1084" s="192">
        <v>46247.0</v>
      </c>
      <c r="D1084" s="195">
        <v>4000000.0</v>
      </c>
      <c r="E1084" s="544" t="s">
        <v>173</v>
      </c>
      <c r="F1084" s="546"/>
    </row>
    <row r="1085" ht="22.5" customHeight="1">
      <c r="A1085" s="49"/>
      <c r="C1085" s="192">
        <v>46247.0</v>
      </c>
      <c r="D1085" s="195">
        <v>380000.0</v>
      </c>
      <c r="E1085" s="544" t="s">
        <v>173</v>
      </c>
      <c r="F1085" s="546"/>
    </row>
    <row r="1086" ht="22.5" customHeight="1">
      <c r="A1086" s="49"/>
      <c r="C1086" s="192">
        <v>46247.0</v>
      </c>
      <c r="D1086" s="195">
        <v>460000.0</v>
      </c>
      <c r="E1086" s="544" t="s">
        <v>133</v>
      </c>
      <c r="F1086" s="546"/>
    </row>
    <row r="1087" ht="22.5" customHeight="1">
      <c r="A1087" s="49"/>
      <c r="C1087" s="192">
        <v>46247.0</v>
      </c>
      <c r="D1087" s="195">
        <v>675000.0</v>
      </c>
      <c r="E1087" s="544" t="s">
        <v>173</v>
      </c>
      <c r="F1087" s="546"/>
    </row>
    <row r="1088" ht="22.5" customHeight="1">
      <c r="A1088" s="49"/>
      <c r="C1088" s="192">
        <v>46247.0</v>
      </c>
      <c r="D1088" s="195">
        <v>1764000.0</v>
      </c>
      <c r="E1088" s="544" t="s">
        <v>173</v>
      </c>
      <c r="F1088" s="546"/>
    </row>
    <row r="1089" ht="22.5" customHeight="1">
      <c r="A1089" s="49"/>
      <c r="C1089" s="192">
        <v>46247.0</v>
      </c>
      <c r="D1089" s="195">
        <v>29000.0</v>
      </c>
      <c r="E1089" s="544" t="s">
        <v>173</v>
      </c>
      <c r="F1089" s="546"/>
    </row>
    <row r="1090" ht="22.5" customHeight="1">
      <c r="A1090" s="49"/>
      <c r="C1090" s="192">
        <v>46248.0</v>
      </c>
      <c r="D1090" s="195">
        <v>420000.0</v>
      </c>
      <c r="E1090" s="544" t="s">
        <v>133</v>
      </c>
      <c r="F1090" s="546"/>
    </row>
    <row r="1091" ht="22.5" customHeight="1">
      <c r="A1091" s="49"/>
      <c r="C1091" s="192">
        <v>46248.0</v>
      </c>
      <c r="D1091" s="195">
        <v>610000.0</v>
      </c>
      <c r="E1091" s="544" t="s">
        <v>133</v>
      </c>
      <c r="F1091" s="546"/>
    </row>
    <row r="1092" ht="22.5" customHeight="1">
      <c r="A1092" s="49"/>
      <c r="C1092" s="192">
        <v>46249.0</v>
      </c>
      <c r="D1092" s="195">
        <v>400000.0</v>
      </c>
      <c r="E1092" s="544" t="s">
        <v>173</v>
      </c>
      <c r="F1092" s="546"/>
    </row>
    <row r="1093" ht="22.5" customHeight="1">
      <c r="A1093" s="49"/>
      <c r="C1093" s="192">
        <v>46249.0</v>
      </c>
      <c r="D1093" s="195">
        <v>3500000.0</v>
      </c>
      <c r="E1093" s="544" t="s">
        <v>133</v>
      </c>
      <c r="F1093" s="546"/>
    </row>
    <row r="1094" ht="22.5" customHeight="1">
      <c r="A1094" s="49"/>
      <c r="C1094" s="192">
        <v>46252.0</v>
      </c>
      <c r="D1094" s="195">
        <v>4560000.0</v>
      </c>
      <c r="E1094" s="544" t="s">
        <v>133</v>
      </c>
      <c r="F1094" s="546"/>
    </row>
    <row r="1095" ht="22.5" customHeight="1">
      <c r="A1095" s="49"/>
      <c r="C1095" s="192">
        <v>46252.0</v>
      </c>
      <c r="D1095" s="195">
        <v>8720000.0</v>
      </c>
      <c r="E1095" s="544" t="s">
        <v>133</v>
      </c>
      <c r="F1095" s="546"/>
    </row>
    <row r="1096" ht="22.5" customHeight="1">
      <c r="A1096" s="49"/>
      <c r="C1096" s="192">
        <v>46252.0</v>
      </c>
      <c r="D1096" s="195">
        <v>1100000.0</v>
      </c>
      <c r="E1096" s="544" t="s">
        <v>173</v>
      </c>
      <c r="F1096" s="546"/>
    </row>
    <row r="1097" ht="22.5" customHeight="1">
      <c r="A1097" s="49"/>
      <c r="C1097" s="192">
        <v>46252.0</v>
      </c>
      <c r="D1097" s="195">
        <v>25000.0</v>
      </c>
      <c r="E1097" s="544" t="s">
        <v>173</v>
      </c>
      <c r="F1097" s="546"/>
    </row>
    <row r="1098" ht="22.5" customHeight="1">
      <c r="A1098" s="49"/>
      <c r="C1098" s="192">
        <v>46252.0</v>
      </c>
      <c r="D1098" s="195">
        <v>570000.0</v>
      </c>
      <c r="E1098" s="544" t="s">
        <v>173</v>
      </c>
      <c r="F1098" s="546"/>
    </row>
    <row r="1099" ht="22.5" customHeight="1">
      <c r="A1099" s="49"/>
      <c r="C1099" s="192">
        <v>46252.0</v>
      </c>
      <c r="D1099" s="195">
        <v>36000.0</v>
      </c>
      <c r="E1099" s="544" t="s">
        <v>133</v>
      </c>
      <c r="F1099" s="546"/>
    </row>
    <row r="1100" ht="22.5" customHeight="1">
      <c r="A1100" s="49"/>
      <c r="C1100" s="192">
        <v>46252.0</v>
      </c>
      <c r="D1100" s="195">
        <v>2300000.0</v>
      </c>
      <c r="E1100" s="544" t="s">
        <v>133</v>
      </c>
      <c r="F1100" s="546"/>
    </row>
    <row r="1101" ht="22.5" customHeight="1">
      <c r="A1101" s="49"/>
      <c r="C1101" s="192">
        <v>46253.0</v>
      </c>
      <c r="D1101" s="195">
        <v>4570000.0</v>
      </c>
      <c r="E1101" s="544" t="s">
        <v>133</v>
      </c>
      <c r="F1101" s="546"/>
    </row>
    <row r="1102" ht="22.5" customHeight="1">
      <c r="A1102" s="49"/>
      <c r="C1102" s="192">
        <v>46253.0</v>
      </c>
      <c r="D1102" s="195">
        <v>840000.0</v>
      </c>
      <c r="E1102" s="544" t="s">
        <v>173</v>
      </c>
      <c r="F1102" s="546"/>
    </row>
    <row r="1103" ht="22.5" customHeight="1">
      <c r="A1103" s="49"/>
      <c r="C1103" s="192">
        <v>46253.0</v>
      </c>
      <c r="D1103" s="195">
        <v>500000.0</v>
      </c>
      <c r="E1103" s="544" t="s">
        <v>173</v>
      </c>
      <c r="F1103" s="546"/>
    </row>
    <row r="1104" ht="22.5" customHeight="1">
      <c r="A1104" s="49"/>
      <c r="C1104" s="192">
        <v>46254.0</v>
      </c>
      <c r="D1104" s="195">
        <v>720000.0</v>
      </c>
      <c r="E1104" s="544" t="s">
        <v>173</v>
      </c>
      <c r="F1104" s="546"/>
    </row>
    <row r="1105" ht="22.5" customHeight="1">
      <c r="A1105" s="49"/>
      <c r="C1105" s="192">
        <v>46254.0</v>
      </c>
      <c r="D1105" s="195">
        <v>880000.0</v>
      </c>
      <c r="E1105" s="544" t="s">
        <v>173</v>
      </c>
      <c r="F1105" s="546"/>
    </row>
    <row r="1106" ht="22.5" customHeight="1">
      <c r="A1106" s="49"/>
      <c r="C1106" s="192">
        <v>46254.0</v>
      </c>
      <c r="D1106" s="195">
        <v>300000.0</v>
      </c>
      <c r="E1106" s="544" t="s">
        <v>173</v>
      </c>
      <c r="F1106" s="546"/>
    </row>
    <row r="1107" ht="22.5" customHeight="1">
      <c r="A1107" s="49"/>
      <c r="C1107" s="192">
        <v>46254.0</v>
      </c>
      <c r="D1107" s="195">
        <v>3715000.0</v>
      </c>
      <c r="E1107" s="544" t="s">
        <v>173</v>
      </c>
      <c r="F1107" s="546"/>
    </row>
    <row r="1108" ht="22.5" customHeight="1">
      <c r="A1108" s="49"/>
      <c r="C1108" s="192">
        <v>46254.0</v>
      </c>
      <c r="D1108" s="195">
        <v>150000.0</v>
      </c>
      <c r="E1108" s="544" t="s">
        <v>173</v>
      </c>
      <c r="F1108" s="546"/>
    </row>
    <row r="1109" ht="22.5" customHeight="1">
      <c r="A1109" s="49"/>
      <c r="C1109" s="192">
        <v>46254.0</v>
      </c>
      <c r="D1109" s="195">
        <v>720000.0</v>
      </c>
      <c r="E1109" s="544" t="s">
        <v>133</v>
      </c>
      <c r="F1109" s="546"/>
    </row>
    <row r="1110" ht="22.5" customHeight="1">
      <c r="A1110" s="49"/>
      <c r="C1110" s="192">
        <v>46254.0</v>
      </c>
      <c r="D1110" s="195">
        <v>300000.0</v>
      </c>
      <c r="E1110" s="544" t="s">
        <v>173</v>
      </c>
      <c r="F1110" s="546"/>
    </row>
    <row r="1111" ht="22.5" customHeight="1">
      <c r="A1111" s="49"/>
      <c r="C1111" s="192">
        <v>46256.0</v>
      </c>
      <c r="D1111" s="195">
        <v>4260000.0</v>
      </c>
      <c r="E1111" s="544" t="s">
        <v>133</v>
      </c>
      <c r="F1111" s="546"/>
    </row>
    <row r="1112" ht="22.5" customHeight="1">
      <c r="A1112" s="49"/>
      <c r="C1112" s="192">
        <v>46258.0</v>
      </c>
      <c r="D1112" s="195">
        <v>2085000.0</v>
      </c>
      <c r="E1112" s="544" t="s">
        <v>133</v>
      </c>
      <c r="F1112" s="546"/>
    </row>
    <row r="1113" ht="22.5" customHeight="1">
      <c r="A1113" s="49"/>
      <c r="C1113" s="192">
        <v>46258.0</v>
      </c>
      <c r="D1113" s="195">
        <v>670000.0</v>
      </c>
      <c r="E1113" s="544" t="s">
        <v>133</v>
      </c>
      <c r="F1113" s="546"/>
    </row>
    <row r="1114" ht="22.5" customHeight="1">
      <c r="A1114" s="49"/>
      <c r="C1114" s="192">
        <v>46258.0</v>
      </c>
      <c r="D1114" s="195">
        <v>450000.0</v>
      </c>
      <c r="E1114" s="544" t="s">
        <v>173</v>
      </c>
      <c r="F1114" s="546"/>
    </row>
    <row r="1115" ht="22.5" customHeight="1">
      <c r="A1115" s="49"/>
      <c r="C1115" s="192">
        <v>46258.0</v>
      </c>
      <c r="D1115" s="195">
        <v>700000.0</v>
      </c>
      <c r="E1115" s="544" t="s">
        <v>133</v>
      </c>
      <c r="F1115" s="546"/>
    </row>
    <row r="1116" ht="22.5" customHeight="1">
      <c r="A1116" s="49"/>
      <c r="C1116" s="192">
        <v>46259.0</v>
      </c>
      <c r="D1116" s="195">
        <v>1315000.0</v>
      </c>
      <c r="E1116" s="544" t="s">
        <v>133</v>
      </c>
      <c r="F1116" s="546"/>
    </row>
    <row r="1117" ht="22.5" customHeight="1">
      <c r="A1117" s="49"/>
      <c r="C1117" s="192">
        <v>46259.0</v>
      </c>
      <c r="D1117" s="195">
        <v>400000.0</v>
      </c>
      <c r="E1117" s="544" t="s">
        <v>173</v>
      </c>
      <c r="F1117" s="546"/>
    </row>
    <row r="1118" ht="22.5" customHeight="1">
      <c r="A1118" s="49"/>
      <c r="C1118" s="192">
        <v>46260.0</v>
      </c>
      <c r="D1118" s="195">
        <v>130000.0</v>
      </c>
      <c r="E1118" s="544" t="s">
        <v>173</v>
      </c>
      <c r="F1118" s="546"/>
    </row>
    <row r="1119" ht="22.5" customHeight="1">
      <c r="A1119" s="49"/>
      <c r="C1119" s="192">
        <v>46260.0</v>
      </c>
      <c r="D1119" s="195">
        <v>1680000.0</v>
      </c>
      <c r="E1119" s="544" t="s">
        <v>133</v>
      </c>
      <c r="F1119" s="546"/>
    </row>
    <row r="1120" ht="22.5" customHeight="1">
      <c r="A1120" s="49"/>
      <c r="C1120" s="192">
        <v>46260.0</v>
      </c>
      <c r="D1120" s="195">
        <v>100000.0</v>
      </c>
      <c r="E1120" s="544" t="s">
        <v>133</v>
      </c>
      <c r="F1120" s="546"/>
    </row>
    <row r="1121" ht="22.5" customHeight="1">
      <c r="A1121" s="49"/>
      <c r="C1121" s="192">
        <v>46260.0</v>
      </c>
      <c r="D1121" s="195">
        <v>1625000.0</v>
      </c>
      <c r="E1121" s="544" t="s">
        <v>133</v>
      </c>
      <c r="F1121" s="546"/>
    </row>
    <row r="1122" ht="22.5" customHeight="1">
      <c r="A1122" s="49"/>
      <c r="C1122" s="192">
        <v>46260.0</v>
      </c>
      <c r="D1122" s="195">
        <v>1390000.0</v>
      </c>
      <c r="E1122" s="544" t="s">
        <v>133</v>
      </c>
      <c r="F1122" s="546"/>
    </row>
    <row r="1123" ht="22.5" customHeight="1">
      <c r="A1123" s="49"/>
      <c r="C1123" s="192">
        <v>46261.0</v>
      </c>
      <c r="D1123" s="195">
        <v>60000.0</v>
      </c>
      <c r="E1123" s="544" t="s">
        <v>173</v>
      </c>
      <c r="F1123" s="546"/>
    </row>
    <row r="1124" ht="22.5" customHeight="1">
      <c r="A1124" s="49"/>
      <c r="C1124" s="192">
        <v>46261.0</v>
      </c>
      <c r="D1124" s="195">
        <v>400000.0</v>
      </c>
      <c r="E1124" s="544" t="s">
        <v>173</v>
      </c>
      <c r="F1124" s="546"/>
    </row>
    <row r="1125" ht="22.5" customHeight="1">
      <c r="A1125" s="49"/>
      <c r="C1125" s="192">
        <v>46262.0</v>
      </c>
      <c r="D1125" s="195">
        <v>470000.0</v>
      </c>
      <c r="E1125" s="544" t="s">
        <v>173</v>
      </c>
      <c r="F1125" s="546"/>
    </row>
    <row r="1126" ht="22.5" customHeight="1">
      <c r="A1126" s="49"/>
      <c r="C1126" s="192">
        <v>46262.0</v>
      </c>
      <c r="D1126" s="195">
        <v>550000.0</v>
      </c>
      <c r="E1126" s="544" t="s">
        <v>173</v>
      </c>
      <c r="F1126" s="546"/>
    </row>
    <row r="1127" ht="22.5" customHeight="1">
      <c r="A1127" s="49"/>
      <c r="C1127" s="192">
        <v>46262.0</v>
      </c>
      <c r="D1127" s="195">
        <v>1250000.0</v>
      </c>
      <c r="E1127" s="544" t="s">
        <v>133</v>
      </c>
      <c r="F1127" s="546"/>
    </row>
    <row r="1128" ht="22.5" customHeight="1">
      <c r="A1128" s="49"/>
      <c r="C1128" s="192">
        <v>46263.0</v>
      </c>
      <c r="D1128" s="195">
        <v>1280000.0</v>
      </c>
      <c r="E1128" s="544" t="s">
        <v>133</v>
      </c>
      <c r="F1128" s="546"/>
    </row>
    <row r="1129" ht="22.5" customHeight="1">
      <c r="A1129" s="49"/>
      <c r="C1129" s="192">
        <v>46263.0</v>
      </c>
      <c r="D1129" s="195">
        <v>2150000.0</v>
      </c>
      <c r="E1129" s="544" t="s">
        <v>133</v>
      </c>
      <c r="F1129" s="546"/>
    </row>
    <row r="1130" ht="22.5" customHeight="1">
      <c r="A1130" s="49"/>
      <c r="C1130" s="192">
        <v>46263.0</v>
      </c>
      <c r="D1130" s="195">
        <v>1740000.0</v>
      </c>
      <c r="E1130" s="544" t="s">
        <v>173</v>
      </c>
      <c r="F1130" s="546"/>
    </row>
    <row r="1131" ht="22.5" customHeight="1">
      <c r="A1131" s="49"/>
      <c r="C1131" s="192">
        <v>46264.0</v>
      </c>
      <c r="D1131" s="195">
        <v>395000.0</v>
      </c>
      <c r="E1131" s="544" t="s">
        <v>173</v>
      </c>
      <c r="F1131" s="546"/>
    </row>
    <row r="1132" ht="22.5" customHeight="1">
      <c r="A1132" s="49"/>
      <c r="C1132" s="192">
        <v>46265.0</v>
      </c>
      <c r="D1132" s="195">
        <v>800000.0</v>
      </c>
      <c r="E1132" s="544" t="s">
        <v>133</v>
      </c>
      <c r="F1132" s="546"/>
    </row>
    <row r="1133" ht="22.5" customHeight="1">
      <c r="A1133" s="49"/>
      <c r="C1133" s="192">
        <v>46265.0</v>
      </c>
      <c r="D1133" s="195">
        <v>5720000.0</v>
      </c>
      <c r="E1133" s="544" t="s">
        <v>133</v>
      </c>
      <c r="F1133" s="546"/>
    </row>
    <row r="1134" ht="22.5" customHeight="1">
      <c r="A1134" s="49"/>
      <c r="C1134" s="192">
        <v>46265.0</v>
      </c>
      <c r="D1134" s="195">
        <v>500000.0</v>
      </c>
      <c r="E1134" s="544" t="s">
        <v>173</v>
      </c>
      <c r="F1134" s="546"/>
    </row>
    <row r="1135" ht="22.5" customHeight="1">
      <c r="A1135" s="49"/>
      <c r="C1135" s="192">
        <v>46265.0</v>
      </c>
      <c r="D1135" s="195">
        <v>720000.0</v>
      </c>
      <c r="E1135" s="544" t="s">
        <v>173</v>
      </c>
      <c r="F1135" s="546"/>
    </row>
    <row r="1136" ht="22.5" customHeight="1">
      <c r="A1136" s="49"/>
      <c r="C1136" s="192">
        <v>46265.0</v>
      </c>
      <c r="D1136" s="195">
        <v>1280000.0</v>
      </c>
      <c r="E1136" s="544" t="s">
        <v>173</v>
      </c>
      <c r="F1136" s="546"/>
    </row>
    <row r="1137" ht="22.5" customHeight="1">
      <c r="A1137" s="49"/>
      <c r="C1137" s="192">
        <v>46265.0</v>
      </c>
      <c r="D1137" s="195">
        <v>400000.0</v>
      </c>
      <c r="E1137" s="544" t="s">
        <v>173</v>
      </c>
      <c r="F1137" s="546"/>
    </row>
    <row r="1138" ht="22.5" customHeight="1">
      <c r="A1138" s="49"/>
      <c r="C1138" s="192">
        <v>46265.0</v>
      </c>
      <c r="D1138" s="195">
        <v>2880000.0</v>
      </c>
      <c r="E1138" s="544" t="s">
        <v>173</v>
      </c>
      <c r="F1138" s="546"/>
    </row>
    <row r="1139" ht="22.5" customHeight="1">
      <c r="A1139" s="49"/>
      <c r="C1139" s="192">
        <v>46266.0</v>
      </c>
      <c r="D1139" s="195">
        <v>5000000.0</v>
      </c>
      <c r="E1139" s="544" t="s">
        <v>133</v>
      </c>
      <c r="F1139" s="546"/>
    </row>
    <row r="1140" ht="22.5" customHeight="1">
      <c r="A1140" s="49"/>
      <c r="C1140" s="192">
        <v>46266.0</v>
      </c>
      <c r="D1140" s="195">
        <v>1000000.0</v>
      </c>
      <c r="E1140" s="544" t="s">
        <v>133</v>
      </c>
      <c r="F1140" s="546"/>
    </row>
    <row r="1141" ht="22.5" customHeight="1">
      <c r="A1141" s="49"/>
      <c r="C1141" s="192">
        <v>46266.0</v>
      </c>
      <c r="D1141" s="195">
        <v>1800000.0</v>
      </c>
      <c r="E1141" s="544" t="s">
        <v>133</v>
      </c>
      <c r="F1141" s="546"/>
    </row>
    <row r="1142" ht="22.5" customHeight="1">
      <c r="A1142" s="49"/>
      <c r="C1142" s="192">
        <v>46266.0</v>
      </c>
      <c r="D1142" s="195">
        <v>1400000.0</v>
      </c>
      <c r="E1142" s="544" t="s">
        <v>133</v>
      </c>
      <c r="F1142" s="546"/>
    </row>
    <row r="1143" ht="22.5" customHeight="1">
      <c r="A1143" s="49"/>
      <c r="C1143" s="192">
        <v>46266.0</v>
      </c>
      <c r="D1143" s="195">
        <v>1160000.0</v>
      </c>
      <c r="E1143" s="544" t="s">
        <v>173</v>
      </c>
      <c r="F1143" s="546"/>
    </row>
    <row r="1144" ht="22.5" customHeight="1">
      <c r="A1144" s="49"/>
      <c r="C1144" s="192">
        <v>46266.0</v>
      </c>
      <c r="D1144" s="195">
        <v>10000.0</v>
      </c>
      <c r="E1144" s="544" t="s">
        <v>173</v>
      </c>
      <c r="F1144" s="546"/>
    </row>
    <row r="1145" ht="22.5" customHeight="1">
      <c r="A1145" s="49"/>
      <c r="C1145" s="192">
        <v>46266.0</v>
      </c>
      <c r="D1145" s="195">
        <v>200000.0</v>
      </c>
      <c r="E1145" s="544" t="s">
        <v>133</v>
      </c>
      <c r="F1145" s="546"/>
    </row>
    <row r="1146" ht="22.5" customHeight="1">
      <c r="A1146" s="49"/>
      <c r="C1146" s="192">
        <v>46267.0</v>
      </c>
      <c r="D1146" s="195">
        <v>15000.0</v>
      </c>
      <c r="E1146" s="544" t="s">
        <v>173</v>
      </c>
      <c r="F1146" s="546"/>
    </row>
    <row r="1147" ht="22.5" customHeight="1">
      <c r="A1147" s="49"/>
      <c r="C1147" s="192">
        <v>46267.0</v>
      </c>
      <c r="D1147" s="195">
        <v>1440000.0</v>
      </c>
      <c r="E1147" s="544" t="s">
        <v>173</v>
      </c>
      <c r="F1147" s="546"/>
    </row>
    <row r="1148" ht="22.5" customHeight="1">
      <c r="A1148" s="49"/>
      <c r="C1148" s="192">
        <v>46267.0</v>
      </c>
      <c r="D1148" s="195">
        <v>270000.0</v>
      </c>
      <c r="E1148" s="544" t="s">
        <v>173</v>
      </c>
      <c r="F1148" s="546"/>
    </row>
    <row r="1149" ht="22.5" customHeight="1">
      <c r="A1149" s="49"/>
      <c r="C1149" s="192">
        <v>46267.0</v>
      </c>
      <c r="D1149" s="195">
        <v>1400000.0</v>
      </c>
      <c r="E1149" s="544" t="s">
        <v>173</v>
      </c>
      <c r="F1149" s="546"/>
    </row>
    <row r="1150" ht="22.5" customHeight="1">
      <c r="A1150" s="49"/>
      <c r="C1150" s="192">
        <v>46267.0</v>
      </c>
      <c r="D1150" s="195">
        <v>1420000.0</v>
      </c>
      <c r="E1150" s="544" t="s">
        <v>133</v>
      </c>
      <c r="F1150" s="546"/>
    </row>
    <row r="1151" ht="22.5" customHeight="1">
      <c r="A1151" s="49"/>
      <c r="C1151" s="192">
        <v>46267.0</v>
      </c>
      <c r="D1151" s="195">
        <v>1340000.0</v>
      </c>
      <c r="E1151" s="544" t="s">
        <v>133</v>
      </c>
      <c r="F1151" s="546"/>
    </row>
    <row r="1152" ht="22.5" customHeight="1">
      <c r="A1152" s="49"/>
      <c r="C1152" s="192">
        <v>46267.0</v>
      </c>
      <c r="D1152" s="195">
        <v>2000000.0</v>
      </c>
      <c r="E1152" s="544" t="s">
        <v>133</v>
      </c>
      <c r="F1152" s="546"/>
    </row>
    <row r="1153" ht="22.5" customHeight="1">
      <c r="A1153" s="49"/>
      <c r="C1153" s="192">
        <v>46267.0</v>
      </c>
      <c r="D1153" s="195">
        <v>6130000.0</v>
      </c>
      <c r="E1153" s="544" t="s">
        <v>133</v>
      </c>
      <c r="F1153" s="546"/>
    </row>
    <row r="1154" ht="22.5" customHeight="1">
      <c r="A1154" s="49"/>
      <c r="C1154" s="192">
        <v>46268.0</v>
      </c>
      <c r="D1154" s="195">
        <v>1420000.0</v>
      </c>
      <c r="E1154" s="544" t="s">
        <v>133</v>
      </c>
      <c r="F1154" s="546"/>
    </row>
    <row r="1155" ht="22.5" customHeight="1">
      <c r="A1155" s="49"/>
      <c r="C1155" s="192">
        <v>46268.0</v>
      </c>
      <c r="D1155" s="195">
        <v>60000.0</v>
      </c>
      <c r="E1155" s="544" t="s">
        <v>173</v>
      </c>
      <c r="F1155" s="546"/>
    </row>
    <row r="1156" ht="22.5" customHeight="1">
      <c r="A1156" s="49"/>
      <c r="C1156" s="192">
        <v>46268.0</v>
      </c>
      <c r="D1156" s="195">
        <v>360000.0</v>
      </c>
      <c r="E1156" s="544" t="s">
        <v>173</v>
      </c>
      <c r="F1156" s="546"/>
    </row>
    <row r="1157" ht="22.5" customHeight="1">
      <c r="A1157" s="49"/>
      <c r="C1157" s="192">
        <v>46268.0</v>
      </c>
      <c r="D1157" s="195">
        <v>1400000.0</v>
      </c>
      <c r="E1157" s="544" t="s">
        <v>173</v>
      </c>
      <c r="F1157" s="546"/>
    </row>
    <row r="1158" ht="22.5" customHeight="1">
      <c r="A1158" s="49"/>
      <c r="C1158" s="192">
        <v>46268.0</v>
      </c>
      <c r="D1158" s="195">
        <v>1390000.0</v>
      </c>
      <c r="E1158" s="544" t="s">
        <v>133</v>
      </c>
      <c r="F1158" s="546"/>
    </row>
    <row r="1159" ht="22.5" customHeight="1">
      <c r="A1159" s="49"/>
      <c r="C1159" s="192">
        <v>46269.0</v>
      </c>
      <c r="D1159" s="195">
        <v>4720000.0</v>
      </c>
      <c r="E1159" s="544" t="s">
        <v>142</v>
      </c>
      <c r="F1159" s="546"/>
    </row>
    <row r="1160" ht="22.5" customHeight="1">
      <c r="A1160" s="49"/>
      <c r="C1160" s="192">
        <v>46269.0</v>
      </c>
      <c r="D1160" s="195">
        <v>500000.0</v>
      </c>
      <c r="E1160" s="544" t="s">
        <v>133</v>
      </c>
      <c r="F1160" s="546"/>
    </row>
    <row r="1161" ht="22.5" customHeight="1">
      <c r="A1161" s="49"/>
      <c r="C1161" s="192">
        <v>46269.0</v>
      </c>
      <c r="D1161" s="195">
        <v>395000.0</v>
      </c>
      <c r="E1161" s="544" t="s">
        <v>173</v>
      </c>
      <c r="F1161" s="546"/>
    </row>
    <row r="1162" ht="22.5" customHeight="1">
      <c r="A1162" s="49"/>
      <c r="C1162" s="192">
        <v>46269.0</v>
      </c>
      <c r="D1162" s="195">
        <v>1700000.0</v>
      </c>
      <c r="E1162" s="544" t="s">
        <v>173</v>
      </c>
      <c r="F1162" s="546"/>
    </row>
    <row r="1163" ht="22.5" customHeight="1">
      <c r="A1163" s="49"/>
      <c r="C1163" s="192">
        <v>46270.0</v>
      </c>
      <c r="D1163" s="195">
        <v>170000.0</v>
      </c>
      <c r="E1163" s="544" t="s">
        <v>173</v>
      </c>
      <c r="F1163" s="546"/>
    </row>
    <row r="1164" ht="22.5" customHeight="1">
      <c r="A1164" s="49"/>
      <c r="C1164" s="192">
        <v>46270.0</v>
      </c>
      <c r="D1164" s="195">
        <v>100000.0</v>
      </c>
      <c r="E1164" s="544" t="s">
        <v>173</v>
      </c>
      <c r="F1164" s="546"/>
    </row>
    <row r="1165" ht="22.5" customHeight="1">
      <c r="A1165" s="49"/>
      <c r="C1165" s="192">
        <v>46270.0</v>
      </c>
      <c r="D1165" s="195">
        <v>1700000.0</v>
      </c>
      <c r="E1165" s="544" t="s">
        <v>133</v>
      </c>
      <c r="F1165" s="546"/>
    </row>
    <row r="1166" ht="22.5" customHeight="1">
      <c r="A1166" s="49"/>
      <c r="C1166" s="192">
        <v>46270.0</v>
      </c>
      <c r="D1166" s="195">
        <v>1760000.0</v>
      </c>
      <c r="E1166" s="544" t="s">
        <v>133</v>
      </c>
      <c r="F1166" s="546"/>
    </row>
    <row r="1167" ht="22.5" customHeight="1">
      <c r="A1167" s="49"/>
      <c r="C1167" s="192">
        <v>46271.0</v>
      </c>
      <c r="D1167" s="195">
        <v>3400000.0</v>
      </c>
      <c r="E1167" s="544" t="s">
        <v>173</v>
      </c>
      <c r="F1167" s="546"/>
    </row>
    <row r="1168" ht="22.5" customHeight="1">
      <c r="A1168" s="49"/>
      <c r="C1168" s="192">
        <v>46271.0</v>
      </c>
      <c r="D1168" s="195">
        <v>1320000.0</v>
      </c>
      <c r="E1168" s="544" t="s">
        <v>133</v>
      </c>
      <c r="F1168" s="546"/>
    </row>
    <row r="1169" ht="22.5" customHeight="1">
      <c r="A1169" s="49"/>
      <c r="C1169" s="192">
        <v>46272.0</v>
      </c>
      <c r="D1169" s="195">
        <v>1000000.0</v>
      </c>
      <c r="E1169" s="544" t="s">
        <v>133</v>
      </c>
      <c r="F1169" s="546"/>
    </row>
    <row r="1170" ht="22.5" customHeight="1">
      <c r="A1170" s="49"/>
      <c r="C1170" s="192">
        <v>46272.0</v>
      </c>
      <c r="D1170" s="195">
        <v>1680000.0</v>
      </c>
      <c r="E1170" s="544" t="s">
        <v>173</v>
      </c>
      <c r="F1170" s="546"/>
    </row>
    <row r="1171" ht="22.5" customHeight="1">
      <c r="A1171" s="49"/>
      <c r="C1171" s="192">
        <v>46272.0</v>
      </c>
      <c r="D1171" s="195">
        <v>1560000.0</v>
      </c>
      <c r="E1171" s="544" t="s">
        <v>173</v>
      </c>
      <c r="F1171" s="546"/>
    </row>
    <row r="1172" ht="22.5" customHeight="1">
      <c r="A1172" s="49"/>
      <c r="C1172" s="192">
        <v>46272.0</v>
      </c>
      <c r="D1172" s="195">
        <v>2880000.0</v>
      </c>
      <c r="E1172" s="544" t="s">
        <v>133</v>
      </c>
      <c r="F1172" s="546"/>
    </row>
    <row r="1173" ht="22.5" customHeight="1">
      <c r="A1173" s="49"/>
      <c r="C1173" s="192">
        <v>46272.0</v>
      </c>
      <c r="D1173" s="195">
        <v>375000.0</v>
      </c>
      <c r="E1173" s="544" t="s">
        <v>173</v>
      </c>
      <c r="F1173" s="546"/>
    </row>
    <row r="1174" ht="22.5" customHeight="1">
      <c r="A1174" s="49"/>
      <c r="C1174" s="192">
        <v>46273.0</v>
      </c>
      <c r="D1174" s="195">
        <v>4500000.0</v>
      </c>
      <c r="E1174" s="544" t="s">
        <v>133</v>
      </c>
      <c r="F1174" s="546"/>
    </row>
    <row r="1175" ht="22.5" customHeight="1">
      <c r="A1175" s="49"/>
      <c r="C1175" s="192">
        <v>46273.0</v>
      </c>
      <c r="D1175" s="195">
        <v>10000.0</v>
      </c>
      <c r="E1175" s="544" t="s">
        <v>173</v>
      </c>
      <c r="F1175" s="546"/>
    </row>
    <row r="1176" ht="22.5" customHeight="1">
      <c r="A1176" s="49"/>
      <c r="C1176" s="192">
        <v>46273.0</v>
      </c>
      <c r="D1176" s="195">
        <v>520000.0</v>
      </c>
      <c r="E1176" s="544" t="s">
        <v>173</v>
      </c>
      <c r="F1176" s="546"/>
    </row>
    <row r="1177" ht="22.5" customHeight="1">
      <c r="A1177" s="49"/>
      <c r="C1177" s="192">
        <v>46273.0</v>
      </c>
      <c r="D1177" s="195">
        <v>80000.0</v>
      </c>
      <c r="E1177" s="544" t="s">
        <v>173</v>
      </c>
      <c r="F1177" s="546"/>
    </row>
    <row r="1178" ht="22.5" customHeight="1">
      <c r="A1178" s="49"/>
      <c r="C1178" s="192">
        <v>46274.0</v>
      </c>
      <c r="D1178" s="195">
        <v>750000.0</v>
      </c>
      <c r="E1178" s="544" t="s">
        <v>133</v>
      </c>
      <c r="F1178" s="546"/>
    </row>
    <row r="1179" ht="22.5" customHeight="1">
      <c r="A1179" s="49"/>
      <c r="C1179" s="192">
        <v>46274.0</v>
      </c>
      <c r="D1179" s="195">
        <v>1900000.0</v>
      </c>
      <c r="E1179" s="544" t="s">
        <v>133</v>
      </c>
      <c r="F1179" s="546"/>
    </row>
    <row r="1180" ht="22.5" customHeight="1">
      <c r="A1180" s="49"/>
      <c r="C1180" s="192">
        <v>46274.0</v>
      </c>
      <c r="D1180" s="195">
        <v>15000.0</v>
      </c>
      <c r="E1180" s="544" t="s">
        <v>133</v>
      </c>
      <c r="F1180" s="546"/>
    </row>
    <row r="1181" ht="22.5" customHeight="1">
      <c r="A1181" s="49"/>
      <c r="C1181" s="192">
        <v>46274.0</v>
      </c>
      <c r="D1181" s="195">
        <v>460000.0</v>
      </c>
      <c r="E1181" s="544" t="s">
        <v>173</v>
      </c>
      <c r="F1181" s="546"/>
    </row>
    <row r="1182" ht="22.5" customHeight="1">
      <c r="A1182" s="49"/>
      <c r="C1182" s="192">
        <v>46274.0</v>
      </c>
      <c r="D1182" s="195">
        <v>4360000.0</v>
      </c>
      <c r="E1182" s="544" t="s">
        <v>133</v>
      </c>
      <c r="F1182" s="546"/>
    </row>
    <row r="1183" ht="22.5" customHeight="1">
      <c r="A1183" s="49"/>
      <c r="C1183" s="192">
        <v>46274.0</v>
      </c>
      <c r="D1183" s="195">
        <v>30000.0</v>
      </c>
      <c r="E1183" s="544" t="s">
        <v>173</v>
      </c>
      <c r="F1183" s="546"/>
    </row>
    <row r="1184" ht="22.5" customHeight="1">
      <c r="A1184" s="49"/>
      <c r="C1184" s="192">
        <v>46274.0</v>
      </c>
      <c r="D1184" s="195">
        <v>10000.0</v>
      </c>
      <c r="E1184" s="544" t="s">
        <v>173</v>
      </c>
      <c r="F1184" s="546"/>
    </row>
    <row r="1185" ht="22.5" customHeight="1">
      <c r="A1185" s="49"/>
      <c r="C1185" s="192">
        <v>46274.0</v>
      </c>
      <c r="D1185" s="195">
        <v>1600000.0</v>
      </c>
      <c r="E1185" s="544" t="s">
        <v>133</v>
      </c>
      <c r="F1185" s="546"/>
    </row>
    <row r="1186" ht="22.5" customHeight="1">
      <c r="A1186" s="49"/>
      <c r="C1186" s="192">
        <v>46274.0</v>
      </c>
      <c r="D1186" s="195">
        <v>1980000.0</v>
      </c>
      <c r="E1186" s="544" t="s">
        <v>133</v>
      </c>
      <c r="F1186" s="546"/>
    </row>
    <row r="1187" ht="22.5" customHeight="1">
      <c r="A1187" s="49"/>
      <c r="C1187" s="192">
        <v>46274.0</v>
      </c>
      <c r="D1187" s="195">
        <v>8000.0</v>
      </c>
      <c r="E1187" s="544" t="s">
        <v>173</v>
      </c>
      <c r="F1187" s="546"/>
    </row>
    <row r="1188" ht="22.5" customHeight="1">
      <c r="A1188" s="49"/>
      <c r="C1188" s="192">
        <v>46275.0</v>
      </c>
      <c r="D1188" s="195">
        <v>1620000.0</v>
      </c>
      <c r="E1188" s="544" t="s">
        <v>173</v>
      </c>
      <c r="F1188" s="546"/>
    </row>
    <row r="1189" ht="22.5" customHeight="1">
      <c r="A1189" s="49"/>
      <c r="C1189" s="192">
        <v>46275.0</v>
      </c>
      <c r="D1189" s="195">
        <v>700000.0</v>
      </c>
      <c r="E1189" s="544" t="s">
        <v>173</v>
      </c>
      <c r="F1189" s="546"/>
    </row>
    <row r="1190" ht="22.5" customHeight="1">
      <c r="A1190" s="49"/>
      <c r="C1190" s="192">
        <v>46275.0</v>
      </c>
      <c r="D1190" s="195">
        <v>1400000.0</v>
      </c>
      <c r="E1190" s="544" t="s">
        <v>173</v>
      </c>
      <c r="F1190" s="546"/>
    </row>
    <row r="1191" ht="22.5" customHeight="1">
      <c r="A1191" s="49"/>
      <c r="C1191" s="192">
        <v>46275.0</v>
      </c>
      <c r="D1191" s="195">
        <v>4260000.0</v>
      </c>
      <c r="E1191" s="544" t="s">
        <v>173</v>
      </c>
      <c r="F1191" s="546"/>
    </row>
    <row r="1192" ht="22.5" customHeight="1">
      <c r="A1192" s="49"/>
      <c r="C1192" s="192">
        <v>46275.0</v>
      </c>
      <c r="D1192" s="195">
        <v>3730000.0</v>
      </c>
      <c r="E1192" s="544" t="s">
        <v>133</v>
      </c>
      <c r="F1192" s="546"/>
    </row>
    <row r="1193" ht="22.5" customHeight="1">
      <c r="A1193" s="49"/>
      <c r="C1193" s="192">
        <v>46275.0</v>
      </c>
      <c r="D1193" s="195">
        <v>1590000.0</v>
      </c>
      <c r="E1193" s="544" t="s">
        <v>133</v>
      </c>
      <c r="F1193" s="546"/>
    </row>
    <row r="1194" ht="22.5" customHeight="1">
      <c r="A1194" s="49"/>
      <c r="C1194" s="192">
        <v>46275.0</v>
      </c>
      <c r="D1194" s="195">
        <v>20000.0</v>
      </c>
      <c r="E1194" s="544" t="s">
        <v>173</v>
      </c>
      <c r="F1194" s="546"/>
    </row>
    <row r="1195" ht="22.5" customHeight="1">
      <c r="A1195" s="49"/>
      <c r="C1195" s="192">
        <v>46276.0</v>
      </c>
      <c r="D1195" s="195">
        <v>2740000.0</v>
      </c>
      <c r="E1195" s="544" t="s">
        <v>133</v>
      </c>
      <c r="F1195" s="546"/>
    </row>
    <row r="1196" ht="22.5" customHeight="1">
      <c r="A1196" s="49"/>
      <c r="C1196" s="192">
        <v>46276.0</v>
      </c>
      <c r="D1196" s="195">
        <v>1120000.0</v>
      </c>
      <c r="E1196" s="544" t="s">
        <v>182</v>
      </c>
      <c r="F1196" s="546"/>
    </row>
    <row r="1197" ht="22.5" customHeight="1">
      <c r="A1197" s="49"/>
      <c r="C1197" s="192">
        <v>46276.0</v>
      </c>
      <c r="D1197" s="195">
        <v>1325000.0</v>
      </c>
      <c r="E1197" s="544" t="s">
        <v>133</v>
      </c>
      <c r="F1197" s="546"/>
    </row>
    <row r="1198" ht="22.5" customHeight="1">
      <c r="A1198" s="49"/>
      <c r="C1198" s="192">
        <v>46277.0</v>
      </c>
      <c r="D1198" s="195">
        <v>800000.0</v>
      </c>
      <c r="E1198" s="544" t="s">
        <v>133</v>
      </c>
      <c r="F1198" s="546"/>
    </row>
    <row r="1199" ht="22.5" customHeight="1">
      <c r="A1199" s="49"/>
      <c r="C1199" s="192">
        <v>46277.0</v>
      </c>
      <c r="D1199" s="195">
        <v>385000.0</v>
      </c>
      <c r="E1199" s="544" t="s">
        <v>173</v>
      </c>
      <c r="F1199" s="546"/>
    </row>
    <row r="1200" ht="22.5" customHeight="1">
      <c r="A1200" s="49"/>
      <c r="C1200" s="192">
        <v>46277.0</v>
      </c>
      <c r="D1200" s="195">
        <v>2125000.0</v>
      </c>
      <c r="E1200" s="544" t="s">
        <v>133</v>
      </c>
      <c r="F1200" s="546"/>
    </row>
    <row r="1201" ht="22.5" customHeight="1">
      <c r="A1201" s="49"/>
      <c r="C1201" s="192">
        <v>46277.0</v>
      </c>
      <c r="D1201" s="195">
        <v>1760000.0</v>
      </c>
      <c r="E1201" s="544" t="s">
        <v>142</v>
      </c>
      <c r="F1201" s="546"/>
    </row>
    <row r="1202" ht="22.5" customHeight="1">
      <c r="A1202" s="49"/>
      <c r="C1202" s="192">
        <v>46279.0</v>
      </c>
      <c r="D1202" s="195">
        <v>350000.0</v>
      </c>
      <c r="E1202" s="544" t="s">
        <v>133</v>
      </c>
      <c r="F1202" s="546"/>
    </row>
    <row r="1203" ht="22.5" customHeight="1">
      <c r="A1203" s="49"/>
      <c r="C1203" s="192">
        <v>46279.0</v>
      </c>
      <c r="D1203" s="195">
        <v>1400000.0</v>
      </c>
      <c r="E1203" s="544" t="s">
        <v>173</v>
      </c>
      <c r="F1203" s="546"/>
    </row>
    <row r="1204" ht="22.5" customHeight="1">
      <c r="A1204" s="49"/>
      <c r="C1204" s="192">
        <v>46279.0</v>
      </c>
      <c r="D1204" s="195">
        <v>410000.0</v>
      </c>
      <c r="E1204" s="544" t="s">
        <v>173</v>
      </c>
      <c r="F1204" s="546"/>
    </row>
    <row r="1205" ht="22.5" customHeight="1">
      <c r="A1205" s="49"/>
      <c r="C1205" s="192">
        <v>46279.0</v>
      </c>
      <c r="D1205" s="195">
        <v>520000.0</v>
      </c>
      <c r="E1205" s="544" t="s">
        <v>173</v>
      </c>
      <c r="F1205" s="546"/>
    </row>
    <row r="1206" ht="22.5" customHeight="1">
      <c r="A1206" s="49"/>
      <c r="C1206" s="192">
        <v>46279.0</v>
      </c>
      <c r="D1206" s="195">
        <v>90000.0</v>
      </c>
      <c r="E1206" s="544" t="s">
        <v>173</v>
      </c>
      <c r="F1206" s="546"/>
    </row>
    <row r="1207" ht="22.5" customHeight="1">
      <c r="A1207" s="49"/>
      <c r="C1207" s="192">
        <v>46280.0</v>
      </c>
      <c r="D1207" s="195">
        <v>700000.0</v>
      </c>
      <c r="E1207" s="544" t="s">
        <v>133</v>
      </c>
      <c r="F1207" s="546"/>
    </row>
    <row r="1208" ht="22.5" customHeight="1">
      <c r="A1208" s="49"/>
      <c r="C1208" s="192">
        <v>46280.0</v>
      </c>
      <c r="D1208" s="195">
        <v>700000.0</v>
      </c>
      <c r="E1208" s="544" t="s">
        <v>133</v>
      </c>
      <c r="F1208" s="546"/>
    </row>
    <row r="1209" ht="22.5" customHeight="1">
      <c r="A1209" s="49"/>
      <c r="C1209" s="192">
        <v>46280.0</v>
      </c>
      <c r="D1209" s="195">
        <v>300000.0</v>
      </c>
      <c r="E1209" s="544" t="s">
        <v>173</v>
      </c>
      <c r="F1209" s="546"/>
    </row>
    <row r="1210" ht="22.5" customHeight="1">
      <c r="A1210" s="49"/>
      <c r="C1210" s="192">
        <v>46281.0</v>
      </c>
      <c r="D1210" s="195">
        <v>1440000.0</v>
      </c>
      <c r="E1210" s="544" t="s">
        <v>133</v>
      </c>
      <c r="F1210" s="546"/>
    </row>
    <row r="1211" ht="22.5" customHeight="1">
      <c r="A1211" s="49"/>
      <c r="C1211" s="192">
        <v>46281.0</v>
      </c>
      <c r="D1211" s="195">
        <v>15000.0</v>
      </c>
      <c r="E1211" s="544" t="s">
        <v>173</v>
      </c>
      <c r="F1211" s="546"/>
    </row>
    <row r="1212" ht="22.5" customHeight="1">
      <c r="A1212" s="49"/>
      <c r="C1212" s="192">
        <v>46281.0</v>
      </c>
      <c r="D1212" s="195">
        <v>600000.0</v>
      </c>
      <c r="E1212" s="544" t="s">
        <v>173</v>
      </c>
      <c r="F1212" s="546"/>
    </row>
    <row r="1213" ht="22.5" customHeight="1">
      <c r="A1213" s="49"/>
      <c r="C1213" s="192">
        <v>46281.0</v>
      </c>
      <c r="D1213" s="195">
        <v>950000.0</v>
      </c>
      <c r="E1213" s="544" t="s">
        <v>133</v>
      </c>
      <c r="F1213" s="546"/>
    </row>
    <row r="1214" ht="22.5" customHeight="1">
      <c r="A1214" s="49"/>
      <c r="C1214" s="192">
        <v>46281.0</v>
      </c>
      <c r="D1214" s="195">
        <v>200000.0</v>
      </c>
      <c r="E1214" s="544" t="s">
        <v>133</v>
      </c>
      <c r="F1214" s="546"/>
    </row>
    <row r="1215" ht="22.5" customHeight="1">
      <c r="A1215" s="49"/>
      <c r="C1215" s="192">
        <v>46281.0</v>
      </c>
      <c r="D1215" s="195">
        <v>980000.0</v>
      </c>
      <c r="E1215" s="544" t="s">
        <v>173</v>
      </c>
      <c r="F1215" s="546"/>
    </row>
    <row r="1216" ht="22.5" customHeight="1">
      <c r="A1216" s="49"/>
      <c r="C1216" s="192">
        <v>46282.0</v>
      </c>
      <c r="D1216" s="195">
        <v>15000.0</v>
      </c>
      <c r="E1216" s="544" t="s">
        <v>173</v>
      </c>
      <c r="F1216" s="546"/>
    </row>
    <row r="1217" ht="22.5" customHeight="1">
      <c r="A1217" s="49"/>
      <c r="C1217" s="192">
        <v>46282.0</v>
      </c>
      <c r="D1217" s="195">
        <v>1300000.0</v>
      </c>
      <c r="E1217" s="544" t="s">
        <v>173</v>
      </c>
      <c r="F1217" s="546"/>
    </row>
    <row r="1218" ht="22.5" customHeight="1">
      <c r="A1218" s="49"/>
      <c r="C1218" s="192">
        <v>46282.0</v>
      </c>
      <c r="D1218" s="195">
        <v>15000.0</v>
      </c>
      <c r="E1218" s="544" t="s">
        <v>173</v>
      </c>
      <c r="F1218" s="546"/>
    </row>
    <row r="1219" ht="22.5" customHeight="1">
      <c r="A1219" s="49"/>
      <c r="C1219" s="192">
        <v>46282.0</v>
      </c>
      <c r="D1219" s="195">
        <v>3890000.0</v>
      </c>
      <c r="E1219" s="544" t="s">
        <v>133</v>
      </c>
      <c r="F1219" s="546"/>
    </row>
    <row r="1220" ht="22.5" customHeight="1">
      <c r="A1220" s="49"/>
      <c r="C1220" s="192">
        <v>46282.0</v>
      </c>
      <c r="D1220" s="195">
        <v>4080000.0</v>
      </c>
      <c r="E1220" s="544" t="s">
        <v>133</v>
      </c>
      <c r="F1220" s="546"/>
    </row>
    <row r="1221" ht="22.5" customHeight="1">
      <c r="A1221" s="49"/>
      <c r="C1221" s="192">
        <v>46282.0</v>
      </c>
      <c r="D1221" s="195">
        <v>1445000.0</v>
      </c>
      <c r="E1221" s="544" t="s">
        <v>173</v>
      </c>
      <c r="F1221" s="546"/>
    </row>
    <row r="1222" ht="22.5" customHeight="1">
      <c r="A1222" s="49"/>
      <c r="C1222" s="192">
        <v>46282.0</v>
      </c>
      <c r="D1222" s="195">
        <v>800000.0</v>
      </c>
      <c r="E1222" s="544" t="s">
        <v>173</v>
      </c>
      <c r="F1222" s="546"/>
    </row>
    <row r="1223" ht="22.5" customHeight="1">
      <c r="A1223" s="49"/>
      <c r="C1223" s="192">
        <v>46282.0</v>
      </c>
      <c r="D1223" s="195">
        <v>880000.0</v>
      </c>
      <c r="E1223" s="544" t="s">
        <v>173</v>
      </c>
      <c r="F1223" s="546"/>
    </row>
    <row r="1224" ht="22.5" customHeight="1">
      <c r="A1224" s="49"/>
      <c r="C1224" s="192">
        <v>46283.0</v>
      </c>
      <c r="D1224" s="195">
        <v>3200000.0</v>
      </c>
      <c r="E1224" s="544" t="s">
        <v>133</v>
      </c>
      <c r="F1224" s="546"/>
    </row>
    <row r="1225" ht="22.5" customHeight="1">
      <c r="A1225" s="49"/>
      <c r="C1225" s="192">
        <v>46283.0</v>
      </c>
      <c r="D1225" s="195">
        <v>1935000.0</v>
      </c>
      <c r="E1225" s="544" t="s">
        <v>133</v>
      </c>
      <c r="F1225" s="546"/>
    </row>
    <row r="1226" ht="22.5" customHeight="1">
      <c r="A1226" s="49"/>
      <c r="C1226" s="192">
        <v>46283.0</v>
      </c>
      <c r="D1226" s="195">
        <v>2000000.0</v>
      </c>
      <c r="E1226" s="544" t="s">
        <v>173</v>
      </c>
      <c r="F1226" s="546"/>
    </row>
    <row r="1227" ht="22.5" customHeight="1">
      <c r="A1227" s="49"/>
      <c r="C1227" s="192">
        <v>46283.0</v>
      </c>
      <c r="D1227" s="195">
        <v>700000.0</v>
      </c>
      <c r="E1227" s="544" t="s">
        <v>133</v>
      </c>
      <c r="F1227" s="546"/>
    </row>
    <row r="1228" ht="22.5" customHeight="1">
      <c r="A1228" s="49"/>
      <c r="C1228" s="192">
        <v>46284.0</v>
      </c>
      <c r="D1228" s="195">
        <v>1.165E7</v>
      </c>
      <c r="E1228" s="544" t="s">
        <v>133</v>
      </c>
      <c r="F1228" s="546"/>
    </row>
    <row r="1229" ht="22.5" customHeight="1">
      <c r="A1229" s="49"/>
      <c r="C1229" s="192">
        <v>46284.0</v>
      </c>
      <c r="D1229" s="195">
        <v>210000.0</v>
      </c>
      <c r="E1229" s="544" t="s">
        <v>173</v>
      </c>
      <c r="F1229" s="546"/>
    </row>
    <row r="1230" ht="22.5" customHeight="1">
      <c r="A1230" s="49"/>
      <c r="C1230" s="192">
        <v>46284.0</v>
      </c>
      <c r="D1230" s="195">
        <v>570000.0</v>
      </c>
      <c r="E1230" s="544" t="s">
        <v>173</v>
      </c>
      <c r="F1230" s="546"/>
    </row>
    <row r="1231" ht="22.5" customHeight="1">
      <c r="A1231" s="49"/>
      <c r="C1231" s="192">
        <v>46284.0</v>
      </c>
      <c r="D1231" s="195">
        <v>470000.0</v>
      </c>
      <c r="E1231" s="544" t="s">
        <v>173</v>
      </c>
      <c r="F1231" s="546"/>
    </row>
    <row r="1232" ht="22.5" customHeight="1">
      <c r="A1232" s="49"/>
      <c r="C1232" s="192">
        <v>46284.0</v>
      </c>
      <c r="D1232" s="195">
        <v>790000.0</v>
      </c>
      <c r="E1232" s="544" t="s">
        <v>173</v>
      </c>
      <c r="F1232" s="546"/>
    </row>
    <row r="1233" ht="22.5" customHeight="1">
      <c r="A1233" s="49"/>
      <c r="C1233" s="192">
        <v>46285.0</v>
      </c>
      <c r="D1233" s="195">
        <v>100000.0</v>
      </c>
      <c r="E1233" s="544" t="s">
        <v>133</v>
      </c>
      <c r="F1233" s="546"/>
    </row>
    <row r="1234" ht="22.5" customHeight="1">
      <c r="A1234" s="49"/>
      <c r="C1234" s="192">
        <v>46285.0</v>
      </c>
      <c r="D1234" s="195">
        <v>385000.0</v>
      </c>
      <c r="E1234" s="544" t="s">
        <v>133</v>
      </c>
      <c r="F1234" s="546"/>
    </row>
    <row r="1235" ht="22.5" customHeight="1">
      <c r="A1235" s="49"/>
      <c r="C1235" s="192">
        <v>46285.0</v>
      </c>
      <c r="D1235" s="195">
        <v>725000.0</v>
      </c>
      <c r="E1235" s="544" t="s">
        <v>173</v>
      </c>
      <c r="F1235" s="546"/>
    </row>
    <row r="1236" ht="22.5" customHeight="1">
      <c r="A1236" s="49"/>
      <c r="C1236" s="192">
        <v>46286.0</v>
      </c>
      <c r="D1236" s="195">
        <v>1870000.0</v>
      </c>
      <c r="E1236" s="544" t="s">
        <v>133</v>
      </c>
      <c r="F1236" s="546"/>
    </row>
    <row r="1237" ht="22.5" customHeight="1">
      <c r="A1237" s="49"/>
      <c r="C1237" s="192">
        <v>46286.0</v>
      </c>
      <c r="D1237" s="195">
        <v>1400000.0</v>
      </c>
      <c r="E1237" s="544" t="s">
        <v>173</v>
      </c>
      <c r="F1237" s="546"/>
    </row>
    <row r="1238" ht="22.5" customHeight="1">
      <c r="A1238" s="49"/>
      <c r="C1238" s="192">
        <v>46286.0</v>
      </c>
      <c r="D1238" s="195">
        <v>150000.0</v>
      </c>
      <c r="E1238" s="544" t="s">
        <v>173</v>
      </c>
      <c r="F1238" s="546"/>
    </row>
    <row r="1239" ht="22.5" customHeight="1">
      <c r="A1239" s="49"/>
      <c r="C1239" s="192">
        <v>46286.0</v>
      </c>
      <c r="D1239" s="195">
        <v>1320000.0</v>
      </c>
      <c r="E1239" s="544" t="s">
        <v>173</v>
      </c>
      <c r="F1239" s="546"/>
    </row>
    <row r="1240" ht="22.5" customHeight="1">
      <c r="A1240" s="49"/>
      <c r="C1240" s="192">
        <v>46286.0</v>
      </c>
      <c r="D1240" s="195">
        <v>920000.0</v>
      </c>
      <c r="E1240" s="544" t="s">
        <v>173</v>
      </c>
      <c r="F1240" s="546"/>
    </row>
    <row r="1241" ht="22.5" customHeight="1">
      <c r="A1241" s="49"/>
      <c r="C1241" s="192">
        <v>46284.0</v>
      </c>
      <c r="D1241" s="195">
        <v>3520000.0</v>
      </c>
      <c r="E1241" s="544" t="s">
        <v>142</v>
      </c>
      <c r="F1241" s="546"/>
    </row>
    <row r="1242" ht="22.5" customHeight="1">
      <c r="A1242" s="49"/>
      <c r="C1242" s="192">
        <v>46288.0</v>
      </c>
      <c r="D1242" s="195">
        <v>15000.0</v>
      </c>
      <c r="E1242" s="544" t="s">
        <v>173</v>
      </c>
      <c r="F1242" s="546"/>
    </row>
    <row r="1243" ht="22.5" customHeight="1">
      <c r="A1243" s="49"/>
      <c r="C1243" s="192">
        <v>46288.0</v>
      </c>
      <c r="D1243" s="195">
        <v>530000.0</v>
      </c>
      <c r="E1243" s="544" t="s">
        <v>173</v>
      </c>
      <c r="F1243" s="546"/>
    </row>
    <row r="1244" ht="22.5" customHeight="1">
      <c r="A1244" s="49"/>
      <c r="C1244" s="192">
        <v>46289.0</v>
      </c>
      <c r="D1244" s="195">
        <v>25000.0</v>
      </c>
      <c r="E1244" s="544" t="s">
        <v>173</v>
      </c>
      <c r="F1244" s="546"/>
    </row>
    <row r="1245" ht="22.5" customHeight="1">
      <c r="A1245" s="49"/>
      <c r="C1245" s="192">
        <v>46289.0</v>
      </c>
      <c r="D1245" s="195">
        <v>15000.0</v>
      </c>
      <c r="E1245" s="544" t="s">
        <v>173</v>
      </c>
      <c r="F1245" s="546"/>
    </row>
    <row r="1246" ht="22.5" customHeight="1">
      <c r="A1246" s="49"/>
      <c r="C1246" s="192">
        <v>46289.0</v>
      </c>
      <c r="D1246" s="195">
        <v>45000.0</v>
      </c>
      <c r="E1246" s="544" t="s">
        <v>173</v>
      </c>
      <c r="F1246" s="546"/>
    </row>
    <row r="1247" ht="22.5" customHeight="1">
      <c r="A1247" s="49"/>
      <c r="C1247" s="192">
        <v>46289.0</v>
      </c>
      <c r="D1247" s="195">
        <v>4800000.0</v>
      </c>
      <c r="E1247" s="544" t="s">
        <v>173</v>
      </c>
      <c r="F1247" s="546"/>
    </row>
    <row r="1248" ht="22.5" customHeight="1">
      <c r="A1248" s="49"/>
      <c r="C1248" s="192">
        <v>46289.0</v>
      </c>
      <c r="D1248" s="195">
        <v>1650000.0</v>
      </c>
      <c r="E1248" s="544" t="s">
        <v>173</v>
      </c>
      <c r="F1248" s="546"/>
    </row>
    <row r="1249" ht="22.5" customHeight="1">
      <c r="A1249" s="49"/>
      <c r="C1249" s="192">
        <v>46290.0</v>
      </c>
      <c r="D1249" s="195">
        <v>320000.0</v>
      </c>
      <c r="E1249" s="544" t="s">
        <v>133</v>
      </c>
      <c r="F1249" s="546"/>
    </row>
    <row r="1250" ht="22.5" customHeight="1">
      <c r="A1250" s="49"/>
      <c r="C1250" s="192">
        <v>46290.0</v>
      </c>
      <c r="D1250" s="195">
        <v>29000.0</v>
      </c>
      <c r="E1250" s="544" t="s">
        <v>173</v>
      </c>
      <c r="F1250" s="546"/>
    </row>
    <row r="1251" ht="22.5" customHeight="1">
      <c r="A1251" s="49"/>
      <c r="C1251" s="192">
        <v>46290.0</v>
      </c>
      <c r="D1251" s="195">
        <v>2920000.0</v>
      </c>
      <c r="E1251" s="544" t="s">
        <v>133</v>
      </c>
      <c r="F1251" s="546"/>
    </row>
    <row r="1252" ht="22.5" customHeight="1">
      <c r="A1252" s="49"/>
      <c r="C1252" s="192">
        <v>46290.0</v>
      </c>
      <c r="D1252" s="195">
        <v>1178000.0</v>
      </c>
      <c r="E1252" s="544" t="s">
        <v>173</v>
      </c>
      <c r="F1252" s="546"/>
    </row>
  </sheetData>
  <dataValidations>
    <dataValidation type="list" allowBlank="1" sqref="E2:E2016">
      <formula1>"BCA,BRI,BNI,DANAMON,EDC,QRIS"</formula1>
    </dataValidation>
    <dataValidation type="custom" allowBlank="1" showDropDown="1" sqref="D2:D2016">
      <formula1>AND(ISNUMBER(D2),(NOT(OR(NOT(ISERROR(DATEVALUE(D2))), AND(ISNUMBER(D2), LEFT(CELL("format", D2))="D")))))</formula1>
    </dataValidation>
  </dataValidations>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0"/>
    <col customWidth="1" min="2" max="2" width="2.13"/>
    <col customWidth="1" min="3" max="3" width="12.25"/>
    <col customWidth="1" min="4" max="4" width="18.75"/>
    <col customWidth="1" min="5" max="5" width="31.13"/>
    <col customWidth="1" min="6" max="6" width="15.63"/>
    <col customWidth="1" min="7" max="7" width="14.38"/>
    <col customWidth="1" min="8" max="8" width="2.88"/>
    <col customWidth="1" min="9" max="9" width="7.88"/>
    <col customWidth="1" min="10" max="10" width="9.88"/>
    <col customWidth="1" min="11" max="11" width="30.75"/>
    <col customWidth="1" min="12" max="12" width="14.38"/>
    <col customWidth="1" min="13" max="13" width="9.88"/>
    <col customWidth="1" min="14" max="14" width="15.5"/>
    <col customWidth="1" min="15" max="15" width="10.13"/>
    <col customWidth="1" min="16" max="16" width="12.25"/>
    <col customWidth="1" min="17" max="17" width="12.13"/>
    <col customWidth="1" min="18" max="18" width="9.88"/>
    <col customWidth="1" min="19" max="19" width="7.75"/>
    <col customWidth="1" min="20" max="20" width="3.25"/>
    <col customWidth="1" min="22" max="22" width="23.88"/>
    <col customWidth="1" min="23" max="23" width="3.25"/>
    <col customWidth="1" min="24" max="24" width="2.5"/>
  </cols>
  <sheetData>
    <row r="1" ht="15.75" customHeight="1">
      <c r="A1" s="39"/>
      <c r="B1" s="2"/>
      <c r="C1" s="62" t="s">
        <v>233</v>
      </c>
      <c r="D1" s="62" t="s">
        <v>2632</v>
      </c>
      <c r="E1" s="62" t="s">
        <v>232</v>
      </c>
      <c r="F1" s="66" t="s">
        <v>2335</v>
      </c>
      <c r="G1" s="66" t="s">
        <v>2633</v>
      </c>
      <c r="H1" s="2">
        <f>COUNTA(C:C)</f>
        <v>705</v>
      </c>
      <c r="I1" s="8"/>
      <c r="J1" s="9"/>
      <c r="K1" s="611"/>
      <c r="L1" s="612"/>
      <c r="M1" s="613"/>
      <c r="N1" s="495"/>
      <c r="O1" s="497"/>
      <c r="P1" s="495"/>
      <c r="Q1" s="135"/>
      <c r="R1" s="3"/>
      <c r="S1" s="3"/>
      <c r="U1" s="2"/>
      <c r="V1" s="2"/>
      <c r="W1" s="2"/>
      <c r="X1" s="2"/>
      <c r="Y1" s="2"/>
    </row>
    <row r="2" ht="15.75" customHeight="1">
      <c r="A2" s="39"/>
      <c r="C2" s="589">
        <f t="shared" ref="C2:C3" si="1">D2+14</f>
        <v>45679</v>
      </c>
      <c r="D2" s="614">
        <v>45665.0</v>
      </c>
      <c r="E2" s="281" t="s">
        <v>74</v>
      </c>
      <c r="F2" s="615">
        <v>3320000.0</v>
      </c>
      <c r="G2" s="616">
        <v>450000.0</v>
      </c>
      <c r="H2" s="9"/>
      <c r="I2" s="8"/>
      <c r="J2" s="9"/>
      <c r="O2" s="621"/>
      <c r="P2" s="622"/>
      <c r="Q2" s="623" t="s">
        <v>2635</v>
      </c>
      <c r="R2" s="2"/>
      <c r="S2" s="80"/>
      <c r="T2" s="2"/>
      <c r="U2" s="2"/>
      <c r="V2" s="2"/>
      <c r="W2" s="2"/>
      <c r="X2" s="2"/>
      <c r="Y2" s="2"/>
    </row>
    <row r="3" ht="15.75" customHeight="1">
      <c r="A3" s="49"/>
      <c r="C3" s="589">
        <f t="shared" si="1"/>
        <v>45685</v>
      </c>
      <c r="D3" s="614">
        <v>45671.0</v>
      </c>
      <c r="E3" s="281" t="s">
        <v>74</v>
      </c>
      <c r="F3" s="615">
        <v>3320000.0</v>
      </c>
      <c r="G3" s="616">
        <v>450000.0</v>
      </c>
      <c r="H3" s="9"/>
      <c r="I3" s="8"/>
      <c r="J3" s="9"/>
      <c r="O3" s="497"/>
      <c r="P3" s="495"/>
      <c r="Q3" s="135"/>
      <c r="R3" s="2"/>
      <c r="S3" s="80"/>
    </row>
    <row r="4" ht="15.75" customHeight="1">
      <c r="A4" s="49"/>
      <c r="C4" s="589">
        <f t="shared" ref="C4:C15" si="2">D4+30</f>
        <v>45689</v>
      </c>
      <c r="D4" s="589">
        <v>45659.0</v>
      </c>
      <c r="E4" s="281" t="s">
        <v>193</v>
      </c>
      <c r="F4" s="616">
        <v>360000.0</v>
      </c>
      <c r="G4" s="616">
        <v>115000.0</v>
      </c>
      <c r="H4" s="9"/>
      <c r="I4" s="8"/>
      <c r="J4" s="9"/>
      <c r="O4" s="497">
        <f t="shared" ref="O4:O405" si="3">SUMIFS(F:F,E:E,K4,D:D,L4)</f>
        <v>3320000</v>
      </c>
      <c r="P4" s="495" t="str">
        <f t="shared" ref="P4:P1002" si="4">IF(N4=O4,"LUNAS", "BELUM LUNAS")</f>
        <v>LUNAS</v>
      </c>
      <c r="Q4" s="135">
        <f t="shared" ref="Q4:Q1002" si="5">N4-O4</f>
        <v>0</v>
      </c>
      <c r="R4" s="2"/>
      <c r="S4" s="80"/>
      <c r="T4" s="2"/>
      <c r="U4" s="2"/>
      <c r="V4" s="2"/>
      <c r="W4" s="2"/>
    </row>
    <row r="5" ht="15.75" customHeight="1">
      <c r="A5" s="49"/>
      <c r="C5" s="624">
        <f t="shared" si="2"/>
        <v>45689</v>
      </c>
      <c r="D5" s="625">
        <v>45659.0</v>
      </c>
      <c r="E5" s="626" t="s">
        <v>709</v>
      </c>
      <c r="F5" s="616">
        <v>3260000.0</v>
      </c>
      <c r="G5" s="616">
        <v>360000.0</v>
      </c>
      <c r="H5" s="9"/>
      <c r="I5" s="8"/>
      <c r="J5" s="9"/>
      <c r="O5" s="497">
        <f t="shared" si="3"/>
        <v>3320000</v>
      </c>
      <c r="P5" s="495" t="str">
        <f t="shared" si="4"/>
        <v>LUNAS</v>
      </c>
      <c r="Q5" s="135">
        <f t="shared" si="5"/>
        <v>0</v>
      </c>
      <c r="R5" s="2"/>
      <c r="S5" s="80"/>
    </row>
    <row r="6" ht="15.75" customHeight="1">
      <c r="A6" s="49"/>
      <c r="C6" s="627">
        <f t="shared" si="2"/>
        <v>45690</v>
      </c>
      <c r="D6" s="614">
        <v>45660.0</v>
      </c>
      <c r="E6" s="628" t="s">
        <v>735</v>
      </c>
      <c r="F6" s="616">
        <v>1685000.0</v>
      </c>
      <c r="G6" s="616">
        <v>185000.0</v>
      </c>
      <c r="H6" s="9"/>
      <c r="I6" s="8"/>
      <c r="J6" s="9"/>
      <c r="O6" s="497">
        <f t="shared" si="3"/>
        <v>3420000</v>
      </c>
      <c r="P6" s="495" t="str">
        <f t="shared" si="4"/>
        <v>LUNAS</v>
      </c>
      <c r="Q6" s="135">
        <f t="shared" si="5"/>
        <v>0</v>
      </c>
      <c r="S6" s="101"/>
      <c r="U6" s="2"/>
    </row>
    <row r="7" ht="15.75" customHeight="1">
      <c r="A7" s="49"/>
      <c r="C7" s="589">
        <f t="shared" si="2"/>
        <v>45694</v>
      </c>
      <c r="D7" s="589">
        <v>45664.0</v>
      </c>
      <c r="E7" s="281" t="s">
        <v>144</v>
      </c>
      <c r="F7" s="616">
        <v>1685000.0</v>
      </c>
      <c r="G7" s="616">
        <v>205000.0</v>
      </c>
      <c r="H7" s="9"/>
      <c r="I7" s="8"/>
      <c r="J7" s="9"/>
      <c r="O7" s="497">
        <f t="shared" si="3"/>
        <v>3420000</v>
      </c>
      <c r="P7" s="495" t="str">
        <f t="shared" si="4"/>
        <v>LUNAS</v>
      </c>
      <c r="Q7" s="135">
        <f t="shared" si="5"/>
        <v>0</v>
      </c>
      <c r="S7" s="101"/>
    </row>
    <row r="8" ht="15.75" customHeight="1">
      <c r="A8" s="49"/>
      <c r="C8" s="629">
        <f t="shared" si="2"/>
        <v>45694</v>
      </c>
      <c r="D8" s="589">
        <v>45664.0</v>
      </c>
      <c r="E8" s="281" t="s">
        <v>919</v>
      </c>
      <c r="F8" s="616">
        <v>3000000.0</v>
      </c>
      <c r="G8" s="616">
        <v>550000.0</v>
      </c>
      <c r="H8" s="9"/>
      <c r="I8" s="8"/>
      <c r="J8" s="9"/>
      <c r="O8" s="497">
        <f t="shared" si="3"/>
        <v>3160000</v>
      </c>
      <c r="P8" s="495" t="str">
        <f t="shared" si="4"/>
        <v>LUNAS</v>
      </c>
      <c r="Q8" s="135">
        <f t="shared" si="5"/>
        <v>0</v>
      </c>
      <c r="S8" s="101"/>
    </row>
    <row r="9" ht="15.75" customHeight="1">
      <c r="A9" s="49"/>
      <c r="C9" s="624">
        <f t="shared" si="2"/>
        <v>45694</v>
      </c>
      <c r="D9" s="625">
        <v>45664.0</v>
      </c>
      <c r="E9" s="628" t="s">
        <v>651</v>
      </c>
      <c r="F9" s="616">
        <v>4300000.0</v>
      </c>
      <c r="G9" s="616">
        <v>400000.0</v>
      </c>
      <c r="H9" s="9"/>
      <c r="I9" s="8"/>
      <c r="J9" s="9"/>
      <c r="O9" s="497">
        <f t="shared" si="3"/>
        <v>3090000</v>
      </c>
      <c r="P9" s="495" t="str">
        <f t="shared" si="4"/>
        <v>LUNAS</v>
      </c>
      <c r="Q9" s="135">
        <f t="shared" si="5"/>
        <v>0</v>
      </c>
      <c r="S9" s="101"/>
    </row>
    <row r="10" ht="15.75" customHeight="1">
      <c r="A10" s="49"/>
      <c r="C10" s="624">
        <f t="shared" si="2"/>
        <v>45695</v>
      </c>
      <c r="D10" s="625">
        <v>45665.0</v>
      </c>
      <c r="E10" s="626" t="s">
        <v>810</v>
      </c>
      <c r="F10" s="616">
        <v>1685000.0</v>
      </c>
      <c r="G10" s="616">
        <v>185000.0</v>
      </c>
      <c r="H10" s="9"/>
      <c r="I10" s="8"/>
      <c r="J10" s="9"/>
      <c r="O10" s="497">
        <f t="shared" si="3"/>
        <v>1770000</v>
      </c>
      <c r="P10" s="495" t="str">
        <f t="shared" si="4"/>
        <v>LUNAS</v>
      </c>
      <c r="Q10" s="135">
        <f t="shared" si="5"/>
        <v>0</v>
      </c>
      <c r="S10" s="101"/>
    </row>
    <row r="11" ht="15.75" customHeight="1">
      <c r="A11" s="49"/>
      <c r="C11" s="624">
        <f t="shared" si="2"/>
        <v>45695</v>
      </c>
      <c r="D11" s="630">
        <v>45665.0</v>
      </c>
      <c r="E11" s="631" t="s">
        <v>810</v>
      </c>
      <c r="F11" s="616">
        <v>250000.0</v>
      </c>
      <c r="G11" s="616">
        <v>50000.0</v>
      </c>
      <c r="H11" s="9"/>
      <c r="I11" s="8"/>
      <c r="J11" s="9"/>
      <c r="O11" s="497">
        <f t="shared" si="3"/>
        <v>3110000</v>
      </c>
      <c r="P11" s="495" t="str">
        <f t="shared" si="4"/>
        <v>LUNAS</v>
      </c>
      <c r="Q11" s="135">
        <f t="shared" si="5"/>
        <v>0</v>
      </c>
      <c r="S11" s="101"/>
    </row>
    <row r="12" ht="15.75" customHeight="1">
      <c r="A12" s="49"/>
      <c r="C12" s="624">
        <f t="shared" si="2"/>
        <v>45695</v>
      </c>
      <c r="D12" s="625">
        <v>45665.0</v>
      </c>
      <c r="E12" s="628" t="s">
        <v>810</v>
      </c>
      <c r="F12" s="616">
        <v>85000.0</v>
      </c>
      <c r="G12" s="616">
        <v>40000.0</v>
      </c>
      <c r="H12" s="9"/>
      <c r="I12" s="8"/>
      <c r="J12" s="9"/>
      <c r="O12" s="497">
        <f t="shared" si="3"/>
        <v>220000</v>
      </c>
      <c r="P12" s="495" t="str">
        <f t="shared" si="4"/>
        <v>LUNAS</v>
      </c>
      <c r="Q12" s="135">
        <f t="shared" si="5"/>
        <v>0</v>
      </c>
      <c r="S12" s="101"/>
      <c r="V12" s="9"/>
    </row>
    <row r="13" ht="15.75" customHeight="1">
      <c r="A13" s="49"/>
      <c r="C13" s="629">
        <f t="shared" si="2"/>
        <v>45696</v>
      </c>
      <c r="D13" s="589">
        <v>45666.0</v>
      </c>
      <c r="E13" s="281" t="s">
        <v>383</v>
      </c>
      <c r="F13" s="616">
        <v>1770000.0</v>
      </c>
      <c r="G13" s="616">
        <v>200000.0</v>
      </c>
      <c r="H13" s="9"/>
      <c r="I13" s="8"/>
      <c r="J13" s="9"/>
      <c r="O13" s="497">
        <f t="shared" si="3"/>
        <v>3180000</v>
      </c>
      <c r="P13" s="495" t="str">
        <f t="shared" si="4"/>
        <v>LUNAS</v>
      </c>
      <c r="Q13" s="135">
        <f t="shared" si="5"/>
        <v>0</v>
      </c>
      <c r="S13" s="101"/>
    </row>
    <row r="14" ht="15.75" customHeight="1">
      <c r="A14" s="49"/>
      <c r="C14" s="589">
        <f t="shared" si="2"/>
        <v>45697</v>
      </c>
      <c r="D14" s="614">
        <v>45667.0</v>
      </c>
      <c r="E14" s="281" t="s">
        <v>119</v>
      </c>
      <c r="F14" s="616">
        <v>3800000.0</v>
      </c>
      <c r="G14" s="616">
        <v>500000.0</v>
      </c>
      <c r="H14" s="9"/>
      <c r="I14" s="8"/>
      <c r="J14" s="9"/>
      <c r="O14" s="497">
        <f t="shared" si="3"/>
        <v>2000000</v>
      </c>
      <c r="P14" s="495" t="str">
        <f t="shared" si="4"/>
        <v>LUNAS</v>
      </c>
      <c r="Q14" s="135">
        <f t="shared" si="5"/>
        <v>0</v>
      </c>
      <c r="S14" s="101"/>
      <c r="V14" s="9"/>
    </row>
    <row r="15" ht="15.75" customHeight="1">
      <c r="A15" s="49"/>
      <c r="C15" s="629">
        <f t="shared" si="2"/>
        <v>45698</v>
      </c>
      <c r="D15" s="589">
        <v>45668.0</v>
      </c>
      <c r="E15" s="281" t="s">
        <v>544</v>
      </c>
      <c r="F15" s="616">
        <v>1920000.0</v>
      </c>
      <c r="G15" s="616">
        <v>255000.0</v>
      </c>
      <c r="H15" s="9"/>
      <c r="I15" s="8"/>
      <c r="J15" s="9"/>
      <c r="O15" s="497">
        <f t="shared" si="3"/>
        <v>3150000</v>
      </c>
      <c r="P15" s="495" t="str">
        <f t="shared" si="4"/>
        <v>LUNAS</v>
      </c>
      <c r="Q15" s="135">
        <f t="shared" si="5"/>
        <v>0</v>
      </c>
      <c r="S15" s="101"/>
    </row>
    <row r="16" ht="15.75" customHeight="1">
      <c r="A16" s="49"/>
      <c r="C16" s="589">
        <f>D16+14</f>
        <v>45700</v>
      </c>
      <c r="D16" s="614">
        <v>45686.0</v>
      </c>
      <c r="E16" s="281" t="s">
        <v>74</v>
      </c>
      <c r="F16" s="615">
        <v>3420000.0</v>
      </c>
      <c r="G16" s="616">
        <v>460000.0</v>
      </c>
      <c r="H16" s="9"/>
      <c r="I16" s="8"/>
      <c r="J16" s="9"/>
      <c r="O16" s="497">
        <f t="shared" si="3"/>
        <v>3170000</v>
      </c>
      <c r="P16" s="495" t="str">
        <f t="shared" si="4"/>
        <v>LUNAS</v>
      </c>
      <c r="Q16" s="135">
        <f t="shared" si="5"/>
        <v>0</v>
      </c>
      <c r="S16" s="101"/>
    </row>
    <row r="17" ht="15.75" customHeight="1">
      <c r="A17" s="49"/>
      <c r="C17" s="589">
        <f t="shared" ref="C17:C26" si="6">D17+30</f>
        <v>45700</v>
      </c>
      <c r="D17" s="625">
        <v>45670.0</v>
      </c>
      <c r="E17" s="628" t="s">
        <v>267</v>
      </c>
      <c r="F17" s="616">
        <v>4100000.0</v>
      </c>
      <c r="G17" s="616">
        <v>420000.0</v>
      </c>
      <c r="H17" s="9"/>
      <c r="I17" s="8"/>
      <c r="J17" s="9"/>
      <c r="O17" s="497">
        <f t="shared" si="3"/>
        <v>3170000</v>
      </c>
      <c r="P17" s="495" t="str">
        <f t="shared" si="4"/>
        <v>LUNAS</v>
      </c>
      <c r="Q17" s="135">
        <f t="shared" si="5"/>
        <v>0</v>
      </c>
      <c r="S17" s="101"/>
    </row>
    <row r="18" ht="15.75" customHeight="1">
      <c r="A18" s="49"/>
      <c r="C18" s="624">
        <f t="shared" si="6"/>
        <v>45700</v>
      </c>
      <c r="D18" s="625">
        <v>45670.0</v>
      </c>
      <c r="E18" s="628" t="s">
        <v>819</v>
      </c>
      <c r="F18" s="616">
        <v>1800000.0</v>
      </c>
      <c r="G18" s="616">
        <v>190000.0</v>
      </c>
      <c r="H18" s="9"/>
      <c r="I18" s="8"/>
      <c r="J18" s="9"/>
      <c r="O18" s="497">
        <f t="shared" si="3"/>
        <v>340000</v>
      </c>
      <c r="P18" s="495" t="str">
        <f t="shared" si="4"/>
        <v>BELUM LUNAS</v>
      </c>
      <c r="Q18" s="135">
        <f t="shared" si="5"/>
        <v>-60000</v>
      </c>
      <c r="S18" s="101"/>
    </row>
    <row r="19" ht="15.75" customHeight="1">
      <c r="A19" s="49"/>
      <c r="C19" s="624">
        <f t="shared" si="6"/>
        <v>45700</v>
      </c>
      <c r="D19" s="625">
        <v>45670.0</v>
      </c>
      <c r="E19" s="628" t="s">
        <v>927</v>
      </c>
      <c r="F19" s="616">
        <v>1925000.0</v>
      </c>
      <c r="G19" s="616">
        <v>200000.0</v>
      </c>
      <c r="H19" s="9"/>
      <c r="I19" s="8"/>
      <c r="J19" s="9"/>
      <c r="O19" s="497">
        <f t="shared" si="3"/>
        <v>3180000</v>
      </c>
      <c r="P19" s="495" t="str">
        <f t="shared" si="4"/>
        <v>LUNAS</v>
      </c>
      <c r="Q19" s="135">
        <f t="shared" si="5"/>
        <v>0</v>
      </c>
      <c r="S19" s="101"/>
    </row>
    <row r="20" ht="15.75" customHeight="1">
      <c r="A20" s="49"/>
      <c r="C20" s="629">
        <f t="shared" si="6"/>
        <v>45703</v>
      </c>
      <c r="D20" s="589">
        <v>45673.0</v>
      </c>
      <c r="E20" s="281" t="s">
        <v>901</v>
      </c>
      <c r="F20" s="616">
        <v>4300000.0</v>
      </c>
      <c r="G20" s="616">
        <v>400000.0</v>
      </c>
      <c r="H20" s="9"/>
      <c r="I20" s="8"/>
      <c r="J20" s="9"/>
      <c r="O20" s="497">
        <f t="shared" si="3"/>
        <v>1590000</v>
      </c>
      <c r="P20" s="495" t="str">
        <f t="shared" si="4"/>
        <v>LUNAS</v>
      </c>
      <c r="Q20" s="135">
        <f t="shared" si="5"/>
        <v>0</v>
      </c>
      <c r="S20" s="101"/>
    </row>
    <row r="21" ht="15.75" customHeight="1">
      <c r="A21" s="49"/>
      <c r="C21" s="624">
        <f t="shared" si="6"/>
        <v>45703</v>
      </c>
      <c r="D21" s="630">
        <v>45673.0</v>
      </c>
      <c r="E21" s="632" t="s">
        <v>810</v>
      </c>
      <c r="F21" s="616">
        <v>2050000.0</v>
      </c>
      <c r="G21" s="616">
        <v>210000.0</v>
      </c>
      <c r="H21" s="9"/>
      <c r="I21" s="8"/>
      <c r="J21" s="9"/>
      <c r="O21" s="497">
        <f t="shared" si="3"/>
        <v>2200000</v>
      </c>
      <c r="P21" s="495" t="str">
        <f t="shared" si="4"/>
        <v>LUNAS</v>
      </c>
      <c r="Q21" s="135">
        <f t="shared" si="5"/>
        <v>0</v>
      </c>
      <c r="S21" s="101"/>
    </row>
    <row r="22" ht="15.75" customHeight="1">
      <c r="A22" s="49"/>
      <c r="C22" s="589">
        <f t="shared" si="6"/>
        <v>45705</v>
      </c>
      <c r="D22" s="589">
        <v>45675.0</v>
      </c>
      <c r="E22" s="281" t="s">
        <v>935</v>
      </c>
      <c r="F22" s="616">
        <v>1500000.0</v>
      </c>
      <c r="G22" s="616">
        <v>310000.0</v>
      </c>
      <c r="H22" s="9"/>
      <c r="I22" s="8"/>
      <c r="J22" s="9"/>
      <c r="O22" s="497">
        <f t="shared" si="3"/>
        <v>3335000</v>
      </c>
      <c r="P22" s="495" t="str">
        <f t="shared" si="4"/>
        <v>BELUM LUNAS</v>
      </c>
      <c r="Q22" s="135">
        <f t="shared" si="5"/>
        <v>-55000</v>
      </c>
      <c r="S22" s="101"/>
    </row>
    <row r="23" ht="15.75" customHeight="1">
      <c r="A23" s="49"/>
      <c r="C23" s="589">
        <f t="shared" si="6"/>
        <v>45707</v>
      </c>
      <c r="D23" s="589">
        <v>45677.0</v>
      </c>
      <c r="E23" s="281" t="s">
        <v>144</v>
      </c>
      <c r="F23" s="616">
        <v>1795000.0</v>
      </c>
      <c r="G23" s="616">
        <v>250000.0</v>
      </c>
      <c r="H23" s="9"/>
      <c r="I23" s="8"/>
      <c r="J23" s="9"/>
      <c r="O23" s="497">
        <f t="shared" si="3"/>
        <v>0</v>
      </c>
      <c r="P23" s="495" t="str">
        <f t="shared" si="4"/>
        <v>BELUM LUNAS</v>
      </c>
      <c r="Q23" s="135">
        <f t="shared" si="5"/>
        <v>55000</v>
      </c>
      <c r="S23" s="101"/>
    </row>
    <row r="24" ht="15.75" customHeight="1">
      <c r="A24" s="49"/>
      <c r="C24" s="629">
        <f t="shared" si="6"/>
        <v>45707</v>
      </c>
      <c r="D24" s="589">
        <v>45677.0</v>
      </c>
      <c r="E24" s="281" t="s">
        <v>544</v>
      </c>
      <c r="F24" s="616">
        <v>4100000.0</v>
      </c>
      <c r="G24" s="616">
        <v>420000.0</v>
      </c>
      <c r="H24" s="9"/>
      <c r="I24" s="8"/>
      <c r="J24" s="9"/>
      <c r="O24" s="497">
        <f t="shared" si="3"/>
        <v>3360000</v>
      </c>
      <c r="P24" s="495" t="str">
        <f t="shared" si="4"/>
        <v>LUNAS</v>
      </c>
      <c r="Q24" s="135">
        <f t="shared" si="5"/>
        <v>0</v>
      </c>
      <c r="S24" s="101"/>
    </row>
    <row r="25" ht="15.75" customHeight="1">
      <c r="A25" s="49"/>
      <c r="C25" s="589">
        <f t="shared" si="6"/>
        <v>45707</v>
      </c>
      <c r="D25" s="624">
        <v>45677.0</v>
      </c>
      <c r="E25" s="281" t="s">
        <v>274</v>
      </c>
      <c r="F25" s="616">
        <v>4100000.0</v>
      </c>
      <c r="G25" s="616">
        <v>420000.0</v>
      </c>
      <c r="H25" s="9"/>
      <c r="I25" s="8"/>
      <c r="J25" s="9"/>
      <c r="O25" s="497">
        <f t="shared" si="3"/>
        <v>75000</v>
      </c>
      <c r="P25" s="495" t="str">
        <f t="shared" si="4"/>
        <v>LUNAS</v>
      </c>
      <c r="Q25" s="135">
        <f t="shared" si="5"/>
        <v>0</v>
      </c>
      <c r="S25" s="101"/>
    </row>
    <row r="26" ht="15.75" customHeight="1">
      <c r="A26" s="49"/>
      <c r="C26" s="629">
        <f t="shared" si="6"/>
        <v>45710</v>
      </c>
      <c r="D26" s="589">
        <v>45680.0</v>
      </c>
      <c r="E26" s="281" t="s">
        <v>396</v>
      </c>
      <c r="F26" s="616">
        <v>1300000.0</v>
      </c>
      <c r="G26" s="616">
        <v>185000.0</v>
      </c>
      <c r="H26" s="9"/>
      <c r="I26" s="8"/>
      <c r="J26" s="9"/>
      <c r="O26" s="497">
        <f t="shared" si="3"/>
        <v>3380000</v>
      </c>
      <c r="P26" s="495" t="str">
        <f t="shared" si="4"/>
        <v>LUNAS</v>
      </c>
      <c r="Q26" s="135">
        <f t="shared" si="5"/>
        <v>0</v>
      </c>
      <c r="S26" s="101"/>
    </row>
    <row r="27" ht="15.75" customHeight="1">
      <c r="A27" s="49"/>
      <c r="C27" s="587">
        <f>D27+45</f>
        <v>45710</v>
      </c>
      <c r="D27" s="625">
        <v>45665.0</v>
      </c>
      <c r="E27" s="281" t="s">
        <v>595</v>
      </c>
      <c r="F27" s="616">
        <v>9600000.0</v>
      </c>
      <c r="G27" s="616">
        <v>960000.0</v>
      </c>
      <c r="H27" s="9"/>
      <c r="I27" s="8"/>
      <c r="J27" s="9"/>
      <c r="O27" s="497">
        <f t="shared" si="3"/>
        <v>3260000</v>
      </c>
      <c r="P27" s="495" t="str">
        <f t="shared" si="4"/>
        <v>LUNAS</v>
      </c>
      <c r="Q27" s="135">
        <f t="shared" si="5"/>
        <v>0</v>
      </c>
      <c r="S27" s="101"/>
    </row>
    <row r="28" ht="15.75" customHeight="1">
      <c r="A28" s="49"/>
      <c r="C28" s="624">
        <f t="shared" ref="C28:C30" si="7">D28+30</f>
        <v>45710</v>
      </c>
      <c r="D28" s="625">
        <v>45680.0</v>
      </c>
      <c r="E28" s="281" t="s">
        <v>944</v>
      </c>
      <c r="F28" s="616">
        <v>1400000.0</v>
      </c>
      <c r="G28" s="616">
        <v>150000.0</v>
      </c>
      <c r="H28" s="9"/>
      <c r="I28" s="8"/>
      <c r="J28" s="9"/>
      <c r="O28" s="497">
        <f t="shared" si="3"/>
        <v>1770000</v>
      </c>
      <c r="P28" s="495" t="str">
        <f t="shared" si="4"/>
        <v>LUNAS</v>
      </c>
      <c r="Q28" s="135">
        <f t="shared" si="5"/>
        <v>0</v>
      </c>
      <c r="S28" s="101"/>
    </row>
    <row r="29" ht="15.75" customHeight="1">
      <c r="A29" s="49"/>
      <c r="C29" s="624">
        <f t="shared" si="7"/>
        <v>45710</v>
      </c>
      <c r="D29" s="630">
        <v>45680.0</v>
      </c>
      <c r="E29" s="281" t="s">
        <v>944</v>
      </c>
      <c r="F29" s="616">
        <v>130000.0</v>
      </c>
      <c r="G29" s="616">
        <v>125000.0</v>
      </c>
      <c r="H29" s="9"/>
      <c r="I29" s="8"/>
      <c r="J29" s="9"/>
      <c r="O29" s="497">
        <f t="shared" si="3"/>
        <v>4240000</v>
      </c>
      <c r="P29" s="495" t="str">
        <f t="shared" si="4"/>
        <v>LUNAS</v>
      </c>
      <c r="Q29" s="135">
        <f t="shared" si="5"/>
        <v>0</v>
      </c>
      <c r="S29" s="101"/>
    </row>
    <row r="30" ht="15.75" customHeight="1">
      <c r="A30" s="49"/>
      <c r="C30" s="629">
        <f t="shared" si="7"/>
        <v>45712</v>
      </c>
      <c r="D30" s="589">
        <v>45682.0</v>
      </c>
      <c r="E30" s="281" t="s">
        <v>953</v>
      </c>
      <c r="F30" s="616">
        <v>2150000.0</v>
      </c>
      <c r="G30" s="616">
        <v>200000.0</v>
      </c>
      <c r="H30" s="9"/>
      <c r="I30" s="8"/>
      <c r="J30" s="9"/>
      <c r="O30" s="497">
        <f t="shared" si="3"/>
        <v>1380000</v>
      </c>
      <c r="P30" s="495" t="str">
        <f t="shared" si="4"/>
        <v>LUNAS</v>
      </c>
      <c r="Q30" s="135">
        <f t="shared" si="5"/>
        <v>0</v>
      </c>
      <c r="S30" s="101"/>
    </row>
    <row r="31" ht="15.75" customHeight="1">
      <c r="A31" s="49"/>
      <c r="C31" s="589">
        <f>D31+14</f>
        <v>45713</v>
      </c>
      <c r="D31" s="614">
        <v>45699.0</v>
      </c>
      <c r="E31" s="281" t="s">
        <v>74</v>
      </c>
      <c r="F31" s="615">
        <v>3420000.0</v>
      </c>
      <c r="G31" s="616">
        <v>470000.0</v>
      </c>
      <c r="H31" s="9"/>
      <c r="I31" s="8"/>
      <c r="J31" s="9"/>
      <c r="O31" s="497">
        <f t="shared" si="3"/>
        <v>1970000</v>
      </c>
      <c r="P31" s="495" t="str">
        <f t="shared" si="4"/>
        <v>BELUM LUNAS</v>
      </c>
      <c r="Q31" s="135">
        <f t="shared" si="5"/>
        <v>-300000</v>
      </c>
      <c r="S31" s="101"/>
    </row>
    <row r="32" ht="15.75" customHeight="1">
      <c r="A32" s="49"/>
      <c r="C32" s="627">
        <f t="shared" ref="C32:C73" si="8">D32+30</f>
        <v>45713</v>
      </c>
      <c r="D32" s="614">
        <v>45683.0</v>
      </c>
      <c r="E32" s="632" t="s">
        <v>735</v>
      </c>
      <c r="F32" s="616">
        <v>4300000.0</v>
      </c>
      <c r="G32" s="616">
        <v>400000.0</v>
      </c>
      <c r="H32" s="9"/>
      <c r="I32" s="8"/>
      <c r="J32" s="9"/>
      <c r="O32" s="497">
        <f t="shared" si="3"/>
        <v>0</v>
      </c>
      <c r="P32" s="495" t="str">
        <f t="shared" si="4"/>
        <v>BELUM LUNAS</v>
      </c>
      <c r="Q32" s="135">
        <f t="shared" si="5"/>
        <v>3540000</v>
      </c>
      <c r="S32" s="101"/>
    </row>
    <row r="33" ht="15.75" customHeight="1">
      <c r="A33" s="49"/>
      <c r="C33" s="589">
        <f t="shared" si="8"/>
        <v>45714</v>
      </c>
      <c r="D33" s="589">
        <v>45684.0</v>
      </c>
      <c r="E33" s="281" t="s">
        <v>962</v>
      </c>
      <c r="F33" s="616">
        <v>750000.0</v>
      </c>
      <c r="G33" s="616">
        <v>155000.0</v>
      </c>
      <c r="H33" s="9"/>
      <c r="I33" s="8"/>
      <c r="J33" s="9"/>
      <c r="O33" s="497">
        <f t="shared" si="3"/>
        <v>1000000</v>
      </c>
      <c r="P33" s="495" t="str">
        <f t="shared" si="4"/>
        <v>BELUM LUNAS</v>
      </c>
      <c r="Q33" s="135">
        <f t="shared" si="5"/>
        <v>2160000</v>
      </c>
      <c r="S33" s="101"/>
    </row>
    <row r="34" ht="15.75" customHeight="1">
      <c r="A34" s="49"/>
      <c r="C34" s="589">
        <f t="shared" si="8"/>
        <v>45714</v>
      </c>
      <c r="D34" s="625">
        <v>45684.0</v>
      </c>
      <c r="E34" s="281" t="s">
        <v>270</v>
      </c>
      <c r="F34" s="616">
        <v>9600000.0</v>
      </c>
      <c r="G34" s="616">
        <v>960000.0</v>
      </c>
      <c r="H34" s="9"/>
      <c r="I34" s="8"/>
      <c r="J34" s="9"/>
      <c r="O34" s="497">
        <f t="shared" si="3"/>
        <v>3960000</v>
      </c>
      <c r="P34" s="495" t="str">
        <f t="shared" si="4"/>
        <v>LUNAS</v>
      </c>
      <c r="Q34" s="135">
        <f t="shared" si="5"/>
        <v>0</v>
      </c>
      <c r="S34" s="101"/>
    </row>
    <row r="35" ht="15.75" customHeight="1">
      <c r="A35" s="49"/>
      <c r="C35" s="589">
        <f t="shared" si="8"/>
        <v>45714</v>
      </c>
      <c r="D35" s="630">
        <v>45684.0</v>
      </c>
      <c r="E35" s="281" t="s">
        <v>270</v>
      </c>
      <c r="F35" s="616">
        <v>3720000.0</v>
      </c>
      <c r="G35" s="616">
        <v>500000.0</v>
      </c>
      <c r="H35" s="9"/>
      <c r="I35" s="8"/>
      <c r="J35" s="9"/>
      <c r="O35" s="497">
        <f t="shared" si="3"/>
        <v>3800000</v>
      </c>
      <c r="P35" s="495" t="str">
        <f t="shared" si="4"/>
        <v>LUNAS</v>
      </c>
      <c r="Q35" s="135">
        <f t="shared" si="5"/>
        <v>0</v>
      </c>
      <c r="S35" s="101"/>
      <c r="T35" s="2"/>
      <c r="U35" s="2"/>
      <c r="V35" s="2"/>
      <c r="W35" s="2"/>
    </row>
    <row r="36" ht="15.75" customHeight="1">
      <c r="A36" s="49"/>
      <c r="C36" s="589">
        <f t="shared" si="8"/>
        <v>45715</v>
      </c>
      <c r="D36" s="589">
        <v>45685.0</v>
      </c>
      <c r="E36" s="281" t="s">
        <v>911</v>
      </c>
      <c r="F36" s="616">
        <v>5795000.0</v>
      </c>
      <c r="G36" s="616">
        <v>520000.0</v>
      </c>
      <c r="H36" s="9"/>
      <c r="I36" s="8"/>
      <c r="J36" s="9"/>
      <c r="O36" s="497">
        <f t="shared" si="3"/>
        <v>3800000</v>
      </c>
      <c r="P36" s="495" t="str">
        <f t="shared" si="4"/>
        <v>LUNAS</v>
      </c>
      <c r="Q36" s="135">
        <f t="shared" si="5"/>
        <v>0</v>
      </c>
      <c r="S36" s="101"/>
    </row>
    <row r="37" ht="15.75" customHeight="1">
      <c r="A37" s="49"/>
      <c r="C37" s="629">
        <f t="shared" si="8"/>
        <v>45716</v>
      </c>
      <c r="D37" s="589">
        <v>45686.0</v>
      </c>
      <c r="E37" s="281" t="s">
        <v>422</v>
      </c>
      <c r="F37" s="616">
        <v>1770000.0</v>
      </c>
      <c r="G37" s="616">
        <v>200000.0</v>
      </c>
      <c r="H37" s="9"/>
      <c r="I37" s="8"/>
      <c r="J37" s="9"/>
      <c r="O37" s="497">
        <f t="shared" si="3"/>
        <v>3500000</v>
      </c>
      <c r="P37" s="495" t="str">
        <f t="shared" si="4"/>
        <v>LUNAS</v>
      </c>
      <c r="Q37" s="135">
        <f t="shared" si="5"/>
        <v>0</v>
      </c>
      <c r="S37" s="101"/>
      <c r="U37" s="2"/>
    </row>
    <row r="38" ht="15.75" customHeight="1">
      <c r="A38" s="49"/>
      <c r="C38" s="589">
        <f t="shared" si="8"/>
        <v>45716</v>
      </c>
      <c r="D38" s="630">
        <v>45686.0</v>
      </c>
      <c r="E38" s="632" t="s">
        <v>267</v>
      </c>
      <c r="F38" s="616">
        <v>3800000.0</v>
      </c>
      <c r="G38" s="616">
        <v>400000.0</v>
      </c>
      <c r="H38" s="9"/>
      <c r="I38" s="8"/>
      <c r="J38" s="9"/>
      <c r="O38" s="497">
        <f t="shared" si="3"/>
        <v>9440000</v>
      </c>
      <c r="P38" s="495" t="str">
        <f t="shared" si="4"/>
        <v>LUNAS</v>
      </c>
      <c r="Q38" s="135">
        <f t="shared" si="5"/>
        <v>0</v>
      </c>
      <c r="S38" s="101"/>
    </row>
    <row r="39" ht="15.75" customHeight="1">
      <c r="A39" s="49"/>
      <c r="C39" s="589">
        <f t="shared" si="8"/>
        <v>45716</v>
      </c>
      <c r="D39" s="625">
        <v>45686.0</v>
      </c>
      <c r="E39" s="628" t="s">
        <v>267</v>
      </c>
      <c r="F39" s="616">
        <v>400000.0</v>
      </c>
      <c r="G39" s="616">
        <v>80000.0</v>
      </c>
      <c r="H39" s="9"/>
      <c r="I39" s="8"/>
      <c r="J39" s="9"/>
      <c r="O39" s="497">
        <f t="shared" si="3"/>
        <v>9400000</v>
      </c>
      <c r="P39" s="495" t="str">
        <f t="shared" si="4"/>
        <v>BELUM LUNAS</v>
      </c>
      <c r="Q39" s="135">
        <f t="shared" si="5"/>
        <v>40000</v>
      </c>
      <c r="S39" s="101"/>
      <c r="U39" s="2"/>
      <c r="V39" s="9"/>
    </row>
    <row r="40" ht="15.75" customHeight="1">
      <c r="A40" s="49"/>
      <c r="C40" s="589">
        <f t="shared" si="8"/>
        <v>45716</v>
      </c>
      <c r="D40" s="630">
        <v>45686.0</v>
      </c>
      <c r="E40" s="632" t="s">
        <v>267</v>
      </c>
      <c r="F40" s="616">
        <v>180000.0</v>
      </c>
      <c r="G40" s="616">
        <v>90000.0</v>
      </c>
      <c r="H40" s="9"/>
      <c r="I40" s="8"/>
      <c r="J40" s="9"/>
      <c r="O40" s="497">
        <f t="shared" si="3"/>
        <v>4460000</v>
      </c>
      <c r="P40" s="495" t="str">
        <f t="shared" si="4"/>
        <v>LUNAS</v>
      </c>
      <c r="Q40" s="135">
        <f t="shared" si="5"/>
        <v>0</v>
      </c>
      <c r="S40" s="101"/>
    </row>
    <row r="41" ht="15.75" customHeight="1">
      <c r="A41" s="49"/>
      <c r="C41" s="629">
        <f t="shared" si="8"/>
        <v>45717</v>
      </c>
      <c r="D41" s="589">
        <v>45687.0</v>
      </c>
      <c r="E41" s="281" t="s">
        <v>476</v>
      </c>
      <c r="F41" s="616">
        <v>1340000.0</v>
      </c>
      <c r="G41" s="616">
        <v>320000.0</v>
      </c>
      <c r="H41" s="9"/>
      <c r="I41" s="8"/>
      <c r="J41" s="9"/>
      <c r="O41" s="497">
        <f t="shared" si="3"/>
        <v>4150000</v>
      </c>
      <c r="P41" s="495" t="str">
        <f t="shared" si="4"/>
        <v>LUNAS</v>
      </c>
      <c r="Q41" s="135">
        <f t="shared" si="5"/>
        <v>0</v>
      </c>
      <c r="S41" s="101"/>
      <c r="U41" s="2"/>
    </row>
    <row r="42" ht="15.75" customHeight="1">
      <c r="A42" s="49"/>
      <c r="C42" s="629">
        <f t="shared" si="8"/>
        <v>45717</v>
      </c>
      <c r="D42" s="589">
        <v>45687.0</v>
      </c>
      <c r="E42" s="281" t="s">
        <v>264</v>
      </c>
      <c r="F42" s="616">
        <v>7660000.0</v>
      </c>
      <c r="G42" s="616">
        <v>990000.0</v>
      </c>
      <c r="H42" s="9"/>
      <c r="I42" s="8"/>
      <c r="J42" s="9"/>
      <c r="O42" s="497">
        <f t="shared" si="3"/>
        <v>3520000</v>
      </c>
      <c r="P42" s="495" t="str">
        <f t="shared" si="4"/>
        <v>LUNAS</v>
      </c>
      <c r="Q42" s="135">
        <f t="shared" si="5"/>
        <v>0</v>
      </c>
      <c r="S42" s="101"/>
    </row>
    <row r="43" ht="15.75" customHeight="1">
      <c r="A43" s="49"/>
      <c r="C43" s="629">
        <f t="shared" si="8"/>
        <v>45717</v>
      </c>
      <c r="D43" s="589">
        <v>45687.0</v>
      </c>
      <c r="E43" s="281" t="s">
        <v>544</v>
      </c>
      <c r="F43" s="616">
        <v>2400000.0</v>
      </c>
      <c r="G43" s="616">
        <v>480000.0</v>
      </c>
      <c r="H43" s="9"/>
      <c r="I43" s="8"/>
      <c r="J43" s="9"/>
      <c r="O43" s="497">
        <f t="shared" si="3"/>
        <v>0</v>
      </c>
      <c r="P43" s="495" t="str">
        <f t="shared" si="4"/>
        <v>BELUM LUNAS</v>
      </c>
      <c r="Q43" s="135">
        <f t="shared" si="5"/>
        <v>1700000</v>
      </c>
      <c r="S43" s="101"/>
      <c r="U43" s="2"/>
    </row>
    <row r="44" ht="15.75" customHeight="1">
      <c r="A44" s="49"/>
      <c r="C44" s="625">
        <f t="shared" si="8"/>
        <v>45719</v>
      </c>
      <c r="D44" s="625">
        <v>45689.0</v>
      </c>
      <c r="E44" s="111" t="s">
        <v>303</v>
      </c>
      <c r="F44" s="616">
        <v>4720000.0</v>
      </c>
      <c r="G44" s="633">
        <v>400000.0</v>
      </c>
      <c r="H44" s="9"/>
      <c r="I44" s="8"/>
      <c r="J44" s="9"/>
      <c r="O44" s="497">
        <f t="shared" si="3"/>
        <v>2240000</v>
      </c>
      <c r="P44" s="495" t="str">
        <f t="shared" si="4"/>
        <v>LUNAS</v>
      </c>
      <c r="Q44" s="135">
        <f t="shared" si="5"/>
        <v>0</v>
      </c>
      <c r="S44" s="101"/>
    </row>
    <row r="45" ht="15.75" customHeight="1">
      <c r="A45" s="49"/>
      <c r="C45" s="624">
        <f t="shared" si="8"/>
        <v>45719</v>
      </c>
      <c r="D45" s="625">
        <v>45689.0</v>
      </c>
      <c r="E45" s="281" t="s">
        <v>346</v>
      </c>
      <c r="F45" s="616">
        <v>7920000.0</v>
      </c>
      <c r="G45" s="616">
        <v>120000.0</v>
      </c>
      <c r="H45" s="9"/>
      <c r="I45" s="8"/>
      <c r="J45" s="9"/>
      <c r="O45" s="497">
        <f t="shared" si="3"/>
        <v>4500000</v>
      </c>
      <c r="P45" s="495" t="str">
        <f t="shared" si="4"/>
        <v>LUNAS</v>
      </c>
      <c r="Q45" s="135">
        <f t="shared" si="5"/>
        <v>0</v>
      </c>
      <c r="S45" s="101"/>
      <c r="U45" s="2"/>
    </row>
    <row r="46" ht="15.75" customHeight="1">
      <c r="A46" s="49"/>
      <c r="C46" s="624">
        <f t="shared" si="8"/>
        <v>45719</v>
      </c>
      <c r="D46" s="630">
        <v>45689.0</v>
      </c>
      <c r="E46" s="281" t="s">
        <v>346</v>
      </c>
      <c r="F46" s="616">
        <v>760000.0</v>
      </c>
      <c r="G46" s="616">
        <v>120000.0</v>
      </c>
      <c r="H46" s="9"/>
      <c r="I46" s="8"/>
      <c r="J46" s="9"/>
      <c r="O46" s="497">
        <f t="shared" si="3"/>
        <v>4500000</v>
      </c>
      <c r="P46" s="495" t="str">
        <f t="shared" si="4"/>
        <v>LUNAS</v>
      </c>
      <c r="Q46" s="135">
        <f t="shared" si="5"/>
        <v>0</v>
      </c>
      <c r="S46" s="101"/>
    </row>
    <row r="47" ht="15.75" customHeight="1">
      <c r="A47" s="49"/>
      <c r="C47" s="624">
        <f t="shared" si="8"/>
        <v>45719</v>
      </c>
      <c r="D47" s="625">
        <v>45689.0</v>
      </c>
      <c r="E47" s="281" t="s">
        <v>346</v>
      </c>
      <c r="F47" s="616">
        <v>380000.0</v>
      </c>
      <c r="G47" s="616">
        <v>200000.0</v>
      </c>
      <c r="H47" s="9"/>
      <c r="I47" s="8"/>
      <c r="J47" s="9"/>
      <c r="O47" s="497">
        <f t="shared" si="3"/>
        <v>2085000</v>
      </c>
      <c r="P47" s="495" t="str">
        <f t="shared" si="4"/>
        <v>LUNAS</v>
      </c>
      <c r="Q47" s="135">
        <f t="shared" si="5"/>
        <v>0</v>
      </c>
      <c r="S47" s="101"/>
    </row>
    <row r="48" ht="15.75" customHeight="1">
      <c r="A48" s="49"/>
      <c r="C48" s="629">
        <f t="shared" si="8"/>
        <v>45719</v>
      </c>
      <c r="D48" s="589">
        <v>45689.0</v>
      </c>
      <c r="E48" s="281" t="s">
        <v>383</v>
      </c>
      <c r="F48" s="616">
        <v>4100000.0</v>
      </c>
      <c r="G48" s="616">
        <v>200000.0</v>
      </c>
      <c r="H48" s="9"/>
      <c r="I48" s="8"/>
      <c r="J48" s="9"/>
      <c r="O48" s="497">
        <f t="shared" si="3"/>
        <v>4320000</v>
      </c>
      <c r="P48" s="495" t="str">
        <f t="shared" si="4"/>
        <v>LUNAS</v>
      </c>
      <c r="Q48" s="135">
        <f t="shared" si="5"/>
        <v>0</v>
      </c>
      <c r="S48" s="101"/>
    </row>
    <row r="49" ht="15.75" customHeight="1">
      <c r="A49" s="49"/>
      <c r="C49" s="589">
        <f t="shared" si="8"/>
        <v>45719</v>
      </c>
      <c r="D49" s="625">
        <v>45689.0</v>
      </c>
      <c r="E49" s="628" t="s">
        <v>267</v>
      </c>
      <c r="F49" s="616">
        <v>4100000.0</v>
      </c>
      <c r="G49" s="616">
        <v>420000.0</v>
      </c>
      <c r="H49" s="9"/>
      <c r="I49" s="8"/>
      <c r="J49" s="9"/>
      <c r="O49" s="497">
        <f t="shared" si="3"/>
        <v>1600000</v>
      </c>
      <c r="P49" s="495" t="str">
        <f t="shared" si="4"/>
        <v>LUNAS</v>
      </c>
      <c r="Q49" s="135">
        <f t="shared" si="5"/>
        <v>0</v>
      </c>
      <c r="S49" s="101"/>
    </row>
    <row r="50" ht="15.75" customHeight="1">
      <c r="A50" s="49"/>
      <c r="C50" s="629">
        <f t="shared" si="8"/>
        <v>45722</v>
      </c>
      <c r="D50" s="589">
        <v>45692.0</v>
      </c>
      <c r="E50" s="281" t="s">
        <v>370</v>
      </c>
      <c r="F50" s="616">
        <v>1700000.0</v>
      </c>
      <c r="G50" s="616">
        <v>200000.0</v>
      </c>
      <c r="H50" s="9"/>
      <c r="I50" s="8"/>
      <c r="J50" s="9"/>
      <c r="O50" s="497">
        <f t="shared" si="3"/>
        <v>2100000</v>
      </c>
      <c r="P50" s="495" t="str">
        <f t="shared" si="4"/>
        <v>BELUM LUNAS</v>
      </c>
      <c r="Q50" s="135">
        <f t="shared" si="5"/>
        <v>20000</v>
      </c>
      <c r="S50" s="101"/>
    </row>
    <row r="51" ht="15.75" customHeight="1">
      <c r="A51" s="49"/>
      <c r="C51" s="624">
        <f t="shared" si="8"/>
        <v>45723</v>
      </c>
      <c r="D51" s="625">
        <v>45693.0</v>
      </c>
      <c r="E51" s="626" t="s">
        <v>867</v>
      </c>
      <c r="F51" s="616">
        <v>1670000.0</v>
      </c>
      <c r="G51" s="616">
        <v>100000.0</v>
      </c>
      <c r="H51" s="9"/>
      <c r="I51" s="8"/>
      <c r="J51" s="9"/>
      <c r="O51" s="497">
        <f t="shared" si="3"/>
        <v>5150000</v>
      </c>
      <c r="P51" s="495" t="str">
        <f t="shared" si="4"/>
        <v>LUNAS</v>
      </c>
      <c r="Q51" s="135">
        <f t="shared" si="5"/>
        <v>0</v>
      </c>
      <c r="S51" s="101"/>
    </row>
    <row r="52" ht="15.75" customHeight="1">
      <c r="A52" s="49"/>
      <c r="C52" s="624">
        <f t="shared" si="8"/>
        <v>45723</v>
      </c>
      <c r="D52" s="630">
        <v>45693.0</v>
      </c>
      <c r="E52" s="631" t="s">
        <v>867</v>
      </c>
      <c r="F52" s="616">
        <v>230000.0</v>
      </c>
      <c r="G52" s="616">
        <v>65000.0</v>
      </c>
      <c r="H52" s="9"/>
      <c r="I52" s="8"/>
      <c r="J52" s="9"/>
      <c r="O52" s="497">
        <f t="shared" si="3"/>
        <v>4500000</v>
      </c>
      <c r="P52" s="495" t="str">
        <f t="shared" si="4"/>
        <v>LUNAS</v>
      </c>
      <c r="Q52" s="135">
        <f t="shared" si="5"/>
        <v>0</v>
      </c>
      <c r="S52" s="101"/>
    </row>
    <row r="53" ht="15.75" customHeight="1">
      <c r="A53" s="49"/>
      <c r="C53" s="624">
        <f t="shared" si="8"/>
        <v>45723</v>
      </c>
      <c r="D53" s="625">
        <v>45693.0</v>
      </c>
      <c r="E53" s="626" t="s">
        <v>867</v>
      </c>
      <c r="F53" s="616">
        <v>150000.0</v>
      </c>
      <c r="G53" s="616">
        <v>70000.0</v>
      </c>
      <c r="H53" s="9"/>
      <c r="I53" s="8"/>
      <c r="J53" s="9"/>
      <c r="O53" s="497">
        <f t="shared" si="3"/>
        <v>5300000</v>
      </c>
      <c r="P53" s="495" t="str">
        <f t="shared" si="4"/>
        <v>BELUM LUNAS</v>
      </c>
      <c r="Q53" s="135">
        <f t="shared" si="5"/>
        <v>-600000</v>
      </c>
      <c r="S53" s="101"/>
    </row>
    <row r="54" ht="15.75" customHeight="1">
      <c r="A54" s="49"/>
      <c r="C54" s="629">
        <f t="shared" si="8"/>
        <v>45724</v>
      </c>
      <c r="D54" s="589">
        <v>45694.0</v>
      </c>
      <c r="E54" s="281" t="s">
        <v>254</v>
      </c>
      <c r="F54" s="616">
        <v>1835000.0</v>
      </c>
      <c r="G54" s="616">
        <v>140000.0</v>
      </c>
      <c r="H54" s="9"/>
      <c r="I54" s="8"/>
      <c r="J54" s="9"/>
      <c r="O54" s="497">
        <f t="shared" si="3"/>
        <v>5350000</v>
      </c>
      <c r="P54" s="495" t="str">
        <f t="shared" si="4"/>
        <v>LUNAS</v>
      </c>
      <c r="Q54" s="135">
        <f t="shared" si="5"/>
        <v>0</v>
      </c>
      <c r="S54" s="101"/>
    </row>
    <row r="55" ht="15.75" customHeight="1">
      <c r="A55" s="49"/>
      <c r="C55" s="624">
        <f t="shared" si="8"/>
        <v>45724</v>
      </c>
      <c r="D55" s="625">
        <v>45694.0</v>
      </c>
      <c r="E55" s="626" t="s">
        <v>610</v>
      </c>
      <c r="F55" s="616">
        <v>4720000.0</v>
      </c>
      <c r="G55" s="616">
        <v>400000.0</v>
      </c>
      <c r="H55" s="9"/>
      <c r="I55" s="8"/>
      <c r="J55" s="9"/>
      <c r="O55" s="497">
        <f t="shared" si="3"/>
        <v>4200000</v>
      </c>
      <c r="P55" s="495" t="str">
        <f t="shared" si="4"/>
        <v>LUNAS</v>
      </c>
      <c r="Q55" s="135">
        <f t="shared" si="5"/>
        <v>0</v>
      </c>
      <c r="S55" s="101"/>
    </row>
    <row r="56" ht="15.75" customHeight="1">
      <c r="A56" s="49"/>
      <c r="C56" s="624">
        <f t="shared" si="8"/>
        <v>45724</v>
      </c>
      <c r="D56" s="630">
        <v>45694.0</v>
      </c>
      <c r="E56" s="631" t="s">
        <v>610</v>
      </c>
      <c r="F56" s="616">
        <v>420000.0</v>
      </c>
      <c r="G56" s="616">
        <v>100000.0</v>
      </c>
      <c r="H56" s="9"/>
      <c r="I56" s="8"/>
      <c r="J56" s="9"/>
      <c r="O56" s="497">
        <f t="shared" si="3"/>
        <v>0</v>
      </c>
      <c r="P56" s="495" t="str">
        <f t="shared" si="4"/>
        <v>BELUM LUNAS</v>
      </c>
      <c r="Q56" s="135">
        <f t="shared" si="5"/>
        <v>350000</v>
      </c>
      <c r="S56" s="101"/>
    </row>
    <row r="57" ht="15.75" customHeight="1">
      <c r="A57" s="49"/>
      <c r="C57" s="589">
        <f t="shared" si="8"/>
        <v>45725</v>
      </c>
      <c r="D57" s="589">
        <v>45695.0</v>
      </c>
      <c r="E57" s="281" t="s">
        <v>208</v>
      </c>
      <c r="F57" s="616">
        <v>1230000.0</v>
      </c>
      <c r="G57" s="616">
        <v>115000.0</v>
      </c>
      <c r="H57" s="9"/>
      <c r="I57" s="8"/>
      <c r="J57" s="9"/>
      <c r="O57" s="497">
        <f t="shared" si="3"/>
        <v>850000</v>
      </c>
      <c r="P57" s="495" t="str">
        <f t="shared" si="4"/>
        <v>LUNAS</v>
      </c>
      <c r="Q57" s="135">
        <f t="shared" si="5"/>
        <v>0</v>
      </c>
      <c r="S57" s="101"/>
    </row>
    <row r="58" ht="15.75" customHeight="1">
      <c r="A58" s="49"/>
      <c r="C58" s="589">
        <f t="shared" si="8"/>
        <v>45725</v>
      </c>
      <c r="D58" s="589">
        <v>45695.0</v>
      </c>
      <c r="E58" s="281" t="s">
        <v>234</v>
      </c>
      <c r="F58" s="616">
        <v>2000000.0</v>
      </c>
      <c r="G58" s="616">
        <v>235000.0</v>
      </c>
      <c r="H58" s="9"/>
      <c r="I58" s="8"/>
      <c r="J58" s="9"/>
      <c r="O58" s="497">
        <f t="shared" si="3"/>
        <v>4560000</v>
      </c>
      <c r="P58" s="495" t="str">
        <f t="shared" si="4"/>
        <v>LUNAS</v>
      </c>
      <c r="Q58" s="135">
        <f t="shared" si="5"/>
        <v>0</v>
      </c>
      <c r="S58" s="101"/>
    </row>
    <row r="59" ht="15.75" customHeight="1">
      <c r="A59" s="49"/>
      <c r="C59" s="629">
        <f t="shared" si="8"/>
        <v>45729</v>
      </c>
      <c r="D59" s="589">
        <v>45699.0</v>
      </c>
      <c r="E59" s="281" t="s">
        <v>254</v>
      </c>
      <c r="F59" s="616">
        <v>1475000.0</v>
      </c>
      <c r="G59" s="616">
        <v>180000.0</v>
      </c>
      <c r="H59" s="9"/>
      <c r="I59" s="8"/>
      <c r="J59" s="9"/>
      <c r="O59" s="497">
        <f t="shared" si="3"/>
        <v>1850000</v>
      </c>
      <c r="P59" s="495" t="str">
        <f t="shared" si="4"/>
        <v>LUNAS</v>
      </c>
      <c r="Q59" s="135">
        <f t="shared" si="5"/>
        <v>0</v>
      </c>
      <c r="S59" s="101"/>
    </row>
    <row r="60" ht="15.75" customHeight="1">
      <c r="A60" s="49"/>
      <c r="C60" s="589">
        <f t="shared" si="8"/>
        <v>45730</v>
      </c>
      <c r="D60" s="630">
        <v>45700.0</v>
      </c>
      <c r="E60" s="631" t="s">
        <v>267</v>
      </c>
      <c r="F60" s="616">
        <v>2820000.0</v>
      </c>
      <c r="G60" s="616">
        <v>280000.0</v>
      </c>
      <c r="H60" s="9"/>
      <c r="I60" s="8"/>
      <c r="J60" s="9"/>
      <c r="O60" s="497">
        <f t="shared" si="3"/>
        <v>4560000</v>
      </c>
      <c r="P60" s="495" t="str">
        <f t="shared" si="4"/>
        <v>LUNAS</v>
      </c>
      <c r="Q60" s="135">
        <f t="shared" si="5"/>
        <v>0</v>
      </c>
      <c r="S60" s="101"/>
    </row>
    <row r="61" ht="15.75" customHeight="1">
      <c r="A61" s="49"/>
      <c r="C61" s="589">
        <f t="shared" si="8"/>
        <v>45730</v>
      </c>
      <c r="D61" s="625">
        <v>45700.0</v>
      </c>
      <c r="E61" s="628" t="s">
        <v>267</v>
      </c>
      <c r="F61" s="616">
        <v>400000.0</v>
      </c>
      <c r="G61" s="616">
        <v>70000.0</v>
      </c>
      <c r="H61" s="9"/>
      <c r="I61" s="8"/>
      <c r="J61" s="9"/>
      <c r="O61" s="497">
        <f t="shared" si="3"/>
        <v>1685000</v>
      </c>
      <c r="P61" s="495" t="str">
        <f t="shared" si="4"/>
        <v>LUNAS</v>
      </c>
      <c r="Q61" s="135">
        <f t="shared" si="5"/>
        <v>0</v>
      </c>
      <c r="S61" s="101"/>
    </row>
    <row r="62" ht="15.75" customHeight="1">
      <c r="A62" s="49"/>
      <c r="C62" s="589">
        <f t="shared" si="8"/>
        <v>45730</v>
      </c>
      <c r="D62" s="630">
        <v>45700.0</v>
      </c>
      <c r="E62" s="632" t="s">
        <v>267</v>
      </c>
      <c r="F62" s="616">
        <v>160000.0</v>
      </c>
      <c r="G62" s="616">
        <v>80000.0</v>
      </c>
      <c r="H62" s="9"/>
      <c r="I62" s="8"/>
      <c r="J62" s="9"/>
      <c r="O62" s="497">
        <f t="shared" si="3"/>
        <v>1795000</v>
      </c>
      <c r="P62" s="495" t="str">
        <f t="shared" si="4"/>
        <v>LUNAS</v>
      </c>
      <c r="Q62" s="135">
        <f t="shared" si="5"/>
        <v>0</v>
      </c>
      <c r="S62" s="101"/>
    </row>
    <row r="63" ht="15.75" customHeight="1">
      <c r="A63" s="49"/>
      <c r="C63" s="624">
        <f t="shared" si="8"/>
        <v>45730</v>
      </c>
      <c r="D63" s="625">
        <v>45700.0</v>
      </c>
      <c r="E63" s="281" t="s">
        <v>801</v>
      </c>
      <c r="F63" s="616">
        <v>3060000.0</v>
      </c>
      <c r="G63" s="616">
        <v>160000.0</v>
      </c>
      <c r="H63" s="9"/>
      <c r="I63" s="8"/>
      <c r="J63" s="9"/>
      <c r="O63" s="497">
        <f t="shared" si="3"/>
        <v>1700000</v>
      </c>
      <c r="P63" s="495" t="str">
        <f t="shared" si="4"/>
        <v>LUNAS</v>
      </c>
      <c r="Q63" s="135">
        <f t="shared" si="5"/>
        <v>0</v>
      </c>
      <c r="S63" s="101"/>
    </row>
    <row r="64" ht="15.75" customHeight="1">
      <c r="A64" s="49"/>
      <c r="C64" s="624">
        <f t="shared" si="8"/>
        <v>45730</v>
      </c>
      <c r="D64" s="630">
        <v>45700.0</v>
      </c>
      <c r="E64" s="281" t="s">
        <v>801</v>
      </c>
      <c r="F64" s="616">
        <v>5840000.0</v>
      </c>
      <c r="G64" s="616">
        <v>160000.0</v>
      </c>
      <c r="H64" s="9"/>
      <c r="I64" s="8"/>
      <c r="J64" s="9"/>
      <c r="O64" s="497">
        <f t="shared" si="3"/>
        <v>1700000</v>
      </c>
      <c r="P64" s="495" t="str">
        <f t="shared" si="4"/>
        <v>LUNAS</v>
      </c>
      <c r="Q64" s="135">
        <f t="shared" si="5"/>
        <v>0</v>
      </c>
      <c r="S64" s="101"/>
    </row>
    <row r="65" ht="15.75" customHeight="1">
      <c r="A65" s="49"/>
      <c r="C65" s="624">
        <f t="shared" si="8"/>
        <v>45730</v>
      </c>
      <c r="D65" s="625">
        <v>45700.0</v>
      </c>
      <c r="E65" s="281" t="s">
        <v>801</v>
      </c>
      <c r="F65" s="616">
        <v>1080000.0</v>
      </c>
      <c r="G65" s="616">
        <v>180000.0</v>
      </c>
      <c r="H65" s="9"/>
      <c r="I65" s="8"/>
      <c r="J65" s="9"/>
      <c r="O65" s="497">
        <f t="shared" si="3"/>
        <v>2050000</v>
      </c>
      <c r="P65" s="495" t="str">
        <f t="shared" si="4"/>
        <v>LUNAS</v>
      </c>
      <c r="Q65" s="135">
        <f t="shared" si="5"/>
        <v>0</v>
      </c>
      <c r="S65" s="101"/>
    </row>
    <row r="66" ht="15.75" customHeight="1">
      <c r="A66" s="49"/>
      <c r="C66" s="624">
        <f t="shared" si="8"/>
        <v>45730</v>
      </c>
      <c r="D66" s="630">
        <v>45700.0</v>
      </c>
      <c r="E66" s="281" t="s">
        <v>801</v>
      </c>
      <c r="F66" s="616">
        <v>450000.0</v>
      </c>
      <c r="G66" s="616">
        <v>180000.0</v>
      </c>
      <c r="H66" s="9"/>
      <c r="I66" s="8"/>
      <c r="J66" s="9"/>
      <c r="O66" s="497">
        <f t="shared" si="3"/>
        <v>3400000</v>
      </c>
      <c r="P66" s="495" t="str">
        <f t="shared" si="4"/>
        <v>LUNAS</v>
      </c>
      <c r="Q66" s="135">
        <f t="shared" si="5"/>
        <v>0</v>
      </c>
      <c r="S66" s="101"/>
    </row>
    <row r="67" ht="15.75" customHeight="1">
      <c r="A67" s="49"/>
      <c r="C67" s="624">
        <f t="shared" si="8"/>
        <v>45732</v>
      </c>
      <c r="D67" s="630">
        <v>45702.0</v>
      </c>
      <c r="E67" s="631" t="s">
        <v>867</v>
      </c>
      <c r="F67" s="616">
        <v>1780000.0</v>
      </c>
      <c r="G67" s="616">
        <v>210000.0</v>
      </c>
      <c r="H67" s="9"/>
      <c r="I67" s="8"/>
      <c r="J67" s="9"/>
      <c r="O67" s="497">
        <f t="shared" si="3"/>
        <v>3400000</v>
      </c>
      <c r="P67" s="495" t="str">
        <f t="shared" si="4"/>
        <v>LUNAS</v>
      </c>
      <c r="Q67" s="135">
        <f t="shared" si="5"/>
        <v>0</v>
      </c>
      <c r="S67" s="101"/>
    </row>
    <row r="68" ht="15.75" customHeight="1">
      <c r="A68" s="49"/>
      <c r="C68" s="624">
        <f t="shared" si="8"/>
        <v>45732</v>
      </c>
      <c r="D68" s="625">
        <v>45702.0</v>
      </c>
      <c r="E68" s="628" t="s">
        <v>867</v>
      </c>
      <c r="F68" s="616">
        <v>95000.0</v>
      </c>
      <c r="G68" s="616">
        <v>50000.0</v>
      </c>
      <c r="H68" s="9"/>
      <c r="I68" s="8"/>
      <c r="J68" s="9"/>
      <c r="O68" s="497">
        <f t="shared" si="3"/>
        <v>1950000</v>
      </c>
      <c r="P68" s="495" t="str">
        <f t="shared" si="4"/>
        <v>LUNAS</v>
      </c>
      <c r="Q68" s="135">
        <f t="shared" si="5"/>
        <v>0</v>
      </c>
      <c r="S68" s="101"/>
    </row>
    <row r="69" ht="15.75" customHeight="1">
      <c r="A69" s="49"/>
      <c r="C69" s="629">
        <f t="shared" si="8"/>
        <v>45733</v>
      </c>
      <c r="D69" s="589">
        <v>45703.0</v>
      </c>
      <c r="E69" s="281" t="s">
        <v>422</v>
      </c>
      <c r="F69" s="616">
        <v>3900000.0</v>
      </c>
      <c r="G69" s="616">
        <v>220000.0</v>
      </c>
      <c r="H69" s="9"/>
      <c r="I69" s="8"/>
      <c r="J69" s="9"/>
      <c r="O69" s="497">
        <f t="shared" si="3"/>
        <v>1750000</v>
      </c>
      <c r="P69" s="495" t="str">
        <f t="shared" si="4"/>
        <v>LUNAS</v>
      </c>
      <c r="Q69" s="135">
        <f t="shared" si="5"/>
        <v>0</v>
      </c>
      <c r="S69" s="101"/>
    </row>
    <row r="70" ht="15.75" customHeight="1">
      <c r="A70" s="49"/>
      <c r="C70" s="624">
        <f t="shared" si="8"/>
        <v>45735</v>
      </c>
      <c r="D70" s="630">
        <v>45705.0</v>
      </c>
      <c r="E70" s="632" t="s">
        <v>819</v>
      </c>
      <c r="F70" s="616">
        <v>4100000.0</v>
      </c>
      <c r="G70" s="616">
        <v>200000.0</v>
      </c>
      <c r="H70" s="9"/>
      <c r="I70" s="8"/>
      <c r="J70" s="9"/>
      <c r="O70" s="497">
        <f t="shared" si="3"/>
        <v>1750000</v>
      </c>
      <c r="P70" s="495" t="str">
        <f t="shared" si="4"/>
        <v>LUNAS</v>
      </c>
      <c r="Q70" s="135">
        <f t="shared" si="5"/>
        <v>0</v>
      </c>
      <c r="S70" s="101"/>
    </row>
    <row r="71" ht="15.75" customHeight="1">
      <c r="A71" s="49"/>
      <c r="C71" s="624">
        <f t="shared" si="8"/>
        <v>45735</v>
      </c>
      <c r="D71" s="630">
        <v>45705.0</v>
      </c>
      <c r="E71" s="631" t="s">
        <v>927</v>
      </c>
      <c r="F71" s="616">
        <v>4100000.0</v>
      </c>
      <c r="G71" s="616">
        <v>200000.0</v>
      </c>
      <c r="H71" s="9"/>
      <c r="I71" s="8"/>
      <c r="J71" s="9"/>
      <c r="O71" s="497">
        <f t="shared" si="3"/>
        <v>850000</v>
      </c>
      <c r="P71" s="495" t="str">
        <f t="shared" si="4"/>
        <v>LUNAS</v>
      </c>
      <c r="Q71" s="135">
        <f t="shared" si="5"/>
        <v>0</v>
      </c>
      <c r="S71" s="101"/>
    </row>
    <row r="72" ht="15.75" customHeight="1">
      <c r="A72" s="49"/>
      <c r="C72" s="629">
        <f t="shared" si="8"/>
        <v>45736</v>
      </c>
      <c r="D72" s="589">
        <v>45706.0</v>
      </c>
      <c r="E72" s="281" t="s">
        <v>953</v>
      </c>
      <c r="F72" s="616">
        <v>3900000.0</v>
      </c>
      <c r="G72" s="616">
        <v>220000.0</v>
      </c>
      <c r="H72" s="9"/>
      <c r="I72" s="8"/>
      <c r="J72" s="9"/>
      <c r="O72" s="497">
        <f t="shared" si="3"/>
        <v>1500000</v>
      </c>
      <c r="P72" s="495" t="str">
        <f t="shared" si="4"/>
        <v>LUNAS</v>
      </c>
      <c r="Q72" s="135">
        <f t="shared" si="5"/>
        <v>0</v>
      </c>
      <c r="S72" s="101"/>
    </row>
    <row r="73" ht="15.75" customHeight="1">
      <c r="A73" s="49"/>
      <c r="C73" s="629">
        <f t="shared" si="8"/>
        <v>45737</v>
      </c>
      <c r="D73" s="589">
        <v>45707.0</v>
      </c>
      <c r="E73" s="281" t="s">
        <v>971</v>
      </c>
      <c r="F73" s="616">
        <v>1950000.0</v>
      </c>
      <c r="G73" s="616">
        <v>0.0</v>
      </c>
      <c r="H73" s="9"/>
      <c r="I73" s="8"/>
      <c r="J73" s="9"/>
      <c r="O73" s="497">
        <f t="shared" si="3"/>
        <v>1040000</v>
      </c>
      <c r="P73" s="495" t="str">
        <f t="shared" si="4"/>
        <v>LUNAS</v>
      </c>
      <c r="Q73" s="135">
        <f t="shared" si="5"/>
        <v>0</v>
      </c>
      <c r="S73" s="101"/>
    </row>
    <row r="74" ht="15.75" customHeight="1">
      <c r="A74" s="49"/>
      <c r="C74" s="624">
        <f>D74+7</f>
        <v>45737</v>
      </c>
      <c r="D74" s="625">
        <v>45730.0</v>
      </c>
      <c r="E74" s="111" t="s">
        <v>891</v>
      </c>
      <c r="F74" s="616">
        <v>1280000.0</v>
      </c>
      <c r="G74" s="616">
        <v>190000.0</v>
      </c>
      <c r="H74" s="9"/>
      <c r="I74" s="8"/>
      <c r="J74" s="9"/>
      <c r="O74" s="497">
        <f t="shared" si="3"/>
        <v>2620000</v>
      </c>
      <c r="P74" s="495" t="str">
        <f t="shared" si="4"/>
        <v>LUNAS</v>
      </c>
      <c r="Q74" s="135">
        <f t="shared" si="5"/>
        <v>0</v>
      </c>
      <c r="S74" s="101"/>
    </row>
    <row r="75" ht="15.75" customHeight="1">
      <c r="A75" s="49"/>
      <c r="C75" s="589">
        <f t="shared" ref="C75:C78" si="9">D75+30</f>
        <v>45738</v>
      </c>
      <c r="D75" s="625">
        <v>45708.0</v>
      </c>
      <c r="E75" s="628" t="s">
        <v>267</v>
      </c>
      <c r="F75" s="616">
        <v>7800000.0</v>
      </c>
      <c r="G75" s="616">
        <v>0.0</v>
      </c>
      <c r="H75" s="9"/>
      <c r="I75" s="8"/>
      <c r="J75" s="9"/>
      <c r="O75" s="497">
        <f t="shared" si="3"/>
        <v>800000</v>
      </c>
      <c r="P75" s="495" t="str">
        <f t="shared" si="4"/>
        <v>LUNAS</v>
      </c>
      <c r="Q75" s="135">
        <f t="shared" si="5"/>
        <v>0</v>
      </c>
      <c r="S75" s="101"/>
    </row>
    <row r="76" ht="15.75" customHeight="1">
      <c r="A76" s="49"/>
      <c r="C76" s="589">
        <f t="shared" si="9"/>
        <v>45738</v>
      </c>
      <c r="D76" s="614">
        <v>45708.0</v>
      </c>
      <c r="E76" s="628" t="s">
        <v>775</v>
      </c>
      <c r="F76" s="616">
        <v>1.56E7</v>
      </c>
      <c r="G76" s="616">
        <v>800000.0</v>
      </c>
      <c r="H76" s="9"/>
      <c r="I76" s="8"/>
      <c r="J76" s="9"/>
      <c r="O76" s="497">
        <f t="shared" si="3"/>
        <v>1480000</v>
      </c>
      <c r="P76" s="495" t="str">
        <f t="shared" si="4"/>
        <v>LUNAS</v>
      </c>
      <c r="Q76" s="135">
        <f t="shared" si="5"/>
        <v>0</v>
      </c>
      <c r="S76" s="101"/>
    </row>
    <row r="77" ht="15.75" customHeight="1">
      <c r="A77" s="49"/>
      <c r="C77" s="589">
        <f t="shared" si="9"/>
        <v>45738</v>
      </c>
      <c r="D77" s="614">
        <v>45708.0</v>
      </c>
      <c r="E77" s="632" t="s">
        <v>775</v>
      </c>
      <c r="F77" s="616">
        <v>3200000.0</v>
      </c>
      <c r="G77" s="616">
        <v>200000.0</v>
      </c>
      <c r="H77" s="9"/>
      <c r="I77" s="8"/>
      <c r="J77" s="9"/>
      <c r="O77" s="497">
        <f t="shared" si="3"/>
        <v>4500000</v>
      </c>
      <c r="P77" s="495" t="str">
        <f t="shared" si="4"/>
        <v>LUNAS</v>
      </c>
      <c r="Q77" s="135">
        <f t="shared" si="5"/>
        <v>0</v>
      </c>
      <c r="S77" s="101"/>
    </row>
    <row r="78" ht="15.75" customHeight="1">
      <c r="A78" s="49"/>
      <c r="C78" s="629">
        <f t="shared" si="9"/>
        <v>45739</v>
      </c>
      <c r="D78" s="589">
        <v>45709.0</v>
      </c>
      <c r="E78" s="281" t="s">
        <v>422</v>
      </c>
      <c r="F78" s="616">
        <v>1685000.0</v>
      </c>
      <c r="G78" s="616">
        <v>115000.0</v>
      </c>
      <c r="H78" s="9"/>
      <c r="I78" s="8"/>
      <c r="J78" s="9"/>
      <c r="O78" s="497">
        <f t="shared" si="3"/>
        <v>5795000</v>
      </c>
      <c r="P78" s="495" t="str">
        <f t="shared" si="4"/>
        <v>LUNAS</v>
      </c>
      <c r="Q78" s="135">
        <f t="shared" si="5"/>
        <v>0</v>
      </c>
      <c r="S78" s="101"/>
    </row>
    <row r="79" ht="15.75" customHeight="1">
      <c r="A79" s="49"/>
      <c r="C79" s="589">
        <f>D79+14</f>
        <v>45740</v>
      </c>
      <c r="D79" s="614">
        <v>45726.0</v>
      </c>
      <c r="E79" s="281" t="s">
        <v>74</v>
      </c>
      <c r="F79" s="615">
        <v>3160000.0</v>
      </c>
      <c r="G79" s="616">
        <v>390000.0</v>
      </c>
      <c r="H79" s="9"/>
      <c r="I79" s="8"/>
      <c r="J79" s="9"/>
      <c r="O79" s="497">
        <f t="shared" si="3"/>
        <v>2355000</v>
      </c>
      <c r="P79" s="495" t="str">
        <f t="shared" si="4"/>
        <v>LUNAS</v>
      </c>
      <c r="Q79" s="135">
        <f t="shared" si="5"/>
        <v>0</v>
      </c>
      <c r="S79" s="101"/>
    </row>
    <row r="80" ht="15.75" customHeight="1">
      <c r="A80" s="49"/>
      <c r="C80" s="629">
        <f t="shared" ref="C80:C94" si="10">D80+30</f>
        <v>45740</v>
      </c>
      <c r="D80" s="589">
        <v>45710.0</v>
      </c>
      <c r="E80" s="281" t="s">
        <v>465</v>
      </c>
      <c r="F80" s="616">
        <v>1980000.0</v>
      </c>
      <c r="G80" s="616">
        <v>165000.0</v>
      </c>
      <c r="H80" s="9"/>
      <c r="I80" s="8"/>
      <c r="J80" s="9"/>
      <c r="O80" s="497">
        <f t="shared" si="3"/>
        <v>2050000</v>
      </c>
      <c r="P80" s="495" t="str">
        <f t="shared" si="4"/>
        <v>LUNAS</v>
      </c>
      <c r="Q80" s="135">
        <f t="shared" si="5"/>
        <v>0</v>
      </c>
      <c r="S80" s="101"/>
    </row>
    <row r="81" ht="15.75" customHeight="1">
      <c r="A81" s="49"/>
      <c r="C81" s="624">
        <f t="shared" si="10"/>
        <v>45740</v>
      </c>
      <c r="D81" s="634">
        <v>45710.0</v>
      </c>
      <c r="E81" s="111" t="s">
        <v>747</v>
      </c>
      <c r="F81" s="635">
        <f>(12970000-1570000)</f>
        <v>11400000</v>
      </c>
      <c r="G81" s="635"/>
      <c r="H81" s="9"/>
      <c r="I81" s="8"/>
      <c r="J81" s="9"/>
      <c r="O81" s="497">
        <f t="shared" si="3"/>
        <v>2050000</v>
      </c>
      <c r="P81" s="495" t="str">
        <f t="shared" si="4"/>
        <v>LUNAS</v>
      </c>
      <c r="Q81" s="135">
        <f t="shared" si="5"/>
        <v>0</v>
      </c>
      <c r="S81" s="101"/>
    </row>
    <row r="82" ht="15.75" customHeight="1">
      <c r="A82" s="49"/>
      <c r="C82" s="627">
        <f t="shared" si="10"/>
        <v>45740</v>
      </c>
      <c r="D82" s="614">
        <v>45710.0</v>
      </c>
      <c r="E82" s="628" t="s">
        <v>735</v>
      </c>
      <c r="F82" s="616">
        <v>3900000.0</v>
      </c>
      <c r="G82" s="616">
        <v>220000.0</v>
      </c>
      <c r="H82" s="9"/>
      <c r="I82" s="8"/>
      <c r="J82" s="9"/>
      <c r="O82" s="497">
        <f t="shared" si="3"/>
        <v>0</v>
      </c>
      <c r="P82" s="495" t="str">
        <f t="shared" si="4"/>
        <v>BELUM LUNAS</v>
      </c>
      <c r="Q82" s="135">
        <f t="shared" si="5"/>
        <v>2280000</v>
      </c>
      <c r="S82" s="101"/>
    </row>
    <row r="83" ht="15.75" customHeight="1">
      <c r="A83" s="49"/>
      <c r="C83" s="589">
        <f t="shared" si="10"/>
        <v>45742</v>
      </c>
      <c r="D83" s="589">
        <v>45712.0</v>
      </c>
      <c r="E83" s="281" t="s">
        <v>935</v>
      </c>
      <c r="F83" s="616">
        <v>1040000.0</v>
      </c>
      <c r="G83" s="616">
        <v>150000.0</v>
      </c>
      <c r="H83" s="9"/>
      <c r="I83" s="8"/>
      <c r="J83" s="9"/>
      <c r="O83" s="497">
        <f t="shared" si="3"/>
        <v>360000</v>
      </c>
      <c r="P83" s="495" t="str">
        <f t="shared" si="4"/>
        <v>LUNAS</v>
      </c>
      <c r="Q83" s="135">
        <f t="shared" si="5"/>
        <v>0</v>
      </c>
      <c r="S83" s="101"/>
    </row>
    <row r="84" ht="15.75" customHeight="1">
      <c r="A84" s="49"/>
      <c r="C84" s="629">
        <f t="shared" si="10"/>
        <v>45744</v>
      </c>
      <c r="D84" s="589">
        <v>45714.0</v>
      </c>
      <c r="E84" s="281" t="s">
        <v>264</v>
      </c>
      <c r="F84" s="616">
        <v>7800000.0</v>
      </c>
      <c r="G84" s="616">
        <v>400000.0</v>
      </c>
      <c r="H84" s="9"/>
      <c r="I84" s="8"/>
      <c r="J84" s="9"/>
      <c r="O84" s="497">
        <f t="shared" si="3"/>
        <v>17200000</v>
      </c>
      <c r="P84" s="495" t="str">
        <f t="shared" si="4"/>
        <v>LUNAS</v>
      </c>
      <c r="Q84" s="135">
        <f t="shared" si="5"/>
        <v>0</v>
      </c>
      <c r="S84" s="101"/>
    </row>
    <row r="85" ht="15.75" customHeight="1">
      <c r="A85" s="49"/>
      <c r="C85" s="629">
        <f t="shared" si="10"/>
        <v>45745</v>
      </c>
      <c r="D85" s="589">
        <v>45715.0</v>
      </c>
      <c r="E85" s="281" t="s">
        <v>573</v>
      </c>
      <c r="F85" s="616">
        <v>3600000.0</v>
      </c>
      <c r="G85" s="616">
        <v>510000.0</v>
      </c>
      <c r="H85" s="9"/>
      <c r="I85" s="8"/>
      <c r="J85" s="9"/>
      <c r="O85" s="497">
        <f t="shared" si="3"/>
        <v>5695000</v>
      </c>
      <c r="P85" s="495" t="str">
        <f t="shared" si="4"/>
        <v>LUNAS</v>
      </c>
      <c r="Q85" s="135">
        <f t="shared" si="5"/>
        <v>0</v>
      </c>
      <c r="S85" s="101"/>
    </row>
    <row r="86" ht="15.75" customHeight="1">
      <c r="A86" s="49"/>
      <c r="C86" s="624">
        <f t="shared" si="10"/>
        <v>45746</v>
      </c>
      <c r="D86" s="625">
        <v>45716.0</v>
      </c>
      <c r="E86" s="281" t="s">
        <v>583</v>
      </c>
      <c r="F86" s="616">
        <v>1670000.0</v>
      </c>
      <c r="G86" s="616">
        <v>100000.0</v>
      </c>
      <c r="H86" s="9"/>
      <c r="I86" s="8"/>
      <c r="J86" s="9"/>
      <c r="O86" s="497">
        <f t="shared" si="3"/>
        <v>180000</v>
      </c>
      <c r="P86" s="495" t="str">
        <f t="shared" si="4"/>
        <v>LUNAS</v>
      </c>
      <c r="Q86" s="135">
        <f t="shared" si="5"/>
        <v>0</v>
      </c>
      <c r="S86" s="101"/>
    </row>
    <row r="87" ht="15.75" customHeight="1">
      <c r="A87" s="49"/>
      <c r="C87" s="624">
        <f t="shared" si="10"/>
        <v>45746</v>
      </c>
      <c r="D87" s="630">
        <v>45716.0</v>
      </c>
      <c r="E87" s="281" t="s">
        <v>583</v>
      </c>
      <c r="F87" s="616">
        <v>230000.0</v>
      </c>
      <c r="G87" s="616">
        <v>30000.0</v>
      </c>
      <c r="H87" s="9"/>
      <c r="I87" s="8"/>
      <c r="J87" s="9"/>
      <c r="O87" s="497">
        <f t="shared" si="3"/>
        <v>350000</v>
      </c>
      <c r="P87" s="495" t="str">
        <f t="shared" si="4"/>
        <v>LUNAS</v>
      </c>
      <c r="Q87" s="135">
        <f t="shared" si="5"/>
        <v>0</v>
      </c>
      <c r="S87" s="101"/>
    </row>
    <row r="88" ht="15.75" customHeight="1">
      <c r="A88" s="49"/>
      <c r="C88" s="629">
        <f t="shared" si="10"/>
        <v>45748</v>
      </c>
      <c r="D88" s="589">
        <v>45718.0</v>
      </c>
      <c r="E88" s="281" t="s">
        <v>259</v>
      </c>
      <c r="F88" s="616">
        <v>2050000.0</v>
      </c>
      <c r="G88" s="616">
        <v>210000.0</v>
      </c>
      <c r="H88" s="9"/>
      <c r="I88" s="8"/>
      <c r="J88" s="9"/>
      <c r="O88" s="497">
        <f t="shared" si="3"/>
        <v>350000</v>
      </c>
      <c r="P88" s="495" t="str">
        <f t="shared" si="4"/>
        <v>LUNAS</v>
      </c>
      <c r="Q88" s="135">
        <f t="shared" si="5"/>
        <v>0</v>
      </c>
      <c r="S88" s="101"/>
    </row>
    <row r="89" ht="15.75" customHeight="1">
      <c r="A89" s="49"/>
      <c r="C89" s="624">
        <f t="shared" si="10"/>
        <v>45749</v>
      </c>
      <c r="D89" s="630">
        <v>45719.0</v>
      </c>
      <c r="E89" s="631" t="s">
        <v>651</v>
      </c>
      <c r="F89" s="616">
        <v>2470000.0</v>
      </c>
      <c r="G89" s="616">
        <v>310000.0</v>
      </c>
      <c r="H89" s="9"/>
      <c r="I89" s="8"/>
      <c r="J89" s="9"/>
      <c r="O89" s="497">
        <f t="shared" si="3"/>
        <v>170000</v>
      </c>
      <c r="P89" s="495" t="str">
        <f t="shared" si="4"/>
        <v>LUNAS</v>
      </c>
      <c r="Q89" s="135">
        <f t="shared" si="5"/>
        <v>0</v>
      </c>
      <c r="S89" s="101"/>
    </row>
    <row r="90" ht="15.75" customHeight="1">
      <c r="A90" s="49"/>
      <c r="C90" s="629">
        <f t="shared" si="10"/>
        <v>45750</v>
      </c>
      <c r="D90" s="589">
        <v>45720.0</v>
      </c>
      <c r="E90" s="281" t="s">
        <v>555</v>
      </c>
      <c r="F90" s="616">
        <v>1.274E7</v>
      </c>
      <c r="G90" s="616">
        <v>1670000.0</v>
      </c>
      <c r="H90" s="9"/>
      <c r="I90" s="8"/>
      <c r="J90" s="9"/>
      <c r="O90" s="497">
        <f t="shared" si="3"/>
        <v>320000</v>
      </c>
      <c r="P90" s="495" t="str">
        <f t="shared" si="4"/>
        <v>LUNAS</v>
      </c>
      <c r="Q90" s="135">
        <f t="shared" si="5"/>
        <v>0</v>
      </c>
      <c r="S90" s="101"/>
    </row>
    <row r="91" ht="15.75" customHeight="1">
      <c r="A91" s="49"/>
      <c r="C91" s="624">
        <f t="shared" si="10"/>
        <v>45751</v>
      </c>
      <c r="D91" s="625">
        <v>45721.0</v>
      </c>
      <c r="E91" s="628" t="s">
        <v>810</v>
      </c>
      <c r="F91" s="616">
        <v>1800000.0</v>
      </c>
      <c r="G91" s="616">
        <v>310000.0</v>
      </c>
      <c r="H91" s="9"/>
      <c r="I91" s="8"/>
      <c r="J91" s="9"/>
      <c r="O91" s="497">
        <f t="shared" si="3"/>
        <v>5000000</v>
      </c>
      <c r="P91" s="495" t="str">
        <f t="shared" si="4"/>
        <v>BELUM LUNAS</v>
      </c>
      <c r="Q91" s="135">
        <f t="shared" si="5"/>
        <v>2350000</v>
      </c>
      <c r="S91" s="101"/>
    </row>
    <row r="92" ht="15.75" customHeight="1">
      <c r="A92" s="49"/>
      <c r="C92" s="589">
        <f t="shared" si="10"/>
        <v>45753</v>
      </c>
      <c r="D92" s="589">
        <v>45723.0</v>
      </c>
      <c r="E92" s="281" t="s">
        <v>144</v>
      </c>
      <c r="F92" s="616">
        <v>1700000.0</v>
      </c>
      <c r="G92" s="616">
        <v>200000.0</v>
      </c>
      <c r="H92" s="9"/>
      <c r="I92" s="8"/>
      <c r="J92" s="9"/>
      <c r="O92" s="497">
        <f t="shared" si="3"/>
        <v>2050000</v>
      </c>
      <c r="P92" s="495" t="str">
        <f t="shared" si="4"/>
        <v>LUNAS</v>
      </c>
      <c r="Q92" s="135">
        <f t="shared" si="5"/>
        <v>0</v>
      </c>
      <c r="S92" s="101"/>
    </row>
    <row r="93" ht="15.75" customHeight="1">
      <c r="A93" s="49"/>
      <c r="C93" s="589">
        <f t="shared" si="10"/>
        <v>45753</v>
      </c>
      <c r="D93" s="589">
        <v>45723.0</v>
      </c>
      <c r="E93" s="281" t="s">
        <v>234</v>
      </c>
      <c r="F93" s="616">
        <v>280000.0</v>
      </c>
      <c r="G93" s="616">
        <v>50000.0</v>
      </c>
      <c r="H93" s="9"/>
      <c r="I93" s="8"/>
      <c r="J93" s="9"/>
      <c r="O93" s="497">
        <f t="shared" si="3"/>
        <v>1420000</v>
      </c>
      <c r="P93" s="495" t="str">
        <f t="shared" si="4"/>
        <v>LUNAS</v>
      </c>
      <c r="Q93" s="135">
        <f t="shared" si="5"/>
        <v>0</v>
      </c>
      <c r="S93" s="101"/>
    </row>
    <row r="94" ht="15.75" customHeight="1">
      <c r="A94" s="49"/>
      <c r="C94" s="624">
        <f t="shared" si="10"/>
        <v>45753</v>
      </c>
      <c r="D94" s="630">
        <v>45723.0</v>
      </c>
      <c r="E94" s="281" t="s">
        <v>346</v>
      </c>
      <c r="F94" s="616">
        <v>3540000.0</v>
      </c>
      <c r="G94" s="616">
        <v>400000.0</v>
      </c>
      <c r="H94" s="9"/>
      <c r="I94" s="8"/>
      <c r="J94" s="9"/>
      <c r="O94" s="497">
        <f t="shared" si="3"/>
        <v>1825000</v>
      </c>
      <c r="P94" s="495" t="str">
        <f t="shared" si="4"/>
        <v>BELUM LUNAS</v>
      </c>
      <c r="Q94" s="135">
        <f t="shared" si="5"/>
        <v>-100000</v>
      </c>
      <c r="S94" s="101"/>
    </row>
    <row r="95" ht="15.75" customHeight="1">
      <c r="A95" s="49"/>
      <c r="C95" s="587">
        <f>D95+45</f>
        <v>45754</v>
      </c>
      <c r="D95" s="630">
        <v>45709.0</v>
      </c>
      <c r="E95" s="281" t="s">
        <v>595</v>
      </c>
      <c r="F95" s="616">
        <v>3900000.0</v>
      </c>
      <c r="G95" s="616">
        <v>200000.0</v>
      </c>
      <c r="H95" s="9"/>
      <c r="I95" s="8"/>
      <c r="J95" s="9"/>
      <c r="O95" s="497">
        <f t="shared" si="3"/>
        <v>750000</v>
      </c>
      <c r="P95" s="495" t="str">
        <f t="shared" si="4"/>
        <v>LUNAS</v>
      </c>
      <c r="Q95" s="135">
        <f t="shared" si="5"/>
        <v>0</v>
      </c>
      <c r="S95" s="101"/>
    </row>
    <row r="96" ht="15.75" customHeight="1">
      <c r="A96" s="49"/>
      <c r="C96" s="589">
        <f t="shared" ref="C96:C132" si="11">D96+30</f>
        <v>45756</v>
      </c>
      <c r="D96" s="589">
        <v>45726.0</v>
      </c>
      <c r="E96" s="281" t="s">
        <v>193</v>
      </c>
      <c r="F96" s="616">
        <v>1.72E7</v>
      </c>
      <c r="G96" s="616">
        <v>2000000.0</v>
      </c>
      <c r="H96" s="9"/>
      <c r="I96" s="8"/>
      <c r="J96" s="9"/>
      <c r="O96" s="497">
        <f t="shared" si="3"/>
        <v>1260000</v>
      </c>
      <c r="P96" s="495" t="str">
        <f t="shared" si="4"/>
        <v>LUNAS</v>
      </c>
      <c r="Q96" s="135">
        <f t="shared" si="5"/>
        <v>0</v>
      </c>
      <c r="S96" s="101"/>
    </row>
    <row r="97" ht="15.75" customHeight="1">
      <c r="A97" s="49"/>
      <c r="C97" s="625">
        <f t="shared" si="11"/>
        <v>45756</v>
      </c>
      <c r="D97" s="625">
        <v>45726.0</v>
      </c>
      <c r="E97" s="628" t="s">
        <v>331</v>
      </c>
      <c r="F97" s="633">
        <v>2060000.0</v>
      </c>
      <c r="G97" s="616">
        <v>210000.0</v>
      </c>
      <c r="H97" s="9"/>
      <c r="I97" s="8"/>
      <c r="J97" s="9"/>
      <c r="O97" s="497">
        <f t="shared" si="3"/>
        <v>1260000</v>
      </c>
      <c r="P97" s="495" t="str">
        <f t="shared" si="4"/>
        <v>LUNAS</v>
      </c>
      <c r="Q97" s="135">
        <f t="shared" si="5"/>
        <v>0</v>
      </c>
      <c r="S97" s="101"/>
    </row>
    <row r="98" ht="15.75" customHeight="1">
      <c r="A98" s="49"/>
      <c r="C98" s="629">
        <f t="shared" si="11"/>
        <v>45756</v>
      </c>
      <c r="D98" s="589">
        <v>45726.0</v>
      </c>
      <c r="E98" s="281" t="s">
        <v>422</v>
      </c>
      <c r="F98" s="616">
        <v>1700000.0</v>
      </c>
      <c r="G98" s="616">
        <v>200000.0</v>
      </c>
      <c r="H98" s="9"/>
      <c r="I98" s="8"/>
      <c r="J98" s="9"/>
      <c r="O98" s="497">
        <f t="shared" si="3"/>
        <v>1440000</v>
      </c>
      <c r="P98" s="495" t="str">
        <f t="shared" si="4"/>
        <v>LUNAS</v>
      </c>
      <c r="Q98" s="135">
        <f t="shared" si="5"/>
        <v>0</v>
      </c>
      <c r="S98" s="101"/>
    </row>
    <row r="99" ht="15.75" customHeight="1">
      <c r="A99" s="49"/>
      <c r="C99" s="629">
        <f t="shared" si="11"/>
        <v>45758</v>
      </c>
      <c r="D99" s="589">
        <v>45728.0</v>
      </c>
      <c r="E99" s="281" t="s">
        <v>515</v>
      </c>
      <c r="F99" s="616">
        <v>4100000.0</v>
      </c>
      <c r="G99" s="616">
        <v>420000.0</v>
      </c>
      <c r="H99" s="9"/>
      <c r="I99" s="8"/>
      <c r="J99" s="9"/>
      <c r="O99" s="497">
        <f t="shared" si="3"/>
        <v>1230000</v>
      </c>
      <c r="P99" s="495" t="str">
        <f t="shared" si="4"/>
        <v>BELUM LUNAS</v>
      </c>
      <c r="Q99" s="135">
        <f t="shared" si="5"/>
        <v>10000</v>
      </c>
      <c r="S99" s="101"/>
    </row>
    <row r="100" ht="15.75" customHeight="1">
      <c r="A100" s="49"/>
      <c r="C100" s="624">
        <f t="shared" si="11"/>
        <v>45758</v>
      </c>
      <c r="D100" s="625">
        <v>45728.0</v>
      </c>
      <c r="E100" s="281" t="s">
        <v>979</v>
      </c>
      <c r="F100" s="616">
        <v>2050000.0</v>
      </c>
      <c r="G100" s="616">
        <v>210000.0</v>
      </c>
      <c r="H100" s="9"/>
      <c r="I100" s="8"/>
      <c r="J100" s="9"/>
      <c r="O100" s="497">
        <f t="shared" si="3"/>
        <v>1300000</v>
      </c>
      <c r="P100" s="495" t="str">
        <f t="shared" si="4"/>
        <v>BELUM LUNAS</v>
      </c>
      <c r="Q100" s="135">
        <f t="shared" si="5"/>
        <v>20000</v>
      </c>
      <c r="S100" s="101"/>
    </row>
    <row r="101" ht="15.75" customHeight="1">
      <c r="A101" s="49"/>
      <c r="C101" s="629">
        <f t="shared" si="11"/>
        <v>45759</v>
      </c>
      <c r="D101" s="589">
        <v>45729.0</v>
      </c>
      <c r="E101" s="281" t="s">
        <v>536</v>
      </c>
      <c r="F101" s="616">
        <v>3370000.0</v>
      </c>
      <c r="G101" s="616">
        <v>600000.0</v>
      </c>
      <c r="H101" s="9"/>
      <c r="I101" s="8"/>
      <c r="J101" s="9"/>
      <c r="O101" s="497">
        <f t="shared" si="3"/>
        <v>1300000</v>
      </c>
      <c r="P101" s="495" t="str">
        <f t="shared" si="4"/>
        <v>LUNAS</v>
      </c>
      <c r="Q101" s="135">
        <f t="shared" si="5"/>
        <v>0</v>
      </c>
      <c r="S101" s="101"/>
    </row>
    <row r="102" ht="15.75" customHeight="1">
      <c r="A102" s="49"/>
      <c r="C102" s="589">
        <f t="shared" si="11"/>
        <v>45760</v>
      </c>
      <c r="D102" s="630">
        <v>45730.0</v>
      </c>
      <c r="E102" s="632" t="s">
        <v>267</v>
      </c>
      <c r="F102" s="616">
        <v>1625000.0</v>
      </c>
      <c r="G102" s="616">
        <v>200000.0</v>
      </c>
      <c r="H102" s="9"/>
      <c r="I102" s="8"/>
      <c r="J102" s="9"/>
      <c r="O102" s="497">
        <f t="shared" si="3"/>
        <v>655000</v>
      </c>
      <c r="P102" s="495" t="str">
        <f t="shared" si="4"/>
        <v>LUNAS</v>
      </c>
      <c r="Q102" s="135">
        <f t="shared" si="5"/>
        <v>0</v>
      </c>
      <c r="S102" s="101"/>
    </row>
    <row r="103" ht="15.75" customHeight="1">
      <c r="A103" s="49"/>
      <c r="C103" s="589">
        <f t="shared" si="11"/>
        <v>45761</v>
      </c>
      <c r="D103" s="589">
        <v>45731.0</v>
      </c>
      <c r="E103" s="281" t="s">
        <v>234</v>
      </c>
      <c r="F103" s="616">
        <v>830000.0</v>
      </c>
      <c r="G103" s="616">
        <v>150000.0</v>
      </c>
      <c r="H103" s="9"/>
      <c r="I103" s="8"/>
      <c r="J103" s="9"/>
      <c r="O103" s="497">
        <f t="shared" si="3"/>
        <v>1230000</v>
      </c>
      <c r="P103" s="495" t="str">
        <f t="shared" si="4"/>
        <v>LUNAS</v>
      </c>
      <c r="Q103" s="135">
        <f t="shared" si="5"/>
        <v>0</v>
      </c>
      <c r="S103" s="101"/>
    </row>
    <row r="104" ht="15.75" customHeight="1">
      <c r="A104" s="49"/>
      <c r="C104" s="624">
        <f t="shared" si="11"/>
        <v>45762</v>
      </c>
      <c r="D104" s="625">
        <v>45732.0</v>
      </c>
      <c r="E104" s="626" t="s">
        <v>819</v>
      </c>
      <c r="F104" s="616">
        <v>1630000.0</v>
      </c>
      <c r="G104" s="616">
        <v>180000.0</v>
      </c>
      <c r="H104" s="9"/>
      <c r="I104" s="8"/>
      <c r="J104" s="9"/>
      <c r="O104" s="497">
        <f t="shared" si="3"/>
        <v>1315000</v>
      </c>
      <c r="P104" s="495" t="str">
        <f t="shared" si="4"/>
        <v>LUNAS</v>
      </c>
      <c r="Q104" s="135">
        <f t="shared" si="5"/>
        <v>0</v>
      </c>
      <c r="S104" s="101"/>
    </row>
    <row r="105" ht="15.75" customHeight="1">
      <c r="A105" s="49"/>
      <c r="C105" s="589">
        <f t="shared" si="11"/>
        <v>45763</v>
      </c>
      <c r="D105" s="625">
        <v>45733.0</v>
      </c>
      <c r="E105" s="628" t="s">
        <v>267</v>
      </c>
      <c r="F105" s="616">
        <v>2060000.0</v>
      </c>
      <c r="G105" s="616">
        <v>210000.0</v>
      </c>
      <c r="H105" s="9"/>
      <c r="I105" s="8"/>
      <c r="J105" s="9"/>
      <c r="O105" s="497">
        <f t="shared" si="3"/>
        <v>3995000</v>
      </c>
      <c r="P105" s="495" t="str">
        <f t="shared" si="4"/>
        <v>LUNAS</v>
      </c>
      <c r="Q105" s="135">
        <f t="shared" si="5"/>
        <v>0</v>
      </c>
      <c r="S105" s="101"/>
    </row>
    <row r="106" ht="15.75" customHeight="1">
      <c r="A106" s="49"/>
      <c r="C106" s="629">
        <f t="shared" si="11"/>
        <v>45764</v>
      </c>
      <c r="D106" s="589">
        <v>45734.0</v>
      </c>
      <c r="E106" s="281" t="s">
        <v>422</v>
      </c>
      <c r="F106" s="616">
        <v>4100000.0</v>
      </c>
      <c r="G106" s="616">
        <v>400000.0</v>
      </c>
      <c r="H106" s="9"/>
      <c r="I106" s="8"/>
      <c r="J106" s="9"/>
      <c r="O106" s="497">
        <f t="shared" si="3"/>
        <v>1315000</v>
      </c>
      <c r="P106" s="495" t="str">
        <f t="shared" si="4"/>
        <v>LUNAS</v>
      </c>
      <c r="Q106" s="135">
        <f t="shared" si="5"/>
        <v>0</v>
      </c>
      <c r="S106" s="101"/>
    </row>
    <row r="107" ht="15.75" customHeight="1">
      <c r="A107" s="49"/>
      <c r="C107" s="589">
        <f t="shared" si="11"/>
        <v>45765</v>
      </c>
      <c r="D107" s="630">
        <v>45735.0</v>
      </c>
      <c r="E107" s="632" t="s">
        <v>267</v>
      </c>
      <c r="F107" s="616">
        <v>4750000.0</v>
      </c>
      <c r="G107" s="616">
        <v>430000.0</v>
      </c>
      <c r="H107" s="9"/>
      <c r="I107" s="8"/>
      <c r="J107" s="9"/>
      <c r="O107" s="497">
        <f t="shared" si="3"/>
        <v>2630000</v>
      </c>
      <c r="P107" s="495" t="str">
        <f t="shared" si="4"/>
        <v>LUNAS</v>
      </c>
      <c r="Q107" s="135">
        <f t="shared" si="5"/>
        <v>0</v>
      </c>
      <c r="S107" s="101"/>
    </row>
    <row r="108" ht="15.75" customHeight="1">
      <c r="A108" s="49"/>
      <c r="C108" s="629">
        <f t="shared" si="11"/>
        <v>45766</v>
      </c>
      <c r="D108" s="589">
        <v>45736.0</v>
      </c>
      <c r="E108" s="281" t="s">
        <v>985</v>
      </c>
      <c r="F108" s="616">
        <v>880000.0</v>
      </c>
      <c r="G108" s="616">
        <v>105000.0</v>
      </c>
      <c r="H108" s="9"/>
      <c r="I108" s="8"/>
      <c r="J108" s="9"/>
      <c r="O108" s="497">
        <f t="shared" si="3"/>
        <v>1315000</v>
      </c>
      <c r="P108" s="495" t="str">
        <f t="shared" si="4"/>
        <v>LUNAS</v>
      </c>
      <c r="Q108" s="135">
        <f t="shared" si="5"/>
        <v>0</v>
      </c>
      <c r="S108" s="101"/>
    </row>
    <row r="109" ht="15.75" customHeight="1">
      <c r="A109" s="49"/>
      <c r="C109" s="629">
        <f t="shared" si="11"/>
        <v>45767</v>
      </c>
      <c r="D109" s="589">
        <v>45737.0</v>
      </c>
      <c r="E109" s="281" t="s">
        <v>470</v>
      </c>
      <c r="F109" s="616">
        <v>3.006E7</v>
      </c>
      <c r="G109" s="616">
        <v>2330000.0</v>
      </c>
      <c r="H109" s="9"/>
      <c r="I109" s="8"/>
      <c r="J109" s="9"/>
      <c r="O109" s="497">
        <f t="shared" si="3"/>
        <v>2760000</v>
      </c>
      <c r="P109" s="495" t="str">
        <f t="shared" si="4"/>
        <v>LUNAS</v>
      </c>
      <c r="Q109" s="135">
        <f t="shared" si="5"/>
        <v>0</v>
      </c>
      <c r="S109" s="101"/>
    </row>
    <row r="110" ht="15.75" customHeight="1">
      <c r="A110" s="49"/>
      <c r="C110" s="589">
        <f t="shared" si="11"/>
        <v>45768</v>
      </c>
      <c r="D110" s="625">
        <v>45738.0</v>
      </c>
      <c r="E110" s="628" t="s">
        <v>267</v>
      </c>
      <c r="F110" s="616">
        <v>4100000.0</v>
      </c>
      <c r="G110" s="616">
        <v>420000.0</v>
      </c>
      <c r="H110" s="9"/>
      <c r="I110" s="8"/>
      <c r="J110" s="9"/>
      <c r="O110" s="497">
        <f t="shared" si="3"/>
        <v>1315000</v>
      </c>
      <c r="P110" s="495" t="str">
        <f t="shared" si="4"/>
        <v>LUNAS</v>
      </c>
      <c r="Q110" s="135">
        <f t="shared" si="5"/>
        <v>0</v>
      </c>
      <c r="S110" s="101"/>
    </row>
    <row r="111" ht="15.75" customHeight="1">
      <c r="A111" s="49"/>
      <c r="C111" s="624">
        <f t="shared" si="11"/>
        <v>45768</v>
      </c>
      <c r="D111" s="625">
        <v>45738.0</v>
      </c>
      <c r="E111" s="281" t="s">
        <v>801</v>
      </c>
      <c r="F111" s="616">
        <v>3400000.0</v>
      </c>
      <c r="G111" s="616">
        <v>400000.0</v>
      </c>
      <c r="H111" s="9"/>
      <c r="I111" s="8"/>
      <c r="J111" s="9"/>
      <c r="O111" s="497">
        <f t="shared" si="3"/>
        <v>1315000</v>
      </c>
      <c r="P111" s="495" t="str">
        <f t="shared" si="4"/>
        <v>LUNAS</v>
      </c>
      <c r="Q111" s="135">
        <f t="shared" si="5"/>
        <v>0</v>
      </c>
      <c r="S111" s="101"/>
    </row>
    <row r="112" ht="15.75" customHeight="1">
      <c r="A112" s="49"/>
      <c r="C112" s="624">
        <f t="shared" si="11"/>
        <v>45768</v>
      </c>
      <c r="D112" s="630">
        <v>45738.0</v>
      </c>
      <c r="E112" s="281" t="s">
        <v>801</v>
      </c>
      <c r="F112" s="616">
        <v>4710000.0</v>
      </c>
      <c r="G112" s="616">
        <v>450000.0</v>
      </c>
      <c r="H112" s="9"/>
      <c r="I112" s="8"/>
      <c r="J112" s="9"/>
      <c r="O112" s="497">
        <f t="shared" si="3"/>
        <v>1330000</v>
      </c>
      <c r="P112" s="495" t="str">
        <f t="shared" si="4"/>
        <v>LUNAS</v>
      </c>
      <c r="Q112" s="135">
        <f t="shared" si="5"/>
        <v>0</v>
      </c>
      <c r="S112" s="101"/>
    </row>
    <row r="113" ht="15.75" customHeight="1">
      <c r="A113" s="49"/>
      <c r="C113" s="624">
        <f t="shared" si="11"/>
        <v>45768</v>
      </c>
      <c r="D113" s="625">
        <v>45738.0</v>
      </c>
      <c r="E113" s="281" t="s">
        <v>801</v>
      </c>
      <c r="F113" s="616">
        <v>1250000.0</v>
      </c>
      <c r="G113" s="616">
        <v>250000.0</v>
      </c>
      <c r="H113" s="9"/>
      <c r="I113" s="8"/>
      <c r="J113" s="9"/>
      <c r="O113" s="497">
        <f t="shared" si="3"/>
        <v>1330000</v>
      </c>
      <c r="P113" s="495" t="str">
        <f t="shared" si="4"/>
        <v>LUNAS</v>
      </c>
      <c r="Q113" s="135">
        <f t="shared" si="5"/>
        <v>0</v>
      </c>
      <c r="S113" s="101"/>
    </row>
    <row r="114" ht="15.75" customHeight="1">
      <c r="A114" s="49"/>
      <c r="C114" s="624">
        <f t="shared" si="11"/>
        <v>45768</v>
      </c>
      <c r="D114" s="630">
        <v>45738.0</v>
      </c>
      <c r="E114" s="281" t="s">
        <v>801</v>
      </c>
      <c r="F114" s="616">
        <v>500000.0</v>
      </c>
      <c r="G114" s="616">
        <v>275000.0</v>
      </c>
      <c r="H114" s="9"/>
      <c r="I114" s="8"/>
      <c r="J114" s="9"/>
      <c r="O114" s="497">
        <f t="shared" si="3"/>
        <v>2660000</v>
      </c>
      <c r="P114" s="495" t="str">
        <f t="shared" si="4"/>
        <v>BELUM LUNAS</v>
      </c>
      <c r="Q114" s="135">
        <f t="shared" si="5"/>
        <v>-1330000</v>
      </c>
      <c r="S114" s="101"/>
    </row>
    <row r="115" ht="15.75" customHeight="1">
      <c r="A115" s="49"/>
      <c r="C115" s="629">
        <f t="shared" si="11"/>
        <v>45771</v>
      </c>
      <c r="D115" s="589">
        <v>45741.0</v>
      </c>
      <c r="E115" s="281" t="s">
        <v>901</v>
      </c>
      <c r="F115" s="616">
        <v>3800000.0</v>
      </c>
      <c r="G115" s="616">
        <v>400000.0</v>
      </c>
      <c r="H115" s="9"/>
      <c r="I115" s="8"/>
      <c r="J115" s="9"/>
      <c r="O115" s="497">
        <f t="shared" si="3"/>
        <v>0</v>
      </c>
      <c r="P115" s="495" t="str">
        <f t="shared" si="4"/>
        <v>BELUM LUNAS</v>
      </c>
      <c r="Q115" s="135">
        <f t="shared" si="5"/>
        <v>1330000</v>
      </c>
      <c r="S115" s="101"/>
    </row>
    <row r="116" ht="15.75" customHeight="1">
      <c r="A116" s="49"/>
      <c r="C116" s="624">
        <f t="shared" si="11"/>
        <v>45771</v>
      </c>
      <c r="D116" s="625">
        <v>45741.0</v>
      </c>
      <c r="E116" s="636" t="s">
        <v>741</v>
      </c>
      <c r="F116" s="616">
        <v>4100000.0</v>
      </c>
      <c r="G116" s="616">
        <v>420000.0</v>
      </c>
      <c r="H116" s="9"/>
      <c r="I116" s="8"/>
      <c r="J116" s="9"/>
      <c r="O116" s="497">
        <f t="shared" si="3"/>
        <v>1330000</v>
      </c>
      <c r="P116" s="495" t="str">
        <f t="shared" si="4"/>
        <v>LUNAS</v>
      </c>
      <c r="Q116" s="135">
        <f t="shared" si="5"/>
        <v>0</v>
      </c>
      <c r="S116" s="101"/>
    </row>
    <row r="117" ht="15.75" customHeight="1">
      <c r="A117" s="49"/>
      <c r="C117" s="627">
        <f t="shared" si="11"/>
        <v>45773</v>
      </c>
      <c r="D117" s="614">
        <v>45743.0</v>
      </c>
      <c r="E117" s="631" t="s">
        <v>735</v>
      </c>
      <c r="F117" s="616">
        <v>3140000.0</v>
      </c>
      <c r="G117" s="616">
        <v>300000.0</v>
      </c>
      <c r="H117" s="9"/>
      <c r="I117" s="8"/>
      <c r="J117" s="9"/>
      <c r="O117" s="497">
        <f t="shared" si="3"/>
        <v>0</v>
      </c>
      <c r="P117" s="495" t="str">
        <f t="shared" si="4"/>
        <v>BELUM LUNAS</v>
      </c>
      <c r="Q117" s="135">
        <f t="shared" si="5"/>
        <v>2850000</v>
      </c>
      <c r="S117" s="101"/>
    </row>
    <row r="118" ht="15.75" customHeight="1">
      <c r="A118" s="49"/>
      <c r="C118" s="629">
        <f t="shared" si="11"/>
        <v>45776</v>
      </c>
      <c r="D118" s="589">
        <v>45746.0</v>
      </c>
      <c r="E118" s="281" t="s">
        <v>991</v>
      </c>
      <c r="F118" s="616">
        <v>2890000.0</v>
      </c>
      <c r="G118" s="616">
        <v>310000.0</v>
      </c>
      <c r="H118" s="9"/>
      <c r="I118" s="8"/>
      <c r="J118" s="9"/>
      <c r="O118" s="497">
        <f t="shared" si="3"/>
        <v>2000000</v>
      </c>
      <c r="P118" s="495" t="str">
        <f t="shared" si="4"/>
        <v>LUNAS</v>
      </c>
      <c r="Q118" s="135">
        <f t="shared" si="5"/>
        <v>0</v>
      </c>
      <c r="S118" s="101"/>
    </row>
    <row r="119" ht="15.75" customHeight="1">
      <c r="A119" s="49"/>
      <c r="C119" s="589">
        <f t="shared" si="11"/>
        <v>45784</v>
      </c>
      <c r="D119" s="589">
        <v>45754.0</v>
      </c>
      <c r="E119" s="281" t="s">
        <v>234</v>
      </c>
      <c r="F119" s="616">
        <v>2465000.0</v>
      </c>
      <c r="G119" s="616">
        <v>455000.0</v>
      </c>
      <c r="H119" s="9"/>
      <c r="I119" s="8"/>
      <c r="J119" s="9"/>
      <c r="O119" s="497">
        <f t="shared" si="3"/>
        <v>280000</v>
      </c>
      <c r="P119" s="495" t="str">
        <f t="shared" si="4"/>
        <v>LUNAS</v>
      </c>
      <c r="Q119" s="135">
        <f t="shared" si="5"/>
        <v>0</v>
      </c>
      <c r="S119" s="101"/>
    </row>
    <row r="120" ht="15.75" customHeight="1">
      <c r="A120" s="49"/>
      <c r="C120" s="589">
        <f t="shared" si="11"/>
        <v>45784</v>
      </c>
      <c r="D120" s="624">
        <v>45754.0</v>
      </c>
      <c r="E120" s="111" t="s">
        <v>693</v>
      </c>
      <c r="F120" s="616">
        <v>750000.0</v>
      </c>
      <c r="G120" s="616">
        <v>155000.0</v>
      </c>
      <c r="H120" s="9"/>
      <c r="I120" s="8"/>
      <c r="J120" s="9"/>
      <c r="O120" s="497">
        <f t="shared" si="3"/>
        <v>830000</v>
      </c>
      <c r="P120" s="495" t="str">
        <f t="shared" si="4"/>
        <v>LUNAS</v>
      </c>
      <c r="Q120" s="135">
        <f t="shared" si="5"/>
        <v>0</v>
      </c>
      <c r="S120" s="101"/>
    </row>
    <row r="121" ht="15.75" customHeight="1">
      <c r="A121" s="49"/>
      <c r="C121" s="627">
        <f t="shared" si="11"/>
        <v>45784</v>
      </c>
      <c r="D121" s="614">
        <v>45754.0</v>
      </c>
      <c r="E121" s="281" t="s">
        <v>843</v>
      </c>
      <c r="F121" s="616">
        <v>4100000.0</v>
      </c>
      <c r="G121" s="616">
        <v>420000.0</v>
      </c>
      <c r="H121" s="9"/>
      <c r="I121" s="8"/>
      <c r="J121" s="9"/>
      <c r="O121" s="497">
        <f t="shared" si="3"/>
        <v>2465000</v>
      </c>
      <c r="P121" s="495" t="str">
        <f t="shared" si="4"/>
        <v>LUNAS</v>
      </c>
      <c r="Q121" s="135">
        <f t="shared" si="5"/>
        <v>0</v>
      </c>
      <c r="S121" s="101"/>
    </row>
    <row r="122" ht="15.75" customHeight="1">
      <c r="A122" s="49"/>
      <c r="C122" s="589">
        <f t="shared" si="11"/>
        <v>45785</v>
      </c>
      <c r="D122" s="589">
        <v>45755.0</v>
      </c>
      <c r="E122" s="281" t="s">
        <v>119</v>
      </c>
      <c r="F122" s="616">
        <v>3800000.0</v>
      </c>
      <c r="G122" s="616">
        <v>400000.0</v>
      </c>
      <c r="H122" s="9"/>
      <c r="I122" s="8"/>
      <c r="J122" s="9"/>
      <c r="O122" s="497">
        <f t="shared" si="3"/>
        <v>3550000</v>
      </c>
      <c r="P122" s="495" t="str">
        <f t="shared" si="4"/>
        <v>LUNAS</v>
      </c>
      <c r="Q122" s="135">
        <f t="shared" si="5"/>
        <v>0</v>
      </c>
      <c r="S122" s="101"/>
    </row>
    <row r="123" ht="15.75" customHeight="1">
      <c r="A123" s="49"/>
      <c r="C123" s="629">
        <f t="shared" si="11"/>
        <v>45785</v>
      </c>
      <c r="D123" s="589">
        <v>45755.0</v>
      </c>
      <c r="E123" s="281" t="s">
        <v>383</v>
      </c>
      <c r="F123" s="616">
        <v>3540000.0</v>
      </c>
      <c r="G123" s="616">
        <v>400000.0</v>
      </c>
      <c r="H123" s="9"/>
      <c r="I123" s="8"/>
      <c r="J123" s="9"/>
      <c r="O123" s="497">
        <f t="shared" si="3"/>
        <v>1600000</v>
      </c>
      <c r="P123" s="495" t="str">
        <f t="shared" si="4"/>
        <v>LUNAS</v>
      </c>
      <c r="Q123" s="135">
        <f t="shared" si="5"/>
        <v>0</v>
      </c>
      <c r="S123" s="101"/>
    </row>
    <row r="124" ht="15.75" customHeight="1">
      <c r="A124" s="49"/>
      <c r="C124" s="589">
        <f t="shared" si="11"/>
        <v>45786</v>
      </c>
      <c r="D124" s="589">
        <v>45756.0</v>
      </c>
      <c r="E124" s="281" t="s">
        <v>144</v>
      </c>
      <c r="F124" s="616">
        <v>1700000.0</v>
      </c>
      <c r="G124" s="616">
        <v>200000.0</v>
      </c>
      <c r="H124" s="9"/>
      <c r="I124" s="8"/>
      <c r="J124" s="9"/>
      <c r="O124" s="497">
        <f t="shared" si="3"/>
        <v>1560000</v>
      </c>
      <c r="P124" s="495" t="str">
        <f t="shared" si="4"/>
        <v>LUNAS</v>
      </c>
      <c r="Q124" s="135">
        <f t="shared" si="5"/>
        <v>0</v>
      </c>
      <c r="S124" s="101"/>
    </row>
    <row r="125" ht="15.75" customHeight="1">
      <c r="A125" s="49"/>
      <c r="C125" s="624">
        <f t="shared" si="11"/>
        <v>45788</v>
      </c>
      <c r="D125" s="625">
        <v>45758.0</v>
      </c>
      <c r="E125" s="281" t="s">
        <v>583</v>
      </c>
      <c r="F125" s="616">
        <v>3540000.0</v>
      </c>
      <c r="G125" s="616">
        <v>400000.0</v>
      </c>
      <c r="H125" s="9"/>
      <c r="I125" s="8"/>
      <c r="J125" s="9"/>
      <c r="O125" s="497">
        <f t="shared" si="3"/>
        <v>1685000</v>
      </c>
      <c r="P125" s="495" t="str">
        <f t="shared" si="4"/>
        <v>LUNAS</v>
      </c>
      <c r="Q125" s="135">
        <f t="shared" si="5"/>
        <v>0</v>
      </c>
      <c r="S125" s="101"/>
    </row>
    <row r="126" ht="15.75" customHeight="1">
      <c r="A126" s="49"/>
      <c r="C126" s="624">
        <f t="shared" si="11"/>
        <v>45788</v>
      </c>
      <c r="D126" s="630">
        <v>45758.0</v>
      </c>
      <c r="E126" s="281" t="s">
        <v>583</v>
      </c>
      <c r="F126" s="616">
        <v>100000.0</v>
      </c>
      <c r="G126" s="616">
        <v>55000.0</v>
      </c>
      <c r="H126" s="9"/>
      <c r="I126" s="8"/>
      <c r="J126" s="9"/>
      <c r="O126" s="497">
        <f t="shared" si="3"/>
        <v>2485000</v>
      </c>
      <c r="P126" s="495" t="str">
        <f t="shared" si="4"/>
        <v>LUNAS</v>
      </c>
      <c r="Q126" s="135">
        <f t="shared" si="5"/>
        <v>0</v>
      </c>
      <c r="S126" s="101"/>
    </row>
    <row r="127" ht="15.75" customHeight="1">
      <c r="A127" s="49"/>
      <c r="C127" s="589">
        <f t="shared" si="11"/>
        <v>45788</v>
      </c>
      <c r="D127" s="630">
        <v>45758.0</v>
      </c>
      <c r="E127" s="632" t="s">
        <v>267</v>
      </c>
      <c r="F127" s="616">
        <v>4100000.0</v>
      </c>
      <c r="G127" s="616">
        <v>420000.0</v>
      </c>
      <c r="H127" s="9"/>
      <c r="I127" s="8"/>
      <c r="J127" s="9"/>
      <c r="O127" s="497">
        <f t="shared" si="3"/>
        <v>1820000</v>
      </c>
      <c r="P127" s="495" t="str">
        <f t="shared" si="4"/>
        <v>LUNAS</v>
      </c>
      <c r="Q127" s="135">
        <f t="shared" si="5"/>
        <v>0</v>
      </c>
      <c r="S127" s="101"/>
    </row>
    <row r="128" ht="15.75" customHeight="1">
      <c r="A128" s="49"/>
      <c r="C128" s="589">
        <f t="shared" si="11"/>
        <v>45788</v>
      </c>
      <c r="D128" s="625">
        <v>45758.0</v>
      </c>
      <c r="E128" s="628" t="s">
        <v>267</v>
      </c>
      <c r="F128" s="616">
        <v>1470000.0</v>
      </c>
      <c r="G128" s="616">
        <v>200000.0</v>
      </c>
      <c r="H128" s="9"/>
      <c r="I128" s="8"/>
      <c r="J128" s="9"/>
      <c r="O128" s="497">
        <f t="shared" si="3"/>
        <v>3370000</v>
      </c>
      <c r="P128" s="495" t="str">
        <f t="shared" si="4"/>
        <v>LUNAS</v>
      </c>
      <c r="Q128" s="135">
        <f t="shared" si="5"/>
        <v>0</v>
      </c>
      <c r="S128" s="101"/>
    </row>
    <row r="129" ht="15.75" customHeight="1">
      <c r="A129" s="49"/>
      <c r="C129" s="589">
        <f t="shared" si="11"/>
        <v>45788</v>
      </c>
      <c r="D129" s="630">
        <v>45758.0</v>
      </c>
      <c r="E129" s="632" t="s">
        <v>267</v>
      </c>
      <c r="F129" s="616">
        <v>290000.0</v>
      </c>
      <c r="G129" s="616">
        <v>60000.0</v>
      </c>
      <c r="H129" s="9"/>
      <c r="I129" s="8"/>
      <c r="J129" s="9"/>
      <c r="O129" s="497">
        <f t="shared" si="3"/>
        <v>1625000</v>
      </c>
      <c r="P129" s="495" t="str">
        <f t="shared" si="4"/>
        <v>LUNAS</v>
      </c>
      <c r="Q129" s="135">
        <f t="shared" si="5"/>
        <v>0</v>
      </c>
      <c r="S129" s="101"/>
    </row>
    <row r="130" ht="15.75" customHeight="1">
      <c r="A130" s="49"/>
      <c r="C130" s="589">
        <f t="shared" si="11"/>
        <v>45788</v>
      </c>
      <c r="D130" s="625">
        <v>45758.0</v>
      </c>
      <c r="E130" s="628" t="s">
        <v>267</v>
      </c>
      <c r="F130" s="616">
        <v>85000.0</v>
      </c>
      <c r="G130" s="616">
        <v>45000.0</v>
      </c>
      <c r="H130" s="9"/>
      <c r="I130" s="8"/>
      <c r="J130" s="9"/>
      <c r="O130" s="497">
        <f t="shared" si="3"/>
        <v>3200000</v>
      </c>
      <c r="P130" s="495" t="str">
        <f t="shared" si="4"/>
        <v>LUNAS</v>
      </c>
      <c r="Q130" s="135">
        <f t="shared" si="5"/>
        <v>0</v>
      </c>
      <c r="S130" s="101"/>
    </row>
    <row r="131" ht="15.75" customHeight="1">
      <c r="A131" s="49"/>
      <c r="C131" s="624">
        <f t="shared" si="11"/>
        <v>45789</v>
      </c>
      <c r="D131" s="625">
        <v>45759.0</v>
      </c>
      <c r="E131" s="281" t="s">
        <v>583</v>
      </c>
      <c r="F131" s="616">
        <v>500000.0</v>
      </c>
      <c r="G131" s="616">
        <v>100000.0</v>
      </c>
      <c r="H131" s="9"/>
      <c r="I131" s="8"/>
      <c r="J131" s="9"/>
      <c r="O131" s="497">
        <f t="shared" si="3"/>
        <v>1600000</v>
      </c>
      <c r="P131" s="495" t="str">
        <f t="shared" si="4"/>
        <v>LUNAS</v>
      </c>
      <c r="Q131" s="135">
        <f t="shared" si="5"/>
        <v>0</v>
      </c>
      <c r="S131" s="101"/>
    </row>
    <row r="132" ht="15.75" customHeight="1">
      <c r="A132" s="49"/>
      <c r="C132" s="624">
        <f t="shared" si="11"/>
        <v>45789</v>
      </c>
      <c r="D132" s="630">
        <v>45759.0</v>
      </c>
      <c r="E132" s="281" t="s">
        <v>583</v>
      </c>
      <c r="F132" s="616">
        <v>100000.0</v>
      </c>
      <c r="G132" s="616">
        <v>55000.0</v>
      </c>
      <c r="H132" s="9"/>
      <c r="I132" s="8"/>
      <c r="J132" s="9"/>
      <c r="O132" s="497">
        <f t="shared" si="3"/>
        <v>1665000</v>
      </c>
      <c r="P132" s="495" t="str">
        <f t="shared" si="4"/>
        <v>LUNAS</v>
      </c>
      <c r="Q132" s="135">
        <f t="shared" si="5"/>
        <v>0</v>
      </c>
      <c r="S132" s="101"/>
    </row>
    <row r="133" ht="15.75" customHeight="1">
      <c r="A133" s="49"/>
      <c r="C133" s="587">
        <f>D133+20</f>
        <v>45789</v>
      </c>
      <c r="D133" s="624">
        <v>45769.0</v>
      </c>
      <c r="E133" s="281" t="s">
        <v>1007</v>
      </c>
      <c r="F133" s="616">
        <v>2020000.0</v>
      </c>
      <c r="G133" s="616">
        <v>250000.0</v>
      </c>
      <c r="H133" s="9"/>
      <c r="I133" s="8"/>
      <c r="J133" s="9"/>
      <c r="O133" s="497">
        <f t="shared" si="3"/>
        <v>0</v>
      </c>
      <c r="P133" s="495" t="str">
        <f t="shared" si="4"/>
        <v>BELUM LUNAS</v>
      </c>
      <c r="Q133" s="135">
        <f t="shared" si="5"/>
        <v>220000</v>
      </c>
      <c r="S133" s="101"/>
    </row>
    <row r="134" ht="15.75" customHeight="1">
      <c r="A134" s="49"/>
      <c r="C134" s="629">
        <f>D134+30</f>
        <v>45791</v>
      </c>
      <c r="D134" s="589">
        <v>45761.0</v>
      </c>
      <c r="E134" s="281" t="s">
        <v>370</v>
      </c>
      <c r="F134" s="616">
        <v>4470000.0</v>
      </c>
      <c r="G134" s="616">
        <v>370000.0</v>
      </c>
      <c r="H134" s="9"/>
      <c r="I134" s="8"/>
      <c r="J134" s="9"/>
      <c r="O134" s="497">
        <f t="shared" si="3"/>
        <v>1450000</v>
      </c>
      <c r="P134" s="495" t="str">
        <f t="shared" si="4"/>
        <v>LUNAS</v>
      </c>
      <c r="Q134" s="135">
        <f t="shared" si="5"/>
        <v>0</v>
      </c>
      <c r="S134" s="101"/>
    </row>
    <row r="135" ht="15.75" customHeight="1">
      <c r="A135" s="49"/>
      <c r="C135" s="589">
        <f>D135+14</f>
        <v>45792</v>
      </c>
      <c r="D135" s="614">
        <v>45778.0</v>
      </c>
      <c r="E135" s="281" t="s">
        <v>74</v>
      </c>
      <c r="F135" s="615">
        <v>3090000.0</v>
      </c>
      <c r="G135" s="616">
        <v>360000.0</v>
      </c>
      <c r="H135" s="9"/>
      <c r="I135" s="8"/>
      <c r="J135" s="9"/>
      <c r="O135" s="497">
        <f t="shared" si="3"/>
        <v>1740000</v>
      </c>
      <c r="P135" s="495" t="str">
        <f t="shared" si="4"/>
        <v>LUNAS</v>
      </c>
      <c r="Q135" s="135">
        <f t="shared" si="5"/>
        <v>0</v>
      </c>
      <c r="S135" s="101"/>
    </row>
    <row r="136" ht="15.75" customHeight="1">
      <c r="A136" s="49"/>
      <c r="C136" s="624">
        <f t="shared" ref="C136:C153" si="12">D136+30</f>
        <v>45792</v>
      </c>
      <c r="D136" s="630">
        <v>45762.0</v>
      </c>
      <c r="E136" s="281" t="s">
        <v>979</v>
      </c>
      <c r="F136" s="616">
        <v>3400000.0</v>
      </c>
      <c r="G136" s="616">
        <v>400000.0</v>
      </c>
      <c r="H136" s="9"/>
      <c r="I136" s="8"/>
      <c r="J136" s="9"/>
      <c r="O136" s="497">
        <f t="shared" si="3"/>
        <v>4720000</v>
      </c>
      <c r="P136" s="495" t="str">
        <f t="shared" si="4"/>
        <v>LUNAS</v>
      </c>
      <c r="Q136" s="135">
        <f t="shared" si="5"/>
        <v>0</v>
      </c>
      <c r="S136" s="101"/>
    </row>
    <row r="137" ht="15.75" customHeight="1">
      <c r="A137" s="49"/>
      <c r="C137" s="624">
        <f t="shared" si="12"/>
        <v>45792</v>
      </c>
      <c r="D137" s="625">
        <v>45762.0</v>
      </c>
      <c r="E137" s="281" t="s">
        <v>979</v>
      </c>
      <c r="F137" s="616">
        <v>500000.0</v>
      </c>
      <c r="G137" s="616">
        <v>100000.0</v>
      </c>
      <c r="H137" s="9"/>
      <c r="I137" s="8"/>
      <c r="J137" s="9"/>
      <c r="O137" s="497">
        <f t="shared" si="3"/>
        <v>4100000</v>
      </c>
      <c r="P137" s="495" t="str">
        <f t="shared" si="4"/>
        <v>LUNAS</v>
      </c>
      <c r="Q137" s="135">
        <f t="shared" si="5"/>
        <v>0</v>
      </c>
      <c r="S137" s="101"/>
    </row>
    <row r="138" ht="15.75" customHeight="1">
      <c r="A138" s="49"/>
      <c r="C138" s="624">
        <f t="shared" si="12"/>
        <v>45792</v>
      </c>
      <c r="D138" s="630">
        <v>45762.0</v>
      </c>
      <c r="E138" s="281" t="s">
        <v>979</v>
      </c>
      <c r="F138" s="616">
        <v>200000.0</v>
      </c>
      <c r="G138" s="616">
        <v>110000.0</v>
      </c>
      <c r="H138" s="9"/>
      <c r="I138" s="8"/>
      <c r="J138" s="9"/>
      <c r="O138" s="497">
        <f t="shared" si="3"/>
        <v>2660000</v>
      </c>
      <c r="P138" s="495" t="str">
        <f t="shared" si="4"/>
        <v>LUNAS</v>
      </c>
      <c r="Q138" s="135">
        <f t="shared" si="5"/>
        <v>0</v>
      </c>
      <c r="S138" s="101"/>
    </row>
    <row r="139" ht="15.75" customHeight="1">
      <c r="A139" s="49"/>
      <c r="C139" s="624">
        <f t="shared" si="12"/>
        <v>45792</v>
      </c>
      <c r="D139" s="625">
        <v>45762.0</v>
      </c>
      <c r="E139" s="628" t="s">
        <v>927</v>
      </c>
      <c r="F139" s="616">
        <v>4120000.0</v>
      </c>
      <c r="G139" s="616">
        <v>420000.0</v>
      </c>
      <c r="H139" s="9"/>
      <c r="I139" s="8"/>
      <c r="J139" s="9"/>
      <c r="O139" s="497">
        <f t="shared" si="3"/>
        <v>2630000</v>
      </c>
      <c r="P139" s="495" t="str">
        <f t="shared" si="4"/>
        <v>LUNAS</v>
      </c>
      <c r="Q139" s="135">
        <f t="shared" si="5"/>
        <v>0</v>
      </c>
      <c r="S139" s="101"/>
    </row>
    <row r="140" ht="15.75" customHeight="1">
      <c r="A140" s="49"/>
      <c r="C140" s="625">
        <f t="shared" si="12"/>
        <v>45793</v>
      </c>
      <c r="D140" s="630">
        <v>45763.0</v>
      </c>
      <c r="E140" s="111" t="s">
        <v>303</v>
      </c>
      <c r="F140" s="616">
        <v>4100000.0</v>
      </c>
      <c r="G140" s="637">
        <v>420000.0</v>
      </c>
      <c r="H140" s="9"/>
      <c r="I140" s="8"/>
      <c r="J140" s="9"/>
      <c r="O140" s="497">
        <f t="shared" si="3"/>
        <v>4720000</v>
      </c>
      <c r="P140" s="495" t="str">
        <f t="shared" si="4"/>
        <v>LUNAS</v>
      </c>
      <c r="Q140" s="135">
        <f t="shared" si="5"/>
        <v>0</v>
      </c>
      <c r="S140" s="101"/>
    </row>
    <row r="141" ht="15.75" customHeight="1">
      <c r="A141" s="49"/>
      <c r="C141" s="629">
        <f t="shared" si="12"/>
        <v>45793</v>
      </c>
      <c r="D141" s="589">
        <v>45763.0</v>
      </c>
      <c r="E141" s="281" t="s">
        <v>264</v>
      </c>
      <c r="F141" s="616">
        <v>2060000.0</v>
      </c>
      <c r="G141" s="616">
        <v>210000.0</v>
      </c>
      <c r="H141" s="9"/>
      <c r="I141" s="8"/>
      <c r="J141" s="9"/>
      <c r="O141" s="497">
        <f t="shared" si="3"/>
        <v>2060000</v>
      </c>
      <c r="P141" s="495" t="str">
        <f t="shared" si="4"/>
        <v>LUNAS</v>
      </c>
      <c r="Q141" s="135">
        <f t="shared" si="5"/>
        <v>0</v>
      </c>
      <c r="S141" s="101"/>
    </row>
    <row r="142" ht="15.75" customHeight="1">
      <c r="A142" s="49"/>
      <c r="C142" s="624">
        <f t="shared" si="12"/>
        <v>45793</v>
      </c>
      <c r="D142" s="624">
        <v>45763.0</v>
      </c>
      <c r="E142" s="111" t="s">
        <v>999</v>
      </c>
      <c r="F142" s="616">
        <v>2360000.0</v>
      </c>
      <c r="G142" s="616">
        <v>200000.0</v>
      </c>
      <c r="H142" s="9"/>
      <c r="I142" s="8"/>
      <c r="J142" s="9"/>
      <c r="O142" s="497">
        <f t="shared" si="3"/>
        <v>930000</v>
      </c>
      <c r="P142" s="495" t="str">
        <f t="shared" si="4"/>
        <v>LUNAS</v>
      </c>
      <c r="Q142" s="135">
        <f t="shared" si="5"/>
        <v>0</v>
      </c>
      <c r="S142" s="101"/>
    </row>
    <row r="143" ht="15.75" customHeight="1">
      <c r="A143" s="49"/>
      <c r="C143" s="629">
        <f t="shared" si="12"/>
        <v>45794</v>
      </c>
      <c r="D143" s="589">
        <v>45764.0</v>
      </c>
      <c r="E143" s="281" t="s">
        <v>396</v>
      </c>
      <c r="F143" s="616">
        <v>2530000.0</v>
      </c>
      <c r="G143" s="616">
        <v>300000.0</v>
      </c>
      <c r="H143" s="9"/>
      <c r="I143" s="8"/>
      <c r="J143" s="9"/>
      <c r="O143" s="497">
        <f t="shared" si="3"/>
        <v>4300000</v>
      </c>
      <c r="P143" s="495" t="str">
        <f t="shared" si="4"/>
        <v>LUNAS</v>
      </c>
      <c r="Q143" s="135">
        <f t="shared" si="5"/>
        <v>0</v>
      </c>
      <c r="S143" s="101"/>
    </row>
    <row r="144" ht="15.75" customHeight="1">
      <c r="A144" s="49"/>
      <c r="C144" s="589">
        <f t="shared" si="12"/>
        <v>45795</v>
      </c>
      <c r="D144" s="589">
        <v>45765.0</v>
      </c>
      <c r="E144" s="281" t="s">
        <v>234</v>
      </c>
      <c r="F144" s="616">
        <v>3550000.0</v>
      </c>
      <c r="G144" s="616">
        <v>600000.0</v>
      </c>
      <c r="H144" s="9"/>
      <c r="I144" s="8"/>
      <c r="J144" s="9"/>
      <c r="O144" s="497">
        <f t="shared" si="3"/>
        <v>910000</v>
      </c>
      <c r="P144" s="495" t="str">
        <f t="shared" si="4"/>
        <v>LUNAS</v>
      </c>
      <c r="Q144" s="135">
        <f t="shared" si="5"/>
        <v>0</v>
      </c>
      <c r="S144" s="101"/>
    </row>
    <row r="145" ht="15.75" customHeight="1">
      <c r="A145" s="49"/>
      <c r="C145" s="589">
        <f t="shared" si="12"/>
        <v>45795</v>
      </c>
      <c r="D145" s="630">
        <v>45765.0</v>
      </c>
      <c r="E145" s="632" t="s">
        <v>267</v>
      </c>
      <c r="F145" s="616">
        <v>2060000.0</v>
      </c>
      <c r="G145" s="616">
        <v>210000.0</v>
      </c>
      <c r="H145" s="9"/>
      <c r="I145" s="8"/>
      <c r="J145" s="9"/>
      <c r="O145" s="497">
        <f t="shared" si="3"/>
        <v>1980000</v>
      </c>
      <c r="P145" s="495" t="str">
        <f t="shared" si="4"/>
        <v>LUNAS</v>
      </c>
      <c r="Q145" s="135">
        <f t="shared" si="5"/>
        <v>0</v>
      </c>
      <c r="S145" s="101"/>
    </row>
    <row r="146" ht="15.75" customHeight="1">
      <c r="A146" s="49"/>
      <c r="C146" s="629">
        <f t="shared" si="12"/>
        <v>45796</v>
      </c>
      <c r="D146" s="589">
        <v>45766.0</v>
      </c>
      <c r="E146" s="281" t="s">
        <v>470</v>
      </c>
      <c r="F146" s="616">
        <v>6740000.0</v>
      </c>
      <c r="G146" s="616">
        <v>1200000.0</v>
      </c>
      <c r="H146" s="9"/>
      <c r="I146" s="8"/>
      <c r="J146" s="9"/>
      <c r="O146" s="497">
        <f t="shared" si="3"/>
        <v>9060000</v>
      </c>
      <c r="P146" s="495" t="str">
        <f t="shared" si="4"/>
        <v>LUNAS</v>
      </c>
      <c r="Q146" s="135">
        <f t="shared" si="5"/>
        <v>0</v>
      </c>
      <c r="S146" s="101"/>
    </row>
    <row r="147" ht="15.75" customHeight="1">
      <c r="A147" s="49"/>
      <c r="C147" s="627">
        <f t="shared" si="12"/>
        <v>45796</v>
      </c>
      <c r="D147" s="614">
        <v>45766.0</v>
      </c>
      <c r="E147" s="626" t="s">
        <v>735</v>
      </c>
      <c r="F147" s="616">
        <v>3140000.0</v>
      </c>
      <c r="G147" s="616">
        <v>300000.0</v>
      </c>
      <c r="H147" s="9"/>
      <c r="I147" s="8"/>
      <c r="J147" s="9"/>
      <c r="O147" s="497">
        <f t="shared" si="3"/>
        <v>3540000</v>
      </c>
      <c r="P147" s="495" t="str">
        <f t="shared" si="4"/>
        <v>LUNAS</v>
      </c>
      <c r="Q147" s="135">
        <f t="shared" si="5"/>
        <v>0</v>
      </c>
      <c r="S147" s="101"/>
    </row>
    <row r="148" ht="15.75" customHeight="1">
      <c r="A148" s="49"/>
      <c r="C148" s="627">
        <f t="shared" si="12"/>
        <v>45796</v>
      </c>
      <c r="D148" s="614">
        <v>45766.0</v>
      </c>
      <c r="E148" s="631" t="s">
        <v>735</v>
      </c>
      <c r="F148" s="616">
        <v>85000.0</v>
      </c>
      <c r="G148" s="616">
        <v>35000.0</v>
      </c>
      <c r="H148" s="9"/>
      <c r="I148" s="8"/>
      <c r="J148" s="9"/>
      <c r="O148" s="497">
        <f t="shared" si="3"/>
        <v>8200000</v>
      </c>
      <c r="P148" s="495" t="str">
        <f t="shared" si="4"/>
        <v>LUNAS</v>
      </c>
      <c r="Q148" s="135">
        <f t="shared" si="5"/>
        <v>0</v>
      </c>
      <c r="S148" s="101"/>
    </row>
    <row r="149" ht="15.75" customHeight="1">
      <c r="A149" s="49"/>
      <c r="C149" s="589">
        <f t="shared" si="12"/>
        <v>45799</v>
      </c>
      <c r="D149" s="624">
        <v>45769.0</v>
      </c>
      <c r="E149" s="281" t="s">
        <v>274</v>
      </c>
      <c r="F149" s="616">
        <v>1000000.0</v>
      </c>
      <c r="G149" s="616">
        <v>225000.0</v>
      </c>
      <c r="H149" s="9"/>
      <c r="I149" s="8"/>
      <c r="J149" s="9"/>
      <c r="O149" s="497">
        <f t="shared" si="3"/>
        <v>3540000</v>
      </c>
      <c r="P149" s="495" t="str">
        <f t="shared" si="4"/>
        <v>LUNAS</v>
      </c>
      <c r="Q149" s="135">
        <f t="shared" si="5"/>
        <v>0</v>
      </c>
      <c r="S149" s="101"/>
    </row>
    <row r="150" ht="15.75" customHeight="1">
      <c r="A150" s="49"/>
      <c r="C150" s="627">
        <f t="shared" si="12"/>
        <v>45801</v>
      </c>
      <c r="D150" s="614">
        <v>45771.0</v>
      </c>
      <c r="E150" s="281" t="s">
        <v>641</v>
      </c>
      <c r="F150" s="616">
        <v>2050000.0</v>
      </c>
      <c r="G150" s="616">
        <v>200000.0</v>
      </c>
      <c r="H150" s="9"/>
      <c r="I150" s="8"/>
      <c r="J150" s="9"/>
      <c r="O150" s="497">
        <f t="shared" si="3"/>
        <v>9440000</v>
      </c>
      <c r="P150" s="495" t="str">
        <f t="shared" si="4"/>
        <v>LUNAS</v>
      </c>
      <c r="Q150" s="135">
        <f t="shared" si="5"/>
        <v>0</v>
      </c>
      <c r="S150" s="101"/>
    </row>
    <row r="151" ht="15.75" customHeight="1">
      <c r="A151" s="49"/>
      <c r="C151" s="629">
        <f t="shared" si="12"/>
        <v>45802</v>
      </c>
      <c r="D151" s="589">
        <v>45772.0</v>
      </c>
      <c r="E151" s="281" t="s">
        <v>383</v>
      </c>
      <c r="F151" s="616">
        <v>4470000.0</v>
      </c>
      <c r="G151" s="616">
        <v>370000.0</v>
      </c>
      <c r="H151" s="9"/>
      <c r="I151" s="8"/>
      <c r="J151" s="9"/>
      <c r="O151" s="497">
        <f t="shared" si="3"/>
        <v>8880000</v>
      </c>
      <c r="P151" s="495" t="str">
        <f t="shared" si="4"/>
        <v>LUNAS</v>
      </c>
      <c r="Q151" s="135">
        <f t="shared" si="5"/>
        <v>0</v>
      </c>
      <c r="S151" s="101"/>
    </row>
    <row r="152" ht="15.75" customHeight="1">
      <c r="A152" s="49"/>
      <c r="C152" s="589">
        <f t="shared" si="12"/>
        <v>45803</v>
      </c>
      <c r="D152" s="589">
        <v>45773.0</v>
      </c>
      <c r="E152" s="281" t="s">
        <v>208</v>
      </c>
      <c r="F152" s="616">
        <v>1315000.0</v>
      </c>
      <c r="G152" s="616">
        <v>200000.0</v>
      </c>
      <c r="H152" s="9"/>
      <c r="I152" s="8"/>
      <c r="J152" s="9"/>
      <c r="O152" s="497">
        <f t="shared" si="3"/>
        <v>2700000</v>
      </c>
      <c r="P152" s="495" t="str">
        <f t="shared" si="4"/>
        <v>BELUM LUNAS</v>
      </c>
      <c r="Q152" s="135">
        <f t="shared" si="5"/>
        <v>940000</v>
      </c>
      <c r="S152" s="101"/>
    </row>
    <row r="153" ht="15.75" customHeight="1">
      <c r="A153" s="49"/>
      <c r="C153" s="589">
        <f t="shared" si="12"/>
        <v>45805</v>
      </c>
      <c r="D153" s="589">
        <v>45775.0</v>
      </c>
      <c r="E153" s="281" t="s">
        <v>132</v>
      </c>
      <c r="F153" s="616">
        <v>2240000.0</v>
      </c>
      <c r="G153" s="616">
        <v>290000.0</v>
      </c>
      <c r="H153" s="9"/>
      <c r="I153" s="8"/>
      <c r="J153" s="9"/>
      <c r="O153" s="497">
        <f t="shared" si="3"/>
        <v>3850000</v>
      </c>
      <c r="P153" s="495" t="str">
        <f t="shared" si="4"/>
        <v>LUNAS</v>
      </c>
      <c r="Q153" s="135">
        <f t="shared" si="5"/>
        <v>0</v>
      </c>
      <c r="S153" s="101"/>
    </row>
    <row r="154" ht="15.75" customHeight="1">
      <c r="A154" s="49"/>
      <c r="C154" s="589">
        <f>D154+14</f>
        <v>45806</v>
      </c>
      <c r="D154" s="614">
        <v>45792.0</v>
      </c>
      <c r="E154" s="281" t="s">
        <v>74</v>
      </c>
      <c r="F154" s="615">
        <v>1770000.0</v>
      </c>
      <c r="G154" s="616">
        <v>550000.0</v>
      </c>
      <c r="H154" s="9"/>
      <c r="I154" s="8"/>
      <c r="J154" s="9"/>
      <c r="O154" s="497">
        <f t="shared" si="3"/>
        <v>3140000</v>
      </c>
      <c r="P154" s="495" t="str">
        <f t="shared" si="4"/>
        <v>LUNAS</v>
      </c>
      <c r="Q154" s="135">
        <f t="shared" si="5"/>
        <v>0</v>
      </c>
      <c r="S154" s="101"/>
    </row>
    <row r="155" ht="15.75" customHeight="1">
      <c r="A155" s="49"/>
      <c r="C155" s="624">
        <f>D155+30</f>
        <v>45806</v>
      </c>
      <c r="D155" s="625">
        <v>45776.0</v>
      </c>
      <c r="E155" s="626" t="s">
        <v>610</v>
      </c>
      <c r="F155" s="616">
        <v>4720000.0</v>
      </c>
      <c r="G155" s="616">
        <v>400000.0</v>
      </c>
      <c r="H155" s="9"/>
      <c r="I155" s="8"/>
      <c r="J155" s="9"/>
      <c r="O155" s="497">
        <f t="shared" si="3"/>
        <v>8600000</v>
      </c>
      <c r="P155" s="495" t="str">
        <f t="shared" si="4"/>
        <v>LUNAS</v>
      </c>
      <c r="Q155" s="135">
        <f t="shared" si="5"/>
        <v>0</v>
      </c>
      <c r="S155" s="101"/>
    </row>
    <row r="156" ht="15.75" customHeight="1">
      <c r="A156" s="49"/>
      <c r="C156" s="589">
        <f>D156+14</f>
        <v>45807</v>
      </c>
      <c r="D156" s="614">
        <v>45793.0</v>
      </c>
      <c r="E156" s="281" t="s">
        <v>74</v>
      </c>
      <c r="F156" s="615">
        <v>3110000.0</v>
      </c>
      <c r="G156" s="616">
        <v>380000.0</v>
      </c>
      <c r="H156" s="9"/>
      <c r="I156" s="8"/>
      <c r="J156" s="9"/>
      <c r="O156" s="497">
        <f t="shared" si="3"/>
        <v>3600000</v>
      </c>
      <c r="P156" s="495" t="str">
        <f t="shared" si="4"/>
        <v>LUNAS</v>
      </c>
      <c r="Q156" s="135">
        <f t="shared" si="5"/>
        <v>0</v>
      </c>
      <c r="S156" s="101"/>
    </row>
    <row r="157" ht="15.75" customHeight="1">
      <c r="A157" s="49"/>
      <c r="C157" s="589">
        <f t="shared" ref="C157:C199" si="13">D157+30</f>
        <v>45809</v>
      </c>
      <c r="D157" s="589">
        <v>45779.0</v>
      </c>
      <c r="E157" s="281" t="s">
        <v>234</v>
      </c>
      <c r="F157" s="616">
        <v>1600000.0</v>
      </c>
      <c r="G157" s="616">
        <v>255000.0</v>
      </c>
      <c r="H157" s="9"/>
      <c r="I157" s="8"/>
      <c r="J157" s="9"/>
      <c r="O157" s="497">
        <f t="shared" si="3"/>
        <v>1100000</v>
      </c>
      <c r="P157" s="495" t="str">
        <f t="shared" si="4"/>
        <v>LUNAS</v>
      </c>
      <c r="Q157" s="135">
        <f t="shared" si="5"/>
        <v>0</v>
      </c>
      <c r="S157" s="101"/>
    </row>
    <row r="158" ht="15.75" customHeight="1">
      <c r="A158" s="49"/>
      <c r="C158" s="589">
        <f t="shared" si="13"/>
        <v>45809</v>
      </c>
      <c r="D158" s="625">
        <v>45779.0</v>
      </c>
      <c r="E158" s="628" t="s">
        <v>267</v>
      </c>
      <c r="F158" s="616">
        <v>1380000.0</v>
      </c>
      <c r="G158" s="616">
        <v>200000.0</v>
      </c>
      <c r="H158" s="9"/>
      <c r="I158" s="8"/>
      <c r="J158" s="9"/>
      <c r="O158" s="497">
        <f t="shared" si="3"/>
        <v>4600000</v>
      </c>
      <c r="P158" s="495" t="str">
        <f t="shared" si="4"/>
        <v>LUNAS</v>
      </c>
      <c r="Q158" s="135">
        <f t="shared" si="5"/>
        <v>0</v>
      </c>
      <c r="S158" s="101"/>
    </row>
    <row r="159" ht="15.75" customHeight="1">
      <c r="A159" s="49"/>
      <c r="C159" s="589">
        <f t="shared" si="13"/>
        <v>45809</v>
      </c>
      <c r="D159" s="630">
        <v>45779.0</v>
      </c>
      <c r="E159" s="632" t="s">
        <v>267</v>
      </c>
      <c r="F159" s="616">
        <v>220000.0</v>
      </c>
      <c r="G159" s="616">
        <v>55000.0</v>
      </c>
      <c r="H159" s="9"/>
      <c r="I159" s="8"/>
      <c r="J159" s="9"/>
      <c r="O159" s="497">
        <f t="shared" si="3"/>
        <v>3500000</v>
      </c>
      <c r="P159" s="495" t="str">
        <f t="shared" si="4"/>
        <v>LUNAS</v>
      </c>
      <c r="Q159" s="135">
        <f t="shared" si="5"/>
        <v>0</v>
      </c>
      <c r="S159" s="101"/>
    </row>
    <row r="160" ht="15.75" customHeight="1">
      <c r="A160" s="49"/>
      <c r="C160" s="589">
        <f t="shared" si="13"/>
        <v>45809</v>
      </c>
      <c r="D160" s="625">
        <v>45779.0</v>
      </c>
      <c r="E160" s="628" t="s">
        <v>267</v>
      </c>
      <c r="F160" s="616">
        <v>85000.0</v>
      </c>
      <c r="G160" s="616">
        <v>45000.0</v>
      </c>
      <c r="H160" s="9"/>
      <c r="I160" s="8"/>
      <c r="J160" s="9"/>
      <c r="O160" s="497">
        <f t="shared" si="3"/>
        <v>0</v>
      </c>
      <c r="P160" s="495" t="str">
        <f t="shared" si="4"/>
        <v>BELUM LUNAS</v>
      </c>
      <c r="Q160" s="135">
        <f t="shared" si="5"/>
        <v>2540000</v>
      </c>
      <c r="S160" s="101"/>
    </row>
    <row r="161" ht="15.75" customHeight="1">
      <c r="A161" s="49"/>
      <c r="C161" s="627">
        <f t="shared" si="13"/>
        <v>45809</v>
      </c>
      <c r="D161" s="614">
        <v>45779.0</v>
      </c>
      <c r="E161" s="626" t="s">
        <v>735</v>
      </c>
      <c r="F161" s="616">
        <v>4120000.0</v>
      </c>
      <c r="G161" s="616">
        <v>420000.0</v>
      </c>
      <c r="H161" s="9"/>
      <c r="I161" s="8"/>
      <c r="J161" s="9"/>
      <c r="O161" s="497">
        <f t="shared" si="3"/>
        <v>1700000</v>
      </c>
      <c r="P161" s="495" t="str">
        <f t="shared" si="4"/>
        <v>LUNAS</v>
      </c>
      <c r="Q161" s="135">
        <f t="shared" si="5"/>
        <v>0</v>
      </c>
      <c r="S161" s="101"/>
    </row>
    <row r="162" ht="15.75" customHeight="1">
      <c r="A162" s="49"/>
      <c r="C162" s="589">
        <f t="shared" si="13"/>
        <v>45810</v>
      </c>
      <c r="D162" s="630">
        <v>45780.0</v>
      </c>
      <c r="E162" s="632" t="s">
        <v>267</v>
      </c>
      <c r="F162" s="616">
        <v>1470000.0</v>
      </c>
      <c r="G162" s="616">
        <v>200000.0</v>
      </c>
      <c r="H162" s="9"/>
      <c r="I162" s="8"/>
      <c r="J162" s="9"/>
      <c r="O162" s="497">
        <f t="shared" si="3"/>
        <v>4470000</v>
      </c>
      <c r="P162" s="495" t="str">
        <f t="shared" si="4"/>
        <v>LUNAS</v>
      </c>
      <c r="Q162" s="135">
        <f t="shared" si="5"/>
        <v>0</v>
      </c>
      <c r="S162" s="101"/>
    </row>
    <row r="163" ht="15.75" customHeight="1">
      <c r="A163" s="49"/>
      <c r="C163" s="589">
        <f t="shared" si="13"/>
        <v>45810</v>
      </c>
      <c r="D163" s="625">
        <v>45780.0</v>
      </c>
      <c r="E163" s="628" t="s">
        <v>267</v>
      </c>
      <c r="F163" s="616">
        <v>220000.0</v>
      </c>
      <c r="G163" s="616">
        <v>55000.0</v>
      </c>
      <c r="H163" s="9"/>
      <c r="I163" s="8"/>
      <c r="J163" s="9"/>
      <c r="O163" s="497">
        <f t="shared" si="3"/>
        <v>1770000</v>
      </c>
      <c r="P163" s="495" t="str">
        <f t="shared" si="4"/>
        <v>LUNAS</v>
      </c>
      <c r="Q163" s="135">
        <f t="shared" si="5"/>
        <v>0</v>
      </c>
      <c r="S163" s="101"/>
    </row>
    <row r="164" ht="15.75" customHeight="1">
      <c r="A164" s="49"/>
      <c r="C164" s="589">
        <f t="shared" si="13"/>
        <v>45810</v>
      </c>
      <c r="D164" s="630">
        <v>45780.0</v>
      </c>
      <c r="E164" s="632" t="s">
        <v>267</v>
      </c>
      <c r="F164" s="616">
        <v>85000.0</v>
      </c>
      <c r="G164" s="616">
        <v>45000.0</v>
      </c>
      <c r="H164" s="9"/>
      <c r="I164" s="8"/>
      <c r="J164" s="9"/>
      <c r="O164" s="497">
        <f t="shared" si="3"/>
        <v>4100000</v>
      </c>
      <c r="P164" s="495" t="str">
        <f t="shared" si="4"/>
        <v>LUNAS</v>
      </c>
      <c r="Q164" s="135">
        <f t="shared" si="5"/>
        <v>0</v>
      </c>
      <c r="S164" s="101"/>
    </row>
    <row r="165" ht="15.75" customHeight="1">
      <c r="A165" s="49"/>
      <c r="C165" s="589">
        <f t="shared" si="13"/>
        <v>45812</v>
      </c>
      <c r="D165" s="589">
        <v>45782.0</v>
      </c>
      <c r="E165" s="281" t="s">
        <v>962</v>
      </c>
      <c r="F165" s="616">
        <v>1260000.0</v>
      </c>
      <c r="G165" s="616">
        <v>350000.0</v>
      </c>
      <c r="H165" s="9"/>
      <c r="I165" s="8"/>
      <c r="J165" s="9"/>
      <c r="O165" s="497">
        <f t="shared" si="3"/>
        <v>3540000</v>
      </c>
      <c r="P165" s="495" t="str">
        <f t="shared" si="4"/>
        <v>LUNAS</v>
      </c>
      <c r="Q165" s="135">
        <f t="shared" si="5"/>
        <v>0</v>
      </c>
      <c r="S165" s="101"/>
    </row>
    <row r="166" ht="15.75" customHeight="1">
      <c r="A166" s="49"/>
      <c r="C166" s="589">
        <f t="shared" si="13"/>
        <v>45812</v>
      </c>
      <c r="D166" s="625">
        <v>45782.0</v>
      </c>
      <c r="E166" s="628" t="s">
        <v>267</v>
      </c>
      <c r="F166" s="616">
        <v>1625000.0</v>
      </c>
      <c r="G166" s="616">
        <v>200000.0</v>
      </c>
      <c r="H166" s="9"/>
      <c r="I166" s="8"/>
      <c r="J166" s="9"/>
      <c r="O166" s="497">
        <f t="shared" si="3"/>
        <v>4470000</v>
      </c>
      <c r="P166" s="495" t="str">
        <f t="shared" si="4"/>
        <v>LUNAS</v>
      </c>
      <c r="Q166" s="135">
        <f t="shared" si="5"/>
        <v>0</v>
      </c>
      <c r="S166" s="101"/>
    </row>
    <row r="167" ht="15.75" customHeight="1">
      <c r="A167" s="49"/>
      <c r="C167" s="624">
        <f t="shared" si="13"/>
        <v>45813</v>
      </c>
      <c r="D167" s="625">
        <v>45783.0</v>
      </c>
      <c r="E167" s="281" t="s">
        <v>801</v>
      </c>
      <c r="F167" s="616">
        <v>8300000.0</v>
      </c>
      <c r="G167" s="616">
        <v>800000.0</v>
      </c>
      <c r="H167" s="9"/>
      <c r="I167" s="8"/>
      <c r="J167" s="9"/>
      <c r="O167" s="497">
        <f t="shared" si="3"/>
        <v>4470000</v>
      </c>
      <c r="P167" s="495" t="str">
        <f t="shared" si="4"/>
        <v>LUNAS</v>
      </c>
      <c r="Q167" s="135">
        <f t="shared" si="5"/>
        <v>0</v>
      </c>
      <c r="S167" s="101"/>
    </row>
    <row r="168" ht="15.75" customHeight="1">
      <c r="A168" s="49"/>
      <c r="C168" s="624">
        <f t="shared" si="13"/>
        <v>45813</v>
      </c>
      <c r="D168" s="630">
        <v>45783.0</v>
      </c>
      <c r="E168" s="281" t="s">
        <v>801</v>
      </c>
      <c r="F168" s="616">
        <v>1200000.0</v>
      </c>
      <c r="G168" s="616">
        <v>1200000.0</v>
      </c>
      <c r="H168" s="9"/>
      <c r="I168" s="8"/>
      <c r="J168" s="9"/>
      <c r="O168" s="497">
        <f t="shared" si="3"/>
        <v>2250000</v>
      </c>
      <c r="P168" s="495" t="str">
        <f t="shared" si="4"/>
        <v>LUNAS</v>
      </c>
      <c r="Q168" s="135">
        <f t="shared" si="5"/>
        <v>0</v>
      </c>
      <c r="S168" s="101"/>
    </row>
    <row r="169" ht="15.75" customHeight="1">
      <c r="A169" s="49"/>
      <c r="C169" s="624">
        <f t="shared" si="13"/>
        <v>45813</v>
      </c>
      <c r="D169" s="625">
        <v>45783.0</v>
      </c>
      <c r="E169" s="281" t="s">
        <v>801</v>
      </c>
      <c r="F169" s="616">
        <v>320000.0</v>
      </c>
      <c r="G169" s="616">
        <v>120000.0</v>
      </c>
      <c r="H169" s="9"/>
      <c r="I169" s="8"/>
      <c r="J169" s="9"/>
      <c r="O169" s="497">
        <f t="shared" si="3"/>
        <v>4500000</v>
      </c>
      <c r="P169" s="495" t="str">
        <f t="shared" si="4"/>
        <v>LUNAS</v>
      </c>
      <c r="Q169" s="135">
        <f t="shared" si="5"/>
        <v>0</v>
      </c>
      <c r="S169" s="101"/>
    </row>
    <row r="170" ht="15.75" customHeight="1">
      <c r="A170" s="49"/>
      <c r="C170" s="624">
        <f t="shared" si="13"/>
        <v>45814</v>
      </c>
      <c r="D170" s="630">
        <v>45784.0</v>
      </c>
      <c r="E170" s="632" t="s">
        <v>819</v>
      </c>
      <c r="F170" s="616">
        <v>4120000.0</v>
      </c>
      <c r="G170" s="616">
        <v>420000.0</v>
      </c>
      <c r="H170" s="9"/>
      <c r="I170" s="8"/>
      <c r="J170" s="9"/>
      <c r="O170" s="497">
        <f t="shared" si="3"/>
        <v>1850000</v>
      </c>
      <c r="P170" s="495" t="str">
        <f t="shared" si="4"/>
        <v>LUNAS</v>
      </c>
      <c r="Q170" s="135">
        <f t="shared" si="5"/>
        <v>0</v>
      </c>
      <c r="S170" s="101"/>
    </row>
    <row r="171" ht="15.75" customHeight="1">
      <c r="A171" s="49"/>
      <c r="C171" s="627">
        <f t="shared" si="13"/>
        <v>45814</v>
      </c>
      <c r="D171" s="614">
        <v>45784.0</v>
      </c>
      <c r="E171" s="281" t="s">
        <v>874</v>
      </c>
      <c r="F171" s="616">
        <v>3140000.0</v>
      </c>
      <c r="G171" s="616">
        <v>300000.0</v>
      </c>
      <c r="H171" s="9"/>
      <c r="I171" s="8"/>
      <c r="J171" s="9"/>
      <c r="O171" s="497">
        <f t="shared" si="3"/>
        <v>4300000</v>
      </c>
      <c r="P171" s="495" t="str">
        <f t="shared" si="4"/>
        <v>LUNAS</v>
      </c>
      <c r="Q171" s="135">
        <f t="shared" si="5"/>
        <v>0</v>
      </c>
      <c r="S171" s="101"/>
    </row>
    <row r="172" ht="15.75" customHeight="1">
      <c r="A172" s="49"/>
      <c r="C172" s="627">
        <f t="shared" si="13"/>
        <v>45814</v>
      </c>
      <c r="D172" s="614">
        <v>45784.0</v>
      </c>
      <c r="E172" s="281" t="s">
        <v>874</v>
      </c>
      <c r="F172" s="616">
        <v>1380000.0</v>
      </c>
      <c r="G172" s="616">
        <v>200000.0</v>
      </c>
      <c r="H172" s="9"/>
      <c r="I172" s="8"/>
      <c r="J172" s="9"/>
      <c r="O172" s="497">
        <f t="shared" si="3"/>
        <v>2890000</v>
      </c>
      <c r="P172" s="495" t="str">
        <f t="shared" si="4"/>
        <v>LUNAS</v>
      </c>
      <c r="Q172" s="135">
        <f t="shared" si="5"/>
        <v>0</v>
      </c>
      <c r="S172" s="101"/>
    </row>
    <row r="173" ht="15.75" customHeight="1">
      <c r="A173" s="49"/>
      <c r="C173" s="627">
        <f t="shared" si="13"/>
        <v>45814</v>
      </c>
      <c r="D173" s="614">
        <v>45784.0</v>
      </c>
      <c r="E173" s="281" t="s">
        <v>874</v>
      </c>
      <c r="F173" s="616">
        <v>250000.0</v>
      </c>
      <c r="G173" s="616">
        <v>50000.0</v>
      </c>
      <c r="H173" s="9"/>
      <c r="I173" s="8"/>
      <c r="J173" s="9"/>
      <c r="O173" s="497">
        <f t="shared" si="3"/>
        <v>930000</v>
      </c>
      <c r="P173" s="495" t="str">
        <f t="shared" si="4"/>
        <v>LUNAS</v>
      </c>
      <c r="Q173" s="135">
        <f t="shared" si="5"/>
        <v>0</v>
      </c>
      <c r="S173" s="101"/>
    </row>
    <row r="174" ht="15.75" customHeight="1">
      <c r="A174" s="49"/>
      <c r="C174" s="627">
        <f t="shared" si="13"/>
        <v>45814</v>
      </c>
      <c r="D174" s="614">
        <v>45784.0</v>
      </c>
      <c r="E174" s="281" t="s">
        <v>874</v>
      </c>
      <c r="F174" s="616">
        <v>85000.0</v>
      </c>
      <c r="G174" s="616">
        <v>40000.0</v>
      </c>
      <c r="H174" s="9"/>
      <c r="I174" s="8"/>
      <c r="J174" s="9"/>
      <c r="O174" s="497">
        <f t="shared" si="3"/>
        <v>3040000</v>
      </c>
      <c r="P174" s="495" t="str">
        <f t="shared" si="4"/>
        <v>LUNAS</v>
      </c>
      <c r="Q174" s="135">
        <f t="shared" si="5"/>
        <v>0</v>
      </c>
      <c r="S174" s="101"/>
    </row>
    <row r="175" ht="15.75" customHeight="1">
      <c r="A175" s="49"/>
      <c r="C175" s="589">
        <f t="shared" si="13"/>
        <v>45815</v>
      </c>
      <c r="D175" s="630">
        <v>45785.0</v>
      </c>
      <c r="E175" s="632" t="s">
        <v>267</v>
      </c>
      <c r="F175" s="616">
        <v>1380000.0</v>
      </c>
      <c r="G175" s="616">
        <v>200000.0</v>
      </c>
      <c r="H175" s="9"/>
      <c r="I175" s="8"/>
      <c r="J175" s="9"/>
      <c r="O175" s="497">
        <f t="shared" si="3"/>
        <v>1300000</v>
      </c>
      <c r="P175" s="495" t="str">
        <f t="shared" si="4"/>
        <v>LUNAS</v>
      </c>
      <c r="Q175" s="135">
        <f t="shared" si="5"/>
        <v>0</v>
      </c>
      <c r="S175" s="101"/>
    </row>
    <row r="176" ht="15.75" customHeight="1">
      <c r="A176" s="49"/>
      <c r="C176" s="589">
        <f t="shared" si="13"/>
        <v>45815</v>
      </c>
      <c r="D176" s="625">
        <v>45785.0</v>
      </c>
      <c r="E176" s="628" t="s">
        <v>267</v>
      </c>
      <c r="F176" s="616">
        <v>220000.0</v>
      </c>
      <c r="G176" s="616">
        <v>55000.0</v>
      </c>
      <c r="H176" s="9"/>
      <c r="I176" s="8"/>
      <c r="J176" s="9"/>
      <c r="O176" s="497">
        <f t="shared" si="3"/>
        <v>2530000</v>
      </c>
      <c r="P176" s="495" t="str">
        <f t="shared" si="4"/>
        <v>LUNAS</v>
      </c>
      <c r="Q176" s="135">
        <f t="shared" si="5"/>
        <v>0</v>
      </c>
      <c r="S176" s="101"/>
    </row>
    <row r="177" ht="15.75" customHeight="1">
      <c r="A177" s="49"/>
      <c r="C177" s="589">
        <f t="shared" si="13"/>
        <v>45815</v>
      </c>
      <c r="D177" s="630">
        <v>45785.0</v>
      </c>
      <c r="E177" s="631" t="s">
        <v>267</v>
      </c>
      <c r="F177" s="616">
        <v>85000.0</v>
      </c>
      <c r="G177" s="616">
        <v>45000.0</v>
      </c>
      <c r="H177" s="9"/>
      <c r="I177" s="8"/>
      <c r="J177" s="9"/>
      <c r="O177" s="497">
        <f t="shared" si="3"/>
        <v>1265000</v>
      </c>
      <c r="P177" s="495" t="str">
        <f t="shared" si="4"/>
        <v>LUNAS</v>
      </c>
      <c r="Q177" s="135">
        <f t="shared" si="5"/>
        <v>0</v>
      </c>
      <c r="S177" s="101"/>
    </row>
    <row r="178" ht="15.75" customHeight="1">
      <c r="A178" s="49"/>
      <c r="C178" s="629">
        <f t="shared" si="13"/>
        <v>45816</v>
      </c>
      <c r="D178" s="589">
        <v>45786.0</v>
      </c>
      <c r="E178" s="281" t="s">
        <v>249</v>
      </c>
      <c r="F178" s="616">
        <v>675000.0</v>
      </c>
      <c r="G178" s="616">
        <v>100000.0</v>
      </c>
      <c r="H178" s="9"/>
      <c r="I178" s="8"/>
      <c r="J178" s="9"/>
      <c r="O178" s="497">
        <f t="shared" si="3"/>
        <v>2470000</v>
      </c>
      <c r="P178" s="495" t="str">
        <f t="shared" si="4"/>
        <v>LUNAS</v>
      </c>
      <c r="Q178" s="135">
        <f t="shared" si="5"/>
        <v>0</v>
      </c>
      <c r="S178" s="101"/>
    </row>
    <row r="179" ht="15.75" customHeight="1">
      <c r="A179" s="49"/>
      <c r="C179" s="589">
        <f t="shared" si="13"/>
        <v>45817</v>
      </c>
      <c r="D179" s="589">
        <v>45787.0</v>
      </c>
      <c r="E179" s="281" t="s">
        <v>234</v>
      </c>
      <c r="F179" s="616">
        <v>1560000.0</v>
      </c>
      <c r="G179" s="616">
        <v>310000.0</v>
      </c>
      <c r="H179" s="9"/>
      <c r="I179" s="8"/>
      <c r="J179" s="9"/>
      <c r="O179" s="497">
        <f t="shared" si="3"/>
        <v>1315000</v>
      </c>
      <c r="P179" s="495" t="str">
        <f t="shared" si="4"/>
        <v>LUNAS</v>
      </c>
      <c r="Q179" s="135">
        <f t="shared" si="5"/>
        <v>0</v>
      </c>
      <c r="S179" s="101"/>
    </row>
    <row r="180" ht="15.75" customHeight="1">
      <c r="A180" s="49"/>
      <c r="C180" s="629">
        <f t="shared" si="13"/>
        <v>45821</v>
      </c>
      <c r="D180" s="589">
        <v>45791.0</v>
      </c>
      <c r="E180" s="281" t="s">
        <v>536</v>
      </c>
      <c r="F180" s="616">
        <v>5785000.0</v>
      </c>
      <c r="G180" s="616">
        <v>785000.0</v>
      </c>
      <c r="H180" s="9"/>
      <c r="I180" s="8"/>
      <c r="J180" s="9"/>
      <c r="O180" s="497">
        <f t="shared" si="3"/>
        <v>1315000</v>
      </c>
      <c r="P180" s="495" t="str">
        <f t="shared" si="4"/>
        <v>LUNAS</v>
      </c>
      <c r="Q180" s="135">
        <f t="shared" si="5"/>
        <v>0</v>
      </c>
      <c r="S180" s="101"/>
    </row>
    <row r="181" ht="15.75" customHeight="1">
      <c r="A181" s="49"/>
      <c r="C181" s="624">
        <f t="shared" si="13"/>
        <v>45821</v>
      </c>
      <c r="D181" s="630">
        <v>45791.0</v>
      </c>
      <c r="E181" s="632" t="s">
        <v>867</v>
      </c>
      <c r="F181" s="616">
        <v>3540000.0</v>
      </c>
      <c r="G181" s="616">
        <v>450000.0</v>
      </c>
      <c r="H181" s="9"/>
      <c r="I181" s="8"/>
      <c r="J181" s="9"/>
      <c r="O181" s="497">
        <f t="shared" si="3"/>
        <v>4450000</v>
      </c>
      <c r="P181" s="495" t="str">
        <f t="shared" si="4"/>
        <v>LUNAS</v>
      </c>
      <c r="Q181" s="135">
        <f t="shared" si="5"/>
        <v>0</v>
      </c>
      <c r="S181" s="101"/>
    </row>
    <row r="182" ht="15.75" customHeight="1">
      <c r="A182" s="49"/>
      <c r="C182" s="624">
        <f t="shared" si="13"/>
        <v>45821</v>
      </c>
      <c r="D182" s="625">
        <v>45791.0</v>
      </c>
      <c r="E182" s="626" t="s">
        <v>867</v>
      </c>
      <c r="F182" s="616">
        <v>500000.0</v>
      </c>
      <c r="G182" s="616">
        <v>100000.0</v>
      </c>
      <c r="H182" s="9"/>
      <c r="I182" s="8"/>
      <c r="J182" s="9"/>
      <c r="O182" s="497">
        <f t="shared" si="3"/>
        <v>1500000</v>
      </c>
      <c r="P182" s="495" t="str">
        <f t="shared" si="4"/>
        <v>BELUM LUNAS</v>
      </c>
      <c r="Q182" s="135">
        <f t="shared" si="5"/>
        <v>1800000</v>
      </c>
      <c r="S182" s="101"/>
    </row>
    <row r="183" ht="15.75" customHeight="1">
      <c r="A183" s="49"/>
      <c r="C183" s="624">
        <f t="shared" si="13"/>
        <v>45821</v>
      </c>
      <c r="D183" s="630">
        <v>45791.0</v>
      </c>
      <c r="E183" s="632" t="s">
        <v>867</v>
      </c>
      <c r="F183" s="616">
        <v>220000.0</v>
      </c>
      <c r="G183" s="616">
        <v>130000.0</v>
      </c>
      <c r="H183" s="9"/>
      <c r="I183" s="8"/>
      <c r="J183" s="9"/>
      <c r="O183" s="497">
        <f t="shared" si="3"/>
        <v>1770000</v>
      </c>
      <c r="P183" s="495" t="str">
        <f t="shared" si="4"/>
        <v>LUNAS</v>
      </c>
      <c r="Q183" s="135">
        <f t="shared" si="5"/>
        <v>0</v>
      </c>
      <c r="S183" s="101"/>
    </row>
    <row r="184" ht="15.75" customHeight="1">
      <c r="A184" s="49"/>
      <c r="C184" s="589">
        <f t="shared" si="13"/>
        <v>45822</v>
      </c>
      <c r="D184" s="589">
        <v>45792.0</v>
      </c>
      <c r="E184" s="281" t="s">
        <v>234</v>
      </c>
      <c r="F184" s="616">
        <v>1685000.0</v>
      </c>
      <c r="G184" s="616">
        <v>300000.0</v>
      </c>
      <c r="H184" s="9"/>
      <c r="I184" s="8"/>
      <c r="J184" s="9"/>
      <c r="O184" s="497">
        <f t="shared" si="3"/>
        <v>3900000</v>
      </c>
      <c r="P184" s="495" t="str">
        <f t="shared" si="4"/>
        <v>LUNAS</v>
      </c>
      <c r="Q184" s="135">
        <f t="shared" si="5"/>
        <v>0</v>
      </c>
      <c r="S184" s="101"/>
    </row>
    <row r="185" ht="15.75" customHeight="1">
      <c r="A185" s="49"/>
      <c r="C185" s="589">
        <f t="shared" si="13"/>
        <v>45822</v>
      </c>
      <c r="D185" s="625">
        <v>45792.0</v>
      </c>
      <c r="E185" s="281" t="s">
        <v>270</v>
      </c>
      <c r="F185" s="616">
        <v>9600000.0</v>
      </c>
      <c r="G185" s="616">
        <v>960000.0</v>
      </c>
      <c r="H185" s="9"/>
      <c r="I185" s="8"/>
      <c r="J185" s="9"/>
      <c r="O185" s="497">
        <f t="shared" si="3"/>
        <v>1685000</v>
      </c>
      <c r="P185" s="495" t="str">
        <f t="shared" si="4"/>
        <v>LUNAS</v>
      </c>
      <c r="Q185" s="135">
        <f t="shared" si="5"/>
        <v>0</v>
      </c>
      <c r="S185" s="101"/>
    </row>
    <row r="186" ht="15.75" customHeight="1">
      <c r="A186" s="49"/>
      <c r="C186" s="589">
        <f t="shared" si="13"/>
        <v>45822</v>
      </c>
      <c r="D186" s="630">
        <v>45792.0</v>
      </c>
      <c r="E186" s="281" t="s">
        <v>270</v>
      </c>
      <c r="F186" s="616">
        <v>400000.0</v>
      </c>
      <c r="G186" s="616">
        <v>710000.0</v>
      </c>
      <c r="H186" s="9"/>
      <c r="I186" s="8"/>
      <c r="J186" s="9"/>
      <c r="O186" s="497">
        <f t="shared" si="3"/>
        <v>1700000</v>
      </c>
      <c r="P186" s="495" t="str">
        <f t="shared" si="4"/>
        <v>LUNAS</v>
      </c>
      <c r="Q186" s="135">
        <f t="shared" si="5"/>
        <v>0</v>
      </c>
      <c r="S186" s="101"/>
    </row>
    <row r="187" ht="15.75" customHeight="1">
      <c r="A187" s="49"/>
      <c r="C187" s="629">
        <f t="shared" si="13"/>
        <v>45824</v>
      </c>
      <c r="D187" s="589">
        <v>45794.0</v>
      </c>
      <c r="E187" s="281" t="s">
        <v>396</v>
      </c>
      <c r="F187" s="616">
        <v>1265000.0</v>
      </c>
      <c r="G187" s="616">
        <v>150000.0</v>
      </c>
      <c r="H187" s="9"/>
      <c r="I187" s="8"/>
      <c r="J187" s="9"/>
      <c r="O187" s="497">
        <f t="shared" si="3"/>
        <v>4100000</v>
      </c>
      <c r="P187" s="495" t="str">
        <f t="shared" si="4"/>
        <v>LUNAS</v>
      </c>
      <c r="Q187" s="135">
        <f t="shared" si="5"/>
        <v>0</v>
      </c>
      <c r="S187" s="101"/>
    </row>
    <row r="188" ht="15.75" customHeight="1">
      <c r="A188" s="49"/>
      <c r="C188" s="589">
        <f t="shared" si="13"/>
        <v>45824</v>
      </c>
      <c r="D188" s="625">
        <v>45794.0</v>
      </c>
      <c r="E188" s="628" t="s">
        <v>267</v>
      </c>
      <c r="F188" s="616">
        <v>2150000.0</v>
      </c>
      <c r="G188" s="616">
        <v>300000.0</v>
      </c>
      <c r="H188" s="9"/>
      <c r="I188" s="8"/>
      <c r="J188" s="9"/>
      <c r="O188" s="497">
        <f t="shared" si="3"/>
        <v>1770000</v>
      </c>
      <c r="P188" s="495" t="str">
        <f t="shared" si="4"/>
        <v>LUNAS</v>
      </c>
      <c r="Q188" s="135">
        <f t="shared" si="5"/>
        <v>0</v>
      </c>
      <c r="S188" s="101"/>
    </row>
    <row r="189" ht="15.75" customHeight="1">
      <c r="A189" s="49"/>
      <c r="C189" s="589">
        <f t="shared" si="13"/>
        <v>45824</v>
      </c>
      <c r="D189" s="630">
        <v>45794.0</v>
      </c>
      <c r="E189" s="632" t="s">
        <v>267</v>
      </c>
      <c r="F189" s="616">
        <v>4100000.0</v>
      </c>
      <c r="G189" s="616">
        <v>420000.0</v>
      </c>
      <c r="H189" s="9"/>
      <c r="I189" s="8"/>
      <c r="J189" s="9"/>
      <c r="O189" s="497">
        <f t="shared" si="3"/>
        <v>3540000</v>
      </c>
      <c r="P189" s="495" t="str">
        <f t="shared" si="4"/>
        <v>LUNAS</v>
      </c>
      <c r="Q189" s="135">
        <f t="shared" si="5"/>
        <v>0</v>
      </c>
      <c r="S189" s="101"/>
    </row>
    <row r="190" ht="15.75" customHeight="1">
      <c r="A190" s="49"/>
      <c r="C190" s="629">
        <f t="shared" si="13"/>
        <v>45825</v>
      </c>
      <c r="D190" s="589">
        <v>45795.0</v>
      </c>
      <c r="E190" s="281" t="s">
        <v>410</v>
      </c>
      <c r="F190" s="616">
        <v>4450000.0</v>
      </c>
      <c r="G190" s="616">
        <v>350000.0</v>
      </c>
      <c r="H190" s="9"/>
      <c r="I190" s="8"/>
      <c r="J190" s="9"/>
      <c r="O190" s="497">
        <f t="shared" si="3"/>
        <v>4100000</v>
      </c>
      <c r="P190" s="495" t="str">
        <f t="shared" si="4"/>
        <v>LUNAS</v>
      </c>
      <c r="Q190" s="135">
        <f t="shared" si="5"/>
        <v>0</v>
      </c>
      <c r="S190" s="101"/>
    </row>
    <row r="191" ht="15.75" customHeight="1">
      <c r="A191" s="49"/>
      <c r="C191" s="629">
        <f t="shared" si="13"/>
        <v>45825</v>
      </c>
      <c r="D191" s="589">
        <v>45795.0</v>
      </c>
      <c r="E191" s="281" t="s">
        <v>971</v>
      </c>
      <c r="F191" s="616">
        <v>2150000.0</v>
      </c>
      <c r="G191" s="616">
        <v>300000.0</v>
      </c>
      <c r="H191" s="9"/>
      <c r="I191" s="8"/>
      <c r="J191" s="9"/>
      <c r="O191" s="497">
        <f t="shared" si="3"/>
        <v>1850000</v>
      </c>
      <c r="P191" s="495" t="str">
        <f t="shared" si="4"/>
        <v>LUNAS</v>
      </c>
      <c r="Q191" s="135">
        <f t="shared" si="5"/>
        <v>0</v>
      </c>
      <c r="S191" s="101"/>
    </row>
    <row r="192" ht="15.75" customHeight="1">
      <c r="A192" s="49"/>
      <c r="C192" s="629">
        <f t="shared" si="13"/>
        <v>45827</v>
      </c>
      <c r="D192" s="589">
        <v>45797.0</v>
      </c>
      <c r="E192" s="281" t="s">
        <v>383</v>
      </c>
      <c r="F192" s="616">
        <v>4470000.0</v>
      </c>
      <c r="G192" s="616">
        <v>370000.0</v>
      </c>
      <c r="H192" s="9"/>
      <c r="I192" s="8"/>
      <c r="J192" s="9"/>
      <c r="O192" s="497">
        <f t="shared" si="3"/>
        <v>4100000</v>
      </c>
      <c r="P192" s="495" t="str">
        <f t="shared" si="4"/>
        <v>LUNAS</v>
      </c>
      <c r="Q192" s="135">
        <f t="shared" si="5"/>
        <v>0</v>
      </c>
      <c r="S192" s="101"/>
    </row>
    <row r="193" ht="15.75" customHeight="1">
      <c r="A193" s="49"/>
      <c r="C193" s="629">
        <f t="shared" si="13"/>
        <v>45828</v>
      </c>
      <c r="D193" s="589">
        <v>45798.0</v>
      </c>
      <c r="E193" s="281" t="s">
        <v>1013</v>
      </c>
      <c r="F193" s="616">
        <v>4430000.0</v>
      </c>
      <c r="G193" s="616">
        <v>370000.0</v>
      </c>
      <c r="H193" s="9"/>
      <c r="I193" s="8"/>
      <c r="J193" s="9"/>
      <c r="O193" s="497">
        <f t="shared" si="3"/>
        <v>6550000</v>
      </c>
      <c r="P193" s="495" t="str">
        <f t="shared" si="4"/>
        <v>BELUM LUNAS</v>
      </c>
      <c r="Q193" s="135">
        <f t="shared" si="5"/>
        <v>-2050000</v>
      </c>
      <c r="S193" s="101"/>
    </row>
    <row r="194" ht="15.75" customHeight="1">
      <c r="A194" s="49"/>
      <c r="C194" s="629">
        <f t="shared" si="13"/>
        <v>45830</v>
      </c>
      <c r="D194" s="589">
        <v>45800.0</v>
      </c>
      <c r="E194" s="281" t="s">
        <v>515</v>
      </c>
      <c r="F194" s="616">
        <v>4100000.0</v>
      </c>
      <c r="G194" s="616">
        <v>420000.0</v>
      </c>
      <c r="H194" s="9"/>
      <c r="I194" s="8"/>
      <c r="J194" s="9"/>
      <c r="O194" s="497">
        <f t="shared" si="3"/>
        <v>0</v>
      </c>
      <c r="P194" s="495" t="str">
        <f t="shared" si="4"/>
        <v>BELUM LUNAS</v>
      </c>
      <c r="Q194" s="135">
        <f t="shared" si="5"/>
        <v>2050000</v>
      </c>
      <c r="S194" s="101"/>
    </row>
    <row r="195" ht="15.75" customHeight="1">
      <c r="A195" s="49"/>
      <c r="C195" s="629">
        <f t="shared" si="13"/>
        <v>45830</v>
      </c>
      <c r="D195" s="589">
        <v>45800.0</v>
      </c>
      <c r="E195" s="281" t="s">
        <v>555</v>
      </c>
      <c r="F195" s="616">
        <v>8690000.0</v>
      </c>
      <c r="G195" s="616">
        <v>1050000.0</v>
      </c>
      <c r="H195" s="9"/>
      <c r="I195" s="8"/>
      <c r="J195" s="9"/>
      <c r="O195" s="497">
        <f t="shared" si="3"/>
        <v>1770000</v>
      </c>
      <c r="P195" s="495" t="str">
        <f t="shared" si="4"/>
        <v>LUNAS</v>
      </c>
      <c r="Q195" s="135">
        <f t="shared" si="5"/>
        <v>0</v>
      </c>
      <c r="S195" s="101"/>
    </row>
    <row r="196" ht="15.75" customHeight="1">
      <c r="A196" s="49"/>
      <c r="C196" s="589">
        <f t="shared" si="13"/>
        <v>45831</v>
      </c>
      <c r="D196" s="589">
        <v>45801.0</v>
      </c>
      <c r="E196" s="281" t="s">
        <v>144</v>
      </c>
      <c r="F196" s="616">
        <v>2050000.0</v>
      </c>
      <c r="G196" s="616">
        <v>305000.0</v>
      </c>
      <c r="H196" s="9"/>
      <c r="I196" s="8"/>
      <c r="J196" s="9"/>
      <c r="O196" s="497">
        <f t="shared" si="3"/>
        <v>4100000</v>
      </c>
      <c r="P196" s="495" t="str">
        <f t="shared" si="4"/>
        <v>LUNAS</v>
      </c>
      <c r="Q196" s="135">
        <f t="shared" si="5"/>
        <v>0</v>
      </c>
      <c r="S196" s="101"/>
    </row>
    <row r="197" ht="15.75" customHeight="1">
      <c r="A197" s="49"/>
      <c r="C197" s="625">
        <f t="shared" si="13"/>
        <v>45831</v>
      </c>
      <c r="D197" s="625">
        <v>45801.0</v>
      </c>
      <c r="E197" s="111" t="s">
        <v>303</v>
      </c>
      <c r="F197" s="616">
        <v>2660000.0</v>
      </c>
      <c r="G197" s="633">
        <v>620000.0</v>
      </c>
      <c r="H197" s="9"/>
      <c r="I197" s="8"/>
      <c r="J197" s="9"/>
      <c r="O197" s="497">
        <f t="shared" si="3"/>
        <v>0</v>
      </c>
      <c r="P197" s="495" t="str">
        <f t="shared" si="4"/>
        <v>BELUM LUNAS</v>
      </c>
      <c r="Q197" s="135">
        <f t="shared" si="5"/>
        <v>1750000</v>
      </c>
      <c r="S197" s="101"/>
    </row>
    <row r="198" ht="15.75" customHeight="1">
      <c r="A198" s="49"/>
      <c r="C198" s="629">
        <f t="shared" si="13"/>
        <v>45831</v>
      </c>
      <c r="D198" s="589">
        <v>45801.0</v>
      </c>
      <c r="E198" s="281" t="s">
        <v>1013</v>
      </c>
      <c r="F198" s="616">
        <f>17880000</f>
        <v>17880000</v>
      </c>
      <c r="G198" s="616">
        <f>1480000-865000</f>
        <v>615000</v>
      </c>
      <c r="H198" s="9"/>
      <c r="I198" s="8"/>
      <c r="J198" s="9"/>
      <c r="O198" s="497">
        <f t="shared" si="3"/>
        <v>7800000</v>
      </c>
      <c r="P198" s="495" t="str">
        <f t="shared" si="4"/>
        <v>LUNAS</v>
      </c>
      <c r="Q198" s="135">
        <f t="shared" si="5"/>
        <v>0</v>
      </c>
      <c r="S198" s="101"/>
    </row>
    <row r="199" ht="15.75" customHeight="1">
      <c r="A199" s="49"/>
      <c r="C199" s="629">
        <f t="shared" si="13"/>
        <v>45831</v>
      </c>
      <c r="D199" s="589">
        <v>45801.0</v>
      </c>
      <c r="E199" s="281" t="s">
        <v>573</v>
      </c>
      <c r="F199" s="616">
        <v>4100000.0</v>
      </c>
      <c r="G199" s="616">
        <v>420000.0</v>
      </c>
      <c r="H199" s="9"/>
      <c r="I199" s="8"/>
      <c r="J199" s="9"/>
      <c r="O199" s="497">
        <f t="shared" si="3"/>
        <v>7800000</v>
      </c>
      <c r="P199" s="495" t="str">
        <f t="shared" si="4"/>
        <v>LUNAS</v>
      </c>
      <c r="Q199" s="135">
        <f t="shared" si="5"/>
        <v>0</v>
      </c>
      <c r="S199" s="101"/>
    </row>
    <row r="200" ht="15.75" customHeight="1">
      <c r="A200" s="49"/>
      <c r="C200" s="587">
        <f t="shared" ref="C200:C201" si="14">D200+45</f>
        <v>45831</v>
      </c>
      <c r="D200" s="625">
        <v>45786.0</v>
      </c>
      <c r="E200" s="281" t="s">
        <v>595</v>
      </c>
      <c r="F200" s="616">
        <v>1900000.0</v>
      </c>
      <c r="G200" s="616">
        <v>355000.0</v>
      </c>
      <c r="H200" s="9"/>
      <c r="I200" s="8"/>
      <c r="J200" s="9"/>
      <c r="O200" s="497">
        <f t="shared" si="3"/>
        <v>4000000</v>
      </c>
      <c r="P200" s="495" t="str">
        <f t="shared" si="4"/>
        <v>LUNAS</v>
      </c>
      <c r="Q200" s="135">
        <f t="shared" si="5"/>
        <v>0</v>
      </c>
      <c r="S200" s="101"/>
    </row>
    <row r="201" ht="15.75" customHeight="1">
      <c r="A201" s="49"/>
      <c r="C201" s="587">
        <f t="shared" si="14"/>
        <v>45831</v>
      </c>
      <c r="D201" s="630">
        <v>45786.0</v>
      </c>
      <c r="E201" s="281" t="s">
        <v>595</v>
      </c>
      <c r="F201" s="616">
        <v>4220000.0</v>
      </c>
      <c r="G201" s="616">
        <v>520000.0</v>
      </c>
      <c r="H201" s="9"/>
      <c r="I201" s="8"/>
      <c r="J201" s="9"/>
      <c r="O201" s="497">
        <f t="shared" si="3"/>
        <v>2150000</v>
      </c>
      <c r="P201" s="495" t="str">
        <f t="shared" si="4"/>
        <v>LUNAS</v>
      </c>
      <c r="Q201" s="135">
        <f t="shared" si="5"/>
        <v>0</v>
      </c>
      <c r="S201" s="101"/>
    </row>
    <row r="202" ht="15.75" customHeight="1">
      <c r="A202" s="49"/>
      <c r="C202" s="589">
        <f t="shared" ref="C202:C225" si="15">D202+30</f>
        <v>45831</v>
      </c>
      <c r="D202" s="625">
        <v>45801.0</v>
      </c>
      <c r="E202" s="628" t="s">
        <v>267</v>
      </c>
      <c r="F202" s="616">
        <v>3700000.0</v>
      </c>
      <c r="G202" s="616">
        <v>610000.0</v>
      </c>
      <c r="H202" s="9"/>
      <c r="I202" s="8"/>
      <c r="J202" s="9"/>
      <c r="O202" s="497">
        <f t="shared" si="3"/>
        <v>3900000</v>
      </c>
      <c r="P202" s="495" t="str">
        <f t="shared" si="4"/>
        <v>LUNAS</v>
      </c>
      <c r="Q202" s="135">
        <f t="shared" si="5"/>
        <v>0</v>
      </c>
      <c r="S202" s="101"/>
    </row>
    <row r="203" ht="15.75" customHeight="1">
      <c r="A203" s="49"/>
      <c r="C203" s="589">
        <f t="shared" si="15"/>
        <v>45831</v>
      </c>
      <c r="D203" s="630">
        <v>45801.0</v>
      </c>
      <c r="E203" s="632" t="s">
        <v>267</v>
      </c>
      <c r="F203" s="616">
        <v>1625000.0</v>
      </c>
      <c r="G203" s="616">
        <v>200000.0</v>
      </c>
      <c r="H203" s="9"/>
      <c r="I203" s="8"/>
      <c r="J203" s="9"/>
      <c r="O203" s="497">
        <f t="shared" si="3"/>
        <v>675000</v>
      </c>
      <c r="P203" s="495" t="str">
        <f t="shared" si="4"/>
        <v>LUNAS</v>
      </c>
      <c r="Q203" s="135">
        <f t="shared" si="5"/>
        <v>0</v>
      </c>
      <c r="S203" s="101"/>
    </row>
    <row r="204" ht="15.75" customHeight="1">
      <c r="A204" s="49"/>
      <c r="C204" s="589">
        <f t="shared" si="15"/>
        <v>45831</v>
      </c>
      <c r="D204" s="625">
        <v>45801.0</v>
      </c>
      <c r="E204" s="281" t="s">
        <v>661</v>
      </c>
      <c r="F204" s="616">
        <v>2235000.0</v>
      </c>
      <c r="G204" s="616">
        <v>185000.0</v>
      </c>
      <c r="H204" s="9"/>
      <c r="I204" s="8"/>
      <c r="J204" s="9"/>
      <c r="O204" s="497">
        <f t="shared" si="3"/>
        <v>870000</v>
      </c>
      <c r="P204" s="495" t="str">
        <f t="shared" si="4"/>
        <v>LUNAS</v>
      </c>
      <c r="Q204" s="135">
        <f t="shared" si="5"/>
        <v>0</v>
      </c>
      <c r="S204" s="101"/>
    </row>
    <row r="205" ht="15.75" customHeight="1">
      <c r="A205" s="49"/>
      <c r="C205" s="629">
        <f t="shared" si="15"/>
        <v>45832</v>
      </c>
      <c r="D205" s="589">
        <v>45802.0</v>
      </c>
      <c r="E205" s="281" t="s">
        <v>422</v>
      </c>
      <c r="F205" s="616">
        <v>1770000.0</v>
      </c>
      <c r="G205" s="616">
        <v>225000.0</v>
      </c>
      <c r="H205" s="9"/>
      <c r="I205" s="8"/>
      <c r="J205" s="9"/>
      <c r="O205" s="497">
        <f t="shared" si="3"/>
        <v>1290000</v>
      </c>
      <c r="P205" s="495" t="str">
        <f t="shared" si="4"/>
        <v>LUNAS</v>
      </c>
      <c r="Q205" s="135">
        <f t="shared" si="5"/>
        <v>0</v>
      </c>
      <c r="S205" s="101"/>
    </row>
    <row r="206" ht="15.75" customHeight="1">
      <c r="A206" s="49"/>
      <c r="C206" s="627">
        <f t="shared" si="15"/>
        <v>45832</v>
      </c>
      <c r="D206" s="614">
        <v>45802.0</v>
      </c>
      <c r="E206" s="281" t="s">
        <v>843</v>
      </c>
      <c r="F206" s="616">
        <v>4720000.0</v>
      </c>
      <c r="G206" s="616">
        <v>400000.0</v>
      </c>
      <c r="H206" s="9"/>
      <c r="I206" s="8"/>
      <c r="J206" s="9"/>
      <c r="O206" s="497">
        <f t="shared" si="3"/>
        <v>150000</v>
      </c>
      <c r="P206" s="495" t="str">
        <f t="shared" si="4"/>
        <v>BELUM LUNAS</v>
      </c>
      <c r="Q206" s="135">
        <f t="shared" si="5"/>
        <v>510000</v>
      </c>
      <c r="S206" s="101"/>
    </row>
    <row r="207" ht="15.75" customHeight="1">
      <c r="A207" s="49"/>
      <c r="C207" s="589">
        <f t="shared" si="15"/>
        <v>45833</v>
      </c>
      <c r="D207" s="625">
        <v>45803.0</v>
      </c>
      <c r="E207" s="628" t="s">
        <v>267</v>
      </c>
      <c r="F207" s="616">
        <v>1470000.0</v>
      </c>
      <c r="G207" s="616">
        <v>200000.0</v>
      </c>
      <c r="H207" s="9"/>
      <c r="I207" s="8"/>
      <c r="J207" s="9"/>
      <c r="O207" s="497">
        <f t="shared" si="3"/>
        <v>1950000</v>
      </c>
      <c r="P207" s="495" t="str">
        <f t="shared" si="4"/>
        <v>LUNAS</v>
      </c>
      <c r="Q207" s="135">
        <f t="shared" si="5"/>
        <v>0</v>
      </c>
      <c r="S207" s="101"/>
    </row>
    <row r="208" ht="15.75" customHeight="1">
      <c r="A208" s="49"/>
      <c r="C208" s="589">
        <f t="shared" si="15"/>
        <v>45833</v>
      </c>
      <c r="D208" s="630">
        <v>45803.0</v>
      </c>
      <c r="E208" s="632" t="s">
        <v>267</v>
      </c>
      <c r="F208" s="616">
        <v>220000.0</v>
      </c>
      <c r="G208" s="616">
        <v>55000.0</v>
      </c>
      <c r="H208" s="9"/>
      <c r="I208" s="8"/>
      <c r="J208" s="9"/>
      <c r="O208" s="497">
        <f t="shared" si="3"/>
        <v>2150000</v>
      </c>
      <c r="P208" s="495" t="str">
        <f t="shared" si="4"/>
        <v>LUNAS</v>
      </c>
      <c r="Q208" s="135">
        <f t="shared" si="5"/>
        <v>0</v>
      </c>
      <c r="S208" s="101"/>
    </row>
    <row r="209" ht="15.75" customHeight="1">
      <c r="A209" s="49"/>
      <c r="C209" s="589">
        <f t="shared" si="15"/>
        <v>45833</v>
      </c>
      <c r="D209" s="625">
        <v>45803.0</v>
      </c>
      <c r="E209" s="628" t="s">
        <v>267</v>
      </c>
      <c r="F209" s="616">
        <v>85000.0</v>
      </c>
      <c r="G209" s="616">
        <v>45000.0</v>
      </c>
      <c r="H209" s="9"/>
      <c r="I209" s="8"/>
      <c r="J209" s="9"/>
      <c r="O209" s="497">
        <f t="shared" si="3"/>
        <v>2100000</v>
      </c>
      <c r="P209" s="495" t="str">
        <f t="shared" si="4"/>
        <v>LUNAS</v>
      </c>
      <c r="Q209" s="135">
        <f t="shared" si="5"/>
        <v>0</v>
      </c>
      <c r="S209" s="101"/>
    </row>
    <row r="210" ht="15.75" customHeight="1">
      <c r="A210" s="49"/>
      <c r="C210" s="589">
        <f t="shared" si="15"/>
        <v>45834</v>
      </c>
      <c r="D210" s="638">
        <v>45804.0</v>
      </c>
      <c r="E210" s="281" t="s">
        <v>1021</v>
      </c>
      <c r="F210" s="616">
        <v>1770000.0</v>
      </c>
      <c r="G210" s="616">
        <v>225000.0</v>
      </c>
      <c r="H210" s="9"/>
      <c r="I210" s="8"/>
      <c r="J210" s="9"/>
      <c r="O210" s="497">
        <f t="shared" si="3"/>
        <v>1750000</v>
      </c>
      <c r="P210" s="495" t="str">
        <f t="shared" si="4"/>
        <v>LUNAS</v>
      </c>
      <c r="Q210" s="135">
        <f t="shared" si="5"/>
        <v>0</v>
      </c>
      <c r="S210" s="101"/>
    </row>
    <row r="211" ht="15.75" customHeight="1">
      <c r="A211" s="49"/>
      <c r="C211" s="589">
        <f t="shared" si="15"/>
        <v>45834</v>
      </c>
      <c r="D211" s="589">
        <v>45804.0</v>
      </c>
      <c r="E211" s="281" t="s">
        <v>234</v>
      </c>
      <c r="F211" s="616">
        <v>2485000.0</v>
      </c>
      <c r="G211" s="616">
        <v>475000.0</v>
      </c>
      <c r="H211" s="9"/>
      <c r="I211" s="8"/>
      <c r="J211" s="9"/>
      <c r="O211" s="497">
        <f t="shared" si="3"/>
        <v>1050000</v>
      </c>
      <c r="P211" s="495" t="str">
        <f t="shared" si="4"/>
        <v>BELUM LUNAS</v>
      </c>
      <c r="Q211" s="135">
        <f t="shared" si="5"/>
        <v>1000000</v>
      </c>
      <c r="S211" s="101"/>
    </row>
    <row r="212" ht="15.75" customHeight="1">
      <c r="A212" s="49"/>
      <c r="C212" s="629">
        <f t="shared" si="15"/>
        <v>45836</v>
      </c>
      <c r="D212" s="589">
        <v>45806.0</v>
      </c>
      <c r="E212" s="281" t="s">
        <v>249</v>
      </c>
      <c r="F212" s="616">
        <v>870000.0</v>
      </c>
      <c r="G212" s="616">
        <v>170000.0</v>
      </c>
      <c r="H212" s="9"/>
      <c r="I212" s="8"/>
      <c r="J212" s="9"/>
      <c r="O212" s="497">
        <f t="shared" si="3"/>
        <v>3000000</v>
      </c>
      <c r="P212" s="495" t="str">
        <f t="shared" si="4"/>
        <v>BELUM LUNAS</v>
      </c>
      <c r="Q212" s="135">
        <f t="shared" si="5"/>
        <v>3000000</v>
      </c>
      <c r="S212" s="101"/>
    </row>
    <row r="213" ht="15.75" customHeight="1">
      <c r="A213" s="49"/>
      <c r="C213" s="627">
        <f t="shared" si="15"/>
        <v>45836</v>
      </c>
      <c r="D213" s="614">
        <v>45806.0</v>
      </c>
      <c r="E213" s="631" t="s">
        <v>735</v>
      </c>
      <c r="F213" s="616">
        <v>4720000.0</v>
      </c>
      <c r="G213" s="616">
        <v>400000.0</v>
      </c>
      <c r="H213" s="9"/>
      <c r="I213" s="8"/>
      <c r="J213" s="9"/>
      <c r="O213" s="497">
        <f t="shared" si="3"/>
        <v>1835000</v>
      </c>
      <c r="P213" s="495" t="str">
        <f t="shared" si="4"/>
        <v>LUNAS</v>
      </c>
      <c r="Q213" s="135">
        <f t="shared" si="5"/>
        <v>0</v>
      </c>
      <c r="S213" s="101"/>
    </row>
    <row r="214" ht="15.75" customHeight="1">
      <c r="A214" s="49"/>
      <c r="C214" s="629">
        <f t="shared" si="15"/>
        <v>45837</v>
      </c>
      <c r="D214" s="589">
        <v>45807.0</v>
      </c>
      <c r="E214" s="281" t="s">
        <v>544</v>
      </c>
      <c r="F214" s="616">
        <v>3200000.0</v>
      </c>
      <c r="G214" s="616">
        <v>700000.0</v>
      </c>
      <c r="H214" s="9"/>
      <c r="I214" s="8"/>
      <c r="J214" s="9"/>
      <c r="O214" s="497">
        <f t="shared" si="3"/>
        <v>1475000</v>
      </c>
      <c r="P214" s="495" t="str">
        <f t="shared" si="4"/>
        <v>LUNAS</v>
      </c>
      <c r="Q214" s="135">
        <f t="shared" si="5"/>
        <v>0</v>
      </c>
      <c r="S214" s="101"/>
    </row>
    <row r="215" ht="15.75" customHeight="1">
      <c r="A215" s="49"/>
      <c r="C215" s="624">
        <f t="shared" si="15"/>
        <v>45837</v>
      </c>
      <c r="D215" s="625">
        <v>45807.0</v>
      </c>
      <c r="E215" s="626" t="s">
        <v>867</v>
      </c>
      <c r="F215" s="616">
        <v>1600000.0</v>
      </c>
      <c r="G215" s="616">
        <v>350000.0</v>
      </c>
      <c r="H215" s="9"/>
      <c r="I215" s="8"/>
      <c r="J215" s="9"/>
      <c r="O215" s="497">
        <f t="shared" si="3"/>
        <v>4720000</v>
      </c>
      <c r="P215" s="495" t="str">
        <f t="shared" si="4"/>
        <v>LUNAS</v>
      </c>
      <c r="Q215" s="135">
        <f t="shared" si="5"/>
        <v>0</v>
      </c>
      <c r="S215" s="101"/>
    </row>
    <row r="216" ht="15.75" customHeight="1">
      <c r="A216" s="49"/>
      <c r="C216" s="589">
        <f t="shared" si="15"/>
        <v>45838</v>
      </c>
      <c r="D216" s="589">
        <v>45808.0</v>
      </c>
      <c r="E216" s="281" t="s">
        <v>132</v>
      </c>
      <c r="F216" s="616">
        <v>4500000.0</v>
      </c>
      <c r="G216" s="616">
        <v>400000.0</v>
      </c>
      <c r="H216" s="9"/>
      <c r="I216" s="8"/>
      <c r="J216" s="9"/>
      <c r="O216" s="497">
        <f t="shared" si="3"/>
        <v>3500000</v>
      </c>
      <c r="P216" s="495" t="str">
        <f t="shared" si="4"/>
        <v>LUNAS</v>
      </c>
      <c r="Q216" s="135">
        <f t="shared" si="5"/>
        <v>0</v>
      </c>
      <c r="S216" s="101"/>
    </row>
    <row r="217" ht="15.75" customHeight="1">
      <c r="A217" s="49"/>
      <c r="C217" s="589">
        <f t="shared" si="15"/>
        <v>45840</v>
      </c>
      <c r="D217" s="589">
        <v>45810.0</v>
      </c>
      <c r="E217" s="281" t="s">
        <v>208</v>
      </c>
      <c r="F217" s="616">
        <v>3995000.0</v>
      </c>
      <c r="G217" s="616">
        <v>570000.0</v>
      </c>
      <c r="H217" s="9"/>
      <c r="I217" s="8"/>
      <c r="J217" s="9"/>
      <c r="O217" s="497">
        <f t="shared" si="3"/>
        <v>4720000</v>
      </c>
      <c r="P217" s="495" t="str">
        <f t="shared" si="4"/>
        <v>LUNAS</v>
      </c>
      <c r="Q217" s="135">
        <f t="shared" si="5"/>
        <v>0</v>
      </c>
      <c r="S217" s="101"/>
    </row>
    <row r="218" ht="15.75" customHeight="1">
      <c r="A218" s="49"/>
      <c r="C218" s="629">
        <f t="shared" si="15"/>
        <v>45840</v>
      </c>
      <c r="D218" s="589">
        <v>45810.0</v>
      </c>
      <c r="E218" s="281" t="s">
        <v>254</v>
      </c>
      <c r="F218" s="616">
        <v>4720000.0</v>
      </c>
      <c r="G218" s="616">
        <v>400000.0</v>
      </c>
      <c r="H218" s="9"/>
      <c r="I218" s="8"/>
      <c r="J218" s="9"/>
      <c r="O218" s="497">
        <f t="shared" si="3"/>
        <v>10000000</v>
      </c>
      <c r="P218" s="495" t="str">
        <f t="shared" si="4"/>
        <v>BELUM LUNAS</v>
      </c>
      <c r="Q218" s="135">
        <f t="shared" si="5"/>
        <v>2940000</v>
      </c>
      <c r="S218" s="101"/>
    </row>
    <row r="219" ht="15.75" customHeight="1">
      <c r="A219" s="49"/>
      <c r="C219" s="624">
        <f t="shared" si="15"/>
        <v>45842</v>
      </c>
      <c r="D219" s="630">
        <v>45812.0</v>
      </c>
      <c r="E219" s="281" t="s">
        <v>801</v>
      </c>
      <c r="F219" s="616">
        <v>6800000.0</v>
      </c>
      <c r="G219" s="616">
        <v>800000.0</v>
      </c>
      <c r="H219" s="9"/>
      <c r="I219" s="8"/>
      <c r="J219" s="9"/>
      <c r="O219" s="497">
        <f t="shared" si="3"/>
        <v>4720000</v>
      </c>
      <c r="P219" s="495" t="str">
        <f t="shared" si="4"/>
        <v>LUNAS</v>
      </c>
      <c r="Q219" s="135">
        <f t="shared" si="5"/>
        <v>0</v>
      </c>
      <c r="S219" s="101"/>
    </row>
    <row r="220" ht="15.75" customHeight="1">
      <c r="A220" s="49"/>
      <c r="C220" s="624">
        <f t="shared" si="15"/>
        <v>45842</v>
      </c>
      <c r="D220" s="625">
        <v>45812.0</v>
      </c>
      <c r="E220" s="281" t="s">
        <v>801</v>
      </c>
      <c r="F220" s="616">
        <v>1000000.0</v>
      </c>
      <c r="G220" s="616">
        <v>200000.0</v>
      </c>
      <c r="H220" s="9"/>
      <c r="I220" s="8"/>
      <c r="J220" s="9"/>
      <c r="O220" s="497">
        <f t="shared" si="3"/>
        <v>1750000</v>
      </c>
      <c r="P220" s="495" t="str">
        <f t="shared" si="4"/>
        <v>LUNAS</v>
      </c>
      <c r="Q220" s="135">
        <f t="shared" si="5"/>
        <v>0</v>
      </c>
      <c r="S220" s="101"/>
    </row>
    <row r="221" ht="15.75" customHeight="1">
      <c r="A221" s="49"/>
      <c r="C221" s="624">
        <f t="shared" si="15"/>
        <v>45842</v>
      </c>
      <c r="D221" s="630">
        <v>45812.0</v>
      </c>
      <c r="E221" s="281" t="s">
        <v>801</v>
      </c>
      <c r="F221" s="616">
        <v>400000.0</v>
      </c>
      <c r="G221" s="616">
        <v>220000.0</v>
      </c>
      <c r="H221" s="9"/>
      <c r="I221" s="8"/>
      <c r="J221" s="9"/>
      <c r="O221" s="497">
        <f t="shared" si="3"/>
        <v>9440000</v>
      </c>
      <c r="P221" s="495" t="str">
        <f t="shared" si="4"/>
        <v>LUNAS</v>
      </c>
      <c r="Q221" s="135">
        <f t="shared" si="5"/>
        <v>0</v>
      </c>
      <c r="S221" s="101"/>
    </row>
    <row r="222" ht="15.75" customHeight="1">
      <c r="A222" s="49"/>
      <c r="C222" s="589">
        <f t="shared" si="15"/>
        <v>45843</v>
      </c>
      <c r="D222" s="630">
        <v>45813.0</v>
      </c>
      <c r="E222" s="632" t="s">
        <v>267</v>
      </c>
      <c r="F222" s="616">
        <v>2760000.0</v>
      </c>
      <c r="G222" s="616">
        <v>400000.0</v>
      </c>
      <c r="H222" s="9"/>
      <c r="I222" s="8"/>
      <c r="J222" s="9"/>
      <c r="O222" s="497">
        <f t="shared" si="3"/>
        <v>2180000</v>
      </c>
      <c r="P222" s="495" t="str">
        <f t="shared" si="4"/>
        <v>LUNAS</v>
      </c>
      <c r="Q222" s="135">
        <f t="shared" si="5"/>
        <v>0</v>
      </c>
      <c r="S222" s="101"/>
    </row>
    <row r="223" ht="15.75" customHeight="1">
      <c r="A223" s="49"/>
      <c r="C223" s="589">
        <f t="shared" si="15"/>
        <v>45843</v>
      </c>
      <c r="D223" s="625">
        <v>45813.0</v>
      </c>
      <c r="E223" s="628" t="s">
        <v>267</v>
      </c>
      <c r="F223" s="616">
        <v>440000.0</v>
      </c>
      <c r="G223" s="616">
        <v>110000.0</v>
      </c>
      <c r="H223" s="9"/>
      <c r="I223" s="8"/>
      <c r="J223" s="9"/>
      <c r="O223" s="497">
        <f t="shared" si="3"/>
        <v>3500000</v>
      </c>
      <c r="P223" s="495" t="str">
        <f t="shared" si="4"/>
        <v>LUNAS</v>
      </c>
      <c r="Q223" s="135">
        <f t="shared" si="5"/>
        <v>0</v>
      </c>
      <c r="S223" s="101"/>
    </row>
    <row r="224" ht="15.75" customHeight="1">
      <c r="A224" s="49"/>
      <c r="C224" s="589">
        <f t="shared" si="15"/>
        <v>45843</v>
      </c>
      <c r="D224" s="630">
        <v>45813.0</v>
      </c>
      <c r="E224" s="632" t="s">
        <v>267</v>
      </c>
      <c r="F224" s="616">
        <v>170000.0</v>
      </c>
      <c r="G224" s="616">
        <v>90000.0</v>
      </c>
      <c r="H224" s="9"/>
      <c r="I224" s="8"/>
      <c r="J224" s="9"/>
      <c r="O224" s="497">
        <f t="shared" si="3"/>
        <v>4720000</v>
      </c>
      <c r="P224" s="495" t="str">
        <f t="shared" si="4"/>
        <v>LUNAS</v>
      </c>
      <c r="Q224" s="135">
        <f t="shared" si="5"/>
        <v>0</v>
      </c>
      <c r="S224" s="101"/>
    </row>
    <row r="225" ht="15.75" customHeight="1">
      <c r="A225" s="49"/>
      <c r="C225" s="629">
        <f t="shared" si="15"/>
        <v>45845</v>
      </c>
      <c r="D225" s="589">
        <v>45815.0</v>
      </c>
      <c r="E225" s="281" t="s">
        <v>422</v>
      </c>
      <c r="F225" s="616">
        <v>3540000.0</v>
      </c>
      <c r="G225" s="616">
        <v>450000.0</v>
      </c>
      <c r="H225" s="9"/>
      <c r="I225" s="8"/>
      <c r="J225" s="9"/>
      <c r="O225" s="497">
        <f t="shared" si="3"/>
        <v>4720000</v>
      </c>
      <c r="P225" s="495" t="str">
        <f t="shared" si="4"/>
        <v>LUNAS</v>
      </c>
      <c r="Q225" s="135">
        <f t="shared" si="5"/>
        <v>0</v>
      </c>
      <c r="S225" s="101"/>
    </row>
    <row r="226" ht="15.75" customHeight="1">
      <c r="A226" s="49"/>
      <c r="C226" s="589">
        <f>D226+14</f>
        <v>45846</v>
      </c>
      <c r="D226" s="614">
        <v>45832.0</v>
      </c>
      <c r="E226" s="281" t="s">
        <v>74</v>
      </c>
      <c r="F226" s="615">
        <v>220000.0</v>
      </c>
      <c r="G226" s="616">
        <v>55000.0</v>
      </c>
      <c r="H226" s="9"/>
      <c r="I226" s="8"/>
      <c r="J226" s="9"/>
      <c r="O226" s="497">
        <f t="shared" si="3"/>
        <v>4000000</v>
      </c>
      <c r="P226" s="495" t="str">
        <f t="shared" si="4"/>
        <v>BELUM LUNAS</v>
      </c>
      <c r="Q226" s="135">
        <f t="shared" si="5"/>
        <v>100000</v>
      </c>
      <c r="S226" s="101"/>
    </row>
    <row r="227" ht="15.75" customHeight="1">
      <c r="A227" s="49"/>
      <c r="C227" s="589">
        <f t="shared" ref="C227:C230" si="16">D227+30</f>
        <v>45847</v>
      </c>
      <c r="D227" s="589">
        <v>45817.0</v>
      </c>
      <c r="E227" s="281" t="s">
        <v>962</v>
      </c>
      <c r="F227" s="616">
        <v>1260000.0</v>
      </c>
      <c r="G227" s="616">
        <v>350000.0</v>
      </c>
      <c r="H227" s="9"/>
      <c r="I227" s="8"/>
      <c r="J227" s="9"/>
      <c r="O227" s="497">
        <f t="shared" si="3"/>
        <v>4720000</v>
      </c>
      <c r="P227" s="495" t="str">
        <f t="shared" si="4"/>
        <v>LUNAS</v>
      </c>
      <c r="Q227" s="135">
        <f t="shared" si="5"/>
        <v>0</v>
      </c>
      <c r="S227" s="101"/>
    </row>
    <row r="228" ht="15.75" customHeight="1">
      <c r="A228" s="49"/>
      <c r="C228" s="589">
        <f t="shared" si="16"/>
        <v>45847</v>
      </c>
      <c r="D228" s="625">
        <v>45817.0</v>
      </c>
      <c r="E228" s="628" t="s">
        <v>267</v>
      </c>
      <c r="F228" s="616">
        <v>3700000.0</v>
      </c>
      <c r="G228" s="616">
        <v>610000.0</v>
      </c>
      <c r="H228" s="9"/>
      <c r="I228" s="8"/>
      <c r="J228" s="9"/>
      <c r="O228" s="497">
        <f t="shared" si="3"/>
        <v>1860000</v>
      </c>
      <c r="P228" s="495" t="str">
        <f t="shared" si="4"/>
        <v>BELUM LUNAS</v>
      </c>
      <c r="Q228" s="135">
        <f t="shared" si="5"/>
        <v>-100000</v>
      </c>
      <c r="S228" s="101"/>
    </row>
    <row r="229" ht="15.75" customHeight="1">
      <c r="A229" s="49"/>
      <c r="C229" s="629">
        <f t="shared" si="16"/>
        <v>45849</v>
      </c>
      <c r="D229" s="589">
        <v>45819.0</v>
      </c>
      <c r="E229" s="281" t="s">
        <v>486</v>
      </c>
      <c r="F229" s="616">
        <v>4300000.0</v>
      </c>
      <c r="G229" s="616">
        <v>600000.0</v>
      </c>
      <c r="H229" s="9"/>
      <c r="I229" s="8"/>
      <c r="J229" s="9"/>
      <c r="O229" s="497">
        <f t="shared" si="3"/>
        <v>1300000</v>
      </c>
      <c r="P229" s="495" t="str">
        <f t="shared" si="4"/>
        <v>LUNAS</v>
      </c>
      <c r="Q229" s="135">
        <f t="shared" si="5"/>
        <v>0</v>
      </c>
      <c r="S229" s="101"/>
    </row>
    <row r="230" ht="15.75" customHeight="1">
      <c r="A230" s="49"/>
      <c r="C230" s="624">
        <f t="shared" si="16"/>
        <v>45849</v>
      </c>
      <c r="D230" s="630">
        <v>45819.0</v>
      </c>
      <c r="E230" s="639" t="s">
        <v>741</v>
      </c>
      <c r="F230" s="616">
        <v>4720000.0</v>
      </c>
      <c r="G230" s="616">
        <v>400000.0</v>
      </c>
      <c r="H230" s="9"/>
      <c r="I230" s="8"/>
      <c r="J230" s="9"/>
      <c r="O230" s="497">
        <f t="shared" si="3"/>
        <v>1335000</v>
      </c>
      <c r="P230" s="495" t="str">
        <f t="shared" si="4"/>
        <v>LUNAS</v>
      </c>
      <c r="Q230" s="135">
        <f t="shared" si="5"/>
        <v>0</v>
      </c>
      <c r="S230" s="101"/>
    </row>
    <row r="231" ht="15.75" customHeight="1">
      <c r="A231" s="49"/>
      <c r="C231" s="614">
        <v>45850.0</v>
      </c>
      <c r="D231" s="614">
        <v>45817.0</v>
      </c>
      <c r="E231" s="628" t="s">
        <v>775</v>
      </c>
      <c r="F231" s="616">
        <v>6000000.0</v>
      </c>
      <c r="G231" s="616">
        <v>1850000.0</v>
      </c>
      <c r="H231" s="9"/>
      <c r="I231" s="8"/>
      <c r="J231" s="9"/>
      <c r="O231" s="497">
        <f t="shared" si="3"/>
        <v>2050000</v>
      </c>
      <c r="P231" s="495" t="str">
        <f t="shared" si="4"/>
        <v>LUNAS</v>
      </c>
      <c r="Q231" s="135">
        <f t="shared" si="5"/>
        <v>0</v>
      </c>
      <c r="S231" s="101"/>
    </row>
    <row r="232" ht="15.75" customHeight="1">
      <c r="A232" s="49"/>
      <c r="C232" s="589">
        <f t="shared" ref="C232:C253" si="17">D232+30</f>
        <v>45851</v>
      </c>
      <c r="D232" s="589">
        <v>45821.0</v>
      </c>
      <c r="E232" s="281" t="s">
        <v>144</v>
      </c>
      <c r="F232" s="616">
        <v>3400000.0</v>
      </c>
      <c r="G232" s="616">
        <v>400000.0</v>
      </c>
      <c r="H232" s="9"/>
      <c r="I232" s="8"/>
      <c r="J232" s="9"/>
      <c r="O232" s="497">
        <f t="shared" si="3"/>
        <v>780000</v>
      </c>
      <c r="P232" s="495" t="str">
        <f t="shared" si="4"/>
        <v>LUNAS</v>
      </c>
      <c r="Q232" s="135">
        <f t="shared" si="5"/>
        <v>0</v>
      </c>
      <c r="S232" s="101"/>
    </row>
    <row r="233" ht="15.75" customHeight="1">
      <c r="A233" s="49"/>
      <c r="C233" s="589">
        <f t="shared" si="17"/>
        <v>45851</v>
      </c>
      <c r="D233" s="589">
        <v>45821.0</v>
      </c>
      <c r="E233" s="281" t="s">
        <v>234</v>
      </c>
      <c r="F233" s="616">
        <v>1820000.0</v>
      </c>
      <c r="G233" s="616">
        <v>310000.0</v>
      </c>
      <c r="H233" s="9"/>
      <c r="I233" s="8"/>
      <c r="J233" s="9"/>
      <c r="O233" s="497">
        <f t="shared" si="3"/>
        <v>1060000</v>
      </c>
      <c r="P233" s="495" t="str">
        <f t="shared" si="4"/>
        <v>LUNAS</v>
      </c>
      <c r="Q233" s="135">
        <f t="shared" si="5"/>
        <v>0</v>
      </c>
      <c r="S233" s="101"/>
    </row>
    <row r="234" ht="15.75" customHeight="1">
      <c r="A234" s="49"/>
      <c r="C234" s="589">
        <f t="shared" si="17"/>
        <v>45851</v>
      </c>
      <c r="D234" s="630">
        <v>45821.0</v>
      </c>
      <c r="E234" s="632" t="s">
        <v>267</v>
      </c>
      <c r="F234" s="616">
        <v>4500000.0</v>
      </c>
      <c r="G234" s="616">
        <v>400000.0</v>
      </c>
      <c r="H234" s="9"/>
      <c r="I234" s="8"/>
      <c r="J234" s="9"/>
      <c r="O234" s="497">
        <f t="shared" si="3"/>
        <v>0</v>
      </c>
      <c r="P234" s="495" t="str">
        <f t="shared" si="4"/>
        <v>BELUM LUNAS</v>
      </c>
      <c r="Q234" s="135">
        <f t="shared" si="5"/>
        <v>880000</v>
      </c>
      <c r="S234" s="101"/>
    </row>
    <row r="235" ht="15.75" customHeight="1">
      <c r="A235" s="49"/>
      <c r="C235" s="589">
        <f t="shared" si="17"/>
        <v>45851</v>
      </c>
      <c r="D235" s="625">
        <v>45821.0</v>
      </c>
      <c r="E235" s="628" t="s">
        <v>267</v>
      </c>
      <c r="F235" s="616">
        <v>3140000.0</v>
      </c>
      <c r="G235" s="616">
        <v>300000.0</v>
      </c>
      <c r="H235" s="9"/>
      <c r="I235" s="8"/>
      <c r="J235" s="9"/>
      <c r="O235" s="497">
        <f t="shared" si="3"/>
        <v>2085000</v>
      </c>
      <c r="P235" s="495" t="str">
        <f t="shared" si="4"/>
        <v>LUNAS</v>
      </c>
      <c r="Q235" s="135">
        <f t="shared" si="5"/>
        <v>0</v>
      </c>
      <c r="S235" s="101"/>
    </row>
    <row r="236" ht="15.75" customHeight="1">
      <c r="A236" s="49"/>
      <c r="C236" s="589">
        <f t="shared" si="17"/>
        <v>45851</v>
      </c>
      <c r="D236" s="630">
        <v>45821.0</v>
      </c>
      <c r="E236" s="632" t="s">
        <v>267</v>
      </c>
      <c r="F236" s="616">
        <v>500000.0</v>
      </c>
      <c r="G236" s="616">
        <v>100000.0</v>
      </c>
      <c r="H236" s="9"/>
      <c r="I236" s="8"/>
      <c r="J236" s="9"/>
      <c r="O236" s="497">
        <f t="shared" si="3"/>
        <v>6700000</v>
      </c>
      <c r="P236" s="495" t="str">
        <f t="shared" si="4"/>
        <v>LUNAS</v>
      </c>
      <c r="Q236" s="135">
        <f t="shared" si="5"/>
        <v>0</v>
      </c>
      <c r="S236" s="101"/>
    </row>
    <row r="237" ht="15.75" customHeight="1">
      <c r="A237" s="49"/>
      <c r="C237" s="589">
        <f t="shared" si="17"/>
        <v>45851</v>
      </c>
      <c r="D237" s="625">
        <v>45821.0</v>
      </c>
      <c r="E237" s="628" t="s">
        <v>267</v>
      </c>
      <c r="F237" s="616">
        <v>200000.0</v>
      </c>
      <c r="G237" s="616">
        <v>110000.0</v>
      </c>
      <c r="H237" s="9"/>
      <c r="I237" s="8"/>
      <c r="J237" s="9"/>
      <c r="O237" s="497">
        <f t="shared" si="3"/>
        <v>6700000</v>
      </c>
      <c r="P237" s="495" t="str">
        <f t="shared" si="4"/>
        <v>LUNAS</v>
      </c>
      <c r="Q237" s="135">
        <f t="shared" si="5"/>
        <v>0</v>
      </c>
      <c r="S237" s="101"/>
    </row>
    <row r="238" ht="15.75" customHeight="1">
      <c r="A238" s="49"/>
      <c r="C238" s="589">
        <f t="shared" si="17"/>
        <v>45851</v>
      </c>
      <c r="D238" s="630">
        <v>45821.0</v>
      </c>
      <c r="E238" s="632" t="s">
        <v>267</v>
      </c>
      <c r="F238" s="616">
        <v>4450000.0</v>
      </c>
      <c r="G238" s="616">
        <v>390000.0</v>
      </c>
      <c r="H238" s="9"/>
      <c r="I238" s="8"/>
      <c r="J238" s="9"/>
      <c r="O238" s="497">
        <f t="shared" si="3"/>
        <v>6700000</v>
      </c>
      <c r="P238" s="495" t="str">
        <f t="shared" si="4"/>
        <v>LUNAS</v>
      </c>
      <c r="Q238" s="135">
        <f t="shared" si="5"/>
        <v>0</v>
      </c>
      <c r="S238" s="101"/>
    </row>
    <row r="239" ht="15.75" customHeight="1">
      <c r="A239" s="49"/>
      <c r="C239" s="629">
        <f t="shared" si="17"/>
        <v>45852</v>
      </c>
      <c r="D239" s="589">
        <v>45822.0</v>
      </c>
      <c r="E239" s="281" t="s">
        <v>536</v>
      </c>
      <c r="F239" s="616">
        <v>1800000.0</v>
      </c>
      <c r="G239" s="616">
        <v>255000.0</v>
      </c>
      <c r="H239" s="9"/>
      <c r="I239" s="8"/>
      <c r="J239" s="9"/>
      <c r="O239" s="497">
        <f t="shared" si="3"/>
        <v>5950000</v>
      </c>
      <c r="P239" s="495" t="str">
        <f t="shared" si="4"/>
        <v>BELUM LUNAS</v>
      </c>
      <c r="Q239" s="135">
        <f t="shared" si="5"/>
        <v>2600000</v>
      </c>
      <c r="S239" s="101"/>
    </row>
    <row r="240" ht="15.75" customHeight="1">
      <c r="A240" s="49"/>
      <c r="C240" s="589">
        <f t="shared" si="17"/>
        <v>45852</v>
      </c>
      <c r="D240" s="625">
        <v>45822.0</v>
      </c>
      <c r="E240" s="628" t="s">
        <v>267</v>
      </c>
      <c r="F240" s="616">
        <v>2150000.0</v>
      </c>
      <c r="G240" s="616">
        <v>300000.0</v>
      </c>
      <c r="H240" s="9"/>
      <c r="I240" s="8"/>
      <c r="J240" s="9"/>
      <c r="O240" s="497">
        <f t="shared" si="3"/>
        <v>6700000</v>
      </c>
      <c r="P240" s="495" t="str">
        <f t="shared" si="4"/>
        <v>LUNAS</v>
      </c>
      <c r="Q240" s="135">
        <f t="shared" si="5"/>
        <v>0</v>
      </c>
      <c r="S240" s="101"/>
    </row>
    <row r="241" ht="15.75" customHeight="1">
      <c r="A241" s="49"/>
      <c r="C241" s="589">
        <f t="shared" si="17"/>
        <v>45852</v>
      </c>
      <c r="D241" s="630">
        <v>45822.0</v>
      </c>
      <c r="E241" s="632" t="s">
        <v>267</v>
      </c>
      <c r="F241" s="616">
        <v>1380000.0</v>
      </c>
      <c r="G241" s="616">
        <v>200000.0</v>
      </c>
      <c r="H241" s="9"/>
      <c r="I241" s="8"/>
      <c r="J241" s="9"/>
      <c r="O241" s="497">
        <f t="shared" si="3"/>
        <v>6780000</v>
      </c>
      <c r="P241" s="495" t="str">
        <f t="shared" si="4"/>
        <v>LUNAS</v>
      </c>
      <c r="Q241" s="135">
        <f t="shared" si="5"/>
        <v>0</v>
      </c>
      <c r="S241" s="101"/>
    </row>
    <row r="242" ht="15.75" customHeight="1">
      <c r="A242" s="49"/>
      <c r="C242" s="589">
        <f t="shared" si="17"/>
        <v>45852</v>
      </c>
      <c r="D242" s="625">
        <v>45822.0</v>
      </c>
      <c r="E242" s="628" t="s">
        <v>267</v>
      </c>
      <c r="F242" s="616">
        <v>220000.0</v>
      </c>
      <c r="G242" s="616">
        <v>55000.0</v>
      </c>
      <c r="H242" s="9"/>
      <c r="I242" s="8"/>
      <c r="J242" s="9"/>
      <c r="O242" s="497">
        <f t="shared" si="3"/>
        <v>11450000</v>
      </c>
      <c r="P242" s="495" t="str">
        <f t="shared" si="4"/>
        <v>LUNAS</v>
      </c>
      <c r="Q242" s="135">
        <f t="shared" si="5"/>
        <v>0</v>
      </c>
      <c r="S242" s="101"/>
    </row>
    <row r="243" ht="15.75" customHeight="1">
      <c r="A243" s="49"/>
      <c r="C243" s="589">
        <f t="shared" si="17"/>
        <v>45852</v>
      </c>
      <c r="D243" s="630">
        <v>45822.0</v>
      </c>
      <c r="E243" s="632" t="s">
        <v>267</v>
      </c>
      <c r="F243" s="616">
        <v>850000.0</v>
      </c>
      <c r="G243" s="616">
        <v>810000.0</v>
      </c>
      <c r="H243" s="9"/>
      <c r="I243" s="8"/>
      <c r="J243" s="9"/>
      <c r="O243" s="497">
        <f t="shared" si="3"/>
        <v>1980000</v>
      </c>
      <c r="P243" s="495" t="str">
        <f t="shared" si="4"/>
        <v>LUNAS</v>
      </c>
      <c r="Q243" s="135">
        <f t="shared" si="5"/>
        <v>0</v>
      </c>
      <c r="S243" s="101"/>
    </row>
    <row r="244" ht="15.75" customHeight="1">
      <c r="A244" s="49"/>
      <c r="C244" s="624">
        <f t="shared" si="17"/>
        <v>45854</v>
      </c>
      <c r="D244" s="625">
        <v>45824.0</v>
      </c>
      <c r="E244" s="281" t="s">
        <v>583</v>
      </c>
      <c r="F244" s="616">
        <v>3700000.0</v>
      </c>
      <c r="G244" s="616">
        <v>610000.0</v>
      </c>
      <c r="H244" s="9"/>
      <c r="I244" s="8"/>
      <c r="J244" s="9"/>
      <c r="O244" s="497">
        <f t="shared" si="3"/>
        <v>9000000</v>
      </c>
      <c r="P244" s="495" t="str">
        <f t="shared" si="4"/>
        <v>LUNAS</v>
      </c>
      <c r="Q244" s="135">
        <f t="shared" si="5"/>
        <v>0</v>
      </c>
      <c r="S244" s="101"/>
    </row>
    <row r="245" ht="15.75" customHeight="1">
      <c r="A245" s="49"/>
      <c r="C245" s="624">
        <f t="shared" si="17"/>
        <v>45854</v>
      </c>
      <c r="D245" s="630">
        <v>45824.0</v>
      </c>
      <c r="E245" s="632" t="s">
        <v>927</v>
      </c>
      <c r="F245" s="616">
        <v>4100000.0</v>
      </c>
      <c r="G245" s="616">
        <v>400000.0</v>
      </c>
      <c r="H245" s="9"/>
      <c r="I245" s="8"/>
      <c r="J245" s="9"/>
      <c r="O245" s="497">
        <f t="shared" si="3"/>
        <v>30060000</v>
      </c>
      <c r="P245" s="495" t="str">
        <f t="shared" si="4"/>
        <v>LUNAS</v>
      </c>
      <c r="Q245" s="135">
        <f t="shared" si="5"/>
        <v>0</v>
      </c>
      <c r="S245" s="101"/>
    </row>
    <row r="246" ht="15.75" customHeight="1">
      <c r="A246" s="49"/>
      <c r="C246" s="629">
        <f t="shared" si="17"/>
        <v>45858</v>
      </c>
      <c r="D246" s="589">
        <v>45828.0</v>
      </c>
      <c r="E246" s="281" t="s">
        <v>422</v>
      </c>
      <c r="F246" s="616">
        <v>4100000.0</v>
      </c>
      <c r="G246" s="616">
        <v>400000.0</v>
      </c>
      <c r="H246" s="9"/>
      <c r="I246" s="8"/>
      <c r="J246" s="9"/>
      <c r="O246" s="497">
        <f t="shared" si="3"/>
        <v>6740000</v>
      </c>
      <c r="P246" s="495" t="str">
        <f t="shared" si="4"/>
        <v>LUNAS</v>
      </c>
      <c r="Q246" s="135">
        <f t="shared" si="5"/>
        <v>0</v>
      </c>
      <c r="S246" s="101"/>
    </row>
    <row r="247" ht="15.75" customHeight="1">
      <c r="A247" s="49"/>
      <c r="C247" s="629">
        <f t="shared" si="17"/>
        <v>45858</v>
      </c>
      <c r="D247" s="589">
        <v>45828.0</v>
      </c>
      <c r="E247" s="281" t="s">
        <v>249</v>
      </c>
      <c r="F247" s="616">
        <v>1290000.0</v>
      </c>
      <c r="G247" s="616">
        <v>240000.0</v>
      </c>
      <c r="H247" s="9"/>
      <c r="I247" s="8"/>
      <c r="J247" s="9"/>
      <c r="O247" s="497">
        <f t="shared" si="3"/>
        <v>21500000</v>
      </c>
      <c r="P247" s="495" t="str">
        <f t="shared" si="4"/>
        <v>LUNAS</v>
      </c>
      <c r="Q247" s="135">
        <f t="shared" si="5"/>
        <v>0</v>
      </c>
      <c r="S247" s="101"/>
    </row>
    <row r="248" ht="15.75" customHeight="1">
      <c r="A248" s="49"/>
      <c r="C248" s="629">
        <f t="shared" si="17"/>
        <v>45861</v>
      </c>
      <c r="D248" s="589">
        <v>45831.0</v>
      </c>
      <c r="E248" s="281" t="s">
        <v>985</v>
      </c>
      <c r="F248" s="616">
        <v>700000.0</v>
      </c>
      <c r="G248" s="616">
        <v>105000.0</v>
      </c>
      <c r="H248" s="9"/>
      <c r="I248" s="8"/>
      <c r="J248" s="9"/>
      <c r="O248" s="497">
        <f t="shared" si="3"/>
        <v>6540000</v>
      </c>
      <c r="P248" s="495" t="str">
        <f t="shared" si="4"/>
        <v>LUNAS</v>
      </c>
      <c r="Q248" s="135">
        <f t="shared" si="5"/>
        <v>0</v>
      </c>
      <c r="S248" s="101"/>
    </row>
    <row r="249" ht="15.75" customHeight="1">
      <c r="A249" s="49"/>
      <c r="C249" s="629">
        <f t="shared" si="17"/>
        <v>45861</v>
      </c>
      <c r="D249" s="589">
        <v>45831.0</v>
      </c>
      <c r="E249" s="281" t="s">
        <v>536</v>
      </c>
      <c r="F249" s="616">
        <v>2225000.0</v>
      </c>
      <c r="G249" s="616">
        <v>195000.0</v>
      </c>
      <c r="H249" s="9"/>
      <c r="I249" s="8"/>
      <c r="J249" s="9"/>
      <c r="O249" s="497">
        <f t="shared" si="3"/>
        <v>29800000</v>
      </c>
      <c r="P249" s="495" t="str">
        <f t="shared" si="4"/>
        <v>LUNAS</v>
      </c>
      <c r="Q249" s="135">
        <f t="shared" si="5"/>
        <v>0</v>
      </c>
      <c r="S249" s="101"/>
    </row>
    <row r="250" ht="15.75" customHeight="1">
      <c r="A250" s="49"/>
      <c r="C250" s="624">
        <f t="shared" si="17"/>
        <v>45861</v>
      </c>
      <c r="D250" s="630">
        <v>45831.0</v>
      </c>
      <c r="E250" s="631" t="s">
        <v>610</v>
      </c>
      <c r="F250" s="616">
        <v>4500000.0</v>
      </c>
      <c r="G250" s="616">
        <v>400000.0</v>
      </c>
      <c r="H250" s="9"/>
      <c r="I250" s="8"/>
      <c r="J250" s="9"/>
      <c r="O250" s="497">
        <f t="shared" si="3"/>
        <v>3520000</v>
      </c>
      <c r="P250" s="495" t="str">
        <f t="shared" si="4"/>
        <v>LUNAS</v>
      </c>
      <c r="Q250" s="135">
        <f t="shared" si="5"/>
        <v>0</v>
      </c>
      <c r="S250" s="101"/>
    </row>
    <row r="251" ht="15.75" customHeight="1">
      <c r="A251" s="49"/>
      <c r="C251" s="624">
        <f t="shared" si="17"/>
        <v>45861</v>
      </c>
      <c r="D251" s="630">
        <v>45831.0</v>
      </c>
      <c r="E251" s="631" t="s">
        <v>709</v>
      </c>
      <c r="F251" s="616">
        <v>4100000.0</v>
      </c>
      <c r="G251" s="616">
        <v>400000.0</v>
      </c>
      <c r="H251" s="9"/>
      <c r="I251" s="8"/>
      <c r="J251" s="9"/>
      <c r="O251" s="497">
        <f t="shared" si="3"/>
        <v>1500000</v>
      </c>
      <c r="P251" s="495" t="str">
        <f t="shared" si="4"/>
        <v>LUNAS</v>
      </c>
      <c r="Q251" s="135">
        <f t="shared" si="5"/>
        <v>0</v>
      </c>
      <c r="S251" s="101"/>
    </row>
    <row r="252" ht="15.75" customHeight="1">
      <c r="A252" s="49"/>
      <c r="C252" s="589">
        <f t="shared" si="17"/>
        <v>45862</v>
      </c>
      <c r="D252" s="589">
        <v>45832.0</v>
      </c>
      <c r="E252" s="281" t="s">
        <v>234</v>
      </c>
      <c r="F252" s="616">
        <v>3370000.0</v>
      </c>
      <c r="G252" s="616">
        <v>600000.0</v>
      </c>
      <c r="H252" s="9"/>
      <c r="I252" s="8"/>
      <c r="J252" s="9"/>
      <c r="O252" s="497">
        <f t="shared" si="3"/>
        <v>1340000</v>
      </c>
      <c r="P252" s="495" t="str">
        <f t="shared" si="4"/>
        <v>LUNAS</v>
      </c>
      <c r="Q252" s="135">
        <f t="shared" si="5"/>
        <v>0</v>
      </c>
      <c r="S252" s="101"/>
    </row>
    <row r="253" ht="15.75" customHeight="1">
      <c r="A253" s="49"/>
      <c r="C253" s="629">
        <f t="shared" si="17"/>
        <v>45862</v>
      </c>
      <c r="D253" s="589">
        <v>45832.0</v>
      </c>
      <c r="E253" s="281" t="s">
        <v>422</v>
      </c>
      <c r="F253" s="616">
        <v>1850000.0</v>
      </c>
      <c r="G253" s="616">
        <v>305000.0</v>
      </c>
      <c r="H253" s="9"/>
      <c r="I253" s="8"/>
      <c r="J253" s="9"/>
      <c r="O253" s="497">
        <f t="shared" si="3"/>
        <v>670000</v>
      </c>
      <c r="P253" s="495" t="str">
        <f t="shared" si="4"/>
        <v>LUNAS</v>
      </c>
      <c r="Q253" s="135">
        <f t="shared" si="5"/>
        <v>0</v>
      </c>
      <c r="S253" s="101"/>
    </row>
    <row r="254" ht="15.75" customHeight="1">
      <c r="A254" s="49"/>
      <c r="C254" s="589">
        <f>D254+14</f>
        <v>45863</v>
      </c>
      <c r="D254" s="614">
        <v>45849.0</v>
      </c>
      <c r="E254" s="281" t="s">
        <v>74</v>
      </c>
      <c r="F254" s="615">
        <v>3180000.0</v>
      </c>
      <c r="G254" s="616">
        <v>410000.0</v>
      </c>
      <c r="H254" s="9"/>
      <c r="I254" s="8"/>
      <c r="J254" s="9"/>
      <c r="O254" s="497">
        <f t="shared" si="3"/>
        <v>2050000</v>
      </c>
      <c r="P254" s="495" t="str">
        <f t="shared" si="4"/>
        <v>LUNAS</v>
      </c>
      <c r="Q254" s="135">
        <f t="shared" si="5"/>
        <v>0</v>
      </c>
      <c r="S254" s="101"/>
    </row>
    <row r="255" ht="15.75" customHeight="1">
      <c r="A255" s="49"/>
      <c r="C255" s="589">
        <f t="shared" ref="C255:C268" si="18">D255+30</f>
        <v>45864</v>
      </c>
      <c r="D255" s="625">
        <v>45834.0</v>
      </c>
      <c r="E255" s="628" t="s">
        <v>267</v>
      </c>
      <c r="F255" s="616">
        <v>4500000.0</v>
      </c>
      <c r="G255" s="616">
        <v>400000.0</v>
      </c>
      <c r="H255" s="9"/>
      <c r="I255" s="8"/>
      <c r="J255" s="9"/>
      <c r="O255" s="497">
        <f t="shared" si="3"/>
        <v>2050000</v>
      </c>
      <c r="P255" s="495" t="str">
        <f t="shared" si="4"/>
        <v>LUNAS</v>
      </c>
      <c r="Q255" s="135">
        <f t="shared" si="5"/>
        <v>0</v>
      </c>
      <c r="S255" s="101"/>
    </row>
    <row r="256" ht="15.75" customHeight="1">
      <c r="A256" s="49"/>
      <c r="C256" s="589">
        <f t="shared" si="18"/>
        <v>45864</v>
      </c>
      <c r="D256" s="630">
        <v>45834.0</v>
      </c>
      <c r="E256" s="632" t="s">
        <v>267</v>
      </c>
      <c r="F256" s="616">
        <v>4500000.0</v>
      </c>
      <c r="G256" s="616">
        <v>400000.0</v>
      </c>
      <c r="H256" s="9"/>
      <c r="I256" s="8"/>
      <c r="J256" s="9"/>
      <c r="O256" s="497">
        <f t="shared" si="3"/>
        <v>2150000</v>
      </c>
      <c r="P256" s="495" t="str">
        <f t="shared" si="4"/>
        <v>BELUM LUNAS</v>
      </c>
      <c r="Q256" s="135">
        <f t="shared" si="5"/>
        <v>2350000</v>
      </c>
      <c r="S256" s="101"/>
    </row>
    <row r="257" ht="15.75" customHeight="1">
      <c r="A257" s="49"/>
      <c r="C257" s="589">
        <f t="shared" si="18"/>
        <v>45868</v>
      </c>
      <c r="D257" s="589">
        <v>45838.0</v>
      </c>
      <c r="E257" s="281" t="s">
        <v>208</v>
      </c>
      <c r="F257" s="616">
        <v>1315000.0</v>
      </c>
      <c r="G257" s="616">
        <v>200000.0</v>
      </c>
      <c r="H257" s="9"/>
      <c r="I257" s="8"/>
      <c r="J257" s="9"/>
      <c r="O257" s="497">
        <f t="shared" si="3"/>
        <v>7660000</v>
      </c>
      <c r="P257" s="495" t="str">
        <f t="shared" si="4"/>
        <v>LUNAS</v>
      </c>
      <c r="Q257" s="135">
        <f t="shared" si="5"/>
        <v>0</v>
      </c>
      <c r="S257" s="101"/>
    </row>
    <row r="258" ht="15.75" customHeight="1">
      <c r="A258" s="49"/>
      <c r="C258" s="629">
        <f t="shared" si="18"/>
        <v>45868</v>
      </c>
      <c r="D258" s="589">
        <v>45838.0</v>
      </c>
      <c r="E258" s="281" t="s">
        <v>901</v>
      </c>
      <c r="F258" s="616">
        <v>4100000.0</v>
      </c>
      <c r="G258" s="616">
        <v>400000.0</v>
      </c>
      <c r="H258" s="9"/>
      <c r="I258" s="8"/>
      <c r="J258" s="9"/>
      <c r="O258" s="497">
        <f t="shared" si="3"/>
        <v>7800000</v>
      </c>
      <c r="P258" s="495" t="str">
        <f t="shared" si="4"/>
        <v>LUNAS</v>
      </c>
      <c r="Q258" s="135">
        <f t="shared" si="5"/>
        <v>0</v>
      </c>
      <c r="S258" s="101"/>
    </row>
    <row r="259" ht="15.75" customHeight="1">
      <c r="A259" s="49"/>
      <c r="C259" s="624">
        <f t="shared" si="18"/>
        <v>45868</v>
      </c>
      <c r="D259" s="625">
        <v>45838.0</v>
      </c>
      <c r="E259" s="626" t="s">
        <v>1031</v>
      </c>
      <c r="F259" s="616">
        <v>2560000.0</v>
      </c>
      <c r="G259" s="616">
        <v>200000.0</v>
      </c>
      <c r="H259" s="9"/>
      <c r="I259" s="8"/>
      <c r="J259" s="9"/>
      <c r="O259" s="497">
        <f t="shared" si="3"/>
        <v>2060000</v>
      </c>
      <c r="P259" s="495" t="str">
        <f t="shared" si="4"/>
        <v>LUNAS</v>
      </c>
      <c r="Q259" s="135">
        <f t="shared" si="5"/>
        <v>0</v>
      </c>
      <c r="S259" s="101"/>
    </row>
    <row r="260" ht="15.75" customHeight="1">
      <c r="A260" s="49"/>
      <c r="C260" s="589">
        <f t="shared" si="18"/>
        <v>45870</v>
      </c>
      <c r="D260" s="630">
        <v>45840.0</v>
      </c>
      <c r="E260" s="281" t="s">
        <v>661</v>
      </c>
      <c r="F260" s="616">
        <v>1700000.0</v>
      </c>
      <c r="G260" s="616">
        <v>200000.0</v>
      </c>
      <c r="H260" s="9"/>
      <c r="I260" s="8"/>
      <c r="J260" s="9"/>
      <c r="O260" s="497">
        <f t="shared" si="3"/>
        <v>3500000</v>
      </c>
      <c r="P260" s="495" t="str">
        <f t="shared" si="4"/>
        <v>LUNAS</v>
      </c>
      <c r="Q260" s="135">
        <f t="shared" si="5"/>
        <v>0</v>
      </c>
      <c r="S260" s="101"/>
    </row>
    <row r="261" ht="15.75" customHeight="1">
      <c r="A261" s="49"/>
      <c r="C261" s="624">
        <f t="shared" si="18"/>
        <v>45870</v>
      </c>
      <c r="D261" s="630">
        <v>45840.0</v>
      </c>
      <c r="E261" s="632" t="s">
        <v>810</v>
      </c>
      <c r="F261" s="616">
        <v>2050000.0</v>
      </c>
      <c r="G261" s="616">
        <v>210000.0</v>
      </c>
      <c r="H261" s="9"/>
      <c r="I261" s="8"/>
      <c r="J261" s="9"/>
      <c r="O261" s="497">
        <f t="shared" si="3"/>
        <v>3800000</v>
      </c>
      <c r="P261" s="495" t="str">
        <f t="shared" si="4"/>
        <v>LUNAS</v>
      </c>
      <c r="Q261" s="135">
        <f t="shared" si="5"/>
        <v>0</v>
      </c>
      <c r="S261" s="101"/>
    </row>
    <row r="262" ht="15.75" customHeight="1">
      <c r="A262" s="49"/>
      <c r="C262" s="627">
        <f t="shared" si="18"/>
        <v>45870</v>
      </c>
      <c r="D262" s="614">
        <v>45840.0</v>
      </c>
      <c r="E262" s="626" t="s">
        <v>735</v>
      </c>
      <c r="F262" s="616">
        <v>4720000.0</v>
      </c>
      <c r="G262" s="616">
        <v>400000.0</v>
      </c>
      <c r="H262" s="9"/>
      <c r="I262" s="8"/>
      <c r="J262" s="9"/>
      <c r="O262" s="497">
        <f t="shared" si="3"/>
        <v>14160000</v>
      </c>
      <c r="P262" s="495" t="str">
        <f t="shared" si="4"/>
        <v>LUNAS</v>
      </c>
      <c r="Q262" s="135">
        <f t="shared" si="5"/>
        <v>0</v>
      </c>
      <c r="S262" s="101"/>
    </row>
    <row r="263" ht="15.75" customHeight="1">
      <c r="A263" s="49"/>
      <c r="C263" s="589">
        <f t="shared" si="18"/>
        <v>45872</v>
      </c>
      <c r="D263" s="589">
        <v>45842.0</v>
      </c>
      <c r="E263" s="281" t="s">
        <v>234</v>
      </c>
      <c r="F263" s="616">
        <v>1625000.0</v>
      </c>
      <c r="G263" s="616">
        <v>200000.0</v>
      </c>
      <c r="H263" s="9"/>
      <c r="I263" s="8"/>
      <c r="J263" s="9"/>
      <c r="O263" s="497">
        <f t="shared" si="3"/>
        <v>3240000</v>
      </c>
      <c r="P263" s="495" t="str">
        <f t="shared" si="4"/>
        <v>LUNAS</v>
      </c>
      <c r="Q263" s="135">
        <f t="shared" si="5"/>
        <v>0</v>
      </c>
      <c r="S263" s="101"/>
    </row>
    <row r="264" ht="15.75" customHeight="1">
      <c r="A264" s="49"/>
      <c r="C264" s="629">
        <f t="shared" si="18"/>
        <v>45872</v>
      </c>
      <c r="D264" s="589">
        <v>45842.0</v>
      </c>
      <c r="E264" s="281" t="s">
        <v>254</v>
      </c>
      <c r="F264" s="616">
        <v>3500000.0</v>
      </c>
      <c r="G264" s="616">
        <v>410000.0</v>
      </c>
      <c r="H264" s="9"/>
      <c r="I264" s="8"/>
      <c r="J264" s="9"/>
      <c r="O264" s="497">
        <f t="shared" si="3"/>
        <v>4720000</v>
      </c>
      <c r="P264" s="495" t="str">
        <f t="shared" si="4"/>
        <v>LUNAS</v>
      </c>
      <c r="Q264" s="135">
        <f t="shared" si="5"/>
        <v>0</v>
      </c>
      <c r="S264" s="101"/>
    </row>
    <row r="265" ht="15.75" customHeight="1">
      <c r="A265" s="49"/>
      <c r="C265" s="589">
        <f t="shared" si="18"/>
        <v>45872</v>
      </c>
      <c r="D265" s="625">
        <v>45842.0</v>
      </c>
      <c r="E265" s="628" t="s">
        <v>267</v>
      </c>
      <c r="F265" s="616">
        <v>4500000.0</v>
      </c>
      <c r="G265" s="616">
        <v>400000.0</v>
      </c>
      <c r="H265" s="9"/>
      <c r="I265" s="8"/>
      <c r="J265" s="9"/>
      <c r="O265" s="497">
        <f t="shared" si="3"/>
        <v>9440000</v>
      </c>
      <c r="P265" s="495" t="str">
        <f t="shared" si="4"/>
        <v>LUNAS</v>
      </c>
      <c r="Q265" s="135">
        <f t="shared" si="5"/>
        <v>0</v>
      </c>
      <c r="S265" s="101"/>
    </row>
    <row r="266" ht="15.75" customHeight="1">
      <c r="A266" s="49"/>
      <c r="C266" s="589">
        <f t="shared" si="18"/>
        <v>45873</v>
      </c>
      <c r="D266" s="589">
        <v>45843.0</v>
      </c>
      <c r="E266" s="281" t="s">
        <v>911</v>
      </c>
      <c r="F266" s="616">
        <v>2355000.0</v>
      </c>
      <c r="G266" s="616">
        <v>310000.0</v>
      </c>
      <c r="H266" s="9"/>
      <c r="I266" s="8"/>
      <c r="J266" s="9"/>
      <c r="O266" s="497">
        <f t="shared" si="3"/>
        <v>0</v>
      </c>
      <c r="P266" s="495" t="str">
        <f t="shared" si="4"/>
        <v>BELUM LUNAS</v>
      </c>
      <c r="Q266" s="135">
        <f t="shared" si="5"/>
        <v>3500000</v>
      </c>
      <c r="S266" s="101"/>
    </row>
    <row r="267" ht="15.75" customHeight="1">
      <c r="A267" s="49"/>
      <c r="C267" s="624">
        <f t="shared" si="18"/>
        <v>45874</v>
      </c>
      <c r="D267" s="625">
        <v>45844.0</v>
      </c>
      <c r="E267" s="281" t="s">
        <v>346</v>
      </c>
      <c r="F267" s="616">
        <v>8200000.0</v>
      </c>
      <c r="G267" s="616">
        <v>800000.0</v>
      </c>
      <c r="H267" s="9"/>
      <c r="I267" s="8"/>
      <c r="J267" s="9"/>
      <c r="O267" s="497">
        <f t="shared" si="3"/>
        <v>0</v>
      </c>
      <c r="P267" s="495" t="str">
        <f t="shared" si="4"/>
        <v>BELUM LUNAS</v>
      </c>
      <c r="Q267" s="135">
        <f t="shared" si="5"/>
        <v>4720000</v>
      </c>
      <c r="S267" s="101"/>
    </row>
    <row r="268" ht="15.75" customHeight="1">
      <c r="A268" s="49"/>
      <c r="C268" s="624">
        <f t="shared" si="18"/>
        <v>45875</v>
      </c>
      <c r="D268" s="625">
        <v>45845.0</v>
      </c>
      <c r="E268" s="626" t="s">
        <v>610</v>
      </c>
      <c r="F268" s="616">
        <v>4450000.0</v>
      </c>
      <c r="G268" s="616">
        <v>350000.0</v>
      </c>
      <c r="H268" s="9"/>
      <c r="I268" s="8"/>
      <c r="J268" s="9"/>
      <c r="O268" s="497">
        <f t="shared" si="3"/>
        <v>4720000</v>
      </c>
      <c r="P268" s="495" t="str">
        <f t="shared" si="4"/>
        <v>LUNAS</v>
      </c>
      <c r="Q268" s="135">
        <f t="shared" si="5"/>
        <v>0</v>
      </c>
      <c r="S268" s="101"/>
    </row>
    <row r="269" ht="15.75" customHeight="1">
      <c r="A269" s="49"/>
      <c r="C269" s="587">
        <f t="shared" ref="C269:C270" si="19">D269+45</f>
        <v>45876</v>
      </c>
      <c r="D269" s="625">
        <v>45831.0</v>
      </c>
      <c r="E269" s="281" t="s">
        <v>595</v>
      </c>
      <c r="F269" s="616">
        <v>4800000.0</v>
      </c>
      <c r="G269" s="616">
        <v>480000.0</v>
      </c>
      <c r="H269" s="9"/>
      <c r="I269" s="8"/>
      <c r="J269" s="9"/>
      <c r="O269" s="497">
        <f t="shared" si="3"/>
        <v>1750000</v>
      </c>
      <c r="P269" s="495" t="str">
        <f t="shared" si="4"/>
        <v>LUNAS</v>
      </c>
      <c r="Q269" s="135">
        <f t="shared" si="5"/>
        <v>0</v>
      </c>
      <c r="S269" s="101"/>
    </row>
    <row r="270" ht="15.75" customHeight="1">
      <c r="A270" s="49"/>
      <c r="C270" s="587">
        <f t="shared" si="19"/>
        <v>45877</v>
      </c>
      <c r="D270" s="630">
        <v>45832.0</v>
      </c>
      <c r="E270" s="281" t="s">
        <v>595</v>
      </c>
      <c r="F270" s="616">
        <v>1750000.0</v>
      </c>
      <c r="G270" s="616">
        <v>250000.0</v>
      </c>
      <c r="H270" s="9"/>
      <c r="I270" s="8"/>
      <c r="J270" s="9"/>
      <c r="O270" s="497">
        <f t="shared" si="3"/>
        <v>1760000</v>
      </c>
      <c r="P270" s="495" t="str">
        <f t="shared" si="4"/>
        <v>LUNAS</v>
      </c>
      <c r="Q270" s="135">
        <f t="shared" si="5"/>
        <v>0</v>
      </c>
      <c r="S270" s="101"/>
    </row>
    <row r="271" ht="15.75" customHeight="1">
      <c r="A271" s="49"/>
      <c r="C271" s="589">
        <f t="shared" ref="C271:C297" si="20">D271+30</f>
        <v>45880</v>
      </c>
      <c r="D271" s="589">
        <v>45850.0</v>
      </c>
      <c r="E271" s="281" t="s">
        <v>193</v>
      </c>
      <c r="F271" s="616">
        <v>5695000.0</v>
      </c>
      <c r="G271" s="616">
        <v>950000.0</v>
      </c>
      <c r="H271" s="9"/>
      <c r="I271" s="8"/>
      <c r="J271" s="9"/>
      <c r="O271" s="497">
        <f t="shared" si="3"/>
        <v>4370000</v>
      </c>
      <c r="P271" s="495" t="str">
        <f t="shared" si="4"/>
        <v>LUNAS</v>
      </c>
      <c r="Q271" s="135">
        <f t="shared" si="5"/>
        <v>0</v>
      </c>
      <c r="S271" s="101"/>
    </row>
    <row r="272" ht="15.75" customHeight="1">
      <c r="A272" s="49"/>
      <c r="C272" s="589">
        <f t="shared" si="20"/>
        <v>45882</v>
      </c>
      <c r="D272" s="589">
        <v>45852.0</v>
      </c>
      <c r="E272" s="281" t="s">
        <v>132</v>
      </c>
      <c r="F272" s="616">
        <v>4500000.0</v>
      </c>
      <c r="G272" s="616">
        <v>400000.0</v>
      </c>
      <c r="H272" s="9"/>
      <c r="I272" s="8"/>
      <c r="J272" s="9"/>
      <c r="O272" s="497">
        <f t="shared" si="3"/>
        <v>4300000</v>
      </c>
      <c r="P272" s="495" t="str">
        <f t="shared" si="4"/>
        <v>LUNAS</v>
      </c>
      <c r="Q272" s="135">
        <f t="shared" si="5"/>
        <v>0</v>
      </c>
      <c r="S272" s="101"/>
    </row>
    <row r="273" ht="15.75" customHeight="1">
      <c r="A273" s="49"/>
      <c r="C273" s="627">
        <f t="shared" si="20"/>
        <v>45883</v>
      </c>
      <c r="D273" s="614">
        <v>45853.0</v>
      </c>
      <c r="E273" s="632" t="s">
        <v>735</v>
      </c>
      <c r="F273" s="616">
        <v>1570000.0</v>
      </c>
      <c r="G273" s="616">
        <v>150000.0</v>
      </c>
      <c r="H273" s="9"/>
      <c r="I273" s="8"/>
      <c r="J273" s="9"/>
      <c r="O273" s="497">
        <f t="shared" si="3"/>
        <v>880000</v>
      </c>
      <c r="P273" s="495" t="str">
        <f t="shared" si="4"/>
        <v>LUNAS</v>
      </c>
      <c r="Q273" s="135">
        <f t="shared" si="5"/>
        <v>0</v>
      </c>
      <c r="S273" s="101"/>
    </row>
    <row r="274" ht="15.75" customHeight="1">
      <c r="A274" s="49"/>
      <c r="C274" s="624">
        <f t="shared" si="20"/>
        <v>45884</v>
      </c>
      <c r="D274" s="625">
        <v>45854.0</v>
      </c>
      <c r="E274" s="628" t="s">
        <v>651</v>
      </c>
      <c r="F274" s="616">
        <v>1750000.0</v>
      </c>
      <c r="G274" s="616">
        <v>205000.0</v>
      </c>
      <c r="H274" s="9"/>
      <c r="I274" s="8"/>
      <c r="J274" s="9"/>
      <c r="O274" s="497">
        <f t="shared" si="3"/>
        <v>700000</v>
      </c>
      <c r="P274" s="495" t="str">
        <f t="shared" si="4"/>
        <v>LUNAS</v>
      </c>
      <c r="Q274" s="135">
        <f t="shared" si="5"/>
        <v>0</v>
      </c>
      <c r="S274" s="101"/>
    </row>
    <row r="275" ht="15.75" customHeight="1">
      <c r="A275" s="49"/>
      <c r="C275" s="629">
        <f t="shared" si="20"/>
        <v>45885</v>
      </c>
      <c r="D275" s="589">
        <v>45855.0</v>
      </c>
      <c r="E275" s="281" t="s">
        <v>254</v>
      </c>
      <c r="F275" s="616">
        <v>4720000.0</v>
      </c>
      <c r="G275" s="616">
        <v>400000.0</v>
      </c>
      <c r="H275" s="9"/>
      <c r="I275" s="8"/>
      <c r="J275" s="9"/>
      <c r="O275" s="497">
        <f t="shared" si="3"/>
        <v>4100000</v>
      </c>
      <c r="P275" s="495" t="str">
        <f t="shared" si="4"/>
        <v>LUNAS</v>
      </c>
      <c r="Q275" s="135">
        <f t="shared" si="5"/>
        <v>0</v>
      </c>
      <c r="S275" s="101"/>
    </row>
    <row r="276" ht="15.75" customHeight="1">
      <c r="A276" s="49"/>
      <c r="C276" s="589">
        <f t="shared" si="20"/>
        <v>45886</v>
      </c>
      <c r="D276" s="624">
        <v>45856.0</v>
      </c>
      <c r="E276" s="281" t="s">
        <v>274</v>
      </c>
      <c r="F276" s="616">
        <v>250000.0</v>
      </c>
      <c r="G276" s="616">
        <v>50000.0</v>
      </c>
      <c r="H276" s="9"/>
      <c r="I276" s="8"/>
      <c r="J276" s="9"/>
      <c r="O276" s="497">
        <f t="shared" si="3"/>
        <v>4100000</v>
      </c>
      <c r="P276" s="495" t="str">
        <f t="shared" si="4"/>
        <v>LUNAS</v>
      </c>
      <c r="Q276" s="135">
        <f t="shared" si="5"/>
        <v>0</v>
      </c>
      <c r="S276" s="101"/>
    </row>
    <row r="277" ht="15.75" customHeight="1">
      <c r="A277" s="49"/>
      <c r="C277" s="589">
        <f t="shared" si="20"/>
        <v>45887</v>
      </c>
      <c r="D277" s="589">
        <v>45857.0</v>
      </c>
      <c r="E277" s="281" t="s">
        <v>193</v>
      </c>
      <c r="F277" s="616">
        <v>180000.0</v>
      </c>
      <c r="G277" s="616">
        <v>85000.0</v>
      </c>
      <c r="H277" s="9"/>
      <c r="I277" s="8"/>
      <c r="J277" s="9"/>
      <c r="O277" s="497">
        <f t="shared" si="3"/>
        <v>4100000</v>
      </c>
      <c r="P277" s="495" t="str">
        <f t="shared" si="4"/>
        <v>LUNAS</v>
      </c>
      <c r="Q277" s="135">
        <f t="shared" si="5"/>
        <v>0</v>
      </c>
      <c r="S277" s="101"/>
    </row>
    <row r="278" ht="15.75" customHeight="1">
      <c r="A278" s="49"/>
      <c r="C278" s="624">
        <f t="shared" si="20"/>
        <v>45887</v>
      </c>
      <c r="D278" s="630">
        <v>45857.0</v>
      </c>
      <c r="E278" s="631" t="s">
        <v>867</v>
      </c>
      <c r="F278" s="616">
        <v>3540000.0</v>
      </c>
      <c r="G278" s="616">
        <v>450000.0</v>
      </c>
      <c r="H278" s="9"/>
      <c r="I278" s="8"/>
      <c r="J278" s="9"/>
      <c r="O278" s="497">
        <f t="shared" si="3"/>
        <v>2050000</v>
      </c>
      <c r="P278" s="495" t="str">
        <f t="shared" si="4"/>
        <v>LUNAS</v>
      </c>
      <c r="Q278" s="135">
        <f t="shared" si="5"/>
        <v>0</v>
      </c>
      <c r="S278" s="101"/>
    </row>
    <row r="279" ht="15.75" customHeight="1">
      <c r="A279" s="49"/>
      <c r="C279" s="624">
        <f t="shared" si="20"/>
        <v>45887</v>
      </c>
      <c r="D279" s="625">
        <v>45857.0</v>
      </c>
      <c r="E279" s="626" t="s">
        <v>867</v>
      </c>
      <c r="F279" s="616">
        <v>400000.0</v>
      </c>
      <c r="G279" s="616">
        <v>110000.0</v>
      </c>
      <c r="H279" s="9"/>
      <c r="I279" s="8"/>
      <c r="J279" s="9"/>
      <c r="O279" s="497">
        <f t="shared" si="3"/>
        <v>4200000</v>
      </c>
      <c r="P279" s="495" t="str">
        <f t="shared" si="4"/>
        <v>LUNAS</v>
      </c>
      <c r="Q279" s="135">
        <f t="shared" si="5"/>
        <v>0</v>
      </c>
      <c r="S279" s="101"/>
    </row>
    <row r="280" ht="15.75" customHeight="1">
      <c r="A280" s="49"/>
      <c r="C280" s="624">
        <f t="shared" si="20"/>
        <v>45887</v>
      </c>
      <c r="D280" s="630">
        <v>45857.0</v>
      </c>
      <c r="E280" s="631" t="s">
        <v>867</v>
      </c>
      <c r="F280" s="616">
        <v>150000.0</v>
      </c>
      <c r="G280" s="616">
        <v>60000.0</v>
      </c>
      <c r="H280" s="9"/>
      <c r="I280" s="8"/>
      <c r="J280" s="9"/>
      <c r="O280" s="497">
        <f t="shared" si="3"/>
        <v>4300000</v>
      </c>
      <c r="P280" s="495" t="str">
        <f t="shared" si="4"/>
        <v>LUNAS</v>
      </c>
      <c r="Q280" s="135">
        <f t="shared" si="5"/>
        <v>0</v>
      </c>
      <c r="S280" s="101"/>
    </row>
    <row r="281" ht="15.75" customHeight="1">
      <c r="A281" s="49"/>
      <c r="C281" s="625">
        <f t="shared" si="20"/>
        <v>45889</v>
      </c>
      <c r="D281" s="630">
        <v>45859.0</v>
      </c>
      <c r="E281" s="632" t="s">
        <v>331</v>
      </c>
      <c r="F281" s="637">
        <v>930000.0</v>
      </c>
      <c r="G281" s="616">
        <v>185000.0</v>
      </c>
      <c r="H281" s="9"/>
      <c r="I281" s="8"/>
      <c r="J281" s="9"/>
      <c r="O281" s="497">
        <f t="shared" si="3"/>
        <v>3800000</v>
      </c>
      <c r="P281" s="495" t="str">
        <f t="shared" si="4"/>
        <v>LUNAS</v>
      </c>
      <c r="Q281" s="135">
        <f t="shared" si="5"/>
        <v>0</v>
      </c>
      <c r="S281" s="101"/>
    </row>
    <row r="282" ht="15.75" customHeight="1">
      <c r="A282" s="49"/>
      <c r="C282" s="629">
        <f t="shared" si="20"/>
        <v>45889</v>
      </c>
      <c r="D282" s="589">
        <v>45859.0</v>
      </c>
      <c r="E282" s="281" t="s">
        <v>383</v>
      </c>
      <c r="F282" s="616">
        <v>2250000.0</v>
      </c>
      <c r="G282" s="616">
        <v>200000.0</v>
      </c>
      <c r="H282" s="9"/>
      <c r="I282" s="8"/>
      <c r="J282" s="9"/>
      <c r="O282" s="497">
        <f t="shared" si="3"/>
        <v>4100000</v>
      </c>
      <c r="P282" s="495" t="str">
        <f t="shared" si="4"/>
        <v>LUNAS</v>
      </c>
      <c r="Q282" s="135">
        <f t="shared" si="5"/>
        <v>0</v>
      </c>
      <c r="S282" s="101"/>
    </row>
    <row r="283" ht="15.75" customHeight="1">
      <c r="A283" s="49"/>
      <c r="C283" s="624">
        <f t="shared" si="20"/>
        <v>45889</v>
      </c>
      <c r="D283" s="625">
        <v>45859.0</v>
      </c>
      <c r="E283" s="628" t="s">
        <v>927</v>
      </c>
      <c r="F283" s="616">
        <v>2050000.0</v>
      </c>
      <c r="G283" s="616">
        <v>200000.0</v>
      </c>
      <c r="H283" s="9"/>
      <c r="I283" s="8"/>
      <c r="J283" s="9"/>
      <c r="O283" s="497">
        <f t="shared" si="3"/>
        <v>1600000</v>
      </c>
      <c r="P283" s="495" t="str">
        <f t="shared" si="4"/>
        <v>LUNAS</v>
      </c>
      <c r="Q283" s="135">
        <f t="shared" si="5"/>
        <v>0</v>
      </c>
      <c r="S283" s="101"/>
    </row>
    <row r="284" ht="15.75" customHeight="1">
      <c r="A284" s="49"/>
      <c r="C284" s="629">
        <f t="shared" si="20"/>
        <v>45890</v>
      </c>
      <c r="D284" s="589">
        <v>45860.0</v>
      </c>
      <c r="E284" s="281" t="s">
        <v>465</v>
      </c>
      <c r="F284" s="616">
        <v>9000000.0</v>
      </c>
      <c r="G284" s="616">
        <v>800000.0</v>
      </c>
      <c r="H284" s="9"/>
      <c r="I284" s="8"/>
      <c r="J284" s="9"/>
      <c r="O284" s="497">
        <f t="shared" si="3"/>
        <v>4500000</v>
      </c>
      <c r="P284" s="495" t="str">
        <f t="shared" si="4"/>
        <v>LUNAS</v>
      </c>
      <c r="Q284" s="135">
        <f t="shared" si="5"/>
        <v>0</v>
      </c>
      <c r="S284" s="101"/>
    </row>
    <row r="285" ht="15.75" customHeight="1">
      <c r="A285" s="49"/>
      <c r="C285" s="589">
        <f t="shared" si="20"/>
        <v>45891</v>
      </c>
      <c r="D285" s="589">
        <v>45861.0</v>
      </c>
      <c r="E285" s="281" t="s">
        <v>132</v>
      </c>
      <c r="F285" s="616">
        <v>2085000.0</v>
      </c>
      <c r="G285" s="616">
        <v>295000.0</v>
      </c>
      <c r="H285" s="9"/>
      <c r="I285" s="8"/>
      <c r="J285" s="9"/>
      <c r="O285" s="497">
        <f t="shared" si="3"/>
        <v>4500000</v>
      </c>
      <c r="P285" s="495" t="str">
        <f t="shared" si="4"/>
        <v>LUNAS</v>
      </c>
      <c r="Q285" s="135">
        <f t="shared" si="5"/>
        <v>0</v>
      </c>
      <c r="S285" s="101"/>
    </row>
    <row r="286" ht="15.75" customHeight="1">
      <c r="A286" s="49"/>
      <c r="C286" s="629">
        <f t="shared" si="20"/>
        <v>45893</v>
      </c>
      <c r="D286" s="589">
        <v>45863.0</v>
      </c>
      <c r="E286" s="281" t="s">
        <v>528</v>
      </c>
      <c r="F286" s="616">
        <v>3250000.0</v>
      </c>
      <c r="G286" s="616">
        <v>400000.0</v>
      </c>
      <c r="H286" s="9"/>
      <c r="I286" s="8"/>
      <c r="J286" s="9"/>
      <c r="O286" s="497">
        <f t="shared" si="3"/>
        <v>3250000</v>
      </c>
      <c r="P286" s="495" t="str">
        <f t="shared" si="4"/>
        <v>LUNAS</v>
      </c>
      <c r="Q286" s="135">
        <f t="shared" si="5"/>
        <v>0</v>
      </c>
      <c r="S286" s="101"/>
    </row>
    <row r="287" ht="15.75" customHeight="1">
      <c r="A287" s="49"/>
      <c r="C287" s="589">
        <f t="shared" si="20"/>
        <v>45894</v>
      </c>
      <c r="D287" s="589">
        <v>45864.0</v>
      </c>
      <c r="E287" s="281" t="s">
        <v>234</v>
      </c>
      <c r="F287" s="616">
        <v>3200000.0</v>
      </c>
      <c r="G287" s="616">
        <v>600000.0</v>
      </c>
      <c r="H287" s="9"/>
      <c r="I287" s="8"/>
      <c r="J287" s="9"/>
      <c r="O287" s="497">
        <f t="shared" si="3"/>
        <v>4430000</v>
      </c>
      <c r="P287" s="495" t="str">
        <f t="shared" si="4"/>
        <v>LUNAS</v>
      </c>
      <c r="Q287" s="135">
        <f t="shared" si="5"/>
        <v>0</v>
      </c>
      <c r="S287" s="101"/>
    </row>
    <row r="288" ht="15.75" customHeight="1">
      <c r="A288" s="49"/>
      <c r="C288" s="629">
        <f t="shared" si="20"/>
        <v>45896</v>
      </c>
      <c r="D288" s="589">
        <v>45866.0</v>
      </c>
      <c r="E288" s="281" t="s">
        <v>396</v>
      </c>
      <c r="F288" s="616">
        <v>2470000.0</v>
      </c>
      <c r="G288" s="616">
        <v>240000.0</v>
      </c>
      <c r="H288" s="9"/>
      <c r="I288" s="8"/>
      <c r="J288" s="9"/>
      <c r="O288" s="497">
        <f t="shared" si="3"/>
        <v>17880000</v>
      </c>
      <c r="P288" s="495" t="str">
        <f t="shared" si="4"/>
        <v>LUNAS</v>
      </c>
      <c r="Q288" s="135">
        <f t="shared" si="5"/>
        <v>0</v>
      </c>
      <c r="S288" s="101"/>
    </row>
    <row r="289" ht="15.75" customHeight="1">
      <c r="A289" s="49"/>
      <c r="C289" s="624">
        <f t="shared" si="20"/>
        <v>45896</v>
      </c>
      <c r="D289" s="630">
        <v>45866.0</v>
      </c>
      <c r="E289" s="631" t="s">
        <v>610</v>
      </c>
      <c r="F289" s="616">
        <v>3200000.0</v>
      </c>
      <c r="G289" s="616">
        <v>480000.0</v>
      </c>
      <c r="H289" s="9"/>
      <c r="I289" s="8"/>
      <c r="J289" s="9"/>
      <c r="O289" s="497">
        <f t="shared" si="3"/>
        <v>4500000</v>
      </c>
      <c r="P289" s="495" t="str">
        <f t="shared" si="4"/>
        <v>LUNAS</v>
      </c>
      <c r="Q289" s="135">
        <f t="shared" si="5"/>
        <v>0</v>
      </c>
      <c r="S289" s="101"/>
    </row>
    <row r="290" ht="15.75" customHeight="1">
      <c r="A290" s="49"/>
      <c r="C290" s="629">
        <f t="shared" si="20"/>
        <v>45897</v>
      </c>
      <c r="D290" s="589">
        <v>45867.0</v>
      </c>
      <c r="E290" s="281" t="s">
        <v>254</v>
      </c>
      <c r="F290" s="616">
        <v>8000000.0</v>
      </c>
      <c r="G290" s="616">
        <v>610000.0</v>
      </c>
      <c r="H290" s="9"/>
      <c r="I290" s="8"/>
      <c r="J290" s="9"/>
      <c r="O290" s="497">
        <f t="shared" si="3"/>
        <v>3730000</v>
      </c>
      <c r="P290" s="495" t="str">
        <f t="shared" si="4"/>
        <v>LUNAS</v>
      </c>
      <c r="Q290" s="135">
        <f t="shared" si="5"/>
        <v>0</v>
      </c>
      <c r="S290" s="101"/>
    </row>
    <row r="291" ht="15.75" customHeight="1">
      <c r="A291" s="49"/>
      <c r="C291" s="589">
        <f t="shared" si="20"/>
        <v>45899</v>
      </c>
      <c r="D291" s="589">
        <v>45869.0</v>
      </c>
      <c r="E291" s="281" t="s">
        <v>193</v>
      </c>
      <c r="F291" s="616">
        <v>350000.0</v>
      </c>
      <c r="G291" s="616">
        <v>110000.0</v>
      </c>
      <c r="H291" s="9"/>
      <c r="I291" s="8"/>
      <c r="J291" s="9"/>
      <c r="O291" s="497">
        <f t="shared" si="3"/>
        <v>1670000</v>
      </c>
      <c r="P291" s="495" t="str">
        <f t="shared" si="4"/>
        <v>LUNAS</v>
      </c>
      <c r="Q291" s="135">
        <f t="shared" si="5"/>
        <v>0</v>
      </c>
      <c r="S291" s="101"/>
    </row>
    <row r="292" ht="15.75" customHeight="1">
      <c r="A292" s="49"/>
      <c r="C292" s="589">
        <f t="shared" si="20"/>
        <v>45900</v>
      </c>
      <c r="D292" s="589">
        <v>45870.0</v>
      </c>
      <c r="E292" s="281" t="s">
        <v>193</v>
      </c>
      <c r="F292" s="616">
        <v>350000.0</v>
      </c>
      <c r="G292" s="616">
        <v>110000.0</v>
      </c>
      <c r="H292" s="9"/>
      <c r="I292" s="8"/>
      <c r="J292" s="9"/>
      <c r="O292" s="497">
        <f t="shared" si="3"/>
        <v>1925000</v>
      </c>
      <c r="P292" s="495" t="str">
        <f t="shared" si="4"/>
        <v>LUNAS</v>
      </c>
      <c r="Q292" s="135">
        <f t="shared" si="5"/>
        <v>0</v>
      </c>
      <c r="S292" s="101"/>
    </row>
    <row r="293" ht="15.75" customHeight="1">
      <c r="A293" s="49"/>
      <c r="C293" s="629">
        <f t="shared" si="20"/>
        <v>45903</v>
      </c>
      <c r="D293" s="589">
        <v>45873.0</v>
      </c>
      <c r="E293" s="281" t="s">
        <v>254</v>
      </c>
      <c r="F293" s="616">
        <v>4720000.0</v>
      </c>
      <c r="G293" s="616">
        <v>400000.0</v>
      </c>
      <c r="H293" s="9"/>
      <c r="I293" s="8"/>
      <c r="J293" s="9"/>
      <c r="O293" s="497">
        <f t="shared" si="3"/>
        <v>0</v>
      </c>
      <c r="P293" s="495" t="str">
        <f t="shared" si="4"/>
        <v>BELUM LUNAS</v>
      </c>
      <c r="Q293" s="135">
        <f t="shared" si="5"/>
        <v>4450000</v>
      </c>
      <c r="S293" s="101"/>
    </row>
    <row r="294" ht="15.75" customHeight="1">
      <c r="A294" s="49"/>
      <c r="C294" s="589">
        <f t="shared" si="20"/>
        <v>45905</v>
      </c>
      <c r="D294" s="589">
        <v>45875.0</v>
      </c>
      <c r="E294" s="281" t="s">
        <v>193</v>
      </c>
      <c r="F294" s="616">
        <v>170000.0</v>
      </c>
      <c r="G294" s="616">
        <v>55000.0</v>
      </c>
      <c r="H294" s="9"/>
      <c r="I294" s="8"/>
      <c r="J294" s="9"/>
      <c r="O294" s="497">
        <f t="shared" si="3"/>
        <v>0</v>
      </c>
      <c r="P294" s="495" t="str">
        <f t="shared" si="4"/>
        <v>BELUM LUNAS</v>
      </c>
      <c r="Q294" s="135">
        <f t="shared" si="5"/>
        <v>4450000</v>
      </c>
      <c r="S294" s="101"/>
    </row>
    <row r="295" ht="15.75" customHeight="1">
      <c r="A295" s="49"/>
      <c r="C295" s="589">
        <f t="shared" si="20"/>
        <v>45907</v>
      </c>
      <c r="D295" s="589">
        <v>45877.0</v>
      </c>
      <c r="E295" s="281" t="s">
        <v>1047</v>
      </c>
      <c r="F295" s="616">
        <v>1480000.0</v>
      </c>
      <c r="G295" s="616">
        <v>260000.0</v>
      </c>
      <c r="H295" s="9"/>
      <c r="I295" s="8"/>
      <c r="J295" s="9"/>
      <c r="O295" s="497">
        <f t="shared" si="3"/>
        <v>3970000</v>
      </c>
      <c r="P295" s="495" t="str">
        <f t="shared" si="4"/>
        <v>BELUM LUNAS</v>
      </c>
      <c r="Q295" s="135">
        <f t="shared" si="5"/>
        <v>-1040000</v>
      </c>
      <c r="S295" s="101"/>
    </row>
    <row r="296" ht="15.75" customHeight="1">
      <c r="A296" s="49"/>
      <c r="C296" s="589">
        <f t="shared" si="20"/>
        <v>45907</v>
      </c>
      <c r="D296" s="589">
        <v>45877.0</v>
      </c>
      <c r="E296" s="281" t="s">
        <v>234</v>
      </c>
      <c r="F296" s="616">
        <v>1600000.0</v>
      </c>
      <c r="G296" s="616">
        <v>255000.0</v>
      </c>
      <c r="H296" s="9"/>
      <c r="I296" s="8"/>
      <c r="J296" s="9"/>
      <c r="O296" s="497">
        <f t="shared" si="3"/>
        <v>4450000</v>
      </c>
      <c r="P296" s="495" t="str">
        <f t="shared" si="4"/>
        <v>LUNAS</v>
      </c>
      <c r="Q296" s="135">
        <f t="shared" si="5"/>
        <v>0</v>
      </c>
      <c r="S296" s="101"/>
    </row>
    <row r="297" ht="15.75" customHeight="1">
      <c r="A297" s="49"/>
      <c r="C297" s="624">
        <f t="shared" si="20"/>
        <v>45908</v>
      </c>
      <c r="D297" s="630">
        <v>45878.0</v>
      </c>
      <c r="E297" s="281" t="s">
        <v>583</v>
      </c>
      <c r="F297" s="616">
        <v>3400000.0</v>
      </c>
      <c r="G297" s="616">
        <v>400000.0</v>
      </c>
      <c r="H297" s="9"/>
      <c r="I297" s="8"/>
      <c r="J297" s="9"/>
      <c r="O297" s="497">
        <f t="shared" si="3"/>
        <v>6265000</v>
      </c>
      <c r="P297" s="495" t="str">
        <f t="shared" si="4"/>
        <v>BELUM LUNAS</v>
      </c>
      <c r="Q297" s="135">
        <f t="shared" si="5"/>
        <v>-15000</v>
      </c>
      <c r="S297" s="101"/>
    </row>
    <row r="298" ht="15.75" customHeight="1">
      <c r="A298" s="49"/>
      <c r="C298" s="589">
        <v>45909.0</v>
      </c>
      <c r="D298" s="589">
        <v>45874.0</v>
      </c>
      <c r="E298" s="281" t="s">
        <v>1040</v>
      </c>
      <c r="F298" s="616">
        <v>2050000.0</v>
      </c>
      <c r="G298" s="616">
        <v>210000.0</v>
      </c>
      <c r="H298" s="9"/>
      <c r="I298" s="8"/>
      <c r="J298" s="9"/>
      <c r="O298" s="497">
        <f t="shared" si="3"/>
        <v>4460000</v>
      </c>
      <c r="P298" s="495" t="str">
        <f t="shared" si="4"/>
        <v>LUNAS</v>
      </c>
      <c r="Q298" s="135">
        <f t="shared" si="5"/>
        <v>0</v>
      </c>
      <c r="S298" s="101"/>
    </row>
    <row r="299" ht="15.75" customHeight="1">
      <c r="A299" s="49"/>
      <c r="C299" s="589">
        <v>45909.0</v>
      </c>
      <c r="D299" s="589">
        <v>45909.0</v>
      </c>
      <c r="E299" s="281" t="s">
        <v>641</v>
      </c>
      <c r="F299" s="616">
        <v>1500000.0</v>
      </c>
      <c r="G299" s="616">
        <v>620000.0</v>
      </c>
      <c r="H299" s="9"/>
      <c r="I299" s="8"/>
      <c r="J299" s="9"/>
      <c r="O299" s="497">
        <f t="shared" si="3"/>
        <v>3370000</v>
      </c>
      <c r="P299" s="495" t="str">
        <f t="shared" si="4"/>
        <v>LUNAS</v>
      </c>
      <c r="Q299" s="135">
        <f t="shared" si="5"/>
        <v>0</v>
      </c>
      <c r="S299" s="101"/>
    </row>
    <row r="300" ht="15.75" customHeight="1">
      <c r="A300" s="49"/>
      <c r="C300" s="624">
        <f t="shared" ref="C300:C304" si="21">D300+30</f>
        <v>45910</v>
      </c>
      <c r="D300" s="624">
        <v>45880.0</v>
      </c>
      <c r="E300" s="131" t="s">
        <v>631</v>
      </c>
      <c r="F300" s="616">
        <f>930000</f>
        <v>930000</v>
      </c>
      <c r="G300" s="616">
        <f>185000</f>
        <v>185000</v>
      </c>
      <c r="H300" s="9"/>
      <c r="I300" s="8"/>
      <c r="J300" s="9"/>
      <c r="O300" s="497">
        <f t="shared" si="3"/>
        <v>5785000</v>
      </c>
      <c r="P300" s="495" t="str">
        <f t="shared" si="4"/>
        <v>LUNAS</v>
      </c>
      <c r="Q300" s="135">
        <f t="shared" si="5"/>
        <v>0</v>
      </c>
      <c r="S300" s="101"/>
    </row>
    <row r="301" ht="15.75" customHeight="1">
      <c r="A301" s="49"/>
      <c r="C301" s="624">
        <f t="shared" si="21"/>
        <v>45910</v>
      </c>
      <c r="D301" s="624">
        <v>45880.0</v>
      </c>
      <c r="E301" s="131" t="s">
        <v>631</v>
      </c>
      <c r="F301" s="616">
        <f>120000</f>
        <v>120000</v>
      </c>
      <c r="G301" s="616">
        <f>115000</f>
        <v>115000</v>
      </c>
      <c r="H301" s="9"/>
      <c r="I301" s="8"/>
      <c r="J301" s="9"/>
      <c r="O301" s="497">
        <f t="shared" si="3"/>
        <v>1800000</v>
      </c>
      <c r="P301" s="495" t="str">
        <f t="shared" si="4"/>
        <v>LUNAS</v>
      </c>
      <c r="Q301" s="135">
        <f t="shared" si="5"/>
        <v>0</v>
      </c>
      <c r="S301" s="101"/>
    </row>
    <row r="302" ht="15.75" customHeight="1">
      <c r="A302" s="49"/>
      <c r="C302" s="624">
        <f t="shared" si="21"/>
        <v>45910</v>
      </c>
      <c r="D302" s="624">
        <v>45880.0</v>
      </c>
      <c r="E302" s="131" t="s">
        <v>631</v>
      </c>
      <c r="F302" s="616">
        <v>150000.0</v>
      </c>
      <c r="G302" s="616">
        <f>75000</f>
        <v>75000</v>
      </c>
      <c r="H302" s="9"/>
      <c r="I302" s="8"/>
      <c r="J302" s="9"/>
      <c r="O302" s="497">
        <f t="shared" si="3"/>
        <v>2225000</v>
      </c>
      <c r="P302" s="495" t="str">
        <f t="shared" si="4"/>
        <v>LUNAS</v>
      </c>
      <c r="Q302" s="135">
        <f t="shared" si="5"/>
        <v>0</v>
      </c>
      <c r="S302" s="101"/>
    </row>
    <row r="303" ht="15.75" customHeight="1">
      <c r="A303" s="49"/>
      <c r="C303" s="589">
        <f t="shared" si="21"/>
        <v>45912</v>
      </c>
      <c r="D303" s="589">
        <v>45882.0</v>
      </c>
      <c r="E303" s="281" t="s">
        <v>119</v>
      </c>
      <c r="F303" s="616">
        <v>3500000.0</v>
      </c>
      <c r="G303" s="616">
        <v>410000.0</v>
      </c>
      <c r="H303" s="9"/>
      <c r="I303" s="8"/>
      <c r="J303" s="9"/>
      <c r="O303" s="497">
        <f t="shared" si="3"/>
        <v>1700000</v>
      </c>
      <c r="P303" s="495" t="str">
        <f t="shared" si="4"/>
        <v>LUNAS</v>
      </c>
      <c r="Q303" s="135">
        <f t="shared" si="5"/>
        <v>0</v>
      </c>
      <c r="S303" s="101"/>
    </row>
    <row r="304" ht="15.75" customHeight="1">
      <c r="A304" s="49"/>
      <c r="C304" s="589">
        <f t="shared" si="21"/>
        <v>45913</v>
      </c>
      <c r="D304" s="589">
        <v>45883.0</v>
      </c>
      <c r="E304" s="281" t="s">
        <v>208</v>
      </c>
      <c r="F304" s="616">
        <v>2630000.0</v>
      </c>
      <c r="G304" s="616">
        <v>400000.0</v>
      </c>
      <c r="H304" s="9"/>
      <c r="I304" s="8"/>
      <c r="J304" s="9"/>
      <c r="O304" s="497">
        <f t="shared" si="3"/>
        <v>3370000</v>
      </c>
      <c r="P304" s="495" t="str">
        <f t="shared" si="4"/>
        <v>LUNAS</v>
      </c>
      <c r="Q304" s="135">
        <f t="shared" si="5"/>
        <v>0</v>
      </c>
      <c r="S304" s="101"/>
    </row>
    <row r="305" ht="15.75" customHeight="1">
      <c r="A305" s="49"/>
      <c r="C305" s="614">
        <v>45913.0</v>
      </c>
      <c r="D305" s="614">
        <v>45817.0</v>
      </c>
      <c r="E305" s="628" t="s">
        <v>775</v>
      </c>
      <c r="F305" s="616">
        <f>11300000-F304</f>
        <v>8670000</v>
      </c>
      <c r="G305" s="616"/>
      <c r="H305" s="9"/>
      <c r="I305" s="8"/>
      <c r="J305" s="9"/>
      <c r="O305" s="497">
        <f t="shared" si="3"/>
        <v>1700000</v>
      </c>
      <c r="P305" s="495" t="str">
        <f t="shared" si="4"/>
        <v>LUNAS</v>
      </c>
      <c r="Q305" s="135">
        <f t="shared" si="5"/>
        <v>0</v>
      </c>
      <c r="S305" s="101"/>
    </row>
    <row r="306" ht="15.75" customHeight="1">
      <c r="A306" s="49"/>
      <c r="C306" s="614">
        <v>45913.0</v>
      </c>
      <c r="D306" s="614">
        <v>45840.0</v>
      </c>
      <c r="E306" s="628" t="s">
        <v>775</v>
      </c>
      <c r="F306" s="616">
        <f>6000000-F305</f>
        <v>-2670000</v>
      </c>
      <c r="G306" s="616"/>
      <c r="H306" s="9"/>
      <c r="I306" s="8"/>
      <c r="J306" s="9"/>
      <c r="O306" s="497">
        <f t="shared" si="3"/>
        <v>4100000</v>
      </c>
      <c r="P306" s="495" t="str">
        <f t="shared" si="4"/>
        <v>LUNAS</v>
      </c>
      <c r="Q306" s="135">
        <f t="shared" si="5"/>
        <v>0</v>
      </c>
      <c r="S306" s="101"/>
    </row>
    <row r="307" ht="15.75" customHeight="1">
      <c r="A307" s="49"/>
      <c r="C307" s="624">
        <f t="shared" ref="C307:C318" si="22">D307+30</f>
        <v>45913</v>
      </c>
      <c r="D307" s="625">
        <v>45883.0</v>
      </c>
      <c r="E307" s="628" t="s">
        <v>810</v>
      </c>
      <c r="F307" s="616">
        <v>1380000.0</v>
      </c>
      <c r="G307" s="616">
        <v>200000.0</v>
      </c>
      <c r="H307" s="9"/>
      <c r="I307" s="8"/>
      <c r="J307" s="9"/>
      <c r="O307" s="497">
        <f t="shared" si="3"/>
        <v>4560000</v>
      </c>
      <c r="P307" s="495" t="str">
        <f t="shared" si="4"/>
        <v>LUNAS</v>
      </c>
      <c r="Q307" s="135">
        <f t="shared" si="5"/>
        <v>0</v>
      </c>
      <c r="S307" s="101"/>
    </row>
    <row r="308" ht="15.75" customHeight="1">
      <c r="A308" s="49"/>
      <c r="C308" s="624">
        <f t="shared" si="22"/>
        <v>45913</v>
      </c>
      <c r="D308" s="630">
        <v>45883.0</v>
      </c>
      <c r="E308" s="632" t="s">
        <v>810</v>
      </c>
      <c r="F308" s="616">
        <v>220000.0</v>
      </c>
      <c r="G308" s="616">
        <v>55000.0</v>
      </c>
      <c r="H308" s="9"/>
      <c r="I308" s="8"/>
      <c r="J308" s="9"/>
      <c r="O308" s="497">
        <f t="shared" si="3"/>
        <v>1920000</v>
      </c>
      <c r="P308" s="495" t="str">
        <f t="shared" si="4"/>
        <v>LUNAS</v>
      </c>
      <c r="Q308" s="135">
        <f t="shared" si="5"/>
        <v>0</v>
      </c>
      <c r="S308" s="101"/>
    </row>
    <row r="309" ht="15.75" customHeight="1">
      <c r="A309" s="49"/>
      <c r="C309" s="624">
        <f t="shared" si="22"/>
        <v>45913</v>
      </c>
      <c r="D309" s="625">
        <v>45883.0</v>
      </c>
      <c r="E309" s="628" t="s">
        <v>810</v>
      </c>
      <c r="F309" s="616">
        <v>85000.0</v>
      </c>
      <c r="G309" s="616">
        <v>45000.0</v>
      </c>
      <c r="H309" s="9"/>
      <c r="I309" s="8"/>
      <c r="J309" s="9"/>
      <c r="O309" s="497">
        <f t="shared" si="3"/>
        <v>4100000</v>
      </c>
      <c r="P309" s="495" t="str">
        <f t="shared" si="4"/>
        <v>LUNAS</v>
      </c>
      <c r="Q309" s="135">
        <f t="shared" si="5"/>
        <v>0</v>
      </c>
      <c r="S309" s="101"/>
    </row>
    <row r="310" ht="15.75" customHeight="1">
      <c r="A310" s="49"/>
      <c r="C310" s="589">
        <f t="shared" si="22"/>
        <v>45914</v>
      </c>
      <c r="D310" s="630">
        <v>45884.0</v>
      </c>
      <c r="E310" s="632" t="s">
        <v>267</v>
      </c>
      <c r="F310" s="616">
        <v>4500000.0</v>
      </c>
      <c r="G310" s="616">
        <v>400000.0</v>
      </c>
      <c r="H310" s="9"/>
      <c r="I310" s="8"/>
      <c r="J310" s="9"/>
      <c r="O310" s="497">
        <f t="shared" si="3"/>
        <v>2400000</v>
      </c>
      <c r="P310" s="495" t="str">
        <f t="shared" si="4"/>
        <v>LUNAS</v>
      </c>
      <c r="Q310" s="135">
        <f t="shared" si="5"/>
        <v>0</v>
      </c>
      <c r="S310" s="101"/>
    </row>
    <row r="311" ht="15.75" customHeight="1">
      <c r="A311" s="49"/>
      <c r="C311" s="624">
        <f t="shared" si="22"/>
        <v>45914</v>
      </c>
      <c r="D311" s="625">
        <v>45884.0</v>
      </c>
      <c r="E311" s="281" t="s">
        <v>979</v>
      </c>
      <c r="F311" s="616">
        <v>4100000.0</v>
      </c>
      <c r="G311" s="616">
        <v>420000.0</v>
      </c>
      <c r="H311" s="9"/>
      <c r="I311" s="8"/>
      <c r="J311" s="9"/>
      <c r="O311" s="497">
        <f t="shared" si="3"/>
        <v>3200000</v>
      </c>
      <c r="P311" s="495" t="str">
        <f t="shared" si="4"/>
        <v>LUNAS</v>
      </c>
      <c r="Q311" s="135">
        <f t="shared" si="5"/>
        <v>0</v>
      </c>
      <c r="S311" s="101"/>
    </row>
    <row r="312" ht="15.75" customHeight="1">
      <c r="A312" s="49"/>
      <c r="C312" s="624">
        <f t="shared" si="22"/>
        <v>45915</v>
      </c>
      <c r="D312" s="625">
        <v>45885.0</v>
      </c>
      <c r="E312" s="628" t="s">
        <v>867</v>
      </c>
      <c r="F312" s="616">
        <v>625000.0</v>
      </c>
      <c r="G312" s="616">
        <v>175000.0</v>
      </c>
      <c r="H312" s="9"/>
      <c r="I312" s="8"/>
      <c r="J312" s="9"/>
      <c r="O312" s="497">
        <f t="shared" si="3"/>
        <v>3420000</v>
      </c>
      <c r="P312" s="495" t="str">
        <f t="shared" si="4"/>
        <v>LUNAS</v>
      </c>
      <c r="Q312" s="135">
        <f t="shared" si="5"/>
        <v>0</v>
      </c>
      <c r="S312" s="101"/>
    </row>
    <row r="313" ht="15.75" customHeight="1">
      <c r="A313" s="49"/>
      <c r="C313" s="629">
        <f t="shared" si="22"/>
        <v>45917</v>
      </c>
      <c r="D313" s="589">
        <v>45887.0</v>
      </c>
      <c r="E313" s="281" t="s">
        <v>1013</v>
      </c>
      <c r="F313" s="616">
        <v>4500000.0</v>
      </c>
      <c r="G313" s="616">
        <v>440000.0</v>
      </c>
      <c r="H313" s="9"/>
      <c r="I313" s="8"/>
      <c r="J313" s="9"/>
      <c r="O313" s="497">
        <f t="shared" si="3"/>
        <v>0</v>
      </c>
      <c r="P313" s="495" t="str">
        <f t="shared" si="4"/>
        <v>BELUM LUNAS</v>
      </c>
      <c r="Q313" s="135">
        <f t="shared" si="5"/>
        <v>2900000</v>
      </c>
      <c r="S313" s="101"/>
    </row>
    <row r="314" ht="15.75" customHeight="1">
      <c r="A314" s="49"/>
      <c r="C314" s="589">
        <f t="shared" si="22"/>
        <v>45917</v>
      </c>
      <c r="D314" s="624">
        <v>45887.0</v>
      </c>
      <c r="E314" s="281" t="s">
        <v>274</v>
      </c>
      <c r="F314" s="616">
        <v>4100000.0</v>
      </c>
      <c r="G314" s="616">
        <v>420000.0</v>
      </c>
      <c r="H314" s="9"/>
      <c r="I314" s="8"/>
      <c r="J314" s="9"/>
      <c r="O314" s="497">
        <f t="shared" si="3"/>
        <v>0</v>
      </c>
      <c r="P314" s="495" t="str">
        <f t="shared" si="4"/>
        <v>BELUM LUNAS</v>
      </c>
      <c r="Q314" s="135">
        <f t="shared" si="5"/>
        <v>1850000</v>
      </c>
      <c r="S314" s="101"/>
    </row>
    <row r="315" ht="15.75" customHeight="1">
      <c r="A315" s="49"/>
      <c r="C315" s="624">
        <f t="shared" si="22"/>
        <v>45917</v>
      </c>
      <c r="D315" s="630">
        <v>45887.0</v>
      </c>
      <c r="E315" s="632" t="s">
        <v>867</v>
      </c>
      <c r="F315" s="616">
        <v>875000.0</v>
      </c>
      <c r="G315" s="616">
        <v>225000.0</v>
      </c>
      <c r="H315" s="9"/>
      <c r="I315" s="8"/>
      <c r="J315" s="9"/>
      <c r="O315" s="497">
        <f t="shared" si="3"/>
        <v>12740000</v>
      </c>
      <c r="P315" s="495" t="str">
        <f t="shared" si="4"/>
        <v>LUNAS</v>
      </c>
      <c r="Q315" s="135">
        <f t="shared" si="5"/>
        <v>0</v>
      </c>
      <c r="S315" s="101"/>
    </row>
    <row r="316" ht="15.75" customHeight="1">
      <c r="A316" s="49"/>
      <c r="C316" s="589">
        <f t="shared" si="22"/>
        <v>45919</v>
      </c>
      <c r="D316" s="625">
        <v>45889.0</v>
      </c>
      <c r="E316" s="281" t="s">
        <v>661</v>
      </c>
      <c r="F316" s="616">
        <v>2250000.0</v>
      </c>
      <c r="G316" s="616">
        <v>200000.0</v>
      </c>
      <c r="H316" s="9"/>
      <c r="I316" s="8"/>
      <c r="J316" s="9"/>
      <c r="O316" s="497">
        <f t="shared" si="3"/>
        <v>8690000</v>
      </c>
      <c r="P316" s="495" t="str">
        <f t="shared" si="4"/>
        <v>LUNAS</v>
      </c>
      <c r="Q316" s="135">
        <f t="shared" si="5"/>
        <v>0</v>
      </c>
      <c r="S316" s="101"/>
    </row>
    <row r="317" ht="15.75" customHeight="1">
      <c r="A317" s="49"/>
      <c r="C317" s="624">
        <f t="shared" si="22"/>
        <v>45919</v>
      </c>
      <c r="D317" s="630">
        <v>45889.0</v>
      </c>
      <c r="E317" s="632" t="s">
        <v>810</v>
      </c>
      <c r="F317" s="616">
        <v>2050000.0</v>
      </c>
      <c r="G317" s="616">
        <v>210000.0</v>
      </c>
      <c r="H317" s="9"/>
      <c r="I317" s="8"/>
      <c r="J317" s="9"/>
      <c r="O317" s="497">
        <f t="shared" si="3"/>
        <v>4000000</v>
      </c>
      <c r="P317" s="495" t="str">
        <f t="shared" si="4"/>
        <v>LUNAS</v>
      </c>
      <c r="Q317" s="135">
        <f t="shared" si="5"/>
        <v>0</v>
      </c>
      <c r="S317" s="101"/>
    </row>
    <row r="318" ht="15.75" customHeight="1">
      <c r="A318" s="49"/>
      <c r="C318" s="627">
        <f t="shared" si="22"/>
        <v>45919</v>
      </c>
      <c r="D318" s="614">
        <v>45889.0</v>
      </c>
      <c r="E318" s="281" t="s">
        <v>843</v>
      </c>
      <c r="F318" s="616">
        <v>3500000.0</v>
      </c>
      <c r="G318" s="616">
        <v>410000.0</v>
      </c>
      <c r="H318" s="9"/>
      <c r="I318" s="8"/>
      <c r="J318" s="9"/>
      <c r="O318" s="497">
        <f t="shared" si="3"/>
        <v>6120000</v>
      </c>
      <c r="P318" s="495" t="str">
        <f t="shared" si="4"/>
        <v>BELUM LUNAS</v>
      </c>
      <c r="Q318" s="135">
        <f t="shared" si="5"/>
        <v>100000</v>
      </c>
      <c r="S318" s="101"/>
    </row>
    <row r="319" ht="15.75" customHeight="1">
      <c r="A319" s="49"/>
      <c r="C319" s="589">
        <f>D319+14</f>
        <v>45922</v>
      </c>
      <c r="D319" s="614">
        <v>45908.0</v>
      </c>
      <c r="E319" s="281" t="s">
        <v>74</v>
      </c>
      <c r="F319" s="615">
        <v>2000000.0</v>
      </c>
      <c r="G319" s="616">
        <v>230000.0</v>
      </c>
      <c r="H319" s="9"/>
      <c r="I319" s="8"/>
      <c r="J319" s="9"/>
      <c r="O319" s="497">
        <f t="shared" si="3"/>
        <v>3620000</v>
      </c>
      <c r="P319" s="495" t="str">
        <f t="shared" si="4"/>
        <v>LUNAS</v>
      </c>
      <c r="Q319" s="135">
        <f t="shared" si="5"/>
        <v>0</v>
      </c>
      <c r="S319" s="101"/>
    </row>
    <row r="320" ht="15.75" customHeight="1">
      <c r="A320" s="49"/>
      <c r="C320" s="624">
        <f t="shared" ref="C320:C334" si="23">D320+30</f>
        <v>45922</v>
      </c>
      <c r="D320" s="630">
        <v>45892.0</v>
      </c>
      <c r="E320" s="281" t="s">
        <v>346</v>
      </c>
      <c r="F320" s="616">
        <v>3540000.0</v>
      </c>
      <c r="G320" s="616">
        <v>450000.0</v>
      </c>
      <c r="H320" s="9"/>
      <c r="I320" s="8"/>
      <c r="J320" s="9"/>
      <c r="O320" s="497">
        <f t="shared" si="3"/>
        <v>1580000</v>
      </c>
      <c r="P320" s="495" t="str">
        <f t="shared" si="4"/>
        <v>LUNAS</v>
      </c>
      <c r="Q320" s="135">
        <f t="shared" si="5"/>
        <v>0</v>
      </c>
      <c r="S320" s="101"/>
    </row>
    <row r="321" ht="15.75" customHeight="1">
      <c r="A321" s="49"/>
      <c r="C321" s="629">
        <f t="shared" si="23"/>
        <v>45922</v>
      </c>
      <c r="D321" s="589">
        <v>45892.0</v>
      </c>
      <c r="E321" s="281" t="s">
        <v>515</v>
      </c>
      <c r="F321" s="616">
        <v>4100000.0</v>
      </c>
      <c r="G321" s="616">
        <v>610000.0</v>
      </c>
      <c r="H321" s="9"/>
      <c r="I321" s="8"/>
      <c r="J321" s="9"/>
      <c r="O321" s="497">
        <f t="shared" si="3"/>
        <v>3600000</v>
      </c>
      <c r="P321" s="495" t="str">
        <f t="shared" si="4"/>
        <v>LUNAS</v>
      </c>
      <c r="Q321" s="135">
        <f t="shared" si="5"/>
        <v>0</v>
      </c>
      <c r="S321" s="101"/>
    </row>
    <row r="322" ht="15.75" customHeight="1">
      <c r="A322" s="49"/>
      <c r="C322" s="629">
        <f t="shared" si="23"/>
        <v>45925</v>
      </c>
      <c r="D322" s="589">
        <v>45895.0</v>
      </c>
      <c r="E322" s="281" t="s">
        <v>1013</v>
      </c>
      <c r="F322" s="616">
        <v>3730000.0</v>
      </c>
      <c r="G322" s="616">
        <v>1085000.0</v>
      </c>
      <c r="H322" s="9"/>
      <c r="I322" s="8"/>
      <c r="J322" s="9"/>
      <c r="O322" s="497">
        <f t="shared" si="3"/>
        <v>4100000</v>
      </c>
      <c r="P322" s="495" t="str">
        <f t="shared" si="4"/>
        <v>LUNAS</v>
      </c>
      <c r="Q322" s="135">
        <f t="shared" si="5"/>
        <v>0</v>
      </c>
      <c r="S322" s="101"/>
    </row>
    <row r="323" ht="15.75" customHeight="1">
      <c r="A323" s="49"/>
      <c r="C323" s="627">
        <f t="shared" si="23"/>
        <v>45927</v>
      </c>
      <c r="D323" s="614">
        <v>45897.0</v>
      </c>
      <c r="E323" s="626" t="s">
        <v>735</v>
      </c>
      <c r="F323" s="616">
        <v>1750000.0</v>
      </c>
      <c r="G323" s="616">
        <v>205000.0</v>
      </c>
      <c r="H323" s="9"/>
      <c r="I323" s="8"/>
      <c r="J323" s="9"/>
      <c r="O323" s="497">
        <f t="shared" si="3"/>
        <v>3500000</v>
      </c>
      <c r="P323" s="495" t="str">
        <f t="shared" si="4"/>
        <v>LUNAS</v>
      </c>
      <c r="Q323" s="135">
        <f t="shared" si="5"/>
        <v>0</v>
      </c>
      <c r="S323" s="101"/>
    </row>
    <row r="324" ht="15.75" customHeight="1">
      <c r="A324" s="49"/>
      <c r="C324" s="629">
        <f t="shared" si="23"/>
        <v>45928</v>
      </c>
      <c r="D324" s="589">
        <v>45898.0</v>
      </c>
      <c r="E324" s="281" t="s">
        <v>259</v>
      </c>
      <c r="F324" s="616">
        <v>780000.0</v>
      </c>
      <c r="G324" s="616">
        <v>170000.0</v>
      </c>
      <c r="H324" s="9"/>
      <c r="I324" s="8"/>
      <c r="J324" s="9"/>
      <c r="O324" s="497">
        <f t="shared" si="3"/>
        <v>1900000</v>
      </c>
      <c r="P324" s="495" t="str">
        <f t="shared" si="4"/>
        <v>LUNAS</v>
      </c>
      <c r="Q324" s="135">
        <f t="shared" si="5"/>
        <v>0</v>
      </c>
      <c r="S324" s="101"/>
    </row>
    <row r="325" ht="15.75" customHeight="1">
      <c r="A325" s="49"/>
      <c r="C325" s="624">
        <f t="shared" si="23"/>
        <v>45929</v>
      </c>
      <c r="D325" s="625">
        <v>45899.0</v>
      </c>
      <c r="E325" s="626" t="s">
        <v>610</v>
      </c>
      <c r="F325" s="616">
        <v>4500000.0</v>
      </c>
      <c r="G325" s="616">
        <v>790000.0</v>
      </c>
      <c r="H325" s="9"/>
      <c r="I325" s="8"/>
      <c r="J325" s="9"/>
      <c r="O325" s="497">
        <f t="shared" si="3"/>
        <v>3640000</v>
      </c>
      <c r="P325" s="495" t="str">
        <f t="shared" si="4"/>
        <v>LUNAS</v>
      </c>
      <c r="Q325" s="135">
        <f t="shared" si="5"/>
        <v>0</v>
      </c>
      <c r="S325" s="101"/>
    </row>
    <row r="326" ht="15.75" customHeight="1">
      <c r="A326" s="49"/>
      <c r="C326" s="589">
        <f t="shared" si="23"/>
        <v>45931</v>
      </c>
      <c r="D326" s="589">
        <v>45901.0</v>
      </c>
      <c r="E326" s="281" t="s">
        <v>119</v>
      </c>
      <c r="F326" s="616">
        <v>9440000.0</v>
      </c>
      <c r="G326" s="616">
        <v>800000.0</v>
      </c>
      <c r="H326" s="9"/>
      <c r="I326" s="8"/>
      <c r="J326" s="9"/>
      <c r="O326" s="497">
        <f t="shared" si="3"/>
        <v>600000</v>
      </c>
      <c r="P326" s="495" t="str">
        <f t="shared" si="4"/>
        <v>LUNAS</v>
      </c>
      <c r="Q326" s="135">
        <f t="shared" si="5"/>
        <v>0</v>
      </c>
      <c r="S326" s="101"/>
    </row>
    <row r="327" ht="15.75" customHeight="1">
      <c r="A327" s="49"/>
      <c r="C327" s="589">
        <f t="shared" si="23"/>
        <v>45931</v>
      </c>
      <c r="D327" s="589">
        <v>45901.0</v>
      </c>
      <c r="E327" s="281" t="s">
        <v>234</v>
      </c>
      <c r="F327" s="616">
        <v>1665000.0</v>
      </c>
      <c r="G327" s="616">
        <v>280000.0</v>
      </c>
      <c r="H327" s="9"/>
      <c r="I327" s="8"/>
      <c r="J327" s="9"/>
      <c r="O327" s="497">
        <f t="shared" si="3"/>
        <v>3700000</v>
      </c>
      <c r="P327" s="495" t="str">
        <f t="shared" si="4"/>
        <v>LUNAS</v>
      </c>
      <c r="Q327" s="135">
        <f t="shared" si="5"/>
        <v>0</v>
      </c>
      <c r="S327" s="101"/>
    </row>
    <row r="328" ht="15.75" customHeight="1">
      <c r="A328" s="49"/>
      <c r="C328" s="629">
        <f t="shared" si="23"/>
        <v>45931</v>
      </c>
      <c r="D328" s="589">
        <v>45901.0</v>
      </c>
      <c r="E328" s="281" t="s">
        <v>383</v>
      </c>
      <c r="F328" s="616">
        <v>4500000.0</v>
      </c>
      <c r="G328" s="616">
        <v>400000.0</v>
      </c>
      <c r="H328" s="9"/>
      <c r="I328" s="8"/>
      <c r="J328" s="9"/>
      <c r="O328" s="497">
        <f t="shared" si="3"/>
        <v>3400000</v>
      </c>
      <c r="P328" s="495" t="str">
        <f t="shared" si="4"/>
        <v>LUNAS</v>
      </c>
      <c r="Q328" s="135">
        <f t="shared" si="5"/>
        <v>0</v>
      </c>
      <c r="S328" s="101"/>
    </row>
    <row r="329" ht="15.75" customHeight="1">
      <c r="A329" s="49"/>
      <c r="C329" s="629">
        <f t="shared" si="23"/>
        <v>45933</v>
      </c>
      <c r="D329" s="589">
        <v>45903.0</v>
      </c>
      <c r="E329" s="281" t="s">
        <v>901</v>
      </c>
      <c r="F329" s="616">
        <v>1600000.0</v>
      </c>
      <c r="G329" s="616">
        <v>380000.0</v>
      </c>
      <c r="H329" s="9"/>
      <c r="I329" s="8"/>
      <c r="J329" s="9"/>
      <c r="O329" s="497">
        <f t="shared" si="3"/>
        <v>3570000</v>
      </c>
      <c r="P329" s="495" t="str">
        <f t="shared" si="4"/>
        <v>LUNAS</v>
      </c>
      <c r="Q329" s="135">
        <f t="shared" si="5"/>
        <v>0</v>
      </c>
      <c r="S329" s="101"/>
    </row>
    <row r="330" ht="15.75" customHeight="1">
      <c r="A330" s="49"/>
      <c r="C330" s="589">
        <f t="shared" si="23"/>
        <v>45934</v>
      </c>
      <c r="D330" s="589">
        <v>45904.0</v>
      </c>
      <c r="E330" s="281" t="s">
        <v>132</v>
      </c>
      <c r="F330" s="616">
        <v>4320000.0</v>
      </c>
      <c r="G330" s="616">
        <v>660000.0</v>
      </c>
      <c r="H330" s="9"/>
      <c r="I330" s="8"/>
      <c r="J330" s="9"/>
      <c r="O330" s="497">
        <f t="shared" si="3"/>
        <v>0</v>
      </c>
      <c r="P330" s="495" t="str">
        <f t="shared" si="4"/>
        <v>BELUM LUNAS</v>
      </c>
      <c r="Q330" s="135">
        <f t="shared" si="5"/>
        <v>1700000</v>
      </c>
      <c r="S330" s="101"/>
    </row>
    <row r="331" ht="15.75" customHeight="1">
      <c r="A331" s="49"/>
      <c r="C331" s="589">
        <f t="shared" si="23"/>
        <v>45934</v>
      </c>
      <c r="D331" s="589">
        <v>45904.0</v>
      </c>
      <c r="E331" s="281" t="s">
        <v>208</v>
      </c>
      <c r="F331" s="616">
        <v>1315000.0</v>
      </c>
      <c r="G331" s="616">
        <v>200000.0</v>
      </c>
      <c r="H331" s="9"/>
      <c r="I331" s="8"/>
      <c r="J331" s="9"/>
      <c r="O331" s="497">
        <f t="shared" si="3"/>
        <v>9600000</v>
      </c>
      <c r="P331" s="495" t="str">
        <f t="shared" si="4"/>
        <v>LUNAS</v>
      </c>
      <c r="Q331" s="135">
        <f t="shared" si="5"/>
        <v>0</v>
      </c>
      <c r="S331" s="101"/>
    </row>
    <row r="332" ht="15.75" customHeight="1">
      <c r="A332" s="49"/>
      <c r="C332" s="629">
        <f t="shared" si="23"/>
        <v>45934</v>
      </c>
      <c r="D332" s="589">
        <v>45904.0</v>
      </c>
      <c r="E332" s="281" t="s">
        <v>1013</v>
      </c>
      <c r="F332" s="616">
        <v>1670000.0</v>
      </c>
      <c r="G332" s="616">
        <v>320000.0</v>
      </c>
      <c r="H332" s="9"/>
      <c r="I332" s="8"/>
      <c r="J332" s="9"/>
      <c r="O332" s="497">
        <f t="shared" si="3"/>
        <v>3900000</v>
      </c>
      <c r="P332" s="495" t="str">
        <f t="shared" si="4"/>
        <v>LUNAS</v>
      </c>
      <c r="Q332" s="135">
        <f t="shared" si="5"/>
        <v>0</v>
      </c>
      <c r="S332" s="101"/>
    </row>
    <row r="333" ht="15.75" customHeight="1">
      <c r="A333" s="49"/>
      <c r="C333" s="629">
        <f t="shared" si="23"/>
        <v>45935</v>
      </c>
      <c r="D333" s="589">
        <v>45905.0</v>
      </c>
      <c r="E333" s="281" t="s">
        <v>1013</v>
      </c>
      <c r="F333" s="616">
        <v>1925000.0</v>
      </c>
      <c r="G333" s="616">
        <v>285000.0</v>
      </c>
      <c r="H333" s="9"/>
      <c r="I333" s="8"/>
      <c r="J333" s="9"/>
      <c r="O333" s="497">
        <f t="shared" si="3"/>
        <v>6120000</v>
      </c>
      <c r="P333" s="495" t="str">
        <f t="shared" si="4"/>
        <v>LUNAS</v>
      </c>
      <c r="Q333" s="135">
        <f t="shared" si="5"/>
        <v>0</v>
      </c>
      <c r="S333" s="101"/>
    </row>
    <row r="334" ht="15.75" customHeight="1">
      <c r="A334" s="49"/>
      <c r="C334" s="629">
        <f t="shared" si="23"/>
        <v>45938</v>
      </c>
      <c r="D334" s="589">
        <v>45908.0</v>
      </c>
      <c r="E334" s="281" t="s">
        <v>901</v>
      </c>
      <c r="F334" s="616">
        <v>4500000.0</v>
      </c>
      <c r="G334" s="616">
        <v>400000.0</v>
      </c>
      <c r="H334" s="9"/>
      <c r="I334" s="8"/>
      <c r="J334" s="9"/>
      <c r="O334" s="497">
        <f t="shared" si="3"/>
        <v>4800000</v>
      </c>
      <c r="P334" s="495" t="str">
        <f t="shared" si="4"/>
        <v>LUNAS</v>
      </c>
      <c r="Q334" s="135">
        <f t="shared" si="5"/>
        <v>0</v>
      </c>
      <c r="S334" s="101"/>
    </row>
    <row r="335" ht="15.75" customHeight="1">
      <c r="A335" s="49"/>
      <c r="C335" s="589">
        <v>45939.0</v>
      </c>
      <c r="D335" s="589">
        <v>45909.0</v>
      </c>
      <c r="E335" s="281" t="s">
        <v>641</v>
      </c>
      <c r="F335" s="616">
        <v>1000000.0</v>
      </c>
      <c r="G335" s="616">
        <v>0.0</v>
      </c>
      <c r="H335" s="9"/>
      <c r="I335" s="8"/>
      <c r="J335" s="9"/>
      <c r="O335" s="497">
        <f t="shared" si="3"/>
        <v>1750000</v>
      </c>
      <c r="P335" s="495" t="str">
        <f t="shared" si="4"/>
        <v>LUNAS</v>
      </c>
      <c r="Q335" s="135">
        <f t="shared" si="5"/>
        <v>0</v>
      </c>
      <c r="S335" s="101"/>
    </row>
    <row r="336" ht="15.75" customHeight="1">
      <c r="A336" s="49"/>
      <c r="C336" s="629">
        <f t="shared" ref="C336:C338" si="24">D336+30</f>
        <v>45939</v>
      </c>
      <c r="D336" s="589">
        <v>45909.0</v>
      </c>
      <c r="E336" s="281" t="s">
        <v>264</v>
      </c>
      <c r="F336" s="616">
        <v>3500000.0</v>
      </c>
      <c r="G336" s="616">
        <v>410000.0</v>
      </c>
      <c r="H336" s="9"/>
      <c r="I336" s="8"/>
      <c r="J336" s="9"/>
      <c r="O336" s="497">
        <f t="shared" si="3"/>
        <v>5950000</v>
      </c>
      <c r="P336" s="495" t="str">
        <f t="shared" si="4"/>
        <v>LUNAS</v>
      </c>
      <c r="Q336" s="135">
        <f t="shared" si="5"/>
        <v>0</v>
      </c>
      <c r="S336" s="101"/>
    </row>
    <row r="337" ht="15.75" customHeight="1">
      <c r="A337" s="49"/>
      <c r="C337" s="624">
        <f t="shared" si="24"/>
        <v>45939</v>
      </c>
      <c r="D337" s="625">
        <v>45909.0</v>
      </c>
      <c r="E337" s="281" t="s">
        <v>583</v>
      </c>
      <c r="F337" s="616">
        <v>3400000.0</v>
      </c>
      <c r="G337" s="616">
        <v>400000.0</v>
      </c>
      <c r="H337" s="9"/>
      <c r="I337" s="8"/>
      <c r="J337" s="9"/>
      <c r="O337" s="497">
        <f t="shared" si="3"/>
        <v>5950000</v>
      </c>
      <c r="P337" s="495" t="str">
        <f t="shared" si="4"/>
        <v>LUNAS</v>
      </c>
      <c r="Q337" s="135">
        <f t="shared" si="5"/>
        <v>0</v>
      </c>
      <c r="S337" s="101"/>
    </row>
    <row r="338" ht="15.75" customHeight="1">
      <c r="A338" s="49"/>
      <c r="C338" s="624">
        <f t="shared" si="24"/>
        <v>45939</v>
      </c>
      <c r="D338" s="630">
        <v>45909.0</v>
      </c>
      <c r="E338" s="281" t="s">
        <v>583</v>
      </c>
      <c r="F338" s="616">
        <v>170000.0</v>
      </c>
      <c r="G338" s="616">
        <v>80000.0</v>
      </c>
      <c r="H338" s="9"/>
      <c r="I338" s="8"/>
      <c r="J338" s="9"/>
      <c r="O338" s="497">
        <f t="shared" si="3"/>
        <v>4100000</v>
      </c>
      <c r="P338" s="495" t="str">
        <f t="shared" si="4"/>
        <v>LUNAS</v>
      </c>
      <c r="Q338" s="135">
        <f t="shared" si="5"/>
        <v>0</v>
      </c>
      <c r="S338" s="101"/>
    </row>
    <row r="339" ht="15.75" customHeight="1">
      <c r="A339" s="49"/>
      <c r="C339" s="640">
        <v>45940.0</v>
      </c>
      <c r="D339" s="589">
        <v>45939.0</v>
      </c>
      <c r="E339" s="281" t="s">
        <v>346</v>
      </c>
      <c r="F339" s="616">
        <v>5000000.0</v>
      </c>
      <c r="G339" s="635"/>
      <c r="H339" s="9"/>
      <c r="I339" s="8"/>
      <c r="J339" s="9"/>
      <c r="O339" s="497">
        <f t="shared" si="3"/>
        <v>3000000</v>
      </c>
      <c r="P339" s="495" t="str">
        <f t="shared" si="4"/>
        <v>BELUM LUNAS</v>
      </c>
      <c r="Q339" s="135">
        <f t="shared" si="5"/>
        <v>200000</v>
      </c>
      <c r="S339" s="101"/>
    </row>
    <row r="340" ht="15.75" customHeight="1">
      <c r="A340" s="49"/>
      <c r="C340" s="629">
        <f t="shared" ref="C340:C341" si="25">D340+30</f>
        <v>45940</v>
      </c>
      <c r="D340" s="589">
        <v>45910.0</v>
      </c>
      <c r="E340" s="281" t="s">
        <v>422</v>
      </c>
      <c r="F340" s="616">
        <v>4100000.0</v>
      </c>
      <c r="G340" s="616">
        <v>400000.0</v>
      </c>
      <c r="H340" s="9"/>
      <c r="I340" s="8"/>
      <c r="J340" s="9"/>
      <c r="O340" s="497">
        <f t="shared" si="3"/>
        <v>11000000</v>
      </c>
      <c r="P340" s="495" t="str">
        <f t="shared" si="4"/>
        <v>BELUM LUNAS</v>
      </c>
      <c r="Q340" s="135">
        <f t="shared" si="5"/>
        <v>-2780000</v>
      </c>
      <c r="S340" s="101"/>
    </row>
    <row r="341" ht="15.75" customHeight="1">
      <c r="A341" s="49"/>
      <c r="C341" s="629">
        <f t="shared" si="25"/>
        <v>45940</v>
      </c>
      <c r="D341" s="589">
        <v>45910.0</v>
      </c>
      <c r="E341" s="281" t="s">
        <v>264</v>
      </c>
      <c r="F341" s="616">
        <v>3800000.0</v>
      </c>
      <c r="G341" s="616">
        <v>570000.0</v>
      </c>
      <c r="H341" s="9"/>
      <c r="I341" s="8"/>
      <c r="J341" s="9"/>
      <c r="O341" s="497">
        <f t="shared" si="3"/>
        <v>0</v>
      </c>
      <c r="P341" s="495" t="str">
        <f t="shared" si="4"/>
        <v>BELUM LUNAS</v>
      </c>
      <c r="Q341" s="135">
        <f t="shared" si="5"/>
        <v>3400000</v>
      </c>
      <c r="S341" s="101"/>
    </row>
    <row r="342" ht="15.75" customHeight="1">
      <c r="A342" s="49"/>
      <c r="C342" s="587">
        <f t="shared" ref="C342:C343" si="26">D342+45</f>
        <v>45940</v>
      </c>
      <c r="D342" s="625">
        <v>45895.0</v>
      </c>
      <c r="E342" s="281" t="s">
        <v>595</v>
      </c>
      <c r="F342" s="616">
        <v>1750000.0</v>
      </c>
      <c r="G342" s="616">
        <v>250000.0</v>
      </c>
      <c r="H342" s="9"/>
      <c r="I342" s="8"/>
      <c r="J342" s="9"/>
      <c r="O342" s="497">
        <f t="shared" si="3"/>
        <v>6800000</v>
      </c>
      <c r="P342" s="495" t="str">
        <f t="shared" si="4"/>
        <v>BELUM LUNAS</v>
      </c>
      <c r="Q342" s="135">
        <f t="shared" si="5"/>
        <v>20000</v>
      </c>
      <c r="S342" s="101"/>
    </row>
    <row r="343" ht="15.75" customHeight="1">
      <c r="A343" s="49"/>
      <c r="C343" s="587">
        <f t="shared" si="26"/>
        <v>45940</v>
      </c>
      <c r="D343" s="624">
        <v>45895.0</v>
      </c>
      <c r="E343" s="281" t="s">
        <v>595</v>
      </c>
      <c r="F343" s="616">
        <v>4200000.0</v>
      </c>
      <c r="G343" s="616">
        <v>500000.0</v>
      </c>
      <c r="H343" s="9"/>
      <c r="I343" s="8"/>
      <c r="J343" s="9"/>
      <c r="O343" s="497">
        <f t="shared" si="3"/>
        <v>4100000</v>
      </c>
      <c r="P343" s="495" t="str">
        <f t="shared" si="4"/>
        <v>LUNAS</v>
      </c>
      <c r="Q343" s="135">
        <f t="shared" si="5"/>
        <v>0</v>
      </c>
      <c r="S343" s="101"/>
    </row>
    <row r="344" ht="15.75" customHeight="1">
      <c r="A344" s="49"/>
      <c r="C344" s="589">
        <f t="shared" ref="C344:C352" si="27">D344+30</f>
        <v>45942</v>
      </c>
      <c r="D344" s="589">
        <v>45912.0</v>
      </c>
      <c r="E344" s="281" t="s">
        <v>193</v>
      </c>
      <c r="F344" s="616">
        <v>320000.0</v>
      </c>
      <c r="G344" s="616">
        <v>110000.0</v>
      </c>
      <c r="H344" s="9"/>
      <c r="I344" s="8"/>
      <c r="J344" s="9"/>
      <c r="O344" s="497">
        <f t="shared" si="3"/>
        <v>4500000</v>
      </c>
      <c r="P344" s="495" t="str">
        <f t="shared" si="4"/>
        <v>BELUM LUNAS</v>
      </c>
      <c r="Q344" s="135">
        <f t="shared" si="5"/>
        <v>-650000</v>
      </c>
      <c r="S344" s="101"/>
    </row>
    <row r="345" ht="15.75" customHeight="1">
      <c r="A345" s="49"/>
      <c r="C345" s="589">
        <f t="shared" si="27"/>
        <v>45942</v>
      </c>
      <c r="D345" s="625">
        <v>45912.0</v>
      </c>
      <c r="E345" s="628" t="s">
        <v>267</v>
      </c>
      <c r="F345" s="616">
        <v>3240000.0</v>
      </c>
      <c r="G345" s="616">
        <v>400000.0</v>
      </c>
      <c r="H345" s="9"/>
      <c r="I345" s="8"/>
      <c r="J345" s="9"/>
      <c r="O345" s="497">
        <f t="shared" si="3"/>
        <v>0</v>
      </c>
      <c r="P345" s="495" t="str">
        <f t="shared" si="4"/>
        <v>BELUM LUNAS</v>
      </c>
      <c r="Q345" s="135">
        <f t="shared" si="5"/>
        <v>1600000</v>
      </c>
      <c r="S345" s="101"/>
    </row>
    <row r="346" ht="15.75" customHeight="1">
      <c r="A346" s="49"/>
      <c r="C346" s="589">
        <f t="shared" si="27"/>
        <v>45942</v>
      </c>
      <c r="D346" s="630">
        <v>45912.0</v>
      </c>
      <c r="E346" s="632" t="s">
        <v>267</v>
      </c>
      <c r="F346" s="616">
        <v>500000.0</v>
      </c>
      <c r="G346" s="616">
        <v>100000.0</v>
      </c>
      <c r="H346" s="9"/>
      <c r="I346" s="8"/>
      <c r="J346" s="9"/>
      <c r="O346" s="497">
        <f t="shared" si="3"/>
        <v>8000000</v>
      </c>
      <c r="P346" s="495" t="str">
        <f t="shared" si="4"/>
        <v>BELUM LUNAS</v>
      </c>
      <c r="Q346" s="135">
        <f t="shared" si="5"/>
        <v>150000</v>
      </c>
      <c r="S346" s="101"/>
    </row>
    <row r="347" ht="15.75" customHeight="1">
      <c r="A347" s="49"/>
      <c r="C347" s="589">
        <f t="shared" si="27"/>
        <v>45942</v>
      </c>
      <c r="D347" s="625">
        <v>45912.0</v>
      </c>
      <c r="E347" s="628" t="s">
        <v>267</v>
      </c>
      <c r="F347" s="616">
        <v>200000.0</v>
      </c>
      <c r="G347" s="616">
        <v>110000.0</v>
      </c>
      <c r="H347" s="9"/>
      <c r="I347" s="8"/>
      <c r="J347" s="9"/>
      <c r="O347" s="497">
        <f t="shared" si="3"/>
        <v>4460000</v>
      </c>
      <c r="P347" s="495" t="str">
        <f t="shared" si="4"/>
        <v>LUNAS</v>
      </c>
      <c r="Q347" s="135">
        <f t="shared" si="5"/>
        <v>0</v>
      </c>
      <c r="S347" s="101"/>
    </row>
    <row r="348" ht="15.75" customHeight="1">
      <c r="A348" s="49"/>
      <c r="C348" s="589">
        <f t="shared" si="27"/>
        <v>45942</v>
      </c>
      <c r="D348" s="630">
        <v>45912.0</v>
      </c>
      <c r="E348" s="632" t="s">
        <v>267</v>
      </c>
      <c r="F348" s="616">
        <v>4720000.0</v>
      </c>
      <c r="G348" s="616">
        <v>400000.0</v>
      </c>
      <c r="H348" s="9"/>
      <c r="I348" s="8"/>
      <c r="J348" s="9"/>
      <c r="O348" s="497">
        <f t="shared" si="3"/>
        <v>6000000</v>
      </c>
      <c r="P348" s="495" t="str">
        <f t="shared" si="4"/>
        <v>BELUM LUNAS</v>
      </c>
      <c r="Q348" s="135">
        <f t="shared" si="5"/>
        <v>120000</v>
      </c>
      <c r="S348" s="101"/>
    </row>
    <row r="349" ht="15.75" customHeight="1">
      <c r="A349" s="49"/>
      <c r="C349" s="627">
        <f t="shared" si="27"/>
        <v>45942</v>
      </c>
      <c r="D349" s="614">
        <v>45912.0</v>
      </c>
      <c r="E349" s="632" t="s">
        <v>735</v>
      </c>
      <c r="F349" s="616">
        <v>4720000.0</v>
      </c>
      <c r="G349" s="616">
        <v>400000.0</v>
      </c>
      <c r="H349" s="9"/>
      <c r="I349" s="8"/>
      <c r="J349" s="9"/>
      <c r="O349" s="497">
        <f t="shared" si="3"/>
        <v>8720000</v>
      </c>
      <c r="P349" s="495" t="str">
        <f t="shared" si="4"/>
        <v>BELUM LUNAS</v>
      </c>
      <c r="Q349" s="135">
        <f t="shared" si="5"/>
        <v>-4360000</v>
      </c>
      <c r="S349" s="101"/>
    </row>
    <row r="350" ht="15.75" customHeight="1">
      <c r="A350" s="49"/>
      <c r="C350" s="629">
        <f t="shared" si="27"/>
        <v>45943</v>
      </c>
      <c r="D350" s="589">
        <v>45913.0</v>
      </c>
      <c r="E350" s="281" t="s">
        <v>991</v>
      </c>
      <c r="F350" s="616">
        <v>930000.0</v>
      </c>
      <c r="G350" s="616">
        <v>305000.0</v>
      </c>
      <c r="H350" s="9"/>
      <c r="I350" s="8"/>
      <c r="J350" s="9"/>
      <c r="O350" s="497">
        <f t="shared" si="3"/>
        <v>0</v>
      </c>
      <c r="P350" s="495" t="str">
        <f t="shared" si="4"/>
        <v>BELUM LUNAS</v>
      </c>
      <c r="Q350" s="135">
        <f t="shared" si="5"/>
        <v>4360000</v>
      </c>
      <c r="S350" s="101"/>
    </row>
    <row r="351" ht="15.75" customHeight="1">
      <c r="A351" s="49"/>
      <c r="C351" s="589">
        <f t="shared" si="27"/>
        <v>45945</v>
      </c>
      <c r="D351" s="589">
        <v>45915.0</v>
      </c>
      <c r="E351" s="281" t="s">
        <v>144</v>
      </c>
      <c r="F351" s="616">
        <v>3400000.0</v>
      </c>
      <c r="G351" s="616">
        <v>400000.0</v>
      </c>
      <c r="H351" s="9"/>
      <c r="I351" s="8"/>
      <c r="J351" s="9"/>
      <c r="O351" s="497">
        <f t="shared" si="3"/>
        <v>10880000</v>
      </c>
      <c r="P351" s="495" t="str">
        <f t="shared" si="4"/>
        <v>BELUM LUNAS</v>
      </c>
      <c r="Q351" s="135">
        <f t="shared" si="5"/>
        <v>-5280000</v>
      </c>
      <c r="S351" s="101"/>
    </row>
    <row r="352" ht="15.75" customHeight="1">
      <c r="A352" s="49"/>
      <c r="C352" s="629">
        <f t="shared" si="27"/>
        <v>45945</v>
      </c>
      <c r="D352" s="589">
        <v>45915.0</v>
      </c>
      <c r="E352" s="281" t="s">
        <v>396</v>
      </c>
      <c r="F352" s="616">
        <v>1315000.0</v>
      </c>
      <c r="G352" s="616">
        <v>200000.0</v>
      </c>
      <c r="H352" s="9"/>
      <c r="I352" s="8"/>
      <c r="J352" s="9"/>
      <c r="O352" s="497">
        <f t="shared" si="3"/>
        <v>0</v>
      </c>
      <c r="P352" s="495" t="str">
        <f t="shared" si="4"/>
        <v>BELUM LUNAS</v>
      </c>
      <c r="Q352" s="135">
        <f t="shared" si="5"/>
        <v>5280000</v>
      </c>
      <c r="S352" s="101"/>
    </row>
    <row r="353" ht="15.75" customHeight="1">
      <c r="A353" s="49"/>
      <c r="C353" s="614">
        <v>45946.0</v>
      </c>
      <c r="D353" s="614">
        <v>45840.0</v>
      </c>
      <c r="E353" s="628" t="s">
        <v>775</v>
      </c>
      <c r="F353" s="616">
        <v>5000000.0</v>
      </c>
      <c r="G353" s="616">
        <v>1410000.0</v>
      </c>
      <c r="H353" s="9"/>
      <c r="I353" s="8"/>
      <c r="J353" s="9"/>
      <c r="O353" s="497">
        <f t="shared" si="3"/>
        <v>235000</v>
      </c>
      <c r="P353" s="495" t="str">
        <f t="shared" si="4"/>
        <v>LUNAS</v>
      </c>
      <c r="Q353" s="135">
        <f t="shared" si="5"/>
        <v>0</v>
      </c>
      <c r="S353" s="101"/>
    </row>
    <row r="354" ht="15.75" customHeight="1">
      <c r="A354" s="49"/>
      <c r="C354" s="589">
        <f>D354+14</f>
        <v>45947</v>
      </c>
      <c r="D354" s="614">
        <v>45933.0</v>
      </c>
      <c r="E354" s="281" t="s">
        <v>74</v>
      </c>
      <c r="F354" s="615">
        <v>3150000.0</v>
      </c>
      <c r="G354" s="616">
        <v>390000.0</v>
      </c>
      <c r="H354" s="9"/>
      <c r="I354" s="8"/>
      <c r="J354" s="9"/>
      <c r="O354" s="497">
        <f t="shared" si="3"/>
        <v>700000</v>
      </c>
      <c r="P354" s="495" t="str">
        <f t="shared" si="4"/>
        <v>LUNAS</v>
      </c>
      <c r="Q354" s="135">
        <f t="shared" si="5"/>
        <v>0</v>
      </c>
      <c r="S354" s="101"/>
    </row>
    <row r="355" ht="15.75" customHeight="1">
      <c r="A355" s="49"/>
      <c r="C355" s="629">
        <f t="shared" ref="C355:C366" si="28">D355+30</f>
        <v>45949</v>
      </c>
      <c r="D355" s="589">
        <v>45919.0</v>
      </c>
      <c r="E355" s="281" t="s">
        <v>410</v>
      </c>
      <c r="F355" s="616">
        <v>1300000.0</v>
      </c>
      <c r="G355" s="616">
        <v>210000.0</v>
      </c>
      <c r="H355" s="9"/>
      <c r="I355" s="8"/>
      <c r="J355" s="9"/>
      <c r="O355" s="497">
        <f t="shared" si="3"/>
        <v>685000</v>
      </c>
      <c r="P355" s="495" t="str">
        <f t="shared" si="4"/>
        <v>LUNAS</v>
      </c>
      <c r="Q355" s="135">
        <f t="shared" si="5"/>
        <v>0</v>
      </c>
      <c r="S355" s="101"/>
    </row>
    <row r="356" ht="15.75" customHeight="1">
      <c r="A356" s="49"/>
      <c r="C356" s="629">
        <f t="shared" si="28"/>
        <v>45949</v>
      </c>
      <c r="D356" s="589">
        <v>45919.0</v>
      </c>
      <c r="E356" s="281" t="s">
        <v>422</v>
      </c>
      <c r="F356" s="616">
        <v>4500000.0</v>
      </c>
      <c r="G356" s="616">
        <v>600000.0</v>
      </c>
      <c r="H356" s="9"/>
      <c r="I356" s="8"/>
      <c r="J356" s="9"/>
      <c r="O356" s="497">
        <f t="shared" si="3"/>
        <v>685000</v>
      </c>
      <c r="P356" s="495" t="str">
        <f t="shared" si="4"/>
        <v>LUNAS</v>
      </c>
      <c r="Q356" s="135">
        <f t="shared" si="5"/>
        <v>0</v>
      </c>
      <c r="S356" s="101"/>
    </row>
    <row r="357" ht="15.75" customHeight="1">
      <c r="A357" s="49"/>
      <c r="C357" s="625">
        <f t="shared" si="28"/>
        <v>45952</v>
      </c>
      <c r="D357" s="630">
        <v>45922.0</v>
      </c>
      <c r="E357" s="111" t="s">
        <v>303</v>
      </c>
      <c r="F357" s="616">
        <v>1330000.0</v>
      </c>
      <c r="G357" s="637">
        <v>310000.0</v>
      </c>
      <c r="H357" s="9"/>
      <c r="I357" s="8"/>
      <c r="J357" s="9"/>
      <c r="O357" s="497">
        <f t="shared" si="3"/>
        <v>2020000</v>
      </c>
      <c r="P357" s="495" t="str">
        <f t="shared" si="4"/>
        <v>LUNAS</v>
      </c>
      <c r="Q357" s="135">
        <f t="shared" si="5"/>
        <v>0</v>
      </c>
      <c r="S357" s="101"/>
    </row>
    <row r="358" ht="15.75" customHeight="1">
      <c r="A358" s="49"/>
      <c r="C358" s="625">
        <f t="shared" si="28"/>
        <v>45952</v>
      </c>
      <c r="D358" s="625">
        <v>45922.0</v>
      </c>
      <c r="E358" s="111" t="s">
        <v>303</v>
      </c>
      <c r="F358" s="616">
        <v>1300000.0</v>
      </c>
      <c r="G358" s="633">
        <v>320000.0</v>
      </c>
      <c r="H358" s="9"/>
      <c r="I358" s="8"/>
      <c r="J358" s="9"/>
      <c r="O358" s="497">
        <f t="shared" si="3"/>
        <v>1920000</v>
      </c>
      <c r="P358" s="495" t="str">
        <f t="shared" si="4"/>
        <v>LUNAS</v>
      </c>
      <c r="Q358" s="135">
        <f t="shared" si="5"/>
        <v>0</v>
      </c>
      <c r="S358" s="101"/>
    </row>
    <row r="359" ht="15.75" customHeight="1">
      <c r="A359" s="49"/>
      <c r="C359" s="589">
        <f t="shared" si="28"/>
        <v>45952</v>
      </c>
      <c r="D359" s="624">
        <v>45922.0</v>
      </c>
      <c r="E359" s="281" t="s">
        <v>274</v>
      </c>
      <c r="F359" s="616">
        <v>1750000.0</v>
      </c>
      <c r="G359" s="616">
        <v>205000.0</v>
      </c>
      <c r="H359" s="9"/>
      <c r="I359" s="8"/>
      <c r="J359" s="9"/>
      <c r="O359" s="497">
        <f t="shared" si="3"/>
        <v>5140000</v>
      </c>
      <c r="P359" s="495" t="str">
        <f t="shared" si="4"/>
        <v>LUNAS</v>
      </c>
      <c r="Q359" s="135">
        <f t="shared" si="5"/>
        <v>0</v>
      </c>
      <c r="S359" s="101"/>
    </row>
    <row r="360" ht="15.75" customHeight="1">
      <c r="A360" s="49"/>
      <c r="C360" s="624">
        <f t="shared" si="28"/>
        <v>45952</v>
      </c>
      <c r="D360" s="630">
        <v>45922.0</v>
      </c>
      <c r="E360" s="631" t="s">
        <v>610</v>
      </c>
      <c r="F360" s="616">
        <v>250000.0</v>
      </c>
      <c r="G360" s="616"/>
      <c r="H360" s="9"/>
      <c r="I360" s="8"/>
      <c r="J360" s="9"/>
      <c r="O360" s="497">
        <f t="shared" si="3"/>
        <v>4720000</v>
      </c>
      <c r="P360" s="495" t="str">
        <f t="shared" si="4"/>
        <v>LUNAS</v>
      </c>
      <c r="Q360" s="135">
        <f t="shared" si="5"/>
        <v>0</v>
      </c>
      <c r="S360" s="101"/>
    </row>
    <row r="361" ht="15.75" customHeight="1">
      <c r="A361" s="49"/>
      <c r="C361" s="589">
        <f t="shared" si="28"/>
        <v>45954</v>
      </c>
      <c r="D361" s="589">
        <v>45924.0</v>
      </c>
      <c r="E361" s="281" t="s">
        <v>132</v>
      </c>
      <c r="F361" s="616">
        <v>1600000.0</v>
      </c>
      <c r="G361" s="616">
        <v>350000.0</v>
      </c>
      <c r="H361" s="9"/>
      <c r="I361" s="8"/>
      <c r="J361" s="9"/>
      <c r="O361" s="497">
        <f t="shared" si="3"/>
        <v>4500000</v>
      </c>
      <c r="P361" s="495" t="str">
        <f t="shared" si="4"/>
        <v>LUNAS</v>
      </c>
      <c r="Q361" s="135">
        <f t="shared" si="5"/>
        <v>0</v>
      </c>
      <c r="S361" s="101"/>
    </row>
    <row r="362" ht="15.75" customHeight="1">
      <c r="A362" s="49"/>
      <c r="C362" s="629">
        <f t="shared" si="28"/>
        <v>45954</v>
      </c>
      <c r="D362" s="589">
        <v>45924.0</v>
      </c>
      <c r="E362" s="281" t="s">
        <v>971</v>
      </c>
      <c r="F362" s="616">
        <v>2100000.0</v>
      </c>
      <c r="G362" s="616">
        <v>310000.0</v>
      </c>
      <c r="H362" s="9"/>
      <c r="I362" s="8"/>
      <c r="J362" s="9"/>
      <c r="O362" s="497">
        <f t="shared" si="3"/>
        <v>4450000</v>
      </c>
      <c r="P362" s="495" t="str">
        <f t="shared" si="4"/>
        <v>LUNAS</v>
      </c>
      <c r="Q362" s="135">
        <f t="shared" si="5"/>
        <v>0</v>
      </c>
      <c r="S362" s="101"/>
    </row>
    <row r="363" ht="15.75" customHeight="1">
      <c r="A363" s="49"/>
      <c r="C363" s="629">
        <f t="shared" si="28"/>
        <v>45955</v>
      </c>
      <c r="D363" s="589">
        <v>45925.0</v>
      </c>
      <c r="E363" s="281" t="s">
        <v>1013</v>
      </c>
      <c r="F363" s="616">
        <f>2930000+1040000</f>
        <v>3970000</v>
      </c>
      <c r="G363" s="616"/>
      <c r="H363" s="9"/>
      <c r="I363" s="8"/>
      <c r="J363" s="9"/>
      <c r="O363" s="497">
        <f t="shared" si="3"/>
        <v>3200000</v>
      </c>
      <c r="P363" s="495" t="str">
        <f t="shared" si="4"/>
        <v>LUNAS</v>
      </c>
      <c r="Q363" s="135">
        <f t="shared" si="5"/>
        <v>0</v>
      </c>
      <c r="S363" s="101"/>
    </row>
    <row r="364" ht="15.75" customHeight="1">
      <c r="A364" s="49"/>
      <c r="C364" s="589">
        <f t="shared" si="28"/>
        <v>45957</v>
      </c>
      <c r="D364" s="625">
        <v>45927.0</v>
      </c>
      <c r="E364" s="628" t="s">
        <v>267</v>
      </c>
      <c r="F364" s="616">
        <v>8200000.0</v>
      </c>
      <c r="G364" s="616">
        <v>800000.0</v>
      </c>
      <c r="H364" s="9"/>
      <c r="I364" s="8"/>
      <c r="J364" s="9"/>
      <c r="O364" s="497">
        <f t="shared" si="3"/>
        <v>4500000</v>
      </c>
      <c r="P364" s="495" t="str">
        <f t="shared" si="4"/>
        <v>LUNAS</v>
      </c>
      <c r="Q364" s="135">
        <f t="shared" si="5"/>
        <v>0</v>
      </c>
      <c r="S364" s="101"/>
    </row>
    <row r="365" ht="15.75" customHeight="1">
      <c r="A365" s="49"/>
      <c r="C365" s="629">
        <f t="shared" si="28"/>
        <v>45958</v>
      </c>
      <c r="D365" s="589">
        <v>45928.0</v>
      </c>
      <c r="E365" s="281" t="s">
        <v>1013</v>
      </c>
      <c r="F365" s="616">
        <v>4450000.0</v>
      </c>
      <c r="G365" s="616"/>
      <c r="H365" s="9"/>
      <c r="I365" s="8"/>
      <c r="J365" s="9"/>
      <c r="O365" s="497">
        <f t="shared" si="3"/>
        <v>3250000</v>
      </c>
      <c r="P365" s="495" t="str">
        <f t="shared" si="4"/>
        <v>BELUM LUNAS</v>
      </c>
      <c r="Q365" s="135">
        <f t="shared" si="5"/>
        <v>1200000</v>
      </c>
      <c r="S365" s="101"/>
    </row>
    <row r="366" ht="15.75" customHeight="1">
      <c r="A366" s="49"/>
      <c r="C366" s="589">
        <f t="shared" si="28"/>
        <v>45959</v>
      </c>
      <c r="D366" s="589">
        <v>45929.0</v>
      </c>
      <c r="E366" s="281" t="s">
        <v>208</v>
      </c>
      <c r="F366" s="616">
        <v>2760000.0</v>
      </c>
      <c r="G366" s="616">
        <v>400000.0</v>
      </c>
      <c r="H366" s="9"/>
      <c r="I366" s="8"/>
      <c r="J366" s="9"/>
      <c r="O366" s="497">
        <f t="shared" si="3"/>
        <v>2050000</v>
      </c>
      <c r="P366" s="495" t="str">
        <f t="shared" si="4"/>
        <v>LUNAS</v>
      </c>
      <c r="Q366" s="135">
        <f t="shared" si="5"/>
        <v>0</v>
      </c>
      <c r="S366" s="101"/>
    </row>
    <row r="367" ht="15.75" customHeight="1">
      <c r="A367" s="49"/>
      <c r="C367" s="574">
        <v>45962.0</v>
      </c>
      <c r="D367" s="574">
        <v>45957.0</v>
      </c>
      <c r="E367" s="641" t="s">
        <v>891</v>
      </c>
      <c r="F367" s="642">
        <v>3220000.0</v>
      </c>
      <c r="G367" s="643">
        <v>250000.0</v>
      </c>
      <c r="H367" s="9"/>
      <c r="I367" s="8"/>
      <c r="J367" s="9"/>
      <c r="O367" s="497">
        <f t="shared" si="3"/>
        <v>4100000</v>
      </c>
      <c r="P367" s="495" t="str">
        <f t="shared" si="4"/>
        <v>LUNAS</v>
      </c>
      <c r="Q367" s="135">
        <f t="shared" si="5"/>
        <v>0</v>
      </c>
      <c r="S367" s="101"/>
    </row>
    <row r="368" ht="15.75" customHeight="1">
      <c r="A368" s="49"/>
      <c r="C368" s="574">
        <v>45962.0</v>
      </c>
      <c r="D368" s="644"/>
      <c r="E368" s="641" t="s">
        <v>267</v>
      </c>
      <c r="F368" s="643">
        <v>8200000.0</v>
      </c>
      <c r="G368" s="643">
        <v>800000.0</v>
      </c>
      <c r="H368" s="9"/>
      <c r="I368" s="8"/>
      <c r="J368" s="9"/>
      <c r="O368" s="497">
        <f t="shared" si="3"/>
        <v>4100000</v>
      </c>
      <c r="P368" s="495" t="str">
        <f t="shared" si="4"/>
        <v>LUNAS</v>
      </c>
      <c r="Q368" s="135">
        <f t="shared" si="5"/>
        <v>0</v>
      </c>
      <c r="S368" s="101"/>
    </row>
    <row r="369" ht="15.75" customHeight="1">
      <c r="A369" s="49"/>
      <c r="C369" s="589">
        <f>D369+30</f>
        <v>45962</v>
      </c>
      <c r="D369" s="589">
        <v>45932.0</v>
      </c>
      <c r="E369" s="281" t="s">
        <v>144</v>
      </c>
      <c r="F369" s="616">
        <v>1950000.0</v>
      </c>
      <c r="G369" s="616">
        <v>250000.0</v>
      </c>
      <c r="H369" s="9"/>
      <c r="I369" s="8"/>
      <c r="J369" s="9"/>
      <c r="O369" s="497">
        <f t="shared" si="3"/>
        <v>1200000</v>
      </c>
      <c r="P369" s="495" t="str">
        <f t="shared" si="4"/>
        <v>LUNAS</v>
      </c>
      <c r="Q369" s="135">
        <f t="shared" si="5"/>
        <v>0</v>
      </c>
      <c r="S369" s="101"/>
    </row>
    <row r="370" ht="15.75" customHeight="1">
      <c r="A370" s="49"/>
      <c r="C370" s="574">
        <v>45964.0</v>
      </c>
      <c r="D370" s="589">
        <v>45939.0</v>
      </c>
      <c r="E370" s="641" t="s">
        <v>346</v>
      </c>
      <c r="F370" s="643">
        <v>4440000.0</v>
      </c>
      <c r="G370" s="643">
        <v>800000.0</v>
      </c>
      <c r="H370" s="9"/>
      <c r="I370" s="8"/>
      <c r="J370" s="9"/>
      <c r="O370" s="497">
        <f t="shared" si="3"/>
        <v>910000</v>
      </c>
      <c r="P370" s="495" t="str">
        <f t="shared" si="4"/>
        <v>LUNAS</v>
      </c>
      <c r="Q370" s="135">
        <f t="shared" si="5"/>
        <v>0</v>
      </c>
      <c r="S370" s="101"/>
    </row>
    <row r="371" ht="15.75" customHeight="1">
      <c r="A371" s="49"/>
      <c r="C371" s="574">
        <v>45964.0</v>
      </c>
      <c r="D371" s="644"/>
      <c r="E371" s="641" t="s">
        <v>583</v>
      </c>
      <c r="F371" s="643">
        <v>270000.0</v>
      </c>
      <c r="G371" s="643">
        <v>0.0</v>
      </c>
      <c r="H371" s="9"/>
      <c r="I371" s="8"/>
      <c r="J371" s="9"/>
      <c r="O371" s="497">
        <f t="shared" si="3"/>
        <v>1380000</v>
      </c>
      <c r="P371" s="495" t="str">
        <f t="shared" si="4"/>
        <v>BELUM LUNAS</v>
      </c>
      <c r="Q371" s="135">
        <f t="shared" si="5"/>
        <v>-590000</v>
      </c>
      <c r="S371" s="101"/>
    </row>
    <row r="372" ht="15.75" customHeight="1">
      <c r="A372" s="49"/>
      <c r="C372" s="574">
        <v>45965.0</v>
      </c>
      <c r="D372" s="589">
        <v>45925.0</v>
      </c>
      <c r="E372" s="641" t="s">
        <v>259</v>
      </c>
      <c r="F372" s="643">
        <v>1060000.0</v>
      </c>
      <c r="G372" s="643">
        <v>180000.0</v>
      </c>
      <c r="H372" s="9"/>
      <c r="I372" s="8"/>
      <c r="J372" s="9"/>
      <c r="O372" s="497">
        <f t="shared" si="3"/>
        <v>3230000</v>
      </c>
      <c r="P372" s="495" t="str">
        <f t="shared" si="4"/>
        <v>LUNAS</v>
      </c>
      <c r="Q372" s="135">
        <f t="shared" si="5"/>
        <v>0</v>
      </c>
      <c r="S372" s="101"/>
    </row>
    <row r="373" ht="15.75" customHeight="1">
      <c r="A373" s="49"/>
      <c r="C373" s="624">
        <f>D373+30</f>
        <v>45965</v>
      </c>
      <c r="D373" s="625">
        <v>45935.0</v>
      </c>
      <c r="E373" s="628" t="s">
        <v>867</v>
      </c>
      <c r="F373" s="616">
        <v>875000.0</v>
      </c>
      <c r="G373" s="616">
        <v>225000.0</v>
      </c>
      <c r="H373" s="9"/>
      <c r="I373" s="8"/>
      <c r="J373" s="9"/>
      <c r="O373" s="497">
        <f t="shared" si="3"/>
        <v>1925000</v>
      </c>
      <c r="P373" s="495" t="str">
        <f t="shared" si="4"/>
        <v>LUNAS</v>
      </c>
      <c r="Q373" s="135">
        <f t="shared" si="5"/>
        <v>0</v>
      </c>
      <c r="S373" s="101"/>
    </row>
    <row r="374" ht="15.75" customHeight="1">
      <c r="A374" s="49"/>
      <c r="C374" s="574">
        <v>45966.0</v>
      </c>
      <c r="D374" s="574">
        <v>45957.0</v>
      </c>
      <c r="E374" s="641" t="s">
        <v>1013</v>
      </c>
      <c r="F374" s="643">
        <v>7845000.0</v>
      </c>
      <c r="G374" s="643">
        <v>2400000.0</v>
      </c>
      <c r="H374" s="9"/>
      <c r="I374" s="8"/>
      <c r="J374" s="9"/>
      <c r="O374" s="497">
        <f t="shared" si="3"/>
        <v>4100000</v>
      </c>
      <c r="P374" s="495" t="str">
        <f t="shared" si="4"/>
        <v>LUNAS</v>
      </c>
      <c r="Q374" s="135">
        <f t="shared" si="5"/>
        <v>0</v>
      </c>
      <c r="S374" s="101"/>
    </row>
    <row r="375" ht="15.75" customHeight="1">
      <c r="A375" s="49"/>
      <c r="C375" s="574">
        <v>45967.0</v>
      </c>
      <c r="D375" s="574">
        <v>45964.0</v>
      </c>
      <c r="E375" s="117" t="s">
        <v>843</v>
      </c>
      <c r="F375" s="643">
        <v>1000000.0</v>
      </c>
      <c r="G375" s="643">
        <v>0.0</v>
      </c>
      <c r="H375" s="9"/>
      <c r="I375" s="8"/>
      <c r="J375" s="9"/>
      <c r="O375" s="497">
        <f t="shared" si="3"/>
        <v>4120000</v>
      </c>
      <c r="P375" s="495" t="str">
        <f t="shared" si="4"/>
        <v>LUNAS</v>
      </c>
      <c r="Q375" s="135">
        <f t="shared" si="5"/>
        <v>0</v>
      </c>
      <c r="S375" s="101"/>
    </row>
    <row r="376" ht="15.75" customHeight="1">
      <c r="A376" s="49"/>
      <c r="C376" s="574">
        <v>45967.0</v>
      </c>
      <c r="D376" s="574">
        <v>45967.0</v>
      </c>
      <c r="E376" s="117" t="s">
        <v>470</v>
      </c>
      <c r="F376" s="643">
        <v>1.5E7</v>
      </c>
      <c r="G376" s="643">
        <v>1500000.0</v>
      </c>
      <c r="H376" s="9"/>
      <c r="I376" s="8"/>
      <c r="J376" s="9"/>
      <c r="O376" s="497">
        <f t="shared" si="3"/>
        <v>4100000</v>
      </c>
      <c r="P376" s="495" t="str">
        <f t="shared" si="4"/>
        <v>LUNAS</v>
      </c>
      <c r="Q376" s="135">
        <f t="shared" si="5"/>
        <v>0</v>
      </c>
      <c r="S376" s="101"/>
    </row>
    <row r="377" ht="15.75" customHeight="1">
      <c r="A377" s="49"/>
      <c r="C377" s="589">
        <f>D377+30</f>
        <v>45967</v>
      </c>
      <c r="D377" s="630">
        <v>45937.0</v>
      </c>
      <c r="E377" s="632" t="s">
        <v>267</v>
      </c>
      <c r="F377" s="616">
        <v>4100000.0</v>
      </c>
      <c r="G377" s="616">
        <v>420000.0</v>
      </c>
      <c r="H377" s="9"/>
      <c r="I377" s="8"/>
      <c r="J377" s="9"/>
      <c r="O377" s="497">
        <f t="shared" si="3"/>
        <v>2050000</v>
      </c>
      <c r="P377" s="495" t="str">
        <f t="shared" si="4"/>
        <v>LUNAS</v>
      </c>
      <c r="Q377" s="135">
        <f t="shared" si="5"/>
        <v>0</v>
      </c>
      <c r="S377" s="101"/>
    </row>
    <row r="378" ht="15.75" customHeight="1">
      <c r="A378" s="49"/>
      <c r="C378" s="587">
        <f t="shared" ref="C378:C379" si="29">D378+45</f>
        <v>45968</v>
      </c>
      <c r="D378" s="625">
        <v>45923.0</v>
      </c>
      <c r="E378" s="281" t="s">
        <v>595</v>
      </c>
      <c r="F378" s="616">
        <v>1750000.0</v>
      </c>
      <c r="G378" s="616">
        <v>250000.0</v>
      </c>
      <c r="H378" s="9"/>
      <c r="I378" s="8"/>
      <c r="J378" s="9"/>
      <c r="O378" s="497">
        <f t="shared" si="3"/>
        <v>1100000</v>
      </c>
      <c r="P378" s="495" t="str">
        <f t="shared" si="4"/>
        <v>BELUM LUNAS</v>
      </c>
      <c r="Q378" s="135">
        <f t="shared" si="5"/>
        <v>3000000</v>
      </c>
      <c r="S378" s="101"/>
    </row>
    <row r="379" ht="15.75" customHeight="1">
      <c r="A379" s="49"/>
      <c r="C379" s="587">
        <f t="shared" si="29"/>
        <v>45968</v>
      </c>
      <c r="D379" s="630">
        <v>45923.0</v>
      </c>
      <c r="E379" s="281" t="s">
        <v>595</v>
      </c>
      <c r="F379" s="616">
        <f>4200000-500000</f>
        <v>3700000</v>
      </c>
      <c r="G379" s="616">
        <v>500000.0</v>
      </c>
      <c r="H379" s="9"/>
      <c r="I379" s="8"/>
      <c r="J379" s="9"/>
      <c r="O379" s="497">
        <f t="shared" si="3"/>
        <v>4100000</v>
      </c>
      <c r="P379" s="495" t="str">
        <f t="shared" si="4"/>
        <v>LUNAS</v>
      </c>
      <c r="Q379" s="135">
        <f t="shared" si="5"/>
        <v>0</v>
      </c>
      <c r="S379" s="101"/>
    </row>
    <row r="380" ht="15.75" customHeight="1">
      <c r="A380" s="49"/>
      <c r="C380" s="589">
        <v>45970.0</v>
      </c>
      <c r="D380" s="589">
        <v>45909.0</v>
      </c>
      <c r="E380" s="281" t="s">
        <v>641</v>
      </c>
      <c r="F380" s="616">
        <v>1800000.0</v>
      </c>
      <c r="G380" s="635"/>
      <c r="H380" s="9"/>
      <c r="I380" s="8"/>
      <c r="J380" s="9"/>
      <c r="O380" s="497">
        <f t="shared" si="3"/>
        <v>3500000</v>
      </c>
      <c r="P380" s="495" t="str">
        <f t="shared" si="4"/>
        <v>LUNAS</v>
      </c>
      <c r="Q380" s="135">
        <f t="shared" si="5"/>
        <v>0</v>
      </c>
      <c r="S380" s="101"/>
    </row>
    <row r="381" ht="15.75" customHeight="1">
      <c r="A381" s="49"/>
      <c r="C381" s="574">
        <v>45971.0</v>
      </c>
      <c r="D381" s="574">
        <v>45967.0</v>
      </c>
      <c r="E381" s="117" t="s">
        <v>2648</v>
      </c>
      <c r="F381" s="643"/>
      <c r="G381" s="643">
        <v>400000.0</v>
      </c>
      <c r="H381" s="9"/>
      <c r="I381" s="8"/>
      <c r="J381" s="9"/>
      <c r="O381" s="497">
        <f t="shared" si="3"/>
        <v>4360000</v>
      </c>
      <c r="P381" s="495" t="str">
        <f t="shared" si="4"/>
        <v>LUNAS</v>
      </c>
      <c r="Q381" s="135">
        <f t="shared" si="5"/>
        <v>0</v>
      </c>
      <c r="S381" s="101"/>
    </row>
    <row r="382" ht="15.75" customHeight="1">
      <c r="A382" s="49"/>
      <c r="C382" s="629">
        <f t="shared" ref="C382:C384" si="30">D382+30</f>
        <v>45971</v>
      </c>
      <c r="D382" s="589">
        <v>45941.0</v>
      </c>
      <c r="E382" s="281" t="s">
        <v>971</v>
      </c>
      <c r="F382" s="616">
        <v>1250000.0</v>
      </c>
      <c r="G382" s="616">
        <v>0.0</v>
      </c>
      <c r="H382" s="9"/>
      <c r="I382" s="8"/>
      <c r="J382" s="9"/>
      <c r="O382" s="497">
        <f t="shared" si="3"/>
        <v>880000</v>
      </c>
      <c r="P382" s="495" t="str">
        <f t="shared" si="4"/>
        <v>LUNAS</v>
      </c>
      <c r="Q382" s="135">
        <f t="shared" si="5"/>
        <v>0</v>
      </c>
      <c r="S382" s="101"/>
    </row>
    <row r="383" ht="15.75" customHeight="1">
      <c r="A383" s="49"/>
      <c r="C383" s="624">
        <f t="shared" si="30"/>
        <v>45971</v>
      </c>
      <c r="D383" s="625">
        <v>45941.0</v>
      </c>
      <c r="E383" s="626" t="s">
        <v>1061</v>
      </c>
      <c r="F383" s="616">
        <v>1990000.0</v>
      </c>
      <c r="G383" s="616">
        <v>200000.0</v>
      </c>
      <c r="H383" s="9"/>
      <c r="I383" s="8"/>
      <c r="J383" s="9"/>
      <c r="O383" s="497">
        <f t="shared" si="3"/>
        <v>1725000</v>
      </c>
      <c r="P383" s="495" t="str">
        <f t="shared" si="4"/>
        <v>LUNAS</v>
      </c>
      <c r="Q383" s="135">
        <f t="shared" si="5"/>
        <v>0</v>
      </c>
      <c r="S383" s="101"/>
    </row>
    <row r="384" ht="15.75" customHeight="1">
      <c r="A384" s="49"/>
      <c r="C384" s="624">
        <f t="shared" si="30"/>
        <v>45971</v>
      </c>
      <c r="D384" s="630">
        <v>45941.0</v>
      </c>
      <c r="E384" s="631" t="s">
        <v>1061</v>
      </c>
      <c r="F384" s="616">
        <v>160000.0</v>
      </c>
      <c r="G384" s="616">
        <v>35000.0</v>
      </c>
      <c r="H384" s="9"/>
      <c r="I384" s="8"/>
      <c r="J384" s="9"/>
      <c r="O384" s="497">
        <f t="shared" si="3"/>
        <v>2050000</v>
      </c>
      <c r="P384" s="495" t="str">
        <f t="shared" si="4"/>
        <v>LUNAS</v>
      </c>
      <c r="Q384" s="135">
        <f t="shared" si="5"/>
        <v>0</v>
      </c>
      <c r="S384" s="101"/>
    </row>
    <row r="385" ht="15.75" customHeight="1">
      <c r="A385" s="49"/>
      <c r="C385" s="574">
        <v>45972.0</v>
      </c>
      <c r="D385" s="574">
        <v>45968.0</v>
      </c>
      <c r="E385" s="645" t="s">
        <v>1085</v>
      </c>
      <c r="F385" s="643">
        <v>235000.0</v>
      </c>
      <c r="G385" s="643">
        <v>80000.0</v>
      </c>
      <c r="H385" s="9"/>
      <c r="I385" s="8"/>
      <c r="J385" s="9"/>
      <c r="O385" s="497">
        <f t="shared" si="3"/>
        <v>4300000</v>
      </c>
      <c r="P385" s="495" t="str">
        <f t="shared" si="4"/>
        <v>LUNAS</v>
      </c>
      <c r="Q385" s="135">
        <f t="shared" si="5"/>
        <v>0</v>
      </c>
      <c r="S385" s="101"/>
    </row>
    <row r="386" ht="15.75" customHeight="1">
      <c r="A386" s="49"/>
      <c r="C386" s="589">
        <f>D386+30</f>
        <v>45973</v>
      </c>
      <c r="D386" s="589">
        <v>45943.0</v>
      </c>
      <c r="E386" s="281" t="s">
        <v>962</v>
      </c>
      <c r="F386" s="616">
        <v>1440000.0</v>
      </c>
      <c r="G386" s="616">
        <v>360000.0</v>
      </c>
      <c r="H386" s="9"/>
      <c r="I386" s="8"/>
      <c r="J386" s="9"/>
      <c r="O386" s="497">
        <f t="shared" si="3"/>
        <v>4100000</v>
      </c>
      <c r="P386" s="495" t="str">
        <f t="shared" si="4"/>
        <v>LUNAS</v>
      </c>
      <c r="Q386" s="135">
        <f t="shared" si="5"/>
        <v>0</v>
      </c>
      <c r="S386" s="101"/>
    </row>
    <row r="387" ht="15.75" customHeight="1">
      <c r="A387" s="49"/>
      <c r="C387" s="574">
        <v>45974.0</v>
      </c>
      <c r="D387" s="574">
        <v>45968.0</v>
      </c>
      <c r="E387" s="117" t="s">
        <v>668</v>
      </c>
      <c r="F387" s="643">
        <v>1160000.0</v>
      </c>
      <c r="G387" s="643">
        <v>250000.0</v>
      </c>
      <c r="H387" s="9"/>
      <c r="I387" s="8"/>
      <c r="J387" s="9"/>
      <c r="O387" s="497">
        <f t="shared" si="3"/>
        <v>0</v>
      </c>
      <c r="P387" s="495" t="str">
        <f t="shared" si="4"/>
        <v>BELUM LUNAS</v>
      </c>
      <c r="Q387" s="135">
        <f t="shared" si="5"/>
        <v>1750000</v>
      </c>
      <c r="S387" s="101"/>
    </row>
    <row r="388" ht="15.75" customHeight="1">
      <c r="A388" s="49"/>
      <c r="C388" s="574">
        <v>45975.0</v>
      </c>
      <c r="D388" s="574">
        <v>45975.0</v>
      </c>
      <c r="E388" s="117" t="s">
        <v>1085</v>
      </c>
      <c r="F388" s="643">
        <v>400000.0</v>
      </c>
      <c r="G388" s="643">
        <v>80000.0</v>
      </c>
      <c r="H388" s="9"/>
      <c r="I388" s="8"/>
      <c r="J388" s="9"/>
      <c r="O388" s="497">
        <f t="shared" si="3"/>
        <v>900000</v>
      </c>
      <c r="P388" s="495" t="str">
        <f t="shared" si="4"/>
        <v>BELUM LUNAS</v>
      </c>
      <c r="Q388" s="135">
        <f t="shared" si="5"/>
        <v>10000</v>
      </c>
      <c r="S388" s="101"/>
    </row>
    <row r="389" ht="15.75" customHeight="1">
      <c r="A389" s="49"/>
      <c r="C389" s="624">
        <f>D389+30</f>
        <v>45975</v>
      </c>
      <c r="D389" s="630">
        <v>45945.0</v>
      </c>
      <c r="E389" s="631" t="s">
        <v>1031</v>
      </c>
      <c r="F389" s="616">
        <v>3040000.0</v>
      </c>
      <c r="G389" s="616">
        <v>200000.0</v>
      </c>
      <c r="H389" s="9"/>
      <c r="I389" s="8"/>
      <c r="J389" s="9"/>
      <c r="O389" s="497">
        <f t="shared" si="3"/>
        <v>925000</v>
      </c>
      <c r="P389" s="495" t="str">
        <f t="shared" si="4"/>
        <v>BELUM LUNAS</v>
      </c>
      <c r="Q389" s="135">
        <f t="shared" si="5"/>
        <v>-15000</v>
      </c>
      <c r="S389" s="101"/>
    </row>
    <row r="390" ht="15.75" customHeight="1">
      <c r="A390" s="49"/>
      <c r="C390" s="574">
        <v>45976.0</v>
      </c>
      <c r="D390" s="574">
        <v>45967.0</v>
      </c>
      <c r="E390" s="117" t="s">
        <v>470</v>
      </c>
      <c r="F390" s="643">
        <v>6500000.0</v>
      </c>
      <c r="G390" s="643">
        <v>0.0</v>
      </c>
      <c r="H390" s="9"/>
      <c r="I390" s="8"/>
      <c r="J390" s="9"/>
      <c r="O390" s="497">
        <f t="shared" si="3"/>
        <v>4300000</v>
      </c>
      <c r="P390" s="495" t="str">
        <f t="shared" si="4"/>
        <v>LUNAS</v>
      </c>
      <c r="Q390" s="135">
        <f t="shared" si="5"/>
        <v>0</v>
      </c>
      <c r="S390" s="101"/>
    </row>
    <row r="391" ht="15.75" customHeight="1">
      <c r="A391" s="49"/>
      <c r="C391" s="574">
        <v>45976.0</v>
      </c>
      <c r="D391" s="574">
        <v>45976.0</v>
      </c>
      <c r="E391" s="117" t="s">
        <v>470</v>
      </c>
      <c r="F391" s="643">
        <v>4750000.0</v>
      </c>
      <c r="G391" s="643">
        <v>1000000.0</v>
      </c>
      <c r="H391" s="9"/>
      <c r="I391" s="8"/>
      <c r="J391" s="9"/>
      <c r="O391" s="497">
        <f t="shared" si="3"/>
        <v>2470000</v>
      </c>
      <c r="P391" s="495" t="str">
        <f t="shared" si="4"/>
        <v>LUNAS</v>
      </c>
      <c r="Q391" s="135">
        <f t="shared" si="5"/>
        <v>0</v>
      </c>
      <c r="S391" s="101"/>
    </row>
    <row r="392" ht="15.75" customHeight="1">
      <c r="A392" s="49"/>
      <c r="C392" s="574">
        <v>45976.0</v>
      </c>
      <c r="D392" s="574">
        <v>45976.0</v>
      </c>
      <c r="E392" s="117" t="s">
        <v>274</v>
      </c>
      <c r="F392" s="643">
        <v>1250000.0</v>
      </c>
      <c r="G392" s="643">
        <v>0.0</v>
      </c>
      <c r="H392" s="9"/>
      <c r="I392" s="8"/>
      <c r="J392" s="9"/>
      <c r="O392" s="497">
        <f t="shared" si="3"/>
        <v>1750000</v>
      </c>
      <c r="P392" s="495" t="str">
        <f t="shared" si="4"/>
        <v>LUNAS</v>
      </c>
      <c r="Q392" s="135">
        <f t="shared" si="5"/>
        <v>0</v>
      </c>
      <c r="S392" s="101"/>
    </row>
    <row r="393" ht="15.75" customHeight="1">
      <c r="A393" s="49"/>
      <c r="C393" s="629">
        <f t="shared" ref="C393:C394" si="31">D393+30</f>
        <v>45977</v>
      </c>
      <c r="D393" s="589">
        <v>45947.0</v>
      </c>
      <c r="E393" s="281" t="s">
        <v>901</v>
      </c>
      <c r="F393" s="616">
        <v>2000000.0</v>
      </c>
      <c r="G393" s="616">
        <v>400000.0</v>
      </c>
      <c r="H393" s="9"/>
      <c r="I393" s="8"/>
      <c r="J393" s="9"/>
      <c r="O393" s="497">
        <f t="shared" si="3"/>
        <v>2235000</v>
      </c>
      <c r="P393" s="495" t="str">
        <f t="shared" si="4"/>
        <v>LUNAS</v>
      </c>
      <c r="Q393" s="135">
        <f t="shared" si="5"/>
        <v>0</v>
      </c>
      <c r="S393" s="101"/>
    </row>
    <row r="394" ht="15.75" customHeight="1">
      <c r="A394" s="49"/>
      <c r="C394" s="589">
        <f t="shared" si="31"/>
        <v>45978</v>
      </c>
      <c r="D394" s="589">
        <v>45948.0</v>
      </c>
      <c r="E394" s="281" t="s">
        <v>132</v>
      </c>
      <c r="F394" s="616">
        <v>2100000.0</v>
      </c>
      <c r="G394" s="616">
        <v>330000.0</v>
      </c>
      <c r="H394" s="9"/>
      <c r="I394" s="8"/>
      <c r="J394" s="9"/>
      <c r="O394" s="497">
        <f t="shared" si="3"/>
        <v>1700000</v>
      </c>
      <c r="P394" s="495" t="str">
        <f t="shared" si="4"/>
        <v>LUNAS</v>
      </c>
      <c r="Q394" s="135">
        <f t="shared" si="5"/>
        <v>0</v>
      </c>
      <c r="S394" s="101"/>
    </row>
    <row r="395" ht="15.75" customHeight="1">
      <c r="A395" s="49"/>
      <c r="C395" s="574">
        <v>45979.0</v>
      </c>
      <c r="D395" s="574">
        <v>45948.0</v>
      </c>
      <c r="E395" s="117" t="s">
        <v>867</v>
      </c>
      <c r="F395" s="643">
        <v>2120000.0</v>
      </c>
      <c r="G395" s="643">
        <v>250000.0</v>
      </c>
      <c r="H395" s="9"/>
      <c r="I395" s="8"/>
      <c r="J395" s="9"/>
      <c r="O395" s="497">
        <f t="shared" si="3"/>
        <v>2250000</v>
      </c>
      <c r="P395" s="495" t="str">
        <f t="shared" si="4"/>
        <v>LUNAS</v>
      </c>
      <c r="Q395" s="135">
        <f t="shared" si="5"/>
        <v>0</v>
      </c>
      <c r="S395" s="101"/>
    </row>
    <row r="396" ht="15.75" customHeight="1">
      <c r="A396" s="49"/>
      <c r="C396" s="574">
        <v>45979.0</v>
      </c>
      <c r="D396" s="574">
        <v>45792.0</v>
      </c>
      <c r="E396" s="117" t="s">
        <v>270</v>
      </c>
      <c r="F396" s="643">
        <v>3400000.0</v>
      </c>
      <c r="G396" s="643">
        <v>200000.0</v>
      </c>
      <c r="H396" s="9"/>
      <c r="I396" s="8"/>
      <c r="J396" s="9"/>
      <c r="O396" s="497">
        <f t="shared" si="3"/>
        <v>2250000</v>
      </c>
      <c r="P396" s="495" t="str">
        <f t="shared" si="4"/>
        <v>LUNAS</v>
      </c>
      <c r="Q396" s="135">
        <f t="shared" si="5"/>
        <v>0</v>
      </c>
      <c r="S396" s="101"/>
    </row>
    <row r="397" ht="15.75" customHeight="1">
      <c r="A397" s="49"/>
      <c r="C397" s="574">
        <v>45980.0</v>
      </c>
      <c r="D397" s="574">
        <v>45952.0</v>
      </c>
      <c r="E397" s="117" t="s">
        <v>383</v>
      </c>
      <c r="F397" s="643">
        <v>1850000.0</v>
      </c>
      <c r="G397" s="643">
        <v>200000.0</v>
      </c>
      <c r="H397" s="9"/>
      <c r="I397" s="8"/>
      <c r="J397" s="9"/>
      <c r="O397" s="497">
        <f t="shared" si="3"/>
        <v>1700000</v>
      </c>
      <c r="P397" s="495" t="str">
        <f t="shared" si="4"/>
        <v>LUNAS</v>
      </c>
      <c r="Q397" s="135">
        <f t="shared" si="5"/>
        <v>0</v>
      </c>
      <c r="S397" s="101"/>
    </row>
    <row r="398" ht="15.75" customHeight="1">
      <c r="A398" s="49"/>
      <c r="C398" s="574">
        <v>45980.0</v>
      </c>
      <c r="D398" s="574">
        <v>45980.0</v>
      </c>
      <c r="E398" s="117" t="s">
        <v>1139</v>
      </c>
      <c r="F398" s="643">
        <v>900000.0</v>
      </c>
      <c r="G398" s="643">
        <v>185000.0</v>
      </c>
      <c r="H398" s="9"/>
      <c r="I398" s="8"/>
      <c r="J398" s="9"/>
      <c r="O398" s="497">
        <f t="shared" si="3"/>
        <v>2230000</v>
      </c>
      <c r="P398" s="495" t="str">
        <f t="shared" si="4"/>
        <v>LUNAS</v>
      </c>
      <c r="Q398" s="135">
        <f t="shared" si="5"/>
        <v>0</v>
      </c>
      <c r="S398" s="101"/>
    </row>
    <row r="399" ht="15.75" customHeight="1">
      <c r="A399" s="49"/>
      <c r="C399" s="629">
        <f>D399+30</f>
        <v>45980</v>
      </c>
      <c r="D399" s="589">
        <v>45950.0</v>
      </c>
      <c r="E399" s="281" t="s">
        <v>422</v>
      </c>
      <c r="F399" s="195">
        <v>1770000.0</v>
      </c>
      <c r="G399" s="616">
        <v>225000.0</v>
      </c>
      <c r="H399" s="9"/>
      <c r="I399" s="8"/>
      <c r="J399" s="9"/>
      <c r="O399" s="497">
        <f t="shared" si="3"/>
        <v>2250000</v>
      </c>
      <c r="P399" s="495" t="str">
        <f t="shared" si="4"/>
        <v>LUNAS</v>
      </c>
      <c r="Q399" s="135">
        <f t="shared" si="5"/>
        <v>0</v>
      </c>
      <c r="S399" s="101"/>
    </row>
    <row r="400" ht="15.75" customHeight="1">
      <c r="A400" s="49"/>
      <c r="C400" s="574">
        <v>45981.0</v>
      </c>
      <c r="D400" s="574">
        <v>45950.0</v>
      </c>
      <c r="E400" s="117" t="s">
        <v>735</v>
      </c>
      <c r="F400" s="643">
        <v>3300000.0</v>
      </c>
      <c r="G400" s="643">
        <v>400000.0</v>
      </c>
      <c r="H400" s="9"/>
      <c r="I400" s="8"/>
      <c r="J400" s="9"/>
      <c r="O400" s="497">
        <f t="shared" si="3"/>
        <v>2280000</v>
      </c>
      <c r="P400" s="495" t="str">
        <f t="shared" si="4"/>
        <v>LUNAS</v>
      </c>
      <c r="Q400" s="135">
        <f t="shared" si="5"/>
        <v>0</v>
      </c>
      <c r="S400" s="101"/>
    </row>
    <row r="401" ht="15.75" customHeight="1">
      <c r="A401" s="49"/>
      <c r="C401" s="574">
        <v>45982.0</v>
      </c>
      <c r="D401" s="574">
        <v>45947.0</v>
      </c>
      <c r="E401" s="117" t="s">
        <v>1073</v>
      </c>
      <c r="F401" s="643">
        <v>3960000.0</v>
      </c>
      <c r="G401" s="643">
        <v>700000.0</v>
      </c>
      <c r="H401" s="9"/>
      <c r="I401" s="8"/>
      <c r="J401" s="9"/>
      <c r="O401" s="497">
        <f t="shared" si="3"/>
        <v>0</v>
      </c>
      <c r="P401" s="495" t="str">
        <f t="shared" si="4"/>
        <v>BELUM LUNAS</v>
      </c>
      <c r="Q401" s="135">
        <f t="shared" si="5"/>
        <v>2280000</v>
      </c>
      <c r="S401" s="101"/>
    </row>
    <row r="402" ht="15.75" customHeight="1">
      <c r="A402" s="49"/>
      <c r="C402" s="574">
        <v>45982.0</v>
      </c>
      <c r="D402" s="574">
        <v>45947.0</v>
      </c>
      <c r="E402" s="646" t="s">
        <v>422</v>
      </c>
      <c r="F402" s="643">
        <v>1770000.0</v>
      </c>
      <c r="G402" s="643">
        <v>0.0</v>
      </c>
      <c r="H402" s="9"/>
      <c r="I402" s="8"/>
      <c r="J402" s="9"/>
      <c r="O402" s="497">
        <f t="shared" si="3"/>
        <v>2360000</v>
      </c>
      <c r="P402" s="495" t="str">
        <f t="shared" si="4"/>
        <v>LUNAS</v>
      </c>
      <c r="Q402" s="135">
        <f t="shared" si="5"/>
        <v>0</v>
      </c>
      <c r="S402" s="101"/>
    </row>
    <row r="403" ht="15.75" customHeight="1">
      <c r="A403" s="49"/>
      <c r="C403" s="574">
        <v>45983.0</v>
      </c>
      <c r="D403" s="647">
        <v>45952.0</v>
      </c>
      <c r="E403" s="648" t="s">
        <v>661</v>
      </c>
      <c r="F403" s="649">
        <v>2250000.0</v>
      </c>
      <c r="G403" s="649">
        <v>200000.0</v>
      </c>
      <c r="H403" s="9"/>
      <c r="I403" s="8"/>
      <c r="J403" s="9"/>
      <c r="O403" s="497">
        <f t="shared" si="3"/>
        <v>0</v>
      </c>
      <c r="P403" s="495" t="str">
        <f t="shared" si="4"/>
        <v>BELUM LUNAS</v>
      </c>
      <c r="Q403" s="135">
        <f t="shared" si="5"/>
        <v>1160000</v>
      </c>
      <c r="S403" s="101"/>
    </row>
    <row r="404" ht="15.75" customHeight="1">
      <c r="A404" s="49"/>
      <c r="C404" s="574">
        <v>45985.0</v>
      </c>
      <c r="D404" s="574">
        <v>45950.0</v>
      </c>
      <c r="E404" s="117" t="s">
        <v>536</v>
      </c>
      <c r="F404" s="643">
        <v>4400000.0</v>
      </c>
      <c r="G404" s="643">
        <v>450000.0</v>
      </c>
      <c r="H404" s="9"/>
      <c r="I404" s="8"/>
      <c r="J404" s="9"/>
      <c r="O404" s="497">
        <f t="shared" si="3"/>
        <v>0</v>
      </c>
      <c r="P404" s="495" t="str">
        <f t="shared" si="4"/>
        <v>BELUM LUNAS</v>
      </c>
      <c r="Q404" s="135">
        <f t="shared" si="5"/>
        <v>1300000</v>
      </c>
      <c r="S404" s="101"/>
    </row>
    <row r="405" ht="15.75" customHeight="1">
      <c r="A405" s="49"/>
      <c r="C405" s="574">
        <v>45986.0</v>
      </c>
      <c r="D405" s="640">
        <v>45975.0</v>
      </c>
      <c r="E405" s="117" t="s">
        <v>1085</v>
      </c>
      <c r="F405" s="643">
        <v>300000.0</v>
      </c>
      <c r="G405" s="643">
        <v>0.0</v>
      </c>
      <c r="H405" s="9"/>
      <c r="I405" s="8"/>
      <c r="J405" s="9"/>
      <c r="O405" s="497">
        <f t="shared" si="3"/>
        <v>950000</v>
      </c>
      <c r="P405" s="495" t="str">
        <f t="shared" si="4"/>
        <v>LUNAS</v>
      </c>
      <c r="Q405" s="135">
        <f t="shared" si="5"/>
        <v>0</v>
      </c>
      <c r="S405" s="101"/>
    </row>
    <row r="406" ht="15.75" customHeight="1">
      <c r="A406" s="49"/>
      <c r="C406" s="563">
        <v>45987.0</v>
      </c>
      <c r="D406" s="563">
        <v>45945.0</v>
      </c>
      <c r="E406" s="645" t="s">
        <v>1013</v>
      </c>
      <c r="F406" s="649">
        <v>6265000.0</v>
      </c>
      <c r="G406" s="649">
        <v>600000.0</v>
      </c>
      <c r="H406" s="9"/>
      <c r="I406" s="8"/>
      <c r="J406" s="9"/>
      <c r="O406" s="497"/>
      <c r="P406" s="495" t="str">
        <f t="shared" si="4"/>
        <v>BELUM LUNAS</v>
      </c>
      <c r="Q406" s="135">
        <f t="shared" si="5"/>
        <v>950000</v>
      </c>
      <c r="S406" s="101"/>
    </row>
    <row r="407" ht="15.75" customHeight="1">
      <c r="A407" s="49"/>
      <c r="C407" s="563">
        <v>45987.0</v>
      </c>
      <c r="D407" s="563">
        <v>45946.0</v>
      </c>
      <c r="E407" s="645" t="s">
        <v>254</v>
      </c>
      <c r="F407" s="649">
        <v>350000.0</v>
      </c>
      <c r="G407" s="649">
        <v>205000.0</v>
      </c>
      <c r="H407" s="9"/>
      <c r="I407" s="8"/>
      <c r="J407" s="9"/>
      <c r="O407" s="497"/>
      <c r="P407" s="495" t="str">
        <f t="shared" si="4"/>
        <v>BELUM LUNAS</v>
      </c>
      <c r="Q407" s="135">
        <f t="shared" si="5"/>
        <v>150000</v>
      </c>
      <c r="S407" s="101"/>
    </row>
    <row r="408" ht="15.75" customHeight="1">
      <c r="A408" s="49"/>
      <c r="C408" s="614">
        <v>45987.0</v>
      </c>
      <c r="D408" s="614">
        <v>45987.0</v>
      </c>
      <c r="E408" s="111" t="s">
        <v>254</v>
      </c>
      <c r="F408" s="616">
        <v>350000.0</v>
      </c>
      <c r="G408" s="616"/>
      <c r="H408" s="9"/>
      <c r="I408" s="8"/>
      <c r="J408" s="9"/>
      <c r="O408" s="497"/>
      <c r="P408" s="495" t="str">
        <f t="shared" si="4"/>
        <v>BELUM LUNAS</v>
      </c>
      <c r="Q408" s="135">
        <f t="shared" si="5"/>
        <v>2150000</v>
      </c>
      <c r="S408" s="101"/>
    </row>
    <row r="409" ht="15.75" customHeight="1">
      <c r="A409" s="49"/>
      <c r="C409" s="563">
        <v>45988.0</v>
      </c>
      <c r="D409" s="563">
        <v>45946.0</v>
      </c>
      <c r="E409" s="564" t="s">
        <v>901</v>
      </c>
      <c r="F409" s="649">
        <v>2000000.0</v>
      </c>
      <c r="G409" s="649">
        <v>400000.0</v>
      </c>
      <c r="H409" s="9"/>
      <c r="I409" s="8"/>
      <c r="J409" s="9"/>
      <c r="O409" s="497"/>
      <c r="P409" s="495" t="str">
        <f t="shared" si="4"/>
        <v>BELUM LUNAS</v>
      </c>
      <c r="Q409" s="135">
        <f t="shared" si="5"/>
        <v>4100000</v>
      </c>
      <c r="S409" s="101"/>
    </row>
    <row r="410" ht="15.75" customHeight="1">
      <c r="A410" s="49"/>
      <c r="C410" s="589">
        <v>45991.0</v>
      </c>
      <c r="D410" s="589">
        <v>45964.0</v>
      </c>
      <c r="E410" s="281" t="s">
        <v>346</v>
      </c>
      <c r="F410" s="616">
        <v>5000000.0</v>
      </c>
      <c r="G410" s="616">
        <v>1160000.0</v>
      </c>
      <c r="H410" s="9"/>
      <c r="I410" s="8"/>
      <c r="J410" s="9"/>
      <c r="O410" s="497"/>
      <c r="P410" s="495" t="str">
        <f t="shared" si="4"/>
        <v>BELUM LUNAS</v>
      </c>
      <c r="Q410" s="135">
        <f t="shared" si="5"/>
        <v>4380000</v>
      </c>
      <c r="S410" s="101"/>
    </row>
    <row r="411" ht="15.75" customHeight="1">
      <c r="A411" s="49"/>
      <c r="C411" s="589">
        <v>45991.0</v>
      </c>
      <c r="D411" s="589">
        <v>45952.0</v>
      </c>
      <c r="E411" s="281" t="s">
        <v>267</v>
      </c>
      <c r="F411" s="616">
        <v>6570000.0</v>
      </c>
      <c r="G411" s="616">
        <v>600000.0</v>
      </c>
      <c r="H411" s="9"/>
      <c r="I411" s="8"/>
      <c r="J411" s="9"/>
      <c r="O411" s="497"/>
      <c r="P411" s="495" t="str">
        <f t="shared" si="4"/>
        <v>BELUM LUNAS</v>
      </c>
      <c r="Q411" s="135">
        <f t="shared" si="5"/>
        <v>4100000</v>
      </c>
      <c r="S411" s="101"/>
    </row>
    <row r="412" ht="15.75" customHeight="1">
      <c r="A412" s="49"/>
      <c r="C412" s="589">
        <v>45992.0</v>
      </c>
      <c r="D412" s="589">
        <v>45923.0</v>
      </c>
      <c r="E412" s="281" t="s">
        <v>595</v>
      </c>
      <c r="F412" s="616">
        <v>500000.0</v>
      </c>
      <c r="G412" s="616">
        <v>300000.0</v>
      </c>
      <c r="H412" s="9"/>
      <c r="I412" s="8"/>
      <c r="J412" s="9"/>
      <c r="O412" s="497"/>
      <c r="P412" s="495" t="str">
        <f t="shared" si="4"/>
        <v>BELUM LUNAS</v>
      </c>
      <c r="Q412" s="135">
        <f t="shared" si="5"/>
        <v>3380000</v>
      </c>
      <c r="S412" s="101"/>
    </row>
    <row r="413" ht="15.75" customHeight="1">
      <c r="A413" s="49"/>
      <c r="C413" s="589">
        <v>45992.0</v>
      </c>
      <c r="D413" s="589">
        <v>45953.0</v>
      </c>
      <c r="E413" s="281" t="s">
        <v>595</v>
      </c>
      <c r="F413" s="616">
        <v>4100000.0</v>
      </c>
      <c r="G413" s="616">
        <v>400000.0</v>
      </c>
      <c r="H413" s="9"/>
      <c r="I413" s="8"/>
      <c r="J413" s="9"/>
      <c r="O413" s="497"/>
      <c r="P413" s="495" t="str">
        <f t="shared" si="4"/>
        <v>BELUM LUNAS</v>
      </c>
      <c r="Q413" s="135">
        <f t="shared" si="5"/>
        <v>7800000</v>
      </c>
      <c r="S413" s="101"/>
    </row>
    <row r="414" ht="15.75" customHeight="1">
      <c r="A414" s="49"/>
      <c r="C414" s="589">
        <v>45992.0</v>
      </c>
      <c r="D414" s="589">
        <v>45975.0</v>
      </c>
      <c r="E414" s="281" t="s">
        <v>595</v>
      </c>
      <c r="F414" s="616">
        <v>3000000.0</v>
      </c>
      <c r="G414" s="616">
        <v>600000.0</v>
      </c>
      <c r="H414" s="9"/>
      <c r="I414" s="8"/>
      <c r="J414" s="9"/>
      <c r="O414" s="497"/>
      <c r="P414" s="495" t="str">
        <f t="shared" si="4"/>
        <v>BELUM LUNAS</v>
      </c>
      <c r="Q414" s="135">
        <f t="shared" si="5"/>
        <v>1625000</v>
      </c>
      <c r="S414" s="101"/>
    </row>
    <row r="415" ht="15.75" customHeight="1">
      <c r="A415" s="49"/>
      <c r="C415" s="589">
        <v>45992.0</v>
      </c>
      <c r="D415" s="589">
        <v>45968.0</v>
      </c>
      <c r="E415" s="281" t="s">
        <v>1094</v>
      </c>
      <c r="F415" s="616">
        <v>1670000.0</v>
      </c>
      <c r="G415" s="616">
        <v>100000.0</v>
      </c>
      <c r="H415" s="9"/>
      <c r="I415" s="8"/>
      <c r="J415" s="9"/>
      <c r="O415" s="497"/>
      <c r="P415" s="495" t="str">
        <f t="shared" si="4"/>
        <v>BELUM LUNAS</v>
      </c>
      <c r="Q415" s="135">
        <f t="shared" si="5"/>
        <v>2060000</v>
      </c>
      <c r="S415" s="101"/>
    </row>
    <row r="416" ht="15.75" customHeight="1">
      <c r="A416" s="49"/>
      <c r="C416" s="589">
        <v>45992.0</v>
      </c>
      <c r="D416" s="589">
        <v>45941.0</v>
      </c>
      <c r="E416" s="281" t="s">
        <v>1061</v>
      </c>
      <c r="F416" s="616">
        <v>1050000.0</v>
      </c>
      <c r="G416" s="616">
        <v>235000.0</v>
      </c>
      <c r="H416" s="9"/>
      <c r="I416" s="8"/>
      <c r="J416" s="9"/>
      <c r="O416" s="497"/>
      <c r="P416" s="495" t="str">
        <f t="shared" si="4"/>
        <v>BELUM LUNAS</v>
      </c>
      <c r="Q416" s="135">
        <f t="shared" si="5"/>
        <v>4750000</v>
      </c>
      <c r="S416" s="101"/>
    </row>
    <row r="417" ht="15.75" customHeight="1">
      <c r="A417" s="49"/>
      <c r="C417" s="589">
        <v>45993.0</v>
      </c>
      <c r="D417" s="589">
        <v>45959.0</v>
      </c>
      <c r="E417" s="281" t="s">
        <v>555</v>
      </c>
      <c r="F417" s="616">
        <v>4000000.0</v>
      </c>
      <c r="G417" s="616">
        <v>610000.0</v>
      </c>
      <c r="H417" s="9"/>
      <c r="I417" s="8"/>
      <c r="J417" s="9"/>
      <c r="O417" s="497"/>
      <c r="P417" s="495" t="str">
        <f t="shared" si="4"/>
        <v>BELUM LUNAS</v>
      </c>
      <c r="Q417" s="135">
        <f t="shared" si="5"/>
        <v>4100000</v>
      </c>
      <c r="S417" s="101"/>
    </row>
    <row r="418" ht="15.75" customHeight="1">
      <c r="A418" s="49"/>
      <c r="C418" s="589">
        <v>45993.0</v>
      </c>
      <c r="D418" s="589">
        <v>45958.0</v>
      </c>
      <c r="E418" s="281" t="s">
        <v>303</v>
      </c>
      <c r="F418" s="616">
        <v>4720000.0</v>
      </c>
      <c r="G418" s="616">
        <v>400000.0</v>
      </c>
      <c r="H418" s="9"/>
      <c r="I418" s="8"/>
      <c r="J418" s="9"/>
      <c r="O418" s="497"/>
      <c r="P418" s="495" t="str">
        <f t="shared" si="4"/>
        <v>BELUM LUNAS</v>
      </c>
      <c r="Q418" s="135">
        <f t="shared" si="5"/>
        <v>5945000</v>
      </c>
      <c r="S418" s="101"/>
    </row>
    <row r="419" ht="15.75" customHeight="1">
      <c r="A419" s="49"/>
      <c r="C419" s="589">
        <v>45995.0</v>
      </c>
      <c r="D419" s="589">
        <v>45957.0</v>
      </c>
      <c r="E419" s="281" t="s">
        <v>264</v>
      </c>
      <c r="F419" s="616">
        <v>1.416E7</v>
      </c>
      <c r="G419" s="616">
        <v>1200000.0</v>
      </c>
      <c r="H419" s="9"/>
      <c r="I419" s="8"/>
      <c r="J419" s="9"/>
      <c r="O419" s="497"/>
      <c r="P419" s="495" t="str">
        <f t="shared" si="4"/>
        <v>BELUM LUNAS</v>
      </c>
      <c r="Q419" s="135">
        <f t="shared" si="5"/>
        <v>2060000</v>
      </c>
      <c r="S419" s="101"/>
    </row>
    <row r="420" ht="15.75" customHeight="1">
      <c r="A420" s="49"/>
      <c r="C420" s="589">
        <v>45995.0</v>
      </c>
      <c r="D420" s="589">
        <v>45966.0</v>
      </c>
      <c r="E420" s="281" t="s">
        <v>1021</v>
      </c>
      <c r="F420" s="616">
        <v>4240000.0</v>
      </c>
      <c r="G420" s="616">
        <v>660000.0</v>
      </c>
      <c r="H420" s="9"/>
      <c r="I420" s="8"/>
      <c r="J420" s="9"/>
      <c r="O420" s="497"/>
      <c r="P420" s="495" t="str">
        <f t="shared" si="4"/>
        <v>BELUM LUNAS</v>
      </c>
      <c r="Q420" s="135">
        <f t="shared" si="5"/>
        <v>1685000</v>
      </c>
      <c r="S420" s="101"/>
    </row>
    <row r="421" ht="15.75" customHeight="1">
      <c r="A421" s="49"/>
      <c r="C421" s="589">
        <v>45997.0</v>
      </c>
      <c r="D421" s="589">
        <v>45997.0</v>
      </c>
      <c r="E421" s="281" t="s">
        <v>49</v>
      </c>
      <c r="F421" s="616">
        <v>1000000.0</v>
      </c>
      <c r="G421" s="616">
        <v>185000.0</v>
      </c>
      <c r="H421" s="9"/>
      <c r="I421" s="8"/>
      <c r="J421" s="9"/>
      <c r="O421" s="497"/>
      <c r="P421" s="495" t="str">
        <f t="shared" si="4"/>
        <v>BELUM LUNAS</v>
      </c>
      <c r="Q421" s="135">
        <f t="shared" si="5"/>
        <v>1775000</v>
      </c>
      <c r="S421" s="101"/>
    </row>
    <row r="422" ht="15.75" customHeight="1">
      <c r="A422" s="49"/>
      <c r="C422" s="589">
        <v>45997.0</v>
      </c>
      <c r="D422" s="589">
        <v>45941.0</v>
      </c>
      <c r="E422" s="281" t="s">
        <v>971</v>
      </c>
      <c r="F422" s="616">
        <v>500000.0</v>
      </c>
      <c r="G422" s="616">
        <v>205000.0</v>
      </c>
      <c r="H422" s="9"/>
      <c r="I422" s="8"/>
      <c r="J422" s="9"/>
      <c r="O422" s="497"/>
      <c r="P422" s="495" t="str">
        <f t="shared" si="4"/>
        <v>BELUM LUNAS</v>
      </c>
      <c r="Q422" s="135">
        <f t="shared" si="5"/>
        <v>1625000</v>
      </c>
      <c r="S422" s="101"/>
    </row>
    <row r="423" ht="15.75" customHeight="1">
      <c r="A423" s="49"/>
      <c r="C423" s="614">
        <v>45998.0</v>
      </c>
      <c r="D423" s="614">
        <v>45840.0</v>
      </c>
      <c r="E423" s="628" t="s">
        <v>775</v>
      </c>
      <c r="F423" s="616">
        <v>4000000.0</v>
      </c>
      <c r="G423" s="635"/>
      <c r="H423" s="9"/>
      <c r="I423" s="8"/>
      <c r="J423" s="9"/>
      <c r="O423" s="497"/>
      <c r="P423" s="495" t="str">
        <f t="shared" si="4"/>
        <v>BELUM LUNAS</v>
      </c>
      <c r="Q423" s="135">
        <f t="shared" si="5"/>
        <v>1685000</v>
      </c>
      <c r="S423" s="101"/>
    </row>
    <row r="424" ht="15.75" customHeight="1">
      <c r="A424" s="49"/>
      <c r="C424" s="589">
        <v>45999.0</v>
      </c>
      <c r="D424" s="589">
        <v>45941.0</v>
      </c>
      <c r="E424" s="281" t="s">
        <v>144</v>
      </c>
      <c r="F424" s="616">
        <v>1750000.0</v>
      </c>
      <c r="G424" s="616">
        <v>205000.0</v>
      </c>
      <c r="H424" s="9"/>
      <c r="I424" s="8"/>
      <c r="J424" s="9"/>
      <c r="O424" s="497"/>
      <c r="P424" s="495" t="str">
        <f t="shared" si="4"/>
        <v>BELUM LUNAS</v>
      </c>
      <c r="Q424" s="135">
        <f t="shared" si="5"/>
        <v>6250000</v>
      </c>
      <c r="S424" s="101"/>
    </row>
    <row r="425" ht="15.75" customHeight="1">
      <c r="A425" s="49"/>
      <c r="C425" s="589">
        <v>45999.0</v>
      </c>
      <c r="D425" s="589">
        <v>45962.0</v>
      </c>
      <c r="E425" s="281" t="s">
        <v>267</v>
      </c>
      <c r="F425" s="616">
        <v>4100000.0</v>
      </c>
      <c r="G425" s="616">
        <v>400000.0</v>
      </c>
      <c r="H425" s="9"/>
      <c r="I425" s="8"/>
      <c r="J425" s="9"/>
      <c r="O425" s="497"/>
      <c r="P425" s="495" t="str">
        <f t="shared" si="4"/>
        <v>BELUM LUNAS</v>
      </c>
      <c r="Q425" s="135">
        <f t="shared" si="5"/>
        <v>5325000</v>
      </c>
      <c r="S425" s="101"/>
    </row>
    <row r="426" ht="15.75" customHeight="1">
      <c r="A426" s="49"/>
      <c r="C426" s="589">
        <v>45999.0</v>
      </c>
      <c r="D426" s="589">
        <v>45997.0</v>
      </c>
      <c r="E426" s="281" t="s">
        <v>49</v>
      </c>
      <c r="F426" s="616">
        <v>380000.0</v>
      </c>
      <c r="G426" s="616">
        <v>0.0</v>
      </c>
      <c r="H426" s="9"/>
      <c r="I426" s="8"/>
      <c r="J426" s="9"/>
      <c r="O426" s="497"/>
      <c r="P426" s="495" t="str">
        <f t="shared" si="4"/>
        <v>BELUM LUNAS</v>
      </c>
      <c r="Q426" s="135">
        <f t="shared" si="5"/>
        <v>1775000</v>
      </c>
      <c r="S426" s="101"/>
    </row>
    <row r="427" ht="15.75" customHeight="1">
      <c r="A427" s="49"/>
      <c r="C427" s="640">
        <v>46000.0</v>
      </c>
      <c r="D427" s="650">
        <v>45987.0</v>
      </c>
      <c r="E427" s="651" t="s">
        <v>254</v>
      </c>
      <c r="F427" s="642">
        <v>1400000.0</v>
      </c>
      <c r="G427" s="642">
        <v>0.0</v>
      </c>
      <c r="H427" s="9"/>
      <c r="I427" s="8"/>
      <c r="J427" s="9"/>
      <c r="O427" s="497"/>
      <c r="P427" s="495" t="str">
        <f t="shared" si="4"/>
        <v>BELUM LUNAS</v>
      </c>
      <c r="Q427" s="135">
        <f t="shared" si="5"/>
        <v>3370000</v>
      </c>
      <c r="S427" s="101"/>
    </row>
    <row r="428" ht="15.75" customHeight="1">
      <c r="A428" s="49"/>
      <c r="C428" s="589">
        <v>46000.0</v>
      </c>
      <c r="D428" s="634">
        <v>45946.0</v>
      </c>
      <c r="E428" s="281" t="s">
        <v>1013</v>
      </c>
      <c r="F428" s="616">
        <v>4460000.0</v>
      </c>
      <c r="G428" s="616">
        <v>400000.0</v>
      </c>
      <c r="H428" s="9"/>
      <c r="I428" s="8"/>
      <c r="J428" s="9"/>
      <c r="O428" s="497"/>
      <c r="P428" s="495" t="str">
        <f t="shared" si="4"/>
        <v>BELUM LUNAS</v>
      </c>
      <c r="Q428" s="135">
        <f t="shared" si="5"/>
        <v>3700000</v>
      </c>
      <c r="S428" s="101"/>
    </row>
    <row r="429" ht="15.75" customHeight="1">
      <c r="A429" s="49"/>
      <c r="C429" s="589">
        <v>46001.0</v>
      </c>
      <c r="D429" s="652">
        <v>45922.0</v>
      </c>
      <c r="E429" s="281" t="s">
        <v>610</v>
      </c>
      <c r="F429" s="616">
        <v>2000000.0</v>
      </c>
      <c r="G429" s="616">
        <v>0.0</v>
      </c>
      <c r="H429" s="9"/>
      <c r="I429" s="8"/>
      <c r="J429" s="9"/>
      <c r="O429" s="497"/>
      <c r="P429" s="495" t="str">
        <f t="shared" si="4"/>
        <v>BELUM LUNAS</v>
      </c>
      <c r="Q429" s="135">
        <f t="shared" si="5"/>
        <v>12790000</v>
      </c>
      <c r="S429" s="101"/>
    </row>
    <row r="430" ht="15.75" customHeight="1">
      <c r="A430" s="49"/>
      <c r="C430" s="589">
        <v>46002.0</v>
      </c>
      <c r="D430" s="634">
        <v>45972.0</v>
      </c>
      <c r="E430" s="281" t="s">
        <v>396</v>
      </c>
      <c r="F430" s="616">
        <v>1315000.0</v>
      </c>
      <c r="G430" s="616">
        <v>200000.0</v>
      </c>
      <c r="H430" s="9"/>
      <c r="I430" s="8"/>
      <c r="J430" s="9"/>
      <c r="O430" s="497"/>
      <c r="P430" s="495" t="str">
        <f t="shared" si="4"/>
        <v>BELUM LUNAS</v>
      </c>
      <c r="Q430" s="135">
        <f t="shared" si="5"/>
        <v>4600000</v>
      </c>
      <c r="S430" s="101"/>
    </row>
    <row r="431" ht="15.75" customHeight="1">
      <c r="A431" s="49"/>
      <c r="C431" s="589">
        <v>46002.0</v>
      </c>
      <c r="D431" s="589">
        <v>46002.0</v>
      </c>
      <c r="E431" s="281" t="s">
        <v>1094</v>
      </c>
      <c r="F431" s="616">
        <v>1000000.0</v>
      </c>
      <c r="G431" s="616">
        <v>660000.0</v>
      </c>
      <c r="H431" s="9"/>
      <c r="I431" s="8"/>
      <c r="J431" s="9"/>
      <c r="O431" s="497"/>
      <c r="P431" s="495" t="str">
        <f t="shared" si="4"/>
        <v>BELUM LUNAS</v>
      </c>
      <c r="Q431" s="135">
        <f t="shared" si="5"/>
        <v>9000000</v>
      </c>
      <c r="S431" s="101"/>
    </row>
    <row r="432" ht="15.75" customHeight="1">
      <c r="A432" s="49"/>
      <c r="C432" s="640">
        <v>46002.0</v>
      </c>
      <c r="D432" s="640">
        <v>45970.0</v>
      </c>
      <c r="E432" s="136" t="s">
        <v>810</v>
      </c>
      <c r="F432" s="616">
        <v>1685000.0</v>
      </c>
      <c r="G432" s="642">
        <v>300000.0</v>
      </c>
      <c r="H432" s="9"/>
      <c r="I432" s="8"/>
      <c r="J432" s="9"/>
      <c r="O432" s="497"/>
      <c r="P432" s="495" t="str">
        <f t="shared" si="4"/>
        <v>BELUM LUNAS</v>
      </c>
      <c r="Q432" s="135">
        <f t="shared" si="5"/>
        <v>4500000</v>
      </c>
      <c r="S432" s="101"/>
    </row>
    <row r="433" ht="15.75" customHeight="1">
      <c r="A433" s="49"/>
      <c r="C433" s="589">
        <v>46004.0</v>
      </c>
      <c r="D433" s="589">
        <v>45975.0</v>
      </c>
      <c r="E433" s="281" t="s">
        <v>735</v>
      </c>
      <c r="F433" s="616">
        <v>3700000.0</v>
      </c>
      <c r="G433" s="616">
        <v>400000.0</v>
      </c>
      <c r="H433" s="9"/>
      <c r="I433" s="8"/>
      <c r="J433" s="9"/>
      <c r="O433" s="497"/>
      <c r="P433" s="495" t="str">
        <f t="shared" si="4"/>
        <v>BELUM LUNAS</v>
      </c>
      <c r="Q433" s="135">
        <f t="shared" si="5"/>
        <v>4500000</v>
      </c>
      <c r="S433" s="101"/>
    </row>
    <row r="434" ht="15.75" customHeight="1">
      <c r="A434" s="49"/>
      <c r="C434" s="589">
        <v>46005.0</v>
      </c>
      <c r="D434" s="589">
        <v>45840.0</v>
      </c>
      <c r="E434" s="281" t="s">
        <v>775</v>
      </c>
      <c r="F434" s="616">
        <v>2000000.0</v>
      </c>
      <c r="G434" s="616">
        <v>200000.0</v>
      </c>
      <c r="H434" s="9"/>
      <c r="I434" s="8"/>
      <c r="J434" s="9"/>
      <c r="O434" s="497"/>
      <c r="P434" s="495" t="str">
        <f t="shared" si="4"/>
        <v>BELUM LUNAS</v>
      </c>
      <c r="Q434" s="135">
        <f t="shared" si="5"/>
        <v>8660000</v>
      </c>
      <c r="S434" s="101"/>
    </row>
    <row r="435" ht="15.75" customHeight="1">
      <c r="A435" s="49"/>
      <c r="C435" s="589">
        <v>46005.0</v>
      </c>
      <c r="D435" s="589">
        <v>45964.0</v>
      </c>
      <c r="E435" s="281" t="s">
        <v>346</v>
      </c>
      <c r="F435" s="616">
        <v>3880000.0</v>
      </c>
      <c r="G435" s="616">
        <v>0.0</v>
      </c>
      <c r="H435" s="9"/>
      <c r="I435" s="8"/>
      <c r="J435" s="9"/>
      <c r="O435" s="497"/>
      <c r="P435" s="495" t="str">
        <f t="shared" si="4"/>
        <v>BELUM LUNAS</v>
      </c>
      <c r="Q435" s="135">
        <f t="shared" si="5"/>
        <v>8200000</v>
      </c>
      <c r="S435" s="101"/>
    </row>
    <row r="436" ht="15.75" customHeight="1">
      <c r="A436" s="49"/>
      <c r="C436" s="589">
        <v>46006.0</v>
      </c>
      <c r="D436" s="589">
        <v>45996.0</v>
      </c>
      <c r="E436" s="281" t="s">
        <v>383</v>
      </c>
      <c r="F436" s="616">
        <v>4300000.0</v>
      </c>
      <c r="G436" s="616">
        <v>200000.0</v>
      </c>
      <c r="H436" s="9"/>
      <c r="I436" s="8"/>
      <c r="J436" s="9"/>
      <c r="O436" s="497"/>
      <c r="P436" s="495" t="str">
        <f t="shared" si="4"/>
        <v>BELUM LUNAS</v>
      </c>
      <c r="Q436" s="135">
        <f t="shared" si="5"/>
        <v>4100000</v>
      </c>
      <c r="S436" s="101"/>
    </row>
    <row r="437" ht="15.75" customHeight="1">
      <c r="A437" s="49"/>
      <c r="C437" s="589">
        <v>46006.0</v>
      </c>
      <c r="D437" s="589"/>
      <c r="E437" s="281" t="s">
        <v>555</v>
      </c>
      <c r="F437" s="616">
        <v>100000.0</v>
      </c>
      <c r="G437" s="616">
        <v>0.0</v>
      </c>
      <c r="H437" s="9"/>
      <c r="I437" s="8"/>
      <c r="J437" s="9"/>
      <c r="O437" s="497"/>
      <c r="P437" s="495" t="str">
        <f t="shared" si="4"/>
        <v>BELUM LUNAS</v>
      </c>
      <c r="Q437" s="135">
        <f t="shared" si="5"/>
        <v>6570000</v>
      </c>
      <c r="S437" s="101"/>
    </row>
    <row r="438" ht="15.75" customHeight="1">
      <c r="A438" s="49"/>
      <c r="C438" s="589">
        <v>46007.0</v>
      </c>
      <c r="D438" s="589">
        <v>45990.0</v>
      </c>
      <c r="E438" s="281" t="s">
        <v>74</v>
      </c>
      <c r="F438" s="616">
        <v>3170000.0</v>
      </c>
      <c r="G438" s="616">
        <v>400000.0</v>
      </c>
      <c r="H438" s="9"/>
      <c r="I438" s="8"/>
      <c r="J438" s="9"/>
      <c r="O438" s="497"/>
      <c r="P438" s="495" t="str">
        <f t="shared" si="4"/>
        <v>BELUM LUNAS</v>
      </c>
      <c r="Q438" s="135">
        <f t="shared" si="5"/>
        <v>4100000</v>
      </c>
      <c r="S438" s="101"/>
    </row>
    <row r="439" ht="15.75" customHeight="1">
      <c r="A439" s="49"/>
      <c r="C439" s="589">
        <v>46007.0</v>
      </c>
      <c r="D439" s="589">
        <v>45992.0</v>
      </c>
      <c r="E439" s="281" t="s">
        <v>74</v>
      </c>
      <c r="F439" s="616">
        <v>3170000.0</v>
      </c>
      <c r="G439" s="616">
        <v>400000.0</v>
      </c>
      <c r="H439" s="9"/>
      <c r="I439" s="8"/>
      <c r="J439" s="9"/>
      <c r="O439" s="497"/>
      <c r="P439" s="495" t="str">
        <f t="shared" si="4"/>
        <v>BELUM LUNAS</v>
      </c>
      <c r="Q439" s="135">
        <f t="shared" si="5"/>
        <v>2050000</v>
      </c>
      <c r="S439" s="101"/>
    </row>
    <row r="440" ht="15.75" customHeight="1">
      <c r="A440" s="49"/>
      <c r="C440" s="589">
        <v>46008.0</v>
      </c>
      <c r="D440" s="589">
        <v>45972.0</v>
      </c>
      <c r="E440" s="281" t="s">
        <v>631</v>
      </c>
      <c r="F440" s="616">
        <v>910000.0</v>
      </c>
      <c r="G440" s="616">
        <v>165000.0</v>
      </c>
      <c r="H440" s="9"/>
      <c r="I440" s="8"/>
      <c r="J440" s="9"/>
      <c r="O440" s="497"/>
      <c r="P440" s="495" t="str">
        <f t="shared" si="4"/>
        <v>BELUM LUNAS</v>
      </c>
      <c r="Q440" s="135">
        <f t="shared" si="5"/>
        <v>4100000</v>
      </c>
      <c r="S440" s="101"/>
    </row>
    <row r="441" ht="15.75" customHeight="1">
      <c r="A441" s="49"/>
      <c r="C441" s="589">
        <v>46008.0</v>
      </c>
      <c r="D441" s="589">
        <v>45979.0</v>
      </c>
      <c r="E441" s="281" t="s">
        <v>991</v>
      </c>
      <c r="F441" s="616">
        <v>1500000.0</v>
      </c>
      <c r="G441" s="616">
        <v>390000.0</v>
      </c>
      <c r="H441" s="9"/>
      <c r="I441" s="8"/>
      <c r="J441" s="9"/>
      <c r="O441" s="497"/>
      <c r="P441" s="495" t="str">
        <f t="shared" si="4"/>
        <v>BELUM LUNAS</v>
      </c>
      <c r="Q441" s="135">
        <f t="shared" si="5"/>
        <v>3200000</v>
      </c>
      <c r="S441" s="101"/>
    </row>
    <row r="442" ht="15.75" customHeight="1">
      <c r="A442" s="49"/>
      <c r="C442" s="589">
        <v>46009.0</v>
      </c>
      <c r="D442" s="589">
        <v>45973.0</v>
      </c>
      <c r="E442" s="281" t="s">
        <v>515</v>
      </c>
      <c r="F442" s="616">
        <v>2050000.0</v>
      </c>
      <c r="G442" s="616">
        <v>305000.0</v>
      </c>
      <c r="H442" s="9"/>
      <c r="I442" s="8"/>
      <c r="J442" s="9"/>
      <c r="O442" s="497"/>
      <c r="P442" s="495" t="str">
        <f t="shared" si="4"/>
        <v>BELUM LUNAS</v>
      </c>
      <c r="Q442" s="135">
        <f t="shared" si="5"/>
        <v>180000</v>
      </c>
      <c r="S442" s="101"/>
    </row>
    <row r="443" ht="15.75" customHeight="1">
      <c r="A443" s="49"/>
      <c r="C443" s="589">
        <v>46012.0</v>
      </c>
      <c r="D443" s="589">
        <v>45982.0</v>
      </c>
      <c r="E443" s="281" t="s">
        <v>661</v>
      </c>
      <c r="F443" s="616">
        <v>1700000.0</v>
      </c>
      <c r="G443" s="616">
        <v>200000.0</v>
      </c>
      <c r="H443" s="9"/>
      <c r="I443" s="8"/>
      <c r="J443" s="9"/>
      <c r="O443" s="497"/>
      <c r="P443" s="495" t="str">
        <f t="shared" si="4"/>
        <v>BELUM LUNAS</v>
      </c>
      <c r="Q443" s="135">
        <f t="shared" si="5"/>
        <v>6250000</v>
      </c>
      <c r="S443" s="101"/>
    </row>
    <row r="444" ht="15.75" customHeight="1">
      <c r="A444" s="49"/>
      <c r="C444" s="589">
        <v>46013.0</v>
      </c>
      <c r="D444" s="589">
        <v>45982.0</v>
      </c>
      <c r="E444" s="281" t="s">
        <v>735</v>
      </c>
      <c r="F444" s="616">
        <v>3700000.0</v>
      </c>
      <c r="G444" s="616">
        <v>400000.0</v>
      </c>
      <c r="H444" s="9"/>
      <c r="I444" s="8"/>
      <c r="J444" s="9"/>
      <c r="O444" s="497"/>
      <c r="P444" s="495" t="str">
        <f t="shared" si="4"/>
        <v>BELUM LUNAS</v>
      </c>
      <c r="Q444" s="135">
        <f t="shared" si="5"/>
        <v>4720000</v>
      </c>
      <c r="S444" s="101"/>
    </row>
    <row r="445" ht="15.75" customHeight="1">
      <c r="A445" s="49"/>
      <c r="C445" s="589">
        <v>46014.0</v>
      </c>
      <c r="D445" s="589">
        <v>45982.0</v>
      </c>
      <c r="E445" s="281" t="s">
        <v>234</v>
      </c>
      <c r="F445" s="616">
        <v>220000.0</v>
      </c>
      <c r="G445" s="616">
        <v>0.0</v>
      </c>
      <c r="H445" s="9"/>
      <c r="I445" s="8"/>
      <c r="J445" s="9"/>
      <c r="O445" s="497"/>
      <c r="P445" s="495" t="str">
        <f t="shared" si="4"/>
        <v>BELUM LUNAS</v>
      </c>
      <c r="Q445" s="135">
        <f t="shared" si="5"/>
        <v>2360000</v>
      </c>
      <c r="S445" s="101"/>
    </row>
    <row r="446" ht="15.75" customHeight="1">
      <c r="A446" s="49"/>
      <c r="C446" s="589">
        <v>46014.0</v>
      </c>
      <c r="D446" s="589">
        <v>45983.0</v>
      </c>
      <c r="E446" s="281" t="s">
        <v>867</v>
      </c>
      <c r="F446" s="616">
        <v>3540000.0</v>
      </c>
      <c r="G446" s="616">
        <v>450000.0</v>
      </c>
      <c r="H446" s="9"/>
      <c r="I446" s="8"/>
      <c r="J446" s="9"/>
      <c r="O446" s="497"/>
      <c r="P446" s="495" t="str">
        <f t="shared" si="4"/>
        <v>BELUM LUNAS</v>
      </c>
      <c r="Q446" s="135">
        <f t="shared" si="5"/>
        <v>2250000</v>
      </c>
      <c r="S446" s="101"/>
    </row>
    <row r="447" ht="15.75" customHeight="1">
      <c r="A447" s="49"/>
      <c r="C447" s="589">
        <v>46016.0</v>
      </c>
      <c r="D447" s="589">
        <v>46016.0</v>
      </c>
      <c r="E447" s="281" t="s">
        <v>927</v>
      </c>
      <c r="F447" s="616">
        <v>1100000.0</v>
      </c>
      <c r="G447" s="616">
        <v>400000.0</v>
      </c>
      <c r="H447" s="9"/>
      <c r="I447" s="8"/>
      <c r="J447" s="9"/>
      <c r="O447" s="497"/>
      <c r="P447" s="495" t="str">
        <f t="shared" si="4"/>
        <v>BELUM LUNAS</v>
      </c>
      <c r="Q447" s="135">
        <f t="shared" si="5"/>
        <v>6400000</v>
      </c>
      <c r="S447" s="101"/>
    </row>
    <row r="448" ht="15.75" customHeight="1">
      <c r="A448" s="49"/>
      <c r="C448" s="589">
        <v>46018.0</v>
      </c>
      <c r="D448" s="589">
        <v>45988.0</v>
      </c>
      <c r="E448" s="281" t="s">
        <v>132</v>
      </c>
      <c r="F448" s="616">
        <v>5150000.0</v>
      </c>
      <c r="G448" s="616">
        <v>730000.0</v>
      </c>
      <c r="H448" s="9"/>
      <c r="I448" s="8"/>
      <c r="J448" s="9"/>
      <c r="O448" s="497"/>
      <c r="P448" s="495" t="str">
        <f t="shared" si="4"/>
        <v>BELUM LUNAS</v>
      </c>
      <c r="Q448" s="135">
        <f t="shared" si="5"/>
        <v>1625000</v>
      </c>
      <c r="S448" s="101"/>
    </row>
    <row r="449" ht="15.75" customHeight="1">
      <c r="A449" s="49"/>
      <c r="C449" s="589">
        <v>46020.0</v>
      </c>
      <c r="D449" s="589">
        <v>45989.0</v>
      </c>
      <c r="E449" s="281" t="s">
        <v>1100</v>
      </c>
      <c r="F449" s="616">
        <v>6700000.0</v>
      </c>
      <c r="G449" s="616">
        <v>380000.0</v>
      </c>
      <c r="H449" s="9"/>
      <c r="I449" s="8"/>
      <c r="J449" s="9"/>
      <c r="O449" s="497"/>
      <c r="P449" s="495" t="str">
        <f t="shared" si="4"/>
        <v>BELUM LUNAS</v>
      </c>
      <c r="Q449" s="135">
        <f t="shared" si="5"/>
        <v>4720000</v>
      </c>
      <c r="S449" s="101"/>
    </row>
    <row r="450" ht="15.75" customHeight="1">
      <c r="A450" s="49"/>
      <c r="C450" s="589">
        <v>46024.0</v>
      </c>
      <c r="D450" s="589">
        <v>46018.0</v>
      </c>
      <c r="E450" s="281" t="s">
        <v>132</v>
      </c>
      <c r="F450" s="616">
        <v>5300000.0</v>
      </c>
      <c r="G450" s="616">
        <v>510000.0</v>
      </c>
      <c r="H450" s="9"/>
      <c r="I450" s="8"/>
      <c r="J450" s="9"/>
      <c r="O450" s="497"/>
      <c r="P450" s="495" t="str">
        <f t="shared" si="4"/>
        <v>BELUM LUNAS</v>
      </c>
      <c r="Q450" s="135">
        <f t="shared" si="5"/>
        <v>3480000</v>
      </c>
      <c r="S450" s="101"/>
    </row>
    <row r="451" ht="15.75" customHeight="1">
      <c r="A451" s="49"/>
      <c r="C451" s="589">
        <v>46026.0</v>
      </c>
      <c r="D451" s="589">
        <v>45975.0</v>
      </c>
      <c r="E451" s="281" t="s">
        <v>536</v>
      </c>
      <c r="F451" s="616">
        <v>1700000.0</v>
      </c>
      <c r="G451" s="616">
        <v>200000.0</v>
      </c>
      <c r="H451" s="9"/>
      <c r="I451" s="8"/>
      <c r="J451" s="9"/>
      <c r="O451" s="497"/>
      <c r="P451" s="495" t="str">
        <f t="shared" si="4"/>
        <v>BELUM LUNAS</v>
      </c>
      <c r="Q451" s="135">
        <f t="shared" si="5"/>
        <v>7970000</v>
      </c>
      <c r="S451" s="101"/>
    </row>
    <row r="452" ht="15.75" customHeight="1">
      <c r="A452" s="49"/>
      <c r="C452" s="589">
        <v>46026.0</v>
      </c>
      <c r="D452" s="589">
        <v>45981.0</v>
      </c>
      <c r="E452" s="281" t="s">
        <v>536</v>
      </c>
      <c r="F452" s="616">
        <v>3370000.0</v>
      </c>
      <c r="G452" s="616">
        <v>600000.0</v>
      </c>
      <c r="H452" s="9"/>
      <c r="I452" s="8"/>
      <c r="J452" s="9"/>
      <c r="O452" s="497"/>
      <c r="P452" s="495" t="str">
        <f t="shared" si="4"/>
        <v>BELUM LUNAS</v>
      </c>
      <c r="Q452" s="135">
        <f t="shared" si="5"/>
        <v>4720000</v>
      </c>
      <c r="S452" s="101"/>
    </row>
    <row r="453" ht="15.75" customHeight="1">
      <c r="A453" s="49"/>
      <c r="C453" s="589">
        <v>46027.0</v>
      </c>
      <c r="D453" s="589">
        <v>45992.0</v>
      </c>
      <c r="E453" s="281" t="s">
        <v>911</v>
      </c>
      <c r="F453" s="616">
        <v>2050000.0</v>
      </c>
      <c r="G453" s="616">
        <v>210000.0</v>
      </c>
      <c r="H453" s="9"/>
      <c r="I453" s="8"/>
      <c r="J453" s="9"/>
      <c r="O453" s="497"/>
      <c r="P453" s="495" t="str">
        <f t="shared" si="4"/>
        <v>BELUM LUNAS</v>
      </c>
      <c r="Q453" s="135">
        <f t="shared" si="5"/>
        <v>4720000</v>
      </c>
      <c r="S453" s="101"/>
    </row>
    <row r="454" ht="15.75" customHeight="1">
      <c r="A454" s="49"/>
      <c r="C454" s="589">
        <v>46028.0</v>
      </c>
      <c r="D454" s="589">
        <v>45981.0</v>
      </c>
      <c r="E454" s="281" t="s">
        <v>267</v>
      </c>
      <c r="F454" s="616">
        <v>2050000.0</v>
      </c>
      <c r="G454" s="616">
        <v>200000.0</v>
      </c>
      <c r="H454" s="9"/>
      <c r="I454" s="8"/>
      <c r="J454" s="9"/>
      <c r="O454" s="497"/>
      <c r="P454" s="495" t="str">
        <f t="shared" si="4"/>
        <v>BELUM LUNAS</v>
      </c>
      <c r="Q454" s="135">
        <f t="shared" si="5"/>
        <v>4720000</v>
      </c>
      <c r="S454" s="101"/>
    </row>
    <row r="455" ht="15.75" customHeight="1">
      <c r="A455" s="49"/>
      <c r="C455" s="589">
        <v>46028.0</v>
      </c>
      <c r="D455" s="589">
        <v>45982.0</v>
      </c>
      <c r="E455" s="281" t="s">
        <v>267</v>
      </c>
      <c r="F455" s="616">
        <v>4100000.0</v>
      </c>
      <c r="G455" s="616">
        <v>420000.0</v>
      </c>
      <c r="H455" s="9"/>
      <c r="I455" s="8"/>
      <c r="J455" s="9"/>
      <c r="O455" s="497"/>
      <c r="P455" s="495" t="str">
        <f t="shared" si="4"/>
        <v>BELUM LUNAS</v>
      </c>
      <c r="Q455" s="135">
        <f t="shared" si="5"/>
        <v>1625000</v>
      </c>
      <c r="S455" s="101"/>
    </row>
    <row r="456" ht="15.75" customHeight="1">
      <c r="A456" s="49"/>
      <c r="C456" s="589">
        <v>46028.0</v>
      </c>
      <c r="D456" s="589">
        <v>45997.0</v>
      </c>
      <c r="E456" s="281" t="s">
        <v>693</v>
      </c>
      <c r="F456" s="616">
        <v>1520000.0</v>
      </c>
      <c r="G456" s="616">
        <v>370000.0</v>
      </c>
      <c r="H456" s="9"/>
      <c r="I456" s="8"/>
      <c r="J456" s="9"/>
      <c r="O456" s="497"/>
      <c r="P456" s="495" t="str">
        <f t="shared" si="4"/>
        <v>BELUM LUNAS</v>
      </c>
      <c r="Q456" s="135">
        <f t="shared" si="5"/>
        <v>7000000</v>
      </c>
      <c r="S456" s="101"/>
    </row>
    <row r="457" ht="15.75" customHeight="1">
      <c r="A457" s="49"/>
      <c r="C457" s="589">
        <v>46029.0</v>
      </c>
      <c r="D457" s="589">
        <v>46000.0</v>
      </c>
      <c r="E457" s="281" t="s">
        <v>254</v>
      </c>
      <c r="F457" s="616">
        <v>5000000.0</v>
      </c>
      <c r="G457" s="616">
        <v>800000.0</v>
      </c>
      <c r="H457" s="9"/>
      <c r="I457" s="8"/>
      <c r="J457" s="9"/>
      <c r="O457" s="497"/>
      <c r="P457" s="495" t="str">
        <f t="shared" si="4"/>
        <v>BELUM LUNAS</v>
      </c>
      <c r="Q457" s="135">
        <f t="shared" si="5"/>
        <v>6470000</v>
      </c>
      <c r="S457" s="101"/>
    </row>
    <row r="458" ht="15.75" customHeight="1">
      <c r="A458" s="49"/>
      <c r="C458" s="589">
        <v>46029.0</v>
      </c>
      <c r="D458" s="589">
        <v>45919.0</v>
      </c>
      <c r="E458" s="281" t="s">
        <v>422</v>
      </c>
      <c r="F458" s="616">
        <v>2050000.0</v>
      </c>
      <c r="G458" s="616">
        <v>0.0</v>
      </c>
      <c r="H458" s="9"/>
      <c r="I458" s="8"/>
      <c r="J458" s="9"/>
      <c r="O458" s="497"/>
      <c r="P458" s="495" t="str">
        <f t="shared" si="4"/>
        <v>BELUM LUNAS</v>
      </c>
      <c r="Q458" s="135">
        <f t="shared" si="5"/>
        <v>2295000</v>
      </c>
      <c r="S458" s="101"/>
    </row>
    <row r="459" ht="15.75" customHeight="1">
      <c r="A459" s="49"/>
      <c r="C459" s="589">
        <v>46033.0</v>
      </c>
      <c r="D459" s="589">
        <v>46033.0</v>
      </c>
      <c r="E459" s="281" t="s">
        <v>641</v>
      </c>
      <c r="F459" s="616">
        <v>1500000.0</v>
      </c>
      <c r="G459" s="616">
        <v>420000.0</v>
      </c>
      <c r="H459" s="9"/>
      <c r="I459" s="8"/>
      <c r="J459" s="9"/>
      <c r="O459" s="497"/>
      <c r="P459" s="495" t="str">
        <f t="shared" si="4"/>
        <v>BELUM LUNAS</v>
      </c>
      <c r="Q459" s="135">
        <f t="shared" si="5"/>
        <v>145000</v>
      </c>
      <c r="S459" s="101"/>
    </row>
    <row r="460" ht="15.75" customHeight="1">
      <c r="A460" s="49"/>
      <c r="C460" s="589">
        <v>46035.0</v>
      </c>
      <c r="D460" s="589">
        <v>45976.0</v>
      </c>
      <c r="E460" s="281" t="s">
        <v>470</v>
      </c>
      <c r="F460" s="616">
        <v>1790000.0</v>
      </c>
      <c r="G460" s="616">
        <v>0.0</v>
      </c>
      <c r="H460" s="9"/>
      <c r="I460" s="8"/>
      <c r="J460" s="9"/>
      <c r="O460" s="497"/>
      <c r="P460" s="495" t="str">
        <f t="shared" si="4"/>
        <v>BELUM LUNAS</v>
      </c>
      <c r="Q460" s="135">
        <f t="shared" si="5"/>
        <v>4720000</v>
      </c>
      <c r="S460" s="101"/>
    </row>
    <row r="461" ht="15.75" customHeight="1">
      <c r="A461" s="49"/>
      <c r="C461" s="589">
        <v>46035.0</v>
      </c>
      <c r="D461" s="589">
        <v>45996.0</v>
      </c>
      <c r="E461" s="281" t="s">
        <v>274</v>
      </c>
      <c r="F461" s="616">
        <v>1000000.0</v>
      </c>
      <c r="G461" s="616">
        <v>210000.0</v>
      </c>
      <c r="H461" s="9"/>
      <c r="I461" s="8"/>
      <c r="J461" s="9"/>
      <c r="O461" s="497"/>
      <c r="P461" s="495" t="str">
        <f t="shared" si="4"/>
        <v>BELUM LUNAS</v>
      </c>
      <c r="Q461" s="135">
        <f t="shared" si="5"/>
        <v>1760000</v>
      </c>
      <c r="S461" s="101"/>
    </row>
    <row r="462" ht="15.75" customHeight="1">
      <c r="A462" s="49"/>
      <c r="C462" s="589">
        <v>46035.0</v>
      </c>
      <c r="D462" s="589">
        <v>45996.0</v>
      </c>
      <c r="E462" s="281" t="s">
        <v>583</v>
      </c>
      <c r="F462" s="616">
        <v>300000.0</v>
      </c>
      <c r="G462" s="616">
        <v>0.0</v>
      </c>
      <c r="H462" s="9"/>
      <c r="I462" s="8"/>
      <c r="J462" s="9"/>
      <c r="O462" s="497"/>
      <c r="P462" s="495" t="str">
        <f t="shared" si="4"/>
        <v>BELUM LUNAS</v>
      </c>
      <c r="Q462" s="135">
        <f t="shared" si="5"/>
        <v>4720000</v>
      </c>
      <c r="S462" s="101"/>
    </row>
    <row r="463" ht="15.75" customHeight="1">
      <c r="A463" s="49"/>
      <c r="C463" s="589">
        <v>46035.0</v>
      </c>
      <c r="D463" s="589">
        <v>45867.0</v>
      </c>
      <c r="E463" s="281" t="s">
        <v>254</v>
      </c>
      <c r="F463" s="616">
        <v>1000000.0</v>
      </c>
      <c r="G463" s="616">
        <v>0.0</v>
      </c>
      <c r="H463" s="9"/>
      <c r="I463" s="8"/>
      <c r="J463" s="9"/>
      <c r="O463" s="497"/>
      <c r="P463" s="495" t="str">
        <f t="shared" si="4"/>
        <v>BELUM LUNAS</v>
      </c>
      <c r="Q463" s="135">
        <f t="shared" si="5"/>
        <v>1760000</v>
      </c>
      <c r="S463" s="101"/>
    </row>
    <row r="464" ht="15.75" customHeight="1">
      <c r="A464" s="49"/>
      <c r="C464" s="589">
        <v>46035.0</v>
      </c>
      <c r="D464" s="589">
        <v>45998.0</v>
      </c>
      <c r="E464" s="281" t="s">
        <v>735</v>
      </c>
      <c r="F464" s="616">
        <v>1750000.0</v>
      </c>
      <c r="G464" s="616">
        <v>205000.0</v>
      </c>
      <c r="H464" s="9"/>
      <c r="I464" s="8"/>
      <c r="J464" s="9"/>
      <c r="O464" s="497"/>
      <c r="P464" s="495" t="str">
        <f t="shared" si="4"/>
        <v>BELUM LUNAS</v>
      </c>
      <c r="Q464" s="135">
        <f t="shared" si="5"/>
        <v>3360000</v>
      </c>
      <c r="S464" s="101"/>
    </row>
    <row r="465" ht="15.75" customHeight="1">
      <c r="A465" s="49"/>
      <c r="C465" s="589">
        <v>46035.0</v>
      </c>
      <c r="D465" s="589">
        <v>46004.0</v>
      </c>
      <c r="E465" s="281" t="s">
        <v>208</v>
      </c>
      <c r="F465" s="616">
        <v>1315000.0</v>
      </c>
      <c r="G465" s="616">
        <v>200000.0</v>
      </c>
      <c r="H465" s="9"/>
      <c r="I465" s="8"/>
      <c r="J465" s="9"/>
      <c r="O465" s="497"/>
      <c r="P465" s="495" t="str">
        <f t="shared" si="4"/>
        <v>BELUM LUNAS</v>
      </c>
      <c r="Q465" s="135">
        <f t="shared" si="5"/>
        <v>3520000</v>
      </c>
      <c r="S465" s="101"/>
    </row>
    <row r="466" ht="15.75" customHeight="1">
      <c r="A466" s="49"/>
      <c r="C466" s="589">
        <v>46035.0</v>
      </c>
      <c r="D466" s="589">
        <v>46007.0</v>
      </c>
      <c r="E466" s="281" t="s">
        <v>346</v>
      </c>
      <c r="F466" s="616">
        <v>2700000.0</v>
      </c>
      <c r="G466" s="616">
        <v>505000.0</v>
      </c>
      <c r="H466" s="9"/>
      <c r="I466" s="8"/>
      <c r="J466" s="9"/>
      <c r="O466" s="497"/>
      <c r="P466" s="495" t="str">
        <f t="shared" si="4"/>
        <v>BELUM LUNAS</v>
      </c>
      <c r="Q466" s="135">
        <f t="shared" si="5"/>
        <v>750000</v>
      </c>
      <c r="S466" s="101"/>
    </row>
    <row r="467" ht="15.75" customHeight="1">
      <c r="A467" s="49"/>
      <c r="C467" s="589">
        <v>46038.0</v>
      </c>
      <c r="D467" s="589">
        <v>46000.0</v>
      </c>
      <c r="E467" s="281" t="s">
        <v>254</v>
      </c>
      <c r="F467" s="616">
        <v>1600000.0</v>
      </c>
      <c r="G467" s="616">
        <v>0.0</v>
      </c>
      <c r="H467" s="9"/>
      <c r="I467" s="8"/>
      <c r="J467" s="9"/>
      <c r="O467" s="497"/>
      <c r="P467" s="495" t="str">
        <f t="shared" si="4"/>
        <v>BELUM LUNAS</v>
      </c>
      <c r="Q467" s="135">
        <f t="shared" si="5"/>
        <v>1560000</v>
      </c>
      <c r="S467" s="101"/>
    </row>
    <row r="468" ht="15.75" customHeight="1">
      <c r="A468" s="49"/>
      <c r="C468" s="589">
        <v>46039.0</v>
      </c>
      <c r="D468" s="589">
        <v>46004.0</v>
      </c>
      <c r="E468" s="281" t="s">
        <v>264</v>
      </c>
      <c r="F468" s="616">
        <v>3240000.0</v>
      </c>
      <c r="G468" s="616">
        <v>400000.0</v>
      </c>
      <c r="H468" s="9"/>
      <c r="I468" s="8"/>
      <c r="J468" s="9"/>
      <c r="O468" s="497"/>
      <c r="P468" s="495" t="str">
        <f t="shared" si="4"/>
        <v>BELUM LUNAS</v>
      </c>
      <c r="Q468" s="135">
        <f t="shared" si="5"/>
        <v>1520000</v>
      </c>
      <c r="S468" s="101"/>
    </row>
    <row r="469" ht="15.75" customHeight="1">
      <c r="A469" s="49"/>
      <c r="C469" s="589">
        <v>46039.0</v>
      </c>
      <c r="D469" s="589">
        <v>46039.0</v>
      </c>
      <c r="E469" s="281" t="s">
        <v>1085</v>
      </c>
      <c r="F469" s="616">
        <v>300000.0</v>
      </c>
      <c r="G469" s="616">
        <v>85000.0</v>
      </c>
      <c r="H469" s="9"/>
      <c r="I469" s="8"/>
      <c r="J469" s="9"/>
      <c r="O469" s="497"/>
      <c r="P469" s="495" t="str">
        <f t="shared" si="4"/>
        <v>BELUM LUNAS</v>
      </c>
      <c r="Q469" s="135">
        <f t="shared" si="5"/>
        <v>13320000</v>
      </c>
      <c r="S469" s="101"/>
    </row>
    <row r="470" ht="15.75" customHeight="1">
      <c r="A470" s="49"/>
      <c r="C470" s="589">
        <v>46039.0</v>
      </c>
      <c r="D470" s="589">
        <v>46007.0</v>
      </c>
      <c r="E470" s="281" t="s">
        <v>595</v>
      </c>
      <c r="F470" s="616">
        <v>1.1E7</v>
      </c>
      <c r="G470" s="616">
        <v>1610000.0</v>
      </c>
      <c r="H470" s="9"/>
      <c r="I470" s="8"/>
      <c r="J470" s="9"/>
      <c r="O470" s="497"/>
      <c r="P470" s="495" t="str">
        <f t="shared" si="4"/>
        <v>BELUM LUNAS</v>
      </c>
      <c r="Q470" s="135">
        <f t="shared" si="5"/>
        <v>13400000</v>
      </c>
      <c r="S470" s="101"/>
    </row>
    <row r="471" ht="15.75" customHeight="1">
      <c r="A471" s="49"/>
      <c r="C471" s="589">
        <v>46040.0</v>
      </c>
      <c r="D471" s="589">
        <v>46004.0</v>
      </c>
      <c r="E471" s="281" t="s">
        <v>661</v>
      </c>
      <c r="F471" s="616">
        <v>2230000.0</v>
      </c>
      <c r="G471" s="616">
        <v>200000.0</v>
      </c>
      <c r="H471" s="9"/>
      <c r="I471" s="8"/>
      <c r="J471" s="9"/>
      <c r="O471" s="497"/>
      <c r="P471" s="495" t="str">
        <f t="shared" si="4"/>
        <v>BELUM LUNAS</v>
      </c>
      <c r="Q471" s="135">
        <f t="shared" si="5"/>
        <v>12920000</v>
      </c>
      <c r="S471" s="101"/>
    </row>
    <row r="472" ht="15.75" customHeight="1">
      <c r="A472" s="49"/>
      <c r="C472" s="589">
        <v>46040.0</v>
      </c>
      <c r="D472" s="589">
        <v>46006.0</v>
      </c>
      <c r="E472" s="281" t="s">
        <v>346</v>
      </c>
      <c r="F472" s="616">
        <v>940000.0</v>
      </c>
      <c r="G472" s="616">
        <v>0.0</v>
      </c>
      <c r="H472" s="9"/>
      <c r="I472" s="8"/>
      <c r="J472" s="9"/>
      <c r="O472" s="497"/>
      <c r="P472" s="495" t="str">
        <f t="shared" si="4"/>
        <v>BELUM LUNAS</v>
      </c>
      <c r="Q472" s="135">
        <f t="shared" si="5"/>
        <v>9020000</v>
      </c>
      <c r="S472" s="101"/>
    </row>
    <row r="473" ht="15.75" customHeight="1">
      <c r="A473" s="49"/>
      <c r="C473" s="589">
        <v>46041.0</v>
      </c>
      <c r="D473" s="589">
        <v>46041.0</v>
      </c>
      <c r="E473" s="281" t="s">
        <v>709</v>
      </c>
      <c r="F473" s="616">
        <v>720000.0</v>
      </c>
      <c r="G473" s="616">
        <v>400000.0</v>
      </c>
      <c r="H473" s="9"/>
      <c r="I473" s="8"/>
      <c r="J473" s="9"/>
      <c r="O473" s="497"/>
      <c r="P473" s="495" t="str">
        <f t="shared" si="4"/>
        <v>BELUM LUNAS</v>
      </c>
      <c r="Q473" s="135">
        <f t="shared" si="5"/>
        <v>3500000</v>
      </c>
      <c r="S473" s="101"/>
    </row>
    <row r="474" ht="15.75" customHeight="1">
      <c r="A474" s="49"/>
      <c r="C474" s="589">
        <v>46041.0</v>
      </c>
      <c r="D474" s="589">
        <v>46020.0</v>
      </c>
      <c r="E474" s="281" t="s">
        <v>867</v>
      </c>
      <c r="F474" s="616">
        <v>4100000.0</v>
      </c>
      <c r="G474" s="616">
        <v>555000.0</v>
      </c>
      <c r="H474" s="9"/>
      <c r="I474" s="8"/>
      <c r="J474" s="9"/>
      <c r="O474" s="497"/>
      <c r="P474" s="495" t="str">
        <f t="shared" si="4"/>
        <v>BELUM LUNAS</v>
      </c>
      <c r="Q474" s="135">
        <f t="shared" si="5"/>
        <v>6320000</v>
      </c>
      <c r="S474" s="101"/>
    </row>
    <row r="475" ht="15.75" customHeight="1">
      <c r="A475" s="49"/>
      <c r="C475" s="589">
        <v>46041.0</v>
      </c>
      <c r="D475" s="589">
        <v>45997.0</v>
      </c>
      <c r="E475" s="281" t="s">
        <v>267</v>
      </c>
      <c r="F475" s="616">
        <v>3380000.0</v>
      </c>
      <c r="G475" s="616">
        <v>610000.0</v>
      </c>
      <c r="H475" s="9"/>
      <c r="I475" s="8"/>
      <c r="J475" s="9"/>
      <c r="O475" s="497"/>
      <c r="P475" s="495" t="str">
        <f t="shared" si="4"/>
        <v>BELUM LUNAS</v>
      </c>
      <c r="Q475" s="135">
        <f t="shared" si="5"/>
        <v>6320000</v>
      </c>
      <c r="S475" s="101"/>
    </row>
    <row r="476" ht="15.75" customHeight="1">
      <c r="A476" s="49"/>
      <c r="C476" s="589">
        <v>46041.0</v>
      </c>
      <c r="D476" s="589">
        <v>45999.0</v>
      </c>
      <c r="E476" s="281" t="s">
        <v>267</v>
      </c>
      <c r="F476" s="616">
        <v>1620000.0</v>
      </c>
      <c r="G476" s="616">
        <v>605000.0</v>
      </c>
      <c r="H476" s="9"/>
      <c r="I476" s="8"/>
      <c r="J476" s="9"/>
      <c r="O476" s="497"/>
      <c r="P476" s="495" t="str">
        <f t="shared" si="4"/>
        <v>BELUM LUNAS</v>
      </c>
      <c r="Q476" s="135">
        <f t="shared" si="5"/>
        <v>3260000</v>
      </c>
      <c r="S476" s="101"/>
    </row>
    <row r="477" ht="15.75" customHeight="1">
      <c r="A477" s="49"/>
      <c r="C477" s="589">
        <v>46042.0</v>
      </c>
      <c r="D477" s="589">
        <v>46039.0</v>
      </c>
      <c r="E477" s="281" t="s">
        <v>1085</v>
      </c>
      <c r="F477" s="616">
        <v>250000.0</v>
      </c>
      <c r="G477" s="616">
        <v>0.0</v>
      </c>
      <c r="H477" s="9"/>
      <c r="I477" s="8"/>
      <c r="J477" s="9"/>
      <c r="O477" s="497"/>
      <c r="P477" s="495" t="str">
        <f t="shared" si="4"/>
        <v>BELUM LUNAS</v>
      </c>
      <c r="Q477" s="135">
        <f t="shared" si="5"/>
        <v>4100000</v>
      </c>
      <c r="S477" s="101"/>
    </row>
    <row r="478" ht="15.75" customHeight="1">
      <c r="A478" s="49"/>
      <c r="C478" s="589">
        <v>46042.0</v>
      </c>
      <c r="D478" s="589">
        <v>46029.0</v>
      </c>
      <c r="E478" s="281" t="s">
        <v>1120</v>
      </c>
      <c r="F478" s="616">
        <v>900000.0</v>
      </c>
      <c r="G478" s="616">
        <v>165000.0</v>
      </c>
      <c r="H478" s="9"/>
      <c r="I478" s="8"/>
      <c r="J478" s="9"/>
      <c r="O478" s="497"/>
      <c r="P478" s="495" t="str">
        <f t="shared" si="4"/>
        <v>BELUM LUNAS</v>
      </c>
      <c r="Q478" s="135">
        <f t="shared" si="5"/>
        <v>4720000</v>
      </c>
      <c r="S478" s="101"/>
    </row>
    <row r="479" ht="15.75" customHeight="1">
      <c r="A479" s="49"/>
      <c r="C479" s="589">
        <v>46042.0</v>
      </c>
      <c r="D479" s="589">
        <v>46000.0</v>
      </c>
      <c r="E479" s="281" t="s">
        <v>254</v>
      </c>
      <c r="F479" s="616">
        <v>2000000.0</v>
      </c>
      <c r="G479" s="616">
        <v>0.0</v>
      </c>
      <c r="H479" s="9"/>
      <c r="I479" s="8"/>
      <c r="J479" s="9"/>
      <c r="O479" s="497"/>
      <c r="P479" s="495" t="str">
        <f t="shared" si="4"/>
        <v>BELUM LUNAS</v>
      </c>
      <c r="Q479" s="135">
        <f t="shared" si="5"/>
        <v>3500000</v>
      </c>
      <c r="S479" s="101"/>
    </row>
    <row r="480" ht="15.75" customHeight="1">
      <c r="A480" s="49"/>
      <c r="C480" s="589">
        <v>46043.0</v>
      </c>
      <c r="D480" s="589">
        <v>46008.0</v>
      </c>
      <c r="E480" s="281" t="s">
        <v>962</v>
      </c>
      <c r="F480" s="616">
        <v>1230000.0</v>
      </c>
      <c r="G480" s="616">
        <v>360000.0</v>
      </c>
      <c r="H480" s="9"/>
      <c r="I480" s="8"/>
      <c r="J480" s="9"/>
      <c r="O480" s="497"/>
      <c r="P480" s="495" t="str">
        <f t="shared" si="4"/>
        <v>BELUM LUNAS</v>
      </c>
      <c r="Q480" s="135">
        <f t="shared" si="5"/>
        <v>1685000</v>
      </c>
      <c r="S480" s="101"/>
    </row>
    <row r="481" ht="15.75" customHeight="1">
      <c r="A481" s="49"/>
      <c r="C481" s="589">
        <v>46044.0</v>
      </c>
      <c r="D481" s="589">
        <v>46006.0</v>
      </c>
      <c r="E481" s="281" t="s">
        <v>555</v>
      </c>
      <c r="F481" s="616">
        <v>6120000.0</v>
      </c>
      <c r="G481" s="616">
        <v>750000.0</v>
      </c>
      <c r="H481" s="9"/>
      <c r="I481" s="8"/>
      <c r="J481" s="9"/>
      <c r="O481" s="497"/>
      <c r="P481" s="495" t="str">
        <f t="shared" si="4"/>
        <v>BELUM LUNAS</v>
      </c>
      <c r="Q481" s="135">
        <f t="shared" si="5"/>
        <v>4300000</v>
      </c>
      <c r="S481" s="101"/>
    </row>
    <row r="482" ht="15.75" customHeight="1">
      <c r="A482" s="49"/>
      <c r="C482" s="589">
        <v>46044.0</v>
      </c>
      <c r="D482" s="589">
        <v>45979.0</v>
      </c>
      <c r="E482" s="281" t="s">
        <v>991</v>
      </c>
      <c r="F482" s="616">
        <v>1540000.0</v>
      </c>
      <c r="G482" s="616">
        <v>0.0</v>
      </c>
      <c r="H482" s="9"/>
      <c r="I482" s="8"/>
      <c r="J482" s="9"/>
      <c r="O482" s="497"/>
      <c r="P482" s="495" t="str">
        <f t="shared" si="4"/>
        <v>BELUM LUNAS</v>
      </c>
      <c r="Q482" s="135">
        <f t="shared" si="5"/>
        <v>3900000</v>
      </c>
      <c r="S482" s="101"/>
    </row>
    <row r="483" ht="15.75" customHeight="1">
      <c r="A483" s="49"/>
      <c r="C483" s="589">
        <v>46044.0</v>
      </c>
      <c r="D483" s="589">
        <v>46030.0</v>
      </c>
      <c r="E483" s="281" t="s">
        <v>74</v>
      </c>
      <c r="F483" s="616">
        <v>340000.0</v>
      </c>
      <c r="G483" s="616">
        <v>280000.0</v>
      </c>
      <c r="H483" s="9"/>
      <c r="I483" s="8"/>
      <c r="J483" s="9"/>
      <c r="O483" s="497"/>
      <c r="P483" s="495" t="str">
        <f t="shared" si="4"/>
        <v>BELUM LUNAS</v>
      </c>
      <c r="Q483" s="135">
        <f t="shared" si="5"/>
        <v>3140000</v>
      </c>
      <c r="S483" s="101"/>
    </row>
    <row r="484" ht="15.75" customHeight="1">
      <c r="A484" s="49"/>
      <c r="C484" s="589">
        <v>46045.0</v>
      </c>
      <c r="D484" s="589">
        <v>45999.0</v>
      </c>
      <c r="E484" s="281" t="s">
        <v>267</v>
      </c>
      <c r="F484" s="616">
        <v>4630000.0</v>
      </c>
      <c r="G484" s="616">
        <v>0.0</v>
      </c>
      <c r="H484" s="9"/>
      <c r="I484" s="8"/>
      <c r="J484" s="9"/>
      <c r="O484" s="497"/>
      <c r="P484" s="495" t="str">
        <f t="shared" si="4"/>
        <v>BELUM LUNAS</v>
      </c>
      <c r="Q484" s="135">
        <f t="shared" si="5"/>
        <v>3225000</v>
      </c>
      <c r="S484" s="101"/>
    </row>
    <row r="485" ht="15.75" customHeight="1">
      <c r="A485" s="49"/>
      <c r="C485" s="589">
        <v>46045.0</v>
      </c>
      <c r="D485" s="589">
        <v>46013.0</v>
      </c>
      <c r="E485" s="281" t="s">
        <v>267</v>
      </c>
      <c r="F485" s="616">
        <v>370000.0</v>
      </c>
      <c r="G485" s="616">
        <v>400000.0</v>
      </c>
      <c r="H485" s="9"/>
      <c r="I485" s="8"/>
      <c r="J485" s="9"/>
      <c r="O485" s="497"/>
      <c r="P485" s="495" t="str">
        <f t="shared" si="4"/>
        <v>BELUM LUNAS</v>
      </c>
      <c r="Q485" s="135">
        <f t="shared" si="5"/>
        <v>4120000</v>
      </c>
      <c r="S485" s="101"/>
    </row>
    <row r="486" ht="15.75" customHeight="1">
      <c r="A486" s="49"/>
      <c r="C486" s="589">
        <v>46046.0</v>
      </c>
      <c r="D486" s="589">
        <v>46014.0</v>
      </c>
      <c r="E486" s="281" t="s">
        <v>208</v>
      </c>
      <c r="F486" s="616">
        <v>1315000.0</v>
      </c>
      <c r="G486" s="616">
        <v>200000.0</v>
      </c>
      <c r="H486" s="9"/>
      <c r="I486" s="8"/>
      <c r="J486" s="9"/>
      <c r="O486" s="497"/>
      <c r="P486" s="495" t="str">
        <f t="shared" si="4"/>
        <v>BELUM LUNAS</v>
      </c>
      <c r="Q486" s="135">
        <f t="shared" si="5"/>
        <v>4720000</v>
      </c>
      <c r="S486" s="101"/>
    </row>
    <row r="487" ht="15.75" customHeight="1">
      <c r="A487" s="49"/>
      <c r="C487" s="589">
        <v>46048.0</v>
      </c>
      <c r="D487" s="589">
        <v>45996.0</v>
      </c>
      <c r="E487" s="281" t="s">
        <v>274</v>
      </c>
      <c r="F487" s="616">
        <v>1050000.0</v>
      </c>
      <c r="G487" s="616">
        <v>0.0</v>
      </c>
      <c r="H487" s="9"/>
      <c r="I487" s="8"/>
      <c r="J487" s="9"/>
      <c r="O487" s="497"/>
      <c r="P487" s="495" t="str">
        <f t="shared" si="4"/>
        <v>BELUM LUNAS</v>
      </c>
      <c r="Q487" s="135">
        <f t="shared" si="5"/>
        <v>4720000</v>
      </c>
      <c r="S487" s="101"/>
    </row>
    <row r="488" ht="15.75" customHeight="1">
      <c r="A488" s="49"/>
      <c r="C488" s="589">
        <v>46050.0</v>
      </c>
      <c r="D488" s="589">
        <v>46015.0</v>
      </c>
      <c r="E488" s="281" t="s">
        <v>1100</v>
      </c>
      <c r="F488" s="616">
        <v>6700000.0</v>
      </c>
      <c r="G488" s="616">
        <v>380000.0</v>
      </c>
      <c r="H488" s="9"/>
      <c r="I488" s="8"/>
      <c r="J488" s="9"/>
      <c r="O488" s="497"/>
      <c r="P488" s="495" t="str">
        <f t="shared" si="4"/>
        <v>BELUM LUNAS</v>
      </c>
      <c r="Q488" s="135">
        <f t="shared" si="5"/>
        <v>1570000</v>
      </c>
      <c r="S488" s="101"/>
    </row>
    <row r="489" ht="15.75" customHeight="1">
      <c r="A489" s="49"/>
      <c r="C489" s="589">
        <v>46050.0</v>
      </c>
      <c r="D489" s="589">
        <v>46019.0</v>
      </c>
      <c r="E489" s="281" t="s">
        <v>927</v>
      </c>
      <c r="F489" s="616">
        <v>3000000.0</v>
      </c>
      <c r="G489" s="616">
        <v>0.0</v>
      </c>
      <c r="H489" s="9"/>
      <c r="I489" s="8"/>
      <c r="J489" s="9"/>
      <c r="O489" s="497"/>
      <c r="P489" s="495" t="str">
        <f t="shared" si="4"/>
        <v>BELUM LUNAS</v>
      </c>
      <c r="Q489" s="135">
        <f t="shared" si="5"/>
        <v>1750000</v>
      </c>
      <c r="S489" s="101"/>
    </row>
    <row r="490" ht="15.75" customHeight="1">
      <c r="A490" s="49"/>
      <c r="C490" s="589">
        <v>46050.0</v>
      </c>
      <c r="D490" s="589">
        <v>45997.0</v>
      </c>
      <c r="E490" s="281" t="s">
        <v>132</v>
      </c>
      <c r="F490" s="616">
        <v>4500000.0</v>
      </c>
      <c r="G490" s="616">
        <v>400000.0</v>
      </c>
      <c r="H490" s="9"/>
      <c r="I490" s="8"/>
      <c r="J490" s="9"/>
      <c r="O490" s="497"/>
      <c r="P490" s="495" t="str">
        <f t="shared" si="4"/>
        <v>BELUM LUNAS</v>
      </c>
      <c r="Q490" s="135">
        <f t="shared" si="5"/>
        <v>4720000</v>
      </c>
      <c r="S490" s="101"/>
    </row>
    <row r="491" ht="15.75" customHeight="1">
      <c r="A491" s="49"/>
      <c r="C491" s="589">
        <v>46051.0</v>
      </c>
      <c r="D491" s="589">
        <v>46017.0</v>
      </c>
      <c r="E491" s="281" t="s">
        <v>843</v>
      </c>
      <c r="F491" s="616">
        <v>2000000.0</v>
      </c>
      <c r="G491" s="616">
        <v>400000.0</v>
      </c>
      <c r="H491" s="9"/>
      <c r="I491" s="8"/>
      <c r="J491" s="9"/>
      <c r="O491" s="497"/>
      <c r="P491" s="495" t="str">
        <f t="shared" si="4"/>
        <v>BELUM LUNAS</v>
      </c>
      <c r="Q491" s="135">
        <f t="shared" si="5"/>
        <v>3300000</v>
      </c>
      <c r="S491" s="101"/>
    </row>
    <row r="492" ht="15.75" customHeight="1">
      <c r="A492" s="49"/>
      <c r="C492" s="589">
        <v>46052.0</v>
      </c>
      <c r="D492" s="589">
        <v>46013.0</v>
      </c>
      <c r="E492" s="281" t="s">
        <v>971</v>
      </c>
      <c r="F492" s="616">
        <v>550000.0</v>
      </c>
      <c r="G492" s="616">
        <v>200000.0</v>
      </c>
      <c r="H492" s="9"/>
      <c r="I492" s="8"/>
      <c r="J492" s="9"/>
      <c r="O492" s="497"/>
      <c r="P492" s="495" t="str">
        <f t="shared" si="4"/>
        <v>BELUM LUNAS</v>
      </c>
      <c r="Q492" s="135">
        <f t="shared" si="5"/>
        <v>3700000</v>
      </c>
      <c r="S492" s="101"/>
    </row>
    <row r="493" ht="15.75" customHeight="1">
      <c r="A493" s="49"/>
      <c r="C493" s="589">
        <v>46052.0</v>
      </c>
      <c r="D493" s="589">
        <v>46034.0</v>
      </c>
      <c r="E493" s="281" t="s">
        <v>819</v>
      </c>
      <c r="F493" s="616">
        <v>5800000.0</v>
      </c>
      <c r="G493" s="616">
        <v>450000.0</v>
      </c>
      <c r="H493" s="9"/>
      <c r="I493" s="8"/>
      <c r="J493" s="9"/>
      <c r="O493" s="497"/>
      <c r="P493" s="495" t="str">
        <f t="shared" si="4"/>
        <v>BELUM LUNAS</v>
      </c>
      <c r="Q493" s="135">
        <f t="shared" si="5"/>
        <v>3700000</v>
      </c>
      <c r="S493" s="101"/>
    </row>
    <row r="494" ht="15.75" customHeight="1">
      <c r="A494" s="49"/>
      <c r="C494" s="589">
        <v>46052.0</v>
      </c>
      <c r="D494" s="589">
        <v>46030.0</v>
      </c>
      <c r="E494" s="281" t="s">
        <v>1130</v>
      </c>
      <c r="F494" s="616">
        <v>150000.0</v>
      </c>
      <c r="G494" s="616">
        <v>150000.0</v>
      </c>
      <c r="H494" s="9"/>
      <c r="I494" s="8"/>
      <c r="J494" s="9"/>
      <c r="O494" s="497"/>
      <c r="P494" s="495" t="str">
        <f t="shared" si="4"/>
        <v>BELUM LUNAS</v>
      </c>
      <c r="Q494" s="135">
        <f t="shared" si="5"/>
        <v>1750000</v>
      </c>
      <c r="S494" s="101"/>
    </row>
    <row r="495" ht="15.75" customHeight="1">
      <c r="A495" s="49"/>
      <c r="C495" s="589">
        <v>46052.0</v>
      </c>
      <c r="D495" s="589">
        <v>46052.0</v>
      </c>
      <c r="E495" s="281" t="s">
        <v>254</v>
      </c>
      <c r="F495" s="616">
        <v>1000000.0</v>
      </c>
      <c r="G495" s="616">
        <v>400000.0</v>
      </c>
      <c r="H495" s="9"/>
      <c r="I495" s="8"/>
      <c r="J495" s="9"/>
      <c r="O495" s="497"/>
      <c r="P495" s="495" t="str">
        <f t="shared" si="4"/>
        <v>BELUM LUNAS</v>
      </c>
      <c r="Q495" s="135">
        <f t="shared" si="5"/>
        <v>4100000</v>
      </c>
      <c r="S495" s="101"/>
    </row>
    <row r="496" ht="15.75" customHeight="1">
      <c r="A496" s="49"/>
      <c r="C496" s="589">
        <v>46052.0</v>
      </c>
      <c r="D496" s="589">
        <v>45980.0</v>
      </c>
      <c r="E496" s="281" t="s">
        <v>1139</v>
      </c>
      <c r="F496" s="616">
        <v>400000.0</v>
      </c>
      <c r="G496" s="616">
        <v>0.0</v>
      </c>
      <c r="H496" s="9"/>
      <c r="I496" s="8"/>
      <c r="J496" s="9"/>
      <c r="O496" s="497"/>
      <c r="P496" s="495" t="str">
        <f t="shared" si="4"/>
        <v>BELUM LUNAS</v>
      </c>
      <c r="Q496" s="135">
        <f t="shared" si="5"/>
        <v>1750000</v>
      </c>
      <c r="S496" s="101"/>
    </row>
    <row r="497" ht="15.75" customHeight="1">
      <c r="A497" s="49"/>
      <c r="C497" s="589">
        <v>46053.0</v>
      </c>
      <c r="D497" s="589">
        <v>46012.0</v>
      </c>
      <c r="E497" s="281" t="s">
        <v>267</v>
      </c>
      <c r="F497" s="616">
        <v>4350000.0</v>
      </c>
      <c r="G497" s="616">
        <v>0.0</v>
      </c>
      <c r="H497" s="9"/>
      <c r="I497" s="8"/>
      <c r="J497" s="9"/>
      <c r="O497" s="497"/>
      <c r="P497" s="495" t="str">
        <f t="shared" si="4"/>
        <v>BELUM LUNAS</v>
      </c>
      <c r="Q497" s="135">
        <f t="shared" si="5"/>
        <v>4720000</v>
      </c>
      <c r="S497" s="101"/>
    </row>
    <row r="498" ht="15.75" customHeight="1">
      <c r="A498" s="49"/>
      <c r="C498" s="589">
        <v>46053.0</v>
      </c>
      <c r="D498" s="589">
        <v>46020.0</v>
      </c>
      <c r="E498" s="281" t="s">
        <v>810</v>
      </c>
      <c r="F498" s="616">
        <v>2050000.0</v>
      </c>
      <c r="G498" s="616">
        <v>210000.0</v>
      </c>
      <c r="H498" s="9"/>
      <c r="I498" s="8"/>
      <c r="J498" s="9"/>
      <c r="O498" s="497"/>
      <c r="P498" s="495" t="str">
        <f t="shared" si="4"/>
        <v>BELUM LUNAS</v>
      </c>
      <c r="Q498" s="135">
        <f t="shared" si="5"/>
        <v>6900000</v>
      </c>
      <c r="S498" s="101"/>
    </row>
    <row r="499" ht="15.75" customHeight="1">
      <c r="A499" s="49"/>
      <c r="C499" s="589">
        <v>46054.0</v>
      </c>
      <c r="D499" s="589">
        <v>46018.0</v>
      </c>
      <c r="E499" s="281" t="s">
        <v>264</v>
      </c>
      <c r="F499" s="616">
        <v>4720000.0</v>
      </c>
      <c r="G499" s="616">
        <v>400000.0</v>
      </c>
      <c r="H499" s="9"/>
      <c r="I499" s="8"/>
      <c r="J499" s="9"/>
      <c r="O499" s="497"/>
      <c r="P499" s="495" t="str">
        <f t="shared" si="4"/>
        <v>BELUM LUNAS</v>
      </c>
      <c r="Q499" s="135">
        <f t="shared" si="5"/>
        <v>4100000</v>
      </c>
      <c r="S499" s="101"/>
    </row>
    <row r="500" ht="15.75" customHeight="1">
      <c r="A500" s="49"/>
      <c r="C500" s="589">
        <v>46055.0</v>
      </c>
      <c r="D500" s="589">
        <v>46013.0</v>
      </c>
      <c r="E500" s="281" t="s">
        <v>631</v>
      </c>
      <c r="F500" s="616">
        <v>1000000.0</v>
      </c>
      <c r="G500" s="616">
        <v>165000.0</v>
      </c>
      <c r="H500" s="9"/>
      <c r="I500" s="8"/>
      <c r="J500" s="9"/>
      <c r="O500" s="497"/>
      <c r="P500" s="495" t="str">
        <f t="shared" si="4"/>
        <v>BELUM LUNAS</v>
      </c>
      <c r="Q500" s="135">
        <f t="shared" si="5"/>
        <v>4720000</v>
      </c>
      <c r="S500" s="101"/>
    </row>
    <row r="501" ht="15.75" customHeight="1">
      <c r="A501" s="49"/>
      <c r="C501" s="589">
        <v>46055.0</v>
      </c>
      <c r="D501" s="589">
        <v>46055.0</v>
      </c>
      <c r="E501" s="281" t="s">
        <v>1156</v>
      </c>
      <c r="F501" s="616">
        <v>700000.0</v>
      </c>
      <c r="G501" s="616">
        <v>330000.0</v>
      </c>
      <c r="H501" s="9"/>
      <c r="I501" s="8"/>
      <c r="J501" s="9"/>
      <c r="O501" s="497"/>
      <c r="P501" s="495" t="str">
        <f t="shared" si="4"/>
        <v>BELUM LUNAS</v>
      </c>
      <c r="Q501" s="135">
        <f t="shared" si="5"/>
        <v>12970000</v>
      </c>
      <c r="S501" s="101"/>
    </row>
    <row r="502" ht="15.75" customHeight="1">
      <c r="A502" s="49"/>
      <c r="C502" s="589">
        <v>46060.0</v>
      </c>
      <c r="D502" s="589">
        <v>46052.0</v>
      </c>
      <c r="E502" s="281" t="s">
        <v>254</v>
      </c>
      <c r="F502" s="616">
        <v>2000000.0</v>
      </c>
      <c r="G502" s="616">
        <v>0.0</v>
      </c>
      <c r="H502" s="9"/>
      <c r="I502" s="8"/>
      <c r="J502" s="9"/>
      <c r="O502" s="497"/>
      <c r="P502" s="495" t="str">
        <f t="shared" si="4"/>
        <v>BELUM LUNAS</v>
      </c>
      <c r="Q502" s="135">
        <f t="shared" si="5"/>
        <v>4100000</v>
      </c>
      <c r="S502" s="101"/>
    </row>
    <row r="503" ht="15.75" customHeight="1">
      <c r="A503" s="49"/>
      <c r="C503" s="589">
        <v>46063.0</v>
      </c>
      <c r="D503" s="589">
        <v>46029.0</v>
      </c>
      <c r="E503" s="281" t="s">
        <v>422</v>
      </c>
      <c r="F503" s="616">
        <v>4100000.0</v>
      </c>
      <c r="G503" s="616">
        <v>400000.0</v>
      </c>
      <c r="H503" s="9"/>
      <c r="I503" s="8"/>
      <c r="J503" s="9"/>
      <c r="O503" s="497"/>
      <c r="P503" s="495" t="str">
        <f t="shared" si="4"/>
        <v>BELUM LUNAS</v>
      </c>
      <c r="Q503" s="135">
        <f t="shared" si="5"/>
        <v>1000000</v>
      </c>
      <c r="S503" s="101"/>
    </row>
    <row r="504" ht="15.75" customHeight="1">
      <c r="A504" s="49"/>
      <c r="C504" s="589">
        <v>46063.0</v>
      </c>
      <c r="D504" s="589">
        <v>46018.0</v>
      </c>
      <c r="E504" s="281" t="s">
        <v>668</v>
      </c>
      <c r="F504" s="616">
        <v>950000.0</v>
      </c>
      <c r="G504" s="616">
        <v>175000.0</v>
      </c>
      <c r="H504" s="9"/>
      <c r="I504" s="8"/>
      <c r="J504" s="9"/>
      <c r="O504" s="497"/>
      <c r="P504" s="495" t="str">
        <f t="shared" si="4"/>
        <v>BELUM LUNAS</v>
      </c>
      <c r="Q504" s="135">
        <f t="shared" si="5"/>
        <v>250000</v>
      </c>
      <c r="S504" s="101"/>
    </row>
    <row r="505" ht="15.75" customHeight="1">
      <c r="A505" s="49"/>
      <c r="C505" s="589">
        <v>46063.0</v>
      </c>
      <c r="D505" s="589">
        <v>45867.0</v>
      </c>
      <c r="E505" s="281" t="s">
        <v>254</v>
      </c>
      <c r="F505" s="616">
        <v>1000000.0</v>
      </c>
      <c r="G505" s="616">
        <v>0.0</v>
      </c>
      <c r="H505" s="9"/>
      <c r="I505" s="8"/>
      <c r="J505" s="9"/>
      <c r="O505" s="497"/>
      <c r="P505" s="495" t="str">
        <f t="shared" si="4"/>
        <v>BELUM LUNAS</v>
      </c>
      <c r="Q505" s="135">
        <f t="shared" si="5"/>
        <v>4100000</v>
      </c>
      <c r="S505" s="101"/>
    </row>
    <row r="506" ht="15.75" customHeight="1">
      <c r="A506" s="49"/>
      <c r="C506" s="589">
        <v>46063.0</v>
      </c>
      <c r="D506" s="589">
        <v>46035.0</v>
      </c>
      <c r="E506" s="281" t="s">
        <v>346</v>
      </c>
      <c r="F506" s="616">
        <v>3850000.0</v>
      </c>
      <c r="G506" s="616">
        <v>515000.0</v>
      </c>
      <c r="H506" s="9"/>
      <c r="I506" s="8"/>
      <c r="J506" s="9"/>
      <c r="O506" s="497"/>
      <c r="P506" s="495" t="str">
        <f t="shared" si="4"/>
        <v>BELUM LUNAS</v>
      </c>
      <c r="Q506" s="135">
        <f t="shared" si="5"/>
        <v>1750000</v>
      </c>
      <c r="S506" s="101"/>
    </row>
    <row r="507" ht="15.75" customHeight="1">
      <c r="A507" s="49"/>
      <c r="C507" s="589">
        <v>46063.0</v>
      </c>
      <c r="D507" s="589">
        <v>46039.0</v>
      </c>
      <c r="E507" s="281" t="s">
        <v>1085</v>
      </c>
      <c r="F507" s="616">
        <v>135000.0</v>
      </c>
      <c r="G507" s="616">
        <v>0.0</v>
      </c>
      <c r="H507" s="9"/>
      <c r="I507" s="8"/>
      <c r="J507" s="9"/>
      <c r="O507" s="497"/>
      <c r="P507" s="495" t="str">
        <f t="shared" si="4"/>
        <v>BELUM LUNAS</v>
      </c>
      <c r="Q507" s="135">
        <f t="shared" si="5"/>
        <v>2050000</v>
      </c>
      <c r="S507" s="101"/>
    </row>
    <row r="508" ht="15.75" customHeight="1">
      <c r="A508" s="49"/>
      <c r="C508" s="589">
        <v>46063.0</v>
      </c>
      <c r="D508" s="589">
        <v>46063.0</v>
      </c>
      <c r="E508" s="281" t="s">
        <v>1085</v>
      </c>
      <c r="F508" s="616">
        <v>350000.0</v>
      </c>
      <c r="G508" s="616">
        <v>85000.0</v>
      </c>
      <c r="H508" s="9"/>
      <c r="I508" s="8"/>
      <c r="J508" s="9"/>
      <c r="O508" s="497"/>
      <c r="P508" s="495" t="str">
        <f t="shared" si="4"/>
        <v>BELUM LUNAS</v>
      </c>
      <c r="Q508" s="135">
        <f t="shared" si="5"/>
        <v>1750000</v>
      </c>
      <c r="S508" s="101"/>
    </row>
    <row r="509" ht="15.75" customHeight="1">
      <c r="A509" s="49"/>
      <c r="C509" s="589">
        <v>46064.0</v>
      </c>
      <c r="D509" s="589">
        <v>46033.0</v>
      </c>
      <c r="E509" s="281" t="s">
        <v>641</v>
      </c>
      <c r="F509" s="616">
        <v>2600000.0</v>
      </c>
      <c r="G509" s="616">
        <v>0.0</v>
      </c>
      <c r="H509" s="9"/>
      <c r="I509" s="8"/>
      <c r="J509" s="9"/>
      <c r="O509" s="497"/>
      <c r="P509" s="495" t="str">
        <f t="shared" si="4"/>
        <v>BELUM LUNAS</v>
      </c>
      <c r="Q509" s="135">
        <f t="shared" si="5"/>
        <v>4100000</v>
      </c>
      <c r="S509" s="101"/>
    </row>
    <row r="510" ht="15.75" customHeight="1">
      <c r="A510" s="49"/>
      <c r="C510" s="589">
        <v>46064.0</v>
      </c>
      <c r="D510" s="589">
        <v>46033.0</v>
      </c>
      <c r="E510" s="281" t="s">
        <v>132</v>
      </c>
      <c r="F510" s="616">
        <v>5350000.0</v>
      </c>
      <c r="G510" s="616">
        <v>600000.0</v>
      </c>
      <c r="H510" s="9"/>
      <c r="I510" s="8"/>
      <c r="J510" s="9"/>
      <c r="O510" s="497"/>
      <c r="P510" s="495" t="str">
        <f t="shared" si="4"/>
        <v>BELUM LUNAS</v>
      </c>
      <c r="Q510" s="135">
        <f t="shared" si="5"/>
        <v>3200000</v>
      </c>
      <c r="S510" s="101"/>
    </row>
    <row r="511" ht="15.75" customHeight="1">
      <c r="A511" s="49"/>
      <c r="C511" s="589">
        <v>46064.0</v>
      </c>
      <c r="D511" s="589">
        <v>46013.0</v>
      </c>
      <c r="E511" s="281" t="s">
        <v>631</v>
      </c>
      <c r="F511" s="616">
        <v>300000.0</v>
      </c>
      <c r="G511" s="616">
        <v>0.0</v>
      </c>
      <c r="H511" s="9"/>
      <c r="I511" s="8"/>
      <c r="J511" s="9"/>
      <c r="O511" s="497"/>
      <c r="P511" s="495" t="str">
        <f t="shared" si="4"/>
        <v>BELUM LUNAS</v>
      </c>
      <c r="Q511" s="135">
        <f t="shared" si="5"/>
        <v>4170000</v>
      </c>
      <c r="S511" s="101"/>
    </row>
    <row r="512" ht="15.75" customHeight="1">
      <c r="A512" s="49"/>
      <c r="C512" s="589">
        <v>46065.0</v>
      </c>
      <c r="D512" s="589">
        <v>46020.0</v>
      </c>
      <c r="E512" s="281" t="s">
        <v>193</v>
      </c>
      <c r="F512" s="616">
        <v>5000000.0</v>
      </c>
      <c r="G512" s="616">
        <v>1015000.0</v>
      </c>
      <c r="H512" s="9"/>
      <c r="I512" s="8"/>
      <c r="J512" s="9"/>
      <c r="O512" s="497"/>
      <c r="P512" s="495" t="str">
        <f t="shared" si="4"/>
        <v>BELUM LUNAS</v>
      </c>
      <c r="Q512" s="135">
        <f t="shared" si="5"/>
        <v>850000</v>
      </c>
      <c r="S512" s="101"/>
    </row>
    <row r="513" ht="15.75" customHeight="1">
      <c r="A513" s="49"/>
      <c r="C513" s="589">
        <v>46066.0</v>
      </c>
      <c r="D513" s="589">
        <v>46000.0</v>
      </c>
      <c r="E513" s="281" t="s">
        <v>254</v>
      </c>
      <c r="F513" s="616">
        <v>840000.0</v>
      </c>
      <c r="G513" s="616">
        <v>0.0</v>
      </c>
      <c r="H513" s="9"/>
      <c r="I513" s="8"/>
      <c r="J513" s="9"/>
      <c r="O513" s="497"/>
      <c r="P513" s="495" t="str">
        <f t="shared" si="4"/>
        <v>BELUM LUNAS</v>
      </c>
      <c r="Q513" s="135">
        <f t="shared" si="5"/>
        <v>3520000</v>
      </c>
      <c r="S513" s="101"/>
    </row>
    <row r="514" ht="15.75" customHeight="1">
      <c r="A514" s="49"/>
      <c r="C514" s="589">
        <v>46066.0</v>
      </c>
      <c r="D514" s="589">
        <v>46038.0</v>
      </c>
      <c r="E514" s="281" t="s">
        <v>254</v>
      </c>
      <c r="F514" s="616">
        <v>2180000.0</v>
      </c>
      <c r="G514" s="616">
        <v>440000.0</v>
      </c>
      <c r="H514" s="9"/>
      <c r="I514" s="8"/>
      <c r="J514" s="9"/>
      <c r="O514" s="497"/>
      <c r="P514" s="495" t="str">
        <f t="shared" si="4"/>
        <v>BELUM LUNAS</v>
      </c>
      <c r="Q514" s="135">
        <f t="shared" si="5"/>
        <v>955000</v>
      </c>
      <c r="S514" s="101"/>
    </row>
    <row r="515" ht="15.75" customHeight="1">
      <c r="A515" s="49"/>
      <c r="C515" s="589">
        <v>46066.0</v>
      </c>
      <c r="D515" s="589">
        <v>46049.0</v>
      </c>
      <c r="E515" s="281" t="s">
        <v>74</v>
      </c>
      <c r="F515" s="616">
        <v>3180000.0</v>
      </c>
      <c r="G515" s="616">
        <v>410000.0</v>
      </c>
      <c r="H515" s="9"/>
      <c r="I515" s="8"/>
      <c r="J515" s="9"/>
      <c r="O515" s="497"/>
      <c r="P515" s="495" t="str">
        <f t="shared" si="4"/>
        <v>BELUM LUNAS</v>
      </c>
      <c r="Q515" s="135">
        <f t="shared" si="5"/>
        <v>18800000</v>
      </c>
      <c r="S515" s="101"/>
    </row>
    <row r="516" ht="15.75" customHeight="1">
      <c r="A516" s="49"/>
      <c r="C516" s="589">
        <v>46067.0</v>
      </c>
      <c r="D516" s="589">
        <v>46041.0</v>
      </c>
      <c r="E516" s="281" t="s">
        <v>709</v>
      </c>
      <c r="F516" s="616">
        <v>4000000.0</v>
      </c>
      <c r="G516" s="616">
        <v>0.0</v>
      </c>
      <c r="H516" s="9"/>
      <c r="I516" s="8"/>
      <c r="J516" s="9"/>
      <c r="O516" s="497"/>
      <c r="P516" s="495" t="str">
        <f t="shared" si="4"/>
        <v>BELUM LUNAS</v>
      </c>
      <c r="Q516" s="135">
        <f t="shared" si="5"/>
        <v>11300000</v>
      </c>
      <c r="S516" s="101"/>
    </row>
    <row r="517" ht="15.75" customHeight="1">
      <c r="A517" s="49"/>
      <c r="C517" s="589">
        <v>46067.0</v>
      </c>
      <c r="D517" s="589">
        <v>46067.0</v>
      </c>
      <c r="E517" s="281" t="s">
        <v>927</v>
      </c>
      <c r="F517" s="616">
        <v>600000.0</v>
      </c>
      <c r="G517" s="616">
        <v>420000.0</v>
      </c>
      <c r="H517" s="9"/>
      <c r="I517" s="8"/>
      <c r="J517" s="9"/>
      <c r="O517" s="497"/>
      <c r="P517" s="495" t="str">
        <f t="shared" si="4"/>
        <v>BELUM LUNAS</v>
      </c>
      <c r="Q517" s="135">
        <f t="shared" si="5"/>
        <v>11700000</v>
      </c>
      <c r="S517" s="101"/>
    </row>
    <row r="518" ht="15.75" customHeight="1">
      <c r="A518" s="49"/>
      <c r="C518" s="589">
        <v>46069.0</v>
      </c>
      <c r="D518" s="589">
        <v>45992.0</v>
      </c>
      <c r="E518" s="281" t="s">
        <v>1094</v>
      </c>
      <c r="F518" s="616">
        <v>300000.0</v>
      </c>
      <c r="G518" s="616">
        <v>0.0</v>
      </c>
      <c r="H518" s="9"/>
      <c r="I518" s="8"/>
      <c r="J518" s="9"/>
      <c r="O518" s="497"/>
      <c r="P518" s="495" t="str">
        <f t="shared" si="4"/>
        <v>BELUM LUNAS</v>
      </c>
      <c r="Q518" s="135">
        <f t="shared" si="5"/>
        <v>3240000</v>
      </c>
      <c r="S518" s="101"/>
    </row>
    <row r="519" ht="15.75" customHeight="1">
      <c r="A519" s="49"/>
      <c r="C519" s="589">
        <v>46069.0</v>
      </c>
      <c r="D519" s="589">
        <v>46069.0</v>
      </c>
      <c r="E519" s="281" t="s">
        <v>1139</v>
      </c>
      <c r="F519" s="616">
        <v>600000.0</v>
      </c>
      <c r="G519" s="616">
        <v>200000.0</v>
      </c>
      <c r="H519" s="9"/>
      <c r="I519" s="8"/>
      <c r="J519" s="9"/>
      <c r="O519" s="497"/>
      <c r="P519" s="495" t="str">
        <f t="shared" si="4"/>
        <v>BELUM LUNAS</v>
      </c>
      <c r="Q519" s="135">
        <f t="shared" si="5"/>
        <v>1170000</v>
      </c>
      <c r="S519" s="101"/>
    </row>
    <row r="520" ht="15.75" customHeight="1">
      <c r="A520" s="49"/>
      <c r="C520" s="589">
        <v>46070.0</v>
      </c>
      <c r="D520" s="589">
        <v>46032.0</v>
      </c>
      <c r="E520" s="281" t="s">
        <v>422</v>
      </c>
      <c r="F520" s="616">
        <v>7800000.0</v>
      </c>
      <c r="G520" s="616">
        <v>800000.0</v>
      </c>
      <c r="H520" s="9"/>
      <c r="I520" s="8"/>
      <c r="J520" s="9"/>
      <c r="O520" s="497"/>
      <c r="P520" s="495" t="str">
        <f t="shared" si="4"/>
        <v>BELUM LUNAS</v>
      </c>
      <c r="Q520" s="135">
        <f t="shared" si="5"/>
        <v>1980000</v>
      </c>
      <c r="S520" s="101"/>
    </row>
    <row r="521" ht="15.75" customHeight="1">
      <c r="A521" s="49"/>
      <c r="C521" s="589">
        <v>46070.0</v>
      </c>
      <c r="D521" s="589">
        <v>46042.0</v>
      </c>
      <c r="E521" s="281" t="s">
        <v>254</v>
      </c>
      <c r="F521" s="616">
        <v>3500000.0</v>
      </c>
      <c r="G521" s="616">
        <v>410000.0</v>
      </c>
      <c r="H521" s="9"/>
      <c r="I521" s="8"/>
      <c r="J521" s="9"/>
      <c r="O521" s="497"/>
      <c r="P521" s="495" t="str">
        <f t="shared" si="4"/>
        <v>BELUM LUNAS</v>
      </c>
      <c r="Q521" s="135">
        <f t="shared" si="5"/>
        <v>1945000</v>
      </c>
      <c r="S521" s="101"/>
    </row>
    <row r="522" ht="15.75" customHeight="1">
      <c r="A522" s="49"/>
      <c r="C522" s="589">
        <v>46070.0</v>
      </c>
      <c r="D522" s="589">
        <v>46052.0</v>
      </c>
      <c r="E522" s="281" t="s">
        <v>254</v>
      </c>
      <c r="F522" s="616">
        <v>720000.0</v>
      </c>
      <c r="G522" s="616">
        <v>0.0</v>
      </c>
      <c r="H522" s="9"/>
      <c r="I522" s="8"/>
      <c r="J522" s="9"/>
      <c r="O522" s="497"/>
      <c r="P522" s="495" t="str">
        <f t="shared" si="4"/>
        <v>BELUM LUNAS</v>
      </c>
      <c r="Q522" s="135">
        <f t="shared" si="5"/>
        <v>10430000</v>
      </c>
      <c r="S522" s="101"/>
    </row>
    <row r="523" ht="15.75" customHeight="1">
      <c r="A523" s="49"/>
      <c r="C523" s="589">
        <v>46072.0</v>
      </c>
      <c r="D523" s="589">
        <v>46029.0</v>
      </c>
      <c r="E523" s="281" t="s">
        <v>267</v>
      </c>
      <c r="F523" s="616">
        <v>2360000.0</v>
      </c>
      <c r="G523" s="616">
        <v>200000.0</v>
      </c>
      <c r="H523" s="9"/>
      <c r="I523" s="8"/>
      <c r="J523" s="9"/>
      <c r="O523" s="497"/>
      <c r="P523" s="495" t="str">
        <f t="shared" si="4"/>
        <v>BELUM LUNAS</v>
      </c>
      <c r="Q523" s="135">
        <f t="shared" si="5"/>
        <v>9860000</v>
      </c>
      <c r="S523" s="101"/>
    </row>
    <row r="524" ht="15.75" customHeight="1">
      <c r="A524" s="49"/>
      <c r="C524" s="589">
        <v>46072.0</v>
      </c>
      <c r="D524" s="589">
        <v>46032.0</v>
      </c>
      <c r="E524" s="281" t="s">
        <v>267</v>
      </c>
      <c r="F524" s="616">
        <v>4500000.0</v>
      </c>
      <c r="G524" s="616">
        <v>200000.0</v>
      </c>
      <c r="H524" s="9"/>
      <c r="I524" s="8"/>
      <c r="J524" s="9"/>
      <c r="O524" s="497"/>
      <c r="P524" s="495" t="str">
        <f t="shared" si="4"/>
        <v>BELUM LUNAS</v>
      </c>
      <c r="Q524" s="135">
        <f t="shared" si="5"/>
        <v>9820000</v>
      </c>
      <c r="S524" s="101"/>
    </row>
    <row r="525" ht="15.75" customHeight="1">
      <c r="A525" s="49"/>
      <c r="C525" s="589">
        <v>46076.0</v>
      </c>
      <c r="D525" s="589">
        <v>46013.0</v>
      </c>
      <c r="E525" s="281" t="s">
        <v>971</v>
      </c>
      <c r="F525" s="616">
        <v>500000.0</v>
      </c>
      <c r="G525" s="616">
        <v>0.0</v>
      </c>
      <c r="H525" s="9"/>
      <c r="I525" s="8"/>
      <c r="J525" s="9"/>
      <c r="O525" s="497"/>
      <c r="P525" s="495" t="str">
        <f t="shared" si="4"/>
        <v>BELUM LUNAS</v>
      </c>
      <c r="Q525" s="135">
        <f t="shared" si="5"/>
        <v>8200000</v>
      </c>
      <c r="S525" s="101"/>
    </row>
    <row r="526" ht="15.75" customHeight="1">
      <c r="A526" s="49"/>
      <c r="C526" s="589">
        <v>46076.0</v>
      </c>
      <c r="D526" s="589">
        <v>46039.0</v>
      </c>
      <c r="E526" s="281" t="s">
        <v>595</v>
      </c>
      <c r="F526" s="616">
        <v>6800000.0</v>
      </c>
      <c r="G526" s="616">
        <v>710000.0</v>
      </c>
      <c r="H526" s="9"/>
      <c r="I526" s="8"/>
      <c r="J526" s="9"/>
      <c r="O526" s="497"/>
      <c r="P526" s="495" t="str">
        <f t="shared" si="4"/>
        <v>BELUM LUNAS</v>
      </c>
      <c r="Q526" s="135">
        <f t="shared" si="5"/>
        <v>2020000</v>
      </c>
      <c r="S526" s="101"/>
    </row>
    <row r="527" ht="15.75" customHeight="1">
      <c r="A527" s="49"/>
      <c r="C527" s="589">
        <v>46076.0</v>
      </c>
      <c r="D527" s="589">
        <v>46041.0</v>
      </c>
      <c r="E527" s="281" t="s">
        <v>595</v>
      </c>
      <c r="F527" s="616">
        <v>4100000.0</v>
      </c>
      <c r="G527" s="616">
        <v>400000.0</v>
      </c>
      <c r="H527" s="9"/>
      <c r="I527" s="8"/>
      <c r="J527" s="9"/>
      <c r="O527" s="497"/>
      <c r="P527" s="495" t="str">
        <f t="shared" si="4"/>
        <v>BELUM LUNAS</v>
      </c>
      <c r="Q527" s="135">
        <f t="shared" si="5"/>
        <v>2050000</v>
      </c>
      <c r="S527" s="101"/>
    </row>
    <row r="528" ht="15.75" customHeight="1">
      <c r="A528" s="49"/>
      <c r="C528" s="589">
        <v>46078.0</v>
      </c>
      <c r="D528" s="589">
        <v>45992.0</v>
      </c>
      <c r="E528" s="281" t="s">
        <v>1094</v>
      </c>
      <c r="F528" s="616">
        <v>300000.0</v>
      </c>
      <c r="G528" s="616">
        <v>0.0</v>
      </c>
      <c r="H528" s="9"/>
      <c r="I528" s="8"/>
      <c r="J528" s="9"/>
      <c r="O528" s="497"/>
      <c r="P528" s="495" t="str">
        <f t="shared" si="4"/>
        <v>BELUM LUNAS</v>
      </c>
      <c r="Q528" s="135">
        <f t="shared" si="5"/>
        <v>1800000</v>
      </c>
      <c r="S528" s="101"/>
    </row>
    <row r="529" ht="15.75" customHeight="1">
      <c r="A529" s="49"/>
      <c r="C529" s="589">
        <v>46079.0</v>
      </c>
      <c r="D529" s="589">
        <v>46052.0</v>
      </c>
      <c r="E529" s="281" t="s">
        <v>254</v>
      </c>
      <c r="F529" s="616">
        <v>1000000.0</v>
      </c>
      <c r="G529" s="616">
        <v>0.0</v>
      </c>
      <c r="H529" s="9"/>
      <c r="I529" s="8"/>
      <c r="J529" s="9"/>
      <c r="O529" s="497"/>
      <c r="P529" s="495" t="str">
        <f t="shared" si="4"/>
        <v>BELUM LUNAS</v>
      </c>
      <c r="Q529" s="135">
        <f t="shared" si="5"/>
        <v>2050000</v>
      </c>
      <c r="S529" s="101"/>
    </row>
    <row r="530" ht="15.75" customHeight="1">
      <c r="A530" s="49"/>
      <c r="C530" s="589">
        <v>46081.0</v>
      </c>
      <c r="D530" s="589">
        <v>46048.0</v>
      </c>
      <c r="E530" s="281" t="s">
        <v>1040</v>
      </c>
      <c r="F530" s="616">
        <v>2050000.0</v>
      </c>
      <c r="G530" s="616">
        <v>210000.0</v>
      </c>
      <c r="H530" s="9"/>
      <c r="I530" s="8"/>
      <c r="J530" s="9"/>
      <c r="O530" s="497"/>
      <c r="P530" s="495" t="str">
        <f t="shared" si="4"/>
        <v>BELUM LUNAS</v>
      </c>
      <c r="Q530" s="135">
        <f t="shared" si="5"/>
        <v>1685000</v>
      </c>
      <c r="S530" s="101"/>
    </row>
    <row r="531" ht="15.75" customHeight="1">
      <c r="A531" s="49"/>
      <c r="C531" s="653">
        <v>46081.0</v>
      </c>
      <c r="D531" s="653">
        <v>46033.0</v>
      </c>
      <c r="E531" s="631" t="s">
        <v>422</v>
      </c>
      <c r="F531" s="654">
        <v>1750000.0</v>
      </c>
      <c r="G531" s="654">
        <v>200000.0</v>
      </c>
      <c r="H531" s="9"/>
      <c r="I531" s="8"/>
      <c r="J531" s="9"/>
      <c r="O531" s="497"/>
      <c r="P531" s="495" t="str">
        <f t="shared" si="4"/>
        <v>BELUM LUNAS</v>
      </c>
      <c r="Q531" s="135">
        <f t="shared" si="5"/>
        <v>2050000</v>
      </c>
      <c r="S531" s="101"/>
    </row>
    <row r="532" ht="15.75" customHeight="1">
      <c r="A532" s="49"/>
      <c r="C532" s="589">
        <v>46082.0</v>
      </c>
      <c r="D532" s="589">
        <v>46019.0</v>
      </c>
      <c r="E532" s="281" t="s">
        <v>193</v>
      </c>
      <c r="F532" s="616">
        <v>2350000.0</v>
      </c>
      <c r="G532" s="616">
        <v>0.0</v>
      </c>
      <c r="H532" s="9"/>
      <c r="I532" s="8"/>
      <c r="J532" s="9"/>
      <c r="O532" s="497"/>
      <c r="P532" s="495" t="str">
        <f t="shared" si="4"/>
        <v>BELUM LUNAS</v>
      </c>
      <c r="Q532" s="135">
        <f t="shared" si="5"/>
        <v>1685000</v>
      </c>
      <c r="S532" s="101"/>
    </row>
    <row r="533" ht="15.75" customHeight="1">
      <c r="A533" s="49"/>
      <c r="C533" s="589">
        <v>46082.0</v>
      </c>
      <c r="D533" s="589">
        <v>46021.0</v>
      </c>
      <c r="E533" s="281" t="s">
        <v>193</v>
      </c>
      <c r="F533" s="616">
        <v>2050000.0</v>
      </c>
      <c r="G533" s="616">
        <v>305000.0</v>
      </c>
      <c r="H533" s="9"/>
      <c r="I533" s="8"/>
      <c r="J533" s="9"/>
      <c r="O533" s="497"/>
      <c r="P533" s="495" t="str">
        <f t="shared" si="4"/>
        <v>BELUM LUNAS</v>
      </c>
      <c r="Q533" s="135">
        <f t="shared" si="5"/>
        <v>2050000</v>
      </c>
      <c r="S533" s="101"/>
    </row>
    <row r="534" ht="15.75" customHeight="1">
      <c r="A534" s="49"/>
      <c r="C534" s="589">
        <v>46082.0</v>
      </c>
      <c r="D534" s="589">
        <v>46050.0</v>
      </c>
      <c r="E534" s="281" t="s">
        <v>935</v>
      </c>
      <c r="F534" s="616">
        <v>2620000.0</v>
      </c>
      <c r="G534" s="616">
        <v>400000.0</v>
      </c>
      <c r="H534" s="9"/>
      <c r="I534" s="8"/>
      <c r="J534" s="9"/>
      <c r="O534" s="497"/>
      <c r="P534" s="495" t="str">
        <f t="shared" si="4"/>
        <v>BELUM LUNAS</v>
      </c>
      <c r="Q534" s="135">
        <f t="shared" si="5"/>
        <v>2050000</v>
      </c>
      <c r="S534" s="101"/>
    </row>
    <row r="535" ht="15.75" customHeight="1">
      <c r="A535" s="49"/>
      <c r="C535" s="589">
        <v>46082.0</v>
      </c>
      <c r="D535" s="589">
        <v>46051.0</v>
      </c>
      <c r="E535" s="281" t="s">
        <v>1100</v>
      </c>
      <c r="F535" s="616">
        <v>6700000.0</v>
      </c>
      <c r="G535" s="616">
        <v>380000.0</v>
      </c>
      <c r="H535" s="9"/>
      <c r="I535" s="8"/>
      <c r="J535" s="9"/>
      <c r="O535" s="497"/>
      <c r="P535" s="495" t="str">
        <f t="shared" si="4"/>
        <v>BELUM LUNAS</v>
      </c>
      <c r="Q535" s="135">
        <f t="shared" si="5"/>
        <v>3300000</v>
      </c>
      <c r="S535" s="101"/>
    </row>
    <row r="536" ht="15.75" customHeight="1">
      <c r="A536" s="49"/>
      <c r="C536" s="589">
        <v>46084.0</v>
      </c>
      <c r="D536" s="589">
        <v>46046.0</v>
      </c>
      <c r="E536" s="281" t="s">
        <v>132</v>
      </c>
      <c r="F536" s="616">
        <v>4200000.0</v>
      </c>
      <c r="G536" s="616">
        <v>620000.0</v>
      </c>
      <c r="H536" s="9"/>
      <c r="I536" s="8"/>
      <c r="J536" s="9"/>
      <c r="O536" s="497"/>
      <c r="P536" s="495" t="str">
        <f t="shared" si="4"/>
        <v>BELUM LUNAS</v>
      </c>
      <c r="Q536" s="135">
        <f t="shared" si="5"/>
        <v>2085000</v>
      </c>
      <c r="S536" s="101"/>
    </row>
    <row r="537" ht="15.75" customHeight="1">
      <c r="A537" s="49"/>
      <c r="C537" s="589">
        <v>46084.0</v>
      </c>
      <c r="D537" s="589">
        <v>46060.0</v>
      </c>
      <c r="E537" s="281" t="s">
        <v>911</v>
      </c>
      <c r="F537" s="616">
        <v>2050000.0</v>
      </c>
      <c r="G537" s="616">
        <v>210000.0</v>
      </c>
      <c r="H537" s="9"/>
      <c r="I537" s="8"/>
      <c r="J537" s="9"/>
      <c r="O537" s="497"/>
      <c r="P537" s="495" t="str">
        <f t="shared" si="4"/>
        <v>BELUM LUNAS</v>
      </c>
      <c r="Q537" s="135">
        <f t="shared" si="5"/>
        <v>2180000</v>
      </c>
      <c r="S537" s="101"/>
    </row>
    <row r="538" ht="15.75" customHeight="1">
      <c r="A538" s="49"/>
      <c r="C538" s="589">
        <v>46084.0</v>
      </c>
      <c r="D538" s="589">
        <v>46042.0</v>
      </c>
      <c r="E538" s="281" t="s">
        <v>1120</v>
      </c>
      <c r="F538" s="616">
        <v>925000.0</v>
      </c>
      <c r="G538" s="616">
        <v>165000.0</v>
      </c>
      <c r="H538" s="9"/>
      <c r="I538" s="8"/>
      <c r="J538" s="9"/>
      <c r="O538" s="497"/>
      <c r="P538" s="495" t="str">
        <f t="shared" si="4"/>
        <v>BELUM LUNAS</v>
      </c>
      <c r="Q538" s="135">
        <f t="shared" si="5"/>
        <v>1800000</v>
      </c>
      <c r="S538" s="101"/>
    </row>
    <row r="539" ht="15.75" customHeight="1">
      <c r="A539" s="49"/>
      <c r="C539" s="589">
        <v>46085.0</v>
      </c>
      <c r="D539" s="589">
        <v>45922.0</v>
      </c>
      <c r="E539" s="281" t="s">
        <v>610</v>
      </c>
      <c r="F539" s="616">
        <v>1000000.0</v>
      </c>
      <c r="G539" s="616">
        <v>0.0</v>
      </c>
      <c r="H539" s="9"/>
      <c r="I539" s="8"/>
      <c r="J539" s="9"/>
      <c r="O539" s="497"/>
      <c r="P539" s="495" t="str">
        <f t="shared" si="4"/>
        <v>BELUM LUNAS</v>
      </c>
      <c r="Q539" s="135">
        <f t="shared" si="5"/>
        <v>4100000</v>
      </c>
      <c r="S539" s="101"/>
    </row>
    <row r="540" ht="15.75" customHeight="1">
      <c r="A540" s="49"/>
      <c r="C540" s="589">
        <v>46086.0</v>
      </c>
      <c r="D540" s="589">
        <v>46045.0</v>
      </c>
      <c r="E540" s="281" t="s">
        <v>267</v>
      </c>
      <c r="F540" s="616">
        <v>6400000.0</v>
      </c>
      <c r="G540" s="616">
        <v>695000.0</v>
      </c>
      <c r="H540" s="9"/>
      <c r="I540" s="8"/>
      <c r="J540" s="9"/>
      <c r="O540" s="497"/>
      <c r="P540" s="495" t="str">
        <f t="shared" si="4"/>
        <v>BELUM LUNAS</v>
      </c>
      <c r="Q540" s="135">
        <f t="shared" si="5"/>
        <v>1630000</v>
      </c>
      <c r="S540" s="101"/>
    </row>
    <row r="541" ht="15.75" customHeight="1">
      <c r="A541" s="49"/>
      <c r="C541" s="589">
        <v>46086.0</v>
      </c>
      <c r="D541" s="589">
        <v>46056.0</v>
      </c>
      <c r="E541" s="281" t="s">
        <v>208</v>
      </c>
      <c r="F541" s="616">
        <v>1330000.0</v>
      </c>
      <c r="G541" s="616">
        <v>195000.0</v>
      </c>
      <c r="H541" s="9"/>
      <c r="I541" s="8"/>
      <c r="J541" s="9"/>
      <c r="O541" s="497"/>
      <c r="P541" s="495" t="str">
        <f t="shared" si="4"/>
        <v>BELUM LUNAS</v>
      </c>
      <c r="Q541" s="135">
        <f t="shared" si="5"/>
        <v>4120000</v>
      </c>
      <c r="S541" s="101"/>
    </row>
    <row r="542" ht="15.75" customHeight="1">
      <c r="A542" s="49"/>
      <c r="C542" s="589">
        <v>46087.0</v>
      </c>
      <c r="D542" s="589">
        <v>46055.0</v>
      </c>
      <c r="E542" s="281" t="s">
        <v>555</v>
      </c>
      <c r="F542" s="616">
        <v>3620000.0</v>
      </c>
      <c r="G542" s="616">
        <v>590000.0</v>
      </c>
      <c r="H542" s="9"/>
      <c r="I542" s="8"/>
      <c r="J542" s="9"/>
      <c r="O542" s="497"/>
      <c r="P542" s="495" t="str">
        <f t="shared" si="4"/>
        <v>BELUM LUNAS</v>
      </c>
      <c r="Q542" s="135">
        <f t="shared" si="5"/>
        <v>2050000</v>
      </c>
      <c r="S542" s="101"/>
    </row>
    <row r="543" ht="15.75" customHeight="1">
      <c r="A543" s="49"/>
      <c r="C543" s="589">
        <v>46089.0</v>
      </c>
      <c r="D543" s="589">
        <v>46055.0</v>
      </c>
      <c r="E543" s="281" t="s">
        <v>1156</v>
      </c>
      <c r="F543" s="616">
        <v>1120000.0</v>
      </c>
      <c r="G543" s="616">
        <v>0.0</v>
      </c>
      <c r="H543" s="9"/>
      <c r="I543" s="8"/>
      <c r="J543" s="9"/>
      <c r="O543" s="497"/>
      <c r="P543" s="495" t="str">
        <f t="shared" si="4"/>
        <v>BELUM LUNAS</v>
      </c>
      <c r="Q543" s="135">
        <f t="shared" si="5"/>
        <v>5800000</v>
      </c>
      <c r="S543" s="101"/>
    </row>
    <row r="544" ht="15.75" customHeight="1">
      <c r="A544" s="49"/>
      <c r="C544" s="589">
        <v>46090.0</v>
      </c>
      <c r="D544" s="589">
        <v>45992.0</v>
      </c>
      <c r="E544" s="281" t="s">
        <v>1094</v>
      </c>
      <c r="F544" s="616">
        <v>300000.0</v>
      </c>
      <c r="G544" s="616">
        <v>0.0</v>
      </c>
      <c r="H544" s="9"/>
      <c r="I544" s="8"/>
      <c r="J544" s="9"/>
      <c r="O544" s="497"/>
      <c r="P544" s="495" t="str">
        <f t="shared" si="4"/>
        <v>BELUM LUNAS</v>
      </c>
      <c r="Q544" s="135">
        <f t="shared" si="5"/>
        <v>1750000</v>
      </c>
      <c r="S544" s="101"/>
    </row>
    <row r="545" ht="15.75" customHeight="1">
      <c r="A545" s="49"/>
      <c r="C545" s="589">
        <v>46090.0</v>
      </c>
      <c r="D545" s="589">
        <v>45947.0</v>
      </c>
      <c r="E545" s="281" t="s">
        <v>901</v>
      </c>
      <c r="F545" s="616">
        <v>1500000.0</v>
      </c>
      <c r="G545" s="616">
        <v>0.0</v>
      </c>
      <c r="H545" s="9"/>
      <c r="I545" s="8"/>
      <c r="J545" s="9"/>
      <c r="O545" s="497"/>
      <c r="P545" s="495" t="str">
        <f t="shared" si="4"/>
        <v>BELUM LUNAS</v>
      </c>
      <c r="Q545" s="135">
        <f t="shared" si="5"/>
        <v>4560000</v>
      </c>
      <c r="S545" s="101"/>
    </row>
    <row r="546" ht="15.75" customHeight="1">
      <c r="A546" s="49"/>
      <c r="C546" s="589">
        <v>46091.0</v>
      </c>
      <c r="D546" s="589">
        <v>46064.0</v>
      </c>
      <c r="E546" s="281" t="s">
        <v>641</v>
      </c>
      <c r="F546" s="616">
        <v>1750000.0</v>
      </c>
      <c r="G546" s="616">
        <v>205000.0</v>
      </c>
      <c r="H546" s="9"/>
      <c r="I546" s="8"/>
      <c r="J546" s="9"/>
      <c r="O546" s="497"/>
      <c r="P546" s="495" t="str">
        <f t="shared" si="4"/>
        <v>BELUM LUNAS</v>
      </c>
      <c r="Q546" s="135">
        <f t="shared" si="5"/>
        <v>1760000</v>
      </c>
      <c r="S546" s="101"/>
    </row>
    <row r="547" ht="15.75" customHeight="1">
      <c r="A547" s="49"/>
      <c r="C547" s="589">
        <v>46092.0</v>
      </c>
      <c r="D547" s="589">
        <v>46079.0</v>
      </c>
      <c r="E547" s="281" t="s">
        <v>74</v>
      </c>
      <c r="F547" s="616">
        <v>1590000.0</v>
      </c>
      <c r="G547" s="616">
        <v>205000.0</v>
      </c>
      <c r="H547" s="9"/>
      <c r="I547" s="8"/>
      <c r="J547" s="9"/>
      <c r="O547" s="497"/>
      <c r="P547" s="495" t="str">
        <f t="shared" si="4"/>
        <v>BELUM LUNAS</v>
      </c>
      <c r="Q547" s="135">
        <f t="shared" si="5"/>
        <v>4100000</v>
      </c>
      <c r="S547" s="101"/>
    </row>
    <row r="548" ht="15.75" customHeight="1">
      <c r="A548" s="49"/>
      <c r="C548" s="589">
        <v>46093.0</v>
      </c>
      <c r="D548" s="589">
        <v>46043.0</v>
      </c>
      <c r="E548" s="281" t="s">
        <v>264</v>
      </c>
      <c r="F548" s="616">
        <v>9440000.0</v>
      </c>
      <c r="G548" s="616">
        <v>800000.0</v>
      </c>
      <c r="H548" s="9"/>
      <c r="I548" s="8"/>
      <c r="J548" s="9"/>
      <c r="O548" s="497"/>
      <c r="P548" s="495" t="str">
        <f t="shared" si="4"/>
        <v>BELUM LUNAS</v>
      </c>
      <c r="Q548" s="135">
        <f t="shared" si="5"/>
        <v>4720000</v>
      </c>
      <c r="S548" s="101"/>
    </row>
    <row r="549" ht="15.75" customHeight="1">
      <c r="A549" s="49"/>
      <c r="C549" s="589">
        <v>46094.0</v>
      </c>
      <c r="D549" s="589">
        <v>46064.0</v>
      </c>
      <c r="E549" s="281" t="s">
        <v>962</v>
      </c>
      <c r="F549" s="616">
        <v>1300000.0</v>
      </c>
      <c r="G549" s="616">
        <v>380000.0</v>
      </c>
      <c r="H549" s="9"/>
      <c r="I549" s="8"/>
      <c r="J549" s="9"/>
      <c r="O549" s="497"/>
      <c r="P549" s="495" t="str">
        <f t="shared" si="4"/>
        <v>BELUM LUNAS</v>
      </c>
      <c r="Q549" s="135">
        <f t="shared" si="5"/>
        <v>3500000</v>
      </c>
      <c r="S549" s="101"/>
    </row>
    <row r="550" ht="15.75" customHeight="1">
      <c r="A550" s="49"/>
      <c r="C550" s="589">
        <v>46094.0</v>
      </c>
      <c r="D550" s="589">
        <v>46061.0</v>
      </c>
      <c r="E550" s="281" t="s">
        <v>544</v>
      </c>
      <c r="F550" s="616">
        <v>3420000.0</v>
      </c>
      <c r="G550" s="616">
        <v>880000.0</v>
      </c>
      <c r="H550" s="9"/>
      <c r="I550" s="8"/>
      <c r="J550" s="9"/>
      <c r="O550" s="497"/>
      <c r="P550" s="495" t="str">
        <f t="shared" si="4"/>
        <v>BELUM LUNAS</v>
      </c>
      <c r="Q550" s="135">
        <f t="shared" si="5"/>
        <v>4500000</v>
      </c>
      <c r="S550" s="101"/>
    </row>
    <row r="551" ht="15.75" customHeight="1">
      <c r="A551" s="49"/>
      <c r="C551" s="589">
        <v>46094.0</v>
      </c>
      <c r="D551" s="589">
        <v>46071.0</v>
      </c>
      <c r="E551" s="281" t="s">
        <v>874</v>
      </c>
      <c r="F551" s="616">
        <v>8180000.0</v>
      </c>
      <c r="G551" s="616">
        <v>1240000.0</v>
      </c>
      <c r="H551" s="9"/>
      <c r="I551" s="8"/>
      <c r="J551" s="9"/>
      <c r="O551" s="497"/>
      <c r="P551" s="495" t="str">
        <f t="shared" si="4"/>
        <v>BELUM LUNAS</v>
      </c>
      <c r="Q551" s="135">
        <f t="shared" si="5"/>
        <v>1700000</v>
      </c>
      <c r="S551" s="101"/>
    </row>
    <row r="552" ht="15.75" customHeight="1">
      <c r="A552" s="49"/>
      <c r="C552" s="589">
        <v>46095.0</v>
      </c>
      <c r="D552" s="589">
        <v>46063.0</v>
      </c>
      <c r="E552" s="281" t="s">
        <v>1085</v>
      </c>
      <c r="F552" s="616">
        <v>335000.0</v>
      </c>
      <c r="G552" s="616">
        <v>0.0</v>
      </c>
      <c r="H552" s="9"/>
      <c r="I552" s="8"/>
      <c r="J552" s="9"/>
      <c r="O552" s="497"/>
      <c r="P552" s="495" t="str">
        <f t="shared" si="4"/>
        <v>BELUM LUNAS</v>
      </c>
      <c r="Q552" s="135">
        <f t="shared" si="5"/>
        <v>2050000</v>
      </c>
      <c r="S552" s="101"/>
    </row>
    <row r="553" ht="15.75" customHeight="1">
      <c r="A553" s="49"/>
      <c r="C553" s="589">
        <v>46100.0</v>
      </c>
      <c r="D553" s="589">
        <v>46076.0</v>
      </c>
      <c r="E553" s="281" t="s">
        <v>595</v>
      </c>
      <c r="F553" s="616">
        <v>4500000.0</v>
      </c>
      <c r="G553" s="616">
        <v>815000.0</v>
      </c>
      <c r="H553" s="9"/>
      <c r="I553" s="8"/>
      <c r="J553" s="9"/>
      <c r="O553" s="497"/>
      <c r="P553" s="495" t="str">
        <f t="shared" si="4"/>
        <v>BELUM LUNAS</v>
      </c>
      <c r="Q553" s="135">
        <f t="shared" si="5"/>
        <v>1875000</v>
      </c>
      <c r="S553" s="101"/>
    </row>
    <row r="554" ht="15.75" customHeight="1">
      <c r="A554" s="49"/>
      <c r="C554" s="653">
        <v>46101.0</v>
      </c>
      <c r="D554" s="653">
        <v>46067.0</v>
      </c>
      <c r="E554" s="639" t="s">
        <v>735</v>
      </c>
      <c r="F554" s="654">
        <v>4100000.0</v>
      </c>
      <c r="G554" s="654">
        <v>420000.0</v>
      </c>
      <c r="H554" s="9"/>
      <c r="I554" s="8"/>
      <c r="J554" s="9"/>
      <c r="O554" s="497"/>
      <c r="P554" s="495" t="str">
        <f t="shared" si="4"/>
        <v>BELUM LUNAS</v>
      </c>
      <c r="Q554" s="135">
        <f t="shared" si="5"/>
        <v>4260000</v>
      </c>
      <c r="S554" s="101"/>
    </row>
    <row r="555" ht="15.75" customHeight="1">
      <c r="A555" s="49"/>
      <c r="C555" s="589">
        <v>46101.0</v>
      </c>
      <c r="D555" s="589">
        <v>46013.0</v>
      </c>
      <c r="E555" s="281" t="s">
        <v>631</v>
      </c>
      <c r="F555" s="616">
        <v>80000.0</v>
      </c>
      <c r="G555" s="616">
        <v>0.0</v>
      </c>
      <c r="H555" s="9"/>
      <c r="I555" s="8"/>
      <c r="J555" s="9"/>
      <c r="O555" s="497"/>
      <c r="P555" s="495" t="str">
        <f t="shared" si="4"/>
        <v>BELUM LUNAS</v>
      </c>
      <c r="Q555" s="135">
        <f t="shared" si="5"/>
        <v>1600000</v>
      </c>
      <c r="S555" s="101"/>
    </row>
    <row r="556" ht="15.75" customHeight="1">
      <c r="A556" s="49"/>
      <c r="C556" s="589">
        <v>46106.0</v>
      </c>
      <c r="D556" s="589">
        <v>46069.0</v>
      </c>
      <c r="E556" s="281" t="s">
        <v>1139</v>
      </c>
      <c r="F556" s="616">
        <v>435000.0</v>
      </c>
      <c r="G556" s="616">
        <v>0.0</v>
      </c>
      <c r="H556" s="9"/>
      <c r="I556" s="8"/>
      <c r="J556" s="9"/>
      <c r="O556" s="497"/>
      <c r="P556" s="495" t="str">
        <f t="shared" si="4"/>
        <v>BELUM LUNAS</v>
      </c>
      <c r="Q556" s="135">
        <f t="shared" si="5"/>
        <v>4090000</v>
      </c>
      <c r="S556" s="101"/>
    </row>
    <row r="557" ht="15.75" customHeight="1">
      <c r="A557" s="49"/>
      <c r="C557" s="589">
        <v>46106.0</v>
      </c>
      <c r="D557" s="589">
        <v>46057.0</v>
      </c>
      <c r="E557" s="281" t="s">
        <v>267</v>
      </c>
      <c r="F557" s="616">
        <v>1625000.0</v>
      </c>
      <c r="G557" s="616">
        <v>200000.0</v>
      </c>
      <c r="H557" s="9"/>
      <c r="I557" s="8"/>
      <c r="J557" s="9"/>
      <c r="O557" s="497"/>
      <c r="P557" s="495" t="str">
        <f t="shared" si="4"/>
        <v>BELUM LUNAS</v>
      </c>
      <c r="Q557" s="135">
        <f t="shared" si="5"/>
        <v>625000</v>
      </c>
      <c r="S557" s="101"/>
    </row>
    <row r="558" ht="15.75" customHeight="1">
      <c r="A558" s="49"/>
      <c r="C558" s="589">
        <v>46106.0</v>
      </c>
      <c r="D558" s="589">
        <v>46071.0</v>
      </c>
      <c r="E558" s="281" t="s">
        <v>346</v>
      </c>
      <c r="F558" s="616">
        <v>3140000.0</v>
      </c>
      <c r="G558" s="616">
        <v>640000.0</v>
      </c>
      <c r="H558" s="9"/>
      <c r="I558" s="8"/>
      <c r="J558" s="9"/>
      <c r="O558" s="497"/>
      <c r="P558" s="495" t="str">
        <f t="shared" si="4"/>
        <v>BELUM LUNAS</v>
      </c>
      <c r="Q558" s="135">
        <f t="shared" si="5"/>
        <v>875000</v>
      </c>
      <c r="S558" s="101"/>
    </row>
    <row r="559" ht="15.75" customHeight="1">
      <c r="A559" s="49"/>
      <c r="C559" s="589">
        <v>46113.0</v>
      </c>
      <c r="D559" s="589">
        <v>46069.0</v>
      </c>
      <c r="E559" s="281" t="s">
        <v>1139</v>
      </c>
      <c r="F559" s="616">
        <v>300000.0</v>
      </c>
      <c r="G559" s="616">
        <v>0.0</v>
      </c>
      <c r="H559" s="9"/>
      <c r="I559" s="8"/>
      <c r="J559" s="9"/>
      <c r="O559" s="497"/>
      <c r="P559" s="495" t="str">
        <f t="shared" si="4"/>
        <v>BELUM LUNAS</v>
      </c>
      <c r="Q559" s="135">
        <f t="shared" si="5"/>
        <v>875000</v>
      </c>
      <c r="S559" s="101"/>
    </row>
    <row r="560" ht="15.75" customHeight="1">
      <c r="A560" s="49"/>
      <c r="C560" s="589">
        <v>46117.0</v>
      </c>
      <c r="D560" s="589">
        <v>45992.0</v>
      </c>
      <c r="E560" s="281" t="s">
        <v>1094</v>
      </c>
      <c r="F560" s="616">
        <v>300000.0</v>
      </c>
      <c r="G560" s="616">
        <v>0.0</v>
      </c>
      <c r="H560" s="9"/>
      <c r="I560" s="8"/>
      <c r="J560" s="9"/>
      <c r="O560" s="497"/>
      <c r="P560" s="495" t="str">
        <f t="shared" si="4"/>
        <v>BELUM LUNAS</v>
      </c>
      <c r="Q560" s="135">
        <f t="shared" si="5"/>
        <v>2120000</v>
      </c>
      <c r="S560" s="101"/>
    </row>
    <row r="561" ht="15.75" customHeight="1">
      <c r="A561" s="49"/>
      <c r="C561" s="589">
        <v>46118.0</v>
      </c>
      <c r="D561" s="589">
        <v>46097.0</v>
      </c>
      <c r="E561" s="281" t="s">
        <v>854</v>
      </c>
      <c r="F561" s="616">
        <v>1700000.0</v>
      </c>
      <c r="G561" s="616">
        <v>155000.0</v>
      </c>
      <c r="H561" s="9"/>
      <c r="I561" s="8"/>
      <c r="J561" s="9"/>
      <c r="O561" s="497"/>
      <c r="P561" s="495" t="str">
        <f t="shared" si="4"/>
        <v>BELUM LUNAS</v>
      </c>
      <c r="Q561" s="135">
        <f t="shared" si="5"/>
        <v>3540000</v>
      </c>
      <c r="S561" s="101"/>
    </row>
    <row r="562" ht="15.75" customHeight="1">
      <c r="A562" s="49"/>
      <c r="C562" s="589">
        <v>46119.0</v>
      </c>
      <c r="D562" s="589">
        <v>45947.0</v>
      </c>
      <c r="E562" s="281" t="s">
        <v>901</v>
      </c>
      <c r="F562" s="616">
        <v>1000000.0</v>
      </c>
      <c r="G562" s="616">
        <v>0.0</v>
      </c>
      <c r="H562" s="9"/>
      <c r="I562" s="8"/>
      <c r="J562" s="9"/>
      <c r="O562" s="497"/>
      <c r="P562" s="495" t="str">
        <f t="shared" si="4"/>
        <v>BELUM LUNAS</v>
      </c>
      <c r="Q562" s="135">
        <f t="shared" si="5"/>
        <v>4000000</v>
      </c>
      <c r="S562" s="101"/>
    </row>
    <row r="563" ht="15.75" customHeight="1">
      <c r="A563" s="49"/>
      <c r="C563" s="589">
        <v>46119.0</v>
      </c>
      <c r="D563" s="589">
        <v>46067.0</v>
      </c>
      <c r="E563" s="281" t="s">
        <v>267</v>
      </c>
      <c r="F563" s="616">
        <v>4720000.0</v>
      </c>
      <c r="G563" s="616">
        <v>400000.0</v>
      </c>
      <c r="H563" s="9"/>
      <c r="I563" s="8"/>
      <c r="J563" s="9"/>
      <c r="O563" s="497"/>
      <c r="P563" s="495" t="str">
        <f t="shared" si="4"/>
        <v>BELUM LUNAS</v>
      </c>
      <c r="Q563" s="135">
        <f t="shared" si="5"/>
        <v>1850000</v>
      </c>
      <c r="S563" s="101"/>
    </row>
    <row r="564" ht="15.75" customHeight="1">
      <c r="A564" s="49"/>
      <c r="C564" s="589">
        <v>46119.0</v>
      </c>
      <c r="D564" s="589">
        <v>46078.0</v>
      </c>
      <c r="E564" s="281" t="s">
        <v>267</v>
      </c>
      <c r="F564" s="616">
        <v>3480000.0</v>
      </c>
      <c r="G564" s="616">
        <v>580000.0</v>
      </c>
      <c r="H564" s="9"/>
      <c r="I564" s="8"/>
      <c r="J564" s="9"/>
      <c r="O564" s="497"/>
      <c r="P564" s="495" t="str">
        <f t="shared" si="4"/>
        <v>BELUM LUNAS</v>
      </c>
      <c r="Q564" s="135">
        <f t="shared" si="5"/>
        <v>1850000</v>
      </c>
      <c r="S564" s="101"/>
    </row>
    <row r="565" ht="15.75" customHeight="1">
      <c r="A565" s="49"/>
      <c r="C565" s="589">
        <v>46120.0</v>
      </c>
      <c r="D565" s="589">
        <v>46120.0</v>
      </c>
      <c r="E565" s="281" t="s">
        <v>119</v>
      </c>
      <c r="F565" s="616">
        <v>4460000.0</v>
      </c>
      <c r="G565" s="616">
        <v>400000.0</v>
      </c>
      <c r="H565" s="9"/>
      <c r="I565" s="8"/>
      <c r="J565" s="9"/>
      <c r="O565" s="497"/>
      <c r="P565" s="495" t="str">
        <f t="shared" si="4"/>
        <v>BELUM LUNAS</v>
      </c>
      <c r="Q565" s="135">
        <f t="shared" si="5"/>
        <v>2570000</v>
      </c>
      <c r="S565" s="101"/>
    </row>
    <row r="566" ht="15.75" customHeight="1">
      <c r="A566" s="49"/>
      <c r="C566" s="589">
        <v>46120.0</v>
      </c>
      <c r="D566" s="589">
        <v>46085.0</v>
      </c>
      <c r="E566" s="281" t="s">
        <v>693</v>
      </c>
      <c r="F566" s="616">
        <v>1500000.0</v>
      </c>
      <c r="G566" s="616">
        <v>330000.0</v>
      </c>
      <c r="H566" s="9"/>
      <c r="I566" s="8"/>
      <c r="J566" s="9"/>
      <c r="O566" s="497"/>
      <c r="P566" s="495" t="str">
        <f t="shared" si="4"/>
        <v>BELUM LUNAS</v>
      </c>
      <c r="Q566" s="135">
        <f t="shared" si="5"/>
        <v>2100000</v>
      </c>
      <c r="S566" s="101"/>
    </row>
    <row r="567" ht="15.75" customHeight="1">
      <c r="A567" s="49"/>
      <c r="C567" s="589">
        <v>46125.0</v>
      </c>
      <c r="D567" s="589">
        <v>46093.0</v>
      </c>
      <c r="E567" s="281" t="s">
        <v>1040</v>
      </c>
      <c r="F567" s="616">
        <v>2150000.0</v>
      </c>
      <c r="G567" s="616">
        <v>400000.0</v>
      </c>
      <c r="H567" s="9"/>
      <c r="I567" s="8"/>
      <c r="J567" s="9"/>
      <c r="O567" s="497"/>
      <c r="P567" s="495" t="str">
        <f t="shared" si="4"/>
        <v>BELUM LUNAS</v>
      </c>
      <c r="Q567" s="135">
        <f t="shared" si="5"/>
        <v>1530000</v>
      </c>
      <c r="S567" s="101"/>
    </row>
    <row r="568" ht="15.75" customHeight="1">
      <c r="A568" s="49"/>
      <c r="C568" s="589">
        <v>46125.0</v>
      </c>
      <c r="D568" s="589">
        <v>46107.0</v>
      </c>
      <c r="E568" s="281" t="s">
        <v>843</v>
      </c>
      <c r="F568" s="616">
        <v>1000000.0</v>
      </c>
      <c r="G568" s="616">
        <v>0.0</v>
      </c>
      <c r="H568" s="9"/>
      <c r="I568" s="8"/>
      <c r="J568" s="9"/>
      <c r="O568" s="497"/>
      <c r="P568" s="495" t="str">
        <f t="shared" si="4"/>
        <v>BELUM LUNAS</v>
      </c>
      <c r="Q568" s="135">
        <f t="shared" si="5"/>
        <v>4855000</v>
      </c>
      <c r="S568" s="101"/>
    </row>
    <row r="569" ht="15.75" customHeight="1">
      <c r="A569" s="49"/>
      <c r="C569" s="589">
        <v>46128.0</v>
      </c>
      <c r="D569" s="589">
        <v>46086.0</v>
      </c>
      <c r="E569" s="281" t="s">
        <v>267</v>
      </c>
      <c r="F569" s="616">
        <v>7970000.0</v>
      </c>
      <c r="G569" s="616">
        <v>800000.0</v>
      </c>
      <c r="H569" s="9"/>
      <c r="I569" s="8"/>
      <c r="J569" s="9"/>
      <c r="O569" s="497"/>
      <c r="P569" s="495" t="str">
        <f t="shared" si="4"/>
        <v>BELUM LUNAS</v>
      </c>
      <c r="Q569" s="135">
        <f t="shared" si="5"/>
        <v>8180000</v>
      </c>
      <c r="S569" s="101"/>
    </row>
    <row r="570" ht="15.75" customHeight="1">
      <c r="A570" s="49"/>
      <c r="C570" s="589">
        <v>46128.0</v>
      </c>
      <c r="D570" s="589">
        <v>46092.0</v>
      </c>
      <c r="E570" s="281" t="s">
        <v>267</v>
      </c>
      <c r="F570" s="616">
        <v>4720000.0</v>
      </c>
      <c r="G570" s="616">
        <v>400000.0</v>
      </c>
      <c r="H570" s="9"/>
      <c r="I570" s="8"/>
      <c r="J570" s="9"/>
      <c r="O570" s="497"/>
      <c r="P570" s="495" t="str">
        <f t="shared" si="4"/>
        <v>BELUM LUNAS</v>
      </c>
      <c r="Q570" s="135">
        <f t="shared" si="5"/>
        <v>2560000</v>
      </c>
      <c r="S570" s="101"/>
    </row>
    <row r="571" ht="15.75" customHeight="1">
      <c r="A571" s="49"/>
      <c r="C571" s="589">
        <v>46128.0</v>
      </c>
      <c r="D571" s="589">
        <v>46097.0</v>
      </c>
      <c r="E571" s="281" t="s">
        <v>208</v>
      </c>
      <c r="F571" s="616">
        <v>1330000.0</v>
      </c>
      <c r="G571" s="616">
        <v>195000.0</v>
      </c>
      <c r="H571" s="9"/>
      <c r="I571" s="8"/>
      <c r="J571" s="9"/>
      <c r="O571" s="497"/>
      <c r="P571" s="495" t="str">
        <f t="shared" si="4"/>
        <v>BELUM LUNAS</v>
      </c>
      <c r="Q571" s="135">
        <f t="shared" si="5"/>
        <v>3040000</v>
      </c>
      <c r="S571" s="101"/>
    </row>
    <row r="572" ht="15.75" customHeight="1">
      <c r="A572" s="49"/>
      <c r="C572" s="589">
        <v>46129.0</v>
      </c>
      <c r="D572" s="589">
        <v>46067.0</v>
      </c>
      <c r="E572" s="281" t="s">
        <v>927</v>
      </c>
      <c r="F572" s="616">
        <v>3500000.0</v>
      </c>
      <c r="G572" s="616">
        <v>0.0</v>
      </c>
      <c r="H572" s="9"/>
      <c r="I572" s="8"/>
      <c r="J572" s="9"/>
      <c r="O572" s="497"/>
      <c r="P572" s="495" t="str">
        <f t="shared" si="4"/>
        <v>BELUM LUNAS</v>
      </c>
      <c r="Q572" s="135">
        <f t="shared" si="5"/>
        <v>1280000</v>
      </c>
      <c r="S572" s="101"/>
    </row>
    <row r="573" ht="15.75" customHeight="1">
      <c r="A573" s="49"/>
      <c r="C573" s="589">
        <v>46132.0</v>
      </c>
      <c r="D573" s="589">
        <v>46098.0</v>
      </c>
      <c r="E573" s="281" t="s">
        <v>331</v>
      </c>
      <c r="F573" s="616">
        <v>4300000.0</v>
      </c>
      <c r="G573" s="616">
        <v>420000.0</v>
      </c>
      <c r="H573" s="9"/>
      <c r="I573" s="8"/>
      <c r="J573" s="9"/>
      <c r="O573" s="497"/>
      <c r="P573" s="495" t="str">
        <f t="shared" si="4"/>
        <v>BELUM LUNAS</v>
      </c>
      <c r="Q573" s="135">
        <f t="shared" si="5"/>
        <v>3220000</v>
      </c>
      <c r="S573" s="101"/>
    </row>
    <row r="574" ht="15.75" customHeight="1">
      <c r="A574" s="49"/>
      <c r="C574" s="589">
        <v>46132.0</v>
      </c>
      <c r="D574" s="589">
        <v>46104.0</v>
      </c>
      <c r="E574" s="281" t="s">
        <v>595</v>
      </c>
      <c r="F574" s="616">
        <v>1200000.0</v>
      </c>
      <c r="G574" s="616">
        <v>0.0</v>
      </c>
      <c r="H574" s="9"/>
      <c r="I574" s="8"/>
      <c r="J574" s="9"/>
      <c r="O574" s="497"/>
      <c r="P574" s="495" t="str">
        <f t="shared" si="4"/>
        <v>BELUM LUNAS</v>
      </c>
      <c r="Q574" s="135">
        <f t="shared" si="5"/>
        <v>1820000</v>
      </c>
      <c r="S574" s="101"/>
    </row>
    <row r="575" ht="15.75" customHeight="1">
      <c r="A575" s="49"/>
      <c r="C575" s="589">
        <v>46132.0</v>
      </c>
      <c r="D575" s="589">
        <v>46083.0</v>
      </c>
      <c r="E575" s="281" t="s">
        <v>536</v>
      </c>
      <c r="F575" s="616">
        <v>1700000.0</v>
      </c>
      <c r="G575" s="616">
        <v>200000.0</v>
      </c>
      <c r="H575" s="9"/>
      <c r="I575" s="8"/>
      <c r="J575" s="9"/>
      <c r="K575" s="611"/>
      <c r="L575" s="612"/>
      <c r="M575" s="613"/>
      <c r="N575" s="497"/>
      <c r="O575" s="497"/>
      <c r="P575" s="495" t="str">
        <f t="shared" si="4"/>
        <v>LUNAS</v>
      </c>
      <c r="Q575" s="135">
        <f t="shared" si="5"/>
        <v>0</v>
      </c>
      <c r="S575" s="101"/>
    </row>
    <row r="576" ht="15.75" customHeight="1">
      <c r="A576" s="49"/>
      <c r="C576" s="589">
        <v>46133.0</v>
      </c>
      <c r="D576" s="589">
        <v>45980.0</v>
      </c>
      <c r="E576" s="281" t="s">
        <v>270</v>
      </c>
      <c r="F576" s="616">
        <v>6920000.0</v>
      </c>
      <c r="G576" s="616">
        <v>1410000.0</v>
      </c>
      <c r="H576" s="9"/>
      <c r="I576" s="8"/>
      <c r="J576" s="9"/>
      <c r="K576" s="611"/>
      <c r="L576" s="612"/>
      <c r="M576" s="613"/>
      <c r="N576" s="497"/>
      <c r="O576" s="497"/>
      <c r="P576" s="495" t="str">
        <f t="shared" si="4"/>
        <v>LUNAS</v>
      </c>
      <c r="Q576" s="135">
        <f t="shared" si="5"/>
        <v>0</v>
      </c>
      <c r="S576" s="101"/>
    </row>
    <row r="577" ht="15.75" customHeight="1">
      <c r="A577" s="49"/>
      <c r="C577" s="589">
        <v>46133.0</v>
      </c>
      <c r="D577" s="589">
        <v>46091.0</v>
      </c>
      <c r="E577" s="281" t="s">
        <v>168</v>
      </c>
      <c r="F577" s="616">
        <v>4500000.0</v>
      </c>
      <c r="G577" s="616">
        <v>400000.0</v>
      </c>
      <c r="H577" s="9"/>
      <c r="I577" s="8"/>
      <c r="J577" s="9"/>
      <c r="K577" s="611"/>
      <c r="L577" s="612"/>
      <c r="M577" s="613"/>
      <c r="N577" s="497"/>
      <c r="O577" s="497"/>
      <c r="P577" s="495" t="str">
        <f t="shared" si="4"/>
        <v>LUNAS</v>
      </c>
      <c r="Q577" s="135">
        <f t="shared" si="5"/>
        <v>0</v>
      </c>
      <c r="S577" s="101"/>
    </row>
    <row r="578" ht="15.75" customHeight="1">
      <c r="A578" s="49"/>
      <c r="C578" s="589">
        <v>46133.0</v>
      </c>
      <c r="D578" s="589">
        <v>45919.0</v>
      </c>
      <c r="E578" s="281" t="s">
        <v>410</v>
      </c>
      <c r="F578" s="616">
        <v>200000.0</v>
      </c>
      <c r="G578" s="616">
        <v>0.0</v>
      </c>
      <c r="H578" s="9"/>
      <c r="I578" s="8"/>
      <c r="J578" s="9"/>
      <c r="K578" s="611"/>
      <c r="L578" s="612"/>
      <c r="M578" s="613"/>
      <c r="N578" s="497"/>
      <c r="O578" s="497"/>
      <c r="P578" s="495" t="str">
        <f t="shared" si="4"/>
        <v>LUNAS</v>
      </c>
      <c r="Q578" s="135">
        <f t="shared" si="5"/>
        <v>0</v>
      </c>
      <c r="S578" s="101"/>
    </row>
    <row r="579" ht="15.75" customHeight="1">
      <c r="A579" s="49"/>
      <c r="C579" s="589">
        <v>46134.0</v>
      </c>
      <c r="D579" s="589">
        <v>46134.0</v>
      </c>
      <c r="E579" s="281" t="s">
        <v>1170</v>
      </c>
      <c r="F579" s="616">
        <v>700000.0</v>
      </c>
      <c r="G579" s="616">
        <v>340000.0</v>
      </c>
      <c r="H579" s="9"/>
      <c r="I579" s="8"/>
      <c r="J579" s="9"/>
      <c r="K579" s="611"/>
      <c r="L579" s="612"/>
      <c r="M579" s="613"/>
      <c r="N579" s="497"/>
      <c r="O579" s="497"/>
      <c r="P579" s="495" t="str">
        <f t="shared" si="4"/>
        <v>LUNAS</v>
      </c>
      <c r="Q579" s="135">
        <f t="shared" si="5"/>
        <v>0</v>
      </c>
      <c r="S579" s="101"/>
    </row>
    <row r="580" ht="15.75" customHeight="1">
      <c r="A580" s="49"/>
      <c r="C580" s="589">
        <v>46135.0</v>
      </c>
      <c r="D580" s="589">
        <v>46093.0</v>
      </c>
      <c r="E580" s="281" t="s">
        <v>515</v>
      </c>
      <c r="F580" s="616">
        <v>4200000.0</v>
      </c>
      <c r="G580" s="616">
        <v>620000.0</v>
      </c>
      <c r="H580" s="9"/>
      <c r="I580" s="8"/>
      <c r="J580" s="9"/>
      <c r="K580" s="611"/>
      <c r="L580" s="612"/>
      <c r="M580" s="613"/>
      <c r="N580" s="497"/>
      <c r="O580" s="497"/>
      <c r="P580" s="495" t="str">
        <f t="shared" si="4"/>
        <v>LUNAS</v>
      </c>
      <c r="Q580" s="135">
        <f t="shared" si="5"/>
        <v>0</v>
      </c>
      <c r="S580" s="101"/>
    </row>
    <row r="581" ht="15.75" customHeight="1">
      <c r="A581" s="49"/>
      <c r="C581" s="589">
        <v>46138.0</v>
      </c>
      <c r="D581" s="589">
        <v>46114.0</v>
      </c>
      <c r="E581" s="281" t="s">
        <v>208</v>
      </c>
      <c r="F581" s="616">
        <v>2660000.0</v>
      </c>
      <c r="G581" s="616">
        <v>390000.0</v>
      </c>
      <c r="H581" s="9"/>
      <c r="I581" s="8"/>
      <c r="J581" s="9"/>
      <c r="K581" s="611"/>
      <c r="L581" s="612"/>
      <c r="M581" s="613"/>
      <c r="N581" s="497"/>
      <c r="O581" s="497"/>
      <c r="P581" s="495" t="str">
        <f t="shared" si="4"/>
        <v>LUNAS</v>
      </c>
      <c r="Q581" s="135">
        <f t="shared" si="5"/>
        <v>0</v>
      </c>
      <c r="S581" s="101"/>
    </row>
    <row r="582" ht="15.75" customHeight="1">
      <c r="A582" s="49"/>
      <c r="C582" s="589">
        <v>46139.0</v>
      </c>
      <c r="D582" s="589">
        <v>46107.0</v>
      </c>
      <c r="E582" s="281" t="s">
        <v>274</v>
      </c>
      <c r="F582" s="616">
        <v>1750000.0</v>
      </c>
      <c r="G582" s="616">
        <v>205000.0</v>
      </c>
      <c r="H582" s="9"/>
      <c r="I582" s="8"/>
      <c r="J582" s="9"/>
      <c r="K582" s="611"/>
      <c r="L582" s="612"/>
      <c r="M582" s="613"/>
      <c r="N582" s="497"/>
      <c r="O582" s="497"/>
      <c r="P582" s="495" t="str">
        <f t="shared" si="4"/>
        <v>LUNAS</v>
      </c>
      <c r="Q582" s="135">
        <f t="shared" si="5"/>
        <v>0</v>
      </c>
      <c r="S582" s="101"/>
    </row>
    <row r="583" ht="15.75" customHeight="1">
      <c r="A583" s="49"/>
      <c r="C583" s="589">
        <v>46140.0</v>
      </c>
      <c r="D583" s="589">
        <v>46109.0</v>
      </c>
      <c r="E583" s="281" t="s">
        <v>1100</v>
      </c>
      <c r="F583" s="616">
        <v>5950000.0</v>
      </c>
      <c r="G583" s="616">
        <v>440000.0</v>
      </c>
      <c r="H583" s="9"/>
      <c r="I583" s="8"/>
      <c r="J583" s="9"/>
      <c r="K583" s="611"/>
      <c r="L583" s="612"/>
      <c r="M583" s="613"/>
      <c r="N583" s="497"/>
      <c r="O583" s="497"/>
      <c r="P583" s="495" t="str">
        <f t="shared" si="4"/>
        <v>LUNAS</v>
      </c>
      <c r="Q583" s="135">
        <f t="shared" si="5"/>
        <v>0</v>
      </c>
      <c r="S583" s="101"/>
    </row>
    <row r="584" ht="15.75" customHeight="1">
      <c r="A584" s="49"/>
      <c r="C584" s="589">
        <v>46143.0</v>
      </c>
      <c r="D584" s="589">
        <v>46098.0</v>
      </c>
      <c r="E584" s="281" t="s">
        <v>119</v>
      </c>
      <c r="F584" s="616">
        <v>5000000.0</v>
      </c>
      <c r="G584" s="616">
        <v>0.0</v>
      </c>
      <c r="H584" s="9"/>
      <c r="I584" s="8"/>
      <c r="J584" s="9"/>
      <c r="K584" s="611"/>
      <c r="L584" s="612"/>
      <c r="M584" s="613"/>
      <c r="N584" s="497"/>
      <c r="O584" s="497"/>
      <c r="P584" s="495" t="str">
        <f t="shared" si="4"/>
        <v>LUNAS</v>
      </c>
      <c r="Q584" s="135">
        <f t="shared" si="5"/>
        <v>0</v>
      </c>
      <c r="S584" s="101"/>
    </row>
    <row r="585" ht="15.75" customHeight="1">
      <c r="A585" s="49"/>
      <c r="C585" s="589">
        <v>46144.0</v>
      </c>
      <c r="D585" s="589">
        <v>46104.0</v>
      </c>
      <c r="E585" s="281" t="s">
        <v>193</v>
      </c>
      <c r="F585" s="616">
        <v>1420000.0</v>
      </c>
      <c r="G585" s="616">
        <v>350000.0</v>
      </c>
      <c r="H585" s="9"/>
      <c r="I585" s="8"/>
      <c r="J585" s="9"/>
      <c r="K585" s="611"/>
      <c r="L585" s="612"/>
      <c r="M585" s="613"/>
      <c r="N585" s="497"/>
      <c r="O585" s="497"/>
      <c r="P585" s="495" t="str">
        <f t="shared" si="4"/>
        <v>LUNAS</v>
      </c>
      <c r="Q585" s="135">
        <f t="shared" si="5"/>
        <v>0</v>
      </c>
      <c r="S585" s="101"/>
    </row>
    <row r="586" ht="15.75" customHeight="1">
      <c r="A586" s="49"/>
      <c r="C586" s="589">
        <v>46146.0</v>
      </c>
      <c r="D586" s="589">
        <v>45968.0</v>
      </c>
      <c r="E586" s="281" t="s">
        <v>1094</v>
      </c>
      <c r="F586" s="616">
        <v>300000.0</v>
      </c>
      <c r="G586" s="616">
        <v>0.0</v>
      </c>
      <c r="H586" s="9"/>
      <c r="I586" s="8"/>
      <c r="J586" s="9"/>
      <c r="K586" s="611"/>
      <c r="L586" s="612"/>
      <c r="M586" s="613"/>
      <c r="N586" s="497"/>
      <c r="O586" s="497"/>
      <c r="P586" s="495" t="str">
        <f t="shared" si="4"/>
        <v>LUNAS</v>
      </c>
      <c r="Q586" s="135">
        <f t="shared" si="5"/>
        <v>0</v>
      </c>
      <c r="S586" s="101"/>
    </row>
    <row r="587" ht="15.75" customHeight="1">
      <c r="A587" s="49"/>
      <c r="C587" s="589">
        <v>46147.0</v>
      </c>
      <c r="D587" s="589">
        <v>46098.0</v>
      </c>
      <c r="E587" s="281" t="s">
        <v>119</v>
      </c>
      <c r="F587" s="616">
        <v>4400000.0</v>
      </c>
      <c r="G587" s="616">
        <v>800000.0</v>
      </c>
      <c r="H587" s="9"/>
      <c r="I587" s="8"/>
      <c r="J587" s="9"/>
      <c r="K587" s="611"/>
      <c r="L587" s="612"/>
      <c r="M587" s="613"/>
      <c r="N587" s="497"/>
      <c r="O587" s="497"/>
      <c r="P587" s="495" t="str">
        <f t="shared" si="4"/>
        <v>LUNAS</v>
      </c>
      <c r="Q587" s="135">
        <f t="shared" si="5"/>
        <v>0</v>
      </c>
      <c r="S587" s="101"/>
    </row>
    <row r="588" ht="15.75" customHeight="1">
      <c r="A588" s="49"/>
      <c r="C588" s="589">
        <v>46149.0</v>
      </c>
      <c r="D588" s="589">
        <v>46116.0</v>
      </c>
      <c r="E588" s="281" t="s">
        <v>254</v>
      </c>
      <c r="F588" s="616">
        <v>2000000.0</v>
      </c>
      <c r="G588" s="616">
        <v>400000.0</v>
      </c>
      <c r="H588" s="9"/>
      <c r="I588" s="8"/>
      <c r="J588" s="9"/>
      <c r="K588" s="611"/>
      <c r="L588" s="612"/>
      <c r="M588" s="613"/>
      <c r="N588" s="497"/>
      <c r="O588" s="497"/>
      <c r="P588" s="495" t="str">
        <f t="shared" si="4"/>
        <v>LUNAS</v>
      </c>
      <c r="Q588" s="135">
        <f t="shared" si="5"/>
        <v>0</v>
      </c>
      <c r="S588" s="101"/>
    </row>
    <row r="589" ht="15.75" customHeight="1">
      <c r="A589" s="49"/>
      <c r="C589" s="589">
        <v>46149.0</v>
      </c>
      <c r="D589" s="589">
        <v>46149.0</v>
      </c>
      <c r="E589" s="281" t="s">
        <v>254</v>
      </c>
      <c r="F589" s="616">
        <v>1100000.0</v>
      </c>
      <c r="G589" s="616">
        <v>420000.0</v>
      </c>
      <c r="H589" s="9"/>
      <c r="I589" s="8"/>
      <c r="J589" s="9"/>
      <c r="K589" s="611"/>
      <c r="L589" s="612"/>
      <c r="M589" s="613"/>
      <c r="N589" s="497"/>
      <c r="O589" s="497"/>
      <c r="P589" s="495" t="str">
        <f t="shared" si="4"/>
        <v>LUNAS</v>
      </c>
      <c r="Q589" s="135">
        <f t="shared" si="5"/>
        <v>0</v>
      </c>
      <c r="S589" s="101"/>
    </row>
    <row r="590" ht="15.75" customHeight="1">
      <c r="A590" s="49"/>
      <c r="C590" s="589">
        <v>46152.0</v>
      </c>
      <c r="D590" s="589">
        <v>46119.0</v>
      </c>
      <c r="E590" s="281" t="s">
        <v>867</v>
      </c>
      <c r="F590" s="616">
        <v>1850000.0</v>
      </c>
      <c r="G590" s="616">
        <v>260000.0</v>
      </c>
      <c r="H590" s="9"/>
      <c r="I590" s="8"/>
      <c r="J590" s="9"/>
      <c r="K590" s="611"/>
      <c r="L590" s="612"/>
      <c r="M590" s="613"/>
      <c r="N590" s="497"/>
      <c r="O590" s="497"/>
      <c r="P590" s="495" t="str">
        <f t="shared" si="4"/>
        <v>LUNAS</v>
      </c>
      <c r="Q590" s="135">
        <f t="shared" si="5"/>
        <v>0</v>
      </c>
      <c r="S590" s="101"/>
    </row>
    <row r="591" ht="15.75" customHeight="1">
      <c r="A591" s="49"/>
      <c r="C591" s="589">
        <v>46152.0</v>
      </c>
      <c r="D591" s="589">
        <v>46120.0</v>
      </c>
      <c r="E591" s="281" t="s">
        <v>661</v>
      </c>
      <c r="F591" s="616">
        <v>2250000.0</v>
      </c>
      <c r="G591" s="616">
        <v>200000.0</v>
      </c>
      <c r="H591" s="9"/>
      <c r="I591" s="8"/>
      <c r="J591" s="9"/>
      <c r="K591" s="611"/>
      <c r="L591" s="612"/>
      <c r="M591" s="613"/>
      <c r="N591" s="497"/>
      <c r="O591" s="497"/>
      <c r="P591" s="495" t="str">
        <f t="shared" si="4"/>
        <v>LUNAS</v>
      </c>
      <c r="Q591" s="135">
        <f t="shared" si="5"/>
        <v>0</v>
      </c>
      <c r="S591" s="101"/>
    </row>
    <row r="592" ht="15.75" customHeight="1">
      <c r="A592" s="49"/>
      <c r="C592" s="589">
        <v>46157.0</v>
      </c>
      <c r="D592" s="589">
        <v>46116.0</v>
      </c>
      <c r="E592" s="281" t="s">
        <v>254</v>
      </c>
      <c r="F592" s="616">
        <v>1000000.0</v>
      </c>
      <c r="G592" s="616">
        <v>0.0</v>
      </c>
      <c r="H592" s="9"/>
      <c r="I592" s="8"/>
      <c r="J592" s="9"/>
      <c r="K592" s="611"/>
      <c r="L592" s="612"/>
      <c r="M592" s="613"/>
      <c r="N592" s="497"/>
      <c r="O592" s="497"/>
      <c r="P592" s="495" t="str">
        <f t="shared" si="4"/>
        <v>LUNAS</v>
      </c>
      <c r="Q592" s="135">
        <f t="shared" si="5"/>
        <v>0</v>
      </c>
      <c r="S592" s="101"/>
    </row>
    <row r="593" ht="15.75" customHeight="1">
      <c r="A593" s="49"/>
      <c r="C593" s="589">
        <v>46158.0</v>
      </c>
      <c r="D593" s="589">
        <v>46158.0</v>
      </c>
      <c r="E593" s="281" t="s">
        <v>470</v>
      </c>
      <c r="F593" s="616">
        <v>1.0E7</v>
      </c>
      <c r="G593" s="616">
        <v>2580000.0</v>
      </c>
      <c r="H593" s="9"/>
      <c r="I593" s="8"/>
      <c r="J593" s="9"/>
      <c r="K593" s="611"/>
      <c r="L593" s="612"/>
      <c r="M593" s="613"/>
      <c r="N593" s="497"/>
      <c r="O593" s="497"/>
      <c r="P593" s="495" t="str">
        <f t="shared" si="4"/>
        <v>LUNAS</v>
      </c>
      <c r="Q593" s="135">
        <f t="shared" si="5"/>
        <v>0</v>
      </c>
      <c r="S593" s="101"/>
    </row>
    <row r="594" ht="15.75" customHeight="1">
      <c r="A594" s="49"/>
      <c r="C594" s="589">
        <v>46160.0</v>
      </c>
      <c r="D594" s="589">
        <v>46128.0</v>
      </c>
      <c r="E594" s="281" t="s">
        <v>267</v>
      </c>
      <c r="F594" s="616">
        <v>4720000.0</v>
      </c>
      <c r="G594" s="616">
        <v>400000.0</v>
      </c>
      <c r="H594" s="9"/>
      <c r="I594" s="8"/>
      <c r="J594" s="9"/>
      <c r="K594" s="611"/>
      <c r="L594" s="612"/>
      <c r="M594" s="613"/>
      <c r="N594" s="497"/>
      <c r="O594" s="497"/>
      <c r="P594" s="495" t="str">
        <f t="shared" si="4"/>
        <v>LUNAS</v>
      </c>
      <c r="Q594" s="135">
        <f t="shared" si="5"/>
        <v>0</v>
      </c>
      <c r="S594" s="101"/>
    </row>
    <row r="595" ht="15.75" customHeight="1">
      <c r="A595" s="49"/>
      <c r="C595" s="589">
        <v>46162.0</v>
      </c>
      <c r="D595" s="589">
        <v>45980.0</v>
      </c>
      <c r="E595" s="281" t="s">
        <v>270</v>
      </c>
      <c r="F595" s="616">
        <v>5000000.0</v>
      </c>
      <c r="G595" s="616">
        <v>0.0</v>
      </c>
      <c r="H595" s="9"/>
      <c r="I595" s="8"/>
      <c r="J595" s="9"/>
      <c r="K595" s="611"/>
      <c r="L595" s="612"/>
      <c r="M595" s="613"/>
      <c r="N595" s="497"/>
      <c r="O595" s="497"/>
      <c r="P595" s="495" t="str">
        <f t="shared" si="4"/>
        <v>LUNAS</v>
      </c>
      <c r="Q595" s="135">
        <f t="shared" si="5"/>
        <v>0</v>
      </c>
      <c r="S595" s="101"/>
    </row>
    <row r="596" ht="15.75" customHeight="1">
      <c r="A596" s="49"/>
      <c r="C596" s="589">
        <v>46163.0</v>
      </c>
      <c r="D596" s="589">
        <v>46132.0</v>
      </c>
      <c r="E596" s="281" t="s">
        <v>595</v>
      </c>
      <c r="F596" s="616">
        <v>8000000.0</v>
      </c>
      <c r="G596" s="616">
        <v>935000.0</v>
      </c>
      <c r="H596" s="9"/>
      <c r="I596" s="8"/>
      <c r="J596" s="9"/>
      <c r="K596" s="611"/>
      <c r="L596" s="612"/>
      <c r="M596" s="613"/>
      <c r="N596" s="497"/>
      <c r="O596" s="497"/>
      <c r="P596" s="495" t="str">
        <f t="shared" si="4"/>
        <v>LUNAS</v>
      </c>
      <c r="Q596" s="135">
        <f t="shared" si="5"/>
        <v>0</v>
      </c>
      <c r="S596" s="101"/>
    </row>
    <row r="597" ht="15.75" customHeight="1">
      <c r="A597" s="49"/>
      <c r="C597" s="589">
        <v>46163.0</v>
      </c>
      <c r="D597" s="589">
        <v>46126.0</v>
      </c>
      <c r="E597" s="281" t="s">
        <v>668</v>
      </c>
      <c r="F597" s="616">
        <v>950000.0</v>
      </c>
      <c r="G597" s="616">
        <v>170000.0</v>
      </c>
      <c r="H597" s="9"/>
      <c r="I597" s="8"/>
      <c r="J597" s="9"/>
      <c r="K597" s="611"/>
      <c r="L597" s="612"/>
      <c r="M597" s="613"/>
      <c r="N597" s="497"/>
      <c r="O597" s="497"/>
      <c r="P597" s="495" t="str">
        <f t="shared" si="4"/>
        <v>LUNAS</v>
      </c>
      <c r="Q597" s="135">
        <f t="shared" si="5"/>
        <v>0</v>
      </c>
      <c r="S597" s="101"/>
    </row>
    <row r="598" ht="15.75" customHeight="1">
      <c r="A598" s="49"/>
      <c r="C598" s="589">
        <v>46163.0</v>
      </c>
      <c r="D598" s="589">
        <v>46122.0</v>
      </c>
      <c r="E598" s="281" t="s">
        <v>331</v>
      </c>
      <c r="F598" s="616">
        <v>910000.0</v>
      </c>
      <c r="G598" s="616">
        <v>165000.0</v>
      </c>
      <c r="H598" s="9"/>
      <c r="I598" s="8"/>
      <c r="J598" s="9"/>
      <c r="K598" s="611"/>
      <c r="L598" s="612"/>
      <c r="M598" s="613"/>
      <c r="N598" s="497"/>
      <c r="O598" s="497"/>
      <c r="P598" s="495" t="str">
        <f t="shared" si="4"/>
        <v>LUNAS</v>
      </c>
      <c r="Q598" s="135">
        <f t="shared" si="5"/>
        <v>0</v>
      </c>
      <c r="S598" s="101"/>
    </row>
    <row r="599" ht="15.75" customHeight="1">
      <c r="A599" s="49"/>
      <c r="C599" s="589">
        <v>46163.0</v>
      </c>
      <c r="D599" s="589">
        <v>46129.0</v>
      </c>
      <c r="E599" s="281" t="s">
        <v>927</v>
      </c>
      <c r="F599" s="616">
        <v>3500000.0</v>
      </c>
      <c r="G599" s="616">
        <v>410000.0</v>
      </c>
      <c r="H599" s="9"/>
      <c r="I599" s="8"/>
      <c r="J599" s="9"/>
      <c r="K599" s="611"/>
      <c r="L599" s="612"/>
      <c r="M599" s="613"/>
      <c r="N599" s="497"/>
      <c r="O599" s="497"/>
      <c r="P599" s="495" t="str">
        <f t="shared" si="4"/>
        <v>LUNAS</v>
      </c>
      <c r="Q599" s="135">
        <f t="shared" si="5"/>
        <v>0</v>
      </c>
      <c r="S599" s="101"/>
    </row>
    <row r="600" ht="15.75" customHeight="1">
      <c r="A600" s="49"/>
      <c r="C600" s="589">
        <v>46164.0</v>
      </c>
      <c r="D600" s="589">
        <v>46134.0</v>
      </c>
      <c r="E600" s="281" t="s">
        <v>1170</v>
      </c>
      <c r="F600" s="616">
        <v>880000.0</v>
      </c>
      <c r="G600" s="616">
        <v>0.0</v>
      </c>
      <c r="H600" s="9"/>
      <c r="I600" s="8"/>
      <c r="J600" s="9"/>
      <c r="K600" s="611"/>
      <c r="L600" s="612"/>
      <c r="M600" s="613"/>
      <c r="N600" s="497"/>
      <c r="O600" s="497"/>
      <c r="P600" s="495" t="str">
        <f t="shared" si="4"/>
        <v>LUNAS</v>
      </c>
      <c r="Q600" s="135">
        <f t="shared" si="5"/>
        <v>0</v>
      </c>
      <c r="S600" s="101"/>
    </row>
    <row r="601" ht="15.75" customHeight="1">
      <c r="A601" s="49"/>
      <c r="C601" s="589">
        <v>46164.0</v>
      </c>
      <c r="D601" s="589">
        <v>46137.0</v>
      </c>
      <c r="E601" s="281" t="s">
        <v>867</v>
      </c>
      <c r="F601" s="616">
        <v>1850000.0</v>
      </c>
      <c r="G601" s="616">
        <v>260000.0</v>
      </c>
      <c r="H601" s="9"/>
      <c r="I601" s="8"/>
      <c r="J601" s="9"/>
      <c r="K601" s="611"/>
      <c r="L601" s="612"/>
      <c r="M601" s="613"/>
      <c r="N601" s="497"/>
      <c r="O601" s="497"/>
      <c r="P601" s="495" t="str">
        <f t="shared" si="4"/>
        <v>LUNAS</v>
      </c>
      <c r="Q601" s="135">
        <f t="shared" si="5"/>
        <v>0</v>
      </c>
      <c r="S601" s="101"/>
    </row>
    <row r="602" ht="15.75" customHeight="1">
      <c r="A602" s="49"/>
      <c r="C602" s="589">
        <v>46164.0</v>
      </c>
      <c r="D602" s="589">
        <v>46158.0</v>
      </c>
      <c r="E602" s="281" t="s">
        <v>470</v>
      </c>
      <c r="F602" s="616">
        <v>5000000.0</v>
      </c>
      <c r="G602" s="616">
        <v>0.0</v>
      </c>
      <c r="H602" s="9"/>
      <c r="I602" s="8"/>
      <c r="J602" s="9"/>
      <c r="K602" s="611"/>
      <c r="L602" s="612"/>
      <c r="M602" s="613"/>
      <c r="N602" s="497"/>
      <c r="O602" s="497"/>
      <c r="P602" s="495" t="str">
        <f t="shared" si="4"/>
        <v>LUNAS</v>
      </c>
      <c r="Q602" s="135">
        <f t="shared" si="5"/>
        <v>0</v>
      </c>
      <c r="S602" s="101"/>
    </row>
    <row r="603" ht="15.75" customHeight="1">
      <c r="A603" s="49"/>
      <c r="C603" s="589">
        <v>46150.0</v>
      </c>
      <c r="D603" s="614">
        <v>46120.0</v>
      </c>
      <c r="E603" s="281" t="s">
        <v>422</v>
      </c>
      <c r="F603" s="616">
        <v>4000000.0</v>
      </c>
      <c r="G603" s="635"/>
      <c r="H603" s="9"/>
      <c r="I603" s="8"/>
      <c r="J603" s="9"/>
      <c r="K603" s="611"/>
      <c r="L603" s="612"/>
      <c r="M603" s="613"/>
      <c r="N603" s="497"/>
      <c r="O603" s="497"/>
      <c r="P603" s="495" t="str">
        <f t="shared" si="4"/>
        <v>LUNAS</v>
      </c>
      <c r="Q603" s="135">
        <f t="shared" si="5"/>
        <v>0</v>
      </c>
      <c r="S603" s="101"/>
    </row>
    <row r="604" ht="15.75" customHeight="1">
      <c r="A604" s="49"/>
      <c r="C604" s="589">
        <v>46165.0</v>
      </c>
      <c r="D604" s="589">
        <v>46120.0</v>
      </c>
      <c r="E604" s="281" t="s">
        <v>422</v>
      </c>
      <c r="F604" s="616">
        <v>3800000.0</v>
      </c>
      <c r="G604" s="616">
        <v>800000.0</v>
      </c>
      <c r="H604" s="9"/>
      <c r="I604" s="8"/>
      <c r="J604" s="9"/>
      <c r="K604" s="611"/>
      <c r="L604" s="612"/>
      <c r="M604" s="613"/>
      <c r="N604" s="497"/>
      <c r="O604" s="497"/>
      <c r="P604" s="495" t="str">
        <f t="shared" si="4"/>
        <v>LUNAS</v>
      </c>
      <c r="Q604" s="135">
        <f t="shared" si="5"/>
        <v>0</v>
      </c>
      <c r="S604" s="101"/>
    </row>
    <row r="605" ht="15.75" customHeight="1">
      <c r="A605" s="49"/>
      <c r="C605" s="589">
        <v>46168.0</v>
      </c>
      <c r="D605" s="589">
        <v>46134.0</v>
      </c>
      <c r="E605" s="281" t="s">
        <v>810</v>
      </c>
      <c r="F605" s="616">
        <v>2050000.0</v>
      </c>
      <c r="G605" s="616">
        <v>210000.0</v>
      </c>
      <c r="H605" s="9"/>
      <c r="I605" s="8"/>
      <c r="J605" s="9"/>
      <c r="K605" s="611"/>
      <c r="L605" s="612"/>
      <c r="M605" s="613"/>
      <c r="N605" s="497"/>
      <c r="O605" s="497"/>
      <c r="P605" s="495" t="str">
        <f t="shared" si="4"/>
        <v>LUNAS</v>
      </c>
      <c r="Q605" s="135">
        <f t="shared" si="5"/>
        <v>0</v>
      </c>
      <c r="S605" s="101"/>
    </row>
    <row r="606" ht="15.75" customHeight="1">
      <c r="A606" s="49"/>
      <c r="C606" s="589">
        <v>46171.0</v>
      </c>
      <c r="D606" s="589">
        <v>46149.0</v>
      </c>
      <c r="E606" s="281" t="s">
        <v>254</v>
      </c>
      <c r="F606" s="616">
        <v>1000000.0</v>
      </c>
      <c r="G606" s="616">
        <v>0.0</v>
      </c>
      <c r="H606" s="9"/>
      <c r="I606" s="8"/>
      <c r="J606" s="9"/>
      <c r="K606" s="611"/>
      <c r="L606" s="612"/>
      <c r="M606" s="613"/>
      <c r="N606" s="497"/>
      <c r="O606" s="497"/>
      <c r="P606" s="495" t="str">
        <f t="shared" si="4"/>
        <v>LUNAS</v>
      </c>
      <c r="Q606" s="135">
        <f t="shared" si="5"/>
        <v>0</v>
      </c>
      <c r="S606" s="101"/>
    </row>
    <row r="607" ht="15.75" customHeight="1">
      <c r="A607" s="49"/>
      <c r="C607" s="589">
        <v>46171.0</v>
      </c>
      <c r="D607" s="589">
        <v>46132.0</v>
      </c>
      <c r="E607" s="281" t="s">
        <v>267</v>
      </c>
      <c r="F607" s="616">
        <v>4720000.0</v>
      </c>
      <c r="G607" s="616">
        <v>400000.0</v>
      </c>
      <c r="H607" s="9"/>
      <c r="I607" s="8"/>
      <c r="J607" s="9"/>
      <c r="K607" s="611"/>
      <c r="L607" s="612"/>
      <c r="M607" s="613"/>
      <c r="N607" s="497"/>
      <c r="O607" s="497"/>
      <c r="P607" s="495" t="str">
        <f t="shared" si="4"/>
        <v>LUNAS</v>
      </c>
      <c r="Q607" s="135">
        <f t="shared" si="5"/>
        <v>0</v>
      </c>
      <c r="S607" s="101"/>
    </row>
    <row r="608" ht="15.75" customHeight="1">
      <c r="A608" s="49"/>
      <c r="C608" s="589">
        <v>46171.0</v>
      </c>
      <c r="D608" s="589">
        <v>46140.0</v>
      </c>
      <c r="E608" s="281" t="s">
        <v>267</v>
      </c>
      <c r="F608" s="616">
        <v>1625000.0</v>
      </c>
      <c r="G608" s="616">
        <v>200000.0</v>
      </c>
      <c r="H608" s="9"/>
      <c r="I608" s="8"/>
      <c r="J608" s="9"/>
      <c r="K608" s="611"/>
      <c r="L608" s="612"/>
      <c r="M608" s="613"/>
      <c r="N608" s="497"/>
      <c r="O608" s="497"/>
      <c r="P608" s="495" t="str">
        <f t="shared" si="4"/>
        <v>LUNAS</v>
      </c>
      <c r="Q608" s="135">
        <f t="shared" si="5"/>
        <v>0</v>
      </c>
      <c r="S608" s="101"/>
    </row>
    <row r="609" ht="15.75" customHeight="1">
      <c r="A609" s="49"/>
      <c r="C609" s="589">
        <v>46171.0</v>
      </c>
      <c r="D609" s="589">
        <v>46170.0</v>
      </c>
      <c r="E609" s="281" t="s">
        <v>1100</v>
      </c>
      <c r="F609" s="616">
        <v>6700000.0</v>
      </c>
      <c r="G609" s="616">
        <v>380000.0</v>
      </c>
      <c r="H609" s="9"/>
      <c r="I609" s="8"/>
      <c r="J609" s="9"/>
      <c r="K609" s="611"/>
      <c r="L609" s="612"/>
      <c r="M609" s="613"/>
      <c r="N609" s="497"/>
      <c r="O609" s="497"/>
      <c r="P609" s="495" t="str">
        <f t="shared" si="4"/>
        <v>LUNAS</v>
      </c>
      <c r="Q609" s="135">
        <f t="shared" si="5"/>
        <v>0</v>
      </c>
      <c r="S609" s="101"/>
    </row>
    <row r="610" ht="15.75" customHeight="1">
      <c r="A610" s="49"/>
      <c r="C610" s="589">
        <v>46174.0</v>
      </c>
      <c r="D610" s="589">
        <v>46139.0</v>
      </c>
      <c r="E610" s="281" t="s">
        <v>274</v>
      </c>
      <c r="F610" s="616">
        <v>3700000.0</v>
      </c>
      <c r="G610" s="616">
        <v>420000.0</v>
      </c>
      <c r="H610" s="9"/>
      <c r="I610" s="8"/>
      <c r="J610" s="9"/>
      <c r="K610" s="611"/>
      <c r="L610" s="612"/>
      <c r="M610" s="613"/>
      <c r="N610" s="497"/>
      <c r="O610" s="497"/>
      <c r="P610" s="495" t="str">
        <f t="shared" si="4"/>
        <v>LUNAS</v>
      </c>
      <c r="Q610" s="135">
        <f t="shared" si="5"/>
        <v>0</v>
      </c>
      <c r="S610" s="101"/>
    </row>
    <row r="611" ht="15.75" customHeight="1">
      <c r="A611" s="49"/>
      <c r="C611" s="589">
        <v>46175.0</v>
      </c>
      <c r="D611" s="589">
        <v>46142.0</v>
      </c>
      <c r="E611" s="281" t="s">
        <v>208</v>
      </c>
      <c r="F611" s="616">
        <v>1330000.0</v>
      </c>
      <c r="G611" s="616">
        <v>195000.0</v>
      </c>
      <c r="H611" s="9"/>
      <c r="I611" s="8"/>
      <c r="J611" s="9"/>
      <c r="K611" s="611"/>
      <c r="L611" s="612"/>
      <c r="M611" s="613"/>
      <c r="N611" s="497"/>
      <c r="O611" s="497"/>
      <c r="P611" s="495" t="str">
        <f t="shared" si="4"/>
        <v>LUNAS</v>
      </c>
      <c r="Q611" s="135">
        <f t="shared" si="5"/>
        <v>0</v>
      </c>
      <c r="S611" s="101"/>
    </row>
    <row r="612" ht="15.75" customHeight="1">
      <c r="A612" s="49"/>
      <c r="C612" s="589">
        <v>46179.0</v>
      </c>
      <c r="D612" s="589">
        <v>46130.0</v>
      </c>
      <c r="E612" s="281" t="s">
        <v>264</v>
      </c>
      <c r="F612" s="616">
        <v>4720000.0</v>
      </c>
      <c r="G612" s="616">
        <v>400000.0</v>
      </c>
      <c r="H612" s="9"/>
      <c r="I612" s="8"/>
      <c r="J612" s="9"/>
      <c r="K612" s="611"/>
      <c r="L612" s="612"/>
      <c r="M612" s="613"/>
      <c r="N612" s="497"/>
      <c r="O612" s="497"/>
      <c r="P612" s="495" t="str">
        <f t="shared" si="4"/>
        <v>LUNAS</v>
      </c>
      <c r="Q612" s="135">
        <f t="shared" si="5"/>
        <v>0</v>
      </c>
      <c r="S612" s="101"/>
    </row>
    <row r="613" ht="15.75" customHeight="1">
      <c r="A613" s="49"/>
      <c r="C613" s="589">
        <v>46181.0</v>
      </c>
      <c r="D613" s="589">
        <v>46139.0</v>
      </c>
      <c r="E613" s="281" t="s">
        <v>274</v>
      </c>
      <c r="F613" s="616">
        <v>400000.0</v>
      </c>
      <c r="G613" s="616">
        <v>0.0</v>
      </c>
      <c r="H613" s="9"/>
      <c r="I613" s="8"/>
      <c r="J613" s="9"/>
      <c r="K613" s="611"/>
      <c r="L613" s="612"/>
      <c r="M613" s="613"/>
      <c r="N613" s="497"/>
      <c r="O613" s="497"/>
      <c r="P613" s="495" t="str">
        <f t="shared" si="4"/>
        <v>LUNAS</v>
      </c>
      <c r="Q613" s="135">
        <f t="shared" si="5"/>
        <v>0</v>
      </c>
      <c r="S613" s="101"/>
    </row>
    <row r="614" ht="15.75" customHeight="1">
      <c r="A614" s="49"/>
      <c r="C614" s="589">
        <v>46181.0</v>
      </c>
      <c r="D614" s="589">
        <v>46148.0</v>
      </c>
      <c r="E614" s="281" t="s">
        <v>346</v>
      </c>
      <c r="F614" s="616">
        <v>8600000.0</v>
      </c>
      <c r="G614" s="616">
        <v>880000.0</v>
      </c>
      <c r="H614" s="9"/>
      <c r="I614" s="8"/>
      <c r="J614" s="9"/>
      <c r="K614" s="611"/>
      <c r="L614" s="612"/>
      <c r="M614" s="613"/>
      <c r="N614" s="497"/>
      <c r="O614" s="497"/>
      <c r="P614" s="495" t="str">
        <f t="shared" si="4"/>
        <v>LUNAS</v>
      </c>
      <c r="Q614" s="135">
        <f t="shared" si="5"/>
        <v>0</v>
      </c>
      <c r="S614" s="101"/>
    </row>
    <row r="615" ht="15.75" customHeight="1">
      <c r="A615" s="49"/>
      <c r="C615" s="589">
        <v>46181.0</v>
      </c>
      <c r="D615" s="589">
        <v>46154.0</v>
      </c>
      <c r="E615" s="281" t="s">
        <v>573</v>
      </c>
      <c r="F615" s="616">
        <v>3500000.0</v>
      </c>
      <c r="G615" s="616">
        <v>410000.0</v>
      </c>
      <c r="H615" s="9"/>
      <c r="I615" s="8"/>
      <c r="J615" s="9"/>
      <c r="K615" s="611"/>
      <c r="L615" s="612"/>
      <c r="M615" s="613"/>
      <c r="N615" s="497"/>
      <c r="O615" s="497"/>
      <c r="P615" s="495" t="str">
        <f t="shared" si="4"/>
        <v>LUNAS</v>
      </c>
      <c r="Q615" s="135">
        <f t="shared" si="5"/>
        <v>0</v>
      </c>
      <c r="S615" s="101"/>
    </row>
    <row r="616" ht="15.75" customHeight="1">
      <c r="A616" s="49"/>
      <c r="C616" s="589">
        <v>46181.0</v>
      </c>
      <c r="D616" s="589">
        <v>46144.0</v>
      </c>
      <c r="E616" s="281" t="s">
        <v>536</v>
      </c>
      <c r="F616" s="616">
        <v>4100000.0</v>
      </c>
      <c r="G616" s="616">
        <v>420000.0</v>
      </c>
      <c r="H616" s="9"/>
      <c r="I616" s="8"/>
      <c r="J616" s="9"/>
      <c r="K616" s="611"/>
      <c r="L616" s="612"/>
      <c r="M616" s="613"/>
      <c r="N616" s="497"/>
      <c r="O616" s="497"/>
      <c r="P616" s="495" t="str">
        <f t="shared" si="4"/>
        <v>LUNAS</v>
      </c>
      <c r="Q616" s="135">
        <f t="shared" si="5"/>
        <v>0</v>
      </c>
      <c r="S616" s="101"/>
    </row>
    <row r="617" ht="15.75" customHeight="1">
      <c r="A617" s="49"/>
      <c r="C617" s="589">
        <v>46182.0</v>
      </c>
      <c r="D617" s="589">
        <v>46150.0</v>
      </c>
      <c r="E617" s="281" t="s">
        <v>735</v>
      </c>
      <c r="F617" s="616">
        <v>1750000.0</v>
      </c>
      <c r="G617" s="616">
        <v>205000.0</v>
      </c>
      <c r="H617" s="9"/>
      <c r="I617" s="8"/>
      <c r="J617" s="9"/>
      <c r="K617" s="611"/>
      <c r="L617" s="612"/>
      <c r="M617" s="613"/>
      <c r="N617" s="497"/>
      <c r="O617" s="497"/>
      <c r="P617" s="495" t="str">
        <f t="shared" si="4"/>
        <v>LUNAS</v>
      </c>
      <c r="Q617" s="135">
        <f t="shared" si="5"/>
        <v>0</v>
      </c>
      <c r="S617" s="101"/>
    </row>
    <row r="618" ht="15.75" customHeight="1">
      <c r="A618" s="49"/>
      <c r="C618" s="589">
        <v>46185.0</v>
      </c>
      <c r="D618" s="589">
        <v>46158.0</v>
      </c>
      <c r="E618" s="281" t="s">
        <v>470</v>
      </c>
      <c r="F618" s="616">
        <v>1.0E7</v>
      </c>
      <c r="G618" s="616">
        <v>0.0</v>
      </c>
      <c r="H618" s="9"/>
      <c r="I618" s="8"/>
      <c r="J618" s="9"/>
      <c r="K618" s="611"/>
      <c r="L618" s="612"/>
      <c r="M618" s="613"/>
      <c r="N618" s="497"/>
      <c r="O618" s="497"/>
      <c r="P618" s="495" t="str">
        <f t="shared" si="4"/>
        <v>LUNAS</v>
      </c>
      <c r="Q618" s="135">
        <f t="shared" si="5"/>
        <v>0</v>
      </c>
      <c r="S618" s="101"/>
    </row>
    <row r="619" ht="15.75" customHeight="1">
      <c r="A619" s="49"/>
      <c r="C619" s="589">
        <v>46186.0</v>
      </c>
      <c r="D619" s="589">
        <v>46116.0</v>
      </c>
      <c r="E619" s="281" t="s">
        <v>254</v>
      </c>
      <c r="F619" s="616">
        <v>1720000.0</v>
      </c>
      <c r="G619" s="616">
        <v>0.0</v>
      </c>
      <c r="H619" s="9"/>
      <c r="I619" s="8"/>
      <c r="J619" s="9"/>
      <c r="K619" s="611"/>
      <c r="L619" s="612"/>
      <c r="M619" s="613"/>
      <c r="N619" s="497"/>
      <c r="O619" s="497"/>
      <c r="P619" s="495" t="str">
        <f t="shared" si="4"/>
        <v>LUNAS</v>
      </c>
      <c r="Q619" s="135">
        <f t="shared" si="5"/>
        <v>0</v>
      </c>
      <c r="S619" s="101"/>
    </row>
    <row r="620" ht="15.75" customHeight="1">
      <c r="A620" s="49"/>
      <c r="C620" s="589">
        <v>46190.0</v>
      </c>
      <c r="D620" s="589">
        <v>46149.0</v>
      </c>
      <c r="E620" s="281" t="s">
        <v>254</v>
      </c>
      <c r="F620" s="616">
        <v>1000000.0</v>
      </c>
      <c r="G620" s="616">
        <v>0.0</v>
      </c>
      <c r="H620" s="9"/>
      <c r="I620" s="8"/>
      <c r="J620" s="9"/>
      <c r="K620" s="611"/>
      <c r="L620" s="612"/>
      <c r="M620" s="613"/>
      <c r="N620" s="497"/>
      <c r="O620" s="497"/>
      <c r="P620" s="495" t="str">
        <f t="shared" si="4"/>
        <v>LUNAS</v>
      </c>
      <c r="Q620" s="135">
        <f t="shared" si="5"/>
        <v>0</v>
      </c>
      <c r="S620" s="101"/>
    </row>
    <row r="621" ht="15.75" customHeight="1">
      <c r="A621" s="49"/>
      <c r="C621" s="589">
        <v>46190.0</v>
      </c>
      <c r="D621" s="589">
        <v>46190.0</v>
      </c>
      <c r="E621" s="281" t="s">
        <v>254</v>
      </c>
      <c r="F621" s="616">
        <v>3000000.0</v>
      </c>
      <c r="G621" s="616">
        <v>400000.0</v>
      </c>
      <c r="H621" s="9"/>
      <c r="I621" s="8"/>
      <c r="J621" s="9"/>
      <c r="K621" s="611"/>
      <c r="L621" s="612"/>
      <c r="M621" s="613"/>
      <c r="N621" s="497"/>
      <c r="O621" s="497"/>
      <c r="P621" s="495" t="str">
        <f t="shared" si="4"/>
        <v>LUNAS</v>
      </c>
      <c r="Q621" s="135">
        <f t="shared" si="5"/>
        <v>0</v>
      </c>
      <c r="S621" s="101"/>
    </row>
    <row r="622" ht="15.75" customHeight="1">
      <c r="A622" s="49"/>
      <c r="C622" s="589">
        <v>46191.0</v>
      </c>
      <c r="D622" s="589">
        <v>46156.0</v>
      </c>
      <c r="E622" s="281" t="s">
        <v>595</v>
      </c>
      <c r="F622" s="616">
        <v>4460000.0</v>
      </c>
      <c r="G622" s="616">
        <v>400000.0</v>
      </c>
      <c r="H622" s="9"/>
      <c r="I622" s="8"/>
      <c r="J622" s="9"/>
      <c r="K622" s="611"/>
      <c r="L622" s="612"/>
      <c r="M622" s="613"/>
      <c r="N622" s="497"/>
      <c r="O622" s="497"/>
      <c r="P622" s="495" t="str">
        <f t="shared" si="4"/>
        <v>LUNAS</v>
      </c>
      <c r="Q622" s="135">
        <f t="shared" si="5"/>
        <v>0</v>
      </c>
      <c r="S622" s="101"/>
    </row>
    <row r="623" ht="15.75" customHeight="1">
      <c r="A623" s="49"/>
      <c r="C623" s="589">
        <v>46192.0</v>
      </c>
      <c r="D623" s="589">
        <v>46147.0</v>
      </c>
      <c r="E623" s="281" t="s">
        <v>267</v>
      </c>
      <c r="F623" s="616">
        <v>7000000.0</v>
      </c>
      <c r="G623" s="616">
        <v>820000.0</v>
      </c>
      <c r="H623" s="9"/>
      <c r="I623" s="8"/>
      <c r="J623" s="9"/>
      <c r="K623" s="611"/>
      <c r="L623" s="612"/>
      <c r="M623" s="613"/>
      <c r="N623" s="497"/>
      <c r="O623" s="497"/>
      <c r="P623" s="495" t="str">
        <f t="shared" si="4"/>
        <v>LUNAS</v>
      </c>
      <c r="Q623" s="135">
        <f t="shared" si="5"/>
        <v>0</v>
      </c>
      <c r="S623" s="101"/>
    </row>
    <row r="624" ht="15.75" customHeight="1">
      <c r="A624" s="49"/>
      <c r="C624" s="589">
        <v>46192.0</v>
      </c>
      <c r="D624" s="589">
        <v>46153.0</v>
      </c>
      <c r="E624" s="281" t="s">
        <v>1007</v>
      </c>
      <c r="F624" s="616">
        <v>500000.0</v>
      </c>
      <c r="G624" s="616">
        <v>360000.0</v>
      </c>
      <c r="H624" s="9"/>
      <c r="I624" s="8"/>
      <c r="J624" s="9"/>
      <c r="K624" s="611"/>
      <c r="L624" s="612"/>
      <c r="M624" s="613"/>
      <c r="N624" s="497"/>
      <c r="O624" s="497"/>
      <c r="P624" s="495" t="str">
        <f t="shared" si="4"/>
        <v>LUNAS</v>
      </c>
      <c r="Q624" s="135">
        <f t="shared" si="5"/>
        <v>0</v>
      </c>
      <c r="S624" s="101"/>
    </row>
    <row r="625" ht="15.75" customHeight="1">
      <c r="A625" s="49"/>
      <c r="C625" s="589">
        <v>46195.0</v>
      </c>
      <c r="D625" s="589">
        <v>46162.0</v>
      </c>
      <c r="E625" s="281" t="s">
        <v>270</v>
      </c>
      <c r="F625" s="616">
        <v>5000000.0</v>
      </c>
      <c r="G625" s="616">
        <v>800000.0</v>
      </c>
      <c r="H625" s="9"/>
      <c r="I625" s="8"/>
      <c r="J625" s="9"/>
      <c r="K625" s="611"/>
      <c r="L625" s="612"/>
      <c r="M625" s="613"/>
      <c r="N625" s="497"/>
      <c r="O625" s="497"/>
      <c r="P625" s="495" t="str">
        <f t="shared" si="4"/>
        <v>LUNAS</v>
      </c>
      <c r="Q625" s="135">
        <f t="shared" si="5"/>
        <v>0</v>
      </c>
      <c r="S625" s="101"/>
    </row>
    <row r="626" ht="15.75" customHeight="1">
      <c r="A626" s="49"/>
      <c r="C626" s="589">
        <v>46196.0</v>
      </c>
      <c r="D626" s="589">
        <v>46193.0</v>
      </c>
      <c r="E626" s="281" t="s">
        <v>927</v>
      </c>
      <c r="F626" s="616">
        <v>2000000.0</v>
      </c>
      <c r="G626" s="616">
        <v>400000.0</v>
      </c>
      <c r="H626" s="9"/>
      <c r="I626" s="8"/>
      <c r="J626" s="9"/>
      <c r="K626" s="611"/>
      <c r="L626" s="612"/>
      <c r="M626" s="613"/>
      <c r="N626" s="497"/>
      <c r="O626" s="497"/>
      <c r="P626" s="495" t="str">
        <f t="shared" si="4"/>
        <v>LUNAS</v>
      </c>
      <c r="Q626" s="135">
        <f t="shared" si="5"/>
        <v>0</v>
      </c>
      <c r="S626" s="101"/>
    </row>
    <row r="627" ht="15.75" customHeight="1">
      <c r="A627" s="49"/>
      <c r="C627" s="589">
        <v>46197.0</v>
      </c>
      <c r="D627" s="589">
        <v>46167.0</v>
      </c>
      <c r="E627" s="281" t="s">
        <v>867</v>
      </c>
      <c r="F627" s="616">
        <v>2570000.0</v>
      </c>
      <c r="G627" s="616">
        <v>405000.0</v>
      </c>
      <c r="H627" s="9"/>
      <c r="I627" s="8"/>
      <c r="J627" s="9"/>
      <c r="K627" s="611"/>
      <c r="L627" s="612"/>
      <c r="M627" s="613"/>
      <c r="N627" s="497"/>
      <c r="O627" s="497"/>
      <c r="P627" s="495" t="str">
        <f t="shared" si="4"/>
        <v>LUNAS</v>
      </c>
      <c r="Q627" s="135">
        <f t="shared" si="5"/>
        <v>0</v>
      </c>
      <c r="S627" s="101"/>
    </row>
    <row r="628" ht="15.75" customHeight="1">
      <c r="A628" s="49"/>
      <c r="C628" s="589">
        <v>46197.0</v>
      </c>
      <c r="D628" s="589">
        <v>46165.0</v>
      </c>
      <c r="E628" s="281" t="s">
        <v>132</v>
      </c>
      <c r="F628" s="616">
        <v>850000.0</v>
      </c>
      <c r="G628" s="616">
        <v>200000.0</v>
      </c>
      <c r="H628" s="9"/>
      <c r="I628" s="8"/>
      <c r="J628" s="9"/>
      <c r="K628" s="611"/>
      <c r="L628" s="612"/>
      <c r="M628" s="613"/>
      <c r="N628" s="497"/>
      <c r="O628" s="497"/>
      <c r="P628" s="495" t="str">
        <f t="shared" si="4"/>
        <v>LUNAS</v>
      </c>
      <c r="Q628" s="135">
        <f t="shared" si="5"/>
        <v>0</v>
      </c>
      <c r="S628" s="101"/>
    </row>
    <row r="629" ht="15.75" customHeight="1">
      <c r="A629" s="49"/>
      <c r="C629" s="589">
        <v>46197.0</v>
      </c>
      <c r="D629" s="589">
        <v>46178.0</v>
      </c>
      <c r="E629" s="281" t="s">
        <v>74</v>
      </c>
      <c r="F629" s="616">
        <v>2200000.0</v>
      </c>
      <c r="G629" s="616">
        <v>230000.0</v>
      </c>
      <c r="H629" s="9"/>
      <c r="I629" s="8"/>
      <c r="J629" s="9"/>
      <c r="K629" s="611"/>
      <c r="L629" s="612"/>
      <c r="M629" s="613"/>
      <c r="N629" s="497"/>
      <c r="O629" s="497"/>
      <c r="P629" s="495" t="str">
        <f t="shared" si="4"/>
        <v>LUNAS</v>
      </c>
      <c r="Q629" s="135">
        <f t="shared" si="5"/>
        <v>0</v>
      </c>
      <c r="S629" s="101"/>
    </row>
    <row r="630" ht="15.75" customHeight="1">
      <c r="A630" s="49"/>
      <c r="C630" s="589">
        <v>46198.0</v>
      </c>
      <c r="D630" s="589">
        <v>46172.0</v>
      </c>
      <c r="E630" s="281" t="s">
        <v>1100</v>
      </c>
      <c r="F630" s="616">
        <v>6780000.0</v>
      </c>
      <c r="G630" s="616">
        <v>400000.0</v>
      </c>
      <c r="H630" s="9"/>
      <c r="I630" s="8"/>
      <c r="J630" s="9"/>
      <c r="K630" s="611"/>
      <c r="L630" s="612"/>
      <c r="M630" s="613"/>
      <c r="N630" s="497"/>
      <c r="O630" s="497"/>
      <c r="P630" s="495" t="str">
        <f t="shared" si="4"/>
        <v>LUNAS</v>
      </c>
      <c r="Q630" s="135">
        <f t="shared" si="5"/>
        <v>0</v>
      </c>
      <c r="S630" s="101"/>
    </row>
    <row r="631" ht="15.75" customHeight="1">
      <c r="A631" s="49"/>
      <c r="C631" s="589">
        <v>46199.0</v>
      </c>
      <c r="D631" s="589">
        <v>46168.0</v>
      </c>
      <c r="E631" s="281" t="s">
        <v>962</v>
      </c>
      <c r="F631" s="616">
        <v>1300000.0</v>
      </c>
      <c r="G631" s="616">
        <v>320000.0</v>
      </c>
      <c r="H631" s="9"/>
      <c r="I631" s="8"/>
      <c r="J631" s="9"/>
      <c r="K631" s="611"/>
      <c r="L631" s="612"/>
      <c r="M631" s="613"/>
      <c r="N631" s="497"/>
      <c r="O631" s="497"/>
      <c r="P631" s="495" t="str">
        <f t="shared" si="4"/>
        <v>LUNAS</v>
      </c>
      <c r="Q631" s="135">
        <f t="shared" si="5"/>
        <v>0</v>
      </c>
      <c r="S631" s="101"/>
    </row>
    <row r="632" ht="15.75" customHeight="1">
      <c r="A632" s="49"/>
      <c r="C632" s="589">
        <v>46193.0</v>
      </c>
      <c r="D632" s="589">
        <v>46162.0</v>
      </c>
      <c r="E632" s="281" t="s">
        <v>1179</v>
      </c>
      <c r="F632" s="616">
        <v>3230000.0</v>
      </c>
      <c r="G632" s="616">
        <v>425000.0</v>
      </c>
      <c r="H632" s="9"/>
      <c r="I632" s="8"/>
      <c r="J632" s="9"/>
      <c r="K632" s="611"/>
      <c r="L632" s="612"/>
      <c r="M632" s="613"/>
      <c r="N632" s="497"/>
      <c r="O632" s="497"/>
      <c r="P632" s="495" t="str">
        <f t="shared" si="4"/>
        <v>LUNAS</v>
      </c>
      <c r="Q632" s="135">
        <f t="shared" si="5"/>
        <v>0</v>
      </c>
      <c r="S632" s="101"/>
    </row>
    <row r="633" ht="15.75" customHeight="1">
      <c r="A633" s="49"/>
      <c r="C633" s="589">
        <v>46204.0</v>
      </c>
      <c r="D633" s="589">
        <v>46168.0</v>
      </c>
      <c r="E633" s="281" t="s">
        <v>144</v>
      </c>
      <c r="F633" s="616">
        <v>1750000.0</v>
      </c>
      <c r="G633" s="616">
        <v>205000.0</v>
      </c>
      <c r="H633" s="9"/>
      <c r="I633" s="8"/>
      <c r="J633" s="9"/>
      <c r="K633" s="611"/>
      <c r="L633" s="612"/>
      <c r="M633" s="613"/>
      <c r="N633" s="497"/>
      <c r="O633" s="497"/>
      <c r="P633" s="495" t="str">
        <f t="shared" si="4"/>
        <v>LUNAS</v>
      </c>
      <c r="Q633" s="135">
        <f t="shared" si="5"/>
        <v>0</v>
      </c>
      <c r="S633" s="101"/>
    </row>
    <row r="634" ht="15.75" customHeight="1">
      <c r="A634" s="49"/>
      <c r="C634" s="589">
        <v>46205.0</v>
      </c>
      <c r="D634" s="589">
        <v>46174.0</v>
      </c>
      <c r="E634" s="281" t="s">
        <v>735</v>
      </c>
      <c r="F634" s="616">
        <v>4720000.0</v>
      </c>
      <c r="G634" s="616">
        <v>400000.0</v>
      </c>
      <c r="H634" s="9"/>
      <c r="I634" s="8"/>
      <c r="J634" s="9"/>
      <c r="K634" s="611"/>
      <c r="L634" s="612"/>
      <c r="M634" s="613"/>
      <c r="N634" s="497"/>
      <c r="O634" s="497"/>
      <c r="P634" s="495" t="str">
        <f t="shared" si="4"/>
        <v>LUNAS</v>
      </c>
      <c r="Q634" s="135">
        <f t="shared" si="5"/>
        <v>0</v>
      </c>
      <c r="S634" s="101"/>
    </row>
    <row r="635" ht="15.75" customHeight="1">
      <c r="A635" s="49"/>
      <c r="C635" s="589">
        <v>46205.0</v>
      </c>
      <c r="D635" s="589">
        <v>46165.0</v>
      </c>
      <c r="E635" s="281" t="s">
        <v>819</v>
      </c>
      <c r="F635" s="616">
        <v>1750000.0</v>
      </c>
      <c r="G635" s="616">
        <v>195000.0</v>
      </c>
      <c r="H635" s="9"/>
      <c r="I635" s="8"/>
      <c r="J635" s="9"/>
      <c r="K635" s="611"/>
      <c r="L635" s="612"/>
      <c r="M635" s="613"/>
      <c r="N635" s="497"/>
      <c r="O635" s="497"/>
      <c r="P635" s="495" t="str">
        <f t="shared" si="4"/>
        <v>LUNAS</v>
      </c>
      <c r="Q635" s="135">
        <f t="shared" si="5"/>
        <v>0</v>
      </c>
      <c r="S635" s="101"/>
    </row>
    <row r="636" ht="15.75" customHeight="1">
      <c r="A636" s="49"/>
      <c r="C636" s="589">
        <v>46205.0</v>
      </c>
      <c r="D636" s="589">
        <v>46174.0</v>
      </c>
      <c r="E636" s="281" t="s">
        <v>819</v>
      </c>
      <c r="F636" s="616">
        <v>4500000.0</v>
      </c>
      <c r="G636" s="616">
        <v>350000.0</v>
      </c>
      <c r="H636" s="9"/>
      <c r="I636" s="8"/>
      <c r="J636" s="9"/>
      <c r="K636" s="611"/>
      <c r="L636" s="612"/>
      <c r="M636" s="613"/>
      <c r="N636" s="497"/>
      <c r="O636" s="497"/>
      <c r="P636" s="495" t="str">
        <f t="shared" si="4"/>
        <v>LUNAS</v>
      </c>
      <c r="Q636" s="135">
        <f t="shared" si="5"/>
        <v>0</v>
      </c>
      <c r="S636" s="101"/>
    </row>
    <row r="637" ht="15.75" customHeight="1">
      <c r="A637" s="49"/>
      <c r="C637" s="589">
        <v>46205.0</v>
      </c>
      <c r="D637" s="589">
        <v>46174.0</v>
      </c>
      <c r="E637" s="281" t="s">
        <v>274</v>
      </c>
      <c r="F637" s="616">
        <v>3200000.0</v>
      </c>
      <c r="G637" s="616">
        <v>660000.0</v>
      </c>
      <c r="H637" s="9"/>
      <c r="I637" s="8"/>
      <c r="J637" s="9"/>
      <c r="K637" s="611"/>
      <c r="L637" s="612"/>
      <c r="M637" s="613"/>
      <c r="N637" s="497"/>
      <c r="O637" s="497"/>
      <c r="P637" s="495" t="str">
        <f t="shared" si="4"/>
        <v>LUNAS</v>
      </c>
      <c r="Q637" s="135">
        <f t="shared" si="5"/>
        <v>0</v>
      </c>
      <c r="S637" s="101"/>
    </row>
    <row r="638" ht="15.75" customHeight="1">
      <c r="A638" s="49"/>
      <c r="C638" s="589">
        <v>46205.0</v>
      </c>
      <c r="D638" s="589">
        <v>46159.0</v>
      </c>
      <c r="E638" s="281" t="s">
        <v>264</v>
      </c>
      <c r="F638" s="616">
        <v>1750000.0</v>
      </c>
      <c r="G638" s="616">
        <v>205000.0</v>
      </c>
      <c r="H638" s="9"/>
      <c r="I638" s="8"/>
      <c r="J638" s="9"/>
      <c r="K638" s="611"/>
      <c r="L638" s="612"/>
      <c r="M638" s="613"/>
      <c r="N638" s="497"/>
      <c r="O638" s="497"/>
      <c r="P638" s="495" t="str">
        <f t="shared" si="4"/>
        <v>LUNAS</v>
      </c>
      <c r="Q638" s="135">
        <f t="shared" si="5"/>
        <v>0</v>
      </c>
      <c r="S638" s="101"/>
    </row>
    <row r="639" ht="15.75" customHeight="1">
      <c r="A639" s="49"/>
      <c r="C639" s="589">
        <v>46206.0</v>
      </c>
      <c r="D639" s="589">
        <v>46182.0</v>
      </c>
      <c r="E639" s="281" t="s">
        <v>346</v>
      </c>
      <c r="F639" s="616">
        <v>2500000.0</v>
      </c>
      <c r="G639" s="616">
        <v>465000.0</v>
      </c>
      <c r="H639" s="9"/>
      <c r="I639" s="8"/>
      <c r="J639" s="9"/>
      <c r="K639" s="611"/>
      <c r="L639" s="612"/>
      <c r="M639" s="613"/>
      <c r="N639" s="497"/>
      <c r="O639" s="497"/>
      <c r="P639" s="495" t="str">
        <f t="shared" si="4"/>
        <v>LUNAS</v>
      </c>
      <c r="Q639" s="135">
        <f t="shared" si="5"/>
        <v>0</v>
      </c>
      <c r="S639" s="101"/>
    </row>
    <row r="640" ht="15.75" customHeight="1">
      <c r="A640" s="49"/>
      <c r="C640" s="589">
        <v>46207.0</v>
      </c>
      <c r="D640" s="589">
        <v>46172.0</v>
      </c>
      <c r="E640" s="281" t="s">
        <v>132</v>
      </c>
      <c r="F640" s="616">
        <v>4560000.0</v>
      </c>
      <c r="G640" s="616">
        <v>400000.0</v>
      </c>
      <c r="H640" s="9"/>
      <c r="I640" s="8"/>
      <c r="J640" s="9"/>
      <c r="K640" s="611"/>
      <c r="L640" s="612"/>
      <c r="M640" s="613"/>
      <c r="N640" s="497"/>
      <c r="O640" s="497"/>
      <c r="P640" s="495" t="str">
        <f t="shared" si="4"/>
        <v>LUNAS</v>
      </c>
      <c r="Q640" s="135">
        <f t="shared" si="5"/>
        <v>0</v>
      </c>
      <c r="S640" s="101"/>
    </row>
    <row r="641" ht="15.75" customHeight="1">
      <c r="A641" s="49"/>
      <c r="C641" s="589">
        <v>46209.0</v>
      </c>
      <c r="D641" s="589">
        <v>46162.0</v>
      </c>
      <c r="E641" s="281" t="s">
        <v>270</v>
      </c>
      <c r="F641" s="616">
        <v>4060000.0</v>
      </c>
      <c r="G641" s="616">
        <v>0.0</v>
      </c>
      <c r="H641" s="9"/>
      <c r="I641" s="8"/>
      <c r="J641" s="9"/>
      <c r="K641" s="611"/>
      <c r="L641" s="612"/>
      <c r="M641" s="613"/>
      <c r="N641" s="497"/>
      <c r="O641" s="497"/>
      <c r="P641" s="495" t="str">
        <f t="shared" si="4"/>
        <v>LUNAS</v>
      </c>
      <c r="Q641" s="135">
        <f t="shared" si="5"/>
        <v>0</v>
      </c>
      <c r="S641" s="101"/>
    </row>
    <row r="642" ht="15.75" customHeight="1">
      <c r="A642" s="49"/>
      <c r="C642" s="589">
        <v>46210.0</v>
      </c>
      <c r="D642" s="589">
        <v>46182.0</v>
      </c>
      <c r="E642" s="281" t="s">
        <v>346</v>
      </c>
      <c r="F642" s="616">
        <v>1100000.0</v>
      </c>
      <c r="G642" s="616">
        <v>0.0</v>
      </c>
      <c r="H642" s="9"/>
      <c r="I642" s="8"/>
      <c r="J642" s="9"/>
      <c r="K642" s="611"/>
      <c r="L642" s="612"/>
      <c r="M642" s="613"/>
      <c r="N642" s="497"/>
      <c r="O642" s="497"/>
      <c r="P642" s="495" t="str">
        <f t="shared" si="4"/>
        <v>LUNAS</v>
      </c>
      <c r="Q642" s="135">
        <f t="shared" si="5"/>
        <v>0</v>
      </c>
      <c r="S642" s="101"/>
    </row>
    <row r="643" ht="15.75" customHeight="1">
      <c r="A643" s="49"/>
      <c r="C643" s="589">
        <v>46212.0</v>
      </c>
      <c r="D643" s="589">
        <v>46171.0</v>
      </c>
      <c r="E643" s="281" t="s">
        <v>193</v>
      </c>
      <c r="F643" s="616">
        <v>1825000.0</v>
      </c>
      <c r="G643" s="616">
        <v>200000.0</v>
      </c>
      <c r="H643" s="9"/>
      <c r="I643" s="8"/>
      <c r="J643" s="9"/>
      <c r="K643" s="611"/>
      <c r="L643" s="612"/>
      <c r="M643" s="613"/>
      <c r="N643" s="497"/>
      <c r="O643" s="497"/>
      <c r="P643" s="495" t="str">
        <f t="shared" si="4"/>
        <v>LUNAS</v>
      </c>
      <c r="Q643" s="135">
        <f t="shared" si="5"/>
        <v>0</v>
      </c>
      <c r="S643" s="101"/>
    </row>
    <row r="644" ht="15.75" customHeight="1">
      <c r="A644" s="49"/>
      <c r="C644" s="589">
        <v>46213.0</v>
      </c>
      <c r="D644" s="589">
        <v>46153.0</v>
      </c>
      <c r="E644" s="281" t="s">
        <v>1007</v>
      </c>
      <c r="F644" s="616">
        <v>1420000.0</v>
      </c>
      <c r="G644" s="616">
        <v>0.0</v>
      </c>
      <c r="H644" s="9"/>
      <c r="I644" s="8"/>
      <c r="J644" s="9"/>
      <c r="K644" s="611"/>
      <c r="L644" s="612"/>
      <c r="M644" s="613"/>
      <c r="N644" s="497"/>
      <c r="O644" s="497"/>
      <c r="P644" s="495" t="str">
        <f t="shared" si="4"/>
        <v>LUNAS</v>
      </c>
      <c r="Q644" s="135">
        <f t="shared" si="5"/>
        <v>0</v>
      </c>
      <c r="S644" s="101"/>
    </row>
    <row r="645" ht="15.75" customHeight="1">
      <c r="A645" s="49"/>
      <c r="C645" s="589">
        <v>46213.0</v>
      </c>
      <c r="D645" s="589">
        <v>46176.0</v>
      </c>
      <c r="E645" s="281" t="s">
        <v>661</v>
      </c>
      <c r="F645" s="616">
        <v>2280000.0</v>
      </c>
      <c r="G645" s="616">
        <v>200000.0</v>
      </c>
      <c r="H645" s="9"/>
      <c r="I645" s="8"/>
      <c r="J645" s="9"/>
      <c r="K645" s="611"/>
      <c r="L645" s="612"/>
      <c r="M645" s="613"/>
      <c r="N645" s="497"/>
      <c r="O645" s="497"/>
      <c r="P645" s="495" t="str">
        <f t="shared" si="4"/>
        <v>LUNAS</v>
      </c>
      <c r="Q645" s="135">
        <f t="shared" si="5"/>
        <v>0</v>
      </c>
      <c r="S645" s="101"/>
    </row>
    <row r="646" ht="15.75" customHeight="1">
      <c r="A646" s="49"/>
      <c r="C646" s="589">
        <v>46213.0</v>
      </c>
      <c r="D646" s="589">
        <v>46182.0</v>
      </c>
      <c r="E646" s="281" t="s">
        <v>234</v>
      </c>
      <c r="F646" s="616">
        <v>1450000.0</v>
      </c>
      <c r="G646" s="616">
        <v>205000.0</v>
      </c>
      <c r="H646" s="9"/>
      <c r="I646" s="8"/>
      <c r="J646" s="9"/>
      <c r="K646" s="611"/>
      <c r="L646" s="612"/>
      <c r="M646" s="613"/>
      <c r="N646" s="497"/>
      <c r="O646" s="497"/>
      <c r="P646" s="495" t="str">
        <f t="shared" si="4"/>
        <v>LUNAS</v>
      </c>
      <c r="Q646" s="135">
        <f t="shared" si="5"/>
        <v>0</v>
      </c>
      <c r="S646" s="101"/>
    </row>
    <row r="647" ht="15.75" customHeight="1">
      <c r="A647" s="49"/>
      <c r="C647" s="589">
        <v>46213.0</v>
      </c>
      <c r="D647" s="589">
        <v>46160.0</v>
      </c>
      <c r="E647" s="281" t="s">
        <v>267</v>
      </c>
      <c r="F647" s="616">
        <v>6470000.0</v>
      </c>
      <c r="G647" s="616">
        <v>605000.0</v>
      </c>
      <c r="H647" s="9"/>
      <c r="I647" s="8"/>
      <c r="J647" s="9"/>
      <c r="K647" s="611"/>
      <c r="L647" s="612"/>
      <c r="M647" s="613"/>
      <c r="N647" s="497"/>
      <c r="O647" s="497"/>
      <c r="P647" s="495" t="str">
        <f t="shared" si="4"/>
        <v>LUNAS</v>
      </c>
      <c r="Q647" s="135">
        <f t="shared" si="5"/>
        <v>0</v>
      </c>
      <c r="S647" s="101"/>
    </row>
    <row r="648" ht="15.75" customHeight="1">
      <c r="A648" s="49"/>
      <c r="C648" s="589">
        <v>46213.0</v>
      </c>
      <c r="D648" s="589">
        <v>46171.0</v>
      </c>
      <c r="E648" s="281" t="s">
        <v>267</v>
      </c>
      <c r="F648" s="616">
        <v>2440000.0</v>
      </c>
      <c r="G648" s="616">
        <v>540000.0</v>
      </c>
      <c r="H648" s="9"/>
      <c r="I648" s="8"/>
      <c r="J648" s="9"/>
      <c r="K648" s="611"/>
      <c r="L648" s="612"/>
      <c r="M648" s="613"/>
      <c r="N648" s="497"/>
      <c r="O648" s="497"/>
      <c r="P648" s="495" t="str">
        <f t="shared" si="4"/>
        <v>LUNAS</v>
      </c>
      <c r="Q648" s="135">
        <f t="shared" si="5"/>
        <v>0</v>
      </c>
      <c r="S648" s="101"/>
    </row>
    <row r="649" ht="15.75" customHeight="1">
      <c r="A649" s="49"/>
      <c r="C649" s="589">
        <v>46213.0</v>
      </c>
      <c r="D649" s="589">
        <v>46158.0</v>
      </c>
      <c r="E649" s="281" t="s">
        <v>470</v>
      </c>
      <c r="F649" s="616">
        <v>4800000.0</v>
      </c>
      <c r="G649" s="616">
        <v>0.0</v>
      </c>
      <c r="H649" s="9"/>
      <c r="I649" s="8"/>
      <c r="J649" s="9"/>
      <c r="K649" s="611"/>
      <c r="L649" s="612"/>
      <c r="M649" s="613"/>
      <c r="N649" s="497"/>
      <c r="O649" s="497"/>
      <c r="P649" s="495" t="str">
        <f t="shared" si="4"/>
        <v>LUNAS</v>
      </c>
      <c r="Q649" s="135">
        <f t="shared" si="5"/>
        <v>0</v>
      </c>
      <c r="S649" s="101"/>
    </row>
    <row r="650" ht="15.75" customHeight="1">
      <c r="A650" s="49"/>
      <c r="C650" s="589">
        <v>46213.0</v>
      </c>
      <c r="D650" s="589">
        <v>46159.0</v>
      </c>
      <c r="E650" s="281" t="s">
        <v>470</v>
      </c>
      <c r="F650" s="616">
        <v>2200000.0</v>
      </c>
      <c r="G650" s="616">
        <v>620000.0</v>
      </c>
      <c r="H650" s="9"/>
      <c r="I650" s="8"/>
      <c r="J650" s="9"/>
      <c r="K650" s="611"/>
      <c r="L650" s="612"/>
      <c r="M650" s="613"/>
      <c r="N650" s="497"/>
      <c r="O650" s="497"/>
      <c r="P650" s="495" t="str">
        <f t="shared" si="4"/>
        <v>LUNAS</v>
      </c>
      <c r="Q650" s="135">
        <f t="shared" si="5"/>
        <v>0</v>
      </c>
      <c r="S650" s="101"/>
    </row>
    <row r="651" ht="15.75" customHeight="1">
      <c r="A651" s="49"/>
      <c r="C651" s="589">
        <v>46214.0</v>
      </c>
      <c r="D651" s="589">
        <v>46182.0</v>
      </c>
      <c r="E651" s="281" t="s">
        <v>422</v>
      </c>
      <c r="F651" s="616">
        <v>4000000.0</v>
      </c>
      <c r="G651" s="616">
        <v>400000.0</v>
      </c>
      <c r="H651" s="9"/>
      <c r="I651" s="8"/>
      <c r="J651" s="9"/>
      <c r="K651" s="611"/>
      <c r="L651" s="612"/>
      <c r="M651" s="613"/>
      <c r="N651" s="497"/>
      <c r="O651" s="497"/>
      <c r="P651" s="495" t="str">
        <f t="shared" si="4"/>
        <v>LUNAS</v>
      </c>
      <c r="Q651" s="135">
        <f t="shared" si="5"/>
        <v>0</v>
      </c>
      <c r="S651" s="101"/>
    </row>
    <row r="652" ht="15.75" customHeight="1">
      <c r="A652" s="49"/>
      <c r="C652" s="589">
        <v>46215.0</v>
      </c>
      <c r="D652" s="589">
        <v>46185.0</v>
      </c>
      <c r="E652" s="281" t="s">
        <v>775</v>
      </c>
      <c r="F652" s="616">
        <v>3240000.0</v>
      </c>
      <c r="G652" s="616">
        <v>400000.0</v>
      </c>
      <c r="H652" s="9"/>
      <c r="I652" s="8"/>
      <c r="J652" s="9"/>
      <c r="K652" s="611"/>
      <c r="L652" s="612"/>
      <c r="M652" s="613"/>
      <c r="N652" s="497"/>
      <c r="O652" s="497"/>
      <c r="P652" s="495" t="str">
        <f t="shared" si="4"/>
        <v>LUNAS</v>
      </c>
      <c r="Q652" s="135">
        <f t="shared" si="5"/>
        <v>0</v>
      </c>
      <c r="S652" s="101"/>
    </row>
    <row r="653" ht="15.75" customHeight="1">
      <c r="A653" s="49"/>
      <c r="C653" s="589">
        <v>46217.0</v>
      </c>
      <c r="D653" s="589">
        <v>46185.0</v>
      </c>
      <c r="E653" s="281" t="s">
        <v>810</v>
      </c>
      <c r="F653" s="616">
        <v>3300000.0</v>
      </c>
      <c r="G653" s="616">
        <v>565000.0</v>
      </c>
      <c r="H653" s="9"/>
      <c r="I653" s="8"/>
      <c r="J653" s="9"/>
      <c r="K653" s="611"/>
      <c r="L653" s="612"/>
      <c r="M653" s="613"/>
      <c r="N653" s="497"/>
      <c r="O653" s="497"/>
      <c r="P653" s="495" t="str">
        <f t="shared" si="4"/>
        <v>LUNAS</v>
      </c>
      <c r="Q653" s="135">
        <f t="shared" si="5"/>
        <v>0</v>
      </c>
      <c r="S653" s="101"/>
    </row>
    <row r="654" ht="15.75" customHeight="1">
      <c r="A654" s="49"/>
      <c r="C654" s="589">
        <v>46218.0</v>
      </c>
      <c r="D654" s="589">
        <v>46206.0</v>
      </c>
      <c r="E654" s="281" t="s">
        <v>74</v>
      </c>
      <c r="F654" s="616">
        <v>3360000.0</v>
      </c>
      <c r="G654" s="616">
        <v>460000.0</v>
      </c>
      <c r="H654" s="9"/>
      <c r="I654" s="8"/>
      <c r="J654" s="9"/>
      <c r="K654" s="611"/>
      <c r="L654" s="612"/>
      <c r="M654" s="613"/>
      <c r="N654" s="497"/>
      <c r="O654" s="497"/>
      <c r="P654" s="495" t="str">
        <f t="shared" si="4"/>
        <v>LUNAS</v>
      </c>
      <c r="Q654" s="135">
        <f t="shared" si="5"/>
        <v>0</v>
      </c>
      <c r="S654" s="101"/>
    </row>
    <row r="655" ht="15.75" customHeight="1">
      <c r="A655" s="49"/>
      <c r="C655" s="589">
        <v>46218.0</v>
      </c>
      <c r="D655" s="589">
        <v>46200.0</v>
      </c>
      <c r="E655" s="281" t="s">
        <v>74</v>
      </c>
      <c r="F655" s="616">
        <v>3335000.0</v>
      </c>
      <c r="G655" s="616">
        <v>440000.0</v>
      </c>
      <c r="H655" s="9"/>
      <c r="I655" s="8"/>
      <c r="J655" s="9"/>
      <c r="K655" s="611"/>
      <c r="L655" s="612"/>
      <c r="M655" s="613"/>
      <c r="N655" s="497"/>
      <c r="O655" s="497"/>
      <c r="P655" s="495" t="str">
        <f t="shared" si="4"/>
        <v>LUNAS</v>
      </c>
      <c r="Q655" s="135">
        <f t="shared" si="5"/>
        <v>0</v>
      </c>
      <c r="S655" s="101"/>
    </row>
    <row r="656" ht="15.75" customHeight="1">
      <c r="A656" s="49"/>
      <c r="C656" s="589">
        <v>46219.0</v>
      </c>
      <c r="D656" s="589">
        <v>46190.0</v>
      </c>
      <c r="E656" s="281" t="s">
        <v>254</v>
      </c>
      <c r="F656" s="616">
        <v>1720000.0</v>
      </c>
      <c r="G656" s="616">
        <v>0.0</v>
      </c>
      <c r="H656" s="9"/>
      <c r="I656" s="8"/>
      <c r="J656" s="9"/>
      <c r="K656" s="611"/>
      <c r="L656" s="612"/>
      <c r="M656" s="613"/>
      <c r="N656" s="497"/>
      <c r="O656" s="497"/>
      <c r="P656" s="495" t="str">
        <f t="shared" si="4"/>
        <v>LUNAS</v>
      </c>
      <c r="Q656" s="135">
        <f t="shared" si="5"/>
        <v>0</v>
      </c>
      <c r="S656" s="101"/>
    </row>
    <row r="657" ht="15.75" customHeight="1">
      <c r="A657" s="49"/>
      <c r="C657" s="589">
        <v>46219.0</v>
      </c>
      <c r="D657" s="589">
        <v>46193.0</v>
      </c>
      <c r="E657" s="281" t="s">
        <v>935</v>
      </c>
      <c r="F657" s="616">
        <v>800000.0</v>
      </c>
      <c r="G657" s="616">
        <v>100000.0</v>
      </c>
      <c r="H657" s="9"/>
      <c r="I657" s="8"/>
      <c r="J657" s="9"/>
      <c r="K657" s="611"/>
      <c r="L657" s="612"/>
      <c r="M657" s="613"/>
      <c r="N657" s="497"/>
      <c r="O657" s="497"/>
      <c r="P657" s="495" t="str">
        <f t="shared" si="4"/>
        <v>LUNAS</v>
      </c>
      <c r="Q657" s="135">
        <f t="shared" si="5"/>
        <v>0</v>
      </c>
      <c r="S657" s="101"/>
    </row>
    <row r="658" ht="15.75" customHeight="1">
      <c r="A658" s="49"/>
      <c r="C658" s="589">
        <v>46221.0</v>
      </c>
      <c r="D658" s="589">
        <v>46017.0</v>
      </c>
      <c r="E658" s="281" t="s">
        <v>1094</v>
      </c>
      <c r="F658" s="616">
        <v>200000.0</v>
      </c>
      <c r="G658" s="616">
        <v>0.0</v>
      </c>
      <c r="H658" s="9"/>
      <c r="I658" s="8"/>
      <c r="J658" s="9"/>
      <c r="K658" s="611"/>
      <c r="L658" s="612"/>
      <c r="M658" s="613"/>
      <c r="N658" s="497"/>
      <c r="O658" s="497"/>
      <c r="P658" s="495" t="str">
        <f t="shared" si="4"/>
        <v>LUNAS</v>
      </c>
      <c r="Q658" s="135">
        <f t="shared" si="5"/>
        <v>0</v>
      </c>
      <c r="S658" s="101"/>
    </row>
    <row r="659" ht="15.75" customHeight="1">
      <c r="A659" s="49"/>
      <c r="C659" s="589">
        <v>46225.0</v>
      </c>
      <c r="D659" s="589">
        <v>46210.0</v>
      </c>
      <c r="E659" s="281" t="s">
        <v>346</v>
      </c>
      <c r="F659" s="616">
        <v>4600000.0</v>
      </c>
      <c r="G659" s="616">
        <v>400000.0</v>
      </c>
      <c r="H659" s="9"/>
      <c r="I659" s="8"/>
      <c r="J659" s="9"/>
      <c r="K659" s="611"/>
      <c r="L659" s="612"/>
      <c r="M659" s="613"/>
      <c r="N659" s="497"/>
      <c r="O659" s="497"/>
      <c r="P659" s="495" t="str">
        <f t="shared" si="4"/>
        <v>LUNAS</v>
      </c>
      <c r="Q659" s="135">
        <f t="shared" si="5"/>
        <v>0</v>
      </c>
      <c r="S659" s="101"/>
    </row>
    <row r="660" ht="15.75" customHeight="1">
      <c r="A660" s="49"/>
      <c r="C660" s="589">
        <v>46225.0</v>
      </c>
      <c r="D660" s="589">
        <v>46191.0</v>
      </c>
      <c r="E660" s="281" t="s">
        <v>595</v>
      </c>
      <c r="F660" s="616">
        <v>6000000.0</v>
      </c>
      <c r="G660" s="616">
        <v>800000.0</v>
      </c>
      <c r="H660" s="9"/>
      <c r="I660" s="8"/>
      <c r="J660" s="9"/>
      <c r="K660" s="611"/>
      <c r="L660" s="612"/>
      <c r="M660" s="613"/>
      <c r="N660" s="497"/>
      <c r="O660" s="497"/>
      <c r="P660" s="495" t="str">
        <f t="shared" si="4"/>
        <v>LUNAS</v>
      </c>
      <c r="Q660" s="135">
        <f t="shared" si="5"/>
        <v>0</v>
      </c>
      <c r="S660" s="101"/>
    </row>
    <row r="661" ht="15.75" customHeight="1">
      <c r="A661" s="49"/>
      <c r="C661" s="589">
        <v>46225.0</v>
      </c>
      <c r="D661" s="589">
        <v>46181.0</v>
      </c>
      <c r="E661" s="281" t="s">
        <v>536</v>
      </c>
      <c r="F661" s="616">
        <v>4560000.0</v>
      </c>
      <c r="G661" s="616">
        <v>400000.0</v>
      </c>
      <c r="H661" s="9"/>
      <c r="I661" s="8"/>
      <c r="J661" s="9"/>
      <c r="K661" s="611"/>
      <c r="L661" s="612"/>
      <c r="M661" s="613"/>
      <c r="N661" s="497"/>
      <c r="O661" s="497"/>
      <c r="P661" s="495" t="str">
        <f t="shared" si="4"/>
        <v>LUNAS</v>
      </c>
      <c r="Q661" s="135">
        <f t="shared" si="5"/>
        <v>0</v>
      </c>
      <c r="S661" s="101"/>
    </row>
    <row r="662" ht="15.75" customHeight="1">
      <c r="A662" s="49"/>
      <c r="C662" s="589">
        <v>46226.0</v>
      </c>
      <c r="D662" s="589">
        <v>46192.0</v>
      </c>
      <c r="E662" s="281" t="s">
        <v>267</v>
      </c>
      <c r="F662" s="616">
        <v>4720000.0</v>
      </c>
      <c r="G662" s="616">
        <v>400000.0</v>
      </c>
      <c r="H662" s="9"/>
      <c r="I662" s="8"/>
      <c r="J662" s="9"/>
      <c r="K662" s="611"/>
      <c r="L662" s="612"/>
      <c r="M662" s="613"/>
      <c r="N662" s="497"/>
      <c r="O662" s="497"/>
      <c r="P662" s="495" t="str">
        <f t="shared" si="4"/>
        <v>LUNAS</v>
      </c>
      <c r="Q662" s="135">
        <f t="shared" si="5"/>
        <v>0</v>
      </c>
      <c r="S662" s="101"/>
    </row>
    <row r="663" ht="15.75" customHeight="1">
      <c r="A663" s="49"/>
      <c r="C663" s="589">
        <v>46227.0</v>
      </c>
      <c r="D663" s="589">
        <v>46159.0</v>
      </c>
      <c r="E663" s="281" t="s">
        <v>470</v>
      </c>
      <c r="F663" s="616">
        <v>1320000.0</v>
      </c>
      <c r="G663" s="616">
        <v>0.0</v>
      </c>
      <c r="H663" s="9"/>
      <c r="I663" s="8"/>
      <c r="J663" s="9"/>
      <c r="K663" s="611"/>
      <c r="L663" s="612"/>
      <c r="M663" s="613"/>
      <c r="N663" s="497"/>
      <c r="O663" s="497"/>
      <c r="P663" s="495" t="str">
        <f t="shared" si="4"/>
        <v>LUNAS</v>
      </c>
      <c r="Q663" s="135">
        <f t="shared" si="5"/>
        <v>0</v>
      </c>
      <c r="S663" s="101"/>
    </row>
    <row r="664" ht="15.75" customHeight="1">
      <c r="A664" s="49"/>
      <c r="C664" s="589">
        <v>46227.0</v>
      </c>
      <c r="D664" s="589">
        <v>46185.0</v>
      </c>
      <c r="E664" s="281" t="s">
        <v>470</v>
      </c>
      <c r="F664" s="616">
        <v>1500000.0</v>
      </c>
      <c r="G664" s="616">
        <v>230000.0</v>
      </c>
      <c r="H664" s="9"/>
      <c r="I664" s="8"/>
      <c r="J664" s="9"/>
      <c r="K664" s="611"/>
      <c r="L664" s="612"/>
      <c r="M664" s="613"/>
      <c r="N664" s="497"/>
      <c r="O664" s="497"/>
      <c r="P664" s="495" t="str">
        <f t="shared" si="4"/>
        <v>LUNAS</v>
      </c>
      <c r="Q664" s="135">
        <f t="shared" si="5"/>
        <v>0</v>
      </c>
      <c r="S664" s="101"/>
    </row>
    <row r="665" ht="15.75" customHeight="1">
      <c r="A665" s="49"/>
      <c r="C665" s="589">
        <v>46229.0</v>
      </c>
      <c r="D665" s="589">
        <v>46193.0</v>
      </c>
      <c r="E665" s="281" t="s">
        <v>927</v>
      </c>
      <c r="F665" s="616">
        <v>2360000.0</v>
      </c>
      <c r="G665" s="616">
        <v>0.0</v>
      </c>
      <c r="H665" s="9"/>
      <c r="I665" s="8"/>
      <c r="J665" s="9"/>
      <c r="K665" s="611"/>
      <c r="L665" s="612"/>
      <c r="M665" s="613"/>
      <c r="N665" s="497"/>
      <c r="O665" s="497"/>
      <c r="P665" s="495" t="str">
        <f t="shared" si="4"/>
        <v>LUNAS</v>
      </c>
      <c r="Q665" s="135">
        <f t="shared" si="5"/>
        <v>0</v>
      </c>
      <c r="S665" s="101"/>
    </row>
    <row r="666" ht="15.75" customHeight="1">
      <c r="A666" s="49"/>
      <c r="C666" s="589">
        <v>46229.0</v>
      </c>
      <c r="D666" s="589">
        <v>46197.0</v>
      </c>
      <c r="E666" s="281" t="s">
        <v>927</v>
      </c>
      <c r="F666" s="616">
        <v>880000.0</v>
      </c>
      <c r="G666" s="616">
        <v>200000.0</v>
      </c>
      <c r="H666" s="9"/>
      <c r="I666" s="8"/>
      <c r="J666" s="9"/>
      <c r="K666" s="611"/>
      <c r="L666" s="612"/>
      <c r="M666" s="613"/>
      <c r="N666" s="497"/>
      <c r="O666" s="497"/>
      <c r="P666" s="495" t="str">
        <f t="shared" si="4"/>
        <v>LUNAS</v>
      </c>
      <c r="Q666" s="135">
        <f t="shared" si="5"/>
        <v>0</v>
      </c>
      <c r="S666" s="101"/>
    </row>
    <row r="667" ht="15.75" customHeight="1">
      <c r="A667" s="49"/>
      <c r="C667" s="589">
        <v>46230.0</v>
      </c>
      <c r="D667" s="589">
        <v>46198.0</v>
      </c>
      <c r="E667" s="281" t="s">
        <v>1100</v>
      </c>
      <c r="F667" s="616">
        <v>1.145E7</v>
      </c>
      <c r="G667" s="616">
        <v>860000.0</v>
      </c>
      <c r="H667" s="9"/>
      <c r="I667" s="8"/>
      <c r="J667" s="9"/>
      <c r="K667" s="611"/>
      <c r="L667" s="612"/>
      <c r="M667" s="613"/>
      <c r="N667" s="497"/>
      <c r="O667" s="497"/>
      <c r="P667" s="495" t="str">
        <f t="shared" si="4"/>
        <v>LUNAS</v>
      </c>
      <c r="Q667" s="135">
        <f t="shared" si="5"/>
        <v>0</v>
      </c>
      <c r="S667" s="101"/>
    </row>
    <row r="668" ht="15.75" customHeight="1">
      <c r="A668" s="49"/>
      <c r="C668" s="589">
        <v>46233.0</v>
      </c>
      <c r="D668" s="589">
        <v>46202.0</v>
      </c>
      <c r="E668" s="281" t="s">
        <v>132</v>
      </c>
      <c r="F668" s="616">
        <v>1850000.0</v>
      </c>
      <c r="G668" s="616">
        <v>560000.0</v>
      </c>
      <c r="H668" s="9"/>
      <c r="I668" s="8"/>
      <c r="J668" s="9"/>
      <c r="K668" s="611"/>
      <c r="L668" s="612"/>
      <c r="M668" s="613"/>
      <c r="N668" s="497"/>
      <c r="O668" s="497"/>
      <c r="P668" s="495" t="str">
        <f t="shared" si="4"/>
        <v>LUNAS</v>
      </c>
      <c r="Q668" s="135">
        <f t="shared" si="5"/>
        <v>0</v>
      </c>
      <c r="S668" s="101"/>
    </row>
    <row r="669" ht="15.75" customHeight="1">
      <c r="A669" s="49"/>
      <c r="C669" s="589">
        <v>46235.0</v>
      </c>
      <c r="D669" s="589">
        <v>46206.0</v>
      </c>
      <c r="E669" s="281" t="s">
        <v>346</v>
      </c>
      <c r="F669" s="616">
        <v>1100000.0</v>
      </c>
      <c r="G669" s="616">
        <v>235000.0</v>
      </c>
      <c r="H669" s="9"/>
      <c r="I669" s="8"/>
      <c r="J669" s="9"/>
      <c r="K669" s="611"/>
      <c r="L669" s="612"/>
      <c r="M669" s="613"/>
      <c r="N669" s="497"/>
      <c r="O669" s="497"/>
      <c r="P669" s="495" t="str">
        <f t="shared" si="4"/>
        <v>LUNAS</v>
      </c>
      <c r="Q669" s="135">
        <f t="shared" si="5"/>
        <v>0</v>
      </c>
      <c r="S669" s="101"/>
    </row>
    <row r="670" ht="15.75" customHeight="1">
      <c r="A670" s="49"/>
      <c r="C670" s="589">
        <v>46237.0</v>
      </c>
      <c r="D670" s="589">
        <v>46204.0</v>
      </c>
      <c r="E670" s="281" t="s">
        <v>144</v>
      </c>
      <c r="F670" s="616">
        <v>850000.0</v>
      </c>
      <c r="G670" s="616">
        <v>200000.0</v>
      </c>
      <c r="H670" s="9"/>
      <c r="I670" s="8"/>
      <c r="J670" s="9"/>
      <c r="K670" s="611"/>
      <c r="L670" s="612"/>
      <c r="M670" s="613"/>
      <c r="N670" s="497"/>
      <c r="O670" s="497"/>
      <c r="P670" s="495" t="str">
        <f t="shared" si="4"/>
        <v>LUNAS</v>
      </c>
      <c r="Q670" s="135">
        <f t="shared" si="5"/>
        <v>0</v>
      </c>
      <c r="S670" s="101"/>
    </row>
    <row r="671" ht="15.75" customHeight="1">
      <c r="A671" s="49"/>
      <c r="C671" s="589">
        <v>46239.0</v>
      </c>
      <c r="D671" s="589">
        <v>46210.0</v>
      </c>
      <c r="E671" s="281" t="s">
        <v>867</v>
      </c>
      <c r="F671" s="616">
        <v>2100000.0</v>
      </c>
      <c r="G671" s="616">
        <v>325000.0</v>
      </c>
      <c r="H671" s="9"/>
      <c r="I671" s="8"/>
      <c r="J671" s="9"/>
      <c r="K671" s="611"/>
      <c r="L671" s="612"/>
      <c r="M671" s="613"/>
      <c r="N671" s="497"/>
      <c r="O671" s="497"/>
      <c r="P671" s="495" t="str">
        <f t="shared" si="4"/>
        <v>LUNAS</v>
      </c>
      <c r="Q671" s="135">
        <f t="shared" si="5"/>
        <v>0</v>
      </c>
      <c r="S671" s="101"/>
    </row>
    <row r="672" ht="15.75" customHeight="1">
      <c r="A672" s="49"/>
      <c r="C672" s="589">
        <v>46239.0</v>
      </c>
      <c r="D672" s="589">
        <v>46210.0</v>
      </c>
      <c r="E672" s="131"/>
      <c r="F672" s="635"/>
      <c r="G672" s="616">
        <v>0.0</v>
      </c>
      <c r="H672" s="9"/>
      <c r="I672" s="8"/>
      <c r="J672" s="9"/>
      <c r="K672" s="611"/>
      <c r="L672" s="612"/>
      <c r="M672" s="613"/>
      <c r="N672" s="497"/>
      <c r="O672" s="497"/>
      <c r="P672" s="495" t="str">
        <f t="shared" si="4"/>
        <v>LUNAS</v>
      </c>
      <c r="Q672" s="135">
        <f t="shared" si="5"/>
        <v>0</v>
      </c>
      <c r="S672" s="101"/>
    </row>
    <row r="673" ht="15.75" customHeight="1">
      <c r="A673" s="49"/>
      <c r="C673" s="589">
        <v>46242.0</v>
      </c>
      <c r="D673" s="589">
        <v>45992.0</v>
      </c>
      <c r="E673" s="281" t="s">
        <v>1094</v>
      </c>
      <c r="F673" s="616">
        <v>250000.0</v>
      </c>
      <c r="G673" s="616">
        <v>0.0</v>
      </c>
      <c r="H673" s="9"/>
      <c r="I673" s="8"/>
      <c r="J673" s="9"/>
      <c r="K673" s="611"/>
      <c r="L673" s="612"/>
      <c r="M673" s="613"/>
      <c r="N673" s="497"/>
      <c r="O673" s="497"/>
      <c r="P673" s="495" t="str">
        <f t="shared" si="4"/>
        <v>LUNAS</v>
      </c>
      <c r="Q673" s="135">
        <f t="shared" si="5"/>
        <v>0</v>
      </c>
      <c r="S673" s="101"/>
    </row>
    <row r="674" ht="15.75" customHeight="1">
      <c r="A674" s="49"/>
      <c r="C674" s="589">
        <v>46244.0</v>
      </c>
      <c r="D674" s="589">
        <v>46210.0</v>
      </c>
      <c r="E674" s="281" t="s">
        <v>267</v>
      </c>
      <c r="F674" s="616">
        <v>1760000.0</v>
      </c>
      <c r="G674" s="616">
        <v>205000.0</v>
      </c>
      <c r="H674" s="9"/>
      <c r="I674" s="8"/>
      <c r="J674" s="9"/>
      <c r="K674" s="611"/>
      <c r="L674" s="612"/>
      <c r="M674" s="613"/>
      <c r="N674" s="497"/>
      <c r="O674" s="497"/>
      <c r="P674" s="495" t="str">
        <f t="shared" si="4"/>
        <v>LUNAS</v>
      </c>
      <c r="Q674" s="135">
        <f t="shared" si="5"/>
        <v>0</v>
      </c>
      <c r="S674" s="101"/>
    </row>
    <row r="675" ht="15.75" customHeight="1">
      <c r="A675" s="49"/>
      <c r="C675" s="589">
        <v>46244.0</v>
      </c>
      <c r="D675" s="589">
        <v>46204.0</v>
      </c>
      <c r="E675" s="281" t="s">
        <v>234</v>
      </c>
      <c r="F675" s="616">
        <v>1740000.0</v>
      </c>
      <c r="G675" s="616">
        <v>290000.0</v>
      </c>
      <c r="H675" s="9"/>
      <c r="I675" s="8"/>
      <c r="J675" s="9"/>
      <c r="K675" s="611"/>
      <c r="L675" s="612"/>
      <c r="M675" s="613"/>
      <c r="N675" s="497"/>
      <c r="O675" s="497"/>
      <c r="P675" s="495" t="str">
        <f t="shared" si="4"/>
        <v>LUNAS</v>
      </c>
      <c r="Q675" s="135">
        <f t="shared" si="5"/>
        <v>0</v>
      </c>
      <c r="S675" s="101"/>
    </row>
    <row r="676" ht="15.75" customHeight="1">
      <c r="A676" s="49"/>
      <c r="C676" s="589">
        <v>46249.0</v>
      </c>
      <c r="D676" s="589">
        <v>46217.0</v>
      </c>
      <c r="E676" s="281" t="s">
        <v>270</v>
      </c>
      <c r="F676" s="616">
        <v>3500000.0</v>
      </c>
      <c r="G676" s="616">
        <v>410000.0</v>
      </c>
      <c r="H676" s="9"/>
      <c r="I676" s="8"/>
      <c r="J676" s="9"/>
      <c r="K676" s="611"/>
      <c r="L676" s="612"/>
      <c r="M676" s="613"/>
      <c r="N676" s="497"/>
      <c r="O676" s="497"/>
      <c r="P676" s="495" t="str">
        <f t="shared" si="4"/>
        <v>LUNAS</v>
      </c>
      <c r="Q676" s="135">
        <f t="shared" si="5"/>
        <v>0</v>
      </c>
      <c r="S676" s="101"/>
    </row>
    <row r="677" ht="15.75" customHeight="1">
      <c r="A677" s="49"/>
      <c r="C677" s="589">
        <v>46252.0</v>
      </c>
      <c r="D677" s="589">
        <v>46217.0</v>
      </c>
      <c r="E677" s="281" t="s">
        <v>132</v>
      </c>
      <c r="F677" s="616">
        <v>4560000.0</v>
      </c>
      <c r="G677" s="616">
        <v>400000.0</v>
      </c>
      <c r="H677" s="9"/>
      <c r="I677" s="8"/>
      <c r="J677" s="9"/>
      <c r="K677" s="611"/>
      <c r="L677" s="612"/>
      <c r="M677" s="613"/>
      <c r="N677" s="497"/>
      <c r="O677" s="497"/>
      <c r="P677" s="495" t="str">
        <f t="shared" si="4"/>
        <v>LUNAS</v>
      </c>
      <c r="Q677" s="135">
        <f t="shared" si="5"/>
        <v>0</v>
      </c>
      <c r="S677" s="101"/>
    </row>
    <row r="678" ht="15.75" customHeight="1">
      <c r="A678" s="49"/>
      <c r="C678" s="589">
        <v>46252.0</v>
      </c>
      <c r="D678" s="589">
        <v>46228.0</v>
      </c>
      <c r="E678" s="281" t="s">
        <v>595</v>
      </c>
      <c r="F678" s="616">
        <v>8720000.0</v>
      </c>
      <c r="G678" s="616">
        <v>800000.0</v>
      </c>
      <c r="H678" s="9"/>
      <c r="I678" s="8"/>
      <c r="J678" s="9"/>
      <c r="K678" s="611"/>
      <c r="L678" s="612"/>
      <c r="M678" s="613"/>
      <c r="N678" s="497"/>
      <c r="O678" s="497"/>
      <c r="P678" s="495" t="str">
        <f t="shared" si="4"/>
        <v>LUNAS</v>
      </c>
      <c r="Q678" s="135">
        <f t="shared" si="5"/>
        <v>0</v>
      </c>
      <c r="S678" s="101"/>
    </row>
    <row r="679" ht="15.75" customHeight="1">
      <c r="A679" s="49"/>
      <c r="C679" s="589">
        <v>46245.0</v>
      </c>
      <c r="D679" s="614">
        <v>46220.0</v>
      </c>
      <c r="E679" s="281" t="s">
        <v>346</v>
      </c>
      <c r="F679" s="616">
        <v>3500000.0</v>
      </c>
      <c r="G679" s="616">
        <v>200000.0</v>
      </c>
      <c r="H679" s="9"/>
      <c r="I679" s="8"/>
      <c r="J679" s="9"/>
      <c r="K679" s="611"/>
      <c r="L679" s="612"/>
      <c r="M679" s="613"/>
      <c r="N679" s="497"/>
      <c r="O679" s="497"/>
      <c r="P679" s="495" t="str">
        <f t="shared" si="4"/>
        <v>LUNAS</v>
      </c>
      <c r="Q679" s="135">
        <f t="shared" si="5"/>
        <v>0</v>
      </c>
      <c r="S679" s="101"/>
    </row>
    <row r="680" ht="15.75" customHeight="1">
      <c r="A680" s="49"/>
      <c r="C680" s="589">
        <v>46256.0</v>
      </c>
      <c r="D680" s="589">
        <v>46225.0</v>
      </c>
      <c r="E680" s="281" t="s">
        <v>962</v>
      </c>
      <c r="F680" s="616">
        <v>655000.0</v>
      </c>
      <c r="G680" s="616">
        <v>165000.0</v>
      </c>
      <c r="H680" s="9"/>
      <c r="I680" s="8"/>
      <c r="J680" s="9"/>
      <c r="K680" s="611"/>
      <c r="L680" s="612"/>
      <c r="M680" s="613"/>
      <c r="N680" s="497"/>
      <c r="O680" s="497"/>
      <c r="P680" s="495" t="str">
        <f t="shared" si="4"/>
        <v>LUNAS</v>
      </c>
      <c r="Q680" s="135">
        <f t="shared" si="5"/>
        <v>0</v>
      </c>
      <c r="S680" s="101"/>
    </row>
    <row r="681" ht="15.75" customHeight="1">
      <c r="A681" s="49"/>
      <c r="C681" s="589">
        <v>46258.0</v>
      </c>
      <c r="D681" s="589">
        <v>46226.0</v>
      </c>
      <c r="E681" s="281" t="s">
        <v>810</v>
      </c>
      <c r="F681" s="616">
        <v>2085000.0</v>
      </c>
      <c r="G681" s="616">
        <v>200000.0</v>
      </c>
      <c r="H681" s="9"/>
      <c r="I681" s="8"/>
      <c r="J681" s="9"/>
      <c r="K681" s="611"/>
      <c r="L681" s="612"/>
      <c r="M681" s="613"/>
      <c r="N681" s="497"/>
      <c r="O681" s="497"/>
      <c r="P681" s="495" t="str">
        <f t="shared" si="4"/>
        <v>LUNAS</v>
      </c>
      <c r="Q681" s="135">
        <f t="shared" si="5"/>
        <v>0</v>
      </c>
      <c r="S681" s="101"/>
    </row>
    <row r="682" ht="15.75" customHeight="1">
      <c r="A682" s="49"/>
      <c r="C682" s="589">
        <v>46258.0</v>
      </c>
      <c r="D682" s="589">
        <v>46226.0</v>
      </c>
      <c r="E682" s="281" t="s">
        <v>476</v>
      </c>
      <c r="F682" s="616">
        <v>670000.0</v>
      </c>
      <c r="G682" s="616">
        <v>165000.0</v>
      </c>
      <c r="H682" s="9"/>
      <c r="I682" s="8"/>
      <c r="J682" s="9"/>
      <c r="K682" s="611"/>
      <c r="L682" s="612"/>
      <c r="M682" s="613"/>
      <c r="N682" s="497"/>
      <c r="O682" s="497"/>
      <c r="P682" s="495" t="str">
        <f t="shared" si="4"/>
        <v>LUNAS</v>
      </c>
      <c r="Q682" s="135">
        <f t="shared" si="5"/>
        <v>0</v>
      </c>
      <c r="S682" s="101"/>
    </row>
    <row r="683" ht="15.75" customHeight="1">
      <c r="A683" s="49"/>
      <c r="C683" s="589">
        <v>46259.0</v>
      </c>
      <c r="D683" s="589">
        <v>46227.0</v>
      </c>
      <c r="E683" s="281" t="s">
        <v>819</v>
      </c>
      <c r="F683" s="616">
        <v>1760000.0</v>
      </c>
      <c r="G683" s="616">
        <v>200000.0</v>
      </c>
      <c r="H683" s="9"/>
      <c r="I683" s="8"/>
      <c r="J683" s="9"/>
      <c r="K683" s="611"/>
      <c r="L683" s="612"/>
      <c r="M683" s="613"/>
      <c r="N683" s="497"/>
      <c r="O683" s="497"/>
      <c r="P683" s="495" t="str">
        <f t="shared" si="4"/>
        <v>LUNAS</v>
      </c>
      <c r="Q683" s="135">
        <f t="shared" si="5"/>
        <v>0</v>
      </c>
      <c r="S683" s="101"/>
    </row>
    <row r="684" ht="15.75" customHeight="1">
      <c r="A684" s="49"/>
      <c r="C684" s="589">
        <v>46260.0</v>
      </c>
      <c r="D684" s="589">
        <v>46260.0</v>
      </c>
      <c r="E684" s="281" t="s">
        <v>254</v>
      </c>
      <c r="F684" s="616">
        <v>840000.0</v>
      </c>
      <c r="G684" s="616">
        <v>200000.0</v>
      </c>
      <c r="H684" s="9"/>
      <c r="I684" s="8"/>
      <c r="J684" s="9"/>
      <c r="K684" s="611"/>
      <c r="L684" s="612"/>
      <c r="M684" s="613"/>
      <c r="N684" s="497"/>
      <c r="O684" s="497"/>
      <c r="P684" s="495" t="str">
        <f t="shared" si="4"/>
        <v>LUNAS</v>
      </c>
      <c r="Q684" s="135">
        <f t="shared" si="5"/>
        <v>0</v>
      </c>
      <c r="S684" s="101"/>
    </row>
    <row r="685" ht="15.75" customHeight="1">
      <c r="A685" s="49"/>
      <c r="C685" s="589">
        <v>46261.0</v>
      </c>
      <c r="D685" s="589">
        <v>46245.0</v>
      </c>
      <c r="E685" s="281" t="s">
        <v>74</v>
      </c>
      <c r="F685" s="616">
        <v>75000.0</v>
      </c>
      <c r="G685" s="616">
        <v>40000.0</v>
      </c>
      <c r="H685" s="9"/>
      <c r="I685" s="8"/>
      <c r="J685" s="9"/>
      <c r="K685" s="611"/>
      <c r="L685" s="612"/>
      <c r="M685" s="613"/>
      <c r="N685" s="497"/>
      <c r="O685" s="497"/>
      <c r="P685" s="495" t="str">
        <f t="shared" si="4"/>
        <v>LUNAS</v>
      </c>
      <c r="Q685" s="135">
        <f t="shared" si="5"/>
        <v>0</v>
      </c>
      <c r="S685" s="101"/>
    </row>
    <row r="686" ht="15.75" customHeight="1">
      <c r="A686" s="49"/>
      <c r="C686" s="589">
        <v>46263.0</v>
      </c>
      <c r="D686" s="589">
        <v>46230.0</v>
      </c>
      <c r="E686" s="281" t="s">
        <v>119</v>
      </c>
      <c r="F686" s="616">
        <v>2150000.0</v>
      </c>
      <c r="G686" s="616">
        <v>640000.0</v>
      </c>
      <c r="H686" s="9"/>
      <c r="I686" s="8"/>
      <c r="J686" s="9"/>
      <c r="K686" s="611"/>
      <c r="L686" s="612"/>
      <c r="M686" s="613"/>
      <c r="N686" s="497"/>
      <c r="O686" s="497"/>
      <c r="P686" s="495" t="str">
        <f t="shared" si="4"/>
        <v>LUNAS</v>
      </c>
      <c r="Q686" s="135">
        <f t="shared" si="5"/>
        <v>0</v>
      </c>
      <c r="S686" s="101"/>
    </row>
    <row r="687" ht="15.75" customHeight="1">
      <c r="A687" s="49"/>
      <c r="C687" s="589">
        <v>46265.0</v>
      </c>
      <c r="D687" s="589">
        <v>46265.0</v>
      </c>
      <c r="E687" s="281" t="s">
        <v>249</v>
      </c>
      <c r="F687" s="616">
        <v>150000.0</v>
      </c>
      <c r="G687" s="616">
        <v>170000.0</v>
      </c>
      <c r="H687" s="9"/>
      <c r="I687" s="8"/>
      <c r="J687" s="9"/>
      <c r="K687" s="611"/>
      <c r="L687" s="612"/>
      <c r="M687" s="613"/>
      <c r="N687" s="497"/>
      <c r="O687" s="497"/>
      <c r="P687" s="495" t="str">
        <f t="shared" si="4"/>
        <v>LUNAS</v>
      </c>
      <c r="Q687" s="135">
        <f t="shared" si="5"/>
        <v>0</v>
      </c>
      <c r="S687" s="101"/>
    </row>
    <row r="688" ht="15.75" customHeight="1">
      <c r="A688" s="49"/>
      <c r="C688" s="589">
        <v>46266.0</v>
      </c>
      <c r="D688" s="589">
        <v>46230.0</v>
      </c>
      <c r="E688" s="281" t="s">
        <v>270</v>
      </c>
      <c r="F688" s="616">
        <v>5000000.0</v>
      </c>
      <c r="G688" s="616">
        <v>600000.0</v>
      </c>
      <c r="H688" s="9"/>
      <c r="I688" s="8"/>
      <c r="J688" s="9"/>
      <c r="K688" s="611"/>
      <c r="L688" s="612"/>
      <c r="M688" s="613"/>
      <c r="N688" s="497"/>
      <c r="O688" s="497"/>
      <c r="P688" s="495" t="str">
        <f t="shared" si="4"/>
        <v>LUNAS</v>
      </c>
      <c r="Q688" s="135">
        <f t="shared" si="5"/>
        <v>0</v>
      </c>
      <c r="S688" s="101"/>
    </row>
    <row r="689" ht="15.75" customHeight="1">
      <c r="A689" s="49"/>
      <c r="C689" s="589">
        <v>46267.0</v>
      </c>
      <c r="D689" s="589">
        <v>46230.0</v>
      </c>
      <c r="E689" s="281" t="s">
        <v>119</v>
      </c>
      <c r="F689" s="616">
        <v>2000000.0</v>
      </c>
      <c r="G689" s="616">
        <v>0.0</v>
      </c>
      <c r="H689" s="9"/>
      <c r="I689" s="8"/>
      <c r="J689" s="9"/>
      <c r="K689" s="611"/>
      <c r="L689" s="612"/>
      <c r="M689" s="613"/>
      <c r="N689" s="497"/>
      <c r="O689" s="497"/>
      <c r="P689" s="495" t="str">
        <f t="shared" si="4"/>
        <v>LUNAS</v>
      </c>
      <c r="Q689" s="135">
        <f t="shared" si="5"/>
        <v>0</v>
      </c>
      <c r="S689" s="101"/>
    </row>
    <row r="690" ht="15.75" customHeight="1">
      <c r="A690" s="49"/>
      <c r="C690" s="589">
        <v>46267.0</v>
      </c>
      <c r="D690" s="589">
        <v>46232.0</v>
      </c>
      <c r="E690" s="281" t="s">
        <v>259</v>
      </c>
      <c r="F690" s="616">
        <v>2085000.0</v>
      </c>
      <c r="G690" s="616">
        <v>200000.0</v>
      </c>
      <c r="H690" s="9"/>
      <c r="I690" s="8"/>
      <c r="J690" s="9"/>
      <c r="K690" s="611"/>
      <c r="L690" s="612"/>
      <c r="M690" s="613"/>
      <c r="N690" s="497"/>
      <c r="O690" s="497"/>
      <c r="P690" s="495" t="str">
        <f t="shared" si="4"/>
        <v>LUNAS</v>
      </c>
      <c r="Q690" s="135">
        <f t="shared" si="5"/>
        <v>0</v>
      </c>
      <c r="S690" s="101"/>
    </row>
    <row r="691" ht="15.75" customHeight="1">
      <c r="A691" s="49"/>
      <c r="C691" s="589">
        <v>46267.0</v>
      </c>
      <c r="D691" s="589">
        <v>46225.0</v>
      </c>
      <c r="E691" s="281" t="s">
        <v>264</v>
      </c>
      <c r="F691" s="616">
        <v>1760000.0</v>
      </c>
      <c r="G691" s="616">
        <v>200000.0</v>
      </c>
      <c r="H691" s="9"/>
      <c r="I691" s="8"/>
      <c r="J691" s="9"/>
      <c r="K691" s="611"/>
      <c r="L691" s="612"/>
      <c r="M691" s="613"/>
      <c r="N691" s="497"/>
      <c r="O691" s="497"/>
      <c r="P691" s="495" t="str">
        <f t="shared" si="4"/>
        <v>LUNAS</v>
      </c>
      <c r="Q691" s="135">
        <f t="shared" si="5"/>
        <v>0</v>
      </c>
      <c r="S691" s="101"/>
    </row>
    <row r="692" ht="15.75" customHeight="1">
      <c r="A692" s="49"/>
      <c r="C692" s="589">
        <v>46267.0</v>
      </c>
      <c r="D692" s="589">
        <v>46230.0</v>
      </c>
      <c r="E692" s="281" t="s">
        <v>264</v>
      </c>
      <c r="F692" s="616">
        <v>4370000.0</v>
      </c>
      <c r="G692" s="616">
        <v>270000.0</v>
      </c>
      <c r="H692" s="9"/>
      <c r="I692" s="8"/>
      <c r="J692" s="9"/>
      <c r="K692" s="611"/>
      <c r="L692" s="612"/>
      <c r="M692" s="613"/>
      <c r="N692" s="497"/>
      <c r="O692" s="497"/>
      <c r="P692" s="495" t="str">
        <f t="shared" si="4"/>
        <v>LUNAS</v>
      </c>
      <c r="Q692" s="135">
        <f t="shared" si="5"/>
        <v>0</v>
      </c>
      <c r="S692" s="101"/>
    </row>
    <row r="693" ht="15.75" customHeight="1">
      <c r="A693" s="49"/>
      <c r="C693" s="589">
        <v>46268.0</v>
      </c>
      <c r="D693" s="589">
        <v>46149.0</v>
      </c>
      <c r="E693" s="281" t="s">
        <v>254</v>
      </c>
      <c r="F693" s="616">
        <v>900000.0</v>
      </c>
      <c r="G693" s="616">
        <v>0.0</v>
      </c>
      <c r="H693" s="9"/>
      <c r="I693" s="8"/>
      <c r="J693" s="9"/>
      <c r="K693" s="611"/>
      <c r="L693" s="612"/>
      <c r="M693" s="613"/>
      <c r="N693" s="497"/>
      <c r="O693" s="497"/>
      <c r="P693" s="495" t="str">
        <f t="shared" si="4"/>
        <v>LUNAS</v>
      </c>
      <c r="Q693" s="135">
        <f t="shared" si="5"/>
        <v>0</v>
      </c>
      <c r="S693" s="101"/>
    </row>
    <row r="694" ht="15.75" customHeight="1">
      <c r="A694" s="49"/>
      <c r="C694" s="589">
        <v>46269.0</v>
      </c>
      <c r="D694" s="589">
        <v>46226.0</v>
      </c>
      <c r="E694" s="281" t="s">
        <v>267</v>
      </c>
      <c r="F694" s="616">
        <v>4720000.0</v>
      </c>
      <c r="G694" s="616">
        <v>400000.0</v>
      </c>
      <c r="H694" s="9"/>
      <c r="I694" s="8"/>
      <c r="J694" s="9"/>
      <c r="K694" s="611"/>
      <c r="L694" s="612"/>
      <c r="M694" s="613"/>
      <c r="N694" s="497"/>
      <c r="O694" s="497"/>
      <c r="P694" s="495" t="str">
        <f t="shared" si="4"/>
        <v>LUNAS</v>
      </c>
      <c r="Q694" s="135">
        <f t="shared" si="5"/>
        <v>0</v>
      </c>
      <c r="S694" s="101"/>
    </row>
    <row r="695" ht="15.75" customHeight="1">
      <c r="A695" s="49"/>
      <c r="C695" s="589">
        <v>46270.0</v>
      </c>
      <c r="D695" s="589">
        <v>46238.0</v>
      </c>
      <c r="E695" s="281" t="s">
        <v>274</v>
      </c>
      <c r="F695" s="616">
        <v>4170000.0</v>
      </c>
      <c r="G695" s="616">
        <v>400000.0</v>
      </c>
      <c r="H695" s="9"/>
      <c r="I695" s="8"/>
      <c r="J695" s="9"/>
      <c r="K695" s="611"/>
      <c r="L695" s="612"/>
      <c r="M695" s="613"/>
      <c r="N695" s="497"/>
      <c r="O695" s="497"/>
      <c r="P695" s="495" t="str">
        <f t="shared" si="4"/>
        <v>LUNAS</v>
      </c>
      <c r="Q695" s="135">
        <f t="shared" si="5"/>
        <v>0</v>
      </c>
      <c r="S695" s="101"/>
    </row>
    <row r="696" ht="15.75" customHeight="1">
      <c r="A696" s="49"/>
      <c r="C696" s="589">
        <v>46270.0</v>
      </c>
      <c r="D696" s="589">
        <v>46252.0</v>
      </c>
      <c r="E696" s="281" t="s">
        <v>274</v>
      </c>
      <c r="F696" s="616">
        <v>850000.0</v>
      </c>
      <c r="G696" s="616">
        <v>200000.0</v>
      </c>
      <c r="H696" s="9"/>
      <c r="I696" s="8"/>
      <c r="J696" s="9"/>
      <c r="K696" s="611"/>
      <c r="L696" s="612"/>
      <c r="M696" s="613"/>
      <c r="N696" s="497"/>
      <c r="O696" s="497"/>
      <c r="P696" s="495" t="str">
        <f t="shared" si="4"/>
        <v>LUNAS</v>
      </c>
      <c r="Q696" s="135">
        <f t="shared" si="5"/>
        <v>0</v>
      </c>
      <c r="S696" s="101"/>
    </row>
    <row r="697" ht="15.75" customHeight="1">
      <c r="A697" s="49"/>
      <c r="C697" s="589">
        <v>46272.0</v>
      </c>
      <c r="D697" s="589">
        <v>46230.0</v>
      </c>
      <c r="E697" s="281" t="s">
        <v>927</v>
      </c>
      <c r="F697" s="616">
        <v>1725000.0</v>
      </c>
      <c r="G697" s="616">
        <v>200000.0</v>
      </c>
      <c r="H697" s="9"/>
      <c r="I697" s="8"/>
      <c r="J697" s="9"/>
      <c r="K697" s="611"/>
      <c r="L697" s="612"/>
      <c r="M697" s="613"/>
      <c r="N697" s="497"/>
      <c r="O697" s="497"/>
      <c r="P697" s="495" t="str">
        <f t="shared" si="4"/>
        <v>LUNAS</v>
      </c>
      <c r="Q697" s="135">
        <f t="shared" si="5"/>
        <v>0</v>
      </c>
      <c r="S697" s="101"/>
    </row>
    <row r="698" ht="15.75" customHeight="1">
      <c r="A698" s="49"/>
      <c r="C698" s="589">
        <v>46273.0</v>
      </c>
      <c r="D698" s="589">
        <v>46254.0</v>
      </c>
      <c r="E698" s="281" t="s">
        <v>74</v>
      </c>
      <c r="F698" s="616">
        <v>3380000.0</v>
      </c>
      <c r="G698" s="616">
        <v>420000.0</v>
      </c>
      <c r="H698" s="9"/>
      <c r="I698" s="8"/>
      <c r="J698" s="9"/>
      <c r="K698" s="611"/>
      <c r="L698" s="612"/>
      <c r="M698" s="613"/>
      <c r="N698" s="497"/>
      <c r="O698" s="497"/>
      <c r="P698" s="495" t="str">
        <f t="shared" si="4"/>
        <v>LUNAS</v>
      </c>
      <c r="Q698" s="135">
        <f t="shared" si="5"/>
        <v>0</v>
      </c>
      <c r="S698" s="101"/>
    </row>
    <row r="699" ht="15.75" customHeight="1">
      <c r="A699" s="49"/>
      <c r="C699" s="589">
        <v>46274.0</v>
      </c>
      <c r="D699" s="589">
        <v>46237.0</v>
      </c>
      <c r="E699" s="281" t="s">
        <v>331</v>
      </c>
      <c r="F699" s="616">
        <v>1980000.0</v>
      </c>
      <c r="G699" s="616">
        <v>565000.0</v>
      </c>
      <c r="H699" s="9"/>
      <c r="I699" s="8"/>
      <c r="J699" s="9"/>
      <c r="K699" s="611"/>
      <c r="L699" s="612"/>
      <c r="M699" s="613"/>
      <c r="N699" s="497"/>
      <c r="O699" s="497"/>
      <c r="P699" s="495" t="str">
        <f t="shared" si="4"/>
        <v>LUNAS</v>
      </c>
      <c r="Q699" s="135">
        <f t="shared" si="5"/>
        <v>0</v>
      </c>
      <c r="S699" s="101"/>
    </row>
    <row r="700" ht="15.75" customHeight="1">
      <c r="A700" s="49"/>
      <c r="C700" s="589">
        <v>46275.0</v>
      </c>
      <c r="D700" s="589">
        <v>46261.0</v>
      </c>
      <c r="E700" s="281" t="s">
        <v>74</v>
      </c>
      <c r="F700" s="616">
        <v>3260000.0</v>
      </c>
      <c r="G700" s="616">
        <v>430000.0</v>
      </c>
      <c r="H700" s="9"/>
      <c r="I700" s="8"/>
      <c r="J700" s="9"/>
      <c r="K700" s="611"/>
      <c r="L700" s="612"/>
      <c r="M700" s="613"/>
      <c r="N700" s="497"/>
      <c r="O700" s="497"/>
      <c r="P700" s="495" t="str">
        <f t="shared" si="4"/>
        <v>LUNAS</v>
      </c>
      <c r="Q700" s="135">
        <f t="shared" si="5"/>
        <v>0</v>
      </c>
      <c r="S700" s="101"/>
    </row>
    <row r="701" ht="15.75" customHeight="1">
      <c r="A701" s="49"/>
      <c r="C701" s="589">
        <v>46277.0</v>
      </c>
      <c r="D701" s="589">
        <v>46241.0</v>
      </c>
      <c r="E701" s="281" t="s">
        <v>267</v>
      </c>
      <c r="F701" s="616">
        <v>1760000.0</v>
      </c>
      <c r="G701" s="616">
        <v>200000.0</v>
      </c>
      <c r="H701" s="9"/>
      <c r="I701" s="8"/>
      <c r="J701" s="9"/>
      <c r="K701" s="611"/>
      <c r="L701" s="612"/>
      <c r="M701" s="613"/>
      <c r="N701" s="497"/>
      <c r="O701" s="497"/>
      <c r="P701" s="495" t="str">
        <f t="shared" si="4"/>
        <v>LUNAS</v>
      </c>
      <c r="Q701" s="135">
        <f t="shared" si="5"/>
        <v>0</v>
      </c>
      <c r="S701" s="101"/>
    </row>
    <row r="702" ht="15.75" customHeight="1">
      <c r="A702" s="49"/>
      <c r="C702" s="589">
        <v>46284.0</v>
      </c>
      <c r="D702" s="589">
        <v>46260.0</v>
      </c>
      <c r="E702" s="281" t="s">
        <v>254</v>
      </c>
      <c r="F702" s="616">
        <v>1020000.0</v>
      </c>
      <c r="G702" s="616">
        <v>0.0</v>
      </c>
      <c r="H702" s="9"/>
      <c r="I702" s="8"/>
      <c r="J702" s="9"/>
      <c r="K702" s="611"/>
      <c r="L702" s="612"/>
      <c r="M702" s="613"/>
      <c r="N702" s="497"/>
      <c r="O702" s="497"/>
      <c r="P702" s="495" t="str">
        <f t="shared" si="4"/>
        <v>LUNAS</v>
      </c>
      <c r="Q702" s="135">
        <f t="shared" si="5"/>
        <v>0</v>
      </c>
      <c r="S702" s="101"/>
    </row>
    <row r="703" ht="15.75" customHeight="1">
      <c r="A703" s="49"/>
      <c r="C703" s="589">
        <v>46284.0</v>
      </c>
      <c r="D703" s="589">
        <v>46252.0</v>
      </c>
      <c r="E703" s="281" t="s">
        <v>595</v>
      </c>
      <c r="F703" s="616">
        <v>1.088E7</v>
      </c>
      <c r="G703" s="616">
        <v>1400000.0</v>
      </c>
      <c r="H703" s="9"/>
      <c r="I703" s="8"/>
      <c r="J703" s="9"/>
      <c r="K703" s="611"/>
      <c r="L703" s="612"/>
      <c r="M703" s="613"/>
      <c r="N703" s="497"/>
      <c r="O703" s="497"/>
      <c r="P703" s="495" t="str">
        <f t="shared" si="4"/>
        <v>LUNAS</v>
      </c>
      <c r="Q703" s="135">
        <f t="shared" si="5"/>
        <v>0</v>
      </c>
      <c r="S703" s="101"/>
    </row>
    <row r="704" ht="15.75" customHeight="1">
      <c r="A704" s="49"/>
      <c r="C704" s="589">
        <v>46284.0</v>
      </c>
      <c r="D704" s="589">
        <v>46235.0</v>
      </c>
      <c r="E704" s="281" t="s">
        <v>119</v>
      </c>
      <c r="F704" s="616">
        <v>3520000.0</v>
      </c>
      <c r="G704" s="616">
        <v>400000.0</v>
      </c>
      <c r="H704" s="9"/>
      <c r="I704" s="8"/>
      <c r="J704" s="9"/>
      <c r="K704" s="611"/>
      <c r="L704" s="612"/>
      <c r="M704" s="613"/>
      <c r="N704" s="497"/>
      <c r="O704" s="497"/>
      <c r="P704" s="495" t="str">
        <f t="shared" si="4"/>
        <v>LUNAS</v>
      </c>
      <c r="Q704" s="135">
        <f t="shared" si="5"/>
        <v>0</v>
      </c>
      <c r="S704" s="101"/>
    </row>
    <row r="705" ht="15.75" customHeight="1">
      <c r="A705" s="49"/>
      <c r="C705" s="589">
        <v>46289.0</v>
      </c>
      <c r="D705" s="589">
        <v>46256.0</v>
      </c>
      <c r="E705" s="281" t="s">
        <v>810</v>
      </c>
      <c r="F705" s="616">
        <v>2180000.0</v>
      </c>
      <c r="G705" s="616">
        <v>200000.0</v>
      </c>
      <c r="H705" s="9"/>
      <c r="I705" s="8"/>
      <c r="J705" s="9"/>
      <c r="K705" s="611"/>
      <c r="L705" s="612"/>
      <c r="M705" s="613"/>
      <c r="N705" s="497"/>
      <c r="O705" s="497"/>
      <c r="P705" s="495" t="str">
        <f t="shared" si="4"/>
        <v>LUNAS</v>
      </c>
      <c r="Q705" s="135">
        <f t="shared" si="5"/>
        <v>0</v>
      </c>
      <c r="S705" s="101"/>
    </row>
    <row r="706" ht="15.75" customHeight="1">
      <c r="A706" s="49"/>
      <c r="C706" s="131"/>
      <c r="D706" s="131"/>
      <c r="E706" s="131"/>
      <c r="F706" s="635"/>
      <c r="G706" s="635"/>
      <c r="H706" s="9"/>
      <c r="I706" s="8"/>
      <c r="J706" s="9"/>
      <c r="K706" s="611"/>
      <c r="L706" s="612"/>
      <c r="M706" s="613"/>
      <c r="N706" s="497"/>
      <c r="O706" s="497"/>
      <c r="P706" s="495" t="str">
        <f t="shared" si="4"/>
        <v>LUNAS</v>
      </c>
      <c r="Q706" s="135">
        <f t="shared" si="5"/>
        <v>0</v>
      </c>
      <c r="S706" s="101"/>
    </row>
    <row r="707" ht="15.75" customHeight="1">
      <c r="A707" s="49"/>
      <c r="C707" s="131"/>
      <c r="D707" s="131"/>
      <c r="E707" s="131"/>
      <c r="F707" s="635"/>
      <c r="G707" s="635"/>
      <c r="H707" s="9"/>
      <c r="I707" s="8"/>
      <c r="J707" s="9"/>
      <c r="K707" s="611"/>
      <c r="L707" s="612"/>
      <c r="M707" s="613"/>
      <c r="N707" s="497"/>
      <c r="O707" s="497"/>
      <c r="P707" s="495" t="str">
        <f t="shared" si="4"/>
        <v>LUNAS</v>
      </c>
      <c r="Q707" s="135">
        <f t="shared" si="5"/>
        <v>0</v>
      </c>
      <c r="S707" s="101"/>
    </row>
    <row r="708" ht="15.75" customHeight="1">
      <c r="A708" s="49"/>
      <c r="C708" s="131"/>
      <c r="D708" s="131"/>
      <c r="E708" s="131"/>
      <c r="F708" s="635"/>
      <c r="G708" s="635"/>
      <c r="H708" s="9"/>
      <c r="I708" s="8"/>
      <c r="J708" s="9"/>
      <c r="K708" s="611"/>
      <c r="L708" s="612"/>
      <c r="M708" s="613"/>
      <c r="N708" s="497"/>
      <c r="O708" s="497"/>
      <c r="P708" s="495" t="str">
        <f t="shared" si="4"/>
        <v>LUNAS</v>
      </c>
      <c r="Q708" s="135">
        <f t="shared" si="5"/>
        <v>0</v>
      </c>
      <c r="S708" s="101"/>
    </row>
    <row r="709" ht="15.75" customHeight="1">
      <c r="A709" s="49"/>
      <c r="C709" s="131"/>
      <c r="D709" s="131"/>
      <c r="E709" s="131"/>
      <c r="F709" s="635"/>
      <c r="G709" s="635"/>
      <c r="H709" s="9"/>
      <c r="I709" s="8"/>
      <c r="J709" s="9"/>
      <c r="K709" s="611"/>
      <c r="L709" s="612"/>
      <c r="M709" s="613"/>
      <c r="N709" s="497"/>
      <c r="O709" s="497"/>
      <c r="P709" s="495" t="str">
        <f t="shared" si="4"/>
        <v>LUNAS</v>
      </c>
      <c r="Q709" s="135">
        <f t="shared" si="5"/>
        <v>0</v>
      </c>
      <c r="S709" s="101"/>
    </row>
    <row r="710" ht="15.75" customHeight="1">
      <c r="A710" s="49"/>
      <c r="C710" s="131"/>
      <c r="D710" s="131"/>
      <c r="E710" s="131"/>
      <c r="F710" s="635"/>
      <c r="G710" s="635"/>
      <c r="H710" s="9"/>
      <c r="I710" s="8"/>
      <c r="J710" s="9"/>
      <c r="K710" s="611"/>
      <c r="L710" s="612"/>
      <c r="M710" s="613"/>
      <c r="N710" s="497"/>
      <c r="O710" s="497"/>
      <c r="P710" s="495" t="str">
        <f t="shared" si="4"/>
        <v>LUNAS</v>
      </c>
      <c r="Q710" s="135">
        <f t="shared" si="5"/>
        <v>0</v>
      </c>
      <c r="S710" s="101"/>
    </row>
    <row r="711" ht="15.75" customHeight="1">
      <c r="A711" s="49"/>
      <c r="C711" s="131"/>
      <c r="D711" s="131"/>
      <c r="E711" s="131"/>
      <c r="F711" s="635"/>
      <c r="G711" s="635"/>
      <c r="H711" s="9"/>
      <c r="I711" s="8"/>
      <c r="J711" s="9"/>
      <c r="K711" s="611"/>
      <c r="L711" s="612"/>
      <c r="M711" s="613"/>
      <c r="N711" s="497"/>
      <c r="O711" s="497"/>
      <c r="P711" s="495" t="str">
        <f t="shared" si="4"/>
        <v>LUNAS</v>
      </c>
      <c r="Q711" s="135">
        <f t="shared" si="5"/>
        <v>0</v>
      </c>
      <c r="S711" s="101"/>
    </row>
    <row r="712" ht="15.75" customHeight="1">
      <c r="A712" s="49"/>
      <c r="C712" s="131"/>
      <c r="D712" s="131"/>
      <c r="E712" s="131"/>
      <c r="F712" s="635"/>
      <c r="G712" s="635"/>
      <c r="H712" s="9"/>
      <c r="I712" s="8"/>
      <c r="J712" s="9"/>
      <c r="K712" s="611"/>
      <c r="L712" s="612"/>
      <c r="M712" s="613"/>
      <c r="N712" s="497"/>
      <c r="O712" s="497"/>
      <c r="P712" s="495" t="str">
        <f t="shared" si="4"/>
        <v>LUNAS</v>
      </c>
      <c r="Q712" s="135">
        <f t="shared" si="5"/>
        <v>0</v>
      </c>
      <c r="S712" s="101"/>
    </row>
    <row r="713" ht="15.75" customHeight="1">
      <c r="A713" s="49"/>
      <c r="C713" s="131"/>
      <c r="D713" s="131"/>
      <c r="E713" s="131"/>
      <c r="F713" s="635"/>
      <c r="G713" s="635"/>
      <c r="H713" s="9"/>
      <c r="I713" s="8"/>
      <c r="J713" s="9"/>
      <c r="K713" s="611"/>
      <c r="L713" s="612"/>
      <c r="M713" s="613"/>
      <c r="N713" s="497"/>
      <c r="O713" s="497"/>
      <c r="P713" s="495" t="str">
        <f t="shared" si="4"/>
        <v>LUNAS</v>
      </c>
      <c r="Q713" s="135">
        <f t="shared" si="5"/>
        <v>0</v>
      </c>
      <c r="S713" s="101"/>
    </row>
    <row r="714" ht="15.75" customHeight="1">
      <c r="A714" s="49"/>
      <c r="C714" s="131"/>
      <c r="D714" s="131"/>
      <c r="E714" s="131"/>
      <c r="F714" s="635"/>
      <c r="G714" s="635"/>
      <c r="H714" s="9"/>
      <c r="I714" s="8"/>
      <c r="J714" s="9"/>
      <c r="K714" s="611"/>
      <c r="L714" s="612"/>
      <c r="M714" s="613"/>
      <c r="N714" s="497"/>
      <c r="O714" s="497"/>
      <c r="P714" s="495" t="str">
        <f t="shared" si="4"/>
        <v>LUNAS</v>
      </c>
      <c r="Q714" s="135">
        <f t="shared" si="5"/>
        <v>0</v>
      </c>
      <c r="S714" s="101"/>
    </row>
    <row r="715" ht="15.75" customHeight="1">
      <c r="A715" s="49"/>
      <c r="C715" s="131"/>
      <c r="D715" s="131"/>
      <c r="E715" s="131"/>
      <c r="F715" s="635"/>
      <c r="G715" s="635"/>
      <c r="H715" s="9"/>
      <c r="I715" s="8"/>
      <c r="J715" s="9"/>
      <c r="K715" s="611"/>
      <c r="L715" s="612"/>
      <c r="M715" s="613"/>
      <c r="N715" s="497"/>
      <c r="O715" s="497"/>
      <c r="P715" s="495" t="str">
        <f t="shared" si="4"/>
        <v>LUNAS</v>
      </c>
      <c r="Q715" s="135">
        <f t="shared" si="5"/>
        <v>0</v>
      </c>
      <c r="S715" s="101"/>
    </row>
    <row r="716" ht="15.75" customHeight="1">
      <c r="A716" s="49"/>
      <c r="C716" s="131"/>
      <c r="D716" s="131"/>
      <c r="E716" s="131"/>
      <c r="F716" s="635"/>
      <c r="G716" s="635"/>
      <c r="H716" s="9"/>
      <c r="I716" s="8"/>
      <c r="J716" s="9"/>
      <c r="K716" s="611"/>
      <c r="L716" s="612"/>
      <c r="M716" s="613"/>
      <c r="N716" s="497"/>
      <c r="O716" s="497"/>
      <c r="P716" s="495" t="str">
        <f t="shared" si="4"/>
        <v>LUNAS</v>
      </c>
      <c r="Q716" s="135">
        <f t="shared" si="5"/>
        <v>0</v>
      </c>
      <c r="S716" s="101"/>
    </row>
    <row r="717" ht="15.75" customHeight="1">
      <c r="A717" s="49"/>
      <c r="C717" s="131"/>
      <c r="D717" s="131"/>
      <c r="E717" s="131"/>
      <c r="F717" s="635"/>
      <c r="G717" s="635"/>
      <c r="H717" s="9"/>
      <c r="I717" s="8"/>
      <c r="J717" s="9"/>
      <c r="K717" s="611"/>
      <c r="L717" s="612"/>
      <c r="M717" s="613"/>
      <c r="N717" s="497"/>
      <c r="O717" s="497"/>
      <c r="P717" s="495" t="str">
        <f t="shared" si="4"/>
        <v>LUNAS</v>
      </c>
      <c r="Q717" s="135">
        <f t="shared" si="5"/>
        <v>0</v>
      </c>
      <c r="S717" s="101"/>
    </row>
    <row r="718" ht="15.75" customHeight="1">
      <c r="A718" s="49"/>
      <c r="C718" s="131"/>
      <c r="D718" s="131"/>
      <c r="E718" s="131"/>
      <c r="F718" s="635"/>
      <c r="G718" s="635"/>
      <c r="H718" s="9"/>
      <c r="I718" s="8"/>
      <c r="J718" s="9"/>
      <c r="K718" s="611"/>
      <c r="L718" s="612"/>
      <c r="M718" s="613"/>
      <c r="N718" s="497"/>
      <c r="O718" s="497"/>
      <c r="P718" s="495" t="str">
        <f t="shared" si="4"/>
        <v>LUNAS</v>
      </c>
      <c r="Q718" s="135">
        <f t="shared" si="5"/>
        <v>0</v>
      </c>
      <c r="S718" s="101"/>
    </row>
    <row r="719" ht="15.75" customHeight="1">
      <c r="A719" s="49"/>
      <c r="C719" s="131"/>
      <c r="D719" s="131"/>
      <c r="E719" s="131"/>
      <c r="F719" s="635"/>
      <c r="G719" s="635"/>
      <c r="H719" s="9"/>
      <c r="I719" s="8"/>
      <c r="J719" s="9"/>
      <c r="K719" s="611"/>
      <c r="L719" s="612"/>
      <c r="M719" s="613"/>
      <c r="N719" s="497"/>
      <c r="O719" s="497"/>
      <c r="P719" s="495" t="str">
        <f t="shared" si="4"/>
        <v>LUNAS</v>
      </c>
      <c r="Q719" s="135">
        <f t="shared" si="5"/>
        <v>0</v>
      </c>
      <c r="S719" s="101"/>
    </row>
    <row r="720" ht="15.75" customHeight="1">
      <c r="A720" s="49"/>
      <c r="C720" s="131"/>
      <c r="D720" s="131"/>
      <c r="E720" s="131"/>
      <c r="F720" s="635"/>
      <c r="G720" s="635"/>
      <c r="H720" s="9"/>
      <c r="I720" s="8"/>
      <c r="J720" s="9"/>
      <c r="K720" s="611"/>
      <c r="L720" s="612"/>
      <c r="M720" s="613"/>
      <c r="N720" s="497"/>
      <c r="O720" s="497"/>
      <c r="P720" s="495" t="str">
        <f t="shared" si="4"/>
        <v>LUNAS</v>
      </c>
      <c r="Q720" s="135">
        <f t="shared" si="5"/>
        <v>0</v>
      </c>
      <c r="S720" s="101"/>
    </row>
    <row r="721" ht="15.75" customHeight="1">
      <c r="A721" s="49"/>
      <c r="C721" s="131"/>
      <c r="D721" s="131"/>
      <c r="E721" s="131"/>
      <c r="F721" s="635"/>
      <c r="G721" s="635"/>
      <c r="H721" s="9"/>
      <c r="I721" s="8"/>
      <c r="J721" s="9"/>
      <c r="K721" s="611"/>
      <c r="L721" s="612"/>
      <c r="M721" s="613"/>
      <c r="N721" s="497"/>
      <c r="O721" s="497"/>
      <c r="P721" s="495" t="str">
        <f t="shared" si="4"/>
        <v>LUNAS</v>
      </c>
      <c r="Q721" s="135">
        <f t="shared" si="5"/>
        <v>0</v>
      </c>
      <c r="S721" s="101"/>
    </row>
    <row r="722" ht="15.75" customHeight="1">
      <c r="A722" s="49"/>
      <c r="C722" s="131"/>
      <c r="D722" s="131"/>
      <c r="E722" s="131"/>
      <c r="F722" s="635"/>
      <c r="G722" s="635"/>
      <c r="H722" s="9"/>
      <c r="I722" s="8"/>
      <c r="J722" s="9"/>
      <c r="K722" s="611"/>
      <c r="L722" s="612"/>
      <c r="M722" s="613"/>
      <c r="N722" s="497"/>
      <c r="O722" s="497"/>
      <c r="P722" s="495" t="str">
        <f t="shared" si="4"/>
        <v>LUNAS</v>
      </c>
      <c r="Q722" s="135">
        <f t="shared" si="5"/>
        <v>0</v>
      </c>
      <c r="S722" s="101"/>
    </row>
    <row r="723" ht="15.75" customHeight="1">
      <c r="A723" s="49"/>
      <c r="C723" s="131"/>
      <c r="D723" s="131"/>
      <c r="E723" s="131"/>
      <c r="F723" s="635"/>
      <c r="G723" s="635"/>
      <c r="H723" s="9"/>
      <c r="I723" s="8"/>
      <c r="J723" s="9"/>
      <c r="K723" s="611"/>
      <c r="L723" s="612"/>
      <c r="M723" s="613"/>
      <c r="N723" s="497"/>
      <c r="O723" s="497"/>
      <c r="P723" s="495" t="str">
        <f t="shared" si="4"/>
        <v>LUNAS</v>
      </c>
      <c r="Q723" s="135">
        <f t="shared" si="5"/>
        <v>0</v>
      </c>
      <c r="S723" s="101"/>
    </row>
    <row r="724" ht="15.75" customHeight="1">
      <c r="A724" s="49"/>
      <c r="C724" s="131"/>
      <c r="D724" s="131"/>
      <c r="E724" s="131"/>
      <c r="F724" s="635"/>
      <c r="G724" s="635"/>
      <c r="H724" s="9"/>
      <c r="I724" s="8"/>
      <c r="J724" s="9"/>
      <c r="K724" s="611"/>
      <c r="L724" s="612"/>
      <c r="M724" s="613"/>
      <c r="N724" s="497"/>
      <c r="O724" s="497"/>
      <c r="P724" s="495" t="str">
        <f t="shared" si="4"/>
        <v>LUNAS</v>
      </c>
      <c r="Q724" s="135">
        <f t="shared" si="5"/>
        <v>0</v>
      </c>
      <c r="S724" s="101"/>
    </row>
    <row r="725" ht="15.75" customHeight="1">
      <c r="A725" s="49"/>
      <c r="C725" s="131"/>
      <c r="D725" s="131"/>
      <c r="E725" s="131"/>
      <c r="F725" s="635"/>
      <c r="G725" s="635"/>
      <c r="H725" s="9"/>
      <c r="I725" s="8"/>
      <c r="J725" s="9"/>
      <c r="K725" s="611"/>
      <c r="L725" s="612"/>
      <c r="M725" s="613"/>
      <c r="N725" s="497"/>
      <c r="O725" s="497"/>
      <c r="P725" s="495" t="str">
        <f t="shared" si="4"/>
        <v>LUNAS</v>
      </c>
      <c r="Q725" s="135">
        <f t="shared" si="5"/>
        <v>0</v>
      </c>
      <c r="S725" s="101"/>
    </row>
    <row r="726" ht="15.75" customHeight="1">
      <c r="A726" s="49"/>
      <c r="C726" s="131"/>
      <c r="D726" s="131"/>
      <c r="E726" s="131"/>
      <c r="F726" s="635"/>
      <c r="G726" s="635"/>
      <c r="H726" s="9"/>
      <c r="I726" s="8"/>
      <c r="J726" s="9"/>
      <c r="K726" s="611"/>
      <c r="L726" s="612"/>
      <c r="M726" s="613"/>
      <c r="N726" s="497"/>
      <c r="O726" s="497"/>
      <c r="P726" s="495" t="str">
        <f t="shared" si="4"/>
        <v>LUNAS</v>
      </c>
      <c r="Q726" s="135">
        <f t="shared" si="5"/>
        <v>0</v>
      </c>
      <c r="S726" s="101"/>
    </row>
    <row r="727" ht="15.75" customHeight="1">
      <c r="A727" s="49"/>
      <c r="C727" s="131"/>
      <c r="D727" s="131"/>
      <c r="E727" s="131"/>
      <c r="F727" s="635"/>
      <c r="G727" s="635"/>
      <c r="H727" s="9"/>
      <c r="I727" s="8"/>
      <c r="J727" s="9"/>
      <c r="K727" s="611"/>
      <c r="L727" s="612"/>
      <c r="M727" s="613"/>
      <c r="N727" s="497"/>
      <c r="O727" s="497"/>
      <c r="P727" s="495" t="str">
        <f t="shared" si="4"/>
        <v>LUNAS</v>
      </c>
      <c r="Q727" s="135">
        <f t="shared" si="5"/>
        <v>0</v>
      </c>
      <c r="S727" s="101"/>
    </row>
    <row r="728" ht="15.75" customHeight="1">
      <c r="A728" s="49"/>
      <c r="C728" s="131"/>
      <c r="D728" s="131"/>
      <c r="E728" s="131"/>
      <c r="F728" s="635"/>
      <c r="G728" s="635"/>
      <c r="H728" s="9"/>
      <c r="I728" s="8"/>
      <c r="J728" s="9"/>
      <c r="K728" s="611"/>
      <c r="L728" s="612"/>
      <c r="M728" s="613"/>
      <c r="N728" s="497"/>
      <c r="O728" s="497"/>
      <c r="P728" s="495" t="str">
        <f t="shared" si="4"/>
        <v>LUNAS</v>
      </c>
      <c r="Q728" s="135">
        <f t="shared" si="5"/>
        <v>0</v>
      </c>
      <c r="S728" s="101"/>
    </row>
    <row r="729" ht="15.75" customHeight="1">
      <c r="A729" s="49"/>
      <c r="C729" s="131"/>
      <c r="D729" s="131"/>
      <c r="E729" s="131"/>
      <c r="F729" s="635"/>
      <c r="G729" s="635"/>
      <c r="H729" s="9"/>
      <c r="I729" s="8"/>
      <c r="J729" s="9"/>
      <c r="K729" s="611"/>
      <c r="L729" s="612"/>
      <c r="M729" s="613"/>
      <c r="N729" s="497"/>
      <c r="O729" s="497"/>
      <c r="P729" s="495" t="str">
        <f t="shared" si="4"/>
        <v>LUNAS</v>
      </c>
      <c r="Q729" s="135">
        <f t="shared" si="5"/>
        <v>0</v>
      </c>
      <c r="S729" s="101"/>
    </row>
    <row r="730" ht="15.75" customHeight="1">
      <c r="A730" s="49"/>
      <c r="C730" s="131"/>
      <c r="D730" s="131"/>
      <c r="E730" s="131"/>
      <c r="F730" s="635"/>
      <c r="G730" s="635"/>
      <c r="H730" s="9"/>
      <c r="I730" s="8"/>
      <c r="J730" s="9"/>
      <c r="K730" s="611"/>
      <c r="L730" s="612"/>
      <c r="M730" s="613"/>
      <c r="N730" s="497"/>
      <c r="O730" s="497"/>
      <c r="P730" s="495" t="str">
        <f t="shared" si="4"/>
        <v>LUNAS</v>
      </c>
      <c r="Q730" s="135">
        <f t="shared" si="5"/>
        <v>0</v>
      </c>
      <c r="S730" s="101"/>
    </row>
    <row r="731" ht="15.75" customHeight="1">
      <c r="A731" s="49"/>
      <c r="C731" s="131"/>
      <c r="D731" s="131"/>
      <c r="E731" s="131"/>
      <c r="F731" s="635"/>
      <c r="G731" s="635"/>
      <c r="H731" s="9"/>
      <c r="I731" s="8"/>
      <c r="J731" s="9"/>
      <c r="K731" s="611"/>
      <c r="L731" s="612"/>
      <c r="M731" s="613"/>
      <c r="N731" s="497"/>
      <c r="O731" s="497"/>
      <c r="P731" s="495" t="str">
        <f t="shared" si="4"/>
        <v>LUNAS</v>
      </c>
      <c r="Q731" s="135">
        <f t="shared" si="5"/>
        <v>0</v>
      </c>
      <c r="S731" s="101"/>
    </row>
    <row r="732" ht="15.75" customHeight="1">
      <c r="A732" s="49"/>
      <c r="C732" s="131"/>
      <c r="D732" s="131"/>
      <c r="E732" s="131"/>
      <c r="F732" s="635"/>
      <c r="G732" s="635"/>
      <c r="H732" s="9"/>
      <c r="I732" s="8"/>
      <c r="J732" s="9"/>
      <c r="K732" s="611"/>
      <c r="L732" s="612"/>
      <c r="M732" s="613"/>
      <c r="N732" s="497"/>
      <c r="O732" s="497"/>
      <c r="P732" s="495" t="str">
        <f t="shared" si="4"/>
        <v>LUNAS</v>
      </c>
      <c r="Q732" s="135">
        <f t="shared" si="5"/>
        <v>0</v>
      </c>
      <c r="S732" s="101"/>
    </row>
    <row r="733" ht="15.75" customHeight="1">
      <c r="A733" s="49"/>
      <c r="C733" s="131"/>
      <c r="D733" s="131"/>
      <c r="E733" s="131"/>
      <c r="F733" s="635"/>
      <c r="G733" s="635"/>
      <c r="H733" s="9"/>
      <c r="I733" s="8"/>
      <c r="J733" s="9"/>
      <c r="K733" s="611"/>
      <c r="L733" s="612"/>
      <c r="M733" s="613"/>
      <c r="N733" s="497"/>
      <c r="O733" s="497"/>
      <c r="P733" s="495" t="str">
        <f t="shared" si="4"/>
        <v>LUNAS</v>
      </c>
      <c r="Q733" s="135">
        <f t="shared" si="5"/>
        <v>0</v>
      </c>
      <c r="S733" s="101"/>
    </row>
    <row r="734" ht="15.75" customHeight="1">
      <c r="A734" s="49"/>
      <c r="C734" s="131"/>
      <c r="D734" s="131"/>
      <c r="E734" s="131"/>
      <c r="F734" s="635"/>
      <c r="G734" s="635"/>
      <c r="H734" s="9"/>
      <c r="I734" s="8"/>
      <c r="J734" s="9"/>
      <c r="K734" s="611"/>
      <c r="L734" s="612"/>
      <c r="M734" s="613"/>
      <c r="N734" s="497"/>
      <c r="O734" s="497"/>
      <c r="P734" s="495" t="str">
        <f t="shared" si="4"/>
        <v>LUNAS</v>
      </c>
      <c r="Q734" s="135">
        <f t="shared" si="5"/>
        <v>0</v>
      </c>
      <c r="S734" s="101"/>
    </row>
    <row r="735" ht="15.75" customHeight="1">
      <c r="A735" s="49"/>
      <c r="C735" s="131"/>
      <c r="D735" s="131"/>
      <c r="E735" s="131"/>
      <c r="F735" s="635"/>
      <c r="G735" s="635"/>
      <c r="H735" s="9"/>
      <c r="I735" s="8"/>
      <c r="J735" s="9"/>
      <c r="K735" s="611"/>
      <c r="L735" s="612"/>
      <c r="M735" s="613"/>
      <c r="N735" s="497"/>
      <c r="O735" s="497"/>
      <c r="P735" s="495" t="str">
        <f t="shared" si="4"/>
        <v>LUNAS</v>
      </c>
      <c r="Q735" s="135">
        <f t="shared" si="5"/>
        <v>0</v>
      </c>
      <c r="S735" s="101"/>
    </row>
    <row r="736" ht="15.75" customHeight="1">
      <c r="A736" s="49"/>
      <c r="C736" s="131"/>
      <c r="D736" s="131"/>
      <c r="E736" s="131"/>
      <c r="F736" s="635"/>
      <c r="G736" s="635"/>
      <c r="H736" s="9"/>
      <c r="I736" s="8"/>
      <c r="J736" s="9"/>
      <c r="K736" s="611"/>
      <c r="L736" s="612"/>
      <c r="M736" s="613"/>
      <c r="N736" s="497"/>
      <c r="O736" s="497"/>
      <c r="P736" s="495" t="str">
        <f t="shared" si="4"/>
        <v>LUNAS</v>
      </c>
      <c r="Q736" s="135">
        <f t="shared" si="5"/>
        <v>0</v>
      </c>
      <c r="S736" s="101"/>
    </row>
    <row r="737" ht="15.75" customHeight="1">
      <c r="A737" s="49"/>
      <c r="C737" s="131"/>
      <c r="D737" s="131"/>
      <c r="E737" s="131"/>
      <c r="F737" s="635"/>
      <c r="G737" s="635"/>
      <c r="H737" s="9"/>
      <c r="I737" s="8"/>
      <c r="J737" s="9"/>
      <c r="K737" s="611"/>
      <c r="L737" s="612"/>
      <c r="M737" s="613"/>
      <c r="N737" s="497"/>
      <c r="O737" s="497"/>
      <c r="P737" s="495" t="str">
        <f t="shared" si="4"/>
        <v>LUNAS</v>
      </c>
      <c r="Q737" s="135">
        <f t="shared" si="5"/>
        <v>0</v>
      </c>
      <c r="S737" s="101"/>
    </row>
    <row r="738" ht="15.75" customHeight="1">
      <c r="A738" s="49"/>
      <c r="C738" s="131"/>
      <c r="D738" s="131"/>
      <c r="E738" s="131"/>
      <c r="F738" s="635"/>
      <c r="G738" s="635"/>
      <c r="H738" s="9"/>
      <c r="I738" s="8"/>
      <c r="J738" s="9"/>
      <c r="K738" s="611"/>
      <c r="L738" s="612"/>
      <c r="M738" s="613"/>
      <c r="N738" s="497"/>
      <c r="O738" s="497"/>
      <c r="P738" s="495" t="str">
        <f t="shared" si="4"/>
        <v>LUNAS</v>
      </c>
      <c r="Q738" s="135">
        <f t="shared" si="5"/>
        <v>0</v>
      </c>
      <c r="S738" s="101"/>
    </row>
    <row r="739" ht="15.75" customHeight="1">
      <c r="A739" s="49"/>
      <c r="C739" s="131"/>
      <c r="D739" s="131"/>
      <c r="E739" s="131"/>
      <c r="F739" s="635"/>
      <c r="G739" s="635"/>
      <c r="H739" s="9"/>
      <c r="I739" s="8"/>
      <c r="J739" s="9"/>
      <c r="K739" s="611"/>
      <c r="L739" s="612"/>
      <c r="M739" s="613"/>
      <c r="N739" s="497"/>
      <c r="O739" s="497"/>
      <c r="P739" s="495" t="str">
        <f t="shared" si="4"/>
        <v>LUNAS</v>
      </c>
      <c r="Q739" s="135">
        <f t="shared" si="5"/>
        <v>0</v>
      </c>
      <c r="S739" s="101"/>
    </row>
    <row r="740" ht="15.75" customHeight="1">
      <c r="A740" s="49"/>
      <c r="C740" s="131"/>
      <c r="D740" s="131"/>
      <c r="E740" s="131"/>
      <c r="F740" s="635"/>
      <c r="G740" s="635"/>
      <c r="H740" s="9"/>
      <c r="I740" s="8"/>
      <c r="J740" s="9"/>
      <c r="K740" s="611"/>
      <c r="L740" s="612"/>
      <c r="M740" s="613"/>
      <c r="N740" s="497"/>
      <c r="O740" s="497"/>
      <c r="P740" s="495" t="str">
        <f t="shared" si="4"/>
        <v>LUNAS</v>
      </c>
      <c r="Q740" s="135">
        <f t="shared" si="5"/>
        <v>0</v>
      </c>
      <c r="S740" s="101"/>
    </row>
    <row r="741" ht="15.75" customHeight="1">
      <c r="A741" s="49"/>
      <c r="C741" s="131"/>
      <c r="D741" s="131"/>
      <c r="E741" s="131"/>
      <c r="F741" s="635"/>
      <c r="G741" s="635"/>
      <c r="H741" s="9"/>
      <c r="I741" s="8"/>
      <c r="J741" s="9"/>
      <c r="K741" s="611"/>
      <c r="L741" s="612"/>
      <c r="M741" s="613"/>
      <c r="N741" s="497"/>
      <c r="O741" s="497"/>
      <c r="P741" s="495" t="str">
        <f t="shared" si="4"/>
        <v>LUNAS</v>
      </c>
      <c r="Q741" s="135">
        <f t="shared" si="5"/>
        <v>0</v>
      </c>
      <c r="S741" s="101"/>
    </row>
    <row r="742" ht="15.75" customHeight="1">
      <c r="A742" s="49"/>
      <c r="C742" s="131"/>
      <c r="D742" s="131"/>
      <c r="E742" s="131"/>
      <c r="F742" s="635"/>
      <c r="G742" s="635"/>
      <c r="H742" s="9"/>
      <c r="I742" s="8"/>
      <c r="J742" s="9"/>
      <c r="K742" s="611"/>
      <c r="L742" s="612"/>
      <c r="M742" s="613"/>
      <c r="N742" s="497"/>
      <c r="O742" s="497"/>
      <c r="P742" s="495" t="str">
        <f t="shared" si="4"/>
        <v>LUNAS</v>
      </c>
      <c r="Q742" s="135">
        <f t="shared" si="5"/>
        <v>0</v>
      </c>
      <c r="S742" s="101"/>
    </row>
    <row r="743" ht="15.75" customHeight="1">
      <c r="A743" s="49"/>
      <c r="C743" s="131"/>
      <c r="D743" s="131"/>
      <c r="E743" s="131"/>
      <c r="F743" s="635"/>
      <c r="G743" s="635"/>
      <c r="H743" s="9"/>
      <c r="I743" s="8"/>
      <c r="J743" s="9"/>
      <c r="K743" s="611"/>
      <c r="L743" s="612"/>
      <c r="M743" s="613"/>
      <c r="N743" s="497"/>
      <c r="O743" s="497"/>
      <c r="P743" s="495" t="str">
        <f t="shared" si="4"/>
        <v>LUNAS</v>
      </c>
      <c r="Q743" s="135">
        <f t="shared" si="5"/>
        <v>0</v>
      </c>
      <c r="S743" s="101"/>
    </row>
    <row r="744" ht="15.75" customHeight="1">
      <c r="A744" s="49"/>
      <c r="C744" s="131"/>
      <c r="D744" s="131"/>
      <c r="E744" s="131"/>
      <c r="F744" s="635"/>
      <c r="G744" s="635"/>
      <c r="H744" s="9"/>
      <c r="I744" s="8"/>
      <c r="J744" s="9"/>
      <c r="K744" s="611"/>
      <c r="L744" s="612"/>
      <c r="M744" s="613"/>
      <c r="N744" s="497"/>
      <c r="O744" s="497"/>
      <c r="P744" s="495" t="str">
        <f t="shared" si="4"/>
        <v>LUNAS</v>
      </c>
      <c r="Q744" s="135">
        <f t="shared" si="5"/>
        <v>0</v>
      </c>
      <c r="S744" s="101"/>
    </row>
    <row r="745" ht="15.75" customHeight="1">
      <c r="A745" s="49"/>
      <c r="C745" s="131"/>
      <c r="D745" s="131"/>
      <c r="E745" s="131"/>
      <c r="F745" s="635"/>
      <c r="G745" s="635"/>
      <c r="H745" s="9"/>
      <c r="I745" s="8"/>
      <c r="J745" s="9"/>
      <c r="K745" s="611"/>
      <c r="L745" s="612"/>
      <c r="M745" s="613"/>
      <c r="N745" s="497"/>
      <c r="O745" s="497"/>
      <c r="P745" s="495" t="str">
        <f t="shared" si="4"/>
        <v>LUNAS</v>
      </c>
      <c r="Q745" s="135">
        <f t="shared" si="5"/>
        <v>0</v>
      </c>
      <c r="S745" s="101"/>
    </row>
    <row r="746" ht="15.75" customHeight="1">
      <c r="A746" s="49"/>
      <c r="C746" s="131"/>
      <c r="D746" s="131"/>
      <c r="E746" s="131"/>
      <c r="F746" s="635"/>
      <c r="G746" s="635"/>
      <c r="H746" s="9"/>
      <c r="I746" s="8"/>
      <c r="J746" s="9"/>
      <c r="K746" s="611"/>
      <c r="L746" s="612"/>
      <c r="M746" s="613"/>
      <c r="N746" s="497"/>
      <c r="O746" s="497"/>
      <c r="P746" s="495" t="str">
        <f t="shared" si="4"/>
        <v>LUNAS</v>
      </c>
      <c r="Q746" s="135">
        <f t="shared" si="5"/>
        <v>0</v>
      </c>
      <c r="S746" s="101"/>
    </row>
    <row r="747" ht="15.75" customHeight="1">
      <c r="A747" s="49"/>
      <c r="C747" s="131"/>
      <c r="D747" s="131"/>
      <c r="E747" s="131"/>
      <c r="F747" s="635"/>
      <c r="G747" s="635"/>
      <c r="H747" s="9"/>
      <c r="I747" s="8"/>
      <c r="J747" s="9"/>
      <c r="K747" s="611"/>
      <c r="L747" s="612"/>
      <c r="M747" s="613"/>
      <c r="N747" s="497"/>
      <c r="O747" s="497"/>
      <c r="P747" s="495" t="str">
        <f t="shared" si="4"/>
        <v>LUNAS</v>
      </c>
      <c r="Q747" s="135">
        <f t="shared" si="5"/>
        <v>0</v>
      </c>
      <c r="S747" s="101"/>
    </row>
    <row r="748" ht="15.75" customHeight="1">
      <c r="A748" s="49"/>
      <c r="C748" s="131"/>
      <c r="D748" s="131"/>
      <c r="E748" s="131"/>
      <c r="F748" s="635"/>
      <c r="G748" s="635"/>
      <c r="H748" s="9"/>
      <c r="I748" s="8"/>
      <c r="J748" s="9"/>
      <c r="K748" s="611"/>
      <c r="L748" s="612"/>
      <c r="M748" s="613"/>
      <c r="N748" s="497"/>
      <c r="O748" s="497"/>
      <c r="P748" s="495" t="str">
        <f t="shared" si="4"/>
        <v>LUNAS</v>
      </c>
      <c r="Q748" s="135">
        <f t="shared" si="5"/>
        <v>0</v>
      </c>
      <c r="S748" s="101"/>
    </row>
    <row r="749" ht="15.75" customHeight="1">
      <c r="A749" s="49"/>
      <c r="C749" s="131"/>
      <c r="D749" s="131"/>
      <c r="E749" s="131"/>
      <c r="F749" s="635"/>
      <c r="G749" s="635"/>
      <c r="H749" s="9"/>
      <c r="I749" s="8"/>
      <c r="J749" s="9"/>
      <c r="K749" s="611"/>
      <c r="L749" s="612"/>
      <c r="M749" s="613"/>
      <c r="N749" s="497"/>
      <c r="O749" s="497"/>
      <c r="P749" s="495" t="str">
        <f t="shared" si="4"/>
        <v>LUNAS</v>
      </c>
      <c r="Q749" s="135">
        <f t="shared" si="5"/>
        <v>0</v>
      </c>
      <c r="S749" s="101"/>
    </row>
    <row r="750" ht="15.75" customHeight="1">
      <c r="A750" s="49"/>
      <c r="C750" s="131"/>
      <c r="D750" s="131"/>
      <c r="E750" s="131"/>
      <c r="F750" s="635"/>
      <c r="G750" s="635"/>
      <c r="H750" s="9"/>
      <c r="I750" s="8"/>
      <c r="J750" s="9"/>
      <c r="K750" s="611"/>
      <c r="L750" s="612"/>
      <c r="M750" s="613"/>
      <c r="N750" s="497"/>
      <c r="O750" s="497"/>
      <c r="P750" s="495" t="str">
        <f t="shared" si="4"/>
        <v>LUNAS</v>
      </c>
      <c r="Q750" s="135">
        <f t="shared" si="5"/>
        <v>0</v>
      </c>
      <c r="S750" s="101"/>
    </row>
    <row r="751" ht="15.75" customHeight="1">
      <c r="A751" s="49"/>
      <c r="C751" s="131"/>
      <c r="D751" s="131"/>
      <c r="E751" s="131"/>
      <c r="F751" s="635"/>
      <c r="G751" s="635"/>
      <c r="H751" s="9"/>
      <c r="I751" s="8"/>
      <c r="J751" s="9"/>
      <c r="K751" s="611"/>
      <c r="L751" s="612"/>
      <c r="M751" s="613"/>
      <c r="N751" s="497"/>
      <c r="O751" s="497"/>
      <c r="P751" s="495" t="str">
        <f t="shared" si="4"/>
        <v>LUNAS</v>
      </c>
      <c r="Q751" s="135">
        <f t="shared" si="5"/>
        <v>0</v>
      </c>
      <c r="S751" s="101"/>
    </row>
    <row r="752" ht="15.75" customHeight="1">
      <c r="A752" s="49"/>
      <c r="C752" s="131"/>
      <c r="D752" s="131"/>
      <c r="E752" s="131"/>
      <c r="F752" s="635"/>
      <c r="G752" s="635"/>
      <c r="H752" s="9"/>
      <c r="I752" s="8"/>
      <c r="J752" s="9"/>
      <c r="K752" s="611"/>
      <c r="L752" s="612"/>
      <c r="M752" s="613"/>
      <c r="N752" s="497"/>
      <c r="O752" s="497"/>
      <c r="P752" s="495" t="str">
        <f t="shared" si="4"/>
        <v>LUNAS</v>
      </c>
      <c r="Q752" s="135">
        <f t="shared" si="5"/>
        <v>0</v>
      </c>
      <c r="S752" s="101"/>
    </row>
    <row r="753" ht="15.75" customHeight="1">
      <c r="A753" s="49"/>
      <c r="C753" s="131"/>
      <c r="D753" s="131"/>
      <c r="E753" s="131"/>
      <c r="F753" s="635"/>
      <c r="G753" s="635"/>
      <c r="H753" s="9"/>
      <c r="I753" s="8"/>
      <c r="J753" s="9"/>
      <c r="K753" s="611"/>
      <c r="L753" s="612"/>
      <c r="M753" s="613"/>
      <c r="N753" s="497"/>
      <c r="O753" s="497"/>
      <c r="P753" s="495" t="str">
        <f t="shared" si="4"/>
        <v>LUNAS</v>
      </c>
      <c r="Q753" s="135">
        <f t="shared" si="5"/>
        <v>0</v>
      </c>
      <c r="S753" s="101"/>
    </row>
    <row r="754" ht="15.75" customHeight="1">
      <c r="A754" s="49"/>
      <c r="C754" s="131"/>
      <c r="D754" s="131"/>
      <c r="E754" s="131"/>
      <c r="F754" s="635"/>
      <c r="G754" s="635"/>
      <c r="H754" s="9"/>
      <c r="I754" s="8"/>
      <c r="J754" s="9"/>
      <c r="K754" s="611"/>
      <c r="L754" s="612"/>
      <c r="M754" s="613"/>
      <c r="N754" s="497"/>
      <c r="O754" s="497"/>
      <c r="P754" s="495" t="str">
        <f t="shared" si="4"/>
        <v>LUNAS</v>
      </c>
      <c r="Q754" s="135">
        <f t="shared" si="5"/>
        <v>0</v>
      </c>
      <c r="S754" s="101"/>
    </row>
    <row r="755" ht="15.75" customHeight="1">
      <c r="A755" s="49"/>
      <c r="C755" s="131"/>
      <c r="D755" s="131"/>
      <c r="E755" s="131"/>
      <c r="F755" s="635"/>
      <c r="G755" s="635"/>
      <c r="H755" s="9"/>
      <c r="I755" s="8"/>
      <c r="J755" s="9"/>
      <c r="K755" s="611"/>
      <c r="L755" s="612"/>
      <c r="M755" s="613"/>
      <c r="N755" s="497"/>
      <c r="O755" s="497"/>
      <c r="P755" s="495" t="str">
        <f t="shared" si="4"/>
        <v>LUNAS</v>
      </c>
      <c r="Q755" s="135">
        <f t="shared" si="5"/>
        <v>0</v>
      </c>
      <c r="S755" s="101"/>
    </row>
    <row r="756" ht="15.75" customHeight="1">
      <c r="A756" s="49"/>
      <c r="C756" s="131"/>
      <c r="D756" s="131"/>
      <c r="E756" s="131"/>
      <c r="F756" s="635"/>
      <c r="G756" s="635"/>
      <c r="H756" s="9"/>
      <c r="I756" s="8"/>
      <c r="J756" s="9"/>
      <c r="K756" s="611"/>
      <c r="L756" s="612"/>
      <c r="M756" s="613"/>
      <c r="N756" s="497"/>
      <c r="O756" s="497"/>
      <c r="P756" s="495" t="str">
        <f t="shared" si="4"/>
        <v>LUNAS</v>
      </c>
      <c r="Q756" s="135">
        <f t="shared" si="5"/>
        <v>0</v>
      </c>
      <c r="S756" s="101"/>
    </row>
    <row r="757" ht="15.75" customHeight="1">
      <c r="A757" s="49"/>
      <c r="C757" s="131"/>
      <c r="D757" s="131"/>
      <c r="E757" s="131"/>
      <c r="F757" s="635"/>
      <c r="G757" s="635"/>
      <c r="H757" s="9"/>
      <c r="I757" s="8"/>
      <c r="J757" s="9"/>
      <c r="K757" s="611"/>
      <c r="L757" s="612"/>
      <c r="M757" s="613"/>
      <c r="N757" s="497"/>
      <c r="O757" s="497"/>
      <c r="P757" s="495" t="str">
        <f t="shared" si="4"/>
        <v>LUNAS</v>
      </c>
      <c r="Q757" s="135">
        <f t="shared" si="5"/>
        <v>0</v>
      </c>
      <c r="S757" s="101"/>
    </row>
    <row r="758" ht="15.75" customHeight="1">
      <c r="A758" s="49"/>
      <c r="C758" s="131"/>
      <c r="D758" s="131"/>
      <c r="E758" s="131"/>
      <c r="F758" s="635"/>
      <c r="G758" s="635"/>
      <c r="H758" s="9"/>
      <c r="I758" s="8"/>
      <c r="J758" s="9"/>
      <c r="K758" s="611"/>
      <c r="L758" s="612"/>
      <c r="M758" s="613"/>
      <c r="N758" s="497"/>
      <c r="O758" s="497"/>
      <c r="P758" s="495" t="str">
        <f t="shared" si="4"/>
        <v>LUNAS</v>
      </c>
      <c r="Q758" s="135">
        <f t="shared" si="5"/>
        <v>0</v>
      </c>
      <c r="S758" s="101"/>
    </row>
    <row r="759" ht="15.75" customHeight="1">
      <c r="A759" s="49"/>
      <c r="C759" s="131"/>
      <c r="D759" s="131"/>
      <c r="E759" s="131"/>
      <c r="F759" s="635"/>
      <c r="G759" s="635"/>
      <c r="H759" s="9"/>
      <c r="I759" s="8"/>
      <c r="J759" s="9"/>
      <c r="K759" s="611"/>
      <c r="L759" s="612"/>
      <c r="M759" s="613"/>
      <c r="N759" s="497"/>
      <c r="O759" s="497"/>
      <c r="P759" s="495" t="str">
        <f t="shared" si="4"/>
        <v>LUNAS</v>
      </c>
      <c r="Q759" s="135">
        <f t="shared" si="5"/>
        <v>0</v>
      </c>
      <c r="S759" s="101"/>
    </row>
    <row r="760" ht="15.75" customHeight="1">
      <c r="A760" s="49"/>
      <c r="C760" s="131"/>
      <c r="D760" s="131"/>
      <c r="E760" s="131"/>
      <c r="F760" s="635"/>
      <c r="G760" s="635"/>
      <c r="H760" s="9"/>
      <c r="I760" s="8"/>
      <c r="J760" s="9"/>
      <c r="K760" s="611"/>
      <c r="L760" s="612"/>
      <c r="M760" s="613"/>
      <c r="N760" s="497"/>
      <c r="O760" s="497"/>
      <c r="P760" s="495" t="str">
        <f t="shared" si="4"/>
        <v>LUNAS</v>
      </c>
      <c r="Q760" s="135">
        <f t="shared" si="5"/>
        <v>0</v>
      </c>
      <c r="S760" s="101"/>
    </row>
    <row r="761" ht="15.75" customHeight="1">
      <c r="A761" s="49"/>
      <c r="C761" s="131"/>
      <c r="D761" s="131"/>
      <c r="E761" s="131"/>
      <c r="F761" s="635"/>
      <c r="G761" s="635"/>
      <c r="H761" s="9"/>
      <c r="I761" s="8"/>
      <c r="J761" s="9"/>
      <c r="K761" s="611"/>
      <c r="L761" s="612"/>
      <c r="M761" s="613"/>
      <c r="N761" s="497"/>
      <c r="O761" s="497"/>
      <c r="P761" s="495" t="str">
        <f t="shared" si="4"/>
        <v>LUNAS</v>
      </c>
      <c r="Q761" s="135">
        <f t="shared" si="5"/>
        <v>0</v>
      </c>
      <c r="S761" s="101"/>
    </row>
    <row r="762" ht="15.75" customHeight="1">
      <c r="A762" s="49"/>
      <c r="C762" s="131"/>
      <c r="D762" s="131"/>
      <c r="E762" s="131"/>
      <c r="F762" s="635"/>
      <c r="G762" s="635"/>
      <c r="H762" s="9"/>
      <c r="I762" s="8"/>
      <c r="J762" s="9"/>
      <c r="K762" s="611"/>
      <c r="L762" s="612"/>
      <c r="M762" s="613"/>
      <c r="N762" s="497"/>
      <c r="O762" s="497"/>
      <c r="P762" s="495" t="str">
        <f t="shared" si="4"/>
        <v>LUNAS</v>
      </c>
      <c r="Q762" s="135">
        <f t="shared" si="5"/>
        <v>0</v>
      </c>
      <c r="S762" s="101"/>
    </row>
    <row r="763" ht="15.75" customHeight="1">
      <c r="A763" s="49"/>
      <c r="C763" s="131"/>
      <c r="D763" s="131"/>
      <c r="E763" s="131"/>
      <c r="F763" s="635"/>
      <c r="G763" s="635"/>
      <c r="H763" s="9"/>
      <c r="I763" s="8"/>
      <c r="J763" s="9"/>
      <c r="K763" s="611"/>
      <c r="L763" s="612"/>
      <c r="M763" s="613"/>
      <c r="N763" s="497"/>
      <c r="O763" s="497"/>
      <c r="P763" s="495" t="str">
        <f t="shared" si="4"/>
        <v>LUNAS</v>
      </c>
      <c r="Q763" s="135">
        <f t="shared" si="5"/>
        <v>0</v>
      </c>
      <c r="S763" s="101"/>
    </row>
    <row r="764" ht="15.75" customHeight="1">
      <c r="A764" s="49"/>
      <c r="C764" s="131"/>
      <c r="D764" s="131"/>
      <c r="E764" s="131"/>
      <c r="F764" s="635"/>
      <c r="G764" s="635"/>
      <c r="H764" s="9"/>
      <c r="I764" s="8"/>
      <c r="J764" s="9"/>
      <c r="K764" s="611"/>
      <c r="L764" s="612"/>
      <c r="M764" s="613"/>
      <c r="N764" s="497"/>
      <c r="O764" s="497"/>
      <c r="P764" s="495" t="str">
        <f t="shared" si="4"/>
        <v>LUNAS</v>
      </c>
      <c r="Q764" s="135">
        <f t="shared" si="5"/>
        <v>0</v>
      </c>
      <c r="S764" s="101"/>
    </row>
    <row r="765" ht="15.75" customHeight="1">
      <c r="A765" s="49"/>
      <c r="C765" s="131"/>
      <c r="D765" s="131"/>
      <c r="E765" s="131"/>
      <c r="F765" s="635"/>
      <c r="G765" s="635"/>
      <c r="H765" s="9"/>
      <c r="I765" s="8"/>
      <c r="J765" s="9"/>
      <c r="K765" s="611"/>
      <c r="L765" s="612"/>
      <c r="M765" s="613"/>
      <c r="N765" s="497"/>
      <c r="O765" s="497"/>
      <c r="P765" s="495" t="str">
        <f t="shared" si="4"/>
        <v>LUNAS</v>
      </c>
      <c r="Q765" s="135">
        <f t="shared" si="5"/>
        <v>0</v>
      </c>
      <c r="S765" s="101"/>
    </row>
    <row r="766" ht="15.75" customHeight="1">
      <c r="A766" s="49"/>
      <c r="C766" s="131"/>
      <c r="D766" s="131"/>
      <c r="E766" s="131"/>
      <c r="F766" s="635"/>
      <c r="G766" s="635"/>
      <c r="H766" s="9"/>
      <c r="I766" s="8"/>
      <c r="J766" s="9"/>
      <c r="K766" s="611"/>
      <c r="L766" s="612"/>
      <c r="M766" s="613"/>
      <c r="N766" s="497"/>
      <c r="O766" s="497"/>
      <c r="P766" s="495" t="str">
        <f t="shared" si="4"/>
        <v>LUNAS</v>
      </c>
      <c r="Q766" s="135">
        <f t="shared" si="5"/>
        <v>0</v>
      </c>
      <c r="S766" s="101"/>
    </row>
    <row r="767" ht="15.75" customHeight="1">
      <c r="A767" s="49"/>
      <c r="C767" s="131"/>
      <c r="D767" s="131"/>
      <c r="E767" s="131"/>
      <c r="F767" s="635"/>
      <c r="G767" s="635"/>
      <c r="H767" s="9"/>
      <c r="I767" s="8"/>
      <c r="J767" s="9"/>
      <c r="K767" s="611"/>
      <c r="L767" s="612"/>
      <c r="M767" s="613"/>
      <c r="N767" s="497"/>
      <c r="O767" s="497"/>
      <c r="P767" s="495" t="str">
        <f t="shared" si="4"/>
        <v>LUNAS</v>
      </c>
      <c r="Q767" s="135">
        <f t="shared" si="5"/>
        <v>0</v>
      </c>
      <c r="S767" s="101"/>
    </row>
    <row r="768" ht="15.75" customHeight="1">
      <c r="A768" s="49"/>
      <c r="C768" s="131"/>
      <c r="D768" s="131"/>
      <c r="E768" s="131"/>
      <c r="F768" s="635"/>
      <c r="G768" s="635"/>
      <c r="H768" s="9"/>
      <c r="I768" s="8"/>
      <c r="J768" s="9"/>
      <c r="K768" s="611"/>
      <c r="L768" s="612"/>
      <c r="M768" s="613"/>
      <c r="N768" s="497"/>
      <c r="O768" s="497"/>
      <c r="P768" s="495" t="str">
        <f t="shared" si="4"/>
        <v>LUNAS</v>
      </c>
      <c r="Q768" s="135">
        <f t="shared" si="5"/>
        <v>0</v>
      </c>
      <c r="S768" s="101"/>
    </row>
    <row r="769" ht="15.75" customHeight="1">
      <c r="A769" s="49"/>
      <c r="C769" s="131"/>
      <c r="D769" s="131"/>
      <c r="E769" s="131"/>
      <c r="F769" s="635"/>
      <c r="G769" s="635"/>
      <c r="H769" s="9"/>
      <c r="I769" s="8"/>
      <c r="J769" s="9"/>
      <c r="K769" s="611"/>
      <c r="L769" s="612"/>
      <c r="M769" s="613"/>
      <c r="N769" s="497"/>
      <c r="O769" s="497"/>
      <c r="P769" s="495" t="str">
        <f t="shared" si="4"/>
        <v>LUNAS</v>
      </c>
      <c r="Q769" s="135">
        <f t="shared" si="5"/>
        <v>0</v>
      </c>
      <c r="S769" s="101"/>
    </row>
    <row r="770" ht="15.75" customHeight="1">
      <c r="A770" s="49"/>
      <c r="C770" s="131"/>
      <c r="D770" s="131"/>
      <c r="E770" s="131"/>
      <c r="F770" s="635"/>
      <c r="G770" s="635"/>
      <c r="H770" s="9"/>
      <c r="I770" s="8"/>
      <c r="J770" s="9"/>
      <c r="K770" s="611"/>
      <c r="L770" s="612"/>
      <c r="M770" s="613"/>
      <c r="N770" s="497"/>
      <c r="O770" s="497"/>
      <c r="P770" s="495" t="str">
        <f t="shared" si="4"/>
        <v>LUNAS</v>
      </c>
      <c r="Q770" s="135">
        <f t="shared" si="5"/>
        <v>0</v>
      </c>
      <c r="S770" s="101"/>
    </row>
    <row r="771" ht="15.75" customHeight="1">
      <c r="A771" s="49"/>
      <c r="C771" s="131"/>
      <c r="D771" s="131"/>
      <c r="E771" s="131"/>
      <c r="F771" s="635"/>
      <c r="G771" s="635"/>
      <c r="H771" s="9"/>
      <c r="I771" s="8"/>
      <c r="J771" s="9"/>
      <c r="K771" s="611"/>
      <c r="L771" s="612"/>
      <c r="M771" s="613"/>
      <c r="N771" s="497"/>
      <c r="O771" s="497"/>
      <c r="P771" s="495" t="str">
        <f t="shared" si="4"/>
        <v>LUNAS</v>
      </c>
      <c r="Q771" s="135">
        <f t="shared" si="5"/>
        <v>0</v>
      </c>
      <c r="S771" s="101"/>
    </row>
    <row r="772" ht="15.75" customHeight="1">
      <c r="A772" s="49"/>
      <c r="C772" s="131"/>
      <c r="D772" s="131"/>
      <c r="E772" s="131"/>
      <c r="F772" s="635"/>
      <c r="G772" s="635"/>
      <c r="H772" s="9"/>
      <c r="I772" s="8"/>
      <c r="J772" s="9"/>
      <c r="K772" s="611"/>
      <c r="L772" s="612"/>
      <c r="M772" s="613"/>
      <c r="N772" s="497"/>
      <c r="O772" s="497"/>
      <c r="P772" s="495" t="str">
        <f t="shared" si="4"/>
        <v>LUNAS</v>
      </c>
      <c r="Q772" s="135">
        <f t="shared" si="5"/>
        <v>0</v>
      </c>
      <c r="S772" s="101"/>
    </row>
    <row r="773" ht="15.75" customHeight="1">
      <c r="A773" s="49"/>
      <c r="C773" s="131"/>
      <c r="D773" s="131"/>
      <c r="E773" s="131"/>
      <c r="F773" s="635"/>
      <c r="G773" s="635"/>
      <c r="H773" s="9"/>
      <c r="I773" s="8"/>
      <c r="J773" s="9"/>
      <c r="K773" s="611"/>
      <c r="L773" s="612"/>
      <c r="M773" s="613"/>
      <c r="N773" s="497"/>
      <c r="O773" s="497"/>
      <c r="P773" s="495" t="str">
        <f t="shared" si="4"/>
        <v>LUNAS</v>
      </c>
      <c r="Q773" s="135">
        <f t="shared" si="5"/>
        <v>0</v>
      </c>
      <c r="S773" s="101"/>
    </row>
    <row r="774" ht="15.75" customHeight="1">
      <c r="A774" s="49"/>
      <c r="C774" s="131"/>
      <c r="D774" s="131"/>
      <c r="E774" s="131"/>
      <c r="F774" s="635"/>
      <c r="G774" s="635"/>
      <c r="H774" s="9"/>
      <c r="I774" s="8"/>
      <c r="J774" s="9"/>
      <c r="K774" s="611"/>
      <c r="L774" s="612"/>
      <c r="M774" s="613"/>
      <c r="N774" s="497"/>
      <c r="O774" s="497"/>
      <c r="P774" s="495" t="str">
        <f t="shared" si="4"/>
        <v>LUNAS</v>
      </c>
      <c r="Q774" s="135">
        <f t="shared" si="5"/>
        <v>0</v>
      </c>
      <c r="S774" s="101"/>
    </row>
    <row r="775" ht="15.75" customHeight="1">
      <c r="A775" s="49"/>
      <c r="C775" s="131"/>
      <c r="D775" s="131"/>
      <c r="E775" s="131"/>
      <c r="F775" s="635"/>
      <c r="G775" s="635"/>
      <c r="H775" s="9"/>
      <c r="I775" s="8"/>
      <c r="J775" s="9"/>
      <c r="K775" s="611"/>
      <c r="L775" s="612"/>
      <c r="M775" s="613"/>
      <c r="N775" s="497"/>
      <c r="O775" s="497"/>
      <c r="P775" s="495" t="str">
        <f t="shared" si="4"/>
        <v>LUNAS</v>
      </c>
      <c r="Q775" s="135">
        <f t="shared" si="5"/>
        <v>0</v>
      </c>
      <c r="S775" s="101"/>
    </row>
    <row r="776" ht="15.75" customHeight="1">
      <c r="A776" s="49"/>
      <c r="C776" s="131"/>
      <c r="D776" s="131"/>
      <c r="E776" s="131"/>
      <c r="F776" s="635"/>
      <c r="G776" s="635"/>
      <c r="H776" s="9"/>
      <c r="I776" s="8"/>
      <c r="J776" s="9"/>
      <c r="K776" s="611"/>
      <c r="L776" s="612"/>
      <c r="M776" s="613"/>
      <c r="N776" s="497"/>
      <c r="O776" s="497"/>
      <c r="P776" s="495" t="str">
        <f t="shared" si="4"/>
        <v>LUNAS</v>
      </c>
      <c r="Q776" s="135">
        <f t="shared" si="5"/>
        <v>0</v>
      </c>
      <c r="S776" s="101"/>
    </row>
    <row r="777" ht="15.75" customHeight="1">
      <c r="A777" s="49"/>
      <c r="C777" s="131"/>
      <c r="D777" s="131"/>
      <c r="E777" s="131"/>
      <c r="F777" s="635"/>
      <c r="G777" s="635"/>
      <c r="H777" s="9"/>
      <c r="I777" s="8"/>
      <c r="J777" s="9"/>
      <c r="K777" s="611"/>
      <c r="L777" s="612"/>
      <c r="M777" s="613"/>
      <c r="N777" s="497"/>
      <c r="O777" s="497"/>
      <c r="P777" s="495" t="str">
        <f t="shared" si="4"/>
        <v>LUNAS</v>
      </c>
      <c r="Q777" s="135">
        <f t="shared" si="5"/>
        <v>0</v>
      </c>
      <c r="S777" s="101"/>
    </row>
    <row r="778" ht="15.75" customHeight="1">
      <c r="A778" s="49"/>
      <c r="C778" s="131"/>
      <c r="D778" s="131"/>
      <c r="E778" s="131"/>
      <c r="F778" s="635"/>
      <c r="G778" s="635"/>
      <c r="H778" s="9"/>
      <c r="I778" s="8"/>
      <c r="J778" s="9"/>
      <c r="K778" s="611"/>
      <c r="L778" s="612"/>
      <c r="M778" s="613"/>
      <c r="N778" s="497"/>
      <c r="O778" s="497"/>
      <c r="P778" s="495" t="str">
        <f t="shared" si="4"/>
        <v>LUNAS</v>
      </c>
      <c r="Q778" s="135">
        <f t="shared" si="5"/>
        <v>0</v>
      </c>
      <c r="S778" s="101"/>
    </row>
    <row r="779" ht="15.75" customHeight="1">
      <c r="A779" s="49"/>
      <c r="C779" s="131"/>
      <c r="D779" s="131"/>
      <c r="E779" s="131"/>
      <c r="F779" s="635"/>
      <c r="G779" s="635"/>
      <c r="H779" s="9"/>
      <c r="I779" s="8"/>
      <c r="J779" s="9"/>
      <c r="K779" s="611"/>
      <c r="L779" s="612"/>
      <c r="M779" s="613"/>
      <c r="N779" s="497"/>
      <c r="O779" s="497"/>
      <c r="P779" s="495" t="str">
        <f t="shared" si="4"/>
        <v>LUNAS</v>
      </c>
      <c r="Q779" s="135">
        <f t="shared" si="5"/>
        <v>0</v>
      </c>
      <c r="S779" s="101"/>
    </row>
    <row r="780" ht="15.75" customHeight="1">
      <c r="A780" s="49"/>
      <c r="C780" s="131"/>
      <c r="D780" s="131"/>
      <c r="E780" s="131"/>
      <c r="F780" s="635"/>
      <c r="G780" s="635"/>
      <c r="H780" s="9"/>
      <c r="I780" s="8"/>
      <c r="J780" s="9"/>
      <c r="K780" s="611"/>
      <c r="L780" s="612"/>
      <c r="M780" s="613"/>
      <c r="N780" s="497"/>
      <c r="O780" s="497"/>
      <c r="P780" s="495" t="str">
        <f t="shared" si="4"/>
        <v>LUNAS</v>
      </c>
      <c r="Q780" s="135">
        <f t="shared" si="5"/>
        <v>0</v>
      </c>
      <c r="S780" s="101"/>
    </row>
    <row r="781" ht="15.75" customHeight="1">
      <c r="A781" s="49"/>
      <c r="C781" s="131"/>
      <c r="D781" s="131"/>
      <c r="E781" s="131"/>
      <c r="F781" s="635"/>
      <c r="G781" s="635"/>
      <c r="H781" s="9"/>
      <c r="I781" s="8"/>
      <c r="J781" s="9"/>
      <c r="K781" s="611"/>
      <c r="L781" s="612"/>
      <c r="M781" s="613"/>
      <c r="N781" s="497"/>
      <c r="O781" s="497"/>
      <c r="P781" s="495" t="str">
        <f t="shared" si="4"/>
        <v>LUNAS</v>
      </c>
      <c r="Q781" s="135">
        <f t="shared" si="5"/>
        <v>0</v>
      </c>
      <c r="S781" s="101"/>
    </row>
    <row r="782" ht="15.75" customHeight="1">
      <c r="A782" s="49"/>
      <c r="C782" s="131"/>
      <c r="D782" s="131"/>
      <c r="E782" s="131"/>
      <c r="F782" s="635"/>
      <c r="G782" s="635"/>
      <c r="H782" s="9"/>
      <c r="I782" s="8"/>
      <c r="J782" s="9"/>
      <c r="K782" s="611"/>
      <c r="L782" s="612"/>
      <c r="M782" s="613"/>
      <c r="N782" s="497"/>
      <c r="O782" s="497"/>
      <c r="P782" s="495" t="str">
        <f t="shared" si="4"/>
        <v>LUNAS</v>
      </c>
      <c r="Q782" s="135">
        <f t="shared" si="5"/>
        <v>0</v>
      </c>
      <c r="S782" s="101"/>
    </row>
    <row r="783" ht="15.75" customHeight="1">
      <c r="A783" s="49"/>
      <c r="C783" s="131"/>
      <c r="D783" s="131"/>
      <c r="E783" s="131"/>
      <c r="F783" s="635"/>
      <c r="G783" s="635"/>
      <c r="H783" s="9"/>
      <c r="I783" s="8"/>
      <c r="J783" s="9"/>
      <c r="K783" s="611"/>
      <c r="L783" s="612"/>
      <c r="M783" s="613"/>
      <c r="N783" s="497"/>
      <c r="O783" s="497"/>
      <c r="P783" s="495" t="str">
        <f t="shared" si="4"/>
        <v>LUNAS</v>
      </c>
      <c r="Q783" s="135">
        <f t="shared" si="5"/>
        <v>0</v>
      </c>
      <c r="S783" s="101"/>
    </row>
    <row r="784" ht="15.75" customHeight="1">
      <c r="A784" s="49"/>
      <c r="C784" s="131"/>
      <c r="D784" s="131"/>
      <c r="E784" s="131"/>
      <c r="F784" s="635"/>
      <c r="G784" s="635"/>
      <c r="H784" s="9"/>
      <c r="I784" s="8"/>
      <c r="J784" s="9"/>
      <c r="K784" s="611"/>
      <c r="L784" s="612"/>
      <c r="M784" s="613"/>
      <c r="N784" s="497"/>
      <c r="O784" s="497"/>
      <c r="P784" s="495" t="str">
        <f t="shared" si="4"/>
        <v>LUNAS</v>
      </c>
      <c r="Q784" s="135">
        <f t="shared" si="5"/>
        <v>0</v>
      </c>
      <c r="S784" s="101"/>
    </row>
    <row r="785" ht="15.75" customHeight="1">
      <c r="A785" s="49"/>
      <c r="C785" s="131"/>
      <c r="D785" s="131"/>
      <c r="E785" s="131"/>
      <c r="F785" s="635"/>
      <c r="G785" s="635"/>
      <c r="H785" s="9"/>
      <c r="I785" s="8"/>
      <c r="J785" s="9"/>
      <c r="K785" s="611"/>
      <c r="L785" s="612"/>
      <c r="M785" s="613"/>
      <c r="N785" s="497"/>
      <c r="O785" s="497"/>
      <c r="P785" s="495" t="str">
        <f t="shared" si="4"/>
        <v>LUNAS</v>
      </c>
      <c r="Q785" s="135">
        <f t="shared" si="5"/>
        <v>0</v>
      </c>
      <c r="S785" s="101"/>
    </row>
    <row r="786" ht="15.75" customHeight="1">
      <c r="A786" s="49"/>
      <c r="C786" s="131"/>
      <c r="D786" s="131"/>
      <c r="E786" s="131"/>
      <c r="F786" s="635"/>
      <c r="G786" s="635"/>
      <c r="H786" s="9"/>
      <c r="I786" s="8"/>
      <c r="J786" s="9"/>
      <c r="K786" s="611"/>
      <c r="L786" s="612"/>
      <c r="M786" s="613"/>
      <c r="N786" s="497"/>
      <c r="O786" s="497"/>
      <c r="P786" s="495" t="str">
        <f t="shared" si="4"/>
        <v>LUNAS</v>
      </c>
      <c r="Q786" s="135">
        <f t="shared" si="5"/>
        <v>0</v>
      </c>
      <c r="S786" s="101"/>
    </row>
    <row r="787" ht="15.75" customHeight="1">
      <c r="A787" s="49"/>
      <c r="C787" s="131"/>
      <c r="D787" s="131"/>
      <c r="E787" s="131"/>
      <c r="F787" s="635"/>
      <c r="G787" s="635"/>
      <c r="H787" s="9"/>
      <c r="I787" s="8"/>
      <c r="J787" s="9"/>
      <c r="K787" s="611"/>
      <c r="L787" s="612"/>
      <c r="M787" s="613"/>
      <c r="N787" s="497"/>
      <c r="O787" s="497"/>
      <c r="P787" s="495" t="str">
        <f t="shared" si="4"/>
        <v>LUNAS</v>
      </c>
      <c r="Q787" s="135">
        <f t="shared" si="5"/>
        <v>0</v>
      </c>
      <c r="S787" s="101"/>
    </row>
    <row r="788" ht="15.75" customHeight="1">
      <c r="A788" s="49"/>
      <c r="C788" s="131"/>
      <c r="D788" s="131"/>
      <c r="E788" s="131"/>
      <c r="F788" s="635"/>
      <c r="G788" s="635"/>
      <c r="H788" s="9"/>
      <c r="I788" s="8"/>
      <c r="J788" s="9"/>
      <c r="K788" s="611"/>
      <c r="L788" s="612"/>
      <c r="M788" s="613"/>
      <c r="N788" s="497"/>
      <c r="O788" s="497"/>
      <c r="P788" s="495" t="str">
        <f t="shared" si="4"/>
        <v>LUNAS</v>
      </c>
      <c r="Q788" s="135">
        <f t="shared" si="5"/>
        <v>0</v>
      </c>
      <c r="S788" s="101"/>
    </row>
    <row r="789" ht="15.75" customHeight="1">
      <c r="A789" s="49"/>
      <c r="C789" s="131"/>
      <c r="D789" s="131"/>
      <c r="E789" s="131"/>
      <c r="F789" s="635"/>
      <c r="G789" s="635"/>
      <c r="H789" s="9"/>
      <c r="I789" s="8"/>
      <c r="J789" s="9"/>
      <c r="K789" s="611"/>
      <c r="L789" s="612"/>
      <c r="M789" s="613"/>
      <c r="N789" s="497"/>
      <c r="O789" s="497"/>
      <c r="P789" s="495" t="str">
        <f t="shared" si="4"/>
        <v>LUNAS</v>
      </c>
      <c r="Q789" s="135">
        <f t="shared" si="5"/>
        <v>0</v>
      </c>
      <c r="S789" s="101"/>
    </row>
    <row r="790" ht="15.75" customHeight="1">
      <c r="A790" s="49"/>
      <c r="C790" s="131"/>
      <c r="D790" s="131"/>
      <c r="E790" s="131"/>
      <c r="F790" s="635"/>
      <c r="G790" s="635"/>
      <c r="H790" s="9"/>
      <c r="I790" s="8"/>
      <c r="J790" s="9"/>
      <c r="K790" s="611"/>
      <c r="L790" s="612"/>
      <c r="M790" s="613"/>
      <c r="N790" s="497"/>
      <c r="O790" s="497"/>
      <c r="P790" s="495" t="str">
        <f t="shared" si="4"/>
        <v>LUNAS</v>
      </c>
      <c r="Q790" s="135">
        <f t="shared" si="5"/>
        <v>0</v>
      </c>
      <c r="S790" s="101"/>
    </row>
    <row r="791" ht="15.75" customHeight="1">
      <c r="A791" s="49"/>
      <c r="C791" s="131"/>
      <c r="D791" s="131"/>
      <c r="E791" s="131"/>
      <c r="F791" s="635"/>
      <c r="G791" s="635"/>
      <c r="H791" s="9"/>
      <c r="I791" s="8"/>
      <c r="J791" s="9"/>
      <c r="K791" s="611"/>
      <c r="L791" s="612"/>
      <c r="M791" s="613"/>
      <c r="N791" s="497"/>
      <c r="O791" s="497"/>
      <c r="P791" s="495" t="str">
        <f t="shared" si="4"/>
        <v>LUNAS</v>
      </c>
      <c r="Q791" s="135">
        <f t="shared" si="5"/>
        <v>0</v>
      </c>
      <c r="S791" s="101"/>
    </row>
    <row r="792" ht="15.75" customHeight="1">
      <c r="A792" s="49"/>
      <c r="C792" s="131"/>
      <c r="D792" s="131"/>
      <c r="E792" s="131"/>
      <c r="F792" s="635"/>
      <c r="G792" s="635"/>
      <c r="H792" s="9"/>
      <c r="I792" s="8"/>
      <c r="J792" s="9"/>
      <c r="K792" s="611"/>
      <c r="L792" s="612"/>
      <c r="M792" s="613"/>
      <c r="N792" s="497"/>
      <c r="O792" s="497"/>
      <c r="P792" s="495" t="str">
        <f t="shared" si="4"/>
        <v>LUNAS</v>
      </c>
      <c r="Q792" s="135">
        <f t="shared" si="5"/>
        <v>0</v>
      </c>
      <c r="S792" s="101"/>
    </row>
    <row r="793" ht="15.75" customHeight="1">
      <c r="A793" s="49"/>
      <c r="C793" s="131"/>
      <c r="D793" s="131"/>
      <c r="E793" s="131"/>
      <c r="F793" s="635"/>
      <c r="G793" s="635"/>
      <c r="H793" s="9"/>
      <c r="I793" s="8"/>
      <c r="J793" s="9"/>
      <c r="K793" s="611"/>
      <c r="L793" s="612"/>
      <c r="M793" s="613"/>
      <c r="N793" s="497"/>
      <c r="O793" s="497"/>
      <c r="P793" s="495" t="str">
        <f t="shared" si="4"/>
        <v>LUNAS</v>
      </c>
      <c r="Q793" s="135">
        <f t="shared" si="5"/>
        <v>0</v>
      </c>
      <c r="S793" s="101"/>
    </row>
    <row r="794" ht="15.75" customHeight="1">
      <c r="A794" s="49"/>
      <c r="C794" s="131"/>
      <c r="D794" s="131"/>
      <c r="E794" s="131"/>
      <c r="F794" s="635"/>
      <c r="G794" s="635"/>
      <c r="H794" s="9"/>
      <c r="I794" s="8"/>
      <c r="J794" s="9"/>
      <c r="K794" s="611"/>
      <c r="L794" s="612"/>
      <c r="M794" s="613"/>
      <c r="N794" s="497"/>
      <c r="O794" s="497"/>
      <c r="P794" s="495" t="str">
        <f t="shared" si="4"/>
        <v>LUNAS</v>
      </c>
      <c r="Q794" s="135">
        <f t="shared" si="5"/>
        <v>0</v>
      </c>
      <c r="S794" s="101"/>
    </row>
    <row r="795" ht="15.75" customHeight="1">
      <c r="A795" s="49"/>
      <c r="C795" s="131"/>
      <c r="D795" s="131"/>
      <c r="E795" s="131"/>
      <c r="F795" s="635"/>
      <c r="G795" s="635"/>
      <c r="H795" s="9"/>
      <c r="I795" s="8"/>
      <c r="J795" s="9"/>
      <c r="K795" s="611"/>
      <c r="L795" s="612"/>
      <c r="M795" s="613"/>
      <c r="N795" s="497"/>
      <c r="O795" s="497"/>
      <c r="P795" s="495" t="str">
        <f t="shared" si="4"/>
        <v>LUNAS</v>
      </c>
      <c r="Q795" s="135">
        <f t="shared" si="5"/>
        <v>0</v>
      </c>
      <c r="S795" s="101"/>
    </row>
    <row r="796" ht="15.75" customHeight="1">
      <c r="A796" s="49"/>
      <c r="C796" s="131"/>
      <c r="D796" s="131"/>
      <c r="E796" s="131"/>
      <c r="F796" s="635"/>
      <c r="G796" s="635"/>
      <c r="H796" s="9"/>
      <c r="I796" s="8"/>
      <c r="J796" s="9"/>
      <c r="K796" s="611"/>
      <c r="L796" s="612"/>
      <c r="M796" s="613"/>
      <c r="N796" s="497"/>
      <c r="O796" s="497"/>
      <c r="P796" s="495" t="str">
        <f t="shared" si="4"/>
        <v>LUNAS</v>
      </c>
      <c r="Q796" s="135">
        <f t="shared" si="5"/>
        <v>0</v>
      </c>
      <c r="S796" s="101"/>
    </row>
    <row r="797" ht="15.75" customHeight="1">
      <c r="A797" s="49"/>
      <c r="C797" s="131"/>
      <c r="D797" s="131"/>
      <c r="E797" s="131"/>
      <c r="F797" s="635"/>
      <c r="G797" s="635"/>
      <c r="H797" s="9"/>
      <c r="I797" s="8"/>
      <c r="J797" s="9"/>
      <c r="K797" s="611"/>
      <c r="L797" s="612"/>
      <c r="M797" s="613"/>
      <c r="N797" s="497"/>
      <c r="O797" s="497"/>
      <c r="P797" s="495" t="str">
        <f t="shared" si="4"/>
        <v>LUNAS</v>
      </c>
      <c r="Q797" s="135">
        <f t="shared" si="5"/>
        <v>0</v>
      </c>
      <c r="S797" s="101"/>
    </row>
    <row r="798" ht="15.75" customHeight="1">
      <c r="A798" s="49"/>
      <c r="C798" s="131"/>
      <c r="D798" s="131"/>
      <c r="E798" s="131"/>
      <c r="F798" s="635"/>
      <c r="G798" s="635"/>
      <c r="H798" s="9"/>
      <c r="I798" s="8"/>
      <c r="J798" s="9"/>
      <c r="K798" s="611"/>
      <c r="L798" s="612"/>
      <c r="M798" s="613"/>
      <c r="N798" s="497"/>
      <c r="O798" s="497"/>
      <c r="P798" s="495" t="str">
        <f t="shared" si="4"/>
        <v>LUNAS</v>
      </c>
      <c r="Q798" s="135">
        <f t="shared" si="5"/>
        <v>0</v>
      </c>
      <c r="S798" s="101"/>
    </row>
    <row r="799" ht="15.75" customHeight="1">
      <c r="A799" s="49"/>
      <c r="C799" s="131"/>
      <c r="D799" s="131"/>
      <c r="E799" s="131"/>
      <c r="F799" s="635"/>
      <c r="G799" s="635"/>
      <c r="H799" s="9"/>
      <c r="I799" s="8"/>
      <c r="J799" s="9"/>
      <c r="K799" s="611"/>
      <c r="L799" s="612"/>
      <c r="M799" s="613"/>
      <c r="N799" s="497"/>
      <c r="O799" s="497"/>
      <c r="P799" s="495" t="str">
        <f t="shared" si="4"/>
        <v>LUNAS</v>
      </c>
      <c r="Q799" s="135">
        <f t="shared" si="5"/>
        <v>0</v>
      </c>
      <c r="S799" s="101"/>
    </row>
    <row r="800" ht="15.75" customHeight="1">
      <c r="A800" s="49"/>
      <c r="C800" s="131"/>
      <c r="D800" s="131"/>
      <c r="E800" s="131"/>
      <c r="F800" s="635"/>
      <c r="G800" s="635"/>
      <c r="H800" s="9"/>
      <c r="I800" s="8"/>
      <c r="J800" s="9"/>
      <c r="K800" s="611"/>
      <c r="L800" s="612"/>
      <c r="M800" s="613"/>
      <c r="N800" s="497"/>
      <c r="O800" s="497"/>
      <c r="P800" s="495" t="str">
        <f t="shared" si="4"/>
        <v>LUNAS</v>
      </c>
      <c r="Q800" s="135">
        <f t="shared" si="5"/>
        <v>0</v>
      </c>
      <c r="S800" s="101"/>
    </row>
    <row r="801" ht="15.75" customHeight="1">
      <c r="A801" s="49"/>
      <c r="C801" s="131"/>
      <c r="D801" s="131"/>
      <c r="E801" s="131"/>
      <c r="F801" s="635"/>
      <c r="G801" s="635"/>
      <c r="H801" s="9"/>
      <c r="I801" s="8"/>
      <c r="J801" s="9"/>
      <c r="K801" s="611"/>
      <c r="L801" s="612"/>
      <c r="M801" s="613"/>
      <c r="N801" s="497"/>
      <c r="O801" s="497"/>
      <c r="P801" s="495" t="str">
        <f t="shared" si="4"/>
        <v>LUNAS</v>
      </c>
      <c r="Q801" s="135">
        <f t="shared" si="5"/>
        <v>0</v>
      </c>
      <c r="S801" s="101"/>
    </row>
    <row r="802" ht="15.75" customHeight="1">
      <c r="A802" s="49"/>
      <c r="C802" s="131"/>
      <c r="D802" s="131"/>
      <c r="E802" s="131"/>
      <c r="F802" s="635"/>
      <c r="G802" s="635"/>
      <c r="H802" s="9"/>
      <c r="I802" s="8"/>
      <c r="J802" s="9"/>
      <c r="K802" s="611"/>
      <c r="L802" s="612"/>
      <c r="M802" s="613"/>
      <c r="N802" s="497"/>
      <c r="O802" s="497"/>
      <c r="P802" s="495" t="str">
        <f t="shared" si="4"/>
        <v>LUNAS</v>
      </c>
      <c r="Q802" s="135">
        <f t="shared" si="5"/>
        <v>0</v>
      </c>
      <c r="S802" s="101"/>
    </row>
    <row r="803" ht="15.75" customHeight="1">
      <c r="A803" s="49"/>
      <c r="C803" s="131"/>
      <c r="D803" s="131"/>
      <c r="E803" s="131"/>
      <c r="F803" s="635"/>
      <c r="G803" s="635"/>
      <c r="H803" s="9"/>
      <c r="I803" s="8"/>
      <c r="J803" s="9"/>
      <c r="K803" s="611"/>
      <c r="L803" s="612"/>
      <c r="M803" s="613"/>
      <c r="N803" s="497"/>
      <c r="O803" s="497"/>
      <c r="P803" s="495" t="str">
        <f t="shared" si="4"/>
        <v>LUNAS</v>
      </c>
      <c r="Q803" s="135">
        <f t="shared" si="5"/>
        <v>0</v>
      </c>
      <c r="S803" s="101"/>
    </row>
    <row r="804" ht="15.75" customHeight="1">
      <c r="A804" s="49"/>
      <c r="C804" s="131"/>
      <c r="D804" s="131"/>
      <c r="E804" s="131"/>
      <c r="F804" s="635"/>
      <c r="G804" s="635"/>
      <c r="H804" s="9"/>
      <c r="I804" s="8"/>
      <c r="J804" s="9"/>
      <c r="K804" s="611"/>
      <c r="L804" s="612"/>
      <c r="M804" s="613"/>
      <c r="N804" s="497"/>
      <c r="O804" s="497"/>
      <c r="P804" s="495" t="str">
        <f t="shared" si="4"/>
        <v>LUNAS</v>
      </c>
      <c r="Q804" s="135">
        <f t="shared" si="5"/>
        <v>0</v>
      </c>
      <c r="S804" s="101"/>
    </row>
    <row r="805" ht="15.75" customHeight="1">
      <c r="A805" s="49"/>
      <c r="C805" s="131"/>
      <c r="D805" s="131"/>
      <c r="E805" s="131"/>
      <c r="F805" s="635"/>
      <c r="G805" s="635"/>
      <c r="H805" s="9"/>
      <c r="I805" s="8"/>
      <c r="J805" s="9"/>
      <c r="K805" s="611"/>
      <c r="L805" s="612"/>
      <c r="M805" s="613"/>
      <c r="N805" s="497"/>
      <c r="O805" s="497"/>
      <c r="P805" s="495" t="str">
        <f t="shared" si="4"/>
        <v>LUNAS</v>
      </c>
      <c r="Q805" s="135">
        <f t="shared" si="5"/>
        <v>0</v>
      </c>
      <c r="S805" s="101"/>
    </row>
    <row r="806" ht="15.75" customHeight="1">
      <c r="A806" s="49"/>
      <c r="C806" s="131"/>
      <c r="D806" s="131"/>
      <c r="E806" s="131"/>
      <c r="F806" s="635"/>
      <c r="G806" s="635"/>
      <c r="H806" s="9"/>
      <c r="I806" s="8"/>
      <c r="J806" s="9"/>
      <c r="K806" s="611"/>
      <c r="L806" s="612"/>
      <c r="M806" s="613"/>
      <c r="N806" s="497"/>
      <c r="O806" s="497"/>
      <c r="P806" s="495" t="str">
        <f t="shared" si="4"/>
        <v>LUNAS</v>
      </c>
      <c r="Q806" s="135">
        <f t="shared" si="5"/>
        <v>0</v>
      </c>
      <c r="S806" s="101"/>
    </row>
    <row r="807" ht="15.75" customHeight="1">
      <c r="A807" s="49"/>
      <c r="C807" s="131"/>
      <c r="D807" s="131"/>
      <c r="E807" s="131"/>
      <c r="F807" s="635"/>
      <c r="G807" s="635"/>
      <c r="H807" s="9"/>
      <c r="I807" s="8"/>
      <c r="J807" s="9"/>
      <c r="K807" s="611"/>
      <c r="L807" s="612"/>
      <c r="M807" s="613"/>
      <c r="N807" s="497"/>
      <c r="O807" s="497"/>
      <c r="P807" s="495" t="str">
        <f t="shared" si="4"/>
        <v>LUNAS</v>
      </c>
      <c r="Q807" s="135">
        <f t="shared" si="5"/>
        <v>0</v>
      </c>
      <c r="S807" s="101"/>
    </row>
    <row r="808" ht="15.75" customHeight="1">
      <c r="A808" s="49"/>
      <c r="C808" s="131"/>
      <c r="D808" s="131"/>
      <c r="E808" s="131"/>
      <c r="F808" s="635"/>
      <c r="G808" s="635"/>
      <c r="H808" s="9"/>
      <c r="I808" s="8"/>
      <c r="J808" s="9"/>
      <c r="K808" s="611"/>
      <c r="L808" s="612"/>
      <c r="M808" s="613"/>
      <c r="N808" s="497"/>
      <c r="O808" s="497"/>
      <c r="P808" s="495" t="str">
        <f t="shared" si="4"/>
        <v>LUNAS</v>
      </c>
      <c r="Q808" s="135">
        <f t="shared" si="5"/>
        <v>0</v>
      </c>
      <c r="S808" s="101"/>
    </row>
    <row r="809" ht="15.75" customHeight="1">
      <c r="A809" s="49"/>
      <c r="C809" s="131"/>
      <c r="D809" s="131"/>
      <c r="E809" s="131"/>
      <c r="F809" s="635"/>
      <c r="G809" s="635"/>
      <c r="H809" s="9"/>
      <c r="I809" s="8"/>
      <c r="J809" s="9"/>
      <c r="K809" s="611"/>
      <c r="L809" s="612"/>
      <c r="M809" s="613"/>
      <c r="N809" s="497"/>
      <c r="O809" s="497"/>
      <c r="P809" s="495" t="str">
        <f t="shared" si="4"/>
        <v>LUNAS</v>
      </c>
      <c r="Q809" s="135">
        <f t="shared" si="5"/>
        <v>0</v>
      </c>
      <c r="S809" s="101"/>
    </row>
    <row r="810" ht="15.75" customHeight="1">
      <c r="A810" s="49"/>
      <c r="C810" s="131"/>
      <c r="D810" s="131"/>
      <c r="E810" s="131"/>
      <c r="F810" s="635"/>
      <c r="G810" s="635"/>
      <c r="H810" s="9"/>
      <c r="I810" s="8"/>
      <c r="J810" s="9"/>
      <c r="K810" s="611"/>
      <c r="L810" s="612"/>
      <c r="M810" s="613"/>
      <c r="N810" s="497"/>
      <c r="O810" s="497"/>
      <c r="P810" s="495" t="str">
        <f t="shared" si="4"/>
        <v>LUNAS</v>
      </c>
      <c r="Q810" s="135">
        <f t="shared" si="5"/>
        <v>0</v>
      </c>
      <c r="S810" s="101"/>
    </row>
    <row r="811" ht="15.75" customHeight="1">
      <c r="A811" s="49"/>
      <c r="C811" s="131"/>
      <c r="D811" s="131"/>
      <c r="E811" s="131"/>
      <c r="F811" s="635"/>
      <c r="G811" s="635"/>
      <c r="H811" s="9"/>
      <c r="I811" s="8"/>
      <c r="J811" s="9"/>
      <c r="K811" s="611"/>
      <c r="L811" s="612"/>
      <c r="M811" s="613"/>
      <c r="N811" s="497"/>
      <c r="O811" s="497"/>
      <c r="P811" s="495" t="str">
        <f t="shared" si="4"/>
        <v>LUNAS</v>
      </c>
      <c r="Q811" s="135">
        <f t="shared" si="5"/>
        <v>0</v>
      </c>
      <c r="S811" s="101"/>
    </row>
    <row r="812" ht="15.75" customHeight="1">
      <c r="A812" s="49"/>
      <c r="C812" s="131"/>
      <c r="D812" s="131"/>
      <c r="E812" s="131"/>
      <c r="F812" s="635"/>
      <c r="G812" s="635"/>
      <c r="H812" s="9"/>
      <c r="I812" s="8"/>
      <c r="J812" s="9"/>
      <c r="K812" s="611"/>
      <c r="L812" s="612"/>
      <c r="M812" s="613"/>
      <c r="N812" s="497"/>
      <c r="O812" s="497"/>
      <c r="P812" s="495" t="str">
        <f t="shared" si="4"/>
        <v>LUNAS</v>
      </c>
      <c r="Q812" s="135">
        <f t="shared" si="5"/>
        <v>0</v>
      </c>
      <c r="S812" s="101"/>
    </row>
    <row r="813" ht="15.75" customHeight="1">
      <c r="A813" s="49"/>
      <c r="C813" s="131"/>
      <c r="D813" s="131"/>
      <c r="E813" s="131"/>
      <c r="F813" s="635"/>
      <c r="G813" s="635"/>
      <c r="H813" s="9"/>
      <c r="I813" s="8"/>
      <c r="J813" s="9"/>
      <c r="K813" s="611"/>
      <c r="L813" s="612"/>
      <c r="M813" s="613"/>
      <c r="N813" s="497"/>
      <c r="O813" s="497"/>
      <c r="P813" s="495" t="str">
        <f t="shared" si="4"/>
        <v>LUNAS</v>
      </c>
      <c r="Q813" s="135">
        <f t="shared" si="5"/>
        <v>0</v>
      </c>
      <c r="S813" s="101"/>
    </row>
    <row r="814" ht="15.75" customHeight="1">
      <c r="A814" s="49"/>
      <c r="C814" s="131"/>
      <c r="D814" s="131"/>
      <c r="E814" s="131"/>
      <c r="F814" s="635"/>
      <c r="G814" s="635"/>
      <c r="H814" s="9"/>
      <c r="I814" s="8"/>
      <c r="J814" s="9"/>
      <c r="K814" s="611"/>
      <c r="L814" s="612"/>
      <c r="M814" s="613"/>
      <c r="N814" s="497"/>
      <c r="O814" s="497"/>
      <c r="P814" s="495" t="str">
        <f t="shared" si="4"/>
        <v>LUNAS</v>
      </c>
      <c r="Q814" s="135">
        <f t="shared" si="5"/>
        <v>0</v>
      </c>
      <c r="S814" s="101"/>
    </row>
    <row r="815" ht="15.75" customHeight="1">
      <c r="A815" s="49"/>
      <c r="C815" s="131"/>
      <c r="D815" s="131"/>
      <c r="E815" s="131"/>
      <c r="F815" s="635"/>
      <c r="G815" s="635"/>
      <c r="H815" s="9"/>
      <c r="I815" s="8"/>
      <c r="J815" s="9"/>
      <c r="K815" s="611"/>
      <c r="L815" s="612"/>
      <c r="M815" s="613"/>
      <c r="N815" s="497"/>
      <c r="O815" s="497"/>
      <c r="P815" s="495" t="str">
        <f t="shared" si="4"/>
        <v>LUNAS</v>
      </c>
      <c r="Q815" s="135">
        <f t="shared" si="5"/>
        <v>0</v>
      </c>
      <c r="S815" s="101"/>
    </row>
    <row r="816" ht="15.75" customHeight="1">
      <c r="A816" s="49"/>
      <c r="C816" s="131"/>
      <c r="D816" s="131"/>
      <c r="E816" s="131"/>
      <c r="F816" s="635"/>
      <c r="G816" s="635"/>
      <c r="H816" s="9"/>
      <c r="I816" s="8"/>
      <c r="J816" s="9"/>
      <c r="K816" s="611"/>
      <c r="L816" s="612"/>
      <c r="M816" s="613"/>
      <c r="N816" s="497"/>
      <c r="O816" s="497"/>
      <c r="P816" s="495" t="str">
        <f t="shared" si="4"/>
        <v>LUNAS</v>
      </c>
      <c r="Q816" s="135">
        <f t="shared" si="5"/>
        <v>0</v>
      </c>
      <c r="S816" s="101"/>
    </row>
    <row r="817" ht="15.75" customHeight="1">
      <c r="A817" s="49"/>
      <c r="C817" s="131"/>
      <c r="D817" s="131"/>
      <c r="E817" s="131"/>
      <c r="F817" s="635"/>
      <c r="G817" s="635"/>
      <c r="H817" s="9"/>
      <c r="I817" s="8"/>
      <c r="J817" s="9"/>
      <c r="K817" s="611"/>
      <c r="L817" s="612"/>
      <c r="M817" s="613"/>
      <c r="N817" s="497"/>
      <c r="O817" s="497"/>
      <c r="P817" s="495" t="str">
        <f t="shared" si="4"/>
        <v>LUNAS</v>
      </c>
      <c r="Q817" s="135">
        <f t="shared" si="5"/>
        <v>0</v>
      </c>
      <c r="S817" s="101"/>
    </row>
    <row r="818" ht="15.75" customHeight="1">
      <c r="A818" s="49"/>
      <c r="C818" s="131"/>
      <c r="D818" s="131"/>
      <c r="E818" s="131"/>
      <c r="F818" s="635"/>
      <c r="G818" s="635"/>
      <c r="H818" s="9"/>
      <c r="I818" s="8"/>
      <c r="J818" s="9"/>
      <c r="K818" s="611"/>
      <c r="L818" s="612"/>
      <c r="M818" s="613"/>
      <c r="N818" s="497"/>
      <c r="O818" s="497"/>
      <c r="P818" s="495" t="str">
        <f t="shared" si="4"/>
        <v>LUNAS</v>
      </c>
      <c r="Q818" s="135">
        <f t="shared" si="5"/>
        <v>0</v>
      </c>
      <c r="S818" s="101"/>
    </row>
    <row r="819" ht="15.75" customHeight="1">
      <c r="A819" s="49"/>
      <c r="C819" s="131"/>
      <c r="D819" s="131"/>
      <c r="E819" s="131"/>
      <c r="F819" s="635"/>
      <c r="G819" s="635"/>
      <c r="H819" s="9"/>
      <c r="I819" s="8"/>
      <c r="J819" s="9"/>
      <c r="K819" s="611"/>
      <c r="L819" s="612"/>
      <c r="M819" s="613"/>
      <c r="N819" s="497"/>
      <c r="O819" s="497"/>
      <c r="P819" s="495" t="str">
        <f t="shared" si="4"/>
        <v>LUNAS</v>
      </c>
      <c r="Q819" s="135">
        <f t="shared" si="5"/>
        <v>0</v>
      </c>
      <c r="S819" s="101"/>
    </row>
    <row r="820" ht="15.75" customHeight="1">
      <c r="A820" s="49"/>
      <c r="C820" s="131"/>
      <c r="D820" s="131"/>
      <c r="E820" s="131"/>
      <c r="F820" s="635"/>
      <c r="G820" s="635"/>
      <c r="H820" s="9"/>
      <c r="I820" s="8"/>
      <c r="J820" s="9"/>
      <c r="K820" s="611"/>
      <c r="L820" s="612"/>
      <c r="M820" s="613"/>
      <c r="N820" s="497"/>
      <c r="O820" s="497"/>
      <c r="P820" s="495" t="str">
        <f t="shared" si="4"/>
        <v>LUNAS</v>
      </c>
      <c r="Q820" s="135">
        <f t="shared" si="5"/>
        <v>0</v>
      </c>
      <c r="S820" s="101"/>
    </row>
    <row r="821" ht="15.75" customHeight="1">
      <c r="A821" s="49"/>
      <c r="C821" s="131"/>
      <c r="D821" s="131"/>
      <c r="E821" s="131"/>
      <c r="F821" s="635"/>
      <c r="G821" s="635"/>
      <c r="H821" s="9"/>
      <c r="I821" s="8"/>
      <c r="J821" s="9"/>
      <c r="K821" s="611"/>
      <c r="L821" s="612"/>
      <c r="M821" s="613"/>
      <c r="N821" s="497"/>
      <c r="O821" s="497"/>
      <c r="P821" s="495" t="str">
        <f t="shared" si="4"/>
        <v>LUNAS</v>
      </c>
      <c r="Q821" s="135">
        <f t="shared" si="5"/>
        <v>0</v>
      </c>
      <c r="S821" s="101"/>
    </row>
    <row r="822" ht="15.75" customHeight="1">
      <c r="A822" s="49"/>
      <c r="C822" s="131"/>
      <c r="D822" s="131"/>
      <c r="E822" s="131"/>
      <c r="F822" s="635"/>
      <c r="G822" s="635"/>
      <c r="H822" s="9"/>
      <c r="I822" s="8"/>
      <c r="J822" s="9"/>
      <c r="K822" s="611"/>
      <c r="L822" s="612"/>
      <c r="M822" s="613"/>
      <c r="N822" s="497"/>
      <c r="O822" s="497"/>
      <c r="P822" s="495" t="str">
        <f t="shared" si="4"/>
        <v>LUNAS</v>
      </c>
      <c r="Q822" s="135">
        <f t="shared" si="5"/>
        <v>0</v>
      </c>
      <c r="S822" s="101"/>
    </row>
    <row r="823" ht="15.75" customHeight="1">
      <c r="A823" s="49"/>
      <c r="C823" s="131"/>
      <c r="D823" s="131"/>
      <c r="E823" s="131"/>
      <c r="F823" s="635"/>
      <c r="G823" s="635"/>
      <c r="H823" s="9"/>
      <c r="I823" s="8"/>
      <c r="J823" s="9"/>
      <c r="K823" s="611"/>
      <c r="L823" s="612"/>
      <c r="M823" s="613"/>
      <c r="N823" s="497"/>
      <c r="O823" s="497"/>
      <c r="P823" s="495" t="str">
        <f t="shared" si="4"/>
        <v>LUNAS</v>
      </c>
      <c r="Q823" s="135">
        <f t="shared" si="5"/>
        <v>0</v>
      </c>
      <c r="S823" s="101"/>
    </row>
    <row r="824" ht="15.75" customHeight="1">
      <c r="A824" s="49"/>
      <c r="C824" s="131"/>
      <c r="D824" s="131"/>
      <c r="E824" s="131"/>
      <c r="F824" s="635"/>
      <c r="G824" s="635"/>
      <c r="H824" s="9"/>
      <c r="I824" s="8"/>
      <c r="J824" s="9"/>
      <c r="K824" s="611"/>
      <c r="L824" s="612"/>
      <c r="M824" s="613"/>
      <c r="N824" s="497"/>
      <c r="O824" s="497"/>
      <c r="P824" s="495" t="str">
        <f t="shared" si="4"/>
        <v>LUNAS</v>
      </c>
      <c r="Q824" s="135">
        <f t="shared" si="5"/>
        <v>0</v>
      </c>
      <c r="S824" s="101"/>
    </row>
    <row r="825" ht="15.75" customHeight="1">
      <c r="A825" s="49"/>
      <c r="C825" s="131"/>
      <c r="D825" s="131"/>
      <c r="E825" s="131"/>
      <c r="F825" s="635"/>
      <c r="G825" s="635"/>
      <c r="H825" s="9"/>
      <c r="I825" s="8"/>
      <c r="J825" s="9"/>
      <c r="K825" s="611"/>
      <c r="L825" s="612"/>
      <c r="M825" s="613"/>
      <c r="N825" s="497"/>
      <c r="O825" s="497"/>
      <c r="P825" s="495" t="str">
        <f t="shared" si="4"/>
        <v>LUNAS</v>
      </c>
      <c r="Q825" s="135">
        <f t="shared" si="5"/>
        <v>0</v>
      </c>
      <c r="S825" s="101"/>
    </row>
    <row r="826" ht="15.75" customHeight="1">
      <c r="A826" s="49"/>
      <c r="C826" s="131"/>
      <c r="D826" s="131"/>
      <c r="E826" s="131"/>
      <c r="F826" s="635"/>
      <c r="G826" s="635"/>
      <c r="H826" s="9"/>
      <c r="I826" s="8"/>
      <c r="J826" s="9"/>
      <c r="K826" s="611"/>
      <c r="L826" s="612"/>
      <c r="M826" s="613"/>
      <c r="N826" s="497"/>
      <c r="O826" s="497"/>
      <c r="P826" s="495" t="str">
        <f t="shared" si="4"/>
        <v>LUNAS</v>
      </c>
      <c r="Q826" s="135">
        <f t="shared" si="5"/>
        <v>0</v>
      </c>
      <c r="S826" s="101"/>
    </row>
    <row r="827" ht="15.75" customHeight="1">
      <c r="A827" s="49"/>
      <c r="C827" s="131"/>
      <c r="D827" s="131"/>
      <c r="E827" s="131"/>
      <c r="F827" s="635"/>
      <c r="G827" s="635"/>
      <c r="H827" s="9"/>
      <c r="I827" s="8"/>
      <c r="J827" s="9"/>
      <c r="K827" s="611"/>
      <c r="L827" s="612"/>
      <c r="M827" s="613"/>
      <c r="N827" s="497"/>
      <c r="O827" s="497"/>
      <c r="P827" s="495" t="str">
        <f t="shared" si="4"/>
        <v>LUNAS</v>
      </c>
      <c r="Q827" s="135">
        <f t="shared" si="5"/>
        <v>0</v>
      </c>
      <c r="S827" s="101"/>
    </row>
    <row r="828" ht="15.75" customHeight="1">
      <c r="A828" s="49"/>
      <c r="C828" s="131"/>
      <c r="D828" s="131"/>
      <c r="E828" s="131"/>
      <c r="F828" s="635"/>
      <c r="G828" s="635"/>
      <c r="H828" s="9"/>
      <c r="I828" s="8"/>
      <c r="J828" s="9"/>
      <c r="K828" s="611"/>
      <c r="L828" s="612"/>
      <c r="M828" s="613"/>
      <c r="N828" s="497"/>
      <c r="O828" s="497"/>
      <c r="P828" s="495" t="str">
        <f t="shared" si="4"/>
        <v>LUNAS</v>
      </c>
      <c r="Q828" s="135">
        <f t="shared" si="5"/>
        <v>0</v>
      </c>
      <c r="S828" s="101"/>
    </row>
    <row r="829" ht="15.75" customHeight="1">
      <c r="A829" s="49"/>
      <c r="C829" s="131"/>
      <c r="D829" s="131"/>
      <c r="E829" s="131"/>
      <c r="F829" s="635"/>
      <c r="G829" s="635"/>
      <c r="H829" s="9"/>
      <c r="I829" s="8"/>
      <c r="J829" s="9"/>
      <c r="K829" s="611"/>
      <c r="L829" s="612"/>
      <c r="M829" s="613"/>
      <c r="N829" s="497"/>
      <c r="O829" s="497"/>
      <c r="P829" s="495" t="str">
        <f t="shared" si="4"/>
        <v>LUNAS</v>
      </c>
      <c r="Q829" s="135">
        <f t="shared" si="5"/>
        <v>0</v>
      </c>
      <c r="S829" s="101"/>
    </row>
    <row r="830" ht="15.75" customHeight="1">
      <c r="A830" s="49"/>
      <c r="C830" s="131"/>
      <c r="D830" s="131"/>
      <c r="E830" s="131"/>
      <c r="F830" s="635"/>
      <c r="G830" s="635"/>
      <c r="H830" s="9"/>
      <c r="I830" s="8"/>
      <c r="J830" s="9"/>
      <c r="K830" s="611"/>
      <c r="L830" s="612"/>
      <c r="M830" s="613"/>
      <c r="N830" s="497"/>
      <c r="O830" s="497"/>
      <c r="P830" s="495" t="str">
        <f t="shared" si="4"/>
        <v>LUNAS</v>
      </c>
      <c r="Q830" s="135">
        <f t="shared" si="5"/>
        <v>0</v>
      </c>
      <c r="S830" s="101"/>
    </row>
    <row r="831" ht="15.75" customHeight="1">
      <c r="A831" s="49"/>
      <c r="C831" s="131"/>
      <c r="D831" s="131"/>
      <c r="E831" s="131"/>
      <c r="F831" s="635"/>
      <c r="G831" s="635"/>
      <c r="H831" s="9"/>
      <c r="I831" s="8"/>
      <c r="J831" s="9"/>
      <c r="K831" s="611"/>
      <c r="L831" s="612"/>
      <c r="M831" s="613"/>
      <c r="N831" s="497"/>
      <c r="O831" s="497"/>
      <c r="P831" s="495" t="str">
        <f t="shared" si="4"/>
        <v>LUNAS</v>
      </c>
      <c r="Q831" s="135">
        <f t="shared" si="5"/>
        <v>0</v>
      </c>
      <c r="S831" s="101"/>
    </row>
    <row r="832" ht="15.75" customHeight="1">
      <c r="A832" s="49"/>
      <c r="C832" s="131"/>
      <c r="D832" s="131"/>
      <c r="E832" s="131"/>
      <c r="F832" s="635"/>
      <c r="G832" s="635"/>
      <c r="H832" s="9"/>
      <c r="I832" s="8"/>
      <c r="J832" s="9"/>
      <c r="K832" s="611"/>
      <c r="L832" s="612"/>
      <c r="M832" s="613"/>
      <c r="N832" s="497"/>
      <c r="O832" s="497"/>
      <c r="P832" s="495" t="str">
        <f t="shared" si="4"/>
        <v>LUNAS</v>
      </c>
      <c r="Q832" s="135">
        <f t="shared" si="5"/>
        <v>0</v>
      </c>
      <c r="S832" s="101"/>
    </row>
    <row r="833" ht="15.75" customHeight="1">
      <c r="A833" s="49"/>
      <c r="C833" s="131"/>
      <c r="D833" s="131"/>
      <c r="E833" s="131"/>
      <c r="F833" s="635"/>
      <c r="G833" s="635"/>
      <c r="H833" s="9"/>
      <c r="I833" s="8"/>
      <c r="J833" s="9"/>
      <c r="K833" s="611"/>
      <c r="L833" s="612"/>
      <c r="M833" s="613"/>
      <c r="N833" s="497"/>
      <c r="O833" s="497"/>
      <c r="P833" s="495" t="str">
        <f t="shared" si="4"/>
        <v>LUNAS</v>
      </c>
      <c r="Q833" s="135">
        <f t="shared" si="5"/>
        <v>0</v>
      </c>
      <c r="S833" s="101"/>
    </row>
    <row r="834" ht="15.75" customHeight="1">
      <c r="A834" s="49"/>
      <c r="C834" s="131"/>
      <c r="D834" s="131"/>
      <c r="E834" s="131"/>
      <c r="F834" s="635"/>
      <c r="G834" s="635"/>
      <c r="H834" s="9"/>
      <c r="I834" s="8"/>
      <c r="J834" s="9"/>
      <c r="K834" s="611"/>
      <c r="L834" s="612"/>
      <c r="M834" s="613"/>
      <c r="N834" s="497"/>
      <c r="O834" s="497"/>
      <c r="P834" s="495" t="str">
        <f t="shared" si="4"/>
        <v>LUNAS</v>
      </c>
      <c r="Q834" s="135">
        <f t="shared" si="5"/>
        <v>0</v>
      </c>
      <c r="S834" s="101"/>
    </row>
    <row r="835" ht="15.75" customHeight="1">
      <c r="A835" s="49"/>
      <c r="C835" s="131"/>
      <c r="D835" s="131"/>
      <c r="E835" s="131"/>
      <c r="F835" s="635"/>
      <c r="G835" s="635"/>
      <c r="H835" s="9"/>
      <c r="I835" s="8"/>
      <c r="J835" s="9"/>
      <c r="K835" s="611"/>
      <c r="L835" s="612"/>
      <c r="M835" s="613"/>
      <c r="N835" s="497"/>
      <c r="O835" s="497"/>
      <c r="P835" s="495" t="str">
        <f t="shared" si="4"/>
        <v>LUNAS</v>
      </c>
      <c r="Q835" s="135">
        <f t="shared" si="5"/>
        <v>0</v>
      </c>
      <c r="S835" s="101"/>
    </row>
    <row r="836" ht="15.75" customHeight="1">
      <c r="A836" s="49"/>
      <c r="C836" s="131"/>
      <c r="D836" s="131"/>
      <c r="E836" s="131"/>
      <c r="F836" s="635"/>
      <c r="G836" s="635"/>
      <c r="H836" s="9"/>
      <c r="I836" s="8"/>
      <c r="J836" s="9"/>
      <c r="K836" s="611"/>
      <c r="L836" s="612"/>
      <c r="M836" s="613"/>
      <c r="N836" s="497"/>
      <c r="O836" s="497"/>
      <c r="P836" s="495" t="str">
        <f t="shared" si="4"/>
        <v>LUNAS</v>
      </c>
      <c r="Q836" s="135">
        <f t="shared" si="5"/>
        <v>0</v>
      </c>
      <c r="S836" s="101"/>
    </row>
    <row r="837" ht="15.75" customHeight="1">
      <c r="A837" s="49"/>
      <c r="C837" s="131"/>
      <c r="D837" s="131"/>
      <c r="E837" s="131"/>
      <c r="F837" s="635"/>
      <c r="G837" s="635"/>
      <c r="H837" s="9"/>
      <c r="I837" s="8"/>
      <c r="J837" s="9"/>
      <c r="K837" s="611"/>
      <c r="L837" s="612"/>
      <c r="M837" s="613"/>
      <c r="N837" s="497"/>
      <c r="O837" s="497"/>
      <c r="P837" s="495" t="str">
        <f t="shared" si="4"/>
        <v>LUNAS</v>
      </c>
      <c r="Q837" s="135">
        <f t="shared" si="5"/>
        <v>0</v>
      </c>
      <c r="S837" s="101"/>
    </row>
    <row r="838" ht="15.75" customHeight="1">
      <c r="A838" s="49"/>
      <c r="C838" s="131"/>
      <c r="D838" s="131"/>
      <c r="E838" s="131"/>
      <c r="F838" s="635"/>
      <c r="G838" s="635"/>
      <c r="H838" s="9"/>
      <c r="I838" s="8"/>
      <c r="J838" s="9"/>
      <c r="K838" s="611"/>
      <c r="L838" s="612"/>
      <c r="M838" s="613"/>
      <c r="N838" s="497"/>
      <c r="O838" s="497"/>
      <c r="P838" s="495" t="str">
        <f t="shared" si="4"/>
        <v>LUNAS</v>
      </c>
      <c r="Q838" s="135">
        <f t="shared" si="5"/>
        <v>0</v>
      </c>
      <c r="S838" s="101"/>
    </row>
    <row r="839" ht="15.75" customHeight="1">
      <c r="A839" s="49"/>
      <c r="C839" s="131"/>
      <c r="D839" s="131"/>
      <c r="E839" s="131"/>
      <c r="F839" s="635"/>
      <c r="G839" s="635"/>
      <c r="H839" s="9"/>
      <c r="I839" s="8"/>
      <c r="J839" s="9"/>
      <c r="K839" s="611"/>
      <c r="L839" s="612"/>
      <c r="M839" s="613"/>
      <c r="N839" s="497"/>
      <c r="O839" s="497"/>
      <c r="P839" s="495" t="str">
        <f t="shared" si="4"/>
        <v>LUNAS</v>
      </c>
      <c r="Q839" s="135">
        <f t="shared" si="5"/>
        <v>0</v>
      </c>
      <c r="S839" s="101"/>
    </row>
    <row r="840" ht="15.75" customHeight="1">
      <c r="A840" s="49"/>
      <c r="C840" s="131"/>
      <c r="D840" s="131"/>
      <c r="E840" s="131"/>
      <c r="F840" s="635"/>
      <c r="G840" s="635"/>
      <c r="H840" s="9"/>
      <c r="I840" s="8"/>
      <c r="J840" s="9"/>
      <c r="K840" s="611"/>
      <c r="L840" s="612"/>
      <c r="M840" s="613"/>
      <c r="N840" s="497"/>
      <c r="O840" s="497"/>
      <c r="P840" s="495" t="str">
        <f t="shared" si="4"/>
        <v>LUNAS</v>
      </c>
      <c r="Q840" s="135">
        <f t="shared" si="5"/>
        <v>0</v>
      </c>
      <c r="S840" s="101"/>
    </row>
    <row r="841" ht="15.75" customHeight="1">
      <c r="A841" s="49"/>
      <c r="C841" s="131"/>
      <c r="D841" s="131"/>
      <c r="E841" s="131"/>
      <c r="F841" s="635"/>
      <c r="G841" s="635"/>
      <c r="H841" s="9"/>
      <c r="I841" s="8"/>
      <c r="J841" s="9"/>
      <c r="K841" s="611"/>
      <c r="L841" s="612"/>
      <c r="M841" s="613"/>
      <c r="N841" s="497"/>
      <c r="O841" s="497"/>
      <c r="P841" s="495" t="str">
        <f t="shared" si="4"/>
        <v>LUNAS</v>
      </c>
      <c r="Q841" s="135">
        <f t="shared" si="5"/>
        <v>0</v>
      </c>
      <c r="S841" s="101"/>
    </row>
    <row r="842" ht="15.75" customHeight="1">
      <c r="A842" s="49"/>
      <c r="C842" s="131"/>
      <c r="D842" s="131"/>
      <c r="E842" s="131"/>
      <c r="F842" s="635"/>
      <c r="G842" s="635"/>
      <c r="H842" s="9"/>
      <c r="I842" s="8"/>
      <c r="J842" s="9"/>
      <c r="K842" s="611"/>
      <c r="L842" s="612"/>
      <c r="M842" s="613"/>
      <c r="N842" s="497"/>
      <c r="O842" s="497"/>
      <c r="P842" s="495" t="str">
        <f t="shared" si="4"/>
        <v>LUNAS</v>
      </c>
      <c r="Q842" s="135">
        <f t="shared" si="5"/>
        <v>0</v>
      </c>
      <c r="S842" s="101"/>
    </row>
    <row r="843" ht="15.75" customHeight="1">
      <c r="A843" s="49"/>
      <c r="C843" s="131"/>
      <c r="D843" s="131"/>
      <c r="E843" s="131"/>
      <c r="F843" s="635"/>
      <c r="G843" s="635"/>
      <c r="H843" s="9"/>
      <c r="I843" s="8"/>
      <c r="J843" s="9"/>
      <c r="K843" s="611"/>
      <c r="L843" s="612"/>
      <c r="M843" s="613"/>
      <c r="N843" s="497"/>
      <c r="O843" s="497"/>
      <c r="P843" s="495" t="str">
        <f t="shared" si="4"/>
        <v>LUNAS</v>
      </c>
      <c r="Q843" s="135">
        <f t="shared" si="5"/>
        <v>0</v>
      </c>
      <c r="S843" s="101"/>
    </row>
    <row r="844" ht="15.75" customHeight="1">
      <c r="A844" s="49"/>
      <c r="C844" s="131"/>
      <c r="D844" s="131"/>
      <c r="E844" s="131"/>
      <c r="F844" s="635"/>
      <c r="G844" s="635"/>
      <c r="H844" s="9"/>
      <c r="I844" s="8"/>
      <c r="J844" s="9"/>
      <c r="K844" s="611"/>
      <c r="L844" s="612"/>
      <c r="M844" s="613"/>
      <c r="N844" s="497"/>
      <c r="O844" s="497"/>
      <c r="P844" s="495" t="str">
        <f t="shared" si="4"/>
        <v>LUNAS</v>
      </c>
      <c r="Q844" s="135">
        <f t="shared" si="5"/>
        <v>0</v>
      </c>
      <c r="S844" s="101"/>
    </row>
    <row r="845" ht="15.75" customHeight="1">
      <c r="A845" s="49"/>
      <c r="C845" s="131"/>
      <c r="D845" s="131"/>
      <c r="E845" s="131"/>
      <c r="F845" s="635"/>
      <c r="G845" s="635"/>
      <c r="H845" s="9"/>
      <c r="I845" s="8"/>
      <c r="J845" s="9"/>
      <c r="K845" s="611"/>
      <c r="L845" s="612"/>
      <c r="M845" s="613"/>
      <c r="N845" s="497"/>
      <c r="O845" s="497"/>
      <c r="P845" s="495" t="str">
        <f t="shared" si="4"/>
        <v>LUNAS</v>
      </c>
      <c r="Q845" s="135">
        <f t="shared" si="5"/>
        <v>0</v>
      </c>
      <c r="S845" s="101"/>
    </row>
    <row r="846" ht="15.75" customHeight="1">
      <c r="A846" s="49"/>
      <c r="C846" s="131"/>
      <c r="D846" s="131"/>
      <c r="E846" s="131"/>
      <c r="F846" s="635"/>
      <c r="G846" s="635"/>
      <c r="H846" s="9"/>
      <c r="I846" s="8"/>
      <c r="J846" s="9"/>
      <c r="K846" s="611"/>
      <c r="L846" s="612"/>
      <c r="M846" s="613"/>
      <c r="N846" s="497"/>
      <c r="O846" s="497"/>
      <c r="P846" s="495" t="str">
        <f t="shared" si="4"/>
        <v>LUNAS</v>
      </c>
      <c r="Q846" s="135">
        <f t="shared" si="5"/>
        <v>0</v>
      </c>
      <c r="S846" s="101"/>
    </row>
    <row r="847" ht="15.75" customHeight="1">
      <c r="A847" s="49"/>
      <c r="C847" s="131"/>
      <c r="D847" s="131"/>
      <c r="E847" s="131"/>
      <c r="F847" s="635"/>
      <c r="G847" s="635"/>
      <c r="H847" s="9"/>
      <c r="I847" s="8"/>
      <c r="J847" s="9"/>
      <c r="K847" s="611"/>
      <c r="L847" s="612"/>
      <c r="M847" s="613"/>
      <c r="N847" s="497"/>
      <c r="O847" s="497"/>
      <c r="P847" s="495" t="str">
        <f t="shared" si="4"/>
        <v>LUNAS</v>
      </c>
      <c r="Q847" s="135">
        <f t="shared" si="5"/>
        <v>0</v>
      </c>
      <c r="S847" s="101"/>
    </row>
    <row r="848" ht="15.75" customHeight="1">
      <c r="A848" s="49"/>
      <c r="C848" s="131"/>
      <c r="D848" s="131"/>
      <c r="E848" s="131"/>
      <c r="F848" s="635"/>
      <c r="G848" s="635"/>
      <c r="H848" s="9"/>
      <c r="I848" s="8"/>
      <c r="J848" s="9"/>
      <c r="K848" s="611"/>
      <c r="L848" s="612"/>
      <c r="M848" s="613"/>
      <c r="N848" s="497"/>
      <c r="O848" s="497"/>
      <c r="P848" s="495" t="str">
        <f t="shared" si="4"/>
        <v>LUNAS</v>
      </c>
      <c r="Q848" s="135">
        <f t="shared" si="5"/>
        <v>0</v>
      </c>
      <c r="S848" s="101"/>
    </row>
    <row r="849" ht="15.75" customHeight="1">
      <c r="A849" s="49"/>
      <c r="C849" s="131"/>
      <c r="D849" s="131"/>
      <c r="E849" s="131"/>
      <c r="F849" s="635"/>
      <c r="G849" s="635"/>
      <c r="H849" s="9"/>
      <c r="I849" s="8"/>
      <c r="J849" s="9"/>
      <c r="K849" s="611"/>
      <c r="L849" s="612"/>
      <c r="M849" s="613"/>
      <c r="N849" s="497"/>
      <c r="O849" s="497"/>
      <c r="P849" s="495" t="str">
        <f t="shared" si="4"/>
        <v>LUNAS</v>
      </c>
      <c r="Q849" s="135">
        <f t="shared" si="5"/>
        <v>0</v>
      </c>
      <c r="S849" s="101"/>
    </row>
    <row r="850" ht="15.75" customHeight="1">
      <c r="A850" s="49"/>
      <c r="C850" s="131"/>
      <c r="D850" s="131"/>
      <c r="E850" s="131"/>
      <c r="F850" s="635"/>
      <c r="G850" s="635"/>
      <c r="H850" s="9"/>
      <c r="I850" s="8"/>
      <c r="J850" s="9"/>
      <c r="K850" s="611"/>
      <c r="L850" s="612"/>
      <c r="M850" s="613"/>
      <c r="N850" s="497"/>
      <c r="O850" s="497"/>
      <c r="P850" s="495" t="str">
        <f t="shared" si="4"/>
        <v>LUNAS</v>
      </c>
      <c r="Q850" s="135">
        <f t="shared" si="5"/>
        <v>0</v>
      </c>
      <c r="S850" s="101"/>
    </row>
    <row r="851" ht="15.75" customHeight="1">
      <c r="A851" s="49"/>
      <c r="C851" s="131"/>
      <c r="D851" s="131"/>
      <c r="E851" s="131"/>
      <c r="F851" s="635"/>
      <c r="G851" s="635"/>
      <c r="H851" s="9"/>
      <c r="I851" s="8"/>
      <c r="J851" s="9"/>
      <c r="K851" s="611"/>
      <c r="L851" s="612"/>
      <c r="M851" s="613"/>
      <c r="N851" s="497"/>
      <c r="O851" s="497"/>
      <c r="P851" s="495" t="str">
        <f t="shared" si="4"/>
        <v>LUNAS</v>
      </c>
      <c r="Q851" s="135">
        <f t="shared" si="5"/>
        <v>0</v>
      </c>
      <c r="S851" s="101"/>
    </row>
    <row r="852" ht="15.75" customHeight="1">
      <c r="A852" s="49"/>
      <c r="C852" s="131"/>
      <c r="D852" s="131"/>
      <c r="E852" s="131"/>
      <c r="F852" s="635"/>
      <c r="G852" s="635"/>
      <c r="H852" s="9"/>
      <c r="I852" s="8"/>
      <c r="J852" s="9"/>
      <c r="K852" s="611"/>
      <c r="L852" s="612"/>
      <c r="M852" s="613"/>
      <c r="N852" s="497"/>
      <c r="O852" s="497"/>
      <c r="P852" s="495" t="str">
        <f t="shared" si="4"/>
        <v>LUNAS</v>
      </c>
      <c r="Q852" s="135">
        <f t="shared" si="5"/>
        <v>0</v>
      </c>
      <c r="S852" s="101"/>
    </row>
    <row r="853" ht="15.75" customHeight="1">
      <c r="A853" s="49"/>
      <c r="C853" s="131"/>
      <c r="D853" s="131"/>
      <c r="E853" s="131"/>
      <c r="F853" s="635"/>
      <c r="G853" s="635"/>
      <c r="H853" s="9"/>
      <c r="I853" s="8"/>
      <c r="J853" s="9"/>
      <c r="K853" s="611"/>
      <c r="L853" s="612"/>
      <c r="M853" s="613"/>
      <c r="N853" s="497"/>
      <c r="O853" s="497"/>
      <c r="P853" s="495" t="str">
        <f t="shared" si="4"/>
        <v>LUNAS</v>
      </c>
      <c r="Q853" s="135">
        <f t="shared" si="5"/>
        <v>0</v>
      </c>
      <c r="S853" s="101"/>
    </row>
    <row r="854" ht="15.75" customHeight="1">
      <c r="A854" s="49"/>
      <c r="C854" s="131"/>
      <c r="D854" s="131"/>
      <c r="E854" s="131"/>
      <c r="F854" s="635"/>
      <c r="G854" s="635"/>
      <c r="H854" s="9"/>
      <c r="I854" s="8"/>
      <c r="J854" s="9"/>
      <c r="K854" s="611"/>
      <c r="L854" s="612"/>
      <c r="M854" s="613"/>
      <c r="N854" s="497"/>
      <c r="O854" s="497"/>
      <c r="P854" s="495" t="str">
        <f t="shared" si="4"/>
        <v>LUNAS</v>
      </c>
      <c r="Q854" s="135">
        <f t="shared" si="5"/>
        <v>0</v>
      </c>
      <c r="S854" s="101"/>
    </row>
    <row r="855" ht="15.75" customHeight="1">
      <c r="A855" s="49"/>
      <c r="C855" s="131"/>
      <c r="D855" s="131"/>
      <c r="E855" s="131"/>
      <c r="F855" s="635"/>
      <c r="G855" s="635"/>
      <c r="H855" s="9"/>
      <c r="I855" s="8"/>
      <c r="J855" s="9"/>
      <c r="K855" s="611"/>
      <c r="L855" s="612"/>
      <c r="M855" s="613"/>
      <c r="N855" s="497"/>
      <c r="O855" s="497"/>
      <c r="P855" s="495" t="str">
        <f t="shared" si="4"/>
        <v>LUNAS</v>
      </c>
      <c r="Q855" s="135">
        <f t="shared" si="5"/>
        <v>0</v>
      </c>
      <c r="S855" s="101"/>
    </row>
    <row r="856" ht="15.75" customHeight="1">
      <c r="A856" s="49"/>
      <c r="C856" s="131"/>
      <c r="D856" s="131"/>
      <c r="E856" s="131"/>
      <c r="F856" s="635"/>
      <c r="G856" s="635"/>
      <c r="H856" s="9"/>
      <c r="I856" s="8"/>
      <c r="J856" s="9"/>
      <c r="K856" s="611"/>
      <c r="L856" s="612"/>
      <c r="M856" s="613"/>
      <c r="N856" s="497"/>
      <c r="O856" s="497"/>
      <c r="P856" s="495" t="str">
        <f t="shared" si="4"/>
        <v>LUNAS</v>
      </c>
      <c r="Q856" s="135">
        <f t="shared" si="5"/>
        <v>0</v>
      </c>
      <c r="S856" s="101"/>
    </row>
    <row r="857" ht="15.75" customHeight="1">
      <c r="A857" s="49"/>
      <c r="C857" s="131"/>
      <c r="D857" s="131"/>
      <c r="E857" s="131"/>
      <c r="F857" s="635"/>
      <c r="G857" s="635"/>
      <c r="H857" s="9"/>
      <c r="I857" s="8"/>
      <c r="J857" s="9"/>
      <c r="K857" s="611"/>
      <c r="L857" s="612"/>
      <c r="M857" s="613"/>
      <c r="N857" s="497"/>
      <c r="O857" s="497"/>
      <c r="P857" s="495" t="str">
        <f t="shared" si="4"/>
        <v>LUNAS</v>
      </c>
      <c r="Q857" s="135">
        <f t="shared" si="5"/>
        <v>0</v>
      </c>
      <c r="S857" s="101"/>
    </row>
    <row r="858" ht="15.75" customHeight="1">
      <c r="A858" s="49"/>
      <c r="C858" s="131"/>
      <c r="D858" s="131"/>
      <c r="E858" s="131"/>
      <c r="F858" s="635"/>
      <c r="G858" s="635"/>
      <c r="H858" s="9"/>
      <c r="I858" s="8"/>
      <c r="J858" s="9"/>
      <c r="K858" s="611"/>
      <c r="L858" s="612"/>
      <c r="M858" s="613"/>
      <c r="N858" s="497"/>
      <c r="O858" s="497"/>
      <c r="P858" s="495" t="str">
        <f t="shared" si="4"/>
        <v>LUNAS</v>
      </c>
      <c r="Q858" s="135">
        <f t="shared" si="5"/>
        <v>0</v>
      </c>
      <c r="S858" s="101"/>
    </row>
    <row r="859" ht="15.75" customHeight="1">
      <c r="A859" s="49"/>
      <c r="C859" s="131"/>
      <c r="D859" s="131"/>
      <c r="E859" s="131"/>
      <c r="F859" s="635"/>
      <c r="G859" s="635"/>
      <c r="H859" s="9"/>
      <c r="I859" s="8"/>
      <c r="J859" s="9"/>
      <c r="K859" s="611"/>
      <c r="L859" s="612"/>
      <c r="M859" s="613"/>
      <c r="N859" s="497"/>
      <c r="O859" s="497"/>
      <c r="P859" s="495" t="str">
        <f t="shared" si="4"/>
        <v>LUNAS</v>
      </c>
      <c r="Q859" s="135">
        <f t="shared" si="5"/>
        <v>0</v>
      </c>
      <c r="S859" s="101"/>
    </row>
    <row r="860" ht="15.75" customHeight="1">
      <c r="A860" s="49"/>
      <c r="C860" s="131"/>
      <c r="D860" s="131"/>
      <c r="E860" s="131"/>
      <c r="F860" s="635"/>
      <c r="G860" s="635"/>
      <c r="H860" s="9"/>
      <c r="I860" s="8"/>
      <c r="J860" s="9"/>
      <c r="K860" s="611"/>
      <c r="L860" s="612"/>
      <c r="M860" s="613"/>
      <c r="N860" s="497"/>
      <c r="O860" s="497"/>
      <c r="P860" s="495" t="str">
        <f t="shared" si="4"/>
        <v>LUNAS</v>
      </c>
      <c r="Q860" s="135">
        <f t="shared" si="5"/>
        <v>0</v>
      </c>
      <c r="S860" s="101"/>
    </row>
    <row r="861" ht="15.75" customHeight="1">
      <c r="A861" s="49"/>
      <c r="C861" s="131"/>
      <c r="D861" s="131"/>
      <c r="E861" s="131"/>
      <c r="F861" s="635"/>
      <c r="G861" s="635"/>
      <c r="H861" s="9"/>
      <c r="I861" s="8"/>
      <c r="J861" s="9"/>
      <c r="K861" s="611"/>
      <c r="L861" s="612"/>
      <c r="M861" s="613"/>
      <c r="N861" s="497"/>
      <c r="O861" s="497"/>
      <c r="P861" s="495" t="str">
        <f t="shared" si="4"/>
        <v>LUNAS</v>
      </c>
      <c r="Q861" s="135">
        <f t="shared" si="5"/>
        <v>0</v>
      </c>
      <c r="S861" s="101"/>
    </row>
    <row r="862" ht="15.75" customHeight="1">
      <c r="A862" s="49"/>
      <c r="C862" s="131"/>
      <c r="D862" s="131"/>
      <c r="E862" s="131"/>
      <c r="F862" s="635"/>
      <c r="G862" s="635"/>
      <c r="H862" s="9"/>
      <c r="I862" s="8"/>
      <c r="J862" s="9"/>
      <c r="K862" s="611"/>
      <c r="L862" s="612"/>
      <c r="M862" s="613"/>
      <c r="N862" s="497"/>
      <c r="O862" s="497"/>
      <c r="P862" s="495" t="str">
        <f t="shared" si="4"/>
        <v>LUNAS</v>
      </c>
      <c r="Q862" s="135">
        <f t="shared" si="5"/>
        <v>0</v>
      </c>
      <c r="S862" s="101"/>
    </row>
    <row r="863" ht="15.75" customHeight="1">
      <c r="A863" s="49"/>
      <c r="C863" s="131"/>
      <c r="D863" s="131"/>
      <c r="E863" s="131"/>
      <c r="F863" s="635"/>
      <c r="G863" s="635"/>
      <c r="H863" s="9"/>
      <c r="I863" s="8"/>
      <c r="J863" s="9"/>
      <c r="K863" s="611"/>
      <c r="L863" s="612"/>
      <c r="M863" s="613"/>
      <c r="N863" s="497"/>
      <c r="O863" s="497"/>
      <c r="P863" s="495" t="str">
        <f t="shared" si="4"/>
        <v>LUNAS</v>
      </c>
      <c r="Q863" s="135">
        <f t="shared" si="5"/>
        <v>0</v>
      </c>
      <c r="S863" s="101"/>
    </row>
    <row r="864" ht="15.75" customHeight="1">
      <c r="A864" s="49"/>
      <c r="C864" s="131"/>
      <c r="D864" s="131"/>
      <c r="E864" s="131"/>
      <c r="F864" s="635"/>
      <c r="G864" s="635"/>
      <c r="H864" s="9"/>
      <c r="I864" s="8"/>
      <c r="J864" s="9"/>
      <c r="K864" s="611"/>
      <c r="L864" s="612"/>
      <c r="M864" s="613"/>
      <c r="N864" s="497"/>
      <c r="O864" s="497"/>
      <c r="P864" s="495" t="str">
        <f t="shared" si="4"/>
        <v>LUNAS</v>
      </c>
      <c r="Q864" s="135">
        <f t="shared" si="5"/>
        <v>0</v>
      </c>
      <c r="S864" s="101"/>
    </row>
    <row r="865" ht="15.75" customHeight="1">
      <c r="A865" s="49"/>
      <c r="C865" s="131"/>
      <c r="D865" s="131"/>
      <c r="E865" s="131"/>
      <c r="F865" s="635"/>
      <c r="G865" s="635"/>
      <c r="H865" s="9"/>
      <c r="I865" s="8"/>
      <c r="J865" s="9"/>
      <c r="K865" s="611"/>
      <c r="L865" s="612"/>
      <c r="M865" s="613"/>
      <c r="N865" s="497"/>
      <c r="O865" s="497"/>
      <c r="P865" s="495" t="str">
        <f t="shared" si="4"/>
        <v>LUNAS</v>
      </c>
      <c r="Q865" s="135">
        <f t="shared" si="5"/>
        <v>0</v>
      </c>
      <c r="S865" s="101"/>
    </row>
    <row r="866" ht="15.75" customHeight="1">
      <c r="A866" s="49"/>
      <c r="C866" s="131"/>
      <c r="D866" s="131"/>
      <c r="E866" s="131"/>
      <c r="F866" s="635"/>
      <c r="G866" s="635"/>
      <c r="H866" s="9"/>
      <c r="I866" s="8"/>
      <c r="J866" s="9"/>
      <c r="K866" s="611"/>
      <c r="L866" s="612"/>
      <c r="M866" s="613"/>
      <c r="N866" s="497"/>
      <c r="O866" s="497"/>
      <c r="P866" s="495" t="str">
        <f t="shared" si="4"/>
        <v>LUNAS</v>
      </c>
      <c r="Q866" s="135">
        <f t="shared" si="5"/>
        <v>0</v>
      </c>
      <c r="S866" s="101"/>
    </row>
    <row r="867" ht="15.75" customHeight="1">
      <c r="A867" s="49"/>
      <c r="C867" s="131"/>
      <c r="D867" s="131"/>
      <c r="E867" s="131"/>
      <c r="F867" s="635"/>
      <c r="G867" s="635"/>
      <c r="H867" s="9"/>
      <c r="I867" s="8"/>
      <c r="J867" s="9"/>
      <c r="K867" s="611"/>
      <c r="L867" s="612"/>
      <c r="M867" s="613"/>
      <c r="N867" s="497"/>
      <c r="O867" s="497"/>
      <c r="P867" s="495" t="str">
        <f t="shared" si="4"/>
        <v>LUNAS</v>
      </c>
      <c r="Q867" s="135">
        <f t="shared" si="5"/>
        <v>0</v>
      </c>
      <c r="S867" s="101"/>
    </row>
    <row r="868" ht="15.75" customHeight="1">
      <c r="A868" s="49"/>
      <c r="C868" s="131"/>
      <c r="D868" s="131"/>
      <c r="E868" s="131"/>
      <c r="F868" s="635"/>
      <c r="G868" s="635"/>
      <c r="H868" s="9"/>
      <c r="I868" s="8"/>
      <c r="J868" s="9"/>
      <c r="K868" s="611"/>
      <c r="L868" s="612"/>
      <c r="M868" s="613"/>
      <c r="N868" s="497"/>
      <c r="O868" s="497"/>
      <c r="P868" s="495" t="str">
        <f t="shared" si="4"/>
        <v>LUNAS</v>
      </c>
      <c r="Q868" s="135">
        <f t="shared" si="5"/>
        <v>0</v>
      </c>
      <c r="S868" s="101"/>
    </row>
    <row r="869" ht="15.75" customHeight="1">
      <c r="A869" s="49"/>
      <c r="C869" s="131"/>
      <c r="D869" s="131"/>
      <c r="E869" s="131"/>
      <c r="F869" s="635"/>
      <c r="G869" s="635"/>
      <c r="H869" s="9"/>
      <c r="I869" s="8"/>
      <c r="J869" s="9"/>
      <c r="K869" s="611"/>
      <c r="L869" s="612"/>
      <c r="M869" s="613"/>
      <c r="N869" s="497"/>
      <c r="O869" s="497"/>
      <c r="P869" s="495" t="str">
        <f t="shared" si="4"/>
        <v>LUNAS</v>
      </c>
      <c r="Q869" s="135">
        <f t="shared" si="5"/>
        <v>0</v>
      </c>
      <c r="S869" s="101"/>
    </row>
    <row r="870" ht="15.75" customHeight="1">
      <c r="A870" s="49"/>
      <c r="C870" s="131"/>
      <c r="D870" s="131"/>
      <c r="E870" s="131"/>
      <c r="F870" s="635"/>
      <c r="G870" s="635"/>
      <c r="H870" s="9"/>
      <c r="I870" s="8"/>
      <c r="J870" s="9"/>
      <c r="K870" s="611"/>
      <c r="L870" s="612"/>
      <c r="M870" s="613"/>
      <c r="N870" s="497"/>
      <c r="O870" s="497"/>
      <c r="P870" s="495" t="str">
        <f t="shared" si="4"/>
        <v>LUNAS</v>
      </c>
      <c r="Q870" s="135">
        <f t="shared" si="5"/>
        <v>0</v>
      </c>
      <c r="S870" s="101"/>
    </row>
    <row r="871" ht="15.75" customHeight="1">
      <c r="A871" s="49"/>
      <c r="C871" s="131"/>
      <c r="D871" s="131"/>
      <c r="E871" s="131"/>
      <c r="F871" s="635"/>
      <c r="G871" s="635"/>
      <c r="H871" s="9"/>
      <c r="I871" s="8"/>
      <c r="J871" s="9"/>
      <c r="K871" s="611"/>
      <c r="L871" s="612"/>
      <c r="M871" s="613"/>
      <c r="N871" s="497"/>
      <c r="O871" s="497"/>
      <c r="P871" s="495" t="str">
        <f t="shared" si="4"/>
        <v>LUNAS</v>
      </c>
      <c r="Q871" s="135">
        <f t="shared" si="5"/>
        <v>0</v>
      </c>
      <c r="S871" s="101"/>
    </row>
    <row r="872" ht="15.75" customHeight="1">
      <c r="A872" s="49"/>
      <c r="C872" s="131"/>
      <c r="D872" s="131"/>
      <c r="E872" s="131"/>
      <c r="F872" s="635"/>
      <c r="G872" s="635"/>
      <c r="H872" s="9"/>
      <c r="I872" s="8"/>
      <c r="J872" s="9"/>
      <c r="K872" s="611"/>
      <c r="L872" s="612"/>
      <c r="M872" s="613"/>
      <c r="N872" s="497"/>
      <c r="O872" s="497"/>
      <c r="P872" s="495" t="str">
        <f t="shared" si="4"/>
        <v>LUNAS</v>
      </c>
      <c r="Q872" s="135">
        <f t="shared" si="5"/>
        <v>0</v>
      </c>
      <c r="S872" s="101"/>
    </row>
    <row r="873" ht="15.75" customHeight="1">
      <c r="A873" s="49"/>
      <c r="C873" s="131"/>
      <c r="D873" s="131"/>
      <c r="E873" s="131"/>
      <c r="F873" s="635"/>
      <c r="G873" s="635"/>
      <c r="H873" s="9"/>
      <c r="I873" s="8"/>
      <c r="J873" s="9"/>
      <c r="K873" s="611"/>
      <c r="L873" s="612"/>
      <c r="M873" s="613"/>
      <c r="N873" s="497"/>
      <c r="O873" s="497"/>
      <c r="P873" s="495" t="str">
        <f t="shared" si="4"/>
        <v>LUNAS</v>
      </c>
      <c r="Q873" s="135">
        <f t="shared" si="5"/>
        <v>0</v>
      </c>
      <c r="S873" s="101"/>
    </row>
    <row r="874" ht="15.75" customHeight="1">
      <c r="A874" s="49"/>
      <c r="C874" s="131"/>
      <c r="D874" s="131"/>
      <c r="E874" s="131"/>
      <c r="F874" s="635"/>
      <c r="G874" s="635"/>
      <c r="H874" s="9"/>
      <c r="I874" s="8"/>
      <c r="J874" s="9"/>
      <c r="K874" s="611"/>
      <c r="L874" s="612"/>
      <c r="M874" s="613"/>
      <c r="N874" s="497"/>
      <c r="O874" s="497"/>
      <c r="P874" s="495" t="str">
        <f t="shared" si="4"/>
        <v>LUNAS</v>
      </c>
      <c r="Q874" s="135">
        <f t="shared" si="5"/>
        <v>0</v>
      </c>
      <c r="S874" s="101"/>
    </row>
    <row r="875" ht="15.75" customHeight="1">
      <c r="A875" s="49"/>
      <c r="C875" s="131"/>
      <c r="D875" s="131"/>
      <c r="E875" s="131"/>
      <c r="F875" s="635"/>
      <c r="G875" s="635"/>
      <c r="H875" s="9"/>
      <c r="I875" s="8"/>
      <c r="J875" s="9"/>
      <c r="K875" s="611"/>
      <c r="L875" s="612"/>
      <c r="M875" s="613"/>
      <c r="N875" s="497"/>
      <c r="O875" s="497"/>
      <c r="P875" s="495" t="str">
        <f t="shared" si="4"/>
        <v>LUNAS</v>
      </c>
      <c r="Q875" s="135">
        <f t="shared" si="5"/>
        <v>0</v>
      </c>
      <c r="S875" s="101"/>
    </row>
    <row r="876" ht="15.75" customHeight="1">
      <c r="A876" s="49"/>
      <c r="C876" s="131"/>
      <c r="D876" s="131"/>
      <c r="E876" s="131"/>
      <c r="F876" s="635"/>
      <c r="G876" s="635"/>
      <c r="H876" s="9"/>
      <c r="I876" s="8"/>
      <c r="J876" s="9"/>
      <c r="K876" s="611"/>
      <c r="L876" s="612"/>
      <c r="M876" s="613"/>
      <c r="N876" s="497"/>
      <c r="O876" s="497"/>
      <c r="P876" s="495" t="str">
        <f t="shared" si="4"/>
        <v>LUNAS</v>
      </c>
      <c r="Q876" s="135">
        <f t="shared" si="5"/>
        <v>0</v>
      </c>
      <c r="S876" s="101"/>
    </row>
    <row r="877" ht="15.75" customHeight="1">
      <c r="A877" s="49"/>
      <c r="C877" s="131"/>
      <c r="D877" s="131"/>
      <c r="E877" s="131"/>
      <c r="F877" s="635"/>
      <c r="G877" s="635"/>
      <c r="H877" s="9"/>
      <c r="I877" s="8"/>
      <c r="J877" s="9"/>
      <c r="K877" s="611"/>
      <c r="L877" s="612"/>
      <c r="M877" s="613"/>
      <c r="N877" s="497"/>
      <c r="O877" s="497"/>
      <c r="P877" s="495" t="str">
        <f t="shared" si="4"/>
        <v>LUNAS</v>
      </c>
      <c r="Q877" s="135">
        <f t="shared" si="5"/>
        <v>0</v>
      </c>
      <c r="S877" s="101"/>
    </row>
    <row r="878" ht="15.75" customHeight="1">
      <c r="A878" s="49"/>
      <c r="C878" s="131"/>
      <c r="D878" s="131"/>
      <c r="E878" s="131"/>
      <c r="F878" s="635"/>
      <c r="G878" s="635"/>
      <c r="H878" s="9"/>
      <c r="I878" s="8"/>
      <c r="J878" s="9"/>
      <c r="K878" s="611"/>
      <c r="L878" s="612"/>
      <c r="M878" s="613"/>
      <c r="N878" s="497"/>
      <c r="O878" s="497"/>
      <c r="P878" s="495" t="str">
        <f t="shared" si="4"/>
        <v>LUNAS</v>
      </c>
      <c r="Q878" s="135">
        <f t="shared" si="5"/>
        <v>0</v>
      </c>
      <c r="S878" s="101"/>
    </row>
    <row r="879" ht="15.75" customHeight="1">
      <c r="A879" s="49"/>
      <c r="C879" s="131"/>
      <c r="D879" s="131"/>
      <c r="E879" s="131"/>
      <c r="F879" s="635"/>
      <c r="G879" s="635"/>
      <c r="H879" s="9"/>
      <c r="I879" s="8"/>
      <c r="J879" s="9"/>
      <c r="K879" s="611"/>
      <c r="L879" s="612"/>
      <c r="M879" s="613"/>
      <c r="N879" s="497"/>
      <c r="O879" s="497"/>
      <c r="P879" s="495" t="str">
        <f t="shared" si="4"/>
        <v>LUNAS</v>
      </c>
      <c r="Q879" s="135">
        <f t="shared" si="5"/>
        <v>0</v>
      </c>
      <c r="S879" s="101"/>
    </row>
    <row r="880" ht="15.75" customHeight="1">
      <c r="A880" s="49"/>
      <c r="C880" s="131"/>
      <c r="D880" s="131"/>
      <c r="E880" s="131"/>
      <c r="F880" s="635"/>
      <c r="G880" s="635"/>
      <c r="H880" s="9"/>
      <c r="I880" s="8"/>
      <c r="J880" s="9"/>
      <c r="K880" s="611"/>
      <c r="L880" s="612"/>
      <c r="M880" s="613"/>
      <c r="N880" s="497"/>
      <c r="O880" s="497"/>
      <c r="P880" s="495" t="str">
        <f t="shared" si="4"/>
        <v>LUNAS</v>
      </c>
      <c r="Q880" s="135">
        <f t="shared" si="5"/>
        <v>0</v>
      </c>
      <c r="S880" s="101"/>
    </row>
    <row r="881" ht="15.75" customHeight="1">
      <c r="A881" s="49"/>
      <c r="C881" s="131"/>
      <c r="D881" s="131"/>
      <c r="E881" s="131"/>
      <c r="F881" s="635"/>
      <c r="G881" s="635"/>
      <c r="H881" s="9"/>
      <c r="I881" s="8"/>
      <c r="J881" s="9"/>
      <c r="K881" s="611"/>
      <c r="L881" s="612"/>
      <c r="M881" s="613"/>
      <c r="N881" s="497"/>
      <c r="O881" s="497"/>
      <c r="P881" s="495" t="str">
        <f t="shared" si="4"/>
        <v>LUNAS</v>
      </c>
      <c r="Q881" s="135">
        <f t="shared" si="5"/>
        <v>0</v>
      </c>
      <c r="S881" s="101"/>
    </row>
    <row r="882" ht="15.75" customHeight="1">
      <c r="A882" s="49"/>
      <c r="C882" s="131"/>
      <c r="D882" s="131"/>
      <c r="E882" s="131"/>
      <c r="F882" s="635"/>
      <c r="G882" s="635"/>
      <c r="H882" s="9"/>
      <c r="I882" s="8"/>
      <c r="J882" s="9"/>
      <c r="K882" s="611"/>
      <c r="L882" s="612"/>
      <c r="M882" s="613"/>
      <c r="N882" s="497"/>
      <c r="O882" s="497"/>
      <c r="P882" s="495" t="str">
        <f t="shared" si="4"/>
        <v>LUNAS</v>
      </c>
      <c r="Q882" s="135">
        <f t="shared" si="5"/>
        <v>0</v>
      </c>
      <c r="S882" s="101"/>
    </row>
    <row r="883" ht="15.75" customHeight="1">
      <c r="A883" s="49"/>
      <c r="C883" s="131"/>
      <c r="D883" s="131"/>
      <c r="E883" s="131"/>
      <c r="F883" s="635"/>
      <c r="G883" s="635"/>
      <c r="H883" s="9"/>
      <c r="I883" s="8"/>
      <c r="J883" s="9"/>
      <c r="K883" s="611"/>
      <c r="L883" s="612"/>
      <c r="M883" s="613"/>
      <c r="N883" s="497"/>
      <c r="O883" s="497"/>
      <c r="P883" s="495" t="str">
        <f t="shared" si="4"/>
        <v>LUNAS</v>
      </c>
      <c r="Q883" s="135">
        <f t="shared" si="5"/>
        <v>0</v>
      </c>
      <c r="S883" s="101"/>
    </row>
    <row r="884" ht="15.75" customHeight="1">
      <c r="A884" s="49"/>
      <c r="C884" s="131"/>
      <c r="D884" s="131"/>
      <c r="E884" s="131"/>
      <c r="F884" s="635"/>
      <c r="G884" s="635"/>
      <c r="H884" s="9"/>
      <c r="I884" s="8"/>
      <c r="J884" s="9"/>
      <c r="K884" s="611"/>
      <c r="L884" s="612"/>
      <c r="M884" s="613"/>
      <c r="N884" s="497"/>
      <c r="O884" s="497"/>
      <c r="P884" s="495" t="str">
        <f t="shared" si="4"/>
        <v>LUNAS</v>
      </c>
      <c r="Q884" s="135">
        <f t="shared" si="5"/>
        <v>0</v>
      </c>
      <c r="S884" s="101"/>
    </row>
    <row r="885" ht="15.75" customHeight="1">
      <c r="A885" s="49"/>
      <c r="C885" s="131"/>
      <c r="D885" s="131"/>
      <c r="E885" s="131"/>
      <c r="F885" s="635"/>
      <c r="G885" s="635"/>
      <c r="H885" s="9"/>
      <c r="I885" s="8"/>
      <c r="J885" s="9"/>
      <c r="K885" s="611"/>
      <c r="L885" s="612"/>
      <c r="M885" s="613"/>
      <c r="N885" s="497"/>
      <c r="O885" s="497"/>
      <c r="P885" s="495" t="str">
        <f t="shared" si="4"/>
        <v>LUNAS</v>
      </c>
      <c r="Q885" s="135">
        <f t="shared" si="5"/>
        <v>0</v>
      </c>
      <c r="S885" s="101"/>
    </row>
    <row r="886" ht="15.75" customHeight="1">
      <c r="A886" s="49"/>
      <c r="C886" s="131"/>
      <c r="D886" s="131"/>
      <c r="E886" s="131"/>
      <c r="F886" s="635"/>
      <c r="G886" s="635"/>
      <c r="H886" s="9"/>
      <c r="I886" s="8"/>
      <c r="J886" s="9"/>
      <c r="K886" s="611"/>
      <c r="L886" s="612"/>
      <c r="M886" s="613"/>
      <c r="N886" s="497"/>
      <c r="O886" s="497"/>
      <c r="P886" s="495" t="str">
        <f t="shared" si="4"/>
        <v>LUNAS</v>
      </c>
      <c r="Q886" s="135">
        <f t="shared" si="5"/>
        <v>0</v>
      </c>
      <c r="S886" s="101"/>
    </row>
    <row r="887" ht="15.75" customHeight="1">
      <c r="A887" s="49"/>
      <c r="C887" s="131"/>
      <c r="D887" s="131"/>
      <c r="E887" s="131"/>
      <c r="F887" s="635"/>
      <c r="G887" s="635"/>
      <c r="H887" s="9"/>
      <c r="I887" s="8"/>
      <c r="J887" s="9"/>
      <c r="K887" s="611"/>
      <c r="L887" s="612"/>
      <c r="M887" s="613"/>
      <c r="N887" s="497"/>
      <c r="O887" s="497"/>
      <c r="P887" s="495" t="str">
        <f t="shared" si="4"/>
        <v>LUNAS</v>
      </c>
      <c r="Q887" s="135">
        <f t="shared" si="5"/>
        <v>0</v>
      </c>
      <c r="S887" s="101"/>
    </row>
    <row r="888" ht="15.75" customHeight="1">
      <c r="A888" s="49"/>
      <c r="C888" s="131"/>
      <c r="D888" s="131"/>
      <c r="E888" s="131"/>
      <c r="F888" s="635"/>
      <c r="G888" s="635"/>
      <c r="H888" s="9"/>
      <c r="I888" s="8"/>
      <c r="J888" s="9"/>
      <c r="K888" s="611"/>
      <c r="L888" s="612"/>
      <c r="M888" s="613"/>
      <c r="N888" s="497"/>
      <c r="O888" s="497"/>
      <c r="P888" s="495" t="str">
        <f t="shared" si="4"/>
        <v>LUNAS</v>
      </c>
      <c r="Q888" s="135">
        <f t="shared" si="5"/>
        <v>0</v>
      </c>
      <c r="S888" s="101"/>
    </row>
    <row r="889" ht="15.75" customHeight="1">
      <c r="A889" s="49"/>
      <c r="C889" s="131"/>
      <c r="D889" s="131"/>
      <c r="E889" s="131"/>
      <c r="F889" s="635"/>
      <c r="G889" s="635"/>
      <c r="H889" s="9"/>
      <c r="I889" s="8"/>
      <c r="J889" s="9"/>
      <c r="K889" s="611"/>
      <c r="L889" s="612"/>
      <c r="M889" s="613"/>
      <c r="N889" s="497"/>
      <c r="O889" s="497"/>
      <c r="P889" s="495" t="str">
        <f t="shared" si="4"/>
        <v>LUNAS</v>
      </c>
      <c r="Q889" s="135">
        <f t="shared" si="5"/>
        <v>0</v>
      </c>
      <c r="S889" s="101"/>
    </row>
    <row r="890" ht="15.75" customHeight="1">
      <c r="A890" s="49"/>
      <c r="C890" s="131"/>
      <c r="D890" s="131"/>
      <c r="E890" s="131"/>
      <c r="F890" s="635"/>
      <c r="G890" s="635"/>
      <c r="H890" s="9"/>
      <c r="I890" s="8"/>
      <c r="J890" s="9"/>
      <c r="K890" s="611"/>
      <c r="L890" s="612"/>
      <c r="M890" s="613"/>
      <c r="N890" s="497"/>
      <c r="O890" s="497"/>
      <c r="P890" s="495" t="str">
        <f t="shared" si="4"/>
        <v>LUNAS</v>
      </c>
      <c r="Q890" s="135">
        <f t="shared" si="5"/>
        <v>0</v>
      </c>
      <c r="S890" s="101"/>
    </row>
    <row r="891" ht="15.75" customHeight="1">
      <c r="A891" s="49"/>
      <c r="C891" s="131"/>
      <c r="D891" s="131"/>
      <c r="E891" s="131"/>
      <c r="F891" s="635"/>
      <c r="G891" s="635"/>
      <c r="H891" s="9"/>
      <c r="I891" s="8"/>
      <c r="J891" s="9"/>
      <c r="K891" s="611"/>
      <c r="L891" s="612"/>
      <c r="M891" s="613"/>
      <c r="N891" s="497"/>
      <c r="O891" s="497"/>
      <c r="P891" s="495" t="str">
        <f t="shared" si="4"/>
        <v>LUNAS</v>
      </c>
      <c r="Q891" s="135">
        <f t="shared" si="5"/>
        <v>0</v>
      </c>
      <c r="S891" s="101"/>
    </row>
    <row r="892" ht="15.75" customHeight="1">
      <c r="A892" s="49"/>
      <c r="C892" s="131"/>
      <c r="D892" s="131"/>
      <c r="E892" s="131"/>
      <c r="F892" s="635"/>
      <c r="G892" s="635"/>
      <c r="H892" s="9"/>
      <c r="I892" s="8"/>
      <c r="J892" s="9"/>
      <c r="K892" s="611"/>
      <c r="L892" s="612"/>
      <c r="M892" s="613"/>
      <c r="N892" s="497"/>
      <c r="O892" s="497"/>
      <c r="P892" s="495" t="str">
        <f t="shared" si="4"/>
        <v>LUNAS</v>
      </c>
      <c r="Q892" s="135">
        <f t="shared" si="5"/>
        <v>0</v>
      </c>
      <c r="S892" s="101"/>
    </row>
    <row r="893" ht="15.75" customHeight="1">
      <c r="A893" s="49"/>
      <c r="C893" s="131"/>
      <c r="D893" s="131"/>
      <c r="E893" s="131"/>
      <c r="F893" s="635"/>
      <c r="G893" s="635"/>
      <c r="H893" s="9"/>
      <c r="I893" s="8"/>
      <c r="J893" s="9"/>
      <c r="K893" s="611"/>
      <c r="L893" s="612"/>
      <c r="M893" s="613"/>
      <c r="N893" s="497"/>
      <c r="O893" s="497"/>
      <c r="P893" s="495" t="str">
        <f t="shared" si="4"/>
        <v>LUNAS</v>
      </c>
      <c r="Q893" s="135">
        <f t="shared" si="5"/>
        <v>0</v>
      </c>
      <c r="S893" s="101"/>
    </row>
    <row r="894" ht="15.75" customHeight="1">
      <c r="A894" s="49"/>
      <c r="C894" s="131"/>
      <c r="D894" s="131"/>
      <c r="E894" s="131"/>
      <c r="F894" s="635"/>
      <c r="G894" s="635"/>
      <c r="H894" s="9"/>
      <c r="I894" s="8"/>
      <c r="J894" s="9"/>
      <c r="K894" s="611"/>
      <c r="L894" s="612"/>
      <c r="M894" s="613"/>
      <c r="N894" s="497"/>
      <c r="O894" s="497"/>
      <c r="P894" s="495" t="str">
        <f t="shared" si="4"/>
        <v>LUNAS</v>
      </c>
      <c r="Q894" s="135">
        <f t="shared" si="5"/>
        <v>0</v>
      </c>
      <c r="S894" s="101"/>
    </row>
    <row r="895" ht="15.75" customHeight="1">
      <c r="A895" s="49"/>
      <c r="C895" s="131"/>
      <c r="D895" s="131"/>
      <c r="E895" s="131"/>
      <c r="F895" s="635"/>
      <c r="G895" s="635"/>
      <c r="H895" s="9"/>
      <c r="I895" s="8"/>
      <c r="J895" s="9"/>
      <c r="K895" s="611"/>
      <c r="L895" s="612"/>
      <c r="M895" s="613"/>
      <c r="N895" s="497"/>
      <c r="O895" s="497"/>
      <c r="P895" s="495" t="str">
        <f t="shared" si="4"/>
        <v>LUNAS</v>
      </c>
      <c r="Q895" s="135">
        <f t="shared" si="5"/>
        <v>0</v>
      </c>
      <c r="S895" s="101"/>
    </row>
    <row r="896" ht="15.75" customHeight="1">
      <c r="A896" s="49"/>
      <c r="C896" s="131"/>
      <c r="D896" s="131"/>
      <c r="E896" s="131"/>
      <c r="F896" s="635"/>
      <c r="G896" s="635"/>
      <c r="H896" s="9"/>
      <c r="I896" s="8"/>
      <c r="J896" s="9"/>
      <c r="K896" s="611"/>
      <c r="L896" s="612"/>
      <c r="M896" s="613"/>
      <c r="N896" s="497"/>
      <c r="O896" s="497"/>
      <c r="P896" s="495" t="str">
        <f t="shared" si="4"/>
        <v>LUNAS</v>
      </c>
      <c r="Q896" s="135">
        <f t="shared" si="5"/>
        <v>0</v>
      </c>
      <c r="S896" s="101"/>
    </row>
    <row r="897" ht="15.75" customHeight="1">
      <c r="A897" s="49"/>
      <c r="C897" s="131"/>
      <c r="D897" s="131"/>
      <c r="E897" s="131"/>
      <c r="F897" s="635"/>
      <c r="G897" s="635"/>
      <c r="H897" s="9"/>
      <c r="I897" s="8"/>
      <c r="J897" s="9"/>
      <c r="K897" s="611"/>
      <c r="L897" s="612"/>
      <c r="M897" s="613"/>
      <c r="N897" s="497"/>
      <c r="O897" s="497"/>
      <c r="P897" s="495" t="str">
        <f t="shared" si="4"/>
        <v>LUNAS</v>
      </c>
      <c r="Q897" s="135">
        <f t="shared" si="5"/>
        <v>0</v>
      </c>
      <c r="S897" s="101"/>
    </row>
    <row r="898" ht="15.75" customHeight="1">
      <c r="A898" s="49"/>
      <c r="C898" s="131"/>
      <c r="D898" s="131"/>
      <c r="E898" s="131"/>
      <c r="F898" s="635"/>
      <c r="G898" s="635"/>
      <c r="H898" s="9"/>
      <c r="I898" s="8"/>
      <c r="J898" s="9"/>
      <c r="K898" s="611"/>
      <c r="L898" s="612"/>
      <c r="M898" s="613"/>
      <c r="N898" s="497"/>
      <c r="O898" s="497"/>
      <c r="P898" s="495" t="str">
        <f t="shared" si="4"/>
        <v>LUNAS</v>
      </c>
      <c r="Q898" s="135">
        <f t="shared" si="5"/>
        <v>0</v>
      </c>
      <c r="S898" s="101"/>
    </row>
    <row r="899" ht="15.75" customHeight="1">
      <c r="A899" s="49"/>
      <c r="C899" s="131"/>
      <c r="D899" s="131"/>
      <c r="E899" s="131"/>
      <c r="F899" s="635"/>
      <c r="G899" s="635"/>
      <c r="H899" s="9"/>
      <c r="I899" s="8"/>
      <c r="J899" s="9"/>
      <c r="K899" s="611"/>
      <c r="L899" s="612"/>
      <c r="M899" s="613"/>
      <c r="N899" s="497"/>
      <c r="O899" s="497"/>
      <c r="P899" s="495" t="str">
        <f t="shared" si="4"/>
        <v>LUNAS</v>
      </c>
      <c r="Q899" s="135">
        <f t="shared" si="5"/>
        <v>0</v>
      </c>
      <c r="S899" s="101"/>
    </row>
    <row r="900" ht="15.75" customHeight="1">
      <c r="A900" s="49"/>
      <c r="C900" s="131"/>
      <c r="D900" s="131"/>
      <c r="E900" s="131"/>
      <c r="F900" s="635"/>
      <c r="G900" s="635"/>
      <c r="H900" s="9"/>
      <c r="I900" s="8"/>
      <c r="J900" s="9"/>
      <c r="K900" s="611"/>
      <c r="L900" s="612"/>
      <c r="M900" s="613"/>
      <c r="N900" s="497"/>
      <c r="O900" s="497"/>
      <c r="P900" s="495" t="str">
        <f t="shared" si="4"/>
        <v>LUNAS</v>
      </c>
      <c r="Q900" s="135">
        <f t="shared" si="5"/>
        <v>0</v>
      </c>
      <c r="S900" s="101"/>
    </row>
    <row r="901" ht="15.75" customHeight="1">
      <c r="A901" s="49"/>
      <c r="C901" s="131"/>
      <c r="D901" s="131"/>
      <c r="E901" s="131"/>
      <c r="F901" s="635"/>
      <c r="G901" s="635"/>
      <c r="H901" s="9"/>
      <c r="I901" s="8"/>
      <c r="J901" s="9"/>
      <c r="K901" s="611"/>
      <c r="L901" s="612"/>
      <c r="M901" s="613"/>
      <c r="N901" s="497"/>
      <c r="O901" s="497"/>
      <c r="P901" s="495" t="str">
        <f t="shared" si="4"/>
        <v>LUNAS</v>
      </c>
      <c r="Q901" s="135">
        <f t="shared" si="5"/>
        <v>0</v>
      </c>
      <c r="S901" s="101"/>
    </row>
    <row r="902" ht="15.75" customHeight="1">
      <c r="A902" s="49"/>
      <c r="C902" s="131"/>
      <c r="D902" s="131"/>
      <c r="E902" s="131"/>
      <c r="F902" s="635"/>
      <c r="G902" s="635"/>
      <c r="H902" s="9"/>
      <c r="I902" s="8"/>
      <c r="J902" s="9"/>
      <c r="K902" s="611"/>
      <c r="L902" s="612"/>
      <c r="M902" s="613"/>
      <c r="N902" s="497"/>
      <c r="O902" s="497"/>
      <c r="P902" s="495" t="str">
        <f t="shared" si="4"/>
        <v>LUNAS</v>
      </c>
      <c r="Q902" s="135">
        <f t="shared" si="5"/>
        <v>0</v>
      </c>
      <c r="S902" s="101"/>
    </row>
    <row r="903" ht="15.75" customHeight="1">
      <c r="A903" s="49"/>
      <c r="C903" s="131"/>
      <c r="D903" s="131"/>
      <c r="E903" s="131"/>
      <c r="F903" s="635"/>
      <c r="G903" s="635"/>
      <c r="H903" s="9"/>
      <c r="I903" s="8"/>
      <c r="J903" s="9"/>
      <c r="K903" s="611"/>
      <c r="L903" s="612"/>
      <c r="M903" s="613"/>
      <c r="N903" s="497"/>
      <c r="O903" s="497"/>
      <c r="P903" s="495" t="str">
        <f t="shared" si="4"/>
        <v>LUNAS</v>
      </c>
      <c r="Q903" s="135">
        <f t="shared" si="5"/>
        <v>0</v>
      </c>
      <c r="S903" s="101"/>
    </row>
    <row r="904" ht="15.75" customHeight="1">
      <c r="A904" s="49"/>
      <c r="C904" s="131"/>
      <c r="D904" s="131"/>
      <c r="E904" s="131"/>
      <c r="F904" s="635"/>
      <c r="G904" s="635"/>
      <c r="H904" s="9"/>
      <c r="I904" s="8"/>
      <c r="J904" s="9"/>
      <c r="K904" s="611"/>
      <c r="L904" s="612"/>
      <c r="M904" s="613"/>
      <c r="N904" s="497"/>
      <c r="O904" s="497"/>
      <c r="P904" s="495" t="str">
        <f t="shared" si="4"/>
        <v>LUNAS</v>
      </c>
      <c r="Q904" s="135">
        <f t="shared" si="5"/>
        <v>0</v>
      </c>
      <c r="S904" s="101"/>
    </row>
    <row r="905" ht="15.75" customHeight="1">
      <c r="A905" s="49"/>
      <c r="C905" s="131"/>
      <c r="D905" s="131"/>
      <c r="E905" s="131"/>
      <c r="F905" s="635"/>
      <c r="G905" s="635"/>
      <c r="H905" s="9"/>
      <c r="I905" s="8"/>
      <c r="J905" s="9"/>
      <c r="K905" s="611"/>
      <c r="L905" s="612"/>
      <c r="M905" s="613"/>
      <c r="N905" s="497"/>
      <c r="O905" s="497"/>
      <c r="P905" s="495" t="str">
        <f t="shared" si="4"/>
        <v>LUNAS</v>
      </c>
      <c r="Q905" s="135">
        <f t="shared" si="5"/>
        <v>0</v>
      </c>
      <c r="S905" s="101"/>
    </row>
    <row r="906" ht="15.75" customHeight="1">
      <c r="A906" s="49"/>
      <c r="C906" s="131"/>
      <c r="D906" s="131"/>
      <c r="E906" s="131"/>
      <c r="F906" s="635"/>
      <c r="G906" s="635"/>
      <c r="H906" s="9"/>
      <c r="I906" s="8"/>
      <c r="J906" s="9"/>
      <c r="K906" s="611"/>
      <c r="L906" s="612"/>
      <c r="M906" s="613"/>
      <c r="N906" s="497"/>
      <c r="O906" s="497"/>
      <c r="P906" s="495" t="str">
        <f t="shared" si="4"/>
        <v>LUNAS</v>
      </c>
      <c r="Q906" s="135">
        <f t="shared" si="5"/>
        <v>0</v>
      </c>
      <c r="S906" s="101"/>
    </row>
    <row r="907" ht="15.75" customHeight="1">
      <c r="A907" s="49"/>
      <c r="C907" s="131"/>
      <c r="D907" s="131"/>
      <c r="E907" s="131"/>
      <c r="F907" s="635"/>
      <c r="G907" s="635"/>
      <c r="H907" s="9"/>
      <c r="I907" s="8"/>
      <c r="J907" s="9"/>
      <c r="K907" s="611"/>
      <c r="L907" s="612"/>
      <c r="M907" s="613"/>
      <c r="N907" s="497"/>
      <c r="O907" s="497"/>
      <c r="P907" s="495" t="str">
        <f t="shared" si="4"/>
        <v>LUNAS</v>
      </c>
      <c r="Q907" s="135">
        <f t="shared" si="5"/>
        <v>0</v>
      </c>
      <c r="S907" s="101"/>
    </row>
    <row r="908" ht="15.75" customHeight="1">
      <c r="A908" s="49"/>
      <c r="C908" s="131"/>
      <c r="D908" s="131"/>
      <c r="E908" s="131"/>
      <c r="F908" s="635"/>
      <c r="G908" s="635"/>
      <c r="H908" s="9"/>
      <c r="I908" s="8"/>
      <c r="J908" s="9"/>
      <c r="K908" s="611"/>
      <c r="L908" s="612"/>
      <c r="M908" s="613"/>
      <c r="N908" s="497"/>
      <c r="O908" s="497"/>
      <c r="P908" s="495" t="str">
        <f t="shared" si="4"/>
        <v>LUNAS</v>
      </c>
      <c r="Q908" s="135">
        <f t="shared" si="5"/>
        <v>0</v>
      </c>
      <c r="S908" s="101"/>
    </row>
    <row r="909" ht="15.75" customHeight="1">
      <c r="A909" s="49"/>
      <c r="C909" s="131"/>
      <c r="D909" s="131"/>
      <c r="E909" s="131"/>
      <c r="F909" s="635"/>
      <c r="G909" s="635"/>
      <c r="H909" s="9"/>
      <c r="I909" s="8"/>
      <c r="J909" s="9"/>
      <c r="K909" s="611"/>
      <c r="L909" s="612"/>
      <c r="M909" s="613"/>
      <c r="N909" s="497"/>
      <c r="O909" s="497"/>
      <c r="P909" s="495" t="str">
        <f t="shared" si="4"/>
        <v>LUNAS</v>
      </c>
      <c r="Q909" s="135">
        <f t="shared" si="5"/>
        <v>0</v>
      </c>
      <c r="S909" s="101"/>
    </row>
    <row r="910" ht="15.75" customHeight="1">
      <c r="A910" s="49"/>
      <c r="C910" s="131"/>
      <c r="D910" s="131"/>
      <c r="E910" s="131"/>
      <c r="F910" s="635"/>
      <c r="G910" s="635"/>
      <c r="H910" s="9"/>
      <c r="I910" s="8"/>
      <c r="J910" s="9"/>
      <c r="K910" s="611"/>
      <c r="L910" s="612"/>
      <c r="M910" s="613"/>
      <c r="N910" s="497"/>
      <c r="O910" s="497"/>
      <c r="P910" s="495" t="str">
        <f t="shared" si="4"/>
        <v>LUNAS</v>
      </c>
      <c r="Q910" s="135">
        <f t="shared" si="5"/>
        <v>0</v>
      </c>
      <c r="S910" s="101"/>
    </row>
    <row r="911" ht="15.75" customHeight="1">
      <c r="A911" s="49"/>
      <c r="C911" s="131"/>
      <c r="D911" s="131"/>
      <c r="E911" s="131"/>
      <c r="F911" s="635"/>
      <c r="G911" s="635"/>
      <c r="H911" s="9"/>
      <c r="I911" s="8"/>
      <c r="J911" s="9"/>
      <c r="K911" s="611"/>
      <c r="L911" s="612"/>
      <c r="M911" s="613"/>
      <c r="N911" s="497"/>
      <c r="O911" s="497"/>
      <c r="P911" s="495" t="str">
        <f t="shared" si="4"/>
        <v>LUNAS</v>
      </c>
      <c r="Q911" s="135">
        <f t="shared" si="5"/>
        <v>0</v>
      </c>
      <c r="S911" s="101"/>
    </row>
    <row r="912" ht="15.75" customHeight="1">
      <c r="A912" s="49"/>
      <c r="C912" s="131"/>
      <c r="D912" s="131"/>
      <c r="E912" s="131"/>
      <c r="F912" s="635"/>
      <c r="G912" s="635"/>
      <c r="H912" s="9"/>
      <c r="I912" s="8"/>
      <c r="J912" s="9"/>
      <c r="K912" s="611"/>
      <c r="L912" s="612"/>
      <c r="M912" s="613"/>
      <c r="N912" s="497"/>
      <c r="O912" s="497"/>
      <c r="P912" s="495" t="str">
        <f t="shared" si="4"/>
        <v>LUNAS</v>
      </c>
      <c r="Q912" s="135">
        <f t="shared" si="5"/>
        <v>0</v>
      </c>
      <c r="S912" s="101"/>
    </row>
    <row r="913" ht="15.75" customHeight="1">
      <c r="A913" s="49"/>
      <c r="C913" s="131"/>
      <c r="D913" s="131"/>
      <c r="E913" s="131"/>
      <c r="F913" s="635"/>
      <c r="G913" s="635"/>
      <c r="H913" s="9"/>
      <c r="I913" s="8"/>
      <c r="J913" s="9"/>
      <c r="K913" s="611"/>
      <c r="L913" s="612"/>
      <c r="M913" s="613"/>
      <c r="N913" s="497"/>
      <c r="O913" s="497"/>
      <c r="P913" s="495" t="str">
        <f t="shared" si="4"/>
        <v>LUNAS</v>
      </c>
      <c r="Q913" s="135">
        <f t="shared" si="5"/>
        <v>0</v>
      </c>
      <c r="S913" s="101"/>
    </row>
    <row r="914" ht="15.75" customHeight="1">
      <c r="A914" s="49"/>
      <c r="C914" s="131"/>
      <c r="D914" s="131"/>
      <c r="E914" s="131"/>
      <c r="F914" s="635"/>
      <c r="G914" s="635"/>
      <c r="H914" s="9"/>
      <c r="I914" s="8"/>
      <c r="J914" s="9"/>
      <c r="K914" s="611"/>
      <c r="L914" s="612"/>
      <c r="M914" s="613"/>
      <c r="N914" s="497"/>
      <c r="O914" s="497"/>
      <c r="P914" s="495" t="str">
        <f t="shared" si="4"/>
        <v>LUNAS</v>
      </c>
      <c r="Q914" s="135">
        <f t="shared" si="5"/>
        <v>0</v>
      </c>
      <c r="S914" s="101"/>
    </row>
    <row r="915" ht="15.75" customHeight="1">
      <c r="A915" s="49"/>
      <c r="C915" s="131"/>
      <c r="D915" s="131"/>
      <c r="E915" s="131"/>
      <c r="F915" s="635"/>
      <c r="G915" s="635"/>
      <c r="H915" s="9"/>
      <c r="I915" s="8"/>
      <c r="J915" s="9"/>
      <c r="K915" s="611"/>
      <c r="L915" s="612"/>
      <c r="M915" s="613"/>
      <c r="N915" s="497"/>
      <c r="O915" s="497"/>
      <c r="P915" s="495" t="str">
        <f t="shared" si="4"/>
        <v>LUNAS</v>
      </c>
      <c r="Q915" s="135">
        <f t="shared" si="5"/>
        <v>0</v>
      </c>
      <c r="S915" s="101"/>
    </row>
    <row r="916" ht="15.75" customHeight="1">
      <c r="A916" s="49"/>
      <c r="C916" s="131"/>
      <c r="D916" s="131"/>
      <c r="E916" s="131"/>
      <c r="F916" s="635"/>
      <c r="G916" s="635"/>
      <c r="H916" s="9"/>
      <c r="I916" s="8"/>
      <c r="J916" s="9"/>
      <c r="K916" s="611"/>
      <c r="L916" s="612"/>
      <c r="M916" s="613"/>
      <c r="N916" s="497"/>
      <c r="O916" s="497"/>
      <c r="P916" s="495" t="str">
        <f t="shared" si="4"/>
        <v>LUNAS</v>
      </c>
      <c r="Q916" s="135">
        <f t="shared" si="5"/>
        <v>0</v>
      </c>
      <c r="S916" s="101"/>
    </row>
    <row r="917" ht="15.75" customHeight="1">
      <c r="A917" s="49"/>
      <c r="C917" s="131"/>
      <c r="D917" s="131"/>
      <c r="E917" s="131"/>
      <c r="F917" s="635"/>
      <c r="G917" s="635"/>
      <c r="H917" s="9"/>
      <c r="I917" s="8"/>
      <c r="J917" s="9"/>
      <c r="K917" s="611"/>
      <c r="L917" s="612"/>
      <c r="M917" s="613"/>
      <c r="N917" s="497"/>
      <c r="O917" s="497"/>
      <c r="P917" s="495" t="str">
        <f t="shared" si="4"/>
        <v>LUNAS</v>
      </c>
      <c r="Q917" s="135">
        <f t="shared" si="5"/>
        <v>0</v>
      </c>
      <c r="S917" s="101"/>
    </row>
    <row r="918" ht="15.75" customHeight="1">
      <c r="A918" s="49"/>
      <c r="C918" s="131"/>
      <c r="D918" s="131"/>
      <c r="E918" s="131"/>
      <c r="F918" s="635"/>
      <c r="G918" s="635"/>
      <c r="H918" s="9"/>
      <c r="I918" s="8"/>
      <c r="J918" s="9"/>
      <c r="K918" s="611"/>
      <c r="L918" s="612"/>
      <c r="M918" s="613"/>
      <c r="N918" s="497"/>
      <c r="O918" s="497"/>
      <c r="P918" s="495" t="str">
        <f t="shared" si="4"/>
        <v>LUNAS</v>
      </c>
      <c r="Q918" s="135">
        <f t="shared" si="5"/>
        <v>0</v>
      </c>
      <c r="S918" s="101"/>
    </row>
    <row r="919" ht="15.75" customHeight="1">
      <c r="A919" s="49"/>
      <c r="C919" s="131"/>
      <c r="D919" s="131"/>
      <c r="E919" s="131"/>
      <c r="F919" s="635"/>
      <c r="G919" s="635"/>
      <c r="H919" s="9"/>
      <c r="I919" s="8"/>
      <c r="J919" s="9"/>
      <c r="K919" s="611"/>
      <c r="L919" s="612"/>
      <c r="M919" s="613"/>
      <c r="N919" s="497"/>
      <c r="O919" s="497"/>
      <c r="P919" s="495" t="str">
        <f t="shared" si="4"/>
        <v>LUNAS</v>
      </c>
      <c r="Q919" s="135">
        <f t="shared" si="5"/>
        <v>0</v>
      </c>
      <c r="S919" s="101"/>
    </row>
    <row r="920" ht="15.75" customHeight="1">
      <c r="A920" s="49"/>
      <c r="C920" s="131"/>
      <c r="D920" s="131"/>
      <c r="E920" s="131"/>
      <c r="F920" s="635"/>
      <c r="G920" s="635"/>
      <c r="H920" s="9"/>
      <c r="I920" s="8"/>
      <c r="J920" s="9"/>
      <c r="K920" s="611"/>
      <c r="L920" s="612"/>
      <c r="M920" s="613"/>
      <c r="N920" s="497"/>
      <c r="O920" s="497"/>
      <c r="P920" s="495" t="str">
        <f t="shared" si="4"/>
        <v>LUNAS</v>
      </c>
      <c r="Q920" s="135">
        <f t="shared" si="5"/>
        <v>0</v>
      </c>
      <c r="S920" s="101"/>
    </row>
    <row r="921" ht="15.75" customHeight="1">
      <c r="A921" s="49"/>
      <c r="C921" s="131"/>
      <c r="D921" s="131"/>
      <c r="E921" s="131"/>
      <c r="F921" s="635"/>
      <c r="G921" s="635"/>
      <c r="H921" s="9"/>
      <c r="I921" s="8"/>
      <c r="J921" s="9"/>
      <c r="K921" s="611"/>
      <c r="L921" s="612"/>
      <c r="M921" s="613"/>
      <c r="N921" s="497"/>
      <c r="O921" s="497"/>
      <c r="P921" s="495" t="str">
        <f t="shared" si="4"/>
        <v>LUNAS</v>
      </c>
      <c r="Q921" s="135">
        <f t="shared" si="5"/>
        <v>0</v>
      </c>
      <c r="S921" s="101"/>
    </row>
    <row r="922" ht="15.75" customHeight="1">
      <c r="A922" s="49"/>
      <c r="C922" s="131"/>
      <c r="D922" s="131"/>
      <c r="E922" s="131"/>
      <c r="F922" s="635"/>
      <c r="G922" s="635"/>
      <c r="H922" s="9"/>
      <c r="I922" s="8"/>
      <c r="J922" s="9"/>
      <c r="K922" s="611"/>
      <c r="L922" s="612"/>
      <c r="M922" s="613"/>
      <c r="N922" s="497"/>
      <c r="O922" s="497"/>
      <c r="P922" s="495" t="str">
        <f t="shared" si="4"/>
        <v>LUNAS</v>
      </c>
      <c r="Q922" s="135">
        <f t="shared" si="5"/>
        <v>0</v>
      </c>
      <c r="S922" s="101"/>
    </row>
    <row r="923" ht="15.75" customHeight="1">
      <c r="A923" s="49"/>
      <c r="C923" s="131"/>
      <c r="D923" s="131"/>
      <c r="E923" s="131"/>
      <c r="F923" s="635"/>
      <c r="G923" s="635"/>
      <c r="H923" s="9"/>
      <c r="I923" s="8"/>
      <c r="J923" s="9"/>
      <c r="K923" s="611"/>
      <c r="L923" s="612"/>
      <c r="M923" s="613"/>
      <c r="N923" s="497"/>
      <c r="O923" s="497"/>
      <c r="P923" s="495" t="str">
        <f t="shared" si="4"/>
        <v>LUNAS</v>
      </c>
      <c r="Q923" s="135">
        <f t="shared" si="5"/>
        <v>0</v>
      </c>
      <c r="S923" s="101"/>
    </row>
    <row r="924" ht="15.75" customHeight="1">
      <c r="A924" s="49"/>
      <c r="C924" s="131"/>
      <c r="D924" s="131"/>
      <c r="E924" s="131"/>
      <c r="F924" s="635"/>
      <c r="G924" s="635"/>
      <c r="H924" s="9"/>
      <c r="I924" s="8"/>
      <c r="J924" s="9"/>
      <c r="K924" s="611"/>
      <c r="L924" s="612"/>
      <c r="M924" s="613"/>
      <c r="N924" s="497"/>
      <c r="O924" s="497"/>
      <c r="P924" s="495" t="str">
        <f t="shared" si="4"/>
        <v>LUNAS</v>
      </c>
      <c r="Q924" s="135">
        <f t="shared" si="5"/>
        <v>0</v>
      </c>
      <c r="S924" s="101"/>
    </row>
    <row r="925" ht="15.75" customHeight="1">
      <c r="A925" s="49"/>
      <c r="C925" s="131"/>
      <c r="D925" s="131"/>
      <c r="E925" s="131"/>
      <c r="F925" s="635"/>
      <c r="G925" s="635"/>
      <c r="H925" s="9"/>
      <c r="I925" s="8"/>
      <c r="J925" s="9"/>
      <c r="K925" s="611"/>
      <c r="L925" s="612"/>
      <c r="M925" s="613"/>
      <c r="N925" s="497"/>
      <c r="O925" s="497"/>
      <c r="P925" s="495" t="str">
        <f t="shared" si="4"/>
        <v>LUNAS</v>
      </c>
      <c r="Q925" s="135">
        <f t="shared" si="5"/>
        <v>0</v>
      </c>
      <c r="S925" s="101"/>
    </row>
    <row r="926" ht="15.75" customHeight="1">
      <c r="A926" s="49"/>
      <c r="C926" s="131"/>
      <c r="D926" s="131"/>
      <c r="E926" s="131"/>
      <c r="F926" s="635"/>
      <c r="G926" s="635"/>
      <c r="H926" s="9"/>
      <c r="I926" s="8"/>
      <c r="J926" s="9"/>
      <c r="K926" s="611"/>
      <c r="L926" s="612"/>
      <c r="M926" s="613"/>
      <c r="N926" s="497"/>
      <c r="O926" s="497"/>
      <c r="P926" s="495" t="str">
        <f t="shared" si="4"/>
        <v>LUNAS</v>
      </c>
      <c r="Q926" s="135">
        <f t="shared" si="5"/>
        <v>0</v>
      </c>
      <c r="S926" s="101"/>
    </row>
    <row r="927" ht="15.75" customHeight="1">
      <c r="A927" s="49"/>
      <c r="C927" s="131"/>
      <c r="D927" s="131"/>
      <c r="E927" s="131"/>
      <c r="F927" s="635"/>
      <c r="G927" s="635"/>
      <c r="H927" s="9"/>
      <c r="I927" s="8"/>
      <c r="J927" s="9"/>
      <c r="K927" s="611"/>
      <c r="L927" s="612"/>
      <c r="M927" s="613"/>
      <c r="N927" s="497"/>
      <c r="O927" s="497"/>
      <c r="P927" s="495" t="str">
        <f t="shared" si="4"/>
        <v>LUNAS</v>
      </c>
      <c r="Q927" s="135">
        <f t="shared" si="5"/>
        <v>0</v>
      </c>
      <c r="S927" s="101"/>
    </row>
    <row r="928" ht="15.75" customHeight="1">
      <c r="A928" s="49"/>
      <c r="C928" s="131"/>
      <c r="D928" s="131"/>
      <c r="E928" s="131"/>
      <c r="F928" s="635"/>
      <c r="G928" s="635"/>
      <c r="H928" s="9"/>
      <c r="I928" s="8"/>
      <c r="J928" s="9"/>
      <c r="K928" s="611"/>
      <c r="L928" s="612"/>
      <c r="M928" s="613"/>
      <c r="N928" s="497"/>
      <c r="O928" s="497"/>
      <c r="P928" s="495" t="str">
        <f t="shared" si="4"/>
        <v>LUNAS</v>
      </c>
      <c r="Q928" s="135">
        <f t="shared" si="5"/>
        <v>0</v>
      </c>
      <c r="S928" s="101"/>
    </row>
    <row r="929" ht="15.75" customHeight="1">
      <c r="A929" s="49"/>
      <c r="C929" s="131"/>
      <c r="D929" s="131"/>
      <c r="E929" s="131"/>
      <c r="F929" s="635"/>
      <c r="G929" s="635"/>
      <c r="H929" s="9"/>
      <c r="I929" s="8"/>
      <c r="J929" s="9"/>
      <c r="K929" s="611"/>
      <c r="L929" s="612"/>
      <c r="M929" s="613"/>
      <c r="N929" s="497"/>
      <c r="O929" s="497"/>
      <c r="P929" s="495" t="str">
        <f t="shared" si="4"/>
        <v>LUNAS</v>
      </c>
      <c r="Q929" s="135">
        <f t="shared" si="5"/>
        <v>0</v>
      </c>
      <c r="S929" s="101"/>
    </row>
    <row r="930" ht="15.75" customHeight="1">
      <c r="A930" s="49"/>
      <c r="C930" s="131"/>
      <c r="D930" s="131"/>
      <c r="E930" s="131"/>
      <c r="F930" s="635"/>
      <c r="G930" s="635"/>
      <c r="H930" s="9"/>
      <c r="I930" s="8"/>
      <c r="J930" s="9"/>
      <c r="K930" s="611"/>
      <c r="L930" s="612"/>
      <c r="M930" s="613"/>
      <c r="N930" s="497"/>
      <c r="O930" s="497"/>
      <c r="P930" s="495" t="str">
        <f t="shared" si="4"/>
        <v>LUNAS</v>
      </c>
      <c r="Q930" s="135">
        <f t="shared" si="5"/>
        <v>0</v>
      </c>
      <c r="S930" s="101"/>
    </row>
    <row r="931" ht="15.75" customHeight="1">
      <c r="A931" s="49"/>
      <c r="C931" s="131"/>
      <c r="D931" s="131"/>
      <c r="E931" s="131"/>
      <c r="F931" s="635"/>
      <c r="G931" s="635"/>
      <c r="H931" s="9"/>
      <c r="I931" s="8"/>
      <c r="J931" s="9"/>
      <c r="K931" s="611"/>
      <c r="L931" s="612"/>
      <c r="M931" s="613"/>
      <c r="N931" s="497"/>
      <c r="O931" s="497"/>
      <c r="P931" s="495" t="str">
        <f t="shared" si="4"/>
        <v>LUNAS</v>
      </c>
      <c r="Q931" s="135">
        <f t="shared" si="5"/>
        <v>0</v>
      </c>
      <c r="S931" s="101"/>
    </row>
    <row r="932" ht="15.75" customHeight="1">
      <c r="A932" s="49"/>
      <c r="C932" s="131"/>
      <c r="D932" s="131"/>
      <c r="E932" s="131"/>
      <c r="F932" s="635"/>
      <c r="G932" s="635"/>
      <c r="H932" s="9"/>
      <c r="I932" s="8"/>
      <c r="J932" s="9"/>
      <c r="K932" s="611"/>
      <c r="L932" s="612"/>
      <c r="M932" s="613"/>
      <c r="N932" s="497"/>
      <c r="O932" s="497"/>
      <c r="P932" s="495" t="str">
        <f t="shared" si="4"/>
        <v>LUNAS</v>
      </c>
      <c r="Q932" s="135">
        <f t="shared" si="5"/>
        <v>0</v>
      </c>
      <c r="S932" s="101"/>
    </row>
    <row r="933" ht="15.75" customHeight="1">
      <c r="A933" s="49"/>
      <c r="C933" s="131"/>
      <c r="D933" s="131"/>
      <c r="E933" s="131"/>
      <c r="F933" s="635"/>
      <c r="G933" s="635"/>
      <c r="H933" s="9"/>
      <c r="I933" s="8"/>
      <c r="J933" s="9"/>
      <c r="K933" s="611"/>
      <c r="L933" s="612"/>
      <c r="M933" s="613"/>
      <c r="N933" s="497"/>
      <c r="O933" s="497"/>
      <c r="P933" s="495" t="str">
        <f t="shared" si="4"/>
        <v>LUNAS</v>
      </c>
      <c r="Q933" s="135">
        <f t="shared" si="5"/>
        <v>0</v>
      </c>
      <c r="S933" s="101"/>
    </row>
    <row r="934" ht="15.75" customHeight="1">
      <c r="A934" s="49"/>
      <c r="C934" s="131"/>
      <c r="D934" s="131"/>
      <c r="E934" s="131"/>
      <c r="F934" s="635"/>
      <c r="G934" s="635"/>
      <c r="H934" s="9"/>
      <c r="I934" s="8"/>
      <c r="J934" s="9"/>
      <c r="K934" s="611"/>
      <c r="L934" s="612"/>
      <c r="M934" s="613"/>
      <c r="N934" s="497"/>
      <c r="O934" s="497"/>
      <c r="P934" s="495" t="str">
        <f t="shared" si="4"/>
        <v>LUNAS</v>
      </c>
      <c r="Q934" s="135">
        <f t="shared" si="5"/>
        <v>0</v>
      </c>
      <c r="S934" s="101"/>
    </row>
    <row r="935" ht="15.75" customHeight="1">
      <c r="A935" s="49"/>
      <c r="C935" s="131"/>
      <c r="D935" s="131"/>
      <c r="E935" s="131"/>
      <c r="F935" s="635"/>
      <c r="G935" s="635"/>
      <c r="H935" s="9"/>
      <c r="I935" s="8"/>
      <c r="J935" s="9"/>
      <c r="K935" s="611"/>
      <c r="L935" s="612"/>
      <c r="M935" s="613"/>
      <c r="N935" s="497"/>
      <c r="O935" s="497"/>
      <c r="P935" s="495" t="str">
        <f t="shared" si="4"/>
        <v>LUNAS</v>
      </c>
      <c r="Q935" s="135">
        <f t="shared" si="5"/>
        <v>0</v>
      </c>
      <c r="S935" s="101"/>
    </row>
    <row r="936" ht="15.75" customHeight="1">
      <c r="A936" s="49"/>
      <c r="C936" s="131"/>
      <c r="D936" s="131"/>
      <c r="E936" s="131"/>
      <c r="F936" s="635"/>
      <c r="G936" s="635"/>
      <c r="H936" s="9"/>
      <c r="I936" s="8"/>
      <c r="J936" s="9"/>
      <c r="K936" s="611"/>
      <c r="L936" s="612"/>
      <c r="M936" s="613"/>
      <c r="N936" s="497"/>
      <c r="O936" s="497"/>
      <c r="P936" s="495" t="str">
        <f t="shared" si="4"/>
        <v>LUNAS</v>
      </c>
      <c r="Q936" s="135">
        <f t="shared" si="5"/>
        <v>0</v>
      </c>
      <c r="S936" s="101"/>
    </row>
    <row r="937" ht="15.75" customHeight="1">
      <c r="A937" s="49"/>
      <c r="C937" s="131"/>
      <c r="D937" s="131"/>
      <c r="E937" s="131"/>
      <c r="F937" s="635"/>
      <c r="G937" s="635"/>
      <c r="H937" s="9"/>
      <c r="I937" s="8"/>
      <c r="J937" s="9"/>
      <c r="K937" s="611"/>
      <c r="L937" s="612"/>
      <c r="M937" s="613"/>
      <c r="N937" s="497"/>
      <c r="O937" s="497"/>
      <c r="P937" s="495" t="str">
        <f t="shared" si="4"/>
        <v>LUNAS</v>
      </c>
      <c r="Q937" s="135">
        <f t="shared" si="5"/>
        <v>0</v>
      </c>
      <c r="S937" s="101"/>
    </row>
    <row r="938" ht="15.75" customHeight="1">
      <c r="A938" s="49"/>
      <c r="C938" s="131"/>
      <c r="D938" s="131"/>
      <c r="E938" s="131"/>
      <c r="F938" s="635"/>
      <c r="G938" s="635"/>
      <c r="H938" s="9"/>
      <c r="I938" s="8"/>
      <c r="J938" s="9"/>
      <c r="K938" s="611"/>
      <c r="L938" s="612"/>
      <c r="M938" s="613"/>
      <c r="N938" s="497"/>
      <c r="O938" s="497"/>
      <c r="P938" s="495" t="str">
        <f t="shared" si="4"/>
        <v>LUNAS</v>
      </c>
      <c r="Q938" s="135">
        <f t="shared" si="5"/>
        <v>0</v>
      </c>
      <c r="S938" s="101"/>
    </row>
    <row r="939" ht="15.75" customHeight="1">
      <c r="A939" s="49"/>
      <c r="C939" s="131"/>
      <c r="D939" s="131"/>
      <c r="E939" s="131"/>
      <c r="F939" s="635"/>
      <c r="G939" s="635"/>
      <c r="H939" s="9"/>
      <c r="I939" s="8"/>
      <c r="J939" s="9"/>
      <c r="K939" s="611"/>
      <c r="L939" s="612"/>
      <c r="M939" s="613"/>
      <c r="N939" s="497"/>
      <c r="O939" s="497"/>
      <c r="P939" s="495" t="str">
        <f t="shared" si="4"/>
        <v>LUNAS</v>
      </c>
      <c r="Q939" s="135">
        <f t="shared" si="5"/>
        <v>0</v>
      </c>
      <c r="S939" s="101"/>
    </row>
    <row r="940" ht="15.75" customHeight="1">
      <c r="A940" s="49"/>
      <c r="C940" s="131"/>
      <c r="D940" s="131"/>
      <c r="E940" s="131"/>
      <c r="F940" s="635"/>
      <c r="G940" s="635"/>
      <c r="H940" s="9"/>
      <c r="I940" s="8"/>
      <c r="J940" s="9"/>
      <c r="K940" s="611"/>
      <c r="L940" s="612"/>
      <c r="M940" s="613"/>
      <c r="N940" s="497"/>
      <c r="O940" s="497"/>
      <c r="P940" s="495" t="str">
        <f t="shared" si="4"/>
        <v>LUNAS</v>
      </c>
      <c r="Q940" s="135">
        <f t="shared" si="5"/>
        <v>0</v>
      </c>
      <c r="S940" s="101"/>
    </row>
    <row r="941" ht="15.75" customHeight="1">
      <c r="A941" s="49"/>
      <c r="C941" s="131"/>
      <c r="D941" s="131"/>
      <c r="E941" s="131"/>
      <c r="F941" s="635"/>
      <c r="G941" s="635"/>
      <c r="H941" s="9"/>
      <c r="I941" s="8"/>
      <c r="J941" s="9"/>
      <c r="K941" s="611"/>
      <c r="L941" s="612"/>
      <c r="M941" s="613"/>
      <c r="N941" s="497"/>
      <c r="O941" s="497"/>
      <c r="P941" s="495" t="str">
        <f t="shared" si="4"/>
        <v>LUNAS</v>
      </c>
      <c r="Q941" s="135">
        <f t="shared" si="5"/>
        <v>0</v>
      </c>
      <c r="S941" s="101"/>
    </row>
    <row r="942" ht="15.75" customHeight="1">
      <c r="A942" s="49"/>
      <c r="C942" s="131"/>
      <c r="D942" s="131"/>
      <c r="E942" s="131"/>
      <c r="F942" s="635"/>
      <c r="G942" s="635"/>
      <c r="H942" s="9"/>
      <c r="I942" s="8"/>
      <c r="J942" s="9"/>
      <c r="K942" s="611"/>
      <c r="L942" s="612"/>
      <c r="M942" s="613"/>
      <c r="N942" s="497"/>
      <c r="O942" s="497"/>
      <c r="P942" s="495" t="str">
        <f t="shared" si="4"/>
        <v>LUNAS</v>
      </c>
      <c r="Q942" s="135">
        <f t="shared" si="5"/>
        <v>0</v>
      </c>
      <c r="S942" s="101"/>
    </row>
    <row r="943" ht="15.75" customHeight="1">
      <c r="A943" s="49"/>
      <c r="C943" s="131"/>
      <c r="D943" s="131"/>
      <c r="E943" s="131"/>
      <c r="F943" s="635"/>
      <c r="G943" s="635"/>
      <c r="H943" s="9"/>
      <c r="I943" s="8"/>
      <c r="J943" s="9"/>
      <c r="K943" s="611"/>
      <c r="L943" s="612"/>
      <c r="M943" s="613"/>
      <c r="N943" s="497"/>
      <c r="O943" s="497"/>
      <c r="P943" s="495" t="str">
        <f t="shared" si="4"/>
        <v>LUNAS</v>
      </c>
      <c r="Q943" s="135">
        <f t="shared" si="5"/>
        <v>0</v>
      </c>
      <c r="S943" s="101"/>
    </row>
    <row r="944" ht="15.75" customHeight="1">
      <c r="A944" s="49"/>
      <c r="C944" s="131"/>
      <c r="D944" s="131"/>
      <c r="E944" s="131"/>
      <c r="F944" s="635"/>
      <c r="G944" s="635"/>
      <c r="H944" s="9"/>
      <c r="I944" s="8"/>
      <c r="J944" s="9"/>
      <c r="K944" s="611"/>
      <c r="L944" s="612"/>
      <c r="M944" s="613"/>
      <c r="N944" s="497"/>
      <c r="O944" s="497"/>
      <c r="P944" s="495" t="str">
        <f t="shared" si="4"/>
        <v>LUNAS</v>
      </c>
      <c r="Q944" s="135">
        <f t="shared" si="5"/>
        <v>0</v>
      </c>
      <c r="S944" s="101"/>
    </row>
    <row r="945" ht="15.75" customHeight="1">
      <c r="A945" s="49"/>
      <c r="C945" s="131"/>
      <c r="D945" s="131"/>
      <c r="E945" s="131"/>
      <c r="F945" s="635"/>
      <c r="G945" s="635"/>
      <c r="H945" s="9"/>
      <c r="I945" s="8"/>
      <c r="J945" s="9"/>
      <c r="K945" s="611"/>
      <c r="L945" s="612"/>
      <c r="M945" s="613"/>
      <c r="N945" s="497"/>
      <c r="O945" s="497"/>
      <c r="P945" s="495" t="str">
        <f t="shared" si="4"/>
        <v>LUNAS</v>
      </c>
      <c r="Q945" s="135">
        <f t="shared" si="5"/>
        <v>0</v>
      </c>
      <c r="S945" s="101"/>
    </row>
    <row r="946" ht="15.75" customHeight="1">
      <c r="A946" s="49"/>
      <c r="C946" s="131"/>
      <c r="D946" s="131"/>
      <c r="E946" s="131"/>
      <c r="F946" s="635"/>
      <c r="G946" s="635"/>
      <c r="H946" s="9"/>
      <c r="I946" s="8"/>
      <c r="J946" s="9"/>
      <c r="K946" s="611"/>
      <c r="L946" s="612"/>
      <c r="M946" s="613"/>
      <c r="N946" s="497"/>
      <c r="O946" s="497"/>
      <c r="P946" s="495" t="str">
        <f t="shared" si="4"/>
        <v>LUNAS</v>
      </c>
      <c r="Q946" s="135">
        <f t="shared" si="5"/>
        <v>0</v>
      </c>
      <c r="S946" s="101"/>
    </row>
    <row r="947" ht="15.75" customHeight="1">
      <c r="A947" s="49"/>
      <c r="C947" s="131"/>
      <c r="D947" s="131"/>
      <c r="E947" s="131"/>
      <c r="F947" s="635"/>
      <c r="G947" s="635"/>
      <c r="H947" s="9"/>
      <c r="I947" s="8"/>
      <c r="J947" s="9"/>
      <c r="K947" s="611"/>
      <c r="L947" s="612"/>
      <c r="M947" s="613"/>
      <c r="N947" s="497"/>
      <c r="O947" s="497"/>
      <c r="P947" s="495" t="str">
        <f t="shared" si="4"/>
        <v>LUNAS</v>
      </c>
      <c r="Q947" s="135">
        <f t="shared" si="5"/>
        <v>0</v>
      </c>
      <c r="S947" s="101"/>
    </row>
    <row r="948" ht="15.75" customHeight="1">
      <c r="A948" s="49"/>
      <c r="C948" s="131"/>
      <c r="D948" s="131"/>
      <c r="E948" s="131"/>
      <c r="F948" s="635"/>
      <c r="G948" s="635"/>
      <c r="H948" s="9"/>
      <c r="I948" s="8"/>
      <c r="J948" s="9"/>
      <c r="K948" s="611"/>
      <c r="L948" s="612"/>
      <c r="M948" s="613"/>
      <c r="N948" s="497"/>
      <c r="O948" s="497"/>
      <c r="P948" s="495" t="str">
        <f t="shared" si="4"/>
        <v>LUNAS</v>
      </c>
      <c r="Q948" s="135">
        <f t="shared" si="5"/>
        <v>0</v>
      </c>
      <c r="S948" s="101"/>
    </row>
    <row r="949" ht="15.75" customHeight="1">
      <c r="A949" s="49"/>
      <c r="C949" s="131"/>
      <c r="D949" s="131"/>
      <c r="E949" s="131"/>
      <c r="F949" s="635"/>
      <c r="G949" s="635"/>
      <c r="H949" s="9"/>
      <c r="I949" s="8"/>
      <c r="J949" s="9"/>
      <c r="K949" s="611"/>
      <c r="L949" s="612"/>
      <c r="M949" s="613"/>
      <c r="N949" s="497"/>
      <c r="O949" s="497"/>
      <c r="P949" s="495" t="str">
        <f t="shared" si="4"/>
        <v>LUNAS</v>
      </c>
      <c r="Q949" s="135">
        <f t="shared" si="5"/>
        <v>0</v>
      </c>
      <c r="S949" s="101"/>
    </row>
    <row r="950" ht="15.75" customHeight="1">
      <c r="A950" s="49"/>
      <c r="C950" s="131"/>
      <c r="D950" s="131"/>
      <c r="E950" s="131"/>
      <c r="F950" s="635"/>
      <c r="G950" s="635"/>
      <c r="H950" s="9"/>
      <c r="I950" s="8"/>
      <c r="J950" s="9"/>
      <c r="K950" s="611"/>
      <c r="L950" s="612"/>
      <c r="M950" s="613"/>
      <c r="N950" s="497"/>
      <c r="O950" s="497"/>
      <c r="P950" s="495" t="str">
        <f t="shared" si="4"/>
        <v>LUNAS</v>
      </c>
      <c r="Q950" s="135">
        <f t="shared" si="5"/>
        <v>0</v>
      </c>
      <c r="S950" s="101"/>
    </row>
    <row r="951" ht="15.75" customHeight="1">
      <c r="A951" s="49"/>
      <c r="C951" s="131"/>
      <c r="D951" s="131"/>
      <c r="E951" s="131"/>
      <c r="F951" s="635"/>
      <c r="G951" s="635"/>
      <c r="H951" s="9"/>
      <c r="I951" s="8"/>
      <c r="J951" s="9"/>
      <c r="K951" s="611"/>
      <c r="L951" s="612"/>
      <c r="M951" s="613"/>
      <c r="N951" s="497"/>
      <c r="O951" s="497"/>
      <c r="P951" s="495" t="str">
        <f t="shared" si="4"/>
        <v>LUNAS</v>
      </c>
      <c r="Q951" s="135">
        <f t="shared" si="5"/>
        <v>0</v>
      </c>
      <c r="S951" s="101"/>
    </row>
    <row r="952" ht="15.75" customHeight="1">
      <c r="A952" s="49"/>
      <c r="C952" s="131"/>
      <c r="D952" s="131"/>
      <c r="E952" s="131"/>
      <c r="F952" s="635"/>
      <c r="G952" s="635"/>
      <c r="H952" s="9"/>
      <c r="I952" s="8"/>
      <c r="J952" s="9"/>
      <c r="K952" s="611"/>
      <c r="L952" s="612"/>
      <c r="M952" s="613"/>
      <c r="N952" s="497"/>
      <c r="O952" s="497"/>
      <c r="P952" s="495" t="str">
        <f t="shared" si="4"/>
        <v>LUNAS</v>
      </c>
      <c r="Q952" s="135">
        <f t="shared" si="5"/>
        <v>0</v>
      </c>
      <c r="S952" s="101"/>
    </row>
    <row r="953" ht="15.75" customHeight="1">
      <c r="A953" s="49"/>
      <c r="C953" s="131"/>
      <c r="D953" s="131"/>
      <c r="E953" s="131"/>
      <c r="F953" s="635"/>
      <c r="G953" s="635"/>
      <c r="H953" s="9"/>
      <c r="I953" s="8"/>
      <c r="J953" s="9"/>
      <c r="K953" s="611"/>
      <c r="L953" s="612"/>
      <c r="M953" s="613"/>
      <c r="N953" s="497"/>
      <c r="O953" s="497"/>
      <c r="P953" s="495" t="str">
        <f t="shared" si="4"/>
        <v>LUNAS</v>
      </c>
      <c r="Q953" s="135">
        <f t="shared" si="5"/>
        <v>0</v>
      </c>
      <c r="S953" s="101"/>
    </row>
    <row r="954" ht="15.75" customHeight="1">
      <c r="A954" s="49"/>
      <c r="C954" s="131"/>
      <c r="D954" s="131"/>
      <c r="E954" s="131"/>
      <c r="F954" s="635"/>
      <c r="G954" s="635"/>
      <c r="H954" s="9"/>
      <c r="I954" s="8"/>
      <c r="J954" s="9"/>
      <c r="K954" s="611"/>
      <c r="L954" s="612"/>
      <c r="M954" s="613"/>
      <c r="N954" s="497"/>
      <c r="O954" s="497"/>
      <c r="P954" s="495" t="str">
        <f t="shared" si="4"/>
        <v>LUNAS</v>
      </c>
      <c r="Q954" s="135">
        <f t="shared" si="5"/>
        <v>0</v>
      </c>
      <c r="S954" s="101"/>
    </row>
    <row r="955" ht="15.75" customHeight="1">
      <c r="A955" s="49"/>
      <c r="C955" s="131"/>
      <c r="D955" s="131"/>
      <c r="E955" s="131"/>
      <c r="F955" s="635"/>
      <c r="G955" s="635"/>
      <c r="H955" s="9"/>
      <c r="I955" s="8"/>
      <c r="J955" s="9"/>
      <c r="K955" s="611"/>
      <c r="L955" s="612"/>
      <c r="M955" s="613"/>
      <c r="N955" s="497"/>
      <c r="O955" s="497"/>
      <c r="P955" s="495" t="str">
        <f t="shared" si="4"/>
        <v>LUNAS</v>
      </c>
      <c r="Q955" s="135">
        <f t="shared" si="5"/>
        <v>0</v>
      </c>
      <c r="S955" s="101"/>
    </row>
    <row r="956" ht="15.75" customHeight="1">
      <c r="A956" s="49"/>
      <c r="C956" s="131"/>
      <c r="D956" s="131"/>
      <c r="E956" s="131"/>
      <c r="F956" s="635"/>
      <c r="G956" s="635"/>
      <c r="H956" s="9"/>
      <c r="I956" s="8"/>
      <c r="J956" s="9"/>
      <c r="K956" s="611"/>
      <c r="L956" s="612"/>
      <c r="M956" s="613"/>
      <c r="N956" s="497"/>
      <c r="O956" s="497"/>
      <c r="P956" s="495" t="str">
        <f t="shared" si="4"/>
        <v>LUNAS</v>
      </c>
      <c r="Q956" s="135">
        <f t="shared" si="5"/>
        <v>0</v>
      </c>
      <c r="S956" s="101"/>
    </row>
    <row r="957" ht="15.75" customHeight="1">
      <c r="A957" s="49"/>
      <c r="C957" s="131"/>
      <c r="D957" s="131"/>
      <c r="E957" s="131"/>
      <c r="F957" s="635"/>
      <c r="G957" s="635"/>
      <c r="H957" s="9"/>
      <c r="I957" s="8"/>
      <c r="J957" s="9"/>
      <c r="K957" s="611"/>
      <c r="L957" s="612"/>
      <c r="M957" s="613"/>
      <c r="N957" s="497"/>
      <c r="O957" s="497"/>
      <c r="P957" s="495" t="str">
        <f t="shared" si="4"/>
        <v>LUNAS</v>
      </c>
      <c r="Q957" s="135">
        <f t="shared" si="5"/>
        <v>0</v>
      </c>
      <c r="S957" s="101"/>
    </row>
    <row r="958" ht="15.75" customHeight="1">
      <c r="A958" s="49"/>
      <c r="C958" s="131"/>
      <c r="D958" s="131"/>
      <c r="E958" s="131"/>
      <c r="F958" s="635"/>
      <c r="G958" s="635"/>
      <c r="H958" s="9"/>
      <c r="I958" s="8"/>
      <c r="J958" s="9"/>
      <c r="K958" s="611"/>
      <c r="L958" s="612"/>
      <c r="M958" s="613"/>
      <c r="N958" s="497"/>
      <c r="O958" s="497"/>
      <c r="P958" s="495" t="str">
        <f t="shared" si="4"/>
        <v>LUNAS</v>
      </c>
      <c r="Q958" s="135">
        <f t="shared" si="5"/>
        <v>0</v>
      </c>
      <c r="S958" s="101"/>
    </row>
    <row r="959" ht="15.75" customHeight="1">
      <c r="A959" s="49"/>
      <c r="C959" s="131"/>
      <c r="D959" s="131"/>
      <c r="E959" s="131"/>
      <c r="F959" s="635"/>
      <c r="G959" s="635"/>
      <c r="H959" s="9"/>
      <c r="I959" s="8"/>
      <c r="J959" s="9"/>
      <c r="K959" s="611"/>
      <c r="L959" s="612"/>
      <c r="M959" s="613"/>
      <c r="N959" s="497"/>
      <c r="O959" s="497"/>
      <c r="P959" s="495" t="str">
        <f t="shared" si="4"/>
        <v>LUNAS</v>
      </c>
      <c r="Q959" s="135">
        <f t="shared" si="5"/>
        <v>0</v>
      </c>
      <c r="S959" s="101"/>
    </row>
    <row r="960" ht="15.75" customHeight="1">
      <c r="A960" s="49"/>
      <c r="C960" s="131"/>
      <c r="D960" s="131"/>
      <c r="E960" s="131"/>
      <c r="F960" s="635"/>
      <c r="G960" s="635"/>
      <c r="H960" s="9"/>
      <c r="I960" s="8"/>
      <c r="J960" s="9"/>
      <c r="K960" s="611"/>
      <c r="L960" s="612"/>
      <c r="M960" s="613"/>
      <c r="N960" s="497"/>
      <c r="O960" s="497"/>
      <c r="P960" s="495" t="str">
        <f t="shared" si="4"/>
        <v>LUNAS</v>
      </c>
      <c r="Q960" s="135">
        <f t="shared" si="5"/>
        <v>0</v>
      </c>
      <c r="S960" s="101"/>
    </row>
    <row r="961" ht="15.75" customHeight="1">
      <c r="A961" s="49"/>
      <c r="C961" s="131"/>
      <c r="D961" s="131"/>
      <c r="E961" s="131"/>
      <c r="F961" s="635"/>
      <c r="G961" s="635"/>
      <c r="H961" s="9"/>
      <c r="I961" s="8"/>
      <c r="J961" s="9"/>
      <c r="K961" s="611"/>
      <c r="L961" s="612"/>
      <c r="M961" s="613"/>
      <c r="N961" s="497"/>
      <c r="O961" s="497"/>
      <c r="P961" s="495" t="str">
        <f t="shared" si="4"/>
        <v>LUNAS</v>
      </c>
      <c r="Q961" s="135">
        <f t="shared" si="5"/>
        <v>0</v>
      </c>
      <c r="S961" s="101"/>
    </row>
    <row r="962" ht="15.75" customHeight="1">
      <c r="A962" s="49"/>
      <c r="C962" s="131"/>
      <c r="D962" s="131"/>
      <c r="E962" s="131"/>
      <c r="F962" s="635"/>
      <c r="G962" s="635"/>
      <c r="H962" s="9"/>
      <c r="I962" s="8"/>
      <c r="J962" s="9"/>
      <c r="K962" s="611"/>
      <c r="L962" s="612"/>
      <c r="M962" s="613"/>
      <c r="N962" s="497"/>
      <c r="O962" s="497"/>
      <c r="P962" s="495" t="str">
        <f t="shared" si="4"/>
        <v>LUNAS</v>
      </c>
      <c r="Q962" s="135">
        <f t="shared" si="5"/>
        <v>0</v>
      </c>
      <c r="S962" s="101"/>
    </row>
    <row r="963" ht="15.75" customHeight="1">
      <c r="A963" s="49"/>
      <c r="C963" s="131"/>
      <c r="D963" s="131"/>
      <c r="E963" s="131"/>
      <c r="F963" s="635"/>
      <c r="G963" s="635"/>
      <c r="H963" s="9"/>
      <c r="I963" s="8"/>
      <c r="J963" s="9"/>
      <c r="K963" s="611"/>
      <c r="L963" s="612"/>
      <c r="M963" s="613"/>
      <c r="N963" s="497"/>
      <c r="O963" s="497"/>
      <c r="P963" s="495" t="str">
        <f t="shared" si="4"/>
        <v>LUNAS</v>
      </c>
      <c r="Q963" s="135">
        <f t="shared" si="5"/>
        <v>0</v>
      </c>
      <c r="S963" s="101"/>
    </row>
    <row r="964" ht="15.75" customHeight="1">
      <c r="A964" s="49"/>
      <c r="C964" s="131"/>
      <c r="D964" s="131"/>
      <c r="E964" s="131"/>
      <c r="F964" s="635"/>
      <c r="G964" s="635"/>
      <c r="H964" s="9"/>
      <c r="I964" s="8"/>
      <c r="J964" s="9"/>
      <c r="K964" s="611"/>
      <c r="L964" s="612"/>
      <c r="M964" s="613"/>
      <c r="N964" s="497"/>
      <c r="O964" s="497"/>
      <c r="P964" s="495" t="str">
        <f t="shared" si="4"/>
        <v>LUNAS</v>
      </c>
      <c r="Q964" s="135">
        <f t="shared" si="5"/>
        <v>0</v>
      </c>
      <c r="S964" s="101"/>
    </row>
    <row r="965" ht="15.75" customHeight="1">
      <c r="A965" s="49"/>
      <c r="C965" s="131"/>
      <c r="D965" s="131"/>
      <c r="E965" s="131"/>
      <c r="F965" s="635"/>
      <c r="G965" s="635"/>
      <c r="H965" s="9"/>
      <c r="I965" s="8"/>
      <c r="J965" s="9"/>
      <c r="K965" s="611"/>
      <c r="L965" s="612"/>
      <c r="M965" s="613"/>
      <c r="N965" s="497"/>
      <c r="O965" s="497"/>
      <c r="P965" s="495" t="str">
        <f t="shared" si="4"/>
        <v>LUNAS</v>
      </c>
      <c r="Q965" s="135">
        <f t="shared" si="5"/>
        <v>0</v>
      </c>
      <c r="S965" s="101"/>
    </row>
    <row r="966" ht="15.75" customHeight="1">
      <c r="A966" s="49"/>
      <c r="C966" s="131"/>
      <c r="D966" s="131"/>
      <c r="E966" s="131"/>
      <c r="F966" s="635"/>
      <c r="G966" s="635"/>
      <c r="H966" s="9"/>
      <c r="I966" s="8"/>
      <c r="J966" s="9"/>
      <c r="K966" s="611"/>
      <c r="L966" s="612"/>
      <c r="M966" s="613"/>
      <c r="N966" s="497"/>
      <c r="O966" s="497"/>
      <c r="P966" s="495" t="str">
        <f t="shared" si="4"/>
        <v>LUNAS</v>
      </c>
      <c r="Q966" s="135">
        <f t="shared" si="5"/>
        <v>0</v>
      </c>
      <c r="S966" s="101"/>
    </row>
    <row r="967" ht="15.75" customHeight="1">
      <c r="A967" s="49"/>
      <c r="C967" s="131"/>
      <c r="D967" s="131"/>
      <c r="E967" s="131"/>
      <c r="F967" s="635"/>
      <c r="G967" s="635"/>
      <c r="H967" s="9"/>
      <c r="I967" s="8"/>
      <c r="J967" s="9"/>
      <c r="K967" s="611"/>
      <c r="L967" s="612"/>
      <c r="M967" s="613"/>
      <c r="N967" s="497"/>
      <c r="O967" s="497"/>
      <c r="P967" s="495" t="str">
        <f t="shared" si="4"/>
        <v>LUNAS</v>
      </c>
      <c r="Q967" s="135">
        <f t="shared" si="5"/>
        <v>0</v>
      </c>
      <c r="S967" s="101"/>
    </row>
    <row r="968" ht="15.75" customHeight="1">
      <c r="A968" s="49"/>
      <c r="C968" s="131"/>
      <c r="D968" s="131"/>
      <c r="E968" s="131"/>
      <c r="F968" s="635"/>
      <c r="G968" s="635"/>
      <c r="H968" s="9"/>
      <c r="I968" s="8"/>
      <c r="J968" s="9"/>
      <c r="K968" s="611"/>
      <c r="L968" s="612"/>
      <c r="M968" s="613"/>
      <c r="N968" s="497"/>
      <c r="O968" s="497"/>
      <c r="P968" s="495" t="str">
        <f t="shared" si="4"/>
        <v>LUNAS</v>
      </c>
      <c r="Q968" s="135">
        <f t="shared" si="5"/>
        <v>0</v>
      </c>
      <c r="S968" s="101"/>
    </row>
    <row r="969" ht="15.75" customHeight="1">
      <c r="A969" s="49"/>
      <c r="C969" s="131"/>
      <c r="D969" s="131"/>
      <c r="E969" s="131"/>
      <c r="F969" s="635"/>
      <c r="G969" s="635"/>
      <c r="H969" s="9"/>
      <c r="I969" s="8"/>
      <c r="J969" s="9"/>
      <c r="K969" s="611"/>
      <c r="L969" s="612"/>
      <c r="M969" s="613"/>
      <c r="N969" s="497"/>
      <c r="O969" s="497"/>
      <c r="P969" s="495" t="str">
        <f t="shared" si="4"/>
        <v>LUNAS</v>
      </c>
      <c r="Q969" s="135">
        <f t="shared" si="5"/>
        <v>0</v>
      </c>
      <c r="S969" s="101"/>
    </row>
    <row r="970" ht="15.75" customHeight="1">
      <c r="A970" s="49"/>
      <c r="C970" s="131"/>
      <c r="D970" s="131"/>
      <c r="E970" s="131"/>
      <c r="F970" s="635"/>
      <c r="G970" s="635"/>
      <c r="H970" s="9"/>
      <c r="I970" s="8"/>
      <c r="J970" s="9"/>
      <c r="K970" s="611"/>
      <c r="L970" s="612"/>
      <c r="M970" s="613"/>
      <c r="N970" s="497"/>
      <c r="O970" s="497"/>
      <c r="P970" s="495" t="str">
        <f t="shared" si="4"/>
        <v>LUNAS</v>
      </c>
      <c r="Q970" s="135">
        <f t="shared" si="5"/>
        <v>0</v>
      </c>
      <c r="S970" s="101"/>
    </row>
    <row r="971" ht="15.75" customHeight="1">
      <c r="A971" s="49"/>
      <c r="C971" s="131"/>
      <c r="D971" s="131"/>
      <c r="E971" s="131"/>
      <c r="F971" s="635"/>
      <c r="G971" s="635"/>
      <c r="H971" s="9"/>
      <c r="I971" s="8"/>
      <c r="J971" s="9"/>
      <c r="K971" s="611"/>
      <c r="L971" s="612"/>
      <c r="M971" s="613"/>
      <c r="N971" s="497"/>
      <c r="O971" s="497"/>
      <c r="P971" s="495" t="str">
        <f t="shared" si="4"/>
        <v>LUNAS</v>
      </c>
      <c r="Q971" s="135">
        <f t="shared" si="5"/>
        <v>0</v>
      </c>
      <c r="S971" s="101"/>
    </row>
    <row r="972" ht="15.75" customHeight="1">
      <c r="A972" s="49"/>
      <c r="C972" s="131"/>
      <c r="D972" s="131"/>
      <c r="E972" s="131"/>
      <c r="F972" s="635"/>
      <c r="G972" s="635"/>
      <c r="H972" s="9"/>
      <c r="I972" s="8"/>
      <c r="J972" s="9"/>
      <c r="K972" s="611"/>
      <c r="L972" s="612"/>
      <c r="M972" s="613"/>
      <c r="N972" s="497"/>
      <c r="O972" s="497"/>
      <c r="P972" s="495" t="str">
        <f t="shared" si="4"/>
        <v>LUNAS</v>
      </c>
      <c r="Q972" s="135">
        <f t="shared" si="5"/>
        <v>0</v>
      </c>
      <c r="S972" s="101"/>
    </row>
    <row r="973" ht="15.75" customHeight="1">
      <c r="A973" s="49"/>
      <c r="C973" s="131"/>
      <c r="D973" s="131"/>
      <c r="E973" s="131"/>
      <c r="F973" s="635"/>
      <c r="G973" s="635"/>
      <c r="H973" s="9"/>
      <c r="I973" s="8"/>
      <c r="J973" s="9"/>
      <c r="K973" s="611"/>
      <c r="L973" s="612"/>
      <c r="M973" s="613"/>
      <c r="N973" s="497"/>
      <c r="O973" s="497"/>
      <c r="P973" s="495" t="str">
        <f t="shared" si="4"/>
        <v>LUNAS</v>
      </c>
      <c r="Q973" s="135">
        <f t="shared" si="5"/>
        <v>0</v>
      </c>
      <c r="S973" s="101"/>
    </row>
    <row r="974" ht="15.75" customHeight="1">
      <c r="A974" s="49"/>
      <c r="C974" s="131"/>
      <c r="D974" s="131"/>
      <c r="E974" s="131"/>
      <c r="F974" s="635"/>
      <c r="G974" s="635"/>
      <c r="H974" s="9"/>
      <c r="I974" s="8"/>
      <c r="J974" s="9"/>
      <c r="K974" s="611"/>
      <c r="L974" s="612"/>
      <c r="M974" s="613"/>
      <c r="N974" s="497"/>
      <c r="O974" s="497"/>
      <c r="P974" s="495" t="str">
        <f t="shared" si="4"/>
        <v>LUNAS</v>
      </c>
      <c r="Q974" s="135">
        <f t="shared" si="5"/>
        <v>0</v>
      </c>
      <c r="S974" s="101"/>
    </row>
    <row r="975" ht="15.75" customHeight="1">
      <c r="A975" s="49"/>
      <c r="C975" s="131"/>
      <c r="D975" s="131"/>
      <c r="E975" s="131"/>
      <c r="F975" s="635"/>
      <c r="G975" s="635"/>
      <c r="H975" s="9"/>
      <c r="I975" s="8"/>
      <c r="J975" s="9"/>
      <c r="K975" s="611"/>
      <c r="L975" s="612"/>
      <c r="M975" s="613"/>
      <c r="N975" s="497"/>
      <c r="O975" s="497"/>
      <c r="P975" s="495" t="str">
        <f t="shared" si="4"/>
        <v>LUNAS</v>
      </c>
      <c r="Q975" s="135">
        <f t="shared" si="5"/>
        <v>0</v>
      </c>
      <c r="S975" s="101"/>
    </row>
    <row r="976" ht="15.75" customHeight="1">
      <c r="A976" s="49"/>
      <c r="C976" s="131"/>
      <c r="D976" s="131"/>
      <c r="E976" s="131"/>
      <c r="F976" s="635"/>
      <c r="G976" s="635"/>
      <c r="H976" s="9"/>
      <c r="I976" s="8"/>
      <c r="J976" s="9"/>
      <c r="K976" s="611"/>
      <c r="L976" s="612"/>
      <c r="M976" s="613"/>
      <c r="N976" s="497"/>
      <c r="O976" s="497"/>
      <c r="P976" s="495" t="str">
        <f t="shared" si="4"/>
        <v>LUNAS</v>
      </c>
      <c r="Q976" s="135">
        <f t="shared" si="5"/>
        <v>0</v>
      </c>
      <c r="S976" s="101"/>
    </row>
    <row r="977" ht="15.75" customHeight="1">
      <c r="A977" s="49"/>
      <c r="C977" s="131"/>
      <c r="D977" s="131"/>
      <c r="E977" s="131"/>
      <c r="F977" s="635"/>
      <c r="G977" s="635"/>
      <c r="H977" s="9"/>
      <c r="I977" s="8"/>
      <c r="J977" s="9"/>
      <c r="K977" s="611"/>
      <c r="L977" s="612"/>
      <c r="M977" s="613"/>
      <c r="N977" s="497"/>
      <c r="O977" s="497"/>
      <c r="P977" s="495" t="str">
        <f t="shared" si="4"/>
        <v>LUNAS</v>
      </c>
      <c r="Q977" s="135">
        <f t="shared" si="5"/>
        <v>0</v>
      </c>
      <c r="S977" s="101"/>
    </row>
    <row r="978" ht="15.75" customHeight="1">
      <c r="A978" s="49"/>
      <c r="C978" s="131"/>
      <c r="D978" s="131"/>
      <c r="E978" s="131"/>
      <c r="F978" s="635"/>
      <c r="G978" s="635"/>
      <c r="H978" s="9"/>
      <c r="I978" s="8"/>
      <c r="J978" s="9"/>
      <c r="K978" s="611"/>
      <c r="L978" s="612"/>
      <c r="M978" s="613"/>
      <c r="N978" s="497"/>
      <c r="O978" s="497"/>
      <c r="P978" s="495" t="str">
        <f t="shared" si="4"/>
        <v>LUNAS</v>
      </c>
      <c r="Q978" s="135">
        <f t="shared" si="5"/>
        <v>0</v>
      </c>
      <c r="S978" s="101"/>
    </row>
    <row r="979" ht="15.75" customHeight="1">
      <c r="A979" s="49"/>
      <c r="C979" s="131"/>
      <c r="D979" s="131"/>
      <c r="E979" s="131"/>
      <c r="F979" s="635"/>
      <c r="G979" s="635"/>
      <c r="H979" s="9"/>
      <c r="I979" s="8"/>
      <c r="J979" s="9"/>
      <c r="K979" s="611"/>
      <c r="L979" s="612"/>
      <c r="M979" s="613"/>
      <c r="N979" s="497"/>
      <c r="O979" s="497"/>
      <c r="P979" s="495" t="str">
        <f t="shared" si="4"/>
        <v>LUNAS</v>
      </c>
      <c r="Q979" s="135">
        <f t="shared" si="5"/>
        <v>0</v>
      </c>
      <c r="S979" s="101"/>
    </row>
    <row r="980" ht="15.75" customHeight="1">
      <c r="A980" s="49"/>
      <c r="C980" s="131"/>
      <c r="D980" s="131"/>
      <c r="E980" s="131"/>
      <c r="F980" s="635"/>
      <c r="G980" s="635"/>
      <c r="H980" s="9"/>
      <c r="I980" s="8"/>
      <c r="J980" s="9"/>
      <c r="K980" s="611"/>
      <c r="L980" s="612"/>
      <c r="M980" s="613"/>
      <c r="N980" s="497"/>
      <c r="O980" s="497"/>
      <c r="P980" s="495" t="str">
        <f t="shared" si="4"/>
        <v>LUNAS</v>
      </c>
      <c r="Q980" s="135">
        <f t="shared" si="5"/>
        <v>0</v>
      </c>
      <c r="S980" s="101"/>
    </row>
    <row r="981" ht="15.75" customHeight="1">
      <c r="A981" s="49"/>
      <c r="C981" s="131"/>
      <c r="D981" s="131"/>
      <c r="E981" s="131"/>
      <c r="F981" s="635"/>
      <c r="G981" s="635"/>
      <c r="H981" s="9"/>
      <c r="I981" s="8"/>
      <c r="J981" s="9"/>
      <c r="K981" s="611"/>
      <c r="L981" s="612"/>
      <c r="M981" s="613"/>
      <c r="N981" s="497"/>
      <c r="O981" s="497"/>
      <c r="P981" s="495" t="str">
        <f t="shared" si="4"/>
        <v>LUNAS</v>
      </c>
      <c r="Q981" s="135">
        <f t="shared" si="5"/>
        <v>0</v>
      </c>
      <c r="S981" s="101"/>
    </row>
    <row r="982" ht="15.75" customHeight="1">
      <c r="A982" s="49"/>
      <c r="C982" s="131"/>
      <c r="D982" s="131"/>
      <c r="E982" s="131"/>
      <c r="F982" s="635"/>
      <c r="G982" s="635"/>
      <c r="H982" s="9"/>
      <c r="I982" s="8"/>
      <c r="J982" s="9"/>
      <c r="K982" s="611"/>
      <c r="L982" s="612"/>
      <c r="M982" s="613"/>
      <c r="N982" s="497"/>
      <c r="O982" s="497"/>
      <c r="P982" s="495" t="str">
        <f t="shared" si="4"/>
        <v>LUNAS</v>
      </c>
      <c r="Q982" s="135">
        <f t="shared" si="5"/>
        <v>0</v>
      </c>
      <c r="S982" s="101"/>
    </row>
    <row r="983" ht="15.75" customHeight="1">
      <c r="A983" s="49"/>
      <c r="C983" s="131"/>
      <c r="D983" s="131"/>
      <c r="E983" s="131"/>
      <c r="F983" s="635"/>
      <c r="G983" s="635"/>
      <c r="H983" s="9"/>
      <c r="I983" s="8"/>
      <c r="J983" s="9"/>
      <c r="K983" s="611"/>
      <c r="L983" s="612"/>
      <c r="M983" s="613"/>
      <c r="N983" s="497"/>
      <c r="O983" s="497"/>
      <c r="P983" s="495" t="str">
        <f t="shared" si="4"/>
        <v>LUNAS</v>
      </c>
      <c r="Q983" s="135">
        <f t="shared" si="5"/>
        <v>0</v>
      </c>
      <c r="S983" s="101"/>
    </row>
    <row r="984" ht="15.75" customHeight="1">
      <c r="A984" s="49"/>
      <c r="C984" s="131"/>
      <c r="D984" s="131"/>
      <c r="E984" s="131"/>
      <c r="F984" s="635"/>
      <c r="G984" s="635"/>
      <c r="H984" s="9"/>
      <c r="I984" s="8"/>
      <c r="J984" s="9"/>
      <c r="K984" s="611"/>
      <c r="L984" s="612"/>
      <c r="M984" s="613"/>
      <c r="N984" s="497"/>
      <c r="O984" s="497"/>
      <c r="P984" s="495" t="str">
        <f t="shared" si="4"/>
        <v>LUNAS</v>
      </c>
      <c r="Q984" s="135">
        <f t="shared" si="5"/>
        <v>0</v>
      </c>
      <c r="S984" s="101"/>
    </row>
    <row r="985" ht="15.75" customHeight="1">
      <c r="A985" s="49"/>
      <c r="C985" s="131"/>
      <c r="D985" s="131"/>
      <c r="E985" s="131"/>
      <c r="F985" s="635"/>
      <c r="G985" s="635"/>
      <c r="H985" s="9"/>
      <c r="I985" s="8"/>
      <c r="J985" s="9"/>
      <c r="K985" s="611"/>
      <c r="L985" s="612"/>
      <c r="M985" s="613"/>
      <c r="N985" s="497"/>
      <c r="O985" s="497"/>
      <c r="P985" s="495" t="str">
        <f t="shared" si="4"/>
        <v>LUNAS</v>
      </c>
      <c r="Q985" s="135">
        <f t="shared" si="5"/>
        <v>0</v>
      </c>
      <c r="S985" s="101"/>
    </row>
    <row r="986" ht="15.75" customHeight="1">
      <c r="A986" s="49"/>
      <c r="C986" s="131"/>
      <c r="D986" s="131"/>
      <c r="E986" s="131"/>
      <c r="F986" s="635"/>
      <c r="G986" s="635"/>
      <c r="H986" s="9"/>
      <c r="I986" s="8"/>
      <c r="J986" s="9"/>
      <c r="K986" s="611"/>
      <c r="L986" s="612"/>
      <c r="M986" s="613"/>
      <c r="N986" s="497"/>
      <c r="O986" s="497"/>
      <c r="P986" s="495" t="str">
        <f t="shared" si="4"/>
        <v>LUNAS</v>
      </c>
      <c r="Q986" s="135">
        <f t="shared" si="5"/>
        <v>0</v>
      </c>
      <c r="S986" s="101"/>
    </row>
    <row r="987" ht="15.75" customHeight="1">
      <c r="A987" s="49"/>
      <c r="C987" s="131"/>
      <c r="D987" s="131"/>
      <c r="E987" s="131"/>
      <c r="F987" s="635"/>
      <c r="G987" s="635"/>
      <c r="H987" s="9"/>
      <c r="I987" s="8"/>
      <c r="J987" s="9"/>
      <c r="K987" s="611"/>
      <c r="L987" s="612"/>
      <c r="M987" s="613"/>
      <c r="N987" s="497"/>
      <c r="O987" s="497"/>
      <c r="P987" s="495" t="str">
        <f t="shared" si="4"/>
        <v>LUNAS</v>
      </c>
      <c r="Q987" s="135">
        <f t="shared" si="5"/>
        <v>0</v>
      </c>
      <c r="S987" s="101"/>
    </row>
    <row r="988" ht="15.75" customHeight="1">
      <c r="A988" s="49"/>
      <c r="C988" s="131"/>
      <c r="D988" s="131"/>
      <c r="E988" s="131"/>
      <c r="F988" s="635"/>
      <c r="G988" s="635"/>
      <c r="H988" s="9"/>
      <c r="I988" s="8"/>
      <c r="J988" s="9"/>
      <c r="K988" s="611"/>
      <c r="L988" s="612"/>
      <c r="M988" s="613"/>
      <c r="N988" s="497"/>
      <c r="O988" s="497"/>
      <c r="P988" s="495" t="str">
        <f t="shared" si="4"/>
        <v>LUNAS</v>
      </c>
      <c r="Q988" s="135">
        <f t="shared" si="5"/>
        <v>0</v>
      </c>
      <c r="S988" s="101"/>
    </row>
    <row r="989" ht="15.75" customHeight="1">
      <c r="A989" s="49"/>
      <c r="C989" s="131"/>
      <c r="D989" s="131"/>
      <c r="E989" s="131"/>
      <c r="F989" s="635"/>
      <c r="G989" s="635"/>
      <c r="H989" s="9"/>
      <c r="I989" s="8"/>
      <c r="J989" s="9"/>
      <c r="K989" s="611"/>
      <c r="L989" s="612"/>
      <c r="M989" s="613"/>
      <c r="N989" s="497"/>
      <c r="O989" s="497"/>
      <c r="P989" s="495" t="str">
        <f t="shared" si="4"/>
        <v>LUNAS</v>
      </c>
      <c r="Q989" s="135">
        <f t="shared" si="5"/>
        <v>0</v>
      </c>
      <c r="S989" s="101"/>
    </row>
    <row r="990" ht="15.75" customHeight="1">
      <c r="A990" s="49"/>
      <c r="C990" s="131"/>
      <c r="D990" s="131"/>
      <c r="E990" s="131"/>
      <c r="F990" s="635"/>
      <c r="G990" s="635"/>
      <c r="H990" s="9"/>
      <c r="I990" s="8"/>
      <c r="J990" s="9"/>
      <c r="K990" s="611"/>
      <c r="L990" s="612"/>
      <c r="M990" s="613"/>
      <c r="N990" s="497"/>
      <c r="O990" s="497"/>
      <c r="P990" s="495" t="str">
        <f t="shared" si="4"/>
        <v>LUNAS</v>
      </c>
      <c r="Q990" s="135">
        <f t="shared" si="5"/>
        <v>0</v>
      </c>
      <c r="S990" s="101"/>
    </row>
    <row r="991" ht="15.75" customHeight="1">
      <c r="A991" s="49"/>
      <c r="C991" s="131"/>
      <c r="D991" s="131"/>
      <c r="E991" s="131"/>
      <c r="F991" s="635"/>
      <c r="G991" s="635"/>
      <c r="H991" s="9"/>
      <c r="I991" s="8"/>
      <c r="J991" s="9"/>
      <c r="K991" s="611"/>
      <c r="L991" s="612"/>
      <c r="M991" s="613"/>
      <c r="N991" s="497"/>
      <c r="O991" s="497"/>
      <c r="P991" s="495" t="str">
        <f t="shared" si="4"/>
        <v>LUNAS</v>
      </c>
      <c r="Q991" s="135">
        <f t="shared" si="5"/>
        <v>0</v>
      </c>
      <c r="S991" s="101"/>
    </row>
    <row r="992" ht="15.75" customHeight="1">
      <c r="A992" s="49"/>
      <c r="C992" s="131"/>
      <c r="D992" s="131"/>
      <c r="E992" s="131"/>
      <c r="F992" s="635"/>
      <c r="G992" s="635"/>
      <c r="H992" s="9"/>
      <c r="I992" s="8"/>
      <c r="J992" s="9"/>
      <c r="K992" s="611"/>
      <c r="L992" s="612"/>
      <c r="M992" s="613"/>
      <c r="N992" s="497"/>
      <c r="O992" s="497"/>
      <c r="P992" s="495" t="str">
        <f t="shared" si="4"/>
        <v>LUNAS</v>
      </c>
      <c r="Q992" s="135">
        <f t="shared" si="5"/>
        <v>0</v>
      </c>
      <c r="S992" s="101"/>
    </row>
    <row r="993" ht="15.75" customHeight="1">
      <c r="A993" s="49"/>
      <c r="C993" s="131"/>
      <c r="D993" s="131"/>
      <c r="E993" s="131"/>
      <c r="F993" s="635"/>
      <c r="G993" s="635"/>
      <c r="H993" s="9"/>
      <c r="I993" s="8"/>
      <c r="J993" s="9"/>
      <c r="K993" s="611"/>
      <c r="L993" s="612"/>
      <c r="M993" s="613"/>
      <c r="N993" s="497"/>
      <c r="O993" s="497"/>
      <c r="P993" s="495" t="str">
        <f t="shared" si="4"/>
        <v>LUNAS</v>
      </c>
      <c r="Q993" s="135">
        <f t="shared" si="5"/>
        <v>0</v>
      </c>
      <c r="S993" s="101"/>
    </row>
    <row r="994" ht="15.75" customHeight="1">
      <c r="A994" s="49"/>
      <c r="C994" s="131"/>
      <c r="D994" s="131"/>
      <c r="E994" s="131"/>
      <c r="F994" s="635"/>
      <c r="G994" s="635"/>
      <c r="H994" s="9"/>
      <c r="I994" s="8"/>
      <c r="J994" s="9"/>
      <c r="K994" s="611"/>
      <c r="L994" s="612"/>
      <c r="M994" s="613"/>
      <c r="N994" s="497"/>
      <c r="O994" s="497"/>
      <c r="P994" s="495" t="str">
        <f t="shared" si="4"/>
        <v>LUNAS</v>
      </c>
      <c r="Q994" s="135">
        <f t="shared" si="5"/>
        <v>0</v>
      </c>
      <c r="S994" s="101"/>
    </row>
    <row r="995" ht="15.75" customHeight="1">
      <c r="A995" s="49"/>
      <c r="C995" s="131"/>
      <c r="D995" s="131"/>
      <c r="E995" s="131"/>
      <c r="F995" s="635"/>
      <c r="G995" s="635"/>
      <c r="H995" s="9"/>
      <c r="I995" s="8"/>
      <c r="J995" s="9"/>
      <c r="K995" s="611"/>
      <c r="L995" s="612"/>
      <c r="M995" s="613"/>
      <c r="N995" s="497"/>
      <c r="O995" s="497"/>
      <c r="P995" s="495" t="str">
        <f t="shared" si="4"/>
        <v>LUNAS</v>
      </c>
      <c r="Q995" s="135">
        <f t="shared" si="5"/>
        <v>0</v>
      </c>
      <c r="S995" s="101"/>
    </row>
    <row r="996" ht="15.75" customHeight="1">
      <c r="A996" s="49"/>
      <c r="C996" s="131"/>
      <c r="D996" s="131"/>
      <c r="E996" s="131"/>
      <c r="F996" s="635"/>
      <c r="G996" s="635"/>
      <c r="H996" s="9"/>
      <c r="I996" s="8"/>
      <c r="J996" s="9"/>
      <c r="K996" s="611"/>
      <c r="L996" s="612"/>
      <c r="M996" s="613"/>
      <c r="N996" s="497"/>
      <c r="O996" s="497"/>
      <c r="P996" s="495" t="str">
        <f t="shared" si="4"/>
        <v>LUNAS</v>
      </c>
      <c r="Q996" s="135">
        <f t="shared" si="5"/>
        <v>0</v>
      </c>
      <c r="S996" s="101"/>
    </row>
    <row r="997" ht="15.75" customHeight="1">
      <c r="A997" s="49"/>
      <c r="C997" s="131"/>
      <c r="D997" s="131"/>
      <c r="E997" s="131"/>
      <c r="F997" s="635"/>
      <c r="G997" s="635"/>
      <c r="H997" s="9"/>
      <c r="I997" s="8"/>
      <c r="J997" s="9"/>
      <c r="K997" s="611"/>
      <c r="L997" s="612"/>
      <c r="M997" s="613"/>
      <c r="N997" s="497"/>
      <c r="O997" s="497"/>
      <c r="P997" s="495" t="str">
        <f t="shared" si="4"/>
        <v>LUNAS</v>
      </c>
      <c r="Q997" s="135">
        <f t="shared" si="5"/>
        <v>0</v>
      </c>
      <c r="S997" s="101"/>
    </row>
    <row r="998" ht="15.75" customHeight="1">
      <c r="A998" s="49"/>
      <c r="C998" s="131"/>
      <c r="D998" s="131"/>
      <c r="E998" s="131"/>
      <c r="F998" s="635"/>
      <c r="G998" s="635"/>
      <c r="H998" s="9"/>
      <c r="I998" s="8"/>
      <c r="J998" s="9"/>
      <c r="K998" s="611"/>
      <c r="L998" s="612"/>
      <c r="M998" s="613"/>
      <c r="N998" s="497"/>
      <c r="O998" s="497"/>
      <c r="P998" s="495" t="str">
        <f t="shared" si="4"/>
        <v>LUNAS</v>
      </c>
      <c r="Q998" s="135">
        <f t="shared" si="5"/>
        <v>0</v>
      </c>
      <c r="S998" s="101"/>
    </row>
    <row r="999" ht="15.75" customHeight="1">
      <c r="A999" s="49"/>
      <c r="C999" s="131"/>
      <c r="D999" s="131"/>
      <c r="E999" s="131"/>
      <c r="F999" s="635"/>
      <c r="G999" s="635"/>
      <c r="H999" s="9"/>
      <c r="I999" s="8"/>
      <c r="J999" s="9"/>
      <c r="K999" s="611"/>
      <c r="L999" s="612"/>
      <c r="M999" s="613"/>
      <c r="N999" s="497"/>
      <c r="O999" s="497"/>
      <c r="P999" s="495" t="str">
        <f t="shared" si="4"/>
        <v>LUNAS</v>
      </c>
      <c r="Q999" s="135">
        <f t="shared" si="5"/>
        <v>0</v>
      </c>
      <c r="S999" s="101"/>
    </row>
    <row r="1000" ht="15.75" customHeight="1">
      <c r="A1000" s="49"/>
      <c r="C1000" s="131"/>
      <c r="D1000" s="131"/>
      <c r="E1000" s="131"/>
      <c r="F1000" s="635"/>
      <c r="G1000" s="635"/>
      <c r="H1000" s="9"/>
      <c r="I1000" s="8"/>
      <c r="J1000" s="9"/>
      <c r="K1000" s="611"/>
      <c r="L1000" s="612"/>
      <c r="M1000" s="613"/>
      <c r="N1000" s="497"/>
      <c r="O1000" s="497"/>
      <c r="P1000" s="495" t="str">
        <f t="shared" si="4"/>
        <v>LUNAS</v>
      </c>
      <c r="Q1000" s="135">
        <f t="shared" si="5"/>
        <v>0</v>
      </c>
      <c r="S1000" s="101"/>
    </row>
    <row r="1001" ht="15.75" customHeight="1">
      <c r="A1001" s="49"/>
      <c r="C1001" s="131"/>
      <c r="D1001" s="131"/>
      <c r="E1001" s="131"/>
      <c r="F1001" s="635"/>
      <c r="G1001" s="635"/>
      <c r="H1001" s="9"/>
      <c r="I1001" s="8"/>
      <c r="J1001" s="9"/>
      <c r="K1001" s="611"/>
      <c r="L1001" s="612"/>
      <c r="M1001" s="613"/>
      <c r="N1001" s="497"/>
      <c r="O1001" s="497"/>
      <c r="P1001" s="495" t="str">
        <f t="shared" si="4"/>
        <v>LUNAS</v>
      </c>
      <c r="Q1001" s="135">
        <f t="shared" si="5"/>
        <v>0</v>
      </c>
      <c r="S1001" s="101"/>
    </row>
    <row r="1002" ht="15.75" customHeight="1">
      <c r="A1002" s="49"/>
      <c r="C1002" s="131"/>
      <c r="D1002" s="131"/>
      <c r="E1002" s="131"/>
      <c r="F1002" s="635"/>
      <c r="G1002" s="635"/>
      <c r="H1002" s="9"/>
      <c r="I1002" s="8"/>
      <c r="J1002" s="9"/>
      <c r="K1002" s="611"/>
      <c r="L1002" s="612"/>
      <c r="M1002" s="613"/>
      <c r="N1002" s="497"/>
      <c r="O1002" s="497"/>
      <c r="P1002" s="495" t="str">
        <f t="shared" si="4"/>
        <v>LUNAS</v>
      </c>
      <c r="Q1002" s="135">
        <f t="shared" si="5"/>
        <v>0</v>
      </c>
      <c r="S1002" s="101"/>
    </row>
  </sheetData>
  <conditionalFormatting sqref="K2">
    <cfRule type="colorScale" priority="1">
      <colorScale>
        <cfvo type="min"/>
        <cfvo type="max"/>
        <color rgb="FFFFFFFF"/>
        <color rgb="FF57BB8A"/>
      </colorScale>
    </cfRule>
  </conditionalFormatting>
  <conditionalFormatting sqref="K1:Q1002">
    <cfRule type="expression" dxfId="6" priority="2">
      <formula>MOD(COUNTUNIQUE($K$1:$K1), 2)=1</formula>
    </cfRule>
  </conditionalFormatting>
  <conditionalFormatting sqref="K1:Q1002">
    <cfRule type="expression" dxfId="7" priority="3">
      <formula>MOD(COUNTUNIQUE($K$1:$K1), 2)=0</formula>
    </cfRule>
  </conditionalFormatting>
  <dataValidations>
    <dataValidation type="list" allowBlank="1" showErrorMessage="1" sqref="E367:E368 E370:E372 E374 E427">
      <formula1>DATABASE!$W:$W</formula1>
    </dataValidation>
    <dataValidation type="custom" allowBlank="1" showDropDown="1" sqref="F2:G1002">
      <formula1>AND(ISNUMBER(F2),(NOT(OR(NOT(ISERROR(DATEVALUE(F2))), AND(ISNUMBER(F2), LEFT(CELL("format", F2))="D")))))</formula1>
    </dataValidation>
  </dataValidations>
  <drawing r:id="rId2"/>
  <tableParts count="1">
    <tablePart r:id="rId4"/>
  </tableParts>
</worksheet>
</file>

<file path=docProps/custom.xml><?xml version="1.0" encoding="utf-8"?>
<Properties xmlns="http://schemas.openxmlformats.org/officeDocument/2006/custom-properties" xmlns:vt="http://schemas.openxmlformats.org/officeDocument/2006/docPropsVTypes">
  <property fmtid="{D5CDD505-2E9C-101B-9397-08002B2CF9AE}" name="NXPowerLiteLastOptimized" pid="2">
    <vt:lpwstr>2342308</vt:lpwstr>
  </property>
  <property fmtid="{D5CDD505-2E9C-101B-9397-08002B2CF9AE}" name="NXPowerLiteSettings" pid="3">
    <vt:lpwstr>E7000400038000</vt:lpwstr>
  </property>
  <property fmtid="{D5CDD505-2E9C-101B-9397-08002B2CF9AE}" name="NXPowerLiteVersion" pid="4">
    <vt:lpwstr>S11.0.1</vt:lpwstr>
  </property>
</Properties>
</file>